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8" windowWidth="23256" windowHeight="12012"/>
  </bookViews>
  <sheets>
    <sheet name="IV Trimestre 2016" sheetId="1" r:id="rId1"/>
  </sheets>
  <definedNames>
    <definedName name="_xlnm._FilterDatabase" localSheetId="0" hidden="1">'IV Trimestre 2016'!$A$2:$BN$9510</definedName>
  </definedNames>
  <calcPr calcId="125725"/>
</workbook>
</file>

<file path=xl/calcChain.xml><?xml version="1.0" encoding="utf-8"?>
<calcChain xmlns="http://schemas.openxmlformats.org/spreadsheetml/2006/main">
  <c r="AC9511" i="1"/>
  <c r="AE9511"/>
  <c r="AB9511"/>
  <c r="Z9511"/>
  <c r="Z9513" s="1"/>
  <c r="H3"/>
  <c r="I3"/>
  <c r="K3"/>
  <c r="N3"/>
  <c r="W3"/>
  <c r="H4"/>
  <c r="I4"/>
  <c r="K4"/>
  <c r="N4"/>
  <c r="W4"/>
  <c r="H5"/>
  <c r="I5"/>
  <c r="K5"/>
  <c r="N5"/>
  <c r="W5"/>
  <c r="H6"/>
  <c r="I6"/>
  <c r="K6"/>
  <c r="N6"/>
  <c r="W6"/>
  <c r="H7"/>
  <c r="I7"/>
  <c r="K7"/>
  <c r="N7"/>
  <c r="W7"/>
  <c r="H8"/>
  <c r="I8"/>
  <c r="K8"/>
  <c r="N8"/>
  <c r="W8"/>
  <c r="H9"/>
  <c r="I9"/>
  <c r="K9"/>
  <c r="N9"/>
  <c r="W9"/>
  <c r="H10"/>
  <c r="I10"/>
  <c r="K10"/>
  <c r="N10"/>
  <c r="W10"/>
  <c r="H11"/>
  <c r="I11"/>
  <c r="K11"/>
  <c r="N11"/>
  <c r="W11"/>
  <c r="H12"/>
  <c r="I12"/>
  <c r="K12"/>
  <c r="N12"/>
  <c r="W12"/>
  <c r="H13"/>
  <c r="I13"/>
  <c r="K13"/>
  <c r="N13"/>
  <c r="W13"/>
  <c r="H14"/>
  <c r="I14"/>
  <c r="K14"/>
  <c r="N14"/>
  <c r="W14"/>
  <c r="H15"/>
  <c r="I15"/>
  <c r="K15"/>
  <c r="N15"/>
  <c r="W15"/>
  <c r="H16"/>
  <c r="I16"/>
  <c r="K16"/>
  <c r="N16"/>
  <c r="W16"/>
  <c r="H17"/>
  <c r="I17"/>
  <c r="K17"/>
  <c r="N17"/>
  <c r="W17"/>
  <c r="H18"/>
  <c r="I18"/>
  <c r="K18"/>
  <c r="N18"/>
  <c r="W18"/>
  <c r="H19"/>
  <c r="I19"/>
  <c r="K19"/>
  <c r="N19"/>
  <c r="W19"/>
  <c r="H20"/>
  <c r="I20"/>
  <c r="K20"/>
  <c r="N20"/>
  <c r="W20"/>
  <c r="H21"/>
  <c r="I21"/>
  <c r="K21"/>
  <c r="N21"/>
  <c r="W21"/>
  <c r="H22"/>
  <c r="I22"/>
  <c r="K22"/>
  <c r="N22"/>
  <c r="W22"/>
  <c r="H23"/>
  <c r="I23"/>
  <c r="K23"/>
  <c r="N23"/>
  <c r="W23"/>
  <c r="H24"/>
  <c r="I24"/>
  <c r="K24"/>
  <c r="N24"/>
  <c r="W24"/>
  <c r="H25"/>
  <c r="I25"/>
  <c r="K25"/>
  <c r="N25"/>
  <c r="W25"/>
  <c r="H26"/>
  <c r="I26"/>
  <c r="K26"/>
  <c r="N26"/>
  <c r="W26"/>
  <c r="H27"/>
  <c r="I27"/>
  <c r="K27"/>
  <c r="N27"/>
  <c r="W27"/>
  <c r="H28"/>
  <c r="I28"/>
  <c r="K28"/>
  <c r="N28"/>
  <c r="W28"/>
  <c r="H29"/>
  <c r="I29"/>
  <c r="K29"/>
  <c r="N29"/>
  <c r="W29"/>
  <c r="H30"/>
  <c r="I30"/>
  <c r="K30"/>
  <c r="N30"/>
  <c r="W30"/>
  <c r="H31"/>
  <c r="I31"/>
  <c r="K31"/>
  <c r="N31"/>
  <c r="W31"/>
  <c r="H32"/>
  <c r="I32"/>
  <c r="K32"/>
  <c r="N32"/>
  <c r="W32"/>
  <c r="H33"/>
  <c r="I33"/>
  <c r="K33"/>
  <c r="N33"/>
  <c r="W33"/>
  <c r="H34"/>
  <c r="I34"/>
  <c r="K34"/>
  <c r="N34"/>
  <c r="W34"/>
  <c r="H35"/>
  <c r="I35"/>
  <c r="K35"/>
  <c r="N35"/>
  <c r="W35"/>
  <c r="H36"/>
  <c r="I36"/>
  <c r="K36"/>
  <c r="N36"/>
  <c r="W36"/>
  <c r="H37"/>
  <c r="I37"/>
  <c r="K37"/>
  <c r="N37"/>
  <c r="W37"/>
  <c r="H38"/>
  <c r="I38"/>
  <c r="K38"/>
  <c r="N38"/>
  <c r="W38"/>
  <c r="H39"/>
  <c r="I39"/>
  <c r="K39"/>
  <c r="N39"/>
  <c r="W39"/>
  <c r="H40"/>
  <c r="I40"/>
  <c r="K40"/>
  <c r="N40"/>
  <c r="W40"/>
  <c r="H41"/>
  <c r="I41"/>
  <c r="K41"/>
  <c r="N41"/>
  <c r="W41"/>
  <c r="H42"/>
  <c r="I42"/>
  <c r="K42"/>
  <c r="N42"/>
  <c r="W42"/>
  <c r="H43"/>
  <c r="I43"/>
  <c r="K43"/>
  <c r="N43"/>
  <c r="W43"/>
  <c r="H44"/>
  <c r="I44"/>
  <c r="K44"/>
  <c r="N44"/>
  <c r="W44"/>
  <c r="H45"/>
  <c r="I45"/>
  <c r="K45"/>
  <c r="N45"/>
  <c r="W45"/>
  <c r="H46"/>
  <c r="I46"/>
  <c r="K46"/>
  <c r="N46"/>
  <c r="W46"/>
  <c r="H47"/>
  <c r="I47"/>
  <c r="K47"/>
  <c r="N47"/>
  <c r="W47"/>
  <c r="H48"/>
  <c r="I48"/>
  <c r="K48"/>
  <c r="N48"/>
  <c r="W48"/>
  <c r="H49"/>
  <c r="I49"/>
  <c r="K49"/>
  <c r="N49"/>
  <c r="W49"/>
  <c r="H50"/>
  <c r="I50"/>
  <c r="K50"/>
  <c r="N50"/>
  <c r="W50"/>
  <c r="H51"/>
  <c r="I51"/>
  <c r="K51"/>
  <c r="N51"/>
  <c r="W51"/>
  <c r="H52"/>
  <c r="I52"/>
  <c r="K52"/>
  <c r="N52"/>
  <c r="W52"/>
  <c r="H53"/>
  <c r="I53"/>
  <c r="K53"/>
  <c r="N53"/>
  <c r="W53"/>
  <c r="H54"/>
  <c r="I54"/>
  <c r="K54"/>
  <c r="N54"/>
  <c r="W54"/>
  <c r="H55"/>
  <c r="I55"/>
  <c r="K55"/>
  <c r="N55"/>
  <c r="W55"/>
  <c r="H56"/>
  <c r="I56"/>
  <c r="K56"/>
  <c r="N56"/>
  <c r="W56"/>
  <c r="H57"/>
  <c r="I57"/>
  <c r="K57"/>
  <c r="N57"/>
  <c r="W57"/>
  <c r="H58"/>
  <c r="I58"/>
  <c r="K58"/>
  <c r="N58"/>
  <c r="W58"/>
  <c r="H59"/>
  <c r="I59"/>
  <c r="K59"/>
  <c r="N59"/>
  <c r="W59"/>
  <c r="H60"/>
  <c r="I60"/>
  <c r="K60"/>
  <c r="N60"/>
  <c r="W60"/>
  <c r="H61"/>
  <c r="I61"/>
  <c r="K61"/>
  <c r="N61"/>
  <c r="W61"/>
  <c r="H62"/>
  <c r="I62"/>
  <c r="K62"/>
  <c r="N62"/>
  <c r="W62"/>
  <c r="H63"/>
  <c r="I63"/>
  <c r="K63"/>
  <c r="N63"/>
  <c r="W63"/>
  <c r="H64"/>
  <c r="I64"/>
  <c r="K64"/>
  <c r="N64"/>
  <c r="W64"/>
  <c r="H65"/>
  <c r="I65"/>
  <c r="K65"/>
  <c r="N65"/>
  <c r="W65"/>
  <c r="H66"/>
  <c r="I66"/>
  <c r="K66"/>
  <c r="N66"/>
  <c r="W66"/>
  <c r="H67"/>
  <c r="I67"/>
  <c r="K67"/>
  <c r="N67"/>
  <c r="W67"/>
  <c r="H68"/>
  <c r="I68"/>
  <c r="K68"/>
  <c r="N68"/>
  <c r="W68"/>
  <c r="H69"/>
  <c r="I69"/>
  <c r="K69"/>
  <c r="N69"/>
  <c r="W69"/>
  <c r="H70"/>
  <c r="I70"/>
  <c r="K70"/>
  <c r="N70"/>
  <c r="W70"/>
  <c r="H71"/>
  <c r="I71"/>
  <c r="K71"/>
  <c r="N71"/>
  <c r="W71"/>
  <c r="H72"/>
  <c r="I72"/>
  <c r="K72"/>
  <c r="N72"/>
  <c r="W72"/>
  <c r="H73"/>
  <c r="I73"/>
  <c r="K73"/>
  <c r="N73"/>
  <c r="W73"/>
  <c r="H74"/>
  <c r="I74"/>
  <c r="K74"/>
  <c r="N74"/>
  <c r="W74"/>
  <c r="H75"/>
  <c r="I75"/>
  <c r="K75"/>
  <c r="N75"/>
  <c r="W75"/>
  <c r="H76"/>
  <c r="I76"/>
  <c r="K76"/>
  <c r="N76"/>
  <c r="W76"/>
  <c r="H77"/>
  <c r="I77"/>
  <c r="K77"/>
  <c r="N77"/>
  <c r="W77"/>
  <c r="H78"/>
  <c r="I78"/>
  <c r="K78"/>
  <c r="N78"/>
  <c r="W78"/>
  <c r="H79"/>
  <c r="I79"/>
  <c r="K79"/>
  <c r="N79"/>
  <c r="W79"/>
  <c r="H80"/>
  <c r="I80"/>
  <c r="K80"/>
  <c r="N80"/>
  <c r="W80"/>
  <c r="H81"/>
  <c r="I81"/>
  <c r="K81"/>
  <c r="N81"/>
  <c r="W81"/>
  <c r="H82"/>
  <c r="I82"/>
  <c r="K82"/>
  <c r="N82"/>
  <c r="W82"/>
  <c r="H83"/>
  <c r="I83"/>
  <c r="K83"/>
  <c r="N83"/>
  <c r="W83"/>
  <c r="H84"/>
  <c r="I84"/>
  <c r="K84"/>
  <c r="N84"/>
  <c r="W84"/>
  <c r="H85"/>
  <c r="I85"/>
  <c r="K85"/>
  <c r="N85"/>
  <c r="W85"/>
  <c r="H86"/>
  <c r="I86"/>
  <c r="K86"/>
  <c r="N86"/>
  <c r="W86"/>
  <c r="H87"/>
  <c r="I87"/>
  <c r="K87"/>
  <c r="N87"/>
  <c r="W87"/>
  <c r="H88"/>
  <c r="I88"/>
  <c r="K88"/>
  <c r="N88"/>
  <c r="W88"/>
  <c r="H89"/>
  <c r="I89"/>
  <c r="K89"/>
  <c r="N89"/>
  <c r="W89"/>
  <c r="H90"/>
  <c r="I90"/>
  <c r="K90"/>
  <c r="N90"/>
  <c r="W90"/>
  <c r="H91"/>
  <c r="I91"/>
  <c r="K91"/>
  <c r="N91"/>
  <c r="W91"/>
  <c r="H92"/>
  <c r="I92"/>
  <c r="K92"/>
  <c r="N92"/>
  <c r="W92"/>
  <c r="H93"/>
  <c r="I93"/>
  <c r="K93"/>
  <c r="N93"/>
  <c r="W93"/>
  <c r="H94"/>
  <c r="I94"/>
  <c r="K94"/>
  <c r="N94"/>
  <c r="W94"/>
  <c r="H95"/>
  <c r="I95"/>
  <c r="K95"/>
  <c r="N95"/>
  <c r="W95"/>
  <c r="H96"/>
  <c r="I96"/>
  <c r="K96"/>
  <c r="N96"/>
  <c r="W96"/>
  <c r="H97"/>
  <c r="I97"/>
  <c r="K97"/>
  <c r="N97"/>
  <c r="W97"/>
  <c r="H98"/>
  <c r="I98"/>
  <c r="K98"/>
  <c r="N98"/>
  <c r="W98"/>
  <c r="H99"/>
  <c r="I99"/>
  <c r="K99"/>
  <c r="N99"/>
  <c r="W99"/>
  <c r="H100"/>
  <c r="I100"/>
  <c r="K100"/>
  <c r="N100"/>
  <c r="W100"/>
  <c r="H101"/>
  <c r="I101"/>
  <c r="K101"/>
  <c r="N101"/>
  <c r="W101"/>
  <c r="H102"/>
  <c r="I102"/>
  <c r="K102"/>
  <c r="N102"/>
  <c r="W102"/>
  <c r="H103"/>
  <c r="I103"/>
  <c r="K103"/>
  <c r="N103"/>
  <c r="W103"/>
  <c r="H104"/>
  <c r="I104"/>
  <c r="K104"/>
  <c r="N104"/>
  <c r="W104"/>
  <c r="H105"/>
  <c r="I105"/>
  <c r="K105"/>
  <c r="N105"/>
  <c r="W105"/>
  <c r="H106"/>
  <c r="I106"/>
  <c r="K106"/>
  <c r="N106"/>
  <c r="W106"/>
  <c r="H107"/>
  <c r="I107"/>
  <c r="K107"/>
  <c r="N107"/>
  <c r="W107"/>
  <c r="H108"/>
  <c r="I108"/>
  <c r="K108"/>
  <c r="N108"/>
  <c r="W108"/>
  <c r="H109"/>
  <c r="I109"/>
  <c r="K109"/>
  <c r="N109"/>
  <c r="W109"/>
  <c r="H110"/>
  <c r="I110"/>
  <c r="K110"/>
  <c r="N110"/>
  <c r="W110"/>
  <c r="H111"/>
  <c r="I111"/>
  <c r="K111"/>
  <c r="N111"/>
  <c r="W111"/>
  <c r="H112"/>
  <c r="I112"/>
  <c r="K112"/>
  <c r="N112"/>
  <c r="W112"/>
  <c r="H113"/>
  <c r="I113"/>
  <c r="K113"/>
  <c r="N113"/>
  <c r="W113"/>
  <c r="H114"/>
  <c r="I114"/>
  <c r="K114"/>
  <c r="N114"/>
  <c r="W114"/>
  <c r="H115"/>
  <c r="I115"/>
  <c r="K115"/>
  <c r="N115"/>
  <c r="W115"/>
  <c r="H116"/>
  <c r="I116"/>
  <c r="K116"/>
  <c r="N116"/>
  <c r="W116"/>
  <c r="H117"/>
  <c r="I117"/>
  <c r="K117"/>
  <c r="N117"/>
  <c r="W117"/>
  <c r="H118"/>
  <c r="I118"/>
  <c r="K118"/>
  <c r="N118"/>
  <c r="W118"/>
  <c r="H119"/>
  <c r="I119"/>
  <c r="K119"/>
  <c r="N119"/>
  <c r="W119"/>
  <c r="H120"/>
  <c r="I120"/>
  <c r="K120"/>
  <c r="N120"/>
  <c r="W120"/>
  <c r="H121"/>
  <c r="I121"/>
  <c r="K121"/>
  <c r="N121"/>
  <c r="W121"/>
  <c r="H122"/>
  <c r="I122"/>
  <c r="K122"/>
  <c r="N122"/>
  <c r="W122"/>
  <c r="H123"/>
  <c r="I123"/>
  <c r="K123"/>
  <c r="N123"/>
  <c r="W123"/>
  <c r="H124"/>
  <c r="I124"/>
  <c r="K124"/>
  <c r="N124"/>
  <c r="W124"/>
  <c r="H125"/>
  <c r="I125"/>
  <c r="K125"/>
  <c r="N125"/>
  <c r="W125"/>
  <c r="H126"/>
  <c r="I126"/>
  <c r="K126"/>
  <c r="N126"/>
  <c r="W126"/>
  <c r="H127"/>
  <c r="I127"/>
  <c r="K127"/>
  <c r="N127"/>
  <c r="W127"/>
  <c r="H128"/>
  <c r="I128"/>
  <c r="K128"/>
  <c r="N128"/>
  <c r="W128"/>
  <c r="H129"/>
  <c r="I129"/>
  <c r="K129"/>
  <c r="N129"/>
  <c r="W129"/>
  <c r="H130"/>
  <c r="I130"/>
  <c r="K130"/>
  <c r="N130"/>
  <c r="W130"/>
  <c r="H131"/>
  <c r="I131"/>
  <c r="K131"/>
  <c r="N131"/>
  <c r="W131"/>
  <c r="H132"/>
  <c r="I132"/>
  <c r="K132"/>
  <c r="N132"/>
  <c r="W132"/>
  <c r="H133"/>
  <c r="I133"/>
  <c r="K133"/>
  <c r="N133"/>
  <c r="W133"/>
  <c r="H134"/>
  <c r="I134"/>
  <c r="K134"/>
  <c r="N134"/>
  <c r="W134"/>
  <c r="H135"/>
  <c r="I135"/>
  <c r="K135"/>
  <c r="N135"/>
  <c r="W135"/>
  <c r="H136"/>
  <c r="I136"/>
  <c r="K136"/>
  <c r="N136"/>
  <c r="W136"/>
  <c r="H137"/>
  <c r="I137"/>
  <c r="K137"/>
  <c r="N137"/>
  <c r="W137"/>
  <c r="H138"/>
  <c r="I138"/>
  <c r="K138"/>
  <c r="N138"/>
  <c r="W138"/>
  <c r="H139"/>
  <c r="I139"/>
  <c r="K139"/>
  <c r="N139"/>
  <c r="W139"/>
  <c r="H140"/>
  <c r="I140"/>
  <c r="K140"/>
  <c r="N140"/>
  <c r="W140"/>
  <c r="H141"/>
  <c r="I141"/>
  <c r="K141"/>
  <c r="N141"/>
  <c r="W141"/>
  <c r="H142"/>
  <c r="I142"/>
  <c r="K142"/>
  <c r="N142"/>
  <c r="W142"/>
  <c r="H143"/>
  <c r="I143"/>
  <c r="K143"/>
  <c r="N143"/>
  <c r="W143"/>
  <c r="H144"/>
  <c r="I144"/>
  <c r="K144"/>
  <c r="N144"/>
  <c r="W144"/>
  <c r="H145"/>
  <c r="I145"/>
  <c r="K145"/>
  <c r="N145"/>
  <c r="W145"/>
  <c r="H146"/>
  <c r="I146"/>
  <c r="K146"/>
  <c r="N146"/>
  <c r="W146"/>
  <c r="H147"/>
  <c r="I147"/>
  <c r="K147"/>
  <c r="N147"/>
  <c r="W147"/>
  <c r="H148"/>
  <c r="I148"/>
  <c r="K148"/>
  <c r="N148"/>
  <c r="W148"/>
  <c r="H149"/>
  <c r="I149"/>
  <c r="K149"/>
  <c r="N149"/>
  <c r="W149"/>
  <c r="H150"/>
  <c r="I150"/>
  <c r="K150"/>
  <c r="N150"/>
  <c r="W150"/>
  <c r="H151"/>
  <c r="I151"/>
  <c r="K151"/>
  <c r="N151"/>
  <c r="W151"/>
  <c r="H152"/>
  <c r="I152"/>
  <c r="K152"/>
  <c r="N152"/>
  <c r="W152"/>
  <c r="H153"/>
  <c r="I153"/>
  <c r="K153"/>
  <c r="N153"/>
  <c r="W153"/>
  <c r="H154"/>
  <c r="I154"/>
  <c r="K154"/>
  <c r="N154"/>
  <c r="W154"/>
  <c r="H155"/>
  <c r="I155"/>
  <c r="K155"/>
  <c r="N155"/>
  <c r="W155"/>
  <c r="H156"/>
  <c r="I156"/>
  <c r="K156"/>
  <c r="N156"/>
  <c r="W156"/>
  <c r="H157"/>
  <c r="I157"/>
  <c r="K157"/>
  <c r="N157"/>
  <c r="W157"/>
  <c r="H158"/>
  <c r="I158"/>
  <c r="K158"/>
  <c r="N158"/>
  <c r="W158"/>
  <c r="H159"/>
  <c r="I159"/>
  <c r="K159"/>
  <c r="N159"/>
  <c r="W159"/>
  <c r="H160"/>
  <c r="I160"/>
  <c r="K160"/>
  <c r="N160"/>
  <c r="W160"/>
  <c r="H161"/>
  <c r="I161"/>
  <c r="K161"/>
  <c r="N161"/>
  <c r="W161"/>
  <c r="H162"/>
  <c r="I162"/>
  <c r="K162"/>
  <c r="N162"/>
  <c r="W162"/>
  <c r="H163"/>
  <c r="I163"/>
  <c r="K163"/>
  <c r="N163"/>
  <c r="W163"/>
  <c r="H164"/>
  <c r="I164"/>
  <c r="K164"/>
  <c r="N164"/>
  <c r="W164"/>
  <c r="H165"/>
  <c r="I165"/>
  <c r="K165"/>
  <c r="N165"/>
  <c r="W165"/>
  <c r="H166"/>
  <c r="I166"/>
  <c r="K166"/>
  <c r="N166"/>
  <c r="W166"/>
  <c r="H167"/>
  <c r="I167"/>
  <c r="K167"/>
  <c r="N167"/>
  <c r="W167"/>
  <c r="H168"/>
  <c r="I168"/>
  <c r="K168"/>
  <c r="N168"/>
  <c r="W168"/>
  <c r="H169"/>
  <c r="I169"/>
  <c r="K169"/>
  <c r="N169"/>
  <c r="W169"/>
  <c r="H170"/>
  <c r="I170"/>
  <c r="K170"/>
  <c r="N170"/>
  <c r="W170"/>
  <c r="H171"/>
  <c r="I171"/>
  <c r="K171"/>
  <c r="N171"/>
  <c r="W171"/>
  <c r="H172"/>
  <c r="I172"/>
  <c r="K172"/>
  <c r="N172"/>
  <c r="W172"/>
  <c r="H173"/>
  <c r="I173"/>
  <c r="K173"/>
  <c r="N173"/>
  <c r="W173"/>
  <c r="H174"/>
  <c r="I174"/>
  <c r="K174"/>
  <c r="N174"/>
  <c r="W174"/>
  <c r="H175"/>
  <c r="I175"/>
  <c r="K175"/>
  <c r="N175"/>
  <c r="W175"/>
  <c r="H176"/>
  <c r="I176"/>
  <c r="K176"/>
  <c r="N176"/>
  <c r="W176"/>
  <c r="H177"/>
  <c r="I177"/>
  <c r="K177"/>
  <c r="N177"/>
  <c r="W177"/>
  <c r="H178"/>
  <c r="I178"/>
  <c r="K178"/>
  <c r="N178"/>
  <c r="W178"/>
  <c r="H179"/>
  <c r="I179"/>
  <c r="K179"/>
  <c r="N179"/>
  <c r="W179"/>
  <c r="H180"/>
  <c r="I180"/>
  <c r="K180"/>
  <c r="N180"/>
  <c r="W180"/>
  <c r="H181"/>
  <c r="I181"/>
  <c r="K181"/>
  <c r="N181"/>
  <c r="W181"/>
  <c r="H182"/>
  <c r="I182"/>
  <c r="K182"/>
  <c r="N182"/>
  <c r="W182"/>
  <c r="H183"/>
  <c r="I183"/>
  <c r="K183"/>
  <c r="N183"/>
  <c r="W183"/>
  <c r="H184"/>
  <c r="I184"/>
  <c r="K184"/>
  <c r="N184"/>
  <c r="W184"/>
  <c r="H185"/>
  <c r="I185"/>
  <c r="K185"/>
  <c r="N185"/>
  <c r="W185"/>
  <c r="H186"/>
  <c r="I186"/>
  <c r="K186"/>
  <c r="N186"/>
  <c r="W186"/>
  <c r="H187"/>
  <c r="I187"/>
  <c r="K187"/>
  <c r="N187"/>
  <c r="W187"/>
  <c r="H188"/>
  <c r="I188"/>
  <c r="K188"/>
  <c r="N188"/>
  <c r="W188"/>
  <c r="H189"/>
  <c r="I189"/>
  <c r="K189"/>
  <c r="N189"/>
  <c r="W189"/>
  <c r="H190"/>
  <c r="I190"/>
  <c r="K190"/>
  <c r="N190"/>
  <c r="W190"/>
  <c r="H191"/>
  <c r="I191"/>
  <c r="K191"/>
  <c r="N191"/>
  <c r="W191"/>
  <c r="H192"/>
  <c r="I192"/>
  <c r="K192"/>
  <c r="N192"/>
  <c r="W192"/>
  <c r="H193"/>
  <c r="I193"/>
  <c r="K193"/>
  <c r="N193"/>
  <c r="W193"/>
  <c r="H194"/>
  <c r="I194"/>
  <c r="K194"/>
  <c r="N194"/>
  <c r="W194"/>
  <c r="H195"/>
  <c r="I195"/>
  <c r="K195"/>
  <c r="N195"/>
  <c r="W195"/>
  <c r="H196"/>
  <c r="I196"/>
  <c r="K196"/>
  <c r="N196"/>
  <c r="W196"/>
  <c r="H197"/>
  <c r="I197"/>
  <c r="K197"/>
  <c r="N197"/>
  <c r="W197"/>
  <c r="H198"/>
  <c r="I198"/>
  <c r="K198"/>
  <c r="N198"/>
  <c r="W198"/>
  <c r="H199"/>
  <c r="I199"/>
  <c r="K199"/>
  <c r="N199"/>
  <c r="W199"/>
  <c r="H200"/>
  <c r="I200"/>
  <c r="K200"/>
  <c r="N200"/>
  <c r="W200"/>
  <c r="H201"/>
  <c r="I201"/>
  <c r="K201"/>
  <c r="N201"/>
  <c r="W201"/>
  <c r="H202"/>
  <c r="I202"/>
  <c r="K202"/>
  <c r="N202"/>
  <c r="W202"/>
  <c r="H203"/>
  <c r="I203"/>
  <c r="K203"/>
  <c r="N203"/>
  <c r="W203"/>
  <c r="H204"/>
  <c r="I204"/>
  <c r="K204"/>
  <c r="N204"/>
  <c r="W204"/>
  <c r="H205"/>
  <c r="I205"/>
  <c r="K205"/>
  <c r="N205"/>
  <c r="W205"/>
  <c r="H206"/>
  <c r="I206"/>
  <c r="K206"/>
  <c r="N206"/>
  <c r="W206"/>
  <c r="H207"/>
  <c r="I207"/>
  <c r="K207"/>
  <c r="N207"/>
  <c r="W207"/>
  <c r="H208"/>
  <c r="I208"/>
  <c r="K208"/>
  <c r="N208"/>
  <c r="W208"/>
  <c r="H209"/>
  <c r="I209"/>
  <c r="K209"/>
  <c r="N209"/>
  <c r="W209"/>
  <c r="H210"/>
  <c r="I210"/>
  <c r="K210"/>
  <c r="N210"/>
  <c r="W210"/>
  <c r="H211"/>
  <c r="I211"/>
  <c r="K211"/>
  <c r="N211"/>
  <c r="W211"/>
  <c r="H212"/>
  <c r="I212"/>
  <c r="K212"/>
  <c r="N212"/>
  <c r="W212"/>
  <c r="H213"/>
  <c r="I213"/>
  <c r="K213"/>
  <c r="N213"/>
  <c r="W213"/>
  <c r="H214"/>
  <c r="I214"/>
  <c r="K214"/>
  <c r="N214"/>
  <c r="W214"/>
  <c r="H215"/>
  <c r="I215"/>
  <c r="K215"/>
  <c r="N215"/>
  <c r="W215"/>
  <c r="H216"/>
  <c r="I216"/>
  <c r="K216"/>
  <c r="N216"/>
  <c r="W216"/>
  <c r="H217"/>
  <c r="I217"/>
  <c r="K217"/>
  <c r="N217"/>
  <c r="W217"/>
  <c r="H218"/>
  <c r="I218"/>
  <c r="K218"/>
  <c r="N218"/>
  <c r="W218"/>
  <c r="H219"/>
  <c r="I219"/>
  <c r="K219"/>
  <c r="N219"/>
  <c r="W219"/>
  <c r="H220"/>
  <c r="I220"/>
  <c r="K220"/>
  <c r="N220"/>
  <c r="W220"/>
  <c r="H221"/>
  <c r="I221"/>
  <c r="K221"/>
  <c r="N221"/>
  <c r="W221"/>
  <c r="H222"/>
  <c r="I222"/>
  <c r="K222"/>
  <c r="N222"/>
  <c r="W222"/>
  <c r="H223"/>
  <c r="I223"/>
  <c r="K223"/>
  <c r="N223"/>
  <c r="W223"/>
  <c r="H224"/>
  <c r="I224"/>
  <c r="K224"/>
  <c r="N224"/>
  <c r="W224"/>
  <c r="H225"/>
  <c r="I225"/>
  <c r="K225"/>
  <c r="N225"/>
  <c r="W225"/>
  <c r="H226"/>
  <c r="I226"/>
  <c r="K226"/>
  <c r="N226"/>
  <c r="W226"/>
  <c r="H227"/>
  <c r="I227"/>
  <c r="K227"/>
  <c r="N227"/>
  <c r="W227"/>
  <c r="H228"/>
  <c r="I228"/>
  <c r="K228"/>
  <c r="N228"/>
  <c r="W228"/>
  <c r="H229"/>
  <c r="I229"/>
  <c r="K229"/>
  <c r="N229"/>
  <c r="W229"/>
  <c r="H230"/>
  <c r="I230"/>
  <c r="K230"/>
  <c r="N230"/>
  <c r="W230"/>
  <c r="H231"/>
  <c r="I231"/>
  <c r="K231"/>
  <c r="N231"/>
  <c r="W231"/>
  <c r="H232"/>
  <c r="I232"/>
  <c r="K232"/>
  <c r="N232"/>
  <c r="W232"/>
  <c r="H233"/>
  <c r="I233"/>
  <c r="K233"/>
  <c r="N233"/>
  <c r="W233"/>
  <c r="H234"/>
  <c r="I234"/>
  <c r="K234"/>
  <c r="N234"/>
  <c r="W234"/>
  <c r="H235"/>
  <c r="I235"/>
  <c r="K235"/>
  <c r="N235"/>
  <c r="W235"/>
  <c r="H236"/>
  <c r="I236"/>
  <c r="K236"/>
  <c r="N236"/>
  <c r="W236"/>
  <c r="H237"/>
  <c r="I237"/>
  <c r="K237"/>
  <c r="N237"/>
  <c r="W237"/>
  <c r="H238"/>
  <c r="I238"/>
  <c r="K238"/>
  <c r="N238"/>
  <c r="W238"/>
  <c r="H239"/>
  <c r="I239"/>
  <c r="K239"/>
  <c r="N239"/>
  <c r="W239"/>
  <c r="H240"/>
  <c r="I240"/>
  <c r="K240"/>
  <c r="N240"/>
  <c r="W240"/>
  <c r="H241"/>
  <c r="I241"/>
  <c r="K241"/>
  <c r="N241"/>
  <c r="W241"/>
  <c r="H242"/>
  <c r="I242"/>
  <c r="K242"/>
  <c r="N242"/>
  <c r="W242"/>
  <c r="H243"/>
  <c r="I243"/>
  <c r="K243"/>
  <c r="N243"/>
  <c r="W243"/>
  <c r="H244"/>
  <c r="I244"/>
  <c r="K244"/>
  <c r="N244"/>
  <c r="W244"/>
  <c r="H245"/>
  <c r="I245"/>
  <c r="K245"/>
  <c r="N245"/>
  <c r="W245"/>
  <c r="H246"/>
  <c r="I246"/>
  <c r="K246"/>
  <c r="N246"/>
  <c r="W246"/>
  <c r="H247"/>
  <c r="I247"/>
  <c r="K247"/>
  <c r="N247"/>
  <c r="W247"/>
  <c r="H248"/>
  <c r="I248"/>
  <c r="K248"/>
  <c r="N248"/>
  <c r="W248"/>
  <c r="H249"/>
  <c r="I249"/>
  <c r="K249"/>
  <c r="N249"/>
  <c r="W249"/>
  <c r="H250"/>
  <c r="I250"/>
  <c r="K250"/>
  <c r="N250"/>
  <c r="W250"/>
  <c r="H251"/>
  <c r="I251"/>
  <c r="K251"/>
  <c r="N251"/>
  <c r="W251"/>
  <c r="H252"/>
  <c r="I252"/>
  <c r="K252"/>
  <c r="N252"/>
  <c r="W252"/>
  <c r="H253"/>
  <c r="I253"/>
  <c r="K253"/>
  <c r="N253"/>
  <c r="W253"/>
  <c r="H254"/>
  <c r="I254"/>
  <c r="K254"/>
  <c r="N254"/>
  <c r="W254"/>
  <c r="H255"/>
  <c r="I255"/>
  <c r="K255"/>
  <c r="N255"/>
  <c r="W255"/>
  <c r="H256"/>
  <c r="I256"/>
  <c r="K256"/>
  <c r="N256"/>
  <c r="W256"/>
  <c r="H257"/>
  <c r="I257"/>
  <c r="K257"/>
  <c r="N257"/>
  <c r="W257"/>
  <c r="H258"/>
  <c r="I258"/>
  <c r="K258"/>
  <c r="N258"/>
  <c r="W258"/>
  <c r="H259"/>
  <c r="I259"/>
  <c r="K259"/>
  <c r="N259"/>
  <c r="W259"/>
  <c r="H260"/>
  <c r="I260"/>
  <c r="K260"/>
  <c r="N260"/>
  <c r="W260"/>
  <c r="H261"/>
  <c r="I261"/>
  <c r="K261"/>
  <c r="N261"/>
  <c r="W261"/>
  <c r="H262"/>
  <c r="I262"/>
  <c r="K262"/>
  <c r="N262"/>
  <c r="W262"/>
  <c r="H263"/>
  <c r="I263"/>
  <c r="K263"/>
  <c r="N263"/>
  <c r="W263"/>
  <c r="H264"/>
  <c r="I264"/>
  <c r="K264"/>
  <c r="N264"/>
  <c r="W264"/>
  <c r="H265"/>
  <c r="I265"/>
  <c r="K265"/>
  <c r="N265"/>
  <c r="W265"/>
  <c r="H266"/>
  <c r="I266"/>
  <c r="K266"/>
  <c r="N266"/>
  <c r="W266"/>
  <c r="H267"/>
  <c r="I267"/>
  <c r="K267"/>
  <c r="N267"/>
  <c r="W267"/>
  <c r="H268"/>
  <c r="I268"/>
  <c r="K268"/>
  <c r="N268"/>
  <c r="W268"/>
  <c r="H269"/>
  <c r="I269"/>
  <c r="K269"/>
  <c r="N269"/>
  <c r="W269"/>
  <c r="H270"/>
  <c r="I270"/>
  <c r="K270"/>
  <c r="N270"/>
  <c r="W270"/>
  <c r="H271"/>
  <c r="I271"/>
  <c r="K271"/>
  <c r="N271"/>
  <c r="W271"/>
  <c r="H272"/>
  <c r="I272"/>
  <c r="K272"/>
  <c r="N272"/>
  <c r="W272"/>
  <c r="H273"/>
  <c r="I273"/>
  <c r="K273"/>
  <c r="N273"/>
  <c r="W273"/>
  <c r="H274"/>
  <c r="I274"/>
  <c r="K274"/>
  <c r="N274"/>
  <c r="W274"/>
  <c r="H275"/>
  <c r="I275"/>
  <c r="K275"/>
  <c r="N275"/>
  <c r="W275"/>
  <c r="H276"/>
  <c r="I276"/>
  <c r="K276"/>
  <c r="N276"/>
  <c r="W276"/>
  <c r="H277"/>
  <c r="I277"/>
  <c r="K277"/>
  <c r="N277"/>
  <c r="W277"/>
  <c r="H278"/>
  <c r="I278"/>
  <c r="K278"/>
  <c r="N278"/>
  <c r="W278"/>
  <c r="H279"/>
  <c r="I279"/>
  <c r="K279"/>
  <c r="N279"/>
  <c r="W279"/>
  <c r="H280"/>
  <c r="I280"/>
  <c r="K280"/>
  <c r="N280"/>
  <c r="W280"/>
  <c r="H281"/>
  <c r="I281"/>
  <c r="K281"/>
  <c r="N281"/>
  <c r="W281"/>
  <c r="H282"/>
  <c r="I282"/>
  <c r="K282"/>
  <c r="N282"/>
  <c r="W282"/>
  <c r="H283"/>
  <c r="I283"/>
  <c r="K283"/>
  <c r="N283"/>
  <c r="W283"/>
  <c r="H284"/>
  <c r="I284"/>
  <c r="K284"/>
  <c r="N284"/>
  <c r="W284"/>
  <c r="H285"/>
  <c r="I285"/>
  <c r="K285"/>
  <c r="N285"/>
  <c r="W285"/>
  <c r="H286"/>
  <c r="I286"/>
  <c r="K286"/>
  <c r="N286"/>
  <c r="W286"/>
  <c r="H287"/>
  <c r="I287"/>
  <c r="K287"/>
  <c r="N287"/>
  <c r="W287"/>
  <c r="H288"/>
  <c r="I288"/>
  <c r="K288"/>
  <c r="N288"/>
  <c r="W288"/>
  <c r="H289"/>
  <c r="I289"/>
  <c r="K289"/>
  <c r="N289"/>
  <c r="W289"/>
  <c r="H290"/>
  <c r="I290"/>
  <c r="K290"/>
  <c r="N290"/>
  <c r="W290"/>
  <c r="H291"/>
  <c r="I291"/>
  <c r="K291"/>
  <c r="N291"/>
  <c r="W291"/>
  <c r="H292"/>
  <c r="I292"/>
  <c r="K292"/>
  <c r="N292"/>
  <c r="W292"/>
  <c r="H293"/>
  <c r="I293"/>
  <c r="K293"/>
  <c r="N293"/>
  <c r="W293"/>
  <c r="H294"/>
  <c r="I294"/>
  <c r="K294"/>
  <c r="N294"/>
  <c r="W294"/>
  <c r="H295"/>
  <c r="I295"/>
  <c r="K295"/>
  <c r="N295"/>
  <c r="W295"/>
  <c r="H296"/>
  <c r="I296"/>
  <c r="K296"/>
  <c r="N296"/>
  <c r="W296"/>
  <c r="H297"/>
  <c r="I297"/>
  <c r="K297"/>
  <c r="N297"/>
  <c r="W297"/>
  <c r="H298"/>
  <c r="I298"/>
  <c r="K298"/>
  <c r="N298"/>
  <c r="W298"/>
  <c r="H299"/>
  <c r="I299"/>
  <c r="K299"/>
  <c r="N299"/>
  <c r="W299"/>
  <c r="H300"/>
  <c r="I300"/>
  <c r="K300"/>
  <c r="N300"/>
  <c r="W300"/>
  <c r="H301"/>
  <c r="I301"/>
  <c r="K301"/>
  <c r="N301"/>
  <c r="W301"/>
  <c r="H302"/>
  <c r="I302"/>
  <c r="K302"/>
  <c r="N302"/>
  <c r="W302"/>
  <c r="H303"/>
  <c r="I303"/>
  <c r="K303"/>
  <c r="N303"/>
  <c r="W303"/>
  <c r="H304"/>
  <c r="I304"/>
  <c r="K304"/>
  <c r="N304"/>
  <c r="W304"/>
  <c r="H305"/>
  <c r="I305"/>
  <c r="K305"/>
  <c r="N305"/>
  <c r="W305"/>
  <c r="H306"/>
  <c r="I306"/>
  <c r="K306"/>
  <c r="N306"/>
  <c r="W306"/>
  <c r="H307"/>
  <c r="I307"/>
  <c r="K307"/>
  <c r="N307"/>
  <c r="W307"/>
  <c r="H308"/>
  <c r="I308"/>
  <c r="K308"/>
  <c r="N308"/>
  <c r="W308"/>
  <c r="H309"/>
  <c r="I309"/>
  <c r="K309"/>
  <c r="N309"/>
  <c r="W309"/>
  <c r="H310"/>
  <c r="I310"/>
  <c r="K310"/>
  <c r="N310"/>
  <c r="W310"/>
  <c r="H311"/>
  <c r="I311"/>
  <c r="K311"/>
  <c r="N311"/>
  <c r="W311"/>
  <c r="H312"/>
  <c r="I312"/>
  <c r="K312"/>
  <c r="N312"/>
  <c r="W312"/>
  <c r="H313"/>
  <c r="I313"/>
  <c r="K313"/>
  <c r="N313"/>
  <c r="W313"/>
  <c r="H314"/>
  <c r="I314"/>
  <c r="K314"/>
  <c r="N314"/>
  <c r="W314"/>
  <c r="H315"/>
  <c r="I315"/>
  <c r="K315"/>
  <c r="N315"/>
  <c r="W315"/>
  <c r="H316"/>
  <c r="I316"/>
  <c r="K316"/>
  <c r="N316"/>
  <c r="W316"/>
  <c r="H317"/>
  <c r="I317"/>
  <c r="K317"/>
  <c r="N317"/>
  <c r="W317"/>
  <c r="H318"/>
  <c r="I318"/>
  <c r="K318"/>
  <c r="N318"/>
  <c r="W318"/>
  <c r="H319"/>
  <c r="I319"/>
  <c r="K319"/>
  <c r="N319"/>
  <c r="W319"/>
  <c r="H320"/>
  <c r="I320"/>
  <c r="K320"/>
  <c r="N320"/>
  <c r="W320"/>
  <c r="H321"/>
  <c r="I321"/>
  <c r="K321"/>
  <c r="N321"/>
  <c r="W321"/>
  <c r="H322"/>
  <c r="I322"/>
  <c r="K322"/>
  <c r="N322"/>
  <c r="W322"/>
  <c r="H323"/>
  <c r="I323"/>
  <c r="K323"/>
  <c r="N323"/>
  <c r="W323"/>
  <c r="H324"/>
  <c r="I324"/>
  <c r="K324"/>
  <c r="N324"/>
  <c r="W324"/>
  <c r="H325"/>
  <c r="I325"/>
  <c r="K325"/>
  <c r="N325"/>
  <c r="W325"/>
  <c r="H326"/>
  <c r="I326"/>
  <c r="K326"/>
  <c r="N326"/>
  <c r="W326"/>
  <c r="H327"/>
  <c r="I327"/>
  <c r="K327"/>
  <c r="N327"/>
  <c r="W327"/>
  <c r="H328"/>
  <c r="I328"/>
  <c r="K328"/>
  <c r="N328"/>
  <c r="W328"/>
  <c r="H329"/>
  <c r="I329"/>
  <c r="K329"/>
  <c r="N329"/>
  <c r="W329"/>
  <c r="H330"/>
  <c r="I330"/>
  <c r="K330"/>
  <c r="N330"/>
  <c r="W330"/>
  <c r="H331"/>
  <c r="I331"/>
  <c r="K331"/>
  <c r="N331"/>
  <c r="W331"/>
  <c r="H332"/>
  <c r="I332"/>
  <c r="K332"/>
  <c r="N332"/>
  <c r="W332"/>
  <c r="H333"/>
  <c r="I333"/>
  <c r="K333"/>
  <c r="N333"/>
  <c r="W333"/>
  <c r="H334"/>
  <c r="I334"/>
  <c r="K334"/>
  <c r="N334"/>
  <c r="W334"/>
  <c r="H335"/>
  <c r="I335"/>
  <c r="K335"/>
  <c r="N335"/>
  <c r="W335"/>
  <c r="H336"/>
  <c r="I336"/>
  <c r="K336"/>
  <c r="N336"/>
  <c r="W336"/>
  <c r="H337"/>
  <c r="I337"/>
  <c r="K337"/>
  <c r="N337"/>
  <c r="W337"/>
  <c r="H338"/>
  <c r="I338"/>
  <c r="K338"/>
  <c r="N338"/>
  <c r="W338"/>
  <c r="H339"/>
  <c r="I339"/>
  <c r="K339"/>
  <c r="N339"/>
  <c r="W339"/>
  <c r="H340"/>
  <c r="I340"/>
  <c r="K340"/>
  <c r="N340"/>
  <c r="W340"/>
  <c r="H341"/>
  <c r="I341"/>
  <c r="K341"/>
  <c r="N341"/>
  <c r="W341"/>
  <c r="H342"/>
  <c r="I342"/>
  <c r="K342"/>
  <c r="N342"/>
  <c r="W342"/>
  <c r="H343"/>
  <c r="I343"/>
  <c r="K343"/>
  <c r="N343"/>
  <c r="W343"/>
  <c r="H344"/>
  <c r="I344"/>
  <c r="K344"/>
  <c r="N344"/>
  <c r="W344"/>
  <c r="H345"/>
  <c r="I345"/>
  <c r="K345"/>
  <c r="N345"/>
  <c r="W345"/>
  <c r="H346"/>
  <c r="I346"/>
  <c r="K346"/>
  <c r="N346"/>
  <c r="W346"/>
  <c r="H347"/>
  <c r="I347"/>
  <c r="K347"/>
  <c r="N347"/>
  <c r="W347"/>
  <c r="H348"/>
  <c r="I348"/>
  <c r="K348"/>
  <c r="N348"/>
  <c r="W348"/>
  <c r="H349"/>
  <c r="I349"/>
  <c r="K349"/>
  <c r="N349"/>
  <c r="W349"/>
  <c r="H350"/>
  <c r="I350"/>
  <c r="K350"/>
  <c r="N350"/>
  <c r="W350"/>
  <c r="H351"/>
  <c r="I351"/>
  <c r="K351"/>
  <c r="N351"/>
  <c r="W351"/>
  <c r="H352"/>
  <c r="I352"/>
  <c r="K352"/>
  <c r="N352"/>
  <c r="W352"/>
  <c r="H353"/>
  <c r="I353"/>
  <c r="K353"/>
  <c r="N353"/>
  <c r="W353"/>
  <c r="H354"/>
  <c r="I354"/>
  <c r="K354"/>
  <c r="N354"/>
  <c r="W354"/>
  <c r="H355"/>
  <c r="I355"/>
  <c r="K355"/>
  <c r="N355"/>
  <c r="W355"/>
  <c r="H356"/>
  <c r="I356"/>
  <c r="K356"/>
  <c r="N356"/>
  <c r="W356"/>
  <c r="H357"/>
  <c r="I357"/>
  <c r="K357"/>
  <c r="N357"/>
  <c r="W357"/>
  <c r="H358"/>
  <c r="I358"/>
  <c r="K358"/>
  <c r="N358"/>
  <c r="W358"/>
  <c r="H359"/>
  <c r="I359"/>
  <c r="K359"/>
  <c r="N359"/>
  <c r="W359"/>
  <c r="H360"/>
  <c r="I360"/>
  <c r="K360"/>
  <c r="N360"/>
  <c r="W360"/>
  <c r="H361"/>
  <c r="I361"/>
  <c r="K361"/>
  <c r="N361"/>
  <c r="W361"/>
  <c r="H362"/>
  <c r="I362"/>
  <c r="K362"/>
  <c r="N362"/>
  <c r="W362"/>
  <c r="H363"/>
  <c r="I363"/>
  <c r="K363"/>
  <c r="N363"/>
  <c r="W363"/>
  <c r="H364"/>
  <c r="I364"/>
  <c r="K364"/>
  <c r="N364"/>
  <c r="W364"/>
  <c r="H365"/>
  <c r="I365"/>
  <c r="K365"/>
  <c r="N365"/>
  <c r="W365"/>
  <c r="H366"/>
  <c r="I366"/>
  <c r="K366"/>
  <c r="N366"/>
  <c r="W366"/>
  <c r="H367"/>
  <c r="I367"/>
  <c r="K367"/>
  <c r="N367"/>
  <c r="W367"/>
  <c r="H368"/>
  <c r="I368"/>
  <c r="K368"/>
  <c r="N368"/>
  <c r="W368"/>
  <c r="H369"/>
  <c r="I369"/>
  <c r="K369"/>
  <c r="N369"/>
  <c r="W369"/>
  <c r="H370"/>
  <c r="I370"/>
  <c r="K370"/>
  <c r="N370"/>
  <c r="W370"/>
  <c r="H371"/>
  <c r="I371"/>
  <c r="K371"/>
  <c r="N371"/>
  <c r="W371"/>
  <c r="H372"/>
  <c r="I372"/>
  <c r="K372"/>
  <c r="N372"/>
  <c r="W372"/>
  <c r="H373"/>
  <c r="I373"/>
  <c r="K373"/>
  <c r="N373"/>
  <c r="W373"/>
  <c r="H374"/>
  <c r="I374"/>
  <c r="K374"/>
  <c r="N374"/>
  <c r="W374"/>
  <c r="H375"/>
  <c r="I375"/>
  <c r="K375"/>
  <c r="N375"/>
  <c r="W375"/>
  <c r="H376"/>
  <c r="I376"/>
  <c r="K376"/>
  <c r="N376"/>
  <c r="W376"/>
  <c r="H377"/>
  <c r="I377"/>
  <c r="K377"/>
  <c r="N377"/>
  <c r="W377"/>
  <c r="H378"/>
  <c r="I378"/>
  <c r="K378"/>
  <c r="N378"/>
  <c r="W378"/>
  <c r="H379"/>
  <c r="I379"/>
  <c r="K379"/>
  <c r="N379"/>
  <c r="W379"/>
  <c r="H380"/>
  <c r="I380"/>
  <c r="K380"/>
  <c r="N380"/>
  <c r="W380"/>
  <c r="H381"/>
  <c r="I381"/>
  <c r="K381"/>
  <c r="N381"/>
  <c r="W381"/>
  <c r="H382"/>
  <c r="I382"/>
  <c r="K382"/>
  <c r="N382"/>
  <c r="W382"/>
  <c r="H383"/>
  <c r="I383"/>
  <c r="K383"/>
  <c r="N383"/>
  <c r="W383"/>
  <c r="H384"/>
  <c r="I384"/>
  <c r="K384"/>
  <c r="N384"/>
  <c r="W384"/>
  <c r="H385"/>
  <c r="I385"/>
  <c r="K385"/>
  <c r="N385"/>
  <c r="W385"/>
  <c r="H386"/>
  <c r="I386"/>
  <c r="K386"/>
  <c r="N386"/>
  <c r="W386"/>
  <c r="H387"/>
  <c r="I387"/>
  <c r="K387"/>
  <c r="N387"/>
  <c r="W387"/>
  <c r="H388"/>
  <c r="I388"/>
  <c r="K388"/>
  <c r="N388"/>
  <c r="W388"/>
  <c r="H389"/>
  <c r="I389"/>
  <c r="K389"/>
  <c r="N389"/>
  <c r="W389"/>
  <c r="H390"/>
  <c r="I390"/>
  <c r="K390"/>
  <c r="N390"/>
  <c r="W390"/>
  <c r="H391"/>
  <c r="I391"/>
  <c r="K391"/>
  <c r="N391"/>
  <c r="W391"/>
  <c r="H392"/>
  <c r="I392"/>
  <c r="K392"/>
  <c r="N392"/>
  <c r="W392"/>
  <c r="H393"/>
  <c r="I393"/>
  <c r="K393"/>
  <c r="N393"/>
  <c r="W393"/>
  <c r="H394"/>
  <c r="I394"/>
  <c r="K394"/>
  <c r="N394"/>
  <c r="W394"/>
  <c r="H395"/>
  <c r="I395"/>
  <c r="K395"/>
  <c r="N395"/>
  <c r="W395"/>
  <c r="H396"/>
  <c r="I396"/>
  <c r="K396"/>
  <c r="N396"/>
  <c r="W396"/>
  <c r="H397"/>
  <c r="I397"/>
  <c r="K397"/>
  <c r="N397"/>
  <c r="W397"/>
  <c r="H398"/>
  <c r="I398"/>
  <c r="K398"/>
  <c r="N398"/>
  <c r="W398"/>
  <c r="H399"/>
  <c r="I399"/>
  <c r="K399"/>
  <c r="N399"/>
  <c r="W399"/>
  <c r="H400"/>
  <c r="I400"/>
  <c r="K400"/>
  <c r="N400"/>
  <c r="W400"/>
  <c r="H401"/>
  <c r="I401"/>
  <c r="K401"/>
  <c r="N401"/>
  <c r="W401"/>
  <c r="H402"/>
  <c r="I402"/>
  <c r="K402"/>
  <c r="N402"/>
  <c r="W402"/>
  <c r="H403"/>
  <c r="I403"/>
  <c r="K403"/>
  <c r="N403"/>
  <c r="W403"/>
  <c r="H404"/>
  <c r="I404"/>
  <c r="K404"/>
  <c r="N404"/>
  <c r="W404"/>
  <c r="H405"/>
  <c r="I405"/>
  <c r="K405"/>
  <c r="N405"/>
  <c r="W405"/>
  <c r="H406"/>
  <c r="I406"/>
  <c r="K406"/>
  <c r="N406"/>
  <c r="W406"/>
  <c r="H407"/>
  <c r="I407"/>
  <c r="K407"/>
  <c r="N407"/>
  <c r="W407"/>
  <c r="H408"/>
  <c r="I408"/>
  <c r="K408"/>
  <c r="N408"/>
  <c r="W408"/>
  <c r="H409"/>
  <c r="I409"/>
  <c r="K409"/>
  <c r="N409"/>
  <c r="W409"/>
  <c r="H410"/>
  <c r="I410"/>
  <c r="K410"/>
  <c r="N410"/>
  <c r="W410"/>
  <c r="H411"/>
  <c r="I411"/>
  <c r="K411"/>
  <c r="N411"/>
  <c r="W411"/>
  <c r="H412"/>
  <c r="I412"/>
  <c r="K412"/>
  <c r="N412"/>
  <c r="W412"/>
  <c r="H413"/>
  <c r="I413"/>
  <c r="K413"/>
  <c r="N413"/>
  <c r="W413"/>
  <c r="H414"/>
  <c r="I414"/>
  <c r="K414"/>
  <c r="N414"/>
  <c r="W414"/>
  <c r="H415"/>
  <c r="I415"/>
  <c r="K415"/>
  <c r="N415"/>
  <c r="W415"/>
  <c r="H416"/>
  <c r="I416"/>
  <c r="K416"/>
  <c r="N416"/>
  <c r="W416"/>
  <c r="H417"/>
  <c r="I417"/>
  <c r="K417"/>
  <c r="N417"/>
  <c r="W417"/>
  <c r="H418"/>
  <c r="I418"/>
  <c r="K418"/>
  <c r="N418"/>
  <c r="W418"/>
  <c r="H419"/>
  <c r="I419"/>
  <c r="K419"/>
  <c r="N419"/>
  <c r="W419"/>
  <c r="H420"/>
  <c r="I420"/>
  <c r="K420"/>
  <c r="N420"/>
  <c r="W420"/>
  <c r="H421"/>
  <c r="I421"/>
  <c r="K421"/>
  <c r="N421"/>
  <c r="W421"/>
  <c r="H422"/>
  <c r="I422"/>
  <c r="K422"/>
  <c r="N422"/>
  <c r="W422"/>
  <c r="H423"/>
  <c r="I423"/>
  <c r="K423"/>
  <c r="N423"/>
  <c r="W423"/>
  <c r="H424"/>
  <c r="I424"/>
  <c r="K424"/>
  <c r="N424"/>
  <c r="W424"/>
  <c r="H425"/>
  <c r="I425"/>
  <c r="K425"/>
  <c r="N425"/>
  <c r="W425"/>
  <c r="H426"/>
  <c r="I426"/>
  <c r="K426"/>
  <c r="N426"/>
  <c r="W426"/>
  <c r="H427"/>
  <c r="I427"/>
  <c r="K427"/>
  <c r="N427"/>
  <c r="W427"/>
  <c r="H428"/>
  <c r="I428"/>
  <c r="K428"/>
  <c r="N428"/>
  <c r="W428"/>
  <c r="H429"/>
  <c r="I429"/>
  <c r="K429"/>
  <c r="N429"/>
  <c r="W429"/>
  <c r="H430"/>
  <c r="I430"/>
  <c r="K430"/>
  <c r="N430"/>
  <c r="W430"/>
  <c r="H431"/>
  <c r="I431"/>
  <c r="K431"/>
  <c r="N431"/>
  <c r="W431"/>
  <c r="H432"/>
  <c r="I432"/>
  <c r="K432"/>
  <c r="N432"/>
  <c r="W432"/>
  <c r="H433"/>
  <c r="I433"/>
  <c r="K433"/>
  <c r="N433"/>
  <c r="W433"/>
  <c r="H434"/>
  <c r="I434"/>
  <c r="K434"/>
  <c r="N434"/>
  <c r="W434"/>
  <c r="H435"/>
  <c r="I435"/>
  <c r="K435"/>
  <c r="N435"/>
  <c r="W435"/>
  <c r="H436"/>
  <c r="I436"/>
  <c r="K436"/>
  <c r="N436"/>
  <c r="W436"/>
  <c r="H437"/>
  <c r="I437"/>
  <c r="K437"/>
  <c r="N437"/>
  <c r="W437"/>
  <c r="H438"/>
  <c r="I438"/>
  <c r="K438"/>
  <c r="N438"/>
  <c r="W438"/>
  <c r="H439"/>
  <c r="I439"/>
  <c r="K439"/>
  <c r="N439"/>
  <c r="W439"/>
  <c r="H440"/>
  <c r="I440"/>
  <c r="K440"/>
  <c r="N440"/>
  <c r="W440"/>
  <c r="H441"/>
  <c r="I441"/>
  <c r="K441"/>
  <c r="N441"/>
  <c r="W441"/>
  <c r="H442"/>
  <c r="I442"/>
  <c r="K442"/>
  <c r="N442"/>
  <c r="W442"/>
  <c r="H443"/>
  <c r="I443"/>
  <c r="K443"/>
  <c r="N443"/>
  <c r="W443"/>
  <c r="H444"/>
  <c r="I444"/>
  <c r="K444"/>
  <c r="N444"/>
  <c r="W444"/>
  <c r="H445"/>
  <c r="I445"/>
  <c r="K445"/>
  <c r="N445"/>
  <c r="W445"/>
  <c r="H446"/>
  <c r="I446"/>
  <c r="K446"/>
  <c r="N446"/>
  <c r="W446"/>
  <c r="H447"/>
  <c r="I447"/>
  <c r="K447"/>
  <c r="N447"/>
  <c r="W447"/>
  <c r="H448"/>
  <c r="I448"/>
  <c r="K448"/>
  <c r="N448"/>
  <c r="W448"/>
  <c r="H449"/>
  <c r="I449"/>
  <c r="K449"/>
  <c r="N449"/>
  <c r="W449"/>
  <c r="H450"/>
  <c r="I450"/>
  <c r="K450"/>
  <c r="N450"/>
  <c r="W450"/>
  <c r="H451"/>
  <c r="I451"/>
  <c r="K451"/>
  <c r="N451"/>
  <c r="W451"/>
  <c r="H452"/>
  <c r="I452"/>
  <c r="K452"/>
  <c r="N452"/>
  <c r="W452"/>
  <c r="H453"/>
  <c r="I453"/>
  <c r="K453"/>
  <c r="N453"/>
  <c r="W453"/>
  <c r="H454"/>
  <c r="I454"/>
  <c r="K454"/>
  <c r="N454"/>
  <c r="W454"/>
  <c r="H455"/>
  <c r="I455"/>
  <c r="K455"/>
  <c r="N455"/>
  <c r="W455"/>
  <c r="H456"/>
  <c r="I456"/>
  <c r="K456"/>
  <c r="N456"/>
  <c r="W456"/>
  <c r="H457"/>
  <c r="I457"/>
  <c r="K457"/>
  <c r="N457"/>
  <c r="W457"/>
  <c r="H458"/>
  <c r="I458"/>
  <c r="K458"/>
  <c r="N458"/>
  <c r="W458"/>
  <c r="H459"/>
  <c r="I459"/>
  <c r="K459"/>
  <c r="N459"/>
  <c r="W459"/>
  <c r="H460"/>
  <c r="I460"/>
  <c r="K460"/>
  <c r="N460"/>
  <c r="W460"/>
  <c r="H461"/>
  <c r="I461"/>
  <c r="K461"/>
  <c r="N461"/>
  <c r="W461"/>
  <c r="H462"/>
  <c r="I462"/>
  <c r="K462"/>
  <c r="N462"/>
  <c r="W462"/>
  <c r="H463"/>
  <c r="I463"/>
  <c r="K463"/>
  <c r="N463"/>
  <c r="W463"/>
  <c r="H464"/>
  <c r="I464"/>
  <c r="K464"/>
  <c r="N464"/>
  <c r="W464"/>
  <c r="H465"/>
  <c r="I465"/>
  <c r="K465"/>
  <c r="N465"/>
  <c r="W465"/>
  <c r="H466"/>
  <c r="I466"/>
  <c r="K466"/>
  <c r="N466"/>
  <c r="W466"/>
  <c r="H467"/>
  <c r="I467"/>
  <c r="K467"/>
  <c r="N467"/>
  <c r="W467"/>
  <c r="H468"/>
  <c r="I468"/>
  <c r="K468"/>
  <c r="N468"/>
  <c r="W468"/>
  <c r="H469"/>
  <c r="I469"/>
  <c r="K469"/>
  <c r="N469"/>
  <c r="W469"/>
  <c r="H470"/>
  <c r="I470"/>
  <c r="K470"/>
  <c r="N470"/>
  <c r="W470"/>
  <c r="H471"/>
  <c r="I471"/>
  <c r="K471"/>
  <c r="N471"/>
  <c r="W471"/>
  <c r="H472"/>
  <c r="I472"/>
  <c r="K472"/>
  <c r="N472"/>
  <c r="W472"/>
  <c r="H473"/>
  <c r="I473"/>
  <c r="K473"/>
  <c r="N473"/>
  <c r="W473"/>
  <c r="H474"/>
  <c r="I474"/>
  <c r="K474"/>
  <c r="N474"/>
  <c r="W474"/>
  <c r="H475"/>
  <c r="I475"/>
  <c r="K475"/>
  <c r="N475"/>
  <c r="W475"/>
  <c r="H476"/>
  <c r="I476"/>
  <c r="K476"/>
  <c r="N476"/>
  <c r="W476"/>
  <c r="H477"/>
  <c r="I477"/>
  <c r="K477"/>
  <c r="N477"/>
  <c r="W477"/>
  <c r="H478"/>
  <c r="I478"/>
  <c r="K478"/>
  <c r="N478"/>
  <c r="W478"/>
  <c r="H479"/>
  <c r="I479"/>
  <c r="K479"/>
  <c r="N479"/>
  <c r="W479"/>
  <c r="H480"/>
  <c r="I480"/>
  <c r="K480"/>
  <c r="N480"/>
  <c r="W480"/>
  <c r="H481"/>
  <c r="I481"/>
  <c r="K481"/>
  <c r="N481"/>
  <c r="W481"/>
  <c r="H482"/>
  <c r="I482"/>
  <c r="K482"/>
  <c r="N482"/>
  <c r="W482"/>
  <c r="H483"/>
  <c r="I483"/>
  <c r="K483"/>
  <c r="N483"/>
  <c r="W483"/>
  <c r="H484"/>
  <c r="I484"/>
  <c r="K484"/>
  <c r="N484"/>
  <c r="W484"/>
  <c r="H485"/>
  <c r="I485"/>
  <c r="K485"/>
  <c r="N485"/>
  <c r="W485"/>
  <c r="H486"/>
  <c r="I486"/>
  <c r="K486"/>
  <c r="N486"/>
  <c r="W486"/>
  <c r="H487"/>
  <c r="I487"/>
  <c r="K487"/>
  <c r="N487"/>
  <c r="W487"/>
  <c r="H488"/>
  <c r="I488"/>
  <c r="K488"/>
  <c r="N488"/>
  <c r="W488"/>
  <c r="H489"/>
  <c r="I489"/>
  <c r="K489"/>
  <c r="N489"/>
  <c r="W489"/>
  <c r="H490"/>
  <c r="I490"/>
  <c r="K490"/>
  <c r="N490"/>
  <c r="W490"/>
  <c r="H491"/>
  <c r="I491"/>
  <c r="K491"/>
  <c r="N491"/>
  <c r="W491"/>
  <c r="H492"/>
  <c r="I492"/>
  <c r="K492"/>
  <c r="N492"/>
  <c r="W492"/>
  <c r="H493"/>
  <c r="I493"/>
  <c r="K493"/>
  <c r="N493"/>
  <c r="W493"/>
  <c r="H494"/>
  <c r="I494"/>
  <c r="K494"/>
  <c r="N494"/>
  <c r="W494"/>
  <c r="H495"/>
  <c r="I495"/>
  <c r="K495"/>
  <c r="N495"/>
  <c r="W495"/>
  <c r="H496"/>
  <c r="I496"/>
  <c r="K496"/>
  <c r="N496"/>
  <c r="W496"/>
  <c r="H497"/>
  <c r="I497"/>
  <c r="K497"/>
  <c r="N497"/>
  <c r="W497"/>
  <c r="H498"/>
  <c r="I498"/>
  <c r="K498"/>
  <c r="N498"/>
  <c r="W498"/>
  <c r="H499"/>
  <c r="I499"/>
  <c r="K499"/>
  <c r="N499"/>
  <c r="W499"/>
  <c r="H500"/>
  <c r="I500"/>
  <c r="K500"/>
  <c r="N500"/>
  <c r="W500"/>
  <c r="H501"/>
  <c r="I501"/>
  <c r="K501"/>
  <c r="N501"/>
  <c r="W501"/>
  <c r="H502"/>
  <c r="I502"/>
  <c r="K502"/>
  <c r="N502"/>
  <c r="W502"/>
  <c r="H503"/>
  <c r="I503"/>
  <c r="K503"/>
  <c r="N503"/>
  <c r="W503"/>
  <c r="H504"/>
  <c r="I504"/>
  <c r="K504"/>
  <c r="N504"/>
  <c r="W504"/>
  <c r="H505"/>
  <c r="I505"/>
  <c r="K505"/>
  <c r="N505"/>
  <c r="W505"/>
  <c r="H506"/>
  <c r="I506"/>
  <c r="K506"/>
  <c r="N506"/>
  <c r="W506"/>
  <c r="H507"/>
  <c r="I507"/>
  <c r="K507"/>
  <c r="N507"/>
  <c r="W507"/>
  <c r="H508"/>
  <c r="I508"/>
  <c r="K508"/>
  <c r="N508"/>
  <c r="W508"/>
  <c r="H509"/>
  <c r="I509"/>
  <c r="K509"/>
  <c r="N509"/>
  <c r="W509"/>
  <c r="H510"/>
  <c r="I510"/>
  <c r="K510"/>
  <c r="N510"/>
  <c r="W510"/>
  <c r="H511"/>
  <c r="I511"/>
  <c r="K511"/>
  <c r="N511"/>
  <c r="W511"/>
  <c r="H512"/>
  <c r="I512"/>
  <c r="K512"/>
  <c r="N512"/>
  <c r="W512"/>
  <c r="H513"/>
  <c r="I513"/>
  <c r="K513"/>
  <c r="N513"/>
  <c r="W513"/>
  <c r="H514"/>
  <c r="I514"/>
  <c r="K514"/>
  <c r="N514"/>
  <c r="W514"/>
  <c r="H515"/>
  <c r="I515"/>
  <c r="K515"/>
  <c r="N515"/>
  <c r="W515"/>
  <c r="H516"/>
  <c r="I516"/>
  <c r="K516"/>
  <c r="N516"/>
  <c r="W516"/>
  <c r="H517"/>
  <c r="I517"/>
  <c r="K517"/>
  <c r="N517"/>
  <c r="W517"/>
  <c r="H518"/>
  <c r="I518"/>
  <c r="K518"/>
  <c r="N518"/>
  <c r="W518"/>
  <c r="H519"/>
  <c r="I519"/>
  <c r="K519"/>
  <c r="N519"/>
  <c r="W519"/>
  <c r="H520"/>
  <c r="I520"/>
  <c r="K520"/>
  <c r="N520"/>
  <c r="W520"/>
  <c r="H521"/>
  <c r="I521"/>
  <c r="K521"/>
  <c r="N521"/>
  <c r="W521"/>
  <c r="H522"/>
  <c r="I522"/>
  <c r="K522"/>
  <c r="N522"/>
  <c r="W522"/>
  <c r="H523"/>
  <c r="I523"/>
  <c r="K523"/>
  <c r="N523"/>
  <c r="W523"/>
  <c r="H524"/>
  <c r="I524"/>
  <c r="K524"/>
  <c r="N524"/>
  <c r="W524"/>
  <c r="H525"/>
  <c r="I525"/>
  <c r="K525"/>
  <c r="N525"/>
  <c r="W525"/>
  <c r="H526"/>
  <c r="I526"/>
  <c r="K526"/>
  <c r="N526"/>
  <c r="W526"/>
  <c r="H527"/>
  <c r="I527"/>
  <c r="K527"/>
  <c r="N527"/>
  <c r="W527"/>
  <c r="H528"/>
  <c r="I528"/>
  <c r="K528"/>
  <c r="N528"/>
  <c r="W528"/>
  <c r="H529"/>
  <c r="I529"/>
  <c r="K529"/>
  <c r="N529"/>
  <c r="W529"/>
  <c r="H530"/>
  <c r="I530"/>
  <c r="K530"/>
  <c r="N530"/>
  <c r="W530"/>
  <c r="H531"/>
  <c r="I531"/>
  <c r="K531"/>
  <c r="N531"/>
  <c r="W531"/>
  <c r="H532"/>
  <c r="I532"/>
  <c r="K532"/>
  <c r="N532"/>
  <c r="W532"/>
  <c r="H533"/>
  <c r="I533"/>
  <c r="K533"/>
  <c r="N533"/>
  <c r="W533"/>
  <c r="H534"/>
  <c r="I534"/>
  <c r="K534"/>
  <c r="N534"/>
  <c r="W534"/>
  <c r="H535"/>
  <c r="I535"/>
  <c r="K535"/>
  <c r="N535"/>
  <c r="W535"/>
  <c r="H536"/>
  <c r="I536"/>
  <c r="K536"/>
  <c r="N536"/>
  <c r="W536"/>
  <c r="H537"/>
  <c r="I537"/>
  <c r="K537"/>
  <c r="N537"/>
  <c r="W537"/>
  <c r="H538"/>
  <c r="I538"/>
  <c r="K538"/>
  <c r="N538"/>
  <c r="W538"/>
  <c r="H539"/>
  <c r="I539"/>
  <c r="K539"/>
  <c r="N539"/>
  <c r="W539"/>
  <c r="H540"/>
  <c r="I540"/>
  <c r="K540"/>
  <c r="N540"/>
  <c r="W540"/>
  <c r="H541"/>
  <c r="I541"/>
  <c r="K541"/>
  <c r="N541"/>
  <c r="W541"/>
  <c r="H542"/>
  <c r="I542"/>
  <c r="K542"/>
  <c r="N542"/>
  <c r="W542"/>
  <c r="H543"/>
  <c r="I543"/>
  <c r="K543"/>
  <c r="N543"/>
  <c r="W543"/>
  <c r="H544"/>
  <c r="I544"/>
  <c r="K544"/>
  <c r="N544"/>
  <c r="W544"/>
  <c r="H545"/>
  <c r="I545"/>
  <c r="K545"/>
  <c r="N545"/>
  <c r="W545"/>
  <c r="H546"/>
  <c r="I546"/>
  <c r="K546"/>
  <c r="N546"/>
  <c r="W546"/>
  <c r="H547"/>
  <c r="I547"/>
  <c r="K547"/>
  <c r="N547"/>
  <c r="W547"/>
  <c r="H548"/>
  <c r="I548"/>
  <c r="K548"/>
  <c r="N548"/>
  <c r="W548"/>
  <c r="H549"/>
  <c r="I549"/>
  <c r="K549"/>
  <c r="N549"/>
  <c r="W549"/>
  <c r="H550"/>
  <c r="I550"/>
  <c r="K550"/>
  <c r="N550"/>
  <c r="W550"/>
  <c r="H551"/>
  <c r="I551"/>
  <c r="K551"/>
  <c r="N551"/>
  <c r="W551"/>
  <c r="H552"/>
  <c r="I552"/>
  <c r="K552"/>
  <c r="N552"/>
  <c r="W552"/>
  <c r="H553"/>
  <c r="I553"/>
  <c r="K553"/>
  <c r="N553"/>
  <c r="W553"/>
  <c r="H554"/>
  <c r="I554"/>
  <c r="K554"/>
  <c r="N554"/>
  <c r="W554"/>
  <c r="H555"/>
  <c r="I555"/>
  <c r="K555"/>
  <c r="N555"/>
  <c r="W555"/>
  <c r="H556"/>
  <c r="I556"/>
  <c r="K556"/>
  <c r="N556"/>
  <c r="W556"/>
  <c r="H557"/>
  <c r="I557"/>
  <c r="K557"/>
  <c r="N557"/>
  <c r="W557"/>
  <c r="H558"/>
  <c r="I558"/>
  <c r="K558"/>
  <c r="N558"/>
  <c r="W558"/>
  <c r="H559"/>
  <c r="I559"/>
  <c r="K559"/>
  <c r="N559"/>
  <c r="W559"/>
  <c r="H560"/>
  <c r="I560"/>
  <c r="K560"/>
  <c r="N560"/>
  <c r="W560"/>
  <c r="H561"/>
  <c r="I561"/>
  <c r="K561"/>
  <c r="N561"/>
  <c r="W561"/>
  <c r="H562"/>
  <c r="I562"/>
  <c r="K562"/>
  <c r="N562"/>
  <c r="W562"/>
  <c r="H563"/>
  <c r="I563"/>
  <c r="K563"/>
  <c r="N563"/>
  <c r="W563"/>
  <c r="H564"/>
  <c r="I564"/>
  <c r="K564"/>
  <c r="N564"/>
  <c r="W564"/>
  <c r="H565"/>
  <c r="I565"/>
  <c r="K565"/>
  <c r="N565"/>
  <c r="W565"/>
  <c r="H566"/>
  <c r="I566"/>
  <c r="K566"/>
  <c r="N566"/>
  <c r="W566"/>
  <c r="H567"/>
  <c r="I567"/>
  <c r="K567"/>
  <c r="N567"/>
  <c r="W567"/>
  <c r="H568"/>
  <c r="I568"/>
  <c r="K568"/>
  <c r="N568"/>
  <c r="W568"/>
  <c r="H569"/>
  <c r="I569"/>
  <c r="K569"/>
  <c r="N569"/>
  <c r="W569"/>
  <c r="H570"/>
  <c r="I570"/>
  <c r="K570"/>
  <c r="N570"/>
  <c r="W570"/>
  <c r="H571"/>
  <c r="I571"/>
  <c r="K571"/>
  <c r="N571"/>
  <c r="W571"/>
  <c r="H572"/>
  <c r="I572"/>
  <c r="K572"/>
  <c r="N572"/>
  <c r="W572"/>
  <c r="H573"/>
  <c r="I573"/>
  <c r="K573"/>
  <c r="N573"/>
  <c r="W573"/>
  <c r="H574"/>
  <c r="I574"/>
  <c r="K574"/>
  <c r="N574"/>
  <c r="W574"/>
  <c r="H575"/>
  <c r="I575"/>
  <c r="K575"/>
  <c r="N575"/>
  <c r="W575"/>
  <c r="H576"/>
  <c r="I576"/>
  <c r="K576"/>
  <c r="N576"/>
  <c r="W576"/>
  <c r="H577"/>
  <c r="I577"/>
  <c r="K577"/>
  <c r="N577"/>
  <c r="W577"/>
  <c r="H578"/>
  <c r="I578"/>
  <c r="K578"/>
  <c r="N578"/>
  <c r="W578"/>
  <c r="H579"/>
  <c r="I579"/>
  <c r="K579"/>
  <c r="N579"/>
  <c r="W579"/>
  <c r="H580"/>
  <c r="I580"/>
  <c r="K580"/>
  <c r="N580"/>
  <c r="W580"/>
  <c r="H581"/>
  <c r="I581"/>
  <c r="K581"/>
  <c r="N581"/>
  <c r="W581"/>
  <c r="H582"/>
  <c r="I582"/>
  <c r="K582"/>
  <c r="N582"/>
  <c r="W582"/>
  <c r="H583"/>
  <c r="I583"/>
  <c r="K583"/>
  <c r="N583"/>
  <c r="W583"/>
  <c r="H584"/>
  <c r="I584"/>
  <c r="K584"/>
  <c r="N584"/>
  <c r="W584"/>
  <c r="H585"/>
  <c r="I585"/>
  <c r="K585"/>
  <c r="N585"/>
  <c r="W585"/>
  <c r="H586"/>
  <c r="I586"/>
  <c r="K586"/>
  <c r="N586"/>
  <c r="W586"/>
  <c r="H587"/>
  <c r="I587"/>
  <c r="K587"/>
  <c r="N587"/>
  <c r="W587"/>
  <c r="H588"/>
  <c r="I588"/>
  <c r="K588"/>
  <c r="N588"/>
  <c r="W588"/>
  <c r="H589"/>
  <c r="I589"/>
  <c r="K589"/>
  <c r="N589"/>
  <c r="W589"/>
  <c r="H590"/>
  <c r="I590"/>
  <c r="K590"/>
  <c r="N590"/>
  <c r="W590"/>
  <c r="H591"/>
  <c r="I591"/>
  <c r="K591"/>
  <c r="N591"/>
  <c r="W591"/>
  <c r="H592"/>
  <c r="I592"/>
  <c r="K592"/>
  <c r="N592"/>
  <c r="W592"/>
  <c r="H593"/>
  <c r="I593"/>
  <c r="K593"/>
  <c r="N593"/>
  <c r="W593"/>
  <c r="H594"/>
  <c r="I594"/>
  <c r="K594"/>
  <c r="N594"/>
  <c r="W594"/>
  <c r="H595"/>
  <c r="I595"/>
  <c r="K595"/>
  <c r="N595"/>
  <c r="W595"/>
  <c r="H596"/>
  <c r="I596"/>
  <c r="K596"/>
  <c r="N596"/>
  <c r="W596"/>
  <c r="H597"/>
  <c r="I597"/>
  <c r="K597"/>
  <c r="N597"/>
  <c r="W597"/>
  <c r="H598"/>
  <c r="I598"/>
  <c r="K598"/>
  <c r="N598"/>
  <c r="W598"/>
  <c r="H599"/>
  <c r="I599"/>
  <c r="K599"/>
  <c r="N599"/>
  <c r="W599"/>
  <c r="H600"/>
  <c r="I600"/>
  <c r="K600"/>
  <c r="N600"/>
  <c r="W600"/>
  <c r="H601"/>
  <c r="I601"/>
  <c r="K601"/>
  <c r="N601"/>
  <c r="W601"/>
  <c r="H602"/>
  <c r="I602"/>
  <c r="K602"/>
  <c r="N602"/>
  <c r="W602"/>
  <c r="H603"/>
  <c r="I603"/>
  <c r="K603"/>
  <c r="N603"/>
  <c r="W603"/>
  <c r="H604"/>
  <c r="I604"/>
  <c r="K604"/>
  <c r="N604"/>
  <c r="W604"/>
  <c r="H605"/>
  <c r="I605"/>
  <c r="K605"/>
  <c r="N605"/>
  <c r="W605"/>
  <c r="H606"/>
  <c r="I606"/>
  <c r="K606"/>
  <c r="N606"/>
  <c r="W606"/>
  <c r="H607"/>
  <c r="I607"/>
  <c r="K607"/>
  <c r="N607"/>
  <c r="W607"/>
  <c r="H608"/>
  <c r="I608"/>
  <c r="K608"/>
  <c r="N608"/>
  <c r="W608"/>
  <c r="H609"/>
  <c r="I609"/>
  <c r="K609"/>
  <c r="N609"/>
  <c r="W609"/>
  <c r="H610"/>
  <c r="I610"/>
  <c r="K610"/>
  <c r="N610"/>
  <c r="W610"/>
  <c r="H611"/>
  <c r="I611"/>
  <c r="K611"/>
  <c r="N611"/>
  <c r="W611"/>
  <c r="H612"/>
  <c r="I612"/>
  <c r="K612"/>
  <c r="N612"/>
  <c r="W612"/>
  <c r="H613"/>
  <c r="I613"/>
  <c r="K613"/>
  <c r="N613"/>
  <c r="W613"/>
  <c r="H614"/>
  <c r="I614"/>
  <c r="K614"/>
  <c r="N614"/>
  <c r="W614"/>
  <c r="H615"/>
  <c r="I615"/>
  <c r="K615"/>
  <c r="N615"/>
  <c r="W615"/>
  <c r="H616"/>
  <c r="I616"/>
  <c r="K616"/>
  <c r="N616"/>
  <c r="W616"/>
  <c r="H617"/>
  <c r="I617"/>
  <c r="K617"/>
  <c r="N617"/>
  <c r="W617"/>
  <c r="H618"/>
  <c r="I618"/>
  <c r="K618"/>
  <c r="N618"/>
  <c r="W618"/>
  <c r="H619"/>
  <c r="I619"/>
  <c r="K619"/>
  <c r="N619"/>
  <c r="W619"/>
  <c r="H620"/>
  <c r="I620"/>
  <c r="K620"/>
  <c r="N620"/>
  <c r="W620"/>
  <c r="H621"/>
  <c r="I621"/>
  <c r="K621"/>
  <c r="N621"/>
  <c r="W621"/>
  <c r="H622"/>
  <c r="I622"/>
  <c r="K622"/>
  <c r="N622"/>
  <c r="W622"/>
  <c r="H623"/>
  <c r="I623"/>
  <c r="K623"/>
  <c r="N623"/>
  <c r="W623"/>
  <c r="H624"/>
  <c r="I624"/>
  <c r="K624"/>
  <c r="N624"/>
  <c r="W624"/>
  <c r="H625"/>
  <c r="I625"/>
  <c r="K625"/>
  <c r="N625"/>
  <c r="W625"/>
  <c r="H626"/>
  <c r="I626"/>
  <c r="K626"/>
  <c r="N626"/>
  <c r="W626"/>
  <c r="H627"/>
  <c r="I627"/>
  <c r="K627"/>
  <c r="N627"/>
  <c r="W627"/>
  <c r="H628"/>
  <c r="I628"/>
  <c r="K628"/>
  <c r="N628"/>
  <c r="W628"/>
  <c r="H629"/>
  <c r="I629"/>
  <c r="K629"/>
  <c r="N629"/>
  <c r="W629"/>
  <c r="H630"/>
  <c r="I630"/>
  <c r="K630"/>
  <c r="N630"/>
  <c r="W630"/>
  <c r="H631"/>
  <c r="I631"/>
  <c r="K631"/>
  <c r="N631"/>
  <c r="W631"/>
  <c r="H632"/>
  <c r="I632"/>
  <c r="K632"/>
  <c r="N632"/>
  <c r="W632"/>
  <c r="H633"/>
  <c r="I633"/>
  <c r="K633"/>
  <c r="N633"/>
  <c r="W633"/>
  <c r="H634"/>
  <c r="I634"/>
  <c r="K634"/>
  <c r="N634"/>
  <c r="W634"/>
  <c r="H635"/>
  <c r="I635"/>
  <c r="K635"/>
  <c r="N635"/>
  <c r="W635"/>
  <c r="H636"/>
  <c r="I636"/>
  <c r="K636"/>
  <c r="N636"/>
  <c r="W636"/>
  <c r="H637"/>
  <c r="I637"/>
  <c r="K637"/>
  <c r="N637"/>
  <c r="W637"/>
  <c r="H638"/>
  <c r="I638"/>
  <c r="K638"/>
  <c r="N638"/>
  <c r="W638"/>
  <c r="H639"/>
  <c r="I639"/>
  <c r="K639"/>
  <c r="N639"/>
  <c r="W639"/>
  <c r="H640"/>
  <c r="I640"/>
  <c r="K640"/>
  <c r="N640"/>
  <c r="W640"/>
  <c r="H641"/>
  <c r="I641"/>
  <c r="K641"/>
  <c r="N641"/>
  <c r="W641"/>
  <c r="H642"/>
  <c r="I642"/>
  <c r="K642"/>
  <c r="N642"/>
  <c r="W642"/>
  <c r="H643"/>
  <c r="I643"/>
  <c r="K643"/>
  <c r="N643"/>
  <c r="W643"/>
  <c r="H644"/>
  <c r="I644"/>
  <c r="K644"/>
  <c r="N644"/>
  <c r="W644"/>
  <c r="H645"/>
  <c r="I645"/>
  <c r="K645"/>
  <c r="N645"/>
  <c r="W645"/>
  <c r="H646"/>
  <c r="I646"/>
  <c r="K646"/>
  <c r="N646"/>
  <c r="W646"/>
  <c r="H647"/>
  <c r="I647"/>
  <c r="K647"/>
  <c r="N647"/>
  <c r="W647"/>
  <c r="H648"/>
  <c r="I648"/>
  <c r="K648"/>
  <c r="N648"/>
  <c r="W648"/>
  <c r="H649"/>
  <c r="I649"/>
  <c r="K649"/>
  <c r="N649"/>
  <c r="W649"/>
  <c r="H650"/>
  <c r="I650"/>
  <c r="K650"/>
  <c r="N650"/>
  <c r="W650"/>
  <c r="H651"/>
  <c r="I651"/>
  <c r="K651"/>
  <c r="N651"/>
  <c r="W651"/>
  <c r="H652"/>
  <c r="I652"/>
  <c r="K652"/>
  <c r="N652"/>
  <c r="W652"/>
  <c r="H653"/>
  <c r="I653"/>
  <c r="K653"/>
  <c r="N653"/>
  <c r="W653"/>
  <c r="H654"/>
  <c r="I654"/>
  <c r="K654"/>
  <c r="N654"/>
  <c r="W654"/>
  <c r="H655"/>
  <c r="I655"/>
  <c r="K655"/>
  <c r="N655"/>
  <c r="W655"/>
  <c r="H656"/>
  <c r="I656"/>
  <c r="K656"/>
  <c r="N656"/>
  <c r="W656"/>
  <c r="H657"/>
  <c r="I657"/>
  <c r="K657"/>
  <c r="N657"/>
  <c r="W657"/>
  <c r="H658"/>
  <c r="I658"/>
  <c r="K658"/>
  <c r="N658"/>
  <c r="W658"/>
  <c r="H659"/>
  <c r="I659"/>
  <c r="K659"/>
  <c r="N659"/>
  <c r="W659"/>
  <c r="H660"/>
  <c r="I660"/>
  <c r="K660"/>
  <c r="N660"/>
  <c r="W660"/>
  <c r="H661"/>
  <c r="I661"/>
  <c r="K661"/>
  <c r="N661"/>
  <c r="W661"/>
  <c r="H662"/>
  <c r="I662"/>
  <c r="K662"/>
  <c r="N662"/>
  <c r="W662"/>
  <c r="H663"/>
  <c r="I663"/>
  <c r="K663"/>
  <c r="N663"/>
  <c r="W663"/>
  <c r="H664"/>
  <c r="I664"/>
  <c r="K664"/>
  <c r="N664"/>
  <c r="W664"/>
  <c r="H665"/>
  <c r="I665"/>
  <c r="K665"/>
  <c r="N665"/>
  <c r="W665"/>
  <c r="H666"/>
  <c r="I666"/>
  <c r="K666"/>
  <c r="N666"/>
  <c r="W666"/>
  <c r="H667"/>
  <c r="I667"/>
  <c r="K667"/>
  <c r="N667"/>
  <c r="W667"/>
  <c r="H668"/>
  <c r="I668"/>
  <c r="K668"/>
  <c r="N668"/>
  <c r="W668"/>
  <c r="H669"/>
  <c r="I669"/>
  <c r="K669"/>
  <c r="N669"/>
  <c r="W669"/>
  <c r="H670"/>
  <c r="I670"/>
  <c r="K670"/>
  <c r="N670"/>
  <c r="W670"/>
  <c r="H671"/>
  <c r="I671"/>
  <c r="K671"/>
  <c r="N671"/>
  <c r="W671"/>
  <c r="H672"/>
  <c r="I672"/>
  <c r="K672"/>
  <c r="N672"/>
  <c r="W672"/>
  <c r="H673"/>
  <c r="I673"/>
  <c r="K673"/>
  <c r="N673"/>
  <c r="W673"/>
  <c r="H674"/>
  <c r="I674"/>
  <c r="K674"/>
  <c r="N674"/>
  <c r="W674"/>
  <c r="H675"/>
  <c r="I675"/>
  <c r="K675"/>
  <c r="N675"/>
  <c r="W675"/>
  <c r="H676"/>
  <c r="I676"/>
  <c r="K676"/>
  <c r="N676"/>
  <c r="W676"/>
  <c r="H677"/>
  <c r="I677"/>
  <c r="K677"/>
  <c r="N677"/>
  <c r="W677"/>
  <c r="H678"/>
  <c r="I678"/>
  <c r="K678"/>
  <c r="N678"/>
  <c r="W678"/>
  <c r="H679"/>
  <c r="I679"/>
  <c r="K679"/>
  <c r="N679"/>
  <c r="W679"/>
  <c r="H680"/>
  <c r="I680"/>
  <c r="K680"/>
  <c r="N680"/>
  <c r="W680"/>
  <c r="H681"/>
  <c r="I681"/>
  <c r="K681"/>
  <c r="N681"/>
  <c r="W681"/>
  <c r="H682"/>
  <c r="I682"/>
  <c r="K682"/>
  <c r="N682"/>
  <c r="W682"/>
  <c r="H683"/>
  <c r="I683"/>
  <c r="K683"/>
  <c r="N683"/>
  <c r="W683"/>
  <c r="H684"/>
  <c r="I684"/>
  <c r="K684"/>
  <c r="N684"/>
  <c r="W684"/>
  <c r="H685"/>
  <c r="I685"/>
  <c r="K685"/>
  <c r="N685"/>
  <c r="W685"/>
  <c r="H686"/>
  <c r="I686"/>
  <c r="K686"/>
  <c r="N686"/>
  <c r="W686"/>
  <c r="H687"/>
  <c r="I687"/>
  <c r="K687"/>
  <c r="N687"/>
  <c r="W687"/>
  <c r="H688"/>
  <c r="I688"/>
  <c r="K688"/>
  <c r="N688"/>
  <c r="W688"/>
  <c r="H689"/>
  <c r="I689"/>
  <c r="K689"/>
  <c r="N689"/>
  <c r="W689"/>
  <c r="H690"/>
  <c r="I690"/>
  <c r="K690"/>
  <c r="N690"/>
  <c r="W690"/>
  <c r="H691"/>
  <c r="I691"/>
  <c r="K691"/>
  <c r="N691"/>
  <c r="W691"/>
  <c r="H692"/>
  <c r="I692"/>
  <c r="K692"/>
  <c r="N692"/>
  <c r="W692"/>
  <c r="H693"/>
  <c r="I693"/>
  <c r="K693"/>
  <c r="N693"/>
  <c r="W693"/>
  <c r="H694"/>
  <c r="I694"/>
  <c r="K694"/>
  <c r="N694"/>
  <c r="W694"/>
  <c r="H695"/>
  <c r="I695"/>
  <c r="K695"/>
  <c r="N695"/>
  <c r="W695"/>
  <c r="H696"/>
  <c r="I696"/>
  <c r="K696"/>
  <c r="N696"/>
  <c r="W696"/>
  <c r="H697"/>
  <c r="I697"/>
  <c r="K697"/>
  <c r="N697"/>
  <c r="W697"/>
  <c r="H698"/>
  <c r="I698"/>
  <c r="K698"/>
  <c r="N698"/>
  <c r="W698"/>
  <c r="H699"/>
  <c r="I699"/>
  <c r="K699"/>
  <c r="N699"/>
  <c r="W699"/>
  <c r="H700"/>
  <c r="I700"/>
  <c r="K700"/>
  <c r="N700"/>
  <c r="W700"/>
  <c r="H701"/>
  <c r="I701"/>
  <c r="K701"/>
  <c r="N701"/>
  <c r="W701"/>
  <c r="H702"/>
  <c r="I702"/>
  <c r="K702"/>
  <c r="N702"/>
  <c r="W702"/>
  <c r="H703"/>
  <c r="I703"/>
  <c r="K703"/>
  <c r="N703"/>
  <c r="W703"/>
  <c r="H704"/>
  <c r="I704"/>
  <c r="K704"/>
  <c r="N704"/>
  <c r="W704"/>
  <c r="H705"/>
  <c r="I705"/>
  <c r="K705"/>
  <c r="N705"/>
  <c r="W705"/>
  <c r="H706"/>
  <c r="I706"/>
  <c r="K706"/>
  <c r="N706"/>
  <c r="W706"/>
  <c r="H707"/>
  <c r="I707"/>
  <c r="K707"/>
  <c r="N707"/>
  <c r="W707"/>
  <c r="H708"/>
  <c r="I708"/>
  <c r="K708"/>
  <c r="N708"/>
  <c r="W708"/>
  <c r="H709"/>
  <c r="I709"/>
  <c r="K709"/>
  <c r="N709"/>
  <c r="W709"/>
  <c r="H710"/>
  <c r="I710"/>
  <c r="K710"/>
  <c r="N710"/>
  <c r="W710"/>
  <c r="H711"/>
  <c r="I711"/>
  <c r="K711"/>
  <c r="N711"/>
  <c r="W711"/>
  <c r="H712"/>
  <c r="I712"/>
  <c r="K712"/>
  <c r="N712"/>
  <c r="W712"/>
  <c r="H713"/>
  <c r="I713"/>
  <c r="K713"/>
  <c r="N713"/>
  <c r="W713"/>
  <c r="H714"/>
  <c r="I714"/>
  <c r="K714"/>
  <c r="N714"/>
  <c r="W714"/>
  <c r="H715"/>
  <c r="I715"/>
  <c r="K715"/>
  <c r="N715"/>
  <c r="W715"/>
  <c r="H716"/>
  <c r="I716"/>
  <c r="K716"/>
  <c r="N716"/>
  <c r="W716"/>
  <c r="H717"/>
  <c r="I717"/>
  <c r="K717"/>
  <c r="N717"/>
  <c r="W717"/>
  <c r="H718"/>
  <c r="I718"/>
  <c r="K718"/>
  <c r="N718"/>
  <c r="W718"/>
  <c r="H719"/>
  <c r="I719"/>
  <c r="K719"/>
  <c r="N719"/>
  <c r="W719"/>
  <c r="H720"/>
  <c r="I720"/>
  <c r="K720"/>
  <c r="N720"/>
  <c r="W720"/>
  <c r="H721"/>
  <c r="I721"/>
  <c r="K721"/>
  <c r="N721"/>
  <c r="W721"/>
  <c r="H722"/>
  <c r="I722"/>
  <c r="K722"/>
  <c r="N722"/>
  <c r="W722"/>
  <c r="H723"/>
  <c r="I723"/>
  <c r="K723"/>
  <c r="N723"/>
  <c r="W723"/>
  <c r="H724"/>
  <c r="I724"/>
  <c r="K724"/>
  <c r="N724"/>
  <c r="W724"/>
  <c r="H725"/>
  <c r="I725"/>
  <c r="K725"/>
  <c r="N725"/>
  <c r="W725"/>
  <c r="H726"/>
  <c r="I726"/>
  <c r="K726"/>
  <c r="N726"/>
  <c r="W726"/>
  <c r="H727"/>
  <c r="I727"/>
  <c r="K727"/>
  <c r="N727"/>
  <c r="W727"/>
  <c r="H728"/>
  <c r="I728"/>
  <c r="K728"/>
  <c r="N728"/>
  <c r="W728"/>
  <c r="H729"/>
  <c r="I729"/>
  <c r="K729"/>
  <c r="N729"/>
  <c r="W729"/>
  <c r="H730"/>
  <c r="I730"/>
  <c r="K730"/>
  <c r="N730"/>
  <c r="W730"/>
  <c r="H731"/>
  <c r="I731"/>
  <c r="K731"/>
  <c r="N731"/>
  <c r="W731"/>
  <c r="H732"/>
  <c r="I732"/>
  <c r="K732"/>
  <c r="N732"/>
  <c r="W732"/>
  <c r="H733"/>
  <c r="I733"/>
  <c r="K733"/>
  <c r="N733"/>
  <c r="W733"/>
  <c r="H734"/>
  <c r="I734"/>
  <c r="K734"/>
  <c r="N734"/>
  <c r="W734"/>
  <c r="H735"/>
  <c r="I735"/>
  <c r="K735"/>
  <c r="N735"/>
  <c r="W735"/>
  <c r="H736"/>
  <c r="I736"/>
  <c r="K736"/>
  <c r="N736"/>
  <c r="W736"/>
  <c r="H737"/>
  <c r="I737"/>
  <c r="K737"/>
  <c r="N737"/>
  <c r="W737"/>
  <c r="H738"/>
  <c r="I738"/>
  <c r="K738"/>
  <c r="N738"/>
  <c r="W738"/>
  <c r="H739"/>
  <c r="I739"/>
  <c r="K739"/>
  <c r="N739"/>
  <c r="W739"/>
  <c r="H740"/>
  <c r="I740"/>
  <c r="K740"/>
  <c r="N740"/>
  <c r="W740"/>
  <c r="H741"/>
  <c r="I741"/>
  <c r="K741"/>
  <c r="N741"/>
  <c r="W741"/>
  <c r="H742"/>
  <c r="I742"/>
  <c r="K742"/>
  <c r="N742"/>
  <c r="W742"/>
  <c r="H743"/>
  <c r="I743"/>
  <c r="K743"/>
  <c r="N743"/>
  <c r="W743"/>
  <c r="H744"/>
  <c r="I744"/>
  <c r="K744"/>
  <c r="N744"/>
  <c r="W744"/>
  <c r="H745"/>
  <c r="I745"/>
  <c r="K745"/>
  <c r="N745"/>
  <c r="W745"/>
  <c r="H746"/>
  <c r="I746"/>
  <c r="K746"/>
  <c r="N746"/>
  <c r="W746"/>
  <c r="H747"/>
  <c r="I747"/>
  <c r="K747"/>
  <c r="N747"/>
  <c r="W747"/>
  <c r="H748"/>
  <c r="I748"/>
  <c r="K748"/>
  <c r="N748"/>
  <c r="W748"/>
  <c r="H749"/>
  <c r="I749"/>
  <c r="K749"/>
  <c r="N749"/>
  <c r="W749"/>
  <c r="H750"/>
  <c r="I750"/>
  <c r="K750"/>
  <c r="N750"/>
  <c r="W750"/>
  <c r="H751"/>
  <c r="I751"/>
  <c r="K751"/>
  <c r="N751"/>
  <c r="W751"/>
  <c r="H752"/>
  <c r="I752"/>
  <c r="K752"/>
  <c r="N752"/>
  <c r="W752"/>
  <c r="H753"/>
  <c r="I753"/>
  <c r="K753"/>
  <c r="N753"/>
  <c r="W753"/>
  <c r="H754"/>
  <c r="I754"/>
  <c r="K754"/>
  <c r="N754"/>
  <c r="W754"/>
  <c r="H755"/>
  <c r="I755"/>
  <c r="K755"/>
  <c r="N755"/>
  <c r="W755"/>
  <c r="H756"/>
  <c r="I756"/>
  <c r="K756"/>
  <c r="N756"/>
  <c r="W756"/>
  <c r="H757"/>
  <c r="I757"/>
  <c r="K757"/>
  <c r="N757"/>
  <c r="W757"/>
  <c r="H758"/>
  <c r="I758"/>
  <c r="K758"/>
  <c r="N758"/>
  <c r="W758"/>
  <c r="H759"/>
  <c r="I759"/>
  <c r="K759"/>
  <c r="N759"/>
  <c r="W759"/>
  <c r="H760"/>
  <c r="I760"/>
  <c r="K760"/>
  <c r="N760"/>
  <c r="W760"/>
  <c r="H761"/>
  <c r="I761"/>
  <c r="K761"/>
  <c r="N761"/>
  <c r="W761"/>
  <c r="H762"/>
  <c r="I762"/>
  <c r="K762"/>
  <c r="N762"/>
  <c r="W762"/>
  <c r="H763"/>
  <c r="I763"/>
  <c r="K763"/>
  <c r="N763"/>
  <c r="W763"/>
  <c r="H764"/>
  <c r="I764"/>
  <c r="K764"/>
  <c r="N764"/>
  <c r="W764"/>
  <c r="H765"/>
  <c r="I765"/>
  <c r="K765"/>
  <c r="N765"/>
  <c r="W765"/>
  <c r="H766"/>
  <c r="I766"/>
  <c r="K766"/>
  <c r="N766"/>
  <c r="W766"/>
  <c r="H767"/>
  <c r="I767"/>
  <c r="K767"/>
  <c r="N767"/>
  <c r="W767"/>
  <c r="H768"/>
  <c r="I768"/>
  <c r="K768"/>
  <c r="N768"/>
  <c r="W768"/>
  <c r="H769"/>
  <c r="I769"/>
  <c r="K769"/>
  <c r="N769"/>
  <c r="W769"/>
  <c r="H770"/>
  <c r="I770"/>
  <c r="K770"/>
  <c r="N770"/>
  <c r="W770"/>
  <c r="H771"/>
  <c r="I771"/>
  <c r="K771"/>
  <c r="N771"/>
  <c r="W771"/>
  <c r="H772"/>
  <c r="I772"/>
  <c r="K772"/>
  <c r="N772"/>
  <c r="W772"/>
  <c r="H773"/>
  <c r="I773"/>
  <c r="K773"/>
  <c r="N773"/>
  <c r="W773"/>
  <c r="H774"/>
  <c r="I774"/>
  <c r="K774"/>
  <c r="N774"/>
  <c r="W774"/>
  <c r="H775"/>
  <c r="I775"/>
  <c r="K775"/>
  <c r="N775"/>
  <c r="W775"/>
  <c r="H776"/>
  <c r="I776"/>
  <c r="K776"/>
  <c r="N776"/>
  <c r="W776"/>
  <c r="H777"/>
  <c r="I777"/>
  <c r="K777"/>
  <c r="N777"/>
  <c r="W777"/>
  <c r="H778"/>
  <c r="I778"/>
  <c r="K778"/>
  <c r="N778"/>
  <c r="W778"/>
  <c r="H779"/>
  <c r="I779"/>
  <c r="K779"/>
  <c r="N779"/>
  <c r="W779"/>
  <c r="H780"/>
  <c r="I780"/>
  <c r="K780"/>
  <c r="N780"/>
  <c r="W780"/>
  <c r="H781"/>
  <c r="I781"/>
  <c r="K781"/>
  <c r="N781"/>
  <c r="W781"/>
  <c r="H782"/>
  <c r="I782"/>
  <c r="K782"/>
  <c r="N782"/>
  <c r="W782"/>
  <c r="H783"/>
  <c r="I783"/>
  <c r="K783"/>
  <c r="N783"/>
  <c r="W783"/>
  <c r="H784"/>
  <c r="I784"/>
  <c r="K784"/>
  <c r="N784"/>
  <c r="W784"/>
  <c r="H785"/>
  <c r="I785"/>
  <c r="K785"/>
  <c r="N785"/>
  <c r="W785"/>
  <c r="H786"/>
  <c r="I786"/>
  <c r="K786"/>
  <c r="N786"/>
  <c r="W786"/>
  <c r="H787"/>
  <c r="I787"/>
  <c r="K787"/>
  <c r="N787"/>
  <c r="W787"/>
  <c r="H788"/>
  <c r="I788"/>
  <c r="K788"/>
  <c r="N788"/>
  <c r="W788"/>
  <c r="H789"/>
  <c r="I789"/>
  <c r="K789"/>
  <c r="N789"/>
  <c r="W789"/>
  <c r="H790"/>
  <c r="I790"/>
  <c r="K790"/>
  <c r="N790"/>
  <c r="W790"/>
  <c r="H791"/>
  <c r="I791"/>
  <c r="K791"/>
  <c r="N791"/>
  <c r="W791"/>
  <c r="H792"/>
  <c r="I792"/>
  <c r="K792"/>
  <c r="N792"/>
  <c r="W792"/>
  <c r="H793"/>
  <c r="I793"/>
  <c r="K793"/>
  <c r="N793"/>
  <c r="W793"/>
  <c r="H794"/>
  <c r="I794"/>
  <c r="K794"/>
  <c r="N794"/>
  <c r="W794"/>
  <c r="H795"/>
  <c r="I795"/>
  <c r="K795"/>
  <c r="N795"/>
  <c r="W795"/>
  <c r="H796"/>
  <c r="I796"/>
  <c r="K796"/>
  <c r="N796"/>
  <c r="W796"/>
  <c r="H797"/>
  <c r="I797"/>
  <c r="K797"/>
  <c r="N797"/>
  <c r="W797"/>
  <c r="H798"/>
  <c r="I798"/>
  <c r="K798"/>
  <c r="N798"/>
  <c r="W798"/>
  <c r="H799"/>
  <c r="I799"/>
  <c r="K799"/>
  <c r="N799"/>
  <c r="W799"/>
  <c r="H800"/>
  <c r="I800"/>
  <c r="K800"/>
  <c r="N800"/>
  <c r="W800"/>
  <c r="H801"/>
  <c r="I801"/>
  <c r="K801"/>
  <c r="N801"/>
  <c r="W801"/>
  <c r="H802"/>
  <c r="I802"/>
  <c r="K802"/>
  <c r="N802"/>
  <c r="W802"/>
  <c r="H803"/>
  <c r="I803"/>
  <c r="K803"/>
  <c r="N803"/>
  <c r="W803"/>
  <c r="H804"/>
  <c r="I804"/>
  <c r="K804"/>
  <c r="N804"/>
  <c r="W804"/>
  <c r="H805"/>
  <c r="I805"/>
  <c r="K805"/>
  <c r="N805"/>
  <c r="W805"/>
  <c r="H806"/>
  <c r="I806"/>
  <c r="K806"/>
  <c r="N806"/>
  <c r="W806"/>
  <c r="H807"/>
  <c r="I807"/>
  <c r="K807"/>
  <c r="N807"/>
  <c r="W807"/>
  <c r="H808"/>
  <c r="I808"/>
  <c r="K808"/>
  <c r="N808"/>
  <c r="W808"/>
  <c r="H809"/>
  <c r="I809"/>
  <c r="K809"/>
  <c r="N809"/>
  <c r="W809"/>
  <c r="H810"/>
  <c r="I810"/>
  <c r="K810"/>
  <c r="N810"/>
  <c r="W810"/>
  <c r="H811"/>
  <c r="I811"/>
  <c r="K811"/>
  <c r="N811"/>
  <c r="W811"/>
  <c r="H812"/>
  <c r="I812"/>
  <c r="K812"/>
  <c r="N812"/>
  <c r="W812"/>
  <c r="H813"/>
  <c r="I813"/>
  <c r="K813"/>
  <c r="N813"/>
  <c r="W813"/>
  <c r="H814"/>
  <c r="I814"/>
  <c r="K814"/>
  <c r="N814"/>
  <c r="W814"/>
  <c r="H815"/>
  <c r="I815"/>
  <c r="K815"/>
  <c r="N815"/>
  <c r="W815"/>
  <c r="H816"/>
  <c r="I816"/>
  <c r="K816"/>
  <c r="N816"/>
  <c r="W816"/>
  <c r="H817"/>
  <c r="I817"/>
  <c r="K817"/>
  <c r="N817"/>
  <c r="W817"/>
  <c r="H818"/>
  <c r="I818"/>
  <c r="K818"/>
  <c r="N818"/>
  <c r="W818"/>
  <c r="H819"/>
  <c r="I819"/>
  <c r="K819"/>
  <c r="N819"/>
  <c r="W819"/>
  <c r="H820"/>
  <c r="I820"/>
  <c r="K820"/>
  <c r="N820"/>
  <c r="W820"/>
  <c r="H821"/>
  <c r="I821"/>
  <c r="K821"/>
  <c r="N821"/>
  <c r="W821"/>
  <c r="H822"/>
  <c r="I822"/>
  <c r="K822"/>
  <c r="N822"/>
  <c r="W822"/>
  <c r="H823"/>
  <c r="I823"/>
  <c r="K823"/>
  <c r="N823"/>
  <c r="W823"/>
  <c r="H824"/>
  <c r="I824"/>
  <c r="K824"/>
  <c r="N824"/>
  <c r="W824"/>
  <c r="H825"/>
  <c r="I825"/>
  <c r="K825"/>
  <c r="N825"/>
  <c r="W825"/>
  <c r="H826"/>
  <c r="I826"/>
  <c r="K826"/>
  <c r="N826"/>
  <c r="W826"/>
  <c r="H827"/>
  <c r="I827"/>
  <c r="K827"/>
  <c r="N827"/>
  <c r="W827"/>
  <c r="H828"/>
  <c r="I828"/>
  <c r="K828"/>
  <c r="N828"/>
  <c r="W828"/>
  <c r="H829"/>
  <c r="I829"/>
  <c r="K829"/>
  <c r="N829"/>
  <c r="W829"/>
  <c r="H830"/>
  <c r="I830"/>
  <c r="K830"/>
  <c r="N830"/>
  <c r="W830"/>
  <c r="H831"/>
  <c r="I831"/>
  <c r="K831"/>
  <c r="N831"/>
  <c r="W831"/>
  <c r="H832"/>
  <c r="I832"/>
  <c r="K832"/>
  <c r="N832"/>
  <c r="W832"/>
  <c r="H833"/>
  <c r="I833"/>
  <c r="K833"/>
  <c r="N833"/>
  <c r="W833"/>
  <c r="H834"/>
  <c r="I834"/>
  <c r="K834"/>
  <c r="N834"/>
  <c r="W834"/>
  <c r="H835"/>
  <c r="I835"/>
  <c r="K835"/>
  <c r="N835"/>
  <c r="W835"/>
  <c r="H836"/>
  <c r="I836"/>
  <c r="K836"/>
  <c r="N836"/>
  <c r="W836"/>
  <c r="H837"/>
  <c r="I837"/>
  <c r="K837"/>
  <c r="N837"/>
  <c r="W837"/>
  <c r="H838"/>
  <c r="I838"/>
  <c r="K838"/>
  <c r="N838"/>
  <c r="W838"/>
  <c r="H839"/>
  <c r="I839"/>
  <c r="K839"/>
  <c r="N839"/>
  <c r="W839"/>
  <c r="H840"/>
  <c r="I840"/>
  <c r="K840"/>
  <c r="N840"/>
  <c r="W840"/>
  <c r="H841"/>
  <c r="I841"/>
  <c r="K841"/>
  <c r="N841"/>
  <c r="W841"/>
  <c r="H842"/>
  <c r="I842"/>
  <c r="K842"/>
  <c r="N842"/>
  <c r="W842"/>
  <c r="H843"/>
  <c r="I843"/>
  <c r="K843"/>
  <c r="N843"/>
  <c r="W843"/>
  <c r="H844"/>
  <c r="I844"/>
  <c r="K844"/>
  <c r="N844"/>
  <c r="W844"/>
  <c r="H845"/>
  <c r="I845"/>
  <c r="K845"/>
  <c r="N845"/>
  <c r="W845"/>
  <c r="H846"/>
  <c r="I846"/>
  <c r="K846"/>
  <c r="N846"/>
  <c r="W846"/>
  <c r="H847"/>
  <c r="I847"/>
  <c r="K847"/>
  <c r="N847"/>
  <c r="W847"/>
  <c r="H848"/>
  <c r="I848"/>
  <c r="K848"/>
  <c r="N848"/>
  <c r="W848"/>
  <c r="H849"/>
  <c r="I849"/>
  <c r="K849"/>
  <c r="N849"/>
  <c r="W849"/>
  <c r="H850"/>
  <c r="I850"/>
  <c r="K850"/>
  <c r="N850"/>
  <c r="W850"/>
  <c r="H851"/>
  <c r="I851"/>
  <c r="K851"/>
  <c r="N851"/>
  <c r="W851"/>
  <c r="H852"/>
  <c r="I852"/>
  <c r="K852"/>
  <c r="N852"/>
  <c r="W852"/>
  <c r="H853"/>
  <c r="I853"/>
  <c r="K853"/>
  <c r="N853"/>
  <c r="W853"/>
  <c r="H854"/>
  <c r="I854"/>
  <c r="K854"/>
  <c r="N854"/>
  <c r="W854"/>
  <c r="H855"/>
  <c r="I855"/>
  <c r="K855"/>
  <c r="N855"/>
  <c r="W855"/>
  <c r="H856"/>
  <c r="I856"/>
  <c r="K856"/>
  <c r="N856"/>
  <c r="W856"/>
  <c r="H857"/>
  <c r="I857"/>
  <c r="K857"/>
  <c r="N857"/>
  <c r="W857"/>
  <c r="H858"/>
  <c r="I858"/>
  <c r="K858"/>
  <c r="N858"/>
  <c r="W858"/>
  <c r="H859"/>
  <c r="I859"/>
  <c r="K859"/>
  <c r="N859"/>
  <c r="W859"/>
  <c r="H860"/>
  <c r="I860"/>
  <c r="K860"/>
  <c r="N860"/>
  <c r="W860"/>
  <c r="H861"/>
  <c r="I861"/>
  <c r="K861"/>
  <c r="N861"/>
  <c r="W861"/>
  <c r="H862"/>
  <c r="I862"/>
  <c r="K862"/>
  <c r="N862"/>
  <c r="W862"/>
  <c r="H863"/>
  <c r="I863"/>
  <c r="K863"/>
  <c r="N863"/>
  <c r="W863"/>
  <c r="H864"/>
  <c r="I864"/>
  <c r="K864"/>
  <c r="N864"/>
  <c r="W864"/>
  <c r="H865"/>
  <c r="I865"/>
  <c r="K865"/>
  <c r="N865"/>
  <c r="W865"/>
  <c r="H866"/>
  <c r="I866"/>
  <c r="K866"/>
  <c r="N866"/>
  <c r="W866"/>
  <c r="H867"/>
  <c r="I867"/>
  <c r="K867"/>
  <c r="N867"/>
  <c r="W867"/>
  <c r="H868"/>
  <c r="I868"/>
  <c r="K868"/>
  <c r="N868"/>
  <c r="W868"/>
  <c r="H869"/>
  <c r="I869"/>
  <c r="K869"/>
  <c r="N869"/>
  <c r="W869"/>
  <c r="H870"/>
  <c r="I870"/>
  <c r="K870"/>
  <c r="N870"/>
  <c r="W870"/>
  <c r="H871"/>
  <c r="I871"/>
  <c r="K871"/>
  <c r="N871"/>
  <c r="W871"/>
  <c r="H872"/>
  <c r="I872"/>
  <c r="K872"/>
  <c r="N872"/>
  <c r="W872"/>
  <c r="H873"/>
  <c r="I873"/>
  <c r="K873"/>
  <c r="N873"/>
  <c r="W873"/>
  <c r="H874"/>
  <c r="I874"/>
  <c r="K874"/>
  <c r="N874"/>
  <c r="W874"/>
  <c r="H875"/>
  <c r="I875"/>
  <c r="K875"/>
  <c r="N875"/>
  <c r="W875"/>
  <c r="H876"/>
  <c r="I876"/>
  <c r="K876"/>
  <c r="N876"/>
  <c r="W876"/>
  <c r="H877"/>
  <c r="I877"/>
  <c r="K877"/>
  <c r="N877"/>
  <c r="W877"/>
  <c r="H878"/>
  <c r="I878"/>
  <c r="K878"/>
  <c r="N878"/>
  <c r="W878"/>
  <c r="H879"/>
  <c r="I879"/>
  <c r="K879"/>
  <c r="N879"/>
  <c r="W879"/>
  <c r="H880"/>
  <c r="I880"/>
  <c r="K880"/>
  <c r="N880"/>
  <c r="W880"/>
  <c r="H881"/>
  <c r="I881"/>
  <c r="K881"/>
  <c r="N881"/>
  <c r="W881"/>
  <c r="H882"/>
  <c r="I882"/>
  <c r="K882"/>
  <c r="N882"/>
  <c r="W882"/>
  <c r="H883"/>
  <c r="I883"/>
  <c r="K883"/>
  <c r="N883"/>
  <c r="W883"/>
  <c r="H884"/>
  <c r="I884"/>
  <c r="K884"/>
  <c r="N884"/>
  <c r="W884"/>
  <c r="H885"/>
  <c r="I885"/>
  <c r="K885"/>
  <c r="N885"/>
  <c r="W885"/>
  <c r="H886"/>
  <c r="I886"/>
  <c r="K886"/>
  <c r="N886"/>
  <c r="W886"/>
  <c r="H887"/>
  <c r="I887"/>
  <c r="K887"/>
  <c r="N887"/>
  <c r="W887"/>
  <c r="H888"/>
  <c r="I888"/>
  <c r="K888"/>
  <c r="N888"/>
  <c r="W888"/>
  <c r="H889"/>
  <c r="I889"/>
  <c r="K889"/>
  <c r="N889"/>
  <c r="W889"/>
  <c r="H890"/>
  <c r="I890"/>
  <c r="K890"/>
  <c r="N890"/>
  <c r="W890"/>
  <c r="H891"/>
  <c r="I891"/>
  <c r="K891"/>
  <c r="N891"/>
  <c r="W891"/>
  <c r="H892"/>
  <c r="I892"/>
  <c r="K892"/>
  <c r="N892"/>
  <c r="W892"/>
  <c r="H893"/>
  <c r="I893"/>
  <c r="K893"/>
  <c r="N893"/>
  <c r="W893"/>
  <c r="H894"/>
  <c r="I894"/>
  <c r="K894"/>
  <c r="N894"/>
  <c r="W894"/>
  <c r="H895"/>
  <c r="I895"/>
  <c r="K895"/>
  <c r="N895"/>
  <c r="W895"/>
  <c r="H896"/>
  <c r="I896"/>
  <c r="K896"/>
  <c r="N896"/>
  <c r="W896"/>
  <c r="H897"/>
  <c r="I897"/>
  <c r="K897"/>
  <c r="N897"/>
  <c r="W897"/>
  <c r="H898"/>
  <c r="I898"/>
  <c r="K898"/>
  <c r="N898"/>
  <c r="W898"/>
  <c r="H899"/>
  <c r="I899"/>
  <c r="K899"/>
  <c r="N899"/>
  <c r="W899"/>
  <c r="H900"/>
  <c r="I900"/>
  <c r="K900"/>
  <c r="N900"/>
  <c r="W900"/>
  <c r="H901"/>
  <c r="I901"/>
  <c r="K901"/>
  <c r="N901"/>
  <c r="W901"/>
  <c r="H902"/>
  <c r="I902"/>
  <c r="K902"/>
  <c r="N902"/>
  <c r="W902"/>
  <c r="H903"/>
  <c r="I903"/>
  <c r="K903"/>
  <c r="N903"/>
  <c r="W903"/>
  <c r="H904"/>
  <c r="I904"/>
  <c r="K904"/>
  <c r="N904"/>
  <c r="W904"/>
  <c r="H905"/>
  <c r="I905"/>
  <c r="K905"/>
  <c r="N905"/>
  <c r="W905"/>
  <c r="H906"/>
  <c r="I906"/>
  <c r="K906"/>
  <c r="N906"/>
  <c r="W906"/>
  <c r="H907"/>
  <c r="I907"/>
  <c r="K907"/>
  <c r="N907"/>
  <c r="W907"/>
  <c r="H908"/>
  <c r="I908"/>
  <c r="K908"/>
  <c r="N908"/>
  <c r="W908"/>
  <c r="H909"/>
  <c r="I909"/>
  <c r="K909"/>
  <c r="N909"/>
  <c r="W909"/>
  <c r="H910"/>
  <c r="I910"/>
  <c r="K910"/>
  <c r="N910"/>
  <c r="W910"/>
  <c r="H911"/>
  <c r="I911"/>
  <c r="K911"/>
  <c r="N911"/>
  <c r="W911"/>
  <c r="H912"/>
  <c r="I912"/>
  <c r="K912"/>
  <c r="N912"/>
  <c r="W912"/>
  <c r="H913"/>
  <c r="I913"/>
  <c r="K913"/>
  <c r="N913"/>
  <c r="W913"/>
  <c r="H914"/>
  <c r="I914"/>
  <c r="K914"/>
  <c r="N914"/>
  <c r="W914"/>
  <c r="H915"/>
  <c r="I915"/>
  <c r="K915"/>
  <c r="N915"/>
  <c r="W915"/>
  <c r="H916"/>
  <c r="I916"/>
  <c r="K916"/>
  <c r="N916"/>
  <c r="W916"/>
  <c r="H917"/>
  <c r="I917"/>
  <c r="K917"/>
  <c r="N917"/>
  <c r="W917"/>
  <c r="H918"/>
  <c r="I918"/>
  <c r="K918"/>
  <c r="N918"/>
  <c r="W918"/>
  <c r="H919"/>
  <c r="I919"/>
  <c r="K919"/>
  <c r="N919"/>
  <c r="W919"/>
  <c r="H920"/>
  <c r="I920"/>
  <c r="K920"/>
  <c r="N920"/>
  <c r="W920"/>
  <c r="H921"/>
  <c r="I921"/>
  <c r="K921"/>
  <c r="N921"/>
  <c r="W921"/>
  <c r="H922"/>
  <c r="I922"/>
  <c r="K922"/>
  <c r="N922"/>
  <c r="W922"/>
  <c r="H923"/>
  <c r="I923"/>
  <c r="K923"/>
  <c r="N923"/>
  <c r="W923"/>
  <c r="H924"/>
  <c r="I924"/>
  <c r="K924"/>
  <c r="N924"/>
  <c r="W924"/>
  <c r="H925"/>
  <c r="I925"/>
  <c r="K925"/>
  <c r="N925"/>
  <c r="W925"/>
  <c r="H926"/>
  <c r="I926"/>
  <c r="K926"/>
  <c r="N926"/>
  <c r="W926"/>
  <c r="H927"/>
  <c r="I927"/>
  <c r="K927"/>
  <c r="N927"/>
  <c r="W927"/>
  <c r="H928"/>
  <c r="I928"/>
  <c r="K928"/>
  <c r="N928"/>
  <c r="W928"/>
  <c r="H929"/>
  <c r="I929"/>
  <c r="K929"/>
  <c r="N929"/>
  <c r="W929"/>
  <c r="H930"/>
  <c r="I930"/>
  <c r="K930"/>
  <c r="N930"/>
  <c r="W930"/>
  <c r="H931"/>
  <c r="I931"/>
  <c r="K931"/>
  <c r="N931"/>
  <c r="W931"/>
  <c r="H932"/>
  <c r="I932"/>
  <c r="K932"/>
  <c r="N932"/>
  <c r="W932"/>
  <c r="H933"/>
  <c r="I933"/>
  <c r="K933"/>
  <c r="N933"/>
  <c r="W933"/>
  <c r="H934"/>
  <c r="I934"/>
  <c r="K934"/>
  <c r="N934"/>
  <c r="W934"/>
  <c r="H935"/>
  <c r="I935"/>
  <c r="K935"/>
  <c r="N935"/>
  <c r="W935"/>
  <c r="H936"/>
  <c r="I936"/>
  <c r="K936"/>
  <c r="N936"/>
  <c r="W936"/>
  <c r="H937"/>
  <c r="I937"/>
  <c r="K937"/>
  <c r="N937"/>
  <c r="W937"/>
  <c r="H938"/>
  <c r="I938"/>
  <c r="K938"/>
  <c r="N938"/>
  <c r="W938"/>
  <c r="H939"/>
  <c r="I939"/>
  <c r="K939"/>
  <c r="N939"/>
  <c r="W939"/>
  <c r="H940"/>
  <c r="I940"/>
  <c r="K940"/>
  <c r="N940"/>
  <c r="W940"/>
  <c r="H941"/>
  <c r="I941"/>
  <c r="K941"/>
  <c r="N941"/>
  <c r="W941"/>
  <c r="H942"/>
  <c r="I942"/>
  <c r="K942"/>
  <c r="N942"/>
  <c r="W942"/>
  <c r="H943"/>
  <c r="I943"/>
  <c r="K943"/>
  <c r="N943"/>
  <c r="W943"/>
  <c r="H944"/>
  <c r="I944"/>
  <c r="K944"/>
  <c r="N944"/>
  <c r="W944"/>
  <c r="H945"/>
  <c r="I945"/>
  <c r="K945"/>
  <c r="N945"/>
  <c r="W945"/>
  <c r="H946"/>
  <c r="I946"/>
  <c r="K946"/>
  <c r="N946"/>
  <c r="W946"/>
  <c r="H947"/>
  <c r="I947"/>
  <c r="K947"/>
  <c r="N947"/>
  <c r="W947"/>
  <c r="H948"/>
  <c r="I948"/>
  <c r="K948"/>
  <c r="N948"/>
  <c r="W948"/>
  <c r="H949"/>
  <c r="I949"/>
  <c r="K949"/>
  <c r="N949"/>
  <c r="W949"/>
  <c r="H950"/>
  <c r="I950"/>
  <c r="K950"/>
  <c r="N950"/>
  <c r="W950"/>
  <c r="H951"/>
  <c r="I951"/>
  <c r="K951"/>
  <c r="N951"/>
  <c r="W951"/>
  <c r="H952"/>
  <c r="I952"/>
  <c r="K952"/>
  <c r="N952"/>
  <c r="W952"/>
  <c r="H953"/>
  <c r="I953"/>
  <c r="K953"/>
  <c r="N953"/>
  <c r="W953"/>
  <c r="H954"/>
  <c r="I954"/>
  <c r="K954"/>
  <c r="N954"/>
  <c r="W954"/>
  <c r="H955"/>
  <c r="I955"/>
  <c r="K955"/>
  <c r="N955"/>
  <c r="W955"/>
  <c r="H956"/>
  <c r="I956"/>
  <c r="K956"/>
  <c r="N956"/>
  <c r="W956"/>
  <c r="H957"/>
  <c r="I957"/>
  <c r="K957"/>
  <c r="N957"/>
  <c r="W957"/>
  <c r="H958"/>
  <c r="I958"/>
  <c r="K958"/>
  <c r="N958"/>
  <c r="W958"/>
  <c r="H959"/>
  <c r="I959"/>
  <c r="K959"/>
  <c r="N959"/>
  <c r="W959"/>
  <c r="H960"/>
  <c r="I960"/>
  <c r="K960"/>
  <c r="N960"/>
  <c r="W960"/>
  <c r="H961"/>
  <c r="I961"/>
  <c r="K961"/>
  <c r="N961"/>
  <c r="W961"/>
  <c r="H962"/>
  <c r="I962"/>
  <c r="K962"/>
  <c r="N962"/>
  <c r="W962"/>
  <c r="H963"/>
  <c r="I963"/>
  <c r="K963"/>
  <c r="N963"/>
  <c r="W963"/>
  <c r="H964"/>
  <c r="I964"/>
  <c r="K964"/>
  <c r="N964"/>
  <c r="W964"/>
  <c r="H965"/>
  <c r="I965"/>
  <c r="K965"/>
  <c r="N965"/>
  <c r="W965"/>
  <c r="H966"/>
  <c r="I966"/>
  <c r="K966"/>
  <c r="N966"/>
  <c r="W966"/>
  <c r="H967"/>
  <c r="I967"/>
  <c r="K967"/>
  <c r="N967"/>
  <c r="W967"/>
  <c r="H968"/>
  <c r="I968"/>
  <c r="K968"/>
  <c r="N968"/>
  <c r="W968"/>
  <c r="H969"/>
  <c r="I969"/>
  <c r="K969"/>
  <c r="N969"/>
  <c r="W969"/>
  <c r="H970"/>
  <c r="I970"/>
  <c r="K970"/>
  <c r="N970"/>
  <c r="W970"/>
  <c r="H971"/>
  <c r="I971"/>
  <c r="K971"/>
  <c r="N971"/>
  <c r="W971"/>
  <c r="H972"/>
  <c r="I972"/>
  <c r="K972"/>
  <c r="N972"/>
  <c r="W972"/>
  <c r="H973"/>
  <c r="I973"/>
  <c r="K973"/>
  <c r="N973"/>
  <c r="W973"/>
  <c r="H974"/>
  <c r="I974"/>
  <c r="K974"/>
  <c r="N974"/>
  <c r="W974"/>
  <c r="H975"/>
  <c r="I975"/>
  <c r="K975"/>
  <c r="N975"/>
  <c r="W975"/>
  <c r="H976"/>
  <c r="I976"/>
  <c r="K976"/>
  <c r="N976"/>
  <c r="W976"/>
  <c r="H977"/>
  <c r="I977"/>
  <c r="K977"/>
  <c r="N977"/>
  <c r="W977"/>
  <c r="H978"/>
  <c r="I978"/>
  <c r="K978"/>
  <c r="N978"/>
  <c r="W978"/>
  <c r="H979"/>
  <c r="I979"/>
  <c r="K979"/>
  <c r="N979"/>
  <c r="W979"/>
  <c r="H980"/>
  <c r="I980"/>
  <c r="K980"/>
  <c r="N980"/>
  <c r="W980"/>
  <c r="H981"/>
  <c r="I981"/>
  <c r="K981"/>
  <c r="N981"/>
  <c r="W981"/>
  <c r="H982"/>
  <c r="I982"/>
  <c r="K982"/>
  <c r="N982"/>
  <c r="W982"/>
  <c r="H983"/>
  <c r="I983"/>
  <c r="K983"/>
  <c r="N983"/>
  <c r="W983"/>
  <c r="H984"/>
  <c r="I984"/>
  <c r="K984"/>
  <c r="N984"/>
  <c r="W984"/>
  <c r="H985"/>
  <c r="I985"/>
  <c r="K985"/>
  <c r="N985"/>
  <c r="W985"/>
  <c r="H986"/>
  <c r="I986"/>
  <c r="K986"/>
  <c r="N986"/>
  <c r="W986"/>
  <c r="H987"/>
  <c r="I987"/>
  <c r="K987"/>
  <c r="N987"/>
  <c r="W987"/>
  <c r="H988"/>
  <c r="I988"/>
  <c r="K988"/>
  <c r="N988"/>
  <c r="W988"/>
  <c r="H989"/>
  <c r="I989"/>
  <c r="K989"/>
  <c r="N989"/>
  <c r="W989"/>
  <c r="H990"/>
  <c r="I990"/>
  <c r="K990"/>
  <c r="N990"/>
  <c r="W990"/>
  <c r="H991"/>
  <c r="I991"/>
  <c r="K991"/>
  <c r="N991"/>
  <c r="W991"/>
  <c r="H992"/>
  <c r="I992"/>
  <c r="K992"/>
  <c r="N992"/>
  <c r="W992"/>
  <c r="H993"/>
  <c r="I993"/>
  <c r="K993"/>
  <c r="N993"/>
  <c r="W993"/>
  <c r="H994"/>
  <c r="I994"/>
  <c r="K994"/>
  <c r="N994"/>
  <c r="W994"/>
  <c r="H995"/>
  <c r="I995"/>
  <c r="K995"/>
  <c r="N995"/>
  <c r="W995"/>
  <c r="H996"/>
  <c r="I996"/>
  <c r="K996"/>
  <c r="N996"/>
  <c r="W996"/>
  <c r="H997"/>
  <c r="I997"/>
  <c r="K997"/>
  <c r="N997"/>
  <c r="W997"/>
  <c r="H998"/>
  <c r="I998"/>
  <c r="K998"/>
  <c r="N998"/>
  <c r="W998"/>
  <c r="H999"/>
  <c r="I999"/>
  <c r="K999"/>
  <c r="N999"/>
  <c r="W999"/>
  <c r="H1000"/>
  <c r="I1000"/>
  <c r="K1000"/>
  <c r="N1000"/>
  <c r="W1000"/>
  <c r="H1001"/>
  <c r="I1001"/>
  <c r="K1001"/>
  <c r="N1001"/>
  <c r="W1001"/>
  <c r="H1002"/>
  <c r="I1002"/>
  <c r="K1002"/>
  <c r="N1002"/>
  <c r="W1002"/>
  <c r="H1003"/>
  <c r="I1003"/>
  <c r="K1003"/>
  <c r="N1003"/>
  <c r="W1003"/>
  <c r="H1004"/>
  <c r="I1004"/>
  <c r="K1004"/>
  <c r="N1004"/>
  <c r="W1004"/>
  <c r="H1005"/>
  <c r="I1005"/>
  <c r="K1005"/>
  <c r="N1005"/>
  <c r="W1005"/>
  <c r="H1006"/>
  <c r="I1006"/>
  <c r="K1006"/>
  <c r="N1006"/>
  <c r="W1006"/>
  <c r="H1007"/>
  <c r="I1007"/>
  <c r="K1007"/>
  <c r="N1007"/>
  <c r="W1007"/>
  <c r="H1008"/>
  <c r="I1008"/>
  <c r="K1008"/>
  <c r="N1008"/>
  <c r="W1008"/>
  <c r="H1009"/>
  <c r="I1009"/>
  <c r="K1009"/>
  <c r="N1009"/>
  <c r="W1009"/>
  <c r="H1010"/>
  <c r="I1010"/>
  <c r="K1010"/>
  <c r="N1010"/>
  <c r="W1010"/>
  <c r="H1011"/>
  <c r="I1011"/>
  <c r="K1011"/>
  <c r="N1011"/>
  <c r="W1011"/>
  <c r="H1012"/>
  <c r="I1012"/>
  <c r="K1012"/>
  <c r="N1012"/>
  <c r="W1012"/>
  <c r="H1013"/>
  <c r="I1013"/>
  <c r="K1013"/>
  <c r="N1013"/>
  <c r="W1013"/>
  <c r="H1014"/>
  <c r="I1014"/>
  <c r="K1014"/>
  <c r="N1014"/>
  <c r="W1014"/>
  <c r="H1015"/>
  <c r="I1015"/>
  <c r="K1015"/>
  <c r="N1015"/>
  <c r="W1015"/>
  <c r="H1016"/>
  <c r="I1016"/>
  <c r="K1016"/>
  <c r="N1016"/>
  <c r="W1016"/>
  <c r="H1017"/>
  <c r="I1017"/>
  <c r="K1017"/>
  <c r="N1017"/>
  <c r="W1017"/>
  <c r="H1018"/>
  <c r="I1018"/>
  <c r="K1018"/>
  <c r="N1018"/>
  <c r="W1018"/>
  <c r="H1019"/>
  <c r="I1019"/>
  <c r="K1019"/>
  <c r="N1019"/>
  <c r="W1019"/>
  <c r="H1020"/>
  <c r="I1020"/>
  <c r="K1020"/>
  <c r="N1020"/>
  <c r="W1020"/>
  <c r="H1021"/>
  <c r="I1021"/>
  <c r="K1021"/>
  <c r="N1021"/>
  <c r="W1021"/>
  <c r="H1022"/>
  <c r="I1022"/>
  <c r="K1022"/>
  <c r="N1022"/>
  <c r="W1022"/>
  <c r="H1023"/>
  <c r="I1023"/>
  <c r="K1023"/>
  <c r="N1023"/>
  <c r="W1023"/>
  <c r="H1024"/>
  <c r="I1024"/>
  <c r="K1024"/>
  <c r="N1024"/>
  <c r="W1024"/>
  <c r="H1025"/>
  <c r="I1025"/>
  <c r="K1025"/>
  <c r="N1025"/>
  <c r="W1025"/>
  <c r="H1026"/>
  <c r="I1026"/>
  <c r="K1026"/>
  <c r="N1026"/>
  <c r="W1026"/>
  <c r="H1027"/>
  <c r="I1027"/>
  <c r="K1027"/>
  <c r="N1027"/>
  <c r="W1027"/>
  <c r="H1028"/>
  <c r="I1028"/>
  <c r="K1028"/>
  <c r="N1028"/>
  <c r="W1028"/>
  <c r="H1029"/>
  <c r="I1029"/>
  <c r="K1029"/>
  <c r="N1029"/>
  <c r="W1029"/>
  <c r="H1030"/>
  <c r="I1030"/>
  <c r="K1030"/>
  <c r="N1030"/>
  <c r="W1030"/>
  <c r="H1031"/>
  <c r="I1031"/>
  <c r="K1031"/>
  <c r="N1031"/>
  <c r="W1031"/>
  <c r="H1032"/>
  <c r="I1032"/>
  <c r="K1032"/>
  <c r="N1032"/>
  <c r="W1032"/>
  <c r="H1033"/>
  <c r="I1033"/>
  <c r="K1033"/>
  <c r="N1033"/>
  <c r="W1033"/>
  <c r="H1034"/>
  <c r="I1034"/>
  <c r="K1034"/>
  <c r="N1034"/>
  <c r="W1034"/>
  <c r="H1035"/>
  <c r="I1035"/>
  <c r="K1035"/>
  <c r="N1035"/>
  <c r="W1035"/>
  <c r="H1036"/>
  <c r="I1036"/>
  <c r="K1036"/>
  <c r="N1036"/>
  <c r="W1036"/>
  <c r="H1037"/>
  <c r="I1037"/>
  <c r="K1037"/>
  <c r="N1037"/>
  <c r="W1037"/>
  <c r="H1038"/>
  <c r="I1038"/>
  <c r="K1038"/>
  <c r="N1038"/>
  <c r="W1038"/>
  <c r="H1039"/>
  <c r="I1039"/>
  <c r="K1039"/>
  <c r="N1039"/>
  <c r="W1039"/>
  <c r="H1040"/>
  <c r="I1040"/>
  <c r="K1040"/>
  <c r="N1040"/>
  <c r="W1040"/>
  <c r="H1041"/>
  <c r="I1041"/>
  <c r="K1041"/>
  <c r="N1041"/>
  <c r="W1041"/>
  <c r="H1042"/>
  <c r="I1042"/>
  <c r="K1042"/>
  <c r="N1042"/>
  <c r="W1042"/>
  <c r="H1043"/>
  <c r="I1043"/>
  <c r="K1043"/>
  <c r="N1043"/>
  <c r="W1043"/>
  <c r="H1044"/>
  <c r="I1044"/>
  <c r="K1044"/>
  <c r="N1044"/>
  <c r="W1044"/>
  <c r="H1045"/>
  <c r="I1045"/>
  <c r="K1045"/>
  <c r="N1045"/>
  <c r="W1045"/>
  <c r="H1046"/>
  <c r="I1046"/>
  <c r="K1046"/>
  <c r="N1046"/>
  <c r="W1046"/>
  <c r="H1047"/>
  <c r="I1047"/>
  <c r="K1047"/>
  <c r="N1047"/>
  <c r="W1047"/>
  <c r="H1048"/>
  <c r="I1048"/>
  <c r="K1048"/>
  <c r="N1048"/>
  <c r="W1048"/>
  <c r="H1049"/>
  <c r="I1049"/>
  <c r="K1049"/>
  <c r="N1049"/>
  <c r="W1049"/>
  <c r="H1050"/>
  <c r="I1050"/>
  <c r="K1050"/>
  <c r="N1050"/>
  <c r="W1050"/>
  <c r="H1051"/>
  <c r="I1051"/>
  <c r="K1051"/>
  <c r="N1051"/>
  <c r="W1051"/>
  <c r="H1052"/>
  <c r="I1052"/>
  <c r="K1052"/>
  <c r="N1052"/>
  <c r="W1052"/>
  <c r="H1053"/>
  <c r="I1053"/>
  <c r="K1053"/>
  <c r="N1053"/>
  <c r="W1053"/>
  <c r="H1054"/>
  <c r="I1054"/>
  <c r="K1054"/>
  <c r="N1054"/>
  <c r="W1054"/>
  <c r="H1055"/>
  <c r="I1055"/>
  <c r="K1055"/>
  <c r="N1055"/>
  <c r="W1055"/>
  <c r="H1056"/>
  <c r="I1056"/>
  <c r="K1056"/>
  <c r="N1056"/>
  <c r="W1056"/>
  <c r="H1057"/>
  <c r="I1057"/>
  <c r="K1057"/>
  <c r="N1057"/>
  <c r="W1057"/>
  <c r="H1058"/>
  <c r="I1058"/>
  <c r="K1058"/>
  <c r="N1058"/>
  <c r="W1058"/>
  <c r="H1059"/>
  <c r="I1059"/>
  <c r="K1059"/>
  <c r="N1059"/>
  <c r="W1059"/>
  <c r="H1060"/>
  <c r="I1060"/>
  <c r="K1060"/>
  <c r="N1060"/>
  <c r="W1060"/>
  <c r="H1061"/>
  <c r="I1061"/>
  <c r="K1061"/>
  <c r="N1061"/>
  <c r="W1061"/>
  <c r="H1062"/>
  <c r="I1062"/>
  <c r="K1062"/>
  <c r="N1062"/>
  <c r="W1062"/>
  <c r="H1063"/>
  <c r="I1063"/>
  <c r="K1063"/>
  <c r="N1063"/>
  <c r="W1063"/>
  <c r="H1064"/>
  <c r="I1064"/>
  <c r="K1064"/>
  <c r="N1064"/>
  <c r="W1064"/>
  <c r="H1065"/>
  <c r="I1065"/>
  <c r="K1065"/>
  <c r="N1065"/>
  <c r="W1065"/>
  <c r="H1066"/>
  <c r="I1066"/>
  <c r="K1066"/>
  <c r="N1066"/>
  <c r="W1066"/>
  <c r="H1067"/>
  <c r="I1067"/>
  <c r="K1067"/>
  <c r="N1067"/>
  <c r="W1067"/>
  <c r="H1068"/>
  <c r="I1068"/>
  <c r="K1068"/>
  <c r="N1068"/>
  <c r="W1068"/>
  <c r="H1069"/>
  <c r="I1069"/>
  <c r="K1069"/>
  <c r="N1069"/>
  <c r="W1069"/>
  <c r="H1070"/>
  <c r="I1070"/>
  <c r="K1070"/>
  <c r="N1070"/>
  <c r="W1070"/>
  <c r="H1071"/>
  <c r="I1071"/>
  <c r="K1071"/>
  <c r="N1071"/>
  <c r="W1071"/>
  <c r="H1072"/>
  <c r="I1072"/>
  <c r="K1072"/>
  <c r="N1072"/>
  <c r="W1072"/>
  <c r="H1073"/>
  <c r="I1073"/>
  <c r="K1073"/>
  <c r="N1073"/>
  <c r="W1073"/>
  <c r="H1074"/>
  <c r="I1074"/>
  <c r="K1074"/>
  <c r="N1074"/>
  <c r="W1074"/>
  <c r="H1075"/>
  <c r="I1075"/>
  <c r="K1075"/>
  <c r="N1075"/>
  <c r="W1075"/>
  <c r="H1076"/>
  <c r="I1076"/>
  <c r="K1076"/>
  <c r="N1076"/>
  <c r="W1076"/>
  <c r="H1077"/>
  <c r="I1077"/>
  <c r="K1077"/>
  <c r="N1077"/>
  <c r="W1077"/>
  <c r="H1078"/>
  <c r="I1078"/>
  <c r="K1078"/>
  <c r="N1078"/>
  <c r="W1078"/>
  <c r="H1079"/>
  <c r="I1079"/>
  <c r="K1079"/>
  <c r="N1079"/>
  <c r="W1079"/>
  <c r="H1080"/>
  <c r="I1080"/>
  <c r="K1080"/>
  <c r="N1080"/>
  <c r="W1080"/>
  <c r="H1081"/>
  <c r="I1081"/>
  <c r="K1081"/>
  <c r="N1081"/>
  <c r="W1081"/>
  <c r="H1082"/>
  <c r="I1082"/>
  <c r="K1082"/>
  <c r="N1082"/>
  <c r="W1082"/>
  <c r="H1083"/>
  <c r="I1083"/>
  <c r="K1083"/>
  <c r="N1083"/>
  <c r="W1083"/>
  <c r="H1084"/>
  <c r="I1084"/>
  <c r="K1084"/>
  <c r="N1084"/>
  <c r="W1084"/>
  <c r="H1085"/>
  <c r="I1085"/>
  <c r="K1085"/>
  <c r="N1085"/>
  <c r="W1085"/>
  <c r="H1086"/>
  <c r="I1086"/>
  <c r="K1086"/>
  <c r="N1086"/>
  <c r="W1086"/>
  <c r="H1087"/>
  <c r="I1087"/>
  <c r="K1087"/>
  <c r="N1087"/>
  <c r="W1087"/>
  <c r="H1088"/>
  <c r="I1088"/>
  <c r="K1088"/>
  <c r="N1088"/>
  <c r="W1088"/>
  <c r="H1089"/>
  <c r="I1089"/>
  <c r="K1089"/>
  <c r="N1089"/>
  <c r="W1089"/>
  <c r="H1090"/>
  <c r="I1090"/>
  <c r="K1090"/>
  <c r="N1090"/>
  <c r="W1090"/>
  <c r="H1091"/>
  <c r="I1091"/>
  <c r="K1091"/>
  <c r="N1091"/>
  <c r="W1091"/>
  <c r="H1092"/>
  <c r="I1092"/>
  <c r="K1092"/>
  <c r="N1092"/>
  <c r="W1092"/>
  <c r="H1093"/>
  <c r="I1093"/>
  <c r="K1093"/>
  <c r="N1093"/>
  <c r="W1093"/>
  <c r="H1094"/>
  <c r="I1094"/>
  <c r="K1094"/>
  <c r="N1094"/>
  <c r="W1094"/>
  <c r="H1095"/>
  <c r="I1095"/>
  <c r="K1095"/>
  <c r="N1095"/>
  <c r="W1095"/>
  <c r="H1096"/>
  <c r="I1096"/>
  <c r="K1096"/>
  <c r="N1096"/>
  <c r="W1096"/>
  <c r="H1097"/>
  <c r="I1097"/>
  <c r="K1097"/>
  <c r="N1097"/>
  <c r="W1097"/>
  <c r="H1098"/>
  <c r="I1098"/>
  <c r="K1098"/>
  <c r="N1098"/>
  <c r="W1098"/>
  <c r="H1099"/>
  <c r="I1099"/>
  <c r="K1099"/>
  <c r="N1099"/>
  <c r="W1099"/>
  <c r="H1100"/>
  <c r="I1100"/>
  <c r="K1100"/>
  <c r="N1100"/>
  <c r="W1100"/>
  <c r="H1101"/>
  <c r="I1101"/>
  <c r="K1101"/>
  <c r="N1101"/>
  <c r="W1101"/>
  <c r="H1102"/>
  <c r="I1102"/>
  <c r="K1102"/>
  <c r="N1102"/>
  <c r="W1102"/>
  <c r="H1103"/>
  <c r="I1103"/>
  <c r="K1103"/>
  <c r="N1103"/>
  <c r="W1103"/>
  <c r="H1104"/>
  <c r="I1104"/>
  <c r="K1104"/>
  <c r="N1104"/>
  <c r="W1104"/>
  <c r="H1105"/>
  <c r="I1105"/>
  <c r="K1105"/>
  <c r="N1105"/>
  <c r="W1105"/>
  <c r="H1106"/>
  <c r="I1106"/>
  <c r="K1106"/>
  <c r="N1106"/>
  <c r="W1106"/>
  <c r="H1107"/>
  <c r="I1107"/>
  <c r="K1107"/>
  <c r="N1107"/>
  <c r="W1107"/>
  <c r="H1108"/>
  <c r="I1108"/>
  <c r="K1108"/>
  <c r="N1108"/>
  <c r="W1108"/>
  <c r="H1109"/>
  <c r="I1109"/>
  <c r="K1109"/>
  <c r="N1109"/>
  <c r="W1109"/>
  <c r="H1110"/>
  <c r="I1110"/>
  <c r="K1110"/>
  <c r="N1110"/>
  <c r="W1110"/>
  <c r="H1111"/>
  <c r="I1111"/>
  <c r="K1111"/>
  <c r="N1111"/>
  <c r="W1111"/>
  <c r="H1112"/>
  <c r="I1112"/>
  <c r="K1112"/>
  <c r="N1112"/>
  <c r="W1112"/>
  <c r="H1113"/>
  <c r="I1113"/>
  <c r="K1113"/>
  <c r="N1113"/>
  <c r="W1113"/>
  <c r="H1114"/>
  <c r="I1114"/>
  <c r="K1114"/>
  <c r="N1114"/>
  <c r="W1114"/>
  <c r="H1115"/>
  <c r="I1115"/>
  <c r="K1115"/>
  <c r="N1115"/>
  <c r="W1115"/>
  <c r="H1116"/>
  <c r="I1116"/>
  <c r="K1116"/>
  <c r="N1116"/>
  <c r="W1116"/>
  <c r="H1117"/>
  <c r="I1117"/>
  <c r="K1117"/>
  <c r="N1117"/>
  <c r="W1117"/>
  <c r="H1118"/>
  <c r="I1118"/>
  <c r="K1118"/>
  <c r="N1118"/>
  <c r="W1118"/>
  <c r="H1119"/>
  <c r="I1119"/>
  <c r="K1119"/>
  <c r="N1119"/>
  <c r="W1119"/>
  <c r="H1120"/>
  <c r="I1120"/>
  <c r="K1120"/>
  <c r="N1120"/>
  <c r="W1120"/>
  <c r="H1121"/>
  <c r="I1121"/>
  <c r="K1121"/>
  <c r="N1121"/>
  <c r="W1121"/>
  <c r="H1122"/>
  <c r="I1122"/>
  <c r="K1122"/>
  <c r="N1122"/>
  <c r="W1122"/>
  <c r="H1123"/>
  <c r="I1123"/>
  <c r="K1123"/>
  <c r="N1123"/>
  <c r="W1123"/>
  <c r="H1124"/>
  <c r="I1124"/>
  <c r="K1124"/>
  <c r="N1124"/>
  <c r="W1124"/>
  <c r="H1125"/>
  <c r="I1125"/>
  <c r="K1125"/>
  <c r="N1125"/>
  <c r="W1125"/>
  <c r="H1126"/>
  <c r="I1126"/>
  <c r="K1126"/>
  <c r="N1126"/>
  <c r="W1126"/>
  <c r="H1127"/>
  <c r="I1127"/>
  <c r="K1127"/>
  <c r="N1127"/>
  <c r="W1127"/>
  <c r="H1128"/>
  <c r="I1128"/>
  <c r="K1128"/>
  <c r="N1128"/>
  <c r="W1128"/>
  <c r="H1129"/>
  <c r="I1129"/>
  <c r="K1129"/>
  <c r="N1129"/>
  <c r="W1129"/>
  <c r="H1130"/>
  <c r="I1130"/>
  <c r="K1130"/>
  <c r="N1130"/>
  <c r="W1130"/>
  <c r="H1131"/>
  <c r="I1131"/>
  <c r="K1131"/>
  <c r="N1131"/>
  <c r="W1131"/>
  <c r="H1132"/>
  <c r="I1132"/>
  <c r="K1132"/>
  <c r="N1132"/>
  <c r="W1132"/>
  <c r="H1133"/>
  <c r="I1133"/>
  <c r="K1133"/>
  <c r="N1133"/>
  <c r="W1133"/>
  <c r="H1134"/>
  <c r="I1134"/>
  <c r="K1134"/>
  <c r="N1134"/>
  <c r="W1134"/>
  <c r="H1135"/>
  <c r="I1135"/>
  <c r="K1135"/>
  <c r="N1135"/>
  <c r="W1135"/>
  <c r="H1136"/>
  <c r="I1136"/>
  <c r="K1136"/>
  <c r="N1136"/>
  <c r="W1136"/>
  <c r="H1137"/>
  <c r="I1137"/>
  <c r="K1137"/>
  <c r="N1137"/>
  <c r="W1137"/>
  <c r="H1138"/>
  <c r="I1138"/>
  <c r="K1138"/>
  <c r="N1138"/>
  <c r="W1138"/>
  <c r="H1139"/>
  <c r="I1139"/>
  <c r="K1139"/>
  <c r="N1139"/>
  <c r="W1139"/>
  <c r="H1140"/>
  <c r="I1140"/>
  <c r="K1140"/>
  <c r="N1140"/>
  <c r="W1140"/>
  <c r="H1141"/>
  <c r="I1141"/>
  <c r="K1141"/>
  <c r="N1141"/>
  <c r="W1141"/>
  <c r="H1142"/>
  <c r="I1142"/>
  <c r="K1142"/>
  <c r="N1142"/>
  <c r="W1142"/>
  <c r="H1143"/>
  <c r="I1143"/>
  <c r="K1143"/>
  <c r="N1143"/>
  <c r="W1143"/>
  <c r="H1144"/>
  <c r="I1144"/>
  <c r="K1144"/>
  <c r="N1144"/>
  <c r="W1144"/>
  <c r="H1145"/>
  <c r="I1145"/>
  <c r="K1145"/>
  <c r="N1145"/>
  <c r="W1145"/>
  <c r="H1146"/>
  <c r="I1146"/>
  <c r="K1146"/>
  <c r="N1146"/>
  <c r="W1146"/>
  <c r="H1147"/>
  <c r="I1147"/>
  <c r="K1147"/>
  <c r="N1147"/>
  <c r="W1147"/>
  <c r="H1148"/>
  <c r="I1148"/>
  <c r="K1148"/>
  <c r="N1148"/>
  <c r="W1148"/>
  <c r="H1149"/>
  <c r="I1149"/>
  <c r="K1149"/>
  <c r="N1149"/>
  <c r="W1149"/>
  <c r="H1150"/>
  <c r="I1150"/>
  <c r="K1150"/>
  <c r="N1150"/>
  <c r="W1150"/>
  <c r="H1151"/>
  <c r="I1151"/>
  <c r="K1151"/>
  <c r="N1151"/>
  <c r="W1151"/>
  <c r="H1152"/>
  <c r="I1152"/>
  <c r="K1152"/>
  <c r="N1152"/>
  <c r="W1152"/>
  <c r="H1153"/>
  <c r="I1153"/>
  <c r="K1153"/>
  <c r="N1153"/>
  <c r="W1153"/>
  <c r="H1154"/>
  <c r="I1154"/>
  <c r="K1154"/>
  <c r="N1154"/>
  <c r="W1154"/>
  <c r="H1155"/>
  <c r="I1155"/>
  <c r="K1155"/>
  <c r="N1155"/>
  <c r="W1155"/>
  <c r="H1156"/>
  <c r="I1156"/>
  <c r="K1156"/>
  <c r="N1156"/>
  <c r="W1156"/>
  <c r="H1157"/>
  <c r="I1157"/>
  <c r="K1157"/>
  <c r="N1157"/>
  <c r="W1157"/>
  <c r="H1158"/>
  <c r="I1158"/>
  <c r="K1158"/>
  <c r="N1158"/>
  <c r="W1158"/>
  <c r="H1159"/>
  <c r="I1159"/>
  <c r="K1159"/>
  <c r="N1159"/>
  <c r="W1159"/>
  <c r="H1160"/>
  <c r="I1160"/>
  <c r="K1160"/>
  <c r="N1160"/>
  <c r="W1160"/>
  <c r="H1161"/>
  <c r="I1161"/>
  <c r="K1161"/>
  <c r="N1161"/>
  <c r="W1161"/>
  <c r="H1162"/>
  <c r="I1162"/>
  <c r="K1162"/>
  <c r="N1162"/>
  <c r="W1162"/>
  <c r="H1163"/>
  <c r="I1163"/>
  <c r="K1163"/>
  <c r="N1163"/>
  <c r="W1163"/>
  <c r="H1164"/>
  <c r="I1164"/>
  <c r="K1164"/>
  <c r="N1164"/>
  <c r="W1164"/>
  <c r="H1165"/>
  <c r="I1165"/>
  <c r="K1165"/>
  <c r="N1165"/>
  <c r="W1165"/>
  <c r="H1166"/>
  <c r="I1166"/>
  <c r="K1166"/>
  <c r="N1166"/>
  <c r="W1166"/>
  <c r="H1167"/>
  <c r="I1167"/>
  <c r="K1167"/>
  <c r="N1167"/>
  <c r="W1167"/>
  <c r="H1168"/>
  <c r="I1168"/>
  <c r="K1168"/>
  <c r="N1168"/>
  <c r="W1168"/>
  <c r="H1169"/>
  <c r="I1169"/>
  <c r="K1169"/>
  <c r="N1169"/>
  <c r="W1169"/>
  <c r="H1170"/>
  <c r="I1170"/>
  <c r="K1170"/>
  <c r="N1170"/>
  <c r="W1170"/>
  <c r="H1171"/>
  <c r="I1171"/>
  <c r="K1171"/>
  <c r="N1171"/>
  <c r="W1171"/>
  <c r="H1172"/>
  <c r="I1172"/>
  <c r="K1172"/>
  <c r="N1172"/>
  <c r="W1172"/>
  <c r="H1173"/>
  <c r="I1173"/>
  <c r="K1173"/>
  <c r="N1173"/>
  <c r="W1173"/>
  <c r="H1174"/>
  <c r="I1174"/>
  <c r="K1174"/>
  <c r="N1174"/>
  <c r="W1174"/>
  <c r="H1175"/>
  <c r="I1175"/>
  <c r="K1175"/>
  <c r="N1175"/>
  <c r="W1175"/>
  <c r="H1176"/>
  <c r="I1176"/>
  <c r="K1176"/>
  <c r="N1176"/>
  <c r="W1176"/>
  <c r="H1177"/>
  <c r="I1177"/>
  <c r="K1177"/>
  <c r="N1177"/>
  <c r="W1177"/>
  <c r="H1178"/>
  <c r="I1178"/>
  <c r="K1178"/>
  <c r="N1178"/>
  <c r="W1178"/>
  <c r="H1179"/>
  <c r="I1179"/>
  <c r="K1179"/>
  <c r="N1179"/>
  <c r="W1179"/>
  <c r="H1180"/>
  <c r="I1180"/>
  <c r="K1180"/>
  <c r="N1180"/>
  <c r="W1180"/>
  <c r="H1181"/>
  <c r="I1181"/>
  <c r="K1181"/>
  <c r="N1181"/>
  <c r="W1181"/>
  <c r="H1182"/>
  <c r="I1182"/>
  <c r="K1182"/>
  <c r="N1182"/>
  <c r="W1182"/>
  <c r="H1183"/>
  <c r="I1183"/>
  <c r="K1183"/>
  <c r="N1183"/>
  <c r="W1183"/>
  <c r="H1184"/>
  <c r="I1184"/>
  <c r="K1184"/>
  <c r="N1184"/>
  <c r="W1184"/>
  <c r="H1185"/>
  <c r="I1185"/>
  <c r="K1185"/>
  <c r="N1185"/>
  <c r="W1185"/>
  <c r="H1186"/>
  <c r="I1186"/>
  <c r="K1186"/>
  <c r="N1186"/>
  <c r="W1186"/>
  <c r="H1187"/>
  <c r="I1187"/>
  <c r="K1187"/>
  <c r="N1187"/>
  <c r="W1187"/>
  <c r="H1188"/>
  <c r="I1188"/>
  <c r="K1188"/>
  <c r="N1188"/>
  <c r="W1188"/>
  <c r="H1189"/>
  <c r="I1189"/>
  <c r="K1189"/>
  <c r="N1189"/>
  <c r="W1189"/>
  <c r="H1190"/>
  <c r="I1190"/>
  <c r="K1190"/>
  <c r="N1190"/>
  <c r="W1190"/>
  <c r="H1191"/>
  <c r="I1191"/>
  <c r="K1191"/>
  <c r="N1191"/>
  <c r="W1191"/>
  <c r="H1192"/>
  <c r="I1192"/>
  <c r="K1192"/>
  <c r="N1192"/>
  <c r="W1192"/>
  <c r="H1193"/>
  <c r="I1193"/>
  <c r="K1193"/>
  <c r="N1193"/>
  <c r="W1193"/>
  <c r="H1194"/>
  <c r="I1194"/>
  <c r="K1194"/>
  <c r="N1194"/>
  <c r="W1194"/>
  <c r="H1195"/>
  <c r="I1195"/>
  <c r="K1195"/>
  <c r="N1195"/>
  <c r="W1195"/>
  <c r="H1196"/>
  <c r="I1196"/>
  <c r="K1196"/>
  <c r="N1196"/>
  <c r="W1196"/>
  <c r="H1197"/>
  <c r="I1197"/>
  <c r="K1197"/>
  <c r="N1197"/>
  <c r="W1197"/>
  <c r="H1198"/>
  <c r="I1198"/>
  <c r="K1198"/>
  <c r="N1198"/>
  <c r="W1198"/>
  <c r="H1199"/>
  <c r="I1199"/>
  <c r="K1199"/>
  <c r="N1199"/>
  <c r="W1199"/>
  <c r="H1200"/>
  <c r="I1200"/>
  <c r="K1200"/>
  <c r="N1200"/>
  <c r="W1200"/>
  <c r="H1201"/>
  <c r="I1201"/>
  <c r="K1201"/>
  <c r="N1201"/>
  <c r="W1201"/>
  <c r="H1202"/>
  <c r="I1202"/>
  <c r="K1202"/>
  <c r="N1202"/>
  <c r="W1202"/>
  <c r="H1203"/>
  <c r="I1203"/>
  <c r="K1203"/>
  <c r="N1203"/>
  <c r="W1203"/>
  <c r="H1204"/>
  <c r="I1204"/>
  <c r="K1204"/>
  <c r="N1204"/>
  <c r="W1204"/>
  <c r="H1205"/>
  <c r="I1205"/>
  <c r="K1205"/>
  <c r="N1205"/>
  <c r="W1205"/>
  <c r="H1206"/>
  <c r="I1206"/>
  <c r="K1206"/>
  <c r="N1206"/>
  <c r="W1206"/>
  <c r="H1207"/>
  <c r="I1207"/>
  <c r="K1207"/>
  <c r="N1207"/>
  <c r="W1207"/>
  <c r="H1208"/>
  <c r="I1208"/>
  <c r="K1208"/>
  <c r="N1208"/>
  <c r="W1208"/>
  <c r="H1209"/>
  <c r="I1209"/>
  <c r="K1209"/>
  <c r="N1209"/>
  <c r="W1209"/>
  <c r="H1210"/>
  <c r="I1210"/>
  <c r="K1210"/>
  <c r="N1210"/>
  <c r="W1210"/>
  <c r="H1211"/>
  <c r="I1211"/>
  <c r="K1211"/>
  <c r="N1211"/>
  <c r="W1211"/>
  <c r="H1212"/>
  <c r="I1212"/>
  <c r="K1212"/>
  <c r="N1212"/>
  <c r="W1212"/>
  <c r="H1213"/>
  <c r="I1213"/>
  <c r="K1213"/>
  <c r="N1213"/>
  <c r="W1213"/>
  <c r="H1214"/>
  <c r="I1214"/>
  <c r="K1214"/>
  <c r="N1214"/>
  <c r="W1214"/>
  <c r="H1215"/>
  <c r="I1215"/>
  <c r="K1215"/>
  <c r="N1215"/>
  <c r="W1215"/>
  <c r="H1216"/>
  <c r="I1216"/>
  <c r="K1216"/>
  <c r="N1216"/>
  <c r="W1216"/>
  <c r="H1217"/>
  <c r="I1217"/>
  <c r="K1217"/>
  <c r="N1217"/>
  <c r="W1217"/>
  <c r="H1218"/>
  <c r="I1218"/>
  <c r="K1218"/>
  <c r="N1218"/>
  <c r="W1218"/>
  <c r="H1219"/>
  <c r="I1219"/>
  <c r="K1219"/>
  <c r="N1219"/>
  <c r="W1219"/>
  <c r="H1220"/>
  <c r="I1220"/>
  <c r="K1220"/>
  <c r="N1220"/>
  <c r="W1220"/>
  <c r="H1221"/>
  <c r="I1221"/>
  <c r="K1221"/>
  <c r="N1221"/>
  <c r="W1221"/>
  <c r="H1222"/>
  <c r="I1222"/>
  <c r="K1222"/>
  <c r="N1222"/>
  <c r="W1222"/>
  <c r="H1223"/>
  <c r="I1223"/>
  <c r="K1223"/>
  <c r="N1223"/>
  <c r="W1223"/>
  <c r="H1224"/>
  <c r="I1224"/>
  <c r="K1224"/>
  <c r="N1224"/>
  <c r="W1224"/>
  <c r="H1225"/>
  <c r="I1225"/>
  <c r="K1225"/>
  <c r="N1225"/>
  <c r="W1225"/>
  <c r="H1226"/>
  <c r="I1226"/>
  <c r="K1226"/>
  <c r="N1226"/>
  <c r="W1226"/>
  <c r="H1227"/>
  <c r="I1227"/>
  <c r="K1227"/>
  <c r="N1227"/>
  <c r="W1227"/>
  <c r="H1228"/>
  <c r="I1228"/>
  <c r="K1228"/>
  <c r="N1228"/>
  <c r="W1228"/>
  <c r="H1229"/>
  <c r="I1229"/>
  <c r="K1229"/>
  <c r="N1229"/>
  <c r="W1229"/>
  <c r="H1230"/>
  <c r="I1230"/>
  <c r="K1230"/>
  <c r="N1230"/>
  <c r="W1230"/>
  <c r="H1231"/>
  <c r="I1231"/>
  <c r="K1231"/>
  <c r="N1231"/>
  <c r="W1231"/>
  <c r="H1232"/>
  <c r="I1232"/>
  <c r="K1232"/>
  <c r="N1232"/>
  <c r="W1232"/>
  <c r="H1233"/>
  <c r="I1233"/>
  <c r="K1233"/>
  <c r="N1233"/>
  <c r="W1233"/>
  <c r="H1234"/>
  <c r="I1234"/>
  <c r="K1234"/>
  <c r="N1234"/>
  <c r="W1234"/>
  <c r="H1235"/>
  <c r="I1235"/>
  <c r="K1235"/>
  <c r="N1235"/>
  <c r="W1235"/>
  <c r="H1236"/>
  <c r="I1236"/>
  <c r="K1236"/>
  <c r="N1236"/>
  <c r="W1236"/>
  <c r="H1237"/>
  <c r="I1237"/>
  <c r="K1237"/>
  <c r="N1237"/>
  <c r="W1237"/>
  <c r="H1238"/>
  <c r="I1238"/>
  <c r="K1238"/>
  <c r="N1238"/>
  <c r="W1238"/>
  <c r="H1239"/>
  <c r="I1239"/>
  <c r="K1239"/>
  <c r="N1239"/>
  <c r="W1239"/>
  <c r="H1240"/>
  <c r="I1240"/>
  <c r="K1240"/>
  <c r="N1240"/>
  <c r="W1240"/>
  <c r="H1241"/>
  <c r="I1241"/>
  <c r="K1241"/>
  <c r="N1241"/>
  <c r="W1241"/>
  <c r="H1242"/>
  <c r="I1242"/>
  <c r="K1242"/>
  <c r="N1242"/>
  <c r="W1242"/>
  <c r="H1243"/>
  <c r="I1243"/>
  <c r="K1243"/>
  <c r="N1243"/>
  <c r="W1243"/>
  <c r="H1244"/>
  <c r="I1244"/>
  <c r="K1244"/>
  <c r="N1244"/>
  <c r="W1244"/>
  <c r="H1245"/>
  <c r="I1245"/>
  <c r="K1245"/>
  <c r="N1245"/>
  <c r="W1245"/>
  <c r="H1246"/>
  <c r="I1246"/>
  <c r="K1246"/>
  <c r="N1246"/>
  <c r="W1246"/>
  <c r="H1247"/>
  <c r="I1247"/>
  <c r="K1247"/>
  <c r="N1247"/>
  <c r="W1247"/>
  <c r="H1248"/>
  <c r="I1248"/>
  <c r="K1248"/>
  <c r="N1248"/>
  <c r="W1248"/>
  <c r="H1249"/>
  <c r="I1249"/>
  <c r="K1249"/>
  <c r="N1249"/>
  <c r="W1249"/>
  <c r="H1250"/>
  <c r="I1250"/>
  <c r="K1250"/>
  <c r="N1250"/>
  <c r="W1250"/>
  <c r="H1251"/>
  <c r="I1251"/>
  <c r="K1251"/>
  <c r="N1251"/>
  <c r="W1251"/>
  <c r="H1252"/>
  <c r="I1252"/>
  <c r="K1252"/>
  <c r="N1252"/>
  <c r="W1252"/>
  <c r="H1253"/>
  <c r="I1253"/>
  <c r="K1253"/>
  <c r="N1253"/>
  <c r="W1253"/>
  <c r="H1254"/>
  <c r="I1254"/>
  <c r="K1254"/>
  <c r="N1254"/>
  <c r="W1254"/>
  <c r="H1255"/>
  <c r="I1255"/>
  <c r="K1255"/>
  <c r="N1255"/>
  <c r="W1255"/>
  <c r="H1256"/>
  <c r="I1256"/>
  <c r="K1256"/>
  <c r="N1256"/>
  <c r="W1256"/>
  <c r="H1257"/>
  <c r="I1257"/>
  <c r="K1257"/>
  <c r="N1257"/>
  <c r="W1257"/>
  <c r="H1258"/>
  <c r="I1258"/>
  <c r="K1258"/>
  <c r="N1258"/>
  <c r="W1258"/>
  <c r="H1259"/>
  <c r="I1259"/>
  <c r="K1259"/>
  <c r="N1259"/>
  <c r="W1259"/>
  <c r="H1260"/>
  <c r="I1260"/>
  <c r="K1260"/>
  <c r="N1260"/>
  <c r="W1260"/>
  <c r="H1261"/>
  <c r="I1261"/>
  <c r="K1261"/>
  <c r="N1261"/>
  <c r="W1261"/>
  <c r="H1262"/>
  <c r="I1262"/>
  <c r="K1262"/>
  <c r="N1262"/>
  <c r="W1262"/>
  <c r="H1263"/>
  <c r="I1263"/>
  <c r="K1263"/>
  <c r="N1263"/>
  <c r="W1263"/>
  <c r="H1264"/>
  <c r="I1264"/>
  <c r="K1264"/>
  <c r="N1264"/>
  <c r="W1264"/>
  <c r="H1265"/>
  <c r="I1265"/>
  <c r="K1265"/>
  <c r="N1265"/>
  <c r="W1265"/>
  <c r="H1266"/>
  <c r="I1266"/>
  <c r="K1266"/>
  <c r="N1266"/>
  <c r="W1266"/>
  <c r="H1267"/>
  <c r="I1267"/>
  <c r="K1267"/>
  <c r="N1267"/>
  <c r="W1267"/>
  <c r="H1268"/>
  <c r="I1268"/>
  <c r="K1268"/>
  <c r="N1268"/>
  <c r="W1268"/>
  <c r="H1269"/>
  <c r="I1269"/>
  <c r="K1269"/>
  <c r="N1269"/>
  <c r="W1269"/>
  <c r="H1270"/>
  <c r="I1270"/>
  <c r="K1270"/>
  <c r="N1270"/>
  <c r="W1270"/>
  <c r="H1271"/>
  <c r="I1271"/>
  <c r="K1271"/>
  <c r="N1271"/>
  <c r="W1271"/>
  <c r="H1272"/>
  <c r="I1272"/>
  <c r="K1272"/>
  <c r="N1272"/>
  <c r="W1272"/>
  <c r="H1273"/>
  <c r="I1273"/>
  <c r="K1273"/>
  <c r="N1273"/>
  <c r="W1273"/>
  <c r="H1274"/>
  <c r="I1274"/>
  <c r="K1274"/>
  <c r="N1274"/>
  <c r="W1274"/>
  <c r="H1275"/>
  <c r="I1275"/>
  <c r="K1275"/>
  <c r="N1275"/>
  <c r="W1275"/>
  <c r="H1276"/>
  <c r="I1276"/>
  <c r="K1276"/>
  <c r="N1276"/>
  <c r="W1276"/>
  <c r="H1277"/>
  <c r="I1277"/>
  <c r="K1277"/>
  <c r="N1277"/>
  <c r="W1277"/>
  <c r="H1278"/>
  <c r="I1278"/>
  <c r="K1278"/>
  <c r="N1278"/>
  <c r="W1278"/>
  <c r="H1279"/>
  <c r="I1279"/>
  <c r="K1279"/>
  <c r="N1279"/>
  <c r="W1279"/>
  <c r="H1280"/>
  <c r="I1280"/>
  <c r="K1280"/>
  <c r="N1280"/>
  <c r="W1280"/>
  <c r="H1281"/>
  <c r="I1281"/>
  <c r="K1281"/>
  <c r="N1281"/>
  <c r="W1281"/>
  <c r="H1282"/>
  <c r="I1282"/>
  <c r="K1282"/>
  <c r="N1282"/>
  <c r="W1282"/>
  <c r="H1283"/>
  <c r="I1283"/>
  <c r="K1283"/>
  <c r="N1283"/>
  <c r="W1283"/>
  <c r="H1284"/>
  <c r="I1284"/>
  <c r="K1284"/>
  <c r="N1284"/>
  <c r="W1284"/>
  <c r="H1285"/>
  <c r="I1285"/>
  <c r="K1285"/>
  <c r="N1285"/>
  <c r="W1285"/>
  <c r="H1286"/>
  <c r="I1286"/>
  <c r="K1286"/>
  <c r="N1286"/>
  <c r="W1286"/>
  <c r="H1287"/>
  <c r="I1287"/>
  <c r="K1287"/>
  <c r="N1287"/>
  <c r="W1287"/>
  <c r="H1288"/>
  <c r="I1288"/>
  <c r="K1288"/>
  <c r="N1288"/>
  <c r="W1288"/>
  <c r="H1289"/>
  <c r="I1289"/>
  <c r="K1289"/>
  <c r="N1289"/>
  <c r="W1289"/>
  <c r="H1290"/>
  <c r="I1290"/>
  <c r="K1290"/>
  <c r="N1290"/>
  <c r="W1290"/>
  <c r="H1291"/>
  <c r="I1291"/>
  <c r="K1291"/>
  <c r="N1291"/>
  <c r="W1291"/>
  <c r="H1292"/>
  <c r="I1292"/>
  <c r="K1292"/>
  <c r="N1292"/>
  <c r="W1292"/>
  <c r="H1293"/>
  <c r="I1293"/>
  <c r="K1293"/>
  <c r="N1293"/>
  <c r="W1293"/>
  <c r="H1294"/>
  <c r="I1294"/>
  <c r="K1294"/>
  <c r="N1294"/>
  <c r="W1294"/>
  <c r="H1295"/>
  <c r="I1295"/>
  <c r="K1295"/>
  <c r="N1295"/>
  <c r="W1295"/>
  <c r="H1296"/>
  <c r="I1296"/>
  <c r="K1296"/>
  <c r="N1296"/>
  <c r="W1296"/>
  <c r="H1297"/>
  <c r="I1297"/>
  <c r="K1297"/>
  <c r="N1297"/>
  <c r="W1297"/>
  <c r="H1298"/>
  <c r="I1298"/>
  <c r="K1298"/>
  <c r="N1298"/>
  <c r="W1298"/>
  <c r="H1299"/>
  <c r="I1299"/>
  <c r="K1299"/>
  <c r="N1299"/>
  <c r="W1299"/>
  <c r="H1300"/>
  <c r="I1300"/>
  <c r="K1300"/>
  <c r="N1300"/>
  <c r="W1300"/>
  <c r="H1301"/>
  <c r="I1301"/>
  <c r="K1301"/>
  <c r="N1301"/>
  <c r="W1301"/>
  <c r="H1302"/>
  <c r="I1302"/>
  <c r="K1302"/>
  <c r="N1302"/>
  <c r="W1302"/>
  <c r="H1303"/>
  <c r="I1303"/>
  <c r="K1303"/>
  <c r="N1303"/>
  <c r="W1303"/>
  <c r="H1304"/>
  <c r="I1304"/>
  <c r="K1304"/>
  <c r="N1304"/>
  <c r="W1304"/>
  <c r="H1305"/>
  <c r="I1305"/>
  <c r="K1305"/>
  <c r="N1305"/>
  <c r="W1305"/>
  <c r="H1306"/>
  <c r="I1306"/>
  <c r="K1306"/>
  <c r="N1306"/>
  <c r="W1306"/>
  <c r="H1307"/>
  <c r="I1307"/>
  <c r="K1307"/>
  <c r="N1307"/>
  <c r="W1307"/>
  <c r="H1308"/>
  <c r="I1308"/>
  <c r="K1308"/>
  <c r="N1308"/>
  <c r="W1308"/>
  <c r="H1309"/>
  <c r="I1309"/>
  <c r="K1309"/>
  <c r="N1309"/>
  <c r="W1309"/>
  <c r="H1310"/>
  <c r="I1310"/>
  <c r="K1310"/>
  <c r="N1310"/>
  <c r="W1310"/>
  <c r="H1311"/>
  <c r="I1311"/>
  <c r="K1311"/>
  <c r="N1311"/>
  <c r="W1311"/>
  <c r="H1312"/>
  <c r="I1312"/>
  <c r="K1312"/>
  <c r="N1312"/>
  <c r="W1312"/>
  <c r="H1313"/>
  <c r="I1313"/>
  <c r="K1313"/>
  <c r="N1313"/>
  <c r="W1313"/>
  <c r="H1314"/>
  <c r="I1314"/>
  <c r="K1314"/>
  <c r="N1314"/>
  <c r="W1314"/>
  <c r="H1315"/>
  <c r="I1315"/>
  <c r="K1315"/>
  <c r="N1315"/>
  <c r="W1315"/>
  <c r="H1316"/>
  <c r="I1316"/>
  <c r="K1316"/>
  <c r="N1316"/>
  <c r="W1316"/>
  <c r="H1317"/>
  <c r="I1317"/>
  <c r="K1317"/>
  <c r="N1317"/>
  <c r="W1317"/>
  <c r="H1318"/>
  <c r="I1318"/>
  <c r="K1318"/>
  <c r="N1318"/>
  <c r="W1318"/>
  <c r="H1319"/>
  <c r="I1319"/>
  <c r="K1319"/>
  <c r="N1319"/>
  <c r="W1319"/>
  <c r="H1320"/>
  <c r="I1320"/>
  <c r="K1320"/>
  <c r="N1320"/>
  <c r="W1320"/>
  <c r="H1321"/>
  <c r="I1321"/>
  <c r="K1321"/>
  <c r="N1321"/>
  <c r="W1321"/>
  <c r="H1322"/>
  <c r="I1322"/>
  <c r="K1322"/>
  <c r="N1322"/>
  <c r="W1322"/>
  <c r="H1323"/>
  <c r="I1323"/>
  <c r="K1323"/>
  <c r="N1323"/>
  <c r="W1323"/>
  <c r="H1324"/>
  <c r="I1324"/>
  <c r="K1324"/>
  <c r="N1324"/>
  <c r="W1324"/>
  <c r="H1325"/>
  <c r="I1325"/>
  <c r="K1325"/>
  <c r="N1325"/>
  <c r="W1325"/>
  <c r="H1326"/>
  <c r="I1326"/>
  <c r="K1326"/>
  <c r="N1326"/>
  <c r="W1326"/>
  <c r="H1327"/>
  <c r="I1327"/>
  <c r="K1327"/>
  <c r="N1327"/>
  <c r="W1327"/>
  <c r="H1328"/>
  <c r="I1328"/>
  <c r="K1328"/>
  <c r="N1328"/>
  <c r="W1328"/>
  <c r="H1329"/>
  <c r="I1329"/>
  <c r="K1329"/>
  <c r="N1329"/>
  <c r="W1329"/>
  <c r="H1330"/>
  <c r="I1330"/>
  <c r="K1330"/>
  <c r="N1330"/>
  <c r="W1330"/>
  <c r="H1331"/>
  <c r="I1331"/>
  <c r="K1331"/>
  <c r="N1331"/>
  <c r="W1331"/>
  <c r="H1332"/>
  <c r="I1332"/>
  <c r="K1332"/>
  <c r="N1332"/>
  <c r="W1332"/>
  <c r="H1333"/>
  <c r="I1333"/>
  <c r="K1333"/>
  <c r="N1333"/>
  <c r="W1333"/>
  <c r="H1334"/>
  <c r="I1334"/>
  <c r="K1334"/>
  <c r="N1334"/>
  <c r="W1334"/>
  <c r="H1335"/>
  <c r="I1335"/>
  <c r="K1335"/>
  <c r="N1335"/>
  <c r="W1335"/>
  <c r="H1336"/>
  <c r="I1336"/>
  <c r="K1336"/>
  <c r="N1336"/>
  <c r="W1336"/>
  <c r="H1337"/>
  <c r="I1337"/>
  <c r="K1337"/>
  <c r="N1337"/>
  <c r="W1337"/>
  <c r="H1338"/>
  <c r="I1338"/>
  <c r="K1338"/>
  <c r="N1338"/>
  <c r="W1338"/>
  <c r="H1339"/>
  <c r="I1339"/>
  <c r="K1339"/>
  <c r="N1339"/>
  <c r="W1339"/>
  <c r="H1340"/>
  <c r="I1340"/>
  <c r="K1340"/>
  <c r="N1340"/>
  <c r="W1340"/>
  <c r="H1341"/>
  <c r="I1341"/>
  <c r="K1341"/>
  <c r="N1341"/>
  <c r="W1341"/>
  <c r="H1342"/>
  <c r="I1342"/>
  <c r="K1342"/>
  <c r="N1342"/>
  <c r="W1342"/>
  <c r="H1343"/>
  <c r="I1343"/>
  <c r="K1343"/>
  <c r="N1343"/>
  <c r="W1343"/>
  <c r="H1344"/>
  <c r="I1344"/>
  <c r="K1344"/>
  <c r="N1344"/>
  <c r="W1344"/>
  <c r="H1345"/>
  <c r="I1345"/>
  <c r="K1345"/>
  <c r="N1345"/>
  <c r="W1345"/>
  <c r="H1346"/>
  <c r="I1346"/>
  <c r="K1346"/>
  <c r="N1346"/>
  <c r="W1346"/>
  <c r="H1347"/>
  <c r="I1347"/>
  <c r="K1347"/>
  <c r="N1347"/>
  <c r="W1347"/>
  <c r="H1348"/>
  <c r="I1348"/>
  <c r="K1348"/>
  <c r="N1348"/>
  <c r="W1348"/>
  <c r="H1349"/>
  <c r="I1349"/>
  <c r="K1349"/>
  <c r="N1349"/>
  <c r="W1349"/>
  <c r="H1350"/>
  <c r="I1350"/>
  <c r="K1350"/>
  <c r="N1350"/>
  <c r="W1350"/>
  <c r="H1351"/>
  <c r="I1351"/>
  <c r="K1351"/>
  <c r="N1351"/>
  <c r="W1351"/>
  <c r="H1352"/>
  <c r="I1352"/>
  <c r="K1352"/>
  <c r="N1352"/>
  <c r="W1352"/>
  <c r="H1353"/>
  <c r="I1353"/>
  <c r="K1353"/>
  <c r="N1353"/>
  <c r="W1353"/>
  <c r="H1354"/>
  <c r="I1354"/>
  <c r="K1354"/>
  <c r="N1354"/>
  <c r="W1354"/>
  <c r="H1355"/>
  <c r="I1355"/>
  <c r="K1355"/>
  <c r="N1355"/>
  <c r="W1355"/>
  <c r="H1356"/>
  <c r="I1356"/>
  <c r="K1356"/>
  <c r="N1356"/>
  <c r="W1356"/>
  <c r="H1357"/>
  <c r="I1357"/>
  <c r="K1357"/>
  <c r="N1357"/>
  <c r="W1357"/>
  <c r="H1358"/>
  <c r="I1358"/>
  <c r="K1358"/>
  <c r="N1358"/>
  <c r="W1358"/>
  <c r="H1359"/>
  <c r="I1359"/>
  <c r="K1359"/>
  <c r="N1359"/>
  <c r="W1359"/>
  <c r="H1360"/>
  <c r="I1360"/>
  <c r="K1360"/>
  <c r="N1360"/>
  <c r="W1360"/>
  <c r="H1361"/>
  <c r="I1361"/>
  <c r="K1361"/>
  <c r="N1361"/>
  <c r="W1361"/>
  <c r="H1362"/>
  <c r="I1362"/>
  <c r="K1362"/>
  <c r="N1362"/>
  <c r="W1362"/>
  <c r="H1363"/>
  <c r="I1363"/>
  <c r="K1363"/>
  <c r="N1363"/>
  <c r="W1363"/>
  <c r="H1364"/>
  <c r="I1364"/>
  <c r="K1364"/>
  <c r="N1364"/>
  <c r="W1364"/>
  <c r="H1365"/>
  <c r="I1365"/>
  <c r="K1365"/>
  <c r="N1365"/>
  <c r="W1365"/>
  <c r="H1366"/>
  <c r="I1366"/>
  <c r="K1366"/>
  <c r="N1366"/>
  <c r="W1366"/>
  <c r="H1367"/>
  <c r="I1367"/>
  <c r="K1367"/>
  <c r="N1367"/>
  <c r="W1367"/>
  <c r="H1368"/>
  <c r="I1368"/>
  <c r="K1368"/>
  <c r="N1368"/>
  <c r="W1368"/>
  <c r="H1369"/>
  <c r="I1369"/>
  <c r="K1369"/>
  <c r="N1369"/>
  <c r="W1369"/>
  <c r="H1370"/>
  <c r="I1370"/>
  <c r="K1370"/>
  <c r="N1370"/>
  <c r="W1370"/>
  <c r="H1371"/>
  <c r="I1371"/>
  <c r="K1371"/>
  <c r="N1371"/>
  <c r="W1371"/>
  <c r="H1372"/>
  <c r="I1372"/>
  <c r="K1372"/>
  <c r="N1372"/>
  <c r="W1372"/>
  <c r="H1373"/>
  <c r="I1373"/>
  <c r="K1373"/>
  <c r="N1373"/>
  <c r="W1373"/>
  <c r="H1374"/>
  <c r="I1374"/>
  <c r="K1374"/>
  <c r="N1374"/>
  <c r="W1374"/>
  <c r="H1375"/>
  <c r="I1375"/>
  <c r="K1375"/>
  <c r="N1375"/>
  <c r="W1375"/>
  <c r="H1376"/>
  <c r="I1376"/>
  <c r="K1376"/>
  <c r="N1376"/>
  <c r="W1376"/>
  <c r="H1377"/>
  <c r="I1377"/>
  <c r="K1377"/>
  <c r="N1377"/>
  <c r="W1377"/>
  <c r="H1378"/>
  <c r="I1378"/>
  <c r="K1378"/>
  <c r="N1378"/>
  <c r="W1378"/>
  <c r="H1379"/>
  <c r="I1379"/>
  <c r="K1379"/>
  <c r="N1379"/>
  <c r="W1379"/>
  <c r="H1380"/>
  <c r="I1380"/>
  <c r="K1380"/>
  <c r="N1380"/>
  <c r="W1380"/>
  <c r="H1381"/>
  <c r="I1381"/>
  <c r="K1381"/>
  <c r="N1381"/>
  <c r="W1381"/>
  <c r="H1382"/>
  <c r="I1382"/>
  <c r="K1382"/>
  <c r="N1382"/>
  <c r="W1382"/>
  <c r="H1383"/>
  <c r="I1383"/>
  <c r="K1383"/>
  <c r="N1383"/>
  <c r="W1383"/>
  <c r="H1384"/>
  <c r="I1384"/>
  <c r="K1384"/>
  <c r="N1384"/>
  <c r="W1384"/>
  <c r="H1385"/>
  <c r="I1385"/>
  <c r="K1385"/>
  <c r="N1385"/>
  <c r="W1385"/>
  <c r="H1386"/>
  <c r="I1386"/>
  <c r="K1386"/>
  <c r="N1386"/>
  <c r="W1386"/>
  <c r="H1387"/>
  <c r="I1387"/>
  <c r="K1387"/>
  <c r="N1387"/>
  <c r="W1387"/>
  <c r="H1388"/>
  <c r="I1388"/>
  <c r="K1388"/>
  <c r="N1388"/>
  <c r="W1388"/>
  <c r="H1389"/>
  <c r="I1389"/>
  <c r="K1389"/>
  <c r="N1389"/>
  <c r="W1389"/>
  <c r="H1390"/>
  <c r="I1390"/>
  <c r="K1390"/>
  <c r="N1390"/>
  <c r="W1390"/>
  <c r="H1391"/>
  <c r="I1391"/>
  <c r="K1391"/>
  <c r="N1391"/>
  <c r="W1391"/>
  <c r="H1392"/>
  <c r="I1392"/>
  <c r="K1392"/>
  <c r="N1392"/>
  <c r="W1392"/>
  <c r="H1393"/>
  <c r="I1393"/>
  <c r="K1393"/>
  <c r="N1393"/>
  <c r="W1393"/>
  <c r="H1394"/>
  <c r="I1394"/>
  <c r="K1394"/>
  <c r="N1394"/>
  <c r="W1394"/>
  <c r="H1395"/>
  <c r="I1395"/>
  <c r="K1395"/>
  <c r="N1395"/>
  <c r="W1395"/>
  <c r="H1396"/>
  <c r="I1396"/>
  <c r="K1396"/>
  <c r="N1396"/>
  <c r="W1396"/>
  <c r="H1397"/>
  <c r="I1397"/>
  <c r="K1397"/>
  <c r="N1397"/>
  <c r="W1397"/>
  <c r="H1398"/>
  <c r="I1398"/>
  <c r="K1398"/>
  <c r="N1398"/>
  <c r="W1398"/>
  <c r="H1399"/>
  <c r="I1399"/>
  <c r="K1399"/>
  <c r="N1399"/>
  <c r="W1399"/>
  <c r="H1400"/>
  <c r="I1400"/>
  <c r="K1400"/>
  <c r="N1400"/>
  <c r="W1400"/>
  <c r="H1401"/>
  <c r="I1401"/>
  <c r="K1401"/>
  <c r="N1401"/>
  <c r="W1401"/>
  <c r="H1402"/>
  <c r="I1402"/>
  <c r="K1402"/>
  <c r="N1402"/>
  <c r="W1402"/>
  <c r="H1403"/>
  <c r="I1403"/>
  <c r="K1403"/>
  <c r="N1403"/>
  <c r="W1403"/>
  <c r="H1404"/>
  <c r="I1404"/>
  <c r="K1404"/>
  <c r="N1404"/>
  <c r="W1404"/>
  <c r="H1405"/>
  <c r="I1405"/>
  <c r="K1405"/>
  <c r="N1405"/>
  <c r="W1405"/>
  <c r="H1406"/>
  <c r="I1406"/>
  <c r="K1406"/>
  <c r="N1406"/>
  <c r="W1406"/>
  <c r="H1407"/>
  <c r="I1407"/>
  <c r="K1407"/>
  <c r="N1407"/>
  <c r="W1407"/>
  <c r="H1408"/>
  <c r="I1408"/>
  <c r="K1408"/>
  <c r="N1408"/>
  <c r="W1408"/>
  <c r="H1409"/>
  <c r="I1409"/>
  <c r="K1409"/>
  <c r="N1409"/>
  <c r="W1409"/>
  <c r="H1410"/>
  <c r="I1410"/>
  <c r="K1410"/>
  <c r="N1410"/>
  <c r="W1410"/>
  <c r="H1411"/>
  <c r="I1411"/>
  <c r="K1411"/>
  <c r="N1411"/>
  <c r="W1411"/>
  <c r="H1412"/>
  <c r="I1412"/>
  <c r="K1412"/>
  <c r="N1412"/>
  <c r="W1412"/>
  <c r="H1413"/>
  <c r="I1413"/>
  <c r="K1413"/>
  <c r="N1413"/>
  <c r="W1413"/>
  <c r="H1414"/>
  <c r="I1414"/>
  <c r="K1414"/>
  <c r="N1414"/>
  <c r="W1414"/>
  <c r="H1415"/>
  <c r="I1415"/>
  <c r="K1415"/>
  <c r="N1415"/>
  <c r="W1415"/>
  <c r="H1416"/>
  <c r="I1416"/>
  <c r="K1416"/>
  <c r="N1416"/>
  <c r="W1416"/>
  <c r="H1417"/>
  <c r="I1417"/>
  <c r="K1417"/>
  <c r="N1417"/>
  <c r="W1417"/>
  <c r="H1418"/>
  <c r="I1418"/>
  <c r="K1418"/>
  <c r="N1418"/>
  <c r="W1418"/>
  <c r="H1419"/>
  <c r="I1419"/>
  <c r="K1419"/>
  <c r="N1419"/>
  <c r="W1419"/>
  <c r="H1420"/>
  <c r="I1420"/>
  <c r="K1420"/>
  <c r="N1420"/>
  <c r="W1420"/>
  <c r="H1421"/>
  <c r="I1421"/>
  <c r="K1421"/>
  <c r="N1421"/>
  <c r="W1421"/>
  <c r="H1422"/>
  <c r="I1422"/>
  <c r="K1422"/>
  <c r="N1422"/>
  <c r="W1422"/>
  <c r="H1423"/>
  <c r="I1423"/>
  <c r="K1423"/>
  <c r="N1423"/>
  <c r="W1423"/>
  <c r="H1424"/>
  <c r="I1424"/>
  <c r="K1424"/>
  <c r="N1424"/>
  <c r="W1424"/>
  <c r="H1425"/>
  <c r="I1425"/>
  <c r="K1425"/>
  <c r="N1425"/>
  <c r="W1425"/>
  <c r="H1426"/>
  <c r="I1426"/>
  <c r="K1426"/>
  <c r="N1426"/>
  <c r="W1426"/>
  <c r="H1427"/>
  <c r="I1427"/>
  <c r="K1427"/>
  <c r="N1427"/>
  <c r="W1427"/>
  <c r="H1428"/>
  <c r="I1428"/>
  <c r="K1428"/>
  <c r="N1428"/>
  <c r="W1428"/>
  <c r="H1429"/>
  <c r="I1429"/>
  <c r="K1429"/>
  <c r="N1429"/>
  <c r="W1429"/>
  <c r="H1430"/>
  <c r="I1430"/>
  <c r="K1430"/>
  <c r="N1430"/>
  <c r="W1430"/>
  <c r="H1431"/>
  <c r="I1431"/>
  <c r="K1431"/>
  <c r="N1431"/>
  <c r="W1431"/>
  <c r="H1432"/>
  <c r="I1432"/>
  <c r="K1432"/>
  <c r="N1432"/>
  <c r="W1432"/>
  <c r="H1433"/>
  <c r="I1433"/>
  <c r="K1433"/>
  <c r="N1433"/>
  <c r="W1433"/>
  <c r="H1434"/>
  <c r="I1434"/>
  <c r="K1434"/>
  <c r="N1434"/>
  <c r="W1434"/>
  <c r="H1435"/>
  <c r="I1435"/>
  <c r="K1435"/>
  <c r="N1435"/>
  <c r="W1435"/>
  <c r="H1436"/>
  <c r="I1436"/>
  <c r="K1436"/>
  <c r="N1436"/>
  <c r="W1436"/>
  <c r="H1437"/>
  <c r="I1437"/>
  <c r="K1437"/>
  <c r="N1437"/>
  <c r="W1437"/>
  <c r="H1438"/>
  <c r="I1438"/>
  <c r="K1438"/>
  <c r="N1438"/>
  <c r="W1438"/>
  <c r="H1439"/>
  <c r="I1439"/>
  <c r="K1439"/>
  <c r="N1439"/>
  <c r="W1439"/>
  <c r="H1440"/>
  <c r="I1440"/>
  <c r="K1440"/>
  <c r="N1440"/>
  <c r="W1440"/>
  <c r="H1441"/>
  <c r="I1441"/>
  <c r="K1441"/>
  <c r="N1441"/>
  <c r="W1441"/>
  <c r="H1442"/>
  <c r="I1442"/>
  <c r="K1442"/>
  <c r="N1442"/>
  <c r="W1442"/>
  <c r="H1443"/>
  <c r="I1443"/>
  <c r="K1443"/>
  <c r="N1443"/>
  <c r="W1443"/>
  <c r="H1444"/>
  <c r="I1444"/>
  <c r="K1444"/>
  <c r="N1444"/>
  <c r="W1444"/>
  <c r="H1445"/>
  <c r="I1445"/>
  <c r="K1445"/>
  <c r="N1445"/>
  <c r="W1445"/>
  <c r="H1446"/>
  <c r="I1446"/>
  <c r="K1446"/>
  <c r="N1446"/>
  <c r="W1446"/>
  <c r="H1447"/>
  <c r="I1447"/>
  <c r="K1447"/>
  <c r="N1447"/>
  <c r="W1447"/>
  <c r="H1448"/>
  <c r="I1448"/>
  <c r="K1448"/>
  <c r="N1448"/>
  <c r="W1448"/>
  <c r="H1449"/>
  <c r="I1449"/>
  <c r="K1449"/>
  <c r="N1449"/>
  <c r="W1449"/>
  <c r="H1450"/>
  <c r="I1450"/>
  <c r="K1450"/>
  <c r="N1450"/>
  <c r="W1450"/>
  <c r="H1451"/>
  <c r="I1451"/>
  <c r="K1451"/>
  <c r="N1451"/>
  <c r="W1451"/>
  <c r="H1452"/>
  <c r="I1452"/>
  <c r="K1452"/>
  <c r="N1452"/>
  <c r="W1452"/>
  <c r="H1453"/>
  <c r="I1453"/>
  <c r="K1453"/>
  <c r="N1453"/>
  <c r="W1453"/>
  <c r="H1454"/>
  <c r="I1454"/>
  <c r="K1454"/>
  <c r="N1454"/>
  <c r="W1454"/>
  <c r="H1455"/>
  <c r="I1455"/>
  <c r="K1455"/>
  <c r="N1455"/>
  <c r="W1455"/>
  <c r="H1456"/>
  <c r="I1456"/>
  <c r="K1456"/>
  <c r="N1456"/>
  <c r="W1456"/>
  <c r="H1457"/>
  <c r="I1457"/>
  <c r="K1457"/>
  <c r="N1457"/>
  <c r="W1457"/>
  <c r="H1458"/>
  <c r="I1458"/>
  <c r="K1458"/>
  <c r="N1458"/>
  <c r="W1458"/>
  <c r="H1459"/>
  <c r="I1459"/>
  <c r="K1459"/>
  <c r="N1459"/>
  <c r="W1459"/>
  <c r="H1460"/>
  <c r="I1460"/>
  <c r="K1460"/>
  <c r="N1460"/>
  <c r="W1460"/>
  <c r="H1461"/>
  <c r="I1461"/>
  <c r="K1461"/>
  <c r="N1461"/>
  <c r="W1461"/>
  <c r="H1462"/>
  <c r="I1462"/>
  <c r="K1462"/>
  <c r="N1462"/>
  <c r="W1462"/>
  <c r="H1463"/>
  <c r="I1463"/>
  <c r="K1463"/>
  <c r="N1463"/>
  <c r="W1463"/>
  <c r="H1464"/>
  <c r="I1464"/>
  <c r="K1464"/>
  <c r="N1464"/>
  <c r="W1464"/>
  <c r="H1465"/>
  <c r="I1465"/>
  <c r="K1465"/>
  <c r="N1465"/>
  <c r="W1465"/>
  <c r="H1466"/>
  <c r="I1466"/>
  <c r="K1466"/>
  <c r="N1466"/>
  <c r="W1466"/>
  <c r="H1467"/>
  <c r="I1467"/>
  <c r="K1467"/>
  <c r="N1467"/>
  <c r="W1467"/>
  <c r="H1468"/>
  <c r="I1468"/>
  <c r="K1468"/>
  <c r="N1468"/>
  <c r="W1468"/>
  <c r="H1469"/>
  <c r="I1469"/>
  <c r="K1469"/>
  <c r="N1469"/>
  <c r="W1469"/>
  <c r="H1470"/>
  <c r="I1470"/>
  <c r="K1470"/>
  <c r="N1470"/>
  <c r="W1470"/>
  <c r="H1471"/>
  <c r="I1471"/>
  <c r="K1471"/>
  <c r="N1471"/>
  <c r="W1471"/>
  <c r="H1472"/>
  <c r="I1472"/>
  <c r="K1472"/>
  <c r="N1472"/>
  <c r="W1472"/>
  <c r="H1473"/>
  <c r="I1473"/>
  <c r="K1473"/>
  <c r="N1473"/>
  <c r="W1473"/>
  <c r="H1474"/>
  <c r="I1474"/>
  <c r="K1474"/>
  <c r="N1474"/>
  <c r="W1474"/>
  <c r="H1475"/>
  <c r="I1475"/>
  <c r="K1475"/>
  <c r="N1475"/>
  <c r="W1475"/>
  <c r="H1476"/>
  <c r="I1476"/>
  <c r="K1476"/>
  <c r="N1476"/>
  <c r="W1476"/>
  <c r="H1477"/>
  <c r="I1477"/>
  <c r="K1477"/>
  <c r="N1477"/>
  <c r="W1477"/>
  <c r="H1478"/>
  <c r="I1478"/>
  <c r="K1478"/>
  <c r="N1478"/>
  <c r="W1478"/>
  <c r="H1479"/>
  <c r="I1479"/>
  <c r="K1479"/>
  <c r="N1479"/>
  <c r="W1479"/>
  <c r="H1480"/>
  <c r="I1480"/>
  <c r="K1480"/>
  <c r="N1480"/>
  <c r="W1480"/>
  <c r="H1481"/>
  <c r="I1481"/>
  <c r="K1481"/>
  <c r="N1481"/>
  <c r="W1481"/>
  <c r="H1482"/>
  <c r="I1482"/>
  <c r="K1482"/>
  <c r="N1482"/>
  <c r="W1482"/>
  <c r="H1483"/>
  <c r="I1483"/>
  <c r="K1483"/>
  <c r="N1483"/>
  <c r="W1483"/>
  <c r="H1484"/>
  <c r="I1484"/>
  <c r="K1484"/>
  <c r="N1484"/>
  <c r="W1484"/>
  <c r="H1485"/>
  <c r="I1485"/>
  <c r="K1485"/>
  <c r="N1485"/>
  <c r="W1485"/>
  <c r="H1486"/>
  <c r="I1486"/>
  <c r="K1486"/>
  <c r="N1486"/>
  <c r="W1486"/>
  <c r="H1487"/>
  <c r="I1487"/>
  <c r="K1487"/>
  <c r="N1487"/>
  <c r="W1487"/>
  <c r="H1488"/>
  <c r="I1488"/>
  <c r="K1488"/>
  <c r="N1488"/>
  <c r="W1488"/>
  <c r="H1489"/>
  <c r="I1489"/>
  <c r="K1489"/>
  <c r="N1489"/>
  <c r="W1489"/>
  <c r="H1490"/>
  <c r="I1490"/>
  <c r="K1490"/>
  <c r="N1490"/>
  <c r="W1490"/>
  <c r="H1491"/>
  <c r="I1491"/>
  <c r="K1491"/>
  <c r="N1491"/>
  <c r="W1491"/>
  <c r="H1492"/>
  <c r="I1492"/>
  <c r="K1492"/>
  <c r="N1492"/>
  <c r="W1492"/>
  <c r="H1493"/>
  <c r="I1493"/>
  <c r="K1493"/>
  <c r="N1493"/>
  <c r="W1493"/>
  <c r="H1494"/>
  <c r="I1494"/>
  <c r="K1494"/>
  <c r="N1494"/>
  <c r="W1494"/>
  <c r="H1495"/>
  <c r="I1495"/>
  <c r="K1495"/>
  <c r="N1495"/>
  <c r="W1495"/>
  <c r="H1496"/>
  <c r="I1496"/>
  <c r="K1496"/>
  <c r="N1496"/>
  <c r="W1496"/>
  <c r="H1497"/>
  <c r="I1497"/>
  <c r="K1497"/>
  <c r="N1497"/>
  <c r="W1497"/>
  <c r="H1498"/>
  <c r="I1498"/>
  <c r="K1498"/>
  <c r="N1498"/>
  <c r="W1498"/>
  <c r="H1499"/>
  <c r="I1499"/>
  <c r="K1499"/>
  <c r="N1499"/>
  <c r="W1499"/>
  <c r="H1500"/>
  <c r="I1500"/>
  <c r="K1500"/>
  <c r="N1500"/>
  <c r="W1500"/>
  <c r="H1501"/>
  <c r="I1501"/>
  <c r="K1501"/>
  <c r="N1501"/>
  <c r="W1501"/>
  <c r="H1502"/>
  <c r="I1502"/>
  <c r="K1502"/>
  <c r="N1502"/>
  <c r="W1502"/>
  <c r="H1503"/>
  <c r="I1503"/>
  <c r="K1503"/>
  <c r="N1503"/>
  <c r="W1503"/>
  <c r="H1504"/>
  <c r="I1504"/>
  <c r="K1504"/>
  <c r="N1504"/>
  <c r="W1504"/>
  <c r="H1505"/>
  <c r="I1505"/>
  <c r="K1505"/>
  <c r="N1505"/>
  <c r="W1505"/>
  <c r="H1506"/>
  <c r="I1506"/>
  <c r="K1506"/>
  <c r="N1506"/>
  <c r="W1506"/>
  <c r="H1507"/>
  <c r="I1507"/>
  <c r="K1507"/>
  <c r="N1507"/>
  <c r="W1507"/>
  <c r="H1508"/>
  <c r="I1508"/>
  <c r="K1508"/>
  <c r="N1508"/>
  <c r="W1508"/>
  <c r="H1509"/>
  <c r="I1509"/>
  <c r="K1509"/>
  <c r="N1509"/>
  <c r="W1509"/>
  <c r="H1510"/>
  <c r="I1510"/>
  <c r="K1510"/>
  <c r="N1510"/>
  <c r="W1510"/>
  <c r="H1511"/>
  <c r="I1511"/>
  <c r="K1511"/>
  <c r="N1511"/>
  <c r="W1511"/>
  <c r="H1512"/>
  <c r="I1512"/>
  <c r="K1512"/>
  <c r="N1512"/>
  <c r="W1512"/>
  <c r="H1513"/>
  <c r="I1513"/>
  <c r="K1513"/>
  <c r="N1513"/>
  <c r="W1513"/>
  <c r="H1514"/>
  <c r="I1514"/>
  <c r="K1514"/>
  <c r="N1514"/>
  <c r="W1514"/>
  <c r="H1515"/>
  <c r="I1515"/>
  <c r="K1515"/>
  <c r="N1515"/>
  <c r="W1515"/>
  <c r="H1516"/>
  <c r="I1516"/>
  <c r="K1516"/>
  <c r="N1516"/>
  <c r="W1516"/>
  <c r="H1517"/>
  <c r="I1517"/>
  <c r="K1517"/>
  <c r="N1517"/>
  <c r="W1517"/>
  <c r="H1518"/>
  <c r="I1518"/>
  <c r="K1518"/>
  <c r="N1518"/>
  <c r="W1518"/>
  <c r="H1519"/>
  <c r="I1519"/>
  <c r="K1519"/>
  <c r="N1519"/>
  <c r="W1519"/>
  <c r="H1520"/>
  <c r="I1520"/>
  <c r="K1520"/>
  <c r="N1520"/>
  <c r="W1520"/>
  <c r="H1521"/>
  <c r="I1521"/>
  <c r="K1521"/>
  <c r="N1521"/>
  <c r="W1521"/>
  <c r="H1522"/>
  <c r="I1522"/>
  <c r="K1522"/>
  <c r="N1522"/>
  <c r="W1522"/>
  <c r="H1523"/>
  <c r="I1523"/>
  <c r="K1523"/>
  <c r="N1523"/>
  <c r="W1523"/>
  <c r="H1524"/>
  <c r="I1524"/>
  <c r="K1524"/>
  <c r="N1524"/>
  <c r="W1524"/>
  <c r="H1525"/>
  <c r="I1525"/>
  <c r="K1525"/>
  <c r="N1525"/>
  <c r="W1525"/>
  <c r="H1526"/>
  <c r="I1526"/>
  <c r="K1526"/>
  <c r="N1526"/>
  <c r="W1526"/>
  <c r="H1527"/>
  <c r="I1527"/>
  <c r="K1527"/>
  <c r="N1527"/>
  <c r="W1527"/>
  <c r="H1528"/>
  <c r="I1528"/>
  <c r="K1528"/>
  <c r="N1528"/>
  <c r="W1528"/>
  <c r="H1529"/>
  <c r="I1529"/>
  <c r="K1529"/>
  <c r="N1529"/>
  <c r="W1529"/>
  <c r="H1530"/>
  <c r="I1530"/>
  <c r="K1530"/>
  <c r="N1530"/>
  <c r="W1530"/>
  <c r="H1531"/>
  <c r="I1531"/>
  <c r="K1531"/>
  <c r="N1531"/>
  <c r="W1531"/>
  <c r="H1532"/>
  <c r="I1532"/>
  <c r="K1532"/>
  <c r="N1532"/>
  <c r="W1532"/>
  <c r="H1533"/>
  <c r="I1533"/>
  <c r="K1533"/>
  <c r="N1533"/>
  <c r="W1533"/>
  <c r="H1534"/>
  <c r="I1534"/>
  <c r="K1534"/>
  <c r="N1534"/>
  <c r="W1534"/>
  <c r="H1535"/>
  <c r="I1535"/>
  <c r="K1535"/>
  <c r="N1535"/>
  <c r="W1535"/>
  <c r="H1536"/>
  <c r="I1536"/>
  <c r="K1536"/>
  <c r="N1536"/>
  <c r="W1536"/>
  <c r="H1537"/>
  <c r="I1537"/>
  <c r="K1537"/>
  <c r="N1537"/>
  <c r="W1537"/>
  <c r="H1538"/>
  <c r="I1538"/>
  <c r="K1538"/>
  <c r="N1538"/>
  <c r="W1538"/>
  <c r="H1539"/>
  <c r="I1539"/>
  <c r="K1539"/>
  <c r="N1539"/>
  <c r="W1539"/>
  <c r="H1540"/>
  <c r="I1540"/>
  <c r="K1540"/>
  <c r="N1540"/>
  <c r="W1540"/>
  <c r="H1541"/>
  <c r="I1541"/>
  <c r="K1541"/>
  <c r="N1541"/>
  <c r="W1541"/>
  <c r="H1542"/>
  <c r="I1542"/>
  <c r="K1542"/>
  <c r="N1542"/>
  <c r="W1542"/>
  <c r="H1543"/>
  <c r="I1543"/>
  <c r="K1543"/>
  <c r="N1543"/>
  <c r="W1543"/>
  <c r="H1544"/>
  <c r="I1544"/>
  <c r="K1544"/>
  <c r="N1544"/>
  <c r="W1544"/>
  <c r="H1545"/>
  <c r="I1545"/>
  <c r="K1545"/>
  <c r="N1545"/>
  <c r="W1545"/>
  <c r="H1546"/>
  <c r="I1546"/>
  <c r="K1546"/>
  <c r="N1546"/>
  <c r="W1546"/>
  <c r="H1547"/>
  <c r="I1547"/>
  <c r="K1547"/>
  <c r="N1547"/>
  <c r="W1547"/>
  <c r="H1548"/>
  <c r="I1548"/>
  <c r="K1548"/>
  <c r="N1548"/>
  <c r="W1548"/>
  <c r="H1549"/>
  <c r="I1549"/>
  <c r="K1549"/>
  <c r="N1549"/>
  <c r="W1549"/>
  <c r="H1550"/>
  <c r="I1550"/>
  <c r="K1550"/>
  <c r="N1550"/>
  <c r="W1550"/>
  <c r="H1551"/>
  <c r="I1551"/>
  <c r="K1551"/>
  <c r="N1551"/>
  <c r="W1551"/>
  <c r="H1552"/>
  <c r="I1552"/>
  <c r="K1552"/>
  <c r="N1552"/>
  <c r="W1552"/>
  <c r="H1553"/>
  <c r="I1553"/>
  <c r="K1553"/>
  <c r="N1553"/>
  <c r="W1553"/>
  <c r="H1554"/>
  <c r="I1554"/>
  <c r="K1554"/>
  <c r="N1554"/>
  <c r="W1554"/>
  <c r="H1555"/>
  <c r="I1555"/>
  <c r="K1555"/>
  <c r="N1555"/>
  <c r="W1555"/>
  <c r="H1556"/>
  <c r="I1556"/>
  <c r="K1556"/>
  <c r="N1556"/>
  <c r="W1556"/>
  <c r="H1557"/>
  <c r="I1557"/>
  <c r="K1557"/>
  <c r="N1557"/>
  <c r="W1557"/>
  <c r="H1558"/>
  <c r="I1558"/>
  <c r="K1558"/>
  <c r="N1558"/>
  <c r="W1558"/>
  <c r="H1559"/>
  <c r="I1559"/>
  <c r="K1559"/>
  <c r="N1559"/>
  <c r="W1559"/>
  <c r="H1560"/>
  <c r="I1560"/>
  <c r="K1560"/>
  <c r="N1560"/>
  <c r="W1560"/>
  <c r="H1561"/>
  <c r="I1561"/>
  <c r="K1561"/>
  <c r="N1561"/>
  <c r="W1561"/>
  <c r="H1562"/>
  <c r="I1562"/>
  <c r="K1562"/>
  <c r="N1562"/>
  <c r="W1562"/>
  <c r="H1563"/>
  <c r="I1563"/>
  <c r="K1563"/>
  <c r="N1563"/>
  <c r="W1563"/>
  <c r="H1564"/>
  <c r="I1564"/>
  <c r="K1564"/>
  <c r="N1564"/>
  <c r="W1564"/>
  <c r="H1565"/>
  <c r="I1565"/>
  <c r="K1565"/>
  <c r="N1565"/>
  <c r="W1565"/>
  <c r="H1566"/>
  <c r="I1566"/>
  <c r="K1566"/>
  <c r="N1566"/>
  <c r="W1566"/>
  <c r="H1567"/>
  <c r="I1567"/>
  <c r="K1567"/>
  <c r="N1567"/>
  <c r="W1567"/>
  <c r="H1568"/>
  <c r="I1568"/>
  <c r="K1568"/>
  <c r="N1568"/>
  <c r="W1568"/>
  <c r="H1569"/>
  <c r="I1569"/>
  <c r="K1569"/>
  <c r="N1569"/>
  <c r="W1569"/>
  <c r="H1570"/>
  <c r="I1570"/>
  <c r="K1570"/>
  <c r="N1570"/>
  <c r="W1570"/>
  <c r="H1571"/>
  <c r="I1571"/>
  <c r="K1571"/>
  <c r="N1571"/>
  <c r="W1571"/>
  <c r="H1572"/>
  <c r="I1572"/>
  <c r="K1572"/>
  <c r="N1572"/>
  <c r="W1572"/>
  <c r="H1573"/>
  <c r="I1573"/>
  <c r="K1573"/>
  <c r="N1573"/>
  <c r="W1573"/>
  <c r="H1574"/>
  <c r="I1574"/>
  <c r="K1574"/>
  <c r="N1574"/>
  <c r="W1574"/>
  <c r="H1575"/>
  <c r="I1575"/>
  <c r="K1575"/>
  <c r="N1575"/>
  <c r="W1575"/>
  <c r="H1576"/>
  <c r="I1576"/>
  <c r="K1576"/>
  <c r="N1576"/>
  <c r="W1576"/>
  <c r="H1577"/>
  <c r="I1577"/>
  <c r="K1577"/>
  <c r="N1577"/>
  <c r="W1577"/>
  <c r="H1578"/>
  <c r="I1578"/>
  <c r="K1578"/>
  <c r="N1578"/>
  <c r="W1578"/>
  <c r="H1579"/>
  <c r="I1579"/>
  <c r="K1579"/>
  <c r="N1579"/>
  <c r="W1579"/>
  <c r="H1580"/>
  <c r="I1580"/>
  <c r="K1580"/>
  <c r="N1580"/>
  <c r="W1580"/>
  <c r="H1581"/>
  <c r="I1581"/>
  <c r="K1581"/>
  <c r="N1581"/>
  <c r="W1581"/>
  <c r="H1582"/>
  <c r="I1582"/>
  <c r="K1582"/>
  <c r="N1582"/>
  <c r="W1582"/>
  <c r="H1583"/>
  <c r="I1583"/>
  <c r="K1583"/>
  <c r="N1583"/>
  <c r="W1583"/>
  <c r="H1584"/>
  <c r="I1584"/>
  <c r="K1584"/>
  <c r="N1584"/>
  <c r="W1584"/>
  <c r="H1585"/>
  <c r="I1585"/>
  <c r="K1585"/>
  <c r="N1585"/>
  <c r="W1585"/>
  <c r="H1586"/>
  <c r="I1586"/>
  <c r="K1586"/>
  <c r="N1586"/>
  <c r="W1586"/>
  <c r="H1587"/>
  <c r="I1587"/>
  <c r="K1587"/>
  <c r="N1587"/>
  <c r="W1587"/>
  <c r="H1588"/>
  <c r="I1588"/>
  <c r="K1588"/>
  <c r="N1588"/>
  <c r="W1588"/>
  <c r="H1589"/>
  <c r="I1589"/>
  <c r="K1589"/>
  <c r="N1589"/>
  <c r="W1589"/>
  <c r="H1590"/>
  <c r="I1590"/>
  <c r="K1590"/>
  <c r="N1590"/>
  <c r="W1590"/>
  <c r="H1591"/>
  <c r="I1591"/>
  <c r="K1591"/>
  <c r="N1591"/>
  <c r="W1591"/>
  <c r="H1592"/>
  <c r="I1592"/>
  <c r="K1592"/>
  <c r="N1592"/>
  <c r="W1592"/>
  <c r="H1593"/>
  <c r="I1593"/>
  <c r="K1593"/>
  <c r="N1593"/>
  <c r="W1593"/>
  <c r="H1594"/>
  <c r="I1594"/>
  <c r="K1594"/>
  <c r="N1594"/>
  <c r="W1594"/>
  <c r="H1595"/>
  <c r="I1595"/>
  <c r="K1595"/>
  <c r="N1595"/>
  <c r="W1595"/>
  <c r="H1596"/>
  <c r="I1596"/>
  <c r="K1596"/>
  <c r="N1596"/>
  <c r="W1596"/>
  <c r="H1597"/>
  <c r="I1597"/>
  <c r="K1597"/>
  <c r="N1597"/>
  <c r="W1597"/>
  <c r="H1598"/>
  <c r="I1598"/>
  <c r="K1598"/>
  <c r="N1598"/>
  <c r="W1598"/>
  <c r="H1599"/>
  <c r="I1599"/>
  <c r="K1599"/>
  <c r="N1599"/>
  <c r="W1599"/>
  <c r="H1600"/>
  <c r="I1600"/>
  <c r="K1600"/>
  <c r="N1600"/>
  <c r="W1600"/>
  <c r="H1601"/>
  <c r="I1601"/>
  <c r="K1601"/>
  <c r="N1601"/>
  <c r="W1601"/>
  <c r="H1602"/>
  <c r="I1602"/>
  <c r="K1602"/>
  <c r="N1602"/>
  <c r="W1602"/>
  <c r="H1603"/>
  <c r="I1603"/>
  <c r="K1603"/>
  <c r="N1603"/>
  <c r="W1603"/>
  <c r="H1604"/>
  <c r="I1604"/>
  <c r="K1604"/>
  <c r="N1604"/>
  <c r="W1604"/>
  <c r="H1605"/>
  <c r="I1605"/>
  <c r="K1605"/>
  <c r="N1605"/>
  <c r="W1605"/>
  <c r="H1606"/>
  <c r="I1606"/>
  <c r="K1606"/>
  <c r="N1606"/>
  <c r="W1606"/>
  <c r="H1607"/>
  <c r="I1607"/>
  <c r="K1607"/>
  <c r="N1607"/>
  <c r="W1607"/>
  <c r="H1608"/>
  <c r="I1608"/>
  <c r="K1608"/>
  <c r="N1608"/>
  <c r="W1608"/>
  <c r="H1609"/>
  <c r="I1609"/>
  <c r="K1609"/>
  <c r="N1609"/>
  <c r="W1609"/>
  <c r="H1610"/>
  <c r="I1610"/>
  <c r="K1610"/>
  <c r="N1610"/>
  <c r="W1610"/>
  <c r="H1611"/>
  <c r="I1611"/>
  <c r="K1611"/>
  <c r="N1611"/>
  <c r="W1611"/>
  <c r="H1612"/>
  <c r="I1612"/>
  <c r="K1612"/>
  <c r="N1612"/>
  <c r="W1612"/>
  <c r="H1613"/>
  <c r="I1613"/>
  <c r="K1613"/>
  <c r="N1613"/>
  <c r="W1613"/>
  <c r="H1614"/>
  <c r="I1614"/>
  <c r="K1614"/>
  <c r="N1614"/>
  <c r="W1614"/>
  <c r="H1615"/>
  <c r="I1615"/>
  <c r="K1615"/>
  <c r="N1615"/>
  <c r="W1615"/>
  <c r="H1616"/>
  <c r="I1616"/>
  <c r="K1616"/>
  <c r="N1616"/>
  <c r="W1616"/>
  <c r="H1617"/>
  <c r="I1617"/>
  <c r="K1617"/>
  <c r="N1617"/>
  <c r="W1617"/>
  <c r="H1618"/>
  <c r="I1618"/>
  <c r="K1618"/>
  <c r="N1618"/>
  <c r="W1618"/>
  <c r="H1619"/>
  <c r="I1619"/>
  <c r="K1619"/>
  <c r="N1619"/>
  <c r="W1619"/>
  <c r="H1620"/>
  <c r="I1620"/>
  <c r="K1620"/>
  <c r="N1620"/>
  <c r="W1620"/>
  <c r="H1621"/>
  <c r="I1621"/>
  <c r="K1621"/>
  <c r="N1621"/>
  <c r="W1621"/>
  <c r="H1622"/>
  <c r="I1622"/>
  <c r="K1622"/>
  <c r="N1622"/>
  <c r="W1622"/>
  <c r="H1623"/>
  <c r="I1623"/>
  <c r="K1623"/>
  <c r="N1623"/>
  <c r="W1623"/>
  <c r="H1624"/>
  <c r="I1624"/>
  <c r="K1624"/>
  <c r="N1624"/>
  <c r="W1624"/>
  <c r="H1625"/>
  <c r="I1625"/>
  <c r="K1625"/>
  <c r="N1625"/>
  <c r="W1625"/>
  <c r="H1626"/>
  <c r="I1626"/>
  <c r="K1626"/>
  <c r="N1626"/>
  <c r="W1626"/>
  <c r="H1627"/>
  <c r="I1627"/>
  <c r="K1627"/>
  <c r="N1627"/>
  <c r="W1627"/>
  <c r="H1628"/>
  <c r="I1628"/>
  <c r="K1628"/>
  <c r="N1628"/>
  <c r="W1628"/>
  <c r="H1629"/>
  <c r="I1629"/>
  <c r="K1629"/>
  <c r="N1629"/>
  <c r="W1629"/>
  <c r="H1630"/>
  <c r="I1630"/>
  <c r="K1630"/>
  <c r="N1630"/>
  <c r="W1630"/>
  <c r="H1631"/>
  <c r="I1631"/>
  <c r="K1631"/>
  <c r="N1631"/>
  <c r="W1631"/>
  <c r="H1632"/>
  <c r="I1632"/>
  <c r="K1632"/>
  <c r="N1632"/>
  <c r="W1632"/>
  <c r="H1633"/>
  <c r="I1633"/>
  <c r="K1633"/>
  <c r="N1633"/>
  <c r="W1633"/>
  <c r="H1634"/>
  <c r="I1634"/>
  <c r="K1634"/>
  <c r="N1634"/>
  <c r="W1634"/>
  <c r="H1635"/>
  <c r="I1635"/>
  <c r="K1635"/>
  <c r="N1635"/>
  <c r="W1635"/>
  <c r="H1636"/>
  <c r="I1636"/>
  <c r="K1636"/>
  <c r="N1636"/>
  <c r="W1636"/>
  <c r="H1637"/>
  <c r="I1637"/>
  <c r="K1637"/>
  <c r="N1637"/>
  <c r="W1637"/>
  <c r="H1638"/>
  <c r="I1638"/>
  <c r="K1638"/>
  <c r="N1638"/>
  <c r="W1638"/>
  <c r="H1639"/>
  <c r="I1639"/>
  <c r="K1639"/>
  <c r="N1639"/>
  <c r="W1639"/>
  <c r="H1640"/>
  <c r="I1640"/>
  <c r="K1640"/>
  <c r="N1640"/>
  <c r="W1640"/>
  <c r="H1641"/>
  <c r="I1641"/>
  <c r="K1641"/>
  <c r="N1641"/>
  <c r="W1641"/>
  <c r="H1642"/>
  <c r="I1642"/>
  <c r="K1642"/>
  <c r="N1642"/>
  <c r="W1642"/>
  <c r="H1643"/>
  <c r="I1643"/>
  <c r="K1643"/>
  <c r="N1643"/>
  <c r="W1643"/>
  <c r="H1644"/>
  <c r="I1644"/>
  <c r="K1644"/>
  <c r="N1644"/>
  <c r="W1644"/>
  <c r="H1645"/>
  <c r="I1645"/>
  <c r="K1645"/>
  <c r="N1645"/>
  <c r="W1645"/>
  <c r="H1646"/>
  <c r="I1646"/>
  <c r="K1646"/>
  <c r="N1646"/>
  <c r="W1646"/>
  <c r="H1647"/>
  <c r="I1647"/>
  <c r="K1647"/>
  <c r="N1647"/>
  <c r="W1647"/>
  <c r="H1648"/>
  <c r="I1648"/>
  <c r="K1648"/>
  <c r="N1648"/>
  <c r="W1648"/>
  <c r="H1649"/>
  <c r="I1649"/>
  <c r="K1649"/>
  <c r="N1649"/>
  <c r="W1649"/>
  <c r="H1650"/>
  <c r="I1650"/>
  <c r="K1650"/>
  <c r="N1650"/>
  <c r="W1650"/>
  <c r="H1651"/>
  <c r="I1651"/>
  <c r="K1651"/>
  <c r="N1651"/>
  <c r="W1651"/>
  <c r="H1652"/>
  <c r="I1652"/>
  <c r="K1652"/>
  <c r="N1652"/>
  <c r="W1652"/>
  <c r="H1653"/>
  <c r="I1653"/>
  <c r="K1653"/>
  <c r="N1653"/>
  <c r="W1653"/>
  <c r="H1654"/>
  <c r="I1654"/>
  <c r="K1654"/>
  <c r="N1654"/>
  <c r="W1654"/>
  <c r="H1655"/>
  <c r="I1655"/>
  <c r="K1655"/>
  <c r="N1655"/>
  <c r="W1655"/>
  <c r="H1656"/>
  <c r="I1656"/>
  <c r="K1656"/>
  <c r="N1656"/>
  <c r="W1656"/>
  <c r="H1657"/>
  <c r="I1657"/>
  <c r="K1657"/>
  <c r="N1657"/>
  <c r="W1657"/>
  <c r="H1658"/>
  <c r="I1658"/>
  <c r="K1658"/>
  <c r="N1658"/>
  <c r="W1658"/>
  <c r="H1659"/>
  <c r="I1659"/>
  <c r="K1659"/>
  <c r="N1659"/>
  <c r="W1659"/>
  <c r="H1660"/>
  <c r="I1660"/>
  <c r="K1660"/>
  <c r="N1660"/>
  <c r="W1660"/>
  <c r="H1661"/>
  <c r="I1661"/>
  <c r="K1661"/>
  <c r="N1661"/>
  <c r="W1661"/>
  <c r="H1662"/>
  <c r="I1662"/>
  <c r="K1662"/>
  <c r="N1662"/>
  <c r="W1662"/>
  <c r="H1663"/>
  <c r="I1663"/>
  <c r="K1663"/>
  <c r="N1663"/>
  <c r="W1663"/>
  <c r="H1664"/>
  <c r="I1664"/>
  <c r="K1664"/>
  <c r="N1664"/>
  <c r="W1664"/>
  <c r="H1665"/>
  <c r="I1665"/>
  <c r="K1665"/>
  <c r="N1665"/>
  <c r="W1665"/>
  <c r="H1666"/>
  <c r="I1666"/>
  <c r="K1666"/>
  <c r="N1666"/>
  <c r="W1666"/>
  <c r="H1667"/>
  <c r="I1667"/>
  <c r="K1667"/>
  <c r="N1667"/>
  <c r="W1667"/>
  <c r="H1668"/>
  <c r="I1668"/>
  <c r="K1668"/>
  <c r="N1668"/>
  <c r="W1668"/>
  <c r="H1669"/>
  <c r="I1669"/>
  <c r="K1669"/>
  <c r="N1669"/>
  <c r="W1669"/>
  <c r="H1670"/>
  <c r="I1670"/>
  <c r="K1670"/>
  <c r="N1670"/>
  <c r="W1670"/>
  <c r="H1671"/>
  <c r="I1671"/>
  <c r="K1671"/>
  <c r="N1671"/>
  <c r="W1671"/>
  <c r="H1672"/>
  <c r="I1672"/>
  <c r="K1672"/>
  <c r="N1672"/>
  <c r="W1672"/>
  <c r="H1673"/>
  <c r="I1673"/>
  <c r="K1673"/>
  <c r="N1673"/>
  <c r="W1673"/>
  <c r="H1674"/>
  <c r="I1674"/>
  <c r="K1674"/>
  <c r="N1674"/>
  <c r="W1674"/>
  <c r="H1675"/>
  <c r="I1675"/>
  <c r="K1675"/>
  <c r="N1675"/>
  <c r="W1675"/>
  <c r="H1676"/>
  <c r="I1676"/>
  <c r="K1676"/>
  <c r="N1676"/>
  <c r="W1676"/>
  <c r="H1677"/>
  <c r="I1677"/>
  <c r="K1677"/>
  <c r="N1677"/>
  <c r="W1677"/>
  <c r="H1678"/>
  <c r="I1678"/>
  <c r="K1678"/>
  <c r="N1678"/>
  <c r="W1678"/>
  <c r="H1679"/>
  <c r="I1679"/>
  <c r="K1679"/>
  <c r="N1679"/>
  <c r="W1679"/>
  <c r="H1680"/>
  <c r="I1680"/>
  <c r="K1680"/>
  <c r="N1680"/>
  <c r="W1680"/>
  <c r="H1681"/>
  <c r="I1681"/>
  <c r="K1681"/>
  <c r="N1681"/>
  <c r="W1681"/>
  <c r="H1682"/>
  <c r="I1682"/>
  <c r="K1682"/>
  <c r="N1682"/>
  <c r="W1682"/>
  <c r="H1683"/>
  <c r="I1683"/>
  <c r="K1683"/>
  <c r="N1683"/>
  <c r="W1683"/>
  <c r="H1684"/>
  <c r="I1684"/>
  <c r="K1684"/>
  <c r="N1684"/>
  <c r="W1684"/>
  <c r="H1685"/>
  <c r="I1685"/>
  <c r="K1685"/>
  <c r="N1685"/>
  <c r="W1685"/>
  <c r="H1686"/>
  <c r="I1686"/>
  <c r="K1686"/>
  <c r="N1686"/>
  <c r="W1686"/>
  <c r="H1687"/>
  <c r="I1687"/>
  <c r="K1687"/>
  <c r="N1687"/>
  <c r="W1687"/>
  <c r="H1688"/>
  <c r="I1688"/>
  <c r="K1688"/>
  <c r="N1688"/>
  <c r="W1688"/>
  <c r="H1689"/>
  <c r="I1689"/>
  <c r="K1689"/>
  <c r="N1689"/>
  <c r="W1689"/>
  <c r="H1690"/>
  <c r="I1690"/>
  <c r="K1690"/>
  <c r="N1690"/>
  <c r="W1690"/>
  <c r="H1691"/>
  <c r="I1691"/>
  <c r="K1691"/>
  <c r="N1691"/>
  <c r="W1691"/>
  <c r="H1692"/>
  <c r="I1692"/>
  <c r="K1692"/>
  <c r="N1692"/>
  <c r="W1692"/>
  <c r="H1693"/>
  <c r="I1693"/>
  <c r="K1693"/>
  <c r="N1693"/>
  <c r="W1693"/>
  <c r="H1694"/>
  <c r="I1694"/>
  <c r="K1694"/>
  <c r="N1694"/>
  <c r="W1694"/>
  <c r="H1695"/>
  <c r="I1695"/>
  <c r="K1695"/>
  <c r="N1695"/>
  <c r="W1695"/>
  <c r="H1696"/>
  <c r="I1696"/>
  <c r="K1696"/>
  <c r="N1696"/>
  <c r="W1696"/>
  <c r="H1697"/>
  <c r="I1697"/>
  <c r="K1697"/>
  <c r="N1697"/>
  <c r="W1697"/>
  <c r="H1698"/>
  <c r="I1698"/>
  <c r="K1698"/>
  <c r="N1698"/>
  <c r="W1698"/>
  <c r="H1699"/>
  <c r="I1699"/>
  <c r="K1699"/>
  <c r="N1699"/>
  <c r="W1699"/>
  <c r="H1700"/>
  <c r="I1700"/>
  <c r="K1700"/>
  <c r="N1700"/>
  <c r="W1700"/>
  <c r="H1701"/>
  <c r="I1701"/>
  <c r="K1701"/>
  <c r="N1701"/>
  <c r="W1701"/>
  <c r="H1702"/>
  <c r="I1702"/>
  <c r="K1702"/>
  <c r="N1702"/>
  <c r="W1702"/>
  <c r="H1703"/>
  <c r="I1703"/>
  <c r="K1703"/>
  <c r="N1703"/>
  <c r="W1703"/>
  <c r="H1704"/>
  <c r="I1704"/>
  <c r="K1704"/>
  <c r="N1704"/>
  <c r="W1704"/>
  <c r="H1705"/>
  <c r="I1705"/>
  <c r="K1705"/>
  <c r="N1705"/>
  <c r="W1705"/>
  <c r="H1706"/>
  <c r="I1706"/>
  <c r="K1706"/>
  <c r="N1706"/>
  <c r="W1706"/>
  <c r="H1707"/>
  <c r="I1707"/>
  <c r="K1707"/>
  <c r="N1707"/>
  <c r="W1707"/>
  <c r="H1708"/>
  <c r="I1708"/>
  <c r="K1708"/>
  <c r="N1708"/>
  <c r="W1708"/>
  <c r="H1709"/>
  <c r="I1709"/>
  <c r="K1709"/>
  <c r="N1709"/>
  <c r="W1709"/>
  <c r="H1710"/>
  <c r="I1710"/>
  <c r="K1710"/>
  <c r="N1710"/>
  <c r="W1710"/>
  <c r="H1711"/>
  <c r="I1711"/>
  <c r="K1711"/>
  <c r="N1711"/>
  <c r="W1711"/>
  <c r="H1712"/>
  <c r="I1712"/>
  <c r="K1712"/>
  <c r="N1712"/>
  <c r="W1712"/>
  <c r="H1713"/>
  <c r="I1713"/>
  <c r="K1713"/>
  <c r="N1713"/>
  <c r="W1713"/>
  <c r="H1714"/>
  <c r="I1714"/>
  <c r="K1714"/>
  <c r="N1714"/>
  <c r="W1714"/>
  <c r="H1715"/>
  <c r="I1715"/>
  <c r="K1715"/>
  <c r="N1715"/>
  <c r="W1715"/>
  <c r="H1716"/>
  <c r="I1716"/>
  <c r="K1716"/>
  <c r="N1716"/>
  <c r="W1716"/>
  <c r="H1717"/>
  <c r="I1717"/>
  <c r="K1717"/>
  <c r="N1717"/>
  <c r="W1717"/>
  <c r="H1718"/>
  <c r="I1718"/>
  <c r="K1718"/>
  <c r="N1718"/>
  <c r="W1718"/>
  <c r="H1719"/>
  <c r="I1719"/>
  <c r="K1719"/>
  <c r="N1719"/>
  <c r="W1719"/>
  <c r="H1720"/>
  <c r="I1720"/>
  <c r="K1720"/>
  <c r="N1720"/>
  <c r="W1720"/>
  <c r="H1721"/>
  <c r="I1721"/>
  <c r="K1721"/>
  <c r="N1721"/>
  <c r="W1721"/>
  <c r="H1722"/>
  <c r="I1722"/>
  <c r="K1722"/>
  <c r="N1722"/>
  <c r="W1722"/>
  <c r="H1723"/>
  <c r="I1723"/>
  <c r="K1723"/>
  <c r="N1723"/>
  <c r="W1723"/>
  <c r="H1724"/>
  <c r="I1724"/>
  <c r="K1724"/>
  <c r="N1724"/>
  <c r="W1724"/>
  <c r="H1725"/>
  <c r="I1725"/>
  <c r="K1725"/>
  <c r="N1725"/>
  <c r="W1725"/>
  <c r="H1726"/>
  <c r="I1726"/>
  <c r="K1726"/>
  <c r="N1726"/>
  <c r="W1726"/>
  <c r="H1727"/>
  <c r="I1727"/>
  <c r="K1727"/>
  <c r="N1727"/>
  <c r="W1727"/>
  <c r="H1728"/>
  <c r="I1728"/>
  <c r="K1728"/>
  <c r="N1728"/>
  <c r="W1728"/>
  <c r="H1729"/>
  <c r="I1729"/>
  <c r="K1729"/>
  <c r="N1729"/>
  <c r="W1729"/>
  <c r="H1730"/>
  <c r="I1730"/>
  <c r="K1730"/>
  <c r="N1730"/>
  <c r="W1730"/>
  <c r="H1731"/>
  <c r="I1731"/>
  <c r="K1731"/>
  <c r="N1731"/>
  <c r="W1731"/>
  <c r="H1732"/>
  <c r="I1732"/>
  <c r="K1732"/>
  <c r="N1732"/>
  <c r="W1732"/>
  <c r="H1733"/>
  <c r="I1733"/>
  <c r="K1733"/>
  <c r="N1733"/>
  <c r="W1733"/>
  <c r="H1734"/>
  <c r="I1734"/>
  <c r="K1734"/>
  <c r="N1734"/>
  <c r="W1734"/>
  <c r="H1735"/>
  <c r="I1735"/>
  <c r="K1735"/>
  <c r="N1735"/>
  <c r="W1735"/>
  <c r="H1736"/>
  <c r="I1736"/>
  <c r="K1736"/>
  <c r="N1736"/>
  <c r="W1736"/>
  <c r="H1737"/>
  <c r="I1737"/>
  <c r="K1737"/>
  <c r="N1737"/>
  <c r="W1737"/>
  <c r="H1738"/>
  <c r="I1738"/>
  <c r="K1738"/>
  <c r="N1738"/>
  <c r="W1738"/>
  <c r="H1739"/>
  <c r="I1739"/>
  <c r="K1739"/>
  <c r="N1739"/>
  <c r="W1739"/>
  <c r="H1740"/>
  <c r="I1740"/>
  <c r="K1740"/>
  <c r="N1740"/>
  <c r="W1740"/>
  <c r="H1741"/>
  <c r="I1741"/>
  <c r="K1741"/>
  <c r="N1741"/>
  <c r="W1741"/>
  <c r="H1742"/>
  <c r="I1742"/>
  <c r="K1742"/>
  <c r="N1742"/>
  <c r="W1742"/>
  <c r="H1743"/>
  <c r="I1743"/>
  <c r="K1743"/>
  <c r="N1743"/>
  <c r="W1743"/>
  <c r="H1744"/>
  <c r="I1744"/>
  <c r="K1744"/>
  <c r="N1744"/>
  <c r="W1744"/>
  <c r="H1745"/>
  <c r="I1745"/>
  <c r="K1745"/>
  <c r="N1745"/>
  <c r="W1745"/>
  <c r="H1746"/>
  <c r="I1746"/>
  <c r="K1746"/>
  <c r="N1746"/>
  <c r="W1746"/>
  <c r="H1747"/>
  <c r="I1747"/>
  <c r="K1747"/>
  <c r="N1747"/>
  <c r="W1747"/>
  <c r="H1748"/>
  <c r="I1748"/>
  <c r="K1748"/>
  <c r="N1748"/>
  <c r="W1748"/>
  <c r="H1749"/>
  <c r="I1749"/>
  <c r="K1749"/>
  <c r="N1749"/>
  <c r="W1749"/>
  <c r="H1750"/>
  <c r="I1750"/>
  <c r="K1750"/>
  <c r="N1750"/>
  <c r="W1750"/>
  <c r="H1751"/>
  <c r="I1751"/>
  <c r="K1751"/>
  <c r="N1751"/>
  <c r="W1751"/>
  <c r="H1752"/>
  <c r="I1752"/>
  <c r="K1752"/>
  <c r="N1752"/>
  <c r="W1752"/>
  <c r="H1753"/>
  <c r="I1753"/>
  <c r="K1753"/>
  <c r="N1753"/>
  <c r="W1753"/>
  <c r="H1754"/>
  <c r="I1754"/>
  <c r="K1754"/>
  <c r="N1754"/>
  <c r="W1754"/>
  <c r="H1755"/>
  <c r="I1755"/>
  <c r="K1755"/>
  <c r="N1755"/>
  <c r="W1755"/>
  <c r="H1756"/>
  <c r="I1756"/>
  <c r="K1756"/>
  <c r="N1756"/>
  <c r="W1756"/>
  <c r="H1757"/>
  <c r="I1757"/>
  <c r="K1757"/>
  <c r="N1757"/>
  <c r="W1757"/>
  <c r="H1758"/>
  <c r="I1758"/>
  <c r="K1758"/>
  <c r="N1758"/>
  <c r="W1758"/>
  <c r="H1759"/>
  <c r="I1759"/>
  <c r="K1759"/>
  <c r="N1759"/>
  <c r="W1759"/>
  <c r="H1760"/>
  <c r="I1760"/>
  <c r="K1760"/>
  <c r="N1760"/>
  <c r="W1760"/>
  <c r="H1761"/>
  <c r="I1761"/>
  <c r="K1761"/>
  <c r="N1761"/>
  <c r="W1761"/>
  <c r="H1762"/>
  <c r="I1762"/>
  <c r="K1762"/>
  <c r="N1762"/>
  <c r="W1762"/>
  <c r="H1763"/>
  <c r="I1763"/>
  <c r="K1763"/>
  <c r="N1763"/>
  <c r="W1763"/>
  <c r="H1764"/>
  <c r="I1764"/>
  <c r="K1764"/>
  <c r="N1764"/>
  <c r="W1764"/>
  <c r="H1765"/>
  <c r="I1765"/>
  <c r="K1765"/>
  <c r="N1765"/>
  <c r="W1765"/>
  <c r="H1766"/>
  <c r="I1766"/>
  <c r="K1766"/>
  <c r="N1766"/>
  <c r="W1766"/>
  <c r="H1767"/>
  <c r="I1767"/>
  <c r="K1767"/>
  <c r="N1767"/>
  <c r="W1767"/>
  <c r="H1768"/>
  <c r="I1768"/>
  <c r="K1768"/>
  <c r="N1768"/>
  <c r="W1768"/>
  <c r="H1769"/>
  <c r="I1769"/>
  <c r="K1769"/>
  <c r="N1769"/>
  <c r="W1769"/>
  <c r="H1770"/>
  <c r="I1770"/>
  <c r="K1770"/>
  <c r="N1770"/>
  <c r="W1770"/>
  <c r="H1771"/>
  <c r="I1771"/>
  <c r="K1771"/>
  <c r="N1771"/>
  <c r="W1771"/>
  <c r="H1772"/>
  <c r="I1772"/>
  <c r="K1772"/>
  <c r="N1772"/>
  <c r="W1772"/>
  <c r="H1773"/>
  <c r="I1773"/>
  <c r="K1773"/>
  <c r="N1773"/>
  <c r="W1773"/>
  <c r="H1774"/>
  <c r="I1774"/>
  <c r="K1774"/>
  <c r="N1774"/>
  <c r="W1774"/>
  <c r="H1775"/>
  <c r="I1775"/>
  <c r="K1775"/>
  <c r="N1775"/>
  <c r="W1775"/>
  <c r="H1776"/>
  <c r="I1776"/>
  <c r="K1776"/>
  <c r="N1776"/>
  <c r="W1776"/>
  <c r="H1777"/>
  <c r="I1777"/>
  <c r="K1777"/>
  <c r="N1777"/>
  <c r="W1777"/>
  <c r="H1778"/>
  <c r="I1778"/>
  <c r="K1778"/>
  <c r="N1778"/>
  <c r="W1778"/>
  <c r="H1779"/>
  <c r="I1779"/>
  <c r="K1779"/>
  <c r="N1779"/>
  <c r="W1779"/>
  <c r="H1780"/>
  <c r="I1780"/>
  <c r="K1780"/>
  <c r="N1780"/>
  <c r="W1780"/>
  <c r="H1781"/>
  <c r="I1781"/>
  <c r="K1781"/>
  <c r="N1781"/>
  <c r="W1781"/>
  <c r="H1782"/>
  <c r="I1782"/>
  <c r="K1782"/>
  <c r="N1782"/>
  <c r="W1782"/>
  <c r="H1783"/>
  <c r="I1783"/>
  <c r="K1783"/>
  <c r="N1783"/>
  <c r="W1783"/>
  <c r="H1784"/>
  <c r="I1784"/>
  <c r="K1784"/>
  <c r="N1784"/>
  <c r="W1784"/>
  <c r="H1785"/>
  <c r="I1785"/>
  <c r="K1785"/>
  <c r="N1785"/>
  <c r="W1785"/>
  <c r="H1786"/>
  <c r="I1786"/>
  <c r="K1786"/>
  <c r="N1786"/>
  <c r="W1786"/>
  <c r="H1787"/>
  <c r="I1787"/>
  <c r="K1787"/>
  <c r="N1787"/>
  <c r="W1787"/>
  <c r="H1788"/>
  <c r="I1788"/>
  <c r="K1788"/>
  <c r="N1788"/>
  <c r="W1788"/>
  <c r="H1789"/>
  <c r="I1789"/>
  <c r="K1789"/>
  <c r="N1789"/>
  <c r="W1789"/>
  <c r="H1790"/>
  <c r="I1790"/>
  <c r="K1790"/>
  <c r="N1790"/>
  <c r="W1790"/>
  <c r="H1791"/>
  <c r="I1791"/>
  <c r="K1791"/>
  <c r="N1791"/>
  <c r="W1791"/>
  <c r="H1792"/>
  <c r="I1792"/>
  <c r="K1792"/>
  <c r="N1792"/>
  <c r="W1792"/>
  <c r="H1793"/>
  <c r="I1793"/>
  <c r="K1793"/>
  <c r="N1793"/>
  <c r="W1793"/>
  <c r="H1794"/>
  <c r="I1794"/>
  <c r="K1794"/>
  <c r="N1794"/>
  <c r="W1794"/>
  <c r="H1795"/>
  <c r="I1795"/>
  <c r="K1795"/>
  <c r="N1795"/>
  <c r="W1795"/>
  <c r="H1796"/>
  <c r="I1796"/>
  <c r="K1796"/>
  <c r="N1796"/>
  <c r="W1796"/>
  <c r="H1797"/>
  <c r="I1797"/>
  <c r="K1797"/>
  <c r="N1797"/>
  <c r="W1797"/>
  <c r="H1798"/>
  <c r="I1798"/>
  <c r="K1798"/>
  <c r="N1798"/>
  <c r="W1798"/>
  <c r="H1799"/>
  <c r="I1799"/>
  <c r="K1799"/>
  <c r="N1799"/>
  <c r="W1799"/>
  <c r="H1800"/>
  <c r="I1800"/>
  <c r="K1800"/>
  <c r="N1800"/>
  <c r="W1800"/>
  <c r="H1801"/>
  <c r="I1801"/>
  <c r="K1801"/>
  <c r="N1801"/>
  <c r="W1801"/>
  <c r="H1802"/>
  <c r="I1802"/>
  <c r="K1802"/>
  <c r="N1802"/>
  <c r="W1802"/>
  <c r="H1803"/>
  <c r="I1803"/>
  <c r="K1803"/>
  <c r="N1803"/>
  <c r="W1803"/>
  <c r="H1804"/>
  <c r="I1804"/>
  <c r="K1804"/>
  <c r="N1804"/>
  <c r="W1804"/>
  <c r="H1805"/>
  <c r="I1805"/>
  <c r="K1805"/>
  <c r="N1805"/>
  <c r="W1805"/>
  <c r="H1806"/>
  <c r="I1806"/>
  <c r="K1806"/>
  <c r="N1806"/>
  <c r="W1806"/>
  <c r="H1807"/>
  <c r="I1807"/>
  <c r="K1807"/>
  <c r="N1807"/>
  <c r="W1807"/>
  <c r="H1808"/>
  <c r="I1808"/>
  <c r="K1808"/>
  <c r="N1808"/>
  <c r="W1808"/>
  <c r="H1809"/>
  <c r="I1809"/>
  <c r="K1809"/>
  <c r="N1809"/>
  <c r="W1809"/>
  <c r="H1810"/>
  <c r="I1810"/>
  <c r="K1810"/>
  <c r="N1810"/>
  <c r="W1810"/>
  <c r="H1811"/>
  <c r="I1811"/>
  <c r="K1811"/>
  <c r="N1811"/>
  <c r="W1811"/>
  <c r="H1812"/>
  <c r="I1812"/>
  <c r="K1812"/>
  <c r="N1812"/>
  <c r="W1812"/>
  <c r="H1813"/>
  <c r="I1813"/>
  <c r="K1813"/>
  <c r="N1813"/>
  <c r="W1813"/>
  <c r="H1814"/>
  <c r="I1814"/>
  <c r="K1814"/>
  <c r="N1814"/>
  <c r="W1814"/>
  <c r="H1815"/>
  <c r="I1815"/>
  <c r="K1815"/>
  <c r="N1815"/>
  <c r="W1815"/>
  <c r="H1816"/>
  <c r="I1816"/>
  <c r="K1816"/>
  <c r="N1816"/>
  <c r="W1816"/>
  <c r="H1817"/>
  <c r="I1817"/>
  <c r="K1817"/>
  <c r="N1817"/>
  <c r="W1817"/>
  <c r="H1818"/>
  <c r="I1818"/>
  <c r="K1818"/>
  <c r="N1818"/>
  <c r="W1818"/>
  <c r="H1819"/>
  <c r="I1819"/>
  <c r="K1819"/>
  <c r="N1819"/>
  <c r="W1819"/>
  <c r="H1820"/>
  <c r="I1820"/>
  <c r="K1820"/>
  <c r="N1820"/>
  <c r="W1820"/>
  <c r="H1821"/>
  <c r="I1821"/>
  <c r="K1821"/>
  <c r="N1821"/>
  <c r="W1821"/>
  <c r="H1822"/>
  <c r="I1822"/>
  <c r="K1822"/>
  <c r="N1822"/>
  <c r="W1822"/>
  <c r="H1823"/>
  <c r="I1823"/>
  <c r="K1823"/>
  <c r="N1823"/>
  <c r="W1823"/>
  <c r="H1824"/>
  <c r="I1824"/>
  <c r="K1824"/>
  <c r="N1824"/>
  <c r="W1824"/>
  <c r="H1825"/>
  <c r="I1825"/>
  <c r="K1825"/>
  <c r="N1825"/>
  <c r="W1825"/>
  <c r="H1826"/>
  <c r="I1826"/>
  <c r="K1826"/>
  <c r="N1826"/>
  <c r="W1826"/>
  <c r="H1827"/>
  <c r="I1827"/>
  <c r="K1827"/>
  <c r="N1827"/>
  <c r="W1827"/>
  <c r="H1828"/>
  <c r="I1828"/>
  <c r="K1828"/>
  <c r="N1828"/>
  <c r="W1828"/>
  <c r="H1829"/>
  <c r="I1829"/>
  <c r="K1829"/>
  <c r="N1829"/>
  <c r="W1829"/>
  <c r="H1830"/>
  <c r="I1830"/>
  <c r="K1830"/>
  <c r="N1830"/>
  <c r="W1830"/>
  <c r="H1831"/>
  <c r="I1831"/>
  <c r="K1831"/>
  <c r="N1831"/>
  <c r="W1831"/>
  <c r="H1832"/>
  <c r="I1832"/>
  <c r="K1832"/>
  <c r="N1832"/>
  <c r="W1832"/>
  <c r="H1833"/>
  <c r="I1833"/>
  <c r="K1833"/>
  <c r="N1833"/>
  <c r="W1833"/>
  <c r="H1834"/>
  <c r="I1834"/>
  <c r="K1834"/>
  <c r="N1834"/>
  <c r="W1834"/>
  <c r="H1835"/>
  <c r="I1835"/>
  <c r="K1835"/>
  <c r="N1835"/>
  <c r="W1835"/>
  <c r="H1836"/>
  <c r="I1836"/>
  <c r="K1836"/>
  <c r="N1836"/>
  <c r="W1836"/>
  <c r="H1837"/>
  <c r="I1837"/>
  <c r="K1837"/>
  <c r="N1837"/>
  <c r="W1837"/>
  <c r="H1838"/>
  <c r="I1838"/>
  <c r="K1838"/>
  <c r="N1838"/>
  <c r="W1838"/>
  <c r="H1839"/>
  <c r="I1839"/>
  <c r="K1839"/>
  <c r="N1839"/>
  <c r="W1839"/>
  <c r="H1840"/>
  <c r="I1840"/>
  <c r="K1840"/>
  <c r="N1840"/>
  <c r="W1840"/>
  <c r="H1841"/>
  <c r="I1841"/>
  <c r="K1841"/>
  <c r="N1841"/>
  <c r="W1841"/>
  <c r="H1842"/>
  <c r="I1842"/>
  <c r="K1842"/>
  <c r="N1842"/>
  <c r="W1842"/>
  <c r="H1843"/>
  <c r="I1843"/>
  <c r="K1843"/>
  <c r="N1843"/>
  <c r="W1843"/>
  <c r="H1844"/>
  <c r="I1844"/>
  <c r="K1844"/>
  <c r="N1844"/>
  <c r="W1844"/>
  <c r="H1845"/>
  <c r="I1845"/>
  <c r="K1845"/>
  <c r="N1845"/>
  <c r="W1845"/>
  <c r="H1846"/>
  <c r="I1846"/>
  <c r="K1846"/>
  <c r="N1846"/>
  <c r="W1846"/>
  <c r="H1847"/>
  <c r="I1847"/>
  <c r="K1847"/>
  <c r="N1847"/>
  <c r="W1847"/>
  <c r="H1848"/>
  <c r="I1848"/>
  <c r="K1848"/>
  <c r="N1848"/>
  <c r="W1848"/>
  <c r="H1849"/>
  <c r="I1849"/>
  <c r="K1849"/>
  <c r="N1849"/>
  <c r="W1849"/>
  <c r="H1850"/>
  <c r="I1850"/>
  <c r="K1850"/>
  <c r="N1850"/>
  <c r="W1850"/>
  <c r="H1851"/>
  <c r="I1851"/>
  <c r="K1851"/>
  <c r="N1851"/>
  <c r="W1851"/>
  <c r="H1852"/>
  <c r="I1852"/>
  <c r="K1852"/>
  <c r="N1852"/>
  <c r="W1852"/>
  <c r="H1853"/>
  <c r="I1853"/>
  <c r="K1853"/>
  <c r="N1853"/>
  <c r="W1853"/>
  <c r="H1854"/>
  <c r="I1854"/>
  <c r="K1854"/>
  <c r="N1854"/>
  <c r="W1854"/>
  <c r="H1855"/>
  <c r="I1855"/>
  <c r="K1855"/>
  <c r="N1855"/>
  <c r="W1855"/>
  <c r="H1856"/>
  <c r="I1856"/>
  <c r="K1856"/>
  <c r="N1856"/>
  <c r="W1856"/>
  <c r="H1857"/>
  <c r="I1857"/>
  <c r="K1857"/>
  <c r="N1857"/>
  <c r="W1857"/>
  <c r="H1858"/>
  <c r="I1858"/>
  <c r="K1858"/>
  <c r="N1858"/>
  <c r="W1858"/>
  <c r="H1859"/>
  <c r="I1859"/>
  <c r="K1859"/>
  <c r="N1859"/>
  <c r="W1859"/>
  <c r="H1860"/>
  <c r="I1860"/>
  <c r="K1860"/>
  <c r="N1860"/>
  <c r="W1860"/>
  <c r="H1861"/>
  <c r="I1861"/>
  <c r="K1861"/>
  <c r="N1861"/>
  <c r="W1861"/>
  <c r="H1862"/>
  <c r="I1862"/>
  <c r="K1862"/>
  <c r="N1862"/>
  <c r="W1862"/>
  <c r="H1863"/>
  <c r="I1863"/>
  <c r="K1863"/>
  <c r="N1863"/>
  <c r="W1863"/>
  <c r="H1864"/>
  <c r="I1864"/>
  <c r="K1864"/>
  <c r="N1864"/>
  <c r="W1864"/>
  <c r="H1865"/>
  <c r="I1865"/>
  <c r="K1865"/>
  <c r="N1865"/>
  <c r="W1865"/>
  <c r="H1866"/>
  <c r="I1866"/>
  <c r="K1866"/>
  <c r="N1866"/>
  <c r="W1866"/>
  <c r="H1867"/>
  <c r="I1867"/>
  <c r="K1867"/>
  <c r="N1867"/>
  <c r="W1867"/>
  <c r="H1868"/>
  <c r="I1868"/>
  <c r="K1868"/>
  <c r="N1868"/>
  <c r="W1868"/>
  <c r="H1869"/>
  <c r="I1869"/>
  <c r="K1869"/>
  <c r="N1869"/>
  <c r="W1869"/>
  <c r="H1870"/>
  <c r="I1870"/>
  <c r="K1870"/>
  <c r="N1870"/>
  <c r="W1870"/>
  <c r="H1871"/>
  <c r="I1871"/>
  <c r="K1871"/>
  <c r="N1871"/>
  <c r="W1871"/>
  <c r="H1872"/>
  <c r="I1872"/>
  <c r="K1872"/>
  <c r="N1872"/>
  <c r="W1872"/>
  <c r="H1873"/>
  <c r="I1873"/>
  <c r="K1873"/>
  <c r="N1873"/>
  <c r="W1873"/>
  <c r="H1874"/>
  <c r="I1874"/>
  <c r="K1874"/>
  <c r="N1874"/>
  <c r="W1874"/>
  <c r="H1875"/>
  <c r="I1875"/>
  <c r="K1875"/>
  <c r="N1875"/>
  <c r="W1875"/>
  <c r="H1876"/>
  <c r="I1876"/>
  <c r="K1876"/>
  <c r="N1876"/>
  <c r="W1876"/>
  <c r="H1877"/>
  <c r="I1877"/>
  <c r="K1877"/>
  <c r="N1877"/>
  <c r="W1877"/>
  <c r="H1878"/>
  <c r="I1878"/>
  <c r="K1878"/>
  <c r="N1878"/>
  <c r="W1878"/>
  <c r="H1879"/>
  <c r="I1879"/>
  <c r="K1879"/>
  <c r="N1879"/>
  <c r="W1879"/>
  <c r="H1880"/>
  <c r="I1880"/>
  <c r="K1880"/>
  <c r="N1880"/>
  <c r="W1880"/>
  <c r="H1881"/>
  <c r="I1881"/>
  <c r="K1881"/>
  <c r="N1881"/>
  <c r="W1881"/>
  <c r="H1882"/>
  <c r="I1882"/>
  <c r="K1882"/>
  <c r="N1882"/>
  <c r="W1882"/>
  <c r="H1883"/>
  <c r="I1883"/>
  <c r="K1883"/>
  <c r="N1883"/>
  <c r="W1883"/>
  <c r="H1884"/>
  <c r="I1884"/>
  <c r="K1884"/>
  <c r="N1884"/>
  <c r="W1884"/>
  <c r="H1885"/>
  <c r="I1885"/>
  <c r="K1885"/>
  <c r="N1885"/>
  <c r="W1885"/>
  <c r="H1886"/>
  <c r="I1886"/>
  <c r="K1886"/>
  <c r="N1886"/>
  <c r="W1886"/>
  <c r="H1887"/>
  <c r="I1887"/>
  <c r="K1887"/>
  <c r="N1887"/>
  <c r="W1887"/>
  <c r="H1888"/>
  <c r="I1888"/>
  <c r="K1888"/>
  <c r="N1888"/>
  <c r="W1888"/>
  <c r="H1889"/>
  <c r="I1889"/>
  <c r="K1889"/>
  <c r="N1889"/>
  <c r="W1889"/>
  <c r="H1890"/>
  <c r="I1890"/>
  <c r="K1890"/>
  <c r="N1890"/>
  <c r="W1890"/>
  <c r="H1891"/>
  <c r="I1891"/>
  <c r="K1891"/>
  <c r="N1891"/>
  <c r="W1891"/>
  <c r="H1892"/>
  <c r="I1892"/>
  <c r="K1892"/>
  <c r="N1892"/>
  <c r="W1892"/>
  <c r="H1893"/>
  <c r="I1893"/>
  <c r="K1893"/>
  <c r="N1893"/>
  <c r="W1893"/>
  <c r="H1894"/>
  <c r="I1894"/>
  <c r="K1894"/>
  <c r="N1894"/>
  <c r="W1894"/>
  <c r="H1895"/>
  <c r="I1895"/>
  <c r="K1895"/>
  <c r="N1895"/>
  <c r="W1895"/>
  <c r="H1896"/>
  <c r="I1896"/>
  <c r="K1896"/>
  <c r="N1896"/>
  <c r="W1896"/>
  <c r="H1897"/>
  <c r="I1897"/>
  <c r="K1897"/>
  <c r="N1897"/>
  <c r="W1897"/>
  <c r="H1898"/>
  <c r="I1898"/>
  <c r="K1898"/>
  <c r="N1898"/>
  <c r="W1898"/>
  <c r="H1899"/>
  <c r="I1899"/>
  <c r="K1899"/>
  <c r="N1899"/>
  <c r="W1899"/>
  <c r="H1900"/>
  <c r="I1900"/>
  <c r="K1900"/>
  <c r="N1900"/>
  <c r="W1900"/>
  <c r="H1901"/>
  <c r="I1901"/>
  <c r="K1901"/>
  <c r="N1901"/>
  <c r="W1901"/>
  <c r="H1902"/>
  <c r="I1902"/>
  <c r="K1902"/>
  <c r="N1902"/>
  <c r="W1902"/>
  <c r="H1903"/>
  <c r="I1903"/>
  <c r="K1903"/>
  <c r="N1903"/>
  <c r="W1903"/>
  <c r="H1904"/>
  <c r="I1904"/>
  <c r="K1904"/>
  <c r="N1904"/>
  <c r="W1904"/>
  <c r="H1905"/>
  <c r="I1905"/>
  <c r="K1905"/>
  <c r="N1905"/>
  <c r="W1905"/>
  <c r="H1906"/>
  <c r="I1906"/>
  <c r="K1906"/>
  <c r="N1906"/>
  <c r="W1906"/>
  <c r="H1907"/>
  <c r="I1907"/>
  <c r="K1907"/>
  <c r="N1907"/>
  <c r="W1907"/>
  <c r="H1908"/>
  <c r="I1908"/>
  <c r="K1908"/>
  <c r="N1908"/>
  <c r="W1908"/>
  <c r="H1909"/>
  <c r="I1909"/>
  <c r="K1909"/>
  <c r="N1909"/>
  <c r="W1909"/>
  <c r="H1910"/>
  <c r="I1910"/>
  <c r="K1910"/>
  <c r="N1910"/>
  <c r="W1910"/>
  <c r="H1911"/>
  <c r="I1911"/>
  <c r="K1911"/>
  <c r="N1911"/>
  <c r="W1911"/>
  <c r="H1912"/>
  <c r="I1912"/>
  <c r="K1912"/>
  <c r="N1912"/>
  <c r="W1912"/>
  <c r="H1913"/>
  <c r="I1913"/>
  <c r="K1913"/>
  <c r="N1913"/>
  <c r="W1913"/>
  <c r="H1914"/>
  <c r="I1914"/>
  <c r="K1914"/>
  <c r="N1914"/>
  <c r="W1914"/>
  <c r="H1915"/>
  <c r="I1915"/>
  <c r="K1915"/>
  <c r="N1915"/>
  <c r="W1915"/>
  <c r="H1916"/>
  <c r="I1916"/>
  <c r="K1916"/>
  <c r="N1916"/>
  <c r="W1916"/>
  <c r="H1917"/>
  <c r="I1917"/>
  <c r="K1917"/>
  <c r="N1917"/>
  <c r="W1917"/>
  <c r="H1918"/>
  <c r="I1918"/>
  <c r="K1918"/>
  <c r="N1918"/>
  <c r="W1918"/>
  <c r="H1919"/>
  <c r="I1919"/>
  <c r="K1919"/>
  <c r="N1919"/>
  <c r="W1919"/>
  <c r="H1920"/>
  <c r="I1920"/>
  <c r="K1920"/>
  <c r="N1920"/>
  <c r="W1920"/>
  <c r="H1921"/>
  <c r="I1921"/>
  <c r="K1921"/>
  <c r="N1921"/>
  <c r="W1921"/>
  <c r="H1922"/>
  <c r="I1922"/>
  <c r="K1922"/>
  <c r="N1922"/>
  <c r="W1922"/>
  <c r="H1923"/>
  <c r="I1923"/>
  <c r="K1923"/>
  <c r="N1923"/>
  <c r="W1923"/>
  <c r="H1924"/>
  <c r="I1924"/>
  <c r="K1924"/>
  <c r="N1924"/>
  <c r="W1924"/>
  <c r="H1925"/>
  <c r="I1925"/>
  <c r="K1925"/>
  <c r="N1925"/>
  <c r="W1925"/>
  <c r="H1926"/>
  <c r="I1926"/>
  <c r="K1926"/>
  <c r="N1926"/>
  <c r="W1926"/>
  <c r="H1927"/>
  <c r="I1927"/>
  <c r="K1927"/>
  <c r="N1927"/>
  <c r="W1927"/>
  <c r="H1928"/>
  <c r="I1928"/>
  <c r="K1928"/>
  <c r="N1928"/>
  <c r="W1928"/>
  <c r="H1929"/>
  <c r="I1929"/>
  <c r="K1929"/>
  <c r="N1929"/>
  <c r="W1929"/>
  <c r="H1930"/>
  <c r="I1930"/>
  <c r="K1930"/>
  <c r="N1930"/>
  <c r="W1930"/>
  <c r="H1931"/>
  <c r="I1931"/>
  <c r="K1931"/>
  <c r="N1931"/>
  <c r="W1931"/>
  <c r="H1932"/>
  <c r="I1932"/>
  <c r="K1932"/>
  <c r="N1932"/>
  <c r="W1932"/>
  <c r="H1933"/>
  <c r="I1933"/>
  <c r="K1933"/>
  <c r="N1933"/>
  <c r="W1933"/>
  <c r="H1934"/>
  <c r="I1934"/>
  <c r="K1934"/>
  <c r="N1934"/>
  <c r="W1934"/>
  <c r="H1935"/>
  <c r="I1935"/>
  <c r="K1935"/>
  <c r="N1935"/>
  <c r="W1935"/>
  <c r="H1936"/>
  <c r="I1936"/>
  <c r="K1936"/>
  <c r="N1936"/>
  <c r="W1936"/>
  <c r="H1937"/>
  <c r="I1937"/>
  <c r="K1937"/>
  <c r="N1937"/>
  <c r="W1937"/>
  <c r="H1938"/>
  <c r="I1938"/>
  <c r="K1938"/>
  <c r="N1938"/>
  <c r="W1938"/>
  <c r="H1939"/>
  <c r="I1939"/>
  <c r="K1939"/>
  <c r="N1939"/>
  <c r="W1939"/>
  <c r="H1940"/>
  <c r="I1940"/>
  <c r="K1940"/>
  <c r="N1940"/>
  <c r="W1940"/>
  <c r="H1941"/>
  <c r="I1941"/>
  <c r="K1941"/>
  <c r="N1941"/>
  <c r="W1941"/>
  <c r="H1942"/>
  <c r="I1942"/>
  <c r="K1942"/>
  <c r="N1942"/>
  <c r="W1942"/>
  <c r="H1943"/>
  <c r="I1943"/>
  <c r="K1943"/>
  <c r="N1943"/>
  <c r="W1943"/>
  <c r="H1944"/>
  <c r="I1944"/>
  <c r="K1944"/>
  <c r="N1944"/>
  <c r="W1944"/>
  <c r="H1945"/>
  <c r="I1945"/>
  <c r="K1945"/>
  <c r="N1945"/>
  <c r="W1945"/>
  <c r="H1946"/>
  <c r="I1946"/>
  <c r="K1946"/>
  <c r="N1946"/>
  <c r="W1946"/>
  <c r="H1947"/>
  <c r="I1947"/>
  <c r="K1947"/>
  <c r="N1947"/>
  <c r="W1947"/>
  <c r="H1948"/>
  <c r="I1948"/>
  <c r="K1948"/>
  <c r="N1948"/>
  <c r="W1948"/>
  <c r="H1949"/>
  <c r="I1949"/>
  <c r="K1949"/>
  <c r="N1949"/>
  <c r="W1949"/>
  <c r="H1950"/>
  <c r="I1950"/>
  <c r="K1950"/>
  <c r="N1950"/>
  <c r="W1950"/>
  <c r="H1951"/>
  <c r="I1951"/>
  <c r="K1951"/>
  <c r="N1951"/>
  <c r="W1951"/>
  <c r="H1952"/>
  <c r="I1952"/>
  <c r="K1952"/>
  <c r="N1952"/>
  <c r="W1952"/>
  <c r="H1953"/>
  <c r="I1953"/>
  <c r="K1953"/>
  <c r="N1953"/>
  <c r="W1953"/>
  <c r="H1954"/>
  <c r="I1954"/>
  <c r="K1954"/>
  <c r="N1954"/>
  <c r="W1954"/>
  <c r="H1955"/>
  <c r="I1955"/>
  <c r="K1955"/>
  <c r="N1955"/>
  <c r="W1955"/>
  <c r="H1956"/>
  <c r="I1956"/>
  <c r="K1956"/>
  <c r="N1956"/>
  <c r="W1956"/>
  <c r="H1957"/>
  <c r="I1957"/>
  <c r="K1957"/>
  <c r="N1957"/>
  <c r="W1957"/>
  <c r="H1958"/>
  <c r="I1958"/>
  <c r="K1958"/>
  <c r="N1958"/>
  <c r="W1958"/>
  <c r="H1959"/>
  <c r="I1959"/>
  <c r="K1959"/>
  <c r="N1959"/>
  <c r="W1959"/>
  <c r="H1960"/>
  <c r="I1960"/>
  <c r="K1960"/>
  <c r="N1960"/>
  <c r="W1960"/>
  <c r="H1961"/>
  <c r="I1961"/>
  <c r="K1961"/>
  <c r="N1961"/>
  <c r="W1961"/>
  <c r="H1962"/>
  <c r="I1962"/>
  <c r="K1962"/>
  <c r="N1962"/>
  <c r="W1962"/>
  <c r="H1963"/>
  <c r="I1963"/>
  <c r="K1963"/>
  <c r="N1963"/>
  <c r="W1963"/>
  <c r="H1964"/>
  <c r="I1964"/>
  <c r="K1964"/>
  <c r="N1964"/>
  <c r="W1964"/>
  <c r="H1965"/>
  <c r="I1965"/>
  <c r="K1965"/>
  <c r="N1965"/>
  <c r="W1965"/>
  <c r="H1966"/>
  <c r="I1966"/>
  <c r="K1966"/>
  <c r="N1966"/>
  <c r="W1966"/>
  <c r="H1967"/>
  <c r="I1967"/>
  <c r="K1967"/>
  <c r="N1967"/>
  <c r="W1967"/>
  <c r="H1968"/>
  <c r="I1968"/>
  <c r="K1968"/>
  <c r="N1968"/>
  <c r="W1968"/>
  <c r="H1969"/>
  <c r="I1969"/>
  <c r="K1969"/>
  <c r="N1969"/>
  <c r="W1969"/>
  <c r="H1970"/>
  <c r="I1970"/>
  <c r="K1970"/>
  <c r="N1970"/>
  <c r="W1970"/>
  <c r="H1971"/>
  <c r="I1971"/>
  <c r="K1971"/>
  <c r="N1971"/>
  <c r="W1971"/>
  <c r="H1972"/>
  <c r="I1972"/>
  <c r="K1972"/>
  <c r="N1972"/>
  <c r="W1972"/>
  <c r="H1973"/>
  <c r="I1973"/>
  <c r="K1973"/>
  <c r="N1973"/>
  <c r="W1973"/>
  <c r="H1974"/>
  <c r="I1974"/>
  <c r="K1974"/>
  <c r="N1974"/>
  <c r="W1974"/>
  <c r="H1975"/>
  <c r="I1975"/>
  <c r="K1975"/>
  <c r="N1975"/>
  <c r="W1975"/>
  <c r="H1976"/>
  <c r="I1976"/>
  <c r="K1976"/>
  <c r="N1976"/>
  <c r="W1976"/>
  <c r="H1977"/>
  <c r="I1977"/>
  <c r="K1977"/>
  <c r="N1977"/>
  <c r="W1977"/>
  <c r="H1978"/>
  <c r="I1978"/>
  <c r="K1978"/>
  <c r="N1978"/>
  <c r="W1978"/>
  <c r="H1979"/>
  <c r="I1979"/>
  <c r="K1979"/>
  <c r="N1979"/>
  <c r="W1979"/>
  <c r="H1980"/>
  <c r="I1980"/>
  <c r="K1980"/>
  <c r="N1980"/>
  <c r="W1980"/>
  <c r="H1981"/>
  <c r="I1981"/>
  <c r="K1981"/>
  <c r="N1981"/>
  <c r="W1981"/>
  <c r="H1982"/>
  <c r="I1982"/>
  <c r="K1982"/>
  <c r="N1982"/>
  <c r="W1982"/>
  <c r="H1983"/>
  <c r="I1983"/>
  <c r="K1983"/>
  <c r="N1983"/>
  <c r="W1983"/>
  <c r="H1984"/>
  <c r="I1984"/>
  <c r="K1984"/>
  <c r="N1984"/>
  <c r="W1984"/>
  <c r="H1985"/>
  <c r="I1985"/>
  <c r="K1985"/>
  <c r="N1985"/>
  <c r="W1985"/>
  <c r="H1986"/>
  <c r="I1986"/>
  <c r="K1986"/>
  <c r="N1986"/>
  <c r="W1986"/>
  <c r="H1987"/>
  <c r="I1987"/>
  <c r="K1987"/>
  <c r="N1987"/>
  <c r="W1987"/>
  <c r="H1988"/>
  <c r="I1988"/>
  <c r="K1988"/>
  <c r="N1988"/>
  <c r="W1988"/>
  <c r="H1989"/>
  <c r="I1989"/>
  <c r="K1989"/>
  <c r="N1989"/>
  <c r="W1989"/>
  <c r="H1990"/>
  <c r="I1990"/>
  <c r="K1990"/>
  <c r="N1990"/>
  <c r="W1990"/>
  <c r="H1991"/>
  <c r="I1991"/>
  <c r="K1991"/>
  <c r="N1991"/>
  <c r="W1991"/>
  <c r="H1992"/>
  <c r="I1992"/>
  <c r="K1992"/>
  <c r="N1992"/>
  <c r="W1992"/>
  <c r="H1993"/>
  <c r="I1993"/>
  <c r="K1993"/>
  <c r="N1993"/>
  <c r="W1993"/>
  <c r="H1994"/>
  <c r="I1994"/>
  <c r="K1994"/>
  <c r="N1994"/>
  <c r="W1994"/>
  <c r="H1995"/>
  <c r="I1995"/>
  <c r="K1995"/>
  <c r="N1995"/>
  <c r="W1995"/>
  <c r="H1996"/>
  <c r="I1996"/>
  <c r="K1996"/>
  <c r="N1996"/>
  <c r="W1996"/>
  <c r="H1997"/>
  <c r="I1997"/>
  <c r="K1997"/>
  <c r="N1997"/>
  <c r="W1997"/>
  <c r="H1998"/>
  <c r="I1998"/>
  <c r="K1998"/>
  <c r="N1998"/>
  <c r="W1998"/>
  <c r="H1999"/>
  <c r="I1999"/>
  <c r="K1999"/>
  <c r="N1999"/>
  <c r="W1999"/>
  <c r="H2000"/>
  <c r="I2000"/>
  <c r="K2000"/>
  <c r="N2000"/>
  <c r="W2000"/>
  <c r="H2001"/>
  <c r="I2001"/>
  <c r="K2001"/>
  <c r="N2001"/>
  <c r="W2001"/>
  <c r="H2002"/>
  <c r="I2002"/>
  <c r="K2002"/>
  <c r="N2002"/>
  <c r="W2002"/>
  <c r="H2003"/>
  <c r="I2003"/>
  <c r="K2003"/>
  <c r="N2003"/>
  <c r="W2003"/>
  <c r="H2004"/>
  <c r="I2004"/>
  <c r="K2004"/>
  <c r="N2004"/>
  <c r="W2004"/>
  <c r="H2005"/>
  <c r="I2005"/>
  <c r="K2005"/>
  <c r="N2005"/>
  <c r="W2005"/>
  <c r="H2006"/>
  <c r="I2006"/>
  <c r="K2006"/>
  <c r="N2006"/>
  <c r="W2006"/>
  <c r="H2007"/>
  <c r="I2007"/>
  <c r="K2007"/>
  <c r="N2007"/>
  <c r="W2007"/>
  <c r="H2008"/>
  <c r="I2008"/>
  <c r="K2008"/>
  <c r="N2008"/>
  <c r="W2008"/>
  <c r="H2009"/>
  <c r="I2009"/>
  <c r="K2009"/>
  <c r="N2009"/>
  <c r="W2009"/>
  <c r="H2010"/>
  <c r="I2010"/>
  <c r="K2010"/>
  <c r="N2010"/>
  <c r="W2010"/>
  <c r="H2011"/>
  <c r="I2011"/>
  <c r="K2011"/>
  <c r="N2011"/>
  <c r="W2011"/>
  <c r="H2012"/>
  <c r="I2012"/>
  <c r="K2012"/>
  <c r="N2012"/>
  <c r="W2012"/>
  <c r="H2013"/>
  <c r="I2013"/>
  <c r="K2013"/>
  <c r="N2013"/>
  <c r="W2013"/>
  <c r="H2014"/>
  <c r="I2014"/>
  <c r="K2014"/>
  <c r="N2014"/>
  <c r="W2014"/>
  <c r="H2015"/>
  <c r="I2015"/>
  <c r="K2015"/>
  <c r="N2015"/>
  <c r="W2015"/>
  <c r="H2016"/>
  <c r="I2016"/>
  <c r="K2016"/>
  <c r="N2016"/>
  <c r="W2016"/>
  <c r="H2017"/>
  <c r="I2017"/>
  <c r="K2017"/>
  <c r="N2017"/>
  <c r="W2017"/>
  <c r="H2018"/>
  <c r="I2018"/>
  <c r="K2018"/>
  <c r="N2018"/>
  <c r="W2018"/>
  <c r="H2019"/>
  <c r="I2019"/>
  <c r="K2019"/>
  <c r="N2019"/>
  <c r="W2019"/>
  <c r="H2020"/>
  <c r="I2020"/>
  <c r="K2020"/>
  <c r="N2020"/>
  <c r="W2020"/>
  <c r="H2021"/>
  <c r="I2021"/>
  <c r="K2021"/>
  <c r="N2021"/>
  <c r="W2021"/>
  <c r="H2022"/>
  <c r="I2022"/>
  <c r="K2022"/>
  <c r="N2022"/>
  <c r="W2022"/>
  <c r="H2023"/>
  <c r="I2023"/>
  <c r="K2023"/>
  <c r="N2023"/>
  <c r="W2023"/>
  <c r="H2024"/>
  <c r="I2024"/>
  <c r="K2024"/>
  <c r="N2024"/>
  <c r="W2024"/>
  <c r="H2025"/>
  <c r="I2025"/>
  <c r="K2025"/>
  <c r="N2025"/>
  <c r="W2025"/>
  <c r="H2026"/>
  <c r="I2026"/>
  <c r="K2026"/>
  <c r="N2026"/>
  <c r="W2026"/>
  <c r="H2027"/>
  <c r="I2027"/>
  <c r="K2027"/>
  <c r="N2027"/>
  <c r="W2027"/>
  <c r="H2028"/>
  <c r="I2028"/>
  <c r="K2028"/>
  <c r="N2028"/>
  <c r="W2028"/>
  <c r="H2029"/>
  <c r="I2029"/>
  <c r="K2029"/>
  <c r="N2029"/>
  <c r="W2029"/>
  <c r="H2030"/>
  <c r="I2030"/>
  <c r="K2030"/>
  <c r="N2030"/>
  <c r="W2030"/>
  <c r="H2031"/>
  <c r="I2031"/>
  <c r="K2031"/>
  <c r="N2031"/>
  <c r="W2031"/>
  <c r="H2032"/>
  <c r="I2032"/>
  <c r="K2032"/>
  <c r="N2032"/>
  <c r="W2032"/>
  <c r="H2033"/>
  <c r="I2033"/>
  <c r="K2033"/>
  <c r="N2033"/>
  <c r="W2033"/>
  <c r="H2034"/>
  <c r="I2034"/>
  <c r="K2034"/>
  <c r="N2034"/>
  <c r="W2034"/>
  <c r="H2035"/>
  <c r="I2035"/>
  <c r="K2035"/>
  <c r="N2035"/>
  <c r="W2035"/>
  <c r="H2036"/>
  <c r="I2036"/>
  <c r="K2036"/>
  <c r="N2036"/>
  <c r="W2036"/>
  <c r="H2037"/>
  <c r="I2037"/>
  <c r="K2037"/>
  <c r="N2037"/>
  <c r="W2037"/>
  <c r="H2038"/>
  <c r="I2038"/>
  <c r="K2038"/>
  <c r="N2038"/>
  <c r="W2038"/>
  <c r="H2039"/>
  <c r="I2039"/>
  <c r="K2039"/>
  <c r="N2039"/>
  <c r="W2039"/>
  <c r="H2040"/>
  <c r="I2040"/>
  <c r="K2040"/>
  <c r="N2040"/>
  <c r="W2040"/>
  <c r="H2041"/>
  <c r="I2041"/>
  <c r="K2041"/>
  <c r="N2041"/>
  <c r="W2041"/>
  <c r="H2042"/>
  <c r="I2042"/>
  <c r="K2042"/>
  <c r="N2042"/>
  <c r="W2042"/>
  <c r="H2043"/>
  <c r="I2043"/>
  <c r="K2043"/>
  <c r="N2043"/>
  <c r="W2043"/>
  <c r="H2044"/>
  <c r="I2044"/>
  <c r="K2044"/>
  <c r="N2044"/>
  <c r="W2044"/>
  <c r="H2045"/>
  <c r="I2045"/>
  <c r="K2045"/>
  <c r="N2045"/>
  <c r="W2045"/>
  <c r="H2046"/>
  <c r="I2046"/>
  <c r="K2046"/>
  <c r="N2046"/>
  <c r="W2046"/>
  <c r="H2047"/>
  <c r="I2047"/>
  <c r="K2047"/>
  <c r="N2047"/>
  <c r="W2047"/>
  <c r="H2048"/>
  <c r="I2048"/>
  <c r="K2048"/>
  <c r="N2048"/>
  <c r="W2048"/>
  <c r="H2049"/>
  <c r="I2049"/>
  <c r="K2049"/>
  <c r="N2049"/>
  <c r="W2049"/>
  <c r="H2050"/>
  <c r="I2050"/>
  <c r="K2050"/>
  <c r="N2050"/>
  <c r="W2050"/>
  <c r="H2051"/>
  <c r="I2051"/>
  <c r="K2051"/>
  <c r="N2051"/>
  <c r="W2051"/>
  <c r="H2052"/>
  <c r="I2052"/>
  <c r="K2052"/>
  <c r="N2052"/>
  <c r="W2052"/>
  <c r="H2053"/>
  <c r="I2053"/>
  <c r="K2053"/>
  <c r="N2053"/>
  <c r="W2053"/>
  <c r="H2054"/>
  <c r="I2054"/>
  <c r="K2054"/>
  <c r="N2054"/>
  <c r="W2054"/>
  <c r="H2055"/>
  <c r="I2055"/>
  <c r="K2055"/>
  <c r="N2055"/>
  <c r="W2055"/>
  <c r="H2056"/>
  <c r="I2056"/>
  <c r="K2056"/>
  <c r="N2056"/>
  <c r="W2056"/>
  <c r="H2057"/>
  <c r="I2057"/>
  <c r="K2057"/>
  <c r="N2057"/>
  <c r="W2057"/>
  <c r="H2058"/>
  <c r="I2058"/>
  <c r="K2058"/>
  <c r="N2058"/>
  <c r="W2058"/>
  <c r="H2059"/>
  <c r="I2059"/>
  <c r="K2059"/>
  <c r="N2059"/>
  <c r="W2059"/>
  <c r="H2060"/>
  <c r="I2060"/>
  <c r="K2060"/>
  <c r="N2060"/>
  <c r="W2060"/>
  <c r="H2061"/>
  <c r="I2061"/>
  <c r="K2061"/>
  <c r="N2061"/>
  <c r="W2061"/>
  <c r="H2062"/>
  <c r="I2062"/>
  <c r="K2062"/>
  <c r="N2062"/>
  <c r="W2062"/>
  <c r="H2063"/>
  <c r="I2063"/>
  <c r="K2063"/>
  <c r="N2063"/>
  <c r="W2063"/>
  <c r="H2064"/>
  <c r="I2064"/>
  <c r="K2064"/>
  <c r="N2064"/>
  <c r="W2064"/>
  <c r="H2065"/>
  <c r="I2065"/>
  <c r="K2065"/>
  <c r="N2065"/>
  <c r="W2065"/>
  <c r="H2066"/>
  <c r="I2066"/>
  <c r="K2066"/>
  <c r="N2066"/>
  <c r="W2066"/>
  <c r="H2067"/>
  <c r="I2067"/>
  <c r="K2067"/>
  <c r="N2067"/>
  <c r="W2067"/>
  <c r="H2068"/>
  <c r="I2068"/>
  <c r="K2068"/>
  <c r="N2068"/>
  <c r="W2068"/>
  <c r="H2069"/>
  <c r="I2069"/>
  <c r="K2069"/>
  <c r="N2069"/>
  <c r="W2069"/>
  <c r="H2070"/>
  <c r="I2070"/>
  <c r="K2070"/>
  <c r="N2070"/>
  <c r="W2070"/>
  <c r="H2071"/>
  <c r="I2071"/>
  <c r="K2071"/>
  <c r="N2071"/>
  <c r="W2071"/>
  <c r="H2072"/>
  <c r="I2072"/>
  <c r="K2072"/>
  <c r="N2072"/>
  <c r="W2072"/>
  <c r="H2073"/>
  <c r="I2073"/>
  <c r="K2073"/>
  <c r="N2073"/>
  <c r="W2073"/>
  <c r="H2074"/>
  <c r="I2074"/>
  <c r="K2074"/>
  <c r="N2074"/>
  <c r="W2074"/>
  <c r="H2075"/>
  <c r="I2075"/>
  <c r="K2075"/>
  <c r="N2075"/>
  <c r="W2075"/>
  <c r="H2076"/>
  <c r="I2076"/>
  <c r="K2076"/>
  <c r="N2076"/>
  <c r="W2076"/>
  <c r="H2077"/>
  <c r="I2077"/>
  <c r="K2077"/>
  <c r="N2077"/>
  <c r="W2077"/>
  <c r="H2078"/>
  <c r="I2078"/>
  <c r="K2078"/>
  <c r="N2078"/>
  <c r="W2078"/>
  <c r="H2079"/>
  <c r="I2079"/>
  <c r="K2079"/>
  <c r="N2079"/>
  <c r="W2079"/>
  <c r="H2080"/>
  <c r="I2080"/>
  <c r="K2080"/>
  <c r="N2080"/>
  <c r="W2080"/>
  <c r="H2081"/>
  <c r="I2081"/>
  <c r="K2081"/>
  <c r="N2081"/>
  <c r="W2081"/>
  <c r="H2082"/>
  <c r="I2082"/>
  <c r="K2082"/>
  <c r="N2082"/>
  <c r="W2082"/>
  <c r="H2083"/>
  <c r="I2083"/>
  <c r="K2083"/>
  <c r="N2083"/>
  <c r="W2083"/>
  <c r="H2084"/>
  <c r="I2084"/>
  <c r="K2084"/>
  <c r="N2084"/>
  <c r="W2084"/>
  <c r="H2085"/>
  <c r="I2085"/>
  <c r="K2085"/>
  <c r="N2085"/>
  <c r="W2085"/>
  <c r="H2086"/>
  <c r="I2086"/>
  <c r="K2086"/>
  <c r="N2086"/>
  <c r="W2086"/>
  <c r="H2087"/>
  <c r="I2087"/>
  <c r="K2087"/>
  <c r="N2087"/>
  <c r="W2087"/>
  <c r="H2088"/>
  <c r="I2088"/>
  <c r="K2088"/>
  <c r="N2088"/>
  <c r="W2088"/>
  <c r="H2089"/>
  <c r="I2089"/>
  <c r="K2089"/>
  <c r="N2089"/>
  <c r="W2089"/>
  <c r="H2090"/>
  <c r="I2090"/>
  <c r="K2090"/>
  <c r="N2090"/>
  <c r="W2090"/>
  <c r="H2091"/>
  <c r="I2091"/>
  <c r="K2091"/>
  <c r="N2091"/>
  <c r="W2091"/>
  <c r="H2092"/>
  <c r="I2092"/>
  <c r="K2092"/>
  <c r="N2092"/>
  <c r="W2092"/>
  <c r="H2093"/>
  <c r="I2093"/>
  <c r="K2093"/>
  <c r="N2093"/>
  <c r="W2093"/>
  <c r="H2094"/>
  <c r="I2094"/>
  <c r="K2094"/>
  <c r="N2094"/>
  <c r="W2094"/>
  <c r="H2095"/>
  <c r="I2095"/>
  <c r="K2095"/>
  <c r="N2095"/>
  <c r="W2095"/>
  <c r="H2096"/>
  <c r="I2096"/>
  <c r="K2096"/>
  <c r="N2096"/>
  <c r="W2096"/>
  <c r="H2097"/>
  <c r="I2097"/>
  <c r="K2097"/>
  <c r="N2097"/>
  <c r="W2097"/>
  <c r="H2098"/>
  <c r="I2098"/>
  <c r="K2098"/>
  <c r="N2098"/>
  <c r="W2098"/>
  <c r="H2099"/>
  <c r="I2099"/>
  <c r="K2099"/>
  <c r="N2099"/>
  <c r="W2099"/>
  <c r="H2100"/>
  <c r="I2100"/>
  <c r="K2100"/>
  <c r="N2100"/>
  <c r="W2100"/>
  <c r="H2101"/>
  <c r="I2101"/>
  <c r="K2101"/>
  <c r="N2101"/>
  <c r="W2101"/>
  <c r="H2102"/>
  <c r="I2102"/>
  <c r="K2102"/>
  <c r="N2102"/>
  <c r="W2102"/>
  <c r="H2103"/>
  <c r="I2103"/>
  <c r="K2103"/>
  <c r="N2103"/>
  <c r="W2103"/>
  <c r="H2104"/>
  <c r="I2104"/>
  <c r="K2104"/>
  <c r="N2104"/>
  <c r="W2104"/>
  <c r="H2105"/>
  <c r="I2105"/>
  <c r="K2105"/>
  <c r="N2105"/>
  <c r="W2105"/>
  <c r="H2106"/>
  <c r="I2106"/>
  <c r="K2106"/>
  <c r="N2106"/>
  <c r="W2106"/>
  <c r="H2107"/>
  <c r="I2107"/>
  <c r="K2107"/>
  <c r="N2107"/>
  <c r="W2107"/>
  <c r="H2108"/>
  <c r="I2108"/>
  <c r="K2108"/>
  <c r="N2108"/>
  <c r="W2108"/>
  <c r="H2109"/>
  <c r="I2109"/>
  <c r="K2109"/>
  <c r="N2109"/>
  <c r="W2109"/>
  <c r="H2110"/>
  <c r="I2110"/>
  <c r="K2110"/>
  <c r="N2110"/>
  <c r="W2110"/>
  <c r="H2111"/>
  <c r="I2111"/>
  <c r="K2111"/>
  <c r="N2111"/>
  <c r="W2111"/>
  <c r="H2112"/>
  <c r="I2112"/>
  <c r="K2112"/>
  <c r="N2112"/>
  <c r="W2112"/>
  <c r="H2113"/>
  <c r="I2113"/>
  <c r="K2113"/>
  <c r="N2113"/>
  <c r="W2113"/>
  <c r="H2114"/>
  <c r="I2114"/>
  <c r="K2114"/>
  <c r="N2114"/>
  <c r="W2114"/>
  <c r="H2115"/>
  <c r="I2115"/>
  <c r="K2115"/>
  <c r="N2115"/>
  <c r="W2115"/>
  <c r="H2116"/>
  <c r="I2116"/>
  <c r="K2116"/>
  <c r="N2116"/>
  <c r="W2116"/>
  <c r="H2117"/>
  <c r="I2117"/>
  <c r="K2117"/>
  <c r="N2117"/>
  <c r="W2117"/>
  <c r="H2118"/>
  <c r="I2118"/>
  <c r="K2118"/>
  <c r="N2118"/>
  <c r="W2118"/>
  <c r="H2119"/>
  <c r="I2119"/>
  <c r="K2119"/>
  <c r="N2119"/>
  <c r="W2119"/>
  <c r="H2120"/>
  <c r="I2120"/>
  <c r="K2120"/>
  <c r="N2120"/>
  <c r="W2120"/>
  <c r="H2121"/>
  <c r="I2121"/>
  <c r="K2121"/>
  <c r="N2121"/>
  <c r="W2121"/>
  <c r="H2122"/>
  <c r="I2122"/>
  <c r="K2122"/>
  <c r="N2122"/>
  <c r="W2122"/>
  <c r="H2123"/>
  <c r="I2123"/>
  <c r="K2123"/>
  <c r="N2123"/>
  <c r="W2123"/>
  <c r="H2124"/>
  <c r="I2124"/>
  <c r="K2124"/>
  <c r="N2124"/>
  <c r="W2124"/>
  <c r="H2125"/>
  <c r="I2125"/>
  <c r="K2125"/>
  <c r="N2125"/>
  <c r="W2125"/>
  <c r="H2126"/>
  <c r="I2126"/>
  <c r="K2126"/>
  <c r="N2126"/>
  <c r="W2126"/>
  <c r="H2127"/>
  <c r="I2127"/>
  <c r="K2127"/>
  <c r="N2127"/>
  <c r="W2127"/>
  <c r="H2128"/>
  <c r="I2128"/>
  <c r="K2128"/>
  <c r="N2128"/>
  <c r="W2128"/>
  <c r="H2129"/>
  <c r="I2129"/>
  <c r="K2129"/>
  <c r="N2129"/>
  <c r="W2129"/>
  <c r="H2130"/>
  <c r="I2130"/>
  <c r="K2130"/>
  <c r="N2130"/>
  <c r="W2130"/>
  <c r="H2131"/>
  <c r="I2131"/>
  <c r="K2131"/>
  <c r="N2131"/>
  <c r="W2131"/>
  <c r="H2132"/>
  <c r="I2132"/>
  <c r="K2132"/>
  <c r="N2132"/>
  <c r="W2132"/>
  <c r="H2133"/>
  <c r="I2133"/>
  <c r="K2133"/>
  <c r="N2133"/>
  <c r="W2133"/>
  <c r="H2134"/>
  <c r="I2134"/>
  <c r="K2134"/>
  <c r="N2134"/>
  <c r="W2134"/>
  <c r="H2135"/>
  <c r="I2135"/>
  <c r="K2135"/>
  <c r="N2135"/>
  <c r="W2135"/>
  <c r="H2136"/>
  <c r="I2136"/>
  <c r="K2136"/>
  <c r="N2136"/>
  <c r="W2136"/>
  <c r="H2137"/>
  <c r="I2137"/>
  <c r="K2137"/>
  <c r="N2137"/>
  <c r="W2137"/>
  <c r="H2138"/>
  <c r="I2138"/>
  <c r="K2138"/>
  <c r="N2138"/>
  <c r="W2138"/>
  <c r="H2139"/>
  <c r="I2139"/>
  <c r="K2139"/>
  <c r="N2139"/>
  <c r="W2139"/>
  <c r="H2140"/>
  <c r="I2140"/>
  <c r="K2140"/>
  <c r="N2140"/>
  <c r="W2140"/>
  <c r="H2141"/>
  <c r="I2141"/>
  <c r="K2141"/>
  <c r="N2141"/>
  <c r="W2141"/>
  <c r="H2142"/>
  <c r="I2142"/>
  <c r="K2142"/>
  <c r="N2142"/>
  <c r="W2142"/>
  <c r="H2143"/>
  <c r="I2143"/>
  <c r="K2143"/>
  <c r="N2143"/>
  <c r="W2143"/>
  <c r="H2144"/>
  <c r="I2144"/>
  <c r="K2144"/>
  <c r="N2144"/>
  <c r="W2144"/>
  <c r="H2145"/>
  <c r="I2145"/>
  <c r="K2145"/>
  <c r="N2145"/>
  <c r="W2145"/>
  <c r="H2146"/>
  <c r="I2146"/>
  <c r="K2146"/>
  <c r="N2146"/>
  <c r="W2146"/>
  <c r="H2147"/>
  <c r="I2147"/>
  <c r="K2147"/>
  <c r="N2147"/>
  <c r="W2147"/>
  <c r="H2148"/>
  <c r="I2148"/>
  <c r="K2148"/>
  <c r="N2148"/>
  <c r="W2148"/>
  <c r="H2149"/>
  <c r="I2149"/>
  <c r="K2149"/>
  <c r="N2149"/>
  <c r="W2149"/>
  <c r="H2150"/>
  <c r="I2150"/>
  <c r="K2150"/>
  <c r="N2150"/>
  <c r="W2150"/>
  <c r="H2151"/>
  <c r="I2151"/>
  <c r="K2151"/>
  <c r="N2151"/>
  <c r="W2151"/>
  <c r="H2152"/>
  <c r="I2152"/>
  <c r="K2152"/>
  <c r="N2152"/>
  <c r="W2152"/>
  <c r="H2153"/>
  <c r="I2153"/>
  <c r="K2153"/>
  <c r="N2153"/>
  <c r="W2153"/>
  <c r="H2154"/>
  <c r="I2154"/>
  <c r="K2154"/>
  <c r="N2154"/>
  <c r="W2154"/>
  <c r="H2155"/>
  <c r="I2155"/>
  <c r="K2155"/>
  <c r="N2155"/>
  <c r="W2155"/>
  <c r="H2156"/>
  <c r="I2156"/>
  <c r="K2156"/>
  <c r="N2156"/>
  <c r="W2156"/>
  <c r="H2157"/>
  <c r="I2157"/>
  <c r="K2157"/>
  <c r="N2157"/>
  <c r="W2157"/>
  <c r="H2158"/>
  <c r="I2158"/>
  <c r="K2158"/>
  <c r="N2158"/>
  <c r="W2158"/>
  <c r="H2159"/>
  <c r="I2159"/>
  <c r="K2159"/>
  <c r="N2159"/>
  <c r="W2159"/>
  <c r="H2160"/>
  <c r="I2160"/>
  <c r="K2160"/>
  <c r="N2160"/>
  <c r="W2160"/>
  <c r="H2161"/>
  <c r="I2161"/>
  <c r="K2161"/>
  <c r="N2161"/>
  <c r="W2161"/>
  <c r="H2162"/>
  <c r="I2162"/>
  <c r="K2162"/>
  <c r="N2162"/>
  <c r="W2162"/>
  <c r="H2163"/>
  <c r="I2163"/>
  <c r="K2163"/>
  <c r="N2163"/>
  <c r="W2163"/>
  <c r="H2164"/>
  <c r="I2164"/>
  <c r="K2164"/>
  <c r="N2164"/>
  <c r="W2164"/>
  <c r="H2165"/>
  <c r="I2165"/>
  <c r="K2165"/>
  <c r="N2165"/>
  <c r="W2165"/>
  <c r="H2166"/>
  <c r="I2166"/>
  <c r="K2166"/>
  <c r="N2166"/>
  <c r="W2166"/>
  <c r="H2167"/>
  <c r="I2167"/>
  <c r="K2167"/>
  <c r="N2167"/>
  <c r="W2167"/>
  <c r="H2168"/>
  <c r="I2168"/>
  <c r="K2168"/>
  <c r="N2168"/>
  <c r="W2168"/>
  <c r="H2169"/>
  <c r="I2169"/>
  <c r="K2169"/>
  <c r="N2169"/>
  <c r="W2169"/>
  <c r="H2170"/>
  <c r="I2170"/>
  <c r="K2170"/>
  <c r="N2170"/>
  <c r="W2170"/>
  <c r="H2171"/>
  <c r="I2171"/>
  <c r="K2171"/>
  <c r="N2171"/>
  <c r="W2171"/>
  <c r="H2172"/>
  <c r="I2172"/>
  <c r="K2172"/>
  <c r="N2172"/>
  <c r="W2172"/>
  <c r="H2173"/>
  <c r="I2173"/>
  <c r="K2173"/>
  <c r="N2173"/>
  <c r="W2173"/>
  <c r="H2174"/>
  <c r="I2174"/>
  <c r="K2174"/>
  <c r="N2174"/>
  <c r="W2174"/>
  <c r="H2175"/>
  <c r="I2175"/>
  <c r="K2175"/>
  <c r="N2175"/>
  <c r="W2175"/>
  <c r="H2176"/>
  <c r="I2176"/>
  <c r="K2176"/>
  <c r="N2176"/>
  <c r="W2176"/>
  <c r="H2177"/>
  <c r="I2177"/>
  <c r="K2177"/>
  <c r="N2177"/>
  <c r="W2177"/>
  <c r="H2178"/>
  <c r="I2178"/>
  <c r="K2178"/>
  <c r="N2178"/>
  <c r="W2178"/>
  <c r="H2179"/>
  <c r="I2179"/>
  <c r="K2179"/>
  <c r="N2179"/>
  <c r="W2179"/>
  <c r="H2180"/>
  <c r="I2180"/>
  <c r="K2180"/>
  <c r="N2180"/>
  <c r="W2180"/>
  <c r="H2181"/>
  <c r="I2181"/>
  <c r="K2181"/>
  <c r="N2181"/>
  <c r="W2181"/>
  <c r="H2182"/>
  <c r="I2182"/>
  <c r="K2182"/>
  <c r="N2182"/>
  <c r="W2182"/>
  <c r="H2183"/>
  <c r="I2183"/>
  <c r="K2183"/>
  <c r="N2183"/>
  <c r="W2183"/>
  <c r="H2184"/>
  <c r="I2184"/>
  <c r="K2184"/>
  <c r="N2184"/>
  <c r="W2184"/>
  <c r="H2185"/>
  <c r="I2185"/>
  <c r="K2185"/>
  <c r="N2185"/>
  <c r="W2185"/>
  <c r="H2186"/>
  <c r="I2186"/>
  <c r="K2186"/>
  <c r="N2186"/>
  <c r="W2186"/>
  <c r="H2187"/>
  <c r="I2187"/>
  <c r="K2187"/>
  <c r="N2187"/>
  <c r="W2187"/>
  <c r="H2188"/>
  <c r="I2188"/>
  <c r="K2188"/>
  <c r="N2188"/>
  <c r="W2188"/>
  <c r="H2189"/>
  <c r="I2189"/>
  <c r="K2189"/>
  <c r="N2189"/>
  <c r="W2189"/>
  <c r="H2190"/>
  <c r="I2190"/>
  <c r="K2190"/>
  <c r="N2190"/>
  <c r="W2190"/>
  <c r="H2191"/>
  <c r="I2191"/>
  <c r="K2191"/>
  <c r="N2191"/>
  <c r="W2191"/>
  <c r="H2192"/>
  <c r="I2192"/>
  <c r="K2192"/>
  <c r="N2192"/>
  <c r="W2192"/>
  <c r="H2193"/>
  <c r="I2193"/>
  <c r="K2193"/>
  <c r="N2193"/>
  <c r="W2193"/>
  <c r="H2194"/>
  <c r="I2194"/>
  <c r="K2194"/>
  <c r="N2194"/>
  <c r="W2194"/>
  <c r="H2195"/>
  <c r="I2195"/>
  <c r="K2195"/>
  <c r="N2195"/>
  <c r="W2195"/>
  <c r="H2196"/>
  <c r="I2196"/>
  <c r="K2196"/>
  <c r="N2196"/>
  <c r="W2196"/>
  <c r="H2197"/>
  <c r="I2197"/>
  <c r="K2197"/>
  <c r="N2197"/>
  <c r="W2197"/>
  <c r="H2198"/>
  <c r="I2198"/>
  <c r="K2198"/>
  <c r="N2198"/>
  <c r="W2198"/>
  <c r="H2199"/>
  <c r="I2199"/>
  <c r="K2199"/>
  <c r="N2199"/>
  <c r="W2199"/>
  <c r="H2200"/>
  <c r="I2200"/>
  <c r="K2200"/>
  <c r="N2200"/>
  <c r="W2200"/>
  <c r="H2201"/>
  <c r="I2201"/>
  <c r="K2201"/>
  <c r="N2201"/>
  <c r="W2201"/>
  <c r="H2202"/>
  <c r="I2202"/>
  <c r="K2202"/>
  <c r="N2202"/>
  <c r="W2202"/>
  <c r="H2203"/>
  <c r="I2203"/>
  <c r="K2203"/>
  <c r="N2203"/>
  <c r="W2203"/>
  <c r="H2204"/>
  <c r="I2204"/>
  <c r="K2204"/>
  <c r="N2204"/>
  <c r="W2204"/>
  <c r="H2205"/>
  <c r="I2205"/>
  <c r="K2205"/>
  <c r="N2205"/>
  <c r="W2205"/>
  <c r="H2206"/>
  <c r="I2206"/>
  <c r="K2206"/>
  <c r="N2206"/>
  <c r="W2206"/>
  <c r="H2207"/>
  <c r="I2207"/>
  <c r="K2207"/>
  <c r="N2207"/>
  <c r="W2207"/>
  <c r="H2208"/>
  <c r="I2208"/>
  <c r="K2208"/>
  <c r="N2208"/>
  <c r="W2208"/>
  <c r="H2209"/>
  <c r="I2209"/>
  <c r="K2209"/>
  <c r="N2209"/>
  <c r="W2209"/>
  <c r="H2210"/>
  <c r="I2210"/>
  <c r="K2210"/>
  <c r="N2210"/>
  <c r="W2210"/>
  <c r="H2211"/>
  <c r="I2211"/>
  <c r="K2211"/>
  <c r="N2211"/>
  <c r="W2211"/>
  <c r="H2212"/>
  <c r="I2212"/>
  <c r="K2212"/>
  <c r="N2212"/>
  <c r="W2212"/>
  <c r="H2213"/>
  <c r="I2213"/>
  <c r="K2213"/>
  <c r="N2213"/>
  <c r="W2213"/>
  <c r="H2214"/>
  <c r="I2214"/>
  <c r="K2214"/>
  <c r="N2214"/>
  <c r="W2214"/>
  <c r="H2215"/>
  <c r="I2215"/>
  <c r="K2215"/>
  <c r="N2215"/>
  <c r="W2215"/>
  <c r="H2216"/>
  <c r="I2216"/>
  <c r="K2216"/>
  <c r="N2216"/>
  <c r="W2216"/>
  <c r="H2217"/>
  <c r="I2217"/>
  <c r="K2217"/>
  <c r="N2217"/>
  <c r="W2217"/>
  <c r="H2218"/>
  <c r="I2218"/>
  <c r="K2218"/>
  <c r="N2218"/>
  <c r="W2218"/>
  <c r="H2219"/>
  <c r="I2219"/>
  <c r="K2219"/>
  <c r="N2219"/>
  <c r="W2219"/>
  <c r="H2220"/>
  <c r="I2220"/>
  <c r="K2220"/>
  <c r="N2220"/>
  <c r="W2220"/>
  <c r="H2221"/>
  <c r="I2221"/>
  <c r="K2221"/>
  <c r="N2221"/>
  <c r="W2221"/>
  <c r="H2222"/>
  <c r="I2222"/>
  <c r="K2222"/>
  <c r="N2222"/>
  <c r="W2222"/>
  <c r="H2223"/>
  <c r="I2223"/>
  <c r="K2223"/>
  <c r="N2223"/>
  <c r="W2223"/>
  <c r="H2224"/>
  <c r="I2224"/>
  <c r="K2224"/>
  <c r="N2224"/>
  <c r="W2224"/>
  <c r="H2225"/>
  <c r="I2225"/>
  <c r="K2225"/>
  <c r="N2225"/>
  <c r="W2225"/>
  <c r="H2226"/>
  <c r="I2226"/>
  <c r="K2226"/>
  <c r="N2226"/>
  <c r="W2226"/>
  <c r="H2227"/>
  <c r="I2227"/>
  <c r="K2227"/>
  <c r="N2227"/>
  <c r="W2227"/>
  <c r="H2228"/>
  <c r="I2228"/>
  <c r="K2228"/>
  <c r="N2228"/>
  <c r="W2228"/>
  <c r="H2229"/>
  <c r="I2229"/>
  <c r="K2229"/>
  <c r="N2229"/>
  <c r="W2229"/>
  <c r="H2230"/>
  <c r="I2230"/>
  <c r="K2230"/>
  <c r="N2230"/>
  <c r="W2230"/>
  <c r="H2231"/>
  <c r="I2231"/>
  <c r="K2231"/>
  <c r="N2231"/>
  <c r="W2231"/>
  <c r="H2232"/>
  <c r="I2232"/>
  <c r="K2232"/>
  <c r="N2232"/>
  <c r="W2232"/>
  <c r="H2233"/>
  <c r="I2233"/>
  <c r="K2233"/>
  <c r="N2233"/>
  <c r="W2233"/>
  <c r="H2234"/>
  <c r="I2234"/>
  <c r="K2234"/>
  <c r="N2234"/>
  <c r="W2234"/>
  <c r="H2235"/>
  <c r="I2235"/>
  <c r="K2235"/>
  <c r="N2235"/>
  <c r="W2235"/>
  <c r="H2236"/>
  <c r="I2236"/>
  <c r="K2236"/>
  <c r="N2236"/>
  <c r="W2236"/>
  <c r="H2237"/>
  <c r="I2237"/>
  <c r="K2237"/>
  <c r="N2237"/>
  <c r="W2237"/>
  <c r="H2238"/>
  <c r="I2238"/>
  <c r="K2238"/>
  <c r="N2238"/>
  <c r="W2238"/>
  <c r="H2239"/>
  <c r="I2239"/>
  <c r="K2239"/>
  <c r="N2239"/>
  <c r="W2239"/>
  <c r="H2240"/>
  <c r="I2240"/>
  <c r="K2240"/>
  <c r="N2240"/>
  <c r="W2240"/>
  <c r="H2241"/>
  <c r="I2241"/>
  <c r="K2241"/>
  <c r="N2241"/>
  <c r="W2241"/>
  <c r="H2242"/>
  <c r="I2242"/>
  <c r="K2242"/>
  <c r="N2242"/>
  <c r="W2242"/>
  <c r="H2243"/>
  <c r="I2243"/>
  <c r="K2243"/>
  <c r="N2243"/>
  <c r="W2243"/>
  <c r="H2244"/>
  <c r="I2244"/>
  <c r="K2244"/>
  <c r="N2244"/>
  <c r="W2244"/>
  <c r="H2245"/>
  <c r="I2245"/>
  <c r="K2245"/>
  <c r="N2245"/>
  <c r="W2245"/>
  <c r="H2246"/>
  <c r="I2246"/>
  <c r="K2246"/>
  <c r="N2246"/>
  <c r="W2246"/>
  <c r="H2247"/>
  <c r="I2247"/>
  <c r="K2247"/>
  <c r="N2247"/>
  <c r="W2247"/>
  <c r="H2248"/>
  <c r="I2248"/>
  <c r="K2248"/>
  <c r="N2248"/>
  <c r="W2248"/>
  <c r="H2249"/>
  <c r="I2249"/>
  <c r="K2249"/>
  <c r="N2249"/>
  <c r="W2249"/>
  <c r="H2250"/>
  <c r="I2250"/>
  <c r="K2250"/>
  <c r="N2250"/>
  <c r="W2250"/>
  <c r="H2251"/>
  <c r="I2251"/>
  <c r="K2251"/>
  <c r="N2251"/>
  <c r="W2251"/>
  <c r="H2252"/>
  <c r="I2252"/>
  <c r="K2252"/>
  <c r="N2252"/>
  <c r="W2252"/>
  <c r="H2253"/>
  <c r="I2253"/>
  <c r="K2253"/>
  <c r="N2253"/>
  <c r="W2253"/>
  <c r="H2254"/>
  <c r="I2254"/>
  <c r="K2254"/>
  <c r="N2254"/>
  <c r="W2254"/>
  <c r="H2255"/>
  <c r="I2255"/>
  <c r="K2255"/>
  <c r="N2255"/>
  <c r="W2255"/>
  <c r="H2256"/>
  <c r="I2256"/>
  <c r="K2256"/>
  <c r="N2256"/>
  <c r="W2256"/>
  <c r="H2257"/>
  <c r="I2257"/>
  <c r="K2257"/>
  <c r="N2257"/>
  <c r="W2257"/>
  <c r="H2258"/>
  <c r="I2258"/>
  <c r="K2258"/>
  <c r="N2258"/>
  <c r="W2258"/>
  <c r="H2259"/>
  <c r="I2259"/>
  <c r="K2259"/>
  <c r="N2259"/>
  <c r="W2259"/>
  <c r="H2260"/>
  <c r="I2260"/>
  <c r="K2260"/>
  <c r="N2260"/>
  <c r="W2260"/>
  <c r="H2261"/>
  <c r="I2261"/>
  <c r="K2261"/>
  <c r="N2261"/>
  <c r="W2261"/>
  <c r="H2262"/>
  <c r="I2262"/>
  <c r="K2262"/>
  <c r="N2262"/>
  <c r="W2262"/>
  <c r="H2263"/>
  <c r="I2263"/>
  <c r="K2263"/>
  <c r="N2263"/>
  <c r="W2263"/>
  <c r="H2264"/>
  <c r="I2264"/>
  <c r="K2264"/>
  <c r="N2264"/>
  <c r="W2264"/>
  <c r="H2265"/>
  <c r="I2265"/>
  <c r="K2265"/>
  <c r="N2265"/>
  <c r="W2265"/>
  <c r="H2266"/>
  <c r="I2266"/>
  <c r="K2266"/>
  <c r="N2266"/>
  <c r="W2266"/>
  <c r="H2267"/>
  <c r="I2267"/>
  <c r="K2267"/>
  <c r="N2267"/>
  <c r="W2267"/>
  <c r="H2268"/>
  <c r="I2268"/>
  <c r="K2268"/>
  <c r="N2268"/>
  <c r="W2268"/>
  <c r="H2269"/>
  <c r="I2269"/>
  <c r="K2269"/>
  <c r="N2269"/>
  <c r="W2269"/>
  <c r="H2270"/>
  <c r="I2270"/>
  <c r="K2270"/>
  <c r="N2270"/>
  <c r="W2270"/>
  <c r="H2271"/>
  <c r="I2271"/>
  <c r="K2271"/>
  <c r="N2271"/>
  <c r="W2271"/>
  <c r="H2272"/>
  <c r="I2272"/>
  <c r="K2272"/>
  <c r="N2272"/>
  <c r="W2272"/>
  <c r="H2273"/>
  <c r="I2273"/>
  <c r="K2273"/>
  <c r="N2273"/>
  <c r="W2273"/>
  <c r="H2274"/>
  <c r="I2274"/>
  <c r="K2274"/>
  <c r="N2274"/>
  <c r="W2274"/>
  <c r="H2275"/>
  <c r="I2275"/>
  <c r="K2275"/>
  <c r="N2275"/>
  <c r="W2275"/>
  <c r="H2276"/>
  <c r="I2276"/>
  <c r="K2276"/>
  <c r="N2276"/>
  <c r="W2276"/>
  <c r="H2277"/>
  <c r="I2277"/>
  <c r="K2277"/>
  <c r="N2277"/>
  <c r="W2277"/>
  <c r="H2278"/>
  <c r="I2278"/>
  <c r="K2278"/>
  <c r="N2278"/>
  <c r="W2278"/>
  <c r="H2279"/>
  <c r="I2279"/>
  <c r="K2279"/>
  <c r="N2279"/>
  <c r="W2279"/>
  <c r="H2280"/>
  <c r="I2280"/>
  <c r="K2280"/>
  <c r="N2280"/>
  <c r="W2280"/>
  <c r="H2281"/>
  <c r="I2281"/>
  <c r="K2281"/>
  <c r="N2281"/>
  <c r="W2281"/>
  <c r="H2282"/>
  <c r="I2282"/>
  <c r="K2282"/>
  <c r="N2282"/>
  <c r="W2282"/>
  <c r="H2283"/>
  <c r="I2283"/>
  <c r="K2283"/>
  <c r="N2283"/>
  <c r="W2283"/>
  <c r="H2284"/>
  <c r="I2284"/>
  <c r="K2284"/>
  <c r="N2284"/>
  <c r="W2284"/>
  <c r="H2285"/>
  <c r="I2285"/>
  <c r="K2285"/>
  <c r="N2285"/>
  <c r="W2285"/>
  <c r="H2286"/>
  <c r="I2286"/>
  <c r="K2286"/>
  <c r="N2286"/>
  <c r="W2286"/>
  <c r="H2287"/>
  <c r="I2287"/>
  <c r="K2287"/>
  <c r="N2287"/>
  <c r="W2287"/>
  <c r="H2288"/>
  <c r="I2288"/>
  <c r="K2288"/>
  <c r="N2288"/>
  <c r="W2288"/>
  <c r="H2289"/>
  <c r="I2289"/>
  <c r="K2289"/>
  <c r="N2289"/>
  <c r="W2289"/>
  <c r="H2290"/>
  <c r="I2290"/>
  <c r="K2290"/>
  <c r="N2290"/>
  <c r="W2290"/>
  <c r="H2291"/>
  <c r="I2291"/>
  <c r="K2291"/>
  <c r="N2291"/>
  <c r="W2291"/>
  <c r="H2292"/>
  <c r="I2292"/>
  <c r="K2292"/>
  <c r="N2292"/>
  <c r="W2292"/>
  <c r="H2293"/>
  <c r="I2293"/>
  <c r="K2293"/>
  <c r="N2293"/>
  <c r="W2293"/>
  <c r="H2294"/>
  <c r="I2294"/>
  <c r="K2294"/>
  <c r="N2294"/>
  <c r="W2294"/>
  <c r="H2295"/>
  <c r="I2295"/>
  <c r="K2295"/>
  <c r="N2295"/>
  <c r="W2295"/>
  <c r="H2296"/>
  <c r="I2296"/>
  <c r="K2296"/>
  <c r="N2296"/>
  <c r="W2296"/>
  <c r="H2297"/>
  <c r="I2297"/>
  <c r="K2297"/>
  <c r="N2297"/>
  <c r="W2297"/>
  <c r="H2298"/>
  <c r="I2298"/>
  <c r="K2298"/>
  <c r="N2298"/>
  <c r="W2298"/>
  <c r="H2299"/>
  <c r="I2299"/>
  <c r="K2299"/>
  <c r="N2299"/>
  <c r="W2299"/>
  <c r="H2300"/>
  <c r="I2300"/>
  <c r="K2300"/>
  <c r="N2300"/>
  <c r="W2300"/>
  <c r="H2301"/>
  <c r="I2301"/>
  <c r="K2301"/>
  <c r="N2301"/>
  <c r="W2301"/>
  <c r="H2302"/>
  <c r="I2302"/>
  <c r="K2302"/>
  <c r="N2302"/>
  <c r="W2302"/>
  <c r="H2303"/>
  <c r="I2303"/>
  <c r="K2303"/>
  <c r="N2303"/>
  <c r="W2303"/>
  <c r="H2304"/>
  <c r="I2304"/>
  <c r="K2304"/>
  <c r="N2304"/>
  <c r="W2304"/>
  <c r="H2305"/>
  <c r="I2305"/>
  <c r="K2305"/>
  <c r="N2305"/>
  <c r="W2305"/>
  <c r="H2306"/>
  <c r="I2306"/>
  <c r="K2306"/>
  <c r="N2306"/>
  <c r="W2306"/>
  <c r="H2307"/>
  <c r="I2307"/>
  <c r="K2307"/>
  <c r="N2307"/>
  <c r="W2307"/>
  <c r="H2308"/>
  <c r="I2308"/>
  <c r="K2308"/>
  <c r="N2308"/>
  <c r="W2308"/>
  <c r="H2309"/>
  <c r="I2309"/>
  <c r="K2309"/>
  <c r="N2309"/>
  <c r="W2309"/>
  <c r="H2310"/>
  <c r="I2310"/>
  <c r="K2310"/>
  <c r="N2310"/>
  <c r="W2310"/>
  <c r="H2311"/>
  <c r="I2311"/>
  <c r="K2311"/>
  <c r="N2311"/>
  <c r="W2311"/>
  <c r="H2312"/>
  <c r="I2312"/>
  <c r="K2312"/>
  <c r="N2312"/>
  <c r="W2312"/>
  <c r="H2313"/>
  <c r="I2313"/>
  <c r="K2313"/>
  <c r="N2313"/>
  <c r="W2313"/>
  <c r="H2314"/>
  <c r="I2314"/>
  <c r="K2314"/>
  <c r="N2314"/>
  <c r="W2314"/>
  <c r="H2315"/>
  <c r="I2315"/>
  <c r="K2315"/>
  <c r="N2315"/>
  <c r="W2315"/>
  <c r="H2316"/>
  <c r="I2316"/>
  <c r="K2316"/>
  <c r="N2316"/>
  <c r="W2316"/>
  <c r="H2317"/>
  <c r="I2317"/>
  <c r="K2317"/>
  <c r="N2317"/>
  <c r="W2317"/>
  <c r="H2318"/>
  <c r="I2318"/>
  <c r="K2318"/>
  <c r="N2318"/>
  <c r="W2318"/>
  <c r="H2319"/>
  <c r="I2319"/>
  <c r="K2319"/>
  <c r="N2319"/>
  <c r="W2319"/>
  <c r="H2320"/>
  <c r="I2320"/>
  <c r="K2320"/>
  <c r="N2320"/>
  <c r="W2320"/>
  <c r="H2321"/>
  <c r="I2321"/>
  <c r="K2321"/>
  <c r="N2321"/>
  <c r="W2321"/>
  <c r="H2322"/>
  <c r="I2322"/>
  <c r="K2322"/>
  <c r="N2322"/>
  <c r="W2322"/>
  <c r="H2323"/>
  <c r="I2323"/>
  <c r="K2323"/>
  <c r="N2323"/>
  <c r="W2323"/>
  <c r="H2324"/>
  <c r="I2324"/>
  <c r="K2324"/>
  <c r="N2324"/>
  <c r="W2324"/>
  <c r="H2325"/>
  <c r="I2325"/>
  <c r="K2325"/>
  <c r="N2325"/>
  <c r="W2325"/>
  <c r="H2326"/>
  <c r="I2326"/>
  <c r="K2326"/>
  <c r="N2326"/>
  <c r="W2326"/>
  <c r="H2327"/>
  <c r="I2327"/>
  <c r="K2327"/>
  <c r="N2327"/>
  <c r="W2327"/>
  <c r="H2328"/>
  <c r="I2328"/>
  <c r="K2328"/>
  <c r="N2328"/>
  <c r="W2328"/>
  <c r="H2329"/>
  <c r="I2329"/>
  <c r="K2329"/>
  <c r="N2329"/>
  <c r="W2329"/>
  <c r="H2330"/>
  <c r="I2330"/>
  <c r="K2330"/>
  <c r="N2330"/>
  <c r="W2330"/>
  <c r="H2331"/>
  <c r="I2331"/>
  <c r="K2331"/>
  <c r="N2331"/>
  <c r="W2331"/>
  <c r="H2332"/>
  <c r="I2332"/>
  <c r="K2332"/>
  <c r="N2332"/>
  <c r="W2332"/>
  <c r="H2333"/>
  <c r="I2333"/>
  <c r="K2333"/>
  <c r="N2333"/>
  <c r="W2333"/>
  <c r="H2334"/>
  <c r="I2334"/>
  <c r="K2334"/>
  <c r="N2334"/>
  <c r="W2334"/>
  <c r="H2335"/>
  <c r="I2335"/>
  <c r="K2335"/>
  <c r="N2335"/>
  <c r="W2335"/>
  <c r="H2336"/>
  <c r="I2336"/>
  <c r="K2336"/>
  <c r="N2336"/>
  <c r="W2336"/>
  <c r="H2337"/>
  <c r="I2337"/>
  <c r="K2337"/>
  <c r="N2337"/>
  <c r="W2337"/>
  <c r="H2338"/>
  <c r="I2338"/>
  <c r="K2338"/>
  <c r="N2338"/>
  <c r="W2338"/>
  <c r="H2339"/>
  <c r="I2339"/>
  <c r="K2339"/>
  <c r="N2339"/>
  <c r="W2339"/>
  <c r="H2340"/>
  <c r="I2340"/>
  <c r="K2340"/>
  <c r="N2340"/>
  <c r="W2340"/>
  <c r="H2341"/>
  <c r="I2341"/>
  <c r="K2341"/>
  <c r="N2341"/>
  <c r="W2341"/>
  <c r="H2342"/>
  <c r="I2342"/>
  <c r="K2342"/>
  <c r="N2342"/>
  <c r="W2342"/>
  <c r="H2343"/>
  <c r="I2343"/>
  <c r="K2343"/>
  <c r="N2343"/>
  <c r="W2343"/>
  <c r="H2344"/>
  <c r="I2344"/>
  <c r="K2344"/>
  <c r="N2344"/>
  <c r="W2344"/>
  <c r="H2345"/>
  <c r="I2345"/>
  <c r="K2345"/>
  <c r="N2345"/>
  <c r="W2345"/>
  <c r="H2346"/>
  <c r="I2346"/>
  <c r="K2346"/>
  <c r="N2346"/>
  <c r="W2346"/>
  <c r="H2347"/>
  <c r="I2347"/>
  <c r="K2347"/>
  <c r="N2347"/>
  <c r="W2347"/>
  <c r="H2348"/>
  <c r="I2348"/>
  <c r="K2348"/>
  <c r="N2348"/>
  <c r="W2348"/>
  <c r="H2349"/>
  <c r="I2349"/>
  <c r="K2349"/>
  <c r="N2349"/>
  <c r="W2349"/>
  <c r="H2350"/>
  <c r="I2350"/>
  <c r="K2350"/>
  <c r="N2350"/>
  <c r="W2350"/>
  <c r="H2351"/>
  <c r="I2351"/>
  <c r="K2351"/>
  <c r="N2351"/>
  <c r="W2351"/>
  <c r="H2352"/>
  <c r="I2352"/>
  <c r="K2352"/>
  <c r="N2352"/>
  <c r="W2352"/>
  <c r="H2353"/>
  <c r="I2353"/>
  <c r="K2353"/>
  <c r="N2353"/>
  <c r="W2353"/>
  <c r="H2354"/>
  <c r="I2354"/>
  <c r="K2354"/>
  <c r="N2354"/>
  <c r="W2354"/>
  <c r="H2355"/>
  <c r="I2355"/>
  <c r="K2355"/>
  <c r="N2355"/>
  <c r="W2355"/>
  <c r="H2356"/>
  <c r="I2356"/>
  <c r="K2356"/>
  <c r="N2356"/>
  <c r="W2356"/>
  <c r="H2357"/>
  <c r="I2357"/>
  <c r="K2357"/>
  <c r="N2357"/>
  <c r="W2357"/>
  <c r="H2358"/>
  <c r="I2358"/>
  <c r="K2358"/>
  <c r="N2358"/>
  <c r="W2358"/>
  <c r="H2359"/>
  <c r="I2359"/>
  <c r="K2359"/>
  <c r="N2359"/>
  <c r="W2359"/>
  <c r="H2360"/>
  <c r="I2360"/>
  <c r="K2360"/>
  <c r="N2360"/>
  <c r="W2360"/>
  <c r="H2361"/>
  <c r="I2361"/>
  <c r="K2361"/>
  <c r="N2361"/>
  <c r="W2361"/>
  <c r="H2362"/>
  <c r="I2362"/>
  <c r="K2362"/>
  <c r="N2362"/>
  <c r="W2362"/>
  <c r="H2363"/>
  <c r="I2363"/>
  <c r="K2363"/>
  <c r="N2363"/>
  <c r="W2363"/>
  <c r="H2364"/>
  <c r="I2364"/>
  <c r="K2364"/>
  <c r="N2364"/>
  <c r="W2364"/>
  <c r="H2365"/>
  <c r="I2365"/>
  <c r="K2365"/>
  <c r="N2365"/>
  <c r="W2365"/>
  <c r="H2366"/>
  <c r="I2366"/>
  <c r="K2366"/>
  <c r="N2366"/>
  <c r="W2366"/>
  <c r="H2367"/>
  <c r="I2367"/>
  <c r="K2367"/>
  <c r="N2367"/>
  <c r="W2367"/>
  <c r="H2368"/>
  <c r="I2368"/>
  <c r="K2368"/>
  <c r="N2368"/>
  <c r="W2368"/>
  <c r="H2369"/>
  <c r="I2369"/>
  <c r="K2369"/>
  <c r="N2369"/>
  <c r="W2369"/>
  <c r="H2370"/>
  <c r="I2370"/>
  <c r="K2370"/>
  <c r="N2370"/>
  <c r="W2370"/>
  <c r="H2371"/>
  <c r="I2371"/>
  <c r="K2371"/>
  <c r="N2371"/>
  <c r="W2371"/>
  <c r="H2372"/>
  <c r="I2372"/>
  <c r="K2372"/>
  <c r="N2372"/>
  <c r="W2372"/>
  <c r="H2373"/>
  <c r="I2373"/>
  <c r="K2373"/>
  <c r="N2373"/>
  <c r="W2373"/>
  <c r="H2374"/>
  <c r="I2374"/>
  <c r="K2374"/>
  <c r="N2374"/>
  <c r="W2374"/>
  <c r="H2375"/>
  <c r="I2375"/>
  <c r="K2375"/>
  <c r="N2375"/>
  <c r="W2375"/>
  <c r="H2376"/>
  <c r="I2376"/>
  <c r="K2376"/>
  <c r="N2376"/>
  <c r="W2376"/>
  <c r="H2377"/>
  <c r="I2377"/>
  <c r="K2377"/>
  <c r="N2377"/>
  <c r="W2377"/>
  <c r="H2378"/>
  <c r="I2378"/>
  <c r="K2378"/>
  <c r="N2378"/>
  <c r="W2378"/>
  <c r="H2379"/>
  <c r="I2379"/>
  <c r="K2379"/>
  <c r="N2379"/>
  <c r="W2379"/>
  <c r="H2380"/>
  <c r="I2380"/>
  <c r="K2380"/>
  <c r="N2380"/>
  <c r="W2380"/>
  <c r="H2381"/>
  <c r="I2381"/>
  <c r="K2381"/>
  <c r="N2381"/>
  <c r="W2381"/>
  <c r="H2382"/>
  <c r="I2382"/>
  <c r="K2382"/>
  <c r="N2382"/>
  <c r="W2382"/>
  <c r="H2383"/>
  <c r="I2383"/>
  <c r="K2383"/>
  <c r="N2383"/>
  <c r="W2383"/>
  <c r="H2384"/>
  <c r="I2384"/>
  <c r="K2384"/>
  <c r="N2384"/>
  <c r="W2384"/>
  <c r="H2385"/>
  <c r="I2385"/>
  <c r="K2385"/>
  <c r="N2385"/>
  <c r="W2385"/>
  <c r="H2386"/>
  <c r="I2386"/>
  <c r="K2386"/>
  <c r="N2386"/>
  <c r="W2386"/>
  <c r="H2387"/>
  <c r="I2387"/>
  <c r="K2387"/>
  <c r="N2387"/>
  <c r="W2387"/>
  <c r="H2388"/>
  <c r="I2388"/>
  <c r="K2388"/>
  <c r="N2388"/>
  <c r="W2388"/>
  <c r="H2389"/>
  <c r="I2389"/>
  <c r="K2389"/>
  <c r="N2389"/>
  <c r="W2389"/>
  <c r="H2390"/>
  <c r="I2390"/>
  <c r="K2390"/>
  <c r="N2390"/>
  <c r="W2390"/>
  <c r="H2391"/>
  <c r="I2391"/>
  <c r="K2391"/>
  <c r="N2391"/>
  <c r="W2391"/>
  <c r="H2392"/>
  <c r="I2392"/>
  <c r="K2392"/>
  <c r="N2392"/>
  <c r="W2392"/>
  <c r="H2393"/>
  <c r="I2393"/>
  <c r="K2393"/>
  <c r="N2393"/>
  <c r="W2393"/>
  <c r="H2394"/>
  <c r="I2394"/>
  <c r="K2394"/>
  <c r="N2394"/>
  <c r="W2394"/>
  <c r="H2395"/>
  <c r="I2395"/>
  <c r="K2395"/>
  <c r="N2395"/>
  <c r="W2395"/>
  <c r="H2396"/>
  <c r="I2396"/>
  <c r="K2396"/>
  <c r="N2396"/>
  <c r="W2396"/>
  <c r="H2397"/>
  <c r="I2397"/>
  <c r="K2397"/>
  <c r="N2397"/>
  <c r="W2397"/>
  <c r="H2398"/>
  <c r="I2398"/>
  <c r="K2398"/>
  <c r="N2398"/>
  <c r="W2398"/>
  <c r="H2399"/>
  <c r="I2399"/>
  <c r="K2399"/>
  <c r="N2399"/>
  <c r="W2399"/>
  <c r="H2400"/>
  <c r="I2400"/>
  <c r="K2400"/>
  <c r="N2400"/>
  <c r="W2400"/>
  <c r="H2401"/>
  <c r="I2401"/>
  <c r="K2401"/>
  <c r="N2401"/>
  <c r="W2401"/>
  <c r="H2402"/>
  <c r="I2402"/>
  <c r="K2402"/>
  <c r="N2402"/>
  <c r="W2402"/>
  <c r="H2403"/>
  <c r="I2403"/>
  <c r="K2403"/>
  <c r="N2403"/>
  <c r="W2403"/>
  <c r="H2404"/>
  <c r="I2404"/>
  <c r="K2404"/>
  <c r="N2404"/>
  <c r="W2404"/>
  <c r="H2405"/>
  <c r="I2405"/>
  <c r="K2405"/>
  <c r="N2405"/>
  <c r="W2405"/>
  <c r="H2406"/>
  <c r="I2406"/>
  <c r="K2406"/>
  <c r="N2406"/>
  <c r="W2406"/>
  <c r="H2407"/>
  <c r="I2407"/>
  <c r="K2407"/>
  <c r="N2407"/>
  <c r="W2407"/>
  <c r="H2408"/>
  <c r="I2408"/>
  <c r="K2408"/>
  <c r="N2408"/>
  <c r="W2408"/>
  <c r="H2409"/>
  <c r="I2409"/>
  <c r="K2409"/>
  <c r="N2409"/>
  <c r="W2409"/>
  <c r="H2410"/>
  <c r="I2410"/>
  <c r="K2410"/>
  <c r="N2410"/>
  <c r="W2410"/>
  <c r="H2411"/>
  <c r="I2411"/>
  <c r="K2411"/>
  <c r="N2411"/>
  <c r="W2411"/>
  <c r="H2412"/>
  <c r="I2412"/>
  <c r="K2412"/>
  <c r="N2412"/>
  <c r="W2412"/>
  <c r="H2413"/>
  <c r="I2413"/>
  <c r="K2413"/>
  <c r="N2413"/>
  <c r="W2413"/>
  <c r="H2414"/>
  <c r="I2414"/>
  <c r="K2414"/>
  <c r="N2414"/>
  <c r="W2414"/>
  <c r="H2415"/>
  <c r="I2415"/>
  <c r="K2415"/>
  <c r="N2415"/>
  <c r="W2415"/>
  <c r="H2416"/>
  <c r="I2416"/>
  <c r="K2416"/>
  <c r="N2416"/>
  <c r="W2416"/>
  <c r="H2417"/>
  <c r="I2417"/>
  <c r="K2417"/>
  <c r="N2417"/>
  <c r="W2417"/>
  <c r="H2418"/>
  <c r="I2418"/>
  <c r="K2418"/>
  <c r="N2418"/>
  <c r="W2418"/>
  <c r="H2419"/>
  <c r="I2419"/>
  <c r="K2419"/>
  <c r="N2419"/>
  <c r="W2419"/>
  <c r="H2420"/>
  <c r="I2420"/>
  <c r="K2420"/>
  <c r="N2420"/>
  <c r="W2420"/>
  <c r="H2421"/>
  <c r="I2421"/>
  <c r="K2421"/>
  <c r="N2421"/>
  <c r="W2421"/>
  <c r="H2422"/>
  <c r="I2422"/>
  <c r="K2422"/>
  <c r="N2422"/>
  <c r="W2422"/>
  <c r="H2423"/>
  <c r="I2423"/>
  <c r="K2423"/>
  <c r="N2423"/>
  <c r="W2423"/>
  <c r="H2424"/>
  <c r="I2424"/>
  <c r="K2424"/>
  <c r="N2424"/>
  <c r="W2424"/>
  <c r="H2425"/>
  <c r="I2425"/>
  <c r="K2425"/>
  <c r="N2425"/>
  <c r="W2425"/>
  <c r="H2426"/>
  <c r="I2426"/>
  <c r="K2426"/>
  <c r="N2426"/>
  <c r="W2426"/>
  <c r="H2427"/>
  <c r="I2427"/>
  <c r="K2427"/>
  <c r="N2427"/>
  <c r="W2427"/>
  <c r="H2428"/>
  <c r="I2428"/>
  <c r="K2428"/>
  <c r="N2428"/>
  <c r="W2428"/>
  <c r="H2429"/>
  <c r="I2429"/>
  <c r="K2429"/>
  <c r="N2429"/>
  <c r="W2429"/>
  <c r="H2430"/>
  <c r="I2430"/>
  <c r="K2430"/>
  <c r="N2430"/>
  <c r="W2430"/>
  <c r="H2431"/>
  <c r="I2431"/>
  <c r="K2431"/>
  <c r="N2431"/>
  <c r="W2431"/>
  <c r="H2432"/>
  <c r="I2432"/>
  <c r="K2432"/>
  <c r="N2432"/>
  <c r="W2432"/>
  <c r="H2433"/>
  <c r="I2433"/>
  <c r="K2433"/>
  <c r="N2433"/>
  <c r="W2433"/>
  <c r="H2434"/>
  <c r="I2434"/>
  <c r="K2434"/>
  <c r="N2434"/>
  <c r="W2434"/>
  <c r="H2435"/>
  <c r="I2435"/>
  <c r="K2435"/>
  <c r="N2435"/>
  <c r="W2435"/>
  <c r="H2436"/>
  <c r="I2436"/>
  <c r="K2436"/>
  <c r="N2436"/>
  <c r="W2436"/>
  <c r="H2437"/>
  <c r="I2437"/>
  <c r="K2437"/>
  <c r="N2437"/>
  <c r="W2437"/>
  <c r="H2438"/>
  <c r="I2438"/>
  <c r="K2438"/>
  <c r="N2438"/>
  <c r="W2438"/>
  <c r="H2439"/>
  <c r="I2439"/>
  <c r="K2439"/>
  <c r="N2439"/>
  <c r="W2439"/>
  <c r="H2440"/>
  <c r="I2440"/>
  <c r="K2440"/>
  <c r="N2440"/>
  <c r="W2440"/>
  <c r="H2441"/>
  <c r="I2441"/>
  <c r="K2441"/>
  <c r="N2441"/>
  <c r="W2441"/>
  <c r="H2442"/>
  <c r="I2442"/>
  <c r="K2442"/>
  <c r="N2442"/>
  <c r="W2442"/>
  <c r="H2443"/>
  <c r="I2443"/>
  <c r="K2443"/>
  <c r="N2443"/>
  <c r="W2443"/>
  <c r="H2444"/>
  <c r="I2444"/>
  <c r="K2444"/>
  <c r="N2444"/>
  <c r="W2444"/>
  <c r="H2445"/>
  <c r="I2445"/>
  <c r="K2445"/>
  <c r="N2445"/>
  <c r="W2445"/>
  <c r="H2446"/>
  <c r="I2446"/>
  <c r="K2446"/>
  <c r="N2446"/>
  <c r="W2446"/>
  <c r="H2447"/>
  <c r="I2447"/>
  <c r="K2447"/>
  <c r="N2447"/>
  <c r="W2447"/>
  <c r="H2448"/>
  <c r="I2448"/>
  <c r="K2448"/>
  <c r="N2448"/>
  <c r="W2448"/>
  <c r="H2449"/>
  <c r="I2449"/>
  <c r="K2449"/>
  <c r="N2449"/>
  <c r="W2449"/>
  <c r="H2450"/>
  <c r="I2450"/>
  <c r="K2450"/>
  <c r="N2450"/>
  <c r="W2450"/>
  <c r="H2451"/>
  <c r="I2451"/>
  <c r="K2451"/>
  <c r="N2451"/>
  <c r="W2451"/>
  <c r="H2452"/>
  <c r="I2452"/>
  <c r="K2452"/>
  <c r="N2452"/>
  <c r="W2452"/>
  <c r="H2453"/>
  <c r="I2453"/>
  <c r="K2453"/>
  <c r="N2453"/>
  <c r="W2453"/>
  <c r="H2454"/>
  <c r="I2454"/>
  <c r="K2454"/>
  <c r="N2454"/>
  <c r="W2454"/>
  <c r="H2455"/>
  <c r="I2455"/>
  <c r="K2455"/>
  <c r="N2455"/>
  <c r="W2455"/>
  <c r="H2456"/>
  <c r="I2456"/>
  <c r="K2456"/>
  <c r="N2456"/>
  <c r="W2456"/>
  <c r="H2457"/>
  <c r="I2457"/>
  <c r="K2457"/>
  <c r="N2457"/>
  <c r="W2457"/>
  <c r="H2458"/>
  <c r="I2458"/>
  <c r="K2458"/>
  <c r="N2458"/>
  <c r="W2458"/>
  <c r="H2459"/>
  <c r="I2459"/>
  <c r="K2459"/>
  <c r="N2459"/>
  <c r="W2459"/>
  <c r="H2460"/>
  <c r="I2460"/>
  <c r="K2460"/>
  <c r="N2460"/>
  <c r="W2460"/>
  <c r="H2461"/>
  <c r="I2461"/>
  <c r="K2461"/>
  <c r="N2461"/>
  <c r="W2461"/>
  <c r="H2462"/>
  <c r="I2462"/>
  <c r="K2462"/>
  <c r="N2462"/>
  <c r="W2462"/>
  <c r="H2463"/>
  <c r="I2463"/>
  <c r="K2463"/>
  <c r="N2463"/>
  <c r="W2463"/>
  <c r="H2464"/>
  <c r="I2464"/>
  <c r="K2464"/>
  <c r="N2464"/>
  <c r="W2464"/>
  <c r="H2465"/>
  <c r="I2465"/>
  <c r="K2465"/>
  <c r="N2465"/>
  <c r="W2465"/>
  <c r="H2466"/>
  <c r="I2466"/>
  <c r="K2466"/>
  <c r="N2466"/>
  <c r="W2466"/>
  <c r="H2467"/>
  <c r="I2467"/>
  <c r="K2467"/>
  <c r="N2467"/>
  <c r="W2467"/>
  <c r="H2468"/>
  <c r="I2468"/>
  <c r="K2468"/>
  <c r="N2468"/>
  <c r="W2468"/>
  <c r="H2469"/>
  <c r="I2469"/>
  <c r="K2469"/>
  <c r="N2469"/>
  <c r="W2469"/>
  <c r="H2470"/>
  <c r="I2470"/>
  <c r="K2470"/>
  <c r="N2470"/>
  <c r="W2470"/>
  <c r="H2471"/>
  <c r="I2471"/>
  <c r="K2471"/>
  <c r="N2471"/>
  <c r="W2471"/>
  <c r="H2472"/>
  <c r="I2472"/>
  <c r="K2472"/>
  <c r="N2472"/>
  <c r="W2472"/>
  <c r="H2473"/>
  <c r="I2473"/>
  <c r="K2473"/>
  <c r="N2473"/>
  <c r="W2473"/>
  <c r="H2474"/>
  <c r="I2474"/>
  <c r="K2474"/>
  <c r="N2474"/>
  <c r="W2474"/>
  <c r="H2475"/>
  <c r="I2475"/>
  <c r="K2475"/>
  <c r="N2475"/>
  <c r="W2475"/>
  <c r="H2476"/>
  <c r="I2476"/>
  <c r="K2476"/>
  <c r="N2476"/>
  <c r="W2476"/>
  <c r="H2477"/>
  <c r="I2477"/>
  <c r="K2477"/>
  <c r="N2477"/>
  <c r="W2477"/>
  <c r="H2478"/>
  <c r="I2478"/>
  <c r="K2478"/>
  <c r="N2478"/>
  <c r="W2478"/>
  <c r="H2479"/>
  <c r="I2479"/>
  <c r="K2479"/>
  <c r="N2479"/>
  <c r="W2479"/>
  <c r="H2480"/>
  <c r="I2480"/>
  <c r="K2480"/>
  <c r="N2480"/>
  <c r="W2480"/>
  <c r="H2481"/>
  <c r="I2481"/>
  <c r="K2481"/>
  <c r="N2481"/>
  <c r="W2481"/>
  <c r="H2482"/>
  <c r="I2482"/>
  <c r="K2482"/>
  <c r="N2482"/>
  <c r="W2482"/>
  <c r="H2483"/>
  <c r="I2483"/>
  <c r="K2483"/>
  <c r="N2483"/>
  <c r="W2483"/>
  <c r="H2484"/>
  <c r="I2484"/>
  <c r="K2484"/>
  <c r="N2484"/>
  <c r="W2484"/>
  <c r="H2485"/>
  <c r="I2485"/>
  <c r="K2485"/>
  <c r="N2485"/>
  <c r="W2485"/>
  <c r="H2486"/>
  <c r="I2486"/>
  <c r="K2486"/>
  <c r="N2486"/>
  <c r="W2486"/>
  <c r="H2487"/>
  <c r="I2487"/>
  <c r="K2487"/>
  <c r="N2487"/>
  <c r="W2487"/>
  <c r="H2488"/>
  <c r="I2488"/>
  <c r="K2488"/>
  <c r="N2488"/>
  <c r="W2488"/>
  <c r="H2489"/>
  <c r="I2489"/>
  <c r="K2489"/>
  <c r="N2489"/>
  <c r="W2489"/>
  <c r="H2490"/>
  <c r="I2490"/>
  <c r="K2490"/>
  <c r="N2490"/>
  <c r="W2490"/>
  <c r="H2491"/>
  <c r="I2491"/>
  <c r="K2491"/>
  <c r="N2491"/>
  <c r="W2491"/>
  <c r="H2492"/>
  <c r="I2492"/>
  <c r="K2492"/>
  <c r="N2492"/>
  <c r="W2492"/>
  <c r="H2493"/>
  <c r="I2493"/>
  <c r="K2493"/>
  <c r="N2493"/>
  <c r="W2493"/>
  <c r="H2494"/>
  <c r="I2494"/>
  <c r="K2494"/>
  <c r="N2494"/>
  <c r="W2494"/>
  <c r="H2495"/>
  <c r="I2495"/>
  <c r="K2495"/>
  <c r="N2495"/>
  <c r="W2495"/>
  <c r="H2496"/>
  <c r="I2496"/>
  <c r="K2496"/>
  <c r="N2496"/>
  <c r="W2496"/>
  <c r="H2497"/>
  <c r="I2497"/>
  <c r="K2497"/>
  <c r="N2497"/>
  <c r="W2497"/>
  <c r="H2498"/>
  <c r="I2498"/>
  <c r="K2498"/>
  <c r="N2498"/>
  <c r="W2498"/>
  <c r="H2499"/>
  <c r="I2499"/>
  <c r="K2499"/>
  <c r="N2499"/>
  <c r="W2499"/>
  <c r="H2500"/>
  <c r="I2500"/>
  <c r="K2500"/>
  <c r="N2500"/>
  <c r="W2500"/>
  <c r="H2501"/>
  <c r="I2501"/>
  <c r="K2501"/>
  <c r="N2501"/>
  <c r="W2501"/>
  <c r="H2502"/>
  <c r="I2502"/>
  <c r="K2502"/>
  <c r="N2502"/>
  <c r="W2502"/>
  <c r="H2503"/>
  <c r="I2503"/>
  <c r="K2503"/>
  <c r="N2503"/>
  <c r="W2503"/>
  <c r="H2504"/>
  <c r="I2504"/>
  <c r="K2504"/>
  <c r="N2504"/>
  <c r="W2504"/>
  <c r="H2505"/>
  <c r="I2505"/>
  <c r="K2505"/>
  <c r="N2505"/>
  <c r="W2505"/>
  <c r="H2506"/>
  <c r="I2506"/>
  <c r="K2506"/>
  <c r="N2506"/>
  <c r="W2506"/>
  <c r="H2507"/>
  <c r="I2507"/>
  <c r="K2507"/>
  <c r="N2507"/>
  <c r="W2507"/>
  <c r="H2508"/>
  <c r="I2508"/>
  <c r="K2508"/>
  <c r="N2508"/>
  <c r="W2508"/>
  <c r="H2509"/>
  <c r="I2509"/>
  <c r="K2509"/>
  <c r="N2509"/>
  <c r="W2509"/>
  <c r="H2510"/>
  <c r="I2510"/>
  <c r="K2510"/>
  <c r="N2510"/>
  <c r="W2510"/>
  <c r="H2511"/>
  <c r="I2511"/>
  <c r="K2511"/>
  <c r="N2511"/>
  <c r="W2511"/>
  <c r="H2512"/>
  <c r="I2512"/>
  <c r="K2512"/>
  <c r="N2512"/>
  <c r="W2512"/>
  <c r="H2513"/>
  <c r="I2513"/>
  <c r="K2513"/>
  <c r="N2513"/>
  <c r="W2513"/>
  <c r="H2514"/>
  <c r="I2514"/>
  <c r="K2514"/>
  <c r="N2514"/>
  <c r="W2514"/>
  <c r="H2515"/>
  <c r="I2515"/>
  <c r="K2515"/>
  <c r="N2515"/>
  <c r="W2515"/>
  <c r="H2516"/>
  <c r="I2516"/>
  <c r="K2516"/>
  <c r="N2516"/>
  <c r="W2516"/>
  <c r="H2517"/>
  <c r="I2517"/>
  <c r="K2517"/>
  <c r="N2517"/>
  <c r="W2517"/>
  <c r="H2518"/>
  <c r="I2518"/>
  <c r="K2518"/>
  <c r="N2518"/>
  <c r="W2518"/>
  <c r="H2519"/>
  <c r="I2519"/>
  <c r="K2519"/>
  <c r="N2519"/>
  <c r="W2519"/>
  <c r="H2520"/>
  <c r="I2520"/>
  <c r="K2520"/>
  <c r="N2520"/>
  <c r="W2520"/>
  <c r="H2521"/>
  <c r="I2521"/>
  <c r="K2521"/>
  <c r="N2521"/>
  <c r="W2521"/>
  <c r="H2522"/>
  <c r="I2522"/>
  <c r="K2522"/>
  <c r="N2522"/>
  <c r="W2522"/>
  <c r="H2523"/>
  <c r="I2523"/>
  <c r="K2523"/>
  <c r="N2523"/>
  <c r="W2523"/>
  <c r="H2524"/>
  <c r="I2524"/>
  <c r="K2524"/>
  <c r="N2524"/>
  <c r="W2524"/>
  <c r="H2525"/>
  <c r="I2525"/>
  <c r="K2525"/>
  <c r="N2525"/>
  <c r="W2525"/>
  <c r="H2526"/>
  <c r="I2526"/>
  <c r="K2526"/>
  <c r="N2526"/>
  <c r="W2526"/>
  <c r="H2527"/>
  <c r="I2527"/>
  <c r="K2527"/>
  <c r="N2527"/>
  <c r="W2527"/>
  <c r="H2528"/>
  <c r="I2528"/>
  <c r="K2528"/>
  <c r="N2528"/>
  <c r="W2528"/>
  <c r="H2529"/>
  <c r="I2529"/>
  <c r="K2529"/>
  <c r="N2529"/>
  <c r="W2529"/>
  <c r="H2530"/>
  <c r="I2530"/>
  <c r="K2530"/>
  <c r="N2530"/>
  <c r="W2530"/>
  <c r="H2531"/>
  <c r="I2531"/>
  <c r="K2531"/>
  <c r="N2531"/>
  <c r="W2531"/>
  <c r="H2532"/>
  <c r="I2532"/>
  <c r="K2532"/>
  <c r="N2532"/>
  <c r="W2532"/>
  <c r="H2533"/>
  <c r="I2533"/>
  <c r="K2533"/>
  <c r="N2533"/>
  <c r="W2533"/>
  <c r="H2534"/>
  <c r="I2534"/>
  <c r="K2534"/>
  <c r="N2534"/>
  <c r="W2534"/>
  <c r="H2535"/>
  <c r="I2535"/>
  <c r="K2535"/>
  <c r="N2535"/>
  <c r="W2535"/>
  <c r="H2536"/>
  <c r="I2536"/>
  <c r="K2536"/>
  <c r="N2536"/>
  <c r="W2536"/>
  <c r="H2537"/>
  <c r="I2537"/>
  <c r="K2537"/>
  <c r="N2537"/>
  <c r="W2537"/>
  <c r="H2538"/>
  <c r="I2538"/>
  <c r="K2538"/>
  <c r="N2538"/>
  <c r="W2538"/>
  <c r="H2539"/>
  <c r="I2539"/>
  <c r="K2539"/>
  <c r="N2539"/>
  <c r="W2539"/>
  <c r="H2540"/>
  <c r="I2540"/>
  <c r="K2540"/>
  <c r="N2540"/>
  <c r="W2540"/>
  <c r="H2541"/>
  <c r="I2541"/>
  <c r="K2541"/>
  <c r="N2541"/>
  <c r="W2541"/>
  <c r="H2542"/>
  <c r="I2542"/>
  <c r="K2542"/>
  <c r="N2542"/>
  <c r="W2542"/>
  <c r="H2543"/>
  <c r="I2543"/>
  <c r="K2543"/>
  <c r="N2543"/>
  <c r="W2543"/>
  <c r="H2544"/>
  <c r="I2544"/>
  <c r="K2544"/>
  <c r="N2544"/>
  <c r="W2544"/>
  <c r="H2545"/>
  <c r="I2545"/>
  <c r="K2545"/>
  <c r="N2545"/>
  <c r="W2545"/>
  <c r="H2546"/>
  <c r="I2546"/>
  <c r="K2546"/>
  <c r="N2546"/>
  <c r="W2546"/>
  <c r="H2547"/>
  <c r="I2547"/>
  <c r="K2547"/>
  <c r="N2547"/>
  <c r="W2547"/>
  <c r="H2548"/>
  <c r="I2548"/>
  <c r="K2548"/>
  <c r="N2548"/>
  <c r="W2548"/>
  <c r="H2549"/>
  <c r="I2549"/>
  <c r="K2549"/>
  <c r="N2549"/>
  <c r="W2549"/>
  <c r="H2550"/>
  <c r="I2550"/>
  <c r="K2550"/>
  <c r="N2550"/>
  <c r="W2550"/>
  <c r="H2551"/>
  <c r="I2551"/>
  <c r="K2551"/>
  <c r="N2551"/>
  <c r="W2551"/>
  <c r="H2552"/>
  <c r="I2552"/>
  <c r="K2552"/>
  <c r="N2552"/>
  <c r="W2552"/>
  <c r="H2553"/>
  <c r="I2553"/>
  <c r="K2553"/>
  <c r="N2553"/>
  <c r="W2553"/>
  <c r="H2554"/>
  <c r="I2554"/>
  <c r="K2554"/>
  <c r="N2554"/>
  <c r="W2554"/>
  <c r="H2555"/>
  <c r="I2555"/>
  <c r="K2555"/>
  <c r="N2555"/>
  <c r="W2555"/>
  <c r="H2556"/>
  <c r="I2556"/>
  <c r="K2556"/>
  <c r="N2556"/>
  <c r="W2556"/>
  <c r="H2557"/>
  <c r="I2557"/>
  <c r="K2557"/>
  <c r="N2557"/>
  <c r="W2557"/>
  <c r="H2558"/>
  <c r="I2558"/>
  <c r="K2558"/>
  <c r="N2558"/>
  <c r="W2558"/>
  <c r="H2559"/>
  <c r="I2559"/>
  <c r="K2559"/>
  <c r="N2559"/>
  <c r="W2559"/>
  <c r="H2560"/>
  <c r="I2560"/>
  <c r="K2560"/>
  <c r="N2560"/>
  <c r="W2560"/>
  <c r="H2561"/>
  <c r="I2561"/>
  <c r="K2561"/>
  <c r="N2561"/>
  <c r="W2561"/>
  <c r="H2562"/>
  <c r="I2562"/>
  <c r="K2562"/>
  <c r="N2562"/>
  <c r="W2562"/>
  <c r="H2563"/>
  <c r="I2563"/>
  <c r="K2563"/>
  <c r="N2563"/>
  <c r="W2563"/>
  <c r="H2564"/>
  <c r="I2564"/>
  <c r="K2564"/>
  <c r="N2564"/>
  <c r="W2564"/>
  <c r="H2565"/>
  <c r="I2565"/>
  <c r="K2565"/>
  <c r="N2565"/>
  <c r="W2565"/>
  <c r="H2566"/>
  <c r="I2566"/>
  <c r="K2566"/>
  <c r="N2566"/>
  <c r="W2566"/>
  <c r="H2567"/>
  <c r="I2567"/>
  <c r="K2567"/>
  <c r="N2567"/>
  <c r="W2567"/>
  <c r="H2568"/>
  <c r="I2568"/>
  <c r="K2568"/>
  <c r="N2568"/>
  <c r="W2568"/>
  <c r="H2569"/>
  <c r="I2569"/>
  <c r="K2569"/>
  <c r="N2569"/>
  <c r="W2569"/>
  <c r="H2570"/>
  <c r="I2570"/>
  <c r="K2570"/>
  <c r="N2570"/>
  <c r="W2570"/>
  <c r="H2571"/>
  <c r="I2571"/>
  <c r="K2571"/>
  <c r="N2571"/>
  <c r="W2571"/>
  <c r="H2572"/>
  <c r="I2572"/>
  <c r="K2572"/>
  <c r="N2572"/>
  <c r="W2572"/>
  <c r="H2573"/>
  <c r="I2573"/>
  <c r="K2573"/>
  <c r="N2573"/>
  <c r="W2573"/>
  <c r="H2574"/>
  <c r="I2574"/>
  <c r="K2574"/>
  <c r="N2574"/>
  <c r="W2574"/>
  <c r="H2575"/>
  <c r="I2575"/>
  <c r="K2575"/>
  <c r="N2575"/>
  <c r="W2575"/>
  <c r="H2576"/>
  <c r="I2576"/>
  <c r="K2576"/>
  <c r="N2576"/>
  <c r="W2576"/>
  <c r="H2577"/>
  <c r="I2577"/>
  <c r="K2577"/>
  <c r="N2577"/>
  <c r="W2577"/>
  <c r="H2578"/>
  <c r="I2578"/>
  <c r="K2578"/>
  <c r="N2578"/>
  <c r="W2578"/>
  <c r="H2579"/>
  <c r="I2579"/>
  <c r="K2579"/>
  <c r="N2579"/>
  <c r="W2579"/>
  <c r="H2580"/>
  <c r="I2580"/>
  <c r="K2580"/>
  <c r="N2580"/>
  <c r="W2580"/>
  <c r="H2581"/>
  <c r="I2581"/>
  <c r="K2581"/>
  <c r="N2581"/>
  <c r="W2581"/>
  <c r="H2582"/>
  <c r="I2582"/>
  <c r="K2582"/>
  <c r="N2582"/>
  <c r="W2582"/>
  <c r="H2583"/>
  <c r="I2583"/>
  <c r="K2583"/>
  <c r="N2583"/>
  <c r="W2583"/>
  <c r="H2584"/>
  <c r="I2584"/>
  <c r="K2584"/>
  <c r="N2584"/>
  <c r="W2584"/>
  <c r="H2585"/>
  <c r="I2585"/>
  <c r="K2585"/>
  <c r="N2585"/>
  <c r="W2585"/>
  <c r="H2586"/>
  <c r="I2586"/>
  <c r="K2586"/>
  <c r="N2586"/>
  <c r="W2586"/>
  <c r="H2587"/>
  <c r="I2587"/>
  <c r="K2587"/>
  <c r="N2587"/>
  <c r="W2587"/>
  <c r="H2588"/>
  <c r="I2588"/>
  <c r="K2588"/>
  <c r="N2588"/>
  <c r="W2588"/>
  <c r="H2589"/>
  <c r="I2589"/>
  <c r="K2589"/>
  <c r="N2589"/>
  <c r="W2589"/>
  <c r="H2590"/>
  <c r="I2590"/>
  <c r="K2590"/>
  <c r="N2590"/>
  <c r="W2590"/>
  <c r="H2591"/>
  <c r="I2591"/>
  <c r="K2591"/>
  <c r="N2591"/>
  <c r="W2591"/>
  <c r="H2592"/>
  <c r="I2592"/>
  <c r="K2592"/>
  <c r="N2592"/>
  <c r="W2592"/>
  <c r="H2593"/>
  <c r="I2593"/>
  <c r="K2593"/>
  <c r="N2593"/>
  <c r="W2593"/>
  <c r="H2594"/>
  <c r="I2594"/>
  <c r="K2594"/>
  <c r="N2594"/>
  <c r="W2594"/>
  <c r="H2595"/>
  <c r="I2595"/>
  <c r="K2595"/>
  <c r="N2595"/>
  <c r="W2595"/>
  <c r="H2596"/>
  <c r="I2596"/>
  <c r="K2596"/>
  <c r="N2596"/>
  <c r="W2596"/>
  <c r="H2597"/>
  <c r="I2597"/>
  <c r="K2597"/>
  <c r="N2597"/>
  <c r="W2597"/>
  <c r="H2598"/>
  <c r="I2598"/>
  <c r="K2598"/>
  <c r="N2598"/>
  <c r="W2598"/>
  <c r="H2599"/>
  <c r="I2599"/>
  <c r="K2599"/>
  <c r="N2599"/>
  <c r="W2599"/>
  <c r="H2600"/>
  <c r="I2600"/>
  <c r="K2600"/>
  <c r="N2600"/>
  <c r="W2600"/>
  <c r="H2601"/>
  <c r="I2601"/>
  <c r="K2601"/>
  <c r="N2601"/>
  <c r="W2601"/>
  <c r="H2602"/>
  <c r="I2602"/>
  <c r="K2602"/>
  <c r="N2602"/>
  <c r="W2602"/>
  <c r="H2603"/>
  <c r="I2603"/>
  <c r="K2603"/>
  <c r="N2603"/>
  <c r="W2603"/>
  <c r="H2604"/>
  <c r="I2604"/>
  <c r="K2604"/>
  <c r="N2604"/>
  <c r="W2604"/>
  <c r="H2605"/>
  <c r="I2605"/>
  <c r="K2605"/>
  <c r="N2605"/>
  <c r="W2605"/>
  <c r="H2606"/>
  <c r="I2606"/>
  <c r="K2606"/>
  <c r="N2606"/>
  <c r="W2606"/>
  <c r="H2607"/>
  <c r="I2607"/>
  <c r="K2607"/>
  <c r="N2607"/>
  <c r="W2607"/>
  <c r="H2608"/>
  <c r="I2608"/>
  <c r="K2608"/>
  <c r="N2608"/>
  <c r="W2608"/>
  <c r="H2609"/>
  <c r="I2609"/>
  <c r="K2609"/>
  <c r="N2609"/>
  <c r="W2609"/>
  <c r="H2610"/>
  <c r="I2610"/>
  <c r="K2610"/>
  <c r="N2610"/>
  <c r="W2610"/>
  <c r="H2611"/>
  <c r="I2611"/>
  <c r="K2611"/>
  <c r="N2611"/>
  <c r="W2611"/>
  <c r="H2612"/>
  <c r="I2612"/>
  <c r="K2612"/>
  <c r="N2612"/>
  <c r="W2612"/>
  <c r="H2613"/>
  <c r="I2613"/>
  <c r="K2613"/>
  <c r="N2613"/>
  <c r="W2613"/>
  <c r="H2614"/>
  <c r="I2614"/>
  <c r="K2614"/>
  <c r="N2614"/>
  <c r="W2614"/>
  <c r="H2615"/>
  <c r="I2615"/>
  <c r="K2615"/>
  <c r="N2615"/>
  <c r="W2615"/>
  <c r="H2616"/>
  <c r="I2616"/>
  <c r="K2616"/>
  <c r="N2616"/>
  <c r="W2616"/>
  <c r="H2617"/>
  <c r="I2617"/>
  <c r="K2617"/>
  <c r="N2617"/>
  <c r="W2617"/>
  <c r="H2618"/>
  <c r="I2618"/>
  <c r="K2618"/>
  <c r="N2618"/>
  <c r="W2618"/>
  <c r="H2619"/>
  <c r="I2619"/>
  <c r="K2619"/>
  <c r="N2619"/>
  <c r="W2619"/>
  <c r="H2620"/>
  <c r="I2620"/>
  <c r="K2620"/>
  <c r="N2620"/>
  <c r="W2620"/>
  <c r="H2621"/>
  <c r="I2621"/>
  <c r="K2621"/>
  <c r="N2621"/>
  <c r="W2621"/>
  <c r="H2622"/>
  <c r="I2622"/>
  <c r="K2622"/>
  <c r="N2622"/>
  <c r="W2622"/>
  <c r="H2623"/>
  <c r="I2623"/>
  <c r="K2623"/>
  <c r="N2623"/>
  <c r="W2623"/>
  <c r="H2624"/>
  <c r="I2624"/>
  <c r="K2624"/>
  <c r="N2624"/>
  <c r="W2624"/>
  <c r="H2625"/>
  <c r="I2625"/>
  <c r="K2625"/>
  <c r="N2625"/>
  <c r="W2625"/>
  <c r="H2626"/>
  <c r="I2626"/>
  <c r="K2626"/>
  <c r="N2626"/>
  <c r="W2626"/>
  <c r="H2627"/>
  <c r="I2627"/>
  <c r="K2627"/>
  <c r="N2627"/>
  <c r="W2627"/>
  <c r="H2628"/>
  <c r="I2628"/>
  <c r="K2628"/>
  <c r="N2628"/>
  <c r="W2628"/>
  <c r="H2629"/>
  <c r="I2629"/>
  <c r="K2629"/>
  <c r="N2629"/>
  <c r="W2629"/>
  <c r="H2630"/>
  <c r="I2630"/>
  <c r="K2630"/>
  <c r="N2630"/>
  <c r="W2630"/>
  <c r="H2631"/>
  <c r="I2631"/>
  <c r="K2631"/>
  <c r="N2631"/>
  <c r="W2631"/>
  <c r="H2632"/>
  <c r="I2632"/>
  <c r="K2632"/>
  <c r="N2632"/>
  <c r="W2632"/>
  <c r="H2633"/>
  <c r="I2633"/>
  <c r="K2633"/>
  <c r="N2633"/>
  <c r="W2633"/>
  <c r="H2634"/>
  <c r="I2634"/>
  <c r="K2634"/>
  <c r="N2634"/>
  <c r="W2634"/>
  <c r="H2635"/>
  <c r="I2635"/>
  <c r="K2635"/>
  <c r="N2635"/>
  <c r="W2635"/>
  <c r="H2636"/>
  <c r="I2636"/>
  <c r="K2636"/>
  <c r="N2636"/>
  <c r="W2636"/>
  <c r="H2637"/>
  <c r="I2637"/>
  <c r="K2637"/>
  <c r="N2637"/>
  <c r="W2637"/>
  <c r="H2638"/>
  <c r="I2638"/>
  <c r="K2638"/>
  <c r="N2638"/>
  <c r="W2638"/>
  <c r="H2639"/>
  <c r="I2639"/>
  <c r="K2639"/>
  <c r="N2639"/>
  <c r="W2639"/>
  <c r="H2640"/>
  <c r="I2640"/>
  <c r="K2640"/>
  <c r="N2640"/>
  <c r="W2640"/>
  <c r="H2641"/>
  <c r="I2641"/>
  <c r="K2641"/>
  <c r="N2641"/>
  <c r="W2641"/>
  <c r="H2642"/>
  <c r="I2642"/>
  <c r="K2642"/>
  <c r="N2642"/>
  <c r="W2642"/>
  <c r="H2643"/>
  <c r="I2643"/>
  <c r="K2643"/>
  <c r="N2643"/>
  <c r="W2643"/>
  <c r="H2644"/>
  <c r="I2644"/>
  <c r="K2644"/>
  <c r="N2644"/>
  <c r="W2644"/>
  <c r="H2645"/>
  <c r="I2645"/>
  <c r="K2645"/>
  <c r="N2645"/>
  <c r="W2645"/>
  <c r="H2646"/>
  <c r="I2646"/>
  <c r="K2646"/>
  <c r="N2646"/>
  <c r="W2646"/>
  <c r="H2647"/>
  <c r="I2647"/>
  <c r="K2647"/>
  <c r="N2647"/>
  <c r="W2647"/>
  <c r="H2648"/>
  <c r="I2648"/>
  <c r="K2648"/>
  <c r="N2648"/>
  <c r="W2648"/>
  <c r="H2649"/>
  <c r="I2649"/>
  <c r="K2649"/>
  <c r="N2649"/>
  <c r="W2649"/>
  <c r="H2650"/>
  <c r="I2650"/>
  <c r="K2650"/>
  <c r="N2650"/>
  <c r="W2650"/>
  <c r="H2651"/>
  <c r="I2651"/>
  <c r="K2651"/>
  <c r="N2651"/>
  <c r="W2651"/>
  <c r="H2652"/>
  <c r="I2652"/>
  <c r="K2652"/>
  <c r="N2652"/>
  <c r="W2652"/>
  <c r="H2653"/>
  <c r="I2653"/>
  <c r="K2653"/>
  <c r="N2653"/>
  <c r="W2653"/>
  <c r="H2654"/>
  <c r="I2654"/>
  <c r="K2654"/>
  <c r="N2654"/>
  <c r="W2654"/>
  <c r="H2655"/>
  <c r="I2655"/>
  <c r="K2655"/>
  <c r="N2655"/>
  <c r="W2655"/>
  <c r="H2656"/>
  <c r="I2656"/>
  <c r="K2656"/>
  <c r="N2656"/>
  <c r="W2656"/>
  <c r="H2657"/>
  <c r="I2657"/>
  <c r="K2657"/>
  <c r="N2657"/>
  <c r="W2657"/>
  <c r="H2658"/>
  <c r="I2658"/>
  <c r="K2658"/>
  <c r="N2658"/>
  <c r="W2658"/>
  <c r="H2659"/>
  <c r="I2659"/>
  <c r="K2659"/>
  <c r="N2659"/>
  <c r="W2659"/>
  <c r="H2660"/>
  <c r="I2660"/>
  <c r="K2660"/>
  <c r="N2660"/>
  <c r="W2660"/>
  <c r="H2661"/>
  <c r="I2661"/>
  <c r="K2661"/>
  <c r="N2661"/>
  <c r="W2661"/>
  <c r="H2662"/>
  <c r="I2662"/>
  <c r="K2662"/>
  <c r="N2662"/>
  <c r="W2662"/>
  <c r="H2663"/>
  <c r="I2663"/>
  <c r="K2663"/>
  <c r="N2663"/>
  <c r="W2663"/>
  <c r="H2664"/>
  <c r="I2664"/>
  <c r="K2664"/>
  <c r="N2664"/>
  <c r="W2664"/>
  <c r="H2665"/>
  <c r="I2665"/>
  <c r="K2665"/>
  <c r="N2665"/>
  <c r="W2665"/>
  <c r="H2666"/>
  <c r="I2666"/>
  <c r="K2666"/>
  <c r="N2666"/>
  <c r="W2666"/>
  <c r="H2667"/>
  <c r="I2667"/>
  <c r="K2667"/>
  <c r="N2667"/>
  <c r="W2667"/>
  <c r="H2668"/>
  <c r="I2668"/>
  <c r="K2668"/>
  <c r="N2668"/>
  <c r="W2668"/>
  <c r="H2669"/>
  <c r="I2669"/>
  <c r="K2669"/>
  <c r="N2669"/>
  <c r="W2669"/>
  <c r="H2670"/>
  <c r="I2670"/>
  <c r="K2670"/>
  <c r="N2670"/>
  <c r="W2670"/>
  <c r="H2671"/>
  <c r="I2671"/>
  <c r="K2671"/>
  <c r="N2671"/>
  <c r="W2671"/>
  <c r="H2672"/>
  <c r="I2672"/>
  <c r="K2672"/>
  <c r="N2672"/>
  <c r="W2672"/>
  <c r="H2673"/>
  <c r="I2673"/>
  <c r="K2673"/>
  <c r="N2673"/>
  <c r="W2673"/>
  <c r="H2674"/>
  <c r="I2674"/>
  <c r="K2674"/>
  <c r="N2674"/>
  <c r="W2674"/>
  <c r="H2675"/>
  <c r="I2675"/>
  <c r="K2675"/>
  <c r="N2675"/>
  <c r="W2675"/>
  <c r="H2676"/>
  <c r="I2676"/>
  <c r="K2676"/>
  <c r="N2676"/>
  <c r="W2676"/>
  <c r="H2677"/>
  <c r="I2677"/>
  <c r="K2677"/>
  <c r="N2677"/>
  <c r="W2677"/>
  <c r="H2678"/>
  <c r="I2678"/>
  <c r="K2678"/>
  <c r="N2678"/>
  <c r="W2678"/>
  <c r="H2679"/>
  <c r="I2679"/>
  <c r="K2679"/>
  <c r="N2679"/>
  <c r="W2679"/>
  <c r="H2680"/>
  <c r="I2680"/>
  <c r="K2680"/>
  <c r="N2680"/>
  <c r="W2680"/>
  <c r="H2681"/>
  <c r="I2681"/>
  <c r="K2681"/>
  <c r="N2681"/>
  <c r="W2681"/>
  <c r="H2682"/>
  <c r="I2682"/>
  <c r="K2682"/>
  <c r="N2682"/>
  <c r="W2682"/>
  <c r="H2683"/>
  <c r="I2683"/>
  <c r="K2683"/>
  <c r="N2683"/>
  <c r="W2683"/>
  <c r="H2684"/>
  <c r="I2684"/>
  <c r="K2684"/>
  <c r="N2684"/>
  <c r="W2684"/>
  <c r="H2685"/>
  <c r="I2685"/>
  <c r="K2685"/>
  <c r="N2685"/>
  <c r="W2685"/>
  <c r="H2686"/>
  <c r="I2686"/>
  <c r="K2686"/>
  <c r="N2686"/>
  <c r="W2686"/>
  <c r="H2687"/>
  <c r="I2687"/>
  <c r="K2687"/>
  <c r="N2687"/>
  <c r="W2687"/>
  <c r="H2688"/>
  <c r="I2688"/>
  <c r="K2688"/>
  <c r="N2688"/>
  <c r="W2688"/>
  <c r="H2689"/>
  <c r="I2689"/>
  <c r="K2689"/>
  <c r="N2689"/>
  <c r="W2689"/>
  <c r="H2690"/>
  <c r="I2690"/>
  <c r="K2690"/>
  <c r="N2690"/>
  <c r="W2690"/>
  <c r="H2691"/>
  <c r="I2691"/>
  <c r="K2691"/>
  <c r="N2691"/>
  <c r="W2691"/>
  <c r="H2692"/>
  <c r="I2692"/>
  <c r="K2692"/>
  <c r="N2692"/>
  <c r="W2692"/>
  <c r="H2693"/>
  <c r="I2693"/>
  <c r="K2693"/>
  <c r="N2693"/>
  <c r="W2693"/>
  <c r="H2694"/>
  <c r="I2694"/>
  <c r="K2694"/>
  <c r="N2694"/>
  <c r="W2694"/>
  <c r="H2695"/>
  <c r="I2695"/>
  <c r="K2695"/>
  <c r="N2695"/>
  <c r="W2695"/>
  <c r="H2696"/>
  <c r="I2696"/>
  <c r="K2696"/>
  <c r="N2696"/>
  <c r="W2696"/>
  <c r="H2697"/>
  <c r="I2697"/>
  <c r="K2697"/>
  <c r="N2697"/>
  <c r="W2697"/>
  <c r="H2698"/>
  <c r="I2698"/>
  <c r="K2698"/>
  <c r="N2698"/>
  <c r="W2698"/>
  <c r="H2699"/>
  <c r="I2699"/>
  <c r="K2699"/>
  <c r="N2699"/>
  <c r="W2699"/>
  <c r="H2700"/>
  <c r="I2700"/>
  <c r="K2700"/>
  <c r="N2700"/>
  <c r="W2700"/>
  <c r="H2701"/>
  <c r="I2701"/>
  <c r="K2701"/>
  <c r="N2701"/>
  <c r="W2701"/>
  <c r="H2702"/>
  <c r="I2702"/>
  <c r="K2702"/>
  <c r="N2702"/>
  <c r="W2702"/>
  <c r="H2703"/>
  <c r="I2703"/>
  <c r="K2703"/>
  <c r="N2703"/>
  <c r="W2703"/>
  <c r="H2704"/>
  <c r="I2704"/>
  <c r="K2704"/>
  <c r="N2704"/>
  <c r="W2704"/>
  <c r="H2705"/>
  <c r="I2705"/>
  <c r="K2705"/>
  <c r="N2705"/>
  <c r="W2705"/>
  <c r="H2706"/>
  <c r="I2706"/>
  <c r="K2706"/>
  <c r="N2706"/>
  <c r="W2706"/>
  <c r="H2707"/>
  <c r="I2707"/>
  <c r="K2707"/>
  <c r="N2707"/>
  <c r="W2707"/>
  <c r="H2708"/>
  <c r="I2708"/>
  <c r="K2708"/>
  <c r="N2708"/>
  <c r="W2708"/>
  <c r="H2709"/>
  <c r="I2709"/>
  <c r="K2709"/>
  <c r="N2709"/>
  <c r="W2709"/>
  <c r="H2710"/>
  <c r="I2710"/>
  <c r="K2710"/>
  <c r="N2710"/>
  <c r="W2710"/>
  <c r="H2711"/>
  <c r="I2711"/>
  <c r="K2711"/>
  <c r="N2711"/>
  <c r="W2711"/>
  <c r="H2712"/>
  <c r="I2712"/>
  <c r="K2712"/>
  <c r="N2712"/>
  <c r="W2712"/>
  <c r="H2713"/>
  <c r="I2713"/>
  <c r="K2713"/>
  <c r="N2713"/>
  <c r="W2713"/>
  <c r="H2714"/>
  <c r="I2714"/>
  <c r="K2714"/>
  <c r="N2714"/>
  <c r="W2714"/>
  <c r="H2715"/>
  <c r="I2715"/>
  <c r="K2715"/>
  <c r="N2715"/>
  <c r="W2715"/>
  <c r="H2716"/>
  <c r="I2716"/>
  <c r="K2716"/>
  <c r="N2716"/>
  <c r="W2716"/>
  <c r="H2717"/>
  <c r="I2717"/>
  <c r="K2717"/>
  <c r="N2717"/>
  <c r="W2717"/>
  <c r="H2718"/>
  <c r="I2718"/>
  <c r="K2718"/>
  <c r="N2718"/>
  <c r="W2718"/>
  <c r="H2719"/>
  <c r="I2719"/>
  <c r="K2719"/>
  <c r="N2719"/>
  <c r="W2719"/>
  <c r="H2720"/>
  <c r="I2720"/>
  <c r="K2720"/>
  <c r="N2720"/>
  <c r="W2720"/>
  <c r="H2721"/>
  <c r="I2721"/>
  <c r="K2721"/>
  <c r="N2721"/>
  <c r="W2721"/>
  <c r="H2722"/>
  <c r="I2722"/>
  <c r="K2722"/>
  <c r="N2722"/>
  <c r="W2722"/>
  <c r="H2723"/>
  <c r="I2723"/>
  <c r="K2723"/>
  <c r="N2723"/>
  <c r="W2723"/>
  <c r="H2724"/>
  <c r="I2724"/>
  <c r="K2724"/>
  <c r="N2724"/>
  <c r="W2724"/>
  <c r="H2725"/>
  <c r="I2725"/>
  <c r="K2725"/>
  <c r="N2725"/>
  <c r="W2725"/>
  <c r="H2726"/>
  <c r="I2726"/>
  <c r="K2726"/>
  <c r="N2726"/>
  <c r="W2726"/>
  <c r="H2727"/>
  <c r="I2727"/>
  <c r="K2727"/>
  <c r="N2727"/>
  <c r="W2727"/>
  <c r="H2728"/>
  <c r="I2728"/>
  <c r="K2728"/>
  <c r="N2728"/>
  <c r="W2728"/>
  <c r="H2729"/>
  <c r="I2729"/>
  <c r="K2729"/>
  <c r="N2729"/>
  <c r="W2729"/>
  <c r="H2730"/>
  <c r="I2730"/>
  <c r="K2730"/>
  <c r="N2730"/>
  <c r="W2730"/>
  <c r="H2731"/>
  <c r="I2731"/>
  <c r="K2731"/>
  <c r="N2731"/>
  <c r="W2731"/>
  <c r="H2732"/>
  <c r="I2732"/>
  <c r="K2732"/>
  <c r="N2732"/>
  <c r="W2732"/>
  <c r="H2733"/>
  <c r="I2733"/>
  <c r="K2733"/>
  <c r="N2733"/>
  <c r="W2733"/>
  <c r="H2734"/>
  <c r="I2734"/>
  <c r="K2734"/>
  <c r="N2734"/>
  <c r="W2734"/>
  <c r="H2735"/>
  <c r="I2735"/>
  <c r="K2735"/>
  <c r="N2735"/>
  <c r="W2735"/>
  <c r="H2736"/>
  <c r="I2736"/>
  <c r="K2736"/>
  <c r="N2736"/>
  <c r="W2736"/>
  <c r="H2737"/>
  <c r="I2737"/>
  <c r="K2737"/>
  <c r="N2737"/>
  <c r="W2737"/>
  <c r="H2738"/>
  <c r="I2738"/>
  <c r="K2738"/>
  <c r="N2738"/>
  <c r="W2738"/>
  <c r="H2739"/>
  <c r="I2739"/>
  <c r="K2739"/>
  <c r="N2739"/>
  <c r="W2739"/>
  <c r="H2740"/>
  <c r="I2740"/>
  <c r="K2740"/>
  <c r="N2740"/>
  <c r="W2740"/>
  <c r="H2741"/>
  <c r="I2741"/>
  <c r="K2741"/>
  <c r="N2741"/>
  <c r="W2741"/>
  <c r="H2742"/>
  <c r="I2742"/>
  <c r="K2742"/>
  <c r="N2742"/>
  <c r="W2742"/>
  <c r="H2743"/>
  <c r="I2743"/>
  <c r="K2743"/>
  <c r="N2743"/>
  <c r="W2743"/>
  <c r="H2744"/>
  <c r="I2744"/>
  <c r="K2744"/>
  <c r="N2744"/>
  <c r="W2744"/>
  <c r="H2745"/>
  <c r="I2745"/>
  <c r="K2745"/>
  <c r="N2745"/>
  <c r="W2745"/>
  <c r="H2746"/>
  <c r="I2746"/>
  <c r="K2746"/>
  <c r="N2746"/>
  <c r="W2746"/>
  <c r="H2747"/>
  <c r="I2747"/>
  <c r="K2747"/>
  <c r="N2747"/>
  <c r="W2747"/>
  <c r="H2748"/>
  <c r="I2748"/>
  <c r="K2748"/>
  <c r="N2748"/>
  <c r="W2748"/>
  <c r="H2749"/>
  <c r="I2749"/>
  <c r="K2749"/>
  <c r="N2749"/>
  <c r="W2749"/>
  <c r="H2750"/>
  <c r="I2750"/>
  <c r="K2750"/>
  <c r="N2750"/>
  <c r="W2750"/>
  <c r="H2751"/>
  <c r="I2751"/>
  <c r="K2751"/>
  <c r="N2751"/>
  <c r="W2751"/>
  <c r="H2752"/>
  <c r="I2752"/>
  <c r="K2752"/>
  <c r="N2752"/>
  <c r="W2752"/>
  <c r="H2753"/>
  <c r="I2753"/>
  <c r="K2753"/>
  <c r="N2753"/>
  <c r="W2753"/>
  <c r="H2754"/>
  <c r="I2754"/>
  <c r="K2754"/>
  <c r="N2754"/>
  <c r="W2754"/>
  <c r="H2755"/>
  <c r="I2755"/>
  <c r="K2755"/>
  <c r="N2755"/>
  <c r="W2755"/>
  <c r="H2756"/>
  <c r="I2756"/>
  <c r="K2756"/>
  <c r="N2756"/>
  <c r="W2756"/>
  <c r="H2757"/>
  <c r="I2757"/>
  <c r="K2757"/>
  <c r="N2757"/>
  <c r="W2757"/>
  <c r="H2758"/>
  <c r="I2758"/>
  <c r="K2758"/>
  <c r="N2758"/>
  <c r="W2758"/>
  <c r="H2759"/>
  <c r="I2759"/>
  <c r="K2759"/>
  <c r="N2759"/>
  <c r="W2759"/>
  <c r="H2760"/>
  <c r="I2760"/>
  <c r="K2760"/>
  <c r="N2760"/>
  <c r="W2760"/>
  <c r="H2761"/>
  <c r="I2761"/>
  <c r="K2761"/>
  <c r="N2761"/>
  <c r="W2761"/>
  <c r="H2762"/>
  <c r="I2762"/>
  <c r="K2762"/>
  <c r="N2762"/>
  <c r="W2762"/>
  <c r="H2763"/>
  <c r="I2763"/>
  <c r="K2763"/>
  <c r="N2763"/>
  <c r="W2763"/>
  <c r="H2764"/>
  <c r="I2764"/>
  <c r="K2764"/>
  <c r="N2764"/>
  <c r="W2764"/>
  <c r="H2765"/>
  <c r="I2765"/>
  <c r="K2765"/>
  <c r="N2765"/>
  <c r="W2765"/>
  <c r="H2766"/>
  <c r="I2766"/>
  <c r="K2766"/>
  <c r="N2766"/>
  <c r="W2766"/>
  <c r="H2767"/>
  <c r="I2767"/>
  <c r="K2767"/>
  <c r="N2767"/>
  <c r="W2767"/>
  <c r="H2768"/>
  <c r="I2768"/>
  <c r="K2768"/>
  <c r="N2768"/>
  <c r="W2768"/>
  <c r="H2769"/>
  <c r="I2769"/>
  <c r="K2769"/>
  <c r="N2769"/>
  <c r="W2769"/>
  <c r="H2770"/>
  <c r="I2770"/>
  <c r="K2770"/>
  <c r="N2770"/>
  <c r="W2770"/>
  <c r="H2771"/>
  <c r="I2771"/>
  <c r="K2771"/>
  <c r="N2771"/>
  <c r="W2771"/>
  <c r="H2772"/>
  <c r="I2772"/>
  <c r="K2772"/>
  <c r="N2772"/>
  <c r="W2772"/>
  <c r="H2773"/>
  <c r="I2773"/>
  <c r="K2773"/>
  <c r="N2773"/>
  <c r="W2773"/>
  <c r="H2774"/>
  <c r="I2774"/>
  <c r="K2774"/>
  <c r="N2774"/>
  <c r="W2774"/>
  <c r="H2775"/>
  <c r="I2775"/>
  <c r="K2775"/>
  <c r="N2775"/>
  <c r="W2775"/>
  <c r="H2776"/>
  <c r="I2776"/>
  <c r="K2776"/>
  <c r="N2776"/>
  <c r="W2776"/>
  <c r="H2777"/>
  <c r="I2777"/>
  <c r="K2777"/>
  <c r="N2777"/>
  <c r="W2777"/>
  <c r="H2778"/>
  <c r="I2778"/>
  <c r="K2778"/>
  <c r="N2778"/>
  <c r="W2778"/>
  <c r="H2779"/>
  <c r="I2779"/>
  <c r="K2779"/>
  <c r="N2779"/>
  <c r="W2779"/>
  <c r="H2780"/>
  <c r="I2780"/>
  <c r="K2780"/>
  <c r="N2780"/>
  <c r="W2780"/>
  <c r="H2781"/>
  <c r="I2781"/>
  <c r="K2781"/>
  <c r="N2781"/>
  <c r="W2781"/>
  <c r="H2782"/>
  <c r="I2782"/>
  <c r="K2782"/>
  <c r="N2782"/>
  <c r="W2782"/>
  <c r="H2783"/>
  <c r="I2783"/>
  <c r="K2783"/>
  <c r="N2783"/>
  <c r="W2783"/>
  <c r="H2784"/>
  <c r="I2784"/>
  <c r="K2784"/>
  <c r="N2784"/>
  <c r="W2784"/>
  <c r="H2785"/>
  <c r="I2785"/>
  <c r="K2785"/>
  <c r="N2785"/>
  <c r="W2785"/>
  <c r="H2786"/>
  <c r="I2786"/>
  <c r="K2786"/>
  <c r="N2786"/>
  <c r="W2786"/>
  <c r="H2787"/>
  <c r="I2787"/>
  <c r="K2787"/>
  <c r="N2787"/>
  <c r="W2787"/>
  <c r="H2788"/>
  <c r="I2788"/>
  <c r="K2788"/>
  <c r="N2788"/>
  <c r="W2788"/>
  <c r="H2789"/>
  <c r="I2789"/>
  <c r="K2789"/>
  <c r="N2789"/>
  <c r="W2789"/>
  <c r="H2790"/>
  <c r="I2790"/>
  <c r="K2790"/>
  <c r="N2790"/>
  <c r="W2790"/>
  <c r="H2791"/>
  <c r="I2791"/>
  <c r="K2791"/>
  <c r="N2791"/>
  <c r="W2791"/>
  <c r="H2792"/>
  <c r="I2792"/>
  <c r="K2792"/>
  <c r="N2792"/>
  <c r="W2792"/>
  <c r="H2793"/>
  <c r="I2793"/>
  <c r="K2793"/>
  <c r="N2793"/>
  <c r="W2793"/>
  <c r="H2794"/>
  <c r="I2794"/>
  <c r="K2794"/>
  <c r="N2794"/>
  <c r="W2794"/>
  <c r="H2795"/>
  <c r="I2795"/>
  <c r="K2795"/>
  <c r="N2795"/>
  <c r="W2795"/>
  <c r="H2796"/>
  <c r="I2796"/>
  <c r="K2796"/>
  <c r="N2796"/>
  <c r="W2796"/>
  <c r="H2797"/>
  <c r="I2797"/>
  <c r="K2797"/>
  <c r="N2797"/>
  <c r="W2797"/>
  <c r="H2798"/>
  <c r="I2798"/>
  <c r="K2798"/>
  <c r="N2798"/>
  <c r="W2798"/>
  <c r="H2799"/>
  <c r="I2799"/>
  <c r="K2799"/>
  <c r="N2799"/>
  <c r="W2799"/>
  <c r="H2800"/>
  <c r="I2800"/>
  <c r="K2800"/>
  <c r="N2800"/>
  <c r="W2800"/>
  <c r="H2801"/>
  <c r="I2801"/>
  <c r="K2801"/>
  <c r="N2801"/>
  <c r="W2801"/>
  <c r="H2802"/>
  <c r="I2802"/>
  <c r="K2802"/>
  <c r="N2802"/>
  <c r="W2802"/>
  <c r="H2803"/>
  <c r="I2803"/>
  <c r="K2803"/>
  <c r="N2803"/>
  <c r="W2803"/>
  <c r="H2804"/>
  <c r="I2804"/>
  <c r="K2804"/>
  <c r="N2804"/>
  <c r="W2804"/>
  <c r="H2805"/>
  <c r="I2805"/>
  <c r="K2805"/>
  <c r="N2805"/>
  <c r="W2805"/>
  <c r="H2806"/>
  <c r="I2806"/>
  <c r="K2806"/>
  <c r="N2806"/>
  <c r="W2806"/>
  <c r="H2807"/>
  <c r="I2807"/>
  <c r="K2807"/>
  <c r="N2807"/>
  <c r="W2807"/>
  <c r="H2808"/>
  <c r="I2808"/>
  <c r="K2808"/>
  <c r="N2808"/>
  <c r="W2808"/>
  <c r="H2809"/>
  <c r="I2809"/>
  <c r="K2809"/>
  <c r="N2809"/>
  <c r="W2809"/>
  <c r="H2810"/>
  <c r="I2810"/>
  <c r="K2810"/>
  <c r="N2810"/>
  <c r="W2810"/>
  <c r="H2811"/>
  <c r="I2811"/>
  <c r="K2811"/>
  <c r="N2811"/>
  <c r="W2811"/>
  <c r="H2812"/>
  <c r="I2812"/>
  <c r="K2812"/>
  <c r="N2812"/>
  <c r="W2812"/>
  <c r="H2813"/>
  <c r="I2813"/>
  <c r="K2813"/>
  <c r="N2813"/>
  <c r="W2813"/>
  <c r="H2814"/>
  <c r="I2814"/>
  <c r="K2814"/>
  <c r="N2814"/>
  <c r="W2814"/>
  <c r="H2815"/>
  <c r="I2815"/>
  <c r="K2815"/>
  <c r="N2815"/>
  <c r="W2815"/>
  <c r="H2816"/>
  <c r="I2816"/>
  <c r="K2816"/>
  <c r="N2816"/>
  <c r="W2816"/>
  <c r="H2817"/>
  <c r="I2817"/>
  <c r="K2817"/>
  <c r="N2817"/>
  <c r="W2817"/>
  <c r="H2818"/>
  <c r="I2818"/>
  <c r="K2818"/>
  <c r="N2818"/>
  <c r="W2818"/>
  <c r="H2819"/>
  <c r="I2819"/>
  <c r="K2819"/>
  <c r="N2819"/>
  <c r="W2819"/>
  <c r="H2820"/>
  <c r="I2820"/>
  <c r="K2820"/>
  <c r="N2820"/>
  <c r="W2820"/>
  <c r="H2821"/>
  <c r="I2821"/>
  <c r="K2821"/>
  <c r="N2821"/>
  <c r="W2821"/>
  <c r="H2822"/>
  <c r="I2822"/>
  <c r="K2822"/>
  <c r="N2822"/>
  <c r="W2822"/>
  <c r="H2823"/>
  <c r="I2823"/>
  <c r="K2823"/>
  <c r="N2823"/>
  <c r="W2823"/>
  <c r="H2824"/>
  <c r="I2824"/>
  <c r="K2824"/>
  <c r="N2824"/>
  <c r="W2824"/>
  <c r="H2825"/>
  <c r="I2825"/>
  <c r="K2825"/>
  <c r="N2825"/>
  <c r="W2825"/>
  <c r="H2826"/>
  <c r="I2826"/>
  <c r="K2826"/>
  <c r="N2826"/>
  <c r="W2826"/>
  <c r="H2827"/>
  <c r="I2827"/>
  <c r="K2827"/>
  <c r="N2827"/>
  <c r="W2827"/>
  <c r="H2828"/>
  <c r="I2828"/>
  <c r="K2828"/>
  <c r="N2828"/>
  <c r="W2828"/>
  <c r="H2829"/>
  <c r="I2829"/>
  <c r="K2829"/>
  <c r="N2829"/>
  <c r="W2829"/>
  <c r="H2830"/>
  <c r="I2830"/>
  <c r="K2830"/>
  <c r="N2830"/>
  <c r="W2830"/>
  <c r="H2831"/>
  <c r="I2831"/>
  <c r="K2831"/>
  <c r="N2831"/>
  <c r="W2831"/>
  <c r="H2832"/>
  <c r="I2832"/>
  <c r="K2832"/>
  <c r="N2832"/>
  <c r="W2832"/>
  <c r="H2833"/>
  <c r="I2833"/>
  <c r="K2833"/>
  <c r="N2833"/>
  <c r="W2833"/>
  <c r="H2834"/>
  <c r="I2834"/>
  <c r="K2834"/>
  <c r="N2834"/>
  <c r="W2834"/>
  <c r="H2835"/>
  <c r="I2835"/>
  <c r="K2835"/>
  <c r="N2835"/>
  <c r="W2835"/>
  <c r="H2836"/>
  <c r="I2836"/>
  <c r="K2836"/>
  <c r="N2836"/>
  <c r="W2836"/>
  <c r="H2837"/>
  <c r="I2837"/>
  <c r="K2837"/>
  <c r="N2837"/>
  <c r="W2837"/>
  <c r="H2838"/>
  <c r="I2838"/>
  <c r="K2838"/>
  <c r="N2838"/>
  <c r="W2838"/>
  <c r="H2839"/>
  <c r="I2839"/>
  <c r="K2839"/>
  <c r="N2839"/>
  <c r="W2839"/>
  <c r="H2840"/>
  <c r="I2840"/>
  <c r="K2840"/>
  <c r="N2840"/>
  <c r="W2840"/>
  <c r="H2841"/>
  <c r="I2841"/>
  <c r="K2841"/>
  <c r="N2841"/>
  <c r="W2841"/>
  <c r="H2842"/>
  <c r="I2842"/>
  <c r="K2842"/>
  <c r="N2842"/>
  <c r="W2842"/>
  <c r="H2843"/>
  <c r="I2843"/>
  <c r="K2843"/>
  <c r="N2843"/>
  <c r="W2843"/>
  <c r="H2844"/>
  <c r="I2844"/>
  <c r="K2844"/>
  <c r="N2844"/>
  <c r="W2844"/>
  <c r="H2845"/>
  <c r="I2845"/>
  <c r="K2845"/>
  <c r="N2845"/>
  <c r="W2845"/>
  <c r="H2846"/>
  <c r="I2846"/>
  <c r="K2846"/>
  <c r="N2846"/>
  <c r="W2846"/>
  <c r="H2847"/>
  <c r="I2847"/>
  <c r="K2847"/>
  <c r="N2847"/>
  <c r="W2847"/>
  <c r="H2848"/>
  <c r="I2848"/>
  <c r="K2848"/>
  <c r="N2848"/>
  <c r="W2848"/>
  <c r="H2849"/>
  <c r="I2849"/>
  <c r="K2849"/>
  <c r="N2849"/>
  <c r="W2849"/>
  <c r="H2850"/>
  <c r="I2850"/>
  <c r="K2850"/>
  <c r="N2850"/>
  <c r="W2850"/>
  <c r="H2851"/>
  <c r="I2851"/>
  <c r="K2851"/>
  <c r="N2851"/>
  <c r="W2851"/>
  <c r="H2852"/>
  <c r="I2852"/>
  <c r="K2852"/>
  <c r="N2852"/>
  <c r="W2852"/>
  <c r="H2853"/>
  <c r="I2853"/>
  <c r="K2853"/>
  <c r="N2853"/>
  <c r="W2853"/>
  <c r="H2854"/>
  <c r="I2854"/>
  <c r="K2854"/>
  <c r="N2854"/>
  <c r="W2854"/>
  <c r="H2855"/>
  <c r="I2855"/>
  <c r="K2855"/>
  <c r="N2855"/>
  <c r="W2855"/>
  <c r="H2856"/>
  <c r="I2856"/>
  <c r="K2856"/>
  <c r="N2856"/>
  <c r="W2856"/>
  <c r="H2857"/>
  <c r="I2857"/>
  <c r="K2857"/>
  <c r="N2857"/>
  <c r="W2857"/>
  <c r="H2858"/>
  <c r="I2858"/>
  <c r="K2858"/>
  <c r="N2858"/>
  <c r="W2858"/>
  <c r="H2859"/>
  <c r="I2859"/>
  <c r="K2859"/>
  <c r="N2859"/>
  <c r="W2859"/>
  <c r="H2860"/>
  <c r="I2860"/>
  <c r="K2860"/>
  <c r="N2860"/>
  <c r="W2860"/>
  <c r="H2861"/>
  <c r="I2861"/>
  <c r="K2861"/>
  <c r="N2861"/>
  <c r="W2861"/>
  <c r="H2862"/>
  <c r="I2862"/>
  <c r="K2862"/>
  <c r="N2862"/>
  <c r="W2862"/>
  <c r="H2863"/>
  <c r="I2863"/>
  <c r="K2863"/>
  <c r="N2863"/>
  <c r="W2863"/>
  <c r="H2864"/>
  <c r="I2864"/>
  <c r="K2864"/>
  <c r="N2864"/>
  <c r="W2864"/>
  <c r="H2865"/>
  <c r="I2865"/>
  <c r="K2865"/>
  <c r="N2865"/>
  <c r="W2865"/>
  <c r="H2866"/>
  <c r="I2866"/>
  <c r="K2866"/>
  <c r="N2866"/>
  <c r="W2866"/>
  <c r="H2867"/>
  <c r="I2867"/>
  <c r="K2867"/>
  <c r="N2867"/>
  <c r="W2867"/>
  <c r="H2868"/>
  <c r="I2868"/>
  <c r="K2868"/>
  <c r="N2868"/>
  <c r="W2868"/>
  <c r="H2869"/>
  <c r="I2869"/>
  <c r="K2869"/>
  <c r="N2869"/>
  <c r="W2869"/>
  <c r="H2870"/>
  <c r="I2870"/>
  <c r="K2870"/>
  <c r="N2870"/>
  <c r="W2870"/>
  <c r="H2871"/>
  <c r="I2871"/>
  <c r="K2871"/>
  <c r="N2871"/>
  <c r="W2871"/>
  <c r="H2872"/>
  <c r="I2872"/>
  <c r="K2872"/>
  <c r="N2872"/>
  <c r="W2872"/>
  <c r="H2873"/>
  <c r="I2873"/>
  <c r="K2873"/>
  <c r="N2873"/>
  <c r="W2873"/>
  <c r="H2874"/>
  <c r="I2874"/>
  <c r="K2874"/>
  <c r="N2874"/>
  <c r="W2874"/>
  <c r="H2875"/>
  <c r="I2875"/>
  <c r="K2875"/>
  <c r="N2875"/>
  <c r="W2875"/>
  <c r="H2876"/>
  <c r="I2876"/>
  <c r="K2876"/>
  <c r="N2876"/>
  <c r="W2876"/>
  <c r="H2877"/>
  <c r="I2877"/>
  <c r="K2877"/>
  <c r="N2877"/>
  <c r="W2877"/>
  <c r="H2878"/>
  <c r="I2878"/>
  <c r="K2878"/>
  <c r="N2878"/>
  <c r="W2878"/>
  <c r="H2879"/>
  <c r="I2879"/>
  <c r="K2879"/>
  <c r="N2879"/>
  <c r="W2879"/>
  <c r="H2880"/>
  <c r="I2880"/>
  <c r="K2880"/>
  <c r="N2880"/>
  <c r="W2880"/>
  <c r="H2881"/>
  <c r="I2881"/>
  <c r="K2881"/>
  <c r="N2881"/>
  <c r="W2881"/>
  <c r="H2882"/>
  <c r="I2882"/>
  <c r="K2882"/>
  <c r="N2882"/>
  <c r="W2882"/>
  <c r="H2883"/>
  <c r="I2883"/>
  <c r="K2883"/>
  <c r="N2883"/>
  <c r="W2883"/>
  <c r="H2884"/>
  <c r="I2884"/>
  <c r="K2884"/>
  <c r="N2884"/>
  <c r="W2884"/>
  <c r="H2885"/>
  <c r="I2885"/>
  <c r="K2885"/>
  <c r="N2885"/>
  <c r="W2885"/>
  <c r="H2886"/>
  <c r="I2886"/>
  <c r="K2886"/>
  <c r="N2886"/>
  <c r="W2886"/>
  <c r="H2887"/>
  <c r="I2887"/>
  <c r="K2887"/>
  <c r="N2887"/>
  <c r="W2887"/>
  <c r="H2888"/>
  <c r="I2888"/>
  <c r="K2888"/>
  <c r="N2888"/>
  <c r="W2888"/>
  <c r="H2889"/>
  <c r="I2889"/>
  <c r="K2889"/>
  <c r="N2889"/>
  <c r="W2889"/>
  <c r="H2890"/>
  <c r="I2890"/>
  <c r="K2890"/>
  <c r="N2890"/>
  <c r="W2890"/>
  <c r="H2891"/>
  <c r="I2891"/>
  <c r="K2891"/>
  <c r="N2891"/>
  <c r="W2891"/>
  <c r="H2892"/>
  <c r="I2892"/>
  <c r="K2892"/>
  <c r="N2892"/>
  <c r="W2892"/>
  <c r="H2893"/>
  <c r="I2893"/>
  <c r="K2893"/>
  <c r="N2893"/>
  <c r="W2893"/>
  <c r="H2894"/>
  <c r="I2894"/>
  <c r="K2894"/>
  <c r="N2894"/>
  <c r="W2894"/>
  <c r="H2895"/>
  <c r="I2895"/>
  <c r="K2895"/>
  <c r="N2895"/>
  <c r="W2895"/>
  <c r="H2896"/>
  <c r="I2896"/>
  <c r="K2896"/>
  <c r="N2896"/>
  <c r="W2896"/>
  <c r="H2897"/>
  <c r="I2897"/>
  <c r="K2897"/>
  <c r="N2897"/>
  <c r="W2897"/>
  <c r="H2898"/>
  <c r="I2898"/>
  <c r="K2898"/>
  <c r="N2898"/>
  <c r="W2898"/>
  <c r="H2899"/>
  <c r="I2899"/>
  <c r="K2899"/>
  <c r="N2899"/>
  <c r="W2899"/>
  <c r="H2900"/>
  <c r="I2900"/>
  <c r="K2900"/>
  <c r="N2900"/>
  <c r="W2900"/>
  <c r="H2901"/>
  <c r="I2901"/>
  <c r="K2901"/>
  <c r="N2901"/>
  <c r="W2901"/>
  <c r="H2902"/>
  <c r="I2902"/>
  <c r="K2902"/>
  <c r="N2902"/>
  <c r="W2902"/>
  <c r="H2903"/>
  <c r="I2903"/>
  <c r="K2903"/>
  <c r="N2903"/>
  <c r="W2903"/>
  <c r="H2904"/>
  <c r="I2904"/>
  <c r="K2904"/>
  <c r="N2904"/>
  <c r="W2904"/>
  <c r="H2905"/>
  <c r="I2905"/>
  <c r="K2905"/>
  <c r="N2905"/>
  <c r="W2905"/>
  <c r="H2906"/>
  <c r="I2906"/>
  <c r="K2906"/>
  <c r="N2906"/>
  <c r="W2906"/>
  <c r="H2907"/>
  <c r="I2907"/>
  <c r="K2907"/>
  <c r="N2907"/>
  <c r="W2907"/>
  <c r="H2908"/>
  <c r="I2908"/>
  <c r="K2908"/>
  <c r="N2908"/>
  <c r="W2908"/>
  <c r="H2909"/>
  <c r="I2909"/>
  <c r="K2909"/>
  <c r="N2909"/>
  <c r="W2909"/>
  <c r="H2910"/>
  <c r="I2910"/>
  <c r="K2910"/>
  <c r="N2910"/>
  <c r="W2910"/>
  <c r="H2911"/>
  <c r="I2911"/>
  <c r="K2911"/>
  <c r="N2911"/>
  <c r="W2911"/>
  <c r="H2912"/>
  <c r="I2912"/>
  <c r="K2912"/>
  <c r="N2912"/>
  <c r="W2912"/>
  <c r="H2913"/>
  <c r="I2913"/>
  <c r="K2913"/>
  <c r="N2913"/>
  <c r="W2913"/>
  <c r="H2914"/>
  <c r="I2914"/>
  <c r="K2914"/>
  <c r="N2914"/>
  <c r="W2914"/>
  <c r="H2915"/>
  <c r="I2915"/>
  <c r="K2915"/>
  <c r="N2915"/>
  <c r="W2915"/>
  <c r="H2916"/>
  <c r="I2916"/>
  <c r="K2916"/>
  <c r="N2916"/>
  <c r="W2916"/>
  <c r="H2917"/>
  <c r="I2917"/>
  <c r="K2917"/>
  <c r="N2917"/>
  <c r="W2917"/>
  <c r="H2918"/>
  <c r="I2918"/>
  <c r="K2918"/>
  <c r="N2918"/>
  <c r="W2918"/>
  <c r="H2919"/>
  <c r="I2919"/>
  <c r="K2919"/>
  <c r="N2919"/>
  <c r="W2919"/>
  <c r="H2920"/>
  <c r="I2920"/>
  <c r="K2920"/>
  <c r="N2920"/>
  <c r="W2920"/>
  <c r="H2921"/>
  <c r="I2921"/>
  <c r="K2921"/>
  <c r="N2921"/>
  <c r="W2921"/>
  <c r="H2922"/>
  <c r="I2922"/>
  <c r="K2922"/>
  <c r="N2922"/>
  <c r="W2922"/>
  <c r="H2923"/>
  <c r="I2923"/>
  <c r="K2923"/>
  <c r="N2923"/>
  <c r="W2923"/>
  <c r="H2924"/>
  <c r="I2924"/>
  <c r="K2924"/>
  <c r="N2924"/>
  <c r="W2924"/>
  <c r="H2925"/>
  <c r="I2925"/>
  <c r="K2925"/>
  <c r="N2925"/>
  <c r="W2925"/>
  <c r="H2926"/>
  <c r="I2926"/>
  <c r="K2926"/>
  <c r="N2926"/>
  <c r="W2926"/>
  <c r="H2927"/>
  <c r="I2927"/>
  <c r="K2927"/>
  <c r="N2927"/>
  <c r="W2927"/>
  <c r="H2928"/>
  <c r="I2928"/>
  <c r="K2928"/>
  <c r="N2928"/>
  <c r="W2928"/>
  <c r="H2929"/>
  <c r="I2929"/>
  <c r="K2929"/>
  <c r="N2929"/>
  <c r="W2929"/>
  <c r="H2930"/>
  <c r="I2930"/>
  <c r="K2930"/>
  <c r="N2930"/>
  <c r="W2930"/>
  <c r="H2931"/>
  <c r="I2931"/>
  <c r="K2931"/>
  <c r="N2931"/>
  <c r="W2931"/>
  <c r="H2932"/>
  <c r="I2932"/>
  <c r="K2932"/>
  <c r="N2932"/>
  <c r="W2932"/>
  <c r="H2933"/>
  <c r="I2933"/>
  <c r="K2933"/>
  <c r="N2933"/>
  <c r="W2933"/>
  <c r="H2934"/>
  <c r="I2934"/>
  <c r="K2934"/>
  <c r="N2934"/>
  <c r="W2934"/>
  <c r="H2935"/>
  <c r="I2935"/>
  <c r="K2935"/>
  <c r="N2935"/>
  <c r="W2935"/>
  <c r="H2936"/>
  <c r="I2936"/>
  <c r="K2936"/>
  <c r="N2936"/>
  <c r="W2936"/>
  <c r="H2937"/>
  <c r="I2937"/>
  <c r="K2937"/>
  <c r="N2937"/>
  <c r="W2937"/>
  <c r="H2938"/>
  <c r="I2938"/>
  <c r="K2938"/>
  <c r="N2938"/>
  <c r="W2938"/>
  <c r="H2939"/>
  <c r="I2939"/>
  <c r="K2939"/>
  <c r="N2939"/>
  <c r="W2939"/>
  <c r="H2940"/>
  <c r="I2940"/>
  <c r="K2940"/>
  <c r="N2940"/>
  <c r="W2940"/>
  <c r="H2941"/>
  <c r="I2941"/>
  <c r="K2941"/>
  <c r="N2941"/>
  <c r="W2941"/>
  <c r="H2942"/>
  <c r="I2942"/>
  <c r="K2942"/>
  <c r="N2942"/>
  <c r="W2942"/>
  <c r="H2943"/>
  <c r="I2943"/>
  <c r="K2943"/>
  <c r="N2943"/>
  <c r="W2943"/>
  <c r="H2944"/>
  <c r="I2944"/>
  <c r="K2944"/>
  <c r="N2944"/>
  <c r="W2944"/>
  <c r="H2945"/>
  <c r="I2945"/>
  <c r="K2945"/>
  <c r="N2945"/>
  <c r="W2945"/>
  <c r="H2946"/>
  <c r="I2946"/>
  <c r="K2946"/>
  <c r="N2946"/>
  <c r="W2946"/>
  <c r="H2947"/>
  <c r="I2947"/>
  <c r="K2947"/>
  <c r="N2947"/>
  <c r="W2947"/>
  <c r="H2948"/>
  <c r="I2948"/>
  <c r="K2948"/>
  <c r="N2948"/>
  <c r="W2948"/>
  <c r="H2949"/>
  <c r="I2949"/>
  <c r="K2949"/>
  <c r="N2949"/>
  <c r="W2949"/>
  <c r="H2950"/>
  <c r="I2950"/>
  <c r="K2950"/>
  <c r="N2950"/>
  <c r="W2950"/>
  <c r="H2951"/>
  <c r="I2951"/>
  <c r="K2951"/>
  <c r="N2951"/>
  <c r="W2951"/>
  <c r="H2952"/>
  <c r="I2952"/>
  <c r="K2952"/>
  <c r="N2952"/>
  <c r="W2952"/>
  <c r="H2953"/>
  <c r="I2953"/>
  <c r="K2953"/>
  <c r="N2953"/>
  <c r="W2953"/>
  <c r="H2954"/>
  <c r="I2954"/>
  <c r="K2954"/>
  <c r="N2954"/>
  <c r="W2954"/>
  <c r="H2955"/>
  <c r="I2955"/>
  <c r="K2955"/>
  <c r="N2955"/>
  <c r="W2955"/>
  <c r="H2956"/>
  <c r="I2956"/>
  <c r="K2956"/>
  <c r="N2956"/>
  <c r="W2956"/>
  <c r="H2957"/>
  <c r="I2957"/>
  <c r="K2957"/>
  <c r="N2957"/>
  <c r="W2957"/>
  <c r="H2958"/>
  <c r="I2958"/>
  <c r="K2958"/>
  <c r="N2958"/>
  <c r="W2958"/>
  <c r="H2959"/>
  <c r="I2959"/>
  <c r="K2959"/>
  <c r="N2959"/>
  <c r="W2959"/>
  <c r="H2960"/>
  <c r="I2960"/>
  <c r="K2960"/>
  <c r="N2960"/>
  <c r="W2960"/>
  <c r="H2961"/>
  <c r="I2961"/>
  <c r="K2961"/>
  <c r="N2961"/>
  <c r="W2961"/>
  <c r="H2962"/>
  <c r="I2962"/>
  <c r="K2962"/>
  <c r="N2962"/>
  <c r="W2962"/>
  <c r="H2963"/>
  <c r="I2963"/>
  <c r="K2963"/>
  <c r="N2963"/>
  <c r="W2963"/>
  <c r="H2964"/>
  <c r="I2964"/>
  <c r="K2964"/>
  <c r="N2964"/>
  <c r="W2964"/>
  <c r="H2965"/>
  <c r="I2965"/>
  <c r="K2965"/>
  <c r="N2965"/>
  <c r="W2965"/>
  <c r="H2966"/>
  <c r="I2966"/>
  <c r="K2966"/>
  <c r="N2966"/>
  <c r="W2966"/>
  <c r="H2967"/>
  <c r="I2967"/>
  <c r="K2967"/>
  <c r="N2967"/>
  <c r="W2967"/>
  <c r="H2968"/>
  <c r="I2968"/>
  <c r="K2968"/>
  <c r="N2968"/>
  <c r="W2968"/>
  <c r="H2969"/>
  <c r="I2969"/>
  <c r="K2969"/>
  <c r="N2969"/>
  <c r="W2969"/>
  <c r="H2970"/>
  <c r="I2970"/>
  <c r="K2970"/>
  <c r="N2970"/>
  <c r="W2970"/>
  <c r="H2971"/>
  <c r="I2971"/>
  <c r="K2971"/>
  <c r="N2971"/>
  <c r="W2971"/>
  <c r="H2972"/>
  <c r="I2972"/>
  <c r="K2972"/>
  <c r="N2972"/>
  <c r="W2972"/>
  <c r="H2973"/>
  <c r="I2973"/>
  <c r="K2973"/>
  <c r="N2973"/>
  <c r="W2973"/>
  <c r="H2974"/>
  <c r="I2974"/>
  <c r="K2974"/>
  <c r="N2974"/>
  <c r="W2974"/>
  <c r="H2975"/>
  <c r="I2975"/>
  <c r="K2975"/>
  <c r="N2975"/>
  <c r="W2975"/>
  <c r="H2976"/>
  <c r="I2976"/>
  <c r="K2976"/>
  <c r="N2976"/>
  <c r="W2976"/>
  <c r="H2977"/>
  <c r="I2977"/>
  <c r="K2977"/>
  <c r="N2977"/>
  <c r="W2977"/>
  <c r="H2978"/>
  <c r="I2978"/>
  <c r="K2978"/>
  <c r="N2978"/>
  <c r="W2978"/>
  <c r="H2979"/>
  <c r="I2979"/>
  <c r="K2979"/>
  <c r="N2979"/>
  <c r="W2979"/>
  <c r="H2980"/>
  <c r="I2980"/>
  <c r="K2980"/>
  <c r="N2980"/>
  <c r="W2980"/>
  <c r="H2981"/>
  <c r="I2981"/>
  <c r="K2981"/>
  <c r="N2981"/>
  <c r="W2981"/>
  <c r="H2982"/>
  <c r="I2982"/>
  <c r="K2982"/>
  <c r="N2982"/>
  <c r="W2982"/>
  <c r="H2983"/>
  <c r="I2983"/>
  <c r="K2983"/>
  <c r="N2983"/>
  <c r="W2983"/>
  <c r="H2984"/>
  <c r="I2984"/>
  <c r="K2984"/>
  <c r="N2984"/>
  <c r="W2984"/>
  <c r="H2985"/>
  <c r="I2985"/>
  <c r="K2985"/>
  <c r="N2985"/>
  <c r="W2985"/>
  <c r="H2986"/>
  <c r="I2986"/>
  <c r="K2986"/>
  <c r="N2986"/>
  <c r="W2986"/>
  <c r="H2987"/>
  <c r="I2987"/>
  <c r="K2987"/>
  <c r="N2987"/>
  <c r="W2987"/>
  <c r="H2988"/>
  <c r="I2988"/>
  <c r="K2988"/>
  <c r="N2988"/>
  <c r="W2988"/>
  <c r="H2989"/>
  <c r="I2989"/>
  <c r="K2989"/>
  <c r="N2989"/>
  <c r="W2989"/>
  <c r="H2990"/>
  <c r="I2990"/>
  <c r="K2990"/>
  <c r="N2990"/>
  <c r="W2990"/>
  <c r="H2991"/>
  <c r="I2991"/>
  <c r="K2991"/>
  <c r="N2991"/>
  <c r="W2991"/>
  <c r="H2992"/>
  <c r="I2992"/>
  <c r="K2992"/>
  <c r="N2992"/>
  <c r="W2992"/>
  <c r="H2993"/>
  <c r="I2993"/>
  <c r="K2993"/>
  <c r="N2993"/>
  <c r="W2993"/>
  <c r="H2994"/>
  <c r="I2994"/>
  <c r="K2994"/>
  <c r="N2994"/>
  <c r="W2994"/>
  <c r="H2995"/>
  <c r="I2995"/>
  <c r="K2995"/>
  <c r="N2995"/>
  <c r="W2995"/>
  <c r="H2996"/>
  <c r="I2996"/>
  <c r="K2996"/>
  <c r="N2996"/>
  <c r="W2996"/>
  <c r="H2997"/>
  <c r="I2997"/>
  <c r="K2997"/>
  <c r="N2997"/>
  <c r="W2997"/>
  <c r="H2998"/>
  <c r="I2998"/>
  <c r="K2998"/>
  <c r="N2998"/>
  <c r="W2998"/>
  <c r="H2999"/>
  <c r="I2999"/>
  <c r="K2999"/>
  <c r="N2999"/>
  <c r="W2999"/>
  <c r="H3000"/>
  <c r="I3000"/>
  <c r="K3000"/>
  <c r="N3000"/>
  <c r="W3000"/>
  <c r="H3001"/>
  <c r="I3001"/>
  <c r="K3001"/>
  <c r="N3001"/>
  <c r="W3001"/>
  <c r="H3002"/>
  <c r="I3002"/>
  <c r="K3002"/>
  <c r="N3002"/>
  <c r="W3002"/>
  <c r="H3003"/>
  <c r="I3003"/>
  <c r="K3003"/>
  <c r="N3003"/>
  <c r="W3003"/>
  <c r="H3004"/>
  <c r="I3004"/>
  <c r="K3004"/>
  <c r="N3004"/>
  <c r="W3004"/>
  <c r="H3005"/>
  <c r="I3005"/>
  <c r="K3005"/>
  <c r="N3005"/>
  <c r="W3005"/>
  <c r="H3006"/>
  <c r="I3006"/>
  <c r="K3006"/>
  <c r="N3006"/>
  <c r="W3006"/>
  <c r="H3007"/>
  <c r="I3007"/>
  <c r="K3007"/>
  <c r="N3007"/>
  <c r="W3007"/>
  <c r="H3008"/>
  <c r="I3008"/>
  <c r="K3008"/>
  <c r="N3008"/>
  <c r="W3008"/>
  <c r="H3009"/>
  <c r="I3009"/>
  <c r="K3009"/>
  <c r="N3009"/>
  <c r="W3009"/>
  <c r="H3010"/>
  <c r="I3010"/>
  <c r="K3010"/>
  <c r="N3010"/>
  <c r="W3010"/>
  <c r="H3011"/>
  <c r="I3011"/>
  <c r="K3011"/>
  <c r="N3011"/>
  <c r="W3011"/>
  <c r="H3012"/>
  <c r="I3012"/>
  <c r="K3012"/>
  <c r="N3012"/>
  <c r="W3012"/>
  <c r="H3013"/>
  <c r="I3013"/>
  <c r="K3013"/>
  <c r="N3013"/>
  <c r="W3013"/>
  <c r="H3014"/>
  <c r="I3014"/>
  <c r="K3014"/>
  <c r="N3014"/>
  <c r="W3014"/>
  <c r="H3015"/>
  <c r="I3015"/>
  <c r="K3015"/>
  <c r="N3015"/>
  <c r="W3015"/>
  <c r="H3016"/>
  <c r="I3016"/>
  <c r="K3016"/>
  <c r="N3016"/>
  <c r="W3016"/>
  <c r="H3017"/>
  <c r="I3017"/>
  <c r="K3017"/>
  <c r="N3017"/>
  <c r="W3017"/>
  <c r="H3018"/>
  <c r="I3018"/>
  <c r="K3018"/>
  <c r="N3018"/>
  <c r="W3018"/>
  <c r="H3019"/>
  <c r="I3019"/>
  <c r="K3019"/>
  <c r="N3019"/>
  <c r="W3019"/>
  <c r="H3020"/>
  <c r="I3020"/>
  <c r="K3020"/>
  <c r="N3020"/>
  <c r="W3020"/>
  <c r="H3021"/>
  <c r="I3021"/>
  <c r="K3021"/>
  <c r="N3021"/>
  <c r="W3021"/>
  <c r="H3022"/>
  <c r="I3022"/>
  <c r="K3022"/>
  <c r="N3022"/>
  <c r="W3022"/>
  <c r="H3023"/>
  <c r="I3023"/>
  <c r="K3023"/>
  <c r="N3023"/>
  <c r="W3023"/>
  <c r="H3024"/>
  <c r="I3024"/>
  <c r="K3024"/>
  <c r="N3024"/>
  <c r="W3024"/>
  <c r="H3025"/>
  <c r="I3025"/>
  <c r="K3025"/>
  <c r="N3025"/>
  <c r="W3025"/>
  <c r="H3026"/>
  <c r="I3026"/>
  <c r="K3026"/>
  <c r="N3026"/>
  <c r="W3026"/>
  <c r="H3027"/>
  <c r="I3027"/>
  <c r="K3027"/>
  <c r="N3027"/>
  <c r="W3027"/>
  <c r="H3028"/>
  <c r="I3028"/>
  <c r="K3028"/>
  <c r="N3028"/>
  <c r="W3028"/>
  <c r="H3029"/>
  <c r="I3029"/>
  <c r="K3029"/>
  <c r="N3029"/>
  <c r="W3029"/>
  <c r="H3030"/>
  <c r="I3030"/>
  <c r="K3030"/>
  <c r="N3030"/>
  <c r="W3030"/>
  <c r="H3031"/>
  <c r="I3031"/>
  <c r="K3031"/>
  <c r="N3031"/>
  <c r="W3031"/>
  <c r="H3032"/>
  <c r="I3032"/>
  <c r="K3032"/>
  <c r="N3032"/>
  <c r="W3032"/>
  <c r="H3033"/>
  <c r="I3033"/>
  <c r="K3033"/>
  <c r="N3033"/>
  <c r="W3033"/>
  <c r="H3034"/>
  <c r="I3034"/>
  <c r="K3034"/>
  <c r="N3034"/>
  <c r="W3034"/>
  <c r="H3035"/>
  <c r="I3035"/>
  <c r="K3035"/>
  <c r="N3035"/>
  <c r="W3035"/>
  <c r="H3036"/>
  <c r="I3036"/>
  <c r="K3036"/>
  <c r="N3036"/>
  <c r="W3036"/>
  <c r="H3037"/>
  <c r="I3037"/>
  <c r="K3037"/>
  <c r="N3037"/>
  <c r="W3037"/>
  <c r="H3038"/>
  <c r="I3038"/>
  <c r="K3038"/>
  <c r="N3038"/>
  <c r="W3038"/>
  <c r="H3039"/>
  <c r="I3039"/>
  <c r="K3039"/>
  <c r="N3039"/>
  <c r="W3039"/>
  <c r="H3040"/>
  <c r="I3040"/>
  <c r="K3040"/>
  <c r="N3040"/>
  <c r="W3040"/>
  <c r="H3041"/>
  <c r="I3041"/>
  <c r="K3041"/>
  <c r="N3041"/>
  <c r="W3041"/>
  <c r="H3042"/>
  <c r="I3042"/>
  <c r="K3042"/>
  <c r="N3042"/>
  <c r="W3042"/>
  <c r="H3043"/>
  <c r="I3043"/>
  <c r="K3043"/>
  <c r="N3043"/>
  <c r="W3043"/>
  <c r="H3044"/>
  <c r="I3044"/>
  <c r="K3044"/>
  <c r="N3044"/>
  <c r="W3044"/>
  <c r="H3045"/>
  <c r="I3045"/>
  <c r="K3045"/>
  <c r="N3045"/>
  <c r="W3045"/>
  <c r="H3046"/>
  <c r="I3046"/>
  <c r="K3046"/>
  <c r="N3046"/>
  <c r="W3046"/>
  <c r="H3047"/>
  <c r="I3047"/>
  <c r="K3047"/>
  <c r="N3047"/>
  <c r="W3047"/>
  <c r="H3048"/>
  <c r="I3048"/>
  <c r="K3048"/>
  <c r="N3048"/>
  <c r="W3048"/>
  <c r="H3049"/>
  <c r="I3049"/>
  <c r="K3049"/>
  <c r="N3049"/>
  <c r="W3049"/>
  <c r="H3050"/>
  <c r="I3050"/>
  <c r="K3050"/>
  <c r="N3050"/>
  <c r="W3050"/>
  <c r="H3051"/>
  <c r="I3051"/>
  <c r="K3051"/>
  <c r="N3051"/>
  <c r="W3051"/>
  <c r="H3052"/>
  <c r="I3052"/>
  <c r="K3052"/>
  <c r="N3052"/>
  <c r="W3052"/>
  <c r="H3053"/>
  <c r="I3053"/>
  <c r="K3053"/>
  <c r="N3053"/>
  <c r="W3053"/>
  <c r="H3054"/>
  <c r="I3054"/>
  <c r="K3054"/>
  <c r="N3054"/>
  <c r="W3054"/>
  <c r="H3055"/>
  <c r="I3055"/>
  <c r="K3055"/>
  <c r="N3055"/>
  <c r="W3055"/>
  <c r="H3056"/>
  <c r="I3056"/>
  <c r="K3056"/>
  <c r="N3056"/>
  <c r="W3056"/>
  <c r="H3057"/>
  <c r="I3057"/>
  <c r="K3057"/>
  <c r="N3057"/>
  <c r="W3057"/>
  <c r="H3058"/>
  <c r="I3058"/>
  <c r="K3058"/>
  <c r="N3058"/>
  <c r="W3058"/>
  <c r="H3059"/>
  <c r="I3059"/>
  <c r="K3059"/>
  <c r="N3059"/>
  <c r="W3059"/>
  <c r="H3060"/>
  <c r="I3060"/>
  <c r="K3060"/>
  <c r="N3060"/>
  <c r="W3060"/>
  <c r="H3061"/>
  <c r="I3061"/>
  <c r="K3061"/>
  <c r="N3061"/>
  <c r="W3061"/>
  <c r="H3062"/>
  <c r="I3062"/>
  <c r="K3062"/>
  <c r="N3062"/>
  <c r="W3062"/>
  <c r="H3063"/>
  <c r="I3063"/>
  <c r="K3063"/>
  <c r="N3063"/>
  <c r="W3063"/>
  <c r="H3064"/>
  <c r="I3064"/>
  <c r="K3064"/>
  <c r="N3064"/>
  <c r="W3064"/>
  <c r="H3065"/>
  <c r="I3065"/>
  <c r="K3065"/>
  <c r="N3065"/>
  <c r="W3065"/>
  <c r="H3066"/>
  <c r="I3066"/>
  <c r="K3066"/>
  <c r="N3066"/>
  <c r="W3066"/>
  <c r="H3067"/>
  <c r="I3067"/>
  <c r="K3067"/>
  <c r="N3067"/>
  <c r="W3067"/>
  <c r="H3068"/>
  <c r="I3068"/>
  <c r="K3068"/>
  <c r="N3068"/>
  <c r="W3068"/>
  <c r="H3069"/>
  <c r="I3069"/>
  <c r="K3069"/>
  <c r="N3069"/>
  <c r="W3069"/>
  <c r="H3070"/>
  <c r="I3070"/>
  <c r="K3070"/>
  <c r="N3070"/>
  <c r="W3070"/>
  <c r="H3071"/>
  <c r="I3071"/>
  <c r="K3071"/>
  <c r="N3071"/>
  <c r="W3071"/>
  <c r="H3072"/>
  <c r="I3072"/>
  <c r="K3072"/>
  <c r="N3072"/>
  <c r="W3072"/>
  <c r="H3073"/>
  <c r="I3073"/>
  <c r="K3073"/>
  <c r="N3073"/>
  <c r="W3073"/>
  <c r="H3074"/>
  <c r="I3074"/>
  <c r="K3074"/>
  <c r="N3074"/>
  <c r="W3074"/>
  <c r="H3075"/>
  <c r="I3075"/>
  <c r="K3075"/>
  <c r="N3075"/>
  <c r="W3075"/>
  <c r="H3076"/>
  <c r="I3076"/>
  <c r="K3076"/>
  <c r="N3076"/>
  <c r="W3076"/>
  <c r="H3077"/>
  <c r="I3077"/>
  <c r="K3077"/>
  <c r="N3077"/>
  <c r="W3077"/>
  <c r="H3078"/>
  <c r="I3078"/>
  <c r="K3078"/>
  <c r="N3078"/>
  <c r="W3078"/>
  <c r="H3079"/>
  <c r="I3079"/>
  <c r="K3079"/>
  <c r="N3079"/>
  <c r="W3079"/>
  <c r="H3080"/>
  <c r="I3080"/>
  <c r="K3080"/>
  <c r="N3080"/>
  <c r="W3080"/>
  <c r="H3081"/>
  <c r="I3081"/>
  <c r="K3081"/>
  <c r="N3081"/>
  <c r="W3081"/>
  <c r="H3082"/>
  <c r="I3082"/>
  <c r="K3082"/>
  <c r="N3082"/>
  <c r="W3082"/>
  <c r="H3083"/>
  <c r="I3083"/>
  <c r="K3083"/>
  <c r="N3083"/>
  <c r="W3083"/>
  <c r="H3084"/>
  <c r="I3084"/>
  <c r="K3084"/>
  <c r="N3084"/>
  <c r="W3084"/>
  <c r="H3085"/>
  <c r="I3085"/>
  <c r="K3085"/>
  <c r="N3085"/>
  <c r="W3085"/>
  <c r="H3086"/>
  <c r="I3086"/>
  <c r="K3086"/>
  <c r="N3086"/>
  <c r="W3086"/>
  <c r="H3087"/>
  <c r="I3087"/>
  <c r="K3087"/>
  <c r="N3087"/>
  <c r="W3087"/>
  <c r="H3088"/>
  <c r="I3088"/>
  <c r="K3088"/>
  <c r="N3088"/>
  <c r="W3088"/>
  <c r="H3089"/>
  <c r="I3089"/>
  <c r="K3089"/>
  <c r="N3089"/>
  <c r="W3089"/>
  <c r="H3090"/>
  <c r="I3090"/>
  <c r="K3090"/>
  <c r="N3090"/>
  <c r="W3090"/>
  <c r="H3091"/>
  <c r="I3091"/>
  <c r="K3091"/>
  <c r="N3091"/>
  <c r="W3091"/>
  <c r="H3092"/>
  <c r="I3092"/>
  <c r="K3092"/>
  <c r="N3092"/>
  <c r="W3092"/>
  <c r="H3093"/>
  <c r="I3093"/>
  <c r="K3093"/>
  <c r="N3093"/>
  <c r="W3093"/>
  <c r="H3094"/>
  <c r="I3094"/>
  <c r="K3094"/>
  <c r="N3094"/>
  <c r="W3094"/>
  <c r="H3095"/>
  <c r="I3095"/>
  <c r="K3095"/>
  <c r="N3095"/>
  <c r="W3095"/>
  <c r="H3096"/>
  <c r="I3096"/>
  <c r="K3096"/>
  <c r="N3096"/>
  <c r="W3096"/>
  <c r="H3097"/>
  <c r="I3097"/>
  <c r="K3097"/>
  <c r="N3097"/>
  <c r="W3097"/>
  <c r="H3098"/>
  <c r="I3098"/>
  <c r="K3098"/>
  <c r="N3098"/>
  <c r="W3098"/>
  <c r="H3099"/>
  <c r="I3099"/>
  <c r="K3099"/>
  <c r="N3099"/>
  <c r="W3099"/>
  <c r="H3100"/>
  <c r="I3100"/>
  <c r="K3100"/>
  <c r="N3100"/>
  <c r="W3100"/>
  <c r="H3101"/>
  <c r="I3101"/>
  <c r="K3101"/>
  <c r="N3101"/>
  <c r="W3101"/>
  <c r="H3102"/>
  <c r="I3102"/>
  <c r="K3102"/>
  <c r="N3102"/>
  <c r="W3102"/>
  <c r="H3103"/>
  <c r="I3103"/>
  <c r="K3103"/>
  <c r="N3103"/>
  <c r="W3103"/>
  <c r="H3104"/>
  <c r="I3104"/>
  <c r="K3104"/>
  <c r="N3104"/>
  <c r="W3104"/>
  <c r="H3105"/>
  <c r="I3105"/>
  <c r="K3105"/>
  <c r="N3105"/>
  <c r="W3105"/>
  <c r="H3106"/>
  <c r="I3106"/>
  <c r="K3106"/>
  <c r="N3106"/>
  <c r="W3106"/>
  <c r="H3107"/>
  <c r="I3107"/>
  <c r="K3107"/>
  <c r="N3107"/>
  <c r="W3107"/>
  <c r="H3108"/>
  <c r="I3108"/>
  <c r="K3108"/>
  <c r="N3108"/>
  <c r="W3108"/>
  <c r="H3109"/>
  <c r="I3109"/>
  <c r="K3109"/>
  <c r="N3109"/>
  <c r="W3109"/>
  <c r="H3110"/>
  <c r="I3110"/>
  <c r="K3110"/>
  <c r="N3110"/>
  <c r="W3110"/>
  <c r="H3111"/>
  <c r="I3111"/>
  <c r="K3111"/>
  <c r="N3111"/>
  <c r="W3111"/>
  <c r="H3112"/>
  <c r="I3112"/>
  <c r="K3112"/>
  <c r="N3112"/>
  <c r="W3112"/>
  <c r="H3113"/>
  <c r="I3113"/>
  <c r="K3113"/>
  <c r="N3113"/>
  <c r="W3113"/>
  <c r="H3114"/>
  <c r="I3114"/>
  <c r="K3114"/>
  <c r="N3114"/>
  <c r="W3114"/>
  <c r="H3115"/>
  <c r="I3115"/>
  <c r="K3115"/>
  <c r="N3115"/>
  <c r="W3115"/>
  <c r="H3116"/>
  <c r="I3116"/>
  <c r="K3116"/>
  <c r="N3116"/>
  <c r="W3116"/>
  <c r="H3117"/>
  <c r="I3117"/>
  <c r="K3117"/>
  <c r="N3117"/>
  <c r="W3117"/>
  <c r="H3118"/>
  <c r="I3118"/>
  <c r="K3118"/>
  <c r="N3118"/>
  <c r="W3118"/>
  <c r="H3119"/>
  <c r="I3119"/>
  <c r="K3119"/>
  <c r="N3119"/>
  <c r="W3119"/>
  <c r="H3120"/>
  <c r="I3120"/>
  <c r="K3120"/>
  <c r="N3120"/>
  <c r="W3120"/>
  <c r="H3121"/>
  <c r="I3121"/>
  <c r="K3121"/>
  <c r="N3121"/>
  <c r="W3121"/>
  <c r="H3122"/>
  <c r="I3122"/>
  <c r="K3122"/>
  <c r="N3122"/>
  <c r="W3122"/>
  <c r="H3123"/>
  <c r="I3123"/>
  <c r="K3123"/>
  <c r="N3123"/>
  <c r="W3123"/>
  <c r="H3124"/>
  <c r="I3124"/>
  <c r="K3124"/>
  <c r="N3124"/>
  <c r="W3124"/>
  <c r="H3125"/>
  <c r="I3125"/>
  <c r="K3125"/>
  <c r="N3125"/>
  <c r="W3125"/>
  <c r="H3126"/>
  <c r="I3126"/>
  <c r="K3126"/>
  <c r="N3126"/>
  <c r="W3126"/>
  <c r="H3127"/>
  <c r="I3127"/>
  <c r="K3127"/>
  <c r="N3127"/>
  <c r="W3127"/>
  <c r="H3128"/>
  <c r="I3128"/>
  <c r="K3128"/>
  <c r="N3128"/>
  <c r="W3128"/>
  <c r="H3129"/>
  <c r="I3129"/>
  <c r="K3129"/>
  <c r="N3129"/>
  <c r="W3129"/>
  <c r="H3130"/>
  <c r="I3130"/>
  <c r="K3130"/>
  <c r="N3130"/>
  <c r="W3130"/>
  <c r="H3131"/>
  <c r="I3131"/>
  <c r="K3131"/>
  <c r="N3131"/>
  <c r="W3131"/>
  <c r="H3132"/>
  <c r="I3132"/>
  <c r="K3132"/>
  <c r="N3132"/>
  <c r="W3132"/>
  <c r="H3133"/>
  <c r="I3133"/>
  <c r="K3133"/>
  <c r="N3133"/>
  <c r="W3133"/>
  <c r="H3134"/>
  <c r="I3134"/>
  <c r="K3134"/>
  <c r="N3134"/>
  <c r="W3134"/>
  <c r="H3135"/>
  <c r="I3135"/>
  <c r="K3135"/>
  <c r="N3135"/>
  <c r="W3135"/>
  <c r="H3136"/>
  <c r="I3136"/>
  <c r="K3136"/>
  <c r="N3136"/>
  <c r="W3136"/>
  <c r="H3137"/>
  <c r="I3137"/>
  <c r="K3137"/>
  <c r="N3137"/>
  <c r="W3137"/>
  <c r="H3138"/>
  <c r="I3138"/>
  <c r="K3138"/>
  <c r="N3138"/>
  <c r="W3138"/>
  <c r="H3139"/>
  <c r="I3139"/>
  <c r="K3139"/>
  <c r="N3139"/>
  <c r="W3139"/>
  <c r="H3140"/>
  <c r="I3140"/>
  <c r="K3140"/>
  <c r="N3140"/>
  <c r="W3140"/>
  <c r="H3141"/>
  <c r="I3141"/>
  <c r="K3141"/>
  <c r="N3141"/>
  <c r="W3141"/>
  <c r="H3142"/>
  <c r="I3142"/>
  <c r="K3142"/>
  <c r="N3142"/>
  <c r="W3142"/>
  <c r="H3143"/>
  <c r="I3143"/>
  <c r="K3143"/>
  <c r="N3143"/>
  <c r="W3143"/>
  <c r="H3144"/>
  <c r="I3144"/>
  <c r="K3144"/>
  <c r="N3144"/>
  <c r="W3144"/>
  <c r="H3145"/>
  <c r="I3145"/>
  <c r="K3145"/>
  <c r="N3145"/>
  <c r="W3145"/>
  <c r="H3146"/>
  <c r="I3146"/>
  <c r="K3146"/>
  <c r="N3146"/>
  <c r="W3146"/>
  <c r="H3147"/>
  <c r="I3147"/>
  <c r="K3147"/>
  <c r="N3147"/>
  <c r="W3147"/>
  <c r="H3148"/>
  <c r="I3148"/>
  <c r="K3148"/>
  <c r="N3148"/>
  <c r="W3148"/>
  <c r="H3149"/>
  <c r="I3149"/>
  <c r="K3149"/>
  <c r="N3149"/>
  <c r="W3149"/>
  <c r="H3150"/>
  <c r="I3150"/>
  <c r="K3150"/>
  <c r="N3150"/>
  <c r="W3150"/>
  <c r="H3151"/>
  <c r="I3151"/>
  <c r="K3151"/>
  <c r="N3151"/>
  <c r="W3151"/>
  <c r="H3152"/>
  <c r="I3152"/>
  <c r="K3152"/>
  <c r="N3152"/>
  <c r="W3152"/>
  <c r="H3153"/>
  <c r="I3153"/>
  <c r="K3153"/>
  <c r="N3153"/>
  <c r="W3153"/>
  <c r="H3154"/>
  <c r="I3154"/>
  <c r="K3154"/>
  <c r="N3154"/>
  <c r="W3154"/>
  <c r="H3155"/>
  <c r="I3155"/>
  <c r="K3155"/>
  <c r="N3155"/>
  <c r="W3155"/>
  <c r="H3156"/>
  <c r="I3156"/>
  <c r="K3156"/>
  <c r="N3156"/>
  <c r="W3156"/>
  <c r="H3157"/>
  <c r="I3157"/>
  <c r="K3157"/>
  <c r="N3157"/>
  <c r="W3157"/>
  <c r="H3158"/>
  <c r="I3158"/>
  <c r="K3158"/>
  <c r="N3158"/>
  <c r="W3158"/>
  <c r="H3159"/>
  <c r="I3159"/>
  <c r="K3159"/>
  <c r="N3159"/>
  <c r="W3159"/>
  <c r="H3160"/>
  <c r="I3160"/>
  <c r="K3160"/>
  <c r="N3160"/>
  <c r="W3160"/>
  <c r="H3161"/>
  <c r="I3161"/>
  <c r="K3161"/>
  <c r="N3161"/>
  <c r="W3161"/>
  <c r="H3162"/>
  <c r="I3162"/>
  <c r="K3162"/>
  <c r="N3162"/>
  <c r="W3162"/>
  <c r="H3163"/>
  <c r="I3163"/>
  <c r="K3163"/>
  <c r="N3163"/>
  <c r="W3163"/>
  <c r="H3164"/>
  <c r="I3164"/>
  <c r="K3164"/>
  <c r="N3164"/>
  <c r="W3164"/>
  <c r="H3165"/>
  <c r="I3165"/>
  <c r="K3165"/>
  <c r="N3165"/>
  <c r="W3165"/>
  <c r="H3166"/>
  <c r="I3166"/>
  <c r="K3166"/>
  <c r="N3166"/>
  <c r="W3166"/>
  <c r="H3167"/>
  <c r="I3167"/>
  <c r="K3167"/>
  <c r="N3167"/>
  <c r="W3167"/>
  <c r="H3168"/>
  <c r="I3168"/>
  <c r="K3168"/>
  <c r="N3168"/>
  <c r="W3168"/>
  <c r="H3169"/>
  <c r="I3169"/>
  <c r="K3169"/>
  <c r="N3169"/>
  <c r="W3169"/>
  <c r="H3170"/>
  <c r="I3170"/>
  <c r="K3170"/>
  <c r="N3170"/>
  <c r="W3170"/>
  <c r="H3171"/>
  <c r="I3171"/>
  <c r="K3171"/>
  <c r="N3171"/>
  <c r="W3171"/>
  <c r="H3172"/>
  <c r="I3172"/>
  <c r="K3172"/>
  <c r="N3172"/>
  <c r="W3172"/>
  <c r="H3173"/>
  <c r="I3173"/>
  <c r="K3173"/>
  <c r="N3173"/>
  <c r="W3173"/>
  <c r="H3174"/>
  <c r="I3174"/>
  <c r="K3174"/>
  <c r="N3174"/>
  <c r="W3174"/>
  <c r="H3175"/>
  <c r="I3175"/>
  <c r="K3175"/>
  <c r="N3175"/>
  <c r="W3175"/>
  <c r="H3176"/>
  <c r="I3176"/>
  <c r="K3176"/>
  <c r="N3176"/>
  <c r="W3176"/>
  <c r="H3177"/>
  <c r="I3177"/>
  <c r="K3177"/>
  <c r="N3177"/>
  <c r="W3177"/>
  <c r="H3178"/>
  <c r="I3178"/>
  <c r="K3178"/>
  <c r="N3178"/>
  <c r="W3178"/>
  <c r="H3179"/>
  <c r="I3179"/>
  <c r="K3179"/>
  <c r="N3179"/>
  <c r="W3179"/>
  <c r="H3180"/>
  <c r="I3180"/>
  <c r="K3180"/>
  <c r="N3180"/>
  <c r="W3180"/>
  <c r="H3181"/>
  <c r="I3181"/>
  <c r="K3181"/>
  <c r="N3181"/>
  <c r="W3181"/>
  <c r="H3182"/>
  <c r="I3182"/>
  <c r="K3182"/>
  <c r="N3182"/>
  <c r="W3182"/>
  <c r="H3183"/>
  <c r="I3183"/>
  <c r="K3183"/>
  <c r="N3183"/>
  <c r="W3183"/>
  <c r="H3184"/>
  <c r="I3184"/>
  <c r="K3184"/>
  <c r="N3184"/>
  <c r="W3184"/>
  <c r="H3185"/>
  <c r="I3185"/>
  <c r="K3185"/>
  <c r="N3185"/>
  <c r="W3185"/>
  <c r="H3186"/>
  <c r="I3186"/>
  <c r="K3186"/>
  <c r="N3186"/>
  <c r="W3186"/>
  <c r="H3187"/>
  <c r="I3187"/>
  <c r="K3187"/>
  <c r="N3187"/>
  <c r="W3187"/>
  <c r="H3188"/>
  <c r="I3188"/>
  <c r="K3188"/>
  <c r="N3188"/>
  <c r="W3188"/>
  <c r="H3189"/>
  <c r="I3189"/>
  <c r="K3189"/>
  <c r="N3189"/>
  <c r="W3189"/>
  <c r="H3190"/>
  <c r="I3190"/>
  <c r="K3190"/>
  <c r="N3190"/>
  <c r="W3190"/>
  <c r="H3191"/>
  <c r="I3191"/>
  <c r="K3191"/>
  <c r="N3191"/>
  <c r="W3191"/>
  <c r="H3192"/>
  <c r="I3192"/>
  <c r="K3192"/>
  <c r="N3192"/>
  <c r="W3192"/>
  <c r="H3193"/>
  <c r="I3193"/>
  <c r="K3193"/>
  <c r="N3193"/>
  <c r="W3193"/>
  <c r="H3194"/>
  <c r="I3194"/>
  <c r="K3194"/>
  <c r="N3194"/>
  <c r="W3194"/>
  <c r="H3195"/>
  <c r="I3195"/>
  <c r="K3195"/>
  <c r="N3195"/>
  <c r="W3195"/>
  <c r="H3196"/>
  <c r="I3196"/>
  <c r="K3196"/>
  <c r="N3196"/>
  <c r="W3196"/>
  <c r="H3197"/>
  <c r="I3197"/>
  <c r="K3197"/>
  <c r="N3197"/>
  <c r="W3197"/>
  <c r="H3198"/>
  <c r="I3198"/>
  <c r="K3198"/>
  <c r="N3198"/>
  <c r="W3198"/>
  <c r="H3199"/>
  <c r="I3199"/>
  <c r="K3199"/>
  <c r="N3199"/>
  <c r="W3199"/>
  <c r="H3200"/>
  <c r="I3200"/>
  <c r="K3200"/>
  <c r="N3200"/>
  <c r="W3200"/>
  <c r="H3201"/>
  <c r="I3201"/>
  <c r="K3201"/>
  <c r="N3201"/>
  <c r="W3201"/>
  <c r="H3202"/>
  <c r="I3202"/>
  <c r="K3202"/>
  <c r="N3202"/>
  <c r="W3202"/>
  <c r="H3203"/>
  <c r="I3203"/>
  <c r="K3203"/>
  <c r="N3203"/>
  <c r="W3203"/>
  <c r="H3204"/>
  <c r="I3204"/>
  <c r="K3204"/>
  <c r="N3204"/>
  <c r="W3204"/>
  <c r="H3205"/>
  <c r="I3205"/>
  <c r="K3205"/>
  <c r="N3205"/>
  <c r="W3205"/>
  <c r="H3206"/>
  <c r="I3206"/>
  <c r="K3206"/>
  <c r="N3206"/>
  <c r="W3206"/>
  <c r="H3207"/>
  <c r="I3207"/>
  <c r="K3207"/>
  <c r="N3207"/>
  <c r="W3207"/>
  <c r="H3208"/>
  <c r="I3208"/>
  <c r="K3208"/>
  <c r="N3208"/>
  <c r="W3208"/>
  <c r="H3209"/>
  <c r="I3209"/>
  <c r="K3209"/>
  <c r="N3209"/>
  <c r="W3209"/>
  <c r="H3210"/>
  <c r="I3210"/>
  <c r="K3210"/>
  <c r="N3210"/>
  <c r="W3210"/>
  <c r="H3211"/>
  <c r="I3211"/>
  <c r="K3211"/>
  <c r="N3211"/>
  <c r="W3211"/>
  <c r="H3212"/>
  <c r="I3212"/>
  <c r="K3212"/>
  <c r="N3212"/>
  <c r="W3212"/>
  <c r="H3213"/>
  <c r="I3213"/>
  <c r="K3213"/>
  <c r="N3213"/>
  <c r="W3213"/>
  <c r="H3214"/>
  <c r="I3214"/>
  <c r="K3214"/>
  <c r="N3214"/>
  <c r="W3214"/>
  <c r="H3215"/>
  <c r="I3215"/>
  <c r="K3215"/>
  <c r="N3215"/>
  <c r="W3215"/>
  <c r="H3216"/>
  <c r="I3216"/>
  <c r="K3216"/>
  <c r="N3216"/>
  <c r="W3216"/>
  <c r="H3217"/>
  <c r="I3217"/>
  <c r="K3217"/>
  <c r="N3217"/>
  <c r="W3217"/>
  <c r="H3218"/>
  <c r="I3218"/>
  <c r="K3218"/>
  <c r="N3218"/>
  <c r="W3218"/>
  <c r="H3219"/>
  <c r="I3219"/>
  <c r="K3219"/>
  <c r="N3219"/>
  <c r="W3219"/>
  <c r="H3220"/>
  <c r="I3220"/>
  <c r="K3220"/>
  <c r="N3220"/>
  <c r="W3220"/>
  <c r="H3221"/>
  <c r="I3221"/>
  <c r="K3221"/>
  <c r="N3221"/>
  <c r="W3221"/>
  <c r="H3222"/>
  <c r="I3222"/>
  <c r="K3222"/>
  <c r="N3222"/>
  <c r="W3222"/>
  <c r="H3223"/>
  <c r="I3223"/>
  <c r="K3223"/>
  <c r="N3223"/>
  <c r="W3223"/>
  <c r="H3224"/>
  <c r="I3224"/>
  <c r="K3224"/>
  <c r="N3224"/>
  <c r="W3224"/>
  <c r="H3225"/>
  <c r="I3225"/>
  <c r="K3225"/>
  <c r="N3225"/>
  <c r="W3225"/>
  <c r="H3226"/>
  <c r="I3226"/>
  <c r="K3226"/>
  <c r="N3226"/>
  <c r="W3226"/>
  <c r="H3227"/>
  <c r="I3227"/>
  <c r="K3227"/>
  <c r="N3227"/>
  <c r="W3227"/>
  <c r="H3228"/>
  <c r="I3228"/>
  <c r="K3228"/>
  <c r="N3228"/>
  <c r="W3228"/>
  <c r="H3229"/>
  <c r="I3229"/>
  <c r="K3229"/>
  <c r="N3229"/>
  <c r="W3229"/>
  <c r="H3230"/>
  <c r="I3230"/>
  <c r="K3230"/>
  <c r="N3230"/>
  <c r="W3230"/>
  <c r="H3231"/>
  <c r="I3231"/>
  <c r="K3231"/>
  <c r="N3231"/>
  <c r="W3231"/>
  <c r="H3232"/>
  <c r="I3232"/>
  <c r="K3232"/>
  <c r="N3232"/>
  <c r="W3232"/>
  <c r="H3233"/>
  <c r="I3233"/>
  <c r="K3233"/>
  <c r="N3233"/>
  <c r="W3233"/>
  <c r="H3234"/>
  <c r="I3234"/>
  <c r="K3234"/>
  <c r="N3234"/>
  <c r="W3234"/>
  <c r="H3235"/>
  <c r="I3235"/>
  <c r="K3235"/>
  <c r="N3235"/>
  <c r="W3235"/>
  <c r="H3236"/>
  <c r="I3236"/>
  <c r="K3236"/>
  <c r="N3236"/>
  <c r="W3236"/>
  <c r="H3237"/>
  <c r="I3237"/>
  <c r="K3237"/>
  <c r="N3237"/>
  <c r="W3237"/>
  <c r="H3238"/>
  <c r="I3238"/>
  <c r="K3238"/>
  <c r="N3238"/>
  <c r="W3238"/>
  <c r="H3239"/>
  <c r="I3239"/>
  <c r="K3239"/>
  <c r="N3239"/>
  <c r="W3239"/>
  <c r="H3240"/>
  <c r="I3240"/>
  <c r="K3240"/>
  <c r="N3240"/>
  <c r="W3240"/>
  <c r="H3241"/>
  <c r="I3241"/>
  <c r="K3241"/>
  <c r="N3241"/>
  <c r="W3241"/>
  <c r="H3242"/>
  <c r="I3242"/>
  <c r="K3242"/>
  <c r="N3242"/>
  <c r="W3242"/>
  <c r="H3243"/>
  <c r="I3243"/>
  <c r="K3243"/>
  <c r="N3243"/>
  <c r="W3243"/>
  <c r="H3244"/>
  <c r="I3244"/>
  <c r="K3244"/>
  <c r="N3244"/>
  <c r="W3244"/>
  <c r="H3245"/>
  <c r="I3245"/>
  <c r="K3245"/>
  <c r="N3245"/>
  <c r="W3245"/>
  <c r="H3246"/>
  <c r="I3246"/>
  <c r="K3246"/>
  <c r="N3246"/>
  <c r="W3246"/>
  <c r="H3247"/>
  <c r="I3247"/>
  <c r="K3247"/>
  <c r="N3247"/>
  <c r="W3247"/>
  <c r="H3248"/>
  <c r="I3248"/>
  <c r="K3248"/>
  <c r="N3248"/>
  <c r="W3248"/>
  <c r="H3249"/>
  <c r="I3249"/>
  <c r="K3249"/>
  <c r="N3249"/>
  <c r="W3249"/>
  <c r="H3250"/>
  <c r="I3250"/>
  <c r="K3250"/>
  <c r="N3250"/>
  <c r="W3250"/>
  <c r="H3251"/>
  <c r="I3251"/>
  <c r="K3251"/>
  <c r="N3251"/>
  <c r="W3251"/>
  <c r="H3252"/>
  <c r="I3252"/>
  <c r="K3252"/>
  <c r="N3252"/>
  <c r="W3252"/>
  <c r="H3253"/>
  <c r="I3253"/>
  <c r="K3253"/>
  <c r="N3253"/>
  <c r="W3253"/>
  <c r="H3254"/>
  <c r="I3254"/>
  <c r="K3254"/>
  <c r="N3254"/>
  <c r="W3254"/>
  <c r="H3255"/>
  <c r="I3255"/>
  <c r="K3255"/>
  <c r="N3255"/>
  <c r="W3255"/>
  <c r="H3256"/>
  <c r="I3256"/>
  <c r="K3256"/>
  <c r="N3256"/>
  <c r="W3256"/>
  <c r="H3257"/>
  <c r="I3257"/>
  <c r="K3257"/>
  <c r="N3257"/>
  <c r="W3257"/>
  <c r="H3258"/>
  <c r="I3258"/>
  <c r="K3258"/>
  <c r="N3258"/>
  <c r="W3258"/>
  <c r="H3259"/>
  <c r="I3259"/>
  <c r="K3259"/>
  <c r="N3259"/>
  <c r="W3259"/>
  <c r="H3260"/>
  <c r="I3260"/>
  <c r="K3260"/>
  <c r="N3260"/>
  <c r="W3260"/>
  <c r="H3261"/>
  <c r="I3261"/>
  <c r="K3261"/>
  <c r="N3261"/>
  <c r="W3261"/>
  <c r="H3262"/>
  <c r="I3262"/>
  <c r="K3262"/>
  <c r="N3262"/>
  <c r="W3262"/>
  <c r="H3263"/>
  <c r="I3263"/>
  <c r="K3263"/>
  <c r="N3263"/>
  <c r="W3263"/>
  <c r="H3264"/>
  <c r="I3264"/>
  <c r="K3264"/>
  <c r="N3264"/>
  <c r="W3264"/>
  <c r="H3265"/>
  <c r="I3265"/>
  <c r="K3265"/>
  <c r="N3265"/>
  <c r="W3265"/>
  <c r="H3266"/>
  <c r="I3266"/>
  <c r="K3266"/>
  <c r="N3266"/>
  <c r="W3266"/>
  <c r="H3267"/>
  <c r="I3267"/>
  <c r="K3267"/>
  <c r="N3267"/>
  <c r="W3267"/>
  <c r="H3268"/>
  <c r="I3268"/>
  <c r="K3268"/>
  <c r="N3268"/>
  <c r="W3268"/>
  <c r="H3269"/>
  <c r="I3269"/>
  <c r="K3269"/>
  <c r="N3269"/>
  <c r="W3269"/>
  <c r="H3270"/>
  <c r="I3270"/>
  <c r="K3270"/>
  <c r="N3270"/>
  <c r="W3270"/>
  <c r="H3271"/>
  <c r="I3271"/>
  <c r="K3271"/>
  <c r="N3271"/>
  <c r="W3271"/>
  <c r="H3272"/>
  <c r="I3272"/>
  <c r="K3272"/>
  <c r="N3272"/>
  <c r="W3272"/>
  <c r="H3273"/>
  <c r="I3273"/>
  <c r="K3273"/>
  <c r="N3273"/>
  <c r="W3273"/>
  <c r="H3274"/>
  <c r="I3274"/>
  <c r="K3274"/>
  <c r="N3274"/>
  <c r="W3274"/>
  <c r="H3275"/>
  <c r="I3275"/>
  <c r="K3275"/>
  <c r="N3275"/>
  <c r="W3275"/>
  <c r="H3276"/>
  <c r="I3276"/>
  <c r="K3276"/>
  <c r="N3276"/>
  <c r="W3276"/>
  <c r="H3277"/>
  <c r="I3277"/>
  <c r="K3277"/>
  <c r="N3277"/>
  <c r="W3277"/>
  <c r="H3278"/>
  <c r="I3278"/>
  <c r="K3278"/>
  <c r="N3278"/>
  <c r="W3278"/>
  <c r="H3279"/>
  <c r="I3279"/>
  <c r="K3279"/>
  <c r="N3279"/>
  <c r="W3279"/>
  <c r="H3280"/>
  <c r="I3280"/>
  <c r="K3280"/>
  <c r="N3280"/>
  <c r="W3280"/>
  <c r="H3281"/>
  <c r="I3281"/>
  <c r="K3281"/>
  <c r="N3281"/>
  <c r="W3281"/>
  <c r="H3282"/>
  <c r="I3282"/>
  <c r="K3282"/>
  <c r="N3282"/>
  <c r="W3282"/>
  <c r="H3283"/>
  <c r="I3283"/>
  <c r="K3283"/>
  <c r="N3283"/>
  <c r="W3283"/>
  <c r="H3284"/>
  <c r="I3284"/>
  <c r="K3284"/>
  <c r="N3284"/>
  <c r="W3284"/>
  <c r="H3285"/>
  <c r="I3285"/>
  <c r="K3285"/>
  <c r="N3285"/>
  <c r="W3285"/>
  <c r="H3286"/>
  <c r="I3286"/>
  <c r="K3286"/>
  <c r="N3286"/>
  <c r="W3286"/>
  <c r="H3287"/>
  <c r="I3287"/>
  <c r="K3287"/>
  <c r="N3287"/>
  <c r="W3287"/>
  <c r="H3288"/>
  <c r="I3288"/>
  <c r="K3288"/>
  <c r="N3288"/>
  <c r="W3288"/>
  <c r="H3289"/>
  <c r="I3289"/>
  <c r="K3289"/>
  <c r="N3289"/>
  <c r="W3289"/>
  <c r="H3290"/>
  <c r="I3290"/>
  <c r="K3290"/>
  <c r="N3290"/>
  <c r="W3290"/>
  <c r="H3291"/>
  <c r="I3291"/>
  <c r="K3291"/>
  <c r="N3291"/>
  <c r="W3291"/>
  <c r="H3292"/>
  <c r="I3292"/>
  <c r="K3292"/>
  <c r="N3292"/>
  <c r="W3292"/>
  <c r="H3293"/>
  <c r="I3293"/>
  <c r="K3293"/>
  <c r="N3293"/>
  <c r="W3293"/>
  <c r="H3294"/>
  <c r="I3294"/>
  <c r="K3294"/>
  <c r="N3294"/>
  <c r="W3294"/>
  <c r="H3295"/>
  <c r="I3295"/>
  <c r="K3295"/>
  <c r="N3295"/>
  <c r="W3295"/>
  <c r="H3296"/>
  <c r="I3296"/>
  <c r="K3296"/>
  <c r="N3296"/>
  <c r="W3296"/>
  <c r="H3297"/>
  <c r="I3297"/>
  <c r="K3297"/>
  <c r="N3297"/>
  <c r="W3297"/>
  <c r="H3298"/>
  <c r="I3298"/>
  <c r="K3298"/>
  <c r="N3298"/>
  <c r="W3298"/>
  <c r="H3299"/>
  <c r="I3299"/>
  <c r="K3299"/>
  <c r="N3299"/>
  <c r="W3299"/>
  <c r="H3300"/>
  <c r="I3300"/>
  <c r="K3300"/>
  <c r="N3300"/>
  <c r="W3300"/>
  <c r="H3301"/>
  <c r="I3301"/>
  <c r="K3301"/>
  <c r="N3301"/>
  <c r="W3301"/>
  <c r="H3302"/>
  <c r="I3302"/>
  <c r="K3302"/>
  <c r="N3302"/>
  <c r="W3302"/>
  <c r="H3303"/>
  <c r="I3303"/>
  <c r="K3303"/>
  <c r="N3303"/>
  <c r="W3303"/>
  <c r="H3304"/>
  <c r="I3304"/>
  <c r="K3304"/>
  <c r="N3304"/>
  <c r="W3304"/>
  <c r="H3305"/>
  <c r="I3305"/>
  <c r="K3305"/>
  <c r="N3305"/>
  <c r="W3305"/>
  <c r="H3306"/>
  <c r="I3306"/>
  <c r="K3306"/>
  <c r="N3306"/>
  <c r="W3306"/>
  <c r="H3307"/>
  <c r="I3307"/>
  <c r="K3307"/>
  <c r="N3307"/>
  <c r="W3307"/>
  <c r="H3308"/>
  <c r="I3308"/>
  <c r="K3308"/>
  <c r="N3308"/>
  <c r="W3308"/>
  <c r="H3309"/>
  <c r="I3309"/>
  <c r="K3309"/>
  <c r="N3309"/>
  <c r="W3309"/>
  <c r="H3310"/>
  <c r="I3310"/>
  <c r="K3310"/>
  <c r="N3310"/>
  <c r="W3310"/>
  <c r="H3311"/>
  <c r="I3311"/>
  <c r="K3311"/>
  <c r="N3311"/>
  <c r="W3311"/>
  <c r="H3312"/>
  <c r="I3312"/>
  <c r="K3312"/>
  <c r="N3312"/>
  <c r="W3312"/>
  <c r="H3313"/>
  <c r="I3313"/>
  <c r="K3313"/>
  <c r="N3313"/>
  <c r="W3313"/>
  <c r="H3314"/>
  <c r="I3314"/>
  <c r="K3314"/>
  <c r="N3314"/>
  <c r="W3314"/>
  <c r="H3315"/>
  <c r="I3315"/>
  <c r="K3315"/>
  <c r="N3315"/>
  <c r="W3315"/>
  <c r="H3316"/>
  <c r="I3316"/>
  <c r="K3316"/>
  <c r="N3316"/>
  <c r="W3316"/>
  <c r="H3317"/>
  <c r="I3317"/>
  <c r="K3317"/>
  <c r="N3317"/>
  <c r="W3317"/>
  <c r="H3318"/>
  <c r="I3318"/>
  <c r="K3318"/>
  <c r="N3318"/>
  <c r="W3318"/>
  <c r="H3319"/>
  <c r="I3319"/>
  <c r="K3319"/>
  <c r="N3319"/>
  <c r="W3319"/>
  <c r="H3320"/>
  <c r="I3320"/>
  <c r="K3320"/>
  <c r="N3320"/>
  <c r="W3320"/>
  <c r="H3321"/>
  <c r="I3321"/>
  <c r="K3321"/>
  <c r="N3321"/>
  <c r="W3321"/>
  <c r="H3322"/>
  <c r="I3322"/>
  <c r="K3322"/>
  <c r="N3322"/>
  <c r="W3322"/>
  <c r="H3323"/>
  <c r="I3323"/>
  <c r="K3323"/>
  <c r="N3323"/>
  <c r="W3323"/>
  <c r="H3324"/>
  <c r="I3324"/>
  <c r="K3324"/>
  <c r="N3324"/>
  <c r="W3324"/>
  <c r="H3325"/>
  <c r="I3325"/>
  <c r="K3325"/>
  <c r="N3325"/>
  <c r="W3325"/>
  <c r="H3326"/>
  <c r="I3326"/>
  <c r="K3326"/>
  <c r="N3326"/>
  <c r="W3326"/>
  <c r="H3327"/>
  <c r="I3327"/>
  <c r="K3327"/>
  <c r="N3327"/>
  <c r="W3327"/>
  <c r="H3328"/>
  <c r="I3328"/>
  <c r="K3328"/>
  <c r="N3328"/>
  <c r="W3328"/>
  <c r="H3329"/>
  <c r="I3329"/>
  <c r="K3329"/>
  <c r="N3329"/>
  <c r="W3329"/>
  <c r="H3330"/>
  <c r="I3330"/>
  <c r="K3330"/>
  <c r="N3330"/>
  <c r="W3330"/>
  <c r="H3331"/>
  <c r="I3331"/>
  <c r="K3331"/>
  <c r="N3331"/>
  <c r="W3331"/>
  <c r="H3332"/>
  <c r="I3332"/>
  <c r="K3332"/>
  <c r="N3332"/>
  <c r="W3332"/>
  <c r="H3333"/>
  <c r="I3333"/>
  <c r="K3333"/>
  <c r="N3333"/>
  <c r="W3333"/>
  <c r="H3334"/>
  <c r="I3334"/>
  <c r="K3334"/>
  <c r="N3334"/>
  <c r="W3334"/>
  <c r="H3335"/>
  <c r="I3335"/>
  <c r="K3335"/>
  <c r="N3335"/>
  <c r="W3335"/>
  <c r="H3336"/>
  <c r="I3336"/>
  <c r="K3336"/>
  <c r="N3336"/>
  <c r="W3336"/>
  <c r="H3337"/>
  <c r="I3337"/>
  <c r="K3337"/>
  <c r="N3337"/>
  <c r="W3337"/>
  <c r="H3338"/>
  <c r="I3338"/>
  <c r="K3338"/>
  <c r="N3338"/>
  <c r="W3338"/>
  <c r="H3339"/>
  <c r="I3339"/>
  <c r="K3339"/>
  <c r="N3339"/>
  <c r="W3339"/>
  <c r="H3340"/>
  <c r="I3340"/>
  <c r="K3340"/>
  <c r="N3340"/>
  <c r="W3340"/>
  <c r="H3341"/>
  <c r="I3341"/>
  <c r="K3341"/>
  <c r="N3341"/>
  <c r="W3341"/>
  <c r="H3342"/>
  <c r="I3342"/>
  <c r="K3342"/>
  <c r="N3342"/>
  <c r="W3342"/>
  <c r="H3343"/>
  <c r="I3343"/>
  <c r="K3343"/>
  <c r="N3343"/>
  <c r="W3343"/>
  <c r="H3344"/>
  <c r="I3344"/>
  <c r="K3344"/>
  <c r="N3344"/>
  <c r="W3344"/>
  <c r="H3345"/>
  <c r="I3345"/>
  <c r="K3345"/>
  <c r="N3345"/>
  <c r="W3345"/>
  <c r="H3346"/>
  <c r="I3346"/>
  <c r="K3346"/>
  <c r="N3346"/>
  <c r="W3346"/>
  <c r="H3347"/>
  <c r="I3347"/>
  <c r="K3347"/>
  <c r="N3347"/>
  <c r="W3347"/>
  <c r="H3348"/>
  <c r="I3348"/>
  <c r="K3348"/>
  <c r="N3348"/>
  <c r="W3348"/>
  <c r="H3349"/>
  <c r="I3349"/>
  <c r="K3349"/>
  <c r="N3349"/>
  <c r="W3349"/>
  <c r="H3350"/>
  <c r="I3350"/>
  <c r="K3350"/>
  <c r="N3350"/>
  <c r="W3350"/>
  <c r="H3351"/>
  <c r="I3351"/>
  <c r="K3351"/>
  <c r="N3351"/>
  <c r="W3351"/>
  <c r="H3352"/>
  <c r="I3352"/>
  <c r="K3352"/>
  <c r="N3352"/>
  <c r="W3352"/>
  <c r="H3353"/>
  <c r="I3353"/>
  <c r="K3353"/>
  <c r="N3353"/>
  <c r="W3353"/>
  <c r="H3354"/>
  <c r="I3354"/>
  <c r="K3354"/>
  <c r="N3354"/>
  <c r="W3354"/>
  <c r="H3355"/>
  <c r="I3355"/>
  <c r="K3355"/>
  <c r="N3355"/>
  <c r="W3355"/>
  <c r="H3356"/>
  <c r="I3356"/>
  <c r="K3356"/>
  <c r="N3356"/>
  <c r="W3356"/>
  <c r="H3357"/>
  <c r="I3357"/>
  <c r="K3357"/>
  <c r="N3357"/>
  <c r="W3357"/>
  <c r="H3358"/>
  <c r="I3358"/>
  <c r="K3358"/>
  <c r="N3358"/>
  <c r="W3358"/>
  <c r="H3359"/>
  <c r="I3359"/>
  <c r="K3359"/>
  <c r="N3359"/>
  <c r="W3359"/>
  <c r="H3360"/>
  <c r="I3360"/>
  <c r="K3360"/>
  <c r="N3360"/>
  <c r="W3360"/>
  <c r="H3361"/>
  <c r="I3361"/>
  <c r="K3361"/>
  <c r="N3361"/>
  <c r="W3361"/>
  <c r="H3362"/>
  <c r="I3362"/>
  <c r="K3362"/>
  <c r="N3362"/>
  <c r="W3362"/>
  <c r="H3363"/>
  <c r="I3363"/>
  <c r="K3363"/>
  <c r="N3363"/>
  <c r="W3363"/>
  <c r="H3364"/>
  <c r="I3364"/>
  <c r="K3364"/>
  <c r="N3364"/>
  <c r="W3364"/>
  <c r="H3365"/>
  <c r="I3365"/>
  <c r="K3365"/>
  <c r="N3365"/>
  <c r="W3365"/>
  <c r="H3366"/>
  <c r="I3366"/>
  <c r="K3366"/>
  <c r="N3366"/>
  <c r="W3366"/>
  <c r="H3367"/>
  <c r="I3367"/>
  <c r="K3367"/>
  <c r="N3367"/>
  <c r="W3367"/>
  <c r="H3368"/>
  <c r="I3368"/>
  <c r="K3368"/>
  <c r="N3368"/>
  <c r="W3368"/>
  <c r="H3369"/>
  <c r="I3369"/>
  <c r="K3369"/>
  <c r="N3369"/>
  <c r="W3369"/>
  <c r="H3370"/>
  <c r="I3370"/>
  <c r="K3370"/>
  <c r="N3370"/>
  <c r="W3370"/>
  <c r="H3371"/>
  <c r="I3371"/>
  <c r="K3371"/>
  <c r="N3371"/>
  <c r="W3371"/>
  <c r="H3372"/>
  <c r="I3372"/>
  <c r="K3372"/>
  <c r="N3372"/>
  <c r="W3372"/>
  <c r="H3373"/>
  <c r="I3373"/>
  <c r="K3373"/>
  <c r="N3373"/>
  <c r="W3373"/>
  <c r="H3374"/>
  <c r="I3374"/>
  <c r="K3374"/>
  <c r="N3374"/>
  <c r="W3374"/>
  <c r="H3375"/>
  <c r="I3375"/>
  <c r="K3375"/>
  <c r="N3375"/>
  <c r="W3375"/>
  <c r="H3376"/>
  <c r="I3376"/>
  <c r="K3376"/>
  <c r="N3376"/>
  <c r="W3376"/>
  <c r="H3377"/>
  <c r="I3377"/>
  <c r="K3377"/>
  <c r="N3377"/>
  <c r="W3377"/>
  <c r="H3378"/>
  <c r="I3378"/>
  <c r="K3378"/>
  <c r="N3378"/>
  <c r="W3378"/>
  <c r="H3379"/>
  <c r="I3379"/>
  <c r="K3379"/>
  <c r="N3379"/>
  <c r="W3379"/>
  <c r="H3380"/>
  <c r="I3380"/>
  <c r="K3380"/>
  <c r="N3380"/>
  <c r="W3380"/>
  <c r="H3381"/>
  <c r="I3381"/>
  <c r="K3381"/>
  <c r="N3381"/>
  <c r="W3381"/>
  <c r="H3382"/>
  <c r="I3382"/>
  <c r="K3382"/>
  <c r="N3382"/>
  <c r="W3382"/>
  <c r="H3383"/>
  <c r="I3383"/>
  <c r="K3383"/>
  <c r="N3383"/>
  <c r="W3383"/>
  <c r="H3384"/>
  <c r="I3384"/>
  <c r="K3384"/>
  <c r="N3384"/>
  <c r="W3384"/>
  <c r="H3385"/>
  <c r="I3385"/>
  <c r="K3385"/>
  <c r="N3385"/>
  <c r="W3385"/>
  <c r="H3386"/>
  <c r="I3386"/>
  <c r="K3386"/>
  <c r="N3386"/>
  <c r="W3386"/>
  <c r="H3387"/>
  <c r="I3387"/>
  <c r="K3387"/>
  <c r="N3387"/>
  <c r="W3387"/>
  <c r="H3388"/>
  <c r="I3388"/>
  <c r="K3388"/>
  <c r="N3388"/>
  <c r="W3388"/>
  <c r="H3389"/>
  <c r="I3389"/>
  <c r="K3389"/>
  <c r="N3389"/>
  <c r="W3389"/>
  <c r="H3390"/>
  <c r="I3390"/>
  <c r="K3390"/>
  <c r="N3390"/>
  <c r="W3390"/>
  <c r="H3391"/>
  <c r="I3391"/>
  <c r="K3391"/>
  <c r="N3391"/>
  <c r="W3391"/>
  <c r="H3392"/>
  <c r="I3392"/>
  <c r="K3392"/>
  <c r="N3392"/>
  <c r="W3392"/>
  <c r="H3393"/>
  <c r="I3393"/>
  <c r="K3393"/>
  <c r="N3393"/>
  <c r="W3393"/>
  <c r="H3394"/>
  <c r="I3394"/>
  <c r="K3394"/>
  <c r="N3394"/>
  <c r="W3394"/>
  <c r="H3395"/>
  <c r="I3395"/>
  <c r="K3395"/>
  <c r="N3395"/>
  <c r="W3395"/>
  <c r="H3396"/>
  <c r="I3396"/>
  <c r="K3396"/>
  <c r="N3396"/>
  <c r="W3396"/>
  <c r="H3397"/>
  <c r="I3397"/>
  <c r="K3397"/>
  <c r="N3397"/>
  <c r="W3397"/>
  <c r="H3398"/>
  <c r="I3398"/>
  <c r="K3398"/>
  <c r="N3398"/>
  <c r="W3398"/>
  <c r="H3399"/>
  <c r="I3399"/>
  <c r="K3399"/>
  <c r="N3399"/>
  <c r="W3399"/>
  <c r="H3400"/>
  <c r="I3400"/>
  <c r="K3400"/>
  <c r="N3400"/>
  <c r="W3400"/>
  <c r="H3401"/>
  <c r="I3401"/>
  <c r="K3401"/>
  <c r="N3401"/>
  <c r="W3401"/>
  <c r="H3402"/>
  <c r="I3402"/>
  <c r="K3402"/>
  <c r="N3402"/>
  <c r="W3402"/>
  <c r="H3403"/>
  <c r="I3403"/>
  <c r="K3403"/>
  <c r="N3403"/>
  <c r="W3403"/>
  <c r="H3404"/>
  <c r="I3404"/>
  <c r="K3404"/>
  <c r="N3404"/>
  <c r="W3404"/>
  <c r="H3405"/>
  <c r="I3405"/>
  <c r="K3405"/>
  <c r="N3405"/>
  <c r="W3405"/>
  <c r="H3406"/>
  <c r="I3406"/>
  <c r="K3406"/>
  <c r="N3406"/>
  <c r="W3406"/>
  <c r="H3407"/>
  <c r="I3407"/>
  <c r="K3407"/>
  <c r="N3407"/>
  <c r="W3407"/>
  <c r="H3408"/>
  <c r="I3408"/>
  <c r="K3408"/>
  <c r="N3408"/>
  <c r="W3408"/>
  <c r="H3409"/>
  <c r="I3409"/>
  <c r="K3409"/>
  <c r="N3409"/>
  <c r="W3409"/>
  <c r="H3410"/>
  <c r="I3410"/>
  <c r="K3410"/>
  <c r="N3410"/>
  <c r="W3410"/>
  <c r="H3411"/>
  <c r="I3411"/>
  <c r="K3411"/>
  <c r="N3411"/>
  <c r="W3411"/>
  <c r="H3412"/>
  <c r="I3412"/>
  <c r="K3412"/>
  <c r="N3412"/>
  <c r="W3412"/>
  <c r="H3413"/>
  <c r="I3413"/>
  <c r="K3413"/>
  <c r="N3413"/>
  <c r="W3413"/>
  <c r="H3414"/>
  <c r="I3414"/>
  <c r="K3414"/>
  <c r="N3414"/>
  <c r="W3414"/>
  <c r="H3415"/>
  <c r="I3415"/>
  <c r="K3415"/>
  <c r="N3415"/>
  <c r="W3415"/>
  <c r="H3416"/>
  <c r="I3416"/>
  <c r="K3416"/>
  <c r="N3416"/>
  <c r="W3416"/>
  <c r="H3417"/>
  <c r="I3417"/>
  <c r="K3417"/>
  <c r="N3417"/>
  <c r="W3417"/>
  <c r="H3418"/>
  <c r="I3418"/>
  <c r="K3418"/>
  <c r="N3418"/>
  <c r="W3418"/>
  <c r="H3419"/>
  <c r="I3419"/>
  <c r="K3419"/>
  <c r="N3419"/>
  <c r="W3419"/>
  <c r="H3420"/>
  <c r="I3420"/>
  <c r="K3420"/>
  <c r="N3420"/>
  <c r="W3420"/>
  <c r="H3421"/>
  <c r="I3421"/>
  <c r="K3421"/>
  <c r="N3421"/>
  <c r="W3421"/>
  <c r="H3422"/>
  <c r="I3422"/>
  <c r="K3422"/>
  <c r="N3422"/>
  <c r="W3422"/>
  <c r="H3423"/>
  <c r="I3423"/>
  <c r="K3423"/>
  <c r="N3423"/>
  <c r="W3423"/>
  <c r="H3424"/>
  <c r="I3424"/>
  <c r="K3424"/>
  <c r="N3424"/>
  <c r="W3424"/>
  <c r="H3425"/>
  <c r="I3425"/>
  <c r="K3425"/>
  <c r="N3425"/>
  <c r="W3425"/>
  <c r="H3426"/>
  <c r="I3426"/>
  <c r="K3426"/>
  <c r="N3426"/>
  <c r="W3426"/>
  <c r="H3427"/>
  <c r="I3427"/>
  <c r="K3427"/>
  <c r="N3427"/>
  <c r="W3427"/>
  <c r="H3428"/>
  <c r="I3428"/>
  <c r="K3428"/>
  <c r="N3428"/>
  <c r="W3428"/>
  <c r="H3429"/>
  <c r="I3429"/>
  <c r="K3429"/>
  <c r="N3429"/>
  <c r="W3429"/>
  <c r="H3430"/>
  <c r="I3430"/>
  <c r="K3430"/>
  <c r="N3430"/>
  <c r="W3430"/>
  <c r="H3431"/>
  <c r="I3431"/>
  <c r="K3431"/>
  <c r="N3431"/>
  <c r="W3431"/>
  <c r="H3432"/>
  <c r="I3432"/>
  <c r="K3432"/>
  <c r="N3432"/>
  <c r="W3432"/>
  <c r="H3433"/>
  <c r="I3433"/>
  <c r="K3433"/>
  <c r="N3433"/>
  <c r="W3433"/>
  <c r="H3434"/>
  <c r="I3434"/>
  <c r="K3434"/>
  <c r="N3434"/>
  <c r="W3434"/>
  <c r="H3435"/>
  <c r="I3435"/>
  <c r="K3435"/>
  <c r="N3435"/>
  <c r="W3435"/>
  <c r="H3436"/>
  <c r="I3436"/>
  <c r="K3436"/>
  <c r="N3436"/>
  <c r="W3436"/>
  <c r="H3437"/>
  <c r="I3437"/>
  <c r="K3437"/>
  <c r="N3437"/>
  <c r="W3437"/>
  <c r="H3438"/>
  <c r="I3438"/>
  <c r="K3438"/>
  <c r="N3438"/>
  <c r="W3438"/>
  <c r="H3439"/>
  <c r="I3439"/>
  <c r="K3439"/>
  <c r="N3439"/>
  <c r="W3439"/>
  <c r="H3440"/>
  <c r="I3440"/>
  <c r="K3440"/>
  <c r="N3440"/>
  <c r="W3440"/>
  <c r="H3441"/>
  <c r="I3441"/>
  <c r="K3441"/>
  <c r="N3441"/>
  <c r="W3441"/>
  <c r="H3442"/>
  <c r="I3442"/>
  <c r="K3442"/>
  <c r="N3442"/>
  <c r="W3442"/>
  <c r="H3443"/>
  <c r="I3443"/>
  <c r="K3443"/>
  <c r="N3443"/>
  <c r="W3443"/>
  <c r="H3444"/>
  <c r="I3444"/>
  <c r="K3444"/>
  <c r="N3444"/>
  <c r="W3444"/>
  <c r="H3445"/>
  <c r="I3445"/>
  <c r="K3445"/>
  <c r="N3445"/>
  <c r="W3445"/>
  <c r="H3446"/>
  <c r="I3446"/>
  <c r="K3446"/>
  <c r="N3446"/>
  <c r="W3446"/>
  <c r="H3447"/>
  <c r="I3447"/>
  <c r="K3447"/>
  <c r="N3447"/>
  <c r="W3447"/>
  <c r="H3448"/>
  <c r="I3448"/>
  <c r="K3448"/>
  <c r="N3448"/>
  <c r="W3448"/>
  <c r="H3449"/>
  <c r="I3449"/>
  <c r="K3449"/>
  <c r="N3449"/>
  <c r="W3449"/>
  <c r="H3450"/>
  <c r="I3450"/>
  <c r="K3450"/>
  <c r="N3450"/>
  <c r="W3450"/>
  <c r="H3451"/>
  <c r="I3451"/>
  <c r="K3451"/>
  <c r="N3451"/>
  <c r="W3451"/>
  <c r="H3452"/>
  <c r="I3452"/>
  <c r="K3452"/>
  <c r="N3452"/>
  <c r="W3452"/>
  <c r="H3453"/>
  <c r="I3453"/>
  <c r="K3453"/>
  <c r="N3453"/>
  <c r="W3453"/>
  <c r="H3454"/>
  <c r="I3454"/>
  <c r="K3454"/>
  <c r="N3454"/>
  <c r="W3454"/>
  <c r="H3455"/>
  <c r="I3455"/>
  <c r="K3455"/>
  <c r="N3455"/>
  <c r="W3455"/>
  <c r="H3456"/>
  <c r="I3456"/>
  <c r="K3456"/>
  <c r="N3456"/>
  <c r="W3456"/>
  <c r="H3457"/>
  <c r="I3457"/>
  <c r="K3457"/>
  <c r="N3457"/>
  <c r="W3457"/>
  <c r="H3458"/>
  <c r="I3458"/>
  <c r="K3458"/>
  <c r="N3458"/>
  <c r="W3458"/>
  <c r="H3459"/>
  <c r="I3459"/>
  <c r="K3459"/>
  <c r="N3459"/>
  <c r="W3459"/>
  <c r="H3460"/>
  <c r="I3460"/>
  <c r="K3460"/>
  <c r="N3460"/>
  <c r="W3460"/>
  <c r="H3461"/>
  <c r="I3461"/>
  <c r="K3461"/>
  <c r="N3461"/>
  <c r="W3461"/>
  <c r="H3462"/>
  <c r="I3462"/>
  <c r="K3462"/>
  <c r="N3462"/>
  <c r="W3462"/>
  <c r="H3463"/>
  <c r="I3463"/>
  <c r="K3463"/>
  <c r="N3463"/>
  <c r="W3463"/>
  <c r="H3464"/>
  <c r="I3464"/>
  <c r="K3464"/>
  <c r="N3464"/>
  <c r="W3464"/>
  <c r="H3465"/>
  <c r="I3465"/>
  <c r="K3465"/>
  <c r="N3465"/>
  <c r="W3465"/>
  <c r="H3466"/>
  <c r="I3466"/>
  <c r="K3466"/>
  <c r="N3466"/>
  <c r="W3466"/>
  <c r="H3467"/>
  <c r="I3467"/>
  <c r="K3467"/>
  <c r="N3467"/>
  <c r="W3467"/>
  <c r="H3468"/>
  <c r="I3468"/>
  <c r="K3468"/>
  <c r="N3468"/>
  <c r="W3468"/>
  <c r="H3469"/>
  <c r="I3469"/>
  <c r="K3469"/>
  <c r="N3469"/>
  <c r="W3469"/>
  <c r="H3470"/>
  <c r="I3470"/>
  <c r="K3470"/>
  <c r="N3470"/>
  <c r="W3470"/>
  <c r="H3471"/>
  <c r="I3471"/>
  <c r="K3471"/>
  <c r="N3471"/>
  <c r="W3471"/>
  <c r="H3472"/>
  <c r="I3472"/>
  <c r="K3472"/>
  <c r="N3472"/>
  <c r="W3472"/>
  <c r="H3473"/>
  <c r="I3473"/>
  <c r="K3473"/>
  <c r="N3473"/>
  <c r="W3473"/>
  <c r="H3474"/>
  <c r="I3474"/>
  <c r="K3474"/>
  <c r="N3474"/>
  <c r="W3474"/>
  <c r="H3475"/>
  <c r="I3475"/>
  <c r="K3475"/>
  <c r="N3475"/>
  <c r="W3475"/>
  <c r="H3476"/>
  <c r="I3476"/>
  <c r="K3476"/>
  <c r="N3476"/>
  <c r="W3476"/>
  <c r="H3477"/>
  <c r="I3477"/>
  <c r="K3477"/>
  <c r="N3477"/>
  <c r="W3477"/>
  <c r="H3478"/>
  <c r="I3478"/>
  <c r="K3478"/>
  <c r="N3478"/>
  <c r="W3478"/>
  <c r="H3479"/>
  <c r="I3479"/>
  <c r="K3479"/>
  <c r="N3479"/>
  <c r="W3479"/>
  <c r="H3480"/>
  <c r="I3480"/>
  <c r="K3480"/>
  <c r="N3480"/>
  <c r="W3480"/>
  <c r="H3481"/>
  <c r="I3481"/>
  <c r="K3481"/>
  <c r="N3481"/>
  <c r="W3481"/>
  <c r="H3482"/>
  <c r="I3482"/>
  <c r="K3482"/>
  <c r="N3482"/>
  <c r="W3482"/>
  <c r="H3483"/>
  <c r="I3483"/>
  <c r="K3483"/>
  <c r="N3483"/>
  <c r="W3483"/>
  <c r="H3484"/>
  <c r="I3484"/>
  <c r="K3484"/>
  <c r="N3484"/>
  <c r="W3484"/>
  <c r="H3485"/>
  <c r="I3485"/>
  <c r="K3485"/>
  <c r="N3485"/>
  <c r="W3485"/>
  <c r="H3486"/>
  <c r="I3486"/>
  <c r="K3486"/>
  <c r="N3486"/>
  <c r="W3486"/>
  <c r="H3487"/>
  <c r="I3487"/>
  <c r="K3487"/>
  <c r="N3487"/>
  <c r="W3487"/>
  <c r="H3488"/>
  <c r="I3488"/>
  <c r="K3488"/>
  <c r="N3488"/>
  <c r="W3488"/>
  <c r="H3489"/>
  <c r="I3489"/>
  <c r="K3489"/>
  <c r="N3489"/>
  <c r="W3489"/>
  <c r="H3490"/>
  <c r="I3490"/>
  <c r="K3490"/>
  <c r="N3490"/>
  <c r="W3490"/>
  <c r="H3491"/>
  <c r="I3491"/>
  <c r="K3491"/>
  <c r="N3491"/>
  <c r="W3491"/>
  <c r="H3492"/>
  <c r="I3492"/>
  <c r="K3492"/>
  <c r="N3492"/>
  <c r="W3492"/>
  <c r="H3493"/>
  <c r="I3493"/>
  <c r="K3493"/>
  <c r="N3493"/>
  <c r="W3493"/>
  <c r="H3494"/>
  <c r="I3494"/>
  <c r="K3494"/>
  <c r="N3494"/>
  <c r="W3494"/>
  <c r="H3495"/>
  <c r="I3495"/>
  <c r="K3495"/>
  <c r="N3495"/>
  <c r="W3495"/>
  <c r="H3496"/>
  <c r="I3496"/>
  <c r="K3496"/>
  <c r="N3496"/>
  <c r="W3496"/>
  <c r="H3497"/>
  <c r="I3497"/>
  <c r="K3497"/>
  <c r="N3497"/>
  <c r="W3497"/>
  <c r="H3498"/>
  <c r="I3498"/>
  <c r="K3498"/>
  <c r="N3498"/>
  <c r="W3498"/>
  <c r="H3499"/>
  <c r="I3499"/>
  <c r="K3499"/>
  <c r="N3499"/>
  <c r="W3499"/>
  <c r="H3500"/>
  <c r="I3500"/>
  <c r="K3500"/>
  <c r="N3500"/>
  <c r="W3500"/>
  <c r="H3501"/>
  <c r="I3501"/>
  <c r="K3501"/>
  <c r="N3501"/>
  <c r="W3501"/>
  <c r="H3502"/>
  <c r="I3502"/>
  <c r="K3502"/>
  <c r="N3502"/>
  <c r="W3502"/>
  <c r="H3503"/>
  <c r="I3503"/>
  <c r="K3503"/>
  <c r="N3503"/>
  <c r="W3503"/>
  <c r="H3504"/>
  <c r="I3504"/>
  <c r="K3504"/>
  <c r="N3504"/>
  <c r="W3504"/>
  <c r="H3505"/>
  <c r="I3505"/>
  <c r="K3505"/>
  <c r="N3505"/>
  <c r="W3505"/>
  <c r="H3506"/>
  <c r="I3506"/>
  <c r="K3506"/>
  <c r="N3506"/>
  <c r="W3506"/>
  <c r="H3507"/>
  <c r="I3507"/>
  <c r="K3507"/>
  <c r="N3507"/>
  <c r="W3507"/>
  <c r="H3508"/>
  <c r="I3508"/>
  <c r="K3508"/>
  <c r="N3508"/>
  <c r="W3508"/>
  <c r="H3509"/>
  <c r="I3509"/>
  <c r="K3509"/>
  <c r="N3509"/>
  <c r="W3509"/>
  <c r="H3510"/>
  <c r="I3510"/>
  <c r="K3510"/>
  <c r="N3510"/>
  <c r="W3510"/>
  <c r="H3511"/>
  <c r="I3511"/>
  <c r="K3511"/>
  <c r="N3511"/>
  <c r="W3511"/>
  <c r="H3512"/>
  <c r="I3512"/>
  <c r="K3512"/>
  <c r="N3512"/>
  <c r="W3512"/>
  <c r="H3513"/>
  <c r="I3513"/>
  <c r="K3513"/>
  <c r="N3513"/>
  <c r="W3513"/>
  <c r="H3514"/>
  <c r="I3514"/>
  <c r="K3514"/>
  <c r="N3514"/>
  <c r="W3514"/>
  <c r="H3515"/>
  <c r="I3515"/>
  <c r="K3515"/>
  <c r="N3515"/>
  <c r="W3515"/>
  <c r="H3516"/>
  <c r="I3516"/>
  <c r="K3516"/>
  <c r="N3516"/>
  <c r="W3516"/>
  <c r="H3517"/>
  <c r="I3517"/>
  <c r="K3517"/>
  <c r="N3517"/>
  <c r="W3517"/>
  <c r="H3518"/>
  <c r="I3518"/>
  <c r="K3518"/>
  <c r="N3518"/>
  <c r="W3518"/>
  <c r="H3519"/>
  <c r="I3519"/>
  <c r="K3519"/>
  <c r="N3519"/>
  <c r="W3519"/>
  <c r="H3520"/>
  <c r="I3520"/>
  <c r="K3520"/>
  <c r="N3520"/>
  <c r="W3520"/>
  <c r="H3521"/>
  <c r="I3521"/>
  <c r="K3521"/>
  <c r="N3521"/>
  <c r="W3521"/>
  <c r="H3522"/>
  <c r="I3522"/>
  <c r="K3522"/>
  <c r="N3522"/>
  <c r="W3522"/>
  <c r="H3523"/>
  <c r="I3523"/>
  <c r="K3523"/>
  <c r="N3523"/>
  <c r="W3523"/>
  <c r="H3524"/>
  <c r="I3524"/>
  <c r="K3524"/>
  <c r="N3524"/>
  <c r="W3524"/>
  <c r="H3525"/>
  <c r="I3525"/>
  <c r="K3525"/>
  <c r="N3525"/>
  <c r="W3525"/>
  <c r="H3526"/>
  <c r="I3526"/>
  <c r="K3526"/>
  <c r="N3526"/>
  <c r="W3526"/>
  <c r="H3527"/>
  <c r="I3527"/>
  <c r="K3527"/>
  <c r="N3527"/>
  <c r="W3527"/>
  <c r="H3528"/>
  <c r="I3528"/>
  <c r="K3528"/>
  <c r="N3528"/>
  <c r="W3528"/>
  <c r="H3529"/>
  <c r="I3529"/>
  <c r="K3529"/>
  <c r="N3529"/>
  <c r="W3529"/>
  <c r="H3530"/>
  <c r="I3530"/>
  <c r="K3530"/>
  <c r="N3530"/>
  <c r="W3530"/>
  <c r="H3531"/>
  <c r="I3531"/>
  <c r="K3531"/>
  <c r="N3531"/>
  <c r="W3531"/>
  <c r="H3532"/>
  <c r="I3532"/>
  <c r="K3532"/>
  <c r="N3532"/>
  <c r="W3532"/>
  <c r="H3533"/>
  <c r="I3533"/>
  <c r="K3533"/>
  <c r="N3533"/>
  <c r="W3533"/>
  <c r="H3534"/>
  <c r="I3534"/>
  <c r="K3534"/>
  <c r="N3534"/>
  <c r="W3534"/>
  <c r="H3535"/>
  <c r="I3535"/>
  <c r="K3535"/>
  <c r="N3535"/>
  <c r="W3535"/>
  <c r="H3536"/>
  <c r="I3536"/>
  <c r="K3536"/>
  <c r="N3536"/>
  <c r="W3536"/>
  <c r="H3537"/>
  <c r="I3537"/>
  <c r="K3537"/>
  <c r="N3537"/>
  <c r="W3537"/>
  <c r="H3538"/>
  <c r="I3538"/>
  <c r="K3538"/>
  <c r="N3538"/>
  <c r="W3538"/>
  <c r="H3539"/>
  <c r="I3539"/>
  <c r="K3539"/>
  <c r="N3539"/>
  <c r="W3539"/>
  <c r="H3540"/>
  <c r="I3540"/>
  <c r="K3540"/>
  <c r="N3540"/>
  <c r="W3540"/>
  <c r="H3541"/>
  <c r="I3541"/>
  <c r="K3541"/>
  <c r="N3541"/>
  <c r="W3541"/>
  <c r="H3542"/>
  <c r="I3542"/>
  <c r="K3542"/>
  <c r="N3542"/>
  <c r="W3542"/>
  <c r="H3543"/>
  <c r="I3543"/>
  <c r="K3543"/>
  <c r="N3543"/>
  <c r="W3543"/>
  <c r="H3544"/>
  <c r="I3544"/>
  <c r="K3544"/>
  <c r="N3544"/>
  <c r="W3544"/>
  <c r="H3545"/>
  <c r="I3545"/>
  <c r="K3545"/>
  <c r="N3545"/>
  <c r="W3545"/>
  <c r="H3546"/>
  <c r="I3546"/>
  <c r="K3546"/>
  <c r="N3546"/>
  <c r="W3546"/>
  <c r="H3547"/>
  <c r="I3547"/>
  <c r="K3547"/>
  <c r="N3547"/>
  <c r="W3547"/>
  <c r="H3548"/>
  <c r="I3548"/>
  <c r="K3548"/>
  <c r="N3548"/>
  <c r="W3548"/>
  <c r="H3549"/>
  <c r="I3549"/>
  <c r="K3549"/>
  <c r="N3549"/>
  <c r="W3549"/>
  <c r="H3550"/>
  <c r="I3550"/>
  <c r="K3550"/>
  <c r="N3550"/>
  <c r="W3550"/>
  <c r="H3551"/>
  <c r="I3551"/>
  <c r="K3551"/>
  <c r="N3551"/>
  <c r="W3551"/>
  <c r="H3552"/>
  <c r="I3552"/>
  <c r="K3552"/>
  <c r="N3552"/>
  <c r="W3552"/>
  <c r="H3553"/>
  <c r="I3553"/>
  <c r="K3553"/>
  <c r="N3553"/>
  <c r="W3553"/>
  <c r="H3554"/>
  <c r="I3554"/>
  <c r="K3554"/>
  <c r="N3554"/>
  <c r="W3554"/>
  <c r="H3555"/>
  <c r="I3555"/>
  <c r="K3555"/>
  <c r="N3555"/>
  <c r="W3555"/>
  <c r="H3556"/>
  <c r="I3556"/>
  <c r="K3556"/>
  <c r="N3556"/>
  <c r="W3556"/>
  <c r="H3557"/>
  <c r="I3557"/>
  <c r="K3557"/>
  <c r="N3557"/>
  <c r="W3557"/>
  <c r="H3558"/>
  <c r="I3558"/>
  <c r="K3558"/>
  <c r="N3558"/>
  <c r="W3558"/>
  <c r="H3559"/>
  <c r="I3559"/>
  <c r="K3559"/>
  <c r="N3559"/>
  <c r="W3559"/>
  <c r="H3560"/>
  <c r="I3560"/>
  <c r="K3560"/>
  <c r="N3560"/>
  <c r="W3560"/>
  <c r="H3561"/>
  <c r="I3561"/>
  <c r="K3561"/>
  <c r="N3561"/>
  <c r="W3561"/>
  <c r="H3562"/>
  <c r="I3562"/>
  <c r="K3562"/>
  <c r="N3562"/>
  <c r="W3562"/>
  <c r="H3563"/>
  <c r="I3563"/>
  <c r="K3563"/>
  <c r="N3563"/>
  <c r="W3563"/>
  <c r="H3564"/>
  <c r="I3564"/>
  <c r="K3564"/>
  <c r="N3564"/>
  <c r="W3564"/>
  <c r="H3565"/>
  <c r="I3565"/>
  <c r="K3565"/>
  <c r="N3565"/>
  <c r="W3565"/>
  <c r="H3566"/>
  <c r="I3566"/>
  <c r="K3566"/>
  <c r="N3566"/>
  <c r="W3566"/>
  <c r="H3567"/>
  <c r="I3567"/>
  <c r="K3567"/>
  <c r="N3567"/>
  <c r="W3567"/>
  <c r="H3568"/>
  <c r="I3568"/>
  <c r="K3568"/>
  <c r="N3568"/>
  <c r="W3568"/>
  <c r="H3569"/>
  <c r="I3569"/>
  <c r="K3569"/>
  <c r="N3569"/>
  <c r="W3569"/>
  <c r="H3570"/>
  <c r="I3570"/>
  <c r="K3570"/>
  <c r="N3570"/>
  <c r="W3570"/>
  <c r="H3571"/>
  <c r="I3571"/>
  <c r="K3571"/>
  <c r="N3571"/>
  <c r="W3571"/>
  <c r="H3572"/>
  <c r="I3572"/>
  <c r="K3572"/>
  <c r="N3572"/>
  <c r="W3572"/>
  <c r="H3573"/>
  <c r="I3573"/>
  <c r="K3573"/>
  <c r="N3573"/>
  <c r="W3573"/>
  <c r="H3574"/>
  <c r="I3574"/>
  <c r="K3574"/>
  <c r="N3574"/>
  <c r="W3574"/>
  <c r="H3575"/>
  <c r="I3575"/>
  <c r="K3575"/>
  <c r="N3575"/>
  <c r="W3575"/>
  <c r="H3576"/>
  <c r="I3576"/>
  <c r="K3576"/>
  <c r="N3576"/>
  <c r="W3576"/>
  <c r="H3577"/>
  <c r="I3577"/>
  <c r="K3577"/>
  <c r="N3577"/>
  <c r="W3577"/>
  <c r="H3578"/>
  <c r="I3578"/>
  <c r="K3578"/>
  <c r="N3578"/>
  <c r="W3578"/>
  <c r="H3579"/>
  <c r="I3579"/>
  <c r="K3579"/>
  <c r="N3579"/>
  <c r="W3579"/>
  <c r="H3580"/>
  <c r="I3580"/>
  <c r="K3580"/>
  <c r="N3580"/>
  <c r="W3580"/>
  <c r="H3581"/>
  <c r="I3581"/>
  <c r="K3581"/>
  <c r="N3581"/>
  <c r="W3581"/>
  <c r="H3582"/>
  <c r="I3582"/>
  <c r="K3582"/>
  <c r="N3582"/>
  <c r="W3582"/>
  <c r="H3583"/>
  <c r="I3583"/>
  <c r="K3583"/>
  <c r="N3583"/>
  <c r="W3583"/>
  <c r="H3584"/>
  <c r="I3584"/>
  <c r="K3584"/>
  <c r="N3584"/>
  <c r="W3584"/>
  <c r="H3585"/>
  <c r="I3585"/>
  <c r="K3585"/>
  <c r="N3585"/>
  <c r="W3585"/>
  <c r="H3586"/>
  <c r="I3586"/>
  <c r="K3586"/>
  <c r="N3586"/>
  <c r="W3586"/>
  <c r="H3587"/>
  <c r="I3587"/>
  <c r="K3587"/>
  <c r="N3587"/>
  <c r="W3587"/>
  <c r="H3588"/>
  <c r="I3588"/>
  <c r="K3588"/>
  <c r="N3588"/>
  <c r="W3588"/>
  <c r="H3589"/>
  <c r="I3589"/>
  <c r="K3589"/>
  <c r="N3589"/>
  <c r="W3589"/>
  <c r="H3590"/>
  <c r="I3590"/>
  <c r="K3590"/>
  <c r="N3590"/>
  <c r="W3590"/>
  <c r="H3591"/>
  <c r="I3591"/>
  <c r="K3591"/>
  <c r="N3591"/>
  <c r="W3591"/>
  <c r="H3592"/>
  <c r="I3592"/>
  <c r="K3592"/>
  <c r="N3592"/>
  <c r="W3592"/>
  <c r="H3593"/>
  <c r="I3593"/>
  <c r="K3593"/>
  <c r="N3593"/>
  <c r="W3593"/>
  <c r="H3594"/>
  <c r="I3594"/>
  <c r="K3594"/>
  <c r="N3594"/>
  <c r="W3594"/>
  <c r="H3595"/>
  <c r="I3595"/>
  <c r="K3595"/>
  <c r="N3595"/>
  <c r="W3595"/>
  <c r="H3596"/>
  <c r="I3596"/>
  <c r="K3596"/>
  <c r="N3596"/>
  <c r="W3596"/>
  <c r="H3597"/>
  <c r="I3597"/>
  <c r="K3597"/>
  <c r="N3597"/>
  <c r="W3597"/>
  <c r="H3598"/>
  <c r="I3598"/>
  <c r="K3598"/>
  <c r="N3598"/>
  <c r="W3598"/>
  <c r="H3599"/>
  <c r="I3599"/>
  <c r="K3599"/>
  <c r="N3599"/>
  <c r="W3599"/>
  <c r="H3600"/>
  <c r="I3600"/>
  <c r="K3600"/>
  <c r="N3600"/>
  <c r="W3600"/>
  <c r="H3601"/>
  <c r="I3601"/>
  <c r="K3601"/>
  <c r="N3601"/>
  <c r="W3601"/>
  <c r="H3602"/>
  <c r="I3602"/>
  <c r="K3602"/>
  <c r="N3602"/>
  <c r="W3602"/>
  <c r="H3603"/>
  <c r="I3603"/>
  <c r="K3603"/>
  <c r="N3603"/>
  <c r="W3603"/>
  <c r="H3604"/>
  <c r="I3604"/>
  <c r="K3604"/>
  <c r="N3604"/>
  <c r="W3604"/>
  <c r="H3605"/>
  <c r="I3605"/>
  <c r="K3605"/>
  <c r="N3605"/>
  <c r="W3605"/>
  <c r="H3606"/>
  <c r="I3606"/>
  <c r="K3606"/>
  <c r="N3606"/>
  <c r="W3606"/>
  <c r="H3607"/>
  <c r="I3607"/>
  <c r="K3607"/>
  <c r="N3607"/>
  <c r="W3607"/>
  <c r="H3608"/>
  <c r="I3608"/>
  <c r="K3608"/>
  <c r="N3608"/>
  <c r="W3608"/>
  <c r="H3609"/>
  <c r="I3609"/>
  <c r="K3609"/>
  <c r="N3609"/>
  <c r="W3609"/>
  <c r="H3610"/>
  <c r="I3610"/>
  <c r="K3610"/>
  <c r="N3610"/>
  <c r="W3610"/>
  <c r="H3611"/>
  <c r="I3611"/>
  <c r="K3611"/>
  <c r="N3611"/>
  <c r="W3611"/>
  <c r="H3612"/>
  <c r="I3612"/>
  <c r="K3612"/>
  <c r="N3612"/>
  <c r="W3612"/>
  <c r="H3613"/>
  <c r="I3613"/>
  <c r="K3613"/>
  <c r="N3613"/>
  <c r="W3613"/>
  <c r="H3614"/>
  <c r="I3614"/>
  <c r="K3614"/>
  <c r="N3614"/>
  <c r="W3614"/>
  <c r="H3615"/>
  <c r="I3615"/>
  <c r="K3615"/>
  <c r="N3615"/>
  <c r="W3615"/>
  <c r="H3616"/>
  <c r="I3616"/>
  <c r="K3616"/>
  <c r="N3616"/>
  <c r="W3616"/>
  <c r="H3617"/>
  <c r="I3617"/>
  <c r="K3617"/>
  <c r="N3617"/>
  <c r="W3617"/>
  <c r="H3618"/>
  <c r="I3618"/>
  <c r="K3618"/>
  <c r="N3618"/>
  <c r="W3618"/>
  <c r="H3619"/>
  <c r="I3619"/>
  <c r="K3619"/>
  <c r="N3619"/>
  <c r="W3619"/>
  <c r="H3620"/>
  <c r="I3620"/>
  <c r="K3620"/>
  <c r="N3620"/>
  <c r="W3620"/>
  <c r="H3621"/>
  <c r="I3621"/>
  <c r="K3621"/>
  <c r="N3621"/>
  <c r="W3621"/>
  <c r="H3622"/>
  <c r="I3622"/>
  <c r="K3622"/>
  <c r="N3622"/>
  <c r="W3622"/>
  <c r="H3623"/>
  <c r="I3623"/>
  <c r="K3623"/>
  <c r="N3623"/>
  <c r="W3623"/>
  <c r="H3624"/>
  <c r="I3624"/>
  <c r="K3624"/>
  <c r="N3624"/>
  <c r="W3624"/>
  <c r="H3625"/>
  <c r="I3625"/>
  <c r="K3625"/>
  <c r="N3625"/>
  <c r="W3625"/>
  <c r="H3626"/>
  <c r="I3626"/>
  <c r="K3626"/>
  <c r="N3626"/>
  <c r="W3626"/>
  <c r="H3627"/>
  <c r="I3627"/>
  <c r="K3627"/>
  <c r="N3627"/>
  <c r="W3627"/>
  <c r="H3628"/>
  <c r="I3628"/>
  <c r="K3628"/>
  <c r="N3628"/>
  <c r="W3628"/>
  <c r="H3629"/>
  <c r="I3629"/>
  <c r="K3629"/>
  <c r="N3629"/>
  <c r="W3629"/>
  <c r="H3630"/>
  <c r="I3630"/>
  <c r="K3630"/>
  <c r="N3630"/>
  <c r="W3630"/>
  <c r="H3631"/>
  <c r="I3631"/>
  <c r="K3631"/>
  <c r="N3631"/>
  <c r="W3631"/>
  <c r="H3632"/>
  <c r="I3632"/>
  <c r="K3632"/>
  <c r="N3632"/>
  <c r="W3632"/>
  <c r="H3633"/>
  <c r="I3633"/>
  <c r="K3633"/>
  <c r="N3633"/>
  <c r="W3633"/>
  <c r="H3634"/>
  <c r="I3634"/>
  <c r="K3634"/>
  <c r="N3634"/>
  <c r="W3634"/>
  <c r="H3635"/>
  <c r="I3635"/>
  <c r="K3635"/>
  <c r="N3635"/>
  <c r="W3635"/>
  <c r="H3636"/>
  <c r="I3636"/>
  <c r="K3636"/>
  <c r="N3636"/>
  <c r="W3636"/>
  <c r="H3637"/>
  <c r="I3637"/>
  <c r="K3637"/>
  <c r="N3637"/>
  <c r="W3637"/>
  <c r="H3638"/>
  <c r="I3638"/>
  <c r="K3638"/>
  <c r="N3638"/>
  <c r="W3638"/>
  <c r="H3639"/>
  <c r="I3639"/>
  <c r="K3639"/>
  <c r="N3639"/>
  <c r="W3639"/>
  <c r="H3640"/>
  <c r="I3640"/>
  <c r="K3640"/>
  <c r="N3640"/>
  <c r="W3640"/>
  <c r="H3641"/>
  <c r="I3641"/>
  <c r="K3641"/>
  <c r="N3641"/>
  <c r="W3641"/>
  <c r="H3642"/>
  <c r="I3642"/>
  <c r="K3642"/>
  <c r="N3642"/>
  <c r="W3642"/>
  <c r="H3643"/>
  <c r="I3643"/>
  <c r="K3643"/>
  <c r="N3643"/>
  <c r="W3643"/>
  <c r="H3644"/>
  <c r="I3644"/>
  <c r="K3644"/>
  <c r="N3644"/>
  <c r="W3644"/>
  <c r="H3645"/>
  <c r="I3645"/>
  <c r="K3645"/>
  <c r="N3645"/>
  <c r="W3645"/>
  <c r="H3646"/>
  <c r="I3646"/>
  <c r="K3646"/>
  <c r="N3646"/>
  <c r="W3646"/>
  <c r="H3647"/>
  <c r="I3647"/>
  <c r="K3647"/>
  <c r="N3647"/>
  <c r="W3647"/>
  <c r="H3648"/>
  <c r="I3648"/>
  <c r="K3648"/>
  <c r="N3648"/>
  <c r="W3648"/>
  <c r="H3649"/>
  <c r="I3649"/>
  <c r="K3649"/>
  <c r="N3649"/>
  <c r="W3649"/>
  <c r="H3650"/>
  <c r="I3650"/>
  <c r="K3650"/>
  <c r="N3650"/>
  <c r="W3650"/>
  <c r="H3651"/>
  <c r="I3651"/>
  <c r="K3651"/>
  <c r="N3651"/>
  <c r="W3651"/>
  <c r="H3652"/>
  <c r="I3652"/>
  <c r="K3652"/>
  <c r="N3652"/>
  <c r="W3652"/>
  <c r="H3653"/>
  <c r="I3653"/>
  <c r="K3653"/>
  <c r="N3653"/>
  <c r="W3653"/>
  <c r="H3654"/>
  <c r="I3654"/>
  <c r="K3654"/>
  <c r="N3654"/>
  <c r="W3654"/>
  <c r="H3655"/>
  <c r="I3655"/>
  <c r="K3655"/>
  <c r="N3655"/>
  <c r="W3655"/>
  <c r="H3656"/>
  <c r="I3656"/>
  <c r="K3656"/>
  <c r="N3656"/>
  <c r="W3656"/>
  <c r="H3657"/>
  <c r="I3657"/>
  <c r="K3657"/>
  <c r="N3657"/>
  <c r="W3657"/>
  <c r="H3658"/>
  <c r="I3658"/>
  <c r="K3658"/>
  <c r="N3658"/>
  <c r="W3658"/>
  <c r="H3659"/>
  <c r="I3659"/>
  <c r="K3659"/>
  <c r="N3659"/>
  <c r="W3659"/>
  <c r="H3660"/>
  <c r="I3660"/>
  <c r="K3660"/>
  <c r="N3660"/>
  <c r="W3660"/>
  <c r="H3661"/>
  <c r="I3661"/>
  <c r="K3661"/>
  <c r="N3661"/>
  <c r="W3661"/>
  <c r="H3662"/>
  <c r="I3662"/>
  <c r="K3662"/>
  <c r="N3662"/>
  <c r="W3662"/>
  <c r="H3663"/>
  <c r="I3663"/>
  <c r="K3663"/>
  <c r="N3663"/>
  <c r="W3663"/>
  <c r="H3664"/>
  <c r="I3664"/>
  <c r="K3664"/>
  <c r="N3664"/>
  <c r="W3664"/>
  <c r="H3665"/>
  <c r="I3665"/>
  <c r="K3665"/>
  <c r="N3665"/>
  <c r="W3665"/>
  <c r="H3666"/>
  <c r="I3666"/>
  <c r="K3666"/>
  <c r="N3666"/>
  <c r="W3666"/>
  <c r="H3667"/>
  <c r="I3667"/>
  <c r="K3667"/>
  <c r="N3667"/>
  <c r="W3667"/>
  <c r="H3668"/>
  <c r="I3668"/>
  <c r="K3668"/>
  <c r="N3668"/>
  <c r="W3668"/>
  <c r="H3669"/>
  <c r="I3669"/>
  <c r="K3669"/>
  <c r="N3669"/>
  <c r="W3669"/>
  <c r="H3670"/>
  <c r="I3670"/>
  <c r="K3670"/>
  <c r="N3670"/>
  <c r="W3670"/>
  <c r="H3671"/>
  <c r="I3671"/>
  <c r="K3671"/>
  <c r="N3671"/>
  <c r="W3671"/>
  <c r="H3672"/>
  <c r="I3672"/>
  <c r="K3672"/>
  <c r="N3672"/>
  <c r="W3672"/>
  <c r="H3673"/>
  <c r="I3673"/>
  <c r="K3673"/>
  <c r="N3673"/>
  <c r="W3673"/>
  <c r="H3674"/>
  <c r="I3674"/>
  <c r="K3674"/>
  <c r="N3674"/>
  <c r="W3674"/>
  <c r="H3675"/>
  <c r="I3675"/>
  <c r="K3675"/>
  <c r="N3675"/>
  <c r="W3675"/>
  <c r="H3676"/>
  <c r="I3676"/>
  <c r="K3676"/>
  <c r="N3676"/>
  <c r="W3676"/>
  <c r="H3677"/>
  <c r="I3677"/>
  <c r="K3677"/>
  <c r="N3677"/>
  <c r="W3677"/>
  <c r="H3678"/>
  <c r="I3678"/>
  <c r="K3678"/>
  <c r="N3678"/>
  <c r="W3678"/>
  <c r="H3679"/>
  <c r="I3679"/>
  <c r="K3679"/>
  <c r="N3679"/>
  <c r="W3679"/>
  <c r="H3680"/>
  <c r="I3680"/>
  <c r="K3680"/>
  <c r="N3680"/>
  <c r="W3680"/>
  <c r="H3681"/>
  <c r="I3681"/>
  <c r="K3681"/>
  <c r="N3681"/>
  <c r="W3681"/>
  <c r="H3682"/>
  <c r="I3682"/>
  <c r="K3682"/>
  <c r="N3682"/>
  <c r="W3682"/>
  <c r="H3683"/>
  <c r="I3683"/>
  <c r="K3683"/>
  <c r="N3683"/>
  <c r="W3683"/>
  <c r="H3684"/>
  <c r="I3684"/>
  <c r="K3684"/>
  <c r="N3684"/>
  <c r="W3684"/>
  <c r="H3685"/>
  <c r="I3685"/>
  <c r="K3685"/>
  <c r="N3685"/>
  <c r="W3685"/>
  <c r="H3686"/>
  <c r="I3686"/>
  <c r="K3686"/>
  <c r="N3686"/>
  <c r="W3686"/>
  <c r="H3687"/>
  <c r="I3687"/>
  <c r="K3687"/>
  <c r="N3687"/>
  <c r="W3687"/>
  <c r="H3688"/>
  <c r="I3688"/>
  <c r="K3688"/>
  <c r="N3688"/>
  <c r="W3688"/>
  <c r="H3689"/>
  <c r="I3689"/>
  <c r="K3689"/>
  <c r="N3689"/>
  <c r="W3689"/>
  <c r="H3690"/>
  <c r="I3690"/>
  <c r="K3690"/>
  <c r="N3690"/>
  <c r="W3690"/>
  <c r="H3691"/>
  <c r="I3691"/>
  <c r="K3691"/>
  <c r="N3691"/>
  <c r="W3691"/>
  <c r="H3692"/>
  <c r="I3692"/>
  <c r="K3692"/>
  <c r="N3692"/>
  <c r="W3692"/>
  <c r="H3693"/>
  <c r="I3693"/>
  <c r="K3693"/>
  <c r="N3693"/>
  <c r="W3693"/>
  <c r="H3694"/>
  <c r="I3694"/>
  <c r="K3694"/>
  <c r="N3694"/>
  <c r="W3694"/>
  <c r="H3695"/>
  <c r="I3695"/>
  <c r="K3695"/>
  <c r="N3695"/>
  <c r="W3695"/>
  <c r="H3696"/>
  <c r="I3696"/>
  <c r="K3696"/>
  <c r="N3696"/>
  <c r="W3696"/>
  <c r="H3697"/>
  <c r="I3697"/>
  <c r="K3697"/>
  <c r="N3697"/>
  <c r="W3697"/>
  <c r="H3698"/>
  <c r="I3698"/>
  <c r="K3698"/>
  <c r="N3698"/>
  <c r="W3698"/>
  <c r="H3699"/>
  <c r="I3699"/>
  <c r="K3699"/>
  <c r="N3699"/>
  <c r="W3699"/>
  <c r="H3700"/>
  <c r="I3700"/>
  <c r="K3700"/>
  <c r="N3700"/>
  <c r="W3700"/>
  <c r="H3701"/>
  <c r="I3701"/>
  <c r="K3701"/>
  <c r="N3701"/>
  <c r="W3701"/>
  <c r="H3702"/>
  <c r="I3702"/>
  <c r="K3702"/>
  <c r="N3702"/>
  <c r="W3702"/>
  <c r="H3703"/>
  <c r="I3703"/>
  <c r="K3703"/>
  <c r="N3703"/>
  <c r="W3703"/>
  <c r="H3704"/>
  <c r="I3704"/>
  <c r="K3704"/>
  <c r="N3704"/>
  <c r="W3704"/>
  <c r="H3705"/>
  <c r="I3705"/>
  <c r="K3705"/>
  <c r="N3705"/>
  <c r="W3705"/>
  <c r="H3706"/>
  <c r="I3706"/>
  <c r="K3706"/>
  <c r="N3706"/>
  <c r="W3706"/>
  <c r="H3707"/>
  <c r="I3707"/>
  <c r="K3707"/>
  <c r="N3707"/>
  <c r="W3707"/>
  <c r="H3708"/>
  <c r="I3708"/>
  <c r="K3708"/>
  <c r="N3708"/>
  <c r="W3708"/>
  <c r="H3709"/>
  <c r="I3709"/>
  <c r="K3709"/>
  <c r="N3709"/>
  <c r="W3709"/>
  <c r="H3710"/>
  <c r="I3710"/>
  <c r="K3710"/>
  <c r="N3710"/>
  <c r="W3710"/>
  <c r="H3711"/>
  <c r="I3711"/>
  <c r="K3711"/>
  <c r="N3711"/>
  <c r="W3711"/>
  <c r="H3712"/>
  <c r="I3712"/>
  <c r="K3712"/>
  <c r="N3712"/>
  <c r="W3712"/>
  <c r="H3713"/>
  <c r="I3713"/>
  <c r="K3713"/>
  <c r="N3713"/>
  <c r="W3713"/>
  <c r="H3714"/>
  <c r="I3714"/>
  <c r="K3714"/>
  <c r="N3714"/>
  <c r="W3714"/>
  <c r="H3715"/>
  <c r="I3715"/>
  <c r="K3715"/>
  <c r="N3715"/>
  <c r="W3715"/>
  <c r="H3716"/>
  <c r="I3716"/>
  <c r="K3716"/>
  <c r="N3716"/>
  <c r="W3716"/>
  <c r="H3717"/>
  <c r="I3717"/>
  <c r="K3717"/>
  <c r="N3717"/>
  <c r="W3717"/>
  <c r="H3718"/>
  <c r="I3718"/>
  <c r="K3718"/>
  <c r="N3718"/>
  <c r="W3718"/>
  <c r="H3719"/>
  <c r="I3719"/>
  <c r="K3719"/>
  <c r="N3719"/>
  <c r="W3719"/>
  <c r="H3720"/>
  <c r="I3720"/>
  <c r="K3720"/>
  <c r="N3720"/>
  <c r="W3720"/>
  <c r="H3721"/>
  <c r="I3721"/>
  <c r="K3721"/>
  <c r="N3721"/>
  <c r="W3721"/>
  <c r="H3722"/>
  <c r="I3722"/>
  <c r="K3722"/>
  <c r="N3722"/>
  <c r="W3722"/>
  <c r="H3723"/>
  <c r="I3723"/>
  <c r="K3723"/>
  <c r="N3723"/>
  <c r="W3723"/>
  <c r="H3724"/>
  <c r="I3724"/>
  <c r="K3724"/>
  <c r="N3724"/>
  <c r="W3724"/>
  <c r="H3725"/>
  <c r="I3725"/>
  <c r="K3725"/>
  <c r="N3725"/>
  <c r="W3725"/>
  <c r="H3726"/>
  <c r="I3726"/>
  <c r="K3726"/>
  <c r="N3726"/>
  <c r="W3726"/>
  <c r="H3727"/>
  <c r="I3727"/>
  <c r="K3727"/>
  <c r="N3727"/>
  <c r="W3727"/>
  <c r="H3728"/>
  <c r="I3728"/>
  <c r="K3728"/>
  <c r="N3728"/>
  <c r="W3728"/>
  <c r="H3729"/>
  <c r="I3729"/>
  <c r="K3729"/>
  <c r="N3729"/>
  <c r="W3729"/>
  <c r="H3730"/>
  <c r="I3730"/>
  <c r="K3730"/>
  <c r="N3730"/>
  <c r="W3730"/>
  <c r="H3731"/>
  <c r="I3731"/>
  <c r="K3731"/>
  <c r="N3731"/>
  <c r="W3731"/>
  <c r="H3732"/>
  <c r="I3732"/>
  <c r="K3732"/>
  <c r="N3732"/>
  <c r="W3732"/>
  <c r="H3733"/>
  <c r="I3733"/>
  <c r="K3733"/>
  <c r="N3733"/>
  <c r="W3733"/>
  <c r="H3734"/>
  <c r="I3734"/>
  <c r="K3734"/>
  <c r="N3734"/>
  <c r="W3734"/>
  <c r="H3735"/>
  <c r="I3735"/>
  <c r="K3735"/>
  <c r="N3735"/>
  <c r="W3735"/>
  <c r="H3736"/>
  <c r="I3736"/>
  <c r="K3736"/>
  <c r="N3736"/>
  <c r="W3736"/>
  <c r="H3737"/>
  <c r="I3737"/>
  <c r="K3737"/>
  <c r="N3737"/>
  <c r="W3737"/>
  <c r="H3738"/>
  <c r="I3738"/>
  <c r="K3738"/>
  <c r="N3738"/>
  <c r="W3738"/>
  <c r="H3739"/>
  <c r="I3739"/>
  <c r="K3739"/>
  <c r="N3739"/>
  <c r="W3739"/>
  <c r="H3740"/>
  <c r="I3740"/>
  <c r="K3740"/>
  <c r="N3740"/>
  <c r="W3740"/>
  <c r="H3741"/>
  <c r="I3741"/>
  <c r="K3741"/>
  <c r="N3741"/>
  <c r="W3741"/>
  <c r="H3742"/>
  <c r="I3742"/>
  <c r="K3742"/>
  <c r="N3742"/>
  <c r="W3742"/>
  <c r="H3743"/>
  <c r="I3743"/>
  <c r="K3743"/>
  <c r="N3743"/>
  <c r="W3743"/>
  <c r="H3744"/>
  <c r="I3744"/>
  <c r="K3744"/>
  <c r="N3744"/>
  <c r="W3744"/>
  <c r="H3745"/>
  <c r="I3745"/>
  <c r="K3745"/>
  <c r="N3745"/>
  <c r="W3745"/>
  <c r="H3746"/>
  <c r="I3746"/>
  <c r="K3746"/>
  <c r="N3746"/>
  <c r="W3746"/>
  <c r="H3747"/>
  <c r="I3747"/>
  <c r="K3747"/>
  <c r="N3747"/>
  <c r="W3747"/>
  <c r="H3748"/>
  <c r="I3748"/>
  <c r="K3748"/>
  <c r="N3748"/>
  <c r="W3748"/>
  <c r="H3749"/>
  <c r="I3749"/>
  <c r="K3749"/>
  <c r="N3749"/>
  <c r="W3749"/>
  <c r="H3750"/>
  <c r="I3750"/>
  <c r="K3750"/>
  <c r="N3750"/>
  <c r="W3750"/>
  <c r="H3751"/>
  <c r="I3751"/>
  <c r="K3751"/>
  <c r="N3751"/>
  <c r="W3751"/>
  <c r="H3752"/>
  <c r="I3752"/>
  <c r="K3752"/>
  <c r="N3752"/>
  <c r="W3752"/>
  <c r="H3753"/>
  <c r="I3753"/>
  <c r="K3753"/>
  <c r="N3753"/>
  <c r="W3753"/>
  <c r="H3754"/>
  <c r="I3754"/>
  <c r="K3754"/>
  <c r="N3754"/>
  <c r="W3754"/>
  <c r="H3755"/>
  <c r="I3755"/>
  <c r="K3755"/>
  <c r="N3755"/>
  <c r="W3755"/>
  <c r="H3756"/>
  <c r="I3756"/>
  <c r="K3756"/>
  <c r="N3756"/>
  <c r="W3756"/>
  <c r="H3757"/>
  <c r="I3757"/>
  <c r="K3757"/>
  <c r="N3757"/>
  <c r="W3757"/>
  <c r="H3758"/>
  <c r="I3758"/>
  <c r="K3758"/>
  <c r="N3758"/>
  <c r="W3758"/>
  <c r="H3759"/>
  <c r="I3759"/>
  <c r="K3759"/>
  <c r="N3759"/>
  <c r="W3759"/>
  <c r="H3760"/>
  <c r="I3760"/>
  <c r="K3760"/>
  <c r="N3760"/>
  <c r="W3760"/>
  <c r="H3761"/>
  <c r="I3761"/>
  <c r="K3761"/>
  <c r="N3761"/>
  <c r="W3761"/>
  <c r="H3762"/>
  <c r="I3762"/>
  <c r="K3762"/>
  <c r="N3762"/>
  <c r="W3762"/>
  <c r="H3763"/>
  <c r="I3763"/>
  <c r="K3763"/>
  <c r="N3763"/>
  <c r="W3763"/>
  <c r="H3764"/>
  <c r="I3764"/>
  <c r="K3764"/>
  <c r="N3764"/>
  <c r="W3764"/>
  <c r="H3765"/>
  <c r="I3765"/>
  <c r="K3765"/>
  <c r="N3765"/>
  <c r="W3765"/>
  <c r="H3766"/>
  <c r="I3766"/>
  <c r="K3766"/>
  <c r="N3766"/>
  <c r="W3766"/>
  <c r="H3767"/>
  <c r="I3767"/>
  <c r="K3767"/>
  <c r="N3767"/>
  <c r="W3767"/>
  <c r="H3768"/>
  <c r="I3768"/>
  <c r="K3768"/>
  <c r="N3768"/>
  <c r="W3768"/>
  <c r="H3769"/>
  <c r="I3769"/>
  <c r="K3769"/>
  <c r="N3769"/>
  <c r="W3769"/>
  <c r="H3770"/>
  <c r="I3770"/>
  <c r="K3770"/>
  <c r="N3770"/>
  <c r="W3770"/>
  <c r="H3771"/>
  <c r="I3771"/>
  <c r="K3771"/>
  <c r="N3771"/>
  <c r="W3771"/>
  <c r="H3772"/>
  <c r="I3772"/>
  <c r="K3772"/>
  <c r="N3772"/>
  <c r="W3772"/>
  <c r="H3773"/>
  <c r="I3773"/>
  <c r="K3773"/>
  <c r="N3773"/>
  <c r="W3773"/>
  <c r="H3774"/>
  <c r="I3774"/>
  <c r="K3774"/>
  <c r="N3774"/>
  <c r="W3774"/>
  <c r="H3775"/>
  <c r="I3775"/>
  <c r="K3775"/>
  <c r="N3775"/>
  <c r="W3775"/>
  <c r="H3776"/>
  <c r="I3776"/>
  <c r="K3776"/>
  <c r="N3776"/>
  <c r="W3776"/>
  <c r="H3777"/>
  <c r="I3777"/>
  <c r="K3777"/>
  <c r="N3777"/>
  <c r="W3777"/>
  <c r="H3778"/>
  <c r="I3778"/>
  <c r="K3778"/>
  <c r="N3778"/>
  <c r="W3778"/>
  <c r="H3779"/>
  <c r="I3779"/>
  <c r="K3779"/>
  <c r="N3779"/>
  <c r="W3779"/>
  <c r="H3780"/>
  <c r="I3780"/>
  <c r="K3780"/>
  <c r="N3780"/>
  <c r="W3780"/>
  <c r="H3781"/>
  <c r="I3781"/>
  <c r="K3781"/>
  <c r="N3781"/>
  <c r="W3781"/>
  <c r="H3782"/>
  <c r="I3782"/>
  <c r="K3782"/>
  <c r="N3782"/>
  <c r="W3782"/>
  <c r="H3783"/>
  <c r="I3783"/>
  <c r="K3783"/>
  <c r="N3783"/>
  <c r="W3783"/>
  <c r="H3784"/>
  <c r="I3784"/>
  <c r="K3784"/>
  <c r="N3784"/>
  <c r="W3784"/>
  <c r="H3785"/>
  <c r="I3785"/>
  <c r="K3785"/>
  <c r="N3785"/>
  <c r="W3785"/>
  <c r="H3786"/>
  <c r="I3786"/>
  <c r="K3786"/>
  <c r="N3786"/>
  <c r="W3786"/>
  <c r="H3787"/>
  <c r="I3787"/>
  <c r="K3787"/>
  <c r="N3787"/>
  <c r="W3787"/>
  <c r="H3788"/>
  <c r="I3788"/>
  <c r="K3788"/>
  <c r="N3788"/>
  <c r="W3788"/>
  <c r="H3789"/>
  <c r="I3789"/>
  <c r="K3789"/>
  <c r="N3789"/>
  <c r="W3789"/>
  <c r="H3790"/>
  <c r="I3790"/>
  <c r="K3790"/>
  <c r="N3790"/>
  <c r="W3790"/>
  <c r="H3791"/>
  <c r="I3791"/>
  <c r="K3791"/>
  <c r="N3791"/>
  <c r="W3791"/>
  <c r="H3792"/>
  <c r="I3792"/>
  <c r="K3792"/>
  <c r="N3792"/>
  <c r="W3792"/>
  <c r="H3793"/>
  <c r="I3793"/>
  <c r="K3793"/>
  <c r="N3793"/>
  <c r="W3793"/>
  <c r="H3794"/>
  <c r="I3794"/>
  <c r="K3794"/>
  <c r="N3794"/>
  <c r="W3794"/>
  <c r="H3795"/>
  <c r="I3795"/>
  <c r="K3795"/>
  <c r="N3795"/>
  <c r="W3795"/>
  <c r="H3796"/>
  <c r="I3796"/>
  <c r="K3796"/>
  <c r="N3796"/>
  <c r="W3796"/>
  <c r="H3797"/>
  <c r="I3797"/>
  <c r="K3797"/>
  <c r="N3797"/>
  <c r="W3797"/>
  <c r="H3798"/>
  <c r="I3798"/>
  <c r="K3798"/>
  <c r="N3798"/>
  <c r="W3798"/>
  <c r="H3799"/>
  <c r="I3799"/>
  <c r="K3799"/>
  <c r="N3799"/>
  <c r="W3799"/>
  <c r="H3800"/>
  <c r="I3800"/>
  <c r="K3800"/>
  <c r="N3800"/>
  <c r="W3800"/>
  <c r="H3801"/>
  <c r="I3801"/>
  <c r="K3801"/>
  <c r="N3801"/>
  <c r="W3801"/>
  <c r="H3802"/>
  <c r="I3802"/>
  <c r="K3802"/>
  <c r="N3802"/>
  <c r="W3802"/>
  <c r="H3803"/>
  <c r="I3803"/>
  <c r="K3803"/>
  <c r="N3803"/>
  <c r="W3803"/>
  <c r="H3804"/>
  <c r="I3804"/>
  <c r="K3804"/>
  <c r="N3804"/>
  <c r="W3804"/>
  <c r="H3805"/>
  <c r="I3805"/>
  <c r="K3805"/>
  <c r="N3805"/>
  <c r="W3805"/>
  <c r="H3806"/>
  <c r="I3806"/>
  <c r="K3806"/>
  <c r="N3806"/>
  <c r="W3806"/>
  <c r="H3807"/>
  <c r="I3807"/>
  <c r="K3807"/>
  <c r="N3807"/>
  <c r="W3807"/>
  <c r="H3808"/>
  <c r="I3808"/>
  <c r="K3808"/>
  <c r="N3808"/>
  <c r="W3808"/>
  <c r="H3809"/>
  <c r="I3809"/>
  <c r="K3809"/>
  <c r="N3809"/>
  <c r="W3809"/>
  <c r="H3810"/>
  <c r="I3810"/>
  <c r="K3810"/>
  <c r="N3810"/>
  <c r="W3810"/>
  <c r="H3811"/>
  <c r="I3811"/>
  <c r="K3811"/>
  <c r="N3811"/>
  <c r="W3811"/>
  <c r="H3812"/>
  <c r="I3812"/>
  <c r="K3812"/>
  <c r="N3812"/>
  <c r="W3812"/>
  <c r="H3813"/>
  <c r="I3813"/>
  <c r="K3813"/>
  <c r="N3813"/>
  <c r="W3813"/>
  <c r="H3814"/>
  <c r="I3814"/>
  <c r="K3814"/>
  <c r="N3814"/>
  <c r="W3814"/>
  <c r="H3815"/>
  <c r="I3815"/>
  <c r="K3815"/>
  <c r="N3815"/>
  <c r="W3815"/>
  <c r="H3816"/>
  <c r="I3816"/>
  <c r="K3816"/>
  <c r="N3816"/>
  <c r="W3816"/>
  <c r="H3817"/>
  <c r="I3817"/>
  <c r="K3817"/>
  <c r="N3817"/>
  <c r="W3817"/>
  <c r="H3818"/>
  <c r="I3818"/>
  <c r="K3818"/>
  <c r="N3818"/>
  <c r="W3818"/>
  <c r="H3819"/>
  <c r="I3819"/>
  <c r="K3819"/>
  <c r="N3819"/>
  <c r="W3819"/>
  <c r="H3820"/>
  <c r="I3820"/>
  <c r="K3820"/>
  <c r="N3820"/>
  <c r="W3820"/>
  <c r="H3821"/>
  <c r="I3821"/>
  <c r="K3821"/>
  <c r="N3821"/>
  <c r="W3821"/>
  <c r="H3822"/>
  <c r="I3822"/>
  <c r="K3822"/>
  <c r="N3822"/>
  <c r="W3822"/>
  <c r="H3823"/>
  <c r="I3823"/>
  <c r="K3823"/>
  <c r="N3823"/>
  <c r="W3823"/>
  <c r="H3824"/>
  <c r="I3824"/>
  <c r="K3824"/>
  <c r="N3824"/>
  <c r="W3824"/>
  <c r="H3825"/>
  <c r="I3825"/>
  <c r="K3825"/>
  <c r="N3825"/>
  <c r="W3825"/>
  <c r="H3826"/>
  <c r="I3826"/>
  <c r="K3826"/>
  <c r="N3826"/>
  <c r="W3826"/>
  <c r="H3827"/>
  <c r="I3827"/>
  <c r="K3827"/>
  <c r="N3827"/>
  <c r="W3827"/>
  <c r="H3828"/>
  <c r="I3828"/>
  <c r="K3828"/>
  <c r="N3828"/>
  <c r="W3828"/>
  <c r="H3829"/>
  <c r="I3829"/>
  <c r="K3829"/>
  <c r="N3829"/>
  <c r="W3829"/>
  <c r="H3830"/>
  <c r="I3830"/>
  <c r="K3830"/>
  <c r="N3830"/>
  <c r="W3830"/>
  <c r="H3831"/>
  <c r="I3831"/>
  <c r="K3831"/>
  <c r="N3831"/>
  <c r="W3831"/>
  <c r="H3832"/>
  <c r="I3832"/>
  <c r="K3832"/>
  <c r="N3832"/>
  <c r="W3832"/>
  <c r="H3833"/>
  <c r="I3833"/>
  <c r="K3833"/>
  <c r="N3833"/>
  <c r="W3833"/>
  <c r="H3834"/>
  <c r="I3834"/>
  <c r="K3834"/>
  <c r="N3834"/>
  <c r="W3834"/>
  <c r="H3835"/>
  <c r="I3835"/>
  <c r="K3835"/>
  <c r="N3835"/>
  <c r="W3835"/>
  <c r="H3836"/>
  <c r="I3836"/>
  <c r="K3836"/>
  <c r="N3836"/>
  <c r="W3836"/>
  <c r="H3837"/>
  <c r="I3837"/>
  <c r="K3837"/>
  <c r="N3837"/>
  <c r="W3837"/>
  <c r="H3838"/>
  <c r="I3838"/>
  <c r="K3838"/>
  <c r="N3838"/>
  <c r="W3838"/>
  <c r="H3839"/>
  <c r="I3839"/>
  <c r="K3839"/>
  <c r="N3839"/>
  <c r="W3839"/>
  <c r="H3840"/>
  <c r="I3840"/>
  <c r="K3840"/>
  <c r="N3840"/>
  <c r="W3840"/>
  <c r="H3841"/>
  <c r="I3841"/>
  <c r="K3841"/>
  <c r="N3841"/>
  <c r="W3841"/>
  <c r="H3842"/>
  <c r="I3842"/>
  <c r="K3842"/>
  <c r="N3842"/>
  <c r="W3842"/>
  <c r="H3843"/>
  <c r="I3843"/>
  <c r="K3843"/>
  <c r="N3843"/>
  <c r="W3843"/>
  <c r="H3844"/>
  <c r="I3844"/>
  <c r="K3844"/>
  <c r="N3844"/>
  <c r="W3844"/>
  <c r="H3845"/>
  <c r="I3845"/>
  <c r="K3845"/>
  <c r="N3845"/>
  <c r="W3845"/>
  <c r="H3846"/>
  <c r="I3846"/>
  <c r="K3846"/>
  <c r="N3846"/>
  <c r="W3846"/>
  <c r="H3847"/>
  <c r="I3847"/>
  <c r="K3847"/>
  <c r="N3847"/>
  <c r="W3847"/>
  <c r="H3848"/>
  <c r="I3848"/>
  <c r="K3848"/>
  <c r="N3848"/>
  <c r="W3848"/>
  <c r="H3849"/>
  <c r="I3849"/>
  <c r="K3849"/>
  <c r="N3849"/>
  <c r="W3849"/>
  <c r="H3850"/>
  <c r="I3850"/>
  <c r="K3850"/>
  <c r="N3850"/>
  <c r="W3850"/>
  <c r="H3851"/>
  <c r="I3851"/>
  <c r="K3851"/>
  <c r="N3851"/>
  <c r="W3851"/>
  <c r="H3852"/>
  <c r="I3852"/>
  <c r="K3852"/>
  <c r="N3852"/>
  <c r="W3852"/>
  <c r="H3853"/>
  <c r="I3853"/>
  <c r="K3853"/>
  <c r="N3853"/>
  <c r="W3853"/>
  <c r="H3854"/>
  <c r="I3854"/>
  <c r="K3854"/>
  <c r="N3854"/>
  <c r="W3854"/>
  <c r="H3855"/>
  <c r="I3855"/>
  <c r="K3855"/>
  <c r="N3855"/>
  <c r="W3855"/>
  <c r="H3856"/>
  <c r="I3856"/>
  <c r="K3856"/>
  <c r="N3856"/>
  <c r="W3856"/>
  <c r="H3857"/>
  <c r="I3857"/>
  <c r="K3857"/>
  <c r="N3857"/>
  <c r="W3857"/>
  <c r="H3858"/>
  <c r="I3858"/>
  <c r="K3858"/>
  <c r="N3858"/>
  <c r="W3858"/>
  <c r="H3859"/>
  <c r="I3859"/>
  <c r="K3859"/>
  <c r="N3859"/>
  <c r="W3859"/>
  <c r="H3860"/>
  <c r="I3860"/>
  <c r="K3860"/>
  <c r="N3860"/>
  <c r="W3860"/>
  <c r="H3861"/>
  <c r="I3861"/>
  <c r="K3861"/>
  <c r="N3861"/>
  <c r="W3861"/>
  <c r="H3862"/>
  <c r="I3862"/>
  <c r="K3862"/>
  <c r="N3862"/>
  <c r="W3862"/>
  <c r="H3863"/>
  <c r="I3863"/>
  <c r="K3863"/>
  <c r="N3863"/>
  <c r="W3863"/>
  <c r="H3864"/>
  <c r="I3864"/>
  <c r="K3864"/>
  <c r="N3864"/>
  <c r="W3864"/>
  <c r="H3865"/>
  <c r="I3865"/>
  <c r="K3865"/>
  <c r="N3865"/>
  <c r="W3865"/>
  <c r="H3866"/>
  <c r="I3866"/>
  <c r="K3866"/>
  <c r="N3866"/>
  <c r="W3866"/>
  <c r="H3867"/>
  <c r="I3867"/>
  <c r="K3867"/>
  <c r="N3867"/>
  <c r="W3867"/>
  <c r="H3868"/>
  <c r="I3868"/>
  <c r="K3868"/>
  <c r="N3868"/>
  <c r="W3868"/>
  <c r="H3869"/>
  <c r="I3869"/>
  <c r="K3869"/>
  <c r="N3869"/>
  <c r="W3869"/>
  <c r="H3870"/>
  <c r="I3870"/>
  <c r="K3870"/>
  <c r="N3870"/>
  <c r="W3870"/>
  <c r="H3871"/>
  <c r="I3871"/>
  <c r="K3871"/>
  <c r="N3871"/>
  <c r="W3871"/>
  <c r="H3872"/>
  <c r="I3872"/>
  <c r="K3872"/>
  <c r="N3872"/>
  <c r="W3872"/>
  <c r="H3873"/>
  <c r="I3873"/>
  <c r="K3873"/>
  <c r="N3873"/>
  <c r="W3873"/>
  <c r="H3874"/>
  <c r="I3874"/>
  <c r="K3874"/>
  <c r="N3874"/>
  <c r="W3874"/>
  <c r="H3875"/>
  <c r="I3875"/>
  <c r="K3875"/>
  <c r="N3875"/>
  <c r="W3875"/>
  <c r="H3876"/>
  <c r="I3876"/>
  <c r="K3876"/>
  <c r="N3876"/>
  <c r="W3876"/>
  <c r="H3877"/>
  <c r="I3877"/>
  <c r="K3877"/>
  <c r="N3877"/>
  <c r="W3877"/>
  <c r="H3878"/>
  <c r="I3878"/>
  <c r="K3878"/>
  <c r="N3878"/>
  <c r="W3878"/>
  <c r="H3879"/>
  <c r="I3879"/>
  <c r="K3879"/>
  <c r="N3879"/>
  <c r="W3879"/>
  <c r="H3880"/>
  <c r="I3880"/>
  <c r="K3880"/>
  <c r="N3880"/>
  <c r="W3880"/>
  <c r="H3881"/>
  <c r="I3881"/>
  <c r="K3881"/>
  <c r="N3881"/>
  <c r="W3881"/>
  <c r="H3882"/>
  <c r="I3882"/>
  <c r="K3882"/>
  <c r="N3882"/>
  <c r="W3882"/>
  <c r="H3883"/>
  <c r="I3883"/>
  <c r="K3883"/>
  <c r="N3883"/>
  <c r="W3883"/>
  <c r="H3884"/>
  <c r="I3884"/>
  <c r="K3884"/>
  <c r="N3884"/>
  <c r="W3884"/>
  <c r="H3885"/>
  <c r="I3885"/>
  <c r="K3885"/>
  <c r="N3885"/>
  <c r="W3885"/>
  <c r="H3886"/>
  <c r="I3886"/>
  <c r="K3886"/>
  <c r="N3886"/>
  <c r="W3886"/>
  <c r="H3887"/>
  <c r="I3887"/>
  <c r="K3887"/>
  <c r="N3887"/>
  <c r="W3887"/>
  <c r="H3888"/>
  <c r="I3888"/>
  <c r="K3888"/>
  <c r="N3888"/>
  <c r="W3888"/>
  <c r="H3889"/>
  <c r="I3889"/>
  <c r="K3889"/>
  <c r="N3889"/>
  <c r="W3889"/>
  <c r="H3890"/>
  <c r="I3890"/>
  <c r="K3890"/>
  <c r="N3890"/>
  <c r="W3890"/>
  <c r="H3891"/>
  <c r="I3891"/>
  <c r="K3891"/>
  <c r="N3891"/>
  <c r="W3891"/>
  <c r="H3892"/>
  <c r="I3892"/>
  <c r="K3892"/>
  <c r="N3892"/>
  <c r="W3892"/>
  <c r="H3893"/>
  <c r="I3893"/>
  <c r="K3893"/>
  <c r="N3893"/>
  <c r="W3893"/>
  <c r="H3894"/>
  <c r="I3894"/>
  <c r="K3894"/>
  <c r="N3894"/>
  <c r="W3894"/>
  <c r="H3895"/>
  <c r="I3895"/>
  <c r="K3895"/>
  <c r="N3895"/>
  <c r="W3895"/>
  <c r="H3896"/>
  <c r="I3896"/>
  <c r="K3896"/>
  <c r="N3896"/>
  <c r="W3896"/>
  <c r="H3897"/>
  <c r="I3897"/>
  <c r="K3897"/>
  <c r="N3897"/>
  <c r="W3897"/>
  <c r="H3898"/>
  <c r="I3898"/>
  <c r="K3898"/>
  <c r="N3898"/>
  <c r="W3898"/>
  <c r="H3899"/>
  <c r="I3899"/>
  <c r="K3899"/>
  <c r="N3899"/>
  <c r="W3899"/>
  <c r="H3900"/>
  <c r="I3900"/>
  <c r="K3900"/>
  <c r="N3900"/>
  <c r="W3900"/>
  <c r="H3901"/>
  <c r="I3901"/>
  <c r="K3901"/>
  <c r="N3901"/>
  <c r="W3901"/>
  <c r="H3902"/>
  <c r="I3902"/>
  <c r="K3902"/>
  <c r="N3902"/>
  <c r="W3902"/>
  <c r="H3903"/>
  <c r="I3903"/>
  <c r="K3903"/>
  <c r="N3903"/>
  <c r="W3903"/>
  <c r="H3904"/>
  <c r="I3904"/>
  <c r="K3904"/>
  <c r="N3904"/>
  <c r="W3904"/>
  <c r="H3905"/>
  <c r="I3905"/>
  <c r="K3905"/>
  <c r="N3905"/>
  <c r="W3905"/>
  <c r="H3906"/>
  <c r="I3906"/>
  <c r="K3906"/>
  <c r="N3906"/>
  <c r="W3906"/>
  <c r="H3907"/>
  <c r="I3907"/>
  <c r="K3907"/>
  <c r="N3907"/>
  <c r="W3907"/>
  <c r="H3908"/>
  <c r="I3908"/>
  <c r="K3908"/>
  <c r="N3908"/>
  <c r="W3908"/>
  <c r="H3909"/>
  <c r="I3909"/>
  <c r="K3909"/>
  <c r="N3909"/>
  <c r="W3909"/>
  <c r="H3910"/>
  <c r="I3910"/>
  <c r="K3910"/>
  <c r="N3910"/>
  <c r="W3910"/>
  <c r="H3911"/>
  <c r="I3911"/>
  <c r="K3911"/>
  <c r="N3911"/>
  <c r="W3911"/>
  <c r="H3912"/>
  <c r="I3912"/>
  <c r="K3912"/>
  <c r="N3912"/>
  <c r="W3912"/>
  <c r="H3913"/>
  <c r="I3913"/>
  <c r="K3913"/>
  <c r="N3913"/>
  <c r="W3913"/>
  <c r="H3914"/>
  <c r="I3914"/>
  <c r="K3914"/>
  <c r="N3914"/>
  <c r="W3914"/>
  <c r="H3915"/>
  <c r="I3915"/>
  <c r="K3915"/>
  <c r="N3915"/>
  <c r="W3915"/>
  <c r="H3916"/>
  <c r="I3916"/>
  <c r="K3916"/>
  <c r="N3916"/>
  <c r="W3916"/>
  <c r="H3917"/>
  <c r="I3917"/>
  <c r="K3917"/>
  <c r="N3917"/>
  <c r="W3917"/>
  <c r="H3918"/>
  <c r="I3918"/>
  <c r="K3918"/>
  <c r="N3918"/>
  <c r="W3918"/>
  <c r="H3919"/>
  <c r="I3919"/>
  <c r="K3919"/>
  <c r="N3919"/>
  <c r="W3919"/>
  <c r="H3920"/>
  <c r="I3920"/>
  <c r="K3920"/>
  <c r="N3920"/>
  <c r="W3920"/>
  <c r="H3921"/>
  <c r="I3921"/>
  <c r="K3921"/>
  <c r="N3921"/>
  <c r="W3921"/>
  <c r="H3922"/>
  <c r="I3922"/>
  <c r="K3922"/>
  <c r="N3922"/>
  <c r="W3922"/>
  <c r="H3923"/>
  <c r="I3923"/>
  <c r="K3923"/>
  <c r="N3923"/>
  <c r="W3923"/>
  <c r="H3924"/>
  <c r="I3924"/>
  <c r="K3924"/>
  <c r="N3924"/>
  <c r="W3924"/>
  <c r="H3925"/>
  <c r="I3925"/>
  <c r="K3925"/>
  <c r="N3925"/>
  <c r="W3925"/>
  <c r="H3926"/>
  <c r="I3926"/>
  <c r="K3926"/>
  <c r="N3926"/>
  <c r="W3926"/>
  <c r="H3927"/>
  <c r="I3927"/>
  <c r="K3927"/>
  <c r="N3927"/>
  <c r="W3927"/>
  <c r="H3928"/>
  <c r="I3928"/>
  <c r="K3928"/>
  <c r="N3928"/>
  <c r="W3928"/>
  <c r="H3929"/>
  <c r="I3929"/>
  <c r="K3929"/>
  <c r="N3929"/>
  <c r="W3929"/>
  <c r="H3930"/>
  <c r="I3930"/>
  <c r="K3930"/>
  <c r="N3930"/>
  <c r="W3930"/>
  <c r="H3931"/>
  <c r="I3931"/>
  <c r="K3931"/>
  <c r="N3931"/>
  <c r="W3931"/>
  <c r="H3932"/>
  <c r="I3932"/>
  <c r="K3932"/>
  <c r="N3932"/>
  <c r="W3932"/>
  <c r="H3933"/>
  <c r="I3933"/>
  <c r="K3933"/>
  <c r="N3933"/>
  <c r="W3933"/>
  <c r="H3934"/>
  <c r="I3934"/>
  <c r="K3934"/>
  <c r="N3934"/>
  <c r="W3934"/>
  <c r="H3935"/>
  <c r="I3935"/>
  <c r="K3935"/>
  <c r="N3935"/>
  <c r="W3935"/>
  <c r="H3936"/>
  <c r="I3936"/>
  <c r="K3936"/>
  <c r="N3936"/>
  <c r="W3936"/>
  <c r="H3937"/>
  <c r="I3937"/>
  <c r="K3937"/>
  <c r="N3937"/>
  <c r="W3937"/>
  <c r="H3938"/>
  <c r="I3938"/>
  <c r="K3938"/>
  <c r="N3938"/>
  <c r="W3938"/>
  <c r="H3939"/>
  <c r="I3939"/>
  <c r="K3939"/>
  <c r="N3939"/>
  <c r="W3939"/>
  <c r="H3940"/>
  <c r="I3940"/>
  <c r="K3940"/>
  <c r="N3940"/>
  <c r="W3940"/>
  <c r="H3941"/>
  <c r="I3941"/>
  <c r="K3941"/>
  <c r="N3941"/>
  <c r="W3941"/>
  <c r="H3942"/>
  <c r="I3942"/>
  <c r="K3942"/>
  <c r="N3942"/>
  <c r="W3942"/>
  <c r="H3943"/>
  <c r="I3943"/>
  <c r="K3943"/>
  <c r="N3943"/>
  <c r="W3943"/>
  <c r="H3944"/>
  <c r="I3944"/>
  <c r="K3944"/>
  <c r="N3944"/>
  <c r="W3944"/>
  <c r="H3945"/>
  <c r="I3945"/>
  <c r="K3945"/>
  <c r="N3945"/>
  <c r="W3945"/>
  <c r="H3946"/>
  <c r="I3946"/>
  <c r="K3946"/>
  <c r="N3946"/>
  <c r="W3946"/>
  <c r="H3947"/>
  <c r="I3947"/>
  <c r="K3947"/>
  <c r="N3947"/>
  <c r="W3947"/>
  <c r="H3948"/>
  <c r="I3948"/>
  <c r="K3948"/>
  <c r="N3948"/>
  <c r="W3948"/>
  <c r="H3949"/>
  <c r="I3949"/>
  <c r="K3949"/>
  <c r="N3949"/>
  <c r="W3949"/>
  <c r="H3950"/>
  <c r="I3950"/>
  <c r="K3950"/>
  <c r="N3950"/>
  <c r="W3950"/>
  <c r="H3951"/>
  <c r="I3951"/>
  <c r="K3951"/>
  <c r="N3951"/>
  <c r="W3951"/>
  <c r="H3952"/>
  <c r="I3952"/>
  <c r="K3952"/>
  <c r="N3952"/>
  <c r="W3952"/>
  <c r="H3953"/>
  <c r="I3953"/>
  <c r="K3953"/>
  <c r="N3953"/>
  <c r="W3953"/>
  <c r="H3954"/>
  <c r="I3954"/>
  <c r="K3954"/>
  <c r="N3954"/>
  <c r="W3954"/>
  <c r="H3955"/>
  <c r="I3955"/>
  <c r="K3955"/>
  <c r="N3955"/>
  <c r="W3955"/>
  <c r="H3956"/>
  <c r="I3956"/>
  <c r="K3956"/>
  <c r="N3956"/>
  <c r="W3956"/>
  <c r="H3957"/>
  <c r="I3957"/>
  <c r="K3957"/>
  <c r="N3957"/>
  <c r="W3957"/>
  <c r="H3958"/>
  <c r="I3958"/>
  <c r="K3958"/>
  <c r="N3958"/>
  <c r="W3958"/>
  <c r="H3959"/>
  <c r="I3959"/>
  <c r="K3959"/>
  <c r="N3959"/>
  <c r="W3959"/>
  <c r="H3960"/>
  <c r="I3960"/>
  <c r="K3960"/>
  <c r="N3960"/>
  <c r="W3960"/>
  <c r="H3961"/>
  <c r="I3961"/>
  <c r="K3961"/>
  <c r="N3961"/>
  <c r="W3961"/>
  <c r="H3962"/>
  <c r="I3962"/>
  <c r="K3962"/>
  <c r="N3962"/>
  <c r="W3962"/>
  <c r="H3963"/>
  <c r="I3963"/>
  <c r="K3963"/>
  <c r="N3963"/>
  <c r="W3963"/>
  <c r="H3964"/>
  <c r="I3964"/>
  <c r="K3964"/>
  <c r="N3964"/>
  <c r="W3964"/>
  <c r="H3965"/>
  <c r="I3965"/>
  <c r="K3965"/>
  <c r="N3965"/>
  <c r="W3965"/>
  <c r="H3966"/>
  <c r="I3966"/>
  <c r="K3966"/>
  <c r="N3966"/>
  <c r="W3966"/>
  <c r="H3967"/>
  <c r="I3967"/>
  <c r="K3967"/>
  <c r="N3967"/>
  <c r="W3967"/>
  <c r="H3968"/>
  <c r="I3968"/>
  <c r="K3968"/>
  <c r="N3968"/>
  <c r="W3968"/>
  <c r="H3969"/>
  <c r="I3969"/>
  <c r="K3969"/>
  <c r="N3969"/>
  <c r="W3969"/>
  <c r="H3970"/>
  <c r="I3970"/>
  <c r="K3970"/>
  <c r="N3970"/>
  <c r="W3970"/>
  <c r="H3971"/>
  <c r="I3971"/>
  <c r="K3971"/>
  <c r="N3971"/>
  <c r="W3971"/>
  <c r="H3972"/>
  <c r="I3972"/>
  <c r="K3972"/>
  <c r="N3972"/>
  <c r="W3972"/>
  <c r="H3973"/>
  <c r="I3973"/>
  <c r="K3973"/>
  <c r="N3973"/>
  <c r="W3973"/>
  <c r="H3974"/>
  <c r="I3974"/>
  <c r="K3974"/>
  <c r="N3974"/>
  <c r="W3974"/>
  <c r="H3975"/>
  <c r="I3975"/>
  <c r="K3975"/>
  <c r="N3975"/>
  <c r="W3975"/>
  <c r="H3976"/>
  <c r="I3976"/>
  <c r="K3976"/>
  <c r="N3976"/>
  <c r="W3976"/>
  <c r="H3977"/>
  <c r="I3977"/>
  <c r="K3977"/>
  <c r="N3977"/>
  <c r="W3977"/>
  <c r="H3978"/>
  <c r="I3978"/>
  <c r="K3978"/>
  <c r="N3978"/>
  <c r="W3978"/>
  <c r="H3979"/>
  <c r="I3979"/>
  <c r="K3979"/>
  <c r="N3979"/>
  <c r="W3979"/>
  <c r="H3980"/>
  <c r="I3980"/>
  <c r="K3980"/>
  <c r="N3980"/>
  <c r="W3980"/>
  <c r="H3981"/>
  <c r="I3981"/>
  <c r="K3981"/>
  <c r="N3981"/>
  <c r="W3981"/>
  <c r="H3982"/>
  <c r="I3982"/>
  <c r="K3982"/>
  <c r="N3982"/>
  <c r="W3982"/>
  <c r="H3983"/>
  <c r="I3983"/>
  <c r="K3983"/>
  <c r="N3983"/>
  <c r="W3983"/>
  <c r="H3984"/>
  <c r="I3984"/>
  <c r="K3984"/>
  <c r="N3984"/>
  <c r="W3984"/>
  <c r="H3985"/>
  <c r="I3985"/>
  <c r="K3985"/>
  <c r="N3985"/>
  <c r="W3985"/>
  <c r="H3986"/>
  <c r="I3986"/>
  <c r="K3986"/>
  <c r="N3986"/>
  <c r="W3986"/>
  <c r="H3987"/>
  <c r="I3987"/>
  <c r="K3987"/>
  <c r="N3987"/>
  <c r="W3987"/>
  <c r="H3988"/>
  <c r="I3988"/>
  <c r="K3988"/>
  <c r="N3988"/>
  <c r="W3988"/>
  <c r="H3989"/>
  <c r="I3989"/>
  <c r="K3989"/>
  <c r="N3989"/>
  <c r="W3989"/>
  <c r="H3990"/>
  <c r="I3990"/>
  <c r="K3990"/>
  <c r="N3990"/>
  <c r="W3990"/>
  <c r="H3991"/>
  <c r="I3991"/>
  <c r="K3991"/>
  <c r="N3991"/>
  <c r="W3991"/>
  <c r="H3992"/>
  <c r="I3992"/>
  <c r="K3992"/>
  <c r="N3992"/>
  <c r="W3992"/>
  <c r="H3993"/>
  <c r="I3993"/>
  <c r="K3993"/>
  <c r="N3993"/>
  <c r="W3993"/>
  <c r="H3994"/>
  <c r="I3994"/>
  <c r="K3994"/>
  <c r="N3994"/>
  <c r="W3994"/>
  <c r="H3995"/>
  <c r="I3995"/>
  <c r="K3995"/>
  <c r="N3995"/>
  <c r="W3995"/>
  <c r="H3996"/>
  <c r="I3996"/>
  <c r="K3996"/>
  <c r="N3996"/>
  <c r="W3996"/>
  <c r="H3997"/>
  <c r="I3997"/>
  <c r="K3997"/>
  <c r="N3997"/>
  <c r="W3997"/>
  <c r="H3998"/>
  <c r="I3998"/>
  <c r="K3998"/>
  <c r="N3998"/>
  <c r="W3998"/>
  <c r="H3999"/>
  <c r="I3999"/>
  <c r="K3999"/>
  <c r="N3999"/>
  <c r="W3999"/>
  <c r="H4000"/>
  <c r="I4000"/>
  <c r="K4000"/>
  <c r="N4000"/>
  <c r="W4000"/>
  <c r="H4001"/>
  <c r="I4001"/>
  <c r="K4001"/>
  <c r="N4001"/>
  <c r="W4001"/>
  <c r="H4002"/>
  <c r="I4002"/>
  <c r="K4002"/>
  <c r="N4002"/>
  <c r="W4002"/>
  <c r="H4003"/>
  <c r="I4003"/>
  <c r="K4003"/>
  <c r="N4003"/>
  <c r="W4003"/>
  <c r="H4004"/>
  <c r="I4004"/>
  <c r="K4004"/>
  <c r="N4004"/>
  <c r="W4004"/>
  <c r="H4005"/>
  <c r="I4005"/>
  <c r="K4005"/>
  <c r="N4005"/>
  <c r="W4005"/>
  <c r="H4006"/>
  <c r="I4006"/>
  <c r="K4006"/>
  <c r="N4006"/>
  <c r="W4006"/>
  <c r="H4007"/>
  <c r="I4007"/>
  <c r="K4007"/>
  <c r="N4007"/>
  <c r="W4007"/>
  <c r="H4008"/>
  <c r="I4008"/>
  <c r="K4008"/>
  <c r="N4008"/>
  <c r="W4008"/>
  <c r="H4009"/>
  <c r="I4009"/>
  <c r="K4009"/>
  <c r="N4009"/>
  <c r="W4009"/>
  <c r="H4010"/>
  <c r="I4010"/>
  <c r="K4010"/>
  <c r="N4010"/>
  <c r="W4010"/>
  <c r="H4011"/>
  <c r="I4011"/>
  <c r="K4011"/>
  <c r="N4011"/>
  <c r="W4011"/>
  <c r="H4012"/>
  <c r="I4012"/>
  <c r="K4012"/>
  <c r="N4012"/>
  <c r="W4012"/>
  <c r="H4013"/>
  <c r="I4013"/>
  <c r="K4013"/>
  <c r="N4013"/>
  <c r="W4013"/>
  <c r="H4014"/>
  <c r="I4014"/>
  <c r="K4014"/>
  <c r="N4014"/>
  <c r="W4014"/>
  <c r="H4015"/>
  <c r="I4015"/>
  <c r="K4015"/>
  <c r="N4015"/>
  <c r="W4015"/>
  <c r="H4016"/>
  <c r="I4016"/>
  <c r="K4016"/>
  <c r="N4016"/>
  <c r="W4016"/>
  <c r="H4017"/>
  <c r="I4017"/>
  <c r="K4017"/>
  <c r="N4017"/>
  <c r="W4017"/>
  <c r="H4018"/>
  <c r="I4018"/>
  <c r="K4018"/>
  <c r="N4018"/>
  <c r="W4018"/>
  <c r="H4019"/>
  <c r="I4019"/>
  <c r="K4019"/>
  <c r="N4019"/>
  <c r="W4019"/>
  <c r="H4020"/>
  <c r="I4020"/>
  <c r="K4020"/>
  <c r="N4020"/>
  <c r="W4020"/>
  <c r="H4021"/>
  <c r="I4021"/>
  <c r="K4021"/>
  <c r="N4021"/>
  <c r="W4021"/>
  <c r="H4022"/>
  <c r="I4022"/>
  <c r="K4022"/>
  <c r="N4022"/>
  <c r="W4022"/>
  <c r="H4023"/>
  <c r="I4023"/>
  <c r="K4023"/>
  <c r="N4023"/>
  <c r="W4023"/>
  <c r="H4024"/>
  <c r="I4024"/>
  <c r="K4024"/>
  <c r="N4024"/>
  <c r="W4024"/>
  <c r="H4025"/>
  <c r="I4025"/>
  <c r="K4025"/>
  <c r="N4025"/>
  <c r="W4025"/>
  <c r="H4026"/>
  <c r="I4026"/>
  <c r="K4026"/>
  <c r="N4026"/>
  <c r="W4026"/>
  <c r="H4027"/>
  <c r="I4027"/>
  <c r="K4027"/>
  <c r="N4027"/>
  <c r="W4027"/>
  <c r="H4028"/>
  <c r="I4028"/>
  <c r="K4028"/>
  <c r="N4028"/>
  <c r="W4028"/>
  <c r="H4029"/>
  <c r="I4029"/>
  <c r="K4029"/>
  <c r="N4029"/>
  <c r="W4029"/>
  <c r="H4030"/>
  <c r="I4030"/>
  <c r="K4030"/>
  <c r="N4030"/>
  <c r="W4030"/>
  <c r="H4031"/>
  <c r="I4031"/>
  <c r="K4031"/>
  <c r="N4031"/>
  <c r="W4031"/>
  <c r="H4032"/>
  <c r="I4032"/>
  <c r="K4032"/>
  <c r="N4032"/>
  <c r="W4032"/>
  <c r="H4033"/>
  <c r="I4033"/>
  <c r="K4033"/>
  <c r="N4033"/>
  <c r="W4033"/>
  <c r="H4034"/>
  <c r="I4034"/>
  <c r="K4034"/>
  <c r="N4034"/>
  <c r="W4034"/>
  <c r="H4035"/>
  <c r="I4035"/>
  <c r="K4035"/>
  <c r="N4035"/>
  <c r="W4035"/>
  <c r="H4036"/>
  <c r="I4036"/>
  <c r="K4036"/>
  <c r="N4036"/>
  <c r="W4036"/>
  <c r="H4037"/>
  <c r="I4037"/>
  <c r="K4037"/>
  <c r="N4037"/>
  <c r="W4037"/>
  <c r="H4038"/>
  <c r="I4038"/>
  <c r="K4038"/>
  <c r="N4038"/>
  <c r="W4038"/>
  <c r="H4039"/>
  <c r="I4039"/>
  <c r="K4039"/>
  <c r="N4039"/>
  <c r="W4039"/>
  <c r="H4040"/>
  <c r="I4040"/>
  <c r="K4040"/>
  <c r="N4040"/>
  <c r="W4040"/>
  <c r="H4041"/>
  <c r="I4041"/>
  <c r="K4041"/>
  <c r="N4041"/>
  <c r="W4041"/>
  <c r="H4042"/>
  <c r="I4042"/>
  <c r="K4042"/>
  <c r="N4042"/>
  <c r="W4042"/>
  <c r="H4043"/>
  <c r="I4043"/>
  <c r="K4043"/>
  <c r="N4043"/>
  <c r="W4043"/>
  <c r="H4044"/>
  <c r="I4044"/>
  <c r="K4044"/>
  <c r="N4044"/>
  <c r="W4044"/>
  <c r="H4045"/>
  <c r="I4045"/>
  <c r="K4045"/>
  <c r="N4045"/>
  <c r="W4045"/>
  <c r="H4046"/>
  <c r="I4046"/>
  <c r="K4046"/>
  <c r="N4046"/>
  <c r="W4046"/>
  <c r="H4047"/>
  <c r="I4047"/>
  <c r="K4047"/>
  <c r="N4047"/>
  <c r="W4047"/>
  <c r="H4048"/>
  <c r="I4048"/>
  <c r="K4048"/>
  <c r="N4048"/>
  <c r="W4048"/>
  <c r="H4049"/>
  <c r="I4049"/>
  <c r="K4049"/>
  <c r="N4049"/>
  <c r="W4049"/>
  <c r="H4050"/>
  <c r="I4050"/>
  <c r="K4050"/>
  <c r="N4050"/>
  <c r="W4050"/>
  <c r="H4051"/>
  <c r="I4051"/>
  <c r="K4051"/>
  <c r="N4051"/>
  <c r="W4051"/>
  <c r="H4052"/>
  <c r="I4052"/>
  <c r="K4052"/>
  <c r="N4052"/>
  <c r="W4052"/>
  <c r="H4053"/>
  <c r="I4053"/>
  <c r="K4053"/>
  <c r="N4053"/>
  <c r="W4053"/>
  <c r="H4054"/>
  <c r="I4054"/>
  <c r="K4054"/>
  <c r="N4054"/>
  <c r="W4054"/>
  <c r="H4055"/>
  <c r="I4055"/>
  <c r="K4055"/>
  <c r="N4055"/>
  <c r="W4055"/>
  <c r="H4056"/>
  <c r="I4056"/>
  <c r="K4056"/>
  <c r="N4056"/>
  <c r="W4056"/>
  <c r="H4057"/>
  <c r="I4057"/>
  <c r="K4057"/>
  <c r="N4057"/>
  <c r="W4057"/>
  <c r="H4058"/>
  <c r="I4058"/>
  <c r="K4058"/>
  <c r="N4058"/>
  <c r="W4058"/>
  <c r="H4059"/>
  <c r="I4059"/>
  <c r="K4059"/>
  <c r="N4059"/>
  <c r="W4059"/>
  <c r="H4060"/>
  <c r="I4060"/>
  <c r="K4060"/>
  <c r="N4060"/>
  <c r="W4060"/>
  <c r="H4061"/>
  <c r="I4061"/>
  <c r="K4061"/>
  <c r="N4061"/>
  <c r="W4061"/>
  <c r="H4062"/>
  <c r="I4062"/>
  <c r="K4062"/>
  <c r="N4062"/>
  <c r="W4062"/>
  <c r="H4063"/>
  <c r="I4063"/>
  <c r="K4063"/>
  <c r="N4063"/>
  <c r="W4063"/>
  <c r="H4064"/>
  <c r="I4064"/>
  <c r="K4064"/>
  <c r="N4064"/>
  <c r="W4064"/>
  <c r="H4065"/>
  <c r="I4065"/>
  <c r="K4065"/>
  <c r="N4065"/>
  <c r="W4065"/>
  <c r="H4066"/>
  <c r="I4066"/>
  <c r="K4066"/>
  <c r="N4066"/>
  <c r="W4066"/>
  <c r="H4067"/>
  <c r="I4067"/>
  <c r="K4067"/>
  <c r="N4067"/>
  <c r="W4067"/>
  <c r="H4068"/>
  <c r="I4068"/>
  <c r="K4068"/>
  <c r="N4068"/>
  <c r="W4068"/>
  <c r="H4069"/>
  <c r="I4069"/>
  <c r="K4069"/>
  <c r="N4069"/>
  <c r="W4069"/>
  <c r="H4070"/>
  <c r="I4070"/>
  <c r="K4070"/>
  <c r="N4070"/>
  <c r="W4070"/>
  <c r="H4071"/>
  <c r="I4071"/>
  <c r="K4071"/>
  <c r="N4071"/>
  <c r="W4071"/>
  <c r="H4072"/>
  <c r="I4072"/>
  <c r="K4072"/>
  <c r="N4072"/>
  <c r="W4072"/>
  <c r="H4073"/>
  <c r="I4073"/>
  <c r="K4073"/>
  <c r="N4073"/>
  <c r="W4073"/>
  <c r="H4074"/>
  <c r="I4074"/>
  <c r="K4074"/>
  <c r="N4074"/>
  <c r="W4074"/>
  <c r="H4075"/>
  <c r="I4075"/>
  <c r="K4075"/>
  <c r="N4075"/>
  <c r="W4075"/>
  <c r="H4076"/>
  <c r="I4076"/>
  <c r="K4076"/>
  <c r="N4076"/>
  <c r="W4076"/>
  <c r="H4077"/>
  <c r="I4077"/>
  <c r="K4077"/>
  <c r="N4077"/>
  <c r="W4077"/>
  <c r="H4078"/>
  <c r="I4078"/>
  <c r="K4078"/>
  <c r="N4078"/>
  <c r="W4078"/>
  <c r="H4079"/>
  <c r="I4079"/>
  <c r="K4079"/>
  <c r="N4079"/>
  <c r="W4079"/>
  <c r="H4080"/>
  <c r="I4080"/>
  <c r="K4080"/>
  <c r="N4080"/>
  <c r="W4080"/>
  <c r="H4081"/>
  <c r="I4081"/>
  <c r="K4081"/>
  <c r="N4081"/>
  <c r="W4081"/>
  <c r="H4082"/>
  <c r="I4082"/>
  <c r="K4082"/>
  <c r="N4082"/>
  <c r="W4082"/>
  <c r="H4083"/>
  <c r="I4083"/>
  <c r="K4083"/>
  <c r="N4083"/>
  <c r="W4083"/>
  <c r="H4084"/>
  <c r="I4084"/>
  <c r="K4084"/>
  <c r="N4084"/>
  <c r="W4084"/>
  <c r="H4085"/>
  <c r="I4085"/>
  <c r="K4085"/>
  <c r="N4085"/>
  <c r="W4085"/>
  <c r="H4086"/>
  <c r="I4086"/>
  <c r="K4086"/>
  <c r="N4086"/>
  <c r="W4086"/>
  <c r="H4087"/>
  <c r="I4087"/>
  <c r="K4087"/>
  <c r="N4087"/>
  <c r="W4087"/>
  <c r="H4088"/>
  <c r="I4088"/>
  <c r="K4088"/>
  <c r="N4088"/>
  <c r="W4088"/>
  <c r="H4089"/>
  <c r="I4089"/>
  <c r="K4089"/>
  <c r="N4089"/>
  <c r="W4089"/>
  <c r="H4090"/>
  <c r="I4090"/>
  <c r="K4090"/>
  <c r="N4090"/>
  <c r="W4090"/>
  <c r="H4091"/>
  <c r="I4091"/>
  <c r="K4091"/>
  <c r="N4091"/>
  <c r="W4091"/>
  <c r="H4092"/>
  <c r="I4092"/>
  <c r="K4092"/>
  <c r="N4092"/>
  <c r="W4092"/>
  <c r="H4093"/>
  <c r="I4093"/>
  <c r="K4093"/>
  <c r="N4093"/>
  <c r="W4093"/>
  <c r="H4094"/>
  <c r="I4094"/>
  <c r="K4094"/>
  <c r="N4094"/>
  <c r="W4094"/>
  <c r="H4095"/>
  <c r="I4095"/>
  <c r="K4095"/>
  <c r="N4095"/>
  <c r="W4095"/>
  <c r="H4096"/>
  <c r="I4096"/>
  <c r="K4096"/>
  <c r="N4096"/>
  <c r="W4096"/>
  <c r="H4097"/>
  <c r="I4097"/>
  <c r="K4097"/>
  <c r="N4097"/>
  <c r="W4097"/>
  <c r="H4098"/>
  <c r="I4098"/>
  <c r="K4098"/>
  <c r="N4098"/>
  <c r="W4098"/>
  <c r="H4099"/>
  <c r="I4099"/>
  <c r="K4099"/>
  <c r="N4099"/>
  <c r="W4099"/>
  <c r="H4100"/>
  <c r="I4100"/>
  <c r="K4100"/>
  <c r="N4100"/>
  <c r="W4100"/>
  <c r="H4101"/>
  <c r="I4101"/>
  <c r="K4101"/>
  <c r="N4101"/>
  <c r="W4101"/>
  <c r="H4102"/>
  <c r="I4102"/>
  <c r="K4102"/>
  <c r="N4102"/>
  <c r="W4102"/>
  <c r="H4103"/>
  <c r="I4103"/>
  <c r="K4103"/>
  <c r="N4103"/>
  <c r="W4103"/>
  <c r="H4104"/>
  <c r="I4104"/>
  <c r="K4104"/>
  <c r="N4104"/>
  <c r="W4104"/>
  <c r="H4105"/>
  <c r="I4105"/>
  <c r="K4105"/>
  <c r="N4105"/>
  <c r="W4105"/>
  <c r="H4106"/>
  <c r="I4106"/>
  <c r="K4106"/>
  <c r="N4106"/>
  <c r="W4106"/>
  <c r="H4107"/>
  <c r="I4107"/>
  <c r="K4107"/>
  <c r="N4107"/>
  <c r="W4107"/>
  <c r="H4108"/>
  <c r="I4108"/>
  <c r="K4108"/>
  <c r="N4108"/>
  <c r="W4108"/>
  <c r="H4109"/>
  <c r="I4109"/>
  <c r="K4109"/>
  <c r="N4109"/>
  <c r="W4109"/>
  <c r="H4110"/>
  <c r="I4110"/>
  <c r="K4110"/>
  <c r="N4110"/>
  <c r="W4110"/>
  <c r="H4111"/>
  <c r="I4111"/>
  <c r="K4111"/>
  <c r="N4111"/>
  <c r="W4111"/>
  <c r="H4112"/>
  <c r="I4112"/>
  <c r="K4112"/>
  <c r="N4112"/>
  <c r="W4112"/>
  <c r="H4113"/>
  <c r="I4113"/>
  <c r="K4113"/>
  <c r="N4113"/>
  <c r="W4113"/>
  <c r="H4114"/>
  <c r="I4114"/>
  <c r="K4114"/>
  <c r="N4114"/>
  <c r="W4114"/>
  <c r="H4115"/>
  <c r="I4115"/>
  <c r="K4115"/>
  <c r="N4115"/>
  <c r="W4115"/>
  <c r="H4116"/>
  <c r="I4116"/>
  <c r="K4116"/>
  <c r="N4116"/>
  <c r="W4116"/>
  <c r="H4117"/>
  <c r="I4117"/>
  <c r="K4117"/>
  <c r="N4117"/>
  <c r="W4117"/>
  <c r="H4118"/>
  <c r="I4118"/>
  <c r="K4118"/>
  <c r="N4118"/>
  <c r="W4118"/>
  <c r="H4119"/>
  <c r="I4119"/>
  <c r="K4119"/>
  <c r="N4119"/>
  <c r="W4119"/>
  <c r="H4120"/>
  <c r="I4120"/>
  <c r="K4120"/>
  <c r="N4120"/>
  <c r="W4120"/>
  <c r="H4121"/>
  <c r="I4121"/>
  <c r="K4121"/>
  <c r="N4121"/>
  <c r="W4121"/>
  <c r="H4122"/>
  <c r="I4122"/>
  <c r="K4122"/>
  <c r="N4122"/>
  <c r="W4122"/>
  <c r="H4123"/>
  <c r="I4123"/>
  <c r="K4123"/>
  <c r="N4123"/>
  <c r="W4123"/>
  <c r="H4124"/>
  <c r="I4124"/>
  <c r="K4124"/>
  <c r="N4124"/>
  <c r="W4124"/>
  <c r="H4125"/>
  <c r="I4125"/>
  <c r="K4125"/>
  <c r="N4125"/>
  <c r="W4125"/>
  <c r="H4126"/>
  <c r="I4126"/>
  <c r="K4126"/>
  <c r="N4126"/>
  <c r="W4126"/>
  <c r="H4127"/>
  <c r="I4127"/>
  <c r="K4127"/>
  <c r="N4127"/>
  <c r="W4127"/>
  <c r="H4128"/>
  <c r="I4128"/>
  <c r="K4128"/>
  <c r="N4128"/>
  <c r="W4128"/>
  <c r="H4129"/>
  <c r="I4129"/>
  <c r="K4129"/>
  <c r="N4129"/>
  <c r="W4129"/>
  <c r="H4130"/>
  <c r="I4130"/>
  <c r="K4130"/>
  <c r="N4130"/>
  <c r="W4130"/>
  <c r="H4131"/>
  <c r="I4131"/>
  <c r="K4131"/>
  <c r="N4131"/>
  <c r="W4131"/>
  <c r="H4132"/>
  <c r="I4132"/>
  <c r="K4132"/>
  <c r="N4132"/>
  <c r="W4132"/>
  <c r="H4133"/>
  <c r="I4133"/>
  <c r="K4133"/>
  <c r="N4133"/>
  <c r="W4133"/>
  <c r="H4134"/>
  <c r="I4134"/>
  <c r="K4134"/>
  <c r="N4134"/>
  <c r="W4134"/>
  <c r="H4135"/>
  <c r="I4135"/>
  <c r="K4135"/>
  <c r="N4135"/>
  <c r="W4135"/>
  <c r="H4136"/>
  <c r="I4136"/>
  <c r="K4136"/>
  <c r="N4136"/>
  <c r="W4136"/>
  <c r="H4137"/>
  <c r="I4137"/>
  <c r="K4137"/>
  <c r="N4137"/>
  <c r="W4137"/>
  <c r="H4138"/>
  <c r="I4138"/>
  <c r="K4138"/>
  <c r="N4138"/>
  <c r="W4138"/>
  <c r="H4139"/>
  <c r="I4139"/>
  <c r="K4139"/>
  <c r="N4139"/>
  <c r="W4139"/>
  <c r="H4140"/>
  <c r="I4140"/>
  <c r="K4140"/>
  <c r="N4140"/>
  <c r="W4140"/>
  <c r="H4141"/>
  <c r="I4141"/>
  <c r="K4141"/>
  <c r="N4141"/>
  <c r="W4141"/>
  <c r="H4142"/>
  <c r="I4142"/>
  <c r="K4142"/>
  <c r="N4142"/>
  <c r="W4142"/>
  <c r="H4143"/>
  <c r="I4143"/>
  <c r="K4143"/>
  <c r="N4143"/>
  <c r="W4143"/>
  <c r="H4144"/>
  <c r="I4144"/>
  <c r="K4144"/>
  <c r="N4144"/>
  <c r="W4144"/>
  <c r="H4145"/>
  <c r="I4145"/>
  <c r="K4145"/>
  <c r="N4145"/>
  <c r="W4145"/>
  <c r="H4146"/>
  <c r="I4146"/>
  <c r="K4146"/>
  <c r="N4146"/>
  <c r="W4146"/>
  <c r="H4147"/>
  <c r="I4147"/>
  <c r="K4147"/>
  <c r="N4147"/>
  <c r="W4147"/>
  <c r="H4148"/>
  <c r="I4148"/>
  <c r="K4148"/>
  <c r="N4148"/>
  <c r="W4148"/>
  <c r="H4149"/>
  <c r="I4149"/>
  <c r="K4149"/>
  <c r="N4149"/>
  <c r="W4149"/>
  <c r="H4150"/>
  <c r="I4150"/>
  <c r="K4150"/>
  <c r="N4150"/>
  <c r="W4150"/>
  <c r="H4151"/>
  <c r="I4151"/>
  <c r="K4151"/>
  <c r="N4151"/>
  <c r="W4151"/>
  <c r="H4152"/>
  <c r="I4152"/>
  <c r="K4152"/>
  <c r="N4152"/>
  <c r="W4152"/>
  <c r="H4153"/>
  <c r="I4153"/>
  <c r="K4153"/>
  <c r="N4153"/>
  <c r="W4153"/>
  <c r="H4154"/>
  <c r="I4154"/>
  <c r="K4154"/>
  <c r="N4154"/>
  <c r="W4154"/>
  <c r="H4155"/>
  <c r="I4155"/>
  <c r="K4155"/>
  <c r="N4155"/>
  <c r="W4155"/>
  <c r="H4156"/>
  <c r="I4156"/>
  <c r="K4156"/>
  <c r="N4156"/>
  <c r="W4156"/>
  <c r="H4157"/>
  <c r="I4157"/>
  <c r="K4157"/>
  <c r="N4157"/>
  <c r="W4157"/>
  <c r="H4158"/>
  <c r="I4158"/>
  <c r="K4158"/>
  <c r="N4158"/>
  <c r="W4158"/>
  <c r="H4159"/>
  <c r="I4159"/>
  <c r="K4159"/>
  <c r="N4159"/>
  <c r="W4159"/>
  <c r="H4160"/>
  <c r="I4160"/>
  <c r="K4160"/>
  <c r="N4160"/>
  <c r="W4160"/>
  <c r="H4161"/>
  <c r="I4161"/>
  <c r="K4161"/>
  <c r="N4161"/>
  <c r="W4161"/>
  <c r="H4162"/>
  <c r="I4162"/>
  <c r="K4162"/>
  <c r="N4162"/>
  <c r="W4162"/>
  <c r="H4163"/>
  <c r="I4163"/>
  <c r="K4163"/>
  <c r="N4163"/>
  <c r="W4163"/>
  <c r="H4164"/>
  <c r="I4164"/>
  <c r="K4164"/>
  <c r="N4164"/>
  <c r="W4164"/>
  <c r="H4165"/>
  <c r="I4165"/>
  <c r="K4165"/>
  <c r="N4165"/>
  <c r="W4165"/>
  <c r="H4166"/>
  <c r="I4166"/>
  <c r="K4166"/>
  <c r="N4166"/>
  <c r="W4166"/>
  <c r="H4167"/>
  <c r="I4167"/>
  <c r="K4167"/>
  <c r="N4167"/>
  <c r="W4167"/>
  <c r="H4168"/>
  <c r="I4168"/>
  <c r="K4168"/>
  <c r="N4168"/>
  <c r="W4168"/>
  <c r="H4169"/>
  <c r="I4169"/>
  <c r="K4169"/>
  <c r="N4169"/>
  <c r="W4169"/>
  <c r="H4170"/>
  <c r="I4170"/>
  <c r="K4170"/>
  <c r="N4170"/>
  <c r="W4170"/>
  <c r="H4171"/>
  <c r="I4171"/>
  <c r="K4171"/>
  <c r="N4171"/>
  <c r="W4171"/>
  <c r="H4172"/>
  <c r="I4172"/>
  <c r="K4172"/>
  <c r="N4172"/>
  <c r="W4172"/>
  <c r="H4173"/>
  <c r="I4173"/>
  <c r="K4173"/>
  <c r="N4173"/>
  <c r="W4173"/>
  <c r="H4174"/>
  <c r="I4174"/>
  <c r="K4174"/>
  <c r="N4174"/>
  <c r="W4174"/>
  <c r="H4175"/>
  <c r="I4175"/>
  <c r="K4175"/>
  <c r="N4175"/>
  <c r="W4175"/>
  <c r="H4176"/>
  <c r="I4176"/>
  <c r="K4176"/>
  <c r="N4176"/>
  <c r="W4176"/>
  <c r="H4177"/>
  <c r="I4177"/>
  <c r="K4177"/>
  <c r="N4177"/>
  <c r="W4177"/>
  <c r="H4178"/>
  <c r="I4178"/>
  <c r="K4178"/>
  <c r="N4178"/>
  <c r="W4178"/>
  <c r="H4179"/>
  <c r="I4179"/>
  <c r="K4179"/>
  <c r="N4179"/>
  <c r="W4179"/>
  <c r="H4180"/>
  <c r="I4180"/>
  <c r="K4180"/>
  <c r="N4180"/>
  <c r="W4180"/>
  <c r="H4181"/>
  <c r="I4181"/>
  <c r="K4181"/>
  <c r="N4181"/>
  <c r="W4181"/>
  <c r="H4182"/>
  <c r="I4182"/>
  <c r="K4182"/>
  <c r="N4182"/>
  <c r="W4182"/>
  <c r="H4183"/>
  <c r="I4183"/>
  <c r="K4183"/>
  <c r="N4183"/>
  <c r="W4183"/>
  <c r="H4184"/>
  <c r="I4184"/>
  <c r="K4184"/>
  <c r="N4184"/>
  <c r="W4184"/>
  <c r="H4185"/>
  <c r="I4185"/>
  <c r="K4185"/>
  <c r="N4185"/>
  <c r="W4185"/>
  <c r="H4186"/>
  <c r="I4186"/>
  <c r="K4186"/>
  <c r="N4186"/>
  <c r="W4186"/>
  <c r="H4187"/>
  <c r="I4187"/>
  <c r="K4187"/>
  <c r="N4187"/>
  <c r="W4187"/>
  <c r="H4188"/>
  <c r="I4188"/>
  <c r="K4188"/>
  <c r="N4188"/>
  <c r="W4188"/>
  <c r="H4189"/>
  <c r="I4189"/>
  <c r="K4189"/>
  <c r="N4189"/>
  <c r="W4189"/>
  <c r="H4190"/>
  <c r="I4190"/>
  <c r="K4190"/>
  <c r="N4190"/>
  <c r="W4190"/>
  <c r="H4191"/>
  <c r="I4191"/>
  <c r="K4191"/>
  <c r="N4191"/>
  <c r="W4191"/>
  <c r="H4192"/>
  <c r="I4192"/>
  <c r="K4192"/>
  <c r="N4192"/>
  <c r="W4192"/>
  <c r="H4193"/>
  <c r="I4193"/>
  <c r="K4193"/>
  <c r="N4193"/>
  <c r="W4193"/>
  <c r="H4194"/>
  <c r="I4194"/>
  <c r="K4194"/>
  <c r="N4194"/>
  <c r="W4194"/>
  <c r="H4195"/>
  <c r="I4195"/>
  <c r="K4195"/>
  <c r="N4195"/>
  <c r="W4195"/>
  <c r="H4196"/>
  <c r="I4196"/>
  <c r="K4196"/>
  <c r="N4196"/>
  <c r="W4196"/>
  <c r="H4197"/>
  <c r="I4197"/>
  <c r="K4197"/>
  <c r="N4197"/>
  <c r="W4197"/>
  <c r="H4198"/>
  <c r="I4198"/>
  <c r="K4198"/>
  <c r="N4198"/>
  <c r="W4198"/>
  <c r="H4199"/>
  <c r="I4199"/>
  <c r="K4199"/>
  <c r="N4199"/>
  <c r="W4199"/>
  <c r="H4200"/>
  <c r="I4200"/>
  <c r="K4200"/>
  <c r="N4200"/>
  <c r="W4200"/>
  <c r="H4201"/>
  <c r="I4201"/>
  <c r="K4201"/>
  <c r="N4201"/>
  <c r="W4201"/>
  <c r="H4202"/>
  <c r="I4202"/>
  <c r="K4202"/>
  <c r="N4202"/>
  <c r="W4202"/>
  <c r="H4203"/>
  <c r="I4203"/>
  <c r="K4203"/>
  <c r="N4203"/>
  <c r="W4203"/>
  <c r="H4204"/>
  <c r="I4204"/>
  <c r="K4204"/>
  <c r="N4204"/>
  <c r="W4204"/>
  <c r="H4205"/>
  <c r="I4205"/>
  <c r="K4205"/>
  <c r="N4205"/>
  <c r="W4205"/>
  <c r="H4206"/>
  <c r="I4206"/>
  <c r="K4206"/>
  <c r="N4206"/>
  <c r="W4206"/>
  <c r="H4207"/>
  <c r="I4207"/>
  <c r="K4207"/>
  <c r="N4207"/>
  <c r="W4207"/>
  <c r="H4208"/>
  <c r="I4208"/>
  <c r="K4208"/>
  <c r="N4208"/>
  <c r="W4208"/>
  <c r="H4209"/>
  <c r="I4209"/>
  <c r="K4209"/>
  <c r="N4209"/>
  <c r="W4209"/>
  <c r="H4210"/>
  <c r="I4210"/>
  <c r="K4210"/>
  <c r="N4210"/>
  <c r="W4210"/>
  <c r="H4211"/>
  <c r="I4211"/>
  <c r="K4211"/>
  <c r="N4211"/>
  <c r="W4211"/>
  <c r="H4212"/>
  <c r="I4212"/>
  <c r="K4212"/>
  <c r="N4212"/>
  <c r="W4212"/>
  <c r="H4213"/>
  <c r="I4213"/>
  <c r="K4213"/>
  <c r="N4213"/>
  <c r="W4213"/>
  <c r="H4214"/>
  <c r="I4214"/>
  <c r="K4214"/>
  <c r="N4214"/>
  <c r="W4214"/>
  <c r="H4215"/>
  <c r="I4215"/>
  <c r="K4215"/>
  <c r="N4215"/>
  <c r="W4215"/>
  <c r="H4216"/>
  <c r="I4216"/>
  <c r="K4216"/>
  <c r="N4216"/>
  <c r="W4216"/>
  <c r="H4217"/>
  <c r="I4217"/>
  <c r="K4217"/>
  <c r="N4217"/>
  <c r="W4217"/>
  <c r="H4218"/>
  <c r="I4218"/>
  <c r="K4218"/>
  <c r="N4218"/>
  <c r="W4218"/>
  <c r="H4219"/>
  <c r="I4219"/>
  <c r="K4219"/>
  <c r="N4219"/>
  <c r="W4219"/>
  <c r="H4220"/>
  <c r="I4220"/>
  <c r="K4220"/>
  <c r="N4220"/>
  <c r="W4220"/>
  <c r="H4221"/>
  <c r="I4221"/>
  <c r="K4221"/>
  <c r="N4221"/>
  <c r="W4221"/>
  <c r="H4222"/>
  <c r="I4222"/>
  <c r="K4222"/>
  <c r="N4222"/>
  <c r="W4222"/>
  <c r="H4223"/>
  <c r="I4223"/>
  <c r="K4223"/>
  <c r="N4223"/>
  <c r="W4223"/>
  <c r="H4224"/>
  <c r="I4224"/>
  <c r="K4224"/>
  <c r="N4224"/>
  <c r="W4224"/>
  <c r="H4225"/>
  <c r="I4225"/>
  <c r="K4225"/>
  <c r="N4225"/>
  <c r="W4225"/>
  <c r="H4226"/>
  <c r="I4226"/>
  <c r="K4226"/>
  <c r="N4226"/>
  <c r="W4226"/>
  <c r="H4227"/>
  <c r="I4227"/>
  <c r="K4227"/>
  <c r="N4227"/>
  <c r="W4227"/>
  <c r="H4228"/>
  <c r="I4228"/>
  <c r="K4228"/>
  <c r="N4228"/>
  <c r="W4228"/>
  <c r="H4229"/>
  <c r="I4229"/>
  <c r="K4229"/>
  <c r="N4229"/>
  <c r="W4229"/>
  <c r="H4230"/>
  <c r="I4230"/>
  <c r="K4230"/>
  <c r="N4230"/>
  <c r="W4230"/>
  <c r="H4231"/>
  <c r="I4231"/>
  <c r="K4231"/>
  <c r="N4231"/>
  <c r="W4231"/>
  <c r="H4232"/>
  <c r="I4232"/>
  <c r="K4232"/>
  <c r="N4232"/>
  <c r="W4232"/>
  <c r="H4233"/>
  <c r="I4233"/>
  <c r="K4233"/>
  <c r="N4233"/>
  <c r="W4233"/>
  <c r="H4234"/>
  <c r="I4234"/>
  <c r="K4234"/>
  <c r="N4234"/>
  <c r="W4234"/>
  <c r="H4235"/>
  <c r="I4235"/>
  <c r="K4235"/>
  <c r="N4235"/>
  <c r="W4235"/>
  <c r="H4236"/>
  <c r="I4236"/>
  <c r="K4236"/>
  <c r="N4236"/>
  <c r="W4236"/>
  <c r="H4237"/>
  <c r="I4237"/>
  <c r="K4237"/>
  <c r="N4237"/>
  <c r="W4237"/>
  <c r="H4238"/>
  <c r="I4238"/>
  <c r="K4238"/>
  <c r="N4238"/>
  <c r="W4238"/>
  <c r="H4239"/>
  <c r="I4239"/>
  <c r="K4239"/>
  <c r="N4239"/>
  <c r="W4239"/>
  <c r="H4240"/>
  <c r="I4240"/>
  <c r="K4240"/>
  <c r="N4240"/>
  <c r="W4240"/>
  <c r="H4241"/>
  <c r="I4241"/>
  <c r="K4241"/>
  <c r="N4241"/>
  <c r="W4241"/>
  <c r="H4242"/>
  <c r="I4242"/>
  <c r="K4242"/>
  <c r="N4242"/>
  <c r="W4242"/>
  <c r="H4243"/>
  <c r="I4243"/>
  <c r="K4243"/>
  <c r="N4243"/>
  <c r="W4243"/>
  <c r="H4244"/>
  <c r="I4244"/>
  <c r="K4244"/>
  <c r="N4244"/>
  <c r="W4244"/>
  <c r="H4245"/>
  <c r="I4245"/>
  <c r="K4245"/>
  <c r="N4245"/>
  <c r="W4245"/>
  <c r="H4246"/>
  <c r="I4246"/>
  <c r="K4246"/>
  <c r="N4246"/>
  <c r="W4246"/>
  <c r="H4247"/>
  <c r="I4247"/>
  <c r="K4247"/>
  <c r="N4247"/>
  <c r="W4247"/>
  <c r="H4248"/>
  <c r="I4248"/>
  <c r="K4248"/>
  <c r="N4248"/>
  <c r="W4248"/>
  <c r="H4249"/>
  <c r="I4249"/>
  <c r="K4249"/>
  <c r="N4249"/>
  <c r="W4249"/>
  <c r="H4250"/>
  <c r="I4250"/>
  <c r="K4250"/>
  <c r="N4250"/>
  <c r="W4250"/>
  <c r="H4251"/>
  <c r="I4251"/>
  <c r="K4251"/>
  <c r="N4251"/>
  <c r="W4251"/>
  <c r="H4252"/>
  <c r="I4252"/>
  <c r="K4252"/>
  <c r="N4252"/>
  <c r="W4252"/>
  <c r="H4253"/>
  <c r="I4253"/>
  <c r="K4253"/>
  <c r="N4253"/>
  <c r="W4253"/>
  <c r="H4254"/>
  <c r="I4254"/>
  <c r="K4254"/>
  <c r="N4254"/>
  <c r="W4254"/>
  <c r="H4255"/>
  <c r="I4255"/>
  <c r="K4255"/>
  <c r="N4255"/>
  <c r="W4255"/>
  <c r="H4256"/>
  <c r="I4256"/>
  <c r="K4256"/>
  <c r="N4256"/>
  <c r="W4256"/>
  <c r="H4257"/>
  <c r="I4257"/>
  <c r="K4257"/>
  <c r="N4257"/>
  <c r="W4257"/>
  <c r="H4258"/>
  <c r="I4258"/>
  <c r="K4258"/>
  <c r="N4258"/>
  <c r="W4258"/>
  <c r="H4259"/>
  <c r="I4259"/>
  <c r="K4259"/>
  <c r="N4259"/>
  <c r="W4259"/>
  <c r="H4260"/>
  <c r="I4260"/>
  <c r="K4260"/>
  <c r="N4260"/>
  <c r="W4260"/>
  <c r="H4261"/>
  <c r="I4261"/>
  <c r="K4261"/>
  <c r="N4261"/>
  <c r="W4261"/>
  <c r="H4262"/>
  <c r="I4262"/>
  <c r="K4262"/>
  <c r="N4262"/>
  <c r="W4262"/>
  <c r="H4263"/>
  <c r="I4263"/>
  <c r="K4263"/>
  <c r="N4263"/>
  <c r="W4263"/>
  <c r="H4264"/>
  <c r="I4264"/>
  <c r="K4264"/>
  <c r="N4264"/>
  <c r="W4264"/>
  <c r="H4265"/>
  <c r="I4265"/>
  <c r="K4265"/>
  <c r="N4265"/>
  <c r="W4265"/>
  <c r="H4266"/>
  <c r="I4266"/>
  <c r="K4266"/>
  <c r="N4266"/>
  <c r="W4266"/>
  <c r="H4267"/>
  <c r="I4267"/>
  <c r="K4267"/>
  <c r="N4267"/>
  <c r="W4267"/>
  <c r="H4268"/>
  <c r="I4268"/>
  <c r="K4268"/>
  <c r="N4268"/>
  <c r="W4268"/>
  <c r="H4269"/>
  <c r="I4269"/>
  <c r="K4269"/>
  <c r="N4269"/>
  <c r="W4269"/>
  <c r="H4270"/>
  <c r="I4270"/>
  <c r="K4270"/>
  <c r="N4270"/>
  <c r="W4270"/>
  <c r="H4271"/>
  <c r="I4271"/>
  <c r="K4271"/>
  <c r="N4271"/>
  <c r="W4271"/>
  <c r="H4272"/>
  <c r="I4272"/>
  <c r="K4272"/>
  <c r="N4272"/>
  <c r="W4272"/>
  <c r="H4273"/>
  <c r="I4273"/>
  <c r="K4273"/>
  <c r="N4273"/>
  <c r="W4273"/>
  <c r="H4274"/>
  <c r="I4274"/>
  <c r="K4274"/>
  <c r="N4274"/>
  <c r="W4274"/>
  <c r="H4275"/>
  <c r="I4275"/>
  <c r="K4275"/>
  <c r="N4275"/>
  <c r="W4275"/>
  <c r="H4276"/>
  <c r="I4276"/>
  <c r="K4276"/>
  <c r="N4276"/>
  <c r="W4276"/>
  <c r="H4277"/>
  <c r="I4277"/>
  <c r="K4277"/>
  <c r="N4277"/>
  <c r="W4277"/>
  <c r="H4278"/>
  <c r="I4278"/>
  <c r="K4278"/>
  <c r="N4278"/>
  <c r="W4278"/>
  <c r="H4279"/>
  <c r="I4279"/>
  <c r="K4279"/>
  <c r="N4279"/>
  <c r="W4279"/>
  <c r="H4280"/>
  <c r="I4280"/>
  <c r="K4280"/>
  <c r="N4280"/>
  <c r="W4280"/>
  <c r="H4281"/>
  <c r="I4281"/>
  <c r="K4281"/>
  <c r="N4281"/>
  <c r="W4281"/>
  <c r="H4282"/>
  <c r="I4282"/>
  <c r="K4282"/>
  <c r="N4282"/>
  <c r="W4282"/>
  <c r="H4283"/>
  <c r="I4283"/>
  <c r="K4283"/>
  <c r="N4283"/>
  <c r="W4283"/>
  <c r="H4284"/>
  <c r="I4284"/>
  <c r="K4284"/>
  <c r="N4284"/>
  <c r="W4284"/>
  <c r="H4285"/>
  <c r="I4285"/>
  <c r="K4285"/>
  <c r="N4285"/>
  <c r="W4285"/>
  <c r="H4286"/>
  <c r="I4286"/>
  <c r="K4286"/>
  <c r="N4286"/>
  <c r="W4286"/>
  <c r="H4287"/>
  <c r="I4287"/>
  <c r="K4287"/>
  <c r="N4287"/>
  <c r="W4287"/>
  <c r="H4288"/>
  <c r="I4288"/>
  <c r="K4288"/>
  <c r="N4288"/>
  <c r="W4288"/>
  <c r="H4289"/>
  <c r="I4289"/>
  <c r="K4289"/>
  <c r="N4289"/>
  <c r="W4289"/>
  <c r="H4290"/>
  <c r="I4290"/>
  <c r="K4290"/>
  <c r="N4290"/>
  <c r="W4290"/>
  <c r="H4291"/>
  <c r="I4291"/>
  <c r="K4291"/>
  <c r="N4291"/>
  <c r="W4291"/>
  <c r="H4292"/>
  <c r="I4292"/>
  <c r="K4292"/>
  <c r="N4292"/>
  <c r="W4292"/>
  <c r="H4293"/>
  <c r="I4293"/>
  <c r="K4293"/>
  <c r="N4293"/>
  <c r="W4293"/>
  <c r="H4294"/>
  <c r="I4294"/>
  <c r="K4294"/>
  <c r="N4294"/>
  <c r="W4294"/>
  <c r="H4295"/>
  <c r="I4295"/>
  <c r="K4295"/>
  <c r="N4295"/>
  <c r="W4295"/>
  <c r="H4296"/>
  <c r="I4296"/>
  <c r="K4296"/>
  <c r="N4296"/>
  <c r="W4296"/>
  <c r="H4297"/>
  <c r="I4297"/>
  <c r="K4297"/>
  <c r="N4297"/>
  <c r="W4297"/>
  <c r="H4298"/>
  <c r="I4298"/>
  <c r="K4298"/>
  <c r="N4298"/>
  <c r="W4298"/>
  <c r="H4299"/>
  <c r="I4299"/>
  <c r="K4299"/>
  <c r="N4299"/>
  <c r="W4299"/>
  <c r="H4300"/>
  <c r="I4300"/>
  <c r="K4300"/>
  <c r="N4300"/>
  <c r="W4300"/>
  <c r="H4301"/>
  <c r="I4301"/>
  <c r="K4301"/>
  <c r="N4301"/>
  <c r="W4301"/>
  <c r="H4302"/>
  <c r="I4302"/>
  <c r="K4302"/>
  <c r="N4302"/>
  <c r="W4302"/>
  <c r="H4303"/>
  <c r="I4303"/>
  <c r="K4303"/>
  <c r="N4303"/>
  <c r="W4303"/>
  <c r="H4304"/>
  <c r="I4304"/>
  <c r="K4304"/>
  <c r="N4304"/>
  <c r="W4304"/>
  <c r="H4305"/>
  <c r="I4305"/>
  <c r="K4305"/>
  <c r="N4305"/>
  <c r="W4305"/>
  <c r="H4306"/>
  <c r="I4306"/>
  <c r="K4306"/>
  <c r="N4306"/>
  <c r="W4306"/>
  <c r="H4307"/>
  <c r="I4307"/>
  <c r="K4307"/>
  <c r="N4307"/>
  <c r="W4307"/>
  <c r="H4308"/>
  <c r="I4308"/>
  <c r="K4308"/>
  <c r="N4308"/>
  <c r="W4308"/>
  <c r="H4309"/>
  <c r="I4309"/>
  <c r="K4309"/>
  <c r="N4309"/>
  <c r="W4309"/>
  <c r="H4310"/>
  <c r="I4310"/>
  <c r="K4310"/>
  <c r="N4310"/>
  <c r="W4310"/>
  <c r="H4311"/>
  <c r="I4311"/>
  <c r="K4311"/>
  <c r="N4311"/>
  <c r="W4311"/>
  <c r="H4312"/>
  <c r="I4312"/>
  <c r="K4312"/>
  <c r="N4312"/>
  <c r="W4312"/>
  <c r="H4313"/>
  <c r="I4313"/>
  <c r="K4313"/>
  <c r="N4313"/>
  <c r="W4313"/>
  <c r="H4314"/>
  <c r="I4314"/>
  <c r="K4314"/>
  <c r="N4314"/>
  <c r="W4314"/>
  <c r="H4315"/>
  <c r="I4315"/>
  <c r="K4315"/>
  <c r="N4315"/>
  <c r="W4315"/>
  <c r="H4316"/>
  <c r="I4316"/>
  <c r="K4316"/>
  <c r="N4316"/>
  <c r="W4316"/>
  <c r="H4317"/>
  <c r="I4317"/>
  <c r="K4317"/>
  <c r="N4317"/>
  <c r="W4317"/>
  <c r="H4318"/>
  <c r="I4318"/>
  <c r="K4318"/>
  <c r="N4318"/>
  <c r="W4318"/>
  <c r="H4319"/>
  <c r="I4319"/>
  <c r="K4319"/>
  <c r="N4319"/>
  <c r="W4319"/>
  <c r="H4320"/>
  <c r="I4320"/>
  <c r="K4320"/>
  <c r="N4320"/>
  <c r="W4320"/>
  <c r="H4321"/>
  <c r="I4321"/>
  <c r="K4321"/>
  <c r="N4321"/>
  <c r="W4321"/>
  <c r="H4322"/>
  <c r="I4322"/>
  <c r="K4322"/>
  <c r="N4322"/>
  <c r="W4322"/>
  <c r="H4323"/>
  <c r="I4323"/>
  <c r="K4323"/>
  <c r="N4323"/>
  <c r="W4323"/>
  <c r="H4324"/>
  <c r="I4324"/>
  <c r="K4324"/>
  <c r="N4324"/>
  <c r="W4324"/>
  <c r="H4325"/>
  <c r="I4325"/>
  <c r="K4325"/>
  <c r="N4325"/>
  <c r="W4325"/>
  <c r="H4326"/>
  <c r="I4326"/>
  <c r="K4326"/>
  <c r="N4326"/>
  <c r="W4326"/>
  <c r="H4327"/>
  <c r="I4327"/>
  <c r="K4327"/>
  <c r="N4327"/>
  <c r="W4327"/>
  <c r="H4328"/>
  <c r="I4328"/>
  <c r="K4328"/>
  <c r="N4328"/>
  <c r="W4328"/>
  <c r="H4329"/>
  <c r="I4329"/>
  <c r="K4329"/>
  <c r="N4329"/>
  <c r="W4329"/>
  <c r="H4330"/>
  <c r="I4330"/>
  <c r="K4330"/>
  <c r="N4330"/>
  <c r="W4330"/>
  <c r="H4331"/>
  <c r="I4331"/>
  <c r="K4331"/>
  <c r="N4331"/>
  <c r="W4331"/>
  <c r="H4332"/>
  <c r="I4332"/>
  <c r="K4332"/>
  <c r="N4332"/>
  <c r="W4332"/>
  <c r="H4333"/>
  <c r="I4333"/>
  <c r="K4333"/>
  <c r="N4333"/>
  <c r="W4333"/>
  <c r="H4334"/>
  <c r="I4334"/>
  <c r="K4334"/>
  <c r="N4334"/>
  <c r="W4334"/>
  <c r="H4335"/>
  <c r="I4335"/>
  <c r="K4335"/>
  <c r="N4335"/>
  <c r="W4335"/>
  <c r="H4336"/>
  <c r="I4336"/>
  <c r="K4336"/>
  <c r="N4336"/>
  <c r="W4336"/>
  <c r="H4337"/>
  <c r="I4337"/>
  <c r="K4337"/>
  <c r="N4337"/>
  <c r="W4337"/>
  <c r="H4338"/>
  <c r="I4338"/>
  <c r="K4338"/>
  <c r="N4338"/>
  <c r="W4338"/>
  <c r="H4339"/>
  <c r="I4339"/>
  <c r="K4339"/>
  <c r="N4339"/>
  <c r="W4339"/>
  <c r="H4340"/>
  <c r="I4340"/>
  <c r="K4340"/>
  <c r="N4340"/>
  <c r="W4340"/>
  <c r="H4341"/>
  <c r="I4341"/>
  <c r="K4341"/>
  <c r="N4341"/>
  <c r="W4341"/>
  <c r="H4342"/>
  <c r="I4342"/>
  <c r="K4342"/>
  <c r="N4342"/>
  <c r="W4342"/>
  <c r="H4343"/>
  <c r="I4343"/>
  <c r="K4343"/>
  <c r="N4343"/>
  <c r="W4343"/>
  <c r="H4344"/>
  <c r="I4344"/>
  <c r="K4344"/>
  <c r="N4344"/>
  <c r="W4344"/>
  <c r="H4345"/>
  <c r="I4345"/>
  <c r="K4345"/>
  <c r="N4345"/>
  <c r="W4345"/>
  <c r="H4346"/>
  <c r="I4346"/>
  <c r="K4346"/>
  <c r="N4346"/>
  <c r="W4346"/>
  <c r="H4347"/>
  <c r="I4347"/>
  <c r="K4347"/>
  <c r="N4347"/>
  <c r="W4347"/>
  <c r="H4348"/>
  <c r="I4348"/>
  <c r="K4348"/>
  <c r="N4348"/>
  <c r="W4348"/>
  <c r="H4349"/>
  <c r="I4349"/>
  <c r="K4349"/>
  <c r="N4349"/>
  <c r="W4349"/>
  <c r="H4350"/>
  <c r="I4350"/>
  <c r="K4350"/>
  <c r="N4350"/>
  <c r="W4350"/>
  <c r="H4351"/>
  <c r="I4351"/>
  <c r="K4351"/>
  <c r="N4351"/>
  <c r="W4351"/>
  <c r="H4352"/>
  <c r="I4352"/>
  <c r="K4352"/>
  <c r="N4352"/>
  <c r="W4352"/>
  <c r="H4353"/>
  <c r="I4353"/>
  <c r="K4353"/>
  <c r="N4353"/>
  <c r="W4353"/>
  <c r="H4354"/>
  <c r="I4354"/>
  <c r="K4354"/>
  <c r="N4354"/>
  <c r="W4354"/>
  <c r="H4355"/>
  <c r="I4355"/>
  <c r="K4355"/>
  <c r="N4355"/>
  <c r="W4355"/>
  <c r="H4356"/>
  <c r="I4356"/>
  <c r="K4356"/>
  <c r="N4356"/>
  <c r="W4356"/>
  <c r="H4357"/>
  <c r="I4357"/>
  <c r="K4357"/>
  <c r="N4357"/>
  <c r="W4357"/>
  <c r="H4358"/>
  <c r="I4358"/>
  <c r="K4358"/>
  <c r="N4358"/>
  <c r="W4358"/>
  <c r="H4359"/>
  <c r="I4359"/>
  <c r="K4359"/>
  <c r="N4359"/>
  <c r="W4359"/>
  <c r="H4360"/>
  <c r="I4360"/>
  <c r="K4360"/>
  <c r="N4360"/>
  <c r="W4360"/>
  <c r="H4361"/>
  <c r="I4361"/>
  <c r="K4361"/>
  <c r="N4361"/>
  <c r="W4361"/>
  <c r="H4362"/>
  <c r="I4362"/>
  <c r="K4362"/>
  <c r="N4362"/>
  <c r="W4362"/>
  <c r="H4363"/>
  <c r="I4363"/>
  <c r="K4363"/>
  <c r="N4363"/>
  <c r="W4363"/>
  <c r="H4364"/>
  <c r="I4364"/>
  <c r="K4364"/>
  <c r="N4364"/>
  <c r="W4364"/>
  <c r="H4365"/>
  <c r="I4365"/>
  <c r="K4365"/>
  <c r="N4365"/>
  <c r="W4365"/>
  <c r="H4366"/>
  <c r="I4366"/>
  <c r="K4366"/>
  <c r="N4366"/>
  <c r="W4366"/>
  <c r="H4367"/>
  <c r="I4367"/>
  <c r="K4367"/>
  <c r="N4367"/>
  <c r="W4367"/>
  <c r="H4368"/>
  <c r="I4368"/>
  <c r="K4368"/>
  <c r="N4368"/>
  <c r="W4368"/>
  <c r="H4369"/>
  <c r="I4369"/>
  <c r="K4369"/>
  <c r="N4369"/>
  <c r="W4369"/>
  <c r="H4370"/>
  <c r="I4370"/>
  <c r="K4370"/>
  <c r="N4370"/>
  <c r="W4370"/>
  <c r="H4371"/>
  <c r="I4371"/>
  <c r="K4371"/>
  <c r="N4371"/>
  <c r="W4371"/>
  <c r="H4372"/>
  <c r="I4372"/>
  <c r="K4372"/>
  <c r="N4372"/>
  <c r="W4372"/>
  <c r="H4373"/>
  <c r="I4373"/>
  <c r="K4373"/>
  <c r="N4373"/>
  <c r="W4373"/>
  <c r="H4374"/>
  <c r="I4374"/>
  <c r="K4374"/>
  <c r="N4374"/>
  <c r="W4374"/>
  <c r="H4375"/>
  <c r="I4375"/>
  <c r="K4375"/>
  <c r="N4375"/>
  <c r="W4375"/>
  <c r="H4376"/>
  <c r="I4376"/>
  <c r="K4376"/>
  <c r="N4376"/>
  <c r="W4376"/>
  <c r="H4377"/>
  <c r="I4377"/>
  <c r="K4377"/>
  <c r="N4377"/>
  <c r="W4377"/>
  <c r="H4378"/>
  <c r="I4378"/>
  <c r="K4378"/>
  <c r="N4378"/>
  <c r="W4378"/>
  <c r="H4379"/>
  <c r="I4379"/>
  <c r="K4379"/>
  <c r="N4379"/>
  <c r="W4379"/>
  <c r="H4380"/>
  <c r="I4380"/>
  <c r="K4380"/>
  <c r="N4380"/>
  <c r="W4380"/>
  <c r="H4381"/>
  <c r="I4381"/>
  <c r="K4381"/>
  <c r="N4381"/>
  <c r="W4381"/>
  <c r="H4382"/>
  <c r="I4382"/>
  <c r="K4382"/>
  <c r="N4382"/>
  <c r="W4382"/>
  <c r="H4383"/>
  <c r="I4383"/>
  <c r="K4383"/>
  <c r="N4383"/>
  <c r="W4383"/>
  <c r="H4384"/>
  <c r="I4384"/>
  <c r="K4384"/>
  <c r="N4384"/>
  <c r="W4384"/>
  <c r="H4385"/>
  <c r="I4385"/>
  <c r="K4385"/>
  <c r="N4385"/>
  <c r="W4385"/>
  <c r="H4386"/>
  <c r="I4386"/>
  <c r="K4386"/>
  <c r="N4386"/>
  <c r="W4386"/>
  <c r="H4387"/>
  <c r="I4387"/>
  <c r="K4387"/>
  <c r="N4387"/>
  <c r="W4387"/>
  <c r="H4388"/>
  <c r="I4388"/>
  <c r="K4388"/>
  <c r="N4388"/>
  <c r="W4388"/>
  <c r="H4389"/>
  <c r="I4389"/>
  <c r="K4389"/>
  <c r="N4389"/>
  <c r="W4389"/>
  <c r="H4390"/>
  <c r="I4390"/>
  <c r="K4390"/>
  <c r="N4390"/>
  <c r="W4390"/>
  <c r="H4391"/>
  <c r="I4391"/>
  <c r="K4391"/>
  <c r="N4391"/>
  <c r="W4391"/>
  <c r="H4392"/>
  <c r="I4392"/>
  <c r="K4392"/>
  <c r="N4392"/>
  <c r="W4392"/>
  <c r="H4393"/>
  <c r="I4393"/>
  <c r="K4393"/>
  <c r="N4393"/>
  <c r="W4393"/>
  <c r="H4394"/>
  <c r="I4394"/>
  <c r="K4394"/>
  <c r="N4394"/>
  <c r="W4394"/>
  <c r="H4395"/>
  <c r="I4395"/>
  <c r="K4395"/>
  <c r="N4395"/>
  <c r="W4395"/>
  <c r="H4396"/>
  <c r="I4396"/>
  <c r="K4396"/>
  <c r="N4396"/>
  <c r="W4396"/>
  <c r="H4397"/>
  <c r="I4397"/>
  <c r="K4397"/>
  <c r="N4397"/>
  <c r="W4397"/>
  <c r="H4398"/>
  <c r="I4398"/>
  <c r="K4398"/>
  <c r="N4398"/>
  <c r="W4398"/>
  <c r="H4399"/>
  <c r="I4399"/>
  <c r="K4399"/>
  <c r="N4399"/>
  <c r="W4399"/>
  <c r="H4400"/>
  <c r="I4400"/>
  <c r="K4400"/>
  <c r="N4400"/>
  <c r="W4400"/>
  <c r="H4401"/>
  <c r="I4401"/>
  <c r="K4401"/>
  <c r="N4401"/>
  <c r="W4401"/>
  <c r="H4402"/>
  <c r="I4402"/>
  <c r="K4402"/>
  <c r="N4402"/>
  <c r="W4402"/>
  <c r="H4403"/>
  <c r="I4403"/>
  <c r="K4403"/>
  <c r="N4403"/>
  <c r="W4403"/>
  <c r="H4404"/>
  <c r="I4404"/>
  <c r="K4404"/>
  <c r="N4404"/>
  <c r="W4404"/>
  <c r="H4405"/>
  <c r="I4405"/>
  <c r="K4405"/>
  <c r="N4405"/>
  <c r="W4405"/>
  <c r="H4406"/>
  <c r="I4406"/>
  <c r="K4406"/>
  <c r="N4406"/>
  <c r="W4406"/>
  <c r="H4407"/>
  <c r="I4407"/>
  <c r="K4407"/>
  <c r="N4407"/>
  <c r="W4407"/>
  <c r="H4408"/>
  <c r="I4408"/>
  <c r="K4408"/>
  <c r="N4408"/>
  <c r="W4408"/>
  <c r="H4409"/>
  <c r="I4409"/>
  <c r="K4409"/>
  <c r="N4409"/>
  <c r="W4409"/>
  <c r="H4410"/>
  <c r="I4410"/>
  <c r="K4410"/>
  <c r="N4410"/>
  <c r="W4410"/>
  <c r="H4411"/>
  <c r="I4411"/>
  <c r="K4411"/>
  <c r="N4411"/>
  <c r="W4411"/>
  <c r="H4412"/>
  <c r="I4412"/>
  <c r="K4412"/>
  <c r="N4412"/>
  <c r="W4412"/>
  <c r="H4413"/>
  <c r="I4413"/>
  <c r="K4413"/>
  <c r="N4413"/>
  <c r="W4413"/>
  <c r="H4414"/>
  <c r="I4414"/>
  <c r="K4414"/>
  <c r="N4414"/>
  <c r="W4414"/>
  <c r="H4415"/>
  <c r="I4415"/>
  <c r="K4415"/>
  <c r="N4415"/>
  <c r="W4415"/>
  <c r="H4416"/>
  <c r="I4416"/>
  <c r="K4416"/>
  <c r="N4416"/>
  <c r="W4416"/>
  <c r="H4417"/>
  <c r="I4417"/>
  <c r="K4417"/>
  <c r="N4417"/>
  <c r="W4417"/>
  <c r="H4418"/>
  <c r="I4418"/>
  <c r="K4418"/>
  <c r="N4418"/>
  <c r="W4418"/>
  <c r="H4419"/>
  <c r="I4419"/>
  <c r="K4419"/>
  <c r="N4419"/>
  <c r="W4419"/>
  <c r="H4420"/>
  <c r="I4420"/>
  <c r="K4420"/>
  <c r="N4420"/>
  <c r="W4420"/>
  <c r="H4421"/>
  <c r="I4421"/>
  <c r="K4421"/>
  <c r="N4421"/>
  <c r="W4421"/>
  <c r="H4422"/>
  <c r="I4422"/>
  <c r="K4422"/>
  <c r="N4422"/>
  <c r="W4422"/>
  <c r="H4423"/>
  <c r="I4423"/>
  <c r="K4423"/>
  <c r="N4423"/>
  <c r="W4423"/>
  <c r="H4424"/>
  <c r="I4424"/>
  <c r="K4424"/>
  <c r="N4424"/>
  <c r="W4424"/>
  <c r="H4425"/>
  <c r="I4425"/>
  <c r="K4425"/>
  <c r="N4425"/>
  <c r="W4425"/>
  <c r="H4426"/>
  <c r="I4426"/>
  <c r="K4426"/>
  <c r="N4426"/>
  <c r="W4426"/>
  <c r="H4427"/>
  <c r="I4427"/>
  <c r="K4427"/>
  <c r="N4427"/>
  <c r="W4427"/>
  <c r="H4428"/>
  <c r="I4428"/>
  <c r="K4428"/>
  <c r="N4428"/>
  <c r="W4428"/>
  <c r="H4429"/>
  <c r="I4429"/>
  <c r="K4429"/>
  <c r="N4429"/>
  <c r="W4429"/>
  <c r="H4430"/>
  <c r="I4430"/>
  <c r="K4430"/>
  <c r="N4430"/>
  <c r="W4430"/>
  <c r="H4431"/>
  <c r="I4431"/>
  <c r="K4431"/>
  <c r="N4431"/>
  <c r="W4431"/>
  <c r="H4432"/>
  <c r="I4432"/>
  <c r="K4432"/>
  <c r="N4432"/>
  <c r="W4432"/>
  <c r="H4433"/>
  <c r="I4433"/>
  <c r="K4433"/>
  <c r="N4433"/>
  <c r="W4433"/>
  <c r="H4434"/>
  <c r="I4434"/>
  <c r="K4434"/>
  <c r="N4434"/>
  <c r="W4434"/>
  <c r="H4435"/>
  <c r="I4435"/>
  <c r="K4435"/>
  <c r="N4435"/>
  <c r="W4435"/>
  <c r="H4436"/>
  <c r="I4436"/>
  <c r="K4436"/>
  <c r="N4436"/>
  <c r="W4436"/>
  <c r="H4437"/>
  <c r="I4437"/>
  <c r="K4437"/>
  <c r="N4437"/>
  <c r="W4437"/>
  <c r="H4438"/>
  <c r="I4438"/>
  <c r="K4438"/>
  <c r="N4438"/>
  <c r="W4438"/>
  <c r="H4439"/>
  <c r="I4439"/>
  <c r="K4439"/>
  <c r="N4439"/>
  <c r="W4439"/>
  <c r="H4440"/>
  <c r="I4440"/>
  <c r="K4440"/>
  <c r="N4440"/>
  <c r="W4440"/>
  <c r="H4441"/>
  <c r="I4441"/>
  <c r="K4441"/>
  <c r="N4441"/>
  <c r="W4441"/>
  <c r="H4442"/>
  <c r="I4442"/>
  <c r="K4442"/>
  <c r="N4442"/>
  <c r="W4442"/>
  <c r="H4443"/>
  <c r="I4443"/>
  <c r="K4443"/>
  <c r="N4443"/>
  <c r="W4443"/>
  <c r="H4444"/>
  <c r="I4444"/>
  <c r="K4444"/>
  <c r="N4444"/>
  <c r="W4444"/>
  <c r="H4445"/>
  <c r="I4445"/>
  <c r="K4445"/>
  <c r="N4445"/>
  <c r="W4445"/>
  <c r="H4446"/>
  <c r="I4446"/>
  <c r="K4446"/>
  <c r="N4446"/>
  <c r="W4446"/>
  <c r="H4447"/>
  <c r="I4447"/>
  <c r="K4447"/>
  <c r="N4447"/>
  <c r="W4447"/>
  <c r="H4448"/>
  <c r="I4448"/>
  <c r="K4448"/>
  <c r="N4448"/>
  <c r="W4448"/>
  <c r="H4449"/>
  <c r="I4449"/>
  <c r="K4449"/>
  <c r="N4449"/>
  <c r="W4449"/>
  <c r="H4450"/>
  <c r="I4450"/>
  <c r="K4450"/>
  <c r="N4450"/>
  <c r="W4450"/>
  <c r="H4451"/>
  <c r="I4451"/>
  <c r="K4451"/>
  <c r="N4451"/>
  <c r="W4451"/>
  <c r="H4452"/>
  <c r="I4452"/>
  <c r="K4452"/>
  <c r="N4452"/>
  <c r="W4452"/>
  <c r="H4453"/>
  <c r="I4453"/>
  <c r="K4453"/>
  <c r="N4453"/>
  <c r="W4453"/>
  <c r="H4454"/>
  <c r="I4454"/>
  <c r="K4454"/>
  <c r="N4454"/>
  <c r="W4454"/>
  <c r="H4455"/>
  <c r="I4455"/>
  <c r="K4455"/>
  <c r="N4455"/>
  <c r="W4455"/>
  <c r="H4456"/>
  <c r="I4456"/>
  <c r="K4456"/>
  <c r="N4456"/>
  <c r="W4456"/>
  <c r="H4457"/>
  <c r="I4457"/>
  <c r="K4457"/>
  <c r="N4457"/>
  <c r="W4457"/>
  <c r="H4458"/>
  <c r="I4458"/>
  <c r="K4458"/>
  <c r="N4458"/>
  <c r="W4458"/>
  <c r="H4459"/>
  <c r="I4459"/>
  <c r="K4459"/>
  <c r="N4459"/>
  <c r="W4459"/>
  <c r="H4460"/>
  <c r="I4460"/>
  <c r="K4460"/>
  <c r="N4460"/>
  <c r="W4460"/>
  <c r="H4461"/>
  <c r="I4461"/>
  <c r="K4461"/>
  <c r="N4461"/>
  <c r="W4461"/>
  <c r="H4462"/>
  <c r="I4462"/>
  <c r="K4462"/>
  <c r="N4462"/>
  <c r="W4462"/>
  <c r="H4463"/>
  <c r="I4463"/>
  <c r="K4463"/>
  <c r="N4463"/>
  <c r="W4463"/>
  <c r="H4464"/>
  <c r="I4464"/>
  <c r="K4464"/>
  <c r="N4464"/>
  <c r="W4464"/>
  <c r="H4465"/>
  <c r="I4465"/>
  <c r="K4465"/>
  <c r="N4465"/>
  <c r="W4465"/>
  <c r="H4466"/>
  <c r="I4466"/>
  <c r="K4466"/>
  <c r="N4466"/>
  <c r="W4466"/>
  <c r="H4467"/>
  <c r="I4467"/>
  <c r="K4467"/>
  <c r="N4467"/>
  <c r="W4467"/>
  <c r="H4468"/>
  <c r="I4468"/>
  <c r="K4468"/>
  <c r="N4468"/>
  <c r="W4468"/>
  <c r="H4469"/>
  <c r="I4469"/>
  <c r="K4469"/>
  <c r="N4469"/>
  <c r="W4469"/>
  <c r="H4470"/>
  <c r="I4470"/>
  <c r="K4470"/>
  <c r="N4470"/>
  <c r="W4470"/>
  <c r="H4471"/>
  <c r="I4471"/>
  <c r="K4471"/>
  <c r="N4471"/>
  <c r="W4471"/>
  <c r="H4472"/>
  <c r="I4472"/>
  <c r="K4472"/>
  <c r="N4472"/>
  <c r="W4472"/>
  <c r="H4473"/>
  <c r="I4473"/>
  <c r="K4473"/>
  <c r="N4473"/>
  <c r="W4473"/>
  <c r="H4474"/>
  <c r="I4474"/>
  <c r="K4474"/>
  <c r="N4474"/>
  <c r="W4474"/>
  <c r="H4475"/>
  <c r="I4475"/>
  <c r="K4475"/>
  <c r="N4475"/>
  <c r="W4475"/>
  <c r="H4476"/>
  <c r="I4476"/>
  <c r="K4476"/>
  <c r="N4476"/>
  <c r="W4476"/>
  <c r="H4477"/>
  <c r="I4477"/>
  <c r="K4477"/>
  <c r="N4477"/>
  <c r="W4477"/>
  <c r="H4478"/>
  <c r="I4478"/>
  <c r="K4478"/>
  <c r="N4478"/>
  <c r="W4478"/>
  <c r="H4479"/>
  <c r="I4479"/>
  <c r="K4479"/>
  <c r="N4479"/>
  <c r="W4479"/>
  <c r="H4480"/>
  <c r="I4480"/>
  <c r="K4480"/>
  <c r="N4480"/>
  <c r="W4480"/>
  <c r="H4481"/>
  <c r="I4481"/>
  <c r="K4481"/>
  <c r="N4481"/>
  <c r="W4481"/>
  <c r="H4482"/>
  <c r="I4482"/>
  <c r="K4482"/>
  <c r="N4482"/>
  <c r="W4482"/>
  <c r="H4483"/>
  <c r="I4483"/>
  <c r="K4483"/>
  <c r="N4483"/>
  <c r="W4483"/>
  <c r="H4484"/>
  <c r="I4484"/>
  <c r="K4484"/>
  <c r="N4484"/>
  <c r="W4484"/>
  <c r="H4485"/>
  <c r="I4485"/>
  <c r="K4485"/>
  <c r="N4485"/>
  <c r="W4485"/>
  <c r="H4486"/>
  <c r="I4486"/>
  <c r="K4486"/>
  <c r="N4486"/>
  <c r="W4486"/>
  <c r="H4487"/>
  <c r="I4487"/>
  <c r="K4487"/>
  <c r="N4487"/>
  <c r="W4487"/>
  <c r="H4488"/>
  <c r="I4488"/>
  <c r="K4488"/>
  <c r="N4488"/>
  <c r="W4488"/>
  <c r="H4489"/>
  <c r="I4489"/>
  <c r="K4489"/>
  <c r="N4489"/>
  <c r="W4489"/>
  <c r="H4490"/>
  <c r="I4490"/>
  <c r="K4490"/>
  <c r="N4490"/>
  <c r="W4490"/>
  <c r="H4491"/>
  <c r="I4491"/>
  <c r="K4491"/>
  <c r="N4491"/>
  <c r="W4491"/>
  <c r="H4492"/>
  <c r="I4492"/>
  <c r="K4492"/>
  <c r="N4492"/>
  <c r="W4492"/>
  <c r="H4493"/>
  <c r="I4493"/>
  <c r="K4493"/>
  <c r="N4493"/>
  <c r="W4493"/>
  <c r="H4494"/>
  <c r="I4494"/>
  <c r="K4494"/>
  <c r="N4494"/>
  <c r="W4494"/>
  <c r="H4495"/>
  <c r="I4495"/>
  <c r="K4495"/>
  <c r="N4495"/>
  <c r="W4495"/>
  <c r="H4496"/>
  <c r="I4496"/>
  <c r="K4496"/>
  <c r="N4496"/>
  <c r="W4496"/>
  <c r="H4497"/>
  <c r="I4497"/>
  <c r="K4497"/>
  <c r="N4497"/>
  <c r="W4497"/>
  <c r="H4498"/>
  <c r="I4498"/>
  <c r="K4498"/>
  <c r="N4498"/>
  <c r="W4498"/>
  <c r="H4499"/>
  <c r="I4499"/>
  <c r="K4499"/>
  <c r="N4499"/>
  <c r="W4499"/>
  <c r="H4500"/>
  <c r="I4500"/>
  <c r="K4500"/>
  <c r="N4500"/>
  <c r="W4500"/>
  <c r="H4501"/>
  <c r="I4501"/>
  <c r="K4501"/>
  <c r="N4501"/>
  <c r="W4501"/>
  <c r="H4502"/>
  <c r="I4502"/>
  <c r="K4502"/>
  <c r="N4502"/>
  <c r="W4502"/>
  <c r="H4503"/>
  <c r="I4503"/>
  <c r="K4503"/>
  <c r="N4503"/>
  <c r="W4503"/>
  <c r="H4504"/>
  <c r="I4504"/>
  <c r="K4504"/>
  <c r="N4504"/>
  <c r="W4504"/>
  <c r="H4505"/>
  <c r="I4505"/>
  <c r="K4505"/>
  <c r="N4505"/>
  <c r="W4505"/>
  <c r="H4506"/>
  <c r="I4506"/>
  <c r="K4506"/>
  <c r="N4506"/>
  <c r="W4506"/>
  <c r="H4507"/>
  <c r="I4507"/>
  <c r="K4507"/>
  <c r="N4507"/>
  <c r="W4507"/>
  <c r="H4508"/>
  <c r="I4508"/>
  <c r="K4508"/>
  <c r="N4508"/>
  <c r="W4508"/>
  <c r="H4509"/>
  <c r="I4509"/>
  <c r="K4509"/>
  <c r="N4509"/>
  <c r="W4509"/>
  <c r="H4510"/>
  <c r="I4510"/>
  <c r="K4510"/>
  <c r="N4510"/>
  <c r="W4510"/>
  <c r="H4511"/>
  <c r="I4511"/>
  <c r="K4511"/>
  <c r="N4511"/>
  <c r="W4511"/>
  <c r="H4512"/>
  <c r="I4512"/>
  <c r="K4512"/>
  <c r="N4512"/>
  <c r="W4512"/>
  <c r="H4513"/>
  <c r="I4513"/>
  <c r="K4513"/>
  <c r="N4513"/>
  <c r="W4513"/>
  <c r="H4514"/>
  <c r="I4514"/>
  <c r="K4514"/>
  <c r="N4514"/>
  <c r="W4514"/>
  <c r="H4515"/>
  <c r="I4515"/>
  <c r="K4515"/>
  <c r="N4515"/>
  <c r="W4515"/>
  <c r="H4516"/>
  <c r="I4516"/>
  <c r="K4516"/>
  <c r="N4516"/>
  <c r="W4516"/>
  <c r="H4517"/>
  <c r="I4517"/>
  <c r="K4517"/>
  <c r="N4517"/>
  <c r="W4517"/>
  <c r="H4518"/>
  <c r="I4518"/>
  <c r="K4518"/>
  <c r="N4518"/>
  <c r="W4518"/>
  <c r="H4519"/>
  <c r="I4519"/>
  <c r="K4519"/>
  <c r="N4519"/>
  <c r="W4519"/>
  <c r="H4520"/>
  <c r="I4520"/>
  <c r="K4520"/>
  <c r="N4520"/>
  <c r="W4520"/>
  <c r="H4521"/>
  <c r="I4521"/>
  <c r="K4521"/>
  <c r="N4521"/>
  <c r="W4521"/>
  <c r="H4522"/>
  <c r="I4522"/>
  <c r="K4522"/>
  <c r="N4522"/>
  <c r="W4522"/>
  <c r="H4523"/>
  <c r="I4523"/>
  <c r="K4523"/>
  <c r="N4523"/>
  <c r="W4523"/>
  <c r="H4524"/>
  <c r="I4524"/>
  <c r="K4524"/>
  <c r="N4524"/>
  <c r="W4524"/>
  <c r="H4525"/>
  <c r="I4525"/>
  <c r="K4525"/>
  <c r="N4525"/>
  <c r="W4525"/>
  <c r="H4526"/>
  <c r="I4526"/>
  <c r="K4526"/>
  <c r="N4526"/>
  <c r="W4526"/>
  <c r="H4527"/>
  <c r="I4527"/>
  <c r="K4527"/>
  <c r="N4527"/>
  <c r="W4527"/>
  <c r="H4528"/>
  <c r="I4528"/>
  <c r="K4528"/>
  <c r="N4528"/>
  <c r="W4528"/>
  <c r="H4529"/>
  <c r="I4529"/>
  <c r="K4529"/>
  <c r="N4529"/>
  <c r="W4529"/>
  <c r="H4530"/>
  <c r="I4530"/>
  <c r="K4530"/>
  <c r="N4530"/>
  <c r="W4530"/>
  <c r="H4531"/>
  <c r="I4531"/>
  <c r="K4531"/>
  <c r="N4531"/>
  <c r="W4531"/>
  <c r="H4532"/>
  <c r="I4532"/>
  <c r="K4532"/>
  <c r="N4532"/>
  <c r="W4532"/>
  <c r="H4533"/>
  <c r="I4533"/>
  <c r="K4533"/>
  <c r="N4533"/>
  <c r="W4533"/>
  <c r="H4534"/>
  <c r="I4534"/>
  <c r="K4534"/>
  <c r="N4534"/>
  <c r="W4534"/>
  <c r="H4535"/>
  <c r="I4535"/>
  <c r="K4535"/>
  <c r="N4535"/>
  <c r="W4535"/>
  <c r="H4536"/>
  <c r="I4536"/>
  <c r="K4536"/>
  <c r="N4536"/>
  <c r="W4536"/>
  <c r="H4537"/>
  <c r="I4537"/>
  <c r="K4537"/>
  <c r="N4537"/>
  <c r="W4537"/>
  <c r="H4538"/>
  <c r="I4538"/>
  <c r="K4538"/>
  <c r="N4538"/>
  <c r="W4538"/>
  <c r="H4539"/>
  <c r="I4539"/>
  <c r="K4539"/>
  <c r="N4539"/>
  <c r="W4539"/>
  <c r="H4540"/>
  <c r="I4540"/>
  <c r="K4540"/>
  <c r="N4540"/>
  <c r="W4540"/>
  <c r="H4541"/>
  <c r="I4541"/>
  <c r="K4541"/>
  <c r="N4541"/>
  <c r="W4541"/>
  <c r="H4542"/>
  <c r="I4542"/>
  <c r="K4542"/>
  <c r="N4542"/>
  <c r="W4542"/>
  <c r="H4543"/>
  <c r="I4543"/>
  <c r="K4543"/>
  <c r="N4543"/>
  <c r="W4543"/>
  <c r="H4544"/>
  <c r="I4544"/>
  <c r="K4544"/>
  <c r="N4544"/>
  <c r="W4544"/>
  <c r="H4545"/>
  <c r="I4545"/>
  <c r="K4545"/>
  <c r="N4545"/>
  <c r="W4545"/>
  <c r="H4546"/>
  <c r="I4546"/>
  <c r="K4546"/>
  <c r="N4546"/>
  <c r="W4546"/>
  <c r="H4547"/>
  <c r="I4547"/>
  <c r="K4547"/>
  <c r="N4547"/>
  <c r="W4547"/>
  <c r="H4548"/>
  <c r="I4548"/>
  <c r="K4548"/>
  <c r="N4548"/>
  <c r="W4548"/>
  <c r="H4549"/>
  <c r="I4549"/>
  <c r="K4549"/>
  <c r="N4549"/>
  <c r="W4549"/>
  <c r="H4550"/>
  <c r="I4550"/>
  <c r="K4550"/>
  <c r="N4550"/>
  <c r="W4550"/>
  <c r="H4551"/>
  <c r="I4551"/>
  <c r="K4551"/>
  <c r="N4551"/>
  <c r="W4551"/>
  <c r="H4552"/>
  <c r="I4552"/>
  <c r="K4552"/>
  <c r="N4552"/>
  <c r="W4552"/>
  <c r="H4553"/>
  <c r="I4553"/>
  <c r="K4553"/>
  <c r="N4553"/>
  <c r="W4553"/>
  <c r="H4554"/>
  <c r="I4554"/>
  <c r="K4554"/>
  <c r="N4554"/>
  <c r="W4554"/>
  <c r="H4555"/>
  <c r="I4555"/>
  <c r="K4555"/>
  <c r="N4555"/>
  <c r="W4555"/>
  <c r="H4556"/>
  <c r="I4556"/>
  <c r="K4556"/>
  <c r="N4556"/>
  <c r="W4556"/>
  <c r="H4557"/>
  <c r="I4557"/>
  <c r="K4557"/>
  <c r="N4557"/>
  <c r="W4557"/>
  <c r="H4558"/>
  <c r="I4558"/>
  <c r="K4558"/>
  <c r="N4558"/>
  <c r="W4558"/>
  <c r="H4559"/>
  <c r="I4559"/>
  <c r="K4559"/>
  <c r="N4559"/>
  <c r="W4559"/>
  <c r="H4560"/>
  <c r="I4560"/>
  <c r="K4560"/>
  <c r="N4560"/>
  <c r="W4560"/>
  <c r="H4561"/>
  <c r="I4561"/>
  <c r="K4561"/>
  <c r="N4561"/>
  <c r="W4561"/>
  <c r="H4562"/>
  <c r="I4562"/>
  <c r="K4562"/>
  <c r="N4562"/>
  <c r="W4562"/>
  <c r="H4563"/>
  <c r="I4563"/>
  <c r="K4563"/>
  <c r="N4563"/>
  <c r="W4563"/>
  <c r="H4564"/>
  <c r="I4564"/>
  <c r="K4564"/>
  <c r="N4564"/>
  <c r="W4564"/>
  <c r="H4565"/>
  <c r="I4565"/>
  <c r="K4565"/>
  <c r="N4565"/>
  <c r="W4565"/>
  <c r="H4566"/>
  <c r="I4566"/>
  <c r="K4566"/>
  <c r="N4566"/>
  <c r="W4566"/>
  <c r="H4567"/>
  <c r="I4567"/>
  <c r="K4567"/>
  <c r="N4567"/>
  <c r="W4567"/>
  <c r="H4568"/>
  <c r="I4568"/>
  <c r="K4568"/>
  <c r="N4568"/>
  <c r="W4568"/>
  <c r="H4569"/>
  <c r="I4569"/>
  <c r="K4569"/>
  <c r="N4569"/>
  <c r="W4569"/>
  <c r="H4570"/>
  <c r="I4570"/>
  <c r="K4570"/>
  <c r="N4570"/>
  <c r="W4570"/>
  <c r="H4571"/>
  <c r="I4571"/>
  <c r="K4571"/>
  <c r="N4571"/>
  <c r="W4571"/>
  <c r="H4572"/>
  <c r="I4572"/>
  <c r="K4572"/>
  <c r="N4572"/>
  <c r="W4572"/>
  <c r="H4573"/>
  <c r="I4573"/>
  <c r="K4573"/>
  <c r="N4573"/>
  <c r="W4573"/>
  <c r="H4574"/>
  <c r="I4574"/>
  <c r="K4574"/>
  <c r="N4574"/>
  <c r="W4574"/>
  <c r="H4575"/>
  <c r="I4575"/>
  <c r="K4575"/>
  <c r="N4575"/>
  <c r="W4575"/>
  <c r="H4576"/>
  <c r="I4576"/>
  <c r="K4576"/>
  <c r="N4576"/>
  <c r="W4576"/>
  <c r="H4577"/>
  <c r="I4577"/>
  <c r="K4577"/>
  <c r="N4577"/>
  <c r="W4577"/>
  <c r="H4578"/>
  <c r="I4578"/>
  <c r="K4578"/>
  <c r="N4578"/>
  <c r="W4578"/>
  <c r="H4579"/>
  <c r="I4579"/>
  <c r="K4579"/>
  <c r="N4579"/>
  <c r="W4579"/>
  <c r="H4580"/>
  <c r="I4580"/>
  <c r="K4580"/>
  <c r="N4580"/>
  <c r="W4580"/>
  <c r="H4581"/>
  <c r="I4581"/>
  <c r="K4581"/>
  <c r="N4581"/>
  <c r="W4581"/>
  <c r="H4582"/>
  <c r="I4582"/>
  <c r="K4582"/>
  <c r="N4582"/>
  <c r="W4582"/>
  <c r="H4583"/>
  <c r="I4583"/>
  <c r="K4583"/>
  <c r="N4583"/>
  <c r="W4583"/>
  <c r="H4584"/>
  <c r="I4584"/>
  <c r="K4584"/>
  <c r="N4584"/>
  <c r="W4584"/>
  <c r="H4585"/>
  <c r="I4585"/>
  <c r="K4585"/>
  <c r="N4585"/>
  <c r="W4585"/>
  <c r="H4586"/>
  <c r="I4586"/>
  <c r="K4586"/>
  <c r="N4586"/>
  <c r="W4586"/>
  <c r="H4587"/>
  <c r="I4587"/>
  <c r="K4587"/>
  <c r="N4587"/>
  <c r="W4587"/>
  <c r="H4588"/>
  <c r="I4588"/>
  <c r="K4588"/>
  <c r="N4588"/>
  <c r="W4588"/>
  <c r="H4589"/>
  <c r="I4589"/>
  <c r="K4589"/>
  <c r="N4589"/>
  <c r="W4589"/>
  <c r="H4590"/>
  <c r="I4590"/>
  <c r="K4590"/>
  <c r="N4590"/>
  <c r="W4590"/>
  <c r="H4591"/>
  <c r="I4591"/>
  <c r="K4591"/>
  <c r="N4591"/>
  <c r="W4591"/>
  <c r="H4592"/>
  <c r="I4592"/>
  <c r="K4592"/>
  <c r="N4592"/>
  <c r="W4592"/>
  <c r="H4593"/>
  <c r="I4593"/>
  <c r="K4593"/>
  <c r="N4593"/>
  <c r="W4593"/>
  <c r="H4594"/>
  <c r="I4594"/>
  <c r="K4594"/>
  <c r="N4594"/>
  <c r="W4594"/>
  <c r="H4595"/>
  <c r="I4595"/>
  <c r="K4595"/>
  <c r="N4595"/>
  <c r="W4595"/>
  <c r="H4596"/>
  <c r="I4596"/>
  <c r="K4596"/>
  <c r="N4596"/>
  <c r="W4596"/>
  <c r="H4597"/>
  <c r="I4597"/>
  <c r="K4597"/>
  <c r="N4597"/>
  <c r="W4597"/>
  <c r="H4598"/>
  <c r="I4598"/>
  <c r="K4598"/>
  <c r="N4598"/>
  <c r="W4598"/>
  <c r="H4599"/>
  <c r="I4599"/>
  <c r="K4599"/>
  <c r="N4599"/>
  <c r="W4599"/>
  <c r="H4600"/>
  <c r="I4600"/>
  <c r="K4600"/>
  <c r="N4600"/>
  <c r="W4600"/>
  <c r="H4601"/>
  <c r="I4601"/>
  <c r="K4601"/>
  <c r="N4601"/>
  <c r="W4601"/>
  <c r="H4602"/>
  <c r="I4602"/>
  <c r="K4602"/>
  <c r="N4602"/>
  <c r="W4602"/>
  <c r="H4603"/>
  <c r="I4603"/>
  <c r="K4603"/>
  <c r="N4603"/>
  <c r="W4603"/>
  <c r="H4604"/>
  <c r="I4604"/>
  <c r="K4604"/>
  <c r="N4604"/>
  <c r="W4604"/>
  <c r="H4605"/>
  <c r="I4605"/>
  <c r="K4605"/>
  <c r="N4605"/>
  <c r="W4605"/>
  <c r="H4606"/>
  <c r="I4606"/>
  <c r="K4606"/>
  <c r="N4606"/>
  <c r="W4606"/>
  <c r="H4607"/>
  <c r="I4607"/>
  <c r="K4607"/>
  <c r="N4607"/>
  <c r="W4607"/>
  <c r="H4608"/>
  <c r="I4608"/>
  <c r="K4608"/>
  <c r="N4608"/>
  <c r="W4608"/>
  <c r="H4609"/>
  <c r="I4609"/>
  <c r="K4609"/>
  <c r="N4609"/>
  <c r="W4609"/>
  <c r="H4610"/>
  <c r="I4610"/>
  <c r="K4610"/>
  <c r="N4610"/>
  <c r="W4610"/>
  <c r="H4611"/>
  <c r="I4611"/>
  <c r="K4611"/>
  <c r="N4611"/>
  <c r="W4611"/>
  <c r="H4612"/>
  <c r="I4612"/>
  <c r="K4612"/>
  <c r="N4612"/>
  <c r="W4612"/>
  <c r="H4613"/>
  <c r="I4613"/>
  <c r="K4613"/>
  <c r="N4613"/>
  <c r="W4613"/>
  <c r="H4614"/>
  <c r="I4614"/>
  <c r="K4614"/>
  <c r="N4614"/>
  <c r="W4614"/>
  <c r="H4615"/>
  <c r="I4615"/>
  <c r="K4615"/>
  <c r="N4615"/>
  <c r="W4615"/>
  <c r="H4616"/>
  <c r="I4616"/>
  <c r="K4616"/>
  <c r="N4616"/>
  <c r="W4616"/>
  <c r="H4617"/>
  <c r="I4617"/>
  <c r="K4617"/>
  <c r="N4617"/>
  <c r="W4617"/>
  <c r="H4618"/>
  <c r="I4618"/>
  <c r="K4618"/>
  <c r="N4618"/>
  <c r="W4618"/>
  <c r="H4619"/>
  <c r="I4619"/>
  <c r="K4619"/>
  <c r="N4619"/>
  <c r="W4619"/>
  <c r="H4620"/>
  <c r="I4620"/>
  <c r="K4620"/>
  <c r="N4620"/>
  <c r="W4620"/>
  <c r="H4621"/>
  <c r="I4621"/>
  <c r="K4621"/>
  <c r="N4621"/>
  <c r="W4621"/>
  <c r="H4622"/>
  <c r="I4622"/>
  <c r="K4622"/>
  <c r="N4622"/>
  <c r="W4622"/>
  <c r="H4623"/>
  <c r="I4623"/>
  <c r="K4623"/>
  <c r="N4623"/>
  <c r="W4623"/>
  <c r="H4624"/>
  <c r="I4624"/>
  <c r="K4624"/>
  <c r="N4624"/>
  <c r="W4624"/>
  <c r="H4625"/>
  <c r="I4625"/>
  <c r="K4625"/>
  <c r="N4625"/>
  <c r="W4625"/>
  <c r="H4626"/>
  <c r="I4626"/>
  <c r="K4626"/>
  <c r="N4626"/>
  <c r="W4626"/>
  <c r="H4627"/>
  <c r="I4627"/>
  <c r="K4627"/>
  <c r="N4627"/>
  <c r="W4627"/>
  <c r="H4628"/>
  <c r="I4628"/>
  <c r="K4628"/>
  <c r="N4628"/>
  <c r="W4628"/>
  <c r="H4629"/>
  <c r="I4629"/>
  <c r="K4629"/>
  <c r="N4629"/>
  <c r="W4629"/>
  <c r="H4630"/>
  <c r="I4630"/>
  <c r="K4630"/>
  <c r="N4630"/>
  <c r="W4630"/>
  <c r="H4631"/>
  <c r="I4631"/>
  <c r="K4631"/>
  <c r="N4631"/>
  <c r="W4631"/>
  <c r="H4632"/>
  <c r="I4632"/>
  <c r="K4632"/>
  <c r="N4632"/>
  <c r="W4632"/>
  <c r="H4633"/>
  <c r="I4633"/>
  <c r="K4633"/>
  <c r="N4633"/>
  <c r="W4633"/>
  <c r="H4634"/>
  <c r="I4634"/>
  <c r="K4634"/>
  <c r="N4634"/>
  <c r="W4634"/>
  <c r="H4635"/>
  <c r="I4635"/>
  <c r="K4635"/>
  <c r="N4635"/>
  <c r="W4635"/>
  <c r="H4636"/>
  <c r="I4636"/>
  <c r="K4636"/>
  <c r="N4636"/>
  <c r="W4636"/>
  <c r="H4637"/>
  <c r="I4637"/>
  <c r="K4637"/>
  <c r="N4637"/>
  <c r="W4637"/>
  <c r="H4638"/>
  <c r="I4638"/>
  <c r="K4638"/>
  <c r="N4638"/>
  <c r="W4638"/>
  <c r="H4639"/>
  <c r="I4639"/>
  <c r="K4639"/>
  <c r="N4639"/>
  <c r="W4639"/>
  <c r="H4640"/>
  <c r="I4640"/>
  <c r="K4640"/>
  <c r="N4640"/>
  <c r="W4640"/>
  <c r="H4641"/>
  <c r="I4641"/>
  <c r="K4641"/>
  <c r="N4641"/>
  <c r="W4641"/>
  <c r="H4642"/>
  <c r="I4642"/>
  <c r="K4642"/>
  <c r="N4642"/>
  <c r="W4642"/>
  <c r="H4643"/>
  <c r="I4643"/>
  <c r="K4643"/>
  <c r="N4643"/>
  <c r="W4643"/>
  <c r="H4644"/>
  <c r="I4644"/>
  <c r="K4644"/>
  <c r="N4644"/>
  <c r="W4644"/>
  <c r="H4645"/>
  <c r="I4645"/>
  <c r="K4645"/>
  <c r="N4645"/>
  <c r="W4645"/>
  <c r="H4646"/>
  <c r="I4646"/>
  <c r="K4646"/>
  <c r="N4646"/>
  <c r="W4646"/>
  <c r="H4647"/>
  <c r="I4647"/>
  <c r="K4647"/>
  <c r="N4647"/>
  <c r="W4647"/>
  <c r="H4648"/>
  <c r="I4648"/>
  <c r="K4648"/>
  <c r="N4648"/>
  <c r="W4648"/>
  <c r="H4649"/>
  <c r="I4649"/>
  <c r="K4649"/>
  <c r="N4649"/>
  <c r="W4649"/>
  <c r="H4650"/>
  <c r="I4650"/>
  <c r="K4650"/>
  <c r="N4650"/>
  <c r="W4650"/>
  <c r="H4651"/>
  <c r="I4651"/>
  <c r="K4651"/>
  <c r="N4651"/>
  <c r="W4651"/>
  <c r="H4652"/>
  <c r="I4652"/>
  <c r="K4652"/>
  <c r="N4652"/>
  <c r="W4652"/>
  <c r="H4653"/>
  <c r="I4653"/>
  <c r="K4653"/>
  <c r="N4653"/>
  <c r="W4653"/>
  <c r="H4654"/>
  <c r="I4654"/>
  <c r="K4654"/>
  <c r="N4654"/>
  <c r="W4654"/>
  <c r="H4655"/>
  <c r="I4655"/>
  <c r="K4655"/>
  <c r="N4655"/>
  <c r="W4655"/>
  <c r="H4656"/>
  <c r="I4656"/>
  <c r="K4656"/>
  <c r="N4656"/>
  <c r="W4656"/>
  <c r="H4657"/>
  <c r="I4657"/>
  <c r="K4657"/>
  <c r="N4657"/>
  <c r="W4657"/>
  <c r="H4658"/>
  <c r="I4658"/>
  <c r="K4658"/>
  <c r="N4658"/>
  <c r="W4658"/>
  <c r="H4659"/>
  <c r="I4659"/>
  <c r="K4659"/>
  <c r="N4659"/>
  <c r="W4659"/>
  <c r="H4660"/>
  <c r="I4660"/>
  <c r="K4660"/>
  <c r="N4660"/>
  <c r="W4660"/>
  <c r="H4661"/>
  <c r="I4661"/>
  <c r="K4661"/>
  <c r="N4661"/>
  <c r="W4661"/>
  <c r="H4662"/>
  <c r="I4662"/>
  <c r="K4662"/>
  <c r="N4662"/>
  <c r="W4662"/>
  <c r="H4663"/>
  <c r="I4663"/>
  <c r="K4663"/>
  <c r="N4663"/>
  <c r="W4663"/>
  <c r="H4664"/>
  <c r="I4664"/>
  <c r="K4664"/>
  <c r="N4664"/>
  <c r="W4664"/>
  <c r="H4665"/>
  <c r="I4665"/>
  <c r="K4665"/>
  <c r="N4665"/>
  <c r="W4665"/>
  <c r="H4666"/>
  <c r="I4666"/>
  <c r="K4666"/>
  <c r="N4666"/>
  <c r="W4666"/>
  <c r="H4667"/>
  <c r="I4667"/>
  <c r="K4667"/>
  <c r="N4667"/>
  <c r="W4667"/>
  <c r="H4668"/>
  <c r="I4668"/>
  <c r="K4668"/>
  <c r="N4668"/>
  <c r="W4668"/>
  <c r="H4669"/>
  <c r="I4669"/>
  <c r="K4669"/>
  <c r="N4669"/>
  <c r="W4669"/>
  <c r="H4670"/>
  <c r="I4670"/>
  <c r="K4670"/>
  <c r="N4670"/>
  <c r="W4670"/>
  <c r="H4671"/>
  <c r="I4671"/>
  <c r="K4671"/>
  <c r="N4671"/>
  <c r="W4671"/>
  <c r="H4672"/>
  <c r="I4672"/>
  <c r="K4672"/>
  <c r="N4672"/>
  <c r="W4672"/>
  <c r="H4673"/>
  <c r="I4673"/>
  <c r="K4673"/>
  <c r="N4673"/>
  <c r="W4673"/>
  <c r="H4674"/>
  <c r="I4674"/>
  <c r="K4674"/>
  <c r="N4674"/>
  <c r="W4674"/>
  <c r="H4675"/>
  <c r="I4675"/>
  <c r="K4675"/>
  <c r="N4675"/>
  <c r="W4675"/>
  <c r="H4676"/>
  <c r="I4676"/>
  <c r="K4676"/>
  <c r="N4676"/>
  <c r="W4676"/>
  <c r="H4677"/>
  <c r="I4677"/>
  <c r="K4677"/>
  <c r="N4677"/>
  <c r="W4677"/>
  <c r="H4678"/>
  <c r="I4678"/>
  <c r="K4678"/>
  <c r="N4678"/>
  <c r="W4678"/>
  <c r="H4679"/>
  <c r="I4679"/>
  <c r="K4679"/>
  <c r="N4679"/>
  <c r="W4679"/>
  <c r="H4680"/>
  <c r="I4680"/>
  <c r="K4680"/>
  <c r="N4680"/>
  <c r="W4680"/>
  <c r="H4681"/>
  <c r="I4681"/>
  <c r="K4681"/>
  <c r="N4681"/>
  <c r="W4681"/>
  <c r="H4682"/>
  <c r="I4682"/>
  <c r="K4682"/>
  <c r="N4682"/>
  <c r="W4682"/>
  <c r="H4683"/>
  <c r="I4683"/>
  <c r="K4683"/>
  <c r="N4683"/>
  <c r="W4683"/>
  <c r="H4684"/>
  <c r="I4684"/>
  <c r="K4684"/>
  <c r="N4684"/>
  <c r="W4684"/>
  <c r="H4685"/>
  <c r="I4685"/>
  <c r="K4685"/>
  <c r="N4685"/>
  <c r="W4685"/>
  <c r="H4686"/>
  <c r="I4686"/>
  <c r="K4686"/>
  <c r="N4686"/>
  <c r="W4686"/>
  <c r="H4687"/>
  <c r="I4687"/>
  <c r="K4687"/>
  <c r="N4687"/>
  <c r="W4687"/>
  <c r="H4688"/>
  <c r="I4688"/>
  <c r="K4688"/>
  <c r="N4688"/>
  <c r="W4688"/>
  <c r="H4689"/>
  <c r="I4689"/>
  <c r="K4689"/>
  <c r="N4689"/>
  <c r="W4689"/>
  <c r="H4690"/>
  <c r="I4690"/>
  <c r="K4690"/>
  <c r="N4690"/>
  <c r="W4690"/>
  <c r="H4691"/>
  <c r="I4691"/>
  <c r="K4691"/>
  <c r="N4691"/>
  <c r="W4691"/>
  <c r="H4692"/>
  <c r="I4692"/>
  <c r="K4692"/>
  <c r="N4692"/>
  <c r="W4692"/>
  <c r="H4693"/>
  <c r="I4693"/>
  <c r="K4693"/>
  <c r="N4693"/>
  <c r="W4693"/>
  <c r="H4694"/>
  <c r="I4694"/>
  <c r="K4694"/>
  <c r="N4694"/>
  <c r="W4694"/>
  <c r="H4695"/>
  <c r="I4695"/>
  <c r="K4695"/>
  <c r="N4695"/>
  <c r="W4695"/>
  <c r="H4696"/>
  <c r="I4696"/>
  <c r="K4696"/>
  <c r="N4696"/>
  <c r="W4696"/>
  <c r="H4697"/>
  <c r="I4697"/>
  <c r="K4697"/>
  <c r="N4697"/>
  <c r="W4697"/>
  <c r="H4698"/>
  <c r="I4698"/>
  <c r="K4698"/>
  <c r="N4698"/>
  <c r="W4698"/>
  <c r="H4699"/>
  <c r="I4699"/>
  <c r="K4699"/>
  <c r="N4699"/>
  <c r="W4699"/>
  <c r="H4700"/>
  <c r="I4700"/>
  <c r="K4700"/>
  <c r="N4700"/>
  <c r="W4700"/>
  <c r="H4701"/>
  <c r="I4701"/>
  <c r="K4701"/>
  <c r="N4701"/>
  <c r="W4701"/>
  <c r="H4702"/>
  <c r="I4702"/>
  <c r="K4702"/>
  <c r="N4702"/>
  <c r="W4702"/>
  <c r="H4703"/>
  <c r="I4703"/>
  <c r="K4703"/>
  <c r="N4703"/>
  <c r="W4703"/>
  <c r="H4704"/>
  <c r="I4704"/>
  <c r="K4704"/>
  <c r="N4704"/>
  <c r="W4704"/>
  <c r="H4705"/>
  <c r="I4705"/>
  <c r="K4705"/>
  <c r="N4705"/>
  <c r="W4705"/>
  <c r="H4706"/>
  <c r="I4706"/>
  <c r="K4706"/>
  <c r="N4706"/>
  <c r="W4706"/>
  <c r="H4707"/>
  <c r="I4707"/>
  <c r="K4707"/>
  <c r="N4707"/>
  <c r="W4707"/>
  <c r="H4708"/>
  <c r="I4708"/>
  <c r="K4708"/>
  <c r="N4708"/>
  <c r="W4708"/>
  <c r="H4709"/>
  <c r="I4709"/>
  <c r="K4709"/>
  <c r="N4709"/>
  <c r="W4709"/>
  <c r="H4710"/>
  <c r="I4710"/>
  <c r="K4710"/>
  <c r="N4710"/>
  <c r="W4710"/>
  <c r="H4711"/>
  <c r="I4711"/>
  <c r="K4711"/>
  <c r="N4711"/>
  <c r="W4711"/>
  <c r="H4712"/>
  <c r="I4712"/>
  <c r="K4712"/>
  <c r="N4712"/>
  <c r="W4712"/>
  <c r="H4713"/>
  <c r="I4713"/>
  <c r="K4713"/>
  <c r="N4713"/>
  <c r="W4713"/>
  <c r="H4714"/>
  <c r="I4714"/>
  <c r="K4714"/>
  <c r="N4714"/>
  <c r="W4714"/>
  <c r="H4715"/>
  <c r="I4715"/>
  <c r="K4715"/>
  <c r="N4715"/>
  <c r="W4715"/>
  <c r="H4716"/>
  <c r="I4716"/>
  <c r="K4716"/>
  <c r="N4716"/>
  <c r="W4716"/>
  <c r="H4717"/>
  <c r="I4717"/>
  <c r="K4717"/>
  <c r="N4717"/>
  <c r="W4717"/>
  <c r="H4718"/>
  <c r="I4718"/>
  <c r="K4718"/>
  <c r="N4718"/>
  <c r="W4718"/>
  <c r="H4719"/>
  <c r="I4719"/>
  <c r="K4719"/>
  <c r="N4719"/>
  <c r="W4719"/>
  <c r="H4720"/>
  <c r="I4720"/>
  <c r="K4720"/>
  <c r="N4720"/>
  <c r="W4720"/>
  <c r="H4721"/>
  <c r="I4721"/>
  <c r="K4721"/>
  <c r="N4721"/>
  <c r="W4721"/>
  <c r="H4722"/>
  <c r="I4722"/>
  <c r="K4722"/>
  <c r="N4722"/>
  <c r="W4722"/>
  <c r="H4723"/>
  <c r="I4723"/>
  <c r="K4723"/>
  <c r="N4723"/>
  <c r="W4723"/>
  <c r="H4724"/>
  <c r="I4724"/>
  <c r="K4724"/>
  <c r="N4724"/>
  <c r="W4724"/>
  <c r="H4725"/>
  <c r="I4725"/>
  <c r="K4725"/>
  <c r="N4725"/>
  <c r="W4725"/>
  <c r="H4726"/>
  <c r="I4726"/>
  <c r="K4726"/>
  <c r="N4726"/>
  <c r="W4726"/>
  <c r="H4727"/>
  <c r="I4727"/>
  <c r="K4727"/>
  <c r="N4727"/>
  <c r="W4727"/>
  <c r="H4728"/>
  <c r="I4728"/>
  <c r="K4728"/>
  <c r="N4728"/>
  <c r="W4728"/>
  <c r="H4729"/>
  <c r="I4729"/>
  <c r="K4729"/>
  <c r="N4729"/>
  <c r="W4729"/>
  <c r="H4730"/>
  <c r="I4730"/>
  <c r="K4730"/>
  <c r="N4730"/>
  <c r="W4730"/>
  <c r="H4731"/>
  <c r="I4731"/>
  <c r="K4731"/>
  <c r="N4731"/>
  <c r="W4731"/>
  <c r="H4732"/>
  <c r="I4732"/>
  <c r="K4732"/>
  <c r="N4732"/>
  <c r="W4732"/>
  <c r="H4733"/>
  <c r="I4733"/>
  <c r="K4733"/>
  <c r="N4733"/>
  <c r="W4733"/>
  <c r="H4734"/>
  <c r="I4734"/>
  <c r="K4734"/>
  <c r="N4734"/>
  <c r="W4734"/>
  <c r="H4735"/>
  <c r="I4735"/>
  <c r="K4735"/>
  <c r="N4735"/>
  <c r="W4735"/>
  <c r="H4736"/>
  <c r="I4736"/>
  <c r="K4736"/>
  <c r="N4736"/>
  <c r="W4736"/>
  <c r="H4737"/>
  <c r="I4737"/>
  <c r="K4737"/>
  <c r="N4737"/>
  <c r="W4737"/>
  <c r="H4738"/>
  <c r="I4738"/>
  <c r="K4738"/>
  <c r="N4738"/>
  <c r="W4738"/>
  <c r="H4739"/>
  <c r="I4739"/>
  <c r="K4739"/>
  <c r="N4739"/>
  <c r="W4739"/>
  <c r="H4740"/>
  <c r="I4740"/>
  <c r="K4740"/>
  <c r="N4740"/>
  <c r="W4740"/>
  <c r="H4741"/>
  <c r="I4741"/>
  <c r="K4741"/>
  <c r="N4741"/>
  <c r="W4741"/>
  <c r="H4742"/>
  <c r="I4742"/>
  <c r="K4742"/>
  <c r="N4742"/>
  <c r="W4742"/>
  <c r="H4743"/>
  <c r="I4743"/>
  <c r="K4743"/>
  <c r="N4743"/>
  <c r="W4743"/>
  <c r="H4744"/>
  <c r="I4744"/>
  <c r="K4744"/>
  <c r="N4744"/>
  <c r="W4744"/>
  <c r="H4745"/>
  <c r="I4745"/>
  <c r="K4745"/>
  <c r="N4745"/>
  <c r="W4745"/>
  <c r="H4746"/>
  <c r="I4746"/>
  <c r="K4746"/>
  <c r="N4746"/>
  <c r="W4746"/>
  <c r="H4747"/>
  <c r="I4747"/>
  <c r="K4747"/>
  <c r="N4747"/>
  <c r="W4747"/>
  <c r="H4748"/>
  <c r="I4748"/>
  <c r="K4748"/>
  <c r="N4748"/>
  <c r="W4748"/>
  <c r="H4749"/>
  <c r="I4749"/>
  <c r="K4749"/>
  <c r="N4749"/>
  <c r="W4749"/>
  <c r="H4750"/>
  <c r="I4750"/>
  <c r="K4750"/>
  <c r="N4750"/>
  <c r="W4750"/>
  <c r="H4751"/>
  <c r="I4751"/>
  <c r="K4751"/>
  <c r="N4751"/>
  <c r="W4751"/>
  <c r="H4752"/>
  <c r="I4752"/>
  <c r="K4752"/>
  <c r="N4752"/>
  <c r="W4752"/>
  <c r="H4753"/>
  <c r="I4753"/>
  <c r="K4753"/>
  <c r="N4753"/>
  <c r="W4753"/>
  <c r="H4754"/>
  <c r="I4754"/>
  <c r="K4754"/>
  <c r="N4754"/>
  <c r="W4754"/>
  <c r="H4755"/>
  <c r="I4755"/>
  <c r="K4755"/>
  <c r="N4755"/>
  <c r="W4755"/>
  <c r="H4756"/>
  <c r="I4756"/>
  <c r="K4756"/>
  <c r="N4756"/>
  <c r="W4756"/>
  <c r="H4757"/>
  <c r="I4757"/>
  <c r="K4757"/>
  <c r="N4757"/>
  <c r="W4757"/>
  <c r="H4758"/>
  <c r="I4758"/>
  <c r="K4758"/>
  <c r="N4758"/>
  <c r="W4758"/>
  <c r="H4759"/>
  <c r="I4759"/>
  <c r="K4759"/>
  <c r="N4759"/>
  <c r="W4759"/>
  <c r="H4760"/>
  <c r="I4760"/>
  <c r="K4760"/>
  <c r="N4760"/>
  <c r="W4760"/>
  <c r="H4761"/>
  <c r="I4761"/>
  <c r="K4761"/>
  <c r="N4761"/>
  <c r="W4761"/>
  <c r="H4762"/>
  <c r="I4762"/>
  <c r="K4762"/>
  <c r="N4762"/>
  <c r="W4762"/>
  <c r="H4763"/>
  <c r="I4763"/>
  <c r="K4763"/>
  <c r="N4763"/>
  <c r="W4763"/>
  <c r="H4764"/>
  <c r="I4764"/>
  <c r="K4764"/>
  <c r="N4764"/>
  <c r="W4764"/>
  <c r="H4765"/>
  <c r="I4765"/>
  <c r="K4765"/>
  <c r="N4765"/>
  <c r="W4765"/>
  <c r="H4766"/>
  <c r="I4766"/>
  <c r="K4766"/>
  <c r="N4766"/>
  <c r="W4766"/>
  <c r="H4767"/>
  <c r="I4767"/>
  <c r="K4767"/>
  <c r="N4767"/>
  <c r="W4767"/>
  <c r="H4768"/>
  <c r="I4768"/>
  <c r="K4768"/>
  <c r="N4768"/>
  <c r="W4768"/>
  <c r="H4769"/>
  <c r="I4769"/>
  <c r="K4769"/>
  <c r="N4769"/>
  <c r="W4769"/>
  <c r="H4770"/>
  <c r="I4770"/>
  <c r="K4770"/>
  <c r="N4770"/>
  <c r="W4770"/>
  <c r="H4771"/>
  <c r="I4771"/>
  <c r="K4771"/>
  <c r="N4771"/>
  <c r="W4771"/>
  <c r="H4772"/>
  <c r="I4772"/>
  <c r="K4772"/>
  <c r="N4772"/>
  <c r="W4772"/>
  <c r="H4773"/>
  <c r="I4773"/>
  <c r="K4773"/>
  <c r="N4773"/>
  <c r="W4773"/>
  <c r="H4774"/>
  <c r="I4774"/>
  <c r="K4774"/>
  <c r="N4774"/>
  <c r="W4774"/>
  <c r="H4775"/>
  <c r="I4775"/>
  <c r="K4775"/>
  <c r="N4775"/>
  <c r="W4775"/>
  <c r="H4776"/>
  <c r="I4776"/>
  <c r="K4776"/>
  <c r="N4776"/>
  <c r="W4776"/>
  <c r="H4777"/>
  <c r="I4777"/>
  <c r="K4777"/>
  <c r="N4777"/>
  <c r="W4777"/>
  <c r="H4778"/>
  <c r="I4778"/>
  <c r="K4778"/>
  <c r="N4778"/>
  <c r="W4778"/>
  <c r="H4779"/>
  <c r="I4779"/>
  <c r="K4779"/>
  <c r="N4779"/>
  <c r="W4779"/>
  <c r="H4780"/>
  <c r="I4780"/>
  <c r="K4780"/>
  <c r="N4780"/>
  <c r="W4780"/>
  <c r="H4781"/>
  <c r="I4781"/>
  <c r="K4781"/>
  <c r="N4781"/>
  <c r="W4781"/>
  <c r="H4782"/>
  <c r="I4782"/>
  <c r="K4782"/>
  <c r="N4782"/>
  <c r="W4782"/>
  <c r="H4783"/>
  <c r="I4783"/>
  <c r="K4783"/>
  <c r="N4783"/>
  <c r="W4783"/>
  <c r="H4784"/>
  <c r="I4784"/>
  <c r="K4784"/>
  <c r="N4784"/>
  <c r="W4784"/>
  <c r="H4785"/>
  <c r="I4785"/>
  <c r="K4785"/>
  <c r="N4785"/>
  <c r="W4785"/>
  <c r="H4786"/>
  <c r="I4786"/>
  <c r="K4786"/>
  <c r="N4786"/>
  <c r="W4786"/>
  <c r="H4787"/>
  <c r="I4787"/>
  <c r="K4787"/>
  <c r="N4787"/>
  <c r="W4787"/>
  <c r="H4788"/>
  <c r="I4788"/>
  <c r="K4788"/>
  <c r="N4788"/>
  <c r="W4788"/>
  <c r="H4789"/>
  <c r="I4789"/>
  <c r="K4789"/>
  <c r="N4789"/>
  <c r="W4789"/>
  <c r="H4790"/>
  <c r="I4790"/>
  <c r="K4790"/>
  <c r="N4790"/>
  <c r="W4790"/>
  <c r="H4791"/>
  <c r="I4791"/>
  <c r="K4791"/>
  <c r="N4791"/>
  <c r="W4791"/>
  <c r="H4792"/>
  <c r="I4792"/>
  <c r="K4792"/>
  <c r="N4792"/>
  <c r="W4792"/>
  <c r="H4793"/>
  <c r="I4793"/>
  <c r="K4793"/>
  <c r="N4793"/>
  <c r="W4793"/>
  <c r="H4794"/>
  <c r="I4794"/>
  <c r="K4794"/>
  <c r="N4794"/>
  <c r="W4794"/>
  <c r="H4795"/>
  <c r="I4795"/>
  <c r="K4795"/>
  <c r="N4795"/>
  <c r="W4795"/>
  <c r="H4796"/>
  <c r="I4796"/>
  <c r="K4796"/>
  <c r="N4796"/>
  <c r="W4796"/>
  <c r="H4797"/>
  <c r="I4797"/>
  <c r="K4797"/>
  <c r="N4797"/>
  <c r="W4797"/>
  <c r="H4798"/>
  <c r="I4798"/>
  <c r="K4798"/>
  <c r="N4798"/>
  <c r="W4798"/>
  <c r="H4799"/>
  <c r="I4799"/>
  <c r="K4799"/>
  <c r="N4799"/>
  <c r="W4799"/>
  <c r="H4800"/>
  <c r="I4800"/>
  <c r="K4800"/>
  <c r="N4800"/>
  <c r="W4800"/>
  <c r="H4801"/>
  <c r="I4801"/>
  <c r="K4801"/>
  <c r="N4801"/>
  <c r="W4801"/>
  <c r="H4802"/>
  <c r="I4802"/>
  <c r="K4802"/>
  <c r="N4802"/>
  <c r="W4802"/>
  <c r="H4803"/>
  <c r="I4803"/>
  <c r="K4803"/>
  <c r="N4803"/>
  <c r="W4803"/>
  <c r="H4804"/>
  <c r="I4804"/>
  <c r="K4804"/>
  <c r="N4804"/>
  <c r="W4804"/>
  <c r="H4805"/>
  <c r="I4805"/>
  <c r="K4805"/>
  <c r="N4805"/>
  <c r="W4805"/>
  <c r="H4806"/>
  <c r="I4806"/>
  <c r="K4806"/>
  <c r="N4806"/>
  <c r="W4806"/>
  <c r="H4807"/>
  <c r="I4807"/>
  <c r="K4807"/>
  <c r="N4807"/>
  <c r="W4807"/>
  <c r="H4808"/>
  <c r="I4808"/>
  <c r="K4808"/>
  <c r="N4808"/>
  <c r="W4808"/>
  <c r="H4809"/>
  <c r="I4809"/>
  <c r="K4809"/>
  <c r="N4809"/>
  <c r="W4809"/>
  <c r="H4810"/>
  <c r="I4810"/>
  <c r="K4810"/>
  <c r="N4810"/>
  <c r="W4810"/>
  <c r="H4811"/>
  <c r="I4811"/>
  <c r="K4811"/>
  <c r="N4811"/>
  <c r="W4811"/>
  <c r="H4812"/>
  <c r="I4812"/>
  <c r="K4812"/>
  <c r="N4812"/>
  <c r="W4812"/>
  <c r="H4813"/>
  <c r="I4813"/>
  <c r="K4813"/>
  <c r="N4813"/>
  <c r="W4813"/>
  <c r="H4814"/>
  <c r="I4814"/>
  <c r="K4814"/>
  <c r="N4814"/>
  <c r="W4814"/>
  <c r="H4815"/>
  <c r="I4815"/>
  <c r="K4815"/>
  <c r="N4815"/>
  <c r="W4815"/>
  <c r="H4816"/>
  <c r="I4816"/>
  <c r="K4816"/>
  <c r="N4816"/>
  <c r="W4816"/>
  <c r="H4817"/>
  <c r="I4817"/>
  <c r="K4817"/>
  <c r="N4817"/>
  <c r="W4817"/>
  <c r="H4818"/>
  <c r="I4818"/>
  <c r="K4818"/>
  <c r="N4818"/>
  <c r="W4818"/>
  <c r="H4819"/>
  <c r="I4819"/>
  <c r="K4819"/>
  <c r="N4819"/>
  <c r="W4819"/>
  <c r="H4820"/>
  <c r="I4820"/>
  <c r="K4820"/>
  <c r="N4820"/>
  <c r="W4820"/>
  <c r="H4821"/>
  <c r="I4821"/>
  <c r="K4821"/>
  <c r="N4821"/>
  <c r="W4821"/>
  <c r="H4822"/>
  <c r="I4822"/>
  <c r="K4822"/>
  <c r="N4822"/>
  <c r="W4822"/>
  <c r="H4823"/>
  <c r="I4823"/>
  <c r="K4823"/>
  <c r="N4823"/>
  <c r="W4823"/>
  <c r="H4824"/>
  <c r="I4824"/>
  <c r="K4824"/>
  <c r="N4824"/>
  <c r="W4824"/>
  <c r="H4825"/>
  <c r="I4825"/>
  <c r="K4825"/>
  <c r="N4825"/>
  <c r="W4825"/>
  <c r="H4826"/>
  <c r="I4826"/>
  <c r="K4826"/>
  <c r="N4826"/>
  <c r="W4826"/>
  <c r="H4827"/>
  <c r="I4827"/>
  <c r="K4827"/>
  <c r="N4827"/>
  <c r="W4827"/>
  <c r="H4828"/>
  <c r="I4828"/>
  <c r="K4828"/>
  <c r="N4828"/>
  <c r="W4828"/>
  <c r="H4829"/>
  <c r="I4829"/>
  <c r="K4829"/>
  <c r="N4829"/>
  <c r="W4829"/>
  <c r="H4830"/>
  <c r="I4830"/>
  <c r="K4830"/>
  <c r="N4830"/>
  <c r="W4830"/>
  <c r="H4831"/>
  <c r="I4831"/>
  <c r="K4831"/>
  <c r="N4831"/>
  <c r="W4831"/>
  <c r="H4832"/>
  <c r="I4832"/>
  <c r="K4832"/>
  <c r="N4832"/>
  <c r="W4832"/>
  <c r="H4833"/>
  <c r="I4833"/>
  <c r="K4833"/>
  <c r="N4833"/>
  <c r="W4833"/>
  <c r="H4834"/>
  <c r="I4834"/>
  <c r="K4834"/>
  <c r="N4834"/>
  <c r="W4834"/>
  <c r="H4835"/>
  <c r="I4835"/>
  <c r="K4835"/>
  <c r="N4835"/>
  <c r="W4835"/>
  <c r="H4836"/>
  <c r="I4836"/>
  <c r="K4836"/>
  <c r="N4836"/>
  <c r="W4836"/>
  <c r="H4837"/>
  <c r="I4837"/>
  <c r="K4837"/>
  <c r="N4837"/>
  <c r="W4837"/>
  <c r="H4838"/>
  <c r="I4838"/>
  <c r="K4838"/>
  <c r="N4838"/>
  <c r="W4838"/>
  <c r="H4839"/>
  <c r="I4839"/>
  <c r="K4839"/>
  <c r="N4839"/>
  <c r="W4839"/>
  <c r="H4840"/>
  <c r="I4840"/>
  <c r="K4840"/>
  <c r="N4840"/>
  <c r="W4840"/>
  <c r="H4841"/>
  <c r="I4841"/>
  <c r="K4841"/>
  <c r="N4841"/>
  <c r="W4841"/>
  <c r="H4842"/>
  <c r="I4842"/>
  <c r="K4842"/>
  <c r="N4842"/>
  <c r="W4842"/>
  <c r="H4843"/>
  <c r="I4843"/>
  <c r="K4843"/>
  <c r="N4843"/>
  <c r="W4843"/>
  <c r="H4844"/>
  <c r="I4844"/>
  <c r="K4844"/>
  <c r="N4844"/>
  <c r="W4844"/>
  <c r="H4845"/>
  <c r="I4845"/>
  <c r="K4845"/>
  <c r="N4845"/>
  <c r="W4845"/>
  <c r="H4846"/>
  <c r="I4846"/>
  <c r="K4846"/>
  <c r="N4846"/>
  <c r="W4846"/>
  <c r="H4847"/>
  <c r="I4847"/>
  <c r="K4847"/>
  <c r="N4847"/>
  <c r="W4847"/>
  <c r="H4848"/>
  <c r="I4848"/>
  <c r="K4848"/>
  <c r="N4848"/>
  <c r="W4848"/>
  <c r="H4849"/>
  <c r="I4849"/>
  <c r="K4849"/>
  <c r="N4849"/>
  <c r="W4849"/>
  <c r="H4850"/>
  <c r="I4850"/>
  <c r="K4850"/>
  <c r="N4850"/>
  <c r="W4850"/>
  <c r="H4851"/>
  <c r="I4851"/>
  <c r="K4851"/>
  <c r="N4851"/>
  <c r="W4851"/>
  <c r="H4852"/>
  <c r="I4852"/>
  <c r="K4852"/>
  <c r="N4852"/>
  <c r="W4852"/>
  <c r="H4853"/>
  <c r="I4853"/>
  <c r="K4853"/>
  <c r="N4853"/>
  <c r="W4853"/>
  <c r="H4854"/>
  <c r="I4854"/>
  <c r="K4854"/>
  <c r="N4854"/>
  <c r="W4854"/>
  <c r="H4855"/>
  <c r="I4855"/>
  <c r="K4855"/>
  <c r="N4855"/>
  <c r="W4855"/>
  <c r="H4856"/>
  <c r="I4856"/>
  <c r="K4856"/>
  <c r="N4856"/>
  <c r="W4856"/>
  <c r="H4857"/>
  <c r="I4857"/>
  <c r="K4857"/>
  <c r="N4857"/>
  <c r="W4857"/>
  <c r="H4858"/>
  <c r="I4858"/>
  <c r="K4858"/>
  <c r="N4858"/>
  <c r="W4858"/>
  <c r="H4859"/>
  <c r="I4859"/>
  <c r="K4859"/>
  <c r="N4859"/>
  <c r="W4859"/>
  <c r="H4860"/>
  <c r="I4860"/>
  <c r="K4860"/>
  <c r="N4860"/>
  <c r="W4860"/>
  <c r="H4861"/>
  <c r="I4861"/>
  <c r="K4861"/>
  <c r="N4861"/>
  <c r="W4861"/>
  <c r="H4862"/>
  <c r="I4862"/>
  <c r="K4862"/>
  <c r="N4862"/>
  <c r="W4862"/>
  <c r="H4863"/>
  <c r="I4863"/>
  <c r="K4863"/>
  <c r="N4863"/>
  <c r="W4863"/>
  <c r="H4864"/>
  <c r="I4864"/>
  <c r="K4864"/>
  <c r="N4864"/>
  <c r="W4864"/>
  <c r="H4865"/>
  <c r="I4865"/>
  <c r="K4865"/>
  <c r="N4865"/>
  <c r="W4865"/>
  <c r="H4866"/>
  <c r="I4866"/>
  <c r="K4866"/>
  <c r="N4866"/>
  <c r="W4866"/>
  <c r="H4867"/>
  <c r="I4867"/>
  <c r="K4867"/>
  <c r="N4867"/>
  <c r="W4867"/>
  <c r="H4868"/>
  <c r="I4868"/>
  <c r="K4868"/>
  <c r="N4868"/>
  <c r="W4868"/>
  <c r="H4869"/>
  <c r="I4869"/>
  <c r="K4869"/>
  <c r="N4869"/>
  <c r="W4869"/>
  <c r="H4870"/>
  <c r="I4870"/>
  <c r="K4870"/>
  <c r="N4870"/>
  <c r="W4870"/>
  <c r="H4871"/>
  <c r="I4871"/>
  <c r="K4871"/>
  <c r="N4871"/>
  <c r="W4871"/>
  <c r="H4872"/>
  <c r="I4872"/>
  <c r="K4872"/>
  <c r="N4872"/>
  <c r="W4872"/>
  <c r="H4873"/>
  <c r="I4873"/>
  <c r="K4873"/>
  <c r="N4873"/>
  <c r="W4873"/>
  <c r="H4874"/>
  <c r="I4874"/>
  <c r="K4874"/>
  <c r="N4874"/>
  <c r="W4874"/>
  <c r="H4875"/>
  <c r="I4875"/>
  <c r="K4875"/>
  <c r="N4875"/>
  <c r="W4875"/>
  <c r="H4876"/>
  <c r="I4876"/>
  <c r="K4876"/>
  <c r="N4876"/>
  <c r="W4876"/>
  <c r="H4877"/>
  <c r="I4877"/>
  <c r="K4877"/>
  <c r="N4877"/>
  <c r="W4877"/>
  <c r="H4878"/>
  <c r="I4878"/>
  <c r="K4878"/>
  <c r="N4878"/>
  <c r="W4878"/>
  <c r="H4879"/>
  <c r="I4879"/>
  <c r="K4879"/>
  <c r="N4879"/>
  <c r="W4879"/>
  <c r="H4880"/>
  <c r="I4880"/>
  <c r="K4880"/>
  <c r="N4880"/>
  <c r="W4880"/>
  <c r="H4881"/>
  <c r="I4881"/>
  <c r="K4881"/>
  <c r="N4881"/>
  <c r="W4881"/>
  <c r="H4882"/>
  <c r="I4882"/>
  <c r="K4882"/>
  <c r="N4882"/>
  <c r="W4882"/>
  <c r="H4883"/>
  <c r="I4883"/>
  <c r="K4883"/>
  <c r="N4883"/>
  <c r="W4883"/>
  <c r="H4884"/>
  <c r="I4884"/>
  <c r="K4884"/>
  <c r="N4884"/>
  <c r="W4884"/>
  <c r="H4885"/>
  <c r="I4885"/>
  <c r="K4885"/>
  <c r="N4885"/>
  <c r="W4885"/>
  <c r="H4886"/>
  <c r="I4886"/>
  <c r="K4886"/>
  <c r="N4886"/>
  <c r="W4886"/>
  <c r="H4887"/>
  <c r="I4887"/>
  <c r="K4887"/>
  <c r="N4887"/>
  <c r="W4887"/>
  <c r="H4888"/>
  <c r="I4888"/>
  <c r="K4888"/>
  <c r="N4888"/>
  <c r="W4888"/>
  <c r="H4889"/>
  <c r="I4889"/>
  <c r="K4889"/>
  <c r="N4889"/>
  <c r="W4889"/>
  <c r="H4890"/>
  <c r="I4890"/>
  <c r="K4890"/>
  <c r="N4890"/>
  <c r="W4890"/>
  <c r="H4891"/>
  <c r="I4891"/>
  <c r="K4891"/>
  <c r="N4891"/>
  <c r="W4891"/>
  <c r="H4892"/>
  <c r="I4892"/>
  <c r="K4892"/>
  <c r="N4892"/>
  <c r="W4892"/>
  <c r="H4893"/>
  <c r="I4893"/>
  <c r="K4893"/>
  <c r="N4893"/>
  <c r="W4893"/>
  <c r="H4894"/>
  <c r="I4894"/>
  <c r="K4894"/>
  <c r="N4894"/>
  <c r="W4894"/>
  <c r="H4895"/>
  <c r="I4895"/>
  <c r="K4895"/>
  <c r="N4895"/>
  <c r="W4895"/>
  <c r="H4896"/>
  <c r="I4896"/>
  <c r="K4896"/>
  <c r="N4896"/>
  <c r="W4896"/>
  <c r="H4897"/>
  <c r="I4897"/>
  <c r="K4897"/>
  <c r="N4897"/>
  <c r="W4897"/>
  <c r="H4898"/>
  <c r="I4898"/>
  <c r="K4898"/>
  <c r="N4898"/>
  <c r="W4898"/>
  <c r="H4899"/>
  <c r="I4899"/>
  <c r="K4899"/>
  <c r="N4899"/>
  <c r="W4899"/>
  <c r="H4900"/>
  <c r="I4900"/>
  <c r="K4900"/>
  <c r="N4900"/>
  <c r="W4900"/>
  <c r="H4901"/>
  <c r="I4901"/>
  <c r="K4901"/>
  <c r="N4901"/>
  <c r="W4901"/>
  <c r="H4902"/>
  <c r="I4902"/>
  <c r="K4902"/>
  <c r="N4902"/>
  <c r="W4902"/>
  <c r="H4903"/>
  <c r="I4903"/>
  <c r="K4903"/>
  <c r="N4903"/>
  <c r="W4903"/>
  <c r="H4904"/>
  <c r="I4904"/>
  <c r="K4904"/>
  <c r="N4904"/>
  <c r="W4904"/>
  <c r="H4905"/>
  <c r="I4905"/>
  <c r="K4905"/>
  <c r="N4905"/>
  <c r="W4905"/>
  <c r="H4906"/>
  <c r="I4906"/>
  <c r="K4906"/>
  <c r="N4906"/>
  <c r="W4906"/>
  <c r="H4907"/>
  <c r="I4907"/>
  <c r="K4907"/>
  <c r="N4907"/>
  <c r="W4907"/>
  <c r="H4908"/>
  <c r="I4908"/>
  <c r="K4908"/>
  <c r="N4908"/>
  <c r="W4908"/>
  <c r="H4909"/>
  <c r="I4909"/>
  <c r="K4909"/>
  <c r="N4909"/>
  <c r="W4909"/>
  <c r="H4910"/>
  <c r="I4910"/>
  <c r="K4910"/>
  <c r="N4910"/>
  <c r="W4910"/>
  <c r="H4911"/>
  <c r="I4911"/>
  <c r="K4911"/>
  <c r="N4911"/>
  <c r="W4911"/>
  <c r="H4912"/>
  <c r="I4912"/>
  <c r="K4912"/>
  <c r="N4912"/>
  <c r="W4912"/>
  <c r="H4913"/>
  <c r="I4913"/>
  <c r="K4913"/>
  <c r="N4913"/>
  <c r="W4913"/>
  <c r="H4914"/>
  <c r="I4914"/>
  <c r="K4914"/>
  <c r="N4914"/>
  <c r="W4914"/>
  <c r="H4915"/>
  <c r="I4915"/>
  <c r="K4915"/>
  <c r="N4915"/>
  <c r="W4915"/>
  <c r="H4916"/>
  <c r="I4916"/>
  <c r="K4916"/>
  <c r="N4916"/>
  <c r="W4916"/>
  <c r="H4917"/>
  <c r="I4917"/>
  <c r="K4917"/>
  <c r="N4917"/>
  <c r="W4917"/>
  <c r="H4918"/>
  <c r="I4918"/>
  <c r="K4918"/>
  <c r="N4918"/>
  <c r="W4918"/>
  <c r="H4919"/>
  <c r="I4919"/>
  <c r="K4919"/>
  <c r="N4919"/>
  <c r="W4919"/>
  <c r="H4920"/>
  <c r="I4920"/>
  <c r="K4920"/>
  <c r="N4920"/>
  <c r="W4920"/>
  <c r="H4921"/>
  <c r="I4921"/>
  <c r="K4921"/>
  <c r="N4921"/>
  <c r="W4921"/>
  <c r="H4922"/>
  <c r="I4922"/>
  <c r="K4922"/>
  <c r="N4922"/>
  <c r="W4922"/>
  <c r="H4923"/>
  <c r="I4923"/>
  <c r="K4923"/>
  <c r="N4923"/>
  <c r="W4923"/>
  <c r="H4924"/>
  <c r="I4924"/>
  <c r="K4924"/>
  <c r="N4924"/>
  <c r="W4924"/>
  <c r="H4925"/>
  <c r="I4925"/>
  <c r="K4925"/>
  <c r="N4925"/>
  <c r="W4925"/>
  <c r="H4926"/>
  <c r="I4926"/>
  <c r="K4926"/>
  <c r="N4926"/>
  <c r="W4926"/>
  <c r="H4927"/>
  <c r="I4927"/>
  <c r="K4927"/>
  <c r="N4927"/>
  <c r="W4927"/>
  <c r="H4928"/>
  <c r="I4928"/>
  <c r="K4928"/>
  <c r="N4928"/>
  <c r="W4928"/>
  <c r="H4929"/>
  <c r="I4929"/>
  <c r="K4929"/>
  <c r="N4929"/>
  <c r="W4929"/>
  <c r="H4930"/>
  <c r="I4930"/>
  <c r="K4930"/>
  <c r="N4930"/>
  <c r="W4930"/>
  <c r="H4931"/>
  <c r="I4931"/>
  <c r="K4931"/>
  <c r="N4931"/>
  <c r="W4931"/>
  <c r="H4932"/>
  <c r="I4932"/>
  <c r="K4932"/>
  <c r="N4932"/>
  <c r="W4932"/>
  <c r="H4933"/>
  <c r="I4933"/>
  <c r="K4933"/>
  <c r="N4933"/>
  <c r="W4933"/>
  <c r="H4934"/>
  <c r="I4934"/>
  <c r="K4934"/>
  <c r="N4934"/>
  <c r="W4934"/>
  <c r="H4935"/>
  <c r="I4935"/>
  <c r="K4935"/>
  <c r="N4935"/>
  <c r="W4935"/>
  <c r="H4936"/>
  <c r="I4936"/>
  <c r="K4936"/>
  <c r="N4936"/>
  <c r="W4936"/>
  <c r="H4937"/>
  <c r="I4937"/>
  <c r="K4937"/>
  <c r="N4937"/>
  <c r="W4937"/>
  <c r="H4938"/>
  <c r="I4938"/>
  <c r="K4938"/>
  <c r="N4938"/>
  <c r="W4938"/>
  <c r="H4939"/>
  <c r="I4939"/>
  <c r="K4939"/>
  <c r="N4939"/>
  <c r="W4939"/>
  <c r="H4940"/>
  <c r="I4940"/>
  <c r="K4940"/>
  <c r="N4940"/>
  <c r="W4940"/>
  <c r="H4941"/>
  <c r="I4941"/>
  <c r="K4941"/>
  <c r="N4941"/>
  <c r="W4941"/>
  <c r="H4942"/>
  <c r="I4942"/>
  <c r="K4942"/>
  <c r="N4942"/>
  <c r="W4942"/>
  <c r="H4943"/>
  <c r="I4943"/>
  <c r="K4943"/>
  <c r="N4943"/>
  <c r="W4943"/>
  <c r="H4944"/>
  <c r="I4944"/>
  <c r="K4944"/>
  <c r="N4944"/>
  <c r="W4944"/>
  <c r="H4945"/>
  <c r="I4945"/>
  <c r="K4945"/>
  <c r="N4945"/>
  <c r="W4945"/>
  <c r="H4946"/>
  <c r="I4946"/>
  <c r="K4946"/>
  <c r="N4946"/>
  <c r="W4946"/>
  <c r="H4947"/>
  <c r="I4947"/>
  <c r="K4947"/>
  <c r="N4947"/>
  <c r="W4947"/>
  <c r="H4948"/>
  <c r="I4948"/>
  <c r="K4948"/>
  <c r="N4948"/>
  <c r="W4948"/>
  <c r="H4949"/>
  <c r="I4949"/>
  <c r="K4949"/>
  <c r="N4949"/>
  <c r="W4949"/>
  <c r="H4950"/>
  <c r="I4950"/>
  <c r="K4950"/>
  <c r="N4950"/>
  <c r="W4950"/>
  <c r="H4951"/>
  <c r="I4951"/>
  <c r="K4951"/>
  <c r="N4951"/>
  <c r="W4951"/>
  <c r="H4952"/>
  <c r="I4952"/>
  <c r="K4952"/>
  <c r="N4952"/>
  <c r="W4952"/>
  <c r="H4953"/>
  <c r="I4953"/>
  <c r="K4953"/>
  <c r="N4953"/>
  <c r="W4953"/>
  <c r="H4954"/>
  <c r="I4954"/>
  <c r="K4954"/>
  <c r="N4954"/>
  <c r="W4954"/>
  <c r="H4955"/>
  <c r="I4955"/>
  <c r="K4955"/>
  <c r="N4955"/>
  <c r="W4955"/>
  <c r="H4956"/>
  <c r="I4956"/>
  <c r="K4956"/>
  <c r="N4956"/>
  <c r="W4956"/>
  <c r="H4957"/>
  <c r="I4957"/>
  <c r="K4957"/>
  <c r="N4957"/>
  <c r="W4957"/>
  <c r="H4958"/>
  <c r="I4958"/>
  <c r="K4958"/>
  <c r="N4958"/>
  <c r="W4958"/>
  <c r="H4959"/>
  <c r="I4959"/>
  <c r="K4959"/>
  <c r="N4959"/>
  <c r="W4959"/>
  <c r="H4960"/>
  <c r="I4960"/>
  <c r="K4960"/>
  <c r="N4960"/>
  <c r="W4960"/>
  <c r="H4961"/>
  <c r="I4961"/>
  <c r="K4961"/>
  <c r="N4961"/>
  <c r="W4961"/>
  <c r="H4962"/>
  <c r="I4962"/>
  <c r="K4962"/>
  <c r="N4962"/>
  <c r="W4962"/>
  <c r="H4963"/>
  <c r="I4963"/>
  <c r="K4963"/>
  <c r="N4963"/>
  <c r="W4963"/>
  <c r="H4964"/>
  <c r="I4964"/>
  <c r="K4964"/>
  <c r="N4964"/>
  <c r="W4964"/>
  <c r="H4965"/>
  <c r="I4965"/>
  <c r="K4965"/>
  <c r="N4965"/>
  <c r="W4965"/>
  <c r="H4966"/>
  <c r="I4966"/>
  <c r="K4966"/>
  <c r="N4966"/>
  <c r="W4966"/>
  <c r="H4967"/>
  <c r="I4967"/>
  <c r="K4967"/>
  <c r="N4967"/>
  <c r="W4967"/>
  <c r="H4968"/>
  <c r="I4968"/>
  <c r="K4968"/>
  <c r="N4968"/>
  <c r="W4968"/>
  <c r="H4969"/>
  <c r="I4969"/>
  <c r="K4969"/>
  <c r="N4969"/>
  <c r="W4969"/>
  <c r="H4970"/>
  <c r="I4970"/>
  <c r="K4970"/>
  <c r="N4970"/>
  <c r="W4970"/>
  <c r="H4971"/>
  <c r="I4971"/>
  <c r="K4971"/>
  <c r="N4971"/>
  <c r="W4971"/>
  <c r="H4972"/>
  <c r="I4972"/>
  <c r="K4972"/>
  <c r="N4972"/>
  <c r="W4972"/>
  <c r="H4973"/>
  <c r="I4973"/>
  <c r="K4973"/>
  <c r="N4973"/>
  <c r="W4973"/>
  <c r="H4974"/>
  <c r="I4974"/>
  <c r="K4974"/>
  <c r="N4974"/>
  <c r="W4974"/>
  <c r="H4975"/>
  <c r="I4975"/>
  <c r="K4975"/>
  <c r="N4975"/>
  <c r="W4975"/>
  <c r="H4976"/>
  <c r="I4976"/>
  <c r="K4976"/>
  <c r="N4976"/>
  <c r="W4976"/>
  <c r="H4977"/>
  <c r="I4977"/>
  <c r="K4977"/>
  <c r="N4977"/>
  <c r="W4977"/>
  <c r="H4978"/>
  <c r="I4978"/>
  <c r="K4978"/>
  <c r="N4978"/>
  <c r="W4978"/>
  <c r="H4979"/>
  <c r="I4979"/>
  <c r="K4979"/>
  <c r="N4979"/>
  <c r="W4979"/>
  <c r="H4980"/>
  <c r="I4980"/>
  <c r="K4980"/>
  <c r="N4980"/>
  <c r="W4980"/>
  <c r="H4981"/>
  <c r="I4981"/>
  <c r="K4981"/>
  <c r="N4981"/>
  <c r="W4981"/>
  <c r="H4982"/>
  <c r="I4982"/>
  <c r="K4982"/>
  <c r="N4982"/>
  <c r="W4982"/>
  <c r="H4983"/>
  <c r="I4983"/>
  <c r="K4983"/>
  <c r="N4983"/>
  <c r="W4983"/>
  <c r="H4984"/>
  <c r="I4984"/>
  <c r="K4984"/>
  <c r="N4984"/>
  <c r="W4984"/>
  <c r="H4985"/>
  <c r="I4985"/>
  <c r="K4985"/>
  <c r="N4985"/>
  <c r="W4985"/>
  <c r="H4986"/>
  <c r="I4986"/>
  <c r="K4986"/>
  <c r="N4986"/>
  <c r="W4986"/>
  <c r="H4987"/>
  <c r="I4987"/>
  <c r="K4987"/>
  <c r="N4987"/>
  <c r="W4987"/>
  <c r="H4988"/>
  <c r="I4988"/>
  <c r="K4988"/>
  <c r="N4988"/>
  <c r="W4988"/>
  <c r="H4989"/>
  <c r="I4989"/>
  <c r="K4989"/>
  <c r="N4989"/>
  <c r="W4989"/>
  <c r="H4990"/>
  <c r="I4990"/>
  <c r="K4990"/>
  <c r="N4990"/>
  <c r="W4990"/>
  <c r="H4991"/>
  <c r="I4991"/>
  <c r="K4991"/>
  <c r="N4991"/>
  <c r="W4991"/>
  <c r="H4992"/>
  <c r="I4992"/>
  <c r="K4992"/>
  <c r="N4992"/>
  <c r="W4992"/>
  <c r="H4993"/>
  <c r="I4993"/>
  <c r="K4993"/>
  <c r="N4993"/>
  <c r="W4993"/>
  <c r="H4994"/>
  <c r="I4994"/>
  <c r="K4994"/>
  <c r="N4994"/>
  <c r="W4994"/>
  <c r="H4995"/>
  <c r="I4995"/>
  <c r="K4995"/>
  <c r="N4995"/>
  <c r="W4995"/>
  <c r="H4996"/>
  <c r="I4996"/>
  <c r="K4996"/>
  <c r="N4996"/>
  <c r="W4996"/>
  <c r="H4997"/>
  <c r="I4997"/>
  <c r="K4997"/>
  <c r="N4997"/>
  <c r="W4997"/>
  <c r="H4998"/>
  <c r="I4998"/>
  <c r="K4998"/>
  <c r="N4998"/>
  <c r="W4998"/>
  <c r="H4999"/>
  <c r="I4999"/>
  <c r="K4999"/>
  <c r="N4999"/>
  <c r="W4999"/>
  <c r="H5000"/>
  <c r="I5000"/>
  <c r="K5000"/>
  <c r="N5000"/>
  <c r="W5000"/>
  <c r="H5001"/>
  <c r="I5001"/>
  <c r="K5001"/>
  <c r="N5001"/>
  <c r="W5001"/>
  <c r="H5002"/>
  <c r="I5002"/>
  <c r="K5002"/>
  <c r="N5002"/>
  <c r="W5002"/>
  <c r="H5003"/>
  <c r="I5003"/>
  <c r="K5003"/>
  <c r="N5003"/>
  <c r="W5003"/>
  <c r="H5004"/>
  <c r="I5004"/>
  <c r="K5004"/>
  <c r="N5004"/>
  <c r="W5004"/>
  <c r="H5005"/>
  <c r="I5005"/>
  <c r="K5005"/>
  <c r="N5005"/>
  <c r="W5005"/>
  <c r="H5006"/>
  <c r="I5006"/>
  <c r="K5006"/>
  <c r="N5006"/>
  <c r="W5006"/>
  <c r="H5007"/>
  <c r="I5007"/>
  <c r="K5007"/>
  <c r="N5007"/>
  <c r="W5007"/>
  <c r="H5008"/>
  <c r="I5008"/>
  <c r="K5008"/>
  <c r="N5008"/>
  <c r="W5008"/>
  <c r="H5009"/>
  <c r="I5009"/>
  <c r="K5009"/>
  <c r="N5009"/>
  <c r="W5009"/>
  <c r="H5010"/>
  <c r="I5010"/>
  <c r="K5010"/>
  <c r="N5010"/>
  <c r="W5010"/>
  <c r="H5011"/>
  <c r="I5011"/>
  <c r="K5011"/>
  <c r="N5011"/>
  <c r="W5011"/>
  <c r="H5012"/>
  <c r="I5012"/>
  <c r="K5012"/>
  <c r="N5012"/>
  <c r="W5012"/>
  <c r="H5013"/>
  <c r="I5013"/>
  <c r="K5013"/>
  <c r="N5013"/>
  <c r="W5013"/>
  <c r="H5014"/>
  <c r="I5014"/>
  <c r="K5014"/>
  <c r="N5014"/>
  <c r="W5014"/>
  <c r="H5015"/>
  <c r="I5015"/>
  <c r="K5015"/>
  <c r="N5015"/>
  <c r="W5015"/>
  <c r="H5016"/>
  <c r="I5016"/>
  <c r="K5016"/>
  <c r="N5016"/>
  <c r="W5016"/>
  <c r="H5017"/>
  <c r="I5017"/>
  <c r="K5017"/>
  <c r="N5017"/>
  <c r="W5017"/>
  <c r="H5018"/>
  <c r="I5018"/>
  <c r="K5018"/>
  <c r="N5018"/>
  <c r="W5018"/>
  <c r="H5019"/>
  <c r="I5019"/>
  <c r="K5019"/>
  <c r="N5019"/>
  <c r="W5019"/>
  <c r="H5020"/>
  <c r="I5020"/>
  <c r="K5020"/>
  <c r="N5020"/>
  <c r="W5020"/>
  <c r="H5021"/>
  <c r="I5021"/>
  <c r="K5021"/>
  <c r="N5021"/>
  <c r="W5021"/>
  <c r="H5022"/>
  <c r="I5022"/>
  <c r="K5022"/>
  <c r="N5022"/>
  <c r="W5022"/>
  <c r="H5023"/>
  <c r="I5023"/>
  <c r="K5023"/>
  <c r="N5023"/>
  <c r="W5023"/>
  <c r="H5024"/>
  <c r="I5024"/>
  <c r="K5024"/>
  <c r="N5024"/>
  <c r="W5024"/>
  <c r="H5025"/>
  <c r="I5025"/>
  <c r="K5025"/>
  <c r="N5025"/>
  <c r="W5025"/>
  <c r="H5026"/>
  <c r="I5026"/>
  <c r="K5026"/>
  <c r="N5026"/>
  <c r="W5026"/>
  <c r="H5027"/>
  <c r="I5027"/>
  <c r="K5027"/>
  <c r="N5027"/>
  <c r="W5027"/>
  <c r="H5028"/>
  <c r="I5028"/>
  <c r="K5028"/>
  <c r="N5028"/>
  <c r="W5028"/>
  <c r="H5029"/>
  <c r="I5029"/>
  <c r="K5029"/>
  <c r="N5029"/>
  <c r="W5029"/>
  <c r="H5030"/>
  <c r="I5030"/>
  <c r="K5030"/>
  <c r="N5030"/>
  <c r="W5030"/>
  <c r="H5031"/>
  <c r="I5031"/>
  <c r="K5031"/>
  <c r="N5031"/>
  <c r="W5031"/>
  <c r="H5032"/>
  <c r="I5032"/>
  <c r="K5032"/>
  <c r="N5032"/>
  <c r="W5032"/>
  <c r="H5033"/>
  <c r="I5033"/>
  <c r="K5033"/>
  <c r="N5033"/>
  <c r="W5033"/>
  <c r="H5034"/>
  <c r="I5034"/>
  <c r="K5034"/>
  <c r="N5034"/>
  <c r="W5034"/>
  <c r="H5035"/>
  <c r="I5035"/>
  <c r="K5035"/>
  <c r="N5035"/>
  <c r="W5035"/>
  <c r="H5036"/>
  <c r="I5036"/>
  <c r="K5036"/>
  <c r="N5036"/>
  <c r="W5036"/>
  <c r="H5037"/>
  <c r="I5037"/>
  <c r="K5037"/>
  <c r="N5037"/>
  <c r="W5037"/>
  <c r="H5038"/>
  <c r="I5038"/>
  <c r="K5038"/>
  <c r="N5038"/>
  <c r="W5038"/>
  <c r="H5039"/>
  <c r="I5039"/>
  <c r="K5039"/>
  <c r="N5039"/>
  <c r="W5039"/>
  <c r="H5040"/>
  <c r="I5040"/>
  <c r="K5040"/>
  <c r="N5040"/>
  <c r="W5040"/>
  <c r="H5041"/>
  <c r="I5041"/>
  <c r="K5041"/>
  <c r="N5041"/>
  <c r="W5041"/>
  <c r="H5042"/>
  <c r="I5042"/>
  <c r="K5042"/>
  <c r="N5042"/>
  <c r="W5042"/>
  <c r="H5043"/>
  <c r="I5043"/>
  <c r="K5043"/>
  <c r="N5043"/>
  <c r="W5043"/>
  <c r="H5044"/>
  <c r="I5044"/>
  <c r="K5044"/>
  <c r="N5044"/>
  <c r="W5044"/>
  <c r="H5045"/>
  <c r="I5045"/>
  <c r="K5045"/>
  <c r="N5045"/>
  <c r="W5045"/>
  <c r="H5046"/>
  <c r="I5046"/>
  <c r="K5046"/>
  <c r="N5046"/>
  <c r="W5046"/>
  <c r="H5047"/>
  <c r="I5047"/>
  <c r="K5047"/>
  <c r="N5047"/>
  <c r="W5047"/>
  <c r="H5048"/>
  <c r="I5048"/>
  <c r="K5048"/>
  <c r="N5048"/>
  <c r="W5048"/>
  <c r="H5049"/>
  <c r="I5049"/>
  <c r="K5049"/>
  <c r="N5049"/>
  <c r="W5049"/>
  <c r="H5050"/>
  <c r="I5050"/>
  <c r="K5050"/>
  <c r="N5050"/>
  <c r="W5050"/>
  <c r="H5051"/>
  <c r="I5051"/>
  <c r="K5051"/>
  <c r="N5051"/>
  <c r="W5051"/>
  <c r="H5052"/>
  <c r="I5052"/>
  <c r="K5052"/>
  <c r="N5052"/>
  <c r="W5052"/>
  <c r="H5053"/>
  <c r="I5053"/>
  <c r="K5053"/>
  <c r="N5053"/>
  <c r="W5053"/>
  <c r="H5054"/>
  <c r="I5054"/>
  <c r="K5054"/>
  <c r="N5054"/>
  <c r="W5054"/>
  <c r="H5055"/>
  <c r="I5055"/>
  <c r="K5055"/>
  <c r="N5055"/>
  <c r="W5055"/>
  <c r="H5056"/>
  <c r="I5056"/>
  <c r="K5056"/>
  <c r="N5056"/>
  <c r="W5056"/>
  <c r="H5057"/>
  <c r="I5057"/>
  <c r="K5057"/>
  <c r="N5057"/>
  <c r="W5057"/>
  <c r="H5058"/>
  <c r="I5058"/>
  <c r="K5058"/>
  <c r="N5058"/>
  <c r="W5058"/>
  <c r="H5059"/>
  <c r="I5059"/>
  <c r="K5059"/>
  <c r="N5059"/>
  <c r="W5059"/>
  <c r="H5060"/>
  <c r="I5060"/>
  <c r="K5060"/>
  <c r="N5060"/>
  <c r="W5060"/>
  <c r="H5061"/>
  <c r="I5061"/>
  <c r="K5061"/>
  <c r="N5061"/>
  <c r="W5061"/>
  <c r="H5062"/>
  <c r="I5062"/>
  <c r="K5062"/>
  <c r="N5062"/>
  <c r="W5062"/>
  <c r="H5063"/>
  <c r="I5063"/>
  <c r="K5063"/>
  <c r="N5063"/>
  <c r="W5063"/>
  <c r="H5064"/>
  <c r="I5064"/>
  <c r="K5064"/>
  <c r="N5064"/>
  <c r="W5064"/>
  <c r="H5065"/>
  <c r="I5065"/>
  <c r="K5065"/>
  <c r="N5065"/>
  <c r="W5065"/>
  <c r="H5066"/>
  <c r="I5066"/>
  <c r="K5066"/>
  <c r="N5066"/>
  <c r="W5066"/>
  <c r="H5067"/>
  <c r="I5067"/>
  <c r="K5067"/>
  <c r="N5067"/>
  <c r="W5067"/>
  <c r="H5068"/>
  <c r="I5068"/>
  <c r="K5068"/>
  <c r="N5068"/>
  <c r="W5068"/>
  <c r="H5069"/>
  <c r="I5069"/>
  <c r="K5069"/>
  <c r="N5069"/>
  <c r="W5069"/>
  <c r="H5070"/>
  <c r="I5070"/>
  <c r="K5070"/>
  <c r="N5070"/>
  <c r="W5070"/>
  <c r="H5071"/>
  <c r="I5071"/>
  <c r="K5071"/>
  <c r="N5071"/>
  <c r="W5071"/>
  <c r="H5072"/>
  <c r="I5072"/>
  <c r="K5072"/>
  <c r="N5072"/>
  <c r="W5072"/>
  <c r="H5073"/>
  <c r="I5073"/>
  <c r="K5073"/>
  <c r="N5073"/>
  <c r="W5073"/>
  <c r="H5074"/>
  <c r="I5074"/>
  <c r="K5074"/>
  <c r="N5074"/>
  <c r="W5074"/>
  <c r="H5075"/>
  <c r="I5075"/>
  <c r="K5075"/>
  <c r="N5075"/>
  <c r="W5075"/>
  <c r="H5076"/>
  <c r="I5076"/>
  <c r="K5076"/>
  <c r="N5076"/>
  <c r="W5076"/>
  <c r="H5077"/>
  <c r="I5077"/>
  <c r="K5077"/>
  <c r="N5077"/>
  <c r="W5077"/>
  <c r="H5078"/>
  <c r="I5078"/>
  <c r="K5078"/>
  <c r="N5078"/>
  <c r="W5078"/>
  <c r="H5079"/>
  <c r="I5079"/>
  <c r="K5079"/>
  <c r="N5079"/>
  <c r="W5079"/>
  <c r="H5080"/>
  <c r="I5080"/>
  <c r="K5080"/>
  <c r="N5080"/>
  <c r="W5080"/>
  <c r="H5081"/>
  <c r="I5081"/>
  <c r="K5081"/>
  <c r="N5081"/>
  <c r="W5081"/>
  <c r="H5082"/>
  <c r="I5082"/>
  <c r="K5082"/>
  <c r="N5082"/>
  <c r="W5082"/>
  <c r="H5083"/>
  <c r="I5083"/>
  <c r="K5083"/>
  <c r="N5083"/>
  <c r="W5083"/>
  <c r="H5084"/>
  <c r="I5084"/>
  <c r="K5084"/>
  <c r="N5084"/>
  <c r="W5084"/>
  <c r="H5085"/>
  <c r="I5085"/>
  <c r="K5085"/>
  <c r="N5085"/>
  <c r="W5085"/>
  <c r="H5086"/>
  <c r="I5086"/>
  <c r="K5086"/>
  <c r="N5086"/>
  <c r="W5086"/>
  <c r="H5087"/>
  <c r="I5087"/>
  <c r="K5087"/>
  <c r="N5087"/>
  <c r="W5087"/>
  <c r="H5088"/>
  <c r="I5088"/>
  <c r="K5088"/>
  <c r="N5088"/>
  <c r="W5088"/>
  <c r="H5089"/>
  <c r="I5089"/>
  <c r="K5089"/>
  <c r="N5089"/>
  <c r="W5089"/>
  <c r="H5090"/>
  <c r="I5090"/>
  <c r="K5090"/>
  <c r="N5090"/>
  <c r="W5090"/>
  <c r="H5091"/>
  <c r="I5091"/>
  <c r="K5091"/>
  <c r="N5091"/>
  <c r="W5091"/>
  <c r="H5092"/>
  <c r="I5092"/>
  <c r="K5092"/>
  <c r="N5092"/>
  <c r="W5092"/>
  <c r="H5093"/>
  <c r="I5093"/>
  <c r="K5093"/>
  <c r="N5093"/>
  <c r="W5093"/>
  <c r="H5094"/>
  <c r="I5094"/>
  <c r="K5094"/>
  <c r="N5094"/>
  <c r="W5094"/>
  <c r="H5095"/>
  <c r="I5095"/>
  <c r="K5095"/>
  <c r="N5095"/>
  <c r="W5095"/>
  <c r="H5096"/>
  <c r="I5096"/>
  <c r="K5096"/>
  <c r="N5096"/>
  <c r="W5096"/>
  <c r="H5097"/>
  <c r="I5097"/>
  <c r="K5097"/>
  <c r="N5097"/>
  <c r="W5097"/>
  <c r="H5098"/>
  <c r="I5098"/>
  <c r="K5098"/>
  <c r="N5098"/>
  <c r="W5098"/>
  <c r="H5099"/>
  <c r="I5099"/>
  <c r="K5099"/>
  <c r="N5099"/>
  <c r="W5099"/>
  <c r="H5100"/>
  <c r="I5100"/>
  <c r="K5100"/>
  <c r="N5100"/>
  <c r="W5100"/>
  <c r="H5101"/>
  <c r="I5101"/>
  <c r="K5101"/>
  <c r="N5101"/>
  <c r="W5101"/>
  <c r="H5102"/>
  <c r="I5102"/>
  <c r="K5102"/>
  <c r="N5102"/>
  <c r="W5102"/>
  <c r="H5103"/>
  <c r="I5103"/>
  <c r="K5103"/>
  <c r="N5103"/>
  <c r="W5103"/>
  <c r="H5104"/>
  <c r="I5104"/>
  <c r="K5104"/>
  <c r="N5104"/>
  <c r="W5104"/>
  <c r="H5105"/>
  <c r="I5105"/>
  <c r="K5105"/>
  <c r="N5105"/>
  <c r="W5105"/>
  <c r="H5106"/>
  <c r="I5106"/>
  <c r="K5106"/>
  <c r="N5106"/>
  <c r="W5106"/>
  <c r="H5107"/>
  <c r="I5107"/>
  <c r="K5107"/>
  <c r="N5107"/>
  <c r="W5107"/>
  <c r="H5108"/>
  <c r="I5108"/>
  <c r="K5108"/>
  <c r="N5108"/>
  <c r="W5108"/>
  <c r="H5109"/>
  <c r="I5109"/>
  <c r="K5109"/>
  <c r="N5109"/>
  <c r="W5109"/>
  <c r="H5110"/>
  <c r="I5110"/>
  <c r="K5110"/>
  <c r="N5110"/>
  <c r="W5110"/>
  <c r="H5111"/>
  <c r="I5111"/>
  <c r="K5111"/>
  <c r="N5111"/>
  <c r="W5111"/>
  <c r="H5112"/>
  <c r="I5112"/>
  <c r="K5112"/>
  <c r="N5112"/>
  <c r="W5112"/>
  <c r="H5113"/>
  <c r="I5113"/>
  <c r="K5113"/>
  <c r="N5113"/>
  <c r="W5113"/>
  <c r="H5114"/>
  <c r="I5114"/>
  <c r="K5114"/>
  <c r="N5114"/>
  <c r="W5114"/>
  <c r="H5115"/>
  <c r="I5115"/>
  <c r="K5115"/>
  <c r="N5115"/>
  <c r="W5115"/>
  <c r="H5116"/>
  <c r="I5116"/>
  <c r="K5116"/>
  <c r="N5116"/>
  <c r="W5116"/>
  <c r="H5117"/>
  <c r="I5117"/>
  <c r="K5117"/>
  <c r="N5117"/>
  <c r="W5117"/>
  <c r="H5118"/>
  <c r="I5118"/>
  <c r="K5118"/>
  <c r="N5118"/>
  <c r="W5118"/>
  <c r="H5119"/>
  <c r="I5119"/>
  <c r="K5119"/>
  <c r="N5119"/>
  <c r="W5119"/>
  <c r="H5120"/>
  <c r="I5120"/>
  <c r="K5120"/>
  <c r="N5120"/>
  <c r="W5120"/>
  <c r="H5121"/>
  <c r="I5121"/>
  <c r="K5121"/>
  <c r="N5121"/>
  <c r="W5121"/>
  <c r="H5122"/>
  <c r="I5122"/>
  <c r="K5122"/>
  <c r="N5122"/>
  <c r="W5122"/>
  <c r="H5123"/>
  <c r="I5123"/>
  <c r="K5123"/>
  <c r="N5123"/>
  <c r="W5123"/>
  <c r="H5124"/>
  <c r="I5124"/>
  <c r="K5124"/>
  <c r="N5124"/>
  <c r="W5124"/>
  <c r="H5125"/>
  <c r="I5125"/>
  <c r="K5125"/>
  <c r="N5125"/>
  <c r="W5125"/>
  <c r="H5126"/>
  <c r="I5126"/>
  <c r="K5126"/>
  <c r="N5126"/>
  <c r="W5126"/>
  <c r="H5127"/>
  <c r="I5127"/>
  <c r="K5127"/>
  <c r="N5127"/>
  <c r="W5127"/>
  <c r="H5128"/>
  <c r="I5128"/>
  <c r="K5128"/>
  <c r="N5128"/>
  <c r="W5128"/>
  <c r="H5129"/>
  <c r="I5129"/>
  <c r="K5129"/>
  <c r="N5129"/>
  <c r="W5129"/>
  <c r="H5130"/>
  <c r="I5130"/>
  <c r="K5130"/>
  <c r="N5130"/>
  <c r="W5130"/>
  <c r="H5131"/>
  <c r="I5131"/>
  <c r="K5131"/>
  <c r="N5131"/>
  <c r="W5131"/>
  <c r="H5132"/>
  <c r="I5132"/>
  <c r="K5132"/>
  <c r="N5132"/>
  <c r="W5132"/>
  <c r="H5133"/>
  <c r="I5133"/>
  <c r="K5133"/>
  <c r="N5133"/>
  <c r="W5133"/>
  <c r="H5134"/>
  <c r="I5134"/>
  <c r="K5134"/>
  <c r="N5134"/>
  <c r="W5134"/>
  <c r="H5135"/>
  <c r="I5135"/>
  <c r="K5135"/>
  <c r="N5135"/>
  <c r="W5135"/>
  <c r="H5136"/>
  <c r="I5136"/>
  <c r="K5136"/>
  <c r="N5136"/>
  <c r="W5136"/>
  <c r="H5137"/>
  <c r="I5137"/>
  <c r="K5137"/>
  <c r="N5137"/>
  <c r="W5137"/>
  <c r="H5138"/>
  <c r="I5138"/>
  <c r="K5138"/>
  <c r="N5138"/>
  <c r="W5138"/>
  <c r="H5139"/>
  <c r="I5139"/>
  <c r="K5139"/>
  <c r="N5139"/>
  <c r="W5139"/>
  <c r="H5140"/>
  <c r="I5140"/>
  <c r="K5140"/>
  <c r="N5140"/>
  <c r="W5140"/>
  <c r="H5141"/>
  <c r="I5141"/>
  <c r="K5141"/>
  <c r="N5141"/>
  <c r="W5141"/>
  <c r="H5142"/>
  <c r="I5142"/>
  <c r="K5142"/>
  <c r="N5142"/>
  <c r="W5142"/>
  <c r="H5143"/>
  <c r="I5143"/>
  <c r="K5143"/>
  <c r="N5143"/>
  <c r="W5143"/>
  <c r="H5144"/>
  <c r="I5144"/>
  <c r="K5144"/>
  <c r="N5144"/>
  <c r="W5144"/>
  <c r="H5145"/>
  <c r="I5145"/>
  <c r="K5145"/>
  <c r="N5145"/>
  <c r="W5145"/>
  <c r="H5146"/>
  <c r="I5146"/>
  <c r="K5146"/>
  <c r="N5146"/>
  <c r="W5146"/>
  <c r="H5147"/>
  <c r="I5147"/>
  <c r="K5147"/>
  <c r="N5147"/>
  <c r="W5147"/>
  <c r="H5148"/>
  <c r="I5148"/>
  <c r="K5148"/>
  <c r="N5148"/>
  <c r="W5148"/>
  <c r="H5149"/>
  <c r="I5149"/>
  <c r="K5149"/>
  <c r="N5149"/>
  <c r="W5149"/>
  <c r="H5150"/>
  <c r="I5150"/>
  <c r="K5150"/>
  <c r="N5150"/>
  <c r="W5150"/>
  <c r="H5151"/>
  <c r="I5151"/>
  <c r="K5151"/>
  <c r="N5151"/>
  <c r="W5151"/>
  <c r="H5152"/>
  <c r="I5152"/>
  <c r="K5152"/>
  <c r="N5152"/>
  <c r="W5152"/>
  <c r="H5153"/>
  <c r="I5153"/>
  <c r="K5153"/>
  <c r="N5153"/>
  <c r="W5153"/>
  <c r="H5154"/>
  <c r="I5154"/>
  <c r="K5154"/>
  <c r="N5154"/>
  <c r="W5154"/>
  <c r="H5155"/>
  <c r="I5155"/>
  <c r="K5155"/>
  <c r="N5155"/>
  <c r="W5155"/>
  <c r="H5156"/>
  <c r="I5156"/>
  <c r="K5156"/>
  <c r="N5156"/>
  <c r="W5156"/>
  <c r="H5157"/>
  <c r="I5157"/>
  <c r="K5157"/>
  <c r="N5157"/>
  <c r="W5157"/>
  <c r="H5158"/>
  <c r="I5158"/>
  <c r="K5158"/>
  <c r="N5158"/>
  <c r="W5158"/>
  <c r="H5159"/>
  <c r="I5159"/>
  <c r="K5159"/>
  <c r="N5159"/>
  <c r="W5159"/>
  <c r="H5160"/>
  <c r="I5160"/>
  <c r="K5160"/>
  <c r="N5160"/>
  <c r="W5160"/>
  <c r="H5161"/>
  <c r="I5161"/>
  <c r="K5161"/>
  <c r="N5161"/>
  <c r="W5161"/>
  <c r="H5162"/>
  <c r="I5162"/>
  <c r="K5162"/>
  <c r="N5162"/>
  <c r="W5162"/>
  <c r="H5163"/>
  <c r="I5163"/>
  <c r="K5163"/>
  <c r="N5163"/>
  <c r="W5163"/>
  <c r="H5164"/>
  <c r="I5164"/>
  <c r="K5164"/>
  <c r="N5164"/>
  <c r="W5164"/>
  <c r="H5165"/>
  <c r="I5165"/>
  <c r="K5165"/>
  <c r="N5165"/>
  <c r="W5165"/>
  <c r="H5166"/>
  <c r="I5166"/>
  <c r="K5166"/>
  <c r="N5166"/>
  <c r="W5166"/>
  <c r="H5167"/>
  <c r="I5167"/>
  <c r="K5167"/>
  <c r="N5167"/>
  <c r="W5167"/>
  <c r="H5168"/>
  <c r="I5168"/>
  <c r="K5168"/>
  <c r="N5168"/>
  <c r="W5168"/>
  <c r="H5169"/>
  <c r="I5169"/>
  <c r="K5169"/>
  <c r="N5169"/>
  <c r="W5169"/>
  <c r="H5170"/>
  <c r="I5170"/>
  <c r="K5170"/>
  <c r="N5170"/>
  <c r="W5170"/>
  <c r="H5171"/>
  <c r="I5171"/>
  <c r="K5171"/>
  <c r="N5171"/>
  <c r="W5171"/>
  <c r="H5172"/>
  <c r="I5172"/>
  <c r="K5172"/>
  <c r="N5172"/>
  <c r="W5172"/>
  <c r="H5173"/>
  <c r="I5173"/>
  <c r="K5173"/>
  <c r="N5173"/>
  <c r="W5173"/>
  <c r="H5174"/>
  <c r="I5174"/>
  <c r="K5174"/>
  <c r="N5174"/>
  <c r="W5174"/>
  <c r="H5175"/>
  <c r="I5175"/>
  <c r="K5175"/>
  <c r="N5175"/>
  <c r="W5175"/>
  <c r="H5176"/>
  <c r="I5176"/>
  <c r="K5176"/>
  <c r="N5176"/>
  <c r="W5176"/>
  <c r="H5177"/>
  <c r="I5177"/>
  <c r="K5177"/>
  <c r="N5177"/>
  <c r="W5177"/>
  <c r="H5178"/>
  <c r="I5178"/>
  <c r="K5178"/>
  <c r="N5178"/>
  <c r="W5178"/>
  <c r="H5179"/>
  <c r="I5179"/>
  <c r="K5179"/>
  <c r="N5179"/>
  <c r="W5179"/>
  <c r="H5180"/>
  <c r="I5180"/>
  <c r="K5180"/>
  <c r="N5180"/>
  <c r="W5180"/>
  <c r="H5181"/>
  <c r="I5181"/>
  <c r="K5181"/>
  <c r="N5181"/>
  <c r="W5181"/>
  <c r="H5182"/>
  <c r="I5182"/>
  <c r="K5182"/>
  <c r="N5182"/>
  <c r="W5182"/>
  <c r="H5183"/>
  <c r="I5183"/>
  <c r="K5183"/>
  <c r="N5183"/>
  <c r="W5183"/>
  <c r="H5184"/>
  <c r="I5184"/>
  <c r="K5184"/>
  <c r="N5184"/>
  <c r="W5184"/>
  <c r="H5185"/>
  <c r="I5185"/>
  <c r="K5185"/>
  <c r="N5185"/>
  <c r="W5185"/>
  <c r="H5186"/>
  <c r="I5186"/>
  <c r="K5186"/>
  <c r="N5186"/>
  <c r="W5186"/>
  <c r="H5187"/>
  <c r="I5187"/>
  <c r="K5187"/>
  <c r="N5187"/>
  <c r="W5187"/>
  <c r="H5188"/>
  <c r="I5188"/>
  <c r="K5188"/>
  <c r="N5188"/>
  <c r="W5188"/>
  <c r="H5189"/>
  <c r="I5189"/>
  <c r="K5189"/>
  <c r="N5189"/>
  <c r="W5189"/>
  <c r="H5190"/>
  <c r="I5190"/>
  <c r="K5190"/>
  <c r="N5190"/>
  <c r="W5190"/>
  <c r="H5191"/>
  <c r="I5191"/>
  <c r="K5191"/>
  <c r="N5191"/>
  <c r="W5191"/>
  <c r="H5192"/>
  <c r="I5192"/>
  <c r="K5192"/>
  <c r="N5192"/>
  <c r="W5192"/>
  <c r="H5193"/>
  <c r="I5193"/>
  <c r="K5193"/>
  <c r="N5193"/>
  <c r="W5193"/>
  <c r="H5194"/>
  <c r="I5194"/>
  <c r="K5194"/>
  <c r="N5194"/>
  <c r="W5194"/>
  <c r="H5195"/>
  <c r="I5195"/>
  <c r="K5195"/>
  <c r="N5195"/>
  <c r="W5195"/>
  <c r="H5196"/>
  <c r="I5196"/>
  <c r="K5196"/>
  <c r="N5196"/>
  <c r="W5196"/>
  <c r="H5197"/>
  <c r="I5197"/>
  <c r="K5197"/>
  <c r="N5197"/>
  <c r="W5197"/>
  <c r="H5198"/>
  <c r="I5198"/>
  <c r="K5198"/>
  <c r="N5198"/>
  <c r="W5198"/>
  <c r="H5199"/>
  <c r="I5199"/>
  <c r="K5199"/>
  <c r="N5199"/>
  <c r="W5199"/>
  <c r="H5200"/>
  <c r="I5200"/>
  <c r="K5200"/>
  <c r="N5200"/>
  <c r="W5200"/>
  <c r="H5201"/>
  <c r="I5201"/>
  <c r="K5201"/>
  <c r="N5201"/>
  <c r="W5201"/>
  <c r="H5202"/>
  <c r="I5202"/>
  <c r="K5202"/>
  <c r="N5202"/>
  <c r="W5202"/>
  <c r="H5203"/>
  <c r="I5203"/>
  <c r="K5203"/>
  <c r="N5203"/>
  <c r="W5203"/>
  <c r="H5204"/>
  <c r="I5204"/>
  <c r="K5204"/>
  <c r="N5204"/>
  <c r="W5204"/>
  <c r="H5205"/>
  <c r="I5205"/>
  <c r="K5205"/>
  <c r="N5205"/>
  <c r="W5205"/>
  <c r="H5206"/>
  <c r="I5206"/>
  <c r="K5206"/>
  <c r="N5206"/>
  <c r="W5206"/>
  <c r="H5207"/>
  <c r="I5207"/>
  <c r="K5207"/>
  <c r="N5207"/>
  <c r="W5207"/>
  <c r="H5208"/>
  <c r="I5208"/>
  <c r="K5208"/>
  <c r="N5208"/>
  <c r="W5208"/>
  <c r="H5209"/>
  <c r="I5209"/>
  <c r="K5209"/>
  <c r="N5209"/>
  <c r="W5209"/>
  <c r="H5210"/>
  <c r="I5210"/>
  <c r="K5210"/>
  <c r="N5210"/>
  <c r="W5210"/>
  <c r="H5211"/>
  <c r="I5211"/>
  <c r="K5211"/>
  <c r="N5211"/>
  <c r="W5211"/>
  <c r="H5212"/>
  <c r="I5212"/>
  <c r="K5212"/>
  <c r="N5212"/>
  <c r="W5212"/>
  <c r="H5213"/>
  <c r="I5213"/>
  <c r="K5213"/>
  <c r="N5213"/>
  <c r="W5213"/>
  <c r="H5214"/>
  <c r="I5214"/>
  <c r="K5214"/>
  <c r="N5214"/>
  <c r="W5214"/>
  <c r="H5215"/>
  <c r="I5215"/>
  <c r="K5215"/>
  <c r="N5215"/>
  <c r="W5215"/>
  <c r="H5216"/>
  <c r="I5216"/>
  <c r="K5216"/>
  <c r="N5216"/>
  <c r="W5216"/>
  <c r="H5217"/>
  <c r="I5217"/>
  <c r="K5217"/>
  <c r="N5217"/>
  <c r="W5217"/>
  <c r="H5218"/>
  <c r="I5218"/>
  <c r="K5218"/>
  <c r="N5218"/>
  <c r="W5218"/>
  <c r="H5219"/>
  <c r="I5219"/>
  <c r="K5219"/>
  <c r="N5219"/>
  <c r="W5219"/>
  <c r="H5220"/>
  <c r="I5220"/>
  <c r="K5220"/>
  <c r="N5220"/>
  <c r="W5220"/>
  <c r="H5221"/>
  <c r="I5221"/>
  <c r="K5221"/>
  <c r="N5221"/>
  <c r="W5221"/>
  <c r="H5222"/>
  <c r="I5222"/>
  <c r="K5222"/>
  <c r="N5222"/>
  <c r="W5222"/>
  <c r="H5223"/>
  <c r="I5223"/>
  <c r="K5223"/>
  <c r="N5223"/>
  <c r="W5223"/>
  <c r="H5224"/>
  <c r="I5224"/>
  <c r="K5224"/>
  <c r="N5224"/>
  <c r="W5224"/>
  <c r="H5225"/>
  <c r="I5225"/>
  <c r="K5225"/>
  <c r="N5225"/>
  <c r="W5225"/>
  <c r="H5226"/>
  <c r="I5226"/>
  <c r="K5226"/>
  <c r="N5226"/>
  <c r="W5226"/>
  <c r="H5227"/>
  <c r="I5227"/>
  <c r="K5227"/>
  <c r="N5227"/>
  <c r="W5227"/>
  <c r="H5228"/>
  <c r="I5228"/>
  <c r="K5228"/>
  <c r="N5228"/>
  <c r="W5228"/>
  <c r="H5229"/>
  <c r="I5229"/>
  <c r="K5229"/>
  <c r="N5229"/>
  <c r="W5229"/>
  <c r="H5230"/>
  <c r="I5230"/>
  <c r="K5230"/>
  <c r="N5230"/>
  <c r="W5230"/>
  <c r="H5231"/>
  <c r="I5231"/>
  <c r="K5231"/>
  <c r="N5231"/>
  <c r="W5231"/>
  <c r="H5232"/>
  <c r="I5232"/>
  <c r="K5232"/>
  <c r="N5232"/>
  <c r="W5232"/>
  <c r="H5233"/>
  <c r="I5233"/>
  <c r="K5233"/>
  <c r="N5233"/>
  <c r="W5233"/>
  <c r="H5234"/>
  <c r="I5234"/>
  <c r="K5234"/>
  <c r="N5234"/>
  <c r="W5234"/>
  <c r="H5235"/>
  <c r="I5235"/>
  <c r="K5235"/>
  <c r="N5235"/>
  <c r="W5235"/>
  <c r="H5236"/>
  <c r="I5236"/>
  <c r="K5236"/>
  <c r="N5236"/>
  <c r="W5236"/>
  <c r="H5237"/>
  <c r="I5237"/>
  <c r="K5237"/>
  <c r="N5237"/>
  <c r="W5237"/>
  <c r="H5238"/>
  <c r="I5238"/>
  <c r="K5238"/>
  <c r="N5238"/>
  <c r="W5238"/>
  <c r="H5239"/>
  <c r="I5239"/>
  <c r="K5239"/>
  <c r="N5239"/>
  <c r="W5239"/>
  <c r="H5240"/>
  <c r="I5240"/>
  <c r="K5240"/>
  <c r="N5240"/>
  <c r="W5240"/>
  <c r="H5241"/>
  <c r="I5241"/>
  <c r="K5241"/>
  <c r="N5241"/>
  <c r="W5241"/>
  <c r="H5242"/>
  <c r="I5242"/>
  <c r="K5242"/>
  <c r="N5242"/>
  <c r="W5242"/>
  <c r="H5243"/>
  <c r="I5243"/>
  <c r="K5243"/>
  <c r="N5243"/>
  <c r="W5243"/>
  <c r="H5244"/>
  <c r="I5244"/>
  <c r="K5244"/>
  <c r="N5244"/>
  <c r="W5244"/>
  <c r="H5245"/>
  <c r="I5245"/>
  <c r="K5245"/>
  <c r="N5245"/>
  <c r="W5245"/>
  <c r="H5246"/>
  <c r="I5246"/>
  <c r="K5246"/>
  <c r="N5246"/>
  <c r="W5246"/>
  <c r="H5247"/>
  <c r="I5247"/>
  <c r="K5247"/>
  <c r="N5247"/>
  <c r="W5247"/>
  <c r="H5248"/>
  <c r="I5248"/>
  <c r="K5248"/>
  <c r="N5248"/>
  <c r="W5248"/>
  <c r="H5249"/>
  <c r="I5249"/>
  <c r="K5249"/>
  <c r="N5249"/>
  <c r="W5249"/>
  <c r="H5250"/>
  <c r="I5250"/>
  <c r="K5250"/>
  <c r="N5250"/>
  <c r="W5250"/>
  <c r="H5251"/>
  <c r="I5251"/>
  <c r="K5251"/>
  <c r="N5251"/>
  <c r="W5251"/>
  <c r="H5252"/>
  <c r="I5252"/>
  <c r="K5252"/>
  <c r="N5252"/>
  <c r="W5252"/>
  <c r="H5253"/>
  <c r="I5253"/>
  <c r="K5253"/>
  <c r="N5253"/>
  <c r="W5253"/>
  <c r="H5254"/>
  <c r="I5254"/>
  <c r="K5254"/>
  <c r="N5254"/>
  <c r="W5254"/>
  <c r="H5255"/>
  <c r="I5255"/>
  <c r="K5255"/>
  <c r="N5255"/>
  <c r="W5255"/>
  <c r="H5256"/>
  <c r="I5256"/>
  <c r="K5256"/>
  <c r="N5256"/>
  <c r="W5256"/>
  <c r="H5257"/>
  <c r="I5257"/>
  <c r="K5257"/>
  <c r="N5257"/>
  <c r="W5257"/>
  <c r="H5258"/>
  <c r="I5258"/>
  <c r="K5258"/>
  <c r="N5258"/>
  <c r="W5258"/>
  <c r="H5259"/>
  <c r="I5259"/>
  <c r="K5259"/>
  <c r="N5259"/>
  <c r="W5259"/>
  <c r="H5260"/>
  <c r="I5260"/>
  <c r="K5260"/>
  <c r="N5260"/>
  <c r="W5260"/>
  <c r="H5261"/>
  <c r="I5261"/>
  <c r="K5261"/>
  <c r="N5261"/>
  <c r="W5261"/>
  <c r="H5262"/>
  <c r="I5262"/>
  <c r="K5262"/>
  <c r="N5262"/>
  <c r="W5262"/>
  <c r="H5263"/>
  <c r="I5263"/>
  <c r="K5263"/>
  <c r="N5263"/>
  <c r="W5263"/>
  <c r="H5264"/>
  <c r="I5264"/>
  <c r="K5264"/>
  <c r="N5264"/>
  <c r="W5264"/>
  <c r="H5265"/>
  <c r="I5265"/>
  <c r="K5265"/>
  <c r="N5265"/>
  <c r="W5265"/>
  <c r="H5266"/>
  <c r="I5266"/>
  <c r="K5266"/>
  <c r="N5266"/>
  <c r="W5266"/>
  <c r="H5267"/>
  <c r="I5267"/>
  <c r="K5267"/>
  <c r="N5267"/>
  <c r="W5267"/>
  <c r="H5268"/>
  <c r="I5268"/>
  <c r="K5268"/>
  <c r="N5268"/>
  <c r="W5268"/>
  <c r="H5269"/>
  <c r="I5269"/>
  <c r="K5269"/>
  <c r="N5269"/>
  <c r="W5269"/>
  <c r="H5270"/>
  <c r="I5270"/>
  <c r="K5270"/>
  <c r="N5270"/>
  <c r="W5270"/>
  <c r="H5271"/>
  <c r="I5271"/>
  <c r="K5271"/>
  <c r="N5271"/>
  <c r="W5271"/>
  <c r="H5272"/>
  <c r="I5272"/>
  <c r="K5272"/>
  <c r="N5272"/>
  <c r="W5272"/>
  <c r="H5273"/>
  <c r="I5273"/>
  <c r="K5273"/>
  <c r="N5273"/>
  <c r="W5273"/>
  <c r="H5274"/>
  <c r="I5274"/>
  <c r="K5274"/>
  <c r="N5274"/>
  <c r="W5274"/>
  <c r="H5275"/>
  <c r="I5275"/>
  <c r="K5275"/>
  <c r="N5275"/>
  <c r="W5275"/>
  <c r="H5276"/>
  <c r="I5276"/>
  <c r="K5276"/>
  <c r="N5276"/>
  <c r="W5276"/>
  <c r="H5277"/>
  <c r="I5277"/>
  <c r="K5277"/>
  <c r="N5277"/>
  <c r="W5277"/>
  <c r="H5278"/>
  <c r="I5278"/>
  <c r="K5278"/>
  <c r="N5278"/>
  <c r="W5278"/>
  <c r="H5279"/>
  <c r="I5279"/>
  <c r="K5279"/>
  <c r="N5279"/>
  <c r="W5279"/>
  <c r="H5280"/>
  <c r="I5280"/>
  <c r="K5280"/>
  <c r="N5280"/>
  <c r="W5280"/>
  <c r="H5281"/>
  <c r="I5281"/>
  <c r="K5281"/>
  <c r="N5281"/>
  <c r="W5281"/>
  <c r="H5282"/>
  <c r="I5282"/>
  <c r="K5282"/>
  <c r="N5282"/>
  <c r="W5282"/>
  <c r="H5283"/>
  <c r="I5283"/>
  <c r="K5283"/>
  <c r="N5283"/>
  <c r="W5283"/>
  <c r="H5284"/>
  <c r="I5284"/>
  <c r="K5284"/>
  <c r="N5284"/>
  <c r="W5284"/>
  <c r="H5285"/>
  <c r="I5285"/>
  <c r="K5285"/>
  <c r="N5285"/>
  <c r="W5285"/>
  <c r="H5286"/>
  <c r="I5286"/>
  <c r="K5286"/>
  <c r="N5286"/>
  <c r="W5286"/>
  <c r="H5287"/>
  <c r="I5287"/>
  <c r="K5287"/>
  <c r="N5287"/>
  <c r="W5287"/>
  <c r="H5288"/>
  <c r="I5288"/>
  <c r="K5288"/>
  <c r="N5288"/>
  <c r="W5288"/>
  <c r="H5289"/>
  <c r="I5289"/>
  <c r="K5289"/>
  <c r="N5289"/>
  <c r="W5289"/>
  <c r="H5290"/>
  <c r="I5290"/>
  <c r="K5290"/>
  <c r="N5290"/>
  <c r="W5290"/>
  <c r="H5291"/>
  <c r="I5291"/>
  <c r="K5291"/>
  <c r="N5291"/>
  <c r="W5291"/>
  <c r="H5292"/>
  <c r="I5292"/>
  <c r="K5292"/>
  <c r="N5292"/>
  <c r="W5292"/>
  <c r="H5293"/>
  <c r="I5293"/>
  <c r="K5293"/>
  <c r="N5293"/>
  <c r="W5293"/>
  <c r="H5294"/>
  <c r="I5294"/>
  <c r="K5294"/>
  <c r="N5294"/>
  <c r="W5294"/>
  <c r="H5295"/>
  <c r="I5295"/>
  <c r="K5295"/>
  <c r="N5295"/>
  <c r="W5295"/>
  <c r="H5296"/>
  <c r="I5296"/>
  <c r="K5296"/>
  <c r="N5296"/>
  <c r="W5296"/>
  <c r="H5297"/>
  <c r="I5297"/>
  <c r="K5297"/>
  <c r="N5297"/>
  <c r="W5297"/>
  <c r="H5298"/>
  <c r="I5298"/>
  <c r="K5298"/>
  <c r="N5298"/>
  <c r="W5298"/>
  <c r="H5299"/>
  <c r="I5299"/>
  <c r="K5299"/>
  <c r="N5299"/>
  <c r="W5299"/>
  <c r="H5300"/>
  <c r="I5300"/>
  <c r="K5300"/>
  <c r="N5300"/>
  <c r="W5300"/>
  <c r="H5301"/>
  <c r="I5301"/>
  <c r="K5301"/>
  <c r="N5301"/>
  <c r="W5301"/>
  <c r="H5302"/>
  <c r="I5302"/>
  <c r="K5302"/>
  <c r="N5302"/>
  <c r="W5302"/>
  <c r="H5303"/>
  <c r="I5303"/>
  <c r="K5303"/>
  <c r="N5303"/>
  <c r="W5303"/>
  <c r="H5304"/>
  <c r="I5304"/>
  <c r="K5304"/>
  <c r="N5304"/>
  <c r="W5304"/>
  <c r="H5305"/>
  <c r="I5305"/>
  <c r="K5305"/>
  <c r="N5305"/>
  <c r="W5305"/>
  <c r="H5306"/>
  <c r="I5306"/>
  <c r="K5306"/>
  <c r="N5306"/>
  <c r="W5306"/>
  <c r="H5307"/>
  <c r="I5307"/>
  <c r="K5307"/>
  <c r="N5307"/>
  <c r="W5307"/>
  <c r="H5308"/>
  <c r="I5308"/>
  <c r="K5308"/>
  <c r="N5308"/>
  <c r="W5308"/>
  <c r="H5309"/>
  <c r="I5309"/>
  <c r="K5309"/>
  <c r="N5309"/>
  <c r="W5309"/>
  <c r="H5310"/>
  <c r="I5310"/>
  <c r="K5310"/>
  <c r="N5310"/>
  <c r="W5310"/>
  <c r="H5311"/>
  <c r="I5311"/>
  <c r="K5311"/>
  <c r="N5311"/>
  <c r="W5311"/>
  <c r="H5312"/>
  <c r="I5312"/>
  <c r="K5312"/>
  <c r="N5312"/>
  <c r="W5312"/>
  <c r="H5313"/>
  <c r="I5313"/>
  <c r="K5313"/>
  <c r="N5313"/>
  <c r="W5313"/>
  <c r="H5314"/>
  <c r="I5314"/>
  <c r="K5314"/>
  <c r="N5314"/>
  <c r="W5314"/>
  <c r="H5315"/>
  <c r="I5315"/>
  <c r="K5315"/>
  <c r="N5315"/>
  <c r="W5315"/>
  <c r="H5316"/>
  <c r="I5316"/>
  <c r="K5316"/>
  <c r="N5316"/>
  <c r="W5316"/>
  <c r="H5317"/>
  <c r="I5317"/>
  <c r="K5317"/>
  <c r="N5317"/>
  <c r="W5317"/>
  <c r="H5318"/>
  <c r="I5318"/>
  <c r="K5318"/>
  <c r="N5318"/>
  <c r="W5318"/>
  <c r="H5319"/>
  <c r="I5319"/>
  <c r="K5319"/>
  <c r="N5319"/>
  <c r="W5319"/>
  <c r="H5320"/>
  <c r="I5320"/>
  <c r="K5320"/>
  <c r="N5320"/>
  <c r="W5320"/>
  <c r="H5321"/>
  <c r="I5321"/>
  <c r="K5321"/>
  <c r="N5321"/>
  <c r="W5321"/>
  <c r="H5322"/>
  <c r="I5322"/>
  <c r="K5322"/>
  <c r="N5322"/>
  <c r="W5322"/>
  <c r="H5323"/>
  <c r="I5323"/>
  <c r="K5323"/>
  <c r="N5323"/>
  <c r="W5323"/>
  <c r="H5324"/>
  <c r="I5324"/>
  <c r="K5324"/>
  <c r="N5324"/>
  <c r="W5324"/>
  <c r="H5325"/>
  <c r="I5325"/>
  <c r="K5325"/>
  <c r="N5325"/>
  <c r="W5325"/>
  <c r="H5326"/>
  <c r="I5326"/>
  <c r="K5326"/>
  <c r="N5326"/>
  <c r="W5326"/>
  <c r="H5327"/>
  <c r="I5327"/>
  <c r="K5327"/>
  <c r="N5327"/>
  <c r="W5327"/>
  <c r="H5328"/>
  <c r="I5328"/>
  <c r="K5328"/>
  <c r="N5328"/>
  <c r="W5328"/>
  <c r="H5329"/>
  <c r="I5329"/>
  <c r="K5329"/>
  <c r="N5329"/>
  <c r="W5329"/>
  <c r="H5330"/>
  <c r="I5330"/>
  <c r="K5330"/>
  <c r="N5330"/>
  <c r="W5330"/>
  <c r="H5331"/>
  <c r="I5331"/>
  <c r="K5331"/>
  <c r="N5331"/>
  <c r="W5331"/>
  <c r="H5332"/>
  <c r="I5332"/>
  <c r="K5332"/>
  <c r="N5332"/>
  <c r="W5332"/>
  <c r="H5333"/>
  <c r="I5333"/>
  <c r="K5333"/>
  <c r="N5333"/>
  <c r="W5333"/>
  <c r="H5334"/>
  <c r="I5334"/>
  <c r="K5334"/>
  <c r="N5334"/>
  <c r="W5334"/>
  <c r="H5335"/>
  <c r="I5335"/>
  <c r="K5335"/>
  <c r="N5335"/>
  <c r="W5335"/>
  <c r="H5336"/>
  <c r="I5336"/>
  <c r="K5336"/>
  <c r="N5336"/>
  <c r="W5336"/>
  <c r="H5337"/>
  <c r="I5337"/>
  <c r="K5337"/>
  <c r="N5337"/>
  <c r="W5337"/>
  <c r="H5338"/>
  <c r="I5338"/>
  <c r="K5338"/>
  <c r="N5338"/>
  <c r="W5338"/>
  <c r="H5339"/>
  <c r="I5339"/>
  <c r="K5339"/>
  <c r="N5339"/>
  <c r="W5339"/>
  <c r="H5340"/>
  <c r="I5340"/>
  <c r="K5340"/>
  <c r="N5340"/>
  <c r="W5340"/>
  <c r="H5341"/>
  <c r="I5341"/>
  <c r="K5341"/>
  <c r="N5341"/>
  <c r="W5341"/>
  <c r="H5342"/>
  <c r="I5342"/>
  <c r="K5342"/>
  <c r="N5342"/>
  <c r="W5342"/>
  <c r="H5343"/>
  <c r="I5343"/>
  <c r="K5343"/>
  <c r="N5343"/>
  <c r="W5343"/>
  <c r="H5344"/>
  <c r="I5344"/>
  <c r="K5344"/>
  <c r="N5344"/>
  <c r="W5344"/>
  <c r="H5345"/>
  <c r="I5345"/>
  <c r="K5345"/>
  <c r="N5345"/>
  <c r="W5345"/>
  <c r="H5346"/>
  <c r="I5346"/>
  <c r="K5346"/>
  <c r="N5346"/>
  <c r="W5346"/>
  <c r="H5347"/>
  <c r="I5347"/>
  <c r="K5347"/>
  <c r="N5347"/>
  <c r="W5347"/>
  <c r="H5348"/>
  <c r="I5348"/>
  <c r="K5348"/>
  <c r="N5348"/>
  <c r="W5348"/>
  <c r="H5349"/>
  <c r="I5349"/>
  <c r="K5349"/>
  <c r="N5349"/>
  <c r="W5349"/>
  <c r="H5350"/>
  <c r="I5350"/>
  <c r="K5350"/>
  <c r="N5350"/>
  <c r="W5350"/>
  <c r="H5351"/>
  <c r="I5351"/>
  <c r="K5351"/>
  <c r="N5351"/>
  <c r="W5351"/>
  <c r="H5352"/>
  <c r="I5352"/>
  <c r="K5352"/>
  <c r="N5352"/>
  <c r="W5352"/>
  <c r="H5353"/>
  <c r="I5353"/>
  <c r="K5353"/>
  <c r="N5353"/>
  <c r="W5353"/>
  <c r="H5354"/>
  <c r="I5354"/>
  <c r="K5354"/>
  <c r="N5354"/>
  <c r="W5354"/>
  <c r="H5355"/>
  <c r="I5355"/>
  <c r="K5355"/>
  <c r="N5355"/>
  <c r="W5355"/>
  <c r="H5356"/>
  <c r="I5356"/>
  <c r="K5356"/>
  <c r="N5356"/>
  <c r="W5356"/>
  <c r="H5357"/>
  <c r="I5357"/>
  <c r="K5357"/>
  <c r="N5357"/>
  <c r="W5357"/>
  <c r="H5358"/>
  <c r="I5358"/>
  <c r="K5358"/>
  <c r="N5358"/>
  <c r="W5358"/>
  <c r="H5359"/>
  <c r="I5359"/>
  <c r="K5359"/>
  <c r="N5359"/>
  <c r="W5359"/>
  <c r="H5360"/>
  <c r="I5360"/>
  <c r="K5360"/>
  <c r="N5360"/>
  <c r="W5360"/>
  <c r="H5361"/>
  <c r="I5361"/>
  <c r="K5361"/>
  <c r="N5361"/>
  <c r="W5361"/>
  <c r="H5362"/>
  <c r="I5362"/>
  <c r="K5362"/>
  <c r="N5362"/>
  <c r="W5362"/>
  <c r="H5363"/>
  <c r="I5363"/>
  <c r="K5363"/>
  <c r="N5363"/>
  <c r="W5363"/>
  <c r="H5364"/>
  <c r="I5364"/>
  <c r="K5364"/>
  <c r="N5364"/>
  <c r="W5364"/>
  <c r="H5365"/>
  <c r="I5365"/>
  <c r="K5365"/>
  <c r="N5365"/>
  <c r="W5365"/>
  <c r="H5366"/>
  <c r="I5366"/>
  <c r="K5366"/>
  <c r="N5366"/>
  <c r="W5366"/>
  <c r="H5367"/>
  <c r="I5367"/>
  <c r="K5367"/>
  <c r="N5367"/>
  <c r="W5367"/>
  <c r="H5368"/>
  <c r="I5368"/>
  <c r="K5368"/>
  <c r="N5368"/>
  <c r="W5368"/>
  <c r="H5369"/>
  <c r="I5369"/>
  <c r="K5369"/>
  <c r="N5369"/>
  <c r="W5369"/>
  <c r="H5370"/>
  <c r="I5370"/>
  <c r="K5370"/>
  <c r="N5370"/>
  <c r="W5370"/>
  <c r="H5371"/>
  <c r="I5371"/>
  <c r="K5371"/>
  <c r="N5371"/>
  <c r="W5371"/>
  <c r="H5372"/>
  <c r="I5372"/>
  <c r="K5372"/>
  <c r="N5372"/>
  <c r="W5372"/>
  <c r="H5373"/>
  <c r="I5373"/>
  <c r="K5373"/>
  <c r="N5373"/>
  <c r="W5373"/>
  <c r="H5374"/>
  <c r="I5374"/>
  <c r="K5374"/>
  <c r="N5374"/>
  <c r="W5374"/>
  <c r="H5375"/>
  <c r="I5375"/>
  <c r="K5375"/>
  <c r="N5375"/>
  <c r="W5375"/>
  <c r="H5376"/>
  <c r="I5376"/>
  <c r="K5376"/>
  <c r="N5376"/>
  <c r="W5376"/>
  <c r="H5377"/>
  <c r="I5377"/>
  <c r="K5377"/>
  <c r="N5377"/>
  <c r="W5377"/>
  <c r="H5378"/>
  <c r="I5378"/>
  <c r="K5378"/>
  <c r="N5378"/>
  <c r="W5378"/>
  <c r="H5379"/>
  <c r="I5379"/>
  <c r="K5379"/>
  <c r="N5379"/>
  <c r="W5379"/>
  <c r="H5380"/>
  <c r="I5380"/>
  <c r="K5380"/>
  <c r="N5380"/>
  <c r="W5380"/>
  <c r="H5381"/>
  <c r="I5381"/>
  <c r="K5381"/>
  <c r="N5381"/>
  <c r="W5381"/>
  <c r="H5382"/>
  <c r="I5382"/>
  <c r="K5382"/>
  <c r="N5382"/>
  <c r="W5382"/>
  <c r="H5383"/>
  <c r="I5383"/>
  <c r="K5383"/>
  <c r="N5383"/>
  <c r="W5383"/>
  <c r="H5384"/>
  <c r="I5384"/>
  <c r="K5384"/>
  <c r="N5384"/>
  <c r="W5384"/>
  <c r="H5385"/>
  <c r="I5385"/>
  <c r="K5385"/>
  <c r="N5385"/>
  <c r="W5385"/>
  <c r="H5386"/>
  <c r="I5386"/>
  <c r="K5386"/>
  <c r="N5386"/>
  <c r="W5386"/>
  <c r="H5387"/>
  <c r="I5387"/>
  <c r="K5387"/>
  <c r="N5387"/>
  <c r="W5387"/>
  <c r="H5388"/>
  <c r="I5388"/>
  <c r="K5388"/>
  <c r="N5388"/>
  <c r="W5388"/>
  <c r="H5389"/>
  <c r="I5389"/>
  <c r="K5389"/>
  <c r="N5389"/>
  <c r="W5389"/>
  <c r="H5390"/>
  <c r="I5390"/>
  <c r="K5390"/>
  <c r="N5390"/>
  <c r="W5390"/>
  <c r="H5391"/>
  <c r="I5391"/>
  <c r="K5391"/>
  <c r="N5391"/>
  <c r="W5391"/>
  <c r="H5392"/>
  <c r="I5392"/>
  <c r="K5392"/>
  <c r="N5392"/>
  <c r="W5392"/>
  <c r="H5393"/>
  <c r="I5393"/>
  <c r="K5393"/>
  <c r="N5393"/>
  <c r="W5393"/>
  <c r="H5394"/>
  <c r="I5394"/>
  <c r="K5394"/>
  <c r="N5394"/>
  <c r="W5394"/>
  <c r="H5395"/>
  <c r="I5395"/>
  <c r="K5395"/>
  <c r="N5395"/>
  <c r="W5395"/>
  <c r="H5396"/>
  <c r="I5396"/>
  <c r="K5396"/>
  <c r="N5396"/>
  <c r="W5396"/>
  <c r="H5397"/>
  <c r="I5397"/>
  <c r="K5397"/>
  <c r="N5397"/>
  <c r="W5397"/>
  <c r="H5398"/>
  <c r="I5398"/>
  <c r="K5398"/>
  <c r="N5398"/>
  <c r="W5398"/>
  <c r="H5399"/>
  <c r="I5399"/>
  <c r="K5399"/>
  <c r="N5399"/>
  <c r="W5399"/>
  <c r="H5400"/>
  <c r="I5400"/>
  <c r="K5400"/>
  <c r="N5400"/>
  <c r="W5400"/>
  <c r="H5401"/>
  <c r="I5401"/>
  <c r="K5401"/>
  <c r="N5401"/>
  <c r="W5401"/>
  <c r="H5402"/>
  <c r="I5402"/>
  <c r="K5402"/>
  <c r="N5402"/>
  <c r="W5402"/>
  <c r="H5403"/>
  <c r="I5403"/>
  <c r="K5403"/>
  <c r="N5403"/>
  <c r="W5403"/>
  <c r="H5404"/>
  <c r="I5404"/>
  <c r="K5404"/>
  <c r="N5404"/>
  <c r="W5404"/>
  <c r="H5405"/>
  <c r="I5405"/>
  <c r="K5405"/>
  <c r="N5405"/>
  <c r="W5405"/>
  <c r="H5406"/>
  <c r="I5406"/>
  <c r="K5406"/>
  <c r="N5406"/>
  <c r="W5406"/>
  <c r="H5407"/>
  <c r="I5407"/>
  <c r="K5407"/>
  <c r="N5407"/>
  <c r="W5407"/>
  <c r="H5408"/>
  <c r="I5408"/>
  <c r="K5408"/>
  <c r="N5408"/>
  <c r="W5408"/>
  <c r="H5409"/>
  <c r="I5409"/>
  <c r="K5409"/>
  <c r="N5409"/>
  <c r="W5409"/>
  <c r="H5410"/>
  <c r="I5410"/>
  <c r="K5410"/>
  <c r="N5410"/>
  <c r="W5410"/>
  <c r="H5411"/>
  <c r="I5411"/>
  <c r="K5411"/>
  <c r="N5411"/>
  <c r="W5411"/>
  <c r="H5412"/>
  <c r="I5412"/>
  <c r="K5412"/>
  <c r="N5412"/>
  <c r="W5412"/>
  <c r="H5413"/>
  <c r="I5413"/>
  <c r="K5413"/>
  <c r="N5413"/>
  <c r="W5413"/>
  <c r="H5414"/>
  <c r="I5414"/>
  <c r="K5414"/>
  <c r="N5414"/>
  <c r="W5414"/>
  <c r="H5415"/>
  <c r="I5415"/>
  <c r="K5415"/>
  <c r="N5415"/>
  <c r="W5415"/>
  <c r="H5416"/>
  <c r="I5416"/>
  <c r="K5416"/>
  <c r="N5416"/>
  <c r="W5416"/>
  <c r="H5417"/>
  <c r="I5417"/>
  <c r="K5417"/>
  <c r="N5417"/>
  <c r="W5417"/>
  <c r="H5418"/>
  <c r="I5418"/>
  <c r="K5418"/>
  <c r="N5418"/>
  <c r="W5418"/>
  <c r="H5419"/>
  <c r="I5419"/>
  <c r="K5419"/>
  <c r="N5419"/>
  <c r="W5419"/>
  <c r="H5420"/>
  <c r="I5420"/>
  <c r="K5420"/>
  <c r="N5420"/>
  <c r="W5420"/>
  <c r="H5421"/>
  <c r="I5421"/>
  <c r="K5421"/>
  <c r="N5421"/>
  <c r="W5421"/>
  <c r="H5422"/>
  <c r="I5422"/>
  <c r="K5422"/>
  <c r="N5422"/>
  <c r="W5422"/>
  <c r="H5423"/>
  <c r="I5423"/>
  <c r="K5423"/>
  <c r="N5423"/>
  <c r="W5423"/>
  <c r="H5424"/>
  <c r="I5424"/>
  <c r="K5424"/>
  <c r="N5424"/>
  <c r="W5424"/>
  <c r="H5425"/>
  <c r="I5425"/>
  <c r="K5425"/>
  <c r="N5425"/>
  <c r="W5425"/>
  <c r="H5426"/>
  <c r="I5426"/>
  <c r="K5426"/>
  <c r="N5426"/>
  <c r="W5426"/>
  <c r="H5427"/>
  <c r="I5427"/>
  <c r="K5427"/>
  <c r="N5427"/>
  <c r="W5427"/>
  <c r="H5428"/>
  <c r="I5428"/>
  <c r="K5428"/>
  <c r="N5428"/>
  <c r="W5428"/>
  <c r="H5429"/>
  <c r="I5429"/>
  <c r="K5429"/>
  <c r="N5429"/>
  <c r="W5429"/>
  <c r="H5430"/>
  <c r="I5430"/>
  <c r="K5430"/>
  <c r="N5430"/>
  <c r="W5430"/>
  <c r="H5431"/>
  <c r="I5431"/>
  <c r="K5431"/>
  <c r="N5431"/>
  <c r="W5431"/>
  <c r="H5432"/>
  <c r="I5432"/>
  <c r="K5432"/>
  <c r="N5432"/>
  <c r="W5432"/>
  <c r="H5433"/>
  <c r="I5433"/>
  <c r="K5433"/>
  <c r="N5433"/>
  <c r="W5433"/>
  <c r="H5434"/>
  <c r="I5434"/>
  <c r="K5434"/>
  <c r="N5434"/>
  <c r="W5434"/>
  <c r="H5435"/>
  <c r="I5435"/>
  <c r="K5435"/>
  <c r="N5435"/>
  <c r="W5435"/>
  <c r="H5436"/>
  <c r="I5436"/>
  <c r="K5436"/>
  <c r="N5436"/>
  <c r="W5436"/>
  <c r="H5437"/>
  <c r="I5437"/>
  <c r="K5437"/>
  <c r="N5437"/>
  <c r="W5437"/>
  <c r="H5438"/>
  <c r="I5438"/>
  <c r="K5438"/>
  <c r="N5438"/>
  <c r="W5438"/>
  <c r="H5439"/>
  <c r="I5439"/>
  <c r="K5439"/>
  <c r="N5439"/>
  <c r="W5439"/>
  <c r="H5440"/>
  <c r="I5440"/>
  <c r="K5440"/>
  <c r="N5440"/>
  <c r="W5440"/>
  <c r="H5441"/>
  <c r="I5441"/>
  <c r="K5441"/>
  <c r="N5441"/>
  <c r="W5441"/>
  <c r="H5442"/>
  <c r="I5442"/>
  <c r="K5442"/>
  <c r="N5442"/>
  <c r="W5442"/>
  <c r="H5443"/>
  <c r="I5443"/>
  <c r="K5443"/>
  <c r="N5443"/>
  <c r="W5443"/>
  <c r="H5444"/>
  <c r="I5444"/>
  <c r="K5444"/>
  <c r="N5444"/>
  <c r="W5444"/>
  <c r="H5445"/>
  <c r="I5445"/>
  <c r="K5445"/>
  <c r="N5445"/>
  <c r="W5445"/>
  <c r="H5446"/>
  <c r="I5446"/>
  <c r="K5446"/>
  <c r="N5446"/>
  <c r="W5446"/>
  <c r="H5447"/>
  <c r="I5447"/>
  <c r="K5447"/>
  <c r="N5447"/>
  <c r="W5447"/>
  <c r="H5448"/>
  <c r="I5448"/>
  <c r="K5448"/>
  <c r="N5448"/>
  <c r="W5448"/>
  <c r="H5449"/>
  <c r="I5449"/>
  <c r="K5449"/>
  <c r="N5449"/>
  <c r="W5449"/>
  <c r="H5450"/>
  <c r="I5450"/>
  <c r="K5450"/>
  <c r="N5450"/>
  <c r="W5450"/>
  <c r="H5451"/>
  <c r="I5451"/>
  <c r="K5451"/>
  <c r="N5451"/>
  <c r="W5451"/>
  <c r="H5452"/>
  <c r="I5452"/>
  <c r="K5452"/>
  <c r="N5452"/>
  <c r="W5452"/>
  <c r="H5453"/>
  <c r="I5453"/>
  <c r="K5453"/>
  <c r="N5453"/>
  <c r="W5453"/>
  <c r="H5454"/>
  <c r="I5454"/>
  <c r="K5454"/>
  <c r="N5454"/>
  <c r="W5454"/>
  <c r="H5455"/>
  <c r="I5455"/>
  <c r="K5455"/>
  <c r="N5455"/>
  <c r="W5455"/>
  <c r="H5456"/>
  <c r="I5456"/>
  <c r="K5456"/>
  <c r="N5456"/>
  <c r="W5456"/>
  <c r="H5457"/>
  <c r="I5457"/>
  <c r="K5457"/>
  <c r="N5457"/>
  <c r="W5457"/>
  <c r="H5458"/>
  <c r="I5458"/>
  <c r="K5458"/>
  <c r="N5458"/>
  <c r="W5458"/>
  <c r="H5459"/>
  <c r="I5459"/>
  <c r="K5459"/>
  <c r="N5459"/>
  <c r="W5459"/>
  <c r="H5460"/>
  <c r="I5460"/>
  <c r="K5460"/>
  <c r="N5460"/>
  <c r="W5460"/>
  <c r="H5461"/>
  <c r="I5461"/>
  <c r="K5461"/>
  <c r="N5461"/>
  <c r="W5461"/>
  <c r="H5462"/>
  <c r="I5462"/>
  <c r="K5462"/>
  <c r="N5462"/>
  <c r="W5462"/>
  <c r="H5463"/>
  <c r="I5463"/>
  <c r="K5463"/>
  <c r="N5463"/>
  <c r="W5463"/>
  <c r="H5464"/>
  <c r="I5464"/>
  <c r="K5464"/>
  <c r="N5464"/>
  <c r="W5464"/>
  <c r="H5465"/>
  <c r="I5465"/>
  <c r="K5465"/>
  <c r="N5465"/>
  <c r="W5465"/>
  <c r="H5466"/>
  <c r="I5466"/>
  <c r="K5466"/>
  <c r="N5466"/>
  <c r="W5466"/>
  <c r="H5467"/>
  <c r="I5467"/>
  <c r="K5467"/>
  <c r="N5467"/>
  <c r="W5467"/>
  <c r="H5468"/>
  <c r="I5468"/>
  <c r="K5468"/>
  <c r="N5468"/>
  <c r="W5468"/>
  <c r="H5469"/>
  <c r="I5469"/>
  <c r="K5469"/>
  <c r="N5469"/>
  <c r="W5469"/>
  <c r="H5470"/>
  <c r="I5470"/>
  <c r="K5470"/>
  <c r="N5470"/>
  <c r="W5470"/>
  <c r="H5471"/>
  <c r="I5471"/>
  <c r="K5471"/>
  <c r="N5471"/>
  <c r="W5471"/>
  <c r="H5472"/>
  <c r="I5472"/>
  <c r="K5472"/>
  <c r="N5472"/>
  <c r="W5472"/>
  <c r="H5473"/>
  <c r="I5473"/>
  <c r="K5473"/>
  <c r="N5473"/>
  <c r="W5473"/>
  <c r="H5474"/>
  <c r="I5474"/>
  <c r="K5474"/>
  <c r="N5474"/>
  <c r="W5474"/>
  <c r="H5475"/>
  <c r="I5475"/>
  <c r="K5475"/>
  <c r="N5475"/>
  <c r="W5475"/>
  <c r="H5476"/>
  <c r="I5476"/>
  <c r="K5476"/>
  <c r="N5476"/>
  <c r="W5476"/>
  <c r="H5477"/>
  <c r="I5477"/>
  <c r="K5477"/>
  <c r="N5477"/>
  <c r="W5477"/>
  <c r="H5478"/>
  <c r="I5478"/>
  <c r="K5478"/>
  <c r="N5478"/>
  <c r="W5478"/>
  <c r="H5479"/>
  <c r="I5479"/>
  <c r="K5479"/>
  <c r="N5479"/>
  <c r="W5479"/>
  <c r="H5480"/>
  <c r="I5480"/>
  <c r="K5480"/>
  <c r="N5480"/>
  <c r="W5480"/>
  <c r="H5481"/>
  <c r="I5481"/>
  <c r="K5481"/>
  <c r="N5481"/>
  <c r="W5481"/>
  <c r="H5482"/>
  <c r="I5482"/>
  <c r="K5482"/>
  <c r="N5482"/>
  <c r="W5482"/>
  <c r="H5483"/>
  <c r="I5483"/>
  <c r="K5483"/>
  <c r="N5483"/>
  <c r="W5483"/>
  <c r="H5484"/>
  <c r="I5484"/>
  <c r="K5484"/>
  <c r="N5484"/>
  <c r="W5484"/>
  <c r="H5485"/>
  <c r="I5485"/>
  <c r="K5485"/>
  <c r="N5485"/>
  <c r="W5485"/>
  <c r="H5486"/>
  <c r="I5486"/>
  <c r="K5486"/>
  <c r="N5486"/>
  <c r="W5486"/>
  <c r="H5487"/>
  <c r="I5487"/>
  <c r="K5487"/>
  <c r="N5487"/>
  <c r="W5487"/>
  <c r="H5488"/>
  <c r="I5488"/>
  <c r="K5488"/>
  <c r="N5488"/>
  <c r="W5488"/>
  <c r="H5489"/>
  <c r="I5489"/>
  <c r="K5489"/>
  <c r="N5489"/>
  <c r="W5489"/>
  <c r="H5490"/>
  <c r="I5490"/>
  <c r="K5490"/>
  <c r="N5490"/>
  <c r="W5490"/>
  <c r="H5491"/>
  <c r="I5491"/>
  <c r="K5491"/>
  <c r="N5491"/>
  <c r="W5491"/>
  <c r="H5492"/>
  <c r="I5492"/>
  <c r="K5492"/>
  <c r="N5492"/>
  <c r="W5492"/>
  <c r="H5493"/>
  <c r="I5493"/>
  <c r="K5493"/>
  <c r="N5493"/>
  <c r="W5493"/>
  <c r="H5494"/>
  <c r="I5494"/>
  <c r="K5494"/>
  <c r="N5494"/>
  <c r="W5494"/>
  <c r="H5495"/>
  <c r="I5495"/>
  <c r="K5495"/>
  <c r="N5495"/>
  <c r="W5495"/>
  <c r="H5496"/>
  <c r="I5496"/>
  <c r="K5496"/>
  <c r="N5496"/>
  <c r="W5496"/>
  <c r="H5497"/>
  <c r="I5497"/>
  <c r="K5497"/>
  <c r="N5497"/>
  <c r="W5497"/>
  <c r="H5498"/>
  <c r="I5498"/>
  <c r="K5498"/>
  <c r="N5498"/>
  <c r="W5498"/>
  <c r="H5499"/>
  <c r="I5499"/>
  <c r="K5499"/>
  <c r="N5499"/>
  <c r="W5499"/>
  <c r="H5500"/>
  <c r="I5500"/>
  <c r="K5500"/>
  <c r="N5500"/>
  <c r="W5500"/>
  <c r="H5501"/>
  <c r="I5501"/>
  <c r="K5501"/>
  <c r="N5501"/>
  <c r="W5501"/>
  <c r="H5502"/>
  <c r="I5502"/>
  <c r="K5502"/>
  <c r="N5502"/>
  <c r="W5502"/>
  <c r="H5503"/>
  <c r="I5503"/>
  <c r="K5503"/>
  <c r="N5503"/>
  <c r="W5503"/>
  <c r="H5504"/>
  <c r="I5504"/>
  <c r="K5504"/>
  <c r="N5504"/>
  <c r="W5504"/>
  <c r="H5505"/>
  <c r="I5505"/>
  <c r="K5505"/>
  <c r="N5505"/>
  <c r="W5505"/>
  <c r="H5506"/>
  <c r="I5506"/>
  <c r="K5506"/>
  <c r="N5506"/>
  <c r="W5506"/>
  <c r="H5507"/>
  <c r="I5507"/>
  <c r="K5507"/>
  <c r="N5507"/>
  <c r="W5507"/>
  <c r="H5508"/>
  <c r="I5508"/>
  <c r="K5508"/>
  <c r="N5508"/>
  <c r="W5508"/>
  <c r="H5509"/>
  <c r="I5509"/>
  <c r="K5509"/>
  <c r="N5509"/>
  <c r="W5509"/>
  <c r="H5510"/>
  <c r="I5510"/>
  <c r="K5510"/>
  <c r="N5510"/>
  <c r="W5510"/>
  <c r="H5511"/>
  <c r="I5511"/>
  <c r="K5511"/>
  <c r="N5511"/>
  <c r="W5511"/>
  <c r="H5512"/>
  <c r="I5512"/>
  <c r="K5512"/>
  <c r="N5512"/>
  <c r="W5512"/>
  <c r="H5513"/>
  <c r="I5513"/>
  <c r="K5513"/>
  <c r="N5513"/>
  <c r="W5513"/>
  <c r="H5514"/>
  <c r="I5514"/>
  <c r="K5514"/>
  <c r="N5514"/>
  <c r="W5514"/>
  <c r="H5515"/>
  <c r="I5515"/>
  <c r="K5515"/>
  <c r="N5515"/>
  <c r="W5515"/>
  <c r="H5516"/>
  <c r="I5516"/>
  <c r="K5516"/>
  <c r="N5516"/>
  <c r="W5516"/>
  <c r="H5517"/>
  <c r="I5517"/>
  <c r="K5517"/>
  <c r="N5517"/>
  <c r="W5517"/>
  <c r="H5518"/>
  <c r="I5518"/>
  <c r="K5518"/>
  <c r="N5518"/>
  <c r="W5518"/>
  <c r="H5519"/>
  <c r="I5519"/>
  <c r="K5519"/>
  <c r="N5519"/>
  <c r="W5519"/>
  <c r="H5520"/>
  <c r="I5520"/>
  <c r="K5520"/>
  <c r="N5520"/>
  <c r="W5520"/>
  <c r="H5521"/>
  <c r="I5521"/>
  <c r="K5521"/>
  <c r="N5521"/>
  <c r="W5521"/>
  <c r="H5522"/>
  <c r="I5522"/>
  <c r="K5522"/>
  <c r="N5522"/>
  <c r="W5522"/>
  <c r="H5523"/>
  <c r="I5523"/>
  <c r="K5523"/>
  <c r="N5523"/>
  <c r="W5523"/>
  <c r="H5524"/>
  <c r="I5524"/>
  <c r="K5524"/>
  <c r="N5524"/>
  <c r="W5524"/>
  <c r="H5525"/>
  <c r="I5525"/>
  <c r="K5525"/>
  <c r="N5525"/>
  <c r="W5525"/>
  <c r="H5526"/>
  <c r="I5526"/>
  <c r="K5526"/>
  <c r="N5526"/>
  <c r="W5526"/>
  <c r="H5527"/>
  <c r="I5527"/>
  <c r="K5527"/>
  <c r="N5527"/>
  <c r="W5527"/>
  <c r="H5528"/>
  <c r="I5528"/>
  <c r="K5528"/>
  <c r="N5528"/>
  <c r="W5528"/>
  <c r="H5529"/>
  <c r="I5529"/>
  <c r="K5529"/>
  <c r="N5529"/>
  <c r="W5529"/>
  <c r="H5530"/>
  <c r="I5530"/>
  <c r="K5530"/>
  <c r="N5530"/>
  <c r="W5530"/>
  <c r="H5531"/>
  <c r="I5531"/>
  <c r="K5531"/>
  <c r="N5531"/>
  <c r="W5531"/>
  <c r="H5532"/>
  <c r="I5532"/>
  <c r="K5532"/>
  <c r="N5532"/>
  <c r="W5532"/>
  <c r="H5533"/>
  <c r="I5533"/>
  <c r="K5533"/>
  <c r="N5533"/>
  <c r="W5533"/>
  <c r="H5534"/>
  <c r="I5534"/>
  <c r="K5534"/>
  <c r="N5534"/>
  <c r="W5534"/>
  <c r="H5535"/>
  <c r="I5535"/>
  <c r="K5535"/>
  <c r="N5535"/>
  <c r="W5535"/>
  <c r="H5536"/>
  <c r="I5536"/>
  <c r="K5536"/>
  <c r="N5536"/>
  <c r="W5536"/>
  <c r="H5537"/>
  <c r="I5537"/>
  <c r="K5537"/>
  <c r="N5537"/>
  <c r="W5537"/>
  <c r="H5538"/>
  <c r="I5538"/>
  <c r="K5538"/>
  <c r="N5538"/>
  <c r="W5538"/>
  <c r="H5539"/>
  <c r="I5539"/>
  <c r="K5539"/>
  <c r="N5539"/>
  <c r="W5539"/>
  <c r="H5540"/>
  <c r="I5540"/>
  <c r="K5540"/>
  <c r="N5540"/>
  <c r="W5540"/>
  <c r="H5541"/>
  <c r="I5541"/>
  <c r="K5541"/>
  <c r="N5541"/>
  <c r="W5541"/>
  <c r="H5542"/>
  <c r="I5542"/>
  <c r="K5542"/>
  <c r="N5542"/>
  <c r="W5542"/>
  <c r="H5543"/>
  <c r="I5543"/>
  <c r="K5543"/>
  <c r="N5543"/>
  <c r="W5543"/>
  <c r="H5544"/>
  <c r="I5544"/>
  <c r="K5544"/>
  <c r="N5544"/>
  <c r="W5544"/>
  <c r="H5545"/>
  <c r="I5545"/>
  <c r="K5545"/>
  <c r="N5545"/>
  <c r="W5545"/>
  <c r="H5546"/>
  <c r="I5546"/>
  <c r="K5546"/>
  <c r="N5546"/>
  <c r="W5546"/>
  <c r="H5547"/>
  <c r="I5547"/>
  <c r="K5547"/>
  <c r="N5547"/>
  <c r="W5547"/>
  <c r="H5548"/>
  <c r="I5548"/>
  <c r="K5548"/>
  <c r="N5548"/>
  <c r="W5548"/>
  <c r="H5549"/>
  <c r="I5549"/>
  <c r="K5549"/>
  <c r="N5549"/>
  <c r="W5549"/>
  <c r="H5550"/>
  <c r="I5550"/>
  <c r="K5550"/>
  <c r="N5550"/>
  <c r="W5550"/>
  <c r="H5551"/>
  <c r="I5551"/>
  <c r="K5551"/>
  <c r="N5551"/>
  <c r="W5551"/>
  <c r="H5552"/>
  <c r="I5552"/>
  <c r="K5552"/>
  <c r="N5552"/>
  <c r="W5552"/>
  <c r="H5553"/>
  <c r="I5553"/>
  <c r="K5553"/>
  <c r="N5553"/>
  <c r="W5553"/>
  <c r="H5554"/>
  <c r="I5554"/>
  <c r="K5554"/>
  <c r="N5554"/>
  <c r="W5554"/>
  <c r="H5555"/>
  <c r="I5555"/>
  <c r="K5555"/>
  <c r="N5555"/>
  <c r="W5555"/>
  <c r="H5556"/>
  <c r="I5556"/>
  <c r="K5556"/>
  <c r="N5556"/>
  <c r="W5556"/>
  <c r="H5557"/>
  <c r="I5557"/>
  <c r="K5557"/>
  <c r="N5557"/>
  <c r="W5557"/>
  <c r="H5558"/>
  <c r="I5558"/>
  <c r="K5558"/>
  <c r="N5558"/>
  <c r="W5558"/>
  <c r="H5559"/>
  <c r="I5559"/>
  <c r="K5559"/>
  <c r="N5559"/>
  <c r="W5559"/>
  <c r="H5560"/>
  <c r="I5560"/>
  <c r="K5560"/>
  <c r="N5560"/>
  <c r="W5560"/>
  <c r="H5561"/>
  <c r="I5561"/>
  <c r="K5561"/>
  <c r="N5561"/>
  <c r="W5561"/>
  <c r="H5562"/>
  <c r="I5562"/>
  <c r="K5562"/>
  <c r="N5562"/>
  <c r="W5562"/>
  <c r="H5563"/>
  <c r="I5563"/>
  <c r="K5563"/>
  <c r="N5563"/>
  <c r="W5563"/>
  <c r="H5564"/>
  <c r="I5564"/>
  <c r="K5564"/>
  <c r="N5564"/>
  <c r="W5564"/>
  <c r="H5565"/>
  <c r="I5565"/>
  <c r="K5565"/>
  <c r="N5565"/>
  <c r="W5565"/>
  <c r="H5566"/>
  <c r="I5566"/>
  <c r="K5566"/>
  <c r="N5566"/>
  <c r="W5566"/>
  <c r="H5567"/>
  <c r="I5567"/>
  <c r="K5567"/>
  <c r="N5567"/>
  <c r="W5567"/>
  <c r="H5568"/>
  <c r="I5568"/>
  <c r="K5568"/>
  <c r="N5568"/>
  <c r="W5568"/>
  <c r="H5569"/>
  <c r="I5569"/>
  <c r="K5569"/>
  <c r="N5569"/>
  <c r="W5569"/>
  <c r="H5570"/>
  <c r="I5570"/>
  <c r="K5570"/>
  <c r="N5570"/>
  <c r="W5570"/>
  <c r="H5571"/>
  <c r="I5571"/>
  <c r="K5571"/>
  <c r="N5571"/>
  <c r="W5571"/>
  <c r="H5572"/>
  <c r="I5572"/>
  <c r="K5572"/>
  <c r="N5572"/>
  <c r="W5572"/>
  <c r="H5573"/>
  <c r="I5573"/>
  <c r="K5573"/>
  <c r="N5573"/>
  <c r="W5573"/>
  <c r="H5574"/>
  <c r="I5574"/>
  <c r="K5574"/>
  <c r="N5574"/>
  <c r="W5574"/>
  <c r="H5575"/>
  <c r="I5575"/>
  <c r="K5575"/>
  <c r="N5575"/>
  <c r="W5575"/>
  <c r="H5576"/>
  <c r="I5576"/>
  <c r="K5576"/>
  <c r="N5576"/>
  <c r="W5576"/>
  <c r="H5577"/>
  <c r="I5577"/>
  <c r="K5577"/>
  <c r="N5577"/>
  <c r="W5577"/>
  <c r="H5578"/>
  <c r="I5578"/>
  <c r="K5578"/>
  <c r="N5578"/>
  <c r="W5578"/>
  <c r="H5579"/>
  <c r="I5579"/>
  <c r="K5579"/>
  <c r="N5579"/>
  <c r="W5579"/>
  <c r="H5580"/>
  <c r="I5580"/>
  <c r="K5580"/>
  <c r="N5580"/>
  <c r="W5580"/>
  <c r="H5581"/>
  <c r="I5581"/>
  <c r="K5581"/>
  <c r="N5581"/>
  <c r="W5581"/>
  <c r="H5582"/>
  <c r="I5582"/>
  <c r="K5582"/>
  <c r="N5582"/>
  <c r="W5582"/>
  <c r="H5583"/>
  <c r="I5583"/>
  <c r="K5583"/>
  <c r="N5583"/>
  <c r="W5583"/>
  <c r="H5584"/>
  <c r="I5584"/>
  <c r="K5584"/>
  <c r="N5584"/>
  <c r="W5584"/>
  <c r="H5585"/>
  <c r="I5585"/>
  <c r="K5585"/>
  <c r="N5585"/>
  <c r="W5585"/>
  <c r="H5586"/>
  <c r="I5586"/>
  <c r="K5586"/>
  <c r="N5586"/>
  <c r="W5586"/>
  <c r="H5587"/>
  <c r="I5587"/>
  <c r="K5587"/>
  <c r="N5587"/>
  <c r="W5587"/>
  <c r="H5588"/>
  <c r="I5588"/>
  <c r="K5588"/>
  <c r="N5588"/>
  <c r="W5588"/>
  <c r="H5589"/>
  <c r="I5589"/>
  <c r="K5589"/>
  <c r="N5589"/>
  <c r="W5589"/>
  <c r="H5590"/>
  <c r="I5590"/>
  <c r="K5590"/>
  <c r="N5590"/>
  <c r="W5590"/>
  <c r="H5591"/>
  <c r="I5591"/>
  <c r="K5591"/>
  <c r="N5591"/>
  <c r="W5591"/>
  <c r="H5592"/>
  <c r="I5592"/>
  <c r="K5592"/>
  <c r="N5592"/>
  <c r="W5592"/>
  <c r="H5593"/>
  <c r="I5593"/>
  <c r="K5593"/>
  <c r="N5593"/>
  <c r="W5593"/>
  <c r="H5594"/>
  <c r="I5594"/>
  <c r="K5594"/>
  <c r="N5594"/>
  <c r="W5594"/>
  <c r="H5595"/>
  <c r="I5595"/>
  <c r="K5595"/>
  <c r="N5595"/>
  <c r="W5595"/>
  <c r="H5596"/>
  <c r="I5596"/>
  <c r="K5596"/>
  <c r="N5596"/>
  <c r="W5596"/>
  <c r="H5597"/>
  <c r="I5597"/>
  <c r="K5597"/>
  <c r="N5597"/>
  <c r="W5597"/>
  <c r="H5598"/>
  <c r="I5598"/>
  <c r="K5598"/>
  <c r="N5598"/>
  <c r="W5598"/>
  <c r="H5599"/>
  <c r="I5599"/>
  <c r="K5599"/>
  <c r="N5599"/>
  <c r="W5599"/>
  <c r="H5600"/>
  <c r="I5600"/>
  <c r="K5600"/>
  <c r="N5600"/>
  <c r="W5600"/>
  <c r="H5601"/>
  <c r="I5601"/>
  <c r="K5601"/>
  <c r="N5601"/>
  <c r="W5601"/>
  <c r="H5602"/>
  <c r="I5602"/>
  <c r="K5602"/>
  <c r="N5602"/>
  <c r="W5602"/>
  <c r="H5603"/>
  <c r="I5603"/>
  <c r="K5603"/>
  <c r="N5603"/>
  <c r="W5603"/>
  <c r="H5604"/>
  <c r="I5604"/>
  <c r="K5604"/>
  <c r="N5604"/>
  <c r="W5604"/>
  <c r="H5605"/>
  <c r="I5605"/>
  <c r="K5605"/>
  <c r="N5605"/>
  <c r="W5605"/>
  <c r="H5606"/>
  <c r="I5606"/>
  <c r="K5606"/>
  <c r="N5606"/>
  <c r="W5606"/>
  <c r="H5607"/>
  <c r="I5607"/>
  <c r="K5607"/>
  <c r="N5607"/>
  <c r="W5607"/>
  <c r="H5608"/>
  <c r="I5608"/>
  <c r="K5608"/>
  <c r="N5608"/>
  <c r="W5608"/>
  <c r="H5609"/>
  <c r="I5609"/>
  <c r="K5609"/>
  <c r="N5609"/>
  <c r="W5609"/>
  <c r="H5610"/>
  <c r="I5610"/>
  <c r="K5610"/>
  <c r="N5610"/>
  <c r="W5610"/>
  <c r="H5611"/>
  <c r="I5611"/>
  <c r="K5611"/>
  <c r="N5611"/>
  <c r="W5611"/>
  <c r="H5612"/>
  <c r="I5612"/>
  <c r="K5612"/>
  <c r="N5612"/>
  <c r="W5612"/>
  <c r="H5613"/>
  <c r="I5613"/>
  <c r="K5613"/>
  <c r="N5613"/>
  <c r="W5613"/>
  <c r="H5614"/>
  <c r="I5614"/>
  <c r="K5614"/>
  <c r="N5614"/>
  <c r="W5614"/>
  <c r="H5615"/>
  <c r="I5615"/>
  <c r="K5615"/>
  <c r="N5615"/>
  <c r="W5615"/>
  <c r="H5616"/>
  <c r="I5616"/>
  <c r="K5616"/>
  <c r="N5616"/>
  <c r="W5616"/>
  <c r="H5617"/>
  <c r="I5617"/>
  <c r="K5617"/>
  <c r="N5617"/>
  <c r="W5617"/>
  <c r="H5618"/>
  <c r="I5618"/>
  <c r="K5618"/>
  <c r="N5618"/>
  <c r="W5618"/>
  <c r="H5619"/>
  <c r="I5619"/>
  <c r="K5619"/>
  <c r="N5619"/>
  <c r="W5619"/>
  <c r="H5620"/>
  <c r="I5620"/>
  <c r="K5620"/>
  <c r="N5620"/>
  <c r="W5620"/>
  <c r="H5621"/>
  <c r="I5621"/>
  <c r="K5621"/>
  <c r="N5621"/>
  <c r="W5621"/>
  <c r="H5622"/>
  <c r="I5622"/>
  <c r="K5622"/>
  <c r="N5622"/>
  <c r="W5622"/>
  <c r="H5623"/>
  <c r="I5623"/>
  <c r="K5623"/>
  <c r="N5623"/>
  <c r="W5623"/>
  <c r="H5624"/>
  <c r="I5624"/>
  <c r="K5624"/>
  <c r="N5624"/>
  <c r="W5624"/>
  <c r="H5625"/>
  <c r="I5625"/>
  <c r="K5625"/>
  <c r="N5625"/>
  <c r="W5625"/>
  <c r="H5626"/>
  <c r="I5626"/>
  <c r="K5626"/>
  <c r="N5626"/>
  <c r="W5626"/>
  <c r="H5627"/>
  <c r="I5627"/>
  <c r="K5627"/>
  <c r="N5627"/>
  <c r="W5627"/>
  <c r="H5628"/>
  <c r="I5628"/>
  <c r="K5628"/>
  <c r="N5628"/>
  <c r="W5628"/>
  <c r="H5629"/>
  <c r="I5629"/>
  <c r="K5629"/>
  <c r="N5629"/>
  <c r="W5629"/>
  <c r="H5630"/>
  <c r="I5630"/>
  <c r="K5630"/>
  <c r="N5630"/>
  <c r="W5630"/>
  <c r="H5631"/>
  <c r="I5631"/>
  <c r="K5631"/>
  <c r="N5631"/>
  <c r="W5631"/>
  <c r="H5632"/>
  <c r="I5632"/>
  <c r="K5632"/>
  <c r="N5632"/>
  <c r="W5632"/>
  <c r="H5633"/>
  <c r="I5633"/>
  <c r="K5633"/>
  <c r="N5633"/>
  <c r="W5633"/>
  <c r="H5634"/>
  <c r="I5634"/>
  <c r="K5634"/>
  <c r="N5634"/>
  <c r="W5634"/>
  <c r="H5635"/>
  <c r="I5635"/>
  <c r="K5635"/>
  <c r="N5635"/>
  <c r="W5635"/>
  <c r="H5636"/>
  <c r="I5636"/>
  <c r="K5636"/>
  <c r="N5636"/>
  <c r="W5636"/>
  <c r="H5637"/>
  <c r="I5637"/>
  <c r="K5637"/>
  <c r="N5637"/>
  <c r="W5637"/>
  <c r="H5638"/>
  <c r="I5638"/>
  <c r="K5638"/>
  <c r="N5638"/>
  <c r="W5638"/>
  <c r="H5639"/>
  <c r="I5639"/>
  <c r="K5639"/>
  <c r="N5639"/>
  <c r="W5639"/>
  <c r="H5640"/>
  <c r="I5640"/>
  <c r="K5640"/>
  <c r="N5640"/>
  <c r="W5640"/>
  <c r="H5641"/>
  <c r="I5641"/>
  <c r="K5641"/>
  <c r="N5641"/>
  <c r="W5641"/>
  <c r="H5642"/>
  <c r="I5642"/>
  <c r="K5642"/>
  <c r="N5642"/>
  <c r="W5642"/>
  <c r="H5643"/>
  <c r="I5643"/>
  <c r="K5643"/>
  <c r="N5643"/>
  <c r="W5643"/>
  <c r="H5644"/>
  <c r="I5644"/>
  <c r="K5644"/>
  <c r="N5644"/>
  <c r="W5644"/>
  <c r="H5645"/>
  <c r="I5645"/>
  <c r="K5645"/>
  <c r="N5645"/>
  <c r="W5645"/>
  <c r="H5646"/>
  <c r="I5646"/>
  <c r="K5646"/>
  <c r="N5646"/>
  <c r="W5646"/>
  <c r="H5647"/>
  <c r="I5647"/>
  <c r="K5647"/>
  <c r="N5647"/>
  <c r="W5647"/>
  <c r="H5648"/>
  <c r="I5648"/>
  <c r="K5648"/>
  <c r="N5648"/>
  <c r="W5648"/>
  <c r="H5649"/>
  <c r="I5649"/>
  <c r="K5649"/>
  <c r="N5649"/>
  <c r="W5649"/>
  <c r="H5650"/>
  <c r="I5650"/>
  <c r="K5650"/>
  <c r="N5650"/>
  <c r="W5650"/>
  <c r="H5651"/>
  <c r="I5651"/>
  <c r="K5651"/>
  <c r="N5651"/>
  <c r="W5651"/>
  <c r="H5652"/>
  <c r="I5652"/>
  <c r="K5652"/>
  <c r="N5652"/>
  <c r="W5652"/>
  <c r="H5653"/>
  <c r="I5653"/>
  <c r="K5653"/>
  <c r="N5653"/>
  <c r="W5653"/>
  <c r="H5654"/>
  <c r="I5654"/>
  <c r="K5654"/>
  <c r="N5654"/>
  <c r="W5654"/>
  <c r="H5655"/>
  <c r="I5655"/>
  <c r="K5655"/>
  <c r="N5655"/>
  <c r="W5655"/>
  <c r="H5656"/>
  <c r="I5656"/>
  <c r="K5656"/>
  <c r="N5656"/>
  <c r="W5656"/>
  <c r="H5657"/>
  <c r="I5657"/>
  <c r="K5657"/>
  <c r="N5657"/>
  <c r="W5657"/>
  <c r="H5658"/>
  <c r="I5658"/>
  <c r="K5658"/>
  <c r="N5658"/>
  <c r="W5658"/>
  <c r="H5659"/>
  <c r="I5659"/>
  <c r="K5659"/>
  <c r="N5659"/>
  <c r="W5659"/>
  <c r="H5660"/>
  <c r="I5660"/>
  <c r="K5660"/>
  <c r="N5660"/>
  <c r="W5660"/>
  <c r="H5661"/>
  <c r="I5661"/>
  <c r="K5661"/>
  <c r="N5661"/>
  <c r="W5661"/>
  <c r="H5662"/>
  <c r="I5662"/>
  <c r="K5662"/>
  <c r="N5662"/>
  <c r="W5662"/>
  <c r="H5663"/>
  <c r="I5663"/>
  <c r="K5663"/>
  <c r="N5663"/>
  <c r="W5663"/>
  <c r="H5664"/>
  <c r="I5664"/>
  <c r="K5664"/>
  <c r="N5664"/>
  <c r="W5664"/>
  <c r="H5665"/>
  <c r="I5665"/>
  <c r="K5665"/>
  <c r="N5665"/>
  <c r="W5665"/>
  <c r="H5666"/>
  <c r="I5666"/>
  <c r="K5666"/>
  <c r="N5666"/>
  <c r="W5666"/>
  <c r="H5667"/>
  <c r="I5667"/>
  <c r="K5667"/>
  <c r="N5667"/>
  <c r="W5667"/>
  <c r="H5668"/>
  <c r="I5668"/>
  <c r="K5668"/>
  <c r="N5668"/>
  <c r="W5668"/>
  <c r="H5669"/>
  <c r="I5669"/>
  <c r="K5669"/>
  <c r="N5669"/>
  <c r="W5669"/>
  <c r="H5670"/>
  <c r="I5670"/>
  <c r="K5670"/>
  <c r="N5670"/>
  <c r="W5670"/>
  <c r="H5671"/>
  <c r="I5671"/>
  <c r="K5671"/>
  <c r="N5671"/>
  <c r="W5671"/>
  <c r="H5672"/>
  <c r="I5672"/>
  <c r="K5672"/>
  <c r="N5672"/>
  <c r="W5672"/>
  <c r="H5673"/>
  <c r="I5673"/>
  <c r="K5673"/>
  <c r="N5673"/>
  <c r="W5673"/>
  <c r="H5674"/>
  <c r="I5674"/>
  <c r="K5674"/>
  <c r="N5674"/>
  <c r="W5674"/>
  <c r="H5675"/>
  <c r="I5675"/>
  <c r="K5675"/>
  <c r="N5675"/>
  <c r="W5675"/>
  <c r="H5676"/>
  <c r="I5676"/>
  <c r="K5676"/>
  <c r="N5676"/>
  <c r="W5676"/>
  <c r="H5677"/>
  <c r="I5677"/>
  <c r="K5677"/>
  <c r="N5677"/>
  <c r="W5677"/>
  <c r="H5678"/>
  <c r="I5678"/>
  <c r="K5678"/>
  <c r="N5678"/>
  <c r="W5678"/>
  <c r="H5679"/>
  <c r="I5679"/>
  <c r="K5679"/>
  <c r="N5679"/>
  <c r="W5679"/>
  <c r="H5680"/>
  <c r="I5680"/>
  <c r="K5680"/>
  <c r="N5680"/>
  <c r="W5680"/>
  <c r="H5681"/>
  <c r="I5681"/>
  <c r="K5681"/>
  <c r="N5681"/>
  <c r="W5681"/>
  <c r="H5682"/>
  <c r="I5682"/>
  <c r="K5682"/>
  <c r="N5682"/>
  <c r="W5682"/>
  <c r="H5683"/>
  <c r="I5683"/>
  <c r="K5683"/>
  <c r="N5683"/>
  <c r="W5683"/>
  <c r="H5684"/>
  <c r="I5684"/>
  <c r="K5684"/>
  <c r="N5684"/>
  <c r="W5684"/>
  <c r="H5685"/>
  <c r="I5685"/>
  <c r="K5685"/>
  <c r="N5685"/>
  <c r="W5685"/>
  <c r="H5686"/>
  <c r="I5686"/>
  <c r="K5686"/>
  <c r="N5686"/>
  <c r="W5686"/>
  <c r="H5687"/>
  <c r="I5687"/>
  <c r="K5687"/>
  <c r="N5687"/>
  <c r="W5687"/>
  <c r="H5688"/>
  <c r="I5688"/>
  <c r="K5688"/>
  <c r="N5688"/>
  <c r="W5688"/>
  <c r="H5689"/>
  <c r="I5689"/>
  <c r="K5689"/>
  <c r="N5689"/>
  <c r="W5689"/>
  <c r="H5690"/>
  <c r="I5690"/>
  <c r="K5690"/>
  <c r="N5690"/>
  <c r="W5690"/>
  <c r="H5691"/>
  <c r="I5691"/>
  <c r="K5691"/>
  <c r="N5691"/>
  <c r="W5691"/>
  <c r="H5692"/>
  <c r="I5692"/>
  <c r="K5692"/>
  <c r="N5692"/>
  <c r="W5692"/>
  <c r="H5693"/>
  <c r="I5693"/>
  <c r="K5693"/>
  <c r="N5693"/>
  <c r="W5693"/>
  <c r="H5694"/>
  <c r="I5694"/>
  <c r="K5694"/>
  <c r="N5694"/>
  <c r="W5694"/>
  <c r="H5695"/>
  <c r="I5695"/>
  <c r="K5695"/>
  <c r="N5695"/>
  <c r="W5695"/>
  <c r="H5696"/>
  <c r="I5696"/>
  <c r="K5696"/>
  <c r="N5696"/>
  <c r="W5696"/>
  <c r="H5697"/>
  <c r="I5697"/>
  <c r="K5697"/>
  <c r="N5697"/>
  <c r="W5697"/>
  <c r="H5698"/>
  <c r="I5698"/>
  <c r="K5698"/>
  <c r="N5698"/>
  <c r="W5698"/>
  <c r="H5699"/>
  <c r="I5699"/>
  <c r="K5699"/>
  <c r="N5699"/>
  <c r="W5699"/>
  <c r="H5700"/>
  <c r="I5700"/>
  <c r="K5700"/>
  <c r="N5700"/>
  <c r="W5700"/>
  <c r="H5701"/>
  <c r="I5701"/>
  <c r="K5701"/>
  <c r="N5701"/>
  <c r="W5701"/>
  <c r="H5702"/>
  <c r="I5702"/>
  <c r="K5702"/>
  <c r="N5702"/>
  <c r="W5702"/>
  <c r="H5703"/>
  <c r="I5703"/>
  <c r="K5703"/>
  <c r="N5703"/>
  <c r="W5703"/>
  <c r="H5704"/>
  <c r="I5704"/>
  <c r="K5704"/>
  <c r="N5704"/>
  <c r="W5704"/>
  <c r="H5705"/>
  <c r="I5705"/>
  <c r="K5705"/>
  <c r="N5705"/>
  <c r="W5705"/>
  <c r="H5706"/>
  <c r="I5706"/>
  <c r="K5706"/>
  <c r="N5706"/>
  <c r="W5706"/>
  <c r="H5707"/>
  <c r="I5707"/>
  <c r="K5707"/>
  <c r="N5707"/>
  <c r="W5707"/>
  <c r="H5708"/>
  <c r="I5708"/>
  <c r="K5708"/>
  <c r="N5708"/>
  <c r="W5708"/>
  <c r="H5709"/>
  <c r="I5709"/>
  <c r="K5709"/>
  <c r="N5709"/>
  <c r="W5709"/>
  <c r="H5710"/>
  <c r="I5710"/>
  <c r="K5710"/>
  <c r="N5710"/>
  <c r="W5710"/>
  <c r="H5711"/>
  <c r="I5711"/>
  <c r="K5711"/>
  <c r="N5711"/>
  <c r="W5711"/>
  <c r="H5712"/>
  <c r="I5712"/>
  <c r="K5712"/>
  <c r="N5712"/>
  <c r="W5712"/>
  <c r="H5713"/>
  <c r="I5713"/>
  <c r="K5713"/>
  <c r="N5713"/>
  <c r="W5713"/>
  <c r="H5714"/>
  <c r="I5714"/>
  <c r="K5714"/>
  <c r="N5714"/>
  <c r="W5714"/>
  <c r="H5715"/>
  <c r="I5715"/>
  <c r="K5715"/>
  <c r="N5715"/>
  <c r="W5715"/>
  <c r="H5716"/>
  <c r="I5716"/>
  <c r="K5716"/>
  <c r="N5716"/>
  <c r="W5716"/>
  <c r="H5717"/>
  <c r="I5717"/>
  <c r="K5717"/>
  <c r="N5717"/>
  <c r="W5717"/>
  <c r="H5718"/>
  <c r="I5718"/>
  <c r="K5718"/>
  <c r="N5718"/>
  <c r="W5718"/>
  <c r="H5719"/>
  <c r="I5719"/>
  <c r="K5719"/>
  <c r="N5719"/>
  <c r="W5719"/>
  <c r="H5720"/>
  <c r="I5720"/>
  <c r="K5720"/>
  <c r="N5720"/>
  <c r="W5720"/>
  <c r="H5721"/>
  <c r="I5721"/>
  <c r="K5721"/>
  <c r="N5721"/>
  <c r="W5721"/>
  <c r="H5722"/>
  <c r="I5722"/>
  <c r="K5722"/>
  <c r="N5722"/>
  <c r="W5722"/>
  <c r="H5723"/>
  <c r="I5723"/>
  <c r="K5723"/>
  <c r="N5723"/>
  <c r="W5723"/>
  <c r="H5724"/>
  <c r="I5724"/>
  <c r="K5724"/>
  <c r="N5724"/>
  <c r="W5724"/>
  <c r="H5725"/>
  <c r="I5725"/>
  <c r="K5725"/>
  <c r="N5725"/>
  <c r="W5725"/>
  <c r="H5726"/>
  <c r="I5726"/>
  <c r="K5726"/>
  <c r="N5726"/>
  <c r="W5726"/>
  <c r="H5727"/>
  <c r="I5727"/>
  <c r="K5727"/>
  <c r="N5727"/>
  <c r="W5727"/>
  <c r="H5728"/>
  <c r="I5728"/>
  <c r="K5728"/>
  <c r="N5728"/>
  <c r="W5728"/>
  <c r="H5729"/>
  <c r="I5729"/>
  <c r="K5729"/>
  <c r="N5729"/>
  <c r="W5729"/>
  <c r="H5730"/>
  <c r="I5730"/>
  <c r="K5730"/>
  <c r="N5730"/>
  <c r="W5730"/>
  <c r="H5731"/>
  <c r="I5731"/>
  <c r="K5731"/>
  <c r="N5731"/>
  <c r="W5731"/>
  <c r="H5732"/>
  <c r="I5732"/>
  <c r="K5732"/>
  <c r="N5732"/>
  <c r="W5732"/>
  <c r="H5733"/>
  <c r="I5733"/>
  <c r="K5733"/>
  <c r="N5733"/>
  <c r="W5733"/>
  <c r="H5734"/>
  <c r="I5734"/>
  <c r="K5734"/>
  <c r="N5734"/>
  <c r="W5734"/>
  <c r="H5735"/>
  <c r="I5735"/>
  <c r="K5735"/>
  <c r="N5735"/>
  <c r="W5735"/>
  <c r="H5736"/>
  <c r="I5736"/>
  <c r="K5736"/>
  <c r="N5736"/>
  <c r="W5736"/>
  <c r="H5737"/>
  <c r="I5737"/>
  <c r="K5737"/>
  <c r="N5737"/>
  <c r="W5737"/>
  <c r="H5738"/>
  <c r="I5738"/>
  <c r="K5738"/>
  <c r="N5738"/>
  <c r="W5738"/>
  <c r="H5739"/>
  <c r="I5739"/>
  <c r="K5739"/>
  <c r="N5739"/>
  <c r="W5739"/>
  <c r="H5740"/>
  <c r="I5740"/>
  <c r="K5740"/>
  <c r="N5740"/>
  <c r="W5740"/>
  <c r="H5741"/>
  <c r="I5741"/>
  <c r="K5741"/>
  <c r="N5741"/>
  <c r="W5741"/>
  <c r="H5742"/>
  <c r="I5742"/>
  <c r="K5742"/>
  <c r="N5742"/>
  <c r="W5742"/>
  <c r="H5743"/>
  <c r="I5743"/>
  <c r="K5743"/>
  <c r="N5743"/>
  <c r="W5743"/>
  <c r="H5744"/>
  <c r="I5744"/>
  <c r="K5744"/>
  <c r="N5744"/>
  <c r="W5744"/>
  <c r="H5745"/>
  <c r="I5745"/>
  <c r="K5745"/>
  <c r="N5745"/>
  <c r="W5745"/>
  <c r="H5746"/>
  <c r="I5746"/>
  <c r="K5746"/>
  <c r="N5746"/>
  <c r="W5746"/>
  <c r="H5747"/>
  <c r="I5747"/>
  <c r="K5747"/>
  <c r="N5747"/>
  <c r="W5747"/>
  <c r="H5748"/>
  <c r="I5748"/>
  <c r="K5748"/>
  <c r="N5748"/>
  <c r="W5748"/>
  <c r="H5749"/>
  <c r="I5749"/>
  <c r="K5749"/>
  <c r="N5749"/>
  <c r="W5749"/>
  <c r="H5750"/>
  <c r="I5750"/>
  <c r="K5750"/>
  <c r="N5750"/>
  <c r="W5750"/>
  <c r="H5751"/>
  <c r="I5751"/>
  <c r="K5751"/>
  <c r="N5751"/>
  <c r="W5751"/>
  <c r="H5752"/>
  <c r="I5752"/>
  <c r="K5752"/>
  <c r="N5752"/>
  <c r="W5752"/>
  <c r="H5753"/>
  <c r="I5753"/>
  <c r="K5753"/>
  <c r="N5753"/>
  <c r="W5753"/>
  <c r="H5754"/>
  <c r="I5754"/>
  <c r="K5754"/>
  <c r="N5754"/>
  <c r="W5754"/>
  <c r="H5755"/>
  <c r="I5755"/>
  <c r="K5755"/>
  <c r="N5755"/>
  <c r="W5755"/>
  <c r="H5756"/>
  <c r="I5756"/>
  <c r="K5756"/>
  <c r="N5756"/>
  <c r="W5756"/>
  <c r="H5757"/>
  <c r="I5757"/>
  <c r="K5757"/>
  <c r="N5757"/>
  <c r="W5757"/>
  <c r="H5758"/>
  <c r="I5758"/>
  <c r="K5758"/>
  <c r="N5758"/>
  <c r="W5758"/>
  <c r="H5759"/>
  <c r="I5759"/>
  <c r="K5759"/>
  <c r="N5759"/>
  <c r="W5759"/>
  <c r="H5760"/>
  <c r="I5760"/>
  <c r="K5760"/>
  <c r="N5760"/>
  <c r="W5760"/>
  <c r="H5761"/>
  <c r="I5761"/>
  <c r="K5761"/>
  <c r="N5761"/>
  <c r="W5761"/>
  <c r="H5762"/>
  <c r="I5762"/>
  <c r="K5762"/>
  <c r="N5762"/>
  <c r="W5762"/>
  <c r="H5763"/>
  <c r="I5763"/>
  <c r="K5763"/>
  <c r="N5763"/>
  <c r="W5763"/>
  <c r="H5764"/>
  <c r="I5764"/>
  <c r="K5764"/>
  <c r="N5764"/>
  <c r="W5764"/>
  <c r="H5765"/>
  <c r="I5765"/>
  <c r="K5765"/>
  <c r="N5765"/>
  <c r="W5765"/>
  <c r="H5766"/>
  <c r="I5766"/>
  <c r="K5766"/>
  <c r="N5766"/>
  <c r="W5766"/>
  <c r="H5767"/>
  <c r="I5767"/>
  <c r="K5767"/>
  <c r="N5767"/>
  <c r="W5767"/>
  <c r="H5768"/>
  <c r="I5768"/>
  <c r="K5768"/>
  <c r="N5768"/>
  <c r="W5768"/>
  <c r="H5769"/>
  <c r="I5769"/>
  <c r="K5769"/>
  <c r="N5769"/>
  <c r="W5769"/>
  <c r="H5770"/>
  <c r="I5770"/>
  <c r="K5770"/>
  <c r="N5770"/>
  <c r="W5770"/>
  <c r="H5771"/>
  <c r="I5771"/>
  <c r="K5771"/>
  <c r="N5771"/>
  <c r="W5771"/>
  <c r="H5772"/>
  <c r="I5772"/>
  <c r="K5772"/>
  <c r="N5772"/>
  <c r="W5772"/>
  <c r="H5773"/>
  <c r="I5773"/>
  <c r="K5773"/>
  <c r="N5773"/>
  <c r="W5773"/>
  <c r="H5774"/>
  <c r="I5774"/>
  <c r="K5774"/>
  <c r="N5774"/>
  <c r="W5774"/>
  <c r="H5775"/>
  <c r="I5775"/>
  <c r="K5775"/>
  <c r="N5775"/>
  <c r="W5775"/>
  <c r="H5776"/>
  <c r="I5776"/>
  <c r="K5776"/>
  <c r="N5776"/>
  <c r="W5776"/>
  <c r="H5777"/>
  <c r="I5777"/>
  <c r="K5777"/>
  <c r="N5777"/>
  <c r="W5777"/>
  <c r="H5778"/>
  <c r="I5778"/>
  <c r="K5778"/>
  <c r="N5778"/>
  <c r="W5778"/>
  <c r="H5779"/>
  <c r="I5779"/>
  <c r="K5779"/>
  <c r="N5779"/>
  <c r="W5779"/>
  <c r="H5780"/>
  <c r="I5780"/>
  <c r="K5780"/>
  <c r="N5780"/>
  <c r="W5780"/>
  <c r="H5781"/>
  <c r="I5781"/>
  <c r="K5781"/>
  <c r="N5781"/>
  <c r="W5781"/>
  <c r="H5782"/>
  <c r="I5782"/>
  <c r="K5782"/>
  <c r="N5782"/>
  <c r="W5782"/>
  <c r="H5783"/>
  <c r="I5783"/>
  <c r="K5783"/>
  <c r="N5783"/>
  <c r="W5783"/>
  <c r="H5784"/>
  <c r="I5784"/>
  <c r="K5784"/>
  <c r="N5784"/>
  <c r="W5784"/>
  <c r="H5785"/>
  <c r="I5785"/>
  <c r="K5785"/>
  <c r="N5785"/>
  <c r="W5785"/>
  <c r="H5786"/>
  <c r="I5786"/>
  <c r="K5786"/>
  <c r="N5786"/>
  <c r="W5786"/>
  <c r="H5787"/>
  <c r="I5787"/>
  <c r="K5787"/>
  <c r="N5787"/>
  <c r="W5787"/>
  <c r="H5788"/>
  <c r="I5788"/>
  <c r="K5788"/>
  <c r="N5788"/>
  <c r="W5788"/>
  <c r="H5789"/>
  <c r="I5789"/>
  <c r="K5789"/>
  <c r="N5789"/>
  <c r="W5789"/>
  <c r="H5790"/>
  <c r="I5790"/>
  <c r="K5790"/>
  <c r="N5790"/>
  <c r="W5790"/>
  <c r="H5791"/>
  <c r="I5791"/>
  <c r="K5791"/>
  <c r="N5791"/>
  <c r="W5791"/>
  <c r="H5792"/>
  <c r="I5792"/>
  <c r="K5792"/>
  <c r="N5792"/>
  <c r="W5792"/>
  <c r="H5793"/>
  <c r="I5793"/>
  <c r="K5793"/>
  <c r="N5793"/>
  <c r="W5793"/>
  <c r="H5794"/>
  <c r="I5794"/>
  <c r="K5794"/>
  <c r="N5794"/>
  <c r="W5794"/>
  <c r="H5795"/>
  <c r="I5795"/>
  <c r="K5795"/>
  <c r="N5795"/>
  <c r="W5795"/>
  <c r="H5796"/>
  <c r="I5796"/>
  <c r="K5796"/>
  <c r="N5796"/>
  <c r="W5796"/>
  <c r="H5797"/>
  <c r="I5797"/>
  <c r="K5797"/>
  <c r="N5797"/>
  <c r="W5797"/>
  <c r="H5798"/>
  <c r="I5798"/>
  <c r="K5798"/>
  <c r="N5798"/>
  <c r="W5798"/>
  <c r="H5799"/>
  <c r="I5799"/>
  <c r="K5799"/>
  <c r="N5799"/>
  <c r="W5799"/>
  <c r="H5800"/>
  <c r="I5800"/>
  <c r="K5800"/>
  <c r="N5800"/>
  <c r="W5800"/>
  <c r="H5801"/>
  <c r="I5801"/>
  <c r="K5801"/>
  <c r="N5801"/>
  <c r="W5801"/>
  <c r="H5802"/>
  <c r="I5802"/>
  <c r="K5802"/>
  <c r="N5802"/>
  <c r="W5802"/>
  <c r="H5803"/>
  <c r="I5803"/>
  <c r="K5803"/>
  <c r="N5803"/>
  <c r="W5803"/>
  <c r="H5804"/>
  <c r="I5804"/>
  <c r="K5804"/>
  <c r="N5804"/>
  <c r="W5804"/>
  <c r="H5805"/>
  <c r="I5805"/>
  <c r="K5805"/>
  <c r="N5805"/>
  <c r="W5805"/>
  <c r="H5806"/>
  <c r="I5806"/>
  <c r="K5806"/>
  <c r="N5806"/>
  <c r="W5806"/>
  <c r="H5807"/>
  <c r="I5807"/>
  <c r="K5807"/>
  <c r="N5807"/>
  <c r="W5807"/>
  <c r="H5808"/>
  <c r="I5808"/>
  <c r="K5808"/>
  <c r="N5808"/>
  <c r="W5808"/>
  <c r="H5809"/>
  <c r="I5809"/>
  <c r="K5809"/>
  <c r="N5809"/>
  <c r="W5809"/>
  <c r="H5810"/>
  <c r="I5810"/>
  <c r="K5810"/>
  <c r="N5810"/>
  <c r="W5810"/>
  <c r="H5811"/>
  <c r="I5811"/>
  <c r="K5811"/>
  <c r="N5811"/>
  <c r="W5811"/>
  <c r="H5812"/>
  <c r="I5812"/>
  <c r="K5812"/>
  <c r="N5812"/>
  <c r="W5812"/>
  <c r="H5813"/>
  <c r="I5813"/>
  <c r="K5813"/>
  <c r="N5813"/>
  <c r="W5813"/>
  <c r="H5814"/>
  <c r="I5814"/>
  <c r="K5814"/>
  <c r="N5814"/>
  <c r="W5814"/>
  <c r="H5815"/>
  <c r="I5815"/>
  <c r="K5815"/>
  <c r="N5815"/>
  <c r="W5815"/>
  <c r="H5816"/>
  <c r="I5816"/>
  <c r="K5816"/>
  <c r="N5816"/>
  <c r="W5816"/>
  <c r="H5817"/>
  <c r="I5817"/>
  <c r="K5817"/>
  <c r="N5817"/>
  <c r="W5817"/>
  <c r="H5818"/>
  <c r="I5818"/>
  <c r="K5818"/>
  <c r="N5818"/>
  <c r="W5818"/>
  <c r="H5819"/>
  <c r="I5819"/>
  <c r="K5819"/>
  <c r="N5819"/>
  <c r="W5819"/>
  <c r="H5820"/>
  <c r="I5820"/>
  <c r="K5820"/>
  <c r="N5820"/>
  <c r="W5820"/>
  <c r="H5821"/>
  <c r="I5821"/>
  <c r="K5821"/>
  <c r="N5821"/>
  <c r="W5821"/>
  <c r="H5822"/>
  <c r="I5822"/>
  <c r="K5822"/>
  <c r="N5822"/>
  <c r="W5822"/>
  <c r="H5823"/>
  <c r="I5823"/>
  <c r="K5823"/>
  <c r="N5823"/>
  <c r="W5823"/>
  <c r="H5824"/>
  <c r="I5824"/>
  <c r="K5824"/>
  <c r="N5824"/>
  <c r="W5824"/>
  <c r="H5825"/>
  <c r="I5825"/>
  <c r="K5825"/>
  <c r="N5825"/>
  <c r="W5825"/>
  <c r="H5826"/>
  <c r="I5826"/>
  <c r="K5826"/>
  <c r="N5826"/>
  <c r="W5826"/>
  <c r="H5827"/>
  <c r="I5827"/>
  <c r="K5827"/>
  <c r="N5827"/>
  <c r="W5827"/>
  <c r="H5828"/>
  <c r="I5828"/>
  <c r="K5828"/>
  <c r="N5828"/>
  <c r="W5828"/>
  <c r="H5829"/>
  <c r="I5829"/>
  <c r="K5829"/>
  <c r="N5829"/>
  <c r="W5829"/>
  <c r="H5830"/>
  <c r="I5830"/>
  <c r="K5830"/>
  <c r="N5830"/>
  <c r="W5830"/>
  <c r="H5831"/>
  <c r="I5831"/>
  <c r="K5831"/>
  <c r="N5831"/>
  <c r="W5831"/>
  <c r="H5832"/>
  <c r="I5832"/>
  <c r="K5832"/>
  <c r="N5832"/>
  <c r="W5832"/>
  <c r="H5833"/>
  <c r="I5833"/>
  <c r="K5833"/>
  <c r="N5833"/>
  <c r="W5833"/>
  <c r="H5834"/>
  <c r="I5834"/>
  <c r="K5834"/>
  <c r="N5834"/>
  <c r="W5834"/>
  <c r="H5835"/>
  <c r="I5835"/>
  <c r="K5835"/>
  <c r="N5835"/>
  <c r="W5835"/>
  <c r="H5836"/>
  <c r="I5836"/>
  <c r="K5836"/>
  <c r="N5836"/>
  <c r="W5836"/>
  <c r="H5837"/>
  <c r="I5837"/>
  <c r="K5837"/>
  <c r="N5837"/>
  <c r="W5837"/>
  <c r="H5838"/>
  <c r="I5838"/>
  <c r="K5838"/>
  <c r="N5838"/>
  <c r="W5838"/>
  <c r="H5839"/>
  <c r="I5839"/>
  <c r="K5839"/>
  <c r="N5839"/>
  <c r="W5839"/>
  <c r="H5840"/>
  <c r="I5840"/>
  <c r="K5840"/>
  <c r="N5840"/>
  <c r="W5840"/>
  <c r="H5841"/>
  <c r="I5841"/>
  <c r="K5841"/>
  <c r="N5841"/>
  <c r="W5841"/>
  <c r="H5842"/>
  <c r="I5842"/>
  <c r="K5842"/>
  <c r="N5842"/>
  <c r="W5842"/>
  <c r="H5843"/>
  <c r="I5843"/>
  <c r="K5843"/>
  <c r="N5843"/>
  <c r="W5843"/>
  <c r="H5844"/>
  <c r="I5844"/>
  <c r="K5844"/>
  <c r="N5844"/>
  <c r="W5844"/>
  <c r="H5845"/>
  <c r="I5845"/>
  <c r="K5845"/>
  <c r="N5845"/>
  <c r="W5845"/>
  <c r="H5846"/>
  <c r="I5846"/>
  <c r="K5846"/>
  <c r="N5846"/>
  <c r="W5846"/>
  <c r="H5847"/>
  <c r="I5847"/>
  <c r="K5847"/>
  <c r="N5847"/>
  <c r="W5847"/>
  <c r="H5848"/>
  <c r="I5848"/>
  <c r="K5848"/>
  <c r="N5848"/>
  <c r="W5848"/>
  <c r="H5849"/>
  <c r="I5849"/>
  <c r="K5849"/>
  <c r="N5849"/>
  <c r="W5849"/>
  <c r="H5850"/>
  <c r="I5850"/>
  <c r="K5850"/>
  <c r="N5850"/>
  <c r="W5850"/>
  <c r="H5851"/>
  <c r="I5851"/>
  <c r="K5851"/>
  <c r="N5851"/>
  <c r="W5851"/>
  <c r="H5852"/>
  <c r="I5852"/>
  <c r="K5852"/>
  <c r="N5852"/>
  <c r="W5852"/>
  <c r="H5853"/>
  <c r="I5853"/>
  <c r="K5853"/>
  <c r="N5853"/>
  <c r="W5853"/>
  <c r="H5854"/>
  <c r="I5854"/>
  <c r="K5854"/>
  <c r="N5854"/>
  <c r="W5854"/>
  <c r="H5855"/>
  <c r="I5855"/>
  <c r="K5855"/>
  <c r="N5855"/>
  <c r="W5855"/>
  <c r="H5856"/>
  <c r="I5856"/>
  <c r="K5856"/>
  <c r="N5856"/>
  <c r="W5856"/>
  <c r="H5857"/>
  <c r="I5857"/>
  <c r="K5857"/>
  <c r="N5857"/>
  <c r="W5857"/>
  <c r="H5858"/>
  <c r="I5858"/>
  <c r="K5858"/>
  <c r="N5858"/>
  <c r="W5858"/>
  <c r="H5859"/>
  <c r="I5859"/>
  <c r="K5859"/>
  <c r="N5859"/>
  <c r="W5859"/>
  <c r="H5860"/>
  <c r="I5860"/>
  <c r="K5860"/>
  <c r="N5860"/>
  <c r="W5860"/>
  <c r="H5861"/>
  <c r="I5861"/>
  <c r="K5861"/>
  <c r="N5861"/>
  <c r="W5861"/>
  <c r="H5862"/>
  <c r="I5862"/>
  <c r="K5862"/>
  <c r="N5862"/>
  <c r="W5862"/>
  <c r="H5863"/>
  <c r="I5863"/>
  <c r="K5863"/>
  <c r="N5863"/>
  <c r="W5863"/>
  <c r="H5864"/>
  <c r="I5864"/>
  <c r="K5864"/>
  <c r="N5864"/>
  <c r="W5864"/>
  <c r="H5865"/>
  <c r="I5865"/>
  <c r="K5865"/>
  <c r="N5865"/>
  <c r="W5865"/>
  <c r="H5866"/>
  <c r="I5866"/>
  <c r="K5866"/>
  <c r="N5866"/>
  <c r="W5866"/>
  <c r="H5867"/>
  <c r="I5867"/>
  <c r="K5867"/>
  <c r="N5867"/>
  <c r="W5867"/>
  <c r="H5868"/>
  <c r="I5868"/>
  <c r="K5868"/>
  <c r="N5868"/>
  <c r="W5868"/>
  <c r="H5869"/>
  <c r="I5869"/>
  <c r="K5869"/>
  <c r="N5869"/>
  <c r="W5869"/>
  <c r="H5870"/>
  <c r="I5870"/>
  <c r="K5870"/>
  <c r="N5870"/>
  <c r="W5870"/>
  <c r="H5871"/>
  <c r="I5871"/>
  <c r="K5871"/>
  <c r="N5871"/>
  <c r="W5871"/>
  <c r="H5872"/>
  <c r="I5872"/>
  <c r="K5872"/>
  <c r="N5872"/>
  <c r="W5872"/>
  <c r="H5873"/>
  <c r="I5873"/>
  <c r="K5873"/>
  <c r="N5873"/>
  <c r="W5873"/>
  <c r="H5874"/>
  <c r="I5874"/>
  <c r="K5874"/>
  <c r="N5874"/>
  <c r="W5874"/>
  <c r="H5875"/>
  <c r="I5875"/>
  <c r="K5875"/>
  <c r="N5875"/>
  <c r="W5875"/>
  <c r="H5876"/>
  <c r="I5876"/>
  <c r="K5876"/>
  <c r="N5876"/>
  <c r="W5876"/>
  <c r="H5877"/>
  <c r="I5877"/>
  <c r="K5877"/>
  <c r="N5877"/>
  <c r="W5877"/>
  <c r="H5878"/>
  <c r="I5878"/>
  <c r="K5878"/>
  <c r="N5878"/>
  <c r="W5878"/>
  <c r="H5879"/>
  <c r="I5879"/>
  <c r="K5879"/>
  <c r="N5879"/>
  <c r="W5879"/>
  <c r="H5880"/>
  <c r="I5880"/>
  <c r="K5880"/>
  <c r="N5880"/>
  <c r="W5880"/>
  <c r="H5881"/>
  <c r="I5881"/>
  <c r="K5881"/>
  <c r="N5881"/>
  <c r="W5881"/>
  <c r="H5882"/>
  <c r="I5882"/>
  <c r="K5882"/>
  <c r="N5882"/>
  <c r="W5882"/>
  <c r="H5883"/>
  <c r="I5883"/>
  <c r="K5883"/>
  <c r="N5883"/>
  <c r="W5883"/>
  <c r="H5884"/>
  <c r="I5884"/>
  <c r="K5884"/>
  <c r="N5884"/>
  <c r="W5884"/>
  <c r="H5885"/>
  <c r="I5885"/>
  <c r="K5885"/>
  <c r="N5885"/>
  <c r="W5885"/>
  <c r="H5886"/>
  <c r="I5886"/>
  <c r="K5886"/>
  <c r="N5886"/>
  <c r="W5886"/>
  <c r="H5887"/>
  <c r="I5887"/>
  <c r="K5887"/>
  <c r="N5887"/>
  <c r="W5887"/>
  <c r="H5888"/>
  <c r="I5888"/>
  <c r="K5888"/>
  <c r="N5888"/>
  <c r="W5888"/>
  <c r="H5889"/>
  <c r="I5889"/>
  <c r="K5889"/>
  <c r="N5889"/>
  <c r="W5889"/>
  <c r="H5890"/>
  <c r="I5890"/>
  <c r="K5890"/>
  <c r="N5890"/>
  <c r="W5890"/>
  <c r="H5891"/>
  <c r="I5891"/>
  <c r="K5891"/>
  <c r="N5891"/>
  <c r="W5891"/>
  <c r="H5892"/>
  <c r="I5892"/>
  <c r="K5892"/>
  <c r="N5892"/>
  <c r="W5892"/>
  <c r="H5893"/>
  <c r="I5893"/>
  <c r="K5893"/>
  <c r="N5893"/>
  <c r="W5893"/>
  <c r="H5894"/>
  <c r="I5894"/>
  <c r="K5894"/>
  <c r="N5894"/>
  <c r="W5894"/>
  <c r="H5895"/>
  <c r="I5895"/>
  <c r="K5895"/>
  <c r="N5895"/>
  <c r="W5895"/>
  <c r="H5896"/>
  <c r="I5896"/>
  <c r="K5896"/>
  <c r="N5896"/>
  <c r="W5896"/>
  <c r="H5897"/>
  <c r="I5897"/>
  <c r="K5897"/>
  <c r="N5897"/>
  <c r="W5897"/>
  <c r="H5898"/>
  <c r="I5898"/>
  <c r="K5898"/>
  <c r="N5898"/>
  <c r="W5898"/>
  <c r="H5899"/>
  <c r="I5899"/>
  <c r="K5899"/>
  <c r="N5899"/>
  <c r="W5899"/>
  <c r="H5900"/>
  <c r="I5900"/>
  <c r="K5900"/>
  <c r="N5900"/>
  <c r="W5900"/>
  <c r="H5901"/>
  <c r="I5901"/>
  <c r="K5901"/>
  <c r="N5901"/>
  <c r="W5901"/>
  <c r="H5902"/>
  <c r="I5902"/>
  <c r="K5902"/>
  <c r="N5902"/>
  <c r="W5902"/>
  <c r="H5903"/>
  <c r="I5903"/>
  <c r="K5903"/>
  <c r="N5903"/>
  <c r="W5903"/>
  <c r="H5904"/>
  <c r="I5904"/>
  <c r="K5904"/>
  <c r="N5904"/>
  <c r="W5904"/>
  <c r="H5905"/>
  <c r="I5905"/>
  <c r="K5905"/>
  <c r="N5905"/>
  <c r="W5905"/>
  <c r="H5906"/>
  <c r="I5906"/>
  <c r="K5906"/>
  <c r="N5906"/>
  <c r="W5906"/>
  <c r="H5907"/>
  <c r="I5907"/>
  <c r="K5907"/>
  <c r="N5907"/>
  <c r="W5907"/>
  <c r="H5908"/>
  <c r="I5908"/>
  <c r="K5908"/>
  <c r="N5908"/>
  <c r="W5908"/>
  <c r="H5909"/>
  <c r="I5909"/>
  <c r="K5909"/>
  <c r="N5909"/>
  <c r="W5909"/>
  <c r="H5910"/>
  <c r="I5910"/>
  <c r="K5910"/>
  <c r="N5910"/>
  <c r="W5910"/>
  <c r="H5911"/>
  <c r="I5911"/>
  <c r="K5911"/>
  <c r="N5911"/>
  <c r="W5911"/>
  <c r="H5912"/>
  <c r="I5912"/>
  <c r="K5912"/>
  <c r="N5912"/>
  <c r="W5912"/>
  <c r="H5913"/>
  <c r="I5913"/>
  <c r="K5913"/>
  <c r="N5913"/>
  <c r="W5913"/>
  <c r="H5914"/>
  <c r="I5914"/>
  <c r="K5914"/>
  <c r="N5914"/>
  <c r="W5914"/>
  <c r="H5915"/>
  <c r="I5915"/>
  <c r="K5915"/>
  <c r="N5915"/>
  <c r="W5915"/>
  <c r="H5916"/>
  <c r="I5916"/>
  <c r="K5916"/>
  <c r="N5916"/>
  <c r="W5916"/>
  <c r="H5917"/>
  <c r="I5917"/>
  <c r="K5917"/>
  <c r="N5917"/>
  <c r="W5917"/>
  <c r="H5918"/>
  <c r="I5918"/>
  <c r="K5918"/>
  <c r="N5918"/>
  <c r="W5918"/>
  <c r="H5919"/>
  <c r="I5919"/>
  <c r="K5919"/>
  <c r="N5919"/>
  <c r="W5919"/>
  <c r="H5920"/>
  <c r="I5920"/>
  <c r="K5920"/>
  <c r="N5920"/>
  <c r="W5920"/>
  <c r="H5921"/>
  <c r="I5921"/>
  <c r="K5921"/>
  <c r="N5921"/>
  <c r="W5921"/>
  <c r="H5922"/>
  <c r="I5922"/>
  <c r="K5922"/>
  <c r="N5922"/>
  <c r="W5922"/>
  <c r="H5923"/>
  <c r="I5923"/>
  <c r="K5923"/>
  <c r="N5923"/>
  <c r="W5923"/>
  <c r="H5924"/>
  <c r="I5924"/>
  <c r="K5924"/>
  <c r="N5924"/>
  <c r="W5924"/>
  <c r="H5925"/>
  <c r="I5925"/>
  <c r="K5925"/>
  <c r="N5925"/>
  <c r="W5925"/>
  <c r="H5926"/>
  <c r="I5926"/>
  <c r="K5926"/>
  <c r="N5926"/>
  <c r="W5926"/>
  <c r="H5927"/>
  <c r="I5927"/>
  <c r="K5927"/>
  <c r="N5927"/>
  <c r="W5927"/>
  <c r="H5928"/>
  <c r="I5928"/>
  <c r="K5928"/>
  <c r="N5928"/>
  <c r="W5928"/>
  <c r="H5929"/>
  <c r="I5929"/>
  <c r="K5929"/>
  <c r="N5929"/>
  <c r="W5929"/>
  <c r="H5930"/>
  <c r="I5930"/>
  <c r="K5930"/>
  <c r="N5930"/>
  <c r="W5930"/>
  <c r="H5931"/>
  <c r="I5931"/>
  <c r="K5931"/>
  <c r="N5931"/>
  <c r="W5931"/>
  <c r="H5932"/>
  <c r="I5932"/>
  <c r="K5932"/>
  <c r="N5932"/>
  <c r="W5932"/>
  <c r="H5933"/>
  <c r="I5933"/>
  <c r="K5933"/>
  <c r="N5933"/>
  <c r="W5933"/>
  <c r="H5934"/>
  <c r="I5934"/>
  <c r="K5934"/>
  <c r="N5934"/>
  <c r="W5934"/>
  <c r="H5935"/>
  <c r="I5935"/>
  <c r="K5935"/>
  <c r="N5935"/>
  <c r="W5935"/>
  <c r="H5936"/>
  <c r="I5936"/>
  <c r="K5936"/>
  <c r="N5936"/>
  <c r="W5936"/>
  <c r="H5937"/>
  <c r="I5937"/>
  <c r="K5937"/>
  <c r="N5937"/>
  <c r="W5937"/>
  <c r="H5938"/>
  <c r="I5938"/>
  <c r="K5938"/>
  <c r="N5938"/>
  <c r="W5938"/>
  <c r="H5939"/>
  <c r="I5939"/>
  <c r="K5939"/>
  <c r="N5939"/>
  <c r="W5939"/>
  <c r="H5940"/>
  <c r="I5940"/>
  <c r="K5940"/>
  <c r="N5940"/>
  <c r="W5940"/>
  <c r="H5941"/>
  <c r="I5941"/>
  <c r="K5941"/>
  <c r="N5941"/>
  <c r="W5941"/>
  <c r="H5942"/>
  <c r="I5942"/>
  <c r="K5942"/>
  <c r="N5942"/>
  <c r="W5942"/>
  <c r="H5943"/>
  <c r="I5943"/>
  <c r="K5943"/>
  <c r="N5943"/>
  <c r="W5943"/>
  <c r="H5944"/>
  <c r="I5944"/>
  <c r="K5944"/>
  <c r="N5944"/>
  <c r="W5944"/>
  <c r="H5945"/>
  <c r="I5945"/>
  <c r="K5945"/>
  <c r="N5945"/>
  <c r="W5945"/>
  <c r="H5946"/>
  <c r="I5946"/>
  <c r="K5946"/>
  <c r="N5946"/>
  <c r="W5946"/>
  <c r="H5947"/>
  <c r="I5947"/>
  <c r="K5947"/>
  <c r="N5947"/>
  <c r="W5947"/>
  <c r="H5948"/>
  <c r="I5948"/>
  <c r="K5948"/>
  <c r="N5948"/>
  <c r="W5948"/>
  <c r="H5949"/>
  <c r="I5949"/>
  <c r="K5949"/>
  <c r="N5949"/>
  <c r="W5949"/>
  <c r="H5950"/>
  <c r="I5950"/>
  <c r="K5950"/>
  <c r="N5950"/>
  <c r="W5950"/>
  <c r="H5951"/>
  <c r="I5951"/>
  <c r="K5951"/>
  <c r="N5951"/>
  <c r="W5951"/>
  <c r="H5952"/>
  <c r="I5952"/>
  <c r="K5952"/>
  <c r="N5952"/>
  <c r="W5952"/>
  <c r="H5953"/>
  <c r="I5953"/>
  <c r="K5953"/>
  <c r="N5953"/>
  <c r="W5953"/>
  <c r="H5954"/>
  <c r="I5954"/>
  <c r="K5954"/>
  <c r="N5954"/>
  <c r="W5954"/>
  <c r="H5955"/>
  <c r="I5955"/>
  <c r="K5955"/>
  <c r="N5955"/>
  <c r="W5955"/>
  <c r="H5956"/>
  <c r="I5956"/>
  <c r="K5956"/>
  <c r="N5956"/>
  <c r="W5956"/>
  <c r="H5957"/>
  <c r="I5957"/>
  <c r="K5957"/>
  <c r="N5957"/>
  <c r="W5957"/>
  <c r="H5958"/>
  <c r="I5958"/>
  <c r="K5958"/>
  <c r="N5958"/>
  <c r="W5958"/>
  <c r="H5959"/>
  <c r="I5959"/>
  <c r="K5959"/>
  <c r="N5959"/>
  <c r="W5959"/>
  <c r="H5960"/>
  <c r="I5960"/>
  <c r="K5960"/>
  <c r="N5960"/>
  <c r="W5960"/>
  <c r="H5961"/>
  <c r="I5961"/>
  <c r="K5961"/>
  <c r="N5961"/>
  <c r="W5961"/>
  <c r="H5962"/>
  <c r="I5962"/>
  <c r="K5962"/>
  <c r="N5962"/>
  <c r="W5962"/>
  <c r="H5963"/>
  <c r="I5963"/>
  <c r="K5963"/>
  <c r="N5963"/>
  <c r="W5963"/>
  <c r="H5964"/>
  <c r="I5964"/>
  <c r="K5964"/>
  <c r="N5964"/>
  <c r="W5964"/>
  <c r="H5965"/>
  <c r="I5965"/>
  <c r="K5965"/>
  <c r="N5965"/>
  <c r="W5965"/>
  <c r="H5966"/>
  <c r="I5966"/>
  <c r="K5966"/>
  <c r="N5966"/>
  <c r="W5966"/>
  <c r="H5967"/>
  <c r="I5967"/>
  <c r="K5967"/>
  <c r="N5967"/>
  <c r="W5967"/>
  <c r="H5968"/>
  <c r="I5968"/>
  <c r="K5968"/>
  <c r="N5968"/>
  <c r="W5968"/>
  <c r="H5969"/>
  <c r="I5969"/>
  <c r="K5969"/>
  <c r="N5969"/>
  <c r="W5969"/>
  <c r="H5970"/>
  <c r="I5970"/>
  <c r="K5970"/>
  <c r="N5970"/>
  <c r="W5970"/>
  <c r="H5971"/>
  <c r="I5971"/>
  <c r="K5971"/>
  <c r="N5971"/>
  <c r="W5971"/>
  <c r="H5972"/>
  <c r="I5972"/>
  <c r="K5972"/>
  <c r="N5972"/>
  <c r="W5972"/>
  <c r="H5973"/>
  <c r="I5973"/>
  <c r="K5973"/>
  <c r="N5973"/>
  <c r="W5973"/>
  <c r="H5974"/>
  <c r="I5974"/>
  <c r="K5974"/>
  <c r="N5974"/>
  <c r="W5974"/>
  <c r="H5975"/>
  <c r="I5975"/>
  <c r="K5975"/>
  <c r="N5975"/>
  <c r="W5975"/>
  <c r="H5976"/>
  <c r="I5976"/>
  <c r="K5976"/>
  <c r="N5976"/>
  <c r="W5976"/>
  <c r="H5977"/>
  <c r="I5977"/>
  <c r="K5977"/>
  <c r="N5977"/>
  <c r="W5977"/>
  <c r="H5978"/>
  <c r="I5978"/>
  <c r="K5978"/>
  <c r="N5978"/>
  <c r="W5978"/>
  <c r="H5979"/>
  <c r="I5979"/>
  <c r="K5979"/>
  <c r="N5979"/>
  <c r="W5979"/>
  <c r="H5980"/>
  <c r="I5980"/>
  <c r="K5980"/>
  <c r="N5980"/>
  <c r="W5980"/>
  <c r="H5981"/>
  <c r="I5981"/>
  <c r="K5981"/>
  <c r="N5981"/>
  <c r="W5981"/>
  <c r="H5982"/>
  <c r="I5982"/>
  <c r="K5982"/>
  <c r="N5982"/>
  <c r="W5982"/>
  <c r="H5983"/>
  <c r="I5983"/>
  <c r="K5983"/>
  <c r="N5983"/>
  <c r="W5983"/>
  <c r="H5984"/>
  <c r="I5984"/>
  <c r="K5984"/>
  <c r="N5984"/>
  <c r="W5984"/>
  <c r="H5985"/>
  <c r="I5985"/>
  <c r="K5985"/>
  <c r="N5985"/>
  <c r="W5985"/>
  <c r="H5986"/>
  <c r="I5986"/>
  <c r="K5986"/>
  <c r="N5986"/>
  <c r="W5986"/>
  <c r="H5987"/>
  <c r="I5987"/>
  <c r="K5987"/>
  <c r="N5987"/>
  <c r="W5987"/>
  <c r="H5988"/>
  <c r="I5988"/>
  <c r="K5988"/>
  <c r="N5988"/>
  <c r="W5988"/>
  <c r="H5989"/>
  <c r="I5989"/>
  <c r="K5989"/>
  <c r="N5989"/>
  <c r="W5989"/>
  <c r="H5990"/>
  <c r="I5990"/>
  <c r="K5990"/>
  <c r="N5990"/>
  <c r="W5990"/>
  <c r="H5991"/>
  <c r="I5991"/>
  <c r="K5991"/>
  <c r="N5991"/>
  <c r="W5991"/>
  <c r="H5992"/>
  <c r="I5992"/>
  <c r="K5992"/>
  <c r="N5992"/>
  <c r="W5992"/>
  <c r="H5993"/>
  <c r="I5993"/>
  <c r="K5993"/>
  <c r="N5993"/>
  <c r="W5993"/>
  <c r="H5994"/>
  <c r="I5994"/>
  <c r="K5994"/>
  <c r="N5994"/>
  <c r="W5994"/>
  <c r="H5995"/>
  <c r="I5995"/>
  <c r="K5995"/>
  <c r="N5995"/>
  <c r="W5995"/>
  <c r="H5996"/>
  <c r="I5996"/>
  <c r="K5996"/>
  <c r="N5996"/>
  <c r="W5996"/>
  <c r="H5997"/>
  <c r="I5997"/>
  <c r="K5997"/>
  <c r="N5997"/>
  <c r="W5997"/>
  <c r="H5998"/>
  <c r="I5998"/>
  <c r="K5998"/>
  <c r="N5998"/>
  <c r="W5998"/>
  <c r="H5999"/>
  <c r="I5999"/>
  <c r="K5999"/>
  <c r="N5999"/>
  <c r="W5999"/>
  <c r="H6000"/>
  <c r="I6000"/>
  <c r="K6000"/>
  <c r="N6000"/>
  <c r="W6000"/>
  <c r="H6001"/>
  <c r="I6001"/>
  <c r="K6001"/>
  <c r="N6001"/>
  <c r="W6001"/>
  <c r="H6002"/>
  <c r="I6002"/>
  <c r="K6002"/>
  <c r="N6002"/>
  <c r="W6002"/>
  <c r="H6003"/>
  <c r="I6003"/>
  <c r="K6003"/>
  <c r="N6003"/>
  <c r="W6003"/>
  <c r="H6004"/>
  <c r="I6004"/>
  <c r="K6004"/>
  <c r="N6004"/>
  <c r="W6004"/>
  <c r="H6005"/>
  <c r="I6005"/>
  <c r="K6005"/>
  <c r="N6005"/>
  <c r="W6005"/>
  <c r="H6006"/>
  <c r="I6006"/>
  <c r="K6006"/>
  <c r="N6006"/>
  <c r="W6006"/>
  <c r="H6007"/>
  <c r="I6007"/>
  <c r="K6007"/>
  <c r="N6007"/>
  <c r="W6007"/>
  <c r="H6008"/>
  <c r="I6008"/>
  <c r="K6008"/>
  <c r="N6008"/>
  <c r="W6008"/>
  <c r="H6009"/>
  <c r="I6009"/>
  <c r="K6009"/>
  <c r="N6009"/>
  <c r="W6009"/>
  <c r="H6010"/>
  <c r="I6010"/>
  <c r="K6010"/>
  <c r="N6010"/>
  <c r="W6010"/>
  <c r="H6011"/>
  <c r="I6011"/>
  <c r="K6011"/>
  <c r="N6011"/>
  <c r="W6011"/>
  <c r="H6012"/>
  <c r="I6012"/>
  <c r="K6012"/>
  <c r="N6012"/>
  <c r="W6012"/>
  <c r="H6013"/>
  <c r="I6013"/>
  <c r="K6013"/>
  <c r="N6013"/>
  <c r="W6013"/>
  <c r="H6014"/>
  <c r="I6014"/>
  <c r="K6014"/>
  <c r="N6014"/>
  <c r="W6014"/>
  <c r="H6015"/>
  <c r="I6015"/>
  <c r="K6015"/>
  <c r="N6015"/>
  <c r="W6015"/>
  <c r="H6016"/>
  <c r="I6016"/>
  <c r="K6016"/>
  <c r="N6016"/>
  <c r="W6016"/>
  <c r="H6017"/>
  <c r="I6017"/>
  <c r="K6017"/>
  <c r="N6017"/>
  <c r="W6017"/>
  <c r="H6018"/>
  <c r="I6018"/>
  <c r="K6018"/>
  <c r="N6018"/>
  <c r="W6018"/>
  <c r="H6019"/>
  <c r="I6019"/>
  <c r="K6019"/>
  <c r="N6019"/>
  <c r="W6019"/>
  <c r="H6020"/>
  <c r="I6020"/>
  <c r="K6020"/>
  <c r="N6020"/>
  <c r="W6020"/>
  <c r="H6021"/>
  <c r="I6021"/>
  <c r="K6021"/>
  <c r="N6021"/>
  <c r="W6021"/>
  <c r="H6022"/>
  <c r="I6022"/>
  <c r="K6022"/>
  <c r="N6022"/>
  <c r="W6022"/>
  <c r="H6023"/>
  <c r="I6023"/>
  <c r="K6023"/>
  <c r="N6023"/>
  <c r="W6023"/>
  <c r="H6024"/>
  <c r="I6024"/>
  <c r="K6024"/>
  <c r="N6024"/>
  <c r="W6024"/>
  <c r="H6025"/>
  <c r="I6025"/>
  <c r="K6025"/>
  <c r="N6025"/>
  <c r="W6025"/>
  <c r="H6026"/>
  <c r="I6026"/>
  <c r="K6026"/>
  <c r="N6026"/>
  <c r="W6026"/>
  <c r="H6027"/>
  <c r="I6027"/>
  <c r="K6027"/>
  <c r="N6027"/>
  <c r="W6027"/>
  <c r="H6028"/>
  <c r="I6028"/>
  <c r="K6028"/>
  <c r="N6028"/>
  <c r="W6028"/>
  <c r="H6029"/>
  <c r="I6029"/>
  <c r="K6029"/>
  <c r="N6029"/>
  <c r="W6029"/>
  <c r="H6030"/>
  <c r="I6030"/>
  <c r="K6030"/>
  <c r="N6030"/>
  <c r="W6030"/>
  <c r="H6031"/>
  <c r="I6031"/>
  <c r="K6031"/>
  <c r="N6031"/>
  <c r="W6031"/>
  <c r="H6032"/>
  <c r="I6032"/>
  <c r="K6032"/>
  <c r="N6032"/>
  <c r="W6032"/>
  <c r="H6033"/>
  <c r="I6033"/>
  <c r="K6033"/>
  <c r="N6033"/>
  <c r="W6033"/>
  <c r="H6034"/>
  <c r="I6034"/>
  <c r="K6034"/>
  <c r="N6034"/>
  <c r="W6034"/>
  <c r="H6035"/>
  <c r="I6035"/>
  <c r="K6035"/>
  <c r="N6035"/>
  <c r="W6035"/>
  <c r="H6036"/>
  <c r="I6036"/>
  <c r="K6036"/>
  <c r="N6036"/>
  <c r="W6036"/>
  <c r="H6037"/>
  <c r="I6037"/>
  <c r="K6037"/>
  <c r="N6037"/>
  <c r="W6037"/>
  <c r="H6038"/>
  <c r="I6038"/>
  <c r="K6038"/>
  <c r="N6038"/>
  <c r="W6038"/>
  <c r="H6039"/>
  <c r="I6039"/>
  <c r="K6039"/>
  <c r="N6039"/>
  <c r="W6039"/>
  <c r="H6040"/>
  <c r="I6040"/>
  <c r="K6040"/>
  <c r="N6040"/>
  <c r="W6040"/>
  <c r="H6041"/>
  <c r="I6041"/>
  <c r="K6041"/>
  <c r="N6041"/>
  <c r="W6041"/>
  <c r="H6042"/>
  <c r="I6042"/>
  <c r="K6042"/>
  <c r="N6042"/>
  <c r="W6042"/>
  <c r="H6043"/>
  <c r="I6043"/>
  <c r="K6043"/>
  <c r="N6043"/>
  <c r="W6043"/>
  <c r="H6044"/>
  <c r="I6044"/>
  <c r="K6044"/>
  <c r="N6044"/>
  <c r="W6044"/>
  <c r="H6045"/>
  <c r="I6045"/>
  <c r="K6045"/>
  <c r="N6045"/>
  <c r="W6045"/>
  <c r="H6046"/>
  <c r="I6046"/>
  <c r="K6046"/>
  <c r="N6046"/>
  <c r="W6046"/>
  <c r="H6047"/>
  <c r="I6047"/>
  <c r="K6047"/>
  <c r="N6047"/>
  <c r="W6047"/>
  <c r="H6048"/>
  <c r="I6048"/>
  <c r="K6048"/>
  <c r="N6048"/>
  <c r="W6048"/>
  <c r="H6049"/>
  <c r="I6049"/>
  <c r="K6049"/>
  <c r="N6049"/>
  <c r="W6049"/>
  <c r="H6050"/>
  <c r="I6050"/>
  <c r="K6050"/>
  <c r="N6050"/>
  <c r="W6050"/>
  <c r="H6051"/>
  <c r="I6051"/>
  <c r="K6051"/>
  <c r="N6051"/>
  <c r="W6051"/>
  <c r="H6052"/>
  <c r="I6052"/>
  <c r="K6052"/>
  <c r="N6052"/>
  <c r="W6052"/>
  <c r="H6053"/>
  <c r="I6053"/>
  <c r="K6053"/>
  <c r="N6053"/>
  <c r="W6053"/>
  <c r="H6054"/>
  <c r="I6054"/>
  <c r="K6054"/>
  <c r="N6054"/>
  <c r="W6054"/>
  <c r="H6055"/>
  <c r="I6055"/>
  <c r="K6055"/>
  <c r="N6055"/>
  <c r="W6055"/>
  <c r="H6056"/>
  <c r="I6056"/>
  <c r="K6056"/>
  <c r="N6056"/>
  <c r="W6056"/>
  <c r="H6057"/>
  <c r="I6057"/>
  <c r="K6057"/>
  <c r="N6057"/>
  <c r="W6057"/>
  <c r="H6058"/>
  <c r="I6058"/>
  <c r="K6058"/>
  <c r="N6058"/>
  <c r="W6058"/>
  <c r="H6059"/>
  <c r="I6059"/>
  <c r="K6059"/>
  <c r="N6059"/>
  <c r="W6059"/>
  <c r="H6060"/>
  <c r="I6060"/>
  <c r="K6060"/>
  <c r="N6060"/>
  <c r="W6060"/>
  <c r="H6061"/>
  <c r="I6061"/>
  <c r="K6061"/>
  <c r="N6061"/>
  <c r="W6061"/>
  <c r="H6062"/>
  <c r="I6062"/>
  <c r="K6062"/>
  <c r="N6062"/>
  <c r="W6062"/>
  <c r="H6063"/>
  <c r="I6063"/>
  <c r="K6063"/>
  <c r="N6063"/>
  <c r="W6063"/>
  <c r="H6064"/>
  <c r="I6064"/>
  <c r="K6064"/>
  <c r="N6064"/>
  <c r="W6064"/>
  <c r="H6065"/>
  <c r="I6065"/>
  <c r="K6065"/>
  <c r="N6065"/>
  <c r="W6065"/>
  <c r="H6066"/>
  <c r="I6066"/>
  <c r="K6066"/>
  <c r="N6066"/>
  <c r="W6066"/>
  <c r="H6067"/>
  <c r="I6067"/>
  <c r="K6067"/>
  <c r="N6067"/>
  <c r="W6067"/>
  <c r="H6068"/>
  <c r="I6068"/>
  <c r="K6068"/>
  <c r="N6068"/>
  <c r="W6068"/>
  <c r="H6069"/>
  <c r="I6069"/>
  <c r="K6069"/>
  <c r="N6069"/>
  <c r="W6069"/>
  <c r="H6070"/>
  <c r="I6070"/>
  <c r="K6070"/>
  <c r="N6070"/>
  <c r="W6070"/>
  <c r="H6071"/>
  <c r="I6071"/>
  <c r="K6071"/>
  <c r="N6071"/>
  <c r="W6071"/>
  <c r="H6072"/>
  <c r="I6072"/>
  <c r="K6072"/>
  <c r="N6072"/>
  <c r="W6072"/>
  <c r="H6073"/>
  <c r="I6073"/>
  <c r="K6073"/>
  <c r="N6073"/>
  <c r="W6073"/>
  <c r="H6074"/>
  <c r="I6074"/>
  <c r="K6074"/>
  <c r="N6074"/>
  <c r="W6074"/>
  <c r="H6075"/>
  <c r="I6075"/>
  <c r="K6075"/>
  <c r="N6075"/>
  <c r="W6075"/>
  <c r="H6076"/>
  <c r="I6076"/>
  <c r="K6076"/>
  <c r="N6076"/>
  <c r="W6076"/>
  <c r="H6077"/>
  <c r="I6077"/>
  <c r="K6077"/>
  <c r="N6077"/>
  <c r="W6077"/>
  <c r="H6078"/>
  <c r="I6078"/>
  <c r="K6078"/>
  <c r="N6078"/>
  <c r="W6078"/>
  <c r="H6079"/>
  <c r="I6079"/>
  <c r="K6079"/>
  <c r="N6079"/>
  <c r="W6079"/>
  <c r="H6080"/>
  <c r="I6080"/>
  <c r="K6080"/>
  <c r="N6080"/>
  <c r="W6080"/>
  <c r="H6081"/>
  <c r="I6081"/>
  <c r="K6081"/>
  <c r="N6081"/>
  <c r="W6081"/>
  <c r="H6082"/>
  <c r="I6082"/>
  <c r="K6082"/>
  <c r="N6082"/>
  <c r="W6082"/>
  <c r="H6083"/>
  <c r="I6083"/>
  <c r="K6083"/>
  <c r="N6083"/>
  <c r="W6083"/>
  <c r="H6084"/>
  <c r="I6084"/>
  <c r="K6084"/>
  <c r="N6084"/>
  <c r="W6084"/>
  <c r="H6085"/>
  <c r="I6085"/>
  <c r="K6085"/>
  <c r="N6085"/>
  <c r="W6085"/>
  <c r="H6086"/>
  <c r="I6086"/>
  <c r="K6086"/>
  <c r="N6086"/>
  <c r="W6086"/>
  <c r="H6087"/>
  <c r="I6087"/>
  <c r="K6087"/>
  <c r="N6087"/>
  <c r="W6087"/>
  <c r="H6088"/>
  <c r="I6088"/>
  <c r="K6088"/>
  <c r="N6088"/>
  <c r="W6088"/>
  <c r="H6089"/>
  <c r="I6089"/>
  <c r="K6089"/>
  <c r="N6089"/>
  <c r="W6089"/>
  <c r="H6090"/>
  <c r="I6090"/>
  <c r="K6090"/>
  <c r="N6090"/>
  <c r="W6090"/>
  <c r="H6091"/>
  <c r="I6091"/>
  <c r="K6091"/>
  <c r="N6091"/>
  <c r="W6091"/>
  <c r="H6092"/>
  <c r="I6092"/>
  <c r="K6092"/>
  <c r="N6092"/>
  <c r="W6092"/>
  <c r="H6093"/>
  <c r="I6093"/>
  <c r="K6093"/>
  <c r="N6093"/>
  <c r="W6093"/>
  <c r="H6094"/>
  <c r="I6094"/>
  <c r="K6094"/>
  <c r="N6094"/>
  <c r="W6094"/>
  <c r="H6095"/>
  <c r="I6095"/>
  <c r="K6095"/>
  <c r="N6095"/>
  <c r="W6095"/>
  <c r="H6096"/>
  <c r="I6096"/>
  <c r="K6096"/>
  <c r="N6096"/>
  <c r="W6096"/>
  <c r="H6097"/>
  <c r="I6097"/>
  <c r="K6097"/>
  <c r="N6097"/>
  <c r="W6097"/>
  <c r="H6098"/>
  <c r="I6098"/>
  <c r="K6098"/>
  <c r="N6098"/>
  <c r="W6098"/>
  <c r="H6099"/>
  <c r="I6099"/>
  <c r="K6099"/>
  <c r="N6099"/>
  <c r="W6099"/>
  <c r="H6100"/>
  <c r="I6100"/>
  <c r="K6100"/>
  <c r="N6100"/>
  <c r="W6100"/>
  <c r="H6101"/>
  <c r="I6101"/>
  <c r="K6101"/>
  <c r="N6101"/>
  <c r="W6101"/>
  <c r="H6102"/>
  <c r="I6102"/>
  <c r="K6102"/>
  <c r="N6102"/>
  <c r="W6102"/>
  <c r="H6103"/>
  <c r="I6103"/>
  <c r="K6103"/>
  <c r="N6103"/>
  <c r="W6103"/>
  <c r="H6104"/>
  <c r="I6104"/>
  <c r="K6104"/>
  <c r="N6104"/>
  <c r="W6104"/>
  <c r="H6105"/>
  <c r="I6105"/>
  <c r="K6105"/>
  <c r="N6105"/>
  <c r="W6105"/>
  <c r="H6106"/>
  <c r="I6106"/>
  <c r="K6106"/>
  <c r="N6106"/>
  <c r="W6106"/>
  <c r="H6107"/>
  <c r="I6107"/>
  <c r="K6107"/>
  <c r="N6107"/>
  <c r="W6107"/>
  <c r="H6108"/>
  <c r="I6108"/>
  <c r="K6108"/>
  <c r="N6108"/>
  <c r="W6108"/>
  <c r="H6109"/>
  <c r="I6109"/>
  <c r="K6109"/>
  <c r="N6109"/>
  <c r="W6109"/>
  <c r="H6110"/>
  <c r="I6110"/>
  <c r="K6110"/>
  <c r="N6110"/>
  <c r="W6110"/>
  <c r="H6111"/>
  <c r="I6111"/>
  <c r="K6111"/>
  <c r="N6111"/>
  <c r="W6111"/>
  <c r="H6112"/>
  <c r="I6112"/>
  <c r="K6112"/>
  <c r="N6112"/>
  <c r="W6112"/>
  <c r="H6113"/>
  <c r="I6113"/>
  <c r="K6113"/>
  <c r="N6113"/>
  <c r="W6113"/>
  <c r="H6114"/>
  <c r="I6114"/>
  <c r="K6114"/>
  <c r="N6114"/>
  <c r="W6114"/>
  <c r="H6115"/>
  <c r="I6115"/>
  <c r="K6115"/>
  <c r="N6115"/>
  <c r="W6115"/>
  <c r="H6116"/>
  <c r="I6116"/>
  <c r="K6116"/>
  <c r="N6116"/>
  <c r="W6116"/>
  <c r="H6117"/>
  <c r="I6117"/>
  <c r="K6117"/>
  <c r="N6117"/>
  <c r="W6117"/>
  <c r="H6118"/>
  <c r="I6118"/>
  <c r="K6118"/>
  <c r="N6118"/>
  <c r="W6118"/>
  <c r="H6119"/>
  <c r="I6119"/>
  <c r="K6119"/>
  <c r="N6119"/>
  <c r="W6119"/>
  <c r="H6120"/>
  <c r="I6120"/>
  <c r="K6120"/>
  <c r="N6120"/>
  <c r="W6120"/>
  <c r="H6121"/>
  <c r="I6121"/>
  <c r="K6121"/>
  <c r="N6121"/>
  <c r="W6121"/>
  <c r="H6122"/>
  <c r="I6122"/>
  <c r="K6122"/>
  <c r="N6122"/>
  <c r="W6122"/>
  <c r="H6123"/>
  <c r="I6123"/>
  <c r="K6123"/>
  <c r="N6123"/>
  <c r="W6123"/>
  <c r="H6124"/>
  <c r="I6124"/>
  <c r="K6124"/>
  <c r="N6124"/>
  <c r="W6124"/>
  <c r="H6125"/>
  <c r="I6125"/>
  <c r="K6125"/>
  <c r="N6125"/>
  <c r="W6125"/>
  <c r="H6126"/>
  <c r="I6126"/>
  <c r="K6126"/>
  <c r="N6126"/>
  <c r="W6126"/>
  <c r="H6127"/>
  <c r="I6127"/>
  <c r="K6127"/>
  <c r="N6127"/>
  <c r="W6127"/>
  <c r="H6128"/>
  <c r="I6128"/>
  <c r="K6128"/>
  <c r="N6128"/>
  <c r="W6128"/>
  <c r="H6129"/>
  <c r="I6129"/>
  <c r="K6129"/>
  <c r="N6129"/>
  <c r="W6129"/>
  <c r="H6130"/>
  <c r="I6130"/>
  <c r="K6130"/>
  <c r="N6130"/>
  <c r="W6130"/>
  <c r="H6131"/>
  <c r="I6131"/>
  <c r="K6131"/>
  <c r="N6131"/>
  <c r="W6131"/>
  <c r="H6132"/>
  <c r="I6132"/>
  <c r="K6132"/>
  <c r="N6132"/>
  <c r="W6132"/>
  <c r="H6133"/>
  <c r="I6133"/>
  <c r="K6133"/>
  <c r="N6133"/>
  <c r="W6133"/>
  <c r="H6134"/>
  <c r="I6134"/>
  <c r="K6134"/>
  <c r="N6134"/>
  <c r="W6134"/>
  <c r="H6135"/>
  <c r="I6135"/>
  <c r="K6135"/>
  <c r="N6135"/>
  <c r="W6135"/>
  <c r="H6136"/>
  <c r="I6136"/>
  <c r="K6136"/>
  <c r="N6136"/>
  <c r="W6136"/>
  <c r="H6137"/>
  <c r="I6137"/>
  <c r="K6137"/>
  <c r="N6137"/>
  <c r="W6137"/>
  <c r="H6138"/>
  <c r="I6138"/>
  <c r="K6138"/>
  <c r="N6138"/>
  <c r="W6138"/>
  <c r="H6139"/>
  <c r="I6139"/>
  <c r="K6139"/>
  <c r="N6139"/>
  <c r="W6139"/>
  <c r="H6140"/>
  <c r="I6140"/>
  <c r="K6140"/>
  <c r="N6140"/>
  <c r="W6140"/>
  <c r="H6141"/>
  <c r="I6141"/>
  <c r="K6141"/>
  <c r="N6141"/>
  <c r="W6141"/>
  <c r="H6142"/>
  <c r="I6142"/>
  <c r="K6142"/>
  <c r="N6142"/>
  <c r="W6142"/>
  <c r="H6143"/>
  <c r="I6143"/>
  <c r="K6143"/>
  <c r="N6143"/>
  <c r="W6143"/>
  <c r="H6144"/>
  <c r="I6144"/>
  <c r="K6144"/>
  <c r="N6144"/>
  <c r="W6144"/>
  <c r="H6145"/>
  <c r="I6145"/>
  <c r="K6145"/>
  <c r="N6145"/>
  <c r="W6145"/>
  <c r="H6146"/>
  <c r="I6146"/>
  <c r="K6146"/>
  <c r="N6146"/>
  <c r="W6146"/>
  <c r="H6147"/>
  <c r="I6147"/>
  <c r="K6147"/>
  <c r="N6147"/>
  <c r="W6147"/>
  <c r="H6148"/>
  <c r="I6148"/>
  <c r="K6148"/>
  <c r="N6148"/>
  <c r="W6148"/>
  <c r="H6149"/>
  <c r="I6149"/>
  <c r="K6149"/>
  <c r="N6149"/>
  <c r="W6149"/>
  <c r="H6150"/>
  <c r="I6150"/>
  <c r="K6150"/>
  <c r="N6150"/>
  <c r="W6150"/>
  <c r="H6151"/>
  <c r="I6151"/>
  <c r="K6151"/>
  <c r="N6151"/>
  <c r="W6151"/>
  <c r="H6152"/>
  <c r="I6152"/>
  <c r="K6152"/>
  <c r="N6152"/>
  <c r="W6152"/>
  <c r="H6153"/>
  <c r="I6153"/>
  <c r="K6153"/>
  <c r="N6153"/>
  <c r="W6153"/>
  <c r="H6154"/>
  <c r="I6154"/>
  <c r="K6154"/>
  <c r="N6154"/>
  <c r="W6154"/>
  <c r="H6155"/>
  <c r="I6155"/>
  <c r="K6155"/>
  <c r="N6155"/>
  <c r="W6155"/>
  <c r="H6156"/>
  <c r="I6156"/>
  <c r="K6156"/>
  <c r="N6156"/>
  <c r="W6156"/>
  <c r="H6157"/>
  <c r="I6157"/>
  <c r="K6157"/>
  <c r="N6157"/>
  <c r="W6157"/>
  <c r="H6158"/>
  <c r="I6158"/>
  <c r="K6158"/>
  <c r="N6158"/>
  <c r="W6158"/>
  <c r="H6159"/>
  <c r="I6159"/>
  <c r="K6159"/>
  <c r="N6159"/>
  <c r="W6159"/>
  <c r="H6160"/>
  <c r="I6160"/>
  <c r="K6160"/>
  <c r="N6160"/>
  <c r="W6160"/>
  <c r="H6161"/>
  <c r="I6161"/>
  <c r="K6161"/>
  <c r="N6161"/>
  <c r="W6161"/>
  <c r="H6162"/>
  <c r="I6162"/>
  <c r="K6162"/>
  <c r="N6162"/>
  <c r="W6162"/>
  <c r="H6163"/>
  <c r="I6163"/>
  <c r="K6163"/>
  <c r="N6163"/>
  <c r="W6163"/>
  <c r="H6164"/>
  <c r="I6164"/>
  <c r="K6164"/>
  <c r="N6164"/>
  <c r="W6164"/>
  <c r="H6165"/>
  <c r="I6165"/>
  <c r="K6165"/>
  <c r="N6165"/>
  <c r="W6165"/>
  <c r="H6166"/>
  <c r="I6166"/>
  <c r="K6166"/>
  <c r="N6166"/>
  <c r="W6166"/>
  <c r="H6167"/>
  <c r="I6167"/>
  <c r="K6167"/>
  <c r="N6167"/>
  <c r="W6167"/>
  <c r="H6168"/>
  <c r="I6168"/>
  <c r="K6168"/>
  <c r="N6168"/>
  <c r="W6168"/>
  <c r="H6169"/>
  <c r="I6169"/>
  <c r="K6169"/>
  <c r="N6169"/>
  <c r="W6169"/>
  <c r="H6170"/>
  <c r="I6170"/>
  <c r="K6170"/>
  <c r="N6170"/>
  <c r="W6170"/>
  <c r="H6171"/>
  <c r="I6171"/>
  <c r="K6171"/>
  <c r="N6171"/>
  <c r="W6171"/>
  <c r="H6172"/>
  <c r="I6172"/>
  <c r="K6172"/>
  <c r="N6172"/>
  <c r="W6172"/>
  <c r="H6173"/>
  <c r="I6173"/>
  <c r="K6173"/>
  <c r="N6173"/>
  <c r="W6173"/>
  <c r="H6174"/>
  <c r="I6174"/>
  <c r="K6174"/>
  <c r="N6174"/>
  <c r="W6174"/>
  <c r="H6175"/>
  <c r="I6175"/>
  <c r="K6175"/>
  <c r="N6175"/>
  <c r="W6175"/>
  <c r="H6176"/>
  <c r="I6176"/>
  <c r="K6176"/>
  <c r="N6176"/>
  <c r="W6176"/>
  <c r="H6177"/>
  <c r="I6177"/>
  <c r="K6177"/>
  <c r="N6177"/>
  <c r="W6177"/>
  <c r="H6178"/>
  <c r="I6178"/>
  <c r="K6178"/>
  <c r="N6178"/>
  <c r="W6178"/>
  <c r="H6179"/>
  <c r="I6179"/>
  <c r="K6179"/>
  <c r="N6179"/>
  <c r="W6179"/>
  <c r="H6180"/>
  <c r="I6180"/>
  <c r="K6180"/>
  <c r="N6180"/>
  <c r="W6180"/>
  <c r="H6181"/>
  <c r="I6181"/>
  <c r="K6181"/>
  <c r="N6181"/>
  <c r="W6181"/>
  <c r="H6182"/>
  <c r="I6182"/>
  <c r="K6182"/>
  <c r="N6182"/>
  <c r="W6182"/>
  <c r="H6183"/>
  <c r="I6183"/>
  <c r="K6183"/>
  <c r="N6183"/>
  <c r="W6183"/>
  <c r="H6184"/>
  <c r="I6184"/>
  <c r="K6184"/>
  <c r="N6184"/>
  <c r="W6184"/>
  <c r="H6185"/>
  <c r="I6185"/>
  <c r="K6185"/>
  <c r="N6185"/>
  <c r="W6185"/>
  <c r="H6186"/>
  <c r="I6186"/>
  <c r="K6186"/>
  <c r="N6186"/>
  <c r="W6186"/>
  <c r="H6187"/>
  <c r="I6187"/>
  <c r="K6187"/>
  <c r="N6187"/>
  <c r="W6187"/>
  <c r="H6188"/>
  <c r="I6188"/>
  <c r="K6188"/>
  <c r="N6188"/>
  <c r="W6188"/>
  <c r="H6189"/>
  <c r="I6189"/>
  <c r="K6189"/>
  <c r="N6189"/>
  <c r="W6189"/>
  <c r="H6190"/>
  <c r="I6190"/>
  <c r="K6190"/>
  <c r="N6190"/>
  <c r="W6190"/>
  <c r="H6191"/>
  <c r="I6191"/>
  <c r="K6191"/>
  <c r="N6191"/>
  <c r="W6191"/>
  <c r="H6192"/>
  <c r="I6192"/>
  <c r="K6192"/>
  <c r="N6192"/>
  <c r="W6192"/>
  <c r="H6193"/>
  <c r="I6193"/>
  <c r="K6193"/>
  <c r="N6193"/>
  <c r="W6193"/>
  <c r="H6194"/>
  <c r="I6194"/>
  <c r="K6194"/>
  <c r="N6194"/>
  <c r="W6194"/>
  <c r="H6195"/>
  <c r="I6195"/>
  <c r="K6195"/>
  <c r="N6195"/>
  <c r="W6195"/>
  <c r="H6196"/>
  <c r="I6196"/>
  <c r="K6196"/>
  <c r="N6196"/>
  <c r="W6196"/>
  <c r="H6197"/>
  <c r="I6197"/>
  <c r="K6197"/>
  <c r="N6197"/>
  <c r="W6197"/>
  <c r="H6198"/>
  <c r="I6198"/>
  <c r="K6198"/>
  <c r="N6198"/>
  <c r="W6198"/>
  <c r="H6199"/>
  <c r="I6199"/>
  <c r="K6199"/>
  <c r="N6199"/>
  <c r="W6199"/>
  <c r="H6200"/>
  <c r="I6200"/>
  <c r="K6200"/>
  <c r="N6200"/>
  <c r="W6200"/>
  <c r="H6201"/>
  <c r="I6201"/>
  <c r="K6201"/>
  <c r="N6201"/>
  <c r="W6201"/>
  <c r="H6202"/>
  <c r="I6202"/>
  <c r="K6202"/>
  <c r="N6202"/>
  <c r="W6202"/>
  <c r="H6203"/>
  <c r="I6203"/>
  <c r="K6203"/>
  <c r="N6203"/>
  <c r="W6203"/>
  <c r="H6204"/>
  <c r="I6204"/>
  <c r="K6204"/>
  <c r="N6204"/>
  <c r="W6204"/>
  <c r="H6205"/>
  <c r="I6205"/>
  <c r="K6205"/>
  <c r="N6205"/>
  <c r="W6205"/>
  <c r="H6206"/>
  <c r="I6206"/>
  <c r="K6206"/>
  <c r="N6206"/>
  <c r="W6206"/>
  <c r="H6207"/>
  <c r="I6207"/>
  <c r="K6207"/>
  <c r="N6207"/>
  <c r="W6207"/>
  <c r="H6208"/>
  <c r="I6208"/>
  <c r="K6208"/>
  <c r="N6208"/>
  <c r="W6208"/>
  <c r="H6209"/>
  <c r="I6209"/>
  <c r="K6209"/>
  <c r="N6209"/>
  <c r="W6209"/>
  <c r="H6210"/>
  <c r="I6210"/>
  <c r="K6210"/>
  <c r="N6210"/>
  <c r="W6210"/>
  <c r="H6211"/>
  <c r="I6211"/>
  <c r="K6211"/>
  <c r="N6211"/>
  <c r="W6211"/>
  <c r="H6212"/>
  <c r="I6212"/>
  <c r="K6212"/>
  <c r="N6212"/>
  <c r="W6212"/>
  <c r="H6213"/>
  <c r="I6213"/>
  <c r="K6213"/>
  <c r="N6213"/>
  <c r="W6213"/>
  <c r="H6214"/>
  <c r="I6214"/>
  <c r="K6214"/>
  <c r="N6214"/>
  <c r="W6214"/>
  <c r="H6215"/>
  <c r="I6215"/>
  <c r="K6215"/>
  <c r="N6215"/>
  <c r="W6215"/>
  <c r="H6216"/>
  <c r="I6216"/>
  <c r="K6216"/>
  <c r="N6216"/>
  <c r="W6216"/>
  <c r="H6217"/>
  <c r="I6217"/>
  <c r="K6217"/>
  <c r="N6217"/>
  <c r="W6217"/>
  <c r="H6218"/>
  <c r="I6218"/>
  <c r="K6218"/>
  <c r="N6218"/>
  <c r="W6218"/>
  <c r="H6219"/>
  <c r="I6219"/>
  <c r="K6219"/>
  <c r="N6219"/>
  <c r="W6219"/>
  <c r="H6220"/>
  <c r="I6220"/>
  <c r="K6220"/>
  <c r="N6220"/>
  <c r="W6220"/>
  <c r="H6221"/>
  <c r="I6221"/>
  <c r="K6221"/>
  <c r="N6221"/>
  <c r="W6221"/>
  <c r="H6222"/>
  <c r="I6222"/>
  <c r="K6222"/>
  <c r="N6222"/>
  <c r="W6222"/>
  <c r="H6223"/>
  <c r="I6223"/>
  <c r="K6223"/>
  <c r="N6223"/>
  <c r="W6223"/>
  <c r="H6224"/>
  <c r="I6224"/>
  <c r="K6224"/>
  <c r="N6224"/>
  <c r="W6224"/>
  <c r="H6225"/>
  <c r="I6225"/>
  <c r="K6225"/>
  <c r="N6225"/>
  <c r="W6225"/>
  <c r="H6226"/>
  <c r="I6226"/>
  <c r="K6226"/>
  <c r="N6226"/>
  <c r="W6226"/>
  <c r="H6227"/>
  <c r="I6227"/>
  <c r="K6227"/>
  <c r="N6227"/>
  <c r="W6227"/>
  <c r="H6228"/>
  <c r="I6228"/>
  <c r="K6228"/>
  <c r="N6228"/>
  <c r="W6228"/>
  <c r="H6229"/>
  <c r="I6229"/>
  <c r="K6229"/>
  <c r="N6229"/>
  <c r="W6229"/>
  <c r="H6230"/>
  <c r="I6230"/>
  <c r="K6230"/>
  <c r="N6230"/>
  <c r="W6230"/>
  <c r="H6231"/>
  <c r="I6231"/>
  <c r="K6231"/>
  <c r="N6231"/>
  <c r="W6231"/>
  <c r="H6232"/>
  <c r="I6232"/>
  <c r="K6232"/>
  <c r="N6232"/>
  <c r="W6232"/>
  <c r="H6233"/>
  <c r="I6233"/>
  <c r="K6233"/>
  <c r="N6233"/>
  <c r="W6233"/>
  <c r="H6234"/>
  <c r="I6234"/>
  <c r="K6234"/>
  <c r="N6234"/>
  <c r="W6234"/>
  <c r="H6235"/>
  <c r="I6235"/>
  <c r="K6235"/>
  <c r="N6235"/>
  <c r="W6235"/>
  <c r="H6236"/>
  <c r="I6236"/>
  <c r="K6236"/>
  <c r="N6236"/>
  <c r="W6236"/>
  <c r="H6237"/>
  <c r="I6237"/>
  <c r="K6237"/>
  <c r="N6237"/>
  <c r="W6237"/>
  <c r="H6238"/>
  <c r="I6238"/>
  <c r="K6238"/>
  <c r="N6238"/>
  <c r="W6238"/>
  <c r="H6239"/>
  <c r="I6239"/>
  <c r="K6239"/>
  <c r="N6239"/>
  <c r="W6239"/>
  <c r="H6240"/>
  <c r="I6240"/>
  <c r="K6240"/>
  <c r="N6240"/>
  <c r="W6240"/>
  <c r="H6241"/>
  <c r="I6241"/>
  <c r="K6241"/>
  <c r="N6241"/>
  <c r="W6241"/>
  <c r="H6242"/>
  <c r="I6242"/>
  <c r="K6242"/>
  <c r="N6242"/>
  <c r="W6242"/>
  <c r="H6243"/>
  <c r="I6243"/>
  <c r="K6243"/>
  <c r="N6243"/>
  <c r="W6243"/>
  <c r="H6244"/>
  <c r="I6244"/>
  <c r="K6244"/>
  <c r="N6244"/>
  <c r="W6244"/>
  <c r="H6245"/>
  <c r="I6245"/>
  <c r="K6245"/>
  <c r="N6245"/>
  <c r="W6245"/>
  <c r="H6246"/>
  <c r="I6246"/>
  <c r="K6246"/>
  <c r="N6246"/>
  <c r="W6246"/>
  <c r="H6247"/>
  <c r="I6247"/>
  <c r="K6247"/>
  <c r="N6247"/>
  <c r="W6247"/>
  <c r="H6248"/>
  <c r="I6248"/>
  <c r="K6248"/>
  <c r="N6248"/>
  <c r="W6248"/>
  <c r="H6249"/>
  <c r="I6249"/>
  <c r="K6249"/>
  <c r="N6249"/>
  <c r="W6249"/>
  <c r="H6250"/>
  <c r="I6250"/>
  <c r="K6250"/>
  <c r="N6250"/>
  <c r="W6250"/>
  <c r="H6251"/>
  <c r="I6251"/>
  <c r="K6251"/>
  <c r="N6251"/>
  <c r="W6251"/>
  <c r="H6252"/>
  <c r="I6252"/>
  <c r="K6252"/>
  <c r="N6252"/>
  <c r="W6252"/>
  <c r="H6253"/>
  <c r="I6253"/>
  <c r="K6253"/>
  <c r="N6253"/>
  <c r="W6253"/>
  <c r="H6254"/>
  <c r="I6254"/>
  <c r="K6254"/>
  <c r="N6254"/>
  <c r="W6254"/>
  <c r="H6255"/>
  <c r="I6255"/>
  <c r="K6255"/>
  <c r="N6255"/>
  <c r="W6255"/>
  <c r="H6256"/>
  <c r="I6256"/>
  <c r="K6256"/>
  <c r="N6256"/>
  <c r="W6256"/>
  <c r="H6257"/>
  <c r="I6257"/>
  <c r="K6257"/>
  <c r="N6257"/>
  <c r="W6257"/>
  <c r="H6258"/>
  <c r="I6258"/>
  <c r="K6258"/>
  <c r="N6258"/>
  <c r="W6258"/>
  <c r="H6259"/>
  <c r="I6259"/>
  <c r="K6259"/>
  <c r="N6259"/>
  <c r="W6259"/>
  <c r="H6260"/>
  <c r="I6260"/>
  <c r="K6260"/>
  <c r="N6260"/>
  <c r="W6260"/>
  <c r="H6261"/>
  <c r="I6261"/>
  <c r="K6261"/>
  <c r="N6261"/>
  <c r="W6261"/>
  <c r="H6262"/>
  <c r="I6262"/>
  <c r="K6262"/>
  <c r="N6262"/>
  <c r="W6262"/>
  <c r="H6263"/>
  <c r="I6263"/>
  <c r="K6263"/>
  <c r="N6263"/>
  <c r="W6263"/>
  <c r="H6264"/>
  <c r="I6264"/>
  <c r="K6264"/>
  <c r="N6264"/>
  <c r="W6264"/>
  <c r="H6265"/>
  <c r="I6265"/>
  <c r="K6265"/>
  <c r="N6265"/>
  <c r="W6265"/>
  <c r="H6266"/>
  <c r="I6266"/>
  <c r="K6266"/>
  <c r="N6266"/>
  <c r="W6266"/>
  <c r="H6267"/>
  <c r="I6267"/>
  <c r="K6267"/>
  <c r="N6267"/>
  <c r="W6267"/>
  <c r="H6268"/>
  <c r="I6268"/>
  <c r="K6268"/>
  <c r="N6268"/>
  <c r="W6268"/>
  <c r="H6269"/>
  <c r="I6269"/>
  <c r="K6269"/>
  <c r="N6269"/>
  <c r="W6269"/>
  <c r="H6270"/>
  <c r="I6270"/>
  <c r="K6270"/>
  <c r="N6270"/>
  <c r="W6270"/>
  <c r="H6271"/>
  <c r="I6271"/>
  <c r="K6271"/>
  <c r="N6271"/>
  <c r="W6271"/>
  <c r="H6272"/>
  <c r="I6272"/>
  <c r="K6272"/>
  <c r="N6272"/>
  <c r="W6272"/>
  <c r="H6273"/>
  <c r="I6273"/>
  <c r="K6273"/>
  <c r="N6273"/>
  <c r="W6273"/>
  <c r="H6274"/>
  <c r="I6274"/>
  <c r="K6274"/>
  <c r="N6274"/>
  <c r="W6274"/>
  <c r="H6275"/>
  <c r="I6275"/>
  <c r="K6275"/>
  <c r="N6275"/>
  <c r="W6275"/>
  <c r="H6276"/>
  <c r="I6276"/>
  <c r="K6276"/>
  <c r="N6276"/>
  <c r="W6276"/>
  <c r="H6277"/>
  <c r="I6277"/>
  <c r="K6277"/>
  <c r="N6277"/>
  <c r="W6277"/>
  <c r="H6278"/>
  <c r="I6278"/>
  <c r="K6278"/>
  <c r="N6278"/>
  <c r="W6278"/>
  <c r="H6279"/>
  <c r="I6279"/>
  <c r="K6279"/>
  <c r="N6279"/>
  <c r="W6279"/>
  <c r="H6280"/>
  <c r="I6280"/>
  <c r="K6280"/>
  <c r="N6280"/>
  <c r="W6280"/>
  <c r="H6281"/>
  <c r="I6281"/>
  <c r="K6281"/>
  <c r="N6281"/>
  <c r="W6281"/>
  <c r="H6282"/>
  <c r="I6282"/>
  <c r="K6282"/>
  <c r="N6282"/>
  <c r="W6282"/>
  <c r="H6283"/>
  <c r="I6283"/>
  <c r="K6283"/>
  <c r="N6283"/>
  <c r="W6283"/>
  <c r="H6284"/>
  <c r="I6284"/>
  <c r="K6284"/>
  <c r="N6284"/>
  <c r="W6284"/>
  <c r="H6285"/>
  <c r="I6285"/>
  <c r="K6285"/>
  <c r="N6285"/>
  <c r="W6285"/>
  <c r="H6286"/>
  <c r="I6286"/>
  <c r="K6286"/>
  <c r="N6286"/>
  <c r="W6286"/>
  <c r="H6287"/>
  <c r="I6287"/>
  <c r="K6287"/>
  <c r="N6287"/>
  <c r="W6287"/>
  <c r="H6288"/>
  <c r="I6288"/>
  <c r="K6288"/>
  <c r="N6288"/>
  <c r="W6288"/>
  <c r="H6289"/>
  <c r="I6289"/>
  <c r="K6289"/>
  <c r="N6289"/>
  <c r="W6289"/>
  <c r="H6290"/>
  <c r="I6290"/>
  <c r="K6290"/>
  <c r="N6290"/>
  <c r="W6290"/>
  <c r="H6291"/>
  <c r="I6291"/>
  <c r="K6291"/>
  <c r="N6291"/>
  <c r="W6291"/>
  <c r="H6292"/>
  <c r="I6292"/>
  <c r="K6292"/>
  <c r="N6292"/>
  <c r="W6292"/>
  <c r="H6293"/>
  <c r="I6293"/>
  <c r="K6293"/>
  <c r="N6293"/>
  <c r="W6293"/>
  <c r="H6294"/>
  <c r="I6294"/>
  <c r="K6294"/>
  <c r="N6294"/>
  <c r="W6294"/>
  <c r="H6295"/>
  <c r="I6295"/>
  <c r="K6295"/>
  <c r="N6295"/>
  <c r="W6295"/>
  <c r="H6296"/>
  <c r="I6296"/>
  <c r="K6296"/>
  <c r="N6296"/>
  <c r="W6296"/>
  <c r="H6297"/>
  <c r="I6297"/>
  <c r="K6297"/>
  <c r="N6297"/>
  <c r="W6297"/>
  <c r="H6298"/>
  <c r="I6298"/>
  <c r="K6298"/>
  <c r="N6298"/>
  <c r="W6298"/>
  <c r="H6299"/>
  <c r="I6299"/>
  <c r="K6299"/>
  <c r="N6299"/>
  <c r="W6299"/>
  <c r="H6300"/>
  <c r="I6300"/>
  <c r="K6300"/>
  <c r="N6300"/>
  <c r="W6300"/>
  <c r="H6301"/>
  <c r="I6301"/>
  <c r="K6301"/>
  <c r="N6301"/>
  <c r="W6301"/>
  <c r="H6302"/>
  <c r="I6302"/>
  <c r="K6302"/>
  <c r="N6302"/>
  <c r="W6302"/>
  <c r="H6303"/>
  <c r="I6303"/>
  <c r="K6303"/>
  <c r="N6303"/>
  <c r="W6303"/>
  <c r="H6304"/>
  <c r="I6304"/>
  <c r="K6304"/>
  <c r="N6304"/>
  <c r="W6304"/>
  <c r="H6305"/>
  <c r="I6305"/>
  <c r="K6305"/>
  <c r="N6305"/>
  <c r="W6305"/>
  <c r="H6306"/>
  <c r="I6306"/>
  <c r="K6306"/>
  <c r="N6306"/>
  <c r="W6306"/>
  <c r="H6307"/>
  <c r="I6307"/>
  <c r="K6307"/>
  <c r="N6307"/>
  <c r="W6307"/>
  <c r="H6308"/>
  <c r="I6308"/>
  <c r="K6308"/>
  <c r="N6308"/>
  <c r="W6308"/>
  <c r="H6309"/>
  <c r="I6309"/>
  <c r="K6309"/>
  <c r="N6309"/>
  <c r="W6309"/>
  <c r="H6310"/>
  <c r="I6310"/>
  <c r="K6310"/>
  <c r="N6310"/>
  <c r="W6310"/>
  <c r="H6311"/>
  <c r="I6311"/>
  <c r="K6311"/>
  <c r="N6311"/>
  <c r="W6311"/>
  <c r="H6312"/>
  <c r="I6312"/>
  <c r="K6312"/>
  <c r="N6312"/>
  <c r="W6312"/>
  <c r="H6313"/>
  <c r="I6313"/>
  <c r="K6313"/>
  <c r="N6313"/>
  <c r="W6313"/>
  <c r="H6314"/>
  <c r="I6314"/>
  <c r="K6314"/>
  <c r="N6314"/>
  <c r="W6314"/>
  <c r="H6315"/>
  <c r="I6315"/>
  <c r="K6315"/>
  <c r="N6315"/>
  <c r="W6315"/>
  <c r="H6316"/>
  <c r="I6316"/>
  <c r="K6316"/>
  <c r="N6316"/>
  <c r="W6316"/>
  <c r="H6317"/>
  <c r="I6317"/>
  <c r="K6317"/>
  <c r="N6317"/>
  <c r="W6317"/>
  <c r="H6318"/>
  <c r="I6318"/>
  <c r="K6318"/>
  <c r="N6318"/>
  <c r="W6318"/>
  <c r="H6319"/>
  <c r="I6319"/>
  <c r="K6319"/>
  <c r="N6319"/>
  <c r="W6319"/>
  <c r="H6320"/>
  <c r="I6320"/>
  <c r="K6320"/>
  <c r="N6320"/>
  <c r="W6320"/>
  <c r="H6321"/>
  <c r="I6321"/>
  <c r="K6321"/>
  <c r="N6321"/>
  <c r="W6321"/>
  <c r="H6322"/>
  <c r="I6322"/>
  <c r="K6322"/>
  <c r="N6322"/>
  <c r="W6322"/>
  <c r="H6323"/>
  <c r="I6323"/>
  <c r="K6323"/>
  <c r="N6323"/>
  <c r="W6323"/>
  <c r="H6324"/>
  <c r="I6324"/>
  <c r="K6324"/>
  <c r="N6324"/>
  <c r="W6324"/>
  <c r="H6325"/>
  <c r="I6325"/>
  <c r="K6325"/>
  <c r="N6325"/>
  <c r="W6325"/>
  <c r="H6326"/>
  <c r="I6326"/>
  <c r="K6326"/>
  <c r="N6326"/>
  <c r="W6326"/>
  <c r="H6327"/>
  <c r="I6327"/>
  <c r="K6327"/>
  <c r="N6327"/>
  <c r="W6327"/>
  <c r="H6328"/>
  <c r="I6328"/>
  <c r="K6328"/>
  <c r="N6328"/>
  <c r="W6328"/>
  <c r="H6329"/>
  <c r="I6329"/>
  <c r="K6329"/>
  <c r="N6329"/>
  <c r="W6329"/>
  <c r="H6330"/>
  <c r="I6330"/>
  <c r="K6330"/>
  <c r="N6330"/>
  <c r="W6330"/>
  <c r="H6331"/>
  <c r="I6331"/>
  <c r="K6331"/>
  <c r="N6331"/>
  <c r="W6331"/>
  <c r="H6332"/>
  <c r="I6332"/>
  <c r="K6332"/>
  <c r="N6332"/>
  <c r="W6332"/>
  <c r="H6333"/>
  <c r="I6333"/>
  <c r="K6333"/>
  <c r="N6333"/>
  <c r="W6333"/>
  <c r="H6334"/>
  <c r="I6334"/>
  <c r="K6334"/>
  <c r="N6334"/>
  <c r="W6334"/>
  <c r="H6335"/>
  <c r="I6335"/>
  <c r="K6335"/>
  <c r="N6335"/>
  <c r="W6335"/>
  <c r="H6336"/>
  <c r="I6336"/>
  <c r="K6336"/>
  <c r="N6336"/>
  <c r="W6336"/>
  <c r="H6337"/>
  <c r="I6337"/>
  <c r="K6337"/>
  <c r="N6337"/>
  <c r="W6337"/>
  <c r="H6338"/>
  <c r="I6338"/>
  <c r="K6338"/>
  <c r="N6338"/>
  <c r="W6338"/>
  <c r="H6339"/>
  <c r="I6339"/>
  <c r="K6339"/>
  <c r="N6339"/>
  <c r="W6339"/>
  <c r="H6340"/>
  <c r="I6340"/>
  <c r="K6340"/>
  <c r="N6340"/>
  <c r="W6340"/>
  <c r="H6341"/>
  <c r="I6341"/>
  <c r="K6341"/>
  <c r="N6341"/>
  <c r="W6341"/>
  <c r="H6342"/>
  <c r="I6342"/>
  <c r="K6342"/>
  <c r="N6342"/>
  <c r="W6342"/>
  <c r="H6343"/>
  <c r="I6343"/>
  <c r="K6343"/>
  <c r="N6343"/>
  <c r="W6343"/>
  <c r="H6344"/>
  <c r="I6344"/>
  <c r="K6344"/>
  <c r="N6344"/>
  <c r="W6344"/>
  <c r="H6345"/>
  <c r="I6345"/>
  <c r="K6345"/>
  <c r="N6345"/>
  <c r="W6345"/>
  <c r="H6346"/>
  <c r="I6346"/>
  <c r="K6346"/>
  <c r="N6346"/>
  <c r="W6346"/>
  <c r="H6347"/>
  <c r="I6347"/>
  <c r="K6347"/>
  <c r="N6347"/>
  <c r="W6347"/>
  <c r="H6348"/>
  <c r="I6348"/>
  <c r="K6348"/>
  <c r="N6348"/>
  <c r="W6348"/>
  <c r="H6349"/>
  <c r="I6349"/>
  <c r="K6349"/>
  <c r="N6349"/>
  <c r="W6349"/>
  <c r="H6350"/>
  <c r="I6350"/>
  <c r="K6350"/>
  <c r="N6350"/>
  <c r="W6350"/>
  <c r="H6351"/>
  <c r="I6351"/>
  <c r="K6351"/>
  <c r="N6351"/>
  <c r="W6351"/>
  <c r="H6352"/>
  <c r="I6352"/>
  <c r="K6352"/>
  <c r="N6352"/>
  <c r="W6352"/>
  <c r="H6353"/>
  <c r="I6353"/>
  <c r="K6353"/>
  <c r="N6353"/>
  <c r="W6353"/>
  <c r="H6354"/>
  <c r="I6354"/>
  <c r="K6354"/>
  <c r="N6354"/>
  <c r="W6354"/>
  <c r="H6355"/>
  <c r="I6355"/>
  <c r="K6355"/>
  <c r="N6355"/>
  <c r="W6355"/>
  <c r="H6356"/>
  <c r="I6356"/>
  <c r="K6356"/>
  <c r="N6356"/>
  <c r="W6356"/>
  <c r="H6357"/>
  <c r="I6357"/>
  <c r="K6357"/>
  <c r="N6357"/>
  <c r="W6357"/>
  <c r="H6358"/>
  <c r="I6358"/>
  <c r="K6358"/>
  <c r="N6358"/>
  <c r="W6358"/>
  <c r="H6359"/>
  <c r="I6359"/>
  <c r="K6359"/>
  <c r="N6359"/>
  <c r="W6359"/>
  <c r="H6360"/>
  <c r="I6360"/>
  <c r="K6360"/>
  <c r="N6360"/>
  <c r="W6360"/>
  <c r="H6361"/>
  <c r="I6361"/>
  <c r="K6361"/>
  <c r="N6361"/>
  <c r="W6361"/>
  <c r="H6362"/>
  <c r="I6362"/>
  <c r="K6362"/>
  <c r="N6362"/>
  <c r="W6362"/>
  <c r="H6363"/>
  <c r="I6363"/>
  <c r="K6363"/>
  <c r="N6363"/>
  <c r="W6363"/>
  <c r="H6364"/>
  <c r="I6364"/>
  <c r="K6364"/>
  <c r="N6364"/>
  <c r="W6364"/>
  <c r="H6365"/>
  <c r="I6365"/>
  <c r="K6365"/>
  <c r="N6365"/>
  <c r="W6365"/>
  <c r="H6366"/>
  <c r="I6366"/>
  <c r="K6366"/>
  <c r="N6366"/>
  <c r="W6366"/>
  <c r="H6367"/>
  <c r="I6367"/>
  <c r="K6367"/>
  <c r="N6367"/>
  <c r="W6367"/>
  <c r="H6368"/>
  <c r="I6368"/>
  <c r="K6368"/>
  <c r="N6368"/>
  <c r="W6368"/>
  <c r="H6369"/>
  <c r="I6369"/>
  <c r="K6369"/>
  <c r="N6369"/>
  <c r="W6369"/>
  <c r="H6370"/>
  <c r="I6370"/>
  <c r="K6370"/>
  <c r="N6370"/>
  <c r="W6370"/>
  <c r="H6371"/>
  <c r="I6371"/>
  <c r="K6371"/>
  <c r="N6371"/>
  <c r="W6371"/>
  <c r="H6372"/>
  <c r="I6372"/>
  <c r="K6372"/>
  <c r="N6372"/>
  <c r="W6372"/>
  <c r="H6373"/>
  <c r="I6373"/>
  <c r="K6373"/>
  <c r="N6373"/>
  <c r="W6373"/>
  <c r="H6374"/>
  <c r="I6374"/>
  <c r="K6374"/>
  <c r="N6374"/>
  <c r="W6374"/>
  <c r="H6375"/>
  <c r="I6375"/>
  <c r="K6375"/>
  <c r="N6375"/>
  <c r="W6375"/>
  <c r="H6376"/>
  <c r="I6376"/>
  <c r="K6376"/>
  <c r="N6376"/>
  <c r="W6376"/>
  <c r="H6377"/>
  <c r="I6377"/>
  <c r="K6377"/>
  <c r="N6377"/>
  <c r="W6377"/>
  <c r="H6378"/>
  <c r="I6378"/>
  <c r="K6378"/>
  <c r="N6378"/>
  <c r="W6378"/>
  <c r="H6379"/>
  <c r="I6379"/>
  <c r="K6379"/>
  <c r="N6379"/>
  <c r="W6379"/>
  <c r="H6380"/>
  <c r="I6380"/>
  <c r="K6380"/>
  <c r="N6380"/>
  <c r="W6380"/>
  <c r="H6381"/>
  <c r="I6381"/>
  <c r="K6381"/>
  <c r="N6381"/>
  <c r="W6381"/>
  <c r="H6382"/>
  <c r="I6382"/>
  <c r="K6382"/>
  <c r="N6382"/>
  <c r="W6382"/>
  <c r="H6383"/>
  <c r="I6383"/>
  <c r="K6383"/>
  <c r="N6383"/>
  <c r="W6383"/>
  <c r="H6384"/>
  <c r="I6384"/>
  <c r="K6384"/>
  <c r="N6384"/>
  <c r="W6384"/>
  <c r="H6385"/>
  <c r="I6385"/>
  <c r="K6385"/>
  <c r="N6385"/>
  <c r="W6385"/>
  <c r="H6386"/>
  <c r="I6386"/>
  <c r="K6386"/>
  <c r="N6386"/>
  <c r="W6386"/>
  <c r="H6387"/>
  <c r="I6387"/>
  <c r="K6387"/>
  <c r="N6387"/>
  <c r="W6387"/>
  <c r="H6388"/>
  <c r="I6388"/>
  <c r="K6388"/>
  <c r="N6388"/>
  <c r="W6388"/>
  <c r="H6389"/>
  <c r="I6389"/>
  <c r="K6389"/>
  <c r="N6389"/>
  <c r="W6389"/>
  <c r="H6390"/>
  <c r="I6390"/>
  <c r="K6390"/>
  <c r="N6390"/>
  <c r="W6390"/>
  <c r="H6391"/>
  <c r="I6391"/>
  <c r="K6391"/>
  <c r="N6391"/>
  <c r="W6391"/>
  <c r="H6392"/>
  <c r="I6392"/>
  <c r="K6392"/>
  <c r="N6392"/>
  <c r="W6392"/>
  <c r="H6393"/>
  <c r="I6393"/>
  <c r="K6393"/>
  <c r="N6393"/>
  <c r="W6393"/>
  <c r="H6394"/>
  <c r="I6394"/>
  <c r="K6394"/>
  <c r="N6394"/>
  <c r="W6394"/>
  <c r="H6395"/>
  <c r="I6395"/>
  <c r="K6395"/>
  <c r="N6395"/>
  <c r="W6395"/>
  <c r="H6396"/>
  <c r="I6396"/>
  <c r="K6396"/>
  <c r="N6396"/>
  <c r="W6396"/>
  <c r="H6397"/>
  <c r="I6397"/>
  <c r="K6397"/>
  <c r="N6397"/>
  <c r="W6397"/>
  <c r="H6398"/>
  <c r="I6398"/>
  <c r="K6398"/>
  <c r="N6398"/>
  <c r="W6398"/>
  <c r="H6399"/>
  <c r="I6399"/>
  <c r="K6399"/>
  <c r="N6399"/>
  <c r="W6399"/>
  <c r="H6400"/>
  <c r="I6400"/>
  <c r="K6400"/>
  <c r="N6400"/>
  <c r="W6400"/>
  <c r="H6401"/>
  <c r="I6401"/>
  <c r="K6401"/>
  <c r="N6401"/>
  <c r="W6401"/>
  <c r="H6402"/>
  <c r="I6402"/>
  <c r="K6402"/>
  <c r="N6402"/>
  <c r="W6402"/>
  <c r="H6403"/>
  <c r="I6403"/>
  <c r="K6403"/>
  <c r="N6403"/>
  <c r="W6403"/>
  <c r="H6404"/>
  <c r="I6404"/>
  <c r="K6404"/>
  <c r="N6404"/>
  <c r="W6404"/>
  <c r="H6405"/>
  <c r="I6405"/>
  <c r="K6405"/>
  <c r="N6405"/>
  <c r="W6405"/>
  <c r="H6406"/>
  <c r="I6406"/>
  <c r="K6406"/>
  <c r="N6406"/>
  <c r="W6406"/>
  <c r="H6407"/>
  <c r="I6407"/>
  <c r="K6407"/>
  <c r="N6407"/>
  <c r="W6407"/>
  <c r="H6408"/>
  <c r="I6408"/>
  <c r="K6408"/>
  <c r="N6408"/>
  <c r="W6408"/>
  <c r="H6409"/>
  <c r="I6409"/>
  <c r="K6409"/>
  <c r="N6409"/>
  <c r="W6409"/>
  <c r="H6410"/>
  <c r="I6410"/>
  <c r="K6410"/>
  <c r="N6410"/>
  <c r="W6410"/>
  <c r="H6411"/>
  <c r="I6411"/>
  <c r="K6411"/>
  <c r="N6411"/>
  <c r="W6411"/>
  <c r="H6412"/>
  <c r="I6412"/>
  <c r="K6412"/>
  <c r="N6412"/>
  <c r="W6412"/>
  <c r="H6413"/>
  <c r="I6413"/>
  <c r="K6413"/>
  <c r="N6413"/>
  <c r="W6413"/>
  <c r="H6414"/>
  <c r="I6414"/>
  <c r="K6414"/>
  <c r="N6414"/>
  <c r="W6414"/>
  <c r="H6415"/>
  <c r="I6415"/>
  <c r="K6415"/>
  <c r="N6415"/>
  <c r="W6415"/>
  <c r="H6416"/>
  <c r="I6416"/>
  <c r="K6416"/>
  <c r="N6416"/>
  <c r="W6416"/>
  <c r="H6417"/>
  <c r="I6417"/>
  <c r="K6417"/>
  <c r="N6417"/>
  <c r="W6417"/>
  <c r="H6418"/>
  <c r="I6418"/>
  <c r="K6418"/>
  <c r="N6418"/>
  <c r="W6418"/>
  <c r="H6419"/>
  <c r="I6419"/>
  <c r="K6419"/>
  <c r="N6419"/>
  <c r="W6419"/>
  <c r="H6420"/>
  <c r="I6420"/>
  <c r="K6420"/>
  <c r="N6420"/>
  <c r="W6420"/>
  <c r="H6421"/>
  <c r="I6421"/>
  <c r="K6421"/>
  <c r="N6421"/>
  <c r="W6421"/>
  <c r="H6422"/>
  <c r="I6422"/>
  <c r="K6422"/>
  <c r="N6422"/>
  <c r="W6422"/>
  <c r="H6423"/>
  <c r="I6423"/>
  <c r="K6423"/>
  <c r="N6423"/>
  <c r="W6423"/>
  <c r="H6424"/>
  <c r="I6424"/>
  <c r="K6424"/>
  <c r="N6424"/>
  <c r="W6424"/>
  <c r="H6425"/>
  <c r="I6425"/>
  <c r="K6425"/>
  <c r="N6425"/>
  <c r="W6425"/>
  <c r="H6426"/>
  <c r="I6426"/>
  <c r="K6426"/>
  <c r="N6426"/>
  <c r="W6426"/>
  <c r="H6427"/>
  <c r="I6427"/>
  <c r="K6427"/>
  <c r="N6427"/>
  <c r="W6427"/>
  <c r="H6428"/>
  <c r="I6428"/>
  <c r="K6428"/>
  <c r="N6428"/>
  <c r="W6428"/>
  <c r="H6429"/>
  <c r="I6429"/>
  <c r="K6429"/>
  <c r="N6429"/>
  <c r="W6429"/>
  <c r="H6430"/>
  <c r="I6430"/>
  <c r="K6430"/>
  <c r="N6430"/>
  <c r="W6430"/>
  <c r="H6431"/>
  <c r="I6431"/>
  <c r="K6431"/>
  <c r="N6431"/>
  <c r="W6431"/>
  <c r="H6432"/>
  <c r="I6432"/>
  <c r="K6432"/>
  <c r="N6432"/>
  <c r="W6432"/>
  <c r="H6433"/>
  <c r="I6433"/>
  <c r="K6433"/>
  <c r="N6433"/>
  <c r="W6433"/>
  <c r="H6434"/>
  <c r="I6434"/>
  <c r="K6434"/>
  <c r="N6434"/>
  <c r="W6434"/>
  <c r="H6435"/>
  <c r="I6435"/>
  <c r="K6435"/>
  <c r="N6435"/>
  <c r="W6435"/>
  <c r="H6436"/>
  <c r="I6436"/>
  <c r="K6436"/>
  <c r="N6436"/>
  <c r="W6436"/>
  <c r="H6437"/>
  <c r="I6437"/>
  <c r="K6437"/>
  <c r="N6437"/>
  <c r="W6437"/>
  <c r="H6438"/>
  <c r="I6438"/>
  <c r="K6438"/>
  <c r="N6438"/>
  <c r="W6438"/>
  <c r="H6439"/>
  <c r="I6439"/>
  <c r="K6439"/>
  <c r="N6439"/>
  <c r="W6439"/>
  <c r="H6440"/>
  <c r="I6440"/>
  <c r="K6440"/>
  <c r="N6440"/>
  <c r="W6440"/>
  <c r="H6441"/>
  <c r="I6441"/>
  <c r="K6441"/>
  <c r="N6441"/>
  <c r="W6441"/>
  <c r="H6442"/>
  <c r="I6442"/>
  <c r="K6442"/>
  <c r="N6442"/>
  <c r="W6442"/>
  <c r="H6443"/>
  <c r="I6443"/>
  <c r="K6443"/>
  <c r="N6443"/>
  <c r="W6443"/>
  <c r="H6444"/>
  <c r="I6444"/>
  <c r="K6444"/>
  <c r="N6444"/>
  <c r="W6444"/>
  <c r="H6445"/>
  <c r="I6445"/>
  <c r="K6445"/>
  <c r="N6445"/>
  <c r="W6445"/>
  <c r="H6446"/>
  <c r="I6446"/>
  <c r="K6446"/>
  <c r="N6446"/>
  <c r="W6446"/>
  <c r="H6447"/>
  <c r="I6447"/>
  <c r="K6447"/>
  <c r="N6447"/>
  <c r="W6447"/>
  <c r="H6448"/>
  <c r="I6448"/>
  <c r="K6448"/>
  <c r="N6448"/>
  <c r="W6448"/>
  <c r="H6449"/>
  <c r="I6449"/>
  <c r="K6449"/>
  <c r="N6449"/>
  <c r="W6449"/>
  <c r="H6450"/>
  <c r="I6450"/>
  <c r="K6450"/>
  <c r="N6450"/>
  <c r="W6450"/>
  <c r="H6451"/>
  <c r="I6451"/>
  <c r="K6451"/>
  <c r="N6451"/>
  <c r="W6451"/>
  <c r="H6452"/>
  <c r="I6452"/>
  <c r="K6452"/>
  <c r="N6452"/>
  <c r="W6452"/>
  <c r="H6453"/>
  <c r="I6453"/>
  <c r="K6453"/>
  <c r="N6453"/>
  <c r="W6453"/>
  <c r="H6454"/>
  <c r="I6454"/>
  <c r="K6454"/>
  <c r="N6454"/>
  <c r="W6454"/>
  <c r="H6455"/>
  <c r="I6455"/>
  <c r="K6455"/>
  <c r="N6455"/>
  <c r="W6455"/>
  <c r="H6456"/>
  <c r="I6456"/>
  <c r="K6456"/>
  <c r="N6456"/>
  <c r="W6456"/>
  <c r="H6457"/>
  <c r="I6457"/>
  <c r="K6457"/>
  <c r="N6457"/>
  <c r="W6457"/>
  <c r="H6458"/>
  <c r="I6458"/>
  <c r="K6458"/>
  <c r="N6458"/>
  <c r="W6458"/>
  <c r="H6459"/>
  <c r="I6459"/>
  <c r="K6459"/>
  <c r="N6459"/>
  <c r="W6459"/>
  <c r="H6460"/>
  <c r="I6460"/>
  <c r="K6460"/>
  <c r="N6460"/>
  <c r="W6460"/>
  <c r="H6461"/>
  <c r="I6461"/>
  <c r="K6461"/>
  <c r="N6461"/>
  <c r="W6461"/>
  <c r="H6462"/>
  <c r="I6462"/>
  <c r="K6462"/>
  <c r="N6462"/>
  <c r="W6462"/>
  <c r="H6463"/>
  <c r="I6463"/>
  <c r="K6463"/>
  <c r="N6463"/>
  <c r="W6463"/>
  <c r="H6464"/>
  <c r="I6464"/>
  <c r="K6464"/>
  <c r="N6464"/>
  <c r="W6464"/>
  <c r="H6465"/>
  <c r="I6465"/>
  <c r="K6465"/>
  <c r="N6465"/>
  <c r="W6465"/>
  <c r="H6466"/>
  <c r="I6466"/>
  <c r="K6466"/>
  <c r="N6466"/>
  <c r="W6466"/>
  <c r="H6467"/>
  <c r="I6467"/>
  <c r="K6467"/>
  <c r="N6467"/>
  <c r="W6467"/>
  <c r="H6468"/>
  <c r="I6468"/>
  <c r="K6468"/>
  <c r="N6468"/>
  <c r="W6468"/>
  <c r="H6469"/>
  <c r="I6469"/>
  <c r="K6469"/>
  <c r="N6469"/>
  <c r="W6469"/>
  <c r="H6470"/>
  <c r="I6470"/>
  <c r="K6470"/>
  <c r="N6470"/>
  <c r="W6470"/>
  <c r="H6471"/>
  <c r="I6471"/>
  <c r="K6471"/>
  <c r="N6471"/>
  <c r="W6471"/>
  <c r="H6472"/>
  <c r="I6472"/>
  <c r="K6472"/>
  <c r="N6472"/>
  <c r="W6472"/>
  <c r="H6473"/>
  <c r="I6473"/>
  <c r="K6473"/>
  <c r="N6473"/>
  <c r="W6473"/>
  <c r="H6474"/>
  <c r="I6474"/>
  <c r="K6474"/>
  <c r="N6474"/>
  <c r="W6474"/>
  <c r="H6475"/>
  <c r="I6475"/>
  <c r="K6475"/>
  <c r="N6475"/>
  <c r="W6475"/>
  <c r="H6476"/>
  <c r="I6476"/>
  <c r="K6476"/>
  <c r="N6476"/>
  <c r="W6476"/>
  <c r="H6477"/>
  <c r="I6477"/>
  <c r="K6477"/>
  <c r="N6477"/>
  <c r="W6477"/>
  <c r="H6478"/>
  <c r="I6478"/>
  <c r="K6478"/>
  <c r="N6478"/>
  <c r="W6478"/>
  <c r="H6479"/>
  <c r="I6479"/>
  <c r="K6479"/>
  <c r="N6479"/>
  <c r="W6479"/>
  <c r="H6480"/>
  <c r="I6480"/>
  <c r="K6480"/>
  <c r="N6480"/>
  <c r="W6480"/>
  <c r="H6481"/>
  <c r="I6481"/>
  <c r="K6481"/>
  <c r="N6481"/>
  <c r="W6481"/>
  <c r="H6482"/>
  <c r="I6482"/>
  <c r="K6482"/>
  <c r="N6482"/>
  <c r="W6482"/>
  <c r="H6483"/>
  <c r="I6483"/>
  <c r="K6483"/>
  <c r="N6483"/>
  <c r="W6483"/>
  <c r="H6484"/>
  <c r="I6484"/>
  <c r="K6484"/>
  <c r="N6484"/>
  <c r="W6484"/>
  <c r="H6485"/>
  <c r="I6485"/>
  <c r="K6485"/>
  <c r="N6485"/>
  <c r="W6485"/>
  <c r="H6486"/>
  <c r="I6486"/>
  <c r="K6486"/>
  <c r="N6486"/>
  <c r="W6486"/>
  <c r="H6487"/>
  <c r="I6487"/>
  <c r="K6487"/>
  <c r="N6487"/>
  <c r="W6487"/>
  <c r="H6488"/>
  <c r="I6488"/>
  <c r="K6488"/>
  <c r="N6488"/>
  <c r="W6488"/>
  <c r="H6489"/>
  <c r="I6489"/>
  <c r="K6489"/>
  <c r="N6489"/>
  <c r="W6489"/>
  <c r="H6490"/>
  <c r="I6490"/>
  <c r="K6490"/>
  <c r="N6490"/>
  <c r="W6490"/>
  <c r="H6491"/>
  <c r="I6491"/>
  <c r="K6491"/>
  <c r="N6491"/>
  <c r="W6491"/>
  <c r="H6492"/>
  <c r="I6492"/>
  <c r="K6492"/>
  <c r="N6492"/>
  <c r="W6492"/>
  <c r="H6493"/>
  <c r="I6493"/>
  <c r="K6493"/>
  <c r="N6493"/>
  <c r="W6493"/>
  <c r="H6494"/>
  <c r="I6494"/>
  <c r="K6494"/>
  <c r="N6494"/>
  <c r="W6494"/>
  <c r="H6495"/>
  <c r="I6495"/>
  <c r="K6495"/>
  <c r="N6495"/>
  <c r="W6495"/>
  <c r="H6496"/>
  <c r="I6496"/>
  <c r="K6496"/>
  <c r="N6496"/>
  <c r="W6496"/>
  <c r="H6497"/>
  <c r="I6497"/>
  <c r="K6497"/>
  <c r="N6497"/>
  <c r="W6497"/>
  <c r="H6498"/>
  <c r="I6498"/>
  <c r="K6498"/>
  <c r="N6498"/>
  <c r="W6498"/>
  <c r="H6499"/>
  <c r="I6499"/>
  <c r="K6499"/>
  <c r="N6499"/>
  <c r="W6499"/>
  <c r="H6500"/>
  <c r="I6500"/>
  <c r="K6500"/>
  <c r="N6500"/>
  <c r="W6500"/>
  <c r="H6501"/>
  <c r="I6501"/>
  <c r="K6501"/>
  <c r="N6501"/>
  <c r="W6501"/>
  <c r="H6502"/>
  <c r="I6502"/>
  <c r="K6502"/>
  <c r="N6502"/>
  <c r="W6502"/>
  <c r="H6503"/>
  <c r="I6503"/>
  <c r="K6503"/>
  <c r="N6503"/>
  <c r="W6503"/>
  <c r="H6504"/>
  <c r="I6504"/>
  <c r="K6504"/>
  <c r="N6504"/>
  <c r="W6504"/>
  <c r="H6505"/>
  <c r="I6505"/>
  <c r="K6505"/>
  <c r="N6505"/>
  <c r="W6505"/>
  <c r="H6506"/>
  <c r="I6506"/>
  <c r="K6506"/>
  <c r="N6506"/>
  <c r="W6506"/>
  <c r="H6507"/>
  <c r="I6507"/>
  <c r="K6507"/>
  <c r="N6507"/>
  <c r="W6507"/>
  <c r="H6508"/>
  <c r="I6508"/>
  <c r="K6508"/>
  <c r="N6508"/>
  <c r="W6508"/>
  <c r="H6509"/>
  <c r="I6509"/>
  <c r="K6509"/>
  <c r="N6509"/>
  <c r="W6509"/>
  <c r="H6510"/>
  <c r="I6510"/>
  <c r="K6510"/>
  <c r="N6510"/>
  <c r="W6510"/>
  <c r="H6511"/>
  <c r="I6511"/>
  <c r="K6511"/>
  <c r="N6511"/>
  <c r="W6511"/>
  <c r="H6512"/>
  <c r="I6512"/>
  <c r="K6512"/>
  <c r="N6512"/>
  <c r="W6512"/>
  <c r="H6513"/>
  <c r="I6513"/>
  <c r="K6513"/>
  <c r="N6513"/>
  <c r="W6513"/>
  <c r="H6514"/>
  <c r="I6514"/>
  <c r="K6514"/>
  <c r="N6514"/>
  <c r="W6514"/>
  <c r="H6515"/>
  <c r="I6515"/>
  <c r="K6515"/>
  <c r="N6515"/>
  <c r="W6515"/>
  <c r="H6516"/>
  <c r="I6516"/>
  <c r="K6516"/>
  <c r="N6516"/>
  <c r="W6516"/>
  <c r="H6517"/>
  <c r="I6517"/>
  <c r="K6517"/>
  <c r="N6517"/>
  <c r="W6517"/>
  <c r="H6518"/>
  <c r="I6518"/>
  <c r="K6518"/>
  <c r="N6518"/>
  <c r="W6518"/>
  <c r="H6519"/>
  <c r="I6519"/>
  <c r="K6519"/>
  <c r="N6519"/>
  <c r="W6519"/>
  <c r="H6520"/>
  <c r="I6520"/>
  <c r="K6520"/>
  <c r="N6520"/>
  <c r="W6520"/>
  <c r="H6521"/>
  <c r="I6521"/>
  <c r="K6521"/>
  <c r="N6521"/>
  <c r="W6521"/>
  <c r="H6522"/>
  <c r="I6522"/>
  <c r="K6522"/>
  <c r="N6522"/>
  <c r="W6522"/>
  <c r="H6523"/>
  <c r="I6523"/>
  <c r="K6523"/>
  <c r="N6523"/>
  <c r="W6523"/>
  <c r="H6524"/>
  <c r="I6524"/>
  <c r="K6524"/>
  <c r="N6524"/>
  <c r="W6524"/>
  <c r="H6525"/>
  <c r="I6525"/>
  <c r="K6525"/>
  <c r="N6525"/>
  <c r="W6525"/>
  <c r="H6526"/>
  <c r="I6526"/>
  <c r="K6526"/>
  <c r="N6526"/>
  <c r="W6526"/>
  <c r="H6527"/>
  <c r="I6527"/>
  <c r="K6527"/>
  <c r="N6527"/>
  <c r="W6527"/>
  <c r="H6528"/>
  <c r="I6528"/>
  <c r="K6528"/>
  <c r="N6528"/>
  <c r="W6528"/>
  <c r="H6529"/>
  <c r="I6529"/>
  <c r="K6529"/>
  <c r="N6529"/>
  <c r="W6529"/>
  <c r="H6530"/>
  <c r="I6530"/>
  <c r="K6530"/>
  <c r="N6530"/>
  <c r="W6530"/>
  <c r="H6531"/>
  <c r="I6531"/>
  <c r="K6531"/>
  <c r="N6531"/>
  <c r="W6531"/>
  <c r="H6532"/>
  <c r="I6532"/>
  <c r="K6532"/>
  <c r="N6532"/>
  <c r="W6532"/>
  <c r="H6533"/>
  <c r="I6533"/>
  <c r="K6533"/>
  <c r="N6533"/>
  <c r="W6533"/>
  <c r="H6534"/>
  <c r="I6534"/>
  <c r="K6534"/>
  <c r="N6534"/>
  <c r="W6534"/>
  <c r="H6535"/>
  <c r="I6535"/>
  <c r="K6535"/>
  <c r="N6535"/>
  <c r="W6535"/>
  <c r="H6536"/>
  <c r="I6536"/>
  <c r="K6536"/>
  <c r="N6536"/>
  <c r="W6536"/>
  <c r="H6537"/>
  <c r="I6537"/>
  <c r="K6537"/>
  <c r="N6537"/>
  <c r="W6537"/>
  <c r="H6538"/>
  <c r="I6538"/>
  <c r="K6538"/>
  <c r="N6538"/>
  <c r="W6538"/>
  <c r="H6539"/>
  <c r="I6539"/>
  <c r="K6539"/>
  <c r="N6539"/>
  <c r="W6539"/>
  <c r="H6540"/>
  <c r="I6540"/>
  <c r="K6540"/>
  <c r="N6540"/>
  <c r="W6540"/>
  <c r="H6541"/>
  <c r="I6541"/>
  <c r="K6541"/>
  <c r="N6541"/>
  <c r="W6541"/>
  <c r="H6542"/>
  <c r="I6542"/>
  <c r="K6542"/>
  <c r="N6542"/>
  <c r="W6542"/>
  <c r="H6543"/>
  <c r="I6543"/>
  <c r="K6543"/>
  <c r="N6543"/>
  <c r="W6543"/>
  <c r="H6544"/>
  <c r="I6544"/>
  <c r="K6544"/>
  <c r="N6544"/>
  <c r="W6544"/>
  <c r="H6545"/>
  <c r="I6545"/>
  <c r="K6545"/>
  <c r="N6545"/>
  <c r="W6545"/>
  <c r="H6546"/>
  <c r="I6546"/>
  <c r="K6546"/>
  <c r="N6546"/>
  <c r="W6546"/>
  <c r="H6547"/>
  <c r="I6547"/>
  <c r="K6547"/>
  <c r="N6547"/>
  <c r="W6547"/>
  <c r="H6548"/>
  <c r="I6548"/>
  <c r="K6548"/>
  <c r="N6548"/>
  <c r="W6548"/>
  <c r="H6549"/>
  <c r="I6549"/>
  <c r="K6549"/>
  <c r="N6549"/>
  <c r="W6549"/>
  <c r="H6550"/>
  <c r="I6550"/>
  <c r="K6550"/>
  <c r="N6550"/>
  <c r="W6550"/>
  <c r="H6551"/>
  <c r="I6551"/>
  <c r="K6551"/>
  <c r="N6551"/>
  <c r="W6551"/>
  <c r="H6552"/>
  <c r="I6552"/>
  <c r="K6552"/>
  <c r="N6552"/>
  <c r="W6552"/>
  <c r="H6553"/>
  <c r="I6553"/>
  <c r="K6553"/>
  <c r="N6553"/>
  <c r="W6553"/>
  <c r="H6554"/>
  <c r="I6554"/>
  <c r="K6554"/>
  <c r="N6554"/>
  <c r="W6554"/>
  <c r="H6555"/>
  <c r="I6555"/>
  <c r="K6555"/>
  <c r="N6555"/>
  <c r="W6555"/>
  <c r="H6556"/>
  <c r="I6556"/>
  <c r="K6556"/>
  <c r="N6556"/>
  <c r="W6556"/>
  <c r="H6557"/>
  <c r="I6557"/>
  <c r="K6557"/>
  <c r="N6557"/>
  <c r="W6557"/>
  <c r="H6558"/>
  <c r="I6558"/>
  <c r="K6558"/>
  <c r="N6558"/>
  <c r="W6558"/>
  <c r="H6559"/>
  <c r="I6559"/>
  <c r="K6559"/>
  <c r="N6559"/>
  <c r="W6559"/>
  <c r="H6560"/>
  <c r="I6560"/>
  <c r="K6560"/>
  <c r="N6560"/>
  <c r="W6560"/>
  <c r="H6561"/>
  <c r="I6561"/>
  <c r="K6561"/>
  <c r="N6561"/>
  <c r="W6561"/>
  <c r="H6562"/>
  <c r="I6562"/>
  <c r="K6562"/>
  <c r="N6562"/>
  <c r="W6562"/>
  <c r="H6563"/>
  <c r="I6563"/>
  <c r="K6563"/>
  <c r="N6563"/>
  <c r="W6563"/>
  <c r="H6564"/>
  <c r="I6564"/>
  <c r="K6564"/>
  <c r="N6564"/>
  <c r="W6564"/>
  <c r="H6565"/>
  <c r="I6565"/>
  <c r="K6565"/>
  <c r="N6565"/>
  <c r="W6565"/>
  <c r="H6566"/>
  <c r="I6566"/>
  <c r="K6566"/>
  <c r="N6566"/>
  <c r="W6566"/>
  <c r="H6567"/>
  <c r="I6567"/>
  <c r="K6567"/>
  <c r="N6567"/>
  <c r="W6567"/>
  <c r="H6568"/>
  <c r="I6568"/>
  <c r="K6568"/>
  <c r="N6568"/>
  <c r="W6568"/>
  <c r="H6569"/>
  <c r="I6569"/>
  <c r="K6569"/>
  <c r="N6569"/>
  <c r="W6569"/>
  <c r="H6570"/>
  <c r="I6570"/>
  <c r="K6570"/>
  <c r="N6570"/>
  <c r="W6570"/>
  <c r="H6571"/>
  <c r="I6571"/>
  <c r="K6571"/>
  <c r="N6571"/>
  <c r="W6571"/>
  <c r="H6572"/>
  <c r="I6572"/>
  <c r="K6572"/>
  <c r="N6572"/>
  <c r="W6572"/>
  <c r="H6573"/>
  <c r="I6573"/>
  <c r="K6573"/>
  <c r="N6573"/>
  <c r="W6573"/>
  <c r="H6574"/>
  <c r="I6574"/>
  <c r="K6574"/>
  <c r="N6574"/>
  <c r="W6574"/>
  <c r="H6575"/>
  <c r="I6575"/>
  <c r="K6575"/>
  <c r="N6575"/>
  <c r="W6575"/>
  <c r="H6576"/>
  <c r="I6576"/>
  <c r="K6576"/>
  <c r="N6576"/>
  <c r="W6576"/>
  <c r="H6577"/>
  <c r="I6577"/>
  <c r="K6577"/>
  <c r="N6577"/>
  <c r="W6577"/>
  <c r="H6578"/>
  <c r="I6578"/>
  <c r="K6578"/>
  <c r="N6578"/>
  <c r="W6578"/>
  <c r="H6579"/>
  <c r="I6579"/>
  <c r="K6579"/>
  <c r="N6579"/>
  <c r="W6579"/>
  <c r="H6580"/>
  <c r="I6580"/>
  <c r="K6580"/>
  <c r="N6580"/>
  <c r="W6580"/>
  <c r="H6581"/>
  <c r="I6581"/>
  <c r="K6581"/>
  <c r="N6581"/>
  <c r="W6581"/>
  <c r="H6582"/>
  <c r="I6582"/>
  <c r="K6582"/>
  <c r="N6582"/>
  <c r="W6582"/>
  <c r="H6583"/>
  <c r="I6583"/>
  <c r="K6583"/>
  <c r="N6583"/>
  <c r="W6583"/>
  <c r="H6584"/>
  <c r="I6584"/>
  <c r="K6584"/>
  <c r="N6584"/>
  <c r="W6584"/>
  <c r="H6585"/>
  <c r="I6585"/>
  <c r="K6585"/>
  <c r="N6585"/>
  <c r="W6585"/>
  <c r="H6586"/>
  <c r="I6586"/>
  <c r="K6586"/>
  <c r="N6586"/>
  <c r="W6586"/>
  <c r="H6587"/>
  <c r="I6587"/>
  <c r="K6587"/>
  <c r="N6587"/>
  <c r="W6587"/>
  <c r="H6588"/>
  <c r="I6588"/>
  <c r="K6588"/>
  <c r="N6588"/>
  <c r="W6588"/>
  <c r="H6589"/>
  <c r="I6589"/>
  <c r="K6589"/>
  <c r="N6589"/>
  <c r="W6589"/>
  <c r="H6590"/>
  <c r="I6590"/>
  <c r="K6590"/>
  <c r="N6590"/>
  <c r="W6590"/>
  <c r="H6591"/>
  <c r="I6591"/>
  <c r="K6591"/>
  <c r="N6591"/>
  <c r="W6591"/>
  <c r="H6592"/>
  <c r="I6592"/>
  <c r="K6592"/>
  <c r="N6592"/>
  <c r="W6592"/>
  <c r="H6593"/>
  <c r="I6593"/>
  <c r="K6593"/>
  <c r="N6593"/>
  <c r="W6593"/>
  <c r="H6594"/>
  <c r="I6594"/>
  <c r="K6594"/>
  <c r="N6594"/>
  <c r="W6594"/>
  <c r="H6595"/>
  <c r="I6595"/>
  <c r="K6595"/>
  <c r="N6595"/>
  <c r="W6595"/>
  <c r="H6596"/>
  <c r="I6596"/>
  <c r="K6596"/>
  <c r="N6596"/>
  <c r="W6596"/>
  <c r="H6597"/>
  <c r="I6597"/>
  <c r="K6597"/>
  <c r="N6597"/>
  <c r="W6597"/>
  <c r="H6598"/>
  <c r="I6598"/>
  <c r="K6598"/>
  <c r="N6598"/>
  <c r="W6598"/>
  <c r="H6599"/>
  <c r="I6599"/>
  <c r="K6599"/>
  <c r="N6599"/>
  <c r="W6599"/>
  <c r="H6600"/>
  <c r="I6600"/>
  <c r="K6600"/>
  <c r="N6600"/>
  <c r="W6600"/>
  <c r="H6601"/>
  <c r="I6601"/>
  <c r="K6601"/>
  <c r="N6601"/>
  <c r="W6601"/>
  <c r="H6602"/>
  <c r="I6602"/>
  <c r="K6602"/>
  <c r="N6602"/>
  <c r="W6602"/>
  <c r="H6603"/>
  <c r="I6603"/>
  <c r="K6603"/>
  <c r="N6603"/>
  <c r="W6603"/>
  <c r="H6604"/>
  <c r="I6604"/>
  <c r="K6604"/>
  <c r="N6604"/>
  <c r="W6604"/>
  <c r="H6605"/>
  <c r="I6605"/>
  <c r="K6605"/>
  <c r="N6605"/>
  <c r="W6605"/>
  <c r="H6606"/>
  <c r="I6606"/>
  <c r="K6606"/>
  <c r="N6606"/>
  <c r="W6606"/>
  <c r="H6607"/>
  <c r="I6607"/>
  <c r="K6607"/>
  <c r="N6607"/>
  <c r="W6607"/>
  <c r="H6608"/>
  <c r="I6608"/>
  <c r="K6608"/>
  <c r="N6608"/>
  <c r="W6608"/>
  <c r="H6609"/>
  <c r="I6609"/>
  <c r="K6609"/>
  <c r="N6609"/>
  <c r="W6609"/>
  <c r="H6610"/>
  <c r="I6610"/>
  <c r="K6610"/>
  <c r="N6610"/>
  <c r="W6610"/>
  <c r="H6611"/>
  <c r="I6611"/>
  <c r="K6611"/>
  <c r="N6611"/>
  <c r="W6611"/>
  <c r="H6612"/>
  <c r="I6612"/>
  <c r="K6612"/>
  <c r="N6612"/>
  <c r="W6612"/>
  <c r="H6613"/>
  <c r="I6613"/>
  <c r="K6613"/>
  <c r="N6613"/>
  <c r="W6613"/>
  <c r="H6614"/>
  <c r="I6614"/>
  <c r="K6614"/>
  <c r="N6614"/>
  <c r="W6614"/>
  <c r="H6615"/>
  <c r="I6615"/>
  <c r="K6615"/>
  <c r="N6615"/>
  <c r="W6615"/>
  <c r="H6616"/>
  <c r="I6616"/>
  <c r="K6616"/>
  <c r="N6616"/>
  <c r="W6616"/>
  <c r="H6617"/>
  <c r="I6617"/>
  <c r="K6617"/>
  <c r="N6617"/>
  <c r="W6617"/>
  <c r="H6618"/>
  <c r="I6618"/>
  <c r="K6618"/>
  <c r="N6618"/>
  <c r="W6618"/>
  <c r="H6619"/>
  <c r="I6619"/>
  <c r="K6619"/>
  <c r="N6619"/>
  <c r="W6619"/>
  <c r="H6620"/>
  <c r="I6620"/>
  <c r="K6620"/>
  <c r="N6620"/>
  <c r="W6620"/>
  <c r="H6621"/>
  <c r="I6621"/>
  <c r="K6621"/>
  <c r="N6621"/>
  <c r="W6621"/>
  <c r="H6622"/>
  <c r="I6622"/>
  <c r="K6622"/>
  <c r="N6622"/>
  <c r="W6622"/>
  <c r="H6623"/>
  <c r="I6623"/>
  <c r="K6623"/>
  <c r="N6623"/>
  <c r="W6623"/>
  <c r="H6624"/>
  <c r="I6624"/>
  <c r="K6624"/>
  <c r="N6624"/>
  <c r="W6624"/>
  <c r="H6625"/>
  <c r="I6625"/>
  <c r="K6625"/>
  <c r="N6625"/>
  <c r="W6625"/>
  <c r="H6626"/>
  <c r="I6626"/>
  <c r="K6626"/>
  <c r="N6626"/>
  <c r="W6626"/>
  <c r="H6627"/>
  <c r="I6627"/>
  <c r="K6627"/>
  <c r="N6627"/>
  <c r="W6627"/>
  <c r="H6628"/>
  <c r="I6628"/>
  <c r="K6628"/>
  <c r="N6628"/>
  <c r="W6628"/>
  <c r="H6629"/>
  <c r="I6629"/>
  <c r="K6629"/>
  <c r="N6629"/>
  <c r="W6629"/>
  <c r="H6630"/>
  <c r="I6630"/>
  <c r="K6630"/>
  <c r="N6630"/>
  <c r="W6630"/>
  <c r="H6631"/>
  <c r="I6631"/>
  <c r="K6631"/>
  <c r="N6631"/>
  <c r="W6631"/>
  <c r="H6632"/>
  <c r="I6632"/>
  <c r="K6632"/>
  <c r="N6632"/>
  <c r="W6632"/>
  <c r="H6633"/>
  <c r="I6633"/>
  <c r="K6633"/>
  <c r="N6633"/>
  <c r="W6633"/>
  <c r="H6634"/>
  <c r="I6634"/>
  <c r="K6634"/>
  <c r="N6634"/>
  <c r="W6634"/>
  <c r="H6635"/>
  <c r="I6635"/>
  <c r="K6635"/>
  <c r="N6635"/>
  <c r="W6635"/>
  <c r="H6636"/>
  <c r="I6636"/>
  <c r="K6636"/>
  <c r="N6636"/>
  <c r="W6636"/>
  <c r="H6637"/>
  <c r="I6637"/>
  <c r="K6637"/>
  <c r="N6637"/>
  <c r="W6637"/>
  <c r="H6638"/>
  <c r="I6638"/>
  <c r="K6638"/>
  <c r="N6638"/>
  <c r="W6638"/>
  <c r="H6639"/>
  <c r="I6639"/>
  <c r="K6639"/>
  <c r="N6639"/>
  <c r="W6639"/>
  <c r="H6640"/>
  <c r="I6640"/>
  <c r="K6640"/>
  <c r="N6640"/>
  <c r="W6640"/>
  <c r="H6641"/>
  <c r="I6641"/>
  <c r="K6641"/>
  <c r="N6641"/>
  <c r="W6641"/>
  <c r="H6642"/>
  <c r="I6642"/>
  <c r="K6642"/>
  <c r="N6642"/>
  <c r="W6642"/>
  <c r="H6643"/>
  <c r="I6643"/>
  <c r="K6643"/>
  <c r="N6643"/>
  <c r="W6643"/>
  <c r="H6644"/>
  <c r="I6644"/>
  <c r="K6644"/>
  <c r="N6644"/>
  <c r="W6644"/>
  <c r="H6645"/>
  <c r="I6645"/>
  <c r="K6645"/>
  <c r="N6645"/>
  <c r="W6645"/>
  <c r="H6646"/>
  <c r="I6646"/>
  <c r="K6646"/>
  <c r="N6646"/>
  <c r="W6646"/>
  <c r="H6647"/>
  <c r="I6647"/>
  <c r="K6647"/>
  <c r="N6647"/>
  <c r="W6647"/>
  <c r="H6648"/>
  <c r="I6648"/>
  <c r="K6648"/>
  <c r="N6648"/>
  <c r="W6648"/>
  <c r="H6649"/>
  <c r="I6649"/>
  <c r="K6649"/>
  <c r="N6649"/>
  <c r="W6649"/>
  <c r="H6650"/>
  <c r="I6650"/>
  <c r="K6650"/>
  <c r="N6650"/>
  <c r="W6650"/>
  <c r="H6651"/>
  <c r="I6651"/>
  <c r="K6651"/>
  <c r="N6651"/>
  <c r="W6651"/>
  <c r="H6652"/>
  <c r="I6652"/>
  <c r="K6652"/>
  <c r="N6652"/>
  <c r="W6652"/>
  <c r="H6653"/>
  <c r="I6653"/>
  <c r="K6653"/>
  <c r="N6653"/>
  <c r="W6653"/>
  <c r="H6654"/>
  <c r="I6654"/>
  <c r="K6654"/>
  <c r="N6654"/>
  <c r="W6654"/>
  <c r="H6655"/>
  <c r="I6655"/>
  <c r="K6655"/>
  <c r="N6655"/>
  <c r="W6655"/>
  <c r="H6656"/>
  <c r="I6656"/>
  <c r="K6656"/>
  <c r="N6656"/>
  <c r="W6656"/>
  <c r="H6657"/>
  <c r="I6657"/>
  <c r="K6657"/>
  <c r="N6657"/>
  <c r="W6657"/>
  <c r="H6658"/>
  <c r="I6658"/>
  <c r="K6658"/>
  <c r="N6658"/>
  <c r="W6658"/>
  <c r="H6659"/>
  <c r="I6659"/>
  <c r="K6659"/>
  <c r="N6659"/>
  <c r="W6659"/>
  <c r="H6660"/>
  <c r="I6660"/>
  <c r="K6660"/>
  <c r="N6660"/>
  <c r="W6660"/>
  <c r="H6661"/>
  <c r="I6661"/>
  <c r="K6661"/>
  <c r="N6661"/>
  <c r="W6661"/>
  <c r="H6662"/>
  <c r="I6662"/>
  <c r="K6662"/>
  <c r="N6662"/>
  <c r="W6662"/>
  <c r="H6663"/>
  <c r="I6663"/>
  <c r="K6663"/>
  <c r="N6663"/>
  <c r="W6663"/>
  <c r="H6664"/>
  <c r="I6664"/>
  <c r="K6664"/>
  <c r="N6664"/>
  <c r="W6664"/>
  <c r="H6665"/>
  <c r="I6665"/>
  <c r="K6665"/>
  <c r="N6665"/>
  <c r="W6665"/>
  <c r="H6666"/>
  <c r="I6666"/>
  <c r="K6666"/>
  <c r="N6666"/>
  <c r="W6666"/>
  <c r="H6667"/>
  <c r="I6667"/>
  <c r="K6667"/>
  <c r="N6667"/>
  <c r="W6667"/>
  <c r="H6668"/>
  <c r="I6668"/>
  <c r="K6668"/>
  <c r="N6668"/>
  <c r="W6668"/>
  <c r="H6669"/>
  <c r="I6669"/>
  <c r="K6669"/>
  <c r="N6669"/>
  <c r="W6669"/>
  <c r="H6670"/>
  <c r="I6670"/>
  <c r="K6670"/>
  <c r="N6670"/>
  <c r="W6670"/>
  <c r="H6671"/>
  <c r="I6671"/>
  <c r="K6671"/>
  <c r="N6671"/>
  <c r="W6671"/>
  <c r="H6672"/>
  <c r="I6672"/>
  <c r="K6672"/>
  <c r="N6672"/>
  <c r="W6672"/>
  <c r="H6673"/>
  <c r="I6673"/>
  <c r="K6673"/>
  <c r="N6673"/>
  <c r="W6673"/>
  <c r="H6674"/>
  <c r="I6674"/>
  <c r="K6674"/>
  <c r="N6674"/>
  <c r="W6674"/>
  <c r="H6675"/>
  <c r="I6675"/>
  <c r="K6675"/>
  <c r="N6675"/>
  <c r="W6675"/>
  <c r="H6676"/>
  <c r="I6676"/>
  <c r="K6676"/>
  <c r="N6676"/>
  <c r="W6676"/>
  <c r="H6677"/>
  <c r="I6677"/>
  <c r="K6677"/>
  <c r="N6677"/>
  <c r="W6677"/>
  <c r="H6678"/>
  <c r="I6678"/>
  <c r="K6678"/>
  <c r="N6678"/>
  <c r="W6678"/>
  <c r="H6679"/>
  <c r="I6679"/>
  <c r="K6679"/>
  <c r="N6679"/>
  <c r="W6679"/>
  <c r="H6680"/>
  <c r="I6680"/>
  <c r="K6680"/>
  <c r="N6680"/>
  <c r="W6680"/>
  <c r="H6681"/>
  <c r="I6681"/>
  <c r="K6681"/>
  <c r="N6681"/>
  <c r="W6681"/>
  <c r="H6682"/>
  <c r="I6682"/>
  <c r="K6682"/>
  <c r="N6682"/>
  <c r="W6682"/>
  <c r="H6683"/>
  <c r="I6683"/>
  <c r="K6683"/>
  <c r="N6683"/>
  <c r="W6683"/>
  <c r="H6684"/>
  <c r="I6684"/>
  <c r="K6684"/>
  <c r="N6684"/>
  <c r="W6684"/>
  <c r="H6685"/>
  <c r="I6685"/>
  <c r="K6685"/>
  <c r="N6685"/>
  <c r="W6685"/>
  <c r="H6686"/>
  <c r="I6686"/>
  <c r="K6686"/>
  <c r="N6686"/>
  <c r="W6686"/>
  <c r="H6687"/>
  <c r="I6687"/>
  <c r="K6687"/>
  <c r="N6687"/>
  <c r="W6687"/>
  <c r="H6688"/>
  <c r="I6688"/>
  <c r="K6688"/>
  <c r="N6688"/>
  <c r="W6688"/>
  <c r="H6689"/>
  <c r="I6689"/>
  <c r="K6689"/>
  <c r="N6689"/>
  <c r="W6689"/>
  <c r="H6690"/>
  <c r="I6690"/>
  <c r="K6690"/>
  <c r="N6690"/>
  <c r="W6690"/>
  <c r="H6691"/>
  <c r="I6691"/>
  <c r="K6691"/>
  <c r="N6691"/>
  <c r="W6691"/>
  <c r="H6692"/>
  <c r="I6692"/>
  <c r="K6692"/>
  <c r="N6692"/>
  <c r="W6692"/>
  <c r="H6693"/>
  <c r="I6693"/>
  <c r="K6693"/>
  <c r="N6693"/>
  <c r="W6693"/>
  <c r="H6694"/>
  <c r="I6694"/>
  <c r="K6694"/>
  <c r="N6694"/>
  <c r="W6694"/>
  <c r="H6695"/>
  <c r="I6695"/>
  <c r="K6695"/>
  <c r="N6695"/>
  <c r="W6695"/>
  <c r="H6696"/>
  <c r="I6696"/>
  <c r="K6696"/>
  <c r="N6696"/>
  <c r="W6696"/>
  <c r="H6697"/>
  <c r="I6697"/>
  <c r="K6697"/>
  <c r="N6697"/>
  <c r="W6697"/>
  <c r="H6698"/>
  <c r="I6698"/>
  <c r="K6698"/>
  <c r="N6698"/>
  <c r="W6698"/>
  <c r="H6699"/>
  <c r="I6699"/>
  <c r="K6699"/>
  <c r="N6699"/>
  <c r="W6699"/>
  <c r="H6700"/>
  <c r="I6700"/>
  <c r="K6700"/>
  <c r="N6700"/>
  <c r="W6700"/>
  <c r="H6701"/>
  <c r="I6701"/>
  <c r="K6701"/>
  <c r="N6701"/>
  <c r="W6701"/>
  <c r="H6702"/>
  <c r="I6702"/>
  <c r="K6702"/>
  <c r="N6702"/>
  <c r="W6702"/>
  <c r="H6703"/>
  <c r="I6703"/>
  <c r="K6703"/>
  <c r="N6703"/>
  <c r="W6703"/>
  <c r="H6704"/>
  <c r="I6704"/>
  <c r="K6704"/>
  <c r="N6704"/>
  <c r="W6704"/>
  <c r="H6705"/>
  <c r="I6705"/>
  <c r="K6705"/>
  <c r="N6705"/>
  <c r="W6705"/>
  <c r="H6706"/>
  <c r="I6706"/>
  <c r="K6706"/>
  <c r="N6706"/>
  <c r="W6706"/>
  <c r="H6707"/>
  <c r="I6707"/>
  <c r="K6707"/>
  <c r="N6707"/>
  <c r="W6707"/>
  <c r="H6708"/>
  <c r="I6708"/>
  <c r="K6708"/>
  <c r="N6708"/>
  <c r="W6708"/>
  <c r="H6709"/>
  <c r="I6709"/>
  <c r="K6709"/>
  <c r="N6709"/>
  <c r="W6709"/>
  <c r="H6710"/>
  <c r="I6710"/>
  <c r="K6710"/>
  <c r="N6710"/>
  <c r="W6710"/>
  <c r="H6711"/>
  <c r="I6711"/>
  <c r="K6711"/>
  <c r="N6711"/>
  <c r="W6711"/>
  <c r="H6712"/>
  <c r="I6712"/>
  <c r="K6712"/>
  <c r="N6712"/>
  <c r="W6712"/>
  <c r="H6713"/>
  <c r="I6713"/>
  <c r="K6713"/>
  <c r="N6713"/>
  <c r="W6713"/>
  <c r="H6714"/>
  <c r="I6714"/>
  <c r="K6714"/>
  <c r="N6714"/>
  <c r="W6714"/>
  <c r="H6715"/>
  <c r="I6715"/>
  <c r="K6715"/>
  <c r="N6715"/>
  <c r="W6715"/>
  <c r="H6716"/>
  <c r="I6716"/>
  <c r="K6716"/>
  <c r="N6716"/>
  <c r="W6716"/>
  <c r="H6717"/>
  <c r="I6717"/>
  <c r="K6717"/>
  <c r="N6717"/>
  <c r="W6717"/>
  <c r="H6718"/>
  <c r="I6718"/>
  <c r="K6718"/>
  <c r="N6718"/>
  <c r="W6718"/>
  <c r="H6719"/>
  <c r="I6719"/>
  <c r="K6719"/>
  <c r="N6719"/>
  <c r="W6719"/>
  <c r="H6720"/>
  <c r="I6720"/>
  <c r="K6720"/>
  <c r="N6720"/>
  <c r="W6720"/>
  <c r="H6721"/>
  <c r="I6721"/>
  <c r="K6721"/>
  <c r="N6721"/>
  <c r="W6721"/>
  <c r="H6722"/>
  <c r="I6722"/>
  <c r="K6722"/>
  <c r="N6722"/>
  <c r="W6722"/>
  <c r="H6723"/>
  <c r="I6723"/>
  <c r="K6723"/>
  <c r="N6723"/>
  <c r="W6723"/>
  <c r="H6724"/>
  <c r="I6724"/>
  <c r="K6724"/>
  <c r="N6724"/>
  <c r="W6724"/>
  <c r="H6725"/>
  <c r="I6725"/>
  <c r="K6725"/>
  <c r="N6725"/>
  <c r="W6725"/>
  <c r="H6726"/>
  <c r="I6726"/>
  <c r="K6726"/>
  <c r="N6726"/>
  <c r="W6726"/>
  <c r="H6727"/>
  <c r="I6727"/>
  <c r="K6727"/>
  <c r="N6727"/>
  <c r="W6727"/>
  <c r="H6728"/>
  <c r="I6728"/>
  <c r="K6728"/>
  <c r="N6728"/>
  <c r="W6728"/>
  <c r="H6729"/>
  <c r="I6729"/>
  <c r="K6729"/>
  <c r="N6729"/>
  <c r="W6729"/>
  <c r="H6730"/>
  <c r="I6730"/>
  <c r="K6730"/>
  <c r="N6730"/>
  <c r="W6730"/>
  <c r="H6731"/>
  <c r="I6731"/>
  <c r="K6731"/>
  <c r="N6731"/>
  <c r="W6731"/>
  <c r="H6732"/>
  <c r="I6732"/>
  <c r="K6732"/>
  <c r="N6732"/>
  <c r="W6732"/>
  <c r="H6733"/>
  <c r="I6733"/>
  <c r="K6733"/>
  <c r="N6733"/>
  <c r="W6733"/>
  <c r="H6734"/>
  <c r="I6734"/>
  <c r="K6734"/>
  <c r="N6734"/>
  <c r="W6734"/>
  <c r="H6735"/>
  <c r="I6735"/>
  <c r="K6735"/>
  <c r="N6735"/>
  <c r="W6735"/>
  <c r="H6736"/>
  <c r="I6736"/>
  <c r="K6736"/>
  <c r="N6736"/>
  <c r="W6736"/>
  <c r="H6737"/>
  <c r="I6737"/>
  <c r="K6737"/>
  <c r="N6737"/>
  <c r="W6737"/>
  <c r="H6738"/>
  <c r="I6738"/>
  <c r="K6738"/>
  <c r="N6738"/>
  <c r="W6738"/>
  <c r="H6739"/>
  <c r="I6739"/>
  <c r="K6739"/>
  <c r="N6739"/>
  <c r="W6739"/>
  <c r="H6740"/>
  <c r="I6740"/>
  <c r="K6740"/>
  <c r="N6740"/>
  <c r="W6740"/>
  <c r="H6741"/>
  <c r="I6741"/>
  <c r="K6741"/>
  <c r="N6741"/>
  <c r="W6741"/>
  <c r="H6742"/>
  <c r="I6742"/>
  <c r="K6742"/>
  <c r="N6742"/>
  <c r="W6742"/>
  <c r="H6743"/>
  <c r="I6743"/>
  <c r="K6743"/>
  <c r="N6743"/>
  <c r="W6743"/>
  <c r="H6744"/>
  <c r="I6744"/>
  <c r="K6744"/>
  <c r="N6744"/>
  <c r="W6744"/>
  <c r="H6745"/>
  <c r="I6745"/>
  <c r="K6745"/>
  <c r="N6745"/>
  <c r="W6745"/>
  <c r="H6746"/>
  <c r="I6746"/>
  <c r="K6746"/>
  <c r="N6746"/>
  <c r="W6746"/>
  <c r="H6747"/>
  <c r="I6747"/>
  <c r="K6747"/>
  <c r="N6747"/>
  <c r="W6747"/>
  <c r="H6748"/>
  <c r="I6748"/>
  <c r="K6748"/>
  <c r="N6748"/>
  <c r="W6748"/>
  <c r="H6749"/>
  <c r="I6749"/>
  <c r="K6749"/>
  <c r="N6749"/>
  <c r="W6749"/>
  <c r="H6750"/>
  <c r="I6750"/>
  <c r="K6750"/>
  <c r="N6750"/>
  <c r="W6750"/>
  <c r="H6751"/>
  <c r="I6751"/>
  <c r="K6751"/>
  <c r="N6751"/>
  <c r="W6751"/>
  <c r="H6752"/>
  <c r="I6752"/>
  <c r="K6752"/>
  <c r="N6752"/>
  <c r="W6752"/>
  <c r="H6753"/>
  <c r="I6753"/>
  <c r="K6753"/>
  <c r="N6753"/>
  <c r="W6753"/>
  <c r="H6754"/>
  <c r="I6754"/>
  <c r="K6754"/>
  <c r="N6754"/>
  <c r="W6754"/>
  <c r="H6755"/>
  <c r="I6755"/>
  <c r="K6755"/>
  <c r="N6755"/>
  <c r="W6755"/>
  <c r="H6756"/>
  <c r="I6756"/>
  <c r="K6756"/>
  <c r="N6756"/>
  <c r="W6756"/>
  <c r="H6757"/>
  <c r="I6757"/>
  <c r="K6757"/>
  <c r="N6757"/>
  <c r="W6757"/>
  <c r="H6758"/>
  <c r="I6758"/>
  <c r="K6758"/>
  <c r="N6758"/>
  <c r="W6758"/>
  <c r="H6759"/>
  <c r="I6759"/>
  <c r="K6759"/>
  <c r="N6759"/>
  <c r="W6759"/>
  <c r="H6760"/>
  <c r="I6760"/>
  <c r="K6760"/>
  <c r="N6760"/>
  <c r="W6760"/>
  <c r="H6761"/>
  <c r="I6761"/>
  <c r="K6761"/>
  <c r="N6761"/>
  <c r="W6761"/>
  <c r="H6762"/>
  <c r="I6762"/>
  <c r="K6762"/>
  <c r="N6762"/>
  <c r="W6762"/>
  <c r="H6763"/>
  <c r="I6763"/>
  <c r="K6763"/>
  <c r="N6763"/>
  <c r="W6763"/>
  <c r="H6764"/>
  <c r="I6764"/>
  <c r="K6764"/>
  <c r="N6764"/>
  <c r="W6764"/>
  <c r="H6765"/>
  <c r="I6765"/>
  <c r="K6765"/>
  <c r="N6765"/>
  <c r="W6765"/>
  <c r="H6766"/>
  <c r="I6766"/>
  <c r="K6766"/>
  <c r="N6766"/>
  <c r="W6766"/>
  <c r="H6767"/>
  <c r="I6767"/>
  <c r="K6767"/>
  <c r="N6767"/>
  <c r="W6767"/>
  <c r="H6768"/>
  <c r="I6768"/>
  <c r="K6768"/>
  <c r="N6768"/>
  <c r="W6768"/>
  <c r="H6769"/>
  <c r="I6769"/>
  <c r="K6769"/>
  <c r="N6769"/>
  <c r="W6769"/>
  <c r="H6770"/>
  <c r="I6770"/>
  <c r="K6770"/>
  <c r="N6770"/>
  <c r="W6770"/>
  <c r="H6771"/>
  <c r="I6771"/>
  <c r="K6771"/>
  <c r="N6771"/>
  <c r="W6771"/>
  <c r="H6772"/>
  <c r="I6772"/>
  <c r="K6772"/>
  <c r="N6772"/>
  <c r="W6772"/>
  <c r="H6773"/>
  <c r="I6773"/>
  <c r="K6773"/>
  <c r="N6773"/>
  <c r="W6773"/>
  <c r="H6774"/>
  <c r="I6774"/>
  <c r="K6774"/>
  <c r="N6774"/>
  <c r="W6774"/>
  <c r="H6775"/>
  <c r="I6775"/>
  <c r="K6775"/>
  <c r="N6775"/>
  <c r="W6775"/>
  <c r="H6776"/>
  <c r="I6776"/>
  <c r="K6776"/>
  <c r="N6776"/>
  <c r="W6776"/>
  <c r="H6777"/>
  <c r="I6777"/>
  <c r="K6777"/>
  <c r="N6777"/>
  <c r="W6777"/>
  <c r="H6778"/>
  <c r="I6778"/>
  <c r="K6778"/>
  <c r="N6778"/>
  <c r="W6778"/>
  <c r="H6779"/>
  <c r="I6779"/>
  <c r="K6779"/>
  <c r="N6779"/>
  <c r="W6779"/>
  <c r="H6780"/>
  <c r="I6780"/>
  <c r="K6780"/>
  <c r="N6780"/>
  <c r="W6780"/>
  <c r="H6781"/>
  <c r="I6781"/>
  <c r="K6781"/>
  <c r="N6781"/>
  <c r="W6781"/>
  <c r="H6782"/>
  <c r="I6782"/>
  <c r="K6782"/>
  <c r="N6782"/>
  <c r="W6782"/>
  <c r="H6783"/>
  <c r="I6783"/>
  <c r="K6783"/>
  <c r="N6783"/>
  <c r="W6783"/>
  <c r="H6784"/>
  <c r="I6784"/>
  <c r="K6784"/>
  <c r="N6784"/>
  <c r="W6784"/>
  <c r="H6785"/>
  <c r="I6785"/>
  <c r="K6785"/>
  <c r="N6785"/>
  <c r="W6785"/>
  <c r="H6786"/>
  <c r="I6786"/>
  <c r="K6786"/>
  <c r="N6786"/>
  <c r="W6786"/>
  <c r="H6787"/>
  <c r="I6787"/>
  <c r="K6787"/>
  <c r="N6787"/>
  <c r="W6787"/>
  <c r="H6788"/>
  <c r="I6788"/>
  <c r="K6788"/>
  <c r="N6788"/>
  <c r="W6788"/>
  <c r="H6789"/>
  <c r="I6789"/>
  <c r="K6789"/>
  <c r="N6789"/>
  <c r="W6789"/>
  <c r="H6790"/>
  <c r="I6790"/>
  <c r="K6790"/>
  <c r="N6790"/>
  <c r="W6790"/>
  <c r="H6791"/>
  <c r="I6791"/>
  <c r="K6791"/>
  <c r="N6791"/>
  <c r="W6791"/>
  <c r="H6792"/>
  <c r="I6792"/>
  <c r="K6792"/>
  <c r="N6792"/>
  <c r="W6792"/>
  <c r="H6793"/>
  <c r="I6793"/>
  <c r="K6793"/>
  <c r="N6793"/>
  <c r="W6793"/>
  <c r="H6794"/>
  <c r="I6794"/>
  <c r="K6794"/>
  <c r="N6794"/>
  <c r="W6794"/>
  <c r="H6795"/>
  <c r="I6795"/>
  <c r="K6795"/>
  <c r="N6795"/>
  <c r="W6795"/>
  <c r="H6796"/>
  <c r="I6796"/>
  <c r="K6796"/>
  <c r="N6796"/>
  <c r="W6796"/>
  <c r="H6797"/>
  <c r="I6797"/>
  <c r="K6797"/>
  <c r="N6797"/>
  <c r="W6797"/>
  <c r="H6798"/>
  <c r="I6798"/>
  <c r="K6798"/>
  <c r="N6798"/>
  <c r="W6798"/>
  <c r="H6799"/>
  <c r="I6799"/>
  <c r="K6799"/>
  <c r="N6799"/>
  <c r="W6799"/>
  <c r="H6800"/>
  <c r="I6800"/>
  <c r="K6800"/>
  <c r="N6800"/>
  <c r="W6800"/>
  <c r="H6801"/>
  <c r="I6801"/>
  <c r="K6801"/>
  <c r="N6801"/>
  <c r="W6801"/>
  <c r="H6802"/>
  <c r="I6802"/>
  <c r="K6802"/>
  <c r="N6802"/>
  <c r="W6802"/>
  <c r="H6803"/>
  <c r="I6803"/>
  <c r="K6803"/>
  <c r="N6803"/>
  <c r="W6803"/>
  <c r="H6804"/>
  <c r="I6804"/>
  <c r="K6804"/>
  <c r="N6804"/>
  <c r="W6804"/>
  <c r="H6805"/>
  <c r="I6805"/>
  <c r="K6805"/>
  <c r="N6805"/>
  <c r="W6805"/>
  <c r="H6806"/>
  <c r="I6806"/>
  <c r="K6806"/>
  <c r="N6806"/>
  <c r="W6806"/>
  <c r="H6807"/>
  <c r="I6807"/>
  <c r="K6807"/>
  <c r="N6807"/>
  <c r="W6807"/>
  <c r="H6808"/>
  <c r="I6808"/>
  <c r="K6808"/>
  <c r="N6808"/>
  <c r="W6808"/>
  <c r="H6809"/>
  <c r="I6809"/>
  <c r="K6809"/>
  <c r="N6809"/>
  <c r="W6809"/>
  <c r="H6810"/>
  <c r="I6810"/>
  <c r="K6810"/>
  <c r="N6810"/>
  <c r="W6810"/>
  <c r="H6811"/>
  <c r="I6811"/>
  <c r="K6811"/>
  <c r="N6811"/>
  <c r="W6811"/>
  <c r="H6812"/>
  <c r="I6812"/>
  <c r="K6812"/>
  <c r="N6812"/>
  <c r="W6812"/>
  <c r="H6813"/>
  <c r="I6813"/>
  <c r="K6813"/>
  <c r="N6813"/>
  <c r="W6813"/>
  <c r="H6814"/>
  <c r="I6814"/>
  <c r="K6814"/>
  <c r="N6814"/>
  <c r="W6814"/>
  <c r="H6815"/>
  <c r="I6815"/>
  <c r="K6815"/>
  <c r="N6815"/>
  <c r="W6815"/>
  <c r="H6816"/>
  <c r="I6816"/>
  <c r="K6816"/>
  <c r="N6816"/>
  <c r="W6816"/>
  <c r="H6817"/>
  <c r="I6817"/>
  <c r="K6817"/>
  <c r="N6817"/>
  <c r="W6817"/>
  <c r="H6818"/>
  <c r="I6818"/>
  <c r="K6818"/>
  <c r="N6818"/>
  <c r="W6818"/>
  <c r="H6819"/>
  <c r="I6819"/>
  <c r="K6819"/>
  <c r="N6819"/>
  <c r="W6819"/>
  <c r="H6820"/>
  <c r="I6820"/>
  <c r="K6820"/>
  <c r="N6820"/>
  <c r="W6820"/>
  <c r="H6821"/>
  <c r="I6821"/>
  <c r="K6821"/>
  <c r="N6821"/>
  <c r="W6821"/>
  <c r="H6822"/>
  <c r="I6822"/>
  <c r="K6822"/>
  <c r="N6822"/>
  <c r="W6822"/>
  <c r="H6823"/>
  <c r="I6823"/>
  <c r="K6823"/>
  <c r="N6823"/>
  <c r="W6823"/>
  <c r="H6824"/>
  <c r="I6824"/>
  <c r="K6824"/>
  <c r="N6824"/>
  <c r="W6824"/>
  <c r="H6825"/>
  <c r="I6825"/>
  <c r="K6825"/>
  <c r="N6825"/>
  <c r="W6825"/>
  <c r="H6826"/>
  <c r="I6826"/>
  <c r="K6826"/>
  <c r="N6826"/>
  <c r="W6826"/>
  <c r="H6827"/>
  <c r="I6827"/>
  <c r="K6827"/>
  <c r="N6827"/>
  <c r="W6827"/>
  <c r="H6828"/>
  <c r="I6828"/>
  <c r="K6828"/>
  <c r="N6828"/>
  <c r="W6828"/>
  <c r="H6829"/>
  <c r="I6829"/>
  <c r="K6829"/>
  <c r="N6829"/>
  <c r="W6829"/>
  <c r="H6830"/>
  <c r="I6830"/>
  <c r="K6830"/>
  <c r="N6830"/>
  <c r="W6830"/>
  <c r="H6831"/>
  <c r="I6831"/>
  <c r="K6831"/>
  <c r="N6831"/>
  <c r="W6831"/>
  <c r="H6832"/>
  <c r="I6832"/>
  <c r="K6832"/>
  <c r="N6832"/>
  <c r="W6832"/>
  <c r="H6833"/>
  <c r="I6833"/>
  <c r="K6833"/>
  <c r="N6833"/>
  <c r="W6833"/>
  <c r="H6834"/>
  <c r="I6834"/>
  <c r="K6834"/>
  <c r="N6834"/>
  <c r="W6834"/>
  <c r="H6835"/>
  <c r="I6835"/>
  <c r="K6835"/>
  <c r="N6835"/>
  <c r="W6835"/>
  <c r="H6836"/>
  <c r="I6836"/>
  <c r="K6836"/>
  <c r="N6836"/>
  <c r="W6836"/>
  <c r="H6837"/>
  <c r="I6837"/>
  <c r="K6837"/>
  <c r="N6837"/>
  <c r="W6837"/>
  <c r="H6838"/>
  <c r="I6838"/>
  <c r="K6838"/>
  <c r="N6838"/>
  <c r="W6838"/>
  <c r="H6839"/>
  <c r="I6839"/>
  <c r="K6839"/>
  <c r="N6839"/>
  <c r="W6839"/>
  <c r="H6840"/>
  <c r="I6840"/>
  <c r="K6840"/>
  <c r="N6840"/>
  <c r="W6840"/>
  <c r="H6841"/>
  <c r="I6841"/>
  <c r="K6841"/>
  <c r="N6841"/>
  <c r="W6841"/>
  <c r="H6842"/>
  <c r="I6842"/>
  <c r="K6842"/>
  <c r="N6842"/>
  <c r="W6842"/>
  <c r="H6843"/>
  <c r="I6843"/>
  <c r="K6843"/>
  <c r="N6843"/>
  <c r="W6843"/>
  <c r="H6844"/>
  <c r="I6844"/>
  <c r="K6844"/>
  <c r="N6844"/>
  <c r="W6844"/>
  <c r="H6845"/>
  <c r="I6845"/>
  <c r="K6845"/>
  <c r="N6845"/>
  <c r="W6845"/>
  <c r="H6846"/>
  <c r="I6846"/>
  <c r="K6846"/>
  <c r="N6846"/>
  <c r="W6846"/>
  <c r="H6847"/>
  <c r="I6847"/>
  <c r="K6847"/>
  <c r="N6847"/>
  <c r="W6847"/>
  <c r="H6848"/>
  <c r="I6848"/>
  <c r="K6848"/>
  <c r="N6848"/>
  <c r="W6848"/>
  <c r="H6849"/>
  <c r="I6849"/>
  <c r="K6849"/>
  <c r="N6849"/>
  <c r="W6849"/>
  <c r="H6850"/>
  <c r="I6850"/>
  <c r="K6850"/>
  <c r="N6850"/>
  <c r="W6850"/>
  <c r="H6851"/>
  <c r="I6851"/>
  <c r="K6851"/>
  <c r="N6851"/>
  <c r="W6851"/>
  <c r="H6852"/>
  <c r="I6852"/>
  <c r="K6852"/>
  <c r="N6852"/>
  <c r="W6852"/>
  <c r="H6853"/>
  <c r="I6853"/>
  <c r="K6853"/>
  <c r="N6853"/>
  <c r="W6853"/>
  <c r="H6854"/>
  <c r="I6854"/>
  <c r="K6854"/>
  <c r="N6854"/>
  <c r="W6854"/>
  <c r="H6855"/>
  <c r="I6855"/>
  <c r="K6855"/>
  <c r="N6855"/>
  <c r="W6855"/>
  <c r="H6856"/>
  <c r="I6856"/>
  <c r="K6856"/>
  <c r="N6856"/>
  <c r="W6856"/>
  <c r="H6857"/>
  <c r="I6857"/>
  <c r="K6857"/>
  <c r="N6857"/>
  <c r="W6857"/>
  <c r="H6858"/>
  <c r="I6858"/>
  <c r="K6858"/>
  <c r="N6858"/>
  <c r="W6858"/>
  <c r="H6859"/>
  <c r="I6859"/>
  <c r="K6859"/>
  <c r="N6859"/>
  <c r="W6859"/>
  <c r="H6860"/>
  <c r="I6860"/>
  <c r="K6860"/>
  <c r="N6860"/>
  <c r="W6860"/>
  <c r="H6861"/>
  <c r="I6861"/>
  <c r="K6861"/>
  <c r="N6861"/>
  <c r="W6861"/>
  <c r="H6862"/>
  <c r="I6862"/>
  <c r="K6862"/>
  <c r="N6862"/>
  <c r="W6862"/>
  <c r="H6863"/>
  <c r="I6863"/>
  <c r="K6863"/>
  <c r="N6863"/>
  <c r="W6863"/>
  <c r="H6864"/>
  <c r="I6864"/>
  <c r="K6864"/>
  <c r="N6864"/>
  <c r="W6864"/>
  <c r="H6865"/>
  <c r="I6865"/>
  <c r="K6865"/>
  <c r="N6865"/>
  <c r="W6865"/>
  <c r="H6866"/>
  <c r="I6866"/>
  <c r="K6866"/>
  <c r="N6866"/>
  <c r="W6866"/>
  <c r="H6867"/>
  <c r="I6867"/>
  <c r="K6867"/>
  <c r="N6867"/>
  <c r="W6867"/>
  <c r="H6868"/>
  <c r="I6868"/>
  <c r="K6868"/>
  <c r="N6868"/>
  <c r="W6868"/>
  <c r="H6869"/>
  <c r="I6869"/>
  <c r="K6869"/>
  <c r="N6869"/>
  <c r="W6869"/>
  <c r="H6870"/>
  <c r="I6870"/>
  <c r="K6870"/>
  <c r="N6870"/>
  <c r="W6870"/>
  <c r="H6871"/>
  <c r="I6871"/>
  <c r="K6871"/>
  <c r="N6871"/>
  <c r="W6871"/>
  <c r="H6872"/>
  <c r="I6872"/>
  <c r="K6872"/>
  <c r="N6872"/>
  <c r="W6872"/>
  <c r="H6873"/>
  <c r="I6873"/>
  <c r="K6873"/>
  <c r="N6873"/>
  <c r="W6873"/>
  <c r="H6874"/>
  <c r="I6874"/>
  <c r="K6874"/>
  <c r="N6874"/>
  <c r="W6874"/>
  <c r="H6875"/>
  <c r="I6875"/>
  <c r="K6875"/>
  <c r="N6875"/>
  <c r="W6875"/>
  <c r="H6876"/>
  <c r="I6876"/>
  <c r="K6876"/>
  <c r="N6876"/>
  <c r="W6876"/>
  <c r="H6877"/>
  <c r="I6877"/>
  <c r="K6877"/>
  <c r="N6877"/>
  <c r="W6877"/>
  <c r="H6878"/>
  <c r="I6878"/>
  <c r="K6878"/>
  <c r="N6878"/>
  <c r="W6878"/>
  <c r="H6879"/>
  <c r="I6879"/>
  <c r="K6879"/>
  <c r="N6879"/>
  <c r="W6879"/>
  <c r="H6880"/>
  <c r="I6880"/>
  <c r="K6880"/>
  <c r="N6880"/>
  <c r="W6880"/>
  <c r="H6881"/>
  <c r="I6881"/>
  <c r="K6881"/>
  <c r="N6881"/>
  <c r="W6881"/>
  <c r="H6882"/>
  <c r="I6882"/>
  <c r="K6882"/>
  <c r="N6882"/>
  <c r="W6882"/>
  <c r="H6883"/>
  <c r="I6883"/>
  <c r="K6883"/>
  <c r="N6883"/>
  <c r="W6883"/>
  <c r="H6884"/>
  <c r="I6884"/>
  <c r="K6884"/>
  <c r="N6884"/>
  <c r="W6884"/>
  <c r="H6885"/>
  <c r="I6885"/>
  <c r="K6885"/>
  <c r="N6885"/>
  <c r="W6885"/>
  <c r="H6886"/>
  <c r="I6886"/>
  <c r="K6886"/>
  <c r="N6886"/>
  <c r="W6886"/>
  <c r="H6887"/>
  <c r="I6887"/>
  <c r="K6887"/>
  <c r="N6887"/>
  <c r="W6887"/>
  <c r="H6888"/>
  <c r="I6888"/>
  <c r="K6888"/>
  <c r="N6888"/>
  <c r="W6888"/>
  <c r="H6889"/>
  <c r="I6889"/>
  <c r="K6889"/>
  <c r="N6889"/>
  <c r="W6889"/>
  <c r="H6890"/>
  <c r="I6890"/>
  <c r="K6890"/>
  <c r="N6890"/>
  <c r="W6890"/>
  <c r="H6891"/>
  <c r="I6891"/>
  <c r="K6891"/>
  <c r="N6891"/>
  <c r="W6891"/>
  <c r="H6892"/>
  <c r="I6892"/>
  <c r="K6892"/>
  <c r="N6892"/>
  <c r="W6892"/>
  <c r="H6893"/>
  <c r="I6893"/>
  <c r="K6893"/>
  <c r="N6893"/>
  <c r="W6893"/>
  <c r="H6894"/>
  <c r="I6894"/>
  <c r="K6894"/>
  <c r="N6894"/>
  <c r="W6894"/>
  <c r="H6895"/>
  <c r="I6895"/>
  <c r="K6895"/>
  <c r="N6895"/>
  <c r="W6895"/>
  <c r="H6896"/>
  <c r="I6896"/>
  <c r="K6896"/>
  <c r="N6896"/>
  <c r="W6896"/>
  <c r="H6897"/>
  <c r="I6897"/>
  <c r="K6897"/>
  <c r="N6897"/>
  <c r="W6897"/>
  <c r="H6898"/>
  <c r="I6898"/>
  <c r="K6898"/>
  <c r="N6898"/>
  <c r="W6898"/>
  <c r="H6899"/>
  <c r="I6899"/>
  <c r="K6899"/>
  <c r="N6899"/>
  <c r="W6899"/>
  <c r="H6900"/>
  <c r="I6900"/>
  <c r="K6900"/>
  <c r="N6900"/>
  <c r="W6900"/>
  <c r="H6901"/>
  <c r="I6901"/>
  <c r="K6901"/>
  <c r="N6901"/>
  <c r="W6901"/>
  <c r="H6902"/>
  <c r="I6902"/>
  <c r="K6902"/>
  <c r="N6902"/>
  <c r="W6902"/>
  <c r="H6903"/>
  <c r="I6903"/>
  <c r="K6903"/>
  <c r="N6903"/>
  <c r="W6903"/>
  <c r="H6904"/>
  <c r="I6904"/>
  <c r="K6904"/>
  <c r="N6904"/>
  <c r="W6904"/>
  <c r="H6905"/>
  <c r="I6905"/>
  <c r="K6905"/>
  <c r="N6905"/>
  <c r="W6905"/>
  <c r="H6906"/>
  <c r="I6906"/>
  <c r="K6906"/>
  <c r="N6906"/>
  <c r="W6906"/>
  <c r="H6907"/>
  <c r="I6907"/>
  <c r="K6907"/>
  <c r="N6907"/>
  <c r="W6907"/>
  <c r="H6908"/>
  <c r="I6908"/>
  <c r="K6908"/>
  <c r="N6908"/>
  <c r="W6908"/>
  <c r="H6909"/>
  <c r="I6909"/>
  <c r="K6909"/>
  <c r="N6909"/>
  <c r="W6909"/>
  <c r="H6910"/>
  <c r="I6910"/>
  <c r="K6910"/>
  <c r="N6910"/>
  <c r="W6910"/>
  <c r="H6911"/>
  <c r="I6911"/>
  <c r="K6911"/>
  <c r="N6911"/>
  <c r="W6911"/>
  <c r="H6912"/>
  <c r="I6912"/>
  <c r="K6912"/>
  <c r="N6912"/>
  <c r="W6912"/>
  <c r="H6913"/>
  <c r="I6913"/>
  <c r="K6913"/>
  <c r="N6913"/>
  <c r="W6913"/>
  <c r="H6914"/>
  <c r="I6914"/>
  <c r="K6914"/>
  <c r="N6914"/>
  <c r="W6914"/>
  <c r="H6915"/>
  <c r="I6915"/>
  <c r="K6915"/>
  <c r="N6915"/>
  <c r="W6915"/>
  <c r="H6916"/>
  <c r="I6916"/>
  <c r="K6916"/>
  <c r="N6916"/>
  <c r="W6916"/>
  <c r="H6917"/>
  <c r="I6917"/>
  <c r="K6917"/>
  <c r="N6917"/>
  <c r="W6917"/>
  <c r="H6918"/>
  <c r="I6918"/>
  <c r="K6918"/>
  <c r="N6918"/>
  <c r="W6918"/>
  <c r="H6919"/>
  <c r="I6919"/>
  <c r="K6919"/>
  <c r="N6919"/>
  <c r="W6919"/>
  <c r="H6920"/>
  <c r="I6920"/>
  <c r="K6920"/>
  <c r="N6920"/>
  <c r="W6920"/>
  <c r="H6921"/>
  <c r="I6921"/>
  <c r="K6921"/>
  <c r="N6921"/>
  <c r="W6921"/>
  <c r="H6922"/>
  <c r="I6922"/>
  <c r="K6922"/>
  <c r="N6922"/>
  <c r="W6922"/>
  <c r="H6923"/>
  <c r="I6923"/>
  <c r="K6923"/>
  <c r="N6923"/>
  <c r="W6923"/>
  <c r="H6924"/>
  <c r="I6924"/>
  <c r="K6924"/>
  <c r="N6924"/>
  <c r="W6924"/>
  <c r="H6925"/>
  <c r="I6925"/>
  <c r="K6925"/>
  <c r="N6925"/>
  <c r="W6925"/>
  <c r="H6926"/>
  <c r="I6926"/>
  <c r="K6926"/>
  <c r="N6926"/>
  <c r="W6926"/>
  <c r="H6927"/>
  <c r="I6927"/>
  <c r="K6927"/>
  <c r="N6927"/>
  <c r="W6927"/>
  <c r="H6928"/>
  <c r="I6928"/>
  <c r="K6928"/>
  <c r="N6928"/>
  <c r="W6928"/>
  <c r="H6929"/>
  <c r="I6929"/>
  <c r="K6929"/>
  <c r="N6929"/>
  <c r="W6929"/>
  <c r="H6930"/>
  <c r="I6930"/>
  <c r="K6930"/>
  <c r="N6930"/>
  <c r="W6930"/>
  <c r="H6931"/>
  <c r="I6931"/>
  <c r="K6931"/>
  <c r="N6931"/>
  <c r="W6931"/>
  <c r="H6932"/>
  <c r="I6932"/>
  <c r="K6932"/>
  <c r="N6932"/>
  <c r="W6932"/>
  <c r="H6933"/>
  <c r="I6933"/>
  <c r="K6933"/>
  <c r="N6933"/>
  <c r="W6933"/>
  <c r="H6934"/>
  <c r="I6934"/>
  <c r="K6934"/>
  <c r="N6934"/>
  <c r="W6934"/>
  <c r="H6935"/>
  <c r="I6935"/>
  <c r="K6935"/>
  <c r="N6935"/>
  <c r="W6935"/>
  <c r="H6936"/>
  <c r="I6936"/>
  <c r="K6936"/>
  <c r="N6936"/>
  <c r="W6936"/>
  <c r="H6937"/>
  <c r="I6937"/>
  <c r="K6937"/>
  <c r="N6937"/>
  <c r="W6937"/>
  <c r="H6938"/>
  <c r="I6938"/>
  <c r="K6938"/>
  <c r="N6938"/>
  <c r="W6938"/>
  <c r="H6939"/>
  <c r="I6939"/>
  <c r="K6939"/>
  <c r="N6939"/>
  <c r="W6939"/>
  <c r="H6940"/>
  <c r="I6940"/>
  <c r="K6940"/>
  <c r="N6940"/>
  <c r="W6940"/>
  <c r="H6941"/>
  <c r="I6941"/>
  <c r="K6941"/>
  <c r="N6941"/>
  <c r="W6941"/>
  <c r="H6942"/>
  <c r="I6942"/>
  <c r="K6942"/>
  <c r="N6942"/>
  <c r="W6942"/>
  <c r="H6943"/>
  <c r="I6943"/>
  <c r="K6943"/>
  <c r="N6943"/>
  <c r="W6943"/>
  <c r="H6944"/>
  <c r="I6944"/>
  <c r="K6944"/>
  <c r="N6944"/>
  <c r="W6944"/>
  <c r="H6945"/>
  <c r="I6945"/>
  <c r="K6945"/>
  <c r="N6945"/>
  <c r="W6945"/>
  <c r="H6946"/>
  <c r="I6946"/>
  <c r="K6946"/>
  <c r="N6946"/>
  <c r="W6946"/>
  <c r="H6947"/>
  <c r="I6947"/>
  <c r="K6947"/>
  <c r="N6947"/>
  <c r="W6947"/>
  <c r="H6948"/>
  <c r="I6948"/>
  <c r="K6948"/>
  <c r="N6948"/>
  <c r="W6948"/>
  <c r="H6949"/>
  <c r="I6949"/>
  <c r="K6949"/>
  <c r="N6949"/>
  <c r="W6949"/>
  <c r="H6950"/>
  <c r="I6950"/>
  <c r="K6950"/>
  <c r="N6950"/>
  <c r="W6950"/>
  <c r="H6951"/>
  <c r="I6951"/>
  <c r="K6951"/>
  <c r="N6951"/>
  <c r="W6951"/>
  <c r="H6952"/>
  <c r="I6952"/>
  <c r="K6952"/>
  <c r="N6952"/>
  <c r="W6952"/>
  <c r="H6953"/>
  <c r="I6953"/>
  <c r="K6953"/>
  <c r="N6953"/>
  <c r="W6953"/>
  <c r="H6954"/>
  <c r="I6954"/>
  <c r="K6954"/>
  <c r="N6954"/>
  <c r="W6954"/>
  <c r="H6955"/>
  <c r="I6955"/>
  <c r="K6955"/>
  <c r="N6955"/>
  <c r="W6955"/>
  <c r="H6956"/>
  <c r="I6956"/>
  <c r="K6956"/>
  <c r="N6956"/>
  <c r="W6956"/>
  <c r="H6957"/>
  <c r="I6957"/>
  <c r="K6957"/>
  <c r="N6957"/>
  <c r="W6957"/>
  <c r="H6958"/>
  <c r="I6958"/>
  <c r="K6958"/>
  <c r="N6958"/>
  <c r="W6958"/>
  <c r="H6959"/>
  <c r="I6959"/>
  <c r="K6959"/>
  <c r="N6959"/>
  <c r="W6959"/>
  <c r="H6960"/>
  <c r="I6960"/>
  <c r="K6960"/>
  <c r="N6960"/>
  <c r="W6960"/>
  <c r="H6961"/>
  <c r="I6961"/>
  <c r="K6961"/>
  <c r="N6961"/>
  <c r="W6961"/>
  <c r="H6962"/>
  <c r="I6962"/>
  <c r="K6962"/>
  <c r="N6962"/>
  <c r="W6962"/>
  <c r="H6963"/>
  <c r="I6963"/>
  <c r="K6963"/>
  <c r="N6963"/>
  <c r="W6963"/>
  <c r="H6964"/>
  <c r="I6964"/>
  <c r="K6964"/>
  <c r="N6964"/>
  <c r="W6964"/>
  <c r="H6965"/>
  <c r="I6965"/>
  <c r="K6965"/>
  <c r="N6965"/>
  <c r="W6965"/>
  <c r="H6966"/>
  <c r="I6966"/>
  <c r="K6966"/>
  <c r="N6966"/>
  <c r="W6966"/>
  <c r="H6967"/>
  <c r="I6967"/>
  <c r="K6967"/>
  <c r="N6967"/>
  <c r="W6967"/>
  <c r="H6968"/>
  <c r="I6968"/>
  <c r="K6968"/>
  <c r="N6968"/>
  <c r="W6968"/>
  <c r="H6969"/>
  <c r="I6969"/>
  <c r="K6969"/>
  <c r="N6969"/>
  <c r="W6969"/>
  <c r="H6970"/>
  <c r="I6970"/>
  <c r="K6970"/>
  <c r="N6970"/>
  <c r="W6970"/>
  <c r="H6971"/>
  <c r="I6971"/>
  <c r="K6971"/>
  <c r="N6971"/>
  <c r="W6971"/>
  <c r="H6972"/>
  <c r="I6972"/>
  <c r="K6972"/>
  <c r="N6972"/>
  <c r="W6972"/>
  <c r="H6973"/>
  <c r="I6973"/>
  <c r="K6973"/>
  <c r="N6973"/>
  <c r="W6973"/>
  <c r="H6974"/>
  <c r="I6974"/>
  <c r="K6974"/>
  <c r="N6974"/>
  <c r="W6974"/>
  <c r="H6975"/>
  <c r="I6975"/>
  <c r="K6975"/>
  <c r="N6975"/>
  <c r="W6975"/>
  <c r="H6976"/>
  <c r="I6976"/>
  <c r="K6976"/>
  <c r="N6976"/>
  <c r="W6976"/>
  <c r="H6977"/>
  <c r="I6977"/>
  <c r="K6977"/>
  <c r="N6977"/>
  <c r="W6977"/>
  <c r="H6978"/>
  <c r="I6978"/>
  <c r="K6978"/>
  <c r="N6978"/>
  <c r="W6978"/>
  <c r="H6979"/>
  <c r="I6979"/>
  <c r="K6979"/>
  <c r="N6979"/>
  <c r="W6979"/>
  <c r="H6980"/>
  <c r="I6980"/>
  <c r="K6980"/>
  <c r="N6980"/>
  <c r="W6980"/>
  <c r="H6981"/>
  <c r="I6981"/>
  <c r="K6981"/>
  <c r="N6981"/>
  <c r="W6981"/>
  <c r="H6982"/>
  <c r="I6982"/>
  <c r="K6982"/>
  <c r="N6982"/>
  <c r="W6982"/>
  <c r="H6983"/>
  <c r="I6983"/>
  <c r="K6983"/>
  <c r="N6983"/>
  <c r="W6983"/>
  <c r="H6984"/>
  <c r="I6984"/>
  <c r="K6984"/>
  <c r="N6984"/>
  <c r="W6984"/>
  <c r="H6985"/>
  <c r="I6985"/>
  <c r="K6985"/>
  <c r="N6985"/>
  <c r="W6985"/>
  <c r="H6986"/>
  <c r="I6986"/>
  <c r="K6986"/>
  <c r="N6986"/>
  <c r="W6986"/>
  <c r="H6987"/>
  <c r="I6987"/>
  <c r="K6987"/>
  <c r="N6987"/>
  <c r="W6987"/>
  <c r="H6988"/>
  <c r="I6988"/>
  <c r="K6988"/>
  <c r="N6988"/>
  <c r="W6988"/>
  <c r="H6989"/>
  <c r="I6989"/>
  <c r="K6989"/>
  <c r="N6989"/>
  <c r="W6989"/>
  <c r="H6990"/>
  <c r="I6990"/>
  <c r="K6990"/>
  <c r="N6990"/>
  <c r="W6990"/>
  <c r="H6991"/>
  <c r="I6991"/>
  <c r="K6991"/>
  <c r="N6991"/>
  <c r="W6991"/>
  <c r="H6992"/>
  <c r="I6992"/>
  <c r="K6992"/>
  <c r="N6992"/>
  <c r="W6992"/>
  <c r="H6993"/>
  <c r="I6993"/>
  <c r="K6993"/>
  <c r="N6993"/>
  <c r="W6993"/>
  <c r="H6994"/>
  <c r="I6994"/>
  <c r="K6994"/>
  <c r="N6994"/>
  <c r="W6994"/>
  <c r="H6995"/>
  <c r="I6995"/>
  <c r="K6995"/>
  <c r="N6995"/>
  <c r="W6995"/>
  <c r="H6996"/>
  <c r="I6996"/>
  <c r="K6996"/>
  <c r="N6996"/>
  <c r="W6996"/>
  <c r="H6997"/>
  <c r="I6997"/>
  <c r="K6997"/>
  <c r="N6997"/>
  <c r="W6997"/>
  <c r="H6998"/>
  <c r="I6998"/>
  <c r="K6998"/>
  <c r="N6998"/>
  <c r="W6998"/>
  <c r="H6999"/>
  <c r="I6999"/>
  <c r="K6999"/>
  <c r="N6999"/>
  <c r="W6999"/>
  <c r="H7000"/>
  <c r="I7000"/>
  <c r="K7000"/>
  <c r="N7000"/>
  <c r="W7000"/>
  <c r="H7001"/>
  <c r="I7001"/>
  <c r="K7001"/>
  <c r="N7001"/>
  <c r="W7001"/>
  <c r="H7002"/>
  <c r="I7002"/>
  <c r="K7002"/>
  <c r="N7002"/>
  <c r="W7002"/>
  <c r="H7003"/>
  <c r="I7003"/>
  <c r="K7003"/>
  <c r="N7003"/>
  <c r="W7003"/>
  <c r="H7004"/>
  <c r="I7004"/>
  <c r="K7004"/>
  <c r="N7004"/>
  <c r="W7004"/>
  <c r="H7005"/>
  <c r="I7005"/>
  <c r="K7005"/>
  <c r="N7005"/>
  <c r="W7005"/>
  <c r="H7006"/>
  <c r="I7006"/>
  <c r="K7006"/>
  <c r="N7006"/>
  <c r="W7006"/>
  <c r="H7007"/>
  <c r="I7007"/>
  <c r="K7007"/>
  <c r="N7007"/>
  <c r="W7007"/>
  <c r="H7008"/>
  <c r="I7008"/>
  <c r="K7008"/>
  <c r="N7008"/>
  <c r="W7008"/>
  <c r="H7009"/>
  <c r="I7009"/>
  <c r="K7009"/>
  <c r="N7009"/>
  <c r="W7009"/>
  <c r="H7010"/>
  <c r="I7010"/>
  <c r="K7010"/>
  <c r="N7010"/>
  <c r="W7010"/>
  <c r="H7011"/>
  <c r="I7011"/>
  <c r="K7011"/>
  <c r="N7011"/>
  <c r="W7011"/>
  <c r="H7012"/>
  <c r="I7012"/>
  <c r="K7012"/>
  <c r="N7012"/>
  <c r="W7012"/>
  <c r="H7013"/>
  <c r="I7013"/>
  <c r="K7013"/>
  <c r="N7013"/>
  <c r="W7013"/>
  <c r="H7014"/>
  <c r="I7014"/>
  <c r="K7014"/>
  <c r="N7014"/>
  <c r="W7014"/>
  <c r="H7015"/>
  <c r="I7015"/>
  <c r="K7015"/>
  <c r="N7015"/>
  <c r="W7015"/>
  <c r="H7016"/>
  <c r="I7016"/>
  <c r="K7016"/>
  <c r="N7016"/>
  <c r="W7016"/>
  <c r="H7017"/>
  <c r="I7017"/>
  <c r="K7017"/>
  <c r="N7017"/>
  <c r="W7017"/>
  <c r="H7018"/>
  <c r="I7018"/>
  <c r="K7018"/>
  <c r="N7018"/>
  <c r="W7018"/>
  <c r="H7019"/>
  <c r="I7019"/>
  <c r="K7019"/>
  <c r="N7019"/>
  <c r="W7019"/>
  <c r="H7020"/>
  <c r="I7020"/>
  <c r="K7020"/>
  <c r="N7020"/>
  <c r="W7020"/>
  <c r="H7021"/>
  <c r="I7021"/>
  <c r="K7021"/>
  <c r="N7021"/>
  <c r="W7021"/>
  <c r="H7022"/>
  <c r="I7022"/>
  <c r="K7022"/>
  <c r="N7022"/>
  <c r="W7022"/>
  <c r="H7023"/>
  <c r="I7023"/>
  <c r="K7023"/>
  <c r="N7023"/>
  <c r="W7023"/>
  <c r="H7024"/>
  <c r="I7024"/>
  <c r="K7024"/>
  <c r="N7024"/>
  <c r="W7024"/>
  <c r="H7025"/>
  <c r="I7025"/>
  <c r="K7025"/>
  <c r="N7025"/>
  <c r="W7025"/>
  <c r="H7026"/>
  <c r="I7026"/>
  <c r="K7026"/>
  <c r="N7026"/>
  <c r="W7026"/>
  <c r="H7027"/>
  <c r="I7027"/>
  <c r="K7027"/>
  <c r="N7027"/>
  <c r="W7027"/>
  <c r="H7028"/>
  <c r="I7028"/>
  <c r="K7028"/>
  <c r="N7028"/>
  <c r="W7028"/>
  <c r="H7029"/>
  <c r="I7029"/>
  <c r="K7029"/>
  <c r="N7029"/>
  <c r="W7029"/>
  <c r="H7030"/>
  <c r="I7030"/>
  <c r="K7030"/>
  <c r="N7030"/>
  <c r="W7030"/>
  <c r="H7031"/>
  <c r="I7031"/>
  <c r="K7031"/>
  <c r="N7031"/>
  <c r="W7031"/>
  <c r="H7032"/>
  <c r="I7032"/>
  <c r="K7032"/>
  <c r="N7032"/>
  <c r="W7032"/>
  <c r="H7033"/>
  <c r="I7033"/>
  <c r="K7033"/>
  <c r="N7033"/>
  <c r="W7033"/>
  <c r="H7034"/>
  <c r="I7034"/>
  <c r="K7034"/>
  <c r="N7034"/>
  <c r="W7034"/>
  <c r="H7035"/>
  <c r="I7035"/>
  <c r="K7035"/>
  <c r="N7035"/>
  <c r="W7035"/>
  <c r="H7036"/>
  <c r="I7036"/>
  <c r="K7036"/>
  <c r="N7036"/>
  <c r="W7036"/>
  <c r="H7037"/>
  <c r="I7037"/>
  <c r="K7037"/>
  <c r="N7037"/>
  <c r="W7037"/>
  <c r="H7038"/>
  <c r="I7038"/>
  <c r="K7038"/>
  <c r="N7038"/>
  <c r="W7038"/>
  <c r="H7039"/>
  <c r="I7039"/>
  <c r="K7039"/>
  <c r="N7039"/>
  <c r="W7039"/>
  <c r="H7040"/>
  <c r="I7040"/>
  <c r="K7040"/>
  <c r="N7040"/>
  <c r="W7040"/>
  <c r="H7041"/>
  <c r="I7041"/>
  <c r="K7041"/>
  <c r="N7041"/>
  <c r="W7041"/>
  <c r="H7042"/>
  <c r="I7042"/>
  <c r="K7042"/>
  <c r="N7042"/>
  <c r="W7042"/>
  <c r="H7043"/>
  <c r="I7043"/>
  <c r="K7043"/>
  <c r="N7043"/>
  <c r="W7043"/>
  <c r="H7044"/>
  <c r="I7044"/>
  <c r="K7044"/>
  <c r="N7044"/>
  <c r="W7044"/>
  <c r="H7045"/>
  <c r="I7045"/>
  <c r="K7045"/>
  <c r="N7045"/>
  <c r="W7045"/>
  <c r="H7046"/>
  <c r="I7046"/>
  <c r="K7046"/>
  <c r="N7046"/>
  <c r="W7046"/>
  <c r="H7047"/>
  <c r="I7047"/>
  <c r="K7047"/>
  <c r="N7047"/>
  <c r="W7047"/>
  <c r="H7048"/>
  <c r="I7048"/>
  <c r="K7048"/>
  <c r="N7048"/>
  <c r="W7048"/>
  <c r="H7049"/>
  <c r="I7049"/>
  <c r="K7049"/>
  <c r="N7049"/>
  <c r="W7049"/>
  <c r="H7050"/>
  <c r="I7050"/>
  <c r="K7050"/>
  <c r="N7050"/>
  <c r="W7050"/>
  <c r="H7051"/>
  <c r="I7051"/>
  <c r="K7051"/>
  <c r="N7051"/>
  <c r="W7051"/>
  <c r="H7052"/>
  <c r="I7052"/>
  <c r="K7052"/>
  <c r="N7052"/>
  <c r="W7052"/>
  <c r="H7053"/>
  <c r="I7053"/>
  <c r="K7053"/>
  <c r="N7053"/>
  <c r="W7053"/>
  <c r="H7054"/>
  <c r="I7054"/>
  <c r="K7054"/>
  <c r="N7054"/>
  <c r="W7054"/>
  <c r="H7055"/>
  <c r="I7055"/>
  <c r="K7055"/>
  <c r="N7055"/>
  <c r="W7055"/>
  <c r="H7056"/>
  <c r="I7056"/>
  <c r="K7056"/>
  <c r="N7056"/>
  <c r="W7056"/>
  <c r="H7057"/>
  <c r="I7057"/>
  <c r="K7057"/>
  <c r="N7057"/>
  <c r="W7057"/>
  <c r="H7058"/>
  <c r="I7058"/>
  <c r="K7058"/>
  <c r="N7058"/>
  <c r="W7058"/>
  <c r="H7059"/>
  <c r="I7059"/>
  <c r="K7059"/>
  <c r="N7059"/>
  <c r="W7059"/>
  <c r="H7060"/>
  <c r="I7060"/>
  <c r="K7060"/>
  <c r="N7060"/>
  <c r="W7060"/>
  <c r="H7061"/>
  <c r="I7061"/>
  <c r="K7061"/>
  <c r="N7061"/>
  <c r="W7061"/>
  <c r="H7062"/>
  <c r="I7062"/>
  <c r="K7062"/>
  <c r="N7062"/>
  <c r="W7062"/>
  <c r="H7063"/>
  <c r="I7063"/>
  <c r="K7063"/>
  <c r="N7063"/>
  <c r="W7063"/>
  <c r="H7064"/>
  <c r="I7064"/>
  <c r="K7064"/>
  <c r="N7064"/>
  <c r="W7064"/>
  <c r="H7065"/>
  <c r="I7065"/>
  <c r="K7065"/>
  <c r="N7065"/>
  <c r="W7065"/>
  <c r="H7066"/>
  <c r="I7066"/>
  <c r="K7066"/>
  <c r="N7066"/>
  <c r="W7066"/>
  <c r="H7067"/>
  <c r="I7067"/>
  <c r="K7067"/>
  <c r="N7067"/>
  <c r="W7067"/>
  <c r="H7068"/>
  <c r="I7068"/>
  <c r="K7068"/>
  <c r="N7068"/>
  <c r="W7068"/>
  <c r="H7069"/>
  <c r="I7069"/>
  <c r="K7069"/>
  <c r="N7069"/>
  <c r="W7069"/>
  <c r="H7070"/>
  <c r="I7070"/>
  <c r="K7070"/>
  <c r="N7070"/>
  <c r="W7070"/>
  <c r="H7071"/>
  <c r="I7071"/>
  <c r="K7071"/>
  <c r="N7071"/>
  <c r="W7071"/>
  <c r="H7072"/>
  <c r="I7072"/>
  <c r="K7072"/>
  <c r="N7072"/>
  <c r="W7072"/>
  <c r="H7073"/>
  <c r="I7073"/>
  <c r="K7073"/>
  <c r="N7073"/>
  <c r="W7073"/>
  <c r="H7074"/>
  <c r="I7074"/>
  <c r="K7074"/>
  <c r="N7074"/>
  <c r="W7074"/>
  <c r="H7075"/>
  <c r="I7075"/>
  <c r="K7075"/>
  <c r="N7075"/>
  <c r="W7075"/>
  <c r="H7076"/>
  <c r="I7076"/>
  <c r="K7076"/>
  <c r="N7076"/>
  <c r="W7076"/>
  <c r="H7077"/>
  <c r="I7077"/>
  <c r="K7077"/>
  <c r="N7077"/>
  <c r="W7077"/>
  <c r="H7078"/>
  <c r="I7078"/>
  <c r="K7078"/>
  <c r="N7078"/>
  <c r="W7078"/>
  <c r="H7079"/>
  <c r="I7079"/>
  <c r="K7079"/>
  <c r="N7079"/>
  <c r="W7079"/>
  <c r="H7080"/>
  <c r="I7080"/>
  <c r="K7080"/>
  <c r="N7080"/>
  <c r="W7080"/>
  <c r="H7081"/>
  <c r="I7081"/>
  <c r="K7081"/>
  <c r="N7081"/>
  <c r="W7081"/>
  <c r="H7082"/>
  <c r="I7082"/>
  <c r="K7082"/>
  <c r="N7082"/>
  <c r="W7082"/>
  <c r="H7083"/>
  <c r="I7083"/>
  <c r="K7083"/>
  <c r="N7083"/>
  <c r="W7083"/>
  <c r="H7084"/>
  <c r="I7084"/>
  <c r="K7084"/>
  <c r="N7084"/>
  <c r="W7084"/>
  <c r="H7085"/>
  <c r="I7085"/>
  <c r="K7085"/>
  <c r="N7085"/>
  <c r="W7085"/>
  <c r="H7086"/>
  <c r="I7086"/>
  <c r="K7086"/>
  <c r="N7086"/>
  <c r="W7086"/>
  <c r="H7087"/>
  <c r="I7087"/>
  <c r="K7087"/>
  <c r="N7087"/>
  <c r="W7087"/>
  <c r="H7088"/>
  <c r="I7088"/>
  <c r="K7088"/>
  <c r="N7088"/>
  <c r="W7088"/>
  <c r="H7089"/>
  <c r="I7089"/>
  <c r="K7089"/>
  <c r="N7089"/>
  <c r="W7089"/>
  <c r="H7090"/>
  <c r="I7090"/>
  <c r="K7090"/>
  <c r="N7090"/>
  <c r="W7090"/>
  <c r="H7091"/>
  <c r="I7091"/>
  <c r="K7091"/>
  <c r="N7091"/>
  <c r="W7091"/>
  <c r="H7092"/>
  <c r="I7092"/>
  <c r="K7092"/>
  <c r="N7092"/>
  <c r="W7092"/>
  <c r="H7093"/>
  <c r="I7093"/>
  <c r="K7093"/>
  <c r="N7093"/>
  <c r="W7093"/>
  <c r="H7094"/>
  <c r="I7094"/>
  <c r="K7094"/>
  <c r="N7094"/>
  <c r="W7094"/>
  <c r="H7095"/>
  <c r="I7095"/>
  <c r="K7095"/>
  <c r="N7095"/>
  <c r="W7095"/>
  <c r="H7096"/>
  <c r="I7096"/>
  <c r="K7096"/>
  <c r="N7096"/>
  <c r="W7096"/>
  <c r="H7097"/>
  <c r="I7097"/>
  <c r="K7097"/>
  <c r="N7097"/>
  <c r="W7097"/>
  <c r="H7098"/>
  <c r="I7098"/>
  <c r="K7098"/>
  <c r="N7098"/>
  <c r="W7098"/>
  <c r="H7099"/>
  <c r="I7099"/>
  <c r="K7099"/>
  <c r="N7099"/>
  <c r="W7099"/>
  <c r="H7100"/>
  <c r="I7100"/>
  <c r="K7100"/>
  <c r="N7100"/>
  <c r="W7100"/>
  <c r="H7101"/>
  <c r="I7101"/>
  <c r="K7101"/>
  <c r="N7101"/>
  <c r="W7101"/>
  <c r="H7102"/>
  <c r="I7102"/>
  <c r="K7102"/>
  <c r="N7102"/>
  <c r="W7102"/>
  <c r="H7103"/>
  <c r="I7103"/>
  <c r="K7103"/>
  <c r="N7103"/>
  <c r="W7103"/>
  <c r="H7104"/>
  <c r="I7104"/>
  <c r="K7104"/>
  <c r="N7104"/>
  <c r="W7104"/>
  <c r="H7105"/>
  <c r="I7105"/>
  <c r="K7105"/>
  <c r="N7105"/>
  <c r="W7105"/>
  <c r="H7106"/>
  <c r="I7106"/>
  <c r="K7106"/>
  <c r="N7106"/>
  <c r="W7106"/>
  <c r="H7107"/>
  <c r="I7107"/>
  <c r="K7107"/>
  <c r="N7107"/>
  <c r="W7107"/>
  <c r="H7108"/>
  <c r="I7108"/>
  <c r="K7108"/>
  <c r="N7108"/>
  <c r="W7108"/>
  <c r="H7109"/>
  <c r="I7109"/>
  <c r="K7109"/>
  <c r="N7109"/>
  <c r="W7109"/>
  <c r="H7110"/>
  <c r="I7110"/>
  <c r="K7110"/>
  <c r="N7110"/>
  <c r="W7110"/>
  <c r="H7111"/>
  <c r="I7111"/>
  <c r="K7111"/>
  <c r="N7111"/>
  <c r="W7111"/>
  <c r="H7112"/>
  <c r="I7112"/>
  <c r="K7112"/>
  <c r="N7112"/>
  <c r="W7112"/>
  <c r="H7113"/>
  <c r="I7113"/>
  <c r="K7113"/>
  <c r="N7113"/>
  <c r="W7113"/>
  <c r="H7114"/>
  <c r="I7114"/>
  <c r="K7114"/>
  <c r="N7114"/>
  <c r="W7114"/>
  <c r="H7115"/>
  <c r="I7115"/>
  <c r="K7115"/>
  <c r="N7115"/>
  <c r="W7115"/>
  <c r="H7116"/>
  <c r="I7116"/>
  <c r="K7116"/>
  <c r="N7116"/>
  <c r="W7116"/>
  <c r="H7117"/>
  <c r="I7117"/>
  <c r="K7117"/>
  <c r="N7117"/>
  <c r="W7117"/>
  <c r="H7118"/>
  <c r="I7118"/>
  <c r="K7118"/>
  <c r="N7118"/>
  <c r="W7118"/>
  <c r="H7119"/>
  <c r="I7119"/>
  <c r="K7119"/>
  <c r="N7119"/>
  <c r="W7119"/>
  <c r="H7120"/>
  <c r="I7120"/>
  <c r="K7120"/>
  <c r="N7120"/>
  <c r="W7120"/>
  <c r="H7121"/>
  <c r="I7121"/>
  <c r="K7121"/>
  <c r="N7121"/>
  <c r="W7121"/>
  <c r="H7122"/>
  <c r="I7122"/>
  <c r="K7122"/>
  <c r="N7122"/>
  <c r="W7122"/>
  <c r="H7123"/>
  <c r="I7123"/>
  <c r="K7123"/>
  <c r="N7123"/>
  <c r="W7123"/>
  <c r="H7124"/>
  <c r="I7124"/>
  <c r="K7124"/>
  <c r="N7124"/>
  <c r="W7124"/>
  <c r="H7125"/>
  <c r="I7125"/>
  <c r="K7125"/>
  <c r="N7125"/>
  <c r="W7125"/>
  <c r="H7126"/>
  <c r="I7126"/>
  <c r="K7126"/>
  <c r="N7126"/>
  <c r="W7126"/>
  <c r="H7127"/>
  <c r="I7127"/>
  <c r="K7127"/>
  <c r="N7127"/>
  <c r="W7127"/>
  <c r="H7128"/>
  <c r="I7128"/>
  <c r="K7128"/>
  <c r="N7128"/>
  <c r="W7128"/>
  <c r="H7129"/>
  <c r="I7129"/>
  <c r="K7129"/>
  <c r="N7129"/>
  <c r="W7129"/>
  <c r="H7130"/>
  <c r="I7130"/>
  <c r="K7130"/>
  <c r="N7130"/>
  <c r="W7130"/>
  <c r="H7131"/>
  <c r="I7131"/>
  <c r="K7131"/>
  <c r="N7131"/>
  <c r="W7131"/>
  <c r="H7132"/>
  <c r="I7132"/>
  <c r="K7132"/>
  <c r="N7132"/>
  <c r="W7132"/>
  <c r="H7133"/>
  <c r="I7133"/>
  <c r="K7133"/>
  <c r="N7133"/>
  <c r="W7133"/>
  <c r="H7134"/>
  <c r="I7134"/>
  <c r="K7134"/>
  <c r="N7134"/>
  <c r="W7134"/>
  <c r="H7135"/>
  <c r="I7135"/>
  <c r="K7135"/>
  <c r="N7135"/>
  <c r="W7135"/>
  <c r="H7136"/>
  <c r="I7136"/>
  <c r="K7136"/>
  <c r="N7136"/>
  <c r="W7136"/>
  <c r="H7137"/>
  <c r="I7137"/>
  <c r="K7137"/>
  <c r="N7137"/>
  <c r="W7137"/>
  <c r="H7138"/>
  <c r="I7138"/>
  <c r="K7138"/>
  <c r="N7138"/>
  <c r="W7138"/>
  <c r="H7139"/>
  <c r="I7139"/>
  <c r="K7139"/>
  <c r="N7139"/>
  <c r="W7139"/>
  <c r="H7140"/>
  <c r="I7140"/>
  <c r="K7140"/>
  <c r="N7140"/>
  <c r="W7140"/>
  <c r="H7141"/>
  <c r="I7141"/>
  <c r="K7141"/>
  <c r="N7141"/>
  <c r="W7141"/>
  <c r="H7142"/>
  <c r="I7142"/>
  <c r="K7142"/>
  <c r="N7142"/>
  <c r="W7142"/>
  <c r="H7143"/>
  <c r="I7143"/>
  <c r="K7143"/>
  <c r="N7143"/>
  <c r="W7143"/>
  <c r="H7144"/>
  <c r="I7144"/>
  <c r="K7144"/>
  <c r="N7144"/>
  <c r="W7144"/>
  <c r="H7145"/>
  <c r="I7145"/>
  <c r="K7145"/>
  <c r="N7145"/>
  <c r="W7145"/>
  <c r="H7146"/>
  <c r="I7146"/>
  <c r="K7146"/>
  <c r="N7146"/>
  <c r="W7146"/>
  <c r="H7147"/>
  <c r="I7147"/>
  <c r="K7147"/>
  <c r="N7147"/>
  <c r="W7147"/>
  <c r="H7148"/>
  <c r="I7148"/>
  <c r="K7148"/>
  <c r="N7148"/>
  <c r="W7148"/>
  <c r="H7149"/>
  <c r="I7149"/>
  <c r="K7149"/>
  <c r="N7149"/>
  <c r="W7149"/>
  <c r="H7150"/>
  <c r="I7150"/>
  <c r="K7150"/>
  <c r="N7150"/>
  <c r="W7150"/>
  <c r="H7151"/>
  <c r="I7151"/>
  <c r="K7151"/>
  <c r="N7151"/>
  <c r="W7151"/>
  <c r="H7152"/>
  <c r="I7152"/>
  <c r="K7152"/>
  <c r="N7152"/>
  <c r="W7152"/>
  <c r="H7153"/>
  <c r="I7153"/>
  <c r="K7153"/>
  <c r="N7153"/>
  <c r="W7153"/>
  <c r="H7154"/>
  <c r="I7154"/>
  <c r="K7154"/>
  <c r="N7154"/>
  <c r="W7154"/>
  <c r="H7155"/>
  <c r="I7155"/>
  <c r="K7155"/>
  <c r="N7155"/>
  <c r="W7155"/>
  <c r="H7156"/>
  <c r="I7156"/>
  <c r="K7156"/>
  <c r="N7156"/>
  <c r="W7156"/>
  <c r="H7157"/>
  <c r="I7157"/>
  <c r="K7157"/>
  <c r="N7157"/>
  <c r="W7157"/>
  <c r="H7158"/>
  <c r="I7158"/>
  <c r="K7158"/>
  <c r="N7158"/>
  <c r="W7158"/>
  <c r="H7159"/>
  <c r="I7159"/>
  <c r="K7159"/>
  <c r="N7159"/>
  <c r="W7159"/>
  <c r="H7160"/>
  <c r="I7160"/>
  <c r="K7160"/>
  <c r="N7160"/>
  <c r="W7160"/>
  <c r="H7161"/>
  <c r="I7161"/>
  <c r="K7161"/>
  <c r="N7161"/>
  <c r="W7161"/>
  <c r="H7162"/>
  <c r="I7162"/>
  <c r="K7162"/>
  <c r="N7162"/>
  <c r="W7162"/>
  <c r="H7163"/>
  <c r="I7163"/>
  <c r="K7163"/>
  <c r="N7163"/>
  <c r="W7163"/>
  <c r="H7164"/>
  <c r="I7164"/>
  <c r="K7164"/>
  <c r="N7164"/>
  <c r="W7164"/>
  <c r="H7165"/>
  <c r="I7165"/>
  <c r="K7165"/>
  <c r="N7165"/>
  <c r="W7165"/>
  <c r="H7166"/>
  <c r="I7166"/>
  <c r="K7166"/>
  <c r="N7166"/>
  <c r="W7166"/>
  <c r="H7167"/>
  <c r="I7167"/>
  <c r="K7167"/>
  <c r="N7167"/>
  <c r="W7167"/>
  <c r="H7168"/>
  <c r="I7168"/>
  <c r="K7168"/>
  <c r="N7168"/>
  <c r="W7168"/>
  <c r="H7169"/>
  <c r="I7169"/>
  <c r="K7169"/>
  <c r="N7169"/>
  <c r="W7169"/>
  <c r="H7170"/>
  <c r="I7170"/>
  <c r="K7170"/>
  <c r="N7170"/>
  <c r="W7170"/>
  <c r="H7171"/>
  <c r="I7171"/>
  <c r="K7171"/>
  <c r="N7171"/>
  <c r="W7171"/>
  <c r="H7172"/>
  <c r="I7172"/>
  <c r="K7172"/>
  <c r="N7172"/>
  <c r="W7172"/>
  <c r="H7173"/>
  <c r="I7173"/>
  <c r="K7173"/>
  <c r="N7173"/>
  <c r="W7173"/>
  <c r="H7174"/>
  <c r="I7174"/>
  <c r="K7174"/>
  <c r="N7174"/>
  <c r="W7174"/>
  <c r="H7175"/>
  <c r="I7175"/>
  <c r="K7175"/>
  <c r="N7175"/>
  <c r="W7175"/>
  <c r="H7176"/>
  <c r="I7176"/>
  <c r="K7176"/>
  <c r="N7176"/>
  <c r="W7176"/>
  <c r="H7177"/>
  <c r="I7177"/>
  <c r="K7177"/>
  <c r="N7177"/>
  <c r="W7177"/>
  <c r="H7178"/>
  <c r="I7178"/>
  <c r="K7178"/>
  <c r="N7178"/>
  <c r="W7178"/>
  <c r="H7179"/>
  <c r="I7179"/>
  <c r="K7179"/>
  <c r="N7179"/>
  <c r="W7179"/>
  <c r="H7180"/>
  <c r="I7180"/>
  <c r="K7180"/>
  <c r="N7180"/>
  <c r="W7180"/>
  <c r="H7181"/>
  <c r="I7181"/>
  <c r="K7181"/>
  <c r="N7181"/>
  <c r="W7181"/>
  <c r="H7182"/>
  <c r="I7182"/>
  <c r="K7182"/>
  <c r="N7182"/>
  <c r="W7182"/>
  <c r="H7183"/>
  <c r="I7183"/>
  <c r="K7183"/>
  <c r="N7183"/>
  <c r="W7183"/>
  <c r="H7184"/>
  <c r="I7184"/>
  <c r="K7184"/>
  <c r="N7184"/>
  <c r="W7184"/>
  <c r="H7185"/>
  <c r="I7185"/>
  <c r="K7185"/>
  <c r="N7185"/>
  <c r="W7185"/>
  <c r="H7186"/>
  <c r="I7186"/>
  <c r="K7186"/>
  <c r="N7186"/>
  <c r="W7186"/>
  <c r="H7187"/>
  <c r="I7187"/>
  <c r="K7187"/>
  <c r="N7187"/>
  <c r="W7187"/>
  <c r="H7188"/>
  <c r="I7188"/>
  <c r="K7188"/>
  <c r="N7188"/>
  <c r="W7188"/>
  <c r="H7189"/>
  <c r="I7189"/>
  <c r="K7189"/>
  <c r="N7189"/>
  <c r="W7189"/>
  <c r="H7190"/>
  <c r="I7190"/>
  <c r="K7190"/>
  <c r="N7190"/>
  <c r="W7190"/>
  <c r="H7191"/>
  <c r="I7191"/>
  <c r="K7191"/>
  <c r="N7191"/>
  <c r="W7191"/>
  <c r="H7192"/>
  <c r="I7192"/>
  <c r="K7192"/>
  <c r="N7192"/>
  <c r="W7192"/>
  <c r="H7193"/>
  <c r="I7193"/>
  <c r="K7193"/>
  <c r="N7193"/>
  <c r="W7193"/>
  <c r="H7194"/>
  <c r="I7194"/>
  <c r="K7194"/>
  <c r="N7194"/>
  <c r="W7194"/>
  <c r="H7195"/>
  <c r="I7195"/>
  <c r="K7195"/>
  <c r="N7195"/>
  <c r="W7195"/>
  <c r="H7196"/>
  <c r="I7196"/>
  <c r="K7196"/>
  <c r="N7196"/>
  <c r="W7196"/>
  <c r="H7197"/>
  <c r="I7197"/>
  <c r="K7197"/>
  <c r="N7197"/>
  <c r="W7197"/>
  <c r="H7198"/>
  <c r="I7198"/>
  <c r="K7198"/>
  <c r="N7198"/>
  <c r="W7198"/>
  <c r="H7199"/>
  <c r="I7199"/>
  <c r="K7199"/>
  <c r="N7199"/>
  <c r="W7199"/>
  <c r="H7200"/>
  <c r="I7200"/>
  <c r="K7200"/>
  <c r="N7200"/>
  <c r="W7200"/>
  <c r="H7201"/>
  <c r="I7201"/>
  <c r="K7201"/>
  <c r="N7201"/>
  <c r="W7201"/>
  <c r="H7202"/>
  <c r="I7202"/>
  <c r="K7202"/>
  <c r="N7202"/>
  <c r="W7202"/>
  <c r="H7203"/>
  <c r="I7203"/>
  <c r="K7203"/>
  <c r="N7203"/>
  <c r="W7203"/>
  <c r="H7204"/>
  <c r="I7204"/>
  <c r="K7204"/>
  <c r="N7204"/>
  <c r="W7204"/>
  <c r="H7205"/>
  <c r="I7205"/>
  <c r="K7205"/>
  <c r="N7205"/>
  <c r="W7205"/>
  <c r="H7206"/>
  <c r="I7206"/>
  <c r="K7206"/>
  <c r="N7206"/>
  <c r="W7206"/>
  <c r="H7207"/>
  <c r="I7207"/>
  <c r="K7207"/>
  <c r="N7207"/>
  <c r="W7207"/>
  <c r="H7208"/>
  <c r="I7208"/>
  <c r="K7208"/>
  <c r="N7208"/>
  <c r="W7208"/>
  <c r="H7209"/>
  <c r="I7209"/>
  <c r="K7209"/>
  <c r="N7209"/>
  <c r="W7209"/>
  <c r="H7210"/>
  <c r="I7210"/>
  <c r="K7210"/>
  <c r="N7210"/>
  <c r="W7210"/>
  <c r="H7211"/>
  <c r="I7211"/>
  <c r="K7211"/>
  <c r="N7211"/>
  <c r="W7211"/>
  <c r="H7212"/>
  <c r="I7212"/>
  <c r="K7212"/>
  <c r="N7212"/>
  <c r="W7212"/>
  <c r="H7213"/>
  <c r="I7213"/>
  <c r="K7213"/>
  <c r="N7213"/>
  <c r="W7213"/>
  <c r="H7214"/>
  <c r="I7214"/>
  <c r="K7214"/>
  <c r="N7214"/>
  <c r="W7214"/>
  <c r="H7215"/>
  <c r="I7215"/>
  <c r="K7215"/>
  <c r="N7215"/>
  <c r="W7215"/>
  <c r="H7216"/>
  <c r="I7216"/>
  <c r="K7216"/>
  <c r="N7216"/>
  <c r="W7216"/>
  <c r="H7217"/>
  <c r="I7217"/>
  <c r="K7217"/>
  <c r="N7217"/>
  <c r="W7217"/>
  <c r="H7218"/>
  <c r="I7218"/>
  <c r="K7218"/>
  <c r="N7218"/>
  <c r="W7218"/>
  <c r="H7219"/>
  <c r="I7219"/>
  <c r="K7219"/>
  <c r="N7219"/>
  <c r="W7219"/>
  <c r="H7220"/>
  <c r="I7220"/>
  <c r="K7220"/>
  <c r="N7220"/>
  <c r="W7220"/>
  <c r="H7221"/>
  <c r="I7221"/>
  <c r="K7221"/>
  <c r="N7221"/>
  <c r="W7221"/>
  <c r="H7222"/>
  <c r="I7222"/>
  <c r="K7222"/>
  <c r="N7222"/>
  <c r="W7222"/>
  <c r="H7223"/>
  <c r="I7223"/>
  <c r="K7223"/>
  <c r="N7223"/>
  <c r="W7223"/>
  <c r="H7224"/>
  <c r="I7224"/>
  <c r="K7224"/>
  <c r="N7224"/>
  <c r="W7224"/>
  <c r="H7225"/>
  <c r="I7225"/>
  <c r="K7225"/>
  <c r="N7225"/>
  <c r="W7225"/>
  <c r="H7226"/>
  <c r="I7226"/>
  <c r="K7226"/>
  <c r="N7226"/>
  <c r="W7226"/>
  <c r="H7227"/>
  <c r="I7227"/>
  <c r="K7227"/>
  <c r="N7227"/>
  <c r="W7227"/>
  <c r="H7228"/>
  <c r="I7228"/>
  <c r="K7228"/>
  <c r="N7228"/>
  <c r="W7228"/>
  <c r="H7229"/>
  <c r="I7229"/>
  <c r="K7229"/>
  <c r="N7229"/>
  <c r="W7229"/>
  <c r="H7230"/>
  <c r="I7230"/>
  <c r="K7230"/>
  <c r="N7230"/>
  <c r="W7230"/>
  <c r="H7231"/>
  <c r="I7231"/>
  <c r="K7231"/>
  <c r="N7231"/>
  <c r="W7231"/>
  <c r="H7232"/>
  <c r="I7232"/>
  <c r="K7232"/>
  <c r="N7232"/>
  <c r="W7232"/>
  <c r="H7233"/>
  <c r="I7233"/>
  <c r="K7233"/>
  <c r="N7233"/>
  <c r="W7233"/>
  <c r="H7234"/>
  <c r="I7234"/>
  <c r="K7234"/>
  <c r="N7234"/>
  <c r="W7234"/>
  <c r="H7235"/>
  <c r="I7235"/>
  <c r="K7235"/>
  <c r="N7235"/>
  <c r="W7235"/>
  <c r="H7236"/>
  <c r="I7236"/>
  <c r="K7236"/>
  <c r="N7236"/>
  <c r="W7236"/>
  <c r="H7237"/>
  <c r="I7237"/>
  <c r="K7237"/>
  <c r="N7237"/>
  <c r="W7237"/>
  <c r="H7238"/>
  <c r="I7238"/>
  <c r="K7238"/>
  <c r="N7238"/>
  <c r="W7238"/>
  <c r="H7239"/>
  <c r="I7239"/>
  <c r="K7239"/>
  <c r="N7239"/>
  <c r="W7239"/>
  <c r="H7240"/>
  <c r="I7240"/>
  <c r="K7240"/>
  <c r="N7240"/>
  <c r="W7240"/>
  <c r="H7241"/>
  <c r="I7241"/>
  <c r="K7241"/>
  <c r="N7241"/>
  <c r="W7241"/>
  <c r="H7242"/>
  <c r="I7242"/>
  <c r="K7242"/>
  <c r="N7242"/>
  <c r="W7242"/>
  <c r="H7243"/>
  <c r="I7243"/>
  <c r="K7243"/>
  <c r="N7243"/>
  <c r="W7243"/>
  <c r="H7244"/>
  <c r="I7244"/>
  <c r="K7244"/>
  <c r="N7244"/>
  <c r="W7244"/>
  <c r="H7245"/>
  <c r="I7245"/>
  <c r="K7245"/>
  <c r="N7245"/>
  <c r="W7245"/>
  <c r="H7246"/>
  <c r="I7246"/>
  <c r="K7246"/>
  <c r="N7246"/>
  <c r="W7246"/>
  <c r="H7247"/>
  <c r="I7247"/>
  <c r="K7247"/>
  <c r="N7247"/>
  <c r="W7247"/>
  <c r="H7248"/>
  <c r="I7248"/>
  <c r="K7248"/>
  <c r="N7248"/>
  <c r="W7248"/>
  <c r="H7249"/>
  <c r="I7249"/>
  <c r="K7249"/>
  <c r="N7249"/>
  <c r="W7249"/>
  <c r="H7250"/>
  <c r="I7250"/>
  <c r="K7250"/>
  <c r="N7250"/>
  <c r="W7250"/>
  <c r="H7251"/>
  <c r="I7251"/>
  <c r="K7251"/>
  <c r="N7251"/>
  <c r="W7251"/>
  <c r="H7252"/>
  <c r="I7252"/>
  <c r="K7252"/>
  <c r="N7252"/>
  <c r="W7252"/>
  <c r="H7253"/>
  <c r="I7253"/>
  <c r="K7253"/>
  <c r="N7253"/>
  <c r="W7253"/>
  <c r="H7254"/>
  <c r="I7254"/>
  <c r="K7254"/>
  <c r="N7254"/>
  <c r="W7254"/>
  <c r="H7255"/>
  <c r="I7255"/>
  <c r="K7255"/>
  <c r="N7255"/>
  <c r="W7255"/>
  <c r="H7256"/>
  <c r="I7256"/>
  <c r="K7256"/>
  <c r="N7256"/>
  <c r="W7256"/>
  <c r="H7257"/>
  <c r="I7257"/>
  <c r="K7257"/>
  <c r="N7257"/>
  <c r="W7257"/>
  <c r="H7258"/>
  <c r="I7258"/>
  <c r="K7258"/>
  <c r="N7258"/>
  <c r="W7258"/>
  <c r="H7259"/>
  <c r="I7259"/>
  <c r="K7259"/>
  <c r="N7259"/>
  <c r="W7259"/>
  <c r="H7260"/>
  <c r="I7260"/>
  <c r="K7260"/>
  <c r="N7260"/>
  <c r="W7260"/>
  <c r="H7261"/>
  <c r="I7261"/>
  <c r="K7261"/>
  <c r="N7261"/>
  <c r="W7261"/>
  <c r="H7262"/>
  <c r="I7262"/>
  <c r="K7262"/>
  <c r="N7262"/>
  <c r="W7262"/>
  <c r="H7263"/>
  <c r="I7263"/>
  <c r="K7263"/>
  <c r="N7263"/>
  <c r="W7263"/>
  <c r="H7264"/>
  <c r="I7264"/>
  <c r="K7264"/>
  <c r="N7264"/>
  <c r="W7264"/>
  <c r="H7265"/>
  <c r="I7265"/>
  <c r="K7265"/>
  <c r="N7265"/>
  <c r="W7265"/>
  <c r="H7266"/>
  <c r="I7266"/>
  <c r="K7266"/>
  <c r="N7266"/>
  <c r="W7266"/>
  <c r="H7267"/>
  <c r="I7267"/>
  <c r="K7267"/>
  <c r="N7267"/>
  <c r="W7267"/>
  <c r="H7268"/>
  <c r="I7268"/>
  <c r="K7268"/>
  <c r="N7268"/>
  <c r="W7268"/>
  <c r="H7269"/>
  <c r="I7269"/>
  <c r="K7269"/>
  <c r="N7269"/>
  <c r="W7269"/>
  <c r="H7270"/>
  <c r="I7270"/>
  <c r="K7270"/>
  <c r="N7270"/>
  <c r="W7270"/>
  <c r="H7271"/>
  <c r="I7271"/>
  <c r="K7271"/>
  <c r="N7271"/>
  <c r="W7271"/>
  <c r="H7272"/>
  <c r="I7272"/>
  <c r="K7272"/>
  <c r="N7272"/>
  <c r="W7272"/>
  <c r="H7273"/>
  <c r="I7273"/>
  <c r="K7273"/>
  <c r="N7273"/>
  <c r="W7273"/>
  <c r="H7274"/>
  <c r="I7274"/>
  <c r="K7274"/>
  <c r="N7274"/>
  <c r="W7274"/>
  <c r="H7275"/>
  <c r="I7275"/>
  <c r="K7275"/>
  <c r="N7275"/>
  <c r="W7275"/>
  <c r="H7276"/>
  <c r="I7276"/>
  <c r="K7276"/>
  <c r="N7276"/>
  <c r="W7276"/>
  <c r="H7277"/>
  <c r="I7277"/>
  <c r="K7277"/>
  <c r="N7277"/>
  <c r="W7277"/>
  <c r="H7278"/>
  <c r="I7278"/>
  <c r="K7278"/>
  <c r="N7278"/>
  <c r="W7278"/>
  <c r="H7279"/>
  <c r="I7279"/>
  <c r="K7279"/>
  <c r="N7279"/>
  <c r="W7279"/>
  <c r="H7280"/>
  <c r="I7280"/>
  <c r="K7280"/>
  <c r="N7280"/>
  <c r="W7280"/>
  <c r="H7281"/>
  <c r="I7281"/>
  <c r="K7281"/>
  <c r="N7281"/>
  <c r="W7281"/>
  <c r="H7282"/>
  <c r="I7282"/>
  <c r="K7282"/>
  <c r="N7282"/>
  <c r="W7282"/>
  <c r="H7283"/>
  <c r="I7283"/>
  <c r="K7283"/>
  <c r="N7283"/>
  <c r="W7283"/>
  <c r="H7284"/>
  <c r="I7284"/>
  <c r="K7284"/>
  <c r="N7284"/>
  <c r="W7284"/>
  <c r="H7285"/>
  <c r="I7285"/>
  <c r="K7285"/>
  <c r="N7285"/>
  <c r="W7285"/>
  <c r="H7286"/>
  <c r="I7286"/>
  <c r="K7286"/>
  <c r="N7286"/>
  <c r="W7286"/>
  <c r="H7287"/>
  <c r="I7287"/>
  <c r="K7287"/>
  <c r="N7287"/>
  <c r="W7287"/>
  <c r="H7288"/>
  <c r="I7288"/>
  <c r="K7288"/>
  <c r="N7288"/>
  <c r="W7288"/>
  <c r="H7289"/>
  <c r="I7289"/>
  <c r="K7289"/>
  <c r="N7289"/>
  <c r="W7289"/>
  <c r="H7290"/>
  <c r="I7290"/>
  <c r="K7290"/>
  <c r="N7290"/>
  <c r="W7290"/>
  <c r="H7291"/>
  <c r="I7291"/>
  <c r="K7291"/>
  <c r="N7291"/>
  <c r="W7291"/>
  <c r="H7292"/>
  <c r="I7292"/>
  <c r="K7292"/>
  <c r="N7292"/>
  <c r="W7292"/>
  <c r="H7293"/>
  <c r="I7293"/>
  <c r="K7293"/>
  <c r="N7293"/>
  <c r="W7293"/>
  <c r="H7294"/>
  <c r="I7294"/>
  <c r="K7294"/>
  <c r="N7294"/>
  <c r="W7294"/>
  <c r="H7295"/>
  <c r="I7295"/>
  <c r="K7295"/>
  <c r="N7295"/>
  <c r="W7295"/>
  <c r="H7296"/>
  <c r="I7296"/>
  <c r="K7296"/>
  <c r="N7296"/>
  <c r="W7296"/>
  <c r="H7297"/>
  <c r="I7297"/>
  <c r="K7297"/>
  <c r="N7297"/>
  <c r="W7297"/>
  <c r="H7298"/>
  <c r="I7298"/>
  <c r="K7298"/>
  <c r="N7298"/>
  <c r="W7298"/>
  <c r="H7299"/>
  <c r="I7299"/>
  <c r="K7299"/>
  <c r="N7299"/>
  <c r="W7299"/>
  <c r="H7300"/>
  <c r="I7300"/>
  <c r="K7300"/>
  <c r="N7300"/>
  <c r="W7300"/>
  <c r="H7301"/>
  <c r="I7301"/>
  <c r="K7301"/>
  <c r="N7301"/>
  <c r="W7301"/>
  <c r="H7302"/>
  <c r="I7302"/>
  <c r="K7302"/>
  <c r="N7302"/>
  <c r="W7302"/>
  <c r="H7303"/>
  <c r="I7303"/>
  <c r="K7303"/>
  <c r="N7303"/>
  <c r="W7303"/>
  <c r="H7304"/>
  <c r="I7304"/>
  <c r="K7304"/>
  <c r="N7304"/>
  <c r="W7304"/>
  <c r="H7305"/>
  <c r="I7305"/>
  <c r="K7305"/>
  <c r="N7305"/>
  <c r="W7305"/>
  <c r="H7306"/>
  <c r="I7306"/>
  <c r="K7306"/>
  <c r="N7306"/>
  <c r="W7306"/>
  <c r="H7307"/>
  <c r="I7307"/>
  <c r="K7307"/>
  <c r="N7307"/>
  <c r="W7307"/>
  <c r="H7308"/>
  <c r="I7308"/>
  <c r="K7308"/>
  <c r="N7308"/>
  <c r="W7308"/>
  <c r="H7309"/>
  <c r="I7309"/>
  <c r="K7309"/>
  <c r="N7309"/>
  <c r="W7309"/>
  <c r="H7310"/>
  <c r="I7310"/>
  <c r="K7310"/>
  <c r="N7310"/>
  <c r="W7310"/>
  <c r="H7311"/>
  <c r="I7311"/>
  <c r="K7311"/>
  <c r="N7311"/>
  <c r="W7311"/>
  <c r="H7312"/>
  <c r="I7312"/>
  <c r="K7312"/>
  <c r="N7312"/>
  <c r="W7312"/>
  <c r="H7313"/>
  <c r="I7313"/>
  <c r="K7313"/>
  <c r="N7313"/>
  <c r="W7313"/>
  <c r="H7314"/>
  <c r="I7314"/>
  <c r="K7314"/>
  <c r="N7314"/>
  <c r="W7314"/>
  <c r="H7315"/>
  <c r="I7315"/>
  <c r="K7315"/>
  <c r="N7315"/>
  <c r="W7315"/>
  <c r="H7316"/>
  <c r="I7316"/>
  <c r="K7316"/>
  <c r="N7316"/>
  <c r="W7316"/>
  <c r="H7317"/>
  <c r="I7317"/>
  <c r="K7317"/>
  <c r="N7317"/>
  <c r="W7317"/>
  <c r="H7318"/>
  <c r="I7318"/>
  <c r="K7318"/>
  <c r="N7318"/>
  <c r="W7318"/>
  <c r="H7319"/>
  <c r="I7319"/>
  <c r="K7319"/>
  <c r="N7319"/>
  <c r="W7319"/>
  <c r="H7320"/>
  <c r="I7320"/>
  <c r="K7320"/>
  <c r="N7320"/>
  <c r="W7320"/>
  <c r="H7321"/>
  <c r="I7321"/>
  <c r="K7321"/>
  <c r="N7321"/>
  <c r="W7321"/>
  <c r="H7322"/>
  <c r="I7322"/>
  <c r="K7322"/>
  <c r="N7322"/>
  <c r="W7322"/>
  <c r="H7323"/>
  <c r="I7323"/>
  <c r="K7323"/>
  <c r="N7323"/>
  <c r="W7323"/>
  <c r="H7324"/>
  <c r="I7324"/>
  <c r="K7324"/>
  <c r="N7324"/>
  <c r="W7324"/>
  <c r="H7325"/>
  <c r="I7325"/>
  <c r="K7325"/>
  <c r="N7325"/>
  <c r="W7325"/>
  <c r="H7326"/>
  <c r="I7326"/>
  <c r="K7326"/>
  <c r="N7326"/>
  <c r="W7326"/>
  <c r="H7327"/>
  <c r="I7327"/>
  <c r="K7327"/>
  <c r="N7327"/>
  <c r="W7327"/>
  <c r="H7328"/>
  <c r="I7328"/>
  <c r="K7328"/>
  <c r="N7328"/>
  <c r="W7328"/>
  <c r="H7329"/>
  <c r="I7329"/>
  <c r="K7329"/>
  <c r="N7329"/>
  <c r="W7329"/>
  <c r="H7330"/>
  <c r="I7330"/>
  <c r="K7330"/>
  <c r="N7330"/>
  <c r="W7330"/>
  <c r="H7331"/>
  <c r="I7331"/>
  <c r="K7331"/>
  <c r="N7331"/>
  <c r="W7331"/>
  <c r="H7332"/>
  <c r="I7332"/>
  <c r="K7332"/>
  <c r="N7332"/>
  <c r="W7332"/>
  <c r="H7333"/>
  <c r="I7333"/>
  <c r="K7333"/>
  <c r="N7333"/>
  <c r="W7333"/>
  <c r="H7334"/>
  <c r="I7334"/>
  <c r="K7334"/>
  <c r="N7334"/>
  <c r="W7334"/>
  <c r="H7335"/>
  <c r="I7335"/>
  <c r="K7335"/>
  <c r="N7335"/>
  <c r="W7335"/>
  <c r="H7336"/>
  <c r="I7336"/>
  <c r="K7336"/>
  <c r="N7336"/>
  <c r="W7336"/>
  <c r="H7337"/>
  <c r="I7337"/>
  <c r="K7337"/>
  <c r="N7337"/>
  <c r="W7337"/>
  <c r="H7338"/>
  <c r="I7338"/>
  <c r="K7338"/>
  <c r="N7338"/>
  <c r="W7338"/>
  <c r="H7339"/>
  <c r="I7339"/>
  <c r="K7339"/>
  <c r="N7339"/>
  <c r="W7339"/>
  <c r="H7340"/>
  <c r="I7340"/>
  <c r="K7340"/>
  <c r="N7340"/>
  <c r="W7340"/>
  <c r="H7341"/>
  <c r="I7341"/>
  <c r="K7341"/>
  <c r="N7341"/>
  <c r="W7341"/>
  <c r="H7342"/>
  <c r="I7342"/>
  <c r="K7342"/>
  <c r="N7342"/>
  <c r="W7342"/>
  <c r="H7343"/>
  <c r="I7343"/>
  <c r="K7343"/>
  <c r="N7343"/>
  <c r="W7343"/>
  <c r="H7344"/>
  <c r="I7344"/>
  <c r="K7344"/>
  <c r="N7344"/>
  <c r="W7344"/>
  <c r="H7345"/>
  <c r="I7345"/>
  <c r="K7345"/>
  <c r="N7345"/>
  <c r="W7345"/>
  <c r="H7346"/>
  <c r="I7346"/>
  <c r="K7346"/>
  <c r="N7346"/>
  <c r="W7346"/>
  <c r="H7347"/>
  <c r="I7347"/>
  <c r="K7347"/>
  <c r="N7347"/>
  <c r="W7347"/>
  <c r="H7348"/>
  <c r="I7348"/>
  <c r="K7348"/>
  <c r="N7348"/>
  <c r="W7348"/>
  <c r="H7349"/>
  <c r="I7349"/>
  <c r="K7349"/>
  <c r="N7349"/>
  <c r="W7349"/>
  <c r="H7350"/>
  <c r="I7350"/>
  <c r="K7350"/>
  <c r="N7350"/>
  <c r="W7350"/>
  <c r="H7351"/>
  <c r="I7351"/>
  <c r="K7351"/>
  <c r="N7351"/>
  <c r="W7351"/>
  <c r="H7352"/>
  <c r="I7352"/>
  <c r="K7352"/>
  <c r="N7352"/>
  <c r="W7352"/>
  <c r="H7353"/>
  <c r="I7353"/>
  <c r="K7353"/>
  <c r="N7353"/>
  <c r="W7353"/>
  <c r="H7354"/>
  <c r="I7354"/>
  <c r="K7354"/>
  <c r="N7354"/>
  <c r="W7354"/>
  <c r="H7355"/>
  <c r="I7355"/>
  <c r="K7355"/>
  <c r="N7355"/>
  <c r="W7355"/>
  <c r="H7356"/>
  <c r="I7356"/>
  <c r="K7356"/>
  <c r="N7356"/>
  <c r="W7356"/>
  <c r="H7357"/>
  <c r="I7357"/>
  <c r="K7357"/>
  <c r="N7357"/>
  <c r="W7357"/>
  <c r="H7358"/>
  <c r="I7358"/>
  <c r="K7358"/>
  <c r="N7358"/>
  <c r="W7358"/>
  <c r="H7359"/>
  <c r="I7359"/>
  <c r="K7359"/>
  <c r="N7359"/>
  <c r="W7359"/>
  <c r="H7360"/>
  <c r="I7360"/>
  <c r="K7360"/>
  <c r="N7360"/>
  <c r="W7360"/>
  <c r="H7361"/>
  <c r="I7361"/>
  <c r="K7361"/>
  <c r="N7361"/>
  <c r="W7361"/>
  <c r="H7362"/>
  <c r="I7362"/>
  <c r="K7362"/>
  <c r="N7362"/>
  <c r="W7362"/>
  <c r="H7363"/>
  <c r="I7363"/>
  <c r="K7363"/>
  <c r="N7363"/>
  <c r="W7363"/>
  <c r="H7364"/>
  <c r="I7364"/>
  <c r="K7364"/>
  <c r="N7364"/>
  <c r="W7364"/>
  <c r="H7365"/>
  <c r="I7365"/>
  <c r="K7365"/>
  <c r="N7365"/>
  <c r="W7365"/>
  <c r="H7366"/>
  <c r="I7366"/>
  <c r="K7366"/>
  <c r="N7366"/>
  <c r="W7366"/>
  <c r="H7367"/>
  <c r="I7367"/>
  <c r="K7367"/>
  <c r="N7367"/>
  <c r="W7367"/>
  <c r="H7368"/>
  <c r="I7368"/>
  <c r="K7368"/>
  <c r="N7368"/>
  <c r="W7368"/>
  <c r="H7369"/>
  <c r="I7369"/>
  <c r="K7369"/>
  <c r="N7369"/>
  <c r="W7369"/>
  <c r="H7370"/>
  <c r="I7370"/>
  <c r="K7370"/>
  <c r="N7370"/>
  <c r="W7370"/>
  <c r="H7371"/>
  <c r="I7371"/>
  <c r="K7371"/>
  <c r="N7371"/>
  <c r="W7371"/>
  <c r="H7372"/>
  <c r="I7372"/>
  <c r="K7372"/>
  <c r="N7372"/>
  <c r="W7372"/>
  <c r="H7373"/>
  <c r="I7373"/>
  <c r="K7373"/>
  <c r="N7373"/>
  <c r="W7373"/>
  <c r="H7374"/>
  <c r="I7374"/>
  <c r="K7374"/>
  <c r="N7374"/>
  <c r="W7374"/>
  <c r="H7375"/>
  <c r="I7375"/>
  <c r="K7375"/>
  <c r="N7375"/>
  <c r="W7375"/>
  <c r="H7376"/>
  <c r="I7376"/>
  <c r="K7376"/>
  <c r="N7376"/>
  <c r="W7376"/>
  <c r="H7377"/>
  <c r="I7377"/>
  <c r="K7377"/>
  <c r="N7377"/>
  <c r="W7377"/>
  <c r="H7378"/>
  <c r="I7378"/>
  <c r="K7378"/>
  <c r="N7378"/>
  <c r="W7378"/>
  <c r="H7379"/>
  <c r="I7379"/>
  <c r="K7379"/>
  <c r="N7379"/>
  <c r="W7379"/>
  <c r="H7380"/>
  <c r="I7380"/>
  <c r="K7380"/>
  <c r="N7380"/>
  <c r="W7380"/>
  <c r="H7381"/>
  <c r="I7381"/>
  <c r="K7381"/>
  <c r="N7381"/>
  <c r="W7381"/>
  <c r="H7382"/>
  <c r="I7382"/>
  <c r="K7382"/>
  <c r="N7382"/>
  <c r="W7382"/>
  <c r="H7383"/>
  <c r="I7383"/>
  <c r="K7383"/>
  <c r="N7383"/>
  <c r="W7383"/>
  <c r="H7384"/>
  <c r="I7384"/>
  <c r="K7384"/>
  <c r="N7384"/>
  <c r="W7384"/>
  <c r="H7385"/>
  <c r="I7385"/>
  <c r="K7385"/>
  <c r="N7385"/>
  <c r="W7385"/>
  <c r="H7386"/>
  <c r="I7386"/>
  <c r="K7386"/>
  <c r="N7386"/>
  <c r="W7386"/>
  <c r="H7387"/>
  <c r="I7387"/>
  <c r="K7387"/>
  <c r="N7387"/>
  <c r="W7387"/>
  <c r="H7388"/>
  <c r="I7388"/>
  <c r="K7388"/>
  <c r="N7388"/>
  <c r="W7388"/>
  <c r="H7389"/>
  <c r="I7389"/>
  <c r="K7389"/>
  <c r="N7389"/>
  <c r="W7389"/>
  <c r="H7390"/>
  <c r="I7390"/>
  <c r="K7390"/>
  <c r="N7390"/>
  <c r="W7390"/>
  <c r="H7391"/>
  <c r="I7391"/>
  <c r="K7391"/>
  <c r="N7391"/>
  <c r="W7391"/>
  <c r="H7392"/>
  <c r="I7392"/>
  <c r="K7392"/>
  <c r="N7392"/>
  <c r="W7392"/>
  <c r="H7393"/>
  <c r="I7393"/>
  <c r="K7393"/>
  <c r="N7393"/>
  <c r="W7393"/>
  <c r="H7394"/>
  <c r="I7394"/>
  <c r="K7394"/>
  <c r="N7394"/>
  <c r="W7394"/>
  <c r="H7395"/>
  <c r="I7395"/>
  <c r="K7395"/>
  <c r="N7395"/>
  <c r="W7395"/>
  <c r="H7396"/>
  <c r="I7396"/>
  <c r="K7396"/>
  <c r="N7396"/>
  <c r="W7396"/>
  <c r="H7397"/>
  <c r="I7397"/>
  <c r="K7397"/>
  <c r="N7397"/>
  <c r="W7397"/>
  <c r="H7398"/>
  <c r="I7398"/>
  <c r="K7398"/>
  <c r="N7398"/>
  <c r="W7398"/>
  <c r="H7399"/>
  <c r="I7399"/>
  <c r="K7399"/>
  <c r="N7399"/>
  <c r="W7399"/>
  <c r="H7400"/>
  <c r="I7400"/>
  <c r="K7400"/>
  <c r="N7400"/>
  <c r="W7400"/>
  <c r="H7401"/>
  <c r="I7401"/>
  <c r="K7401"/>
  <c r="N7401"/>
  <c r="W7401"/>
  <c r="H7402"/>
  <c r="I7402"/>
  <c r="K7402"/>
  <c r="N7402"/>
  <c r="W7402"/>
  <c r="H7403"/>
  <c r="I7403"/>
  <c r="K7403"/>
  <c r="N7403"/>
  <c r="W7403"/>
  <c r="H7404"/>
  <c r="I7404"/>
  <c r="K7404"/>
  <c r="N7404"/>
  <c r="W7404"/>
  <c r="H7405"/>
  <c r="I7405"/>
  <c r="K7405"/>
  <c r="N7405"/>
  <c r="W7405"/>
  <c r="H7406"/>
  <c r="I7406"/>
  <c r="K7406"/>
  <c r="N7406"/>
  <c r="W7406"/>
  <c r="H7407"/>
  <c r="I7407"/>
  <c r="K7407"/>
  <c r="N7407"/>
  <c r="W7407"/>
  <c r="H7408"/>
  <c r="I7408"/>
  <c r="K7408"/>
  <c r="N7408"/>
  <c r="W7408"/>
  <c r="H7409"/>
  <c r="I7409"/>
  <c r="K7409"/>
  <c r="N7409"/>
  <c r="W7409"/>
  <c r="H7410"/>
  <c r="I7410"/>
  <c r="K7410"/>
  <c r="N7410"/>
  <c r="W7410"/>
  <c r="H7411"/>
  <c r="I7411"/>
  <c r="K7411"/>
  <c r="N7411"/>
  <c r="W7411"/>
  <c r="H7412"/>
  <c r="I7412"/>
  <c r="K7412"/>
  <c r="N7412"/>
  <c r="W7412"/>
  <c r="H7413"/>
  <c r="I7413"/>
  <c r="K7413"/>
  <c r="N7413"/>
  <c r="W7413"/>
  <c r="H7414"/>
  <c r="I7414"/>
  <c r="K7414"/>
  <c r="N7414"/>
  <c r="W7414"/>
  <c r="H7415"/>
  <c r="I7415"/>
  <c r="K7415"/>
  <c r="N7415"/>
  <c r="W7415"/>
  <c r="H7416"/>
  <c r="I7416"/>
  <c r="K7416"/>
  <c r="N7416"/>
  <c r="W7416"/>
  <c r="H7417"/>
  <c r="I7417"/>
  <c r="K7417"/>
  <c r="N7417"/>
  <c r="W7417"/>
  <c r="H7418"/>
  <c r="I7418"/>
  <c r="K7418"/>
  <c r="N7418"/>
  <c r="W7418"/>
  <c r="H7419"/>
  <c r="I7419"/>
  <c r="K7419"/>
  <c r="N7419"/>
  <c r="W7419"/>
  <c r="H7420"/>
  <c r="I7420"/>
  <c r="K7420"/>
  <c r="N7420"/>
  <c r="W7420"/>
  <c r="H7421"/>
  <c r="I7421"/>
  <c r="K7421"/>
  <c r="N7421"/>
  <c r="W7421"/>
  <c r="H7422"/>
  <c r="I7422"/>
  <c r="K7422"/>
  <c r="N7422"/>
  <c r="W7422"/>
  <c r="H7423"/>
  <c r="I7423"/>
  <c r="K7423"/>
  <c r="N7423"/>
  <c r="W7423"/>
  <c r="H7424"/>
  <c r="I7424"/>
  <c r="K7424"/>
  <c r="N7424"/>
  <c r="W7424"/>
  <c r="H7425"/>
  <c r="I7425"/>
  <c r="K7425"/>
  <c r="N7425"/>
  <c r="W7425"/>
  <c r="H7426"/>
  <c r="I7426"/>
  <c r="K7426"/>
  <c r="N7426"/>
  <c r="W7426"/>
  <c r="H7427"/>
  <c r="I7427"/>
  <c r="K7427"/>
  <c r="N7427"/>
  <c r="W7427"/>
  <c r="H7428"/>
  <c r="I7428"/>
  <c r="K7428"/>
  <c r="N7428"/>
  <c r="W7428"/>
  <c r="H7429"/>
  <c r="I7429"/>
  <c r="K7429"/>
  <c r="N7429"/>
  <c r="W7429"/>
  <c r="H7430"/>
  <c r="I7430"/>
  <c r="K7430"/>
  <c r="N7430"/>
  <c r="W7430"/>
  <c r="H7431"/>
  <c r="I7431"/>
  <c r="K7431"/>
  <c r="N7431"/>
  <c r="W7431"/>
  <c r="H7432"/>
  <c r="I7432"/>
  <c r="K7432"/>
  <c r="N7432"/>
  <c r="W7432"/>
  <c r="H7433"/>
  <c r="I7433"/>
  <c r="K7433"/>
  <c r="N7433"/>
  <c r="W7433"/>
  <c r="H7434"/>
  <c r="I7434"/>
  <c r="K7434"/>
  <c r="N7434"/>
  <c r="W7434"/>
  <c r="H7435"/>
  <c r="I7435"/>
  <c r="K7435"/>
  <c r="N7435"/>
  <c r="W7435"/>
  <c r="H7436"/>
  <c r="I7436"/>
  <c r="K7436"/>
  <c r="N7436"/>
  <c r="W7436"/>
  <c r="H7437"/>
  <c r="I7437"/>
  <c r="K7437"/>
  <c r="N7437"/>
  <c r="W7437"/>
  <c r="H7438"/>
  <c r="I7438"/>
  <c r="K7438"/>
  <c r="N7438"/>
  <c r="W7438"/>
  <c r="H7439"/>
  <c r="I7439"/>
  <c r="K7439"/>
  <c r="N7439"/>
  <c r="W7439"/>
  <c r="H7440"/>
  <c r="I7440"/>
  <c r="K7440"/>
  <c r="N7440"/>
  <c r="W7440"/>
  <c r="H7441"/>
  <c r="I7441"/>
  <c r="K7441"/>
  <c r="N7441"/>
  <c r="W7441"/>
  <c r="H7442"/>
  <c r="I7442"/>
  <c r="K7442"/>
  <c r="N7442"/>
  <c r="W7442"/>
  <c r="H7443"/>
  <c r="I7443"/>
  <c r="K7443"/>
  <c r="N7443"/>
  <c r="W7443"/>
  <c r="H7444"/>
  <c r="I7444"/>
  <c r="K7444"/>
  <c r="N7444"/>
  <c r="W7444"/>
  <c r="H7445"/>
  <c r="I7445"/>
  <c r="K7445"/>
  <c r="N7445"/>
  <c r="W7445"/>
  <c r="H7446"/>
  <c r="I7446"/>
  <c r="K7446"/>
  <c r="N7446"/>
  <c r="W7446"/>
  <c r="H7447"/>
  <c r="I7447"/>
  <c r="K7447"/>
  <c r="N7447"/>
  <c r="W7447"/>
  <c r="H7448"/>
  <c r="I7448"/>
  <c r="K7448"/>
  <c r="N7448"/>
  <c r="W7448"/>
  <c r="H7449"/>
  <c r="I7449"/>
  <c r="K7449"/>
  <c r="N7449"/>
  <c r="W7449"/>
  <c r="H7450"/>
  <c r="I7450"/>
  <c r="K7450"/>
  <c r="N7450"/>
  <c r="W7450"/>
  <c r="H7451"/>
  <c r="I7451"/>
  <c r="K7451"/>
  <c r="N7451"/>
  <c r="W7451"/>
  <c r="H7452"/>
  <c r="I7452"/>
  <c r="K7452"/>
  <c r="N7452"/>
  <c r="W7452"/>
  <c r="H7453"/>
  <c r="I7453"/>
  <c r="K7453"/>
  <c r="N7453"/>
  <c r="W7453"/>
  <c r="H7454"/>
  <c r="I7454"/>
  <c r="K7454"/>
  <c r="N7454"/>
  <c r="W7454"/>
  <c r="H7455"/>
  <c r="I7455"/>
  <c r="K7455"/>
  <c r="N7455"/>
  <c r="W7455"/>
  <c r="H7456"/>
  <c r="I7456"/>
  <c r="K7456"/>
  <c r="N7456"/>
  <c r="W7456"/>
  <c r="H7457"/>
  <c r="I7457"/>
  <c r="K7457"/>
  <c r="N7457"/>
  <c r="W7457"/>
  <c r="H7458"/>
  <c r="I7458"/>
  <c r="K7458"/>
  <c r="N7458"/>
  <c r="W7458"/>
  <c r="H7459"/>
  <c r="I7459"/>
  <c r="K7459"/>
  <c r="N7459"/>
  <c r="W7459"/>
  <c r="H7460"/>
  <c r="I7460"/>
  <c r="K7460"/>
  <c r="N7460"/>
  <c r="W7460"/>
  <c r="H7461"/>
  <c r="I7461"/>
  <c r="K7461"/>
  <c r="N7461"/>
  <c r="W7461"/>
  <c r="H7462"/>
  <c r="I7462"/>
  <c r="K7462"/>
  <c r="N7462"/>
  <c r="W7462"/>
  <c r="H7463"/>
  <c r="I7463"/>
  <c r="K7463"/>
  <c r="N7463"/>
  <c r="W7463"/>
  <c r="H7464"/>
  <c r="I7464"/>
  <c r="K7464"/>
  <c r="N7464"/>
  <c r="W7464"/>
  <c r="H7465"/>
  <c r="I7465"/>
  <c r="K7465"/>
  <c r="N7465"/>
  <c r="W7465"/>
  <c r="H7466"/>
  <c r="I7466"/>
  <c r="K7466"/>
  <c r="N7466"/>
  <c r="W7466"/>
  <c r="H7467"/>
  <c r="I7467"/>
  <c r="K7467"/>
  <c r="N7467"/>
  <c r="W7467"/>
  <c r="H7468"/>
  <c r="I7468"/>
  <c r="K7468"/>
  <c r="N7468"/>
  <c r="W7468"/>
  <c r="H7469"/>
  <c r="I7469"/>
  <c r="K7469"/>
  <c r="N7469"/>
  <c r="W7469"/>
  <c r="H7470"/>
  <c r="I7470"/>
  <c r="K7470"/>
  <c r="N7470"/>
  <c r="W7470"/>
  <c r="H7471"/>
  <c r="I7471"/>
  <c r="K7471"/>
  <c r="N7471"/>
  <c r="W7471"/>
  <c r="H7472"/>
  <c r="I7472"/>
  <c r="K7472"/>
  <c r="N7472"/>
  <c r="W7472"/>
  <c r="H7473"/>
  <c r="I7473"/>
  <c r="K7473"/>
  <c r="N7473"/>
  <c r="W7473"/>
  <c r="H7474"/>
  <c r="I7474"/>
  <c r="K7474"/>
  <c r="N7474"/>
  <c r="W7474"/>
  <c r="H7475"/>
  <c r="I7475"/>
  <c r="K7475"/>
  <c r="N7475"/>
  <c r="W7475"/>
  <c r="H7476"/>
  <c r="I7476"/>
  <c r="K7476"/>
  <c r="N7476"/>
  <c r="W7476"/>
  <c r="H7477"/>
  <c r="I7477"/>
  <c r="K7477"/>
  <c r="N7477"/>
  <c r="W7477"/>
  <c r="H7478"/>
  <c r="I7478"/>
  <c r="K7478"/>
  <c r="N7478"/>
  <c r="W7478"/>
  <c r="H7479"/>
  <c r="I7479"/>
  <c r="K7479"/>
  <c r="N7479"/>
  <c r="W7479"/>
  <c r="H7480"/>
  <c r="I7480"/>
  <c r="K7480"/>
  <c r="N7480"/>
  <c r="W7480"/>
  <c r="H7481"/>
  <c r="I7481"/>
  <c r="K7481"/>
  <c r="N7481"/>
  <c r="W7481"/>
  <c r="H7482"/>
  <c r="I7482"/>
  <c r="K7482"/>
  <c r="N7482"/>
  <c r="W7482"/>
  <c r="H7483"/>
  <c r="I7483"/>
  <c r="K7483"/>
  <c r="N7483"/>
  <c r="W7483"/>
  <c r="H7484"/>
  <c r="I7484"/>
  <c r="K7484"/>
  <c r="N7484"/>
  <c r="W7484"/>
  <c r="H7485"/>
  <c r="I7485"/>
  <c r="K7485"/>
  <c r="N7485"/>
  <c r="W7485"/>
  <c r="H7486"/>
  <c r="I7486"/>
  <c r="K7486"/>
  <c r="N7486"/>
  <c r="W7486"/>
  <c r="H7487"/>
  <c r="I7487"/>
  <c r="K7487"/>
  <c r="N7487"/>
  <c r="W7487"/>
  <c r="H7488"/>
  <c r="I7488"/>
  <c r="K7488"/>
  <c r="N7488"/>
  <c r="W7488"/>
  <c r="H7489"/>
  <c r="I7489"/>
  <c r="K7489"/>
  <c r="N7489"/>
  <c r="W7489"/>
  <c r="H7490"/>
  <c r="I7490"/>
  <c r="K7490"/>
  <c r="N7490"/>
  <c r="W7490"/>
  <c r="H7491"/>
  <c r="I7491"/>
  <c r="K7491"/>
  <c r="N7491"/>
  <c r="W7491"/>
  <c r="H7492"/>
  <c r="I7492"/>
  <c r="K7492"/>
  <c r="N7492"/>
  <c r="W7492"/>
  <c r="H7493"/>
  <c r="I7493"/>
  <c r="K7493"/>
  <c r="N7493"/>
  <c r="W7493"/>
  <c r="H7494"/>
  <c r="I7494"/>
  <c r="K7494"/>
  <c r="N7494"/>
  <c r="W7494"/>
  <c r="H7495"/>
  <c r="I7495"/>
  <c r="K7495"/>
  <c r="N7495"/>
  <c r="W7495"/>
  <c r="H7496"/>
  <c r="I7496"/>
  <c r="K7496"/>
  <c r="N7496"/>
  <c r="W7496"/>
  <c r="H7497"/>
  <c r="I7497"/>
  <c r="K7497"/>
  <c r="N7497"/>
  <c r="W7497"/>
  <c r="H7498"/>
  <c r="I7498"/>
  <c r="K7498"/>
  <c r="N7498"/>
  <c r="W7498"/>
  <c r="H7499"/>
  <c r="I7499"/>
  <c r="K7499"/>
  <c r="N7499"/>
  <c r="W7499"/>
  <c r="H7500"/>
  <c r="I7500"/>
  <c r="K7500"/>
  <c r="N7500"/>
  <c r="W7500"/>
  <c r="H7501"/>
  <c r="I7501"/>
  <c r="K7501"/>
  <c r="N7501"/>
  <c r="W7501"/>
  <c r="H7502"/>
  <c r="I7502"/>
  <c r="K7502"/>
  <c r="N7502"/>
  <c r="W7502"/>
  <c r="H7503"/>
  <c r="I7503"/>
  <c r="K7503"/>
  <c r="N7503"/>
  <c r="W7503"/>
  <c r="H7504"/>
  <c r="I7504"/>
  <c r="K7504"/>
  <c r="N7504"/>
  <c r="W7504"/>
  <c r="H7505"/>
  <c r="I7505"/>
  <c r="K7505"/>
  <c r="N7505"/>
  <c r="W7505"/>
  <c r="H7506"/>
  <c r="I7506"/>
  <c r="K7506"/>
  <c r="N7506"/>
  <c r="W7506"/>
  <c r="H7507"/>
  <c r="I7507"/>
  <c r="K7507"/>
  <c r="N7507"/>
  <c r="W7507"/>
  <c r="H7508"/>
  <c r="I7508"/>
  <c r="K7508"/>
  <c r="N7508"/>
  <c r="W7508"/>
  <c r="H7509"/>
  <c r="I7509"/>
  <c r="K7509"/>
  <c r="N7509"/>
  <c r="W7509"/>
  <c r="H7510"/>
  <c r="I7510"/>
  <c r="K7510"/>
  <c r="N7510"/>
  <c r="W7510"/>
  <c r="H7511"/>
  <c r="I7511"/>
  <c r="K7511"/>
  <c r="N7511"/>
  <c r="W7511"/>
  <c r="H7512"/>
  <c r="I7512"/>
  <c r="K7512"/>
  <c r="N7512"/>
  <c r="W7512"/>
  <c r="H7513"/>
  <c r="I7513"/>
  <c r="K7513"/>
  <c r="N7513"/>
  <c r="W7513"/>
  <c r="H7514"/>
  <c r="I7514"/>
  <c r="K7514"/>
  <c r="N7514"/>
  <c r="W7514"/>
  <c r="H7515"/>
  <c r="I7515"/>
  <c r="K7515"/>
  <c r="N7515"/>
  <c r="W7515"/>
  <c r="H7516"/>
  <c r="I7516"/>
  <c r="K7516"/>
  <c r="N7516"/>
  <c r="W7516"/>
  <c r="H7517"/>
  <c r="I7517"/>
  <c r="K7517"/>
  <c r="N7517"/>
  <c r="W7517"/>
  <c r="H7518"/>
  <c r="I7518"/>
  <c r="K7518"/>
  <c r="N7518"/>
  <c r="W7518"/>
  <c r="H7519"/>
  <c r="I7519"/>
  <c r="K7519"/>
  <c r="N7519"/>
  <c r="W7519"/>
  <c r="H7520"/>
  <c r="I7520"/>
  <c r="K7520"/>
  <c r="N7520"/>
  <c r="W7520"/>
  <c r="H7521"/>
  <c r="I7521"/>
  <c r="K7521"/>
  <c r="N7521"/>
  <c r="W7521"/>
  <c r="H7522"/>
  <c r="I7522"/>
  <c r="K7522"/>
  <c r="N7522"/>
  <c r="W7522"/>
  <c r="H7523"/>
  <c r="I7523"/>
  <c r="K7523"/>
  <c r="N7523"/>
  <c r="W7523"/>
  <c r="H7524"/>
  <c r="I7524"/>
  <c r="K7524"/>
  <c r="N7524"/>
  <c r="W7524"/>
  <c r="H7525"/>
  <c r="I7525"/>
  <c r="K7525"/>
  <c r="N7525"/>
  <c r="W7525"/>
  <c r="H7526"/>
  <c r="I7526"/>
  <c r="K7526"/>
  <c r="N7526"/>
  <c r="W7526"/>
  <c r="H7527"/>
  <c r="I7527"/>
  <c r="K7527"/>
  <c r="N7527"/>
  <c r="W7527"/>
  <c r="H7528"/>
  <c r="I7528"/>
  <c r="K7528"/>
  <c r="N7528"/>
  <c r="W7528"/>
  <c r="H7529"/>
  <c r="I7529"/>
  <c r="K7529"/>
  <c r="N7529"/>
  <c r="W7529"/>
  <c r="H7530"/>
  <c r="I7530"/>
  <c r="K7530"/>
  <c r="N7530"/>
  <c r="W7530"/>
  <c r="H7531"/>
  <c r="I7531"/>
  <c r="K7531"/>
  <c r="N7531"/>
  <c r="W7531"/>
  <c r="H7532"/>
  <c r="I7532"/>
  <c r="K7532"/>
  <c r="N7532"/>
  <c r="W7532"/>
  <c r="H7533"/>
  <c r="I7533"/>
  <c r="K7533"/>
  <c r="N7533"/>
  <c r="W7533"/>
  <c r="H7534"/>
  <c r="I7534"/>
  <c r="K7534"/>
  <c r="N7534"/>
  <c r="W7534"/>
  <c r="H7535"/>
  <c r="I7535"/>
  <c r="K7535"/>
  <c r="N7535"/>
  <c r="W7535"/>
  <c r="H7536"/>
  <c r="I7536"/>
  <c r="K7536"/>
  <c r="N7536"/>
  <c r="W7536"/>
  <c r="H7537"/>
  <c r="I7537"/>
  <c r="K7537"/>
  <c r="N7537"/>
  <c r="W7537"/>
  <c r="H7538"/>
  <c r="I7538"/>
  <c r="K7538"/>
  <c r="N7538"/>
  <c r="W7538"/>
  <c r="H7539"/>
  <c r="I7539"/>
  <c r="K7539"/>
  <c r="N7539"/>
  <c r="W7539"/>
  <c r="H7540"/>
  <c r="I7540"/>
  <c r="K7540"/>
  <c r="N7540"/>
  <c r="W7540"/>
  <c r="H7541"/>
  <c r="I7541"/>
  <c r="K7541"/>
  <c r="N7541"/>
  <c r="W7541"/>
  <c r="H7542"/>
  <c r="I7542"/>
  <c r="K7542"/>
  <c r="N7542"/>
  <c r="W7542"/>
  <c r="H7543"/>
  <c r="I7543"/>
  <c r="K7543"/>
  <c r="N7543"/>
  <c r="W7543"/>
  <c r="H7544"/>
  <c r="I7544"/>
  <c r="K7544"/>
  <c r="N7544"/>
  <c r="W7544"/>
  <c r="H7545"/>
  <c r="I7545"/>
  <c r="K7545"/>
  <c r="N7545"/>
  <c r="W7545"/>
  <c r="H7546"/>
  <c r="I7546"/>
  <c r="K7546"/>
  <c r="N7546"/>
  <c r="W7546"/>
  <c r="H7547"/>
  <c r="I7547"/>
  <c r="K7547"/>
  <c r="N7547"/>
  <c r="W7547"/>
  <c r="H7548"/>
  <c r="I7548"/>
  <c r="K7548"/>
  <c r="N7548"/>
  <c r="W7548"/>
  <c r="H7549"/>
  <c r="I7549"/>
  <c r="K7549"/>
  <c r="N7549"/>
  <c r="W7549"/>
  <c r="H7550"/>
  <c r="I7550"/>
  <c r="K7550"/>
  <c r="N7550"/>
  <c r="W7550"/>
  <c r="H7551"/>
  <c r="I7551"/>
  <c r="K7551"/>
  <c r="N7551"/>
  <c r="W7551"/>
  <c r="H7552"/>
  <c r="I7552"/>
  <c r="K7552"/>
  <c r="N7552"/>
  <c r="W7552"/>
  <c r="H7553"/>
  <c r="I7553"/>
  <c r="K7553"/>
  <c r="N7553"/>
  <c r="W7553"/>
  <c r="H7554"/>
  <c r="I7554"/>
  <c r="K7554"/>
  <c r="N7554"/>
  <c r="W7554"/>
  <c r="H7555"/>
  <c r="I7555"/>
  <c r="K7555"/>
  <c r="N7555"/>
  <c r="W7555"/>
  <c r="H7556"/>
  <c r="I7556"/>
  <c r="K7556"/>
  <c r="N7556"/>
  <c r="W7556"/>
  <c r="H7557"/>
  <c r="I7557"/>
  <c r="K7557"/>
  <c r="N7557"/>
  <c r="W7557"/>
  <c r="H7558"/>
  <c r="I7558"/>
  <c r="K7558"/>
  <c r="N7558"/>
  <c r="W7558"/>
  <c r="H7559"/>
  <c r="I7559"/>
  <c r="K7559"/>
  <c r="N7559"/>
  <c r="W7559"/>
  <c r="H7560"/>
  <c r="I7560"/>
  <c r="K7560"/>
  <c r="N7560"/>
  <c r="W7560"/>
  <c r="H7561"/>
  <c r="I7561"/>
  <c r="K7561"/>
  <c r="N7561"/>
  <c r="W7561"/>
  <c r="H7562"/>
  <c r="I7562"/>
  <c r="K7562"/>
  <c r="N7562"/>
  <c r="W7562"/>
  <c r="H7563"/>
  <c r="I7563"/>
  <c r="K7563"/>
  <c r="N7563"/>
  <c r="W7563"/>
  <c r="H7564"/>
  <c r="I7564"/>
  <c r="K7564"/>
  <c r="N7564"/>
  <c r="W7564"/>
  <c r="H7565"/>
  <c r="I7565"/>
  <c r="K7565"/>
  <c r="N7565"/>
  <c r="W7565"/>
  <c r="H7566"/>
  <c r="I7566"/>
  <c r="K7566"/>
  <c r="N7566"/>
  <c r="W7566"/>
  <c r="H7567"/>
  <c r="I7567"/>
  <c r="K7567"/>
  <c r="N7567"/>
  <c r="W7567"/>
  <c r="H7568"/>
  <c r="I7568"/>
  <c r="K7568"/>
  <c r="N7568"/>
  <c r="W7568"/>
  <c r="H7569"/>
  <c r="I7569"/>
  <c r="K7569"/>
  <c r="N7569"/>
  <c r="W7569"/>
  <c r="H7570"/>
  <c r="I7570"/>
  <c r="K7570"/>
  <c r="N7570"/>
  <c r="W7570"/>
  <c r="H7571"/>
  <c r="I7571"/>
  <c r="K7571"/>
  <c r="N7571"/>
  <c r="W7571"/>
  <c r="H7572"/>
  <c r="I7572"/>
  <c r="K7572"/>
  <c r="N7572"/>
  <c r="W7572"/>
  <c r="H7573"/>
  <c r="I7573"/>
  <c r="K7573"/>
  <c r="N7573"/>
  <c r="W7573"/>
  <c r="H7574"/>
  <c r="I7574"/>
  <c r="K7574"/>
  <c r="N7574"/>
  <c r="W7574"/>
  <c r="H7575"/>
  <c r="I7575"/>
  <c r="K7575"/>
  <c r="N7575"/>
  <c r="W7575"/>
  <c r="H7576"/>
  <c r="I7576"/>
  <c r="K7576"/>
  <c r="N7576"/>
  <c r="W7576"/>
  <c r="H7577"/>
  <c r="I7577"/>
  <c r="K7577"/>
  <c r="N7577"/>
  <c r="W7577"/>
  <c r="H7578"/>
  <c r="I7578"/>
  <c r="K7578"/>
  <c r="N7578"/>
  <c r="W7578"/>
  <c r="H7579"/>
  <c r="I7579"/>
  <c r="K7579"/>
  <c r="N7579"/>
  <c r="W7579"/>
  <c r="H7580"/>
  <c r="I7580"/>
  <c r="K7580"/>
  <c r="N7580"/>
  <c r="W7580"/>
  <c r="H7581"/>
  <c r="I7581"/>
  <c r="K7581"/>
  <c r="N7581"/>
  <c r="W7581"/>
  <c r="H7582"/>
  <c r="I7582"/>
  <c r="K7582"/>
  <c r="N7582"/>
  <c r="W7582"/>
  <c r="H7583"/>
  <c r="I7583"/>
  <c r="K7583"/>
  <c r="N7583"/>
  <c r="W7583"/>
  <c r="H7584"/>
  <c r="I7584"/>
  <c r="K7584"/>
  <c r="N7584"/>
  <c r="W7584"/>
  <c r="H7585"/>
  <c r="I7585"/>
  <c r="K7585"/>
  <c r="N7585"/>
  <c r="W7585"/>
  <c r="H7586"/>
  <c r="I7586"/>
  <c r="K7586"/>
  <c r="N7586"/>
  <c r="W7586"/>
  <c r="H7587"/>
  <c r="I7587"/>
  <c r="K7587"/>
  <c r="N7587"/>
  <c r="W7587"/>
  <c r="H7588"/>
  <c r="I7588"/>
  <c r="K7588"/>
  <c r="N7588"/>
  <c r="W7588"/>
  <c r="H7589"/>
  <c r="I7589"/>
  <c r="K7589"/>
  <c r="N7589"/>
  <c r="W7589"/>
  <c r="H7590"/>
  <c r="I7590"/>
  <c r="K7590"/>
  <c r="N7590"/>
  <c r="W7590"/>
  <c r="H7591"/>
  <c r="I7591"/>
  <c r="K7591"/>
  <c r="N7591"/>
  <c r="W7591"/>
  <c r="H7592"/>
  <c r="I7592"/>
  <c r="K7592"/>
  <c r="N7592"/>
  <c r="W7592"/>
  <c r="H7593"/>
  <c r="I7593"/>
  <c r="K7593"/>
  <c r="N7593"/>
  <c r="W7593"/>
  <c r="H7594"/>
  <c r="I7594"/>
  <c r="K7594"/>
  <c r="N7594"/>
  <c r="W7594"/>
  <c r="H7595"/>
  <c r="I7595"/>
  <c r="K7595"/>
  <c r="N7595"/>
  <c r="W7595"/>
  <c r="H7596"/>
  <c r="I7596"/>
  <c r="K7596"/>
  <c r="N7596"/>
  <c r="W7596"/>
  <c r="H7597"/>
  <c r="I7597"/>
  <c r="K7597"/>
  <c r="N7597"/>
  <c r="W7597"/>
  <c r="H7598"/>
  <c r="I7598"/>
  <c r="K7598"/>
  <c r="N7598"/>
  <c r="W7598"/>
  <c r="H7599"/>
  <c r="I7599"/>
  <c r="K7599"/>
  <c r="N7599"/>
  <c r="W7599"/>
  <c r="H7600"/>
  <c r="I7600"/>
  <c r="K7600"/>
  <c r="N7600"/>
  <c r="W7600"/>
  <c r="H7601"/>
  <c r="I7601"/>
  <c r="K7601"/>
  <c r="N7601"/>
  <c r="W7601"/>
  <c r="H7602"/>
  <c r="I7602"/>
  <c r="K7602"/>
  <c r="N7602"/>
  <c r="W7602"/>
  <c r="H7603"/>
  <c r="I7603"/>
  <c r="K7603"/>
  <c r="N7603"/>
  <c r="W7603"/>
  <c r="H7604"/>
  <c r="I7604"/>
  <c r="K7604"/>
  <c r="N7604"/>
  <c r="W7604"/>
  <c r="H7605"/>
  <c r="I7605"/>
  <c r="K7605"/>
  <c r="N7605"/>
  <c r="W7605"/>
  <c r="H7606"/>
  <c r="I7606"/>
  <c r="K7606"/>
  <c r="N7606"/>
  <c r="W7606"/>
  <c r="H7607"/>
  <c r="I7607"/>
  <c r="K7607"/>
  <c r="N7607"/>
  <c r="W7607"/>
  <c r="H7608"/>
  <c r="I7608"/>
  <c r="K7608"/>
  <c r="N7608"/>
  <c r="W7608"/>
  <c r="H7609"/>
  <c r="I7609"/>
  <c r="K7609"/>
  <c r="N7609"/>
  <c r="W7609"/>
  <c r="H7610"/>
  <c r="I7610"/>
  <c r="K7610"/>
  <c r="N7610"/>
  <c r="W7610"/>
  <c r="H7611"/>
  <c r="I7611"/>
  <c r="K7611"/>
  <c r="N7611"/>
  <c r="W7611"/>
  <c r="H7612"/>
  <c r="I7612"/>
  <c r="K7612"/>
  <c r="N7612"/>
  <c r="W7612"/>
  <c r="H7613"/>
  <c r="I7613"/>
  <c r="K7613"/>
  <c r="N7613"/>
  <c r="W7613"/>
  <c r="H7614"/>
  <c r="I7614"/>
  <c r="K7614"/>
  <c r="N7614"/>
  <c r="W7614"/>
  <c r="H7615"/>
  <c r="I7615"/>
  <c r="K7615"/>
  <c r="N7615"/>
  <c r="W7615"/>
  <c r="H7616"/>
  <c r="I7616"/>
  <c r="K7616"/>
  <c r="N7616"/>
  <c r="W7616"/>
  <c r="H7617"/>
  <c r="I7617"/>
  <c r="K7617"/>
  <c r="N7617"/>
  <c r="W7617"/>
  <c r="H7618"/>
  <c r="I7618"/>
  <c r="K7618"/>
  <c r="N7618"/>
  <c r="W7618"/>
  <c r="H7619"/>
  <c r="I7619"/>
  <c r="K7619"/>
  <c r="N7619"/>
  <c r="W7619"/>
  <c r="H7620"/>
  <c r="I7620"/>
  <c r="K7620"/>
  <c r="N7620"/>
  <c r="W7620"/>
  <c r="H7621"/>
  <c r="I7621"/>
  <c r="K7621"/>
  <c r="N7621"/>
  <c r="W7621"/>
  <c r="H7622"/>
  <c r="I7622"/>
  <c r="K7622"/>
  <c r="N7622"/>
  <c r="W7622"/>
  <c r="H7623"/>
  <c r="I7623"/>
  <c r="K7623"/>
  <c r="N7623"/>
  <c r="W7623"/>
  <c r="H7624"/>
  <c r="I7624"/>
  <c r="K7624"/>
  <c r="N7624"/>
  <c r="W7624"/>
  <c r="H7625"/>
  <c r="I7625"/>
  <c r="K7625"/>
  <c r="N7625"/>
  <c r="W7625"/>
  <c r="H7626"/>
  <c r="I7626"/>
  <c r="K7626"/>
  <c r="N7626"/>
  <c r="W7626"/>
  <c r="H7627"/>
  <c r="I7627"/>
  <c r="K7627"/>
  <c r="N7627"/>
  <c r="W7627"/>
  <c r="H7628"/>
  <c r="I7628"/>
  <c r="K7628"/>
  <c r="N7628"/>
  <c r="W7628"/>
  <c r="H7629"/>
  <c r="I7629"/>
  <c r="K7629"/>
  <c r="N7629"/>
  <c r="W7629"/>
  <c r="H7630"/>
  <c r="I7630"/>
  <c r="K7630"/>
  <c r="N7630"/>
  <c r="W7630"/>
  <c r="H7631"/>
  <c r="I7631"/>
  <c r="K7631"/>
  <c r="N7631"/>
  <c r="W7631"/>
  <c r="H7632"/>
  <c r="I7632"/>
  <c r="K7632"/>
  <c r="N7632"/>
  <c r="W7632"/>
  <c r="H7633"/>
  <c r="I7633"/>
  <c r="K7633"/>
  <c r="N7633"/>
  <c r="W7633"/>
  <c r="H7634"/>
  <c r="I7634"/>
  <c r="K7634"/>
  <c r="N7634"/>
  <c r="W7634"/>
  <c r="H7635"/>
  <c r="I7635"/>
  <c r="K7635"/>
  <c r="N7635"/>
  <c r="W7635"/>
  <c r="H7636"/>
  <c r="I7636"/>
  <c r="K7636"/>
  <c r="N7636"/>
  <c r="W7636"/>
  <c r="H7637"/>
  <c r="I7637"/>
  <c r="K7637"/>
  <c r="N7637"/>
  <c r="W7637"/>
  <c r="H7638"/>
  <c r="I7638"/>
  <c r="K7638"/>
  <c r="N7638"/>
  <c r="W7638"/>
  <c r="H7639"/>
  <c r="I7639"/>
  <c r="K7639"/>
  <c r="N7639"/>
  <c r="W7639"/>
  <c r="H7640"/>
  <c r="I7640"/>
  <c r="K7640"/>
  <c r="N7640"/>
  <c r="W7640"/>
  <c r="H7641"/>
  <c r="I7641"/>
  <c r="K7641"/>
  <c r="N7641"/>
  <c r="W7641"/>
  <c r="H7642"/>
  <c r="I7642"/>
  <c r="K7642"/>
  <c r="N7642"/>
  <c r="W7642"/>
  <c r="H7643"/>
  <c r="I7643"/>
  <c r="K7643"/>
  <c r="N7643"/>
  <c r="W7643"/>
  <c r="H7644"/>
  <c r="I7644"/>
  <c r="K7644"/>
  <c r="N7644"/>
  <c r="W7644"/>
  <c r="H7645"/>
  <c r="I7645"/>
  <c r="K7645"/>
  <c r="N7645"/>
  <c r="W7645"/>
  <c r="H7646"/>
  <c r="I7646"/>
  <c r="K7646"/>
  <c r="N7646"/>
  <c r="W7646"/>
  <c r="H7647"/>
  <c r="I7647"/>
  <c r="K7647"/>
  <c r="N7647"/>
  <c r="W7647"/>
  <c r="H7648"/>
  <c r="I7648"/>
  <c r="K7648"/>
  <c r="N7648"/>
  <c r="W7648"/>
  <c r="H7649"/>
  <c r="I7649"/>
  <c r="K7649"/>
  <c r="N7649"/>
  <c r="W7649"/>
  <c r="H7650"/>
  <c r="I7650"/>
  <c r="K7650"/>
  <c r="N7650"/>
  <c r="W7650"/>
  <c r="H7651"/>
  <c r="I7651"/>
  <c r="K7651"/>
  <c r="N7651"/>
  <c r="W7651"/>
  <c r="H7652"/>
  <c r="I7652"/>
  <c r="K7652"/>
  <c r="N7652"/>
  <c r="W7652"/>
  <c r="H7653"/>
  <c r="I7653"/>
  <c r="K7653"/>
  <c r="N7653"/>
  <c r="W7653"/>
  <c r="H7654"/>
  <c r="I7654"/>
  <c r="K7654"/>
  <c r="N7654"/>
  <c r="W7654"/>
  <c r="H7655"/>
  <c r="I7655"/>
  <c r="K7655"/>
  <c r="N7655"/>
  <c r="W7655"/>
  <c r="H7656"/>
  <c r="I7656"/>
  <c r="K7656"/>
  <c r="N7656"/>
  <c r="W7656"/>
  <c r="H7657"/>
  <c r="I7657"/>
  <c r="K7657"/>
  <c r="N7657"/>
  <c r="W7657"/>
  <c r="H7658"/>
  <c r="I7658"/>
  <c r="K7658"/>
  <c r="N7658"/>
  <c r="W7658"/>
  <c r="H7659"/>
  <c r="I7659"/>
  <c r="K7659"/>
  <c r="N7659"/>
  <c r="W7659"/>
  <c r="H7660"/>
  <c r="I7660"/>
  <c r="K7660"/>
  <c r="N7660"/>
  <c r="W7660"/>
  <c r="H7661"/>
  <c r="I7661"/>
  <c r="K7661"/>
  <c r="N7661"/>
  <c r="W7661"/>
  <c r="H7662"/>
  <c r="I7662"/>
  <c r="K7662"/>
  <c r="N7662"/>
  <c r="W7662"/>
  <c r="H7663"/>
  <c r="I7663"/>
  <c r="K7663"/>
  <c r="N7663"/>
  <c r="W7663"/>
  <c r="H7664"/>
  <c r="I7664"/>
  <c r="K7664"/>
  <c r="N7664"/>
  <c r="W7664"/>
  <c r="H7665"/>
  <c r="I7665"/>
  <c r="K7665"/>
  <c r="N7665"/>
  <c r="W7665"/>
  <c r="H7666"/>
  <c r="I7666"/>
  <c r="K7666"/>
  <c r="N7666"/>
  <c r="W7666"/>
  <c r="H7667"/>
  <c r="I7667"/>
  <c r="K7667"/>
  <c r="N7667"/>
  <c r="W7667"/>
  <c r="H7668"/>
  <c r="I7668"/>
  <c r="K7668"/>
  <c r="N7668"/>
  <c r="W7668"/>
  <c r="H7669"/>
  <c r="I7669"/>
  <c r="K7669"/>
  <c r="N7669"/>
  <c r="W7669"/>
  <c r="H7670"/>
  <c r="I7670"/>
  <c r="K7670"/>
  <c r="N7670"/>
  <c r="W7670"/>
  <c r="H7671"/>
  <c r="I7671"/>
  <c r="K7671"/>
  <c r="N7671"/>
  <c r="W7671"/>
  <c r="H7672"/>
  <c r="I7672"/>
  <c r="K7672"/>
  <c r="N7672"/>
  <c r="W7672"/>
  <c r="H7673"/>
  <c r="I7673"/>
  <c r="K7673"/>
  <c r="N7673"/>
  <c r="W7673"/>
  <c r="H7674"/>
  <c r="I7674"/>
  <c r="K7674"/>
  <c r="N7674"/>
  <c r="W7674"/>
  <c r="H7675"/>
  <c r="I7675"/>
  <c r="K7675"/>
  <c r="N7675"/>
  <c r="W7675"/>
  <c r="H7676"/>
  <c r="I7676"/>
  <c r="K7676"/>
  <c r="N7676"/>
  <c r="W7676"/>
  <c r="H7677"/>
  <c r="I7677"/>
  <c r="K7677"/>
  <c r="N7677"/>
  <c r="W7677"/>
  <c r="H7678"/>
  <c r="I7678"/>
  <c r="K7678"/>
  <c r="N7678"/>
  <c r="W7678"/>
  <c r="H7679"/>
  <c r="I7679"/>
  <c r="K7679"/>
  <c r="N7679"/>
  <c r="W7679"/>
  <c r="H7680"/>
  <c r="I7680"/>
  <c r="K7680"/>
  <c r="N7680"/>
  <c r="W7680"/>
  <c r="H7681"/>
  <c r="I7681"/>
  <c r="K7681"/>
  <c r="N7681"/>
  <c r="W7681"/>
  <c r="H7682"/>
  <c r="I7682"/>
  <c r="K7682"/>
  <c r="N7682"/>
  <c r="W7682"/>
  <c r="H7683"/>
  <c r="I7683"/>
  <c r="K7683"/>
  <c r="N7683"/>
  <c r="W7683"/>
  <c r="H7684"/>
  <c r="I7684"/>
  <c r="K7684"/>
  <c r="N7684"/>
  <c r="W7684"/>
  <c r="H7685"/>
  <c r="I7685"/>
  <c r="K7685"/>
  <c r="N7685"/>
  <c r="W7685"/>
  <c r="H7686"/>
  <c r="I7686"/>
  <c r="K7686"/>
  <c r="N7686"/>
  <c r="W7686"/>
  <c r="H7687"/>
  <c r="I7687"/>
  <c r="K7687"/>
  <c r="N7687"/>
  <c r="W7687"/>
  <c r="H7688"/>
  <c r="I7688"/>
  <c r="K7688"/>
  <c r="N7688"/>
  <c r="W7688"/>
  <c r="H7689"/>
  <c r="I7689"/>
  <c r="K7689"/>
  <c r="N7689"/>
  <c r="W7689"/>
  <c r="H7690"/>
  <c r="I7690"/>
  <c r="K7690"/>
  <c r="N7690"/>
  <c r="W7690"/>
  <c r="H7691"/>
  <c r="I7691"/>
  <c r="K7691"/>
  <c r="N7691"/>
  <c r="W7691"/>
  <c r="H7692"/>
  <c r="I7692"/>
  <c r="K7692"/>
  <c r="N7692"/>
  <c r="W7692"/>
  <c r="H7693"/>
  <c r="I7693"/>
  <c r="K7693"/>
  <c r="N7693"/>
  <c r="W7693"/>
  <c r="H7694"/>
  <c r="I7694"/>
  <c r="K7694"/>
  <c r="N7694"/>
  <c r="W7694"/>
  <c r="H7695"/>
  <c r="I7695"/>
  <c r="K7695"/>
  <c r="N7695"/>
  <c r="W7695"/>
  <c r="H7696"/>
  <c r="I7696"/>
  <c r="K7696"/>
  <c r="N7696"/>
  <c r="W7696"/>
  <c r="H7697"/>
  <c r="I7697"/>
  <c r="K7697"/>
  <c r="N7697"/>
  <c r="W7697"/>
  <c r="H7698"/>
  <c r="I7698"/>
  <c r="K7698"/>
  <c r="N7698"/>
  <c r="W7698"/>
  <c r="H7699"/>
  <c r="I7699"/>
  <c r="K7699"/>
  <c r="N7699"/>
  <c r="W7699"/>
  <c r="H7700"/>
  <c r="I7700"/>
  <c r="K7700"/>
  <c r="N7700"/>
  <c r="W7700"/>
  <c r="H7701"/>
  <c r="I7701"/>
  <c r="K7701"/>
  <c r="N7701"/>
  <c r="W7701"/>
  <c r="H7702"/>
  <c r="I7702"/>
  <c r="K7702"/>
  <c r="N7702"/>
  <c r="W7702"/>
  <c r="H7703"/>
  <c r="I7703"/>
  <c r="K7703"/>
  <c r="N7703"/>
  <c r="W7703"/>
  <c r="H7704"/>
  <c r="I7704"/>
  <c r="K7704"/>
  <c r="N7704"/>
  <c r="W7704"/>
  <c r="H7705"/>
  <c r="I7705"/>
  <c r="K7705"/>
  <c r="N7705"/>
  <c r="W7705"/>
  <c r="H7706"/>
  <c r="I7706"/>
  <c r="K7706"/>
  <c r="N7706"/>
  <c r="W7706"/>
  <c r="H7707"/>
  <c r="I7707"/>
  <c r="K7707"/>
  <c r="N7707"/>
  <c r="W7707"/>
  <c r="H7708"/>
  <c r="I7708"/>
  <c r="K7708"/>
  <c r="N7708"/>
  <c r="W7708"/>
  <c r="H7709"/>
  <c r="I7709"/>
  <c r="K7709"/>
  <c r="N7709"/>
  <c r="W7709"/>
  <c r="H7710"/>
  <c r="I7710"/>
  <c r="K7710"/>
  <c r="N7710"/>
  <c r="W7710"/>
  <c r="H7711"/>
  <c r="I7711"/>
  <c r="K7711"/>
  <c r="N7711"/>
  <c r="W7711"/>
  <c r="H7712"/>
  <c r="I7712"/>
  <c r="K7712"/>
  <c r="N7712"/>
  <c r="W7712"/>
  <c r="H7713"/>
  <c r="I7713"/>
  <c r="K7713"/>
  <c r="N7713"/>
  <c r="W7713"/>
  <c r="H7714"/>
  <c r="I7714"/>
  <c r="K7714"/>
  <c r="N7714"/>
  <c r="W7714"/>
  <c r="H7715"/>
  <c r="I7715"/>
  <c r="K7715"/>
  <c r="N7715"/>
  <c r="W7715"/>
  <c r="H7716"/>
  <c r="I7716"/>
  <c r="K7716"/>
  <c r="N7716"/>
  <c r="W7716"/>
  <c r="H7717"/>
  <c r="I7717"/>
  <c r="K7717"/>
  <c r="N7717"/>
  <c r="W7717"/>
  <c r="H7718"/>
  <c r="I7718"/>
  <c r="K7718"/>
  <c r="N7718"/>
  <c r="W7718"/>
  <c r="H7719"/>
  <c r="I7719"/>
  <c r="K7719"/>
  <c r="N7719"/>
  <c r="W7719"/>
  <c r="H7720"/>
  <c r="I7720"/>
  <c r="K7720"/>
  <c r="N7720"/>
  <c r="W7720"/>
  <c r="H7721"/>
  <c r="I7721"/>
  <c r="K7721"/>
  <c r="N7721"/>
  <c r="W7721"/>
  <c r="H7722"/>
  <c r="I7722"/>
  <c r="K7722"/>
  <c r="N7722"/>
  <c r="W7722"/>
  <c r="H7723"/>
  <c r="I7723"/>
  <c r="K7723"/>
  <c r="N7723"/>
  <c r="W7723"/>
  <c r="H7724"/>
  <c r="I7724"/>
  <c r="K7724"/>
  <c r="N7724"/>
  <c r="W7724"/>
  <c r="H7725"/>
  <c r="I7725"/>
  <c r="K7725"/>
  <c r="N7725"/>
  <c r="W7725"/>
  <c r="H7726"/>
  <c r="I7726"/>
  <c r="K7726"/>
  <c r="N7726"/>
  <c r="W7726"/>
  <c r="H7727"/>
  <c r="I7727"/>
  <c r="K7727"/>
  <c r="N7727"/>
  <c r="W7727"/>
  <c r="H7728"/>
  <c r="I7728"/>
  <c r="K7728"/>
  <c r="N7728"/>
  <c r="W7728"/>
  <c r="H7729"/>
  <c r="I7729"/>
  <c r="K7729"/>
  <c r="N7729"/>
  <c r="W7729"/>
  <c r="H7730"/>
  <c r="I7730"/>
  <c r="K7730"/>
  <c r="N7730"/>
  <c r="W7730"/>
  <c r="H7731"/>
  <c r="I7731"/>
  <c r="K7731"/>
  <c r="N7731"/>
  <c r="W7731"/>
  <c r="H7732"/>
  <c r="I7732"/>
  <c r="K7732"/>
  <c r="N7732"/>
  <c r="W7732"/>
  <c r="H7733"/>
  <c r="I7733"/>
  <c r="K7733"/>
  <c r="N7733"/>
  <c r="W7733"/>
  <c r="H7734"/>
  <c r="I7734"/>
  <c r="K7734"/>
  <c r="N7734"/>
  <c r="W7734"/>
  <c r="H7735"/>
  <c r="I7735"/>
  <c r="K7735"/>
  <c r="N7735"/>
  <c r="W7735"/>
  <c r="H7736"/>
  <c r="I7736"/>
  <c r="K7736"/>
  <c r="N7736"/>
  <c r="W7736"/>
  <c r="H7737"/>
  <c r="I7737"/>
  <c r="K7737"/>
  <c r="N7737"/>
  <c r="W7737"/>
  <c r="H7738"/>
  <c r="I7738"/>
  <c r="K7738"/>
  <c r="N7738"/>
  <c r="W7738"/>
  <c r="H7739"/>
  <c r="I7739"/>
  <c r="K7739"/>
  <c r="N7739"/>
  <c r="W7739"/>
  <c r="H7740"/>
  <c r="I7740"/>
  <c r="K7740"/>
  <c r="N7740"/>
  <c r="W7740"/>
  <c r="H7741"/>
  <c r="I7741"/>
  <c r="K7741"/>
  <c r="N7741"/>
  <c r="W7741"/>
  <c r="H7742"/>
  <c r="I7742"/>
  <c r="K7742"/>
  <c r="N7742"/>
  <c r="W7742"/>
  <c r="H7743"/>
  <c r="I7743"/>
  <c r="K7743"/>
  <c r="N7743"/>
  <c r="W7743"/>
  <c r="H7744"/>
  <c r="I7744"/>
  <c r="K7744"/>
  <c r="N7744"/>
  <c r="W7744"/>
  <c r="H7745"/>
  <c r="I7745"/>
  <c r="K7745"/>
  <c r="N7745"/>
  <c r="W7745"/>
  <c r="H7746"/>
  <c r="I7746"/>
  <c r="K7746"/>
  <c r="N7746"/>
  <c r="W7746"/>
  <c r="H7747"/>
  <c r="I7747"/>
  <c r="K7747"/>
  <c r="N7747"/>
  <c r="W7747"/>
  <c r="H7748"/>
  <c r="I7748"/>
  <c r="K7748"/>
  <c r="N7748"/>
  <c r="W7748"/>
  <c r="H7749"/>
  <c r="I7749"/>
  <c r="K7749"/>
  <c r="N7749"/>
  <c r="W7749"/>
  <c r="H7750"/>
  <c r="I7750"/>
  <c r="K7750"/>
  <c r="N7750"/>
  <c r="W7750"/>
  <c r="H7751"/>
  <c r="I7751"/>
  <c r="K7751"/>
  <c r="N7751"/>
  <c r="W7751"/>
  <c r="H7752"/>
  <c r="I7752"/>
  <c r="K7752"/>
  <c r="N7752"/>
  <c r="W7752"/>
  <c r="H7753"/>
  <c r="I7753"/>
  <c r="K7753"/>
  <c r="N7753"/>
  <c r="W7753"/>
  <c r="H7754"/>
  <c r="I7754"/>
  <c r="K7754"/>
  <c r="N7754"/>
  <c r="W7754"/>
  <c r="H7755"/>
  <c r="I7755"/>
  <c r="K7755"/>
  <c r="N7755"/>
  <c r="W7755"/>
  <c r="H7756"/>
  <c r="I7756"/>
  <c r="K7756"/>
  <c r="N7756"/>
  <c r="W7756"/>
  <c r="H7757"/>
  <c r="I7757"/>
  <c r="K7757"/>
  <c r="N7757"/>
  <c r="W7757"/>
  <c r="H7758"/>
  <c r="I7758"/>
  <c r="K7758"/>
  <c r="N7758"/>
  <c r="W7758"/>
  <c r="H7759"/>
  <c r="I7759"/>
  <c r="K7759"/>
  <c r="N7759"/>
  <c r="W7759"/>
  <c r="H7760"/>
  <c r="I7760"/>
  <c r="K7760"/>
  <c r="N7760"/>
  <c r="W7760"/>
  <c r="H7761"/>
  <c r="I7761"/>
  <c r="K7761"/>
  <c r="N7761"/>
  <c r="W7761"/>
  <c r="H7762"/>
  <c r="I7762"/>
  <c r="K7762"/>
  <c r="N7762"/>
  <c r="W7762"/>
  <c r="H7763"/>
  <c r="I7763"/>
  <c r="K7763"/>
  <c r="N7763"/>
  <c r="W7763"/>
  <c r="H7764"/>
  <c r="I7764"/>
  <c r="K7764"/>
  <c r="N7764"/>
  <c r="W7764"/>
  <c r="H7765"/>
  <c r="I7765"/>
  <c r="K7765"/>
  <c r="N7765"/>
  <c r="W7765"/>
  <c r="H7766"/>
  <c r="I7766"/>
  <c r="K7766"/>
  <c r="N7766"/>
  <c r="W7766"/>
  <c r="H7767"/>
  <c r="I7767"/>
  <c r="K7767"/>
  <c r="N7767"/>
  <c r="W7767"/>
  <c r="H7768"/>
  <c r="I7768"/>
  <c r="K7768"/>
  <c r="N7768"/>
  <c r="W7768"/>
  <c r="H7769"/>
  <c r="I7769"/>
  <c r="K7769"/>
  <c r="N7769"/>
  <c r="W7769"/>
  <c r="H7770"/>
  <c r="I7770"/>
  <c r="K7770"/>
  <c r="N7770"/>
  <c r="W7770"/>
  <c r="H7771"/>
  <c r="I7771"/>
  <c r="K7771"/>
  <c r="N7771"/>
  <c r="W7771"/>
  <c r="H7772"/>
  <c r="I7772"/>
  <c r="K7772"/>
  <c r="N7772"/>
  <c r="W7772"/>
  <c r="H7773"/>
  <c r="I7773"/>
  <c r="K7773"/>
  <c r="N7773"/>
  <c r="W7773"/>
  <c r="H7774"/>
  <c r="I7774"/>
  <c r="K7774"/>
  <c r="N7774"/>
  <c r="W7774"/>
  <c r="H7775"/>
  <c r="I7775"/>
  <c r="K7775"/>
  <c r="N7775"/>
  <c r="W7775"/>
  <c r="H7776"/>
  <c r="I7776"/>
  <c r="K7776"/>
  <c r="N7776"/>
  <c r="W7776"/>
  <c r="H7777"/>
  <c r="I7777"/>
  <c r="K7777"/>
  <c r="N7777"/>
  <c r="W7777"/>
  <c r="H7778"/>
  <c r="I7778"/>
  <c r="K7778"/>
  <c r="N7778"/>
  <c r="W7778"/>
  <c r="H7779"/>
  <c r="I7779"/>
  <c r="K7779"/>
  <c r="N7779"/>
  <c r="W7779"/>
  <c r="H7780"/>
  <c r="I7780"/>
  <c r="K7780"/>
  <c r="N7780"/>
  <c r="W7780"/>
  <c r="H7781"/>
  <c r="I7781"/>
  <c r="K7781"/>
  <c r="N7781"/>
  <c r="W7781"/>
  <c r="H7782"/>
  <c r="I7782"/>
  <c r="K7782"/>
  <c r="N7782"/>
  <c r="W7782"/>
  <c r="H7783"/>
  <c r="I7783"/>
  <c r="K7783"/>
  <c r="N7783"/>
  <c r="W7783"/>
  <c r="H7784"/>
  <c r="I7784"/>
  <c r="K7784"/>
  <c r="N7784"/>
  <c r="W7784"/>
  <c r="H7785"/>
  <c r="I7785"/>
  <c r="K7785"/>
  <c r="N7785"/>
  <c r="W7785"/>
  <c r="H7786"/>
  <c r="I7786"/>
  <c r="K7786"/>
  <c r="N7786"/>
  <c r="W7786"/>
  <c r="H7787"/>
  <c r="I7787"/>
  <c r="K7787"/>
  <c r="N7787"/>
  <c r="W7787"/>
  <c r="H7788"/>
  <c r="I7788"/>
  <c r="K7788"/>
  <c r="N7788"/>
  <c r="W7788"/>
  <c r="H7789"/>
  <c r="I7789"/>
  <c r="K7789"/>
  <c r="N7789"/>
  <c r="W7789"/>
  <c r="H7790"/>
  <c r="I7790"/>
  <c r="K7790"/>
  <c r="N7790"/>
  <c r="W7790"/>
  <c r="H7791"/>
  <c r="I7791"/>
  <c r="K7791"/>
  <c r="N7791"/>
  <c r="W7791"/>
  <c r="H7792"/>
  <c r="I7792"/>
  <c r="K7792"/>
  <c r="N7792"/>
  <c r="W7792"/>
  <c r="H7793"/>
  <c r="I7793"/>
  <c r="K7793"/>
  <c r="N7793"/>
  <c r="W7793"/>
  <c r="H7794"/>
  <c r="I7794"/>
  <c r="K7794"/>
  <c r="N7794"/>
  <c r="W7794"/>
  <c r="H7795"/>
  <c r="I7795"/>
  <c r="K7795"/>
  <c r="N7795"/>
  <c r="W7795"/>
  <c r="H7796"/>
  <c r="I7796"/>
  <c r="K7796"/>
  <c r="N7796"/>
  <c r="W7796"/>
  <c r="H7797"/>
  <c r="I7797"/>
  <c r="K7797"/>
  <c r="N7797"/>
  <c r="W7797"/>
  <c r="H7798"/>
  <c r="I7798"/>
  <c r="K7798"/>
  <c r="N7798"/>
  <c r="W7798"/>
  <c r="H7799"/>
  <c r="I7799"/>
  <c r="K7799"/>
  <c r="N7799"/>
  <c r="W7799"/>
  <c r="H7800"/>
  <c r="I7800"/>
  <c r="K7800"/>
  <c r="N7800"/>
  <c r="W7800"/>
  <c r="H7801"/>
  <c r="I7801"/>
  <c r="K7801"/>
  <c r="N7801"/>
  <c r="W7801"/>
  <c r="H7802"/>
  <c r="I7802"/>
  <c r="K7802"/>
  <c r="N7802"/>
  <c r="W7802"/>
  <c r="H7803"/>
  <c r="I7803"/>
  <c r="K7803"/>
  <c r="N7803"/>
  <c r="W7803"/>
  <c r="H7804"/>
  <c r="I7804"/>
  <c r="K7804"/>
  <c r="N7804"/>
  <c r="W7804"/>
  <c r="H7805"/>
  <c r="I7805"/>
  <c r="K7805"/>
  <c r="N7805"/>
  <c r="W7805"/>
  <c r="H7806"/>
  <c r="I7806"/>
  <c r="K7806"/>
  <c r="N7806"/>
  <c r="W7806"/>
  <c r="H7807"/>
  <c r="I7807"/>
  <c r="K7807"/>
  <c r="N7807"/>
  <c r="W7807"/>
  <c r="H7808"/>
  <c r="I7808"/>
  <c r="K7808"/>
  <c r="N7808"/>
  <c r="W7808"/>
  <c r="H7809"/>
  <c r="I7809"/>
  <c r="K7809"/>
  <c r="N7809"/>
  <c r="W7809"/>
  <c r="H7810"/>
  <c r="I7810"/>
  <c r="K7810"/>
  <c r="N7810"/>
  <c r="W7810"/>
  <c r="H7811"/>
  <c r="I7811"/>
  <c r="K7811"/>
  <c r="N7811"/>
  <c r="W7811"/>
  <c r="H7812"/>
  <c r="I7812"/>
  <c r="K7812"/>
  <c r="N7812"/>
  <c r="W7812"/>
  <c r="H7813"/>
  <c r="I7813"/>
  <c r="K7813"/>
  <c r="N7813"/>
  <c r="W7813"/>
  <c r="H7814"/>
  <c r="I7814"/>
  <c r="K7814"/>
  <c r="N7814"/>
  <c r="W7814"/>
  <c r="H7815"/>
  <c r="I7815"/>
  <c r="K7815"/>
  <c r="N7815"/>
  <c r="W7815"/>
  <c r="H7816"/>
  <c r="I7816"/>
  <c r="K7816"/>
  <c r="N7816"/>
  <c r="W7816"/>
  <c r="H7817"/>
  <c r="I7817"/>
  <c r="K7817"/>
  <c r="N7817"/>
  <c r="W7817"/>
  <c r="H7818"/>
  <c r="I7818"/>
  <c r="K7818"/>
  <c r="N7818"/>
  <c r="W7818"/>
  <c r="H7819"/>
  <c r="I7819"/>
  <c r="K7819"/>
  <c r="N7819"/>
  <c r="W7819"/>
  <c r="H7820"/>
  <c r="I7820"/>
  <c r="K7820"/>
  <c r="N7820"/>
  <c r="W7820"/>
  <c r="H7821"/>
  <c r="I7821"/>
  <c r="K7821"/>
  <c r="N7821"/>
  <c r="W7821"/>
  <c r="H7822"/>
  <c r="I7822"/>
  <c r="K7822"/>
  <c r="N7822"/>
  <c r="W7822"/>
  <c r="H7823"/>
  <c r="I7823"/>
  <c r="K7823"/>
  <c r="N7823"/>
  <c r="W7823"/>
  <c r="H7824"/>
  <c r="I7824"/>
  <c r="K7824"/>
  <c r="N7824"/>
  <c r="W7824"/>
  <c r="H7825"/>
  <c r="I7825"/>
  <c r="K7825"/>
  <c r="N7825"/>
  <c r="W7825"/>
  <c r="H7826"/>
  <c r="I7826"/>
  <c r="K7826"/>
  <c r="N7826"/>
  <c r="W7826"/>
  <c r="H7827"/>
  <c r="I7827"/>
  <c r="K7827"/>
  <c r="N7827"/>
  <c r="W7827"/>
  <c r="H7828"/>
  <c r="I7828"/>
  <c r="K7828"/>
  <c r="N7828"/>
  <c r="W7828"/>
  <c r="H7829"/>
  <c r="I7829"/>
  <c r="K7829"/>
  <c r="N7829"/>
  <c r="W7829"/>
  <c r="H7830"/>
  <c r="I7830"/>
  <c r="K7830"/>
  <c r="N7830"/>
  <c r="W7830"/>
  <c r="H7831"/>
  <c r="I7831"/>
  <c r="K7831"/>
  <c r="N7831"/>
  <c r="W7831"/>
  <c r="H7832"/>
  <c r="I7832"/>
  <c r="K7832"/>
  <c r="N7832"/>
  <c r="W7832"/>
  <c r="H7833"/>
  <c r="I7833"/>
  <c r="K7833"/>
  <c r="N7833"/>
  <c r="W7833"/>
  <c r="H7834"/>
  <c r="I7834"/>
  <c r="K7834"/>
  <c r="N7834"/>
  <c r="W7834"/>
  <c r="H7835"/>
  <c r="I7835"/>
  <c r="K7835"/>
  <c r="N7835"/>
  <c r="W7835"/>
  <c r="H7836"/>
  <c r="I7836"/>
  <c r="K7836"/>
  <c r="N7836"/>
  <c r="W7836"/>
  <c r="H7837"/>
  <c r="I7837"/>
  <c r="K7837"/>
  <c r="N7837"/>
  <c r="W7837"/>
  <c r="H7838"/>
  <c r="I7838"/>
  <c r="K7838"/>
  <c r="N7838"/>
  <c r="W7838"/>
  <c r="H7839"/>
  <c r="I7839"/>
  <c r="K7839"/>
  <c r="N7839"/>
  <c r="W7839"/>
  <c r="H7840"/>
  <c r="I7840"/>
  <c r="K7840"/>
  <c r="N7840"/>
  <c r="W7840"/>
  <c r="H7841"/>
  <c r="I7841"/>
  <c r="K7841"/>
  <c r="N7841"/>
  <c r="W7841"/>
  <c r="H7842"/>
  <c r="I7842"/>
  <c r="K7842"/>
  <c r="N7842"/>
  <c r="W7842"/>
  <c r="H7843"/>
  <c r="I7843"/>
  <c r="K7843"/>
  <c r="N7843"/>
  <c r="W7843"/>
  <c r="H7844"/>
  <c r="I7844"/>
  <c r="K7844"/>
  <c r="N7844"/>
  <c r="W7844"/>
  <c r="H7845"/>
  <c r="I7845"/>
  <c r="K7845"/>
  <c r="N7845"/>
  <c r="W7845"/>
  <c r="H7846"/>
  <c r="I7846"/>
  <c r="K7846"/>
  <c r="N7846"/>
  <c r="W7846"/>
  <c r="H7847"/>
  <c r="I7847"/>
  <c r="K7847"/>
  <c r="N7847"/>
  <c r="W7847"/>
  <c r="H7848"/>
  <c r="I7848"/>
  <c r="K7848"/>
  <c r="N7848"/>
  <c r="W7848"/>
  <c r="H7849"/>
  <c r="I7849"/>
  <c r="K7849"/>
  <c r="N7849"/>
  <c r="W7849"/>
  <c r="H7850"/>
  <c r="I7850"/>
  <c r="K7850"/>
  <c r="N7850"/>
  <c r="W7850"/>
  <c r="H7851"/>
  <c r="I7851"/>
  <c r="K7851"/>
  <c r="N7851"/>
  <c r="W7851"/>
  <c r="H7852"/>
  <c r="I7852"/>
  <c r="K7852"/>
  <c r="N7852"/>
  <c r="W7852"/>
  <c r="H7853"/>
  <c r="I7853"/>
  <c r="K7853"/>
  <c r="N7853"/>
  <c r="W7853"/>
  <c r="H7854"/>
  <c r="I7854"/>
  <c r="K7854"/>
  <c r="N7854"/>
  <c r="W7854"/>
  <c r="H7855"/>
  <c r="I7855"/>
  <c r="K7855"/>
  <c r="N7855"/>
  <c r="W7855"/>
  <c r="H7856"/>
  <c r="I7856"/>
  <c r="K7856"/>
  <c r="N7856"/>
  <c r="W7856"/>
  <c r="H7857"/>
  <c r="I7857"/>
  <c r="K7857"/>
  <c r="N7857"/>
  <c r="W7857"/>
  <c r="H7858"/>
  <c r="I7858"/>
  <c r="K7858"/>
  <c r="N7858"/>
  <c r="W7858"/>
  <c r="H7859"/>
  <c r="I7859"/>
  <c r="K7859"/>
  <c r="N7859"/>
  <c r="W7859"/>
  <c r="H7860"/>
  <c r="I7860"/>
  <c r="K7860"/>
  <c r="N7860"/>
  <c r="W7860"/>
  <c r="H7861"/>
  <c r="I7861"/>
  <c r="K7861"/>
  <c r="N7861"/>
  <c r="W7861"/>
  <c r="H7862"/>
  <c r="I7862"/>
  <c r="K7862"/>
  <c r="N7862"/>
  <c r="W7862"/>
  <c r="H7863"/>
  <c r="I7863"/>
  <c r="K7863"/>
  <c r="N7863"/>
  <c r="W7863"/>
  <c r="H7864"/>
  <c r="I7864"/>
  <c r="K7864"/>
  <c r="N7864"/>
  <c r="W7864"/>
  <c r="H7865"/>
  <c r="I7865"/>
  <c r="K7865"/>
  <c r="N7865"/>
  <c r="W7865"/>
  <c r="H7866"/>
  <c r="I7866"/>
  <c r="K7866"/>
  <c r="N7866"/>
  <c r="W7866"/>
  <c r="H7867"/>
  <c r="I7867"/>
  <c r="K7867"/>
  <c r="N7867"/>
  <c r="W7867"/>
  <c r="H7868"/>
  <c r="I7868"/>
  <c r="K7868"/>
  <c r="N7868"/>
  <c r="W7868"/>
  <c r="H7869"/>
  <c r="I7869"/>
  <c r="K7869"/>
  <c r="N7869"/>
  <c r="W7869"/>
  <c r="H7870"/>
  <c r="I7870"/>
  <c r="K7870"/>
  <c r="N7870"/>
  <c r="W7870"/>
  <c r="H7871"/>
  <c r="I7871"/>
  <c r="K7871"/>
  <c r="N7871"/>
  <c r="W7871"/>
  <c r="H7872"/>
  <c r="I7872"/>
  <c r="K7872"/>
  <c r="N7872"/>
  <c r="W7872"/>
  <c r="H7873"/>
  <c r="I7873"/>
  <c r="K7873"/>
  <c r="N7873"/>
  <c r="W7873"/>
  <c r="H7874"/>
  <c r="I7874"/>
  <c r="K7874"/>
  <c r="N7874"/>
  <c r="W7874"/>
  <c r="H7875"/>
  <c r="I7875"/>
  <c r="K7875"/>
  <c r="N7875"/>
  <c r="W7875"/>
  <c r="H7876"/>
  <c r="I7876"/>
  <c r="K7876"/>
  <c r="N7876"/>
  <c r="W7876"/>
  <c r="H7877"/>
  <c r="I7877"/>
  <c r="K7877"/>
  <c r="N7877"/>
  <c r="W7877"/>
  <c r="H7878"/>
  <c r="I7878"/>
  <c r="K7878"/>
  <c r="N7878"/>
  <c r="W7878"/>
  <c r="H7879"/>
  <c r="I7879"/>
  <c r="K7879"/>
  <c r="N7879"/>
  <c r="W7879"/>
  <c r="H7880"/>
  <c r="I7880"/>
  <c r="K7880"/>
  <c r="N7880"/>
  <c r="W7880"/>
  <c r="H7881"/>
  <c r="I7881"/>
  <c r="K7881"/>
  <c r="N7881"/>
  <c r="W7881"/>
  <c r="H7882"/>
  <c r="I7882"/>
  <c r="K7882"/>
  <c r="N7882"/>
  <c r="W7882"/>
  <c r="H7883"/>
  <c r="I7883"/>
  <c r="K7883"/>
  <c r="N7883"/>
  <c r="W7883"/>
  <c r="H7884"/>
  <c r="I7884"/>
  <c r="K7884"/>
  <c r="N7884"/>
  <c r="W7884"/>
  <c r="H7885"/>
  <c r="I7885"/>
  <c r="K7885"/>
  <c r="N7885"/>
  <c r="W7885"/>
  <c r="H7886"/>
  <c r="I7886"/>
  <c r="K7886"/>
  <c r="N7886"/>
  <c r="W7886"/>
  <c r="H7887"/>
  <c r="I7887"/>
  <c r="K7887"/>
  <c r="N7887"/>
  <c r="W7887"/>
  <c r="H7888"/>
  <c r="I7888"/>
  <c r="K7888"/>
  <c r="N7888"/>
  <c r="W7888"/>
  <c r="H7889"/>
  <c r="I7889"/>
  <c r="K7889"/>
  <c r="N7889"/>
  <c r="W7889"/>
  <c r="H7890"/>
  <c r="I7890"/>
  <c r="K7890"/>
  <c r="N7890"/>
  <c r="W7890"/>
  <c r="H7891"/>
  <c r="I7891"/>
  <c r="K7891"/>
  <c r="N7891"/>
  <c r="W7891"/>
  <c r="H7892"/>
  <c r="I7892"/>
  <c r="K7892"/>
  <c r="N7892"/>
  <c r="W7892"/>
  <c r="H7893"/>
  <c r="I7893"/>
  <c r="K7893"/>
  <c r="N7893"/>
  <c r="W7893"/>
  <c r="H7894"/>
  <c r="I7894"/>
  <c r="K7894"/>
  <c r="N7894"/>
  <c r="W7894"/>
  <c r="H7895"/>
  <c r="I7895"/>
  <c r="K7895"/>
  <c r="N7895"/>
  <c r="W7895"/>
  <c r="H7896"/>
  <c r="I7896"/>
  <c r="K7896"/>
  <c r="N7896"/>
  <c r="W7896"/>
  <c r="H7897"/>
  <c r="I7897"/>
  <c r="K7897"/>
  <c r="N7897"/>
  <c r="W7897"/>
  <c r="H7898"/>
  <c r="I7898"/>
  <c r="K7898"/>
  <c r="N7898"/>
  <c r="W7898"/>
  <c r="H7899"/>
  <c r="I7899"/>
  <c r="K7899"/>
  <c r="N7899"/>
  <c r="W7899"/>
  <c r="H7900"/>
  <c r="I7900"/>
  <c r="K7900"/>
  <c r="N7900"/>
  <c r="W7900"/>
  <c r="H7901"/>
  <c r="I7901"/>
  <c r="K7901"/>
  <c r="N7901"/>
  <c r="W7901"/>
  <c r="H7902"/>
  <c r="I7902"/>
  <c r="K7902"/>
  <c r="N7902"/>
  <c r="W7902"/>
  <c r="H7903"/>
  <c r="I7903"/>
  <c r="K7903"/>
  <c r="N7903"/>
  <c r="W7903"/>
  <c r="H7904"/>
  <c r="I7904"/>
  <c r="K7904"/>
  <c r="N7904"/>
  <c r="W7904"/>
  <c r="H7905"/>
  <c r="I7905"/>
  <c r="K7905"/>
  <c r="N7905"/>
  <c r="W7905"/>
  <c r="H7906"/>
  <c r="I7906"/>
  <c r="K7906"/>
  <c r="N7906"/>
  <c r="W7906"/>
  <c r="H7907"/>
  <c r="I7907"/>
  <c r="K7907"/>
  <c r="N7907"/>
  <c r="W7907"/>
  <c r="H7908"/>
  <c r="I7908"/>
  <c r="K7908"/>
  <c r="N7908"/>
  <c r="W7908"/>
  <c r="H7909"/>
  <c r="I7909"/>
  <c r="K7909"/>
  <c r="N7909"/>
  <c r="W7909"/>
  <c r="H7910"/>
  <c r="I7910"/>
  <c r="K7910"/>
  <c r="N7910"/>
  <c r="W7910"/>
  <c r="H7911"/>
  <c r="I7911"/>
  <c r="K7911"/>
  <c r="N7911"/>
  <c r="W7911"/>
  <c r="H7912"/>
  <c r="I7912"/>
  <c r="K7912"/>
  <c r="N7912"/>
  <c r="W7912"/>
  <c r="H7913"/>
  <c r="I7913"/>
  <c r="K7913"/>
  <c r="N7913"/>
  <c r="W7913"/>
  <c r="H7914"/>
  <c r="I7914"/>
  <c r="K7914"/>
  <c r="N7914"/>
  <c r="W7914"/>
  <c r="H7915"/>
  <c r="I7915"/>
  <c r="K7915"/>
  <c r="N7915"/>
  <c r="W7915"/>
  <c r="H7916"/>
  <c r="I7916"/>
  <c r="K7916"/>
  <c r="N7916"/>
  <c r="W7916"/>
  <c r="H7917"/>
  <c r="I7917"/>
  <c r="K7917"/>
  <c r="N7917"/>
  <c r="W7917"/>
  <c r="H7918"/>
  <c r="I7918"/>
  <c r="K7918"/>
  <c r="N7918"/>
  <c r="W7918"/>
  <c r="H7919"/>
  <c r="I7919"/>
  <c r="K7919"/>
  <c r="N7919"/>
  <c r="W7919"/>
  <c r="H7920"/>
  <c r="I7920"/>
  <c r="K7920"/>
  <c r="N7920"/>
  <c r="W7920"/>
  <c r="H7921"/>
  <c r="I7921"/>
  <c r="K7921"/>
  <c r="N7921"/>
  <c r="W7921"/>
  <c r="H7922"/>
  <c r="I7922"/>
  <c r="K7922"/>
  <c r="N7922"/>
  <c r="W7922"/>
  <c r="H7923"/>
  <c r="I7923"/>
  <c r="K7923"/>
  <c r="N7923"/>
  <c r="W7923"/>
  <c r="H7924"/>
  <c r="I7924"/>
  <c r="K7924"/>
  <c r="N7924"/>
  <c r="W7924"/>
  <c r="H7925"/>
  <c r="I7925"/>
  <c r="K7925"/>
  <c r="N7925"/>
  <c r="W7925"/>
  <c r="H7926"/>
  <c r="I7926"/>
  <c r="K7926"/>
  <c r="N7926"/>
  <c r="W7926"/>
  <c r="H7927"/>
  <c r="I7927"/>
  <c r="K7927"/>
  <c r="N7927"/>
  <c r="W7927"/>
  <c r="H7928"/>
  <c r="I7928"/>
  <c r="K7928"/>
  <c r="N7928"/>
  <c r="W7928"/>
  <c r="H7929"/>
  <c r="I7929"/>
  <c r="K7929"/>
  <c r="N7929"/>
  <c r="W7929"/>
  <c r="H7930"/>
  <c r="I7930"/>
  <c r="K7930"/>
  <c r="N7930"/>
  <c r="W7930"/>
  <c r="H7931"/>
  <c r="I7931"/>
  <c r="K7931"/>
  <c r="N7931"/>
  <c r="W7931"/>
  <c r="H7932"/>
  <c r="I7932"/>
  <c r="K7932"/>
  <c r="N7932"/>
  <c r="W7932"/>
  <c r="H7933"/>
  <c r="I7933"/>
  <c r="K7933"/>
  <c r="N7933"/>
  <c r="W7933"/>
  <c r="H7934"/>
  <c r="I7934"/>
  <c r="K7934"/>
  <c r="N7934"/>
  <c r="W7934"/>
  <c r="H7935"/>
  <c r="I7935"/>
  <c r="K7935"/>
  <c r="N7935"/>
  <c r="W7935"/>
  <c r="H7936"/>
  <c r="I7936"/>
  <c r="K7936"/>
  <c r="N7936"/>
  <c r="W7936"/>
  <c r="H7937"/>
  <c r="I7937"/>
  <c r="K7937"/>
  <c r="N7937"/>
  <c r="W7937"/>
  <c r="H7938"/>
  <c r="I7938"/>
  <c r="K7938"/>
  <c r="N7938"/>
  <c r="W7938"/>
  <c r="H7939"/>
  <c r="I7939"/>
  <c r="K7939"/>
  <c r="N7939"/>
  <c r="W7939"/>
  <c r="H7940"/>
  <c r="I7940"/>
  <c r="K7940"/>
  <c r="N7940"/>
  <c r="W7940"/>
  <c r="H7941"/>
  <c r="I7941"/>
  <c r="K7941"/>
  <c r="N7941"/>
  <c r="W7941"/>
  <c r="H7942"/>
  <c r="I7942"/>
  <c r="K7942"/>
  <c r="N7942"/>
  <c r="W7942"/>
  <c r="H7943"/>
  <c r="I7943"/>
  <c r="K7943"/>
  <c r="N7943"/>
  <c r="W7943"/>
  <c r="H7944"/>
  <c r="I7944"/>
  <c r="K7944"/>
  <c r="N7944"/>
  <c r="W7944"/>
  <c r="H7945"/>
  <c r="I7945"/>
  <c r="K7945"/>
  <c r="N7945"/>
  <c r="W7945"/>
  <c r="H7946"/>
  <c r="I7946"/>
  <c r="K7946"/>
  <c r="N7946"/>
  <c r="W7946"/>
  <c r="H7947"/>
  <c r="I7947"/>
  <c r="K7947"/>
  <c r="N7947"/>
  <c r="W7947"/>
  <c r="H7948"/>
  <c r="I7948"/>
  <c r="K7948"/>
  <c r="N7948"/>
  <c r="W7948"/>
  <c r="H7949"/>
  <c r="I7949"/>
  <c r="K7949"/>
  <c r="N7949"/>
  <c r="W7949"/>
  <c r="H7950"/>
  <c r="I7950"/>
  <c r="K7950"/>
  <c r="N7950"/>
  <c r="W7950"/>
  <c r="H7951"/>
  <c r="I7951"/>
  <c r="K7951"/>
  <c r="N7951"/>
  <c r="W7951"/>
  <c r="H7952"/>
  <c r="I7952"/>
  <c r="K7952"/>
  <c r="N7952"/>
  <c r="W7952"/>
  <c r="H7953"/>
  <c r="I7953"/>
  <c r="K7953"/>
  <c r="N7953"/>
  <c r="W7953"/>
  <c r="H7954"/>
  <c r="I7954"/>
  <c r="K7954"/>
  <c r="N7954"/>
  <c r="W7954"/>
  <c r="H7955"/>
  <c r="I7955"/>
  <c r="K7955"/>
  <c r="N7955"/>
  <c r="W7955"/>
  <c r="H7956"/>
  <c r="I7956"/>
  <c r="K7956"/>
  <c r="N7956"/>
  <c r="W7956"/>
  <c r="H7957"/>
  <c r="I7957"/>
  <c r="K7957"/>
  <c r="N7957"/>
  <c r="W7957"/>
  <c r="H7958"/>
  <c r="I7958"/>
  <c r="K7958"/>
  <c r="N7958"/>
  <c r="W7958"/>
  <c r="H7959"/>
  <c r="I7959"/>
  <c r="K7959"/>
  <c r="N7959"/>
  <c r="W7959"/>
  <c r="H7960"/>
  <c r="I7960"/>
  <c r="K7960"/>
  <c r="N7960"/>
  <c r="W7960"/>
  <c r="H7961"/>
  <c r="I7961"/>
  <c r="K7961"/>
  <c r="N7961"/>
  <c r="W7961"/>
  <c r="H7962"/>
  <c r="I7962"/>
  <c r="K7962"/>
  <c r="N7962"/>
  <c r="W7962"/>
  <c r="H7963"/>
  <c r="I7963"/>
  <c r="K7963"/>
  <c r="N7963"/>
  <c r="W7963"/>
  <c r="H7964"/>
  <c r="I7964"/>
  <c r="K7964"/>
  <c r="N7964"/>
  <c r="W7964"/>
  <c r="H7965"/>
  <c r="I7965"/>
  <c r="K7965"/>
  <c r="N7965"/>
  <c r="W7965"/>
  <c r="H7966"/>
  <c r="I7966"/>
  <c r="K7966"/>
  <c r="N7966"/>
  <c r="W7966"/>
  <c r="H7967"/>
  <c r="I7967"/>
  <c r="K7967"/>
  <c r="N7967"/>
  <c r="W7967"/>
  <c r="H7968"/>
  <c r="I7968"/>
  <c r="K7968"/>
  <c r="N7968"/>
  <c r="W7968"/>
  <c r="H7969"/>
  <c r="I7969"/>
  <c r="K7969"/>
  <c r="N7969"/>
  <c r="W7969"/>
  <c r="H7970"/>
  <c r="I7970"/>
  <c r="K7970"/>
  <c r="N7970"/>
  <c r="W7970"/>
  <c r="H7971"/>
  <c r="I7971"/>
  <c r="K7971"/>
  <c r="N7971"/>
  <c r="W7971"/>
  <c r="H7972"/>
  <c r="I7972"/>
  <c r="K7972"/>
  <c r="N7972"/>
  <c r="W7972"/>
  <c r="H7973"/>
  <c r="I7973"/>
  <c r="K7973"/>
  <c r="N7973"/>
  <c r="W7973"/>
  <c r="H7974"/>
  <c r="I7974"/>
  <c r="K7974"/>
  <c r="N7974"/>
  <c r="W7974"/>
  <c r="H7975"/>
  <c r="I7975"/>
  <c r="K7975"/>
  <c r="N7975"/>
  <c r="W7975"/>
  <c r="H7976"/>
  <c r="I7976"/>
  <c r="K7976"/>
  <c r="N7976"/>
  <c r="W7976"/>
  <c r="H7977"/>
  <c r="I7977"/>
  <c r="K7977"/>
  <c r="N7977"/>
  <c r="W7977"/>
  <c r="H7978"/>
  <c r="I7978"/>
  <c r="K7978"/>
  <c r="N7978"/>
  <c r="W7978"/>
  <c r="H7979"/>
  <c r="I7979"/>
  <c r="K7979"/>
  <c r="N7979"/>
  <c r="W7979"/>
  <c r="H7980"/>
  <c r="I7980"/>
  <c r="K7980"/>
  <c r="N7980"/>
  <c r="W7980"/>
  <c r="H7981"/>
  <c r="I7981"/>
  <c r="K7981"/>
  <c r="N7981"/>
  <c r="W7981"/>
  <c r="H7982"/>
  <c r="I7982"/>
  <c r="K7982"/>
  <c r="N7982"/>
  <c r="W7982"/>
  <c r="H7983"/>
  <c r="I7983"/>
  <c r="K7983"/>
  <c r="N7983"/>
  <c r="W7983"/>
  <c r="H7984"/>
  <c r="I7984"/>
  <c r="K7984"/>
  <c r="N7984"/>
  <c r="W7984"/>
  <c r="H7985"/>
  <c r="I7985"/>
  <c r="K7985"/>
  <c r="N7985"/>
  <c r="W7985"/>
  <c r="H7986"/>
  <c r="I7986"/>
  <c r="K7986"/>
  <c r="N7986"/>
  <c r="W7986"/>
  <c r="H7987"/>
  <c r="I7987"/>
  <c r="K7987"/>
  <c r="N7987"/>
  <c r="W7987"/>
  <c r="H7988"/>
  <c r="I7988"/>
  <c r="K7988"/>
  <c r="N7988"/>
  <c r="W7988"/>
  <c r="H7989"/>
  <c r="I7989"/>
  <c r="K7989"/>
  <c r="N7989"/>
  <c r="W7989"/>
  <c r="H7990"/>
  <c r="I7990"/>
  <c r="K7990"/>
  <c r="N7990"/>
  <c r="W7990"/>
  <c r="H7991"/>
  <c r="I7991"/>
  <c r="K7991"/>
  <c r="N7991"/>
  <c r="W7991"/>
  <c r="H7992"/>
  <c r="I7992"/>
  <c r="K7992"/>
  <c r="N7992"/>
  <c r="W7992"/>
  <c r="H7993"/>
  <c r="I7993"/>
  <c r="K7993"/>
  <c r="N7993"/>
  <c r="W7993"/>
  <c r="H7994"/>
  <c r="I7994"/>
  <c r="K7994"/>
  <c r="N7994"/>
  <c r="W7994"/>
  <c r="H7995"/>
  <c r="I7995"/>
  <c r="K7995"/>
  <c r="N7995"/>
  <c r="W7995"/>
  <c r="H7996"/>
  <c r="I7996"/>
  <c r="K7996"/>
  <c r="N7996"/>
  <c r="W7996"/>
  <c r="H7997"/>
  <c r="I7997"/>
  <c r="K7997"/>
  <c r="N7997"/>
  <c r="W7997"/>
  <c r="H7998"/>
  <c r="I7998"/>
  <c r="K7998"/>
  <c r="N7998"/>
  <c r="W7998"/>
  <c r="H7999"/>
  <c r="I7999"/>
  <c r="K7999"/>
  <c r="N7999"/>
  <c r="W7999"/>
  <c r="H8000"/>
  <c r="I8000"/>
  <c r="K8000"/>
  <c r="N8000"/>
  <c r="W8000"/>
  <c r="H8001"/>
  <c r="I8001"/>
  <c r="K8001"/>
  <c r="N8001"/>
  <c r="W8001"/>
  <c r="H8002"/>
  <c r="I8002"/>
  <c r="K8002"/>
  <c r="N8002"/>
  <c r="W8002"/>
  <c r="H8003"/>
  <c r="I8003"/>
  <c r="K8003"/>
  <c r="N8003"/>
  <c r="W8003"/>
  <c r="H8004"/>
  <c r="I8004"/>
  <c r="K8004"/>
  <c r="N8004"/>
  <c r="W8004"/>
  <c r="H8005"/>
  <c r="I8005"/>
  <c r="K8005"/>
  <c r="N8005"/>
  <c r="W8005"/>
  <c r="H8006"/>
  <c r="I8006"/>
  <c r="K8006"/>
  <c r="N8006"/>
  <c r="W8006"/>
  <c r="H8007"/>
  <c r="I8007"/>
  <c r="K8007"/>
  <c r="N8007"/>
  <c r="W8007"/>
  <c r="H8008"/>
  <c r="I8008"/>
  <c r="K8008"/>
  <c r="N8008"/>
  <c r="W8008"/>
  <c r="H8009"/>
  <c r="I8009"/>
  <c r="K8009"/>
  <c r="N8009"/>
  <c r="W8009"/>
  <c r="H8010"/>
  <c r="I8010"/>
  <c r="K8010"/>
  <c r="N8010"/>
  <c r="W8010"/>
  <c r="H8011"/>
  <c r="I8011"/>
  <c r="K8011"/>
  <c r="N8011"/>
  <c r="W8011"/>
  <c r="H8012"/>
  <c r="I8012"/>
  <c r="K8012"/>
  <c r="N8012"/>
  <c r="W8012"/>
  <c r="H8013"/>
  <c r="I8013"/>
  <c r="K8013"/>
  <c r="N8013"/>
  <c r="W8013"/>
  <c r="H8014"/>
  <c r="I8014"/>
  <c r="K8014"/>
  <c r="N8014"/>
  <c r="W8014"/>
  <c r="H8015"/>
  <c r="I8015"/>
  <c r="K8015"/>
  <c r="N8015"/>
  <c r="W8015"/>
  <c r="H8016"/>
  <c r="I8016"/>
  <c r="K8016"/>
  <c r="N8016"/>
  <c r="W8016"/>
  <c r="H8017"/>
  <c r="I8017"/>
  <c r="K8017"/>
  <c r="N8017"/>
  <c r="W8017"/>
  <c r="H8018"/>
  <c r="I8018"/>
  <c r="K8018"/>
  <c r="N8018"/>
  <c r="W8018"/>
  <c r="H8019"/>
  <c r="I8019"/>
  <c r="K8019"/>
  <c r="N8019"/>
  <c r="W8019"/>
  <c r="H8020"/>
  <c r="I8020"/>
  <c r="K8020"/>
  <c r="N8020"/>
  <c r="W8020"/>
  <c r="H8021"/>
  <c r="I8021"/>
  <c r="K8021"/>
  <c r="N8021"/>
  <c r="W8021"/>
  <c r="H8022"/>
  <c r="I8022"/>
  <c r="K8022"/>
  <c r="N8022"/>
  <c r="W8022"/>
  <c r="H8023"/>
  <c r="I8023"/>
  <c r="K8023"/>
  <c r="N8023"/>
  <c r="W8023"/>
  <c r="H8024"/>
  <c r="I8024"/>
  <c r="K8024"/>
  <c r="N8024"/>
  <c r="W8024"/>
  <c r="H8025"/>
  <c r="I8025"/>
  <c r="K8025"/>
  <c r="N8025"/>
  <c r="W8025"/>
  <c r="H8026"/>
  <c r="I8026"/>
  <c r="K8026"/>
  <c r="N8026"/>
  <c r="W8026"/>
  <c r="H8027"/>
  <c r="I8027"/>
  <c r="K8027"/>
  <c r="N8027"/>
  <c r="W8027"/>
  <c r="H8028"/>
  <c r="I8028"/>
  <c r="K8028"/>
  <c r="N8028"/>
  <c r="W8028"/>
  <c r="H8029"/>
  <c r="I8029"/>
  <c r="K8029"/>
  <c r="N8029"/>
  <c r="W8029"/>
  <c r="H8030"/>
  <c r="I8030"/>
  <c r="K8030"/>
  <c r="N8030"/>
  <c r="W8030"/>
  <c r="H8031"/>
  <c r="I8031"/>
  <c r="K8031"/>
  <c r="N8031"/>
  <c r="W8031"/>
  <c r="H8032"/>
  <c r="I8032"/>
  <c r="K8032"/>
  <c r="N8032"/>
  <c r="W8032"/>
  <c r="H8033"/>
  <c r="I8033"/>
  <c r="K8033"/>
  <c r="N8033"/>
  <c r="W8033"/>
  <c r="H8034"/>
  <c r="I8034"/>
  <c r="K8034"/>
  <c r="N8034"/>
  <c r="W8034"/>
  <c r="H8035"/>
  <c r="I8035"/>
  <c r="K8035"/>
  <c r="N8035"/>
  <c r="W8035"/>
  <c r="H8036"/>
  <c r="I8036"/>
  <c r="K8036"/>
  <c r="N8036"/>
  <c r="W8036"/>
  <c r="H8037"/>
  <c r="I8037"/>
  <c r="K8037"/>
  <c r="N8037"/>
  <c r="W8037"/>
  <c r="H8038"/>
  <c r="I8038"/>
  <c r="K8038"/>
  <c r="N8038"/>
  <c r="W8038"/>
  <c r="H8039"/>
  <c r="I8039"/>
  <c r="K8039"/>
  <c r="N8039"/>
  <c r="W8039"/>
  <c r="H8040"/>
  <c r="I8040"/>
  <c r="K8040"/>
  <c r="N8040"/>
  <c r="W8040"/>
  <c r="H8041"/>
  <c r="I8041"/>
  <c r="K8041"/>
  <c r="N8041"/>
  <c r="W8041"/>
  <c r="H8042"/>
  <c r="I8042"/>
  <c r="K8042"/>
  <c r="N8042"/>
  <c r="W8042"/>
  <c r="H8043"/>
  <c r="I8043"/>
  <c r="K8043"/>
  <c r="N8043"/>
  <c r="W8043"/>
  <c r="H8044"/>
  <c r="I8044"/>
  <c r="K8044"/>
  <c r="N8044"/>
  <c r="W8044"/>
  <c r="H8045"/>
  <c r="I8045"/>
  <c r="K8045"/>
  <c r="N8045"/>
  <c r="W8045"/>
  <c r="H8046"/>
  <c r="I8046"/>
  <c r="K8046"/>
  <c r="N8046"/>
  <c r="W8046"/>
  <c r="H8047"/>
  <c r="I8047"/>
  <c r="K8047"/>
  <c r="N8047"/>
  <c r="W8047"/>
  <c r="H8048"/>
  <c r="I8048"/>
  <c r="K8048"/>
  <c r="N8048"/>
  <c r="W8048"/>
  <c r="H8049"/>
  <c r="I8049"/>
  <c r="K8049"/>
  <c r="N8049"/>
  <c r="W8049"/>
  <c r="H8050"/>
  <c r="I8050"/>
  <c r="K8050"/>
  <c r="N8050"/>
  <c r="W8050"/>
  <c r="H8051"/>
  <c r="I8051"/>
  <c r="K8051"/>
  <c r="N8051"/>
  <c r="W8051"/>
  <c r="H8052"/>
  <c r="I8052"/>
  <c r="K8052"/>
  <c r="N8052"/>
  <c r="W8052"/>
  <c r="H8053"/>
  <c r="I8053"/>
  <c r="K8053"/>
  <c r="N8053"/>
  <c r="W8053"/>
  <c r="H8054"/>
  <c r="I8054"/>
  <c r="K8054"/>
  <c r="N8054"/>
  <c r="W8054"/>
  <c r="H8055"/>
  <c r="I8055"/>
  <c r="K8055"/>
  <c r="N8055"/>
  <c r="W8055"/>
  <c r="H8056"/>
  <c r="I8056"/>
  <c r="K8056"/>
  <c r="N8056"/>
  <c r="W8056"/>
  <c r="H8057"/>
  <c r="I8057"/>
  <c r="K8057"/>
  <c r="N8057"/>
  <c r="W8057"/>
  <c r="H8058"/>
  <c r="I8058"/>
  <c r="K8058"/>
  <c r="N8058"/>
  <c r="W8058"/>
  <c r="H8059"/>
  <c r="I8059"/>
  <c r="K8059"/>
  <c r="N8059"/>
  <c r="W8059"/>
  <c r="H8060"/>
  <c r="I8060"/>
  <c r="K8060"/>
  <c r="N8060"/>
  <c r="W8060"/>
  <c r="H8061"/>
  <c r="I8061"/>
  <c r="K8061"/>
  <c r="N8061"/>
  <c r="W8061"/>
  <c r="H8062"/>
  <c r="I8062"/>
  <c r="K8062"/>
  <c r="N8062"/>
  <c r="W8062"/>
  <c r="H8063"/>
  <c r="I8063"/>
  <c r="K8063"/>
  <c r="N8063"/>
  <c r="W8063"/>
  <c r="H8064"/>
  <c r="I8064"/>
  <c r="K8064"/>
  <c r="N8064"/>
  <c r="W8064"/>
  <c r="H8065"/>
  <c r="I8065"/>
  <c r="K8065"/>
  <c r="N8065"/>
  <c r="W8065"/>
  <c r="H8066"/>
  <c r="I8066"/>
  <c r="K8066"/>
  <c r="N8066"/>
  <c r="W8066"/>
  <c r="H8067"/>
  <c r="I8067"/>
  <c r="K8067"/>
  <c r="N8067"/>
  <c r="W8067"/>
  <c r="H8068"/>
  <c r="I8068"/>
  <c r="K8068"/>
  <c r="N8068"/>
  <c r="W8068"/>
  <c r="H8069"/>
  <c r="I8069"/>
  <c r="K8069"/>
  <c r="N8069"/>
  <c r="W8069"/>
  <c r="H8070"/>
  <c r="I8070"/>
  <c r="K8070"/>
  <c r="N8070"/>
  <c r="W8070"/>
  <c r="H8071"/>
  <c r="I8071"/>
  <c r="K8071"/>
  <c r="N8071"/>
  <c r="W8071"/>
  <c r="H8072"/>
  <c r="I8072"/>
  <c r="K8072"/>
  <c r="N8072"/>
  <c r="W8072"/>
  <c r="H8073"/>
  <c r="I8073"/>
  <c r="K8073"/>
  <c r="N8073"/>
  <c r="W8073"/>
  <c r="H8074"/>
  <c r="I8074"/>
  <c r="K8074"/>
  <c r="N8074"/>
  <c r="W8074"/>
  <c r="H8075"/>
  <c r="I8075"/>
  <c r="K8075"/>
  <c r="N8075"/>
  <c r="W8075"/>
  <c r="H8076"/>
  <c r="I8076"/>
  <c r="K8076"/>
  <c r="N8076"/>
  <c r="W8076"/>
  <c r="H8077"/>
  <c r="I8077"/>
  <c r="K8077"/>
  <c r="N8077"/>
  <c r="W8077"/>
  <c r="H8078"/>
  <c r="I8078"/>
  <c r="K8078"/>
  <c r="N8078"/>
  <c r="W8078"/>
  <c r="H8079"/>
  <c r="I8079"/>
  <c r="K8079"/>
  <c r="N8079"/>
  <c r="W8079"/>
  <c r="H8080"/>
  <c r="I8080"/>
  <c r="K8080"/>
  <c r="N8080"/>
  <c r="W8080"/>
  <c r="H8081"/>
  <c r="I8081"/>
  <c r="K8081"/>
  <c r="N8081"/>
  <c r="W8081"/>
  <c r="H8082"/>
  <c r="I8082"/>
  <c r="K8082"/>
  <c r="N8082"/>
  <c r="W8082"/>
  <c r="H8083"/>
  <c r="I8083"/>
  <c r="K8083"/>
  <c r="N8083"/>
  <c r="W8083"/>
  <c r="H8084"/>
  <c r="I8084"/>
  <c r="K8084"/>
  <c r="N8084"/>
  <c r="W8084"/>
  <c r="H8085"/>
  <c r="I8085"/>
  <c r="K8085"/>
  <c r="N8085"/>
  <c r="W8085"/>
  <c r="H8086"/>
  <c r="I8086"/>
  <c r="K8086"/>
  <c r="N8086"/>
  <c r="W8086"/>
  <c r="H8087"/>
  <c r="I8087"/>
  <c r="K8087"/>
  <c r="N8087"/>
  <c r="W8087"/>
  <c r="H8088"/>
  <c r="I8088"/>
  <c r="K8088"/>
  <c r="N8088"/>
  <c r="W8088"/>
  <c r="H8089"/>
  <c r="I8089"/>
  <c r="K8089"/>
  <c r="N8089"/>
  <c r="W8089"/>
  <c r="H8090"/>
  <c r="I8090"/>
  <c r="K8090"/>
  <c r="N8090"/>
  <c r="W8090"/>
  <c r="H8091"/>
  <c r="I8091"/>
  <c r="K8091"/>
  <c r="N8091"/>
  <c r="W8091"/>
  <c r="H8092"/>
  <c r="I8092"/>
  <c r="K8092"/>
  <c r="N8092"/>
  <c r="W8092"/>
  <c r="H8093"/>
  <c r="I8093"/>
  <c r="K8093"/>
  <c r="N8093"/>
  <c r="W8093"/>
  <c r="H8094"/>
  <c r="I8094"/>
  <c r="K8094"/>
  <c r="N8094"/>
  <c r="W8094"/>
  <c r="H8095"/>
  <c r="I8095"/>
  <c r="K8095"/>
  <c r="N8095"/>
  <c r="W8095"/>
  <c r="H8096"/>
  <c r="I8096"/>
  <c r="K8096"/>
  <c r="N8096"/>
  <c r="W8096"/>
  <c r="H8097"/>
  <c r="I8097"/>
  <c r="K8097"/>
  <c r="N8097"/>
  <c r="W8097"/>
  <c r="H8098"/>
  <c r="I8098"/>
  <c r="K8098"/>
  <c r="N8098"/>
  <c r="W8098"/>
  <c r="H8099"/>
  <c r="I8099"/>
  <c r="K8099"/>
  <c r="N8099"/>
  <c r="W8099"/>
  <c r="H8100"/>
  <c r="I8100"/>
  <c r="K8100"/>
  <c r="N8100"/>
  <c r="W8100"/>
  <c r="H8101"/>
  <c r="I8101"/>
  <c r="K8101"/>
  <c r="N8101"/>
  <c r="W8101"/>
  <c r="H8102"/>
  <c r="I8102"/>
  <c r="K8102"/>
  <c r="N8102"/>
  <c r="W8102"/>
  <c r="H8103"/>
  <c r="I8103"/>
  <c r="K8103"/>
  <c r="N8103"/>
  <c r="W8103"/>
  <c r="H8104"/>
  <c r="I8104"/>
  <c r="K8104"/>
  <c r="N8104"/>
  <c r="W8104"/>
  <c r="H8105"/>
  <c r="I8105"/>
  <c r="K8105"/>
  <c r="N8105"/>
  <c r="W8105"/>
  <c r="H8106"/>
  <c r="I8106"/>
  <c r="K8106"/>
  <c r="N8106"/>
  <c r="W8106"/>
  <c r="H8107"/>
  <c r="I8107"/>
  <c r="K8107"/>
  <c r="N8107"/>
  <c r="W8107"/>
  <c r="H8108"/>
  <c r="I8108"/>
  <c r="K8108"/>
  <c r="N8108"/>
  <c r="W8108"/>
  <c r="H8109"/>
  <c r="I8109"/>
  <c r="K8109"/>
  <c r="N8109"/>
  <c r="W8109"/>
  <c r="H8110"/>
  <c r="I8110"/>
  <c r="K8110"/>
  <c r="N8110"/>
  <c r="W8110"/>
  <c r="H8111"/>
  <c r="I8111"/>
  <c r="K8111"/>
  <c r="N8111"/>
  <c r="W8111"/>
  <c r="H8112"/>
  <c r="I8112"/>
  <c r="K8112"/>
  <c r="N8112"/>
  <c r="W8112"/>
  <c r="H8113"/>
  <c r="I8113"/>
  <c r="K8113"/>
  <c r="N8113"/>
  <c r="W8113"/>
  <c r="H8114"/>
  <c r="I8114"/>
  <c r="K8114"/>
  <c r="N8114"/>
  <c r="W8114"/>
  <c r="H8115"/>
  <c r="I8115"/>
  <c r="K8115"/>
  <c r="N8115"/>
  <c r="W8115"/>
  <c r="H8116"/>
  <c r="I8116"/>
  <c r="K8116"/>
  <c r="N8116"/>
  <c r="W8116"/>
  <c r="H8117"/>
  <c r="I8117"/>
  <c r="K8117"/>
  <c r="N8117"/>
  <c r="W8117"/>
  <c r="H8118"/>
  <c r="I8118"/>
  <c r="K8118"/>
  <c r="N8118"/>
  <c r="W8118"/>
  <c r="H8119"/>
  <c r="I8119"/>
  <c r="K8119"/>
  <c r="N8119"/>
  <c r="W8119"/>
  <c r="H8120"/>
  <c r="I8120"/>
  <c r="K8120"/>
  <c r="N8120"/>
  <c r="W8120"/>
  <c r="H8121"/>
  <c r="I8121"/>
  <c r="K8121"/>
  <c r="N8121"/>
  <c r="W8121"/>
  <c r="H8122"/>
  <c r="I8122"/>
  <c r="K8122"/>
  <c r="N8122"/>
  <c r="W8122"/>
  <c r="H8123"/>
  <c r="I8123"/>
  <c r="K8123"/>
  <c r="N8123"/>
  <c r="W8123"/>
  <c r="H8124"/>
  <c r="I8124"/>
  <c r="K8124"/>
  <c r="N8124"/>
  <c r="W8124"/>
  <c r="H8125"/>
  <c r="I8125"/>
  <c r="K8125"/>
  <c r="N8125"/>
  <c r="W8125"/>
  <c r="H8126"/>
  <c r="I8126"/>
  <c r="K8126"/>
  <c r="N8126"/>
  <c r="W8126"/>
  <c r="H8127"/>
  <c r="I8127"/>
  <c r="K8127"/>
  <c r="N8127"/>
  <c r="W8127"/>
  <c r="H8128"/>
  <c r="I8128"/>
  <c r="K8128"/>
  <c r="N8128"/>
  <c r="W8128"/>
  <c r="H8129"/>
  <c r="I8129"/>
  <c r="K8129"/>
  <c r="N8129"/>
  <c r="W8129"/>
  <c r="H8130"/>
  <c r="I8130"/>
  <c r="K8130"/>
  <c r="N8130"/>
  <c r="W8130"/>
  <c r="H8131"/>
  <c r="I8131"/>
  <c r="K8131"/>
  <c r="N8131"/>
  <c r="W8131"/>
  <c r="H8132"/>
  <c r="I8132"/>
  <c r="K8132"/>
  <c r="N8132"/>
  <c r="W8132"/>
  <c r="H8133"/>
  <c r="I8133"/>
  <c r="K8133"/>
  <c r="N8133"/>
  <c r="W8133"/>
  <c r="H8134"/>
  <c r="I8134"/>
  <c r="K8134"/>
  <c r="N8134"/>
  <c r="W8134"/>
  <c r="H8135"/>
  <c r="I8135"/>
  <c r="K8135"/>
  <c r="N8135"/>
  <c r="W8135"/>
  <c r="H8136"/>
  <c r="I8136"/>
  <c r="K8136"/>
  <c r="N8136"/>
  <c r="W8136"/>
  <c r="H8137"/>
  <c r="I8137"/>
  <c r="K8137"/>
  <c r="N8137"/>
  <c r="W8137"/>
  <c r="H8138"/>
  <c r="I8138"/>
  <c r="K8138"/>
  <c r="N8138"/>
  <c r="W8138"/>
  <c r="H8139"/>
  <c r="I8139"/>
  <c r="K8139"/>
  <c r="N8139"/>
  <c r="W8139"/>
  <c r="H8140"/>
  <c r="I8140"/>
  <c r="K8140"/>
  <c r="N8140"/>
  <c r="W8140"/>
  <c r="H8141"/>
  <c r="I8141"/>
  <c r="K8141"/>
  <c r="N8141"/>
  <c r="W8141"/>
  <c r="H8142"/>
  <c r="I8142"/>
  <c r="K8142"/>
  <c r="N8142"/>
  <c r="W8142"/>
  <c r="H8143"/>
  <c r="I8143"/>
  <c r="K8143"/>
  <c r="N8143"/>
  <c r="W8143"/>
  <c r="H8144"/>
  <c r="I8144"/>
  <c r="K8144"/>
  <c r="N8144"/>
  <c r="W8144"/>
  <c r="H8145"/>
  <c r="I8145"/>
  <c r="K8145"/>
  <c r="N8145"/>
  <c r="W8145"/>
  <c r="H8146"/>
  <c r="I8146"/>
  <c r="K8146"/>
  <c r="N8146"/>
  <c r="W8146"/>
  <c r="H8147"/>
  <c r="I8147"/>
  <c r="K8147"/>
  <c r="N8147"/>
  <c r="W8147"/>
  <c r="H8148"/>
  <c r="I8148"/>
  <c r="K8148"/>
  <c r="N8148"/>
  <c r="W8148"/>
  <c r="H8149"/>
  <c r="I8149"/>
  <c r="K8149"/>
  <c r="N8149"/>
  <c r="W8149"/>
  <c r="H8150"/>
  <c r="I8150"/>
  <c r="K8150"/>
  <c r="N8150"/>
  <c r="W8150"/>
  <c r="H8151"/>
  <c r="I8151"/>
  <c r="K8151"/>
  <c r="N8151"/>
  <c r="W8151"/>
  <c r="H8152"/>
  <c r="I8152"/>
  <c r="K8152"/>
  <c r="N8152"/>
  <c r="W8152"/>
  <c r="H8153"/>
  <c r="I8153"/>
  <c r="K8153"/>
  <c r="N8153"/>
  <c r="W8153"/>
  <c r="H8154"/>
  <c r="I8154"/>
  <c r="K8154"/>
  <c r="N8154"/>
  <c r="W8154"/>
  <c r="H8155"/>
  <c r="I8155"/>
  <c r="K8155"/>
  <c r="N8155"/>
  <c r="W8155"/>
  <c r="H8156"/>
  <c r="I8156"/>
  <c r="K8156"/>
  <c r="N8156"/>
  <c r="W8156"/>
  <c r="H8157"/>
  <c r="I8157"/>
  <c r="K8157"/>
  <c r="N8157"/>
  <c r="W8157"/>
  <c r="H8158"/>
  <c r="I8158"/>
  <c r="K8158"/>
  <c r="N8158"/>
  <c r="W8158"/>
  <c r="H8159"/>
  <c r="I8159"/>
  <c r="K8159"/>
  <c r="N8159"/>
  <c r="W8159"/>
  <c r="H8160"/>
  <c r="I8160"/>
  <c r="K8160"/>
  <c r="N8160"/>
  <c r="W8160"/>
  <c r="H8161"/>
  <c r="I8161"/>
  <c r="K8161"/>
  <c r="N8161"/>
  <c r="W8161"/>
  <c r="H8162"/>
  <c r="I8162"/>
  <c r="K8162"/>
  <c r="N8162"/>
  <c r="W8162"/>
  <c r="H8163"/>
  <c r="I8163"/>
  <c r="K8163"/>
  <c r="N8163"/>
  <c r="W8163"/>
  <c r="H8164"/>
  <c r="I8164"/>
  <c r="K8164"/>
  <c r="N8164"/>
  <c r="W8164"/>
  <c r="H8165"/>
  <c r="I8165"/>
  <c r="K8165"/>
  <c r="N8165"/>
  <c r="W8165"/>
  <c r="H8166"/>
  <c r="I8166"/>
  <c r="K8166"/>
  <c r="N8166"/>
  <c r="W8166"/>
  <c r="H8167"/>
  <c r="I8167"/>
  <c r="K8167"/>
  <c r="N8167"/>
  <c r="W8167"/>
  <c r="H8168"/>
  <c r="I8168"/>
  <c r="K8168"/>
  <c r="N8168"/>
  <c r="W8168"/>
  <c r="H8169"/>
  <c r="I8169"/>
  <c r="K8169"/>
  <c r="N8169"/>
  <c r="W8169"/>
  <c r="H8170"/>
  <c r="I8170"/>
  <c r="K8170"/>
  <c r="N8170"/>
  <c r="W8170"/>
  <c r="H8171"/>
  <c r="I8171"/>
  <c r="K8171"/>
  <c r="N8171"/>
  <c r="W8171"/>
  <c r="H8172"/>
  <c r="I8172"/>
  <c r="K8172"/>
  <c r="N8172"/>
  <c r="W8172"/>
  <c r="H8173"/>
  <c r="I8173"/>
  <c r="K8173"/>
  <c r="N8173"/>
  <c r="W8173"/>
  <c r="H8174"/>
  <c r="I8174"/>
  <c r="K8174"/>
  <c r="N8174"/>
  <c r="W8174"/>
  <c r="H8175"/>
  <c r="I8175"/>
  <c r="K8175"/>
  <c r="N8175"/>
  <c r="W8175"/>
  <c r="H8176"/>
  <c r="I8176"/>
  <c r="K8176"/>
  <c r="N8176"/>
  <c r="W8176"/>
  <c r="H8177"/>
  <c r="I8177"/>
  <c r="K8177"/>
  <c r="N8177"/>
  <c r="W8177"/>
  <c r="H8178"/>
  <c r="I8178"/>
  <c r="K8178"/>
  <c r="N8178"/>
  <c r="W8178"/>
  <c r="H8179"/>
  <c r="I8179"/>
  <c r="K8179"/>
  <c r="N8179"/>
  <c r="W8179"/>
  <c r="H8180"/>
  <c r="I8180"/>
  <c r="K8180"/>
  <c r="N8180"/>
  <c r="W8180"/>
  <c r="H8181"/>
  <c r="I8181"/>
  <c r="K8181"/>
  <c r="N8181"/>
  <c r="W8181"/>
  <c r="H8182"/>
  <c r="I8182"/>
  <c r="K8182"/>
  <c r="N8182"/>
  <c r="W8182"/>
  <c r="H8183"/>
  <c r="I8183"/>
  <c r="K8183"/>
  <c r="N8183"/>
  <c r="W8183"/>
  <c r="H8184"/>
  <c r="I8184"/>
  <c r="K8184"/>
  <c r="N8184"/>
  <c r="W8184"/>
  <c r="H8185"/>
  <c r="I8185"/>
  <c r="K8185"/>
  <c r="N8185"/>
  <c r="W8185"/>
  <c r="H8186"/>
  <c r="I8186"/>
  <c r="K8186"/>
  <c r="N8186"/>
  <c r="W8186"/>
  <c r="H8187"/>
  <c r="I8187"/>
  <c r="K8187"/>
  <c r="N8187"/>
  <c r="W8187"/>
  <c r="H8188"/>
  <c r="I8188"/>
  <c r="K8188"/>
  <c r="N8188"/>
  <c r="W8188"/>
  <c r="H8189"/>
  <c r="I8189"/>
  <c r="K8189"/>
  <c r="N8189"/>
  <c r="W8189"/>
  <c r="H8190"/>
  <c r="I8190"/>
  <c r="K8190"/>
  <c r="N8190"/>
  <c r="W8190"/>
  <c r="H8191"/>
  <c r="I8191"/>
  <c r="K8191"/>
  <c r="N8191"/>
  <c r="W8191"/>
  <c r="H8192"/>
  <c r="I8192"/>
  <c r="K8192"/>
  <c r="N8192"/>
  <c r="W8192"/>
  <c r="H8193"/>
  <c r="I8193"/>
  <c r="K8193"/>
  <c r="N8193"/>
  <c r="W8193"/>
  <c r="H8194"/>
  <c r="I8194"/>
  <c r="K8194"/>
  <c r="N8194"/>
  <c r="W8194"/>
  <c r="H8195"/>
  <c r="I8195"/>
  <c r="K8195"/>
  <c r="N8195"/>
  <c r="W8195"/>
  <c r="H8196"/>
  <c r="I8196"/>
  <c r="K8196"/>
  <c r="N8196"/>
  <c r="W8196"/>
  <c r="H8197"/>
  <c r="I8197"/>
  <c r="K8197"/>
  <c r="N8197"/>
  <c r="W8197"/>
  <c r="H8198"/>
  <c r="I8198"/>
  <c r="K8198"/>
  <c r="N8198"/>
  <c r="W8198"/>
  <c r="H8199"/>
  <c r="I8199"/>
  <c r="K8199"/>
  <c r="N8199"/>
  <c r="W8199"/>
  <c r="H8200"/>
  <c r="I8200"/>
  <c r="K8200"/>
  <c r="N8200"/>
  <c r="W8200"/>
  <c r="H8201"/>
  <c r="I8201"/>
  <c r="K8201"/>
  <c r="N8201"/>
  <c r="W8201"/>
  <c r="H8202"/>
  <c r="I8202"/>
  <c r="K8202"/>
  <c r="N8202"/>
  <c r="W8202"/>
  <c r="H8203"/>
  <c r="I8203"/>
  <c r="K8203"/>
  <c r="N8203"/>
  <c r="W8203"/>
  <c r="H8204"/>
  <c r="I8204"/>
  <c r="K8204"/>
  <c r="N8204"/>
  <c r="W8204"/>
  <c r="H8205"/>
  <c r="I8205"/>
  <c r="K8205"/>
  <c r="N8205"/>
  <c r="W8205"/>
  <c r="H8206"/>
  <c r="I8206"/>
  <c r="K8206"/>
  <c r="N8206"/>
  <c r="W8206"/>
  <c r="H8207"/>
  <c r="I8207"/>
  <c r="K8207"/>
  <c r="N8207"/>
  <c r="W8207"/>
  <c r="H8208"/>
  <c r="I8208"/>
  <c r="K8208"/>
  <c r="N8208"/>
  <c r="W8208"/>
  <c r="H8209"/>
  <c r="I8209"/>
  <c r="K8209"/>
  <c r="N8209"/>
  <c r="W8209"/>
  <c r="H8210"/>
  <c r="I8210"/>
  <c r="K8210"/>
  <c r="N8210"/>
  <c r="W8210"/>
  <c r="H8211"/>
  <c r="I8211"/>
  <c r="K8211"/>
  <c r="N8211"/>
  <c r="W8211"/>
  <c r="H8212"/>
  <c r="I8212"/>
  <c r="K8212"/>
  <c r="N8212"/>
  <c r="W8212"/>
  <c r="H8213"/>
  <c r="I8213"/>
  <c r="K8213"/>
  <c r="N8213"/>
  <c r="W8213"/>
  <c r="H8214"/>
  <c r="I8214"/>
  <c r="K8214"/>
  <c r="N8214"/>
  <c r="W8214"/>
  <c r="H8215"/>
  <c r="I8215"/>
  <c r="K8215"/>
  <c r="N8215"/>
  <c r="W8215"/>
  <c r="H8216"/>
  <c r="I8216"/>
  <c r="K8216"/>
  <c r="N8216"/>
  <c r="W8216"/>
  <c r="H8217"/>
  <c r="I8217"/>
  <c r="K8217"/>
  <c r="N8217"/>
  <c r="W8217"/>
  <c r="H8218"/>
  <c r="I8218"/>
  <c r="K8218"/>
  <c r="N8218"/>
  <c r="W8218"/>
  <c r="H8219"/>
  <c r="I8219"/>
  <c r="K8219"/>
  <c r="N8219"/>
  <c r="W8219"/>
  <c r="H8220"/>
  <c r="I8220"/>
  <c r="K8220"/>
  <c r="N8220"/>
  <c r="W8220"/>
  <c r="H8221"/>
  <c r="I8221"/>
  <c r="K8221"/>
  <c r="N8221"/>
  <c r="W8221"/>
  <c r="H8222"/>
  <c r="I8222"/>
  <c r="K8222"/>
  <c r="N8222"/>
  <c r="W8222"/>
  <c r="H8223"/>
  <c r="I8223"/>
  <c r="K8223"/>
  <c r="N8223"/>
  <c r="W8223"/>
  <c r="H8224"/>
  <c r="I8224"/>
  <c r="K8224"/>
  <c r="N8224"/>
  <c r="W8224"/>
  <c r="H8225"/>
  <c r="I8225"/>
  <c r="K8225"/>
  <c r="N8225"/>
  <c r="W8225"/>
  <c r="H8226"/>
  <c r="I8226"/>
  <c r="K8226"/>
  <c r="N8226"/>
  <c r="W8226"/>
  <c r="H8227"/>
  <c r="I8227"/>
  <c r="K8227"/>
  <c r="N8227"/>
  <c r="W8227"/>
  <c r="H8228"/>
  <c r="I8228"/>
  <c r="K8228"/>
  <c r="N8228"/>
  <c r="W8228"/>
  <c r="H8229"/>
  <c r="I8229"/>
  <c r="K8229"/>
  <c r="N8229"/>
  <c r="W8229"/>
  <c r="H8230"/>
  <c r="I8230"/>
  <c r="K8230"/>
  <c r="N8230"/>
  <c r="W8230"/>
  <c r="H8231"/>
  <c r="I8231"/>
  <c r="K8231"/>
  <c r="N8231"/>
  <c r="W8231"/>
  <c r="H8232"/>
  <c r="I8232"/>
  <c r="K8232"/>
  <c r="N8232"/>
  <c r="W8232"/>
  <c r="H8233"/>
  <c r="I8233"/>
  <c r="K8233"/>
  <c r="N8233"/>
  <c r="W8233"/>
  <c r="H8234"/>
  <c r="I8234"/>
  <c r="K8234"/>
  <c r="N8234"/>
  <c r="W8234"/>
  <c r="H8235"/>
  <c r="I8235"/>
  <c r="K8235"/>
  <c r="N8235"/>
  <c r="W8235"/>
  <c r="H8236"/>
  <c r="I8236"/>
  <c r="K8236"/>
  <c r="N8236"/>
  <c r="W8236"/>
  <c r="H8237"/>
  <c r="I8237"/>
  <c r="K8237"/>
  <c r="N8237"/>
  <c r="W8237"/>
  <c r="H8238"/>
  <c r="I8238"/>
  <c r="K8238"/>
  <c r="N8238"/>
  <c r="W8238"/>
  <c r="H8239"/>
  <c r="I8239"/>
  <c r="K8239"/>
  <c r="N8239"/>
  <c r="W8239"/>
  <c r="H8240"/>
  <c r="I8240"/>
  <c r="K8240"/>
  <c r="N8240"/>
  <c r="W8240"/>
  <c r="H8241"/>
  <c r="I8241"/>
  <c r="K8241"/>
  <c r="N8241"/>
  <c r="W8241"/>
  <c r="H8242"/>
  <c r="I8242"/>
  <c r="K8242"/>
  <c r="N8242"/>
  <c r="W8242"/>
  <c r="H8243"/>
  <c r="I8243"/>
  <c r="K8243"/>
  <c r="N8243"/>
  <c r="W8243"/>
  <c r="H8244"/>
  <c r="I8244"/>
  <c r="K8244"/>
  <c r="N8244"/>
  <c r="W8244"/>
  <c r="H8245"/>
  <c r="I8245"/>
  <c r="K8245"/>
  <c r="N8245"/>
  <c r="W8245"/>
  <c r="H8246"/>
  <c r="I8246"/>
  <c r="K8246"/>
  <c r="N8246"/>
  <c r="W8246"/>
  <c r="H8247"/>
  <c r="I8247"/>
  <c r="K8247"/>
  <c r="N8247"/>
  <c r="W8247"/>
  <c r="H8248"/>
  <c r="I8248"/>
  <c r="K8248"/>
  <c r="N8248"/>
  <c r="W8248"/>
  <c r="H8249"/>
  <c r="I8249"/>
  <c r="K8249"/>
  <c r="N8249"/>
  <c r="W8249"/>
  <c r="H8250"/>
  <c r="I8250"/>
  <c r="K8250"/>
  <c r="N8250"/>
  <c r="W8250"/>
  <c r="H8251"/>
  <c r="I8251"/>
  <c r="K8251"/>
  <c r="N8251"/>
  <c r="W8251"/>
  <c r="H8252"/>
  <c r="I8252"/>
  <c r="K8252"/>
  <c r="N8252"/>
  <c r="W8252"/>
  <c r="H8253"/>
  <c r="I8253"/>
  <c r="K8253"/>
  <c r="N8253"/>
  <c r="W8253"/>
  <c r="H8254"/>
  <c r="I8254"/>
  <c r="K8254"/>
  <c r="N8254"/>
  <c r="W8254"/>
  <c r="H8255"/>
  <c r="I8255"/>
  <c r="K8255"/>
  <c r="N8255"/>
  <c r="W8255"/>
  <c r="H8256"/>
  <c r="I8256"/>
  <c r="K8256"/>
  <c r="N8256"/>
  <c r="W8256"/>
  <c r="H8257"/>
  <c r="I8257"/>
  <c r="K8257"/>
  <c r="N8257"/>
  <c r="W8257"/>
  <c r="H8258"/>
  <c r="I8258"/>
  <c r="K8258"/>
  <c r="N8258"/>
  <c r="W8258"/>
  <c r="H8259"/>
  <c r="I8259"/>
  <c r="K8259"/>
  <c r="N8259"/>
  <c r="W8259"/>
  <c r="H8260"/>
  <c r="I8260"/>
  <c r="K8260"/>
  <c r="N8260"/>
  <c r="W8260"/>
  <c r="H8261"/>
  <c r="I8261"/>
  <c r="K8261"/>
  <c r="N8261"/>
  <c r="W8261"/>
  <c r="H8262"/>
  <c r="I8262"/>
  <c r="K8262"/>
  <c r="N8262"/>
  <c r="W8262"/>
  <c r="H8263"/>
  <c r="I8263"/>
  <c r="K8263"/>
  <c r="N8263"/>
  <c r="W8263"/>
  <c r="H8264"/>
  <c r="I8264"/>
  <c r="K8264"/>
  <c r="N8264"/>
  <c r="W8264"/>
  <c r="H8265"/>
  <c r="I8265"/>
  <c r="K8265"/>
  <c r="N8265"/>
  <c r="W8265"/>
  <c r="H8266"/>
  <c r="I8266"/>
  <c r="K8266"/>
  <c r="N8266"/>
  <c r="W8266"/>
  <c r="H8267"/>
  <c r="I8267"/>
  <c r="K8267"/>
  <c r="N8267"/>
  <c r="W8267"/>
  <c r="H8268"/>
  <c r="I8268"/>
  <c r="K8268"/>
  <c r="N8268"/>
  <c r="W8268"/>
  <c r="H8269"/>
  <c r="I8269"/>
  <c r="K8269"/>
  <c r="N8269"/>
  <c r="W8269"/>
  <c r="H8270"/>
  <c r="I8270"/>
  <c r="K8270"/>
  <c r="N8270"/>
  <c r="W8270"/>
  <c r="H8271"/>
  <c r="I8271"/>
  <c r="K8271"/>
  <c r="N8271"/>
  <c r="W8271"/>
  <c r="H8272"/>
  <c r="I8272"/>
  <c r="K8272"/>
  <c r="N8272"/>
  <c r="W8272"/>
  <c r="H8273"/>
  <c r="I8273"/>
  <c r="K8273"/>
  <c r="N8273"/>
  <c r="W8273"/>
  <c r="H8274"/>
  <c r="I8274"/>
  <c r="K8274"/>
  <c r="N8274"/>
  <c r="W8274"/>
  <c r="H8275"/>
  <c r="I8275"/>
  <c r="K8275"/>
  <c r="N8275"/>
  <c r="W8275"/>
  <c r="H8276"/>
  <c r="I8276"/>
  <c r="K8276"/>
  <c r="N8276"/>
  <c r="W8276"/>
  <c r="H8277"/>
  <c r="I8277"/>
  <c r="K8277"/>
  <c r="N8277"/>
  <c r="W8277"/>
  <c r="H8278"/>
  <c r="I8278"/>
  <c r="K8278"/>
  <c r="N8278"/>
  <c r="W8278"/>
  <c r="H8279"/>
  <c r="I8279"/>
  <c r="K8279"/>
  <c r="N8279"/>
  <c r="W8279"/>
  <c r="H8280"/>
  <c r="I8280"/>
  <c r="K8280"/>
  <c r="N8280"/>
  <c r="W8280"/>
  <c r="H8281"/>
  <c r="I8281"/>
  <c r="K8281"/>
  <c r="N8281"/>
  <c r="W8281"/>
  <c r="H8282"/>
  <c r="I8282"/>
  <c r="K8282"/>
  <c r="N8282"/>
  <c r="W8282"/>
  <c r="H8283"/>
  <c r="I8283"/>
  <c r="K8283"/>
  <c r="N8283"/>
  <c r="W8283"/>
  <c r="H8284"/>
  <c r="I8284"/>
  <c r="K8284"/>
  <c r="N8284"/>
  <c r="W8284"/>
  <c r="H8285"/>
  <c r="I8285"/>
  <c r="K8285"/>
  <c r="N8285"/>
  <c r="W8285"/>
  <c r="H8286"/>
  <c r="I8286"/>
  <c r="K8286"/>
  <c r="N8286"/>
  <c r="W8286"/>
  <c r="H8287"/>
  <c r="I8287"/>
  <c r="K8287"/>
  <c r="N8287"/>
  <c r="W8287"/>
  <c r="H8288"/>
  <c r="I8288"/>
  <c r="K8288"/>
  <c r="N8288"/>
  <c r="W8288"/>
  <c r="H8289"/>
  <c r="I8289"/>
  <c r="K8289"/>
  <c r="N8289"/>
  <c r="W8289"/>
  <c r="H8290"/>
  <c r="I8290"/>
  <c r="K8290"/>
  <c r="N8290"/>
  <c r="W8290"/>
  <c r="H8291"/>
  <c r="I8291"/>
  <c r="K8291"/>
  <c r="N8291"/>
  <c r="W8291"/>
  <c r="H8292"/>
  <c r="I8292"/>
  <c r="K8292"/>
  <c r="N8292"/>
  <c r="W8292"/>
  <c r="H8293"/>
  <c r="I8293"/>
  <c r="K8293"/>
  <c r="N8293"/>
  <c r="W8293"/>
  <c r="H8294"/>
  <c r="I8294"/>
  <c r="K8294"/>
  <c r="N8294"/>
  <c r="W8294"/>
  <c r="H8295"/>
  <c r="I8295"/>
  <c r="K8295"/>
  <c r="N8295"/>
  <c r="W8295"/>
  <c r="H8296"/>
  <c r="I8296"/>
  <c r="K8296"/>
  <c r="N8296"/>
  <c r="W8296"/>
  <c r="H8297"/>
  <c r="I8297"/>
  <c r="K8297"/>
  <c r="N8297"/>
  <c r="W8297"/>
  <c r="H8298"/>
  <c r="I8298"/>
  <c r="K8298"/>
  <c r="N8298"/>
  <c r="W8298"/>
  <c r="H8299"/>
  <c r="I8299"/>
  <c r="K8299"/>
  <c r="N8299"/>
  <c r="W8299"/>
  <c r="H8300"/>
  <c r="I8300"/>
  <c r="K8300"/>
  <c r="N8300"/>
  <c r="W8300"/>
  <c r="H8301"/>
  <c r="I8301"/>
  <c r="K8301"/>
  <c r="N8301"/>
  <c r="W8301"/>
  <c r="H8302"/>
  <c r="I8302"/>
  <c r="K8302"/>
  <c r="N8302"/>
  <c r="W8302"/>
  <c r="H8303"/>
  <c r="I8303"/>
  <c r="K8303"/>
  <c r="N8303"/>
  <c r="W8303"/>
  <c r="H8304"/>
  <c r="I8304"/>
  <c r="K8304"/>
  <c r="N8304"/>
  <c r="W8304"/>
  <c r="H8305"/>
  <c r="I8305"/>
  <c r="K8305"/>
  <c r="N8305"/>
  <c r="W8305"/>
  <c r="H8306"/>
  <c r="I8306"/>
  <c r="K8306"/>
  <c r="N8306"/>
  <c r="W8306"/>
  <c r="H8307"/>
  <c r="I8307"/>
  <c r="K8307"/>
  <c r="N8307"/>
  <c r="W8307"/>
  <c r="H8308"/>
  <c r="I8308"/>
  <c r="K8308"/>
  <c r="N8308"/>
  <c r="W8308"/>
  <c r="H8309"/>
  <c r="I8309"/>
  <c r="K8309"/>
  <c r="N8309"/>
  <c r="W8309"/>
  <c r="H8310"/>
  <c r="I8310"/>
  <c r="K8310"/>
  <c r="N8310"/>
  <c r="W8310"/>
  <c r="H8311"/>
  <c r="I8311"/>
  <c r="K8311"/>
  <c r="N8311"/>
  <c r="W8311"/>
  <c r="H8312"/>
  <c r="I8312"/>
  <c r="K8312"/>
  <c r="N8312"/>
  <c r="W8312"/>
  <c r="H8313"/>
  <c r="I8313"/>
  <c r="K8313"/>
  <c r="N8313"/>
  <c r="W8313"/>
  <c r="H8314"/>
  <c r="I8314"/>
  <c r="K8314"/>
  <c r="N8314"/>
  <c r="W8314"/>
  <c r="H8315"/>
  <c r="I8315"/>
  <c r="K8315"/>
  <c r="N8315"/>
  <c r="W8315"/>
  <c r="H8316"/>
  <c r="I8316"/>
  <c r="K8316"/>
  <c r="N8316"/>
  <c r="W8316"/>
  <c r="H8317"/>
  <c r="I8317"/>
  <c r="K8317"/>
  <c r="N8317"/>
  <c r="W8317"/>
  <c r="H8318"/>
  <c r="I8318"/>
  <c r="K8318"/>
  <c r="N8318"/>
  <c r="W8318"/>
  <c r="H8319"/>
  <c r="I8319"/>
  <c r="K8319"/>
  <c r="N8319"/>
  <c r="W8319"/>
  <c r="H8320"/>
  <c r="I8320"/>
  <c r="K8320"/>
  <c r="N8320"/>
  <c r="W8320"/>
  <c r="H8321"/>
  <c r="I8321"/>
  <c r="K8321"/>
  <c r="N8321"/>
  <c r="W8321"/>
  <c r="H8322"/>
  <c r="I8322"/>
  <c r="K8322"/>
  <c r="N8322"/>
  <c r="W8322"/>
  <c r="H8323"/>
  <c r="I8323"/>
  <c r="K8323"/>
  <c r="N8323"/>
  <c r="W8323"/>
  <c r="H8324"/>
  <c r="I8324"/>
  <c r="K8324"/>
  <c r="N8324"/>
  <c r="W8324"/>
  <c r="H8325"/>
  <c r="I8325"/>
  <c r="K8325"/>
  <c r="N8325"/>
  <c r="W8325"/>
  <c r="H8326"/>
  <c r="I8326"/>
  <c r="K8326"/>
  <c r="N8326"/>
  <c r="W8326"/>
  <c r="H8327"/>
  <c r="I8327"/>
  <c r="K8327"/>
  <c r="N8327"/>
  <c r="W8327"/>
  <c r="H8328"/>
  <c r="I8328"/>
  <c r="K8328"/>
  <c r="N8328"/>
  <c r="W8328"/>
  <c r="H8329"/>
  <c r="I8329"/>
  <c r="K8329"/>
  <c r="N8329"/>
  <c r="W8329"/>
  <c r="H8330"/>
  <c r="I8330"/>
  <c r="K8330"/>
  <c r="N8330"/>
  <c r="W8330"/>
  <c r="H8331"/>
  <c r="I8331"/>
  <c r="K8331"/>
  <c r="N8331"/>
  <c r="W8331"/>
  <c r="H8332"/>
  <c r="I8332"/>
  <c r="K8332"/>
  <c r="N8332"/>
  <c r="W8332"/>
  <c r="H8333"/>
  <c r="I8333"/>
  <c r="K8333"/>
  <c r="N8333"/>
  <c r="W8333"/>
  <c r="H8334"/>
  <c r="I8334"/>
  <c r="K8334"/>
  <c r="N8334"/>
  <c r="W8334"/>
  <c r="H8335"/>
  <c r="I8335"/>
  <c r="K8335"/>
  <c r="N8335"/>
  <c r="W8335"/>
  <c r="H8336"/>
  <c r="I8336"/>
  <c r="K8336"/>
  <c r="N8336"/>
  <c r="W8336"/>
  <c r="H8337"/>
  <c r="I8337"/>
  <c r="K8337"/>
  <c r="N8337"/>
  <c r="W8337"/>
  <c r="H8338"/>
  <c r="I8338"/>
  <c r="K8338"/>
  <c r="N8338"/>
  <c r="W8338"/>
  <c r="H8339"/>
  <c r="I8339"/>
  <c r="K8339"/>
  <c r="N8339"/>
  <c r="W8339"/>
  <c r="H8340"/>
  <c r="I8340"/>
  <c r="K8340"/>
  <c r="N8340"/>
  <c r="W8340"/>
  <c r="H8341"/>
  <c r="I8341"/>
  <c r="K8341"/>
  <c r="N8341"/>
  <c r="W8341"/>
  <c r="H8342"/>
  <c r="I8342"/>
  <c r="K8342"/>
  <c r="N8342"/>
  <c r="W8342"/>
  <c r="H8343"/>
  <c r="I8343"/>
  <c r="K8343"/>
  <c r="N8343"/>
  <c r="W8343"/>
  <c r="H8344"/>
  <c r="I8344"/>
  <c r="K8344"/>
  <c r="N8344"/>
  <c r="W8344"/>
  <c r="H8345"/>
  <c r="I8345"/>
  <c r="K8345"/>
  <c r="N8345"/>
  <c r="W8345"/>
  <c r="H8346"/>
  <c r="I8346"/>
  <c r="K8346"/>
  <c r="N8346"/>
  <c r="W8346"/>
  <c r="H8347"/>
  <c r="I8347"/>
  <c r="K8347"/>
  <c r="N8347"/>
  <c r="W8347"/>
  <c r="H8348"/>
  <c r="I8348"/>
  <c r="K8348"/>
  <c r="N8348"/>
  <c r="W8348"/>
  <c r="H8349"/>
  <c r="I8349"/>
  <c r="K8349"/>
  <c r="N8349"/>
  <c r="W8349"/>
  <c r="H8350"/>
  <c r="I8350"/>
  <c r="K8350"/>
  <c r="N8350"/>
  <c r="W8350"/>
  <c r="H8351"/>
  <c r="I8351"/>
  <c r="K8351"/>
  <c r="N8351"/>
  <c r="W8351"/>
  <c r="H8352"/>
  <c r="I8352"/>
  <c r="K8352"/>
  <c r="N8352"/>
  <c r="W8352"/>
  <c r="H8353"/>
  <c r="I8353"/>
  <c r="K8353"/>
  <c r="N8353"/>
  <c r="W8353"/>
  <c r="H8354"/>
  <c r="I8354"/>
  <c r="K8354"/>
  <c r="N8354"/>
  <c r="W8354"/>
  <c r="H8355"/>
  <c r="I8355"/>
  <c r="K8355"/>
  <c r="N8355"/>
  <c r="W8355"/>
  <c r="H8356"/>
  <c r="I8356"/>
  <c r="K8356"/>
  <c r="N8356"/>
  <c r="W8356"/>
  <c r="H8357"/>
  <c r="I8357"/>
  <c r="K8357"/>
  <c r="N8357"/>
  <c r="W8357"/>
  <c r="H8358"/>
  <c r="I8358"/>
  <c r="K8358"/>
  <c r="N8358"/>
  <c r="W8358"/>
  <c r="H8359"/>
  <c r="I8359"/>
  <c r="K8359"/>
  <c r="N8359"/>
  <c r="W8359"/>
  <c r="H8360"/>
  <c r="I8360"/>
  <c r="K8360"/>
  <c r="N8360"/>
  <c r="W8360"/>
  <c r="H8361"/>
  <c r="I8361"/>
  <c r="K8361"/>
  <c r="N8361"/>
  <c r="W8361"/>
  <c r="H8362"/>
  <c r="I8362"/>
  <c r="K8362"/>
  <c r="N8362"/>
  <c r="W8362"/>
  <c r="H8363"/>
  <c r="I8363"/>
  <c r="K8363"/>
  <c r="N8363"/>
  <c r="W8363"/>
  <c r="H8364"/>
  <c r="I8364"/>
  <c r="K8364"/>
  <c r="N8364"/>
  <c r="W8364"/>
  <c r="H8365"/>
  <c r="I8365"/>
  <c r="K8365"/>
  <c r="N8365"/>
  <c r="W8365"/>
  <c r="H8366"/>
  <c r="I8366"/>
  <c r="K8366"/>
  <c r="N8366"/>
  <c r="W8366"/>
  <c r="H8367"/>
  <c r="I8367"/>
  <c r="K8367"/>
  <c r="N8367"/>
  <c r="W8367"/>
  <c r="H8368"/>
  <c r="I8368"/>
  <c r="K8368"/>
  <c r="N8368"/>
  <c r="W8368"/>
  <c r="H8369"/>
  <c r="I8369"/>
  <c r="K8369"/>
  <c r="N8369"/>
  <c r="W8369"/>
  <c r="H8370"/>
  <c r="I8370"/>
  <c r="K8370"/>
  <c r="N8370"/>
  <c r="W8370"/>
  <c r="H8371"/>
  <c r="I8371"/>
  <c r="K8371"/>
  <c r="N8371"/>
  <c r="W8371"/>
  <c r="H8372"/>
  <c r="I8372"/>
  <c r="K8372"/>
  <c r="N8372"/>
  <c r="W8372"/>
  <c r="H8373"/>
  <c r="I8373"/>
  <c r="K8373"/>
  <c r="N8373"/>
  <c r="W8373"/>
  <c r="H8374"/>
  <c r="I8374"/>
  <c r="K8374"/>
  <c r="N8374"/>
  <c r="W8374"/>
  <c r="H8375"/>
  <c r="I8375"/>
  <c r="K8375"/>
  <c r="N8375"/>
  <c r="W8375"/>
  <c r="H8376"/>
  <c r="I8376"/>
  <c r="K8376"/>
  <c r="N8376"/>
  <c r="W8376"/>
  <c r="H8377"/>
  <c r="I8377"/>
  <c r="K8377"/>
  <c r="N8377"/>
  <c r="W8377"/>
  <c r="H8378"/>
  <c r="I8378"/>
  <c r="K8378"/>
  <c r="N8378"/>
  <c r="W8378"/>
  <c r="H8379"/>
  <c r="I8379"/>
  <c r="K8379"/>
  <c r="N8379"/>
  <c r="W8379"/>
  <c r="H8380"/>
  <c r="I8380"/>
  <c r="K8380"/>
  <c r="N8380"/>
  <c r="W8380"/>
  <c r="H8381"/>
  <c r="I8381"/>
  <c r="K8381"/>
  <c r="N8381"/>
  <c r="W8381"/>
  <c r="H8382"/>
  <c r="I8382"/>
  <c r="K8382"/>
  <c r="N8382"/>
  <c r="W8382"/>
  <c r="H8383"/>
  <c r="I8383"/>
  <c r="K8383"/>
  <c r="N8383"/>
  <c r="W8383"/>
  <c r="H8384"/>
  <c r="I8384"/>
  <c r="K8384"/>
  <c r="N8384"/>
  <c r="W8384"/>
  <c r="H8385"/>
  <c r="I8385"/>
  <c r="K8385"/>
  <c r="N8385"/>
  <c r="W8385"/>
  <c r="H8386"/>
  <c r="I8386"/>
  <c r="K8386"/>
  <c r="N8386"/>
  <c r="W8386"/>
  <c r="H8387"/>
  <c r="I8387"/>
  <c r="K8387"/>
  <c r="N8387"/>
  <c r="W8387"/>
  <c r="H8388"/>
  <c r="I8388"/>
  <c r="K8388"/>
  <c r="N8388"/>
  <c r="W8388"/>
  <c r="H8389"/>
  <c r="I8389"/>
  <c r="K8389"/>
  <c r="N8389"/>
  <c r="W8389"/>
  <c r="H8390"/>
  <c r="I8390"/>
  <c r="K8390"/>
  <c r="N8390"/>
  <c r="W8390"/>
  <c r="H8391"/>
  <c r="I8391"/>
  <c r="K8391"/>
  <c r="N8391"/>
  <c r="W8391"/>
  <c r="H8392"/>
  <c r="I8392"/>
  <c r="K8392"/>
  <c r="N8392"/>
  <c r="W8392"/>
  <c r="H8393"/>
  <c r="I8393"/>
  <c r="K8393"/>
  <c r="N8393"/>
  <c r="W8393"/>
  <c r="H8394"/>
  <c r="I8394"/>
  <c r="K8394"/>
  <c r="N8394"/>
  <c r="W8394"/>
  <c r="H8395"/>
  <c r="I8395"/>
  <c r="K8395"/>
  <c r="N8395"/>
  <c r="W8395"/>
  <c r="H8396"/>
  <c r="I8396"/>
  <c r="K8396"/>
  <c r="N8396"/>
  <c r="W8396"/>
  <c r="H8397"/>
  <c r="I8397"/>
  <c r="K8397"/>
  <c r="N8397"/>
  <c r="W8397"/>
  <c r="H8398"/>
  <c r="I8398"/>
  <c r="K8398"/>
  <c r="N8398"/>
  <c r="W8398"/>
  <c r="H8399"/>
  <c r="I8399"/>
  <c r="K8399"/>
  <c r="N8399"/>
  <c r="W8399"/>
  <c r="H8400"/>
  <c r="I8400"/>
  <c r="K8400"/>
  <c r="N8400"/>
  <c r="W8400"/>
  <c r="H8401"/>
  <c r="I8401"/>
  <c r="K8401"/>
  <c r="N8401"/>
  <c r="W8401"/>
  <c r="H8402"/>
  <c r="I8402"/>
  <c r="K8402"/>
  <c r="N8402"/>
  <c r="W8402"/>
  <c r="H8403"/>
  <c r="I8403"/>
  <c r="K8403"/>
  <c r="N8403"/>
  <c r="W8403"/>
  <c r="H8404"/>
  <c r="I8404"/>
  <c r="K8404"/>
  <c r="N8404"/>
  <c r="W8404"/>
  <c r="H8405"/>
  <c r="I8405"/>
  <c r="K8405"/>
  <c r="N8405"/>
  <c r="W8405"/>
  <c r="H8406"/>
  <c r="I8406"/>
  <c r="K8406"/>
  <c r="N8406"/>
  <c r="W8406"/>
  <c r="H8407"/>
  <c r="I8407"/>
  <c r="K8407"/>
  <c r="N8407"/>
  <c r="W8407"/>
  <c r="H8408"/>
  <c r="I8408"/>
  <c r="K8408"/>
  <c r="N8408"/>
  <c r="W8408"/>
  <c r="H8409"/>
  <c r="I8409"/>
  <c r="K8409"/>
  <c r="N8409"/>
  <c r="W8409"/>
  <c r="H8410"/>
  <c r="I8410"/>
  <c r="K8410"/>
  <c r="N8410"/>
  <c r="W8410"/>
  <c r="H8411"/>
  <c r="I8411"/>
  <c r="K8411"/>
  <c r="N8411"/>
  <c r="W8411"/>
  <c r="H8412"/>
  <c r="I8412"/>
  <c r="K8412"/>
  <c r="N8412"/>
  <c r="W8412"/>
  <c r="H8413"/>
  <c r="I8413"/>
  <c r="K8413"/>
  <c r="N8413"/>
  <c r="W8413"/>
  <c r="H8414"/>
  <c r="I8414"/>
  <c r="K8414"/>
  <c r="N8414"/>
  <c r="W8414"/>
  <c r="H8415"/>
  <c r="I8415"/>
  <c r="K8415"/>
  <c r="N8415"/>
  <c r="W8415"/>
  <c r="H8416"/>
  <c r="I8416"/>
  <c r="K8416"/>
  <c r="N8416"/>
  <c r="W8416"/>
  <c r="H8417"/>
  <c r="I8417"/>
  <c r="K8417"/>
  <c r="N8417"/>
  <c r="W8417"/>
  <c r="H8418"/>
  <c r="I8418"/>
  <c r="K8418"/>
  <c r="N8418"/>
  <c r="W8418"/>
  <c r="H8419"/>
  <c r="I8419"/>
  <c r="K8419"/>
  <c r="N8419"/>
  <c r="W8419"/>
  <c r="H8420"/>
  <c r="I8420"/>
  <c r="K8420"/>
  <c r="N8420"/>
  <c r="W8420"/>
  <c r="H8421"/>
  <c r="I8421"/>
  <c r="K8421"/>
  <c r="N8421"/>
  <c r="W8421"/>
  <c r="H8422"/>
  <c r="I8422"/>
  <c r="K8422"/>
  <c r="N8422"/>
  <c r="W8422"/>
  <c r="H8423"/>
  <c r="I8423"/>
  <c r="K8423"/>
  <c r="N8423"/>
  <c r="W8423"/>
  <c r="H8424"/>
  <c r="I8424"/>
  <c r="K8424"/>
  <c r="N8424"/>
  <c r="W8424"/>
  <c r="H8425"/>
  <c r="I8425"/>
  <c r="K8425"/>
  <c r="N8425"/>
  <c r="W8425"/>
  <c r="H8426"/>
  <c r="I8426"/>
  <c r="K8426"/>
  <c r="N8426"/>
  <c r="W8426"/>
  <c r="H8427"/>
  <c r="I8427"/>
  <c r="K8427"/>
  <c r="N8427"/>
  <c r="W8427"/>
  <c r="H8428"/>
  <c r="I8428"/>
  <c r="K8428"/>
  <c r="N8428"/>
  <c r="W8428"/>
  <c r="H8429"/>
  <c r="I8429"/>
  <c r="K8429"/>
  <c r="N8429"/>
  <c r="W8429"/>
  <c r="H8430"/>
  <c r="I8430"/>
  <c r="K8430"/>
  <c r="N8430"/>
  <c r="W8430"/>
  <c r="H8431"/>
  <c r="I8431"/>
  <c r="K8431"/>
  <c r="N8431"/>
  <c r="W8431"/>
  <c r="H8432"/>
  <c r="I8432"/>
  <c r="K8432"/>
  <c r="N8432"/>
  <c r="W8432"/>
  <c r="H8433"/>
  <c r="I8433"/>
  <c r="K8433"/>
  <c r="N8433"/>
  <c r="W8433"/>
  <c r="H8434"/>
  <c r="I8434"/>
  <c r="K8434"/>
  <c r="N8434"/>
  <c r="W8434"/>
  <c r="H8435"/>
  <c r="I8435"/>
  <c r="K8435"/>
  <c r="N8435"/>
  <c r="W8435"/>
  <c r="H8436"/>
  <c r="I8436"/>
  <c r="K8436"/>
  <c r="N8436"/>
  <c r="W8436"/>
  <c r="H8437"/>
  <c r="I8437"/>
  <c r="K8437"/>
  <c r="N8437"/>
  <c r="W8437"/>
  <c r="H8438"/>
  <c r="I8438"/>
  <c r="K8438"/>
  <c r="N8438"/>
  <c r="W8438"/>
  <c r="H8439"/>
  <c r="I8439"/>
  <c r="K8439"/>
  <c r="N8439"/>
  <c r="W8439"/>
  <c r="H8440"/>
  <c r="I8440"/>
  <c r="K8440"/>
  <c r="N8440"/>
  <c r="W8440"/>
  <c r="H8441"/>
  <c r="I8441"/>
  <c r="K8441"/>
  <c r="N8441"/>
  <c r="W8441"/>
  <c r="H8442"/>
  <c r="I8442"/>
  <c r="K8442"/>
  <c r="N8442"/>
  <c r="W8442"/>
  <c r="H8443"/>
  <c r="I8443"/>
  <c r="K8443"/>
  <c r="N8443"/>
  <c r="W8443"/>
  <c r="H8444"/>
  <c r="I8444"/>
  <c r="K8444"/>
  <c r="N8444"/>
  <c r="W8444"/>
  <c r="H8445"/>
  <c r="I8445"/>
  <c r="K8445"/>
  <c r="N8445"/>
  <c r="W8445"/>
  <c r="H8446"/>
  <c r="I8446"/>
  <c r="K8446"/>
  <c r="N8446"/>
  <c r="W8446"/>
  <c r="H8447"/>
  <c r="I8447"/>
  <c r="K8447"/>
  <c r="N8447"/>
  <c r="W8447"/>
  <c r="H8448"/>
  <c r="I8448"/>
  <c r="K8448"/>
  <c r="N8448"/>
  <c r="W8448"/>
  <c r="H8449"/>
  <c r="I8449"/>
  <c r="K8449"/>
  <c r="N8449"/>
  <c r="W8449"/>
  <c r="H8450"/>
  <c r="I8450"/>
  <c r="K8450"/>
  <c r="N8450"/>
  <c r="W8450"/>
  <c r="H8451"/>
  <c r="I8451"/>
  <c r="K8451"/>
  <c r="N8451"/>
  <c r="W8451"/>
  <c r="H8452"/>
  <c r="I8452"/>
  <c r="K8452"/>
  <c r="N8452"/>
  <c r="W8452"/>
  <c r="H8453"/>
  <c r="I8453"/>
  <c r="K8453"/>
  <c r="N8453"/>
  <c r="W8453"/>
  <c r="H8454"/>
  <c r="I8454"/>
  <c r="K8454"/>
  <c r="N8454"/>
  <c r="W8454"/>
  <c r="H8455"/>
  <c r="I8455"/>
  <c r="K8455"/>
  <c r="N8455"/>
  <c r="W8455"/>
  <c r="H8456"/>
  <c r="I8456"/>
  <c r="K8456"/>
  <c r="N8456"/>
  <c r="W8456"/>
  <c r="H8457"/>
  <c r="I8457"/>
  <c r="K8457"/>
  <c r="N8457"/>
  <c r="W8457"/>
  <c r="H8458"/>
  <c r="I8458"/>
  <c r="K8458"/>
  <c r="N8458"/>
  <c r="W8458"/>
  <c r="H8459"/>
  <c r="I8459"/>
  <c r="K8459"/>
  <c r="N8459"/>
  <c r="W8459"/>
  <c r="H8460"/>
  <c r="I8460"/>
  <c r="K8460"/>
  <c r="N8460"/>
  <c r="W8460"/>
  <c r="H8461"/>
  <c r="I8461"/>
  <c r="K8461"/>
  <c r="N8461"/>
  <c r="W8461"/>
  <c r="H8462"/>
  <c r="I8462"/>
  <c r="K8462"/>
  <c r="N8462"/>
  <c r="W8462"/>
  <c r="H8463"/>
  <c r="I8463"/>
  <c r="K8463"/>
  <c r="N8463"/>
  <c r="W8463"/>
  <c r="H8464"/>
  <c r="I8464"/>
  <c r="K8464"/>
  <c r="N8464"/>
  <c r="W8464"/>
  <c r="H8465"/>
  <c r="I8465"/>
  <c r="K8465"/>
  <c r="N8465"/>
  <c r="W8465"/>
  <c r="H8466"/>
  <c r="I8466"/>
  <c r="K8466"/>
  <c r="N8466"/>
  <c r="W8466"/>
  <c r="H8467"/>
  <c r="I8467"/>
  <c r="K8467"/>
  <c r="N8467"/>
  <c r="W8467"/>
  <c r="H8468"/>
  <c r="I8468"/>
  <c r="K8468"/>
  <c r="N8468"/>
  <c r="W8468"/>
  <c r="H8469"/>
  <c r="I8469"/>
  <c r="K8469"/>
  <c r="N8469"/>
  <c r="W8469"/>
  <c r="H8470"/>
  <c r="I8470"/>
  <c r="K8470"/>
  <c r="N8470"/>
  <c r="W8470"/>
  <c r="H8471"/>
  <c r="I8471"/>
  <c r="K8471"/>
  <c r="N8471"/>
  <c r="W8471"/>
  <c r="H8472"/>
  <c r="I8472"/>
  <c r="K8472"/>
  <c r="N8472"/>
  <c r="W8472"/>
  <c r="H8473"/>
  <c r="I8473"/>
  <c r="K8473"/>
  <c r="N8473"/>
  <c r="W8473"/>
  <c r="H8474"/>
  <c r="I8474"/>
  <c r="K8474"/>
  <c r="N8474"/>
  <c r="W8474"/>
  <c r="H8475"/>
  <c r="I8475"/>
  <c r="K8475"/>
  <c r="N8475"/>
  <c r="W8475"/>
  <c r="H8476"/>
  <c r="I8476"/>
  <c r="K8476"/>
  <c r="N8476"/>
  <c r="W8476"/>
  <c r="H8477"/>
  <c r="I8477"/>
  <c r="K8477"/>
  <c r="N8477"/>
  <c r="W8477"/>
  <c r="H8478"/>
  <c r="I8478"/>
  <c r="K8478"/>
  <c r="N8478"/>
  <c r="W8478"/>
  <c r="H8479"/>
  <c r="I8479"/>
  <c r="K8479"/>
  <c r="N8479"/>
  <c r="W8479"/>
  <c r="H8480"/>
  <c r="I8480"/>
  <c r="K8480"/>
  <c r="N8480"/>
  <c r="W8480"/>
  <c r="H8481"/>
  <c r="I8481"/>
  <c r="K8481"/>
  <c r="N8481"/>
  <c r="W8481"/>
  <c r="H8482"/>
  <c r="I8482"/>
  <c r="K8482"/>
  <c r="N8482"/>
  <c r="W8482"/>
  <c r="H8483"/>
  <c r="I8483"/>
  <c r="K8483"/>
  <c r="N8483"/>
  <c r="W8483"/>
  <c r="H8484"/>
  <c r="I8484"/>
  <c r="K8484"/>
  <c r="N8484"/>
  <c r="W8484"/>
  <c r="H8485"/>
  <c r="I8485"/>
  <c r="K8485"/>
  <c r="N8485"/>
  <c r="W8485"/>
  <c r="H8486"/>
  <c r="I8486"/>
  <c r="K8486"/>
  <c r="N8486"/>
  <c r="W8486"/>
  <c r="H8487"/>
  <c r="I8487"/>
  <c r="K8487"/>
  <c r="N8487"/>
  <c r="W8487"/>
  <c r="H8488"/>
  <c r="I8488"/>
  <c r="K8488"/>
  <c r="N8488"/>
  <c r="W8488"/>
  <c r="H8489"/>
  <c r="I8489"/>
  <c r="K8489"/>
  <c r="N8489"/>
  <c r="W8489"/>
  <c r="H8490"/>
  <c r="I8490"/>
  <c r="K8490"/>
  <c r="N8490"/>
  <c r="W8490"/>
  <c r="H8491"/>
  <c r="I8491"/>
  <c r="K8491"/>
  <c r="N8491"/>
  <c r="W8491"/>
  <c r="H8492"/>
  <c r="I8492"/>
  <c r="K8492"/>
  <c r="N8492"/>
  <c r="W8492"/>
  <c r="H8493"/>
  <c r="I8493"/>
  <c r="K8493"/>
  <c r="N8493"/>
  <c r="W8493"/>
  <c r="H8494"/>
  <c r="I8494"/>
  <c r="K8494"/>
  <c r="N8494"/>
  <c r="W8494"/>
  <c r="H8495"/>
  <c r="I8495"/>
  <c r="K8495"/>
  <c r="N8495"/>
  <c r="W8495"/>
  <c r="H8496"/>
  <c r="I8496"/>
  <c r="K8496"/>
  <c r="N8496"/>
  <c r="W8496"/>
  <c r="H8497"/>
  <c r="I8497"/>
  <c r="K8497"/>
  <c r="N8497"/>
  <c r="W8497"/>
  <c r="H8498"/>
  <c r="I8498"/>
  <c r="K8498"/>
  <c r="N8498"/>
  <c r="W8498"/>
  <c r="H8499"/>
  <c r="I8499"/>
  <c r="K8499"/>
  <c r="N8499"/>
  <c r="W8499"/>
  <c r="H8500"/>
  <c r="I8500"/>
  <c r="K8500"/>
  <c r="N8500"/>
  <c r="W8500"/>
  <c r="H8501"/>
  <c r="I8501"/>
  <c r="K8501"/>
  <c r="N8501"/>
  <c r="W8501"/>
  <c r="H8502"/>
  <c r="I8502"/>
  <c r="K8502"/>
  <c r="N8502"/>
  <c r="W8502"/>
  <c r="H8503"/>
  <c r="I8503"/>
  <c r="K8503"/>
  <c r="N8503"/>
  <c r="W8503"/>
  <c r="H8504"/>
  <c r="I8504"/>
  <c r="K8504"/>
  <c r="N8504"/>
  <c r="W8504"/>
  <c r="H8505"/>
  <c r="I8505"/>
  <c r="K8505"/>
  <c r="N8505"/>
  <c r="W8505"/>
  <c r="H8506"/>
  <c r="I8506"/>
  <c r="K8506"/>
  <c r="N8506"/>
  <c r="W8506"/>
  <c r="H8507"/>
  <c r="I8507"/>
  <c r="K8507"/>
  <c r="N8507"/>
  <c r="W8507"/>
  <c r="H8508"/>
  <c r="I8508"/>
  <c r="K8508"/>
  <c r="N8508"/>
  <c r="W8508"/>
  <c r="H8509"/>
  <c r="I8509"/>
  <c r="K8509"/>
  <c r="N8509"/>
  <c r="W8509"/>
  <c r="H8510"/>
  <c r="I8510"/>
  <c r="K8510"/>
  <c r="N8510"/>
  <c r="W8510"/>
  <c r="H8511"/>
  <c r="I8511"/>
  <c r="K8511"/>
  <c r="N8511"/>
  <c r="W8511"/>
  <c r="H8512"/>
  <c r="I8512"/>
  <c r="K8512"/>
  <c r="N8512"/>
  <c r="W8512"/>
  <c r="H8513"/>
  <c r="I8513"/>
  <c r="K8513"/>
  <c r="N8513"/>
  <c r="W8513"/>
  <c r="H8514"/>
  <c r="I8514"/>
  <c r="K8514"/>
  <c r="N8514"/>
  <c r="W8514"/>
  <c r="H8515"/>
  <c r="I8515"/>
  <c r="K8515"/>
  <c r="N8515"/>
  <c r="W8515"/>
  <c r="H8516"/>
  <c r="I8516"/>
  <c r="K8516"/>
  <c r="N8516"/>
  <c r="W8516"/>
  <c r="H8517"/>
  <c r="I8517"/>
  <c r="K8517"/>
  <c r="N8517"/>
  <c r="W8517"/>
  <c r="H8518"/>
  <c r="I8518"/>
  <c r="K8518"/>
  <c r="N8518"/>
  <c r="W8518"/>
  <c r="H8519"/>
  <c r="I8519"/>
  <c r="K8519"/>
  <c r="N8519"/>
  <c r="W8519"/>
  <c r="H8520"/>
  <c r="I8520"/>
  <c r="K8520"/>
  <c r="N8520"/>
  <c r="W8520"/>
  <c r="H8521"/>
  <c r="I8521"/>
  <c r="K8521"/>
  <c r="N8521"/>
  <c r="W8521"/>
  <c r="H8522"/>
  <c r="I8522"/>
  <c r="K8522"/>
  <c r="N8522"/>
  <c r="W8522"/>
  <c r="H8523"/>
  <c r="I8523"/>
  <c r="K8523"/>
  <c r="N8523"/>
  <c r="W8523"/>
  <c r="H8524"/>
  <c r="I8524"/>
  <c r="K8524"/>
  <c r="N8524"/>
  <c r="W8524"/>
  <c r="H8525"/>
  <c r="I8525"/>
  <c r="K8525"/>
  <c r="N8525"/>
  <c r="W8525"/>
  <c r="H8526"/>
  <c r="I8526"/>
  <c r="K8526"/>
  <c r="N8526"/>
  <c r="W8526"/>
  <c r="H8527"/>
  <c r="I8527"/>
  <c r="K8527"/>
  <c r="N8527"/>
  <c r="W8527"/>
  <c r="H8528"/>
  <c r="I8528"/>
  <c r="K8528"/>
  <c r="N8528"/>
  <c r="W8528"/>
  <c r="H8529"/>
  <c r="I8529"/>
  <c r="K8529"/>
  <c r="N8529"/>
  <c r="W8529"/>
  <c r="H8530"/>
  <c r="I8530"/>
  <c r="K8530"/>
  <c r="N8530"/>
  <c r="W8530"/>
  <c r="H8531"/>
  <c r="I8531"/>
  <c r="K8531"/>
  <c r="N8531"/>
  <c r="W8531"/>
  <c r="H8532"/>
  <c r="I8532"/>
  <c r="K8532"/>
  <c r="N8532"/>
  <c r="W8532"/>
  <c r="H8533"/>
  <c r="I8533"/>
  <c r="K8533"/>
  <c r="N8533"/>
  <c r="W8533"/>
  <c r="H8534"/>
  <c r="I8534"/>
  <c r="K8534"/>
  <c r="N8534"/>
  <c r="W8534"/>
  <c r="H8535"/>
  <c r="I8535"/>
  <c r="K8535"/>
  <c r="N8535"/>
  <c r="W8535"/>
  <c r="H8536"/>
  <c r="I8536"/>
  <c r="K8536"/>
  <c r="N8536"/>
  <c r="W8536"/>
  <c r="H8537"/>
  <c r="I8537"/>
  <c r="K8537"/>
  <c r="N8537"/>
  <c r="W8537"/>
  <c r="H8538"/>
  <c r="I8538"/>
  <c r="K8538"/>
  <c r="N8538"/>
  <c r="W8538"/>
  <c r="H8539"/>
  <c r="I8539"/>
  <c r="K8539"/>
  <c r="N8539"/>
  <c r="W8539"/>
  <c r="H8540"/>
  <c r="I8540"/>
  <c r="K8540"/>
  <c r="N8540"/>
  <c r="W8540"/>
  <c r="H8541"/>
  <c r="I8541"/>
  <c r="K8541"/>
  <c r="N8541"/>
  <c r="W8541"/>
  <c r="H8542"/>
  <c r="I8542"/>
  <c r="K8542"/>
  <c r="N8542"/>
  <c r="W8542"/>
  <c r="H8543"/>
  <c r="I8543"/>
  <c r="K8543"/>
  <c r="N8543"/>
  <c r="W8543"/>
  <c r="H8544"/>
  <c r="I8544"/>
  <c r="K8544"/>
  <c r="N8544"/>
  <c r="W8544"/>
  <c r="H8545"/>
  <c r="I8545"/>
  <c r="K8545"/>
  <c r="N8545"/>
  <c r="W8545"/>
  <c r="H8546"/>
  <c r="I8546"/>
  <c r="K8546"/>
  <c r="N8546"/>
  <c r="W8546"/>
  <c r="H8547"/>
  <c r="I8547"/>
  <c r="K8547"/>
  <c r="N8547"/>
  <c r="W8547"/>
  <c r="H8548"/>
  <c r="I8548"/>
  <c r="K8548"/>
  <c r="N8548"/>
  <c r="W8548"/>
  <c r="H8549"/>
  <c r="I8549"/>
  <c r="K8549"/>
  <c r="N8549"/>
  <c r="W8549"/>
  <c r="H8550"/>
  <c r="I8550"/>
  <c r="K8550"/>
  <c r="N8550"/>
  <c r="W8550"/>
  <c r="H8551"/>
  <c r="I8551"/>
  <c r="K8551"/>
  <c r="N8551"/>
  <c r="W8551"/>
  <c r="H8552"/>
  <c r="I8552"/>
  <c r="K8552"/>
  <c r="N8552"/>
  <c r="W8552"/>
  <c r="H8553"/>
  <c r="I8553"/>
  <c r="K8553"/>
  <c r="N8553"/>
  <c r="W8553"/>
  <c r="H8554"/>
  <c r="I8554"/>
  <c r="K8554"/>
  <c r="N8554"/>
  <c r="W8554"/>
  <c r="H8555"/>
  <c r="I8555"/>
  <c r="K8555"/>
  <c r="N8555"/>
  <c r="W8555"/>
  <c r="H8556"/>
  <c r="I8556"/>
  <c r="K8556"/>
  <c r="N8556"/>
  <c r="W8556"/>
  <c r="H8557"/>
  <c r="I8557"/>
  <c r="K8557"/>
  <c r="N8557"/>
  <c r="W8557"/>
  <c r="H8558"/>
  <c r="I8558"/>
  <c r="K8558"/>
  <c r="N8558"/>
  <c r="W8558"/>
  <c r="H8559"/>
  <c r="I8559"/>
  <c r="K8559"/>
  <c r="N8559"/>
  <c r="W8559"/>
  <c r="H8560"/>
  <c r="I8560"/>
  <c r="K8560"/>
  <c r="N8560"/>
  <c r="W8560"/>
  <c r="H8561"/>
  <c r="I8561"/>
  <c r="K8561"/>
  <c r="N8561"/>
  <c r="W8561"/>
  <c r="H8562"/>
  <c r="I8562"/>
  <c r="K8562"/>
  <c r="N8562"/>
  <c r="W8562"/>
  <c r="H8563"/>
  <c r="I8563"/>
  <c r="K8563"/>
  <c r="N8563"/>
  <c r="W8563"/>
  <c r="H8564"/>
  <c r="I8564"/>
  <c r="K8564"/>
  <c r="N8564"/>
  <c r="W8564"/>
  <c r="H8565"/>
  <c r="I8565"/>
  <c r="K8565"/>
  <c r="N8565"/>
  <c r="W8565"/>
  <c r="H8566"/>
  <c r="I8566"/>
  <c r="K8566"/>
  <c r="N8566"/>
  <c r="W8566"/>
  <c r="H8567"/>
  <c r="I8567"/>
  <c r="K8567"/>
  <c r="N8567"/>
  <c r="W8567"/>
  <c r="H8568"/>
  <c r="I8568"/>
  <c r="K8568"/>
  <c r="N8568"/>
  <c r="W8568"/>
  <c r="H8569"/>
  <c r="I8569"/>
  <c r="K8569"/>
  <c r="N8569"/>
  <c r="W8569"/>
  <c r="H8570"/>
  <c r="I8570"/>
  <c r="K8570"/>
  <c r="N8570"/>
  <c r="W8570"/>
  <c r="H8571"/>
  <c r="I8571"/>
  <c r="K8571"/>
  <c r="N8571"/>
  <c r="W8571"/>
  <c r="H8572"/>
  <c r="I8572"/>
  <c r="K8572"/>
  <c r="N8572"/>
  <c r="W8572"/>
  <c r="H8573"/>
  <c r="I8573"/>
  <c r="K8573"/>
  <c r="N8573"/>
  <c r="W8573"/>
  <c r="H8574"/>
  <c r="I8574"/>
  <c r="K8574"/>
  <c r="N8574"/>
  <c r="W8574"/>
  <c r="H8575"/>
  <c r="I8575"/>
  <c r="K8575"/>
  <c r="N8575"/>
  <c r="W8575"/>
  <c r="H8576"/>
  <c r="I8576"/>
  <c r="K8576"/>
  <c r="N8576"/>
  <c r="W8576"/>
  <c r="H8577"/>
  <c r="I8577"/>
  <c r="K8577"/>
  <c r="N8577"/>
  <c r="W8577"/>
  <c r="H8578"/>
  <c r="I8578"/>
  <c r="K8578"/>
  <c r="N8578"/>
  <c r="W8578"/>
  <c r="H8579"/>
  <c r="I8579"/>
  <c r="K8579"/>
  <c r="N8579"/>
  <c r="W8579"/>
  <c r="H8580"/>
  <c r="I8580"/>
  <c r="K8580"/>
  <c r="N8580"/>
  <c r="W8580"/>
  <c r="H8581"/>
  <c r="I8581"/>
  <c r="K8581"/>
  <c r="N8581"/>
  <c r="W8581"/>
  <c r="H8582"/>
  <c r="I8582"/>
  <c r="K8582"/>
  <c r="N8582"/>
  <c r="W8582"/>
  <c r="H8583"/>
  <c r="I8583"/>
  <c r="K8583"/>
  <c r="N8583"/>
  <c r="W8583"/>
  <c r="H8584"/>
  <c r="I8584"/>
  <c r="K8584"/>
  <c r="N8584"/>
  <c r="W8584"/>
  <c r="H8585"/>
  <c r="I8585"/>
  <c r="K8585"/>
  <c r="N8585"/>
  <c r="W8585"/>
  <c r="H8586"/>
  <c r="I8586"/>
  <c r="K8586"/>
  <c r="N8586"/>
  <c r="W8586"/>
  <c r="H8587"/>
  <c r="I8587"/>
  <c r="K8587"/>
  <c r="N8587"/>
  <c r="W8587"/>
  <c r="H8588"/>
  <c r="I8588"/>
  <c r="K8588"/>
  <c r="N8588"/>
  <c r="W8588"/>
  <c r="H8589"/>
  <c r="I8589"/>
  <c r="K8589"/>
  <c r="N8589"/>
  <c r="W8589"/>
  <c r="H8590"/>
  <c r="I8590"/>
  <c r="K8590"/>
  <c r="N8590"/>
  <c r="W8590"/>
  <c r="H8591"/>
  <c r="I8591"/>
  <c r="K8591"/>
  <c r="N8591"/>
  <c r="W8591"/>
  <c r="H8592"/>
  <c r="I8592"/>
  <c r="K8592"/>
  <c r="N8592"/>
  <c r="W8592"/>
  <c r="H8593"/>
  <c r="I8593"/>
  <c r="K8593"/>
  <c r="N8593"/>
  <c r="W8593"/>
  <c r="H8594"/>
  <c r="I8594"/>
  <c r="K8594"/>
  <c r="N8594"/>
  <c r="W8594"/>
  <c r="H8595"/>
  <c r="I8595"/>
  <c r="K8595"/>
  <c r="N8595"/>
  <c r="W8595"/>
  <c r="H8596"/>
  <c r="I8596"/>
  <c r="K8596"/>
  <c r="N8596"/>
  <c r="W8596"/>
  <c r="H8597"/>
  <c r="I8597"/>
  <c r="K8597"/>
  <c r="N8597"/>
  <c r="W8597"/>
  <c r="H8598"/>
  <c r="I8598"/>
  <c r="K8598"/>
  <c r="N8598"/>
  <c r="W8598"/>
  <c r="H8599"/>
  <c r="I8599"/>
  <c r="K8599"/>
  <c r="N8599"/>
  <c r="W8599"/>
  <c r="H8600"/>
  <c r="I8600"/>
  <c r="K8600"/>
  <c r="N8600"/>
  <c r="W8600"/>
  <c r="H8601"/>
  <c r="I8601"/>
  <c r="K8601"/>
  <c r="N8601"/>
  <c r="W8601"/>
  <c r="H8602"/>
  <c r="I8602"/>
  <c r="K8602"/>
  <c r="N8602"/>
  <c r="W8602"/>
  <c r="H8603"/>
  <c r="I8603"/>
  <c r="K8603"/>
  <c r="N8603"/>
  <c r="W8603"/>
  <c r="H8604"/>
  <c r="I8604"/>
  <c r="K8604"/>
  <c r="N8604"/>
  <c r="W8604"/>
  <c r="H8605"/>
  <c r="I8605"/>
  <c r="K8605"/>
  <c r="N8605"/>
  <c r="W8605"/>
  <c r="H8606"/>
  <c r="I8606"/>
  <c r="K8606"/>
  <c r="N8606"/>
  <c r="W8606"/>
  <c r="H8607"/>
  <c r="I8607"/>
  <c r="K8607"/>
  <c r="N8607"/>
  <c r="W8607"/>
  <c r="H8608"/>
  <c r="I8608"/>
  <c r="K8608"/>
  <c r="N8608"/>
  <c r="W8608"/>
  <c r="H8609"/>
  <c r="I8609"/>
  <c r="K8609"/>
  <c r="N8609"/>
  <c r="W8609"/>
  <c r="H8610"/>
  <c r="I8610"/>
  <c r="K8610"/>
  <c r="N8610"/>
  <c r="W8610"/>
  <c r="H8611"/>
  <c r="I8611"/>
  <c r="K8611"/>
  <c r="N8611"/>
  <c r="W8611"/>
  <c r="H8612"/>
  <c r="I8612"/>
  <c r="K8612"/>
  <c r="N8612"/>
  <c r="W8612"/>
  <c r="H8613"/>
  <c r="I8613"/>
  <c r="K8613"/>
  <c r="N8613"/>
  <c r="W8613"/>
  <c r="H8614"/>
  <c r="I8614"/>
  <c r="K8614"/>
  <c r="N8614"/>
  <c r="W8614"/>
  <c r="H8615"/>
  <c r="I8615"/>
  <c r="K8615"/>
  <c r="N8615"/>
  <c r="W8615"/>
  <c r="H8616"/>
  <c r="I8616"/>
  <c r="K8616"/>
  <c r="N8616"/>
  <c r="W8616"/>
  <c r="H8617"/>
  <c r="I8617"/>
  <c r="K8617"/>
  <c r="N8617"/>
  <c r="W8617"/>
  <c r="H8618"/>
  <c r="I8618"/>
  <c r="K8618"/>
  <c r="N8618"/>
  <c r="W8618"/>
  <c r="H8619"/>
  <c r="I8619"/>
  <c r="K8619"/>
  <c r="N8619"/>
  <c r="W8619"/>
  <c r="H8620"/>
  <c r="I8620"/>
  <c r="K8620"/>
  <c r="N8620"/>
  <c r="W8620"/>
  <c r="H8621"/>
  <c r="I8621"/>
  <c r="K8621"/>
  <c r="N8621"/>
  <c r="W8621"/>
  <c r="H8622"/>
  <c r="I8622"/>
  <c r="K8622"/>
  <c r="N8622"/>
  <c r="W8622"/>
  <c r="H8623"/>
  <c r="I8623"/>
  <c r="K8623"/>
  <c r="N8623"/>
  <c r="W8623"/>
  <c r="H8624"/>
  <c r="I8624"/>
  <c r="K8624"/>
  <c r="N8624"/>
  <c r="W8624"/>
  <c r="H8625"/>
  <c r="I8625"/>
  <c r="K8625"/>
  <c r="N8625"/>
  <c r="W8625"/>
  <c r="H8626"/>
  <c r="I8626"/>
  <c r="K8626"/>
  <c r="N8626"/>
  <c r="W8626"/>
  <c r="H8627"/>
  <c r="I8627"/>
  <c r="K8627"/>
  <c r="N8627"/>
  <c r="W8627"/>
  <c r="H8628"/>
  <c r="I8628"/>
  <c r="K8628"/>
  <c r="N8628"/>
  <c r="W8628"/>
  <c r="H8629"/>
  <c r="I8629"/>
  <c r="K8629"/>
  <c r="N8629"/>
  <c r="W8629"/>
  <c r="H8630"/>
  <c r="I8630"/>
  <c r="K8630"/>
  <c r="N8630"/>
  <c r="W8630"/>
  <c r="H8631"/>
  <c r="I8631"/>
  <c r="K8631"/>
  <c r="N8631"/>
  <c r="W8631"/>
  <c r="H8632"/>
  <c r="I8632"/>
  <c r="K8632"/>
  <c r="N8632"/>
  <c r="W8632"/>
  <c r="H8633"/>
  <c r="I8633"/>
  <c r="K8633"/>
  <c r="N8633"/>
  <c r="W8633"/>
  <c r="H8634"/>
  <c r="I8634"/>
  <c r="K8634"/>
  <c r="N8634"/>
  <c r="W8634"/>
  <c r="H8635"/>
  <c r="I8635"/>
  <c r="K8635"/>
  <c r="N8635"/>
  <c r="W8635"/>
  <c r="H8636"/>
  <c r="I8636"/>
  <c r="K8636"/>
  <c r="N8636"/>
  <c r="W8636"/>
  <c r="H8637"/>
  <c r="I8637"/>
  <c r="K8637"/>
  <c r="N8637"/>
  <c r="W8637"/>
  <c r="H8638"/>
  <c r="I8638"/>
  <c r="K8638"/>
  <c r="N8638"/>
  <c r="W8638"/>
  <c r="H8639"/>
  <c r="I8639"/>
  <c r="K8639"/>
  <c r="N8639"/>
  <c r="W8639"/>
  <c r="H8640"/>
  <c r="I8640"/>
  <c r="K8640"/>
  <c r="N8640"/>
  <c r="W8640"/>
  <c r="H8641"/>
  <c r="I8641"/>
  <c r="K8641"/>
  <c r="N8641"/>
  <c r="W8641"/>
  <c r="H8642"/>
  <c r="I8642"/>
  <c r="K8642"/>
  <c r="N8642"/>
  <c r="W8642"/>
  <c r="H8643"/>
  <c r="I8643"/>
  <c r="K8643"/>
  <c r="N8643"/>
  <c r="W8643"/>
  <c r="H8644"/>
  <c r="I8644"/>
  <c r="K8644"/>
  <c r="N8644"/>
  <c r="W8644"/>
  <c r="H8645"/>
  <c r="I8645"/>
  <c r="K8645"/>
  <c r="N8645"/>
  <c r="W8645"/>
  <c r="H8646"/>
  <c r="I8646"/>
  <c r="K8646"/>
  <c r="N8646"/>
  <c r="W8646"/>
  <c r="H8647"/>
  <c r="I8647"/>
  <c r="K8647"/>
  <c r="N8647"/>
  <c r="W8647"/>
  <c r="H8648"/>
  <c r="I8648"/>
  <c r="K8648"/>
  <c r="N8648"/>
  <c r="W8648"/>
  <c r="H8649"/>
  <c r="I8649"/>
  <c r="K8649"/>
  <c r="N8649"/>
  <c r="W8649"/>
  <c r="H8650"/>
  <c r="I8650"/>
  <c r="K8650"/>
  <c r="N8650"/>
  <c r="W8650"/>
  <c r="H8651"/>
  <c r="I8651"/>
  <c r="K8651"/>
  <c r="N8651"/>
  <c r="W8651"/>
  <c r="H8652"/>
  <c r="I8652"/>
  <c r="K8652"/>
  <c r="N8652"/>
  <c r="W8652"/>
  <c r="H8653"/>
  <c r="I8653"/>
  <c r="K8653"/>
  <c r="N8653"/>
  <c r="W8653"/>
  <c r="H8654"/>
  <c r="I8654"/>
  <c r="K8654"/>
  <c r="N8654"/>
  <c r="W8654"/>
  <c r="H8655"/>
  <c r="I8655"/>
  <c r="K8655"/>
  <c r="N8655"/>
  <c r="W8655"/>
  <c r="H8656"/>
  <c r="I8656"/>
  <c r="K8656"/>
  <c r="N8656"/>
  <c r="W8656"/>
  <c r="H8657"/>
  <c r="I8657"/>
  <c r="K8657"/>
  <c r="N8657"/>
  <c r="W8657"/>
  <c r="H8658"/>
  <c r="I8658"/>
  <c r="K8658"/>
  <c r="N8658"/>
  <c r="W8658"/>
  <c r="H8659"/>
  <c r="I8659"/>
  <c r="K8659"/>
  <c r="N8659"/>
  <c r="W8659"/>
  <c r="H8660"/>
  <c r="I8660"/>
  <c r="K8660"/>
  <c r="N8660"/>
  <c r="W8660"/>
  <c r="H8661"/>
  <c r="I8661"/>
  <c r="K8661"/>
  <c r="N8661"/>
  <c r="W8661"/>
  <c r="H8662"/>
  <c r="I8662"/>
  <c r="K8662"/>
  <c r="N8662"/>
  <c r="W8662"/>
  <c r="H8663"/>
  <c r="I8663"/>
  <c r="K8663"/>
  <c r="N8663"/>
  <c r="W8663"/>
  <c r="H8664"/>
  <c r="I8664"/>
  <c r="K8664"/>
  <c r="N8664"/>
  <c r="W8664"/>
  <c r="H8665"/>
  <c r="I8665"/>
  <c r="K8665"/>
  <c r="N8665"/>
  <c r="W8665"/>
  <c r="H8666"/>
  <c r="I8666"/>
  <c r="K8666"/>
  <c r="N8666"/>
  <c r="W8666"/>
  <c r="H8667"/>
  <c r="I8667"/>
  <c r="K8667"/>
  <c r="N8667"/>
  <c r="W8667"/>
  <c r="H8668"/>
  <c r="I8668"/>
  <c r="K8668"/>
  <c r="N8668"/>
  <c r="W8668"/>
  <c r="H8669"/>
  <c r="I8669"/>
  <c r="K8669"/>
  <c r="N8669"/>
  <c r="W8669"/>
  <c r="H8670"/>
  <c r="I8670"/>
  <c r="K8670"/>
  <c r="N8670"/>
  <c r="W8670"/>
  <c r="H8671"/>
  <c r="I8671"/>
  <c r="K8671"/>
  <c r="N8671"/>
  <c r="W8671"/>
  <c r="H8672"/>
  <c r="I8672"/>
  <c r="K8672"/>
  <c r="N8672"/>
  <c r="W8672"/>
  <c r="H8673"/>
  <c r="I8673"/>
  <c r="K8673"/>
  <c r="N8673"/>
  <c r="W8673"/>
  <c r="H8674"/>
  <c r="I8674"/>
  <c r="K8674"/>
  <c r="N8674"/>
  <c r="W8674"/>
  <c r="H8675"/>
  <c r="I8675"/>
  <c r="K8675"/>
  <c r="N8675"/>
  <c r="W8675"/>
  <c r="H8676"/>
  <c r="I8676"/>
  <c r="K8676"/>
  <c r="N8676"/>
  <c r="W8676"/>
  <c r="H8677"/>
  <c r="I8677"/>
  <c r="K8677"/>
  <c r="N8677"/>
  <c r="W8677"/>
  <c r="H8678"/>
  <c r="I8678"/>
  <c r="K8678"/>
  <c r="N8678"/>
  <c r="W8678"/>
  <c r="H8679"/>
  <c r="I8679"/>
  <c r="K8679"/>
  <c r="N8679"/>
  <c r="W8679"/>
  <c r="H8680"/>
  <c r="I8680"/>
  <c r="K8680"/>
  <c r="N8680"/>
  <c r="W8680"/>
  <c r="H8681"/>
  <c r="I8681"/>
  <c r="K8681"/>
  <c r="N8681"/>
  <c r="W8681"/>
  <c r="H8682"/>
  <c r="I8682"/>
  <c r="K8682"/>
  <c r="N8682"/>
  <c r="W8682"/>
  <c r="H8683"/>
  <c r="I8683"/>
  <c r="K8683"/>
  <c r="N8683"/>
  <c r="W8683"/>
  <c r="H8684"/>
  <c r="I8684"/>
  <c r="K8684"/>
  <c r="N8684"/>
  <c r="W8684"/>
  <c r="H8685"/>
  <c r="I8685"/>
  <c r="K8685"/>
  <c r="N8685"/>
  <c r="W8685"/>
  <c r="H8686"/>
  <c r="I8686"/>
  <c r="K8686"/>
  <c r="N8686"/>
  <c r="W8686"/>
  <c r="H8687"/>
  <c r="I8687"/>
  <c r="K8687"/>
  <c r="N8687"/>
  <c r="W8687"/>
  <c r="H8688"/>
  <c r="I8688"/>
  <c r="K8688"/>
  <c r="N8688"/>
  <c r="W8688"/>
  <c r="H8689"/>
  <c r="I8689"/>
  <c r="K8689"/>
  <c r="N8689"/>
  <c r="W8689"/>
  <c r="H8690"/>
  <c r="I8690"/>
  <c r="K8690"/>
  <c r="N8690"/>
  <c r="W8690"/>
  <c r="H8691"/>
  <c r="I8691"/>
  <c r="K8691"/>
  <c r="N8691"/>
  <c r="W8691"/>
  <c r="H8692"/>
  <c r="I8692"/>
  <c r="K8692"/>
  <c r="N8692"/>
  <c r="W8692"/>
  <c r="H8693"/>
  <c r="I8693"/>
  <c r="K8693"/>
  <c r="N8693"/>
  <c r="W8693"/>
  <c r="H8694"/>
  <c r="I8694"/>
  <c r="K8694"/>
  <c r="N8694"/>
  <c r="W8694"/>
  <c r="H8695"/>
  <c r="I8695"/>
  <c r="K8695"/>
  <c r="N8695"/>
  <c r="W8695"/>
  <c r="H8696"/>
  <c r="I8696"/>
  <c r="K8696"/>
  <c r="N8696"/>
  <c r="W8696"/>
  <c r="H8697"/>
  <c r="I8697"/>
  <c r="K8697"/>
  <c r="N8697"/>
  <c r="W8697"/>
  <c r="H8698"/>
  <c r="I8698"/>
  <c r="K8698"/>
  <c r="N8698"/>
  <c r="W8698"/>
  <c r="H8699"/>
  <c r="I8699"/>
  <c r="K8699"/>
  <c r="N8699"/>
  <c r="W8699"/>
  <c r="H8700"/>
  <c r="I8700"/>
  <c r="K8700"/>
  <c r="N8700"/>
  <c r="W8700"/>
  <c r="H8701"/>
  <c r="I8701"/>
  <c r="K8701"/>
  <c r="N8701"/>
  <c r="W8701"/>
  <c r="H8702"/>
  <c r="I8702"/>
  <c r="K8702"/>
  <c r="N8702"/>
  <c r="W8702"/>
  <c r="H8703"/>
  <c r="I8703"/>
  <c r="K8703"/>
  <c r="N8703"/>
  <c r="W8703"/>
  <c r="H8704"/>
  <c r="I8704"/>
  <c r="K8704"/>
  <c r="N8704"/>
  <c r="W8704"/>
  <c r="H8705"/>
  <c r="I8705"/>
  <c r="K8705"/>
  <c r="N8705"/>
  <c r="W8705"/>
  <c r="H8706"/>
  <c r="I8706"/>
  <c r="K8706"/>
  <c r="N8706"/>
  <c r="W8706"/>
  <c r="H8707"/>
  <c r="I8707"/>
  <c r="K8707"/>
  <c r="N8707"/>
  <c r="W8707"/>
  <c r="H8708"/>
  <c r="I8708"/>
  <c r="K8708"/>
  <c r="N8708"/>
  <c r="W8708"/>
  <c r="H8709"/>
  <c r="I8709"/>
  <c r="K8709"/>
  <c r="N8709"/>
  <c r="W8709"/>
  <c r="H8710"/>
  <c r="I8710"/>
  <c r="K8710"/>
  <c r="N8710"/>
  <c r="W8710"/>
  <c r="H8711"/>
  <c r="I8711"/>
  <c r="K8711"/>
  <c r="N8711"/>
  <c r="W8711"/>
  <c r="H8712"/>
  <c r="I8712"/>
  <c r="K8712"/>
  <c r="N8712"/>
  <c r="W8712"/>
  <c r="H8713"/>
  <c r="I8713"/>
  <c r="K8713"/>
  <c r="N8713"/>
  <c r="W8713"/>
  <c r="H8714"/>
  <c r="I8714"/>
  <c r="K8714"/>
  <c r="N8714"/>
  <c r="W8714"/>
  <c r="H8715"/>
  <c r="I8715"/>
  <c r="K8715"/>
  <c r="N8715"/>
  <c r="W8715"/>
  <c r="H8716"/>
  <c r="I8716"/>
  <c r="K8716"/>
  <c r="N8716"/>
  <c r="W8716"/>
  <c r="H8717"/>
  <c r="I8717"/>
  <c r="K8717"/>
  <c r="N8717"/>
  <c r="W8717"/>
  <c r="H8718"/>
  <c r="I8718"/>
  <c r="K8718"/>
  <c r="N8718"/>
  <c r="W8718"/>
  <c r="H8719"/>
  <c r="I8719"/>
  <c r="K8719"/>
  <c r="N8719"/>
  <c r="W8719"/>
  <c r="H8720"/>
  <c r="I8720"/>
  <c r="K8720"/>
  <c r="N8720"/>
  <c r="W8720"/>
  <c r="H8721"/>
  <c r="I8721"/>
  <c r="K8721"/>
  <c r="N8721"/>
  <c r="W8721"/>
  <c r="H8722"/>
  <c r="I8722"/>
  <c r="K8722"/>
  <c r="N8722"/>
  <c r="W8722"/>
  <c r="H8723"/>
  <c r="I8723"/>
  <c r="K8723"/>
  <c r="N8723"/>
  <c r="W8723"/>
  <c r="H8724"/>
  <c r="I8724"/>
  <c r="K8724"/>
  <c r="N8724"/>
  <c r="W8724"/>
  <c r="H8725"/>
  <c r="I8725"/>
  <c r="K8725"/>
  <c r="N8725"/>
  <c r="W8725"/>
  <c r="H8726"/>
  <c r="I8726"/>
  <c r="K8726"/>
  <c r="N8726"/>
  <c r="W8726"/>
  <c r="H8727"/>
  <c r="I8727"/>
  <c r="K8727"/>
  <c r="N8727"/>
  <c r="W8727"/>
  <c r="H8728"/>
  <c r="I8728"/>
  <c r="K8728"/>
  <c r="N8728"/>
  <c r="W8728"/>
  <c r="H8729"/>
  <c r="I8729"/>
  <c r="K8729"/>
  <c r="N8729"/>
  <c r="W8729"/>
  <c r="H8730"/>
  <c r="I8730"/>
  <c r="K8730"/>
  <c r="N8730"/>
  <c r="W8730"/>
  <c r="H8731"/>
  <c r="I8731"/>
  <c r="K8731"/>
  <c r="N8731"/>
  <c r="W8731"/>
  <c r="H8732"/>
  <c r="I8732"/>
  <c r="K8732"/>
  <c r="N8732"/>
  <c r="W8732"/>
  <c r="H8733"/>
  <c r="I8733"/>
  <c r="K8733"/>
  <c r="N8733"/>
  <c r="W8733"/>
  <c r="H8734"/>
  <c r="I8734"/>
  <c r="K8734"/>
  <c r="N8734"/>
  <c r="W8734"/>
  <c r="H8735"/>
  <c r="I8735"/>
  <c r="K8735"/>
  <c r="N8735"/>
  <c r="W8735"/>
  <c r="H8736"/>
  <c r="I8736"/>
  <c r="K8736"/>
  <c r="N8736"/>
  <c r="W8736"/>
  <c r="H8737"/>
  <c r="I8737"/>
  <c r="K8737"/>
  <c r="N8737"/>
  <c r="W8737"/>
  <c r="H8738"/>
  <c r="I8738"/>
  <c r="K8738"/>
  <c r="N8738"/>
  <c r="W8738"/>
  <c r="H8739"/>
  <c r="I8739"/>
  <c r="K8739"/>
  <c r="N8739"/>
  <c r="W8739"/>
  <c r="H8740"/>
  <c r="I8740"/>
  <c r="K8740"/>
  <c r="N8740"/>
  <c r="W8740"/>
  <c r="H8741"/>
  <c r="I8741"/>
  <c r="K8741"/>
  <c r="N8741"/>
  <c r="W8741"/>
  <c r="H8742"/>
  <c r="I8742"/>
  <c r="K8742"/>
  <c r="N8742"/>
  <c r="W8742"/>
  <c r="H8743"/>
  <c r="I8743"/>
  <c r="K8743"/>
  <c r="N8743"/>
  <c r="W8743"/>
  <c r="H8744"/>
  <c r="I8744"/>
  <c r="K8744"/>
  <c r="N8744"/>
  <c r="W8744"/>
  <c r="H8745"/>
  <c r="I8745"/>
  <c r="K8745"/>
  <c r="N8745"/>
  <c r="W8745"/>
  <c r="H8746"/>
  <c r="I8746"/>
  <c r="K8746"/>
  <c r="N8746"/>
  <c r="W8746"/>
  <c r="H8747"/>
  <c r="I8747"/>
  <c r="K8747"/>
  <c r="N8747"/>
  <c r="W8747"/>
  <c r="H8748"/>
  <c r="I8748"/>
  <c r="K8748"/>
  <c r="N8748"/>
  <c r="W8748"/>
  <c r="H8749"/>
  <c r="I8749"/>
  <c r="K8749"/>
  <c r="N8749"/>
  <c r="W8749"/>
  <c r="H8750"/>
  <c r="I8750"/>
  <c r="K8750"/>
  <c r="N8750"/>
  <c r="W8750"/>
  <c r="H8751"/>
  <c r="I8751"/>
  <c r="K8751"/>
  <c r="N8751"/>
  <c r="W8751"/>
  <c r="H8752"/>
  <c r="I8752"/>
  <c r="K8752"/>
  <c r="N8752"/>
  <c r="W8752"/>
  <c r="H8753"/>
  <c r="I8753"/>
  <c r="K8753"/>
  <c r="N8753"/>
  <c r="W8753"/>
  <c r="H8754"/>
  <c r="I8754"/>
  <c r="K8754"/>
  <c r="N8754"/>
  <c r="W8754"/>
  <c r="H8755"/>
  <c r="I8755"/>
  <c r="K8755"/>
  <c r="N8755"/>
  <c r="W8755"/>
  <c r="H8756"/>
  <c r="I8756"/>
  <c r="K8756"/>
  <c r="N8756"/>
  <c r="W8756"/>
  <c r="H8757"/>
  <c r="I8757"/>
  <c r="K8757"/>
  <c r="N8757"/>
  <c r="W8757"/>
  <c r="H8758"/>
  <c r="I8758"/>
  <c r="K8758"/>
  <c r="N8758"/>
  <c r="W8758"/>
  <c r="H8759"/>
  <c r="I8759"/>
  <c r="K8759"/>
  <c r="N8759"/>
  <c r="W8759"/>
  <c r="H8760"/>
  <c r="I8760"/>
  <c r="K8760"/>
  <c r="N8760"/>
  <c r="W8760"/>
  <c r="H8761"/>
  <c r="I8761"/>
  <c r="K8761"/>
  <c r="N8761"/>
  <c r="W8761"/>
  <c r="H8762"/>
  <c r="I8762"/>
  <c r="K8762"/>
  <c r="N8762"/>
  <c r="W8762"/>
  <c r="H8763"/>
  <c r="I8763"/>
  <c r="K8763"/>
  <c r="N8763"/>
  <c r="W8763"/>
  <c r="H8764"/>
  <c r="I8764"/>
  <c r="K8764"/>
  <c r="N8764"/>
  <c r="W8764"/>
  <c r="H8765"/>
  <c r="I8765"/>
  <c r="K8765"/>
  <c r="N8765"/>
  <c r="W8765"/>
  <c r="H8766"/>
  <c r="I8766"/>
  <c r="K8766"/>
  <c r="N8766"/>
  <c r="W8766"/>
  <c r="H8767"/>
  <c r="I8767"/>
  <c r="K8767"/>
  <c r="N8767"/>
  <c r="W8767"/>
  <c r="H8768"/>
  <c r="I8768"/>
  <c r="K8768"/>
  <c r="N8768"/>
  <c r="W8768"/>
  <c r="H8769"/>
  <c r="I8769"/>
  <c r="K8769"/>
  <c r="N8769"/>
  <c r="W8769"/>
  <c r="H8770"/>
  <c r="I8770"/>
  <c r="K8770"/>
  <c r="N8770"/>
  <c r="W8770"/>
  <c r="H8771"/>
  <c r="I8771"/>
  <c r="K8771"/>
  <c r="N8771"/>
  <c r="W8771"/>
  <c r="H8772"/>
  <c r="I8772"/>
  <c r="K8772"/>
  <c r="N8772"/>
  <c r="W8772"/>
  <c r="H8773"/>
  <c r="I8773"/>
  <c r="K8773"/>
  <c r="N8773"/>
  <c r="W8773"/>
  <c r="H8774"/>
  <c r="I8774"/>
  <c r="K8774"/>
  <c r="N8774"/>
  <c r="W8774"/>
  <c r="H8775"/>
  <c r="I8775"/>
  <c r="K8775"/>
  <c r="N8775"/>
  <c r="W8775"/>
  <c r="H8776"/>
  <c r="I8776"/>
  <c r="K8776"/>
  <c r="N8776"/>
  <c r="W8776"/>
  <c r="H8777"/>
  <c r="I8777"/>
  <c r="K8777"/>
  <c r="N8777"/>
  <c r="W8777"/>
  <c r="H8778"/>
  <c r="I8778"/>
  <c r="K8778"/>
  <c r="N8778"/>
  <c r="W8778"/>
  <c r="H8779"/>
  <c r="I8779"/>
  <c r="K8779"/>
  <c r="N8779"/>
  <c r="W8779"/>
  <c r="H8780"/>
  <c r="I8780"/>
  <c r="K8780"/>
  <c r="N8780"/>
  <c r="W8780"/>
  <c r="H8781"/>
  <c r="I8781"/>
  <c r="K8781"/>
  <c r="N8781"/>
  <c r="W8781"/>
  <c r="H8782"/>
  <c r="I8782"/>
  <c r="K8782"/>
  <c r="N8782"/>
  <c r="W8782"/>
  <c r="H8783"/>
  <c r="I8783"/>
  <c r="K8783"/>
  <c r="N8783"/>
  <c r="W8783"/>
  <c r="H8784"/>
  <c r="I8784"/>
  <c r="K8784"/>
  <c r="N8784"/>
  <c r="W8784"/>
  <c r="H8785"/>
  <c r="I8785"/>
  <c r="K8785"/>
  <c r="N8785"/>
  <c r="W8785"/>
  <c r="H8786"/>
  <c r="I8786"/>
  <c r="K8786"/>
  <c r="N8786"/>
  <c r="W8786"/>
  <c r="H8787"/>
  <c r="I8787"/>
  <c r="K8787"/>
  <c r="N8787"/>
  <c r="W8787"/>
  <c r="H8788"/>
  <c r="I8788"/>
  <c r="K8788"/>
  <c r="N8788"/>
  <c r="W8788"/>
  <c r="H8789"/>
  <c r="I8789"/>
  <c r="K8789"/>
  <c r="N8789"/>
  <c r="W8789"/>
  <c r="H8790"/>
  <c r="I8790"/>
  <c r="K8790"/>
  <c r="N8790"/>
  <c r="W8790"/>
  <c r="H8791"/>
  <c r="I8791"/>
  <c r="K8791"/>
  <c r="N8791"/>
  <c r="W8791"/>
  <c r="H8792"/>
  <c r="I8792"/>
  <c r="K8792"/>
  <c r="N8792"/>
  <c r="W8792"/>
  <c r="H8793"/>
  <c r="I8793"/>
  <c r="K8793"/>
  <c r="N8793"/>
  <c r="W8793"/>
  <c r="H8794"/>
  <c r="I8794"/>
  <c r="K8794"/>
  <c r="N8794"/>
  <c r="W8794"/>
  <c r="H8795"/>
  <c r="I8795"/>
  <c r="K8795"/>
  <c r="N8795"/>
  <c r="W8795"/>
  <c r="H8796"/>
  <c r="I8796"/>
  <c r="K8796"/>
  <c r="N8796"/>
  <c r="W8796"/>
  <c r="H8797"/>
  <c r="I8797"/>
  <c r="K8797"/>
  <c r="N8797"/>
  <c r="W8797"/>
  <c r="H8798"/>
  <c r="I8798"/>
  <c r="K8798"/>
  <c r="N8798"/>
  <c r="W8798"/>
  <c r="H8799"/>
  <c r="I8799"/>
  <c r="K8799"/>
  <c r="N8799"/>
  <c r="W8799"/>
  <c r="H8800"/>
  <c r="I8800"/>
  <c r="K8800"/>
  <c r="N8800"/>
  <c r="W8800"/>
  <c r="H8801"/>
  <c r="I8801"/>
  <c r="K8801"/>
  <c r="N8801"/>
  <c r="W8801"/>
  <c r="H8802"/>
  <c r="I8802"/>
  <c r="K8802"/>
  <c r="N8802"/>
  <c r="W8802"/>
  <c r="H8803"/>
  <c r="I8803"/>
  <c r="K8803"/>
  <c r="N8803"/>
  <c r="W8803"/>
  <c r="H8804"/>
  <c r="I8804"/>
  <c r="K8804"/>
  <c r="N8804"/>
  <c r="W8804"/>
  <c r="H8805"/>
  <c r="I8805"/>
  <c r="K8805"/>
  <c r="N8805"/>
  <c r="W8805"/>
  <c r="H8806"/>
  <c r="I8806"/>
  <c r="K8806"/>
  <c r="N8806"/>
  <c r="W8806"/>
  <c r="H8807"/>
  <c r="I8807"/>
  <c r="K8807"/>
  <c r="N8807"/>
  <c r="W8807"/>
  <c r="H8808"/>
  <c r="I8808"/>
  <c r="K8808"/>
  <c r="N8808"/>
  <c r="W8808"/>
  <c r="H8809"/>
  <c r="I8809"/>
  <c r="K8809"/>
  <c r="N8809"/>
  <c r="W8809"/>
  <c r="H8810"/>
  <c r="I8810"/>
  <c r="K8810"/>
  <c r="N8810"/>
  <c r="W8810"/>
  <c r="H8811"/>
  <c r="I8811"/>
  <c r="K8811"/>
  <c r="N8811"/>
  <c r="W8811"/>
  <c r="H8812"/>
  <c r="I8812"/>
  <c r="K8812"/>
  <c r="N8812"/>
  <c r="W8812"/>
  <c r="H8813"/>
  <c r="I8813"/>
  <c r="K8813"/>
  <c r="N8813"/>
  <c r="W8813"/>
  <c r="H8814"/>
  <c r="I8814"/>
  <c r="K8814"/>
  <c r="N8814"/>
  <c r="W8814"/>
  <c r="H8815"/>
  <c r="I8815"/>
  <c r="K8815"/>
  <c r="N8815"/>
  <c r="W8815"/>
  <c r="H8816"/>
  <c r="I8816"/>
  <c r="K8816"/>
  <c r="N8816"/>
  <c r="W8816"/>
  <c r="H8817"/>
  <c r="I8817"/>
  <c r="K8817"/>
  <c r="N8817"/>
  <c r="W8817"/>
  <c r="H8818"/>
  <c r="I8818"/>
  <c r="K8818"/>
  <c r="N8818"/>
  <c r="W8818"/>
  <c r="H8819"/>
  <c r="I8819"/>
  <c r="K8819"/>
  <c r="N8819"/>
  <c r="W8819"/>
  <c r="H8820"/>
  <c r="I8820"/>
  <c r="K8820"/>
  <c r="N8820"/>
  <c r="W8820"/>
  <c r="H8821"/>
  <c r="I8821"/>
  <c r="K8821"/>
  <c r="N8821"/>
  <c r="W8821"/>
  <c r="H8822"/>
  <c r="I8822"/>
  <c r="K8822"/>
  <c r="N8822"/>
  <c r="W8822"/>
  <c r="H8823"/>
  <c r="I8823"/>
  <c r="K8823"/>
  <c r="N8823"/>
  <c r="W8823"/>
  <c r="H8824"/>
  <c r="I8824"/>
  <c r="K8824"/>
  <c r="N8824"/>
  <c r="W8824"/>
  <c r="H8825"/>
  <c r="I8825"/>
  <c r="K8825"/>
  <c r="N8825"/>
  <c r="W8825"/>
  <c r="H8826"/>
  <c r="I8826"/>
  <c r="K8826"/>
  <c r="N8826"/>
  <c r="W8826"/>
  <c r="H8827"/>
  <c r="I8827"/>
  <c r="K8827"/>
  <c r="N8827"/>
  <c r="W8827"/>
  <c r="H8828"/>
  <c r="I8828"/>
  <c r="K8828"/>
  <c r="N8828"/>
  <c r="W8828"/>
  <c r="H8829"/>
  <c r="I8829"/>
  <c r="K8829"/>
  <c r="N8829"/>
  <c r="W8829"/>
  <c r="H8830"/>
  <c r="I8830"/>
  <c r="K8830"/>
  <c r="N8830"/>
  <c r="W8830"/>
  <c r="H8831"/>
  <c r="I8831"/>
  <c r="K8831"/>
  <c r="N8831"/>
  <c r="W8831"/>
  <c r="H8832"/>
  <c r="I8832"/>
  <c r="K8832"/>
  <c r="N8832"/>
  <c r="W8832"/>
  <c r="H8833"/>
  <c r="I8833"/>
  <c r="K8833"/>
  <c r="N8833"/>
  <c r="W8833"/>
  <c r="H8834"/>
  <c r="I8834"/>
  <c r="K8834"/>
  <c r="N8834"/>
  <c r="W8834"/>
  <c r="H8835"/>
  <c r="I8835"/>
  <c r="K8835"/>
  <c r="N8835"/>
  <c r="W8835"/>
  <c r="H8836"/>
  <c r="I8836"/>
  <c r="K8836"/>
  <c r="N8836"/>
  <c r="W8836"/>
  <c r="H8837"/>
  <c r="I8837"/>
  <c r="K8837"/>
  <c r="N8837"/>
  <c r="W8837"/>
  <c r="H8838"/>
  <c r="I8838"/>
  <c r="K8838"/>
  <c r="N8838"/>
  <c r="W8838"/>
  <c r="H8839"/>
  <c r="I8839"/>
  <c r="K8839"/>
  <c r="N8839"/>
  <c r="W8839"/>
  <c r="H8840"/>
  <c r="I8840"/>
  <c r="K8840"/>
  <c r="N8840"/>
  <c r="W8840"/>
  <c r="H8841"/>
  <c r="I8841"/>
  <c r="K8841"/>
  <c r="N8841"/>
  <c r="W8841"/>
  <c r="H8842"/>
  <c r="I8842"/>
  <c r="K8842"/>
  <c r="N8842"/>
  <c r="W8842"/>
  <c r="H8843"/>
  <c r="I8843"/>
  <c r="K8843"/>
  <c r="N8843"/>
  <c r="W8843"/>
  <c r="H8844"/>
  <c r="I8844"/>
  <c r="K8844"/>
  <c r="N8844"/>
  <c r="W8844"/>
  <c r="H8845"/>
  <c r="I8845"/>
  <c r="K8845"/>
  <c r="N8845"/>
  <c r="W8845"/>
  <c r="H8846"/>
  <c r="I8846"/>
  <c r="K8846"/>
  <c r="N8846"/>
  <c r="W8846"/>
  <c r="H8847"/>
  <c r="I8847"/>
  <c r="K8847"/>
  <c r="N8847"/>
  <c r="W8847"/>
  <c r="H8848"/>
  <c r="I8848"/>
  <c r="K8848"/>
  <c r="N8848"/>
  <c r="W8848"/>
  <c r="H8849"/>
  <c r="I8849"/>
  <c r="K8849"/>
  <c r="N8849"/>
  <c r="W8849"/>
  <c r="H8850"/>
  <c r="I8850"/>
  <c r="K8850"/>
  <c r="N8850"/>
  <c r="W8850"/>
  <c r="H8851"/>
  <c r="I8851"/>
  <c r="K8851"/>
  <c r="N8851"/>
  <c r="W8851"/>
  <c r="H8852"/>
  <c r="I8852"/>
  <c r="K8852"/>
  <c r="N8852"/>
  <c r="W8852"/>
  <c r="H8853"/>
  <c r="I8853"/>
  <c r="K8853"/>
  <c r="N8853"/>
  <c r="W8853"/>
  <c r="H8854"/>
  <c r="I8854"/>
  <c r="K8854"/>
  <c r="N8854"/>
  <c r="W8854"/>
  <c r="H8855"/>
  <c r="I8855"/>
  <c r="K8855"/>
  <c r="N8855"/>
  <c r="W8855"/>
  <c r="H8856"/>
  <c r="I8856"/>
  <c r="K8856"/>
  <c r="N8856"/>
  <c r="W8856"/>
  <c r="H8857"/>
  <c r="I8857"/>
  <c r="K8857"/>
  <c r="N8857"/>
  <c r="W8857"/>
  <c r="H8858"/>
  <c r="I8858"/>
  <c r="K8858"/>
  <c r="N8858"/>
  <c r="W8858"/>
  <c r="H8859"/>
  <c r="I8859"/>
  <c r="K8859"/>
  <c r="N8859"/>
  <c r="W8859"/>
  <c r="H8860"/>
  <c r="I8860"/>
  <c r="K8860"/>
  <c r="N8860"/>
  <c r="W8860"/>
  <c r="H8861"/>
  <c r="I8861"/>
  <c r="K8861"/>
  <c r="N8861"/>
  <c r="W8861"/>
  <c r="H8862"/>
  <c r="I8862"/>
  <c r="K8862"/>
  <c r="N8862"/>
  <c r="W8862"/>
  <c r="H8863"/>
  <c r="I8863"/>
  <c r="K8863"/>
  <c r="N8863"/>
  <c r="W8863"/>
  <c r="H8864"/>
  <c r="I8864"/>
  <c r="K8864"/>
  <c r="N8864"/>
  <c r="W8864"/>
  <c r="H8865"/>
  <c r="I8865"/>
  <c r="K8865"/>
  <c r="N8865"/>
  <c r="W8865"/>
  <c r="H8866"/>
  <c r="I8866"/>
  <c r="K8866"/>
  <c r="N8866"/>
  <c r="W8866"/>
  <c r="H8867"/>
  <c r="I8867"/>
  <c r="K8867"/>
  <c r="N8867"/>
  <c r="W8867"/>
  <c r="H8868"/>
  <c r="I8868"/>
  <c r="K8868"/>
  <c r="N8868"/>
  <c r="W8868"/>
  <c r="H8869"/>
  <c r="I8869"/>
  <c r="K8869"/>
  <c r="N8869"/>
  <c r="W8869"/>
  <c r="H8870"/>
  <c r="I8870"/>
  <c r="K8870"/>
  <c r="N8870"/>
  <c r="W8870"/>
  <c r="H8871"/>
  <c r="I8871"/>
  <c r="K8871"/>
  <c r="N8871"/>
  <c r="W8871"/>
  <c r="H8872"/>
  <c r="I8872"/>
  <c r="K8872"/>
  <c r="N8872"/>
  <c r="W8872"/>
  <c r="H8873"/>
  <c r="I8873"/>
  <c r="K8873"/>
  <c r="N8873"/>
  <c r="W8873"/>
  <c r="H8874"/>
  <c r="I8874"/>
  <c r="K8874"/>
  <c r="N8874"/>
  <c r="W8874"/>
  <c r="H8875"/>
  <c r="I8875"/>
  <c r="K8875"/>
  <c r="N8875"/>
  <c r="W8875"/>
  <c r="H8876"/>
  <c r="I8876"/>
  <c r="K8876"/>
  <c r="N8876"/>
  <c r="W8876"/>
  <c r="H8877"/>
  <c r="I8877"/>
  <c r="K8877"/>
  <c r="N8877"/>
  <c r="W8877"/>
  <c r="H8878"/>
  <c r="I8878"/>
  <c r="K8878"/>
  <c r="N8878"/>
  <c r="W8878"/>
  <c r="H8879"/>
  <c r="I8879"/>
  <c r="K8879"/>
  <c r="N8879"/>
  <c r="W8879"/>
  <c r="H8880"/>
  <c r="I8880"/>
  <c r="K8880"/>
  <c r="N8880"/>
  <c r="W8880"/>
  <c r="H8881"/>
  <c r="I8881"/>
  <c r="K8881"/>
  <c r="N8881"/>
  <c r="W8881"/>
  <c r="H8882"/>
  <c r="I8882"/>
  <c r="K8882"/>
  <c r="N8882"/>
  <c r="W8882"/>
  <c r="H8883"/>
  <c r="I8883"/>
  <c r="K8883"/>
  <c r="N8883"/>
  <c r="W8883"/>
  <c r="H8884"/>
  <c r="I8884"/>
  <c r="K8884"/>
  <c r="N8884"/>
  <c r="W8884"/>
  <c r="H8885"/>
  <c r="I8885"/>
  <c r="K8885"/>
  <c r="N8885"/>
  <c r="W8885"/>
  <c r="H8886"/>
  <c r="I8886"/>
  <c r="K8886"/>
  <c r="N8886"/>
  <c r="W8886"/>
  <c r="H8887"/>
  <c r="I8887"/>
  <c r="K8887"/>
  <c r="N8887"/>
  <c r="W8887"/>
  <c r="H8888"/>
  <c r="I8888"/>
  <c r="K8888"/>
  <c r="N8888"/>
  <c r="W8888"/>
  <c r="H8889"/>
  <c r="I8889"/>
  <c r="K8889"/>
  <c r="N8889"/>
  <c r="W8889"/>
  <c r="H8890"/>
  <c r="I8890"/>
  <c r="K8890"/>
  <c r="N8890"/>
  <c r="W8890"/>
  <c r="H8891"/>
  <c r="I8891"/>
  <c r="K8891"/>
  <c r="N8891"/>
  <c r="W8891"/>
  <c r="H8892"/>
  <c r="I8892"/>
  <c r="K8892"/>
  <c r="N8892"/>
  <c r="W8892"/>
  <c r="H8893"/>
  <c r="I8893"/>
  <c r="K8893"/>
  <c r="N8893"/>
  <c r="W8893"/>
  <c r="H8894"/>
  <c r="I8894"/>
  <c r="K8894"/>
  <c r="N8894"/>
  <c r="W8894"/>
  <c r="H8895"/>
  <c r="I8895"/>
  <c r="K8895"/>
  <c r="N8895"/>
  <c r="W8895"/>
  <c r="H8896"/>
  <c r="I8896"/>
  <c r="K8896"/>
  <c r="N8896"/>
  <c r="W8896"/>
  <c r="H8897"/>
  <c r="I8897"/>
  <c r="K8897"/>
  <c r="N8897"/>
  <c r="W8897"/>
  <c r="H8898"/>
  <c r="I8898"/>
  <c r="K8898"/>
  <c r="N8898"/>
  <c r="W8898"/>
  <c r="H8899"/>
  <c r="I8899"/>
  <c r="K8899"/>
  <c r="N8899"/>
  <c r="W8899"/>
  <c r="H8900"/>
  <c r="I8900"/>
  <c r="K8900"/>
  <c r="N8900"/>
  <c r="W8900"/>
  <c r="H8901"/>
  <c r="I8901"/>
  <c r="K8901"/>
  <c r="N8901"/>
  <c r="W8901"/>
  <c r="H8902"/>
  <c r="I8902"/>
  <c r="K8902"/>
  <c r="N8902"/>
  <c r="W8902"/>
  <c r="H8903"/>
  <c r="I8903"/>
  <c r="K8903"/>
  <c r="N8903"/>
  <c r="W8903"/>
  <c r="H8904"/>
  <c r="I8904"/>
  <c r="K8904"/>
  <c r="N8904"/>
  <c r="W8904"/>
  <c r="H8905"/>
  <c r="I8905"/>
  <c r="K8905"/>
  <c r="N8905"/>
  <c r="W8905"/>
  <c r="H8906"/>
  <c r="I8906"/>
  <c r="K8906"/>
  <c r="N8906"/>
  <c r="W8906"/>
  <c r="H8907"/>
  <c r="I8907"/>
  <c r="K8907"/>
  <c r="N8907"/>
  <c r="W8907"/>
  <c r="H8908"/>
  <c r="I8908"/>
  <c r="K8908"/>
  <c r="N8908"/>
  <c r="W8908"/>
  <c r="H8909"/>
  <c r="I8909"/>
  <c r="K8909"/>
  <c r="N8909"/>
  <c r="W8909"/>
  <c r="H8910"/>
  <c r="I8910"/>
  <c r="K8910"/>
  <c r="N8910"/>
  <c r="W8910"/>
  <c r="H8911"/>
  <c r="I8911"/>
  <c r="K8911"/>
  <c r="N8911"/>
  <c r="W8911"/>
  <c r="H8912"/>
  <c r="I8912"/>
  <c r="K8912"/>
  <c r="N8912"/>
  <c r="W8912"/>
  <c r="H8913"/>
  <c r="I8913"/>
  <c r="K8913"/>
  <c r="N8913"/>
  <c r="W8913"/>
  <c r="H8914"/>
  <c r="I8914"/>
  <c r="K8914"/>
  <c r="N8914"/>
  <c r="W8914"/>
  <c r="H8915"/>
  <c r="I8915"/>
  <c r="K8915"/>
  <c r="N8915"/>
  <c r="W8915"/>
  <c r="H8916"/>
  <c r="I8916"/>
  <c r="K8916"/>
  <c r="N8916"/>
  <c r="W8916"/>
  <c r="H8917"/>
  <c r="I8917"/>
  <c r="K8917"/>
  <c r="N8917"/>
  <c r="W8917"/>
  <c r="H8918"/>
  <c r="I8918"/>
  <c r="K8918"/>
  <c r="N8918"/>
  <c r="W8918"/>
  <c r="H8919"/>
  <c r="I8919"/>
  <c r="K8919"/>
  <c r="N8919"/>
  <c r="W8919"/>
  <c r="H8920"/>
  <c r="I8920"/>
  <c r="K8920"/>
  <c r="N8920"/>
  <c r="W8920"/>
  <c r="H8921"/>
  <c r="I8921"/>
  <c r="K8921"/>
  <c r="N8921"/>
  <c r="W8921"/>
  <c r="H8922"/>
  <c r="I8922"/>
  <c r="K8922"/>
  <c r="N8922"/>
  <c r="W8922"/>
  <c r="H8923"/>
  <c r="I8923"/>
  <c r="K8923"/>
  <c r="N8923"/>
  <c r="W8923"/>
  <c r="H8924"/>
  <c r="I8924"/>
  <c r="K8924"/>
  <c r="N8924"/>
  <c r="W8924"/>
  <c r="H8925"/>
  <c r="I8925"/>
  <c r="K8925"/>
  <c r="N8925"/>
  <c r="W8925"/>
  <c r="H8926"/>
  <c r="I8926"/>
  <c r="K8926"/>
  <c r="N8926"/>
  <c r="W8926"/>
  <c r="H8927"/>
  <c r="I8927"/>
  <c r="K8927"/>
  <c r="N8927"/>
  <c r="W8927"/>
  <c r="H8928"/>
  <c r="I8928"/>
  <c r="K8928"/>
  <c r="N8928"/>
  <c r="W8928"/>
  <c r="H8929"/>
  <c r="I8929"/>
  <c r="K8929"/>
  <c r="N8929"/>
  <c r="W8929"/>
  <c r="H8930"/>
  <c r="I8930"/>
  <c r="K8930"/>
  <c r="N8930"/>
  <c r="W8930"/>
  <c r="H8931"/>
  <c r="I8931"/>
  <c r="K8931"/>
  <c r="N8931"/>
  <c r="W8931"/>
  <c r="H8932"/>
  <c r="I8932"/>
  <c r="K8932"/>
  <c r="N8932"/>
  <c r="W8932"/>
  <c r="H8933"/>
  <c r="I8933"/>
  <c r="K8933"/>
  <c r="N8933"/>
  <c r="W8933"/>
  <c r="H8934"/>
  <c r="I8934"/>
  <c r="K8934"/>
  <c r="N8934"/>
  <c r="W8934"/>
  <c r="H8935"/>
  <c r="I8935"/>
  <c r="K8935"/>
  <c r="N8935"/>
  <c r="W8935"/>
  <c r="H8936"/>
  <c r="I8936"/>
  <c r="K8936"/>
  <c r="N8936"/>
  <c r="W8936"/>
  <c r="H8937"/>
  <c r="I8937"/>
  <c r="K8937"/>
  <c r="N8937"/>
  <c r="W8937"/>
  <c r="H8938"/>
  <c r="I8938"/>
  <c r="K8938"/>
  <c r="N8938"/>
  <c r="W8938"/>
  <c r="H8939"/>
  <c r="I8939"/>
  <c r="K8939"/>
  <c r="N8939"/>
  <c r="W8939"/>
  <c r="H8940"/>
  <c r="I8940"/>
  <c r="K8940"/>
  <c r="N8940"/>
  <c r="W8940"/>
  <c r="H8941"/>
  <c r="I8941"/>
  <c r="K8941"/>
  <c r="N8941"/>
  <c r="W8941"/>
  <c r="H8942"/>
  <c r="I8942"/>
  <c r="K8942"/>
  <c r="N8942"/>
  <c r="W8942"/>
  <c r="H8943"/>
  <c r="I8943"/>
  <c r="K8943"/>
  <c r="N8943"/>
  <c r="W8943"/>
  <c r="H8944"/>
  <c r="I8944"/>
  <c r="K8944"/>
  <c r="N8944"/>
  <c r="W8944"/>
  <c r="H8945"/>
  <c r="I8945"/>
  <c r="K8945"/>
  <c r="N8945"/>
  <c r="W8945"/>
  <c r="H8946"/>
  <c r="I8946"/>
  <c r="K8946"/>
  <c r="N8946"/>
  <c r="W8946"/>
  <c r="H8947"/>
  <c r="I8947"/>
  <c r="K8947"/>
  <c r="N8947"/>
  <c r="W8947"/>
  <c r="H8948"/>
  <c r="I8948"/>
  <c r="K8948"/>
  <c r="N8948"/>
  <c r="W8948"/>
  <c r="H8949"/>
  <c r="I8949"/>
  <c r="K8949"/>
  <c r="N8949"/>
  <c r="W8949"/>
  <c r="H8950"/>
  <c r="I8950"/>
  <c r="K8950"/>
  <c r="N8950"/>
  <c r="W8950"/>
  <c r="H8951"/>
  <c r="I8951"/>
  <c r="K8951"/>
  <c r="N8951"/>
  <c r="W8951"/>
  <c r="H8952"/>
  <c r="I8952"/>
  <c r="K8952"/>
  <c r="N8952"/>
  <c r="W8952"/>
  <c r="H8953"/>
  <c r="I8953"/>
  <c r="K8953"/>
  <c r="N8953"/>
  <c r="W8953"/>
  <c r="H8954"/>
  <c r="I8954"/>
  <c r="K8954"/>
  <c r="N8954"/>
  <c r="W8954"/>
  <c r="H8955"/>
  <c r="I8955"/>
  <c r="K8955"/>
  <c r="N8955"/>
  <c r="W8955"/>
  <c r="H8956"/>
  <c r="I8956"/>
  <c r="K8956"/>
  <c r="N8956"/>
  <c r="W8956"/>
  <c r="H8957"/>
  <c r="I8957"/>
  <c r="K8957"/>
  <c r="N8957"/>
  <c r="W8957"/>
  <c r="H8958"/>
  <c r="I8958"/>
  <c r="K8958"/>
  <c r="N8958"/>
  <c r="W8958"/>
  <c r="H8959"/>
  <c r="I8959"/>
  <c r="K8959"/>
  <c r="N8959"/>
  <c r="W8959"/>
  <c r="H8960"/>
  <c r="I8960"/>
  <c r="K8960"/>
  <c r="N8960"/>
  <c r="W8960"/>
  <c r="H8961"/>
  <c r="I8961"/>
  <c r="K8961"/>
  <c r="N8961"/>
  <c r="W8961"/>
  <c r="H8962"/>
  <c r="I8962"/>
  <c r="K8962"/>
  <c r="N8962"/>
  <c r="W8962"/>
  <c r="H8963"/>
  <c r="I8963"/>
  <c r="K8963"/>
  <c r="N8963"/>
  <c r="W8963"/>
  <c r="H8964"/>
  <c r="I8964"/>
  <c r="K8964"/>
  <c r="N8964"/>
  <c r="W8964"/>
  <c r="H8965"/>
  <c r="I8965"/>
  <c r="K8965"/>
  <c r="N8965"/>
  <c r="W8965"/>
  <c r="H8966"/>
  <c r="I8966"/>
  <c r="K8966"/>
  <c r="N8966"/>
  <c r="W8966"/>
  <c r="H8967"/>
  <c r="I8967"/>
  <c r="K8967"/>
  <c r="N8967"/>
  <c r="W8967"/>
  <c r="H8968"/>
  <c r="I8968"/>
  <c r="K8968"/>
  <c r="N8968"/>
  <c r="W8968"/>
  <c r="H8969"/>
  <c r="I8969"/>
  <c r="K8969"/>
  <c r="N8969"/>
  <c r="W8969"/>
  <c r="H8970"/>
  <c r="I8970"/>
  <c r="K8970"/>
  <c r="N8970"/>
  <c r="W8970"/>
  <c r="H8971"/>
  <c r="I8971"/>
  <c r="K8971"/>
  <c r="N8971"/>
  <c r="W8971"/>
  <c r="H8972"/>
  <c r="I8972"/>
  <c r="K8972"/>
  <c r="N8972"/>
  <c r="W8972"/>
  <c r="H8973"/>
  <c r="I8973"/>
  <c r="K8973"/>
  <c r="N8973"/>
  <c r="W8973"/>
  <c r="H8974"/>
  <c r="I8974"/>
  <c r="K8974"/>
  <c r="N8974"/>
  <c r="W8974"/>
  <c r="H8975"/>
  <c r="I8975"/>
  <c r="K8975"/>
  <c r="N8975"/>
  <c r="W8975"/>
  <c r="H8976"/>
  <c r="I8976"/>
  <c r="K8976"/>
  <c r="N8976"/>
  <c r="W8976"/>
  <c r="H8977"/>
  <c r="I8977"/>
  <c r="K8977"/>
  <c r="N8977"/>
  <c r="W8977"/>
  <c r="H8978"/>
  <c r="I8978"/>
  <c r="K8978"/>
  <c r="N8978"/>
  <c r="W8978"/>
  <c r="H8979"/>
  <c r="I8979"/>
  <c r="K8979"/>
  <c r="N8979"/>
  <c r="W8979"/>
  <c r="H8980"/>
  <c r="I8980"/>
  <c r="K8980"/>
  <c r="N8980"/>
  <c r="W8980"/>
  <c r="H8981"/>
  <c r="I8981"/>
  <c r="K8981"/>
  <c r="N8981"/>
  <c r="W8981"/>
  <c r="H8982"/>
  <c r="I8982"/>
  <c r="K8982"/>
  <c r="N8982"/>
  <c r="W8982"/>
  <c r="H8983"/>
  <c r="I8983"/>
  <c r="K8983"/>
  <c r="N8983"/>
  <c r="W8983"/>
  <c r="H8984"/>
  <c r="I8984"/>
  <c r="K8984"/>
  <c r="N8984"/>
  <c r="W8984"/>
  <c r="H8985"/>
  <c r="I8985"/>
  <c r="K8985"/>
  <c r="N8985"/>
  <c r="W8985"/>
  <c r="H8986"/>
  <c r="I8986"/>
  <c r="K8986"/>
  <c r="N8986"/>
  <c r="W8986"/>
  <c r="H8987"/>
  <c r="I8987"/>
  <c r="K8987"/>
  <c r="N8987"/>
  <c r="W8987"/>
  <c r="H8988"/>
  <c r="I8988"/>
  <c r="K8988"/>
  <c r="N8988"/>
  <c r="W8988"/>
  <c r="H8989"/>
  <c r="I8989"/>
  <c r="K8989"/>
  <c r="N8989"/>
  <c r="W8989"/>
  <c r="H8990"/>
  <c r="I8990"/>
  <c r="K8990"/>
  <c r="N8990"/>
  <c r="W8990"/>
  <c r="H8991"/>
  <c r="I8991"/>
  <c r="K8991"/>
  <c r="N8991"/>
  <c r="W8991"/>
  <c r="H8992"/>
  <c r="I8992"/>
  <c r="K8992"/>
  <c r="N8992"/>
  <c r="W8992"/>
  <c r="H8993"/>
  <c r="I8993"/>
  <c r="K8993"/>
  <c r="N8993"/>
  <c r="W8993"/>
  <c r="H8994"/>
  <c r="I8994"/>
  <c r="K8994"/>
  <c r="N8994"/>
  <c r="W8994"/>
  <c r="H8995"/>
  <c r="I8995"/>
  <c r="K8995"/>
  <c r="N8995"/>
  <c r="W8995"/>
  <c r="H8996"/>
  <c r="I8996"/>
  <c r="K8996"/>
  <c r="N8996"/>
  <c r="W8996"/>
  <c r="H8997"/>
  <c r="I8997"/>
  <c r="K8997"/>
  <c r="N8997"/>
  <c r="W8997"/>
  <c r="H8998"/>
  <c r="I8998"/>
  <c r="K8998"/>
  <c r="N8998"/>
  <c r="W8998"/>
  <c r="H8999"/>
  <c r="I8999"/>
  <c r="K8999"/>
  <c r="N8999"/>
  <c r="W8999"/>
  <c r="H9000"/>
  <c r="I9000"/>
  <c r="K9000"/>
  <c r="N9000"/>
  <c r="W9000"/>
  <c r="H9001"/>
  <c r="I9001"/>
  <c r="K9001"/>
  <c r="N9001"/>
  <c r="W9001"/>
  <c r="H9002"/>
  <c r="I9002"/>
  <c r="K9002"/>
  <c r="N9002"/>
  <c r="W9002"/>
  <c r="H9003"/>
  <c r="I9003"/>
  <c r="K9003"/>
  <c r="N9003"/>
  <c r="W9003"/>
  <c r="H9004"/>
  <c r="I9004"/>
  <c r="K9004"/>
  <c r="N9004"/>
  <c r="W9004"/>
  <c r="H9005"/>
  <c r="I9005"/>
  <c r="K9005"/>
  <c r="N9005"/>
  <c r="W9005"/>
  <c r="H9006"/>
  <c r="I9006"/>
  <c r="K9006"/>
  <c r="N9006"/>
  <c r="W9006"/>
  <c r="H9007"/>
  <c r="I9007"/>
  <c r="K9007"/>
  <c r="N9007"/>
  <c r="W9007"/>
  <c r="H9008"/>
  <c r="I9008"/>
  <c r="K9008"/>
  <c r="N9008"/>
  <c r="W9008"/>
  <c r="H9009"/>
  <c r="I9009"/>
  <c r="K9009"/>
  <c r="N9009"/>
  <c r="W9009"/>
  <c r="H9010"/>
  <c r="I9010"/>
  <c r="K9010"/>
  <c r="N9010"/>
  <c r="W9010"/>
  <c r="H9011"/>
  <c r="I9011"/>
  <c r="K9011"/>
  <c r="N9011"/>
  <c r="W9011"/>
  <c r="H9012"/>
  <c r="I9012"/>
  <c r="K9012"/>
  <c r="N9012"/>
  <c r="W9012"/>
  <c r="H9013"/>
  <c r="I9013"/>
  <c r="K9013"/>
  <c r="N9013"/>
  <c r="W9013"/>
  <c r="H9014"/>
  <c r="I9014"/>
  <c r="K9014"/>
  <c r="N9014"/>
  <c r="W9014"/>
  <c r="H9015"/>
  <c r="I9015"/>
  <c r="K9015"/>
  <c r="N9015"/>
  <c r="W9015"/>
  <c r="H9016"/>
  <c r="I9016"/>
  <c r="K9016"/>
  <c r="N9016"/>
  <c r="W9016"/>
  <c r="H9017"/>
  <c r="I9017"/>
  <c r="K9017"/>
  <c r="N9017"/>
  <c r="W9017"/>
  <c r="H9018"/>
  <c r="I9018"/>
  <c r="K9018"/>
  <c r="N9018"/>
  <c r="W9018"/>
  <c r="H9019"/>
  <c r="I9019"/>
  <c r="K9019"/>
  <c r="N9019"/>
  <c r="W9019"/>
  <c r="H9020"/>
  <c r="I9020"/>
  <c r="K9020"/>
  <c r="N9020"/>
  <c r="W9020"/>
  <c r="H9021"/>
  <c r="I9021"/>
  <c r="K9021"/>
  <c r="N9021"/>
  <c r="W9021"/>
  <c r="H9022"/>
  <c r="I9022"/>
  <c r="K9022"/>
  <c r="N9022"/>
  <c r="W9022"/>
  <c r="H9023"/>
  <c r="I9023"/>
  <c r="K9023"/>
  <c r="N9023"/>
  <c r="W9023"/>
  <c r="H9024"/>
  <c r="I9024"/>
  <c r="K9024"/>
  <c r="N9024"/>
  <c r="W9024"/>
  <c r="H9025"/>
  <c r="I9025"/>
  <c r="K9025"/>
  <c r="N9025"/>
  <c r="W9025"/>
  <c r="H9026"/>
  <c r="I9026"/>
  <c r="K9026"/>
  <c r="N9026"/>
  <c r="W9026"/>
  <c r="H9027"/>
  <c r="I9027"/>
  <c r="K9027"/>
  <c r="N9027"/>
  <c r="W9027"/>
  <c r="H9028"/>
  <c r="I9028"/>
  <c r="K9028"/>
  <c r="N9028"/>
  <c r="W9028"/>
  <c r="H9029"/>
  <c r="I9029"/>
  <c r="K9029"/>
  <c r="N9029"/>
  <c r="W9029"/>
  <c r="H9030"/>
  <c r="I9030"/>
  <c r="K9030"/>
  <c r="N9030"/>
  <c r="W9030"/>
  <c r="H9031"/>
  <c r="I9031"/>
  <c r="K9031"/>
  <c r="N9031"/>
  <c r="W9031"/>
  <c r="H9032"/>
  <c r="I9032"/>
  <c r="K9032"/>
  <c r="N9032"/>
  <c r="W9032"/>
  <c r="H9033"/>
  <c r="I9033"/>
  <c r="K9033"/>
  <c r="N9033"/>
  <c r="W9033"/>
  <c r="H9034"/>
  <c r="I9034"/>
  <c r="K9034"/>
  <c r="N9034"/>
  <c r="W9034"/>
  <c r="H9035"/>
  <c r="I9035"/>
  <c r="K9035"/>
  <c r="N9035"/>
  <c r="W9035"/>
  <c r="H9036"/>
  <c r="I9036"/>
  <c r="K9036"/>
  <c r="N9036"/>
  <c r="W9036"/>
  <c r="H9037"/>
  <c r="I9037"/>
  <c r="K9037"/>
  <c r="N9037"/>
  <c r="W9037"/>
  <c r="H9038"/>
  <c r="I9038"/>
  <c r="K9038"/>
  <c r="N9038"/>
  <c r="W9038"/>
  <c r="H9039"/>
  <c r="I9039"/>
  <c r="K9039"/>
  <c r="N9039"/>
  <c r="W9039"/>
  <c r="H9040"/>
  <c r="I9040"/>
  <c r="K9040"/>
  <c r="N9040"/>
  <c r="W9040"/>
  <c r="H9041"/>
  <c r="I9041"/>
  <c r="K9041"/>
  <c r="N9041"/>
  <c r="W9041"/>
  <c r="H9042"/>
  <c r="I9042"/>
  <c r="K9042"/>
  <c r="N9042"/>
  <c r="W9042"/>
  <c r="H9043"/>
  <c r="I9043"/>
  <c r="K9043"/>
  <c r="N9043"/>
  <c r="W9043"/>
  <c r="H9044"/>
  <c r="I9044"/>
  <c r="K9044"/>
  <c r="N9044"/>
  <c r="W9044"/>
  <c r="H9045"/>
  <c r="I9045"/>
  <c r="K9045"/>
  <c r="N9045"/>
  <c r="W9045"/>
  <c r="H9046"/>
  <c r="I9046"/>
  <c r="K9046"/>
  <c r="N9046"/>
  <c r="W9046"/>
  <c r="H9047"/>
  <c r="I9047"/>
  <c r="K9047"/>
  <c r="N9047"/>
  <c r="W9047"/>
  <c r="H9048"/>
  <c r="I9048"/>
  <c r="K9048"/>
  <c r="N9048"/>
  <c r="W9048"/>
  <c r="H9049"/>
  <c r="I9049"/>
  <c r="K9049"/>
  <c r="N9049"/>
  <c r="W9049"/>
  <c r="H9050"/>
  <c r="I9050"/>
  <c r="K9050"/>
  <c r="N9050"/>
  <c r="W9050"/>
  <c r="H9051"/>
  <c r="I9051"/>
  <c r="K9051"/>
  <c r="N9051"/>
  <c r="W9051"/>
  <c r="H9052"/>
  <c r="I9052"/>
  <c r="K9052"/>
  <c r="N9052"/>
  <c r="W9052"/>
  <c r="H9053"/>
  <c r="I9053"/>
  <c r="K9053"/>
  <c r="N9053"/>
  <c r="W9053"/>
  <c r="H9054"/>
  <c r="I9054"/>
  <c r="K9054"/>
  <c r="N9054"/>
  <c r="W9054"/>
  <c r="H9055"/>
  <c r="I9055"/>
  <c r="K9055"/>
  <c r="N9055"/>
  <c r="W9055"/>
  <c r="H9056"/>
  <c r="I9056"/>
  <c r="K9056"/>
  <c r="N9056"/>
  <c r="W9056"/>
  <c r="H9057"/>
  <c r="I9057"/>
  <c r="K9057"/>
  <c r="N9057"/>
  <c r="W9057"/>
  <c r="H9058"/>
  <c r="I9058"/>
  <c r="K9058"/>
  <c r="N9058"/>
  <c r="W9058"/>
  <c r="H9059"/>
  <c r="I9059"/>
  <c r="K9059"/>
  <c r="N9059"/>
  <c r="W9059"/>
  <c r="H9060"/>
  <c r="I9060"/>
  <c r="K9060"/>
  <c r="N9060"/>
  <c r="W9060"/>
  <c r="H9061"/>
  <c r="I9061"/>
  <c r="K9061"/>
  <c r="N9061"/>
  <c r="W9061"/>
  <c r="H9062"/>
  <c r="I9062"/>
  <c r="K9062"/>
  <c r="N9062"/>
  <c r="W9062"/>
  <c r="H9063"/>
  <c r="I9063"/>
  <c r="K9063"/>
  <c r="N9063"/>
  <c r="W9063"/>
  <c r="H9064"/>
  <c r="I9064"/>
  <c r="K9064"/>
  <c r="N9064"/>
  <c r="W9064"/>
  <c r="H9065"/>
  <c r="I9065"/>
  <c r="K9065"/>
  <c r="N9065"/>
  <c r="W9065"/>
  <c r="H9066"/>
  <c r="I9066"/>
  <c r="K9066"/>
  <c r="N9066"/>
  <c r="W9066"/>
  <c r="H9067"/>
  <c r="I9067"/>
  <c r="K9067"/>
  <c r="N9067"/>
  <c r="W9067"/>
  <c r="H9068"/>
  <c r="I9068"/>
  <c r="K9068"/>
  <c r="N9068"/>
  <c r="W9068"/>
  <c r="H9069"/>
  <c r="I9069"/>
  <c r="K9069"/>
  <c r="N9069"/>
  <c r="W9069"/>
  <c r="H9070"/>
  <c r="I9070"/>
  <c r="K9070"/>
  <c r="N9070"/>
  <c r="W9070"/>
  <c r="H9071"/>
  <c r="I9071"/>
  <c r="K9071"/>
  <c r="N9071"/>
  <c r="W9071"/>
  <c r="H9072"/>
  <c r="I9072"/>
  <c r="K9072"/>
  <c r="N9072"/>
  <c r="W9072"/>
  <c r="H9073"/>
  <c r="I9073"/>
  <c r="K9073"/>
  <c r="N9073"/>
  <c r="W9073"/>
  <c r="H9074"/>
  <c r="I9074"/>
  <c r="K9074"/>
  <c r="N9074"/>
  <c r="W9074"/>
  <c r="H9075"/>
  <c r="I9075"/>
  <c r="K9075"/>
  <c r="N9075"/>
  <c r="W9075"/>
  <c r="H9076"/>
  <c r="I9076"/>
  <c r="K9076"/>
  <c r="N9076"/>
  <c r="W9076"/>
  <c r="H9077"/>
  <c r="I9077"/>
  <c r="K9077"/>
  <c r="N9077"/>
  <c r="W9077"/>
  <c r="H9078"/>
  <c r="I9078"/>
  <c r="K9078"/>
  <c r="N9078"/>
  <c r="W9078"/>
  <c r="H9079"/>
  <c r="I9079"/>
  <c r="K9079"/>
  <c r="N9079"/>
  <c r="W9079"/>
  <c r="H9080"/>
  <c r="I9080"/>
  <c r="K9080"/>
  <c r="N9080"/>
  <c r="W9080"/>
  <c r="H9081"/>
  <c r="I9081"/>
  <c r="K9081"/>
  <c r="N9081"/>
  <c r="W9081"/>
  <c r="H9082"/>
  <c r="I9082"/>
  <c r="K9082"/>
  <c r="N9082"/>
  <c r="W9082"/>
  <c r="H9083"/>
  <c r="I9083"/>
  <c r="K9083"/>
  <c r="N9083"/>
  <c r="W9083"/>
  <c r="H9084"/>
  <c r="I9084"/>
  <c r="K9084"/>
  <c r="N9084"/>
  <c r="W9084"/>
  <c r="H9085"/>
  <c r="I9085"/>
  <c r="K9085"/>
  <c r="N9085"/>
  <c r="W9085"/>
  <c r="H9086"/>
  <c r="I9086"/>
  <c r="K9086"/>
  <c r="N9086"/>
  <c r="W9086"/>
  <c r="H9087"/>
  <c r="I9087"/>
  <c r="K9087"/>
  <c r="N9087"/>
  <c r="W9087"/>
  <c r="H9088"/>
  <c r="I9088"/>
  <c r="K9088"/>
  <c r="N9088"/>
  <c r="W9088"/>
  <c r="H9089"/>
  <c r="I9089"/>
  <c r="K9089"/>
  <c r="N9089"/>
  <c r="W9089"/>
  <c r="H9090"/>
  <c r="I9090"/>
  <c r="K9090"/>
  <c r="N9090"/>
  <c r="W9090"/>
  <c r="H9091"/>
  <c r="I9091"/>
  <c r="K9091"/>
  <c r="N9091"/>
  <c r="W9091"/>
  <c r="H9092"/>
  <c r="I9092"/>
  <c r="K9092"/>
  <c r="N9092"/>
  <c r="W9092"/>
  <c r="H9093"/>
  <c r="I9093"/>
  <c r="K9093"/>
  <c r="N9093"/>
  <c r="W9093"/>
  <c r="H9094"/>
  <c r="I9094"/>
  <c r="K9094"/>
  <c r="N9094"/>
  <c r="W9094"/>
  <c r="H9095"/>
  <c r="I9095"/>
  <c r="K9095"/>
  <c r="N9095"/>
  <c r="W9095"/>
  <c r="H9096"/>
  <c r="I9096"/>
  <c r="K9096"/>
  <c r="N9096"/>
  <c r="W9096"/>
  <c r="H9097"/>
  <c r="I9097"/>
  <c r="K9097"/>
  <c r="N9097"/>
  <c r="W9097"/>
  <c r="H9098"/>
  <c r="I9098"/>
  <c r="K9098"/>
  <c r="N9098"/>
  <c r="W9098"/>
  <c r="H9099"/>
  <c r="I9099"/>
  <c r="K9099"/>
  <c r="N9099"/>
  <c r="W9099"/>
  <c r="H9100"/>
  <c r="I9100"/>
  <c r="K9100"/>
  <c r="N9100"/>
  <c r="W9100"/>
  <c r="H9101"/>
  <c r="I9101"/>
  <c r="K9101"/>
  <c r="N9101"/>
  <c r="W9101"/>
  <c r="H9102"/>
  <c r="I9102"/>
  <c r="K9102"/>
  <c r="N9102"/>
  <c r="W9102"/>
  <c r="H9103"/>
  <c r="I9103"/>
  <c r="K9103"/>
  <c r="N9103"/>
  <c r="W9103"/>
  <c r="H9104"/>
  <c r="I9104"/>
  <c r="K9104"/>
  <c r="N9104"/>
  <c r="W9104"/>
  <c r="H9105"/>
  <c r="I9105"/>
  <c r="K9105"/>
  <c r="N9105"/>
  <c r="W9105"/>
  <c r="H9106"/>
  <c r="I9106"/>
  <c r="K9106"/>
  <c r="N9106"/>
  <c r="W9106"/>
  <c r="H9107"/>
  <c r="I9107"/>
  <c r="K9107"/>
  <c r="N9107"/>
  <c r="W9107"/>
  <c r="H9108"/>
  <c r="I9108"/>
  <c r="K9108"/>
  <c r="N9108"/>
  <c r="W9108"/>
  <c r="H9109"/>
  <c r="I9109"/>
  <c r="K9109"/>
  <c r="N9109"/>
  <c r="W9109"/>
  <c r="H9110"/>
  <c r="I9110"/>
  <c r="K9110"/>
  <c r="N9110"/>
  <c r="W9110"/>
  <c r="H9111"/>
  <c r="I9111"/>
  <c r="K9111"/>
  <c r="N9111"/>
  <c r="W9111"/>
  <c r="H9112"/>
  <c r="I9112"/>
  <c r="K9112"/>
  <c r="N9112"/>
  <c r="W9112"/>
  <c r="H9113"/>
  <c r="I9113"/>
  <c r="K9113"/>
  <c r="N9113"/>
  <c r="W9113"/>
  <c r="H9114"/>
  <c r="I9114"/>
  <c r="K9114"/>
  <c r="N9114"/>
  <c r="W9114"/>
  <c r="H9115"/>
  <c r="I9115"/>
  <c r="K9115"/>
  <c r="N9115"/>
  <c r="W9115"/>
  <c r="H9116"/>
  <c r="I9116"/>
  <c r="K9116"/>
  <c r="N9116"/>
  <c r="W9116"/>
  <c r="H9117"/>
  <c r="I9117"/>
  <c r="K9117"/>
  <c r="N9117"/>
  <c r="W9117"/>
  <c r="H9118"/>
  <c r="I9118"/>
  <c r="K9118"/>
  <c r="N9118"/>
  <c r="W9118"/>
  <c r="H9119"/>
  <c r="I9119"/>
  <c r="K9119"/>
  <c r="N9119"/>
  <c r="W9119"/>
  <c r="H9120"/>
  <c r="I9120"/>
  <c r="K9120"/>
  <c r="N9120"/>
  <c r="W9120"/>
  <c r="H9121"/>
  <c r="I9121"/>
  <c r="K9121"/>
  <c r="N9121"/>
  <c r="W9121"/>
  <c r="H9122"/>
  <c r="I9122"/>
  <c r="K9122"/>
  <c r="N9122"/>
  <c r="W9122"/>
  <c r="H9123"/>
  <c r="I9123"/>
  <c r="K9123"/>
  <c r="N9123"/>
  <c r="W9123"/>
  <c r="H9124"/>
  <c r="I9124"/>
  <c r="K9124"/>
  <c r="N9124"/>
  <c r="W9124"/>
  <c r="H9125"/>
  <c r="I9125"/>
  <c r="K9125"/>
  <c r="N9125"/>
  <c r="W9125"/>
  <c r="H9126"/>
  <c r="I9126"/>
  <c r="K9126"/>
  <c r="N9126"/>
  <c r="W9126"/>
  <c r="H9127"/>
  <c r="I9127"/>
  <c r="K9127"/>
  <c r="N9127"/>
  <c r="W9127"/>
  <c r="H9128"/>
  <c r="I9128"/>
  <c r="K9128"/>
  <c r="N9128"/>
  <c r="W9128"/>
  <c r="H9129"/>
  <c r="I9129"/>
  <c r="K9129"/>
  <c r="N9129"/>
  <c r="W9129"/>
  <c r="H9130"/>
  <c r="I9130"/>
  <c r="K9130"/>
  <c r="N9130"/>
  <c r="W9130"/>
  <c r="H9131"/>
  <c r="I9131"/>
  <c r="K9131"/>
  <c r="N9131"/>
  <c r="W9131"/>
  <c r="H9132"/>
  <c r="I9132"/>
  <c r="K9132"/>
  <c r="N9132"/>
  <c r="W9132"/>
  <c r="H9133"/>
  <c r="I9133"/>
  <c r="K9133"/>
  <c r="N9133"/>
  <c r="W9133"/>
  <c r="H9134"/>
  <c r="I9134"/>
  <c r="K9134"/>
  <c r="N9134"/>
  <c r="W9134"/>
  <c r="H9135"/>
  <c r="I9135"/>
  <c r="K9135"/>
  <c r="N9135"/>
  <c r="W9135"/>
  <c r="H9136"/>
  <c r="I9136"/>
  <c r="K9136"/>
  <c r="N9136"/>
  <c r="W9136"/>
  <c r="H9137"/>
  <c r="I9137"/>
  <c r="K9137"/>
  <c r="N9137"/>
  <c r="W9137"/>
  <c r="H9138"/>
  <c r="I9138"/>
  <c r="K9138"/>
  <c r="N9138"/>
  <c r="W9138"/>
  <c r="H9139"/>
  <c r="I9139"/>
  <c r="K9139"/>
  <c r="N9139"/>
  <c r="W9139"/>
  <c r="H9140"/>
  <c r="I9140"/>
  <c r="K9140"/>
  <c r="N9140"/>
  <c r="W9140"/>
  <c r="H9141"/>
  <c r="I9141"/>
  <c r="K9141"/>
  <c r="N9141"/>
  <c r="W9141"/>
  <c r="H9142"/>
  <c r="I9142"/>
  <c r="K9142"/>
  <c r="N9142"/>
  <c r="W9142"/>
  <c r="H9143"/>
  <c r="I9143"/>
  <c r="K9143"/>
  <c r="N9143"/>
  <c r="W9143"/>
  <c r="H9144"/>
  <c r="I9144"/>
  <c r="K9144"/>
  <c r="N9144"/>
  <c r="W9144"/>
  <c r="H9145"/>
  <c r="I9145"/>
  <c r="K9145"/>
  <c r="N9145"/>
  <c r="W9145"/>
  <c r="H9146"/>
  <c r="I9146"/>
  <c r="K9146"/>
  <c r="N9146"/>
  <c r="W9146"/>
  <c r="H9147"/>
  <c r="I9147"/>
  <c r="K9147"/>
  <c r="N9147"/>
  <c r="W9147"/>
  <c r="H9148"/>
  <c r="I9148"/>
  <c r="K9148"/>
  <c r="N9148"/>
  <c r="W9148"/>
  <c r="H9149"/>
  <c r="I9149"/>
  <c r="K9149"/>
  <c r="N9149"/>
  <c r="W9149"/>
  <c r="H9150"/>
  <c r="I9150"/>
  <c r="K9150"/>
  <c r="N9150"/>
  <c r="W9150"/>
  <c r="H9151"/>
  <c r="I9151"/>
  <c r="K9151"/>
  <c r="N9151"/>
  <c r="W9151"/>
  <c r="H9152"/>
  <c r="I9152"/>
  <c r="K9152"/>
  <c r="N9152"/>
  <c r="W9152"/>
  <c r="H9153"/>
  <c r="I9153"/>
  <c r="K9153"/>
  <c r="N9153"/>
  <c r="W9153"/>
  <c r="H9154"/>
  <c r="I9154"/>
  <c r="K9154"/>
  <c r="N9154"/>
  <c r="W9154"/>
  <c r="H9155"/>
  <c r="I9155"/>
  <c r="K9155"/>
  <c r="N9155"/>
  <c r="W9155"/>
  <c r="H9156"/>
  <c r="I9156"/>
  <c r="K9156"/>
  <c r="N9156"/>
  <c r="W9156"/>
  <c r="H9157"/>
  <c r="I9157"/>
  <c r="K9157"/>
  <c r="N9157"/>
  <c r="W9157"/>
  <c r="H9158"/>
  <c r="I9158"/>
  <c r="K9158"/>
  <c r="N9158"/>
  <c r="W9158"/>
  <c r="H9159"/>
  <c r="I9159"/>
  <c r="K9159"/>
  <c r="N9159"/>
  <c r="W9159"/>
  <c r="H9160"/>
  <c r="I9160"/>
  <c r="K9160"/>
  <c r="N9160"/>
  <c r="W9160"/>
  <c r="H9161"/>
  <c r="I9161"/>
  <c r="K9161"/>
  <c r="N9161"/>
  <c r="W9161"/>
  <c r="H9162"/>
  <c r="I9162"/>
  <c r="K9162"/>
  <c r="N9162"/>
  <c r="W9162"/>
  <c r="H9163"/>
  <c r="I9163"/>
  <c r="K9163"/>
  <c r="N9163"/>
  <c r="W9163"/>
  <c r="H9164"/>
  <c r="I9164"/>
  <c r="K9164"/>
  <c r="N9164"/>
  <c r="W9164"/>
  <c r="H9165"/>
  <c r="I9165"/>
  <c r="K9165"/>
  <c r="N9165"/>
  <c r="W9165"/>
  <c r="H9166"/>
  <c r="I9166"/>
  <c r="K9166"/>
  <c r="N9166"/>
  <c r="W9166"/>
  <c r="H9167"/>
  <c r="I9167"/>
  <c r="K9167"/>
  <c r="N9167"/>
  <c r="W9167"/>
  <c r="H9168"/>
  <c r="I9168"/>
  <c r="K9168"/>
  <c r="N9168"/>
  <c r="W9168"/>
  <c r="H9169"/>
  <c r="I9169"/>
  <c r="K9169"/>
  <c r="N9169"/>
  <c r="W9169"/>
  <c r="H9170"/>
  <c r="I9170"/>
  <c r="K9170"/>
  <c r="N9170"/>
  <c r="W9170"/>
  <c r="H9171"/>
  <c r="I9171"/>
  <c r="K9171"/>
  <c r="N9171"/>
  <c r="W9171"/>
  <c r="H9172"/>
  <c r="I9172"/>
  <c r="K9172"/>
  <c r="N9172"/>
  <c r="W9172"/>
  <c r="H9173"/>
  <c r="I9173"/>
  <c r="K9173"/>
  <c r="N9173"/>
  <c r="W9173"/>
  <c r="H9174"/>
  <c r="I9174"/>
  <c r="K9174"/>
  <c r="N9174"/>
  <c r="W9174"/>
  <c r="H9175"/>
  <c r="I9175"/>
  <c r="K9175"/>
  <c r="N9175"/>
  <c r="W9175"/>
  <c r="H9176"/>
  <c r="I9176"/>
  <c r="K9176"/>
  <c r="N9176"/>
  <c r="W9176"/>
  <c r="H9177"/>
  <c r="I9177"/>
  <c r="K9177"/>
  <c r="N9177"/>
  <c r="W9177"/>
  <c r="H9178"/>
  <c r="I9178"/>
  <c r="K9178"/>
  <c r="N9178"/>
  <c r="W9178"/>
  <c r="H9179"/>
  <c r="I9179"/>
  <c r="K9179"/>
  <c r="N9179"/>
  <c r="W9179"/>
  <c r="H9180"/>
  <c r="I9180"/>
  <c r="K9180"/>
  <c r="N9180"/>
  <c r="W9180"/>
  <c r="H9181"/>
  <c r="I9181"/>
  <c r="K9181"/>
  <c r="N9181"/>
  <c r="W9181"/>
  <c r="H9182"/>
  <c r="I9182"/>
  <c r="K9182"/>
  <c r="N9182"/>
  <c r="W9182"/>
  <c r="H9183"/>
  <c r="I9183"/>
  <c r="K9183"/>
  <c r="N9183"/>
  <c r="W9183"/>
  <c r="H9184"/>
  <c r="I9184"/>
  <c r="K9184"/>
  <c r="N9184"/>
  <c r="W9184"/>
  <c r="H9185"/>
  <c r="I9185"/>
  <c r="K9185"/>
  <c r="N9185"/>
  <c r="W9185"/>
  <c r="H9186"/>
  <c r="I9186"/>
  <c r="K9186"/>
  <c r="N9186"/>
  <c r="W9186"/>
  <c r="H9187"/>
  <c r="I9187"/>
  <c r="K9187"/>
  <c r="N9187"/>
  <c r="W9187"/>
  <c r="H9188"/>
  <c r="I9188"/>
  <c r="K9188"/>
  <c r="N9188"/>
  <c r="W9188"/>
  <c r="H9189"/>
  <c r="I9189"/>
  <c r="K9189"/>
  <c r="N9189"/>
  <c r="W9189"/>
  <c r="H9190"/>
  <c r="I9190"/>
  <c r="K9190"/>
  <c r="N9190"/>
  <c r="W9190"/>
  <c r="H9191"/>
  <c r="I9191"/>
  <c r="K9191"/>
  <c r="N9191"/>
  <c r="W9191"/>
  <c r="H9192"/>
  <c r="I9192"/>
  <c r="K9192"/>
  <c r="N9192"/>
  <c r="W9192"/>
  <c r="H9193"/>
  <c r="I9193"/>
  <c r="K9193"/>
  <c r="N9193"/>
  <c r="W9193"/>
  <c r="H9194"/>
  <c r="I9194"/>
  <c r="K9194"/>
  <c r="N9194"/>
  <c r="W9194"/>
  <c r="H9195"/>
  <c r="I9195"/>
  <c r="K9195"/>
  <c r="N9195"/>
  <c r="W9195"/>
  <c r="H9196"/>
  <c r="I9196"/>
  <c r="K9196"/>
  <c r="N9196"/>
  <c r="W9196"/>
  <c r="H9197"/>
  <c r="I9197"/>
  <c r="K9197"/>
  <c r="N9197"/>
  <c r="W9197"/>
  <c r="H9198"/>
  <c r="I9198"/>
  <c r="K9198"/>
  <c r="N9198"/>
  <c r="W9198"/>
  <c r="H9199"/>
  <c r="I9199"/>
  <c r="K9199"/>
  <c r="N9199"/>
  <c r="W9199"/>
  <c r="H9200"/>
  <c r="I9200"/>
  <c r="K9200"/>
  <c r="N9200"/>
  <c r="W9200"/>
  <c r="H9201"/>
  <c r="I9201"/>
  <c r="K9201"/>
  <c r="N9201"/>
  <c r="W9201"/>
  <c r="H9202"/>
  <c r="I9202"/>
  <c r="K9202"/>
  <c r="N9202"/>
  <c r="W9202"/>
  <c r="H9203"/>
  <c r="I9203"/>
  <c r="K9203"/>
  <c r="N9203"/>
  <c r="W9203"/>
  <c r="H9204"/>
  <c r="I9204"/>
  <c r="K9204"/>
  <c r="N9204"/>
  <c r="W9204"/>
  <c r="H9205"/>
  <c r="I9205"/>
  <c r="K9205"/>
  <c r="N9205"/>
  <c r="W9205"/>
  <c r="H9206"/>
  <c r="I9206"/>
  <c r="K9206"/>
  <c r="N9206"/>
  <c r="W9206"/>
  <c r="H9207"/>
  <c r="I9207"/>
  <c r="K9207"/>
  <c r="N9207"/>
  <c r="W9207"/>
  <c r="H9208"/>
  <c r="I9208"/>
  <c r="K9208"/>
  <c r="N9208"/>
  <c r="W9208"/>
  <c r="H9209"/>
  <c r="I9209"/>
  <c r="K9209"/>
  <c r="N9209"/>
  <c r="W9209"/>
  <c r="H9210"/>
  <c r="I9210"/>
  <c r="K9210"/>
  <c r="N9210"/>
  <c r="W9210"/>
  <c r="H9211"/>
  <c r="I9211"/>
  <c r="K9211"/>
  <c r="N9211"/>
  <c r="W9211"/>
  <c r="H9212"/>
  <c r="I9212"/>
  <c r="K9212"/>
  <c r="N9212"/>
  <c r="W9212"/>
  <c r="H9213"/>
  <c r="I9213"/>
  <c r="K9213"/>
  <c r="N9213"/>
  <c r="W9213"/>
  <c r="H9214"/>
  <c r="I9214"/>
  <c r="K9214"/>
  <c r="N9214"/>
  <c r="W9214"/>
  <c r="H9215"/>
  <c r="I9215"/>
  <c r="K9215"/>
  <c r="N9215"/>
  <c r="W9215"/>
  <c r="H9216"/>
  <c r="I9216"/>
  <c r="K9216"/>
  <c r="N9216"/>
  <c r="W9216"/>
  <c r="H9217"/>
  <c r="I9217"/>
  <c r="K9217"/>
  <c r="N9217"/>
  <c r="W9217"/>
  <c r="H9218"/>
  <c r="I9218"/>
  <c r="K9218"/>
  <c r="N9218"/>
  <c r="W9218"/>
  <c r="H9219"/>
  <c r="I9219"/>
  <c r="K9219"/>
  <c r="N9219"/>
  <c r="W9219"/>
  <c r="H9220"/>
  <c r="I9220"/>
  <c r="K9220"/>
  <c r="N9220"/>
  <c r="W9220"/>
  <c r="H9221"/>
  <c r="I9221"/>
  <c r="K9221"/>
  <c r="N9221"/>
  <c r="W9221"/>
  <c r="H9222"/>
  <c r="I9222"/>
  <c r="K9222"/>
  <c r="N9222"/>
  <c r="W9222"/>
  <c r="H9223"/>
  <c r="I9223"/>
  <c r="K9223"/>
  <c r="N9223"/>
  <c r="W9223"/>
  <c r="H9224"/>
  <c r="I9224"/>
  <c r="K9224"/>
  <c r="N9224"/>
  <c r="W9224"/>
  <c r="H9225"/>
  <c r="I9225"/>
  <c r="K9225"/>
  <c r="N9225"/>
  <c r="W9225"/>
  <c r="H9226"/>
  <c r="I9226"/>
  <c r="K9226"/>
  <c r="N9226"/>
  <c r="W9226"/>
  <c r="H9227"/>
  <c r="I9227"/>
  <c r="K9227"/>
  <c r="N9227"/>
  <c r="W9227"/>
  <c r="H9228"/>
  <c r="I9228"/>
  <c r="K9228"/>
  <c r="N9228"/>
  <c r="W9228"/>
  <c r="H9229"/>
  <c r="I9229"/>
  <c r="K9229"/>
  <c r="N9229"/>
  <c r="W9229"/>
  <c r="H9230"/>
  <c r="I9230"/>
  <c r="K9230"/>
  <c r="N9230"/>
  <c r="W9230"/>
  <c r="H9231"/>
  <c r="I9231"/>
  <c r="K9231"/>
  <c r="N9231"/>
  <c r="W9231"/>
  <c r="H9232"/>
  <c r="I9232"/>
  <c r="K9232"/>
  <c r="N9232"/>
  <c r="W9232"/>
  <c r="H9233"/>
  <c r="I9233"/>
  <c r="K9233"/>
  <c r="N9233"/>
  <c r="W9233"/>
  <c r="H9234"/>
  <c r="I9234"/>
  <c r="K9234"/>
  <c r="N9234"/>
  <c r="W9234"/>
  <c r="H9235"/>
  <c r="I9235"/>
  <c r="K9235"/>
  <c r="N9235"/>
  <c r="W9235"/>
  <c r="H9236"/>
  <c r="I9236"/>
  <c r="K9236"/>
  <c r="N9236"/>
  <c r="W9236"/>
  <c r="H9237"/>
  <c r="I9237"/>
  <c r="K9237"/>
  <c r="N9237"/>
  <c r="W9237"/>
  <c r="H9238"/>
  <c r="I9238"/>
  <c r="K9238"/>
  <c r="N9238"/>
  <c r="W9238"/>
  <c r="H9239"/>
  <c r="I9239"/>
  <c r="K9239"/>
  <c r="N9239"/>
  <c r="W9239"/>
  <c r="H9240"/>
  <c r="I9240"/>
  <c r="K9240"/>
  <c r="N9240"/>
  <c r="W9240"/>
  <c r="H9241"/>
  <c r="I9241"/>
  <c r="K9241"/>
  <c r="N9241"/>
  <c r="W9241"/>
  <c r="H9242"/>
  <c r="I9242"/>
  <c r="K9242"/>
  <c r="N9242"/>
  <c r="W9242"/>
  <c r="H9243"/>
  <c r="I9243"/>
  <c r="K9243"/>
  <c r="N9243"/>
  <c r="W9243"/>
  <c r="H9244"/>
  <c r="I9244"/>
  <c r="K9244"/>
  <c r="N9244"/>
  <c r="W9244"/>
  <c r="H9245"/>
  <c r="I9245"/>
  <c r="K9245"/>
  <c r="N9245"/>
  <c r="W9245"/>
  <c r="H9246"/>
  <c r="I9246"/>
  <c r="K9246"/>
  <c r="N9246"/>
  <c r="W9246"/>
  <c r="H9247"/>
  <c r="I9247"/>
  <c r="K9247"/>
  <c r="N9247"/>
  <c r="W9247"/>
  <c r="H9248"/>
  <c r="I9248"/>
  <c r="K9248"/>
  <c r="N9248"/>
  <c r="W9248"/>
  <c r="H9249"/>
  <c r="I9249"/>
  <c r="K9249"/>
  <c r="N9249"/>
  <c r="W9249"/>
  <c r="H9250"/>
  <c r="I9250"/>
  <c r="K9250"/>
  <c r="N9250"/>
  <c r="W9250"/>
  <c r="H9251"/>
  <c r="I9251"/>
  <c r="K9251"/>
  <c r="N9251"/>
  <c r="W9251"/>
  <c r="H9252"/>
  <c r="I9252"/>
  <c r="K9252"/>
  <c r="N9252"/>
  <c r="W9252"/>
  <c r="H9253"/>
  <c r="I9253"/>
  <c r="K9253"/>
  <c r="N9253"/>
  <c r="W9253"/>
  <c r="H9254"/>
  <c r="I9254"/>
  <c r="K9254"/>
  <c r="N9254"/>
  <c r="W9254"/>
  <c r="H9255"/>
  <c r="I9255"/>
  <c r="K9255"/>
  <c r="N9255"/>
  <c r="W9255"/>
  <c r="H9256"/>
  <c r="I9256"/>
  <c r="K9256"/>
  <c r="N9256"/>
  <c r="W9256"/>
  <c r="H9257"/>
  <c r="I9257"/>
  <c r="K9257"/>
  <c r="N9257"/>
  <c r="W9257"/>
  <c r="H9258"/>
  <c r="I9258"/>
  <c r="K9258"/>
  <c r="N9258"/>
  <c r="W9258"/>
  <c r="H9259"/>
  <c r="I9259"/>
  <c r="K9259"/>
  <c r="N9259"/>
  <c r="W9259"/>
  <c r="H9260"/>
  <c r="I9260"/>
  <c r="K9260"/>
  <c r="N9260"/>
  <c r="W9260"/>
  <c r="H9261"/>
  <c r="I9261"/>
  <c r="K9261"/>
  <c r="N9261"/>
  <c r="W9261"/>
  <c r="H9262"/>
  <c r="I9262"/>
  <c r="K9262"/>
  <c r="N9262"/>
  <c r="W9262"/>
  <c r="H9263"/>
  <c r="I9263"/>
  <c r="K9263"/>
  <c r="N9263"/>
  <c r="W9263"/>
  <c r="H9264"/>
  <c r="I9264"/>
  <c r="K9264"/>
  <c r="N9264"/>
  <c r="W9264"/>
  <c r="H9265"/>
  <c r="I9265"/>
  <c r="K9265"/>
  <c r="N9265"/>
  <c r="W9265"/>
  <c r="H9266"/>
  <c r="I9266"/>
  <c r="K9266"/>
  <c r="N9266"/>
  <c r="W9266"/>
  <c r="H9267"/>
  <c r="I9267"/>
  <c r="K9267"/>
  <c r="N9267"/>
  <c r="W9267"/>
  <c r="H9268"/>
  <c r="I9268"/>
  <c r="K9268"/>
  <c r="N9268"/>
  <c r="W9268"/>
  <c r="H9269"/>
  <c r="I9269"/>
  <c r="K9269"/>
  <c r="N9269"/>
  <c r="W9269"/>
  <c r="H9270"/>
  <c r="I9270"/>
  <c r="K9270"/>
  <c r="N9270"/>
  <c r="W9270"/>
  <c r="H9271"/>
  <c r="I9271"/>
  <c r="K9271"/>
  <c r="N9271"/>
  <c r="W9271"/>
  <c r="H9272"/>
  <c r="I9272"/>
  <c r="K9272"/>
  <c r="N9272"/>
  <c r="W9272"/>
  <c r="H9273"/>
  <c r="I9273"/>
  <c r="K9273"/>
  <c r="N9273"/>
  <c r="W9273"/>
  <c r="H9274"/>
  <c r="I9274"/>
  <c r="K9274"/>
  <c r="N9274"/>
  <c r="W9274"/>
  <c r="H9275"/>
  <c r="I9275"/>
  <c r="K9275"/>
  <c r="N9275"/>
  <c r="W9275"/>
  <c r="H9276"/>
  <c r="I9276"/>
  <c r="K9276"/>
  <c r="N9276"/>
  <c r="W9276"/>
  <c r="H9277"/>
  <c r="I9277"/>
  <c r="K9277"/>
  <c r="N9277"/>
  <c r="W9277"/>
  <c r="H9278"/>
  <c r="I9278"/>
  <c r="K9278"/>
  <c r="N9278"/>
  <c r="W9278"/>
  <c r="H9279"/>
  <c r="I9279"/>
  <c r="K9279"/>
  <c r="N9279"/>
  <c r="W9279"/>
  <c r="H9280"/>
  <c r="I9280"/>
  <c r="K9280"/>
  <c r="N9280"/>
  <c r="W9280"/>
  <c r="H9281"/>
  <c r="I9281"/>
  <c r="K9281"/>
  <c r="N9281"/>
  <c r="W9281"/>
  <c r="H9282"/>
  <c r="I9282"/>
  <c r="K9282"/>
  <c r="N9282"/>
  <c r="W9282"/>
  <c r="H9283"/>
  <c r="I9283"/>
  <c r="K9283"/>
  <c r="N9283"/>
  <c r="W9283"/>
  <c r="H9284"/>
  <c r="I9284"/>
  <c r="K9284"/>
  <c r="N9284"/>
  <c r="W9284"/>
  <c r="H9285"/>
  <c r="I9285"/>
  <c r="K9285"/>
  <c r="N9285"/>
  <c r="W9285"/>
  <c r="H9286"/>
  <c r="I9286"/>
  <c r="K9286"/>
  <c r="N9286"/>
  <c r="W9286"/>
  <c r="H9287"/>
  <c r="I9287"/>
  <c r="K9287"/>
  <c r="N9287"/>
  <c r="W9287"/>
  <c r="H9288"/>
  <c r="I9288"/>
  <c r="K9288"/>
  <c r="N9288"/>
  <c r="W9288"/>
  <c r="H9289"/>
  <c r="I9289"/>
  <c r="K9289"/>
  <c r="N9289"/>
  <c r="W9289"/>
  <c r="H9290"/>
  <c r="I9290"/>
  <c r="K9290"/>
  <c r="N9290"/>
  <c r="W9290"/>
  <c r="H9291"/>
  <c r="I9291"/>
  <c r="K9291"/>
  <c r="N9291"/>
  <c r="W9291"/>
  <c r="H9292"/>
  <c r="I9292"/>
  <c r="K9292"/>
  <c r="N9292"/>
  <c r="W9292"/>
  <c r="H9293"/>
  <c r="I9293"/>
  <c r="K9293"/>
  <c r="N9293"/>
  <c r="W9293"/>
  <c r="H9294"/>
  <c r="I9294"/>
  <c r="K9294"/>
  <c r="N9294"/>
  <c r="W9294"/>
  <c r="H9295"/>
  <c r="I9295"/>
  <c r="K9295"/>
  <c r="N9295"/>
  <c r="W9295"/>
  <c r="H9296"/>
  <c r="I9296"/>
  <c r="K9296"/>
  <c r="N9296"/>
  <c r="W9296"/>
  <c r="H9297"/>
  <c r="I9297"/>
  <c r="K9297"/>
  <c r="N9297"/>
  <c r="W9297"/>
  <c r="H9298"/>
  <c r="I9298"/>
  <c r="K9298"/>
  <c r="N9298"/>
  <c r="W9298"/>
  <c r="H9299"/>
  <c r="I9299"/>
  <c r="K9299"/>
  <c r="N9299"/>
  <c r="W9299"/>
  <c r="H9300"/>
  <c r="I9300"/>
  <c r="K9300"/>
  <c r="N9300"/>
  <c r="W9300"/>
  <c r="H9301"/>
  <c r="I9301"/>
  <c r="K9301"/>
  <c r="N9301"/>
  <c r="W9301"/>
  <c r="H9302"/>
  <c r="I9302"/>
  <c r="K9302"/>
  <c r="N9302"/>
  <c r="W9302"/>
  <c r="H9303"/>
  <c r="I9303"/>
  <c r="K9303"/>
  <c r="N9303"/>
  <c r="W9303"/>
  <c r="H9304"/>
  <c r="I9304"/>
  <c r="K9304"/>
  <c r="N9304"/>
  <c r="W9304"/>
  <c r="H9305"/>
  <c r="I9305"/>
  <c r="K9305"/>
  <c r="N9305"/>
  <c r="W9305"/>
  <c r="H9306"/>
  <c r="I9306"/>
  <c r="K9306"/>
  <c r="N9306"/>
  <c r="W9306"/>
  <c r="H9307"/>
  <c r="I9307"/>
  <c r="K9307"/>
  <c r="N9307"/>
  <c r="W9307"/>
  <c r="H9308"/>
  <c r="I9308"/>
  <c r="K9308"/>
  <c r="N9308"/>
  <c r="W9308"/>
  <c r="H9309"/>
  <c r="I9309"/>
  <c r="K9309"/>
  <c r="N9309"/>
  <c r="W9309"/>
  <c r="H9310"/>
  <c r="I9310"/>
  <c r="K9310"/>
  <c r="N9310"/>
  <c r="W9310"/>
  <c r="H9311"/>
  <c r="I9311"/>
  <c r="K9311"/>
  <c r="N9311"/>
  <c r="W9311"/>
  <c r="H9312"/>
  <c r="I9312"/>
  <c r="K9312"/>
  <c r="N9312"/>
  <c r="W9312"/>
  <c r="H9313"/>
  <c r="I9313"/>
  <c r="K9313"/>
  <c r="N9313"/>
  <c r="W9313"/>
  <c r="H9314"/>
  <c r="I9314"/>
  <c r="K9314"/>
  <c r="N9314"/>
  <c r="W9314"/>
  <c r="H9315"/>
  <c r="I9315"/>
  <c r="K9315"/>
  <c r="N9315"/>
  <c r="W9315"/>
  <c r="H9316"/>
  <c r="I9316"/>
  <c r="K9316"/>
  <c r="N9316"/>
  <c r="W9316"/>
  <c r="H9317"/>
  <c r="I9317"/>
  <c r="K9317"/>
  <c r="N9317"/>
  <c r="W9317"/>
  <c r="H9318"/>
  <c r="I9318"/>
  <c r="K9318"/>
  <c r="N9318"/>
  <c r="W9318"/>
  <c r="H9319"/>
  <c r="I9319"/>
  <c r="K9319"/>
  <c r="N9319"/>
  <c r="W9319"/>
  <c r="H9320"/>
  <c r="I9320"/>
  <c r="K9320"/>
  <c r="N9320"/>
  <c r="W9320"/>
  <c r="H9321"/>
  <c r="I9321"/>
  <c r="K9321"/>
  <c r="N9321"/>
  <c r="W9321"/>
  <c r="H9322"/>
  <c r="I9322"/>
  <c r="K9322"/>
  <c r="N9322"/>
  <c r="W9322"/>
  <c r="H9323"/>
  <c r="I9323"/>
  <c r="K9323"/>
  <c r="N9323"/>
  <c r="W9323"/>
  <c r="H9324"/>
  <c r="I9324"/>
  <c r="K9324"/>
  <c r="N9324"/>
  <c r="W9324"/>
  <c r="H9325"/>
  <c r="I9325"/>
  <c r="K9325"/>
  <c r="N9325"/>
  <c r="W9325"/>
  <c r="H9326"/>
  <c r="I9326"/>
  <c r="K9326"/>
  <c r="N9326"/>
  <c r="W9326"/>
  <c r="H9327"/>
  <c r="I9327"/>
  <c r="K9327"/>
  <c r="N9327"/>
  <c r="W9327"/>
  <c r="H9328"/>
  <c r="I9328"/>
  <c r="K9328"/>
  <c r="N9328"/>
  <c r="W9328"/>
  <c r="H9329"/>
  <c r="I9329"/>
  <c r="K9329"/>
  <c r="N9329"/>
  <c r="W9329"/>
  <c r="H9330"/>
  <c r="I9330"/>
  <c r="K9330"/>
  <c r="N9330"/>
  <c r="W9330"/>
  <c r="H9331"/>
  <c r="I9331"/>
  <c r="K9331"/>
  <c r="N9331"/>
  <c r="W9331"/>
  <c r="H9332"/>
  <c r="I9332"/>
  <c r="K9332"/>
  <c r="N9332"/>
  <c r="W9332"/>
  <c r="H9333"/>
  <c r="I9333"/>
  <c r="K9333"/>
  <c r="N9333"/>
  <c r="W9333"/>
  <c r="H9334"/>
  <c r="I9334"/>
  <c r="K9334"/>
  <c r="N9334"/>
  <c r="W9334"/>
  <c r="H9335"/>
  <c r="I9335"/>
  <c r="K9335"/>
  <c r="N9335"/>
  <c r="W9335"/>
  <c r="H9336"/>
  <c r="I9336"/>
  <c r="K9336"/>
  <c r="N9336"/>
  <c r="W9336"/>
  <c r="H9337"/>
  <c r="I9337"/>
  <c r="K9337"/>
  <c r="N9337"/>
  <c r="W9337"/>
  <c r="H9338"/>
  <c r="I9338"/>
  <c r="K9338"/>
  <c r="N9338"/>
  <c r="W9338"/>
  <c r="H9339"/>
  <c r="I9339"/>
  <c r="K9339"/>
  <c r="N9339"/>
  <c r="W9339"/>
  <c r="H9340"/>
  <c r="I9340"/>
  <c r="K9340"/>
  <c r="N9340"/>
  <c r="W9340"/>
  <c r="H9341"/>
  <c r="I9341"/>
  <c r="K9341"/>
  <c r="N9341"/>
  <c r="W9341"/>
  <c r="H9342"/>
  <c r="I9342"/>
  <c r="K9342"/>
  <c r="N9342"/>
  <c r="W9342"/>
  <c r="H9343"/>
  <c r="I9343"/>
  <c r="K9343"/>
  <c r="N9343"/>
  <c r="W9343"/>
  <c r="H9344"/>
  <c r="I9344"/>
  <c r="K9344"/>
  <c r="N9344"/>
  <c r="W9344"/>
  <c r="H9345"/>
  <c r="I9345"/>
  <c r="K9345"/>
  <c r="N9345"/>
  <c r="W9345"/>
  <c r="H9346"/>
  <c r="I9346"/>
  <c r="K9346"/>
  <c r="N9346"/>
  <c r="W9346"/>
  <c r="H9347"/>
  <c r="I9347"/>
  <c r="K9347"/>
  <c r="N9347"/>
  <c r="W9347"/>
  <c r="H9348"/>
  <c r="I9348"/>
  <c r="K9348"/>
  <c r="N9348"/>
  <c r="W9348"/>
  <c r="H9349"/>
  <c r="I9349"/>
  <c r="K9349"/>
  <c r="N9349"/>
  <c r="W9349"/>
  <c r="H9350"/>
  <c r="I9350"/>
  <c r="K9350"/>
  <c r="N9350"/>
  <c r="W9350"/>
  <c r="H9351"/>
  <c r="I9351"/>
  <c r="K9351"/>
  <c r="N9351"/>
  <c r="W9351"/>
  <c r="H9352"/>
  <c r="I9352"/>
  <c r="K9352"/>
  <c r="N9352"/>
  <c r="W9352"/>
  <c r="H9353"/>
  <c r="I9353"/>
  <c r="K9353"/>
  <c r="N9353"/>
  <c r="W9353"/>
  <c r="H9354"/>
  <c r="I9354"/>
  <c r="K9354"/>
  <c r="N9354"/>
  <c r="W9354"/>
  <c r="H9355"/>
  <c r="I9355"/>
  <c r="K9355"/>
  <c r="N9355"/>
  <c r="W9355"/>
  <c r="H9356"/>
  <c r="I9356"/>
  <c r="K9356"/>
  <c r="N9356"/>
  <c r="W9356"/>
  <c r="H9357"/>
  <c r="I9357"/>
  <c r="K9357"/>
  <c r="N9357"/>
  <c r="W9357"/>
  <c r="H9358"/>
  <c r="I9358"/>
  <c r="K9358"/>
  <c r="N9358"/>
  <c r="W9358"/>
  <c r="H9359"/>
  <c r="I9359"/>
  <c r="K9359"/>
  <c r="N9359"/>
  <c r="W9359"/>
  <c r="H9360"/>
  <c r="I9360"/>
  <c r="K9360"/>
  <c r="N9360"/>
  <c r="W9360"/>
  <c r="H9361"/>
  <c r="I9361"/>
  <c r="K9361"/>
  <c r="N9361"/>
  <c r="W9361"/>
  <c r="H9362"/>
  <c r="I9362"/>
  <c r="K9362"/>
  <c r="N9362"/>
  <c r="W9362"/>
  <c r="H9363"/>
  <c r="I9363"/>
  <c r="K9363"/>
  <c r="N9363"/>
  <c r="W9363"/>
  <c r="H9364"/>
  <c r="I9364"/>
  <c r="K9364"/>
  <c r="N9364"/>
  <c r="W9364"/>
  <c r="H9365"/>
  <c r="I9365"/>
  <c r="K9365"/>
  <c r="N9365"/>
  <c r="W9365"/>
  <c r="H9366"/>
  <c r="I9366"/>
  <c r="K9366"/>
  <c r="N9366"/>
  <c r="W9366"/>
  <c r="H9367"/>
  <c r="I9367"/>
  <c r="K9367"/>
  <c r="N9367"/>
  <c r="W9367"/>
  <c r="H9368"/>
  <c r="I9368"/>
  <c r="K9368"/>
  <c r="N9368"/>
  <c r="W9368"/>
  <c r="H9369"/>
  <c r="I9369"/>
  <c r="K9369"/>
  <c r="N9369"/>
  <c r="W9369"/>
  <c r="H9370"/>
  <c r="I9370"/>
  <c r="K9370"/>
  <c r="N9370"/>
  <c r="W9370"/>
  <c r="H9371"/>
  <c r="I9371"/>
  <c r="K9371"/>
  <c r="N9371"/>
  <c r="W9371"/>
  <c r="H9372"/>
  <c r="I9372"/>
  <c r="K9372"/>
  <c r="N9372"/>
  <c r="W9372"/>
  <c r="H9373"/>
  <c r="I9373"/>
  <c r="K9373"/>
  <c r="N9373"/>
  <c r="W9373"/>
  <c r="H9374"/>
  <c r="I9374"/>
  <c r="K9374"/>
  <c r="N9374"/>
  <c r="W9374"/>
  <c r="H9375"/>
  <c r="I9375"/>
  <c r="K9375"/>
  <c r="N9375"/>
  <c r="W9375"/>
  <c r="H9376"/>
  <c r="I9376"/>
  <c r="K9376"/>
  <c r="N9376"/>
  <c r="W9376"/>
  <c r="H9377"/>
  <c r="I9377"/>
  <c r="K9377"/>
  <c r="N9377"/>
  <c r="W9377"/>
  <c r="H9378"/>
  <c r="I9378"/>
  <c r="K9378"/>
  <c r="N9378"/>
  <c r="W9378"/>
  <c r="H9379"/>
  <c r="I9379"/>
  <c r="K9379"/>
  <c r="N9379"/>
  <c r="W9379"/>
  <c r="H9380"/>
  <c r="I9380"/>
  <c r="K9380"/>
  <c r="N9380"/>
  <c r="W9380"/>
  <c r="H9381"/>
  <c r="I9381"/>
  <c r="K9381"/>
  <c r="N9381"/>
  <c r="W9381"/>
  <c r="H9382"/>
  <c r="I9382"/>
  <c r="K9382"/>
  <c r="N9382"/>
  <c r="W9382"/>
  <c r="H9383"/>
  <c r="I9383"/>
  <c r="K9383"/>
  <c r="N9383"/>
  <c r="W9383"/>
  <c r="H9384"/>
  <c r="I9384"/>
  <c r="K9384"/>
  <c r="N9384"/>
  <c r="W9384"/>
  <c r="H9385"/>
  <c r="I9385"/>
  <c r="K9385"/>
  <c r="N9385"/>
  <c r="W9385"/>
  <c r="H9386"/>
  <c r="I9386"/>
  <c r="K9386"/>
  <c r="N9386"/>
  <c r="W9386"/>
  <c r="H9387"/>
  <c r="I9387"/>
  <c r="K9387"/>
  <c r="N9387"/>
  <c r="W9387"/>
  <c r="H9388"/>
  <c r="I9388"/>
  <c r="K9388"/>
  <c r="N9388"/>
  <c r="W9388"/>
  <c r="H9389"/>
  <c r="I9389"/>
  <c r="K9389"/>
  <c r="N9389"/>
  <c r="W9389"/>
  <c r="H9390"/>
  <c r="I9390"/>
  <c r="K9390"/>
  <c r="N9390"/>
  <c r="W9390"/>
  <c r="H9391"/>
  <c r="I9391"/>
  <c r="K9391"/>
  <c r="N9391"/>
  <c r="W9391"/>
  <c r="H9392"/>
  <c r="I9392"/>
  <c r="K9392"/>
  <c r="N9392"/>
  <c r="W9392"/>
  <c r="H9393"/>
  <c r="I9393"/>
  <c r="K9393"/>
  <c r="N9393"/>
  <c r="W9393"/>
  <c r="H9394"/>
  <c r="I9394"/>
  <c r="K9394"/>
  <c r="N9394"/>
  <c r="W9394"/>
  <c r="H9395"/>
  <c r="I9395"/>
  <c r="K9395"/>
  <c r="N9395"/>
  <c r="W9395"/>
  <c r="H9396"/>
  <c r="I9396"/>
  <c r="K9396"/>
  <c r="N9396"/>
  <c r="W9396"/>
  <c r="H9397"/>
  <c r="I9397"/>
  <c r="K9397"/>
  <c r="N9397"/>
  <c r="W9397"/>
  <c r="H9398"/>
  <c r="I9398"/>
  <c r="K9398"/>
  <c r="N9398"/>
  <c r="W9398"/>
  <c r="H9399"/>
  <c r="I9399"/>
  <c r="K9399"/>
  <c r="N9399"/>
  <c r="W9399"/>
  <c r="H9400"/>
  <c r="I9400"/>
  <c r="K9400"/>
  <c r="N9400"/>
  <c r="W9400"/>
  <c r="H9401"/>
  <c r="I9401"/>
  <c r="K9401"/>
  <c r="N9401"/>
  <c r="W9401"/>
  <c r="H9402"/>
  <c r="I9402"/>
  <c r="K9402"/>
  <c r="N9402"/>
  <c r="W9402"/>
  <c r="H9403"/>
  <c r="I9403"/>
  <c r="K9403"/>
  <c r="N9403"/>
  <c r="W9403"/>
  <c r="H9404"/>
  <c r="I9404"/>
  <c r="K9404"/>
  <c r="N9404"/>
  <c r="W9404"/>
  <c r="H9405"/>
  <c r="I9405"/>
  <c r="K9405"/>
  <c r="N9405"/>
  <c r="W9405"/>
  <c r="H9406"/>
  <c r="I9406"/>
  <c r="K9406"/>
  <c r="N9406"/>
  <c r="W9406"/>
  <c r="H9407"/>
  <c r="I9407"/>
  <c r="K9407"/>
  <c r="N9407"/>
  <c r="W9407"/>
  <c r="H9408"/>
  <c r="I9408"/>
  <c r="K9408"/>
  <c r="N9408"/>
  <c r="W9408"/>
  <c r="H9409"/>
  <c r="I9409"/>
  <c r="K9409"/>
  <c r="N9409"/>
  <c r="W9409"/>
  <c r="H9410"/>
  <c r="I9410"/>
  <c r="K9410"/>
  <c r="N9410"/>
  <c r="W9410"/>
  <c r="H9411"/>
  <c r="I9411"/>
  <c r="K9411"/>
  <c r="N9411"/>
  <c r="W9411"/>
  <c r="H9412"/>
  <c r="I9412"/>
  <c r="K9412"/>
  <c r="N9412"/>
  <c r="W9412"/>
  <c r="H9413"/>
  <c r="I9413"/>
  <c r="K9413"/>
  <c r="N9413"/>
  <c r="W9413"/>
  <c r="H9414"/>
  <c r="I9414"/>
  <c r="K9414"/>
  <c r="N9414"/>
  <c r="W9414"/>
  <c r="H9415"/>
  <c r="I9415"/>
  <c r="K9415"/>
  <c r="N9415"/>
  <c r="W9415"/>
  <c r="H9416"/>
  <c r="I9416"/>
  <c r="K9416"/>
  <c r="N9416"/>
  <c r="W9416"/>
  <c r="H9417"/>
  <c r="I9417"/>
  <c r="K9417"/>
  <c r="N9417"/>
  <c r="W9417"/>
  <c r="H9418"/>
  <c r="I9418"/>
  <c r="K9418"/>
  <c r="N9418"/>
  <c r="W9418"/>
  <c r="H9419"/>
  <c r="I9419"/>
  <c r="K9419"/>
  <c r="N9419"/>
  <c r="W9419"/>
  <c r="H9420"/>
  <c r="I9420"/>
  <c r="K9420"/>
  <c r="N9420"/>
  <c r="W9420"/>
  <c r="H9421"/>
  <c r="I9421"/>
  <c r="K9421"/>
  <c r="N9421"/>
  <c r="W9421"/>
  <c r="H9422"/>
  <c r="I9422"/>
  <c r="K9422"/>
  <c r="N9422"/>
  <c r="W9422"/>
  <c r="H9423"/>
  <c r="I9423"/>
  <c r="K9423"/>
  <c r="N9423"/>
  <c r="W9423"/>
  <c r="H9424"/>
  <c r="I9424"/>
  <c r="K9424"/>
  <c r="N9424"/>
  <c r="W9424"/>
  <c r="H9425"/>
  <c r="I9425"/>
  <c r="K9425"/>
  <c r="N9425"/>
  <c r="W9425"/>
  <c r="H9426"/>
  <c r="I9426"/>
  <c r="K9426"/>
  <c r="N9426"/>
  <c r="W9426"/>
  <c r="H9427"/>
  <c r="I9427"/>
  <c r="K9427"/>
  <c r="N9427"/>
  <c r="W9427"/>
  <c r="H9428"/>
  <c r="I9428"/>
  <c r="K9428"/>
  <c r="N9428"/>
  <c r="W9428"/>
  <c r="H9429"/>
  <c r="I9429"/>
  <c r="K9429"/>
  <c r="N9429"/>
  <c r="W9429"/>
  <c r="H9430"/>
  <c r="I9430"/>
  <c r="K9430"/>
  <c r="N9430"/>
  <c r="W9430"/>
  <c r="H9431"/>
  <c r="I9431"/>
  <c r="K9431"/>
  <c r="N9431"/>
  <c r="W9431"/>
  <c r="H9432"/>
  <c r="I9432"/>
  <c r="K9432"/>
  <c r="N9432"/>
  <c r="W9432"/>
  <c r="H9433"/>
  <c r="I9433"/>
  <c r="K9433"/>
  <c r="N9433"/>
  <c r="W9433"/>
  <c r="H9434"/>
  <c r="I9434"/>
  <c r="K9434"/>
  <c r="N9434"/>
  <c r="W9434"/>
  <c r="H9435"/>
  <c r="I9435"/>
  <c r="K9435"/>
  <c r="N9435"/>
  <c r="W9435"/>
  <c r="H9436"/>
  <c r="I9436"/>
  <c r="K9436"/>
  <c r="N9436"/>
  <c r="W9436"/>
  <c r="H9437"/>
  <c r="I9437"/>
  <c r="K9437"/>
  <c r="N9437"/>
  <c r="W9437"/>
  <c r="H9438"/>
  <c r="I9438"/>
  <c r="K9438"/>
  <c r="N9438"/>
  <c r="W9438"/>
  <c r="H9439"/>
  <c r="I9439"/>
  <c r="K9439"/>
  <c r="N9439"/>
  <c r="W9439"/>
  <c r="H9440"/>
  <c r="I9440"/>
  <c r="K9440"/>
  <c r="N9440"/>
  <c r="W9440"/>
  <c r="H9441"/>
  <c r="I9441"/>
  <c r="K9441"/>
  <c r="N9441"/>
  <c r="W9441"/>
  <c r="H9442"/>
  <c r="I9442"/>
  <c r="K9442"/>
  <c r="N9442"/>
  <c r="W9442"/>
  <c r="H9443"/>
  <c r="I9443"/>
  <c r="K9443"/>
  <c r="N9443"/>
  <c r="W9443"/>
  <c r="H9444"/>
  <c r="I9444"/>
  <c r="K9444"/>
  <c r="N9444"/>
  <c r="W9444"/>
  <c r="H9445"/>
  <c r="I9445"/>
  <c r="K9445"/>
  <c r="N9445"/>
  <c r="W9445"/>
  <c r="H9446"/>
  <c r="I9446"/>
  <c r="K9446"/>
  <c r="N9446"/>
  <c r="W9446"/>
  <c r="H9447"/>
  <c r="I9447"/>
  <c r="K9447"/>
  <c r="N9447"/>
  <c r="W9447"/>
  <c r="H9448"/>
  <c r="I9448"/>
  <c r="K9448"/>
  <c r="N9448"/>
  <c r="W9448"/>
  <c r="H9449"/>
  <c r="I9449"/>
  <c r="K9449"/>
  <c r="N9449"/>
  <c r="W9449"/>
  <c r="H9450"/>
  <c r="I9450"/>
  <c r="K9450"/>
  <c r="N9450"/>
  <c r="W9450"/>
  <c r="H9451"/>
  <c r="I9451"/>
  <c r="K9451"/>
  <c r="N9451"/>
  <c r="W9451"/>
  <c r="H9452"/>
  <c r="I9452"/>
  <c r="K9452"/>
  <c r="N9452"/>
  <c r="W9452"/>
  <c r="H9453"/>
  <c r="I9453"/>
  <c r="K9453"/>
  <c r="N9453"/>
  <c r="W9453"/>
  <c r="H9454"/>
  <c r="I9454"/>
  <c r="K9454"/>
  <c r="N9454"/>
  <c r="W9454"/>
  <c r="H9455"/>
  <c r="I9455"/>
  <c r="K9455"/>
  <c r="N9455"/>
  <c r="W9455"/>
  <c r="H9456"/>
  <c r="I9456"/>
  <c r="K9456"/>
  <c r="N9456"/>
  <c r="W9456"/>
  <c r="H9457"/>
  <c r="I9457"/>
  <c r="K9457"/>
  <c r="N9457"/>
  <c r="W9457"/>
  <c r="H9458"/>
  <c r="I9458"/>
  <c r="K9458"/>
  <c r="N9458"/>
  <c r="W9458"/>
  <c r="H9459"/>
  <c r="I9459"/>
  <c r="K9459"/>
  <c r="N9459"/>
  <c r="W9459"/>
  <c r="H9460"/>
  <c r="I9460"/>
  <c r="K9460"/>
  <c r="N9460"/>
  <c r="W9460"/>
  <c r="H9461"/>
  <c r="I9461"/>
  <c r="K9461"/>
  <c r="N9461"/>
  <c r="W9461"/>
  <c r="H9462"/>
  <c r="I9462"/>
  <c r="K9462"/>
  <c r="N9462"/>
  <c r="W9462"/>
  <c r="H9463"/>
  <c r="I9463"/>
  <c r="K9463"/>
  <c r="N9463"/>
  <c r="W9463"/>
  <c r="H9464"/>
  <c r="I9464"/>
  <c r="K9464"/>
  <c r="N9464"/>
  <c r="W9464"/>
  <c r="H9465"/>
  <c r="I9465"/>
  <c r="K9465"/>
  <c r="N9465"/>
  <c r="W9465"/>
  <c r="H9466"/>
  <c r="I9466"/>
  <c r="K9466"/>
  <c r="N9466"/>
  <c r="W9466"/>
  <c r="H9467"/>
  <c r="I9467"/>
  <c r="K9467"/>
  <c r="N9467"/>
  <c r="W9467"/>
  <c r="H9468"/>
  <c r="I9468"/>
  <c r="K9468"/>
  <c r="N9468"/>
  <c r="W9468"/>
  <c r="H9469"/>
  <c r="I9469"/>
  <c r="K9469"/>
  <c r="N9469"/>
  <c r="W9469"/>
  <c r="H9470"/>
  <c r="I9470"/>
  <c r="K9470"/>
  <c r="N9470"/>
  <c r="W9470"/>
  <c r="H9471"/>
  <c r="I9471"/>
  <c r="K9471"/>
  <c r="N9471"/>
  <c r="W9471"/>
  <c r="H9472"/>
  <c r="I9472"/>
  <c r="K9472"/>
  <c r="N9472"/>
  <c r="W9472"/>
  <c r="H9473"/>
  <c r="I9473"/>
  <c r="K9473"/>
  <c r="N9473"/>
  <c r="W9473"/>
  <c r="H9474"/>
  <c r="I9474"/>
  <c r="K9474"/>
  <c r="N9474"/>
  <c r="W9474"/>
  <c r="H9475"/>
  <c r="I9475"/>
  <c r="K9475"/>
  <c r="N9475"/>
  <c r="W9475"/>
  <c r="H9476"/>
  <c r="I9476"/>
  <c r="K9476"/>
  <c r="N9476"/>
  <c r="W9476"/>
  <c r="H9477"/>
  <c r="I9477"/>
  <c r="K9477"/>
  <c r="N9477"/>
  <c r="W9477"/>
  <c r="H9478"/>
  <c r="I9478"/>
  <c r="K9478"/>
  <c r="N9478"/>
  <c r="W9478"/>
  <c r="H9479"/>
  <c r="I9479"/>
  <c r="K9479"/>
  <c r="N9479"/>
  <c r="W9479"/>
  <c r="H9480"/>
  <c r="I9480"/>
  <c r="K9480"/>
  <c r="N9480"/>
  <c r="W9480"/>
  <c r="H9481"/>
  <c r="I9481"/>
  <c r="K9481"/>
  <c r="N9481"/>
  <c r="W9481"/>
  <c r="H9482"/>
  <c r="I9482"/>
  <c r="K9482"/>
  <c r="N9482"/>
  <c r="W9482"/>
  <c r="H9483"/>
  <c r="I9483"/>
  <c r="K9483"/>
  <c r="N9483"/>
  <c r="W9483"/>
  <c r="H9484"/>
  <c r="I9484"/>
  <c r="K9484"/>
  <c r="N9484"/>
  <c r="W9484"/>
  <c r="H9485"/>
  <c r="I9485"/>
  <c r="K9485"/>
  <c r="N9485"/>
  <c r="W9485"/>
  <c r="H9486"/>
  <c r="I9486"/>
  <c r="K9486"/>
  <c r="N9486"/>
  <c r="W9486"/>
  <c r="H9487"/>
  <c r="I9487"/>
  <c r="K9487"/>
  <c r="N9487"/>
  <c r="W9487"/>
  <c r="H9488"/>
  <c r="I9488"/>
  <c r="K9488"/>
  <c r="N9488"/>
  <c r="W9488"/>
  <c r="H9489"/>
  <c r="I9489"/>
  <c r="K9489"/>
  <c r="N9489"/>
  <c r="W9489"/>
  <c r="H9490"/>
  <c r="I9490"/>
  <c r="K9490"/>
  <c r="N9490"/>
  <c r="W9490"/>
  <c r="H9491"/>
  <c r="I9491"/>
  <c r="K9491"/>
  <c r="N9491"/>
  <c r="W9491"/>
  <c r="H9492"/>
  <c r="I9492"/>
  <c r="K9492"/>
  <c r="N9492"/>
  <c r="W9492"/>
  <c r="H9493"/>
  <c r="I9493"/>
  <c r="K9493"/>
  <c r="N9493"/>
  <c r="W9493"/>
  <c r="H9494"/>
  <c r="I9494"/>
  <c r="K9494"/>
  <c r="N9494"/>
  <c r="W9494"/>
  <c r="H9495"/>
  <c r="I9495"/>
  <c r="K9495"/>
  <c r="N9495"/>
  <c r="W9495"/>
  <c r="H9496"/>
  <c r="I9496"/>
  <c r="K9496"/>
  <c r="N9496"/>
  <c r="W9496"/>
  <c r="H9497"/>
  <c r="I9497"/>
  <c r="K9497"/>
  <c r="N9497"/>
  <c r="W9497"/>
  <c r="H9498"/>
  <c r="I9498"/>
  <c r="K9498"/>
  <c r="N9498"/>
  <c r="W9498"/>
  <c r="H9499"/>
  <c r="I9499"/>
  <c r="K9499"/>
  <c r="N9499"/>
  <c r="W9499"/>
  <c r="H9500"/>
  <c r="I9500"/>
  <c r="K9500"/>
  <c r="N9500"/>
  <c r="W9500"/>
  <c r="H9501"/>
  <c r="I9501"/>
  <c r="K9501"/>
  <c r="N9501"/>
  <c r="W9501"/>
  <c r="H9502"/>
  <c r="I9502"/>
  <c r="K9502"/>
  <c r="N9502"/>
  <c r="W9502"/>
  <c r="H9503"/>
  <c r="I9503"/>
  <c r="K9503"/>
  <c r="N9503"/>
  <c r="W9503"/>
  <c r="H9504"/>
  <c r="I9504"/>
  <c r="K9504"/>
  <c r="N9504"/>
  <c r="W9504"/>
  <c r="H9505"/>
  <c r="I9505"/>
  <c r="K9505"/>
  <c r="N9505"/>
  <c r="W9505"/>
  <c r="H9506"/>
  <c r="I9506"/>
  <c r="K9506"/>
  <c r="N9506"/>
  <c r="W9506"/>
  <c r="H9507"/>
  <c r="I9507"/>
  <c r="K9507"/>
  <c r="N9507"/>
  <c r="W9507"/>
  <c r="H9508"/>
  <c r="I9508"/>
  <c r="K9508"/>
  <c r="N9508"/>
  <c r="W9508"/>
  <c r="H9509"/>
  <c r="I9509"/>
  <c r="K9509"/>
  <c r="N9509"/>
  <c r="W9509"/>
  <c r="H9510"/>
  <c r="I9510"/>
  <c r="K9510"/>
  <c r="N9510"/>
  <c r="W9510"/>
</calcChain>
</file>

<file path=xl/sharedStrings.xml><?xml version="1.0" encoding="utf-8"?>
<sst xmlns="http://schemas.openxmlformats.org/spreadsheetml/2006/main" count="93395" uniqueCount="988">
  <si>
    <t>Dettaglio Elaborazione</t>
  </si>
  <si>
    <t>Conto</t>
  </si>
  <si>
    <t>Ragione Sociale</t>
  </si>
  <si>
    <t>Conto Cred. Deb.</t>
  </si>
  <si>
    <t>Decodifca Conto Cred deb</t>
  </si>
  <si>
    <t>Codice Esposto</t>
  </si>
  <si>
    <t xml:space="preserve">Descr Codice Esposto </t>
  </si>
  <si>
    <t>Secondo Codice</t>
  </si>
  <si>
    <t>Cod Fisc</t>
  </si>
  <si>
    <t>P IVA</t>
  </si>
  <si>
    <t>Stato Cee</t>
  </si>
  <si>
    <t>Partita IVA Cee</t>
  </si>
  <si>
    <t>Id Fiscale Estero</t>
  </si>
  <si>
    <t>Tipo Conto</t>
  </si>
  <si>
    <t>Classe Contabile</t>
  </si>
  <si>
    <t>Desc Classe Cli For</t>
  </si>
  <si>
    <t>Descrizione Documento</t>
  </si>
  <si>
    <t>Anno Partita</t>
  </si>
  <si>
    <t>Data Emissione</t>
  </si>
  <si>
    <t>Registrazione</t>
  </si>
  <si>
    <t>Decorrenza</t>
  </si>
  <si>
    <t>Scadenza</t>
  </si>
  <si>
    <t>Canale Pagamento</t>
  </si>
  <si>
    <t>Numero Partita</t>
  </si>
  <si>
    <t>Importo Fattura</t>
  </si>
  <si>
    <t>Altri Crediti Debiti</t>
  </si>
  <si>
    <t>Pagato Trimestre</t>
  </si>
  <si>
    <t>Giorni Medi Trimestre</t>
  </si>
  <si>
    <t>Montante Trimestre</t>
  </si>
  <si>
    <t>Pagato Anno</t>
  </si>
  <si>
    <t>Giorni Medi Anno</t>
  </si>
  <si>
    <t>Montante Anno</t>
  </si>
  <si>
    <t>Saldo</t>
  </si>
  <si>
    <t>Causale Sospensione</t>
  </si>
  <si>
    <t>Desc Causale Sospensione</t>
  </si>
  <si>
    <t>Scadenza Post Sospensione</t>
  </si>
  <si>
    <t>Competenza Mese</t>
  </si>
  <si>
    <t>Registrato Mese</t>
  </si>
  <si>
    <t>Emesso Mese</t>
  </si>
  <si>
    <t>Competenza Anno</t>
  </si>
  <si>
    <t>Registrato Anno</t>
  </si>
  <si>
    <t>Emesso Anno</t>
  </si>
  <si>
    <t>Data Elaborazione</t>
  </si>
  <si>
    <t>Utente Elaborazione</t>
  </si>
  <si>
    <t>Nominativo Utente</t>
  </si>
  <si>
    <t>Primo Pagamento</t>
  </si>
  <si>
    <t>Data Pagamento Min</t>
  </si>
  <si>
    <t>Pagamento Oltre</t>
  </si>
  <si>
    <t>Ultimo Pagamento</t>
  </si>
  <si>
    <t>Data Pagamento Max</t>
  </si>
  <si>
    <t>Scaduto nel mese</t>
  </si>
  <si>
    <t>Scaduto da 30</t>
  </si>
  <si>
    <t>Scaduto da 60</t>
  </si>
  <si>
    <t>Scaduto da 90</t>
  </si>
  <si>
    <t>Scaduto da 120</t>
  </si>
  <si>
    <t>Scaduto da 150</t>
  </si>
  <si>
    <t>Scaduto Oltre 180</t>
  </si>
  <si>
    <t>Totale Scaduto</t>
  </si>
  <si>
    <t>A scadere entro 30</t>
  </si>
  <si>
    <t>A scadere entro 60</t>
  </si>
  <si>
    <t>A scadere entro 90</t>
  </si>
  <si>
    <t>A scadere entro 120</t>
  </si>
  <si>
    <t>A scadere entro 150</t>
  </si>
  <si>
    <t>A scadere entro 180</t>
  </si>
  <si>
    <t>A scadere oltre 180</t>
  </si>
  <si>
    <t>Totale a scadere</t>
  </si>
  <si>
    <t>ABBOTT S.R.L.</t>
  </si>
  <si>
    <t>DEBITI VERSO FORNITORI</t>
  </si>
  <si>
    <t>Fornitori</t>
  </si>
  <si>
    <t>43300101 - DEBITI V/FORNITORI</t>
  </si>
  <si>
    <t>Fattura Ricevuta</t>
  </si>
  <si>
    <t>AS</t>
  </si>
  <si>
    <t>PETRELLA</t>
  </si>
  <si>
    <t>SI</t>
  </si>
  <si>
    <t>F</t>
  </si>
  <si>
    <t>Ric.Fattura</t>
  </si>
  <si>
    <t>ALFA INTES S.R.L.</t>
  </si>
  <si>
    <t>ALLERGAN S.P.A.</t>
  </si>
  <si>
    <t>fattura ricevuta</t>
  </si>
  <si>
    <t>RAYS  srl.</t>
  </si>
  <si>
    <t>DAIICHI SANKYO ITALIA S.P.A.</t>
  </si>
  <si>
    <t>ERREBIAN S.P.A.</t>
  </si>
  <si>
    <t>ALERE S.R.L. (EX INVERNESS MEDICAL ITALIA S.R.L.)</t>
  </si>
  <si>
    <t>FIDES S.P.A.</t>
  </si>
  <si>
    <t>STIPENDI GENN 2016</t>
  </si>
  <si>
    <t>STIPENDI FEBBR. 2016</t>
  </si>
  <si>
    <t>STIPENDI MARZO 2016</t>
  </si>
  <si>
    <t>STIPENDI APRILE 2016</t>
  </si>
  <si>
    <t>STIPENDI MAGGIO 2016</t>
  </si>
  <si>
    <t>STIP. GIUGNO 2016</t>
  </si>
  <si>
    <t>STIPENDI LUGLIO 2016</t>
  </si>
  <si>
    <t>STIPENDI AGOSTO 2016</t>
  </si>
  <si>
    <t>STIPENDI SETT. 2016</t>
  </si>
  <si>
    <t>STIPENDI OTT 2016</t>
  </si>
  <si>
    <t>STIP. NOVEMBRE 2016</t>
  </si>
  <si>
    <t>STIP DIC+TRED 2016</t>
  </si>
  <si>
    <t>ALCON ITALIA S.P.A.</t>
  </si>
  <si>
    <t>ARTSANA S.P.A.</t>
  </si>
  <si>
    <t>ATTI HOSPITAL S.R.L.</t>
  </si>
  <si>
    <t>BAYER S.P.A.</t>
  </si>
  <si>
    <t>Ric.Nota di Credito</t>
  </si>
  <si>
    <t>BOEHRINGER INGELHEIM ITALIA   S.P.A.</t>
  </si>
  <si>
    <t>BRISTOL MYERS SQUIBB S.R.L.</t>
  </si>
  <si>
    <t>SIEMENS HEALTHCARE SRL(exSiemens Health.Diagnost.)</t>
  </si>
  <si>
    <t>BECKMAN COULTER S.R.L.</t>
  </si>
  <si>
    <t>BIOTEST ITALIA S.R.L.</t>
  </si>
  <si>
    <t>GE HEALTHCARE SRL ( EX AMERSHAM HEALTH SRL) -</t>
  </si>
  <si>
    <t>BIOINDUSTRIA L.I.M. S.P.A.</t>
  </si>
  <si>
    <t>ORZELLECA PREMIAZIONI S.A.S.</t>
  </si>
  <si>
    <t>THERMO FISHER DIAGNOSTICS S.P.A.</t>
  </si>
  <si>
    <t>NEIKOS S.R.L.</t>
  </si>
  <si>
    <t>M.G.LORENZATTO S.R.L.</t>
  </si>
  <si>
    <t>CRAL OSPEDALIERO</t>
  </si>
  <si>
    <t>ALTRI DEBITI DIVERSI</t>
  </si>
  <si>
    <t>43500101 - DEBITI V/ALTRI</t>
  </si>
  <si>
    <t>AZIENDA SANITARIA LOCALE AVELLINO</t>
  </si>
  <si>
    <t>DEBITI V/ASL-USL DELLA REGIONE</t>
  </si>
  <si>
    <t>43201201 - DEBITI V/A.S.L. REGIONE</t>
  </si>
  <si>
    <t>MEDISOL S.R.L.</t>
  </si>
  <si>
    <t>RIMBORSO SPESE</t>
  </si>
  <si>
    <t>UNIV. "FEDERICO II" -  DIP.  DI SCIENZE PREVENTIVE</t>
  </si>
  <si>
    <t>43500101 - DEBITI V/ALTRI ENTI PUBBLICI</t>
  </si>
  <si>
    <t>BANCA DI CREDITO POPOLARE SCARL.</t>
  </si>
  <si>
    <t>43500101 - DEBITI V/ASSICURAZIONI E IST.CREDITO</t>
  </si>
  <si>
    <t>INPDAP PREST. NON CARTOLARIZ. SOVVENZ. CPS</t>
  </si>
  <si>
    <t>INPDAP PREST. NON CARTOLARIZ. SOVVENZ. CPDEL</t>
  </si>
  <si>
    <t>INPDAP PREST.NON CARTOLARIZ. PICC. PREST. CPDEL</t>
  </si>
  <si>
    <t>INPDAP PREST. NON CARTOLARIZ. PICC. PREST. CPS</t>
  </si>
  <si>
    <t>MINICOZZI ANTONIETTA</t>
  </si>
  <si>
    <t>BANCA POPOLARE PUGLIESE SCPA</t>
  </si>
  <si>
    <t>STORZ MEDICAL ITALIA S.R.L.</t>
  </si>
  <si>
    <t>CONTE  CLAUDIO</t>
  </si>
  <si>
    <t>43500101 - DEBITI V/PROFESSIONISTI E LAV. AUTONOMI</t>
  </si>
  <si>
    <t>BELLCO S.r.L.</t>
  </si>
  <si>
    <t>CONDOMINIO VIA ANNUNZIATA 23-33   BENEVENTO</t>
  </si>
  <si>
    <t>4° SAL- SPESE TECN.</t>
  </si>
  <si>
    <t>BIO-RAD LABORATORIES S.R.L.</t>
  </si>
  <si>
    <t>BECTON DICKINSON ITALIA S.P.A.</t>
  </si>
  <si>
    <t>TEMA SINERGIE S.P.A.</t>
  </si>
  <si>
    <t>DYNAMED SNC</t>
  </si>
  <si>
    <t>GARDHEN "BILANCE" S.R.L.</t>
  </si>
  <si>
    <t>JOHNSON &amp; JOHNSON MEDICAL S.P.A.</t>
  </si>
  <si>
    <t>MPM ITALIA SRL SOCIETA' UNIPERSONALE</t>
  </si>
  <si>
    <t>CAVALLARO S.R.L.</t>
  </si>
  <si>
    <t>CHIESI FARMACEUTICI S.P.A.</t>
  </si>
  <si>
    <t>PORTO  IMMACOLATA</t>
  </si>
  <si>
    <t>Ric.Parcella</t>
  </si>
  <si>
    <t>L'EUROPEA ORG.NAZ.S.R.L.</t>
  </si>
  <si>
    <t>SEBIA ITALIA S.R.L. EX CIAMPOLINI</t>
  </si>
  <si>
    <t>GETINGE S.P.A.</t>
  </si>
  <si>
    <t>W.L. GORE &amp; ASSOCIATI S.R.L.</t>
  </si>
  <si>
    <t>FIDITALIA S.P.A.</t>
  </si>
  <si>
    <t>LIFE TECHNOLOGIES ITALIA (APPLIED BIOSYSTEMS)</t>
  </si>
  <si>
    <t>SIAD HEALTHCARE SPA ( EX CO.ME.SA.)</t>
  </si>
  <si>
    <t>EDWARDS LIFESCIENCES ITALIA S.P.A.</t>
  </si>
  <si>
    <t>MONDO EDP S.R.L.</t>
  </si>
  <si>
    <t>DATA PROCESSING S.P.A.</t>
  </si>
  <si>
    <t>ELI LILLY ITALIA S.P.A.</t>
  </si>
  <si>
    <t>EL.TO.  S.R.L.</t>
  </si>
  <si>
    <t>SMITHS MEDICAL ITALIA S.R.L.</t>
  </si>
  <si>
    <t>FARMIGEA S.R.L.</t>
  </si>
  <si>
    <t>HUMANA ITALIA S.P.A.</t>
  </si>
  <si>
    <t>FARMAC-ZABBAN   S.P.A.</t>
  </si>
  <si>
    <t>2T S.R.L.</t>
  </si>
  <si>
    <t>S.V.I.M.A.  FARMACEUTICI S.R.L.</t>
  </si>
  <si>
    <t>F.I.R.M.A. S.P.A.</t>
  </si>
  <si>
    <t>GLAXO SMITH KLINE S.P.A.</t>
  </si>
  <si>
    <t>GI GROUP SPA ( EX WORKNET GENERALE INDUSTRIELLE)</t>
  </si>
  <si>
    <t>FUCCI  SILVIA</t>
  </si>
  <si>
    <t>VALEAS  S.P.A.</t>
  </si>
  <si>
    <t>ALMIRALL S.P.A.</t>
  </si>
  <si>
    <t>ITALFARMACO S.P.A</t>
  </si>
  <si>
    <t>F.S.I.</t>
  </si>
  <si>
    <t>BIOGEN ITALIA S.R.L.</t>
  </si>
  <si>
    <t>INTESTO S.R.L.</t>
  </si>
  <si>
    <t>PANARESE  FERNANDO</t>
  </si>
  <si>
    <t>SINTEA PLUSTEK S.R.L.</t>
  </si>
  <si>
    <t>GALDERMA ITALIA S.P.A.</t>
  </si>
  <si>
    <t>BIOMEDICALE SESTRESE SNC</t>
  </si>
  <si>
    <t>LOFARMA S.P.A.</t>
  </si>
  <si>
    <t>FUJIREBIO ITALIA S.R.L.(EX INNOGENETICS S.R.L.)</t>
  </si>
  <si>
    <t>LA PULITECNICA S.R.L.</t>
  </si>
  <si>
    <t>Fattura Split Pay</t>
  </si>
  <si>
    <t>LEICA MICROSYSTEMS S.R.L.</t>
  </si>
  <si>
    <t>CISATECH di C. SANTORO &amp; C. s.a.s.</t>
  </si>
  <si>
    <t>RUGGIERO  SEBASTIANO</t>
  </si>
  <si>
    <t>SEI emg s.r.l.</t>
  </si>
  <si>
    <t>MOVI S.P.A. ATTREZZATURE BIOMEDICHE</t>
  </si>
  <si>
    <t>FAVERO HEALTH PROJECTS S.P.A.</t>
  </si>
  <si>
    <t>FRESENIUS KABI ITALIA S.R.L.</t>
  </si>
  <si>
    <t>NESTLE' ITALIANA S.P.A.</t>
  </si>
  <si>
    <t>GOGLIA  CONCETTA</t>
  </si>
  <si>
    <t>CIOTTA MARIA SAVERIA</t>
  </si>
  <si>
    <t>VERNIPOLL S.R.L.</t>
  </si>
  <si>
    <t>TEKMED INSTRUMENTS S.P.A.</t>
  </si>
  <si>
    <t>DI STASIO DOTT. ALBERTO -DIRIG.ARU</t>
  </si>
  <si>
    <t>STPENDIO SETTEMBRE</t>
  </si>
  <si>
    <t>PFIZER ITALIA S.r.l.</t>
  </si>
  <si>
    <t>COREMEC S.R.L.</t>
  </si>
  <si>
    <t>BEMAR S.R.L.</t>
  </si>
  <si>
    <t>PHILIPS S.P.A.(EX PHILIPS MEDICAL SYSTEMS S.P.A.)</t>
  </si>
  <si>
    <t>POLIGRAFICA F.LLI ARIELLO EDITORI SAS</t>
  </si>
  <si>
    <t>ROCHE S.P.A.</t>
  </si>
  <si>
    <t>POLIFARMA BENESSERE S.R.L.</t>
  </si>
  <si>
    <t>SIDERSAN  S.P.A.</t>
  </si>
  <si>
    <t>ESOFORM S.R.L. INCORPORATA ECOLAB S.R.L.</t>
  </si>
  <si>
    <t>SIEMENS S.P.A.(ORA SIEMENS HEALTHCARE S.R.L.)</t>
  </si>
  <si>
    <t>VASSALLO  ASSUNTA</t>
  </si>
  <si>
    <t>RIMBORSO CTP</t>
  </si>
  <si>
    <t>SEDA S.P.A.</t>
  </si>
  <si>
    <t>GIANGREGORIO ARCHITETTI ASSOCIATI</t>
  </si>
  <si>
    <t>A.MENARINI DIAGNOSTICS S.R.L.</t>
  </si>
  <si>
    <t>MEDI DIAGNOSTICI S.R.L.</t>
  </si>
  <si>
    <t>SALVADORI LUIGI  S.P.A.</t>
  </si>
  <si>
    <t>COMPETIELLO  STEFANIA</t>
  </si>
  <si>
    <t>TORELLI  GIOVANNI</t>
  </si>
  <si>
    <t>RIMBORSO COMPETENZE</t>
  </si>
  <si>
    <t>CAP.ITAL.FIN. SPA</t>
  </si>
  <si>
    <t>3M ITALIA S.R.L.</t>
  </si>
  <si>
    <t>TOSHIBA MEDICAL SYSTEMS S.R.L.</t>
  </si>
  <si>
    <t>IOMMELLI   OTTAVIO</t>
  </si>
  <si>
    <t>DOCENZA ALLA " STAGE</t>
  </si>
  <si>
    <t>MEDEM S.R.L.</t>
  </si>
  <si>
    <t>GENKO ITALIA S.P.A.</t>
  </si>
  <si>
    <t>LECCIA  NICOLA IVAN</t>
  </si>
  <si>
    <t>RUBINO  MARIA</t>
  </si>
  <si>
    <t>MARTIGNETTI  VINCENZO</t>
  </si>
  <si>
    <t>CARL ZEISS S.P.A.</t>
  </si>
  <si>
    <t>STEFANUCCI GIUSEPPE</t>
  </si>
  <si>
    <t>BRACCO IMAGING ITALIA SRL</t>
  </si>
  <si>
    <t>KEDRION SPA</t>
  </si>
  <si>
    <t>IGM S.R.L. NAPOLI</t>
  </si>
  <si>
    <t>COFELY ITALIA S.P.A. ( EX COFATHEC SERVIZI SPA )</t>
  </si>
  <si>
    <t>CARESTREAM HEALTH ITALIA SRL (RAMO KODAK)</t>
  </si>
  <si>
    <t>Ric.Nota di Debito</t>
  </si>
  <si>
    <t>DEL GAIS  STEFANIA</t>
  </si>
  <si>
    <t>Ric.Acconto/Anticipo</t>
  </si>
  <si>
    <t>C.I.D. SOFTWARE STUDIO S.P.A.</t>
  </si>
  <si>
    <t>GLORIA MED PHARMA S.R.L.</t>
  </si>
  <si>
    <t>FARMADATI ITALIA SRL</t>
  </si>
  <si>
    <t>UNIFIN S.P.A.</t>
  </si>
  <si>
    <t>GRIMALDI  VINCENZO</t>
  </si>
  <si>
    <t>TECSUD S.R.L.</t>
  </si>
  <si>
    <t>SANITARIA ORTOPEDIA DI CARDONE PIA.</t>
  </si>
  <si>
    <t>ITALWARE S.R.L.</t>
  </si>
  <si>
    <t>STAMPA SUD S.R.L.</t>
  </si>
  <si>
    <t>IBISQUS S.R.L.</t>
  </si>
  <si>
    <t>BAXTER  S.P.A.</t>
  </si>
  <si>
    <t>RUMMO S.C.ar.l.</t>
  </si>
  <si>
    <t>ORPHAN EUROPE (ITALY) SRL</t>
  </si>
  <si>
    <t>ARTI GRAFICHE 2000  SAS</t>
  </si>
  <si>
    <t>CATALANO  GIANPAOLO</t>
  </si>
  <si>
    <t>DEMA HOSPITAL S.R.L.</t>
  </si>
  <si>
    <t>MICROMED S.P.A.</t>
  </si>
  <si>
    <t>EUROFARM  S.P.A.</t>
  </si>
  <si>
    <t>SVAS BIOSANA S.P.A.</t>
  </si>
  <si>
    <t>TECHNOGENETICS SRL</t>
  </si>
  <si>
    <t>UNICREDIT BANCA SPA</t>
  </si>
  <si>
    <t>II MUTUO 97^ RATA</t>
  </si>
  <si>
    <t>II MUTUO 98^ RATA</t>
  </si>
  <si>
    <t>109^ RATA I MUTUO</t>
  </si>
  <si>
    <t>110^ RATA I MUTUO</t>
  </si>
  <si>
    <t>COMM.OPER.CARTE</t>
  </si>
  <si>
    <t>CANONE POS 01-2016</t>
  </si>
  <si>
    <t>COMM.OPER.UNICREDIT</t>
  </si>
  <si>
    <t>COMM.OPE.MAESTRO</t>
  </si>
  <si>
    <t>COMM.OPER.MAESTRO</t>
  </si>
  <si>
    <t>COMM.POS 12-2015</t>
  </si>
  <si>
    <t>COMM.OPER.VISA</t>
  </si>
  <si>
    <t>IMPOSTA BOLLO</t>
  </si>
  <si>
    <t>COMPETENZA FIL.30380</t>
  </si>
  <si>
    <t>COMMISSIONI CARICO</t>
  </si>
  <si>
    <t>CANONE POS 12/2015</t>
  </si>
  <si>
    <t>COMMISSIONI RAV</t>
  </si>
  <si>
    <t>99^ RATA II MUTUO</t>
  </si>
  <si>
    <t>COMP.FIL 30380</t>
  </si>
  <si>
    <t>111^ RATA I MUTUO</t>
  </si>
  <si>
    <t>CANONE POS 02-2016</t>
  </si>
  <si>
    <t>COMM.CARICO ENTE</t>
  </si>
  <si>
    <t>COMM.NIOPER.</t>
  </si>
  <si>
    <t>COMM.NI OPER .</t>
  </si>
  <si>
    <t>COMM.NI OPER.MAESTRO</t>
  </si>
  <si>
    <t>COMM.NI OPER.CARTE</t>
  </si>
  <si>
    <t>CANONE POS DEL</t>
  </si>
  <si>
    <t>100^ RATA II MUTUO</t>
  </si>
  <si>
    <t>112^ RATA I MUTUO</t>
  </si>
  <si>
    <t>101^ RATA II MUTUO</t>
  </si>
  <si>
    <t>COMM.NI POS 4-2016</t>
  </si>
  <si>
    <t>C OMM.NI OPER.</t>
  </si>
  <si>
    <t>COMM.NI OPER.</t>
  </si>
  <si>
    <t>CANONE POS</t>
  </si>
  <si>
    <t>113^RATA I MUTUO</t>
  </si>
  <si>
    <t>114^RATA I MUTUO</t>
  </si>
  <si>
    <t>102^RATA II MUTUO</t>
  </si>
  <si>
    <t>COMM.OPER.CARTEPAGO</t>
  </si>
  <si>
    <t>CANONE POS  5-2016</t>
  </si>
  <si>
    <t>103^ RATA II MUTUO</t>
  </si>
  <si>
    <t>COMMISSIONI A CARICO</t>
  </si>
  <si>
    <t>115^ RATA I MUTUO</t>
  </si>
  <si>
    <t>COMPETENZE FIL.30380</t>
  </si>
  <si>
    <t>GIRO DA 30380/102123</t>
  </si>
  <si>
    <t>PPT 2015-060607 ORD</t>
  </si>
  <si>
    <t>PPT 2015-062610 ORD</t>
  </si>
  <si>
    <t>PPT 2015-062612 ORD</t>
  </si>
  <si>
    <t>CANONE POS 06-2016</t>
  </si>
  <si>
    <t>104^ RATA II MUTUO</t>
  </si>
  <si>
    <t>105^ RATA I MUTUO</t>
  </si>
  <si>
    <t>COMM.NI OPER.UNICRED</t>
  </si>
  <si>
    <t>COMM.NI OPER.MASTER</t>
  </si>
  <si>
    <t>CANONE POS MESE 7</t>
  </si>
  <si>
    <t>116^RATA I MUTUO</t>
  </si>
  <si>
    <t>117^ RATA I MUTUO</t>
  </si>
  <si>
    <t>COMM.NI OPER.PAGOBAN</t>
  </si>
  <si>
    <t>CANONE POS MESE 08</t>
  </si>
  <si>
    <t>COMM.NI POS</t>
  </si>
  <si>
    <t>COMM.NI CARICO ENTE</t>
  </si>
  <si>
    <t>IMPOSTA BOLLO C/C</t>
  </si>
  <si>
    <t>106^RATA II MUTUO</t>
  </si>
  <si>
    <t>CANONE POS MESE 09</t>
  </si>
  <si>
    <t>COMM.NI OPER. VISA</t>
  </si>
  <si>
    <t>COMM.NI OPER. CARTE</t>
  </si>
  <si>
    <t>118^ RATA I MUTUO</t>
  </si>
  <si>
    <t>107^ RATA II MUTUO</t>
  </si>
  <si>
    <t>COMM.MI OPER.MAESTRO</t>
  </si>
  <si>
    <t>COMM.NI OPER. MASTER</t>
  </si>
  <si>
    <t>CANONE POS 10-2016</t>
  </si>
  <si>
    <t>119^ RATA I MUTUO</t>
  </si>
  <si>
    <t>108^ RATA II MUTUO</t>
  </si>
  <si>
    <t>COMM.NI CARTE</t>
  </si>
  <si>
    <t>CANONE POS - MESE 11</t>
  </si>
  <si>
    <t>120^ RATA I MUTUO</t>
  </si>
  <si>
    <t>AC.TA.. SRL</t>
  </si>
  <si>
    <t>HOLOGIC ITALIA S.R.L. (EX CYTYC ITALIA S.R.L.)</t>
  </si>
  <si>
    <t>AIESI HOSPITAL SERVICE S.A.S.</t>
  </si>
  <si>
    <t>MALAFRONTE  LUIGI</t>
  </si>
  <si>
    <t>FORMIGLI  DARIO</t>
  </si>
  <si>
    <t>DE GIULIO   FRANCESCO</t>
  </si>
  <si>
    <t>CENTRO POLIDIAGNOSTICO GAMMACORD- SANNIO TAC</t>
  </si>
  <si>
    <t>PELELLA  SERGIO SALVATORE</t>
  </si>
  <si>
    <t>BIM ITALIA S.R.L.</t>
  </si>
  <si>
    <t>AELLE SURGERY S.R.L.</t>
  </si>
  <si>
    <t>SIRI S.P.A.</t>
  </si>
  <si>
    <t>F.LLI AQUINO S.R.L.</t>
  </si>
  <si>
    <t>INSIEL MERCATO SPA (EX INSIMARK S.R.L.INCORPORATA)</t>
  </si>
  <si>
    <t>G.I.F.A. DI FIORE SABATINO &amp; C. s.a.s</t>
  </si>
  <si>
    <t>SACCO - OTTICA OFTALMOLOGIA S.A.S.</t>
  </si>
  <si>
    <t>MAIO  ALDO - ELETTRAUTO</t>
  </si>
  <si>
    <t>ORREI  RICCARDO</t>
  </si>
  <si>
    <t>BIEFFE5 S.P.A.</t>
  </si>
  <si>
    <t>CID S.P.A.</t>
  </si>
  <si>
    <t>SMITH AND NEPHEW S.R.L.</t>
  </si>
  <si>
    <t>LEMAITRE VASCULAR S.R.L.</t>
  </si>
  <si>
    <t>TELEPASS S.P.A.</t>
  </si>
  <si>
    <t>MAZZEO ALBERTO</t>
  </si>
  <si>
    <t>NUOVA FARMEC S.R.L.</t>
  </si>
  <si>
    <t>ASREM - ZONA DI CAMPOBASSO</t>
  </si>
  <si>
    <t>BFT COPYPRINT DI GIOVANNI  TETA</t>
  </si>
  <si>
    <t>ZIMMER S.R.L.</t>
  </si>
  <si>
    <t>CELGENE S.R.L.</t>
  </si>
  <si>
    <t>NACATUR INTERNATIONAL IMPORT EXPORT S.R.L.</t>
  </si>
  <si>
    <t>COMITEC S.R.L.</t>
  </si>
  <si>
    <t>GRAVINA A. &amp; A. S.R.L.</t>
  </si>
  <si>
    <t>IMED S.R.L.</t>
  </si>
  <si>
    <t>INTER FARMACI ITALIA S.R.L.</t>
  </si>
  <si>
    <t>VYGON ITALIA S.R.L. - GRUPPO VYGON</t>
  </si>
  <si>
    <t>GUERRI MARIO SAS</t>
  </si>
  <si>
    <t>PROTEX ITALIA S.P.A.</t>
  </si>
  <si>
    <t>EISAI S.R.L.</t>
  </si>
  <si>
    <t>LABORATORIO FARMACOLOGICO MILANESE</t>
  </si>
  <si>
    <t>MEDTRONIC ITALIA S.P.A.</t>
  </si>
  <si>
    <t>S.A.L.F. S.P.A.  LABORATORIO FARMACOLOGI</t>
  </si>
  <si>
    <t>BARCLAYS BANK PLC</t>
  </si>
  <si>
    <t>FUTURO SPA GRUPPO MEDIOBANCA</t>
  </si>
  <si>
    <t>BIO MERIEUX ITALIA S.P.A.</t>
  </si>
  <si>
    <t>TECH. CON. S.R.L.</t>
  </si>
  <si>
    <t>UNICREDIT S.P.A.</t>
  </si>
  <si>
    <t>ELETTRONICA BIO MEDICALE S.R.L.</t>
  </si>
  <si>
    <t>SISTEMI IPERBARICI S.R.L. - GRUPPO SAPIO</t>
  </si>
  <si>
    <t>LABOINDUSTRIA  S.P.A.</t>
  </si>
  <si>
    <t>BOVINO  SONIA</t>
  </si>
  <si>
    <t>DRAEGER MEDICAL  ITALIA S.P.A.</t>
  </si>
  <si>
    <t>ESAOTE S.P.A.</t>
  </si>
  <si>
    <t>M.END.EL. S.R.L.</t>
  </si>
  <si>
    <t>UNICREDIT S.PA. EX FAMILY CREDIT NETWORK S.P.A.</t>
  </si>
  <si>
    <t>RIMBORSO CESSIONI V</t>
  </si>
  <si>
    <t>MAGLIO  MARIA ANTONIETTA</t>
  </si>
  <si>
    <t>SERVIZIO SEGRETERIA</t>
  </si>
  <si>
    <t>OLYMPUS ITALIA S.R.L.</t>
  </si>
  <si>
    <t>RILLO  MICHELE</t>
  </si>
  <si>
    <t>LINET ITALIA S.R.L.</t>
  </si>
  <si>
    <t>NEO -SURGICAL S.R.L.DEL DOTT. BIAGIO MEROLA &amp; C.</t>
  </si>
  <si>
    <t>MORIELLO  CARMEN</t>
  </si>
  <si>
    <t>FELIAN S.P.A.</t>
  </si>
  <si>
    <t>ASE S.P.A.</t>
  </si>
  <si>
    <t>DEUTSCHE BANK S.P.A.</t>
  </si>
  <si>
    <t>FUMI  MAURIZIO</t>
  </si>
  <si>
    <t>CIDICHEM S.R.L.</t>
  </si>
  <si>
    <t>COLOPLAST S.P.A.</t>
  </si>
  <si>
    <t>MEDI.COM.S.R.L.</t>
  </si>
  <si>
    <t>LIBERTI  DARIO</t>
  </si>
  <si>
    <t>POPA  CRISTINA MARIA</t>
  </si>
  <si>
    <t>ALFAMED S.R.L.</t>
  </si>
  <si>
    <t>UNIV.CATTOLICA DEL SACRO CUORE-POLICLI."A.GEMELLI"</t>
  </si>
  <si>
    <t>IN.FORMA.TI. KA. S.R.L.</t>
  </si>
  <si>
    <t>SEPE  ALESSIO</t>
  </si>
  <si>
    <t>COGNETTI  CARMELINA</t>
  </si>
  <si>
    <t>IBL BANCA S.P.A.</t>
  </si>
  <si>
    <t>MOSCATO  BEATRICE</t>
  </si>
  <si>
    <t>DE NIGRO GAETANO FERRAMENTA</t>
  </si>
  <si>
    <t>EUROCLONE S.P.A.</t>
  </si>
  <si>
    <t>CONVERGE S.P.A.</t>
  </si>
  <si>
    <t>STUDIO LEGALE ASSOCIATO FABIO LANNI</t>
  </si>
  <si>
    <t>PERKIN ELMER ITALIA S.P.A.</t>
  </si>
  <si>
    <t>GEMEAZ ELIOR S.P.A. ( EX GEMEAZ CUSIN S.P.A )</t>
  </si>
  <si>
    <t>FUTURA HOSPITAL SAS DI CARANDENTE  CIRO</t>
  </si>
  <si>
    <t>BNL FINANCE S.P.A.</t>
  </si>
  <si>
    <t>ASSOCIATION ROBERT DEBRE POUR LA RECHERCHE</t>
  </si>
  <si>
    <t>FR</t>
  </si>
  <si>
    <t>Fattura Ricevuta CEE</t>
  </si>
  <si>
    <t>CAPOBIANCO  STEFANO</t>
  </si>
  <si>
    <t>X - GAMMAGUARD DI LAURA PINI</t>
  </si>
  <si>
    <t>DE NICOLA NAZZARENO</t>
  </si>
  <si>
    <t>MONICO  S.P.A.</t>
  </si>
  <si>
    <t>PIRO  ALESSANDRA</t>
  </si>
  <si>
    <t>ENEL ENERGIA SPA</t>
  </si>
  <si>
    <t>FERINIS ITALIA SRL</t>
  </si>
  <si>
    <t>RUSSO  ANTONIO</t>
  </si>
  <si>
    <t>ERBE ITALIA S.R.L.</t>
  </si>
  <si>
    <t>TRAVAGLINO  ANGELA</t>
  </si>
  <si>
    <t>TELECOM ITALIA DIGITAL SOLUTIONS SPA (EXPATH.NET)</t>
  </si>
  <si>
    <t>I.N.A. ASSITALIA AGENZIA DI BN</t>
  </si>
  <si>
    <t>SELC MEDICAL TECHNOLOGY SRL</t>
  </si>
  <si>
    <t>OTSUKA PHARMACEUTICAL ITALY S.R.L.</t>
  </si>
  <si>
    <t>GREEN NETWORK LUCE &amp; GAS S.R.L.UNIPER.(EX MODULA)</t>
  </si>
  <si>
    <t>Nota accr.Ricevuta</t>
  </si>
  <si>
    <t>VIIV HEALTHCARE S.R.L.</t>
  </si>
  <si>
    <t>BANCA POPOLARE DI LANCIANO E SULMONA S.P.A.</t>
  </si>
  <si>
    <t>C2 S.R.L.</t>
  </si>
  <si>
    <t>MPM BOOKSHOP DI MATTIOLI MARIO PATRIZIO</t>
  </si>
  <si>
    <t>MERIDIAN  BIOSCIENCE EUROPE S.R.L.</t>
  </si>
  <si>
    <t>AGENZIA ENTRATE - DIREZ.PROVIN. DI BENEVENTO</t>
  </si>
  <si>
    <t>IMPOSTA DI REGISTRO</t>
  </si>
  <si>
    <t>SPESE REGISTRAZIONE</t>
  </si>
  <si>
    <t>REGISTRAZIONE</t>
  </si>
  <si>
    <t>ORDINANZA DI</t>
  </si>
  <si>
    <t>2^ RATA BOLLO</t>
  </si>
  <si>
    <t>RAVVEDIMENTO</t>
  </si>
  <si>
    <t>RAVVEDIMENTO OPEROSO</t>
  </si>
  <si>
    <t>BOLLO VIRTUALE</t>
  </si>
  <si>
    <t>CONTRIBUTO UNIFICATO</t>
  </si>
  <si>
    <t>ACERTAMENTO IVA</t>
  </si>
  <si>
    <t>SANZIONE 770/2016</t>
  </si>
  <si>
    <t>LOGIC S.R.L.</t>
  </si>
  <si>
    <t>DELTA BIOLOGICALS S.R.L.</t>
  </si>
  <si>
    <t>ALBERICO  MARIELISA</t>
  </si>
  <si>
    <t>LANDINO  GIROLAMO</t>
  </si>
  <si>
    <t>D'AURIA DANILO AGENTE GENERALE UNIPOL ASSICURAZ.</t>
  </si>
  <si>
    <t>USB Pubblico Impiego</t>
  </si>
  <si>
    <t>VILLARI  GIUSEPPE</t>
  </si>
  <si>
    <t>RIMBORSO SPESE PROC.</t>
  </si>
  <si>
    <t>AZIENDA OSPEDALIERA DI PERUGIA</t>
  </si>
  <si>
    <t>DEBITI V/AZIENDE SANIT. PUBBLICHE FUORI REGIONE</t>
  </si>
  <si>
    <t>43201231 - DEBITI V/A.S.L. E A.O. FUORI REGIONE</t>
  </si>
  <si>
    <t>QUAGLIA  FILOMENA</t>
  </si>
  <si>
    <t>COSMOPOL S.R.L.</t>
  </si>
  <si>
    <t>B@NCA 24-7 S.P.A.</t>
  </si>
  <si>
    <t>ALLOGA ( ITALIA) SRL</t>
  </si>
  <si>
    <t>GADA ITALIA S.R.L. (EX GAMMA INTERNATIONAL)</t>
  </si>
  <si>
    <t>CENTRO ECODEMOLIZIONE AUTO DI FORGIONE</t>
  </si>
  <si>
    <t>ARUBA PEC S.P.A.</t>
  </si>
  <si>
    <t>PICARIELLO  ADOLFO</t>
  </si>
  <si>
    <t>NOVA INFORMATION TECHNOLOGY Scrl</t>
  </si>
  <si>
    <t>AIR LIQUIDE MEDICAL SYSTEMS S.PA.</t>
  </si>
  <si>
    <t>FRANCO  DORIS</t>
  </si>
  <si>
    <t>GAMBRO HOSPAL S.R.L.(INCORPORATA IN BAXTER)</t>
  </si>
  <si>
    <t>COMECER S.P.A.</t>
  </si>
  <si>
    <t>Fattura</t>
  </si>
  <si>
    <t>HENRY SCHEIN KRUGG S.PA.</t>
  </si>
  <si>
    <t>EQUITALIA SUD SPA - AGENTE RISCOS. PROV. BENEVENTO</t>
  </si>
  <si>
    <t>ADDEBITO INPS N. 317</t>
  </si>
  <si>
    <t>PANTEC S.R.L.</t>
  </si>
  <si>
    <t>MCS S.R.L.</t>
  </si>
  <si>
    <t>STUDIO LEGALE ASSOC. GIALLONARDI- PAPA &amp; PARTNERS</t>
  </si>
  <si>
    <t>TEMA RICERCA S.R.L.</t>
  </si>
  <si>
    <t>BANCA SISTEMA S.P.A.</t>
  </si>
  <si>
    <t>KCI MEDICAL S.R.L.</t>
  </si>
  <si>
    <t>BENEVENTUM SRL</t>
  </si>
  <si>
    <t>RIMBORSO GUARDIA</t>
  </si>
  <si>
    <t>L'ARTE DEL TRASLOCO S.R.L.</t>
  </si>
  <si>
    <t>BEAVER-VISITEC INTERNATIONAL SALES LTD (FILIT)</t>
  </si>
  <si>
    <t>AZIENDA SANITARIA LOCALE BT</t>
  </si>
  <si>
    <t>COMPENSO COMM.NE</t>
  </si>
  <si>
    <t>STEFANINI  FRANCESCO</t>
  </si>
  <si>
    <t>DEL GIUDICE  GINEVRA</t>
  </si>
  <si>
    <t>R.G.E. s.a.s. DI A. SETTEMBRE &amp; C.</t>
  </si>
  <si>
    <t>PERROTTA  RAFFAELE</t>
  </si>
  <si>
    <t>PROCACCINI  VINCENZA</t>
  </si>
  <si>
    <t>ID SOLUTIONS SRL</t>
  </si>
  <si>
    <t>F.A.D. S.R.L.</t>
  </si>
  <si>
    <t>MEDINAT S.R.L.</t>
  </si>
  <si>
    <t>FERMED S.R.L.</t>
  </si>
  <si>
    <t>CARFORA  ANGELO</t>
  </si>
  <si>
    <t>SERVIZIO DI</t>
  </si>
  <si>
    <t>SERVIZIO ASSISTENZA</t>
  </si>
  <si>
    <t>SERFIZIO DI</t>
  </si>
  <si>
    <t>AUGUSTO MOBILI S.R.L.</t>
  </si>
  <si>
    <t>ARUBA S.P.A.</t>
  </si>
  <si>
    <t>STUDIO LEGALE DI SALVO - MASCIA</t>
  </si>
  <si>
    <t>EUROCOLUMBUS S.R.L.</t>
  </si>
  <si>
    <t>LA TELEFONICA S.R.L.</t>
  </si>
  <si>
    <t>VIVAI BARRETTA S.R.L.</t>
  </si>
  <si>
    <t>IMPRESA FUCCI EDIL RESTAURI S.R.L.</t>
  </si>
  <si>
    <t>PLASTI FOR MOBIL</t>
  </si>
  <si>
    <t>CARTOLIBRERIA SMILE di ZOTTI ERASMO</t>
  </si>
  <si>
    <t>B.R.S.CAPPUCCIO S.R.L.</t>
  </si>
  <si>
    <t>ALEX OFFICE &amp; BUSINESS DI CARMINE AVERSANO</t>
  </si>
  <si>
    <t>DS&amp;A PNEUMATICI S.A.S.</t>
  </si>
  <si>
    <t>TECNOPOST S.P.A.</t>
  </si>
  <si>
    <t>AGFA GEVAERT S.P.A.</t>
  </si>
  <si>
    <t>SHARP ELECTRONICS ITALIA S.P.A.</t>
  </si>
  <si>
    <t>S.G. INFISSI S.R.L. ( EX SCOLARO INFISSI S.R.L. )</t>
  </si>
  <si>
    <t>RICCIARDI &amp; C. SRL UNIPERSONALE</t>
  </si>
  <si>
    <t>TONER ITALIA S.R.L.</t>
  </si>
  <si>
    <t>BIOMED DEVICE S.R.L.</t>
  </si>
  <si>
    <t>MEDICAL SYSTEMS S.P.A.</t>
  </si>
  <si>
    <t>ENGINEERING INGEGNERIA INFORMATICA S.P.A.</t>
  </si>
  <si>
    <t>INES S.R.L.</t>
  </si>
  <si>
    <t>MOSCARINO S.A.S.</t>
  </si>
  <si>
    <t>BIOTECNICA S.R.L.</t>
  </si>
  <si>
    <t>SO.E.M. MEDICAL S.R.L.</t>
  </si>
  <si>
    <t>G.&amp;G. SRL</t>
  </si>
  <si>
    <t>LINDE MEDICALE S.R.L.</t>
  </si>
  <si>
    <t>TECNOSP S.R.L.</t>
  </si>
  <si>
    <t>VITALIA S.R.L.</t>
  </si>
  <si>
    <t>EXPERTMED S.R.L.</t>
  </si>
  <si>
    <t>NOVAMED S.R.L.</t>
  </si>
  <si>
    <t>MEDISER S.R.L.</t>
  </si>
  <si>
    <t>NUTRICIA  ITALIA S.P.A.</t>
  </si>
  <si>
    <t>NOEMALIFE S.P.A.(EX ITALNOEMA)</t>
  </si>
  <si>
    <t>MEDINOVA STRUMENTI ELETTROMED. S.R.L.</t>
  </si>
  <si>
    <t>AUTOSTRADE PER L' ITALIA S.P.A.</t>
  </si>
  <si>
    <t>C.A.M. HOSPITAL SRL</t>
  </si>
  <si>
    <t>CODISAN S.P.A.</t>
  </si>
  <si>
    <t>DASIT S.P.A.</t>
  </si>
  <si>
    <t>ASS. PROF. STUDIO LEGALE UMBERTO DEL BASSO DE CARO</t>
  </si>
  <si>
    <t>NEXTIRAONE ITALIA S.R.L.</t>
  </si>
  <si>
    <t>GE.SE.SA.S.P.A.</t>
  </si>
  <si>
    <t>GILEAD SCIENCES SRL</t>
  </si>
  <si>
    <t>HOLLISTER S.P.A</t>
  </si>
  <si>
    <t>DATI ASCENSORI S.r.l.</t>
  </si>
  <si>
    <t>EPC SRL</t>
  </si>
  <si>
    <t>VENTRE  ITALA</t>
  </si>
  <si>
    <t>INTEGRAZIONE</t>
  </si>
  <si>
    <t>ASSICURAZIONI GENERALI S.P.A.</t>
  </si>
  <si>
    <t>A.G.A. BIOMEDICA S.R.L.</t>
  </si>
  <si>
    <t>3 M.C. S.P.A.</t>
  </si>
  <si>
    <t>PS</t>
  </si>
  <si>
    <t>PAGAMENTO SOSPESO</t>
  </si>
  <si>
    <t>ENI S.P.A. DIVISIONE GAS ( NAPOLETANAGAS)</t>
  </si>
  <si>
    <t>SCOGNAMIGLIO S.R.L.</t>
  </si>
  <si>
    <t>FRESENIUS MEDICAL CARE ITALIA   S.P.A.</t>
  </si>
  <si>
    <t>FATER S.P.A.</t>
  </si>
  <si>
    <t>AZ HOSPITAL S.R.L.</t>
  </si>
  <si>
    <t>B.BRAUN AVITUM ITALY S.P.A.</t>
  </si>
  <si>
    <t>RIMAFLEX DI MATURO GIOVANNI</t>
  </si>
  <si>
    <t>BIO OPTICA S.P.A.             STRUMENTI</t>
  </si>
  <si>
    <t>INNOVAMEDICA SPA</t>
  </si>
  <si>
    <t>LAVECO S.R.L.</t>
  </si>
  <si>
    <t>TELECOM ITALIA S.P.A.</t>
  </si>
  <si>
    <t>B.C.TRADE  S.R.L.</t>
  </si>
  <si>
    <t>SANOFI S.P.A.</t>
  </si>
  <si>
    <t>A.S.L. BN</t>
  </si>
  <si>
    <t>NUCLEAR LASER MEDICINE S.R.L.</t>
  </si>
  <si>
    <t>JANSSEN-CILAG S.P.A.</t>
  </si>
  <si>
    <t>LP ITALIANA S.P.A.</t>
  </si>
  <si>
    <t>CENTRO FORNITURE SANITARIE SRL</t>
  </si>
  <si>
    <t>SERVIER ITALIA S.P.A.</t>
  </si>
  <si>
    <t>TIM - TELECOM ITALIA S.P.A.</t>
  </si>
  <si>
    <t>NOVARTIS FARMA S.P.A.</t>
  </si>
  <si>
    <t>THERABEL GIENNE PHARMA S.P.A.</t>
  </si>
  <si>
    <t>LA.RA. MEDICA</t>
  </si>
  <si>
    <t>KALTEK S.R.L.</t>
  </si>
  <si>
    <t>GINEVRI S.R.L.</t>
  </si>
  <si>
    <t>AUTOSALONE E AUTOFFICINA CARPENTIERI</t>
  </si>
  <si>
    <t>HAEMONETICS ITALIA S.R.L.</t>
  </si>
  <si>
    <t>NOVIELLO INTERMED S.R.L.</t>
  </si>
  <si>
    <t>EB NEURO S.P.A.</t>
  </si>
  <si>
    <t>BENEFIS S.R.L.</t>
  </si>
  <si>
    <t>CAREFUSION ITALY 237 S.R.L.UNIPERSONALE</t>
  </si>
  <si>
    <t>TEGEA S.R.L.</t>
  </si>
  <si>
    <t>ESTOR S.P.A.</t>
  </si>
  <si>
    <t>COVIDIEN (INCORPORATA DA MEDTRONIC ITALIA S.P.A.)</t>
  </si>
  <si>
    <t>HITACHI MEDICAL SYSTEMS S.P.A.(EX ALOKA S.P.A.)</t>
  </si>
  <si>
    <t>EUROHOSPITEK S.R.L.</t>
  </si>
  <si>
    <t>AZIENDA OSPEDALIERA "S.G. MOSCATI" (AV)</t>
  </si>
  <si>
    <t>DEBITI V/A.O DELLA REGIONE</t>
  </si>
  <si>
    <t>43201211 - DEBITI V/A.O. REGIONE</t>
  </si>
  <si>
    <t>AS.T.C.C.&amp; C. S.N.C.  COSIMO CIOTTA</t>
  </si>
  <si>
    <t>MEDIVAL - MEDICA VALEGGIA S.P.A.-</t>
  </si>
  <si>
    <t>AB MEDICA S.P.A.</t>
  </si>
  <si>
    <t>AZIENDA SANIT LOC NA 1 CENTRO</t>
  </si>
  <si>
    <t>GESAN S.R.L.</t>
  </si>
  <si>
    <t>B.BRAUN MILANO S.P.A.</t>
  </si>
  <si>
    <t>ISTITUTO FARMACO BIOLOGICO STRODER S.R.L.</t>
  </si>
  <si>
    <t>CERACARTA S.P.A.</t>
  </si>
  <si>
    <t>FLORMED COMMERCIALE S.R.L.</t>
  </si>
  <si>
    <t>ELEKTA S.P.A.</t>
  </si>
  <si>
    <t>TELEFLEX MEDICAL S.R.L.  (EX RUSCH S.R.L.)</t>
  </si>
  <si>
    <t>DIASORIN S.P.A.</t>
  </si>
  <si>
    <t>STRYKER ITALIA S.R.L.</t>
  </si>
  <si>
    <t>ROCHE DIAGNOSTICS S.P.A.</t>
  </si>
  <si>
    <t>GRIFOLS ITALIA S.P.A.</t>
  </si>
  <si>
    <t>BETA DIAGNOSTICI S.A.S.</t>
  </si>
  <si>
    <t>T.M. MEDICAL DI M. D. CAPUTO</t>
  </si>
  <si>
    <t>AZIENDA OSPEDALIERA "A.CARDARELLI"</t>
  </si>
  <si>
    <t>COOK ITALIA S.R.L.</t>
  </si>
  <si>
    <t>AHSI S.P.A.</t>
  </si>
  <si>
    <t>MAGGIOLI S.P.A.</t>
  </si>
  <si>
    <t>CSL BEHRING S.P.A. EX ZLB BEHRING SPA</t>
  </si>
  <si>
    <t>TEVA ITALIA S.R.L.</t>
  </si>
  <si>
    <t>IFINVEST S.P.A.</t>
  </si>
  <si>
    <t>VACCHIANO  GIUSEPPE</t>
  </si>
  <si>
    <t>PRESTITALIA S.P.A.</t>
  </si>
  <si>
    <t>BOSTON SCIENTIFIC S.P.A.</t>
  </si>
  <si>
    <t>BRUNO FARMACEUTICI S.P.A.</t>
  </si>
  <si>
    <t>EPPENDORF S.R.L.</t>
  </si>
  <si>
    <t>SIT LABORATORIO FARMACEUTICO SRL</t>
  </si>
  <si>
    <t>MEDICAL SERVICE S.R.L.FORNITURE OSPEDALIERE</t>
  </si>
  <si>
    <t>MERCK  S.P.A.</t>
  </si>
  <si>
    <t>GUERBET S. p. A.</t>
  </si>
  <si>
    <t>ASTELLAS PHARMA S.P.A. (EX YAMANOUCHI)</t>
  </si>
  <si>
    <t>BIOFUTURA PHARMA SPA</t>
  </si>
  <si>
    <t>MOLNLYCKE HEALTH CARE SRL</t>
  </si>
  <si>
    <t>NIPRO EUROPE N.V. MILAN BRANCH</t>
  </si>
  <si>
    <t>TEOFARMA S.R.L.</t>
  </si>
  <si>
    <t>FIAB S.P.A.</t>
  </si>
  <si>
    <t>I.N.A.-ASSITALIA -FALCUCCI ASS. DI DUILIO FALCUCCI</t>
  </si>
  <si>
    <t>CAO SRL</t>
  </si>
  <si>
    <t>GE MEDICAL SYSTEMS ITALIA S.P.A.</t>
  </si>
  <si>
    <t>CHIRURMEDICA SRL</t>
  </si>
  <si>
    <t>TECHNOLOGIC S.R.L.</t>
  </si>
  <si>
    <t>VODAFONE ITALIA S.P.A.</t>
  </si>
  <si>
    <t>GAMBAROTA  MICHELE</t>
  </si>
  <si>
    <t>COMPETENZE</t>
  </si>
  <si>
    <t>PIGNORAMENTO</t>
  </si>
  <si>
    <t>ATTO DI PRECETTO SU</t>
  </si>
  <si>
    <t>ITAL TBS  TELEMATIC &amp; BIOMEDICAL SERVICE S.P.A.</t>
  </si>
  <si>
    <t>GUNA S.p.A..</t>
  </si>
  <si>
    <t>SETTEMBRINI  ALDO</t>
  </si>
  <si>
    <t>PROMEDICAL SRL</t>
  </si>
  <si>
    <t>DEXTER S.R.L.</t>
  </si>
  <si>
    <t>VWR INTERNATIONAL PBI S.R.L.</t>
  </si>
  <si>
    <t>DIAPATH S.P.A.</t>
  </si>
  <si>
    <t>ACTELION PHARMACEUTICALS ITALIA S.R.L.</t>
  </si>
  <si>
    <t>CONAFI  PRESTITO' S.p.A.</t>
  </si>
  <si>
    <t>BETATEX S.P.A.</t>
  </si>
  <si>
    <t>SEROM MEDICAL TECHNOLOGY S.R.L.</t>
  </si>
  <si>
    <t>M.TEK. S.N.C.  DI GUARRO CIRO &amp; C.</t>
  </si>
  <si>
    <t>PACIFICO S.R.L. -  LAVANDERIA INDUSTRIALE</t>
  </si>
  <si>
    <t>ID&amp;CO S.R.L.</t>
  </si>
  <si>
    <t>SPS S.R.L.</t>
  </si>
  <si>
    <t>COMPUTER &amp; DI G.SALIERNO  &amp;  F. FORMATO S.N.C.</t>
  </si>
  <si>
    <t>ASSIDEA &amp; DELTA S.R.L..</t>
  </si>
  <si>
    <t>APPENDICE POLIZZA</t>
  </si>
  <si>
    <t>POLIZZA RAMO RCA</t>
  </si>
  <si>
    <t>APPENDICE REGOLAZION</t>
  </si>
  <si>
    <t>POLIZZA RCT/O N.ITOM</t>
  </si>
  <si>
    <t>A.S.P. DI VASTARELLI GAETANO</t>
  </si>
  <si>
    <t>SYNTHES S.r.L. (ORA JOHNSON &amp; JOHNSON MEDICAL SPA)</t>
  </si>
  <si>
    <t>BIORES SRL</t>
  </si>
  <si>
    <t>ELLEGI MEDICAL OPTICS S.R.L.</t>
  </si>
  <si>
    <t>AZIENDA SANITARIA LOCALE CE</t>
  </si>
  <si>
    <t>A.T.M. SERVICE S.R.L.</t>
  </si>
  <si>
    <t>CARIFIN ITALIA</t>
  </si>
  <si>
    <t>KW APPARECCHI SCIENTIFICI S.R.L.</t>
  </si>
  <si>
    <t>BIOPSYBELL SRL</t>
  </si>
  <si>
    <t>GEPINFORMATICA S.R.L.</t>
  </si>
  <si>
    <t>OLIVETTI S.P.A.</t>
  </si>
  <si>
    <t>DE LUCIA  DANILA</t>
  </si>
  <si>
    <t>ALIFAX S.R.L.</t>
  </si>
  <si>
    <t>D.I.D. SPA</t>
  </si>
  <si>
    <t>BARD S.R.L.</t>
  </si>
  <si>
    <t>BIOLIFE ITALIANA SRL</t>
  </si>
  <si>
    <t>MICROTECH S.R.L.</t>
  </si>
  <si>
    <t>MAQUET ITALIA S.P.A.</t>
  </si>
  <si>
    <t>CHINESPORT S.P.A.</t>
  </si>
  <si>
    <t>BANCA FARMAFACTORING S.P.A.</t>
  </si>
  <si>
    <t>MELLIN S.P.A.</t>
  </si>
  <si>
    <t>HOSPIRA ITALIA SRL</t>
  </si>
  <si>
    <t>HEXACATH ITALIA S.R.L.</t>
  </si>
  <si>
    <t>DYNAMICA RETAIL S.P.A.</t>
  </si>
  <si>
    <t>APULIA PRONTOPRESTITO S.P.A.</t>
  </si>
  <si>
    <t>BANCA DI SASSARI S.P.A.</t>
  </si>
  <si>
    <t>RIGA DOMENICO S.A.S.</t>
  </si>
  <si>
    <t>ITALCREDI SPA</t>
  </si>
  <si>
    <t>QUINTILES S.R.L.</t>
  </si>
  <si>
    <t>RIMBORSO</t>
  </si>
  <si>
    <t>RIMBORSO SOMMA NON</t>
  </si>
  <si>
    <t>BEMAR ITALIA S.R.L.</t>
  </si>
  <si>
    <t>FITOCHINA ITALIA SRL</t>
  </si>
  <si>
    <t>ABBATE  GIOVANNA</t>
  </si>
  <si>
    <t>RSTITUZIONE IMPORTO</t>
  </si>
  <si>
    <t>CARROZZERIA MINICOZZI S.R.L.</t>
  </si>
  <si>
    <t>AZIENDA SANITARIA LOCALE SA</t>
  </si>
  <si>
    <t>COMPENSO PER DOTT.</t>
  </si>
  <si>
    <t>PITAGORA S.PA.</t>
  </si>
  <si>
    <t>ABBVIE S.R.L.</t>
  </si>
  <si>
    <t>CODIFI SRL</t>
  </si>
  <si>
    <t>DE PAOLA  VINCENZO</t>
  </si>
  <si>
    <t>SITRADE ITALIA S.P.A.</t>
  </si>
  <si>
    <t>MUSICA  ANNA</t>
  </si>
  <si>
    <t>KYOCERA DOCUMENT SOLUTIONS ITALIA S.P.A.</t>
  </si>
  <si>
    <t>MOLLO  CONCETTA</t>
  </si>
  <si>
    <t>ZURIGO  ANTONELLA</t>
  </si>
  <si>
    <t>DI MARO MADDALENA</t>
  </si>
  <si>
    <t>C &amp; T GLOBAL SERVICE SRL</t>
  </si>
  <si>
    <t>H.S. HOSPITAL SERVICE SPA</t>
  </si>
  <si>
    <t>SGUERA  NICOLA</t>
  </si>
  <si>
    <t>DE TATA GERARDO</t>
  </si>
  <si>
    <t>MARZULLO  ERMENEGILDA</t>
  </si>
  <si>
    <t>DELLA VITTORIA SCARPATI  VINCENZO</t>
  </si>
  <si>
    <t>MERCEDES-BENZ FINANCIAL SERVICES ITALIA S.P.A.</t>
  </si>
  <si>
    <t>MADDALONI  GIUSEPPE</t>
  </si>
  <si>
    <t>OREFICE  MADDALENA</t>
  </si>
  <si>
    <t>SALE  SILVIA</t>
  </si>
  <si>
    <t>PANCIONE  YLENIA</t>
  </si>
  <si>
    <t>FS MEDICAL DI FABIO STAMMELLUTI</t>
  </si>
  <si>
    <t>ICIS S.R.L. - SOCIETA' DI INGEGNERIA</t>
  </si>
  <si>
    <t>SPESE LEGALI LIQUIDA</t>
  </si>
  <si>
    <t>RIMBORSO TASSA DI</t>
  </si>
  <si>
    <t>PENGUE ANNAMARIA</t>
  </si>
  <si>
    <t>ACCEDO S.P.A.</t>
  </si>
  <si>
    <t>GIUDICE  GIORGIO</t>
  </si>
  <si>
    <t>UNIV. " FEDERICO II" - DIP. DI SANITA' PUBBLICA</t>
  </si>
  <si>
    <t>FELEPPA  ROSITA</t>
  </si>
  <si>
    <t>LA PITAGORA DI MACRELLI DR. GIAN CARLO</t>
  </si>
  <si>
    <t>VIESPOLI  LUCIA</t>
  </si>
  <si>
    <t>TIRINO  GIUSEPPINA</t>
  </si>
  <si>
    <t>PORCELLI  PAOLA</t>
  </si>
  <si>
    <t>PHARMA MAR S.R.L.</t>
  </si>
  <si>
    <t>ACQUAVIVA  FABIO</t>
  </si>
  <si>
    <t>IL SOLE 24 ORE S.P.A.</t>
  </si>
  <si>
    <t>NEWGO MEDICAL SRL</t>
  </si>
  <si>
    <t>INTERMUNE SRL ORA ROCHE S.P.A.</t>
  </si>
  <si>
    <t>TIMOTEO  GIANLUCA</t>
  </si>
  <si>
    <t>ABATE  PIERA</t>
  </si>
  <si>
    <t>CONS. NAZ. GRUPPI DONATORI SANGUE FRATES- CAMPANIA</t>
  </si>
  <si>
    <t>DONAZIONI SANGUE</t>
  </si>
  <si>
    <t>CARLO ERBA REAGENTS S.R.L.</t>
  </si>
  <si>
    <t>TRUMPF MED ITALIA s.r.l.</t>
  </si>
  <si>
    <t>SIFI MEDTECH S.R.L.</t>
  </si>
  <si>
    <t>GENERALI ITALIA - AG. GEN INA ASSITALIA NAPOLI SUD</t>
  </si>
  <si>
    <t>INTERMED S.R.L. ATTREZ. E STRUMENTI MEDICALI</t>
  </si>
  <si>
    <t>JUSTITALY S.R.L. C.R.</t>
  </si>
  <si>
    <t>RESTITUZIONE IMPORTO</t>
  </si>
  <si>
    <t>MARSELLA  MARIA</t>
  </si>
  <si>
    <t>FERRUCCI  ANTONIETTA</t>
  </si>
  <si>
    <t>IANNELLI  GIUSEPPE</t>
  </si>
  <si>
    <t>INSTRUMENTATION LABORATORY SPA</t>
  </si>
  <si>
    <t>A.D.I. AVVOCATURA DI DIRITTO INFERMIERISTICO</t>
  </si>
  <si>
    <t>NARDONE NELLA</t>
  </si>
  <si>
    <t>FONDO PENSIONE PERSEO</t>
  </si>
  <si>
    <t>STIP. DICEMBRE 2015</t>
  </si>
  <si>
    <t>CODICE P206</t>
  </si>
  <si>
    <t>IANNICELLI  MARCO</t>
  </si>
  <si>
    <t>SO.GE.SER. TECNOLOGY S.R.L.</t>
  </si>
  <si>
    <t>PACILLO  MICHELA</t>
  </si>
  <si>
    <t>SALIERNO  FLORIANA</t>
  </si>
  <si>
    <t>DETER GROUP DI SANDRO ZAMPARELLI</t>
  </si>
  <si>
    <t>APPLIED MEDICAL DISTRIB. EUROPE BV- FIL.ITALIANA</t>
  </si>
  <si>
    <t>R-BIOPHARM ITALIA SRL</t>
  </si>
  <si>
    <t>TESOR.DI ROMA SUCC.LE MIN.AMB.SISTRI DM 17.1.2009</t>
  </si>
  <si>
    <t>CONTRIBUTO SISTRI</t>
  </si>
  <si>
    <t>ITALTRADE S.R.L.</t>
  </si>
  <si>
    <t>CAPONE  ASSUNTA</t>
  </si>
  <si>
    <t>VENDITTO  MARIA</t>
  </si>
  <si>
    <t>CROCCO  PIETRO</t>
  </si>
  <si>
    <t>RADICELLA  DIANA</t>
  </si>
  <si>
    <t>CROCE ROSSA ITALIANA COMIT.PROV.BENEVENTO(PRIVATA)</t>
  </si>
  <si>
    <t>COMPETENZE SPESE</t>
  </si>
  <si>
    <t>STENTYS S.A.</t>
  </si>
  <si>
    <t>Nota Accr.Ric.CEE</t>
  </si>
  <si>
    <t>ORTHO-CLINICAL DIAGNOSTICS ITALY S.R.L.</t>
  </si>
  <si>
    <t>MAZZA  MARIANO</t>
  </si>
  <si>
    <t>FINDOMESTIC BANCA S.P.A.</t>
  </si>
  <si>
    <t>CREDITO EMILIANO S.P.A.</t>
  </si>
  <si>
    <t>FINANZIARIA CONTRADA SPA</t>
  </si>
  <si>
    <t>DEVYSER ITALIA S.R.L.</t>
  </si>
  <si>
    <t>LUCINI SURGICAL CONCEPT SRL</t>
  </si>
  <si>
    <t>ASPEN PHARMA IRELAND LIMITED</t>
  </si>
  <si>
    <t>TECNOWARE DI ANGELO AMBROSONE</t>
  </si>
  <si>
    <t>BMC TEC SRL UNIPERSONALE</t>
  </si>
  <si>
    <t>A.D.A. S.R.L.</t>
  </si>
  <si>
    <t>CESARE MAURI S.A.S.</t>
  </si>
  <si>
    <t>DIPARTIMENTO ASCOTI</t>
  </si>
  <si>
    <t>FKV S.R.L.</t>
  </si>
  <si>
    <t>BGP PRODUCTS S.R.L.</t>
  </si>
  <si>
    <t>PAOLUCCI  FEDERICO</t>
  </si>
  <si>
    <t>BIOTECNICA S.R.L.S.</t>
  </si>
  <si>
    <t>FEDERICO  PIERA</t>
  </si>
  <si>
    <t>RIVOIRA PHARMA S.R.L.</t>
  </si>
  <si>
    <t>HILL ROM</t>
  </si>
  <si>
    <t>AMS S.R.L.</t>
  </si>
  <si>
    <t>BRUNO BARBATO MEDICALI S.R.L.</t>
  </si>
  <si>
    <t>GIOVANNI ALFIERI &amp; C. S.P.A.</t>
  </si>
  <si>
    <t>FER SUD DI PASQUARELLA CLAUDIO</t>
  </si>
  <si>
    <t>STEWART ITALIA S.R.L.</t>
  </si>
  <si>
    <t>NUVASIVE ITALIA S.R.L.</t>
  </si>
  <si>
    <t>VIVENDA S.R.L.</t>
  </si>
  <si>
    <t>PFIZER S.R.L.</t>
  </si>
  <si>
    <t>GUARRA  ENRICO</t>
  </si>
  <si>
    <t>CHIRURMEDICA INDUSTRIALE E COMMERCIALE S.R.L.</t>
  </si>
  <si>
    <t>CLINIGEN HEALTHCARE LTD</t>
  </si>
  <si>
    <t>GB</t>
  </si>
  <si>
    <t>C.D.P. FERRARA S.R.L.</t>
  </si>
  <si>
    <t>ISTITUTO ORTOPEDICO"RIZZOLI"</t>
  </si>
  <si>
    <t>DIRPUBBLICA - FEDERAZIONE DEL PUBBLICO IMPIEGO</t>
  </si>
  <si>
    <t>ANAC - AUTORITA' NAZIONALE ANTICORRUZIONE</t>
  </si>
  <si>
    <t>CONTRIBUTO GARE</t>
  </si>
  <si>
    <t>GARE MAG-AGO.2016</t>
  </si>
  <si>
    <t>DANIELE ANTONIO</t>
  </si>
  <si>
    <t>SEBAMED SRL</t>
  </si>
  <si>
    <t>CAREFUSION ITALY 311 S.R.L. UNIPERSONALE</t>
  </si>
  <si>
    <t>LIFE CELL EMEA LIMITED</t>
  </si>
  <si>
    <t>UNIFORMERIA SRL</t>
  </si>
  <si>
    <t>BIOSIGMA S.R.L.</t>
  </si>
  <si>
    <t>COSAP - Consorzio Stabile Appalti Pubblici</t>
  </si>
  <si>
    <t>TECNOS S.A.S. DI PERINI GIANNI</t>
  </si>
  <si>
    <t>ITALCONSULENZE S.R.L.</t>
  </si>
  <si>
    <t>FINCONTINUO S.P.A.</t>
  </si>
  <si>
    <t>OFTAGEN SURGICAL S.R.L.</t>
  </si>
  <si>
    <t>EBIT S.R.L.</t>
  </si>
  <si>
    <t>PD TONER SRL</t>
  </si>
  <si>
    <t>DI COSTANZO  LUISA</t>
  </si>
  <si>
    <t>STUDIO LEGALE PIZZILLO</t>
  </si>
  <si>
    <t>TIMPONE  LAURA</t>
  </si>
  <si>
    <t>ASST GRANDE OSPEDALE METROPOLITANO NIGUARDA</t>
  </si>
  <si>
    <t>PROV.RELIGIOSA S.PIETRO OSP. S.GIOVANNI DI DIO FBF</t>
  </si>
  <si>
    <t>PALUMMO  PAOLO</t>
  </si>
  <si>
    <t>PETRUCCI  ROSANNA</t>
  </si>
  <si>
    <t>LONGO RITA</t>
  </si>
  <si>
    <t>ANTICIPAZIONE</t>
  </si>
  <si>
    <t>TOTALERG S.P.A.</t>
  </si>
  <si>
    <t>DI BATTISTA  BENEDETTA</t>
  </si>
  <si>
    <t>SAMO BIOMEDICA S.R.L.</t>
  </si>
  <si>
    <t>HEDERA BIOMEDICS S.R.L.</t>
  </si>
  <si>
    <t>DE GUGLIELMO  CARMEN</t>
  </si>
  <si>
    <t>CAPUOZZO S.R.L.</t>
  </si>
  <si>
    <t>MARASCHIELLO  SEBASTIANO</t>
  </si>
  <si>
    <t>TROIANO  MARIO</t>
  </si>
  <si>
    <t>SUERO  TERESA</t>
  </si>
  <si>
    <t>GI. MED S.R.L.</t>
  </si>
  <si>
    <t>MEDICAL CENTRO DI DOTT.SSA IOLANDA BARTIROMO</t>
  </si>
  <si>
    <t>MANLIO  ILARIA</t>
  </si>
  <si>
    <t>MULTIQUADRI S.R.L.</t>
  </si>
  <si>
    <t>TRUSIO  ANTONIO</t>
  </si>
  <si>
    <t>GEST.IN. S.P.A.</t>
  </si>
  <si>
    <t>FRATTOLILLO GIUSEPPE</t>
  </si>
  <si>
    <t>P.E. N. 937/2015</t>
  </si>
  <si>
    <t>DINERS CLUB ITALIA S.R.L.</t>
  </si>
  <si>
    <t>P.E. N. 2677/2010</t>
  </si>
  <si>
    <t>PEGLIA CARLETTA</t>
  </si>
  <si>
    <t>RIMBORSO RUOLO</t>
  </si>
  <si>
    <t>MAINOLFI ANGELA</t>
  </si>
  <si>
    <t>SINISTRO/2014/RUM/</t>
  </si>
  <si>
    <t>INTEGRA LIFESCIENCES ITALY S.R.L.</t>
  </si>
  <si>
    <t>VIFOR PHARMA ITALIA S.R.L.</t>
  </si>
  <si>
    <t>ERGON S.R.L.</t>
  </si>
  <si>
    <t>VILLANI  MARIO</t>
  </si>
  <si>
    <t>PARILLO PIERFRANCO</t>
  </si>
  <si>
    <t>RIMBORSO CAMERA</t>
  </si>
  <si>
    <t>EUROSANITY S.A.S.</t>
  </si>
  <si>
    <t>EUROPROTEX RADIOPROTEZIONE S.R.L.</t>
  </si>
  <si>
    <t>VALENTINA TARANTINO</t>
  </si>
  <si>
    <t>RIMBORSO QUOTA</t>
  </si>
  <si>
    <t>STUDIO LEGALE PALUMBO</t>
  </si>
  <si>
    <t>LIFETECH CARE SRL</t>
  </si>
  <si>
    <t>RIAB ENDOMEDICA S.P.A.</t>
  </si>
  <si>
    <t>CLINI-LAB S.R.L.</t>
  </si>
  <si>
    <t>E.C.S. SRL EXTRA CORPOREAL SOLUTIONS</t>
  </si>
  <si>
    <t>CORRADINO POMPEO</t>
  </si>
  <si>
    <t>INTEGRTAZIONE</t>
  </si>
  <si>
    <t>LIONI PRINT. S.N.C. DI GAROFALO SILVANA &amp; C</t>
  </si>
  <si>
    <t>EASY MEDICAL S.R.L.</t>
  </si>
  <si>
    <t>ALFIERI S.P.A.</t>
  </si>
  <si>
    <t>FERINIS ITALIA GROUP SRLS</t>
  </si>
  <si>
    <t>GADAMED S.R.L.</t>
  </si>
  <si>
    <t>GAUDIELLO  MARIA GRAZIA</t>
  </si>
  <si>
    <t>ECOLAB S.R.L.</t>
  </si>
  <si>
    <t>BIO &amp; MEDICAL TECH DI GIULIANA BARONE</t>
  </si>
  <si>
    <t>METALLI AMBIENTE S.R.L.</t>
  </si>
  <si>
    <t>GARANTE PER LA PROTEZIONE DEI DATI PERSONALI</t>
  </si>
  <si>
    <t>DIRITTI DI</t>
  </si>
  <si>
    <t>POSTE ITALIANE SPA - SERVIZIO CHECK-UP</t>
  </si>
  <si>
    <t>S.M.A. DIFFERITO</t>
  </si>
  <si>
    <t>BEN EVENTI DI DE VITA STEFANIA</t>
  </si>
  <si>
    <t>INGRANDE DOMENICO S.R.L.</t>
  </si>
  <si>
    <t>ASP - AZIENDA SANITARIA PROVINCIALE DI RAGUSA</t>
  </si>
  <si>
    <t>COMPENSO DR APRILE</t>
  </si>
  <si>
    <t>OSPEDALE CANNIZZARO - A.O. PER L'EMERGENZA</t>
  </si>
  <si>
    <t>COMPENSO DR MARLETTA</t>
  </si>
  <si>
    <t>EVOLUZIONE S.R.L.</t>
  </si>
  <si>
    <t>AZIENDA OSPEDALIERA DI COSENZA</t>
  </si>
  <si>
    <t>RIMBORSO COMPENSO</t>
  </si>
  <si>
    <t>PENTAX ITALIA S.R.L.</t>
  </si>
  <si>
    <t>MAZZA  FABIO</t>
  </si>
  <si>
    <t>ESPRESSO S.R.L.</t>
  </si>
  <si>
    <t>EVENTI TELEMATICI S.R.L.</t>
  </si>
  <si>
    <t>WELCARE INDUSTRIES S.P.A.</t>
  </si>
  <si>
    <t>PAOLO  STEFANINA</t>
  </si>
  <si>
    <t>LO PICCOLO ROSALIA</t>
  </si>
  <si>
    <t>RIMBORSO TICKET PER</t>
  </si>
  <si>
    <t>BLS SRL</t>
  </si>
  <si>
    <t>AZIENDA OSPEDALIERA REGIONALE SAN CARLO DI POTENZA</t>
  </si>
  <si>
    <t>COMPENSO PER COMM.</t>
  </si>
  <si>
    <t>MEDI CORP S.R.L.</t>
  </si>
  <si>
    <t>MOSCATO VITTORIO</t>
  </si>
  <si>
    <t>CECERE ANGELOTOBIA</t>
  </si>
  <si>
    <t>AM TRUST EUROPE LIMITED</t>
  </si>
  <si>
    <t>APPENDICE COLPA</t>
  </si>
  <si>
    <t>APPENDICE COPLA</t>
  </si>
  <si>
    <t>AMICO  VALERIA</t>
  </si>
  <si>
    <t>ZURICH AGENZIA GENERALE BN MAINOLFI ASSICURAZ.SAS</t>
  </si>
  <si>
    <t>POLIZZA "INFOTUNI CU</t>
  </si>
  <si>
    <t>POLIZZA INFORTUNI</t>
  </si>
  <si>
    <t>QBE INSURANCE(EUROPE)LTD RAPPRES.GENERALE X ITALIA</t>
  </si>
  <si>
    <t>POLIZZA "ALL RISKS P</t>
  </si>
  <si>
    <t>POLIZZA ALL RISKS</t>
  </si>
  <si>
    <t>AUROBINDO PHARMA (ITALIA) S.R.L.</t>
  </si>
  <si>
    <t>ARMOUR RISK MANAGEMENT LTD</t>
  </si>
  <si>
    <t>POLIZZA QBE CT/O</t>
  </si>
  <si>
    <t>SINAPSI S.R.L.</t>
  </si>
  <si>
    <t>MAGA TECHNOLOGY DI GAZZANIGA MATTEO</t>
  </si>
  <si>
    <t>FRENI  FEDERICO</t>
  </si>
  <si>
    <t>CIANNELLA LUCIA</t>
  </si>
  <si>
    <t>GRECO ALBOINO</t>
  </si>
  <si>
    <t>ORREI FLORINDA</t>
  </si>
  <si>
    <t>RISARCIMENTO DANNI</t>
  </si>
  <si>
    <t>LAERDAL MEDICAL AS</t>
  </si>
  <si>
    <t>NO979484488</t>
  </si>
  <si>
    <t>PETRONE DOMENICA</t>
  </si>
  <si>
    <t>TESTA VINCENZO</t>
  </si>
  <si>
    <t>ALLEVA ROSETTA</t>
  </si>
  <si>
    <t>RIMBORSO SINISTRO</t>
  </si>
  <si>
    <t>L.B. SERVIZI PER LE AZIENDE S.R.L.</t>
  </si>
  <si>
    <t>NIGRO  MARIA GABRIELLA</t>
  </si>
  <si>
    <t>MELISI ANGELO</t>
  </si>
  <si>
    <t>SPESE DI GIUDIZIO</t>
  </si>
  <si>
    <t>COVINO ALESSANDRO</t>
  </si>
  <si>
    <t>UCCI GIUSEPPE</t>
  </si>
  <si>
    <t>SPULZO KATIA</t>
  </si>
  <si>
    <t>ORLANDO COSIMO</t>
  </si>
  <si>
    <t>IACOVIELLO TIZIANA</t>
  </si>
  <si>
    <t>DEL GROSSO ELENA</t>
  </si>
  <si>
    <t>GOMMA LOREDANA</t>
  </si>
  <si>
    <t>DELLA PIETRA MARIA CARMELA</t>
  </si>
  <si>
    <t>PERROTTA LUIGI</t>
  </si>
  <si>
    <t>BOSCO ANNA</t>
  </si>
  <si>
    <t>MAIO DANIELA</t>
  </si>
  <si>
    <t>POLCARI CLARA LAURA</t>
  </si>
  <si>
    <t>FAMA' LUIGI</t>
  </si>
  <si>
    <t>RAPUANO LOREDANA</t>
  </si>
  <si>
    <t>BOSCAINO ANNA MARIA</t>
  </si>
  <si>
    <t>MASSARO DOMENICO</t>
  </si>
  <si>
    <t>BERKSHIRE HATHAWAY INTERNATIONAL INSURANCE LTD</t>
  </si>
  <si>
    <t>POLIZZA RCT/O</t>
  </si>
  <si>
    <t>SALA COSIMO</t>
  </si>
  <si>
    <t>CORBO GIUSEPPE</t>
  </si>
  <si>
    <t>GENERALI ITALIA S.P.A.</t>
  </si>
  <si>
    <t>HARMONIE MUTUELLE - SEDE ITALIANA</t>
  </si>
  <si>
    <t>DE LUCA  ALDO</t>
  </si>
  <si>
    <t>LUONGO  GIUSEPPINA</t>
  </si>
  <si>
    <t>COMPENSO X INCARICO</t>
  </si>
  <si>
    <t>AZIENDA USL TOSCANA CENTRO</t>
  </si>
  <si>
    <t>EX USL 4 DI PRATO</t>
  </si>
  <si>
    <t>NARDONE GIUSEPPE</t>
  </si>
  <si>
    <t>P.E. N. 2900/2011</t>
  </si>
  <si>
    <t>GRILLO  ANTONIO</t>
  </si>
  <si>
    <t>PIGNORAMENTO NARDONE</t>
  </si>
  <si>
    <t>STUDIO LEGALE CHIOSI &amp; ASSOCIATI</t>
  </si>
  <si>
    <t>DICUONZO SERGIO</t>
  </si>
  <si>
    <t>ACETO  ERNESTO</t>
  </si>
  <si>
    <t>P.E.  R.G.n.982/2013</t>
  </si>
  <si>
    <t>INDICATORE</t>
  </si>
  <si>
    <t>TEMPESTIVITA'</t>
  </si>
  <si>
    <t xml:space="preserve">DEI PAGAMENTI </t>
  </si>
  <si>
    <t>IV TRIM.</t>
  </si>
  <si>
    <t>2016    GG.</t>
  </si>
</sst>
</file>

<file path=xl/styles.xml><?xml version="1.0" encoding="utf-8"?>
<styleSheet xmlns="http://schemas.openxmlformats.org/spreadsheetml/2006/main"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4" fontId="0" fillId="0" borderId="0" xfId="0" applyNumberFormat="1"/>
    <xf numFmtId="14" fontId="0" fillId="0" borderId="0" xfId="0" applyNumberFormat="1"/>
    <xf numFmtId="0" fontId="16" fillId="0" borderId="0" xfId="0" applyFont="1"/>
    <xf numFmtId="14" fontId="16" fillId="0" borderId="0" xfId="0" applyNumberFormat="1" applyFont="1"/>
    <xf numFmtId="4" fontId="16" fillId="0" borderId="0" xfId="0" applyNumberFormat="1" applyFont="1"/>
  </cellXfs>
  <cellStyles count="42">
    <cellStyle name="20% - Colore 1" xfId="19" builtinId="30" customBuiltin="1"/>
    <cellStyle name="20% - Colore 2" xfId="23" builtinId="34" customBuiltin="1"/>
    <cellStyle name="20% - Colore 3" xfId="27" builtinId="38" customBuiltin="1"/>
    <cellStyle name="20% - Colore 4" xfId="31" builtinId="42" customBuiltin="1"/>
    <cellStyle name="20% - Colore 5" xfId="35" builtinId="46" customBuiltin="1"/>
    <cellStyle name="20% - Colore 6" xfId="39" builtinId="50" customBuiltin="1"/>
    <cellStyle name="40% - Colore 1" xfId="20" builtinId="31" customBuiltin="1"/>
    <cellStyle name="40% - Colore 2" xfId="24" builtinId="35" customBuiltin="1"/>
    <cellStyle name="40% - Colore 3" xfId="28" builtinId="39" customBuiltin="1"/>
    <cellStyle name="40% - Colore 4" xfId="32" builtinId="43" customBuiltin="1"/>
    <cellStyle name="40% - Colore 5" xfId="36" builtinId="47" customBuiltin="1"/>
    <cellStyle name="40% - Colore 6" xfId="40" builtinId="51" customBuiltin="1"/>
    <cellStyle name="60% - Colore 1" xfId="21" builtinId="32" customBuiltin="1"/>
    <cellStyle name="60% - Colore 2" xfId="25" builtinId="36" customBuiltin="1"/>
    <cellStyle name="60% - Colore 3" xfId="29" builtinId="40" customBuiltin="1"/>
    <cellStyle name="60% - Colore 4" xfId="33" builtinId="44" customBuiltin="1"/>
    <cellStyle name="60% - Colore 5" xfId="37" builtinId="48" customBuiltin="1"/>
    <cellStyle name="60% - Colore 6" xfId="41" builtinId="52" customBuiltin="1"/>
    <cellStyle name="Calcolo" xfId="11" builtinId="22" customBuiltin="1"/>
    <cellStyle name="Cella collegata" xfId="12" builtinId="24" customBuiltin="1"/>
    <cellStyle name="Cella da controllare" xfId="13" builtinId="23" customBuiltin="1"/>
    <cellStyle name="Colore 1" xfId="18" builtinId="29" customBuiltin="1"/>
    <cellStyle name="Colore 2" xfId="22" builtinId="33" customBuiltin="1"/>
    <cellStyle name="Colore 3" xfId="26" builtinId="37" customBuiltin="1"/>
    <cellStyle name="Colore 4" xfId="30" builtinId="41" customBuiltin="1"/>
    <cellStyle name="Colore 5" xfId="34" builtinId="45" customBuiltin="1"/>
    <cellStyle name="Colore 6" xfId="38" builtinId="49" customBuiltin="1"/>
    <cellStyle name="Input" xfId="9" builtinId="20" customBuiltin="1"/>
    <cellStyle name="Neutrale" xfId="8" builtinId="28" customBuiltin="1"/>
    <cellStyle name="Normale" xfId="0" builtinId="0"/>
    <cellStyle name="Nota" xfId="15" builtinId="10" customBuiltin="1"/>
    <cellStyle name="Output" xfId="10" builtinId="21" customBuiltin="1"/>
    <cellStyle name="Testo avviso" xfId="14" builtinId="11" customBuiltin="1"/>
    <cellStyle name="Testo descrittivo" xfId="16" builtinId="53" customBuiltin="1"/>
    <cellStyle name="Titolo" xfId="1" builtinId="15" customBuiltin="1"/>
    <cellStyle name="Titolo 1" xfId="2" builtinId="16" customBuiltin="1"/>
    <cellStyle name="Titolo 2" xfId="3" builtinId="17" customBuiltin="1"/>
    <cellStyle name="Titolo 3" xfId="4" builtinId="18" customBuiltin="1"/>
    <cellStyle name="Titolo 4" xfId="5" builtinId="19" customBuiltin="1"/>
    <cellStyle name="Totale" xfId="17" builtinId="25" customBuiltin="1"/>
    <cellStyle name="Valore non valido" xfId="7" builtinId="27" customBuiltin="1"/>
    <cellStyle name="Valore valido" xfId="6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BN9513"/>
  <sheetViews>
    <sheetView tabSelected="1" topLeftCell="AB1" workbookViewId="0">
      <selection activeCell="AS32" sqref="AS32"/>
    </sheetView>
  </sheetViews>
  <sheetFormatPr defaultRowHeight="14.4"/>
  <cols>
    <col min="2" max="2" width="18.5546875" style="3" hidden="1" customWidth="1"/>
    <col min="3" max="3" width="17.44140625" customWidth="1"/>
    <col min="6" max="7" width="0" hidden="1" customWidth="1"/>
    <col min="10" max="12" width="0" hidden="1" customWidth="1"/>
    <col min="14" max="14" width="0" hidden="1" customWidth="1"/>
    <col min="16" max="16" width="13.88671875" style="3" customWidth="1"/>
    <col min="18" max="18" width="11.44140625" customWidth="1"/>
    <col min="19" max="20" width="11.5546875" customWidth="1"/>
    <col min="21" max="21" width="14.6640625" customWidth="1"/>
    <col min="22" max="22" width="15.6640625" hidden="1" customWidth="1"/>
    <col min="23" max="23" width="21.33203125" customWidth="1"/>
    <col min="25" max="25" width="11.88671875" hidden="1" customWidth="1"/>
    <col min="26" max="26" width="14.88671875" style="3" customWidth="1"/>
    <col min="28" max="28" width="16.33203125" style="3" customWidth="1"/>
    <col min="29" max="29" width="17.5546875" customWidth="1"/>
    <col min="31" max="31" width="18.6640625" customWidth="1"/>
    <col min="33" max="36" width="0" hidden="1" customWidth="1"/>
    <col min="42" max="42" width="12.5546875" customWidth="1"/>
    <col min="43" max="44" width="0" hidden="1" customWidth="1"/>
    <col min="46" max="46" width="25.109375" style="3" customWidth="1"/>
    <col min="47" max="48" width="0" hidden="1" customWidth="1"/>
    <col min="49" max="49" width="25.44140625" style="3" customWidth="1"/>
    <col min="50" max="54" width="0" hidden="1" customWidth="1"/>
    <col min="57" max="66" width="0" hidden="1" customWidth="1"/>
  </cols>
  <sheetData>
    <row r="1" spans="1:66">
      <c r="A1" t="s">
        <v>0</v>
      </c>
    </row>
    <row r="2" spans="1:66">
      <c r="A2" t="s">
        <v>1</v>
      </c>
      <c r="B2" s="3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  <c r="I2" t="s">
        <v>9</v>
      </c>
      <c r="J2" t="s">
        <v>10</v>
      </c>
      <c r="K2" t="s">
        <v>11</v>
      </c>
      <c r="L2" t="s">
        <v>12</v>
      </c>
      <c r="M2" t="s">
        <v>13</v>
      </c>
      <c r="N2" t="s">
        <v>14</v>
      </c>
      <c r="O2" t="s">
        <v>15</v>
      </c>
      <c r="P2" s="3" t="s">
        <v>16</v>
      </c>
      <c r="Q2" t="s">
        <v>17</v>
      </c>
      <c r="R2" t="s">
        <v>18</v>
      </c>
      <c r="S2" t="s">
        <v>19</v>
      </c>
      <c r="T2" t="s">
        <v>20</v>
      </c>
      <c r="U2" t="s">
        <v>21</v>
      </c>
      <c r="V2" t="s">
        <v>22</v>
      </c>
      <c r="W2" t="s">
        <v>23</v>
      </c>
      <c r="X2" t="s">
        <v>24</v>
      </c>
      <c r="Y2" t="s">
        <v>25</v>
      </c>
      <c r="Z2" s="3" t="s">
        <v>26</v>
      </c>
      <c r="AA2" t="s">
        <v>27</v>
      </c>
      <c r="AB2" s="3" t="s">
        <v>28</v>
      </c>
      <c r="AC2" t="s">
        <v>29</v>
      </c>
      <c r="AD2" t="s">
        <v>30</v>
      </c>
      <c r="AE2" t="s">
        <v>31</v>
      </c>
      <c r="AF2" t="s">
        <v>32</v>
      </c>
      <c r="AG2" t="s">
        <v>33</v>
      </c>
      <c r="AH2" t="s">
        <v>34</v>
      </c>
      <c r="AI2" t="s">
        <v>35</v>
      </c>
      <c r="AJ2" t="s">
        <v>36</v>
      </c>
      <c r="AK2" t="s">
        <v>37</v>
      </c>
      <c r="AL2" t="s">
        <v>38</v>
      </c>
      <c r="AM2" t="s">
        <v>39</v>
      </c>
      <c r="AN2" t="s">
        <v>40</v>
      </c>
      <c r="AO2" t="s">
        <v>41</v>
      </c>
      <c r="AP2" t="s">
        <v>42</v>
      </c>
      <c r="AQ2" t="s">
        <v>43</v>
      </c>
      <c r="AR2" t="s">
        <v>44</v>
      </c>
      <c r="AS2" t="s">
        <v>45</v>
      </c>
      <c r="AT2" s="3" t="s">
        <v>46</v>
      </c>
      <c r="AU2" t="s">
        <v>47</v>
      </c>
      <c r="AV2" t="s">
        <v>48</v>
      </c>
      <c r="AW2" s="3" t="s">
        <v>49</v>
      </c>
      <c r="AX2" t="s">
        <v>50</v>
      </c>
      <c r="AY2" t="s">
        <v>51</v>
      </c>
      <c r="AZ2" t="s">
        <v>52</v>
      </c>
      <c r="BA2" t="s">
        <v>53</v>
      </c>
      <c r="BB2" t="s">
        <v>54</v>
      </c>
      <c r="BC2" t="s">
        <v>55</v>
      </c>
      <c r="BD2" t="s">
        <v>56</v>
      </c>
      <c r="BE2" t="s">
        <v>57</v>
      </c>
      <c r="BF2" t="s">
        <v>58</v>
      </c>
      <c r="BG2" t="s">
        <v>59</v>
      </c>
      <c r="BH2" t="s">
        <v>60</v>
      </c>
      <c r="BI2" t="s">
        <v>61</v>
      </c>
      <c r="BJ2" t="s">
        <v>62</v>
      </c>
      <c r="BK2" t="s">
        <v>63</v>
      </c>
      <c r="BL2" t="s">
        <v>64</v>
      </c>
      <c r="BM2" t="s">
        <v>65</v>
      </c>
      <c r="BN2" t="s">
        <v>13</v>
      </c>
    </row>
    <row r="3" spans="1:66">
      <c r="A3">
        <v>100001</v>
      </c>
      <c r="B3" s="3" t="s">
        <v>66</v>
      </c>
      <c r="C3" s="1">
        <v>43300101</v>
      </c>
      <c r="D3" t="s">
        <v>67</v>
      </c>
      <c r="H3" t="str">
        <f t="shared" ref="H3:I22" si="0">"00076670595"</f>
        <v>00076670595</v>
      </c>
      <c r="I3" t="str">
        <f t="shared" si="0"/>
        <v>00076670595</v>
      </c>
      <c r="K3" t="str">
        <f>""</f>
        <v/>
      </c>
      <c r="M3" t="s">
        <v>68</v>
      </c>
      <c r="N3" t="str">
        <f t="shared" ref="N3:N66" si="1">"FOR"</f>
        <v>FOR</v>
      </c>
      <c r="O3" t="s">
        <v>69</v>
      </c>
      <c r="P3" s="3" t="s">
        <v>70</v>
      </c>
      <c r="Q3">
        <v>2014</v>
      </c>
      <c r="R3" s="2">
        <v>41935</v>
      </c>
      <c r="S3" s="2">
        <v>41949</v>
      </c>
      <c r="T3" s="2">
        <v>41949</v>
      </c>
      <c r="U3" s="2">
        <v>42009</v>
      </c>
      <c r="V3" t="s">
        <v>71</v>
      </c>
      <c r="W3" t="str">
        <f>"               45414"</f>
        <v xml:space="preserve">               45414</v>
      </c>
      <c r="X3" s="1">
        <v>14640</v>
      </c>
      <c r="Y3">
        <v>0</v>
      </c>
      <c r="Z3" s="5">
        <v>14640</v>
      </c>
      <c r="AA3">
        <v>710</v>
      </c>
      <c r="AB3" s="5">
        <v>10394400</v>
      </c>
      <c r="AC3" s="1">
        <v>14640</v>
      </c>
      <c r="AD3">
        <v>710</v>
      </c>
      <c r="AE3" s="1">
        <v>10394400</v>
      </c>
      <c r="AF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 s="2">
        <v>42746</v>
      </c>
      <c r="AQ3" t="s">
        <v>72</v>
      </c>
      <c r="AR3" t="s">
        <v>72</v>
      </c>
      <c r="AS3">
        <v>3515</v>
      </c>
      <c r="AT3" s="4">
        <v>42719</v>
      </c>
      <c r="AU3" t="s">
        <v>73</v>
      </c>
      <c r="AV3">
        <v>3515</v>
      </c>
      <c r="AW3" s="4">
        <v>42719</v>
      </c>
      <c r="BD3">
        <v>0</v>
      </c>
      <c r="BN3" t="s">
        <v>74</v>
      </c>
    </row>
    <row r="4" spans="1:66">
      <c r="A4">
        <v>100001</v>
      </c>
      <c r="B4" s="3" t="s">
        <v>66</v>
      </c>
      <c r="C4" s="1">
        <v>43300101</v>
      </c>
      <c r="D4" t="s">
        <v>67</v>
      </c>
      <c r="H4" t="str">
        <f t="shared" si="0"/>
        <v>00076670595</v>
      </c>
      <c r="I4" t="str">
        <f t="shared" si="0"/>
        <v>00076670595</v>
      </c>
      <c r="K4" t="str">
        <f>""</f>
        <v/>
      </c>
      <c r="M4" t="s">
        <v>68</v>
      </c>
      <c r="N4" t="str">
        <f t="shared" si="1"/>
        <v>FOR</v>
      </c>
      <c r="O4" t="s">
        <v>69</v>
      </c>
      <c r="P4" s="3" t="s">
        <v>70</v>
      </c>
      <c r="Q4">
        <v>2014</v>
      </c>
      <c r="R4" s="2">
        <v>41964</v>
      </c>
      <c r="S4" s="2">
        <v>42461</v>
      </c>
      <c r="T4" s="2">
        <v>42461</v>
      </c>
      <c r="U4" s="2">
        <v>42521</v>
      </c>
      <c r="V4" t="s">
        <v>71</v>
      </c>
      <c r="W4" t="str">
        <f>"               50134"</f>
        <v xml:space="preserve">               50134</v>
      </c>
      <c r="X4" s="1">
        <v>2287.5</v>
      </c>
      <c r="Y4">
        <v>0</v>
      </c>
      <c r="Z4" s="5">
        <v>2287.5</v>
      </c>
      <c r="AA4">
        <v>198</v>
      </c>
      <c r="AB4" s="5">
        <v>452925</v>
      </c>
      <c r="AC4" s="1">
        <v>2287.5</v>
      </c>
      <c r="AD4">
        <v>198</v>
      </c>
      <c r="AE4" s="1">
        <v>452925</v>
      </c>
      <c r="AF4">
        <v>0</v>
      </c>
      <c r="AJ4">
        <v>0</v>
      </c>
      <c r="AK4">
        <v>0</v>
      </c>
      <c r="AL4">
        <v>0</v>
      </c>
      <c r="AM4">
        <v>0</v>
      </c>
      <c r="AN4" s="1">
        <v>2287.5</v>
      </c>
      <c r="AO4">
        <v>0</v>
      </c>
      <c r="AP4" s="2">
        <v>42746</v>
      </c>
      <c r="AQ4" t="s">
        <v>72</v>
      </c>
      <c r="AR4" t="s">
        <v>72</v>
      </c>
      <c r="AS4">
        <v>3515</v>
      </c>
      <c r="AT4" s="4">
        <v>42719</v>
      </c>
      <c r="AU4" t="s">
        <v>73</v>
      </c>
      <c r="AV4">
        <v>3515</v>
      </c>
      <c r="AW4" s="4">
        <v>42719</v>
      </c>
      <c r="BD4">
        <v>0</v>
      </c>
      <c r="BN4" t="s">
        <v>74</v>
      </c>
    </row>
    <row r="5" spans="1:66" hidden="1">
      <c r="A5">
        <v>100001</v>
      </c>
      <c r="B5" s="3" t="s">
        <v>66</v>
      </c>
      <c r="C5" s="1">
        <v>43300101</v>
      </c>
      <c r="D5" t="s">
        <v>67</v>
      </c>
      <c r="H5" t="str">
        <f t="shared" si="0"/>
        <v>00076670595</v>
      </c>
      <c r="I5" t="str">
        <f t="shared" si="0"/>
        <v>00076670595</v>
      </c>
      <c r="K5" t="str">
        <f>""</f>
        <v/>
      </c>
      <c r="M5" t="s">
        <v>68</v>
      </c>
      <c r="N5" t="str">
        <f t="shared" si="1"/>
        <v>FOR</v>
      </c>
      <c r="O5" t="s">
        <v>69</v>
      </c>
      <c r="P5" s="3" t="s">
        <v>70</v>
      </c>
      <c r="Q5">
        <v>2015</v>
      </c>
      <c r="R5" s="2">
        <v>42052</v>
      </c>
      <c r="S5" s="2">
        <v>42067</v>
      </c>
      <c r="T5" s="2">
        <v>42067</v>
      </c>
      <c r="U5" s="2">
        <v>42127</v>
      </c>
      <c r="V5" t="s">
        <v>71</v>
      </c>
      <c r="W5" t="str">
        <f>"                4592"</f>
        <v xml:space="preserve">                4592</v>
      </c>
      <c r="X5" s="1">
        <v>3465</v>
      </c>
      <c r="Y5">
        <v>0</v>
      </c>
      <c r="Z5"/>
      <c r="AB5"/>
      <c r="AC5" s="1">
        <v>3150</v>
      </c>
      <c r="AD5">
        <v>277</v>
      </c>
      <c r="AE5" s="1">
        <v>872550</v>
      </c>
      <c r="AF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 s="2">
        <v>42746</v>
      </c>
      <c r="AQ5" t="s">
        <v>72</v>
      </c>
      <c r="AR5" t="s">
        <v>72</v>
      </c>
      <c r="AS5">
        <v>246</v>
      </c>
      <c r="AT5" s="4">
        <v>42404</v>
      </c>
      <c r="AU5" t="s">
        <v>73</v>
      </c>
      <c r="AV5">
        <v>246</v>
      </c>
      <c r="AW5" s="4">
        <v>42404</v>
      </c>
      <c r="BD5">
        <v>0</v>
      </c>
      <c r="BN5" t="s">
        <v>74</v>
      </c>
    </row>
    <row r="6" spans="1:66" hidden="1">
      <c r="A6">
        <v>100001</v>
      </c>
      <c r="B6" s="3" t="s">
        <v>66</v>
      </c>
      <c r="C6" s="1">
        <v>43300101</v>
      </c>
      <c r="D6" t="s">
        <v>67</v>
      </c>
      <c r="H6" t="str">
        <f t="shared" si="0"/>
        <v>00076670595</v>
      </c>
      <c r="I6" t="str">
        <f t="shared" si="0"/>
        <v>00076670595</v>
      </c>
      <c r="K6" t="str">
        <f>""</f>
        <v/>
      </c>
      <c r="M6" t="s">
        <v>68</v>
      </c>
      <c r="N6" t="str">
        <f t="shared" si="1"/>
        <v>FOR</v>
      </c>
      <c r="O6" t="s">
        <v>69</v>
      </c>
      <c r="P6" s="3" t="s">
        <v>70</v>
      </c>
      <c r="Q6">
        <v>2015</v>
      </c>
      <c r="R6" s="2">
        <v>42062</v>
      </c>
      <c r="S6" s="2">
        <v>42087</v>
      </c>
      <c r="T6" s="2">
        <v>42087</v>
      </c>
      <c r="U6" s="2">
        <v>42147</v>
      </c>
      <c r="V6" t="s">
        <v>71</v>
      </c>
      <c r="W6" t="str">
        <f>"                6258"</f>
        <v xml:space="preserve">                6258</v>
      </c>
      <c r="X6">
        <v>295.73</v>
      </c>
      <c r="Y6">
        <v>0</v>
      </c>
      <c r="Z6"/>
      <c r="AB6"/>
      <c r="AC6">
        <v>242.4</v>
      </c>
      <c r="AD6">
        <v>257</v>
      </c>
      <c r="AE6" s="1">
        <v>62296.800000000003</v>
      </c>
      <c r="AF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 s="2">
        <v>42746</v>
      </c>
      <c r="AQ6" t="s">
        <v>72</v>
      </c>
      <c r="AR6" t="s">
        <v>72</v>
      </c>
      <c r="AS6">
        <v>246</v>
      </c>
      <c r="AT6" s="4">
        <v>42404</v>
      </c>
      <c r="AU6" t="s">
        <v>73</v>
      </c>
      <c r="AV6">
        <v>246</v>
      </c>
      <c r="AW6" s="4">
        <v>42404</v>
      </c>
      <c r="BD6">
        <v>0</v>
      </c>
      <c r="BN6" t="s">
        <v>74</v>
      </c>
    </row>
    <row r="7" spans="1:66" hidden="1">
      <c r="A7">
        <v>100001</v>
      </c>
      <c r="B7" s="3" t="s">
        <v>66</v>
      </c>
      <c r="C7" s="1">
        <v>43300101</v>
      </c>
      <c r="D7" t="s">
        <v>67</v>
      </c>
      <c r="H7" t="str">
        <f t="shared" si="0"/>
        <v>00076670595</v>
      </c>
      <c r="I7" t="str">
        <f t="shared" si="0"/>
        <v>00076670595</v>
      </c>
      <c r="K7" t="str">
        <f>""</f>
        <v/>
      </c>
      <c r="M7" t="s">
        <v>68</v>
      </c>
      <c r="N7" t="str">
        <f t="shared" si="1"/>
        <v>FOR</v>
      </c>
      <c r="O7" t="s">
        <v>69</v>
      </c>
      <c r="P7" s="3" t="s">
        <v>70</v>
      </c>
      <c r="Q7">
        <v>2015</v>
      </c>
      <c r="R7" s="2">
        <v>42075</v>
      </c>
      <c r="S7" s="2">
        <v>42087</v>
      </c>
      <c r="T7" s="2">
        <v>42087</v>
      </c>
      <c r="U7" s="2">
        <v>42147</v>
      </c>
      <c r="V7" t="s">
        <v>71</v>
      </c>
      <c r="W7" t="str">
        <f>"                7331"</f>
        <v xml:space="preserve">                7331</v>
      </c>
      <c r="X7" s="1">
        <v>3465</v>
      </c>
      <c r="Y7">
        <v>0</v>
      </c>
      <c r="Z7"/>
      <c r="AB7"/>
      <c r="AC7" s="1">
        <v>3150</v>
      </c>
      <c r="AD7">
        <v>268</v>
      </c>
      <c r="AE7" s="1">
        <v>844200</v>
      </c>
      <c r="AF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 s="2">
        <v>42746</v>
      </c>
      <c r="AQ7" t="s">
        <v>72</v>
      </c>
      <c r="AR7" t="s">
        <v>72</v>
      </c>
      <c r="AS7">
        <v>356</v>
      </c>
      <c r="AT7" s="4">
        <v>42415</v>
      </c>
      <c r="AU7" t="s">
        <v>73</v>
      </c>
      <c r="AV7">
        <v>356</v>
      </c>
      <c r="AW7" s="4">
        <v>42415</v>
      </c>
      <c r="BD7">
        <v>0</v>
      </c>
      <c r="BN7" t="s">
        <v>74</v>
      </c>
    </row>
    <row r="8" spans="1:66" hidden="1">
      <c r="A8">
        <v>100001</v>
      </c>
      <c r="B8" s="3" t="s">
        <v>66</v>
      </c>
      <c r="C8" s="1">
        <v>43300101</v>
      </c>
      <c r="D8" t="s">
        <v>67</v>
      </c>
      <c r="H8" t="str">
        <f t="shared" si="0"/>
        <v>00076670595</v>
      </c>
      <c r="I8" t="str">
        <f t="shared" si="0"/>
        <v>00076670595</v>
      </c>
      <c r="K8" t="str">
        <f>""</f>
        <v/>
      </c>
      <c r="M8" t="s">
        <v>68</v>
      </c>
      <c r="N8" t="str">
        <f t="shared" si="1"/>
        <v>FOR</v>
      </c>
      <c r="O8" t="s">
        <v>69</v>
      </c>
      <c r="P8" s="3" t="s">
        <v>70</v>
      </c>
      <c r="Q8">
        <v>2015</v>
      </c>
      <c r="R8" s="2">
        <v>42081</v>
      </c>
      <c r="S8" s="2">
        <v>42102</v>
      </c>
      <c r="T8" s="2">
        <v>42102</v>
      </c>
      <c r="U8" s="2">
        <v>42162</v>
      </c>
      <c r="V8" t="s">
        <v>71</v>
      </c>
      <c r="W8" t="str">
        <f>"                7861"</f>
        <v xml:space="preserve">                7861</v>
      </c>
      <c r="X8" s="1">
        <v>5975.38</v>
      </c>
      <c r="Y8">
        <v>0</v>
      </c>
      <c r="Z8"/>
      <c r="AB8"/>
      <c r="AC8" s="1">
        <v>4897.8500000000004</v>
      </c>
      <c r="AD8">
        <v>253</v>
      </c>
      <c r="AE8" s="1">
        <v>1239156.05</v>
      </c>
      <c r="AF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 s="2">
        <v>42746</v>
      </c>
      <c r="AQ8" t="s">
        <v>72</v>
      </c>
      <c r="AR8" t="s">
        <v>72</v>
      </c>
      <c r="AS8">
        <v>356</v>
      </c>
      <c r="AT8" s="4">
        <v>42415</v>
      </c>
      <c r="AU8" t="s">
        <v>73</v>
      </c>
      <c r="AV8">
        <v>356</v>
      </c>
      <c r="AW8" s="4">
        <v>42415</v>
      </c>
      <c r="BD8">
        <v>0</v>
      </c>
      <c r="BN8" t="s">
        <v>74</v>
      </c>
    </row>
    <row r="9" spans="1:66" hidden="1">
      <c r="A9">
        <v>100001</v>
      </c>
      <c r="B9" s="3" t="s">
        <v>66</v>
      </c>
      <c r="C9" s="1">
        <v>43300101</v>
      </c>
      <c r="D9" t="s">
        <v>67</v>
      </c>
      <c r="H9" t="str">
        <f t="shared" si="0"/>
        <v>00076670595</v>
      </c>
      <c r="I9" t="str">
        <f t="shared" si="0"/>
        <v>00076670595</v>
      </c>
      <c r="K9" t="str">
        <f>""</f>
        <v/>
      </c>
      <c r="M9" t="s">
        <v>68</v>
      </c>
      <c r="N9" t="str">
        <f t="shared" si="1"/>
        <v>FOR</v>
      </c>
      <c r="O9" t="s">
        <v>69</v>
      </c>
      <c r="P9" s="3" t="s">
        <v>75</v>
      </c>
      <c r="Q9">
        <v>2015</v>
      </c>
      <c r="R9" s="2">
        <v>42174</v>
      </c>
      <c r="S9" s="2">
        <v>42195</v>
      </c>
      <c r="T9" s="2">
        <v>42185</v>
      </c>
      <c r="U9" s="2">
        <v>42245</v>
      </c>
      <c r="V9" t="s">
        <v>71</v>
      </c>
      <c r="W9" t="str">
        <f>"            50323334"</f>
        <v xml:space="preserve">            50323334</v>
      </c>
      <c r="X9">
        <v>915.2</v>
      </c>
      <c r="Y9">
        <v>0</v>
      </c>
      <c r="Z9"/>
      <c r="AB9"/>
      <c r="AC9">
        <v>880</v>
      </c>
      <c r="AD9">
        <v>275</v>
      </c>
      <c r="AE9" s="1">
        <v>242000</v>
      </c>
      <c r="AF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 s="2">
        <v>42746</v>
      </c>
      <c r="AQ9" t="s">
        <v>72</v>
      </c>
      <c r="AR9" t="s">
        <v>72</v>
      </c>
      <c r="AS9">
        <v>1431</v>
      </c>
      <c r="AT9" s="4">
        <v>42520</v>
      </c>
      <c r="AU9" t="s">
        <v>73</v>
      </c>
      <c r="AV9">
        <v>1431</v>
      </c>
      <c r="AW9" s="4">
        <v>42520</v>
      </c>
      <c r="BD9">
        <v>0</v>
      </c>
      <c r="BN9" t="s">
        <v>74</v>
      </c>
    </row>
    <row r="10" spans="1:66" hidden="1">
      <c r="A10">
        <v>100001</v>
      </c>
      <c r="B10" s="3" t="s">
        <v>66</v>
      </c>
      <c r="C10" s="1">
        <v>43300101</v>
      </c>
      <c r="D10" t="s">
        <v>67</v>
      </c>
      <c r="H10" t="str">
        <f t="shared" si="0"/>
        <v>00076670595</v>
      </c>
      <c r="I10" t="str">
        <f t="shared" si="0"/>
        <v>00076670595</v>
      </c>
      <c r="K10" t="str">
        <f>""</f>
        <v/>
      </c>
      <c r="M10" t="s">
        <v>68</v>
      </c>
      <c r="N10" t="str">
        <f t="shared" si="1"/>
        <v>FOR</v>
      </c>
      <c r="O10" t="s">
        <v>69</v>
      </c>
      <c r="P10" s="3" t="s">
        <v>75</v>
      </c>
      <c r="Q10">
        <v>2015</v>
      </c>
      <c r="R10" s="2">
        <v>42192</v>
      </c>
      <c r="S10" s="2">
        <v>42369</v>
      </c>
      <c r="T10" s="2">
        <v>42199</v>
      </c>
      <c r="U10" s="2">
        <v>42259</v>
      </c>
      <c r="V10" t="s">
        <v>71</v>
      </c>
      <c r="W10" t="str">
        <f>"            50325438"</f>
        <v xml:space="preserve">            50325438</v>
      </c>
      <c r="X10">
        <v>915.2</v>
      </c>
      <c r="Y10">
        <v>0</v>
      </c>
      <c r="Z10"/>
      <c r="AB10"/>
      <c r="AC10">
        <v>880</v>
      </c>
      <c r="AD10">
        <v>233</v>
      </c>
      <c r="AE10" s="1">
        <v>205040</v>
      </c>
      <c r="AF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 s="2">
        <v>42746</v>
      </c>
      <c r="AQ10" t="s">
        <v>72</v>
      </c>
      <c r="AR10" t="s">
        <v>72</v>
      </c>
      <c r="AS10">
        <v>1218</v>
      </c>
      <c r="AT10" s="4">
        <v>42492</v>
      </c>
      <c r="AU10" t="s">
        <v>73</v>
      </c>
      <c r="AV10">
        <v>1218</v>
      </c>
      <c r="AW10" s="4">
        <v>42492</v>
      </c>
      <c r="BD10">
        <v>0</v>
      </c>
      <c r="BN10" t="s">
        <v>74</v>
      </c>
    </row>
    <row r="11" spans="1:66" hidden="1">
      <c r="A11">
        <v>100001</v>
      </c>
      <c r="B11" s="3" t="s">
        <v>66</v>
      </c>
      <c r="C11" s="1">
        <v>43300101</v>
      </c>
      <c r="D11" t="s">
        <v>67</v>
      </c>
      <c r="H11" t="str">
        <f t="shared" si="0"/>
        <v>00076670595</v>
      </c>
      <c r="I11" t="str">
        <f t="shared" si="0"/>
        <v>00076670595</v>
      </c>
      <c r="K11" t="str">
        <f>""</f>
        <v/>
      </c>
      <c r="M11" t="s">
        <v>68</v>
      </c>
      <c r="N11" t="str">
        <f t="shared" si="1"/>
        <v>FOR</v>
      </c>
      <c r="O11" t="s">
        <v>69</v>
      </c>
      <c r="P11" s="3" t="s">
        <v>75</v>
      </c>
      <c r="Q11">
        <v>2015</v>
      </c>
      <c r="R11" s="2">
        <v>42103</v>
      </c>
      <c r="S11" s="2">
        <v>42348</v>
      </c>
      <c r="T11" s="2">
        <v>42347</v>
      </c>
      <c r="U11" s="2">
        <v>42407</v>
      </c>
      <c r="V11" t="s">
        <v>71</v>
      </c>
      <c r="W11" t="str">
        <f>"          S15F010518"</f>
        <v xml:space="preserve">          S15F010518</v>
      </c>
      <c r="X11" s="1">
        <v>3465</v>
      </c>
      <c r="Y11">
        <v>0</v>
      </c>
      <c r="Z11"/>
      <c r="AB11"/>
      <c r="AC11" s="1">
        <v>3150</v>
      </c>
      <c r="AD11">
        <v>57</v>
      </c>
      <c r="AE11" s="1">
        <v>179550</v>
      </c>
      <c r="AF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 s="2">
        <v>42746</v>
      </c>
      <c r="AQ11" t="s">
        <v>72</v>
      </c>
      <c r="AR11" t="s">
        <v>72</v>
      </c>
      <c r="AS11">
        <v>993</v>
      </c>
      <c r="AT11" s="4">
        <v>42464</v>
      </c>
      <c r="AU11" t="s">
        <v>73</v>
      </c>
      <c r="AV11">
        <v>993</v>
      </c>
      <c r="AW11" s="4">
        <v>42464</v>
      </c>
      <c r="BD11">
        <v>0</v>
      </c>
      <c r="BN11" t="s">
        <v>74</v>
      </c>
    </row>
    <row r="12" spans="1:66" hidden="1">
      <c r="A12">
        <v>100001</v>
      </c>
      <c r="B12" s="3" t="s">
        <v>66</v>
      </c>
      <c r="C12" s="1">
        <v>43300101</v>
      </c>
      <c r="D12" t="s">
        <v>67</v>
      </c>
      <c r="H12" t="str">
        <f t="shared" si="0"/>
        <v>00076670595</v>
      </c>
      <c r="I12" t="str">
        <f t="shared" si="0"/>
        <v>00076670595</v>
      </c>
      <c r="K12" t="str">
        <f>""</f>
        <v/>
      </c>
      <c r="M12" t="s">
        <v>68</v>
      </c>
      <c r="N12" t="str">
        <f t="shared" si="1"/>
        <v>FOR</v>
      </c>
      <c r="O12" t="s">
        <v>69</v>
      </c>
      <c r="P12" s="3" t="s">
        <v>75</v>
      </c>
      <c r="Q12">
        <v>2015</v>
      </c>
      <c r="R12" s="2">
        <v>42108</v>
      </c>
      <c r="S12" s="2">
        <v>42128</v>
      </c>
      <c r="T12" s="2">
        <v>42124</v>
      </c>
      <c r="U12" s="2">
        <v>42184</v>
      </c>
      <c r="V12" t="s">
        <v>71</v>
      </c>
      <c r="W12" t="str">
        <f>"          S15F010882"</f>
        <v xml:space="preserve">          S15F010882</v>
      </c>
      <c r="X12" s="1">
        <v>20648.759999999998</v>
      </c>
      <c r="Y12">
        <v>0</v>
      </c>
      <c r="Z12"/>
      <c r="AB12"/>
      <c r="AC12" s="1">
        <v>16925.21</v>
      </c>
      <c r="AD12">
        <v>280</v>
      </c>
      <c r="AE12" s="1">
        <v>4739058.8</v>
      </c>
      <c r="AF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 s="2">
        <v>42746</v>
      </c>
      <c r="AQ12" t="s">
        <v>72</v>
      </c>
      <c r="AR12" t="s">
        <v>72</v>
      </c>
      <c r="AS12">
        <v>993</v>
      </c>
      <c r="AT12" s="4">
        <v>42464</v>
      </c>
      <c r="AU12" t="s">
        <v>73</v>
      </c>
      <c r="AV12">
        <v>993</v>
      </c>
      <c r="AW12" s="4">
        <v>42464</v>
      </c>
      <c r="BD12">
        <v>0</v>
      </c>
      <c r="BN12" t="s">
        <v>74</v>
      </c>
    </row>
    <row r="13" spans="1:66" hidden="1">
      <c r="A13">
        <v>100001</v>
      </c>
      <c r="B13" s="3" t="s">
        <v>66</v>
      </c>
      <c r="C13" s="1">
        <v>43300101</v>
      </c>
      <c r="D13" t="s">
        <v>67</v>
      </c>
      <c r="H13" t="str">
        <f t="shared" si="0"/>
        <v>00076670595</v>
      </c>
      <c r="I13" t="str">
        <f t="shared" si="0"/>
        <v>00076670595</v>
      </c>
      <c r="K13" t="str">
        <f>""</f>
        <v/>
      </c>
      <c r="M13" t="s">
        <v>68</v>
      </c>
      <c r="N13" t="str">
        <f t="shared" si="1"/>
        <v>FOR</v>
      </c>
      <c r="O13" t="s">
        <v>69</v>
      </c>
      <c r="P13" s="3" t="s">
        <v>75</v>
      </c>
      <c r="Q13">
        <v>2015</v>
      </c>
      <c r="R13" s="2">
        <v>42114</v>
      </c>
      <c r="S13" s="2">
        <v>42135</v>
      </c>
      <c r="T13" s="2">
        <v>42132</v>
      </c>
      <c r="U13" s="2">
        <v>42192</v>
      </c>
      <c r="V13" t="s">
        <v>71</v>
      </c>
      <c r="W13" t="str">
        <f>"          S15F011360"</f>
        <v xml:space="preserve">          S15F011360</v>
      </c>
      <c r="X13" s="1">
        <v>3294</v>
      </c>
      <c r="Y13">
        <v>0</v>
      </c>
      <c r="Z13"/>
      <c r="AB13"/>
      <c r="AC13" s="1">
        <v>2700</v>
      </c>
      <c r="AD13">
        <v>272</v>
      </c>
      <c r="AE13" s="1">
        <v>734400</v>
      </c>
      <c r="AF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 s="2">
        <v>42746</v>
      </c>
      <c r="AQ13" t="s">
        <v>72</v>
      </c>
      <c r="AR13" t="s">
        <v>72</v>
      </c>
      <c r="AS13">
        <v>993</v>
      </c>
      <c r="AT13" s="4">
        <v>42464</v>
      </c>
      <c r="AU13" t="s">
        <v>73</v>
      </c>
      <c r="AV13">
        <v>993</v>
      </c>
      <c r="AW13" s="4">
        <v>42464</v>
      </c>
      <c r="BD13">
        <v>0</v>
      </c>
      <c r="BN13" t="s">
        <v>74</v>
      </c>
    </row>
    <row r="14" spans="1:66" hidden="1">
      <c r="A14">
        <v>100001</v>
      </c>
      <c r="B14" s="3" t="s">
        <v>66</v>
      </c>
      <c r="C14" s="1">
        <v>43300101</v>
      </c>
      <c r="D14" t="s">
        <v>67</v>
      </c>
      <c r="H14" t="str">
        <f t="shared" si="0"/>
        <v>00076670595</v>
      </c>
      <c r="I14" t="str">
        <f t="shared" si="0"/>
        <v>00076670595</v>
      </c>
      <c r="K14" t="str">
        <f>""</f>
        <v/>
      </c>
      <c r="M14" t="s">
        <v>68</v>
      </c>
      <c r="N14" t="str">
        <f t="shared" si="1"/>
        <v>FOR</v>
      </c>
      <c r="O14" t="s">
        <v>69</v>
      </c>
      <c r="P14" s="3" t="s">
        <v>75</v>
      </c>
      <c r="Q14">
        <v>2015</v>
      </c>
      <c r="R14" s="2">
        <v>42130</v>
      </c>
      <c r="S14" s="2">
        <v>42131</v>
      </c>
      <c r="T14" s="2">
        <v>42130</v>
      </c>
      <c r="U14" s="2">
        <v>42190</v>
      </c>
      <c r="V14" t="s">
        <v>71</v>
      </c>
      <c r="W14" t="str">
        <f>"          S15F013325"</f>
        <v xml:space="preserve">          S15F013325</v>
      </c>
      <c r="X14" s="1">
        <v>1732.5</v>
      </c>
      <c r="Y14">
        <v>0</v>
      </c>
      <c r="Z14"/>
      <c r="AB14"/>
      <c r="AC14" s="1">
        <v>1575</v>
      </c>
      <c r="AD14">
        <v>274</v>
      </c>
      <c r="AE14" s="1">
        <v>431550</v>
      </c>
      <c r="AF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 s="2">
        <v>42746</v>
      </c>
      <c r="AQ14" t="s">
        <v>72</v>
      </c>
      <c r="AR14" t="s">
        <v>72</v>
      </c>
      <c r="AS14">
        <v>993</v>
      </c>
      <c r="AT14" s="4">
        <v>42464</v>
      </c>
      <c r="AU14" t="s">
        <v>73</v>
      </c>
      <c r="AV14">
        <v>993</v>
      </c>
      <c r="AW14" s="4">
        <v>42464</v>
      </c>
      <c r="BD14">
        <v>0</v>
      </c>
      <c r="BN14" t="s">
        <v>74</v>
      </c>
    </row>
    <row r="15" spans="1:66" hidden="1">
      <c r="A15">
        <v>100001</v>
      </c>
      <c r="B15" s="3" t="s">
        <v>66</v>
      </c>
      <c r="C15" s="1">
        <v>43300101</v>
      </c>
      <c r="D15" t="s">
        <v>67</v>
      </c>
      <c r="H15" t="str">
        <f t="shared" si="0"/>
        <v>00076670595</v>
      </c>
      <c r="I15" t="str">
        <f t="shared" si="0"/>
        <v>00076670595</v>
      </c>
      <c r="K15" t="str">
        <f>""</f>
        <v/>
      </c>
      <c r="M15" t="s">
        <v>68</v>
      </c>
      <c r="N15" t="str">
        <f t="shared" si="1"/>
        <v>FOR</v>
      </c>
      <c r="O15" t="s">
        <v>69</v>
      </c>
      <c r="P15" s="3" t="s">
        <v>75</v>
      </c>
      <c r="Q15">
        <v>2015</v>
      </c>
      <c r="R15" s="2">
        <v>42144</v>
      </c>
      <c r="S15" s="2">
        <v>42160</v>
      </c>
      <c r="T15" s="2">
        <v>42145</v>
      </c>
      <c r="U15" s="2">
        <v>42205</v>
      </c>
      <c r="V15" t="s">
        <v>71</v>
      </c>
      <c r="W15" t="str">
        <f>"          S15F014688"</f>
        <v xml:space="preserve">          S15F014688</v>
      </c>
      <c r="X15">
        <v>334.28</v>
      </c>
      <c r="Y15">
        <v>0</v>
      </c>
      <c r="Z15"/>
      <c r="AB15"/>
      <c r="AC15">
        <v>274</v>
      </c>
      <c r="AD15">
        <v>259</v>
      </c>
      <c r="AE15" s="1">
        <v>70966</v>
      </c>
      <c r="AF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 s="2">
        <v>42746</v>
      </c>
      <c r="AQ15" t="s">
        <v>72</v>
      </c>
      <c r="AR15" t="s">
        <v>72</v>
      </c>
      <c r="AS15">
        <v>993</v>
      </c>
      <c r="AT15" s="4">
        <v>42464</v>
      </c>
      <c r="AU15" t="s">
        <v>73</v>
      </c>
      <c r="AV15">
        <v>993</v>
      </c>
      <c r="AW15" s="4">
        <v>42464</v>
      </c>
      <c r="BD15">
        <v>0</v>
      </c>
      <c r="BN15" t="s">
        <v>74</v>
      </c>
    </row>
    <row r="16" spans="1:66">
      <c r="A16">
        <v>100001</v>
      </c>
      <c r="B16" s="3" t="s">
        <v>66</v>
      </c>
      <c r="C16" s="1">
        <v>43300101</v>
      </c>
      <c r="D16" t="s">
        <v>67</v>
      </c>
      <c r="H16" t="str">
        <f t="shared" si="0"/>
        <v>00076670595</v>
      </c>
      <c r="I16" t="str">
        <f t="shared" si="0"/>
        <v>00076670595</v>
      </c>
      <c r="K16" t="str">
        <f>""</f>
        <v/>
      </c>
      <c r="M16" t="s">
        <v>68</v>
      </c>
      <c r="N16" t="str">
        <f t="shared" si="1"/>
        <v>FOR</v>
      </c>
      <c r="O16" t="s">
        <v>69</v>
      </c>
      <c r="P16" s="3" t="s">
        <v>75</v>
      </c>
      <c r="Q16">
        <v>2015</v>
      </c>
      <c r="R16" s="2">
        <v>42146</v>
      </c>
      <c r="S16" s="2">
        <v>42163</v>
      </c>
      <c r="T16" s="2">
        <v>42149</v>
      </c>
      <c r="U16" s="2">
        <v>42209</v>
      </c>
      <c r="V16" t="s">
        <v>71</v>
      </c>
      <c r="W16" t="str">
        <f>"          S15F015095"</f>
        <v xml:space="preserve">          S15F015095</v>
      </c>
      <c r="X16" s="1">
        <v>2287.5</v>
      </c>
      <c r="Y16">
        <v>0</v>
      </c>
      <c r="Z16" s="5">
        <v>1875</v>
      </c>
      <c r="AA16">
        <v>488</v>
      </c>
      <c r="AB16" s="5">
        <v>915000</v>
      </c>
      <c r="AC16" s="1">
        <v>1875</v>
      </c>
      <c r="AD16">
        <v>488</v>
      </c>
      <c r="AE16" s="1">
        <v>915000</v>
      </c>
      <c r="AF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 s="2">
        <v>42746</v>
      </c>
      <c r="AQ16" t="s">
        <v>72</v>
      </c>
      <c r="AR16" t="s">
        <v>72</v>
      </c>
      <c r="AS16">
        <v>3298</v>
      </c>
      <c r="AT16" s="4">
        <v>42697</v>
      </c>
      <c r="AU16" t="s">
        <v>73</v>
      </c>
      <c r="AV16">
        <v>3298</v>
      </c>
      <c r="AW16" s="4">
        <v>42697</v>
      </c>
      <c r="BD16">
        <v>0</v>
      </c>
      <c r="BN16" t="s">
        <v>74</v>
      </c>
    </row>
    <row r="17" spans="1:66" hidden="1">
      <c r="A17">
        <v>100001</v>
      </c>
      <c r="B17" s="3" t="s">
        <v>66</v>
      </c>
      <c r="C17" s="1">
        <v>43300101</v>
      </c>
      <c r="D17" t="s">
        <v>67</v>
      </c>
      <c r="H17" t="str">
        <f t="shared" si="0"/>
        <v>00076670595</v>
      </c>
      <c r="I17" t="str">
        <f t="shared" si="0"/>
        <v>00076670595</v>
      </c>
      <c r="K17" t="str">
        <f>""</f>
        <v/>
      </c>
      <c r="M17" t="s">
        <v>68</v>
      </c>
      <c r="N17" t="str">
        <f t="shared" si="1"/>
        <v>FOR</v>
      </c>
      <c r="O17" t="s">
        <v>69</v>
      </c>
      <c r="P17" s="3" t="s">
        <v>75</v>
      </c>
      <c r="Q17">
        <v>2015</v>
      </c>
      <c r="R17" s="2">
        <v>42146</v>
      </c>
      <c r="S17" s="2">
        <v>42158</v>
      </c>
      <c r="T17" s="2">
        <v>42153</v>
      </c>
      <c r="U17" s="2">
        <v>42213</v>
      </c>
      <c r="V17" t="s">
        <v>71</v>
      </c>
      <c r="W17" t="str">
        <f>"          S15F015283"</f>
        <v xml:space="preserve">          S15F015283</v>
      </c>
      <c r="X17" s="1">
        <v>3465</v>
      </c>
      <c r="Y17">
        <v>0</v>
      </c>
      <c r="Z17"/>
      <c r="AB17"/>
      <c r="AC17" s="1">
        <v>3150</v>
      </c>
      <c r="AD17">
        <v>251</v>
      </c>
      <c r="AE17" s="1">
        <v>790650</v>
      </c>
      <c r="AF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 s="2">
        <v>42746</v>
      </c>
      <c r="AQ17" t="s">
        <v>72</v>
      </c>
      <c r="AR17" t="s">
        <v>72</v>
      </c>
      <c r="AS17">
        <v>993</v>
      </c>
      <c r="AT17" s="4">
        <v>42464</v>
      </c>
      <c r="AU17" t="s">
        <v>73</v>
      </c>
      <c r="AV17">
        <v>993</v>
      </c>
      <c r="AW17" s="4">
        <v>42464</v>
      </c>
      <c r="BD17">
        <v>0</v>
      </c>
      <c r="BN17" t="s">
        <v>74</v>
      </c>
    </row>
    <row r="18" spans="1:66" hidden="1">
      <c r="A18">
        <v>100001</v>
      </c>
      <c r="B18" s="3" t="s">
        <v>66</v>
      </c>
      <c r="C18" s="1">
        <v>43300101</v>
      </c>
      <c r="D18" t="s">
        <v>67</v>
      </c>
      <c r="H18" t="str">
        <f t="shared" si="0"/>
        <v>00076670595</v>
      </c>
      <c r="I18" t="str">
        <f t="shared" si="0"/>
        <v>00076670595</v>
      </c>
      <c r="K18" t="str">
        <f>""</f>
        <v/>
      </c>
      <c r="M18" t="s">
        <v>68</v>
      </c>
      <c r="N18" t="str">
        <f t="shared" si="1"/>
        <v>FOR</v>
      </c>
      <c r="O18" t="s">
        <v>69</v>
      </c>
      <c r="P18" s="3" t="s">
        <v>75</v>
      </c>
      <c r="Q18">
        <v>2015</v>
      </c>
      <c r="R18" s="2">
        <v>42171</v>
      </c>
      <c r="S18" s="2">
        <v>42174</v>
      </c>
      <c r="T18" s="2">
        <v>42173</v>
      </c>
      <c r="U18" s="2">
        <v>42233</v>
      </c>
      <c r="V18" t="s">
        <v>71</v>
      </c>
      <c r="W18" t="str">
        <f>"          S15F017504"</f>
        <v xml:space="preserve">          S15F017504</v>
      </c>
      <c r="X18" s="1">
        <v>3465</v>
      </c>
      <c r="Y18">
        <v>0</v>
      </c>
      <c r="Z18"/>
      <c r="AB18"/>
      <c r="AC18" s="1">
        <v>3150</v>
      </c>
      <c r="AD18">
        <v>259</v>
      </c>
      <c r="AE18" s="1">
        <v>815850</v>
      </c>
      <c r="AF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 s="2">
        <v>42746</v>
      </c>
      <c r="AQ18" t="s">
        <v>72</v>
      </c>
      <c r="AR18" t="s">
        <v>72</v>
      </c>
      <c r="AS18">
        <v>1218</v>
      </c>
      <c r="AT18" s="4">
        <v>42492</v>
      </c>
      <c r="AU18" t="s">
        <v>73</v>
      </c>
      <c r="AV18">
        <v>1218</v>
      </c>
      <c r="AW18" s="4">
        <v>42492</v>
      </c>
      <c r="BD18">
        <v>0</v>
      </c>
      <c r="BN18" t="s">
        <v>74</v>
      </c>
    </row>
    <row r="19" spans="1:66" hidden="1">
      <c r="A19">
        <v>100001</v>
      </c>
      <c r="B19" s="3" t="s">
        <v>66</v>
      </c>
      <c r="C19" s="1">
        <v>43300101</v>
      </c>
      <c r="D19" t="s">
        <v>67</v>
      </c>
      <c r="H19" t="str">
        <f t="shared" si="0"/>
        <v>00076670595</v>
      </c>
      <c r="I19" t="str">
        <f t="shared" si="0"/>
        <v>00076670595</v>
      </c>
      <c r="K19" t="str">
        <f>""</f>
        <v/>
      </c>
      <c r="M19" t="s">
        <v>68</v>
      </c>
      <c r="N19" t="str">
        <f t="shared" si="1"/>
        <v>FOR</v>
      </c>
      <c r="O19" t="s">
        <v>69</v>
      </c>
      <c r="P19" s="3" t="s">
        <v>75</v>
      </c>
      <c r="Q19">
        <v>2015</v>
      </c>
      <c r="R19" s="2">
        <v>42177</v>
      </c>
      <c r="S19" s="2">
        <v>42181</v>
      </c>
      <c r="T19" s="2">
        <v>42178</v>
      </c>
      <c r="U19" s="2">
        <v>42238</v>
      </c>
      <c r="V19" t="s">
        <v>71</v>
      </c>
      <c r="W19" t="str">
        <f>"          S15F017959"</f>
        <v xml:space="preserve">          S15F017959</v>
      </c>
      <c r="X19" s="1">
        <v>3563.93</v>
      </c>
      <c r="Y19">
        <v>0</v>
      </c>
      <c r="Z19"/>
      <c r="AB19"/>
      <c r="AC19" s="1">
        <v>2921.25</v>
      </c>
      <c r="AD19">
        <v>254</v>
      </c>
      <c r="AE19" s="1">
        <v>741997.5</v>
      </c>
      <c r="AF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 s="2">
        <v>42746</v>
      </c>
      <c r="AQ19" t="s">
        <v>72</v>
      </c>
      <c r="AR19" t="s">
        <v>72</v>
      </c>
      <c r="AS19">
        <v>1218</v>
      </c>
      <c r="AT19" s="4">
        <v>42492</v>
      </c>
      <c r="AU19" t="s">
        <v>73</v>
      </c>
      <c r="AV19">
        <v>1218</v>
      </c>
      <c r="AW19" s="4">
        <v>42492</v>
      </c>
      <c r="BD19">
        <v>0</v>
      </c>
      <c r="BN19" t="s">
        <v>74</v>
      </c>
    </row>
    <row r="20" spans="1:66" hidden="1">
      <c r="A20">
        <v>100001</v>
      </c>
      <c r="B20" s="3" t="s">
        <v>66</v>
      </c>
      <c r="C20" s="1">
        <v>43300101</v>
      </c>
      <c r="D20" t="s">
        <v>67</v>
      </c>
      <c r="H20" t="str">
        <f t="shared" si="0"/>
        <v>00076670595</v>
      </c>
      <c r="I20" t="str">
        <f t="shared" si="0"/>
        <v>00076670595</v>
      </c>
      <c r="K20" t="str">
        <f>""</f>
        <v/>
      </c>
      <c r="M20" t="s">
        <v>68</v>
      </c>
      <c r="N20" t="str">
        <f t="shared" si="1"/>
        <v>FOR</v>
      </c>
      <c r="O20" t="s">
        <v>69</v>
      </c>
      <c r="P20" s="3" t="s">
        <v>75</v>
      </c>
      <c r="Q20">
        <v>2015</v>
      </c>
      <c r="R20" s="2">
        <v>42179</v>
      </c>
      <c r="S20" s="2">
        <v>42185</v>
      </c>
      <c r="T20" s="2">
        <v>42181</v>
      </c>
      <c r="U20" s="2">
        <v>42241</v>
      </c>
      <c r="V20" t="s">
        <v>71</v>
      </c>
      <c r="W20" t="str">
        <f>"          S15F018695"</f>
        <v xml:space="preserve">          S15F018695</v>
      </c>
      <c r="X20" s="1">
        <v>25410.65</v>
      </c>
      <c r="Y20">
        <v>0</v>
      </c>
      <c r="Z20"/>
      <c r="AB20"/>
      <c r="AC20" s="1">
        <v>20828.400000000001</v>
      </c>
      <c r="AD20">
        <v>251</v>
      </c>
      <c r="AE20" s="1">
        <v>5227928.4000000004</v>
      </c>
      <c r="AF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 s="2">
        <v>42746</v>
      </c>
      <c r="AQ20" t="s">
        <v>72</v>
      </c>
      <c r="AR20" t="s">
        <v>72</v>
      </c>
      <c r="AS20">
        <v>1218</v>
      </c>
      <c r="AT20" s="4">
        <v>42492</v>
      </c>
      <c r="AU20" t="s">
        <v>73</v>
      </c>
      <c r="AV20">
        <v>1218</v>
      </c>
      <c r="AW20" s="4">
        <v>42492</v>
      </c>
      <c r="BD20">
        <v>0</v>
      </c>
      <c r="BN20" t="s">
        <v>74</v>
      </c>
    </row>
    <row r="21" spans="1:66" hidden="1">
      <c r="A21">
        <v>100001</v>
      </c>
      <c r="B21" s="3" t="s">
        <v>66</v>
      </c>
      <c r="C21" s="1">
        <v>43300101</v>
      </c>
      <c r="D21" t="s">
        <v>67</v>
      </c>
      <c r="H21" t="str">
        <f t="shared" si="0"/>
        <v>00076670595</v>
      </c>
      <c r="I21" t="str">
        <f t="shared" si="0"/>
        <v>00076670595</v>
      </c>
      <c r="K21" t="str">
        <f>""</f>
        <v/>
      </c>
      <c r="M21" t="s">
        <v>68</v>
      </c>
      <c r="N21" t="str">
        <f t="shared" si="1"/>
        <v>FOR</v>
      </c>
      <c r="O21" t="s">
        <v>69</v>
      </c>
      <c r="P21" s="3" t="s">
        <v>75</v>
      </c>
      <c r="Q21">
        <v>2015</v>
      </c>
      <c r="R21" s="2">
        <v>42194</v>
      </c>
      <c r="S21" s="2">
        <v>42202</v>
      </c>
      <c r="T21" s="2">
        <v>42199</v>
      </c>
      <c r="U21" s="2">
        <v>42259</v>
      </c>
      <c r="V21" t="s">
        <v>71</v>
      </c>
      <c r="W21" t="str">
        <f>"          S15F020281"</f>
        <v xml:space="preserve">          S15F020281</v>
      </c>
      <c r="X21" s="1">
        <v>1732.5</v>
      </c>
      <c r="Y21">
        <v>0</v>
      </c>
      <c r="Z21"/>
      <c r="AB21"/>
      <c r="AC21" s="1">
        <v>1575</v>
      </c>
      <c r="AD21">
        <v>261</v>
      </c>
      <c r="AE21" s="1">
        <v>411075</v>
      </c>
      <c r="AF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 s="2">
        <v>42746</v>
      </c>
      <c r="AQ21" t="s">
        <v>72</v>
      </c>
      <c r="AR21" t="s">
        <v>72</v>
      </c>
      <c r="AS21">
        <v>1431</v>
      </c>
      <c r="AT21" s="4">
        <v>42520</v>
      </c>
      <c r="AU21" t="s">
        <v>73</v>
      </c>
      <c r="AV21">
        <v>1431</v>
      </c>
      <c r="AW21" s="4">
        <v>42520</v>
      </c>
      <c r="BD21">
        <v>0</v>
      </c>
      <c r="BN21" t="s">
        <v>74</v>
      </c>
    </row>
    <row r="22" spans="1:66" hidden="1">
      <c r="A22">
        <v>100001</v>
      </c>
      <c r="B22" s="3" t="s">
        <v>66</v>
      </c>
      <c r="C22" s="1">
        <v>43300101</v>
      </c>
      <c r="D22" t="s">
        <v>67</v>
      </c>
      <c r="H22" t="str">
        <f t="shared" si="0"/>
        <v>00076670595</v>
      </c>
      <c r="I22" t="str">
        <f t="shared" si="0"/>
        <v>00076670595</v>
      </c>
      <c r="K22" t="str">
        <f>""</f>
        <v/>
      </c>
      <c r="M22" t="s">
        <v>68</v>
      </c>
      <c r="N22" t="str">
        <f t="shared" si="1"/>
        <v>FOR</v>
      </c>
      <c r="O22" t="s">
        <v>69</v>
      </c>
      <c r="P22" s="3" t="s">
        <v>75</v>
      </c>
      <c r="Q22">
        <v>2015</v>
      </c>
      <c r="R22" s="2">
        <v>42208</v>
      </c>
      <c r="S22" s="2">
        <v>42212</v>
      </c>
      <c r="T22" s="2">
        <v>42209</v>
      </c>
      <c r="U22" s="2">
        <v>42269</v>
      </c>
      <c r="V22" t="s">
        <v>71</v>
      </c>
      <c r="W22" t="str">
        <f>"          S15F021773"</f>
        <v xml:space="preserve">          S15F021773</v>
      </c>
      <c r="X22">
        <v>641.72</v>
      </c>
      <c r="Y22">
        <v>0</v>
      </c>
      <c r="Z22"/>
      <c r="AB22"/>
      <c r="AC22">
        <v>526</v>
      </c>
      <c r="AD22">
        <v>251</v>
      </c>
      <c r="AE22" s="1">
        <v>132026</v>
      </c>
      <c r="AF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 s="2">
        <v>42746</v>
      </c>
      <c r="AQ22" t="s">
        <v>72</v>
      </c>
      <c r="AR22" t="s">
        <v>72</v>
      </c>
      <c r="AS22">
        <v>1431</v>
      </c>
      <c r="AT22" s="4">
        <v>42520</v>
      </c>
      <c r="AU22" t="s">
        <v>73</v>
      </c>
      <c r="AV22">
        <v>1431</v>
      </c>
      <c r="AW22" s="4">
        <v>42520</v>
      </c>
      <c r="BD22">
        <v>0</v>
      </c>
      <c r="BN22" t="s">
        <v>74</v>
      </c>
    </row>
    <row r="23" spans="1:66" hidden="1">
      <c r="A23">
        <v>100001</v>
      </c>
      <c r="B23" s="3" t="s">
        <v>66</v>
      </c>
      <c r="C23" s="1">
        <v>43300101</v>
      </c>
      <c r="D23" t="s">
        <v>67</v>
      </c>
      <c r="H23" t="str">
        <f t="shared" ref="H23:I35" si="2">"00076670595"</f>
        <v>00076670595</v>
      </c>
      <c r="I23" t="str">
        <f t="shared" si="2"/>
        <v>00076670595</v>
      </c>
      <c r="K23" t="str">
        <f>""</f>
        <v/>
      </c>
      <c r="M23" t="s">
        <v>68</v>
      </c>
      <c r="N23" t="str">
        <f t="shared" si="1"/>
        <v>FOR</v>
      </c>
      <c r="O23" t="s">
        <v>69</v>
      </c>
      <c r="P23" s="3" t="s">
        <v>75</v>
      </c>
      <c r="Q23">
        <v>2015</v>
      </c>
      <c r="R23" s="2">
        <v>42220</v>
      </c>
      <c r="S23" s="2">
        <v>42223</v>
      </c>
      <c r="T23" s="2">
        <v>42221</v>
      </c>
      <c r="U23" s="2">
        <v>42281</v>
      </c>
      <c r="V23" t="s">
        <v>71</v>
      </c>
      <c r="W23" t="str">
        <f>"          S15F022906"</f>
        <v xml:space="preserve">          S15F022906</v>
      </c>
      <c r="X23" s="1">
        <v>3465</v>
      </c>
      <c r="Y23">
        <v>0</v>
      </c>
      <c r="Z23"/>
      <c r="AB23"/>
      <c r="AC23" s="1">
        <v>3150</v>
      </c>
      <c r="AD23">
        <v>298</v>
      </c>
      <c r="AE23" s="1">
        <v>938700</v>
      </c>
      <c r="AF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 s="2">
        <v>42746</v>
      </c>
      <c r="AQ23" t="s">
        <v>72</v>
      </c>
      <c r="AR23" t="s">
        <v>72</v>
      </c>
      <c r="AS23">
        <v>2024</v>
      </c>
      <c r="AT23" s="4">
        <v>42579</v>
      </c>
      <c r="AU23" t="s">
        <v>73</v>
      </c>
      <c r="AV23">
        <v>2024</v>
      </c>
      <c r="AW23" s="4">
        <v>42579</v>
      </c>
      <c r="BD23">
        <v>0</v>
      </c>
      <c r="BN23" t="s">
        <v>74</v>
      </c>
    </row>
    <row r="24" spans="1:66">
      <c r="A24">
        <v>100001</v>
      </c>
      <c r="B24" s="3" t="s">
        <v>66</v>
      </c>
      <c r="C24" s="1">
        <v>43300101</v>
      </c>
      <c r="D24" t="s">
        <v>67</v>
      </c>
      <c r="H24" t="str">
        <f t="shared" si="2"/>
        <v>00076670595</v>
      </c>
      <c r="I24" t="str">
        <f t="shared" si="2"/>
        <v>00076670595</v>
      </c>
      <c r="K24" t="str">
        <f>""</f>
        <v/>
      </c>
      <c r="M24" t="s">
        <v>68</v>
      </c>
      <c r="N24" t="str">
        <f t="shared" si="1"/>
        <v>FOR</v>
      </c>
      <c r="O24" t="s">
        <v>69</v>
      </c>
      <c r="P24" s="3" t="s">
        <v>75</v>
      </c>
      <c r="Q24">
        <v>2015</v>
      </c>
      <c r="R24" s="2">
        <v>42240</v>
      </c>
      <c r="S24" s="2">
        <v>42419</v>
      </c>
      <c r="T24" s="2">
        <v>42417</v>
      </c>
      <c r="U24" s="2">
        <v>42477</v>
      </c>
      <c r="V24" t="s">
        <v>71</v>
      </c>
      <c r="W24" t="str">
        <f>"          S15F024045"</f>
        <v xml:space="preserve">          S15F024045</v>
      </c>
      <c r="X24" s="1">
        <v>2287.5</v>
      </c>
      <c r="Y24">
        <v>0</v>
      </c>
      <c r="Z24" s="5">
        <v>1875</v>
      </c>
      <c r="AA24">
        <v>220</v>
      </c>
      <c r="AB24" s="5">
        <v>412500</v>
      </c>
      <c r="AC24" s="1">
        <v>1875</v>
      </c>
      <c r="AD24">
        <v>220</v>
      </c>
      <c r="AE24" s="1">
        <v>412500</v>
      </c>
      <c r="AF24">
        <v>0</v>
      </c>
      <c r="AJ24">
        <v>0</v>
      </c>
      <c r="AK24">
        <v>0</v>
      </c>
      <c r="AL24">
        <v>0</v>
      </c>
      <c r="AM24">
        <v>0</v>
      </c>
      <c r="AN24" s="1">
        <v>2287.5</v>
      </c>
      <c r="AO24">
        <v>0</v>
      </c>
      <c r="AP24" s="2">
        <v>42746</v>
      </c>
      <c r="AQ24" t="s">
        <v>72</v>
      </c>
      <c r="AR24" t="s">
        <v>72</v>
      </c>
      <c r="AS24">
        <v>3298</v>
      </c>
      <c r="AT24" s="4">
        <v>42697</v>
      </c>
      <c r="AU24" t="s">
        <v>73</v>
      </c>
      <c r="AV24">
        <v>3298</v>
      </c>
      <c r="AW24" s="4">
        <v>42697</v>
      </c>
      <c r="BD24">
        <v>0</v>
      </c>
      <c r="BN24" t="s">
        <v>74</v>
      </c>
    </row>
    <row r="25" spans="1:66" hidden="1">
      <c r="A25">
        <v>100001</v>
      </c>
      <c r="B25" s="3" t="s">
        <v>66</v>
      </c>
      <c r="C25" s="1">
        <v>43300101</v>
      </c>
      <c r="D25" t="s">
        <v>67</v>
      </c>
      <c r="H25" t="str">
        <f t="shared" si="2"/>
        <v>00076670595</v>
      </c>
      <c r="I25" t="str">
        <f t="shared" si="2"/>
        <v>00076670595</v>
      </c>
      <c r="K25" t="str">
        <f>""</f>
        <v/>
      </c>
      <c r="M25" t="s">
        <v>68</v>
      </c>
      <c r="N25" t="str">
        <f t="shared" si="1"/>
        <v>FOR</v>
      </c>
      <c r="O25" t="s">
        <v>69</v>
      </c>
      <c r="P25" s="3" t="s">
        <v>75</v>
      </c>
      <c r="Q25">
        <v>2015</v>
      </c>
      <c r="R25" s="2">
        <v>42250</v>
      </c>
      <c r="S25" s="2">
        <v>42251</v>
      </c>
      <c r="T25" s="2">
        <v>42250</v>
      </c>
      <c r="U25" s="2">
        <v>42310</v>
      </c>
      <c r="V25" t="s">
        <v>71</v>
      </c>
      <c r="W25" t="str">
        <f>"          S15F025000"</f>
        <v xml:space="preserve">          S15F025000</v>
      </c>
      <c r="X25" s="1">
        <v>3465</v>
      </c>
      <c r="Y25">
        <v>0</v>
      </c>
      <c r="Z25"/>
      <c r="AB25"/>
      <c r="AC25" s="1">
        <v>3150</v>
      </c>
      <c r="AD25">
        <v>311</v>
      </c>
      <c r="AE25" s="1">
        <v>979650</v>
      </c>
      <c r="AF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 s="2">
        <v>42746</v>
      </c>
      <c r="AQ25" t="s">
        <v>72</v>
      </c>
      <c r="AR25" t="s">
        <v>72</v>
      </c>
      <c r="AS25">
        <v>2384</v>
      </c>
      <c r="AT25" s="4">
        <v>42621</v>
      </c>
      <c r="AU25" t="s">
        <v>73</v>
      </c>
      <c r="AV25">
        <v>2384</v>
      </c>
      <c r="AW25" s="4">
        <v>42621</v>
      </c>
      <c r="BD25">
        <v>0</v>
      </c>
      <c r="BN25" t="s">
        <v>74</v>
      </c>
    </row>
    <row r="26" spans="1:66" hidden="1">
      <c r="A26">
        <v>100001</v>
      </c>
      <c r="B26" s="3" t="s">
        <v>66</v>
      </c>
      <c r="C26" s="1">
        <v>43300101</v>
      </c>
      <c r="D26" t="s">
        <v>67</v>
      </c>
      <c r="H26" t="str">
        <f t="shared" si="2"/>
        <v>00076670595</v>
      </c>
      <c r="I26" t="str">
        <f t="shared" si="2"/>
        <v>00076670595</v>
      </c>
      <c r="K26" t="str">
        <f>""</f>
        <v/>
      </c>
      <c r="M26" t="s">
        <v>68</v>
      </c>
      <c r="N26" t="str">
        <f t="shared" si="1"/>
        <v>FOR</v>
      </c>
      <c r="O26" t="s">
        <v>69</v>
      </c>
      <c r="P26" s="3" t="s">
        <v>75</v>
      </c>
      <c r="Q26">
        <v>2015</v>
      </c>
      <c r="R26" s="2">
        <v>42275</v>
      </c>
      <c r="S26" s="2">
        <v>42277</v>
      </c>
      <c r="T26" s="2">
        <v>42276</v>
      </c>
      <c r="U26" s="2">
        <v>42336</v>
      </c>
      <c r="V26" t="s">
        <v>71</v>
      </c>
      <c r="W26" t="str">
        <f>"          S15F027346"</f>
        <v xml:space="preserve">          S15F027346</v>
      </c>
      <c r="X26" s="1">
        <v>31722.62</v>
      </c>
      <c r="Y26">
        <v>0</v>
      </c>
      <c r="Z26"/>
      <c r="AB26"/>
      <c r="AC26" s="1">
        <v>26002.15</v>
      </c>
      <c r="AD26">
        <v>285</v>
      </c>
      <c r="AE26" s="1">
        <v>7410612.75</v>
      </c>
      <c r="AF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 s="2">
        <v>42746</v>
      </c>
      <c r="AQ26" t="s">
        <v>72</v>
      </c>
      <c r="AR26" t="s">
        <v>72</v>
      </c>
      <c r="AS26">
        <v>2384</v>
      </c>
      <c r="AT26" s="4">
        <v>42621</v>
      </c>
      <c r="AU26" t="s">
        <v>73</v>
      </c>
      <c r="AV26">
        <v>2384</v>
      </c>
      <c r="AW26" s="4">
        <v>42621</v>
      </c>
      <c r="BD26">
        <v>0</v>
      </c>
      <c r="BN26" t="s">
        <v>74</v>
      </c>
    </row>
    <row r="27" spans="1:66">
      <c r="A27">
        <v>100001</v>
      </c>
      <c r="B27" s="3" t="s">
        <v>66</v>
      </c>
      <c r="C27" s="1">
        <v>43300101</v>
      </c>
      <c r="D27" t="s">
        <v>67</v>
      </c>
      <c r="H27" t="str">
        <f t="shared" si="2"/>
        <v>00076670595</v>
      </c>
      <c r="I27" t="str">
        <f t="shared" si="2"/>
        <v>00076670595</v>
      </c>
      <c r="K27" t="str">
        <f>""</f>
        <v/>
      </c>
      <c r="M27" t="s">
        <v>68</v>
      </c>
      <c r="N27" t="str">
        <f t="shared" si="1"/>
        <v>FOR</v>
      </c>
      <c r="O27" t="s">
        <v>69</v>
      </c>
      <c r="P27" s="3" t="s">
        <v>75</v>
      </c>
      <c r="Q27">
        <v>2015</v>
      </c>
      <c r="R27" s="2">
        <v>42331</v>
      </c>
      <c r="S27" s="2">
        <v>42333</v>
      </c>
      <c r="T27" s="2">
        <v>42332</v>
      </c>
      <c r="U27" s="2">
        <v>42392</v>
      </c>
      <c r="V27" t="s">
        <v>71</v>
      </c>
      <c r="W27" t="str">
        <f>"          S15F032626"</f>
        <v xml:space="preserve">          S15F032626</v>
      </c>
      <c r="X27" s="1">
        <v>3465</v>
      </c>
      <c r="Y27">
        <v>0</v>
      </c>
      <c r="Z27" s="5">
        <v>3150</v>
      </c>
      <c r="AA27">
        <v>290</v>
      </c>
      <c r="AB27" s="5">
        <v>913500</v>
      </c>
      <c r="AC27" s="1">
        <v>3150</v>
      </c>
      <c r="AD27">
        <v>290</v>
      </c>
      <c r="AE27" s="1">
        <v>913500</v>
      </c>
      <c r="AF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 s="2">
        <v>42746</v>
      </c>
      <c r="AQ27" t="s">
        <v>72</v>
      </c>
      <c r="AR27" t="s">
        <v>72</v>
      </c>
      <c r="AS27">
        <v>2994</v>
      </c>
      <c r="AT27" s="4">
        <v>42682</v>
      </c>
      <c r="AU27" t="s">
        <v>73</v>
      </c>
      <c r="AV27">
        <v>2994</v>
      </c>
      <c r="AW27" s="4">
        <v>42682</v>
      </c>
      <c r="BD27">
        <v>0</v>
      </c>
      <c r="BN27" t="s">
        <v>74</v>
      </c>
    </row>
    <row r="28" spans="1:66">
      <c r="A28">
        <v>100001</v>
      </c>
      <c r="B28" s="3" t="s">
        <v>66</v>
      </c>
      <c r="C28" s="1">
        <v>43300101</v>
      </c>
      <c r="D28" t="s">
        <v>67</v>
      </c>
      <c r="H28" t="str">
        <f t="shared" si="2"/>
        <v>00076670595</v>
      </c>
      <c r="I28" t="str">
        <f t="shared" si="2"/>
        <v>00076670595</v>
      </c>
      <c r="K28" t="str">
        <f>""</f>
        <v/>
      </c>
      <c r="M28" t="s">
        <v>68</v>
      </c>
      <c r="N28" t="str">
        <f t="shared" si="1"/>
        <v>FOR</v>
      </c>
      <c r="O28" t="s">
        <v>69</v>
      </c>
      <c r="P28" s="3" t="s">
        <v>75</v>
      </c>
      <c r="Q28">
        <v>2015</v>
      </c>
      <c r="R28" s="2">
        <v>42333</v>
      </c>
      <c r="S28" s="2">
        <v>42338</v>
      </c>
      <c r="T28" s="2">
        <v>42334</v>
      </c>
      <c r="U28" s="2">
        <v>42394</v>
      </c>
      <c r="V28" t="s">
        <v>71</v>
      </c>
      <c r="W28" t="str">
        <f>"          S15F032997"</f>
        <v xml:space="preserve">          S15F032997</v>
      </c>
      <c r="X28" s="1">
        <v>2287.5</v>
      </c>
      <c r="Y28">
        <v>0</v>
      </c>
      <c r="Z28" s="5">
        <v>1875</v>
      </c>
      <c r="AA28">
        <v>303</v>
      </c>
      <c r="AB28" s="5">
        <v>568125</v>
      </c>
      <c r="AC28" s="1">
        <v>1875</v>
      </c>
      <c r="AD28">
        <v>303</v>
      </c>
      <c r="AE28" s="1">
        <v>568125</v>
      </c>
      <c r="AF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 s="2">
        <v>42746</v>
      </c>
      <c r="AQ28" t="s">
        <v>72</v>
      </c>
      <c r="AR28" t="s">
        <v>72</v>
      </c>
      <c r="AS28">
        <v>3298</v>
      </c>
      <c r="AT28" s="4">
        <v>42697</v>
      </c>
      <c r="AU28" t="s">
        <v>73</v>
      </c>
      <c r="AV28">
        <v>3298</v>
      </c>
      <c r="AW28" s="4">
        <v>42697</v>
      </c>
      <c r="BD28">
        <v>0</v>
      </c>
      <c r="BN28" t="s">
        <v>74</v>
      </c>
    </row>
    <row r="29" spans="1:66">
      <c r="A29">
        <v>100001</v>
      </c>
      <c r="B29" s="3" t="s">
        <v>66</v>
      </c>
      <c r="C29" s="1">
        <v>43300101</v>
      </c>
      <c r="D29" t="s">
        <v>67</v>
      </c>
      <c r="H29" t="str">
        <f t="shared" si="2"/>
        <v>00076670595</v>
      </c>
      <c r="I29" t="str">
        <f t="shared" si="2"/>
        <v>00076670595</v>
      </c>
      <c r="K29" t="str">
        <f>""</f>
        <v/>
      </c>
      <c r="M29" t="s">
        <v>68</v>
      </c>
      <c r="N29" t="str">
        <f t="shared" si="1"/>
        <v>FOR</v>
      </c>
      <c r="O29" t="s">
        <v>69</v>
      </c>
      <c r="P29" s="3" t="s">
        <v>75</v>
      </c>
      <c r="Q29">
        <v>2015</v>
      </c>
      <c r="R29" s="2">
        <v>42354</v>
      </c>
      <c r="S29" s="2">
        <v>42361</v>
      </c>
      <c r="T29" s="2">
        <v>42360</v>
      </c>
      <c r="U29" s="2">
        <v>42420</v>
      </c>
      <c r="V29" t="s">
        <v>71</v>
      </c>
      <c r="W29" t="str">
        <f>"          S15F035244"</f>
        <v xml:space="preserve">          S15F035244</v>
      </c>
      <c r="X29" s="1">
        <v>3465</v>
      </c>
      <c r="Y29">
        <v>0</v>
      </c>
      <c r="Z29" s="5">
        <v>3150</v>
      </c>
      <c r="AA29">
        <v>262</v>
      </c>
      <c r="AB29" s="5">
        <v>825300</v>
      </c>
      <c r="AC29" s="1">
        <v>3150</v>
      </c>
      <c r="AD29">
        <v>262</v>
      </c>
      <c r="AE29" s="1">
        <v>825300</v>
      </c>
      <c r="AF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 s="2">
        <v>42746</v>
      </c>
      <c r="AQ29" t="s">
        <v>72</v>
      </c>
      <c r="AR29" t="s">
        <v>72</v>
      </c>
      <c r="AS29">
        <v>2994</v>
      </c>
      <c r="AT29" s="4">
        <v>42682</v>
      </c>
      <c r="AU29" t="s">
        <v>73</v>
      </c>
      <c r="AV29">
        <v>2994</v>
      </c>
      <c r="AW29" s="4">
        <v>42682</v>
      </c>
      <c r="BD29">
        <v>0</v>
      </c>
      <c r="BN29" t="s">
        <v>74</v>
      </c>
    </row>
    <row r="30" spans="1:66">
      <c r="A30">
        <v>100001</v>
      </c>
      <c r="B30" s="3" t="s">
        <v>66</v>
      </c>
      <c r="C30" s="1">
        <v>43300101</v>
      </c>
      <c r="D30" t="s">
        <v>67</v>
      </c>
      <c r="H30" t="str">
        <f t="shared" si="2"/>
        <v>00076670595</v>
      </c>
      <c r="I30" t="str">
        <f t="shared" si="2"/>
        <v>00076670595</v>
      </c>
      <c r="K30" t="str">
        <f>""</f>
        <v/>
      </c>
      <c r="M30" t="s">
        <v>68</v>
      </c>
      <c r="N30" t="str">
        <f t="shared" si="1"/>
        <v>FOR</v>
      </c>
      <c r="O30" t="s">
        <v>69</v>
      </c>
      <c r="P30" s="3" t="s">
        <v>75</v>
      </c>
      <c r="Q30">
        <v>2016</v>
      </c>
      <c r="R30" s="2">
        <v>42388</v>
      </c>
      <c r="S30" s="2">
        <v>42395</v>
      </c>
      <c r="T30" s="2">
        <v>42391</v>
      </c>
      <c r="U30" s="2">
        <v>42451</v>
      </c>
      <c r="V30" t="s">
        <v>71</v>
      </c>
      <c r="W30" t="str">
        <f>"          S16F001103"</f>
        <v xml:space="preserve">          S16F001103</v>
      </c>
      <c r="X30" s="1">
        <v>3465</v>
      </c>
      <c r="Y30">
        <v>0</v>
      </c>
      <c r="Z30" s="5">
        <v>3150</v>
      </c>
      <c r="AA30">
        <v>272</v>
      </c>
      <c r="AB30" s="5">
        <v>856800</v>
      </c>
      <c r="AC30" s="1">
        <v>3150</v>
      </c>
      <c r="AD30">
        <v>272</v>
      </c>
      <c r="AE30" s="1">
        <v>856800</v>
      </c>
      <c r="AF30">
        <v>315</v>
      </c>
      <c r="AJ30">
        <v>0</v>
      </c>
      <c r="AK30">
        <v>0</v>
      </c>
      <c r="AL30">
        <v>0</v>
      </c>
      <c r="AM30" s="1">
        <v>3465</v>
      </c>
      <c r="AN30" s="1">
        <v>3465</v>
      </c>
      <c r="AO30" s="1">
        <v>3465</v>
      </c>
      <c r="AP30" s="2">
        <v>42746</v>
      </c>
      <c r="AQ30" t="s">
        <v>72</v>
      </c>
      <c r="AR30" t="s">
        <v>72</v>
      </c>
      <c r="AS30">
        <v>3585</v>
      </c>
      <c r="AT30" s="4">
        <v>42723</v>
      </c>
      <c r="AU30" t="s">
        <v>73</v>
      </c>
      <c r="AV30">
        <v>3585</v>
      </c>
      <c r="AW30" s="4">
        <v>42723</v>
      </c>
      <c r="BD30">
        <v>315</v>
      </c>
      <c r="BN30" t="s">
        <v>74</v>
      </c>
    </row>
    <row r="31" spans="1:66">
      <c r="A31">
        <v>100001</v>
      </c>
      <c r="B31" s="3" t="s">
        <v>66</v>
      </c>
      <c r="C31" s="1">
        <v>43300101</v>
      </c>
      <c r="D31" t="s">
        <v>67</v>
      </c>
      <c r="H31" t="str">
        <f t="shared" si="2"/>
        <v>00076670595</v>
      </c>
      <c r="I31" t="str">
        <f t="shared" si="2"/>
        <v>00076670595</v>
      </c>
      <c r="K31" t="str">
        <f>""</f>
        <v/>
      </c>
      <c r="M31" t="s">
        <v>68</v>
      </c>
      <c r="N31" t="str">
        <f t="shared" si="1"/>
        <v>FOR</v>
      </c>
      <c r="O31" t="s">
        <v>69</v>
      </c>
      <c r="P31" s="3" t="s">
        <v>75</v>
      </c>
      <c r="Q31">
        <v>2016</v>
      </c>
      <c r="R31" s="2">
        <v>42394</v>
      </c>
      <c r="S31" s="2">
        <v>42422</v>
      </c>
      <c r="T31" s="2">
        <v>42417</v>
      </c>
      <c r="U31" s="2">
        <v>42477</v>
      </c>
      <c r="V31" t="s">
        <v>71</v>
      </c>
      <c r="W31" t="str">
        <f>"          S16F001874"</f>
        <v xml:space="preserve">          S16F001874</v>
      </c>
      <c r="X31" s="1">
        <v>22433.48</v>
      </c>
      <c r="Y31">
        <v>0</v>
      </c>
      <c r="Z31" s="5">
        <v>18388.099999999999</v>
      </c>
      <c r="AA31">
        <v>246</v>
      </c>
      <c r="AB31" s="5">
        <v>4523472.5999999996</v>
      </c>
      <c r="AC31" s="1">
        <v>18388.099999999999</v>
      </c>
      <c r="AD31">
        <v>246</v>
      </c>
      <c r="AE31" s="1">
        <v>4523472.5999999996</v>
      </c>
      <c r="AF31" s="1">
        <v>4045.38</v>
      </c>
      <c r="AJ31">
        <v>0</v>
      </c>
      <c r="AK31">
        <v>0</v>
      </c>
      <c r="AL31">
        <v>0</v>
      </c>
      <c r="AM31" s="1">
        <v>22433.48</v>
      </c>
      <c r="AN31" s="1">
        <v>22433.48</v>
      </c>
      <c r="AO31" s="1">
        <v>22433.48</v>
      </c>
      <c r="AP31" s="2">
        <v>42746</v>
      </c>
      <c r="AQ31" t="s">
        <v>72</v>
      </c>
      <c r="AR31" t="s">
        <v>72</v>
      </c>
      <c r="AS31">
        <v>3585</v>
      </c>
      <c r="AT31" s="4">
        <v>42723</v>
      </c>
      <c r="AU31" t="s">
        <v>73</v>
      </c>
      <c r="AV31">
        <v>3585</v>
      </c>
      <c r="AW31" s="4">
        <v>42723</v>
      </c>
      <c r="BD31" s="1">
        <v>4045.38</v>
      </c>
      <c r="BN31" t="s">
        <v>74</v>
      </c>
    </row>
    <row r="32" spans="1:66">
      <c r="A32">
        <v>100001</v>
      </c>
      <c r="B32" s="3" t="s">
        <v>66</v>
      </c>
      <c r="C32" s="1">
        <v>43300101</v>
      </c>
      <c r="D32" t="s">
        <v>67</v>
      </c>
      <c r="H32" t="str">
        <f t="shared" si="2"/>
        <v>00076670595</v>
      </c>
      <c r="I32" t="str">
        <f t="shared" si="2"/>
        <v>00076670595</v>
      </c>
      <c r="K32" t="str">
        <f>""</f>
        <v/>
      </c>
      <c r="M32" t="s">
        <v>68</v>
      </c>
      <c r="N32" t="str">
        <f t="shared" si="1"/>
        <v>FOR</v>
      </c>
      <c r="O32" t="s">
        <v>69</v>
      </c>
      <c r="P32" s="3" t="s">
        <v>75</v>
      </c>
      <c r="Q32">
        <v>2016</v>
      </c>
      <c r="R32" s="2">
        <v>42395</v>
      </c>
      <c r="S32" s="2">
        <v>42403</v>
      </c>
      <c r="T32" s="2">
        <v>42401</v>
      </c>
      <c r="U32" s="2">
        <v>42461</v>
      </c>
      <c r="V32" t="s">
        <v>71</v>
      </c>
      <c r="W32" t="str">
        <f>"          S16F002130"</f>
        <v xml:space="preserve">          S16F002130</v>
      </c>
      <c r="X32" s="1">
        <v>4396.3900000000003</v>
      </c>
      <c r="Y32">
        <v>0</v>
      </c>
      <c r="Z32" s="5">
        <v>3603.6</v>
      </c>
      <c r="AA32">
        <v>262</v>
      </c>
      <c r="AB32" s="5">
        <v>944143.2</v>
      </c>
      <c r="AC32" s="1">
        <v>3603.6</v>
      </c>
      <c r="AD32">
        <v>262</v>
      </c>
      <c r="AE32" s="1">
        <v>944143.2</v>
      </c>
      <c r="AF32">
        <v>792.79</v>
      </c>
      <c r="AJ32">
        <v>0</v>
      </c>
      <c r="AK32">
        <v>0</v>
      </c>
      <c r="AL32">
        <v>0</v>
      </c>
      <c r="AM32" s="1">
        <v>4396.3900000000003</v>
      </c>
      <c r="AN32" s="1">
        <v>4396.3900000000003</v>
      </c>
      <c r="AO32" s="1">
        <v>4396.3900000000003</v>
      </c>
      <c r="AP32" s="2">
        <v>42746</v>
      </c>
      <c r="AQ32" t="s">
        <v>72</v>
      </c>
      <c r="AR32" t="s">
        <v>72</v>
      </c>
      <c r="AS32">
        <v>3585</v>
      </c>
      <c r="AT32" s="4">
        <v>42723</v>
      </c>
      <c r="AU32" t="s">
        <v>73</v>
      </c>
      <c r="AV32">
        <v>3585</v>
      </c>
      <c r="AW32" s="4">
        <v>42723</v>
      </c>
      <c r="BD32">
        <v>792.79</v>
      </c>
      <c r="BN32" t="s">
        <v>74</v>
      </c>
    </row>
    <row r="33" spans="1:66">
      <c r="A33">
        <v>100001</v>
      </c>
      <c r="B33" s="3" t="s">
        <v>66</v>
      </c>
      <c r="C33" s="1">
        <v>43300101</v>
      </c>
      <c r="D33" t="s">
        <v>67</v>
      </c>
      <c r="H33" t="str">
        <f t="shared" si="2"/>
        <v>00076670595</v>
      </c>
      <c r="I33" t="str">
        <f t="shared" si="2"/>
        <v>00076670595</v>
      </c>
      <c r="K33" t="str">
        <f>""</f>
        <v/>
      </c>
      <c r="M33" t="s">
        <v>68</v>
      </c>
      <c r="N33" t="str">
        <f t="shared" si="1"/>
        <v>FOR</v>
      </c>
      <c r="O33" t="s">
        <v>69</v>
      </c>
      <c r="P33" s="3" t="s">
        <v>75</v>
      </c>
      <c r="Q33">
        <v>2016</v>
      </c>
      <c r="R33" s="2">
        <v>42398</v>
      </c>
      <c r="S33" s="2">
        <v>42410</v>
      </c>
      <c r="T33" s="2">
        <v>42408</v>
      </c>
      <c r="U33" s="2">
        <v>42468</v>
      </c>
      <c r="V33" t="s">
        <v>71</v>
      </c>
      <c r="W33" t="str">
        <f>"          S16F002754"</f>
        <v xml:space="preserve">          S16F002754</v>
      </c>
      <c r="X33" s="1">
        <v>3465</v>
      </c>
      <c r="Y33">
        <v>0</v>
      </c>
      <c r="Z33" s="5">
        <v>3150</v>
      </c>
      <c r="AA33">
        <v>255</v>
      </c>
      <c r="AB33" s="5">
        <v>803250</v>
      </c>
      <c r="AC33" s="1">
        <v>3150</v>
      </c>
      <c r="AD33">
        <v>255</v>
      </c>
      <c r="AE33" s="1">
        <v>803250</v>
      </c>
      <c r="AF33">
        <v>315</v>
      </c>
      <c r="AJ33">
        <v>0</v>
      </c>
      <c r="AK33">
        <v>0</v>
      </c>
      <c r="AL33">
        <v>0</v>
      </c>
      <c r="AM33" s="1">
        <v>3465</v>
      </c>
      <c r="AN33" s="1">
        <v>3465</v>
      </c>
      <c r="AO33" s="1">
        <v>3465</v>
      </c>
      <c r="AP33" s="2">
        <v>42746</v>
      </c>
      <c r="AQ33" t="s">
        <v>72</v>
      </c>
      <c r="AR33" t="s">
        <v>72</v>
      </c>
      <c r="AS33">
        <v>3585</v>
      </c>
      <c r="AT33" s="4">
        <v>42723</v>
      </c>
      <c r="AU33" t="s">
        <v>73</v>
      </c>
      <c r="AV33">
        <v>3585</v>
      </c>
      <c r="AW33" s="4">
        <v>42723</v>
      </c>
      <c r="BD33">
        <v>315</v>
      </c>
      <c r="BN33" t="s">
        <v>74</v>
      </c>
    </row>
    <row r="34" spans="1:66">
      <c r="A34">
        <v>100001</v>
      </c>
      <c r="B34" s="3" t="s">
        <v>66</v>
      </c>
      <c r="C34" s="1">
        <v>43300101</v>
      </c>
      <c r="D34" t="s">
        <v>67</v>
      </c>
      <c r="H34" t="str">
        <f t="shared" si="2"/>
        <v>00076670595</v>
      </c>
      <c r="I34" t="str">
        <f t="shared" si="2"/>
        <v>00076670595</v>
      </c>
      <c r="K34" t="str">
        <f>""</f>
        <v/>
      </c>
      <c r="M34" t="s">
        <v>68</v>
      </c>
      <c r="N34" t="str">
        <f t="shared" si="1"/>
        <v>FOR</v>
      </c>
      <c r="O34" t="s">
        <v>69</v>
      </c>
      <c r="P34" s="3" t="s">
        <v>75</v>
      </c>
      <c r="Q34">
        <v>2016</v>
      </c>
      <c r="R34" s="2">
        <v>42417</v>
      </c>
      <c r="S34" s="2">
        <v>42422</v>
      </c>
      <c r="T34" s="2">
        <v>42419</v>
      </c>
      <c r="U34" s="2">
        <v>42479</v>
      </c>
      <c r="V34" t="s">
        <v>71</v>
      </c>
      <c r="W34" t="str">
        <f>"          S16F004181"</f>
        <v xml:space="preserve">          S16F004181</v>
      </c>
      <c r="X34">
        <v>312.7</v>
      </c>
      <c r="Y34">
        <v>0</v>
      </c>
      <c r="Z34" s="3">
        <v>256.31</v>
      </c>
      <c r="AA34">
        <v>244</v>
      </c>
      <c r="AB34" s="5">
        <v>62539.64</v>
      </c>
      <c r="AC34">
        <v>256.31</v>
      </c>
      <c r="AD34">
        <v>244</v>
      </c>
      <c r="AE34" s="1">
        <v>62539.64</v>
      </c>
      <c r="AF34">
        <v>56.39</v>
      </c>
      <c r="AJ34">
        <v>0</v>
      </c>
      <c r="AK34">
        <v>0</v>
      </c>
      <c r="AL34">
        <v>0</v>
      </c>
      <c r="AM34">
        <v>312.7</v>
      </c>
      <c r="AN34">
        <v>312.7</v>
      </c>
      <c r="AO34">
        <v>312.7</v>
      </c>
      <c r="AP34" s="2">
        <v>42746</v>
      </c>
      <c r="AQ34" t="s">
        <v>72</v>
      </c>
      <c r="AR34" t="s">
        <v>72</v>
      </c>
      <c r="AS34">
        <v>3585</v>
      </c>
      <c r="AT34" s="4">
        <v>42723</v>
      </c>
      <c r="AU34" t="s">
        <v>73</v>
      </c>
      <c r="AV34">
        <v>3585</v>
      </c>
      <c r="AW34" s="4">
        <v>42723</v>
      </c>
      <c r="BD34">
        <v>56.39</v>
      </c>
      <c r="BN34" t="s">
        <v>74</v>
      </c>
    </row>
    <row r="35" spans="1:66">
      <c r="A35">
        <v>100001</v>
      </c>
      <c r="B35" s="3" t="s">
        <v>66</v>
      </c>
      <c r="C35" s="1">
        <v>43300101</v>
      </c>
      <c r="D35" t="s">
        <v>67</v>
      </c>
      <c r="H35" t="str">
        <f t="shared" si="2"/>
        <v>00076670595</v>
      </c>
      <c r="I35" t="str">
        <f t="shared" si="2"/>
        <v>00076670595</v>
      </c>
      <c r="K35" t="str">
        <f>""</f>
        <v/>
      </c>
      <c r="M35" t="s">
        <v>68</v>
      </c>
      <c r="N35" t="str">
        <f t="shared" si="1"/>
        <v>FOR</v>
      </c>
      <c r="O35" t="s">
        <v>69</v>
      </c>
      <c r="P35" s="3" t="s">
        <v>75</v>
      </c>
      <c r="Q35">
        <v>2016</v>
      </c>
      <c r="R35" s="2">
        <v>42422</v>
      </c>
      <c r="S35" s="2">
        <v>42436</v>
      </c>
      <c r="T35" s="2">
        <v>42425</v>
      </c>
      <c r="U35" s="2">
        <v>42485</v>
      </c>
      <c r="V35" t="s">
        <v>71</v>
      </c>
      <c r="W35" t="str">
        <f>"          S16F004662"</f>
        <v xml:space="preserve">          S16F004662</v>
      </c>
      <c r="X35" s="1">
        <v>3465</v>
      </c>
      <c r="Y35">
        <v>0</v>
      </c>
      <c r="Z35" s="5">
        <v>3150</v>
      </c>
      <c r="AA35">
        <v>238</v>
      </c>
      <c r="AB35" s="5">
        <v>749700</v>
      </c>
      <c r="AC35" s="1">
        <v>3150</v>
      </c>
      <c r="AD35">
        <v>238</v>
      </c>
      <c r="AE35" s="1">
        <v>749700</v>
      </c>
      <c r="AF35">
        <v>315</v>
      </c>
      <c r="AJ35">
        <v>0</v>
      </c>
      <c r="AK35">
        <v>0</v>
      </c>
      <c r="AL35">
        <v>0</v>
      </c>
      <c r="AM35" s="1">
        <v>3465</v>
      </c>
      <c r="AN35" s="1">
        <v>3465</v>
      </c>
      <c r="AO35" s="1">
        <v>3465</v>
      </c>
      <c r="AP35" s="2">
        <v>42746</v>
      </c>
      <c r="AQ35" t="s">
        <v>72</v>
      </c>
      <c r="AR35" t="s">
        <v>72</v>
      </c>
      <c r="AS35">
        <v>3585</v>
      </c>
      <c r="AT35" s="4">
        <v>42723</v>
      </c>
      <c r="AU35" t="s">
        <v>73</v>
      </c>
      <c r="AV35">
        <v>3585</v>
      </c>
      <c r="AW35" s="4">
        <v>42723</v>
      </c>
      <c r="BD35">
        <v>315</v>
      </c>
      <c r="BN35" t="s">
        <v>74</v>
      </c>
    </row>
    <row r="36" spans="1:66">
      <c r="A36">
        <v>100002</v>
      </c>
      <c r="B36" s="3" t="s">
        <v>76</v>
      </c>
      <c r="C36" s="1">
        <v>43300101</v>
      </c>
      <c r="D36" t="s">
        <v>67</v>
      </c>
      <c r="H36" t="str">
        <f>"07677821212"</f>
        <v>07677821212</v>
      </c>
      <c r="I36" t="str">
        <f>"07677821212"</f>
        <v>07677821212</v>
      </c>
      <c r="K36" t="str">
        <f>""</f>
        <v/>
      </c>
      <c r="M36" t="s">
        <v>68</v>
      </c>
      <c r="N36" t="str">
        <f t="shared" si="1"/>
        <v>FOR</v>
      </c>
      <c r="O36" t="s">
        <v>69</v>
      </c>
      <c r="P36" s="3" t="s">
        <v>75</v>
      </c>
      <c r="Q36">
        <v>2016</v>
      </c>
      <c r="R36" s="2">
        <v>42633</v>
      </c>
      <c r="S36" s="2">
        <v>42642</v>
      </c>
      <c r="T36" s="2">
        <v>42634</v>
      </c>
      <c r="U36" s="2">
        <v>42694</v>
      </c>
      <c r="V36" t="s">
        <v>71</v>
      </c>
      <c r="W36" t="str">
        <f>"             2052/FE"</f>
        <v xml:space="preserve">             2052/FE</v>
      </c>
      <c r="X36" s="1">
        <v>5990.4</v>
      </c>
      <c r="Y36">
        <v>0</v>
      </c>
      <c r="Z36" s="5">
        <v>5760</v>
      </c>
      <c r="AA36">
        <v>-6</v>
      </c>
      <c r="AB36" s="5">
        <v>-34560</v>
      </c>
      <c r="AC36" s="1">
        <v>5760</v>
      </c>
      <c r="AD36">
        <v>-6</v>
      </c>
      <c r="AE36" s="1">
        <v>-34560</v>
      </c>
      <c r="AF36">
        <v>0</v>
      </c>
      <c r="AJ36">
        <v>0</v>
      </c>
      <c r="AK36">
        <v>0</v>
      </c>
      <c r="AL36">
        <v>0</v>
      </c>
      <c r="AM36" s="1">
        <v>5990.4</v>
      </c>
      <c r="AN36" s="1">
        <v>5990.4</v>
      </c>
      <c r="AO36" s="1">
        <v>5990.4</v>
      </c>
      <c r="AP36" s="2">
        <v>42746</v>
      </c>
      <c r="AQ36" t="s">
        <v>72</v>
      </c>
      <c r="AR36" t="s">
        <v>72</v>
      </c>
      <c r="AS36">
        <v>3076</v>
      </c>
      <c r="AT36" s="4">
        <v>42688</v>
      </c>
      <c r="AV36">
        <v>3076</v>
      </c>
      <c r="AW36" s="4">
        <v>42688</v>
      </c>
      <c r="BD36">
        <v>0</v>
      </c>
      <c r="BN36" t="s">
        <v>74</v>
      </c>
    </row>
    <row r="37" spans="1:66">
      <c r="A37">
        <v>100003</v>
      </c>
      <c r="B37" s="3" t="s">
        <v>77</v>
      </c>
      <c r="C37" s="1">
        <v>43300101</v>
      </c>
      <c r="D37" t="s">
        <v>67</v>
      </c>
      <c r="H37" t="str">
        <f>"00431030584"</f>
        <v>00431030584</v>
      </c>
      <c r="I37" t="str">
        <f>"00890231004"</f>
        <v>00890231004</v>
      </c>
      <c r="K37" t="str">
        <f>""</f>
        <v/>
      </c>
      <c r="M37" t="s">
        <v>68</v>
      </c>
      <c r="N37" t="str">
        <f t="shared" si="1"/>
        <v>FOR</v>
      </c>
      <c r="O37" t="s">
        <v>69</v>
      </c>
      <c r="P37" s="3" t="s">
        <v>78</v>
      </c>
      <c r="Q37">
        <v>2014</v>
      </c>
      <c r="R37" s="2">
        <v>41891</v>
      </c>
      <c r="S37" s="2">
        <v>41897</v>
      </c>
      <c r="T37" s="2">
        <v>41897</v>
      </c>
      <c r="U37" s="2">
        <v>41987</v>
      </c>
      <c r="V37" t="s">
        <v>71</v>
      </c>
      <c r="W37" t="str">
        <f>"            40327193"</f>
        <v xml:space="preserve">            40327193</v>
      </c>
      <c r="X37">
        <v>728</v>
      </c>
      <c r="Y37">
        <v>0</v>
      </c>
      <c r="Z37" s="3">
        <v>728</v>
      </c>
      <c r="AA37">
        <v>660</v>
      </c>
      <c r="AB37" s="5">
        <v>480480</v>
      </c>
      <c r="AC37">
        <v>728</v>
      </c>
      <c r="AD37">
        <v>660</v>
      </c>
      <c r="AE37" s="1">
        <v>480480</v>
      </c>
      <c r="AF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 s="2">
        <v>42746</v>
      </c>
      <c r="AQ37" t="s">
        <v>72</v>
      </c>
      <c r="AR37" t="s">
        <v>72</v>
      </c>
      <c r="AS37">
        <v>2607</v>
      </c>
      <c r="AT37" s="4">
        <v>42647</v>
      </c>
      <c r="AU37" t="s">
        <v>73</v>
      </c>
      <c r="AV37">
        <v>2607</v>
      </c>
      <c r="AW37" s="4">
        <v>42647</v>
      </c>
      <c r="BD37">
        <v>0</v>
      </c>
      <c r="BN37" t="s">
        <v>74</v>
      </c>
    </row>
    <row r="38" spans="1:66" hidden="1">
      <c r="A38">
        <v>100032</v>
      </c>
      <c r="B38" s="3" t="s">
        <v>79</v>
      </c>
      <c r="C38" s="1">
        <v>43300101</v>
      </c>
      <c r="D38" t="s">
        <v>67</v>
      </c>
      <c r="H38" t="str">
        <f t="shared" ref="H38:I67" si="3">"01316780426"</f>
        <v>01316780426</v>
      </c>
      <c r="I38" t="str">
        <f t="shared" si="3"/>
        <v>01316780426</v>
      </c>
      <c r="K38" t="str">
        <f>""</f>
        <v/>
      </c>
      <c r="M38" t="s">
        <v>68</v>
      </c>
      <c r="N38" t="str">
        <f t="shared" si="1"/>
        <v>FOR</v>
      </c>
      <c r="O38" t="s">
        <v>69</v>
      </c>
      <c r="P38" s="3" t="s">
        <v>70</v>
      </c>
      <c r="Q38">
        <v>2015</v>
      </c>
      <c r="R38" s="2">
        <v>42053</v>
      </c>
      <c r="S38" s="2">
        <v>42068</v>
      </c>
      <c r="T38" s="2">
        <v>42068</v>
      </c>
      <c r="U38" s="2">
        <v>42128</v>
      </c>
      <c r="V38" t="s">
        <v>71</v>
      </c>
      <c r="W38" t="str">
        <f>"                2822"</f>
        <v xml:space="preserve">                2822</v>
      </c>
      <c r="X38" s="1">
        <v>1189.5</v>
      </c>
      <c r="Y38">
        <v>0</v>
      </c>
      <c r="Z38"/>
      <c r="AB38"/>
      <c r="AC38">
        <v>975</v>
      </c>
      <c r="AD38">
        <v>276</v>
      </c>
      <c r="AE38" s="1">
        <v>269100</v>
      </c>
      <c r="AF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 s="2">
        <v>42746</v>
      </c>
      <c r="AQ38" t="s">
        <v>72</v>
      </c>
      <c r="AR38" t="s">
        <v>72</v>
      </c>
      <c r="AS38">
        <v>243</v>
      </c>
      <c r="AT38" s="4">
        <v>42404</v>
      </c>
      <c r="AU38" t="s">
        <v>73</v>
      </c>
      <c r="AV38">
        <v>243</v>
      </c>
      <c r="AW38" s="4">
        <v>42404</v>
      </c>
      <c r="BD38">
        <v>0</v>
      </c>
      <c r="BN38" t="s">
        <v>74</v>
      </c>
    </row>
    <row r="39" spans="1:66" hidden="1">
      <c r="A39">
        <v>100032</v>
      </c>
      <c r="B39" s="3" t="s">
        <v>79</v>
      </c>
      <c r="C39" s="1">
        <v>43300101</v>
      </c>
      <c r="D39" t="s">
        <v>67</v>
      </c>
      <c r="H39" t="str">
        <f t="shared" si="3"/>
        <v>01316780426</v>
      </c>
      <c r="I39" t="str">
        <f t="shared" si="3"/>
        <v>01316780426</v>
      </c>
      <c r="K39" t="str">
        <f>""</f>
        <v/>
      </c>
      <c r="M39" t="s">
        <v>68</v>
      </c>
      <c r="N39" t="str">
        <f t="shared" si="1"/>
        <v>FOR</v>
      </c>
      <c r="O39" t="s">
        <v>69</v>
      </c>
      <c r="P39" s="3" t="s">
        <v>70</v>
      </c>
      <c r="Q39">
        <v>2015</v>
      </c>
      <c r="R39" s="2">
        <v>42061</v>
      </c>
      <c r="S39" s="2">
        <v>42177</v>
      </c>
      <c r="T39" s="2">
        <v>42177</v>
      </c>
      <c r="U39" s="2">
        <v>42237</v>
      </c>
      <c r="V39" t="s">
        <v>71</v>
      </c>
      <c r="W39" t="str">
        <f>"                3175"</f>
        <v xml:space="preserve">                3175</v>
      </c>
      <c r="X39" s="1">
        <v>1434.04</v>
      </c>
      <c r="Y39">
        <v>0</v>
      </c>
      <c r="Z39"/>
      <c r="AB39"/>
      <c r="AC39" s="1">
        <v>1175.44</v>
      </c>
      <c r="AD39">
        <v>167</v>
      </c>
      <c r="AE39" s="1">
        <v>196298.48</v>
      </c>
      <c r="AF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 s="2">
        <v>42746</v>
      </c>
      <c r="AQ39" t="s">
        <v>72</v>
      </c>
      <c r="AR39" t="s">
        <v>72</v>
      </c>
      <c r="AS39">
        <v>243</v>
      </c>
      <c r="AT39" s="4">
        <v>42404</v>
      </c>
      <c r="AU39" t="s">
        <v>73</v>
      </c>
      <c r="AV39">
        <v>243</v>
      </c>
      <c r="AW39" s="4">
        <v>42404</v>
      </c>
      <c r="BD39">
        <v>0</v>
      </c>
      <c r="BN39" t="s">
        <v>74</v>
      </c>
    </row>
    <row r="40" spans="1:66" hidden="1">
      <c r="A40">
        <v>100032</v>
      </c>
      <c r="B40" s="3" t="s">
        <v>79</v>
      </c>
      <c r="C40" s="1">
        <v>43300101</v>
      </c>
      <c r="D40" t="s">
        <v>67</v>
      </c>
      <c r="H40" t="str">
        <f t="shared" si="3"/>
        <v>01316780426</v>
      </c>
      <c r="I40" t="str">
        <f t="shared" si="3"/>
        <v>01316780426</v>
      </c>
      <c r="K40" t="str">
        <f>""</f>
        <v/>
      </c>
      <c r="M40" t="s">
        <v>68</v>
      </c>
      <c r="N40" t="str">
        <f t="shared" si="1"/>
        <v>FOR</v>
      </c>
      <c r="O40" t="s">
        <v>69</v>
      </c>
      <c r="P40" s="3" t="s">
        <v>70</v>
      </c>
      <c r="Q40">
        <v>2015</v>
      </c>
      <c r="R40" s="2">
        <v>42073</v>
      </c>
      <c r="S40" s="2">
        <v>42081</v>
      </c>
      <c r="T40" s="2">
        <v>42081</v>
      </c>
      <c r="U40" s="2">
        <v>42141</v>
      </c>
      <c r="V40" t="s">
        <v>71</v>
      </c>
      <c r="W40" t="str">
        <f>"                3962"</f>
        <v xml:space="preserve">                3962</v>
      </c>
      <c r="X40" s="1">
        <v>2452.1999999999998</v>
      </c>
      <c r="Y40">
        <v>0</v>
      </c>
      <c r="Z40"/>
      <c r="AB40"/>
      <c r="AC40" s="1">
        <v>2010</v>
      </c>
      <c r="AD40">
        <v>274</v>
      </c>
      <c r="AE40" s="1">
        <v>550740</v>
      </c>
      <c r="AF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 s="2">
        <v>42746</v>
      </c>
      <c r="AQ40" t="s">
        <v>72</v>
      </c>
      <c r="AR40" t="s">
        <v>72</v>
      </c>
      <c r="AS40">
        <v>347</v>
      </c>
      <c r="AT40" s="4">
        <v>42415</v>
      </c>
      <c r="AU40" t="s">
        <v>73</v>
      </c>
      <c r="AV40">
        <v>347</v>
      </c>
      <c r="AW40" s="4">
        <v>42415</v>
      </c>
      <c r="BD40">
        <v>0</v>
      </c>
      <c r="BN40" t="s">
        <v>74</v>
      </c>
    </row>
    <row r="41" spans="1:66" hidden="1">
      <c r="A41">
        <v>100032</v>
      </c>
      <c r="B41" s="3" t="s">
        <v>79</v>
      </c>
      <c r="C41" s="1">
        <v>43300101</v>
      </c>
      <c r="D41" t="s">
        <v>67</v>
      </c>
      <c r="H41" t="str">
        <f t="shared" si="3"/>
        <v>01316780426</v>
      </c>
      <c r="I41" t="str">
        <f t="shared" si="3"/>
        <v>01316780426</v>
      </c>
      <c r="K41" t="str">
        <f>""</f>
        <v/>
      </c>
      <c r="M41" t="s">
        <v>68</v>
      </c>
      <c r="N41" t="str">
        <f t="shared" si="1"/>
        <v>FOR</v>
      </c>
      <c r="O41" t="s">
        <v>69</v>
      </c>
      <c r="P41" s="3" t="s">
        <v>70</v>
      </c>
      <c r="Q41">
        <v>2015</v>
      </c>
      <c r="R41" s="2">
        <v>42087</v>
      </c>
      <c r="S41" s="2">
        <v>42097</v>
      </c>
      <c r="T41" s="2">
        <v>42097</v>
      </c>
      <c r="U41" s="2">
        <v>42157</v>
      </c>
      <c r="V41" t="s">
        <v>71</v>
      </c>
      <c r="W41" t="str">
        <f>"                4944"</f>
        <v xml:space="preserve">                4944</v>
      </c>
      <c r="X41" s="1">
        <v>1269.29</v>
      </c>
      <c r="Y41">
        <v>0</v>
      </c>
      <c r="Z41"/>
      <c r="AB41"/>
      <c r="AC41" s="1">
        <v>1040.4000000000001</v>
      </c>
      <c r="AD41">
        <v>258</v>
      </c>
      <c r="AE41" s="1">
        <v>268423.2</v>
      </c>
      <c r="AF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 s="2">
        <v>42746</v>
      </c>
      <c r="AQ41" t="s">
        <v>72</v>
      </c>
      <c r="AR41" t="s">
        <v>72</v>
      </c>
      <c r="AS41">
        <v>347</v>
      </c>
      <c r="AT41" s="4">
        <v>42415</v>
      </c>
      <c r="AU41" t="s">
        <v>73</v>
      </c>
      <c r="AV41">
        <v>347</v>
      </c>
      <c r="AW41" s="4">
        <v>42415</v>
      </c>
      <c r="BD41">
        <v>0</v>
      </c>
      <c r="BN41" t="s">
        <v>74</v>
      </c>
    </row>
    <row r="42" spans="1:66" hidden="1">
      <c r="A42">
        <v>100032</v>
      </c>
      <c r="B42" s="3" t="s">
        <v>79</v>
      </c>
      <c r="C42" s="1">
        <v>43300101</v>
      </c>
      <c r="D42" t="s">
        <v>67</v>
      </c>
      <c r="H42" t="str">
        <f t="shared" si="3"/>
        <v>01316780426</v>
      </c>
      <c r="I42" t="str">
        <f t="shared" si="3"/>
        <v>01316780426</v>
      </c>
      <c r="K42" t="str">
        <f>""</f>
        <v/>
      </c>
      <c r="M42" t="s">
        <v>68</v>
      </c>
      <c r="N42" t="str">
        <f t="shared" si="1"/>
        <v>FOR</v>
      </c>
      <c r="O42" t="s">
        <v>69</v>
      </c>
      <c r="P42" s="3" t="s">
        <v>70</v>
      </c>
      <c r="Q42">
        <v>2015</v>
      </c>
      <c r="R42" s="2">
        <v>42093</v>
      </c>
      <c r="S42" s="2">
        <v>42102</v>
      </c>
      <c r="T42" s="2">
        <v>42102</v>
      </c>
      <c r="U42" s="2">
        <v>42162</v>
      </c>
      <c r="V42" t="s">
        <v>71</v>
      </c>
      <c r="W42" t="str">
        <f>"                5187"</f>
        <v xml:space="preserve">                5187</v>
      </c>
      <c r="X42" s="1">
        <v>1511.68</v>
      </c>
      <c r="Y42">
        <v>0</v>
      </c>
      <c r="Z42"/>
      <c r="AB42"/>
      <c r="AC42" s="1">
        <v>1239.08</v>
      </c>
      <c r="AD42">
        <v>253</v>
      </c>
      <c r="AE42" s="1">
        <v>313487.24</v>
      </c>
      <c r="AF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 s="2">
        <v>42746</v>
      </c>
      <c r="AQ42" t="s">
        <v>72</v>
      </c>
      <c r="AR42" t="s">
        <v>72</v>
      </c>
      <c r="AS42">
        <v>347</v>
      </c>
      <c r="AT42" s="4">
        <v>42415</v>
      </c>
      <c r="AU42" t="s">
        <v>73</v>
      </c>
      <c r="AV42">
        <v>347</v>
      </c>
      <c r="AW42" s="4">
        <v>42415</v>
      </c>
      <c r="BD42">
        <v>0</v>
      </c>
      <c r="BN42" t="s">
        <v>74</v>
      </c>
    </row>
    <row r="43" spans="1:66" hidden="1">
      <c r="A43">
        <v>100032</v>
      </c>
      <c r="B43" s="3" t="s">
        <v>79</v>
      </c>
      <c r="C43" s="1">
        <v>43300101</v>
      </c>
      <c r="D43" t="s">
        <v>67</v>
      </c>
      <c r="H43" t="str">
        <f t="shared" si="3"/>
        <v>01316780426</v>
      </c>
      <c r="I43" t="str">
        <f t="shared" si="3"/>
        <v>01316780426</v>
      </c>
      <c r="K43" t="str">
        <f>""</f>
        <v/>
      </c>
      <c r="M43" t="s">
        <v>68</v>
      </c>
      <c r="N43" t="str">
        <f t="shared" si="1"/>
        <v>FOR</v>
      </c>
      <c r="O43" t="s">
        <v>69</v>
      </c>
      <c r="P43" s="3" t="s">
        <v>70</v>
      </c>
      <c r="Q43">
        <v>2015</v>
      </c>
      <c r="R43" s="2">
        <v>42110</v>
      </c>
      <c r="S43" s="2">
        <v>42501</v>
      </c>
      <c r="T43" s="2">
        <v>42501</v>
      </c>
      <c r="U43" s="2">
        <v>42561</v>
      </c>
      <c r="V43" t="s">
        <v>71</v>
      </c>
      <c r="W43" t="str">
        <f>"              570/02"</f>
        <v xml:space="preserve">              570/02</v>
      </c>
      <c r="X43" s="1">
        <v>1939.8</v>
      </c>
      <c r="Y43">
        <v>0</v>
      </c>
      <c r="Z43"/>
      <c r="AB43"/>
      <c r="AC43" s="1">
        <v>1590</v>
      </c>
      <c r="AD43">
        <v>-41</v>
      </c>
      <c r="AE43" s="1">
        <v>-65190</v>
      </c>
      <c r="AF43">
        <v>0</v>
      </c>
      <c r="AJ43">
        <v>0</v>
      </c>
      <c r="AK43">
        <v>0</v>
      </c>
      <c r="AL43">
        <v>0</v>
      </c>
      <c r="AM43">
        <v>0</v>
      </c>
      <c r="AN43" s="1">
        <v>1939.8</v>
      </c>
      <c r="AO43">
        <v>0</v>
      </c>
      <c r="AP43" s="2">
        <v>42746</v>
      </c>
      <c r="AQ43" t="s">
        <v>72</v>
      </c>
      <c r="AR43" t="s">
        <v>72</v>
      </c>
      <c r="AS43">
        <v>1438</v>
      </c>
      <c r="AT43" s="4">
        <v>42520</v>
      </c>
      <c r="AV43">
        <v>1438</v>
      </c>
      <c r="AW43" s="4">
        <v>42520</v>
      </c>
      <c r="BD43">
        <v>0</v>
      </c>
      <c r="BN43" t="s">
        <v>74</v>
      </c>
    </row>
    <row r="44" spans="1:66" hidden="1">
      <c r="A44">
        <v>100032</v>
      </c>
      <c r="B44" s="3" t="s">
        <v>79</v>
      </c>
      <c r="C44" s="1">
        <v>43300101</v>
      </c>
      <c r="D44" t="s">
        <v>67</v>
      </c>
      <c r="H44" t="str">
        <f t="shared" si="3"/>
        <v>01316780426</v>
      </c>
      <c r="I44" t="str">
        <f t="shared" si="3"/>
        <v>01316780426</v>
      </c>
      <c r="K44" t="str">
        <f>""</f>
        <v/>
      </c>
      <c r="M44" t="s">
        <v>68</v>
      </c>
      <c r="N44" t="str">
        <f t="shared" si="1"/>
        <v>FOR</v>
      </c>
      <c r="O44" t="s">
        <v>69</v>
      </c>
      <c r="P44" s="3" t="s">
        <v>70</v>
      </c>
      <c r="Q44">
        <v>2015</v>
      </c>
      <c r="R44" s="2">
        <v>42116</v>
      </c>
      <c r="S44" s="2">
        <v>42501</v>
      </c>
      <c r="T44" s="2">
        <v>42501</v>
      </c>
      <c r="U44" s="2">
        <v>42561</v>
      </c>
      <c r="V44" t="s">
        <v>71</v>
      </c>
      <c r="W44" t="str">
        <f>"              828/02"</f>
        <v xml:space="preserve">              828/02</v>
      </c>
      <c r="X44" s="1">
        <v>2709.86</v>
      </c>
      <c r="Y44">
        <v>0</v>
      </c>
      <c r="Z44"/>
      <c r="AB44"/>
      <c r="AC44" s="1">
        <v>2221.1999999999998</v>
      </c>
      <c r="AD44">
        <v>-41</v>
      </c>
      <c r="AE44" s="1">
        <v>-91069.2</v>
      </c>
      <c r="AF44">
        <v>0</v>
      </c>
      <c r="AJ44">
        <v>0</v>
      </c>
      <c r="AK44">
        <v>0</v>
      </c>
      <c r="AL44">
        <v>0</v>
      </c>
      <c r="AM44">
        <v>0</v>
      </c>
      <c r="AN44" s="1">
        <v>2709.86</v>
      </c>
      <c r="AO44">
        <v>0</v>
      </c>
      <c r="AP44" s="2">
        <v>42746</v>
      </c>
      <c r="AQ44" t="s">
        <v>72</v>
      </c>
      <c r="AR44" t="s">
        <v>72</v>
      </c>
      <c r="AS44">
        <v>1438</v>
      </c>
      <c r="AT44" s="4">
        <v>42520</v>
      </c>
      <c r="AV44">
        <v>1438</v>
      </c>
      <c r="AW44" s="4">
        <v>42520</v>
      </c>
      <c r="BD44">
        <v>0</v>
      </c>
      <c r="BN44" t="s">
        <v>74</v>
      </c>
    </row>
    <row r="45" spans="1:66" hidden="1">
      <c r="A45">
        <v>100032</v>
      </c>
      <c r="B45" s="3" t="s">
        <v>79</v>
      </c>
      <c r="C45" s="1">
        <v>43300101</v>
      </c>
      <c r="D45" t="s">
        <v>67</v>
      </c>
      <c r="H45" t="str">
        <f t="shared" si="3"/>
        <v>01316780426</v>
      </c>
      <c r="I45" t="str">
        <f t="shared" si="3"/>
        <v>01316780426</v>
      </c>
      <c r="K45" t="str">
        <f>""</f>
        <v/>
      </c>
      <c r="M45" t="s">
        <v>68</v>
      </c>
      <c r="N45" t="str">
        <f t="shared" si="1"/>
        <v>FOR</v>
      </c>
      <c r="O45" t="s">
        <v>69</v>
      </c>
      <c r="P45" s="3" t="s">
        <v>70</v>
      </c>
      <c r="Q45">
        <v>2015</v>
      </c>
      <c r="R45" s="2">
        <v>42130</v>
      </c>
      <c r="S45" s="2">
        <v>42501</v>
      </c>
      <c r="T45" s="2">
        <v>42501</v>
      </c>
      <c r="U45" s="2">
        <v>42561</v>
      </c>
      <c r="V45" t="s">
        <v>71</v>
      </c>
      <c r="W45" t="str">
        <f>"             1474/02"</f>
        <v xml:space="preserve">             1474/02</v>
      </c>
      <c r="X45">
        <v>512.4</v>
      </c>
      <c r="Y45">
        <v>0</v>
      </c>
      <c r="Z45"/>
      <c r="AB45"/>
      <c r="AC45">
        <v>420</v>
      </c>
      <c r="AD45">
        <v>-41</v>
      </c>
      <c r="AE45" s="1">
        <v>-17220</v>
      </c>
      <c r="AF45">
        <v>0</v>
      </c>
      <c r="AJ45">
        <v>0</v>
      </c>
      <c r="AK45">
        <v>0</v>
      </c>
      <c r="AL45">
        <v>0</v>
      </c>
      <c r="AM45">
        <v>0</v>
      </c>
      <c r="AN45">
        <v>512.4</v>
      </c>
      <c r="AO45">
        <v>0</v>
      </c>
      <c r="AP45" s="2">
        <v>42746</v>
      </c>
      <c r="AQ45" t="s">
        <v>72</v>
      </c>
      <c r="AR45" t="s">
        <v>72</v>
      </c>
      <c r="AS45">
        <v>1438</v>
      </c>
      <c r="AT45" s="4">
        <v>42520</v>
      </c>
      <c r="AV45">
        <v>1438</v>
      </c>
      <c r="AW45" s="4">
        <v>42520</v>
      </c>
      <c r="BD45">
        <v>0</v>
      </c>
      <c r="BN45" t="s">
        <v>74</v>
      </c>
    </row>
    <row r="46" spans="1:66" hidden="1">
      <c r="A46">
        <v>100032</v>
      </c>
      <c r="B46" s="3" t="s">
        <v>79</v>
      </c>
      <c r="C46" s="1">
        <v>43300101</v>
      </c>
      <c r="D46" t="s">
        <v>67</v>
      </c>
      <c r="H46" t="str">
        <f t="shared" si="3"/>
        <v>01316780426</v>
      </c>
      <c r="I46" t="str">
        <f t="shared" si="3"/>
        <v>01316780426</v>
      </c>
      <c r="K46" t="str">
        <f>""</f>
        <v/>
      </c>
      <c r="M46" t="s">
        <v>68</v>
      </c>
      <c r="N46" t="str">
        <f t="shared" si="1"/>
        <v>FOR</v>
      </c>
      <c r="O46" t="s">
        <v>69</v>
      </c>
      <c r="P46" s="3" t="s">
        <v>70</v>
      </c>
      <c r="Q46">
        <v>2015</v>
      </c>
      <c r="R46" s="2">
        <v>42138</v>
      </c>
      <c r="S46" s="2">
        <v>42501</v>
      </c>
      <c r="T46" s="2">
        <v>42501</v>
      </c>
      <c r="U46" s="2">
        <v>42561</v>
      </c>
      <c r="V46" t="s">
        <v>71</v>
      </c>
      <c r="W46" t="str">
        <f>"             1818/02"</f>
        <v xml:space="preserve">             1818/02</v>
      </c>
      <c r="X46" s="1">
        <v>1281</v>
      </c>
      <c r="Y46">
        <v>0</v>
      </c>
      <c r="Z46"/>
      <c r="AB46"/>
      <c r="AC46" s="1">
        <v>1050</v>
      </c>
      <c r="AD46">
        <v>-41</v>
      </c>
      <c r="AE46" s="1">
        <v>-43050</v>
      </c>
      <c r="AF46">
        <v>0</v>
      </c>
      <c r="AJ46">
        <v>0</v>
      </c>
      <c r="AK46">
        <v>0</v>
      </c>
      <c r="AL46">
        <v>0</v>
      </c>
      <c r="AM46">
        <v>0</v>
      </c>
      <c r="AN46" s="1">
        <v>1281</v>
      </c>
      <c r="AO46">
        <v>0</v>
      </c>
      <c r="AP46" s="2">
        <v>42746</v>
      </c>
      <c r="AQ46" t="s">
        <v>72</v>
      </c>
      <c r="AR46" t="s">
        <v>72</v>
      </c>
      <c r="AS46">
        <v>1438</v>
      </c>
      <c r="AT46" s="4">
        <v>42520</v>
      </c>
      <c r="AV46">
        <v>1438</v>
      </c>
      <c r="AW46" s="4">
        <v>42520</v>
      </c>
      <c r="BD46">
        <v>0</v>
      </c>
      <c r="BN46" t="s">
        <v>74</v>
      </c>
    </row>
    <row r="47" spans="1:66" hidden="1">
      <c r="A47">
        <v>100032</v>
      </c>
      <c r="B47" s="3" t="s">
        <v>79</v>
      </c>
      <c r="C47" s="1">
        <v>43300101</v>
      </c>
      <c r="D47" t="s">
        <v>67</v>
      </c>
      <c r="H47" t="str">
        <f t="shared" si="3"/>
        <v>01316780426</v>
      </c>
      <c r="I47" t="str">
        <f t="shared" si="3"/>
        <v>01316780426</v>
      </c>
      <c r="K47" t="str">
        <f>""</f>
        <v/>
      </c>
      <c r="M47" t="s">
        <v>68</v>
      </c>
      <c r="N47" t="str">
        <f t="shared" si="1"/>
        <v>FOR</v>
      </c>
      <c r="O47" t="s">
        <v>69</v>
      </c>
      <c r="P47" s="3" t="s">
        <v>70</v>
      </c>
      <c r="Q47">
        <v>2015</v>
      </c>
      <c r="R47" s="2">
        <v>42145</v>
      </c>
      <c r="S47" s="2">
        <v>42501</v>
      </c>
      <c r="T47" s="2">
        <v>42501</v>
      </c>
      <c r="U47" s="2">
        <v>42561</v>
      </c>
      <c r="V47" t="s">
        <v>71</v>
      </c>
      <c r="W47" t="str">
        <f>"             2119/02"</f>
        <v xml:space="preserve">             2119/02</v>
      </c>
      <c r="X47" s="1">
        <v>1173.79</v>
      </c>
      <c r="Y47">
        <v>0</v>
      </c>
      <c r="Z47"/>
      <c r="AB47"/>
      <c r="AC47">
        <v>962.12</v>
      </c>
      <c r="AD47">
        <v>-41</v>
      </c>
      <c r="AE47" s="1">
        <v>-39446.92</v>
      </c>
      <c r="AF47">
        <v>0</v>
      </c>
      <c r="AJ47">
        <v>0</v>
      </c>
      <c r="AK47">
        <v>0</v>
      </c>
      <c r="AL47">
        <v>0</v>
      </c>
      <c r="AM47">
        <v>0</v>
      </c>
      <c r="AN47" s="1">
        <v>1173.79</v>
      </c>
      <c r="AO47">
        <v>0</v>
      </c>
      <c r="AP47" s="2">
        <v>42746</v>
      </c>
      <c r="AQ47" t="s">
        <v>72</v>
      </c>
      <c r="AR47" t="s">
        <v>72</v>
      </c>
      <c r="AS47">
        <v>1438</v>
      </c>
      <c r="AT47" s="4">
        <v>42520</v>
      </c>
      <c r="AV47">
        <v>1438</v>
      </c>
      <c r="AW47" s="4">
        <v>42520</v>
      </c>
      <c r="BD47">
        <v>0</v>
      </c>
      <c r="BN47" t="s">
        <v>74</v>
      </c>
    </row>
    <row r="48" spans="1:66" hidden="1">
      <c r="A48">
        <v>100032</v>
      </c>
      <c r="B48" s="3" t="s">
        <v>79</v>
      </c>
      <c r="C48" s="1">
        <v>43300101</v>
      </c>
      <c r="D48" t="s">
        <v>67</v>
      </c>
      <c r="H48" t="str">
        <f t="shared" si="3"/>
        <v>01316780426</v>
      </c>
      <c r="I48" t="str">
        <f t="shared" si="3"/>
        <v>01316780426</v>
      </c>
      <c r="K48" t="str">
        <f>""</f>
        <v/>
      </c>
      <c r="M48" t="s">
        <v>68</v>
      </c>
      <c r="N48" t="str">
        <f t="shared" si="1"/>
        <v>FOR</v>
      </c>
      <c r="O48" t="s">
        <v>69</v>
      </c>
      <c r="P48" s="3" t="s">
        <v>70</v>
      </c>
      <c r="Q48">
        <v>2015</v>
      </c>
      <c r="R48" s="2">
        <v>42159</v>
      </c>
      <c r="S48" s="2">
        <v>42501</v>
      </c>
      <c r="T48" s="2">
        <v>42501</v>
      </c>
      <c r="U48" s="2">
        <v>42561</v>
      </c>
      <c r="V48" t="s">
        <v>71</v>
      </c>
      <c r="W48" t="str">
        <f>"             2768/02"</f>
        <v xml:space="preserve">             2768/02</v>
      </c>
      <c r="X48" s="1">
        <v>2452.1999999999998</v>
      </c>
      <c r="Y48">
        <v>0</v>
      </c>
      <c r="Z48"/>
      <c r="AB48"/>
      <c r="AC48" s="1">
        <v>2010</v>
      </c>
      <c r="AD48">
        <v>-41</v>
      </c>
      <c r="AE48" s="1">
        <v>-82410</v>
      </c>
      <c r="AF48">
        <v>0</v>
      </c>
      <c r="AJ48">
        <v>0</v>
      </c>
      <c r="AK48">
        <v>0</v>
      </c>
      <c r="AL48">
        <v>0</v>
      </c>
      <c r="AM48">
        <v>0</v>
      </c>
      <c r="AN48" s="1">
        <v>2452.1999999999998</v>
      </c>
      <c r="AO48">
        <v>0</v>
      </c>
      <c r="AP48" s="2">
        <v>42746</v>
      </c>
      <c r="AQ48" t="s">
        <v>72</v>
      </c>
      <c r="AR48" t="s">
        <v>72</v>
      </c>
      <c r="AS48">
        <v>1438</v>
      </c>
      <c r="AT48" s="4">
        <v>42520</v>
      </c>
      <c r="AV48">
        <v>1438</v>
      </c>
      <c r="AW48" s="4">
        <v>42520</v>
      </c>
      <c r="BD48">
        <v>0</v>
      </c>
      <c r="BN48" t="s">
        <v>74</v>
      </c>
    </row>
    <row r="49" spans="1:66">
      <c r="A49">
        <v>100032</v>
      </c>
      <c r="B49" s="3" t="s">
        <v>79</v>
      </c>
      <c r="C49" s="1">
        <v>43300101</v>
      </c>
      <c r="D49" t="s">
        <v>67</v>
      </c>
      <c r="H49" t="str">
        <f t="shared" si="3"/>
        <v>01316780426</v>
      </c>
      <c r="I49" t="str">
        <f t="shared" si="3"/>
        <v>01316780426</v>
      </c>
      <c r="K49" t="str">
        <f>""</f>
        <v/>
      </c>
      <c r="M49" t="s">
        <v>68</v>
      </c>
      <c r="N49" t="str">
        <f t="shared" si="1"/>
        <v>FOR</v>
      </c>
      <c r="O49" t="s">
        <v>69</v>
      </c>
      <c r="P49" s="3" t="s">
        <v>70</v>
      </c>
      <c r="Q49">
        <v>2015</v>
      </c>
      <c r="R49" s="2">
        <v>42165</v>
      </c>
      <c r="S49" s="2">
        <v>42664</v>
      </c>
      <c r="T49" s="2">
        <v>42664</v>
      </c>
      <c r="U49" s="2">
        <v>42724</v>
      </c>
      <c r="V49" t="s">
        <v>71</v>
      </c>
      <c r="W49" t="str">
        <f>"             3071/02"</f>
        <v xml:space="preserve">             3071/02</v>
      </c>
      <c r="X49" s="1">
        <v>1442.04</v>
      </c>
      <c r="Y49">
        <v>0</v>
      </c>
      <c r="Z49" s="5">
        <v>1182</v>
      </c>
      <c r="AA49">
        <v>-34</v>
      </c>
      <c r="AB49" s="5">
        <v>-40188</v>
      </c>
      <c r="AC49" s="1">
        <v>1182</v>
      </c>
      <c r="AD49">
        <v>-34</v>
      </c>
      <c r="AE49" s="1">
        <v>-40188</v>
      </c>
      <c r="AF49">
        <v>0</v>
      </c>
      <c r="AJ49">
        <v>0</v>
      </c>
      <c r="AK49" s="1">
        <v>1442.04</v>
      </c>
      <c r="AL49">
        <v>0</v>
      </c>
      <c r="AM49">
        <v>0</v>
      </c>
      <c r="AN49" s="1">
        <v>1442.04</v>
      </c>
      <c r="AO49">
        <v>0</v>
      </c>
      <c r="AP49" s="2">
        <v>42746</v>
      </c>
      <c r="AQ49" t="s">
        <v>72</v>
      </c>
      <c r="AR49" t="s">
        <v>72</v>
      </c>
      <c r="AS49">
        <v>3149</v>
      </c>
      <c r="AT49" s="4">
        <v>42690</v>
      </c>
      <c r="AV49">
        <v>3149</v>
      </c>
      <c r="AW49" s="4">
        <v>42690</v>
      </c>
      <c r="BD49">
        <v>0</v>
      </c>
      <c r="BN49" t="s">
        <v>74</v>
      </c>
    </row>
    <row r="50" spans="1:66" hidden="1">
      <c r="A50">
        <v>100032</v>
      </c>
      <c r="B50" s="3" t="s">
        <v>79</v>
      </c>
      <c r="C50" s="1">
        <v>43300101</v>
      </c>
      <c r="D50" t="s">
        <v>67</v>
      </c>
      <c r="H50" t="str">
        <f t="shared" si="3"/>
        <v>01316780426</v>
      </c>
      <c r="I50" t="str">
        <f t="shared" si="3"/>
        <v>01316780426</v>
      </c>
      <c r="K50" t="str">
        <f>""</f>
        <v/>
      </c>
      <c r="M50" t="s">
        <v>68</v>
      </c>
      <c r="N50" t="str">
        <f t="shared" si="1"/>
        <v>FOR</v>
      </c>
      <c r="O50" t="s">
        <v>69</v>
      </c>
      <c r="P50" s="3" t="s">
        <v>70</v>
      </c>
      <c r="Q50">
        <v>2015</v>
      </c>
      <c r="R50" s="2">
        <v>42165</v>
      </c>
      <c r="S50" s="2">
        <v>42501</v>
      </c>
      <c r="T50" s="2">
        <v>42501</v>
      </c>
      <c r="U50" s="2">
        <v>42561</v>
      </c>
      <c r="V50" t="s">
        <v>71</v>
      </c>
      <c r="W50" t="str">
        <f>"             3072/02"</f>
        <v xml:space="preserve">             3072/02</v>
      </c>
      <c r="X50" s="1">
        <v>2095.1799999999998</v>
      </c>
      <c r="Y50">
        <v>0</v>
      </c>
      <c r="Z50"/>
      <c r="AB50"/>
      <c r="AC50" s="1">
        <v>1717.36</v>
      </c>
      <c r="AD50">
        <v>-41</v>
      </c>
      <c r="AE50" s="1">
        <v>-70411.759999999995</v>
      </c>
      <c r="AF50">
        <v>0</v>
      </c>
      <c r="AJ50">
        <v>0</v>
      </c>
      <c r="AK50">
        <v>0</v>
      </c>
      <c r="AL50">
        <v>0</v>
      </c>
      <c r="AM50">
        <v>0</v>
      </c>
      <c r="AN50" s="1">
        <v>2095.1799999999998</v>
      </c>
      <c r="AO50">
        <v>0</v>
      </c>
      <c r="AP50" s="2">
        <v>42746</v>
      </c>
      <c r="AQ50" t="s">
        <v>72</v>
      </c>
      <c r="AR50" t="s">
        <v>72</v>
      </c>
      <c r="AS50">
        <v>1438</v>
      </c>
      <c r="AT50" s="4">
        <v>42520</v>
      </c>
      <c r="AV50">
        <v>1438</v>
      </c>
      <c r="AW50" s="4">
        <v>42520</v>
      </c>
      <c r="BD50">
        <v>0</v>
      </c>
      <c r="BN50" t="s">
        <v>74</v>
      </c>
    </row>
    <row r="51" spans="1:66" hidden="1">
      <c r="A51">
        <v>100032</v>
      </c>
      <c r="B51" s="3" t="s">
        <v>79</v>
      </c>
      <c r="C51" s="1">
        <v>43300101</v>
      </c>
      <c r="D51" t="s">
        <v>67</v>
      </c>
      <c r="H51" t="str">
        <f t="shared" si="3"/>
        <v>01316780426</v>
      </c>
      <c r="I51" t="str">
        <f t="shared" si="3"/>
        <v>01316780426</v>
      </c>
      <c r="K51" t="str">
        <f>""</f>
        <v/>
      </c>
      <c r="M51" t="s">
        <v>68</v>
      </c>
      <c r="N51" t="str">
        <f t="shared" si="1"/>
        <v>FOR</v>
      </c>
      <c r="O51" t="s">
        <v>69</v>
      </c>
      <c r="P51" s="3" t="s">
        <v>70</v>
      </c>
      <c r="Q51">
        <v>2015</v>
      </c>
      <c r="R51" s="2">
        <v>42191</v>
      </c>
      <c r="S51" s="2">
        <v>42501</v>
      </c>
      <c r="T51" s="2">
        <v>42501</v>
      </c>
      <c r="U51" s="2">
        <v>42561</v>
      </c>
      <c r="V51" t="s">
        <v>71</v>
      </c>
      <c r="W51" t="str">
        <f>"             4031/02"</f>
        <v xml:space="preserve">             4031/02</v>
      </c>
      <c r="X51" s="1">
        <v>1281</v>
      </c>
      <c r="Y51">
        <v>0</v>
      </c>
      <c r="Z51"/>
      <c r="AB51"/>
      <c r="AC51" s="1">
        <v>1050</v>
      </c>
      <c r="AD51">
        <v>5</v>
      </c>
      <c r="AE51" s="1">
        <v>5250</v>
      </c>
      <c r="AF51">
        <v>0</v>
      </c>
      <c r="AJ51">
        <v>0</v>
      </c>
      <c r="AK51">
        <v>0</v>
      </c>
      <c r="AL51">
        <v>0</v>
      </c>
      <c r="AM51">
        <v>0</v>
      </c>
      <c r="AN51" s="1">
        <v>1281</v>
      </c>
      <c r="AO51">
        <v>0</v>
      </c>
      <c r="AP51" s="2">
        <v>42746</v>
      </c>
      <c r="AQ51" t="s">
        <v>72</v>
      </c>
      <c r="AR51" t="s">
        <v>72</v>
      </c>
      <c r="AS51">
        <v>1823</v>
      </c>
      <c r="AT51" s="4">
        <v>42566</v>
      </c>
      <c r="AU51" t="s">
        <v>73</v>
      </c>
      <c r="AV51">
        <v>1823</v>
      </c>
      <c r="AW51" s="4">
        <v>42566</v>
      </c>
      <c r="BD51">
        <v>0</v>
      </c>
      <c r="BN51" t="s">
        <v>74</v>
      </c>
    </row>
    <row r="52" spans="1:66" hidden="1">
      <c r="A52">
        <v>100032</v>
      </c>
      <c r="B52" s="3" t="s">
        <v>79</v>
      </c>
      <c r="C52" s="1">
        <v>43300101</v>
      </c>
      <c r="D52" t="s">
        <v>67</v>
      </c>
      <c r="H52" t="str">
        <f t="shared" si="3"/>
        <v>01316780426</v>
      </c>
      <c r="I52" t="str">
        <f t="shared" si="3"/>
        <v>01316780426</v>
      </c>
      <c r="K52" t="str">
        <f>""</f>
        <v/>
      </c>
      <c r="M52" t="s">
        <v>68</v>
      </c>
      <c r="N52" t="str">
        <f t="shared" si="1"/>
        <v>FOR</v>
      </c>
      <c r="O52" t="s">
        <v>69</v>
      </c>
      <c r="P52" s="3" t="s">
        <v>70</v>
      </c>
      <c r="Q52">
        <v>2015</v>
      </c>
      <c r="R52" s="2">
        <v>42192</v>
      </c>
      <c r="S52" s="2">
        <v>42501</v>
      </c>
      <c r="T52" s="2">
        <v>42501</v>
      </c>
      <c r="U52" s="2">
        <v>42561</v>
      </c>
      <c r="V52" t="s">
        <v>71</v>
      </c>
      <c r="W52" t="str">
        <f>"             4109/02"</f>
        <v xml:space="preserve">             4109/02</v>
      </c>
      <c r="X52" s="1">
        <v>4270.9799999999996</v>
      </c>
      <c r="Y52">
        <v>0</v>
      </c>
      <c r="Z52"/>
      <c r="AB52"/>
      <c r="AC52" s="1">
        <v>3500.8</v>
      </c>
      <c r="AD52">
        <v>5</v>
      </c>
      <c r="AE52" s="1">
        <v>17504</v>
      </c>
      <c r="AF52">
        <v>0</v>
      </c>
      <c r="AJ52">
        <v>0</v>
      </c>
      <c r="AK52">
        <v>0</v>
      </c>
      <c r="AL52">
        <v>0</v>
      </c>
      <c r="AM52">
        <v>0</v>
      </c>
      <c r="AN52" s="1">
        <v>4270.9799999999996</v>
      </c>
      <c r="AO52">
        <v>0</v>
      </c>
      <c r="AP52" s="2">
        <v>42746</v>
      </c>
      <c r="AQ52" t="s">
        <v>72</v>
      </c>
      <c r="AR52" t="s">
        <v>72</v>
      </c>
      <c r="AS52">
        <v>1823</v>
      </c>
      <c r="AT52" s="4">
        <v>42566</v>
      </c>
      <c r="AU52" t="s">
        <v>73</v>
      </c>
      <c r="AV52">
        <v>1823</v>
      </c>
      <c r="AW52" s="4">
        <v>42566</v>
      </c>
      <c r="BD52">
        <v>0</v>
      </c>
      <c r="BN52" t="s">
        <v>74</v>
      </c>
    </row>
    <row r="53" spans="1:66" hidden="1">
      <c r="A53">
        <v>100032</v>
      </c>
      <c r="B53" s="3" t="s">
        <v>79</v>
      </c>
      <c r="C53" s="1">
        <v>43300101</v>
      </c>
      <c r="D53" t="s">
        <v>67</v>
      </c>
      <c r="H53" t="str">
        <f t="shared" si="3"/>
        <v>01316780426</v>
      </c>
      <c r="I53" t="str">
        <f t="shared" si="3"/>
        <v>01316780426</v>
      </c>
      <c r="K53" t="str">
        <f>""</f>
        <v/>
      </c>
      <c r="M53" t="s">
        <v>68</v>
      </c>
      <c r="N53" t="str">
        <f t="shared" si="1"/>
        <v>FOR</v>
      </c>
      <c r="O53" t="s">
        <v>69</v>
      </c>
      <c r="P53" s="3" t="s">
        <v>70</v>
      </c>
      <c r="Q53">
        <v>2015</v>
      </c>
      <c r="R53" s="2">
        <v>42193</v>
      </c>
      <c r="S53" s="2">
        <v>42501</v>
      </c>
      <c r="T53" s="2">
        <v>42501</v>
      </c>
      <c r="U53" s="2">
        <v>42561</v>
      </c>
      <c r="V53" t="s">
        <v>71</v>
      </c>
      <c r="W53" t="str">
        <f>"             4158/02"</f>
        <v xml:space="preserve">             4158/02</v>
      </c>
      <c r="X53" s="1">
        <v>2452.1999999999998</v>
      </c>
      <c r="Y53">
        <v>0</v>
      </c>
      <c r="Z53"/>
      <c r="AB53"/>
      <c r="AC53" s="1">
        <v>2010</v>
      </c>
      <c r="AD53">
        <v>5</v>
      </c>
      <c r="AE53" s="1">
        <v>10050</v>
      </c>
      <c r="AF53">
        <v>0</v>
      </c>
      <c r="AJ53">
        <v>0</v>
      </c>
      <c r="AK53">
        <v>0</v>
      </c>
      <c r="AL53">
        <v>0</v>
      </c>
      <c r="AM53">
        <v>0</v>
      </c>
      <c r="AN53" s="1">
        <v>2452.1999999999998</v>
      </c>
      <c r="AO53">
        <v>0</v>
      </c>
      <c r="AP53" s="2">
        <v>42746</v>
      </c>
      <c r="AQ53" t="s">
        <v>72</v>
      </c>
      <c r="AR53" t="s">
        <v>72</v>
      </c>
      <c r="AS53">
        <v>1823</v>
      </c>
      <c r="AT53" s="4">
        <v>42566</v>
      </c>
      <c r="AU53" t="s">
        <v>73</v>
      </c>
      <c r="AV53">
        <v>1823</v>
      </c>
      <c r="AW53" s="4">
        <v>42566</v>
      </c>
      <c r="BD53">
        <v>0</v>
      </c>
      <c r="BN53" t="s">
        <v>74</v>
      </c>
    </row>
    <row r="54" spans="1:66" hidden="1">
      <c r="A54">
        <v>100032</v>
      </c>
      <c r="B54" s="3" t="s">
        <v>79</v>
      </c>
      <c r="C54" s="1">
        <v>43300101</v>
      </c>
      <c r="D54" t="s">
        <v>67</v>
      </c>
      <c r="H54" t="str">
        <f t="shared" si="3"/>
        <v>01316780426</v>
      </c>
      <c r="I54" t="str">
        <f t="shared" si="3"/>
        <v>01316780426</v>
      </c>
      <c r="K54" t="str">
        <f>""</f>
        <v/>
      </c>
      <c r="M54" t="s">
        <v>68</v>
      </c>
      <c r="N54" t="str">
        <f t="shared" si="1"/>
        <v>FOR</v>
      </c>
      <c r="O54" t="s">
        <v>69</v>
      </c>
      <c r="P54" s="3" t="s">
        <v>70</v>
      </c>
      <c r="Q54">
        <v>2015</v>
      </c>
      <c r="R54" s="2">
        <v>42237</v>
      </c>
      <c r="S54" s="2">
        <v>42501</v>
      </c>
      <c r="T54" s="2">
        <v>42501</v>
      </c>
      <c r="U54" s="2">
        <v>42561</v>
      </c>
      <c r="V54" t="s">
        <v>71</v>
      </c>
      <c r="W54" t="str">
        <f>"             5758/02"</f>
        <v xml:space="preserve">             5758/02</v>
      </c>
      <c r="X54" s="1">
        <v>3250.08</v>
      </c>
      <c r="Y54">
        <v>0</v>
      </c>
      <c r="Z54"/>
      <c r="AB54"/>
      <c r="AC54" s="1">
        <v>2664</v>
      </c>
      <c r="AD54">
        <v>18</v>
      </c>
      <c r="AE54" s="1">
        <v>47952</v>
      </c>
      <c r="AF54">
        <v>0</v>
      </c>
      <c r="AJ54">
        <v>0</v>
      </c>
      <c r="AK54">
        <v>0</v>
      </c>
      <c r="AL54">
        <v>0</v>
      </c>
      <c r="AM54">
        <v>0</v>
      </c>
      <c r="AN54" s="1">
        <v>3250.08</v>
      </c>
      <c r="AO54">
        <v>0</v>
      </c>
      <c r="AP54" s="2">
        <v>42746</v>
      </c>
      <c r="AQ54" t="s">
        <v>72</v>
      </c>
      <c r="AR54" t="s">
        <v>72</v>
      </c>
      <c r="AS54">
        <v>2019</v>
      </c>
      <c r="AT54" s="4">
        <v>42579</v>
      </c>
      <c r="AU54" t="s">
        <v>73</v>
      </c>
      <c r="AV54">
        <v>2019</v>
      </c>
      <c r="AW54" s="4">
        <v>42579</v>
      </c>
      <c r="BD54">
        <v>0</v>
      </c>
      <c r="BN54" t="s">
        <v>74</v>
      </c>
    </row>
    <row r="55" spans="1:66" hidden="1">
      <c r="A55">
        <v>100032</v>
      </c>
      <c r="B55" s="3" t="s">
        <v>79</v>
      </c>
      <c r="C55" s="1">
        <v>43300101</v>
      </c>
      <c r="D55" t="s">
        <v>67</v>
      </c>
      <c r="H55" t="str">
        <f t="shared" si="3"/>
        <v>01316780426</v>
      </c>
      <c r="I55" t="str">
        <f t="shared" si="3"/>
        <v>01316780426</v>
      </c>
      <c r="K55" t="str">
        <f>""</f>
        <v/>
      </c>
      <c r="M55" t="s">
        <v>68</v>
      </c>
      <c r="N55" t="str">
        <f t="shared" si="1"/>
        <v>FOR</v>
      </c>
      <c r="O55" t="s">
        <v>69</v>
      </c>
      <c r="P55" s="3" t="s">
        <v>70</v>
      </c>
      <c r="Q55">
        <v>2015</v>
      </c>
      <c r="R55" s="2">
        <v>42237</v>
      </c>
      <c r="S55" s="2">
        <v>42501</v>
      </c>
      <c r="T55" s="2">
        <v>42501</v>
      </c>
      <c r="U55" s="2">
        <v>42561</v>
      </c>
      <c r="V55" t="s">
        <v>71</v>
      </c>
      <c r="W55" t="str">
        <f>"             5759/02"</f>
        <v xml:space="preserve">             5759/02</v>
      </c>
      <c r="X55" s="1">
        <v>1939.8</v>
      </c>
      <c r="Y55">
        <v>0</v>
      </c>
      <c r="Z55"/>
      <c r="AB55"/>
      <c r="AC55" s="1">
        <v>1590</v>
      </c>
      <c r="AD55">
        <v>18</v>
      </c>
      <c r="AE55" s="1">
        <v>28620</v>
      </c>
      <c r="AF55">
        <v>0</v>
      </c>
      <c r="AJ55">
        <v>0</v>
      </c>
      <c r="AK55">
        <v>0</v>
      </c>
      <c r="AL55">
        <v>0</v>
      </c>
      <c r="AM55">
        <v>0</v>
      </c>
      <c r="AN55" s="1">
        <v>1939.8</v>
      </c>
      <c r="AO55">
        <v>0</v>
      </c>
      <c r="AP55" s="2">
        <v>42746</v>
      </c>
      <c r="AQ55" t="s">
        <v>72</v>
      </c>
      <c r="AR55" t="s">
        <v>72</v>
      </c>
      <c r="AS55">
        <v>2019</v>
      </c>
      <c r="AT55" s="4">
        <v>42579</v>
      </c>
      <c r="AU55" t="s">
        <v>73</v>
      </c>
      <c r="AV55">
        <v>2019</v>
      </c>
      <c r="AW55" s="4">
        <v>42579</v>
      </c>
      <c r="BD55">
        <v>0</v>
      </c>
      <c r="BN55" t="s">
        <v>74</v>
      </c>
    </row>
    <row r="56" spans="1:66" hidden="1">
      <c r="A56">
        <v>100032</v>
      </c>
      <c r="B56" s="3" t="s">
        <v>79</v>
      </c>
      <c r="C56" s="1">
        <v>43300101</v>
      </c>
      <c r="D56" t="s">
        <v>67</v>
      </c>
      <c r="H56" t="str">
        <f t="shared" si="3"/>
        <v>01316780426</v>
      </c>
      <c r="I56" t="str">
        <f t="shared" si="3"/>
        <v>01316780426</v>
      </c>
      <c r="K56" t="str">
        <f>""</f>
        <v/>
      </c>
      <c r="M56" t="s">
        <v>68</v>
      </c>
      <c r="N56" t="str">
        <f t="shared" si="1"/>
        <v>FOR</v>
      </c>
      <c r="O56" t="s">
        <v>69</v>
      </c>
      <c r="P56" s="3" t="s">
        <v>70</v>
      </c>
      <c r="Q56">
        <v>2015</v>
      </c>
      <c r="R56" s="2">
        <v>42272</v>
      </c>
      <c r="S56" s="2">
        <v>42501</v>
      </c>
      <c r="T56" s="2">
        <v>42501</v>
      </c>
      <c r="U56" s="2">
        <v>42561</v>
      </c>
      <c r="V56" t="s">
        <v>71</v>
      </c>
      <c r="W56" t="str">
        <f>"             6937/02"</f>
        <v xml:space="preserve">             6937/02</v>
      </c>
      <c r="X56" s="1">
        <v>1899.78</v>
      </c>
      <c r="Y56">
        <v>0</v>
      </c>
      <c r="Z56"/>
      <c r="AB56"/>
      <c r="AC56" s="1">
        <v>1557.2</v>
      </c>
      <c r="AD56">
        <v>60</v>
      </c>
      <c r="AE56" s="1">
        <v>93432</v>
      </c>
      <c r="AF56">
        <v>0</v>
      </c>
      <c r="AJ56">
        <v>0</v>
      </c>
      <c r="AK56">
        <v>0</v>
      </c>
      <c r="AL56">
        <v>0</v>
      </c>
      <c r="AM56">
        <v>0</v>
      </c>
      <c r="AN56" s="1">
        <v>1899.78</v>
      </c>
      <c r="AO56">
        <v>0</v>
      </c>
      <c r="AP56" s="2">
        <v>42746</v>
      </c>
      <c r="AQ56" t="s">
        <v>72</v>
      </c>
      <c r="AR56" t="s">
        <v>72</v>
      </c>
      <c r="AS56">
        <v>2368</v>
      </c>
      <c r="AT56" s="4">
        <v>42621</v>
      </c>
      <c r="AU56" t="s">
        <v>73</v>
      </c>
      <c r="AV56">
        <v>2368</v>
      </c>
      <c r="AW56" s="4">
        <v>42621</v>
      </c>
      <c r="BD56">
        <v>0</v>
      </c>
      <c r="BN56" t="s">
        <v>74</v>
      </c>
    </row>
    <row r="57" spans="1:66">
      <c r="A57">
        <v>100032</v>
      </c>
      <c r="B57" s="3" t="s">
        <v>79</v>
      </c>
      <c r="C57" s="1">
        <v>43300101</v>
      </c>
      <c r="D57" t="s">
        <v>67</v>
      </c>
      <c r="H57" t="str">
        <f t="shared" si="3"/>
        <v>01316780426</v>
      </c>
      <c r="I57" t="str">
        <f t="shared" si="3"/>
        <v>01316780426</v>
      </c>
      <c r="K57" t="str">
        <f>""</f>
        <v/>
      </c>
      <c r="M57" t="s">
        <v>68</v>
      </c>
      <c r="N57" t="str">
        <f t="shared" si="1"/>
        <v>FOR</v>
      </c>
      <c r="O57" t="s">
        <v>69</v>
      </c>
      <c r="P57" s="3" t="s">
        <v>70</v>
      </c>
      <c r="Q57">
        <v>2015</v>
      </c>
      <c r="R57" s="2">
        <v>42299</v>
      </c>
      <c r="S57" s="2">
        <v>42501</v>
      </c>
      <c r="T57" s="2">
        <v>42501</v>
      </c>
      <c r="U57" s="2">
        <v>42561</v>
      </c>
      <c r="V57" t="s">
        <v>71</v>
      </c>
      <c r="W57" t="str">
        <f>"             7979/02"</f>
        <v xml:space="preserve">             7979/02</v>
      </c>
      <c r="X57" s="1">
        <v>1333.41</v>
      </c>
      <c r="Y57">
        <v>0</v>
      </c>
      <c r="Z57" s="5">
        <v>1092.96</v>
      </c>
      <c r="AA57">
        <v>87</v>
      </c>
      <c r="AB57" s="5">
        <v>95087.52</v>
      </c>
      <c r="AC57" s="1">
        <v>1092.96</v>
      </c>
      <c r="AD57">
        <v>87</v>
      </c>
      <c r="AE57" s="1">
        <v>95087.52</v>
      </c>
      <c r="AF57">
        <v>0</v>
      </c>
      <c r="AJ57">
        <v>0</v>
      </c>
      <c r="AK57">
        <v>0</v>
      </c>
      <c r="AL57">
        <v>0</v>
      </c>
      <c r="AM57">
        <v>0</v>
      </c>
      <c r="AN57" s="1">
        <v>1333.41</v>
      </c>
      <c r="AO57">
        <v>0</v>
      </c>
      <c r="AP57" s="2">
        <v>42746</v>
      </c>
      <c r="AQ57" t="s">
        <v>72</v>
      </c>
      <c r="AR57" t="s">
        <v>72</v>
      </c>
      <c r="AS57">
        <v>2680</v>
      </c>
      <c r="AT57" s="4">
        <v>42648</v>
      </c>
      <c r="AU57" t="s">
        <v>73</v>
      </c>
      <c r="AV57">
        <v>2680</v>
      </c>
      <c r="AW57" s="4">
        <v>42648</v>
      </c>
      <c r="BD57">
        <v>0</v>
      </c>
      <c r="BN57" t="s">
        <v>74</v>
      </c>
    </row>
    <row r="58" spans="1:66">
      <c r="A58">
        <v>100032</v>
      </c>
      <c r="B58" s="3" t="s">
        <v>79</v>
      </c>
      <c r="C58" s="1">
        <v>43300101</v>
      </c>
      <c r="D58" t="s">
        <v>67</v>
      </c>
      <c r="H58" t="str">
        <f t="shared" si="3"/>
        <v>01316780426</v>
      </c>
      <c r="I58" t="str">
        <f t="shared" si="3"/>
        <v>01316780426</v>
      </c>
      <c r="K58" t="str">
        <f>""</f>
        <v/>
      </c>
      <c r="M58" t="s">
        <v>68</v>
      </c>
      <c r="N58" t="str">
        <f t="shared" si="1"/>
        <v>FOR</v>
      </c>
      <c r="O58" t="s">
        <v>69</v>
      </c>
      <c r="P58" s="3" t="s">
        <v>70</v>
      </c>
      <c r="Q58">
        <v>2015</v>
      </c>
      <c r="R58" s="2">
        <v>42299</v>
      </c>
      <c r="S58" s="2">
        <v>42501</v>
      </c>
      <c r="T58" s="2">
        <v>42501</v>
      </c>
      <c r="U58" s="2">
        <v>42561</v>
      </c>
      <c r="V58" t="s">
        <v>71</v>
      </c>
      <c r="W58" t="str">
        <f>"             7980/02"</f>
        <v xml:space="preserve">             7980/02</v>
      </c>
      <c r="X58" s="1">
        <v>1024.8</v>
      </c>
      <c r="Y58">
        <v>0</v>
      </c>
      <c r="Z58" s="3">
        <v>840</v>
      </c>
      <c r="AA58">
        <v>87</v>
      </c>
      <c r="AB58" s="5">
        <v>73080</v>
      </c>
      <c r="AC58">
        <v>840</v>
      </c>
      <c r="AD58">
        <v>87</v>
      </c>
      <c r="AE58" s="1">
        <v>73080</v>
      </c>
      <c r="AF58">
        <v>0</v>
      </c>
      <c r="AJ58">
        <v>0</v>
      </c>
      <c r="AK58">
        <v>0</v>
      </c>
      <c r="AL58">
        <v>0</v>
      </c>
      <c r="AM58">
        <v>0</v>
      </c>
      <c r="AN58" s="1">
        <v>1024.8</v>
      </c>
      <c r="AO58">
        <v>0</v>
      </c>
      <c r="AP58" s="2">
        <v>42746</v>
      </c>
      <c r="AQ58" t="s">
        <v>72</v>
      </c>
      <c r="AR58" t="s">
        <v>72</v>
      </c>
      <c r="AS58">
        <v>2680</v>
      </c>
      <c r="AT58" s="4">
        <v>42648</v>
      </c>
      <c r="AU58" t="s">
        <v>73</v>
      </c>
      <c r="AV58">
        <v>2680</v>
      </c>
      <c r="AW58" s="4">
        <v>42648</v>
      </c>
      <c r="BD58">
        <v>0</v>
      </c>
      <c r="BN58" t="s">
        <v>74</v>
      </c>
    </row>
    <row r="59" spans="1:66">
      <c r="A59">
        <v>100032</v>
      </c>
      <c r="B59" s="3" t="s">
        <v>79</v>
      </c>
      <c r="C59" s="1">
        <v>43300101</v>
      </c>
      <c r="D59" t="s">
        <v>67</v>
      </c>
      <c r="H59" t="str">
        <f t="shared" si="3"/>
        <v>01316780426</v>
      </c>
      <c r="I59" t="str">
        <f t="shared" si="3"/>
        <v>01316780426</v>
      </c>
      <c r="K59" t="str">
        <f>""</f>
        <v/>
      </c>
      <c r="M59" t="s">
        <v>68</v>
      </c>
      <c r="N59" t="str">
        <f t="shared" si="1"/>
        <v>FOR</v>
      </c>
      <c r="O59" t="s">
        <v>69</v>
      </c>
      <c r="P59" s="3" t="s">
        <v>70</v>
      </c>
      <c r="Q59">
        <v>2015</v>
      </c>
      <c r="R59" s="2">
        <v>42299</v>
      </c>
      <c r="S59" s="2">
        <v>42501</v>
      </c>
      <c r="T59" s="2">
        <v>42501</v>
      </c>
      <c r="U59" s="2">
        <v>42561</v>
      </c>
      <c r="V59" t="s">
        <v>71</v>
      </c>
      <c r="W59" t="str">
        <f>"             7981/02"</f>
        <v xml:space="preserve">             7981/02</v>
      </c>
      <c r="X59" s="1">
        <v>2128.9</v>
      </c>
      <c r="Y59">
        <v>0</v>
      </c>
      <c r="Z59" s="5">
        <v>1745</v>
      </c>
      <c r="AA59">
        <v>87</v>
      </c>
      <c r="AB59" s="5">
        <v>151815</v>
      </c>
      <c r="AC59" s="1">
        <v>1745</v>
      </c>
      <c r="AD59">
        <v>87</v>
      </c>
      <c r="AE59" s="1">
        <v>151815</v>
      </c>
      <c r="AF59">
        <v>0</v>
      </c>
      <c r="AJ59">
        <v>0</v>
      </c>
      <c r="AK59">
        <v>0</v>
      </c>
      <c r="AL59">
        <v>0</v>
      </c>
      <c r="AM59">
        <v>0</v>
      </c>
      <c r="AN59" s="1">
        <v>2128.9</v>
      </c>
      <c r="AO59">
        <v>0</v>
      </c>
      <c r="AP59" s="2">
        <v>42746</v>
      </c>
      <c r="AQ59" t="s">
        <v>72</v>
      </c>
      <c r="AR59" t="s">
        <v>72</v>
      </c>
      <c r="AS59">
        <v>2680</v>
      </c>
      <c r="AT59" s="4">
        <v>42648</v>
      </c>
      <c r="AU59" t="s">
        <v>73</v>
      </c>
      <c r="AV59">
        <v>2680</v>
      </c>
      <c r="AW59" s="4">
        <v>42648</v>
      </c>
      <c r="BD59">
        <v>0</v>
      </c>
      <c r="BN59" t="s">
        <v>74</v>
      </c>
    </row>
    <row r="60" spans="1:66">
      <c r="A60">
        <v>100032</v>
      </c>
      <c r="B60" s="3" t="s">
        <v>79</v>
      </c>
      <c r="C60" s="1">
        <v>43300101</v>
      </c>
      <c r="D60" t="s">
        <v>67</v>
      </c>
      <c r="H60" t="str">
        <f t="shared" si="3"/>
        <v>01316780426</v>
      </c>
      <c r="I60" t="str">
        <f t="shared" si="3"/>
        <v>01316780426</v>
      </c>
      <c r="K60" t="str">
        <f>""</f>
        <v/>
      </c>
      <c r="M60" t="s">
        <v>68</v>
      </c>
      <c r="N60" t="str">
        <f t="shared" si="1"/>
        <v>FOR</v>
      </c>
      <c r="O60" t="s">
        <v>69</v>
      </c>
      <c r="P60" s="3" t="s">
        <v>70</v>
      </c>
      <c r="Q60">
        <v>2015</v>
      </c>
      <c r="R60" s="2">
        <v>42318</v>
      </c>
      <c r="S60" s="2">
        <v>42501</v>
      </c>
      <c r="T60" s="2">
        <v>42501</v>
      </c>
      <c r="U60" s="2">
        <v>42561</v>
      </c>
      <c r="V60" t="s">
        <v>71</v>
      </c>
      <c r="W60" t="str">
        <f>"             8659/02"</f>
        <v xml:space="preserve">             8659/02</v>
      </c>
      <c r="X60">
        <v>768.6</v>
      </c>
      <c r="Y60">
        <v>0</v>
      </c>
      <c r="Z60" s="3">
        <v>630</v>
      </c>
      <c r="AA60">
        <v>121</v>
      </c>
      <c r="AB60" s="5">
        <v>76230</v>
      </c>
      <c r="AC60">
        <v>630</v>
      </c>
      <c r="AD60">
        <v>121</v>
      </c>
      <c r="AE60" s="1">
        <v>76230</v>
      </c>
      <c r="AF60">
        <v>0</v>
      </c>
      <c r="AJ60">
        <v>0</v>
      </c>
      <c r="AK60">
        <v>0</v>
      </c>
      <c r="AL60">
        <v>0</v>
      </c>
      <c r="AM60">
        <v>0</v>
      </c>
      <c r="AN60">
        <v>768.6</v>
      </c>
      <c r="AO60">
        <v>0</v>
      </c>
      <c r="AP60" s="2">
        <v>42746</v>
      </c>
      <c r="AQ60" t="s">
        <v>72</v>
      </c>
      <c r="AR60" t="s">
        <v>72</v>
      </c>
      <c r="AS60">
        <v>2991</v>
      </c>
      <c r="AT60" s="4">
        <v>42682</v>
      </c>
      <c r="AU60" t="s">
        <v>73</v>
      </c>
      <c r="AV60">
        <v>2991</v>
      </c>
      <c r="AW60" s="4">
        <v>42682</v>
      </c>
      <c r="BD60">
        <v>0</v>
      </c>
      <c r="BN60" t="s">
        <v>74</v>
      </c>
    </row>
    <row r="61" spans="1:66">
      <c r="A61">
        <v>100032</v>
      </c>
      <c r="B61" s="3" t="s">
        <v>79</v>
      </c>
      <c r="C61" s="1">
        <v>43300101</v>
      </c>
      <c r="D61" t="s">
        <v>67</v>
      </c>
      <c r="H61" t="str">
        <f t="shared" si="3"/>
        <v>01316780426</v>
      </c>
      <c r="I61" t="str">
        <f t="shared" si="3"/>
        <v>01316780426</v>
      </c>
      <c r="K61" t="str">
        <f>""</f>
        <v/>
      </c>
      <c r="M61" t="s">
        <v>68</v>
      </c>
      <c r="N61" t="str">
        <f t="shared" si="1"/>
        <v>FOR</v>
      </c>
      <c r="O61" t="s">
        <v>69</v>
      </c>
      <c r="P61" s="3" t="s">
        <v>70</v>
      </c>
      <c r="Q61">
        <v>2015</v>
      </c>
      <c r="R61" s="2">
        <v>42326</v>
      </c>
      <c r="S61" s="2">
        <v>42501</v>
      </c>
      <c r="T61" s="2">
        <v>42501</v>
      </c>
      <c r="U61" s="2">
        <v>42561</v>
      </c>
      <c r="V61" t="s">
        <v>71</v>
      </c>
      <c r="W61" t="str">
        <f>"             9061/02"</f>
        <v xml:space="preserve">             9061/02</v>
      </c>
      <c r="X61" s="1">
        <v>3929.96</v>
      </c>
      <c r="Y61">
        <v>0</v>
      </c>
      <c r="Z61" s="5">
        <v>3221.28</v>
      </c>
      <c r="AA61">
        <v>121</v>
      </c>
      <c r="AB61" s="5">
        <v>389774.88</v>
      </c>
      <c r="AC61" s="1">
        <v>3221.28</v>
      </c>
      <c r="AD61">
        <v>121</v>
      </c>
      <c r="AE61" s="1">
        <v>389774.88</v>
      </c>
      <c r="AF61">
        <v>0</v>
      </c>
      <c r="AJ61">
        <v>0</v>
      </c>
      <c r="AK61">
        <v>0</v>
      </c>
      <c r="AL61">
        <v>0</v>
      </c>
      <c r="AM61">
        <v>0</v>
      </c>
      <c r="AN61" s="1">
        <v>3929.96</v>
      </c>
      <c r="AO61">
        <v>0</v>
      </c>
      <c r="AP61" s="2">
        <v>42746</v>
      </c>
      <c r="AQ61" t="s">
        <v>72</v>
      </c>
      <c r="AR61" t="s">
        <v>72</v>
      </c>
      <c r="AS61">
        <v>2991</v>
      </c>
      <c r="AT61" s="4">
        <v>42682</v>
      </c>
      <c r="AU61" t="s">
        <v>73</v>
      </c>
      <c r="AV61">
        <v>2991</v>
      </c>
      <c r="AW61" s="4">
        <v>42682</v>
      </c>
      <c r="BD61">
        <v>0</v>
      </c>
      <c r="BN61" t="s">
        <v>74</v>
      </c>
    </row>
    <row r="62" spans="1:66">
      <c r="A62">
        <v>100032</v>
      </c>
      <c r="B62" s="3" t="s">
        <v>79</v>
      </c>
      <c r="C62" s="1">
        <v>43300101</v>
      </c>
      <c r="D62" t="s">
        <v>67</v>
      </c>
      <c r="H62" t="str">
        <f t="shared" si="3"/>
        <v>01316780426</v>
      </c>
      <c r="I62" t="str">
        <f t="shared" si="3"/>
        <v>01316780426</v>
      </c>
      <c r="K62" t="str">
        <f>""</f>
        <v/>
      </c>
      <c r="M62" t="s">
        <v>68</v>
      </c>
      <c r="N62" t="str">
        <f t="shared" si="1"/>
        <v>FOR</v>
      </c>
      <c r="O62" t="s">
        <v>69</v>
      </c>
      <c r="P62" s="3" t="s">
        <v>70</v>
      </c>
      <c r="Q62">
        <v>2015</v>
      </c>
      <c r="R62" s="2">
        <v>42332</v>
      </c>
      <c r="S62" s="2">
        <v>42501</v>
      </c>
      <c r="T62" s="2">
        <v>42501</v>
      </c>
      <c r="U62" s="2">
        <v>42561</v>
      </c>
      <c r="V62" t="s">
        <v>71</v>
      </c>
      <c r="W62" t="str">
        <f>"             9296/02"</f>
        <v xml:space="preserve">             9296/02</v>
      </c>
      <c r="X62" s="1">
        <v>2452.1999999999998</v>
      </c>
      <c r="Y62">
        <v>0</v>
      </c>
      <c r="Z62" s="5">
        <v>2010</v>
      </c>
      <c r="AA62">
        <v>121</v>
      </c>
      <c r="AB62" s="5">
        <v>243210</v>
      </c>
      <c r="AC62" s="1">
        <v>2010</v>
      </c>
      <c r="AD62">
        <v>121</v>
      </c>
      <c r="AE62" s="1">
        <v>243210</v>
      </c>
      <c r="AF62">
        <v>0</v>
      </c>
      <c r="AJ62">
        <v>0</v>
      </c>
      <c r="AK62">
        <v>0</v>
      </c>
      <c r="AL62">
        <v>0</v>
      </c>
      <c r="AM62">
        <v>0</v>
      </c>
      <c r="AN62" s="1">
        <v>2452.1999999999998</v>
      </c>
      <c r="AO62">
        <v>0</v>
      </c>
      <c r="AP62" s="2">
        <v>42746</v>
      </c>
      <c r="AQ62" t="s">
        <v>72</v>
      </c>
      <c r="AR62" t="s">
        <v>72</v>
      </c>
      <c r="AS62">
        <v>2991</v>
      </c>
      <c r="AT62" s="4">
        <v>42682</v>
      </c>
      <c r="AU62" t="s">
        <v>73</v>
      </c>
      <c r="AV62">
        <v>2991</v>
      </c>
      <c r="AW62" s="4">
        <v>42682</v>
      </c>
      <c r="BD62">
        <v>0</v>
      </c>
      <c r="BN62" t="s">
        <v>74</v>
      </c>
    </row>
    <row r="63" spans="1:66">
      <c r="A63">
        <v>100032</v>
      </c>
      <c r="B63" s="3" t="s">
        <v>79</v>
      </c>
      <c r="C63" s="1">
        <v>43300101</v>
      </c>
      <c r="D63" t="s">
        <v>67</v>
      </c>
      <c r="H63" t="str">
        <f t="shared" si="3"/>
        <v>01316780426</v>
      </c>
      <c r="I63" t="str">
        <f t="shared" si="3"/>
        <v>01316780426</v>
      </c>
      <c r="K63" t="str">
        <f>""</f>
        <v/>
      </c>
      <c r="M63" t="s">
        <v>68</v>
      </c>
      <c r="N63" t="str">
        <f t="shared" si="1"/>
        <v>FOR</v>
      </c>
      <c r="O63" t="s">
        <v>69</v>
      </c>
      <c r="P63" s="3" t="s">
        <v>70</v>
      </c>
      <c r="Q63">
        <v>2015</v>
      </c>
      <c r="R63" s="2">
        <v>42345</v>
      </c>
      <c r="S63" s="2">
        <v>42501</v>
      </c>
      <c r="T63" s="2">
        <v>42501</v>
      </c>
      <c r="U63" s="2">
        <v>42561</v>
      </c>
      <c r="V63" t="s">
        <v>71</v>
      </c>
      <c r="W63" t="str">
        <f>"             9869/02"</f>
        <v xml:space="preserve">             9869/02</v>
      </c>
      <c r="X63" s="1">
        <v>1293.2</v>
      </c>
      <c r="Y63">
        <v>0</v>
      </c>
      <c r="Z63" s="5">
        <v>1060</v>
      </c>
      <c r="AA63">
        <v>129</v>
      </c>
      <c r="AB63" s="5">
        <v>136740</v>
      </c>
      <c r="AC63" s="1">
        <v>1060</v>
      </c>
      <c r="AD63">
        <v>129</v>
      </c>
      <c r="AE63" s="1">
        <v>136740</v>
      </c>
      <c r="AF63">
        <v>0</v>
      </c>
      <c r="AJ63">
        <v>0</v>
      </c>
      <c r="AK63">
        <v>0</v>
      </c>
      <c r="AL63">
        <v>0</v>
      </c>
      <c r="AM63">
        <v>0</v>
      </c>
      <c r="AN63" s="1">
        <v>1293.2</v>
      </c>
      <c r="AO63">
        <v>0</v>
      </c>
      <c r="AP63" s="2">
        <v>42746</v>
      </c>
      <c r="AQ63" t="s">
        <v>72</v>
      </c>
      <c r="AR63" t="s">
        <v>72</v>
      </c>
      <c r="AS63">
        <v>3149</v>
      </c>
      <c r="AT63" s="4">
        <v>42690</v>
      </c>
      <c r="AU63" t="s">
        <v>73</v>
      </c>
      <c r="AV63">
        <v>3149</v>
      </c>
      <c r="AW63" s="4">
        <v>42690</v>
      </c>
      <c r="BD63">
        <v>0</v>
      </c>
      <c r="BN63" t="s">
        <v>74</v>
      </c>
    </row>
    <row r="64" spans="1:66">
      <c r="A64">
        <v>100032</v>
      </c>
      <c r="B64" s="3" t="s">
        <v>79</v>
      </c>
      <c r="C64" s="1">
        <v>43300101</v>
      </c>
      <c r="D64" t="s">
        <v>67</v>
      </c>
      <c r="H64" t="str">
        <f t="shared" si="3"/>
        <v>01316780426</v>
      </c>
      <c r="I64" t="str">
        <f t="shared" si="3"/>
        <v>01316780426</v>
      </c>
      <c r="K64" t="str">
        <f>""</f>
        <v/>
      </c>
      <c r="M64" t="s">
        <v>68</v>
      </c>
      <c r="N64" t="str">
        <f t="shared" si="1"/>
        <v>FOR</v>
      </c>
      <c r="O64" t="s">
        <v>69</v>
      </c>
      <c r="P64" s="3" t="s">
        <v>75</v>
      </c>
      <c r="Q64">
        <v>2016</v>
      </c>
      <c r="R64" s="2">
        <v>42390</v>
      </c>
      <c r="S64" s="2">
        <v>42501</v>
      </c>
      <c r="T64" s="2">
        <v>42499</v>
      </c>
      <c r="U64" s="2">
        <v>42559</v>
      </c>
      <c r="V64" t="s">
        <v>71</v>
      </c>
      <c r="W64" t="str">
        <f>"              678/02"</f>
        <v xml:space="preserve">              678/02</v>
      </c>
      <c r="X64" s="1">
        <v>3638.53</v>
      </c>
      <c r="Y64">
        <v>0</v>
      </c>
      <c r="Z64" s="5">
        <v>2982.4</v>
      </c>
      <c r="AA64">
        <v>164</v>
      </c>
      <c r="AB64" s="5">
        <v>489113.59999999998</v>
      </c>
      <c r="AC64" s="1">
        <v>2982.4</v>
      </c>
      <c r="AD64">
        <v>164</v>
      </c>
      <c r="AE64" s="1">
        <v>489113.59999999998</v>
      </c>
      <c r="AF64">
        <v>656.13</v>
      </c>
      <c r="AJ64">
        <v>0</v>
      </c>
      <c r="AK64">
        <v>0</v>
      </c>
      <c r="AL64">
        <v>0</v>
      </c>
      <c r="AM64" s="1">
        <v>3638.53</v>
      </c>
      <c r="AN64" s="1">
        <v>3638.53</v>
      </c>
      <c r="AO64" s="1">
        <v>3638.53</v>
      </c>
      <c r="AP64" s="2">
        <v>42746</v>
      </c>
      <c r="AQ64" t="s">
        <v>72</v>
      </c>
      <c r="AR64" t="s">
        <v>72</v>
      </c>
      <c r="AS64">
        <v>3613</v>
      </c>
      <c r="AT64" s="4">
        <v>42723</v>
      </c>
      <c r="AU64" t="s">
        <v>73</v>
      </c>
      <c r="AV64">
        <v>3613</v>
      </c>
      <c r="AW64" s="4">
        <v>42723</v>
      </c>
      <c r="BC64">
        <v>656.13</v>
      </c>
      <c r="BD64">
        <v>0</v>
      </c>
      <c r="BN64" t="s">
        <v>74</v>
      </c>
    </row>
    <row r="65" spans="1:66">
      <c r="A65">
        <v>100032</v>
      </c>
      <c r="B65" s="3" t="s">
        <v>79</v>
      </c>
      <c r="C65" s="1">
        <v>43300101</v>
      </c>
      <c r="D65" t="s">
        <v>67</v>
      </c>
      <c r="H65" t="str">
        <f t="shared" si="3"/>
        <v>01316780426</v>
      </c>
      <c r="I65" t="str">
        <f t="shared" si="3"/>
        <v>01316780426</v>
      </c>
      <c r="K65" t="str">
        <f>""</f>
        <v/>
      </c>
      <c r="M65" t="s">
        <v>68</v>
      </c>
      <c r="N65" t="str">
        <f t="shared" si="1"/>
        <v>FOR</v>
      </c>
      <c r="O65" t="s">
        <v>69</v>
      </c>
      <c r="P65" s="3" t="s">
        <v>75</v>
      </c>
      <c r="Q65">
        <v>2016</v>
      </c>
      <c r="R65" s="2">
        <v>42391</v>
      </c>
      <c r="S65" s="2">
        <v>42501</v>
      </c>
      <c r="T65" s="2">
        <v>42499</v>
      </c>
      <c r="U65" s="2">
        <v>42559</v>
      </c>
      <c r="V65" t="s">
        <v>71</v>
      </c>
      <c r="W65" t="str">
        <f>"              773/02"</f>
        <v xml:space="preserve">              773/02</v>
      </c>
      <c r="X65" s="1">
        <v>2128.9</v>
      </c>
      <c r="Y65">
        <v>0</v>
      </c>
      <c r="Z65" s="5">
        <v>1745</v>
      </c>
      <c r="AA65">
        <v>164</v>
      </c>
      <c r="AB65" s="5">
        <v>286180</v>
      </c>
      <c r="AC65" s="1">
        <v>1745</v>
      </c>
      <c r="AD65">
        <v>164</v>
      </c>
      <c r="AE65" s="1">
        <v>286180</v>
      </c>
      <c r="AF65">
        <v>383.9</v>
      </c>
      <c r="AJ65">
        <v>0</v>
      </c>
      <c r="AK65">
        <v>0</v>
      </c>
      <c r="AL65">
        <v>0</v>
      </c>
      <c r="AM65" s="1">
        <v>2128.9</v>
      </c>
      <c r="AN65" s="1">
        <v>2128.9</v>
      </c>
      <c r="AO65" s="1">
        <v>2128.9</v>
      </c>
      <c r="AP65" s="2">
        <v>42746</v>
      </c>
      <c r="AQ65" t="s">
        <v>72</v>
      </c>
      <c r="AR65" t="s">
        <v>72</v>
      </c>
      <c r="AS65">
        <v>3613</v>
      </c>
      <c r="AT65" s="4">
        <v>42723</v>
      </c>
      <c r="AU65" t="s">
        <v>73</v>
      </c>
      <c r="AV65">
        <v>3613</v>
      </c>
      <c r="AW65" s="4">
        <v>42723</v>
      </c>
      <c r="BC65">
        <v>383.9</v>
      </c>
      <c r="BD65">
        <v>0</v>
      </c>
      <c r="BN65" t="s">
        <v>74</v>
      </c>
    </row>
    <row r="66" spans="1:66">
      <c r="A66">
        <v>100032</v>
      </c>
      <c r="B66" s="3" t="s">
        <v>79</v>
      </c>
      <c r="C66" s="1">
        <v>43300101</v>
      </c>
      <c r="D66" t="s">
        <v>67</v>
      </c>
      <c r="H66" t="str">
        <f t="shared" si="3"/>
        <v>01316780426</v>
      </c>
      <c r="I66" t="str">
        <f t="shared" si="3"/>
        <v>01316780426</v>
      </c>
      <c r="K66" t="str">
        <f>""</f>
        <v/>
      </c>
      <c r="M66" t="s">
        <v>68</v>
      </c>
      <c r="N66" t="str">
        <f t="shared" si="1"/>
        <v>FOR</v>
      </c>
      <c r="O66" t="s">
        <v>69</v>
      </c>
      <c r="P66" s="3" t="s">
        <v>75</v>
      </c>
      <c r="Q66">
        <v>2016</v>
      </c>
      <c r="R66" s="2">
        <v>42415</v>
      </c>
      <c r="S66" s="2">
        <v>42501</v>
      </c>
      <c r="T66" s="2">
        <v>42499</v>
      </c>
      <c r="U66" s="2">
        <v>42559</v>
      </c>
      <c r="V66" t="s">
        <v>71</v>
      </c>
      <c r="W66" t="str">
        <f>"             1963/02"</f>
        <v xml:space="preserve">             1963/02</v>
      </c>
      <c r="X66" s="1">
        <v>2128.9</v>
      </c>
      <c r="Y66">
        <v>0</v>
      </c>
      <c r="Z66" s="5">
        <v>1745</v>
      </c>
      <c r="AA66">
        <v>164</v>
      </c>
      <c r="AB66" s="5">
        <v>286180</v>
      </c>
      <c r="AC66" s="1">
        <v>1745</v>
      </c>
      <c r="AD66">
        <v>164</v>
      </c>
      <c r="AE66" s="1">
        <v>286180</v>
      </c>
      <c r="AF66">
        <v>383.9</v>
      </c>
      <c r="AJ66">
        <v>0</v>
      </c>
      <c r="AK66">
        <v>0</v>
      </c>
      <c r="AL66">
        <v>0</v>
      </c>
      <c r="AM66" s="1">
        <v>2128.9</v>
      </c>
      <c r="AN66" s="1">
        <v>2128.9</v>
      </c>
      <c r="AO66" s="1">
        <v>2128.9</v>
      </c>
      <c r="AP66" s="2">
        <v>42746</v>
      </c>
      <c r="AQ66" t="s">
        <v>72</v>
      </c>
      <c r="AR66" t="s">
        <v>72</v>
      </c>
      <c r="AS66">
        <v>3613</v>
      </c>
      <c r="AT66" s="4">
        <v>42723</v>
      </c>
      <c r="AU66" t="s">
        <v>73</v>
      </c>
      <c r="AV66">
        <v>3613</v>
      </c>
      <c r="AW66" s="4">
        <v>42723</v>
      </c>
      <c r="BC66">
        <v>383.9</v>
      </c>
      <c r="BD66">
        <v>0</v>
      </c>
      <c r="BN66" t="s">
        <v>74</v>
      </c>
    </row>
    <row r="67" spans="1:66">
      <c r="A67">
        <v>100032</v>
      </c>
      <c r="B67" s="3" t="s">
        <v>79</v>
      </c>
      <c r="C67" s="1">
        <v>43300101</v>
      </c>
      <c r="D67" t="s">
        <v>67</v>
      </c>
      <c r="H67" t="str">
        <f t="shared" si="3"/>
        <v>01316780426</v>
      </c>
      <c r="I67" t="str">
        <f t="shared" si="3"/>
        <v>01316780426</v>
      </c>
      <c r="K67" t="str">
        <f>""</f>
        <v/>
      </c>
      <c r="M67" t="s">
        <v>68</v>
      </c>
      <c r="N67" t="str">
        <f t="shared" ref="N67:N130" si="4">"FOR"</f>
        <v>FOR</v>
      </c>
      <c r="O67" t="s">
        <v>69</v>
      </c>
      <c r="P67" s="3" t="s">
        <v>75</v>
      </c>
      <c r="Q67">
        <v>2016</v>
      </c>
      <c r="R67" s="2">
        <v>42415</v>
      </c>
      <c r="S67" s="2">
        <v>42501</v>
      </c>
      <c r="T67" s="2">
        <v>42499</v>
      </c>
      <c r="U67" s="2">
        <v>42559</v>
      </c>
      <c r="V67" t="s">
        <v>71</v>
      </c>
      <c r="W67" t="str">
        <f>"             1964/02"</f>
        <v xml:space="preserve">             1964/02</v>
      </c>
      <c r="X67">
        <v>512.4</v>
      </c>
      <c r="Y67">
        <v>0</v>
      </c>
      <c r="Z67" s="3">
        <v>420</v>
      </c>
      <c r="AA67">
        <v>164</v>
      </c>
      <c r="AB67" s="5">
        <v>68880</v>
      </c>
      <c r="AC67">
        <v>420</v>
      </c>
      <c r="AD67">
        <v>164</v>
      </c>
      <c r="AE67" s="1">
        <v>68880</v>
      </c>
      <c r="AF67">
        <v>92.4</v>
      </c>
      <c r="AJ67">
        <v>0</v>
      </c>
      <c r="AK67">
        <v>0</v>
      </c>
      <c r="AL67">
        <v>0</v>
      </c>
      <c r="AM67">
        <v>512.4</v>
      </c>
      <c r="AN67">
        <v>512.4</v>
      </c>
      <c r="AO67">
        <v>512.4</v>
      </c>
      <c r="AP67" s="2">
        <v>42746</v>
      </c>
      <c r="AQ67" t="s">
        <v>72</v>
      </c>
      <c r="AR67" t="s">
        <v>72</v>
      </c>
      <c r="AS67">
        <v>3613</v>
      </c>
      <c r="AT67" s="4">
        <v>42723</v>
      </c>
      <c r="AU67" t="s">
        <v>73</v>
      </c>
      <c r="AV67">
        <v>3613</v>
      </c>
      <c r="AW67" s="4">
        <v>42723</v>
      </c>
      <c r="BC67">
        <v>92.4</v>
      </c>
      <c r="BD67">
        <v>0</v>
      </c>
      <c r="BN67" t="s">
        <v>74</v>
      </c>
    </row>
    <row r="68" spans="1:66">
      <c r="A68">
        <v>100043</v>
      </c>
      <c r="B68" s="3" t="s">
        <v>80</v>
      </c>
      <c r="C68" s="1">
        <v>43300101</v>
      </c>
      <c r="D68" t="s">
        <v>67</v>
      </c>
      <c r="H68" t="str">
        <f>"00468270582"</f>
        <v>00468270582</v>
      </c>
      <c r="I68" t="str">
        <f>"04494061007"</f>
        <v>04494061007</v>
      </c>
      <c r="K68" t="str">
        <f>""</f>
        <v/>
      </c>
      <c r="M68" t="s">
        <v>68</v>
      </c>
      <c r="N68" t="str">
        <f t="shared" si="4"/>
        <v>FOR</v>
      </c>
      <c r="O68" t="s">
        <v>69</v>
      </c>
      <c r="P68" s="3" t="s">
        <v>75</v>
      </c>
      <c r="Q68">
        <v>2016</v>
      </c>
      <c r="R68" s="2">
        <v>42409</v>
      </c>
      <c r="S68" s="2">
        <v>42443</v>
      </c>
      <c r="T68" s="2">
        <v>42416</v>
      </c>
      <c r="U68" s="2">
        <v>42476</v>
      </c>
      <c r="V68" t="s">
        <v>71</v>
      </c>
      <c r="W68" t="str">
        <f>"           450000431"</f>
        <v xml:space="preserve">           450000431</v>
      </c>
      <c r="X68">
        <v>904.09</v>
      </c>
      <c r="Y68">
        <v>0</v>
      </c>
      <c r="Z68" s="3">
        <v>821.9</v>
      </c>
      <c r="AA68">
        <v>247</v>
      </c>
      <c r="AB68" s="5">
        <v>203009.3</v>
      </c>
      <c r="AC68">
        <v>821.9</v>
      </c>
      <c r="AD68">
        <v>247</v>
      </c>
      <c r="AE68" s="1">
        <v>203009.3</v>
      </c>
      <c r="AF68">
        <v>82.19</v>
      </c>
      <c r="AJ68">
        <v>0</v>
      </c>
      <c r="AK68">
        <v>0</v>
      </c>
      <c r="AL68">
        <v>0</v>
      </c>
      <c r="AM68">
        <v>904.09</v>
      </c>
      <c r="AN68">
        <v>904.09</v>
      </c>
      <c r="AO68">
        <v>904.09</v>
      </c>
      <c r="AP68" s="2">
        <v>42746</v>
      </c>
      <c r="AQ68" t="s">
        <v>72</v>
      </c>
      <c r="AR68" t="s">
        <v>72</v>
      </c>
      <c r="AS68">
        <v>3607</v>
      </c>
      <c r="AT68" s="4">
        <v>42723</v>
      </c>
      <c r="AU68" t="s">
        <v>73</v>
      </c>
      <c r="AV68">
        <v>3607</v>
      </c>
      <c r="AW68" s="4">
        <v>42723</v>
      </c>
      <c r="BD68">
        <v>82.19</v>
      </c>
      <c r="BN68" t="s">
        <v>74</v>
      </c>
    </row>
    <row r="69" spans="1:66" hidden="1">
      <c r="A69">
        <v>100045</v>
      </c>
      <c r="B69" s="3" t="s">
        <v>81</v>
      </c>
      <c r="C69" s="1">
        <v>43300101</v>
      </c>
      <c r="D69" t="s">
        <v>67</v>
      </c>
      <c r="H69" t="str">
        <f>"08397890586"</f>
        <v>08397890586</v>
      </c>
      <c r="I69" t="str">
        <f>"02044501001"</f>
        <v>02044501001</v>
      </c>
      <c r="K69" t="str">
        <f>""</f>
        <v/>
      </c>
      <c r="M69" t="s">
        <v>68</v>
      </c>
      <c r="N69" t="str">
        <f t="shared" si="4"/>
        <v>FOR</v>
      </c>
      <c r="O69" t="s">
        <v>69</v>
      </c>
      <c r="P69" s="3" t="s">
        <v>75</v>
      </c>
      <c r="Q69">
        <v>2015</v>
      </c>
      <c r="R69" s="2">
        <v>42352</v>
      </c>
      <c r="S69" s="2">
        <v>42353</v>
      </c>
      <c r="T69" s="2">
        <v>42352</v>
      </c>
      <c r="U69" s="2">
        <v>42412</v>
      </c>
      <c r="V69" t="s">
        <v>71</v>
      </c>
      <c r="W69" t="str">
        <f>"           V2/592427"</f>
        <v xml:space="preserve">           V2/592427</v>
      </c>
      <c r="X69">
        <v>231.8</v>
      </c>
      <c r="Y69">
        <v>0</v>
      </c>
      <c r="Z69"/>
      <c r="AB69"/>
      <c r="AC69">
        <v>190</v>
      </c>
      <c r="AD69">
        <v>-9</v>
      </c>
      <c r="AE69" s="1">
        <v>-1710</v>
      </c>
      <c r="AF69">
        <v>41.8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 s="2">
        <v>42746</v>
      </c>
      <c r="AQ69" t="s">
        <v>72</v>
      </c>
      <c r="AR69" t="s">
        <v>72</v>
      </c>
      <c r="AS69">
        <v>212</v>
      </c>
      <c r="AT69" s="4">
        <v>42403</v>
      </c>
      <c r="AV69">
        <v>212</v>
      </c>
      <c r="AW69" s="4">
        <v>42403</v>
      </c>
      <c r="BD69">
        <v>41.8</v>
      </c>
      <c r="BN69" t="s">
        <v>74</v>
      </c>
    </row>
    <row r="70" spans="1:66">
      <c r="A70">
        <v>100045</v>
      </c>
      <c r="B70" s="3" t="s">
        <v>81</v>
      </c>
      <c r="C70" s="1">
        <v>43300101</v>
      </c>
      <c r="D70" t="s">
        <v>67</v>
      </c>
      <c r="H70" t="str">
        <f>"08397890586"</f>
        <v>08397890586</v>
      </c>
      <c r="I70" t="str">
        <f>"02044501001"</f>
        <v>02044501001</v>
      </c>
      <c r="K70" t="str">
        <f>""</f>
        <v/>
      </c>
      <c r="M70" t="s">
        <v>68</v>
      </c>
      <c r="N70" t="str">
        <f t="shared" si="4"/>
        <v>FOR</v>
      </c>
      <c r="O70" t="s">
        <v>69</v>
      </c>
      <c r="P70" s="3" t="s">
        <v>75</v>
      </c>
      <c r="Q70">
        <v>2016</v>
      </c>
      <c r="R70" s="2">
        <v>42513</v>
      </c>
      <c r="S70" s="2">
        <v>42514</v>
      </c>
      <c r="T70" s="2">
        <v>42513</v>
      </c>
      <c r="U70" s="2">
        <v>42573</v>
      </c>
      <c r="V70" t="s">
        <v>71</v>
      </c>
      <c r="W70" t="str">
        <f>"           V2/537262"</f>
        <v xml:space="preserve">           V2/537262</v>
      </c>
      <c r="X70">
        <v>414.8</v>
      </c>
      <c r="Y70">
        <v>0</v>
      </c>
      <c r="Z70" s="3">
        <v>340</v>
      </c>
      <c r="AA70">
        <v>108</v>
      </c>
      <c r="AB70" s="5">
        <v>36720</v>
      </c>
      <c r="AC70">
        <v>340</v>
      </c>
      <c r="AD70">
        <v>108</v>
      </c>
      <c r="AE70" s="1">
        <v>36720</v>
      </c>
      <c r="AF70">
        <v>74.8</v>
      </c>
      <c r="AJ70">
        <v>0</v>
      </c>
      <c r="AK70">
        <v>0</v>
      </c>
      <c r="AL70">
        <v>0</v>
      </c>
      <c r="AM70">
        <v>414.8</v>
      </c>
      <c r="AN70">
        <v>414.8</v>
      </c>
      <c r="AO70">
        <v>414.8</v>
      </c>
      <c r="AP70" s="2">
        <v>42746</v>
      </c>
      <c r="AQ70" t="s">
        <v>72</v>
      </c>
      <c r="AR70" t="s">
        <v>72</v>
      </c>
      <c r="AS70">
        <v>2946</v>
      </c>
      <c r="AT70" s="4">
        <v>42681</v>
      </c>
      <c r="AU70" t="s">
        <v>73</v>
      </c>
      <c r="AV70">
        <v>2946</v>
      </c>
      <c r="AW70" s="4">
        <v>42681</v>
      </c>
      <c r="BC70">
        <v>74.8</v>
      </c>
      <c r="BD70">
        <v>0</v>
      </c>
      <c r="BN70" t="s">
        <v>74</v>
      </c>
    </row>
    <row r="71" spans="1:66" hidden="1">
      <c r="A71">
        <v>100046</v>
      </c>
      <c r="B71" s="3" t="s">
        <v>82</v>
      </c>
      <c r="C71" s="1">
        <v>43300101</v>
      </c>
      <c r="D71" t="s">
        <v>67</v>
      </c>
      <c r="H71" t="str">
        <f t="shared" ref="H71:I76" si="5">"07617050153"</f>
        <v>07617050153</v>
      </c>
      <c r="I71" t="str">
        <f t="shared" si="5"/>
        <v>07617050153</v>
      </c>
      <c r="K71" t="str">
        <f>""</f>
        <v/>
      </c>
      <c r="M71" t="s">
        <v>68</v>
      </c>
      <c r="N71" t="str">
        <f t="shared" si="4"/>
        <v>FOR</v>
      </c>
      <c r="O71" t="s">
        <v>69</v>
      </c>
      <c r="P71" s="3" t="s">
        <v>70</v>
      </c>
      <c r="Q71">
        <v>2015</v>
      </c>
      <c r="R71" s="2">
        <v>42055</v>
      </c>
      <c r="S71" s="2">
        <v>42068</v>
      </c>
      <c r="T71" s="2">
        <v>42068</v>
      </c>
      <c r="U71" s="2">
        <v>42128</v>
      </c>
      <c r="V71" t="s">
        <v>71</v>
      </c>
      <c r="W71" t="str">
        <f>"          2015101366"</f>
        <v xml:space="preserve">          2015101366</v>
      </c>
      <c r="X71">
        <v>523.66999999999996</v>
      </c>
      <c r="Y71">
        <v>0</v>
      </c>
      <c r="Z71"/>
      <c r="AB71"/>
      <c r="AC71">
        <v>429.24</v>
      </c>
      <c r="AD71">
        <v>276</v>
      </c>
      <c r="AE71" s="1">
        <v>118470.24</v>
      </c>
      <c r="AF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 s="2">
        <v>42746</v>
      </c>
      <c r="AQ71" t="s">
        <v>72</v>
      </c>
      <c r="AR71" t="s">
        <v>72</v>
      </c>
      <c r="AS71">
        <v>278</v>
      </c>
      <c r="AT71" s="4">
        <v>42404</v>
      </c>
      <c r="AU71" t="s">
        <v>73</v>
      </c>
      <c r="AV71">
        <v>278</v>
      </c>
      <c r="AW71" s="4">
        <v>42404</v>
      </c>
      <c r="BD71">
        <v>0</v>
      </c>
      <c r="BN71" t="s">
        <v>74</v>
      </c>
    </row>
    <row r="72" spans="1:66" hidden="1">
      <c r="A72">
        <v>100046</v>
      </c>
      <c r="B72" s="3" t="s">
        <v>82</v>
      </c>
      <c r="C72" s="1">
        <v>43300101</v>
      </c>
      <c r="D72" t="s">
        <v>67</v>
      </c>
      <c r="H72" t="str">
        <f t="shared" si="5"/>
        <v>07617050153</v>
      </c>
      <c r="I72" t="str">
        <f t="shared" si="5"/>
        <v>07617050153</v>
      </c>
      <c r="K72" t="str">
        <f>""</f>
        <v/>
      </c>
      <c r="M72" t="s">
        <v>68</v>
      </c>
      <c r="N72" t="str">
        <f t="shared" si="4"/>
        <v>FOR</v>
      </c>
      <c r="O72" t="s">
        <v>69</v>
      </c>
      <c r="P72" s="3" t="s">
        <v>70</v>
      </c>
      <c r="Q72">
        <v>2015</v>
      </c>
      <c r="R72" s="2">
        <v>42083</v>
      </c>
      <c r="S72" s="2">
        <v>42097</v>
      </c>
      <c r="T72" s="2">
        <v>42097</v>
      </c>
      <c r="U72" s="2">
        <v>42157</v>
      </c>
      <c r="V72" t="s">
        <v>71</v>
      </c>
      <c r="W72" t="str">
        <f>"          2015101887"</f>
        <v xml:space="preserve">          2015101887</v>
      </c>
      <c r="X72" s="1">
        <v>1518.9</v>
      </c>
      <c r="Y72">
        <v>0</v>
      </c>
      <c r="Z72"/>
      <c r="AB72"/>
      <c r="AC72" s="1">
        <v>1245</v>
      </c>
      <c r="AD72">
        <v>258</v>
      </c>
      <c r="AE72" s="1">
        <v>321210</v>
      </c>
      <c r="AF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 s="2">
        <v>42746</v>
      </c>
      <c r="AQ72" t="s">
        <v>72</v>
      </c>
      <c r="AR72" t="s">
        <v>72</v>
      </c>
      <c r="AS72">
        <v>360</v>
      </c>
      <c r="AT72" s="4">
        <v>42415</v>
      </c>
      <c r="AU72" t="s">
        <v>73</v>
      </c>
      <c r="AV72">
        <v>360</v>
      </c>
      <c r="AW72" s="4">
        <v>42415</v>
      </c>
      <c r="BD72">
        <v>0</v>
      </c>
      <c r="BN72" t="s">
        <v>74</v>
      </c>
    </row>
    <row r="73" spans="1:66" hidden="1">
      <c r="A73">
        <v>100046</v>
      </c>
      <c r="B73" s="3" t="s">
        <v>82</v>
      </c>
      <c r="C73" s="1">
        <v>43300101</v>
      </c>
      <c r="D73" t="s">
        <v>67</v>
      </c>
      <c r="H73" t="str">
        <f t="shared" si="5"/>
        <v>07617050153</v>
      </c>
      <c r="I73" t="str">
        <f t="shared" si="5"/>
        <v>07617050153</v>
      </c>
      <c r="K73" t="str">
        <f>""</f>
        <v/>
      </c>
      <c r="M73" t="s">
        <v>68</v>
      </c>
      <c r="N73" t="str">
        <f t="shared" si="4"/>
        <v>FOR</v>
      </c>
      <c r="O73" t="s">
        <v>69</v>
      </c>
      <c r="P73" s="3" t="s">
        <v>75</v>
      </c>
      <c r="Q73">
        <v>2015</v>
      </c>
      <c r="R73" s="2">
        <v>42173</v>
      </c>
      <c r="S73" s="2">
        <v>42177</v>
      </c>
      <c r="T73" s="2">
        <v>42174</v>
      </c>
      <c r="U73" s="2">
        <v>42234</v>
      </c>
      <c r="V73" t="s">
        <v>71</v>
      </c>
      <c r="W73" t="str">
        <f>"          2015103682"</f>
        <v xml:space="preserve">          2015103682</v>
      </c>
      <c r="X73" s="1">
        <v>1518.9</v>
      </c>
      <c r="Y73">
        <v>0</v>
      </c>
      <c r="Z73"/>
      <c r="AB73"/>
      <c r="AC73" s="1">
        <v>1245</v>
      </c>
      <c r="AD73">
        <v>293</v>
      </c>
      <c r="AE73" s="1">
        <v>364785</v>
      </c>
      <c r="AF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 s="2">
        <v>42746</v>
      </c>
      <c r="AQ73" t="s">
        <v>72</v>
      </c>
      <c r="AR73" t="s">
        <v>72</v>
      </c>
      <c r="AS73">
        <v>1524</v>
      </c>
      <c r="AT73" s="4">
        <v>42527</v>
      </c>
      <c r="AU73" t="s">
        <v>73</v>
      </c>
      <c r="AV73">
        <v>1524</v>
      </c>
      <c r="AW73" s="4">
        <v>42527</v>
      </c>
      <c r="BD73">
        <v>0</v>
      </c>
      <c r="BN73" t="s">
        <v>74</v>
      </c>
    </row>
    <row r="74" spans="1:66" hidden="1">
      <c r="A74">
        <v>100046</v>
      </c>
      <c r="B74" s="3" t="s">
        <v>82</v>
      </c>
      <c r="C74" s="1">
        <v>43300101</v>
      </c>
      <c r="D74" t="s">
        <v>67</v>
      </c>
      <c r="H74" t="str">
        <f t="shared" si="5"/>
        <v>07617050153</v>
      </c>
      <c r="I74" t="str">
        <f t="shared" si="5"/>
        <v>07617050153</v>
      </c>
      <c r="K74" t="str">
        <f>""</f>
        <v/>
      </c>
      <c r="M74" t="s">
        <v>68</v>
      </c>
      <c r="N74" t="str">
        <f t="shared" si="4"/>
        <v>FOR</v>
      </c>
      <c r="O74" t="s">
        <v>69</v>
      </c>
      <c r="P74" s="3" t="s">
        <v>75</v>
      </c>
      <c r="Q74">
        <v>2015</v>
      </c>
      <c r="R74" s="2">
        <v>42250</v>
      </c>
      <c r="S74" s="2">
        <v>42254</v>
      </c>
      <c r="T74" s="2">
        <v>42251</v>
      </c>
      <c r="U74" s="2">
        <v>42311</v>
      </c>
      <c r="V74" t="s">
        <v>71</v>
      </c>
      <c r="W74" t="str">
        <f>"          2015104977"</f>
        <v xml:space="preserve">          2015104977</v>
      </c>
      <c r="X74" s="1">
        <v>1012.6</v>
      </c>
      <c r="Y74">
        <v>0</v>
      </c>
      <c r="Z74"/>
      <c r="AB74"/>
      <c r="AC74">
        <v>830</v>
      </c>
      <c r="AD74">
        <v>310</v>
      </c>
      <c r="AE74" s="1">
        <v>257300</v>
      </c>
      <c r="AF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 s="2">
        <v>42746</v>
      </c>
      <c r="AQ74" t="s">
        <v>72</v>
      </c>
      <c r="AR74" t="s">
        <v>72</v>
      </c>
      <c r="AS74">
        <v>2392</v>
      </c>
      <c r="AT74" s="4">
        <v>42621</v>
      </c>
      <c r="AU74" t="s">
        <v>73</v>
      </c>
      <c r="AV74">
        <v>2392</v>
      </c>
      <c r="AW74" s="4">
        <v>42621</v>
      </c>
      <c r="BD74">
        <v>0</v>
      </c>
      <c r="BN74" t="s">
        <v>74</v>
      </c>
    </row>
    <row r="75" spans="1:66" hidden="1">
      <c r="A75">
        <v>100046</v>
      </c>
      <c r="B75" s="3" t="s">
        <v>82</v>
      </c>
      <c r="C75" s="1">
        <v>43300101</v>
      </c>
      <c r="D75" t="s">
        <v>67</v>
      </c>
      <c r="H75" t="str">
        <f t="shared" si="5"/>
        <v>07617050153</v>
      </c>
      <c r="I75" t="str">
        <f t="shared" si="5"/>
        <v>07617050153</v>
      </c>
      <c r="K75" t="str">
        <f>""</f>
        <v/>
      </c>
      <c r="M75" t="s">
        <v>68</v>
      </c>
      <c r="N75" t="str">
        <f t="shared" si="4"/>
        <v>FOR</v>
      </c>
      <c r="O75" t="s">
        <v>69</v>
      </c>
      <c r="P75" s="3" t="s">
        <v>75</v>
      </c>
      <c r="Q75">
        <v>2015</v>
      </c>
      <c r="R75" s="2">
        <v>42286</v>
      </c>
      <c r="S75" s="2">
        <v>42291</v>
      </c>
      <c r="T75" s="2">
        <v>42291</v>
      </c>
      <c r="U75" s="2">
        <v>42351</v>
      </c>
      <c r="V75" t="s">
        <v>71</v>
      </c>
      <c r="W75" t="str">
        <f>"          2015105509"</f>
        <v xml:space="preserve">          2015105509</v>
      </c>
      <c r="X75">
        <v>785.51</v>
      </c>
      <c r="Y75">
        <v>0</v>
      </c>
      <c r="Z75"/>
      <c r="AB75"/>
      <c r="AC75">
        <v>643.86</v>
      </c>
      <c r="AD75">
        <v>270</v>
      </c>
      <c r="AE75" s="1">
        <v>173842.2</v>
      </c>
      <c r="AF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 s="2">
        <v>42746</v>
      </c>
      <c r="AQ75" t="s">
        <v>72</v>
      </c>
      <c r="AR75" t="s">
        <v>72</v>
      </c>
      <c r="AS75">
        <v>2392</v>
      </c>
      <c r="AT75" s="4">
        <v>42621</v>
      </c>
      <c r="AU75" t="s">
        <v>73</v>
      </c>
      <c r="AV75">
        <v>2392</v>
      </c>
      <c r="AW75" s="4">
        <v>42621</v>
      </c>
      <c r="BD75">
        <v>0</v>
      </c>
      <c r="BN75" t="s">
        <v>74</v>
      </c>
    </row>
    <row r="76" spans="1:66" hidden="1">
      <c r="A76">
        <v>100046</v>
      </c>
      <c r="B76" s="3" t="s">
        <v>82</v>
      </c>
      <c r="C76" s="1">
        <v>43300101</v>
      </c>
      <c r="D76" t="s">
        <v>67</v>
      </c>
      <c r="H76" t="str">
        <f t="shared" si="5"/>
        <v>07617050153</v>
      </c>
      <c r="I76" t="str">
        <f t="shared" si="5"/>
        <v>07617050153</v>
      </c>
      <c r="K76" t="str">
        <f>""</f>
        <v/>
      </c>
      <c r="M76" t="s">
        <v>68</v>
      </c>
      <c r="N76" t="str">
        <f t="shared" si="4"/>
        <v>FOR</v>
      </c>
      <c r="O76" t="s">
        <v>69</v>
      </c>
      <c r="P76" s="3" t="s">
        <v>75</v>
      </c>
      <c r="Q76">
        <v>2015</v>
      </c>
      <c r="R76" s="2">
        <v>42321</v>
      </c>
      <c r="S76" s="2">
        <v>42326</v>
      </c>
      <c r="T76" s="2">
        <v>42324</v>
      </c>
      <c r="U76" s="2">
        <v>42384</v>
      </c>
      <c r="V76" t="s">
        <v>71</v>
      </c>
      <c r="W76" t="str">
        <f>"          2015106179"</f>
        <v xml:space="preserve">          2015106179</v>
      </c>
      <c r="X76" s="1">
        <v>1518.9</v>
      </c>
      <c r="Y76">
        <v>0</v>
      </c>
      <c r="Z76"/>
      <c r="AB76"/>
      <c r="AC76" s="1">
        <v>1245</v>
      </c>
      <c r="AD76">
        <v>237</v>
      </c>
      <c r="AE76" s="1">
        <v>295065</v>
      </c>
      <c r="AF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 s="2">
        <v>42746</v>
      </c>
      <c r="AQ76" t="s">
        <v>72</v>
      </c>
      <c r="AR76" t="s">
        <v>72</v>
      </c>
      <c r="AS76">
        <v>2392</v>
      </c>
      <c r="AT76" s="4">
        <v>42621</v>
      </c>
      <c r="AU76" t="s">
        <v>73</v>
      </c>
      <c r="AV76">
        <v>2392</v>
      </c>
      <c r="AW76" s="4">
        <v>42621</v>
      </c>
      <c r="BD76">
        <v>0</v>
      </c>
      <c r="BN76" t="s">
        <v>74</v>
      </c>
    </row>
    <row r="77" spans="1:66" hidden="1">
      <c r="A77">
        <v>100052</v>
      </c>
      <c r="B77" s="3" t="s">
        <v>83</v>
      </c>
      <c r="C77" s="1">
        <v>43300101</v>
      </c>
      <c r="D77" t="s">
        <v>67</v>
      </c>
      <c r="H77" t="str">
        <f t="shared" ref="H77:I88" si="6">"00922061007"</f>
        <v>00922061007</v>
      </c>
      <c r="I77" t="str">
        <f t="shared" si="6"/>
        <v>00922061007</v>
      </c>
      <c r="K77" t="str">
        <f>""</f>
        <v/>
      </c>
      <c r="M77" t="s">
        <v>68</v>
      </c>
      <c r="N77" t="str">
        <f t="shared" si="4"/>
        <v>FOR</v>
      </c>
      <c r="O77" t="s">
        <v>69</v>
      </c>
      <c r="P77" s="3" t="s">
        <v>84</v>
      </c>
      <c r="Q77">
        <v>2016</v>
      </c>
      <c r="R77" s="2">
        <v>42389</v>
      </c>
      <c r="S77" s="2">
        <v>42390</v>
      </c>
      <c r="T77" s="2">
        <v>42390</v>
      </c>
      <c r="U77" s="2">
        <v>42450</v>
      </c>
      <c r="V77" t="s">
        <v>71</v>
      </c>
      <c r="W77" t="str">
        <f>"                0120"</f>
        <v xml:space="preserve">                0120</v>
      </c>
      <c r="X77">
        <v>0</v>
      </c>
      <c r="Y77" s="1">
        <v>1066</v>
      </c>
      <c r="Z77"/>
      <c r="AB77"/>
      <c r="AC77" s="1">
        <v>1066</v>
      </c>
      <c r="AD77">
        <v>-60</v>
      </c>
      <c r="AE77" s="1">
        <v>-63960</v>
      </c>
      <c r="AF77">
        <v>0</v>
      </c>
      <c r="AJ77">
        <v>0</v>
      </c>
      <c r="AK77">
        <v>0</v>
      </c>
      <c r="AL77">
        <v>0</v>
      </c>
      <c r="AM77" s="1">
        <v>1066</v>
      </c>
      <c r="AN77" s="1">
        <v>1066</v>
      </c>
      <c r="AO77" s="1">
        <v>1066</v>
      </c>
      <c r="AP77" s="2">
        <v>42746</v>
      </c>
      <c r="AQ77" t="s">
        <v>72</v>
      </c>
      <c r="AR77" t="s">
        <v>72</v>
      </c>
      <c r="AS77">
        <v>87</v>
      </c>
      <c r="AT77" s="4">
        <v>42390</v>
      </c>
      <c r="AV77">
        <v>87</v>
      </c>
      <c r="AW77" s="4">
        <v>42390</v>
      </c>
      <c r="BD77">
        <v>0</v>
      </c>
      <c r="BN77" t="s">
        <v>74</v>
      </c>
    </row>
    <row r="78" spans="1:66" hidden="1">
      <c r="A78">
        <v>100052</v>
      </c>
      <c r="B78" s="3" t="s">
        <v>83</v>
      </c>
      <c r="C78" s="1">
        <v>43300101</v>
      </c>
      <c r="D78" t="s">
        <v>67</v>
      </c>
      <c r="H78" t="str">
        <f t="shared" si="6"/>
        <v>00922061007</v>
      </c>
      <c r="I78" t="str">
        <f t="shared" si="6"/>
        <v>00922061007</v>
      </c>
      <c r="K78" t="str">
        <f>""</f>
        <v/>
      </c>
      <c r="M78" t="s">
        <v>68</v>
      </c>
      <c r="N78" t="str">
        <f t="shared" si="4"/>
        <v>FOR</v>
      </c>
      <c r="O78" t="s">
        <v>69</v>
      </c>
      <c r="P78" s="3" t="s">
        <v>85</v>
      </c>
      <c r="Q78">
        <v>2016</v>
      </c>
      <c r="R78" s="2">
        <v>42422</v>
      </c>
      <c r="S78" s="2">
        <v>42422</v>
      </c>
      <c r="T78" s="2">
        <v>42422</v>
      </c>
      <c r="U78" s="2">
        <v>42482</v>
      </c>
      <c r="V78" t="s">
        <v>71</v>
      </c>
      <c r="W78" t="str">
        <f>"                0222"</f>
        <v xml:space="preserve">                0222</v>
      </c>
      <c r="X78">
        <v>0</v>
      </c>
      <c r="Y78" s="1">
        <v>1066</v>
      </c>
      <c r="Z78"/>
      <c r="AB78"/>
      <c r="AC78" s="1">
        <v>1066</v>
      </c>
      <c r="AD78">
        <v>-58</v>
      </c>
      <c r="AE78" s="1">
        <v>-61828</v>
      </c>
      <c r="AF78">
        <v>0</v>
      </c>
      <c r="AJ78">
        <v>0</v>
      </c>
      <c r="AK78">
        <v>0</v>
      </c>
      <c r="AL78">
        <v>0</v>
      </c>
      <c r="AM78" s="1">
        <v>1066</v>
      </c>
      <c r="AN78" s="1">
        <v>1066</v>
      </c>
      <c r="AO78" s="1">
        <v>1066</v>
      </c>
      <c r="AP78" s="2">
        <v>42746</v>
      </c>
      <c r="AQ78" t="s">
        <v>72</v>
      </c>
      <c r="AR78" t="s">
        <v>72</v>
      </c>
      <c r="AS78">
        <v>531</v>
      </c>
      <c r="AT78" s="4">
        <v>42424</v>
      </c>
      <c r="AV78">
        <v>531</v>
      </c>
      <c r="AW78" s="4">
        <v>42424</v>
      </c>
      <c r="BD78">
        <v>0</v>
      </c>
      <c r="BN78" t="s">
        <v>74</v>
      </c>
    </row>
    <row r="79" spans="1:66" hidden="1">
      <c r="A79">
        <v>100052</v>
      </c>
      <c r="B79" s="3" t="s">
        <v>83</v>
      </c>
      <c r="C79" s="1">
        <v>43300101</v>
      </c>
      <c r="D79" t="s">
        <v>67</v>
      </c>
      <c r="H79" t="str">
        <f t="shared" si="6"/>
        <v>00922061007</v>
      </c>
      <c r="I79" t="str">
        <f t="shared" si="6"/>
        <v>00922061007</v>
      </c>
      <c r="K79" t="str">
        <f>""</f>
        <v/>
      </c>
      <c r="M79" t="s">
        <v>68</v>
      </c>
      <c r="N79" t="str">
        <f t="shared" si="4"/>
        <v>FOR</v>
      </c>
      <c r="O79" t="s">
        <v>69</v>
      </c>
      <c r="P79" s="3" t="s">
        <v>86</v>
      </c>
      <c r="Q79">
        <v>2016</v>
      </c>
      <c r="R79" s="2">
        <v>42450</v>
      </c>
      <c r="S79" s="2">
        <v>42450</v>
      </c>
      <c r="T79" s="2">
        <v>42450</v>
      </c>
      <c r="U79" s="2">
        <v>42510</v>
      </c>
      <c r="V79" t="s">
        <v>71</v>
      </c>
      <c r="W79" t="str">
        <f>"                0321"</f>
        <v xml:space="preserve">                0321</v>
      </c>
      <c r="X79">
        <v>0</v>
      </c>
      <c r="Y79" s="1">
        <v>1066</v>
      </c>
      <c r="Z79"/>
      <c r="AB79"/>
      <c r="AC79" s="1">
        <v>1066</v>
      </c>
      <c r="AD79">
        <v>-57</v>
      </c>
      <c r="AE79" s="1">
        <v>-60762</v>
      </c>
      <c r="AF79">
        <v>0</v>
      </c>
      <c r="AJ79">
        <v>0</v>
      </c>
      <c r="AK79">
        <v>0</v>
      </c>
      <c r="AL79">
        <v>0</v>
      </c>
      <c r="AM79" s="1">
        <v>1066</v>
      </c>
      <c r="AN79" s="1">
        <v>1066</v>
      </c>
      <c r="AO79" s="1">
        <v>1066</v>
      </c>
      <c r="AP79" s="2">
        <v>42746</v>
      </c>
      <c r="AQ79" t="s">
        <v>72</v>
      </c>
      <c r="AR79" t="s">
        <v>72</v>
      </c>
      <c r="AS79">
        <v>953</v>
      </c>
      <c r="AT79" s="4">
        <v>42453</v>
      </c>
      <c r="AV79">
        <v>953</v>
      </c>
      <c r="AW79" s="4">
        <v>42453</v>
      </c>
      <c r="BD79">
        <v>0</v>
      </c>
      <c r="BN79" t="s">
        <v>74</v>
      </c>
    </row>
    <row r="80" spans="1:66" hidden="1">
      <c r="A80">
        <v>100052</v>
      </c>
      <c r="B80" s="3" t="s">
        <v>83</v>
      </c>
      <c r="C80" s="1">
        <v>43300101</v>
      </c>
      <c r="D80" t="s">
        <v>67</v>
      </c>
      <c r="H80" t="str">
        <f t="shared" si="6"/>
        <v>00922061007</v>
      </c>
      <c r="I80" t="str">
        <f t="shared" si="6"/>
        <v>00922061007</v>
      </c>
      <c r="K80" t="str">
        <f>""</f>
        <v/>
      </c>
      <c r="M80" t="s">
        <v>68</v>
      </c>
      <c r="N80" t="str">
        <f t="shared" si="4"/>
        <v>FOR</v>
      </c>
      <c r="O80" t="s">
        <v>69</v>
      </c>
      <c r="P80" s="3" t="s">
        <v>87</v>
      </c>
      <c r="Q80">
        <v>2016</v>
      </c>
      <c r="R80" s="2">
        <v>42481</v>
      </c>
      <c r="S80" s="2">
        <v>42481</v>
      </c>
      <c r="T80" s="2">
        <v>42481</v>
      </c>
      <c r="U80" s="2">
        <v>42541</v>
      </c>
      <c r="V80" t="s">
        <v>71</v>
      </c>
      <c r="W80" t="str">
        <f>"                0421"</f>
        <v xml:space="preserve">                0421</v>
      </c>
      <c r="X80">
        <v>0</v>
      </c>
      <c r="Y80">
        <v>780</v>
      </c>
      <c r="Z80"/>
      <c r="AB80"/>
      <c r="AC80">
        <v>780</v>
      </c>
      <c r="AD80">
        <v>-60</v>
      </c>
      <c r="AE80" s="1">
        <v>-46800</v>
      </c>
      <c r="AF80">
        <v>0</v>
      </c>
      <c r="AJ80">
        <v>0</v>
      </c>
      <c r="AK80">
        <v>0</v>
      </c>
      <c r="AL80">
        <v>0</v>
      </c>
      <c r="AM80">
        <v>780</v>
      </c>
      <c r="AN80">
        <v>780</v>
      </c>
      <c r="AO80">
        <v>780</v>
      </c>
      <c r="AP80" s="2">
        <v>42746</v>
      </c>
      <c r="AQ80" t="s">
        <v>72</v>
      </c>
      <c r="AR80" t="s">
        <v>72</v>
      </c>
      <c r="AS80">
        <v>1118</v>
      </c>
      <c r="AT80" s="4">
        <v>42481</v>
      </c>
      <c r="AV80">
        <v>1118</v>
      </c>
      <c r="AW80" s="4">
        <v>42481</v>
      </c>
      <c r="BD80">
        <v>0</v>
      </c>
      <c r="BN80" t="s">
        <v>74</v>
      </c>
    </row>
    <row r="81" spans="1:66" hidden="1">
      <c r="A81">
        <v>100052</v>
      </c>
      <c r="B81" s="3" t="s">
        <v>83</v>
      </c>
      <c r="C81" s="1">
        <v>43300101</v>
      </c>
      <c r="D81" t="s">
        <v>67</v>
      </c>
      <c r="H81" t="str">
        <f t="shared" si="6"/>
        <v>00922061007</v>
      </c>
      <c r="I81" t="str">
        <f t="shared" si="6"/>
        <v>00922061007</v>
      </c>
      <c r="K81" t="str">
        <f>""</f>
        <v/>
      </c>
      <c r="M81" t="s">
        <v>68</v>
      </c>
      <c r="N81" t="str">
        <f t="shared" si="4"/>
        <v>FOR</v>
      </c>
      <c r="O81" t="s">
        <v>69</v>
      </c>
      <c r="P81" s="3" t="s">
        <v>88</v>
      </c>
      <c r="Q81">
        <v>2016</v>
      </c>
      <c r="R81" s="2">
        <v>42508</v>
      </c>
      <c r="S81" s="2">
        <v>42510</v>
      </c>
      <c r="T81" s="2">
        <v>42510</v>
      </c>
      <c r="U81" s="2">
        <v>42570</v>
      </c>
      <c r="V81" t="s">
        <v>71</v>
      </c>
      <c r="W81" t="str">
        <f>"                0518"</f>
        <v xml:space="preserve">                0518</v>
      </c>
      <c r="X81">
        <v>0</v>
      </c>
      <c r="Y81">
        <v>780</v>
      </c>
      <c r="Z81"/>
      <c r="AB81"/>
      <c r="AC81">
        <v>780</v>
      </c>
      <c r="AD81">
        <v>-57</v>
      </c>
      <c r="AE81" s="1">
        <v>-44460</v>
      </c>
      <c r="AF81">
        <v>0</v>
      </c>
      <c r="AJ81">
        <v>0</v>
      </c>
      <c r="AK81">
        <v>0</v>
      </c>
      <c r="AL81">
        <v>0</v>
      </c>
      <c r="AM81">
        <v>780</v>
      </c>
      <c r="AN81">
        <v>780</v>
      </c>
      <c r="AO81">
        <v>780</v>
      </c>
      <c r="AP81" s="2">
        <v>42746</v>
      </c>
      <c r="AQ81" t="s">
        <v>72</v>
      </c>
      <c r="AR81" t="s">
        <v>72</v>
      </c>
      <c r="AS81">
        <v>1356</v>
      </c>
      <c r="AT81" s="4">
        <v>42513</v>
      </c>
      <c r="AV81">
        <v>1356</v>
      </c>
      <c r="AW81" s="4">
        <v>42513</v>
      </c>
      <c r="BD81">
        <v>0</v>
      </c>
      <c r="BN81" t="s">
        <v>74</v>
      </c>
    </row>
    <row r="82" spans="1:66" hidden="1">
      <c r="A82">
        <v>100052</v>
      </c>
      <c r="B82" s="3" t="s">
        <v>83</v>
      </c>
      <c r="C82" s="1">
        <v>43300101</v>
      </c>
      <c r="D82" t="s">
        <v>67</v>
      </c>
      <c r="H82" t="str">
        <f t="shared" si="6"/>
        <v>00922061007</v>
      </c>
      <c r="I82" t="str">
        <f t="shared" si="6"/>
        <v>00922061007</v>
      </c>
      <c r="K82" t="str">
        <f>""</f>
        <v/>
      </c>
      <c r="M82" t="s">
        <v>68</v>
      </c>
      <c r="N82" t="str">
        <f t="shared" si="4"/>
        <v>FOR</v>
      </c>
      <c r="O82" t="s">
        <v>69</v>
      </c>
      <c r="P82" s="3" t="s">
        <v>89</v>
      </c>
      <c r="Q82">
        <v>2016</v>
      </c>
      <c r="R82" s="2">
        <v>42548</v>
      </c>
      <c r="S82" s="2">
        <v>42543</v>
      </c>
      <c r="T82" s="2">
        <v>42543</v>
      </c>
      <c r="U82" s="2">
        <v>42603</v>
      </c>
      <c r="V82" t="s">
        <v>71</v>
      </c>
      <c r="W82" t="str">
        <f>"                0627"</f>
        <v xml:space="preserve">                0627</v>
      </c>
      <c r="X82">
        <v>0</v>
      </c>
      <c r="Y82">
        <v>780</v>
      </c>
      <c r="Z82"/>
      <c r="AB82"/>
      <c r="AC82">
        <v>780</v>
      </c>
      <c r="AD82">
        <v>-47</v>
      </c>
      <c r="AE82" s="1">
        <v>-36660</v>
      </c>
      <c r="AF82">
        <v>0</v>
      </c>
      <c r="AJ82">
        <v>0</v>
      </c>
      <c r="AK82">
        <v>0</v>
      </c>
      <c r="AL82">
        <v>0</v>
      </c>
      <c r="AM82">
        <v>780</v>
      </c>
      <c r="AN82">
        <v>780</v>
      </c>
      <c r="AO82">
        <v>780</v>
      </c>
      <c r="AP82" s="2">
        <v>42746</v>
      </c>
      <c r="AQ82" t="s">
        <v>72</v>
      </c>
      <c r="AR82" t="s">
        <v>72</v>
      </c>
      <c r="AS82">
        <v>1739</v>
      </c>
      <c r="AT82" s="4">
        <v>42556</v>
      </c>
      <c r="AV82">
        <v>1739</v>
      </c>
      <c r="AW82" s="4">
        <v>42556</v>
      </c>
      <c r="BD82">
        <v>0</v>
      </c>
      <c r="BN82" t="s">
        <v>74</v>
      </c>
    </row>
    <row r="83" spans="1:66" hidden="1">
      <c r="A83">
        <v>100052</v>
      </c>
      <c r="B83" s="3" t="s">
        <v>83</v>
      </c>
      <c r="C83" s="1">
        <v>43300101</v>
      </c>
      <c r="D83" t="s">
        <v>67</v>
      </c>
      <c r="H83" t="str">
        <f t="shared" si="6"/>
        <v>00922061007</v>
      </c>
      <c r="I83" t="str">
        <f t="shared" si="6"/>
        <v>00922061007</v>
      </c>
      <c r="K83" t="str">
        <f>""</f>
        <v/>
      </c>
      <c r="M83" t="s">
        <v>68</v>
      </c>
      <c r="N83" t="str">
        <f t="shared" si="4"/>
        <v>FOR</v>
      </c>
      <c r="O83" t="s">
        <v>69</v>
      </c>
      <c r="P83" s="3" t="s">
        <v>90</v>
      </c>
      <c r="Q83">
        <v>2016</v>
      </c>
      <c r="R83" s="2">
        <v>42573</v>
      </c>
      <c r="S83" s="2">
        <v>42573</v>
      </c>
      <c r="T83" s="2">
        <v>42573</v>
      </c>
      <c r="U83" s="2">
        <v>42633</v>
      </c>
      <c r="V83" t="s">
        <v>71</v>
      </c>
      <c r="W83" t="str">
        <f>"                0722"</f>
        <v xml:space="preserve">                0722</v>
      </c>
      <c r="X83">
        <v>0</v>
      </c>
      <c r="Y83">
        <v>780</v>
      </c>
      <c r="Z83"/>
      <c r="AB83"/>
      <c r="AC83">
        <v>780</v>
      </c>
      <c r="AD83">
        <v>-48</v>
      </c>
      <c r="AE83" s="1">
        <v>-37440</v>
      </c>
      <c r="AF83">
        <v>0</v>
      </c>
      <c r="AJ83">
        <v>0</v>
      </c>
      <c r="AK83">
        <v>0</v>
      </c>
      <c r="AL83">
        <v>0</v>
      </c>
      <c r="AM83">
        <v>780</v>
      </c>
      <c r="AN83">
        <v>780</v>
      </c>
      <c r="AO83">
        <v>780</v>
      </c>
      <c r="AP83" s="2">
        <v>42746</v>
      </c>
      <c r="AQ83" t="s">
        <v>72</v>
      </c>
      <c r="AR83" t="s">
        <v>72</v>
      </c>
      <c r="AS83">
        <v>2137</v>
      </c>
      <c r="AT83" s="4">
        <v>42585</v>
      </c>
      <c r="AV83">
        <v>2137</v>
      </c>
      <c r="AW83" s="4">
        <v>42585</v>
      </c>
      <c r="BD83">
        <v>0</v>
      </c>
      <c r="BN83" t="s">
        <v>74</v>
      </c>
    </row>
    <row r="84" spans="1:66" hidden="1">
      <c r="A84">
        <v>100052</v>
      </c>
      <c r="B84" s="3" t="s">
        <v>83</v>
      </c>
      <c r="C84" s="1">
        <v>43300101</v>
      </c>
      <c r="D84" t="s">
        <v>67</v>
      </c>
      <c r="H84" t="str">
        <f t="shared" si="6"/>
        <v>00922061007</v>
      </c>
      <c r="I84" t="str">
        <f t="shared" si="6"/>
        <v>00922061007</v>
      </c>
      <c r="K84" t="str">
        <f>""</f>
        <v/>
      </c>
      <c r="M84" t="s">
        <v>68</v>
      </c>
      <c r="N84" t="str">
        <f t="shared" si="4"/>
        <v>FOR</v>
      </c>
      <c r="O84" t="s">
        <v>69</v>
      </c>
      <c r="P84" s="3" t="s">
        <v>91</v>
      </c>
      <c r="Q84">
        <v>2016</v>
      </c>
      <c r="R84" s="2">
        <v>42592</v>
      </c>
      <c r="S84" s="2">
        <v>42598</v>
      </c>
      <c r="T84" s="2">
        <v>42598</v>
      </c>
      <c r="U84" s="2">
        <v>42658</v>
      </c>
      <c r="V84" t="s">
        <v>71</v>
      </c>
      <c r="W84" t="str">
        <f>"                0810"</f>
        <v xml:space="preserve">                0810</v>
      </c>
      <c r="X84">
        <v>0</v>
      </c>
      <c r="Y84">
        <v>780</v>
      </c>
      <c r="Z84"/>
      <c r="AB84"/>
      <c r="AC84">
        <v>780</v>
      </c>
      <c r="AD84">
        <v>-60</v>
      </c>
      <c r="AE84" s="1">
        <v>-46800</v>
      </c>
      <c r="AF84">
        <v>0</v>
      </c>
      <c r="AJ84">
        <v>0</v>
      </c>
      <c r="AK84">
        <v>0</v>
      </c>
      <c r="AL84">
        <v>0</v>
      </c>
      <c r="AM84">
        <v>780</v>
      </c>
      <c r="AN84">
        <v>780</v>
      </c>
      <c r="AO84">
        <v>780</v>
      </c>
      <c r="AP84" s="2">
        <v>42746</v>
      </c>
      <c r="AQ84" t="s">
        <v>72</v>
      </c>
      <c r="AR84" t="s">
        <v>72</v>
      </c>
      <c r="AS84">
        <v>2220</v>
      </c>
      <c r="AT84" s="4">
        <v>42598</v>
      </c>
      <c r="AV84">
        <v>2220</v>
      </c>
      <c r="AW84" s="4">
        <v>42598</v>
      </c>
      <c r="BD84">
        <v>0</v>
      </c>
      <c r="BN84" t="s">
        <v>74</v>
      </c>
    </row>
    <row r="85" spans="1:66" hidden="1">
      <c r="A85">
        <v>100052</v>
      </c>
      <c r="B85" s="3" t="s">
        <v>83</v>
      </c>
      <c r="C85" s="1">
        <v>43300101</v>
      </c>
      <c r="D85" t="s">
        <v>67</v>
      </c>
      <c r="H85" t="str">
        <f t="shared" si="6"/>
        <v>00922061007</v>
      </c>
      <c r="I85" t="str">
        <f t="shared" si="6"/>
        <v>00922061007</v>
      </c>
      <c r="K85" t="str">
        <f>""</f>
        <v/>
      </c>
      <c r="M85" t="s">
        <v>68</v>
      </c>
      <c r="N85" t="str">
        <f t="shared" si="4"/>
        <v>FOR</v>
      </c>
      <c r="O85" t="s">
        <v>69</v>
      </c>
      <c r="P85" s="3" t="s">
        <v>92</v>
      </c>
      <c r="Q85">
        <v>2016</v>
      </c>
      <c r="R85" s="2">
        <v>42633</v>
      </c>
      <c r="S85" s="2">
        <v>42634</v>
      </c>
      <c r="T85" s="2">
        <v>42634</v>
      </c>
      <c r="U85" s="2">
        <v>42694</v>
      </c>
      <c r="V85" t="s">
        <v>71</v>
      </c>
      <c r="W85" t="str">
        <f>"                0920"</f>
        <v xml:space="preserve">                0920</v>
      </c>
      <c r="X85">
        <v>0</v>
      </c>
      <c r="Y85">
        <v>780</v>
      </c>
      <c r="Z85"/>
      <c r="AB85"/>
      <c r="AC85">
        <v>780</v>
      </c>
      <c r="AD85">
        <v>-60</v>
      </c>
      <c r="AE85" s="1">
        <v>-46800</v>
      </c>
      <c r="AF85">
        <v>0</v>
      </c>
      <c r="AJ85">
        <v>0</v>
      </c>
      <c r="AK85">
        <v>0</v>
      </c>
      <c r="AL85">
        <v>0</v>
      </c>
      <c r="AM85">
        <v>780</v>
      </c>
      <c r="AN85">
        <v>780</v>
      </c>
      <c r="AO85">
        <v>780</v>
      </c>
      <c r="AP85" s="2">
        <v>42746</v>
      </c>
      <c r="AQ85" t="s">
        <v>72</v>
      </c>
      <c r="AR85" t="s">
        <v>72</v>
      </c>
      <c r="AS85">
        <v>2493</v>
      </c>
      <c r="AT85" s="4">
        <v>42634</v>
      </c>
      <c r="AV85">
        <v>2493</v>
      </c>
      <c r="AW85" s="4">
        <v>42634</v>
      </c>
      <c r="BD85">
        <v>0</v>
      </c>
      <c r="BN85" t="s">
        <v>74</v>
      </c>
    </row>
    <row r="86" spans="1:66" hidden="1">
      <c r="A86">
        <v>100052</v>
      </c>
      <c r="B86" s="3" t="s">
        <v>83</v>
      </c>
      <c r="C86" s="1">
        <v>43300101</v>
      </c>
      <c r="D86" t="s">
        <v>67</v>
      </c>
      <c r="H86" t="str">
        <f t="shared" si="6"/>
        <v>00922061007</v>
      </c>
      <c r="I86" t="str">
        <f t="shared" si="6"/>
        <v>00922061007</v>
      </c>
      <c r="K86" t="str">
        <f>""</f>
        <v/>
      </c>
      <c r="M86" t="s">
        <v>68</v>
      </c>
      <c r="N86" t="str">
        <f t="shared" si="4"/>
        <v>FOR</v>
      </c>
      <c r="O86" t="s">
        <v>69</v>
      </c>
      <c r="P86" s="3" t="s">
        <v>93</v>
      </c>
      <c r="Q86">
        <v>2016</v>
      </c>
      <c r="R86" s="2">
        <v>42664</v>
      </c>
      <c r="S86" s="2">
        <v>42667</v>
      </c>
      <c r="T86" s="2">
        <v>42667</v>
      </c>
      <c r="U86" s="2">
        <v>42727</v>
      </c>
      <c r="V86" t="s">
        <v>71</v>
      </c>
      <c r="W86" t="str">
        <f>"                1021"</f>
        <v xml:space="preserve">                1021</v>
      </c>
      <c r="X86">
        <v>0</v>
      </c>
      <c r="Y86">
        <v>780</v>
      </c>
      <c r="Z86" s="3">
        <v>780</v>
      </c>
      <c r="AA86">
        <v>-60</v>
      </c>
      <c r="AB86" s="5">
        <v>-46800</v>
      </c>
      <c r="AC86">
        <v>780</v>
      </c>
      <c r="AD86">
        <v>-60</v>
      </c>
      <c r="AE86" s="1">
        <v>-46800</v>
      </c>
      <c r="AF86">
        <v>0</v>
      </c>
      <c r="AJ86">
        <v>780</v>
      </c>
      <c r="AK86">
        <v>780</v>
      </c>
      <c r="AL86">
        <v>780</v>
      </c>
      <c r="AM86">
        <v>780</v>
      </c>
      <c r="AN86">
        <v>780</v>
      </c>
      <c r="AO86">
        <v>780</v>
      </c>
      <c r="AP86" s="2">
        <v>42746</v>
      </c>
      <c r="AQ86" t="s">
        <v>72</v>
      </c>
      <c r="AR86" t="s">
        <v>72</v>
      </c>
      <c r="AS86">
        <v>2841</v>
      </c>
      <c r="AT86" s="4">
        <v>42667</v>
      </c>
      <c r="AV86">
        <v>2841</v>
      </c>
      <c r="AW86" s="4">
        <v>42667</v>
      </c>
      <c r="BD86">
        <v>0</v>
      </c>
      <c r="BN86" t="s">
        <v>74</v>
      </c>
    </row>
    <row r="87" spans="1:66" hidden="1">
      <c r="A87">
        <v>100052</v>
      </c>
      <c r="B87" s="3" t="s">
        <v>83</v>
      </c>
      <c r="C87" s="1">
        <v>43300101</v>
      </c>
      <c r="D87" t="s">
        <v>67</v>
      </c>
      <c r="H87" t="str">
        <f t="shared" si="6"/>
        <v>00922061007</v>
      </c>
      <c r="I87" t="str">
        <f t="shared" si="6"/>
        <v>00922061007</v>
      </c>
      <c r="K87" t="str">
        <f>""</f>
        <v/>
      </c>
      <c r="M87" t="s">
        <v>68</v>
      </c>
      <c r="N87" t="str">
        <f t="shared" si="4"/>
        <v>FOR</v>
      </c>
      <c r="O87" t="s">
        <v>69</v>
      </c>
      <c r="P87" s="3" t="s">
        <v>94</v>
      </c>
      <c r="Q87">
        <v>2016</v>
      </c>
      <c r="R87" s="2">
        <v>42696</v>
      </c>
      <c r="S87" s="2">
        <v>42696</v>
      </c>
      <c r="T87" s="2">
        <v>42696</v>
      </c>
      <c r="U87" s="2">
        <v>42756</v>
      </c>
      <c r="V87" t="s">
        <v>71</v>
      </c>
      <c r="W87" t="str">
        <f>"                1122"</f>
        <v xml:space="preserve">                1122</v>
      </c>
      <c r="X87">
        <v>0</v>
      </c>
      <c r="Y87">
        <v>780</v>
      </c>
      <c r="Z87" s="3">
        <v>780</v>
      </c>
      <c r="AA87">
        <v>-59</v>
      </c>
      <c r="AB87" s="5">
        <v>-46020</v>
      </c>
      <c r="AC87">
        <v>780</v>
      </c>
      <c r="AD87">
        <v>-59</v>
      </c>
      <c r="AE87" s="1">
        <v>-46020</v>
      </c>
      <c r="AF87">
        <v>0</v>
      </c>
      <c r="AJ87">
        <v>780</v>
      </c>
      <c r="AK87">
        <v>780</v>
      </c>
      <c r="AL87">
        <v>780</v>
      </c>
      <c r="AM87">
        <v>780</v>
      </c>
      <c r="AN87">
        <v>780</v>
      </c>
      <c r="AO87">
        <v>780</v>
      </c>
      <c r="AP87" s="2">
        <v>42746</v>
      </c>
      <c r="AQ87" t="s">
        <v>72</v>
      </c>
      <c r="AR87" t="s">
        <v>72</v>
      </c>
      <c r="AS87">
        <v>3279</v>
      </c>
      <c r="AT87" s="4">
        <v>42697</v>
      </c>
      <c r="AV87">
        <v>3279</v>
      </c>
      <c r="AW87" s="4">
        <v>42697</v>
      </c>
      <c r="BD87">
        <v>0</v>
      </c>
      <c r="BN87" t="s">
        <v>74</v>
      </c>
    </row>
    <row r="88" spans="1:66" hidden="1">
      <c r="A88">
        <v>100052</v>
      </c>
      <c r="B88" s="3" t="s">
        <v>83</v>
      </c>
      <c r="C88" s="1">
        <v>43300101</v>
      </c>
      <c r="D88" t="s">
        <v>67</v>
      </c>
      <c r="H88" t="str">
        <f t="shared" si="6"/>
        <v>00922061007</v>
      </c>
      <c r="I88" t="str">
        <f t="shared" si="6"/>
        <v>00922061007</v>
      </c>
      <c r="K88" t="str">
        <f>""</f>
        <v/>
      </c>
      <c r="M88" t="s">
        <v>68</v>
      </c>
      <c r="N88" t="str">
        <f t="shared" si="4"/>
        <v>FOR</v>
      </c>
      <c r="O88" t="s">
        <v>69</v>
      </c>
      <c r="P88" s="3" t="s">
        <v>95</v>
      </c>
      <c r="Q88">
        <v>2016</v>
      </c>
      <c r="R88" s="2">
        <v>42717</v>
      </c>
      <c r="S88" s="2">
        <v>42717</v>
      </c>
      <c r="T88" s="2">
        <v>42717</v>
      </c>
      <c r="U88" s="2">
        <v>42777</v>
      </c>
      <c r="V88" t="s">
        <v>71</v>
      </c>
      <c r="W88" t="str">
        <f>"                1213"</f>
        <v xml:space="preserve">                1213</v>
      </c>
      <c r="X88">
        <v>0</v>
      </c>
      <c r="Y88">
        <v>780</v>
      </c>
      <c r="Z88" s="3">
        <v>780</v>
      </c>
      <c r="AA88">
        <v>-59</v>
      </c>
      <c r="AB88" s="5">
        <v>-46020</v>
      </c>
      <c r="AC88">
        <v>780</v>
      </c>
      <c r="AD88">
        <v>-59</v>
      </c>
      <c r="AE88" s="1">
        <v>-46020</v>
      </c>
      <c r="AF88">
        <v>0</v>
      </c>
      <c r="AJ88">
        <v>780</v>
      </c>
      <c r="AK88">
        <v>780</v>
      </c>
      <c r="AL88">
        <v>780</v>
      </c>
      <c r="AM88">
        <v>780</v>
      </c>
      <c r="AN88">
        <v>780</v>
      </c>
      <c r="AO88">
        <v>780</v>
      </c>
      <c r="AP88" s="2">
        <v>42746</v>
      </c>
      <c r="AQ88" t="s">
        <v>72</v>
      </c>
      <c r="AR88" t="s">
        <v>72</v>
      </c>
      <c r="AS88">
        <v>3436</v>
      </c>
      <c r="AT88" s="4">
        <v>42718</v>
      </c>
      <c r="AV88">
        <v>3436</v>
      </c>
      <c r="AW88" s="4">
        <v>42718</v>
      </c>
      <c r="BD88">
        <v>0</v>
      </c>
      <c r="BN88" t="s">
        <v>74</v>
      </c>
    </row>
    <row r="89" spans="1:66" hidden="1">
      <c r="A89">
        <v>100053</v>
      </c>
      <c r="B89" s="3" t="s">
        <v>96</v>
      </c>
      <c r="C89" s="1">
        <v>43300101</v>
      </c>
      <c r="D89" t="s">
        <v>67</v>
      </c>
      <c r="H89" t="str">
        <f t="shared" ref="H89:I114" si="7">"07435060152"</f>
        <v>07435060152</v>
      </c>
      <c r="I89" t="str">
        <f t="shared" si="7"/>
        <v>07435060152</v>
      </c>
      <c r="K89" t="str">
        <f>""</f>
        <v/>
      </c>
      <c r="M89" t="s">
        <v>68</v>
      </c>
      <c r="N89" t="str">
        <f t="shared" si="4"/>
        <v>FOR</v>
      </c>
      <c r="O89" t="s">
        <v>69</v>
      </c>
      <c r="P89" s="3" t="s">
        <v>70</v>
      </c>
      <c r="Q89">
        <v>2015</v>
      </c>
      <c r="R89" s="2">
        <v>42046</v>
      </c>
      <c r="S89" s="2">
        <v>42067</v>
      </c>
      <c r="T89" s="2">
        <v>42067</v>
      </c>
      <c r="U89" s="2">
        <v>42127</v>
      </c>
      <c r="V89" t="s">
        <v>71</v>
      </c>
      <c r="W89" t="str">
        <f>"            35008406"</f>
        <v xml:space="preserve">            35008406</v>
      </c>
      <c r="X89">
        <v>775.92</v>
      </c>
      <c r="Y89">
        <v>0</v>
      </c>
      <c r="Z89"/>
      <c r="AB89"/>
      <c r="AC89">
        <v>636</v>
      </c>
      <c r="AD89">
        <v>277</v>
      </c>
      <c r="AE89" s="1">
        <v>176172</v>
      </c>
      <c r="AF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 s="2">
        <v>42746</v>
      </c>
      <c r="AQ89" t="s">
        <v>72</v>
      </c>
      <c r="AR89" t="s">
        <v>72</v>
      </c>
      <c r="AS89">
        <v>254</v>
      </c>
      <c r="AT89" s="4">
        <v>42404</v>
      </c>
      <c r="AU89" t="s">
        <v>73</v>
      </c>
      <c r="AV89">
        <v>254</v>
      </c>
      <c r="AW89" s="4">
        <v>42404</v>
      </c>
      <c r="BD89">
        <v>0</v>
      </c>
      <c r="BN89" t="s">
        <v>74</v>
      </c>
    </row>
    <row r="90" spans="1:66" hidden="1">
      <c r="A90">
        <v>100053</v>
      </c>
      <c r="B90" s="3" t="s">
        <v>96</v>
      </c>
      <c r="C90" s="1">
        <v>43300101</v>
      </c>
      <c r="D90" t="s">
        <v>67</v>
      </c>
      <c r="H90" t="str">
        <f t="shared" si="7"/>
        <v>07435060152</v>
      </c>
      <c r="I90" t="str">
        <f t="shared" si="7"/>
        <v>07435060152</v>
      </c>
      <c r="K90" t="str">
        <f>""</f>
        <v/>
      </c>
      <c r="M90" t="s">
        <v>68</v>
      </c>
      <c r="N90" t="str">
        <f t="shared" si="4"/>
        <v>FOR</v>
      </c>
      <c r="O90" t="s">
        <v>69</v>
      </c>
      <c r="P90" s="3" t="s">
        <v>75</v>
      </c>
      <c r="Q90">
        <v>2015</v>
      </c>
      <c r="R90" s="2">
        <v>42117</v>
      </c>
      <c r="S90" s="2">
        <v>42172</v>
      </c>
      <c r="T90" s="2">
        <v>42171</v>
      </c>
      <c r="U90" s="2">
        <v>42231</v>
      </c>
      <c r="V90" t="s">
        <v>71</v>
      </c>
      <c r="W90" t="str">
        <f>"         9R/35025025"</f>
        <v xml:space="preserve">         9R/35025025</v>
      </c>
      <c r="X90">
        <v>387.96</v>
      </c>
      <c r="Y90">
        <v>0</v>
      </c>
      <c r="Z90"/>
      <c r="AB90"/>
      <c r="AC90">
        <v>318</v>
      </c>
      <c r="AD90">
        <v>199</v>
      </c>
      <c r="AE90" s="1">
        <v>63282</v>
      </c>
      <c r="AF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 s="2">
        <v>42746</v>
      </c>
      <c r="AQ90" t="s">
        <v>72</v>
      </c>
      <c r="AR90" t="s">
        <v>72</v>
      </c>
      <c r="AS90">
        <v>604</v>
      </c>
      <c r="AT90" s="4">
        <v>42430</v>
      </c>
      <c r="AU90" t="s">
        <v>73</v>
      </c>
      <c r="AV90">
        <v>604</v>
      </c>
      <c r="AW90" s="4">
        <v>42430</v>
      </c>
      <c r="BD90">
        <v>0</v>
      </c>
      <c r="BN90" t="s">
        <v>74</v>
      </c>
    </row>
    <row r="91" spans="1:66" hidden="1">
      <c r="A91">
        <v>100053</v>
      </c>
      <c r="B91" s="3" t="s">
        <v>96</v>
      </c>
      <c r="C91" s="1">
        <v>43300101</v>
      </c>
      <c r="D91" t="s">
        <v>67</v>
      </c>
      <c r="H91" t="str">
        <f t="shared" si="7"/>
        <v>07435060152</v>
      </c>
      <c r="I91" t="str">
        <f t="shared" si="7"/>
        <v>07435060152</v>
      </c>
      <c r="K91" t="str">
        <f>""</f>
        <v/>
      </c>
      <c r="M91" t="s">
        <v>68</v>
      </c>
      <c r="N91" t="str">
        <f t="shared" si="4"/>
        <v>FOR</v>
      </c>
      <c r="O91" t="s">
        <v>69</v>
      </c>
      <c r="P91" s="3" t="s">
        <v>75</v>
      </c>
      <c r="Q91">
        <v>2015</v>
      </c>
      <c r="R91" s="2">
        <v>42117</v>
      </c>
      <c r="S91" s="2">
        <v>42172</v>
      </c>
      <c r="T91" s="2">
        <v>42171</v>
      </c>
      <c r="U91" s="2">
        <v>42231</v>
      </c>
      <c r="V91" t="s">
        <v>71</v>
      </c>
      <c r="W91" t="str">
        <f>"         9R/35025026"</f>
        <v xml:space="preserve">         9R/35025026</v>
      </c>
      <c r="X91">
        <v>671</v>
      </c>
      <c r="Y91">
        <v>0</v>
      </c>
      <c r="Z91"/>
      <c r="AB91"/>
      <c r="AC91">
        <v>550</v>
      </c>
      <c r="AD91">
        <v>199</v>
      </c>
      <c r="AE91" s="1">
        <v>109450</v>
      </c>
      <c r="AF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 s="2">
        <v>42746</v>
      </c>
      <c r="AQ91" t="s">
        <v>72</v>
      </c>
      <c r="AR91" t="s">
        <v>72</v>
      </c>
      <c r="AS91">
        <v>604</v>
      </c>
      <c r="AT91" s="4">
        <v>42430</v>
      </c>
      <c r="AU91" t="s">
        <v>73</v>
      </c>
      <c r="AV91">
        <v>604</v>
      </c>
      <c r="AW91" s="4">
        <v>42430</v>
      </c>
      <c r="BD91">
        <v>0</v>
      </c>
      <c r="BN91" t="s">
        <v>74</v>
      </c>
    </row>
    <row r="92" spans="1:66" hidden="1">
      <c r="A92">
        <v>100053</v>
      </c>
      <c r="B92" s="3" t="s">
        <v>96</v>
      </c>
      <c r="C92" s="1">
        <v>43300101</v>
      </c>
      <c r="D92" t="s">
        <v>67</v>
      </c>
      <c r="H92" t="str">
        <f t="shared" si="7"/>
        <v>07435060152</v>
      </c>
      <c r="I92" t="str">
        <f t="shared" si="7"/>
        <v>07435060152</v>
      </c>
      <c r="K92" t="str">
        <f>""</f>
        <v/>
      </c>
      <c r="M92" t="s">
        <v>68</v>
      </c>
      <c r="N92" t="str">
        <f t="shared" si="4"/>
        <v>FOR</v>
      </c>
      <c r="O92" t="s">
        <v>69</v>
      </c>
      <c r="P92" s="3" t="s">
        <v>75</v>
      </c>
      <c r="Q92">
        <v>2015</v>
      </c>
      <c r="R92" s="2">
        <v>42143</v>
      </c>
      <c r="S92" s="2">
        <v>42171</v>
      </c>
      <c r="T92" s="2">
        <v>42170</v>
      </c>
      <c r="U92" s="2">
        <v>42230</v>
      </c>
      <c r="V92" t="s">
        <v>71</v>
      </c>
      <c r="W92" t="str">
        <f>"         9R/35031036"</f>
        <v xml:space="preserve">         9R/35031036</v>
      </c>
      <c r="X92">
        <v>761.28</v>
      </c>
      <c r="Y92">
        <v>0</v>
      </c>
      <c r="Z92"/>
      <c r="AB92"/>
      <c r="AC92">
        <v>624</v>
      </c>
      <c r="AD92">
        <v>222</v>
      </c>
      <c r="AE92" s="1">
        <v>138528</v>
      </c>
      <c r="AF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 s="2">
        <v>42746</v>
      </c>
      <c r="AQ92" t="s">
        <v>72</v>
      </c>
      <c r="AR92" t="s">
        <v>72</v>
      </c>
      <c r="AS92">
        <v>832</v>
      </c>
      <c r="AT92" s="4">
        <v>42452</v>
      </c>
      <c r="AU92" t="s">
        <v>73</v>
      </c>
      <c r="AV92">
        <v>832</v>
      </c>
      <c r="AW92" s="4">
        <v>42452</v>
      </c>
      <c r="BD92">
        <v>0</v>
      </c>
      <c r="BN92" t="s">
        <v>74</v>
      </c>
    </row>
    <row r="93" spans="1:66" hidden="1">
      <c r="A93">
        <v>100053</v>
      </c>
      <c r="B93" s="3" t="s">
        <v>96</v>
      </c>
      <c r="C93" s="1">
        <v>43300101</v>
      </c>
      <c r="D93" t="s">
        <v>67</v>
      </c>
      <c r="H93" t="str">
        <f t="shared" si="7"/>
        <v>07435060152</v>
      </c>
      <c r="I93" t="str">
        <f t="shared" si="7"/>
        <v>07435060152</v>
      </c>
      <c r="K93" t="str">
        <f>""</f>
        <v/>
      </c>
      <c r="M93" t="s">
        <v>68</v>
      </c>
      <c r="N93" t="str">
        <f t="shared" si="4"/>
        <v>FOR</v>
      </c>
      <c r="O93" t="s">
        <v>69</v>
      </c>
      <c r="P93" s="3" t="s">
        <v>75</v>
      </c>
      <c r="Q93">
        <v>2015</v>
      </c>
      <c r="R93" s="2">
        <v>42144</v>
      </c>
      <c r="S93" s="2">
        <v>42171</v>
      </c>
      <c r="T93" s="2">
        <v>42170</v>
      </c>
      <c r="U93" s="2">
        <v>42230</v>
      </c>
      <c r="V93" t="s">
        <v>71</v>
      </c>
      <c r="W93" t="str">
        <f>"         9R/35031335"</f>
        <v xml:space="preserve">         9R/35031335</v>
      </c>
      <c r="X93">
        <v>775.92</v>
      </c>
      <c r="Y93">
        <v>0</v>
      </c>
      <c r="Z93"/>
      <c r="AB93"/>
      <c r="AC93">
        <v>636</v>
      </c>
      <c r="AD93">
        <v>222</v>
      </c>
      <c r="AE93" s="1">
        <v>141192</v>
      </c>
      <c r="AF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 s="2">
        <v>42746</v>
      </c>
      <c r="AQ93" t="s">
        <v>72</v>
      </c>
      <c r="AR93" t="s">
        <v>72</v>
      </c>
      <c r="AS93">
        <v>832</v>
      </c>
      <c r="AT93" s="4">
        <v>42452</v>
      </c>
      <c r="AU93" t="s">
        <v>73</v>
      </c>
      <c r="AV93">
        <v>832</v>
      </c>
      <c r="AW93" s="4">
        <v>42452</v>
      </c>
      <c r="BD93">
        <v>0</v>
      </c>
      <c r="BN93" t="s">
        <v>74</v>
      </c>
    </row>
    <row r="94" spans="1:66" hidden="1">
      <c r="A94">
        <v>100053</v>
      </c>
      <c r="B94" s="3" t="s">
        <v>96</v>
      </c>
      <c r="C94" s="1">
        <v>43300101</v>
      </c>
      <c r="D94" t="s">
        <v>67</v>
      </c>
      <c r="H94" t="str">
        <f t="shared" si="7"/>
        <v>07435060152</v>
      </c>
      <c r="I94" t="str">
        <f t="shared" si="7"/>
        <v>07435060152</v>
      </c>
      <c r="K94" t="str">
        <f>""</f>
        <v/>
      </c>
      <c r="M94" t="s">
        <v>68</v>
      </c>
      <c r="N94" t="str">
        <f t="shared" si="4"/>
        <v>FOR</v>
      </c>
      <c r="O94" t="s">
        <v>69</v>
      </c>
      <c r="P94" s="3" t="s">
        <v>75</v>
      </c>
      <c r="Q94">
        <v>2015</v>
      </c>
      <c r="R94" s="2">
        <v>42144</v>
      </c>
      <c r="S94" s="2">
        <v>42171</v>
      </c>
      <c r="T94" s="2">
        <v>42170</v>
      </c>
      <c r="U94" s="2">
        <v>42230</v>
      </c>
      <c r="V94" t="s">
        <v>71</v>
      </c>
      <c r="W94" t="str">
        <f>"         9R/35031336"</f>
        <v xml:space="preserve">         9R/35031336</v>
      </c>
      <c r="X94">
        <v>671</v>
      </c>
      <c r="Y94">
        <v>0</v>
      </c>
      <c r="Z94"/>
      <c r="AB94"/>
      <c r="AC94">
        <v>550</v>
      </c>
      <c r="AD94">
        <v>222</v>
      </c>
      <c r="AE94" s="1">
        <v>122100</v>
      </c>
      <c r="AF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 s="2">
        <v>42746</v>
      </c>
      <c r="AQ94" t="s">
        <v>72</v>
      </c>
      <c r="AR94" t="s">
        <v>72</v>
      </c>
      <c r="AS94">
        <v>832</v>
      </c>
      <c r="AT94" s="4">
        <v>42452</v>
      </c>
      <c r="AU94" t="s">
        <v>73</v>
      </c>
      <c r="AV94">
        <v>832</v>
      </c>
      <c r="AW94" s="4">
        <v>42452</v>
      </c>
      <c r="BD94">
        <v>0</v>
      </c>
      <c r="BN94" t="s">
        <v>74</v>
      </c>
    </row>
    <row r="95" spans="1:66" hidden="1">
      <c r="A95">
        <v>100053</v>
      </c>
      <c r="B95" s="3" t="s">
        <v>96</v>
      </c>
      <c r="C95" s="1">
        <v>43300101</v>
      </c>
      <c r="D95" t="s">
        <v>67</v>
      </c>
      <c r="H95" t="str">
        <f t="shared" si="7"/>
        <v>07435060152</v>
      </c>
      <c r="I95" t="str">
        <f t="shared" si="7"/>
        <v>07435060152</v>
      </c>
      <c r="K95" t="str">
        <f>""</f>
        <v/>
      </c>
      <c r="M95" t="s">
        <v>68</v>
      </c>
      <c r="N95" t="str">
        <f t="shared" si="4"/>
        <v>FOR</v>
      </c>
      <c r="O95" t="s">
        <v>69</v>
      </c>
      <c r="P95" s="3" t="s">
        <v>75</v>
      </c>
      <c r="Q95">
        <v>2015</v>
      </c>
      <c r="R95" s="2">
        <v>42152</v>
      </c>
      <c r="S95" s="2">
        <v>42171</v>
      </c>
      <c r="T95" s="2">
        <v>42170</v>
      </c>
      <c r="U95" s="2">
        <v>42230</v>
      </c>
      <c r="V95" t="s">
        <v>71</v>
      </c>
      <c r="W95" t="str">
        <f>"         9R/35033201"</f>
        <v xml:space="preserve">         9R/35033201</v>
      </c>
      <c r="X95" s="1">
        <v>3410</v>
      </c>
      <c r="Y95">
        <v>0</v>
      </c>
      <c r="Z95"/>
      <c r="AB95"/>
      <c r="AC95" s="1">
        <v>3100</v>
      </c>
      <c r="AD95">
        <v>222</v>
      </c>
      <c r="AE95" s="1">
        <v>688200</v>
      </c>
      <c r="AF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 s="2">
        <v>42746</v>
      </c>
      <c r="AQ95" t="s">
        <v>72</v>
      </c>
      <c r="AR95" t="s">
        <v>72</v>
      </c>
      <c r="AS95">
        <v>832</v>
      </c>
      <c r="AT95" s="4">
        <v>42452</v>
      </c>
      <c r="AU95" t="s">
        <v>73</v>
      </c>
      <c r="AV95">
        <v>832</v>
      </c>
      <c r="AW95" s="4">
        <v>42452</v>
      </c>
      <c r="BD95">
        <v>0</v>
      </c>
      <c r="BN95" t="s">
        <v>74</v>
      </c>
    </row>
    <row r="96" spans="1:66" hidden="1">
      <c r="A96">
        <v>100053</v>
      </c>
      <c r="B96" s="3" t="s">
        <v>96</v>
      </c>
      <c r="C96" s="1">
        <v>43300101</v>
      </c>
      <c r="D96" t="s">
        <v>67</v>
      </c>
      <c r="H96" t="str">
        <f t="shared" si="7"/>
        <v>07435060152</v>
      </c>
      <c r="I96" t="str">
        <f t="shared" si="7"/>
        <v>07435060152</v>
      </c>
      <c r="K96" t="str">
        <f>""</f>
        <v/>
      </c>
      <c r="M96" t="s">
        <v>68</v>
      </c>
      <c r="N96" t="str">
        <f t="shared" si="4"/>
        <v>FOR</v>
      </c>
      <c r="O96" t="s">
        <v>69</v>
      </c>
      <c r="P96" s="3" t="s">
        <v>75</v>
      </c>
      <c r="Q96">
        <v>2015</v>
      </c>
      <c r="R96" s="2">
        <v>42159</v>
      </c>
      <c r="S96" s="2">
        <v>42215</v>
      </c>
      <c r="T96" s="2">
        <v>42213</v>
      </c>
      <c r="U96" s="2">
        <v>42273</v>
      </c>
      <c r="V96" t="s">
        <v>71</v>
      </c>
      <c r="W96" t="str">
        <f>"         9R/35034414"</f>
        <v xml:space="preserve">         9R/35034414</v>
      </c>
      <c r="X96">
        <v>775.92</v>
      </c>
      <c r="Y96">
        <v>0</v>
      </c>
      <c r="Z96"/>
      <c r="AB96"/>
      <c r="AC96">
        <v>636</v>
      </c>
      <c r="AD96">
        <v>247</v>
      </c>
      <c r="AE96" s="1">
        <v>157092</v>
      </c>
      <c r="AF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 s="2">
        <v>42746</v>
      </c>
      <c r="AQ96" t="s">
        <v>72</v>
      </c>
      <c r="AR96" t="s">
        <v>72</v>
      </c>
      <c r="AS96">
        <v>1444</v>
      </c>
      <c r="AT96" s="4">
        <v>42520</v>
      </c>
      <c r="AU96" t="s">
        <v>73</v>
      </c>
      <c r="AV96">
        <v>1444</v>
      </c>
      <c r="AW96" s="4">
        <v>42520</v>
      </c>
      <c r="BD96">
        <v>0</v>
      </c>
      <c r="BN96" t="s">
        <v>74</v>
      </c>
    </row>
    <row r="97" spans="1:66" hidden="1">
      <c r="A97">
        <v>100053</v>
      </c>
      <c r="B97" s="3" t="s">
        <v>96</v>
      </c>
      <c r="C97" s="1">
        <v>43300101</v>
      </c>
      <c r="D97" t="s">
        <v>67</v>
      </c>
      <c r="H97" t="str">
        <f t="shared" si="7"/>
        <v>07435060152</v>
      </c>
      <c r="I97" t="str">
        <f t="shared" si="7"/>
        <v>07435060152</v>
      </c>
      <c r="K97" t="str">
        <f>""</f>
        <v/>
      </c>
      <c r="M97" t="s">
        <v>68</v>
      </c>
      <c r="N97" t="str">
        <f t="shared" si="4"/>
        <v>FOR</v>
      </c>
      <c r="O97" t="s">
        <v>69</v>
      </c>
      <c r="P97" s="3" t="s">
        <v>75</v>
      </c>
      <c r="Q97">
        <v>2015</v>
      </c>
      <c r="R97" s="2">
        <v>42159</v>
      </c>
      <c r="S97" s="2">
        <v>42215</v>
      </c>
      <c r="T97" s="2">
        <v>42213</v>
      </c>
      <c r="U97" s="2">
        <v>42273</v>
      </c>
      <c r="V97" t="s">
        <v>71</v>
      </c>
      <c r="W97" t="str">
        <f>"         9R/35034415"</f>
        <v xml:space="preserve">         9R/35034415</v>
      </c>
      <c r="X97">
        <v>671</v>
      </c>
      <c r="Y97">
        <v>0</v>
      </c>
      <c r="Z97"/>
      <c r="AB97"/>
      <c r="AC97">
        <v>550</v>
      </c>
      <c r="AD97">
        <v>247</v>
      </c>
      <c r="AE97" s="1">
        <v>135850</v>
      </c>
      <c r="AF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 s="2">
        <v>42746</v>
      </c>
      <c r="AQ97" t="s">
        <v>72</v>
      </c>
      <c r="AR97" t="s">
        <v>72</v>
      </c>
      <c r="AS97">
        <v>1444</v>
      </c>
      <c r="AT97" s="4">
        <v>42520</v>
      </c>
      <c r="AU97" t="s">
        <v>73</v>
      </c>
      <c r="AV97">
        <v>1444</v>
      </c>
      <c r="AW97" s="4">
        <v>42520</v>
      </c>
      <c r="BD97">
        <v>0</v>
      </c>
      <c r="BN97" t="s">
        <v>74</v>
      </c>
    </row>
    <row r="98" spans="1:66" hidden="1">
      <c r="A98">
        <v>100053</v>
      </c>
      <c r="B98" s="3" t="s">
        <v>96</v>
      </c>
      <c r="C98" s="1">
        <v>43300101</v>
      </c>
      <c r="D98" t="s">
        <v>67</v>
      </c>
      <c r="H98" t="str">
        <f t="shared" si="7"/>
        <v>07435060152</v>
      </c>
      <c r="I98" t="str">
        <f t="shared" si="7"/>
        <v>07435060152</v>
      </c>
      <c r="K98" t="str">
        <f>""</f>
        <v/>
      </c>
      <c r="M98" t="s">
        <v>68</v>
      </c>
      <c r="N98" t="str">
        <f t="shared" si="4"/>
        <v>FOR</v>
      </c>
      <c r="O98" t="s">
        <v>69</v>
      </c>
      <c r="P98" s="3" t="s">
        <v>75</v>
      </c>
      <c r="Q98">
        <v>2015</v>
      </c>
      <c r="R98" s="2">
        <v>42191</v>
      </c>
      <c r="S98" s="2">
        <v>42199</v>
      </c>
      <c r="T98" s="2">
        <v>42198</v>
      </c>
      <c r="U98" s="2">
        <v>42258</v>
      </c>
      <c r="V98" t="s">
        <v>71</v>
      </c>
      <c r="W98" t="str">
        <f>"         9R/35040780"</f>
        <v xml:space="preserve">         9R/35040780</v>
      </c>
      <c r="X98">
        <v>805.2</v>
      </c>
      <c r="Y98">
        <v>0</v>
      </c>
      <c r="Z98"/>
      <c r="AB98"/>
      <c r="AC98">
        <v>660</v>
      </c>
      <c r="AD98">
        <v>311</v>
      </c>
      <c r="AE98" s="1">
        <v>205260</v>
      </c>
      <c r="AF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 s="2">
        <v>42746</v>
      </c>
      <c r="AQ98" t="s">
        <v>72</v>
      </c>
      <c r="AR98" t="s">
        <v>72</v>
      </c>
      <c r="AS98">
        <v>1857</v>
      </c>
      <c r="AT98" s="4">
        <v>42569</v>
      </c>
      <c r="AU98" t="s">
        <v>73</v>
      </c>
      <c r="AV98">
        <v>1857</v>
      </c>
      <c r="AW98" s="4">
        <v>42569</v>
      </c>
      <c r="BD98">
        <v>0</v>
      </c>
      <c r="BN98" t="s">
        <v>74</v>
      </c>
    </row>
    <row r="99" spans="1:66" hidden="1">
      <c r="A99">
        <v>100053</v>
      </c>
      <c r="B99" s="3" t="s">
        <v>96</v>
      </c>
      <c r="C99" s="1">
        <v>43300101</v>
      </c>
      <c r="D99" t="s">
        <v>67</v>
      </c>
      <c r="H99" t="str">
        <f t="shared" si="7"/>
        <v>07435060152</v>
      </c>
      <c r="I99" t="str">
        <f t="shared" si="7"/>
        <v>07435060152</v>
      </c>
      <c r="K99" t="str">
        <f>""</f>
        <v/>
      </c>
      <c r="M99" t="s">
        <v>68</v>
      </c>
      <c r="N99" t="str">
        <f t="shared" si="4"/>
        <v>FOR</v>
      </c>
      <c r="O99" t="s">
        <v>69</v>
      </c>
      <c r="P99" s="3" t="s">
        <v>75</v>
      </c>
      <c r="Q99">
        <v>2015</v>
      </c>
      <c r="R99" s="2">
        <v>42191</v>
      </c>
      <c r="S99" s="2">
        <v>42199</v>
      </c>
      <c r="T99" s="2">
        <v>42198</v>
      </c>
      <c r="U99" s="2">
        <v>42258</v>
      </c>
      <c r="V99" t="s">
        <v>71</v>
      </c>
      <c r="W99" t="str">
        <f>"         9R/35040781"</f>
        <v xml:space="preserve">         9R/35040781</v>
      </c>
      <c r="X99">
        <v>775.92</v>
      </c>
      <c r="Y99">
        <v>0</v>
      </c>
      <c r="Z99"/>
      <c r="AB99"/>
      <c r="AC99">
        <v>636</v>
      </c>
      <c r="AD99">
        <v>311</v>
      </c>
      <c r="AE99" s="1">
        <v>197796</v>
      </c>
      <c r="AF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 s="2">
        <v>42746</v>
      </c>
      <c r="AQ99" t="s">
        <v>72</v>
      </c>
      <c r="AR99" t="s">
        <v>72</v>
      </c>
      <c r="AS99">
        <v>1857</v>
      </c>
      <c r="AT99" s="4">
        <v>42569</v>
      </c>
      <c r="AU99" t="s">
        <v>73</v>
      </c>
      <c r="AV99">
        <v>1857</v>
      </c>
      <c r="AW99" s="4">
        <v>42569</v>
      </c>
      <c r="BD99">
        <v>0</v>
      </c>
      <c r="BN99" t="s">
        <v>74</v>
      </c>
    </row>
    <row r="100" spans="1:66" hidden="1">
      <c r="A100">
        <v>100053</v>
      </c>
      <c r="B100" s="3" t="s">
        <v>96</v>
      </c>
      <c r="C100" s="1">
        <v>43300101</v>
      </c>
      <c r="D100" t="s">
        <v>67</v>
      </c>
      <c r="H100" t="str">
        <f t="shared" si="7"/>
        <v>07435060152</v>
      </c>
      <c r="I100" t="str">
        <f t="shared" si="7"/>
        <v>07435060152</v>
      </c>
      <c r="K100" t="str">
        <f>""</f>
        <v/>
      </c>
      <c r="M100" t="s">
        <v>68</v>
      </c>
      <c r="N100" t="str">
        <f t="shared" si="4"/>
        <v>FOR</v>
      </c>
      <c r="O100" t="s">
        <v>69</v>
      </c>
      <c r="P100" s="3" t="s">
        <v>75</v>
      </c>
      <c r="Q100">
        <v>2015</v>
      </c>
      <c r="R100" s="2">
        <v>42214</v>
      </c>
      <c r="S100" s="2">
        <v>42237</v>
      </c>
      <c r="T100" s="2">
        <v>42234</v>
      </c>
      <c r="U100" s="2">
        <v>42294</v>
      </c>
      <c r="V100" t="s">
        <v>71</v>
      </c>
      <c r="W100" t="str">
        <f>"         9R/35045619"</f>
        <v xml:space="preserve">         9R/35045619</v>
      </c>
      <c r="X100">
        <v>671</v>
      </c>
      <c r="Y100">
        <v>0</v>
      </c>
      <c r="Z100"/>
      <c r="AB100"/>
      <c r="AC100">
        <v>550</v>
      </c>
      <c r="AD100">
        <v>275</v>
      </c>
      <c r="AE100" s="1">
        <v>151250</v>
      </c>
      <c r="AF100">
        <v>0</v>
      </c>
      <c r="AJ100">
        <v>0</v>
      </c>
      <c r="AK100">
        <v>0</v>
      </c>
      <c r="AL100">
        <v>0</v>
      </c>
      <c r="AM100">
        <v>0</v>
      </c>
      <c r="AN100">
        <v>0</v>
      </c>
      <c r="AO100">
        <v>0</v>
      </c>
      <c r="AP100" s="2">
        <v>42746</v>
      </c>
      <c r="AQ100" t="s">
        <v>72</v>
      </c>
      <c r="AR100" t="s">
        <v>72</v>
      </c>
      <c r="AS100">
        <v>1857</v>
      </c>
      <c r="AT100" s="4">
        <v>42569</v>
      </c>
      <c r="AU100" t="s">
        <v>73</v>
      </c>
      <c r="AV100">
        <v>1857</v>
      </c>
      <c r="AW100" s="4">
        <v>42569</v>
      </c>
      <c r="BD100">
        <v>0</v>
      </c>
      <c r="BN100" t="s">
        <v>74</v>
      </c>
    </row>
    <row r="101" spans="1:66" hidden="1">
      <c r="A101">
        <v>100053</v>
      </c>
      <c r="B101" s="3" t="s">
        <v>96</v>
      </c>
      <c r="C101" s="1">
        <v>43300101</v>
      </c>
      <c r="D101" t="s">
        <v>67</v>
      </c>
      <c r="H101" t="str">
        <f t="shared" si="7"/>
        <v>07435060152</v>
      </c>
      <c r="I101" t="str">
        <f t="shared" si="7"/>
        <v>07435060152</v>
      </c>
      <c r="K101" t="str">
        <f>""</f>
        <v/>
      </c>
      <c r="M101" t="s">
        <v>68</v>
      </c>
      <c r="N101" t="str">
        <f t="shared" si="4"/>
        <v>FOR</v>
      </c>
      <c r="O101" t="s">
        <v>69</v>
      </c>
      <c r="P101" s="3" t="s">
        <v>75</v>
      </c>
      <c r="Q101">
        <v>2015</v>
      </c>
      <c r="R101" s="2">
        <v>42268</v>
      </c>
      <c r="S101" s="2">
        <v>42291</v>
      </c>
      <c r="T101" s="2">
        <v>42291</v>
      </c>
      <c r="U101" s="2">
        <v>42351</v>
      </c>
      <c r="V101" t="s">
        <v>71</v>
      </c>
      <c r="W101" t="str">
        <f>"         9R/35051638"</f>
        <v xml:space="preserve">         9R/35051638</v>
      </c>
      <c r="X101">
        <v>761.28</v>
      </c>
      <c r="Y101">
        <v>0</v>
      </c>
      <c r="Z101"/>
      <c r="AB101"/>
      <c r="AC101">
        <v>624</v>
      </c>
      <c r="AD101">
        <v>270</v>
      </c>
      <c r="AE101" s="1">
        <v>168480</v>
      </c>
      <c r="AF101">
        <v>0</v>
      </c>
      <c r="AJ101">
        <v>0</v>
      </c>
      <c r="AK101">
        <v>0</v>
      </c>
      <c r="AL101">
        <v>0</v>
      </c>
      <c r="AM101">
        <v>0</v>
      </c>
      <c r="AN101">
        <v>0</v>
      </c>
      <c r="AO101">
        <v>0</v>
      </c>
      <c r="AP101" s="2">
        <v>42746</v>
      </c>
      <c r="AQ101" t="s">
        <v>72</v>
      </c>
      <c r="AR101" t="s">
        <v>72</v>
      </c>
      <c r="AS101">
        <v>2355</v>
      </c>
      <c r="AT101" s="4">
        <v>42621</v>
      </c>
      <c r="AU101" t="s">
        <v>73</v>
      </c>
      <c r="AV101">
        <v>2355</v>
      </c>
      <c r="AW101" s="4">
        <v>42621</v>
      </c>
      <c r="BD101">
        <v>0</v>
      </c>
      <c r="BN101" t="s">
        <v>74</v>
      </c>
    </row>
    <row r="102" spans="1:66" hidden="1">
      <c r="A102">
        <v>100053</v>
      </c>
      <c r="B102" s="3" t="s">
        <v>96</v>
      </c>
      <c r="C102" s="1">
        <v>43300101</v>
      </c>
      <c r="D102" t="s">
        <v>67</v>
      </c>
      <c r="H102" t="str">
        <f t="shared" si="7"/>
        <v>07435060152</v>
      </c>
      <c r="I102" t="str">
        <f t="shared" si="7"/>
        <v>07435060152</v>
      </c>
      <c r="K102" t="str">
        <f>""</f>
        <v/>
      </c>
      <c r="M102" t="s">
        <v>68</v>
      </c>
      <c r="N102" t="str">
        <f t="shared" si="4"/>
        <v>FOR</v>
      </c>
      <c r="O102" t="s">
        <v>69</v>
      </c>
      <c r="P102" s="3" t="s">
        <v>75</v>
      </c>
      <c r="Q102">
        <v>2015</v>
      </c>
      <c r="R102" s="2">
        <v>42270</v>
      </c>
      <c r="S102" s="2">
        <v>42291</v>
      </c>
      <c r="T102" s="2">
        <v>42291</v>
      </c>
      <c r="U102" s="2">
        <v>42351</v>
      </c>
      <c r="V102" t="s">
        <v>71</v>
      </c>
      <c r="W102" t="str">
        <f>"         9R/35052223"</f>
        <v xml:space="preserve">         9R/35052223</v>
      </c>
      <c r="X102">
        <v>424.56</v>
      </c>
      <c r="Y102">
        <v>0</v>
      </c>
      <c r="Z102"/>
      <c r="AB102"/>
      <c r="AC102">
        <v>348</v>
      </c>
      <c r="AD102">
        <v>270</v>
      </c>
      <c r="AE102" s="1">
        <v>93960</v>
      </c>
      <c r="AF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 s="2">
        <v>42746</v>
      </c>
      <c r="AQ102" t="s">
        <v>72</v>
      </c>
      <c r="AR102" t="s">
        <v>72</v>
      </c>
      <c r="AS102">
        <v>2355</v>
      </c>
      <c r="AT102" s="4">
        <v>42621</v>
      </c>
      <c r="AU102" t="s">
        <v>73</v>
      </c>
      <c r="AV102">
        <v>2355</v>
      </c>
      <c r="AW102" s="4">
        <v>42621</v>
      </c>
      <c r="BD102">
        <v>0</v>
      </c>
      <c r="BN102" t="s">
        <v>74</v>
      </c>
    </row>
    <row r="103" spans="1:66" hidden="1">
      <c r="A103">
        <v>100053</v>
      </c>
      <c r="B103" s="3" t="s">
        <v>96</v>
      </c>
      <c r="C103" s="1">
        <v>43300101</v>
      </c>
      <c r="D103" t="s">
        <v>67</v>
      </c>
      <c r="H103" t="str">
        <f t="shared" si="7"/>
        <v>07435060152</v>
      </c>
      <c r="I103" t="str">
        <f t="shared" si="7"/>
        <v>07435060152</v>
      </c>
      <c r="K103" t="str">
        <f>""</f>
        <v/>
      </c>
      <c r="M103" t="s">
        <v>68</v>
      </c>
      <c r="N103" t="str">
        <f t="shared" si="4"/>
        <v>FOR</v>
      </c>
      <c r="O103" t="s">
        <v>69</v>
      </c>
      <c r="P103" s="3" t="s">
        <v>75</v>
      </c>
      <c r="Q103">
        <v>2015</v>
      </c>
      <c r="R103" s="2">
        <v>42299</v>
      </c>
      <c r="S103" s="2">
        <v>42317</v>
      </c>
      <c r="T103" s="2">
        <v>42313</v>
      </c>
      <c r="U103" s="2">
        <v>42373</v>
      </c>
      <c r="V103" t="s">
        <v>71</v>
      </c>
      <c r="W103" t="str">
        <f>"         9R/35058705"</f>
        <v xml:space="preserve">         9R/35058705</v>
      </c>
      <c r="X103">
        <v>536.79999999999995</v>
      </c>
      <c r="Y103">
        <v>0</v>
      </c>
      <c r="Z103"/>
      <c r="AB103"/>
      <c r="AC103">
        <v>440</v>
      </c>
      <c r="AD103">
        <v>248</v>
      </c>
      <c r="AE103" s="1">
        <v>109120</v>
      </c>
      <c r="AF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 s="2">
        <v>42746</v>
      </c>
      <c r="AQ103" t="s">
        <v>72</v>
      </c>
      <c r="AR103" t="s">
        <v>72</v>
      </c>
      <c r="AS103">
        <v>2355</v>
      </c>
      <c r="AT103" s="4">
        <v>42621</v>
      </c>
      <c r="AU103" t="s">
        <v>73</v>
      </c>
      <c r="AV103">
        <v>2355</v>
      </c>
      <c r="AW103" s="4">
        <v>42621</v>
      </c>
      <c r="BD103">
        <v>0</v>
      </c>
      <c r="BN103" t="s">
        <v>74</v>
      </c>
    </row>
    <row r="104" spans="1:66" hidden="1">
      <c r="A104">
        <v>100053</v>
      </c>
      <c r="B104" s="3" t="s">
        <v>96</v>
      </c>
      <c r="C104" s="1">
        <v>43300101</v>
      </c>
      <c r="D104" t="s">
        <v>67</v>
      </c>
      <c r="H104" t="str">
        <f t="shared" si="7"/>
        <v>07435060152</v>
      </c>
      <c r="I104" t="str">
        <f t="shared" si="7"/>
        <v>07435060152</v>
      </c>
      <c r="K104" t="str">
        <f>""</f>
        <v/>
      </c>
      <c r="M104" t="s">
        <v>68</v>
      </c>
      <c r="N104" t="str">
        <f t="shared" si="4"/>
        <v>FOR</v>
      </c>
      <c r="O104" t="s">
        <v>69</v>
      </c>
      <c r="P104" s="3" t="s">
        <v>75</v>
      </c>
      <c r="Q104">
        <v>2015</v>
      </c>
      <c r="R104" s="2">
        <v>42304</v>
      </c>
      <c r="S104" s="2">
        <v>42317</v>
      </c>
      <c r="T104" s="2">
        <v>42313</v>
      </c>
      <c r="U104" s="2">
        <v>42373</v>
      </c>
      <c r="V104" t="s">
        <v>71</v>
      </c>
      <c r="W104" t="str">
        <f>"         9R/35059317"</f>
        <v xml:space="preserve">         9R/35059317</v>
      </c>
      <c r="X104" s="1">
        <v>2223.0100000000002</v>
      </c>
      <c r="Y104">
        <v>0</v>
      </c>
      <c r="Z104"/>
      <c r="AB104"/>
      <c r="AC104" s="1">
        <v>2020.92</v>
      </c>
      <c r="AD104">
        <v>248</v>
      </c>
      <c r="AE104" s="1">
        <v>501188.16</v>
      </c>
      <c r="AF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 s="2">
        <v>42746</v>
      </c>
      <c r="AQ104" t="s">
        <v>72</v>
      </c>
      <c r="AR104" t="s">
        <v>72</v>
      </c>
      <c r="AS104">
        <v>2355</v>
      </c>
      <c r="AT104" s="4">
        <v>42621</v>
      </c>
      <c r="AU104" t="s">
        <v>73</v>
      </c>
      <c r="AV104">
        <v>2355</v>
      </c>
      <c r="AW104" s="4">
        <v>42621</v>
      </c>
      <c r="BD104">
        <v>0</v>
      </c>
      <c r="BN104" t="s">
        <v>74</v>
      </c>
    </row>
    <row r="105" spans="1:66">
      <c r="A105">
        <v>100053</v>
      </c>
      <c r="B105" s="3" t="s">
        <v>96</v>
      </c>
      <c r="C105" s="1">
        <v>43300101</v>
      </c>
      <c r="D105" t="s">
        <v>67</v>
      </c>
      <c r="H105" t="str">
        <f t="shared" si="7"/>
        <v>07435060152</v>
      </c>
      <c r="I105" t="str">
        <f t="shared" si="7"/>
        <v>07435060152</v>
      </c>
      <c r="K105" t="str">
        <f>""</f>
        <v/>
      </c>
      <c r="M105" t="s">
        <v>68</v>
      </c>
      <c r="N105" t="str">
        <f t="shared" si="4"/>
        <v>FOR</v>
      </c>
      <c r="O105" t="s">
        <v>69</v>
      </c>
      <c r="P105" s="3" t="s">
        <v>75</v>
      </c>
      <c r="Q105">
        <v>2015</v>
      </c>
      <c r="R105" s="2">
        <v>42319</v>
      </c>
      <c r="S105" s="2">
        <v>42333</v>
      </c>
      <c r="T105" s="2">
        <v>42332</v>
      </c>
      <c r="U105" s="2">
        <v>42392</v>
      </c>
      <c r="V105" t="s">
        <v>71</v>
      </c>
      <c r="W105" t="str">
        <f>"         9R/35063218"</f>
        <v xml:space="preserve">         9R/35063218</v>
      </c>
      <c r="X105">
        <v>536.79999999999995</v>
      </c>
      <c r="Y105">
        <v>0</v>
      </c>
      <c r="Z105" s="3">
        <v>440</v>
      </c>
      <c r="AA105">
        <v>286</v>
      </c>
      <c r="AB105" s="5">
        <v>125840</v>
      </c>
      <c r="AC105">
        <v>440</v>
      </c>
      <c r="AD105">
        <v>286</v>
      </c>
      <c r="AE105" s="1">
        <v>125840</v>
      </c>
      <c r="AF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 s="2">
        <v>42746</v>
      </c>
      <c r="AQ105" t="s">
        <v>72</v>
      </c>
      <c r="AR105" t="s">
        <v>72</v>
      </c>
      <c r="AS105">
        <v>2919</v>
      </c>
      <c r="AT105" s="4">
        <v>42678</v>
      </c>
      <c r="AU105" t="s">
        <v>73</v>
      </c>
      <c r="AV105">
        <v>2919</v>
      </c>
      <c r="AW105" s="4">
        <v>42678</v>
      </c>
      <c r="BD105">
        <v>0</v>
      </c>
      <c r="BN105" t="s">
        <v>74</v>
      </c>
    </row>
    <row r="106" spans="1:66">
      <c r="A106">
        <v>100053</v>
      </c>
      <c r="B106" s="3" t="s">
        <v>96</v>
      </c>
      <c r="C106" s="1">
        <v>43300101</v>
      </c>
      <c r="D106" t="s">
        <v>67</v>
      </c>
      <c r="H106" t="str">
        <f t="shared" si="7"/>
        <v>07435060152</v>
      </c>
      <c r="I106" t="str">
        <f t="shared" si="7"/>
        <v>07435060152</v>
      </c>
      <c r="K106" t="str">
        <f>""</f>
        <v/>
      </c>
      <c r="M106" t="s">
        <v>68</v>
      </c>
      <c r="N106" t="str">
        <f t="shared" si="4"/>
        <v>FOR</v>
      </c>
      <c r="O106" t="s">
        <v>69</v>
      </c>
      <c r="P106" s="3" t="s">
        <v>75</v>
      </c>
      <c r="Q106">
        <v>2015</v>
      </c>
      <c r="R106" s="2">
        <v>42319</v>
      </c>
      <c r="S106" s="2">
        <v>42333</v>
      </c>
      <c r="T106" s="2">
        <v>42332</v>
      </c>
      <c r="U106" s="2">
        <v>42392</v>
      </c>
      <c r="V106" t="s">
        <v>71</v>
      </c>
      <c r="W106" t="str">
        <f>"         9R/35063220"</f>
        <v xml:space="preserve">         9R/35063220</v>
      </c>
      <c r="X106">
        <v>387.96</v>
      </c>
      <c r="Y106">
        <v>0</v>
      </c>
      <c r="Z106" s="3">
        <v>318</v>
      </c>
      <c r="AA106">
        <v>286</v>
      </c>
      <c r="AB106" s="5">
        <v>90948</v>
      </c>
      <c r="AC106">
        <v>318</v>
      </c>
      <c r="AD106">
        <v>286</v>
      </c>
      <c r="AE106" s="1">
        <v>90948</v>
      </c>
      <c r="AF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 s="2">
        <v>42746</v>
      </c>
      <c r="AQ106" t="s">
        <v>72</v>
      </c>
      <c r="AR106" t="s">
        <v>72</v>
      </c>
      <c r="AS106">
        <v>2919</v>
      </c>
      <c r="AT106" s="4">
        <v>42678</v>
      </c>
      <c r="AU106" t="s">
        <v>73</v>
      </c>
      <c r="AV106">
        <v>2919</v>
      </c>
      <c r="AW106" s="4">
        <v>42678</v>
      </c>
      <c r="BD106">
        <v>0</v>
      </c>
      <c r="BN106" t="s">
        <v>74</v>
      </c>
    </row>
    <row r="107" spans="1:66">
      <c r="A107">
        <v>100053</v>
      </c>
      <c r="B107" s="3" t="s">
        <v>96</v>
      </c>
      <c r="C107" s="1">
        <v>43300101</v>
      </c>
      <c r="D107" t="s">
        <v>67</v>
      </c>
      <c r="H107" t="str">
        <f t="shared" si="7"/>
        <v>07435060152</v>
      </c>
      <c r="I107" t="str">
        <f t="shared" si="7"/>
        <v>07435060152</v>
      </c>
      <c r="K107" t="str">
        <f>""</f>
        <v/>
      </c>
      <c r="M107" t="s">
        <v>68</v>
      </c>
      <c r="N107" t="str">
        <f t="shared" si="4"/>
        <v>FOR</v>
      </c>
      <c r="O107" t="s">
        <v>69</v>
      </c>
      <c r="P107" s="3" t="s">
        <v>75</v>
      </c>
      <c r="Q107">
        <v>2015</v>
      </c>
      <c r="R107" s="2">
        <v>42345</v>
      </c>
      <c r="S107" s="2">
        <v>42361</v>
      </c>
      <c r="T107" s="2">
        <v>42359</v>
      </c>
      <c r="U107" s="2">
        <v>42419</v>
      </c>
      <c r="V107" t="s">
        <v>71</v>
      </c>
      <c r="W107" t="str">
        <f>"         9R/35068595"</f>
        <v xml:space="preserve">         9R/35068595</v>
      </c>
      <c r="X107">
        <v>268.39999999999998</v>
      </c>
      <c r="Y107">
        <v>0</v>
      </c>
      <c r="Z107" s="3">
        <v>220</v>
      </c>
      <c r="AA107">
        <v>259</v>
      </c>
      <c r="AB107" s="5">
        <v>56980</v>
      </c>
      <c r="AC107">
        <v>220</v>
      </c>
      <c r="AD107">
        <v>259</v>
      </c>
      <c r="AE107" s="1">
        <v>56980</v>
      </c>
      <c r="AF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 s="2">
        <v>42746</v>
      </c>
      <c r="AQ107" t="s">
        <v>72</v>
      </c>
      <c r="AR107" t="s">
        <v>72</v>
      </c>
      <c r="AS107">
        <v>2919</v>
      </c>
      <c r="AT107" s="4">
        <v>42678</v>
      </c>
      <c r="AU107" t="s">
        <v>73</v>
      </c>
      <c r="AV107">
        <v>2919</v>
      </c>
      <c r="AW107" s="4">
        <v>42678</v>
      </c>
      <c r="BD107">
        <v>0</v>
      </c>
      <c r="BN107" t="s">
        <v>74</v>
      </c>
    </row>
    <row r="108" spans="1:66">
      <c r="A108">
        <v>100053</v>
      </c>
      <c r="B108" s="3" t="s">
        <v>96</v>
      </c>
      <c r="C108" s="1">
        <v>43300101</v>
      </c>
      <c r="D108" t="s">
        <v>67</v>
      </c>
      <c r="H108" t="str">
        <f t="shared" si="7"/>
        <v>07435060152</v>
      </c>
      <c r="I108" t="str">
        <f t="shared" si="7"/>
        <v>07435060152</v>
      </c>
      <c r="K108" t="str">
        <f>""</f>
        <v/>
      </c>
      <c r="M108" t="s">
        <v>68</v>
      </c>
      <c r="N108" t="str">
        <f t="shared" si="4"/>
        <v>FOR</v>
      </c>
      <c r="O108" t="s">
        <v>69</v>
      </c>
      <c r="P108" s="3" t="s">
        <v>75</v>
      </c>
      <c r="Q108">
        <v>2015</v>
      </c>
      <c r="R108" s="2">
        <v>42345</v>
      </c>
      <c r="S108" s="2">
        <v>42361</v>
      </c>
      <c r="T108" s="2">
        <v>42359</v>
      </c>
      <c r="U108" s="2">
        <v>42419</v>
      </c>
      <c r="V108" t="s">
        <v>71</v>
      </c>
      <c r="W108" t="str">
        <f>"         9R/35068596"</f>
        <v xml:space="preserve">         9R/35068596</v>
      </c>
      <c r="X108">
        <v>232.78</v>
      </c>
      <c r="Y108">
        <v>0</v>
      </c>
      <c r="Z108" s="3">
        <v>190.8</v>
      </c>
      <c r="AA108">
        <v>259</v>
      </c>
      <c r="AB108" s="5">
        <v>49417.2</v>
      </c>
      <c r="AC108">
        <v>190.8</v>
      </c>
      <c r="AD108">
        <v>259</v>
      </c>
      <c r="AE108" s="1">
        <v>49417.2</v>
      </c>
      <c r="AF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 s="2">
        <v>42746</v>
      </c>
      <c r="AQ108" t="s">
        <v>72</v>
      </c>
      <c r="AR108" t="s">
        <v>72</v>
      </c>
      <c r="AS108">
        <v>2919</v>
      </c>
      <c r="AT108" s="4">
        <v>42678</v>
      </c>
      <c r="AU108" t="s">
        <v>73</v>
      </c>
      <c r="AV108">
        <v>2919</v>
      </c>
      <c r="AW108" s="4">
        <v>42678</v>
      </c>
      <c r="BD108">
        <v>0</v>
      </c>
      <c r="BN108" t="s">
        <v>74</v>
      </c>
    </row>
    <row r="109" spans="1:66">
      <c r="A109">
        <v>100053</v>
      </c>
      <c r="B109" s="3" t="s">
        <v>96</v>
      </c>
      <c r="C109" s="1">
        <v>43300101</v>
      </c>
      <c r="D109" t="s">
        <v>67</v>
      </c>
      <c r="H109" t="str">
        <f t="shared" si="7"/>
        <v>07435060152</v>
      </c>
      <c r="I109" t="str">
        <f t="shared" si="7"/>
        <v>07435060152</v>
      </c>
      <c r="K109" t="str">
        <f>""</f>
        <v/>
      </c>
      <c r="M109" t="s">
        <v>68</v>
      </c>
      <c r="N109" t="str">
        <f t="shared" si="4"/>
        <v>FOR</v>
      </c>
      <c r="O109" t="s">
        <v>69</v>
      </c>
      <c r="P109" s="3" t="s">
        <v>75</v>
      </c>
      <c r="Q109">
        <v>2016</v>
      </c>
      <c r="R109" s="2">
        <v>42387</v>
      </c>
      <c r="S109" s="2">
        <v>42401</v>
      </c>
      <c r="T109" s="2">
        <v>42398</v>
      </c>
      <c r="U109" s="2">
        <v>42458</v>
      </c>
      <c r="V109" t="s">
        <v>71</v>
      </c>
      <c r="W109" t="str">
        <f>"         9R/36002151"</f>
        <v xml:space="preserve">         9R/36002151</v>
      </c>
      <c r="X109">
        <v>61</v>
      </c>
      <c r="Y109">
        <v>0</v>
      </c>
      <c r="Z109" s="3">
        <v>50</v>
      </c>
      <c r="AA109">
        <v>265</v>
      </c>
      <c r="AB109" s="5">
        <v>13250</v>
      </c>
      <c r="AC109">
        <v>50</v>
      </c>
      <c r="AD109">
        <v>265</v>
      </c>
      <c r="AE109" s="1">
        <v>13250</v>
      </c>
      <c r="AF109">
        <v>11</v>
      </c>
      <c r="AJ109">
        <v>0</v>
      </c>
      <c r="AK109">
        <v>0</v>
      </c>
      <c r="AL109">
        <v>0</v>
      </c>
      <c r="AM109">
        <v>61</v>
      </c>
      <c r="AN109">
        <v>61</v>
      </c>
      <c r="AO109">
        <v>61</v>
      </c>
      <c r="AP109" s="2">
        <v>42746</v>
      </c>
      <c r="AQ109" t="s">
        <v>72</v>
      </c>
      <c r="AR109" t="s">
        <v>72</v>
      </c>
      <c r="AS109">
        <v>3621</v>
      </c>
      <c r="AT109" s="4">
        <v>42723</v>
      </c>
      <c r="AU109" t="s">
        <v>73</v>
      </c>
      <c r="AV109">
        <v>3621</v>
      </c>
      <c r="AW109" s="4">
        <v>42723</v>
      </c>
      <c r="BD109">
        <v>11</v>
      </c>
      <c r="BN109" t="s">
        <v>74</v>
      </c>
    </row>
    <row r="110" spans="1:66">
      <c r="A110">
        <v>100053</v>
      </c>
      <c r="B110" s="3" t="s">
        <v>96</v>
      </c>
      <c r="C110" s="1">
        <v>43300101</v>
      </c>
      <c r="D110" t="s">
        <v>67</v>
      </c>
      <c r="H110" t="str">
        <f t="shared" si="7"/>
        <v>07435060152</v>
      </c>
      <c r="I110" t="str">
        <f t="shared" si="7"/>
        <v>07435060152</v>
      </c>
      <c r="K110" t="str">
        <f>""</f>
        <v/>
      </c>
      <c r="M110" t="s">
        <v>68</v>
      </c>
      <c r="N110" t="str">
        <f t="shared" si="4"/>
        <v>FOR</v>
      </c>
      <c r="O110" t="s">
        <v>69</v>
      </c>
      <c r="P110" s="3" t="s">
        <v>75</v>
      </c>
      <c r="Q110">
        <v>2016</v>
      </c>
      <c r="R110" s="2">
        <v>42388</v>
      </c>
      <c r="S110" s="2">
        <v>42401</v>
      </c>
      <c r="T110" s="2">
        <v>42398</v>
      </c>
      <c r="U110" s="2">
        <v>42458</v>
      </c>
      <c r="V110" t="s">
        <v>71</v>
      </c>
      <c r="W110" t="str">
        <f>"         9R/36002478"</f>
        <v xml:space="preserve">         9R/36002478</v>
      </c>
      <c r="X110">
        <v>849.12</v>
      </c>
      <c r="Y110">
        <v>0</v>
      </c>
      <c r="Z110" s="3">
        <v>696</v>
      </c>
      <c r="AA110">
        <v>265</v>
      </c>
      <c r="AB110" s="5">
        <v>184440</v>
      </c>
      <c r="AC110">
        <v>696</v>
      </c>
      <c r="AD110">
        <v>265</v>
      </c>
      <c r="AE110" s="1">
        <v>184440</v>
      </c>
      <c r="AF110">
        <v>153.12</v>
      </c>
      <c r="AJ110">
        <v>0</v>
      </c>
      <c r="AK110">
        <v>0</v>
      </c>
      <c r="AL110">
        <v>0</v>
      </c>
      <c r="AM110">
        <v>849.12</v>
      </c>
      <c r="AN110">
        <v>849.12</v>
      </c>
      <c r="AO110">
        <v>849.12</v>
      </c>
      <c r="AP110" s="2">
        <v>42746</v>
      </c>
      <c r="AQ110" t="s">
        <v>72</v>
      </c>
      <c r="AR110" t="s">
        <v>72</v>
      </c>
      <c r="AS110">
        <v>3621</v>
      </c>
      <c r="AT110" s="4">
        <v>42723</v>
      </c>
      <c r="AU110" t="s">
        <v>73</v>
      </c>
      <c r="AV110">
        <v>3621</v>
      </c>
      <c r="AW110" s="4">
        <v>42723</v>
      </c>
      <c r="BD110">
        <v>153.12</v>
      </c>
      <c r="BN110" t="s">
        <v>74</v>
      </c>
    </row>
    <row r="111" spans="1:66">
      <c r="A111">
        <v>100053</v>
      </c>
      <c r="B111" s="3" t="s">
        <v>96</v>
      </c>
      <c r="C111" s="1">
        <v>43300101</v>
      </c>
      <c r="D111" t="s">
        <v>67</v>
      </c>
      <c r="H111" t="str">
        <f t="shared" si="7"/>
        <v>07435060152</v>
      </c>
      <c r="I111" t="str">
        <f t="shared" si="7"/>
        <v>07435060152</v>
      </c>
      <c r="K111" t="str">
        <f>""</f>
        <v/>
      </c>
      <c r="M111" t="s">
        <v>68</v>
      </c>
      <c r="N111" t="str">
        <f t="shared" si="4"/>
        <v>FOR</v>
      </c>
      <c r="O111" t="s">
        <v>69</v>
      </c>
      <c r="P111" s="3" t="s">
        <v>75</v>
      </c>
      <c r="Q111">
        <v>2016</v>
      </c>
      <c r="R111" s="2">
        <v>42389</v>
      </c>
      <c r="S111" s="2">
        <v>42401</v>
      </c>
      <c r="T111" s="2">
        <v>42398</v>
      </c>
      <c r="U111" s="2">
        <v>42458</v>
      </c>
      <c r="V111" t="s">
        <v>71</v>
      </c>
      <c r="W111" t="str">
        <f>"         9R/36002755"</f>
        <v xml:space="preserve">         9R/36002755</v>
      </c>
      <c r="X111">
        <v>761.28</v>
      </c>
      <c r="Y111">
        <v>0</v>
      </c>
      <c r="Z111" s="3">
        <v>624</v>
      </c>
      <c r="AA111">
        <v>265</v>
      </c>
      <c r="AB111" s="5">
        <v>165360</v>
      </c>
      <c r="AC111">
        <v>624</v>
      </c>
      <c r="AD111">
        <v>265</v>
      </c>
      <c r="AE111" s="1">
        <v>165360</v>
      </c>
      <c r="AF111">
        <v>137.28</v>
      </c>
      <c r="AJ111">
        <v>0</v>
      </c>
      <c r="AK111">
        <v>0</v>
      </c>
      <c r="AL111">
        <v>0</v>
      </c>
      <c r="AM111">
        <v>761.28</v>
      </c>
      <c r="AN111">
        <v>761.28</v>
      </c>
      <c r="AO111">
        <v>761.28</v>
      </c>
      <c r="AP111" s="2">
        <v>42746</v>
      </c>
      <c r="AQ111" t="s">
        <v>72</v>
      </c>
      <c r="AR111" t="s">
        <v>72</v>
      </c>
      <c r="AS111">
        <v>3621</v>
      </c>
      <c r="AT111" s="4">
        <v>42723</v>
      </c>
      <c r="AU111" t="s">
        <v>73</v>
      </c>
      <c r="AV111">
        <v>3621</v>
      </c>
      <c r="AW111" s="4">
        <v>42723</v>
      </c>
      <c r="BD111">
        <v>137.28</v>
      </c>
      <c r="BN111" t="s">
        <v>74</v>
      </c>
    </row>
    <row r="112" spans="1:66">
      <c r="A112">
        <v>100053</v>
      </c>
      <c r="B112" s="3" t="s">
        <v>96</v>
      </c>
      <c r="C112" s="1">
        <v>43300101</v>
      </c>
      <c r="D112" t="s">
        <v>67</v>
      </c>
      <c r="H112" t="str">
        <f t="shared" si="7"/>
        <v>07435060152</v>
      </c>
      <c r="I112" t="str">
        <f t="shared" si="7"/>
        <v>07435060152</v>
      </c>
      <c r="K112" t="str">
        <f>""</f>
        <v/>
      </c>
      <c r="M112" t="s">
        <v>68</v>
      </c>
      <c r="N112" t="str">
        <f t="shared" si="4"/>
        <v>FOR</v>
      </c>
      <c r="O112" t="s">
        <v>69</v>
      </c>
      <c r="P112" s="3" t="s">
        <v>75</v>
      </c>
      <c r="Q112">
        <v>2016</v>
      </c>
      <c r="R112" s="2">
        <v>42389</v>
      </c>
      <c r="S112" s="2">
        <v>42401</v>
      </c>
      <c r="T112" s="2">
        <v>42398</v>
      </c>
      <c r="U112" s="2">
        <v>42458</v>
      </c>
      <c r="V112" t="s">
        <v>71</v>
      </c>
      <c r="W112" t="str">
        <f>"         9R/36002849"</f>
        <v xml:space="preserve">         9R/36002849</v>
      </c>
      <c r="X112" s="1">
        <v>1163.8800000000001</v>
      </c>
      <c r="Y112">
        <v>0</v>
      </c>
      <c r="Z112" s="3">
        <v>954</v>
      </c>
      <c r="AA112">
        <v>265</v>
      </c>
      <c r="AB112" s="5">
        <v>252810</v>
      </c>
      <c r="AC112">
        <v>954</v>
      </c>
      <c r="AD112">
        <v>265</v>
      </c>
      <c r="AE112" s="1">
        <v>252810</v>
      </c>
      <c r="AF112">
        <v>209.88</v>
      </c>
      <c r="AJ112">
        <v>0</v>
      </c>
      <c r="AK112">
        <v>0</v>
      </c>
      <c r="AL112">
        <v>0</v>
      </c>
      <c r="AM112" s="1">
        <v>1163.8800000000001</v>
      </c>
      <c r="AN112" s="1">
        <v>1163.8800000000001</v>
      </c>
      <c r="AO112" s="1">
        <v>1163.8800000000001</v>
      </c>
      <c r="AP112" s="2">
        <v>42746</v>
      </c>
      <c r="AQ112" t="s">
        <v>72</v>
      </c>
      <c r="AR112" t="s">
        <v>72</v>
      </c>
      <c r="AS112">
        <v>3621</v>
      </c>
      <c r="AT112" s="4">
        <v>42723</v>
      </c>
      <c r="AU112" t="s">
        <v>73</v>
      </c>
      <c r="AV112">
        <v>3621</v>
      </c>
      <c r="AW112" s="4">
        <v>42723</v>
      </c>
      <c r="BD112">
        <v>209.88</v>
      </c>
      <c r="BN112" t="s">
        <v>74</v>
      </c>
    </row>
    <row r="113" spans="1:66">
      <c r="A113">
        <v>100053</v>
      </c>
      <c r="B113" s="3" t="s">
        <v>96</v>
      </c>
      <c r="C113" s="1">
        <v>43300101</v>
      </c>
      <c r="D113" t="s">
        <v>67</v>
      </c>
      <c r="H113" t="str">
        <f t="shared" si="7"/>
        <v>07435060152</v>
      </c>
      <c r="I113" t="str">
        <f t="shared" si="7"/>
        <v>07435060152</v>
      </c>
      <c r="K113" t="str">
        <f>""</f>
        <v/>
      </c>
      <c r="M113" t="s">
        <v>68</v>
      </c>
      <c r="N113" t="str">
        <f t="shared" si="4"/>
        <v>FOR</v>
      </c>
      <c r="O113" t="s">
        <v>69</v>
      </c>
      <c r="P113" s="3" t="s">
        <v>75</v>
      </c>
      <c r="Q113">
        <v>2016</v>
      </c>
      <c r="R113" s="2">
        <v>42390</v>
      </c>
      <c r="S113" s="2">
        <v>42401</v>
      </c>
      <c r="T113" s="2">
        <v>42398</v>
      </c>
      <c r="U113" s="2">
        <v>42458</v>
      </c>
      <c r="V113" t="s">
        <v>71</v>
      </c>
      <c r="W113" t="str">
        <f>"         9R/36003199"</f>
        <v xml:space="preserve">         9R/36003199</v>
      </c>
      <c r="X113">
        <v>536.79999999999995</v>
      </c>
      <c r="Y113">
        <v>0</v>
      </c>
      <c r="Z113" s="3">
        <v>440</v>
      </c>
      <c r="AA113">
        <v>265</v>
      </c>
      <c r="AB113" s="5">
        <v>116600</v>
      </c>
      <c r="AC113">
        <v>440</v>
      </c>
      <c r="AD113">
        <v>265</v>
      </c>
      <c r="AE113" s="1">
        <v>116600</v>
      </c>
      <c r="AF113">
        <v>96.8</v>
      </c>
      <c r="AJ113">
        <v>0</v>
      </c>
      <c r="AK113">
        <v>0</v>
      </c>
      <c r="AL113">
        <v>0</v>
      </c>
      <c r="AM113">
        <v>536.79999999999995</v>
      </c>
      <c r="AN113">
        <v>536.79999999999995</v>
      </c>
      <c r="AO113">
        <v>536.79999999999995</v>
      </c>
      <c r="AP113" s="2">
        <v>42746</v>
      </c>
      <c r="AQ113" t="s">
        <v>72</v>
      </c>
      <c r="AR113" t="s">
        <v>72</v>
      </c>
      <c r="AS113">
        <v>3621</v>
      </c>
      <c r="AT113" s="4">
        <v>42723</v>
      </c>
      <c r="AU113" t="s">
        <v>73</v>
      </c>
      <c r="AV113">
        <v>3621</v>
      </c>
      <c r="AW113" s="4">
        <v>42723</v>
      </c>
      <c r="BD113">
        <v>96.8</v>
      </c>
      <c r="BN113" t="s">
        <v>74</v>
      </c>
    </row>
    <row r="114" spans="1:66">
      <c r="A114">
        <v>100053</v>
      </c>
      <c r="B114" s="3" t="s">
        <v>96</v>
      </c>
      <c r="C114" s="1">
        <v>43300101</v>
      </c>
      <c r="D114" t="s">
        <v>67</v>
      </c>
      <c r="H114" t="str">
        <f t="shared" si="7"/>
        <v>07435060152</v>
      </c>
      <c r="I114" t="str">
        <f t="shared" si="7"/>
        <v>07435060152</v>
      </c>
      <c r="K114" t="str">
        <f>""</f>
        <v/>
      </c>
      <c r="M114" t="s">
        <v>68</v>
      </c>
      <c r="N114" t="str">
        <f t="shared" si="4"/>
        <v>FOR</v>
      </c>
      <c r="O114" t="s">
        <v>69</v>
      </c>
      <c r="P114" s="3" t="s">
        <v>75</v>
      </c>
      <c r="Q114">
        <v>2016</v>
      </c>
      <c r="R114" s="2">
        <v>42419</v>
      </c>
      <c r="S114" s="2">
        <v>42436</v>
      </c>
      <c r="T114" s="2">
        <v>42432</v>
      </c>
      <c r="U114" s="2">
        <v>42492</v>
      </c>
      <c r="V114" t="s">
        <v>71</v>
      </c>
      <c r="W114" t="str">
        <f>"         9R/36009855"</f>
        <v xml:space="preserve">         9R/36009855</v>
      </c>
      <c r="X114">
        <v>536.79999999999995</v>
      </c>
      <c r="Y114">
        <v>0</v>
      </c>
      <c r="Z114" s="3">
        <v>440</v>
      </c>
      <c r="AA114">
        <v>231</v>
      </c>
      <c r="AB114" s="5">
        <v>101640</v>
      </c>
      <c r="AC114">
        <v>440</v>
      </c>
      <c r="AD114">
        <v>231</v>
      </c>
      <c r="AE114" s="1">
        <v>101640</v>
      </c>
      <c r="AF114">
        <v>96.8</v>
      </c>
      <c r="AJ114">
        <v>0</v>
      </c>
      <c r="AK114">
        <v>0</v>
      </c>
      <c r="AL114">
        <v>0</v>
      </c>
      <c r="AM114">
        <v>536.79999999999995</v>
      </c>
      <c r="AN114">
        <v>536.79999999999995</v>
      </c>
      <c r="AO114">
        <v>536.79999999999995</v>
      </c>
      <c r="AP114" s="2">
        <v>42746</v>
      </c>
      <c r="AQ114" t="s">
        <v>72</v>
      </c>
      <c r="AR114" t="s">
        <v>72</v>
      </c>
      <c r="AS114">
        <v>3621</v>
      </c>
      <c r="AT114" s="4">
        <v>42723</v>
      </c>
      <c r="AU114" t="s">
        <v>73</v>
      </c>
      <c r="AV114">
        <v>3621</v>
      </c>
      <c r="AW114" s="4">
        <v>42723</v>
      </c>
      <c r="BD114">
        <v>96.8</v>
      </c>
      <c r="BN114" t="s">
        <v>74</v>
      </c>
    </row>
    <row r="115" spans="1:66" hidden="1">
      <c r="A115">
        <v>100057</v>
      </c>
      <c r="B115" s="3" t="s">
        <v>97</v>
      </c>
      <c r="C115" s="1">
        <v>43300101</v>
      </c>
      <c r="D115" t="s">
        <v>67</v>
      </c>
      <c r="H115" t="str">
        <f t="shared" ref="H115:I126" si="8">"00227010139"</f>
        <v>00227010139</v>
      </c>
      <c r="I115" t="str">
        <f t="shared" si="8"/>
        <v>00227010139</v>
      </c>
      <c r="K115" t="str">
        <f>""</f>
        <v/>
      </c>
      <c r="M115" t="s">
        <v>68</v>
      </c>
      <c r="N115" t="str">
        <f t="shared" si="4"/>
        <v>FOR</v>
      </c>
      <c r="O115" t="s">
        <v>69</v>
      </c>
      <c r="P115" s="3" t="s">
        <v>70</v>
      </c>
      <c r="Q115">
        <v>2015</v>
      </c>
      <c r="R115" s="2">
        <v>42054</v>
      </c>
      <c r="S115" s="2">
        <v>42069</v>
      </c>
      <c r="T115" s="2">
        <v>42069</v>
      </c>
      <c r="U115" s="2">
        <v>42129</v>
      </c>
      <c r="V115" t="s">
        <v>71</v>
      </c>
      <c r="W115" t="str">
        <f>"          5541101771"</f>
        <v xml:space="preserve">          5541101771</v>
      </c>
      <c r="X115" s="1">
        <v>1605.52</v>
      </c>
      <c r="Y115">
        <v>0</v>
      </c>
      <c r="Z115"/>
      <c r="AB115"/>
      <c r="AC115" s="1">
        <v>1316</v>
      </c>
      <c r="AD115">
        <v>279</v>
      </c>
      <c r="AE115" s="1">
        <v>367164</v>
      </c>
      <c r="AF115">
        <v>0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0</v>
      </c>
      <c r="AP115" s="2">
        <v>42746</v>
      </c>
      <c r="AQ115" t="s">
        <v>72</v>
      </c>
      <c r="AR115" t="s">
        <v>72</v>
      </c>
      <c r="AS115">
        <v>330</v>
      </c>
      <c r="AT115" s="4">
        <v>42408</v>
      </c>
      <c r="AU115" t="s">
        <v>73</v>
      </c>
      <c r="AV115">
        <v>330</v>
      </c>
      <c r="AW115" s="4">
        <v>42408</v>
      </c>
      <c r="BD115">
        <v>0</v>
      </c>
      <c r="BN115" t="s">
        <v>74</v>
      </c>
    </row>
    <row r="116" spans="1:66" hidden="1">
      <c r="A116">
        <v>100057</v>
      </c>
      <c r="B116" s="3" t="s">
        <v>97</v>
      </c>
      <c r="C116" s="1">
        <v>43300101</v>
      </c>
      <c r="D116" t="s">
        <v>67</v>
      </c>
      <c r="H116" t="str">
        <f t="shared" si="8"/>
        <v>00227010139</v>
      </c>
      <c r="I116" t="str">
        <f t="shared" si="8"/>
        <v>00227010139</v>
      </c>
      <c r="K116" t="str">
        <f>""</f>
        <v/>
      </c>
      <c r="M116" t="s">
        <v>68</v>
      </c>
      <c r="N116" t="str">
        <f t="shared" si="4"/>
        <v>FOR</v>
      </c>
      <c r="O116" t="s">
        <v>69</v>
      </c>
      <c r="P116" s="3" t="s">
        <v>70</v>
      </c>
      <c r="Q116">
        <v>2015</v>
      </c>
      <c r="R116" s="2">
        <v>42079</v>
      </c>
      <c r="S116" s="2">
        <v>42102</v>
      </c>
      <c r="T116" s="2">
        <v>42102</v>
      </c>
      <c r="U116" s="2">
        <v>42162</v>
      </c>
      <c r="V116" t="s">
        <v>71</v>
      </c>
      <c r="W116" t="str">
        <f>"          5541102990"</f>
        <v xml:space="preserve">          5541102990</v>
      </c>
      <c r="X116">
        <v>934.52</v>
      </c>
      <c r="Y116">
        <v>0</v>
      </c>
      <c r="Z116"/>
      <c r="AB116"/>
      <c r="AC116">
        <v>766</v>
      </c>
      <c r="AD116">
        <v>253</v>
      </c>
      <c r="AE116" s="1">
        <v>193798</v>
      </c>
      <c r="AF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 s="2">
        <v>42746</v>
      </c>
      <c r="AQ116" t="s">
        <v>72</v>
      </c>
      <c r="AR116" t="s">
        <v>72</v>
      </c>
      <c r="AS116">
        <v>366</v>
      </c>
      <c r="AT116" s="4">
        <v>42415</v>
      </c>
      <c r="AU116" t="s">
        <v>73</v>
      </c>
      <c r="AV116">
        <v>366</v>
      </c>
      <c r="AW116" s="4">
        <v>42415</v>
      </c>
      <c r="BD116">
        <v>0</v>
      </c>
      <c r="BN116" t="s">
        <v>74</v>
      </c>
    </row>
    <row r="117" spans="1:66" hidden="1">
      <c r="A117">
        <v>100057</v>
      </c>
      <c r="B117" s="3" t="s">
        <v>97</v>
      </c>
      <c r="C117" s="1">
        <v>43300101</v>
      </c>
      <c r="D117" t="s">
        <v>67</v>
      </c>
      <c r="H117" t="str">
        <f t="shared" si="8"/>
        <v>00227010139</v>
      </c>
      <c r="I117" t="str">
        <f t="shared" si="8"/>
        <v>00227010139</v>
      </c>
      <c r="K117" t="str">
        <f>""</f>
        <v/>
      </c>
      <c r="M117" t="s">
        <v>68</v>
      </c>
      <c r="N117" t="str">
        <f t="shared" si="4"/>
        <v>FOR</v>
      </c>
      <c r="O117" t="s">
        <v>69</v>
      </c>
      <c r="P117" s="3" t="s">
        <v>75</v>
      </c>
      <c r="Q117">
        <v>2015</v>
      </c>
      <c r="R117" s="2">
        <v>42110</v>
      </c>
      <c r="S117" s="2">
        <v>42160</v>
      </c>
      <c r="T117" s="2">
        <v>42152</v>
      </c>
      <c r="U117" s="2">
        <v>42212</v>
      </c>
      <c r="V117" t="s">
        <v>71</v>
      </c>
      <c r="W117" t="str">
        <f>"          5547000867"</f>
        <v xml:space="preserve">          5547000867</v>
      </c>
      <c r="X117" s="1">
        <v>1342</v>
      </c>
      <c r="Y117">
        <v>0</v>
      </c>
      <c r="Z117"/>
      <c r="AB117"/>
      <c r="AC117" s="1">
        <v>1100</v>
      </c>
      <c r="AD117">
        <v>203</v>
      </c>
      <c r="AE117" s="1">
        <v>223300</v>
      </c>
      <c r="AF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 s="2">
        <v>42746</v>
      </c>
      <c r="AQ117" t="s">
        <v>72</v>
      </c>
      <c r="AR117" t="s">
        <v>72</v>
      </c>
      <c r="AS117">
        <v>366</v>
      </c>
      <c r="AT117" s="4">
        <v>42415</v>
      </c>
      <c r="AU117" t="s">
        <v>73</v>
      </c>
      <c r="AV117">
        <v>366</v>
      </c>
      <c r="AW117" s="4">
        <v>42415</v>
      </c>
      <c r="BD117">
        <v>0</v>
      </c>
      <c r="BN117" t="s">
        <v>74</v>
      </c>
    </row>
    <row r="118" spans="1:66" hidden="1">
      <c r="A118">
        <v>100057</v>
      </c>
      <c r="B118" s="3" t="s">
        <v>97</v>
      </c>
      <c r="C118" s="1">
        <v>43300101</v>
      </c>
      <c r="D118" t="s">
        <v>67</v>
      </c>
      <c r="H118" t="str">
        <f t="shared" si="8"/>
        <v>00227010139</v>
      </c>
      <c r="I118" t="str">
        <f t="shared" si="8"/>
        <v>00227010139</v>
      </c>
      <c r="K118" t="str">
        <f>""</f>
        <v/>
      </c>
      <c r="M118" t="s">
        <v>68</v>
      </c>
      <c r="N118" t="str">
        <f t="shared" si="4"/>
        <v>FOR</v>
      </c>
      <c r="O118" t="s">
        <v>69</v>
      </c>
      <c r="P118" s="3" t="s">
        <v>75</v>
      </c>
      <c r="Q118">
        <v>2015</v>
      </c>
      <c r="R118" s="2">
        <v>42149</v>
      </c>
      <c r="S118" s="2">
        <v>42160</v>
      </c>
      <c r="T118" s="2">
        <v>42149</v>
      </c>
      <c r="U118" s="2">
        <v>42209</v>
      </c>
      <c r="V118" t="s">
        <v>71</v>
      </c>
      <c r="W118" t="str">
        <f>"          5547002777"</f>
        <v xml:space="preserve">          5547002777</v>
      </c>
      <c r="X118" s="1">
        <v>1073.5999999999999</v>
      </c>
      <c r="Y118">
        <v>0</v>
      </c>
      <c r="Z118"/>
      <c r="AB118"/>
      <c r="AC118">
        <v>880</v>
      </c>
      <c r="AD118">
        <v>243</v>
      </c>
      <c r="AE118" s="1">
        <v>213840</v>
      </c>
      <c r="AF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 s="2">
        <v>42746</v>
      </c>
      <c r="AQ118" t="s">
        <v>72</v>
      </c>
      <c r="AR118" t="s">
        <v>72</v>
      </c>
      <c r="AS118">
        <v>776</v>
      </c>
      <c r="AT118" s="4">
        <v>42452</v>
      </c>
      <c r="AU118" t="s">
        <v>73</v>
      </c>
      <c r="AV118">
        <v>776</v>
      </c>
      <c r="AW118" s="4">
        <v>42452</v>
      </c>
      <c r="BD118">
        <v>0</v>
      </c>
      <c r="BN118" t="s">
        <v>74</v>
      </c>
    </row>
    <row r="119" spans="1:66" hidden="1">
      <c r="A119">
        <v>100057</v>
      </c>
      <c r="B119" s="3" t="s">
        <v>97</v>
      </c>
      <c r="C119" s="1">
        <v>43300101</v>
      </c>
      <c r="D119" t="s">
        <v>67</v>
      </c>
      <c r="H119" t="str">
        <f t="shared" si="8"/>
        <v>00227010139</v>
      </c>
      <c r="I119" t="str">
        <f t="shared" si="8"/>
        <v>00227010139</v>
      </c>
      <c r="K119" t="str">
        <f>""</f>
        <v/>
      </c>
      <c r="M119" t="s">
        <v>68</v>
      </c>
      <c r="N119" t="str">
        <f t="shared" si="4"/>
        <v>FOR</v>
      </c>
      <c r="O119" t="s">
        <v>69</v>
      </c>
      <c r="P119" s="3" t="s">
        <v>75</v>
      </c>
      <c r="Q119">
        <v>2015</v>
      </c>
      <c r="R119" s="2">
        <v>42207</v>
      </c>
      <c r="S119" s="2">
        <v>42209</v>
      </c>
      <c r="T119" s="2">
        <v>42208</v>
      </c>
      <c r="U119" s="2">
        <v>42268</v>
      </c>
      <c r="V119" t="s">
        <v>71</v>
      </c>
      <c r="W119" t="str">
        <f>"          5547005739"</f>
        <v xml:space="preserve">          5547005739</v>
      </c>
      <c r="X119">
        <v>536.79999999999995</v>
      </c>
      <c r="Y119">
        <v>0</v>
      </c>
      <c r="Z119"/>
      <c r="AB119"/>
      <c r="AC119">
        <v>440</v>
      </c>
      <c r="AD119">
        <v>301</v>
      </c>
      <c r="AE119" s="1">
        <v>132440</v>
      </c>
      <c r="AF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 s="2">
        <v>42746</v>
      </c>
      <c r="AQ119" t="s">
        <v>72</v>
      </c>
      <c r="AR119" t="s">
        <v>72</v>
      </c>
      <c r="AS119">
        <v>1874</v>
      </c>
      <c r="AT119" s="4">
        <v>42569</v>
      </c>
      <c r="AU119" t="s">
        <v>73</v>
      </c>
      <c r="AV119">
        <v>1874</v>
      </c>
      <c r="AW119" s="4">
        <v>42569</v>
      </c>
      <c r="BD119">
        <v>0</v>
      </c>
      <c r="BN119" t="s">
        <v>74</v>
      </c>
    </row>
    <row r="120" spans="1:66" hidden="1">
      <c r="A120">
        <v>100057</v>
      </c>
      <c r="B120" s="3" t="s">
        <v>97</v>
      </c>
      <c r="C120" s="1">
        <v>43300101</v>
      </c>
      <c r="D120" t="s">
        <v>67</v>
      </c>
      <c r="H120" t="str">
        <f t="shared" si="8"/>
        <v>00227010139</v>
      </c>
      <c r="I120" t="str">
        <f t="shared" si="8"/>
        <v>00227010139</v>
      </c>
      <c r="K120" t="str">
        <f>""</f>
        <v/>
      </c>
      <c r="M120" t="s">
        <v>68</v>
      </c>
      <c r="N120" t="str">
        <f t="shared" si="4"/>
        <v>FOR</v>
      </c>
      <c r="O120" t="s">
        <v>69</v>
      </c>
      <c r="P120" s="3" t="s">
        <v>75</v>
      </c>
      <c r="Q120">
        <v>2015</v>
      </c>
      <c r="R120" s="2">
        <v>42257</v>
      </c>
      <c r="S120" s="2">
        <v>42258</v>
      </c>
      <c r="T120" s="2">
        <v>42257</v>
      </c>
      <c r="U120" s="2">
        <v>42317</v>
      </c>
      <c r="V120" t="s">
        <v>71</v>
      </c>
      <c r="W120" t="str">
        <f>"          5547007686"</f>
        <v xml:space="preserve">          5547007686</v>
      </c>
      <c r="X120" s="1">
        <v>1232.32</v>
      </c>
      <c r="Y120">
        <v>0</v>
      </c>
      <c r="Z120"/>
      <c r="AB120"/>
      <c r="AC120" s="1">
        <v>1010.1</v>
      </c>
      <c r="AD120">
        <v>304</v>
      </c>
      <c r="AE120" s="1">
        <v>307070.40000000002</v>
      </c>
      <c r="AF120">
        <v>0</v>
      </c>
      <c r="AJ120">
        <v>0</v>
      </c>
      <c r="AK120">
        <v>0</v>
      </c>
      <c r="AL120">
        <v>0</v>
      </c>
      <c r="AM120">
        <v>0</v>
      </c>
      <c r="AN120">
        <v>0</v>
      </c>
      <c r="AO120">
        <v>0</v>
      </c>
      <c r="AP120" s="2">
        <v>42746</v>
      </c>
      <c r="AQ120" t="s">
        <v>72</v>
      </c>
      <c r="AR120" t="s">
        <v>72</v>
      </c>
      <c r="AS120">
        <v>2357</v>
      </c>
      <c r="AT120" s="4">
        <v>42621</v>
      </c>
      <c r="AU120" t="s">
        <v>73</v>
      </c>
      <c r="AV120">
        <v>2357</v>
      </c>
      <c r="AW120" s="4">
        <v>42621</v>
      </c>
      <c r="BD120">
        <v>0</v>
      </c>
      <c r="BN120" t="s">
        <v>74</v>
      </c>
    </row>
    <row r="121" spans="1:66" hidden="1">
      <c r="A121">
        <v>100057</v>
      </c>
      <c r="B121" s="3" t="s">
        <v>97</v>
      </c>
      <c r="C121" s="1">
        <v>43300101</v>
      </c>
      <c r="D121" t="s">
        <v>67</v>
      </c>
      <c r="H121" t="str">
        <f t="shared" si="8"/>
        <v>00227010139</v>
      </c>
      <c r="I121" t="str">
        <f t="shared" si="8"/>
        <v>00227010139</v>
      </c>
      <c r="K121" t="str">
        <f>""</f>
        <v/>
      </c>
      <c r="M121" t="s">
        <v>68</v>
      </c>
      <c r="N121" t="str">
        <f t="shared" si="4"/>
        <v>FOR</v>
      </c>
      <c r="O121" t="s">
        <v>69</v>
      </c>
      <c r="P121" s="3" t="s">
        <v>75</v>
      </c>
      <c r="Q121">
        <v>2015</v>
      </c>
      <c r="R121" s="2">
        <v>42300</v>
      </c>
      <c r="S121" s="2">
        <v>42305</v>
      </c>
      <c r="T121" s="2">
        <v>42300</v>
      </c>
      <c r="U121" s="2">
        <v>42360</v>
      </c>
      <c r="V121" t="s">
        <v>71</v>
      </c>
      <c r="W121" t="str">
        <f>"          5547009810"</f>
        <v xml:space="preserve">          5547009810</v>
      </c>
      <c r="X121">
        <v>947.94</v>
      </c>
      <c r="Y121">
        <v>0</v>
      </c>
      <c r="Z121"/>
      <c r="AB121"/>
      <c r="AC121">
        <v>777</v>
      </c>
      <c r="AD121">
        <v>261</v>
      </c>
      <c r="AE121" s="1">
        <v>202797</v>
      </c>
      <c r="AF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 s="2">
        <v>42746</v>
      </c>
      <c r="AQ121" t="s">
        <v>72</v>
      </c>
      <c r="AR121" t="s">
        <v>72</v>
      </c>
      <c r="AS121">
        <v>2357</v>
      </c>
      <c r="AT121" s="4">
        <v>42621</v>
      </c>
      <c r="AU121" t="s">
        <v>73</v>
      </c>
      <c r="AV121">
        <v>2357</v>
      </c>
      <c r="AW121" s="4">
        <v>42621</v>
      </c>
      <c r="BD121">
        <v>0</v>
      </c>
      <c r="BN121" t="s">
        <v>74</v>
      </c>
    </row>
    <row r="122" spans="1:66" hidden="1">
      <c r="A122">
        <v>100057</v>
      </c>
      <c r="B122" s="3" t="s">
        <v>97</v>
      </c>
      <c r="C122" s="1">
        <v>43300101</v>
      </c>
      <c r="D122" t="s">
        <v>67</v>
      </c>
      <c r="H122" t="str">
        <f t="shared" si="8"/>
        <v>00227010139</v>
      </c>
      <c r="I122" t="str">
        <f t="shared" si="8"/>
        <v>00227010139</v>
      </c>
      <c r="K122" t="str">
        <f>""</f>
        <v/>
      </c>
      <c r="M122" t="s">
        <v>68</v>
      </c>
      <c r="N122" t="str">
        <f t="shared" si="4"/>
        <v>FOR</v>
      </c>
      <c r="O122" t="s">
        <v>69</v>
      </c>
      <c r="P122" s="3" t="s">
        <v>75</v>
      </c>
      <c r="Q122">
        <v>2015</v>
      </c>
      <c r="R122" s="2">
        <v>42334</v>
      </c>
      <c r="S122" s="2">
        <v>42338</v>
      </c>
      <c r="T122" s="2">
        <v>42334</v>
      </c>
      <c r="U122" s="2">
        <v>42394</v>
      </c>
      <c r="V122" t="s">
        <v>71</v>
      </c>
      <c r="W122" t="str">
        <f>"          5547011420"</f>
        <v xml:space="preserve">          5547011420</v>
      </c>
      <c r="X122">
        <v>947.94</v>
      </c>
      <c r="Y122">
        <v>0</v>
      </c>
      <c r="Z122"/>
      <c r="AB122"/>
      <c r="AC122">
        <v>777</v>
      </c>
      <c r="AD122">
        <v>227</v>
      </c>
      <c r="AE122" s="1">
        <v>176379</v>
      </c>
      <c r="AF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 s="2">
        <v>42746</v>
      </c>
      <c r="AQ122" t="s">
        <v>72</v>
      </c>
      <c r="AR122" t="s">
        <v>72</v>
      </c>
      <c r="AS122">
        <v>2357</v>
      </c>
      <c r="AT122" s="4">
        <v>42621</v>
      </c>
      <c r="AU122" t="s">
        <v>73</v>
      </c>
      <c r="AV122">
        <v>2357</v>
      </c>
      <c r="AW122" s="4">
        <v>42621</v>
      </c>
      <c r="BD122">
        <v>0</v>
      </c>
      <c r="BN122" t="s">
        <v>74</v>
      </c>
    </row>
    <row r="123" spans="1:66" hidden="1">
      <c r="A123">
        <v>100057</v>
      </c>
      <c r="B123" s="3" t="s">
        <v>97</v>
      </c>
      <c r="C123" s="1">
        <v>43300101</v>
      </c>
      <c r="D123" t="s">
        <v>67</v>
      </c>
      <c r="H123" t="str">
        <f t="shared" si="8"/>
        <v>00227010139</v>
      </c>
      <c r="I123" t="str">
        <f t="shared" si="8"/>
        <v>00227010139</v>
      </c>
      <c r="K123" t="str">
        <f>""</f>
        <v/>
      </c>
      <c r="M123" t="s">
        <v>68</v>
      </c>
      <c r="N123" t="str">
        <f t="shared" si="4"/>
        <v>FOR</v>
      </c>
      <c r="O123" t="s">
        <v>69</v>
      </c>
      <c r="P123" s="3" t="s">
        <v>75</v>
      </c>
      <c r="Q123">
        <v>2015</v>
      </c>
      <c r="R123" s="2">
        <v>42356</v>
      </c>
      <c r="S123" s="2">
        <v>42359</v>
      </c>
      <c r="T123" s="2">
        <v>42356</v>
      </c>
      <c r="U123" s="2">
        <v>42416</v>
      </c>
      <c r="V123" t="s">
        <v>71</v>
      </c>
      <c r="W123" t="str">
        <f>"          5547012297"</f>
        <v xml:space="preserve">          5547012297</v>
      </c>
      <c r="X123">
        <v>947.94</v>
      </c>
      <c r="Y123">
        <v>0</v>
      </c>
      <c r="Z123"/>
      <c r="AB123"/>
      <c r="AC123">
        <v>777</v>
      </c>
      <c r="AD123">
        <v>205</v>
      </c>
      <c r="AE123" s="1">
        <v>159285</v>
      </c>
      <c r="AF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 s="2">
        <v>42746</v>
      </c>
      <c r="AQ123" t="s">
        <v>72</v>
      </c>
      <c r="AR123" t="s">
        <v>72</v>
      </c>
      <c r="AS123">
        <v>2357</v>
      </c>
      <c r="AT123" s="4">
        <v>42621</v>
      </c>
      <c r="AU123" t="s">
        <v>73</v>
      </c>
      <c r="AV123">
        <v>2357</v>
      </c>
      <c r="AW123" s="4">
        <v>42621</v>
      </c>
      <c r="BD123">
        <v>0</v>
      </c>
      <c r="BN123" t="s">
        <v>74</v>
      </c>
    </row>
    <row r="124" spans="1:66">
      <c r="A124">
        <v>100057</v>
      </c>
      <c r="B124" s="3" t="s">
        <v>97</v>
      </c>
      <c r="C124" s="1">
        <v>43300101</v>
      </c>
      <c r="D124" t="s">
        <v>67</v>
      </c>
      <c r="H124" t="str">
        <f t="shared" si="8"/>
        <v>00227010139</v>
      </c>
      <c r="I124" t="str">
        <f t="shared" si="8"/>
        <v>00227010139</v>
      </c>
      <c r="K124" t="str">
        <f>""</f>
        <v/>
      </c>
      <c r="M124" t="s">
        <v>68</v>
      </c>
      <c r="N124" t="str">
        <f t="shared" si="4"/>
        <v>FOR</v>
      </c>
      <c r="O124" t="s">
        <v>69</v>
      </c>
      <c r="P124" s="3" t="s">
        <v>75</v>
      </c>
      <c r="Q124">
        <v>2016</v>
      </c>
      <c r="R124" s="2">
        <v>42394</v>
      </c>
      <c r="S124" s="2">
        <v>42446</v>
      </c>
      <c r="T124" s="2">
        <v>42443</v>
      </c>
      <c r="U124" s="2">
        <v>42503</v>
      </c>
      <c r="V124" t="s">
        <v>71</v>
      </c>
      <c r="W124" t="str">
        <f>"          5647000443"</f>
        <v xml:space="preserve">          5647000443</v>
      </c>
      <c r="X124" s="1">
        <v>2275.06</v>
      </c>
      <c r="Y124">
        <v>0</v>
      </c>
      <c r="Z124" s="5">
        <v>1864.8</v>
      </c>
      <c r="AA124">
        <v>145</v>
      </c>
      <c r="AB124" s="5">
        <v>270396</v>
      </c>
      <c r="AC124" s="1">
        <v>1864.8</v>
      </c>
      <c r="AD124">
        <v>145</v>
      </c>
      <c r="AE124" s="1">
        <v>270396</v>
      </c>
      <c r="AF124">
        <v>0</v>
      </c>
      <c r="AJ124">
        <v>0</v>
      </c>
      <c r="AK124">
        <v>0</v>
      </c>
      <c r="AL124">
        <v>0</v>
      </c>
      <c r="AM124" s="1">
        <v>2275.06</v>
      </c>
      <c r="AN124" s="1">
        <v>2275.06</v>
      </c>
      <c r="AO124" s="1">
        <v>2275.06</v>
      </c>
      <c r="AP124" s="2">
        <v>42746</v>
      </c>
      <c r="AQ124" t="s">
        <v>72</v>
      </c>
      <c r="AR124" t="s">
        <v>72</v>
      </c>
      <c r="AS124">
        <v>2686</v>
      </c>
      <c r="AT124" s="4">
        <v>42648</v>
      </c>
      <c r="AU124" t="s">
        <v>73</v>
      </c>
      <c r="AV124">
        <v>2686</v>
      </c>
      <c r="AW124" s="4">
        <v>42648</v>
      </c>
      <c r="BD124">
        <v>0</v>
      </c>
      <c r="BN124" t="s">
        <v>74</v>
      </c>
    </row>
    <row r="125" spans="1:66">
      <c r="A125">
        <v>100057</v>
      </c>
      <c r="B125" s="3" t="s">
        <v>97</v>
      </c>
      <c r="C125" s="1">
        <v>43300101</v>
      </c>
      <c r="D125" t="s">
        <v>67</v>
      </c>
      <c r="H125" t="str">
        <f t="shared" si="8"/>
        <v>00227010139</v>
      </c>
      <c r="I125" t="str">
        <f t="shared" si="8"/>
        <v>00227010139</v>
      </c>
      <c r="K125" t="str">
        <f>""</f>
        <v/>
      </c>
      <c r="M125" t="s">
        <v>68</v>
      </c>
      <c r="N125" t="str">
        <f t="shared" si="4"/>
        <v>FOR</v>
      </c>
      <c r="O125" t="s">
        <v>69</v>
      </c>
      <c r="P125" s="3" t="s">
        <v>75</v>
      </c>
      <c r="Q125">
        <v>2016</v>
      </c>
      <c r="R125" s="2">
        <v>42460</v>
      </c>
      <c r="S125" s="2">
        <v>42473</v>
      </c>
      <c r="T125" s="2">
        <v>42471</v>
      </c>
      <c r="U125" s="2">
        <v>42531</v>
      </c>
      <c r="V125" t="s">
        <v>71</v>
      </c>
      <c r="W125" t="str">
        <f>"          5647004041"</f>
        <v xml:space="preserve">          5647004041</v>
      </c>
      <c r="X125">
        <v>379.18</v>
      </c>
      <c r="Y125">
        <v>0</v>
      </c>
      <c r="Z125" s="3">
        <v>310.8</v>
      </c>
      <c r="AA125">
        <v>117</v>
      </c>
      <c r="AB125" s="5">
        <v>36363.599999999999</v>
      </c>
      <c r="AC125">
        <v>310.8</v>
      </c>
      <c r="AD125">
        <v>117</v>
      </c>
      <c r="AE125" s="1">
        <v>36363.599999999999</v>
      </c>
      <c r="AF125">
        <v>0</v>
      </c>
      <c r="AJ125">
        <v>0</v>
      </c>
      <c r="AK125">
        <v>0</v>
      </c>
      <c r="AL125">
        <v>0</v>
      </c>
      <c r="AM125">
        <v>379.18</v>
      </c>
      <c r="AN125">
        <v>379.18</v>
      </c>
      <c r="AO125">
        <v>379.18</v>
      </c>
      <c r="AP125" s="2">
        <v>42746</v>
      </c>
      <c r="AQ125" t="s">
        <v>72</v>
      </c>
      <c r="AR125" t="s">
        <v>72</v>
      </c>
      <c r="AS125">
        <v>2686</v>
      </c>
      <c r="AT125" s="4">
        <v>42648</v>
      </c>
      <c r="AU125" t="s">
        <v>73</v>
      </c>
      <c r="AV125">
        <v>2686</v>
      </c>
      <c r="AW125" s="4">
        <v>42648</v>
      </c>
      <c r="BD125">
        <v>0</v>
      </c>
      <c r="BN125" t="s">
        <v>74</v>
      </c>
    </row>
    <row r="126" spans="1:66">
      <c r="A126">
        <v>100057</v>
      </c>
      <c r="B126" s="3" t="s">
        <v>97</v>
      </c>
      <c r="C126" s="1">
        <v>43300101</v>
      </c>
      <c r="D126" t="s">
        <v>67</v>
      </c>
      <c r="H126" t="str">
        <f t="shared" si="8"/>
        <v>00227010139</v>
      </c>
      <c r="I126" t="str">
        <f t="shared" si="8"/>
        <v>00227010139</v>
      </c>
      <c r="K126" t="str">
        <f>""</f>
        <v/>
      </c>
      <c r="M126" t="s">
        <v>68</v>
      </c>
      <c r="N126" t="str">
        <f t="shared" si="4"/>
        <v>FOR</v>
      </c>
      <c r="O126" t="s">
        <v>69</v>
      </c>
      <c r="P126" s="3" t="s">
        <v>75</v>
      </c>
      <c r="Q126">
        <v>2016</v>
      </c>
      <c r="R126" s="2">
        <v>42490</v>
      </c>
      <c r="S126" s="2">
        <v>42493</v>
      </c>
      <c r="T126" s="2">
        <v>42492</v>
      </c>
      <c r="U126" s="2">
        <v>42552</v>
      </c>
      <c r="V126" t="s">
        <v>71</v>
      </c>
      <c r="W126" t="str">
        <f>"          5647005400"</f>
        <v xml:space="preserve">          5647005400</v>
      </c>
      <c r="X126" s="1">
        <v>1706.29</v>
      </c>
      <c r="Y126">
        <v>0</v>
      </c>
      <c r="Z126" s="5">
        <v>1398.6</v>
      </c>
      <c r="AA126">
        <v>96</v>
      </c>
      <c r="AB126" s="5">
        <v>134265.60000000001</v>
      </c>
      <c r="AC126" s="1">
        <v>1398.6</v>
      </c>
      <c r="AD126">
        <v>96</v>
      </c>
      <c r="AE126" s="1">
        <v>134265.60000000001</v>
      </c>
      <c r="AF126">
        <v>0</v>
      </c>
      <c r="AJ126">
        <v>0</v>
      </c>
      <c r="AK126">
        <v>0</v>
      </c>
      <c r="AL126">
        <v>0</v>
      </c>
      <c r="AM126" s="1">
        <v>1706.29</v>
      </c>
      <c r="AN126" s="1">
        <v>1706.29</v>
      </c>
      <c r="AO126" s="1">
        <v>1706.29</v>
      </c>
      <c r="AP126" s="2">
        <v>42746</v>
      </c>
      <c r="AQ126" t="s">
        <v>72</v>
      </c>
      <c r="AR126" t="s">
        <v>72</v>
      </c>
      <c r="AS126">
        <v>2686</v>
      </c>
      <c r="AT126" s="4">
        <v>42648</v>
      </c>
      <c r="AU126" t="s">
        <v>73</v>
      </c>
      <c r="AV126">
        <v>2686</v>
      </c>
      <c r="AW126" s="4">
        <v>42648</v>
      </c>
      <c r="BD126">
        <v>0</v>
      </c>
      <c r="BN126" t="s">
        <v>74</v>
      </c>
    </row>
    <row r="127" spans="1:66">
      <c r="A127">
        <v>100058</v>
      </c>
      <c r="B127" s="3" t="s">
        <v>98</v>
      </c>
      <c r="C127" s="1">
        <v>43300101</v>
      </c>
      <c r="D127" t="s">
        <v>67</v>
      </c>
      <c r="H127" t="str">
        <f>"06902641213"</f>
        <v>06902641213</v>
      </c>
      <c r="I127" t="str">
        <f>"06902641213"</f>
        <v>06902641213</v>
      </c>
      <c r="K127" t="str">
        <f>""</f>
        <v/>
      </c>
      <c r="M127" t="s">
        <v>68</v>
      </c>
      <c r="N127" t="str">
        <f t="shared" si="4"/>
        <v>FOR</v>
      </c>
      <c r="O127" t="s">
        <v>69</v>
      </c>
      <c r="P127" s="3" t="s">
        <v>70</v>
      </c>
      <c r="Q127">
        <v>2014</v>
      </c>
      <c r="R127" s="2">
        <v>42004</v>
      </c>
      <c r="S127" s="2">
        <v>42004</v>
      </c>
      <c r="T127" s="2">
        <v>42004</v>
      </c>
      <c r="U127" s="2">
        <v>42064</v>
      </c>
      <c r="V127" t="s">
        <v>71</v>
      </c>
      <c r="W127" t="str">
        <f>"               14726"</f>
        <v xml:space="preserve">               14726</v>
      </c>
      <c r="X127" s="1">
        <v>1812.6</v>
      </c>
      <c r="Y127">
        <v>0</v>
      </c>
      <c r="Z127" s="5">
        <v>1812.6</v>
      </c>
      <c r="AA127">
        <v>583</v>
      </c>
      <c r="AB127" s="5">
        <v>1056745.8</v>
      </c>
      <c r="AC127" s="1">
        <v>1812.6</v>
      </c>
      <c r="AD127">
        <v>583</v>
      </c>
      <c r="AE127" s="1">
        <v>1056745.8</v>
      </c>
      <c r="AF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 s="2">
        <v>42746</v>
      </c>
      <c r="AQ127" t="s">
        <v>72</v>
      </c>
      <c r="AR127" t="s">
        <v>72</v>
      </c>
      <c r="AS127">
        <v>2601</v>
      </c>
      <c r="AT127" s="4">
        <v>42647</v>
      </c>
      <c r="AU127" t="s">
        <v>73</v>
      </c>
      <c r="AV127">
        <v>2601</v>
      </c>
      <c r="AW127" s="4">
        <v>42647</v>
      </c>
      <c r="BD127">
        <v>0</v>
      </c>
      <c r="BN127" t="s">
        <v>74</v>
      </c>
    </row>
    <row r="128" spans="1:66">
      <c r="A128">
        <v>100058</v>
      </c>
      <c r="B128" s="3" t="s">
        <v>98</v>
      </c>
      <c r="C128" s="1">
        <v>43300101</v>
      </c>
      <c r="D128" t="s">
        <v>67</v>
      </c>
      <c r="H128" t="str">
        <f>"06902641213"</f>
        <v>06902641213</v>
      </c>
      <c r="I128" t="str">
        <f>"06902641213"</f>
        <v>06902641213</v>
      </c>
      <c r="K128" t="str">
        <f>""</f>
        <v/>
      </c>
      <c r="M128" t="s">
        <v>68</v>
      </c>
      <c r="N128" t="str">
        <f t="shared" si="4"/>
        <v>FOR</v>
      </c>
      <c r="O128" t="s">
        <v>69</v>
      </c>
      <c r="P128" s="3" t="s">
        <v>70</v>
      </c>
      <c r="Q128">
        <v>2014</v>
      </c>
      <c r="R128" s="2">
        <v>42004</v>
      </c>
      <c r="S128" s="2">
        <v>42004</v>
      </c>
      <c r="T128" s="2">
        <v>42004</v>
      </c>
      <c r="U128" s="2">
        <v>42064</v>
      </c>
      <c r="V128" t="s">
        <v>71</v>
      </c>
      <c r="W128" t="str">
        <f>"               14727"</f>
        <v xml:space="preserve">               14727</v>
      </c>
      <c r="X128" s="1">
        <v>1670.16</v>
      </c>
      <c r="Y128">
        <v>0</v>
      </c>
      <c r="Z128" s="5">
        <v>1670.16</v>
      </c>
      <c r="AA128">
        <v>583</v>
      </c>
      <c r="AB128" s="5">
        <v>973703.28</v>
      </c>
      <c r="AC128" s="1">
        <v>1670.16</v>
      </c>
      <c r="AD128">
        <v>583</v>
      </c>
      <c r="AE128" s="1">
        <v>973703.28</v>
      </c>
      <c r="AF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 s="2">
        <v>42746</v>
      </c>
      <c r="AQ128" t="s">
        <v>72</v>
      </c>
      <c r="AR128" t="s">
        <v>72</v>
      </c>
      <c r="AS128">
        <v>2601</v>
      </c>
      <c r="AT128" s="4">
        <v>42647</v>
      </c>
      <c r="AU128" t="s">
        <v>73</v>
      </c>
      <c r="AV128">
        <v>2601</v>
      </c>
      <c r="AW128" s="4">
        <v>42647</v>
      </c>
      <c r="BD128">
        <v>0</v>
      </c>
      <c r="BN128" t="s">
        <v>74</v>
      </c>
    </row>
    <row r="129" spans="1:66" hidden="1">
      <c r="A129">
        <v>100059</v>
      </c>
      <c r="B129" s="3" t="s">
        <v>99</v>
      </c>
      <c r="C129" s="1">
        <v>43300101</v>
      </c>
      <c r="D129" t="s">
        <v>67</v>
      </c>
      <c r="H129" t="str">
        <f t="shared" ref="H129:I148" si="9">"05849130157"</f>
        <v>05849130157</v>
      </c>
      <c r="I129" t="str">
        <f t="shared" si="9"/>
        <v>05849130157</v>
      </c>
      <c r="K129" t="str">
        <f>""</f>
        <v/>
      </c>
      <c r="M129" t="s">
        <v>68</v>
      </c>
      <c r="N129" t="str">
        <f t="shared" si="4"/>
        <v>FOR</v>
      </c>
      <c r="O129" t="s">
        <v>69</v>
      </c>
      <c r="P129" s="3" t="s">
        <v>70</v>
      </c>
      <c r="Q129">
        <v>2014</v>
      </c>
      <c r="R129" s="2">
        <v>41934</v>
      </c>
      <c r="S129" s="2">
        <v>41941</v>
      </c>
      <c r="T129" s="2">
        <v>41941</v>
      </c>
      <c r="U129" s="2">
        <v>42001</v>
      </c>
      <c r="V129" t="s">
        <v>71</v>
      </c>
      <c r="W129" t="str">
        <f>"            14200368"</f>
        <v xml:space="preserve">            14200368</v>
      </c>
      <c r="X129" s="1">
        <v>4148</v>
      </c>
      <c r="Y129">
        <v>0</v>
      </c>
      <c r="Z129"/>
      <c r="AB129"/>
      <c r="AC129" s="1">
        <v>4148</v>
      </c>
      <c r="AD129">
        <v>575</v>
      </c>
      <c r="AE129" s="1">
        <v>2385100</v>
      </c>
      <c r="AF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 s="2">
        <v>42746</v>
      </c>
      <c r="AQ129" t="s">
        <v>72</v>
      </c>
      <c r="AR129" t="s">
        <v>72</v>
      </c>
      <c r="AS129">
        <v>1908</v>
      </c>
      <c r="AT129" s="4">
        <v>42576</v>
      </c>
      <c r="AU129" t="s">
        <v>73</v>
      </c>
      <c r="AV129">
        <v>1908</v>
      </c>
      <c r="AW129" s="4">
        <v>42576</v>
      </c>
      <c r="BD129">
        <v>0</v>
      </c>
      <c r="BN129" t="s">
        <v>74</v>
      </c>
    </row>
    <row r="130" spans="1:66" hidden="1">
      <c r="A130">
        <v>100059</v>
      </c>
      <c r="B130" s="3" t="s">
        <v>99</v>
      </c>
      <c r="C130" s="1">
        <v>43300101</v>
      </c>
      <c r="D130" t="s">
        <v>67</v>
      </c>
      <c r="H130" t="str">
        <f t="shared" si="9"/>
        <v>05849130157</v>
      </c>
      <c r="I130" t="str">
        <f t="shared" si="9"/>
        <v>05849130157</v>
      </c>
      <c r="K130" t="str">
        <f>""</f>
        <v/>
      </c>
      <c r="M130" t="s">
        <v>68</v>
      </c>
      <c r="N130" t="str">
        <f t="shared" si="4"/>
        <v>FOR</v>
      </c>
      <c r="O130" t="s">
        <v>69</v>
      </c>
      <c r="P130" s="3" t="s">
        <v>70</v>
      </c>
      <c r="Q130">
        <v>2015</v>
      </c>
      <c r="R130" s="2">
        <v>42045</v>
      </c>
      <c r="S130" s="2">
        <v>42053</v>
      </c>
      <c r="T130" s="2">
        <v>42053</v>
      </c>
      <c r="U130" s="2">
        <v>42113</v>
      </c>
      <c r="V130" t="s">
        <v>71</v>
      </c>
      <c r="W130" t="str">
        <f>"          8515025074"</f>
        <v xml:space="preserve">          8515025074</v>
      </c>
      <c r="X130" s="1">
        <v>3283.5</v>
      </c>
      <c r="Y130">
        <v>0</v>
      </c>
      <c r="Z130"/>
      <c r="AB130"/>
      <c r="AC130" s="1">
        <v>2985</v>
      </c>
      <c r="AD130">
        <v>295</v>
      </c>
      <c r="AE130" s="1">
        <v>880575</v>
      </c>
      <c r="AF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 s="2">
        <v>42746</v>
      </c>
      <c r="AQ130" t="s">
        <v>72</v>
      </c>
      <c r="AR130" t="s">
        <v>72</v>
      </c>
      <c r="AS130">
        <v>310</v>
      </c>
      <c r="AT130" s="4">
        <v>42408</v>
      </c>
      <c r="AU130" t="s">
        <v>73</v>
      </c>
      <c r="AV130">
        <v>310</v>
      </c>
      <c r="AW130" s="4">
        <v>42408</v>
      </c>
      <c r="BD130">
        <v>0</v>
      </c>
      <c r="BN130" t="s">
        <v>74</v>
      </c>
    </row>
    <row r="131" spans="1:66" hidden="1">
      <c r="A131">
        <v>100059</v>
      </c>
      <c r="B131" s="3" t="s">
        <v>99</v>
      </c>
      <c r="C131" s="1">
        <v>43300101</v>
      </c>
      <c r="D131" t="s">
        <v>67</v>
      </c>
      <c r="H131" t="str">
        <f t="shared" si="9"/>
        <v>05849130157</v>
      </c>
      <c r="I131" t="str">
        <f t="shared" si="9"/>
        <v>05849130157</v>
      </c>
      <c r="K131" t="str">
        <f>""</f>
        <v/>
      </c>
      <c r="M131" t="s">
        <v>68</v>
      </c>
      <c r="N131" t="str">
        <f t="shared" ref="N131:N194" si="10">"FOR"</f>
        <v>FOR</v>
      </c>
      <c r="O131" t="s">
        <v>69</v>
      </c>
      <c r="P131" s="3" t="s">
        <v>70</v>
      </c>
      <c r="Q131">
        <v>2015</v>
      </c>
      <c r="R131" s="2">
        <v>42058</v>
      </c>
      <c r="S131" s="2">
        <v>42067</v>
      </c>
      <c r="T131" s="2">
        <v>42067</v>
      </c>
      <c r="U131" s="2">
        <v>42127</v>
      </c>
      <c r="V131" t="s">
        <v>71</v>
      </c>
      <c r="W131" t="str">
        <f>"          8515036254"</f>
        <v xml:space="preserve">          8515036254</v>
      </c>
      <c r="X131">
        <v>601.04</v>
      </c>
      <c r="Y131">
        <v>0</v>
      </c>
      <c r="Z131"/>
      <c r="AB131"/>
      <c r="AC131">
        <v>546.4</v>
      </c>
      <c r="AD131">
        <v>281</v>
      </c>
      <c r="AE131" s="1">
        <v>153538.4</v>
      </c>
      <c r="AF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 s="2">
        <v>42746</v>
      </c>
      <c r="AQ131" t="s">
        <v>72</v>
      </c>
      <c r="AR131" t="s">
        <v>72</v>
      </c>
      <c r="AS131">
        <v>311</v>
      </c>
      <c r="AT131" s="4">
        <v>42408</v>
      </c>
      <c r="AU131" t="s">
        <v>73</v>
      </c>
      <c r="AV131">
        <v>311</v>
      </c>
      <c r="AW131" s="4">
        <v>42408</v>
      </c>
      <c r="BD131">
        <v>0</v>
      </c>
      <c r="BN131" t="s">
        <v>74</v>
      </c>
    </row>
    <row r="132" spans="1:66" hidden="1">
      <c r="A132">
        <v>100059</v>
      </c>
      <c r="B132" s="3" t="s">
        <v>99</v>
      </c>
      <c r="C132" s="1">
        <v>43300101</v>
      </c>
      <c r="D132" t="s">
        <v>67</v>
      </c>
      <c r="H132" t="str">
        <f t="shared" si="9"/>
        <v>05849130157</v>
      </c>
      <c r="I132" t="str">
        <f t="shared" si="9"/>
        <v>05849130157</v>
      </c>
      <c r="K132" t="str">
        <f>""</f>
        <v/>
      </c>
      <c r="M132" t="s">
        <v>68</v>
      </c>
      <c r="N132" t="str">
        <f t="shared" si="10"/>
        <v>FOR</v>
      </c>
      <c r="O132" t="s">
        <v>69</v>
      </c>
      <c r="P132" s="3" t="s">
        <v>70</v>
      </c>
      <c r="Q132">
        <v>2015</v>
      </c>
      <c r="R132" s="2">
        <v>42073</v>
      </c>
      <c r="S132" s="2">
        <v>42087</v>
      </c>
      <c r="T132" s="2">
        <v>42087</v>
      </c>
      <c r="U132" s="2">
        <v>42147</v>
      </c>
      <c r="V132" t="s">
        <v>71</v>
      </c>
      <c r="W132" t="str">
        <f>"          8515050517"</f>
        <v xml:space="preserve">          8515050517</v>
      </c>
      <c r="X132">
        <v>601.04</v>
      </c>
      <c r="Y132">
        <v>0</v>
      </c>
      <c r="Z132"/>
      <c r="AB132"/>
      <c r="AC132">
        <v>546.4</v>
      </c>
      <c r="AD132">
        <v>261</v>
      </c>
      <c r="AE132" s="1">
        <v>142610.4</v>
      </c>
      <c r="AF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 s="2">
        <v>42746</v>
      </c>
      <c r="AQ132" t="s">
        <v>72</v>
      </c>
      <c r="AR132" t="s">
        <v>72</v>
      </c>
      <c r="AS132">
        <v>311</v>
      </c>
      <c r="AT132" s="4">
        <v>42408</v>
      </c>
      <c r="AU132" t="s">
        <v>73</v>
      </c>
      <c r="AV132">
        <v>311</v>
      </c>
      <c r="AW132" s="4">
        <v>42408</v>
      </c>
      <c r="BD132">
        <v>0</v>
      </c>
      <c r="BN132" t="s">
        <v>74</v>
      </c>
    </row>
    <row r="133" spans="1:66" hidden="1">
      <c r="A133">
        <v>100059</v>
      </c>
      <c r="B133" s="3" t="s">
        <v>99</v>
      </c>
      <c r="C133" s="1">
        <v>43300101</v>
      </c>
      <c r="D133" t="s">
        <v>67</v>
      </c>
      <c r="H133" t="str">
        <f t="shared" si="9"/>
        <v>05849130157</v>
      </c>
      <c r="I133" t="str">
        <f t="shared" si="9"/>
        <v>05849130157</v>
      </c>
      <c r="K133" t="str">
        <f>""</f>
        <v/>
      </c>
      <c r="M133" t="s">
        <v>68</v>
      </c>
      <c r="N133" t="str">
        <f t="shared" si="10"/>
        <v>FOR</v>
      </c>
      <c r="O133" t="s">
        <v>69</v>
      </c>
      <c r="P133" s="3" t="s">
        <v>70</v>
      </c>
      <c r="Q133">
        <v>2015</v>
      </c>
      <c r="R133" s="2">
        <v>42080</v>
      </c>
      <c r="S133" s="2">
        <v>42087</v>
      </c>
      <c r="T133" s="2">
        <v>42087</v>
      </c>
      <c r="U133" s="2">
        <v>42147</v>
      </c>
      <c r="V133" t="s">
        <v>71</v>
      </c>
      <c r="W133" t="str">
        <f>"          8515056853"</f>
        <v xml:space="preserve">          8515056853</v>
      </c>
      <c r="X133">
        <v>495</v>
      </c>
      <c r="Y133">
        <v>0</v>
      </c>
      <c r="Z133"/>
      <c r="AB133"/>
      <c r="AC133">
        <v>450</v>
      </c>
      <c r="AD133">
        <v>261</v>
      </c>
      <c r="AE133" s="1">
        <v>117450</v>
      </c>
      <c r="AF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 s="2">
        <v>42746</v>
      </c>
      <c r="AQ133" t="s">
        <v>72</v>
      </c>
      <c r="AR133" t="s">
        <v>72</v>
      </c>
      <c r="AS133">
        <v>311</v>
      </c>
      <c r="AT133" s="4">
        <v>42408</v>
      </c>
      <c r="AU133" t="s">
        <v>73</v>
      </c>
      <c r="AV133">
        <v>311</v>
      </c>
      <c r="AW133" s="4">
        <v>42408</v>
      </c>
      <c r="BD133">
        <v>0</v>
      </c>
      <c r="BN133" t="s">
        <v>74</v>
      </c>
    </row>
    <row r="134" spans="1:66" hidden="1">
      <c r="A134">
        <v>100059</v>
      </c>
      <c r="B134" s="3" t="s">
        <v>99</v>
      </c>
      <c r="C134" s="1">
        <v>43300101</v>
      </c>
      <c r="D134" t="s">
        <v>67</v>
      </c>
      <c r="H134" t="str">
        <f t="shared" si="9"/>
        <v>05849130157</v>
      </c>
      <c r="I134" t="str">
        <f t="shared" si="9"/>
        <v>05849130157</v>
      </c>
      <c r="K134" t="str">
        <f>""</f>
        <v/>
      </c>
      <c r="M134" t="s">
        <v>68</v>
      </c>
      <c r="N134" t="str">
        <f t="shared" si="10"/>
        <v>FOR</v>
      </c>
      <c r="O134" t="s">
        <v>69</v>
      </c>
      <c r="P134" s="3" t="s">
        <v>70</v>
      </c>
      <c r="Q134">
        <v>2015</v>
      </c>
      <c r="R134" s="2">
        <v>42081</v>
      </c>
      <c r="S134" s="2">
        <v>42087</v>
      </c>
      <c r="T134" s="2">
        <v>42087</v>
      </c>
      <c r="U134" s="2">
        <v>42147</v>
      </c>
      <c r="V134" t="s">
        <v>71</v>
      </c>
      <c r="W134" t="str">
        <f>"          8515057334"</f>
        <v xml:space="preserve">          8515057334</v>
      </c>
      <c r="X134" s="1">
        <v>2796.75</v>
      </c>
      <c r="Y134">
        <v>0</v>
      </c>
      <c r="Z134"/>
      <c r="AB134"/>
      <c r="AC134" s="1">
        <v>2542.5</v>
      </c>
      <c r="AD134">
        <v>261</v>
      </c>
      <c r="AE134" s="1">
        <v>663592.5</v>
      </c>
      <c r="AF134">
        <v>0</v>
      </c>
      <c r="AJ134">
        <v>0</v>
      </c>
      <c r="AK134">
        <v>0</v>
      </c>
      <c r="AL134">
        <v>0</v>
      </c>
      <c r="AM134">
        <v>0</v>
      </c>
      <c r="AN134">
        <v>0</v>
      </c>
      <c r="AO134">
        <v>0</v>
      </c>
      <c r="AP134" s="2">
        <v>42746</v>
      </c>
      <c r="AQ134" t="s">
        <v>72</v>
      </c>
      <c r="AR134" t="s">
        <v>72</v>
      </c>
      <c r="AS134">
        <v>311</v>
      </c>
      <c r="AT134" s="4">
        <v>42408</v>
      </c>
      <c r="AU134" t="s">
        <v>73</v>
      </c>
      <c r="AV134">
        <v>311</v>
      </c>
      <c r="AW134" s="4">
        <v>42408</v>
      </c>
      <c r="BD134">
        <v>0</v>
      </c>
      <c r="BN134" t="s">
        <v>74</v>
      </c>
    </row>
    <row r="135" spans="1:66" hidden="1">
      <c r="A135">
        <v>100059</v>
      </c>
      <c r="B135" s="3" t="s">
        <v>99</v>
      </c>
      <c r="C135" s="1">
        <v>43300101</v>
      </c>
      <c r="D135" t="s">
        <v>67</v>
      </c>
      <c r="H135" t="str">
        <f t="shared" si="9"/>
        <v>05849130157</v>
      </c>
      <c r="I135" t="str">
        <f t="shared" si="9"/>
        <v>05849130157</v>
      </c>
      <c r="K135" t="str">
        <f>""</f>
        <v/>
      </c>
      <c r="M135" t="s">
        <v>68</v>
      </c>
      <c r="N135" t="str">
        <f t="shared" si="10"/>
        <v>FOR</v>
      </c>
      <c r="O135" t="s">
        <v>69</v>
      </c>
      <c r="P135" s="3" t="s">
        <v>70</v>
      </c>
      <c r="Q135">
        <v>2015</v>
      </c>
      <c r="R135" s="2">
        <v>42081</v>
      </c>
      <c r="S135" s="2">
        <v>42087</v>
      </c>
      <c r="T135" s="2">
        <v>42087</v>
      </c>
      <c r="U135" s="2">
        <v>42147</v>
      </c>
      <c r="V135" t="s">
        <v>71</v>
      </c>
      <c r="W135" t="str">
        <f>"          8515057335"</f>
        <v xml:space="preserve">          8515057335</v>
      </c>
      <c r="X135" s="1">
        <v>3283.5</v>
      </c>
      <c r="Y135">
        <v>0</v>
      </c>
      <c r="Z135"/>
      <c r="AB135"/>
      <c r="AC135" s="1">
        <v>2985</v>
      </c>
      <c r="AD135">
        <v>261</v>
      </c>
      <c r="AE135" s="1">
        <v>779085</v>
      </c>
      <c r="AF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 s="2">
        <v>42746</v>
      </c>
      <c r="AQ135" t="s">
        <v>72</v>
      </c>
      <c r="AR135" t="s">
        <v>72</v>
      </c>
      <c r="AS135">
        <v>311</v>
      </c>
      <c r="AT135" s="4">
        <v>42408</v>
      </c>
      <c r="AU135" t="s">
        <v>73</v>
      </c>
      <c r="AV135">
        <v>311</v>
      </c>
      <c r="AW135" s="4">
        <v>42408</v>
      </c>
      <c r="BD135">
        <v>0</v>
      </c>
      <c r="BN135" t="s">
        <v>74</v>
      </c>
    </row>
    <row r="136" spans="1:66" hidden="1">
      <c r="A136">
        <v>100059</v>
      </c>
      <c r="B136" s="3" t="s">
        <v>99</v>
      </c>
      <c r="C136" s="1">
        <v>43300101</v>
      </c>
      <c r="D136" t="s">
        <v>67</v>
      </c>
      <c r="H136" t="str">
        <f t="shared" si="9"/>
        <v>05849130157</v>
      </c>
      <c r="I136" t="str">
        <f t="shared" si="9"/>
        <v>05849130157</v>
      </c>
      <c r="K136" t="str">
        <f>""</f>
        <v/>
      </c>
      <c r="M136" t="s">
        <v>68</v>
      </c>
      <c r="N136" t="str">
        <f t="shared" si="10"/>
        <v>FOR</v>
      </c>
      <c r="O136" t="s">
        <v>69</v>
      </c>
      <c r="P136" s="3" t="s">
        <v>70</v>
      </c>
      <c r="Q136">
        <v>2015</v>
      </c>
      <c r="R136" s="2">
        <v>42086</v>
      </c>
      <c r="S136" s="2">
        <v>42102</v>
      </c>
      <c r="T136" s="2">
        <v>42102</v>
      </c>
      <c r="U136" s="2">
        <v>42162</v>
      </c>
      <c r="V136" t="s">
        <v>71</v>
      </c>
      <c r="W136" t="str">
        <f>"          8515063170"</f>
        <v xml:space="preserve">          8515063170</v>
      </c>
      <c r="X136" s="1">
        <v>2074</v>
      </c>
      <c r="Y136">
        <v>0</v>
      </c>
      <c r="Z136"/>
      <c r="AB136"/>
      <c r="AC136" s="1">
        <v>1700</v>
      </c>
      <c r="AD136">
        <v>246</v>
      </c>
      <c r="AE136" s="1">
        <v>418200</v>
      </c>
      <c r="AF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 s="2">
        <v>42746</v>
      </c>
      <c r="AQ136" t="s">
        <v>72</v>
      </c>
      <c r="AR136" t="s">
        <v>72</v>
      </c>
      <c r="AS136">
        <v>311</v>
      </c>
      <c r="AT136" s="4">
        <v>42408</v>
      </c>
      <c r="AU136" t="s">
        <v>73</v>
      </c>
      <c r="AV136">
        <v>311</v>
      </c>
      <c r="AW136" s="4">
        <v>42408</v>
      </c>
      <c r="BD136">
        <v>0</v>
      </c>
      <c r="BN136" t="s">
        <v>74</v>
      </c>
    </row>
    <row r="137" spans="1:66" hidden="1">
      <c r="A137">
        <v>100059</v>
      </c>
      <c r="B137" s="3" t="s">
        <v>99</v>
      </c>
      <c r="C137" s="1">
        <v>43300101</v>
      </c>
      <c r="D137" t="s">
        <v>67</v>
      </c>
      <c r="H137" t="str">
        <f t="shared" si="9"/>
        <v>05849130157</v>
      </c>
      <c r="I137" t="str">
        <f t="shared" si="9"/>
        <v>05849130157</v>
      </c>
      <c r="K137" t="str">
        <f>""</f>
        <v/>
      </c>
      <c r="M137" t="s">
        <v>68</v>
      </c>
      <c r="N137" t="str">
        <f t="shared" si="10"/>
        <v>FOR</v>
      </c>
      <c r="O137" t="s">
        <v>69</v>
      </c>
      <c r="P137" s="3" t="s">
        <v>70</v>
      </c>
      <c r="Q137">
        <v>2015</v>
      </c>
      <c r="R137" s="2">
        <v>42088</v>
      </c>
      <c r="S137" s="2">
        <v>42094</v>
      </c>
      <c r="T137" s="2">
        <v>42094</v>
      </c>
      <c r="U137" s="2">
        <v>42154</v>
      </c>
      <c r="V137" t="s">
        <v>71</v>
      </c>
      <c r="W137" t="str">
        <f>"          8515065681"</f>
        <v xml:space="preserve">          8515065681</v>
      </c>
      <c r="X137" s="1">
        <v>1644.5</v>
      </c>
      <c r="Y137">
        <v>0</v>
      </c>
      <c r="Z137"/>
      <c r="AB137"/>
      <c r="AC137" s="1">
        <v>1495</v>
      </c>
      <c r="AD137">
        <v>254</v>
      </c>
      <c r="AE137" s="1">
        <v>379730</v>
      </c>
      <c r="AF137">
        <v>0</v>
      </c>
      <c r="AJ137">
        <v>0</v>
      </c>
      <c r="AK137">
        <v>0</v>
      </c>
      <c r="AL137">
        <v>0</v>
      </c>
      <c r="AM137">
        <v>0</v>
      </c>
      <c r="AN137">
        <v>0</v>
      </c>
      <c r="AO137">
        <v>0</v>
      </c>
      <c r="AP137" s="2">
        <v>42746</v>
      </c>
      <c r="AQ137" t="s">
        <v>72</v>
      </c>
      <c r="AR137" t="s">
        <v>72</v>
      </c>
      <c r="AS137">
        <v>311</v>
      </c>
      <c r="AT137" s="4">
        <v>42408</v>
      </c>
      <c r="AU137" t="s">
        <v>73</v>
      </c>
      <c r="AV137">
        <v>311</v>
      </c>
      <c r="AW137" s="4">
        <v>42408</v>
      </c>
      <c r="BD137">
        <v>0</v>
      </c>
      <c r="BN137" t="s">
        <v>74</v>
      </c>
    </row>
    <row r="138" spans="1:66" hidden="1">
      <c r="A138">
        <v>100059</v>
      </c>
      <c r="B138" s="3" t="s">
        <v>99</v>
      </c>
      <c r="C138" s="1">
        <v>43300101</v>
      </c>
      <c r="D138" t="s">
        <v>67</v>
      </c>
      <c r="H138" t="str">
        <f t="shared" si="9"/>
        <v>05849130157</v>
      </c>
      <c r="I138" t="str">
        <f t="shared" si="9"/>
        <v>05849130157</v>
      </c>
      <c r="K138" t="str">
        <f>""</f>
        <v/>
      </c>
      <c r="M138" t="s">
        <v>68</v>
      </c>
      <c r="N138" t="str">
        <f t="shared" si="10"/>
        <v>FOR</v>
      </c>
      <c r="O138" t="s">
        <v>69</v>
      </c>
      <c r="P138" s="3" t="s">
        <v>75</v>
      </c>
      <c r="Q138">
        <v>2015</v>
      </c>
      <c r="R138" s="2">
        <v>42106</v>
      </c>
      <c r="S138" s="2">
        <v>42115</v>
      </c>
      <c r="T138" s="2">
        <v>42110</v>
      </c>
      <c r="U138" s="2">
        <v>42170</v>
      </c>
      <c r="V138" t="s">
        <v>71</v>
      </c>
      <c r="W138" t="str">
        <f>"          8515076850"</f>
        <v xml:space="preserve">          8515076850</v>
      </c>
      <c r="X138" s="1">
        <v>1118.7</v>
      </c>
      <c r="Y138">
        <v>0</v>
      </c>
      <c r="Z138"/>
      <c r="AB138"/>
      <c r="AC138" s="1">
        <v>1017</v>
      </c>
      <c r="AD138">
        <v>350</v>
      </c>
      <c r="AE138" s="1">
        <v>355950</v>
      </c>
      <c r="AF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 s="2">
        <v>42746</v>
      </c>
      <c r="AQ138" t="s">
        <v>72</v>
      </c>
      <c r="AR138" t="s">
        <v>72</v>
      </c>
      <c r="AS138">
        <v>1465</v>
      </c>
      <c r="AT138" s="4">
        <v>42520</v>
      </c>
      <c r="AU138" t="s">
        <v>73</v>
      </c>
      <c r="AV138">
        <v>1465</v>
      </c>
      <c r="AW138" s="4">
        <v>42520</v>
      </c>
      <c r="BD138">
        <v>0</v>
      </c>
      <c r="BN138" t="s">
        <v>74</v>
      </c>
    </row>
    <row r="139" spans="1:66" hidden="1">
      <c r="A139">
        <v>100059</v>
      </c>
      <c r="B139" s="3" t="s">
        <v>99</v>
      </c>
      <c r="C139" s="1">
        <v>43300101</v>
      </c>
      <c r="D139" t="s">
        <v>67</v>
      </c>
      <c r="H139" t="str">
        <f t="shared" si="9"/>
        <v>05849130157</v>
      </c>
      <c r="I139" t="str">
        <f t="shared" si="9"/>
        <v>05849130157</v>
      </c>
      <c r="K139" t="str">
        <f>""</f>
        <v/>
      </c>
      <c r="M139" t="s">
        <v>68</v>
      </c>
      <c r="N139" t="str">
        <f t="shared" si="10"/>
        <v>FOR</v>
      </c>
      <c r="O139" t="s">
        <v>69</v>
      </c>
      <c r="P139" s="3" t="s">
        <v>75</v>
      </c>
      <c r="Q139">
        <v>2015</v>
      </c>
      <c r="R139" s="2">
        <v>42135</v>
      </c>
      <c r="S139" s="2">
        <v>42139</v>
      </c>
      <c r="T139" s="2">
        <v>42137</v>
      </c>
      <c r="U139" s="2">
        <v>42197</v>
      </c>
      <c r="V139" t="s">
        <v>71</v>
      </c>
      <c r="W139" t="str">
        <f>"          8515100090"</f>
        <v xml:space="preserve">          8515100090</v>
      </c>
      <c r="X139" s="1">
        <v>3283.5</v>
      </c>
      <c r="Y139">
        <v>0</v>
      </c>
      <c r="Z139"/>
      <c r="AB139"/>
      <c r="AC139" s="1">
        <v>2985</v>
      </c>
      <c r="AD139">
        <v>255</v>
      </c>
      <c r="AE139" s="1">
        <v>761175</v>
      </c>
      <c r="AF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 s="2">
        <v>42746</v>
      </c>
      <c r="AQ139" t="s">
        <v>72</v>
      </c>
      <c r="AR139" t="s">
        <v>72</v>
      </c>
      <c r="AS139">
        <v>788</v>
      </c>
      <c r="AT139" s="4">
        <v>42452</v>
      </c>
      <c r="AU139" t="s">
        <v>73</v>
      </c>
      <c r="AV139">
        <v>788</v>
      </c>
      <c r="AW139" s="4">
        <v>42452</v>
      </c>
      <c r="BD139">
        <v>0</v>
      </c>
      <c r="BN139" t="s">
        <v>74</v>
      </c>
    </row>
    <row r="140" spans="1:66" hidden="1">
      <c r="A140">
        <v>100059</v>
      </c>
      <c r="B140" s="3" t="s">
        <v>99</v>
      </c>
      <c r="C140" s="1">
        <v>43300101</v>
      </c>
      <c r="D140" t="s">
        <v>67</v>
      </c>
      <c r="H140" t="str">
        <f t="shared" si="9"/>
        <v>05849130157</v>
      </c>
      <c r="I140" t="str">
        <f t="shared" si="9"/>
        <v>05849130157</v>
      </c>
      <c r="K140" t="str">
        <f>""</f>
        <v/>
      </c>
      <c r="M140" t="s">
        <v>68</v>
      </c>
      <c r="N140" t="str">
        <f t="shared" si="10"/>
        <v>FOR</v>
      </c>
      <c r="O140" t="s">
        <v>69</v>
      </c>
      <c r="P140" s="3" t="s">
        <v>75</v>
      </c>
      <c r="Q140">
        <v>2015</v>
      </c>
      <c r="R140" s="2">
        <v>42136</v>
      </c>
      <c r="S140" s="2">
        <v>42142</v>
      </c>
      <c r="T140" s="2">
        <v>42138</v>
      </c>
      <c r="U140" s="2">
        <v>42198</v>
      </c>
      <c r="V140" t="s">
        <v>71</v>
      </c>
      <c r="W140" t="str">
        <f>"          8515101099"</f>
        <v xml:space="preserve">          8515101099</v>
      </c>
      <c r="X140" s="1">
        <v>4661.25</v>
      </c>
      <c r="Y140">
        <v>0</v>
      </c>
      <c r="Z140"/>
      <c r="AB140"/>
      <c r="AC140" s="1">
        <v>4237.5</v>
      </c>
      <c r="AD140">
        <v>254</v>
      </c>
      <c r="AE140" s="1">
        <v>1076325</v>
      </c>
      <c r="AF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 s="2">
        <v>42746</v>
      </c>
      <c r="AQ140" t="s">
        <v>72</v>
      </c>
      <c r="AR140" t="s">
        <v>72</v>
      </c>
      <c r="AS140">
        <v>788</v>
      </c>
      <c r="AT140" s="4">
        <v>42452</v>
      </c>
      <c r="AU140" t="s">
        <v>73</v>
      </c>
      <c r="AV140">
        <v>788</v>
      </c>
      <c r="AW140" s="4">
        <v>42452</v>
      </c>
      <c r="BD140">
        <v>0</v>
      </c>
      <c r="BN140" t="s">
        <v>74</v>
      </c>
    </row>
    <row r="141" spans="1:66" hidden="1">
      <c r="A141">
        <v>100059</v>
      </c>
      <c r="B141" s="3" t="s">
        <v>99</v>
      </c>
      <c r="C141" s="1">
        <v>43300101</v>
      </c>
      <c r="D141" t="s">
        <v>67</v>
      </c>
      <c r="H141" t="str">
        <f t="shared" si="9"/>
        <v>05849130157</v>
      </c>
      <c r="I141" t="str">
        <f t="shared" si="9"/>
        <v>05849130157</v>
      </c>
      <c r="K141" t="str">
        <f>""</f>
        <v/>
      </c>
      <c r="M141" t="s">
        <v>68</v>
      </c>
      <c r="N141" t="str">
        <f t="shared" si="10"/>
        <v>FOR</v>
      </c>
      <c r="O141" t="s">
        <v>69</v>
      </c>
      <c r="P141" s="3" t="s">
        <v>75</v>
      </c>
      <c r="Q141">
        <v>2015</v>
      </c>
      <c r="R141" s="2">
        <v>42137</v>
      </c>
      <c r="S141" s="2">
        <v>42172</v>
      </c>
      <c r="T141" s="2">
        <v>42138</v>
      </c>
      <c r="U141" s="2">
        <v>42198</v>
      </c>
      <c r="V141" t="s">
        <v>71</v>
      </c>
      <c r="W141" t="str">
        <f>"          8515102407"</f>
        <v xml:space="preserve">          8515102407</v>
      </c>
      <c r="X141">
        <v>751.3</v>
      </c>
      <c r="Y141">
        <v>0</v>
      </c>
      <c r="Z141"/>
      <c r="AB141"/>
      <c r="AC141">
        <v>683</v>
      </c>
      <c r="AD141">
        <v>254</v>
      </c>
      <c r="AE141" s="1">
        <v>173482</v>
      </c>
      <c r="AF141">
        <v>0</v>
      </c>
      <c r="AJ141">
        <v>0</v>
      </c>
      <c r="AK141">
        <v>0</v>
      </c>
      <c r="AL141">
        <v>0</v>
      </c>
      <c r="AM141">
        <v>0</v>
      </c>
      <c r="AN141">
        <v>0</v>
      </c>
      <c r="AO141">
        <v>0</v>
      </c>
      <c r="AP141" s="2">
        <v>42746</v>
      </c>
      <c r="AQ141" t="s">
        <v>72</v>
      </c>
      <c r="AR141" t="s">
        <v>72</v>
      </c>
      <c r="AS141">
        <v>788</v>
      </c>
      <c r="AT141" s="4">
        <v>42452</v>
      </c>
      <c r="AU141" t="s">
        <v>73</v>
      </c>
      <c r="AV141">
        <v>788</v>
      </c>
      <c r="AW141" s="4">
        <v>42452</v>
      </c>
      <c r="BD141">
        <v>0</v>
      </c>
      <c r="BN141" t="s">
        <v>74</v>
      </c>
    </row>
    <row r="142" spans="1:66" hidden="1">
      <c r="A142">
        <v>100059</v>
      </c>
      <c r="B142" s="3" t="s">
        <v>99</v>
      </c>
      <c r="C142" s="1">
        <v>43300101</v>
      </c>
      <c r="D142" t="s">
        <v>67</v>
      </c>
      <c r="H142" t="str">
        <f t="shared" si="9"/>
        <v>05849130157</v>
      </c>
      <c r="I142" t="str">
        <f t="shared" si="9"/>
        <v>05849130157</v>
      </c>
      <c r="K142" t="str">
        <f>""</f>
        <v/>
      </c>
      <c r="M142" t="s">
        <v>68</v>
      </c>
      <c r="N142" t="str">
        <f t="shared" si="10"/>
        <v>FOR</v>
      </c>
      <c r="O142" t="s">
        <v>69</v>
      </c>
      <c r="P142" s="3" t="s">
        <v>75</v>
      </c>
      <c r="Q142">
        <v>2015</v>
      </c>
      <c r="R142" s="2">
        <v>42172</v>
      </c>
      <c r="S142" s="2">
        <v>42174</v>
      </c>
      <c r="T142" s="2">
        <v>42173</v>
      </c>
      <c r="U142" s="2">
        <v>42233</v>
      </c>
      <c r="V142" t="s">
        <v>71</v>
      </c>
      <c r="W142" t="str">
        <f>"          8515127723"</f>
        <v xml:space="preserve">          8515127723</v>
      </c>
      <c r="X142" s="1">
        <v>4661.25</v>
      </c>
      <c r="Y142">
        <v>0</v>
      </c>
      <c r="Z142"/>
      <c r="AB142"/>
      <c r="AC142" s="1">
        <v>4237.5</v>
      </c>
      <c r="AD142">
        <v>259</v>
      </c>
      <c r="AE142" s="1">
        <v>1097512.5</v>
      </c>
      <c r="AF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 s="2">
        <v>42746</v>
      </c>
      <c r="AQ142" t="s">
        <v>72</v>
      </c>
      <c r="AR142" t="s">
        <v>72</v>
      </c>
      <c r="AS142">
        <v>1245</v>
      </c>
      <c r="AT142" s="4">
        <v>42492</v>
      </c>
      <c r="AU142" t="s">
        <v>73</v>
      </c>
      <c r="AV142">
        <v>1245</v>
      </c>
      <c r="AW142" s="4">
        <v>42492</v>
      </c>
      <c r="BD142">
        <v>0</v>
      </c>
      <c r="BN142" t="s">
        <v>74</v>
      </c>
    </row>
    <row r="143" spans="1:66" hidden="1">
      <c r="A143">
        <v>100059</v>
      </c>
      <c r="B143" s="3" t="s">
        <v>99</v>
      </c>
      <c r="C143" s="1">
        <v>43300101</v>
      </c>
      <c r="D143" t="s">
        <v>67</v>
      </c>
      <c r="H143" t="str">
        <f t="shared" si="9"/>
        <v>05849130157</v>
      </c>
      <c r="I143" t="str">
        <f t="shared" si="9"/>
        <v>05849130157</v>
      </c>
      <c r="K143" t="str">
        <f>""</f>
        <v/>
      </c>
      <c r="M143" t="s">
        <v>68</v>
      </c>
      <c r="N143" t="str">
        <f t="shared" si="10"/>
        <v>FOR</v>
      </c>
      <c r="O143" t="s">
        <v>69</v>
      </c>
      <c r="P143" s="3" t="s">
        <v>75</v>
      </c>
      <c r="Q143">
        <v>2015</v>
      </c>
      <c r="R143" s="2">
        <v>42179</v>
      </c>
      <c r="S143" s="2">
        <v>42185</v>
      </c>
      <c r="T143" s="2">
        <v>42181</v>
      </c>
      <c r="U143" s="2">
        <v>42241</v>
      </c>
      <c r="V143" t="s">
        <v>71</v>
      </c>
      <c r="W143" t="str">
        <f>"          8515133449"</f>
        <v xml:space="preserve">          8515133449</v>
      </c>
      <c r="X143" s="1">
        <v>3289</v>
      </c>
      <c r="Y143">
        <v>0</v>
      </c>
      <c r="Z143"/>
      <c r="AB143"/>
      <c r="AC143" s="1">
        <v>2990</v>
      </c>
      <c r="AD143">
        <v>251</v>
      </c>
      <c r="AE143" s="1">
        <v>750490</v>
      </c>
      <c r="AF143">
        <v>0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 s="2">
        <v>42746</v>
      </c>
      <c r="AQ143" t="s">
        <v>72</v>
      </c>
      <c r="AR143" t="s">
        <v>72</v>
      </c>
      <c r="AS143">
        <v>1245</v>
      </c>
      <c r="AT143" s="4">
        <v>42492</v>
      </c>
      <c r="AU143" t="s">
        <v>73</v>
      </c>
      <c r="AV143">
        <v>1245</v>
      </c>
      <c r="AW143" s="4">
        <v>42492</v>
      </c>
      <c r="BD143">
        <v>0</v>
      </c>
      <c r="BN143" t="s">
        <v>74</v>
      </c>
    </row>
    <row r="144" spans="1:66" hidden="1">
      <c r="A144">
        <v>100059</v>
      </c>
      <c r="B144" s="3" t="s">
        <v>99</v>
      </c>
      <c r="C144" s="1">
        <v>43300101</v>
      </c>
      <c r="D144" t="s">
        <v>67</v>
      </c>
      <c r="H144" t="str">
        <f t="shared" si="9"/>
        <v>05849130157</v>
      </c>
      <c r="I144" t="str">
        <f t="shared" si="9"/>
        <v>05849130157</v>
      </c>
      <c r="K144" t="str">
        <f>""</f>
        <v/>
      </c>
      <c r="M144" t="s">
        <v>68</v>
      </c>
      <c r="N144" t="str">
        <f t="shared" si="10"/>
        <v>FOR</v>
      </c>
      <c r="O144" t="s">
        <v>69</v>
      </c>
      <c r="P144" s="3" t="s">
        <v>75</v>
      </c>
      <c r="Q144">
        <v>2015</v>
      </c>
      <c r="R144" s="2">
        <v>42185</v>
      </c>
      <c r="S144" s="2">
        <v>42191</v>
      </c>
      <c r="T144" s="2">
        <v>42185</v>
      </c>
      <c r="U144" s="2">
        <v>42245</v>
      </c>
      <c r="V144" t="s">
        <v>71</v>
      </c>
      <c r="W144" t="str">
        <f>"          8515139199"</f>
        <v xml:space="preserve">          8515139199</v>
      </c>
      <c r="X144" s="1">
        <v>3283.5</v>
      </c>
      <c r="Y144">
        <v>0</v>
      </c>
      <c r="Z144"/>
      <c r="AB144"/>
      <c r="AC144" s="1">
        <v>2985</v>
      </c>
      <c r="AD144">
        <v>247</v>
      </c>
      <c r="AE144" s="1">
        <v>737295</v>
      </c>
      <c r="AF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 s="2">
        <v>42746</v>
      </c>
      <c r="AQ144" t="s">
        <v>72</v>
      </c>
      <c r="AR144" t="s">
        <v>72</v>
      </c>
      <c r="AS144">
        <v>1245</v>
      </c>
      <c r="AT144" s="4">
        <v>42492</v>
      </c>
      <c r="AU144" t="s">
        <v>73</v>
      </c>
      <c r="AV144">
        <v>1245</v>
      </c>
      <c r="AW144" s="4">
        <v>42492</v>
      </c>
      <c r="BD144">
        <v>0</v>
      </c>
      <c r="BN144" t="s">
        <v>74</v>
      </c>
    </row>
    <row r="145" spans="1:66" hidden="1">
      <c r="A145">
        <v>100059</v>
      </c>
      <c r="B145" s="3" t="s">
        <v>99</v>
      </c>
      <c r="C145" s="1">
        <v>43300101</v>
      </c>
      <c r="D145" t="s">
        <v>67</v>
      </c>
      <c r="H145" t="str">
        <f t="shared" si="9"/>
        <v>05849130157</v>
      </c>
      <c r="I145" t="str">
        <f t="shared" si="9"/>
        <v>05849130157</v>
      </c>
      <c r="K145" t="str">
        <f>""</f>
        <v/>
      </c>
      <c r="M145" t="s">
        <v>68</v>
      </c>
      <c r="N145" t="str">
        <f t="shared" si="10"/>
        <v>FOR</v>
      </c>
      <c r="O145" t="s">
        <v>69</v>
      </c>
      <c r="P145" s="3" t="s">
        <v>75</v>
      </c>
      <c r="Q145">
        <v>2015</v>
      </c>
      <c r="R145" s="2">
        <v>42194</v>
      </c>
      <c r="S145" s="2">
        <v>42198</v>
      </c>
      <c r="T145" s="2">
        <v>42196</v>
      </c>
      <c r="U145" s="2">
        <v>42256</v>
      </c>
      <c r="V145" t="s">
        <v>71</v>
      </c>
      <c r="W145" t="str">
        <f>"          8515145490"</f>
        <v xml:space="preserve">          8515145490</v>
      </c>
      <c r="X145" s="1">
        <v>2074</v>
      </c>
      <c r="Y145">
        <v>0</v>
      </c>
      <c r="Z145"/>
      <c r="AB145"/>
      <c r="AC145" s="1">
        <v>1700</v>
      </c>
      <c r="AD145">
        <v>264</v>
      </c>
      <c r="AE145" s="1">
        <v>448800</v>
      </c>
      <c r="AF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 s="2">
        <v>42746</v>
      </c>
      <c r="AQ145" t="s">
        <v>72</v>
      </c>
      <c r="AR145" t="s">
        <v>72</v>
      </c>
      <c r="AS145">
        <v>1465</v>
      </c>
      <c r="AT145" s="4">
        <v>42520</v>
      </c>
      <c r="AU145" t="s">
        <v>73</v>
      </c>
      <c r="AV145">
        <v>1465</v>
      </c>
      <c r="AW145" s="4">
        <v>42520</v>
      </c>
      <c r="BD145">
        <v>0</v>
      </c>
      <c r="BN145" t="s">
        <v>74</v>
      </c>
    </row>
    <row r="146" spans="1:66" hidden="1">
      <c r="A146">
        <v>100059</v>
      </c>
      <c r="B146" s="3" t="s">
        <v>99</v>
      </c>
      <c r="C146" s="1">
        <v>43300101</v>
      </c>
      <c r="D146" t="s">
        <v>67</v>
      </c>
      <c r="H146" t="str">
        <f t="shared" si="9"/>
        <v>05849130157</v>
      </c>
      <c r="I146" t="str">
        <f t="shared" si="9"/>
        <v>05849130157</v>
      </c>
      <c r="K146" t="str">
        <f>""</f>
        <v/>
      </c>
      <c r="M146" t="s">
        <v>68</v>
      </c>
      <c r="N146" t="str">
        <f t="shared" si="10"/>
        <v>FOR</v>
      </c>
      <c r="O146" t="s">
        <v>69</v>
      </c>
      <c r="P146" s="3" t="s">
        <v>75</v>
      </c>
      <c r="Q146">
        <v>2015</v>
      </c>
      <c r="R146" s="2">
        <v>42212</v>
      </c>
      <c r="S146" s="2">
        <v>42215</v>
      </c>
      <c r="T146" s="2">
        <v>42213</v>
      </c>
      <c r="U146" s="2">
        <v>42273</v>
      </c>
      <c r="V146" t="s">
        <v>71</v>
      </c>
      <c r="W146" t="str">
        <f>"          8515156064"</f>
        <v xml:space="preserve">          8515156064</v>
      </c>
      <c r="X146" s="1">
        <v>6567</v>
      </c>
      <c r="Y146">
        <v>0</v>
      </c>
      <c r="Z146"/>
      <c r="AB146"/>
      <c r="AC146" s="1">
        <v>5970</v>
      </c>
      <c r="AD146">
        <v>247</v>
      </c>
      <c r="AE146" s="1">
        <v>1474590</v>
      </c>
      <c r="AF146">
        <v>0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 s="2">
        <v>42746</v>
      </c>
      <c r="AQ146" t="s">
        <v>72</v>
      </c>
      <c r="AR146" t="s">
        <v>72</v>
      </c>
      <c r="AS146">
        <v>1465</v>
      </c>
      <c r="AT146" s="4">
        <v>42520</v>
      </c>
      <c r="AU146" t="s">
        <v>73</v>
      </c>
      <c r="AV146">
        <v>1465</v>
      </c>
      <c r="AW146" s="4">
        <v>42520</v>
      </c>
      <c r="BD146">
        <v>0</v>
      </c>
      <c r="BN146" t="s">
        <v>74</v>
      </c>
    </row>
    <row r="147" spans="1:66" hidden="1">
      <c r="A147">
        <v>100059</v>
      </c>
      <c r="B147" s="3" t="s">
        <v>99</v>
      </c>
      <c r="C147" s="1">
        <v>43300101</v>
      </c>
      <c r="D147" t="s">
        <v>67</v>
      </c>
      <c r="H147" t="str">
        <f t="shared" si="9"/>
        <v>05849130157</v>
      </c>
      <c r="I147" t="str">
        <f t="shared" si="9"/>
        <v>05849130157</v>
      </c>
      <c r="K147" t="str">
        <f>""</f>
        <v/>
      </c>
      <c r="M147" t="s">
        <v>68</v>
      </c>
      <c r="N147" t="str">
        <f t="shared" si="10"/>
        <v>FOR</v>
      </c>
      <c r="O147" t="s">
        <v>69</v>
      </c>
      <c r="P147" s="3" t="s">
        <v>75</v>
      </c>
      <c r="Q147">
        <v>2015</v>
      </c>
      <c r="R147" s="2">
        <v>42214</v>
      </c>
      <c r="S147" s="2">
        <v>42216</v>
      </c>
      <c r="T147" s="2">
        <v>42215</v>
      </c>
      <c r="U147" s="2">
        <v>42275</v>
      </c>
      <c r="V147" t="s">
        <v>71</v>
      </c>
      <c r="W147" t="str">
        <f>"          8515157405"</f>
        <v xml:space="preserve">          8515157405</v>
      </c>
      <c r="X147" s="1">
        <v>3289</v>
      </c>
      <c r="Y147">
        <v>0</v>
      </c>
      <c r="Z147"/>
      <c r="AB147"/>
      <c r="AC147" s="1">
        <v>2990</v>
      </c>
      <c r="AD147">
        <v>245</v>
      </c>
      <c r="AE147" s="1">
        <v>732550</v>
      </c>
      <c r="AF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 s="2">
        <v>42746</v>
      </c>
      <c r="AQ147" t="s">
        <v>72</v>
      </c>
      <c r="AR147" t="s">
        <v>72</v>
      </c>
      <c r="AS147">
        <v>1465</v>
      </c>
      <c r="AT147" s="4">
        <v>42520</v>
      </c>
      <c r="AU147" t="s">
        <v>73</v>
      </c>
      <c r="AV147">
        <v>1465</v>
      </c>
      <c r="AW147" s="4">
        <v>42520</v>
      </c>
      <c r="BD147">
        <v>0</v>
      </c>
      <c r="BN147" t="s">
        <v>74</v>
      </c>
    </row>
    <row r="148" spans="1:66" hidden="1">
      <c r="A148">
        <v>100059</v>
      </c>
      <c r="B148" s="3" t="s">
        <v>99</v>
      </c>
      <c r="C148" s="1">
        <v>43300101</v>
      </c>
      <c r="D148" t="s">
        <v>67</v>
      </c>
      <c r="H148" t="str">
        <f t="shared" si="9"/>
        <v>05849130157</v>
      </c>
      <c r="I148" t="str">
        <f t="shared" si="9"/>
        <v>05849130157</v>
      </c>
      <c r="K148" t="str">
        <f>""</f>
        <v/>
      </c>
      <c r="M148" t="s">
        <v>68</v>
      </c>
      <c r="N148" t="str">
        <f t="shared" si="10"/>
        <v>FOR</v>
      </c>
      <c r="O148" t="s">
        <v>69</v>
      </c>
      <c r="P148" s="3" t="s">
        <v>75</v>
      </c>
      <c r="Q148">
        <v>2015</v>
      </c>
      <c r="R148" s="2">
        <v>42223</v>
      </c>
      <c r="S148" s="2">
        <v>42229</v>
      </c>
      <c r="T148" s="2">
        <v>42226</v>
      </c>
      <c r="U148" s="2">
        <v>42286</v>
      </c>
      <c r="V148" t="s">
        <v>71</v>
      </c>
      <c r="W148" t="str">
        <f>"          8515161464"</f>
        <v xml:space="preserve">          8515161464</v>
      </c>
      <c r="X148" s="1">
        <v>2074</v>
      </c>
      <c r="Y148">
        <v>0</v>
      </c>
      <c r="Z148"/>
      <c r="AB148"/>
      <c r="AC148" s="1">
        <v>1700</v>
      </c>
      <c r="AD148">
        <v>234</v>
      </c>
      <c r="AE148" s="1">
        <v>397800</v>
      </c>
      <c r="AF148">
        <v>0</v>
      </c>
      <c r="AJ148">
        <v>0</v>
      </c>
      <c r="AK148">
        <v>0</v>
      </c>
      <c r="AL148">
        <v>0</v>
      </c>
      <c r="AM148">
        <v>0</v>
      </c>
      <c r="AN148">
        <v>0</v>
      </c>
      <c r="AO148">
        <v>0</v>
      </c>
      <c r="AP148" s="2">
        <v>42746</v>
      </c>
      <c r="AQ148" t="s">
        <v>72</v>
      </c>
      <c r="AR148" t="s">
        <v>72</v>
      </c>
      <c r="AS148">
        <v>1465</v>
      </c>
      <c r="AT148" s="4">
        <v>42520</v>
      </c>
      <c r="AU148" t="s">
        <v>73</v>
      </c>
      <c r="AV148">
        <v>1465</v>
      </c>
      <c r="AW148" s="4">
        <v>42520</v>
      </c>
      <c r="BD148">
        <v>0</v>
      </c>
      <c r="BN148" t="s">
        <v>74</v>
      </c>
    </row>
    <row r="149" spans="1:66" hidden="1">
      <c r="A149">
        <v>100059</v>
      </c>
      <c r="B149" s="3" t="s">
        <v>99</v>
      </c>
      <c r="C149" s="1">
        <v>43300101</v>
      </c>
      <c r="D149" t="s">
        <v>67</v>
      </c>
      <c r="H149" t="str">
        <f t="shared" ref="H149:I163" si="11">"05849130157"</f>
        <v>05849130157</v>
      </c>
      <c r="I149" t="str">
        <f t="shared" si="11"/>
        <v>05849130157</v>
      </c>
      <c r="K149" t="str">
        <f>""</f>
        <v/>
      </c>
      <c r="M149" t="s">
        <v>68</v>
      </c>
      <c r="N149" t="str">
        <f t="shared" si="10"/>
        <v>FOR</v>
      </c>
      <c r="O149" t="s">
        <v>69</v>
      </c>
      <c r="P149" s="3" t="s">
        <v>75</v>
      </c>
      <c r="Q149">
        <v>2015</v>
      </c>
      <c r="R149" s="2">
        <v>42256</v>
      </c>
      <c r="S149" s="2">
        <v>42262</v>
      </c>
      <c r="T149" s="2">
        <v>42257</v>
      </c>
      <c r="U149" s="2">
        <v>42317</v>
      </c>
      <c r="V149" t="s">
        <v>71</v>
      </c>
      <c r="W149" t="str">
        <f>"          8515172302"</f>
        <v xml:space="preserve">          8515172302</v>
      </c>
      <c r="X149" s="1">
        <v>2184.0500000000002</v>
      </c>
      <c r="Y149">
        <v>0</v>
      </c>
      <c r="Z149"/>
      <c r="AB149"/>
      <c r="AC149" s="1">
        <v>1985.5</v>
      </c>
      <c r="AD149">
        <v>259</v>
      </c>
      <c r="AE149" s="1">
        <v>514244.5</v>
      </c>
      <c r="AF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 s="2">
        <v>42746</v>
      </c>
      <c r="AQ149" t="s">
        <v>72</v>
      </c>
      <c r="AR149" t="s">
        <v>72</v>
      </c>
      <c r="AS149">
        <v>1909</v>
      </c>
      <c r="AT149" s="4">
        <v>42576</v>
      </c>
      <c r="AU149" t="s">
        <v>73</v>
      </c>
      <c r="AV149">
        <v>1909</v>
      </c>
      <c r="AW149" s="4">
        <v>42576</v>
      </c>
      <c r="BD149">
        <v>0</v>
      </c>
      <c r="BN149" t="s">
        <v>74</v>
      </c>
    </row>
    <row r="150" spans="1:66" hidden="1">
      <c r="A150">
        <v>100059</v>
      </c>
      <c r="B150" s="3" t="s">
        <v>99</v>
      </c>
      <c r="C150" s="1">
        <v>43300101</v>
      </c>
      <c r="D150" t="s">
        <v>67</v>
      </c>
      <c r="H150" t="str">
        <f t="shared" si="11"/>
        <v>05849130157</v>
      </c>
      <c r="I150" t="str">
        <f t="shared" si="11"/>
        <v>05849130157</v>
      </c>
      <c r="K150" t="str">
        <f>""</f>
        <v/>
      </c>
      <c r="M150" t="s">
        <v>68</v>
      </c>
      <c r="N150" t="str">
        <f t="shared" si="10"/>
        <v>FOR</v>
      </c>
      <c r="O150" t="s">
        <v>69</v>
      </c>
      <c r="P150" s="3" t="s">
        <v>75</v>
      </c>
      <c r="Q150">
        <v>2015</v>
      </c>
      <c r="R150" s="2">
        <v>42261</v>
      </c>
      <c r="S150" s="2">
        <v>42262</v>
      </c>
      <c r="T150" s="2">
        <v>42262</v>
      </c>
      <c r="U150" s="2">
        <v>42322</v>
      </c>
      <c r="V150" t="s">
        <v>71</v>
      </c>
      <c r="W150" t="str">
        <f>"          8515175625"</f>
        <v xml:space="preserve">          8515175625</v>
      </c>
      <c r="X150" s="1">
        <v>2184.0500000000002</v>
      </c>
      <c r="Y150">
        <v>0</v>
      </c>
      <c r="Z150"/>
      <c r="AB150"/>
      <c r="AC150" s="1">
        <v>1985.5</v>
      </c>
      <c r="AD150">
        <v>254</v>
      </c>
      <c r="AE150" s="1">
        <v>504317</v>
      </c>
      <c r="AF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 s="2">
        <v>42746</v>
      </c>
      <c r="AQ150" t="s">
        <v>72</v>
      </c>
      <c r="AR150" t="s">
        <v>72</v>
      </c>
      <c r="AS150">
        <v>1909</v>
      </c>
      <c r="AT150" s="4">
        <v>42576</v>
      </c>
      <c r="AU150" t="s">
        <v>73</v>
      </c>
      <c r="AV150">
        <v>1909</v>
      </c>
      <c r="AW150" s="4">
        <v>42576</v>
      </c>
      <c r="BD150">
        <v>0</v>
      </c>
      <c r="BN150" t="s">
        <v>74</v>
      </c>
    </row>
    <row r="151" spans="1:66" hidden="1">
      <c r="A151">
        <v>100059</v>
      </c>
      <c r="B151" s="3" t="s">
        <v>99</v>
      </c>
      <c r="C151" s="1">
        <v>43300101</v>
      </c>
      <c r="D151" t="s">
        <v>67</v>
      </c>
      <c r="H151" t="str">
        <f t="shared" si="11"/>
        <v>05849130157</v>
      </c>
      <c r="I151" t="str">
        <f t="shared" si="11"/>
        <v>05849130157</v>
      </c>
      <c r="K151" t="str">
        <f>""</f>
        <v/>
      </c>
      <c r="M151" t="s">
        <v>68</v>
      </c>
      <c r="N151" t="str">
        <f t="shared" si="10"/>
        <v>FOR</v>
      </c>
      <c r="O151" t="s">
        <v>69</v>
      </c>
      <c r="P151" s="3" t="s">
        <v>75</v>
      </c>
      <c r="Q151">
        <v>2015</v>
      </c>
      <c r="R151" s="2">
        <v>42264</v>
      </c>
      <c r="S151" s="2">
        <v>42265</v>
      </c>
      <c r="T151" s="2">
        <v>42265</v>
      </c>
      <c r="U151" s="2">
        <v>42325</v>
      </c>
      <c r="V151" t="s">
        <v>71</v>
      </c>
      <c r="W151" t="str">
        <f>"          8515179212"</f>
        <v xml:space="preserve">          8515179212</v>
      </c>
      <c r="X151">
        <v>751.3</v>
      </c>
      <c r="Y151">
        <v>0</v>
      </c>
      <c r="Z151"/>
      <c r="AB151"/>
      <c r="AC151">
        <v>683</v>
      </c>
      <c r="AD151">
        <v>251</v>
      </c>
      <c r="AE151" s="1">
        <v>171433</v>
      </c>
      <c r="AF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 s="2">
        <v>42746</v>
      </c>
      <c r="AQ151" t="s">
        <v>72</v>
      </c>
      <c r="AR151" t="s">
        <v>72</v>
      </c>
      <c r="AS151">
        <v>1909</v>
      </c>
      <c r="AT151" s="4">
        <v>42576</v>
      </c>
      <c r="AU151" t="s">
        <v>73</v>
      </c>
      <c r="AV151">
        <v>1909</v>
      </c>
      <c r="AW151" s="4">
        <v>42576</v>
      </c>
      <c r="BD151">
        <v>0</v>
      </c>
      <c r="BN151" t="s">
        <v>74</v>
      </c>
    </row>
    <row r="152" spans="1:66" hidden="1">
      <c r="A152">
        <v>100059</v>
      </c>
      <c r="B152" s="3" t="s">
        <v>99</v>
      </c>
      <c r="C152" s="1">
        <v>43300101</v>
      </c>
      <c r="D152" t="s">
        <v>67</v>
      </c>
      <c r="H152" t="str">
        <f t="shared" si="11"/>
        <v>05849130157</v>
      </c>
      <c r="I152" t="str">
        <f t="shared" si="11"/>
        <v>05849130157</v>
      </c>
      <c r="K152" t="str">
        <f>""</f>
        <v/>
      </c>
      <c r="M152" t="s">
        <v>68</v>
      </c>
      <c r="N152" t="str">
        <f t="shared" si="10"/>
        <v>FOR</v>
      </c>
      <c r="O152" t="s">
        <v>69</v>
      </c>
      <c r="P152" s="3" t="s">
        <v>75</v>
      </c>
      <c r="Q152">
        <v>2015</v>
      </c>
      <c r="R152" s="2">
        <v>42269</v>
      </c>
      <c r="S152" s="2">
        <v>42270</v>
      </c>
      <c r="T152" s="2">
        <v>42270</v>
      </c>
      <c r="U152" s="2">
        <v>42330</v>
      </c>
      <c r="V152" t="s">
        <v>71</v>
      </c>
      <c r="W152" t="str">
        <f>"          8515182709"</f>
        <v xml:space="preserve">          8515182709</v>
      </c>
      <c r="X152" s="1">
        <v>4661.25</v>
      </c>
      <c r="Y152">
        <v>0</v>
      </c>
      <c r="Z152"/>
      <c r="AB152"/>
      <c r="AC152" s="1">
        <v>4237.5</v>
      </c>
      <c r="AD152">
        <v>246</v>
      </c>
      <c r="AE152" s="1">
        <v>1042425</v>
      </c>
      <c r="AF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 s="2">
        <v>42746</v>
      </c>
      <c r="AQ152" t="s">
        <v>72</v>
      </c>
      <c r="AR152" t="s">
        <v>72</v>
      </c>
      <c r="AS152">
        <v>1909</v>
      </c>
      <c r="AT152" s="4">
        <v>42576</v>
      </c>
      <c r="AU152" t="s">
        <v>73</v>
      </c>
      <c r="AV152">
        <v>1909</v>
      </c>
      <c r="AW152" s="4">
        <v>42576</v>
      </c>
      <c r="BD152">
        <v>0</v>
      </c>
      <c r="BN152" t="s">
        <v>74</v>
      </c>
    </row>
    <row r="153" spans="1:66">
      <c r="A153">
        <v>100059</v>
      </c>
      <c r="B153" s="3" t="s">
        <v>99</v>
      </c>
      <c r="C153" s="1">
        <v>43300101</v>
      </c>
      <c r="D153" t="s">
        <v>67</v>
      </c>
      <c r="H153" t="str">
        <f t="shared" si="11"/>
        <v>05849130157</v>
      </c>
      <c r="I153" t="str">
        <f t="shared" si="11"/>
        <v>05849130157</v>
      </c>
      <c r="K153" t="str">
        <f>""</f>
        <v/>
      </c>
      <c r="M153" t="s">
        <v>68</v>
      </c>
      <c r="N153" t="str">
        <f t="shared" si="10"/>
        <v>FOR</v>
      </c>
      <c r="O153" t="s">
        <v>69</v>
      </c>
      <c r="P153" s="3" t="s">
        <v>75</v>
      </c>
      <c r="Q153">
        <v>2015</v>
      </c>
      <c r="R153" s="2">
        <v>42289</v>
      </c>
      <c r="S153" s="2">
        <v>42291</v>
      </c>
      <c r="T153" s="2">
        <v>42290</v>
      </c>
      <c r="U153" s="2">
        <v>42350</v>
      </c>
      <c r="V153" t="s">
        <v>71</v>
      </c>
      <c r="W153" t="str">
        <f>"          8515199024"</f>
        <v xml:space="preserve">          8515199024</v>
      </c>
      <c r="X153" s="1">
        <v>2184.0500000000002</v>
      </c>
      <c r="Y153">
        <v>0</v>
      </c>
      <c r="Z153" s="5">
        <v>1985.5</v>
      </c>
      <c r="AA153">
        <v>297</v>
      </c>
      <c r="AB153" s="5">
        <v>589693.5</v>
      </c>
      <c r="AC153" s="1">
        <v>1985.5</v>
      </c>
      <c r="AD153">
        <v>297</v>
      </c>
      <c r="AE153" s="1">
        <v>589693.5</v>
      </c>
      <c r="AF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 s="2">
        <v>42746</v>
      </c>
      <c r="AQ153" t="s">
        <v>72</v>
      </c>
      <c r="AR153" t="s">
        <v>72</v>
      </c>
      <c r="AS153">
        <v>2628</v>
      </c>
      <c r="AT153" s="4">
        <v>42647</v>
      </c>
      <c r="AU153" t="s">
        <v>73</v>
      </c>
      <c r="AV153">
        <v>2628</v>
      </c>
      <c r="AW153" s="4">
        <v>42647</v>
      </c>
      <c r="BD153">
        <v>0</v>
      </c>
      <c r="BN153" t="s">
        <v>74</v>
      </c>
    </row>
    <row r="154" spans="1:66">
      <c r="A154">
        <v>100059</v>
      </c>
      <c r="B154" s="3" t="s">
        <v>99</v>
      </c>
      <c r="C154" s="1">
        <v>43300101</v>
      </c>
      <c r="D154" t="s">
        <v>67</v>
      </c>
      <c r="H154" t="str">
        <f t="shared" si="11"/>
        <v>05849130157</v>
      </c>
      <c r="I154" t="str">
        <f t="shared" si="11"/>
        <v>05849130157</v>
      </c>
      <c r="K154" t="str">
        <f>""</f>
        <v/>
      </c>
      <c r="M154" t="s">
        <v>68</v>
      </c>
      <c r="N154" t="str">
        <f t="shared" si="10"/>
        <v>FOR</v>
      </c>
      <c r="O154" t="s">
        <v>69</v>
      </c>
      <c r="P154" s="3" t="s">
        <v>75</v>
      </c>
      <c r="Q154">
        <v>2015</v>
      </c>
      <c r="R154" s="2">
        <v>42321</v>
      </c>
      <c r="S154" s="2">
        <v>42324</v>
      </c>
      <c r="T154" s="2">
        <v>42321</v>
      </c>
      <c r="U154" s="2">
        <v>42381</v>
      </c>
      <c r="V154" t="s">
        <v>71</v>
      </c>
      <c r="W154" t="str">
        <f>"          8515227533"</f>
        <v xml:space="preserve">          8515227533</v>
      </c>
      <c r="X154" s="1">
        <v>8736.2000000000007</v>
      </c>
      <c r="Y154">
        <v>0</v>
      </c>
      <c r="Z154" s="5">
        <v>7942</v>
      </c>
      <c r="AA154">
        <v>266</v>
      </c>
      <c r="AB154" s="5">
        <v>2112572</v>
      </c>
      <c r="AC154" s="1">
        <v>7942</v>
      </c>
      <c r="AD154">
        <v>266</v>
      </c>
      <c r="AE154" s="1">
        <v>2112572</v>
      </c>
      <c r="AF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 s="2">
        <v>42746</v>
      </c>
      <c r="AQ154" t="s">
        <v>72</v>
      </c>
      <c r="AR154" t="s">
        <v>72</v>
      </c>
      <c r="AS154">
        <v>2628</v>
      </c>
      <c r="AT154" s="4">
        <v>42647</v>
      </c>
      <c r="AU154" t="s">
        <v>73</v>
      </c>
      <c r="AV154">
        <v>2628</v>
      </c>
      <c r="AW154" s="4">
        <v>42647</v>
      </c>
      <c r="BD154">
        <v>0</v>
      </c>
      <c r="BN154" t="s">
        <v>74</v>
      </c>
    </row>
    <row r="155" spans="1:66">
      <c r="A155">
        <v>100059</v>
      </c>
      <c r="B155" s="3" t="s">
        <v>99</v>
      </c>
      <c r="C155" s="1">
        <v>43300101</v>
      </c>
      <c r="D155" t="s">
        <v>67</v>
      </c>
      <c r="H155" t="str">
        <f t="shared" si="11"/>
        <v>05849130157</v>
      </c>
      <c r="I155" t="str">
        <f t="shared" si="11"/>
        <v>05849130157</v>
      </c>
      <c r="K155" t="str">
        <f>""</f>
        <v/>
      </c>
      <c r="M155" t="s">
        <v>68</v>
      </c>
      <c r="N155" t="str">
        <f t="shared" si="10"/>
        <v>FOR</v>
      </c>
      <c r="O155" t="s">
        <v>69</v>
      </c>
      <c r="P155" s="3" t="s">
        <v>75</v>
      </c>
      <c r="Q155">
        <v>2015</v>
      </c>
      <c r="R155" s="2">
        <v>42327</v>
      </c>
      <c r="S155" s="2">
        <v>42328</v>
      </c>
      <c r="T155" s="2">
        <v>42328</v>
      </c>
      <c r="U155" s="2">
        <v>42388</v>
      </c>
      <c r="V155" t="s">
        <v>71</v>
      </c>
      <c r="W155" t="str">
        <f>"          8515232104"</f>
        <v xml:space="preserve">          8515232104</v>
      </c>
      <c r="X155" s="1">
        <v>2074</v>
      </c>
      <c r="Y155">
        <v>0</v>
      </c>
      <c r="Z155" s="5">
        <v>1700</v>
      </c>
      <c r="AA155">
        <v>259</v>
      </c>
      <c r="AB155" s="5">
        <v>440300</v>
      </c>
      <c r="AC155" s="1">
        <v>1700</v>
      </c>
      <c r="AD155">
        <v>259</v>
      </c>
      <c r="AE155" s="1">
        <v>440300</v>
      </c>
      <c r="AF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 s="2">
        <v>42746</v>
      </c>
      <c r="AQ155" t="s">
        <v>72</v>
      </c>
      <c r="AR155" t="s">
        <v>72</v>
      </c>
      <c r="AS155">
        <v>2628</v>
      </c>
      <c r="AT155" s="4">
        <v>42647</v>
      </c>
      <c r="AU155" t="s">
        <v>73</v>
      </c>
      <c r="AV155">
        <v>2628</v>
      </c>
      <c r="AW155" s="4">
        <v>42647</v>
      </c>
      <c r="BD155">
        <v>0</v>
      </c>
      <c r="BN155" t="s">
        <v>74</v>
      </c>
    </row>
    <row r="156" spans="1:66">
      <c r="A156">
        <v>100059</v>
      </c>
      <c r="B156" s="3" t="s">
        <v>99</v>
      </c>
      <c r="C156" s="1">
        <v>43300101</v>
      </c>
      <c r="D156" t="s">
        <v>67</v>
      </c>
      <c r="H156" t="str">
        <f t="shared" si="11"/>
        <v>05849130157</v>
      </c>
      <c r="I156" t="str">
        <f t="shared" si="11"/>
        <v>05849130157</v>
      </c>
      <c r="K156" t="str">
        <f>""</f>
        <v/>
      </c>
      <c r="M156" t="s">
        <v>68</v>
      </c>
      <c r="N156" t="str">
        <f t="shared" si="10"/>
        <v>FOR</v>
      </c>
      <c r="O156" t="s">
        <v>69</v>
      </c>
      <c r="P156" s="3" t="s">
        <v>75</v>
      </c>
      <c r="Q156">
        <v>2015</v>
      </c>
      <c r="R156" s="2">
        <v>42328</v>
      </c>
      <c r="S156" s="2">
        <v>42331</v>
      </c>
      <c r="T156" s="2">
        <v>42331</v>
      </c>
      <c r="U156" s="2">
        <v>42391</v>
      </c>
      <c r="V156" t="s">
        <v>71</v>
      </c>
      <c r="W156" t="str">
        <f>"          8515233428"</f>
        <v xml:space="preserve">          8515233428</v>
      </c>
      <c r="X156" s="1">
        <v>3283.5</v>
      </c>
      <c r="Y156">
        <v>0</v>
      </c>
      <c r="Z156" s="5">
        <v>2985</v>
      </c>
      <c r="AA156">
        <v>256</v>
      </c>
      <c r="AB156" s="5">
        <v>764160</v>
      </c>
      <c r="AC156" s="1">
        <v>2985</v>
      </c>
      <c r="AD156">
        <v>256</v>
      </c>
      <c r="AE156" s="1">
        <v>764160</v>
      </c>
      <c r="AF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 s="2">
        <v>42746</v>
      </c>
      <c r="AQ156" t="s">
        <v>72</v>
      </c>
      <c r="AR156" t="s">
        <v>72</v>
      </c>
      <c r="AS156">
        <v>2628</v>
      </c>
      <c r="AT156" s="4">
        <v>42647</v>
      </c>
      <c r="AU156" t="s">
        <v>73</v>
      </c>
      <c r="AV156">
        <v>2628</v>
      </c>
      <c r="AW156" s="4">
        <v>42647</v>
      </c>
      <c r="BD156">
        <v>0</v>
      </c>
      <c r="BN156" t="s">
        <v>74</v>
      </c>
    </row>
    <row r="157" spans="1:66">
      <c r="A157">
        <v>100059</v>
      </c>
      <c r="B157" s="3" t="s">
        <v>99</v>
      </c>
      <c r="C157" s="1">
        <v>43300101</v>
      </c>
      <c r="D157" t="s">
        <v>67</v>
      </c>
      <c r="H157" t="str">
        <f t="shared" si="11"/>
        <v>05849130157</v>
      </c>
      <c r="I157" t="str">
        <f t="shared" si="11"/>
        <v>05849130157</v>
      </c>
      <c r="K157" t="str">
        <f>""</f>
        <v/>
      </c>
      <c r="M157" t="s">
        <v>68</v>
      </c>
      <c r="N157" t="str">
        <f t="shared" si="10"/>
        <v>FOR</v>
      </c>
      <c r="O157" t="s">
        <v>69</v>
      </c>
      <c r="P157" s="3" t="s">
        <v>75</v>
      </c>
      <c r="Q157">
        <v>2015</v>
      </c>
      <c r="R157" s="2">
        <v>42340</v>
      </c>
      <c r="S157" s="2">
        <v>42353</v>
      </c>
      <c r="T157" s="2">
        <v>42348</v>
      </c>
      <c r="U157" s="2">
        <v>42408</v>
      </c>
      <c r="V157" t="s">
        <v>71</v>
      </c>
      <c r="W157" t="str">
        <f>"          8515241352"</f>
        <v xml:space="preserve">          8515241352</v>
      </c>
      <c r="X157" s="1">
        <v>4847.7</v>
      </c>
      <c r="Y157">
        <v>0</v>
      </c>
      <c r="Z157" s="5">
        <v>4407</v>
      </c>
      <c r="AA157">
        <v>239</v>
      </c>
      <c r="AB157" s="5">
        <v>1053273</v>
      </c>
      <c r="AC157" s="1">
        <v>4407</v>
      </c>
      <c r="AD157">
        <v>239</v>
      </c>
      <c r="AE157" s="1">
        <v>1053273</v>
      </c>
      <c r="AF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 s="2">
        <v>42746</v>
      </c>
      <c r="AQ157" t="s">
        <v>72</v>
      </c>
      <c r="AR157" t="s">
        <v>72</v>
      </c>
      <c r="AS157">
        <v>2628</v>
      </c>
      <c r="AT157" s="4">
        <v>42647</v>
      </c>
      <c r="AU157" t="s">
        <v>73</v>
      </c>
      <c r="AV157">
        <v>2628</v>
      </c>
      <c r="AW157" s="4">
        <v>42647</v>
      </c>
      <c r="BD157">
        <v>0</v>
      </c>
      <c r="BN157" t="s">
        <v>74</v>
      </c>
    </row>
    <row r="158" spans="1:66">
      <c r="A158">
        <v>100059</v>
      </c>
      <c r="B158" s="3" t="s">
        <v>99</v>
      </c>
      <c r="C158" s="1">
        <v>43300101</v>
      </c>
      <c r="D158" t="s">
        <v>67</v>
      </c>
      <c r="H158" t="str">
        <f t="shared" si="11"/>
        <v>05849130157</v>
      </c>
      <c r="I158" t="str">
        <f t="shared" si="11"/>
        <v>05849130157</v>
      </c>
      <c r="K158" t="str">
        <f>""</f>
        <v/>
      </c>
      <c r="M158" t="s">
        <v>68</v>
      </c>
      <c r="N158" t="str">
        <f t="shared" si="10"/>
        <v>FOR</v>
      </c>
      <c r="O158" t="s">
        <v>69</v>
      </c>
      <c r="P158" s="3" t="s">
        <v>75</v>
      </c>
      <c r="Q158">
        <v>2015</v>
      </c>
      <c r="R158" s="2">
        <v>42340</v>
      </c>
      <c r="S158" s="2">
        <v>42347</v>
      </c>
      <c r="T158" s="2">
        <v>42347</v>
      </c>
      <c r="U158" s="2">
        <v>42407</v>
      </c>
      <c r="V158" t="s">
        <v>71</v>
      </c>
      <c r="W158" t="str">
        <f>"          8515241353"</f>
        <v xml:space="preserve">          8515241353</v>
      </c>
      <c r="X158" s="1">
        <v>3283.5</v>
      </c>
      <c r="Y158">
        <v>0</v>
      </c>
      <c r="Z158" s="5">
        <v>2985</v>
      </c>
      <c r="AA158">
        <v>240</v>
      </c>
      <c r="AB158" s="5">
        <v>716400</v>
      </c>
      <c r="AC158" s="1">
        <v>2985</v>
      </c>
      <c r="AD158">
        <v>240</v>
      </c>
      <c r="AE158" s="1">
        <v>716400</v>
      </c>
      <c r="AF158">
        <v>0</v>
      </c>
      <c r="AJ158">
        <v>0</v>
      </c>
      <c r="AK158">
        <v>0</v>
      </c>
      <c r="AL158">
        <v>0</v>
      </c>
      <c r="AM158">
        <v>0</v>
      </c>
      <c r="AN158">
        <v>0</v>
      </c>
      <c r="AO158">
        <v>0</v>
      </c>
      <c r="AP158" s="2">
        <v>42746</v>
      </c>
      <c r="AQ158" t="s">
        <v>72</v>
      </c>
      <c r="AR158" t="s">
        <v>72</v>
      </c>
      <c r="AS158">
        <v>2628</v>
      </c>
      <c r="AT158" s="4">
        <v>42647</v>
      </c>
      <c r="AU158" t="s">
        <v>73</v>
      </c>
      <c r="AV158">
        <v>2628</v>
      </c>
      <c r="AW158" s="4">
        <v>42647</v>
      </c>
      <c r="BD158">
        <v>0</v>
      </c>
      <c r="BN158" t="s">
        <v>74</v>
      </c>
    </row>
    <row r="159" spans="1:66" hidden="1">
      <c r="A159">
        <v>100059</v>
      </c>
      <c r="B159" s="3" t="s">
        <v>99</v>
      </c>
      <c r="C159" s="1">
        <v>43300101</v>
      </c>
      <c r="D159" t="s">
        <v>67</v>
      </c>
      <c r="H159" t="str">
        <f t="shared" si="11"/>
        <v>05849130157</v>
      </c>
      <c r="I159" t="str">
        <f t="shared" si="11"/>
        <v>05849130157</v>
      </c>
      <c r="K159" t="str">
        <f>""</f>
        <v/>
      </c>
      <c r="M159" t="s">
        <v>68</v>
      </c>
      <c r="N159" t="str">
        <f t="shared" si="10"/>
        <v>FOR</v>
      </c>
      <c r="O159" t="s">
        <v>69</v>
      </c>
      <c r="P159" s="3" t="s">
        <v>100</v>
      </c>
      <c r="Q159">
        <v>2015</v>
      </c>
      <c r="R159" s="2">
        <v>42114</v>
      </c>
      <c r="S159" s="2">
        <v>42121</v>
      </c>
      <c r="T159" s="2">
        <v>42115</v>
      </c>
      <c r="U159" s="2">
        <v>42175</v>
      </c>
      <c r="V159" t="s">
        <v>71</v>
      </c>
      <c r="W159" t="str">
        <f>"          8715003848"</f>
        <v xml:space="preserve">          8715003848</v>
      </c>
      <c r="X159" s="1">
        <v>-1118.7</v>
      </c>
      <c r="Y159">
        <v>0</v>
      </c>
      <c r="Z159"/>
      <c r="AB159"/>
      <c r="AC159" s="1">
        <v>-1017</v>
      </c>
      <c r="AD159">
        <v>233</v>
      </c>
      <c r="AE159" s="1">
        <v>-236961</v>
      </c>
      <c r="AF159">
        <v>0</v>
      </c>
      <c r="AJ159">
        <v>0</v>
      </c>
      <c r="AK159">
        <v>0</v>
      </c>
      <c r="AL159">
        <v>0</v>
      </c>
      <c r="AM159">
        <v>0</v>
      </c>
      <c r="AN159">
        <v>0</v>
      </c>
      <c r="AO159">
        <v>0</v>
      </c>
      <c r="AP159" s="2">
        <v>42746</v>
      </c>
      <c r="AQ159" t="s">
        <v>72</v>
      </c>
      <c r="AR159" t="s">
        <v>72</v>
      </c>
      <c r="AS159">
        <v>311</v>
      </c>
      <c r="AT159" s="4">
        <v>42408</v>
      </c>
      <c r="AU159" t="s">
        <v>73</v>
      </c>
      <c r="AV159">
        <v>311</v>
      </c>
      <c r="AW159" s="4">
        <v>42408</v>
      </c>
      <c r="BD159">
        <v>0</v>
      </c>
      <c r="BN159" t="s">
        <v>74</v>
      </c>
    </row>
    <row r="160" spans="1:66">
      <c r="A160">
        <v>100059</v>
      </c>
      <c r="B160" s="3" t="s">
        <v>99</v>
      </c>
      <c r="C160" s="1">
        <v>43300101</v>
      </c>
      <c r="D160" t="s">
        <v>67</v>
      </c>
      <c r="H160" t="str">
        <f t="shared" si="11"/>
        <v>05849130157</v>
      </c>
      <c r="I160" t="str">
        <f t="shared" si="11"/>
        <v>05849130157</v>
      </c>
      <c r="K160" t="str">
        <f>""</f>
        <v/>
      </c>
      <c r="M160" t="s">
        <v>68</v>
      </c>
      <c r="N160" t="str">
        <f t="shared" si="10"/>
        <v>FOR</v>
      </c>
      <c r="O160" t="s">
        <v>69</v>
      </c>
      <c r="P160" s="3" t="s">
        <v>75</v>
      </c>
      <c r="Q160">
        <v>2016</v>
      </c>
      <c r="R160" s="2">
        <v>42383</v>
      </c>
      <c r="S160" s="2">
        <v>42391</v>
      </c>
      <c r="T160" s="2">
        <v>42384</v>
      </c>
      <c r="U160" s="2">
        <v>42444</v>
      </c>
      <c r="V160" t="s">
        <v>71</v>
      </c>
      <c r="W160" t="str">
        <f>"          8515257128"</f>
        <v xml:space="preserve">          8515257128</v>
      </c>
      <c r="X160" s="1">
        <v>3283.5</v>
      </c>
      <c r="Y160">
        <v>0</v>
      </c>
      <c r="Z160" s="5">
        <v>2985</v>
      </c>
      <c r="AA160">
        <v>279</v>
      </c>
      <c r="AB160" s="5">
        <v>832815</v>
      </c>
      <c r="AC160" s="1">
        <v>2985</v>
      </c>
      <c r="AD160">
        <v>279</v>
      </c>
      <c r="AE160" s="1">
        <v>832815</v>
      </c>
      <c r="AF160">
        <v>298.5</v>
      </c>
      <c r="AJ160">
        <v>0</v>
      </c>
      <c r="AK160">
        <v>0</v>
      </c>
      <c r="AL160">
        <v>0</v>
      </c>
      <c r="AM160" s="1">
        <v>3283.5</v>
      </c>
      <c r="AN160" s="1">
        <v>3283.5</v>
      </c>
      <c r="AO160" s="1">
        <v>3283.5</v>
      </c>
      <c r="AP160" s="2">
        <v>42746</v>
      </c>
      <c r="AQ160" t="s">
        <v>72</v>
      </c>
      <c r="AR160" t="s">
        <v>72</v>
      </c>
      <c r="AS160">
        <v>3620</v>
      </c>
      <c r="AT160" s="4">
        <v>42723</v>
      </c>
      <c r="AU160" t="s">
        <v>73</v>
      </c>
      <c r="AV160">
        <v>3620</v>
      </c>
      <c r="AW160" s="4">
        <v>42723</v>
      </c>
      <c r="BD160">
        <v>298.5</v>
      </c>
      <c r="BN160" t="s">
        <v>74</v>
      </c>
    </row>
    <row r="161" spans="1:66">
      <c r="A161">
        <v>100059</v>
      </c>
      <c r="B161" s="3" t="s">
        <v>99</v>
      </c>
      <c r="C161" s="1">
        <v>43300101</v>
      </c>
      <c r="D161" t="s">
        <v>67</v>
      </c>
      <c r="H161" t="str">
        <f t="shared" si="11"/>
        <v>05849130157</v>
      </c>
      <c r="I161" t="str">
        <f t="shared" si="11"/>
        <v>05849130157</v>
      </c>
      <c r="K161" t="str">
        <f>""</f>
        <v/>
      </c>
      <c r="M161" t="s">
        <v>68</v>
      </c>
      <c r="N161" t="str">
        <f t="shared" si="10"/>
        <v>FOR</v>
      </c>
      <c r="O161" t="s">
        <v>69</v>
      </c>
      <c r="P161" s="3" t="s">
        <v>75</v>
      </c>
      <c r="Q161">
        <v>2016</v>
      </c>
      <c r="R161" s="2">
        <v>42388</v>
      </c>
      <c r="S161" s="2">
        <v>42389</v>
      </c>
      <c r="T161" s="2">
        <v>42389</v>
      </c>
      <c r="U161" s="2">
        <v>42449</v>
      </c>
      <c r="V161" t="s">
        <v>71</v>
      </c>
      <c r="W161" t="str">
        <f>"          8515261130"</f>
        <v xml:space="preserve">          8515261130</v>
      </c>
      <c r="X161" s="1">
        <v>4148</v>
      </c>
      <c r="Y161">
        <v>0</v>
      </c>
      <c r="Z161" s="5">
        <v>3400</v>
      </c>
      <c r="AA161">
        <v>274</v>
      </c>
      <c r="AB161" s="5">
        <v>931600</v>
      </c>
      <c r="AC161" s="1">
        <v>3400</v>
      </c>
      <c r="AD161">
        <v>274</v>
      </c>
      <c r="AE161" s="1">
        <v>931600</v>
      </c>
      <c r="AF161">
        <v>748</v>
      </c>
      <c r="AJ161">
        <v>0</v>
      </c>
      <c r="AK161">
        <v>0</v>
      </c>
      <c r="AL161">
        <v>0</v>
      </c>
      <c r="AM161" s="1">
        <v>4148</v>
      </c>
      <c r="AN161" s="1">
        <v>4148</v>
      </c>
      <c r="AO161" s="1">
        <v>4148</v>
      </c>
      <c r="AP161" s="2">
        <v>42746</v>
      </c>
      <c r="AQ161" t="s">
        <v>72</v>
      </c>
      <c r="AR161" t="s">
        <v>72</v>
      </c>
      <c r="AS161">
        <v>3620</v>
      </c>
      <c r="AT161" s="4">
        <v>42723</v>
      </c>
      <c r="AU161" t="s">
        <v>73</v>
      </c>
      <c r="AV161">
        <v>3620</v>
      </c>
      <c r="AW161" s="4">
        <v>42723</v>
      </c>
      <c r="BD161">
        <v>748</v>
      </c>
      <c r="BN161" t="s">
        <v>74</v>
      </c>
    </row>
    <row r="162" spans="1:66">
      <c r="A162">
        <v>100059</v>
      </c>
      <c r="B162" s="3" t="s">
        <v>99</v>
      </c>
      <c r="C162" s="1">
        <v>43300101</v>
      </c>
      <c r="D162" t="s">
        <v>67</v>
      </c>
      <c r="H162" t="str">
        <f t="shared" si="11"/>
        <v>05849130157</v>
      </c>
      <c r="I162" t="str">
        <f t="shared" si="11"/>
        <v>05849130157</v>
      </c>
      <c r="K162" t="str">
        <f>""</f>
        <v/>
      </c>
      <c r="M162" t="s">
        <v>68</v>
      </c>
      <c r="N162" t="str">
        <f t="shared" si="10"/>
        <v>FOR</v>
      </c>
      <c r="O162" t="s">
        <v>69</v>
      </c>
      <c r="P162" s="3" t="s">
        <v>75</v>
      </c>
      <c r="Q162">
        <v>2016</v>
      </c>
      <c r="R162" s="2">
        <v>42396</v>
      </c>
      <c r="S162" s="2">
        <v>42401</v>
      </c>
      <c r="T162" s="2">
        <v>42397</v>
      </c>
      <c r="U162" s="2">
        <v>42457</v>
      </c>
      <c r="V162" t="s">
        <v>71</v>
      </c>
      <c r="W162" t="str">
        <f>"          8515268516"</f>
        <v xml:space="preserve">          8515268516</v>
      </c>
      <c r="X162">
        <v>646.48</v>
      </c>
      <c r="Y162">
        <v>0</v>
      </c>
      <c r="Z162" s="3">
        <v>587.71</v>
      </c>
      <c r="AA162">
        <v>266</v>
      </c>
      <c r="AB162" s="5">
        <v>156330.85999999999</v>
      </c>
      <c r="AC162">
        <v>587.71</v>
      </c>
      <c r="AD162">
        <v>266</v>
      </c>
      <c r="AE162" s="1">
        <v>156330.85999999999</v>
      </c>
      <c r="AF162">
        <v>58.77</v>
      </c>
      <c r="AJ162">
        <v>0</v>
      </c>
      <c r="AK162">
        <v>0</v>
      </c>
      <c r="AL162">
        <v>0</v>
      </c>
      <c r="AM162">
        <v>646.48</v>
      </c>
      <c r="AN162">
        <v>646.48</v>
      </c>
      <c r="AO162">
        <v>646.48</v>
      </c>
      <c r="AP162" s="2">
        <v>42746</v>
      </c>
      <c r="AQ162" t="s">
        <v>72</v>
      </c>
      <c r="AR162" t="s">
        <v>72</v>
      </c>
      <c r="AS162">
        <v>3620</v>
      </c>
      <c r="AT162" s="4">
        <v>42723</v>
      </c>
      <c r="AU162" t="s">
        <v>73</v>
      </c>
      <c r="AV162">
        <v>3620</v>
      </c>
      <c r="AW162" s="4">
        <v>42723</v>
      </c>
      <c r="BD162">
        <v>58.77</v>
      </c>
      <c r="BN162" t="s">
        <v>74</v>
      </c>
    </row>
    <row r="163" spans="1:66">
      <c r="A163">
        <v>100059</v>
      </c>
      <c r="B163" s="3" t="s">
        <v>99</v>
      </c>
      <c r="C163" s="1">
        <v>43300101</v>
      </c>
      <c r="D163" t="s">
        <v>67</v>
      </c>
      <c r="H163" t="str">
        <f t="shared" si="11"/>
        <v>05849130157</v>
      </c>
      <c r="I163" t="str">
        <f t="shared" si="11"/>
        <v>05849130157</v>
      </c>
      <c r="K163" t="str">
        <f>""</f>
        <v/>
      </c>
      <c r="M163" t="s">
        <v>68</v>
      </c>
      <c r="N163" t="str">
        <f t="shared" si="10"/>
        <v>FOR</v>
      </c>
      <c r="O163" t="s">
        <v>69</v>
      </c>
      <c r="P163" s="3" t="s">
        <v>75</v>
      </c>
      <c r="Q163">
        <v>2016</v>
      </c>
      <c r="R163" s="2">
        <v>42415</v>
      </c>
      <c r="S163" s="2">
        <v>42417</v>
      </c>
      <c r="T163" s="2">
        <v>42415</v>
      </c>
      <c r="U163" s="2">
        <v>42475</v>
      </c>
      <c r="V163" t="s">
        <v>71</v>
      </c>
      <c r="W163" t="str">
        <f>"          8515282353"</f>
        <v xml:space="preserve">          8515282353</v>
      </c>
      <c r="X163" s="1">
        <v>3283.5</v>
      </c>
      <c r="Y163">
        <v>0</v>
      </c>
      <c r="Z163" s="5">
        <v>2985</v>
      </c>
      <c r="AA163">
        <v>248</v>
      </c>
      <c r="AB163" s="5">
        <v>740280</v>
      </c>
      <c r="AC163" s="1">
        <v>2985</v>
      </c>
      <c r="AD163">
        <v>248</v>
      </c>
      <c r="AE163" s="1">
        <v>740280</v>
      </c>
      <c r="AF163">
        <v>298.5</v>
      </c>
      <c r="AJ163">
        <v>0</v>
      </c>
      <c r="AK163">
        <v>0</v>
      </c>
      <c r="AL163">
        <v>0</v>
      </c>
      <c r="AM163" s="1">
        <v>3283.5</v>
      </c>
      <c r="AN163" s="1">
        <v>3283.5</v>
      </c>
      <c r="AO163" s="1">
        <v>3283.5</v>
      </c>
      <c r="AP163" s="2">
        <v>42746</v>
      </c>
      <c r="AQ163" t="s">
        <v>72</v>
      </c>
      <c r="AR163" t="s">
        <v>72</v>
      </c>
      <c r="AS163">
        <v>3620</v>
      </c>
      <c r="AT163" s="4">
        <v>42723</v>
      </c>
      <c r="AU163" t="s">
        <v>73</v>
      </c>
      <c r="AV163">
        <v>3620</v>
      </c>
      <c r="AW163" s="4">
        <v>42723</v>
      </c>
      <c r="BD163">
        <v>298.5</v>
      </c>
      <c r="BN163" t="s">
        <v>74</v>
      </c>
    </row>
    <row r="164" spans="1:66">
      <c r="A164">
        <v>100064</v>
      </c>
      <c r="B164" s="3" t="s">
        <v>101</v>
      </c>
      <c r="C164" s="1">
        <v>43300101</v>
      </c>
      <c r="D164" t="s">
        <v>67</v>
      </c>
      <c r="H164" t="str">
        <f>"00421210485"</f>
        <v>00421210485</v>
      </c>
      <c r="I164" t="str">
        <f>"00421210485"</f>
        <v>00421210485</v>
      </c>
      <c r="K164" t="str">
        <f>""</f>
        <v/>
      </c>
      <c r="M164" t="s">
        <v>68</v>
      </c>
      <c r="N164" t="str">
        <f t="shared" si="10"/>
        <v>FOR</v>
      </c>
      <c r="O164" t="s">
        <v>69</v>
      </c>
      <c r="P164" s="3" t="s">
        <v>75</v>
      </c>
      <c r="Q164">
        <v>2016</v>
      </c>
      <c r="R164" s="2">
        <v>42422</v>
      </c>
      <c r="S164" s="2">
        <v>42425</v>
      </c>
      <c r="T164" s="2">
        <v>42423</v>
      </c>
      <c r="U164" s="2">
        <v>42483</v>
      </c>
      <c r="V164" t="s">
        <v>71</v>
      </c>
      <c r="W164" t="str">
        <f>"          5025011518"</f>
        <v xml:space="preserve">          5025011518</v>
      </c>
      <c r="X164">
        <v>659.34</v>
      </c>
      <c r="Y164">
        <v>0</v>
      </c>
      <c r="Z164" s="3">
        <v>599.4</v>
      </c>
      <c r="AA164">
        <v>240</v>
      </c>
      <c r="AB164" s="5">
        <v>143856</v>
      </c>
      <c r="AC164">
        <v>599.4</v>
      </c>
      <c r="AD164">
        <v>240</v>
      </c>
      <c r="AE164" s="1">
        <v>143856</v>
      </c>
      <c r="AF164">
        <v>59.94</v>
      </c>
      <c r="AJ164">
        <v>0</v>
      </c>
      <c r="AK164">
        <v>0</v>
      </c>
      <c r="AL164">
        <v>0</v>
      </c>
      <c r="AM164">
        <v>659.34</v>
      </c>
      <c r="AN164">
        <v>659.34</v>
      </c>
      <c r="AO164">
        <v>659.34</v>
      </c>
      <c r="AP164" s="2">
        <v>42746</v>
      </c>
      <c r="AQ164" t="s">
        <v>72</v>
      </c>
      <c r="AR164" t="s">
        <v>72</v>
      </c>
      <c r="AS164">
        <v>3600</v>
      </c>
      <c r="AT164" s="4">
        <v>42723</v>
      </c>
      <c r="AU164" t="s">
        <v>73</v>
      </c>
      <c r="AV164">
        <v>3600</v>
      </c>
      <c r="AW164" s="4">
        <v>42723</v>
      </c>
      <c r="BD164">
        <v>59.94</v>
      </c>
      <c r="BN164" t="s">
        <v>74</v>
      </c>
    </row>
    <row r="165" spans="1:66" hidden="1">
      <c r="A165">
        <v>100065</v>
      </c>
      <c r="B165" s="3" t="s">
        <v>102</v>
      </c>
      <c r="C165" s="1">
        <v>43300101</v>
      </c>
      <c r="D165" t="s">
        <v>67</v>
      </c>
      <c r="H165" t="str">
        <f>"00082130592"</f>
        <v>00082130592</v>
      </c>
      <c r="I165" t="str">
        <f>"01726510595"</f>
        <v>01726510595</v>
      </c>
      <c r="K165" t="str">
        <f>""</f>
        <v/>
      </c>
      <c r="M165" t="s">
        <v>68</v>
      </c>
      <c r="N165" t="str">
        <f t="shared" si="10"/>
        <v>FOR</v>
      </c>
      <c r="O165" t="s">
        <v>69</v>
      </c>
      <c r="P165" s="3" t="s">
        <v>78</v>
      </c>
      <c r="Q165">
        <v>2014</v>
      </c>
      <c r="R165" s="2">
        <v>41884</v>
      </c>
      <c r="S165" s="2">
        <v>41890</v>
      </c>
      <c r="T165" s="2">
        <v>41890</v>
      </c>
      <c r="U165" s="2">
        <v>41980</v>
      </c>
      <c r="V165" t="s">
        <v>71</v>
      </c>
      <c r="W165" t="str">
        <f>"            84036834"</f>
        <v xml:space="preserve">            84036834</v>
      </c>
      <c r="X165">
        <v>659.34</v>
      </c>
      <c r="Y165">
        <v>0</v>
      </c>
      <c r="Z165"/>
      <c r="AB165"/>
      <c r="AC165">
        <v>659.34</v>
      </c>
      <c r="AD165">
        <v>550</v>
      </c>
      <c r="AE165" s="1">
        <v>362637</v>
      </c>
      <c r="AF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 s="2">
        <v>42746</v>
      </c>
      <c r="AQ165" t="s">
        <v>72</v>
      </c>
      <c r="AR165" t="s">
        <v>72</v>
      </c>
      <c r="AS165">
        <v>1597</v>
      </c>
      <c r="AT165" s="4">
        <v>42530</v>
      </c>
      <c r="AU165" t="s">
        <v>73</v>
      </c>
      <c r="AV165">
        <v>1597</v>
      </c>
      <c r="AW165" s="4">
        <v>42530</v>
      </c>
      <c r="BD165">
        <v>0</v>
      </c>
      <c r="BN165" t="s">
        <v>74</v>
      </c>
    </row>
    <row r="166" spans="1:66" hidden="1">
      <c r="A166">
        <v>100065</v>
      </c>
      <c r="B166" s="3" t="s">
        <v>102</v>
      </c>
      <c r="C166" s="1">
        <v>43300101</v>
      </c>
      <c r="D166" t="s">
        <v>67</v>
      </c>
      <c r="H166" t="str">
        <f>"00082130592"</f>
        <v>00082130592</v>
      </c>
      <c r="I166" t="str">
        <f>"01726510595"</f>
        <v>01726510595</v>
      </c>
      <c r="K166" t="str">
        <f>""</f>
        <v/>
      </c>
      <c r="M166" t="s">
        <v>68</v>
      </c>
      <c r="N166" t="str">
        <f t="shared" si="10"/>
        <v>FOR</v>
      </c>
      <c r="O166" t="s">
        <v>69</v>
      </c>
      <c r="P166" s="3" t="s">
        <v>70</v>
      </c>
      <c r="Q166">
        <v>2014</v>
      </c>
      <c r="R166" s="2">
        <v>41942</v>
      </c>
      <c r="S166" s="2">
        <v>41955</v>
      </c>
      <c r="T166" s="2">
        <v>41955</v>
      </c>
      <c r="U166" s="2">
        <v>42015</v>
      </c>
      <c r="V166" t="s">
        <v>71</v>
      </c>
      <c r="W166" t="str">
        <f>"            84045250"</f>
        <v xml:space="preserve">            84045250</v>
      </c>
      <c r="X166">
        <v>659.34</v>
      </c>
      <c r="Y166">
        <v>0</v>
      </c>
      <c r="Z166"/>
      <c r="AB166"/>
      <c r="AC166">
        <v>659.34</v>
      </c>
      <c r="AD166">
        <v>515</v>
      </c>
      <c r="AE166" s="1">
        <v>339560.1</v>
      </c>
      <c r="AF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 s="2">
        <v>42746</v>
      </c>
      <c r="AQ166" t="s">
        <v>72</v>
      </c>
      <c r="AR166" t="s">
        <v>72</v>
      </c>
      <c r="AS166">
        <v>1597</v>
      </c>
      <c r="AT166" s="4">
        <v>42530</v>
      </c>
      <c r="AU166" t="s">
        <v>73</v>
      </c>
      <c r="AV166">
        <v>1597</v>
      </c>
      <c r="AW166" s="4">
        <v>42530</v>
      </c>
      <c r="BD166">
        <v>0</v>
      </c>
      <c r="BN166" t="s">
        <v>74</v>
      </c>
    </row>
    <row r="167" spans="1:66" hidden="1">
      <c r="A167">
        <v>100065</v>
      </c>
      <c r="B167" s="3" t="s">
        <v>102</v>
      </c>
      <c r="C167" s="1">
        <v>43300101</v>
      </c>
      <c r="D167" t="s">
        <v>67</v>
      </c>
      <c r="H167" t="str">
        <f>"00082130592"</f>
        <v>00082130592</v>
      </c>
      <c r="I167" t="str">
        <f>"01726510595"</f>
        <v>01726510595</v>
      </c>
      <c r="K167" t="str">
        <f>""</f>
        <v/>
      </c>
      <c r="M167" t="s">
        <v>68</v>
      </c>
      <c r="N167" t="str">
        <f t="shared" si="10"/>
        <v>FOR</v>
      </c>
      <c r="O167" t="s">
        <v>69</v>
      </c>
      <c r="P167" s="3" t="s">
        <v>75</v>
      </c>
      <c r="Q167">
        <v>2015</v>
      </c>
      <c r="R167" s="2">
        <v>42234</v>
      </c>
      <c r="S167" s="2">
        <v>42367</v>
      </c>
      <c r="T167" s="2">
        <v>42366</v>
      </c>
      <c r="U167" s="2">
        <v>42426</v>
      </c>
      <c r="V167" t="s">
        <v>71</v>
      </c>
      <c r="W167" t="str">
        <f>"          2685036837"</f>
        <v xml:space="preserve">          2685036837</v>
      </c>
      <c r="X167">
        <v>659.34</v>
      </c>
      <c r="Y167">
        <v>0</v>
      </c>
      <c r="Z167"/>
      <c r="AB167"/>
      <c r="AC167">
        <v>599.4</v>
      </c>
      <c r="AD167">
        <v>195</v>
      </c>
      <c r="AE167" s="1">
        <v>116883</v>
      </c>
      <c r="AF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 s="2">
        <v>42746</v>
      </c>
      <c r="AQ167" t="s">
        <v>72</v>
      </c>
      <c r="AR167" t="s">
        <v>72</v>
      </c>
      <c r="AS167">
        <v>2360</v>
      </c>
      <c r="AT167" s="4">
        <v>42621</v>
      </c>
      <c r="AU167" t="s">
        <v>73</v>
      </c>
      <c r="AV167">
        <v>2360</v>
      </c>
      <c r="AW167" s="4">
        <v>42621</v>
      </c>
      <c r="BD167">
        <v>0</v>
      </c>
      <c r="BN167" t="s">
        <v>74</v>
      </c>
    </row>
    <row r="168" spans="1:66" hidden="1">
      <c r="A168">
        <v>100065</v>
      </c>
      <c r="B168" s="3" t="s">
        <v>102</v>
      </c>
      <c r="C168" s="1">
        <v>43300101</v>
      </c>
      <c r="D168" t="s">
        <v>67</v>
      </c>
      <c r="H168" t="str">
        <f>"00082130592"</f>
        <v>00082130592</v>
      </c>
      <c r="I168" t="str">
        <f>"01726510595"</f>
        <v>01726510595</v>
      </c>
      <c r="K168" t="str">
        <f>""</f>
        <v/>
      </c>
      <c r="M168" t="s">
        <v>68</v>
      </c>
      <c r="N168" t="str">
        <f t="shared" si="10"/>
        <v>FOR</v>
      </c>
      <c r="O168" t="s">
        <v>69</v>
      </c>
      <c r="P168" s="3" t="s">
        <v>75</v>
      </c>
      <c r="Q168">
        <v>2016</v>
      </c>
      <c r="R168" s="2">
        <v>42409</v>
      </c>
      <c r="S168" s="2">
        <v>42410</v>
      </c>
      <c r="T168" s="2">
        <v>42410</v>
      </c>
      <c r="U168" s="2">
        <v>42470</v>
      </c>
      <c r="V168" t="s">
        <v>71</v>
      </c>
      <c r="W168" t="str">
        <f>"          2686006899"</f>
        <v xml:space="preserve">          2686006899</v>
      </c>
      <c r="X168">
        <v>659.34</v>
      </c>
      <c r="Y168">
        <v>0</v>
      </c>
      <c r="Z168"/>
      <c r="AB168"/>
      <c r="AC168">
        <v>599.4</v>
      </c>
      <c r="AD168">
        <v>151</v>
      </c>
      <c r="AE168" s="1">
        <v>90509.4</v>
      </c>
      <c r="AF168">
        <v>0</v>
      </c>
      <c r="AJ168">
        <v>0</v>
      </c>
      <c r="AK168">
        <v>0</v>
      </c>
      <c r="AL168">
        <v>0</v>
      </c>
      <c r="AM168">
        <v>659.34</v>
      </c>
      <c r="AN168">
        <v>659.34</v>
      </c>
      <c r="AO168">
        <v>659.34</v>
      </c>
      <c r="AP168" s="2">
        <v>42746</v>
      </c>
      <c r="AQ168" t="s">
        <v>72</v>
      </c>
      <c r="AR168" t="s">
        <v>72</v>
      </c>
      <c r="AS168">
        <v>2360</v>
      </c>
      <c r="AT168" s="4">
        <v>42621</v>
      </c>
      <c r="AU168" t="s">
        <v>73</v>
      </c>
      <c r="AV168">
        <v>2360</v>
      </c>
      <c r="AW168" s="4">
        <v>42621</v>
      </c>
      <c r="BD168">
        <v>0</v>
      </c>
      <c r="BN168" t="s">
        <v>74</v>
      </c>
    </row>
    <row r="169" spans="1:66">
      <c r="A169">
        <v>100066</v>
      </c>
      <c r="B169" s="3" t="s">
        <v>103</v>
      </c>
      <c r="C169" s="1">
        <v>43300101</v>
      </c>
      <c r="D169" t="s">
        <v>67</v>
      </c>
      <c r="H169" t="str">
        <f t="shared" ref="H169:H200" si="12">"04785851009"</f>
        <v>04785851009</v>
      </c>
      <c r="I169" t="str">
        <f t="shared" ref="I169:I200" si="13">"12268050155"</f>
        <v>12268050155</v>
      </c>
      <c r="K169" t="str">
        <f>""</f>
        <v/>
      </c>
      <c r="M169" t="s">
        <v>68</v>
      </c>
      <c r="N169" t="str">
        <f t="shared" si="10"/>
        <v>FOR</v>
      </c>
      <c r="O169" t="s">
        <v>69</v>
      </c>
      <c r="P169" s="3" t="s">
        <v>78</v>
      </c>
      <c r="Q169">
        <v>2012</v>
      </c>
      <c r="R169" s="2">
        <v>41088</v>
      </c>
      <c r="S169" s="2">
        <v>41102</v>
      </c>
      <c r="T169" s="2">
        <v>41102</v>
      </c>
      <c r="U169" s="2">
        <v>41192</v>
      </c>
      <c r="V169" t="s">
        <v>71</v>
      </c>
      <c r="W169" t="str">
        <f>"            10679469"</f>
        <v xml:space="preserve">            10679469</v>
      </c>
      <c r="X169">
        <v>351</v>
      </c>
      <c r="Y169">
        <v>0</v>
      </c>
      <c r="Z169" s="3">
        <v>351</v>
      </c>
      <c r="AA169">
        <v>1486</v>
      </c>
      <c r="AB169" s="5">
        <v>521586</v>
      </c>
      <c r="AC169">
        <v>351</v>
      </c>
      <c r="AD169">
        <v>1486</v>
      </c>
      <c r="AE169" s="1">
        <v>521586</v>
      </c>
      <c r="AF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 s="2">
        <v>42746</v>
      </c>
      <c r="AQ169" t="s">
        <v>72</v>
      </c>
      <c r="AR169" t="s">
        <v>72</v>
      </c>
      <c r="AS169">
        <v>2922</v>
      </c>
      <c r="AT169" s="4">
        <v>42678</v>
      </c>
      <c r="AU169" t="s">
        <v>73</v>
      </c>
      <c r="AV169">
        <v>2922</v>
      </c>
      <c r="AW169" s="4">
        <v>42678</v>
      </c>
      <c r="BD169">
        <v>0</v>
      </c>
      <c r="BN169" t="s">
        <v>74</v>
      </c>
    </row>
    <row r="170" spans="1:66">
      <c r="A170">
        <v>100066</v>
      </c>
      <c r="B170" s="3" t="s">
        <v>103</v>
      </c>
      <c r="C170" s="1">
        <v>43300101</v>
      </c>
      <c r="D170" t="s">
        <v>67</v>
      </c>
      <c r="H170" t="str">
        <f t="shared" si="12"/>
        <v>04785851009</v>
      </c>
      <c r="I170" t="str">
        <f t="shared" si="13"/>
        <v>12268050155</v>
      </c>
      <c r="K170" t="str">
        <f>""</f>
        <v/>
      </c>
      <c r="M170" t="s">
        <v>68</v>
      </c>
      <c r="N170" t="str">
        <f t="shared" si="10"/>
        <v>FOR</v>
      </c>
      <c r="O170" t="s">
        <v>69</v>
      </c>
      <c r="P170" s="3" t="s">
        <v>78</v>
      </c>
      <c r="Q170">
        <v>2012</v>
      </c>
      <c r="R170" s="2">
        <v>41248</v>
      </c>
      <c r="S170" s="2">
        <v>41274</v>
      </c>
      <c r="T170" s="2">
        <v>41274</v>
      </c>
      <c r="U170" s="2">
        <v>41364</v>
      </c>
      <c r="V170" t="s">
        <v>71</v>
      </c>
      <c r="W170" t="str">
        <f>"            10708474"</f>
        <v xml:space="preserve">            10708474</v>
      </c>
      <c r="X170" s="1">
        <v>1410.81</v>
      </c>
      <c r="Y170">
        <v>0</v>
      </c>
      <c r="Z170" s="5">
        <v>1410.81</v>
      </c>
      <c r="AA170">
        <v>1314</v>
      </c>
      <c r="AB170" s="5">
        <v>1853804.34</v>
      </c>
      <c r="AC170" s="1">
        <v>1410.81</v>
      </c>
      <c r="AD170">
        <v>1314</v>
      </c>
      <c r="AE170" s="1">
        <v>1853804.34</v>
      </c>
      <c r="AF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 s="2">
        <v>42746</v>
      </c>
      <c r="AQ170" t="s">
        <v>72</v>
      </c>
      <c r="AR170" t="s">
        <v>72</v>
      </c>
      <c r="AS170">
        <v>2923</v>
      </c>
      <c r="AT170" s="4">
        <v>42678</v>
      </c>
      <c r="AU170" t="s">
        <v>73</v>
      </c>
      <c r="AV170">
        <v>2923</v>
      </c>
      <c r="AW170" s="4">
        <v>42678</v>
      </c>
      <c r="BD170">
        <v>0</v>
      </c>
      <c r="BN170" t="s">
        <v>74</v>
      </c>
    </row>
    <row r="171" spans="1:66" hidden="1">
      <c r="A171">
        <v>100066</v>
      </c>
      <c r="B171" s="3" t="s">
        <v>103</v>
      </c>
      <c r="C171" s="1">
        <v>43300101</v>
      </c>
      <c r="D171" t="s">
        <v>67</v>
      </c>
      <c r="H171" t="str">
        <f t="shared" si="12"/>
        <v>04785851009</v>
      </c>
      <c r="I171" t="str">
        <f t="shared" si="13"/>
        <v>12268050155</v>
      </c>
      <c r="K171" t="str">
        <f>""</f>
        <v/>
      </c>
      <c r="M171" t="s">
        <v>68</v>
      </c>
      <c r="N171" t="str">
        <f t="shared" si="10"/>
        <v>FOR</v>
      </c>
      <c r="O171" t="s">
        <v>69</v>
      </c>
      <c r="P171" s="3" t="s">
        <v>70</v>
      </c>
      <c r="Q171">
        <v>2015</v>
      </c>
      <c r="R171" s="2">
        <v>42039</v>
      </c>
      <c r="S171" s="2">
        <v>42054</v>
      </c>
      <c r="T171" s="2">
        <v>42054</v>
      </c>
      <c r="U171" s="2">
        <v>42114</v>
      </c>
      <c r="V171" t="s">
        <v>71</v>
      </c>
      <c r="W171" t="str">
        <f>"          1010862872"</f>
        <v xml:space="preserve">          1010862872</v>
      </c>
      <c r="X171" s="1">
        <v>3538</v>
      </c>
      <c r="Y171">
        <v>0</v>
      </c>
      <c r="Z171"/>
      <c r="AB171"/>
      <c r="AC171" s="1">
        <v>2900</v>
      </c>
      <c r="AD171">
        <v>290</v>
      </c>
      <c r="AE171" s="1">
        <v>841000</v>
      </c>
      <c r="AF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 s="2">
        <v>42746</v>
      </c>
      <c r="AQ171" t="s">
        <v>72</v>
      </c>
      <c r="AR171" t="s">
        <v>72</v>
      </c>
      <c r="AS171">
        <v>250</v>
      </c>
      <c r="AT171" s="4">
        <v>42404</v>
      </c>
      <c r="AU171" t="s">
        <v>73</v>
      </c>
      <c r="AV171">
        <v>250</v>
      </c>
      <c r="AW171" s="4">
        <v>42404</v>
      </c>
      <c r="BD171">
        <v>0</v>
      </c>
      <c r="BN171" t="s">
        <v>74</v>
      </c>
    </row>
    <row r="172" spans="1:66" hidden="1">
      <c r="A172">
        <v>100066</v>
      </c>
      <c r="B172" s="3" t="s">
        <v>103</v>
      </c>
      <c r="C172" s="1">
        <v>43300101</v>
      </c>
      <c r="D172" t="s">
        <v>67</v>
      </c>
      <c r="H172" t="str">
        <f t="shared" si="12"/>
        <v>04785851009</v>
      </c>
      <c r="I172" t="str">
        <f t="shared" si="13"/>
        <v>12268050155</v>
      </c>
      <c r="K172" t="str">
        <f>""</f>
        <v/>
      </c>
      <c r="M172" t="s">
        <v>68</v>
      </c>
      <c r="N172" t="str">
        <f t="shared" si="10"/>
        <v>FOR</v>
      </c>
      <c r="O172" t="s">
        <v>69</v>
      </c>
      <c r="P172" s="3" t="s">
        <v>70</v>
      </c>
      <c r="Q172">
        <v>2015</v>
      </c>
      <c r="R172" s="2">
        <v>42044</v>
      </c>
      <c r="S172" s="2">
        <v>42059</v>
      </c>
      <c r="T172" s="2">
        <v>42059</v>
      </c>
      <c r="U172" s="2">
        <v>42119</v>
      </c>
      <c r="V172" t="s">
        <v>71</v>
      </c>
      <c r="W172" t="str">
        <f>"          1010863799"</f>
        <v xml:space="preserve">          1010863799</v>
      </c>
      <c r="X172">
        <v>101.26</v>
      </c>
      <c r="Y172">
        <v>0</v>
      </c>
      <c r="Z172"/>
      <c r="AB172"/>
      <c r="AC172">
        <v>83</v>
      </c>
      <c r="AD172">
        <v>285</v>
      </c>
      <c r="AE172" s="1">
        <v>23655</v>
      </c>
      <c r="AF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 s="2">
        <v>42746</v>
      </c>
      <c r="AQ172" t="s">
        <v>72</v>
      </c>
      <c r="AR172" t="s">
        <v>72</v>
      </c>
      <c r="AS172">
        <v>250</v>
      </c>
      <c r="AT172" s="4">
        <v>42404</v>
      </c>
      <c r="AU172" t="s">
        <v>73</v>
      </c>
      <c r="AV172">
        <v>250</v>
      </c>
      <c r="AW172" s="4">
        <v>42404</v>
      </c>
      <c r="BD172">
        <v>0</v>
      </c>
      <c r="BN172" t="s">
        <v>74</v>
      </c>
    </row>
    <row r="173" spans="1:66" hidden="1">
      <c r="A173">
        <v>100066</v>
      </c>
      <c r="B173" s="3" t="s">
        <v>103</v>
      </c>
      <c r="C173" s="1">
        <v>43300101</v>
      </c>
      <c r="D173" t="s">
        <v>67</v>
      </c>
      <c r="H173" t="str">
        <f t="shared" si="12"/>
        <v>04785851009</v>
      </c>
      <c r="I173" t="str">
        <f t="shared" si="13"/>
        <v>12268050155</v>
      </c>
      <c r="K173" t="str">
        <f>""</f>
        <v/>
      </c>
      <c r="M173" t="s">
        <v>68</v>
      </c>
      <c r="N173" t="str">
        <f t="shared" si="10"/>
        <v>FOR</v>
      </c>
      <c r="O173" t="s">
        <v>69</v>
      </c>
      <c r="P173" s="3" t="s">
        <v>70</v>
      </c>
      <c r="Q173">
        <v>2015</v>
      </c>
      <c r="R173" s="2">
        <v>42066</v>
      </c>
      <c r="S173" s="2">
        <v>42086</v>
      </c>
      <c r="T173" s="2">
        <v>42086</v>
      </c>
      <c r="U173" s="2">
        <v>42146</v>
      </c>
      <c r="V173" t="s">
        <v>71</v>
      </c>
      <c r="W173" t="str">
        <f>"          1010867187"</f>
        <v xml:space="preserve">          1010867187</v>
      </c>
      <c r="X173">
        <v>239.12</v>
      </c>
      <c r="Y173">
        <v>0</v>
      </c>
      <c r="Z173"/>
      <c r="AB173"/>
      <c r="AC173">
        <v>196</v>
      </c>
      <c r="AD173">
        <v>270</v>
      </c>
      <c r="AE173" s="1">
        <v>52920</v>
      </c>
      <c r="AF173">
        <v>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0</v>
      </c>
      <c r="AP173" s="2">
        <v>42746</v>
      </c>
      <c r="AQ173" t="s">
        <v>72</v>
      </c>
      <c r="AR173" t="s">
        <v>72</v>
      </c>
      <c r="AS173">
        <v>414</v>
      </c>
      <c r="AT173" s="4">
        <v>42416</v>
      </c>
      <c r="AU173" t="s">
        <v>73</v>
      </c>
      <c r="AV173">
        <v>414</v>
      </c>
      <c r="AW173" s="4">
        <v>42416</v>
      </c>
      <c r="BD173">
        <v>0</v>
      </c>
      <c r="BN173" t="s">
        <v>74</v>
      </c>
    </row>
    <row r="174" spans="1:66" hidden="1">
      <c r="A174">
        <v>100066</v>
      </c>
      <c r="B174" s="3" t="s">
        <v>103</v>
      </c>
      <c r="C174" s="1">
        <v>43300101</v>
      </c>
      <c r="D174" t="s">
        <v>67</v>
      </c>
      <c r="H174" t="str">
        <f t="shared" si="12"/>
        <v>04785851009</v>
      </c>
      <c r="I174" t="str">
        <f t="shared" si="13"/>
        <v>12268050155</v>
      </c>
      <c r="K174" t="str">
        <f>""</f>
        <v/>
      </c>
      <c r="M174" t="s">
        <v>68</v>
      </c>
      <c r="N174" t="str">
        <f t="shared" si="10"/>
        <v>FOR</v>
      </c>
      <c r="O174" t="s">
        <v>69</v>
      </c>
      <c r="P174" s="3" t="s">
        <v>70</v>
      </c>
      <c r="Q174">
        <v>2015</v>
      </c>
      <c r="R174" s="2">
        <v>42066</v>
      </c>
      <c r="S174" s="2">
        <v>42086</v>
      </c>
      <c r="T174" s="2">
        <v>42086</v>
      </c>
      <c r="U174" s="2">
        <v>42146</v>
      </c>
      <c r="V174" t="s">
        <v>71</v>
      </c>
      <c r="W174" t="str">
        <f>"          1010867188"</f>
        <v xml:space="preserve">          1010867188</v>
      </c>
      <c r="X174" s="1">
        <v>7265.83</v>
      </c>
      <c r="Y174">
        <v>0</v>
      </c>
      <c r="Z174"/>
      <c r="AB174"/>
      <c r="AC174" s="1">
        <v>5955.6</v>
      </c>
      <c r="AD174">
        <v>270</v>
      </c>
      <c r="AE174" s="1">
        <v>1608012</v>
      </c>
      <c r="AF174">
        <v>0</v>
      </c>
      <c r="AJ174">
        <v>0</v>
      </c>
      <c r="AK174">
        <v>0</v>
      </c>
      <c r="AL174">
        <v>0</v>
      </c>
      <c r="AM174">
        <v>0</v>
      </c>
      <c r="AN174">
        <v>0</v>
      </c>
      <c r="AO174">
        <v>0</v>
      </c>
      <c r="AP174" s="2">
        <v>42746</v>
      </c>
      <c r="AQ174" t="s">
        <v>72</v>
      </c>
      <c r="AR174" t="s">
        <v>72</v>
      </c>
      <c r="AS174">
        <v>414</v>
      </c>
      <c r="AT174" s="4">
        <v>42416</v>
      </c>
      <c r="AU174" t="s">
        <v>73</v>
      </c>
      <c r="AV174">
        <v>414</v>
      </c>
      <c r="AW174" s="4">
        <v>42416</v>
      </c>
      <c r="BD174">
        <v>0</v>
      </c>
      <c r="BN174" t="s">
        <v>74</v>
      </c>
    </row>
    <row r="175" spans="1:66" hidden="1">
      <c r="A175">
        <v>100066</v>
      </c>
      <c r="B175" s="3" t="s">
        <v>103</v>
      </c>
      <c r="C175" s="1">
        <v>43300101</v>
      </c>
      <c r="D175" t="s">
        <v>67</v>
      </c>
      <c r="H175" t="str">
        <f t="shared" si="12"/>
        <v>04785851009</v>
      </c>
      <c r="I175" t="str">
        <f t="shared" si="13"/>
        <v>12268050155</v>
      </c>
      <c r="K175" t="str">
        <f>""</f>
        <v/>
      </c>
      <c r="M175" t="s">
        <v>68</v>
      </c>
      <c r="N175" t="str">
        <f t="shared" si="10"/>
        <v>FOR</v>
      </c>
      <c r="O175" t="s">
        <v>69</v>
      </c>
      <c r="P175" s="3" t="s">
        <v>70</v>
      </c>
      <c r="Q175">
        <v>2015</v>
      </c>
      <c r="R175" s="2">
        <v>42066</v>
      </c>
      <c r="S175" s="2">
        <v>42086</v>
      </c>
      <c r="T175" s="2">
        <v>42086</v>
      </c>
      <c r="U175" s="2">
        <v>42146</v>
      </c>
      <c r="V175" t="s">
        <v>71</v>
      </c>
      <c r="W175" t="str">
        <f>"          1010867189"</f>
        <v xml:space="preserve">          1010867189</v>
      </c>
      <c r="X175">
        <v>735.66</v>
      </c>
      <c r="Y175">
        <v>0</v>
      </c>
      <c r="Z175"/>
      <c r="AB175"/>
      <c r="AC175">
        <v>603</v>
      </c>
      <c r="AD175">
        <v>270</v>
      </c>
      <c r="AE175" s="1">
        <v>162810</v>
      </c>
      <c r="AF175">
        <v>0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0</v>
      </c>
      <c r="AP175" s="2">
        <v>42746</v>
      </c>
      <c r="AQ175" t="s">
        <v>72</v>
      </c>
      <c r="AR175" t="s">
        <v>72</v>
      </c>
      <c r="AS175">
        <v>414</v>
      </c>
      <c r="AT175" s="4">
        <v>42416</v>
      </c>
      <c r="AU175" t="s">
        <v>73</v>
      </c>
      <c r="AV175">
        <v>414</v>
      </c>
      <c r="AW175" s="4">
        <v>42416</v>
      </c>
      <c r="BD175">
        <v>0</v>
      </c>
      <c r="BN175" t="s">
        <v>74</v>
      </c>
    </row>
    <row r="176" spans="1:66" hidden="1">
      <c r="A176">
        <v>100066</v>
      </c>
      <c r="B176" s="3" t="s">
        <v>103</v>
      </c>
      <c r="C176" s="1">
        <v>43300101</v>
      </c>
      <c r="D176" t="s">
        <v>67</v>
      </c>
      <c r="H176" t="str">
        <f t="shared" si="12"/>
        <v>04785851009</v>
      </c>
      <c r="I176" t="str">
        <f t="shared" si="13"/>
        <v>12268050155</v>
      </c>
      <c r="K176" t="str">
        <f>""</f>
        <v/>
      </c>
      <c r="M176" t="s">
        <v>68</v>
      </c>
      <c r="N176" t="str">
        <f t="shared" si="10"/>
        <v>FOR</v>
      </c>
      <c r="O176" t="s">
        <v>69</v>
      </c>
      <c r="P176" s="3" t="s">
        <v>70</v>
      </c>
      <c r="Q176">
        <v>2015</v>
      </c>
      <c r="R176" s="2">
        <v>42075</v>
      </c>
      <c r="S176" s="2">
        <v>42118</v>
      </c>
      <c r="T176" s="2">
        <v>42118</v>
      </c>
      <c r="U176" s="2">
        <v>42178</v>
      </c>
      <c r="V176" t="s">
        <v>71</v>
      </c>
      <c r="W176" t="str">
        <f>"          1010868852"</f>
        <v xml:space="preserve">          1010868852</v>
      </c>
      <c r="X176" s="1">
        <v>7158.18</v>
      </c>
      <c r="Y176">
        <v>0</v>
      </c>
      <c r="Z176"/>
      <c r="AB176"/>
      <c r="AC176" s="1">
        <v>5867.36</v>
      </c>
      <c r="AD176">
        <v>238</v>
      </c>
      <c r="AE176" s="1">
        <v>1396431.68</v>
      </c>
      <c r="AF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 s="2">
        <v>42746</v>
      </c>
      <c r="AQ176" t="s">
        <v>72</v>
      </c>
      <c r="AR176" t="s">
        <v>72</v>
      </c>
      <c r="AS176">
        <v>414</v>
      </c>
      <c r="AT176" s="4">
        <v>42416</v>
      </c>
      <c r="AU176" t="s">
        <v>73</v>
      </c>
      <c r="AV176">
        <v>414</v>
      </c>
      <c r="AW176" s="4">
        <v>42416</v>
      </c>
      <c r="BD176">
        <v>0</v>
      </c>
      <c r="BN176" t="s">
        <v>74</v>
      </c>
    </row>
    <row r="177" spans="1:66" hidden="1">
      <c r="A177">
        <v>100066</v>
      </c>
      <c r="B177" s="3" t="s">
        <v>103</v>
      </c>
      <c r="C177" s="1">
        <v>43300101</v>
      </c>
      <c r="D177" t="s">
        <v>67</v>
      </c>
      <c r="H177" t="str">
        <f t="shared" si="12"/>
        <v>04785851009</v>
      </c>
      <c r="I177" t="str">
        <f t="shared" si="13"/>
        <v>12268050155</v>
      </c>
      <c r="K177" t="str">
        <f>""</f>
        <v/>
      </c>
      <c r="M177" t="s">
        <v>68</v>
      </c>
      <c r="N177" t="str">
        <f t="shared" si="10"/>
        <v>FOR</v>
      </c>
      <c r="O177" t="s">
        <v>69</v>
      </c>
      <c r="P177" s="3" t="s">
        <v>70</v>
      </c>
      <c r="Q177">
        <v>2015</v>
      </c>
      <c r="R177" s="2">
        <v>42075</v>
      </c>
      <c r="S177" s="2">
        <v>42118</v>
      </c>
      <c r="T177" s="2">
        <v>42118</v>
      </c>
      <c r="U177" s="2">
        <v>42178</v>
      </c>
      <c r="V177" t="s">
        <v>71</v>
      </c>
      <c r="W177" t="str">
        <f>"          1010868853"</f>
        <v xml:space="preserve">          1010868853</v>
      </c>
      <c r="X177" s="1">
        <v>3540.81</v>
      </c>
      <c r="Y177">
        <v>0</v>
      </c>
      <c r="Z177"/>
      <c r="AB177"/>
      <c r="AC177" s="1">
        <v>2902.3</v>
      </c>
      <c r="AD177">
        <v>238</v>
      </c>
      <c r="AE177" s="1">
        <v>690747.4</v>
      </c>
      <c r="AF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 s="2">
        <v>42746</v>
      </c>
      <c r="AQ177" t="s">
        <v>72</v>
      </c>
      <c r="AR177" t="s">
        <v>72</v>
      </c>
      <c r="AS177">
        <v>414</v>
      </c>
      <c r="AT177" s="4">
        <v>42416</v>
      </c>
      <c r="AU177" t="s">
        <v>73</v>
      </c>
      <c r="AV177">
        <v>414</v>
      </c>
      <c r="AW177" s="4">
        <v>42416</v>
      </c>
      <c r="BD177">
        <v>0</v>
      </c>
      <c r="BN177" t="s">
        <v>74</v>
      </c>
    </row>
    <row r="178" spans="1:66" hidden="1">
      <c r="A178">
        <v>100066</v>
      </c>
      <c r="B178" s="3" t="s">
        <v>103</v>
      </c>
      <c r="C178" s="1">
        <v>43300101</v>
      </c>
      <c r="D178" t="s">
        <v>67</v>
      </c>
      <c r="H178" t="str">
        <f t="shared" si="12"/>
        <v>04785851009</v>
      </c>
      <c r="I178" t="str">
        <f t="shared" si="13"/>
        <v>12268050155</v>
      </c>
      <c r="K178" t="str">
        <f>""</f>
        <v/>
      </c>
      <c r="M178" t="s">
        <v>68</v>
      </c>
      <c r="N178" t="str">
        <f t="shared" si="10"/>
        <v>FOR</v>
      </c>
      <c r="O178" t="s">
        <v>69</v>
      </c>
      <c r="P178" s="3" t="s">
        <v>70</v>
      </c>
      <c r="Q178">
        <v>2015</v>
      </c>
      <c r="R178" s="2">
        <v>42080</v>
      </c>
      <c r="S178" s="2">
        <v>42103</v>
      </c>
      <c r="T178" s="2">
        <v>42103</v>
      </c>
      <c r="U178" s="2">
        <v>42163</v>
      </c>
      <c r="V178" t="s">
        <v>71</v>
      </c>
      <c r="W178" t="str">
        <f>"          1010869501"</f>
        <v xml:space="preserve">          1010869501</v>
      </c>
      <c r="X178" s="1">
        <v>6182.96</v>
      </c>
      <c r="Y178">
        <v>0</v>
      </c>
      <c r="Z178"/>
      <c r="AB178"/>
      <c r="AC178" s="1">
        <v>5068</v>
      </c>
      <c r="AD178">
        <v>253</v>
      </c>
      <c r="AE178" s="1">
        <v>1282204</v>
      </c>
      <c r="AF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 s="2">
        <v>42746</v>
      </c>
      <c r="AQ178" t="s">
        <v>72</v>
      </c>
      <c r="AR178" t="s">
        <v>72</v>
      </c>
      <c r="AS178">
        <v>414</v>
      </c>
      <c r="AT178" s="4">
        <v>42416</v>
      </c>
      <c r="AU178" t="s">
        <v>73</v>
      </c>
      <c r="AV178">
        <v>414</v>
      </c>
      <c r="AW178" s="4">
        <v>42416</v>
      </c>
      <c r="BD178">
        <v>0</v>
      </c>
      <c r="BN178" t="s">
        <v>74</v>
      </c>
    </row>
    <row r="179" spans="1:66" hidden="1">
      <c r="A179">
        <v>100066</v>
      </c>
      <c r="B179" s="3" t="s">
        <v>103</v>
      </c>
      <c r="C179" s="1">
        <v>43300101</v>
      </c>
      <c r="D179" t="s">
        <v>67</v>
      </c>
      <c r="H179" t="str">
        <f t="shared" si="12"/>
        <v>04785851009</v>
      </c>
      <c r="I179" t="str">
        <f t="shared" si="13"/>
        <v>12268050155</v>
      </c>
      <c r="K179" t="str">
        <f>""</f>
        <v/>
      </c>
      <c r="M179" t="s">
        <v>68</v>
      </c>
      <c r="N179" t="str">
        <f t="shared" si="10"/>
        <v>FOR</v>
      </c>
      <c r="O179" t="s">
        <v>69</v>
      </c>
      <c r="P179" s="3" t="s">
        <v>70</v>
      </c>
      <c r="Q179">
        <v>2015</v>
      </c>
      <c r="R179" s="2">
        <v>42081</v>
      </c>
      <c r="S179" s="2">
        <v>42102</v>
      </c>
      <c r="T179" s="2">
        <v>42102</v>
      </c>
      <c r="U179" s="2">
        <v>42162</v>
      </c>
      <c r="V179" t="s">
        <v>71</v>
      </c>
      <c r="W179" t="str">
        <f>"          1010869724"</f>
        <v xml:space="preserve">          1010869724</v>
      </c>
      <c r="X179" s="1">
        <v>1307.3499999999999</v>
      </c>
      <c r="Y179">
        <v>0</v>
      </c>
      <c r="Z179"/>
      <c r="AB179"/>
      <c r="AC179" s="1">
        <v>1071.5999999999999</v>
      </c>
      <c r="AD179">
        <v>254</v>
      </c>
      <c r="AE179" s="1">
        <v>272186.40000000002</v>
      </c>
      <c r="AF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 s="2">
        <v>42746</v>
      </c>
      <c r="AQ179" t="s">
        <v>72</v>
      </c>
      <c r="AR179" t="s">
        <v>72</v>
      </c>
      <c r="AS179">
        <v>414</v>
      </c>
      <c r="AT179" s="4">
        <v>42416</v>
      </c>
      <c r="AU179" t="s">
        <v>73</v>
      </c>
      <c r="AV179">
        <v>414</v>
      </c>
      <c r="AW179" s="4">
        <v>42416</v>
      </c>
      <c r="BD179">
        <v>0</v>
      </c>
      <c r="BN179" t="s">
        <v>74</v>
      </c>
    </row>
    <row r="180" spans="1:66" hidden="1">
      <c r="A180">
        <v>100066</v>
      </c>
      <c r="B180" s="3" t="s">
        <v>103</v>
      </c>
      <c r="C180" s="1">
        <v>43300101</v>
      </c>
      <c r="D180" t="s">
        <v>67</v>
      </c>
      <c r="H180" t="str">
        <f t="shared" si="12"/>
        <v>04785851009</v>
      </c>
      <c r="I180" t="str">
        <f t="shared" si="13"/>
        <v>12268050155</v>
      </c>
      <c r="K180" t="str">
        <f>""</f>
        <v/>
      </c>
      <c r="M180" t="s">
        <v>68</v>
      </c>
      <c r="N180" t="str">
        <f t="shared" si="10"/>
        <v>FOR</v>
      </c>
      <c r="O180" t="s">
        <v>69</v>
      </c>
      <c r="P180" s="3" t="s">
        <v>70</v>
      </c>
      <c r="Q180">
        <v>2015</v>
      </c>
      <c r="R180" s="2">
        <v>42087</v>
      </c>
      <c r="S180" s="2">
        <v>42103</v>
      </c>
      <c r="T180" s="2">
        <v>42103</v>
      </c>
      <c r="U180" s="2">
        <v>42163</v>
      </c>
      <c r="V180" t="s">
        <v>71</v>
      </c>
      <c r="W180" t="str">
        <f>"          1010870693"</f>
        <v xml:space="preserve">          1010870693</v>
      </c>
      <c r="X180" s="1">
        <v>1981.65</v>
      </c>
      <c r="Y180">
        <v>0</v>
      </c>
      <c r="Z180"/>
      <c r="AB180"/>
      <c r="AC180" s="1">
        <v>1624.3</v>
      </c>
      <c r="AD180">
        <v>253</v>
      </c>
      <c r="AE180" s="1">
        <v>410947.9</v>
      </c>
      <c r="AF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 s="2">
        <v>42746</v>
      </c>
      <c r="AQ180" t="s">
        <v>72</v>
      </c>
      <c r="AR180" t="s">
        <v>72</v>
      </c>
      <c r="AS180">
        <v>414</v>
      </c>
      <c r="AT180" s="4">
        <v>42416</v>
      </c>
      <c r="AU180" t="s">
        <v>73</v>
      </c>
      <c r="AV180">
        <v>414</v>
      </c>
      <c r="AW180" s="4">
        <v>42416</v>
      </c>
      <c r="BD180">
        <v>0</v>
      </c>
      <c r="BN180" t="s">
        <v>74</v>
      </c>
    </row>
    <row r="181" spans="1:66" hidden="1">
      <c r="A181">
        <v>100066</v>
      </c>
      <c r="B181" s="3" t="s">
        <v>103</v>
      </c>
      <c r="C181" s="1">
        <v>43300101</v>
      </c>
      <c r="D181" t="s">
        <v>67</v>
      </c>
      <c r="H181" t="str">
        <f t="shared" si="12"/>
        <v>04785851009</v>
      </c>
      <c r="I181" t="str">
        <f t="shared" si="13"/>
        <v>12268050155</v>
      </c>
      <c r="K181" t="str">
        <f>""</f>
        <v/>
      </c>
      <c r="M181" t="s">
        <v>68</v>
      </c>
      <c r="N181" t="str">
        <f t="shared" si="10"/>
        <v>FOR</v>
      </c>
      <c r="O181" t="s">
        <v>69</v>
      </c>
      <c r="P181" s="3" t="s">
        <v>70</v>
      </c>
      <c r="Q181">
        <v>2015</v>
      </c>
      <c r="R181" s="2">
        <v>42093</v>
      </c>
      <c r="S181" s="2">
        <v>42110</v>
      </c>
      <c r="T181" s="2">
        <v>42110</v>
      </c>
      <c r="U181" s="2">
        <v>42170</v>
      </c>
      <c r="V181" t="s">
        <v>71</v>
      </c>
      <c r="W181" t="str">
        <f>"          1010872579"</f>
        <v xml:space="preserve">          1010872579</v>
      </c>
      <c r="X181" s="1">
        <v>1598.2</v>
      </c>
      <c r="Y181">
        <v>0</v>
      </c>
      <c r="Z181"/>
      <c r="AB181"/>
      <c r="AC181" s="1">
        <v>1310</v>
      </c>
      <c r="AD181">
        <v>246</v>
      </c>
      <c r="AE181" s="1">
        <v>322260</v>
      </c>
      <c r="AF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 s="2">
        <v>42746</v>
      </c>
      <c r="AQ181" t="s">
        <v>72</v>
      </c>
      <c r="AR181" t="s">
        <v>72</v>
      </c>
      <c r="AS181">
        <v>414</v>
      </c>
      <c r="AT181" s="4">
        <v>42416</v>
      </c>
      <c r="AU181" t="s">
        <v>73</v>
      </c>
      <c r="AV181">
        <v>414</v>
      </c>
      <c r="AW181" s="4">
        <v>42416</v>
      </c>
      <c r="BD181">
        <v>0</v>
      </c>
      <c r="BN181" t="s">
        <v>74</v>
      </c>
    </row>
    <row r="182" spans="1:66" hidden="1">
      <c r="A182">
        <v>100066</v>
      </c>
      <c r="B182" s="3" t="s">
        <v>103</v>
      </c>
      <c r="C182" s="1">
        <v>43300101</v>
      </c>
      <c r="D182" t="s">
        <v>67</v>
      </c>
      <c r="H182" t="str">
        <f t="shared" si="12"/>
        <v>04785851009</v>
      </c>
      <c r="I182" t="str">
        <f t="shared" si="13"/>
        <v>12268050155</v>
      </c>
      <c r="K182" t="str">
        <f>""</f>
        <v/>
      </c>
      <c r="M182" t="s">
        <v>68</v>
      </c>
      <c r="N182" t="str">
        <f t="shared" si="10"/>
        <v>FOR</v>
      </c>
      <c r="O182" t="s">
        <v>69</v>
      </c>
      <c r="P182" s="3" t="s">
        <v>75</v>
      </c>
      <c r="Q182">
        <v>2015</v>
      </c>
      <c r="R182" s="2">
        <v>42123</v>
      </c>
      <c r="S182" s="2">
        <v>42164</v>
      </c>
      <c r="T182" s="2">
        <v>42163</v>
      </c>
      <c r="U182" s="2">
        <v>42223</v>
      </c>
      <c r="V182" t="s">
        <v>71</v>
      </c>
      <c r="W182" t="str">
        <f>"          1010878419"</f>
        <v xml:space="preserve">          1010878419</v>
      </c>
      <c r="X182" s="1">
        <v>33768.79</v>
      </c>
      <c r="Y182">
        <v>0</v>
      </c>
      <c r="Z182"/>
      <c r="AB182"/>
      <c r="AC182" s="1">
        <v>27679.34</v>
      </c>
      <c r="AD182">
        <v>230</v>
      </c>
      <c r="AE182" s="1">
        <v>6366248.2000000002</v>
      </c>
      <c r="AF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 s="2">
        <v>42746</v>
      </c>
      <c r="AQ182" t="s">
        <v>72</v>
      </c>
      <c r="AR182" t="s">
        <v>72</v>
      </c>
      <c r="AS182">
        <v>856</v>
      </c>
      <c r="AT182" s="4">
        <v>42453</v>
      </c>
      <c r="AU182" t="s">
        <v>73</v>
      </c>
      <c r="AV182">
        <v>856</v>
      </c>
      <c r="AW182" s="4">
        <v>42453</v>
      </c>
      <c r="BD182">
        <v>0</v>
      </c>
      <c r="BN182" t="s">
        <v>74</v>
      </c>
    </row>
    <row r="183" spans="1:66" hidden="1">
      <c r="A183">
        <v>100066</v>
      </c>
      <c r="B183" s="3" t="s">
        <v>103</v>
      </c>
      <c r="C183" s="1">
        <v>43300101</v>
      </c>
      <c r="D183" t="s">
        <v>67</v>
      </c>
      <c r="H183" t="str">
        <f t="shared" si="12"/>
        <v>04785851009</v>
      </c>
      <c r="I183" t="str">
        <f t="shared" si="13"/>
        <v>12268050155</v>
      </c>
      <c r="K183" t="str">
        <f>""</f>
        <v/>
      </c>
      <c r="M183" t="s">
        <v>68</v>
      </c>
      <c r="N183" t="str">
        <f t="shared" si="10"/>
        <v>FOR</v>
      </c>
      <c r="O183" t="s">
        <v>69</v>
      </c>
      <c r="P183" s="3" t="s">
        <v>75</v>
      </c>
      <c r="Q183">
        <v>2015</v>
      </c>
      <c r="R183" s="2">
        <v>42123</v>
      </c>
      <c r="S183" s="2">
        <v>42164</v>
      </c>
      <c r="T183" s="2">
        <v>42163</v>
      </c>
      <c r="U183" s="2">
        <v>42223</v>
      </c>
      <c r="V183" t="s">
        <v>71</v>
      </c>
      <c r="W183" t="str">
        <f>"          1010878420"</f>
        <v xml:space="preserve">          1010878420</v>
      </c>
      <c r="X183" s="1">
        <v>25862.94</v>
      </c>
      <c r="Y183">
        <v>0</v>
      </c>
      <c r="Z183"/>
      <c r="AB183"/>
      <c r="AC183" s="1">
        <v>21199.13</v>
      </c>
      <c r="AD183">
        <v>230</v>
      </c>
      <c r="AE183" s="1">
        <v>4875799.9000000004</v>
      </c>
      <c r="AF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 s="2">
        <v>42746</v>
      </c>
      <c r="AQ183" t="s">
        <v>72</v>
      </c>
      <c r="AR183" t="s">
        <v>72</v>
      </c>
      <c r="AS183">
        <v>856</v>
      </c>
      <c r="AT183" s="4">
        <v>42453</v>
      </c>
      <c r="AU183" t="s">
        <v>73</v>
      </c>
      <c r="AV183">
        <v>856</v>
      </c>
      <c r="AW183" s="4">
        <v>42453</v>
      </c>
      <c r="BD183">
        <v>0</v>
      </c>
      <c r="BN183" t="s">
        <v>74</v>
      </c>
    </row>
    <row r="184" spans="1:66" hidden="1">
      <c r="A184">
        <v>100066</v>
      </c>
      <c r="B184" s="3" t="s">
        <v>103</v>
      </c>
      <c r="C184" s="1">
        <v>43300101</v>
      </c>
      <c r="D184" t="s">
        <v>67</v>
      </c>
      <c r="H184" t="str">
        <f t="shared" si="12"/>
        <v>04785851009</v>
      </c>
      <c r="I184" t="str">
        <f t="shared" si="13"/>
        <v>12268050155</v>
      </c>
      <c r="K184" t="str">
        <f>""</f>
        <v/>
      </c>
      <c r="M184" t="s">
        <v>68</v>
      </c>
      <c r="N184" t="str">
        <f t="shared" si="10"/>
        <v>FOR</v>
      </c>
      <c r="O184" t="s">
        <v>69</v>
      </c>
      <c r="P184" s="3" t="s">
        <v>75</v>
      </c>
      <c r="Q184">
        <v>2015</v>
      </c>
      <c r="R184" s="2">
        <v>42123</v>
      </c>
      <c r="S184" s="2">
        <v>42164</v>
      </c>
      <c r="T184" s="2">
        <v>42163</v>
      </c>
      <c r="U184" s="2">
        <v>42223</v>
      </c>
      <c r="V184" t="s">
        <v>71</v>
      </c>
      <c r="W184" t="str">
        <f>"          1010878421"</f>
        <v xml:space="preserve">          1010878421</v>
      </c>
      <c r="X184" s="1">
        <v>5078.62</v>
      </c>
      <c r="Y184">
        <v>0</v>
      </c>
      <c r="Z184"/>
      <c r="AB184"/>
      <c r="AC184" s="1">
        <v>4162.8</v>
      </c>
      <c r="AD184">
        <v>230</v>
      </c>
      <c r="AE184" s="1">
        <v>957444</v>
      </c>
      <c r="AF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 s="2">
        <v>42746</v>
      </c>
      <c r="AQ184" t="s">
        <v>72</v>
      </c>
      <c r="AR184" t="s">
        <v>72</v>
      </c>
      <c r="AS184">
        <v>856</v>
      </c>
      <c r="AT184" s="4">
        <v>42453</v>
      </c>
      <c r="AU184" t="s">
        <v>73</v>
      </c>
      <c r="AV184">
        <v>856</v>
      </c>
      <c r="AW184" s="4">
        <v>42453</v>
      </c>
      <c r="BD184">
        <v>0</v>
      </c>
      <c r="BN184" t="s">
        <v>74</v>
      </c>
    </row>
    <row r="185" spans="1:66" hidden="1">
      <c r="A185">
        <v>100066</v>
      </c>
      <c r="B185" s="3" t="s">
        <v>103</v>
      </c>
      <c r="C185" s="1">
        <v>43300101</v>
      </c>
      <c r="D185" t="s">
        <v>67</v>
      </c>
      <c r="H185" t="str">
        <f t="shared" si="12"/>
        <v>04785851009</v>
      </c>
      <c r="I185" t="str">
        <f t="shared" si="13"/>
        <v>12268050155</v>
      </c>
      <c r="K185" t="str">
        <f>""</f>
        <v/>
      </c>
      <c r="M185" t="s">
        <v>68</v>
      </c>
      <c r="N185" t="str">
        <f t="shared" si="10"/>
        <v>FOR</v>
      </c>
      <c r="O185" t="s">
        <v>69</v>
      </c>
      <c r="P185" s="3" t="s">
        <v>75</v>
      </c>
      <c r="Q185">
        <v>2015</v>
      </c>
      <c r="R185" s="2">
        <v>42123</v>
      </c>
      <c r="S185" s="2">
        <v>42164</v>
      </c>
      <c r="T185" s="2">
        <v>42163</v>
      </c>
      <c r="U185" s="2">
        <v>42223</v>
      </c>
      <c r="V185" t="s">
        <v>71</v>
      </c>
      <c r="W185" t="str">
        <f>"          1010878422"</f>
        <v xml:space="preserve">          1010878422</v>
      </c>
      <c r="X185" s="1">
        <v>21136.5</v>
      </c>
      <c r="Y185">
        <v>0</v>
      </c>
      <c r="Z185"/>
      <c r="AB185"/>
      <c r="AC185" s="1">
        <v>17325</v>
      </c>
      <c r="AD185">
        <v>230</v>
      </c>
      <c r="AE185" s="1">
        <v>3984750</v>
      </c>
      <c r="AF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 s="2">
        <v>42746</v>
      </c>
      <c r="AQ185" t="s">
        <v>72</v>
      </c>
      <c r="AR185" t="s">
        <v>72</v>
      </c>
      <c r="AS185">
        <v>856</v>
      </c>
      <c r="AT185" s="4">
        <v>42453</v>
      </c>
      <c r="AU185" t="s">
        <v>73</v>
      </c>
      <c r="AV185">
        <v>856</v>
      </c>
      <c r="AW185" s="4">
        <v>42453</v>
      </c>
      <c r="BD185">
        <v>0</v>
      </c>
      <c r="BN185" t="s">
        <v>74</v>
      </c>
    </row>
    <row r="186" spans="1:66" hidden="1">
      <c r="A186">
        <v>100066</v>
      </c>
      <c r="B186" s="3" t="s">
        <v>103</v>
      </c>
      <c r="C186" s="1">
        <v>43300101</v>
      </c>
      <c r="D186" t="s">
        <v>67</v>
      </c>
      <c r="H186" t="str">
        <f t="shared" si="12"/>
        <v>04785851009</v>
      </c>
      <c r="I186" t="str">
        <f t="shared" si="13"/>
        <v>12268050155</v>
      </c>
      <c r="K186" t="str">
        <f>""</f>
        <v/>
      </c>
      <c r="M186" t="s">
        <v>68</v>
      </c>
      <c r="N186" t="str">
        <f t="shared" si="10"/>
        <v>FOR</v>
      </c>
      <c r="O186" t="s">
        <v>69</v>
      </c>
      <c r="P186" s="3" t="s">
        <v>75</v>
      </c>
      <c r="Q186">
        <v>2015</v>
      </c>
      <c r="R186" s="2">
        <v>42123</v>
      </c>
      <c r="S186" s="2">
        <v>42164</v>
      </c>
      <c r="T186" s="2">
        <v>42163</v>
      </c>
      <c r="U186" s="2">
        <v>42223</v>
      </c>
      <c r="V186" t="s">
        <v>71</v>
      </c>
      <c r="W186" t="str">
        <f>"          1010878423"</f>
        <v xml:space="preserve">          1010878423</v>
      </c>
      <c r="X186" s="1">
        <v>1855.01</v>
      </c>
      <c r="Y186">
        <v>0</v>
      </c>
      <c r="Z186"/>
      <c r="AB186"/>
      <c r="AC186" s="1">
        <v>1520.5</v>
      </c>
      <c r="AD186">
        <v>230</v>
      </c>
      <c r="AE186" s="1">
        <v>349715</v>
      </c>
      <c r="AF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 s="2">
        <v>42746</v>
      </c>
      <c r="AQ186" t="s">
        <v>72</v>
      </c>
      <c r="AR186" t="s">
        <v>72</v>
      </c>
      <c r="AS186">
        <v>856</v>
      </c>
      <c r="AT186" s="4">
        <v>42453</v>
      </c>
      <c r="AU186" t="s">
        <v>73</v>
      </c>
      <c r="AV186">
        <v>856</v>
      </c>
      <c r="AW186" s="4">
        <v>42453</v>
      </c>
      <c r="BD186">
        <v>0</v>
      </c>
      <c r="BN186" t="s">
        <v>74</v>
      </c>
    </row>
    <row r="187" spans="1:66" hidden="1">
      <c r="A187">
        <v>100066</v>
      </c>
      <c r="B187" s="3" t="s">
        <v>103</v>
      </c>
      <c r="C187" s="1">
        <v>43300101</v>
      </c>
      <c r="D187" t="s">
        <v>67</v>
      </c>
      <c r="H187" t="str">
        <f t="shared" si="12"/>
        <v>04785851009</v>
      </c>
      <c r="I187" t="str">
        <f t="shared" si="13"/>
        <v>12268050155</v>
      </c>
      <c r="K187" t="str">
        <f>""</f>
        <v/>
      </c>
      <c r="M187" t="s">
        <v>68</v>
      </c>
      <c r="N187" t="str">
        <f t="shared" si="10"/>
        <v>FOR</v>
      </c>
      <c r="O187" t="s">
        <v>69</v>
      </c>
      <c r="P187" s="3" t="s">
        <v>75</v>
      </c>
      <c r="Q187">
        <v>2015</v>
      </c>
      <c r="R187" s="2">
        <v>42123</v>
      </c>
      <c r="S187" s="2">
        <v>42164</v>
      </c>
      <c r="T187" s="2">
        <v>42163</v>
      </c>
      <c r="U187" s="2">
        <v>42223</v>
      </c>
      <c r="V187" t="s">
        <v>71</v>
      </c>
      <c r="W187" t="str">
        <f>"          1010878424"</f>
        <v xml:space="preserve">          1010878424</v>
      </c>
      <c r="X187" s="1">
        <v>15499.05</v>
      </c>
      <c r="Y187">
        <v>0</v>
      </c>
      <c r="Z187"/>
      <c r="AB187"/>
      <c r="AC187" s="1">
        <v>12704.14</v>
      </c>
      <c r="AD187">
        <v>230</v>
      </c>
      <c r="AE187" s="1">
        <v>2921952.2</v>
      </c>
      <c r="AF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 s="2">
        <v>42746</v>
      </c>
      <c r="AQ187" t="s">
        <v>72</v>
      </c>
      <c r="AR187" t="s">
        <v>72</v>
      </c>
      <c r="AS187">
        <v>856</v>
      </c>
      <c r="AT187" s="4">
        <v>42453</v>
      </c>
      <c r="AU187" t="s">
        <v>73</v>
      </c>
      <c r="AV187">
        <v>856</v>
      </c>
      <c r="AW187" s="4">
        <v>42453</v>
      </c>
      <c r="BD187">
        <v>0</v>
      </c>
      <c r="BN187" t="s">
        <v>74</v>
      </c>
    </row>
    <row r="188" spans="1:66" hidden="1">
      <c r="A188">
        <v>100066</v>
      </c>
      <c r="B188" s="3" t="s">
        <v>103</v>
      </c>
      <c r="C188" s="1">
        <v>43300101</v>
      </c>
      <c r="D188" t="s">
        <v>67</v>
      </c>
      <c r="H188" t="str">
        <f t="shared" si="12"/>
        <v>04785851009</v>
      </c>
      <c r="I188" t="str">
        <f t="shared" si="13"/>
        <v>12268050155</v>
      </c>
      <c r="K188" t="str">
        <f>""</f>
        <v/>
      </c>
      <c r="M188" t="s">
        <v>68</v>
      </c>
      <c r="N188" t="str">
        <f t="shared" si="10"/>
        <v>FOR</v>
      </c>
      <c r="O188" t="s">
        <v>69</v>
      </c>
      <c r="P188" s="3" t="s">
        <v>75</v>
      </c>
      <c r="Q188">
        <v>2015</v>
      </c>
      <c r="R188" s="2">
        <v>42123</v>
      </c>
      <c r="S188" s="2">
        <v>42164</v>
      </c>
      <c r="T188" s="2">
        <v>42163</v>
      </c>
      <c r="U188" s="2">
        <v>42223</v>
      </c>
      <c r="V188" t="s">
        <v>71</v>
      </c>
      <c r="W188" t="str">
        <f>"          1010878425"</f>
        <v xml:space="preserve">          1010878425</v>
      </c>
      <c r="X188" s="1">
        <v>2386.56</v>
      </c>
      <c r="Y188">
        <v>0</v>
      </c>
      <c r="Z188"/>
      <c r="AB188"/>
      <c r="AC188" s="1">
        <v>1956.2</v>
      </c>
      <c r="AD188">
        <v>230</v>
      </c>
      <c r="AE188" s="1">
        <v>449926</v>
      </c>
      <c r="AF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 s="2">
        <v>42746</v>
      </c>
      <c r="AQ188" t="s">
        <v>72</v>
      </c>
      <c r="AR188" t="s">
        <v>72</v>
      </c>
      <c r="AS188">
        <v>856</v>
      </c>
      <c r="AT188" s="4">
        <v>42453</v>
      </c>
      <c r="AU188" t="s">
        <v>73</v>
      </c>
      <c r="AV188">
        <v>856</v>
      </c>
      <c r="AW188" s="4">
        <v>42453</v>
      </c>
      <c r="BD188">
        <v>0</v>
      </c>
      <c r="BN188" t="s">
        <v>74</v>
      </c>
    </row>
    <row r="189" spans="1:66" hidden="1">
      <c r="A189">
        <v>100066</v>
      </c>
      <c r="B189" s="3" t="s">
        <v>103</v>
      </c>
      <c r="C189" s="1">
        <v>43300101</v>
      </c>
      <c r="D189" t="s">
        <v>67</v>
      </c>
      <c r="H189" t="str">
        <f t="shared" si="12"/>
        <v>04785851009</v>
      </c>
      <c r="I189" t="str">
        <f t="shared" si="13"/>
        <v>12268050155</v>
      </c>
      <c r="K189" t="str">
        <f>""</f>
        <v/>
      </c>
      <c r="M189" t="s">
        <v>68</v>
      </c>
      <c r="N189" t="str">
        <f t="shared" si="10"/>
        <v>FOR</v>
      </c>
      <c r="O189" t="s">
        <v>69</v>
      </c>
      <c r="P189" s="3" t="s">
        <v>75</v>
      </c>
      <c r="Q189">
        <v>2015</v>
      </c>
      <c r="R189" s="2">
        <v>42123</v>
      </c>
      <c r="S189" s="2">
        <v>42164</v>
      </c>
      <c r="T189" s="2">
        <v>42163</v>
      </c>
      <c r="U189" s="2">
        <v>42223</v>
      </c>
      <c r="V189" t="s">
        <v>71</v>
      </c>
      <c r="W189" t="str">
        <f>"          1010878426"</f>
        <v xml:space="preserve">          1010878426</v>
      </c>
      <c r="X189" s="1">
        <v>4148</v>
      </c>
      <c r="Y189">
        <v>0</v>
      </c>
      <c r="Z189"/>
      <c r="AB189"/>
      <c r="AC189" s="1">
        <v>3400</v>
      </c>
      <c r="AD189">
        <v>230</v>
      </c>
      <c r="AE189" s="1">
        <v>782000</v>
      </c>
      <c r="AF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 s="2">
        <v>42746</v>
      </c>
      <c r="AQ189" t="s">
        <v>72</v>
      </c>
      <c r="AR189" t="s">
        <v>72</v>
      </c>
      <c r="AS189">
        <v>856</v>
      </c>
      <c r="AT189" s="4">
        <v>42453</v>
      </c>
      <c r="AU189" t="s">
        <v>73</v>
      </c>
      <c r="AV189">
        <v>856</v>
      </c>
      <c r="AW189" s="4">
        <v>42453</v>
      </c>
      <c r="BD189">
        <v>0</v>
      </c>
      <c r="BN189" t="s">
        <v>74</v>
      </c>
    </row>
    <row r="190" spans="1:66" hidden="1">
      <c r="A190">
        <v>100066</v>
      </c>
      <c r="B190" s="3" t="s">
        <v>103</v>
      </c>
      <c r="C190" s="1">
        <v>43300101</v>
      </c>
      <c r="D190" t="s">
        <v>67</v>
      </c>
      <c r="H190" t="str">
        <f t="shared" si="12"/>
        <v>04785851009</v>
      </c>
      <c r="I190" t="str">
        <f t="shared" si="13"/>
        <v>12268050155</v>
      </c>
      <c r="K190" t="str">
        <f>""</f>
        <v/>
      </c>
      <c r="M190" t="s">
        <v>68</v>
      </c>
      <c r="N190" t="str">
        <f t="shared" si="10"/>
        <v>FOR</v>
      </c>
      <c r="O190" t="s">
        <v>69</v>
      </c>
      <c r="P190" s="3" t="s">
        <v>75</v>
      </c>
      <c r="Q190">
        <v>2015</v>
      </c>
      <c r="R190" s="2">
        <v>42123</v>
      </c>
      <c r="S190" s="2">
        <v>42164</v>
      </c>
      <c r="T190" s="2">
        <v>42163</v>
      </c>
      <c r="U190" s="2">
        <v>42223</v>
      </c>
      <c r="V190" t="s">
        <v>71</v>
      </c>
      <c r="W190" t="str">
        <f>"          1010878428"</f>
        <v xml:space="preserve">          1010878428</v>
      </c>
      <c r="X190" s="1">
        <v>3922.06</v>
      </c>
      <c r="Y190">
        <v>0</v>
      </c>
      <c r="Z190"/>
      <c r="AB190"/>
      <c r="AC190" s="1">
        <v>3214.8</v>
      </c>
      <c r="AD190">
        <v>230</v>
      </c>
      <c r="AE190" s="1">
        <v>739404</v>
      </c>
      <c r="AF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 s="2">
        <v>42746</v>
      </c>
      <c r="AQ190" t="s">
        <v>72</v>
      </c>
      <c r="AR190" t="s">
        <v>72</v>
      </c>
      <c r="AS190">
        <v>856</v>
      </c>
      <c r="AT190" s="4">
        <v>42453</v>
      </c>
      <c r="AU190" t="s">
        <v>73</v>
      </c>
      <c r="AV190">
        <v>856</v>
      </c>
      <c r="AW190" s="4">
        <v>42453</v>
      </c>
      <c r="BD190">
        <v>0</v>
      </c>
      <c r="BN190" t="s">
        <v>74</v>
      </c>
    </row>
    <row r="191" spans="1:66" hidden="1">
      <c r="A191">
        <v>100066</v>
      </c>
      <c r="B191" s="3" t="s">
        <v>103</v>
      </c>
      <c r="C191" s="1">
        <v>43300101</v>
      </c>
      <c r="D191" t="s">
        <v>67</v>
      </c>
      <c r="H191" t="str">
        <f t="shared" si="12"/>
        <v>04785851009</v>
      </c>
      <c r="I191" t="str">
        <f t="shared" si="13"/>
        <v>12268050155</v>
      </c>
      <c r="K191" t="str">
        <f>""</f>
        <v/>
      </c>
      <c r="M191" t="s">
        <v>68</v>
      </c>
      <c r="N191" t="str">
        <f t="shared" si="10"/>
        <v>FOR</v>
      </c>
      <c r="O191" t="s">
        <v>69</v>
      </c>
      <c r="P191" s="3" t="s">
        <v>75</v>
      </c>
      <c r="Q191">
        <v>2015</v>
      </c>
      <c r="R191" s="2">
        <v>42123</v>
      </c>
      <c r="S191" s="2">
        <v>42164</v>
      </c>
      <c r="T191" s="2">
        <v>42163</v>
      </c>
      <c r="U191" s="2">
        <v>42223</v>
      </c>
      <c r="V191" t="s">
        <v>71</v>
      </c>
      <c r="W191" t="str">
        <f>"          1010878429"</f>
        <v xml:space="preserve">          1010878429</v>
      </c>
      <c r="X191" s="1">
        <v>1769</v>
      </c>
      <c r="Y191">
        <v>0</v>
      </c>
      <c r="Z191"/>
      <c r="AB191"/>
      <c r="AC191" s="1">
        <v>1450</v>
      </c>
      <c r="AD191">
        <v>230</v>
      </c>
      <c r="AE191" s="1">
        <v>333500</v>
      </c>
      <c r="AF191">
        <v>0</v>
      </c>
      <c r="AJ191">
        <v>0</v>
      </c>
      <c r="AK191">
        <v>0</v>
      </c>
      <c r="AL191">
        <v>0</v>
      </c>
      <c r="AM191">
        <v>0</v>
      </c>
      <c r="AN191">
        <v>0</v>
      </c>
      <c r="AO191">
        <v>0</v>
      </c>
      <c r="AP191" s="2">
        <v>42746</v>
      </c>
      <c r="AQ191" t="s">
        <v>72</v>
      </c>
      <c r="AR191" t="s">
        <v>72</v>
      </c>
      <c r="AS191">
        <v>856</v>
      </c>
      <c r="AT191" s="4">
        <v>42453</v>
      </c>
      <c r="AU191" t="s">
        <v>73</v>
      </c>
      <c r="AV191">
        <v>856</v>
      </c>
      <c r="AW191" s="4">
        <v>42453</v>
      </c>
      <c r="BD191">
        <v>0</v>
      </c>
      <c r="BN191" t="s">
        <v>74</v>
      </c>
    </row>
    <row r="192" spans="1:66" hidden="1">
      <c r="A192">
        <v>100066</v>
      </c>
      <c r="B192" s="3" t="s">
        <v>103</v>
      </c>
      <c r="C192" s="1">
        <v>43300101</v>
      </c>
      <c r="D192" t="s">
        <v>67</v>
      </c>
      <c r="H192" t="str">
        <f t="shared" si="12"/>
        <v>04785851009</v>
      </c>
      <c r="I192" t="str">
        <f t="shared" si="13"/>
        <v>12268050155</v>
      </c>
      <c r="K192" t="str">
        <f>""</f>
        <v/>
      </c>
      <c r="M192" t="s">
        <v>68</v>
      </c>
      <c r="N192" t="str">
        <f t="shared" si="10"/>
        <v>FOR</v>
      </c>
      <c r="O192" t="s">
        <v>69</v>
      </c>
      <c r="P192" s="3" t="s">
        <v>75</v>
      </c>
      <c r="Q192">
        <v>2015</v>
      </c>
      <c r="R192" s="2">
        <v>42123</v>
      </c>
      <c r="S192" s="2">
        <v>42164</v>
      </c>
      <c r="T192" s="2">
        <v>42163</v>
      </c>
      <c r="U192" s="2">
        <v>42223</v>
      </c>
      <c r="V192" t="s">
        <v>71</v>
      </c>
      <c r="W192" t="str">
        <f>"          1010878430"</f>
        <v xml:space="preserve">          1010878430</v>
      </c>
      <c r="X192" s="1">
        <v>1114.5899999999999</v>
      </c>
      <c r="Y192">
        <v>0</v>
      </c>
      <c r="Z192"/>
      <c r="AB192"/>
      <c r="AC192">
        <v>913.6</v>
      </c>
      <c r="AD192">
        <v>230</v>
      </c>
      <c r="AE192" s="1">
        <v>210128</v>
      </c>
      <c r="AF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 s="2">
        <v>42746</v>
      </c>
      <c r="AQ192" t="s">
        <v>72</v>
      </c>
      <c r="AR192" t="s">
        <v>72</v>
      </c>
      <c r="AS192">
        <v>856</v>
      </c>
      <c r="AT192" s="4">
        <v>42453</v>
      </c>
      <c r="AU192" t="s">
        <v>73</v>
      </c>
      <c r="AV192">
        <v>856</v>
      </c>
      <c r="AW192" s="4">
        <v>42453</v>
      </c>
      <c r="BD192">
        <v>0</v>
      </c>
      <c r="BN192" t="s">
        <v>74</v>
      </c>
    </row>
    <row r="193" spans="1:66" hidden="1">
      <c r="A193">
        <v>100066</v>
      </c>
      <c r="B193" s="3" t="s">
        <v>103</v>
      </c>
      <c r="C193" s="1">
        <v>43300101</v>
      </c>
      <c r="D193" t="s">
        <v>67</v>
      </c>
      <c r="H193" t="str">
        <f t="shared" si="12"/>
        <v>04785851009</v>
      </c>
      <c r="I193" t="str">
        <f t="shared" si="13"/>
        <v>12268050155</v>
      </c>
      <c r="K193" t="str">
        <f>""</f>
        <v/>
      </c>
      <c r="M193" t="s">
        <v>68</v>
      </c>
      <c r="N193" t="str">
        <f t="shared" si="10"/>
        <v>FOR</v>
      </c>
      <c r="O193" t="s">
        <v>69</v>
      </c>
      <c r="P193" s="3" t="s">
        <v>75</v>
      </c>
      <c r="Q193">
        <v>2015</v>
      </c>
      <c r="R193" s="2">
        <v>42123</v>
      </c>
      <c r="S193" s="2">
        <v>42164</v>
      </c>
      <c r="T193" s="2">
        <v>42163</v>
      </c>
      <c r="U193" s="2">
        <v>42223</v>
      </c>
      <c r="V193" t="s">
        <v>71</v>
      </c>
      <c r="W193" t="str">
        <f>"          1010878431"</f>
        <v xml:space="preserve">          1010878431</v>
      </c>
      <c r="X193" s="1">
        <v>3922.06</v>
      </c>
      <c r="Y193">
        <v>0</v>
      </c>
      <c r="Z193"/>
      <c r="AB193"/>
      <c r="AC193" s="1">
        <v>3214.8</v>
      </c>
      <c r="AD193">
        <v>230</v>
      </c>
      <c r="AE193" s="1">
        <v>739404</v>
      </c>
      <c r="AF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 s="2">
        <v>42746</v>
      </c>
      <c r="AQ193" t="s">
        <v>72</v>
      </c>
      <c r="AR193" t="s">
        <v>72</v>
      </c>
      <c r="AS193">
        <v>856</v>
      </c>
      <c r="AT193" s="4">
        <v>42453</v>
      </c>
      <c r="AU193" t="s">
        <v>73</v>
      </c>
      <c r="AV193">
        <v>856</v>
      </c>
      <c r="AW193" s="4">
        <v>42453</v>
      </c>
      <c r="BD193">
        <v>0</v>
      </c>
      <c r="BN193" t="s">
        <v>74</v>
      </c>
    </row>
    <row r="194" spans="1:66" hidden="1">
      <c r="A194">
        <v>100066</v>
      </c>
      <c r="B194" s="3" t="s">
        <v>103</v>
      </c>
      <c r="C194" s="1">
        <v>43300101</v>
      </c>
      <c r="D194" t="s">
        <v>67</v>
      </c>
      <c r="H194" t="str">
        <f t="shared" si="12"/>
        <v>04785851009</v>
      </c>
      <c r="I194" t="str">
        <f t="shared" si="13"/>
        <v>12268050155</v>
      </c>
      <c r="K194" t="str">
        <f>""</f>
        <v/>
      </c>
      <c r="M194" t="s">
        <v>68</v>
      </c>
      <c r="N194" t="str">
        <f t="shared" si="10"/>
        <v>FOR</v>
      </c>
      <c r="O194" t="s">
        <v>69</v>
      </c>
      <c r="P194" s="3" t="s">
        <v>75</v>
      </c>
      <c r="Q194">
        <v>2015</v>
      </c>
      <c r="R194" s="2">
        <v>42128</v>
      </c>
      <c r="S194" s="2">
        <v>42160</v>
      </c>
      <c r="T194" s="2">
        <v>42145</v>
      </c>
      <c r="U194" s="2">
        <v>42205</v>
      </c>
      <c r="V194" t="s">
        <v>71</v>
      </c>
      <c r="W194" t="str">
        <f>"          1010881265"</f>
        <v xml:space="preserve">          1010881265</v>
      </c>
      <c r="X194" s="1">
        <v>8296</v>
      </c>
      <c r="Y194">
        <v>0</v>
      </c>
      <c r="Z194"/>
      <c r="AB194"/>
      <c r="AC194" s="1">
        <v>6800</v>
      </c>
      <c r="AD194">
        <v>248</v>
      </c>
      <c r="AE194" s="1">
        <v>1686400</v>
      </c>
      <c r="AF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 s="2">
        <v>42746</v>
      </c>
      <c r="AQ194" t="s">
        <v>72</v>
      </c>
      <c r="AR194" t="s">
        <v>72</v>
      </c>
      <c r="AS194">
        <v>856</v>
      </c>
      <c r="AT194" s="4">
        <v>42453</v>
      </c>
      <c r="AU194" t="s">
        <v>73</v>
      </c>
      <c r="AV194">
        <v>856</v>
      </c>
      <c r="AW194" s="4">
        <v>42453</v>
      </c>
      <c r="BD194">
        <v>0</v>
      </c>
      <c r="BN194" t="s">
        <v>74</v>
      </c>
    </row>
    <row r="195" spans="1:66" hidden="1">
      <c r="A195">
        <v>100066</v>
      </c>
      <c r="B195" s="3" t="s">
        <v>103</v>
      </c>
      <c r="C195" s="1">
        <v>43300101</v>
      </c>
      <c r="D195" t="s">
        <v>67</v>
      </c>
      <c r="H195" t="str">
        <f t="shared" si="12"/>
        <v>04785851009</v>
      </c>
      <c r="I195" t="str">
        <f t="shared" si="13"/>
        <v>12268050155</v>
      </c>
      <c r="K195" t="str">
        <f>""</f>
        <v/>
      </c>
      <c r="M195" t="s">
        <v>68</v>
      </c>
      <c r="N195" t="str">
        <f t="shared" ref="N195:N258" si="14">"FOR"</f>
        <v>FOR</v>
      </c>
      <c r="O195" t="s">
        <v>69</v>
      </c>
      <c r="P195" s="3" t="s">
        <v>75</v>
      </c>
      <c r="Q195">
        <v>2015</v>
      </c>
      <c r="R195" s="2">
        <v>42129</v>
      </c>
      <c r="S195" s="2">
        <v>42160</v>
      </c>
      <c r="T195" s="2">
        <v>42145</v>
      </c>
      <c r="U195" s="2">
        <v>42205</v>
      </c>
      <c r="V195" t="s">
        <v>71</v>
      </c>
      <c r="W195" t="str">
        <f>"          1010881500"</f>
        <v xml:space="preserve">          1010881500</v>
      </c>
      <c r="X195" s="1">
        <v>1156.56</v>
      </c>
      <c r="Y195">
        <v>0</v>
      </c>
      <c r="Z195"/>
      <c r="AB195"/>
      <c r="AC195">
        <v>948</v>
      </c>
      <c r="AD195">
        <v>248</v>
      </c>
      <c r="AE195" s="1">
        <v>235104</v>
      </c>
      <c r="AF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 s="2">
        <v>42746</v>
      </c>
      <c r="AQ195" t="s">
        <v>72</v>
      </c>
      <c r="AR195" t="s">
        <v>72</v>
      </c>
      <c r="AS195">
        <v>856</v>
      </c>
      <c r="AT195" s="4">
        <v>42453</v>
      </c>
      <c r="AU195" t="s">
        <v>73</v>
      </c>
      <c r="AV195">
        <v>856</v>
      </c>
      <c r="AW195" s="4">
        <v>42453</v>
      </c>
      <c r="BD195">
        <v>0</v>
      </c>
      <c r="BN195" t="s">
        <v>74</v>
      </c>
    </row>
    <row r="196" spans="1:66" hidden="1">
      <c r="A196">
        <v>100066</v>
      </c>
      <c r="B196" s="3" t="s">
        <v>103</v>
      </c>
      <c r="C196" s="1">
        <v>43300101</v>
      </c>
      <c r="D196" t="s">
        <v>67</v>
      </c>
      <c r="H196" t="str">
        <f t="shared" si="12"/>
        <v>04785851009</v>
      </c>
      <c r="I196" t="str">
        <f t="shared" si="13"/>
        <v>12268050155</v>
      </c>
      <c r="K196" t="str">
        <f>""</f>
        <v/>
      </c>
      <c r="M196" t="s">
        <v>68</v>
      </c>
      <c r="N196" t="str">
        <f t="shared" si="14"/>
        <v>FOR</v>
      </c>
      <c r="O196" t="s">
        <v>69</v>
      </c>
      <c r="P196" s="3" t="s">
        <v>75</v>
      </c>
      <c r="Q196">
        <v>2015</v>
      </c>
      <c r="R196" s="2">
        <v>42131</v>
      </c>
      <c r="S196" s="2">
        <v>42158</v>
      </c>
      <c r="T196" s="2">
        <v>42145</v>
      </c>
      <c r="U196" s="2">
        <v>42205</v>
      </c>
      <c r="V196" t="s">
        <v>71</v>
      </c>
      <c r="W196" t="str">
        <f>"          1010881732"</f>
        <v xml:space="preserve">          1010881732</v>
      </c>
      <c r="X196" s="1">
        <v>2229.1799999999998</v>
      </c>
      <c r="Y196">
        <v>0</v>
      </c>
      <c r="Z196"/>
      <c r="AB196"/>
      <c r="AC196" s="1">
        <v>1827.2</v>
      </c>
      <c r="AD196">
        <v>248</v>
      </c>
      <c r="AE196" s="1">
        <v>453145.59999999998</v>
      </c>
      <c r="AF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 s="2">
        <v>42746</v>
      </c>
      <c r="AQ196" t="s">
        <v>72</v>
      </c>
      <c r="AR196" t="s">
        <v>72</v>
      </c>
      <c r="AS196">
        <v>856</v>
      </c>
      <c r="AT196" s="4">
        <v>42453</v>
      </c>
      <c r="AU196" t="s">
        <v>73</v>
      </c>
      <c r="AV196">
        <v>856</v>
      </c>
      <c r="AW196" s="4">
        <v>42453</v>
      </c>
      <c r="BD196">
        <v>0</v>
      </c>
      <c r="BN196" t="s">
        <v>74</v>
      </c>
    </row>
    <row r="197" spans="1:66" hidden="1">
      <c r="A197">
        <v>100066</v>
      </c>
      <c r="B197" s="3" t="s">
        <v>103</v>
      </c>
      <c r="C197" s="1">
        <v>43300101</v>
      </c>
      <c r="D197" t="s">
        <v>67</v>
      </c>
      <c r="H197" t="str">
        <f t="shared" si="12"/>
        <v>04785851009</v>
      </c>
      <c r="I197" t="str">
        <f t="shared" si="13"/>
        <v>12268050155</v>
      </c>
      <c r="K197" t="str">
        <f>""</f>
        <v/>
      </c>
      <c r="M197" t="s">
        <v>68</v>
      </c>
      <c r="N197" t="str">
        <f t="shared" si="14"/>
        <v>FOR</v>
      </c>
      <c r="O197" t="s">
        <v>69</v>
      </c>
      <c r="P197" s="3" t="s">
        <v>75</v>
      </c>
      <c r="Q197">
        <v>2015</v>
      </c>
      <c r="R197" s="2">
        <v>42131</v>
      </c>
      <c r="S197" s="2">
        <v>42158</v>
      </c>
      <c r="T197" s="2">
        <v>42145</v>
      </c>
      <c r="U197" s="2">
        <v>42205</v>
      </c>
      <c r="V197" t="s">
        <v>71</v>
      </c>
      <c r="W197" t="str">
        <f>"          1010881824"</f>
        <v xml:space="preserve">          1010881824</v>
      </c>
      <c r="X197" s="1">
        <v>3964.02</v>
      </c>
      <c r="Y197">
        <v>0</v>
      </c>
      <c r="Z197"/>
      <c r="AB197"/>
      <c r="AC197" s="1">
        <v>3249.2</v>
      </c>
      <c r="AD197">
        <v>248</v>
      </c>
      <c r="AE197" s="1">
        <v>805801.6</v>
      </c>
      <c r="AF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 s="2">
        <v>42746</v>
      </c>
      <c r="AQ197" t="s">
        <v>72</v>
      </c>
      <c r="AR197" t="s">
        <v>72</v>
      </c>
      <c r="AS197">
        <v>856</v>
      </c>
      <c r="AT197" s="4">
        <v>42453</v>
      </c>
      <c r="AU197" t="s">
        <v>73</v>
      </c>
      <c r="AV197">
        <v>856</v>
      </c>
      <c r="AW197" s="4">
        <v>42453</v>
      </c>
      <c r="BD197">
        <v>0</v>
      </c>
      <c r="BN197" t="s">
        <v>74</v>
      </c>
    </row>
    <row r="198" spans="1:66" hidden="1">
      <c r="A198">
        <v>100066</v>
      </c>
      <c r="B198" s="3" t="s">
        <v>103</v>
      </c>
      <c r="C198" s="1">
        <v>43300101</v>
      </c>
      <c r="D198" t="s">
        <v>67</v>
      </c>
      <c r="H198" t="str">
        <f t="shared" si="12"/>
        <v>04785851009</v>
      </c>
      <c r="I198" t="str">
        <f t="shared" si="13"/>
        <v>12268050155</v>
      </c>
      <c r="K198" t="str">
        <f>""</f>
        <v/>
      </c>
      <c r="M198" t="s">
        <v>68</v>
      </c>
      <c r="N198" t="str">
        <f t="shared" si="14"/>
        <v>FOR</v>
      </c>
      <c r="O198" t="s">
        <v>69</v>
      </c>
      <c r="P198" s="3" t="s">
        <v>75</v>
      </c>
      <c r="Q198">
        <v>2015</v>
      </c>
      <c r="R198" s="2">
        <v>42136</v>
      </c>
      <c r="S198" s="2">
        <v>42160</v>
      </c>
      <c r="T198" s="2">
        <v>42146</v>
      </c>
      <c r="U198" s="2">
        <v>42206</v>
      </c>
      <c r="V198" t="s">
        <v>71</v>
      </c>
      <c r="W198" t="str">
        <f>"          1010882442"</f>
        <v xml:space="preserve">          1010882442</v>
      </c>
      <c r="X198" s="1">
        <v>12883.32</v>
      </c>
      <c r="Y198">
        <v>0</v>
      </c>
      <c r="Z198"/>
      <c r="AB198"/>
      <c r="AC198" s="1">
        <v>10560.1</v>
      </c>
      <c r="AD198">
        <v>247</v>
      </c>
      <c r="AE198" s="1">
        <v>2608344.7000000002</v>
      </c>
      <c r="AF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 s="2">
        <v>42746</v>
      </c>
      <c r="AQ198" t="s">
        <v>72</v>
      </c>
      <c r="AR198" t="s">
        <v>72</v>
      </c>
      <c r="AS198">
        <v>856</v>
      </c>
      <c r="AT198" s="4">
        <v>42453</v>
      </c>
      <c r="AU198" t="s">
        <v>73</v>
      </c>
      <c r="AV198">
        <v>856</v>
      </c>
      <c r="AW198" s="4">
        <v>42453</v>
      </c>
      <c r="BD198">
        <v>0</v>
      </c>
      <c r="BN198" t="s">
        <v>74</v>
      </c>
    </row>
    <row r="199" spans="1:66" hidden="1">
      <c r="A199">
        <v>100066</v>
      </c>
      <c r="B199" s="3" t="s">
        <v>103</v>
      </c>
      <c r="C199" s="1">
        <v>43300101</v>
      </c>
      <c r="D199" t="s">
        <v>67</v>
      </c>
      <c r="H199" t="str">
        <f t="shared" si="12"/>
        <v>04785851009</v>
      </c>
      <c r="I199" t="str">
        <f t="shared" si="13"/>
        <v>12268050155</v>
      </c>
      <c r="K199" t="str">
        <f>""</f>
        <v/>
      </c>
      <c r="M199" t="s">
        <v>68</v>
      </c>
      <c r="N199" t="str">
        <f t="shared" si="14"/>
        <v>FOR</v>
      </c>
      <c r="O199" t="s">
        <v>69</v>
      </c>
      <c r="P199" s="3" t="s">
        <v>75</v>
      </c>
      <c r="Q199">
        <v>2015</v>
      </c>
      <c r="R199" s="2">
        <v>42136</v>
      </c>
      <c r="S199" s="2">
        <v>42158</v>
      </c>
      <c r="T199" s="2">
        <v>42146</v>
      </c>
      <c r="U199" s="2">
        <v>42206</v>
      </c>
      <c r="V199" t="s">
        <v>71</v>
      </c>
      <c r="W199" t="str">
        <f>"          1010882443"</f>
        <v xml:space="preserve">          1010882443</v>
      </c>
      <c r="X199" s="1">
        <v>9943.06</v>
      </c>
      <c r="Y199">
        <v>0</v>
      </c>
      <c r="Z199"/>
      <c r="AB199"/>
      <c r="AC199" s="1">
        <v>8150.05</v>
      </c>
      <c r="AD199">
        <v>247</v>
      </c>
      <c r="AE199" s="1">
        <v>2013062.35</v>
      </c>
      <c r="AF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 s="2">
        <v>42746</v>
      </c>
      <c r="AQ199" t="s">
        <v>72</v>
      </c>
      <c r="AR199" t="s">
        <v>72</v>
      </c>
      <c r="AS199">
        <v>856</v>
      </c>
      <c r="AT199" s="4">
        <v>42453</v>
      </c>
      <c r="AU199" t="s">
        <v>73</v>
      </c>
      <c r="AV199">
        <v>856</v>
      </c>
      <c r="AW199" s="4">
        <v>42453</v>
      </c>
      <c r="BD199">
        <v>0</v>
      </c>
      <c r="BN199" t="s">
        <v>74</v>
      </c>
    </row>
    <row r="200" spans="1:66" hidden="1">
      <c r="A200">
        <v>100066</v>
      </c>
      <c r="B200" s="3" t="s">
        <v>103</v>
      </c>
      <c r="C200" s="1">
        <v>43300101</v>
      </c>
      <c r="D200" t="s">
        <v>67</v>
      </c>
      <c r="H200" t="str">
        <f t="shared" si="12"/>
        <v>04785851009</v>
      </c>
      <c r="I200" t="str">
        <f t="shared" si="13"/>
        <v>12268050155</v>
      </c>
      <c r="K200" t="str">
        <f>""</f>
        <v/>
      </c>
      <c r="M200" t="s">
        <v>68</v>
      </c>
      <c r="N200" t="str">
        <f t="shared" si="14"/>
        <v>FOR</v>
      </c>
      <c r="O200" t="s">
        <v>69</v>
      </c>
      <c r="P200" s="3" t="s">
        <v>75</v>
      </c>
      <c r="Q200">
        <v>2015</v>
      </c>
      <c r="R200" s="2">
        <v>42136</v>
      </c>
      <c r="S200" s="2">
        <v>42160</v>
      </c>
      <c r="T200" s="2">
        <v>42146</v>
      </c>
      <c r="U200" s="2">
        <v>42206</v>
      </c>
      <c r="V200" t="s">
        <v>71</v>
      </c>
      <c r="W200" t="str">
        <f>"          1010882444"</f>
        <v xml:space="preserve">          1010882444</v>
      </c>
      <c r="X200">
        <v>280.60000000000002</v>
      </c>
      <c r="Y200">
        <v>0</v>
      </c>
      <c r="Z200"/>
      <c r="AB200"/>
      <c r="AC200">
        <v>230</v>
      </c>
      <c r="AD200">
        <v>247</v>
      </c>
      <c r="AE200" s="1">
        <v>56810</v>
      </c>
      <c r="AF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 s="2">
        <v>42746</v>
      </c>
      <c r="AQ200" t="s">
        <v>72</v>
      </c>
      <c r="AR200" t="s">
        <v>72</v>
      </c>
      <c r="AS200">
        <v>856</v>
      </c>
      <c r="AT200" s="4">
        <v>42453</v>
      </c>
      <c r="AU200" t="s">
        <v>73</v>
      </c>
      <c r="AV200">
        <v>856</v>
      </c>
      <c r="AW200" s="4">
        <v>42453</v>
      </c>
      <c r="BD200">
        <v>0</v>
      </c>
      <c r="BN200" t="s">
        <v>74</v>
      </c>
    </row>
    <row r="201" spans="1:66" hidden="1">
      <c r="A201">
        <v>100066</v>
      </c>
      <c r="B201" s="3" t="s">
        <v>103</v>
      </c>
      <c r="C201" s="1">
        <v>43300101</v>
      </c>
      <c r="D201" t="s">
        <v>67</v>
      </c>
      <c r="H201" t="str">
        <f t="shared" ref="H201:H232" si="15">"04785851009"</f>
        <v>04785851009</v>
      </c>
      <c r="I201" t="str">
        <f t="shared" ref="I201:I232" si="16">"12268050155"</f>
        <v>12268050155</v>
      </c>
      <c r="K201" t="str">
        <f>""</f>
        <v/>
      </c>
      <c r="M201" t="s">
        <v>68</v>
      </c>
      <c r="N201" t="str">
        <f t="shared" si="14"/>
        <v>FOR</v>
      </c>
      <c r="O201" t="s">
        <v>69</v>
      </c>
      <c r="P201" s="3" t="s">
        <v>75</v>
      </c>
      <c r="Q201">
        <v>2015</v>
      </c>
      <c r="R201" s="2">
        <v>42136</v>
      </c>
      <c r="S201" s="2">
        <v>42160</v>
      </c>
      <c r="T201" s="2">
        <v>42146</v>
      </c>
      <c r="U201" s="2">
        <v>42206</v>
      </c>
      <c r="V201" t="s">
        <v>71</v>
      </c>
      <c r="W201" t="str">
        <f>"          1010882445"</f>
        <v xml:space="preserve">          1010882445</v>
      </c>
      <c r="X201" s="1">
        <v>8491.2000000000007</v>
      </c>
      <c r="Y201">
        <v>0</v>
      </c>
      <c r="Z201"/>
      <c r="AB201"/>
      <c r="AC201" s="1">
        <v>6960</v>
      </c>
      <c r="AD201">
        <v>247</v>
      </c>
      <c r="AE201" s="1">
        <v>1719120</v>
      </c>
      <c r="AF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 s="2">
        <v>42746</v>
      </c>
      <c r="AQ201" t="s">
        <v>72</v>
      </c>
      <c r="AR201" t="s">
        <v>72</v>
      </c>
      <c r="AS201">
        <v>856</v>
      </c>
      <c r="AT201" s="4">
        <v>42453</v>
      </c>
      <c r="AU201" t="s">
        <v>73</v>
      </c>
      <c r="AV201">
        <v>856</v>
      </c>
      <c r="AW201" s="4">
        <v>42453</v>
      </c>
      <c r="BD201">
        <v>0</v>
      </c>
      <c r="BN201" t="s">
        <v>74</v>
      </c>
    </row>
    <row r="202" spans="1:66" hidden="1">
      <c r="A202">
        <v>100066</v>
      </c>
      <c r="B202" s="3" t="s">
        <v>103</v>
      </c>
      <c r="C202" s="1">
        <v>43300101</v>
      </c>
      <c r="D202" t="s">
        <v>67</v>
      </c>
      <c r="H202" t="str">
        <f t="shared" si="15"/>
        <v>04785851009</v>
      </c>
      <c r="I202" t="str">
        <f t="shared" si="16"/>
        <v>12268050155</v>
      </c>
      <c r="K202" t="str">
        <f>""</f>
        <v/>
      </c>
      <c r="M202" t="s">
        <v>68</v>
      </c>
      <c r="N202" t="str">
        <f t="shared" si="14"/>
        <v>FOR</v>
      </c>
      <c r="O202" t="s">
        <v>69</v>
      </c>
      <c r="P202" s="3" t="s">
        <v>75</v>
      </c>
      <c r="Q202">
        <v>2015</v>
      </c>
      <c r="R202" s="2">
        <v>42136</v>
      </c>
      <c r="S202" s="2">
        <v>42160</v>
      </c>
      <c r="T202" s="2">
        <v>42146</v>
      </c>
      <c r="U202" s="2">
        <v>42206</v>
      </c>
      <c r="V202" t="s">
        <v>71</v>
      </c>
      <c r="W202" t="str">
        <f>"          1010882446"</f>
        <v xml:space="preserve">          1010882446</v>
      </c>
      <c r="X202" s="1">
        <v>3771.26</v>
      </c>
      <c r="Y202">
        <v>0</v>
      </c>
      <c r="Z202"/>
      <c r="AB202"/>
      <c r="AC202" s="1">
        <v>3091.2</v>
      </c>
      <c r="AD202">
        <v>247</v>
      </c>
      <c r="AE202" s="1">
        <v>763526.4</v>
      </c>
      <c r="AF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 s="2">
        <v>42746</v>
      </c>
      <c r="AQ202" t="s">
        <v>72</v>
      </c>
      <c r="AR202" t="s">
        <v>72</v>
      </c>
      <c r="AS202">
        <v>856</v>
      </c>
      <c r="AT202" s="4">
        <v>42453</v>
      </c>
      <c r="AU202" t="s">
        <v>73</v>
      </c>
      <c r="AV202">
        <v>856</v>
      </c>
      <c r="AW202" s="4">
        <v>42453</v>
      </c>
      <c r="BD202">
        <v>0</v>
      </c>
      <c r="BN202" t="s">
        <v>74</v>
      </c>
    </row>
    <row r="203" spans="1:66" hidden="1">
      <c r="A203">
        <v>100066</v>
      </c>
      <c r="B203" s="3" t="s">
        <v>103</v>
      </c>
      <c r="C203" s="1">
        <v>43300101</v>
      </c>
      <c r="D203" t="s">
        <v>67</v>
      </c>
      <c r="H203" t="str">
        <f t="shared" si="15"/>
        <v>04785851009</v>
      </c>
      <c r="I203" t="str">
        <f t="shared" si="16"/>
        <v>12268050155</v>
      </c>
      <c r="K203" t="str">
        <f>""</f>
        <v/>
      </c>
      <c r="M203" t="s">
        <v>68</v>
      </c>
      <c r="N203" t="str">
        <f t="shared" si="14"/>
        <v>FOR</v>
      </c>
      <c r="O203" t="s">
        <v>69</v>
      </c>
      <c r="P203" s="3" t="s">
        <v>75</v>
      </c>
      <c r="Q203">
        <v>2015</v>
      </c>
      <c r="R203" s="2">
        <v>42142</v>
      </c>
      <c r="S203" s="2">
        <v>42160</v>
      </c>
      <c r="T203" s="2">
        <v>42145</v>
      </c>
      <c r="U203" s="2">
        <v>42205</v>
      </c>
      <c r="V203" t="s">
        <v>71</v>
      </c>
      <c r="W203" t="str">
        <f>"          1010883698"</f>
        <v xml:space="preserve">          1010883698</v>
      </c>
      <c r="X203">
        <v>151.66999999999999</v>
      </c>
      <c r="Y203">
        <v>0</v>
      </c>
      <c r="Z203"/>
      <c r="AB203"/>
      <c r="AC203">
        <v>124.32</v>
      </c>
      <c r="AD203">
        <v>248</v>
      </c>
      <c r="AE203" s="1">
        <v>30831.360000000001</v>
      </c>
      <c r="AF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 s="2">
        <v>42746</v>
      </c>
      <c r="AQ203" t="s">
        <v>72</v>
      </c>
      <c r="AR203" t="s">
        <v>72</v>
      </c>
      <c r="AS203">
        <v>856</v>
      </c>
      <c r="AT203" s="4">
        <v>42453</v>
      </c>
      <c r="AU203" t="s">
        <v>73</v>
      </c>
      <c r="AV203">
        <v>856</v>
      </c>
      <c r="AW203" s="4">
        <v>42453</v>
      </c>
      <c r="BD203">
        <v>0</v>
      </c>
      <c r="BN203" t="s">
        <v>74</v>
      </c>
    </row>
    <row r="204" spans="1:66" hidden="1">
      <c r="A204">
        <v>100066</v>
      </c>
      <c r="B204" s="3" t="s">
        <v>103</v>
      </c>
      <c r="C204" s="1">
        <v>43300101</v>
      </c>
      <c r="D204" t="s">
        <v>67</v>
      </c>
      <c r="H204" t="str">
        <f t="shared" si="15"/>
        <v>04785851009</v>
      </c>
      <c r="I204" t="str">
        <f t="shared" si="16"/>
        <v>12268050155</v>
      </c>
      <c r="K204" t="str">
        <f>""</f>
        <v/>
      </c>
      <c r="M204" t="s">
        <v>68</v>
      </c>
      <c r="N204" t="str">
        <f t="shared" si="14"/>
        <v>FOR</v>
      </c>
      <c r="O204" t="s">
        <v>69</v>
      </c>
      <c r="P204" s="3" t="s">
        <v>75</v>
      </c>
      <c r="Q204">
        <v>2015</v>
      </c>
      <c r="R204" s="2">
        <v>42151</v>
      </c>
      <c r="S204" s="2">
        <v>42160</v>
      </c>
      <c r="T204" s="2">
        <v>42156</v>
      </c>
      <c r="U204" s="2">
        <v>42216</v>
      </c>
      <c r="V204" t="s">
        <v>71</v>
      </c>
      <c r="W204" t="str">
        <f>"          1010884913"</f>
        <v xml:space="preserve">          1010884913</v>
      </c>
      <c r="X204" s="1">
        <v>2229.1799999999998</v>
      </c>
      <c r="Y204">
        <v>0</v>
      </c>
      <c r="Z204"/>
      <c r="AB204"/>
      <c r="AC204" s="1">
        <v>1827.2</v>
      </c>
      <c r="AD204">
        <v>237</v>
      </c>
      <c r="AE204" s="1">
        <v>433046.4</v>
      </c>
      <c r="AF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 s="2">
        <v>42746</v>
      </c>
      <c r="AQ204" t="s">
        <v>72</v>
      </c>
      <c r="AR204" t="s">
        <v>72</v>
      </c>
      <c r="AS204">
        <v>856</v>
      </c>
      <c r="AT204" s="4">
        <v>42453</v>
      </c>
      <c r="AU204" t="s">
        <v>73</v>
      </c>
      <c r="AV204">
        <v>856</v>
      </c>
      <c r="AW204" s="4">
        <v>42453</v>
      </c>
      <c r="BD204">
        <v>0</v>
      </c>
      <c r="BN204" t="s">
        <v>74</v>
      </c>
    </row>
    <row r="205" spans="1:66" hidden="1">
      <c r="A205">
        <v>100066</v>
      </c>
      <c r="B205" s="3" t="s">
        <v>103</v>
      </c>
      <c r="C205" s="1">
        <v>43300101</v>
      </c>
      <c r="D205" t="s">
        <v>67</v>
      </c>
      <c r="H205" t="str">
        <f t="shared" si="15"/>
        <v>04785851009</v>
      </c>
      <c r="I205" t="str">
        <f t="shared" si="16"/>
        <v>12268050155</v>
      </c>
      <c r="K205" t="str">
        <f>""</f>
        <v/>
      </c>
      <c r="M205" t="s">
        <v>68</v>
      </c>
      <c r="N205" t="str">
        <f t="shared" si="14"/>
        <v>FOR</v>
      </c>
      <c r="O205" t="s">
        <v>69</v>
      </c>
      <c r="P205" s="3" t="s">
        <v>75</v>
      </c>
      <c r="Q205">
        <v>2015</v>
      </c>
      <c r="R205" s="2">
        <v>42163</v>
      </c>
      <c r="S205" s="2">
        <v>42174</v>
      </c>
      <c r="T205" s="2">
        <v>42173</v>
      </c>
      <c r="U205" s="2">
        <v>42233</v>
      </c>
      <c r="V205" t="s">
        <v>71</v>
      </c>
      <c r="W205" t="str">
        <f>"          1010886535"</f>
        <v xml:space="preserve">          1010886535</v>
      </c>
      <c r="X205" s="1">
        <v>14186.97</v>
      </c>
      <c r="Y205">
        <v>0</v>
      </c>
      <c r="Z205"/>
      <c r="AB205"/>
      <c r="AC205" s="1">
        <v>11628.66</v>
      </c>
      <c r="AD205">
        <v>287</v>
      </c>
      <c r="AE205" s="1">
        <v>3337425.42</v>
      </c>
      <c r="AF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 s="2">
        <v>42746</v>
      </c>
      <c r="AQ205" t="s">
        <v>72</v>
      </c>
      <c r="AR205" t="s">
        <v>72</v>
      </c>
      <c r="AS205">
        <v>1462</v>
      </c>
      <c r="AT205" s="4">
        <v>42520</v>
      </c>
      <c r="AU205" t="s">
        <v>73</v>
      </c>
      <c r="AV205">
        <v>1462</v>
      </c>
      <c r="AW205" s="4">
        <v>42520</v>
      </c>
      <c r="BD205">
        <v>0</v>
      </c>
      <c r="BN205" t="s">
        <v>74</v>
      </c>
    </row>
    <row r="206" spans="1:66" hidden="1">
      <c r="A206">
        <v>100066</v>
      </c>
      <c r="B206" s="3" t="s">
        <v>103</v>
      </c>
      <c r="C206" s="1">
        <v>43300101</v>
      </c>
      <c r="D206" t="s">
        <v>67</v>
      </c>
      <c r="H206" t="str">
        <f t="shared" si="15"/>
        <v>04785851009</v>
      </c>
      <c r="I206" t="str">
        <f t="shared" si="16"/>
        <v>12268050155</v>
      </c>
      <c r="K206" t="str">
        <f>""</f>
        <v/>
      </c>
      <c r="M206" t="s">
        <v>68</v>
      </c>
      <c r="N206" t="str">
        <f t="shared" si="14"/>
        <v>FOR</v>
      </c>
      <c r="O206" t="s">
        <v>69</v>
      </c>
      <c r="P206" s="3" t="s">
        <v>75</v>
      </c>
      <c r="Q206">
        <v>2015</v>
      </c>
      <c r="R206" s="2">
        <v>42164</v>
      </c>
      <c r="S206" s="2">
        <v>42174</v>
      </c>
      <c r="T206" s="2">
        <v>42173</v>
      </c>
      <c r="U206" s="2">
        <v>42233</v>
      </c>
      <c r="V206" t="s">
        <v>71</v>
      </c>
      <c r="W206" t="str">
        <f>"          1010886820"</f>
        <v xml:space="preserve">          1010886820</v>
      </c>
      <c r="X206" s="1">
        <v>11590</v>
      </c>
      <c r="Y206">
        <v>0</v>
      </c>
      <c r="Z206"/>
      <c r="AB206"/>
      <c r="AC206" s="1">
        <v>9500</v>
      </c>
      <c r="AD206">
        <v>259</v>
      </c>
      <c r="AE206" s="1">
        <v>2460500</v>
      </c>
      <c r="AF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 s="2">
        <v>42746</v>
      </c>
      <c r="AQ206" t="s">
        <v>72</v>
      </c>
      <c r="AR206" t="s">
        <v>72</v>
      </c>
      <c r="AS206">
        <v>1242</v>
      </c>
      <c r="AT206" s="4">
        <v>42492</v>
      </c>
      <c r="AU206" t="s">
        <v>73</v>
      </c>
      <c r="AV206">
        <v>1242</v>
      </c>
      <c r="AW206" s="4">
        <v>42492</v>
      </c>
      <c r="BD206">
        <v>0</v>
      </c>
      <c r="BN206" t="s">
        <v>74</v>
      </c>
    </row>
    <row r="207" spans="1:66" hidden="1">
      <c r="A207">
        <v>100066</v>
      </c>
      <c r="B207" s="3" t="s">
        <v>103</v>
      </c>
      <c r="C207" s="1">
        <v>43300101</v>
      </c>
      <c r="D207" t="s">
        <v>67</v>
      </c>
      <c r="H207" t="str">
        <f t="shared" si="15"/>
        <v>04785851009</v>
      </c>
      <c r="I207" t="str">
        <f t="shared" si="16"/>
        <v>12268050155</v>
      </c>
      <c r="K207" t="str">
        <f>""</f>
        <v/>
      </c>
      <c r="M207" t="s">
        <v>68</v>
      </c>
      <c r="N207" t="str">
        <f t="shared" si="14"/>
        <v>FOR</v>
      </c>
      <c r="O207" t="s">
        <v>69</v>
      </c>
      <c r="P207" s="3" t="s">
        <v>75</v>
      </c>
      <c r="Q207">
        <v>2015</v>
      </c>
      <c r="R207" s="2">
        <v>42164</v>
      </c>
      <c r="S207" s="2">
        <v>42174</v>
      </c>
      <c r="T207" s="2">
        <v>42173</v>
      </c>
      <c r="U207" s="2">
        <v>42233</v>
      </c>
      <c r="V207" t="s">
        <v>71</v>
      </c>
      <c r="W207" t="str">
        <f>"          1010886821"</f>
        <v xml:space="preserve">          1010886821</v>
      </c>
      <c r="X207" s="1">
        <v>6539.2</v>
      </c>
      <c r="Y207">
        <v>0</v>
      </c>
      <c r="Z207"/>
      <c r="AB207"/>
      <c r="AC207" s="1">
        <v>5360</v>
      </c>
      <c r="AD207">
        <v>259</v>
      </c>
      <c r="AE207" s="1">
        <v>1388240</v>
      </c>
      <c r="AF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 s="2">
        <v>42746</v>
      </c>
      <c r="AQ207" t="s">
        <v>72</v>
      </c>
      <c r="AR207" t="s">
        <v>72</v>
      </c>
      <c r="AS207">
        <v>1242</v>
      </c>
      <c r="AT207" s="4">
        <v>42492</v>
      </c>
      <c r="AU207" t="s">
        <v>73</v>
      </c>
      <c r="AV207">
        <v>1242</v>
      </c>
      <c r="AW207" s="4">
        <v>42492</v>
      </c>
      <c r="BD207">
        <v>0</v>
      </c>
      <c r="BN207" t="s">
        <v>74</v>
      </c>
    </row>
    <row r="208" spans="1:66" hidden="1">
      <c r="A208">
        <v>100066</v>
      </c>
      <c r="B208" s="3" t="s">
        <v>103</v>
      </c>
      <c r="C208" s="1">
        <v>43300101</v>
      </c>
      <c r="D208" t="s">
        <v>67</v>
      </c>
      <c r="H208" t="str">
        <f t="shared" si="15"/>
        <v>04785851009</v>
      </c>
      <c r="I208" t="str">
        <f t="shared" si="16"/>
        <v>12268050155</v>
      </c>
      <c r="K208" t="str">
        <f>""</f>
        <v/>
      </c>
      <c r="M208" t="s">
        <v>68</v>
      </c>
      <c r="N208" t="str">
        <f t="shared" si="14"/>
        <v>FOR</v>
      </c>
      <c r="O208" t="s">
        <v>69</v>
      </c>
      <c r="P208" s="3" t="s">
        <v>75</v>
      </c>
      <c r="Q208">
        <v>2015</v>
      </c>
      <c r="R208" s="2">
        <v>42164</v>
      </c>
      <c r="S208" s="2">
        <v>42174</v>
      </c>
      <c r="T208" s="2">
        <v>42173</v>
      </c>
      <c r="U208" s="2">
        <v>42233</v>
      </c>
      <c r="V208" t="s">
        <v>71</v>
      </c>
      <c r="W208" t="str">
        <f>"          1010886822"</f>
        <v xml:space="preserve">          1010886822</v>
      </c>
      <c r="X208" s="1">
        <v>8837.35</v>
      </c>
      <c r="Y208">
        <v>0</v>
      </c>
      <c r="Z208"/>
      <c r="AB208"/>
      <c r="AC208" s="1">
        <v>7243.73</v>
      </c>
      <c r="AD208">
        <v>259</v>
      </c>
      <c r="AE208" s="1">
        <v>1876126.07</v>
      </c>
      <c r="AF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 s="2">
        <v>42746</v>
      </c>
      <c r="AQ208" t="s">
        <v>72</v>
      </c>
      <c r="AR208" t="s">
        <v>72</v>
      </c>
      <c r="AS208">
        <v>1242</v>
      </c>
      <c r="AT208" s="4">
        <v>42492</v>
      </c>
      <c r="AU208" t="s">
        <v>73</v>
      </c>
      <c r="AV208">
        <v>1242</v>
      </c>
      <c r="AW208" s="4">
        <v>42492</v>
      </c>
      <c r="BD208">
        <v>0</v>
      </c>
      <c r="BN208" t="s">
        <v>74</v>
      </c>
    </row>
    <row r="209" spans="1:66" hidden="1">
      <c r="A209">
        <v>100066</v>
      </c>
      <c r="B209" s="3" t="s">
        <v>103</v>
      </c>
      <c r="C209" s="1">
        <v>43300101</v>
      </c>
      <c r="D209" t="s">
        <v>67</v>
      </c>
      <c r="H209" t="str">
        <f t="shared" si="15"/>
        <v>04785851009</v>
      </c>
      <c r="I209" t="str">
        <f t="shared" si="16"/>
        <v>12268050155</v>
      </c>
      <c r="K209" t="str">
        <f>""</f>
        <v/>
      </c>
      <c r="M209" t="s">
        <v>68</v>
      </c>
      <c r="N209" t="str">
        <f t="shared" si="14"/>
        <v>FOR</v>
      </c>
      <c r="O209" t="s">
        <v>69</v>
      </c>
      <c r="P209" s="3" t="s">
        <v>75</v>
      </c>
      <c r="Q209">
        <v>2015</v>
      </c>
      <c r="R209" s="2">
        <v>42164</v>
      </c>
      <c r="S209" s="2">
        <v>42174</v>
      </c>
      <c r="T209" s="2">
        <v>42173</v>
      </c>
      <c r="U209" s="2">
        <v>42233</v>
      </c>
      <c r="V209" t="s">
        <v>71</v>
      </c>
      <c r="W209" t="str">
        <f>"          1010886823"</f>
        <v xml:space="preserve">          1010886823</v>
      </c>
      <c r="X209" s="1">
        <v>12807.56</v>
      </c>
      <c r="Y209">
        <v>0</v>
      </c>
      <c r="Z209"/>
      <c r="AB209"/>
      <c r="AC209" s="1">
        <v>10498</v>
      </c>
      <c r="AD209">
        <v>259</v>
      </c>
      <c r="AE209" s="1">
        <v>2718982</v>
      </c>
      <c r="AF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 s="2">
        <v>42746</v>
      </c>
      <c r="AQ209" t="s">
        <v>72</v>
      </c>
      <c r="AR209" t="s">
        <v>72</v>
      </c>
      <c r="AS209">
        <v>1242</v>
      </c>
      <c r="AT209" s="4">
        <v>42492</v>
      </c>
      <c r="AU209" t="s">
        <v>73</v>
      </c>
      <c r="AV209">
        <v>1242</v>
      </c>
      <c r="AW209" s="4">
        <v>42492</v>
      </c>
      <c r="BD209">
        <v>0</v>
      </c>
      <c r="BN209" t="s">
        <v>74</v>
      </c>
    </row>
    <row r="210" spans="1:66" hidden="1">
      <c r="A210">
        <v>100066</v>
      </c>
      <c r="B210" s="3" t="s">
        <v>103</v>
      </c>
      <c r="C210" s="1">
        <v>43300101</v>
      </c>
      <c r="D210" t="s">
        <v>67</v>
      </c>
      <c r="H210" t="str">
        <f t="shared" si="15"/>
        <v>04785851009</v>
      </c>
      <c r="I210" t="str">
        <f t="shared" si="16"/>
        <v>12268050155</v>
      </c>
      <c r="K210" t="str">
        <f>""</f>
        <v/>
      </c>
      <c r="M210" t="s">
        <v>68</v>
      </c>
      <c r="N210" t="str">
        <f t="shared" si="14"/>
        <v>FOR</v>
      </c>
      <c r="O210" t="s">
        <v>69</v>
      </c>
      <c r="P210" s="3" t="s">
        <v>75</v>
      </c>
      <c r="Q210">
        <v>2015</v>
      </c>
      <c r="R210" s="2">
        <v>42164</v>
      </c>
      <c r="S210" s="2">
        <v>42174</v>
      </c>
      <c r="T210" s="2">
        <v>42173</v>
      </c>
      <c r="U210" s="2">
        <v>42233</v>
      </c>
      <c r="V210" t="s">
        <v>71</v>
      </c>
      <c r="W210" t="str">
        <f>"          1010886824"</f>
        <v xml:space="preserve">          1010886824</v>
      </c>
      <c r="X210" s="1">
        <v>1647.61</v>
      </c>
      <c r="Y210">
        <v>0</v>
      </c>
      <c r="Z210"/>
      <c r="AB210"/>
      <c r="AC210" s="1">
        <v>1350.5</v>
      </c>
      <c r="AD210">
        <v>259</v>
      </c>
      <c r="AE210" s="1">
        <v>349779.5</v>
      </c>
      <c r="AF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 s="2">
        <v>42746</v>
      </c>
      <c r="AQ210" t="s">
        <v>72</v>
      </c>
      <c r="AR210" t="s">
        <v>72</v>
      </c>
      <c r="AS210">
        <v>1242</v>
      </c>
      <c r="AT210" s="4">
        <v>42492</v>
      </c>
      <c r="AU210" t="s">
        <v>73</v>
      </c>
      <c r="AV210">
        <v>1242</v>
      </c>
      <c r="AW210" s="4">
        <v>42492</v>
      </c>
      <c r="BD210">
        <v>0</v>
      </c>
      <c r="BN210" t="s">
        <v>74</v>
      </c>
    </row>
    <row r="211" spans="1:66" hidden="1">
      <c r="A211">
        <v>100066</v>
      </c>
      <c r="B211" s="3" t="s">
        <v>103</v>
      </c>
      <c r="C211" s="1">
        <v>43300101</v>
      </c>
      <c r="D211" t="s">
        <v>67</v>
      </c>
      <c r="H211" t="str">
        <f t="shared" si="15"/>
        <v>04785851009</v>
      </c>
      <c r="I211" t="str">
        <f t="shared" si="16"/>
        <v>12268050155</v>
      </c>
      <c r="K211" t="str">
        <f>""</f>
        <v/>
      </c>
      <c r="M211" t="s">
        <v>68</v>
      </c>
      <c r="N211" t="str">
        <f t="shared" si="14"/>
        <v>FOR</v>
      </c>
      <c r="O211" t="s">
        <v>69</v>
      </c>
      <c r="P211" s="3" t="s">
        <v>75</v>
      </c>
      <c r="Q211">
        <v>2015</v>
      </c>
      <c r="R211" s="2">
        <v>42164</v>
      </c>
      <c r="S211" s="2">
        <v>42174</v>
      </c>
      <c r="T211" s="2">
        <v>42173</v>
      </c>
      <c r="U211" s="2">
        <v>42233</v>
      </c>
      <c r="V211" t="s">
        <v>71</v>
      </c>
      <c r="W211" t="str">
        <f>"          1010886825"</f>
        <v xml:space="preserve">          1010886825</v>
      </c>
      <c r="X211" s="1">
        <v>3343.78</v>
      </c>
      <c r="Y211">
        <v>0</v>
      </c>
      <c r="Z211"/>
      <c r="AB211"/>
      <c r="AC211" s="1">
        <v>2740.8</v>
      </c>
      <c r="AD211">
        <v>259</v>
      </c>
      <c r="AE211" s="1">
        <v>709867.2</v>
      </c>
      <c r="AF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 s="2">
        <v>42746</v>
      </c>
      <c r="AQ211" t="s">
        <v>72</v>
      </c>
      <c r="AR211" t="s">
        <v>72</v>
      </c>
      <c r="AS211">
        <v>1242</v>
      </c>
      <c r="AT211" s="4">
        <v>42492</v>
      </c>
      <c r="AU211" t="s">
        <v>73</v>
      </c>
      <c r="AV211">
        <v>1242</v>
      </c>
      <c r="AW211" s="4">
        <v>42492</v>
      </c>
      <c r="BD211">
        <v>0</v>
      </c>
      <c r="BN211" t="s">
        <v>74</v>
      </c>
    </row>
    <row r="212" spans="1:66" hidden="1">
      <c r="A212">
        <v>100066</v>
      </c>
      <c r="B212" s="3" t="s">
        <v>103</v>
      </c>
      <c r="C212" s="1">
        <v>43300101</v>
      </c>
      <c r="D212" t="s">
        <v>67</v>
      </c>
      <c r="H212" t="str">
        <f t="shared" si="15"/>
        <v>04785851009</v>
      </c>
      <c r="I212" t="str">
        <f t="shared" si="16"/>
        <v>12268050155</v>
      </c>
      <c r="K212" t="str">
        <f>""</f>
        <v/>
      </c>
      <c r="M212" t="s">
        <v>68</v>
      </c>
      <c r="N212" t="str">
        <f t="shared" si="14"/>
        <v>FOR</v>
      </c>
      <c r="O212" t="s">
        <v>69</v>
      </c>
      <c r="P212" s="3" t="s">
        <v>75</v>
      </c>
      <c r="Q212">
        <v>2015</v>
      </c>
      <c r="R212" s="2">
        <v>42164</v>
      </c>
      <c r="S212" s="2">
        <v>42174</v>
      </c>
      <c r="T212" s="2">
        <v>42173</v>
      </c>
      <c r="U212" s="2">
        <v>42233</v>
      </c>
      <c r="V212" t="s">
        <v>71</v>
      </c>
      <c r="W212" t="str">
        <f>"          1010886826"</f>
        <v xml:space="preserve">          1010886826</v>
      </c>
      <c r="X212">
        <v>32.94</v>
      </c>
      <c r="Y212">
        <v>0</v>
      </c>
      <c r="Z212"/>
      <c r="AB212"/>
      <c r="AC212">
        <v>27</v>
      </c>
      <c r="AD212">
        <v>259</v>
      </c>
      <c r="AE212" s="1">
        <v>6993</v>
      </c>
      <c r="AF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 s="2">
        <v>42746</v>
      </c>
      <c r="AQ212" t="s">
        <v>72</v>
      </c>
      <c r="AR212" t="s">
        <v>72</v>
      </c>
      <c r="AS212">
        <v>1242</v>
      </c>
      <c r="AT212" s="4">
        <v>42492</v>
      </c>
      <c r="AU212" t="s">
        <v>73</v>
      </c>
      <c r="AV212">
        <v>1242</v>
      </c>
      <c r="AW212" s="4">
        <v>42492</v>
      </c>
      <c r="BD212">
        <v>0</v>
      </c>
      <c r="BN212" t="s">
        <v>74</v>
      </c>
    </row>
    <row r="213" spans="1:66" hidden="1">
      <c r="A213">
        <v>100066</v>
      </c>
      <c r="B213" s="3" t="s">
        <v>103</v>
      </c>
      <c r="C213" s="1">
        <v>43300101</v>
      </c>
      <c r="D213" t="s">
        <v>67</v>
      </c>
      <c r="H213" t="str">
        <f t="shared" si="15"/>
        <v>04785851009</v>
      </c>
      <c r="I213" t="str">
        <f t="shared" si="16"/>
        <v>12268050155</v>
      </c>
      <c r="K213" t="str">
        <f>""</f>
        <v/>
      </c>
      <c r="M213" t="s">
        <v>68</v>
      </c>
      <c r="N213" t="str">
        <f t="shared" si="14"/>
        <v>FOR</v>
      </c>
      <c r="O213" t="s">
        <v>69</v>
      </c>
      <c r="P213" s="3" t="s">
        <v>75</v>
      </c>
      <c r="Q213">
        <v>2015</v>
      </c>
      <c r="R213" s="2">
        <v>42164</v>
      </c>
      <c r="S213" s="2">
        <v>42174</v>
      </c>
      <c r="T213" s="2">
        <v>42173</v>
      </c>
      <c r="U213" s="2">
        <v>42233</v>
      </c>
      <c r="V213" t="s">
        <v>71</v>
      </c>
      <c r="W213" t="str">
        <f>"          1010886827"</f>
        <v xml:space="preserve">          1010886827</v>
      </c>
      <c r="X213" s="1">
        <v>13045.46</v>
      </c>
      <c r="Y213">
        <v>0</v>
      </c>
      <c r="Z213"/>
      <c r="AB213"/>
      <c r="AC213" s="1">
        <v>10693</v>
      </c>
      <c r="AD213">
        <v>287</v>
      </c>
      <c r="AE213" s="1">
        <v>3068891</v>
      </c>
      <c r="AF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 s="2">
        <v>42746</v>
      </c>
      <c r="AQ213" t="s">
        <v>72</v>
      </c>
      <c r="AR213" t="s">
        <v>72</v>
      </c>
      <c r="AS213">
        <v>1462</v>
      </c>
      <c r="AT213" s="4">
        <v>42520</v>
      </c>
      <c r="AU213" t="s">
        <v>73</v>
      </c>
      <c r="AV213">
        <v>1462</v>
      </c>
      <c r="AW213" s="4">
        <v>42520</v>
      </c>
      <c r="BD213">
        <v>0</v>
      </c>
      <c r="BN213" t="s">
        <v>74</v>
      </c>
    </row>
    <row r="214" spans="1:66" hidden="1">
      <c r="A214">
        <v>100066</v>
      </c>
      <c r="B214" s="3" t="s">
        <v>103</v>
      </c>
      <c r="C214" s="1">
        <v>43300101</v>
      </c>
      <c r="D214" t="s">
        <v>67</v>
      </c>
      <c r="H214" t="str">
        <f t="shared" si="15"/>
        <v>04785851009</v>
      </c>
      <c r="I214" t="str">
        <f t="shared" si="16"/>
        <v>12268050155</v>
      </c>
      <c r="K214" t="str">
        <f>""</f>
        <v/>
      </c>
      <c r="M214" t="s">
        <v>68</v>
      </c>
      <c r="N214" t="str">
        <f t="shared" si="14"/>
        <v>FOR</v>
      </c>
      <c r="O214" t="s">
        <v>69</v>
      </c>
      <c r="P214" s="3" t="s">
        <v>75</v>
      </c>
      <c r="Q214">
        <v>2015</v>
      </c>
      <c r="R214" s="2">
        <v>42165</v>
      </c>
      <c r="S214" s="2">
        <v>42174</v>
      </c>
      <c r="T214" s="2">
        <v>42173</v>
      </c>
      <c r="U214" s="2">
        <v>42233</v>
      </c>
      <c r="V214" t="s">
        <v>71</v>
      </c>
      <c r="W214" t="str">
        <f>"          1010887046"</f>
        <v xml:space="preserve">          1010887046</v>
      </c>
      <c r="X214" s="1">
        <v>1756.8</v>
      </c>
      <c r="Y214">
        <v>0</v>
      </c>
      <c r="Z214"/>
      <c r="AB214"/>
      <c r="AC214" s="1">
        <v>1440</v>
      </c>
      <c r="AD214">
        <v>259</v>
      </c>
      <c r="AE214" s="1">
        <v>372960</v>
      </c>
      <c r="AF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 s="2">
        <v>42746</v>
      </c>
      <c r="AQ214" t="s">
        <v>72</v>
      </c>
      <c r="AR214" t="s">
        <v>72</v>
      </c>
      <c r="AS214">
        <v>1242</v>
      </c>
      <c r="AT214" s="4">
        <v>42492</v>
      </c>
      <c r="AU214" t="s">
        <v>73</v>
      </c>
      <c r="AV214">
        <v>1242</v>
      </c>
      <c r="AW214" s="4">
        <v>42492</v>
      </c>
      <c r="BD214">
        <v>0</v>
      </c>
      <c r="BN214" t="s">
        <v>74</v>
      </c>
    </row>
    <row r="215" spans="1:66" hidden="1">
      <c r="A215">
        <v>100066</v>
      </c>
      <c r="B215" s="3" t="s">
        <v>103</v>
      </c>
      <c r="C215" s="1">
        <v>43300101</v>
      </c>
      <c r="D215" t="s">
        <v>67</v>
      </c>
      <c r="H215" t="str">
        <f t="shared" si="15"/>
        <v>04785851009</v>
      </c>
      <c r="I215" t="str">
        <f t="shared" si="16"/>
        <v>12268050155</v>
      </c>
      <c r="K215" t="str">
        <f>""</f>
        <v/>
      </c>
      <c r="M215" t="s">
        <v>68</v>
      </c>
      <c r="N215" t="str">
        <f t="shared" si="14"/>
        <v>FOR</v>
      </c>
      <c r="O215" t="s">
        <v>69</v>
      </c>
      <c r="P215" s="3" t="s">
        <v>75</v>
      </c>
      <c r="Q215">
        <v>2015</v>
      </c>
      <c r="R215" s="2">
        <v>42165</v>
      </c>
      <c r="S215" s="2">
        <v>42174</v>
      </c>
      <c r="T215" s="2">
        <v>42173</v>
      </c>
      <c r="U215" s="2">
        <v>42233</v>
      </c>
      <c r="V215" t="s">
        <v>71</v>
      </c>
      <c r="W215" t="str">
        <f>"          1010887047"</f>
        <v xml:space="preserve">          1010887047</v>
      </c>
      <c r="X215">
        <v>391.88</v>
      </c>
      <c r="Y215">
        <v>0</v>
      </c>
      <c r="Z215"/>
      <c r="AB215"/>
      <c r="AC215">
        <v>321.20999999999998</v>
      </c>
      <c r="AD215">
        <v>259</v>
      </c>
      <c r="AE215" s="1">
        <v>83193.39</v>
      </c>
      <c r="AF215">
        <v>0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 s="2">
        <v>42746</v>
      </c>
      <c r="AQ215" t="s">
        <v>72</v>
      </c>
      <c r="AR215" t="s">
        <v>72</v>
      </c>
      <c r="AS215">
        <v>1242</v>
      </c>
      <c r="AT215" s="4">
        <v>42492</v>
      </c>
      <c r="AU215" t="s">
        <v>73</v>
      </c>
      <c r="AV215">
        <v>1242</v>
      </c>
      <c r="AW215" s="4">
        <v>42492</v>
      </c>
      <c r="BD215">
        <v>0</v>
      </c>
      <c r="BN215" t="s">
        <v>74</v>
      </c>
    </row>
    <row r="216" spans="1:66" hidden="1">
      <c r="A216">
        <v>100066</v>
      </c>
      <c r="B216" s="3" t="s">
        <v>103</v>
      </c>
      <c r="C216" s="1">
        <v>43300101</v>
      </c>
      <c r="D216" t="s">
        <v>67</v>
      </c>
      <c r="H216" t="str">
        <f t="shared" si="15"/>
        <v>04785851009</v>
      </c>
      <c r="I216" t="str">
        <f t="shared" si="16"/>
        <v>12268050155</v>
      </c>
      <c r="K216" t="str">
        <f>""</f>
        <v/>
      </c>
      <c r="M216" t="s">
        <v>68</v>
      </c>
      <c r="N216" t="str">
        <f t="shared" si="14"/>
        <v>FOR</v>
      </c>
      <c r="O216" t="s">
        <v>69</v>
      </c>
      <c r="P216" s="3" t="s">
        <v>75</v>
      </c>
      <c r="Q216">
        <v>2015</v>
      </c>
      <c r="R216" s="2">
        <v>42172</v>
      </c>
      <c r="S216" s="2">
        <v>42174</v>
      </c>
      <c r="T216" s="2">
        <v>42173</v>
      </c>
      <c r="U216" s="2">
        <v>42233</v>
      </c>
      <c r="V216" t="s">
        <v>71</v>
      </c>
      <c r="W216" t="str">
        <f>"          1010888177"</f>
        <v xml:space="preserve">          1010888177</v>
      </c>
      <c r="X216" s="1">
        <v>3385.74</v>
      </c>
      <c r="Y216">
        <v>0</v>
      </c>
      <c r="Z216"/>
      <c r="AB216"/>
      <c r="AC216" s="1">
        <v>2775.2</v>
      </c>
      <c r="AD216">
        <v>259</v>
      </c>
      <c r="AE216" s="1">
        <v>718776.8</v>
      </c>
      <c r="AF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 s="2">
        <v>42746</v>
      </c>
      <c r="AQ216" t="s">
        <v>72</v>
      </c>
      <c r="AR216" t="s">
        <v>72</v>
      </c>
      <c r="AS216">
        <v>1242</v>
      </c>
      <c r="AT216" s="4">
        <v>42492</v>
      </c>
      <c r="AU216" t="s">
        <v>73</v>
      </c>
      <c r="AV216">
        <v>1242</v>
      </c>
      <c r="AW216" s="4">
        <v>42492</v>
      </c>
      <c r="BD216">
        <v>0</v>
      </c>
      <c r="BN216" t="s">
        <v>74</v>
      </c>
    </row>
    <row r="217" spans="1:66" hidden="1">
      <c r="A217">
        <v>100066</v>
      </c>
      <c r="B217" s="3" t="s">
        <v>103</v>
      </c>
      <c r="C217" s="1">
        <v>43300101</v>
      </c>
      <c r="D217" t="s">
        <v>67</v>
      </c>
      <c r="H217" t="str">
        <f t="shared" si="15"/>
        <v>04785851009</v>
      </c>
      <c r="I217" t="str">
        <f t="shared" si="16"/>
        <v>12268050155</v>
      </c>
      <c r="K217" t="str">
        <f>""</f>
        <v/>
      </c>
      <c r="M217" t="s">
        <v>68</v>
      </c>
      <c r="N217" t="str">
        <f t="shared" si="14"/>
        <v>FOR</v>
      </c>
      <c r="O217" t="s">
        <v>69</v>
      </c>
      <c r="P217" s="3" t="s">
        <v>75</v>
      </c>
      <c r="Q217">
        <v>2015</v>
      </c>
      <c r="R217" s="2">
        <v>42175</v>
      </c>
      <c r="S217" s="2">
        <v>42181</v>
      </c>
      <c r="T217" s="2">
        <v>42178</v>
      </c>
      <c r="U217" s="2">
        <v>42238</v>
      </c>
      <c r="V217" t="s">
        <v>71</v>
      </c>
      <c r="W217" t="str">
        <f>"          1010888491"</f>
        <v xml:space="preserve">          1010888491</v>
      </c>
      <c r="X217" s="1">
        <v>6235.18</v>
      </c>
      <c r="Y217">
        <v>0</v>
      </c>
      <c r="Z217"/>
      <c r="AB217"/>
      <c r="AC217" s="1">
        <v>5110.8</v>
      </c>
      <c r="AD217">
        <v>254</v>
      </c>
      <c r="AE217" s="1">
        <v>1298143.2</v>
      </c>
      <c r="AF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 s="2">
        <v>42746</v>
      </c>
      <c r="AQ217" t="s">
        <v>72</v>
      </c>
      <c r="AR217" t="s">
        <v>72</v>
      </c>
      <c r="AS217">
        <v>1242</v>
      </c>
      <c r="AT217" s="4">
        <v>42492</v>
      </c>
      <c r="AU217" t="s">
        <v>73</v>
      </c>
      <c r="AV217">
        <v>1242</v>
      </c>
      <c r="AW217" s="4">
        <v>42492</v>
      </c>
      <c r="BD217">
        <v>0</v>
      </c>
      <c r="BN217" t="s">
        <v>74</v>
      </c>
    </row>
    <row r="218" spans="1:66" hidden="1">
      <c r="A218">
        <v>100066</v>
      </c>
      <c r="B218" s="3" t="s">
        <v>103</v>
      </c>
      <c r="C218" s="1">
        <v>43300101</v>
      </c>
      <c r="D218" t="s">
        <v>67</v>
      </c>
      <c r="H218" t="str">
        <f t="shared" si="15"/>
        <v>04785851009</v>
      </c>
      <c r="I218" t="str">
        <f t="shared" si="16"/>
        <v>12268050155</v>
      </c>
      <c r="K218" t="str">
        <f>""</f>
        <v/>
      </c>
      <c r="M218" t="s">
        <v>68</v>
      </c>
      <c r="N218" t="str">
        <f t="shared" si="14"/>
        <v>FOR</v>
      </c>
      <c r="O218" t="s">
        <v>69</v>
      </c>
      <c r="P218" s="3" t="s">
        <v>75</v>
      </c>
      <c r="Q218">
        <v>2015</v>
      </c>
      <c r="R218" s="2">
        <v>42179</v>
      </c>
      <c r="S218" s="2">
        <v>42186</v>
      </c>
      <c r="T218" s="2">
        <v>42181</v>
      </c>
      <c r="U218" s="2">
        <v>42241</v>
      </c>
      <c r="V218" t="s">
        <v>71</v>
      </c>
      <c r="W218" t="str">
        <f>"          1010890363"</f>
        <v xml:space="preserve">          1010890363</v>
      </c>
      <c r="X218" s="1">
        <v>2229.1799999999998</v>
      </c>
      <c r="Y218">
        <v>0</v>
      </c>
      <c r="Z218"/>
      <c r="AB218"/>
      <c r="AC218" s="1">
        <v>1827.2</v>
      </c>
      <c r="AD218">
        <v>251</v>
      </c>
      <c r="AE218" s="1">
        <v>458627.2</v>
      </c>
      <c r="AF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 s="2">
        <v>42746</v>
      </c>
      <c r="AQ218" t="s">
        <v>72</v>
      </c>
      <c r="AR218" t="s">
        <v>72</v>
      </c>
      <c r="AS218">
        <v>1242</v>
      </c>
      <c r="AT218" s="4">
        <v>42492</v>
      </c>
      <c r="AU218" t="s">
        <v>73</v>
      </c>
      <c r="AV218">
        <v>1242</v>
      </c>
      <c r="AW218" s="4">
        <v>42492</v>
      </c>
      <c r="BD218">
        <v>0</v>
      </c>
      <c r="BN218" t="s">
        <v>74</v>
      </c>
    </row>
    <row r="219" spans="1:66" hidden="1">
      <c r="A219">
        <v>100066</v>
      </c>
      <c r="B219" s="3" t="s">
        <v>103</v>
      </c>
      <c r="C219" s="1">
        <v>43300101</v>
      </c>
      <c r="D219" t="s">
        <v>67</v>
      </c>
      <c r="H219" t="str">
        <f t="shared" si="15"/>
        <v>04785851009</v>
      </c>
      <c r="I219" t="str">
        <f t="shared" si="16"/>
        <v>12268050155</v>
      </c>
      <c r="K219" t="str">
        <f>""</f>
        <v/>
      </c>
      <c r="M219" t="s">
        <v>68</v>
      </c>
      <c r="N219" t="str">
        <f t="shared" si="14"/>
        <v>FOR</v>
      </c>
      <c r="O219" t="s">
        <v>69</v>
      </c>
      <c r="P219" s="3" t="s">
        <v>75</v>
      </c>
      <c r="Q219">
        <v>2015</v>
      </c>
      <c r="R219" s="2">
        <v>42179</v>
      </c>
      <c r="S219" s="2">
        <v>42186</v>
      </c>
      <c r="T219" s="2">
        <v>42181</v>
      </c>
      <c r="U219" s="2">
        <v>42241</v>
      </c>
      <c r="V219" t="s">
        <v>71</v>
      </c>
      <c r="W219" t="str">
        <f>"          1010890364"</f>
        <v xml:space="preserve">          1010890364</v>
      </c>
      <c r="X219" s="1">
        <v>14444.7</v>
      </c>
      <c r="Y219">
        <v>0</v>
      </c>
      <c r="Z219"/>
      <c r="AB219"/>
      <c r="AC219" s="1">
        <v>11839.92</v>
      </c>
      <c r="AD219">
        <v>251</v>
      </c>
      <c r="AE219" s="1">
        <v>2971819.92</v>
      </c>
      <c r="AF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 s="2">
        <v>42746</v>
      </c>
      <c r="AQ219" t="s">
        <v>72</v>
      </c>
      <c r="AR219" t="s">
        <v>72</v>
      </c>
      <c r="AS219">
        <v>1242</v>
      </c>
      <c r="AT219" s="4">
        <v>42492</v>
      </c>
      <c r="AU219" t="s">
        <v>73</v>
      </c>
      <c r="AV219">
        <v>1242</v>
      </c>
      <c r="AW219" s="4">
        <v>42492</v>
      </c>
      <c r="BD219">
        <v>0</v>
      </c>
      <c r="BN219" t="s">
        <v>74</v>
      </c>
    </row>
    <row r="220" spans="1:66" hidden="1">
      <c r="A220">
        <v>100066</v>
      </c>
      <c r="B220" s="3" t="s">
        <v>103</v>
      </c>
      <c r="C220" s="1">
        <v>43300101</v>
      </c>
      <c r="D220" t="s">
        <v>67</v>
      </c>
      <c r="H220" t="str">
        <f t="shared" si="15"/>
        <v>04785851009</v>
      </c>
      <c r="I220" t="str">
        <f t="shared" si="16"/>
        <v>12268050155</v>
      </c>
      <c r="K220" t="str">
        <f>""</f>
        <v/>
      </c>
      <c r="M220" t="s">
        <v>68</v>
      </c>
      <c r="N220" t="str">
        <f t="shared" si="14"/>
        <v>FOR</v>
      </c>
      <c r="O220" t="s">
        <v>69</v>
      </c>
      <c r="P220" s="3" t="s">
        <v>75</v>
      </c>
      <c r="Q220">
        <v>2015</v>
      </c>
      <c r="R220" s="2">
        <v>42180</v>
      </c>
      <c r="S220" s="2">
        <v>42186</v>
      </c>
      <c r="T220" s="2">
        <v>42181</v>
      </c>
      <c r="U220" s="2">
        <v>42241</v>
      </c>
      <c r="V220" t="s">
        <v>71</v>
      </c>
      <c r="W220" t="str">
        <f>"          1010890580"</f>
        <v xml:space="preserve">          1010890580</v>
      </c>
      <c r="X220">
        <v>578.28</v>
      </c>
      <c r="Y220">
        <v>0</v>
      </c>
      <c r="Z220"/>
      <c r="AB220"/>
      <c r="AC220">
        <v>474</v>
      </c>
      <c r="AD220">
        <v>251</v>
      </c>
      <c r="AE220" s="1">
        <v>118974</v>
      </c>
      <c r="AF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 s="2">
        <v>42746</v>
      </c>
      <c r="AQ220" t="s">
        <v>72</v>
      </c>
      <c r="AR220" t="s">
        <v>72</v>
      </c>
      <c r="AS220">
        <v>1242</v>
      </c>
      <c r="AT220" s="4">
        <v>42492</v>
      </c>
      <c r="AU220" t="s">
        <v>73</v>
      </c>
      <c r="AV220">
        <v>1242</v>
      </c>
      <c r="AW220" s="4">
        <v>42492</v>
      </c>
      <c r="BD220">
        <v>0</v>
      </c>
      <c r="BN220" t="s">
        <v>74</v>
      </c>
    </row>
    <row r="221" spans="1:66" hidden="1">
      <c r="A221">
        <v>100066</v>
      </c>
      <c r="B221" s="3" t="s">
        <v>103</v>
      </c>
      <c r="C221" s="1">
        <v>43300101</v>
      </c>
      <c r="D221" t="s">
        <v>67</v>
      </c>
      <c r="H221" t="str">
        <f t="shared" si="15"/>
        <v>04785851009</v>
      </c>
      <c r="I221" t="str">
        <f t="shared" si="16"/>
        <v>12268050155</v>
      </c>
      <c r="K221" t="str">
        <f>""</f>
        <v/>
      </c>
      <c r="M221" t="s">
        <v>68</v>
      </c>
      <c r="N221" t="str">
        <f t="shared" si="14"/>
        <v>FOR</v>
      </c>
      <c r="O221" t="s">
        <v>69</v>
      </c>
      <c r="P221" s="3" t="s">
        <v>75</v>
      </c>
      <c r="Q221">
        <v>2015</v>
      </c>
      <c r="R221" s="2">
        <v>42185</v>
      </c>
      <c r="S221" s="2">
        <v>42194</v>
      </c>
      <c r="T221" s="2">
        <v>42193</v>
      </c>
      <c r="U221" s="2">
        <v>42253</v>
      </c>
      <c r="V221" t="s">
        <v>71</v>
      </c>
      <c r="W221" t="str">
        <f>"          1010891093"</f>
        <v xml:space="preserve">          1010891093</v>
      </c>
      <c r="X221" s="1">
        <v>24399.98</v>
      </c>
      <c r="Y221">
        <v>0</v>
      </c>
      <c r="Z221"/>
      <c r="AB221"/>
      <c r="AC221" s="1">
        <v>19999.98</v>
      </c>
      <c r="AD221">
        <v>323</v>
      </c>
      <c r="AE221" s="1">
        <v>6459993.54</v>
      </c>
      <c r="AF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 s="2">
        <v>42746</v>
      </c>
      <c r="AQ221" t="s">
        <v>72</v>
      </c>
      <c r="AR221" t="s">
        <v>72</v>
      </c>
      <c r="AS221">
        <v>1912</v>
      </c>
      <c r="AT221" s="4">
        <v>42576</v>
      </c>
      <c r="AU221" t="s">
        <v>73</v>
      </c>
      <c r="AV221">
        <v>1912</v>
      </c>
      <c r="AW221" s="4">
        <v>42576</v>
      </c>
      <c r="BD221">
        <v>0</v>
      </c>
      <c r="BN221" t="s">
        <v>74</v>
      </c>
    </row>
    <row r="222" spans="1:66" hidden="1">
      <c r="A222">
        <v>100066</v>
      </c>
      <c r="B222" s="3" t="s">
        <v>103</v>
      </c>
      <c r="C222" s="1">
        <v>43300101</v>
      </c>
      <c r="D222" t="s">
        <v>67</v>
      </c>
      <c r="H222" t="str">
        <f t="shared" si="15"/>
        <v>04785851009</v>
      </c>
      <c r="I222" t="str">
        <f t="shared" si="16"/>
        <v>12268050155</v>
      </c>
      <c r="K222" t="str">
        <f>""</f>
        <v/>
      </c>
      <c r="M222" t="s">
        <v>68</v>
      </c>
      <c r="N222" t="str">
        <f t="shared" si="14"/>
        <v>FOR</v>
      </c>
      <c r="O222" t="s">
        <v>69</v>
      </c>
      <c r="P222" s="3" t="s">
        <v>75</v>
      </c>
      <c r="Q222">
        <v>2015</v>
      </c>
      <c r="R222" s="2">
        <v>42185</v>
      </c>
      <c r="S222" s="2">
        <v>42194</v>
      </c>
      <c r="T222" s="2">
        <v>42193</v>
      </c>
      <c r="U222" s="2">
        <v>42253</v>
      </c>
      <c r="V222" t="s">
        <v>71</v>
      </c>
      <c r="W222" t="str">
        <f>"          1010891094"</f>
        <v xml:space="preserve">          1010891094</v>
      </c>
      <c r="X222" s="1">
        <v>73200</v>
      </c>
      <c r="Y222">
        <v>0</v>
      </c>
      <c r="Z222"/>
      <c r="AB222"/>
      <c r="AC222" s="1">
        <v>60000</v>
      </c>
      <c r="AD222">
        <v>323</v>
      </c>
      <c r="AE222" s="1">
        <v>19380000</v>
      </c>
      <c r="AF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 s="2">
        <v>42746</v>
      </c>
      <c r="AQ222" t="s">
        <v>72</v>
      </c>
      <c r="AR222" t="s">
        <v>72</v>
      </c>
      <c r="AS222">
        <v>1912</v>
      </c>
      <c r="AT222" s="4">
        <v>42576</v>
      </c>
      <c r="AU222" t="s">
        <v>73</v>
      </c>
      <c r="AV222">
        <v>1912</v>
      </c>
      <c r="AW222" s="4">
        <v>42576</v>
      </c>
      <c r="BD222">
        <v>0</v>
      </c>
      <c r="BN222" t="s">
        <v>74</v>
      </c>
    </row>
    <row r="223" spans="1:66" hidden="1">
      <c r="A223">
        <v>100066</v>
      </c>
      <c r="B223" s="3" t="s">
        <v>103</v>
      </c>
      <c r="C223" s="1">
        <v>43300101</v>
      </c>
      <c r="D223" t="s">
        <v>67</v>
      </c>
      <c r="H223" t="str">
        <f t="shared" si="15"/>
        <v>04785851009</v>
      </c>
      <c r="I223" t="str">
        <f t="shared" si="16"/>
        <v>12268050155</v>
      </c>
      <c r="K223" t="str">
        <f>""</f>
        <v/>
      </c>
      <c r="M223" t="s">
        <v>68</v>
      </c>
      <c r="N223" t="str">
        <f t="shared" si="14"/>
        <v>FOR</v>
      </c>
      <c r="O223" t="s">
        <v>69</v>
      </c>
      <c r="P223" s="3" t="s">
        <v>75</v>
      </c>
      <c r="Q223">
        <v>2015</v>
      </c>
      <c r="R223" s="2">
        <v>42187</v>
      </c>
      <c r="S223" s="2">
        <v>42195</v>
      </c>
      <c r="T223" s="2">
        <v>42193</v>
      </c>
      <c r="U223" s="2">
        <v>42253</v>
      </c>
      <c r="V223" t="s">
        <v>71</v>
      </c>
      <c r="W223" t="str">
        <f>"          1010891672"</f>
        <v xml:space="preserve">          1010891672</v>
      </c>
      <c r="X223">
        <v>305</v>
      </c>
      <c r="Y223">
        <v>0</v>
      </c>
      <c r="Z223"/>
      <c r="AB223"/>
      <c r="AC223">
        <v>250</v>
      </c>
      <c r="AD223">
        <v>323</v>
      </c>
      <c r="AE223" s="1">
        <v>80750</v>
      </c>
      <c r="AF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 s="2">
        <v>42746</v>
      </c>
      <c r="AQ223" t="s">
        <v>72</v>
      </c>
      <c r="AR223" t="s">
        <v>72</v>
      </c>
      <c r="AS223">
        <v>1912</v>
      </c>
      <c r="AT223" s="4">
        <v>42576</v>
      </c>
      <c r="AU223" t="s">
        <v>73</v>
      </c>
      <c r="AV223">
        <v>1912</v>
      </c>
      <c r="AW223" s="4">
        <v>42576</v>
      </c>
      <c r="BD223">
        <v>0</v>
      </c>
      <c r="BN223" t="s">
        <v>74</v>
      </c>
    </row>
    <row r="224" spans="1:66" hidden="1">
      <c r="A224">
        <v>100066</v>
      </c>
      <c r="B224" s="3" t="s">
        <v>103</v>
      </c>
      <c r="C224" s="1">
        <v>43300101</v>
      </c>
      <c r="D224" t="s">
        <v>67</v>
      </c>
      <c r="H224" t="str">
        <f t="shared" si="15"/>
        <v>04785851009</v>
      </c>
      <c r="I224" t="str">
        <f t="shared" si="16"/>
        <v>12268050155</v>
      </c>
      <c r="K224" t="str">
        <f>""</f>
        <v/>
      </c>
      <c r="M224" t="s">
        <v>68</v>
      </c>
      <c r="N224" t="str">
        <f t="shared" si="14"/>
        <v>FOR</v>
      </c>
      <c r="O224" t="s">
        <v>69</v>
      </c>
      <c r="P224" s="3" t="s">
        <v>75</v>
      </c>
      <c r="Q224">
        <v>2015</v>
      </c>
      <c r="R224" s="2">
        <v>42187</v>
      </c>
      <c r="S224" s="2">
        <v>42195</v>
      </c>
      <c r="T224" s="2">
        <v>42193</v>
      </c>
      <c r="U224" s="2">
        <v>42253</v>
      </c>
      <c r="V224" t="s">
        <v>71</v>
      </c>
      <c r="W224" t="str">
        <f>"          1010891673"</f>
        <v xml:space="preserve">          1010891673</v>
      </c>
      <c r="X224">
        <v>239.12</v>
      </c>
      <c r="Y224">
        <v>0</v>
      </c>
      <c r="Z224"/>
      <c r="AB224"/>
      <c r="AC224">
        <v>196</v>
      </c>
      <c r="AD224">
        <v>323</v>
      </c>
      <c r="AE224" s="1">
        <v>63308</v>
      </c>
      <c r="AF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 s="2">
        <v>42746</v>
      </c>
      <c r="AQ224" t="s">
        <v>72</v>
      </c>
      <c r="AR224" t="s">
        <v>72</v>
      </c>
      <c r="AS224">
        <v>1912</v>
      </c>
      <c r="AT224" s="4">
        <v>42576</v>
      </c>
      <c r="AU224" t="s">
        <v>73</v>
      </c>
      <c r="AV224">
        <v>1912</v>
      </c>
      <c r="AW224" s="4">
        <v>42576</v>
      </c>
      <c r="BD224">
        <v>0</v>
      </c>
      <c r="BN224" t="s">
        <v>74</v>
      </c>
    </row>
    <row r="225" spans="1:66" hidden="1">
      <c r="A225">
        <v>100066</v>
      </c>
      <c r="B225" s="3" t="s">
        <v>103</v>
      </c>
      <c r="C225" s="1">
        <v>43300101</v>
      </c>
      <c r="D225" t="s">
        <v>67</v>
      </c>
      <c r="H225" t="str">
        <f t="shared" si="15"/>
        <v>04785851009</v>
      </c>
      <c r="I225" t="str">
        <f t="shared" si="16"/>
        <v>12268050155</v>
      </c>
      <c r="K225" t="str">
        <f>""</f>
        <v/>
      </c>
      <c r="M225" t="s">
        <v>68</v>
      </c>
      <c r="N225" t="str">
        <f t="shared" si="14"/>
        <v>FOR</v>
      </c>
      <c r="O225" t="s">
        <v>69</v>
      </c>
      <c r="P225" s="3" t="s">
        <v>75</v>
      </c>
      <c r="Q225">
        <v>2015</v>
      </c>
      <c r="R225" s="2">
        <v>42187</v>
      </c>
      <c r="S225" s="2">
        <v>42195</v>
      </c>
      <c r="T225" s="2">
        <v>42193</v>
      </c>
      <c r="U225" s="2">
        <v>42253</v>
      </c>
      <c r="V225" t="s">
        <v>71</v>
      </c>
      <c r="W225" t="str">
        <f>"          1010891674"</f>
        <v xml:space="preserve">          1010891674</v>
      </c>
      <c r="X225" s="1">
        <v>3048.44</v>
      </c>
      <c r="Y225">
        <v>0</v>
      </c>
      <c r="Z225"/>
      <c r="AB225"/>
      <c r="AC225" s="1">
        <v>2498.7199999999998</v>
      </c>
      <c r="AD225">
        <v>323</v>
      </c>
      <c r="AE225" s="1">
        <v>807086.56</v>
      </c>
      <c r="AF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 s="2">
        <v>42746</v>
      </c>
      <c r="AQ225" t="s">
        <v>72</v>
      </c>
      <c r="AR225" t="s">
        <v>72</v>
      </c>
      <c r="AS225">
        <v>1912</v>
      </c>
      <c r="AT225" s="4">
        <v>42576</v>
      </c>
      <c r="AU225" t="s">
        <v>73</v>
      </c>
      <c r="AV225">
        <v>1912</v>
      </c>
      <c r="AW225" s="4">
        <v>42576</v>
      </c>
      <c r="BD225">
        <v>0</v>
      </c>
      <c r="BN225" t="s">
        <v>74</v>
      </c>
    </row>
    <row r="226" spans="1:66" hidden="1">
      <c r="A226">
        <v>100066</v>
      </c>
      <c r="B226" s="3" t="s">
        <v>103</v>
      </c>
      <c r="C226" s="1">
        <v>43300101</v>
      </c>
      <c r="D226" t="s">
        <v>67</v>
      </c>
      <c r="H226" t="str">
        <f t="shared" si="15"/>
        <v>04785851009</v>
      </c>
      <c r="I226" t="str">
        <f t="shared" si="16"/>
        <v>12268050155</v>
      </c>
      <c r="K226" t="str">
        <f>""</f>
        <v/>
      </c>
      <c r="M226" t="s">
        <v>68</v>
      </c>
      <c r="N226" t="str">
        <f t="shared" si="14"/>
        <v>FOR</v>
      </c>
      <c r="O226" t="s">
        <v>69</v>
      </c>
      <c r="P226" s="3" t="s">
        <v>75</v>
      </c>
      <c r="Q226">
        <v>2015</v>
      </c>
      <c r="R226" s="2">
        <v>42191</v>
      </c>
      <c r="S226" s="2">
        <v>42195</v>
      </c>
      <c r="T226" s="2">
        <v>42193</v>
      </c>
      <c r="U226" s="2">
        <v>42253</v>
      </c>
      <c r="V226" t="s">
        <v>71</v>
      </c>
      <c r="W226" t="str">
        <f>"          1010892062"</f>
        <v xml:space="preserve">          1010892062</v>
      </c>
      <c r="X226" s="1">
        <v>4500.34</v>
      </c>
      <c r="Y226">
        <v>0</v>
      </c>
      <c r="Z226"/>
      <c r="AB226"/>
      <c r="AC226" s="1">
        <v>3688.8</v>
      </c>
      <c r="AD226">
        <v>323</v>
      </c>
      <c r="AE226" s="1">
        <v>1191482.3999999999</v>
      </c>
      <c r="AF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 s="2">
        <v>42746</v>
      </c>
      <c r="AQ226" t="s">
        <v>72</v>
      </c>
      <c r="AR226" t="s">
        <v>72</v>
      </c>
      <c r="AS226">
        <v>1912</v>
      </c>
      <c r="AT226" s="4">
        <v>42576</v>
      </c>
      <c r="AU226" t="s">
        <v>73</v>
      </c>
      <c r="AV226">
        <v>1912</v>
      </c>
      <c r="AW226" s="4">
        <v>42576</v>
      </c>
      <c r="BD226">
        <v>0</v>
      </c>
      <c r="BN226" t="s">
        <v>74</v>
      </c>
    </row>
    <row r="227" spans="1:66" hidden="1">
      <c r="A227">
        <v>100066</v>
      </c>
      <c r="B227" s="3" t="s">
        <v>103</v>
      </c>
      <c r="C227" s="1">
        <v>43300101</v>
      </c>
      <c r="D227" t="s">
        <v>67</v>
      </c>
      <c r="H227" t="str">
        <f t="shared" si="15"/>
        <v>04785851009</v>
      </c>
      <c r="I227" t="str">
        <f t="shared" si="16"/>
        <v>12268050155</v>
      </c>
      <c r="K227" t="str">
        <f>""</f>
        <v/>
      </c>
      <c r="M227" t="s">
        <v>68</v>
      </c>
      <c r="N227" t="str">
        <f t="shared" si="14"/>
        <v>FOR</v>
      </c>
      <c r="O227" t="s">
        <v>69</v>
      </c>
      <c r="P227" s="3" t="s">
        <v>75</v>
      </c>
      <c r="Q227">
        <v>2015</v>
      </c>
      <c r="R227" s="2">
        <v>42191</v>
      </c>
      <c r="S227" s="2">
        <v>42195</v>
      </c>
      <c r="T227" s="2">
        <v>42193</v>
      </c>
      <c r="U227" s="2">
        <v>42253</v>
      </c>
      <c r="V227" t="s">
        <v>71</v>
      </c>
      <c r="W227" t="str">
        <f>"          1010892063"</f>
        <v xml:space="preserve">          1010892063</v>
      </c>
      <c r="X227">
        <v>610</v>
      </c>
      <c r="Y227">
        <v>0</v>
      </c>
      <c r="Z227"/>
      <c r="AB227"/>
      <c r="AC227">
        <v>500</v>
      </c>
      <c r="AD227">
        <v>323</v>
      </c>
      <c r="AE227" s="1">
        <v>161500</v>
      </c>
      <c r="AF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 s="2">
        <v>42746</v>
      </c>
      <c r="AQ227" t="s">
        <v>72</v>
      </c>
      <c r="AR227" t="s">
        <v>72</v>
      </c>
      <c r="AS227">
        <v>1912</v>
      </c>
      <c r="AT227" s="4">
        <v>42576</v>
      </c>
      <c r="AU227" t="s">
        <v>73</v>
      </c>
      <c r="AV227">
        <v>1912</v>
      </c>
      <c r="AW227" s="4">
        <v>42576</v>
      </c>
      <c r="BD227">
        <v>0</v>
      </c>
      <c r="BN227" t="s">
        <v>74</v>
      </c>
    </row>
    <row r="228" spans="1:66" hidden="1">
      <c r="A228">
        <v>100066</v>
      </c>
      <c r="B228" s="3" t="s">
        <v>103</v>
      </c>
      <c r="C228" s="1">
        <v>43300101</v>
      </c>
      <c r="D228" t="s">
        <v>67</v>
      </c>
      <c r="H228" t="str">
        <f t="shared" si="15"/>
        <v>04785851009</v>
      </c>
      <c r="I228" t="str">
        <f t="shared" si="16"/>
        <v>12268050155</v>
      </c>
      <c r="K228" t="str">
        <f>""</f>
        <v/>
      </c>
      <c r="M228" t="s">
        <v>68</v>
      </c>
      <c r="N228" t="str">
        <f t="shared" si="14"/>
        <v>FOR</v>
      </c>
      <c r="O228" t="s">
        <v>69</v>
      </c>
      <c r="P228" s="3" t="s">
        <v>75</v>
      </c>
      <c r="Q228">
        <v>2015</v>
      </c>
      <c r="R228" s="2">
        <v>42195</v>
      </c>
      <c r="S228" s="2">
        <v>42212</v>
      </c>
      <c r="T228" s="2">
        <v>42209</v>
      </c>
      <c r="U228" s="2">
        <v>42269</v>
      </c>
      <c r="V228" t="s">
        <v>71</v>
      </c>
      <c r="W228" t="str">
        <f>"          1010892824"</f>
        <v xml:space="preserve">          1010892824</v>
      </c>
      <c r="X228">
        <v>783.75</v>
      </c>
      <c r="Y228">
        <v>0</v>
      </c>
      <c r="Z228"/>
      <c r="AB228"/>
      <c r="AC228">
        <v>642.41999999999996</v>
      </c>
      <c r="AD228">
        <v>307</v>
      </c>
      <c r="AE228" s="1">
        <v>197222.94</v>
      </c>
      <c r="AF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 s="2">
        <v>42746</v>
      </c>
      <c r="AQ228" t="s">
        <v>72</v>
      </c>
      <c r="AR228" t="s">
        <v>72</v>
      </c>
      <c r="AS228">
        <v>1912</v>
      </c>
      <c r="AT228" s="4">
        <v>42576</v>
      </c>
      <c r="AU228" t="s">
        <v>73</v>
      </c>
      <c r="AV228">
        <v>1912</v>
      </c>
      <c r="AW228" s="4">
        <v>42576</v>
      </c>
      <c r="BD228">
        <v>0</v>
      </c>
      <c r="BN228" t="s">
        <v>74</v>
      </c>
    </row>
    <row r="229" spans="1:66" hidden="1">
      <c r="A229">
        <v>100066</v>
      </c>
      <c r="B229" s="3" t="s">
        <v>103</v>
      </c>
      <c r="C229" s="1">
        <v>43300101</v>
      </c>
      <c r="D229" t="s">
        <v>67</v>
      </c>
      <c r="H229" t="str">
        <f t="shared" si="15"/>
        <v>04785851009</v>
      </c>
      <c r="I229" t="str">
        <f t="shared" si="16"/>
        <v>12268050155</v>
      </c>
      <c r="K229" t="str">
        <f>""</f>
        <v/>
      </c>
      <c r="M229" t="s">
        <v>68</v>
      </c>
      <c r="N229" t="str">
        <f t="shared" si="14"/>
        <v>FOR</v>
      </c>
      <c r="O229" t="s">
        <v>69</v>
      </c>
      <c r="P229" s="3" t="s">
        <v>75</v>
      </c>
      <c r="Q229">
        <v>2015</v>
      </c>
      <c r="R229" s="2">
        <v>42199</v>
      </c>
      <c r="S229" s="2">
        <v>42212</v>
      </c>
      <c r="T229" s="2">
        <v>42209</v>
      </c>
      <c r="U229" s="2">
        <v>42269</v>
      </c>
      <c r="V229" t="s">
        <v>71</v>
      </c>
      <c r="W229" t="str">
        <f>"          1010893235"</f>
        <v xml:space="preserve">          1010893235</v>
      </c>
      <c r="X229" s="1">
        <v>4500.34</v>
      </c>
      <c r="Y229">
        <v>0</v>
      </c>
      <c r="Z229"/>
      <c r="AB229"/>
      <c r="AC229" s="1">
        <v>3688.8</v>
      </c>
      <c r="AD229">
        <v>307</v>
      </c>
      <c r="AE229" s="1">
        <v>1132461.6000000001</v>
      </c>
      <c r="AF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 s="2">
        <v>42746</v>
      </c>
      <c r="AQ229" t="s">
        <v>72</v>
      </c>
      <c r="AR229" t="s">
        <v>72</v>
      </c>
      <c r="AS229">
        <v>1912</v>
      </c>
      <c r="AT229" s="4">
        <v>42576</v>
      </c>
      <c r="AU229" t="s">
        <v>73</v>
      </c>
      <c r="AV229">
        <v>1912</v>
      </c>
      <c r="AW229" s="4">
        <v>42576</v>
      </c>
      <c r="BD229">
        <v>0</v>
      </c>
      <c r="BN229" t="s">
        <v>74</v>
      </c>
    </row>
    <row r="230" spans="1:66" hidden="1">
      <c r="A230">
        <v>100066</v>
      </c>
      <c r="B230" s="3" t="s">
        <v>103</v>
      </c>
      <c r="C230" s="1">
        <v>43300101</v>
      </c>
      <c r="D230" t="s">
        <v>67</v>
      </c>
      <c r="H230" t="str">
        <f t="shared" si="15"/>
        <v>04785851009</v>
      </c>
      <c r="I230" t="str">
        <f t="shared" si="16"/>
        <v>12268050155</v>
      </c>
      <c r="K230" t="str">
        <f>""</f>
        <v/>
      </c>
      <c r="M230" t="s">
        <v>68</v>
      </c>
      <c r="N230" t="str">
        <f t="shared" si="14"/>
        <v>FOR</v>
      </c>
      <c r="O230" t="s">
        <v>69</v>
      </c>
      <c r="P230" s="3" t="s">
        <v>75</v>
      </c>
      <c r="Q230">
        <v>2015</v>
      </c>
      <c r="R230" s="2">
        <v>42200</v>
      </c>
      <c r="S230" s="2">
        <v>42212</v>
      </c>
      <c r="T230" s="2">
        <v>42209</v>
      </c>
      <c r="U230" s="2">
        <v>42269</v>
      </c>
      <c r="V230" t="s">
        <v>71</v>
      </c>
      <c r="W230" t="str">
        <f>"          1010893756"</f>
        <v xml:space="preserve">          1010893756</v>
      </c>
      <c r="X230" s="1">
        <v>38494.46</v>
      </c>
      <c r="Y230">
        <v>0</v>
      </c>
      <c r="Z230"/>
      <c r="AB230"/>
      <c r="AC230" s="1">
        <v>31552.84</v>
      </c>
      <c r="AD230">
        <v>307</v>
      </c>
      <c r="AE230" s="1">
        <v>9686721.8800000008</v>
      </c>
      <c r="AF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 s="2">
        <v>42746</v>
      </c>
      <c r="AQ230" t="s">
        <v>72</v>
      </c>
      <c r="AR230" t="s">
        <v>72</v>
      </c>
      <c r="AS230">
        <v>1912</v>
      </c>
      <c r="AT230" s="4">
        <v>42576</v>
      </c>
      <c r="AU230" t="s">
        <v>73</v>
      </c>
      <c r="AV230">
        <v>1912</v>
      </c>
      <c r="AW230" s="4">
        <v>42576</v>
      </c>
      <c r="BD230">
        <v>0</v>
      </c>
      <c r="BN230" t="s">
        <v>74</v>
      </c>
    </row>
    <row r="231" spans="1:66" hidden="1">
      <c r="A231">
        <v>100066</v>
      </c>
      <c r="B231" s="3" t="s">
        <v>103</v>
      </c>
      <c r="C231" s="1">
        <v>43300101</v>
      </c>
      <c r="D231" t="s">
        <v>67</v>
      </c>
      <c r="H231" t="str">
        <f t="shared" si="15"/>
        <v>04785851009</v>
      </c>
      <c r="I231" t="str">
        <f t="shared" si="16"/>
        <v>12268050155</v>
      </c>
      <c r="K231" t="str">
        <f>""</f>
        <v/>
      </c>
      <c r="M231" t="s">
        <v>68</v>
      </c>
      <c r="N231" t="str">
        <f t="shared" si="14"/>
        <v>FOR</v>
      </c>
      <c r="O231" t="s">
        <v>69</v>
      </c>
      <c r="P231" s="3" t="s">
        <v>75</v>
      </c>
      <c r="Q231">
        <v>2015</v>
      </c>
      <c r="R231" s="2">
        <v>42200</v>
      </c>
      <c r="S231" s="2">
        <v>42212</v>
      </c>
      <c r="T231" s="2">
        <v>42209</v>
      </c>
      <c r="U231" s="2">
        <v>42269</v>
      </c>
      <c r="V231" t="s">
        <v>71</v>
      </c>
      <c r="W231" t="str">
        <f>"          1010893757"</f>
        <v xml:space="preserve">          1010893757</v>
      </c>
      <c r="X231" s="1">
        <v>70798.600000000006</v>
      </c>
      <c r="Y231">
        <v>0</v>
      </c>
      <c r="Z231"/>
      <c r="AB231"/>
      <c r="AC231" s="1">
        <v>58031.64</v>
      </c>
      <c r="AD231">
        <v>307</v>
      </c>
      <c r="AE231" s="1">
        <v>17815713.48</v>
      </c>
      <c r="AF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 s="2">
        <v>42746</v>
      </c>
      <c r="AQ231" t="s">
        <v>72</v>
      </c>
      <c r="AR231" t="s">
        <v>72</v>
      </c>
      <c r="AS231">
        <v>1912</v>
      </c>
      <c r="AT231" s="4">
        <v>42576</v>
      </c>
      <c r="AU231" t="s">
        <v>73</v>
      </c>
      <c r="AV231">
        <v>1912</v>
      </c>
      <c r="AW231" s="4">
        <v>42576</v>
      </c>
      <c r="BD231">
        <v>0</v>
      </c>
      <c r="BN231" t="s">
        <v>74</v>
      </c>
    </row>
    <row r="232" spans="1:66" hidden="1">
      <c r="A232">
        <v>100066</v>
      </c>
      <c r="B232" s="3" t="s">
        <v>103</v>
      </c>
      <c r="C232" s="1">
        <v>43300101</v>
      </c>
      <c r="D232" t="s">
        <v>67</v>
      </c>
      <c r="H232" t="str">
        <f t="shared" si="15"/>
        <v>04785851009</v>
      </c>
      <c r="I232" t="str">
        <f t="shared" si="16"/>
        <v>12268050155</v>
      </c>
      <c r="K232" t="str">
        <f>""</f>
        <v/>
      </c>
      <c r="M232" t="s">
        <v>68</v>
      </c>
      <c r="N232" t="str">
        <f t="shared" si="14"/>
        <v>FOR</v>
      </c>
      <c r="O232" t="s">
        <v>69</v>
      </c>
      <c r="P232" s="3" t="s">
        <v>75</v>
      </c>
      <c r="Q232">
        <v>2015</v>
      </c>
      <c r="R232" s="2">
        <v>42200</v>
      </c>
      <c r="S232" s="2">
        <v>42229</v>
      </c>
      <c r="T232" s="2">
        <v>42209</v>
      </c>
      <c r="U232" s="2">
        <v>42269</v>
      </c>
      <c r="V232" t="s">
        <v>71</v>
      </c>
      <c r="W232" t="str">
        <f>"          1010893758"</f>
        <v xml:space="preserve">          1010893758</v>
      </c>
      <c r="X232" s="1">
        <v>56761.11</v>
      </c>
      <c r="Y232">
        <v>0</v>
      </c>
      <c r="Z232"/>
      <c r="AB232"/>
      <c r="AC232" s="1">
        <v>46525.5</v>
      </c>
      <c r="AD232">
        <v>307</v>
      </c>
      <c r="AE232" s="1">
        <v>14283328.5</v>
      </c>
      <c r="AF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 s="2">
        <v>42746</v>
      </c>
      <c r="AQ232" t="s">
        <v>72</v>
      </c>
      <c r="AR232" t="s">
        <v>72</v>
      </c>
      <c r="AS232">
        <v>1912</v>
      </c>
      <c r="AT232" s="4">
        <v>42576</v>
      </c>
      <c r="AU232" t="s">
        <v>73</v>
      </c>
      <c r="AV232">
        <v>1912</v>
      </c>
      <c r="AW232" s="4">
        <v>42576</v>
      </c>
      <c r="BD232">
        <v>0</v>
      </c>
      <c r="BN232" t="s">
        <v>74</v>
      </c>
    </row>
    <row r="233" spans="1:66" hidden="1">
      <c r="A233">
        <v>100066</v>
      </c>
      <c r="B233" s="3" t="s">
        <v>103</v>
      </c>
      <c r="C233" s="1">
        <v>43300101</v>
      </c>
      <c r="D233" t="s">
        <v>67</v>
      </c>
      <c r="H233" t="str">
        <f t="shared" ref="H233:H264" si="17">"04785851009"</f>
        <v>04785851009</v>
      </c>
      <c r="I233" t="str">
        <f t="shared" ref="I233:I264" si="18">"12268050155"</f>
        <v>12268050155</v>
      </c>
      <c r="K233" t="str">
        <f>""</f>
        <v/>
      </c>
      <c r="M233" t="s">
        <v>68</v>
      </c>
      <c r="N233" t="str">
        <f t="shared" si="14"/>
        <v>FOR</v>
      </c>
      <c r="O233" t="s">
        <v>69</v>
      </c>
      <c r="P233" s="3" t="s">
        <v>75</v>
      </c>
      <c r="Q233">
        <v>2015</v>
      </c>
      <c r="R233" s="2">
        <v>42200</v>
      </c>
      <c r="S233" s="2">
        <v>42212</v>
      </c>
      <c r="T233" s="2">
        <v>42209</v>
      </c>
      <c r="U233" s="2">
        <v>42269</v>
      </c>
      <c r="V233" t="s">
        <v>71</v>
      </c>
      <c r="W233" t="str">
        <f>"          1010893759"</f>
        <v xml:space="preserve">          1010893759</v>
      </c>
      <c r="X233" s="1">
        <v>15558.66</v>
      </c>
      <c r="Y233">
        <v>0</v>
      </c>
      <c r="Z233"/>
      <c r="AB233"/>
      <c r="AC233" s="1">
        <v>12753</v>
      </c>
      <c r="AD233">
        <v>307</v>
      </c>
      <c r="AE233" s="1">
        <v>3915171</v>
      </c>
      <c r="AF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 s="2">
        <v>42746</v>
      </c>
      <c r="AQ233" t="s">
        <v>72</v>
      </c>
      <c r="AR233" t="s">
        <v>72</v>
      </c>
      <c r="AS233">
        <v>1912</v>
      </c>
      <c r="AT233" s="4">
        <v>42576</v>
      </c>
      <c r="AU233" t="s">
        <v>73</v>
      </c>
      <c r="AV233">
        <v>1912</v>
      </c>
      <c r="AW233" s="4">
        <v>42576</v>
      </c>
      <c r="BD233">
        <v>0</v>
      </c>
      <c r="BN233" t="s">
        <v>74</v>
      </c>
    </row>
    <row r="234" spans="1:66" hidden="1">
      <c r="A234">
        <v>100066</v>
      </c>
      <c r="B234" s="3" t="s">
        <v>103</v>
      </c>
      <c r="C234" s="1">
        <v>43300101</v>
      </c>
      <c r="D234" t="s">
        <v>67</v>
      </c>
      <c r="H234" t="str">
        <f t="shared" si="17"/>
        <v>04785851009</v>
      </c>
      <c r="I234" t="str">
        <f t="shared" si="18"/>
        <v>12268050155</v>
      </c>
      <c r="K234" t="str">
        <f>""</f>
        <v/>
      </c>
      <c r="M234" t="s">
        <v>68</v>
      </c>
      <c r="N234" t="str">
        <f t="shared" si="14"/>
        <v>FOR</v>
      </c>
      <c r="O234" t="s">
        <v>69</v>
      </c>
      <c r="P234" s="3" t="s">
        <v>75</v>
      </c>
      <c r="Q234">
        <v>2015</v>
      </c>
      <c r="R234" s="2">
        <v>42201</v>
      </c>
      <c r="S234" s="2">
        <v>42212</v>
      </c>
      <c r="T234" s="2">
        <v>42209</v>
      </c>
      <c r="U234" s="2">
        <v>42269</v>
      </c>
      <c r="V234" t="s">
        <v>71</v>
      </c>
      <c r="W234" t="str">
        <f>"          1010894397"</f>
        <v xml:space="preserve">          1010894397</v>
      </c>
      <c r="X234" s="1">
        <v>1567.5</v>
      </c>
      <c r="Y234">
        <v>0</v>
      </c>
      <c r="Z234"/>
      <c r="AB234"/>
      <c r="AC234" s="1">
        <v>1284.8399999999999</v>
      </c>
      <c r="AD234">
        <v>307</v>
      </c>
      <c r="AE234" s="1">
        <v>394445.88</v>
      </c>
      <c r="AF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 s="2">
        <v>42746</v>
      </c>
      <c r="AQ234" t="s">
        <v>72</v>
      </c>
      <c r="AR234" t="s">
        <v>72</v>
      </c>
      <c r="AS234">
        <v>1912</v>
      </c>
      <c r="AT234" s="4">
        <v>42576</v>
      </c>
      <c r="AU234" t="s">
        <v>73</v>
      </c>
      <c r="AV234">
        <v>1912</v>
      </c>
      <c r="AW234" s="4">
        <v>42576</v>
      </c>
      <c r="BD234">
        <v>0</v>
      </c>
      <c r="BN234" t="s">
        <v>74</v>
      </c>
    </row>
    <row r="235" spans="1:66" hidden="1">
      <c r="A235">
        <v>100066</v>
      </c>
      <c r="B235" s="3" t="s">
        <v>103</v>
      </c>
      <c r="C235" s="1">
        <v>43300101</v>
      </c>
      <c r="D235" t="s">
        <v>67</v>
      </c>
      <c r="H235" t="str">
        <f t="shared" si="17"/>
        <v>04785851009</v>
      </c>
      <c r="I235" t="str">
        <f t="shared" si="18"/>
        <v>12268050155</v>
      </c>
      <c r="K235" t="str">
        <f>""</f>
        <v/>
      </c>
      <c r="M235" t="s">
        <v>68</v>
      </c>
      <c r="N235" t="str">
        <f t="shared" si="14"/>
        <v>FOR</v>
      </c>
      <c r="O235" t="s">
        <v>69</v>
      </c>
      <c r="P235" s="3" t="s">
        <v>75</v>
      </c>
      <c r="Q235">
        <v>2015</v>
      </c>
      <c r="R235" s="2">
        <v>42205</v>
      </c>
      <c r="S235" s="2">
        <v>42229</v>
      </c>
      <c r="T235" s="2">
        <v>42209</v>
      </c>
      <c r="U235" s="2">
        <v>42269</v>
      </c>
      <c r="V235" t="s">
        <v>71</v>
      </c>
      <c r="W235" t="str">
        <f>"          1010894713"</f>
        <v xml:space="preserve">          1010894713</v>
      </c>
      <c r="X235" s="1">
        <v>5307</v>
      </c>
      <c r="Y235">
        <v>0</v>
      </c>
      <c r="Z235"/>
      <c r="AB235"/>
      <c r="AC235" s="1">
        <v>4350</v>
      </c>
      <c r="AD235">
        <v>307</v>
      </c>
      <c r="AE235" s="1">
        <v>1335450</v>
      </c>
      <c r="AF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 s="2">
        <v>42746</v>
      </c>
      <c r="AQ235" t="s">
        <v>72</v>
      </c>
      <c r="AR235" t="s">
        <v>72</v>
      </c>
      <c r="AS235">
        <v>1912</v>
      </c>
      <c r="AT235" s="4">
        <v>42576</v>
      </c>
      <c r="AU235" t="s">
        <v>73</v>
      </c>
      <c r="AV235">
        <v>1912</v>
      </c>
      <c r="AW235" s="4">
        <v>42576</v>
      </c>
      <c r="BD235">
        <v>0</v>
      </c>
      <c r="BN235" t="s">
        <v>74</v>
      </c>
    </row>
    <row r="236" spans="1:66" hidden="1">
      <c r="A236">
        <v>100066</v>
      </c>
      <c r="B236" s="3" t="s">
        <v>103</v>
      </c>
      <c r="C236" s="1">
        <v>43300101</v>
      </c>
      <c r="D236" t="s">
        <v>67</v>
      </c>
      <c r="H236" t="str">
        <f t="shared" si="17"/>
        <v>04785851009</v>
      </c>
      <c r="I236" t="str">
        <f t="shared" si="18"/>
        <v>12268050155</v>
      </c>
      <c r="K236" t="str">
        <f>""</f>
        <v/>
      </c>
      <c r="M236" t="s">
        <v>68</v>
      </c>
      <c r="N236" t="str">
        <f t="shared" si="14"/>
        <v>FOR</v>
      </c>
      <c r="O236" t="s">
        <v>69</v>
      </c>
      <c r="P236" s="3" t="s">
        <v>75</v>
      </c>
      <c r="Q236">
        <v>2015</v>
      </c>
      <c r="R236" s="2">
        <v>42205</v>
      </c>
      <c r="S236" s="2">
        <v>42212</v>
      </c>
      <c r="T236" s="2">
        <v>42209</v>
      </c>
      <c r="U236" s="2">
        <v>42269</v>
      </c>
      <c r="V236" t="s">
        <v>71</v>
      </c>
      <c r="W236" t="str">
        <f>"          1010894714"</f>
        <v xml:space="preserve">          1010894714</v>
      </c>
      <c r="X236" s="1">
        <v>2614.6999999999998</v>
      </c>
      <c r="Y236">
        <v>0</v>
      </c>
      <c r="Z236"/>
      <c r="AB236"/>
      <c r="AC236" s="1">
        <v>2143.1999999999998</v>
      </c>
      <c r="AD236">
        <v>307</v>
      </c>
      <c r="AE236" s="1">
        <v>657962.4</v>
      </c>
      <c r="AF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 s="2">
        <v>42746</v>
      </c>
      <c r="AQ236" t="s">
        <v>72</v>
      </c>
      <c r="AR236" t="s">
        <v>72</v>
      </c>
      <c r="AS236">
        <v>1912</v>
      </c>
      <c r="AT236" s="4">
        <v>42576</v>
      </c>
      <c r="AU236" t="s">
        <v>73</v>
      </c>
      <c r="AV236">
        <v>1912</v>
      </c>
      <c r="AW236" s="4">
        <v>42576</v>
      </c>
      <c r="BD236">
        <v>0</v>
      </c>
      <c r="BN236" t="s">
        <v>74</v>
      </c>
    </row>
    <row r="237" spans="1:66" hidden="1">
      <c r="A237">
        <v>100066</v>
      </c>
      <c r="B237" s="3" t="s">
        <v>103</v>
      </c>
      <c r="C237" s="1">
        <v>43300101</v>
      </c>
      <c r="D237" t="s">
        <v>67</v>
      </c>
      <c r="H237" t="str">
        <f t="shared" si="17"/>
        <v>04785851009</v>
      </c>
      <c r="I237" t="str">
        <f t="shared" si="18"/>
        <v>12268050155</v>
      </c>
      <c r="K237" t="str">
        <f>""</f>
        <v/>
      </c>
      <c r="M237" t="s">
        <v>68</v>
      </c>
      <c r="N237" t="str">
        <f t="shared" si="14"/>
        <v>FOR</v>
      </c>
      <c r="O237" t="s">
        <v>69</v>
      </c>
      <c r="P237" s="3" t="s">
        <v>75</v>
      </c>
      <c r="Q237">
        <v>2015</v>
      </c>
      <c r="R237" s="2">
        <v>42205</v>
      </c>
      <c r="S237" s="2">
        <v>42212</v>
      </c>
      <c r="T237" s="2">
        <v>42209</v>
      </c>
      <c r="U237" s="2">
        <v>42269</v>
      </c>
      <c r="V237" t="s">
        <v>71</v>
      </c>
      <c r="W237" t="str">
        <f>"          1010894848"</f>
        <v xml:space="preserve">          1010894848</v>
      </c>
      <c r="X237">
        <v>404.45</v>
      </c>
      <c r="Y237">
        <v>0</v>
      </c>
      <c r="Z237"/>
      <c r="AB237"/>
      <c r="AC237">
        <v>331.52</v>
      </c>
      <c r="AD237">
        <v>307</v>
      </c>
      <c r="AE237" s="1">
        <v>101776.64</v>
      </c>
      <c r="AF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 s="2">
        <v>42746</v>
      </c>
      <c r="AQ237" t="s">
        <v>72</v>
      </c>
      <c r="AR237" t="s">
        <v>72</v>
      </c>
      <c r="AS237">
        <v>1912</v>
      </c>
      <c r="AT237" s="4">
        <v>42576</v>
      </c>
      <c r="AU237" t="s">
        <v>73</v>
      </c>
      <c r="AV237">
        <v>1912</v>
      </c>
      <c r="AW237" s="4">
        <v>42576</v>
      </c>
      <c r="BD237">
        <v>0</v>
      </c>
      <c r="BN237" t="s">
        <v>74</v>
      </c>
    </row>
    <row r="238" spans="1:66" hidden="1">
      <c r="A238">
        <v>100066</v>
      </c>
      <c r="B238" s="3" t="s">
        <v>103</v>
      </c>
      <c r="C238" s="1">
        <v>43300101</v>
      </c>
      <c r="D238" t="s">
        <v>67</v>
      </c>
      <c r="H238" t="str">
        <f t="shared" si="17"/>
        <v>04785851009</v>
      </c>
      <c r="I238" t="str">
        <f t="shared" si="18"/>
        <v>12268050155</v>
      </c>
      <c r="K238" t="str">
        <f>""</f>
        <v/>
      </c>
      <c r="M238" t="s">
        <v>68</v>
      </c>
      <c r="N238" t="str">
        <f t="shared" si="14"/>
        <v>FOR</v>
      </c>
      <c r="O238" t="s">
        <v>69</v>
      </c>
      <c r="P238" s="3" t="s">
        <v>75</v>
      </c>
      <c r="Q238">
        <v>2015</v>
      </c>
      <c r="R238" s="2">
        <v>42210</v>
      </c>
      <c r="S238" s="2">
        <v>42228</v>
      </c>
      <c r="T238" s="2">
        <v>42212</v>
      </c>
      <c r="U238" s="2">
        <v>42272</v>
      </c>
      <c r="V238" t="s">
        <v>71</v>
      </c>
      <c r="W238" t="str">
        <f>"          1010895777"</f>
        <v xml:space="preserve">          1010895777</v>
      </c>
      <c r="X238" s="1">
        <v>4066.66</v>
      </c>
      <c r="Y238">
        <v>0</v>
      </c>
      <c r="Z238"/>
      <c r="AB238"/>
      <c r="AC238" s="1">
        <v>3333.33</v>
      </c>
      <c r="AD238">
        <v>304</v>
      </c>
      <c r="AE238" s="1">
        <v>1013332.32</v>
      </c>
      <c r="AF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 s="2">
        <v>42746</v>
      </c>
      <c r="AQ238" t="s">
        <v>72</v>
      </c>
      <c r="AR238" t="s">
        <v>72</v>
      </c>
      <c r="AS238">
        <v>1912</v>
      </c>
      <c r="AT238" s="4">
        <v>42576</v>
      </c>
      <c r="AU238" t="s">
        <v>73</v>
      </c>
      <c r="AV238">
        <v>1912</v>
      </c>
      <c r="AW238" s="4">
        <v>42576</v>
      </c>
      <c r="BD238">
        <v>0</v>
      </c>
      <c r="BN238" t="s">
        <v>74</v>
      </c>
    </row>
    <row r="239" spans="1:66" hidden="1">
      <c r="A239">
        <v>100066</v>
      </c>
      <c r="B239" s="3" t="s">
        <v>103</v>
      </c>
      <c r="C239" s="1">
        <v>43300101</v>
      </c>
      <c r="D239" t="s">
        <v>67</v>
      </c>
      <c r="H239" t="str">
        <f t="shared" si="17"/>
        <v>04785851009</v>
      </c>
      <c r="I239" t="str">
        <f t="shared" si="18"/>
        <v>12268050155</v>
      </c>
      <c r="K239" t="str">
        <f>""</f>
        <v/>
      </c>
      <c r="M239" t="s">
        <v>68</v>
      </c>
      <c r="N239" t="str">
        <f t="shared" si="14"/>
        <v>FOR</v>
      </c>
      <c r="O239" t="s">
        <v>69</v>
      </c>
      <c r="P239" s="3" t="s">
        <v>75</v>
      </c>
      <c r="Q239">
        <v>2015</v>
      </c>
      <c r="R239" s="2">
        <v>42212</v>
      </c>
      <c r="S239" s="2">
        <v>42216</v>
      </c>
      <c r="T239" s="2">
        <v>42215</v>
      </c>
      <c r="U239" s="2">
        <v>42275</v>
      </c>
      <c r="V239" t="s">
        <v>71</v>
      </c>
      <c r="W239" t="str">
        <f>"          1010895890"</f>
        <v xml:space="preserve">          1010895890</v>
      </c>
      <c r="X239" s="1">
        <v>2614.6999999999998</v>
      </c>
      <c r="Y239">
        <v>0</v>
      </c>
      <c r="Z239"/>
      <c r="AB239"/>
      <c r="AC239" s="1">
        <v>2143.1999999999998</v>
      </c>
      <c r="AD239">
        <v>245</v>
      </c>
      <c r="AE239" s="1">
        <v>525084</v>
      </c>
      <c r="AF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 s="2">
        <v>42746</v>
      </c>
      <c r="AQ239" t="s">
        <v>72</v>
      </c>
      <c r="AR239" t="s">
        <v>72</v>
      </c>
      <c r="AS239">
        <v>1462</v>
      </c>
      <c r="AT239" s="4">
        <v>42520</v>
      </c>
      <c r="AU239" t="s">
        <v>73</v>
      </c>
      <c r="AV239">
        <v>1462</v>
      </c>
      <c r="AW239" s="4">
        <v>42520</v>
      </c>
      <c r="BD239">
        <v>0</v>
      </c>
      <c r="BN239" t="s">
        <v>74</v>
      </c>
    </row>
    <row r="240" spans="1:66" hidden="1">
      <c r="A240">
        <v>100066</v>
      </c>
      <c r="B240" s="3" t="s">
        <v>103</v>
      </c>
      <c r="C240" s="1">
        <v>43300101</v>
      </c>
      <c r="D240" t="s">
        <v>67</v>
      </c>
      <c r="H240" t="str">
        <f t="shared" si="17"/>
        <v>04785851009</v>
      </c>
      <c r="I240" t="str">
        <f t="shared" si="18"/>
        <v>12268050155</v>
      </c>
      <c r="K240" t="str">
        <f>""</f>
        <v/>
      </c>
      <c r="M240" t="s">
        <v>68</v>
      </c>
      <c r="N240" t="str">
        <f t="shared" si="14"/>
        <v>FOR</v>
      </c>
      <c r="O240" t="s">
        <v>69</v>
      </c>
      <c r="P240" s="3" t="s">
        <v>75</v>
      </c>
      <c r="Q240">
        <v>2015</v>
      </c>
      <c r="R240" s="2">
        <v>42219</v>
      </c>
      <c r="S240" s="2">
        <v>42229</v>
      </c>
      <c r="T240" s="2">
        <v>42220</v>
      </c>
      <c r="U240" s="2">
        <v>42280</v>
      </c>
      <c r="V240" t="s">
        <v>71</v>
      </c>
      <c r="W240" t="str">
        <f>"          1010897049"</f>
        <v xml:space="preserve">          1010897049</v>
      </c>
      <c r="X240" s="1">
        <v>1756.8</v>
      </c>
      <c r="Y240">
        <v>0</v>
      </c>
      <c r="Z240"/>
      <c r="AB240"/>
      <c r="AC240" s="1">
        <v>1440</v>
      </c>
      <c r="AD240">
        <v>299</v>
      </c>
      <c r="AE240" s="1">
        <v>430560</v>
      </c>
      <c r="AF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 s="2">
        <v>42746</v>
      </c>
      <c r="AQ240" t="s">
        <v>72</v>
      </c>
      <c r="AR240" t="s">
        <v>72</v>
      </c>
      <c r="AS240">
        <v>2033</v>
      </c>
      <c r="AT240" s="4">
        <v>42579</v>
      </c>
      <c r="AU240" t="s">
        <v>73</v>
      </c>
      <c r="AV240">
        <v>2033</v>
      </c>
      <c r="AW240" s="4">
        <v>42579</v>
      </c>
      <c r="BD240">
        <v>0</v>
      </c>
      <c r="BN240" t="s">
        <v>74</v>
      </c>
    </row>
    <row r="241" spans="1:66" hidden="1">
      <c r="A241">
        <v>100066</v>
      </c>
      <c r="B241" s="3" t="s">
        <v>103</v>
      </c>
      <c r="C241" s="1">
        <v>43300101</v>
      </c>
      <c r="D241" t="s">
        <v>67</v>
      </c>
      <c r="H241" t="str">
        <f t="shared" si="17"/>
        <v>04785851009</v>
      </c>
      <c r="I241" t="str">
        <f t="shared" si="18"/>
        <v>12268050155</v>
      </c>
      <c r="K241" t="str">
        <f>""</f>
        <v/>
      </c>
      <c r="M241" t="s">
        <v>68</v>
      </c>
      <c r="N241" t="str">
        <f t="shared" si="14"/>
        <v>FOR</v>
      </c>
      <c r="O241" t="s">
        <v>69</v>
      </c>
      <c r="P241" s="3" t="s">
        <v>75</v>
      </c>
      <c r="Q241">
        <v>2015</v>
      </c>
      <c r="R241" s="2">
        <v>42221</v>
      </c>
      <c r="S241" s="2">
        <v>42223</v>
      </c>
      <c r="T241" s="2">
        <v>42222</v>
      </c>
      <c r="U241" s="2">
        <v>42282</v>
      </c>
      <c r="V241" t="s">
        <v>71</v>
      </c>
      <c r="W241" t="str">
        <f>"          1010897384"</f>
        <v xml:space="preserve">          1010897384</v>
      </c>
      <c r="X241" s="1">
        <v>3269.6</v>
      </c>
      <c r="Y241">
        <v>0</v>
      </c>
      <c r="Z241"/>
      <c r="AB241"/>
      <c r="AC241" s="1">
        <v>2680</v>
      </c>
      <c r="AD241">
        <v>297</v>
      </c>
      <c r="AE241" s="1">
        <v>795960</v>
      </c>
      <c r="AF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 s="2">
        <v>42746</v>
      </c>
      <c r="AQ241" t="s">
        <v>72</v>
      </c>
      <c r="AR241" t="s">
        <v>72</v>
      </c>
      <c r="AS241">
        <v>2033</v>
      </c>
      <c r="AT241" s="4">
        <v>42579</v>
      </c>
      <c r="AU241" t="s">
        <v>73</v>
      </c>
      <c r="AV241">
        <v>2033</v>
      </c>
      <c r="AW241" s="4">
        <v>42579</v>
      </c>
      <c r="BD241">
        <v>0</v>
      </c>
      <c r="BN241" t="s">
        <v>74</v>
      </c>
    </row>
    <row r="242" spans="1:66" hidden="1">
      <c r="A242">
        <v>100066</v>
      </c>
      <c r="B242" s="3" t="s">
        <v>103</v>
      </c>
      <c r="C242" s="1">
        <v>43300101</v>
      </c>
      <c r="D242" t="s">
        <v>67</v>
      </c>
      <c r="H242" t="str">
        <f t="shared" si="17"/>
        <v>04785851009</v>
      </c>
      <c r="I242" t="str">
        <f t="shared" si="18"/>
        <v>12268050155</v>
      </c>
      <c r="K242" t="str">
        <f>""</f>
        <v/>
      </c>
      <c r="M242" t="s">
        <v>68</v>
      </c>
      <c r="N242" t="str">
        <f t="shared" si="14"/>
        <v>FOR</v>
      </c>
      <c r="O242" t="s">
        <v>69</v>
      </c>
      <c r="P242" s="3" t="s">
        <v>75</v>
      </c>
      <c r="Q242">
        <v>2015</v>
      </c>
      <c r="R242" s="2">
        <v>42223</v>
      </c>
      <c r="S242" s="2">
        <v>42226</v>
      </c>
      <c r="T242" s="2">
        <v>42224</v>
      </c>
      <c r="U242" s="2">
        <v>42284</v>
      </c>
      <c r="V242" t="s">
        <v>71</v>
      </c>
      <c r="W242" t="str">
        <f>"          1010897660"</f>
        <v xml:space="preserve">          1010897660</v>
      </c>
      <c r="X242" s="1">
        <v>1464</v>
      </c>
      <c r="Y242">
        <v>0</v>
      </c>
      <c r="Z242"/>
      <c r="AB242"/>
      <c r="AC242" s="1">
        <v>1200</v>
      </c>
      <c r="AD242">
        <v>295</v>
      </c>
      <c r="AE242" s="1">
        <v>354000</v>
      </c>
      <c r="AF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 s="2">
        <v>42746</v>
      </c>
      <c r="AQ242" t="s">
        <v>72</v>
      </c>
      <c r="AR242" t="s">
        <v>72</v>
      </c>
      <c r="AS242">
        <v>2033</v>
      </c>
      <c r="AT242" s="4">
        <v>42579</v>
      </c>
      <c r="AU242" t="s">
        <v>73</v>
      </c>
      <c r="AV242">
        <v>2033</v>
      </c>
      <c r="AW242" s="4">
        <v>42579</v>
      </c>
      <c r="BD242">
        <v>0</v>
      </c>
      <c r="BN242" t="s">
        <v>74</v>
      </c>
    </row>
    <row r="243" spans="1:66" hidden="1">
      <c r="A243">
        <v>100066</v>
      </c>
      <c r="B243" s="3" t="s">
        <v>103</v>
      </c>
      <c r="C243" s="1">
        <v>43300101</v>
      </c>
      <c r="D243" t="s">
        <v>67</v>
      </c>
      <c r="H243" t="str">
        <f t="shared" si="17"/>
        <v>04785851009</v>
      </c>
      <c r="I243" t="str">
        <f t="shared" si="18"/>
        <v>12268050155</v>
      </c>
      <c r="K243" t="str">
        <f>""</f>
        <v/>
      </c>
      <c r="M243" t="s">
        <v>68</v>
      </c>
      <c r="N243" t="str">
        <f t="shared" si="14"/>
        <v>FOR</v>
      </c>
      <c r="O243" t="s">
        <v>69</v>
      </c>
      <c r="P243" s="3" t="s">
        <v>75</v>
      </c>
      <c r="Q243">
        <v>2015</v>
      </c>
      <c r="R243" s="2">
        <v>42234</v>
      </c>
      <c r="S243" s="2">
        <v>42236</v>
      </c>
      <c r="T243" s="2">
        <v>42235</v>
      </c>
      <c r="U243" s="2">
        <v>42295</v>
      </c>
      <c r="V243" t="s">
        <v>71</v>
      </c>
      <c r="W243" t="str">
        <f>"          1010898570"</f>
        <v xml:space="preserve">          1010898570</v>
      </c>
      <c r="X243" s="1">
        <v>2257</v>
      </c>
      <c r="Y243">
        <v>0</v>
      </c>
      <c r="Z243"/>
      <c r="AB243"/>
      <c r="AC243" s="1">
        <v>1850</v>
      </c>
      <c r="AD243">
        <v>284</v>
      </c>
      <c r="AE243" s="1">
        <v>525400</v>
      </c>
      <c r="AF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 s="2">
        <v>42746</v>
      </c>
      <c r="AQ243" t="s">
        <v>72</v>
      </c>
      <c r="AR243" t="s">
        <v>72</v>
      </c>
      <c r="AS243">
        <v>2033</v>
      </c>
      <c r="AT243" s="4">
        <v>42579</v>
      </c>
      <c r="AU243" t="s">
        <v>73</v>
      </c>
      <c r="AV243">
        <v>2033</v>
      </c>
      <c r="AW243" s="4">
        <v>42579</v>
      </c>
      <c r="BD243">
        <v>0</v>
      </c>
      <c r="BN243" t="s">
        <v>74</v>
      </c>
    </row>
    <row r="244" spans="1:66" hidden="1">
      <c r="A244">
        <v>100066</v>
      </c>
      <c r="B244" s="3" t="s">
        <v>103</v>
      </c>
      <c r="C244" s="1">
        <v>43300101</v>
      </c>
      <c r="D244" t="s">
        <v>67</v>
      </c>
      <c r="H244" t="str">
        <f t="shared" si="17"/>
        <v>04785851009</v>
      </c>
      <c r="I244" t="str">
        <f t="shared" si="18"/>
        <v>12268050155</v>
      </c>
      <c r="K244" t="str">
        <f>""</f>
        <v/>
      </c>
      <c r="M244" t="s">
        <v>68</v>
      </c>
      <c r="N244" t="str">
        <f t="shared" si="14"/>
        <v>FOR</v>
      </c>
      <c r="O244" t="s">
        <v>69</v>
      </c>
      <c r="P244" s="3" t="s">
        <v>75</v>
      </c>
      <c r="Q244">
        <v>2015</v>
      </c>
      <c r="R244" s="2">
        <v>42240</v>
      </c>
      <c r="S244" s="2">
        <v>42241</v>
      </c>
      <c r="T244" s="2">
        <v>42241</v>
      </c>
      <c r="U244" s="2">
        <v>42301</v>
      </c>
      <c r="V244" t="s">
        <v>71</v>
      </c>
      <c r="W244" t="str">
        <f>"          1010899059"</f>
        <v xml:space="preserve">          1010899059</v>
      </c>
      <c r="X244" s="1">
        <v>3269.6</v>
      </c>
      <c r="Y244">
        <v>0</v>
      </c>
      <c r="Z244"/>
      <c r="AB244"/>
      <c r="AC244" s="1">
        <v>2680</v>
      </c>
      <c r="AD244">
        <v>278</v>
      </c>
      <c r="AE244" s="1">
        <v>745040</v>
      </c>
      <c r="AF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 s="2">
        <v>42746</v>
      </c>
      <c r="AQ244" t="s">
        <v>72</v>
      </c>
      <c r="AR244" t="s">
        <v>72</v>
      </c>
      <c r="AS244">
        <v>2033</v>
      </c>
      <c r="AT244" s="4">
        <v>42579</v>
      </c>
      <c r="AU244" t="s">
        <v>73</v>
      </c>
      <c r="AV244">
        <v>2033</v>
      </c>
      <c r="AW244" s="4">
        <v>42579</v>
      </c>
      <c r="BD244">
        <v>0</v>
      </c>
      <c r="BN244" t="s">
        <v>74</v>
      </c>
    </row>
    <row r="245" spans="1:66" hidden="1">
      <c r="A245">
        <v>100066</v>
      </c>
      <c r="B245" s="3" t="s">
        <v>103</v>
      </c>
      <c r="C245" s="1">
        <v>43300101</v>
      </c>
      <c r="D245" t="s">
        <v>67</v>
      </c>
      <c r="H245" t="str">
        <f t="shared" si="17"/>
        <v>04785851009</v>
      </c>
      <c r="I245" t="str">
        <f t="shared" si="18"/>
        <v>12268050155</v>
      </c>
      <c r="K245" t="str">
        <f>""</f>
        <v/>
      </c>
      <c r="M245" t="s">
        <v>68</v>
      </c>
      <c r="N245" t="str">
        <f t="shared" si="14"/>
        <v>FOR</v>
      </c>
      <c r="O245" t="s">
        <v>69</v>
      </c>
      <c r="P245" s="3" t="s">
        <v>75</v>
      </c>
      <c r="Q245">
        <v>2015</v>
      </c>
      <c r="R245" s="2">
        <v>42241</v>
      </c>
      <c r="S245" s="2">
        <v>42242</v>
      </c>
      <c r="T245" s="2">
        <v>42242</v>
      </c>
      <c r="U245" s="2">
        <v>42302</v>
      </c>
      <c r="V245" t="s">
        <v>71</v>
      </c>
      <c r="W245" t="str">
        <f>"          1010899287"</f>
        <v xml:space="preserve">          1010899287</v>
      </c>
      <c r="X245" s="1">
        <v>4066.66</v>
      </c>
      <c r="Y245">
        <v>0</v>
      </c>
      <c r="Z245"/>
      <c r="AB245"/>
      <c r="AC245" s="1">
        <v>3333.33</v>
      </c>
      <c r="AD245">
        <v>277</v>
      </c>
      <c r="AE245" s="1">
        <v>923332.41</v>
      </c>
      <c r="AF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 s="2">
        <v>42746</v>
      </c>
      <c r="AQ245" t="s">
        <v>72</v>
      </c>
      <c r="AR245" t="s">
        <v>72</v>
      </c>
      <c r="AS245">
        <v>2033</v>
      </c>
      <c r="AT245" s="4">
        <v>42579</v>
      </c>
      <c r="AU245" t="s">
        <v>73</v>
      </c>
      <c r="AV245">
        <v>2033</v>
      </c>
      <c r="AW245" s="4">
        <v>42579</v>
      </c>
      <c r="BD245">
        <v>0</v>
      </c>
      <c r="BN245" t="s">
        <v>74</v>
      </c>
    </row>
    <row r="246" spans="1:66" hidden="1">
      <c r="A246">
        <v>100066</v>
      </c>
      <c r="B246" s="3" t="s">
        <v>103</v>
      </c>
      <c r="C246" s="1">
        <v>43300101</v>
      </c>
      <c r="D246" t="s">
        <v>67</v>
      </c>
      <c r="H246" t="str">
        <f t="shared" si="17"/>
        <v>04785851009</v>
      </c>
      <c r="I246" t="str">
        <f t="shared" si="18"/>
        <v>12268050155</v>
      </c>
      <c r="K246" t="str">
        <f>""</f>
        <v/>
      </c>
      <c r="M246" t="s">
        <v>68</v>
      </c>
      <c r="N246" t="str">
        <f t="shared" si="14"/>
        <v>FOR</v>
      </c>
      <c r="O246" t="s">
        <v>69</v>
      </c>
      <c r="P246" s="3" t="s">
        <v>75</v>
      </c>
      <c r="Q246">
        <v>2015</v>
      </c>
      <c r="R246" s="2">
        <v>42250</v>
      </c>
      <c r="S246" s="2">
        <v>42251</v>
      </c>
      <c r="T246" s="2">
        <v>42251</v>
      </c>
      <c r="U246" s="2">
        <v>42311</v>
      </c>
      <c r="V246" t="s">
        <v>71</v>
      </c>
      <c r="W246" t="str">
        <f>"          1010900609"</f>
        <v xml:space="preserve">          1010900609</v>
      </c>
      <c r="X246">
        <v>385.52</v>
      </c>
      <c r="Y246">
        <v>0</v>
      </c>
      <c r="Z246"/>
      <c r="AB246"/>
      <c r="AC246">
        <v>316</v>
      </c>
      <c r="AD246">
        <v>309</v>
      </c>
      <c r="AE246" s="1">
        <v>97644</v>
      </c>
      <c r="AF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 s="2">
        <v>42746</v>
      </c>
      <c r="AQ246" t="s">
        <v>72</v>
      </c>
      <c r="AR246" t="s">
        <v>72</v>
      </c>
      <c r="AS246">
        <v>2307</v>
      </c>
      <c r="AT246" s="4">
        <v>42620</v>
      </c>
      <c r="AU246" t="s">
        <v>73</v>
      </c>
      <c r="AV246">
        <v>2307</v>
      </c>
      <c r="AW246" s="4">
        <v>42620</v>
      </c>
      <c r="BD246">
        <v>0</v>
      </c>
      <c r="BN246" t="s">
        <v>74</v>
      </c>
    </row>
    <row r="247" spans="1:66" hidden="1">
      <c r="A247">
        <v>100066</v>
      </c>
      <c r="B247" s="3" t="s">
        <v>103</v>
      </c>
      <c r="C247" s="1">
        <v>43300101</v>
      </c>
      <c r="D247" t="s">
        <v>67</v>
      </c>
      <c r="H247" t="str">
        <f t="shared" si="17"/>
        <v>04785851009</v>
      </c>
      <c r="I247" t="str">
        <f t="shared" si="18"/>
        <v>12268050155</v>
      </c>
      <c r="K247" t="str">
        <f>""</f>
        <v/>
      </c>
      <c r="M247" t="s">
        <v>68</v>
      </c>
      <c r="N247" t="str">
        <f t="shared" si="14"/>
        <v>FOR</v>
      </c>
      <c r="O247" t="s">
        <v>69</v>
      </c>
      <c r="P247" s="3" t="s">
        <v>75</v>
      </c>
      <c r="Q247">
        <v>2015</v>
      </c>
      <c r="R247" s="2">
        <v>42254</v>
      </c>
      <c r="S247" s="2">
        <v>42255</v>
      </c>
      <c r="T247" s="2">
        <v>42255</v>
      </c>
      <c r="U247" s="2">
        <v>42315</v>
      </c>
      <c r="V247" t="s">
        <v>71</v>
      </c>
      <c r="W247" t="str">
        <f>"          1010900985"</f>
        <v xml:space="preserve">          1010900985</v>
      </c>
      <c r="X247" s="1">
        <v>1576.94</v>
      </c>
      <c r="Y247">
        <v>0</v>
      </c>
      <c r="Z247"/>
      <c r="AB247"/>
      <c r="AC247" s="1">
        <v>1292.57</v>
      </c>
      <c r="AD247">
        <v>305</v>
      </c>
      <c r="AE247" s="1">
        <v>394233.85</v>
      </c>
      <c r="AF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 s="2">
        <v>42746</v>
      </c>
      <c r="AQ247" t="s">
        <v>72</v>
      </c>
      <c r="AR247" t="s">
        <v>72</v>
      </c>
      <c r="AS247">
        <v>2307</v>
      </c>
      <c r="AT247" s="4">
        <v>42620</v>
      </c>
      <c r="AU247" t="s">
        <v>73</v>
      </c>
      <c r="AV247">
        <v>2307</v>
      </c>
      <c r="AW247" s="4">
        <v>42620</v>
      </c>
      <c r="BD247">
        <v>0</v>
      </c>
      <c r="BN247" t="s">
        <v>74</v>
      </c>
    </row>
    <row r="248" spans="1:66" hidden="1">
      <c r="A248">
        <v>100066</v>
      </c>
      <c r="B248" s="3" t="s">
        <v>103</v>
      </c>
      <c r="C248" s="1">
        <v>43300101</v>
      </c>
      <c r="D248" t="s">
        <v>67</v>
      </c>
      <c r="H248" t="str">
        <f t="shared" si="17"/>
        <v>04785851009</v>
      </c>
      <c r="I248" t="str">
        <f t="shared" si="18"/>
        <v>12268050155</v>
      </c>
      <c r="K248" t="str">
        <f>""</f>
        <v/>
      </c>
      <c r="M248" t="s">
        <v>68</v>
      </c>
      <c r="N248" t="str">
        <f t="shared" si="14"/>
        <v>FOR</v>
      </c>
      <c r="O248" t="s">
        <v>69</v>
      </c>
      <c r="P248" s="3" t="s">
        <v>75</v>
      </c>
      <c r="Q248">
        <v>2015</v>
      </c>
      <c r="R248" s="2">
        <v>42254</v>
      </c>
      <c r="S248" s="2">
        <v>42255</v>
      </c>
      <c r="T248" s="2">
        <v>42255</v>
      </c>
      <c r="U248" s="2">
        <v>42315</v>
      </c>
      <c r="V248" t="s">
        <v>71</v>
      </c>
      <c r="W248" t="str">
        <f>"          1010900986"</f>
        <v xml:space="preserve">          1010900986</v>
      </c>
      <c r="X248">
        <v>597.79999999999995</v>
      </c>
      <c r="Y248">
        <v>0</v>
      </c>
      <c r="Z248"/>
      <c r="AB248"/>
      <c r="AC248">
        <v>490</v>
      </c>
      <c r="AD248">
        <v>305</v>
      </c>
      <c r="AE248" s="1">
        <v>149450</v>
      </c>
      <c r="AF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 s="2">
        <v>42746</v>
      </c>
      <c r="AQ248" t="s">
        <v>72</v>
      </c>
      <c r="AR248" t="s">
        <v>72</v>
      </c>
      <c r="AS248">
        <v>2307</v>
      </c>
      <c r="AT248" s="4">
        <v>42620</v>
      </c>
      <c r="AU248" t="s">
        <v>73</v>
      </c>
      <c r="AV248">
        <v>2307</v>
      </c>
      <c r="AW248" s="4">
        <v>42620</v>
      </c>
      <c r="BD248">
        <v>0</v>
      </c>
      <c r="BN248" t="s">
        <v>74</v>
      </c>
    </row>
    <row r="249" spans="1:66" hidden="1">
      <c r="A249">
        <v>100066</v>
      </c>
      <c r="B249" s="3" t="s">
        <v>103</v>
      </c>
      <c r="C249" s="1">
        <v>43300101</v>
      </c>
      <c r="D249" t="s">
        <v>67</v>
      </c>
      <c r="H249" t="str">
        <f t="shared" si="17"/>
        <v>04785851009</v>
      </c>
      <c r="I249" t="str">
        <f t="shared" si="18"/>
        <v>12268050155</v>
      </c>
      <c r="K249" t="str">
        <f>""</f>
        <v/>
      </c>
      <c r="M249" t="s">
        <v>68</v>
      </c>
      <c r="N249" t="str">
        <f t="shared" si="14"/>
        <v>FOR</v>
      </c>
      <c r="O249" t="s">
        <v>69</v>
      </c>
      <c r="P249" s="3" t="s">
        <v>75</v>
      </c>
      <c r="Q249">
        <v>2015</v>
      </c>
      <c r="R249" s="2">
        <v>42254</v>
      </c>
      <c r="S249" s="2">
        <v>42255</v>
      </c>
      <c r="T249" s="2">
        <v>42255</v>
      </c>
      <c r="U249" s="2">
        <v>42315</v>
      </c>
      <c r="V249" t="s">
        <v>71</v>
      </c>
      <c r="W249" t="str">
        <f>"          1010900987"</f>
        <v xml:space="preserve">          1010900987</v>
      </c>
      <c r="X249" s="1">
        <v>1342</v>
      </c>
      <c r="Y249">
        <v>0</v>
      </c>
      <c r="Z249"/>
      <c r="AB249"/>
      <c r="AC249" s="1">
        <v>1100</v>
      </c>
      <c r="AD249">
        <v>305</v>
      </c>
      <c r="AE249" s="1">
        <v>335500</v>
      </c>
      <c r="AF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 s="2">
        <v>42746</v>
      </c>
      <c r="AQ249" t="s">
        <v>72</v>
      </c>
      <c r="AR249" t="s">
        <v>72</v>
      </c>
      <c r="AS249">
        <v>2307</v>
      </c>
      <c r="AT249" s="4">
        <v>42620</v>
      </c>
      <c r="AU249" t="s">
        <v>73</v>
      </c>
      <c r="AV249">
        <v>2307</v>
      </c>
      <c r="AW249" s="4">
        <v>42620</v>
      </c>
      <c r="BD249">
        <v>0</v>
      </c>
      <c r="BN249" t="s">
        <v>74</v>
      </c>
    </row>
    <row r="250" spans="1:66" hidden="1">
      <c r="A250">
        <v>100066</v>
      </c>
      <c r="B250" s="3" t="s">
        <v>103</v>
      </c>
      <c r="C250" s="1">
        <v>43300101</v>
      </c>
      <c r="D250" t="s">
        <v>67</v>
      </c>
      <c r="H250" t="str">
        <f t="shared" si="17"/>
        <v>04785851009</v>
      </c>
      <c r="I250" t="str">
        <f t="shared" si="18"/>
        <v>12268050155</v>
      </c>
      <c r="K250" t="str">
        <f>""</f>
        <v/>
      </c>
      <c r="M250" t="s">
        <v>68</v>
      </c>
      <c r="N250" t="str">
        <f t="shared" si="14"/>
        <v>FOR</v>
      </c>
      <c r="O250" t="s">
        <v>69</v>
      </c>
      <c r="P250" s="3" t="s">
        <v>75</v>
      </c>
      <c r="Q250">
        <v>2015</v>
      </c>
      <c r="R250" s="2">
        <v>42257</v>
      </c>
      <c r="S250" s="2">
        <v>42258</v>
      </c>
      <c r="T250" s="2">
        <v>42258</v>
      </c>
      <c r="U250" s="2">
        <v>42318</v>
      </c>
      <c r="V250" t="s">
        <v>71</v>
      </c>
      <c r="W250" t="str">
        <f>"          1010901551"</f>
        <v xml:space="preserve">          1010901551</v>
      </c>
      <c r="X250" s="1">
        <v>1692.87</v>
      </c>
      <c r="Y250">
        <v>0</v>
      </c>
      <c r="Z250"/>
      <c r="AB250"/>
      <c r="AC250" s="1">
        <v>1387.6</v>
      </c>
      <c r="AD250">
        <v>302</v>
      </c>
      <c r="AE250" s="1">
        <v>419055.2</v>
      </c>
      <c r="AF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 s="2">
        <v>42746</v>
      </c>
      <c r="AQ250" t="s">
        <v>72</v>
      </c>
      <c r="AR250" t="s">
        <v>72</v>
      </c>
      <c r="AS250">
        <v>2307</v>
      </c>
      <c r="AT250" s="4">
        <v>42620</v>
      </c>
      <c r="AU250" t="s">
        <v>73</v>
      </c>
      <c r="AV250">
        <v>2307</v>
      </c>
      <c r="AW250" s="4">
        <v>42620</v>
      </c>
      <c r="BD250">
        <v>0</v>
      </c>
      <c r="BN250" t="s">
        <v>74</v>
      </c>
    </row>
    <row r="251" spans="1:66" hidden="1">
      <c r="A251">
        <v>100066</v>
      </c>
      <c r="B251" s="3" t="s">
        <v>103</v>
      </c>
      <c r="C251" s="1">
        <v>43300101</v>
      </c>
      <c r="D251" t="s">
        <v>67</v>
      </c>
      <c r="H251" t="str">
        <f t="shared" si="17"/>
        <v>04785851009</v>
      </c>
      <c r="I251" t="str">
        <f t="shared" si="18"/>
        <v>12268050155</v>
      </c>
      <c r="K251" t="str">
        <f>""</f>
        <v/>
      </c>
      <c r="M251" t="s">
        <v>68</v>
      </c>
      <c r="N251" t="str">
        <f t="shared" si="14"/>
        <v>FOR</v>
      </c>
      <c r="O251" t="s">
        <v>69</v>
      </c>
      <c r="P251" s="3" t="s">
        <v>75</v>
      </c>
      <c r="Q251">
        <v>2015</v>
      </c>
      <c r="R251" s="2">
        <v>42261</v>
      </c>
      <c r="S251" s="2">
        <v>42262</v>
      </c>
      <c r="T251" s="2">
        <v>42262</v>
      </c>
      <c r="U251" s="2">
        <v>42322</v>
      </c>
      <c r="V251" t="s">
        <v>71</v>
      </c>
      <c r="W251" t="str">
        <f>"          1010901908"</f>
        <v xml:space="preserve">          1010901908</v>
      </c>
      <c r="X251" s="1">
        <v>15287.82</v>
      </c>
      <c r="Y251">
        <v>0</v>
      </c>
      <c r="Z251"/>
      <c r="AB251"/>
      <c r="AC251" s="1">
        <v>12531</v>
      </c>
      <c r="AD251">
        <v>298</v>
      </c>
      <c r="AE251" s="1">
        <v>3734238</v>
      </c>
      <c r="AF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 s="2">
        <v>42746</v>
      </c>
      <c r="AQ251" t="s">
        <v>72</v>
      </c>
      <c r="AR251" t="s">
        <v>72</v>
      </c>
      <c r="AS251">
        <v>2307</v>
      </c>
      <c r="AT251" s="4">
        <v>42620</v>
      </c>
      <c r="AU251" t="s">
        <v>73</v>
      </c>
      <c r="AV251">
        <v>2307</v>
      </c>
      <c r="AW251" s="4">
        <v>42620</v>
      </c>
      <c r="BD251">
        <v>0</v>
      </c>
      <c r="BN251" t="s">
        <v>74</v>
      </c>
    </row>
    <row r="252" spans="1:66" hidden="1">
      <c r="A252">
        <v>100066</v>
      </c>
      <c r="B252" s="3" t="s">
        <v>103</v>
      </c>
      <c r="C252" s="1">
        <v>43300101</v>
      </c>
      <c r="D252" t="s">
        <v>67</v>
      </c>
      <c r="H252" t="str">
        <f t="shared" si="17"/>
        <v>04785851009</v>
      </c>
      <c r="I252" t="str">
        <f t="shared" si="18"/>
        <v>12268050155</v>
      </c>
      <c r="K252" t="str">
        <f>""</f>
        <v/>
      </c>
      <c r="M252" t="s">
        <v>68</v>
      </c>
      <c r="N252" t="str">
        <f t="shared" si="14"/>
        <v>FOR</v>
      </c>
      <c r="O252" t="s">
        <v>69</v>
      </c>
      <c r="P252" s="3" t="s">
        <v>75</v>
      </c>
      <c r="Q252">
        <v>2015</v>
      </c>
      <c r="R252" s="2">
        <v>42261</v>
      </c>
      <c r="S252" s="2">
        <v>42262</v>
      </c>
      <c r="T252" s="2">
        <v>42262</v>
      </c>
      <c r="U252" s="2">
        <v>42322</v>
      </c>
      <c r="V252" t="s">
        <v>71</v>
      </c>
      <c r="W252" t="str">
        <f>"          1010901909"</f>
        <v xml:space="preserve">          1010901909</v>
      </c>
      <c r="X252" s="1">
        <v>12788.04</v>
      </c>
      <c r="Y252">
        <v>0</v>
      </c>
      <c r="Z252"/>
      <c r="AB252"/>
      <c r="AC252" s="1">
        <v>10482</v>
      </c>
      <c r="AD252">
        <v>298</v>
      </c>
      <c r="AE252" s="1">
        <v>3123636</v>
      </c>
      <c r="AF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 s="2">
        <v>42746</v>
      </c>
      <c r="AQ252" t="s">
        <v>72</v>
      </c>
      <c r="AR252" t="s">
        <v>72</v>
      </c>
      <c r="AS252">
        <v>2307</v>
      </c>
      <c r="AT252" s="4">
        <v>42620</v>
      </c>
      <c r="AU252" t="s">
        <v>73</v>
      </c>
      <c r="AV252">
        <v>2307</v>
      </c>
      <c r="AW252" s="4">
        <v>42620</v>
      </c>
      <c r="BD252">
        <v>0</v>
      </c>
      <c r="BN252" t="s">
        <v>74</v>
      </c>
    </row>
    <row r="253" spans="1:66" hidden="1">
      <c r="A253">
        <v>100066</v>
      </c>
      <c r="B253" s="3" t="s">
        <v>103</v>
      </c>
      <c r="C253" s="1">
        <v>43300101</v>
      </c>
      <c r="D253" t="s">
        <v>67</v>
      </c>
      <c r="H253" t="str">
        <f t="shared" si="17"/>
        <v>04785851009</v>
      </c>
      <c r="I253" t="str">
        <f t="shared" si="18"/>
        <v>12268050155</v>
      </c>
      <c r="K253" t="str">
        <f>""</f>
        <v/>
      </c>
      <c r="M253" t="s">
        <v>68</v>
      </c>
      <c r="N253" t="str">
        <f t="shared" si="14"/>
        <v>FOR</v>
      </c>
      <c r="O253" t="s">
        <v>69</v>
      </c>
      <c r="P253" s="3" t="s">
        <v>75</v>
      </c>
      <c r="Q253">
        <v>2015</v>
      </c>
      <c r="R253" s="2">
        <v>42261</v>
      </c>
      <c r="S253" s="2">
        <v>42262</v>
      </c>
      <c r="T253" s="2">
        <v>42262</v>
      </c>
      <c r="U253" s="2">
        <v>42322</v>
      </c>
      <c r="V253" t="s">
        <v>71</v>
      </c>
      <c r="W253" t="str">
        <f>"          1010901911"</f>
        <v xml:space="preserve">          1010901911</v>
      </c>
      <c r="X253" s="1">
        <v>39088.800000000003</v>
      </c>
      <c r="Y253">
        <v>0</v>
      </c>
      <c r="Z253"/>
      <c r="AB253"/>
      <c r="AC253" s="1">
        <v>32040</v>
      </c>
      <c r="AD253">
        <v>298</v>
      </c>
      <c r="AE253" s="1">
        <v>9547920</v>
      </c>
      <c r="AF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 s="2">
        <v>42746</v>
      </c>
      <c r="AQ253" t="s">
        <v>72</v>
      </c>
      <c r="AR253" t="s">
        <v>72</v>
      </c>
      <c r="AS253">
        <v>2307</v>
      </c>
      <c r="AT253" s="4">
        <v>42620</v>
      </c>
      <c r="AU253" t="s">
        <v>73</v>
      </c>
      <c r="AV253">
        <v>2307</v>
      </c>
      <c r="AW253" s="4">
        <v>42620</v>
      </c>
      <c r="BD253">
        <v>0</v>
      </c>
      <c r="BN253" t="s">
        <v>74</v>
      </c>
    </row>
    <row r="254" spans="1:66" hidden="1">
      <c r="A254">
        <v>100066</v>
      </c>
      <c r="B254" s="3" t="s">
        <v>103</v>
      </c>
      <c r="C254" s="1">
        <v>43300101</v>
      </c>
      <c r="D254" t="s">
        <v>67</v>
      </c>
      <c r="H254" t="str">
        <f t="shared" si="17"/>
        <v>04785851009</v>
      </c>
      <c r="I254" t="str">
        <f t="shared" si="18"/>
        <v>12268050155</v>
      </c>
      <c r="K254" t="str">
        <f>""</f>
        <v/>
      </c>
      <c r="M254" t="s">
        <v>68</v>
      </c>
      <c r="N254" t="str">
        <f t="shared" si="14"/>
        <v>FOR</v>
      </c>
      <c r="O254" t="s">
        <v>69</v>
      </c>
      <c r="P254" s="3" t="s">
        <v>75</v>
      </c>
      <c r="Q254">
        <v>2015</v>
      </c>
      <c r="R254" s="2">
        <v>42262</v>
      </c>
      <c r="S254" s="2">
        <v>42265</v>
      </c>
      <c r="T254" s="2">
        <v>42263</v>
      </c>
      <c r="U254" s="2">
        <v>42323</v>
      </c>
      <c r="V254" t="s">
        <v>71</v>
      </c>
      <c r="W254" t="str">
        <f>"          1010902188"</f>
        <v xml:space="preserve">          1010902188</v>
      </c>
      <c r="X254" s="1">
        <v>1500.11</v>
      </c>
      <c r="Y254">
        <v>0</v>
      </c>
      <c r="Z254"/>
      <c r="AB254"/>
      <c r="AC254" s="1">
        <v>1229.5999999999999</v>
      </c>
      <c r="AD254">
        <v>297</v>
      </c>
      <c r="AE254" s="1">
        <v>365191.2</v>
      </c>
      <c r="AF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 s="2">
        <v>42746</v>
      </c>
      <c r="AQ254" t="s">
        <v>72</v>
      </c>
      <c r="AR254" t="s">
        <v>72</v>
      </c>
      <c r="AS254">
        <v>2307</v>
      </c>
      <c r="AT254" s="4">
        <v>42620</v>
      </c>
      <c r="AU254" t="s">
        <v>73</v>
      </c>
      <c r="AV254">
        <v>2307</v>
      </c>
      <c r="AW254" s="4">
        <v>42620</v>
      </c>
      <c r="BD254">
        <v>0</v>
      </c>
      <c r="BN254" t="s">
        <v>74</v>
      </c>
    </row>
    <row r="255" spans="1:66" hidden="1">
      <c r="A255">
        <v>100066</v>
      </c>
      <c r="B255" s="3" t="s">
        <v>103</v>
      </c>
      <c r="C255" s="1">
        <v>43300101</v>
      </c>
      <c r="D255" t="s">
        <v>67</v>
      </c>
      <c r="H255" t="str">
        <f t="shared" si="17"/>
        <v>04785851009</v>
      </c>
      <c r="I255" t="str">
        <f t="shared" si="18"/>
        <v>12268050155</v>
      </c>
      <c r="K255" t="str">
        <f>""</f>
        <v/>
      </c>
      <c r="M255" t="s">
        <v>68</v>
      </c>
      <c r="N255" t="str">
        <f t="shared" si="14"/>
        <v>FOR</v>
      </c>
      <c r="O255" t="s">
        <v>69</v>
      </c>
      <c r="P255" s="3" t="s">
        <v>75</v>
      </c>
      <c r="Q255">
        <v>2015</v>
      </c>
      <c r="R255" s="2">
        <v>42270</v>
      </c>
      <c r="S255" s="2">
        <v>42272</v>
      </c>
      <c r="T255" s="2">
        <v>42271</v>
      </c>
      <c r="U255" s="2">
        <v>42331</v>
      </c>
      <c r="V255" t="s">
        <v>71</v>
      </c>
      <c r="W255" t="str">
        <f>"          1010903954"</f>
        <v xml:space="preserve">          1010903954</v>
      </c>
      <c r="X255" s="1">
        <v>4066.66</v>
      </c>
      <c r="Y255">
        <v>0</v>
      </c>
      <c r="Z255"/>
      <c r="AB255"/>
      <c r="AC255" s="1">
        <v>3333.33</v>
      </c>
      <c r="AD255">
        <v>289</v>
      </c>
      <c r="AE255" s="1">
        <v>963332.37</v>
      </c>
      <c r="AF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 s="2">
        <v>42746</v>
      </c>
      <c r="AQ255" t="s">
        <v>72</v>
      </c>
      <c r="AR255" t="s">
        <v>72</v>
      </c>
      <c r="AS255">
        <v>2307</v>
      </c>
      <c r="AT255" s="4">
        <v>42620</v>
      </c>
      <c r="AU255" t="s">
        <v>73</v>
      </c>
      <c r="AV255">
        <v>2307</v>
      </c>
      <c r="AW255" s="4">
        <v>42620</v>
      </c>
      <c r="BD255">
        <v>0</v>
      </c>
      <c r="BN255" t="s">
        <v>74</v>
      </c>
    </row>
    <row r="256" spans="1:66" hidden="1">
      <c r="A256">
        <v>100066</v>
      </c>
      <c r="B256" s="3" t="s">
        <v>103</v>
      </c>
      <c r="C256" s="1">
        <v>43300101</v>
      </c>
      <c r="D256" t="s">
        <v>67</v>
      </c>
      <c r="H256" t="str">
        <f t="shared" si="17"/>
        <v>04785851009</v>
      </c>
      <c r="I256" t="str">
        <f t="shared" si="18"/>
        <v>12268050155</v>
      </c>
      <c r="K256" t="str">
        <f>""</f>
        <v/>
      </c>
      <c r="M256" t="s">
        <v>68</v>
      </c>
      <c r="N256" t="str">
        <f t="shared" si="14"/>
        <v>FOR</v>
      </c>
      <c r="O256" t="s">
        <v>69</v>
      </c>
      <c r="P256" s="3" t="s">
        <v>75</v>
      </c>
      <c r="Q256">
        <v>2015</v>
      </c>
      <c r="R256" s="2">
        <v>42270</v>
      </c>
      <c r="S256" s="2">
        <v>42272</v>
      </c>
      <c r="T256" s="2">
        <v>42271</v>
      </c>
      <c r="U256" s="2">
        <v>42331</v>
      </c>
      <c r="V256" t="s">
        <v>71</v>
      </c>
      <c r="W256" t="str">
        <f>"          1010903955"</f>
        <v xml:space="preserve">          1010903955</v>
      </c>
      <c r="X256" s="1">
        <v>36600</v>
      </c>
      <c r="Y256">
        <v>0</v>
      </c>
      <c r="Z256"/>
      <c r="AB256"/>
      <c r="AC256" s="1">
        <v>30000</v>
      </c>
      <c r="AD256">
        <v>289</v>
      </c>
      <c r="AE256" s="1">
        <v>8670000</v>
      </c>
      <c r="AF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 s="2">
        <v>42746</v>
      </c>
      <c r="AQ256" t="s">
        <v>72</v>
      </c>
      <c r="AR256" t="s">
        <v>72</v>
      </c>
      <c r="AS256">
        <v>2307</v>
      </c>
      <c r="AT256" s="4">
        <v>42620</v>
      </c>
      <c r="AU256" t="s">
        <v>73</v>
      </c>
      <c r="AV256">
        <v>2307</v>
      </c>
      <c r="AW256" s="4">
        <v>42620</v>
      </c>
      <c r="BD256">
        <v>0</v>
      </c>
      <c r="BN256" t="s">
        <v>74</v>
      </c>
    </row>
    <row r="257" spans="1:66" hidden="1">
      <c r="A257">
        <v>100066</v>
      </c>
      <c r="B257" s="3" t="s">
        <v>103</v>
      </c>
      <c r="C257" s="1">
        <v>43300101</v>
      </c>
      <c r="D257" t="s">
        <v>67</v>
      </c>
      <c r="H257" t="str">
        <f t="shared" si="17"/>
        <v>04785851009</v>
      </c>
      <c r="I257" t="str">
        <f t="shared" si="18"/>
        <v>12268050155</v>
      </c>
      <c r="K257" t="str">
        <f>""</f>
        <v/>
      </c>
      <c r="M257" t="s">
        <v>68</v>
      </c>
      <c r="N257" t="str">
        <f t="shared" si="14"/>
        <v>FOR</v>
      </c>
      <c r="O257" t="s">
        <v>69</v>
      </c>
      <c r="P257" s="3" t="s">
        <v>75</v>
      </c>
      <c r="Q257">
        <v>2015</v>
      </c>
      <c r="R257" s="2">
        <v>42272</v>
      </c>
      <c r="S257" s="2">
        <v>42275</v>
      </c>
      <c r="T257" s="2">
        <v>42273</v>
      </c>
      <c r="U257" s="2">
        <v>42333</v>
      </c>
      <c r="V257" t="s">
        <v>71</v>
      </c>
      <c r="W257" t="str">
        <f>"          1010904985"</f>
        <v xml:space="preserve">          1010904985</v>
      </c>
      <c r="X257" s="1">
        <v>4916.08</v>
      </c>
      <c r="Y257">
        <v>0</v>
      </c>
      <c r="Z257"/>
      <c r="AB257"/>
      <c r="AC257" s="1">
        <v>4029.57</v>
      </c>
      <c r="AD257">
        <v>287</v>
      </c>
      <c r="AE257" s="1">
        <v>1156486.5900000001</v>
      </c>
      <c r="AF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 s="2">
        <v>42746</v>
      </c>
      <c r="AQ257" t="s">
        <v>72</v>
      </c>
      <c r="AR257" t="s">
        <v>72</v>
      </c>
      <c r="AS257">
        <v>2307</v>
      </c>
      <c r="AT257" s="4">
        <v>42620</v>
      </c>
      <c r="AU257" t="s">
        <v>73</v>
      </c>
      <c r="AV257">
        <v>2307</v>
      </c>
      <c r="AW257" s="4">
        <v>42620</v>
      </c>
      <c r="BD257">
        <v>0</v>
      </c>
      <c r="BN257" t="s">
        <v>74</v>
      </c>
    </row>
    <row r="258" spans="1:66" hidden="1">
      <c r="A258">
        <v>100066</v>
      </c>
      <c r="B258" s="3" t="s">
        <v>103</v>
      </c>
      <c r="C258" s="1">
        <v>43300101</v>
      </c>
      <c r="D258" t="s">
        <v>67</v>
      </c>
      <c r="H258" t="str">
        <f t="shared" si="17"/>
        <v>04785851009</v>
      </c>
      <c r="I258" t="str">
        <f t="shared" si="18"/>
        <v>12268050155</v>
      </c>
      <c r="K258" t="str">
        <f>""</f>
        <v/>
      </c>
      <c r="M258" t="s">
        <v>68</v>
      </c>
      <c r="N258" t="str">
        <f t="shared" si="14"/>
        <v>FOR</v>
      </c>
      <c r="O258" t="s">
        <v>69</v>
      </c>
      <c r="P258" s="3" t="s">
        <v>75</v>
      </c>
      <c r="Q258">
        <v>2015</v>
      </c>
      <c r="R258" s="2">
        <v>42272</v>
      </c>
      <c r="S258" s="2">
        <v>42275</v>
      </c>
      <c r="T258" s="2">
        <v>42273</v>
      </c>
      <c r="U258" s="2">
        <v>42333</v>
      </c>
      <c r="V258" t="s">
        <v>71</v>
      </c>
      <c r="W258" t="str">
        <f>"          1010905065"</f>
        <v xml:space="preserve">          1010905065</v>
      </c>
      <c r="X258" s="1">
        <v>15947.84</v>
      </c>
      <c r="Y258">
        <v>0</v>
      </c>
      <c r="Z258"/>
      <c r="AB258"/>
      <c r="AC258" s="1">
        <v>13072</v>
      </c>
      <c r="AD258">
        <v>287</v>
      </c>
      <c r="AE258" s="1">
        <v>3751664</v>
      </c>
      <c r="AF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 s="2">
        <v>42746</v>
      </c>
      <c r="AQ258" t="s">
        <v>72</v>
      </c>
      <c r="AR258" t="s">
        <v>72</v>
      </c>
      <c r="AS258">
        <v>2307</v>
      </c>
      <c r="AT258" s="4">
        <v>42620</v>
      </c>
      <c r="AU258" t="s">
        <v>73</v>
      </c>
      <c r="AV258">
        <v>2307</v>
      </c>
      <c r="AW258" s="4">
        <v>42620</v>
      </c>
      <c r="BD258">
        <v>0</v>
      </c>
      <c r="BN258" t="s">
        <v>74</v>
      </c>
    </row>
    <row r="259" spans="1:66">
      <c r="A259">
        <v>100066</v>
      </c>
      <c r="B259" s="3" t="s">
        <v>103</v>
      </c>
      <c r="C259" s="1">
        <v>43300101</v>
      </c>
      <c r="D259" t="s">
        <v>67</v>
      </c>
      <c r="H259" t="str">
        <f t="shared" si="17"/>
        <v>04785851009</v>
      </c>
      <c r="I259" t="str">
        <f t="shared" si="18"/>
        <v>12268050155</v>
      </c>
      <c r="K259" t="str">
        <f>""</f>
        <v/>
      </c>
      <c r="M259" t="s">
        <v>68</v>
      </c>
      <c r="N259" t="str">
        <f t="shared" ref="N259:N322" si="19">"FOR"</f>
        <v>FOR</v>
      </c>
      <c r="O259" t="s">
        <v>69</v>
      </c>
      <c r="P259" s="3" t="s">
        <v>75</v>
      </c>
      <c r="Q259">
        <v>2015</v>
      </c>
      <c r="R259" s="2">
        <v>42283</v>
      </c>
      <c r="S259" s="2">
        <v>42291</v>
      </c>
      <c r="T259" s="2">
        <v>42291</v>
      </c>
      <c r="U259" s="2">
        <v>42351</v>
      </c>
      <c r="V259" t="s">
        <v>71</v>
      </c>
      <c r="W259" t="str">
        <f>"          1010906454"</f>
        <v xml:space="preserve">          1010906454</v>
      </c>
      <c r="X259" s="1">
        <v>5124</v>
      </c>
      <c r="Y259">
        <v>0</v>
      </c>
      <c r="Z259" s="5">
        <v>4200</v>
      </c>
      <c r="AA259">
        <v>295</v>
      </c>
      <c r="AB259" s="5">
        <v>1239000</v>
      </c>
      <c r="AC259" s="1">
        <v>4200</v>
      </c>
      <c r="AD259">
        <v>295</v>
      </c>
      <c r="AE259" s="1">
        <v>1239000</v>
      </c>
      <c r="AF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 s="2">
        <v>42746</v>
      </c>
      <c r="AQ259" t="s">
        <v>72</v>
      </c>
      <c r="AR259" t="s">
        <v>72</v>
      </c>
      <c r="AS259">
        <v>2567</v>
      </c>
      <c r="AT259" s="4">
        <v>42646</v>
      </c>
      <c r="AU259" t="s">
        <v>73</v>
      </c>
      <c r="AV259">
        <v>2567</v>
      </c>
      <c r="AW259" s="4">
        <v>42646</v>
      </c>
      <c r="BD259">
        <v>0</v>
      </c>
      <c r="BN259" t="s">
        <v>74</v>
      </c>
    </row>
    <row r="260" spans="1:66">
      <c r="A260">
        <v>100066</v>
      </c>
      <c r="B260" s="3" t="s">
        <v>103</v>
      </c>
      <c r="C260" s="1">
        <v>43300101</v>
      </c>
      <c r="D260" t="s">
        <v>67</v>
      </c>
      <c r="H260" t="str">
        <f t="shared" si="17"/>
        <v>04785851009</v>
      </c>
      <c r="I260" t="str">
        <f t="shared" si="18"/>
        <v>12268050155</v>
      </c>
      <c r="K260" t="str">
        <f>""</f>
        <v/>
      </c>
      <c r="M260" t="s">
        <v>68</v>
      </c>
      <c r="N260" t="str">
        <f t="shared" si="19"/>
        <v>FOR</v>
      </c>
      <c r="O260" t="s">
        <v>69</v>
      </c>
      <c r="P260" s="3" t="s">
        <v>75</v>
      </c>
      <c r="Q260">
        <v>2015</v>
      </c>
      <c r="R260" s="2">
        <v>42286</v>
      </c>
      <c r="S260" s="2">
        <v>42291</v>
      </c>
      <c r="T260" s="2">
        <v>42291</v>
      </c>
      <c r="U260" s="2">
        <v>42351</v>
      </c>
      <c r="V260" t="s">
        <v>71</v>
      </c>
      <c r="W260" t="str">
        <f>"          1010906959"</f>
        <v xml:space="preserve">          1010906959</v>
      </c>
      <c r="X260" s="1">
        <v>1114.5899999999999</v>
      </c>
      <c r="Y260">
        <v>0</v>
      </c>
      <c r="Z260" s="3">
        <v>913.6</v>
      </c>
      <c r="AA260">
        <v>295</v>
      </c>
      <c r="AB260" s="5">
        <v>269512</v>
      </c>
      <c r="AC260">
        <v>913.6</v>
      </c>
      <c r="AD260">
        <v>295</v>
      </c>
      <c r="AE260" s="1">
        <v>269512</v>
      </c>
      <c r="AF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 s="2">
        <v>42746</v>
      </c>
      <c r="AQ260" t="s">
        <v>72</v>
      </c>
      <c r="AR260" t="s">
        <v>72</v>
      </c>
      <c r="AS260">
        <v>2567</v>
      </c>
      <c r="AT260" s="4">
        <v>42646</v>
      </c>
      <c r="AU260" t="s">
        <v>73</v>
      </c>
      <c r="AV260">
        <v>2567</v>
      </c>
      <c r="AW260" s="4">
        <v>42646</v>
      </c>
      <c r="BD260">
        <v>0</v>
      </c>
      <c r="BN260" t="s">
        <v>74</v>
      </c>
    </row>
    <row r="261" spans="1:66">
      <c r="A261">
        <v>100066</v>
      </c>
      <c r="B261" s="3" t="s">
        <v>103</v>
      </c>
      <c r="C261" s="1">
        <v>43300101</v>
      </c>
      <c r="D261" t="s">
        <v>67</v>
      </c>
      <c r="H261" t="str">
        <f t="shared" si="17"/>
        <v>04785851009</v>
      </c>
      <c r="I261" t="str">
        <f t="shared" si="18"/>
        <v>12268050155</v>
      </c>
      <c r="K261" t="str">
        <f>""</f>
        <v/>
      </c>
      <c r="M261" t="s">
        <v>68</v>
      </c>
      <c r="N261" t="str">
        <f t="shared" si="19"/>
        <v>FOR</v>
      </c>
      <c r="O261" t="s">
        <v>69</v>
      </c>
      <c r="P261" s="3" t="s">
        <v>75</v>
      </c>
      <c r="Q261">
        <v>2015</v>
      </c>
      <c r="R261" s="2">
        <v>42286</v>
      </c>
      <c r="S261" s="2">
        <v>42291</v>
      </c>
      <c r="T261" s="2">
        <v>42291</v>
      </c>
      <c r="U261" s="2">
        <v>42351</v>
      </c>
      <c r="V261" t="s">
        <v>71</v>
      </c>
      <c r="W261" t="str">
        <f>"          1010906960"</f>
        <v xml:space="preserve">          1010906960</v>
      </c>
      <c r="X261" s="1">
        <v>6130.5</v>
      </c>
      <c r="Y261">
        <v>0</v>
      </c>
      <c r="Z261" s="5">
        <v>5025</v>
      </c>
      <c r="AA261">
        <v>295</v>
      </c>
      <c r="AB261" s="5">
        <v>1482375</v>
      </c>
      <c r="AC261" s="1">
        <v>5025</v>
      </c>
      <c r="AD261">
        <v>295</v>
      </c>
      <c r="AE261" s="1">
        <v>1482375</v>
      </c>
      <c r="AF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 s="2">
        <v>42746</v>
      </c>
      <c r="AQ261" t="s">
        <v>72</v>
      </c>
      <c r="AR261" t="s">
        <v>72</v>
      </c>
      <c r="AS261">
        <v>2567</v>
      </c>
      <c r="AT261" s="4">
        <v>42646</v>
      </c>
      <c r="AU261" t="s">
        <v>73</v>
      </c>
      <c r="AV261">
        <v>2567</v>
      </c>
      <c r="AW261" s="4">
        <v>42646</v>
      </c>
      <c r="BD261">
        <v>0</v>
      </c>
      <c r="BN261" t="s">
        <v>74</v>
      </c>
    </row>
    <row r="262" spans="1:66">
      <c r="A262">
        <v>100066</v>
      </c>
      <c r="B262" s="3" t="s">
        <v>103</v>
      </c>
      <c r="C262" s="1">
        <v>43300101</v>
      </c>
      <c r="D262" t="s">
        <v>67</v>
      </c>
      <c r="H262" t="str">
        <f t="shared" si="17"/>
        <v>04785851009</v>
      </c>
      <c r="I262" t="str">
        <f t="shared" si="18"/>
        <v>12268050155</v>
      </c>
      <c r="K262" t="str">
        <f>""</f>
        <v/>
      </c>
      <c r="M262" t="s">
        <v>68</v>
      </c>
      <c r="N262" t="str">
        <f t="shared" si="19"/>
        <v>FOR</v>
      </c>
      <c r="O262" t="s">
        <v>69</v>
      </c>
      <c r="P262" s="3" t="s">
        <v>75</v>
      </c>
      <c r="Q262">
        <v>2015</v>
      </c>
      <c r="R262" s="2">
        <v>42290</v>
      </c>
      <c r="S262" s="2">
        <v>42291</v>
      </c>
      <c r="T262" s="2">
        <v>42291</v>
      </c>
      <c r="U262" s="2">
        <v>42351</v>
      </c>
      <c r="V262" t="s">
        <v>71</v>
      </c>
      <c r="W262" t="str">
        <f>"          1010907423"</f>
        <v xml:space="preserve">          1010907423</v>
      </c>
      <c r="X262" s="1">
        <v>1500.11</v>
      </c>
      <c r="Y262">
        <v>0</v>
      </c>
      <c r="Z262" s="5">
        <v>1229.5999999999999</v>
      </c>
      <c r="AA262">
        <v>295</v>
      </c>
      <c r="AB262" s="5">
        <v>362732</v>
      </c>
      <c r="AC262" s="1">
        <v>1229.5999999999999</v>
      </c>
      <c r="AD262">
        <v>295</v>
      </c>
      <c r="AE262" s="1">
        <v>362732</v>
      </c>
      <c r="AF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 s="2">
        <v>42746</v>
      </c>
      <c r="AQ262" t="s">
        <v>72</v>
      </c>
      <c r="AR262" t="s">
        <v>72</v>
      </c>
      <c r="AS262">
        <v>2567</v>
      </c>
      <c r="AT262" s="4">
        <v>42646</v>
      </c>
      <c r="AU262" t="s">
        <v>73</v>
      </c>
      <c r="AV262">
        <v>2567</v>
      </c>
      <c r="AW262" s="4">
        <v>42646</v>
      </c>
      <c r="BD262">
        <v>0</v>
      </c>
      <c r="BN262" t="s">
        <v>74</v>
      </c>
    </row>
    <row r="263" spans="1:66">
      <c r="A263">
        <v>100066</v>
      </c>
      <c r="B263" s="3" t="s">
        <v>103</v>
      </c>
      <c r="C263" s="1">
        <v>43300101</v>
      </c>
      <c r="D263" t="s">
        <v>67</v>
      </c>
      <c r="H263" t="str">
        <f t="shared" si="17"/>
        <v>04785851009</v>
      </c>
      <c r="I263" t="str">
        <f t="shared" si="18"/>
        <v>12268050155</v>
      </c>
      <c r="K263" t="str">
        <f>""</f>
        <v/>
      </c>
      <c r="M263" t="s">
        <v>68</v>
      </c>
      <c r="N263" t="str">
        <f t="shared" si="19"/>
        <v>FOR</v>
      </c>
      <c r="O263" t="s">
        <v>69</v>
      </c>
      <c r="P263" s="3" t="s">
        <v>75</v>
      </c>
      <c r="Q263">
        <v>2015</v>
      </c>
      <c r="R263" s="2">
        <v>42292</v>
      </c>
      <c r="S263" s="2">
        <v>42293</v>
      </c>
      <c r="T263" s="2">
        <v>42293</v>
      </c>
      <c r="U263" s="2">
        <v>42353</v>
      </c>
      <c r="V263" t="s">
        <v>71</v>
      </c>
      <c r="W263" t="str">
        <f>"          1010907780"</f>
        <v xml:space="preserve">          1010907780</v>
      </c>
      <c r="X263" s="1">
        <v>3385.74</v>
      </c>
      <c r="Y263">
        <v>0</v>
      </c>
      <c r="Z263" s="5">
        <v>2775.2</v>
      </c>
      <c r="AA263">
        <v>293</v>
      </c>
      <c r="AB263" s="5">
        <v>813133.6</v>
      </c>
      <c r="AC263" s="1">
        <v>2775.2</v>
      </c>
      <c r="AD263">
        <v>293</v>
      </c>
      <c r="AE263" s="1">
        <v>813133.6</v>
      </c>
      <c r="AF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 s="2">
        <v>42746</v>
      </c>
      <c r="AQ263" t="s">
        <v>72</v>
      </c>
      <c r="AR263" t="s">
        <v>72</v>
      </c>
      <c r="AS263">
        <v>2567</v>
      </c>
      <c r="AT263" s="4">
        <v>42646</v>
      </c>
      <c r="AU263" t="s">
        <v>73</v>
      </c>
      <c r="AV263">
        <v>2567</v>
      </c>
      <c r="AW263" s="4">
        <v>42646</v>
      </c>
      <c r="BD263">
        <v>0</v>
      </c>
      <c r="BN263" t="s">
        <v>74</v>
      </c>
    </row>
    <row r="264" spans="1:66">
      <c r="A264">
        <v>100066</v>
      </c>
      <c r="B264" s="3" t="s">
        <v>103</v>
      </c>
      <c r="C264" s="1">
        <v>43300101</v>
      </c>
      <c r="D264" t="s">
        <v>67</v>
      </c>
      <c r="H264" t="str">
        <f t="shared" si="17"/>
        <v>04785851009</v>
      </c>
      <c r="I264" t="str">
        <f t="shared" si="18"/>
        <v>12268050155</v>
      </c>
      <c r="K264" t="str">
        <f>""</f>
        <v/>
      </c>
      <c r="M264" t="s">
        <v>68</v>
      </c>
      <c r="N264" t="str">
        <f t="shared" si="19"/>
        <v>FOR</v>
      </c>
      <c r="O264" t="s">
        <v>69</v>
      </c>
      <c r="P264" s="3" t="s">
        <v>75</v>
      </c>
      <c r="Q264">
        <v>2015</v>
      </c>
      <c r="R264" s="2">
        <v>42292</v>
      </c>
      <c r="S264" s="2">
        <v>42293</v>
      </c>
      <c r="T264" s="2">
        <v>42293</v>
      </c>
      <c r="U264" s="2">
        <v>42353</v>
      </c>
      <c r="V264" t="s">
        <v>71</v>
      </c>
      <c r="W264" t="str">
        <f>"          1010907781"</f>
        <v xml:space="preserve">          1010907781</v>
      </c>
      <c r="X264" s="1">
        <v>3385.74</v>
      </c>
      <c r="Y264">
        <v>0</v>
      </c>
      <c r="Z264" s="5">
        <v>2775.2</v>
      </c>
      <c r="AA264">
        <v>293</v>
      </c>
      <c r="AB264" s="5">
        <v>813133.6</v>
      </c>
      <c r="AC264" s="1">
        <v>2775.2</v>
      </c>
      <c r="AD264">
        <v>293</v>
      </c>
      <c r="AE264" s="1">
        <v>813133.6</v>
      </c>
      <c r="AF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 s="2">
        <v>42746</v>
      </c>
      <c r="AQ264" t="s">
        <v>72</v>
      </c>
      <c r="AR264" t="s">
        <v>72</v>
      </c>
      <c r="AS264">
        <v>2567</v>
      </c>
      <c r="AT264" s="4">
        <v>42646</v>
      </c>
      <c r="AU264" t="s">
        <v>73</v>
      </c>
      <c r="AV264">
        <v>2567</v>
      </c>
      <c r="AW264" s="4">
        <v>42646</v>
      </c>
      <c r="BD264">
        <v>0</v>
      </c>
      <c r="BN264" t="s">
        <v>74</v>
      </c>
    </row>
    <row r="265" spans="1:66">
      <c r="A265">
        <v>100066</v>
      </c>
      <c r="B265" s="3" t="s">
        <v>103</v>
      </c>
      <c r="C265" s="1">
        <v>43300101</v>
      </c>
      <c r="D265" t="s">
        <v>67</v>
      </c>
      <c r="H265" t="str">
        <f t="shared" ref="H265:H296" si="20">"04785851009"</f>
        <v>04785851009</v>
      </c>
      <c r="I265" t="str">
        <f t="shared" ref="I265:I296" si="21">"12268050155"</f>
        <v>12268050155</v>
      </c>
      <c r="K265" t="str">
        <f>""</f>
        <v/>
      </c>
      <c r="M265" t="s">
        <v>68</v>
      </c>
      <c r="N265" t="str">
        <f t="shared" si="19"/>
        <v>FOR</v>
      </c>
      <c r="O265" t="s">
        <v>69</v>
      </c>
      <c r="P265" s="3" t="s">
        <v>75</v>
      </c>
      <c r="Q265">
        <v>2015</v>
      </c>
      <c r="R265" s="2">
        <v>42292</v>
      </c>
      <c r="S265" s="2">
        <v>42293</v>
      </c>
      <c r="T265" s="2">
        <v>42293</v>
      </c>
      <c r="U265" s="2">
        <v>42353</v>
      </c>
      <c r="V265" t="s">
        <v>71</v>
      </c>
      <c r="W265" t="str">
        <f>"          1010907782"</f>
        <v xml:space="preserve">          1010907782</v>
      </c>
      <c r="X265" s="1">
        <v>1114.5899999999999</v>
      </c>
      <c r="Y265">
        <v>0</v>
      </c>
      <c r="Z265" s="3">
        <v>913.6</v>
      </c>
      <c r="AA265">
        <v>293</v>
      </c>
      <c r="AB265" s="5">
        <v>267684.8</v>
      </c>
      <c r="AC265">
        <v>913.6</v>
      </c>
      <c r="AD265">
        <v>293</v>
      </c>
      <c r="AE265" s="1">
        <v>267684.8</v>
      </c>
      <c r="AF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 s="2">
        <v>42746</v>
      </c>
      <c r="AQ265" t="s">
        <v>72</v>
      </c>
      <c r="AR265" t="s">
        <v>72</v>
      </c>
      <c r="AS265">
        <v>2567</v>
      </c>
      <c r="AT265" s="4">
        <v>42646</v>
      </c>
      <c r="AU265" t="s">
        <v>73</v>
      </c>
      <c r="AV265">
        <v>2567</v>
      </c>
      <c r="AW265" s="4">
        <v>42646</v>
      </c>
      <c r="BD265">
        <v>0</v>
      </c>
      <c r="BN265" t="s">
        <v>74</v>
      </c>
    </row>
    <row r="266" spans="1:66">
      <c r="A266">
        <v>100066</v>
      </c>
      <c r="B266" s="3" t="s">
        <v>103</v>
      </c>
      <c r="C266" s="1">
        <v>43300101</v>
      </c>
      <c r="D266" t="s">
        <v>67</v>
      </c>
      <c r="H266" t="str">
        <f t="shared" si="20"/>
        <v>04785851009</v>
      </c>
      <c r="I266" t="str">
        <f t="shared" si="21"/>
        <v>12268050155</v>
      </c>
      <c r="K266" t="str">
        <f>""</f>
        <v/>
      </c>
      <c r="M266" t="s">
        <v>68</v>
      </c>
      <c r="N266" t="str">
        <f t="shared" si="19"/>
        <v>FOR</v>
      </c>
      <c r="O266" t="s">
        <v>69</v>
      </c>
      <c r="P266" s="3" t="s">
        <v>75</v>
      </c>
      <c r="Q266">
        <v>2015</v>
      </c>
      <c r="R266" s="2">
        <v>42292</v>
      </c>
      <c r="S266" s="2">
        <v>42293</v>
      </c>
      <c r="T266" s="2">
        <v>42293</v>
      </c>
      <c r="U266" s="2">
        <v>42353</v>
      </c>
      <c r="V266" t="s">
        <v>71</v>
      </c>
      <c r="W266" t="str">
        <f>"          1010907783"</f>
        <v xml:space="preserve">          1010907783</v>
      </c>
      <c r="X266" s="1">
        <v>7085.76</v>
      </c>
      <c r="Y266">
        <v>0</v>
      </c>
      <c r="Z266" s="5">
        <v>5808</v>
      </c>
      <c r="AA266">
        <v>293</v>
      </c>
      <c r="AB266" s="5">
        <v>1701744</v>
      </c>
      <c r="AC266" s="1">
        <v>5808</v>
      </c>
      <c r="AD266">
        <v>293</v>
      </c>
      <c r="AE266" s="1">
        <v>1701744</v>
      </c>
      <c r="AF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 s="2">
        <v>42746</v>
      </c>
      <c r="AQ266" t="s">
        <v>72</v>
      </c>
      <c r="AR266" t="s">
        <v>72</v>
      </c>
      <c r="AS266">
        <v>2567</v>
      </c>
      <c r="AT266" s="4">
        <v>42646</v>
      </c>
      <c r="AU266" t="s">
        <v>73</v>
      </c>
      <c r="AV266">
        <v>2567</v>
      </c>
      <c r="AW266" s="4">
        <v>42646</v>
      </c>
      <c r="BD266">
        <v>0</v>
      </c>
      <c r="BN266" t="s">
        <v>74</v>
      </c>
    </row>
    <row r="267" spans="1:66">
      <c r="A267">
        <v>100066</v>
      </c>
      <c r="B267" s="3" t="s">
        <v>103</v>
      </c>
      <c r="C267" s="1">
        <v>43300101</v>
      </c>
      <c r="D267" t="s">
        <v>67</v>
      </c>
      <c r="H267" t="str">
        <f t="shared" si="20"/>
        <v>04785851009</v>
      </c>
      <c r="I267" t="str">
        <f t="shared" si="21"/>
        <v>12268050155</v>
      </c>
      <c r="K267" t="str">
        <f>""</f>
        <v/>
      </c>
      <c r="M267" t="s">
        <v>68</v>
      </c>
      <c r="N267" t="str">
        <f t="shared" si="19"/>
        <v>FOR</v>
      </c>
      <c r="O267" t="s">
        <v>69</v>
      </c>
      <c r="P267" s="3" t="s">
        <v>75</v>
      </c>
      <c r="Q267">
        <v>2015</v>
      </c>
      <c r="R267" s="2">
        <v>42297</v>
      </c>
      <c r="S267" s="2">
        <v>42298</v>
      </c>
      <c r="T267" s="2">
        <v>42298</v>
      </c>
      <c r="U267" s="2">
        <v>42358</v>
      </c>
      <c r="V267" t="s">
        <v>71</v>
      </c>
      <c r="W267" t="str">
        <f>"          1010908301"</f>
        <v xml:space="preserve">          1010908301</v>
      </c>
      <c r="X267" s="1">
        <v>4148</v>
      </c>
      <c r="Y267">
        <v>0</v>
      </c>
      <c r="Z267" s="5">
        <v>3400</v>
      </c>
      <c r="AA267">
        <v>288</v>
      </c>
      <c r="AB267" s="5">
        <v>979200</v>
      </c>
      <c r="AC267" s="1">
        <v>3400</v>
      </c>
      <c r="AD267">
        <v>288</v>
      </c>
      <c r="AE267" s="1">
        <v>979200</v>
      </c>
      <c r="AF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 s="2">
        <v>42746</v>
      </c>
      <c r="AQ267" t="s">
        <v>72</v>
      </c>
      <c r="AR267" t="s">
        <v>72</v>
      </c>
      <c r="AS267">
        <v>2567</v>
      </c>
      <c r="AT267" s="4">
        <v>42646</v>
      </c>
      <c r="AU267" t="s">
        <v>73</v>
      </c>
      <c r="AV267">
        <v>2567</v>
      </c>
      <c r="AW267" s="4">
        <v>42646</v>
      </c>
      <c r="BD267">
        <v>0</v>
      </c>
      <c r="BN267" t="s">
        <v>74</v>
      </c>
    </row>
    <row r="268" spans="1:66">
      <c r="A268">
        <v>100066</v>
      </c>
      <c r="B268" s="3" t="s">
        <v>103</v>
      </c>
      <c r="C268" s="1">
        <v>43300101</v>
      </c>
      <c r="D268" t="s">
        <v>67</v>
      </c>
      <c r="H268" t="str">
        <f t="shared" si="20"/>
        <v>04785851009</v>
      </c>
      <c r="I268" t="str">
        <f t="shared" si="21"/>
        <v>12268050155</v>
      </c>
      <c r="K268" t="str">
        <f>""</f>
        <v/>
      </c>
      <c r="M268" t="s">
        <v>68</v>
      </c>
      <c r="N268" t="str">
        <f t="shared" si="19"/>
        <v>FOR</v>
      </c>
      <c r="O268" t="s">
        <v>69</v>
      </c>
      <c r="P268" s="3" t="s">
        <v>75</v>
      </c>
      <c r="Q268">
        <v>2015</v>
      </c>
      <c r="R268" s="2">
        <v>42302</v>
      </c>
      <c r="S268" s="2">
        <v>42303</v>
      </c>
      <c r="T268" s="2">
        <v>42303</v>
      </c>
      <c r="U268" s="2">
        <v>42363</v>
      </c>
      <c r="V268" t="s">
        <v>71</v>
      </c>
      <c r="W268" t="str">
        <f>"          1010908892"</f>
        <v xml:space="preserve">          1010908892</v>
      </c>
      <c r="X268" s="1">
        <v>4066.66</v>
      </c>
      <c r="Y268">
        <v>0</v>
      </c>
      <c r="Z268" s="5">
        <v>3333.33</v>
      </c>
      <c r="AA268">
        <v>283</v>
      </c>
      <c r="AB268" s="5">
        <v>943332.39</v>
      </c>
      <c r="AC268" s="1">
        <v>3333.33</v>
      </c>
      <c r="AD268">
        <v>283</v>
      </c>
      <c r="AE268" s="1">
        <v>943332.39</v>
      </c>
      <c r="AF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 s="2">
        <v>42746</v>
      </c>
      <c r="AQ268" t="s">
        <v>72</v>
      </c>
      <c r="AR268" t="s">
        <v>72</v>
      </c>
      <c r="AS268">
        <v>2567</v>
      </c>
      <c r="AT268" s="4">
        <v>42646</v>
      </c>
      <c r="AU268" t="s">
        <v>73</v>
      </c>
      <c r="AV268">
        <v>2567</v>
      </c>
      <c r="AW268" s="4">
        <v>42646</v>
      </c>
      <c r="BD268">
        <v>0</v>
      </c>
      <c r="BN268" t="s">
        <v>74</v>
      </c>
    </row>
    <row r="269" spans="1:66">
      <c r="A269">
        <v>100066</v>
      </c>
      <c r="B269" s="3" t="s">
        <v>103</v>
      </c>
      <c r="C269" s="1">
        <v>43300101</v>
      </c>
      <c r="D269" t="s">
        <v>67</v>
      </c>
      <c r="H269" t="str">
        <f t="shared" si="20"/>
        <v>04785851009</v>
      </c>
      <c r="I269" t="str">
        <f t="shared" si="21"/>
        <v>12268050155</v>
      </c>
      <c r="K269" t="str">
        <f>""</f>
        <v/>
      </c>
      <c r="M269" t="s">
        <v>68</v>
      </c>
      <c r="N269" t="str">
        <f t="shared" si="19"/>
        <v>FOR</v>
      </c>
      <c r="O269" t="s">
        <v>69</v>
      </c>
      <c r="P269" s="3" t="s">
        <v>75</v>
      </c>
      <c r="Q269">
        <v>2015</v>
      </c>
      <c r="R269" s="2">
        <v>42302</v>
      </c>
      <c r="S269" s="2">
        <v>42303</v>
      </c>
      <c r="T269" s="2">
        <v>42303</v>
      </c>
      <c r="U269" s="2">
        <v>42363</v>
      </c>
      <c r="V269" t="s">
        <v>71</v>
      </c>
      <c r="W269" t="str">
        <f>"          1010908893"</f>
        <v xml:space="preserve">          1010908893</v>
      </c>
      <c r="X269">
        <v>546.23</v>
      </c>
      <c r="Y269">
        <v>0</v>
      </c>
      <c r="Z269" s="3">
        <v>447.73</v>
      </c>
      <c r="AA269">
        <v>283</v>
      </c>
      <c r="AB269" s="5">
        <v>126707.59</v>
      </c>
      <c r="AC269">
        <v>447.73</v>
      </c>
      <c r="AD269">
        <v>283</v>
      </c>
      <c r="AE269" s="1">
        <v>126707.59</v>
      </c>
      <c r="AF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 s="2">
        <v>42746</v>
      </c>
      <c r="AQ269" t="s">
        <v>72</v>
      </c>
      <c r="AR269" t="s">
        <v>72</v>
      </c>
      <c r="AS269">
        <v>2567</v>
      </c>
      <c r="AT269" s="4">
        <v>42646</v>
      </c>
      <c r="AU269" t="s">
        <v>73</v>
      </c>
      <c r="AV269">
        <v>2567</v>
      </c>
      <c r="AW269" s="4">
        <v>42646</v>
      </c>
      <c r="BD269">
        <v>0</v>
      </c>
      <c r="BN269" t="s">
        <v>74</v>
      </c>
    </row>
    <row r="270" spans="1:66">
      <c r="A270">
        <v>100066</v>
      </c>
      <c r="B270" s="3" t="s">
        <v>103</v>
      </c>
      <c r="C270" s="1">
        <v>43300101</v>
      </c>
      <c r="D270" t="s">
        <v>67</v>
      </c>
      <c r="H270" t="str">
        <f t="shared" si="20"/>
        <v>04785851009</v>
      </c>
      <c r="I270" t="str">
        <f t="shared" si="21"/>
        <v>12268050155</v>
      </c>
      <c r="K270" t="str">
        <f>""</f>
        <v/>
      </c>
      <c r="M270" t="s">
        <v>68</v>
      </c>
      <c r="N270" t="str">
        <f t="shared" si="19"/>
        <v>FOR</v>
      </c>
      <c r="O270" t="s">
        <v>69</v>
      </c>
      <c r="P270" s="3" t="s">
        <v>75</v>
      </c>
      <c r="Q270">
        <v>2015</v>
      </c>
      <c r="R270" s="2">
        <v>42306</v>
      </c>
      <c r="S270" s="2">
        <v>42310</v>
      </c>
      <c r="T270" s="2">
        <v>42307</v>
      </c>
      <c r="U270" s="2">
        <v>42367</v>
      </c>
      <c r="V270" t="s">
        <v>71</v>
      </c>
      <c r="W270" t="str">
        <f>"          1010909614"</f>
        <v xml:space="preserve">          1010909614</v>
      </c>
      <c r="X270" s="1">
        <v>2229.1799999999998</v>
      </c>
      <c r="Y270">
        <v>0</v>
      </c>
      <c r="Z270" s="5">
        <v>1827.2</v>
      </c>
      <c r="AA270">
        <v>279</v>
      </c>
      <c r="AB270" s="5">
        <v>509788.8</v>
      </c>
      <c r="AC270" s="1">
        <v>1827.2</v>
      </c>
      <c r="AD270">
        <v>279</v>
      </c>
      <c r="AE270" s="1">
        <v>509788.8</v>
      </c>
      <c r="AF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 s="2">
        <v>42746</v>
      </c>
      <c r="AQ270" t="s">
        <v>72</v>
      </c>
      <c r="AR270" t="s">
        <v>72</v>
      </c>
      <c r="AS270">
        <v>2567</v>
      </c>
      <c r="AT270" s="4">
        <v>42646</v>
      </c>
      <c r="AU270" t="s">
        <v>73</v>
      </c>
      <c r="AV270">
        <v>2567</v>
      </c>
      <c r="AW270" s="4">
        <v>42646</v>
      </c>
      <c r="BD270">
        <v>0</v>
      </c>
      <c r="BN270" t="s">
        <v>74</v>
      </c>
    </row>
    <row r="271" spans="1:66">
      <c r="A271">
        <v>100066</v>
      </c>
      <c r="B271" s="3" t="s">
        <v>103</v>
      </c>
      <c r="C271" s="1">
        <v>43300101</v>
      </c>
      <c r="D271" t="s">
        <v>67</v>
      </c>
      <c r="H271" t="str">
        <f t="shared" si="20"/>
        <v>04785851009</v>
      </c>
      <c r="I271" t="str">
        <f t="shared" si="21"/>
        <v>12268050155</v>
      </c>
      <c r="K271" t="str">
        <f>""</f>
        <v/>
      </c>
      <c r="M271" t="s">
        <v>68</v>
      </c>
      <c r="N271" t="str">
        <f t="shared" si="19"/>
        <v>FOR</v>
      </c>
      <c r="O271" t="s">
        <v>69</v>
      </c>
      <c r="P271" s="3" t="s">
        <v>75</v>
      </c>
      <c r="Q271">
        <v>2015</v>
      </c>
      <c r="R271" s="2">
        <v>42310</v>
      </c>
      <c r="S271" s="2">
        <v>42312</v>
      </c>
      <c r="T271" s="2">
        <v>42311</v>
      </c>
      <c r="U271" s="2">
        <v>42371</v>
      </c>
      <c r="V271" t="s">
        <v>71</v>
      </c>
      <c r="W271" t="str">
        <f>"          1010910052"</f>
        <v xml:space="preserve">          1010910052</v>
      </c>
      <c r="X271" s="1">
        <v>2229.1799999999998</v>
      </c>
      <c r="Y271">
        <v>0</v>
      </c>
      <c r="Z271" s="5">
        <v>1827.2</v>
      </c>
      <c r="AA271">
        <v>275</v>
      </c>
      <c r="AB271" s="5">
        <v>502480</v>
      </c>
      <c r="AC271" s="1">
        <v>1827.2</v>
      </c>
      <c r="AD271">
        <v>275</v>
      </c>
      <c r="AE271" s="1">
        <v>502480</v>
      </c>
      <c r="AF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 s="2">
        <v>42746</v>
      </c>
      <c r="AQ271" t="s">
        <v>72</v>
      </c>
      <c r="AR271" t="s">
        <v>72</v>
      </c>
      <c r="AS271">
        <v>2567</v>
      </c>
      <c r="AT271" s="4">
        <v>42646</v>
      </c>
      <c r="AU271" t="s">
        <v>73</v>
      </c>
      <c r="AV271">
        <v>2567</v>
      </c>
      <c r="AW271" s="4">
        <v>42646</v>
      </c>
      <c r="BD271">
        <v>0</v>
      </c>
      <c r="BN271" t="s">
        <v>74</v>
      </c>
    </row>
    <row r="272" spans="1:66">
      <c r="A272">
        <v>100066</v>
      </c>
      <c r="B272" s="3" t="s">
        <v>103</v>
      </c>
      <c r="C272" s="1">
        <v>43300101</v>
      </c>
      <c r="D272" t="s">
        <v>67</v>
      </c>
      <c r="H272" t="str">
        <f t="shared" si="20"/>
        <v>04785851009</v>
      </c>
      <c r="I272" t="str">
        <f t="shared" si="21"/>
        <v>12268050155</v>
      </c>
      <c r="K272" t="str">
        <f>""</f>
        <v/>
      </c>
      <c r="M272" t="s">
        <v>68</v>
      </c>
      <c r="N272" t="str">
        <f t="shared" si="19"/>
        <v>FOR</v>
      </c>
      <c r="O272" t="s">
        <v>69</v>
      </c>
      <c r="P272" s="3" t="s">
        <v>75</v>
      </c>
      <c r="Q272">
        <v>2015</v>
      </c>
      <c r="R272" s="2">
        <v>42312</v>
      </c>
      <c r="S272" s="2">
        <v>42317</v>
      </c>
      <c r="T272" s="2">
        <v>42313</v>
      </c>
      <c r="U272" s="2">
        <v>42373</v>
      </c>
      <c r="V272" t="s">
        <v>71</v>
      </c>
      <c r="W272" t="str">
        <f>"          1010910514"</f>
        <v xml:space="preserve">          1010910514</v>
      </c>
      <c r="X272" s="1">
        <v>1156.56</v>
      </c>
      <c r="Y272">
        <v>0</v>
      </c>
      <c r="Z272" s="3">
        <v>948</v>
      </c>
      <c r="AA272">
        <v>273</v>
      </c>
      <c r="AB272" s="5">
        <v>258804</v>
      </c>
      <c r="AC272">
        <v>948</v>
      </c>
      <c r="AD272">
        <v>273</v>
      </c>
      <c r="AE272" s="1">
        <v>258804</v>
      </c>
      <c r="AF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 s="2">
        <v>42746</v>
      </c>
      <c r="AQ272" t="s">
        <v>72</v>
      </c>
      <c r="AR272" t="s">
        <v>72</v>
      </c>
      <c r="AS272">
        <v>2567</v>
      </c>
      <c r="AT272" s="4">
        <v>42646</v>
      </c>
      <c r="AU272" t="s">
        <v>73</v>
      </c>
      <c r="AV272">
        <v>2567</v>
      </c>
      <c r="AW272" s="4">
        <v>42646</v>
      </c>
      <c r="BD272">
        <v>0</v>
      </c>
      <c r="BN272" t="s">
        <v>74</v>
      </c>
    </row>
    <row r="273" spans="1:66">
      <c r="A273">
        <v>100066</v>
      </c>
      <c r="B273" s="3" t="s">
        <v>103</v>
      </c>
      <c r="C273" s="1">
        <v>43300101</v>
      </c>
      <c r="D273" t="s">
        <v>67</v>
      </c>
      <c r="H273" t="str">
        <f t="shared" si="20"/>
        <v>04785851009</v>
      </c>
      <c r="I273" t="str">
        <f t="shared" si="21"/>
        <v>12268050155</v>
      </c>
      <c r="K273" t="str">
        <f>""</f>
        <v/>
      </c>
      <c r="M273" t="s">
        <v>68</v>
      </c>
      <c r="N273" t="str">
        <f t="shared" si="19"/>
        <v>FOR</v>
      </c>
      <c r="O273" t="s">
        <v>69</v>
      </c>
      <c r="P273" s="3" t="s">
        <v>75</v>
      </c>
      <c r="Q273">
        <v>2015</v>
      </c>
      <c r="R273" s="2">
        <v>42312</v>
      </c>
      <c r="S273" s="2">
        <v>42317</v>
      </c>
      <c r="T273" s="2">
        <v>42313</v>
      </c>
      <c r="U273" s="2">
        <v>42373</v>
      </c>
      <c r="V273" t="s">
        <v>71</v>
      </c>
      <c r="W273" t="str">
        <f>"          1010910515"</f>
        <v xml:space="preserve">          1010910515</v>
      </c>
      <c r="X273">
        <v>578.28</v>
      </c>
      <c r="Y273">
        <v>0</v>
      </c>
      <c r="Z273" s="3">
        <v>474</v>
      </c>
      <c r="AA273">
        <v>273</v>
      </c>
      <c r="AB273" s="5">
        <v>129402</v>
      </c>
      <c r="AC273">
        <v>474</v>
      </c>
      <c r="AD273">
        <v>273</v>
      </c>
      <c r="AE273" s="1">
        <v>129402</v>
      </c>
      <c r="AF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 s="2">
        <v>42746</v>
      </c>
      <c r="AQ273" t="s">
        <v>72</v>
      </c>
      <c r="AR273" t="s">
        <v>72</v>
      </c>
      <c r="AS273">
        <v>2567</v>
      </c>
      <c r="AT273" s="4">
        <v>42646</v>
      </c>
      <c r="AU273" t="s">
        <v>73</v>
      </c>
      <c r="AV273">
        <v>2567</v>
      </c>
      <c r="AW273" s="4">
        <v>42646</v>
      </c>
      <c r="BD273">
        <v>0</v>
      </c>
      <c r="BN273" t="s">
        <v>74</v>
      </c>
    </row>
    <row r="274" spans="1:66">
      <c r="A274">
        <v>100066</v>
      </c>
      <c r="B274" s="3" t="s">
        <v>103</v>
      </c>
      <c r="C274" s="1">
        <v>43300101</v>
      </c>
      <c r="D274" t="s">
        <v>67</v>
      </c>
      <c r="H274" t="str">
        <f t="shared" si="20"/>
        <v>04785851009</v>
      </c>
      <c r="I274" t="str">
        <f t="shared" si="21"/>
        <v>12268050155</v>
      </c>
      <c r="K274" t="str">
        <f>""</f>
        <v/>
      </c>
      <c r="M274" t="s">
        <v>68</v>
      </c>
      <c r="N274" t="str">
        <f t="shared" si="19"/>
        <v>FOR</v>
      </c>
      <c r="O274" t="s">
        <v>69</v>
      </c>
      <c r="P274" s="3" t="s">
        <v>75</v>
      </c>
      <c r="Q274">
        <v>2015</v>
      </c>
      <c r="R274" s="2">
        <v>42312</v>
      </c>
      <c r="S274" s="2">
        <v>42317</v>
      </c>
      <c r="T274" s="2">
        <v>42313</v>
      </c>
      <c r="U274" s="2">
        <v>42373</v>
      </c>
      <c r="V274" t="s">
        <v>71</v>
      </c>
      <c r="W274" t="str">
        <f>"          1010910516"</f>
        <v xml:space="preserve">          1010910516</v>
      </c>
      <c r="X274" s="1">
        <v>5656.9</v>
      </c>
      <c r="Y274">
        <v>0</v>
      </c>
      <c r="Z274" s="5">
        <v>4636.8</v>
      </c>
      <c r="AA274">
        <v>273</v>
      </c>
      <c r="AB274" s="5">
        <v>1265846.3999999999</v>
      </c>
      <c r="AC274" s="1">
        <v>4636.8</v>
      </c>
      <c r="AD274">
        <v>273</v>
      </c>
      <c r="AE274" s="1">
        <v>1265846.3999999999</v>
      </c>
      <c r="AF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 s="2">
        <v>42746</v>
      </c>
      <c r="AQ274" t="s">
        <v>72</v>
      </c>
      <c r="AR274" t="s">
        <v>72</v>
      </c>
      <c r="AS274">
        <v>2567</v>
      </c>
      <c r="AT274" s="4">
        <v>42646</v>
      </c>
      <c r="AU274" t="s">
        <v>73</v>
      </c>
      <c r="AV274">
        <v>2567</v>
      </c>
      <c r="AW274" s="4">
        <v>42646</v>
      </c>
      <c r="BD274">
        <v>0</v>
      </c>
      <c r="BN274" t="s">
        <v>74</v>
      </c>
    </row>
    <row r="275" spans="1:66">
      <c r="A275">
        <v>100066</v>
      </c>
      <c r="B275" s="3" t="s">
        <v>103</v>
      </c>
      <c r="C275" s="1">
        <v>43300101</v>
      </c>
      <c r="D275" t="s">
        <v>67</v>
      </c>
      <c r="H275" t="str">
        <f t="shared" si="20"/>
        <v>04785851009</v>
      </c>
      <c r="I275" t="str">
        <f t="shared" si="21"/>
        <v>12268050155</v>
      </c>
      <c r="K275" t="str">
        <f>""</f>
        <v/>
      </c>
      <c r="M275" t="s">
        <v>68</v>
      </c>
      <c r="N275" t="str">
        <f t="shared" si="19"/>
        <v>FOR</v>
      </c>
      <c r="O275" t="s">
        <v>69</v>
      </c>
      <c r="P275" s="3" t="s">
        <v>75</v>
      </c>
      <c r="Q275">
        <v>2015</v>
      </c>
      <c r="R275" s="2">
        <v>42314</v>
      </c>
      <c r="S275" s="2">
        <v>42318</v>
      </c>
      <c r="T275" s="2">
        <v>42317</v>
      </c>
      <c r="U275" s="2">
        <v>42377</v>
      </c>
      <c r="V275" t="s">
        <v>71</v>
      </c>
      <c r="W275" t="str">
        <f>"          1010910991"</f>
        <v xml:space="preserve">          1010910991</v>
      </c>
      <c r="X275" s="1">
        <v>12517.2</v>
      </c>
      <c r="Y275">
        <v>0</v>
      </c>
      <c r="Z275" s="5">
        <v>10260</v>
      </c>
      <c r="AA275">
        <v>269</v>
      </c>
      <c r="AB275" s="5">
        <v>2759940</v>
      </c>
      <c r="AC275" s="1">
        <v>10260</v>
      </c>
      <c r="AD275">
        <v>269</v>
      </c>
      <c r="AE275" s="1">
        <v>2759940</v>
      </c>
      <c r="AF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 s="2">
        <v>42746</v>
      </c>
      <c r="AQ275" t="s">
        <v>72</v>
      </c>
      <c r="AR275" t="s">
        <v>72</v>
      </c>
      <c r="AS275">
        <v>2567</v>
      </c>
      <c r="AT275" s="4">
        <v>42646</v>
      </c>
      <c r="AU275" t="s">
        <v>73</v>
      </c>
      <c r="AV275">
        <v>2567</v>
      </c>
      <c r="AW275" s="4">
        <v>42646</v>
      </c>
      <c r="BD275">
        <v>0</v>
      </c>
      <c r="BN275" t="s">
        <v>74</v>
      </c>
    </row>
    <row r="276" spans="1:66">
      <c r="A276">
        <v>100066</v>
      </c>
      <c r="B276" s="3" t="s">
        <v>103</v>
      </c>
      <c r="C276" s="1">
        <v>43300101</v>
      </c>
      <c r="D276" t="s">
        <v>67</v>
      </c>
      <c r="H276" t="str">
        <f t="shared" si="20"/>
        <v>04785851009</v>
      </c>
      <c r="I276" t="str">
        <f t="shared" si="21"/>
        <v>12268050155</v>
      </c>
      <c r="K276" t="str">
        <f>""</f>
        <v/>
      </c>
      <c r="M276" t="s">
        <v>68</v>
      </c>
      <c r="N276" t="str">
        <f t="shared" si="19"/>
        <v>FOR</v>
      </c>
      <c r="O276" t="s">
        <v>69</v>
      </c>
      <c r="P276" s="3" t="s">
        <v>75</v>
      </c>
      <c r="Q276">
        <v>2015</v>
      </c>
      <c r="R276" s="2">
        <v>42314</v>
      </c>
      <c r="S276" s="2">
        <v>42318</v>
      </c>
      <c r="T276" s="2">
        <v>42317</v>
      </c>
      <c r="U276" s="2">
        <v>42377</v>
      </c>
      <c r="V276" t="s">
        <v>71</v>
      </c>
      <c r="W276" t="str">
        <f>"          1010910992"</f>
        <v xml:space="preserve">          1010910992</v>
      </c>
      <c r="X276" s="1">
        <v>10870.2</v>
      </c>
      <c r="Y276">
        <v>0</v>
      </c>
      <c r="Z276" s="5">
        <v>8910</v>
      </c>
      <c r="AA276">
        <v>269</v>
      </c>
      <c r="AB276" s="5">
        <v>2396790</v>
      </c>
      <c r="AC276" s="1">
        <v>8910</v>
      </c>
      <c r="AD276">
        <v>269</v>
      </c>
      <c r="AE276" s="1">
        <v>2396790</v>
      </c>
      <c r="AF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 s="2">
        <v>42746</v>
      </c>
      <c r="AQ276" t="s">
        <v>72</v>
      </c>
      <c r="AR276" t="s">
        <v>72</v>
      </c>
      <c r="AS276">
        <v>2567</v>
      </c>
      <c r="AT276" s="4">
        <v>42646</v>
      </c>
      <c r="AU276" t="s">
        <v>73</v>
      </c>
      <c r="AV276">
        <v>2567</v>
      </c>
      <c r="AW276" s="4">
        <v>42646</v>
      </c>
      <c r="BD276">
        <v>0</v>
      </c>
      <c r="BN276" t="s">
        <v>74</v>
      </c>
    </row>
    <row r="277" spans="1:66">
      <c r="A277">
        <v>100066</v>
      </c>
      <c r="B277" s="3" t="s">
        <v>103</v>
      </c>
      <c r="C277" s="1">
        <v>43300101</v>
      </c>
      <c r="D277" t="s">
        <v>67</v>
      </c>
      <c r="H277" t="str">
        <f t="shared" si="20"/>
        <v>04785851009</v>
      </c>
      <c r="I277" t="str">
        <f t="shared" si="21"/>
        <v>12268050155</v>
      </c>
      <c r="K277" t="str">
        <f>""</f>
        <v/>
      </c>
      <c r="M277" t="s">
        <v>68</v>
      </c>
      <c r="N277" t="str">
        <f t="shared" si="19"/>
        <v>FOR</v>
      </c>
      <c r="O277" t="s">
        <v>69</v>
      </c>
      <c r="P277" s="3" t="s">
        <v>75</v>
      </c>
      <c r="Q277">
        <v>2015</v>
      </c>
      <c r="R277" s="2">
        <v>42314</v>
      </c>
      <c r="S277" s="2">
        <v>42318</v>
      </c>
      <c r="T277" s="2">
        <v>42317</v>
      </c>
      <c r="U277" s="2">
        <v>42377</v>
      </c>
      <c r="V277" t="s">
        <v>71</v>
      </c>
      <c r="W277" t="str">
        <f>"          1010910993"</f>
        <v xml:space="preserve">          1010910993</v>
      </c>
      <c r="X277" s="1">
        <v>23792.44</v>
      </c>
      <c r="Y277">
        <v>0</v>
      </c>
      <c r="Z277" s="5">
        <v>19502</v>
      </c>
      <c r="AA277">
        <v>269</v>
      </c>
      <c r="AB277" s="5">
        <v>5246038</v>
      </c>
      <c r="AC277" s="1">
        <v>19502</v>
      </c>
      <c r="AD277">
        <v>269</v>
      </c>
      <c r="AE277" s="1">
        <v>5246038</v>
      </c>
      <c r="AF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 s="2">
        <v>42746</v>
      </c>
      <c r="AQ277" t="s">
        <v>72</v>
      </c>
      <c r="AR277" t="s">
        <v>72</v>
      </c>
      <c r="AS277">
        <v>2567</v>
      </c>
      <c r="AT277" s="4">
        <v>42646</v>
      </c>
      <c r="AU277" t="s">
        <v>73</v>
      </c>
      <c r="AV277">
        <v>2567</v>
      </c>
      <c r="AW277" s="4">
        <v>42646</v>
      </c>
      <c r="BD277">
        <v>0</v>
      </c>
      <c r="BN277" t="s">
        <v>74</v>
      </c>
    </row>
    <row r="278" spans="1:66">
      <c r="A278">
        <v>100066</v>
      </c>
      <c r="B278" s="3" t="s">
        <v>103</v>
      </c>
      <c r="C278" s="1">
        <v>43300101</v>
      </c>
      <c r="D278" t="s">
        <v>67</v>
      </c>
      <c r="H278" t="str">
        <f t="shared" si="20"/>
        <v>04785851009</v>
      </c>
      <c r="I278" t="str">
        <f t="shared" si="21"/>
        <v>12268050155</v>
      </c>
      <c r="K278" t="str">
        <f>""</f>
        <v/>
      </c>
      <c r="M278" t="s">
        <v>68</v>
      </c>
      <c r="N278" t="str">
        <f t="shared" si="19"/>
        <v>FOR</v>
      </c>
      <c r="O278" t="s">
        <v>69</v>
      </c>
      <c r="P278" s="3" t="s">
        <v>75</v>
      </c>
      <c r="Q278">
        <v>2015</v>
      </c>
      <c r="R278" s="2">
        <v>42319</v>
      </c>
      <c r="S278" s="2">
        <v>42320</v>
      </c>
      <c r="T278" s="2">
        <v>42320</v>
      </c>
      <c r="U278" s="2">
        <v>42380</v>
      </c>
      <c r="V278" t="s">
        <v>71</v>
      </c>
      <c r="W278" t="str">
        <f>"          1010911727"</f>
        <v xml:space="preserve">          1010911727</v>
      </c>
      <c r="X278">
        <v>244</v>
      </c>
      <c r="Y278">
        <v>0</v>
      </c>
      <c r="Z278" s="3">
        <v>200</v>
      </c>
      <c r="AA278">
        <v>266</v>
      </c>
      <c r="AB278" s="5">
        <v>53200</v>
      </c>
      <c r="AC278">
        <v>200</v>
      </c>
      <c r="AD278">
        <v>266</v>
      </c>
      <c r="AE278" s="1">
        <v>53200</v>
      </c>
      <c r="AF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 s="2">
        <v>42746</v>
      </c>
      <c r="AQ278" t="s">
        <v>72</v>
      </c>
      <c r="AR278" t="s">
        <v>72</v>
      </c>
      <c r="AS278">
        <v>2567</v>
      </c>
      <c r="AT278" s="4">
        <v>42646</v>
      </c>
      <c r="AU278" t="s">
        <v>73</v>
      </c>
      <c r="AV278">
        <v>2567</v>
      </c>
      <c r="AW278" s="4">
        <v>42646</v>
      </c>
      <c r="BD278">
        <v>0</v>
      </c>
      <c r="BN278" t="s">
        <v>74</v>
      </c>
    </row>
    <row r="279" spans="1:66">
      <c r="A279">
        <v>100066</v>
      </c>
      <c r="B279" s="3" t="s">
        <v>103</v>
      </c>
      <c r="C279" s="1">
        <v>43300101</v>
      </c>
      <c r="D279" t="s">
        <v>67</v>
      </c>
      <c r="H279" t="str">
        <f t="shared" si="20"/>
        <v>04785851009</v>
      </c>
      <c r="I279" t="str">
        <f t="shared" si="21"/>
        <v>12268050155</v>
      </c>
      <c r="K279" t="str">
        <f>""</f>
        <v/>
      </c>
      <c r="M279" t="s">
        <v>68</v>
      </c>
      <c r="N279" t="str">
        <f t="shared" si="19"/>
        <v>FOR</v>
      </c>
      <c r="O279" t="s">
        <v>69</v>
      </c>
      <c r="P279" s="3" t="s">
        <v>75</v>
      </c>
      <c r="Q279">
        <v>2015</v>
      </c>
      <c r="R279" s="2">
        <v>42324</v>
      </c>
      <c r="S279" s="2">
        <v>42326</v>
      </c>
      <c r="T279" s="2">
        <v>42325</v>
      </c>
      <c r="U279" s="2">
        <v>42385</v>
      </c>
      <c r="V279" t="s">
        <v>71</v>
      </c>
      <c r="W279" t="str">
        <f>"          1010912364"</f>
        <v xml:space="preserve">          1010912364</v>
      </c>
      <c r="X279" s="1">
        <v>2934.1</v>
      </c>
      <c r="Y279">
        <v>0</v>
      </c>
      <c r="Z279" s="5">
        <v>2405</v>
      </c>
      <c r="AA279">
        <v>261</v>
      </c>
      <c r="AB279" s="5">
        <v>627705</v>
      </c>
      <c r="AC279" s="1">
        <v>2405</v>
      </c>
      <c r="AD279">
        <v>261</v>
      </c>
      <c r="AE279" s="1">
        <v>627705</v>
      </c>
      <c r="AF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 s="2">
        <v>42746</v>
      </c>
      <c r="AQ279" t="s">
        <v>72</v>
      </c>
      <c r="AR279" t="s">
        <v>72</v>
      </c>
      <c r="AS279">
        <v>2567</v>
      </c>
      <c r="AT279" s="4">
        <v>42646</v>
      </c>
      <c r="AU279" t="s">
        <v>73</v>
      </c>
      <c r="AV279">
        <v>2567</v>
      </c>
      <c r="AW279" s="4">
        <v>42646</v>
      </c>
      <c r="BD279">
        <v>0</v>
      </c>
      <c r="BN279" t="s">
        <v>74</v>
      </c>
    </row>
    <row r="280" spans="1:66">
      <c r="A280">
        <v>100066</v>
      </c>
      <c r="B280" s="3" t="s">
        <v>103</v>
      </c>
      <c r="C280" s="1">
        <v>43300101</v>
      </c>
      <c r="D280" t="s">
        <v>67</v>
      </c>
      <c r="H280" t="str">
        <f t="shared" si="20"/>
        <v>04785851009</v>
      </c>
      <c r="I280" t="str">
        <f t="shared" si="21"/>
        <v>12268050155</v>
      </c>
      <c r="K280" t="str">
        <f>""</f>
        <v/>
      </c>
      <c r="M280" t="s">
        <v>68</v>
      </c>
      <c r="N280" t="str">
        <f t="shared" si="19"/>
        <v>FOR</v>
      </c>
      <c r="O280" t="s">
        <v>69</v>
      </c>
      <c r="P280" s="3" t="s">
        <v>75</v>
      </c>
      <c r="Q280">
        <v>2015</v>
      </c>
      <c r="R280" s="2">
        <v>42328</v>
      </c>
      <c r="S280" s="2">
        <v>42331</v>
      </c>
      <c r="T280" s="2">
        <v>42329</v>
      </c>
      <c r="U280" s="2">
        <v>42389</v>
      </c>
      <c r="V280" t="s">
        <v>71</v>
      </c>
      <c r="W280" t="str">
        <f>"          1010913159"</f>
        <v xml:space="preserve">          1010913159</v>
      </c>
      <c r="X280" s="1">
        <v>12017</v>
      </c>
      <c r="Y280">
        <v>0</v>
      </c>
      <c r="Z280" s="5">
        <v>9850</v>
      </c>
      <c r="AA280">
        <v>257</v>
      </c>
      <c r="AB280" s="5">
        <v>2531450</v>
      </c>
      <c r="AC280" s="1">
        <v>9850</v>
      </c>
      <c r="AD280">
        <v>257</v>
      </c>
      <c r="AE280" s="1">
        <v>2531450</v>
      </c>
      <c r="AF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 s="2">
        <v>42746</v>
      </c>
      <c r="AQ280" t="s">
        <v>72</v>
      </c>
      <c r="AR280" t="s">
        <v>72</v>
      </c>
      <c r="AS280">
        <v>2567</v>
      </c>
      <c r="AT280" s="4">
        <v>42646</v>
      </c>
      <c r="AU280" t="s">
        <v>73</v>
      </c>
      <c r="AV280">
        <v>2567</v>
      </c>
      <c r="AW280" s="4">
        <v>42646</v>
      </c>
      <c r="BD280">
        <v>0</v>
      </c>
      <c r="BN280" t="s">
        <v>74</v>
      </c>
    </row>
    <row r="281" spans="1:66">
      <c r="A281">
        <v>100066</v>
      </c>
      <c r="B281" s="3" t="s">
        <v>103</v>
      </c>
      <c r="C281" s="1">
        <v>43300101</v>
      </c>
      <c r="D281" t="s">
        <v>67</v>
      </c>
      <c r="H281" t="str">
        <f t="shared" si="20"/>
        <v>04785851009</v>
      </c>
      <c r="I281" t="str">
        <f t="shared" si="21"/>
        <v>12268050155</v>
      </c>
      <c r="K281" t="str">
        <f>""</f>
        <v/>
      </c>
      <c r="M281" t="s">
        <v>68</v>
      </c>
      <c r="N281" t="str">
        <f t="shared" si="19"/>
        <v>FOR</v>
      </c>
      <c r="O281" t="s">
        <v>69</v>
      </c>
      <c r="P281" s="3" t="s">
        <v>75</v>
      </c>
      <c r="Q281">
        <v>2015</v>
      </c>
      <c r="R281" s="2">
        <v>42328</v>
      </c>
      <c r="S281" s="2">
        <v>42331</v>
      </c>
      <c r="T281" s="2">
        <v>42329</v>
      </c>
      <c r="U281" s="2">
        <v>42389</v>
      </c>
      <c r="V281" t="s">
        <v>71</v>
      </c>
      <c r="W281" t="str">
        <f>"          1010913160"</f>
        <v xml:space="preserve">          1010913160</v>
      </c>
      <c r="X281" s="1">
        <v>18441.52</v>
      </c>
      <c r="Y281">
        <v>0</v>
      </c>
      <c r="Z281" s="5">
        <v>15116</v>
      </c>
      <c r="AA281">
        <v>257</v>
      </c>
      <c r="AB281" s="5">
        <v>3884812</v>
      </c>
      <c r="AC281" s="1">
        <v>15116</v>
      </c>
      <c r="AD281">
        <v>257</v>
      </c>
      <c r="AE281" s="1">
        <v>3884812</v>
      </c>
      <c r="AF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 s="2">
        <v>42746</v>
      </c>
      <c r="AQ281" t="s">
        <v>72</v>
      </c>
      <c r="AR281" t="s">
        <v>72</v>
      </c>
      <c r="AS281">
        <v>2567</v>
      </c>
      <c r="AT281" s="4">
        <v>42646</v>
      </c>
      <c r="AU281" t="s">
        <v>73</v>
      </c>
      <c r="AV281">
        <v>2567</v>
      </c>
      <c r="AW281" s="4">
        <v>42646</v>
      </c>
      <c r="BD281">
        <v>0</v>
      </c>
      <c r="BN281" t="s">
        <v>74</v>
      </c>
    </row>
    <row r="282" spans="1:66">
      <c r="A282">
        <v>100066</v>
      </c>
      <c r="B282" s="3" t="s">
        <v>103</v>
      </c>
      <c r="C282" s="1">
        <v>43300101</v>
      </c>
      <c r="D282" t="s">
        <v>67</v>
      </c>
      <c r="H282" t="str">
        <f t="shared" si="20"/>
        <v>04785851009</v>
      </c>
      <c r="I282" t="str">
        <f t="shared" si="21"/>
        <v>12268050155</v>
      </c>
      <c r="K282" t="str">
        <f>""</f>
        <v/>
      </c>
      <c r="M282" t="s">
        <v>68</v>
      </c>
      <c r="N282" t="str">
        <f t="shared" si="19"/>
        <v>FOR</v>
      </c>
      <c r="O282" t="s">
        <v>69</v>
      </c>
      <c r="P282" s="3" t="s">
        <v>75</v>
      </c>
      <c r="Q282">
        <v>2015</v>
      </c>
      <c r="R282" s="2">
        <v>42333</v>
      </c>
      <c r="S282" s="2">
        <v>42338</v>
      </c>
      <c r="T282" s="2">
        <v>42334</v>
      </c>
      <c r="U282" s="2">
        <v>42394</v>
      </c>
      <c r="V282" t="s">
        <v>71</v>
      </c>
      <c r="W282" t="str">
        <f>"          1010913854"</f>
        <v xml:space="preserve">          1010913854</v>
      </c>
      <c r="X282" s="1">
        <v>4066.66</v>
      </c>
      <c r="Y282">
        <v>0</v>
      </c>
      <c r="Z282" s="5">
        <v>3333.33</v>
      </c>
      <c r="AA282">
        <v>252</v>
      </c>
      <c r="AB282" s="5">
        <v>839999.16</v>
      </c>
      <c r="AC282" s="1">
        <v>3333.33</v>
      </c>
      <c r="AD282">
        <v>252</v>
      </c>
      <c r="AE282" s="1">
        <v>839999.16</v>
      </c>
      <c r="AF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 s="2">
        <v>42746</v>
      </c>
      <c r="AQ282" t="s">
        <v>72</v>
      </c>
      <c r="AR282" t="s">
        <v>72</v>
      </c>
      <c r="AS282">
        <v>2567</v>
      </c>
      <c r="AT282" s="4">
        <v>42646</v>
      </c>
      <c r="AU282" t="s">
        <v>73</v>
      </c>
      <c r="AV282">
        <v>2567</v>
      </c>
      <c r="AW282" s="4">
        <v>42646</v>
      </c>
      <c r="BD282">
        <v>0</v>
      </c>
      <c r="BN282" t="s">
        <v>74</v>
      </c>
    </row>
    <row r="283" spans="1:66">
      <c r="A283">
        <v>100066</v>
      </c>
      <c r="B283" s="3" t="s">
        <v>103</v>
      </c>
      <c r="C283" s="1">
        <v>43300101</v>
      </c>
      <c r="D283" t="s">
        <v>67</v>
      </c>
      <c r="H283" t="str">
        <f t="shared" si="20"/>
        <v>04785851009</v>
      </c>
      <c r="I283" t="str">
        <f t="shared" si="21"/>
        <v>12268050155</v>
      </c>
      <c r="K283" t="str">
        <f>""</f>
        <v/>
      </c>
      <c r="M283" t="s">
        <v>68</v>
      </c>
      <c r="N283" t="str">
        <f t="shared" si="19"/>
        <v>FOR</v>
      </c>
      <c r="O283" t="s">
        <v>69</v>
      </c>
      <c r="P283" s="3" t="s">
        <v>75</v>
      </c>
      <c r="Q283">
        <v>2015</v>
      </c>
      <c r="R283" s="2">
        <v>42333</v>
      </c>
      <c r="S283" s="2">
        <v>42338</v>
      </c>
      <c r="T283" s="2">
        <v>42334</v>
      </c>
      <c r="U283" s="2">
        <v>42394</v>
      </c>
      <c r="V283" t="s">
        <v>71</v>
      </c>
      <c r="W283" t="str">
        <f>"          1010913855"</f>
        <v xml:space="preserve">          1010913855</v>
      </c>
      <c r="X283">
        <v>546.23</v>
      </c>
      <c r="Y283">
        <v>0</v>
      </c>
      <c r="Z283" s="3">
        <v>447.73</v>
      </c>
      <c r="AA283">
        <v>252</v>
      </c>
      <c r="AB283" s="5">
        <v>112827.96</v>
      </c>
      <c r="AC283">
        <v>447.73</v>
      </c>
      <c r="AD283">
        <v>252</v>
      </c>
      <c r="AE283" s="1">
        <v>112827.96</v>
      </c>
      <c r="AF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 s="2">
        <v>42746</v>
      </c>
      <c r="AQ283" t="s">
        <v>72</v>
      </c>
      <c r="AR283" t="s">
        <v>72</v>
      </c>
      <c r="AS283">
        <v>2567</v>
      </c>
      <c r="AT283" s="4">
        <v>42646</v>
      </c>
      <c r="AU283" t="s">
        <v>73</v>
      </c>
      <c r="AV283">
        <v>2567</v>
      </c>
      <c r="AW283" s="4">
        <v>42646</v>
      </c>
      <c r="BD283">
        <v>0</v>
      </c>
      <c r="BN283" t="s">
        <v>74</v>
      </c>
    </row>
    <row r="284" spans="1:66">
      <c r="A284">
        <v>100066</v>
      </c>
      <c r="B284" s="3" t="s">
        <v>103</v>
      </c>
      <c r="C284" s="1">
        <v>43300101</v>
      </c>
      <c r="D284" t="s">
        <v>67</v>
      </c>
      <c r="H284" t="str">
        <f t="shared" si="20"/>
        <v>04785851009</v>
      </c>
      <c r="I284" t="str">
        <f t="shared" si="21"/>
        <v>12268050155</v>
      </c>
      <c r="K284" t="str">
        <f>""</f>
        <v/>
      </c>
      <c r="M284" t="s">
        <v>68</v>
      </c>
      <c r="N284" t="str">
        <f t="shared" si="19"/>
        <v>FOR</v>
      </c>
      <c r="O284" t="s">
        <v>69</v>
      </c>
      <c r="P284" s="3" t="s">
        <v>75</v>
      </c>
      <c r="Q284">
        <v>2015</v>
      </c>
      <c r="R284" s="2">
        <v>42334</v>
      </c>
      <c r="S284" s="2">
        <v>42338</v>
      </c>
      <c r="T284" s="2">
        <v>42335</v>
      </c>
      <c r="U284" s="2">
        <v>42395</v>
      </c>
      <c r="V284" t="s">
        <v>71</v>
      </c>
      <c r="W284" t="str">
        <f>"          1010914174"</f>
        <v xml:space="preserve">          1010914174</v>
      </c>
      <c r="X284" s="1">
        <v>1156.56</v>
      </c>
      <c r="Y284">
        <v>0</v>
      </c>
      <c r="Z284" s="3">
        <v>948</v>
      </c>
      <c r="AA284">
        <v>251</v>
      </c>
      <c r="AB284" s="5">
        <v>237948</v>
      </c>
      <c r="AC284">
        <v>948</v>
      </c>
      <c r="AD284">
        <v>251</v>
      </c>
      <c r="AE284" s="1">
        <v>237948</v>
      </c>
      <c r="AF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 s="2">
        <v>42746</v>
      </c>
      <c r="AQ284" t="s">
        <v>72</v>
      </c>
      <c r="AR284" t="s">
        <v>72</v>
      </c>
      <c r="AS284">
        <v>2567</v>
      </c>
      <c r="AT284" s="4">
        <v>42646</v>
      </c>
      <c r="AU284" t="s">
        <v>73</v>
      </c>
      <c r="AV284">
        <v>2567</v>
      </c>
      <c r="AW284" s="4">
        <v>42646</v>
      </c>
      <c r="BD284">
        <v>0</v>
      </c>
      <c r="BN284" t="s">
        <v>74</v>
      </c>
    </row>
    <row r="285" spans="1:66">
      <c r="A285">
        <v>100066</v>
      </c>
      <c r="B285" s="3" t="s">
        <v>103</v>
      </c>
      <c r="C285" s="1">
        <v>43300101</v>
      </c>
      <c r="D285" t="s">
        <v>67</v>
      </c>
      <c r="H285" t="str">
        <f t="shared" si="20"/>
        <v>04785851009</v>
      </c>
      <c r="I285" t="str">
        <f t="shared" si="21"/>
        <v>12268050155</v>
      </c>
      <c r="K285" t="str">
        <f>""</f>
        <v/>
      </c>
      <c r="M285" t="s">
        <v>68</v>
      </c>
      <c r="N285" t="str">
        <f t="shared" si="19"/>
        <v>FOR</v>
      </c>
      <c r="O285" t="s">
        <v>69</v>
      </c>
      <c r="P285" s="3" t="s">
        <v>75</v>
      </c>
      <c r="Q285">
        <v>2015</v>
      </c>
      <c r="R285" s="2">
        <v>42335</v>
      </c>
      <c r="S285" s="2">
        <v>42340</v>
      </c>
      <c r="T285" s="2">
        <v>42338</v>
      </c>
      <c r="U285" s="2">
        <v>42398</v>
      </c>
      <c r="V285" t="s">
        <v>71</v>
      </c>
      <c r="W285" t="str">
        <f>"          1010914352"</f>
        <v xml:space="preserve">          1010914352</v>
      </c>
      <c r="X285" s="1">
        <v>2229.1799999999998</v>
      </c>
      <c r="Y285">
        <v>0</v>
      </c>
      <c r="Z285" s="5">
        <v>1827.2</v>
      </c>
      <c r="AA285">
        <v>248</v>
      </c>
      <c r="AB285" s="5">
        <v>453145.59999999998</v>
      </c>
      <c r="AC285" s="1">
        <v>1827.2</v>
      </c>
      <c r="AD285">
        <v>248</v>
      </c>
      <c r="AE285" s="1">
        <v>453145.59999999998</v>
      </c>
      <c r="AF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 s="2">
        <v>42746</v>
      </c>
      <c r="AQ285" t="s">
        <v>72</v>
      </c>
      <c r="AR285" t="s">
        <v>72</v>
      </c>
      <c r="AS285">
        <v>2567</v>
      </c>
      <c r="AT285" s="4">
        <v>42646</v>
      </c>
      <c r="AU285" t="s">
        <v>73</v>
      </c>
      <c r="AV285">
        <v>2567</v>
      </c>
      <c r="AW285" s="4">
        <v>42646</v>
      </c>
      <c r="BD285">
        <v>0</v>
      </c>
      <c r="BN285" t="s">
        <v>74</v>
      </c>
    </row>
    <row r="286" spans="1:66">
      <c r="A286">
        <v>100066</v>
      </c>
      <c r="B286" s="3" t="s">
        <v>103</v>
      </c>
      <c r="C286" s="1">
        <v>43300101</v>
      </c>
      <c r="D286" t="s">
        <v>67</v>
      </c>
      <c r="H286" t="str">
        <f t="shared" si="20"/>
        <v>04785851009</v>
      </c>
      <c r="I286" t="str">
        <f t="shared" si="21"/>
        <v>12268050155</v>
      </c>
      <c r="K286" t="str">
        <f>""</f>
        <v/>
      </c>
      <c r="M286" t="s">
        <v>68</v>
      </c>
      <c r="N286" t="str">
        <f t="shared" si="19"/>
        <v>FOR</v>
      </c>
      <c r="O286" t="s">
        <v>69</v>
      </c>
      <c r="P286" s="3" t="s">
        <v>75</v>
      </c>
      <c r="Q286">
        <v>2015</v>
      </c>
      <c r="R286" s="2">
        <v>42338</v>
      </c>
      <c r="S286" s="2">
        <v>42340</v>
      </c>
      <c r="T286" s="2">
        <v>42339</v>
      </c>
      <c r="U286" s="2">
        <v>42399</v>
      </c>
      <c r="V286" t="s">
        <v>71</v>
      </c>
      <c r="W286" t="str">
        <f>"          1010914693"</f>
        <v xml:space="preserve">          1010914693</v>
      </c>
      <c r="X286" s="1">
        <v>1307.3499999999999</v>
      </c>
      <c r="Y286">
        <v>0</v>
      </c>
      <c r="Z286" s="5">
        <v>1071.5999999999999</v>
      </c>
      <c r="AA286">
        <v>247</v>
      </c>
      <c r="AB286" s="5">
        <v>264685.2</v>
      </c>
      <c r="AC286" s="1">
        <v>1071.5999999999999</v>
      </c>
      <c r="AD286">
        <v>247</v>
      </c>
      <c r="AE286" s="1">
        <v>264685.2</v>
      </c>
      <c r="AF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 s="2">
        <v>42746</v>
      </c>
      <c r="AQ286" t="s">
        <v>72</v>
      </c>
      <c r="AR286" t="s">
        <v>72</v>
      </c>
      <c r="AS286">
        <v>2567</v>
      </c>
      <c r="AT286" s="4">
        <v>42646</v>
      </c>
      <c r="AU286" t="s">
        <v>73</v>
      </c>
      <c r="AV286">
        <v>2567</v>
      </c>
      <c r="AW286" s="4">
        <v>42646</v>
      </c>
      <c r="BD286">
        <v>0</v>
      </c>
      <c r="BN286" t="s">
        <v>74</v>
      </c>
    </row>
    <row r="287" spans="1:66">
      <c r="A287">
        <v>100066</v>
      </c>
      <c r="B287" s="3" t="s">
        <v>103</v>
      </c>
      <c r="C287" s="1">
        <v>43300101</v>
      </c>
      <c r="D287" t="s">
        <v>67</v>
      </c>
      <c r="H287" t="str">
        <f t="shared" si="20"/>
        <v>04785851009</v>
      </c>
      <c r="I287" t="str">
        <f t="shared" si="21"/>
        <v>12268050155</v>
      </c>
      <c r="K287" t="str">
        <f>""</f>
        <v/>
      </c>
      <c r="M287" t="s">
        <v>68</v>
      </c>
      <c r="N287" t="str">
        <f t="shared" si="19"/>
        <v>FOR</v>
      </c>
      <c r="O287" t="s">
        <v>69</v>
      </c>
      <c r="P287" s="3" t="s">
        <v>75</v>
      </c>
      <c r="Q287">
        <v>2015</v>
      </c>
      <c r="R287" s="2">
        <v>42341</v>
      </c>
      <c r="S287" s="2">
        <v>42342</v>
      </c>
      <c r="T287" s="2">
        <v>42342</v>
      </c>
      <c r="U287" s="2">
        <v>42402</v>
      </c>
      <c r="V287" t="s">
        <v>71</v>
      </c>
      <c r="W287" t="str">
        <f>"          1010915772"</f>
        <v xml:space="preserve">          1010915772</v>
      </c>
      <c r="X287" s="1">
        <v>10980</v>
      </c>
      <c r="Y287">
        <v>0</v>
      </c>
      <c r="Z287" s="5">
        <v>9000</v>
      </c>
      <c r="AA287">
        <v>244</v>
      </c>
      <c r="AB287" s="5">
        <v>2196000</v>
      </c>
      <c r="AC287" s="1">
        <v>9000</v>
      </c>
      <c r="AD287">
        <v>244</v>
      </c>
      <c r="AE287" s="1">
        <v>2196000</v>
      </c>
      <c r="AF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 s="2">
        <v>42746</v>
      </c>
      <c r="AQ287" t="s">
        <v>72</v>
      </c>
      <c r="AR287" t="s">
        <v>72</v>
      </c>
      <c r="AS287">
        <v>2567</v>
      </c>
      <c r="AT287" s="4">
        <v>42646</v>
      </c>
      <c r="AU287" t="s">
        <v>73</v>
      </c>
      <c r="AV287">
        <v>2567</v>
      </c>
      <c r="AW287" s="4">
        <v>42646</v>
      </c>
      <c r="BD287">
        <v>0</v>
      </c>
      <c r="BN287" t="s">
        <v>74</v>
      </c>
    </row>
    <row r="288" spans="1:66">
      <c r="A288">
        <v>100066</v>
      </c>
      <c r="B288" s="3" t="s">
        <v>103</v>
      </c>
      <c r="C288" s="1">
        <v>43300101</v>
      </c>
      <c r="D288" t="s">
        <v>67</v>
      </c>
      <c r="H288" t="str">
        <f t="shared" si="20"/>
        <v>04785851009</v>
      </c>
      <c r="I288" t="str">
        <f t="shared" si="21"/>
        <v>12268050155</v>
      </c>
      <c r="K288" t="str">
        <f>""</f>
        <v/>
      </c>
      <c r="M288" t="s">
        <v>68</v>
      </c>
      <c r="N288" t="str">
        <f t="shared" si="19"/>
        <v>FOR</v>
      </c>
      <c r="O288" t="s">
        <v>69</v>
      </c>
      <c r="P288" s="3" t="s">
        <v>75</v>
      </c>
      <c r="Q288">
        <v>2015</v>
      </c>
      <c r="R288" s="2">
        <v>42347</v>
      </c>
      <c r="S288" s="2">
        <v>42348</v>
      </c>
      <c r="T288" s="2">
        <v>42348</v>
      </c>
      <c r="U288" s="2">
        <v>42408</v>
      </c>
      <c r="V288" t="s">
        <v>71</v>
      </c>
      <c r="W288" t="str">
        <f>"          1010916372"</f>
        <v xml:space="preserve">          1010916372</v>
      </c>
      <c r="X288" s="1">
        <v>4973.9399999999996</v>
      </c>
      <c r="Y288">
        <v>0</v>
      </c>
      <c r="Z288" s="5">
        <v>4077</v>
      </c>
      <c r="AA288">
        <v>238</v>
      </c>
      <c r="AB288" s="5">
        <v>970326</v>
      </c>
      <c r="AC288" s="1">
        <v>4077</v>
      </c>
      <c r="AD288">
        <v>238</v>
      </c>
      <c r="AE288" s="1">
        <v>970326</v>
      </c>
      <c r="AF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 s="2">
        <v>42746</v>
      </c>
      <c r="AQ288" t="s">
        <v>72</v>
      </c>
      <c r="AR288" t="s">
        <v>72</v>
      </c>
      <c r="AS288">
        <v>2567</v>
      </c>
      <c r="AT288" s="4">
        <v>42646</v>
      </c>
      <c r="AU288" t="s">
        <v>73</v>
      </c>
      <c r="AV288">
        <v>2567</v>
      </c>
      <c r="AW288" s="4">
        <v>42646</v>
      </c>
      <c r="BD288">
        <v>0</v>
      </c>
      <c r="BN288" t="s">
        <v>74</v>
      </c>
    </row>
    <row r="289" spans="1:66">
      <c r="A289">
        <v>100066</v>
      </c>
      <c r="B289" s="3" t="s">
        <v>103</v>
      </c>
      <c r="C289" s="1">
        <v>43300101</v>
      </c>
      <c r="D289" t="s">
        <v>67</v>
      </c>
      <c r="H289" t="str">
        <f t="shared" si="20"/>
        <v>04785851009</v>
      </c>
      <c r="I289" t="str">
        <f t="shared" si="21"/>
        <v>12268050155</v>
      </c>
      <c r="K289" t="str">
        <f>""</f>
        <v/>
      </c>
      <c r="M289" t="s">
        <v>68</v>
      </c>
      <c r="N289" t="str">
        <f t="shared" si="19"/>
        <v>FOR</v>
      </c>
      <c r="O289" t="s">
        <v>69</v>
      </c>
      <c r="P289" s="3" t="s">
        <v>75</v>
      </c>
      <c r="Q289">
        <v>2015</v>
      </c>
      <c r="R289" s="2">
        <v>42347</v>
      </c>
      <c r="S289" s="2">
        <v>42348</v>
      </c>
      <c r="T289" s="2">
        <v>42348</v>
      </c>
      <c r="U289" s="2">
        <v>42408</v>
      </c>
      <c r="V289" t="s">
        <v>71</v>
      </c>
      <c r="W289" t="str">
        <f>"          1010916373"</f>
        <v xml:space="preserve">          1010916373</v>
      </c>
      <c r="X289" s="1">
        <v>2664.48</v>
      </c>
      <c r="Y289">
        <v>0</v>
      </c>
      <c r="Z289" s="5">
        <v>2184</v>
      </c>
      <c r="AA289">
        <v>238</v>
      </c>
      <c r="AB289" s="5">
        <v>519792</v>
      </c>
      <c r="AC289" s="1">
        <v>2184</v>
      </c>
      <c r="AD289">
        <v>238</v>
      </c>
      <c r="AE289" s="1">
        <v>519792</v>
      </c>
      <c r="AF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 s="2">
        <v>42746</v>
      </c>
      <c r="AQ289" t="s">
        <v>72</v>
      </c>
      <c r="AR289" t="s">
        <v>72</v>
      </c>
      <c r="AS289">
        <v>2567</v>
      </c>
      <c r="AT289" s="4">
        <v>42646</v>
      </c>
      <c r="AU289" t="s">
        <v>73</v>
      </c>
      <c r="AV289">
        <v>2567</v>
      </c>
      <c r="AW289" s="4">
        <v>42646</v>
      </c>
      <c r="BD289">
        <v>0</v>
      </c>
      <c r="BN289" t="s">
        <v>74</v>
      </c>
    </row>
    <row r="290" spans="1:66">
      <c r="A290">
        <v>100066</v>
      </c>
      <c r="B290" s="3" t="s">
        <v>103</v>
      </c>
      <c r="C290" s="1">
        <v>43300101</v>
      </c>
      <c r="D290" t="s">
        <v>67</v>
      </c>
      <c r="H290" t="str">
        <f t="shared" si="20"/>
        <v>04785851009</v>
      </c>
      <c r="I290" t="str">
        <f t="shared" si="21"/>
        <v>12268050155</v>
      </c>
      <c r="K290" t="str">
        <f>""</f>
        <v/>
      </c>
      <c r="M290" t="s">
        <v>68</v>
      </c>
      <c r="N290" t="str">
        <f t="shared" si="19"/>
        <v>FOR</v>
      </c>
      <c r="O290" t="s">
        <v>69</v>
      </c>
      <c r="P290" s="3" t="s">
        <v>75</v>
      </c>
      <c r="Q290">
        <v>2015</v>
      </c>
      <c r="R290" s="2">
        <v>42347</v>
      </c>
      <c r="S290" s="2">
        <v>42348</v>
      </c>
      <c r="T290" s="2">
        <v>42348</v>
      </c>
      <c r="U290" s="2">
        <v>42408</v>
      </c>
      <c r="V290" t="s">
        <v>71</v>
      </c>
      <c r="W290" t="str">
        <f>"          1010916374"</f>
        <v xml:space="preserve">          1010916374</v>
      </c>
      <c r="X290" s="1">
        <v>4190.7</v>
      </c>
      <c r="Y290">
        <v>0</v>
      </c>
      <c r="Z290" s="5">
        <v>3435</v>
      </c>
      <c r="AA290">
        <v>238</v>
      </c>
      <c r="AB290" s="5">
        <v>817530</v>
      </c>
      <c r="AC290" s="1">
        <v>3435</v>
      </c>
      <c r="AD290">
        <v>238</v>
      </c>
      <c r="AE290" s="1">
        <v>817530</v>
      </c>
      <c r="AF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 s="2">
        <v>42746</v>
      </c>
      <c r="AQ290" t="s">
        <v>72</v>
      </c>
      <c r="AR290" t="s">
        <v>72</v>
      </c>
      <c r="AS290">
        <v>2567</v>
      </c>
      <c r="AT290" s="4">
        <v>42646</v>
      </c>
      <c r="AU290" t="s">
        <v>73</v>
      </c>
      <c r="AV290">
        <v>2567</v>
      </c>
      <c r="AW290" s="4">
        <v>42646</v>
      </c>
      <c r="BD290">
        <v>0</v>
      </c>
      <c r="BN290" t="s">
        <v>74</v>
      </c>
    </row>
    <row r="291" spans="1:66">
      <c r="A291">
        <v>100066</v>
      </c>
      <c r="B291" s="3" t="s">
        <v>103</v>
      </c>
      <c r="C291" s="1">
        <v>43300101</v>
      </c>
      <c r="D291" t="s">
        <v>67</v>
      </c>
      <c r="H291" t="str">
        <f t="shared" si="20"/>
        <v>04785851009</v>
      </c>
      <c r="I291" t="str">
        <f t="shared" si="21"/>
        <v>12268050155</v>
      </c>
      <c r="K291" t="str">
        <f>""</f>
        <v/>
      </c>
      <c r="M291" t="s">
        <v>68</v>
      </c>
      <c r="N291" t="str">
        <f t="shared" si="19"/>
        <v>FOR</v>
      </c>
      <c r="O291" t="s">
        <v>69</v>
      </c>
      <c r="P291" s="3" t="s">
        <v>75</v>
      </c>
      <c r="Q291">
        <v>2015</v>
      </c>
      <c r="R291" s="2">
        <v>42347</v>
      </c>
      <c r="S291" s="2">
        <v>42348</v>
      </c>
      <c r="T291" s="2">
        <v>42348</v>
      </c>
      <c r="U291" s="2">
        <v>42408</v>
      </c>
      <c r="V291" t="s">
        <v>71</v>
      </c>
      <c r="W291" t="str">
        <f>"          1010916375"</f>
        <v xml:space="preserve">          1010916375</v>
      </c>
      <c r="X291">
        <v>969.9</v>
      </c>
      <c r="Y291">
        <v>0</v>
      </c>
      <c r="Z291" s="3">
        <v>795</v>
      </c>
      <c r="AA291">
        <v>238</v>
      </c>
      <c r="AB291" s="5">
        <v>189210</v>
      </c>
      <c r="AC291">
        <v>795</v>
      </c>
      <c r="AD291">
        <v>238</v>
      </c>
      <c r="AE291" s="1">
        <v>189210</v>
      </c>
      <c r="AF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 s="2">
        <v>42746</v>
      </c>
      <c r="AQ291" t="s">
        <v>72</v>
      </c>
      <c r="AR291" t="s">
        <v>72</v>
      </c>
      <c r="AS291">
        <v>2567</v>
      </c>
      <c r="AT291" s="4">
        <v>42646</v>
      </c>
      <c r="AU291" t="s">
        <v>73</v>
      </c>
      <c r="AV291">
        <v>2567</v>
      </c>
      <c r="AW291" s="4">
        <v>42646</v>
      </c>
      <c r="BD291">
        <v>0</v>
      </c>
      <c r="BN291" t="s">
        <v>74</v>
      </c>
    </row>
    <row r="292" spans="1:66">
      <c r="A292">
        <v>100066</v>
      </c>
      <c r="B292" s="3" t="s">
        <v>103</v>
      </c>
      <c r="C292" s="1">
        <v>43300101</v>
      </c>
      <c r="D292" t="s">
        <v>67</v>
      </c>
      <c r="H292" t="str">
        <f t="shared" si="20"/>
        <v>04785851009</v>
      </c>
      <c r="I292" t="str">
        <f t="shared" si="21"/>
        <v>12268050155</v>
      </c>
      <c r="K292" t="str">
        <f>""</f>
        <v/>
      </c>
      <c r="M292" t="s">
        <v>68</v>
      </c>
      <c r="N292" t="str">
        <f t="shared" si="19"/>
        <v>FOR</v>
      </c>
      <c r="O292" t="s">
        <v>69</v>
      </c>
      <c r="P292" s="3" t="s">
        <v>75</v>
      </c>
      <c r="Q292">
        <v>2015</v>
      </c>
      <c r="R292" s="2">
        <v>42348</v>
      </c>
      <c r="S292" s="2">
        <v>42353</v>
      </c>
      <c r="T292" s="2">
        <v>42349</v>
      </c>
      <c r="U292" s="2">
        <v>42409</v>
      </c>
      <c r="V292" t="s">
        <v>71</v>
      </c>
      <c r="W292" t="str">
        <f>"          1010916653"</f>
        <v xml:space="preserve">          1010916653</v>
      </c>
      <c r="X292" s="1">
        <v>5958.48</v>
      </c>
      <c r="Y292">
        <v>0</v>
      </c>
      <c r="Z292" s="5">
        <v>4884</v>
      </c>
      <c r="AA292">
        <v>237</v>
      </c>
      <c r="AB292" s="5">
        <v>1157508</v>
      </c>
      <c r="AC292" s="1">
        <v>4884</v>
      </c>
      <c r="AD292">
        <v>237</v>
      </c>
      <c r="AE292" s="1">
        <v>1157508</v>
      </c>
      <c r="AF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 s="2">
        <v>42746</v>
      </c>
      <c r="AQ292" t="s">
        <v>72</v>
      </c>
      <c r="AR292" t="s">
        <v>72</v>
      </c>
      <c r="AS292">
        <v>2567</v>
      </c>
      <c r="AT292" s="4">
        <v>42646</v>
      </c>
      <c r="AU292" t="s">
        <v>73</v>
      </c>
      <c r="AV292">
        <v>2567</v>
      </c>
      <c r="AW292" s="4">
        <v>42646</v>
      </c>
      <c r="BD292">
        <v>0</v>
      </c>
      <c r="BN292" t="s">
        <v>74</v>
      </c>
    </row>
    <row r="293" spans="1:66">
      <c r="A293">
        <v>100066</v>
      </c>
      <c r="B293" s="3" t="s">
        <v>103</v>
      </c>
      <c r="C293" s="1">
        <v>43300101</v>
      </c>
      <c r="D293" t="s">
        <v>67</v>
      </c>
      <c r="H293" t="str">
        <f t="shared" si="20"/>
        <v>04785851009</v>
      </c>
      <c r="I293" t="str">
        <f t="shared" si="21"/>
        <v>12268050155</v>
      </c>
      <c r="K293" t="str">
        <f>""</f>
        <v/>
      </c>
      <c r="M293" t="s">
        <v>68</v>
      </c>
      <c r="N293" t="str">
        <f t="shared" si="19"/>
        <v>FOR</v>
      </c>
      <c r="O293" t="s">
        <v>69</v>
      </c>
      <c r="P293" s="3" t="s">
        <v>75</v>
      </c>
      <c r="Q293">
        <v>2015</v>
      </c>
      <c r="R293" s="2">
        <v>42349</v>
      </c>
      <c r="S293" s="2">
        <v>42353</v>
      </c>
      <c r="T293" s="2">
        <v>42350</v>
      </c>
      <c r="U293" s="2">
        <v>42410</v>
      </c>
      <c r="V293" t="s">
        <v>71</v>
      </c>
      <c r="W293" t="str">
        <f>"          1010917001"</f>
        <v xml:space="preserve">          1010917001</v>
      </c>
      <c r="X293">
        <v>244</v>
      </c>
      <c r="Y293">
        <v>0</v>
      </c>
      <c r="Z293" s="3">
        <v>200</v>
      </c>
      <c r="AA293">
        <v>236</v>
      </c>
      <c r="AB293" s="5">
        <v>47200</v>
      </c>
      <c r="AC293">
        <v>200</v>
      </c>
      <c r="AD293">
        <v>236</v>
      </c>
      <c r="AE293" s="1">
        <v>47200</v>
      </c>
      <c r="AF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 s="2">
        <v>42746</v>
      </c>
      <c r="AQ293" t="s">
        <v>72</v>
      </c>
      <c r="AR293" t="s">
        <v>72</v>
      </c>
      <c r="AS293">
        <v>2567</v>
      </c>
      <c r="AT293" s="4">
        <v>42646</v>
      </c>
      <c r="AU293" t="s">
        <v>73</v>
      </c>
      <c r="AV293">
        <v>2567</v>
      </c>
      <c r="AW293" s="4">
        <v>42646</v>
      </c>
      <c r="BD293">
        <v>0</v>
      </c>
      <c r="BN293" t="s">
        <v>74</v>
      </c>
    </row>
    <row r="294" spans="1:66">
      <c r="A294">
        <v>100066</v>
      </c>
      <c r="B294" s="3" t="s">
        <v>103</v>
      </c>
      <c r="C294" s="1">
        <v>43300101</v>
      </c>
      <c r="D294" t="s">
        <v>67</v>
      </c>
      <c r="H294" t="str">
        <f t="shared" si="20"/>
        <v>04785851009</v>
      </c>
      <c r="I294" t="str">
        <f t="shared" si="21"/>
        <v>12268050155</v>
      </c>
      <c r="K294" t="str">
        <f>""</f>
        <v/>
      </c>
      <c r="M294" t="s">
        <v>68</v>
      </c>
      <c r="N294" t="str">
        <f t="shared" si="19"/>
        <v>FOR</v>
      </c>
      <c r="O294" t="s">
        <v>69</v>
      </c>
      <c r="P294" s="3" t="s">
        <v>75</v>
      </c>
      <c r="Q294">
        <v>2015</v>
      </c>
      <c r="R294" s="2">
        <v>42349</v>
      </c>
      <c r="S294" s="2">
        <v>42353</v>
      </c>
      <c r="T294" s="2">
        <v>42350</v>
      </c>
      <c r="U294" s="2">
        <v>42410</v>
      </c>
      <c r="V294" t="s">
        <v>71</v>
      </c>
      <c r="W294" t="str">
        <f>"          1010917002"</f>
        <v xml:space="preserve">          1010917002</v>
      </c>
      <c r="X294" s="1">
        <v>3343.78</v>
      </c>
      <c r="Y294">
        <v>0</v>
      </c>
      <c r="Z294" s="5">
        <v>2740.8</v>
      </c>
      <c r="AA294">
        <v>236</v>
      </c>
      <c r="AB294" s="5">
        <v>646828.80000000005</v>
      </c>
      <c r="AC294" s="1">
        <v>2740.8</v>
      </c>
      <c r="AD294">
        <v>236</v>
      </c>
      <c r="AE294" s="1">
        <v>646828.80000000005</v>
      </c>
      <c r="AF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 s="2">
        <v>42746</v>
      </c>
      <c r="AQ294" t="s">
        <v>72</v>
      </c>
      <c r="AR294" t="s">
        <v>72</v>
      </c>
      <c r="AS294">
        <v>2567</v>
      </c>
      <c r="AT294" s="4">
        <v>42646</v>
      </c>
      <c r="AU294" t="s">
        <v>73</v>
      </c>
      <c r="AV294">
        <v>2567</v>
      </c>
      <c r="AW294" s="4">
        <v>42646</v>
      </c>
      <c r="BD294">
        <v>0</v>
      </c>
      <c r="BN294" t="s">
        <v>74</v>
      </c>
    </row>
    <row r="295" spans="1:66">
      <c r="A295">
        <v>100066</v>
      </c>
      <c r="B295" s="3" t="s">
        <v>103</v>
      </c>
      <c r="C295" s="1">
        <v>43300101</v>
      </c>
      <c r="D295" t="s">
        <v>67</v>
      </c>
      <c r="H295" t="str">
        <f t="shared" si="20"/>
        <v>04785851009</v>
      </c>
      <c r="I295" t="str">
        <f t="shared" si="21"/>
        <v>12268050155</v>
      </c>
      <c r="K295" t="str">
        <f>""</f>
        <v/>
      </c>
      <c r="M295" t="s">
        <v>68</v>
      </c>
      <c r="N295" t="str">
        <f t="shared" si="19"/>
        <v>FOR</v>
      </c>
      <c r="O295" t="s">
        <v>69</v>
      </c>
      <c r="P295" s="3" t="s">
        <v>75</v>
      </c>
      <c r="Q295">
        <v>2015</v>
      </c>
      <c r="R295" s="2">
        <v>42352</v>
      </c>
      <c r="S295" s="2">
        <v>42354</v>
      </c>
      <c r="T295" s="2">
        <v>42353</v>
      </c>
      <c r="U295" s="2">
        <v>42413</v>
      </c>
      <c r="V295" t="s">
        <v>71</v>
      </c>
      <c r="W295" t="str">
        <f>"          1010917237"</f>
        <v xml:space="preserve">          1010917237</v>
      </c>
      <c r="X295">
        <v>771.04</v>
      </c>
      <c r="Y295">
        <v>0</v>
      </c>
      <c r="Z295" s="3">
        <v>632</v>
      </c>
      <c r="AA295">
        <v>233</v>
      </c>
      <c r="AB295" s="5">
        <v>147256</v>
      </c>
      <c r="AC295">
        <v>632</v>
      </c>
      <c r="AD295">
        <v>233</v>
      </c>
      <c r="AE295" s="1">
        <v>147256</v>
      </c>
      <c r="AF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 s="2">
        <v>42746</v>
      </c>
      <c r="AQ295" t="s">
        <v>72</v>
      </c>
      <c r="AR295" t="s">
        <v>72</v>
      </c>
      <c r="AS295">
        <v>2567</v>
      </c>
      <c r="AT295" s="4">
        <v>42646</v>
      </c>
      <c r="AU295" t="s">
        <v>73</v>
      </c>
      <c r="AV295">
        <v>2567</v>
      </c>
      <c r="AW295" s="4">
        <v>42646</v>
      </c>
      <c r="BD295">
        <v>0</v>
      </c>
      <c r="BN295" t="s">
        <v>74</v>
      </c>
    </row>
    <row r="296" spans="1:66">
      <c r="A296">
        <v>100066</v>
      </c>
      <c r="B296" s="3" t="s">
        <v>103</v>
      </c>
      <c r="C296" s="1">
        <v>43300101</v>
      </c>
      <c r="D296" t="s">
        <v>67</v>
      </c>
      <c r="H296" t="str">
        <f t="shared" si="20"/>
        <v>04785851009</v>
      </c>
      <c r="I296" t="str">
        <f t="shared" si="21"/>
        <v>12268050155</v>
      </c>
      <c r="K296" t="str">
        <f>""</f>
        <v/>
      </c>
      <c r="M296" t="s">
        <v>68</v>
      </c>
      <c r="N296" t="str">
        <f t="shared" si="19"/>
        <v>FOR</v>
      </c>
      <c r="O296" t="s">
        <v>69</v>
      </c>
      <c r="P296" s="3" t="s">
        <v>75</v>
      </c>
      <c r="Q296">
        <v>2015</v>
      </c>
      <c r="R296" s="2">
        <v>42355</v>
      </c>
      <c r="S296" s="2">
        <v>42359</v>
      </c>
      <c r="T296" s="2">
        <v>42356</v>
      </c>
      <c r="U296" s="2">
        <v>42416</v>
      </c>
      <c r="V296" t="s">
        <v>71</v>
      </c>
      <c r="W296" t="str">
        <f>"          1010918393"</f>
        <v xml:space="preserve">          1010918393</v>
      </c>
      <c r="X296" s="1">
        <v>4066.66</v>
      </c>
      <c r="Y296">
        <v>0</v>
      </c>
      <c r="Z296" s="5">
        <v>3333.33</v>
      </c>
      <c r="AA296">
        <v>230</v>
      </c>
      <c r="AB296" s="5">
        <v>766665.9</v>
      </c>
      <c r="AC296" s="1">
        <v>3333.33</v>
      </c>
      <c r="AD296">
        <v>230</v>
      </c>
      <c r="AE296" s="1">
        <v>766665.9</v>
      </c>
      <c r="AF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 s="2">
        <v>42746</v>
      </c>
      <c r="AQ296" t="s">
        <v>72</v>
      </c>
      <c r="AR296" t="s">
        <v>72</v>
      </c>
      <c r="AS296">
        <v>2567</v>
      </c>
      <c r="AT296" s="4">
        <v>42646</v>
      </c>
      <c r="AU296" t="s">
        <v>73</v>
      </c>
      <c r="AV296">
        <v>2567</v>
      </c>
      <c r="AW296" s="4">
        <v>42646</v>
      </c>
      <c r="BD296">
        <v>0</v>
      </c>
      <c r="BN296" t="s">
        <v>74</v>
      </c>
    </row>
    <row r="297" spans="1:66">
      <c r="A297">
        <v>100066</v>
      </c>
      <c r="B297" s="3" t="s">
        <v>103</v>
      </c>
      <c r="C297" s="1">
        <v>43300101</v>
      </c>
      <c r="D297" t="s">
        <v>67</v>
      </c>
      <c r="H297" t="str">
        <f t="shared" ref="H297:H328" si="22">"04785851009"</f>
        <v>04785851009</v>
      </c>
      <c r="I297" t="str">
        <f t="shared" ref="I297:I328" si="23">"12268050155"</f>
        <v>12268050155</v>
      </c>
      <c r="K297" t="str">
        <f>""</f>
        <v/>
      </c>
      <c r="M297" t="s">
        <v>68</v>
      </c>
      <c r="N297" t="str">
        <f t="shared" si="19"/>
        <v>FOR</v>
      </c>
      <c r="O297" t="s">
        <v>69</v>
      </c>
      <c r="P297" s="3" t="s">
        <v>75</v>
      </c>
      <c r="Q297">
        <v>2015</v>
      </c>
      <c r="R297" s="2">
        <v>42355</v>
      </c>
      <c r="S297" s="2">
        <v>42359</v>
      </c>
      <c r="T297" s="2">
        <v>42356</v>
      </c>
      <c r="U297" s="2">
        <v>42416</v>
      </c>
      <c r="V297" t="s">
        <v>71</v>
      </c>
      <c r="W297" t="str">
        <f>"          1010918394"</f>
        <v xml:space="preserve">          1010918394</v>
      </c>
      <c r="X297" s="1">
        <v>36600</v>
      </c>
      <c r="Y297">
        <v>0</v>
      </c>
      <c r="Z297" s="5">
        <v>30000</v>
      </c>
      <c r="AA297">
        <v>230</v>
      </c>
      <c r="AB297" s="5">
        <v>6900000</v>
      </c>
      <c r="AC297" s="1">
        <v>30000</v>
      </c>
      <c r="AD297">
        <v>230</v>
      </c>
      <c r="AE297" s="1">
        <v>6900000</v>
      </c>
      <c r="AF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 s="2">
        <v>42746</v>
      </c>
      <c r="AQ297" t="s">
        <v>72</v>
      </c>
      <c r="AR297" t="s">
        <v>72</v>
      </c>
      <c r="AS297">
        <v>2567</v>
      </c>
      <c r="AT297" s="4">
        <v>42646</v>
      </c>
      <c r="AU297" t="s">
        <v>73</v>
      </c>
      <c r="AV297">
        <v>2567</v>
      </c>
      <c r="AW297" s="4">
        <v>42646</v>
      </c>
      <c r="BD297">
        <v>0</v>
      </c>
      <c r="BN297" t="s">
        <v>74</v>
      </c>
    </row>
    <row r="298" spans="1:66">
      <c r="A298">
        <v>100066</v>
      </c>
      <c r="B298" s="3" t="s">
        <v>103</v>
      </c>
      <c r="C298" s="1">
        <v>43300101</v>
      </c>
      <c r="D298" t="s">
        <v>67</v>
      </c>
      <c r="H298" t="str">
        <f t="shared" si="22"/>
        <v>04785851009</v>
      </c>
      <c r="I298" t="str">
        <f t="shared" si="23"/>
        <v>12268050155</v>
      </c>
      <c r="K298" t="str">
        <f>""</f>
        <v/>
      </c>
      <c r="M298" t="s">
        <v>68</v>
      </c>
      <c r="N298" t="str">
        <f t="shared" si="19"/>
        <v>FOR</v>
      </c>
      <c r="O298" t="s">
        <v>69</v>
      </c>
      <c r="P298" s="3" t="s">
        <v>75</v>
      </c>
      <c r="Q298">
        <v>2015</v>
      </c>
      <c r="R298" s="2">
        <v>42355</v>
      </c>
      <c r="S298" s="2">
        <v>42359</v>
      </c>
      <c r="T298" s="2">
        <v>42356</v>
      </c>
      <c r="U298" s="2">
        <v>42416</v>
      </c>
      <c r="V298" t="s">
        <v>71</v>
      </c>
      <c r="W298" t="str">
        <f>"          1010918395"</f>
        <v xml:space="preserve">          1010918395</v>
      </c>
      <c r="X298">
        <v>546.23</v>
      </c>
      <c r="Y298">
        <v>0</v>
      </c>
      <c r="Z298" s="3">
        <v>447.73</v>
      </c>
      <c r="AA298">
        <v>230</v>
      </c>
      <c r="AB298" s="5">
        <v>102977.9</v>
      </c>
      <c r="AC298">
        <v>447.73</v>
      </c>
      <c r="AD298">
        <v>230</v>
      </c>
      <c r="AE298" s="1">
        <v>102977.9</v>
      </c>
      <c r="AF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 s="2">
        <v>42746</v>
      </c>
      <c r="AQ298" t="s">
        <v>72</v>
      </c>
      <c r="AR298" t="s">
        <v>72</v>
      </c>
      <c r="AS298">
        <v>2567</v>
      </c>
      <c r="AT298" s="4">
        <v>42646</v>
      </c>
      <c r="AU298" t="s">
        <v>73</v>
      </c>
      <c r="AV298">
        <v>2567</v>
      </c>
      <c r="AW298" s="4">
        <v>42646</v>
      </c>
      <c r="BD298">
        <v>0</v>
      </c>
      <c r="BN298" t="s">
        <v>74</v>
      </c>
    </row>
    <row r="299" spans="1:66">
      <c r="A299">
        <v>100066</v>
      </c>
      <c r="B299" s="3" t="s">
        <v>103</v>
      </c>
      <c r="C299" s="1">
        <v>43300101</v>
      </c>
      <c r="D299" t="s">
        <v>67</v>
      </c>
      <c r="H299" t="str">
        <f t="shared" si="22"/>
        <v>04785851009</v>
      </c>
      <c r="I299" t="str">
        <f t="shared" si="23"/>
        <v>12268050155</v>
      </c>
      <c r="K299" t="str">
        <f>""</f>
        <v/>
      </c>
      <c r="M299" t="s">
        <v>68</v>
      </c>
      <c r="N299" t="str">
        <f t="shared" si="19"/>
        <v>FOR</v>
      </c>
      <c r="O299" t="s">
        <v>69</v>
      </c>
      <c r="P299" s="3" t="s">
        <v>75</v>
      </c>
      <c r="Q299">
        <v>2015</v>
      </c>
      <c r="R299" s="2">
        <v>42355</v>
      </c>
      <c r="S299" s="2">
        <v>42359</v>
      </c>
      <c r="T299" s="2">
        <v>42356</v>
      </c>
      <c r="U299" s="2">
        <v>42416</v>
      </c>
      <c r="V299" t="s">
        <v>71</v>
      </c>
      <c r="W299" t="str">
        <f>"          1010919352"</f>
        <v xml:space="preserve">          1010919352</v>
      </c>
      <c r="X299">
        <v>50.56</v>
      </c>
      <c r="Y299">
        <v>0</v>
      </c>
      <c r="Z299" s="3">
        <v>41.44</v>
      </c>
      <c r="AA299">
        <v>230</v>
      </c>
      <c r="AB299" s="5">
        <v>9531.2000000000007</v>
      </c>
      <c r="AC299">
        <v>41.44</v>
      </c>
      <c r="AD299">
        <v>230</v>
      </c>
      <c r="AE299" s="1">
        <v>9531.2000000000007</v>
      </c>
      <c r="AF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 s="2">
        <v>42746</v>
      </c>
      <c r="AQ299" t="s">
        <v>72</v>
      </c>
      <c r="AR299" t="s">
        <v>72</v>
      </c>
      <c r="AS299">
        <v>2567</v>
      </c>
      <c r="AT299" s="4">
        <v>42646</v>
      </c>
      <c r="AU299" t="s">
        <v>73</v>
      </c>
      <c r="AV299">
        <v>2567</v>
      </c>
      <c r="AW299" s="4">
        <v>42646</v>
      </c>
      <c r="BD299">
        <v>0</v>
      </c>
      <c r="BN299" t="s">
        <v>74</v>
      </c>
    </row>
    <row r="300" spans="1:66">
      <c r="A300">
        <v>100066</v>
      </c>
      <c r="B300" s="3" t="s">
        <v>103</v>
      </c>
      <c r="C300" s="1">
        <v>43300101</v>
      </c>
      <c r="D300" t="s">
        <v>67</v>
      </c>
      <c r="H300" t="str">
        <f t="shared" si="22"/>
        <v>04785851009</v>
      </c>
      <c r="I300" t="str">
        <f t="shared" si="23"/>
        <v>12268050155</v>
      </c>
      <c r="K300" t="str">
        <f>""</f>
        <v/>
      </c>
      <c r="M300" t="s">
        <v>68</v>
      </c>
      <c r="N300" t="str">
        <f t="shared" si="19"/>
        <v>FOR</v>
      </c>
      <c r="O300" t="s">
        <v>69</v>
      </c>
      <c r="P300" s="3" t="s">
        <v>75</v>
      </c>
      <c r="Q300">
        <v>2015</v>
      </c>
      <c r="R300" s="2">
        <v>42356</v>
      </c>
      <c r="S300" s="2">
        <v>42359</v>
      </c>
      <c r="T300" s="2">
        <v>42359</v>
      </c>
      <c r="U300" s="2">
        <v>42419</v>
      </c>
      <c r="V300" t="s">
        <v>71</v>
      </c>
      <c r="W300" t="str">
        <f>"          1010919598"</f>
        <v xml:space="preserve">          1010919598</v>
      </c>
      <c r="X300" s="1">
        <v>7835.45</v>
      </c>
      <c r="Y300">
        <v>0</v>
      </c>
      <c r="Z300" s="5">
        <v>6422.5</v>
      </c>
      <c r="AA300">
        <v>227</v>
      </c>
      <c r="AB300" s="5">
        <v>1457907.5</v>
      </c>
      <c r="AC300" s="1">
        <v>6422.5</v>
      </c>
      <c r="AD300">
        <v>227</v>
      </c>
      <c r="AE300" s="1">
        <v>1457907.5</v>
      </c>
      <c r="AF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 s="2">
        <v>42746</v>
      </c>
      <c r="AQ300" t="s">
        <v>72</v>
      </c>
      <c r="AR300" t="s">
        <v>72</v>
      </c>
      <c r="AS300">
        <v>2567</v>
      </c>
      <c r="AT300" s="4">
        <v>42646</v>
      </c>
      <c r="AU300" t="s">
        <v>73</v>
      </c>
      <c r="AV300">
        <v>2567</v>
      </c>
      <c r="AW300" s="4">
        <v>42646</v>
      </c>
      <c r="BD300">
        <v>0</v>
      </c>
      <c r="BN300" t="s">
        <v>74</v>
      </c>
    </row>
    <row r="301" spans="1:66">
      <c r="A301">
        <v>100066</v>
      </c>
      <c r="B301" s="3" t="s">
        <v>103</v>
      </c>
      <c r="C301" s="1">
        <v>43300101</v>
      </c>
      <c r="D301" t="s">
        <v>67</v>
      </c>
      <c r="H301" t="str">
        <f t="shared" si="22"/>
        <v>04785851009</v>
      </c>
      <c r="I301" t="str">
        <f t="shared" si="23"/>
        <v>12268050155</v>
      </c>
      <c r="K301" t="str">
        <f>""</f>
        <v/>
      </c>
      <c r="M301" t="s">
        <v>68</v>
      </c>
      <c r="N301" t="str">
        <f t="shared" si="19"/>
        <v>FOR</v>
      </c>
      <c r="O301" t="s">
        <v>69</v>
      </c>
      <c r="P301" s="3" t="s">
        <v>75</v>
      </c>
      <c r="Q301">
        <v>2015</v>
      </c>
      <c r="R301" s="2">
        <v>42356</v>
      </c>
      <c r="S301" s="2">
        <v>42359</v>
      </c>
      <c r="T301" s="2">
        <v>42359</v>
      </c>
      <c r="U301" s="2">
        <v>42419</v>
      </c>
      <c r="V301" t="s">
        <v>71</v>
      </c>
      <c r="W301" t="str">
        <f>"          1010919599"</f>
        <v xml:space="preserve">          1010919599</v>
      </c>
      <c r="X301" s="1">
        <v>17558.240000000002</v>
      </c>
      <c r="Y301">
        <v>0</v>
      </c>
      <c r="Z301" s="5">
        <v>14392</v>
      </c>
      <c r="AA301">
        <v>227</v>
      </c>
      <c r="AB301" s="5">
        <v>3266984</v>
      </c>
      <c r="AC301" s="1">
        <v>14392</v>
      </c>
      <c r="AD301">
        <v>227</v>
      </c>
      <c r="AE301" s="1">
        <v>3266984</v>
      </c>
      <c r="AF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 s="2">
        <v>42746</v>
      </c>
      <c r="AQ301" t="s">
        <v>72</v>
      </c>
      <c r="AR301" t="s">
        <v>72</v>
      </c>
      <c r="AS301">
        <v>2567</v>
      </c>
      <c r="AT301" s="4">
        <v>42646</v>
      </c>
      <c r="AU301" t="s">
        <v>73</v>
      </c>
      <c r="AV301">
        <v>2567</v>
      </c>
      <c r="AW301" s="4">
        <v>42646</v>
      </c>
      <c r="BD301">
        <v>0</v>
      </c>
      <c r="BN301" t="s">
        <v>74</v>
      </c>
    </row>
    <row r="302" spans="1:66">
      <c r="A302">
        <v>100066</v>
      </c>
      <c r="B302" s="3" t="s">
        <v>103</v>
      </c>
      <c r="C302" s="1">
        <v>43300101</v>
      </c>
      <c r="D302" t="s">
        <v>67</v>
      </c>
      <c r="H302" t="str">
        <f t="shared" si="22"/>
        <v>04785851009</v>
      </c>
      <c r="I302" t="str">
        <f t="shared" si="23"/>
        <v>12268050155</v>
      </c>
      <c r="K302" t="str">
        <f>""</f>
        <v/>
      </c>
      <c r="M302" t="s">
        <v>68</v>
      </c>
      <c r="N302" t="str">
        <f t="shared" si="19"/>
        <v>FOR</v>
      </c>
      <c r="O302" t="s">
        <v>69</v>
      </c>
      <c r="P302" s="3" t="s">
        <v>75</v>
      </c>
      <c r="Q302">
        <v>2015</v>
      </c>
      <c r="R302" s="2">
        <v>42359</v>
      </c>
      <c r="S302" s="2">
        <v>42361</v>
      </c>
      <c r="T302" s="2">
        <v>42360</v>
      </c>
      <c r="U302" s="2">
        <v>42420</v>
      </c>
      <c r="V302" t="s">
        <v>71</v>
      </c>
      <c r="W302" t="str">
        <f>"          1010919835"</f>
        <v xml:space="preserve">          1010919835</v>
      </c>
      <c r="X302" s="1">
        <v>8296</v>
      </c>
      <c r="Y302">
        <v>0</v>
      </c>
      <c r="Z302" s="5">
        <v>6800</v>
      </c>
      <c r="AA302">
        <v>226</v>
      </c>
      <c r="AB302" s="5">
        <v>1536800</v>
      </c>
      <c r="AC302" s="1">
        <v>6800</v>
      </c>
      <c r="AD302">
        <v>226</v>
      </c>
      <c r="AE302" s="1">
        <v>1536800</v>
      </c>
      <c r="AF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 s="2">
        <v>42746</v>
      </c>
      <c r="AQ302" t="s">
        <v>72</v>
      </c>
      <c r="AR302" t="s">
        <v>72</v>
      </c>
      <c r="AS302">
        <v>2567</v>
      </c>
      <c r="AT302" s="4">
        <v>42646</v>
      </c>
      <c r="AU302" t="s">
        <v>73</v>
      </c>
      <c r="AV302">
        <v>2567</v>
      </c>
      <c r="AW302" s="4">
        <v>42646</v>
      </c>
      <c r="BD302">
        <v>0</v>
      </c>
      <c r="BN302" t="s">
        <v>74</v>
      </c>
    </row>
    <row r="303" spans="1:66">
      <c r="A303">
        <v>100066</v>
      </c>
      <c r="B303" s="3" t="s">
        <v>103</v>
      </c>
      <c r="C303" s="1">
        <v>43300101</v>
      </c>
      <c r="D303" t="s">
        <v>67</v>
      </c>
      <c r="H303" t="str">
        <f t="shared" si="22"/>
        <v>04785851009</v>
      </c>
      <c r="I303" t="str">
        <f t="shared" si="23"/>
        <v>12268050155</v>
      </c>
      <c r="K303" t="str">
        <f>""</f>
        <v/>
      </c>
      <c r="M303" t="s">
        <v>68</v>
      </c>
      <c r="N303" t="str">
        <f t="shared" si="19"/>
        <v>FOR</v>
      </c>
      <c r="O303" t="s">
        <v>69</v>
      </c>
      <c r="P303" s="3" t="s">
        <v>75</v>
      </c>
      <c r="Q303">
        <v>2015</v>
      </c>
      <c r="R303" s="2">
        <v>42361</v>
      </c>
      <c r="S303" s="2">
        <v>42366</v>
      </c>
      <c r="T303" s="2">
        <v>42362</v>
      </c>
      <c r="U303" s="2">
        <v>42422</v>
      </c>
      <c r="V303" t="s">
        <v>71</v>
      </c>
      <c r="W303" t="str">
        <f>"          1010920308"</f>
        <v xml:space="preserve">          1010920308</v>
      </c>
      <c r="X303" s="1">
        <v>2421.94</v>
      </c>
      <c r="Y303">
        <v>0</v>
      </c>
      <c r="Z303" s="5">
        <v>1985.2</v>
      </c>
      <c r="AA303">
        <v>224</v>
      </c>
      <c r="AB303" s="5">
        <v>444684.79999999999</v>
      </c>
      <c r="AC303" s="1">
        <v>1985.2</v>
      </c>
      <c r="AD303">
        <v>224</v>
      </c>
      <c r="AE303" s="1">
        <v>444684.79999999999</v>
      </c>
      <c r="AF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 s="2">
        <v>42746</v>
      </c>
      <c r="AQ303" t="s">
        <v>72</v>
      </c>
      <c r="AR303" t="s">
        <v>72</v>
      </c>
      <c r="AS303">
        <v>2567</v>
      </c>
      <c r="AT303" s="4">
        <v>42646</v>
      </c>
      <c r="AU303" t="s">
        <v>73</v>
      </c>
      <c r="AV303">
        <v>2567</v>
      </c>
      <c r="AW303" s="4">
        <v>42646</v>
      </c>
      <c r="BD303">
        <v>0</v>
      </c>
      <c r="BN303" t="s">
        <v>74</v>
      </c>
    </row>
    <row r="304" spans="1:66">
      <c r="A304">
        <v>100066</v>
      </c>
      <c r="B304" s="3" t="s">
        <v>103</v>
      </c>
      <c r="C304" s="1">
        <v>43300101</v>
      </c>
      <c r="D304" t="s">
        <v>67</v>
      </c>
      <c r="H304" t="str">
        <f t="shared" si="22"/>
        <v>04785851009</v>
      </c>
      <c r="I304" t="str">
        <f t="shared" si="23"/>
        <v>12268050155</v>
      </c>
      <c r="K304" t="str">
        <f>""</f>
        <v/>
      </c>
      <c r="M304" t="s">
        <v>68</v>
      </c>
      <c r="N304" t="str">
        <f t="shared" si="19"/>
        <v>FOR</v>
      </c>
      <c r="O304" t="s">
        <v>69</v>
      </c>
      <c r="P304" s="3" t="s">
        <v>75</v>
      </c>
      <c r="Q304">
        <v>2015</v>
      </c>
      <c r="R304" s="2">
        <v>42361</v>
      </c>
      <c r="S304" s="2">
        <v>42366</v>
      </c>
      <c r="T304" s="2">
        <v>42362</v>
      </c>
      <c r="U304" s="2">
        <v>42422</v>
      </c>
      <c r="V304" t="s">
        <v>71</v>
      </c>
      <c r="W304" t="str">
        <f>"          1010920309"</f>
        <v xml:space="preserve">          1010920309</v>
      </c>
      <c r="X304" s="1">
        <v>2229.1799999999998</v>
      </c>
      <c r="Y304">
        <v>0</v>
      </c>
      <c r="Z304" s="5">
        <v>1827.2</v>
      </c>
      <c r="AA304">
        <v>224</v>
      </c>
      <c r="AB304" s="5">
        <v>409292.79999999999</v>
      </c>
      <c r="AC304" s="1">
        <v>1827.2</v>
      </c>
      <c r="AD304">
        <v>224</v>
      </c>
      <c r="AE304" s="1">
        <v>409292.79999999999</v>
      </c>
      <c r="AF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 s="2">
        <v>42746</v>
      </c>
      <c r="AQ304" t="s">
        <v>72</v>
      </c>
      <c r="AR304" t="s">
        <v>72</v>
      </c>
      <c r="AS304">
        <v>2567</v>
      </c>
      <c r="AT304" s="4">
        <v>42646</v>
      </c>
      <c r="AU304" t="s">
        <v>73</v>
      </c>
      <c r="AV304">
        <v>2567</v>
      </c>
      <c r="AW304" s="4">
        <v>42646</v>
      </c>
      <c r="BD304">
        <v>0</v>
      </c>
      <c r="BN304" t="s">
        <v>74</v>
      </c>
    </row>
    <row r="305" spans="1:66">
      <c r="A305">
        <v>100066</v>
      </c>
      <c r="B305" s="3" t="s">
        <v>103</v>
      </c>
      <c r="C305" s="1">
        <v>43300101</v>
      </c>
      <c r="D305" t="s">
        <v>67</v>
      </c>
      <c r="H305" t="str">
        <f t="shared" si="22"/>
        <v>04785851009</v>
      </c>
      <c r="I305" t="str">
        <f t="shared" si="23"/>
        <v>12268050155</v>
      </c>
      <c r="K305" t="str">
        <f>""</f>
        <v/>
      </c>
      <c r="M305" t="s">
        <v>68</v>
      </c>
      <c r="N305" t="str">
        <f t="shared" si="19"/>
        <v>FOR</v>
      </c>
      <c r="O305" t="s">
        <v>69</v>
      </c>
      <c r="P305" s="3" t="s">
        <v>75</v>
      </c>
      <c r="Q305">
        <v>2015</v>
      </c>
      <c r="R305" s="2">
        <v>42367</v>
      </c>
      <c r="S305" s="2">
        <v>42368</v>
      </c>
      <c r="T305" s="2">
        <v>42368</v>
      </c>
      <c r="U305" s="2">
        <v>42428</v>
      </c>
      <c r="V305" t="s">
        <v>71</v>
      </c>
      <c r="W305" t="str">
        <f>"          1010920637"</f>
        <v xml:space="preserve">          1010920637</v>
      </c>
      <c r="X305" s="1">
        <v>1232.2</v>
      </c>
      <c r="Y305">
        <v>0</v>
      </c>
      <c r="Z305" s="5">
        <v>1010</v>
      </c>
      <c r="AA305">
        <v>218</v>
      </c>
      <c r="AB305" s="5">
        <v>220180</v>
      </c>
      <c r="AC305" s="1">
        <v>1010</v>
      </c>
      <c r="AD305">
        <v>218</v>
      </c>
      <c r="AE305" s="1">
        <v>220180</v>
      </c>
      <c r="AF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 s="2">
        <v>42746</v>
      </c>
      <c r="AQ305" t="s">
        <v>72</v>
      </c>
      <c r="AR305" t="s">
        <v>72</v>
      </c>
      <c r="AS305">
        <v>2567</v>
      </c>
      <c r="AT305" s="4">
        <v>42646</v>
      </c>
      <c r="AU305" t="s">
        <v>73</v>
      </c>
      <c r="AV305">
        <v>2567</v>
      </c>
      <c r="AW305" s="4">
        <v>42646</v>
      </c>
      <c r="BD305">
        <v>0</v>
      </c>
      <c r="BN305" t="s">
        <v>74</v>
      </c>
    </row>
    <row r="306" spans="1:66">
      <c r="A306">
        <v>100066</v>
      </c>
      <c r="B306" s="3" t="s">
        <v>103</v>
      </c>
      <c r="C306" s="1">
        <v>43300101</v>
      </c>
      <c r="D306" t="s">
        <v>67</v>
      </c>
      <c r="H306" t="str">
        <f t="shared" si="22"/>
        <v>04785851009</v>
      </c>
      <c r="I306" t="str">
        <f t="shared" si="23"/>
        <v>12268050155</v>
      </c>
      <c r="K306" t="str">
        <f>""</f>
        <v/>
      </c>
      <c r="M306" t="s">
        <v>68</v>
      </c>
      <c r="N306" t="str">
        <f t="shared" si="19"/>
        <v>FOR</v>
      </c>
      <c r="O306" t="s">
        <v>69</v>
      </c>
      <c r="P306" s="3" t="s">
        <v>75</v>
      </c>
      <c r="Q306">
        <v>2015</v>
      </c>
      <c r="R306" s="2">
        <v>42297</v>
      </c>
      <c r="S306" s="2">
        <v>42353</v>
      </c>
      <c r="T306" s="2">
        <v>42352</v>
      </c>
      <c r="U306" s="2">
        <v>42412</v>
      </c>
      <c r="V306" t="s">
        <v>71</v>
      </c>
      <c r="W306" t="str">
        <f>"          9550000033"</f>
        <v xml:space="preserve">          9550000033</v>
      </c>
      <c r="X306" s="1">
        <v>3371.78</v>
      </c>
      <c r="Y306">
        <v>0</v>
      </c>
      <c r="Z306" s="5">
        <v>2763.75</v>
      </c>
      <c r="AA306">
        <v>234</v>
      </c>
      <c r="AB306" s="5">
        <v>646717.5</v>
      </c>
      <c r="AC306" s="1">
        <v>2763.75</v>
      </c>
      <c r="AD306">
        <v>234</v>
      </c>
      <c r="AE306" s="1">
        <v>646717.5</v>
      </c>
      <c r="AF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 s="2">
        <v>42746</v>
      </c>
      <c r="AQ306" t="s">
        <v>72</v>
      </c>
      <c r="AR306" t="s">
        <v>72</v>
      </c>
      <c r="AS306">
        <v>2567</v>
      </c>
      <c r="AT306" s="4">
        <v>42646</v>
      </c>
      <c r="AU306" t="s">
        <v>73</v>
      </c>
      <c r="AV306">
        <v>2567</v>
      </c>
      <c r="AW306" s="4">
        <v>42646</v>
      </c>
      <c r="BD306">
        <v>0</v>
      </c>
      <c r="BN306" t="s">
        <v>74</v>
      </c>
    </row>
    <row r="307" spans="1:66">
      <c r="A307">
        <v>100066</v>
      </c>
      <c r="B307" s="3" t="s">
        <v>103</v>
      </c>
      <c r="C307" s="1">
        <v>43300101</v>
      </c>
      <c r="D307" t="s">
        <v>67</v>
      </c>
      <c r="H307" t="str">
        <f t="shared" si="22"/>
        <v>04785851009</v>
      </c>
      <c r="I307" t="str">
        <f t="shared" si="23"/>
        <v>12268050155</v>
      </c>
      <c r="K307" t="str">
        <f>""</f>
        <v/>
      </c>
      <c r="M307" t="s">
        <v>68</v>
      </c>
      <c r="N307" t="str">
        <f t="shared" si="19"/>
        <v>FOR</v>
      </c>
      <c r="O307" t="s">
        <v>69</v>
      </c>
      <c r="P307" s="3" t="s">
        <v>75</v>
      </c>
      <c r="Q307">
        <v>2016</v>
      </c>
      <c r="R307" s="2">
        <v>42370</v>
      </c>
      <c r="S307" s="2">
        <v>42382</v>
      </c>
      <c r="T307" s="2">
        <v>42381</v>
      </c>
      <c r="U307" s="2">
        <v>42441</v>
      </c>
      <c r="V307" t="s">
        <v>71</v>
      </c>
      <c r="W307" t="str">
        <f>"          1010920970"</f>
        <v xml:space="preserve">          1010920970</v>
      </c>
      <c r="X307" s="1">
        <v>12200</v>
      </c>
      <c r="Y307">
        <v>0</v>
      </c>
      <c r="Z307" s="5">
        <v>10000</v>
      </c>
      <c r="AA307">
        <v>237</v>
      </c>
      <c r="AB307" s="5">
        <v>2370000</v>
      </c>
      <c r="AC307" s="1">
        <v>10000</v>
      </c>
      <c r="AD307">
        <v>237</v>
      </c>
      <c r="AE307" s="1">
        <v>2370000</v>
      </c>
      <c r="AF307">
        <v>0</v>
      </c>
      <c r="AJ307">
        <v>0</v>
      </c>
      <c r="AK307">
        <v>0</v>
      </c>
      <c r="AL307">
        <v>0</v>
      </c>
      <c r="AM307">
        <v>0</v>
      </c>
      <c r="AN307" s="1">
        <v>12200</v>
      </c>
      <c r="AO307" s="1">
        <v>12200</v>
      </c>
      <c r="AP307" s="2">
        <v>42746</v>
      </c>
      <c r="AQ307" t="s">
        <v>72</v>
      </c>
      <c r="AR307" t="s">
        <v>72</v>
      </c>
      <c r="AS307">
        <v>2923</v>
      </c>
      <c r="AT307" s="4">
        <v>42678</v>
      </c>
      <c r="AU307" t="s">
        <v>73</v>
      </c>
      <c r="AV307">
        <v>2923</v>
      </c>
      <c r="AW307" s="4">
        <v>42678</v>
      </c>
      <c r="BD307">
        <v>0</v>
      </c>
      <c r="BN307" t="s">
        <v>74</v>
      </c>
    </row>
    <row r="308" spans="1:66">
      <c r="A308">
        <v>100066</v>
      </c>
      <c r="B308" s="3" t="s">
        <v>103</v>
      </c>
      <c r="C308" s="1">
        <v>43300101</v>
      </c>
      <c r="D308" t="s">
        <v>67</v>
      </c>
      <c r="H308" t="str">
        <f t="shared" si="22"/>
        <v>04785851009</v>
      </c>
      <c r="I308" t="str">
        <f t="shared" si="23"/>
        <v>12268050155</v>
      </c>
      <c r="K308" t="str">
        <f>""</f>
        <v/>
      </c>
      <c r="M308" t="s">
        <v>68</v>
      </c>
      <c r="N308" t="str">
        <f t="shared" si="19"/>
        <v>FOR</v>
      </c>
      <c r="O308" t="s">
        <v>69</v>
      </c>
      <c r="P308" s="3" t="s">
        <v>75</v>
      </c>
      <c r="Q308">
        <v>2016</v>
      </c>
      <c r="R308" s="2">
        <v>42375</v>
      </c>
      <c r="S308" s="2">
        <v>42389</v>
      </c>
      <c r="T308" s="2">
        <v>42381</v>
      </c>
      <c r="U308" s="2">
        <v>42441</v>
      </c>
      <c r="V308" t="s">
        <v>71</v>
      </c>
      <c r="W308" t="str">
        <f>"          1010921278"</f>
        <v xml:space="preserve">          1010921278</v>
      </c>
      <c r="X308" s="1">
        <v>1098</v>
      </c>
      <c r="Y308">
        <v>0</v>
      </c>
      <c r="Z308" s="3">
        <v>900</v>
      </c>
      <c r="AA308">
        <v>237</v>
      </c>
      <c r="AB308" s="5">
        <v>213300</v>
      </c>
      <c r="AC308">
        <v>900</v>
      </c>
      <c r="AD308">
        <v>237</v>
      </c>
      <c r="AE308" s="1">
        <v>213300</v>
      </c>
      <c r="AF308">
        <v>0</v>
      </c>
      <c r="AJ308">
        <v>0</v>
      </c>
      <c r="AK308">
        <v>0</v>
      </c>
      <c r="AL308">
        <v>0</v>
      </c>
      <c r="AM308" s="1">
        <v>1098</v>
      </c>
      <c r="AN308" s="1">
        <v>1098</v>
      </c>
      <c r="AO308" s="1">
        <v>1098</v>
      </c>
      <c r="AP308" s="2">
        <v>42746</v>
      </c>
      <c r="AQ308" t="s">
        <v>72</v>
      </c>
      <c r="AR308" t="s">
        <v>72</v>
      </c>
      <c r="AS308">
        <v>2923</v>
      </c>
      <c r="AT308" s="4">
        <v>42678</v>
      </c>
      <c r="AU308" t="s">
        <v>73</v>
      </c>
      <c r="AV308">
        <v>2923</v>
      </c>
      <c r="AW308" s="4">
        <v>42678</v>
      </c>
      <c r="BD308">
        <v>0</v>
      </c>
      <c r="BN308" t="s">
        <v>74</v>
      </c>
    </row>
    <row r="309" spans="1:66">
      <c r="A309">
        <v>100066</v>
      </c>
      <c r="B309" s="3" t="s">
        <v>103</v>
      </c>
      <c r="C309" s="1">
        <v>43300101</v>
      </c>
      <c r="D309" t="s">
        <v>67</v>
      </c>
      <c r="H309" t="str">
        <f t="shared" si="22"/>
        <v>04785851009</v>
      </c>
      <c r="I309" t="str">
        <f t="shared" si="23"/>
        <v>12268050155</v>
      </c>
      <c r="K309" t="str">
        <f>""</f>
        <v/>
      </c>
      <c r="M309" t="s">
        <v>68</v>
      </c>
      <c r="N309" t="str">
        <f t="shared" si="19"/>
        <v>FOR</v>
      </c>
      <c r="O309" t="s">
        <v>69</v>
      </c>
      <c r="P309" s="3" t="s">
        <v>75</v>
      </c>
      <c r="Q309">
        <v>2016</v>
      </c>
      <c r="R309" s="2">
        <v>42375</v>
      </c>
      <c r="S309" s="2">
        <v>42389</v>
      </c>
      <c r="T309" s="2">
        <v>42381</v>
      </c>
      <c r="U309" s="2">
        <v>42441</v>
      </c>
      <c r="V309" t="s">
        <v>71</v>
      </c>
      <c r="W309" t="str">
        <f>"          1010921279"</f>
        <v xml:space="preserve">          1010921279</v>
      </c>
      <c r="X309" s="1">
        <v>10904.36</v>
      </c>
      <c r="Y309">
        <v>0</v>
      </c>
      <c r="Z309" s="5">
        <v>8938</v>
      </c>
      <c r="AA309">
        <v>237</v>
      </c>
      <c r="AB309" s="5">
        <v>2118306</v>
      </c>
      <c r="AC309" s="1">
        <v>8938</v>
      </c>
      <c r="AD309">
        <v>237</v>
      </c>
      <c r="AE309" s="1">
        <v>2118306</v>
      </c>
      <c r="AF309">
        <v>0</v>
      </c>
      <c r="AJ309">
        <v>0</v>
      </c>
      <c r="AK309">
        <v>0</v>
      </c>
      <c r="AL309">
        <v>0</v>
      </c>
      <c r="AM309" s="1">
        <v>10904.36</v>
      </c>
      <c r="AN309" s="1">
        <v>10904.36</v>
      </c>
      <c r="AO309" s="1">
        <v>10904.36</v>
      </c>
      <c r="AP309" s="2">
        <v>42746</v>
      </c>
      <c r="AQ309" t="s">
        <v>72</v>
      </c>
      <c r="AR309" t="s">
        <v>72</v>
      </c>
      <c r="AS309">
        <v>2923</v>
      </c>
      <c r="AT309" s="4">
        <v>42678</v>
      </c>
      <c r="AU309" t="s">
        <v>73</v>
      </c>
      <c r="AV309">
        <v>2923</v>
      </c>
      <c r="AW309" s="4">
        <v>42678</v>
      </c>
      <c r="BD309">
        <v>0</v>
      </c>
      <c r="BN309" t="s">
        <v>74</v>
      </c>
    </row>
    <row r="310" spans="1:66">
      <c r="A310">
        <v>100066</v>
      </c>
      <c r="B310" s="3" t="s">
        <v>103</v>
      </c>
      <c r="C310" s="1">
        <v>43300101</v>
      </c>
      <c r="D310" t="s">
        <v>67</v>
      </c>
      <c r="H310" t="str">
        <f t="shared" si="22"/>
        <v>04785851009</v>
      </c>
      <c r="I310" t="str">
        <f t="shared" si="23"/>
        <v>12268050155</v>
      </c>
      <c r="K310" t="str">
        <f>""</f>
        <v/>
      </c>
      <c r="M310" t="s">
        <v>68</v>
      </c>
      <c r="N310" t="str">
        <f t="shared" si="19"/>
        <v>FOR</v>
      </c>
      <c r="O310" t="s">
        <v>69</v>
      </c>
      <c r="P310" s="3" t="s">
        <v>75</v>
      </c>
      <c r="Q310">
        <v>2016</v>
      </c>
      <c r="R310" s="2">
        <v>42380</v>
      </c>
      <c r="S310" s="2">
        <v>42389</v>
      </c>
      <c r="T310" s="2">
        <v>42381</v>
      </c>
      <c r="U310" s="2">
        <v>42441</v>
      </c>
      <c r="V310" t="s">
        <v>71</v>
      </c>
      <c r="W310" t="str">
        <f>"          1010921915"</f>
        <v xml:space="preserve">          1010921915</v>
      </c>
      <c r="X310" s="1">
        <v>32099.42</v>
      </c>
      <c r="Y310">
        <v>0</v>
      </c>
      <c r="Z310" s="5">
        <v>26311</v>
      </c>
      <c r="AA310">
        <v>237</v>
      </c>
      <c r="AB310" s="5">
        <v>6235707</v>
      </c>
      <c r="AC310" s="1">
        <v>26311</v>
      </c>
      <c r="AD310">
        <v>237</v>
      </c>
      <c r="AE310" s="1">
        <v>6235707</v>
      </c>
      <c r="AF310">
        <v>0</v>
      </c>
      <c r="AJ310">
        <v>0</v>
      </c>
      <c r="AK310">
        <v>0</v>
      </c>
      <c r="AL310">
        <v>0</v>
      </c>
      <c r="AM310" s="1">
        <v>32099.42</v>
      </c>
      <c r="AN310" s="1">
        <v>32099.42</v>
      </c>
      <c r="AO310" s="1">
        <v>32099.42</v>
      </c>
      <c r="AP310" s="2">
        <v>42746</v>
      </c>
      <c r="AQ310" t="s">
        <v>72</v>
      </c>
      <c r="AR310" t="s">
        <v>72</v>
      </c>
      <c r="AS310">
        <v>2923</v>
      </c>
      <c r="AT310" s="4">
        <v>42678</v>
      </c>
      <c r="AU310" t="s">
        <v>73</v>
      </c>
      <c r="AV310">
        <v>2923</v>
      </c>
      <c r="AW310" s="4">
        <v>42678</v>
      </c>
      <c r="BD310">
        <v>0</v>
      </c>
      <c r="BN310" t="s">
        <v>74</v>
      </c>
    </row>
    <row r="311" spans="1:66">
      <c r="A311">
        <v>100066</v>
      </c>
      <c r="B311" s="3" t="s">
        <v>103</v>
      </c>
      <c r="C311" s="1">
        <v>43300101</v>
      </c>
      <c r="D311" t="s">
        <v>67</v>
      </c>
      <c r="H311" t="str">
        <f t="shared" si="22"/>
        <v>04785851009</v>
      </c>
      <c r="I311" t="str">
        <f t="shared" si="23"/>
        <v>12268050155</v>
      </c>
      <c r="K311" t="str">
        <f>""</f>
        <v/>
      </c>
      <c r="M311" t="s">
        <v>68</v>
      </c>
      <c r="N311" t="str">
        <f t="shared" si="19"/>
        <v>FOR</v>
      </c>
      <c r="O311" t="s">
        <v>69</v>
      </c>
      <c r="P311" s="3" t="s">
        <v>75</v>
      </c>
      <c r="Q311">
        <v>2016</v>
      </c>
      <c r="R311" s="2">
        <v>42380</v>
      </c>
      <c r="S311" s="2">
        <v>42389</v>
      </c>
      <c r="T311" s="2">
        <v>42381</v>
      </c>
      <c r="U311" s="2">
        <v>42441</v>
      </c>
      <c r="V311" t="s">
        <v>71</v>
      </c>
      <c r="W311" t="str">
        <f>"          1010921916"</f>
        <v xml:space="preserve">          1010921916</v>
      </c>
      <c r="X311" s="1">
        <v>40955.4</v>
      </c>
      <c r="Y311">
        <v>0</v>
      </c>
      <c r="Z311" s="5">
        <v>33570</v>
      </c>
      <c r="AA311">
        <v>237</v>
      </c>
      <c r="AB311" s="5">
        <v>7956090</v>
      </c>
      <c r="AC311" s="1">
        <v>33570</v>
      </c>
      <c r="AD311">
        <v>237</v>
      </c>
      <c r="AE311" s="1">
        <v>7956090</v>
      </c>
      <c r="AF311">
        <v>0</v>
      </c>
      <c r="AJ311">
        <v>0</v>
      </c>
      <c r="AK311">
        <v>0</v>
      </c>
      <c r="AL311">
        <v>0</v>
      </c>
      <c r="AM311" s="1">
        <v>40955.4</v>
      </c>
      <c r="AN311" s="1">
        <v>40955.4</v>
      </c>
      <c r="AO311" s="1">
        <v>40955.4</v>
      </c>
      <c r="AP311" s="2">
        <v>42746</v>
      </c>
      <c r="AQ311" t="s">
        <v>72</v>
      </c>
      <c r="AR311" t="s">
        <v>72</v>
      </c>
      <c r="AS311">
        <v>2923</v>
      </c>
      <c r="AT311" s="4">
        <v>42678</v>
      </c>
      <c r="AU311" t="s">
        <v>73</v>
      </c>
      <c r="AV311">
        <v>2923</v>
      </c>
      <c r="AW311" s="4">
        <v>42678</v>
      </c>
      <c r="BD311">
        <v>0</v>
      </c>
      <c r="BN311" t="s">
        <v>74</v>
      </c>
    </row>
    <row r="312" spans="1:66">
      <c r="A312">
        <v>100066</v>
      </c>
      <c r="B312" s="3" t="s">
        <v>103</v>
      </c>
      <c r="C312" s="1">
        <v>43300101</v>
      </c>
      <c r="D312" t="s">
        <v>67</v>
      </c>
      <c r="H312" t="str">
        <f t="shared" si="22"/>
        <v>04785851009</v>
      </c>
      <c r="I312" t="str">
        <f t="shared" si="23"/>
        <v>12268050155</v>
      </c>
      <c r="K312" t="str">
        <f>""</f>
        <v/>
      </c>
      <c r="M312" t="s">
        <v>68</v>
      </c>
      <c r="N312" t="str">
        <f t="shared" si="19"/>
        <v>FOR</v>
      </c>
      <c r="O312" t="s">
        <v>69</v>
      </c>
      <c r="P312" s="3" t="s">
        <v>75</v>
      </c>
      <c r="Q312">
        <v>2016</v>
      </c>
      <c r="R312" s="2">
        <v>42380</v>
      </c>
      <c r="S312" s="2">
        <v>42389</v>
      </c>
      <c r="T312" s="2">
        <v>42381</v>
      </c>
      <c r="U312" s="2">
        <v>42441</v>
      </c>
      <c r="V312" t="s">
        <v>71</v>
      </c>
      <c r="W312" t="str">
        <f>"          1010921917"</f>
        <v xml:space="preserve">          1010921917</v>
      </c>
      <c r="X312" s="1">
        <v>16689.599999999999</v>
      </c>
      <c r="Y312">
        <v>0</v>
      </c>
      <c r="Z312" s="5">
        <v>13680</v>
      </c>
      <c r="AA312">
        <v>237</v>
      </c>
      <c r="AB312" s="5">
        <v>3242160</v>
      </c>
      <c r="AC312" s="1">
        <v>13680</v>
      </c>
      <c r="AD312">
        <v>237</v>
      </c>
      <c r="AE312" s="1">
        <v>3242160</v>
      </c>
      <c r="AF312">
        <v>0</v>
      </c>
      <c r="AJ312">
        <v>0</v>
      </c>
      <c r="AK312">
        <v>0</v>
      </c>
      <c r="AL312">
        <v>0</v>
      </c>
      <c r="AM312" s="1">
        <v>16689.599999999999</v>
      </c>
      <c r="AN312" s="1">
        <v>16689.599999999999</v>
      </c>
      <c r="AO312" s="1">
        <v>16689.599999999999</v>
      </c>
      <c r="AP312" s="2">
        <v>42746</v>
      </c>
      <c r="AQ312" t="s">
        <v>72</v>
      </c>
      <c r="AR312" t="s">
        <v>72</v>
      </c>
      <c r="AS312">
        <v>2923</v>
      </c>
      <c r="AT312" s="4">
        <v>42678</v>
      </c>
      <c r="AU312" t="s">
        <v>73</v>
      </c>
      <c r="AV312">
        <v>2923</v>
      </c>
      <c r="AW312" s="4">
        <v>42678</v>
      </c>
      <c r="BD312">
        <v>0</v>
      </c>
      <c r="BN312" t="s">
        <v>74</v>
      </c>
    </row>
    <row r="313" spans="1:66">
      <c r="A313">
        <v>100066</v>
      </c>
      <c r="B313" s="3" t="s">
        <v>103</v>
      </c>
      <c r="C313" s="1">
        <v>43300101</v>
      </c>
      <c r="D313" t="s">
        <v>67</v>
      </c>
      <c r="H313" t="str">
        <f t="shared" si="22"/>
        <v>04785851009</v>
      </c>
      <c r="I313" t="str">
        <f t="shared" si="23"/>
        <v>12268050155</v>
      </c>
      <c r="K313" t="str">
        <f>""</f>
        <v/>
      </c>
      <c r="M313" t="s">
        <v>68</v>
      </c>
      <c r="N313" t="str">
        <f t="shared" si="19"/>
        <v>FOR</v>
      </c>
      <c r="O313" t="s">
        <v>69</v>
      </c>
      <c r="P313" s="3" t="s">
        <v>75</v>
      </c>
      <c r="Q313">
        <v>2016</v>
      </c>
      <c r="R313" s="2">
        <v>42381</v>
      </c>
      <c r="S313" s="2">
        <v>42389</v>
      </c>
      <c r="T313" s="2">
        <v>42382</v>
      </c>
      <c r="U313" s="2">
        <v>42442</v>
      </c>
      <c r="V313" t="s">
        <v>71</v>
      </c>
      <c r="W313" t="str">
        <f>"          1010922202"</f>
        <v xml:space="preserve">          1010922202</v>
      </c>
      <c r="X313" s="1">
        <v>10831.16</v>
      </c>
      <c r="Y313">
        <v>0</v>
      </c>
      <c r="Z313" s="5">
        <v>8878</v>
      </c>
      <c r="AA313">
        <v>236</v>
      </c>
      <c r="AB313" s="5">
        <v>2095208</v>
      </c>
      <c r="AC313" s="1">
        <v>8878</v>
      </c>
      <c r="AD313">
        <v>236</v>
      </c>
      <c r="AE313" s="1">
        <v>2095208</v>
      </c>
      <c r="AF313">
        <v>0</v>
      </c>
      <c r="AJ313">
        <v>0</v>
      </c>
      <c r="AK313">
        <v>0</v>
      </c>
      <c r="AL313">
        <v>0</v>
      </c>
      <c r="AM313" s="1">
        <v>10831.16</v>
      </c>
      <c r="AN313" s="1">
        <v>10831.16</v>
      </c>
      <c r="AO313" s="1">
        <v>10831.16</v>
      </c>
      <c r="AP313" s="2">
        <v>42746</v>
      </c>
      <c r="AQ313" t="s">
        <v>72</v>
      </c>
      <c r="AR313" t="s">
        <v>72</v>
      </c>
      <c r="AS313">
        <v>2923</v>
      </c>
      <c r="AT313" s="4">
        <v>42678</v>
      </c>
      <c r="AU313" t="s">
        <v>73</v>
      </c>
      <c r="AV313">
        <v>2923</v>
      </c>
      <c r="AW313" s="4">
        <v>42678</v>
      </c>
      <c r="BD313">
        <v>0</v>
      </c>
      <c r="BN313" t="s">
        <v>74</v>
      </c>
    </row>
    <row r="314" spans="1:66">
      <c r="A314">
        <v>100066</v>
      </c>
      <c r="B314" s="3" t="s">
        <v>103</v>
      </c>
      <c r="C314" s="1">
        <v>43300101</v>
      </c>
      <c r="D314" t="s">
        <v>67</v>
      </c>
      <c r="H314" t="str">
        <f t="shared" si="22"/>
        <v>04785851009</v>
      </c>
      <c r="I314" t="str">
        <f t="shared" si="23"/>
        <v>12268050155</v>
      </c>
      <c r="K314" t="str">
        <f>""</f>
        <v/>
      </c>
      <c r="M314" t="s">
        <v>68</v>
      </c>
      <c r="N314" t="str">
        <f t="shared" si="19"/>
        <v>FOR</v>
      </c>
      <c r="O314" t="s">
        <v>69</v>
      </c>
      <c r="P314" s="3" t="s">
        <v>75</v>
      </c>
      <c r="Q314">
        <v>2016</v>
      </c>
      <c r="R314" s="2">
        <v>42381</v>
      </c>
      <c r="S314" s="2">
        <v>42389</v>
      </c>
      <c r="T314" s="2">
        <v>42382</v>
      </c>
      <c r="U314" s="2">
        <v>42442</v>
      </c>
      <c r="V314" t="s">
        <v>71</v>
      </c>
      <c r="W314" t="str">
        <f>"          1010922204"</f>
        <v xml:space="preserve">          1010922204</v>
      </c>
      <c r="X314" s="1">
        <v>17421.599999999999</v>
      </c>
      <c r="Y314">
        <v>0</v>
      </c>
      <c r="Z314" s="5">
        <v>14280</v>
      </c>
      <c r="AA314">
        <v>236</v>
      </c>
      <c r="AB314" s="5">
        <v>3370080</v>
      </c>
      <c r="AC314" s="1">
        <v>14280</v>
      </c>
      <c r="AD314">
        <v>236</v>
      </c>
      <c r="AE314" s="1">
        <v>3370080</v>
      </c>
      <c r="AF314">
        <v>0</v>
      </c>
      <c r="AJ314">
        <v>0</v>
      </c>
      <c r="AK314">
        <v>0</v>
      </c>
      <c r="AL314">
        <v>0</v>
      </c>
      <c r="AM314" s="1">
        <v>17421.599999999999</v>
      </c>
      <c r="AN314" s="1">
        <v>17421.599999999999</v>
      </c>
      <c r="AO314" s="1">
        <v>17421.599999999999</v>
      </c>
      <c r="AP314" s="2">
        <v>42746</v>
      </c>
      <c r="AQ314" t="s">
        <v>72</v>
      </c>
      <c r="AR314" t="s">
        <v>72</v>
      </c>
      <c r="AS314">
        <v>2923</v>
      </c>
      <c r="AT314" s="4">
        <v>42678</v>
      </c>
      <c r="AU314" t="s">
        <v>73</v>
      </c>
      <c r="AV314">
        <v>2923</v>
      </c>
      <c r="AW314" s="4">
        <v>42678</v>
      </c>
      <c r="BD314">
        <v>0</v>
      </c>
      <c r="BN314" t="s">
        <v>74</v>
      </c>
    </row>
    <row r="315" spans="1:66">
      <c r="A315">
        <v>100066</v>
      </c>
      <c r="B315" s="3" t="s">
        <v>103</v>
      </c>
      <c r="C315" s="1">
        <v>43300101</v>
      </c>
      <c r="D315" t="s">
        <v>67</v>
      </c>
      <c r="H315" t="str">
        <f t="shared" si="22"/>
        <v>04785851009</v>
      </c>
      <c r="I315" t="str">
        <f t="shared" si="23"/>
        <v>12268050155</v>
      </c>
      <c r="K315" t="str">
        <f>""</f>
        <v/>
      </c>
      <c r="M315" t="s">
        <v>68</v>
      </c>
      <c r="N315" t="str">
        <f t="shared" si="19"/>
        <v>FOR</v>
      </c>
      <c r="O315" t="s">
        <v>69</v>
      </c>
      <c r="P315" s="3" t="s">
        <v>75</v>
      </c>
      <c r="Q315">
        <v>2016</v>
      </c>
      <c r="R315" s="2">
        <v>42382</v>
      </c>
      <c r="S315" s="2">
        <v>42389</v>
      </c>
      <c r="T315" s="2">
        <v>42383</v>
      </c>
      <c r="U315" s="2">
        <v>42443</v>
      </c>
      <c r="V315" t="s">
        <v>71</v>
      </c>
      <c r="W315" t="str">
        <f>"          1010922436"</f>
        <v xml:space="preserve">          1010922436</v>
      </c>
      <c r="X315">
        <v>488</v>
      </c>
      <c r="Y315">
        <v>0</v>
      </c>
      <c r="Z315" s="3">
        <v>400</v>
      </c>
      <c r="AA315">
        <v>235</v>
      </c>
      <c r="AB315" s="5">
        <v>94000</v>
      </c>
      <c r="AC315">
        <v>400</v>
      </c>
      <c r="AD315">
        <v>235</v>
      </c>
      <c r="AE315" s="1">
        <v>94000</v>
      </c>
      <c r="AF315">
        <v>0</v>
      </c>
      <c r="AJ315">
        <v>0</v>
      </c>
      <c r="AK315">
        <v>0</v>
      </c>
      <c r="AL315">
        <v>0</v>
      </c>
      <c r="AM315">
        <v>488</v>
      </c>
      <c r="AN315">
        <v>488</v>
      </c>
      <c r="AO315">
        <v>488</v>
      </c>
      <c r="AP315" s="2">
        <v>42746</v>
      </c>
      <c r="AQ315" t="s">
        <v>72</v>
      </c>
      <c r="AR315" t="s">
        <v>72</v>
      </c>
      <c r="AS315">
        <v>2923</v>
      </c>
      <c r="AT315" s="4">
        <v>42678</v>
      </c>
      <c r="AU315" t="s">
        <v>73</v>
      </c>
      <c r="AV315">
        <v>2923</v>
      </c>
      <c r="AW315" s="4">
        <v>42678</v>
      </c>
      <c r="BD315">
        <v>0</v>
      </c>
      <c r="BN315" t="s">
        <v>74</v>
      </c>
    </row>
    <row r="316" spans="1:66">
      <c r="A316">
        <v>100066</v>
      </c>
      <c r="B316" s="3" t="s">
        <v>103</v>
      </c>
      <c r="C316" s="1">
        <v>43300101</v>
      </c>
      <c r="D316" t="s">
        <v>67</v>
      </c>
      <c r="H316" t="str">
        <f t="shared" si="22"/>
        <v>04785851009</v>
      </c>
      <c r="I316" t="str">
        <f t="shared" si="23"/>
        <v>12268050155</v>
      </c>
      <c r="K316" t="str">
        <f>""</f>
        <v/>
      </c>
      <c r="M316" t="s">
        <v>68</v>
      </c>
      <c r="N316" t="str">
        <f t="shared" si="19"/>
        <v>FOR</v>
      </c>
      <c r="O316" t="s">
        <v>69</v>
      </c>
      <c r="P316" s="3" t="s">
        <v>75</v>
      </c>
      <c r="Q316">
        <v>2016</v>
      </c>
      <c r="R316" s="2">
        <v>42384</v>
      </c>
      <c r="S316" s="2">
        <v>42389</v>
      </c>
      <c r="T316" s="2">
        <v>42385</v>
      </c>
      <c r="U316" s="2">
        <v>42445</v>
      </c>
      <c r="V316" t="s">
        <v>71</v>
      </c>
      <c r="W316" t="str">
        <f>"          1010922938"</f>
        <v xml:space="preserve">          1010922938</v>
      </c>
      <c r="X316">
        <v>536.79999999999995</v>
      </c>
      <c r="Y316">
        <v>0</v>
      </c>
      <c r="Z316" s="3">
        <v>440</v>
      </c>
      <c r="AA316">
        <v>233</v>
      </c>
      <c r="AB316" s="5">
        <v>102520</v>
      </c>
      <c r="AC316">
        <v>440</v>
      </c>
      <c r="AD316">
        <v>233</v>
      </c>
      <c r="AE316" s="1">
        <v>102520</v>
      </c>
      <c r="AF316">
        <v>0</v>
      </c>
      <c r="AJ316">
        <v>0</v>
      </c>
      <c r="AK316">
        <v>0</v>
      </c>
      <c r="AL316">
        <v>0</v>
      </c>
      <c r="AM316">
        <v>536.79999999999995</v>
      </c>
      <c r="AN316">
        <v>536.79999999999995</v>
      </c>
      <c r="AO316">
        <v>536.79999999999995</v>
      </c>
      <c r="AP316" s="2">
        <v>42746</v>
      </c>
      <c r="AQ316" t="s">
        <v>72</v>
      </c>
      <c r="AR316" t="s">
        <v>72</v>
      </c>
      <c r="AS316">
        <v>2923</v>
      </c>
      <c r="AT316" s="4">
        <v>42678</v>
      </c>
      <c r="AU316" t="s">
        <v>73</v>
      </c>
      <c r="AV316">
        <v>2923</v>
      </c>
      <c r="AW316" s="4">
        <v>42678</v>
      </c>
      <c r="BD316">
        <v>0</v>
      </c>
      <c r="BN316" t="s">
        <v>74</v>
      </c>
    </row>
    <row r="317" spans="1:66">
      <c r="A317">
        <v>100066</v>
      </c>
      <c r="B317" s="3" t="s">
        <v>103</v>
      </c>
      <c r="C317" s="1">
        <v>43300101</v>
      </c>
      <c r="D317" t="s">
        <v>67</v>
      </c>
      <c r="H317" t="str">
        <f t="shared" si="22"/>
        <v>04785851009</v>
      </c>
      <c r="I317" t="str">
        <f t="shared" si="23"/>
        <v>12268050155</v>
      </c>
      <c r="K317" t="str">
        <f>""</f>
        <v/>
      </c>
      <c r="M317" t="s">
        <v>68</v>
      </c>
      <c r="N317" t="str">
        <f t="shared" si="19"/>
        <v>FOR</v>
      </c>
      <c r="O317" t="s">
        <v>69</v>
      </c>
      <c r="P317" s="3" t="s">
        <v>75</v>
      </c>
      <c r="Q317">
        <v>2016</v>
      </c>
      <c r="R317" s="2">
        <v>42388</v>
      </c>
      <c r="S317" s="2">
        <v>42391</v>
      </c>
      <c r="T317" s="2">
        <v>42390</v>
      </c>
      <c r="U317" s="2">
        <v>42450</v>
      </c>
      <c r="V317" t="s">
        <v>71</v>
      </c>
      <c r="W317" t="str">
        <f>"          1010923199"</f>
        <v xml:space="preserve">          1010923199</v>
      </c>
      <c r="X317" s="1">
        <v>1114.5899999999999</v>
      </c>
      <c r="Y317">
        <v>0</v>
      </c>
      <c r="Z317" s="3">
        <v>913.6</v>
      </c>
      <c r="AA317">
        <v>228</v>
      </c>
      <c r="AB317" s="5">
        <v>208300.79999999999</v>
      </c>
      <c r="AC317">
        <v>913.6</v>
      </c>
      <c r="AD317">
        <v>228</v>
      </c>
      <c r="AE317" s="1">
        <v>208300.79999999999</v>
      </c>
      <c r="AF317">
        <v>0</v>
      </c>
      <c r="AJ317">
        <v>0</v>
      </c>
      <c r="AK317">
        <v>0</v>
      </c>
      <c r="AL317">
        <v>0</v>
      </c>
      <c r="AM317" s="1">
        <v>1114.5899999999999</v>
      </c>
      <c r="AN317" s="1">
        <v>1114.5899999999999</v>
      </c>
      <c r="AO317" s="1">
        <v>1114.5899999999999</v>
      </c>
      <c r="AP317" s="2">
        <v>42746</v>
      </c>
      <c r="AQ317" t="s">
        <v>72</v>
      </c>
      <c r="AR317" t="s">
        <v>72</v>
      </c>
      <c r="AS317">
        <v>2923</v>
      </c>
      <c r="AT317" s="4">
        <v>42678</v>
      </c>
      <c r="AU317" t="s">
        <v>73</v>
      </c>
      <c r="AV317">
        <v>2923</v>
      </c>
      <c r="AW317" s="4">
        <v>42678</v>
      </c>
      <c r="BD317">
        <v>0</v>
      </c>
      <c r="BN317" t="s">
        <v>74</v>
      </c>
    </row>
    <row r="318" spans="1:66">
      <c r="A318">
        <v>100066</v>
      </c>
      <c r="B318" s="3" t="s">
        <v>103</v>
      </c>
      <c r="C318" s="1">
        <v>43300101</v>
      </c>
      <c r="D318" t="s">
        <v>67</v>
      </c>
      <c r="H318" t="str">
        <f t="shared" si="22"/>
        <v>04785851009</v>
      </c>
      <c r="I318" t="str">
        <f t="shared" si="23"/>
        <v>12268050155</v>
      </c>
      <c r="K318" t="str">
        <f>""</f>
        <v/>
      </c>
      <c r="M318" t="s">
        <v>68</v>
      </c>
      <c r="N318" t="str">
        <f t="shared" si="19"/>
        <v>FOR</v>
      </c>
      <c r="O318" t="s">
        <v>69</v>
      </c>
      <c r="P318" s="3" t="s">
        <v>75</v>
      </c>
      <c r="Q318">
        <v>2016</v>
      </c>
      <c r="R318" s="2">
        <v>42388</v>
      </c>
      <c r="S318" s="2">
        <v>42391</v>
      </c>
      <c r="T318" s="2">
        <v>42390</v>
      </c>
      <c r="U318" s="2">
        <v>42450</v>
      </c>
      <c r="V318" t="s">
        <v>71</v>
      </c>
      <c r="W318" t="str">
        <f>"          1010923571"</f>
        <v xml:space="preserve">          1010923571</v>
      </c>
      <c r="X318" s="1">
        <v>8296</v>
      </c>
      <c r="Y318">
        <v>0</v>
      </c>
      <c r="Z318" s="5">
        <v>6800</v>
      </c>
      <c r="AA318">
        <v>228</v>
      </c>
      <c r="AB318" s="5">
        <v>1550400</v>
      </c>
      <c r="AC318" s="1">
        <v>6800</v>
      </c>
      <c r="AD318">
        <v>228</v>
      </c>
      <c r="AE318" s="1">
        <v>1550400</v>
      </c>
      <c r="AF318">
        <v>0</v>
      </c>
      <c r="AJ318">
        <v>0</v>
      </c>
      <c r="AK318">
        <v>0</v>
      </c>
      <c r="AL318">
        <v>0</v>
      </c>
      <c r="AM318" s="1">
        <v>8296</v>
      </c>
      <c r="AN318" s="1">
        <v>8296</v>
      </c>
      <c r="AO318" s="1">
        <v>8296</v>
      </c>
      <c r="AP318" s="2">
        <v>42746</v>
      </c>
      <c r="AQ318" t="s">
        <v>72</v>
      </c>
      <c r="AR318" t="s">
        <v>72</v>
      </c>
      <c r="AS318">
        <v>2923</v>
      </c>
      <c r="AT318" s="4">
        <v>42678</v>
      </c>
      <c r="AU318" t="s">
        <v>73</v>
      </c>
      <c r="AV318">
        <v>2923</v>
      </c>
      <c r="AW318" s="4">
        <v>42678</v>
      </c>
      <c r="BD318">
        <v>0</v>
      </c>
      <c r="BN318" t="s">
        <v>74</v>
      </c>
    </row>
    <row r="319" spans="1:66">
      <c r="A319">
        <v>100066</v>
      </c>
      <c r="B319" s="3" t="s">
        <v>103</v>
      </c>
      <c r="C319" s="1">
        <v>43300101</v>
      </c>
      <c r="D319" t="s">
        <v>67</v>
      </c>
      <c r="H319" t="str">
        <f t="shared" si="22"/>
        <v>04785851009</v>
      </c>
      <c r="I319" t="str">
        <f t="shared" si="23"/>
        <v>12268050155</v>
      </c>
      <c r="K319" t="str">
        <f>""</f>
        <v/>
      </c>
      <c r="M319" t="s">
        <v>68</v>
      </c>
      <c r="N319" t="str">
        <f t="shared" si="19"/>
        <v>FOR</v>
      </c>
      <c r="O319" t="s">
        <v>69</v>
      </c>
      <c r="P319" s="3" t="s">
        <v>75</v>
      </c>
      <c r="Q319">
        <v>2016</v>
      </c>
      <c r="R319" s="2">
        <v>42388</v>
      </c>
      <c r="S319" s="2">
        <v>42391</v>
      </c>
      <c r="T319" s="2">
        <v>42390</v>
      </c>
      <c r="U319" s="2">
        <v>42450</v>
      </c>
      <c r="V319" t="s">
        <v>71</v>
      </c>
      <c r="W319" t="str">
        <f>"          1010923572"</f>
        <v xml:space="preserve">          1010923572</v>
      </c>
      <c r="X319" s="1">
        <v>1692.87</v>
      </c>
      <c r="Y319">
        <v>0</v>
      </c>
      <c r="Z319" s="5">
        <v>1387.6</v>
      </c>
      <c r="AA319">
        <v>228</v>
      </c>
      <c r="AB319" s="5">
        <v>316372.8</v>
      </c>
      <c r="AC319" s="1">
        <v>1387.6</v>
      </c>
      <c r="AD319">
        <v>228</v>
      </c>
      <c r="AE319" s="1">
        <v>316372.8</v>
      </c>
      <c r="AF319">
        <v>0</v>
      </c>
      <c r="AJ319">
        <v>0</v>
      </c>
      <c r="AK319">
        <v>0</v>
      </c>
      <c r="AL319">
        <v>0</v>
      </c>
      <c r="AM319" s="1">
        <v>1692.87</v>
      </c>
      <c r="AN319" s="1">
        <v>1692.87</v>
      </c>
      <c r="AO319" s="1">
        <v>1692.87</v>
      </c>
      <c r="AP319" s="2">
        <v>42746</v>
      </c>
      <c r="AQ319" t="s">
        <v>72</v>
      </c>
      <c r="AR319" t="s">
        <v>72</v>
      </c>
      <c r="AS319">
        <v>2923</v>
      </c>
      <c r="AT319" s="4">
        <v>42678</v>
      </c>
      <c r="AU319" t="s">
        <v>73</v>
      </c>
      <c r="AV319">
        <v>2923</v>
      </c>
      <c r="AW319" s="4">
        <v>42678</v>
      </c>
      <c r="BD319">
        <v>0</v>
      </c>
      <c r="BN319" t="s">
        <v>74</v>
      </c>
    </row>
    <row r="320" spans="1:66">
      <c r="A320">
        <v>100066</v>
      </c>
      <c r="B320" s="3" t="s">
        <v>103</v>
      </c>
      <c r="C320" s="1">
        <v>43300101</v>
      </c>
      <c r="D320" t="s">
        <v>67</v>
      </c>
      <c r="H320" t="str">
        <f t="shared" si="22"/>
        <v>04785851009</v>
      </c>
      <c r="I320" t="str">
        <f t="shared" si="23"/>
        <v>12268050155</v>
      </c>
      <c r="K320" t="str">
        <f>""</f>
        <v/>
      </c>
      <c r="M320" t="s">
        <v>68</v>
      </c>
      <c r="N320" t="str">
        <f t="shared" si="19"/>
        <v>FOR</v>
      </c>
      <c r="O320" t="s">
        <v>69</v>
      </c>
      <c r="P320" s="3" t="s">
        <v>75</v>
      </c>
      <c r="Q320">
        <v>2016</v>
      </c>
      <c r="R320" s="2">
        <v>42389</v>
      </c>
      <c r="S320" s="2">
        <v>42395</v>
      </c>
      <c r="T320" s="2">
        <v>42390</v>
      </c>
      <c r="U320" s="2">
        <v>42450</v>
      </c>
      <c r="V320" t="s">
        <v>71</v>
      </c>
      <c r="W320" t="str">
        <f>"          1010923967"</f>
        <v xml:space="preserve">          1010923967</v>
      </c>
      <c r="X320" s="1">
        <v>2229.1799999999998</v>
      </c>
      <c r="Y320">
        <v>0</v>
      </c>
      <c r="Z320" s="5">
        <v>1827.2</v>
      </c>
      <c r="AA320">
        <v>228</v>
      </c>
      <c r="AB320" s="5">
        <v>416601.59999999998</v>
      </c>
      <c r="AC320" s="1">
        <v>1827.2</v>
      </c>
      <c r="AD320">
        <v>228</v>
      </c>
      <c r="AE320" s="1">
        <v>416601.59999999998</v>
      </c>
      <c r="AF320">
        <v>0</v>
      </c>
      <c r="AJ320">
        <v>0</v>
      </c>
      <c r="AK320">
        <v>0</v>
      </c>
      <c r="AL320">
        <v>0</v>
      </c>
      <c r="AM320" s="1">
        <v>2229.1799999999998</v>
      </c>
      <c r="AN320" s="1">
        <v>2229.1799999999998</v>
      </c>
      <c r="AO320" s="1">
        <v>2229.1799999999998</v>
      </c>
      <c r="AP320" s="2">
        <v>42746</v>
      </c>
      <c r="AQ320" t="s">
        <v>72</v>
      </c>
      <c r="AR320" t="s">
        <v>72</v>
      </c>
      <c r="AS320">
        <v>2923</v>
      </c>
      <c r="AT320" s="4">
        <v>42678</v>
      </c>
      <c r="AU320" t="s">
        <v>73</v>
      </c>
      <c r="AV320">
        <v>2923</v>
      </c>
      <c r="AW320" s="4">
        <v>42678</v>
      </c>
      <c r="BD320">
        <v>0</v>
      </c>
      <c r="BN320" t="s">
        <v>74</v>
      </c>
    </row>
    <row r="321" spans="1:66">
      <c r="A321">
        <v>100066</v>
      </c>
      <c r="B321" s="3" t="s">
        <v>103</v>
      </c>
      <c r="C321" s="1">
        <v>43300101</v>
      </c>
      <c r="D321" t="s">
        <v>67</v>
      </c>
      <c r="H321" t="str">
        <f t="shared" si="22"/>
        <v>04785851009</v>
      </c>
      <c r="I321" t="str">
        <f t="shared" si="23"/>
        <v>12268050155</v>
      </c>
      <c r="K321" t="str">
        <f>""</f>
        <v/>
      </c>
      <c r="M321" t="s">
        <v>68</v>
      </c>
      <c r="N321" t="str">
        <f t="shared" si="19"/>
        <v>FOR</v>
      </c>
      <c r="O321" t="s">
        <v>69</v>
      </c>
      <c r="P321" s="3" t="s">
        <v>75</v>
      </c>
      <c r="Q321">
        <v>2016</v>
      </c>
      <c r="R321" s="2">
        <v>42389</v>
      </c>
      <c r="S321" s="2">
        <v>42395</v>
      </c>
      <c r="T321" s="2">
        <v>42390</v>
      </c>
      <c r="U321" s="2">
        <v>42450</v>
      </c>
      <c r="V321" t="s">
        <v>71</v>
      </c>
      <c r="W321" t="str">
        <f>"          1010923968"</f>
        <v xml:space="preserve">          1010923968</v>
      </c>
      <c r="X321" s="1">
        <v>1114.5899999999999</v>
      </c>
      <c r="Y321">
        <v>0</v>
      </c>
      <c r="Z321" s="3">
        <v>913.6</v>
      </c>
      <c r="AA321">
        <v>228</v>
      </c>
      <c r="AB321" s="5">
        <v>208300.79999999999</v>
      </c>
      <c r="AC321">
        <v>913.6</v>
      </c>
      <c r="AD321">
        <v>228</v>
      </c>
      <c r="AE321" s="1">
        <v>208300.79999999999</v>
      </c>
      <c r="AF321">
        <v>0</v>
      </c>
      <c r="AJ321">
        <v>0</v>
      </c>
      <c r="AK321">
        <v>0</v>
      </c>
      <c r="AL321">
        <v>0</v>
      </c>
      <c r="AM321" s="1">
        <v>1114.5899999999999</v>
      </c>
      <c r="AN321" s="1">
        <v>1114.5899999999999</v>
      </c>
      <c r="AO321" s="1">
        <v>1114.5899999999999</v>
      </c>
      <c r="AP321" s="2">
        <v>42746</v>
      </c>
      <c r="AQ321" t="s">
        <v>72</v>
      </c>
      <c r="AR321" t="s">
        <v>72</v>
      </c>
      <c r="AS321">
        <v>2923</v>
      </c>
      <c r="AT321" s="4">
        <v>42678</v>
      </c>
      <c r="AU321" t="s">
        <v>73</v>
      </c>
      <c r="AV321">
        <v>2923</v>
      </c>
      <c r="AW321" s="4">
        <v>42678</v>
      </c>
      <c r="BD321">
        <v>0</v>
      </c>
      <c r="BN321" t="s">
        <v>74</v>
      </c>
    </row>
    <row r="322" spans="1:66">
      <c r="A322">
        <v>100066</v>
      </c>
      <c r="B322" s="3" t="s">
        <v>103</v>
      </c>
      <c r="C322" s="1">
        <v>43300101</v>
      </c>
      <c r="D322" t="s">
        <v>67</v>
      </c>
      <c r="H322" t="str">
        <f t="shared" si="22"/>
        <v>04785851009</v>
      </c>
      <c r="I322" t="str">
        <f t="shared" si="23"/>
        <v>12268050155</v>
      </c>
      <c r="K322" t="str">
        <f>""</f>
        <v/>
      </c>
      <c r="M322" t="s">
        <v>68</v>
      </c>
      <c r="N322" t="str">
        <f t="shared" si="19"/>
        <v>FOR</v>
      </c>
      <c r="O322" t="s">
        <v>69</v>
      </c>
      <c r="P322" s="3" t="s">
        <v>75</v>
      </c>
      <c r="Q322">
        <v>2016</v>
      </c>
      <c r="R322" s="2">
        <v>42391</v>
      </c>
      <c r="S322" s="2">
        <v>42395</v>
      </c>
      <c r="T322" s="2">
        <v>42392</v>
      </c>
      <c r="U322" s="2">
        <v>42452</v>
      </c>
      <c r="V322" t="s">
        <v>71</v>
      </c>
      <c r="W322" t="str">
        <f>"          1010924605"</f>
        <v xml:space="preserve">          1010924605</v>
      </c>
      <c r="X322">
        <v>578.28</v>
      </c>
      <c r="Y322">
        <v>0</v>
      </c>
      <c r="Z322" s="3">
        <v>474</v>
      </c>
      <c r="AA322">
        <v>226</v>
      </c>
      <c r="AB322" s="5">
        <v>107124</v>
      </c>
      <c r="AC322">
        <v>474</v>
      </c>
      <c r="AD322">
        <v>226</v>
      </c>
      <c r="AE322" s="1">
        <v>107124</v>
      </c>
      <c r="AF322">
        <v>0</v>
      </c>
      <c r="AJ322">
        <v>0</v>
      </c>
      <c r="AK322">
        <v>0</v>
      </c>
      <c r="AL322">
        <v>0</v>
      </c>
      <c r="AM322">
        <v>578.28</v>
      </c>
      <c r="AN322">
        <v>578.28</v>
      </c>
      <c r="AO322">
        <v>578.28</v>
      </c>
      <c r="AP322" s="2">
        <v>42746</v>
      </c>
      <c r="AQ322" t="s">
        <v>72</v>
      </c>
      <c r="AR322" t="s">
        <v>72</v>
      </c>
      <c r="AS322">
        <v>2923</v>
      </c>
      <c r="AT322" s="4">
        <v>42678</v>
      </c>
      <c r="AU322" t="s">
        <v>73</v>
      </c>
      <c r="AV322">
        <v>2923</v>
      </c>
      <c r="AW322" s="4">
        <v>42678</v>
      </c>
      <c r="BD322">
        <v>0</v>
      </c>
      <c r="BN322" t="s">
        <v>74</v>
      </c>
    </row>
    <row r="323" spans="1:66">
      <c r="A323">
        <v>100066</v>
      </c>
      <c r="B323" s="3" t="s">
        <v>103</v>
      </c>
      <c r="C323" s="1">
        <v>43300101</v>
      </c>
      <c r="D323" t="s">
        <v>67</v>
      </c>
      <c r="H323" t="str">
        <f t="shared" si="22"/>
        <v>04785851009</v>
      </c>
      <c r="I323" t="str">
        <f t="shared" si="23"/>
        <v>12268050155</v>
      </c>
      <c r="K323" t="str">
        <f>""</f>
        <v/>
      </c>
      <c r="M323" t="s">
        <v>68</v>
      </c>
      <c r="N323" t="str">
        <f t="shared" ref="N323:N386" si="24">"FOR"</f>
        <v>FOR</v>
      </c>
      <c r="O323" t="s">
        <v>69</v>
      </c>
      <c r="P323" s="3" t="s">
        <v>75</v>
      </c>
      <c r="Q323">
        <v>2016</v>
      </c>
      <c r="R323" s="2">
        <v>42394</v>
      </c>
      <c r="S323" s="2">
        <v>42396</v>
      </c>
      <c r="T323" s="2">
        <v>42395</v>
      </c>
      <c r="U323" s="2">
        <v>42455</v>
      </c>
      <c r="V323" t="s">
        <v>71</v>
      </c>
      <c r="W323" t="str">
        <f>"          1010924839"</f>
        <v xml:space="preserve">          1010924839</v>
      </c>
      <c r="X323" s="1">
        <v>2421.94</v>
      </c>
      <c r="Y323">
        <v>0</v>
      </c>
      <c r="Z323" s="5">
        <v>1985.2</v>
      </c>
      <c r="AA323">
        <v>223</v>
      </c>
      <c r="AB323" s="5">
        <v>442699.6</v>
      </c>
      <c r="AC323" s="1">
        <v>1985.2</v>
      </c>
      <c r="AD323">
        <v>223</v>
      </c>
      <c r="AE323" s="1">
        <v>442699.6</v>
      </c>
      <c r="AF323">
        <v>0</v>
      </c>
      <c r="AJ323">
        <v>0</v>
      </c>
      <c r="AK323">
        <v>0</v>
      </c>
      <c r="AL323">
        <v>0</v>
      </c>
      <c r="AM323" s="1">
        <v>2421.94</v>
      </c>
      <c r="AN323" s="1">
        <v>2421.94</v>
      </c>
      <c r="AO323" s="1">
        <v>2421.94</v>
      </c>
      <c r="AP323" s="2">
        <v>42746</v>
      </c>
      <c r="AQ323" t="s">
        <v>72</v>
      </c>
      <c r="AR323" t="s">
        <v>72</v>
      </c>
      <c r="AS323">
        <v>2923</v>
      </c>
      <c r="AT323" s="4">
        <v>42678</v>
      </c>
      <c r="AU323" t="s">
        <v>73</v>
      </c>
      <c r="AV323">
        <v>2923</v>
      </c>
      <c r="AW323" s="4">
        <v>42678</v>
      </c>
      <c r="BD323">
        <v>0</v>
      </c>
      <c r="BN323" t="s">
        <v>74</v>
      </c>
    </row>
    <row r="324" spans="1:66">
      <c r="A324">
        <v>100066</v>
      </c>
      <c r="B324" s="3" t="s">
        <v>103</v>
      </c>
      <c r="C324" s="1">
        <v>43300101</v>
      </c>
      <c r="D324" t="s">
        <v>67</v>
      </c>
      <c r="H324" t="str">
        <f t="shared" si="22"/>
        <v>04785851009</v>
      </c>
      <c r="I324" t="str">
        <f t="shared" si="23"/>
        <v>12268050155</v>
      </c>
      <c r="K324" t="str">
        <f>""</f>
        <v/>
      </c>
      <c r="M324" t="s">
        <v>68</v>
      </c>
      <c r="N324" t="str">
        <f t="shared" si="24"/>
        <v>FOR</v>
      </c>
      <c r="O324" t="s">
        <v>69</v>
      </c>
      <c r="P324" s="3" t="s">
        <v>75</v>
      </c>
      <c r="Q324">
        <v>2016</v>
      </c>
      <c r="R324" s="2">
        <v>42396</v>
      </c>
      <c r="S324" s="2">
        <v>42424</v>
      </c>
      <c r="T324" s="2">
        <v>42397</v>
      </c>
      <c r="U324" s="2">
        <v>42457</v>
      </c>
      <c r="V324" t="s">
        <v>71</v>
      </c>
      <c r="W324" t="str">
        <f>"          1010925458"</f>
        <v xml:space="preserve">          1010925458</v>
      </c>
      <c r="X324" s="1">
        <v>3343.78</v>
      </c>
      <c r="Y324">
        <v>0</v>
      </c>
      <c r="Z324" s="5">
        <v>2740.8</v>
      </c>
      <c r="AA324">
        <v>221</v>
      </c>
      <c r="AB324" s="5">
        <v>605716.80000000005</v>
      </c>
      <c r="AC324" s="1">
        <v>2740.8</v>
      </c>
      <c r="AD324">
        <v>221</v>
      </c>
      <c r="AE324" s="1">
        <v>605716.80000000005</v>
      </c>
      <c r="AF324">
        <v>0</v>
      </c>
      <c r="AJ324">
        <v>0</v>
      </c>
      <c r="AK324">
        <v>0</v>
      </c>
      <c r="AL324">
        <v>0</v>
      </c>
      <c r="AM324" s="1">
        <v>3343.78</v>
      </c>
      <c r="AN324" s="1">
        <v>3343.78</v>
      </c>
      <c r="AO324" s="1">
        <v>3343.78</v>
      </c>
      <c r="AP324" s="2">
        <v>42746</v>
      </c>
      <c r="AQ324" t="s">
        <v>72</v>
      </c>
      <c r="AR324" t="s">
        <v>72</v>
      </c>
      <c r="AS324">
        <v>2923</v>
      </c>
      <c r="AT324" s="4">
        <v>42678</v>
      </c>
      <c r="AU324" t="s">
        <v>73</v>
      </c>
      <c r="AV324">
        <v>2923</v>
      </c>
      <c r="AW324" s="4">
        <v>42678</v>
      </c>
      <c r="BD324">
        <v>0</v>
      </c>
      <c r="BN324" t="s">
        <v>74</v>
      </c>
    </row>
    <row r="325" spans="1:66">
      <c r="A325">
        <v>100066</v>
      </c>
      <c r="B325" s="3" t="s">
        <v>103</v>
      </c>
      <c r="C325" s="1">
        <v>43300101</v>
      </c>
      <c r="D325" t="s">
        <v>67</v>
      </c>
      <c r="H325" t="str">
        <f t="shared" si="22"/>
        <v>04785851009</v>
      </c>
      <c r="I325" t="str">
        <f t="shared" si="23"/>
        <v>12268050155</v>
      </c>
      <c r="K325" t="str">
        <f>""</f>
        <v/>
      </c>
      <c r="M325" t="s">
        <v>68</v>
      </c>
      <c r="N325" t="str">
        <f t="shared" si="24"/>
        <v>FOR</v>
      </c>
      <c r="O325" t="s">
        <v>69</v>
      </c>
      <c r="P325" s="3" t="s">
        <v>75</v>
      </c>
      <c r="Q325">
        <v>2016</v>
      </c>
      <c r="R325" s="2">
        <v>42396</v>
      </c>
      <c r="S325" s="2">
        <v>42410</v>
      </c>
      <c r="T325" s="2">
        <v>42397</v>
      </c>
      <c r="U325" s="2">
        <v>42457</v>
      </c>
      <c r="V325" t="s">
        <v>71</v>
      </c>
      <c r="W325" t="str">
        <f>"          1010925459"</f>
        <v xml:space="preserve">          1010925459</v>
      </c>
      <c r="X325" s="1">
        <v>2229.1799999999998</v>
      </c>
      <c r="Y325">
        <v>0</v>
      </c>
      <c r="Z325" s="5">
        <v>1827.2</v>
      </c>
      <c r="AA325">
        <v>221</v>
      </c>
      <c r="AB325" s="5">
        <v>403811.2</v>
      </c>
      <c r="AC325" s="1">
        <v>1827.2</v>
      </c>
      <c r="AD325">
        <v>221</v>
      </c>
      <c r="AE325" s="1">
        <v>403811.2</v>
      </c>
      <c r="AF325">
        <v>0</v>
      </c>
      <c r="AJ325">
        <v>0</v>
      </c>
      <c r="AK325">
        <v>0</v>
      </c>
      <c r="AL325">
        <v>0</v>
      </c>
      <c r="AM325" s="1">
        <v>2229.1799999999998</v>
      </c>
      <c r="AN325" s="1">
        <v>2229.1799999999998</v>
      </c>
      <c r="AO325" s="1">
        <v>2229.1799999999998</v>
      </c>
      <c r="AP325" s="2">
        <v>42746</v>
      </c>
      <c r="AQ325" t="s">
        <v>72</v>
      </c>
      <c r="AR325" t="s">
        <v>72</v>
      </c>
      <c r="AS325">
        <v>2923</v>
      </c>
      <c r="AT325" s="4">
        <v>42678</v>
      </c>
      <c r="AU325" t="s">
        <v>73</v>
      </c>
      <c r="AV325">
        <v>2923</v>
      </c>
      <c r="AW325" s="4">
        <v>42678</v>
      </c>
      <c r="BD325">
        <v>0</v>
      </c>
      <c r="BN325" t="s">
        <v>74</v>
      </c>
    </row>
    <row r="326" spans="1:66">
      <c r="A326">
        <v>100066</v>
      </c>
      <c r="B326" s="3" t="s">
        <v>103</v>
      </c>
      <c r="C326" s="1">
        <v>43300101</v>
      </c>
      <c r="D326" t="s">
        <v>67</v>
      </c>
      <c r="H326" t="str">
        <f t="shared" si="22"/>
        <v>04785851009</v>
      </c>
      <c r="I326" t="str">
        <f t="shared" si="23"/>
        <v>12268050155</v>
      </c>
      <c r="K326" t="str">
        <f>""</f>
        <v/>
      </c>
      <c r="M326" t="s">
        <v>68</v>
      </c>
      <c r="N326" t="str">
        <f t="shared" si="24"/>
        <v>FOR</v>
      </c>
      <c r="O326" t="s">
        <v>69</v>
      </c>
      <c r="P326" s="3" t="s">
        <v>75</v>
      </c>
      <c r="Q326">
        <v>2016</v>
      </c>
      <c r="R326" s="2">
        <v>42397</v>
      </c>
      <c r="S326" s="2">
        <v>42401</v>
      </c>
      <c r="T326" s="2">
        <v>42398</v>
      </c>
      <c r="U326" s="2">
        <v>42458</v>
      </c>
      <c r="V326" t="s">
        <v>71</v>
      </c>
      <c r="W326" t="str">
        <f>"          1010925740"</f>
        <v xml:space="preserve">          1010925740</v>
      </c>
      <c r="X326">
        <v>512.4</v>
      </c>
      <c r="Y326">
        <v>0</v>
      </c>
      <c r="Z326" s="3">
        <v>420</v>
      </c>
      <c r="AA326">
        <v>220</v>
      </c>
      <c r="AB326" s="5">
        <v>92400</v>
      </c>
      <c r="AC326">
        <v>420</v>
      </c>
      <c r="AD326">
        <v>220</v>
      </c>
      <c r="AE326" s="1">
        <v>92400</v>
      </c>
      <c r="AF326">
        <v>0</v>
      </c>
      <c r="AJ326">
        <v>0</v>
      </c>
      <c r="AK326">
        <v>0</v>
      </c>
      <c r="AL326">
        <v>0</v>
      </c>
      <c r="AM326">
        <v>512.4</v>
      </c>
      <c r="AN326">
        <v>512.4</v>
      </c>
      <c r="AO326">
        <v>512.4</v>
      </c>
      <c r="AP326" s="2">
        <v>42746</v>
      </c>
      <c r="AQ326" t="s">
        <v>72</v>
      </c>
      <c r="AR326" t="s">
        <v>72</v>
      </c>
      <c r="AS326">
        <v>2923</v>
      </c>
      <c r="AT326" s="4">
        <v>42678</v>
      </c>
      <c r="AU326" t="s">
        <v>73</v>
      </c>
      <c r="AV326">
        <v>2923</v>
      </c>
      <c r="AW326" s="4">
        <v>42678</v>
      </c>
      <c r="BD326">
        <v>0</v>
      </c>
      <c r="BN326" t="s">
        <v>74</v>
      </c>
    </row>
    <row r="327" spans="1:66">
      <c r="A327">
        <v>100066</v>
      </c>
      <c r="B327" s="3" t="s">
        <v>103</v>
      </c>
      <c r="C327" s="1">
        <v>43300101</v>
      </c>
      <c r="D327" t="s">
        <v>67</v>
      </c>
      <c r="H327" t="str">
        <f t="shared" si="22"/>
        <v>04785851009</v>
      </c>
      <c r="I327" t="str">
        <f t="shared" si="23"/>
        <v>12268050155</v>
      </c>
      <c r="K327" t="str">
        <f>""</f>
        <v/>
      </c>
      <c r="M327" t="s">
        <v>68</v>
      </c>
      <c r="N327" t="str">
        <f t="shared" si="24"/>
        <v>FOR</v>
      </c>
      <c r="O327" t="s">
        <v>69</v>
      </c>
      <c r="P327" s="3" t="s">
        <v>75</v>
      </c>
      <c r="Q327">
        <v>2016</v>
      </c>
      <c r="R327" s="2">
        <v>42397</v>
      </c>
      <c r="S327" s="2">
        <v>42401</v>
      </c>
      <c r="T327" s="2">
        <v>42398</v>
      </c>
      <c r="U327" s="2">
        <v>42458</v>
      </c>
      <c r="V327" t="s">
        <v>71</v>
      </c>
      <c r="W327" t="str">
        <f>"          1010925741"</f>
        <v xml:space="preserve">          1010925741</v>
      </c>
      <c r="X327">
        <v>512.4</v>
      </c>
      <c r="Y327">
        <v>0</v>
      </c>
      <c r="Z327" s="3">
        <v>420</v>
      </c>
      <c r="AA327">
        <v>220</v>
      </c>
      <c r="AB327" s="5">
        <v>92400</v>
      </c>
      <c r="AC327">
        <v>420</v>
      </c>
      <c r="AD327">
        <v>220</v>
      </c>
      <c r="AE327" s="1">
        <v>92400</v>
      </c>
      <c r="AF327">
        <v>0</v>
      </c>
      <c r="AJ327">
        <v>0</v>
      </c>
      <c r="AK327">
        <v>0</v>
      </c>
      <c r="AL327">
        <v>0</v>
      </c>
      <c r="AM327">
        <v>512.4</v>
      </c>
      <c r="AN327">
        <v>512.4</v>
      </c>
      <c r="AO327">
        <v>512.4</v>
      </c>
      <c r="AP327" s="2">
        <v>42746</v>
      </c>
      <c r="AQ327" t="s">
        <v>72</v>
      </c>
      <c r="AR327" t="s">
        <v>72</v>
      </c>
      <c r="AS327">
        <v>2923</v>
      </c>
      <c r="AT327" s="4">
        <v>42678</v>
      </c>
      <c r="AU327" t="s">
        <v>73</v>
      </c>
      <c r="AV327">
        <v>2923</v>
      </c>
      <c r="AW327" s="4">
        <v>42678</v>
      </c>
      <c r="BD327">
        <v>0</v>
      </c>
      <c r="BN327" t="s">
        <v>74</v>
      </c>
    </row>
    <row r="328" spans="1:66">
      <c r="A328">
        <v>100066</v>
      </c>
      <c r="B328" s="3" t="s">
        <v>103</v>
      </c>
      <c r="C328" s="1">
        <v>43300101</v>
      </c>
      <c r="D328" t="s">
        <v>67</v>
      </c>
      <c r="H328" t="str">
        <f t="shared" si="22"/>
        <v>04785851009</v>
      </c>
      <c r="I328" t="str">
        <f t="shared" si="23"/>
        <v>12268050155</v>
      </c>
      <c r="K328" t="str">
        <f>""</f>
        <v/>
      </c>
      <c r="M328" t="s">
        <v>68</v>
      </c>
      <c r="N328" t="str">
        <f t="shared" si="24"/>
        <v>FOR</v>
      </c>
      <c r="O328" t="s">
        <v>69</v>
      </c>
      <c r="P328" s="3" t="s">
        <v>75</v>
      </c>
      <c r="Q328">
        <v>2016</v>
      </c>
      <c r="R328" s="2">
        <v>42397</v>
      </c>
      <c r="S328" s="2">
        <v>42401</v>
      </c>
      <c r="T328" s="2">
        <v>42398</v>
      </c>
      <c r="U328" s="2">
        <v>42458</v>
      </c>
      <c r="V328" t="s">
        <v>71</v>
      </c>
      <c r="W328" t="str">
        <f>"          1010925742"</f>
        <v xml:space="preserve">          1010925742</v>
      </c>
      <c r="X328">
        <v>192.76</v>
      </c>
      <c r="Y328">
        <v>0</v>
      </c>
      <c r="Z328" s="3">
        <v>158</v>
      </c>
      <c r="AA328">
        <v>220</v>
      </c>
      <c r="AB328" s="5">
        <v>34760</v>
      </c>
      <c r="AC328">
        <v>158</v>
      </c>
      <c r="AD328">
        <v>220</v>
      </c>
      <c r="AE328" s="1">
        <v>34760</v>
      </c>
      <c r="AF328">
        <v>0</v>
      </c>
      <c r="AJ328">
        <v>0</v>
      </c>
      <c r="AK328">
        <v>0</v>
      </c>
      <c r="AL328">
        <v>0</v>
      </c>
      <c r="AM328">
        <v>192.76</v>
      </c>
      <c r="AN328">
        <v>192.76</v>
      </c>
      <c r="AO328">
        <v>192.76</v>
      </c>
      <c r="AP328" s="2">
        <v>42746</v>
      </c>
      <c r="AQ328" t="s">
        <v>72</v>
      </c>
      <c r="AR328" t="s">
        <v>72</v>
      </c>
      <c r="AS328">
        <v>2923</v>
      </c>
      <c r="AT328" s="4">
        <v>42678</v>
      </c>
      <c r="AU328" t="s">
        <v>73</v>
      </c>
      <c r="AV328">
        <v>2923</v>
      </c>
      <c r="AW328" s="4">
        <v>42678</v>
      </c>
      <c r="BD328">
        <v>0</v>
      </c>
      <c r="BN328" t="s">
        <v>74</v>
      </c>
    </row>
    <row r="329" spans="1:66">
      <c r="A329">
        <v>100066</v>
      </c>
      <c r="B329" s="3" t="s">
        <v>103</v>
      </c>
      <c r="C329" s="1">
        <v>43300101</v>
      </c>
      <c r="D329" t="s">
        <v>67</v>
      </c>
      <c r="H329" t="str">
        <f t="shared" ref="H329:H362" si="25">"04785851009"</f>
        <v>04785851009</v>
      </c>
      <c r="I329" t="str">
        <f t="shared" ref="I329:I362" si="26">"12268050155"</f>
        <v>12268050155</v>
      </c>
      <c r="K329" t="str">
        <f>""</f>
        <v/>
      </c>
      <c r="M329" t="s">
        <v>68</v>
      </c>
      <c r="N329" t="str">
        <f t="shared" si="24"/>
        <v>FOR</v>
      </c>
      <c r="O329" t="s">
        <v>69</v>
      </c>
      <c r="P329" s="3" t="s">
        <v>75</v>
      </c>
      <c r="Q329">
        <v>2016</v>
      </c>
      <c r="R329" s="2">
        <v>42398</v>
      </c>
      <c r="S329" s="2">
        <v>42399</v>
      </c>
      <c r="T329" s="2">
        <v>42399</v>
      </c>
      <c r="U329" s="2">
        <v>42459</v>
      </c>
      <c r="V329" t="s">
        <v>71</v>
      </c>
      <c r="W329" t="str">
        <f>"          1010926409"</f>
        <v xml:space="preserve">          1010926409</v>
      </c>
      <c r="X329">
        <v>500.2</v>
      </c>
      <c r="Y329">
        <v>0</v>
      </c>
      <c r="Z329" s="3">
        <v>410</v>
      </c>
      <c r="AA329">
        <v>219</v>
      </c>
      <c r="AB329" s="5">
        <v>89790</v>
      </c>
      <c r="AC329">
        <v>410</v>
      </c>
      <c r="AD329">
        <v>219</v>
      </c>
      <c r="AE329" s="1">
        <v>89790</v>
      </c>
      <c r="AF329">
        <v>0</v>
      </c>
      <c r="AJ329">
        <v>0</v>
      </c>
      <c r="AK329">
        <v>0</v>
      </c>
      <c r="AL329">
        <v>0</v>
      </c>
      <c r="AM329">
        <v>500.2</v>
      </c>
      <c r="AN329">
        <v>500.2</v>
      </c>
      <c r="AO329">
        <v>500.2</v>
      </c>
      <c r="AP329" s="2">
        <v>42746</v>
      </c>
      <c r="AQ329" t="s">
        <v>72</v>
      </c>
      <c r="AR329" t="s">
        <v>72</v>
      </c>
      <c r="AS329">
        <v>2923</v>
      </c>
      <c r="AT329" s="4">
        <v>42678</v>
      </c>
      <c r="AU329" t="s">
        <v>73</v>
      </c>
      <c r="AV329">
        <v>2923</v>
      </c>
      <c r="AW329" s="4">
        <v>42678</v>
      </c>
      <c r="BD329">
        <v>0</v>
      </c>
      <c r="BN329" t="s">
        <v>74</v>
      </c>
    </row>
    <row r="330" spans="1:66">
      <c r="A330">
        <v>100066</v>
      </c>
      <c r="B330" s="3" t="s">
        <v>103</v>
      </c>
      <c r="C330" s="1">
        <v>43300101</v>
      </c>
      <c r="D330" t="s">
        <v>67</v>
      </c>
      <c r="H330" t="str">
        <f t="shared" si="25"/>
        <v>04785851009</v>
      </c>
      <c r="I330" t="str">
        <f t="shared" si="26"/>
        <v>12268050155</v>
      </c>
      <c r="K330" t="str">
        <f>""</f>
        <v/>
      </c>
      <c r="M330" t="s">
        <v>68</v>
      </c>
      <c r="N330" t="str">
        <f t="shared" si="24"/>
        <v>FOR</v>
      </c>
      <c r="O330" t="s">
        <v>69</v>
      </c>
      <c r="P330" s="3" t="s">
        <v>75</v>
      </c>
      <c r="Q330">
        <v>2016</v>
      </c>
      <c r="R330" s="2">
        <v>42401</v>
      </c>
      <c r="S330" s="2">
        <v>42403</v>
      </c>
      <c r="T330" s="2">
        <v>42402</v>
      </c>
      <c r="U330" s="2">
        <v>42462</v>
      </c>
      <c r="V330" t="s">
        <v>71</v>
      </c>
      <c r="W330" t="str">
        <f>"          1010926674"</f>
        <v xml:space="preserve">          1010926674</v>
      </c>
      <c r="X330" s="1">
        <v>3856.18</v>
      </c>
      <c r="Y330">
        <v>0</v>
      </c>
      <c r="Z330" s="5">
        <v>3160.8</v>
      </c>
      <c r="AA330">
        <v>258</v>
      </c>
      <c r="AB330" s="5">
        <v>815486.4</v>
      </c>
      <c r="AC330" s="1">
        <v>3160.8</v>
      </c>
      <c r="AD330">
        <v>258</v>
      </c>
      <c r="AE330" s="1">
        <v>815486.4</v>
      </c>
      <c r="AF330">
        <v>695.38</v>
      </c>
      <c r="AJ330">
        <v>0</v>
      </c>
      <c r="AK330">
        <v>0</v>
      </c>
      <c r="AL330">
        <v>0</v>
      </c>
      <c r="AM330" s="1">
        <v>3856.18</v>
      </c>
      <c r="AN330" s="1">
        <v>3856.18</v>
      </c>
      <c r="AO330" s="1">
        <v>3856.18</v>
      </c>
      <c r="AP330" s="2">
        <v>42746</v>
      </c>
      <c r="AQ330" t="s">
        <v>72</v>
      </c>
      <c r="AR330" t="s">
        <v>72</v>
      </c>
      <c r="AS330">
        <v>3548</v>
      </c>
      <c r="AT330" s="4">
        <v>42720</v>
      </c>
      <c r="AU330" t="s">
        <v>73</v>
      </c>
      <c r="AV330">
        <v>3548</v>
      </c>
      <c r="AW330" s="4">
        <v>42720</v>
      </c>
      <c r="BD330">
        <v>695.38</v>
      </c>
      <c r="BN330" t="s">
        <v>74</v>
      </c>
    </row>
    <row r="331" spans="1:66">
      <c r="A331">
        <v>100066</v>
      </c>
      <c r="B331" s="3" t="s">
        <v>103</v>
      </c>
      <c r="C331" s="1">
        <v>43300101</v>
      </c>
      <c r="D331" t="s">
        <v>67</v>
      </c>
      <c r="H331" t="str">
        <f t="shared" si="25"/>
        <v>04785851009</v>
      </c>
      <c r="I331" t="str">
        <f t="shared" si="26"/>
        <v>12268050155</v>
      </c>
      <c r="K331" t="str">
        <f>""</f>
        <v/>
      </c>
      <c r="M331" t="s">
        <v>68</v>
      </c>
      <c r="N331" t="str">
        <f t="shared" si="24"/>
        <v>FOR</v>
      </c>
      <c r="O331" t="s">
        <v>69</v>
      </c>
      <c r="P331" s="3" t="s">
        <v>75</v>
      </c>
      <c r="Q331">
        <v>2016</v>
      </c>
      <c r="R331" s="2">
        <v>42403</v>
      </c>
      <c r="S331" s="2">
        <v>42410</v>
      </c>
      <c r="T331" s="2">
        <v>42404</v>
      </c>
      <c r="U331" s="2">
        <v>42464</v>
      </c>
      <c r="V331" t="s">
        <v>71</v>
      </c>
      <c r="W331" t="str">
        <f>"          1010927131"</f>
        <v xml:space="preserve">          1010927131</v>
      </c>
      <c r="X331">
        <v>512.4</v>
      </c>
      <c r="Y331">
        <v>0</v>
      </c>
      <c r="Z331" s="3">
        <v>420</v>
      </c>
      <c r="AA331">
        <v>256</v>
      </c>
      <c r="AB331" s="5">
        <v>107520</v>
      </c>
      <c r="AC331">
        <v>420</v>
      </c>
      <c r="AD331">
        <v>256</v>
      </c>
      <c r="AE331" s="1">
        <v>107520</v>
      </c>
      <c r="AF331">
        <v>92.4</v>
      </c>
      <c r="AJ331">
        <v>0</v>
      </c>
      <c r="AK331">
        <v>0</v>
      </c>
      <c r="AL331">
        <v>0</v>
      </c>
      <c r="AM331">
        <v>512.4</v>
      </c>
      <c r="AN331">
        <v>512.4</v>
      </c>
      <c r="AO331">
        <v>512.4</v>
      </c>
      <c r="AP331" s="2">
        <v>42746</v>
      </c>
      <c r="AQ331" t="s">
        <v>72</v>
      </c>
      <c r="AR331" t="s">
        <v>72</v>
      </c>
      <c r="AS331">
        <v>3548</v>
      </c>
      <c r="AT331" s="4">
        <v>42720</v>
      </c>
      <c r="AU331" t="s">
        <v>73</v>
      </c>
      <c r="AV331">
        <v>3548</v>
      </c>
      <c r="AW331" s="4">
        <v>42720</v>
      </c>
      <c r="BD331">
        <v>92.4</v>
      </c>
      <c r="BN331" t="s">
        <v>74</v>
      </c>
    </row>
    <row r="332" spans="1:66">
      <c r="A332">
        <v>100066</v>
      </c>
      <c r="B332" s="3" t="s">
        <v>103</v>
      </c>
      <c r="C332" s="1">
        <v>43300101</v>
      </c>
      <c r="D332" t="s">
        <v>67</v>
      </c>
      <c r="H332" t="str">
        <f t="shared" si="25"/>
        <v>04785851009</v>
      </c>
      <c r="I332" t="str">
        <f t="shared" si="26"/>
        <v>12268050155</v>
      </c>
      <c r="K332" t="str">
        <f>""</f>
        <v/>
      </c>
      <c r="M332" t="s">
        <v>68</v>
      </c>
      <c r="N332" t="str">
        <f t="shared" si="24"/>
        <v>FOR</v>
      </c>
      <c r="O332" t="s">
        <v>69</v>
      </c>
      <c r="P332" s="3" t="s">
        <v>75</v>
      </c>
      <c r="Q332">
        <v>2016</v>
      </c>
      <c r="R332" s="2">
        <v>42403</v>
      </c>
      <c r="S332" s="2">
        <v>42410</v>
      </c>
      <c r="T332" s="2">
        <v>42404</v>
      </c>
      <c r="U332" s="2">
        <v>42464</v>
      </c>
      <c r="V332" t="s">
        <v>71</v>
      </c>
      <c r="W332" t="str">
        <f>"          1010927132"</f>
        <v xml:space="preserve">          1010927132</v>
      </c>
      <c r="X332">
        <v>512.4</v>
      </c>
      <c r="Y332">
        <v>0</v>
      </c>
      <c r="Z332" s="3">
        <v>420</v>
      </c>
      <c r="AA332">
        <v>256</v>
      </c>
      <c r="AB332" s="5">
        <v>107520</v>
      </c>
      <c r="AC332">
        <v>420</v>
      </c>
      <c r="AD332">
        <v>256</v>
      </c>
      <c r="AE332" s="1">
        <v>107520</v>
      </c>
      <c r="AF332">
        <v>92.4</v>
      </c>
      <c r="AJ332">
        <v>0</v>
      </c>
      <c r="AK332">
        <v>0</v>
      </c>
      <c r="AL332">
        <v>0</v>
      </c>
      <c r="AM332">
        <v>512.4</v>
      </c>
      <c r="AN332">
        <v>512.4</v>
      </c>
      <c r="AO332">
        <v>512.4</v>
      </c>
      <c r="AP332" s="2">
        <v>42746</v>
      </c>
      <c r="AQ332" t="s">
        <v>72</v>
      </c>
      <c r="AR332" t="s">
        <v>72</v>
      </c>
      <c r="AS332">
        <v>3548</v>
      </c>
      <c r="AT332" s="4">
        <v>42720</v>
      </c>
      <c r="AU332" t="s">
        <v>73</v>
      </c>
      <c r="AV332">
        <v>3548</v>
      </c>
      <c r="AW332" s="4">
        <v>42720</v>
      </c>
      <c r="BD332">
        <v>92.4</v>
      </c>
      <c r="BN332" t="s">
        <v>74</v>
      </c>
    </row>
    <row r="333" spans="1:66">
      <c r="A333">
        <v>100066</v>
      </c>
      <c r="B333" s="3" t="s">
        <v>103</v>
      </c>
      <c r="C333" s="1">
        <v>43300101</v>
      </c>
      <c r="D333" t="s">
        <v>67</v>
      </c>
      <c r="H333" t="str">
        <f t="shared" si="25"/>
        <v>04785851009</v>
      </c>
      <c r="I333" t="str">
        <f t="shared" si="26"/>
        <v>12268050155</v>
      </c>
      <c r="K333" t="str">
        <f>""</f>
        <v/>
      </c>
      <c r="M333" t="s">
        <v>68</v>
      </c>
      <c r="N333" t="str">
        <f t="shared" si="24"/>
        <v>FOR</v>
      </c>
      <c r="O333" t="s">
        <v>69</v>
      </c>
      <c r="P333" s="3" t="s">
        <v>75</v>
      </c>
      <c r="Q333">
        <v>2016</v>
      </c>
      <c r="R333" s="2">
        <v>42403</v>
      </c>
      <c r="S333" s="2">
        <v>42410</v>
      </c>
      <c r="T333" s="2">
        <v>42404</v>
      </c>
      <c r="U333" s="2">
        <v>42464</v>
      </c>
      <c r="V333" t="s">
        <v>71</v>
      </c>
      <c r="W333" t="str">
        <f>"          1010927133"</f>
        <v xml:space="preserve">          1010927133</v>
      </c>
      <c r="X333">
        <v>578.28</v>
      </c>
      <c r="Y333">
        <v>0</v>
      </c>
      <c r="Z333" s="3">
        <v>474</v>
      </c>
      <c r="AA333">
        <v>256</v>
      </c>
      <c r="AB333" s="5">
        <v>121344</v>
      </c>
      <c r="AC333">
        <v>474</v>
      </c>
      <c r="AD333">
        <v>256</v>
      </c>
      <c r="AE333" s="1">
        <v>121344</v>
      </c>
      <c r="AF333">
        <v>104.28</v>
      </c>
      <c r="AJ333">
        <v>0</v>
      </c>
      <c r="AK333">
        <v>0</v>
      </c>
      <c r="AL333">
        <v>0</v>
      </c>
      <c r="AM333">
        <v>578.28</v>
      </c>
      <c r="AN333">
        <v>578.28</v>
      </c>
      <c r="AO333">
        <v>578.28</v>
      </c>
      <c r="AP333" s="2">
        <v>42746</v>
      </c>
      <c r="AQ333" t="s">
        <v>72</v>
      </c>
      <c r="AR333" t="s">
        <v>72</v>
      </c>
      <c r="AS333">
        <v>3548</v>
      </c>
      <c r="AT333" s="4">
        <v>42720</v>
      </c>
      <c r="AU333" t="s">
        <v>73</v>
      </c>
      <c r="AV333">
        <v>3548</v>
      </c>
      <c r="AW333" s="4">
        <v>42720</v>
      </c>
      <c r="BD333">
        <v>104.28</v>
      </c>
      <c r="BN333" t="s">
        <v>74</v>
      </c>
    </row>
    <row r="334" spans="1:66">
      <c r="A334">
        <v>100066</v>
      </c>
      <c r="B334" s="3" t="s">
        <v>103</v>
      </c>
      <c r="C334" s="1">
        <v>43300101</v>
      </c>
      <c r="D334" t="s">
        <v>67</v>
      </c>
      <c r="H334" t="str">
        <f t="shared" si="25"/>
        <v>04785851009</v>
      </c>
      <c r="I334" t="str">
        <f t="shared" si="26"/>
        <v>12268050155</v>
      </c>
      <c r="K334" t="str">
        <f>""</f>
        <v/>
      </c>
      <c r="M334" t="s">
        <v>68</v>
      </c>
      <c r="N334" t="str">
        <f t="shared" si="24"/>
        <v>FOR</v>
      </c>
      <c r="O334" t="s">
        <v>69</v>
      </c>
      <c r="P334" s="3" t="s">
        <v>75</v>
      </c>
      <c r="Q334">
        <v>2016</v>
      </c>
      <c r="R334" s="2">
        <v>42403</v>
      </c>
      <c r="S334" s="2">
        <v>42410</v>
      </c>
      <c r="T334" s="2">
        <v>42404</v>
      </c>
      <c r="U334" s="2">
        <v>42464</v>
      </c>
      <c r="V334" t="s">
        <v>71</v>
      </c>
      <c r="W334" t="str">
        <f>"          1010927134"</f>
        <v xml:space="preserve">          1010927134</v>
      </c>
      <c r="X334" s="1">
        <v>4458.37</v>
      </c>
      <c r="Y334">
        <v>0</v>
      </c>
      <c r="Z334" s="5">
        <v>3654.4</v>
      </c>
      <c r="AA334">
        <v>256</v>
      </c>
      <c r="AB334" s="5">
        <v>935526.40000000002</v>
      </c>
      <c r="AC334" s="1">
        <v>3654.4</v>
      </c>
      <c r="AD334">
        <v>256</v>
      </c>
      <c r="AE334" s="1">
        <v>935526.40000000002</v>
      </c>
      <c r="AF334">
        <v>803.97</v>
      </c>
      <c r="AJ334">
        <v>0</v>
      </c>
      <c r="AK334">
        <v>0</v>
      </c>
      <c r="AL334">
        <v>0</v>
      </c>
      <c r="AM334" s="1">
        <v>4458.37</v>
      </c>
      <c r="AN334" s="1">
        <v>4458.37</v>
      </c>
      <c r="AO334" s="1">
        <v>4458.37</v>
      </c>
      <c r="AP334" s="2">
        <v>42746</v>
      </c>
      <c r="AQ334" t="s">
        <v>72</v>
      </c>
      <c r="AR334" t="s">
        <v>72</v>
      </c>
      <c r="AS334">
        <v>3548</v>
      </c>
      <c r="AT334" s="4">
        <v>42720</v>
      </c>
      <c r="AU334" t="s">
        <v>73</v>
      </c>
      <c r="AV334">
        <v>3548</v>
      </c>
      <c r="AW334" s="4">
        <v>42720</v>
      </c>
      <c r="BD334">
        <v>803.97</v>
      </c>
      <c r="BN334" t="s">
        <v>74</v>
      </c>
    </row>
    <row r="335" spans="1:66">
      <c r="A335">
        <v>100066</v>
      </c>
      <c r="B335" s="3" t="s">
        <v>103</v>
      </c>
      <c r="C335" s="1">
        <v>43300101</v>
      </c>
      <c r="D335" t="s">
        <v>67</v>
      </c>
      <c r="H335" t="str">
        <f t="shared" si="25"/>
        <v>04785851009</v>
      </c>
      <c r="I335" t="str">
        <f t="shared" si="26"/>
        <v>12268050155</v>
      </c>
      <c r="K335" t="str">
        <f>""</f>
        <v/>
      </c>
      <c r="M335" t="s">
        <v>68</v>
      </c>
      <c r="N335" t="str">
        <f t="shared" si="24"/>
        <v>FOR</v>
      </c>
      <c r="O335" t="s">
        <v>69</v>
      </c>
      <c r="P335" s="3" t="s">
        <v>75</v>
      </c>
      <c r="Q335">
        <v>2016</v>
      </c>
      <c r="R335" s="2">
        <v>42408</v>
      </c>
      <c r="S335" s="2">
        <v>42410</v>
      </c>
      <c r="T335" s="2">
        <v>42409</v>
      </c>
      <c r="U335" s="2">
        <v>42469</v>
      </c>
      <c r="V335" t="s">
        <v>71</v>
      </c>
      <c r="W335" t="str">
        <f>"          1010927864"</f>
        <v xml:space="preserve">          1010927864</v>
      </c>
      <c r="X335">
        <v>512.4</v>
      </c>
      <c r="Y335">
        <v>0</v>
      </c>
      <c r="Z335" s="3">
        <v>420</v>
      </c>
      <c r="AA335">
        <v>251</v>
      </c>
      <c r="AB335" s="5">
        <v>105420</v>
      </c>
      <c r="AC335">
        <v>420</v>
      </c>
      <c r="AD335">
        <v>251</v>
      </c>
      <c r="AE335" s="1">
        <v>105420</v>
      </c>
      <c r="AF335">
        <v>92.4</v>
      </c>
      <c r="AJ335">
        <v>0</v>
      </c>
      <c r="AK335">
        <v>0</v>
      </c>
      <c r="AL335">
        <v>0</v>
      </c>
      <c r="AM335">
        <v>512.4</v>
      </c>
      <c r="AN335">
        <v>512.4</v>
      </c>
      <c r="AO335">
        <v>512.4</v>
      </c>
      <c r="AP335" s="2">
        <v>42746</v>
      </c>
      <c r="AQ335" t="s">
        <v>72</v>
      </c>
      <c r="AR335" t="s">
        <v>72</v>
      </c>
      <c r="AS335">
        <v>3548</v>
      </c>
      <c r="AT335" s="4">
        <v>42720</v>
      </c>
      <c r="AU335" t="s">
        <v>73</v>
      </c>
      <c r="AV335">
        <v>3548</v>
      </c>
      <c r="AW335" s="4">
        <v>42720</v>
      </c>
      <c r="BD335">
        <v>92.4</v>
      </c>
      <c r="BN335" t="s">
        <v>74</v>
      </c>
    </row>
    <row r="336" spans="1:66">
      <c r="A336">
        <v>100066</v>
      </c>
      <c r="B336" s="3" t="s">
        <v>103</v>
      </c>
      <c r="C336" s="1">
        <v>43300101</v>
      </c>
      <c r="D336" t="s">
        <v>67</v>
      </c>
      <c r="H336" t="str">
        <f t="shared" si="25"/>
        <v>04785851009</v>
      </c>
      <c r="I336" t="str">
        <f t="shared" si="26"/>
        <v>12268050155</v>
      </c>
      <c r="K336" t="str">
        <f>""</f>
        <v/>
      </c>
      <c r="M336" t="s">
        <v>68</v>
      </c>
      <c r="N336" t="str">
        <f t="shared" si="24"/>
        <v>FOR</v>
      </c>
      <c r="O336" t="s">
        <v>69</v>
      </c>
      <c r="P336" s="3" t="s">
        <v>75</v>
      </c>
      <c r="Q336">
        <v>2016</v>
      </c>
      <c r="R336" s="2">
        <v>42408</v>
      </c>
      <c r="S336" s="2">
        <v>42410</v>
      </c>
      <c r="T336" s="2">
        <v>42409</v>
      </c>
      <c r="U336" s="2">
        <v>42469</v>
      </c>
      <c r="V336" t="s">
        <v>71</v>
      </c>
      <c r="W336" t="str">
        <f>"          1010927865"</f>
        <v xml:space="preserve">          1010927865</v>
      </c>
      <c r="X336" s="1">
        <v>4881.22</v>
      </c>
      <c r="Y336">
        <v>0</v>
      </c>
      <c r="Z336" s="5">
        <v>4001</v>
      </c>
      <c r="AA336">
        <v>251</v>
      </c>
      <c r="AB336" s="5">
        <v>1004251</v>
      </c>
      <c r="AC336" s="1">
        <v>4001</v>
      </c>
      <c r="AD336">
        <v>251</v>
      </c>
      <c r="AE336" s="1">
        <v>1004251</v>
      </c>
      <c r="AF336">
        <v>880.22</v>
      </c>
      <c r="AJ336">
        <v>0</v>
      </c>
      <c r="AK336">
        <v>0</v>
      </c>
      <c r="AL336">
        <v>0</v>
      </c>
      <c r="AM336" s="1">
        <v>4881.22</v>
      </c>
      <c r="AN336" s="1">
        <v>4881.22</v>
      </c>
      <c r="AO336" s="1">
        <v>4881.22</v>
      </c>
      <c r="AP336" s="2">
        <v>42746</v>
      </c>
      <c r="AQ336" t="s">
        <v>72</v>
      </c>
      <c r="AR336" t="s">
        <v>72</v>
      </c>
      <c r="AS336">
        <v>3548</v>
      </c>
      <c r="AT336" s="4">
        <v>42720</v>
      </c>
      <c r="AU336" t="s">
        <v>73</v>
      </c>
      <c r="AV336">
        <v>3548</v>
      </c>
      <c r="AW336" s="4">
        <v>42720</v>
      </c>
      <c r="BD336">
        <v>880.22</v>
      </c>
      <c r="BN336" t="s">
        <v>74</v>
      </c>
    </row>
    <row r="337" spans="1:66">
      <c r="A337">
        <v>100066</v>
      </c>
      <c r="B337" s="3" t="s">
        <v>103</v>
      </c>
      <c r="C337" s="1">
        <v>43300101</v>
      </c>
      <c r="D337" t="s">
        <v>67</v>
      </c>
      <c r="H337" t="str">
        <f t="shared" si="25"/>
        <v>04785851009</v>
      </c>
      <c r="I337" t="str">
        <f t="shared" si="26"/>
        <v>12268050155</v>
      </c>
      <c r="K337" t="str">
        <f>""</f>
        <v/>
      </c>
      <c r="M337" t="s">
        <v>68</v>
      </c>
      <c r="N337" t="str">
        <f t="shared" si="24"/>
        <v>FOR</v>
      </c>
      <c r="O337" t="s">
        <v>69</v>
      </c>
      <c r="P337" s="3" t="s">
        <v>75</v>
      </c>
      <c r="Q337">
        <v>2016</v>
      </c>
      <c r="R337" s="2">
        <v>42408</v>
      </c>
      <c r="S337" s="2">
        <v>42410</v>
      </c>
      <c r="T337" s="2">
        <v>42409</v>
      </c>
      <c r="U337" s="2">
        <v>42469</v>
      </c>
      <c r="V337" t="s">
        <v>71</v>
      </c>
      <c r="W337" t="str">
        <f>"          1010927866"</f>
        <v xml:space="preserve">          1010927866</v>
      </c>
      <c r="X337" s="1">
        <v>11655.88</v>
      </c>
      <c r="Y337">
        <v>0</v>
      </c>
      <c r="Z337" s="5">
        <v>9554</v>
      </c>
      <c r="AA337">
        <v>251</v>
      </c>
      <c r="AB337" s="5">
        <v>2398054</v>
      </c>
      <c r="AC337" s="1">
        <v>9554</v>
      </c>
      <c r="AD337">
        <v>251</v>
      </c>
      <c r="AE337" s="1">
        <v>2398054</v>
      </c>
      <c r="AF337" s="1">
        <v>2101.88</v>
      </c>
      <c r="AJ337">
        <v>0</v>
      </c>
      <c r="AK337">
        <v>0</v>
      </c>
      <c r="AL337">
        <v>0</v>
      </c>
      <c r="AM337" s="1">
        <v>11655.88</v>
      </c>
      <c r="AN337" s="1">
        <v>11655.88</v>
      </c>
      <c r="AO337" s="1">
        <v>11655.88</v>
      </c>
      <c r="AP337" s="2">
        <v>42746</v>
      </c>
      <c r="AQ337" t="s">
        <v>72</v>
      </c>
      <c r="AR337" t="s">
        <v>72</v>
      </c>
      <c r="AS337">
        <v>3548</v>
      </c>
      <c r="AT337" s="4">
        <v>42720</v>
      </c>
      <c r="AU337" t="s">
        <v>73</v>
      </c>
      <c r="AV337">
        <v>3548</v>
      </c>
      <c r="AW337" s="4">
        <v>42720</v>
      </c>
      <c r="BD337" s="1">
        <v>2101.88</v>
      </c>
      <c r="BN337" t="s">
        <v>74</v>
      </c>
    </row>
    <row r="338" spans="1:66">
      <c r="A338">
        <v>100066</v>
      </c>
      <c r="B338" s="3" t="s">
        <v>103</v>
      </c>
      <c r="C338" s="1">
        <v>43300101</v>
      </c>
      <c r="D338" t="s">
        <v>67</v>
      </c>
      <c r="H338" t="str">
        <f t="shared" si="25"/>
        <v>04785851009</v>
      </c>
      <c r="I338" t="str">
        <f t="shared" si="26"/>
        <v>12268050155</v>
      </c>
      <c r="K338" t="str">
        <f>""</f>
        <v/>
      </c>
      <c r="M338" t="s">
        <v>68</v>
      </c>
      <c r="N338" t="str">
        <f t="shared" si="24"/>
        <v>FOR</v>
      </c>
      <c r="O338" t="s">
        <v>69</v>
      </c>
      <c r="P338" s="3" t="s">
        <v>75</v>
      </c>
      <c r="Q338">
        <v>2016</v>
      </c>
      <c r="R338" s="2">
        <v>42408</v>
      </c>
      <c r="S338" s="2">
        <v>42410</v>
      </c>
      <c r="T338" s="2">
        <v>42409</v>
      </c>
      <c r="U338" s="2">
        <v>42469</v>
      </c>
      <c r="V338" t="s">
        <v>71</v>
      </c>
      <c r="W338" t="str">
        <f>"          1010927867"</f>
        <v xml:space="preserve">          1010927867</v>
      </c>
      <c r="X338" s="1">
        <v>2110.6</v>
      </c>
      <c r="Y338">
        <v>0</v>
      </c>
      <c r="Z338" s="5">
        <v>1730</v>
      </c>
      <c r="AA338">
        <v>251</v>
      </c>
      <c r="AB338" s="5">
        <v>434230</v>
      </c>
      <c r="AC338" s="1">
        <v>1730</v>
      </c>
      <c r="AD338">
        <v>251</v>
      </c>
      <c r="AE338" s="1">
        <v>434230</v>
      </c>
      <c r="AF338">
        <v>380.6</v>
      </c>
      <c r="AJ338">
        <v>0</v>
      </c>
      <c r="AK338">
        <v>0</v>
      </c>
      <c r="AL338">
        <v>0</v>
      </c>
      <c r="AM338" s="1">
        <v>2110.6</v>
      </c>
      <c r="AN338" s="1">
        <v>2110.6</v>
      </c>
      <c r="AO338" s="1">
        <v>2110.6</v>
      </c>
      <c r="AP338" s="2">
        <v>42746</v>
      </c>
      <c r="AQ338" t="s">
        <v>72</v>
      </c>
      <c r="AR338" t="s">
        <v>72</v>
      </c>
      <c r="AS338">
        <v>3548</v>
      </c>
      <c r="AT338" s="4">
        <v>42720</v>
      </c>
      <c r="AU338" t="s">
        <v>73</v>
      </c>
      <c r="AV338">
        <v>3548</v>
      </c>
      <c r="AW338" s="4">
        <v>42720</v>
      </c>
      <c r="BD338">
        <v>380.6</v>
      </c>
      <c r="BN338" t="s">
        <v>74</v>
      </c>
    </row>
    <row r="339" spans="1:66">
      <c r="A339">
        <v>100066</v>
      </c>
      <c r="B339" s="3" t="s">
        <v>103</v>
      </c>
      <c r="C339" s="1">
        <v>43300101</v>
      </c>
      <c r="D339" t="s">
        <v>67</v>
      </c>
      <c r="H339" t="str">
        <f t="shared" si="25"/>
        <v>04785851009</v>
      </c>
      <c r="I339" t="str">
        <f t="shared" si="26"/>
        <v>12268050155</v>
      </c>
      <c r="K339" t="str">
        <f>""</f>
        <v/>
      </c>
      <c r="M339" t="s">
        <v>68</v>
      </c>
      <c r="N339" t="str">
        <f t="shared" si="24"/>
        <v>FOR</v>
      </c>
      <c r="O339" t="s">
        <v>69</v>
      </c>
      <c r="P339" s="3" t="s">
        <v>75</v>
      </c>
      <c r="Q339">
        <v>2016</v>
      </c>
      <c r="R339" s="2">
        <v>42411</v>
      </c>
      <c r="S339" s="2">
        <v>42417</v>
      </c>
      <c r="T339" s="2">
        <v>42412</v>
      </c>
      <c r="U339" s="2">
        <v>42472</v>
      </c>
      <c r="V339" t="s">
        <v>71</v>
      </c>
      <c r="W339" t="str">
        <f>"          1010928528"</f>
        <v xml:space="preserve">          1010928528</v>
      </c>
      <c r="X339" s="1">
        <v>3343.78</v>
      </c>
      <c r="Y339">
        <v>0</v>
      </c>
      <c r="Z339" s="5">
        <v>2740.8</v>
      </c>
      <c r="AA339">
        <v>248</v>
      </c>
      <c r="AB339" s="5">
        <v>679718.40000000002</v>
      </c>
      <c r="AC339" s="1">
        <v>2740.8</v>
      </c>
      <c r="AD339">
        <v>248</v>
      </c>
      <c r="AE339" s="1">
        <v>679718.40000000002</v>
      </c>
      <c r="AF339">
        <v>602.98</v>
      </c>
      <c r="AJ339">
        <v>0</v>
      </c>
      <c r="AK339">
        <v>0</v>
      </c>
      <c r="AL339">
        <v>0</v>
      </c>
      <c r="AM339" s="1">
        <v>3343.78</v>
      </c>
      <c r="AN339" s="1">
        <v>3343.78</v>
      </c>
      <c r="AO339" s="1">
        <v>3343.78</v>
      </c>
      <c r="AP339" s="2">
        <v>42746</v>
      </c>
      <c r="AQ339" t="s">
        <v>72</v>
      </c>
      <c r="AR339" t="s">
        <v>72</v>
      </c>
      <c r="AS339">
        <v>3548</v>
      </c>
      <c r="AT339" s="4">
        <v>42720</v>
      </c>
      <c r="AU339" t="s">
        <v>73</v>
      </c>
      <c r="AV339">
        <v>3548</v>
      </c>
      <c r="AW339" s="4">
        <v>42720</v>
      </c>
      <c r="BD339">
        <v>602.98</v>
      </c>
      <c r="BN339" t="s">
        <v>74</v>
      </c>
    </row>
    <row r="340" spans="1:66">
      <c r="A340">
        <v>100066</v>
      </c>
      <c r="B340" s="3" t="s">
        <v>103</v>
      </c>
      <c r="C340" s="1">
        <v>43300101</v>
      </c>
      <c r="D340" t="s">
        <v>67</v>
      </c>
      <c r="H340" t="str">
        <f t="shared" si="25"/>
        <v>04785851009</v>
      </c>
      <c r="I340" t="str">
        <f t="shared" si="26"/>
        <v>12268050155</v>
      </c>
      <c r="K340" t="str">
        <f>""</f>
        <v/>
      </c>
      <c r="M340" t="s">
        <v>68</v>
      </c>
      <c r="N340" t="str">
        <f t="shared" si="24"/>
        <v>FOR</v>
      </c>
      <c r="O340" t="s">
        <v>69</v>
      </c>
      <c r="P340" s="3" t="s">
        <v>75</v>
      </c>
      <c r="Q340">
        <v>2016</v>
      </c>
      <c r="R340" s="2">
        <v>42411</v>
      </c>
      <c r="S340" s="2">
        <v>42417</v>
      </c>
      <c r="T340" s="2">
        <v>42412</v>
      </c>
      <c r="U340" s="2">
        <v>42472</v>
      </c>
      <c r="V340" t="s">
        <v>71</v>
      </c>
      <c r="W340" t="str">
        <f>"          1010928529"</f>
        <v xml:space="preserve">          1010928529</v>
      </c>
      <c r="X340" s="1">
        <v>3074.4</v>
      </c>
      <c r="Y340">
        <v>0</v>
      </c>
      <c r="Z340" s="5">
        <v>2520</v>
      </c>
      <c r="AA340">
        <v>248</v>
      </c>
      <c r="AB340" s="5">
        <v>624960</v>
      </c>
      <c r="AC340" s="1">
        <v>2520</v>
      </c>
      <c r="AD340">
        <v>248</v>
      </c>
      <c r="AE340" s="1">
        <v>624960</v>
      </c>
      <c r="AF340">
        <v>554.4</v>
      </c>
      <c r="AJ340">
        <v>0</v>
      </c>
      <c r="AK340">
        <v>0</v>
      </c>
      <c r="AL340">
        <v>0</v>
      </c>
      <c r="AM340" s="1">
        <v>3074.4</v>
      </c>
      <c r="AN340" s="1">
        <v>3074.4</v>
      </c>
      <c r="AO340" s="1">
        <v>3074.4</v>
      </c>
      <c r="AP340" s="2">
        <v>42746</v>
      </c>
      <c r="AQ340" t="s">
        <v>72</v>
      </c>
      <c r="AR340" t="s">
        <v>72</v>
      </c>
      <c r="AS340">
        <v>3548</v>
      </c>
      <c r="AT340" s="4">
        <v>42720</v>
      </c>
      <c r="AU340" t="s">
        <v>73</v>
      </c>
      <c r="AV340">
        <v>3548</v>
      </c>
      <c r="AW340" s="4">
        <v>42720</v>
      </c>
      <c r="BD340">
        <v>554.4</v>
      </c>
      <c r="BN340" t="s">
        <v>74</v>
      </c>
    </row>
    <row r="341" spans="1:66">
      <c r="A341">
        <v>100066</v>
      </c>
      <c r="B341" s="3" t="s">
        <v>103</v>
      </c>
      <c r="C341" s="1">
        <v>43300101</v>
      </c>
      <c r="D341" t="s">
        <v>67</v>
      </c>
      <c r="H341" t="str">
        <f t="shared" si="25"/>
        <v>04785851009</v>
      </c>
      <c r="I341" t="str">
        <f t="shared" si="26"/>
        <v>12268050155</v>
      </c>
      <c r="K341" t="str">
        <f>""</f>
        <v/>
      </c>
      <c r="M341" t="s">
        <v>68</v>
      </c>
      <c r="N341" t="str">
        <f t="shared" si="24"/>
        <v>FOR</v>
      </c>
      <c r="O341" t="s">
        <v>69</v>
      </c>
      <c r="P341" s="3" t="s">
        <v>75</v>
      </c>
      <c r="Q341">
        <v>2016</v>
      </c>
      <c r="R341" s="2">
        <v>42415</v>
      </c>
      <c r="S341" s="2">
        <v>42417</v>
      </c>
      <c r="T341" s="2">
        <v>42416</v>
      </c>
      <c r="U341" s="2">
        <v>42476</v>
      </c>
      <c r="V341" t="s">
        <v>71</v>
      </c>
      <c r="W341" t="str">
        <f>"          1010929059"</f>
        <v xml:space="preserve">          1010929059</v>
      </c>
      <c r="X341" s="1">
        <v>1114.5899999999999</v>
      </c>
      <c r="Y341">
        <v>0</v>
      </c>
      <c r="Z341" s="3">
        <v>913.6</v>
      </c>
      <c r="AA341">
        <v>244</v>
      </c>
      <c r="AB341" s="5">
        <v>222918.39999999999</v>
      </c>
      <c r="AC341">
        <v>913.6</v>
      </c>
      <c r="AD341">
        <v>244</v>
      </c>
      <c r="AE341" s="1">
        <v>222918.39999999999</v>
      </c>
      <c r="AF341">
        <v>200.99</v>
      </c>
      <c r="AJ341">
        <v>0</v>
      </c>
      <c r="AK341">
        <v>0</v>
      </c>
      <c r="AL341">
        <v>0</v>
      </c>
      <c r="AM341" s="1">
        <v>1114.5899999999999</v>
      </c>
      <c r="AN341" s="1">
        <v>1114.5899999999999</v>
      </c>
      <c r="AO341" s="1">
        <v>1114.5899999999999</v>
      </c>
      <c r="AP341" s="2">
        <v>42746</v>
      </c>
      <c r="AQ341" t="s">
        <v>72</v>
      </c>
      <c r="AR341" t="s">
        <v>72</v>
      </c>
      <c r="AS341">
        <v>3548</v>
      </c>
      <c r="AT341" s="4">
        <v>42720</v>
      </c>
      <c r="AU341" t="s">
        <v>73</v>
      </c>
      <c r="AV341">
        <v>3548</v>
      </c>
      <c r="AW341" s="4">
        <v>42720</v>
      </c>
      <c r="BD341">
        <v>200.99</v>
      </c>
      <c r="BN341" t="s">
        <v>74</v>
      </c>
    </row>
    <row r="342" spans="1:66">
      <c r="A342">
        <v>100066</v>
      </c>
      <c r="B342" s="3" t="s">
        <v>103</v>
      </c>
      <c r="C342" s="1">
        <v>43300101</v>
      </c>
      <c r="D342" t="s">
        <v>67</v>
      </c>
      <c r="H342" t="str">
        <f t="shared" si="25"/>
        <v>04785851009</v>
      </c>
      <c r="I342" t="str">
        <f t="shared" si="26"/>
        <v>12268050155</v>
      </c>
      <c r="K342" t="str">
        <f>""</f>
        <v/>
      </c>
      <c r="M342" t="s">
        <v>68</v>
      </c>
      <c r="N342" t="str">
        <f t="shared" si="24"/>
        <v>FOR</v>
      </c>
      <c r="O342" t="s">
        <v>69</v>
      </c>
      <c r="P342" s="3" t="s">
        <v>75</v>
      </c>
      <c r="Q342">
        <v>2016</v>
      </c>
      <c r="R342" s="2">
        <v>42415</v>
      </c>
      <c r="S342" s="2">
        <v>42417</v>
      </c>
      <c r="T342" s="2">
        <v>42416</v>
      </c>
      <c r="U342" s="2">
        <v>42476</v>
      </c>
      <c r="V342" t="s">
        <v>71</v>
      </c>
      <c r="W342" t="str">
        <f>"          1010929060"</f>
        <v xml:space="preserve">          1010929060</v>
      </c>
      <c r="X342">
        <v>649.04</v>
      </c>
      <c r="Y342">
        <v>0</v>
      </c>
      <c r="Z342" s="3">
        <v>532</v>
      </c>
      <c r="AA342">
        <v>244</v>
      </c>
      <c r="AB342" s="5">
        <v>129808</v>
      </c>
      <c r="AC342">
        <v>532</v>
      </c>
      <c r="AD342">
        <v>244</v>
      </c>
      <c r="AE342" s="1">
        <v>129808</v>
      </c>
      <c r="AF342">
        <v>117.04</v>
      </c>
      <c r="AJ342">
        <v>0</v>
      </c>
      <c r="AK342">
        <v>0</v>
      </c>
      <c r="AL342">
        <v>0</v>
      </c>
      <c r="AM342">
        <v>649.04</v>
      </c>
      <c r="AN342">
        <v>649.04</v>
      </c>
      <c r="AO342">
        <v>649.04</v>
      </c>
      <c r="AP342" s="2">
        <v>42746</v>
      </c>
      <c r="AQ342" t="s">
        <v>72</v>
      </c>
      <c r="AR342" t="s">
        <v>72</v>
      </c>
      <c r="AS342">
        <v>3548</v>
      </c>
      <c r="AT342" s="4">
        <v>42720</v>
      </c>
      <c r="AU342" t="s">
        <v>73</v>
      </c>
      <c r="AV342">
        <v>3548</v>
      </c>
      <c r="AW342" s="4">
        <v>42720</v>
      </c>
      <c r="BD342">
        <v>117.04</v>
      </c>
      <c r="BN342" t="s">
        <v>74</v>
      </c>
    </row>
    <row r="343" spans="1:66">
      <c r="A343">
        <v>100066</v>
      </c>
      <c r="B343" s="3" t="s">
        <v>103</v>
      </c>
      <c r="C343" s="1">
        <v>43300101</v>
      </c>
      <c r="D343" t="s">
        <v>67</v>
      </c>
      <c r="H343" t="str">
        <f t="shared" si="25"/>
        <v>04785851009</v>
      </c>
      <c r="I343" t="str">
        <f t="shared" si="26"/>
        <v>12268050155</v>
      </c>
      <c r="K343" t="str">
        <f>""</f>
        <v/>
      </c>
      <c r="M343" t="s">
        <v>68</v>
      </c>
      <c r="N343" t="str">
        <f t="shared" si="24"/>
        <v>FOR</v>
      </c>
      <c r="O343" t="s">
        <v>69</v>
      </c>
      <c r="P343" s="3" t="s">
        <v>75</v>
      </c>
      <c r="Q343">
        <v>2016</v>
      </c>
      <c r="R343" s="2">
        <v>42423</v>
      </c>
      <c r="S343" s="2">
        <v>42425</v>
      </c>
      <c r="T343" s="2">
        <v>42424</v>
      </c>
      <c r="U343" s="2">
        <v>42484</v>
      </c>
      <c r="V343" t="s">
        <v>71</v>
      </c>
      <c r="W343" t="str">
        <f>"          1010930526"</f>
        <v xml:space="preserve">          1010930526</v>
      </c>
      <c r="X343">
        <v>578.28</v>
      </c>
      <c r="Y343">
        <v>0</v>
      </c>
      <c r="Z343" s="3">
        <v>474</v>
      </c>
      <c r="AA343">
        <v>236</v>
      </c>
      <c r="AB343" s="5">
        <v>111864</v>
      </c>
      <c r="AC343">
        <v>474</v>
      </c>
      <c r="AD343">
        <v>236</v>
      </c>
      <c r="AE343" s="1">
        <v>111864</v>
      </c>
      <c r="AF343">
        <v>104.28</v>
      </c>
      <c r="AJ343">
        <v>0</v>
      </c>
      <c r="AK343">
        <v>0</v>
      </c>
      <c r="AL343">
        <v>0</v>
      </c>
      <c r="AM343">
        <v>578.28</v>
      </c>
      <c r="AN343">
        <v>578.28</v>
      </c>
      <c r="AO343">
        <v>578.28</v>
      </c>
      <c r="AP343" s="2">
        <v>42746</v>
      </c>
      <c r="AQ343" t="s">
        <v>72</v>
      </c>
      <c r="AR343" t="s">
        <v>72</v>
      </c>
      <c r="AS343">
        <v>3548</v>
      </c>
      <c r="AT343" s="4">
        <v>42720</v>
      </c>
      <c r="AU343" t="s">
        <v>73</v>
      </c>
      <c r="AV343">
        <v>3548</v>
      </c>
      <c r="AW343" s="4">
        <v>42720</v>
      </c>
      <c r="BD343">
        <v>104.28</v>
      </c>
      <c r="BN343" t="s">
        <v>74</v>
      </c>
    </row>
    <row r="344" spans="1:66">
      <c r="A344">
        <v>100066</v>
      </c>
      <c r="B344" s="3" t="s">
        <v>103</v>
      </c>
      <c r="C344" s="1">
        <v>43300101</v>
      </c>
      <c r="D344" t="s">
        <v>67</v>
      </c>
      <c r="H344" t="str">
        <f t="shared" si="25"/>
        <v>04785851009</v>
      </c>
      <c r="I344" t="str">
        <f t="shared" si="26"/>
        <v>12268050155</v>
      </c>
      <c r="K344" t="str">
        <f>""</f>
        <v/>
      </c>
      <c r="M344" t="s">
        <v>68</v>
      </c>
      <c r="N344" t="str">
        <f t="shared" si="24"/>
        <v>FOR</v>
      </c>
      <c r="O344" t="s">
        <v>69</v>
      </c>
      <c r="P344" s="3" t="s">
        <v>75</v>
      </c>
      <c r="Q344">
        <v>2016</v>
      </c>
      <c r="R344" s="2">
        <v>42431</v>
      </c>
      <c r="S344" s="2">
        <v>42436</v>
      </c>
      <c r="T344" s="2">
        <v>42432</v>
      </c>
      <c r="U344" s="2">
        <v>42492</v>
      </c>
      <c r="V344" t="s">
        <v>71</v>
      </c>
      <c r="W344" t="str">
        <f>"          1010932143"</f>
        <v xml:space="preserve">          1010932143</v>
      </c>
      <c r="X344" s="1">
        <v>4112.38</v>
      </c>
      <c r="Y344">
        <v>0</v>
      </c>
      <c r="Z344" s="5">
        <v>3370.8</v>
      </c>
      <c r="AA344">
        <v>232</v>
      </c>
      <c r="AB344" s="5">
        <v>782025.6</v>
      </c>
      <c r="AC344" s="1">
        <v>3370.8</v>
      </c>
      <c r="AD344">
        <v>232</v>
      </c>
      <c r="AE344" s="1">
        <v>782025.6</v>
      </c>
      <c r="AF344">
        <v>741.58</v>
      </c>
      <c r="AJ344">
        <v>0</v>
      </c>
      <c r="AK344">
        <v>0</v>
      </c>
      <c r="AL344">
        <v>0</v>
      </c>
      <c r="AM344" s="1">
        <v>4112.38</v>
      </c>
      <c r="AN344" s="1">
        <v>4112.38</v>
      </c>
      <c r="AO344" s="1">
        <v>4112.38</v>
      </c>
      <c r="AP344" s="2">
        <v>42746</v>
      </c>
      <c r="AQ344" t="s">
        <v>72</v>
      </c>
      <c r="AR344" t="s">
        <v>72</v>
      </c>
      <c r="AS344">
        <v>3638</v>
      </c>
      <c r="AT344" s="4">
        <v>42724</v>
      </c>
      <c r="AU344" t="s">
        <v>73</v>
      </c>
      <c r="AV344">
        <v>3638</v>
      </c>
      <c r="AW344" s="4">
        <v>42724</v>
      </c>
      <c r="BD344">
        <v>741.58</v>
      </c>
      <c r="BN344" t="s">
        <v>74</v>
      </c>
    </row>
    <row r="345" spans="1:66">
      <c r="A345">
        <v>100066</v>
      </c>
      <c r="B345" s="3" t="s">
        <v>103</v>
      </c>
      <c r="C345" s="1">
        <v>43300101</v>
      </c>
      <c r="D345" t="s">
        <v>67</v>
      </c>
      <c r="H345" t="str">
        <f t="shared" si="25"/>
        <v>04785851009</v>
      </c>
      <c r="I345" t="str">
        <f t="shared" si="26"/>
        <v>12268050155</v>
      </c>
      <c r="K345" t="str">
        <f>""</f>
        <v/>
      </c>
      <c r="M345" t="s">
        <v>68</v>
      </c>
      <c r="N345" t="str">
        <f t="shared" si="24"/>
        <v>FOR</v>
      </c>
      <c r="O345" t="s">
        <v>69</v>
      </c>
      <c r="P345" s="3" t="s">
        <v>75</v>
      </c>
      <c r="Q345">
        <v>2016</v>
      </c>
      <c r="R345" s="2">
        <v>42433</v>
      </c>
      <c r="S345" s="2">
        <v>42436</v>
      </c>
      <c r="T345" s="2">
        <v>42434</v>
      </c>
      <c r="U345" s="2">
        <v>42494</v>
      </c>
      <c r="V345" t="s">
        <v>71</v>
      </c>
      <c r="W345" t="str">
        <f>"          1010932602"</f>
        <v xml:space="preserve">          1010932602</v>
      </c>
      <c r="X345" s="1">
        <v>7578.64</v>
      </c>
      <c r="Y345">
        <v>0</v>
      </c>
      <c r="Z345" s="5">
        <v>6212</v>
      </c>
      <c r="AA345">
        <v>230</v>
      </c>
      <c r="AB345" s="5">
        <v>1428760</v>
      </c>
      <c r="AC345" s="1">
        <v>6212</v>
      </c>
      <c r="AD345">
        <v>230</v>
      </c>
      <c r="AE345" s="1">
        <v>1428760</v>
      </c>
      <c r="AF345" s="1">
        <v>1366.64</v>
      </c>
      <c r="AJ345">
        <v>0</v>
      </c>
      <c r="AK345">
        <v>0</v>
      </c>
      <c r="AL345">
        <v>0</v>
      </c>
      <c r="AM345" s="1">
        <v>7578.64</v>
      </c>
      <c r="AN345" s="1">
        <v>7578.64</v>
      </c>
      <c r="AO345" s="1">
        <v>7578.64</v>
      </c>
      <c r="AP345" s="2">
        <v>42746</v>
      </c>
      <c r="AQ345" t="s">
        <v>72</v>
      </c>
      <c r="AR345" t="s">
        <v>72</v>
      </c>
      <c r="AS345">
        <v>3638</v>
      </c>
      <c r="AT345" s="4">
        <v>42724</v>
      </c>
      <c r="AU345" t="s">
        <v>73</v>
      </c>
      <c r="AV345">
        <v>3638</v>
      </c>
      <c r="AW345" s="4">
        <v>42724</v>
      </c>
      <c r="BD345" s="1">
        <v>1366.64</v>
      </c>
      <c r="BN345" t="s">
        <v>74</v>
      </c>
    </row>
    <row r="346" spans="1:66">
      <c r="A346">
        <v>100066</v>
      </c>
      <c r="B346" s="3" t="s">
        <v>103</v>
      </c>
      <c r="C346" s="1">
        <v>43300101</v>
      </c>
      <c r="D346" t="s">
        <v>67</v>
      </c>
      <c r="H346" t="str">
        <f t="shared" si="25"/>
        <v>04785851009</v>
      </c>
      <c r="I346" t="str">
        <f t="shared" si="26"/>
        <v>12268050155</v>
      </c>
      <c r="K346" t="str">
        <f>""</f>
        <v/>
      </c>
      <c r="M346" t="s">
        <v>68</v>
      </c>
      <c r="N346" t="str">
        <f t="shared" si="24"/>
        <v>FOR</v>
      </c>
      <c r="O346" t="s">
        <v>69</v>
      </c>
      <c r="P346" s="3" t="s">
        <v>75</v>
      </c>
      <c r="Q346">
        <v>2016</v>
      </c>
      <c r="R346" s="2">
        <v>42433</v>
      </c>
      <c r="S346" s="2">
        <v>42436</v>
      </c>
      <c r="T346" s="2">
        <v>42434</v>
      </c>
      <c r="U346" s="2">
        <v>42494</v>
      </c>
      <c r="V346" t="s">
        <v>71</v>
      </c>
      <c r="W346" t="str">
        <f>"          1010932603"</f>
        <v xml:space="preserve">          1010932603</v>
      </c>
      <c r="X346" s="1">
        <v>36029.040000000001</v>
      </c>
      <c r="Y346">
        <v>0</v>
      </c>
      <c r="Z346" s="5">
        <v>29532</v>
      </c>
      <c r="AA346">
        <v>230</v>
      </c>
      <c r="AB346" s="5">
        <v>6792360</v>
      </c>
      <c r="AC346" s="1">
        <v>29532</v>
      </c>
      <c r="AD346">
        <v>230</v>
      </c>
      <c r="AE346" s="1">
        <v>6792360</v>
      </c>
      <c r="AF346" s="1">
        <v>6497.04</v>
      </c>
      <c r="AJ346">
        <v>0</v>
      </c>
      <c r="AK346">
        <v>0</v>
      </c>
      <c r="AL346">
        <v>0</v>
      </c>
      <c r="AM346" s="1">
        <v>36029.040000000001</v>
      </c>
      <c r="AN346" s="1">
        <v>36029.040000000001</v>
      </c>
      <c r="AO346" s="1">
        <v>36029.040000000001</v>
      </c>
      <c r="AP346" s="2">
        <v>42746</v>
      </c>
      <c r="AQ346" t="s">
        <v>72</v>
      </c>
      <c r="AR346" t="s">
        <v>72</v>
      </c>
      <c r="AS346">
        <v>3638</v>
      </c>
      <c r="AT346" s="4">
        <v>42724</v>
      </c>
      <c r="AU346" t="s">
        <v>73</v>
      </c>
      <c r="AV346">
        <v>3638</v>
      </c>
      <c r="AW346" s="4">
        <v>42724</v>
      </c>
      <c r="BD346" s="1">
        <v>6497.04</v>
      </c>
      <c r="BN346" t="s">
        <v>74</v>
      </c>
    </row>
    <row r="347" spans="1:66">
      <c r="A347">
        <v>100066</v>
      </c>
      <c r="B347" s="3" t="s">
        <v>103</v>
      </c>
      <c r="C347" s="1">
        <v>43300101</v>
      </c>
      <c r="D347" t="s">
        <v>67</v>
      </c>
      <c r="H347" t="str">
        <f t="shared" si="25"/>
        <v>04785851009</v>
      </c>
      <c r="I347" t="str">
        <f t="shared" si="26"/>
        <v>12268050155</v>
      </c>
      <c r="K347" t="str">
        <f>""</f>
        <v/>
      </c>
      <c r="M347" t="s">
        <v>68</v>
      </c>
      <c r="N347" t="str">
        <f t="shared" si="24"/>
        <v>FOR</v>
      </c>
      <c r="O347" t="s">
        <v>69</v>
      </c>
      <c r="P347" s="3" t="s">
        <v>75</v>
      </c>
      <c r="Q347">
        <v>2016</v>
      </c>
      <c r="R347" s="2">
        <v>42433</v>
      </c>
      <c r="S347" s="2">
        <v>42436</v>
      </c>
      <c r="T347" s="2">
        <v>42434</v>
      </c>
      <c r="U347" s="2">
        <v>42494</v>
      </c>
      <c r="V347" t="s">
        <v>71</v>
      </c>
      <c r="W347" t="str">
        <f>"          1010932604"</f>
        <v xml:space="preserve">          1010932604</v>
      </c>
      <c r="X347" s="1">
        <v>14332.56</v>
      </c>
      <c r="Y347">
        <v>0</v>
      </c>
      <c r="Z347" s="5">
        <v>11748</v>
      </c>
      <c r="AA347">
        <v>230</v>
      </c>
      <c r="AB347" s="5">
        <v>2702040</v>
      </c>
      <c r="AC347" s="1">
        <v>11748</v>
      </c>
      <c r="AD347">
        <v>230</v>
      </c>
      <c r="AE347" s="1">
        <v>2702040</v>
      </c>
      <c r="AF347" s="1">
        <v>2584.56</v>
      </c>
      <c r="AJ347">
        <v>0</v>
      </c>
      <c r="AK347">
        <v>0</v>
      </c>
      <c r="AL347">
        <v>0</v>
      </c>
      <c r="AM347" s="1">
        <v>14332.56</v>
      </c>
      <c r="AN347" s="1">
        <v>14332.56</v>
      </c>
      <c r="AO347" s="1">
        <v>14332.56</v>
      </c>
      <c r="AP347" s="2">
        <v>42746</v>
      </c>
      <c r="AQ347" t="s">
        <v>72</v>
      </c>
      <c r="AR347" t="s">
        <v>72</v>
      </c>
      <c r="AS347">
        <v>3638</v>
      </c>
      <c r="AT347" s="4">
        <v>42724</v>
      </c>
      <c r="AU347" t="s">
        <v>73</v>
      </c>
      <c r="AV347">
        <v>3638</v>
      </c>
      <c r="AW347" s="4">
        <v>42724</v>
      </c>
      <c r="BD347" s="1">
        <v>2584.56</v>
      </c>
      <c r="BN347" t="s">
        <v>74</v>
      </c>
    </row>
    <row r="348" spans="1:66">
      <c r="A348">
        <v>100066</v>
      </c>
      <c r="B348" s="3" t="s">
        <v>103</v>
      </c>
      <c r="C348" s="1">
        <v>43300101</v>
      </c>
      <c r="D348" t="s">
        <v>67</v>
      </c>
      <c r="H348" t="str">
        <f t="shared" si="25"/>
        <v>04785851009</v>
      </c>
      <c r="I348" t="str">
        <f t="shared" si="26"/>
        <v>12268050155</v>
      </c>
      <c r="K348" t="str">
        <f>""</f>
        <v/>
      </c>
      <c r="M348" t="s">
        <v>68</v>
      </c>
      <c r="N348" t="str">
        <f t="shared" si="24"/>
        <v>FOR</v>
      </c>
      <c r="O348" t="s">
        <v>69</v>
      </c>
      <c r="P348" s="3" t="s">
        <v>75</v>
      </c>
      <c r="Q348">
        <v>2016</v>
      </c>
      <c r="R348" s="2">
        <v>42436</v>
      </c>
      <c r="S348" s="2">
        <v>42438</v>
      </c>
      <c r="T348" s="2">
        <v>42437</v>
      </c>
      <c r="U348" s="2">
        <v>42497</v>
      </c>
      <c r="V348" t="s">
        <v>71</v>
      </c>
      <c r="W348" t="str">
        <f>"          1010932819"</f>
        <v xml:space="preserve">          1010932819</v>
      </c>
      <c r="X348" s="1">
        <v>16079.6</v>
      </c>
      <c r="Y348">
        <v>0</v>
      </c>
      <c r="Z348" s="5">
        <v>13180</v>
      </c>
      <c r="AA348">
        <v>227</v>
      </c>
      <c r="AB348" s="5">
        <v>2991860</v>
      </c>
      <c r="AC348" s="1">
        <v>13180</v>
      </c>
      <c r="AD348">
        <v>227</v>
      </c>
      <c r="AE348" s="1">
        <v>2991860</v>
      </c>
      <c r="AF348" s="1">
        <v>2899.6</v>
      </c>
      <c r="AJ348">
        <v>0</v>
      </c>
      <c r="AK348">
        <v>0</v>
      </c>
      <c r="AL348">
        <v>0</v>
      </c>
      <c r="AM348" s="1">
        <v>16079.6</v>
      </c>
      <c r="AN348" s="1">
        <v>16079.6</v>
      </c>
      <c r="AO348" s="1">
        <v>16079.6</v>
      </c>
      <c r="AP348" s="2">
        <v>42746</v>
      </c>
      <c r="AQ348" t="s">
        <v>72</v>
      </c>
      <c r="AR348" t="s">
        <v>72</v>
      </c>
      <c r="AS348">
        <v>3638</v>
      </c>
      <c r="AT348" s="4">
        <v>42724</v>
      </c>
      <c r="AU348" t="s">
        <v>73</v>
      </c>
      <c r="AV348">
        <v>3638</v>
      </c>
      <c r="AW348" s="4">
        <v>42724</v>
      </c>
      <c r="BD348" s="1">
        <v>2899.6</v>
      </c>
      <c r="BN348" t="s">
        <v>74</v>
      </c>
    </row>
    <row r="349" spans="1:66">
      <c r="A349">
        <v>100066</v>
      </c>
      <c r="B349" s="3" t="s">
        <v>103</v>
      </c>
      <c r="C349" s="1">
        <v>43300101</v>
      </c>
      <c r="D349" t="s">
        <v>67</v>
      </c>
      <c r="H349" t="str">
        <f t="shared" si="25"/>
        <v>04785851009</v>
      </c>
      <c r="I349" t="str">
        <f t="shared" si="26"/>
        <v>12268050155</v>
      </c>
      <c r="K349" t="str">
        <f>""</f>
        <v/>
      </c>
      <c r="M349" t="s">
        <v>68</v>
      </c>
      <c r="N349" t="str">
        <f t="shared" si="24"/>
        <v>FOR</v>
      </c>
      <c r="O349" t="s">
        <v>69</v>
      </c>
      <c r="P349" s="3" t="s">
        <v>75</v>
      </c>
      <c r="Q349">
        <v>2016</v>
      </c>
      <c r="R349" s="2">
        <v>42436</v>
      </c>
      <c r="S349" s="2">
        <v>42438</v>
      </c>
      <c r="T349" s="2">
        <v>42437</v>
      </c>
      <c r="U349" s="2">
        <v>42497</v>
      </c>
      <c r="V349" t="s">
        <v>71</v>
      </c>
      <c r="W349" t="str">
        <f>"          1010932820"</f>
        <v xml:space="preserve">          1010932820</v>
      </c>
      <c r="X349" s="1">
        <v>9056.06</v>
      </c>
      <c r="Y349">
        <v>0</v>
      </c>
      <c r="Z349" s="5">
        <v>7423</v>
      </c>
      <c r="AA349">
        <v>227</v>
      </c>
      <c r="AB349" s="5">
        <v>1685021</v>
      </c>
      <c r="AC349" s="1">
        <v>7423</v>
      </c>
      <c r="AD349">
        <v>227</v>
      </c>
      <c r="AE349" s="1">
        <v>1685021</v>
      </c>
      <c r="AF349" s="1">
        <v>1633.06</v>
      </c>
      <c r="AJ349">
        <v>0</v>
      </c>
      <c r="AK349">
        <v>0</v>
      </c>
      <c r="AL349">
        <v>0</v>
      </c>
      <c r="AM349" s="1">
        <v>9056.06</v>
      </c>
      <c r="AN349" s="1">
        <v>9056.06</v>
      </c>
      <c r="AO349" s="1">
        <v>9056.06</v>
      </c>
      <c r="AP349" s="2">
        <v>42746</v>
      </c>
      <c r="AQ349" t="s">
        <v>72</v>
      </c>
      <c r="AR349" t="s">
        <v>72</v>
      </c>
      <c r="AS349">
        <v>3638</v>
      </c>
      <c r="AT349" s="4">
        <v>42724</v>
      </c>
      <c r="AU349" t="s">
        <v>73</v>
      </c>
      <c r="AV349">
        <v>3638</v>
      </c>
      <c r="AW349" s="4">
        <v>42724</v>
      </c>
      <c r="BD349" s="1">
        <v>1633.06</v>
      </c>
      <c r="BN349" t="s">
        <v>74</v>
      </c>
    </row>
    <row r="350" spans="1:66">
      <c r="A350">
        <v>100066</v>
      </c>
      <c r="B350" s="3" t="s">
        <v>103</v>
      </c>
      <c r="C350" s="1">
        <v>43300101</v>
      </c>
      <c r="D350" t="s">
        <v>67</v>
      </c>
      <c r="H350" t="str">
        <f t="shared" si="25"/>
        <v>04785851009</v>
      </c>
      <c r="I350" t="str">
        <f t="shared" si="26"/>
        <v>12268050155</v>
      </c>
      <c r="K350" t="str">
        <f>""</f>
        <v/>
      </c>
      <c r="M350" t="s">
        <v>68</v>
      </c>
      <c r="N350" t="str">
        <f t="shared" si="24"/>
        <v>FOR</v>
      </c>
      <c r="O350" t="s">
        <v>69</v>
      </c>
      <c r="P350" s="3" t="s">
        <v>75</v>
      </c>
      <c r="Q350">
        <v>2016</v>
      </c>
      <c r="R350" s="2">
        <v>42436</v>
      </c>
      <c r="S350" s="2">
        <v>42438</v>
      </c>
      <c r="T350" s="2">
        <v>42437</v>
      </c>
      <c r="U350" s="2">
        <v>42497</v>
      </c>
      <c r="V350" t="s">
        <v>71</v>
      </c>
      <c r="W350" t="str">
        <f>"          1010932821"</f>
        <v xml:space="preserve">          1010932821</v>
      </c>
      <c r="X350" s="1">
        <v>14579</v>
      </c>
      <c r="Y350">
        <v>0</v>
      </c>
      <c r="Z350" s="5">
        <v>11950</v>
      </c>
      <c r="AA350">
        <v>227</v>
      </c>
      <c r="AB350" s="5">
        <v>2712650</v>
      </c>
      <c r="AC350" s="1">
        <v>11950</v>
      </c>
      <c r="AD350">
        <v>227</v>
      </c>
      <c r="AE350" s="1">
        <v>2712650</v>
      </c>
      <c r="AF350" s="1">
        <v>2629</v>
      </c>
      <c r="AJ350">
        <v>0</v>
      </c>
      <c r="AK350">
        <v>0</v>
      </c>
      <c r="AL350">
        <v>0</v>
      </c>
      <c r="AM350" s="1">
        <v>14579</v>
      </c>
      <c r="AN350" s="1">
        <v>14579</v>
      </c>
      <c r="AO350" s="1">
        <v>14579</v>
      </c>
      <c r="AP350" s="2">
        <v>42746</v>
      </c>
      <c r="AQ350" t="s">
        <v>72</v>
      </c>
      <c r="AR350" t="s">
        <v>72</v>
      </c>
      <c r="AS350">
        <v>3638</v>
      </c>
      <c r="AT350" s="4">
        <v>42724</v>
      </c>
      <c r="AU350" t="s">
        <v>73</v>
      </c>
      <c r="AV350">
        <v>3638</v>
      </c>
      <c r="AW350" s="4">
        <v>42724</v>
      </c>
      <c r="BD350" s="1">
        <v>2629</v>
      </c>
      <c r="BN350" t="s">
        <v>74</v>
      </c>
    </row>
    <row r="351" spans="1:66">
      <c r="A351">
        <v>100066</v>
      </c>
      <c r="B351" s="3" t="s">
        <v>103</v>
      </c>
      <c r="C351" s="1">
        <v>43300101</v>
      </c>
      <c r="D351" t="s">
        <v>67</v>
      </c>
      <c r="H351" t="str">
        <f t="shared" si="25"/>
        <v>04785851009</v>
      </c>
      <c r="I351" t="str">
        <f t="shared" si="26"/>
        <v>12268050155</v>
      </c>
      <c r="K351" t="str">
        <f>""</f>
        <v/>
      </c>
      <c r="M351" t="s">
        <v>68</v>
      </c>
      <c r="N351" t="str">
        <f t="shared" si="24"/>
        <v>FOR</v>
      </c>
      <c r="O351" t="s">
        <v>69</v>
      </c>
      <c r="P351" s="3" t="s">
        <v>75</v>
      </c>
      <c r="Q351">
        <v>2016</v>
      </c>
      <c r="R351" s="2">
        <v>42437</v>
      </c>
      <c r="S351" s="2">
        <v>42438</v>
      </c>
      <c r="T351" s="2">
        <v>42438</v>
      </c>
      <c r="U351" s="2">
        <v>42498</v>
      </c>
      <c r="V351" t="s">
        <v>71</v>
      </c>
      <c r="W351" t="str">
        <f>"          1010933051"</f>
        <v xml:space="preserve">          1010933051</v>
      </c>
      <c r="X351" s="1">
        <v>1114.5899999999999</v>
      </c>
      <c r="Y351">
        <v>0</v>
      </c>
      <c r="Z351" s="3">
        <v>913.6</v>
      </c>
      <c r="AA351">
        <v>226</v>
      </c>
      <c r="AB351" s="5">
        <v>206473.60000000001</v>
      </c>
      <c r="AC351">
        <v>913.6</v>
      </c>
      <c r="AD351">
        <v>226</v>
      </c>
      <c r="AE351" s="1">
        <v>206473.60000000001</v>
      </c>
      <c r="AF351">
        <v>200.99</v>
      </c>
      <c r="AJ351">
        <v>0</v>
      </c>
      <c r="AK351">
        <v>0</v>
      </c>
      <c r="AL351">
        <v>0</v>
      </c>
      <c r="AM351" s="1">
        <v>1114.5899999999999</v>
      </c>
      <c r="AN351" s="1">
        <v>1114.5899999999999</v>
      </c>
      <c r="AO351" s="1">
        <v>1114.5899999999999</v>
      </c>
      <c r="AP351" s="2">
        <v>42746</v>
      </c>
      <c r="AQ351" t="s">
        <v>72</v>
      </c>
      <c r="AR351" t="s">
        <v>72</v>
      </c>
      <c r="AS351">
        <v>3638</v>
      </c>
      <c r="AT351" s="4">
        <v>42724</v>
      </c>
      <c r="AU351" t="s">
        <v>73</v>
      </c>
      <c r="AV351">
        <v>3638</v>
      </c>
      <c r="AW351" s="4">
        <v>42724</v>
      </c>
      <c r="BD351">
        <v>200.99</v>
      </c>
      <c r="BN351" t="s">
        <v>74</v>
      </c>
    </row>
    <row r="352" spans="1:66">
      <c r="A352">
        <v>100066</v>
      </c>
      <c r="B352" s="3" t="s">
        <v>103</v>
      </c>
      <c r="C352" s="1">
        <v>43300101</v>
      </c>
      <c r="D352" t="s">
        <v>67</v>
      </c>
      <c r="H352" t="str">
        <f t="shared" si="25"/>
        <v>04785851009</v>
      </c>
      <c r="I352" t="str">
        <f t="shared" si="26"/>
        <v>12268050155</v>
      </c>
      <c r="K352" t="str">
        <f>""</f>
        <v/>
      </c>
      <c r="M352" t="s">
        <v>68</v>
      </c>
      <c r="N352" t="str">
        <f t="shared" si="24"/>
        <v>FOR</v>
      </c>
      <c r="O352" t="s">
        <v>69</v>
      </c>
      <c r="P352" s="3" t="s">
        <v>75</v>
      </c>
      <c r="Q352">
        <v>2016</v>
      </c>
      <c r="R352" s="2">
        <v>42438</v>
      </c>
      <c r="S352" s="2">
        <v>42443</v>
      </c>
      <c r="T352" s="2">
        <v>42439</v>
      </c>
      <c r="U352" s="2">
        <v>42499</v>
      </c>
      <c r="V352" t="s">
        <v>71</v>
      </c>
      <c r="W352" t="str">
        <f>"          1010933242"</f>
        <v xml:space="preserve">          1010933242</v>
      </c>
      <c r="X352" s="1">
        <v>1830</v>
      </c>
      <c r="Y352">
        <v>0</v>
      </c>
      <c r="Z352" s="5">
        <v>1500</v>
      </c>
      <c r="AA352">
        <v>225</v>
      </c>
      <c r="AB352" s="5">
        <v>337500</v>
      </c>
      <c r="AC352" s="1">
        <v>1500</v>
      </c>
      <c r="AD352">
        <v>225</v>
      </c>
      <c r="AE352" s="1">
        <v>337500</v>
      </c>
      <c r="AF352">
        <v>330</v>
      </c>
      <c r="AJ352">
        <v>0</v>
      </c>
      <c r="AK352">
        <v>0</v>
      </c>
      <c r="AL352">
        <v>0</v>
      </c>
      <c r="AM352" s="1">
        <v>1830</v>
      </c>
      <c r="AN352" s="1">
        <v>1830</v>
      </c>
      <c r="AO352" s="1">
        <v>1830</v>
      </c>
      <c r="AP352" s="2">
        <v>42746</v>
      </c>
      <c r="AQ352" t="s">
        <v>72</v>
      </c>
      <c r="AR352" t="s">
        <v>72</v>
      </c>
      <c r="AS352">
        <v>3638</v>
      </c>
      <c r="AT352" s="4">
        <v>42724</v>
      </c>
      <c r="AU352" t="s">
        <v>73</v>
      </c>
      <c r="AV352">
        <v>3638</v>
      </c>
      <c r="AW352" s="4">
        <v>42724</v>
      </c>
      <c r="BD352">
        <v>330</v>
      </c>
      <c r="BN352" t="s">
        <v>74</v>
      </c>
    </row>
    <row r="353" spans="1:66">
      <c r="A353">
        <v>100066</v>
      </c>
      <c r="B353" s="3" t="s">
        <v>103</v>
      </c>
      <c r="C353" s="1">
        <v>43300101</v>
      </c>
      <c r="D353" t="s">
        <v>67</v>
      </c>
      <c r="H353" t="str">
        <f t="shared" si="25"/>
        <v>04785851009</v>
      </c>
      <c r="I353" t="str">
        <f t="shared" si="26"/>
        <v>12268050155</v>
      </c>
      <c r="K353" t="str">
        <f>""</f>
        <v/>
      </c>
      <c r="M353" t="s">
        <v>68</v>
      </c>
      <c r="N353" t="str">
        <f t="shared" si="24"/>
        <v>FOR</v>
      </c>
      <c r="O353" t="s">
        <v>69</v>
      </c>
      <c r="P353" s="3" t="s">
        <v>75</v>
      </c>
      <c r="Q353">
        <v>2016</v>
      </c>
      <c r="R353" s="2">
        <v>42439</v>
      </c>
      <c r="S353" s="2">
        <v>42443</v>
      </c>
      <c r="T353" s="2">
        <v>42441</v>
      </c>
      <c r="U353" s="2">
        <v>42501</v>
      </c>
      <c r="V353" t="s">
        <v>71</v>
      </c>
      <c r="W353" t="str">
        <f>"          1010933477"</f>
        <v xml:space="preserve">          1010933477</v>
      </c>
      <c r="X353" s="1">
        <v>15525.72</v>
      </c>
      <c r="Y353">
        <v>0</v>
      </c>
      <c r="Z353" s="5">
        <v>12726</v>
      </c>
      <c r="AA353">
        <v>223</v>
      </c>
      <c r="AB353" s="5">
        <v>2837898</v>
      </c>
      <c r="AC353" s="1">
        <v>12726</v>
      </c>
      <c r="AD353">
        <v>223</v>
      </c>
      <c r="AE353" s="1">
        <v>2837898</v>
      </c>
      <c r="AF353" s="1">
        <v>2799.72</v>
      </c>
      <c r="AJ353">
        <v>0</v>
      </c>
      <c r="AK353">
        <v>0</v>
      </c>
      <c r="AL353">
        <v>0</v>
      </c>
      <c r="AM353" s="1">
        <v>15525.72</v>
      </c>
      <c r="AN353" s="1">
        <v>15525.72</v>
      </c>
      <c r="AO353" s="1">
        <v>15525.72</v>
      </c>
      <c r="AP353" s="2">
        <v>42746</v>
      </c>
      <c r="AQ353" t="s">
        <v>72</v>
      </c>
      <c r="AR353" t="s">
        <v>72</v>
      </c>
      <c r="AS353">
        <v>3638</v>
      </c>
      <c r="AT353" s="4">
        <v>42724</v>
      </c>
      <c r="AU353" t="s">
        <v>73</v>
      </c>
      <c r="AV353">
        <v>3638</v>
      </c>
      <c r="AW353" s="4">
        <v>42724</v>
      </c>
      <c r="BD353" s="1">
        <v>2799.72</v>
      </c>
      <c r="BN353" t="s">
        <v>74</v>
      </c>
    </row>
    <row r="354" spans="1:66">
      <c r="A354">
        <v>100066</v>
      </c>
      <c r="B354" s="3" t="s">
        <v>103</v>
      </c>
      <c r="C354" s="1">
        <v>43300101</v>
      </c>
      <c r="D354" t="s">
        <v>67</v>
      </c>
      <c r="H354" t="str">
        <f t="shared" si="25"/>
        <v>04785851009</v>
      </c>
      <c r="I354" t="str">
        <f t="shared" si="26"/>
        <v>12268050155</v>
      </c>
      <c r="K354" t="str">
        <f>""</f>
        <v/>
      </c>
      <c r="M354" t="s">
        <v>68</v>
      </c>
      <c r="N354" t="str">
        <f t="shared" si="24"/>
        <v>FOR</v>
      </c>
      <c r="O354" t="s">
        <v>69</v>
      </c>
      <c r="P354" s="3" t="s">
        <v>75</v>
      </c>
      <c r="Q354">
        <v>2016</v>
      </c>
      <c r="R354" s="2">
        <v>42440</v>
      </c>
      <c r="S354" s="2">
        <v>42443</v>
      </c>
      <c r="T354" s="2">
        <v>42441</v>
      </c>
      <c r="U354" s="2">
        <v>42501</v>
      </c>
      <c r="V354" t="s">
        <v>71</v>
      </c>
      <c r="W354" t="str">
        <f>"          1010933711"</f>
        <v xml:space="preserve">          1010933711</v>
      </c>
      <c r="X354">
        <v>366</v>
      </c>
      <c r="Y354">
        <v>0</v>
      </c>
      <c r="Z354" s="3">
        <v>300</v>
      </c>
      <c r="AA354">
        <v>223</v>
      </c>
      <c r="AB354" s="5">
        <v>66900</v>
      </c>
      <c r="AC354">
        <v>300</v>
      </c>
      <c r="AD354">
        <v>223</v>
      </c>
      <c r="AE354" s="1">
        <v>66900</v>
      </c>
      <c r="AF354">
        <v>66</v>
      </c>
      <c r="AJ354">
        <v>0</v>
      </c>
      <c r="AK354">
        <v>0</v>
      </c>
      <c r="AL354">
        <v>0</v>
      </c>
      <c r="AM354">
        <v>366</v>
      </c>
      <c r="AN354">
        <v>366</v>
      </c>
      <c r="AO354">
        <v>366</v>
      </c>
      <c r="AP354" s="2">
        <v>42746</v>
      </c>
      <c r="AQ354" t="s">
        <v>72</v>
      </c>
      <c r="AR354" t="s">
        <v>72</v>
      </c>
      <c r="AS354">
        <v>3638</v>
      </c>
      <c r="AT354" s="4">
        <v>42724</v>
      </c>
      <c r="AU354" t="s">
        <v>73</v>
      </c>
      <c r="AV354">
        <v>3638</v>
      </c>
      <c r="AW354" s="4">
        <v>42724</v>
      </c>
      <c r="BD354">
        <v>66</v>
      </c>
      <c r="BN354" t="s">
        <v>74</v>
      </c>
    </row>
    <row r="355" spans="1:66">
      <c r="A355">
        <v>100066</v>
      </c>
      <c r="B355" s="3" t="s">
        <v>103</v>
      </c>
      <c r="C355" s="1">
        <v>43300101</v>
      </c>
      <c r="D355" t="s">
        <v>67</v>
      </c>
      <c r="H355" t="str">
        <f t="shared" si="25"/>
        <v>04785851009</v>
      </c>
      <c r="I355" t="str">
        <f t="shared" si="26"/>
        <v>12268050155</v>
      </c>
      <c r="K355" t="str">
        <f>""</f>
        <v/>
      </c>
      <c r="M355" t="s">
        <v>68</v>
      </c>
      <c r="N355" t="str">
        <f t="shared" si="24"/>
        <v>FOR</v>
      </c>
      <c r="O355" t="s">
        <v>69</v>
      </c>
      <c r="P355" s="3" t="s">
        <v>75</v>
      </c>
      <c r="Q355">
        <v>2016</v>
      </c>
      <c r="R355" s="2">
        <v>42445</v>
      </c>
      <c r="S355" s="2">
        <v>42446</v>
      </c>
      <c r="T355" s="2">
        <v>42446</v>
      </c>
      <c r="U355" s="2">
        <v>42506</v>
      </c>
      <c r="V355" t="s">
        <v>71</v>
      </c>
      <c r="W355" t="str">
        <f>"          1010934404"</f>
        <v xml:space="preserve">          1010934404</v>
      </c>
      <c r="X355" s="1">
        <v>3343.78</v>
      </c>
      <c r="Y355">
        <v>0</v>
      </c>
      <c r="Z355" s="5">
        <v>2740.8</v>
      </c>
      <c r="AA355">
        <v>218</v>
      </c>
      <c r="AB355" s="5">
        <v>597494.4</v>
      </c>
      <c r="AC355" s="1">
        <v>2740.8</v>
      </c>
      <c r="AD355">
        <v>218</v>
      </c>
      <c r="AE355" s="1">
        <v>597494.4</v>
      </c>
      <c r="AF355">
        <v>602.98</v>
      </c>
      <c r="AJ355">
        <v>0</v>
      </c>
      <c r="AK355">
        <v>0</v>
      </c>
      <c r="AL355">
        <v>0</v>
      </c>
      <c r="AM355" s="1">
        <v>3343.78</v>
      </c>
      <c r="AN355" s="1">
        <v>3343.78</v>
      </c>
      <c r="AO355" s="1">
        <v>3343.78</v>
      </c>
      <c r="AP355" s="2">
        <v>42746</v>
      </c>
      <c r="AQ355" t="s">
        <v>72</v>
      </c>
      <c r="AR355" t="s">
        <v>72</v>
      </c>
      <c r="AS355">
        <v>3638</v>
      </c>
      <c r="AT355" s="4">
        <v>42724</v>
      </c>
      <c r="AU355" t="s">
        <v>73</v>
      </c>
      <c r="AV355">
        <v>3638</v>
      </c>
      <c r="AW355" s="4">
        <v>42724</v>
      </c>
      <c r="BD355">
        <v>602.98</v>
      </c>
      <c r="BN355" t="s">
        <v>74</v>
      </c>
    </row>
    <row r="356" spans="1:66">
      <c r="A356">
        <v>100066</v>
      </c>
      <c r="B356" s="3" t="s">
        <v>103</v>
      </c>
      <c r="C356" s="1">
        <v>43300101</v>
      </c>
      <c r="D356" t="s">
        <v>67</v>
      </c>
      <c r="H356" t="str">
        <f t="shared" si="25"/>
        <v>04785851009</v>
      </c>
      <c r="I356" t="str">
        <f t="shared" si="26"/>
        <v>12268050155</v>
      </c>
      <c r="K356" t="str">
        <f>""</f>
        <v/>
      </c>
      <c r="M356" t="s">
        <v>68</v>
      </c>
      <c r="N356" t="str">
        <f t="shared" si="24"/>
        <v>FOR</v>
      </c>
      <c r="O356" t="s">
        <v>69</v>
      </c>
      <c r="P356" s="3" t="s">
        <v>75</v>
      </c>
      <c r="Q356">
        <v>2016</v>
      </c>
      <c r="R356" s="2">
        <v>42447</v>
      </c>
      <c r="S356" s="2">
        <v>42448</v>
      </c>
      <c r="T356" s="2">
        <v>42448</v>
      </c>
      <c r="U356" s="2">
        <v>42508</v>
      </c>
      <c r="V356" t="s">
        <v>71</v>
      </c>
      <c r="W356" t="str">
        <f>"          1010934827"</f>
        <v xml:space="preserve">          1010934827</v>
      </c>
      <c r="X356" s="1">
        <v>2229.1799999999998</v>
      </c>
      <c r="Y356">
        <v>0</v>
      </c>
      <c r="Z356" s="5">
        <v>1827.2</v>
      </c>
      <c r="AA356">
        <v>216</v>
      </c>
      <c r="AB356" s="5">
        <v>394675.20000000001</v>
      </c>
      <c r="AC356" s="1">
        <v>1827.2</v>
      </c>
      <c r="AD356">
        <v>216</v>
      </c>
      <c r="AE356" s="1">
        <v>394675.20000000001</v>
      </c>
      <c r="AF356">
        <v>401.98</v>
      </c>
      <c r="AJ356">
        <v>0</v>
      </c>
      <c r="AK356">
        <v>0</v>
      </c>
      <c r="AL356">
        <v>0</v>
      </c>
      <c r="AM356" s="1">
        <v>2229.1799999999998</v>
      </c>
      <c r="AN356" s="1">
        <v>2229.1799999999998</v>
      </c>
      <c r="AO356" s="1">
        <v>2229.1799999999998</v>
      </c>
      <c r="AP356" s="2">
        <v>42746</v>
      </c>
      <c r="AQ356" t="s">
        <v>72</v>
      </c>
      <c r="AR356" t="s">
        <v>72</v>
      </c>
      <c r="AS356">
        <v>3638</v>
      </c>
      <c r="AT356" s="4">
        <v>42724</v>
      </c>
      <c r="AU356" t="s">
        <v>73</v>
      </c>
      <c r="AV356">
        <v>3638</v>
      </c>
      <c r="AW356" s="4">
        <v>42724</v>
      </c>
      <c r="BD356">
        <v>401.98</v>
      </c>
      <c r="BN356" t="s">
        <v>74</v>
      </c>
    </row>
    <row r="357" spans="1:66">
      <c r="A357">
        <v>100066</v>
      </c>
      <c r="B357" s="3" t="s">
        <v>103</v>
      </c>
      <c r="C357" s="1">
        <v>43300101</v>
      </c>
      <c r="D357" t="s">
        <v>67</v>
      </c>
      <c r="H357" t="str">
        <f t="shared" si="25"/>
        <v>04785851009</v>
      </c>
      <c r="I357" t="str">
        <f t="shared" si="26"/>
        <v>12268050155</v>
      </c>
      <c r="K357" t="str">
        <f>""</f>
        <v/>
      </c>
      <c r="M357" t="s">
        <v>68</v>
      </c>
      <c r="N357" t="str">
        <f t="shared" si="24"/>
        <v>FOR</v>
      </c>
      <c r="O357" t="s">
        <v>69</v>
      </c>
      <c r="P357" s="3" t="s">
        <v>75</v>
      </c>
      <c r="Q357">
        <v>2016</v>
      </c>
      <c r="R357" s="2">
        <v>42450</v>
      </c>
      <c r="S357" s="2">
        <v>42452</v>
      </c>
      <c r="T357" s="2">
        <v>42451</v>
      </c>
      <c r="U357" s="2">
        <v>42511</v>
      </c>
      <c r="V357" t="s">
        <v>71</v>
      </c>
      <c r="W357" t="str">
        <f>"          1010935220"</f>
        <v xml:space="preserve">          1010935220</v>
      </c>
      <c r="X357">
        <v>768.6</v>
      </c>
      <c r="Y357">
        <v>0</v>
      </c>
      <c r="Z357" s="3">
        <v>630</v>
      </c>
      <c r="AA357">
        <v>213</v>
      </c>
      <c r="AB357" s="5">
        <v>134190</v>
      </c>
      <c r="AC357">
        <v>630</v>
      </c>
      <c r="AD357">
        <v>213</v>
      </c>
      <c r="AE357" s="1">
        <v>134190</v>
      </c>
      <c r="AF357">
        <v>138.6</v>
      </c>
      <c r="AJ357">
        <v>0</v>
      </c>
      <c r="AK357">
        <v>0</v>
      </c>
      <c r="AL357">
        <v>0</v>
      </c>
      <c r="AM357">
        <v>768.6</v>
      </c>
      <c r="AN357">
        <v>768.6</v>
      </c>
      <c r="AO357">
        <v>768.6</v>
      </c>
      <c r="AP357" s="2">
        <v>42746</v>
      </c>
      <c r="AQ357" t="s">
        <v>72</v>
      </c>
      <c r="AR357" t="s">
        <v>72</v>
      </c>
      <c r="AS357">
        <v>3638</v>
      </c>
      <c r="AT357" s="4">
        <v>42724</v>
      </c>
      <c r="AU357" t="s">
        <v>73</v>
      </c>
      <c r="AV357">
        <v>3638</v>
      </c>
      <c r="AW357" s="4">
        <v>42724</v>
      </c>
      <c r="BD357">
        <v>138.6</v>
      </c>
      <c r="BN357" t="s">
        <v>74</v>
      </c>
    </row>
    <row r="358" spans="1:66">
      <c r="A358">
        <v>100066</v>
      </c>
      <c r="B358" s="3" t="s">
        <v>103</v>
      </c>
      <c r="C358" s="1">
        <v>43300101</v>
      </c>
      <c r="D358" t="s">
        <v>67</v>
      </c>
      <c r="H358" t="str">
        <f t="shared" si="25"/>
        <v>04785851009</v>
      </c>
      <c r="I358" t="str">
        <f t="shared" si="26"/>
        <v>12268050155</v>
      </c>
      <c r="K358" t="str">
        <f>""</f>
        <v/>
      </c>
      <c r="M358" t="s">
        <v>68</v>
      </c>
      <c r="N358" t="str">
        <f t="shared" si="24"/>
        <v>FOR</v>
      </c>
      <c r="O358" t="s">
        <v>69</v>
      </c>
      <c r="P358" s="3" t="s">
        <v>75</v>
      </c>
      <c r="Q358">
        <v>2016</v>
      </c>
      <c r="R358" s="2">
        <v>42454</v>
      </c>
      <c r="S358" s="2">
        <v>42461</v>
      </c>
      <c r="T358" s="2">
        <v>42459</v>
      </c>
      <c r="U358" s="2">
        <v>42519</v>
      </c>
      <c r="V358" t="s">
        <v>71</v>
      </c>
      <c r="W358" t="str">
        <f>"          1010936971"</f>
        <v xml:space="preserve">          1010936971</v>
      </c>
      <c r="X358" s="1">
        <v>12199.99</v>
      </c>
      <c r="Y358">
        <v>0</v>
      </c>
      <c r="Z358" s="5">
        <v>9999.99</v>
      </c>
      <c r="AA358">
        <v>205</v>
      </c>
      <c r="AB358" s="5">
        <v>2049997.95</v>
      </c>
      <c r="AC358" s="1">
        <v>9999.99</v>
      </c>
      <c r="AD358">
        <v>205</v>
      </c>
      <c r="AE358" s="1">
        <v>2049997.95</v>
      </c>
      <c r="AF358" s="1">
        <v>2200</v>
      </c>
      <c r="AJ358">
        <v>0</v>
      </c>
      <c r="AK358">
        <v>0</v>
      </c>
      <c r="AL358">
        <v>0</v>
      </c>
      <c r="AM358" s="1">
        <v>12199.99</v>
      </c>
      <c r="AN358" s="1">
        <v>12199.99</v>
      </c>
      <c r="AO358" s="1">
        <v>12199.99</v>
      </c>
      <c r="AP358" s="2">
        <v>42746</v>
      </c>
      <c r="AQ358" t="s">
        <v>72</v>
      </c>
      <c r="AR358" t="s">
        <v>72</v>
      </c>
      <c r="AS358">
        <v>3638</v>
      </c>
      <c r="AT358" s="4">
        <v>42724</v>
      </c>
      <c r="AU358" t="s">
        <v>73</v>
      </c>
      <c r="AV358">
        <v>3638</v>
      </c>
      <c r="AW358" s="4">
        <v>42724</v>
      </c>
      <c r="BD358" s="1">
        <v>2200</v>
      </c>
      <c r="BN358" t="s">
        <v>74</v>
      </c>
    </row>
    <row r="359" spans="1:66">
      <c r="A359">
        <v>100066</v>
      </c>
      <c r="B359" s="3" t="s">
        <v>103</v>
      </c>
      <c r="C359" s="1">
        <v>43300101</v>
      </c>
      <c r="D359" t="s">
        <v>67</v>
      </c>
      <c r="H359" t="str">
        <f t="shared" si="25"/>
        <v>04785851009</v>
      </c>
      <c r="I359" t="str">
        <f t="shared" si="26"/>
        <v>12268050155</v>
      </c>
      <c r="K359" t="str">
        <f>""</f>
        <v/>
      </c>
      <c r="M359" t="s">
        <v>68</v>
      </c>
      <c r="N359" t="str">
        <f t="shared" si="24"/>
        <v>FOR</v>
      </c>
      <c r="O359" t="s">
        <v>69</v>
      </c>
      <c r="P359" s="3" t="s">
        <v>75</v>
      </c>
      <c r="Q359">
        <v>2016</v>
      </c>
      <c r="R359" s="2">
        <v>42454</v>
      </c>
      <c r="S359" s="2">
        <v>42461</v>
      </c>
      <c r="T359" s="2">
        <v>42459</v>
      </c>
      <c r="U359" s="2">
        <v>42519</v>
      </c>
      <c r="V359" t="s">
        <v>71</v>
      </c>
      <c r="W359" t="str">
        <f>"          1010936972"</f>
        <v xml:space="preserve">          1010936972</v>
      </c>
      <c r="X359" s="1">
        <v>1638.69</v>
      </c>
      <c r="Y359">
        <v>0</v>
      </c>
      <c r="Z359" s="5">
        <v>1343.19</v>
      </c>
      <c r="AA359">
        <v>205</v>
      </c>
      <c r="AB359" s="5">
        <v>275353.95</v>
      </c>
      <c r="AC359" s="1">
        <v>1343.19</v>
      </c>
      <c r="AD359">
        <v>205</v>
      </c>
      <c r="AE359" s="1">
        <v>275353.95</v>
      </c>
      <c r="AF359">
        <v>295.5</v>
      </c>
      <c r="AJ359">
        <v>0</v>
      </c>
      <c r="AK359">
        <v>0</v>
      </c>
      <c r="AL359">
        <v>0</v>
      </c>
      <c r="AM359" s="1">
        <v>1638.69</v>
      </c>
      <c r="AN359" s="1">
        <v>1638.69</v>
      </c>
      <c r="AO359" s="1">
        <v>1638.69</v>
      </c>
      <c r="AP359" s="2">
        <v>42746</v>
      </c>
      <c r="AQ359" t="s">
        <v>72</v>
      </c>
      <c r="AR359" t="s">
        <v>72</v>
      </c>
      <c r="AS359">
        <v>3638</v>
      </c>
      <c r="AT359" s="4">
        <v>42724</v>
      </c>
      <c r="AU359" t="s">
        <v>73</v>
      </c>
      <c r="AV359">
        <v>3638</v>
      </c>
      <c r="AW359" s="4">
        <v>42724</v>
      </c>
      <c r="BD359">
        <v>295.5</v>
      </c>
      <c r="BN359" t="s">
        <v>74</v>
      </c>
    </row>
    <row r="360" spans="1:66">
      <c r="A360">
        <v>100066</v>
      </c>
      <c r="B360" s="3" t="s">
        <v>103</v>
      </c>
      <c r="C360" s="1">
        <v>43300101</v>
      </c>
      <c r="D360" t="s">
        <v>67</v>
      </c>
      <c r="H360" t="str">
        <f t="shared" si="25"/>
        <v>04785851009</v>
      </c>
      <c r="I360" t="str">
        <f t="shared" si="26"/>
        <v>12268050155</v>
      </c>
      <c r="K360" t="str">
        <f>""</f>
        <v/>
      </c>
      <c r="M360" t="s">
        <v>68</v>
      </c>
      <c r="N360" t="str">
        <f t="shared" si="24"/>
        <v>FOR</v>
      </c>
      <c r="O360" t="s">
        <v>69</v>
      </c>
      <c r="P360" s="3" t="s">
        <v>75</v>
      </c>
      <c r="Q360">
        <v>2016</v>
      </c>
      <c r="R360" s="2">
        <v>42458</v>
      </c>
      <c r="S360" s="2">
        <v>42459</v>
      </c>
      <c r="T360" s="2">
        <v>42459</v>
      </c>
      <c r="U360" s="2">
        <v>42519</v>
      </c>
      <c r="V360" t="s">
        <v>71</v>
      </c>
      <c r="W360" t="str">
        <f>"          1010937125"</f>
        <v xml:space="preserve">          1010937125</v>
      </c>
      <c r="X360">
        <v>366</v>
      </c>
      <c r="Y360">
        <v>0</v>
      </c>
      <c r="Z360" s="3">
        <v>300</v>
      </c>
      <c r="AA360">
        <v>205</v>
      </c>
      <c r="AB360" s="5">
        <v>61500</v>
      </c>
      <c r="AC360">
        <v>300</v>
      </c>
      <c r="AD360">
        <v>205</v>
      </c>
      <c r="AE360" s="1">
        <v>61500</v>
      </c>
      <c r="AF360">
        <v>66</v>
      </c>
      <c r="AJ360">
        <v>0</v>
      </c>
      <c r="AK360">
        <v>0</v>
      </c>
      <c r="AL360">
        <v>0</v>
      </c>
      <c r="AM360">
        <v>366</v>
      </c>
      <c r="AN360">
        <v>366</v>
      </c>
      <c r="AO360">
        <v>366</v>
      </c>
      <c r="AP360" s="2">
        <v>42746</v>
      </c>
      <c r="AQ360" t="s">
        <v>72</v>
      </c>
      <c r="AR360" t="s">
        <v>72</v>
      </c>
      <c r="AS360">
        <v>3638</v>
      </c>
      <c r="AT360" s="4">
        <v>42724</v>
      </c>
      <c r="AU360" t="s">
        <v>73</v>
      </c>
      <c r="AV360">
        <v>3638</v>
      </c>
      <c r="AW360" s="4">
        <v>42724</v>
      </c>
      <c r="BD360">
        <v>66</v>
      </c>
      <c r="BN360" t="s">
        <v>74</v>
      </c>
    </row>
    <row r="361" spans="1:66">
      <c r="A361">
        <v>100066</v>
      </c>
      <c r="B361" s="3" t="s">
        <v>103</v>
      </c>
      <c r="C361" s="1">
        <v>43300101</v>
      </c>
      <c r="D361" t="s">
        <v>67</v>
      </c>
      <c r="H361" t="str">
        <f t="shared" si="25"/>
        <v>04785851009</v>
      </c>
      <c r="I361" t="str">
        <f t="shared" si="26"/>
        <v>12268050155</v>
      </c>
      <c r="K361" t="str">
        <f>""</f>
        <v/>
      </c>
      <c r="M361" t="s">
        <v>68</v>
      </c>
      <c r="N361" t="str">
        <f t="shared" si="24"/>
        <v>FOR</v>
      </c>
      <c r="O361" t="s">
        <v>69</v>
      </c>
      <c r="P361" s="3" t="s">
        <v>100</v>
      </c>
      <c r="Q361">
        <v>2016</v>
      </c>
      <c r="R361" s="2">
        <v>42380</v>
      </c>
      <c r="S361" s="2">
        <v>42384</v>
      </c>
      <c r="T361" s="2">
        <v>42381</v>
      </c>
      <c r="U361" s="2">
        <v>42441</v>
      </c>
      <c r="V361" t="s">
        <v>71</v>
      </c>
      <c r="W361" t="str">
        <f>"          1017518913"</f>
        <v xml:space="preserve">          1017518913</v>
      </c>
      <c r="X361">
        <v>-244</v>
      </c>
      <c r="Y361">
        <v>0</v>
      </c>
      <c r="Z361" s="3">
        <v>-200</v>
      </c>
      <c r="AA361">
        <v>205</v>
      </c>
      <c r="AB361" s="5">
        <v>-41000</v>
      </c>
      <c r="AC361">
        <v>-200</v>
      </c>
      <c r="AD361">
        <v>205</v>
      </c>
      <c r="AE361" s="1">
        <v>-41000</v>
      </c>
      <c r="AF361">
        <v>0</v>
      </c>
      <c r="AJ361">
        <v>0</v>
      </c>
      <c r="AK361">
        <v>0</v>
      </c>
      <c r="AL361">
        <v>0</v>
      </c>
      <c r="AM361">
        <v>-244</v>
      </c>
      <c r="AN361">
        <v>-244</v>
      </c>
      <c r="AO361">
        <v>-244</v>
      </c>
      <c r="AP361" s="2">
        <v>42746</v>
      </c>
      <c r="AQ361" t="s">
        <v>72</v>
      </c>
      <c r="AR361" t="s">
        <v>72</v>
      </c>
      <c r="AS361">
        <v>2567</v>
      </c>
      <c r="AT361" s="4">
        <v>42646</v>
      </c>
      <c r="AU361" t="s">
        <v>73</v>
      </c>
      <c r="AV361">
        <v>2567</v>
      </c>
      <c r="AW361" s="4">
        <v>42646</v>
      </c>
      <c r="BD361">
        <v>0</v>
      </c>
      <c r="BN361" t="s">
        <v>74</v>
      </c>
    </row>
    <row r="362" spans="1:66">
      <c r="A362">
        <v>100066</v>
      </c>
      <c r="B362" s="3" t="s">
        <v>103</v>
      </c>
      <c r="C362" s="1">
        <v>43300101</v>
      </c>
      <c r="D362" t="s">
        <v>67</v>
      </c>
      <c r="H362" t="str">
        <f t="shared" si="25"/>
        <v>04785851009</v>
      </c>
      <c r="I362" t="str">
        <f t="shared" si="26"/>
        <v>12268050155</v>
      </c>
      <c r="K362" t="str">
        <f>""</f>
        <v/>
      </c>
      <c r="M362" t="s">
        <v>68</v>
      </c>
      <c r="N362" t="str">
        <f t="shared" si="24"/>
        <v>FOR</v>
      </c>
      <c r="O362" t="s">
        <v>69</v>
      </c>
      <c r="P362" s="3" t="s">
        <v>75</v>
      </c>
      <c r="Q362">
        <v>2016</v>
      </c>
      <c r="R362" s="2">
        <v>42419</v>
      </c>
      <c r="S362" s="2">
        <v>42424</v>
      </c>
      <c r="T362" s="2">
        <v>42424</v>
      </c>
      <c r="U362" s="2">
        <v>42484</v>
      </c>
      <c r="V362" t="s">
        <v>71</v>
      </c>
      <c r="W362" t="str">
        <f>"          9560000417"</f>
        <v xml:space="preserve">          9560000417</v>
      </c>
      <c r="X362" s="1">
        <v>3371.78</v>
      </c>
      <c r="Y362">
        <v>0</v>
      </c>
      <c r="Z362" s="5">
        <v>2763.75</v>
      </c>
      <c r="AA362">
        <v>236</v>
      </c>
      <c r="AB362" s="5">
        <v>652245</v>
      </c>
      <c r="AC362" s="1">
        <v>2763.75</v>
      </c>
      <c r="AD362">
        <v>236</v>
      </c>
      <c r="AE362" s="1">
        <v>652245</v>
      </c>
      <c r="AF362">
        <v>608.03</v>
      </c>
      <c r="AJ362">
        <v>0</v>
      </c>
      <c r="AK362">
        <v>0</v>
      </c>
      <c r="AL362">
        <v>0</v>
      </c>
      <c r="AM362" s="1">
        <v>3371.78</v>
      </c>
      <c r="AN362" s="1">
        <v>3371.78</v>
      </c>
      <c r="AO362" s="1">
        <v>3371.78</v>
      </c>
      <c r="AP362" s="2">
        <v>42746</v>
      </c>
      <c r="AQ362" t="s">
        <v>72</v>
      </c>
      <c r="AR362" t="s">
        <v>72</v>
      </c>
      <c r="AS362">
        <v>3548</v>
      </c>
      <c r="AT362" s="4">
        <v>42720</v>
      </c>
      <c r="AU362" t="s">
        <v>73</v>
      </c>
      <c r="AV362">
        <v>3548</v>
      </c>
      <c r="AW362" s="4">
        <v>42720</v>
      </c>
      <c r="BD362">
        <v>608.03</v>
      </c>
      <c r="BN362" t="s">
        <v>74</v>
      </c>
    </row>
    <row r="363" spans="1:66">
      <c r="A363">
        <v>100069</v>
      </c>
      <c r="B363" s="3" t="s">
        <v>104</v>
      </c>
      <c r="C363" s="1">
        <v>43300101</v>
      </c>
      <c r="D363" t="s">
        <v>67</v>
      </c>
      <c r="H363" t="str">
        <f t="shared" ref="H363:I373" si="27">"04185110154"</f>
        <v>04185110154</v>
      </c>
      <c r="I363" t="str">
        <f t="shared" si="27"/>
        <v>04185110154</v>
      </c>
      <c r="K363" t="str">
        <f>""</f>
        <v/>
      </c>
      <c r="M363" t="s">
        <v>68</v>
      </c>
      <c r="N363" t="str">
        <f t="shared" si="24"/>
        <v>FOR</v>
      </c>
      <c r="O363" t="s">
        <v>69</v>
      </c>
      <c r="P363" s="3" t="s">
        <v>75</v>
      </c>
      <c r="Q363">
        <v>2016</v>
      </c>
      <c r="R363" s="2">
        <v>42417</v>
      </c>
      <c r="S363" s="2">
        <v>42473</v>
      </c>
      <c r="T363" s="2">
        <v>42467</v>
      </c>
      <c r="U363" s="2">
        <v>42527</v>
      </c>
      <c r="V363" t="s">
        <v>71</v>
      </c>
      <c r="W363" t="str">
        <f>"          2016007718"</f>
        <v xml:space="preserve">          2016007718</v>
      </c>
      <c r="X363" s="1">
        <v>2537.11</v>
      </c>
      <c r="Y363">
        <v>0</v>
      </c>
      <c r="Z363" s="5">
        <v>2079.6</v>
      </c>
      <c r="AA363">
        <v>151</v>
      </c>
      <c r="AB363" s="5">
        <v>314019.59999999998</v>
      </c>
      <c r="AC363" s="1">
        <v>2079.6</v>
      </c>
      <c r="AD363">
        <v>151</v>
      </c>
      <c r="AE363" s="1">
        <v>314019.59999999998</v>
      </c>
      <c r="AF363">
        <v>0</v>
      </c>
      <c r="AJ363">
        <v>0</v>
      </c>
      <c r="AK363">
        <v>0</v>
      </c>
      <c r="AL363">
        <v>0</v>
      </c>
      <c r="AM363" s="1">
        <v>2537.11</v>
      </c>
      <c r="AN363" s="1">
        <v>2537.11</v>
      </c>
      <c r="AO363" s="1">
        <v>2537.11</v>
      </c>
      <c r="AP363" s="2">
        <v>42746</v>
      </c>
      <c r="AQ363" t="s">
        <v>72</v>
      </c>
      <c r="AR363" t="s">
        <v>72</v>
      </c>
      <c r="AS363">
        <v>2941</v>
      </c>
      <c r="AT363" s="4">
        <v>42678</v>
      </c>
      <c r="AU363" t="s">
        <v>73</v>
      </c>
      <c r="AV363">
        <v>2941</v>
      </c>
      <c r="AW363" s="4">
        <v>42678</v>
      </c>
      <c r="BD363">
        <v>0</v>
      </c>
      <c r="BN363" t="s">
        <v>74</v>
      </c>
    </row>
    <row r="364" spans="1:66">
      <c r="A364">
        <v>100069</v>
      </c>
      <c r="B364" s="3" t="s">
        <v>104</v>
      </c>
      <c r="C364" s="1">
        <v>43300101</v>
      </c>
      <c r="D364" t="s">
        <v>67</v>
      </c>
      <c r="H364" t="str">
        <f t="shared" si="27"/>
        <v>04185110154</v>
      </c>
      <c r="I364" t="str">
        <f t="shared" si="27"/>
        <v>04185110154</v>
      </c>
      <c r="K364" t="str">
        <f>""</f>
        <v/>
      </c>
      <c r="M364" t="s">
        <v>68</v>
      </c>
      <c r="N364" t="str">
        <f t="shared" si="24"/>
        <v>FOR</v>
      </c>
      <c r="O364" t="s">
        <v>69</v>
      </c>
      <c r="P364" s="3" t="s">
        <v>75</v>
      </c>
      <c r="Q364">
        <v>2016</v>
      </c>
      <c r="R364" s="2">
        <v>42425</v>
      </c>
      <c r="S364" s="2">
        <v>42472</v>
      </c>
      <c r="T364" s="2">
        <v>42472</v>
      </c>
      <c r="U364" s="2">
        <v>42532</v>
      </c>
      <c r="V364" t="s">
        <v>71</v>
      </c>
      <c r="W364" t="str">
        <f>"          2016008979"</f>
        <v xml:space="preserve">          2016008979</v>
      </c>
      <c r="X364" s="1">
        <v>8720.85</v>
      </c>
      <c r="Y364">
        <v>0</v>
      </c>
      <c r="Z364" s="5">
        <v>7148.25</v>
      </c>
      <c r="AA364">
        <v>146</v>
      </c>
      <c r="AB364" s="5">
        <v>1043644.5</v>
      </c>
      <c r="AC364" s="1">
        <v>7148.25</v>
      </c>
      <c r="AD364">
        <v>146</v>
      </c>
      <c r="AE364" s="1">
        <v>1043644.5</v>
      </c>
      <c r="AF364">
        <v>0</v>
      </c>
      <c r="AJ364">
        <v>0</v>
      </c>
      <c r="AK364">
        <v>0</v>
      </c>
      <c r="AL364">
        <v>0</v>
      </c>
      <c r="AM364" s="1">
        <v>8720.85</v>
      </c>
      <c r="AN364" s="1">
        <v>8720.85</v>
      </c>
      <c r="AO364" s="1">
        <v>8720.85</v>
      </c>
      <c r="AP364" s="2">
        <v>42746</v>
      </c>
      <c r="AQ364" t="s">
        <v>72</v>
      </c>
      <c r="AR364" t="s">
        <v>72</v>
      </c>
      <c r="AS364">
        <v>2941</v>
      </c>
      <c r="AT364" s="4">
        <v>42678</v>
      </c>
      <c r="AU364" t="s">
        <v>73</v>
      </c>
      <c r="AV364">
        <v>2941</v>
      </c>
      <c r="AW364" s="4">
        <v>42678</v>
      </c>
      <c r="BD364">
        <v>0</v>
      </c>
      <c r="BN364" t="s">
        <v>74</v>
      </c>
    </row>
    <row r="365" spans="1:66">
      <c r="A365">
        <v>100069</v>
      </c>
      <c r="B365" s="3" t="s">
        <v>104</v>
      </c>
      <c r="C365" s="1">
        <v>43300101</v>
      </c>
      <c r="D365" t="s">
        <v>67</v>
      </c>
      <c r="H365" t="str">
        <f t="shared" si="27"/>
        <v>04185110154</v>
      </c>
      <c r="I365" t="str">
        <f t="shared" si="27"/>
        <v>04185110154</v>
      </c>
      <c r="K365" t="str">
        <f>""</f>
        <v/>
      </c>
      <c r="M365" t="s">
        <v>68</v>
      </c>
      <c r="N365" t="str">
        <f t="shared" si="24"/>
        <v>FOR</v>
      </c>
      <c r="O365" t="s">
        <v>69</v>
      </c>
      <c r="P365" s="3" t="s">
        <v>75</v>
      </c>
      <c r="Q365">
        <v>2016</v>
      </c>
      <c r="R365" s="2">
        <v>42425</v>
      </c>
      <c r="S365" s="2">
        <v>42472</v>
      </c>
      <c r="T365" s="2">
        <v>42472</v>
      </c>
      <c r="U365" s="2">
        <v>42532</v>
      </c>
      <c r="V365" t="s">
        <v>71</v>
      </c>
      <c r="W365" t="str">
        <f>"          2016009099"</f>
        <v xml:space="preserve">          2016009099</v>
      </c>
      <c r="X365">
        <v>432.61</v>
      </c>
      <c r="Y365">
        <v>0</v>
      </c>
      <c r="Z365" s="3">
        <v>354.6</v>
      </c>
      <c r="AA365">
        <v>146</v>
      </c>
      <c r="AB365" s="5">
        <v>51771.6</v>
      </c>
      <c r="AC365">
        <v>354.6</v>
      </c>
      <c r="AD365">
        <v>146</v>
      </c>
      <c r="AE365" s="1">
        <v>51771.6</v>
      </c>
      <c r="AF365">
        <v>0</v>
      </c>
      <c r="AJ365">
        <v>0</v>
      </c>
      <c r="AK365">
        <v>0</v>
      </c>
      <c r="AL365">
        <v>0</v>
      </c>
      <c r="AM365">
        <v>432.61</v>
      </c>
      <c r="AN365">
        <v>432.61</v>
      </c>
      <c r="AO365">
        <v>432.61</v>
      </c>
      <c r="AP365" s="2">
        <v>42746</v>
      </c>
      <c r="AQ365" t="s">
        <v>72</v>
      </c>
      <c r="AR365" t="s">
        <v>72</v>
      </c>
      <c r="AS365">
        <v>2941</v>
      </c>
      <c r="AT365" s="4">
        <v>42678</v>
      </c>
      <c r="AU365" t="s">
        <v>73</v>
      </c>
      <c r="AV365">
        <v>2941</v>
      </c>
      <c r="AW365" s="4">
        <v>42678</v>
      </c>
      <c r="BD365">
        <v>0</v>
      </c>
      <c r="BN365" t="s">
        <v>74</v>
      </c>
    </row>
    <row r="366" spans="1:66">
      <c r="A366">
        <v>100069</v>
      </c>
      <c r="B366" s="3" t="s">
        <v>104</v>
      </c>
      <c r="C366" s="1">
        <v>43300101</v>
      </c>
      <c r="D366" t="s">
        <v>67</v>
      </c>
      <c r="H366" t="str">
        <f t="shared" si="27"/>
        <v>04185110154</v>
      </c>
      <c r="I366" t="str">
        <f t="shared" si="27"/>
        <v>04185110154</v>
      </c>
      <c r="K366" t="str">
        <f>""</f>
        <v/>
      </c>
      <c r="M366" t="s">
        <v>68</v>
      </c>
      <c r="N366" t="str">
        <f t="shared" si="24"/>
        <v>FOR</v>
      </c>
      <c r="O366" t="s">
        <v>69</v>
      </c>
      <c r="P366" s="3" t="s">
        <v>75</v>
      </c>
      <c r="Q366">
        <v>2016</v>
      </c>
      <c r="R366" s="2">
        <v>42429</v>
      </c>
      <c r="S366" s="2">
        <v>42489</v>
      </c>
      <c r="T366" s="2">
        <v>42488</v>
      </c>
      <c r="U366" s="2">
        <v>42548</v>
      </c>
      <c r="V366" t="s">
        <v>71</v>
      </c>
      <c r="W366" t="str">
        <f>"          2016009432"</f>
        <v xml:space="preserve">          2016009432</v>
      </c>
      <c r="X366">
        <v>23.12</v>
      </c>
      <c r="Y366">
        <v>0</v>
      </c>
      <c r="Z366" s="3">
        <v>18.95</v>
      </c>
      <c r="AA366">
        <v>130</v>
      </c>
      <c r="AB366" s="5">
        <v>2463.5</v>
      </c>
      <c r="AC366">
        <v>18.95</v>
      </c>
      <c r="AD366">
        <v>130</v>
      </c>
      <c r="AE366" s="1">
        <v>2463.5</v>
      </c>
      <c r="AF366">
        <v>0</v>
      </c>
      <c r="AJ366">
        <v>0</v>
      </c>
      <c r="AK366">
        <v>0</v>
      </c>
      <c r="AL366">
        <v>0</v>
      </c>
      <c r="AM366">
        <v>23.12</v>
      </c>
      <c r="AN366">
        <v>23.12</v>
      </c>
      <c r="AO366">
        <v>23.12</v>
      </c>
      <c r="AP366" s="2">
        <v>42746</v>
      </c>
      <c r="AQ366" t="s">
        <v>72</v>
      </c>
      <c r="AR366" t="s">
        <v>72</v>
      </c>
      <c r="AS366">
        <v>2941</v>
      </c>
      <c r="AT366" s="4">
        <v>42678</v>
      </c>
      <c r="AU366" t="s">
        <v>73</v>
      </c>
      <c r="AV366">
        <v>2941</v>
      </c>
      <c r="AW366" s="4">
        <v>42678</v>
      </c>
      <c r="BD366">
        <v>0</v>
      </c>
      <c r="BN366" t="s">
        <v>74</v>
      </c>
    </row>
    <row r="367" spans="1:66">
      <c r="A367">
        <v>100069</v>
      </c>
      <c r="B367" s="3" t="s">
        <v>104</v>
      </c>
      <c r="C367" s="1">
        <v>43300101</v>
      </c>
      <c r="D367" t="s">
        <v>67</v>
      </c>
      <c r="H367" t="str">
        <f t="shared" si="27"/>
        <v>04185110154</v>
      </c>
      <c r="I367" t="str">
        <f t="shared" si="27"/>
        <v>04185110154</v>
      </c>
      <c r="K367" t="str">
        <f>""</f>
        <v/>
      </c>
      <c r="M367" t="s">
        <v>68</v>
      </c>
      <c r="N367" t="str">
        <f t="shared" si="24"/>
        <v>FOR</v>
      </c>
      <c r="O367" t="s">
        <v>69</v>
      </c>
      <c r="P367" s="3" t="s">
        <v>75</v>
      </c>
      <c r="Q367">
        <v>2016</v>
      </c>
      <c r="R367" s="2">
        <v>42433</v>
      </c>
      <c r="S367" s="2">
        <v>42481</v>
      </c>
      <c r="T367" s="2">
        <v>42479</v>
      </c>
      <c r="U367" s="2">
        <v>42539</v>
      </c>
      <c r="V367" t="s">
        <v>71</v>
      </c>
      <c r="W367" t="str">
        <f>"          2016010380"</f>
        <v xml:space="preserve">          2016010380</v>
      </c>
      <c r="X367">
        <v>488.06</v>
      </c>
      <c r="Y367">
        <v>0</v>
      </c>
      <c r="Z367" s="3">
        <v>400.05</v>
      </c>
      <c r="AA367">
        <v>139</v>
      </c>
      <c r="AB367" s="5">
        <v>55606.95</v>
      </c>
      <c r="AC367">
        <v>400.05</v>
      </c>
      <c r="AD367">
        <v>139</v>
      </c>
      <c r="AE367" s="1">
        <v>55606.95</v>
      </c>
      <c r="AF367">
        <v>0</v>
      </c>
      <c r="AJ367">
        <v>0</v>
      </c>
      <c r="AK367">
        <v>0</v>
      </c>
      <c r="AL367">
        <v>0</v>
      </c>
      <c r="AM367">
        <v>488.06</v>
      </c>
      <c r="AN367">
        <v>488.06</v>
      </c>
      <c r="AO367">
        <v>488.06</v>
      </c>
      <c r="AP367" s="2">
        <v>42746</v>
      </c>
      <c r="AQ367" t="s">
        <v>72</v>
      </c>
      <c r="AR367" t="s">
        <v>72</v>
      </c>
      <c r="AS367">
        <v>2941</v>
      </c>
      <c r="AT367" s="4">
        <v>42678</v>
      </c>
      <c r="AU367" t="s">
        <v>73</v>
      </c>
      <c r="AV367">
        <v>2941</v>
      </c>
      <c r="AW367" s="4">
        <v>42678</v>
      </c>
      <c r="BD367">
        <v>0</v>
      </c>
      <c r="BN367" t="s">
        <v>74</v>
      </c>
    </row>
    <row r="368" spans="1:66">
      <c r="A368">
        <v>100069</v>
      </c>
      <c r="B368" s="3" t="s">
        <v>104</v>
      </c>
      <c r="C368" s="1">
        <v>43300101</v>
      </c>
      <c r="D368" t="s">
        <v>67</v>
      </c>
      <c r="H368" t="str">
        <f t="shared" si="27"/>
        <v>04185110154</v>
      </c>
      <c r="I368" t="str">
        <f t="shared" si="27"/>
        <v>04185110154</v>
      </c>
      <c r="K368" t="str">
        <f>""</f>
        <v/>
      </c>
      <c r="M368" t="s">
        <v>68</v>
      </c>
      <c r="N368" t="str">
        <f t="shared" si="24"/>
        <v>FOR</v>
      </c>
      <c r="O368" t="s">
        <v>69</v>
      </c>
      <c r="P368" s="3" t="s">
        <v>75</v>
      </c>
      <c r="Q368">
        <v>2016</v>
      </c>
      <c r="R368" s="2">
        <v>42473</v>
      </c>
      <c r="S368" s="2">
        <v>42496</v>
      </c>
      <c r="T368" s="2">
        <v>42494</v>
      </c>
      <c r="U368" s="2">
        <v>42554</v>
      </c>
      <c r="V368" t="s">
        <v>71</v>
      </c>
      <c r="W368" t="str">
        <f>"          2016017750"</f>
        <v xml:space="preserve">          2016017750</v>
      </c>
      <c r="X368">
        <v>340.92</v>
      </c>
      <c r="Y368">
        <v>0</v>
      </c>
      <c r="Z368" s="3">
        <v>279.45</v>
      </c>
      <c r="AA368">
        <v>124</v>
      </c>
      <c r="AB368" s="5">
        <v>34651.800000000003</v>
      </c>
      <c r="AC368">
        <v>279.45</v>
      </c>
      <c r="AD368">
        <v>124</v>
      </c>
      <c r="AE368" s="1">
        <v>34651.800000000003</v>
      </c>
      <c r="AF368">
        <v>0</v>
      </c>
      <c r="AJ368">
        <v>0</v>
      </c>
      <c r="AK368">
        <v>0</v>
      </c>
      <c r="AL368">
        <v>0</v>
      </c>
      <c r="AM368">
        <v>340.92</v>
      </c>
      <c r="AN368">
        <v>340.92</v>
      </c>
      <c r="AO368">
        <v>340.92</v>
      </c>
      <c r="AP368" s="2">
        <v>42746</v>
      </c>
      <c r="AQ368" t="s">
        <v>72</v>
      </c>
      <c r="AR368" t="s">
        <v>72</v>
      </c>
      <c r="AS368">
        <v>2941</v>
      </c>
      <c r="AT368" s="4">
        <v>42678</v>
      </c>
      <c r="AU368" t="s">
        <v>73</v>
      </c>
      <c r="AV368">
        <v>2941</v>
      </c>
      <c r="AW368" s="4">
        <v>42678</v>
      </c>
      <c r="BD368">
        <v>0</v>
      </c>
      <c r="BN368" t="s">
        <v>74</v>
      </c>
    </row>
    <row r="369" spans="1:66">
      <c r="A369">
        <v>100069</v>
      </c>
      <c r="B369" s="3" t="s">
        <v>104</v>
      </c>
      <c r="C369" s="1">
        <v>43300101</v>
      </c>
      <c r="D369" t="s">
        <v>67</v>
      </c>
      <c r="H369" t="str">
        <f t="shared" si="27"/>
        <v>04185110154</v>
      </c>
      <c r="I369" t="str">
        <f t="shared" si="27"/>
        <v>04185110154</v>
      </c>
      <c r="K369" t="str">
        <f>""</f>
        <v/>
      </c>
      <c r="M369" t="s">
        <v>68</v>
      </c>
      <c r="N369" t="str">
        <f t="shared" si="24"/>
        <v>FOR</v>
      </c>
      <c r="O369" t="s">
        <v>69</v>
      </c>
      <c r="P369" s="3" t="s">
        <v>75</v>
      </c>
      <c r="Q369">
        <v>2016</v>
      </c>
      <c r="R369" s="2">
        <v>42508</v>
      </c>
      <c r="S369" s="2">
        <v>42534</v>
      </c>
      <c r="T369" s="2">
        <v>42531</v>
      </c>
      <c r="U369" s="2">
        <v>42591</v>
      </c>
      <c r="V369" t="s">
        <v>71</v>
      </c>
      <c r="W369" t="str">
        <f>"          2016023185"</f>
        <v xml:space="preserve">          2016023185</v>
      </c>
      <c r="X369" s="1">
        <v>18315.75</v>
      </c>
      <c r="Y369">
        <v>0</v>
      </c>
      <c r="Z369" s="5">
        <v>15012.9</v>
      </c>
      <c r="AA369">
        <v>128</v>
      </c>
      <c r="AB369" s="5">
        <v>1921651.2</v>
      </c>
      <c r="AC369" s="1">
        <v>15012.9</v>
      </c>
      <c r="AD369">
        <v>128</v>
      </c>
      <c r="AE369" s="1">
        <v>1921651.2</v>
      </c>
      <c r="AF369" s="1">
        <v>3302.85</v>
      </c>
      <c r="AJ369">
        <v>0</v>
      </c>
      <c r="AK369">
        <v>0</v>
      </c>
      <c r="AL369">
        <v>0</v>
      </c>
      <c r="AM369" s="1">
        <v>18315.75</v>
      </c>
      <c r="AN369" s="1">
        <v>18315.75</v>
      </c>
      <c r="AO369" s="1">
        <v>18315.75</v>
      </c>
      <c r="AP369" s="2">
        <v>42746</v>
      </c>
      <c r="AQ369" t="s">
        <v>72</v>
      </c>
      <c r="AR369" t="s">
        <v>72</v>
      </c>
      <c r="AS369">
        <v>3531</v>
      </c>
      <c r="AT369" s="4">
        <v>42719</v>
      </c>
      <c r="AU369" t="s">
        <v>73</v>
      </c>
      <c r="AV369">
        <v>3531</v>
      </c>
      <c r="AW369" s="4">
        <v>42719</v>
      </c>
      <c r="BB369" s="1">
        <v>3302.85</v>
      </c>
      <c r="BD369">
        <v>0</v>
      </c>
      <c r="BN369" t="s">
        <v>74</v>
      </c>
    </row>
    <row r="370" spans="1:66">
      <c r="A370">
        <v>100069</v>
      </c>
      <c r="B370" s="3" t="s">
        <v>104</v>
      </c>
      <c r="C370" s="1">
        <v>43300101</v>
      </c>
      <c r="D370" t="s">
        <v>67</v>
      </c>
      <c r="H370" t="str">
        <f t="shared" si="27"/>
        <v>04185110154</v>
      </c>
      <c r="I370" t="str">
        <f t="shared" si="27"/>
        <v>04185110154</v>
      </c>
      <c r="K370" t="str">
        <f>""</f>
        <v/>
      </c>
      <c r="M370" t="s">
        <v>68</v>
      </c>
      <c r="N370" t="str">
        <f t="shared" si="24"/>
        <v>FOR</v>
      </c>
      <c r="O370" t="s">
        <v>69</v>
      </c>
      <c r="P370" s="3" t="s">
        <v>75</v>
      </c>
      <c r="Q370">
        <v>2016</v>
      </c>
      <c r="R370" s="2">
        <v>42509</v>
      </c>
      <c r="S370" s="2">
        <v>42534</v>
      </c>
      <c r="T370" s="2">
        <v>42531</v>
      </c>
      <c r="U370" s="2">
        <v>42591</v>
      </c>
      <c r="V370" t="s">
        <v>71</v>
      </c>
      <c r="W370" t="str">
        <f>"          2016023331"</f>
        <v xml:space="preserve">          2016023331</v>
      </c>
      <c r="X370">
        <v>488.06</v>
      </c>
      <c r="Y370">
        <v>0</v>
      </c>
      <c r="Z370" s="3">
        <v>400.05</v>
      </c>
      <c r="AA370">
        <v>128</v>
      </c>
      <c r="AB370" s="5">
        <v>51206.400000000001</v>
      </c>
      <c r="AC370">
        <v>400.05</v>
      </c>
      <c r="AD370">
        <v>128</v>
      </c>
      <c r="AE370" s="1">
        <v>51206.400000000001</v>
      </c>
      <c r="AF370">
        <v>88.01</v>
      </c>
      <c r="AJ370">
        <v>0</v>
      </c>
      <c r="AK370">
        <v>0</v>
      </c>
      <c r="AL370">
        <v>0</v>
      </c>
      <c r="AM370">
        <v>488.06</v>
      </c>
      <c r="AN370">
        <v>488.06</v>
      </c>
      <c r="AO370">
        <v>488.06</v>
      </c>
      <c r="AP370" s="2">
        <v>42746</v>
      </c>
      <c r="AQ370" t="s">
        <v>72</v>
      </c>
      <c r="AR370" t="s">
        <v>72</v>
      </c>
      <c r="AS370">
        <v>3531</v>
      </c>
      <c r="AT370" s="4">
        <v>42719</v>
      </c>
      <c r="AU370" t="s">
        <v>73</v>
      </c>
      <c r="AV370">
        <v>3531</v>
      </c>
      <c r="AW370" s="4">
        <v>42719</v>
      </c>
      <c r="BB370">
        <v>88.01</v>
      </c>
      <c r="BD370">
        <v>0</v>
      </c>
      <c r="BN370" t="s">
        <v>74</v>
      </c>
    </row>
    <row r="371" spans="1:66">
      <c r="A371">
        <v>100069</v>
      </c>
      <c r="B371" s="3" t="s">
        <v>104</v>
      </c>
      <c r="C371" s="1">
        <v>43300101</v>
      </c>
      <c r="D371" t="s">
        <v>67</v>
      </c>
      <c r="H371" t="str">
        <f t="shared" si="27"/>
        <v>04185110154</v>
      </c>
      <c r="I371" t="str">
        <f t="shared" si="27"/>
        <v>04185110154</v>
      </c>
      <c r="K371" t="str">
        <f>""</f>
        <v/>
      </c>
      <c r="M371" t="s">
        <v>68</v>
      </c>
      <c r="N371" t="str">
        <f t="shared" si="24"/>
        <v>FOR</v>
      </c>
      <c r="O371" t="s">
        <v>69</v>
      </c>
      <c r="P371" s="3" t="s">
        <v>75</v>
      </c>
      <c r="Q371">
        <v>2016</v>
      </c>
      <c r="R371" s="2">
        <v>42513</v>
      </c>
      <c r="S371" s="2">
        <v>42543</v>
      </c>
      <c r="T371" s="2">
        <v>42537</v>
      </c>
      <c r="U371" s="2">
        <v>42597</v>
      </c>
      <c r="V371" t="s">
        <v>71</v>
      </c>
      <c r="W371" t="str">
        <f>"          2016023624"</f>
        <v xml:space="preserve">          2016023624</v>
      </c>
      <c r="X371" s="1">
        <v>3252.27</v>
      </c>
      <c r="Y371">
        <v>0</v>
      </c>
      <c r="Z371" s="5">
        <v>2665.8</v>
      </c>
      <c r="AA371">
        <v>122</v>
      </c>
      <c r="AB371" s="5">
        <v>325227.59999999998</v>
      </c>
      <c r="AC371" s="1">
        <v>2665.8</v>
      </c>
      <c r="AD371">
        <v>122</v>
      </c>
      <c r="AE371" s="1">
        <v>325227.59999999998</v>
      </c>
      <c r="AF371">
        <v>586.47</v>
      </c>
      <c r="AJ371">
        <v>0</v>
      </c>
      <c r="AK371">
        <v>0</v>
      </c>
      <c r="AL371">
        <v>0</v>
      </c>
      <c r="AM371" s="1">
        <v>3252.27</v>
      </c>
      <c r="AN371" s="1">
        <v>3252.27</v>
      </c>
      <c r="AO371" s="1">
        <v>3252.27</v>
      </c>
      <c r="AP371" s="2">
        <v>42746</v>
      </c>
      <c r="AQ371" t="s">
        <v>72</v>
      </c>
      <c r="AR371" t="s">
        <v>72</v>
      </c>
      <c r="AS371">
        <v>3531</v>
      </c>
      <c r="AT371" s="4">
        <v>42719</v>
      </c>
      <c r="AU371" t="s">
        <v>73</v>
      </c>
      <c r="AV371">
        <v>3531</v>
      </c>
      <c r="AW371" s="4">
        <v>42719</v>
      </c>
      <c r="BB371">
        <v>586.47</v>
      </c>
      <c r="BD371">
        <v>0</v>
      </c>
      <c r="BN371" t="s">
        <v>74</v>
      </c>
    </row>
    <row r="372" spans="1:66">
      <c r="A372">
        <v>100069</v>
      </c>
      <c r="B372" s="3" t="s">
        <v>104</v>
      </c>
      <c r="C372" s="1">
        <v>43300101</v>
      </c>
      <c r="D372" t="s">
        <v>67</v>
      </c>
      <c r="H372" t="str">
        <f t="shared" si="27"/>
        <v>04185110154</v>
      </c>
      <c r="I372" t="str">
        <f t="shared" si="27"/>
        <v>04185110154</v>
      </c>
      <c r="K372" t="str">
        <f>""</f>
        <v/>
      </c>
      <c r="M372" t="s">
        <v>68</v>
      </c>
      <c r="N372" t="str">
        <f t="shared" si="24"/>
        <v>FOR</v>
      </c>
      <c r="O372" t="s">
        <v>69</v>
      </c>
      <c r="P372" s="3" t="s">
        <v>75</v>
      </c>
      <c r="Q372">
        <v>2016</v>
      </c>
      <c r="R372" s="2">
        <v>42515</v>
      </c>
      <c r="S372" s="2">
        <v>42542</v>
      </c>
      <c r="T372" s="2">
        <v>42537</v>
      </c>
      <c r="U372" s="2">
        <v>42597</v>
      </c>
      <c r="V372" t="s">
        <v>71</v>
      </c>
      <c r="W372" t="str">
        <f>"          2016024028"</f>
        <v xml:space="preserve">          2016024028</v>
      </c>
      <c r="X372">
        <v>976.12</v>
      </c>
      <c r="Y372">
        <v>0</v>
      </c>
      <c r="Z372" s="3">
        <v>800.1</v>
      </c>
      <c r="AA372">
        <v>122</v>
      </c>
      <c r="AB372" s="5">
        <v>97612.2</v>
      </c>
      <c r="AC372">
        <v>800.1</v>
      </c>
      <c r="AD372">
        <v>122</v>
      </c>
      <c r="AE372" s="1">
        <v>97612.2</v>
      </c>
      <c r="AF372">
        <v>176.02</v>
      </c>
      <c r="AJ372">
        <v>0</v>
      </c>
      <c r="AK372">
        <v>0</v>
      </c>
      <c r="AL372">
        <v>0</v>
      </c>
      <c r="AM372">
        <v>976.12</v>
      </c>
      <c r="AN372">
        <v>976.12</v>
      </c>
      <c r="AO372">
        <v>976.12</v>
      </c>
      <c r="AP372" s="2">
        <v>42746</v>
      </c>
      <c r="AQ372" t="s">
        <v>72</v>
      </c>
      <c r="AR372" t="s">
        <v>72</v>
      </c>
      <c r="AS372">
        <v>3531</v>
      </c>
      <c r="AT372" s="4">
        <v>42719</v>
      </c>
      <c r="AU372" t="s">
        <v>73</v>
      </c>
      <c r="AV372">
        <v>3531</v>
      </c>
      <c r="AW372" s="4">
        <v>42719</v>
      </c>
      <c r="BB372">
        <v>176.02</v>
      </c>
      <c r="BD372">
        <v>0</v>
      </c>
      <c r="BN372" t="s">
        <v>74</v>
      </c>
    </row>
    <row r="373" spans="1:66">
      <c r="A373">
        <v>100069</v>
      </c>
      <c r="B373" s="3" t="s">
        <v>104</v>
      </c>
      <c r="C373" s="1">
        <v>43300101</v>
      </c>
      <c r="D373" t="s">
        <v>67</v>
      </c>
      <c r="H373" t="str">
        <f t="shared" si="27"/>
        <v>04185110154</v>
      </c>
      <c r="I373" t="str">
        <f t="shared" si="27"/>
        <v>04185110154</v>
      </c>
      <c r="K373" t="str">
        <f>""</f>
        <v/>
      </c>
      <c r="M373" t="s">
        <v>68</v>
      </c>
      <c r="N373" t="str">
        <f t="shared" si="24"/>
        <v>FOR</v>
      </c>
      <c r="O373" t="s">
        <v>69</v>
      </c>
      <c r="P373" s="3" t="s">
        <v>75</v>
      </c>
      <c r="Q373">
        <v>2016</v>
      </c>
      <c r="R373" s="2">
        <v>42515</v>
      </c>
      <c r="S373" s="2">
        <v>42542</v>
      </c>
      <c r="T373" s="2">
        <v>42537</v>
      </c>
      <c r="U373" s="2">
        <v>42597</v>
      </c>
      <c r="V373" t="s">
        <v>71</v>
      </c>
      <c r="W373" t="str">
        <f>"          2016024063"</f>
        <v xml:space="preserve">          2016024063</v>
      </c>
      <c r="X373">
        <v>488.06</v>
      </c>
      <c r="Y373">
        <v>0</v>
      </c>
      <c r="Z373" s="3">
        <v>400.05</v>
      </c>
      <c r="AA373">
        <v>122</v>
      </c>
      <c r="AB373" s="5">
        <v>48806.1</v>
      </c>
      <c r="AC373">
        <v>400.05</v>
      </c>
      <c r="AD373">
        <v>122</v>
      </c>
      <c r="AE373" s="1">
        <v>48806.1</v>
      </c>
      <c r="AF373">
        <v>88.01</v>
      </c>
      <c r="AJ373">
        <v>0</v>
      </c>
      <c r="AK373">
        <v>0</v>
      </c>
      <c r="AL373">
        <v>0</v>
      </c>
      <c r="AM373">
        <v>488.06</v>
      </c>
      <c r="AN373">
        <v>488.06</v>
      </c>
      <c r="AO373">
        <v>488.06</v>
      </c>
      <c r="AP373" s="2">
        <v>42746</v>
      </c>
      <c r="AQ373" t="s">
        <v>72</v>
      </c>
      <c r="AR373" t="s">
        <v>72</v>
      </c>
      <c r="AS373">
        <v>3531</v>
      </c>
      <c r="AT373" s="4">
        <v>42719</v>
      </c>
      <c r="AU373" t="s">
        <v>73</v>
      </c>
      <c r="AV373">
        <v>3531</v>
      </c>
      <c r="AW373" s="4">
        <v>42719</v>
      </c>
      <c r="BB373">
        <v>88.01</v>
      </c>
      <c r="BD373">
        <v>0</v>
      </c>
      <c r="BN373" t="s">
        <v>74</v>
      </c>
    </row>
    <row r="374" spans="1:66">
      <c r="A374">
        <v>100070</v>
      </c>
      <c r="B374" s="3" t="s">
        <v>105</v>
      </c>
      <c r="C374" s="1">
        <v>43300101</v>
      </c>
      <c r="D374" t="s">
        <v>67</v>
      </c>
      <c r="H374" t="str">
        <f>"00807290150"</f>
        <v>00807290150</v>
      </c>
      <c r="I374" t="str">
        <f>"00807290150"</f>
        <v>00807290150</v>
      </c>
      <c r="K374" t="str">
        <f>""</f>
        <v/>
      </c>
      <c r="M374" t="s">
        <v>68</v>
      </c>
      <c r="N374" t="str">
        <f t="shared" si="24"/>
        <v>FOR</v>
      </c>
      <c r="O374" t="s">
        <v>69</v>
      </c>
      <c r="P374" s="3" t="s">
        <v>75</v>
      </c>
      <c r="Q374">
        <v>2016</v>
      </c>
      <c r="R374" s="2">
        <v>42418</v>
      </c>
      <c r="S374" s="2">
        <v>42438</v>
      </c>
      <c r="T374" s="2">
        <v>42430</v>
      </c>
      <c r="U374" s="2">
        <v>42490</v>
      </c>
      <c r="V374" t="s">
        <v>71</v>
      </c>
      <c r="W374" t="str">
        <f>"          7000000245"</f>
        <v xml:space="preserve">          7000000245</v>
      </c>
      <c r="X374">
        <v>95.22</v>
      </c>
      <c r="Y374">
        <v>0</v>
      </c>
      <c r="Z374" s="3">
        <v>86.56</v>
      </c>
      <c r="AA374">
        <v>233</v>
      </c>
      <c r="AB374" s="5">
        <v>20168.48</v>
      </c>
      <c r="AC374">
        <v>86.56</v>
      </c>
      <c r="AD374">
        <v>233</v>
      </c>
      <c r="AE374" s="1">
        <v>20168.48</v>
      </c>
      <c r="AF374">
        <v>8.66</v>
      </c>
      <c r="AJ374">
        <v>0</v>
      </c>
      <c r="AK374">
        <v>0</v>
      </c>
      <c r="AL374">
        <v>0</v>
      </c>
      <c r="AM374">
        <v>95.22</v>
      </c>
      <c r="AN374">
        <v>95.22</v>
      </c>
      <c r="AO374">
        <v>95.22</v>
      </c>
      <c r="AP374" s="2">
        <v>42746</v>
      </c>
      <c r="AQ374" t="s">
        <v>72</v>
      </c>
      <c r="AR374" t="s">
        <v>72</v>
      </c>
      <c r="AS374">
        <v>3604</v>
      </c>
      <c r="AT374" s="4">
        <v>42723</v>
      </c>
      <c r="AU374" t="s">
        <v>73</v>
      </c>
      <c r="AV374">
        <v>3604</v>
      </c>
      <c r="AW374" s="4">
        <v>42723</v>
      </c>
      <c r="BD374">
        <v>8.66</v>
      </c>
      <c r="BN374" t="s">
        <v>74</v>
      </c>
    </row>
    <row r="375" spans="1:66" hidden="1">
      <c r="A375">
        <v>100073</v>
      </c>
      <c r="B375" s="3" t="s">
        <v>106</v>
      </c>
      <c r="C375" s="1">
        <v>43300101</v>
      </c>
      <c r="D375" t="s">
        <v>67</v>
      </c>
      <c r="H375" t="str">
        <f t="shared" ref="H375:H392" si="28">"01778520302"</f>
        <v>01778520302</v>
      </c>
      <c r="I375" t="str">
        <f t="shared" ref="I375:I392" si="29">"11496970150"</f>
        <v>11496970150</v>
      </c>
      <c r="K375" t="str">
        <f>""</f>
        <v/>
      </c>
      <c r="M375" t="s">
        <v>68</v>
      </c>
      <c r="N375" t="str">
        <f t="shared" si="24"/>
        <v>FOR</v>
      </c>
      <c r="O375" t="s">
        <v>69</v>
      </c>
      <c r="P375" s="3" t="s">
        <v>70</v>
      </c>
      <c r="Q375">
        <v>2015</v>
      </c>
      <c r="R375" s="2">
        <v>42023</v>
      </c>
      <c r="S375" s="2">
        <v>42040</v>
      </c>
      <c r="T375" s="2">
        <v>42040</v>
      </c>
      <c r="U375" s="2">
        <v>42100</v>
      </c>
      <c r="V375" t="s">
        <v>71</v>
      </c>
      <c r="W375" t="str">
        <f>"                1239"</f>
        <v xml:space="preserve">                1239</v>
      </c>
      <c r="X375" s="1">
        <v>4268.4399999999996</v>
      </c>
      <c r="Y375">
        <v>0</v>
      </c>
      <c r="Z375"/>
      <c r="AB375"/>
      <c r="AC375" s="1">
        <v>3880.4</v>
      </c>
      <c r="AD375">
        <v>305</v>
      </c>
      <c r="AE375" s="1">
        <v>1183522</v>
      </c>
      <c r="AF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 s="2">
        <v>42746</v>
      </c>
      <c r="AQ375" t="s">
        <v>72</v>
      </c>
      <c r="AR375" t="s">
        <v>72</v>
      </c>
      <c r="AS375">
        <v>287</v>
      </c>
      <c r="AT375" s="4">
        <v>42405</v>
      </c>
      <c r="AU375" t="s">
        <v>73</v>
      </c>
      <c r="AV375">
        <v>287</v>
      </c>
      <c r="AW375" s="4">
        <v>42405</v>
      </c>
      <c r="BD375">
        <v>0</v>
      </c>
      <c r="BN375" t="s">
        <v>74</v>
      </c>
    </row>
    <row r="376" spans="1:66" hidden="1">
      <c r="A376">
        <v>100073</v>
      </c>
      <c r="B376" s="3" t="s">
        <v>106</v>
      </c>
      <c r="C376" s="1">
        <v>43300101</v>
      </c>
      <c r="D376" t="s">
        <v>67</v>
      </c>
      <c r="H376" t="str">
        <f t="shared" si="28"/>
        <v>01778520302</v>
      </c>
      <c r="I376" t="str">
        <f t="shared" si="29"/>
        <v>11496970150</v>
      </c>
      <c r="K376" t="str">
        <f>""</f>
        <v/>
      </c>
      <c r="M376" t="s">
        <v>68</v>
      </c>
      <c r="N376" t="str">
        <f t="shared" si="24"/>
        <v>FOR</v>
      </c>
      <c r="O376" t="s">
        <v>69</v>
      </c>
      <c r="P376" s="3" t="s">
        <v>70</v>
      </c>
      <c r="Q376">
        <v>2015</v>
      </c>
      <c r="R376" s="2">
        <v>42051</v>
      </c>
      <c r="S376" s="2">
        <v>42089</v>
      </c>
      <c r="T376" s="2">
        <v>42089</v>
      </c>
      <c r="U376" s="2">
        <v>42149</v>
      </c>
      <c r="V376" t="s">
        <v>71</v>
      </c>
      <c r="W376" t="str">
        <f>"                4320"</f>
        <v xml:space="preserve">                4320</v>
      </c>
      <c r="X376" s="1">
        <v>4556.2</v>
      </c>
      <c r="Y376">
        <v>0</v>
      </c>
      <c r="Z376"/>
      <c r="AB376"/>
      <c r="AC376" s="1">
        <v>4142</v>
      </c>
      <c r="AD376">
        <v>256</v>
      </c>
      <c r="AE376" s="1">
        <v>1060352</v>
      </c>
      <c r="AF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 s="2">
        <v>42746</v>
      </c>
      <c r="AQ376" t="s">
        <v>72</v>
      </c>
      <c r="AR376" t="s">
        <v>72</v>
      </c>
      <c r="AS376">
        <v>287</v>
      </c>
      <c r="AT376" s="4">
        <v>42405</v>
      </c>
      <c r="AU376" t="s">
        <v>73</v>
      </c>
      <c r="AV376">
        <v>287</v>
      </c>
      <c r="AW376" s="4">
        <v>42405</v>
      </c>
      <c r="BD376">
        <v>0</v>
      </c>
      <c r="BN376" t="s">
        <v>74</v>
      </c>
    </row>
    <row r="377" spans="1:66" hidden="1">
      <c r="A377">
        <v>100073</v>
      </c>
      <c r="B377" s="3" t="s">
        <v>106</v>
      </c>
      <c r="C377" s="1">
        <v>43300101</v>
      </c>
      <c r="D377" t="s">
        <v>67</v>
      </c>
      <c r="H377" t="str">
        <f t="shared" si="28"/>
        <v>01778520302</v>
      </c>
      <c r="I377" t="str">
        <f t="shared" si="29"/>
        <v>11496970150</v>
      </c>
      <c r="K377" t="str">
        <f>""</f>
        <v/>
      </c>
      <c r="M377" t="s">
        <v>68</v>
      </c>
      <c r="N377" t="str">
        <f t="shared" si="24"/>
        <v>FOR</v>
      </c>
      <c r="O377" t="s">
        <v>69</v>
      </c>
      <c r="P377" s="3" t="s">
        <v>70</v>
      </c>
      <c r="Q377">
        <v>2015</v>
      </c>
      <c r="R377" s="2">
        <v>42079</v>
      </c>
      <c r="S377" s="2">
        <v>42102</v>
      </c>
      <c r="T377" s="2">
        <v>42102</v>
      </c>
      <c r="U377" s="2">
        <v>42162</v>
      </c>
      <c r="V377" t="s">
        <v>71</v>
      </c>
      <c r="W377" t="str">
        <f>"                7268"</f>
        <v xml:space="preserve">                7268</v>
      </c>
      <c r="X377" s="1">
        <v>3597</v>
      </c>
      <c r="Y377">
        <v>0</v>
      </c>
      <c r="Z377"/>
      <c r="AB377"/>
      <c r="AC377" s="1">
        <v>3270</v>
      </c>
      <c r="AD377">
        <v>290</v>
      </c>
      <c r="AE377" s="1">
        <v>948300</v>
      </c>
      <c r="AF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 s="2">
        <v>42746</v>
      </c>
      <c r="AQ377" t="s">
        <v>72</v>
      </c>
      <c r="AR377" t="s">
        <v>72</v>
      </c>
      <c r="AS377">
        <v>808</v>
      </c>
      <c r="AT377" s="4">
        <v>42452</v>
      </c>
      <c r="AU377" t="s">
        <v>73</v>
      </c>
      <c r="AV377">
        <v>808</v>
      </c>
      <c r="AW377" s="4">
        <v>42452</v>
      </c>
      <c r="BD377">
        <v>0</v>
      </c>
      <c r="BN377" t="s">
        <v>74</v>
      </c>
    </row>
    <row r="378" spans="1:66" hidden="1">
      <c r="A378">
        <v>100073</v>
      </c>
      <c r="B378" s="3" t="s">
        <v>106</v>
      </c>
      <c r="C378" s="1">
        <v>43300101</v>
      </c>
      <c r="D378" t="s">
        <v>67</v>
      </c>
      <c r="H378" t="str">
        <f t="shared" si="28"/>
        <v>01778520302</v>
      </c>
      <c r="I378" t="str">
        <f t="shared" si="29"/>
        <v>11496970150</v>
      </c>
      <c r="K378" t="str">
        <f>""</f>
        <v/>
      </c>
      <c r="M378" t="s">
        <v>68</v>
      </c>
      <c r="N378" t="str">
        <f t="shared" si="24"/>
        <v>FOR</v>
      </c>
      <c r="O378" t="s">
        <v>69</v>
      </c>
      <c r="P378" s="3" t="s">
        <v>75</v>
      </c>
      <c r="Q378">
        <v>2015</v>
      </c>
      <c r="R378" s="2">
        <v>42103</v>
      </c>
      <c r="S378" s="2">
        <v>42115</v>
      </c>
      <c r="T378" s="2">
        <v>42110</v>
      </c>
      <c r="U378" s="2">
        <v>42170</v>
      </c>
      <c r="V378" t="s">
        <v>71</v>
      </c>
      <c r="W378" t="str">
        <f>"             V3-9427"</f>
        <v xml:space="preserve">             V3-9427</v>
      </c>
      <c r="X378" s="1">
        <v>1199</v>
      </c>
      <c r="Y378">
        <v>0</v>
      </c>
      <c r="Z378"/>
      <c r="AB378"/>
      <c r="AC378" s="1">
        <v>1090</v>
      </c>
      <c r="AD378">
        <v>282</v>
      </c>
      <c r="AE378" s="1">
        <v>307380</v>
      </c>
      <c r="AF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 s="2">
        <v>42746</v>
      </c>
      <c r="AQ378" t="s">
        <v>72</v>
      </c>
      <c r="AR378" t="s">
        <v>72</v>
      </c>
      <c r="AS378">
        <v>808</v>
      </c>
      <c r="AT378" s="4">
        <v>42452</v>
      </c>
      <c r="AU378" t="s">
        <v>73</v>
      </c>
      <c r="AV378">
        <v>808</v>
      </c>
      <c r="AW378" s="4">
        <v>42452</v>
      </c>
      <c r="BD378">
        <v>0</v>
      </c>
      <c r="BN378" t="s">
        <v>74</v>
      </c>
    </row>
    <row r="379" spans="1:66" hidden="1">
      <c r="A379">
        <v>100073</v>
      </c>
      <c r="B379" s="3" t="s">
        <v>106</v>
      </c>
      <c r="C379" s="1">
        <v>43300101</v>
      </c>
      <c r="D379" t="s">
        <v>67</v>
      </c>
      <c r="H379" t="str">
        <f t="shared" si="28"/>
        <v>01778520302</v>
      </c>
      <c r="I379" t="str">
        <f t="shared" si="29"/>
        <v>11496970150</v>
      </c>
      <c r="K379" t="str">
        <f>""</f>
        <v/>
      </c>
      <c r="M379" t="s">
        <v>68</v>
      </c>
      <c r="N379" t="str">
        <f t="shared" si="24"/>
        <v>FOR</v>
      </c>
      <c r="O379" t="s">
        <v>69</v>
      </c>
      <c r="P379" s="3" t="s">
        <v>75</v>
      </c>
      <c r="Q379">
        <v>2015</v>
      </c>
      <c r="R379" s="2">
        <v>42103</v>
      </c>
      <c r="S379" s="2">
        <v>42115</v>
      </c>
      <c r="T379" s="2">
        <v>42110</v>
      </c>
      <c r="U379" s="2">
        <v>42170</v>
      </c>
      <c r="V379" t="s">
        <v>71</v>
      </c>
      <c r="W379" t="str">
        <f>"             V3-9428"</f>
        <v xml:space="preserve">             V3-9428</v>
      </c>
      <c r="X379" s="1">
        <v>1199</v>
      </c>
      <c r="Y379">
        <v>0</v>
      </c>
      <c r="Z379"/>
      <c r="AB379"/>
      <c r="AC379" s="1">
        <v>1090</v>
      </c>
      <c r="AD379">
        <v>282</v>
      </c>
      <c r="AE379" s="1">
        <v>307380</v>
      </c>
      <c r="AF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 s="2">
        <v>42746</v>
      </c>
      <c r="AQ379" t="s">
        <v>72</v>
      </c>
      <c r="AR379" t="s">
        <v>72</v>
      </c>
      <c r="AS379">
        <v>808</v>
      </c>
      <c r="AT379" s="4">
        <v>42452</v>
      </c>
      <c r="AU379" t="s">
        <v>73</v>
      </c>
      <c r="AV379">
        <v>808</v>
      </c>
      <c r="AW379" s="4">
        <v>42452</v>
      </c>
      <c r="BD379">
        <v>0</v>
      </c>
      <c r="BN379" t="s">
        <v>74</v>
      </c>
    </row>
    <row r="380" spans="1:66" hidden="1">
      <c r="A380">
        <v>100073</v>
      </c>
      <c r="B380" s="3" t="s">
        <v>106</v>
      </c>
      <c r="C380" s="1">
        <v>43300101</v>
      </c>
      <c r="D380" t="s">
        <v>67</v>
      </c>
      <c r="H380" t="str">
        <f t="shared" si="28"/>
        <v>01778520302</v>
      </c>
      <c r="I380" t="str">
        <f t="shared" si="29"/>
        <v>11496970150</v>
      </c>
      <c r="K380" t="str">
        <f>""</f>
        <v/>
      </c>
      <c r="M380" t="s">
        <v>68</v>
      </c>
      <c r="N380" t="str">
        <f t="shared" si="24"/>
        <v>FOR</v>
      </c>
      <c r="O380" t="s">
        <v>69</v>
      </c>
      <c r="P380" s="3" t="s">
        <v>75</v>
      </c>
      <c r="Q380">
        <v>2015</v>
      </c>
      <c r="R380" s="2">
        <v>42124</v>
      </c>
      <c r="S380" s="2">
        <v>42139</v>
      </c>
      <c r="T380" s="2">
        <v>42137</v>
      </c>
      <c r="U380" s="2">
        <v>42197</v>
      </c>
      <c r="V380" t="s">
        <v>71</v>
      </c>
      <c r="W380" t="str">
        <f>"            V3-11745"</f>
        <v xml:space="preserve">            V3-11745</v>
      </c>
      <c r="X380" s="1">
        <v>1678.6</v>
      </c>
      <c r="Y380">
        <v>0</v>
      </c>
      <c r="Z380"/>
      <c r="AB380"/>
      <c r="AC380" s="1">
        <v>1526</v>
      </c>
      <c r="AD380">
        <v>255</v>
      </c>
      <c r="AE380" s="1">
        <v>389130</v>
      </c>
      <c r="AF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 s="2">
        <v>42746</v>
      </c>
      <c r="AQ380" t="s">
        <v>72</v>
      </c>
      <c r="AR380" t="s">
        <v>72</v>
      </c>
      <c r="AS380">
        <v>808</v>
      </c>
      <c r="AT380" s="4">
        <v>42452</v>
      </c>
      <c r="AU380" t="s">
        <v>73</v>
      </c>
      <c r="AV380">
        <v>808</v>
      </c>
      <c r="AW380" s="4">
        <v>42452</v>
      </c>
      <c r="BD380">
        <v>0</v>
      </c>
      <c r="BN380" t="s">
        <v>74</v>
      </c>
    </row>
    <row r="381" spans="1:66" hidden="1">
      <c r="A381">
        <v>100073</v>
      </c>
      <c r="B381" s="3" t="s">
        <v>106</v>
      </c>
      <c r="C381" s="1">
        <v>43300101</v>
      </c>
      <c r="D381" t="s">
        <v>67</v>
      </c>
      <c r="H381" t="str">
        <f t="shared" si="28"/>
        <v>01778520302</v>
      </c>
      <c r="I381" t="str">
        <f t="shared" si="29"/>
        <v>11496970150</v>
      </c>
      <c r="K381" t="str">
        <f>""</f>
        <v/>
      </c>
      <c r="M381" t="s">
        <v>68</v>
      </c>
      <c r="N381" t="str">
        <f t="shared" si="24"/>
        <v>FOR</v>
      </c>
      <c r="O381" t="s">
        <v>69</v>
      </c>
      <c r="P381" s="3" t="s">
        <v>75</v>
      </c>
      <c r="Q381">
        <v>2015</v>
      </c>
      <c r="R381" s="2">
        <v>42151</v>
      </c>
      <c r="S381" s="2">
        <v>42160</v>
      </c>
      <c r="T381" s="2">
        <v>42152</v>
      </c>
      <c r="U381" s="2">
        <v>42212</v>
      </c>
      <c r="V381" t="s">
        <v>71</v>
      </c>
      <c r="W381" t="str">
        <f>"            V3-14350"</f>
        <v xml:space="preserve">            V3-14350</v>
      </c>
      <c r="X381" s="1">
        <v>2877.6</v>
      </c>
      <c r="Y381">
        <v>0</v>
      </c>
      <c r="Z381"/>
      <c r="AB381"/>
      <c r="AC381" s="1">
        <v>2616</v>
      </c>
      <c r="AD381">
        <v>240</v>
      </c>
      <c r="AE381" s="1">
        <v>627840</v>
      </c>
      <c r="AF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 s="2">
        <v>42746</v>
      </c>
      <c r="AQ381" t="s">
        <v>72</v>
      </c>
      <c r="AR381" t="s">
        <v>72</v>
      </c>
      <c r="AS381">
        <v>808</v>
      </c>
      <c r="AT381" s="4">
        <v>42452</v>
      </c>
      <c r="AU381" t="s">
        <v>73</v>
      </c>
      <c r="AV381">
        <v>808</v>
      </c>
      <c r="AW381" s="4">
        <v>42452</v>
      </c>
      <c r="BD381">
        <v>0</v>
      </c>
      <c r="BN381" t="s">
        <v>74</v>
      </c>
    </row>
    <row r="382" spans="1:66" hidden="1">
      <c r="A382">
        <v>100073</v>
      </c>
      <c r="B382" s="3" t="s">
        <v>106</v>
      </c>
      <c r="C382" s="1">
        <v>43300101</v>
      </c>
      <c r="D382" t="s">
        <v>67</v>
      </c>
      <c r="H382" t="str">
        <f t="shared" si="28"/>
        <v>01778520302</v>
      </c>
      <c r="I382" t="str">
        <f t="shared" si="29"/>
        <v>11496970150</v>
      </c>
      <c r="K382" t="str">
        <f>""</f>
        <v/>
      </c>
      <c r="M382" t="s">
        <v>68</v>
      </c>
      <c r="N382" t="str">
        <f t="shared" si="24"/>
        <v>FOR</v>
      </c>
      <c r="O382" t="s">
        <v>69</v>
      </c>
      <c r="P382" s="3" t="s">
        <v>75</v>
      </c>
      <c r="Q382">
        <v>2015</v>
      </c>
      <c r="R382" s="2">
        <v>42170</v>
      </c>
      <c r="S382" s="2">
        <v>42172</v>
      </c>
      <c r="T382" s="2">
        <v>42171</v>
      </c>
      <c r="U382" s="2">
        <v>42231</v>
      </c>
      <c r="V382" t="s">
        <v>71</v>
      </c>
      <c r="W382" t="str">
        <f>"       6012215001134"</f>
        <v xml:space="preserve">       6012215001134</v>
      </c>
      <c r="X382" s="1">
        <v>11550</v>
      </c>
      <c r="Y382">
        <v>0</v>
      </c>
      <c r="Z382"/>
      <c r="AB382"/>
      <c r="AC382" s="1">
        <v>10500</v>
      </c>
      <c r="AD382">
        <v>289</v>
      </c>
      <c r="AE382" s="1">
        <v>3034500</v>
      </c>
      <c r="AF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 s="2">
        <v>42746</v>
      </c>
      <c r="AQ382" t="s">
        <v>72</v>
      </c>
      <c r="AR382" t="s">
        <v>72</v>
      </c>
      <c r="AS382">
        <v>1466</v>
      </c>
      <c r="AT382" s="4">
        <v>42520</v>
      </c>
      <c r="AU382" t="s">
        <v>73</v>
      </c>
      <c r="AV382">
        <v>1466</v>
      </c>
      <c r="AW382" s="4">
        <v>42520</v>
      </c>
      <c r="BD382">
        <v>0</v>
      </c>
      <c r="BN382" t="s">
        <v>74</v>
      </c>
    </row>
    <row r="383" spans="1:66" hidden="1">
      <c r="A383">
        <v>100073</v>
      </c>
      <c r="B383" s="3" t="s">
        <v>106</v>
      </c>
      <c r="C383" s="1">
        <v>43300101</v>
      </c>
      <c r="D383" t="s">
        <v>67</v>
      </c>
      <c r="H383" t="str">
        <f t="shared" si="28"/>
        <v>01778520302</v>
      </c>
      <c r="I383" t="str">
        <f t="shared" si="29"/>
        <v>11496970150</v>
      </c>
      <c r="K383" t="str">
        <f>""</f>
        <v/>
      </c>
      <c r="M383" t="s">
        <v>68</v>
      </c>
      <c r="N383" t="str">
        <f t="shared" si="24"/>
        <v>FOR</v>
      </c>
      <c r="O383" t="s">
        <v>69</v>
      </c>
      <c r="P383" s="3" t="s">
        <v>75</v>
      </c>
      <c r="Q383">
        <v>2015</v>
      </c>
      <c r="R383" s="2">
        <v>42178</v>
      </c>
      <c r="S383" s="2">
        <v>42185</v>
      </c>
      <c r="T383" s="2">
        <v>42181</v>
      </c>
      <c r="U383" s="2">
        <v>42241</v>
      </c>
      <c r="V383" t="s">
        <v>71</v>
      </c>
      <c r="W383" t="str">
        <f>"       6012215001729"</f>
        <v xml:space="preserve">       6012215001729</v>
      </c>
      <c r="X383">
        <v>719.4</v>
      </c>
      <c r="Y383">
        <v>0</v>
      </c>
      <c r="Z383"/>
      <c r="AB383"/>
      <c r="AC383">
        <v>654</v>
      </c>
      <c r="AD383">
        <v>279</v>
      </c>
      <c r="AE383" s="1">
        <v>182466</v>
      </c>
      <c r="AF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 s="2">
        <v>42746</v>
      </c>
      <c r="AQ383" t="s">
        <v>72</v>
      </c>
      <c r="AR383" t="s">
        <v>72</v>
      </c>
      <c r="AS383">
        <v>1466</v>
      </c>
      <c r="AT383" s="4">
        <v>42520</v>
      </c>
      <c r="AU383" t="s">
        <v>73</v>
      </c>
      <c r="AV383">
        <v>1466</v>
      </c>
      <c r="AW383" s="4">
        <v>42520</v>
      </c>
      <c r="BD383">
        <v>0</v>
      </c>
      <c r="BN383" t="s">
        <v>74</v>
      </c>
    </row>
    <row r="384" spans="1:66" hidden="1">
      <c r="A384">
        <v>100073</v>
      </c>
      <c r="B384" s="3" t="s">
        <v>106</v>
      </c>
      <c r="C384" s="1">
        <v>43300101</v>
      </c>
      <c r="D384" t="s">
        <v>67</v>
      </c>
      <c r="H384" t="str">
        <f t="shared" si="28"/>
        <v>01778520302</v>
      </c>
      <c r="I384" t="str">
        <f t="shared" si="29"/>
        <v>11496970150</v>
      </c>
      <c r="K384" t="str">
        <f>""</f>
        <v/>
      </c>
      <c r="M384" t="s">
        <v>68</v>
      </c>
      <c r="N384" t="str">
        <f t="shared" si="24"/>
        <v>FOR</v>
      </c>
      <c r="O384" t="s">
        <v>69</v>
      </c>
      <c r="P384" s="3" t="s">
        <v>75</v>
      </c>
      <c r="Q384">
        <v>2015</v>
      </c>
      <c r="R384" s="2">
        <v>42212</v>
      </c>
      <c r="S384" s="2">
        <v>42216</v>
      </c>
      <c r="T384" s="2">
        <v>42213</v>
      </c>
      <c r="U384" s="2">
        <v>42273</v>
      </c>
      <c r="V384" t="s">
        <v>71</v>
      </c>
      <c r="W384" t="str">
        <f>"       6012215004467"</f>
        <v xml:space="preserve">       6012215004467</v>
      </c>
      <c r="X384">
        <v>719.4</v>
      </c>
      <c r="Y384">
        <v>0</v>
      </c>
      <c r="Z384"/>
      <c r="AB384"/>
      <c r="AC384">
        <v>654</v>
      </c>
      <c r="AD384">
        <v>296</v>
      </c>
      <c r="AE384" s="1">
        <v>193584</v>
      </c>
      <c r="AF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 s="2">
        <v>42746</v>
      </c>
      <c r="AQ384" t="s">
        <v>72</v>
      </c>
      <c r="AR384" t="s">
        <v>72</v>
      </c>
      <c r="AS384">
        <v>1848</v>
      </c>
      <c r="AT384" s="4">
        <v>42569</v>
      </c>
      <c r="AU384" t="s">
        <v>73</v>
      </c>
      <c r="AV384">
        <v>1848</v>
      </c>
      <c r="AW384" s="4">
        <v>42569</v>
      </c>
      <c r="BD384">
        <v>0</v>
      </c>
      <c r="BN384" t="s">
        <v>74</v>
      </c>
    </row>
    <row r="385" spans="1:66">
      <c r="A385">
        <v>100073</v>
      </c>
      <c r="B385" s="3" t="s">
        <v>106</v>
      </c>
      <c r="C385" s="1">
        <v>43300101</v>
      </c>
      <c r="D385" t="s">
        <v>67</v>
      </c>
      <c r="H385" t="str">
        <f t="shared" si="28"/>
        <v>01778520302</v>
      </c>
      <c r="I385" t="str">
        <f t="shared" si="29"/>
        <v>11496970150</v>
      </c>
      <c r="K385" t="str">
        <f>""</f>
        <v/>
      </c>
      <c r="M385" t="s">
        <v>68</v>
      </c>
      <c r="N385" t="str">
        <f t="shared" si="24"/>
        <v>FOR</v>
      </c>
      <c r="O385" t="s">
        <v>69</v>
      </c>
      <c r="P385" s="3" t="s">
        <v>75</v>
      </c>
      <c r="Q385">
        <v>2015</v>
      </c>
      <c r="R385" s="2">
        <v>42213</v>
      </c>
      <c r="S385" s="2">
        <v>42215</v>
      </c>
      <c r="T385" s="2">
        <v>42214</v>
      </c>
      <c r="U385" s="2">
        <v>42274</v>
      </c>
      <c r="V385" t="s">
        <v>71</v>
      </c>
      <c r="W385" t="str">
        <f>"       6012215004532"</f>
        <v xml:space="preserve">       6012215004532</v>
      </c>
      <c r="X385">
        <v>959.2</v>
      </c>
      <c r="Y385">
        <v>0</v>
      </c>
      <c r="Z385" s="3">
        <v>872</v>
      </c>
      <c r="AA385">
        <v>373</v>
      </c>
      <c r="AB385" s="5">
        <v>325256</v>
      </c>
      <c r="AC385">
        <v>872</v>
      </c>
      <c r="AD385">
        <v>373</v>
      </c>
      <c r="AE385" s="1">
        <v>325256</v>
      </c>
      <c r="AF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 s="2">
        <v>42746</v>
      </c>
      <c r="AQ385" t="s">
        <v>72</v>
      </c>
      <c r="AR385" t="s">
        <v>72</v>
      </c>
      <c r="AS385">
        <v>2616</v>
      </c>
      <c r="AT385" s="4">
        <v>42647</v>
      </c>
      <c r="AU385" t="s">
        <v>73</v>
      </c>
      <c r="AV385">
        <v>2616</v>
      </c>
      <c r="AW385" s="4">
        <v>42647</v>
      </c>
      <c r="BD385">
        <v>0</v>
      </c>
      <c r="BN385" t="s">
        <v>74</v>
      </c>
    </row>
    <row r="386" spans="1:66">
      <c r="A386">
        <v>100073</v>
      </c>
      <c r="B386" s="3" t="s">
        <v>106</v>
      </c>
      <c r="C386" s="1">
        <v>43300101</v>
      </c>
      <c r="D386" t="s">
        <v>67</v>
      </c>
      <c r="H386" t="str">
        <f t="shared" si="28"/>
        <v>01778520302</v>
      </c>
      <c r="I386" t="str">
        <f t="shared" si="29"/>
        <v>11496970150</v>
      </c>
      <c r="K386" t="str">
        <f>""</f>
        <v/>
      </c>
      <c r="M386" t="s">
        <v>68</v>
      </c>
      <c r="N386" t="str">
        <f t="shared" si="24"/>
        <v>FOR</v>
      </c>
      <c r="O386" t="s">
        <v>69</v>
      </c>
      <c r="P386" s="3" t="s">
        <v>75</v>
      </c>
      <c r="Q386">
        <v>2015</v>
      </c>
      <c r="R386" s="2">
        <v>42215</v>
      </c>
      <c r="S386" s="2">
        <v>42227</v>
      </c>
      <c r="T386" s="2">
        <v>42216</v>
      </c>
      <c r="U386" s="2">
        <v>42276</v>
      </c>
      <c r="V386" t="s">
        <v>71</v>
      </c>
      <c r="W386" t="str">
        <f>"       6012215004780"</f>
        <v xml:space="preserve">       6012215004780</v>
      </c>
      <c r="X386" s="1">
        <v>1918.4</v>
      </c>
      <c r="Y386">
        <v>0</v>
      </c>
      <c r="Z386" s="5">
        <v>1744</v>
      </c>
      <c r="AA386">
        <v>371</v>
      </c>
      <c r="AB386" s="5">
        <v>647024</v>
      </c>
      <c r="AC386" s="1">
        <v>1744</v>
      </c>
      <c r="AD386">
        <v>371</v>
      </c>
      <c r="AE386" s="1">
        <v>647024</v>
      </c>
      <c r="AF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 s="2">
        <v>42746</v>
      </c>
      <c r="AQ386" t="s">
        <v>72</v>
      </c>
      <c r="AR386" t="s">
        <v>72</v>
      </c>
      <c r="AS386">
        <v>2616</v>
      </c>
      <c r="AT386" s="4">
        <v>42647</v>
      </c>
      <c r="AU386" t="s">
        <v>73</v>
      </c>
      <c r="AV386">
        <v>2616</v>
      </c>
      <c r="AW386" s="4">
        <v>42647</v>
      </c>
      <c r="BD386">
        <v>0</v>
      </c>
      <c r="BN386" t="s">
        <v>74</v>
      </c>
    </row>
    <row r="387" spans="1:66" hidden="1">
      <c r="A387">
        <v>100073</v>
      </c>
      <c r="B387" s="3" t="s">
        <v>106</v>
      </c>
      <c r="C387" s="1">
        <v>43300101</v>
      </c>
      <c r="D387" t="s">
        <v>67</v>
      </c>
      <c r="H387" t="str">
        <f t="shared" si="28"/>
        <v>01778520302</v>
      </c>
      <c r="I387" t="str">
        <f t="shared" si="29"/>
        <v>11496970150</v>
      </c>
      <c r="K387" t="str">
        <f>""</f>
        <v/>
      </c>
      <c r="M387" t="s">
        <v>68</v>
      </c>
      <c r="N387" t="str">
        <f t="shared" ref="N387:N428" si="30">"FOR"</f>
        <v>FOR</v>
      </c>
      <c r="O387" t="s">
        <v>69</v>
      </c>
      <c r="P387" s="3" t="s">
        <v>75</v>
      </c>
      <c r="Q387">
        <v>2015</v>
      </c>
      <c r="R387" s="2">
        <v>42262</v>
      </c>
      <c r="S387" s="2">
        <v>42268</v>
      </c>
      <c r="T387" s="2">
        <v>42263</v>
      </c>
      <c r="U387" s="2">
        <v>42323</v>
      </c>
      <c r="V387" t="s">
        <v>71</v>
      </c>
      <c r="W387" t="str">
        <f>"       6012215007296"</f>
        <v xml:space="preserve">       6012215007296</v>
      </c>
      <c r="X387" s="1">
        <v>3597</v>
      </c>
      <c r="Y387">
        <v>0</v>
      </c>
      <c r="Z387"/>
      <c r="AB387"/>
      <c r="AC387" s="1">
        <v>3270</v>
      </c>
      <c r="AD387">
        <v>296</v>
      </c>
      <c r="AE387" s="1">
        <v>967920</v>
      </c>
      <c r="AF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 s="2">
        <v>42746</v>
      </c>
      <c r="AQ387" t="s">
        <v>72</v>
      </c>
      <c r="AR387" t="s">
        <v>72</v>
      </c>
      <c r="AS387">
        <v>2282</v>
      </c>
      <c r="AT387" s="4">
        <v>42619</v>
      </c>
      <c r="AU387" t="s">
        <v>73</v>
      </c>
      <c r="AV387">
        <v>2282</v>
      </c>
      <c r="AW387" s="4">
        <v>42619</v>
      </c>
      <c r="BD387">
        <v>0</v>
      </c>
      <c r="BN387" t="s">
        <v>74</v>
      </c>
    </row>
    <row r="388" spans="1:66" hidden="1">
      <c r="A388">
        <v>100073</v>
      </c>
      <c r="B388" s="3" t="s">
        <v>106</v>
      </c>
      <c r="C388" s="1">
        <v>43300101</v>
      </c>
      <c r="D388" t="s">
        <v>67</v>
      </c>
      <c r="H388" t="str">
        <f t="shared" si="28"/>
        <v>01778520302</v>
      </c>
      <c r="I388" t="str">
        <f t="shared" si="29"/>
        <v>11496970150</v>
      </c>
      <c r="K388" t="str">
        <f>""</f>
        <v/>
      </c>
      <c r="M388" t="s">
        <v>68</v>
      </c>
      <c r="N388" t="str">
        <f t="shared" si="30"/>
        <v>FOR</v>
      </c>
      <c r="O388" t="s">
        <v>69</v>
      </c>
      <c r="P388" s="3" t="s">
        <v>75</v>
      </c>
      <c r="Q388">
        <v>2015</v>
      </c>
      <c r="R388" s="2">
        <v>42269</v>
      </c>
      <c r="S388" s="2">
        <v>42270</v>
      </c>
      <c r="T388" s="2">
        <v>42270</v>
      </c>
      <c r="U388" s="2">
        <v>42330</v>
      </c>
      <c r="V388" t="s">
        <v>71</v>
      </c>
      <c r="W388" t="str">
        <f>"       6012215007846"</f>
        <v xml:space="preserve">       6012215007846</v>
      </c>
      <c r="X388" s="1">
        <v>8250</v>
      </c>
      <c r="Y388">
        <v>0</v>
      </c>
      <c r="Z388"/>
      <c r="AB388"/>
      <c r="AC388" s="1">
        <v>7500</v>
      </c>
      <c r="AD388">
        <v>289</v>
      </c>
      <c r="AE388" s="1">
        <v>2167500</v>
      </c>
      <c r="AF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 s="2">
        <v>42746</v>
      </c>
      <c r="AQ388" t="s">
        <v>72</v>
      </c>
      <c r="AR388" t="s">
        <v>72</v>
      </c>
      <c r="AS388">
        <v>2282</v>
      </c>
      <c r="AT388" s="4">
        <v>42619</v>
      </c>
      <c r="AU388" t="s">
        <v>73</v>
      </c>
      <c r="AV388">
        <v>2282</v>
      </c>
      <c r="AW388" s="4">
        <v>42619</v>
      </c>
      <c r="BD388">
        <v>0</v>
      </c>
      <c r="BN388" t="s">
        <v>74</v>
      </c>
    </row>
    <row r="389" spans="1:66">
      <c r="A389">
        <v>100073</v>
      </c>
      <c r="B389" s="3" t="s">
        <v>106</v>
      </c>
      <c r="C389" s="1">
        <v>43300101</v>
      </c>
      <c r="D389" t="s">
        <v>67</v>
      </c>
      <c r="H389" t="str">
        <f t="shared" si="28"/>
        <v>01778520302</v>
      </c>
      <c r="I389" t="str">
        <f t="shared" si="29"/>
        <v>11496970150</v>
      </c>
      <c r="K389" t="str">
        <f>""</f>
        <v/>
      </c>
      <c r="M389" t="s">
        <v>68</v>
      </c>
      <c r="N389" t="str">
        <f t="shared" si="30"/>
        <v>FOR</v>
      </c>
      <c r="O389" t="s">
        <v>69</v>
      </c>
      <c r="P389" s="3" t="s">
        <v>75</v>
      </c>
      <c r="Q389">
        <v>2015</v>
      </c>
      <c r="R389" s="2">
        <v>42305</v>
      </c>
      <c r="S389" s="2">
        <v>42307</v>
      </c>
      <c r="T389" s="2">
        <v>42306</v>
      </c>
      <c r="U389" s="2">
        <v>42366</v>
      </c>
      <c r="V389" t="s">
        <v>71</v>
      </c>
      <c r="W389" t="str">
        <f>"       6012215010527"</f>
        <v xml:space="preserve">       6012215010527</v>
      </c>
      <c r="X389" s="1">
        <v>3597</v>
      </c>
      <c r="Y389">
        <v>0</v>
      </c>
      <c r="Z389" s="5">
        <v>3270</v>
      </c>
      <c r="AA389">
        <v>281</v>
      </c>
      <c r="AB389" s="5">
        <v>918870</v>
      </c>
      <c r="AC389" s="1">
        <v>3270</v>
      </c>
      <c r="AD389">
        <v>281</v>
      </c>
      <c r="AE389" s="1">
        <v>918870</v>
      </c>
      <c r="AF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 s="2">
        <v>42746</v>
      </c>
      <c r="AQ389" t="s">
        <v>72</v>
      </c>
      <c r="AR389" t="s">
        <v>72</v>
      </c>
      <c r="AS389">
        <v>2616</v>
      </c>
      <c r="AT389" s="4">
        <v>42647</v>
      </c>
      <c r="AU389" t="s">
        <v>73</v>
      </c>
      <c r="AV389">
        <v>2616</v>
      </c>
      <c r="AW389" s="4">
        <v>42647</v>
      </c>
      <c r="BD389">
        <v>0</v>
      </c>
      <c r="BN389" t="s">
        <v>74</v>
      </c>
    </row>
    <row r="390" spans="1:66">
      <c r="A390">
        <v>100073</v>
      </c>
      <c r="B390" s="3" t="s">
        <v>106</v>
      </c>
      <c r="C390" s="1">
        <v>43300101</v>
      </c>
      <c r="D390" t="s">
        <v>67</v>
      </c>
      <c r="H390" t="str">
        <f t="shared" si="28"/>
        <v>01778520302</v>
      </c>
      <c r="I390" t="str">
        <f t="shared" si="29"/>
        <v>11496970150</v>
      </c>
      <c r="K390" t="str">
        <f>""</f>
        <v/>
      </c>
      <c r="M390" t="s">
        <v>68</v>
      </c>
      <c r="N390" t="str">
        <f t="shared" si="30"/>
        <v>FOR</v>
      </c>
      <c r="O390" t="s">
        <v>69</v>
      </c>
      <c r="P390" s="3" t="s">
        <v>75</v>
      </c>
      <c r="Q390">
        <v>2015</v>
      </c>
      <c r="R390" s="2">
        <v>42340</v>
      </c>
      <c r="S390" s="2">
        <v>42342</v>
      </c>
      <c r="T390" s="2">
        <v>42341</v>
      </c>
      <c r="U390" s="2">
        <v>42401</v>
      </c>
      <c r="V390" t="s">
        <v>71</v>
      </c>
      <c r="W390" t="str">
        <f>"       6012215013234"</f>
        <v xml:space="preserve">       6012215013234</v>
      </c>
      <c r="X390" s="1">
        <v>4316.3999999999996</v>
      </c>
      <c r="Y390">
        <v>0</v>
      </c>
      <c r="Z390" s="5">
        <v>3924</v>
      </c>
      <c r="AA390">
        <v>289</v>
      </c>
      <c r="AB390" s="5">
        <v>1134036</v>
      </c>
      <c r="AC390" s="1">
        <v>3924</v>
      </c>
      <c r="AD390">
        <v>289</v>
      </c>
      <c r="AE390" s="1">
        <v>1134036</v>
      </c>
      <c r="AF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 s="2">
        <v>42746</v>
      </c>
      <c r="AQ390" t="s">
        <v>72</v>
      </c>
      <c r="AR390" t="s">
        <v>72</v>
      </c>
      <c r="AS390">
        <v>3133</v>
      </c>
      <c r="AT390" s="4">
        <v>42690</v>
      </c>
      <c r="AU390" t="s">
        <v>73</v>
      </c>
      <c r="AV390">
        <v>3133</v>
      </c>
      <c r="AW390" s="4">
        <v>42690</v>
      </c>
      <c r="BD390">
        <v>0</v>
      </c>
      <c r="BN390" t="s">
        <v>74</v>
      </c>
    </row>
    <row r="391" spans="1:66">
      <c r="A391">
        <v>100073</v>
      </c>
      <c r="B391" s="3" t="s">
        <v>106</v>
      </c>
      <c r="C391" s="1">
        <v>43300101</v>
      </c>
      <c r="D391" t="s">
        <v>67</v>
      </c>
      <c r="H391" t="str">
        <f t="shared" si="28"/>
        <v>01778520302</v>
      </c>
      <c r="I391" t="str">
        <f t="shared" si="29"/>
        <v>11496970150</v>
      </c>
      <c r="K391" t="str">
        <f>""</f>
        <v/>
      </c>
      <c r="M391" t="s">
        <v>68</v>
      </c>
      <c r="N391" t="str">
        <f t="shared" si="30"/>
        <v>FOR</v>
      </c>
      <c r="O391" t="s">
        <v>69</v>
      </c>
      <c r="P391" s="3" t="s">
        <v>75</v>
      </c>
      <c r="Q391">
        <v>2016</v>
      </c>
      <c r="R391" s="2">
        <v>42381</v>
      </c>
      <c r="S391" s="2">
        <v>42391</v>
      </c>
      <c r="T391" s="2">
        <v>42382</v>
      </c>
      <c r="U391" s="2">
        <v>42442</v>
      </c>
      <c r="V391" t="s">
        <v>71</v>
      </c>
      <c r="W391" t="str">
        <f>"       6012216000495"</f>
        <v xml:space="preserve">       6012216000495</v>
      </c>
      <c r="X391">
        <v>719.4</v>
      </c>
      <c r="Y391">
        <v>0</v>
      </c>
      <c r="Z391" s="3">
        <v>654</v>
      </c>
      <c r="AA391">
        <v>282</v>
      </c>
      <c r="AB391" s="5">
        <v>184428</v>
      </c>
      <c r="AC391">
        <v>654</v>
      </c>
      <c r="AD391">
        <v>282</v>
      </c>
      <c r="AE391" s="1">
        <v>184428</v>
      </c>
      <c r="AF391">
        <v>65.400000000000006</v>
      </c>
      <c r="AJ391">
        <v>0</v>
      </c>
      <c r="AK391">
        <v>0</v>
      </c>
      <c r="AL391">
        <v>0</v>
      </c>
      <c r="AM391">
        <v>719.4</v>
      </c>
      <c r="AN391">
        <v>719.4</v>
      </c>
      <c r="AO391">
        <v>719.4</v>
      </c>
      <c r="AP391" s="2">
        <v>42746</v>
      </c>
      <c r="AQ391" t="s">
        <v>72</v>
      </c>
      <c r="AR391" t="s">
        <v>72</v>
      </c>
      <c r="AS391">
        <v>3634</v>
      </c>
      <c r="AT391" s="4">
        <v>42724</v>
      </c>
      <c r="AU391" t="s">
        <v>73</v>
      </c>
      <c r="AV391">
        <v>3634</v>
      </c>
      <c r="AW391" s="4">
        <v>42724</v>
      </c>
      <c r="BD391">
        <v>65.400000000000006</v>
      </c>
      <c r="BN391" t="s">
        <v>74</v>
      </c>
    </row>
    <row r="392" spans="1:66">
      <c r="A392">
        <v>100073</v>
      </c>
      <c r="B392" s="3" t="s">
        <v>106</v>
      </c>
      <c r="C392" s="1">
        <v>43300101</v>
      </c>
      <c r="D392" t="s">
        <v>67</v>
      </c>
      <c r="H392" t="str">
        <f t="shared" si="28"/>
        <v>01778520302</v>
      </c>
      <c r="I392" t="str">
        <f t="shared" si="29"/>
        <v>11496970150</v>
      </c>
      <c r="K392" t="str">
        <f>""</f>
        <v/>
      </c>
      <c r="M392" t="s">
        <v>68</v>
      </c>
      <c r="N392" t="str">
        <f t="shared" si="30"/>
        <v>FOR</v>
      </c>
      <c r="O392" t="s">
        <v>69</v>
      </c>
      <c r="P392" s="3" t="s">
        <v>75</v>
      </c>
      <c r="Q392">
        <v>2016</v>
      </c>
      <c r="R392" s="2">
        <v>42382</v>
      </c>
      <c r="S392" s="2">
        <v>42391</v>
      </c>
      <c r="T392" s="2">
        <v>42383</v>
      </c>
      <c r="U392" s="2">
        <v>42443</v>
      </c>
      <c r="V392" t="s">
        <v>71</v>
      </c>
      <c r="W392" t="str">
        <f>"       6012216000586"</f>
        <v xml:space="preserve">       6012216000586</v>
      </c>
      <c r="X392" s="1">
        <v>3597</v>
      </c>
      <c r="Y392">
        <v>0</v>
      </c>
      <c r="Z392" s="5">
        <v>3270</v>
      </c>
      <c r="AA392">
        <v>281</v>
      </c>
      <c r="AB392" s="5">
        <v>918870</v>
      </c>
      <c r="AC392" s="1">
        <v>3270</v>
      </c>
      <c r="AD392">
        <v>281</v>
      </c>
      <c r="AE392" s="1">
        <v>918870</v>
      </c>
      <c r="AF392">
        <v>327</v>
      </c>
      <c r="AJ392">
        <v>0</v>
      </c>
      <c r="AK392">
        <v>0</v>
      </c>
      <c r="AL392">
        <v>0</v>
      </c>
      <c r="AM392" s="1">
        <v>3597</v>
      </c>
      <c r="AN392" s="1">
        <v>3597</v>
      </c>
      <c r="AO392" s="1">
        <v>3597</v>
      </c>
      <c r="AP392" s="2">
        <v>42746</v>
      </c>
      <c r="AQ392" t="s">
        <v>72</v>
      </c>
      <c r="AR392" t="s">
        <v>72</v>
      </c>
      <c r="AS392">
        <v>3634</v>
      </c>
      <c r="AT392" s="4">
        <v>42724</v>
      </c>
      <c r="AU392" t="s">
        <v>73</v>
      </c>
      <c r="AV392">
        <v>3634</v>
      </c>
      <c r="AW392" s="4">
        <v>42724</v>
      </c>
      <c r="BD392">
        <v>327</v>
      </c>
      <c r="BN392" t="s">
        <v>74</v>
      </c>
    </row>
    <row r="393" spans="1:66" hidden="1">
      <c r="A393">
        <v>100075</v>
      </c>
      <c r="B393" s="3" t="s">
        <v>107</v>
      </c>
      <c r="C393" s="1">
        <v>43300101</v>
      </c>
      <c r="D393" t="s">
        <v>67</v>
      </c>
      <c r="H393" t="str">
        <f t="shared" ref="H393:I405" si="31">"01679130060"</f>
        <v>01679130060</v>
      </c>
      <c r="I393" t="str">
        <f t="shared" si="31"/>
        <v>01679130060</v>
      </c>
      <c r="K393" t="str">
        <f>""</f>
        <v/>
      </c>
      <c r="M393" t="s">
        <v>68</v>
      </c>
      <c r="N393" t="str">
        <f t="shared" si="30"/>
        <v>FOR</v>
      </c>
      <c r="O393" t="s">
        <v>69</v>
      </c>
      <c r="P393" s="3" t="s">
        <v>75</v>
      </c>
      <c r="Q393">
        <v>2015</v>
      </c>
      <c r="R393" s="2">
        <v>42153</v>
      </c>
      <c r="S393" s="2">
        <v>42171</v>
      </c>
      <c r="T393" s="2">
        <v>42170</v>
      </c>
      <c r="U393" s="2">
        <v>42230</v>
      </c>
      <c r="V393" t="s">
        <v>71</v>
      </c>
      <c r="W393" t="str">
        <f>"        201506022049"</f>
        <v xml:space="preserve">        201506022049</v>
      </c>
      <c r="X393" s="1">
        <v>1474</v>
      </c>
      <c r="Y393">
        <v>0</v>
      </c>
      <c r="Z393"/>
      <c r="AB393"/>
      <c r="AC393" s="1">
        <v>1340</v>
      </c>
      <c r="AD393">
        <v>222</v>
      </c>
      <c r="AE393" s="1">
        <v>297480</v>
      </c>
      <c r="AF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 s="2">
        <v>42746</v>
      </c>
      <c r="AQ393" t="s">
        <v>72</v>
      </c>
      <c r="AR393" t="s">
        <v>72</v>
      </c>
      <c r="AS393">
        <v>827</v>
      </c>
      <c r="AT393" s="4">
        <v>42452</v>
      </c>
      <c r="AU393" t="s">
        <v>73</v>
      </c>
      <c r="AV393">
        <v>827</v>
      </c>
      <c r="AW393" s="4">
        <v>42452</v>
      </c>
      <c r="BD393">
        <v>0</v>
      </c>
      <c r="BN393" t="s">
        <v>74</v>
      </c>
    </row>
    <row r="394" spans="1:66" hidden="1">
      <c r="A394">
        <v>100075</v>
      </c>
      <c r="B394" s="3" t="s">
        <v>107</v>
      </c>
      <c r="C394" s="1">
        <v>43300101</v>
      </c>
      <c r="D394" t="s">
        <v>67</v>
      </c>
      <c r="H394" t="str">
        <f t="shared" si="31"/>
        <v>01679130060</v>
      </c>
      <c r="I394" t="str">
        <f t="shared" si="31"/>
        <v>01679130060</v>
      </c>
      <c r="K394" t="str">
        <f>""</f>
        <v/>
      </c>
      <c r="M394" t="s">
        <v>68</v>
      </c>
      <c r="N394" t="str">
        <f t="shared" si="30"/>
        <v>FOR</v>
      </c>
      <c r="O394" t="s">
        <v>69</v>
      </c>
      <c r="P394" s="3" t="s">
        <v>75</v>
      </c>
      <c r="Q394">
        <v>2015</v>
      </c>
      <c r="R394" s="2">
        <v>42167</v>
      </c>
      <c r="S394" s="2">
        <v>42172</v>
      </c>
      <c r="T394" s="2">
        <v>42171</v>
      </c>
      <c r="U394" s="2">
        <v>42231</v>
      </c>
      <c r="V394" t="s">
        <v>71</v>
      </c>
      <c r="W394" t="str">
        <f>"        201506022535"</f>
        <v xml:space="preserve">        201506022535</v>
      </c>
      <c r="X394">
        <v>594</v>
      </c>
      <c r="Y394">
        <v>0</v>
      </c>
      <c r="Z394"/>
      <c r="AB394"/>
      <c r="AC394">
        <v>540</v>
      </c>
      <c r="AD394">
        <v>296</v>
      </c>
      <c r="AE394" s="1">
        <v>159840</v>
      </c>
      <c r="AF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 s="2">
        <v>42746</v>
      </c>
      <c r="AQ394" t="s">
        <v>72</v>
      </c>
      <c r="AR394" t="s">
        <v>72</v>
      </c>
      <c r="AS394">
        <v>1506</v>
      </c>
      <c r="AT394" s="4">
        <v>42527</v>
      </c>
      <c r="AU394" t="s">
        <v>73</v>
      </c>
      <c r="AV394">
        <v>1506</v>
      </c>
      <c r="AW394" s="4">
        <v>42527</v>
      </c>
      <c r="BD394">
        <v>0</v>
      </c>
      <c r="BN394" t="s">
        <v>74</v>
      </c>
    </row>
    <row r="395" spans="1:66" hidden="1">
      <c r="A395">
        <v>100075</v>
      </c>
      <c r="B395" s="3" t="s">
        <v>107</v>
      </c>
      <c r="C395" s="1">
        <v>43300101</v>
      </c>
      <c r="D395" t="s">
        <v>67</v>
      </c>
      <c r="H395" t="str">
        <f t="shared" si="31"/>
        <v>01679130060</v>
      </c>
      <c r="I395" t="str">
        <f t="shared" si="31"/>
        <v>01679130060</v>
      </c>
      <c r="K395" t="str">
        <f>""</f>
        <v/>
      </c>
      <c r="M395" t="s">
        <v>68</v>
      </c>
      <c r="N395" t="str">
        <f t="shared" si="30"/>
        <v>FOR</v>
      </c>
      <c r="O395" t="s">
        <v>69</v>
      </c>
      <c r="P395" s="3" t="s">
        <v>75</v>
      </c>
      <c r="Q395">
        <v>2015</v>
      </c>
      <c r="R395" s="2">
        <v>42181</v>
      </c>
      <c r="S395" s="2">
        <v>42191</v>
      </c>
      <c r="T395" s="2">
        <v>42185</v>
      </c>
      <c r="U395" s="2">
        <v>42245</v>
      </c>
      <c r="V395" t="s">
        <v>71</v>
      </c>
      <c r="W395" t="str">
        <f>"        201506023113"</f>
        <v xml:space="preserve">        201506023113</v>
      </c>
      <c r="X395">
        <v>580.79999999999995</v>
      </c>
      <c r="Y395">
        <v>0</v>
      </c>
      <c r="Z395"/>
      <c r="AB395"/>
      <c r="AC395">
        <v>528</v>
      </c>
      <c r="AD395">
        <v>282</v>
      </c>
      <c r="AE395" s="1">
        <v>148896</v>
      </c>
      <c r="AF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 s="2">
        <v>42746</v>
      </c>
      <c r="AQ395" t="s">
        <v>72</v>
      </c>
      <c r="AR395" t="s">
        <v>72</v>
      </c>
      <c r="AS395">
        <v>1506</v>
      </c>
      <c r="AT395" s="4">
        <v>42527</v>
      </c>
      <c r="AU395" t="s">
        <v>73</v>
      </c>
      <c r="AV395">
        <v>1506</v>
      </c>
      <c r="AW395" s="4">
        <v>42527</v>
      </c>
      <c r="BD395">
        <v>0</v>
      </c>
      <c r="BN395" t="s">
        <v>74</v>
      </c>
    </row>
    <row r="396" spans="1:66" hidden="1">
      <c r="A396">
        <v>100075</v>
      </c>
      <c r="B396" s="3" t="s">
        <v>107</v>
      </c>
      <c r="C396" s="1">
        <v>43300101</v>
      </c>
      <c r="D396" t="s">
        <v>67</v>
      </c>
      <c r="H396" t="str">
        <f t="shared" si="31"/>
        <v>01679130060</v>
      </c>
      <c r="I396" t="str">
        <f t="shared" si="31"/>
        <v>01679130060</v>
      </c>
      <c r="K396" t="str">
        <f>""</f>
        <v/>
      </c>
      <c r="M396" t="s">
        <v>68</v>
      </c>
      <c r="N396" t="str">
        <f t="shared" si="30"/>
        <v>FOR</v>
      </c>
      <c r="O396" t="s">
        <v>69</v>
      </c>
      <c r="P396" s="3" t="s">
        <v>75</v>
      </c>
      <c r="Q396">
        <v>2015</v>
      </c>
      <c r="R396" s="2">
        <v>42185</v>
      </c>
      <c r="S396" s="2">
        <v>42191</v>
      </c>
      <c r="T396" s="2">
        <v>42188</v>
      </c>
      <c r="U396" s="2">
        <v>42248</v>
      </c>
      <c r="V396" t="s">
        <v>71</v>
      </c>
      <c r="W396" t="str">
        <f>"        201506023311"</f>
        <v xml:space="preserve">        201506023311</v>
      </c>
      <c r="X396" s="1">
        <v>1276</v>
      </c>
      <c r="Y396">
        <v>0</v>
      </c>
      <c r="Z396"/>
      <c r="AB396"/>
      <c r="AC396" s="1">
        <v>1160</v>
      </c>
      <c r="AD396">
        <v>279</v>
      </c>
      <c r="AE396" s="1">
        <v>323640</v>
      </c>
      <c r="AF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 s="2">
        <v>42746</v>
      </c>
      <c r="AQ396" t="s">
        <v>72</v>
      </c>
      <c r="AR396" t="s">
        <v>72</v>
      </c>
      <c r="AS396">
        <v>1506</v>
      </c>
      <c r="AT396" s="4">
        <v>42527</v>
      </c>
      <c r="AU396" t="s">
        <v>73</v>
      </c>
      <c r="AV396">
        <v>1506</v>
      </c>
      <c r="AW396" s="4">
        <v>42527</v>
      </c>
      <c r="BD396">
        <v>0</v>
      </c>
      <c r="BN396" t="s">
        <v>74</v>
      </c>
    </row>
    <row r="397" spans="1:66" hidden="1">
      <c r="A397">
        <v>100075</v>
      </c>
      <c r="B397" s="3" t="s">
        <v>107</v>
      </c>
      <c r="C397" s="1">
        <v>43300101</v>
      </c>
      <c r="D397" t="s">
        <v>67</v>
      </c>
      <c r="H397" t="str">
        <f t="shared" si="31"/>
        <v>01679130060</v>
      </c>
      <c r="I397" t="str">
        <f t="shared" si="31"/>
        <v>01679130060</v>
      </c>
      <c r="K397" t="str">
        <f>""</f>
        <v/>
      </c>
      <c r="M397" t="s">
        <v>68</v>
      </c>
      <c r="N397" t="str">
        <f t="shared" si="30"/>
        <v>FOR</v>
      </c>
      <c r="O397" t="s">
        <v>69</v>
      </c>
      <c r="P397" s="3" t="s">
        <v>75</v>
      </c>
      <c r="Q397">
        <v>2015</v>
      </c>
      <c r="R397" s="2">
        <v>42195</v>
      </c>
      <c r="S397" s="2">
        <v>42202</v>
      </c>
      <c r="T397" s="2">
        <v>42199</v>
      </c>
      <c r="U397" s="2">
        <v>42259</v>
      </c>
      <c r="V397" t="s">
        <v>71</v>
      </c>
      <c r="W397" t="str">
        <f>"        201506023642"</f>
        <v xml:space="preserve">        201506023642</v>
      </c>
      <c r="X397">
        <v>508.2</v>
      </c>
      <c r="Y397">
        <v>0</v>
      </c>
      <c r="Z397"/>
      <c r="AB397"/>
      <c r="AC397">
        <v>462</v>
      </c>
      <c r="AD397">
        <v>307</v>
      </c>
      <c r="AE397" s="1">
        <v>141834</v>
      </c>
      <c r="AF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 s="2">
        <v>42746</v>
      </c>
      <c r="AQ397" t="s">
        <v>72</v>
      </c>
      <c r="AR397" t="s">
        <v>72</v>
      </c>
      <c r="AS397">
        <v>1831</v>
      </c>
      <c r="AT397" s="4">
        <v>42566</v>
      </c>
      <c r="AU397" t="s">
        <v>73</v>
      </c>
      <c r="AV397">
        <v>1831</v>
      </c>
      <c r="AW397" s="4">
        <v>42566</v>
      </c>
      <c r="BD397">
        <v>0</v>
      </c>
      <c r="BN397" t="s">
        <v>74</v>
      </c>
    </row>
    <row r="398" spans="1:66" hidden="1">
      <c r="A398">
        <v>100075</v>
      </c>
      <c r="B398" s="3" t="s">
        <v>107</v>
      </c>
      <c r="C398" s="1">
        <v>43300101</v>
      </c>
      <c r="D398" t="s">
        <v>67</v>
      </c>
      <c r="H398" t="str">
        <f t="shared" si="31"/>
        <v>01679130060</v>
      </c>
      <c r="I398" t="str">
        <f t="shared" si="31"/>
        <v>01679130060</v>
      </c>
      <c r="K398" t="str">
        <f>""</f>
        <v/>
      </c>
      <c r="M398" t="s">
        <v>68</v>
      </c>
      <c r="N398" t="str">
        <f t="shared" si="30"/>
        <v>FOR</v>
      </c>
      <c r="O398" t="s">
        <v>69</v>
      </c>
      <c r="P398" s="3" t="s">
        <v>75</v>
      </c>
      <c r="Q398">
        <v>2015</v>
      </c>
      <c r="R398" s="2">
        <v>42251</v>
      </c>
      <c r="S398" s="2">
        <v>42258</v>
      </c>
      <c r="T398" s="2">
        <v>42255</v>
      </c>
      <c r="U398" s="2">
        <v>42315</v>
      </c>
      <c r="V398" t="s">
        <v>71</v>
      </c>
      <c r="W398" t="str">
        <f>"        201506025753"</f>
        <v xml:space="preserve">        201506025753</v>
      </c>
      <c r="X398">
        <v>215.6</v>
      </c>
      <c r="Y398">
        <v>0</v>
      </c>
      <c r="Z398"/>
      <c r="AB398"/>
      <c r="AC398">
        <v>196</v>
      </c>
      <c r="AD398">
        <v>306</v>
      </c>
      <c r="AE398" s="1">
        <v>59976</v>
      </c>
      <c r="AF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 s="2">
        <v>42746</v>
      </c>
      <c r="AQ398" t="s">
        <v>72</v>
      </c>
      <c r="AR398" t="s">
        <v>72</v>
      </c>
      <c r="AS398">
        <v>2381</v>
      </c>
      <c r="AT398" s="4">
        <v>42621</v>
      </c>
      <c r="AU398" t="s">
        <v>73</v>
      </c>
      <c r="AV398">
        <v>2381</v>
      </c>
      <c r="AW398" s="4">
        <v>42621</v>
      </c>
      <c r="BD398">
        <v>0</v>
      </c>
      <c r="BN398" t="s">
        <v>74</v>
      </c>
    </row>
    <row r="399" spans="1:66" hidden="1">
      <c r="A399">
        <v>100075</v>
      </c>
      <c r="B399" s="3" t="s">
        <v>107</v>
      </c>
      <c r="C399" s="1">
        <v>43300101</v>
      </c>
      <c r="D399" t="s">
        <v>67</v>
      </c>
      <c r="H399" t="str">
        <f t="shared" si="31"/>
        <v>01679130060</v>
      </c>
      <c r="I399" t="str">
        <f t="shared" si="31"/>
        <v>01679130060</v>
      </c>
      <c r="K399" t="str">
        <f>""</f>
        <v/>
      </c>
      <c r="M399" t="s">
        <v>68</v>
      </c>
      <c r="N399" t="str">
        <f t="shared" si="30"/>
        <v>FOR</v>
      </c>
      <c r="O399" t="s">
        <v>69</v>
      </c>
      <c r="P399" s="3" t="s">
        <v>75</v>
      </c>
      <c r="Q399">
        <v>2015</v>
      </c>
      <c r="R399" s="2">
        <v>42265</v>
      </c>
      <c r="S399" s="2">
        <v>42269</v>
      </c>
      <c r="T399" s="2">
        <v>42269</v>
      </c>
      <c r="U399" s="2">
        <v>42329</v>
      </c>
      <c r="V399" t="s">
        <v>71</v>
      </c>
      <c r="W399" t="str">
        <f>"        201506026081"</f>
        <v xml:space="preserve">        201506026081</v>
      </c>
      <c r="X399">
        <v>539</v>
      </c>
      <c r="Y399">
        <v>0</v>
      </c>
      <c r="Z399"/>
      <c r="AB399"/>
      <c r="AC399">
        <v>490</v>
      </c>
      <c r="AD399">
        <v>292</v>
      </c>
      <c r="AE399" s="1">
        <v>143080</v>
      </c>
      <c r="AF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 s="2">
        <v>42746</v>
      </c>
      <c r="AQ399" t="s">
        <v>72</v>
      </c>
      <c r="AR399" t="s">
        <v>72</v>
      </c>
      <c r="AS399">
        <v>2381</v>
      </c>
      <c r="AT399" s="4">
        <v>42621</v>
      </c>
      <c r="AU399" t="s">
        <v>73</v>
      </c>
      <c r="AV399">
        <v>2381</v>
      </c>
      <c r="AW399" s="4">
        <v>42621</v>
      </c>
      <c r="BD399">
        <v>0</v>
      </c>
      <c r="BN399" t="s">
        <v>74</v>
      </c>
    </row>
    <row r="400" spans="1:66" hidden="1">
      <c r="A400">
        <v>100075</v>
      </c>
      <c r="B400" s="3" t="s">
        <v>107</v>
      </c>
      <c r="C400" s="1">
        <v>43300101</v>
      </c>
      <c r="D400" t="s">
        <v>67</v>
      </c>
      <c r="H400" t="str">
        <f t="shared" si="31"/>
        <v>01679130060</v>
      </c>
      <c r="I400" t="str">
        <f t="shared" si="31"/>
        <v>01679130060</v>
      </c>
      <c r="K400" t="str">
        <f>""</f>
        <v/>
      </c>
      <c r="M400" t="s">
        <v>68</v>
      </c>
      <c r="N400" t="str">
        <f t="shared" si="30"/>
        <v>FOR</v>
      </c>
      <c r="O400" t="s">
        <v>69</v>
      </c>
      <c r="P400" s="3" t="s">
        <v>75</v>
      </c>
      <c r="Q400">
        <v>2015</v>
      </c>
      <c r="R400" s="2">
        <v>42265</v>
      </c>
      <c r="S400" s="2">
        <v>42270</v>
      </c>
      <c r="T400" s="2">
        <v>42269</v>
      </c>
      <c r="U400" s="2">
        <v>42329</v>
      </c>
      <c r="V400" t="s">
        <v>71</v>
      </c>
      <c r="W400" t="str">
        <f>"        201506026082"</f>
        <v xml:space="preserve">        201506026082</v>
      </c>
      <c r="X400">
        <v>726</v>
      </c>
      <c r="Y400">
        <v>0</v>
      </c>
      <c r="Z400"/>
      <c r="AB400"/>
      <c r="AC400">
        <v>660</v>
      </c>
      <c r="AD400">
        <v>292</v>
      </c>
      <c r="AE400" s="1">
        <v>192720</v>
      </c>
      <c r="AF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 s="2">
        <v>42746</v>
      </c>
      <c r="AQ400" t="s">
        <v>72</v>
      </c>
      <c r="AR400" t="s">
        <v>72</v>
      </c>
      <c r="AS400">
        <v>2381</v>
      </c>
      <c r="AT400" s="4">
        <v>42621</v>
      </c>
      <c r="AU400" t="s">
        <v>73</v>
      </c>
      <c r="AV400">
        <v>2381</v>
      </c>
      <c r="AW400" s="4">
        <v>42621</v>
      </c>
      <c r="BD400">
        <v>0</v>
      </c>
      <c r="BN400" t="s">
        <v>74</v>
      </c>
    </row>
    <row r="401" spans="1:66" hidden="1">
      <c r="A401">
        <v>100075</v>
      </c>
      <c r="B401" s="3" t="s">
        <v>107</v>
      </c>
      <c r="C401" s="1">
        <v>43300101</v>
      </c>
      <c r="D401" t="s">
        <v>67</v>
      </c>
      <c r="H401" t="str">
        <f t="shared" si="31"/>
        <v>01679130060</v>
      </c>
      <c r="I401" t="str">
        <f t="shared" si="31"/>
        <v>01679130060</v>
      </c>
      <c r="K401" t="str">
        <f>""</f>
        <v/>
      </c>
      <c r="M401" t="s">
        <v>68</v>
      </c>
      <c r="N401" t="str">
        <f t="shared" si="30"/>
        <v>FOR</v>
      </c>
      <c r="O401" t="s">
        <v>69</v>
      </c>
      <c r="P401" s="3" t="s">
        <v>75</v>
      </c>
      <c r="Q401">
        <v>2015</v>
      </c>
      <c r="R401" s="2">
        <v>42272</v>
      </c>
      <c r="S401" s="2">
        <v>42282</v>
      </c>
      <c r="T401" s="2">
        <v>42277</v>
      </c>
      <c r="U401" s="2">
        <v>42337</v>
      </c>
      <c r="V401" t="s">
        <v>71</v>
      </c>
      <c r="W401" t="str">
        <f>"        201506026351"</f>
        <v xml:space="preserve">        201506026351</v>
      </c>
      <c r="X401">
        <v>539</v>
      </c>
      <c r="Y401">
        <v>0</v>
      </c>
      <c r="Z401"/>
      <c r="AB401"/>
      <c r="AC401">
        <v>490</v>
      </c>
      <c r="AD401">
        <v>284</v>
      </c>
      <c r="AE401" s="1">
        <v>139160</v>
      </c>
      <c r="AF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 s="2">
        <v>42746</v>
      </c>
      <c r="AQ401" t="s">
        <v>72</v>
      </c>
      <c r="AR401" t="s">
        <v>72</v>
      </c>
      <c r="AS401">
        <v>2381</v>
      </c>
      <c r="AT401" s="4">
        <v>42621</v>
      </c>
      <c r="AU401" t="s">
        <v>73</v>
      </c>
      <c r="AV401">
        <v>2381</v>
      </c>
      <c r="AW401" s="4">
        <v>42621</v>
      </c>
      <c r="BD401">
        <v>0</v>
      </c>
      <c r="BN401" t="s">
        <v>74</v>
      </c>
    </row>
    <row r="402" spans="1:66" hidden="1">
      <c r="A402">
        <v>100075</v>
      </c>
      <c r="B402" s="3" t="s">
        <v>107</v>
      </c>
      <c r="C402" s="1">
        <v>43300101</v>
      </c>
      <c r="D402" t="s">
        <v>67</v>
      </c>
      <c r="H402" t="str">
        <f t="shared" si="31"/>
        <v>01679130060</v>
      </c>
      <c r="I402" t="str">
        <f t="shared" si="31"/>
        <v>01679130060</v>
      </c>
      <c r="K402" t="str">
        <f>""</f>
        <v/>
      </c>
      <c r="M402" t="s">
        <v>68</v>
      </c>
      <c r="N402" t="str">
        <f t="shared" si="30"/>
        <v>FOR</v>
      </c>
      <c r="O402" t="s">
        <v>69</v>
      </c>
      <c r="P402" s="3" t="s">
        <v>75</v>
      </c>
      <c r="Q402">
        <v>2015</v>
      </c>
      <c r="R402" s="2">
        <v>42307</v>
      </c>
      <c r="S402" s="2">
        <v>42312</v>
      </c>
      <c r="T402" s="2">
        <v>42311</v>
      </c>
      <c r="U402" s="2">
        <v>42371</v>
      </c>
      <c r="V402" t="s">
        <v>71</v>
      </c>
      <c r="W402" t="str">
        <f>"        201506027545"</f>
        <v xml:space="preserve">        201506027545</v>
      </c>
      <c r="X402">
        <v>396</v>
      </c>
      <c r="Y402">
        <v>0</v>
      </c>
      <c r="Z402"/>
      <c r="AB402"/>
      <c r="AC402">
        <v>360</v>
      </c>
      <c r="AD402">
        <v>250</v>
      </c>
      <c r="AE402" s="1">
        <v>90000</v>
      </c>
      <c r="AF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 s="2">
        <v>42746</v>
      </c>
      <c r="AQ402" t="s">
        <v>72</v>
      </c>
      <c r="AR402" t="s">
        <v>72</v>
      </c>
      <c r="AS402">
        <v>2381</v>
      </c>
      <c r="AT402" s="4">
        <v>42621</v>
      </c>
      <c r="AU402" t="s">
        <v>73</v>
      </c>
      <c r="AV402">
        <v>2381</v>
      </c>
      <c r="AW402" s="4">
        <v>42621</v>
      </c>
      <c r="BD402">
        <v>0</v>
      </c>
      <c r="BN402" t="s">
        <v>74</v>
      </c>
    </row>
    <row r="403" spans="1:66">
      <c r="A403">
        <v>100075</v>
      </c>
      <c r="B403" s="3" t="s">
        <v>107</v>
      </c>
      <c r="C403" s="1">
        <v>43300101</v>
      </c>
      <c r="D403" t="s">
        <v>67</v>
      </c>
      <c r="H403" t="str">
        <f t="shared" si="31"/>
        <v>01679130060</v>
      </c>
      <c r="I403" t="str">
        <f t="shared" si="31"/>
        <v>01679130060</v>
      </c>
      <c r="K403" t="str">
        <f>""</f>
        <v/>
      </c>
      <c r="M403" t="s">
        <v>68</v>
      </c>
      <c r="N403" t="str">
        <f t="shared" si="30"/>
        <v>FOR</v>
      </c>
      <c r="O403" t="s">
        <v>69</v>
      </c>
      <c r="P403" s="3" t="s">
        <v>75</v>
      </c>
      <c r="Q403">
        <v>2016</v>
      </c>
      <c r="R403" s="2">
        <v>42384</v>
      </c>
      <c r="S403" s="2">
        <v>42396</v>
      </c>
      <c r="T403" s="2">
        <v>42395</v>
      </c>
      <c r="U403" s="2">
        <v>42455</v>
      </c>
      <c r="V403" t="s">
        <v>71</v>
      </c>
      <c r="W403" t="str">
        <f>"        201606020284"</f>
        <v xml:space="preserve">        201606020284</v>
      </c>
      <c r="X403">
        <v>754.6</v>
      </c>
      <c r="Y403">
        <v>0</v>
      </c>
      <c r="Z403" s="3">
        <v>686</v>
      </c>
      <c r="AA403">
        <v>268</v>
      </c>
      <c r="AB403" s="5">
        <v>183848</v>
      </c>
      <c r="AC403">
        <v>686</v>
      </c>
      <c r="AD403">
        <v>268</v>
      </c>
      <c r="AE403" s="1">
        <v>183848</v>
      </c>
      <c r="AF403">
        <v>68.599999999999994</v>
      </c>
      <c r="AJ403">
        <v>0</v>
      </c>
      <c r="AK403">
        <v>0</v>
      </c>
      <c r="AL403">
        <v>0</v>
      </c>
      <c r="AM403">
        <v>754.6</v>
      </c>
      <c r="AN403">
        <v>754.6</v>
      </c>
      <c r="AO403">
        <v>754.6</v>
      </c>
      <c r="AP403" s="2">
        <v>42746</v>
      </c>
      <c r="AQ403" t="s">
        <v>72</v>
      </c>
      <c r="AR403" t="s">
        <v>72</v>
      </c>
      <c r="AS403">
        <v>3596</v>
      </c>
      <c r="AT403" s="4">
        <v>42723</v>
      </c>
      <c r="AU403" t="s">
        <v>73</v>
      </c>
      <c r="AV403">
        <v>3596</v>
      </c>
      <c r="AW403" s="4">
        <v>42723</v>
      </c>
      <c r="BD403">
        <v>68.599999999999994</v>
      </c>
      <c r="BN403" t="s">
        <v>74</v>
      </c>
    </row>
    <row r="404" spans="1:66">
      <c r="A404">
        <v>100075</v>
      </c>
      <c r="B404" s="3" t="s">
        <v>107</v>
      </c>
      <c r="C404" s="1">
        <v>43300101</v>
      </c>
      <c r="D404" t="s">
        <v>67</v>
      </c>
      <c r="H404" t="str">
        <f t="shared" si="31"/>
        <v>01679130060</v>
      </c>
      <c r="I404" t="str">
        <f t="shared" si="31"/>
        <v>01679130060</v>
      </c>
      <c r="K404" t="str">
        <f>""</f>
        <v/>
      </c>
      <c r="M404" t="s">
        <v>68</v>
      </c>
      <c r="N404" t="str">
        <f t="shared" si="30"/>
        <v>FOR</v>
      </c>
      <c r="O404" t="s">
        <v>69</v>
      </c>
      <c r="P404" s="3" t="s">
        <v>75</v>
      </c>
      <c r="Q404">
        <v>2016</v>
      </c>
      <c r="R404" s="2">
        <v>42454</v>
      </c>
      <c r="S404" s="2">
        <v>42464</v>
      </c>
      <c r="T404" s="2">
        <v>42460</v>
      </c>
      <c r="U404" s="2">
        <v>42520</v>
      </c>
      <c r="V404" t="s">
        <v>71</v>
      </c>
      <c r="W404" t="str">
        <f>"        201606023203"</f>
        <v xml:space="preserve">        201606023203</v>
      </c>
      <c r="X404">
        <v>754.6</v>
      </c>
      <c r="Y404">
        <v>0</v>
      </c>
      <c r="Z404" s="3">
        <v>686</v>
      </c>
      <c r="AA404">
        <v>203</v>
      </c>
      <c r="AB404" s="5">
        <v>139258</v>
      </c>
      <c r="AC404">
        <v>686</v>
      </c>
      <c r="AD404">
        <v>203</v>
      </c>
      <c r="AE404" s="1">
        <v>139258</v>
      </c>
      <c r="AF404">
        <v>68.599999999999994</v>
      </c>
      <c r="AJ404">
        <v>0</v>
      </c>
      <c r="AK404">
        <v>0</v>
      </c>
      <c r="AL404">
        <v>0</v>
      </c>
      <c r="AM404">
        <v>754.6</v>
      </c>
      <c r="AN404">
        <v>754.6</v>
      </c>
      <c r="AO404">
        <v>754.6</v>
      </c>
      <c r="AP404" s="2">
        <v>42746</v>
      </c>
      <c r="AQ404" t="s">
        <v>72</v>
      </c>
      <c r="AR404" t="s">
        <v>72</v>
      </c>
      <c r="AS404">
        <v>3596</v>
      </c>
      <c r="AT404" s="4">
        <v>42723</v>
      </c>
      <c r="AU404" t="s">
        <v>73</v>
      </c>
      <c r="AV404">
        <v>3596</v>
      </c>
      <c r="AW404" s="4">
        <v>42723</v>
      </c>
      <c r="BD404">
        <v>68.599999999999994</v>
      </c>
      <c r="BN404" t="s">
        <v>74</v>
      </c>
    </row>
    <row r="405" spans="1:66">
      <c r="A405">
        <v>100075</v>
      </c>
      <c r="B405" s="3" t="s">
        <v>107</v>
      </c>
      <c r="C405" s="1">
        <v>43300101</v>
      </c>
      <c r="D405" t="s">
        <v>67</v>
      </c>
      <c r="H405" t="str">
        <f t="shared" si="31"/>
        <v>01679130060</v>
      </c>
      <c r="I405" t="str">
        <f t="shared" si="31"/>
        <v>01679130060</v>
      </c>
      <c r="K405" t="str">
        <f>""</f>
        <v/>
      </c>
      <c r="M405" t="s">
        <v>68</v>
      </c>
      <c r="N405" t="str">
        <f t="shared" si="30"/>
        <v>FOR</v>
      </c>
      <c r="O405" t="s">
        <v>69</v>
      </c>
      <c r="P405" s="3" t="s">
        <v>75</v>
      </c>
      <c r="Q405">
        <v>2016</v>
      </c>
      <c r="R405" s="2">
        <v>42573</v>
      </c>
      <c r="S405" s="2">
        <v>42577</v>
      </c>
      <c r="T405" s="2">
        <v>42576</v>
      </c>
      <c r="U405" s="2">
        <v>42636</v>
      </c>
      <c r="V405" t="s">
        <v>71</v>
      </c>
      <c r="W405" t="str">
        <f>"        201606027460"</f>
        <v xml:space="preserve">        201606027460</v>
      </c>
      <c r="X405" s="1">
        <v>1509.2</v>
      </c>
      <c r="Y405">
        <v>0</v>
      </c>
      <c r="Z405" s="5">
        <v>1372</v>
      </c>
      <c r="AA405">
        <v>87</v>
      </c>
      <c r="AB405" s="5">
        <v>119364</v>
      </c>
      <c r="AC405" s="1">
        <v>1372</v>
      </c>
      <c r="AD405">
        <v>87</v>
      </c>
      <c r="AE405" s="1">
        <v>119364</v>
      </c>
      <c r="AF405">
        <v>137.19999999999999</v>
      </c>
      <c r="AJ405">
        <v>0</v>
      </c>
      <c r="AK405">
        <v>0</v>
      </c>
      <c r="AL405">
        <v>0</v>
      </c>
      <c r="AM405" s="1">
        <v>1509.2</v>
      </c>
      <c r="AN405" s="1">
        <v>1509.2</v>
      </c>
      <c r="AO405" s="1">
        <v>1509.2</v>
      </c>
      <c r="AP405" s="2">
        <v>42746</v>
      </c>
      <c r="AQ405" t="s">
        <v>72</v>
      </c>
      <c r="AR405" t="s">
        <v>72</v>
      </c>
      <c r="AS405">
        <v>3596</v>
      </c>
      <c r="AT405" s="4">
        <v>42723</v>
      </c>
      <c r="AU405" t="s">
        <v>73</v>
      </c>
      <c r="AV405">
        <v>3596</v>
      </c>
      <c r="AW405" s="4">
        <v>42723</v>
      </c>
      <c r="BA405">
        <v>137.19999999999999</v>
      </c>
      <c r="BD405">
        <v>0</v>
      </c>
      <c r="BN405" t="s">
        <v>74</v>
      </c>
    </row>
    <row r="406" spans="1:66" hidden="1">
      <c r="A406">
        <v>100077</v>
      </c>
      <c r="B406" s="3" t="s">
        <v>108</v>
      </c>
      <c r="C406" s="1">
        <v>43300101</v>
      </c>
      <c r="D406" t="s">
        <v>67</v>
      </c>
      <c r="H406" t="str">
        <f>"00729220624"</f>
        <v>00729220624</v>
      </c>
      <c r="I406" t="str">
        <f>"00729220624"</f>
        <v>00729220624</v>
      </c>
      <c r="K406" t="str">
        <f>""</f>
        <v/>
      </c>
      <c r="M406" t="s">
        <v>68</v>
      </c>
      <c r="N406" t="str">
        <f t="shared" si="30"/>
        <v>FOR</v>
      </c>
      <c r="O406" t="s">
        <v>69</v>
      </c>
      <c r="P406" s="3" t="s">
        <v>75</v>
      </c>
      <c r="Q406">
        <v>2015</v>
      </c>
      <c r="R406" s="2">
        <v>42278</v>
      </c>
      <c r="S406" s="2">
        <v>42278</v>
      </c>
      <c r="T406" s="2">
        <v>42278</v>
      </c>
      <c r="U406" s="2">
        <v>42338</v>
      </c>
      <c r="V406" t="s">
        <v>71</v>
      </c>
      <c r="W406" t="str">
        <f>"                17PA"</f>
        <v xml:space="preserve">                17PA</v>
      </c>
      <c r="X406">
        <v>109.8</v>
      </c>
      <c r="Y406">
        <v>0</v>
      </c>
      <c r="Z406"/>
      <c r="AB406"/>
      <c r="AC406">
        <v>90</v>
      </c>
      <c r="AD406">
        <v>65</v>
      </c>
      <c r="AE406" s="1">
        <v>5850</v>
      </c>
      <c r="AF406">
        <v>19.8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 s="2">
        <v>42746</v>
      </c>
      <c r="AQ406" t="s">
        <v>72</v>
      </c>
      <c r="AR406" t="s">
        <v>72</v>
      </c>
      <c r="AS406">
        <v>212</v>
      </c>
      <c r="AT406" s="4">
        <v>42403</v>
      </c>
      <c r="AU406" t="s">
        <v>73</v>
      </c>
      <c r="AV406">
        <v>212</v>
      </c>
      <c r="AW406" s="4">
        <v>42403</v>
      </c>
      <c r="BD406">
        <v>19.8</v>
      </c>
      <c r="BN406" t="s">
        <v>74</v>
      </c>
    </row>
    <row r="407" spans="1:66" hidden="1">
      <c r="A407">
        <v>100077</v>
      </c>
      <c r="B407" s="3" t="s">
        <v>108</v>
      </c>
      <c r="C407" s="1">
        <v>43300101</v>
      </c>
      <c r="D407" t="s">
        <v>67</v>
      </c>
      <c r="H407" t="str">
        <f>"00729220624"</f>
        <v>00729220624</v>
      </c>
      <c r="I407" t="str">
        <f>"00729220624"</f>
        <v>00729220624</v>
      </c>
      <c r="K407" t="str">
        <f>""</f>
        <v/>
      </c>
      <c r="M407" t="s">
        <v>68</v>
      </c>
      <c r="N407" t="str">
        <f t="shared" si="30"/>
        <v>FOR</v>
      </c>
      <c r="O407" t="s">
        <v>69</v>
      </c>
      <c r="P407" s="3" t="s">
        <v>75</v>
      </c>
      <c r="Q407">
        <v>2016</v>
      </c>
      <c r="R407" s="2">
        <v>42396</v>
      </c>
      <c r="S407" s="2">
        <v>42396</v>
      </c>
      <c r="T407" s="2">
        <v>42396</v>
      </c>
      <c r="U407" s="2">
        <v>42456</v>
      </c>
      <c r="V407" t="s">
        <v>71</v>
      </c>
      <c r="W407" t="str">
        <f>"           01PA/2016"</f>
        <v xml:space="preserve">           01PA/2016</v>
      </c>
      <c r="X407">
        <v>97.6</v>
      </c>
      <c r="Y407">
        <v>0</v>
      </c>
      <c r="Z407"/>
      <c r="AB407"/>
      <c r="AC407">
        <v>80</v>
      </c>
      <c r="AD407">
        <v>110</v>
      </c>
      <c r="AE407" s="1">
        <v>8800</v>
      </c>
      <c r="AF407">
        <v>17.600000000000001</v>
      </c>
      <c r="AJ407">
        <v>0</v>
      </c>
      <c r="AK407">
        <v>0</v>
      </c>
      <c r="AL407">
        <v>0</v>
      </c>
      <c r="AM407">
        <v>97.6</v>
      </c>
      <c r="AN407">
        <v>97.6</v>
      </c>
      <c r="AO407">
        <v>97.6</v>
      </c>
      <c r="AP407" s="2">
        <v>42746</v>
      </c>
      <c r="AQ407" t="s">
        <v>72</v>
      </c>
      <c r="AR407" t="s">
        <v>72</v>
      </c>
      <c r="AS407">
        <v>1771</v>
      </c>
      <c r="AT407" s="4">
        <v>42566</v>
      </c>
      <c r="AU407" t="s">
        <v>73</v>
      </c>
      <c r="AV407">
        <v>1771</v>
      </c>
      <c r="AW407" s="4">
        <v>42566</v>
      </c>
      <c r="BD407">
        <v>17.600000000000001</v>
      </c>
      <c r="BN407" t="s">
        <v>74</v>
      </c>
    </row>
    <row r="408" spans="1:66" hidden="1">
      <c r="A408">
        <v>100079</v>
      </c>
      <c r="B408" s="3" t="s">
        <v>109</v>
      </c>
      <c r="C408" s="1">
        <v>43300101</v>
      </c>
      <c r="D408" t="s">
        <v>67</v>
      </c>
      <c r="H408" t="str">
        <f t="shared" ref="H408:I411" si="32">"00889160156"</f>
        <v>00889160156</v>
      </c>
      <c r="I408" t="str">
        <f t="shared" si="32"/>
        <v>00889160156</v>
      </c>
      <c r="K408" t="str">
        <f>""</f>
        <v/>
      </c>
      <c r="M408" t="s">
        <v>68</v>
      </c>
      <c r="N408" t="str">
        <f t="shared" si="30"/>
        <v>FOR</v>
      </c>
      <c r="O408" t="s">
        <v>69</v>
      </c>
      <c r="P408" s="3" t="s">
        <v>70</v>
      </c>
      <c r="Q408">
        <v>2015</v>
      </c>
      <c r="R408" s="2">
        <v>42086</v>
      </c>
      <c r="S408" s="2">
        <v>42102</v>
      </c>
      <c r="T408" s="2">
        <v>42102</v>
      </c>
      <c r="U408" s="2">
        <v>42162</v>
      </c>
      <c r="V408" t="s">
        <v>71</v>
      </c>
      <c r="W408" t="str">
        <f>"          2015006920"</f>
        <v xml:space="preserve">          2015006920</v>
      </c>
      <c r="X408">
        <v>920</v>
      </c>
      <c r="Y408">
        <v>0</v>
      </c>
      <c r="Z408"/>
      <c r="AB408"/>
      <c r="AC408">
        <v>754.1</v>
      </c>
      <c r="AD408">
        <v>253</v>
      </c>
      <c r="AE408" s="1">
        <v>190787.3</v>
      </c>
      <c r="AF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 s="2">
        <v>42746</v>
      </c>
      <c r="AQ408" t="s">
        <v>72</v>
      </c>
      <c r="AR408" t="s">
        <v>72</v>
      </c>
      <c r="AS408">
        <v>359</v>
      </c>
      <c r="AT408" s="4">
        <v>42415</v>
      </c>
      <c r="AU408" t="s">
        <v>73</v>
      </c>
      <c r="AV408">
        <v>359</v>
      </c>
      <c r="AW408" s="4">
        <v>42415</v>
      </c>
      <c r="BD408">
        <v>0</v>
      </c>
      <c r="BN408" t="s">
        <v>74</v>
      </c>
    </row>
    <row r="409" spans="1:66" hidden="1">
      <c r="A409">
        <v>100079</v>
      </c>
      <c r="B409" s="3" t="s">
        <v>109</v>
      </c>
      <c r="C409" s="1">
        <v>43300101</v>
      </c>
      <c r="D409" t="s">
        <v>67</v>
      </c>
      <c r="H409" t="str">
        <f t="shared" si="32"/>
        <v>00889160156</v>
      </c>
      <c r="I409" t="str">
        <f t="shared" si="32"/>
        <v>00889160156</v>
      </c>
      <c r="K409" t="str">
        <f>""</f>
        <v/>
      </c>
      <c r="M409" t="s">
        <v>68</v>
      </c>
      <c r="N409" t="str">
        <f t="shared" si="30"/>
        <v>FOR</v>
      </c>
      <c r="O409" t="s">
        <v>69</v>
      </c>
      <c r="P409" s="3" t="s">
        <v>75</v>
      </c>
      <c r="Q409">
        <v>2015</v>
      </c>
      <c r="R409" s="2">
        <v>42254</v>
      </c>
      <c r="S409" s="2">
        <v>42255</v>
      </c>
      <c r="T409" s="2">
        <v>42254</v>
      </c>
      <c r="U409" s="2">
        <v>42314</v>
      </c>
      <c r="V409" t="s">
        <v>71</v>
      </c>
      <c r="W409" t="str">
        <f>"          2015021692"</f>
        <v xml:space="preserve">          2015021692</v>
      </c>
      <c r="X409" s="1">
        <v>1094.75</v>
      </c>
      <c r="Y409">
        <v>0</v>
      </c>
      <c r="Z409"/>
      <c r="AB409"/>
      <c r="AC409">
        <v>897.34</v>
      </c>
      <c r="AD409">
        <v>101</v>
      </c>
      <c r="AE409" s="1">
        <v>90631.34</v>
      </c>
      <c r="AF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 s="2">
        <v>42746</v>
      </c>
      <c r="AQ409" t="s">
        <v>72</v>
      </c>
      <c r="AR409" t="s">
        <v>72</v>
      </c>
      <c r="AS409">
        <v>359</v>
      </c>
      <c r="AT409" s="4">
        <v>42415</v>
      </c>
      <c r="AU409" t="s">
        <v>73</v>
      </c>
      <c r="AV409">
        <v>359</v>
      </c>
      <c r="AW409" s="4">
        <v>42415</v>
      </c>
      <c r="BD409">
        <v>0</v>
      </c>
      <c r="BN409" t="s">
        <v>74</v>
      </c>
    </row>
    <row r="410" spans="1:66">
      <c r="A410">
        <v>100079</v>
      </c>
      <c r="B410" s="3" t="s">
        <v>109</v>
      </c>
      <c r="C410" s="1">
        <v>43300101</v>
      </c>
      <c r="D410" t="s">
        <v>67</v>
      </c>
      <c r="H410" t="str">
        <f t="shared" si="32"/>
        <v>00889160156</v>
      </c>
      <c r="I410" t="str">
        <f t="shared" si="32"/>
        <v>00889160156</v>
      </c>
      <c r="K410" t="str">
        <f>""</f>
        <v/>
      </c>
      <c r="M410" t="s">
        <v>68</v>
      </c>
      <c r="N410" t="str">
        <f t="shared" si="30"/>
        <v>FOR</v>
      </c>
      <c r="O410" t="s">
        <v>69</v>
      </c>
      <c r="P410" s="3" t="s">
        <v>75</v>
      </c>
      <c r="Q410">
        <v>2016</v>
      </c>
      <c r="R410" s="2">
        <v>42429</v>
      </c>
      <c r="S410" s="2">
        <v>42436</v>
      </c>
      <c r="T410" s="2">
        <v>42429</v>
      </c>
      <c r="U410" s="2">
        <v>42489</v>
      </c>
      <c r="V410" t="s">
        <v>71</v>
      </c>
      <c r="W410" t="str">
        <f>"          2016004184"</f>
        <v xml:space="preserve">          2016004184</v>
      </c>
      <c r="X410">
        <v>808.8</v>
      </c>
      <c r="Y410">
        <v>0</v>
      </c>
      <c r="Z410" s="3">
        <v>662.95</v>
      </c>
      <c r="AA410">
        <v>236</v>
      </c>
      <c r="AB410" s="5">
        <v>156456.20000000001</v>
      </c>
      <c r="AC410">
        <v>662.95</v>
      </c>
      <c r="AD410">
        <v>236</v>
      </c>
      <c r="AE410" s="1">
        <v>156456.20000000001</v>
      </c>
      <c r="AF410">
        <v>145.85</v>
      </c>
      <c r="AJ410">
        <v>0</v>
      </c>
      <c r="AK410">
        <v>0</v>
      </c>
      <c r="AL410">
        <v>0</v>
      </c>
      <c r="AM410">
        <v>808.8</v>
      </c>
      <c r="AN410">
        <v>808.8</v>
      </c>
      <c r="AO410">
        <v>808.8</v>
      </c>
      <c r="AP410" s="2">
        <v>42746</v>
      </c>
      <c r="AQ410" t="s">
        <v>72</v>
      </c>
      <c r="AR410" t="s">
        <v>72</v>
      </c>
      <c r="AS410">
        <v>3654</v>
      </c>
      <c r="AT410" s="4">
        <v>42725</v>
      </c>
      <c r="AU410" t="s">
        <v>73</v>
      </c>
      <c r="AV410">
        <v>3654</v>
      </c>
      <c r="AW410" s="4">
        <v>42725</v>
      </c>
      <c r="BD410">
        <v>145.85</v>
      </c>
      <c r="BN410" t="s">
        <v>74</v>
      </c>
    </row>
    <row r="411" spans="1:66">
      <c r="A411">
        <v>100079</v>
      </c>
      <c r="B411" s="3" t="s">
        <v>109</v>
      </c>
      <c r="C411" s="1">
        <v>43300101</v>
      </c>
      <c r="D411" t="s">
        <v>67</v>
      </c>
      <c r="H411" t="str">
        <f t="shared" si="32"/>
        <v>00889160156</v>
      </c>
      <c r="I411" t="str">
        <f t="shared" si="32"/>
        <v>00889160156</v>
      </c>
      <c r="K411" t="str">
        <f>""</f>
        <v/>
      </c>
      <c r="M411" t="s">
        <v>68</v>
      </c>
      <c r="N411" t="str">
        <f t="shared" si="30"/>
        <v>FOR</v>
      </c>
      <c r="O411" t="s">
        <v>69</v>
      </c>
      <c r="P411" s="3" t="s">
        <v>75</v>
      </c>
      <c r="Q411">
        <v>2016</v>
      </c>
      <c r="R411" s="2">
        <v>42429</v>
      </c>
      <c r="S411" s="2">
        <v>42436</v>
      </c>
      <c r="T411" s="2">
        <v>42429</v>
      </c>
      <c r="U411" s="2">
        <v>42489</v>
      </c>
      <c r="V411" t="s">
        <v>71</v>
      </c>
      <c r="W411" t="str">
        <f>"          2016004368"</f>
        <v xml:space="preserve">          2016004368</v>
      </c>
      <c r="X411">
        <v>75.48</v>
      </c>
      <c r="Y411">
        <v>0</v>
      </c>
      <c r="Z411" s="3">
        <v>61.87</v>
      </c>
      <c r="AA411">
        <v>236</v>
      </c>
      <c r="AB411" s="5">
        <v>14601.32</v>
      </c>
      <c r="AC411">
        <v>61.87</v>
      </c>
      <c r="AD411">
        <v>236</v>
      </c>
      <c r="AE411" s="1">
        <v>14601.32</v>
      </c>
      <c r="AF411">
        <v>13.61</v>
      </c>
      <c r="AJ411">
        <v>0</v>
      </c>
      <c r="AK411">
        <v>0</v>
      </c>
      <c r="AL411">
        <v>0</v>
      </c>
      <c r="AM411">
        <v>75.48</v>
      </c>
      <c r="AN411">
        <v>75.48</v>
      </c>
      <c r="AO411">
        <v>75.48</v>
      </c>
      <c r="AP411" s="2">
        <v>42746</v>
      </c>
      <c r="AQ411" t="s">
        <v>72</v>
      </c>
      <c r="AR411" t="s">
        <v>72</v>
      </c>
      <c r="AS411">
        <v>3654</v>
      </c>
      <c r="AT411" s="4">
        <v>42725</v>
      </c>
      <c r="AU411" t="s">
        <v>73</v>
      </c>
      <c r="AV411">
        <v>3654</v>
      </c>
      <c r="AW411" s="4">
        <v>42725</v>
      </c>
      <c r="BD411">
        <v>13.61</v>
      </c>
      <c r="BN411" t="s">
        <v>74</v>
      </c>
    </row>
    <row r="412" spans="1:66" hidden="1">
      <c r="A412">
        <v>100082</v>
      </c>
      <c r="B412" s="3" t="s">
        <v>110</v>
      </c>
      <c r="C412" s="1">
        <v>43300101</v>
      </c>
      <c r="D412" t="s">
        <v>67</v>
      </c>
      <c r="H412" t="str">
        <f t="shared" ref="H412:I415" si="33">"01130960626"</f>
        <v>01130960626</v>
      </c>
      <c r="I412" t="str">
        <f t="shared" si="33"/>
        <v>01130960626</v>
      </c>
      <c r="K412" t="str">
        <f>""</f>
        <v/>
      </c>
      <c r="M412" t="s">
        <v>68</v>
      </c>
      <c r="N412" t="str">
        <f t="shared" si="30"/>
        <v>FOR</v>
      </c>
      <c r="O412" t="s">
        <v>69</v>
      </c>
      <c r="P412" s="3" t="s">
        <v>75</v>
      </c>
      <c r="Q412">
        <v>2015</v>
      </c>
      <c r="R412" s="2">
        <v>42289</v>
      </c>
      <c r="S412" s="2">
        <v>42289</v>
      </c>
      <c r="T412" s="2">
        <v>42289</v>
      </c>
      <c r="U412" s="2">
        <v>42349</v>
      </c>
      <c r="V412" t="s">
        <v>71</v>
      </c>
      <c r="W412" t="str">
        <f>"              480/15"</f>
        <v xml:space="preserve">              480/15</v>
      </c>
      <c r="X412" s="1">
        <v>7651.84</v>
      </c>
      <c r="Y412">
        <v>0</v>
      </c>
      <c r="Z412"/>
      <c r="AB412"/>
      <c r="AC412" s="1">
        <v>6272</v>
      </c>
      <c r="AD412">
        <v>179</v>
      </c>
      <c r="AE412" s="1">
        <v>1122688</v>
      </c>
      <c r="AF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 s="2">
        <v>42746</v>
      </c>
      <c r="AQ412" t="s">
        <v>72</v>
      </c>
      <c r="AR412" t="s">
        <v>72</v>
      </c>
      <c r="AS412">
        <v>1549</v>
      </c>
      <c r="AT412" s="4">
        <v>42528</v>
      </c>
      <c r="AU412" t="s">
        <v>73</v>
      </c>
      <c r="AV412">
        <v>1549</v>
      </c>
      <c r="AW412" s="4">
        <v>42528</v>
      </c>
      <c r="BD412">
        <v>0</v>
      </c>
      <c r="BN412" t="s">
        <v>74</v>
      </c>
    </row>
    <row r="413" spans="1:66" hidden="1">
      <c r="A413">
        <v>100082</v>
      </c>
      <c r="B413" s="3" t="s">
        <v>110</v>
      </c>
      <c r="C413" s="1">
        <v>43300101</v>
      </c>
      <c r="D413" t="s">
        <v>67</v>
      </c>
      <c r="H413" t="str">
        <f t="shared" si="33"/>
        <v>01130960626</v>
      </c>
      <c r="I413" t="str">
        <f t="shared" si="33"/>
        <v>01130960626</v>
      </c>
      <c r="K413" t="str">
        <f>""</f>
        <v/>
      </c>
      <c r="M413" t="s">
        <v>68</v>
      </c>
      <c r="N413" t="str">
        <f t="shared" si="30"/>
        <v>FOR</v>
      </c>
      <c r="O413" t="s">
        <v>69</v>
      </c>
      <c r="P413" s="3" t="s">
        <v>75</v>
      </c>
      <c r="Q413">
        <v>2015</v>
      </c>
      <c r="R413" s="2">
        <v>42334</v>
      </c>
      <c r="S413" s="2">
        <v>42340</v>
      </c>
      <c r="T413" s="2">
        <v>42334</v>
      </c>
      <c r="U413" s="2">
        <v>42394</v>
      </c>
      <c r="V413" t="s">
        <v>71</v>
      </c>
      <c r="W413" t="str">
        <f>"              567/15"</f>
        <v xml:space="preserve">              567/15</v>
      </c>
      <c r="X413">
        <v>91.5</v>
      </c>
      <c r="Y413">
        <v>0</v>
      </c>
      <c r="Z413"/>
      <c r="AB413"/>
      <c r="AC413">
        <v>75</v>
      </c>
      <c r="AD413">
        <v>9</v>
      </c>
      <c r="AE413">
        <v>675</v>
      </c>
      <c r="AF413">
        <v>16.5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 s="2">
        <v>42746</v>
      </c>
      <c r="AQ413" t="s">
        <v>72</v>
      </c>
      <c r="AR413" t="s">
        <v>72</v>
      </c>
      <c r="AS413">
        <v>213</v>
      </c>
      <c r="AT413" s="4">
        <v>42403</v>
      </c>
      <c r="AU413" t="s">
        <v>73</v>
      </c>
      <c r="AV413">
        <v>213</v>
      </c>
      <c r="AW413" s="4">
        <v>42403</v>
      </c>
      <c r="BD413">
        <v>16.5</v>
      </c>
      <c r="BN413" t="s">
        <v>74</v>
      </c>
    </row>
    <row r="414" spans="1:66">
      <c r="A414">
        <v>100082</v>
      </c>
      <c r="B414" s="3" t="s">
        <v>110</v>
      </c>
      <c r="C414" s="1">
        <v>43300101</v>
      </c>
      <c r="D414" t="s">
        <v>67</v>
      </c>
      <c r="H414" t="str">
        <f t="shared" si="33"/>
        <v>01130960626</v>
      </c>
      <c r="I414" t="str">
        <f t="shared" si="33"/>
        <v>01130960626</v>
      </c>
      <c r="K414" t="str">
        <f>""</f>
        <v/>
      </c>
      <c r="M414" t="s">
        <v>68</v>
      </c>
      <c r="N414" t="str">
        <f t="shared" si="30"/>
        <v>FOR</v>
      </c>
      <c r="O414" t="s">
        <v>69</v>
      </c>
      <c r="P414" s="3" t="s">
        <v>75</v>
      </c>
      <c r="Q414">
        <v>2016</v>
      </c>
      <c r="R414" s="2">
        <v>42466</v>
      </c>
      <c r="S414" s="2">
        <v>42467</v>
      </c>
      <c r="T414" s="2">
        <v>42466</v>
      </c>
      <c r="U414" s="2">
        <v>42526</v>
      </c>
      <c r="V414" t="s">
        <v>71</v>
      </c>
      <c r="W414" t="str">
        <f>"              162/16"</f>
        <v xml:space="preserve">              162/16</v>
      </c>
      <c r="X414" s="1">
        <v>7651.84</v>
      </c>
      <c r="Y414">
        <v>0</v>
      </c>
      <c r="Z414" s="5">
        <v>6272</v>
      </c>
      <c r="AA414">
        <v>166</v>
      </c>
      <c r="AB414" s="5">
        <v>1041152</v>
      </c>
      <c r="AC414" s="1">
        <v>6272</v>
      </c>
      <c r="AD414">
        <v>166</v>
      </c>
      <c r="AE414" s="1">
        <v>1041152</v>
      </c>
      <c r="AF414">
        <v>0</v>
      </c>
      <c r="AJ414">
        <v>0</v>
      </c>
      <c r="AK414">
        <v>0</v>
      </c>
      <c r="AL414">
        <v>0</v>
      </c>
      <c r="AM414" s="1">
        <v>7651.84</v>
      </c>
      <c r="AN414" s="1">
        <v>7651.84</v>
      </c>
      <c r="AO414" s="1">
        <v>7651.84</v>
      </c>
      <c r="AP414" s="2">
        <v>42746</v>
      </c>
      <c r="AQ414" t="s">
        <v>72</v>
      </c>
      <c r="AR414" t="s">
        <v>72</v>
      </c>
      <c r="AS414">
        <v>3192</v>
      </c>
      <c r="AT414" s="4">
        <v>42692</v>
      </c>
      <c r="AU414" t="s">
        <v>73</v>
      </c>
      <c r="AV414">
        <v>3192</v>
      </c>
      <c r="AW414" s="4">
        <v>42692</v>
      </c>
      <c r="BD414">
        <v>0</v>
      </c>
      <c r="BN414" t="s">
        <v>74</v>
      </c>
    </row>
    <row r="415" spans="1:66">
      <c r="A415">
        <v>100082</v>
      </c>
      <c r="B415" s="3" t="s">
        <v>110</v>
      </c>
      <c r="C415" s="1">
        <v>43300101</v>
      </c>
      <c r="D415" t="s">
        <v>67</v>
      </c>
      <c r="H415" t="str">
        <f t="shared" si="33"/>
        <v>01130960626</v>
      </c>
      <c r="I415" t="str">
        <f t="shared" si="33"/>
        <v>01130960626</v>
      </c>
      <c r="K415" t="str">
        <f>""</f>
        <v/>
      </c>
      <c r="M415" t="s">
        <v>68</v>
      </c>
      <c r="N415" t="str">
        <f t="shared" si="30"/>
        <v>FOR</v>
      </c>
      <c r="O415" t="s">
        <v>69</v>
      </c>
      <c r="P415" s="3" t="s">
        <v>75</v>
      </c>
      <c r="Q415">
        <v>2016</v>
      </c>
      <c r="R415" s="2">
        <v>42557</v>
      </c>
      <c r="S415" s="2">
        <v>42557</v>
      </c>
      <c r="T415" s="2">
        <v>42557</v>
      </c>
      <c r="U415" s="2">
        <v>42617</v>
      </c>
      <c r="V415" t="s">
        <v>71</v>
      </c>
      <c r="W415" t="str">
        <f>"            279/2016"</f>
        <v xml:space="preserve">            279/2016</v>
      </c>
      <c r="X415" s="1">
        <v>7651.84</v>
      </c>
      <c r="Y415">
        <v>0</v>
      </c>
      <c r="Z415" s="5">
        <v>6272</v>
      </c>
      <c r="AA415">
        <v>75</v>
      </c>
      <c r="AB415" s="5">
        <v>470400</v>
      </c>
      <c r="AC415" s="1">
        <v>6272</v>
      </c>
      <c r="AD415">
        <v>75</v>
      </c>
      <c r="AE415" s="1">
        <v>470400</v>
      </c>
      <c r="AF415">
        <v>0</v>
      </c>
      <c r="AJ415">
        <v>0</v>
      </c>
      <c r="AK415">
        <v>0</v>
      </c>
      <c r="AL415">
        <v>0</v>
      </c>
      <c r="AM415" s="1">
        <v>7651.84</v>
      </c>
      <c r="AN415" s="1">
        <v>7651.84</v>
      </c>
      <c r="AO415" s="1">
        <v>7651.84</v>
      </c>
      <c r="AP415" s="2">
        <v>42746</v>
      </c>
      <c r="AQ415" t="s">
        <v>72</v>
      </c>
      <c r="AR415" t="s">
        <v>72</v>
      </c>
      <c r="AS415">
        <v>3192</v>
      </c>
      <c r="AT415" s="4">
        <v>42692</v>
      </c>
      <c r="AU415" t="s">
        <v>73</v>
      </c>
      <c r="AV415">
        <v>3192</v>
      </c>
      <c r="AW415" s="4">
        <v>42692</v>
      </c>
      <c r="BD415">
        <v>0</v>
      </c>
      <c r="BN415" t="s">
        <v>74</v>
      </c>
    </row>
    <row r="416" spans="1:66" hidden="1">
      <c r="A416">
        <v>100086</v>
      </c>
      <c r="B416" s="3" t="s">
        <v>111</v>
      </c>
      <c r="C416" s="1">
        <v>43300101</v>
      </c>
      <c r="D416" t="s">
        <v>67</v>
      </c>
      <c r="H416" t="str">
        <f t="shared" ref="H416:I428" si="34">"00458450012"</f>
        <v>00458450012</v>
      </c>
      <c r="I416" t="str">
        <f t="shared" si="34"/>
        <v>00458450012</v>
      </c>
      <c r="K416" t="str">
        <f>""</f>
        <v/>
      </c>
      <c r="M416" t="s">
        <v>68</v>
      </c>
      <c r="N416" t="str">
        <f t="shared" si="30"/>
        <v>FOR</v>
      </c>
      <c r="O416" t="s">
        <v>69</v>
      </c>
      <c r="P416" s="3" t="s">
        <v>70</v>
      </c>
      <c r="Q416">
        <v>2015</v>
      </c>
      <c r="R416" s="2">
        <v>42041</v>
      </c>
      <c r="S416" s="2">
        <v>42068</v>
      </c>
      <c r="T416" s="2">
        <v>42068</v>
      </c>
      <c r="U416" s="2">
        <v>42128</v>
      </c>
      <c r="V416" t="s">
        <v>71</v>
      </c>
      <c r="W416" t="str">
        <f>"                 247"</f>
        <v xml:space="preserve">                 247</v>
      </c>
      <c r="X416" s="1">
        <v>1996.8</v>
      </c>
      <c r="Y416">
        <v>0</v>
      </c>
      <c r="Z416"/>
      <c r="AB416"/>
      <c r="AC416" s="1">
        <v>1920</v>
      </c>
      <c r="AD416">
        <v>280</v>
      </c>
      <c r="AE416" s="1">
        <v>537600</v>
      </c>
      <c r="AF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 s="2">
        <v>42746</v>
      </c>
      <c r="AQ416" t="s">
        <v>72</v>
      </c>
      <c r="AR416" t="s">
        <v>72</v>
      </c>
      <c r="AS416">
        <v>333</v>
      </c>
      <c r="AT416" s="4">
        <v>42408</v>
      </c>
      <c r="AU416" t="s">
        <v>73</v>
      </c>
      <c r="AV416">
        <v>333</v>
      </c>
      <c r="AW416" s="4">
        <v>42408</v>
      </c>
      <c r="BD416">
        <v>0</v>
      </c>
      <c r="BN416" t="s">
        <v>74</v>
      </c>
    </row>
    <row r="417" spans="1:66" hidden="1">
      <c r="A417">
        <v>100086</v>
      </c>
      <c r="B417" s="3" t="s">
        <v>111</v>
      </c>
      <c r="C417" s="1">
        <v>43300101</v>
      </c>
      <c r="D417" t="s">
        <v>67</v>
      </c>
      <c r="H417" t="str">
        <f t="shared" si="34"/>
        <v>00458450012</v>
      </c>
      <c r="I417" t="str">
        <f t="shared" si="34"/>
        <v>00458450012</v>
      </c>
      <c r="K417" t="str">
        <f>""</f>
        <v/>
      </c>
      <c r="M417" t="s">
        <v>68</v>
      </c>
      <c r="N417" t="str">
        <f t="shared" si="30"/>
        <v>FOR</v>
      </c>
      <c r="O417" t="s">
        <v>69</v>
      </c>
      <c r="P417" s="3" t="s">
        <v>75</v>
      </c>
      <c r="Q417">
        <v>2015</v>
      </c>
      <c r="R417" s="2">
        <v>42111</v>
      </c>
      <c r="S417" s="2">
        <v>42138</v>
      </c>
      <c r="T417" s="2">
        <v>42137</v>
      </c>
      <c r="U417" s="2">
        <v>42197</v>
      </c>
      <c r="V417" t="s">
        <v>71</v>
      </c>
      <c r="W417" t="str">
        <f>"              V4-938"</f>
        <v xml:space="preserve">              V4-938</v>
      </c>
      <c r="X417">
        <v>741.76</v>
      </c>
      <c r="Y417">
        <v>0</v>
      </c>
      <c r="Z417"/>
      <c r="AB417"/>
      <c r="AC417">
        <v>608</v>
      </c>
      <c r="AD417">
        <v>255</v>
      </c>
      <c r="AE417" s="1">
        <v>155040</v>
      </c>
      <c r="AF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 s="2">
        <v>42746</v>
      </c>
      <c r="AQ417" t="s">
        <v>72</v>
      </c>
      <c r="AR417" t="s">
        <v>72</v>
      </c>
      <c r="AS417">
        <v>834</v>
      </c>
      <c r="AT417" s="4">
        <v>42452</v>
      </c>
      <c r="AU417" t="s">
        <v>73</v>
      </c>
      <c r="AV417">
        <v>834</v>
      </c>
      <c r="AW417" s="4">
        <v>42452</v>
      </c>
      <c r="BD417">
        <v>0</v>
      </c>
      <c r="BN417" t="s">
        <v>74</v>
      </c>
    </row>
    <row r="418" spans="1:66" hidden="1">
      <c r="A418">
        <v>100086</v>
      </c>
      <c r="B418" s="3" t="s">
        <v>111</v>
      </c>
      <c r="C418" s="1">
        <v>43300101</v>
      </c>
      <c r="D418" t="s">
        <v>67</v>
      </c>
      <c r="H418" t="str">
        <f t="shared" si="34"/>
        <v>00458450012</v>
      </c>
      <c r="I418" t="str">
        <f t="shared" si="34"/>
        <v>00458450012</v>
      </c>
      <c r="K418" t="str">
        <f>""</f>
        <v/>
      </c>
      <c r="M418" t="s">
        <v>68</v>
      </c>
      <c r="N418" t="str">
        <f t="shared" si="30"/>
        <v>FOR</v>
      </c>
      <c r="O418" t="s">
        <v>69</v>
      </c>
      <c r="P418" s="3" t="s">
        <v>75</v>
      </c>
      <c r="Q418">
        <v>2015</v>
      </c>
      <c r="R418" s="2">
        <v>42153</v>
      </c>
      <c r="S418" s="2">
        <v>42167</v>
      </c>
      <c r="T418" s="2">
        <v>42165</v>
      </c>
      <c r="U418" s="2">
        <v>42225</v>
      </c>
      <c r="V418" t="s">
        <v>71</v>
      </c>
      <c r="W418" t="str">
        <f>"             V4-1328"</f>
        <v xml:space="preserve">             V4-1328</v>
      </c>
      <c r="X418" s="1">
        <v>5497.32</v>
      </c>
      <c r="Y418">
        <v>0</v>
      </c>
      <c r="Z418"/>
      <c r="AB418"/>
      <c r="AC418" s="1">
        <v>4506</v>
      </c>
      <c r="AD418">
        <v>227</v>
      </c>
      <c r="AE418" s="1">
        <v>1022862</v>
      </c>
      <c r="AF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 s="2">
        <v>42746</v>
      </c>
      <c r="AQ418" t="s">
        <v>72</v>
      </c>
      <c r="AR418" t="s">
        <v>72</v>
      </c>
      <c r="AS418">
        <v>834</v>
      </c>
      <c r="AT418" s="4">
        <v>42452</v>
      </c>
      <c r="AU418" t="s">
        <v>73</v>
      </c>
      <c r="AV418">
        <v>834</v>
      </c>
      <c r="AW418" s="4">
        <v>42452</v>
      </c>
      <c r="BD418">
        <v>0</v>
      </c>
      <c r="BN418" t="s">
        <v>74</v>
      </c>
    </row>
    <row r="419" spans="1:66" hidden="1">
      <c r="A419">
        <v>100086</v>
      </c>
      <c r="B419" s="3" t="s">
        <v>111</v>
      </c>
      <c r="C419" s="1">
        <v>43300101</v>
      </c>
      <c r="D419" t="s">
        <v>67</v>
      </c>
      <c r="H419" t="str">
        <f t="shared" si="34"/>
        <v>00458450012</v>
      </c>
      <c r="I419" t="str">
        <f t="shared" si="34"/>
        <v>00458450012</v>
      </c>
      <c r="K419" t="str">
        <f>""</f>
        <v/>
      </c>
      <c r="M419" t="s">
        <v>68</v>
      </c>
      <c r="N419" t="str">
        <f t="shared" si="30"/>
        <v>FOR</v>
      </c>
      <c r="O419" t="s">
        <v>69</v>
      </c>
      <c r="P419" s="3" t="s">
        <v>75</v>
      </c>
      <c r="Q419">
        <v>2015</v>
      </c>
      <c r="R419" s="2">
        <v>42167</v>
      </c>
      <c r="S419" s="2">
        <v>42177</v>
      </c>
      <c r="T419" s="2">
        <v>42174</v>
      </c>
      <c r="U419" s="2">
        <v>42234</v>
      </c>
      <c r="V419" t="s">
        <v>71</v>
      </c>
      <c r="W419" t="str">
        <f>"             V4-1437"</f>
        <v xml:space="preserve">             V4-1437</v>
      </c>
      <c r="X419" s="1">
        <v>1581.12</v>
      </c>
      <c r="Y419">
        <v>0</v>
      </c>
      <c r="Z419"/>
      <c r="AB419"/>
      <c r="AC419" s="1">
        <v>1296</v>
      </c>
      <c r="AD419">
        <v>286</v>
      </c>
      <c r="AE419" s="1">
        <v>370656</v>
      </c>
      <c r="AF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 s="2">
        <v>42746</v>
      </c>
      <c r="AQ419" t="s">
        <v>72</v>
      </c>
      <c r="AR419" t="s">
        <v>72</v>
      </c>
      <c r="AS419">
        <v>1448</v>
      </c>
      <c r="AT419" s="4">
        <v>42520</v>
      </c>
      <c r="AU419" t="s">
        <v>73</v>
      </c>
      <c r="AV419">
        <v>1448</v>
      </c>
      <c r="AW419" s="4">
        <v>42520</v>
      </c>
      <c r="BD419">
        <v>0</v>
      </c>
      <c r="BN419" t="s">
        <v>74</v>
      </c>
    </row>
    <row r="420" spans="1:66" hidden="1">
      <c r="A420">
        <v>100086</v>
      </c>
      <c r="B420" s="3" t="s">
        <v>111</v>
      </c>
      <c r="C420" s="1">
        <v>43300101</v>
      </c>
      <c r="D420" t="s">
        <v>67</v>
      </c>
      <c r="H420" t="str">
        <f t="shared" si="34"/>
        <v>00458450012</v>
      </c>
      <c r="I420" t="str">
        <f t="shared" si="34"/>
        <v>00458450012</v>
      </c>
      <c r="K420" t="str">
        <f>""</f>
        <v/>
      </c>
      <c r="M420" t="s">
        <v>68</v>
      </c>
      <c r="N420" t="str">
        <f t="shared" si="30"/>
        <v>FOR</v>
      </c>
      <c r="O420" t="s">
        <v>69</v>
      </c>
      <c r="P420" s="3" t="s">
        <v>75</v>
      </c>
      <c r="Q420">
        <v>2015</v>
      </c>
      <c r="R420" s="2">
        <v>42202</v>
      </c>
      <c r="S420" s="2">
        <v>42215</v>
      </c>
      <c r="T420" s="2">
        <v>42214</v>
      </c>
      <c r="U420" s="2">
        <v>42274</v>
      </c>
      <c r="V420" t="s">
        <v>71</v>
      </c>
      <c r="W420" t="str">
        <f>"             V4-1858"</f>
        <v xml:space="preserve">             V4-1858</v>
      </c>
      <c r="X420">
        <v>501.74</v>
      </c>
      <c r="Y420">
        <v>0</v>
      </c>
      <c r="Z420"/>
      <c r="AB420"/>
      <c r="AC420">
        <v>411.26</v>
      </c>
      <c r="AD420">
        <v>292</v>
      </c>
      <c r="AE420" s="1">
        <v>120087.92</v>
      </c>
      <c r="AF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 s="2">
        <v>42746</v>
      </c>
      <c r="AQ420" t="s">
        <v>72</v>
      </c>
      <c r="AR420" t="s">
        <v>72</v>
      </c>
      <c r="AS420">
        <v>1832</v>
      </c>
      <c r="AT420" s="4">
        <v>42566</v>
      </c>
      <c r="AU420" t="s">
        <v>73</v>
      </c>
      <c r="AV420">
        <v>1832</v>
      </c>
      <c r="AW420" s="4">
        <v>42566</v>
      </c>
      <c r="BD420">
        <v>0</v>
      </c>
      <c r="BN420" t="s">
        <v>74</v>
      </c>
    </row>
    <row r="421" spans="1:66" hidden="1">
      <c r="A421">
        <v>100086</v>
      </c>
      <c r="B421" s="3" t="s">
        <v>111</v>
      </c>
      <c r="C421" s="1">
        <v>43300101</v>
      </c>
      <c r="D421" t="s">
        <v>67</v>
      </c>
      <c r="H421" t="str">
        <f t="shared" si="34"/>
        <v>00458450012</v>
      </c>
      <c r="I421" t="str">
        <f t="shared" si="34"/>
        <v>00458450012</v>
      </c>
      <c r="K421" t="str">
        <f>""</f>
        <v/>
      </c>
      <c r="M421" t="s">
        <v>68</v>
      </c>
      <c r="N421" t="str">
        <f t="shared" si="30"/>
        <v>FOR</v>
      </c>
      <c r="O421" t="s">
        <v>69</v>
      </c>
      <c r="P421" s="3" t="s">
        <v>75</v>
      </c>
      <c r="Q421">
        <v>2015</v>
      </c>
      <c r="R421" s="2">
        <v>42258</v>
      </c>
      <c r="S421" s="2">
        <v>42277</v>
      </c>
      <c r="T421" s="2">
        <v>42276</v>
      </c>
      <c r="U421" s="2">
        <v>42336</v>
      </c>
      <c r="V421" t="s">
        <v>71</v>
      </c>
      <c r="W421" t="str">
        <f>"             V4-2217"</f>
        <v xml:space="preserve">             V4-2217</v>
      </c>
      <c r="X421">
        <v>261.2</v>
      </c>
      <c r="Y421">
        <v>0</v>
      </c>
      <c r="Z421"/>
      <c r="AB421"/>
      <c r="AC421">
        <v>214.1</v>
      </c>
      <c r="AD421">
        <v>284</v>
      </c>
      <c r="AE421" s="1">
        <v>60804.4</v>
      </c>
      <c r="AF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 s="2">
        <v>42746</v>
      </c>
      <c r="AQ421" t="s">
        <v>72</v>
      </c>
      <c r="AR421" t="s">
        <v>72</v>
      </c>
      <c r="AS421">
        <v>2343</v>
      </c>
      <c r="AT421" s="4">
        <v>42620</v>
      </c>
      <c r="AU421" t="s">
        <v>73</v>
      </c>
      <c r="AV421">
        <v>2343</v>
      </c>
      <c r="AW421" s="4">
        <v>42620</v>
      </c>
      <c r="BD421">
        <v>0</v>
      </c>
      <c r="BN421" t="s">
        <v>74</v>
      </c>
    </row>
    <row r="422" spans="1:66" hidden="1">
      <c r="A422">
        <v>100086</v>
      </c>
      <c r="B422" s="3" t="s">
        <v>111</v>
      </c>
      <c r="C422" s="1">
        <v>43300101</v>
      </c>
      <c r="D422" t="s">
        <v>67</v>
      </c>
      <c r="H422" t="str">
        <f t="shared" si="34"/>
        <v>00458450012</v>
      </c>
      <c r="I422" t="str">
        <f t="shared" si="34"/>
        <v>00458450012</v>
      </c>
      <c r="K422" t="str">
        <f>""</f>
        <v/>
      </c>
      <c r="M422" t="s">
        <v>68</v>
      </c>
      <c r="N422" t="str">
        <f t="shared" si="30"/>
        <v>FOR</v>
      </c>
      <c r="O422" t="s">
        <v>69</v>
      </c>
      <c r="P422" s="3" t="s">
        <v>75</v>
      </c>
      <c r="Q422">
        <v>2015</v>
      </c>
      <c r="R422" s="2">
        <v>42272</v>
      </c>
      <c r="S422" s="2">
        <v>42286</v>
      </c>
      <c r="T422" s="2">
        <v>42284</v>
      </c>
      <c r="U422" s="2">
        <v>42344</v>
      </c>
      <c r="V422" t="s">
        <v>71</v>
      </c>
      <c r="W422" t="str">
        <f>"             V4-2322"</f>
        <v xml:space="preserve">             V4-2322</v>
      </c>
      <c r="X422" s="1">
        <v>2371.6799999999998</v>
      </c>
      <c r="Y422">
        <v>0</v>
      </c>
      <c r="Z422"/>
      <c r="AB422"/>
      <c r="AC422" s="1">
        <v>1944</v>
      </c>
      <c r="AD422">
        <v>276</v>
      </c>
      <c r="AE422" s="1">
        <v>536544</v>
      </c>
      <c r="AF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 s="2">
        <v>42746</v>
      </c>
      <c r="AQ422" t="s">
        <v>72</v>
      </c>
      <c r="AR422" t="s">
        <v>72</v>
      </c>
      <c r="AS422">
        <v>2343</v>
      </c>
      <c r="AT422" s="4">
        <v>42620</v>
      </c>
      <c r="AU422" t="s">
        <v>73</v>
      </c>
      <c r="AV422">
        <v>2343</v>
      </c>
      <c r="AW422" s="4">
        <v>42620</v>
      </c>
      <c r="BD422">
        <v>0</v>
      </c>
      <c r="BN422" t="s">
        <v>74</v>
      </c>
    </row>
    <row r="423" spans="1:66" hidden="1">
      <c r="A423">
        <v>100086</v>
      </c>
      <c r="B423" s="3" t="s">
        <v>111</v>
      </c>
      <c r="C423" s="1">
        <v>43300101</v>
      </c>
      <c r="D423" t="s">
        <v>67</v>
      </c>
      <c r="H423" t="str">
        <f t="shared" si="34"/>
        <v>00458450012</v>
      </c>
      <c r="I423" t="str">
        <f t="shared" si="34"/>
        <v>00458450012</v>
      </c>
      <c r="K423" t="str">
        <f>""</f>
        <v/>
      </c>
      <c r="M423" t="s">
        <v>68</v>
      </c>
      <c r="N423" t="str">
        <f t="shared" si="30"/>
        <v>FOR</v>
      </c>
      <c r="O423" t="s">
        <v>69</v>
      </c>
      <c r="P423" s="3" t="s">
        <v>75</v>
      </c>
      <c r="Q423">
        <v>2015</v>
      </c>
      <c r="R423" s="2">
        <v>42277</v>
      </c>
      <c r="S423" s="2">
        <v>42286</v>
      </c>
      <c r="T423" s="2">
        <v>42285</v>
      </c>
      <c r="U423" s="2">
        <v>42345</v>
      </c>
      <c r="V423" t="s">
        <v>71</v>
      </c>
      <c r="W423" t="str">
        <f>"             V4-2379"</f>
        <v xml:space="preserve">             V4-2379</v>
      </c>
      <c r="X423" s="1">
        <v>1021.87</v>
      </c>
      <c r="Y423">
        <v>0</v>
      </c>
      <c r="Z423"/>
      <c r="AB423"/>
      <c r="AC423">
        <v>837.6</v>
      </c>
      <c r="AD423">
        <v>275</v>
      </c>
      <c r="AE423" s="1">
        <v>230340</v>
      </c>
      <c r="AF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 s="2">
        <v>42746</v>
      </c>
      <c r="AQ423" t="s">
        <v>72</v>
      </c>
      <c r="AR423" t="s">
        <v>72</v>
      </c>
      <c r="AS423">
        <v>2343</v>
      </c>
      <c r="AT423" s="4">
        <v>42620</v>
      </c>
      <c r="AU423" t="s">
        <v>73</v>
      </c>
      <c r="AV423">
        <v>2343</v>
      </c>
      <c r="AW423" s="4">
        <v>42620</v>
      </c>
      <c r="BD423">
        <v>0</v>
      </c>
      <c r="BN423" t="s">
        <v>74</v>
      </c>
    </row>
    <row r="424" spans="1:66">
      <c r="A424">
        <v>100086</v>
      </c>
      <c r="B424" s="3" t="s">
        <v>111</v>
      </c>
      <c r="C424" s="1">
        <v>43300101</v>
      </c>
      <c r="D424" t="s">
        <v>67</v>
      </c>
      <c r="H424" t="str">
        <f t="shared" si="34"/>
        <v>00458450012</v>
      </c>
      <c r="I424" t="str">
        <f t="shared" si="34"/>
        <v>00458450012</v>
      </c>
      <c r="K424" t="str">
        <f>""</f>
        <v/>
      </c>
      <c r="M424" t="s">
        <v>68</v>
      </c>
      <c r="N424" t="str">
        <f t="shared" si="30"/>
        <v>FOR</v>
      </c>
      <c r="O424" t="s">
        <v>69</v>
      </c>
      <c r="P424" s="3" t="s">
        <v>75</v>
      </c>
      <c r="Q424">
        <v>2015</v>
      </c>
      <c r="R424" s="2">
        <v>42286</v>
      </c>
      <c r="S424" s="2">
        <v>42296</v>
      </c>
      <c r="T424" s="2">
        <v>42293</v>
      </c>
      <c r="U424" s="2">
        <v>42353</v>
      </c>
      <c r="V424" t="s">
        <v>71</v>
      </c>
      <c r="W424" t="str">
        <f>"             V4-2425"</f>
        <v xml:space="preserve">             V4-2425</v>
      </c>
      <c r="X424" s="1">
        <v>4972.78</v>
      </c>
      <c r="Y424">
        <v>0</v>
      </c>
      <c r="Z424" s="5">
        <v>4781.5200000000004</v>
      </c>
      <c r="AA424">
        <v>295</v>
      </c>
      <c r="AB424" s="5">
        <v>1410548.4</v>
      </c>
      <c r="AC424" s="1">
        <v>4781.5200000000004</v>
      </c>
      <c r="AD424">
        <v>295</v>
      </c>
      <c r="AE424" s="1">
        <v>1410548.4</v>
      </c>
      <c r="AF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 s="2">
        <v>42746</v>
      </c>
      <c r="AQ424" t="s">
        <v>72</v>
      </c>
      <c r="AR424" t="s">
        <v>72</v>
      </c>
      <c r="AS424">
        <v>2695</v>
      </c>
      <c r="AT424" s="4">
        <v>42648</v>
      </c>
      <c r="AU424" t="s">
        <v>73</v>
      </c>
      <c r="AV424">
        <v>2695</v>
      </c>
      <c r="AW424" s="4">
        <v>42648</v>
      </c>
      <c r="BD424">
        <v>0</v>
      </c>
      <c r="BN424" t="s">
        <v>74</v>
      </c>
    </row>
    <row r="425" spans="1:66">
      <c r="A425">
        <v>100086</v>
      </c>
      <c r="B425" s="3" t="s">
        <v>111</v>
      </c>
      <c r="C425" s="1">
        <v>43300101</v>
      </c>
      <c r="D425" t="s">
        <v>67</v>
      </c>
      <c r="H425" t="str">
        <f t="shared" si="34"/>
        <v>00458450012</v>
      </c>
      <c r="I425" t="str">
        <f t="shared" si="34"/>
        <v>00458450012</v>
      </c>
      <c r="K425" t="str">
        <f>""</f>
        <v/>
      </c>
      <c r="M425" t="s">
        <v>68</v>
      </c>
      <c r="N425" t="str">
        <f t="shared" si="30"/>
        <v>FOR</v>
      </c>
      <c r="O425" t="s">
        <v>69</v>
      </c>
      <c r="P425" s="3" t="s">
        <v>75</v>
      </c>
      <c r="Q425">
        <v>2015</v>
      </c>
      <c r="R425" s="2">
        <v>42321</v>
      </c>
      <c r="S425" s="2">
        <v>42359</v>
      </c>
      <c r="T425" s="2">
        <v>42355</v>
      </c>
      <c r="U425" s="2">
        <v>42415</v>
      </c>
      <c r="V425" t="s">
        <v>71</v>
      </c>
      <c r="W425" t="str">
        <f>"             V4-2755"</f>
        <v xml:space="preserve">             V4-2755</v>
      </c>
      <c r="X425" s="1">
        <v>2176.48</v>
      </c>
      <c r="Y425">
        <v>0</v>
      </c>
      <c r="Z425" s="5">
        <v>1784</v>
      </c>
      <c r="AA425">
        <v>263</v>
      </c>
      <c r="AB425" s="5">
        <v>469192</v>
      </c>
      <c r="AC425" s="1">
        <v>1784</v>
      </c>
      <c r="AD425">
        <v>263</v>
      </c>
      <c r="AE425" s="1">
        <v>469192</v>
      </c>
      <c r="AF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 s="2">
        <v>42746</v>
      </c>
      <c r="AQ425" t="s">
        <v>72</v>
      </c>
      <c r="AR425" t="s">
        <v>72</v>
      </c>
      <c r="AS425">
        <v>2937</v>
      </c>
      <c r="AT425" s="4">
        <v>42678</v>
      </c>
      <c r="AU425" t="s">
        <v>73</v>
      </c>
      <c r="AV425">
        <v>2937</v>
      </c>
      <c r="AW425" s="4">
        <v>42678</v>
      </c>
      <c r="BD425">
        <v>0</v>
      </c>
      <c r="BN425" t="s">
        <v>74</v>
      </c>
    </row>
    <row r="426" spans="1:66">
      <c r="A426">
        <v>100086</v>
      </c>
      <c r="B426" s="3" t="s">
        <v>111</v>
      </c>
      <c r="C426" s="1">
        <v>43300101</v>
      </c>
      <c r="D426" t="s">
        <v>67</v>
      </c>
      <c r="H426" t="str">
        <f t="shared" si="34"/>
        <v>00458450012</v>
      </c>
      <c r="I426" t="str">
        <f t="shared" si="34"/>
        <v>00458450012</v>
      </c>
      <c r="K426" t="str">
        <f>""</f>
        <v/>
      </c>
      <c r="M426" t="s">
        <v>68</v>
      </c>
      <c r="N426" t="str">
        <f t="shared" si="30"/>
        <v>FOR</v>
      </c>
      <c r="O426" t="s">
        <v>69</v>
      </c>
      <c r="P426" s="3" t="s">
        <v>75</v>
      </c>
      <c r="Q426">
        <v>2015</v>
      </c>
      <c r="R426" s="2">
        <v>42328</v>
      </c>
      <c r="S426" s="2">
        <v>42340</v>
      </c>
      <c r="T426" s="2">
        <v>42339</v>
      </c>
      <c r="U426" s="2">
        <v>42399</v>
      </c>
      <c r="V426" t="s">
        <v>71</v>
      </c>
      <c r="W426" t="str">
        <f>"             V4-2811"</f>
        <v xml:space="preserve">             V4-2811</v>
      </c>
      <c r="X426" s="1">
        <v>1549.6</v>
      </c>
      <c r="Y426">
        <v>0</v>
      </c>
      <c r="Z426" s="5">
        <v>1490</v>
      </c>
      <c r="AA426">
        <v>279</v>
      </c>
      <c r="AB426" s="5">
        <v>415710</v>
      </c>
      <c r="AC426" s="1">
        <v>1490</v>
      </c>
      <c r="AD426">
        <v>279</v>
      </c>
      <c r="AE426" s="1">
        <v>415710</v>
      </c>
      <c r="AF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 s="2">
        <v>42746</v>
      </c>
      <c r="AQ426" t="s">
        <v>72</v>
      </c>
      <c r="AR426" t="s">
        <v>72</v>
      </c>
      <c r="AS426">
        <v>2937</v>
      </c>
      <c r="AT426" s="4">
        <v>42678</v>
      </c>
      <c r="AU426" t="s">
        <v>73</v>
      </c>
      <c r="AV426">
        <v>2937</v>
      </c>
      <c r="AW426" s="4">
        <v>42678</v>
      </c>
      <c r="BD426">
        <v>0</v>
      </c>
      <c r="BN426" t="s">
        <v>74</v>
      </c>
    </row>
    <row r="427" spans="1:66">
      <c r="A427">
        <v>100086</v>
      </c>
      <c r="B427" s="3" t="s">
        <v>111</v>
      </c>
      <c r="C427" s="1">
        <v>43300101</v>
      </c>
      <c r="D427" t="s">
        <v>67</v>
      </c>
      <c r="H427" t="str">
        <f t="shared" si="34"/>
        <v>00458450012</v>
      </c>
      <c r="I427" t="str">
        <f t="shared" si="34"/>
        <v>00458450012</v>
      </c>
      <c r="K427" t="str">
        <f>""</f>
        <v/>
      </c>
      <c r="M427" t="s">
        <v>68</v>
      </c>
      <c r="N427" t="str">
        <f t="shared" si="30"/>
        <v>FOR</v>
      </c>
      <c r="O427" t="s">
        <v>69</v>
      </c>
      <c r="P427" s="3" t="s">
        <v>75</v>
      </c>
      <c r="Q427">
        <v>2015</v>
      </c>
      <c r="R427" s="2">
        <v>42328</v>
      </c>
      <c r="S427" s="2">
        <v>42340</v>
      </c>
      <c r="T427" s="2">
        <v>42339</v>
      </c>
      <c r="U427" s="2">
        <v>42399</v>
      </c>
      <c r="V427" t="s">
        <v>71</v>
      </c>
      <c r="W427" t="str">
        <f>"             V4-2812"</f>
        <v xml:space="preserve">             V4-2812</v>
      </c>
      <c r="X427">
        <v>370.88</v>
      </c>
      <c r="Y427">
        <v>0</v>
      </c>
      <c r="Z427" s="3">
        <v>304</v>
      </c>
      <c r="AA427">
        <v>279</v>
      </c>
      <c r="AB427" s="5">
        <v>84816</v>
      </c>
      <c r="AC427">
        <v>304</v>
      </c>
      <c r="AD427">
        <v>279</v>
      </c>
      <c r="AE427" s="1">
        <v>84816</v>
      </c>
      <c r="AF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 s="2">
        <v>42746</v>
      </c>
      <c r="AQ427" t="s">
        <v>72</v>
      </c>
      <c r="AR427" t="s">
        <v>72</v>
      </c>
      <c r="AS427">
        <v>2937</v>
      </c>
      <c r="AT427" s="4">
        <v>42678</v>
      </c>
      <c r="AU427" t="s">
        <v>73</v>
      </c>
      <c r="AV427">
        <v>2937</v>
      </c>
      <c r="AW427" s="4">
        <v>42678</v>
      </c>
      <c r="BD427">
        <v>0</v>
      </c>
      <c r="BN427" t="s">
        <v>74</v>
      </c>
    </row>
    <row r="428" spans="1:66">
      <c r="A428">
        <v>100086</v>
      </c>
      <c r="B428" s="3" t="s">
        <v>111</v>
      </c>
      <c r="C428" s="1">
        <v>43300101</v>
      </c>
      <c r="D428" t="s">
        <v>67</v>
      </c>
      <c r="H428" t="str">
        <f t="shared" si="34"/>
        <v>00458450012</v>
      </c>
      <c r="I428" t="str">
        <f t="shared" si="34"/>
        <v>00458450012</v>
      </c>
      <c r="K428" t="str">
        <f>""</f>
        <v/>
      </c>
      <c r="M428" t="s">
        <v>68</v>
      </c>
      <c r="N428" t="str">
        <f t="shared" si="30"/>
        <v>FOR</v>
      </c>
      <c r="O428" t="s">
        <v>69</v>
      </c>
      <c r="P428" s="3" t="s">
        <v>75</v>
      </c>
      <c r="Q428">
        <v>2015</v>
      </c>
      <c r="R428" s="2">
        <v>42334</v>
      </c>
      <c r="S428" s="2">
        <v>42353</v>
      </c>
      <c r="T428" s="2">
        <v>42349</v>
      </c>
      <c r="U428" s="2">
        <v>42409</v>
      </c>
      <c r="V428" t="s">
        <v>71</v>
      </c>
      <c r="W428" t="str">
        <f>"             V4-2876"</f>
        <v xml:space="preserve">             V4-2876</v>
      </c>
      <c r="X428">
        <v>774.8</v>
      </c>
      <c r="Y428">
        <v>0</v>
      </c>
      <c r="Z428" s="3">
        <v>745</v>
      </c>
      <c r="AA428">
        <v>269</v>
      </c>
      <c r="AB428" s="5">
        <v>200405</v>
      </c>
      <c r="AC428">
        <v>745</v>
      </c>
      <c r="AD428">
        <v>269</v>
      </c>
      <c r="AE428" s="1">
        <v>200405</v>
      </c>
      <c r="AF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 s="2">
        <v>42746</v>
      </c>
      <c r="AQ428" t="s">
        <v>72</v>
      </c>
      <c r="AR428" t="s">
        <v>72</v>
      </c>
      <c r="AS428">
        <v>2937</v>
      </c>
      <c r="AT428" s="4">
        <v>42678</v>
      </c>
      <c r="AU428" t="s">
        <v>73</v>
      </c>
      <c r="AV428">
        <v>2937</v>
      </c>
      <c r="AW428" s="4">
        <v>42678</v>
      </c>
      <c r="BD428">
        <v>0</v>
      </c>
      <c r="BN428" t="s">
        <v>74</v>
      </c>
    </row>
    <row r="429" spans="1:66" hidden="1">
      <c r="A429">
        <v>100090</v>
      </c>
      <c r="B429" s="3" t="s">
        <v>112</v>
      </c>
      <c r="C429" s="1">
        <v>43500101</v>
      </c>
      <c r="D429" t="s">
        <v>113</v>
      </c>
      <c r="H429" t="str">
        <f t="shared" ref="H429:H440" si="35">"92017650620"</f>
        <v>92017650620</v>
      </c>
      <c r="I429" t="str">
        <f>""</f>
        <v/>
      </c>
      <c r="K429" t="str">
        <f>""</f>
        <v/>
      </c>
      <c r="M429" t="s">
        <v>68</v>
      </c>
      <c r="N429" t="str">
        <f t="shared" ref="N429:N440" si="36">"ALT"</f>
        <v>ALT</v>
      </c>
      <c r="O429" t="s">
        <v>114</v>
      </c>
      <c r="P429" s="3" t="s">
        <v>84</v>
      </c>
      <c r="Q429">
        <v>2016</v>
      </c>
      <c r="R429" s="2">
        <v>42389</v>
      </c>
      <c r="S429" s="2">
        <v>42390</v>
      </c>
      <c r="T429" s="2">
        <v>42390</v>
      </c>
      <c r="U429" s="2">
        <v>42450</v>
      </c>
      <c r="V429" t="s">
        <v>71</v>
      </c>
      <c r="W429" t="str">
        <f>"                0120"</f>
        <v xml:space="preserve">                0120</v>
      </c>
      <c r="X429">
        <v>0</v>
      </c>
      <c r="Y429" s="1">
        <v>1764</v>
      </c>
      <c r="Z429"/>
      <c r="AB429"/>
      <c r="AC429" s="1">
        <v>1764</v>
      </c>
      <c r="AD429">
        <v>-60</v>
      </c>
      <c r="AE429" s="1">
        <v>-105840</v>
      </c>
      <c r="AF429">
        <v>0</v>
      </c>
      <c r="AJ429">
        <v>0</v>
      </c>
      <c r="AK429">
        <v>0</v>
      </c>
      <c r="AL429">
        <v>0</v>
      </c>
      <c r="AM429" s="1">
        <v>1764</v>
      </c>
      <c r="AN429" s="1">
        <v>1764</v>
      </c>
      <c r="AO429" s="1">
        <v>1764</v>
      </c>
      <c r="AP429" s="2">
        <v>42746</v>
      </c>
      <c r="AQ429" t="s">
        <v>72</v>
      </c>
      <c r="AR429" t="s">
        <v>72</v>
      </c>
      <c r="AS429">
        <v>44</v>
      </c>
      <c r="AT429" s="4">
        <v>42390</v>
      </c>
      <c r="AV429">
        <v>44</v>
      </c>
      <c r="AW429" s="4">
        <v>42390</v>
      </c>
      <c r="BD429">
        <v>0</v>
      </c>
      <c r="BN429" t="s">
        <v>74</v>
      </c>
    </row>
    <row r="430" spans="1:66" hidden="1">
      <c r="A430">
        <v>100090</v>
      </c>
      <c r="B430" s="3" t="s">
        <v>112</v>
      </c>
      <c r="C430" s="1">
        <v>43500101</v>
      </c>
      <c r="D430" t="s">
        <v>113</v>
      </c>
      <c r="H430" t="str">
        <f t="shared" si="35"/>
        <v>92017650620</v>
      </c>
      <c r="I430" t="str">
        <f>""</f>
        <v/>
      </c>
      <c r="K430" t="str">
        <f>""</f>
        <v/>
      </c>
      <c r="M430" t="s">
        <v>68</v>
      </c>
      <c r="N430" t="str">
        <f t="shared" si="36"/>
        <v>ALT</v>
      </c>
      <c r="O430" t="s">
        <v>114</v>
      </c>
      <c r="P430" s="3" t="s">
        <v>85</v>
      </c>
      <c r="Q430">
        <v>2016</v>
      </c>
      <c r="R430" s="2">
        <v>42422</v>
      </c>
      <c r="S430" s="2">
        <v>42422</v>
      </c>
      <c r="T430" s="2">
        <v>42422</v>
      </c>
      <c r="U430" s="2">
        <v>42482</v>
      </c>
      <c r="V430" t="s">
        <v>71</v>
      </c>
      <c r="W430" t="str">
        <f>"                0222"</f>
        <v xml:space="preserve">                0222</v>
      </c>
      <c r="X430">
        <v>0</v>
      </c>
      <c r="Y430" s="1">
        <v>1795</v>
      </c>
      <c r="Z430"/>
      <c r="AB430"/>
      <c r="AC430" s="1">
        <v>1795</v>
      </c>
      <c r="AD430">
        <v>-58</v>
      </c>
      <c r="AE430" s="1">
        <v>-104110</v>
      </c>
      <c r="AF430">
        <v>0</v>
      </c>
      <c r="AJ430">
        <v>0</v>
      </c>
      <c r="AK430">
        <v>0</v>
      </c>
      <c r="AL430">
        <v>0</v>
      </c>
      <c r="AM430" s="1">
        <v>1795</v>
      </c>
      <c r="AN430" s="1">
        <v>1795</v>
      </c>
      <c r="AO430" s="1">
        <v>1795</v>
      </c>
      <c r="AP430" s="2">
        <v>42746</v>
      </c>
      <c r="AQ430" t="s">
        <v>72</v>
      </c>
      <c r="AR430" t="s">
        <v>72</v>
      </c>
      <c r="AS430">
        <v>488</v>
      </c>
      <c r="AT430" s="4">
        <v>42424</v>
      </c>
      <c r="AV430">
        <v>488</v>
      </c>
      <c r="AW430" s="4">
        <v>42424</v>
      </c>
      <c r="BD430">
        <v>0</v>
      </c>
      <c r="BN430" t="s">
        <v>74</v>
      </c>
    </row>
    <row r="431" spans="1:66" hidden="1">
      <c r="A431">
        <v>100090</v>
      </c>
      <c r="B431" s="3" t="s">
        <v>112</v>
      </c>
      <c r="C431" s="1">
        <v>43500101</v>
      </c>
      <c r="D431" t="s">
        <v>113</v>
      </c>
      <c r="H431" t="str">
        <f t="shared" si="35"/>
        <v>92017650620</v>
      </c>
      <c r="I431" t="str">
        <f>""</f>
        <v/>
      </c>
      <c r="K431" t="str">
        <f>""</f>
        <v/>
      </c>
      <c r="M431" t="s">
        <v>68</v>
      </c>
      <c r="N431" t="str">
        <f t="shared" si="36"/>
        <v>ALT</v>
      </c>
      <c r="O431" t="s">
        <v>114</v>
      </c>
      <c r="P431" s="3" t="s">
        <v>86</v>
      </c>
      <c r="Q431">
        <v>2016</v>
      </c>
      <c r="R431" s="2">
        <v>42450</v>
      </c>
      <c r="S431" s="2">
        <v>42450</v>
      </c>
      <c r="T431" s="2">
        <v>42450</v>
      </c>
      <c r="U431" s="2">
        <v>42510</v>
      </c>
      <c r="V431" t="s">
        <v>71</v>
      </c>
      <c r="W431" t="str">
        <f>"                0321"</f>
        <v xml:space="preserve">                0321</v>
      </c>
      <c r="X431">
        <v>0</v>
      </c>
      <c r="Y431" s="1">
        <v>1396</v>
      </c>
      <c r="Z431"/>
      <c r="AB431"/>
      <c r="AC431" s="1">
        <v>1396</v>
      </c>
      <c r="AD431">
        <v>-57</v>
      </c>
      <c r="AE431" s="1">
        <v>-79572</v>
      </c>
      <c r="AF431">
        <v>0</v>
      </c>
      <c r="AJ431">
        <v>0</v>
      </c>
      <c r="AK431">
        <v>0</v>
      </c>
      <c r="AL431">
        <v>0</v>
      </c>
      <c r="AM431" s="1">
        <v>1396</v>
      </c>
      <c r="AN431" s="1">
        <v>1396</v>
      </c>
      <c r="AO431" s="1">
        <v>1396</v>
      </c>
      <c r="AP431" s="2">
        <v>42746</v>
      </c>
      <c r="AQ431" t="s">
        <v>72</v>
      </c>
      <c r="AR431" t="s">
        <v>72</v>
      </c>
      <c r="AS431">
        <v>910</v>
      </c>
      <c r="AT431" s="4">
        <v>42453</v>
      </c>
      <c r="AV431">
        <v>910</v>
      </c>
      <c r="AW431" s="4">
        <v>42453</v>
      </c>
      <c r="BD431">
        <v>0</v>
      </c>
      <c r="BN431" t="s">
        <v>74</v>
      </c>
    </row>
    <row r="432" spans="1:66" hidden="1">
      <c r="A432">
        <v>100090</v>
      </c>
      <c r="B432" s="3" t="s">
        <v>112</v>
      </c>
      <c r="C432" s="1">
        <v>43500101</v>
      </c>
      <c r="D432" t="s">
        <v>113</v>
      </c>
      <c r="H432" t="str">
        <f t="shared" si="35"/>
        <v>92017650620</v>
      </c>
      <c r="I432" t="str">
        <f>""</f>
        <v/>
      </c>
      <c r="K432" t="str">
        <f>""</f>
        <v/>
      </c>
      <c r="M432" t="s">
        <v>68</v>
      </c>
      <c r="N432" t="str">
        <f t="shared" si="36"/>
        <v>ALT</v>
      </c>
      <c r="O432" t="s">
        <v>114</v>
      </c>
      <c r="P432" s="3" t="s">
        <v>87</v>
      </c>
      <c r="Q432">
        <v>2016</v>
      </c>
      <c r="R432" s="2">
        <v>42481</v>
      </c>
      <c r="S432" s="2">
        <v>42481</v>
      </c>
      <c r="T432" s="2">
        <v>42481</v>
      </c>
      <c r="U432" s="2">
        <v>42541</v>
      </c>
      <c r="V432" t="s">
        <v>71</v>
      </c>
      <c r="W432" t="str">
        <f>"                0421"</f>
        <v xml:space="preserve">                0421</v>
      </c>
      <c r="X432">
        <v>0</v>
      </c>
      <c r="Y432" s="1">
        <v>1386</v>
      </c>
      <c r="Z432"/>
      <c r="AB432"/>
      <c r="AC432" s="1">
        <v>1386</v>
      </c>
      <c r="AD432">
        <v>-60</v>
      </c>
      <c r="AE432" s="1">
        <v>-83160</v>
      </c>
      <c r="AF432">
        <v>0</v>
      </c>
      <c r="AJ432">
        <v>0</v>
      </c>
      <c r="AK432">
        <v>0</v>
      </c>
      <c r="AL432">
        <v>0</v>
      </c>
      <c r="AM432" s="1">
        <v>1386</v>
      </c>
      <c r="AN432" s="1">
        <v>1386</v>
      </c>
      <c r="AO432" s="1">
        <v>1386</v>
      </c>
      <c r="AP432" s="2">
        <v>42746</v>
      </c>
      <c r="AQ432" t="s">
        <v>72</v>
      </c>
      <c r="AR432" t="s">
        <v>72</v>
      </c>
      <c r="AS432">
        <v>1076</v>
      </c>
      <c r="AT432" s="4">
        <v>42481</v>
      </c>
      <c r="AV432">
        <v>1076</v>
      </c>
      <c r="AW432" s="4">
        <v>42481</v>
      </c>
      <c r="BD432">
        <v>0</v>
      </c>
      <c r="BN432" t="s">
        <v>74</v>
      </c>
    </row>
    <row r="433" spans="1:66" hidden="1">
      <c r="A433">
        <v>100090</v>
      </c>
      <c r="B433" s="3" t="s">
        <v>112</v>
      </c>
      <c r="C433" s="1">
        <v>43500101</v>
      </c>
      <c r="D433" t="s">
        <v>113</v>
      </c>
      <c r="H433" t="str">
        <f t="shared" si="35"/>
        <v>92017650620</v>
      </c>
      <c r="I433" t="str">
        <f>""</f>
        <v/>
      </c>
      <c r="K433" t="str">
        <f>""</f>
        <v/>
      </c>
      <c r="M433" t="s">
        <v>68</v>
      </c>
      <c r="N433" t="str">
        <f t="shared" si="36"/>
        <v>ALT</v>
      </c>
      <c r="O433" t="s">
        <v>114</v>
      </c>
      <c r="P433" s="3" t="s">
        <v>88</v>
      </c>
      <c r="Q433">
        <v>2016</v>
      </c>
      <c r="R433" s="2">
        <v>42508</v>
      </c>
      <c r="S433" s="2">
        <v>42510</v>
      </c>
      <c r="T433" s="2">
        <v>42510</v>
      </c>
      <c r="U433" s="2">
        <v>42570</v>
      </c>
      <c r="V433" t="s">
        <v>71</v>
      </c>
      <c r="W433" t="str">
        <f>"                0518"</f>
        <v xml:space="preserve">                0518</v>
      </c>
      <c r="X433">
        <v>0</v>
      </c>
      <c r="Y433" s="1">
        <v>2038</v>
      </c>
      <c r="Z433"/>
      <c r="AB433"/>
      <c r="AC433" s="1">
        <v>2038</v>
      </c>
      <c r="AD433">
        <v>-57</v>
      </c>
      <c r="AE433" s="1">
        <v>-116166</v>
      </c>
      <c r="AF433">
        <v>0</v>
      </c>
      <c r="AJ433">
        <v>0</v>
      </c>
      <c r="AK433">
        <v>0</v>
      </c>
      <c r="AL433">
        <v>0</v>
      </c>
      <c r="AM433" s="1">
        <v>2038</v>
      </c>
      <c r="AN433" s="1">
        <v>2038</v>
      </c>
      <c r="AO433" s="1">
        <v>2038</v>
      </c>
      <c r="AP433" s="2">
        <v>42746</v>
      </c>
      <c r="AQ433" t="s">
        <v>72</v>
      </c>
      <c r="AR433" t="s">
        <v>72</v>
      </c>
      <c r="AS433">
        <v>1314</v>
      </c>
      <c r="AT433" s="4">
        <v>42513</v>
      </c>
      <c r="AV433">
        <v>1314</v>
      </c>
      <c r="AW433" s="4">
        <v>42513</v>
      </c>
      <c r="BD433">
        <v>0</v>
      </c>
      <c r="BN433" t="s">
        <v>74</v>
      </c>
    </row>
    <row r="434" spans="1:66" hidden="1">
      <c r="A434">
        <v>100090</v>
      </c>
      <c r="B434" s="3" t="s">
        <v>112</v>
      </c>
      <c r="C434" s="1">
        <v>43500101</v>
      </c>
      <c r="D434" t="s">
        <v>113</v>
      </c>
      <c r="H434" t="str">
        <f t="shared" si="35"/>
        <v>92017650620</v>
      </c>
      <c r="I434" t="str">
        <f>""</f>
        <v/>
      </c>
      <c r="K434" t="str">
        <f>""</f>
        <v/>
      </c>
      <c r="M434" t="s">
        <v>68</v>
      </c>
      <c r="N434" t="str">
        <f t="shared" si="36"/>
        <v>ALT</v>
      </c>
      <c r="O434" t="s">
        <v>114</v>
      </c>
      <c r="P434" s="3" t="s">
        <v>89</v>
      </c>
      <c r="Q434">
        <v>2016</v>
      </c>
      <c r="R434" s="2">
        <v>42548</v>
      </c>
      <c r="S434" s="2">
        <v>42543</v>
      </c>
      <c r="T434" s="2">
        <v>42543</v>
      </c>
      <c r="U434" s="2">
        <v>42603</v>
      </c>
      <c r="V434" t="s">
        <v>71</v>
      </c>
      <c r="W434" t="str">
        <f>"                0627"</f>
        <v xml:space="preserve">                0627</v>
      </c>
      <c r="X434">
        <v>0</v>
      </c>
      <c r="Y434" s="1">
        <v>1581</v>
      </c>
      <c r="Z434"/>
      <c r="AB434"/>
      <c r="AC434" s="1">
        <v>1581</v>
      </c>
      <c r="AD434">
        <v>-47</v>
      </c>
      <c r="AE434" s="1">
        <v>-74307</v>
      </c>
      <c r="AF434">
        <v>0</v>
      </c>
      <c r="AJ434">
        <v>0</v>
      </c>
      <c r="AK434">
        <v>0</v>
      </c>
      <c r="AL434">
        <v>0</v>
      </c>
      <c r="AM434" s="1">
        <v>1581</v>
      </c>
      <c r="AN434" s="1">
        <v>1581</v>
      </c>
      <c r="AO434" s="1">
        <v>1581</v>
      </c>
      <c r="AP434" s="2">
        <v>42746</v>
      </c>
      <c r="AQ434" t="s">
        <v>72</v>
      </c>
      <c r="AR434" t="s">
        <v>72</v>
      </c>
      <c r="AS434">
        <v>1697</v>
      </c>
      <c r="AT434" s="4">
        <v>42556</v>
      </c>
      <c r="AV434">
        <v>1697</v>
      </c>
      <c r="AW434" s="4">
        <v>42556</v>
      </c>
      <c r="BD434">
        <v>0</v>
      </c>
      <c r="BN434" t="s">
        <v>74</v>
      </c>
    </row>
    <row r="435" spans="1:66" hidden="1">
      <c r="A435">
        <v>100090</v>
      </c>
      <c r="B435" s="3" t="s">
        <v>112</v>
      </c>
      <c r="C435" s="1">
        <v>43500101</v>
      </c>
      <c r="D435" t="s">
        <v>113</v>
      </c>
      <c r="H435" t="str">
        <f t="shared" si="35"/>
        <v>92017650620</v>
      </c>
      <c r="I435" t="str">
        <f>""</f>
        <v/>
      </c>
      <c r="K435" t="str">
        <f>""</f>
        <v/>
      </c>
      <c r="M435" t="s">
        <v>68</v>
      </c>
      <c r="N435" t="str">
        <f t="shared" si="36"/>
        <v>ALT</v>
      </c>
      <c r="O435" t="s">
        <v>114</v>
      </c>
      <c r="P435" s="3" t="s">
        <v>90</v>
      </c>
      <c r="Q435">
        <v>2016</v>
      </c>
      <c r="R435" s="2">
        <v>42573</v>
      </c>
      <c r="S435" s="2">
        <v>42573</v>
      </c>
      <c r="T435" s="2">
        <v>42573</v>
      </c>
      <c r="U435" s="2">
        <v>42633</v>
      </c>
      <c r="V435" t="s">
        <v>71</v>
      </c>
      <c r="W435" t="str">
        <f>"                0722"</f>
        <v xml:space="preserve">                0722</v>
      </c>
      <c r="X435">
        <v>0</v>
      </c>
      <c r="Y435" s="1">
        <v>1350</v>
      </c>
      <c r="Z435"/>
      <c r="AB435"/>
      <c r="AC435" s="1">
        <v>1350</v>
      </c>
      <c r="AD435">
        <v>-48</v>
      </c>
      <c r="AE435" s="1">
        <v>-64800</v>
      </c>
      <c r="AF435">
        <v>0</v>
      </c>
      <c r="AJ435">
        <v>0</v>
      </c>
      <c r="AK435">
        <v>0</v>
      </c>
      <c r="AL435">
        <v>0</v>
      </c>
      <c r="AM435" s="1">
        <v>1350</v>
      </c>
      <c r="AN435" s="1">
        <v>1350</v>
      </c>
      <c r="AO435" s="1">
        <v>1350</v>
      </c>
      <c r="AP435" s="2">
        <v>42746</v>
      </c>
      <c r="AQ435" t="s">
        <v>72</v>
      </c>
      <c r="AR435" t="s">
        <v>72</v>
      </c>
      <c r="AS435">
        <v>2097</v>
      </c>
      <c r="AT435" s="4">
        <v>42585</v>
      </c>
      <c r="AV435">
        <v>2097</v>
      </c>
      <c r="AW435" s="4">
        <v>42585</v>
      </c>
      <c r="BD435">
        <v>0</v>
      </c>
      <c r="BN435" t="s">
        <v>74</v>
      </c>
    </row>
    <row r="436" spans="1:66" hidden="1">
      <c r="A436">
        <v>100090</v>
      </c>
      <c r="B436" s="3" t="s">
        <v>112</v>
      </c>
      <c r="C436" s="1">
        <v>43500101</v>
      </c>
      <c r="D436" t="s">
        <v>113</v>
      </c>
      <c r="H436" t="str">
        <f t="shared" si="35"/>
        <v>92017650620</v>
      </c>
      <c r="I436" t="str">
        <f>""</f>
        <v/>
      </c>
      <c r="K436" t="str">
        <f>""</f>
        <v/>
      </c>
      <c r="M436" t="s">
        <v>68</v>
      </c>
      <c r="N436" t="str">
        <f t="shared" si="36"/>
        <v>ALT</v>
      </c>
      <c r="O436" t="s">
        <v>114</v>
      </c>
      <c r="P436" s="3" t="s">
        <v>91</v>
      </c>
      <c r="Q436">
        <v>2016</v>
      </c>
      <c r="R436" s="2">
        <v>42592</v>
      </c>
      <c r="S436" s="2">
        <v>42598</v>
      </c>
      <c r="T436" s="2">
        <v>42598</v>
      </c>
      <c r="U436" s="2">
        <v>42658</v>
      </c>
      <c r="V436" t="s">
        <v>71</v>
      </c>
      <c r="W436" t="str">
        <f>"                0810"</f>
        <v xml:space="preserve">                0810</v>
      </c>
      <c r="X436">
        <v>0</v>
      </c>
      <c r="Y436" s="1">
        <v>1332</v>
      </c>
      <c r="Z436"/>
      <c r="AB436"/>
      <c r="AC436" s="1">
        <v>1332</v>
      </c>
      <c r="AD436">
        <v>-60</v>
      </c>
      <c r="AE436" s="1">
        <v>-79920</v>
      </c>
      <c r="AF436">
        <v>0</v>
      </c>
      <c r="AJ436">
        <v>0</v>
      </c>
      <c r="AK436">
        <v>0</v>
      </c>
      <c r="AL436">
        <v>0</v>
      </c>
      <c r="AM436" s="1">
        <v>1332</v>
      </c>
      <c r="AN436" s="1">
        <v>1332</v>
      </c>
      <c r="AO436" s="1">
        <v>1332</v>
      </c>
      <c r="AP436" s="2">
        <v>42746</v>
      </c>
      <c r="AQ436" t="s">
        <v>72</v>
      </c>
      <c r="AR436" t="s">
        <v>72</v>
      </c>
      <c r="AS436">
        <v>2179</v>
      </c>
      <c r="AT436" s="4">
        <v>42598</v>
      </c>
      <c r="AV436">
        <v>2179</v>
      </c>
      <c r="AW436" s="4">
        <v>42598</v>
      </c>
      <c r="BD436">
        <v>0</v>
      </c>
      <c r="BN436" t="s">
        <v>74</v>
      </c>
    </row>
    <row r="437" spans="1:66" hidden="1">
      <c r="A437">
        <v>100090</v>
      </c>
      <c r="B437" s="3" t="s">
        <v>112</v>
      </c>
      <c r="C437" s="1">
        <v>43500101</v>
      </c>
      <c r="D437" t="s">
        <v>113</v>
      </c>
      <c r="H437" t="str">
        <f t="shared" si="35"/>
        <v>92017650620</v>
      </c>
      <c r="I437" t="str">
        <f>""</f>
        <v/>
      </c>
      <c r="K437" t="str">
        <f>""</f>
        <v/>
      </c>
      <c r="M437" t="s">
        <v>68</v>
      </c>
      <c r="N437" t="str">
        <f t="shared" si="36"/>
        <v>ALT</v>
      </c>
      <c r="O437" t="s">
        <v>114</v>
      </c>
      <c r="P437" s="3" t="s">
        <v>92</v>
      </c>
      <c r="Q437">
        <v>2016</v>
      </c>
      <c r="R437" s="2">
        <v>42633</v>
      </c>
      <c r="S437" s="2">
        <v>42634</v>
      </c>
      <c r="T437" s="2">
        <v>42634</v>
      </c>
      <c r="U437" s="2">
        <v>42694</v>
      </c>
      <c r="V437" t="s">
        <v>71</v>
      </c>
      <c r="W437" t="str">
        <f>"                0920"</f>
        <v xml:space="preserve">                0920</v>
      </c>
      <c r="X437">
        <v>0</v>
      </c>
      <c r="Y437" s="1">
        <v>1329</v>
      </c>
      <c r="Z437"/>
      <c r="AB437"/>
      <c r="AC437" s="1">
        <v>1329</v>
      </c>
      <c r="AD437">
        <v>-60</v>
      </c>
      <c r="AE437" s="1">
        <v>-79740</v>
      </c>
      <c r="AF437">
        <v>0</v>
      </c>
      <c r="AJ437">
        <v>0</v>
      </c>
      <c r="AK437">
        <v>0</v>
      </c>
      <c r="AL437">
        <v>0</v>
      </c>
      <c r="AM437" s="1">
        <v>1329</v>
      </c>
      <c r="AN437" s="1">
        <v>1329</v>
      </c>
      <c r="AO437" s="1">
        <v>1329</v>
      </c>
      <c r="AP437" s="2">
        <v>42746</v>
      </c>
      <c r="AQ437" t="s">
        <v>72</v>
      </c>
      <c r="AR437" t="s">
        <v>72</v>
      </c>
      <c r="AS437">
        <v>2453</v>
      </c>
      <c r="AT437" s="4">
        <v>42634</v>
      </c>
      <c r="AV437">
        <v>2453</v>
      </c>
      <c r="AW437" s="4">
        <v>42634</v>
      </c>
      <c r="BD437">
        <v>0</v>
      </c>
      <c r="BN437" t="s">
        <v>74</v>
      </c>
    </row>
    <row r="438" spans="1:66" hidden="1">
      <c r="A438">
        <v>100090</v>
      </c>
      <c r="B438" s="3" t="s">
        <v>112</v>
      </c>
      <c r="C438" s="1">
        <v>43500101</v>
      </c>
      <c r="D438" t="s">
        <v>113</v>
      </c>
      <c r="H438" t="str">
        <f t="shared" si="35"/>
        <v>92017650620</v>
      </c>
      <c r="I438" t="str">
        <f>""</f>
        <v/>
      </c>
      <c r="K438" t="str">
        <f>""</f>
        <v/>
      </c>
      <c r="M438" t="s">
        <v>68</v>
      </c>
      <c r="N438" t="str">
        <f t="shared" si="36"/>
        <v>ALT</v>
      </c>
      <c r="O438" t="s">
        <v>114</v>
      </c>
      <c r="P438" s="3" t="s">
        <v>93</v>
      </c>
      <c r="Q438">
        <v>2016</v>
      </c>
      <c r="R438" s="2">
        <v>42664</v>
      </c>
      <c r="S438" s="2">
        <v>42667</v>
      </c>
      <c r="T438" s="2">
        <v>42667</v>
      </c>
      <c r="U438" s="2">
        <v>42727</v>
      </c>
      <c r="V438" t="s">
        <v>71</v>
      </c>
      <c r="W438" t="str">
        <f>"                1021"</f>
        <v xml:space="preserve">                1021</v>
      </c>
      <c r="X438">
        <v>0</v>
      </c>
      <c r="Y438" s="1">
        <v>1329</v>
      </c>
      <c r="Z438" s="5">
        <v>1329</v>
      </c>
      <c r="AA438">
        <v>-60</v>
      </c>
      <c r="AB438" s="5">
        <v>-79740</v>
      </c>
      <c r="AC438" s="1">
        <v>1329</v>
      </c>
      <c r="AD438">
        <v>-60</v>
      </c>
      <c r="AE438" s="1">
        <v>-79740</v>
      </c>
      <c r="AF438">
        <v>0</v>
      </c>
      <c r="AJ438" s="1">
        <v>1329</v>
      </c>
      <c r="AK438" s="1">
        <v>1329</v>
      </c>
      <c r="AL438" s="1">
        <v>1329</v>
      </c>
      <c r="AM438" s="1">
        <v>1329</v>
      </c>
      <c r="AN438" s="1">
        <v>1329</v>
      </c>
      <c r="AO438" s="1">
        <v>1329</v>
      </c>
      <c r="AP438" s="2">
        <v>42746</v>
      </c>
      <c r="AQ438" t="s">
        <v>72</v>
      </c>
      <c r="AR438" t="s">
        <v>72</v>
      </c>
      <c r="AS438">
        <v>2800</v>
      </c>
      <c r="AT438" s="4">
        <v>42667</v>
      </c>
      <c r="AV438">
        <v>2800</v>
      </c>
      <c r="AW438" s="4">
        <v>42667</v>
      </c>
      <c r="BD438">
        <v>0</v>
      </c>
      <c r="BN438" t="s">
        <v>74</v>
      </c>
    </row>
    <row r="439" spans="1:66" hidden="1">
      <c r="A439">
        <v>100090</v>
      </c>
      <c r="B439" s="3" t="s">
        <v>112</v>
      </c>
      <c r="C439" s="1">
        <v>43500101</v>
      </c>
      <c r="D439" t="s">
        <v>113</v>
      </c>
      <c r="H439" t="str">
        <f t="shared" si="35"/>
        <v>92017650620</v>
      </c>
      <c r="I439" t="str">
        <f>""</f>
        <v/>
      </c>
      <c r="K439" t="str">
        <f>""</f>
        <v/>
      </c>
      <c r="M439" t="s">
        <v>68</v>
      </c>
      <c r="N439" t="str">
        <f t="shared" si="36"/>
        <v>ALT</v>
      </c>
      <c r="O439" t="s">
        <v>114</v>
      </c>
      <c r="P439" s="3" t="s">
        <v>94</v>
      </c>
      <c r="Q439">
        <v>2016</v>
      </c>
      <c r="R439" s="2">
        <v>42696</v>
      </c>
      <c r="S439" s="2">
        <v>42696</v>
      </c>
      <c r="T439" s="2">
        <v>42696</v>
      </c>
      <c r="U439" s="2">
        <v>42756</v>
      </c>
      <c r="V439" t="s">
        <v>71</v>
      </c>
      <c r="W439" t="str">
        <f>"                1122"</f>
        <v xml:space="preserve">                1122</v>
      </c>
      <c r="X439">
        <v>0</v>
      </c>
      <c r="Y439" s="1">
        <v>1326</v>
      </c>
      <c r="Z439" s="5">
        <v>1326</v>
      </c>
      <c r="AA439">
        <v>-59</v>
      </c>
      <c r="AB439" s="5">
        <v>-78234</v>
      </c>
      <c r="AC439" s="1">
        <v>1326</v>
      </c>
      <c r="AD439">
        <v>-59</v>
      </c>
      <c r="AE439" s="1">
        <v>-78234</v>
      </c>
      <c r="AF439">
        <v>0</v>
      </c>
      <c r="AJ439" s="1">
        <v>1326</v>
      </c>
      <c r="AK439" s="1">
        <v>1326</v>
      </c>
      <c r="AL439" s="1">
        <v>1326</v>
      </c>
      <c r="AM439" s="1">
        <v>1326</v>
      </c>
      <c r="AN439" s="1">
        <v>1326</v>
      </c>
      <c r="AO439" s="1">
        <v>1326</v>
      </c>
      <c r="AP439" s="2">
        <v>42746</v>
      </c>
      <c r="AQ439" t="s">
        <v>72</v>
      </c>
      <c r="AR439" t="s">
        <v>72</v>
      </c>
      <c r="AS439">
        <v>3238</v>
      </c>
      <c r="AT439" s="4">
        <v>42697</v>
      </c>
      <c r="AV439">
        <v>3238</v>
      </c>
      <c r="AW439" s="4">
        <v>42697</v>
      </c>
      <c r="BD439">
        <v>0</v>
      </c>
      <c r="BN439" t="s">
        <v>74</v>
      </c>
    </row>
    <row r="440" spans="1:66" hidden="1">
      <c r="A440">
        <v>100090</v>
      </c>
      <c r="B440" s="3" t="s">
        <v>112</v>
      </c>
      <c r="C440" s="1">
        <v>43500101</v>
      </c>
      <c r="D440" t="s">
        <v>113</v>
      </c>
      <c r="H440" t="str">
        <f t="shared" si="35"/>
        <v>92017650620</v>
      </c>
      <c r="I440" t="str">
        <f>""</f>
        <v/>
      </c>
      <c r="K440" t="str">
        <f>""</f>
        <v/>
      </c>
      <c r="M440" t="s">
        <v>68</v>
      </c>
      <c r="N440" t="str">
        <f t="shared" si="36"/>
        <v>ALT</v>
      </c>
      <c r="O440" t="s">
        <v>114</v>
      </c>
      <c r="P440" s="3" t="s">
        <v>95</v>
      </c>
      <c r="Q440">
        <v>2016</v>
      </c>
      <c r="R440" s="2">
        <v>42717</v>
      </c>
      <c r="S440" s="2">
        <v>42717</v>
      </c>
      <c r="T440" s="2">
        <v>42717</v>
      </c>
      <c r="U440" s="2">
        <v>42777</v>
      </c>
      <c r="V440" t="s">
        <v>71</v>
      </c>
      <c r="W440" t="str">
        <f>"                1213"</f>
        <v xml:space="preserve">                1213</v>
      </c>
      <c r="X440">
        <v>0</v>
      </c>
      <c r="Y440" s="1">
        <v>1323</v>
      </c>
      <c r="Z440" s="5">
        <v>1323</v>
      </c>
      <c r="AA440">
        <v>-59</v>
      </c>
      <c r="AB440" s="5">
        <v>-78057</v>
      </c>
      <c r="AC440" s="1">
        <v>1323</v>
      </c>
      <c r="AD440">
        <v>-59</v>
      </c>
      <c r="AE440" s="1">
        <v>-78057</v>
      </c>
      <c r="AF440">
        <v>0</v>
      </c>
      <c r="AJ440" s="1">
        <v>1323</v>
      </c>
      <c r="AK440" s="1">
        <v>1323</v>
      </c>
      <c r="AL440" s="1">
        <v>1323</v>
      </c>
      <c r="AM440" s="1">
        <v>1323</v>
      </c>
      <c r="AN440" s="1">
        <v>1323</v>
      </c>
      <c r="AO440" s="1">
        <v>1323</v>
      </c>
      <c r="AP440" s="2">
        <v>42746</v>
      </c>
      <c r="AQ440" t="s">
        <v>72</v>
      </c>
      <c r="AR440" t="s">
        <v>72</v>
      </c>
      <c r="AS440">
        <v>3397</v>
      </c>
      <c r="AT440" s="4">
        <v>42718</v>
      </c>
      <c r="AV440">
        <v>3397</v>
      </c>
      <c r="AW440" s="4">
        <v>42718</v>
      </c>
      <c r="BD440">
        <v>0</v>
      </c>
      <c r="BN440" t="s">
        <v>74</v>
      </c>
    </row>
    <row r="441" spans="1:66" hidden="1">
      <c r="A441">
        <v>100092</v>
      </c>
      <c r="B441" s="3" t="s">
        <v>115</v>
      </c>
      <c r="C441" s="1">
        <v>43201201</v>
      </c>
      <c r="D441" t="s">
        <v>116</v>
      </c>
      <c r="H441" t="str">
        <f t="shared" ref="H441:I447" si="37">"02600160648"</f>
        <v>02600160648</v>
      </c>
      <c r="I441" t="str">
        <f t="shared" si="37"/>
        <v>02600160648</v>
      </c>
      <c r="K441" t="str">
        <f>""</f>
        <v/>
      </c>
      <c r="M441" t="s">
        <v>68</v>
      </c>
      <c r="N441" t="str">
        <f t="shared" ref="N441:N447" si="38">"AZ1"</f>
        <v>AZ1</v>
      </c>
      <c r="O441" t="s">
        <v>117</v>
      </c>
      <c r="P441" s="3" t="s">
        <v>100</v>
      </c>
      <c r="Q441">
        <v>2015</v>
      </c>
      <c r="R441" s="2">
        <v>42135</v>
      </c>
      <c r="S441" s="2">
        <v>42171</v>
      </c>
      <c r="T441" s="2">
        <v>42166</v>
      </c>
      <c r="U441" s="2">
        <v>42226</v>
      </c>
      <c r="V441" t="s">
        <v>71</v>
      </c>
      <c r="W441" t="str">
        <f>"          A8/2015/17"</f>
        <v xml:space="preserve">          A8/2015/17</v>
      </c>
      <c r="X441" s="1">
        <v>-4281.7700000000004</v>
      </c>
      <c r="Y441">
        <v>0</v>
      </c>
      <c r="Z441"/>
      <c r="AB441"/>
      <c r="AC441" s="1">
        <v>-4281.7700000000004</v>
      </c>
      <c r="AD441">
        <v>176</v>
      </c>
      <c r="AE441" s="1">
        <v>-753591.52</v>
      </c>
      <c r="AF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 s="2">
        <v>42746</v>
      </c>
      <c r="AQ441" t="s">
        <v>72</v>
      </c>
      <c r="AR441" t="s">
        <v>72</v>
      </c>
      <c r="AS441">
        <v>189</v>
      </c>
      <c r="AT441" s="4">
        <v>42402</v>
      </c>
      <c r="AU441" t="s">
        <v>73</v>
      </c>
      <c r="AV441">
        <v>189</v>
      </c>
      <c r="AW441" s="4">
        <v>42402</v>
      </c>
      <c r="BD441">
        <v>0</v>
      </c>
      <c r="BN441" t="s">
        <v>74</v>
      </c>
    </row>
    <row r="442" spans="1:66" hidden="1">
      <c r="A442">
        <v>100092</v>
      </c>
      <c r="B442" s="3" t="s">
        <v>115</v>
      </c>
      <c r="C442" s="1">
        <v>43201201</v>
      </c>
      <c r="D442" t="s">
        <v>116</v>
      </c>
      <c r="H442" t="str">
        <f t="shared" si="37"/>
        <v>02600160648</v>
      </c>
      <c r="I442" t="str">
        <f t="shared" si="37"/>
        <v>02600160648</v>
      </c>
      <c r="K442" t="str">
        <f>""</f>
        <v/>
      </c>
      <c r="M442" t="s">
        <v>68</v>
      </c>
      <c r="N442" t="str">
        <f t="shared" si="38"/>
        <v>AZ1</v>
      </c>
      <c r="O442" t="s">
        <v>117</v>
      </c>
      <c r="P442" s="3" t="s">
        <v>75</v>
      </c>
      <c r="Q442">
        <v>2015</v>
      </c>
      <c r="R442" s="2">
        <v>42207</v>
      </c>
      <c r="S442" s="2">
        <v>42233</v>
      </c>
      <c r="T442" s="2">
        <v>42207</v>
      </c>
      <c r="U442" s="2">
        <v>42267</v>
      </c>
      <c r="V442" t="s">
        <v>71</v>
      </c>
      <c r="W442" t="str">
        <f>"          A8/2015/73"</f>
        <v xml:space="preserve">          A8/2015/73</v>
      </c>
      <c r="X442" s="1">
        <v>5470.4</v>
      </c>
      <c r="Y442">
        <v>0</v>
      </c>
      <c r="Z442"/>
      <c r="AB442"/>
      <c r="AC442" s="1">
        <v>5470.4</v>
      </c>
      <c r="AD442">
        <v>135</v>
      </c>
      <c r="AE442" s="1">
        <v>738504</v>
      </c>
      <c r="AF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 s="2">
        <v>42746</v>
      </c>
      <c r="AQ442" t="s">
        <v>72</v>
      </c>
      <c r="AR442" t="s">
        <v>72</v>
      </c>
      <c r="AS442">
        <v>189</v>
      </c>
      <c r="AT442" s="4">
        <v>42402</v>
      </c>
      <c r="AU442" t="s">
        <v>73</v>
      </c>
      <c r="AV442">
        <v>189</v>
      </c>
      <c r="AW442" s="4">
        <v>42402</v>
      </c>
      <c r="BD442">
        <v>0</v>
      </c>
      <c r="BN442" t="s">
        <v>74</v>
      </c>
    </row>
    <row r="443" spans="1:66" hidden="1">
      <c r="A443">
        <v>100092</v>
      </c>
      <c r="B443" s="3" t="s">
        <v>115</v>
      </c>
      <c r="C443" s="1">
        <v>43201201</v>
      </c>
      <c r="D443" t="s">
        <v>116</v>
      </c>
      <c r="H443" t="str">
        <f t="shared" si="37"/>
        <v>02600160648</v>
      </c>
      <c r="I443" t="str">
        <f t="shared" si="37"/>
        <v>02600160648</v>
      </c>
      <c r="K443" t="str">
        <f>""</f>
        <v/>
      </c>
      <c r="M443" t="s">
        <v>68</v>
      </c>
      <c r="N443" t="str">
        <f t="shared" si="38"/>
        <v>AZ1</v>
      </c>
      <c r="O443" t="s">
        <v>117</v>
      </c>
      <c r="P443" s="3" t="s">
        <v>75</v>
      </c>
      <c r="Q443">
        <v>2015</v>
      </c>
      <c r="R443" s="2">
        <v>42265</v>
      </c>
      <c r="S443" s="2">
        <v>42268</v>
      </c>
      <c r="T443" s="2">
        <v>42268</v>
      </c>
      <c r="U443" s="2">
        <v>42328</v>
      </c>
      <c r="V443" t="s">
        <v>71</v>
      </c>
      <c r="W443" t="str">
        <f>"          A8/2015/76"</f>
        <v xml:space="preserve">          A8/2015/76</v>
      </c>
      <c r="X443" s="1">
        <v>25781.599999999999</v>
      </c>
      <c r="Y443">
        <v>0</v>
      </c>
      <c r="Z443"/>
      <c r="AB443"/>
      <c r="AC443" s="1">
        <v>25781.599999999999</v>
      </c>
      <c r="AD443">
        <v>74</v>
      </c>
      <c r="AE443" s="1">
        <v>1907838.4</v>
      </c>
      <c r="AF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 s="2">
        <v>42746</v>
      </c>
      <c r="AQ443" t="s">
        <v>72</v>
      </c>
      <c r="AR443" t="s">
        <v>72</v>
      </c>
      <c r="AS443">
        <v>189</v>
      </c>
      <c r="AT443" s="4">
        <v>42402</v>
      </c>
      <c r="AU443" t="s">
        <v>73</v>
      </c>
      <c r="AV443">
        <v>189</v>
      </c>
      <c r="AW443" s="4">
        <v>42402</v>
      </c>
      <c r="BD443">
        <v>0</v>
      </c>
      <c r="BN443" t="s">
        <v>74</v>
      </c>
    </row>
    <row r="444" spans="1:66" hidden="1">
      <c r="A444">
        <v>100092</v>
      </c>
      <c r="B444" s="3" t="s">
        <v>115</v>
      </c>
      <c r="C444" s="1">
        <v>43201201</v>
      </c>
      <c r="D444" t="s">
        <v>116</v>
      </c>
      <c r="H444" t="str">
        <f t="shared" si="37"/>
        <v>02600160648</v>
      </c>
      <c r="I444" t="str">
        <f t="shared" si="37"/>
        <v>02600160648</v>
      </c>
      <c r="K444" t="str">
        <f>""</f>
        <v/>
      </c>
      <c r="M444" t="s">
        <v>68</v>
      </c>
      <c r="N444" t="str">
        <f t="shared" si="38"/>
        <v>AZ1</v>
      </c>
      <c r="O444" t="s">
        <v>117</v>
      </c>
      <c r="P444" s="3" t="s">
        <v>75</v>
      </c>
      <c r="Q444">
        <v>2015</v>
      </c>
      <c r="R444" s="2">
        <v>42265</v>
      </c>
      <c r="S444" s="2">
        <v>42268</v>
      </c>
      <c r="T444" s="2">
        <v>42268</v>
      </c>
      <c r="U444" s="2">
        <v>42328</v>
      </c>
      <c r="V444" t="s">
        <v>71</v>
      </c>
      <c r="W444" t="str">
        <f>"          A8/2015/77"</f>
        <v xml:space="preserve">          A8/2015/77</v>
      </c>
      <c r="X444" s="1">
        <v>20313.2</v>
      </c>
      <c r="Y444">
        <v>0</v>
      </c>
      <c r="Z444"/>
      <c r="AB444"/>
      <c r="AC444" s="1">
        <v>20313.2</v>
      </c>
      <c r="AD444">
        <v>74</v>
      </c>
      <c r="AE444" s="1">
        <v>1503176.8</v>
      </c>
      <c r="AF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 s="2">
        <v>42746</v>
      </c>
      <c r="AQ444" t="s">
        <v>72</v>
      </c>
      <c r="AR444" t="s">
        <v>72</v>
      </c>
      <c r="AS444">
        <v>189</v>
      </c>
      <c r="AT444" s="4">
        <v>42402</v>
      </c>
      <c r="AU444" t="s">
        <v>73</v>
      </c>
      <c r="AV444">
        <v>189</v>
      </c>
      <c r="AW444" s="4">
        <v>42402</v>
      </c>
      <c r="BD444">
        <v>0</v>
      </c>
      <c r="BN444" t="s">
        <v>74</v>
      </c>
    </row>
    <row r="445" spans="1:66" hidden="1">
      <c r="A445">
        <v>100092</v>
      </c>
      <c r="B445" s="3" t="s">
        <v>115</v>
      </c>
      <c r="C445" s="1">
        <v>43201201</v>
      </c>
      <c r="D445" t="s">
        <v>116</v>
      </c>
      <c r="H445" t="str">
        <f t="shared" si="37"/>
        <v>02600160648</v>
      </c>
      <c r="I445" t="str">
        <f t="shared" si="37"/>
        <v>02600160648</v>
      </c>
      <c r="K445" t="str">
        <f>""</f>
        <v/>
      </c>
      <c r="M445" t="s">
        <v>68</v>
      </c>
      <c r="N445" t="str">
        <f t="shared" si="38"/>
        <v>AZ1</v>
      </c>
      <c r="O445" t="s">
        <v>117</v>
      </c>
      <c r="P445" s="3" t="s">
        <v>75</v>
      </c>
      <c r="Q445">
        <v>2015</v>
      </c>
      <c r="R445" s="2">
        <v>42335</v>
      </c>
      <c r="S445" s="2">
        <v>42338</v>
      </c>
      <c r="T445" s="2">
        <v>42335</v>
      </c>
      <c r="U445" s="2">
        <v>42395</v>
      </c>
      <c r="V445" t="s">
        <v>71</v>
      </c>
      <c r="W445" t="str">
        <f>"          A8/2015/90"</f>
        <v xml:space="preserve">          A8/2015/90</v>
      </c>
      <c r="X445" s="1">
        <v>36722</v>
      </c>
      <c r="Y445">
        <v>0</v>
      </c>
      <c r="Z445"/>
      <c r="AB445"/>
      <c r="AC445" s="1">
        <v>36722</v>
      </c>
      <c r="AD445">
        <v>36</v>
      </c>
      <c r="AE445" s="1">
        <v>1321992</v>
      </c>
      <c r="AF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 s="2">
        <v>42746</v>
      </c>
      <c r="AQ445" t="s">
        <v>72</v>
      </c>
      <c r="AR445" t="s">
        <v>72</v>
      </c>
      <c r="AS445">
        <v>628</v>
      </c>
      <c r="AT445" s="4">
        <v>42431</v>
      </c>
      <c r="AU445" t="s">
        <v>73</v>
      </c>
      <c r="AV445">
        <v>628</v>
      </c>
      <c r="AW445" s="4">
        <v>42431</v>
      </c>
      <c r="BD445">
        <v>0</v>
      </c>
      <c r="BN445" t="s">
        <v>74</v>
      </c>
    </row>
    <row r="446" spans="1:66" hidden="1">
      <c r="A446">
        <v>100092</v>
      </c>
      <c r="B446" s="3" t="s">
        <v>115</v>
      </c>
      <c r="C446" s="1">
        <v>43201201</v>
      </c>
      <c r="D446" t="s">
        <v>116</v>
      </c>
      <c r="H446" t="str">
        <f t="shared" si="37"/>
        <v>02600160648</v>
      </c>
      <c r="I446" t="str">
        <f t="shared" si="37"/>
        <v>02600160648</v>
      </c>
      <c r="K446" t="str">
        <f>""</f>
        <v/>
      </c>
      <c r="M446" t="s">
        <v>68</v>
      </c>
      <c r="N446" t="str">
        <f t="shared" si="38"/>
        <v>AZ1</v>
      </c>
      <c r="O446" t="s">
        <v>117</v>
      </c>
      <c r="P446" s="3" t="s">
        <v>75</v>
      </c>
      <c r="Q446">
        <v>2015</v>
      </c>
      <c r="R446" s="2">
        <v>42352</v>
      </c>
      <c r="S446" s="2">
        <v>42353</v>
      </c>
      <c r="T446" s="2">
        <v>42352</v>
      </c>
      <c r="U446" s="2">
        <v>42412</v>
      </c>
      <c r="V446" t="s">
        <v>71</v>
      </c>
      <c r="W446" t="str">
        <f>"          A8/2015/98"</f>
        <v xml:space="preserve">          A8/2015/98</v>
      </c>
      <c r="X446" s="1">
        <v>8074.4</v>
      </c>
      <c r="Y446">
        <v>0</v>
      </c>
      <c r="Z446"/>
      <c r="AB446"/>
      <c r="AC446" s="1">
        <v>8074.4</v>
      </c>
      <c r="AD446">
        <v>117</v>
      </c>
      <c r="AE446" s="1">
        <v>944704.8</v>
      </c>
      <c r="AF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 s="2">
        <v>42746</v>
      </c>
      <c r="AQ446" t="s">
        <v>72</v>
      </c>
      <c r="AR446" t="s">
        <v>72</v>
      </c>
      <c r="AS446">
        <v>1577</v>
      </c>
      <c r="AT446" s="4">
        <v>42529</v>
      </c>
      <c r="AU446" t="s">
        <v>73</v>
      </c>
      <c r="AV446">
        <v>1577</v>
      </c>
      <c r="AW446" s="4">
        <v>42529</v>
      </c>
      <c r="BD446">
        <v>0</v>
      </c>
      <c r="BN446" t="s">
        <v>74</v>
      </c>
    </row>
    <row r="447" spans="1:66" hidden="1">
      <c r="A447">
        <v>100092</v>
      </c>
      <c r="B447" s="3" t="s">
        <v>115</v>
      </c>
      <c r="C447" s="1">
        <v>43201201</v>
      </c>
      <c r="D447" t="s">
        <v>116</v>
      </c>
      <c r="H447" t="str">
        <f t="shared" si="37"/>
        <v>02600160648</v>
      </c>
      <c r="I447" t="str">
        <f t="shared" si="37"/>
        <v>02600160648</v>
      </c>
      <c r="K447" t="str">
        <f>""</f>
        <v/>
      </c>
      <c r="M447" t="s">
        <v>68</v>
      </c>
      <c r="N447" t="str">
        <f t="shared" si="38"/>
        <v>AZ1</v>
      </c>
      <c r="O447" t="s">
        <v>117</v>
      </c>
      <c r="P447" s="3" t="s">
        <v>75</v>
      </c>
      <c r="Q447">
        <v>2016</v>
      </c>
      <c r="R447" s="2">
        <v>42408</v>
      </c>
      <c r="S447" s="2">
        <v>42410</v>
      </c>
      <c r="T447" s="2">
        <v>42410</v>
      </c>
      <c r="U447" s="2">
        <v>42470</v>
      </c>
      <c r="V447" t="s">
        <v>71</v>
      </c>
      <c r="W447" t="str">
        <f>"            A/2016/7"</f>
        <v xml:space="preserve">            A/2016/7</v>
      </c>
      <c r="X447" s="1">
        <v>4916</v>
      </c>
      <c r="Y447">
        <v>0</v>
      </c>
      <c r="Z447"/>
      <c r="AB447"/>
      <c r="AC447" s="1">
        <v>4916</v>
      </c>
      <c r="AD447">
        <v>59</v>
      </c>
      <c r="AE447" s="1">
        <v>290044</v>
      </c>
      <c r="AF447">
        <v>0</v>
      </c>
      <c r="AJ447">
        <v>0</v>
      </c>
      <c r="AK447">
        <v>0</v>
      </c>
      <c r="AL447">
        <v>0</v>
      </c>
      <c r="AM447" s="1">
        <v>4916</v>
      </c>
      <c r="AN447" s="1">
        <v>4916</v>
      </c>
      <c r="AO447" s="1">
        <v>4916</v>
      </c>
      <c r="AP447" s="2">
        <v>42746</v>
      </c>
      <c r="AQ447" t="s">
        <v>72</v>
      </c>
      <c r="AR447" t="s">
        <v>72</v>
      </c>
      <c r="AS447">
        <v>1577</v>
      </c>
      <c r="AT447" s="4">
        <v>42529</v>
      </c>
      <c r="AU447" t="s">
        <v>73</v>
      </c>
      <c r="AV447">
        <v>1577</v>
      </c>
      <c r="AW447" s="4">
        <v>42529</v>
      </c>
      <c r="BD447">
        <v>0</v>
      </c>
      <c r="BN447" t="s">
        <v>74</v>
      </c>
    </row>
    <row r="448" spans="1:66" hidden="1">
      <c r="A448">
        <v>100099</v>
      </c>
      <c r="B448" s="3" t="s">
        <v>118</v>
      </c>
      <c r="C448" s="1">
        <v>43300101</v>
      </c>
      <c r="D448" t="s">
        <v>67</v>
      </c>
      <c r="H448" t="str">
        <f t="shared" ref="H448:I453" si="39">"06713240635"</f>
        <v>06713240635</v>
      </c>
      <c r="I448" t="str">
        <f t="shared" si="39"/>
        <v>06713240635</v>
      </c>
      <c r="K448" t="str">
        <f>""</f>
        <v/>
      </c>
      <c r="M448" t="s">
        <v>68</v>
      </c>
      <c r="N448" t="str">
        <f t="shared" ref="N448:N453" si="40">"FOR"</f>
        <v>FOR</v>
      </c>
      <c r="O448" t="s">
        <v>69</v>
      </c>
      <c r="P448" s="3" t="s">
        <v>70</v>
      </c>
      <c r="Q448">
        <v>2015</v>
      </c>
      <c r="R448" s="2">
        <v>42090</v>
      </c>
      <c r="S448" s="2">
        <v>42095</v>
      </c>
      <c r="T448" s="2">
        <v>42095</v>
      </c>
      <c r="U448" s="2">
        <v>42155</v>
      </c>
      <c r="V448" t="s">
        <v>71</v>
      </c>
      <c r="W448" t="str">
        <f>"                 360"</f>
        <v xml:space="preserve">                 360</v>
      </c>
      <c r="X448">
        <v>756.42</v>
      </c>
      <c r="Y448">
        <v>0</v>
      </c>
      <c r="Z448"/>
      <c r="AB448"/>
      <c r="AC448">
        <v>620.02</v>
      </c>
      <c r="AD448">
        <v>249</v>
      </c>
      <c r="AE448" s="1">
        <v>154384.98000000001</v>
      </c>
      <c r="AF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 s="2">
        <v>42746</v>
      </c>
      <c r="AQ448" t="s">
        <v>72</v>
      </c>
      <c r="AR448" t="s">
        <v>72</v>
      </c>
      <c r="AS448">
        <v>265</v>
      </c>
      <c r="AT448" s="4">
        <v>42404</v>
      </c>
      <c r="AU448" t="s">
        <v>73</v>
      </c>
      <c r="AV448">
        <v>265</v>
      </c>
      <c r="AW448" s="4">
        <v>42404</v>
      </c>
      <c r="BD448">
        <v>0</v>
      </c>
      <c r="BN448" t="s">
        <v>74</v>
      </c>
    </row>
    <row r="449" spans="1:66" hidden="1">
      <c r="A449">
        <v>100099</v>
      </c>
      <c r="B449" s="3" t="s">
        <v>118</v>
      </c>
      <c r="C449" s="1">
        <v>43300101</v>
      </c>
      <c r="D449" t="s">
        <v>67</v>
      </c>
      <c r="H449" t="str">
        <f t="shared" si="39"/>
        <v>06713240635</v>
      </c>
      <c r="I449" t="str">
        <f t="shared" si="39"/>
        <v>06713240635</v>
      </c>
      <c r="K449" t="str">
        <f>""</f>
        <v/>
      </c>
      <c r="M449" t="s">
        <v>68</v>
      </c>
      <c r="N449" t="str">
        <f t="shared" si="40"/>
        <v>FOR</v>
      </c>
      <c r="O449" t="s">
        <v>69</v>
      </c>
      <c r="P449" s="3" t="s">
        <v>70</v>
      </c>
      <c r="Q449">
        <v>2015</v>
      </c>
      <c r="R449" s="2">
        <v>42093</v>
      </c>
      <c r="S449" s="2">
        <v>42102</v>
      </c>
      <c r="T449" s="2">
        <v>42102</v>
      </c>
      <c r="U449" s="2">
        <v>42162</v>
      </c>
      <c r="V449" t="s">
        <v>71</v>
      </c>
      <c r="W449" t="str">
        <f>"                 380"</f>
        <v xml:space="preserve">                 380</v>
      </c>
      <c r="X449">
        <v>549</v>
      </c>
      <c r="Y449">
        <v>0</v>
      </c>
      <c r="Z449"/>
      <c r="AB449"/>
      <c r="AC449">
        <v>450</v>
      </c>
      <c r="AD449">
        <v>242</v>
      </c>
      <c r="AE449" s="1">
        <v>108900</v>
      </c>
      <c r="AF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 s="2">
        <v>42746</v>
      </c>
      <c r="AQ449" t="s">
        <v>72</v>
      </c>
      <c r="AR449" t="s">
        <v>72</v>
      </c>
      <c r="AS449">
        <v>265</v>
      </c>
      <c r="AT449" s="4">
        <v>42404</v>
      </c>
      <c r="AU449" t="s">
        <v>73</v>
      </c>
      <c r="AV449">
        <v>265</v>
      </c>
      <c r="AW449" s="4">
        <v>42404</v>
      </c>
      <c r="BD449">
        <v>0</v>
      </c>
      <c r="BN449" t="s">
        <v>74</v>
      </c>
    </row>
    <row r="450" spans="1:66" hidden="1">
      <c r="A450">
        <v>100099</v>
      </c>
      <c r="B450" s="3" t="s">
        <v>118</v>
      </c>
      <c r="C450" s="1">
        <v>43300101</v>
      </c>
      <c r="D450" t="s">
        <v>67</v>
      </c>
      <c r="H450" t="str">
        <f t="shared" si="39"/>
        <v>06713240635</v>
      </c>
      <c r="I450" t="str">
        <f t="shared" si="39"/>
        <v>06713240635</v>
      </c>
      <c r="K450" t="str">
        <f>""</f>
        <v/>
      </c>
      <c r="M450" t="s">
        <v>68</v>
      </c>
      <c r="N450" t="str">
        <f t="shared" si="40"/>
        <v>FOR</v>
      </c>
      <c r="O450" t="s">
        <v>69</v>
      </c>
      <c r="P450" s="3" t="s">
        <v>75</v>
      </c>
      <c r="Q450">
        <v>2015</v>
      </c>
      <c r="R450" s="2">
        <v>42276</v>
      </c>
      <c r="S450" s="2">
        <v>42291</v>
      </c>
      <c r="T450" s="2">
        <v>42291</v>
      </c>
      <c r="U450" s="2">
        <v>42351</v>
      </c>
      <c r="V450" t="s">
        <v>71</v>
      </c>
      <c r="W450" t="str">
        <f>"              32/PAE"</f>
        <v xml:space="preserve">              32/PAE</v>
      </c>
      <c r="X450">
        <v>122</v>
      </c>
      <c r="Y450">
        <v>0</v>
      </c>
      <c r="Z450"/>
      <c r="AB450"/>
      <c r="AC450">
        <v>100</v>
      </c>
      <c r="AD450">
        <v>225</v>
      </c>
      <c r="AE450" s="1">
        <v>22500</v>
      </c>
      <c r="AF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 s="2">
        <v>42746</v>
      </c>
      <c r="AQ450" t="s">
        <v>72</v>
      </c>
      <c r="AR450" t="s">
        <v>72</v>
      </c>
      <c r="AS450">
        <v>1889</v>
      </c>
      <c r="AT450" s="4">
        <v>42576</v>
      </c>
      <c r="AU450" t="s">
        <v>73</v>
      </c>
      <c r="AV450">
        <v>1889</v>
      </c>
      <c r="AW450" s="4">
        <v>42576</v>
      </c>
      <c r="BD450">
        <v>0</v>
      </c>
      <c r="BN450" t="s">
        <v>74</v>
      </c>
    </row>
    <row r="451" spans="1:66" hidden="1">
      <c r="A451">
        <v>100099</v>
      </c>
      <c r="B451" s="3" t="s">
        <v>118</v>
      </c>
      <c r="C451" s="1">
        <v>43300101</v>
      </c>
      <c r="D451" t="s">
        <v>67</v>
      </c>
      <c r="H451" t="str">
        <f t="shared" si="39"/>
        <v>06713240635</v>
      </c>
      <c r="I451" t="str">
        <f t="shared" si="39"/>
        <v>06713240635</v>
      </c>
      <c r="K451" t="str">
        <f>""</f>
        <v/>
      </c>
      <c r="M451" t="s">
        <v>68</v>
      </c>
      <c r="N451" t="str">
        <f t="shared" si="40"/>
        <v>FOR</v>
      </c>
      <c r="O451" t="s">
        <v>69</v>
      </c>
      <c r="P451" s="3" t="s">
        <v>75</v>
      </c>
      <c r="Q451">
        <v>2015</v>
      </c>
      <c r="R451" s="2">
        <v>42286</v>
      </c>
      <c r="S451" s="2">
        <v>42291</v>
      </c>
      <c r="T451" s="2">
        <v>42291</v>
      </c>
      <c r="U451" s="2">
        <v>42351</v>
      </c>
      <c r="V451" t="s">
        <v>71</v>
      </c>
      <c r="W451" t="str">
        <f>"              37/PAE"</f>
        <v xml:space="preserve">              37/PAE</v>
      </c>
      <c r="X451">
        <v>329.4</v>
      </c>
      <c r="Y451">
        <v>0</v>
      </c>
      <c r="Z451"/>
      <c r="AB451"/>
      <c r="AC451">
        <v>270</v>
      </c>
      <c r="AD451">
        <v>225</v>
      </c>
      <c r="AE451" s="1">
        <v>60750</v>
      </c>
      <c r="AF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 s="2">
        <v>42746</v>
      </c>
      <c r="AQ451" t="s">
        <v>72</v>
      </c>
      <c r="AR451" t="s">
        <v>72</v>
      </c>
      <c r="AS451">
        <v>1889</v>
      </c>
      <c r="AT451" s="4">
        <v>42576</v>
      </c>
      <c r="AU451" t="s">
        <v>73</v>
      </c>
      <c r="AV451">
        <v>1889</v>
      </c>
      <c r="AW451" s="4">
        <v>42576</v>
      </c>
      <c r="BD451">
        <v>0</v>
      </c>
      <c r="BN451" t="s">
        <v>74</v>
      </c>
    </row>
    <row r="452" spans="1:66">
      <c r="A452">
        <v>100099</v>
      </c>
      <c r="B452" s="3" t="s">
        <v>118</v>
      </c>
      <c r="C452" s="1">
        <v>43300101</v>
      </c>
      <c r="D452" t="s">
        <v>67</v>
      </c>
      <c r="H452" t="str">
        <f t="shared" si="39"/>
        <v>06713240635</v>
      </c>
      <c r="I452" t="str">
        <f t="shared" si="39"/>
        <v>06713240635</v>
      </c>
      <c r="K452" t="str">
        <f>""</f>
        <v/>
      </c>
      <c r="M452" t="s">
        <v>68</v>
      </c>
      <c r="N452" t="str">
        <f t="shared" si="40"/>
        <v>FOR</v>
      </c>
      <c r="O452" t="s">
        <v>69</v>
      </c>
      <c r="P452" s="3" t="s">
        <v>119</v>
      </c>
      <c r="Q452">
        <v>2016</v>
      </c>
      <c r="R452" s="2">
        <v>42702</v>
      </c>
      <c r="S452" s="2">
        <v>42702</v>
      </c>
      <c r="T452" s="2">
        <v>42702</v>
      </c>
      <c r="U452" s="2">
        <v>42762</v>
      </c>
      <c r="V452" t="s">
        <v>71</v>
      </c>
      <c r="W452" t="str">
        <f>"                 278"</f>
        <v xml:space="preserve">                 278</v>
      </c>
      <c r="X452">
        <v>0</v>
      </c>
      <c r="Y452">
        <v>2</v>
      </c>
      <c r="Z452" s="3">
        <v>2</v>
      </c>
      <c r="AA452">
        <v>-53</v>
      </c>
      <c r="AB452" s="3">
        <v>-106</v>
      </c>
      <c r="AC452">
        <v>2</v>
      </c>
      <c r="AD452">
        <v>-53</v>
      </c>
      <c r="AE452">
        <v>-106</v>
      </c>
      <c r="AF452">
        <v>0</v>
      </c>
      <c r="AJ452">
        <v>2</v>
      </c>
      <c r="AK452">
        <v>2</v>
      </c>
      <c r="AL452">
        <v>2</v>
      </c>
      <c r="AM452">
        <v>2</v>
      </c>
      <c r="AN452">
        <v>2</v>
      </c>
      <c r="AO452">
        <v>2</v>
      </c>
      <c r="AP452" s="2">
        <v>42746</v>
      </c>
      <c r="AQ452" t="s">
        <v>72</v>
      </c>
      <c r="AR452" t="s">
        <v>72</v>
      </c>
      <c r="AS452">
        <v>3324</v>
      </c>
      <c r="AT452" s="4">
        <v>42709</v>
      </c>
      <c r="AV452">
        <v>3324</v>
      </c>
      <c r="AW452" s="4">
        <v>42709</v>
      </c>
      <c r="BD452">
        <v>0</v>
      </c>
      <c r="BN452" t="s">
        <v>74</v>
      </c>
    </row>
    <row r="453" spans="1:66">
      <c r="A453">
        <v>100099</v>
      </c>
      <c r="B453" s="3" t="s">
        <v>118</v>
      </c>
      <c r="C453" s="1">
        <v>43300101</v>
      </c>
      <c r="D453" t="s">
        <v>67</v>
      </c>
      <c r="H453" t="str">
        <f t="shared" si="39"/>
        <v>06713240635</v>
      </c>
      <c r="I453" t="str">
        <f t="shared" si="39"/>
        <v>06713240635</v>
      </c>
      <c r="K453" t="str">
        <f>""</f>
        <v/>
      </c>
      <c r="M453" t="s">
        <v>68</v>
      </c>
      <c r="N453" t="str">
        <f t="shared" si="40"/>
        <v>FOR</v>
      </c>
      <c r="O453" t="s">
        <v>69</v>
      </c>
      <c r="P453" s="3" t="s">
        <v>75</v>
      </c>
      <c r="Q453">
        <v>2016</v>
      </c>
      <c r="R453" s="2">
        <v>42692</v>
      </c>
      <c r="S453" s="2">
        <v>42695</v>
      </c>
      <c r="T453" s="2">
        <v>42692</v>
      </c>
      <c r="U453" s="2">
        <v>42752</v>
      </c>
      <c r="V453" t="s">
        <v>71</v>
      </c>
      <c r="W453" t="str">
        <f>"              73/PAE"</f>
        <v xml:space="preserve">              73/PAE</v>
      </c>
      <c r="X453">
        <v>21.43</v>
      </c>
      <c r="Y453">
        <v>0</v>
      </c>
      <c r="Z453" s="3">
        <v>21.43</v>
      </c>
      <c r="AA453">
        <v>-43</v>
      </c>
      <c r="AB453" s="3">
        <v>-921.49</v>
      </c>
      <c r="AC453">
        <v>21.43</v>
      </c>
      <c r="AD453">
        <v>-43</v>
      </c>
      <c r="AE453">
        <v>-921.49</v>
      </c>
      <c r="AF453">
        <v>0</v>
      </c>
      <c r="AJ453">
        <v>21.43</v>
      </c>
      <c r="AK453">
        <v>21.43</v>
      </c>
      <c r="AL453">
        <v>21.43</v>
      </c>
      <c r="AM453">
        <v>21.43</v>
      </c>
      <c r="AN453">
        <v>21.43</v>
      </c>
      <c r="AO453">
        <v>21.43</v>
      </c>
      <c r="AP453" s="2">
        <v>42746</v>
      </c>
      <c r="AQ453" t="s">
        <v>72</v>
      </c>
      <c r="AR453" t="s">
        <v>72</v>
      </c>
      <c r="AS453">
        <v>3324</v>
      </c>
      <c r="AT453" s="4">
        <v>42709</v>
      </c>
      <c r="AV453">
        <v>3324</v>
      </c>
      <c r="AW453" s="4">
        <v>42709</v>
      </c>
      <c r="BD453">
        <v>0</v>
      </c>
      <c r="BN453" t="s">
        <v>74</v>
      </c>
    </row>
    <row r="454" spans="1:66" hidden="1">
      <c r="A454">
        <v>100107</v>
      </c>
      <c r="B454" s="3" t="s">
        <v>120</v>
      </c>
      <c r="C454" s="1">
        <v>43500101</v>
      </c>
      <c r="D454" t="s">
        <v>113</v>
      </c>
      <c r="H454" t="str">
        <f>""</f>
        <v/>
      </c>
      <c r="I454" t="str">
        <f>"00876220633"</f>
        <v>00876220633</v>
      </c>
      <c r="K454" t="str">
        <f>""</f>
        <v/>
      </c>
      <c r="M454" t="s">
        <v>68</v>
      </c>
      <c r="N454" t="str">
        <f>"ALTEP"</f>
        <v>ALTEP</v>
      </c>
      <c r="O454" t="s">
        <v>121</v>
      </c>
      <c r="P454" s="3" t="s">
        <v>78</v>
      </c>
      <c r="Q454">
        <v>2012</v>
      </c>
      <c r="R454" s="2">
        <v>41166</v>
      </c>
      <c r="S454" s="2">
        <v>41184</v>
      </c>
      <c r="T454" s="2">
        <v>41184</v>
      </c>
      <c r="U454" s="2">
        <v>41184</v>
      </c>
      <c r="V454" t="s">
        <v>71</v>
      </c>
      <c r="W454" t="str">
        <f>"                 428"</f>
        <v xml:space="preserve">                 428</v>
      </c>
      <c r="X454" s="1">
        <v>23019.48</v>
      </c>
      <c r="Y454">
        <v>0</v>
      </c>
      <c r="Z454"/>
      <c r="AB454"/>
      <c r="AC454" s="1">
        <v>23019.48</v>
      </c>
      <c r="AD454">
        <v>1280</v>
      </c>
      <c r="AE454" s="1">
        <v>29464934.399999999</v>
      </c>
      <c r="AF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 s="2">
        <v>42746</v>
      </c>
      <c r="AQ454" t="s">
        <v>72</v>
      </c>
      <c r="AR454" t="s">
        <v>72</v>
      </c>
      <c r="AS454">
        <v>990</v>
      </c>
      <c r="AT454" s="4">
        <v>42464</v>
      </c>
      <c r="AU454" t="s">
        <v>73</v>
      </c>
      <c r="AV454">
        <v>990</v>
      </c>
      <c r="AW454" s="4">
        <v>42464</v>
      </c>
      <c r="BD454">
        <v>0</v>
      </c>
      <c r="BN454" t="s">
        <v>74</v>
      </c>
    </row>
    <row r="455" spans="1:66" hidden="1">
      <c r="A455">
        <v>100114</v>
      </c>
      <c r="B455" s="3" t="s">
        <v>122</v>
      </c>
      <c r="C455" s="1">
        <v>43500101</v>
      </c>
      <c r="D455" t="s">
        <v>113</v>
      </c>
      <c r="H455" t="str">
        <f t="shared" ref="H455:H466" si="41">"00423310630"</f>
        <v>00423310630</v>
      </c>
      <c r="I455" t="str">
        <f t="shared" ref="I455:I466" si="42">"01241921210"</f>
        <v>01241921210</v>
      </c>
      <c r="K455" t="str">
        <f>""</f>
        <v/>
      </c>
      <c r="M455" t="s">
        <v>68</v>
      </c>
      <c r="N455" t="str">
        <f t="shared" ref="N455:N466" si="43">"ALTFIN"</f>
        <v>ALTFIN</v>
      </c>
      <c r="O455" t="s">
        <v>123</v>
      </c>
      <c r="P455" s="3" t="s">
        <v>84</v>
      </c>
      <c r="Q455">
        <v>2016</v>
      </c>
      <c r="R455" s="2">
        <v>42389</v>
      </c>
      <c r="S455" s="2">
        <v>42390</v>
      </c>
      <c r="T455" s="2">
        <v>42390</v>
      </c>
      <c r="U455" s="2">
        <v>42450</v>
      </c>
      <c r="V455" t="s">
        <v>71</v>
      </c>
      <c r="W455" t="str">
        <f>"                0120"</f>
        <v xml:space="preserve">                0120</v>
      </c>
      <c r="X455">
        <v>0</v>
      </c>
      <c r="Y455" s="1">
        <v>1622.33</v>
      </c>
      <c r="Z455"/>
      <c r="AB455"/>
      <c r="AC455" s="1">
        <v>1622.33</v>
      </c>
      <c r="AD455">
        <v>-60</v>
      </c>
      <c r="AE455" s="1">
        <v>-97339.8</v>
      </c>
      <c r="AF455">
        <v>0</v>
      </c>
      <c r="AJ455">
        <v>0</v>
      </c>
      <c r="AK455">
        <v>0</v>
      </c>
      <c r="AL455">
        <v>0</v>
      </c>
      <c r="AM455" s="1">
        <v>1622.33</v>
      </c>
      <c r="AN455" s="1">
        <v>1622.33</v>
      </c>
      <c r="AO455" s="1">
        <v>1622.33</v>
      </c>
      <c r="AP455" s="2">
        <v>42746</v>
      </c>
      <c r="AQ455" t="s">
        <v>72</v>
      </c>
      <c r="AR455" t="s">
        <v>72</v>
      </c>
      <c r="AS455">
        <v>28</v>
      </c>
      <c r="AT455" s="4">
        <v>42390</v>
      </c>
      <c r="AV455">
        <v>28</v>
      </c>
      <c r="AW455" s="4">
        <v>42390</v>
      </c>
      <c r="BD455">
        <v>0</v>
      </c>
      <c r="BN455" t="s">
        <v>74</v>
      </c>
    </row>
    <row r="456" spans="1:66" hidden="1">
      <c r="A456">
        <v>100114</v>
      </c>
      <c r="B456" s="3" t="s">
        <v>122</v>
      </c>
      <c r="C456" s="1">
        <v>43500101</v>
      </c>
      <c r="D456" t="s">
        <v>113</v>
      </c>
      <c r="H456" t="str">
        <f t="shared" si="41"/>
        <v>00423310630</v>
      </c>
      <c r="I456" t="str">
        <f t="shared" si="42"/>
        <v>01241921210</v>
      </c>
      <c r="K456" t="str">
        <f>""</f>
        <v/>
      </c>
      <c r="M456" t="s">
        <v>68</v>
      </c>
      <c r="N456" t="str">
        <f t="shared" si="43"/>
        <v>ALTFIN</v>
      </c>
      <c r="O456" t="s">
        <v>123</v>
      </c>
      <c r="P456" s="3" t="s">
        <v>85</v>
      </c>
      <c r="Q456">
        <v>2016</v>
      </c>
      <c r="R456" s="2">
        <v>42422</v>
      </c>
      <c r="S456" s="2">
        <v>42422</v>
      </c>
      <c r="T456" s="2">
        <v>42422</v>
      </c>
      <c r="U456" s="2">
        <v>42482</v>
      </c>
      <c r="V456" t="s">
        <v>71</v>
      </c>
      <c r="W456" t="str">
        <f>"                0222"</f>
        <v xml:space="preserve">                0222</v>
      </c>
      <c r="X456">
        <v>0</v>
      </c>
      <c r="Y456" s="1">
        <v>1622.33</v>
      </c>
      <c r="Z456"/>
      <c r="AB456"/>
      <c r="AC456" s="1">
        <v>1622.33</v>
      </c>
      <c r="AD456">
        <v>-58</v>
      </c>
      <c r="AE456" s="1">
        <v>-94095.14</v>
      </c>
      <c r="AF456">
        <v>0</v>
      </c>
      <c r="AJ456">
        <v>0</v>
      </c>
      <c r="AK456">
        <v>0</v>
      </c>
      <c r="AL456">
        <v>0</v>
      </c>
      <c r="AM456" s="1">
        <v>1622.33</v>
      </c>
      <c r="AN456" s="1">
        <v>1622.33</v>
      </c>
      <c r="AO456" s="1">
        <v>1622.33</v>
      </c>
      <c r="AP456" s="2">
        <v>42746</v>
      </c>
      <c r="AQ456" t="s">
        <v>72</v>
      </c>
      <c r="AR456" t="s">
        <v>72</v>
      </c>
      <c r="AS456">
        <v>473</v>
      </c>
      <c r="AT456" s="4">
        <v>42424</v>
      </c>
      <c r="AV456">
        <v>473</v>
      </c>
      <c r="AW456" s="4">
        <v>42424</v>
      </c>
      <c r="BD456">
        <v>0</v>
      </c>
      <c r="BN456" t="s">
        <v>74</v>
      </c>
    </row>
    <row r="457" spans="1:66" hidden="1">
      <c r="A457">
        <v>100114</v>
      </c>
      <c r="B457" s="3" t="s">
        <v>122</v>
      </c>
      <c r="C457" s="1">
        <v>43500101</v>
      </c>
      <c r="D457" t="s">
        <v>113</v>
      </c>
      <c r="H457" t="str">
        <f t="shared" si="41"/>
        <v>00423310630</v>
      </c>
      <c r="I457" t="str">
        <f t="shared" si="42"/>
        <v>01241921210</v>
      </c>
      <c r="K457" t="str">
        <f>""</f>
        <v/>
      </c>
      <c r="M457" t="s">
        <v>68</v>
      </c>
      <c r="N457" t="str">
        <f t="shared" si="43"/>
        <v>ALTFIN</v>
      </c>
      <c r="O457" t="s">
        <v>123</v>
      </c>
      <c r="P457" s="3" t="s">
        <v>86</v>
      </c>
      <c r="Q457">
        <v>2016</v>
      </c>
      <c r="R457" s="2">
        <v>42450</v>
      </c>
      <c r="S457" s="2">
        <v>42450</v>
      </c>
      <c r="T457" s="2">
        <v>42450</v>
      </c>
      <c r="U457" s="2">
        <v>42510</v>
      </c>
      <c r="V457" t="s">
        <v>71</v>
      </c>
      <c r="W457" t="str">
        <f>"                0321"</f>
        <v xml:space="preserve">                0321</v>
      </c>
      <c r="X457">
        <v>0</v>
      </c>
      <c r="Y457" s="1">
        <v>1622.33</v>
      </c>
      <c r="Z457"/>
      <c r="AB457"/>
      <c r="AC457" s="1">
        <v>1622.33</v>
      </c>
      <c r="AD457">
        <v>-57</v>
      </c>
      <c r="AE457" s="1">
        <v>-92472.81</v>
      </c>
      <c r="AF457">
        <v>0</v>
      </c>
      <c r="AJ457">
        <v>0</v>
      </c>
      <c r="AK457">
        <v>0</v>
      </c>
      <c r="AL457">
        <v>0</v>
      </c>
      <c r="AM457" s="1">
        <v>1622.33</v>
      </c>
      <c r="AN457" s="1">
        <v>1622.33</v>
      </c>
      <c r="AO457" s="1">
        <v>1622.33</v>
      </c>
      <c r="AP457" s="2">
        <v>42746</v>
      </c>
      <c r="AQ457" t="s">
        <v>72</v>
      </c>
      <c r="AR457" t="s">
        <v>72</v>
      </c>
      <c r="AS457">
        <v>895</v>
      </c>
      <c r="AT457" s="4">
        <v>42453</v>
      </c>
      <c r="AV457">
        <v>895</v>
      </c>
      <c r="AW457" s="4">
        <v>42453</v>
      </c>
      <c r="BD457">
        <v>0</v>
      </c>
      <c r="BN457" t="s">
        <v>74</v>
      </c>
    </row>
    <row r="458" spans="1:66" hidden="1">
      <c r="A458">
        <v>100114</v>
      </c>
      <c r="B458" s="3" t="s">
        <v>122</v>
      </c>
      <c r="C458" s="1">
        <v>43500101</v>
      </c>
      <c r="D458" t="s">
        <v>113</v>
      </c>
      <c r="H458" t="str">
        <f t="shared" si="41"/>
        <v>00423310630</v>
      </c>
      <c r="I458" t="str">
        <f t="shared" si="42"/>
        <v>01241921210</v>
      </c>
      <c r="K458" t="str">
        <f>""</f>
        <v/>
      </c>
      <c r="M458" t="s">
        <v>68</v>
      </c>
      <c r="N458" t="str">
        <f t="shared" si="43"/>
        <v>ALTFIN</v>
      </c>
      <c r="O458" t="s">
        <v>123</v>
      </c>
      <c r="P458" s="3" t="s">
        <v>87</v>
      </c>
      <c r="Q458">
        <v>2016</v>
      </c>
      <c r="R458" s="2">
        <v>42481</v>
      </c>
      <c r="S458" s="2">
        <v>42481</v>
      </c>
      <c r="T458" s="2">
        <v>42481</v>
      </c>
      <c r="U458" s="2">
        <v>42541</v>
      </c>
      <c r="V458" t="s">
        <v>71</v>
      </c>
      <c r="W458" t="str">
        <f>"                0421"</f>
        <v xml:space="preserve">                0421</v>
      </c>
      <c r="X458">
        <v>0</v>
      </c>
      <c r="Y458" s="1">
        <v>1622.33</v>
      </c>
      <c r="Z458"/>
      <c r="AB458"/>
      <c r="AC458" s="1">
        <v>1622.33</v>
      </c>
      <c r="AD458">
        <v>-60</v>
      </c>
      <c r="AE458" s="1">
        <v>-97339.8</v>
      </c>
      <c r="AF458">
        <v>0</v>
      </c>
      <c r="AJ458">
        <v>0</v>
      </c>
      <c r="AK458">
        <v>0</v>
      </c>
      <c r="AL458">
        <v>0</v>
      </c>
      <c r="AM458" s="1">
        <v>1622.33</v>
      </c>
      <c r="AN458" s="1">
        <v>1622.33</v>
      </c>
      <c r="AO458" s="1">
        <v>1622.33</v>
      </c>
      <c r="AP458" s="2">
        <v>42746</v>
      </c>
      <c r="AQ458" t="s">
        <v>72</v>
      </c>
      <c r="AR458" t="s">
        <v>72</v>
      </c>
      <c r="AS458">
        <v>1061</v>
      </c>
      <c r="AT458" s="4">
        <v>42481</v>
      </c>
      <c r="AV458">
        <v>1061</v>
      </c>
      <c r="AW458" s="4">
        <v>42481</v>
      </c>
      <c r="BD458">
        <v>0</v>
      </c>
      <c r="BN458" t="s">
        <v>74</v>
      </c>
    </row>
    <row r="459" spans="1:66" hidden="1">
      <c r="A459">
        <v>100114</v>
      </c>
      <c r="B459" s="3" t="s">
        <v>122</v>
      </c>
      <c r="C459" s="1">
        <v>43500101</v>
      </c>
      <c r="D459" t="s">
        <v>113</v>
      </c>
      <c r="H459" t="str">
        <f t="shared" si="41"/>
        <v>00423310630</v>
      </c>
      <c r="I459" t="str">
        <f t="shared" si="42"/>
        <v>01241921210</v>
      </c>
      <c r="K459" t="str">
        <f>""</f>
        <v/>
      </c>
      <c r="M459" t="s">
        <v>68</v>
      </c>
      <c r="N459" t="str">
        <f t="shared" si="43"/>
        <v>ALTFIN</v>
      </c>
      <c r="O459" t="s">
        <v>123</v>
      </c>
      <c r="P459" s="3" t="s">
        <v>88</v>
      </c>
      <c r="Q459">
        <v>2016</v>
      </c>
      <c r="R459" s="2">
        <v>42508</v>
      </c>
      <c r="S459" s="2">
        <v>42510</v>
      </c>
      <c r="T459" s="2">
        <v>42510</v>
      </c>
      <c r="U459" s="2">
        <v>42570</v>
      </c>
      <c r="V459" t="s">
        <v>71</v>
      </c>
      <c r="W459" t="str">
        <f>"                0518"</f>
        <v xml:space="preserve">                0518</v>
      </c>
      <c r="X459">
        <v>0</v>
      </c>
      <c r="Y459" s="1">
        <v>1622.33</v>
      </c>
      <c r="Z459"/>
      <c r="AB459"/>
      <c r="AC459" s="1">
        <v>1622.33</v>
      </c>
      <c r="AD459">
        <v>-57</v>
      </c>
      <c r="AE459" s="1">
        <v>-92472.81</v>
      </c>
      <c r="AF459">
        <v>0</v>
      </c>
      <c r="AJ459">
        <v>0</v>
      </c>
      <c r="AK459">
        <v>0</v>
      </c>
      <c r="AL459">
        <v>0</v>
      </c>
      <c r="AM459" s="1">
        <v>1622.33</v>
      </c>
      <c r="AN459" s="1">
        <v>1622.33</v>
      </c>
      <c r="AO459" s="1">
        <v>1622.33</v>
      </c>
      <c r="AP459" s="2">
        <v>42746</v>
      </c>
      <c r="AQ459" t="s">
        <v>72</v>
      </c>
      <c r="AR459" t="s">
        <v>72</v>
      </c>
      <c r="AS459">
        <v>1300</v>
      </c>
      <c r="AT459" s="4">
        <v>42513</v>
      </c>
      <c r="AV459">
        <v>1300</v>
      </c>
      <c r="AW459" s="4">
        <v>42513</v>
      </c>
      <c r="BD459">
        <v>0</v>
      </c>
      <c r="BN459" t="s">
        <v>74</v>
      </c>
    </row>
    <row r="460" spans="1:66" hidden="1">
      <c r="A460">
        <v>100114</v>
      </c>
      <c r="B460" s="3" t="s">
        <v>122</v>
      </c>
      <c r="C460" s="1">
        <v>43500101</v>
      </c>
      <c r="D460" t="s">
        <v>113</v>
      </c>
      <c r="H460" t="str">
        <f t="shared" si="41"/>
        <v>00423310630</v>
      </c>
      <c r="I460" t="str">
        <f t="shared" si="42"/>
        <v>01241921210</v>
      </c>
      <c r="K460" t="str">
        <f>""</f>
        <v/>
      </c>
      <c r="M460" t="s">
        <v>68</v>
      </c>
      <c r="N460" t="str">
        <f t="shared" si="43"/>
        <v>ALTFIN</v>
      </c>
      <c r="O460" t="s">
        <v>123</v>
      </c>
      <c r="P460" s="3" t="s">
        <v>89</v>
      </c>
      <c r="Q460">
        <v>2016</v>
      </c>
      <c r="R460" s="2">
        <v>42548</v>
      </c>
      <c r="S460" s="2">
        <v>42543</v>
      </c>
      <c r="T460" s="2">
        <v>42543</v>
      </c>
      <c r="U460" s="2">
        <v>42603</v>
      </c>
      <c r="V460" t="s">
        <v>71</v>
      </c>
      <c r="W460" t="str">
        <f>"                0627"</f>
        <v xml:space="preserve">                0627</v>
      </c>
      <c r="X460">
        <v>0</v>
      </c>
      <c r="Y460" s="1">
        <v>1622.33</v>
      </c>
      <c r="Z460"/>
      <c r="AB460"/>
      <c r="AC460" s="1">
        <v>1622.33</v>
      </c>
      <c r="AD460">
        <v>-47</v>
      </c>
      <c r="AE460" s="1">
        <v>-76249.509999999995</v>
      </c>
      <c r="AF460">
        <v>0</v>
      </c>
      <c r="AJ460">
        <v>0</v>
      </c>
      <c r="AK460">
        <v>0</v>
      </c>
      <c r="AL460">
        <v>0</v>
      </c>
      <c r="AM460" s="1">
        <v>1622.33</v>
      </c>
      <c r="AN460" s="1">
        <v>1622.33</v>
      </c>
      <c r="AO460" s="1">
        <v>1622.33</v>
      </c>
      <c r="AP460" s="2">
        <v>42746</v>
      </c>
      <c r="AQ460" t="s">
        <v>72</v>
      </c>
      <c r="AR460" t="s">
        <v>72</v>
      </c>
      <c r="AS460">
        <v>1683</v>
      </c>
      <c r="AT460" s="4">
        <v>42556</v>
      </c>
      <c r="AV460">
        <v>1683</v>
      </c>
      <c r="AW460" s="4">
        <v>42556</v>
      </c>
      <c r="BD460">
        <v>0</v>
      </c>
      <c r="BN460" t="s">
        <v>74</v>
      </c>
    </row>
    <row r="461" spans="1:66" hidden="1">
      <c r="A461">
        <v>100114</v>
      </c>
      <c r="B461" s="3" t="s">
        <v>122</v>
      </c>
      <c r="C461" s="1">
        <v>43500101</v>
      </c>
      <c r="D461" t="s">
        <v>113</v>
      </c>
      <c r="H461" t="str">
        <f t="shared" si="41"/>
        <v>00423310630</v>
      </c>
      <c r="I461" t="str">
        <f t="shared" si="42"/>
        <v>01241921210</v>
      </c>
      <c r="K461" t="str">
        <f>""</f>
        <v/>
      </c>
      <c r="M461" t="s">
        <v>68</v>
      </c>
      <c r="N461" t="str">
        <f t="shared" si="43"/>
        <v>ALTFIN</v>
      </c>
      <c r="O461" t="s">
        <v>123</v>
      </c>
      <c r="P461" s="3" t="s">
        <v>90</v>
      </c>
      <c r="Q461">
        <v>2016</v>
      </c>
      <c r="R461" s="2">
        <v>42573</v>
      </c>
      <c r="S461" s="2">
        <v>42573</v>
      </c>
      <c r="T461" s="2">
        <v>42573</v>
      </c>
      <c r="U461" s="2">
        <v>42633</v>
      </c>
      <c r="V461" t="s">
        <v>71</v>
      </c>
      <c r="W461" t="str">
        <f>"                0722"</f>
        <v xml:space="preserve">                0722</v>
      </c>
      <c r="X461">
        <v>0</v>
      </c>
      <c r="Y461" s="1">
        <v>1868.33</v>
      </c>
      <c r="Z461"/>
      <c r="AB461"/>
      <c r="AC461" s="1">
        <v>1868.33</v>
      </c>
      <c r="AD461">
        <v>-48</v>
      </c>
      <c r="AE461" s="1">
        <v>-89679.84</v>
      </c>
      <c r="AF461">
        <v>0</v>
      </c>
      <c r="AJ461">
        <v>0</v>
      </c>
      <c r="AK461">
        <v>0</v>
      </c>
      <c r="AL461">
        <v>0</v>
      </c>
      <c r="AM461" s="1">
        <v>1868.33</v>
      </c>
      <c r="AN461" s="1">
        <v>1868.33</v>
      </c>
      <c r="AO461" s="1">
        <v>1868.33</v>
      </c>
      <c r="AP461" s="2">
        <v>42746</v>
      </c>
      <c r="AQ461" t="s">
        <v>72</v>
      </c>
      <c r="AR461" t="s">
        <v>72</v>
      </c>
      <c r="AS461">
        <v>2083</v>
      </c>
      <c r="AT461" s="4">
        <v>42585</v>
      </c>
      <c r="AV461">
        <v>2083</v>
      </c>
      <c r="AW461" s="4">
        <v>42585</v>
      </c>
      <c r="BD461">
        <v>0</v>
      </c>
      <c r="BN461" t="s">
        <v>74</v>
      </c>
    </row>
    <row r="462" spans="1:66" hidden="1">
      <c r="A462">
        <v>100114</v>
      </c>
      <c r="B462" s="3" t="s">
        <v>122</v>
      </c>
      <c r="C462" s="1">
        <v>43500101</v>
      </c>
      <c r="D462" t="s">
        <v>113</v>
      </c>
      <c r="H462" t="str">
        <f t="shared" si="41"/>
        <v>00423310630</v>
      </c>
      <c r="I462" t="str">
        <f t="shared" si="42"/>
        <v>01241921210</v>
      </c>
      <c r="K462" t="str">
        <f>""</f>
        <v/>
      </c>
      <c r="M462" t="s">
        <v>68</v>
      </c>
      <c r="N462" t="str">
        <f t="shared" si="43"/>
        <v>ALTFIN</v>
      </c>
      <c r="O462" t="s">
        <v>123</v>
      </c>
      <c r="P462" s="3" t="s">
        <v>91</v>
      </c>
      <c r="Q462">
        <v>2016</v>
      </c>
      <c r="R462" s="2">
        <v>42592</v>
      </c>
      <c r="S462" s="2">
        <v>42598</v>
      </c>
      <c r="T462" s="2">
        <v>42598</v>
      </c>
      <c r="U462" s="2">
        <v>42658</v>
      </c>
      <c r="V462" t="s">
        <v>71</v>
      </c>
      <c r="W462" t="str">
        <f>"                0810"</f>
        <v xml:space="preserve">                0810</v>
      </c>
      <c r="X462">
        <v>0</v>
      </c>
      <c r="Y462" s="1">
        <v>1868.33</v>
      </c>
      <c r="Z462"/>
      <c r="AB462"/>
      <c r="AC462" s="1">
        <v>1868.33</v>
      </c>
      <c r="AD462">
        <v>-60</v>
      </c>
      <c r="AE462" s="1">
        <v>-112099.8</v>
      </c>
      <c r="AF462">
        <v>0</v>
      </c>
      <c r="AJ462">
        <v>0</v>
      </c>
      <c r="AK462">
        <v>0</v>
      </c>
      <c r="AL462">
        <v>0</v>
      </c>
      <c r="AM462" s="1">
        <v>1868.33</v>
      </c>
      <c r="AN462" s="1">
        <v>1868.33</v>
      </c>
      <c r="AO462" s="1">
        <v>1868.33</v>
      </c>
      <c r="AP462" s="2">
        <v>42746</v>
      </c>
      <c r="AQ462" t="s">
        <v>72</v>
      </c>
      <c r="AR462" t="s">
        <v>72</v>
      </c>
      <c r="AS462">
        <v>2165</v>
      </c>
      <c r="AT462" s="4">
        <v>42598</v>
      </c>
      <c r="AV462">
        <v>2165</v>
      </c>
      <c r="AW462" s="4">
        <v>42598</v>
      </c>
      <c r="BD462">
        <v>0</v>
      </c>
      <c r="BN462" t="s">
        <v>74</v>
      </c>
    </row>
    <row r="463" spans="1:66" hidden="1">
      <c r="A463">
        <v>100114</v>
      </c>
      <c r="B463" s="3" t="s">
        <v>122</v>
      </c>
      <c r="C463" s="1">
        <v>43500101</v>
      </c>
      <c r="D463" t="s">
        <v>113</v>
      </c>
      <c r="H463" t="str">
        <f t="shared" si="41"/>
        <v>00423310630</v>
      </c>
      <c r="I463" t="str">
        <f t="shared" si="42"/>
        <v>01241921210</v>
      </c>
      <c r="K463" t="str">
        <f>""</f>
        <v/>
      </c>
      <c r="M463" t="s">
        <v>68</v>
      </c>
      <c r="N463" t="str">
        <f t="shared" si="43"/>
        <v>ALTFIN</v>
      </c>
      <c r="O463" t="s">
        <v>123</v>
      </c>
      <c r="P463" s="3" t="s">
        <v>92</v>
      </c>
      <c r="Q463">
        <v>2016</v>
      </c>
      <c r="R463" s="2">
        <v>42633</v>
      </c>
      <c r="S463" s="2">
        <v>42634</v>
      </c>
      <c r="T463" s="2">
        <v>42634</v>
      </c>
      <c r="U463" s="2">
        <v>42694</v>
      </c>
      <c r="V463" t="s">
        <v>71</v>
      </c>
      <c r="W463" t="str">
        <f>"                0920"</f>
        <v xml:space="preserve">                0920</v>
      </c>
      <c r="X463">
        <v>0</v>
      </c>
      <c r="Y463" s="1">
        <v>1868.33</v>
      </c>
      <c r="Z463"/>
      <c r="AB463"/>
      <c r="AC463" s="1">
        <v>1868.33</v>
      </c>
      <c r="AD463">
        <v>-60</v>
      </c>
      <c r="AE463" s="1">
        <v>-112099.8</v>
      </c>
      <c r="AF463">
        <v>0</v>
      </c>
      <c r="AJ463">
        <v>0</v>
      </c>
      <c r="AK463">
        <v>0</v>
      </c>
      <c r="AL463">
        <v>0</v>
      </c>
      <c r="AM463" s="1">
        <v>1868.33</v>
      </c>
      <c r="AN463" s="1">
        <v>1868.33</v>
      </c>
      <c r="AO463" s="1">
        <v>1868.33</v>
      </c>
      <c r="AP463" s="2">
        <v>42746</v>
      </c>
      <c r="AQ463" t="s">
        <v>72</v>
      </c>
      <c r="AR463" t="s">
        <v>72</v>
      </c>
      <c r="AS463">
        <v>2438</v>
      </c>
      <c r="AT463" s="4">
        <v>42634</v>
      </c>
      <c r="AV463">
        <v>2438</v>
      </c>
      <c r="AW463" s="4">
        <v>42634</v>
      </c>
      <c r="BD463">
        <v>0</v>
      </c>
      <c r="BN463" t="s">
        <v>74</v>
      </c>
    </row>
    <row r="464" spans="1:66" hidden="1">
      <c r="A464">
        <v>100114</v>
      </c>
      <c r="B464" s="3" t="s">
        <v>122</v>
      </c>
      <c r="C464" s="1">
        <v>43500101</v>
      </c>
      <c r="D464" t="s">
        <v>113</v>
      </c>
      <c r="H464" t="str">
        <f t="shared" si="41"/>
        <v>00423310630</v>
      </c>
      <c r="I464" t="str">
        <f t="shared" si="42"/>
        <v>01241921210</v>
      </c>
      <c r="K464" t="str">
        <f>""</f>
        <v/>
      </c>
      <c r="M464" t="s">
        <v>68</v>
      </c>
      <c r="N464" t="str">
        <f t="shared" si="43"/>
        <v>ALTFIN</v>
      </c>
      <c r="O464" t="s">
        <v>123</v>
      </c>
      <c r="P464" s="3" t="s">
        <v>93</v>
      </c>
      <c r="Q464">
        <v>2016</v>
      </c>
      <c r="R464" s="2">
        <v>42664</v>
      </c>
      <c r="S464" s="2">
        <v>42667</v>
      </c>
      <c r="T464" s="2">
        <v>42667</v>
      </c>
      <c r="U464" s="2">
        <v>42727</v>
      </c>
      <c r="V464" t="s">
        <v>71</v>
      </c>
      <c r="W464" t="str">
        <f>"                1021"</f>
        <v xml:space="preserve">                1021</v>
      </c>
      <c r="X464">
        <v>0</v>
      </c>
      <c r="Y464" s="1">
        <v>1868.33</v>
      </c>
      <c r="Z464" s="5">
        <v>1868.33</v>
      </c>
      <c r="AA464">
        <v>-60</v>
      </c>
      <c r="AB464" s="5">
        <v>-112099.8</v>
      </c>
      <c r="AC464" s="1">
        <v>1868.33</v>
      </c>
      <c r="AD464">
        <v>-60</v>
      </c>
      <c r="AE464" s="1">
        <v>-112099.8</v>
      </c>
      <c r="AF464">
        <v>0</v>
      </c>
      <c r="AJ464" s="1">
        <v>1868.33</v>
      </c>
      <c r="AK464" s="1">
        <v>1868.33</v>
      </c>
      <c r="AL464" s="1">
        <v>1868.33</v>
      </c>
      <c r="AM464" s="1">
        <v>1868.33</v>
      </c>
      <c r="AN464" s="1">
        <v>1868.33</v>
      </c>
      <c r="AO464" s="1">
        <v>1868.33</v>
      </c>
      <c r="AP464" s="2">
        <v>42746</v>
      </c>
      <c r="AQ464" t="s">
        <v>72</v>
      </c>
      <c r="AR464" t="s">
        <v>72</v>
      </c>
      <c r="AS464">
        <v>2785</v>
      </c>
      <c r="AT464" s="4">
        <v>42667</v>
      </c>
      <c r="AV464">
        <v>2785</v>
      </c>
      <c r="AW464" s="4">
        <v>42667</v>
      </c>
      <c r="BD464">
        <v>0</v>
      </c>
      <c r="BN464" t="s">
        <v>74</v>
      </c>
    </row>
    <row r="465" spans="1:66" hidden="1">
      <c r="A465">
        <v>100114</v>
      </c>
      <c r="B465" s="3" t="s">
        <v>122</v>
      </c>
      <c r="C465" s="1">
        <v>43500101</v>
      </c>
      <c r="D465" t="s">
        <v>113</v>
      </c>
      <c r="H465" t="str">
        <f t="shared" si="41"/>
        <v>00423310630</v>
      </c>
      <c r="I465" t="str">
        <f t="shared" si="42"/>
        <v>01241921210</v>
      </c>
      <c r="K465" t="str">
        <f>""</f>
        <v/>
      </c>
      <c r="M465" t="s">
        <v>68</v>
      </c>
      <c r="N465" t="str">
        <f t="shared" si="43"/>
        <v>ALTFIN</v>
      </c>
      <c r="O465" t="s">
        <v>123</v>
      </c>
      <c r="P465" s="3" t="s">
        <v>94</v>
      </c>
      <c r="Q465">
        <v>2016</v>
      </c>
      <c r="R465" s="2">
        <v>42696</v>
      </c>
      <c r="S465" s="2">
        <v>42696</v>
      </c>
      <c r="T465" s="2">
        <v>42696</v>
      </c>
      <c r="U465" s="2">
        <v>42756</v>
      </c>
      <c r="V465" t="s">
        <v>71</v>
      </c>
      <c r="W465" t="str">
        <f>"                1122"</f>
        <v xml:space="preserve">                1122</v>
      </c>
      <c r="X465">
        <v>0</v>
      </c>
      <c r="Y465" s="1">
        <v>1868.33</v>
      </c>
      <c r="Z465" s="5">
        <v>1868.33</v>
      </c>
      <c r="AA465">
        <v>-59</v>
      </c>
      <c r="AB465" s="5">
        <v>-110231.47</v>
      </c>
      <c r="AC465" s="1">
        <v>1868.33</v>
      </c>
      <c r="AD465">
        <v>-59</v>
      </c>
      <c r="AE465" s="1">
        <v>-110231.47</v>
      </c>
      <c r="AF465">
        <v>0</v>
      </c>
      <c r="AJ465" s="1">
        <v>1868.33</v>
      </c>
      <c r="AK465" s="1">
        <v>1868.33</v>
      </c>
      <c r="AL465" s="1">
        <v>1868.33</v>
      </c>
      <c r="AM465" s="1">
        <v>1868.33</v>
      </c>
      <c r="AN465" s="1">
        <v>1868.33</v>
      </c>
      <c r="AO465" s="1">
        <v>1868.33</v>
      </c>
      <c r="AP465" s="2">
        <v>42746</v>
      </c>
      <c r="AQ465" t="s">
        <v>72</v>
      </c>
      <c r="AR465" t="s">
        <v>72</v>
      </c>
      <c r="AS465">
        <v>3223</v>
      </c>
      <c r="AT465" s="4">
        <v>42697</v>
      </c>
      <c r="AV465">
        <v>3223</v>
      </c>
      <c r="AW465" s="4">
        <v>42697</v>
      </c>
      <c r="BD465">
        <v>0</v>
      </c>
      <c r="BN465" t="s">
        <v>74</v>
      </c>
    </row>
    <row r="466" spans="1:66" hidden="1">
      <c r="A466">
        <v>100114</v>
      </c>
      <c r="B466" s="3" t="s">
        <v>122</v>
      </c>
      <c r="C466" s="1">
        <v>43500101</v>
      </c>
      <c r="D466" t="s">
        <v>113</v>
      </c>
      <c r="H466" t="str">
        <f t="shared" si="41"/>
        <v>00423310630</v>
      </c>
      <c r="I466" t="str">
        <f t="shared" si="42"/>
        <v>01241921210</v>
      </c>
      <c r="K466" t="str">
        <f>""</f>
        <v/>
      </c>
      <c r="M466" t="s">
        <v>68</v>
      </c>
      <c r="N466" t="str">
        <f t="shared" si="43"/>
        <v>ALTFIN</v>
      </c>
      <c r="O466" t="s">
        <v>123</v>
      </c>
      <c r="P466" s="3" t="s">
        <v>95</v>
      </c>
      <c r="Q466">
        <v>2016</v>
      </c>
      <c r="R466" s="2">
        <v>42717</v>
      </c>
      <c r="S466" s="2">
        <v>42717</v>
      </c>
      <c r="T466" s="2">
        <v>42717</v>
      </c>
      <c r="U466" s="2">
        <v>42777</v>
      </c>
      <c r="V466" t="s">
        <v>71</v>
      </c>
      <c r="W466" t="str">
        <f>"                1213"</f>
        <v xml:space="preserve">                1213</v>
      </c>
      <c r="X466">
        <v>0</v>
      </c>
      <c r="Y466" s="1">
        <v>1868.33</v>
      </c>
      <c r="Z466" s="5">
        <v>1868.33</v>
      </c>
      <c r="AA466">
        <v>-59</v>
      </c>
      <c r="AB466" s="5">
        <v>-110231.47</v>
      </c>
      <c r="AC466" s="1">
        <v>1868.33</v>
      </c>
      <c r="AD466">
        <v>-59</v>
      </c>
      <c r="AE466" s="1">
        <v>-110231.47</v>
      </c>
      <c r="AF466">
        <v>0</v>
      </c>
      <c r="AJ466" s="1">
        <v>1868.33</v>
      </c>
      <c r="AK466" s="1">
        <v>1868.33</v>
      </c>
      <c r="AL466" s="1">
        <v>1868.33</v>
      </c>
      <c r="AM466" s="1">
        <v>1868.33</v>
      </c>
      <c r="AN466" s="1">
        <v>1868.33</v>
      </c>
      <c r="AO466" s="1">
        <v>1868.33</v>
      </c>
      <c r="AP466" s="2">
        <v>42746</v>
      </c>
      <c r="AQ466" t="s">
        <v>72</v>
      </c>
      <c r="AR466" t="s">
        <v>72</v>
      </c>
      <c r="AS466">
        <v>3382</v>
      </c>
      <c r="AT466" s="4">
        <v>42718</v>
      </c>
      <c r="AV466">
        <v>3382</v>
      </c>
      <c r="AW466" s="4">
        <v>42718</v>
      </c>
      <c r="BD466">
        <v>0</v>
      </c>
      <c r="BN466" t="s">
        <v>74</v>
      </c>
    </row>
    <row r="467" spans="1:66" hidden="1">
      <c r="A467">
        <v>100115</v>
      </c>
      <c r="B467" s="3" t="s">
        <v>124</v>
      </c>
      <c r="C467" s="1">
        <v>43500101</v>
      </c>
      <c r="D467" t="s">
        <v>113</v>
      </c>
      <c r="H467" t="str">
        <f t="shared" ref="H467:I486" si="44">"97095380586"</f>
        <v>97095380586</v>
      </c>
      <c r="I467" t="str">
        <f t="shared" si="44"/>
        <v>97095380586</v>
      </c>
      <c r="K467" t="str">
        <f>""</f>
        <v/>
      </c>
      <c r="M467" t="s">
        <v>68</v>
      </c>
      <c r="N467" t="str">
        <f t="shared" ref="N467:N514" si="45">"ALT"</f>
        <v>ALT</v>
      </c>
      <c r="O467" t="s">
        <v>114</v>
      </c>
      <c r="P467" s="3" t="s">
        <v>84</v>
      </c>
      <c r="Q467">
        <v>2016</v>
      </c>
      <c r="R467" s="2">
        <v>42389</v>
      </c>
      <c r="S467" s="2">
        <v>42390</v>
      </c>
      <c r="T467" s="2">
        <v>42390</v>
      </c>
      <c r="U467" s="2">
        <v>42450</v>
      </c>
      <c r="V467" t="s">
        <v>71</v>
      </c>
      <c r="W467" t="str">
        <f>"                0120"</f>
        <v xml:space="preserve">                0120</v>
      </c>
      <c r="X467">
        <v>0</v>
      </c>
      <c r="Y467" s="1">
        <v>16158.79</v>
      </c>
      <c r="Z467"/>
      <c r="AB467"/>
      <c r="AC467" s="1">
        <v>16158.79</v>
      </c>
      <c r="AD467">
        <v>-60</v>
      </c>
      <c r="AE467" s="1">
        <v>-969527.4</v>
      </c>
      <c r="AF467">
        <v>0</v>
      </c>
      <c r="AJ467">
        <v>0</v>
      </c>
      <c r="AK467">
        <v>0</v>
      </c>
      <c r="AL467">
        <v>0</v>
      </c>
      <c r="AM467" s="1">
        <v>16158.79</v>
      </c>
      <c r="AN467" s="1">
        <v>16158.79</v>
      </c>
      <c r="AO467" s="1">
        <v>16158.79</v>
      </c>
      <c r="AP467" s="2">
        <v>42746</v>
      </c>
      <c r="AQ467" t="s">
        <v>72</v>
      </c>
      <c r="AR467" t="s">
        <v>72</v>
      </c>
      <c r="AS467">
        <v>90</v>
      </c>
      <c r="AT467" s="4">
        <v>42390</v>
      </c>
      <c r="AV467">
        <v>90</v>
      </c>
      <c r="AW467" s="4">
        <v>42390</v>
      </c>
      <c r="BD467">
        <v>0</v>
      </c>
      <c r="BN467" t="s">
        <v>74</v>
      </c>
    </row>
    <row r="468" spans="1:66" hidden="1">
      <c r="A468">
        <v>100115</v>
      </c>
      <c r="B468" s="3" t="s">
        <v>124</v>
      </c>
      <c r="C468" s="1">
        <v>43500101</v>
      </c>
      <c r="D468" t="s">
        <v>113</v>
      </c>
      <c r="H468" t="str">
        <f t="shared" si="44"/>
        <v>97095380586</v>
      </c>
      <c r="I468" t="str">
        <f t="shared" si="44"/>
        <v>97095380586</v>
      </c>
      <c r="K468" t="str">
        <f>""</f>
        <v/>
      </c>
      <c r="M468" t="s">
        <v>68</v>
      </c>
      <c r="N468" t="str">
        <f t="shared" si="45"/>
        <v>ALT</v>
      </c>
      <c r="O468" t="s">
        <v>114</v>
      </c>
      <c r="P468" s="3" t="s">
        <v>85</v>
      </c>
      <c r="Q468">
        <v>2016</v>
      </c>
      <c r="R468" s="2">
        <v>42422</v>
      </c>
      <c r="S468" s="2">
        <v>42422</v>
      </c>
      <c r="T468" s="2">
        <v>42422</v>
      </c>
      <c r="U468" s="2">
        <v>42482</v>
      </c>
      <c r="V468" t="s">
        <v>71</v>
      </c>
      <c r="W468" t="str">
        <f>"                0222"</f>
        <v xml:space="preserve">                0222</v>
      </c>
      <c r="X468">
        <v>0</v>
      </c>
      <c r="Y468" s="1">
        <v>16158.79</v>
      </c>
      <c r="Z468"/>
      <c r="AB468"/>
      <c r="AC468" s="1">
        <v>16158.79</v>
      </c>
      <c r="AD468">
        <v>-58</v>
      </c>
      <c r="AE468" s="1">
        <v>-937209.82</v>
      </c>
      <c r="AF468">
        <v>0</v>
      </c>
      <c r="AJ468">
        <v>0</v>
      </c>
      <c r="AK468">
        <v>0</v>
      </c>
      <c r="AL468">
        <v>0</v>
      </c>
      <c r="AM468" s="1">
        <v>16158.79</v>
      </c>
      <c r="AN468" s="1">
        <v>16158.79</v>
      </c>
      <c r="AO468" s="1">
        <v>16158.79</v>
      </c>
      <c r="AP468" s="2">
        <v>42746</v>
      </c>
      <c r="AQ468" t="s">
        <v>72</v>
      </c>
      <c r="AR468" t="s">
        <v>72</v>
      </c>
      <c r="AS468">
        <v>534</v>
      </c>
      <c r="AT468" s="4">
        <v>42424</v>
      </c>
      <c r="AV468">
        <v>534</v>
      </c>
      <c r="AW468" s="4">
        <v>42424</v>
      </c>
      <c r="BD468">
        <v>0</v>
      </c>
      <c r="BN468" t="s">
        <v>74</v>
      </c>
    </row>
    <row r="469" spans="1:66" hidden="1">
      <c r="A469">
        <v>100115</v>
      </c>
      <c r="B469" s="3" t="s">
        <v>124</v>
      </c>
      <c r="C469" s="1">
        <v>43500101</v>
      </c>
      <c r="D469" t="s">
        <v>113</v>
      </c>
      <c r="H469" t="str">
        <f t="shared" si="44"/>
        <v>97095380586</v>
      </c>
      <c r="I469" t="str">
        <f t="shared" si="44"/>
        <v>97095380586</v>
      </c>
      <c r="K469" t="str">
        <f>""</f>
        <v/>
      </c>
      <c r="M469" t="s">
        <v>68</v>
      </c>
      <c r="N469" t="str">
        <f t="shared" si="45"/>
        <v>ALT</v>
      </c>
      <c r="O469" t="s">
        <v>114</v>
      </c>
      <c r="P469" s="3" t="s">
        <v>86</v>
      </c>
      <c r="Q469">
        <v>2016</v>
      </c>
      <c r="R469" s="2">
        <v>42450</v>
      </c>
      <c r="S469" s="2">
        <v>42450</v>
      </c>
      <c r="T469" s="2">
        <v>42450</v>
      </c>
      <c r="U469" s="2">
        <v>42510</v>
      </c>
      <c r="V469" t="s">
        <v>71</v>
      </c>
      <c r="W469" t="str">
        <f>"                0321"</f>
        <v xml:space="preserve">                0321</v>
      </c>
      <c r="X469">
        <v>0</v>
      </c>
      <c r="Y469" s="1">
        <v>15795.45</v>
      </c>
      <c r="Z469"/>
      <c r="AB469"/>
      <c r="AC469" s="1">
        <v>15795.45</v>
      </c>
      <c r="AD469">
        <v>-57</v>
      </c>
      <c r="AE469" s="1">
        <v>-900340.65</v>
      </c>
      <c r="AF469">
        <v>0</v>
      </c>
      <c r="AJ469">
        <v>0</v>
      </c>
      <c r="AK469">
        <v>0</v>
      </c>
      <c r="AL469">
        <v>0</v>
      </c>
      <c r="AM469" s="1">
        <v>15795.45</v>
      </c>
      <c r="AN469" s="1">
        <v>15795.45</v>
      </c>
      <c r="AO469" s="1">
        <v>15795.45</v>
      </c>
      <c r="AP469" s="2">
        <v>42746</v>
      </c>
      <c r="AQ469" t="s">
        <v>72</v>
      </c>
      <c r="AR469" t="s">
        <v>72</v>
      </c>
      <c r="AS469">
        <v>956</v>
      </c>
      <c r="AT469" s="4">
        <v>42453</v>
      </c>
      <c r="AV469">
        <v>956</v>
      </c>
      <c r="AW469" s="4">
        <v>42453</v>
      </c>
      <c r="BD469">
        <v>0</v>
      </c>
      <c r="BN469" t="s">
        <v>74</v>
      </c>
    </row>
    <row r="470" spans="1:66" hidden="1">
      <c r="A470">
        <v>100115</v>
      </c>
      <c r="B470" s="3" t="s">
        <v>124</v>
      </c>
      <c r="C470" s="1">
        <v>43500101</v>
      </c>
      <c r="D470" t="s">
        <v>113</v>
      </c>
      <c r="H470" t="str">
        <f t="shared" si="44"/>
        <v>97095380586</v>
      </c>
      <c r="I470" t="str">
        <f t="shared" si="44"/>
        <v>97095380586</v>
      </c>
      <c r="K470" t="str">
        <f>""</f>
        <v/>
      </c>
      <c r="M470" t="s">
        <v>68</v>
      </c>
      <c r="N470" t="str">
        <f t="shared" si="45"/>
        <v>ALT</v>
      </c>
      <c r="O470" t="s">
        <v>114</v>
      </c>
      <c r="P470" s="3" t="s">
        <v>87</v>
      </c>
      <c r="Q470">
        <v>2016</v>
      </c>
      <c r="R470" s="2">
        <v>42481</v>
      </c>
      <c r="S470" s="2">
        <v>42481</v>
      </c>
      <c r="T470" s="2">
        <v>42481</v>
      </c>
      <c r="U470" s="2">
        <v>42541</v>
      </c>
      <c r="V470" t="s">
        <v>71</v>
      </c>
      <c r="W470" t="str">
        <f>"                0421"</f>
        <v xml:space="preserve">                0421</v>
      </c>
      <c r="X470">
        <v>0</v>
      </c>
      <c r="Y470" s="1">
        <v>15795.45</v>
      </c>
      <c r="Z470"/>
      <c r="AB470"/>
      <c r="AC470" s="1">
        <v>15795.45</v>
      </c>
      <c r="AD470">
        <v>-60</v>
      </c>
      <c r="AE470" s="1">
        <v>-947727</v>
      </c>
      <c r="AF470">
        <v>0</v>
      </c>
      <c r="AJ470">
        <v>0</v>
      </c>
      <c r="AK470">
        <v>0</v>
      </c>
      <c r="AL470">
        <v>0</v>
      </c>
      <c r="AM470" s="1">
        <v>15795.45</v>
      </c>
      <c r="AN470" s="1">
        <v>15795.45</v>
      </c>
      <c r="AO470" s="1">
        <v>15795.45</v>
      </c>
      <c r="AP470" s="2">
        <v>42746</v>
      </c>
      <c r="AQ470" t="s">
        <v>72</v>
      </c>
      <c r="AR470" t="s">
        <v>72</v>
      </c>
      <c r="AS470">
        <v>1121</v>
      </c>
      <c r="AT470" s="4">
        <v>42481</v>
      </c>
      <c r="AV470">
        <v>1121</v>
      </c>
      <c r="AW470" s="4">
        <v>42481</v>
      </c>
      <c r="BD470">
        <v>0</v>
      </c>
      <c r="BN470" t="s">
        <v>74</v>
      </c>
    </row>
    <row r="471" spans="1:66" hidden="1">
      <c r="A471">
        <v>100115</v>
      </c>
      <c r="B471" s="3" t="s">
        <v>124</v>
      </c>
      <c r="C471" s="1">
        <v>43500101</v>
      </c>
      <c r="D471" t="s">
        <v>113</v>
      </c>
      <c r="H471" t="str">
        <f t="shared" si="44"/>
        <v>97095380586</v>
      </c>
      <c r="I471" t="str">
        <f t="shared" si="44"/>
        <v>97095380586</v>
      </c>
      <c r="K471" t="str">
        <f>""</f>
        <v/>
      </c>
      <c r="M471" t="s">
        <v>68</v>
      </c>
      <c r="N471" t="str">
        <f t="shared" si="45"/>
        <v>ALT</v>
      </c>
      <c r="O471" t="s">
        <v>114</v>
      </c>
      <c r="P471" s="3" t="s">
        <v>88</v>
      </c>
      <c r="Q471">
        <v>2016</v>
      </c>
      <c r="R471" s="2">
        <v>42508</v>
      </c>
      <c r="S471" s="2">
        <v>42510</v>
      </c>
      <c r="T471" s="2">
        <v>42510</v>
      </c>
      <c r="U471" s="2">
        <v>42570</v>
      </c>
      <c r="V471" t="s">
        <v>71</v>
      </c>
      <c r="W471" t="str">
        <f>"                0518"</f>
        <v xml:space="preserve">                0518</v>
      </c>
      <c r="X471">
        <v>0</v>
      </c>
      <c r="Y471" s="1">
        <v>15795.45</v>
      </c>
      <c r="Z471"/>
      <c r="AB471"/>
      <c r="AC471" s="1">
        <v>15795.45</v>
      </c>
      <c r="AD471">
        <v>-57</v>
      </c>
      <c r="AE471" s="1">
        <v>-900340.65</v>
      </c>
      <c r="AF471">
        <v>0</v>
      </c>
      <c r="AJ471">
        <v>0</v>
      </c>
      <c r="AK471">
        <v>0</v>
      </c>
      <c r="AL471">
        <v>0</v>
      </c>
      <c r="AM471" s="1">
        <v>15795.45</v>
      </c>
      <c r="AN471" s="1">
        <v>15795.45</v>
      </c>
      <c r="AO471" s="1">
        <v>15795.45</v>
      </c>
      <c r="AP471" s="2">
        <v>42746</v>
      </c>
      <c r="AQ471" t="s">
        <v>72</v>
      </c>
      <c r="AR471" t="s">
        <v>72</v>
      </c>
      <c r="AS471">
        <v>1359</v>
      </c>
      <c r="AT471" s="4">
        <v>42513</v>
      </c>
      <c r="AV471">
        <v>1359</v>
      </c>
      <c r="AW471" s="4">
        <v>42513</v>
      </c>
      <c r="BD471">
        <v>0</v>
      </c>
      <c r="BN471" t="s">
        <v>74</v>
      </c>
    </row>
    <row r="472" spans="1:66" hidden="1">
      <c r="A472">
        <v>100115</v>
      </c>
      <c r="B472" s="3" t="s">
        <v>124</v>
      </c>
      <c r="C472" s="1">
        <v>43500101</v>
      </c>
      <c r="D472" t="s">
        <v>113</v>
      </c>
      <c r="H472" t="str">
        <f t="shared" si="44"/>
        <v>97095380586</v>
      </c>
      <c r="I472" t="str">
        <f t="shared" si="44"/>
        <v>97095380586</v>
      </c>
      <c r="K472" t="str">
        <f>""</f>
        <v/>
      </c>
      <c r="M472" t="s">
        <v>68</v>
      </c>
      <c r="N472" t="str">
        <f t="shared" si="45"/>
        <v>ALT</v>
      </c>
      <c r="O472" t="s">
        <v>114</v>
      </c>
      <c r="P472" s="3" t="s">
        <v>89</v>
      </c>
      <c r="Q472">
        <v>2016</v>
      </c>
      <c r="R472" s="2">
        <v>42548</v>
      </c>
      <c r="S472" s="2">
        <v>42543</v>
      </c>
      <c r="T472" s="2">
        <v>42543</v>
      </c>
      <c r="U472" s="2">
        <v>42603</v>
      </c>
      <c r="V472" t="s">
        <v>71</v>
      </c>
      <c r="W472" t="str">
        <f>"                0627"</f>
        <v xml:space="preserve">                0627</v>
      </c>
      <c r="X472">
        <v>0</v>
      </c>
      <c r="Y472" s="1">
        <v>14518.35</v>
      </c>
      <c r="Z472"/>
      <c r="AB472"/>
      <c r="AC472" s="1">
        <v>14518.35</v>
      </c>
      <c r="AD472">
        <v>-47</v>
      </c>
      <c r="AE472" s="1">
        <v>-682362.45</v>
      </c>
      <c r="AF472">
        <v>0</v>
      </c>
      <c r="AJ472">
        <v>0</v>
      </c>
      <c r="AK472">
        <v>0</v>
      </c>
      <c r="AL472">
        <v>0</v>
      </c>
      <c r="AM472" s="1">
        <v>14518.35</v>
      </c>
      <c r="AN472" s="1">
        <v>14518.35</v>
      </c>
      <c r="AO472" s="1">
        <v>14518.35</v>
      </c>
      <c r="AP472" s="2">
        <v>42746</v>
      </c>
      <c r="AQ472" t="s">
        <v>72</v>
      </c>
      <c r="AR472" t="s">
        <v>72</v>
      </c>
      <c r="AS472">
        <v>1742</v>
      </c>
      <c r="AT472" s="4">
        <v>42556</v>
      </c>
      <c r="AV472">
        <v>1742</v>
      </c>
      <c r="AW472" s="4">
        <v>42556</v>
      </c>
      <c r="BD472">
        <v>0</v>
      </c>
      <c r="BN472" t="s">
        <v>74</v>
      </c>
    </row>
    <row r="473" spans="1:66" hidden="1">
      <c r="A473">
        <v>100115</v>
      </c>
      <c r="B473" s="3" t="s">
        <v>124</v>
      </c>
      <c r="C473" s="1">
        <v>43500101</v>
      </c>
      <c r="D473" t="s">
        <v>113</v>
      </c>
      <c r="H473" t="str">
        <f t="shared" si="44"/>
        <v>97095380586</v>
      </c>
      <c r="I473" t="str">
        <f t="shared" si="44"/>
        <v>97095380586</v>
      </c>
      <c r="K473" t="str">
        <f>""</f>
        <v/>
      </c>
      <c r="M473" t="s">
        <v>68</v>
      </c>
      <c r="N473" t="str">
        <f t="shared" si="45"/>
        <v>ALT</v>
      </c>
      <c r="O473" t="s">
        <v>114</v>
      </c>
      <c r="P473" s="3" t="s">
        <v>90</v>
      </c>
      <c r="Q473">
        <v>2016</v>
      </c>
      <c r="R473" s="2">
        <v>42573</v>
      </c>
      <c r="S473" s="2">
        <v>42573</v>
      </c>
      <c r="T473" s="2">
        <v>42573</v>
      </c>
      <c r="U473" s="2">
        <v>42633</v>
      </c>
      <c r="V473" t="s">
        <v>71</v>
      </c>
      <c r="W473" t="str">
        <f>"                0722"</f>
        <v xml:space="preserve">                0722</v>
      </c>
      <c r="X473">
        <v>0</v>
      </c>
      <c r="Y473" s="1">
        <v>14518.35</v>
      </c>
      <c r="Z473"/>
      <c r="AB473"/>
      <c r="AC473" s="1">
        <v>14518.35</v>
      </c>
      <c r="AD473">
        <v>-48</v>
      </c>
      <c r="AE473" s="1">
        <v>-696880.8</v>
      </c>
      <c r="AF473">
        <v>0</v>
      </c>
      <c r="AJ473">
        <v>0</v>
      </c>
      <c r="AK473">
        <v>0</v>
      </c>
      <c r="AL473">
        <v>0</v>
      </c>
      <c r="AM473" s="1">
        <v>14518.35</v>
      </c>
      <c r="AN473" s="1">
        <v>14518.35</v>
      </c>
      <c r="AO473" s="1">
        <v>14518.35</v>
      </c>
      <c r="AP473" s="2">
        <v>42746</v>
      </c>
      <c r="AQ473" t="s">
        <v>72</v>
      </c>
      <c r="AR473" t="s">
        <v>72</v>
      </c>
      <c r="AS473">
        <v>2140</v>
      </c>
      <c r="AT473" s="4">
        <v>42585</v>
      </c>
      <c r="AV473">
        <v>2140</v>
      </c>
      <c r="AW473" s="4">
        <v>42585</v>
      </c>
      <c r="BD473">
        <v>0</v>
      </c>
      <c r="BN473" t="s">
        <v>74</v>
      </c>
    </row>
    <row r="474" spans="1:66" hidden="1">
      <c r="A474">
        <v>100115</v>
      </c>
      <c r="B474" s="3" t="s">
        <v>124</v>
      </c>
      <c r="C474" s="1">
        <v>43500101</v>
      </c>
      <c r="D474" t="s">
        <v>113</v>
      </c>
      <c r="H474" t="str">
        <f t="shared" si="44"/>
        <v>97095380586</v>
      </c>
      <c r="I474" t="str">
        <f t="shared" si="44"/>
        <v>97095380586</v>
      </c>
      <c r="K474" t="str">
        <f>""</f>
        <v/>
      </c>
      <c r="M474" t="s">
        <v>68</v>
      </c>
      <c r="N474" t="str">
        <f t="shared" si="45"/>
        <v>ALT</v>
      </c>
      <c r="O474" t="s">
        <v>114</v>
      </c>
      <c r="P474" s="3" t="s">
        <v>91</v>
      </c>
      <c r="Q474">
        <v>2016</v>
      </c>
      <c r="R474" s="2">
        <v>42592</v>
      </c>
      <c r="S474" s="2">
        <v>42598</v>
      </c>
      <c r="T474" s="2">
        <v>42598</v>
      </c>
      <c r="U474" s="2">
        <v>42658</v>
      </c>
      <c r="V474" t="s">
        <v>71</v>
      </c>
      <c r="W474" t="str">
        <f>"                0810"</f>
        <v xml:space="preserve">                0810</v>
      </c>
      <c r="X474">
        <v>0</v>
      </c>
      <c r="Y474" s="1">
        <v>14518.35</v>
      </c>
      <c r="Z474"/>
      <c r="AB474"/>
      <c r="AC474" s="1">
        <v>14518.35</v>
      </c>
      <c r="AD474">
        <v>-60</v>
      </c>
      <c r="AE474" s="1">
        <v>-871101</v>
      </c>
      <c r="AF474">
        <v>0</v>
      </c>
      <c r="AJ474">
        <v>0</v>
      </c>
      <c r="AK474">
        <v>0</v>
      </c>
      <c r="AL474">
        <v>0</v>
      </c>
      <c r="AM474" s="1">
        <v>14518.35</v>
      </c>
      <c r="AN474" s="1">
        <v>14518.35</v>
      </c>
      <c r="AO474" s="1">
        <v>14518.35</v>
      </c>
      <c r="AP474" s="2">
        <v>42746</v>
      </c>
      <c r="AQ474" t="s">
        <v>72</v>
      </c>
      <c r="AR474" t="s">
        <v>72</v>
      </c>
      <c r="AS474">
        <v>2223</v>
      </c>
      <c r="AT474" s="4">
        <v>42598</v>
      </c>
      <c r="AV474">
        <v>2223</v>
      </c>
      <c r="AW474" s="4">
        <v>42598</v>
      </c>
      <c r="BD474">
        <v>0</v>
      </c>
      <c r="BN474" t="s">
        <v>74</v>
      </c>
    </row>
    <row r="475" spans="1:66" hidden="1">
      <c r="A475">
        <v>100115</v>
      </c>
      <c r="B475" s="3" t="s">
        <v>124</v>
      </c>
      <c r="C475" s="1">
        <v>43500101</v>
      </c>
      <c r="D475" t="s">
        <v>113</v>
      </c>
      <c r="H475" t="str">
        <f t="shared" si="44"/>
        <v>97095380586</v>
      </c>
      <c r="I475" t="str">
        <f t="shared" si="44"/>
        <v>97095380586</v>
      </c>
      <c r="K475" t="str">
        <f>""</f>
        <v/>
      </c>
      <c r="M475" t="s">
        <v>68</v>
      </c>
      <c r="N475" t="str">
        <f t="shared" si="45"/>
        <v>ALT</v>
      </c>
      <c r="O475" t="s">
        <v>114</v>
      </c>
      <c r="P475" s="3" t="s">
        <v>92</v>
      </c>
      <c r="Q475">
        <v>2016</v>
      </c>
      <c r="R475" s="2">
        <v>42633</v>
      </c>
      <c r="S475" s="2">
        <v>42634</v>
      </c>
      <c r="T475" s="2">
        <v>42634</v>
      </c>
      <c r="U475" s="2">
        <v>42694</v>
      </c>
      <c r="V475" t="s">
        <v>71</v>
      </c>
      <c r="W475" t="str">
        <f>"                0920"</f>
        <v xml:space="preserve">                0920</v>
      </c>
      <c r="X475">
        <v>0</v>
      </c>
      <c r="Y475" s="1">
        <v>14518.35</v>
      </c>
      <c r="Z475"/>
      <c r="AB475"/>
      <c r="AC475" s="1">
        <v>14518.35</v>
      </c>
      <c r="AD475">
        <v>-60</v>
      </c>
      <c r="AE475" s="1">
        <v>-871101</v>
      </c>
      <c r="AF475">
        <v>0</v>
      </c>
      <c r="AJ475">
        <v>0</v>
      </c>
      <c r="AK475">
        <v>0</v>
      </c>
      <c r="AL475">
        <v>0</v>
      </c>
      <c r="AM475" s="1">
        <v>14518.35</v>
      </c>
      <c r="AN475" s="1">
        <v>14518.35</v>
      </c>
      <c r="AO475" s="1">
        <v>14518.35</v>
      </c>
      <c r="AP475" s="2">
        <v>42746</v>
      </c>
      <c r="AQ475" t="s">
        <v>72</v>
      </c>
      <c r="AR475" t="s">
        <v>72</v>
      </c>
      <c r="AS475">
        <v>2496</v>
      </c>
      <c r="AT475" s="4">
        <v>42634</v>
      </c>
      <c r="AV475">
        <v>2496</v>
      </c>
      <c r="AW475" s="4">
        <v>42634</v>
      </c>
      <c r="BD475">
        <v>0</v>
      </c>
      <c r="BN475" t="s">
        <v>74</v>
      </c>
    </row>
    <row r="476" spans="1:66" hidden="1">
      <c r="A476">
        <v>100115</v>
      </c>
      <c r="B476" s="3" t="s">
        <v>124</v>
      </c>
      <c r="C476" s="1">
        <v>43500101</v>
      </c>
      <c r="D476" t="s">
        <v>113</v>
      </c>
      <c r="H476" t="str">
        <f t="shared" si="44"/>
        <v>97095380586</v>
      </c>
      <c r="I476" t="str">
        <f t="shared" si="44"/>
        <v>97095380586</v>
      </c>
      <c r="K476" t="str">
        <f>""</f>
        <v/>
      </c>
      <c r="M476" t="s">
        <v>68</v>
      </c>
      <c r="N476" t="str">
        <f t="shared" si="45"/>
        <v>ALT</v>
      </c>
      <c r="O476" t="s">
        <v>114</v>
      </c>
      <c r="P476" s="3" t="s">
        <v>93</v>
      </c>
      <c r="Q476">
        <v>2016</v>
      </c>
      <c r="R476" s="2">
        <v>42664</v>
      </c>
      <c r="S476" s="2">
        <v>42667</v>
      </c>
      <c r="T476" s="2">
        <v>42667</v>
      </c>
      <c r="U476" s="2">
        <v>42727</v>
      </c>
      <c r="V476" t="s">
        <v>71</v>
      </c>
      <c r="W476" t="str">
        <f>"                1021"</f>
        <v xml:space="preserve">                1021</v>
      </c>
      <c r="X476">
        <v>0</v>
      </c>
      <c r="Y476" s="1">
        <v>14518.35</v>
      </c>
      <c r="Z476" s="5">
        <v>14518.35</v>
      </c>
      <c r="AA476">
        <v>-60</v>
      </c>
      <c r="AB476" s="5">
        <v>-871101</v>
      </c>
      <c r="AC476" s="1">
        <v>14518.35</v>
      </c>
      <c r="AD476">
        <v>-60</v>
      </c>
      <c r="AE476" s="1">
        <v>-871101</v>
      </c>
      <c r="AF476">
        <v>0</v>
      </c>
      <c r="AJ476" s="1">
        <v>14518.35</v>
      </c>
      <c r="AK476" s="1">
        <v>14518.35</v>
      </c>
      <c r="AL476" s="1">
        <v>14518.35</v>
      </c>
      <c r="AM476" s="1">
        <v>14518.35</v>
      </c>
      <c r="AN476" s="1">
        <v>14518.35</v>
      </c>
      <c r="AO476" s="1">
        <v>14518.35</v>
      </c>
      <c r="AP476" s="2">
        <v>42746</v>
      </c>
      <c r="AQ476" t="s">
        <v>72</v>
      </c>
      <c r="AR476" t="s">
        <v>72</v>
      </c>
      <c r="AS476">
        <v>2844</v>
      </c>
      <c r="AT476" s="4">
        <v>42667</v>
      </c>
      <c r="AV476">
        <v>2844</v>
      </c>
      <c r="AW476" s="4">
        <v>42667</v>
      </c>
      <c r="BD476">
        <v>0</v>
      </c>
      <c r="BN476" t="s">
        <v>74</v>
      </c>
    </row>
    <row r="477" spans="1:66" hidden="1">
      <c r="A477">
        <v>100115</v>
      </c>
      <c r="B477" s="3" t="s">
        <v>124</v>
      </c>
      <c r="C477" s="1">
        <v>43500101</v>
      </c>
      <c r="D477" t="s">
        <v>113</v>
      </c>
      <c r="H477" t="str">
        <f t="shared" si="44"/>
        <v>97095380586</v>
      </c>
      <c r="I477" t="str">
        <f t="shared" si="44"/>
        <v>97095380586</v>
      </c>
      <c r="K477" t="str">
        <f>""</f>
        <v/>
      </c>
      <c r="M477" t="s">
        <v>68</v>
      </c>
      <c r="N477" t="str">
        <f t="shared" si="45"/>
        <v>ALT</v>
      </c>
      <c r="O477" t="s">
        <v>114</v>
      </c>
      <c r="P477" s="3" t="s">
        <v>94</v>
      </c>
      <c r="Q477">
        <v>2016</v>
      </c>
      <c r="R477" s="2">
        <v>42696</v>
      </c>
      <c r="S477" s="2">
        <v>42696</v>
      </c>
      <c r="T477" s="2">
        <v>42696</v>
      </c>
      <c r="U477" s="2">
        <v>42756</v>
      </c>
      <c r="V477" t="s">
        <v>71</v>
      </c>
      <c r="W477" t="str">
        <f>"                1122"</f>
        <v xml:space="preserve">                1122</v>
      </c>
      <c r="X477">
        <v>0</v>
      </c>
      <c r="Y477" s="1">
        <v>14518.35</v>
      </c>
      <c r="Z477" s="5">
        <v>14518.35</v>
      </c>
      <c r="AA477">
        <v>-59</v>
      </c>
      <c r="AB477" s="5">
        <v>-856582.65</v>
      </c>
      <c r="AC477" s="1">
        <v>14518.35</v>
      </c>
      <c r="AD477">
        <v>-59</v>
      </c>
      <c r="AE477" s="1">
        <v>-856582.65</v>
      </c>
      <c r="AF477">
        <v>0</v>
      </c>
      <c r="AJ477" s="1">
        <v>14518.35</v>
      </c>
      <c r="AK477" s="1">
        <v>14518.35</v>
      </c>
      <c r="AL477" s="1">
        <v>14518.35</v>
      </c>
      <c r="AM477" s="1">
        <v>14518.35</v>
      </c>
      <c r="AN477" s="1">
        <v>14518.35</v>
      </c>
      <c r="AO477" s="1">
        <v>14518.35</v>
      </c>
      <c r="AP477" s="2">
        <v>42746</v>
      </c>
      <c r="AQ477" t="s">
        <v>72</v>
      </c>
      <c r="AR477" t="s">
        <v>72</v>
      </c>
      <c r="AS477">
        <v>3282</v>
      </c>
      <c r="AT477" s="4">
        <v>42697</v>
      </c>
      <c r="AV477">
        <v>3282</v>
      </c>
      <c r="AW477" s="4">
        <v>42697</v>
      </c>
      <c r="BD477">
        <v>0</v>
      </c>
      <c r="BN477" t="s">
        <v>74</v>
      </c>
    </row>
    <row r="478" spans="1:66" hidden="1">
      <c r="A478">
        <v>100115</v>
      </c>
      <c r="B478" s="3" t="s">
        <v>124</v>
      </c>
      <c r="C478" s="1">
        <v>43500101</v>
      </c>
      <c r="D478" t="s">
        <v>113</v>
      </c>
      <c r="H478" t="str">
        <f t="shared" si="44"/>
        <v>97095380586</v>
      </c>
      <c r="I478" t="str">
        <f t="shared" si="44"/>
        <v>97095380586</v>
      </c>
      <c r="K478" t="str">
        <f>""</f>
        <v/>
      </c>
      <c r="M478" t="s">
        <v>68</v>
      </c>
      <c r="N478" t="str">
        <f t="shared" si="45"/>
        <v>ALT</v>
      </c>
      <c r="O478" t="s">
        <v>114</v>
      </c>
      <c r="P478" s="3" t="s">
        <v>95</v>
      </c>
      <c r="Q478">
        <v>2016</v>
      </c>
      <c r="R478" s="2">
        <v>42717</v>
      </c>
      <c r="S478" s="2">
        <v>42717</v>
      </c>
      <c r="T478" s="2">
        <v>42717</v>
      </c>
      <c r="U478" s="2">
        <v>42777</v>
      </c>
      <c r="V478" t="s">
        <v>71</v>
      </c>
      <c r="W478" t="str">
        <f>"                1213"</f>
        <v xml:space="preserve">                1213</v>
      </c>
      <c r="X478">
        <v>0</v>
      </c>
      <c r="Y478" s="1">
        <v>14518.35</v>
      </c>
      <c r="Z478" s="5">
        <v>14518.35</v>
      </c>
      <c r="AA478">
        <v>-59</v>
      </c>
      <c r="AB478" s="5">
        <v>-856582.65</v>
      </c>
      <c r="AC478" s="1">
        <v>14518.35</v>
      </c>
      <c r="AD478">
        <v>-59</v>
      </c>
      <c r="AE478" s="1">
        <v>-856582.65</v>
      </c>
      <c r="AF478">
        <v>0</v>
      </c>
      <c r="AJ478" s="1">
        <v>14518.35</v>
      </c>
      <c r="AK478" s="1">
        <v>14518.35</v>
      </c>
      <c r="AL478" s="1">
        <v>14518.35</v>
      </c>
      <c r="AM478" s="1">
        <v>14518.35</v>
      </c>
      <c r="AN478" s="1">
        <v>14518.35</v>
      </c>
      <c r="AO478" s="1">
        <v>14518.35</v>
      </c>
      <c r="AP478" s="2">
        <v>42746</v>
      </c>
      <c r="AQ478" t="s">
        <v>72</v>
      </c>
      <c r="AR478" t="s">
        <v>72</v>
      </c>
      <c r="AS478">
        <v>3439</v>
      </c>
      <c r="AT478" s="4">
        <v>42718</v>
      </c>
      <c r="AV478">
        <v>3439</v>
      </c>
      <c r="AW478" s="4">
        <v>42718</v>
      </c>
      <c r="BD478">
        <v>0</v>
      </c>
      <c r="BN478" t="s">
        <v>74</v>
      </c>
    </row>
    <row r="479" spans="1:66" hidden="1">
      <c r="A479">
        <v>100116</v>
      </c>
      <c r="B479" s="3" t="s">
        <v>125</v>
      </c>
      <c r="C479" s="1">
        <v>43500101</v>
      </c>
      <c r="D479" t="s">
        <v>113</v>
      </c>
      <c r="H479" t="str">
        <f t="shared" si="44"/>
        <v>97095380586</v>
      </c>
      <c r="I479" t="str">
        <f t="shared" si="44"/>
        <v>97095380586</v>
      </c>
      <c r="K479" t="str">
        <f>""</f>
        <v/>
      </c>
      <c r="M479" t="s">
        <v>68</v>
      </c>
      <c r="N479" t="str">
        <f t="shared" si="45"/>
        <v>ALT</v>
      </c>
      <c r="O479" t="s">
        <v>114</v>
      </c>
      <c r="P479" s="3" t="s">
        <v>84</v>
      </c>
      <c r="Q479">
        <v>2016</v>
      </c>
      <c r="R479" s="2">
        <v>42389</v>
      </c>
      <c r="S479" s="2">
        <v>42390</v>
      </c>
      <c r="T479" s="2">
        <v>42390</v>
      </c>
      <c r="U479" s="2">
        <v>42450</v>
      </c>
      <c r="V479" t="s">
        <v>71</v>
      </c>
      <c r="W479" t="str">
        <f>"                0120"</f>
        <v xml:space="preserve">                0120</v>
      </c>
      <c r="X479">
        <v>0</v>
      </c>
      <c r="Y479" s="1">
        <v>30689.27</v>
      </c>
      <c r="Z479"/>
      <c r="AB479"/>
      <c r="AC479" s="1">
        <v>30689.27</v>
      </c>
      <c r="AD479">
        <v>-60</v>
      </c>
      <c r="AE479" s="1">
        <v>-1841356.2</v>
      </c>
      <c r="AF479">
        <v>0</v>
      </c>
      <c r="AJ479">
        <v>0</v>
      </c>
      <c r="AK479">
        <v>0</v>
      </c>
      <c r="AL479">
        <v>0</v>
      </c>
      <c r="AM479" s="1">
        <v>30689.27</v>
      </c>
      <c r="AN479" s="1">
        <v>30689.27</v>
      </c>
      <c r="AO479" s="1">
        <v>30689.27</v>
      </c>
      <c r="AP479" s="2">
        <v>42746</v>
      </c>
      <c r="AQ479" t="s">
        <v>72</v>
      </c>
      <c r="AR479" t="s">
        <v>72</v>
      </c>
      <c r="AS479">
        <v>89</v>
      </c>
      <c r="AT479" s="4">
        <v>42390</v>
      </c>
      <c r="AV479">
        <v>89</v>
      </c>
      <c r="AW479" s="4">
        <v>42390</v>
      </c>
      <c r="BD479">
        <v>0</v>
      </c>
      <c r="BN479" t="s">
        <v>74</v>
      </c>
    </row>
    <row r="480" spans="1:66" hidden="1">
      <c r="A480">
        <v>100116</v>
      </c>
      <c r="B480" s="3" t="s">
        <v>125</v>
      </c>
      <c r="C480" s="1">
        <v>43500101</v>
      </c>
      <c r="D480" t="s">
        <v>113</v>
      </c>
      <c r="H480" t="str">
        <f t="shared" si="44"/>
        <v>97095380586</v>
      </c>
      <c r="I480" t="str">
        <f t="shared" si="44"/>
        <v>97095380586</v>
      </c>
      <c r="K480" t="str">
        <f>""</f>
        <v/>
      </c>
      <c r="M480" t="s">
        <v>68</v>
      </c>
      <c r="N480" t="str">
        <f t="shared" si="45"/>
        <v>ALT</v>
      </c>
      <c r="O480" t="s">
        <v>114</v>
      </c>
      <c r="P480" s="3" t="s">
        <v>85</v>
      </c>
      <c r="Q480">
        <v>2016</v>
      </c>
      <c r="R480" s="2">
        <v>42422</v>
      </c>
      <c r="S480" s="2">
        <v>42422</v>
      </c>
      <c r="T480" s="2">
        <v>42422</v>
      </c>
      <c r="U480" s="2">
        <v>42482</v>
      </c>
      <c r="V480" t="s">
        <v>71</v>
      </c>
      <c r="W480" t="str">
        <f>"                0222"</f>
        <v xml:space="preserve">                0222</v>
      </c>
      <c r="X480">
        <v>0</v>
      </c>
      <c r="Y480" s="1">
        <v>30049.9</v>
      </c>
      <c r="Z480"/>
      <c r="AB480"/>
      <c r="AC480" s="1">
        <v>30049.9</v>
      </c>
      <c r="AD480">
        <v>-58</v>
      </c>
      <c r="AE480" s="1">
        <v>-1742894.2</v>
      </c>
      <c r="AF480">
        <v>0</v>
      </c>
      <c r="AJ480">
        <v>0</v>
      </c>
      <c r="AK480">
        <v>0</v>
      </c>
      <c r="AL480">
        <v>0</v>
      </c>
      <c r="AM480" s="1">
        <v>30049.9</v>
      </c>
      <c r="AN480" s="1">
        <v>30049.9</v>
      </c>
      <c r="AO480" s="1">
        <v>30049.9</v>
      </c>
      <c r="AP480" s="2">
        <v>42746</v>
      </c>
      <c r="AQ480" t="s">
        <v>72</v>
      </c>
      <c r="AR480" t="s">
        <v>72</v>
      </c>
      <c r="AS480">
        <v>533</v>
      </c>
      <c r="AT480" s="4">
        <v>42424</v>
      </c>
      <c r="AV480">
        <v>533</v>
      </c>
      <c r="AW480" s="4">
        <v>42424</v>
      </c>
      <c r="BD480">
        <v>0</v>
      </c>
      <c r="BN480" t="s">
        <v>74</v>
      </c>
    </row>
    <row r="481" spans="1:66" hidden="1">
      <c r="A481">
        <v>100116</v>
      </c>
      <c r="B481" s="3" t="s">
        <v>125</v>
      </c>
      <c r="C481" s="1">
        <v>43500101</v>
      </c>
      <c r="D481" t="s">
        <v>113</v>
      </c>
      <c r="H481" t="str">
        <f t="shared" si="44"/>
        <v>97095380586</v>
      </c>
      <c r="I481" t="str">
        <f t="shared" si="44"/>
        <v>97095380586</v>
      </c>
      <c r="K481" t="str">
        <f>""</f>
        <v/>
      </c>
      <c r="M481" t="s">
        <v>68</v>
      </c>
      <c r="N481" t="str">
        <f t="shared" si="45"/>
        <v>ALT</v>
      </c>
      <c r="O481" t="s">
        <v>114</v>
      </c>
      <c r="P481" s="3" t="s">
        <v>86</v>
      </c>
      <c r="Q481">
        <v>2016</v>
      </c>
      <c r="R481" s="2">
        <v>42450</v>
      </c>
      <c r="S481" s="2">
        <v>42450</v>
      </c>
      <c r="T481" s="2">
        <v>42450</v>
      </c>
      <c r="U481" s="2">
        <v>42510</v>
      </c>
      <c r="V481" t="s">
        <v>71</v>
      </c>
      <c r="W481" t="str">
        <f>"                0321"</f>
        <v xml:space="preserve">                0321</v>
      </c>
      <c r="X481">
        <v>0</v>
      </c>
      <c r="Y481" s="1">
        <v>29894.26</v>
      </c>
      <c r="Z481"/>
      <c r="AB481"/>
      <c r="AC481" s="1">
        <v>29894.26</v>
      </c>
      <c r="AD481">
        <v>-57</v>
      </c>
      <c r="AE481" s="1">
        <v>-1703972.82</v>
      </c>
      <c r="AF481">
        <v>0</v>
      </c>
      <c r="AJ481">
        <v>0</v>
      </c>
      <c r="AK481">
        <v>0</v>
      </c>
      <c r="AL481">
        <v>0</v>
      </c>
      <c r="AM481" s="1">
        <v>29894.26</v>
      </c>
      <c r="AN481" s="1">
        <v>29894.26</v>
      </c>
      <c r="AO481" s="1">
        <v>29894.26</v>
      </c>
      <c r="AP481" s="2">
        <v>42746</v>
      </c>
      <c r="AQ481" t="s">
        <v>72</v>
      </c>
      <c r="AR481" t="s">
        <v>72</v>
      </c>
      <c r="AS481">
        <v>955</v>
      </c>
      <c r="AT481" s="4">
        <v>42453</v>
      </c>
      <c r="AV481">
        <v>955</v>
      </c>
      <c r="AW481" s="4">
        <v>42453</v>
      </c>
      <c r="BD481">
        <v>0</v>
      </c>
      <c r="BN481" t="s">
        <v>74</v>
      </c>
    </row>
    <row r="482" spans="1:66" hidden="1">
      <c r="A482">
        <v>100116</v>
      </c>
      <c r="B482" s="3" t="s">
        <v>125</v>
      </c>
      <c r="C482" s="1">
        <v>43500101</v>
      </c>
      <c r="D482" t="s">
        <v>113</v>
      </c>
      <c r="H482" t="str">
        <f t="shared" si="44"/>
        <v>97095380586</v>
      </c>
      <c r="I482" t="str">
        <f t="shared" si="44"/>
        <v>97095380586</v>
      </c>
      <c r="K482" t="str">
        <f>""</f>
        <v/>
      </c>
      <c r="M482" t="s">
        <v>68</v>
      </c>
      <c r="N482" t="str">
        <f t="shared" si="45"/>
        <v>ALT</v>
      </c>
      <c r="O482" t="s">
        <v>114</v>
      </c>
      <c r="P482" s="3" t="s">
        <v>87</v>
      </c>
      <c r="Q482">
        <v>2016</v>
      </c>
      <c r="R482" s="2">
        <v>42481</v>
      </c>
      <c r="S482" s="2">
        <v>42481</v>
      </c>
      <c r="T482" s="2">
        <v>42481</v>
      </c>
      <c r="U482" s="2">
        <v>42541</v>
      </c>
      <c r="V482" t="s">
        <v>71</v>
      </c>
      <c r="W482" t="str">
        <f>"                0421"</f>
        <v xml:space="preserve">                0421</v>
      </c>
      <c r="X482">
        <v>0</v>
      </c>
      <c r="Y482" s="1">
        <v>29894.26</v>
      </c>
      <c r="Z482"/>
      <c r="AB482"/>
      <c r="AC482" s="1">
        <v>29894.26</v>
      </c>
      <c r="AD482">
        <v>-60</v>
      </c>
      <c r="AE482" s="1">
        <v>-1793655.6</v>
      </c>
      <c r="AF482">
        <v>0</v>
      </c>
      <c r="AJ482">
        <v>0</v>
      </c>
      <c r="AK482">
        <v>0</v>
      </c>
      <c r="AL482">
        <v>0</v>
      </c>
      <c r="AM482" s="1">
        <v>29894.26</v>
      </c>
      <c r="AN482" s="1">
        <v>29894.26</v>
      </c>
      <c r="AO482" s="1">
        <v>29894.26</v>
      </c>
      <c r="AP482" s="2">
        <v>42746</v>
      </c>
      <c r="AQ482" t="s">
        <v>72</v>
      </c>
      <c r="AR482" t="s">
        <v>72</v>
      </c>
      <c r="AS482">
        <v>1120</v>
      </c>
      <c r="AT482" s="4">
        <v>42481</v>
      </c>
      <c r="AV482">
        <v>1120</v>
      </c>
      <c r="AW482" s="4">
        <v>42481</v>
      </c>
      <c r="BD482">
        <v>0</v>
      </c>
      <c r="BN482" t="s">
        <v>74</v>
      </c>
    </row>
    <row r="483" spans="1:66" hidden="1">
      <c r="A483">
        <v>100116</v>
      </c>
      <c r="B483" s="3" t="s">
        <v>125</v>
      </c>
      <c r="C483" s="1">
        <v>43500101</v>
      </c>
      <c r="D483" t="s">
        <v>113</v>
      </c>
      <c r="H483" t="str">
        <f t="shared" si="44"/>
        <v>97095380586</v>
      </c>
      <c r="I483" t="str">
        <f t="shared" si="44"/>
        <v>97095380586</v>
      </c>
      <c r="K483" t="str">
        <f>""</f>
        <v/>
      </c>
      <c r="M483" t="s">
        <v>68</v>
      </c>
      <c r="N483" t="str">
        <f t="shared" si="45"/>
        <v>ALT</v>
      </c>
      <c r="O483" t="s">
        <v>114</v>
      </c>
      <c r="P483" s="3" t="s">
        <v>88</v>
      </c>
      <c r="Q483">
        <v>2016</v>
      </c>
      <c r="R483" s="2">
        <v>42508</v>
      </c>
      <c r="S483" s="2">
        <v>42510</v>
      </c>
      <c r="T483" s="2">
        <v>42510</v>
      </c>
      <c r="U483" s="2">
        <v>42570</v>
      </c>
      <c r="V483" t="s">
        <v>71</v>
      </c>
      <c r="W483" t="str">
        <f>"                0518"</f>
        <v xml:space="preserve">                0518</v>
      </c>
      <c r="X483">
        <v>0</v>
      </c>
      <c r="Y483" s="1">
        <v>29894.26</v>
      </c>
      <c r="Z483"/>
      <c r="AB483"/>
      <c r="AC483" s="1">
        <v>29894.26</v>
      </c>
      <c r="AD483">
        <v>-57</v>
      </c>
      <c r="AE483" s="1">
        <v>-1703972.82</v>
      </c>
      <c r="AF483">
        <v>0</v>
      </c>
      <c r="AJ483">
        <v>0</v>
      </c>
      <c r="AK483">
        <v>0</v>
      </c>
      <c r="AL483">
        <v>0</v>
      </c>
      <c r="AM483" s="1">
        <v>29894.26</v>
      </c>
      <c r="AN483" s="1">
        <v>29894.26</v>
      </c>
      <c r="AO483" s="1">
        <v>29894.26</v>
      </c>
      <c r="AP483" s="2">
        <v>42746</v>
      </c>
      <c r="AQ483" t="s">
        <v>72</v>
      </c>
      <c r="AR483" t="s">
        <v>72</v>
      </c>
      <c r="AS483">
        <v>1358</v>
      </c>
      <c r="AT483" s="4">
        <v>42513</v>
      </c>
      <c r="AV483">
        <v>1358</v>
      </c>
      <c r="AW483" s="4">
        <v>42513</v>
      </c>
      <c r="BD483">
        <v>0</v>
      </c>
      <c r="BN483" t="s">
        <v>74</v>
      </c>
    </row>
    <row r="484" spans="1:66" hidden="1">
      <c r="A484">
        <v>100116</v>
      </c>
      <c r="B484" s="3" t="s">
        <v>125</v>
      </c>
      <c r="C484" s="1">
        <v>43500101</v>
      </c>
      <c r="D484" t="s">
        <v>113</v>
      </c>
      <c r="H484" t="str">
        <f t="shared" si="44"/>
        <v>97095380586</v>
      </c>
      <c r="I484" t="str">
        <f t="shared" si="44"/>
        <v>97095380586</v>
      </c>
      <c r="K484" t="str">
        <f>""</f>
        <v/>
      </c>
      <c r="M484" t="s">
        <v>68</v>
      </c>
      <c r="N484" t="str">
        <f t="shared" si="45"/>
        <v>ALT</v>
      </c>
      <c r="O484" t="s">
        <v>114</v>
      </c>
      <c r="P484" s="3" t="s">
        <v>89</v>
      </c>
      <c r="Q484">
        <v>2016</v>
      </c>
      <c r="R484" s="2">
        <v>42548</v>
      </c>
      <c r="S484" s="2">
        <v>42543</v>
      </c>
      <c r="T484" s="2">
        <v>42543</v>
      </c>
      <c r="U484" s="2">
        <v>42603</v>
      </c>
      <c r="V484" t="s">
        <v>71</v>
      </c>
      <c r="W484" t="str">
        <f>"                0627"</f>
        <v xml:space="preserve">                0627</v>
      </c>
      <c r="X484">
        <v>0</v>
      </c>
      <c r="Y484" s="1">
        <v>28172.799999999999</v>
      </c>
      <c r="Z484"/>
      <c r="AB484"/>
      <c r="AC484" s="1">
        <v>28172.799999999999</v>
      </c>
      <c r="AD484">
        <v>-47</v>
      </c>
      <c r="AE484" s="1">
        <v>-1324121.6000000001</v>
      </c>
      <c r="AF484">
        <v>0</v>
      </c>
      <c r="AJ484">
        <v>0</v>
      </c>
      <c r="AK484">
        <v>0</v>
      </c>
      <c r="AL484">
        <v>0</v>
      </c>
      <c r="AM484" s="1">
        <v>28172.799999999999</v>
      </c>
      <c r="AN484" s="1">
        <v>28172.799999999999</v>
      </c>
      <c r="AO484" s="1">
        <v>28172.799999999999</v>
      </c>
      <c r="AP484" s="2">
        <v>42746</v>
      </c>
      <c r="AQ484" t="s">
        <v>72</v>
      </c>
      <c r="AR484" t="s">
        <v>72</v>
      </c>
      <c r="AS484">
        <v>1741</v>
      </c>
      <c r="AT484" s="4">
        <v>42556</v>
      </c>
      <c r="AV484">
        <v>1741</v>
      </c>
      <c r="AW484" s="4">
        <v>42556</v>
      </c>
      <c r="BD484">
        <v>0</v>
      </c>
      <c r="BN484" t="s">
        <v>74</v>
      </c>
    </row>
    <row r="485" spans="1:66" hidden="1">
      <c r="A485">
        <v>100116</v>
      </c>
      <c r="B485" s="3" t="s">
        <v>125</v>
      </c>
      <c r="C485" s="1">
        <v>43500101</v>
      </c>
      <c r="D485" t="s">
        <v>113</v>
      </c>
      <c r="H485" t="str">
        <f t="shared" si="44"/>
        <v>97095380586</v>
      </c>
      <c r="I485" t="str">
        <f t="shared" si="44"/>
        <v>97095380586</v>
      </c>
      <c r="K485" t="str">
        <f>""</f>
        <v/>
      </c>
      <c r="M485" t="s">
        <v>68</v>
      </c>
      <c r="N485" t="str">
        <f t="shared" si="45"/>
        <v>ALT</v>
      </c>
      <c r="O485" t="s">
        <v>114</v>
      </c>
      <c r="P485" s="3" t="s">
        <v>90</v>
      </c>
      <c r="Q485">
        <v>2016</v>
      </c>
      <c r="R485" s="2">
        <v>42573</v>
      </c>
      <c r="S485" s="2">
        <v>42573</v>
      </c>
      <c r="T485" s="2">
        <v>42573</v>
      </c>
      <c r="U485" s="2">
        <v>42633</v>
      </c>
      <c r="V485" t="s">
        <v>71</v>
      </c>
      <c r="W485" t="str">
        <f>"                0722"</f>
        <v xml:space="preserve">                0722</v>
      </c>
      <c r="X485">
        <v>0</v>
      </c>
      <c r="Y485" s="1">
        <v>27436.54</v>
      </c>
      <c r="Z485"/>
      <c r="AB485"/>
      <c r="AC485" s="1">
        <v>27436.54</v>
      </c>
      <c r="AD485">
        <v>-48</v>
      </c>
      <c r="AE485" s="1">
        <v>-1316953.92</v>
      </c>
      <c r="AF485">
        <v>0</v>
      </c>
      <c r="AJ485">
        <v>0</v>
      </c>
      <c r="AK485">
        <v>0</v>
      </c>
      <c r="AL485">
        <v>0</v>
      </c>
      <c r="AM485" s="1">
        <v>27436.54</v>
      </c>
      <c r="AN485" s="1">
        <v>27436.54</v>
      </c>
      <c r="AO485" s="1">
        <v>27436.54</v>
      </c>
      <c r="AP485" s="2">
        <v>42746</v>
      </c>
      <c r="AQ485" t="s">
        <v>72</v>
      </c>
      <c r="AR485" t="s">
        <v>72</v>
      </c>
      <c r="AS485">
        <v>2139</v>
      </c>
      <c r="AT485" s="4">
        <v>42585</v>
      </c>
      <c r="AV485">
        <v>2139</v>
      </c>
      <c r="AW485" s="4">
        <v>42585</v>
      </c>
      <c r="BD485">
        <v>0</v>
      </c>
      <c r="BN485" t="s">
        <v>74</v>
      </c>
    </row>
    <row r="486" spans="1:66" hidden="1">
      <c r="A486">
        <v>100116</v>
      </c>
      <c r="B486" s="3" t="s">
        <v>125</v>
      </c>
      <c r="C486" s="1">
        <v>43500101</v>
      </c>
      <c r="D486" t="s">
        <v>113</v>
      </c>
      <c r="H486" t="str">
        <f t="shared" si="44"/>
        <v>97095380586</v>
      </c>
      <c r="I486" t="str">
        <f t="shared" si="44"/>
        <v>97095380586</v>
      </c>
      <c r="K486" t="str">
        <f>""</f>
        <v/>
      </c>
      <c r="M486" t="s">
        <v>68</v>
      </c>
      <c r="N486" t="str">
        <f t="shared" si="45"/>
        <v>ALT</v>
      </c>
      <c r="O486" t="s">
        <v>114</v>
      </c>
      <c r="P486" s="3" t="s">
        <v>91</v>
      </c>
      <c r="Q486">
        <v>2016</v>
      </c>
      <c r="R486" s="2">
        <v>42592</v>
      </c>
      <c r="S486" s="2">
        <v>42598</v>
      </c>
      <c r="T486" s="2">
        <v>42598</v>
      </c>
      <c r="U486" s="2">
        <v>42658</v>
      </c>
      <c r="V486" t="s">
        <v>71</v>
      </c>
      <c r="W486" t="str">
        <f>"                0810"</f>
        <v xml:space="preserve">                0810</v>
      </c>
      <c r="X486">
        <v>0</v>
      </c>
      <c r="Y486" s="1">
        <v>27346.99</v>
      </c>
      <c r="Z486"/>
      <c r="AB486"/>
      <c r="AC486" s="1">
        <v>27346.99</v>
      </c>
      <c r="AD486">
        <v>-60</v>
      </c>
      <c r="AE486" s="1">
        <v>-1640819.4</v>
      </c>
      <c r="AF486">
        <v>0</v>
      </c>
      <c r="AJ486">
        <v>0</v>
      </c>
      <c r="AK486">
        <v>0</v>
      </c>
      <c r="AL486">
        <v>0</v>
      </c>
      <c r="AM486" s="1">
        <v>27346.99</v>
      </c>
      <c r="AN486" s="1">
        <v>27346.99</v>
      </c>
      <c r="AO486" s="1">
        <v>27346.99</v>
      </c>
      <c r="AP486" s="2">
        <v>42746</v>
      </c>
      <c r="AQ486" t="s">
        <v>72</v>
      </c>
      <c r="AR486" t="s">
        <v>72</v>
      </c>
      <c r="AS486">
        <v>2222</v>
      </c>
      <c r="AT486" s="4">
        <v>42598</v>
      </c>
      <c r="AV486">
        <v>2222</v>
      </c>
      <c r="AW486" s="4">
        <v>42598</v>
      </c>
      <c r="BD486">
        <v>0</v>
      </c>
      <c r="BN486" t="s">
        <v>74</v>
      </c>
    </row>
    <row r="487" spans="1:66" hidden="1">
      <c r="A487">
        <v>100116</v>
      </c>
      <c r="B487" s="3" t="s">
        <v>125</v>
      </c>
      <c r="C487" s="1">
        <v>43500101</v>
      </c>
      <c r="D487" t="s">
        <v>113</v>
      </c>
      <c r="H487" t="str">
        <f t="shared" ref="H487:I506" si="46">"97095380586"</f>
        <v>97095380586</v>
      </c>
      <c r="I487" t="str">
        <f t="shared" si="46"/>
        <v>97095380586</v>
      </c>
      <c r="K487" t="str">
        <f>""</f>
        <v/>
      </c>
      <c r="M487" t="s">
        <v>68</v>
      </c>
      <c r="N487" t="str">
        <f t="shared" si="45"/>
        <v>ALT</v>
      </c>
      <c r="O487" t="s">
        <v>114</v>
      </c>
      <c r="P487" s="3" t="s">
        <v>92</v>
      </c>
      <c r="Q487">
        <v>2016</v>
      </c>
      <c r="R487" s="2">
        <v>42633</v>
      </c>
      <c r="S487" s="2">
        <v>42634</v>
      </c>
      <c r="T487" s="2">
        <v>42634</v>
      </c>
      <c r="U487" s="2">
        <v>42694</v>
      </c>
      <c r="V487" t="s">
        <v>71</v>
      </c>
      <c r="W487" t="str">
        <f>"                0920"</f>
        <v xml:space="preserve">                0920</v>
      </c>
      <c r="X487">
        <v>0</v>
      </c>
      <c r="Y487" s="1">
        <v>26291.88</v>
      </c>
      <c r="Z487"/>
      <c r="AB487"/>
      <c r="AC487" s="1">
        <v>26291.88</v>
      </c>
      <c r="AD487">
        <v>-60</v>
      </c>
      <c r="AE487" s="1">
        <v>-1577512.8</v>
      </c>
      <c r="AF487">
        <v>0</v>
      </c>
      <c r="AJ487">
        <v>0</v>
      </c>
      <c r="AK487">
        <v>0</v>
      </c>
      <c r="AL487">
        <v>0</v>
      </c>
      <c r="AM487" s="1">
        <v>26291.88</v>
      </c>
      <c r="AN487" s="1">
        <v>26291.88</v>
      </c>
      <c r="AO487" s="1">
        <v>26291.88</v>
      </c>
      <c r="AP487" s="2">
        <v>42746</v>
      </c>
      <c r="AQ487" t="s">
        <v>72</v>
      </c>
      <c r="AR487" t="s">
        <v>72</v>
      </c>
      <c r="AS487">
        <v>2495</v>
      </c>
      <c r="AT487" s="4">
        <v>42634</v>
      </c>
      <c r="AV487">
        <v>2495</v>
      </c>
      <c r="AW487" s="4">
        <v>42634</v>
      </c>
      <c r="BD487">
        <v>0</v>
      </c>
      <c r="BN487" t="s">
        <v>74</v>
      </c>
    </row>
    <row r="488" spans="1:66" hidden="1">
      <c r="A488">
        <v>100116</v>
      </c>
      <c r="B488" s="3" t="s">
        <v>125</v>
      </c>
      <c r="C488" s="1">
        <v>43500101</v>
      </c>
      <c r="D488" t="s">
        <v>113</v>
      </c>
      <c r="H488" t="str">
        <f t="shared" si="46"/>
        <v>97095380586</v>
      </c>
      <c r="I488" t="str">
        <f t="shared" si="46"/>
        <v>97095380586</v>
      </c>
      <c r="K488" t="str">
        <f>""</f>
        <v/>
      </c>
      <c r="M488" t="s">
        <v>68</v>
      </c>
      <c r="N488" t="str">
        <f t="shared" si="45"/>
        <v>ALT</v>
      </c>
      <c r="O488" t="s">
        <v>114</v>
      </c>
      <c r="P488" s="3" t="s">
        <v>93</v>
      </c>
      <c r="Q488">
        <v>2016</v>
      </c>
      <c r="R488" s="2">
        <v>42664</v>
      </c>
      <c r="S488" s="2">
        <v>42667</v>
      </c>
      <c r="T488" s="2">
        <v>42667</v>
      </c>
      <c r="U488" s="2">
        <v>42727</v>
      </c>
      <c r="V488" t="s">
        <v>71</v>
      </c>
      <c r="W488" t="str">
        <f>"                1021"</f>
        <v xml:space="preserve">                1021</v>
      </c>
      <c r="X488">
        <v>0</v>
      </c>
      <c r="Y488" s="1">
        <v>26017.71</v>
      </c>
      <c r="Z488" s="5">
        <v>26017.71</v>
      </c>
      <c r="AA488">
        <v>-60</v>
      </c>
      <c r="AB488" s="5">
        <v>-1561062.6</v>
      </c>
      <c r="AC488" s="1">
        <v>26017.71</v>
      </c>
      <c r="AD488">
        <v>-60</v>
      </c>
      <c r="AE488" s="1">
        <v>-1561062.6</v>
      </c>
      <c r="AF488">
        <v>0</v>
      </c>
      <c r="AJ488" s="1">
        <v>26017.71</v>
      </c>
      <c r="AK488" s="1">
        <v>26017.71</v>
      </c>
      <c r="AL488" s="1">
        <v>26017.71</v>
      </c>
      <c r="AM488" s="1">
        <v>26017.71</v>
      </c>
      <c r="AN488" s="1">
        <v>26017.71</v>
      </c>
      <c r="AO488" s="1">
        <v>26017.71</v>
      </c>
      <c r="AP488" s="2">
        <v>42746</v>
      </c>
      <c r="AQ488" t="s">
        <v>72</v>
      </c>
      <c r="AR488" t="s">
        <v>72</v>
      </c>
      <c r="AS488">
        <v>2843</v>
      </c>
      <c r="AT488" s="4">
        <v>42667</v>
      </c>
      <c r="AV488">
        <v>2843</v>
      </c>
      <c r="AW488" s="4">
        <v>42667</v>
      </c>
      <c r="BD488">
        <v>0</v>
      </c>
      <c r="BN488" t="s">
        <v>74</v>
      </c>
    </row>
    <row r="489" spans="1:66" hidden="1">
      <c r="A489">
        <v>100116</v>
      </c>
      <c r="B489" s="3" t="s">
        <v>125</v>
      </c>
      <c r="C489" s="1">
        <v>43500101</v>
      </c>
      <c r="D489" t="s">
        <v>113</v>
      </c>
      <c r="H489" t="str">
        <f t="shared" si="46"/>
        <v>97095380586</v>
      </c>
      <c r="I489" t="str">
        <f t="shared" si="46"/>
        <v>97095380586</v>
      </c>
      <c r="K489" t="str">
        <f>""</f>
        <v/>
      </c>
      <c r="M489" t="s">
        <v>68</v>
      </c>
      <c r="N489" t="str">
        <f t="shared" si="45"/>
        <v>ALT</v>
      </c>
      <c r="O489" t="s">
        <v>114</v>
      </c>
      <c r="P489" s="3" t="s">
        <v>94</v>
      </c>
      <c r="Q489">
        <v>2016</v>
      </c>
      <c r="R489" s="2">
        <v>42696</v>
      </c>
      <c r="S489" s="2">
        <v>42696</v>
      </c>
      <c r="T489" s="2">
        <v>42696</v>
      </c>
      <c r="U489" s="2">
        <v>42756</v>
      </c>
      <c r="V489" t="s">
        <v>71</v>
      </c>
      <c r="W489" t="str">
        <f>"                1122"</f>
        <v xml:space="preserve">                1122</v>
      </c>
      <c r="X489">
        <v>0</v>
      </c>
      <c r="Y489" s="1">
        <v>25536.6</v>
      </c>
      <c r="Z489" s="5">
        <v>25536.6</v>
      </c>
      <c r="AA489">
        <v>-59</v>
      </c>
      <c r="AB489" s="5">
        <v>-1506659.4</v>
      </c>
      <c r="AC489" s="1">
        <v>25536.6</v>
      </c>
      <c r="AD489">
        <v>-59</v>
      </c>
      <c r="AE489" s="1">
        <v>-1506659.4</v>
      </c>
      <c r="AF489">
        <v>0</v>
      </c>
      <c r="AJ489" s="1">
        <v>25536.6</v>
      </c>
      <c r="AK489" s="1">
        <v>25536.6</v>
      </c>
      <c r="AL489" s="1">
        <v>25536.6</v>
      </c>
      <c r="AM489" s="1">
        <v>25536.6</v>
      </c>
      <c r="AN489" s="1">
        <v>25536.6</v>
      </c>
      <c r="AO489" s="1">
        <v>25536.6</v>
      </c>
      <c r="AP489" s="2">
        <v>42746</v>
      </c>
      <c r="AQ489" t="s">
        <v>72</v>
      </c>
      <c r="AR489" t="s">
        <v>72</v>
      </c>
      <c r="AS489">
        <v>3281</v>
      </c>
      <c r="AT489" s="4">
        <v>42697</v>
      </c>
      <c r="AV489">
        <v>3281</v>
      </c>
      <c r="AW489" s="4">
        <v>42697</v>
      </c>
      <c r="BD489">
        <v>0</v>
      </c>
      <c r="BN489" t="s">
        <v>74</v>
      </c>
    </row>
    <row r="490" spans="1:66" hidden="1">
      <c r="A490">
        <v>100116</v>
      </c>
      <c r="B490" s="3" t="s">
        <v>125</v>
      </c>
      <c r="C490" s="1">
        <v>43500101</v>
      </c>
      <c r="D490" t="s">
        <v>113</v>
      </c>
      <c r="H490" t="str">
        <f t="shared" si="46"/>
        <v>97095380586</v>
      </c>
      <c r="I490" t="str">
        <f t="shared" si="46"/>
        <v>97095380586</v>
      </c>
      <c r="K490" t="str">
        <f>""</f>
        <v/>
      </c>
      <c r="M490" t="s">
        <v>68</v>
      </c>
      <c r="N490" t="str">
        <f t="shared" si="45"/>
        <v>ALT</v>
      </c>
      <c r="O490" t="s">
        <v>114</v>
      </c>
      <c r="P490" s="3" t="s">
        <v>95</v>
      </c>
      <c r="Q490">
        <v>2016</v>
      </c>
      <c r="R490" s="2">
        <v>42717</v>
      </c>
      <c r="S490" s="2">
        <v>42717</v>
      </c>
      <c r="T490" s="2">
        <v>42717</v>
      </c>
      <c r="U490" s="2">
        <v>42777</v>
      </c>
      <c r="V490" t="s">
        <v>71</v>
      </c>
      <c r="W490" t="str">
        <f>"                1213"</f>
        <v xml:space="preserve">                1213</v>
      </c>
      <c r="X490">
        <v>0</v>
      </c>
      <c r="Y490" s="1">
        <v>24862.14</v>
      </c>
      <c r="Z490" s="5">
        <v>24862.14</v>
      </c>
      <c r="AA490">
        <v>-59</v>
      </c>
      <c r="AB490" s="5">
        <v>-1466866.26</v>
      </c>
      <c r="AC490" s="1">
        <v>24862.14</v>
      </c>
      <c r="AD490">
        <v>-59</v>
      </c>
      <c r="AE490" s="1">
        <v>-1466866.26</v>
      </c>
      <c r="AF490">
        <v>0</v>
      </c>
      <c r="AJ490" s="1">
        <v>24862.14</v>
      </c>
      <c r="AK490" s="1">
        <v>24862.14</v>
      </c>
      <c r="AL490" s="1">
        <v>24862.14</v>
      </c>
      <c r="AM490" s="1">
        <v>24862.14</v>
      </c>
      <c r="AN490" s="1">
        <v>24862.14</v>
      </c>
      <c r="AO490" s="1">
        <v>24862.14</v>
      </c>
      <c r="AP490" s="2">
        <v>42746</v>
      </c>
      <c r="AQ490" t="s">
        <v>72</v>
      </c>
      <c r="AR490" t="s">
        <v>72</v>
      </c>
      <c r="AS490">
        <v>3438</v>
      </c>
      <c r="AT490" s="4">
        <v>42718</v>
      </c>
      <c r="AV490">
        <v>3438</v>
      </c>
      <c r="AW490" s="4">
        <v>42718</v>
      </c>
      <c r="BD490">
        <v>0</v>
      </c>
      <c r="BN490" t="s">
        <v>74</v>
      </c>
    </row>
    <row r="491" spans="1:66" hidden="1">
      <c r="A491">
        <v>100117</v>
      </c>
      <c r="B491" s="3" t="s">
        <v>126</v>
      </c>
      <c r="C491" s="1">
        <v>43500101</v>
      </c>
      <c r="D491" t="s">
        <v>113</v>
      </c>
      <c r="H491" t="str">
        <f t="shared" si="46"/>
        <v>97095380586</v>
      </c>
      <c r="I491" t="str">
        <f t="shared" si="46"/>
        <v>97095380586</v>
      </c>
      <c r="K491" t="str">
        <f>""</f>
        <v/>
      </c>
      <c r="M491" t="s">
        <v>68</v>
      </c>
      <c r="N491" t="str">
        <f t="shared" si="45"/>
        <v>ALT</v>
      </c>
      <c r="O491" t="s">
        <v>114</v>
      </c>
      <c r="P491" s="3" t="s">
        <v>84</v>
      </c>
      <c r="Q491">
        <v>2016</v>
      </c>
      <c r="R491" s="2">
        <v>42389</v>
      </c>
      <c r="S491" s="2">
        <v>42390</v>
      </c>
      <c r="T491" s="2">
        <v>42390</v>
      </c>
      <c r="U491" s="2">
        <v>42450</v>
      </c>
      <c r="V491" t="s">
        <v>71</v>
      </c>
      <c r="W491" t="str">
        <f>"                0120"</f>
        <v xml:space="preserve">                0120</v>
      </c>
      <c r="X491">
        <v>0</v>
      </c>
      <c r="Y491" s="1">
        <v>18417.419999999998</v>
      </c>
      <c r="Z491"/>
      <c r="AB491"/>
      <c r="AC491" s="1">
        <v>18417.419999999998</v>
      </c>
      <c r="AD491">
        <v>-60</v>
      </c>
      <c r="AE491" s="1">
        <v>-1105045.2</v>
      </c>
      <c r="AF491">
        <v>0</v>
      </c>
      <c r="AJ491">
        <v>0</v>
      </c>
      <c r="AK491">
        <v>0</v>
      </c>
      <c r="AL491">
        <v>0</v>
      </c>
      <c r="AM491" s="1">
        <v>18417.419999999998</v>
      </c>
      <c r="AN491" s="1">
        <v>18417.419999999998</v>
      </c>
      <c r="AO491" s="1">
        <v>18417.419999999998</v>
      </c>
      <c r="AP491" s="2">
        <v>42746</v>
      </c>
      <c r="AQ491" t="s">
        <v>72</v>
      </c>
      <c r="AR491" t="s">
        <v>72</v>
      </c>
      <c r="AS491">
        <v>91</v>
      </c>
      <c r="AT491" s="4">
        <v>42390</v>
      </c>
      <c r="AV491">
        <v>91</v>
      </c>
      <c r="AW491" s="4">
        <v>42390</v>
      </c>
      <c r="BD491">
        <v>0</v>
      </c>
      <c r="BN491" t="s">
        <v>74</v>
      </c>
    </row>
    <row r="492" spans="1:66" hidden="1">
      <c r="A492">
        <v>100117</v>
      </c>
      <c r="B492" s="3" t="s">
        <v>126</v>
      </c>
      <c r="C492" s="1">
        <v>43500101</v>
      </c>
      <c r="D492" t="s">
        <v>113</v>
      </c>
      <c r="H492" t="str">
        <f t="shared" si="46"/>
        <v>97095380586</v>
      </c>
      <c r="I492" t="str">
        <f t="shared" si="46"/>
        <v>97095380586</v>
      </c>
      <c r="K492" t="str">
        <f>""</f>
        <v/>
      </c>
      <c r="M492" t="s">
        <v>68</v>
      </c>
      <c r="N492" t="str">
        <f t="shared" si="45"/>
        <v>ALT</v>
      </c>
      <c r="O492" t="s">
        <v>114</v>
      </c>
      <c r="P492" s="3" t="s">
        <v>85</v>
      </c>
      <c r="Q492">
        <v>2016</v>
      </c>
      <c r="R492" s="2">
        <v>42422</v>
      </c>
      <c r="S492" s="2">
        <v>42422</v>
      </c>
      <c r="T492" s="2">
        <v>42422</v>
      </c>
      <c r="U492" s="2">
        <v>42482</v>
      </c>
      <c r="V492" t="s">
        <v>71</v>
      </c>
      <c r="W492" t="str">
        <f>"                0222"</f>
        <v xml:space="preserve">                0222</v>
      </c>
      <c r="X492">
        <v>0</v>
      </c>
      <c r="Y492" s="1">
        <v>18358.48</v>
      </c>
      <c r="Z492"/>
      <c r="AB492"/>
      <c r="AC492" s="1">
        <v>18358.48</v>
      </c>
      <c r="AD492">
        <v>-58</v>
      </c>
      <c r="AE492" s="1">
        <v>-1064791.8400000001</v>
      </c>
      <c r="AF492">
        <v>0</v>
      </c>
      <c r="AJ492">
        <v>0</v>
      </c>
      <c r="AK492">
        <v>0</v>
      </c>
      <c r="AL492">
        <v>0</v>
      </c>
      <c r="AM492" s="1">
        <v>18358.48</v>
      </c>
      <c r="AN492" s="1">
        <v>18358.48</v>
      </c>
      <c r="AO492" s="1">
        <v>18358.48</v>
      </c>
      <c r="AP492" s="2">
        <v>42746</v>
      </c>
      <c r="AQ492" t="s">
        <v>72</v>
      </c>
      <c r="AR492" t="s">
        <v>72</v>
      </c>
      <c r="AS492">
        <v>535</v>
      </c>
      <c r="AT492" s="4">
        <v>42424</v>
      </c>
      <c r="AV492">
        <v>535</v>
      </c>
      <c r="AW492" s="4">
        <v>42424</v>
      </c>
      <c r="BD492">
        <v>0</v>
      </c>
      <c r="BN492" t="s">
        <v>74</v>
      </c>
    </row>
    <row r="493" spans="1:66" hidden="1">
      <c r="A493">
        <v>100117</v>
      </c>
      <c r="B493" s="3" t="s">
        <v>126</v>
      </c>
      <c r="C493" s="1">
        <v>43500101</v>
      </c>
      <c r="D493" t="s">
        <v>113</v>
      </c>
      <c r="H493" t="str">
        <f t="shared" si="46"/>
        <v>97095380586</v>
      </c>
      <c r="I493" t="str">
        <f t="shared" si="46"/>
        <v>97095380586</v>
      </c>
      <c r="K493" t="str">
        <f>""</f>
        <v/>
      </c>
      <c r="M493" t="s">
        <v>68</v>
      </c>
      <c r="N493" t="str">
        <f t="shared" si="45"/>
        <v>ALT</v>
      </c>
      <c r="O493" t="s">
        <v>114</v>
      </c>
      <c r="P493" s="3" t="s">
        <v>86</v>
      </c>
      <c r="Q493">
        <v>2016</v>
      </c>
      <c r="R493" s="2">
        <v>42450</v>
      </c>
      <c r="S493" s="2">
        <v>42450</v>
      </c>
      <c r="T493" s="2">
        <v>42450</v>
      </c>
      <c r="U493" s="2">
        <v>42510</v>
      </c>
      <c r="V493" t="s">
        <v>71</v>
      </c>
      <c r="W493" t="str">
        <f>"                0321"</f>
        <v xml:space="preserve">                0321</v>
      </c>
      <c r="X493">
        <v>0</v>
      </c>
      <c r="Y493" s="1">
        <v>18358.48</v>
      </c>
      <c r="Z493"/>
      <c r="AB493"/>
      <c r="AC493" s="1">
        <v>18358.48</v>
      </c>
      <c r="AD493">
        <v>-57</v>
      </c>
      <c r="AE493" s="1">
        <v>-1046433.36</v>
      </c>
      <c r="AF493">
        <v>0</v>
      </c>
      <c r="AJ493">
        <v>0</v>
      </c>
      <c r="AK493">
        <v>0</v>
      </c>
      <c r="AL493">
        <v>0</v>
      </c>
      <c r="AM493" s="1">
        <v>18358.48</v>
      </c>
      <c r="AN493" s="1">
        <v>18358.48</v>
      </c>
      <c r="AO493" s="1">
        <v>18358.48</v>
      </c>
      <c r="AP493" s="2">
        <v>42746</v>
      </c>
      <c r="AQ493" t="s">
        <v>72</v>
      </c>
      <c r="AR493" t="s">
        <v>72</v>
      </c>
      <c r="AS493">
        <v>957</v>
      </c>
      <c r="AT493" s="4">
        <v>42453</v>
      </c>
      <c r="AV493">
        <v>957</v>
      </c>
      <c r="AW493" s="4">
        <v>42453</v>
      </c>
      <c r="BD493">
        <v>0</v>
      </c>
      <c r="BN493" t="s">
        <v>74</v>
      </c>
    </row>
    <row r="494" spans="1:66" hidden="1">
      <c r="A494">
        <v>100117</v>
      </c>
      <c r="B494" s="3" t="s">
        <v>126</v>
      </c>
      <c r="C494" s="1">
        <v>43500101</v>
      </c>
      <c r="D494" t="s">
        <v>113</v>
      </c>
      <c r="H494" t="str">
        <f t="shared" si="46"/>
        <v>97095380586</v>
      </c>
      <c r="I494" t="str">
        <f t="shared" si="46"/>
        <v>97095380586</v>
      </c>
      <c r="K494" t="str">
        <f>""</f>
        <v/>
      </c>
      <c r="M494" t="s">
        <v>68</v>
      </c>
      <c r="N494" t="str">
        <f t="shared" si="45"/>
        <v>ALT</v>
      </c>
      <c r="O494" t="s">
        <v>114</v>
      </c>
      <c r="P494" s="3" t="s">
        <v>87</v>
      </c>
      <c r="Q494">
        <v>2016</v>
      </c>
      <c r="R494" s="2">
        <v>42481</v>
      </c>
      <c r="S494" s="2">
        <v>42481</v>
      </c>
      <c r="T494" s="2">
        <v>42481</v>
      </c>
      <c r="U494" s="2">
        <v>42541</v>
      </c>
      <c r="V494" t="s">
        <v>71</v>
      </c>
      <c r="W494" t="str">
        <f>"                0421"</f>
        <v xml:space="preserve">                0421</v>
      </c>
      <c r="X494">
        <v>0</v>
      </c>
      <c r="Y494" s="1">
        <v>17809.23</v>
      </c>
      <c r="Z494"/>
      <c r="AB494"/>
      <c r="AC494" s="1">
        <v>17809.23</v>
      </c>
      <c r="AD494">
        <v>-60</v>
      </c>
      <c r="AE494" s="1">
        <v>-1068553.8</v>
      </c>
      <c r="AF494">
        <v>0</v>
      </c>
      <c r="AJ494">
        <v>0</v>
      </c>
      <c r="AK494">
        <v>0</v>
      </c>
      <c r="AL494">
        <v>0</v>
      </c>
      <c r="AM494" s="1">
        <v>17809.23</v>
      </c>
      <c r="AN494" s="1">
        <v>17809.23</v>
      </c>
      <c r="AO494" s="1">
        <v>17809.23</v>
      </c>
      <c r="AP494" s="2">
        <v>42746</v>
      </c>
      <c r="AQ494" t="s">
        <v>72</v>
      </c>
      <c r="AR494" t="s">
        <v>72</v>
      </c>
      <c r="AS494">
        <v>1122</v>
      </c>
      <c r="AT494" s="4">
        <v>42481</v>
      </c>
      <c r="AV494">
        <v>1122</v>
      </c>
      <c r="AW494" s="4">
        <v>42481</v>
      </c>
      <c r="BD494">
        <v>0</v>
      </c>
      <c r="BN494" t="s">
        <v>74</v>
      </c>
    </row>
    <row r="495" spans="1:66" hidden="1">
      <c r="A495">
        <v>100117</v>
      </c>
      <c r="B495" s="3" t="s">
        <v>126</v>
      </c>
      <c r="C495" s="1">
        <v>43500101</v>
      </c>
      <c r="D495" t="s">
        <v>113</v>
      </c>
      <c r="H495" t="str">
        <f t="shared" si="46"/>
        <v>97095380586</v>
      </c>
      <c r="I495" t="str">
        <f t="shared" si="46"/>
        <v>97095380586</v>
      </c>
      <c r="K495" t="str">
        <f>""</f>
        <v/>
      </c>
      <c r="M495" t="s">
        <v>68</v>
      </c>
      <c r="N495" t="str">
        <f t="shared" si="45"/>
        <v>ALT</v>
      </c>
      <c r="O495" t="s">
        <v>114</v>
      </c>
      <c r="P495" s="3" t="s">
        <v>88</v>
      </c>
      <c r="Q495">
        <v>2016</v>
      </c>
      <c r="R495" s="2">
        <v>42508</v>
      </c>
      <c r="S495" s="2">
        <v>42510</v>
      </c>
      <c r="T495" s="2">
        <v>42510</v>
      </c>
      <c r="U495" s="2">
        <v>42570</v>
      </c>
      <c r="V495" t="s">
        <v>71</v>
      </c>
      <c r="W495" t="str">
        <f>"                0518"</f>
        <v xml:space="preserve">                0518</v>
      </c>
      <c r="X495">
        <v>0</v>
      </c>
      <c r="Y495" s="1">
        <v>16449.939999999999</v>
      </c>
      <c r="Z495"/>
      <c r="AB495"/>
      <c r="AC495" s="1">
        <v>16449.939999999999</v>
      </c>
      <c r="AD495">
        <v>-57</v>
      </c>
      <c r="AE495" s="1">
        <v>-937646.58</v>
      </c>
      <c r="AF495">
        <v>0</v>
      </c>
      <c r="AJ495">
        <v>0</v>
      </c>
      <c r="AK495">
        <v>0</v>
      </c>
      <c r="AL495">
        <v>0</v>
      </c>
      <c r="AM495" s="1">
        <v>16449.939999999999</v>
      </c>
      <c r="AN495" s="1">
        <v>16449.939999999999</v>
      </c>
      <c r="AO495" s="1">
        <v>16449.939999999999</v>
      </c>
      <c r="AP495" s="2">
        <v>42746</v>
      </c>
      <c r="AQ495" t="s">
        <v>72</v>
      </c>
      <c r="AR495" t="s">
        <v>72</v>
      </c>
      <c r="AS495">
        <v>1360</v>
      </c>
      <c r="AT495" s="4">
        <v>42513</v>
      </c>
      <c r="AV495">
        <v>1360</v>
      </c>
      <c r="AW495" s="4">
        <v>42513</v>
      </c>
      <c r="BD495">
        <v>0</v>
      </c>
      <c r="BN495" t="s">
        <v>74</v>
      </c>
    </row>
    <row r="496" spans="1:66" hidden="1">
      <c r="A496">
        <v>100117</v>
      </c>
      <c r="B496" s="3" t="s">
        <v>126</v>
      </c>
      <c r="C496" s="1">
        <v>43500101</v>
      </c>
      <c r="D496" t="s">
        <v>113</v>
      </c>
      <c r="H496" t="str">
        <f t="shared" si="46"/>
        <v>97095380586</v>
      </c>
      <c r="I496" t="str">
        <f t="shared" si="46"/>
        <v>97095380586</v>
      </c>
      <c r="K496" t="str">
        <f>""</f>
        <v/>
      </c>
      <c r="M496" t="s">
        <v>68</v>
      </c>
      <c r="N496" t="str">
        <f t="shared" si="45"/>
        <v>ALT</v>
      </c>
      <c r="O496" t="s">
        <v>114</v>
      </c>
      <c r="P496" s="3" t="s">
        <v>89</v>
      </c>
      <c r="Q496">
        <v>2016</v>
      </c>
      <c r="R496" s="2">
        <v>42548</v>
      </c>
      <c r="S496" s="2">
        <v>42543</v>
      </c>
      <c r="T496" s="2">
        <v>42543</v>
      </c>
      <c r="U496" s="2">
        <v>42603</v>
      </c>
      <c r="V496" t="s">
        <v>71</v>
      </c>
      <c r="W496" t="str">
        <f>"                0627"</f>
        <v xml:space="preserve">                0627</v>
      </c>
      <c r="X496">
        <v>0</v>
      </c>
      <c r="Y496" s="1">
        <v>15747.94</v>
      </c>
      <c r="Z496"/>
      <c r="AB496"/>
      <c r="AC496" s="1">
        <v>15747.94</v>
      </c>
      <c r="AD496">
        <v>-47</v>
      </c>
      <c r="AE496" s="1">
        <v>-740153.18</v>
      </c>
      <c r="AF496">
        <v>0</v>
      </c>
      <c r="AJ496">
        <v>0</v>
      </c>
      <c r="AK496">
        <v>0</v>
      </c>
      <c r="AL496">
        <v>0</v>
      </c>
      <c r="AM496" s="1">
        <v>15747.94</v>
      </c>
      <c r="AN496" s="1">
        <v>15747.94</v>
      </c>
      <c r="AO496" s="1">
        <v>15747.94</v>
      </c>
      <c r="AP496" s="2">
        <v>42746</v>
      </c>
      <c r="AQ496" t="s">
        <v>72</v>
      </c>
      <c r="AR496" t="s">
        <v>72</v>
      </c>
      <c r="AS496">
        <v>1743</v>
      </c>
      <c r="AT496" s="4">
        <v>42556</v>
      </c>
      <c r="AV496">
        <v>1743</v>
      </c>
      <c r="AW496" s="4">
        <v>42556</v>
      </c>
      <c r="BD496">
        <v>0</v>
      </c>
      <c r="BN496" t="s">
        <v>74</v>
      </c>
    </row>
    <row r="497" spans="1:66" hidden="1">
      <c r="A497">
        <v>100117</v>
      </c>
      <c r="B497" s="3" t="s">
        <v>126</v>
      </c>
      <c r="C497" s="1">
        <v>43500101</v>
      </c>
      <c r="D497" t="s">
        <v>113</v>
      </c>
      <c r="H497" t="str">
        <f t="shared" si="46"/>
        <v>97095380586</v>
      </c>
      <c r="I497" t="str">
        <f t="shared" si="46"/>
        <v>97095380586</v>
      </c>
      <c r="K497" t="str">
        <f>""</f>
        <v/>
      </c>
      <c r="M497" t="s">
        <v>68</v>
      </c>
      <c r="N497" t="str">
        <f t="shared" si="45"/>
        <v>ALT</v>
      </c>
      <c r="O497" t="s">
        <v>114</v>
      </c>
      <c r="P497" s="3" t="s">
        <v>90</v>
      </c>
      <c r="Q497">
        <v>2016</v>
      </c>
      <c r="R497" s="2">
        <v>42573</v>
      </c>
      <c r="S497" s="2">
        <v>42573</v>
      </c>
      <c r="T497" s="2">
        <v>42573</v>
      </c>
      <c r="U497" s="2">
        <v>42633</v>
      </c>
      <c r="V497" t="s">
        <v>71</v>
      </c>
      <c r="W497" t="str">
        <f>"                0722"</f>
        <v xml:space="preserve">                0722</v>
      </c>
      <c r="X497">
        <v>0</v>
      </c>
      <c r="Y497" s="1">
        <v>15707.05</v>
      </c>
      <c r="Z497"/>
      <c r="AB497"/>
      <c r="AC497" s="1">
        <v>15707.05</v>
      </c>
      <c r="AD497">
        <v>-48</v>
      </c>
      <c r="AE497" s="1">
        <v>-753938.4</v>
      </c>
      <c r="AF497">
        <v>0</v>
      </c>
      <c r="AJ497">
        <v>0</v>
      </c>
      <c r="AK497">
        <v>0</v>
      </c>
      <c r="AL497">
        <v>0</v>
      </c>
      <c r="AM497" s="1">
        <v>15707.05</v>
      </c>
      <c r="AN497" s="1">
        <v>15707.05</v>
      </c>
      <c r="AO497" s="1">
        <v>15707.05</v>
      </c>
      <c r="AP497" s="2">
        <v>42746</v>
      </c>
      <c r="AQ497" t="s">
        <v>72</v>
      </c>
      <c r="AR497" t="s">
        <v>72</v>
      </c>
      <c r="AS497">
        <v>2141</v>
      </c>
      <c r="AT497" s="4">
        <v>42585</v>
      </c>
      <c r="AV497">
        <v>2141</v>
      </c>
      <c r="AW497" s="4">
        <v>42585</v>
      </c>
      <c r="BD497">
        <v>0</v>
      </c>
      <c r="BN497" t="s">
        <v>74</v>
      </c>
    </row>
    <row r="498" spans="1:66" hidden="1">
      <c r="A498">
        <v>100117</v>
      </c>
      <c r="B498" s="3" t="s">
        <v>126</v>
      </c>
      <c r="C498" s="1">
        <v>43500101</v>
      </c>
      <c r="D498" t="s">
        <v>113</v>
      </c>
      <c r="H498" t="str">
        <f t="shared" si="46"/>
        <v>97095380586</v>
      </c>
      <c r="I498" t="str">
        <f t="shared" si="46"/>
        <v>97095380586</v>
      </c>
      <c r="K498" t="str">
        <f>""</f>
        <v/>
      </c>
      <c r="M498" t="s">
        <v>68</v>
      </c>
      <c r="N498" t="str">
        <f t="shared" si="45"/>
        <v>ALT</v>
      </c>
      <c r="O498" t="s">
        <v>114</v>
      </c>
      <c r="P498" s="3" t="s">
        <v>91</v>
      </c>
      <c r="Q498">
        <v>2016</v>
      </c>
      <c r="R498" s="2">
        <v>42592</v>
      </c>
      <c r="S498" s="2">
        <v>42598</v>
      </c>
      <c r="T498" s="2">
        <v>42598</v>
      </c>
      <c r="U498" s="2">
        <v>42658</v>
      </c>
      <c r="V498" t="s">
        <v>71</v>
      </c>
      <c r="W498" t="str">
        <f>"                0810"</f>
        <v xml:space="preserve">                0810</v>
      </c>
      <c r="X498">
        <v>0</v>
      </c>
      <c r="Y498" s="1">
        <v>14917.32</v>
      </c>
      <c r="Z498"/>
      <c r="AB498"/>
      <c r="AC498" s="1">
        <v>14917.32</v>
      </c>
      <c r="AD498">
        <v>-60</v>
      </c>
      <c r="AE498" s="1">
        <v>-895039.2</v>
      </c>
      <c r="AF498">
        <v>0</v>
      </c>
      <c r="AJ498">
        <v>0</v>
      </c>
      <c r="AK498">
        <v>0</v>
      </c>
      <c r="AL498">
        <v>0</v>
      </c>
      <c r="AM498" s="1">
        <v>14917.32</v>
      </c>
      <c r="AN498" s="1">
        <v>14917.32</v>
      </c>
      <c r="AO498" s="1">
        <v>14917.32</v>
      </c>
      <c r="AP498" s="2">
        <v>42746</v>
      </c>
      <c r="AQ498" t="s">
        <v>72</v>
      </c>
      <c r="AR498" t="s">
        <v>72</v>
      </c>
      <c r="AS498">
        <v>2224</v>
      </c>
      <c r="AT498" s="4">
        <v>42598</v>
      </c>
      <c r="AV498">
        <v>2224</v>
      </c>
      <c r="AW498" s="4">
        <v>42598</v>
      </c>
      <c r="BD498">
        <v>0</v>
      </c>
      <c r="BN498" t="s">
        <v>74</v>
      </c>
    </row>
    <row r="499" spans="1:66" hidden="1">
      <c r="A499">
        <v>100117</v>
      </c>
      <c r="B499" s="3" t="s">
        <v>126</v>
      </c>
      <c r="C499" s="1">
        <v>43500101</v>
      </c>
      <c r="D499" t="s">
        <v>113</v>
      </c>
      <c r="H499" t="str">
        <f t="shared" si="46"/>
        <v>97095380586</v>
      </c>
      <c r="I499" t="str">
        <f t="shared" si="46"/>
        <v>97095380586</v>
      </c>
      <c r="K499" t="str">
        <f>""</f>
        <v/>
      </c>
      <c r="M499" t="s">
        <v>68</v>
      </c>
      <c r="N499" t="str">
        <f t="shared" si="45"/>
        <v>ALT</v>
      </c>
      <c r="O499" t="s">
        <v>114</v>
      </c>
      <c r="P499" s="3" t="s">
        <v>92</v>
      </c>
      <c r="Q499">
        <v>2016</v>
      </c>
      <c r="R499" s="2">
        <v>42633</v>
      </c>
      <c r="S499" s="2">
        <v>42634</v>
      </c>
      <c r="T499" s="2">
        <v>42634</v>
      </c>
      <c r="U499" s="2">
        <v>42694</v>
      </c>
      <c r="V499" t="s">
        <v>71</v>
      </c>
      <c r="W499" t="str">
        <f>"                0920"</f>
        <v xml:space="preserve">                0920</v>
      </c>
      <c r="X499">
        <v>0</v>
      </c>
      <c r="Y499" s="1">
        <v>14395.99</v>
      </c>
      <c r="Z499"/>
      <c r="AB499"/>
      <c r="AC499" s="1">
        <v>14395.99</v>
      </c>
      <c r="AD499">
        <v>-60</v>
      </c>
      <c r="AE499" s="1">
        <v>-863759.4</v>
      </c>
      <c r="AF499">
        <v>0</v>
      </c>
      <c r="AJ499">
        <v>0</v>
      </c>
      <c r="AK499">
        <v>0</v>
      </c>
      <c r="AL499">
        <v>0</v>
      </c>
      <c r="AM499" s="1">
        <v>14395.99</v>
      </c>
      <c r="AN499" s="1">
        <v>14395.99</v>
      </c>
      <c r="AO499" s="1">
        <v>14395.99</v>
      </c>
      <c r="AP499" s="2">
        <v>42746</v>
      </c>
      <c r="AQ499" t="s">
        <v>72</v>
      </c>
      <c r="AR499" t="s">
        <v>72</v>
      </c>
      <c r="AS499">
        <v>2497</v>
      </c>
      <c r="AT499" s="4">
        <v>42634</v>
      </c>
      <c r="AV499">
        <v>2497</v>
      </c>
      <c r="AW499" s="4">
        <v>42634</v>
      </c>
      <c r="BD499">
        <v>0</v>
      </c>
      <c r="BN499" t="s">
        <v>74</v>
      </c>
    </row>
    <row r="500" spans="1:66" hidden="1">
      <c r="A500">
        <v>100117</v>
      </c>
      <c r="B500" s="3" t="s">
        <v>126</v>
      </c>
      <c r="C500" s="1">
        <v>43500101</v>
      </c>
      <c r="D500" t="s">
        <v>113</v>
      </c>
      <c r="H500" t="str">
        <f t="shared" si="46"/>
        <v>97095380586</v>
      </c>
      <c r="I500" t="str">
        <f t="shared" si="46"/>
        <v>97095380586</v>
      </c>
      <c r="K500" t="str">
        <f>""</f>
        <v/>
      </c>
      <c r="M500" t="s">
        <v>68</v>
      </c>
      <c r="N500" t="str">
        <f t="shared" si="45"/>
        <v>ALT</v>
      </c>
      <c r="O500" t="s">
        <v>114</v>
      </c>
      <c r="P500" s="3" t="s">
        <v>93</v>
      </c>
      <c r="Q500">
        <v>2016</v>
      </c>
      <c r="R500" s="2">
        <v>42664</v>
      </c>
      <c r="S500" s="2">
        <v>42667</v>
      </c>
      <c r="T500" s="2">
        <v>42667</v>
      </c>
      <c r="U500" s="2">
        <v>42727</v>
      </c>
      <c r="V500" t="s">
        <v>71</v>
      </c>
      <c r="W500" t="str">
        <f>"                1021"</f>
        <v xml:space="preserve">                1021</v>
      </c>
      <c r="X500">
        <v>0</v>
      </c>
      <c r="Y500" s="1">
        <v>14294.56</v>
      </c>
      <c r="Z500" s="5">
        <v>14294.56</v>
      </c>
      <c r="AA500">
        <v>-60</v>
      </c>
      <c r="AB500" s="5">
        <v>-857673.6</v>
      </c>
      <c r="AC500" s="1">
        <v>14294.56</v>
      </c>
      <c r="AD500">
        <v>-60</v>
      </c>
      <c r="AE500" s="1">
        <v>-857673.6</v>
      </c>
      <c r="AF500">
        <v>0</v>
      </c>
      <c r="AJ500" s="1">
        <v>14294.56</v>
      </c>
      <c r="AK500" s="1">
        <v>14294.56</v>
      </c>
      <c r="AL500" s="1">
        <v>14294.56</v>
      </c>
      <c r="AM500" s="1">
        <v>14294.56</v>
      </c>
      <c r="AN500" s="1">
        <v>14294.56</v>
      </c>
      <c r="AO500" s="1">
        <v>14294.56</v>
      </c>
      <c r="AP500" s="2">
        <v>42746</v>
      </c>
      <c r="AQ500" t="s">
        <v>72</v>
      </c>
      <c r="AR500" t="s">
        <v>72</v>
      </c>
      <c r="AS500">
        <v>2845</v>
      </c>
      <c r="AT500" s="4">
        <v>42667</v>
      </c>
      <c r="AV500">
        <v>2845</v>
      </c>
      <c r="AW500" s="4">
        <v>42667</v>
      </c>
      <c r="BD500">
        <v>0</v>
      </c>
      <c r="BN500" t="s">
        <v>74</v>
      </c>
    </row>
    <row r="501" spans="1:66" hidden="1">
      <c r="A501">
        <v>100117</v>
      </c>
      <c r="B501" s="3" t="s">
        <v>126</v>
      </c>
      <c r="C501" s="1">
        <v>43500101</v>
      </c>
      <c r="D501" t="s">
        <v>113</v>
      </c>
      <c r="H501" t="str">
        <f t="shared" si="46"/>
        <v>97095380586</v>
      </c>
      <c r="I501" t="str">
        <f t="shared" si="46"/>
        <v>97095380586</v>
      </c>
      <c r="K501" t="str">
        <f>""</f>
        <v/>
      </c>
      <c r="M501" t="s">
        <v>68</v>
      </c>
      <c r="N501" t="str">
        <f t="shared" si="45"/>
        <v>ALT</v>
      </c>
      <c r="O501" t="s">
        <v>114</v>
      </c>
      <c r="P501" s="3" t="s">
        <v>94</v>
      </c>
      <c r="Q501">
        <v>2016</v>
      </c>
      <c r="R501" s="2">
        <v>42696</v>
      </c>
      <c r="S501" s="2">
        <v>42696</v>
      </c>
      <c r="T501" s="2">
        <v>42696</v>
      </c>
      <c r="U501" s="2">
        <v>42756</v>
      </c>
      <c r="V501" t="s">
        <v>71</v>
      </c>
      <c r="W501" t="str">
        <f>"                1122"</f>
        <v xml:space="preserve">                1122</v>
      </c>
      <c r="X501">
        <v>0</v>
      </c>
      <c r="Y501" s="1">
        <v>13985.82</v>
      </c>
      <c r="Z501" s="5">
        <v>13985.82</v>
      </c>
      <c r="AA501">
        <v>-59</v>
      </c>
      <c r="AB501" s="5">
        <v>-825163.38</v>
      </c>
      <c r="AC501" s="1">
        <v>13985.82</v>
      </c>
      <c r="AD501">
        <v>-59</v>
      </c>
      <c r="AE501" s="1">
        <v>-825163.38</v>
      </c>
      <c r="AF501">
        <v>0</v>
      </c>
      <c r="AJ501" s="1">
        <v>13985.82</v>
      </c>
      <c r="AK501" s="1">
        <v>13985.82</v>
      </c>
      <c r="AL501" s="1">
        <v>13985.82</v>
      </c>
      <c r="AM501" s="1">
        <v>13985.82</v>
      </c>
      <c r="AN501" s="1">
        <v>13985.82</v>
      </c>
      <c r="AO501" s="1">
        <v>13985.82</v>
      </c>
      <c r="AP501" s="2">
        <v>42746</v>
      </c>
      <c r="AQ501" t="s">
        <v>72</v>
      </c>
      <c r="AR501" t="s">
        <v>72</v>
      </c>
      <c r="AS501">
        <v>3283</v>
      </c>
      <c r="AT501" s="4">
        <v>42697</v>
      </c>
      <c r="AV501">
        <v>3283</v>
      </c>
      <c r="AW501" s="4">
        <v>42697</v>
      </c>
      <c r="BD501">
        <v>0</v>
      </c>
      <c r="BN501" t="s">
        <v>74</v>
      </c>
    </row>
    <row r="502" spans="1:66" hidden="1">
      <c r="A502">
        <v>100117</v>
      </c>
      <c r="B502" s="3" t="s">
        <v>126</v>
      </c>
      <c r="C502" s="1">
        <v>43500101</v>
      </c>
      <c r="D502" t="s">
        <v>113</v>
      </c>
      <c r="H502" t="str">
        <f t="shared" si="46"/>
        <v>97095380586</v>
      </c>
      <c r="I502" t="str">
        <f t="shared" si="46"/>
        <v>97095380586</v>
      </c>
      <c r="K502" t="str">
        <f>""</f>
        <v/>
      </c>
      <c r="M502" t="s">
        <v>68</v>
      </c>
      <c r="N502" t="str">
        <f t="shared" si="45"/>
        <v>ALT</v>
      </c>
      <c r="O502" t="s">
        <v>114</v>
      </c>
      <c r="P502" s="3" t="s">
        <v>95</v>
      </c>
      <c r="Q502">
        <v>2016</v>
      </c>
      <c r="R502" s="2">
        <v>42717</v>
      </c>
      <c r="S502" s="2">
        <v>42717</v>
      </c>
      <c r="T502" s="2">
        <v>42717</v>
      </c>
      <c r="U502" s="2">
        <v>42777</v>
      </c>
      <c r="V502" t="s">
        <v>71</v>
      </c>
      <c r="W502" t="str">
        <f>"                1213"</f>
        <v xml:space="preserve">                1213</v>
      </c>
      <c r="X502">
        <v>0</v>
      </c>
      <c r="Y502" s="1">
        <v>13883.83</v>
      </c>
      <c r="Z502" s="5">
        <v>13883.83</v>
      </c>
      <c r="AA502">
        <v>-59</v>
      </c>
      <c r="AB502" s="5">
        <v>-819145.97</v>
      </c>
      <c r="AC502" s="1">
        <v>13883.83</v>
      </c>
      <c r="AD502">
        <v>-59</v>
      </c>
      <c r="AE502" s="1">
        <v>-819145.97</v>
      </c>
      <c r="AF502">
        <v>0</v>
      </c>
      <c r="AJ502" s="1">
        <v>13883.83</v>
      </c>
      <c r="AK502" s="1">
        <v>13883.83</v>
      </c>
      <c r="AL502" s="1">
        <v>13883.83</v>
      </c>
      <c r="AM502" s="1">
        <v>13883.83</v>
      </c>
      <c r="AN502" s="1">
        <v>13883.83</v>
      </c>
      <c r="AO502" s="1">
        <v>13883.83</v>
      </c>
      <c r="AP502" s="2">
        <v>42746</v>
      </c>
      <c r="AQ502" t="s">
        <v>72</v>
      </c>
      <c r="AR502" t="s">
        <v>72</v>
      </c>
      <c r="AS502">
        <v>3440</v>
      </c>
      <c r="AT502" s="4">
        <v>42718</v>
      </c>
      <c r="AV502">
        <v>3440</v>
      </c>
      <c r="AW502" s="4">
        <v>42718</v>
      </c>
      <c r="BD502">
        <v>0</v>
      </c>
      <c r="BN502" t="s">
        <v>74</v>
      </c>
    </row>
    <row r="503" spans="1:66" hidden="1">
      <c r="A503">
        <v>100118</v>
      </c>
      <c r="B503" s="3" t="s">
        <v>127</v>
      </c>
      <c r="C503" s="1">
        <v>43500101</v>
      </c>
      <c r="D503" t="s">
        <v>113</v>
      </c>
      <c r="H503" t="str">
        <f t="shared" si="46"/>
        <v>97095380586</v>
      </c>
      <c r="I503" t="str">
        <f t="shared" si="46"/>
        <v>97095380586</v>
      </c>
      <c r="K503" t="str">
        <f>""</f>
        <v/>
      </c>
      <c r="M503" t="s">
        <v>68</v>
      </c>
      <c r="N503" t="str">
        <f t="shared" si="45"/>
        <v>ALT</v>
      </c>
      <c r="O503" t="s">
        <v>114</v>
      </c>
      <c r="P503" s="3" t="s">
        <v>84</v>
      </c>
      <c r="Q503">
        <v>2016</v>
      </c>
      <c r="R503" s="2">
        <v>42389</v>
      </c>
      <c r="S503" s="2">
        <v>42390</v>
      </c>
      <c r="T503" s="2">
        <v>42390</v>
      </c>
      <c r="U503" s="2">
        <v>42450</v>
      </c>
      <c r="V503" t="s">
        <v>71</v>
      </c>
      <c r="W503" t="str">
        <f>"                0120"</f>
        <v xml:space="preserve">                0120</v>
      </c>
      <c r="X503">
        <v>0</v>
      </c>
      <c r="Y503" s="1">
        <v>4893.6400000000003</v>
      </c>
      <c r="Z503"/>
      <c r="AB503"/>
      <c r="AC503" s="1">
        <v>4893.6400000000003</v>
      </c>
      <c r="AD503">
        <v>-60</v>
      </c>
      <c r="AE503" s="1">
        <v>-293618.40000000002</v>
      </c>
      <c r="AF503">
        <v>0</v>
      </c>
      <c r="AJ503">
        <v>0</v>
      </c>
      <c r="AK503">
        <v>0</v>
      </c>
      <c r="AL503">
        <v>0</v>
      </c>
      <c r="AM503" s="1">
        <v>4893.6400000000003</v>
      </c>
      <c r="AN503" s="1">
        <v>4893.6400000000003</v>
      </c>
      <c r="AO503" s="1">
        <v>4893.6400000000003</v>
      </c>
      <c r="AP503" s="2">
        <v>42746</v>
      </c>
      <c r="AQ503" t="s">
        <v>72</v>
      </c>
      <c r="AR503" t="s">
        <v>72</v>
      </c>
      <c r="AS503">
        <v>88</v>
      </c>
      <c r="AT503" s="4">
        <v>42390</v>
      </c>
      <c r="AV503">
        <v>88</v>
      </c>
      <c r="AW503" s="4">
        <v>42390</v>
      </c>
      <c r="BD503">
        <v>0</v>
      </c>
      <c r="BN503" t="s">
        <v>74</v>
      </c>
    </row>
    <row r="504" spans="1:66" hidden="1">
      <c r="A504">
        <v>100118</v>
      </c>
      <c r="B504" s="3" t="s">
        <v>127</v>
      </c>
      <c r="C504" s="1">
        <v>43500101</v>
      </c>
      <c r="D504" t="s">
        <v>113</v>
      </c>
      <c r="H504" t="str">
        <f t="shared" si="46"/>
        <v>97095380586</v>
      </c>
      <c r="I504" t="str">
        <f t="shared" si="46"/>
        <v>97095380586</v>
      </c>
      <c r="K504" t="str">
        <f>""</f>
        <v/>
      </c>
      <c r="M504" t="s">
        <v>68</v>
      </c>
      <c r="N504" t="str">
        <f t="shared" si="45"/>
        <v>ALT</v>
      </c>
      <c r="O504" t="s">
        <v>114</v>
      </c>
      <c r="P504" s="3" t="s">
        <v>85</v>
      </c>
      <c r="Q504">
        <v>2016</v>
      </c>
      <c r="R504" s="2">
        <v>42422</v>
      </c>
      <c r="S504" s="2">
        <v>42422</v>
      </c>
      <c r="T504" s="2">
        <v>42422</v>
      </c>
      <c r="U504" s="2">
        <v>42482</v>
      </c>
      <c r="V504" t="s">
        <v>71</v>
      </c>
      <c r="W504" t="str">
        <f>"                0222"</f>
        <v xml:space="preserve">                0222</v>
      </c>
      <c r="X504">
        <v>0</v>
      </c>
      <c r="Y504" s="1">
        <v>4893.6400000000003</v>
      </c>
      <c r="Z504"/>
      <c r="AB504"/>
      <c r="AC504" s="1">
        <v>4893.6400000000003</v>
      </c>
      <c r="AD504">
        <v>-58</v>
      </c>
      <c r="AE504" s="1">
        <v>-283831.12</v>
      </c>
      <c r="AF504">
        <v>0</v>
      </c>
      <c r="AJ504">
        <v>0</v>
      </c>
      <c r="AK504">
        <v>0</v>
      </c>
      <c r="AL504">
        <v>0</v>
      </c>
      <c r="AM504" s="1">
        <v>4893.6400000000003</v>
      </c>
      <c r="AN504" s="1">
        <v>4893.6400000000003</v>
      </c>
      <c r="AO504" s="1">
        <v>4893.6400000000003</v>
      </c>
      <c r="AP504" s="2">
        <v>42746</v>
      </c>
      <c r="AQ504" t="s">
        <v>72</v>
      </c>
      <c r="AR504" t="s">
        <v>72</v>
      </c>
      <c r="AS504">
        <v>532</v>
      </c>
      <c r="AT504" s="4">
        <v>42424</v>
      </c>
      <c r="AV504">
        <v>532</v>
      </c>
      <c r="AW504" s="4">
        <v>42424</v>
      </c>
      <c r="BD504">
        <v>0</v>
      </c>
      <c r="BN504" t="s">
        <v>74</v>
      </c>
    </row>
    <row r="505" spans="1:66" hidden="1">
      <c r="A505">
        <v>100118</v>
      </c>
      <c r="B505" s="3" t="s">
        <v>127</v>
      </c>
      <c r="C505" s="1">
        <v>43500101</v>
      </c>
      <c r="D505" t="s">
        <v>113</v>
      </c>
      <c r="H505" t="str">
        <f t="shared" si="46"/>
        <v>97095380586</v>
      </c>
      <c r="I505" t="str">
        <f t="shared" si="46"/>
        <v>97095380586</v>
      </c>
      <c r="K505" t="str">
        <f>""</f>
        <v/>
      </c>
      <c r="M505" t="s">
        <v>68</v>
      </c>
      <c r="N505" t="str">
        <f t="shared" si="45"/>
        <v>ALT</v>
      </c>
      <c r="O505" t="s">
        <v>114</v>
      </c>
      <c r="P505" s="3" t="s">
        <v>86</v>
      </c>
      <c r="Q505">
        <v>2016</v>
      </c>
      <c r="R505" s="2">
        <v>42450</v>
      </c>
      <c r="S505" s="2">
        <v>42450</v>
      </c>
      <c r="T505" s="2">
        <v>42450</v>
      </c>
      <c r="U505" s="2">
        <v>42510</v>
      </c>
      <c r="V505" t="s">
        <v>71</v>
      </c>
      <c r="W505" t="str">
        <f>"                0321"</f>
        <v xml:space="preserve">                0321</v>
      </c>
      <c r="X505">
        <v>0</v>
      </c>
      <c r="Y505" s="1">
        <v>4893.6400000000003</v>
      </c>
      <c r="Z505"/>
      <c r="AB505"/>
      <c r="AC505" s="1">
        <v>4893.6400000000003</v>
      </c>
      <c r="AD505">
        <v>-57</v>
      </c>
      <c r="AE505" s="1">
        <v>-278937.48</v>
      </c>
      <c r="AF505">
        <v>0</v>
      </c>
      <c r="AJ505">
        <v>0</v>
      </c>
      <c r="AK505">
        <v>0</v>
      </c>
      <c r="AL505">
        <v>0</v>
      </c>
      <c r="AM505" s="1">
        <v>4893.6400000000003</v>
      </c>
      <c r="AN505" s="1">
        <v>4893.6400000000003</v>
      </c>
      <c r="AO505" s="1">
        <v>4893.6400000000003</v>
      </c>
      <c r="AP505" s="2">
        <v>42746</v>
      </c>
      <c r="AQ505" t="s">
        <v>72</v>
      </c>
      <c r="AR505" t="s">
        <v>72</v>
      </c>
      <c r="AS505">
        <v>954</v>
      </c>
      <c r="AT505" s="4">
        <v>42453</v>
      </c>
      <c r="AV505">
        <v>954</v>
      </c>
      <c r="AW505" s="4">
        <v>42453</v>
      </c>
      <c r="BD505">
        <v>0</v>
      </c>
      <c r="BN505" t="s">
        <v>74</v>
      </c>
    </row>
    <row r="506" spans="1:66" hidden="1">
      <c r="A506">
        <v>100118</v>
      </c>
      <c r="B506" s="3" t="s">
        <v>127</v>
      </c>
      <c r="C506" s="1">
        <v>43500101</v>
      </c>
      <c r="D506" t="s">
        <v>113</v>
      </c>
      <c r="H506" t="str">
        <f t="shared" si="46"/>
        <v>97095380586</v>
      </c>
      <c r="I506" t="str">
        <f t="shared" si="46"/>
        <v>97095380586</v>
      </c>
      <c r="K506" t="str">
        <f>""</f>
        <v/>
      </c>
      <c r="M506" t="s">
        <v>68</v>
      </c>
      <c r="N506" t="str">
        <f t="shared" si="45"/>
        <v>ALT</v>
      </c>
      <c r="O506" t="s">
        <v>114</v>
      </c>
      <c r="P506" s="3" t="s">
        <v>87</v>
      </c>
      <c r="Q506">
        <v>2016</v>
      </c>
      <c r="R506" s="2">
        <v>42481</v>
      </c>
      <c r="S506" s="2">
        <v>42481</v>
      </c>
      <c r="T506" s="2">
        <v>42481</v>
      </c>
      <c r="U506" s="2">
        <v>42541</v>
      </c>
      <c r="V506" t="s">
        <v>71</v>
      </c>
      <c r="W506" t="str">
        <f>"                0421"</f>
        <v xml:space="preserve">                0421</v>
      </c>
      <c r="X506">
        <v>0</v>
      </c>
      <c r="Y506" s="1">
        <v>5086.21</v>
      </c>
      <c r="Z506"/>
      <c r="AB506"/>
      <c r="AC506" s="1">
        <v>5086.21</v>
      </c>
      <c r="AD506">
        <v>-60</v>
      </c>
      <c r="AE506" s="1">
        <v>-305172.59999999998</v>
      </c>
      <c r="AF506">
        <v>0</v>
      </c>
      <c r="AJ506">
        <v>0</v>
      </c>
      <c r="AK506">
        <v>0</v>
      </c>
      <c r="AL506">
        <v>0</v>
      </c>
      <c r="AM506" s="1">
        <v>5086.21</v>
      </c>
      <c r="AN506" s="1">
        <v>5086.21</v>
      </c>
      <c r="AO506" s="1">
        <v>5086.21</v>
      </c>
      <c r="AP506" s="2">
        <v>42746</v>
      </c>
      <c r="AQ506" t="s">
        <v>72</v>
      </c>
      <c r="AR506" t="s">
        <v>72</v>
      </c>
      <c r="AS506">
        <v>1119</v>
      </c>
      <c r="AT506" s="4">
        <v>42481</v>
      </c>
      <c r="AV506">
        <v>1119</v>
      </c>
      <c r="AW506" s="4">
        <v>42481</v>
      </c>
      <c r="BD506">
        <v>0</v>
      </c>
      <c r="BN506" t="s">
        <v>74</v>
      </c>
    </row>
    <row r="507" spans="1:66" hidden="1">
      <c r="A507">
        <v>100118</v>
      </c>
      <c r="B507" s="3" t="s">
        <v>127</v>
      </c>
      <c r="C507" s="1">
        <v>43500101</v>
      </c>
      <c r="D507" t="s">
        <v>113</v>
      </c>
      <c r="H507" t="str">
        <f t="shared" ref="H507:I514" si="47">"97095380586"</f>
        <v>97095380586</v>
      </c>
      <c r="I507" t="str">
        <f t="shared" si="47"/>
        <v>97095380586</v>
      </c>
      <c r="K507" t="str">
        <f>""</f>
        <v/>
      </c>
      <c r="M507" t="s">
        <v>68</v>
      </c>
      <c r="N507" t="str">
        <f t="shared" si="45"/>
        <v>ALT</v>
      </c>
      <c r="O507" t="s">
        <v>114</v>
      </c>
      <c r="P507" s="3" t="s">
        <v>88</v>
      </c>
      <c r="Q507">
        <v>2016</v>
      </c>
      <c r="R507" s="2">
        <v>42508</v>
      </c>
      <c r="S507" s="2">
        <v>42510</v>
      </c>
      <c r="T507" s="2">
        <v>42510</v>
      </c>
      <c r="U507" s="2">
        <v>42570</v>
      </c>
      <c r="V507" t="s">
        <v>71</v>
      </c>
      <c r="W507" t="str">
        <f>"                0518"</f>
        <v xml:space="preserve">                0518</v>
      </c>
      <c r="X507">
        <v>0</v>
      </c>
      <c r="Y507" s="1">
        <v>4153.1400000000003</v>
      </c>
      <c r="Z507"/>
      <c r="AB507"/>
      <c r="AC507" s="1">
        <v>4153.1400000000003</v>
      </c>
      <c r="AD507">
        <v>-57</v>
      </c>
      <c r="AE507" s="1">
        <v>-236728.98</v>
      </c>
      <c r="AF507">
        <v>0</v>
      </c>
      <c r="AJ507">
        <v>0</v>
      </c>
      <c r="AK507">
        <v>0</v>
      </c>
      <c r="AL507">
        <v>0</v>
      </c>
      <c r="AM507" s="1">
        <v>4153.1400000000003</v>
      </c>
      <c r="AN507" s="1">
        <v>4153.1400000000003</v>
      </c>
      <c r="AO507" s="1">
        <v>4153.1400000000003</v>
      </c>
      <c r="AP507" s="2">
        <v>42746</v>
      </c>
      <c r="AQ507" t="s">
        <v>72</v>
      </c>
      <c r="AR507" t="s">
        <v>72</v>
      </c>
      <c r="AS507">
        <v>1357</v>
      </c>
      <c r="AT507" s="4">
        <v>42513</v>
      </c>
      <c r="AV507">
        <v>1357</v>
      </c>
      <c r="AW507" s="4">
        <v>42513</v>
      </c>
      <c r="BD507">
        <v>0</v>
      </c>
      <c r="BN507" t="s">
        <v>74</v>
      </c>
    </row>
    <row r="508" spans="1:66" hidden="1">
      <c r="A508">
        <v>100118</v>
      </c>
      <c r="B508" s="3" t="s">
        <v>127</v>
      </c>
      <c r="C508" s="1">
        <v>43500101</v>
      </c>
      <c r="D508" t="s">
        <v>113</v>
      </c>
      <c r="H508" t="str">
        <f t="shared" si="47"/>
        <v>97095380586</v>
      </c>
      <c r="I508" t="str">
        <f t="shared" si="47"/>
        <v>97095380586</v>
      </c>
      <c r="K508" t="str">
        <f>""</f>
        <v/>
      </c>
      <c r="M508" t="s">
        <v>68</v>
      </c>
      <c r="N508" t="str">
        <f t="shared" si="45"/>
        <v>ALT</v>
      </c>
      <c r="O508" t="s">
        <v>114</v>
      </c>
      <c r="P508" s="3" t="s">
        <v>89</v>
      </c>
      <c r="Q508">
        <v>2016</v>
      </c>
      <c r="R508" s="2">
        <v>42548</v>
      </c>
      <c r="S508" s="2">
        <v>42543</v>
      </c>
      <c r="T508" s="2">
        <v>42543</v>
      </c>
      <c r="U508" s="2">
        <v>42603</v>
      </c>
      <c r="V508" t="s">
        <v>71</v>
      </c>
      <c r="W508" t="str">
        <f>"                0627"</f>
        <v xml:space="preserve">                0627</v>
      </c>
      <c r="X508">
        <v>0</v>
      </c>
      <c r="Y508" s="1">
        <v>3813.32</v>
      </c>
      <c r="Z508"/>
      <c r="AB508"/>
      <c r="AC508" s="1">
        <v>3813.32</v>
      </c>
      <c r="AD508">
        <v>-47</v>
      </c>
      <c r="AE508" s="1">
        <v>-179226.04</v>
      </c>
      <c r="AF508">
        <v>0</v>
      </c>
      <c r="AJ508">
        <v>0</v>
      </c>
      <c r="AK508">
        <v>0</v>
      </c>
      <c r="AL508">
        <v>0</v>
      </c>
      <c r="AM508" s="1">
        <v>3813.32</v>
      </c>
      <c r="AN508" s="1">
        <v>3813.32</v>
      </c>
      <c r="AO508" s="1">
        <v>3813.32</v>
      </c>
      <c r="AP508" s="2">
        <v>42746</v>
      </c>
      <c r="AQ508" t="s">
        <v>72</v>
      </c>
      <c r="AR508" t="s">
        <v>72</v>
      </c>
      <c r="AS508">
        <v>1740</v>
      </c>
      <c r="AT508" s="4">
        <v>42556</v>
      </c>
      <c r="AV508">
        <v>1740</v>
      </c>
      <c r="AW508" s="4">
        <v>42556</v>
      </c>
      <c r="BD508">
        <v>0</v>
      </c>
      <c r="BN508" t="s">
        <v>74</v>
      </c>
    </row>
    <row r="509" spans="1:66" hidden="1">
      <c r="A509">
        <v>100118</v>
      </c>
      <c r="B509" s="3" t="s">
        <v>127</v>
      </c>
      <c r="C509" s="1">
        <v>43500101</v>
      </c>
      <c r="D509" t="s">
        <v>113</v>
      </c>
      <c r="H509" t="str">
        <f t="shared" si="47"/>
        <v>97095380586</v>
      </c>
      <c r="I509" t="str">
        <f t="shared" si="47"/>
        <v>97095380586</v>
      </c>
      <c r="K509" t="str">
        <f>""</f>
        <v/>
      </c>
      <c r="M509" t="s">
        <v>68</v>
      </c>
      <c r="N509" t="str">
        <f t="shared" si="45"/>
        <v>ALT</v>
      </c>
      <c r="O509" t="s">
        <v>114</v>
      </c>
      <c r="P509" s="3" t="s">
        <v>90</v>
      </c>
      <c r="Q509">
        <v>2016</v>
      </c>
      <c r="R509" s="2">
        <v>42573</v>
      </c>
      <c r="S509" s="2">
        <v>42573</v>
      </c>
      <c r="T509" s="2">
        <v>42573</v>
      </c>
      <c r="U509" s="2">
        <v>42633</v>
      </c>
      <c r="V509" t="s">
        <v>71</v>
      </c>
      <c r="W509" t="str">
        <f>"                0722"</f>
        <v xml:space="preserve">                0722</v>
      </c>
      <c r="X509">
        <v>0</v>
      </c>
      <c r="Y509" s="1">
        <v>3813.32</v>
      </c>
      <c r="Z509"/>
      <c r="AB509"/>
      <c r="AC509" s="1">
        <v>3813.32</v>
      </c>
      <c r="AD509">
        <v>-48</v>
      </c>
      <c r="AE509" s="1">
        <v>-183039.35999999999</v>
      </c>
      <c r="AF509">
        <v>0</v>
      </c>
      <c r="AJ509">
        <v>0</v>
      </c>
      <c r="AK509">
        <v>0</v>
      </c>
      <c r="AL509">
        <v>0</v>
      </c>
      <c r="AM509" s="1">
        <v>3813.32</v>
      </c>
      <c r="AN509" s="1">
        <v>3813.32</v>
      </c>
      <c r="AO509" s="1">
        <v>3813.32</v>
      </c>
      <c r="AP509" s="2">
        <v>42746</v>
      </c>
      <c r="AQ509" t="s">
        <v>72</v>
      </c>
      <c r="AR509" t="s">
        <v>72</v>
      </c>
      <c r="AS509">
        <v>2138</v>
      </c>
      <c r="AT509" s="4">
        <v>42585</v>
      </c>
      <c r="AV509">
        <v>2138</v>
      </c>
      <c r="AW509" s="4">
        <v>42585</v>
      </c>
      <c r="BD509">
        <v>0</v>
      </c>
      <c r="BN509" t="s">
        <v>74</v>
      </c>
    </row>
    <row r="510" spans="1:66" hidden="1">
      <c r="A510">
        <v>100118</v>
      </c>
      <c r="B510" s="3" t="s">
        <v>127</v>
      </c>
      <c r="C510" s="1">
        <v>43500101</v>
      </c>
      <c r="D510" t="s">
        <v>113</v>
      </c>
      <c r="H510" t="str">
        <f t="shared" si="47"/>
        <v>97095380586</v>
      </c>
      <c r="I510" t="str">
        <f t="shared" si="47"/>
        <v>97095380586</v>
      </c>
      <c r="K510" t="str">
        <f>""</f>
        <v/>
      </c>
      <c r="M510" t="s">
        <v>68</v>
      </c>
      <c r="N510" t="str">
        <f t="shared" si="45"/>
        <v>ALT</v>
      </c>
      <c r="O510" t="s">
        <v>114</v>
      </c>
      <c r="P510" s="3" t="s">
        <v>91</v>
      </c>
      <c r="Q510">
        <v>2016</v>
      </c>
      <c r="R510" s="2">
        <v>42592</v>
      </c>
      <c r="S510" s="2">
        <v>42598</v>
      </c>
      <c r="T510" s="2">
        <v>42598</v>
      </c>
      <c r="U510" s="2">
        <v>42658</v>
      </c>
      <c r="V510" t="s">
        <v>71</v>
      </c>
      <c r="W510" t="str">
        <f>"                0810"</f>
        <v xml:space="preserve">                0810</v>
      </c>
      <c r="X510">
        <v>0</v>
      </c>
      <c r="Y510" s="1">
        <v>3813.32</v>
      </c>
      <c r="Z510"/>
      <c r="AB510"/>
      <c r="AC510" s="1">
        <v>3813.32</v>
      </c>
      <c r="AD510">
        <v>-60</v>
      </c>
      <c r="AE510" s="1">
        <v>-228799.2</v>
      </c>
      <c r="AF510">
        <v>0</v>
      </c>
      <c r="AJ510">
        <v>0</v>
      </c>
      <c r="AK510">
        <v>0</v>
      </c>
      <c r="AL510">
        <v>0</v>
      </c>
      <c r="AM510" s="1">
        <v>3813.32</v>
      </c>
      <c r="AN510" s="1">
        <v>3813.32</v>
      </c>
      <c r="AO510" s="1">
        <v>3813.32</v>
      </c>
      <c r="AP510" s="2">
        <v>42746</v>
      </c>
      <c r="AQ510" t="s">
        <v>72</v>
      </c>
      <c r="AR510" t="s">
        <v>72</v>
      </c>
      <c r="AS510">
        <v>2221</v>
      </c>
      <c r="AT510" s="4">
        <v>42598</v>
      </c>
      <c r="AV510">
        <v>2221</v>
      </c>
      <c r="AW510" s="4">
        <v>42598</v>
      </c>
      <c r="BD510">
        <v>0</v>
      </c>
      <c r="BN510" t="s">
        <v>74</v>
      </c>
    </row>
    <row r="511" spans="1:66" hidden="1">
      <c r="A511">
        <v>100118</v>
      </c>
      <c r="B511" s="3" t="s">
        <v>127</v>
      </c>
      <c r="C511" s="1">
        <v>43500101</v>
      </c>
      <c r="D511" t="s">
        <v>113</v>
      </c>
      <c r="H511" t="str">
        <f t="shared" si="47"/>
        <v>97095380586</v>
      </c>
      <c r="I511" t="str">
        <f t="shared" si="47"/>
        <v>97095380586</v>
      </c>
      <c r="K511" t="str">
        <f>""</f>
        <v/>
      </c>
      <c r="M511" t="s">
        <v>68</v>
      </c>
      <c r="N511" t="str">
        <f t="shared" si="45"/>
        <v>ALT</v>
      </c>
      <c r="O511" t="s">
        <v>114</v>
      </c>
      <c r="P511" s="3" t="s">
        <v>92</v>
      </c>
      <c r="Q511">
        <v>2016</v>
      </c>
      <c r="R511" s="2">
        <v>42633</v>
      </c>
      <c r="S511" s="2">
        <v>42634</v>
      </c>
      <c r="T511" s="2">
        <v>42634</v>
      </c>
      <c r="U511" s="2">
        <v>42694</v>
      </c>
      <c r="V511" t="s">
        <v>71</v>
      </c>
      <c r="W511" t="str">
        <f>"                0920"</f>
        <v xml:space="preserve">                0920</v>
      </c>
      <c r="X511">
        <v>0</v>
      </c>
      <c r="Y511" s="1">
        <v>4537.8</v>
      </c>
      <c r="Z511"/>
      <c r="AB511"/>
      <c r="AC511" s="1">
        <v>4537.8</v>
      </c>
      <c r="AD511">
        <v>-60</v>
      </c>
      <c r="AE511" s="1">
        <v>-272268</v>
      </c>
      <c r="AF511">
        <v>0</v>
      </c>
      <c r="AJ511">
        <v>0</v>
      </c>
      <c r="AK511">
        <v>0</v>
      </c>
      <c r="AL511">
        <v>0</v>
      </c>
      <c r="AM511" s="1">
        <v>4537.8</v>
      </c>
      <c r="AN511" s="1">
        <v>4537.8</v>
      </c>
      <c r="AO511" s="1">
        <v>4537.8</v>
      </c>
      <c r="AP511" s="2">
        <v>42746</v>
      </c>
      <c r="AQ511" t="s">
        <v>72</v>
      </c>
      <c r="AR511" t="s">
        <v>72</v>
      </c>
      <c r="AS511">
        <v>2494</v>
      </c>
      <c r="AT511" s="4">
        <v>42634</v>
      </c>
      <c r="AV511">
        <v>2494</v>
      </c>
      <c r="AW511" s="4">
        <v>42634</v>
      </c>
      <c r="BD511">
        <v>0</v>
      </c>
      <c r="BN511" t="s">
        <v>74</v>
      </c>
    </row>
    <row r="512" spans="1:66" hidden="1">
      <c r="A512">
        <v>100118</v>
      </c>
      <c r="B512" s="3" t="s">
        <v>127</v>
      </c>
      <c r="C512" s="1">
        <v>43500101</v>
      </c>
      <c r="D512" t="s">
        <v>113</v>
      </c>
      <c r="H512" t="str">
        <f t="shared" si="47"/>
        <v>97095380586</v>
      </c>
      <c r="I512" t="str">
        <f t="shared" si="47"/>
        <v>97095380586</v>
      </c>
      <c r="K512" t="str">
        <f>""</f>
        <v/>
      </c>
      <c r="M512" t="s">
        <v>68</v>
      </c>
      <c r="N512" t="str">
        <f t="shared" si="45"/>
        <v>ALT</v>
      </c>
      <c r="O512" t="s">
        <v>114</v>
      </c>
      <c r="P512" s="3" t="s">
        <v>93</v>
      </c>
      <c r="Q512">
        <v>2016</v>
      </c>
      <c r="R512" s="2">
        <v>42664</v>
      </c>
      <c r="S512" s="2">
        <v>42667</v>
      </c>
      <c r="T512" s="2">
        <v>42667</v>
      </c>
      <c r="U512" s="2">
        <v>42727</v>
      </c>
      <c r="V512" t="s">
        <v>71</v>
      </c>
      <c r="W512" t="str">
        <f>"                1021"</f>
        <v xml:space="preserve">                1021</v>
      </c>
      <c r="X512">
        <v>0</v>
      </c>
      <c r="Y512" s="1">
        <v>4990.8999999999996</v>
      </c>
      <c r="Z512" s="5">
        <v>4990.8999999999996</v>
      </c>
      <c r="AA512">
        <v>-60</v>
      </c>
      <c r="AB512" s="5">
        <v>-299454</v>
      </c>
      <c r="AC512" s="1">
        <v>4990.8999999999996</v>
      </c>
      <c r="AD512">
        <v>-60</v>
      </c>
      <c r="AE512" s="1">
        <v>-299454</v>
      </c>
      <c r="AF512">
        <v>0</v>
      </c>
      <c r="AJ512" s="1">
        <v>4990.8999999999996</v>
      </c>
      <c r="AK512" s="1">
        <v>4990.8999999999996</v>
      </c>
      <c r="AL512" s="1">
        <v>4990.8999999999996</v>
      </c>
      <c r="AM512" s="1">
        <v>4990.8999999999996</v>
      </c>
      <c r="AN512" s="1">
        <v>4990.8999999999996</v>
      </c>
      <c r="AO512" s="1">
        <v>4990.8999999999996</v>
      </c>
      <c r="AP512" s="2">
        <v>42746</v>
      </c>
      <c r="AQ512" t="s">
        <v>72</v>
      </c>
      <c r="AR512" t="s">
        <v>72</v>
      </c>
      <c r="AS512">
        <v>2842</v>
      </c>
      <c r="AT512" s="4">
        <v>42667</v>
      </c>
      <c r="AV512">
        <v>2842</v>
      </c>
      <c r="AW512" s="4">
        <v>42667</v>
      </c>
      <c r="BD512">
        <v>0</v>
      </c>
      <c r="BN512" t="s">
        <v>74</v>
      </c>
    </row>
    <row r="513" spans="1:66" hidden="1">
      <c r="A513">
        <v>100118</v>
      </c>
      <c r="B513" s="3" t="s">
        <v>127</v>
      </c>
      <c r="C513" s="1">
        <v>43500101</v>
      </c>
      <c r="D513" t="s">
        <v>113</v>
      </c>
      <c r="H513" t="str">
        <f t="shared" si="47"/>
        <v>97095380586</v>
      </c>
      <c r="I513" t="str">
        <f t="shared" si="47"/>
        <v>97095380586</v>
      </c>
      <c r="K513" t="str">
        <f>""</f>
        <v/>
      </c>
      <c r="M513" t="s">
        <v>68</v>
      </c>
      <c r="N513" t="str">
        <f t="shared" si="45"/>
        <v>ALT</v>
      </c>
      <c r="O513" t="s">
        <v>114</v>
      </c>
      <c r="P513" s="3" t="s">
        <v>94</v>
      </c>
      <c r="Q513">
        <v>2016</v>
      </c>
      <c r="R513" s="2">
        <v>42696</v>
      </c>
      <c r="S513" s="2">
        <v>42696</v>
      </c>
      <c r="T513" s="2">
        <v>42696</v>
      </c>
      <c r="U513" s="2">
        <v>42756</v>
      </c>
      <c r="V513" t="s">
        <v>71</v>
      </c>
      <c r="W513" t="str">
        <f>"                1122"</f>
        <v xml:space="preserve">                1122</v>
      </c>
      <c r="X513">
        <v>0</v>
      </c>
      <c r="Y513" s="1">
        <v>4990.8999999999996</v>
      </c>
      <c r="Z513" s="5">
        <v>4990.8999999999996</v>
      </c>
      <c r="AA513">
        <v>-59</v>
      </c>
      <c r="AB513" s="5">
        <v>-294463.09999999998</v>
      </c>
      <c r="AC513" s="1">
        <v>4990.8999999999996</v>
      </c>
      <c r="AD513">
        <v>-59</v>
      </c>
      <c r="AE513" s="1">
        <v>-294463.09999999998</v>
      </c>
      <c r="AF513">
        <v>0</v>
      </c>
      <c r="AJ513" s="1">
        <v>4990.8999999999996</v>
      </c>
      <c r="AK513" s="1">
        <v>4990.8999999999996</v>
      </c>
      <c r="AL513" s="1">
        <v>4990.8999999999996</v>
      </c>
      <c r="AM513" s="1">
        <v>4990.8999999999996</v>
      </c>
      <c r="AN513" s="1">
        <v>4990.8999999999996</v>
      </c>
      <c r="AO513" s="1">
        <v>4990.8999999999996</v>
      </c>
      <c r="AP513" s="2">
        <v>42746</v>
      </c>
      <c r="AQ513" t="s">
        <v>72</v>
      </c>
      <c r="AR513" t="s">
        <v>72</v>
      </c>
      <c r="AS513">
        <v>3280</v>
      </c>
      <c r="AT513" s="4">
        <v>42697</v>
      </c>
      <c r="AV513">
        <v>3280</v>
      </c>
      <c r="AW513" s="4">
        <v>42697</v>
      </c>
      <c r="BD513">
        <v>0</v>
      </c>
      <c r="BN513" t="s">
        <v>74</v>
      </c>
    </row>
    <row r="514" spans="1:66" hidden="1">
      <c r="A514">
        <v>100118</v>
      </c>
      <c r="B514" s="3" t="s">
        <v>127</v>
      </c>
      <c r="C514" s="1">
        <v>43500101</v>
      </c>
      <c r="D514" t="s">
        <v>113</v>
      </c>
      <c r="H514" t="str">
        <f t="shared" si="47"/>
        <v>97095380586</v>
      </c>
      <c r="I514" t="str">
        <f t="shared" si="47"/>
        <v>97095380586</v>
      </c>
      <c r="K514" t="str">
        <f>""</f>
        <v/>
      </c>
      <c r="M514" t="s">
        <v>68</v>
      </c>
      <c r="N514" t="str">
        <f t="shared" si="45"/>
        <v>ALT</v>
      </c>
      <c r="O514" t="s">
        <v>114</v>
      </c>
      <c r="P514" s="3" t="s">
        <v>95</v>
      </c>
      <c r="Q514">
        <v>2016</v>
      </c>
      <c r="R514" s="2">
        <v>42717</v>
      </c>
      <c r="S514" s="2">
        <v>42717</v>
      </c>
      <c r="T514" s="2">
        <v>42717</v>
      </c>
      <c r="U514" s="2">
        <v>42777</v>
      </c>
      <c r="V514" t="s">
        <v>71</v>
      </c>
      <c r="W514" t="str">
        <f>"                1213"</f>
        <v xml:space="preserve">                1213</v>
      </c>
      <c r="X514">
        <v>0</v>
      </c>
      <c r="Y514" s="1">
        <v>4990.8999999999996</v>
      </c>
      <c r="Z514" s="5">
        <v>4990.8999999999996</v>
      </c>
      <c r="AA514">
        <v>-59</v>
      </c>
      <c r="AB514" s="5">
        <v>-294463.09999999998</v>
      </c>
      <c r="AC514" s="1">
        <v>4990.8999999999996</v>
      </c>
      <c r="AD514">
        <v>-59</v>
      </c>
      <c r="AE514" s="1">
        <v>-294463.09999999998</v>
      </c>
      <c r="AF514">
        <v>0</v>
      </c>
      <c r="AJ514" s="1">
        <v>4990.8999999999996</v>
      </c>
      <c r="AK514" s="1">
        <v>4990.8999999999996</v>
      </c>
      <c r="AL514" s="1">
        <v>4990.8999999999996</v>
      </c>
      <c r="AM514" s="1">
        <v>4990.8999999999996</v>
      </c>
      <c r="AN514" s="1">
        <v>4990.8999999999996</v>
      </c>
      <c r="AO514" s="1">
        <v>4990.8999999999996</v>
      </c>
      <c r="AP514" s="2">
        <v>42746</v>
      </c>
      <c r="AQ514" t="s">
        <v>72</v>
      </c>
      <c r="AR514" t="s">
        <v>72</v>
      </c>
      <c r="AS514">
        <v>3437</v>
      </c>
      <c r="AT514" s="4">
        <v>42718</v>
      </c>
      <c r="AV514">
        <v>3437</v>
      </c>
      <c r="AW514" s="4">
        <v>42718</v>
      </c>
      <c r="BD514">
        <v>0</v>
      </c>
      <c r="BN514" t="s">
        <v>74</v>
      </c>
    </row>
    <row r="515" spans="1:66" hidden="1">
      <c r="A515">
        <v>100120</v>
      </c>
      <c r="B515" s="3" t="s">
        <v>128</v>
      </c>
      <c r="C515" s="1">
        <v>43300101</v>
      </c>
      <c r="D515" t="s">
        <v>67</v>
      </c>
      <c r="H515" t="str">
        <f t="shared" ref="H515:H526" si="48">"MNCNNT62H53A783K"</f>
        <v>MNCNNT62H53A783K</v>
      </c>
      <c r="I515" t="str">
        <f>""</f>
        <v/>
      </c>
      <c r="K515" t="str">
        <f>""</f>
        <v/>
      </c>
      <c r="M515" t="s">
        <v>68</v>
      </c>
      <c r="N515" t="str">
        <f t="shared" ref="N515:N526" si="49">"FOR"</f>
        <v>FOR</v>
      </c>
      <c r="O515" t="s">
        <v>69</v>
      </c>
      <c r="P515" s="3" t="s">
        <v>84</v>
      </c>
      <c r="Q515">
        <v>2016</v>
      </c>
      <c r="R515" s="2">
        <v>42389</v>
      </c>
      <c r="S515" s="2">
        <v>42390</v>
      </c>
      <c r="T515" s="2">
        <v>42390</v>
      </c>
      <c r="U515" s="2">
        <v>42450</v>
      </c>
      <c r="V515" t="s">
        <v>71</v>
      </c>
      <c r="W515" t="str">
        <f>"                0120"</f>
        <v xml:space="preserve">                0120</v>
      </c>
      <c r="X515">
        <v>0</v>
      </c>
      <c r="Y515">
        <v>350</v>
      </c>
      <c r="Z515"/>
      <c r="AB515"/>
      <c r="AC515">
        <v>350</v>
      </c>
      <c r="AD515">
        <v>-60</v>
      </c>
      <c r="AE515" s="1">
        <v>-21000</v>
      </c>
      <c r="AF515">
        <v>0</v>
      </c>
      <c r="AJ515">
        <v>0</v>
      </c>
      <c r="AK515">
        <v>0</v>
      </c>
      <c r="AL515">
        <v>0</v>
      </c>
      <c r="AM515">
        <v>350</v>
      </c>
      <c r="AN515">
        <v>350</v>
      </c>
      <c r="AO515">
        <v>350</v>
      </c>
      <c r="AP515" s="2">
        <v>42746</v>
      </c>
      <c r="AQ515" t="s">
        <v>72</v>
      </c>
      <c r="AR515" t="s">
        <v>72</v>
      </c>
      <c r="AS515">
        <v>73</v>
      </c>
      <c r="AT515" s="4">
        <v>42390</v>
      </c>
      <c r="AV515">
        <v>73</v>
      </c>
      <c r="AW515" s="4">
        <v>42390</v>
      </c>
      <c r="BD515">
        <v>0</v>
      </c>
      <c r="BN515" t="s">
        <v>74</v>
      </c>
    </row>
    <row r="516" spans="1:66" hidden="1">
      <c r="A516">
        <v>100120</v>
      </c>
      <c r="B516" s="3" t="s">
        <v>128</v>
      </c>
      <c r="C516" s="1">
        <v>43300101</v>
      </c>
      <c r="D516" t="s">
        <v>67</v>
      </c>
      <c r="H516" t="str">
        <f t="shared" si="48"/>
        <v>MNCNNT62H53A783K</v>
      </c>
      <c r="I516" t="str">
        <f>""</f>
        <v/>
      </c>
      <c r="K516" t="str">
        <f>""</f>
        <v/>
      </c>
      <c r="M516" t="s">
        <v>68</v>
      </c>
      <c r="N516" t="str">
        <f t="shared" si="49"/>
        <v>FOR</v>
      </c>
      <c r="O516" t="s">
        <v>69</v>
      </c>
      <c r="P516" s="3" t="s">
        <v>85</v>
      </c>
      <c r="Q516">
        <v>2016</v>
      </c>
      <c r="R516" s="2">
        <v>42422</v>
      </c>
      <c r="S516" s="2">
        <v>42422</v>
      </c>
      <c r="T516" s="2">
        <v>42422</v>
      </c>
      <c r="U516" s="2">
        <v>42482</v>
      </c>
      <c r="V516" t="s">
        <v>71</v>
      </c>
      <c r="W516" t="str">
        <f>"                0222"</f>
        <v xml:space="preserve">                0222</v>
      </c>
      <c r="X516">
        <v>0</v>
      </c>
      <c r="Y516">
        <v>350</v>
      </c>
      <c r="Z516"/>
      <c r="AB516"/>
      <c r="AC516">
        <v>350</v>
      </c>
      <c r="AD516">
        <v>-58</v>
      </c>
      <c r="AE516" s="1">
        <v>-20300</v>
      </c>
      <c r="AF516">
        <v>0</v>
      </c>
      <c r="AJ516">
        <v>0</v>
      </c>
      <c r="AK516">
        <v>0</v>
      </c>
      <c r="AL516">
        <v>0</v>
      </c>
      <c r="AM516">
        <v>350</v>
      </c>
      <c r="AN516">
        <v>350</v>
      </c>
      <c r="AO516">
        <v>350</v>
      </c>
      <c r="AP516" s="2">
        <v>42746</v>
      </c>
      <c r="AQ516" t="s">
        <v>72</v>
      </c>
      <c r="AR516" t="s">
        <v>72</v>
      </c>
      <c r="AS516">
        <v>517</v>
      </c>
      <c r="AT516" s="4">
        <v>42424</v>
      </c>
      <c r="AV516">
        <v>517</v>
      </c>
      <c r="AW516" s="4">
        <v>42424</v>
      </c>
      <c r="BD516">
        <v>0</v>
      </c>
      <c r="BN516" t="s">
        <v>74</v>
      </c>
    </row>
    <row r="517" spans="1:66" hidden="1">
      <c r="A517">
        <v>100120</v>
      </c>
      <c r="B517" s="3" t="s">
        <v>128</v>
      </c>
      <c r="C517" s="1">
        <v>43300101</v>
      </c>
      <c r="D517" t="s">
        <v>67</v>
      </c>
      <c r="H517" t="str">
        <f t="shared" si="48"/>
        <v>MNCNNT62H53A783K</v>
      </c>
      <c r="I517" t="str">
        <f>""</f>
        <v/>
      </c>
      <c r="K517" t="str">
        <f>""</f>
        <v/>
      </c>
      <c r="M517" t="s">
        <v>68</v>
      </c>
      <c r="N517" t="str">
        <f t="shared" si="49"/>
        <v>FOR</v>
      </c>
      <c r="O517" t="s">
        <v>69</v>
      </c>
      <c r="P517" s="3" t="s">
        <v>86</v>
      </c>
      <c r="Q517">
        <v>2016</v>
      </c>
      <c r="R517" s="2">
        <v>42450</v>
      </c>
      <c r="S517" s="2">
        <v>42450</v>
      </c>
      <c r="T517" s="2">
        <v>42450</v>
      </c>
      <c r="U517" s="2">
        <v>42510</v>
      </c>
      <c r="V517" t="s">
        <v>71</v>
      </c>
      <c r="W517" t="str">
        <f>"                0321"</f>
        <v xml:space="preserve">                0321</v>
      </c>
      <c r="X517">
        <v>0</v>
      </c>
      <c r="Y517">
        <v>350</v>
      </c>
      <c r="Z517"/>
      <c r="AB517"/>
      <c r="AC517">
        <v>350</v>
      </c>
      <c r="AD517">
        <v>-57</v>
      </c>
      <c r="AE517" s="1">
        <v>-19950</v>
      </c>
      <c r="AF517">
        <v>0</v>
      </c>
      <c r="AJ517">
        <v>0</v>
      </c>
      <c r="AK517">
        <v>0</v>
      </c>
      <c r="AL517">
        <v>0</v>
      </c>
      <c r="AM517">
        <v>350</v>
      </c>
      <c r="AN517">
        <v>350</v>
      </c>
      <c r="AO517">
        <v>350</v>
      </c>
      <c r="AP517" s="2">
        <v>42746</v>
      </c>
      <c r="AQ517" t="s">
        <v>72</v>
      </c>
      <c r="AR517" t="s">
        <v>72</v>
      </c>
      <c r="AS517">
        <v>939</v>
      </c>
      <c r="AT517" s="4">
        <v>42453</v>
      </c>
      <c r="AV517">
        <v>939</v>
      </c>
      <c r="AW517" s="4">
        <v>42453</v>
      </c>
      <c r="BD517">
        <v>0</v>
      </c>
      <c r="BN517" t="s">
        <v>74</v>
      </c>
    </row>
    <row r="518" spans="1:66" hidden="1">
      <c r="A518">
        <v>100120</v>
      </c>
      <c r="B518" s="3" t="s">
        <v>128</v>
      </c>
      <c r="C518" s="1">
        <v>43300101</v>
      </c>
      <c r="D518" t="s">
        <v>67</v>
      </c>
      <c r="H518" t="str">
        <f t="shared" si="48"/>
        <v>MNCNNT62H53A783K</v>
      </c>
      <c r="I518" t="str">
        <f>""</f>
        <v/>
      </c>
      <c r="K518" t="str">
        <f>""</f>
        <v/>
      </c>
      <c r="M518" t="s">
        <v>68</v>
      </c>
      <c r="N518" t="str">
        <f t="shared" si="49"/>
        <v>FOR</v>
      </c>
      <c r="O518" t="s">
        <v>69</v>
      </c>
      <c r="P518" s="3" t="s">
        <v>87</v>
      </c>
      <c r="Q518">
        <v>2016</v>
      </c>
      <c r="R518" s="2">
        <v>42481</v>
      </c>
      <c r="S518" s="2">
        <v>42481</v>
      </c>
      <c r="T518" s="2">
        <v>42481</v>
      </c>
      <c r="U518" s="2">
        <v>42541</v>
      </c>
      <c r="V518" t="s">
        <v>71</v>
      </c>
      <c r="W518" t="str">
        <f>"                0421"</f>
        <v xml:space="preserve">                0421</v>
      </c>
      <c r="X518">
        <v>0</v>
      </c>
      <c r="Y518">
        <v>350</v>
      </c>
      <c r="Z518"/>
      <c r="AB518"/>
      <c r="AC518">
        <v>350</v>
      </c>
      <c r="AD518">
        <v>-60</v>
      </c>
      <c r="AE518" s="1">
        <v>-21000</v>
      </c>
      <c r="AF518">
        <v>0</v>
      </c>
      <c r="AJ518">
        <v>0</v>
      </c>
      <c r="AK518">
        <v>0</v>
      </c>
      <c r="AL518">
        <v>0</v>
      </c>
      <c r="AM518">
        <v>350</v>
      </c>
      <c r="AN518">
        <v>350</v>
      </c>
      <c r="AO518">
        <v>350</v>
      </c>
      <c r="AP518" s="2">
        <v>42746</v>
      </c>
      <c r="AQ518" t="s">
        <v>72</v>
      </c>
      <c r="AR518" t="s">
        <v>72</v>
      </c>
      <c r="AS518">
        <v>1104</v>
      </c>
      <c r="AT518" s="4">
        <v>42481</v>
      </c>
      <c r="AV518">
        <v>1104</v>
      </c>
      <c r="AW518" s="4">
        <v>42481</v>
      </c>
      <c r="BD518">
        <v>0</v>
      </c>
      <c r="BN518" t="s">
        <v>74</v>
      </c>
    </row>
    <row r="519" spans="1:66" hidden="1">
      <c r="A519">
        <v>100120</v>
      </c>
      <c r="B519" s="3" t="s">
        <v>128</v>
      </c>
      <c r="C519" s="1">
        <v>43300101</v>
      </c>
      <c r="D519" t="s">
        <v>67</v>
      </c>
      <c r="H519" t="str">
        <f t="shared" si="48"/>
        <v>MNCNNT62H53A783K</v>
      </c>
      <c r="I519" t="str">
        <f>""</f>
        <v/>
      </c>
      <c r="K519" t="str">
        <f>""</f>
        <v/>
      </c>
      <c r="M519" t="s">
        <v>68</v>
      </c>
      <c r="N519" t="str">
        <f t="shared" si="49"/>
        <v>FOR</v>
      </c>
      <c r="O519" t="s">
        <v>69</v>
      </c>
      <c r="P519" s="3" t="s">
        <v>88</v>
      </c>
      <c r="Q519">
        <v>2016</v>
      </c>
      <c r="R519" s="2">
        <v>42508</v>
      </c>
      <c r="S519" s="2">
        <v>42510</v>
      </c>
      <c r="T519" s="2">
        <v>42510</v>
      </c>
      <c r="U519" s="2">
        <v>42570</v>
      </c>
      <c r="V519" t="s">
        <v>71</v>
      </c>
      <c r="W519" t="str">
        <f>"                0518"</f>
        <v xml:space="preserve">                0518</v>
      </c>
      <c r="X519">
        <v>0</v>
      </c>
      <c r="Y519">
        <v>350</v>
      </c>
      <c r="Z519"/>
      <c r="AB519"/>
      <c r="AC519">
        <v>350</v>
      </c>
      <c r="AD519">
        <v>-57</v>
      </c>
      <c r="AE519" s="1">
        <v>-19950</v>
      </c>
      <c r="AF519">
        <v>0</v>
      </c>
      <c r="AJ519">
        <v>0</v>
      </c>
      <c r="AK519">
        <v>0</v>
      </c>
      <c r="AL519">
        <v>0</v>
      </c>
      <c r="AM519">
        <v>350</v>
      </c>
      <c r="AN519">
        <v>350</v>
      </c>
      <c r="AO519">
        <v>350</v>
      </c>
      <c r="AP519" s="2">
        <v>42746</v>
      </c>
      <c r="AQ519" t="s">
        <v>72</v>
      </c>
      <c r="AR519" t="s">
        <v>72</v>
      </c>
      <c r="AS519">
        <v>1342</v>
      </c>
      <c r="AT519" s="4">
        <v>42513</v>
      </c>
      <c r="AV519">
        <v>1342</v>
      </c>
      <c r="AW519" s="4">
        <v>42513</v>
      </c>
      <c r="BD519">
        <v>0</v>
      </c>
      <c r="BN519" t="s">
        <v>74</v>
      </c>
    </row>
    <row r="520" spans="1:66" hidden="1">
      <c r="A520">
        <v>100120</v>
      </c>
      <c r="B520" s="3" t="s">
        <v>128</v>
      </c>
      <c r="C520" s="1">
        <v>43300101</v>
      </c>
      <c r="D520" t="s">
        <v>67</v>
      </c>
      <c r="H520" t="str">
        <f t="shared" si="48"/>
        <v>MNCNNT62H53A783K</v>
      </c>
      <c r="I520" t="str">
        <f>""</f>
        <v/>
      </c>
      <c r="K520" t="str">
        <f>""</f>
        <v/>
      </c>
      <c r="M520" t="s">
        <v>68</v>
      </c>
      <c r="N520" t="str">
        <f t="shared" si="49"/>
        <v>FOR</v>
      </c>
      <c r="O520" t="s">
        <v>69</v>
      </c>
      <c r="P520" s="3" t="s">
        <v>89</v>
      </c>
      <c r="Q520">
        <v>2016</v>
      </c>
      <c r="R520" s="2">
        <v>42548</v>
      </c>
      <c r="S520" s="2">
        <v>42543</v>
      </c>
      <c r="T520" s="2">
        <v>42543</v>
      </c>
      <c r="U520" s="2">
        <v>42603</v>
      </c>
      <c r="V520" t="s">
        <v>71</v>
      </c>
      <c r="W520" t="str">
        <f>"                0627"</f>
        <v xml:space="preserve">                0627</v>
      </c>
      <c r="X520">
        <v>0</v>
      </c>
      <c r="Y520">
        <v>350</v>
      </c>
      <c r="Z520"/>
      <c r="AB520"/>
      <c r="AC520">
        <v>350</v>
      </c>
      <c r="AD520">
        <v>-47</v>
      </c>
      <c r="AE520" s="1">
        <v>-16450</v>
      </c>
      <c r="AF520">
        <v>0</v>
      </c>
      <c r="AJ520">
        <v>0</v>
      </c>
      <c r="AK520">
        <v>0</v>
      </c>
      <c r="AL520">
        <v>0</v>
      </c>
      <c r="AM520">
        <v>350</v>
      </c>
      <c r="AN520">
        <v>350</v>
      </c>
      <c r="AO520">
        <v>350</v>
      </c>
      <c r="AP520" s="2">
        <v>42746</v>
      </c>
      <c r="AQ520" t="s">
        <v>72</v>
      </c>
      <c r="AR520" t="s">
        <v>72</v>
      </c>
      <c r="AS520">
        <v>1725</v>
      </c>
      <c r="AT520" s="4">
        <v>42556</v>
      </c>
      <c r="AV520">
        <v>1725</v>
      </c>
      <c r="AW520" s="4">
        <v>42556</v>
      </c>
      <c r="BD520">
        <v>0</v>
      </c>
      <c r="BN520" t="s">
        <v>74</v>
      </c>
    </row>
    <row r="521" spans="1:66" hidden="1">
      <c r="A521">
        <v>100120</v>
      </c>
      <c r="B521" s="3" t="s">
        <v>128</v>
      </c>
      <c r="C521" s="1">
        <v>43300101</v>
      </c>
      <c r="D521" t="s">
        <v>67</v>
      </c>
      <c r="H521" t="str">
        <f t="shared" si="48"/>
        <v>MNCNNT62H53A783K</v>
      </c>
      <c r="I521" t="str">
        <f>""</f>
        <v/>
      </c>
      <c r="K521" t="str">
        <f>""</f>
        <v/>
      </c>
      <c r="M521" t="s">
        <v>68</v>
      </c>
      <c r="N521" t="str">
        <f t="shared" si="49"/>
        <v>FOR</v>
      </c>
      <c r="O521" t="s">
        <v>69</v>
      </c>
      <c r="P521" s="3" t="s">
        <v>90</v>
      </c>
      <c r="Q521">
        <v>2016</v>
      </c>
      <c r="R521" s="2">
        <v>42573</v>
      </c>
      <c r="S521" s="2">
        <v>42573</v>
      </c>
      <c r="T521" s="2">
        <v>42573</v>
      </c>
      <c r="U521" s="2">
        <v>42633</v>
      </c>
      <c r="V521" t="s">
        <v>71</v>
      </c>
      <c r="W521" t="str">
        <f>"                0722"</f>
        <v xml:space="preserve">                0722</v>
      </c>
      <c r="X521">
        <v>0</v>
      </c>
      <c r="Y521">
        <v>350</v>
      </c>
      <c r="Z521"/>
      <c r="AB521"/>
      <c r="AC521">
        <v>350</v>
      </c>
      <c r="AD521">
        <v>-48</v>
      </c>
      <c r="AE521" s="1">
        <v>-16800</v>
      </c>
      <c r="AF521">
        <v>0</v>
      </c>
      <c r="AJ521">
        <v>0</v>
      </c>
      <c r="AK521">
        <v>0</v>
      </c>
      <c r="AL521">
        <v>0</v>
      </c>
      <c r="AM521">
        <v>350</v>
      </c>
      <c r="AN521">
        <v>350</v>
      </c>
      <c r="AO521">
        <v>350</v>
      </c>
      <c r="AP521" s="2">
        <v>42746</v>
      </c>
      <c r="AQ521" t="s">
        <v>72</v>
      </c>
      <c r="AR521" t="s">
        <v>72</v>
      </c>
      <c r="AS521">
        <v>2125</v>
      </c>
      <c r="AT521" s="4">
        <v>42585</v>
      </c>
      <c r="AV521">
        <v>2125</v>
      </c>
      <c r="AW521" s="4">
        <v>42585</v>
      </c>
      <c r="BD521">
        <v>0</v>
      </c>
      <c r="BN521" t="s">
        <v>74</v>
      </c>
    </row>
    <row r="522" spans="1:66" hidden="1">
      <c r="A522">
        <v>100120</v>
      </c>
      <c r="B522" s="3" t="s">
        <v>128</v>
      </c>
      <c r="C522" s="1">
        <v>43300101</v>
      </c>
      <c r="D522" t="s">
        <v>67</v>
      </c>
      <c r="H522" t="str">
        <f t="shared" si="48"/>
        <v>MNCNNT62H53A783K</v>
      </c>
      <c r="I522" t="str">
        <f>""</f>
        <v/>
      </c>
      <c r="K522" t="str">
        <f>""</f>
        <v/>
      </c>
      <c r="M522" t="s">
        <v>68</v>
      </c>
      <c r="N522" t="str">
        <f t="shared" si="49"/>
        <v>FOR</v>
      </c>
      <c r="O522" t="s">
        <v>69</v>
      </c>
      <c r="P522" s="3" t="s">
        <v>91</v>
      </c>
      <c r="Q522">
        <v>2016</v>
      </c>
      <c r="R522" s="2">
        <v>42592</v>
      </c>
      <c r="S522" s="2">
        <v>42598</v>
      </c>
      <c r="T522" s="2">
        <v>42598</v>
      </c>
      <c r="U522" s="2">
        <v>42658</v>
      </c>
      <c r="V522" t="s">
        <v>71</v>
      </c>
      <c r="W522" t="str">
        <f>"                0810"</f>
        <v xml:space="preserve">                0810</v>
      </c>
      <c r="X522">
        <v>0</v>
      </c>
      <c r="Y522">
        <v>350</v>
      </c>
      <c r="Z522"/>
      <c r="AB522"/>
      <c r="AC522">
        <v>350</v>
      </c>
      <c r="AD522">
        <v>-60</v>
      </c>
      <c r="AE522" s="1">
        <v>-21000</v>
      </c>
      <c r="AF522">
        <v>0</v>
      </c>
      <c r="AJ522">
        <v>0</v>
      </c>
      <c r="AK522">
        <v>0</v>
      </c>
      <c r="AL522">
        <v>0</v>
      </c>
      <c r="AM522">
        <v>350</v>
      </c>
      <c r="AN522">
        <v>350</v>
      </c>
      <c r="AO522">
        <v>350</v>
      </c>
      <c r="AP522" s="2">
        <v>42746</v>
      </c>
      <c r="AQ522" t="s">
        <v>72</v>
      </c>
      <c r="AR522" t="s">
        <v>72</v>
      </c>
      <c r="AS522">
        <v>2207</v>
      </c>
      <c r="AT522" s="4">
        <v>42598</v>
      </c>
      <c r="AV522">
        <v>2207</v>
      </c>
      <c r="AW522" s="4">
        <v>42598</v>
      </c>
      <c r="BD522">
        <v>0</v>
      </c>
      <c r="BN522" t="s">
        <v>74</v>
      </c>
    </row>
    <row r="523" spans="1:66" hidden="1">
      <c r="A523">
        <v>100120</v>
      </c>
      <c r="B523" s="3" t="s">
        <v>128</v>
      </c>
      <c r="C523" s="1">
        <v>43300101</v>
      </c>
      <c r="D523" t="s">
        <v>67</v>
      </c>
      <c r="H523" t="str">
        <f t="shared" si="48"/>
        <v>MNCNNT62H53A783K</v>
      </c>
      <c r="I523" t="str">
        <f>""</f>
        <v/>
      </c>
      <c r="K523" t="str">
        <f>""</f>
        <v/>
      </c>
      <c r="M523" t="s">
        <v>68</v>
      </c>
      <c r="N523" t="str">
        <f t="shared" si="49"/>
        <v>FOR</v>
      </c>
      <c r="O523" t="s">
        <v>69</v>
      </c>
      <c r="P523" s="3" t="s">
        <v>92</v>
      </c>
      <c r="Q523">
        <v>2016</v>
      </c>
      <c r="R523" s="2">
        <v>42633</v>
      </c>
      <c r="S523" s="2">
        <v>42634</v>
      </c>
      <c r="T523" s="2">
        <v>42634</v>
      </c>
      <c r="U523" s="2">
        <v>42694</v>
      </c>
      <c r="V523" t="s">
        <v>71</v>
      </c>
      <c r="W523" t="str">
        <f>"                0920"</f>
        <v xml:space="preserve">                0920</v>
      </c>
      <c r="X523">
        <v>0</v>
      </c>
      <c r="Y523">
        <v>350</v>
      </c>
      <c r="Z523"/>
      <c r="AB523"/>
      <c r="AC523">
        <v>350</v>
      </c>
      <c r="AD523">
        <v>-60</v>
      </c>
      <c r="AE523" s="1">
        <v>-21000</v>
      </c>
      <c r="AF523">
        <v>0</v>
      </c>
      <c r="AJ523">
        <v>0</v>
      </c>
      <c r="AK523">
        <v>0</v>
      </c>
      <c r="AL523">
        <v>0</v>
      </c>
      <c r="AM523">
        <v>350</v>
      </c>
      <c r="AN523">
        <v>350</v>
      </c>
      <c r="AO523">
        <v>350</v>
      </c>
      <c r="AP523" s="2">
        <v>42746</v>
      </c>
      <c r="AQ523" t="s">
        <v>72</v>
      </c>
      <c r="AR523" t="s">
        <v>72</v>
      </c>
      <c r="AS523">
        <v>2480</v>
      </c>
      <c r="AT523" s="4">
        <v>42634</v>
      </c>
      <c r="AV523">
        <v>2480</v>
      </c>
      <c r="AW523" s="4">
        <v>42634</v>
      </c>
      <c r="BD523">
        <v>0</v>
      </c>
      <c r="BN523" t="s">
        <v>74</v>
      </c>
    </row>
    <row r="524" spans="1:66" hidden="1">
      <c r="A524">
        <v>100120</v>
      </c>
      <c r="B524" s="3" t="s">
        <v>128</v>
      </c>
      <c r="C524" s="1">
        <v>43300101</v>
      </c>
      <c r="D524" t="s">
        <v>67</v>
      </c>
      <c r="H524" t="str">
        <f t="shared" si="48"/>
        <v>MNCNNT62H53A783K</v>
      </c>
      <c r="I524" t="str">
        <f>""</f>
        <v/>
      </c>
      <c r="K524" t="str">
        <f>""</f>
        <v/>
      </c>
      <c r="M524" t="s">
        <v>68</v>
      </c>
      <c r="N524" t="str">
        <f t="shared" si="49"/>
        <v>FOR</v>
      </c>
      <c r="O524" t="s">
        <v>69</v>
      </c>
      <c r="P524" s="3" t="s">
        <v>93</v>
      </c>
      <c r="Q524">
        <v>2016</v>
      </c>
      <c r="R524" s="2">
        <v>42664</v>
      </c>
      <c r="S524" s="2">
        <v>42667</v>
      </c>
      <c r="T524" s="2">
        <v>42667</v>
      </c>
      <c r="U524" s="2">
        <v>42727</v>
      </c>
      <c r="V524" t="s">
        <v>71</v>
      </c>
      <c r="W524" t="str">
        <f>"                1021"</f>
        <v xml:space="preserve">                1021</v>
      </c>
      <c r="X524">
        <v>0</v>
      </c>
      <c r="Y524">
        <v>350</v>
      </c>
      <c r="Z524" s="3">
        <v>350</v>
      </c>
      <c r="AA524">
        <v>-60</v>
      </c>
      <c r="AB524" s="5">
        <v>-21000</v>
      </c>
      <c r="AC524">
        <v>350</v>
      </c>
      <c r="AD524">
        <v>-60</v>
      </c>
      <c r="AE524" s="1">
        <v>-21000</v>
      </c>
      <c r="AF524">
        <v>0</v>
      </c>
      <c r="AJ524">
        <v>350</v>
      </c>
      <c r="AK524">
        <v>350</v>
      </c>
      <c r="AL524">
        <v>350</v>
      </c>
      <c r="AM524">
        <v>350</v>
      </c>
      <c r="AN524">
        <v>350</v>
      </c>
      <c r="AO524">
        <v>350</v>
      </c>
      <c r="AP524" s="2">
        <v>42746</v>
      </c>
      <c r="AQ524" t="s">
        <v>72</v>
      </c>
      <c r="AR524" t="s">
        <v>72</v>
      </c>
      <c r="AS524">
        <v>2828</v>
      </c>
      <c r="AT524" s="4">
        <v>42667</v>
      </c>
      <c r="AV524">
        <v>2828</v>
      </c>
      <c r="AW524" s="4">
        <v>42667</v>
      </c>
      <c r="BD524">
        <v>0</v>
      </c>
      <c r="BN524" t="s">
        <v>74</v>
      </c>
    </row>
    <row r="525" spans="1:66" hidden="1">
      <c r="A525">
        <v>100120</v>
      </c>
      <c r="B525" s="3" t="s">
        <v>128</v>
      </c>
      <c r="C525" s="1">
        <v>43300101</v>
      </c>
      <c r="D525" t="s">
        <v>67</v>
      </c>
      <c r="H525" t="str">
        <f t="shared" si="48"/>
        <v>MNCNNT62H53A783K</v>
      </c>
      <c r="I525" t="str">
        <f>""</f>
        <v/>
      </c>
      <c r="K525" t="str">
        <f>""</f>
        <v/>
      </c>
      <c r="M525" t="s">
        <v>68</v>
      </c>
      <c r="N525" t="str">
        <f t="shared" si="49"/>
        <v>FOR</v>
      </c>
      <c r="O525" t="s">
        <v>69</v>
      </c>
      <c r="P525" s="3" t="s">
        <v>94</v>
      </c>
      <c r="Q525">
        <v>2016</v>
      </c>
      <c r="R525" s="2">
        <v>42696</v>
      </c>
      <c r="S525" s="2">
        <v>42696</v>
      </c>
      <c r="T525" s="2">
        <v>42696</v>
      </c>
      <c r="U525" s="2">
        <v>42756</v>
      </c>
      <c r="V525" t="s">
        <v>71</v>
      </c>
      <c r="W525" t="str">
        <f>"                1122"</f>
        <v xml:space="preserve">                1122</v>
      </c>
      <c r="X525">
        <v>0</v>
      </c>
      <c r="Y525">
        <v>350</v>
      </c>
      <c r="Z525" s="3">
        <v>350</v>
      </c>
      <c r="AA525">
        <v>-59</v>
      </c>
      <c r="AB525" s="5">
        <v>-20650</v>
      </c>
      <c r="AC525">
        <v>350</v>
      </c>
      <c r="AD525">
        <v>-59</v>
      </c>
      <c r="AE525" s="1">
        <v>-20650</v>
      </c>
      <c r="AF525">
        <v>0</v>
      </c>
      <c r="AJ525">
        <v>350</v>
      </c>
      <c r="AK525">
        <v>350</v>
      </c>
      <c r="AL525">
        <v>350</v>
      </c>
      <c r="AM525">
        <v>350</v>
      </c>
      <c r="AN525">
        <v>350</v>
      </c>
      <c r="AO525">
        <v>350</v>
      </c>
      <c r="AP525" s="2">
        <v>42746</v>
      </c>
      <c r="AQ525" t="s">
        <v>72</v>
      </c>
      <c r="AR525" t="s">
        <v>72</v>
      </c>
      <c r="AS525">
        <v>3265</v>
      </c>
      <c r="AT525" s="4">
        <v>42697</v>
      </c>
      <c r="AV525">
        <v>3265</v>
      </c>
      <c r="AW525" s="4">
        <v>42697</v>
      </c>
      <c r="BD525">
        <v>0</v>
      </c>
      <c r="BN525" t="s">
        <v>74</v>
      </c>
    </row>
    <row r="526" spans="1:66" hidden="1">
      <c r="A526">
        <v>100120</v>
      </c>
      <c r="B526" s="3" t="s">
        <v>128</v>
      </c>
      <c r="C526" s="1">
        <v>43300101</v>
      </c>
      <c r="D526" t="s">
        <v>67</v>
      </c>
      <c r="H526" t="str">
        <f t="shared" si="48"/>
        <v>MNCNNT62H53A783K</v>
      </c>
      <c r="I526" t="str">
        <f>""</f>
        <v/>
      </c>
      <c r="K526" t="str">
        <f>""</f>
        <v/>
      </c>
      <c r="M526" t="s">
        <v>68</v>
      </c>
      <c r="N526" t="str">
        <f t="shared" si="49"/>
        <v>FOR</v>
      </c>
      <c r="O526" t="s">
        <v>69</v>
      </c>
      <c r="P526" s="3" t="s">
        <v>95</v>
      </c>
      <c r="Q526">
        <v>2016</v>
      </c>
      <c r="R526" s="2">
        <v>42717</v>
      </c>
      <c r="S526" s="2">
        <v>42717</v>
      </c>
      <c r="T526" s="2">
        <v>42717</v>
      </c>
      <c r="U526" s="2">
        <v>42777</v>
      </c>
      <c r="V526" t="s">
        <v>71</v>
      </c>
      <c r="W526" t="str">
        <f>"                1213"</f>
        <v xml:space="preserve">                1213</v>
      </c>
      <c r="X526">
        <v>0</v>
      </c>
      <c r="Y526">
        <v>350</v>
      </c>
      <c r="Z526" s="3">
        <v>350</v>
      </c>
      <c r="AA526">
        <v>-59</v>
      </c>
      <c r="AB526" s="5">
        <v>-20650</v>
      </c>
      <c r="AC526">
        <v>350</v>
      </c>
      <c r="AD526">
        <v>-59</v>
      </c>
      <c r="AE526" s="1">
        <v>-20650</v>
      </c>
      <c r="AF526">
        <v>0</v>
      </c>
      <c r="AJ526">
        <v>350</v>
      </c>
      <c r="AK526">
        <v>350</v>
      </c>
      <c r="AL526">
        <v>350</v>
      </c>
      <c r="AM526">
        <v>350</v>
      </c>
      <c r="AN526">
        <v>350</v>
      </c>
      <c r="AO526">
        <v>350</v>
      </c>
      <c r="AP526" s="2">
        <v>42746</v>
      </c>
      <c r="AQ526" t="s">
        <v>72</v>
      </c>
      <c r="AR526" t="s">
        <v>72</v>
      </c>
      <c r="AS526">
        <v>3423</v>
      </c>
      <c r="AT526" s="4">
        <v>42718</v>
      </c>
      <c r="AV526">
        <v>3423</v>
      </c>
      <c r="AW526" s="4">
        <v>42718</v>
      </c>
      <c r="BD526">
        <v>0</v>
      </c>
      <c r="BN526" t="s">
        <v>74</v>
      </c>
    </row>
    <row r="527" spans="1:66" hidden="1">
      <c r="A527">
        <v>100124</v>
      </c>
      <c r="B527" s="3" t="s">
        <v>129</v>
      </c>
      <c r="C527" s="1">
        <v>43500101</v>
      </c>
      <c r="D527" t="s">
        <v>113</v>
      </c>
      <c r="H527" t="str">
        <f t="shared" ref="H527:I538" si="50">"02848590754"</f>
        <v>02848590754</v>
      </c>
      <c r="I527" t="str">
        <f t="shared" si="50"/>
        <v>02848590754</v>
      </c>
      <c r="K527" t="str">
        <f>""</f>
        <v/>
      </c>
      <c r="M527" t="s">
        <v>68</v>
      </c>
      <c r="N527" t="str">
        <f t="shared" ref="N527:N538" si="51">"ALTFIN"</f>
        <v>ALTFIN</v>
      </c>
      <c r="O527" t="s">
        <v>123</v>
      </c>
      <c r="P527" s="3" t="s">
        <v>84</v>
      </c>
      <c r="Q527">
        <v>2016</v>
      </c>
      <c r="R527" s="2">
        <v>42389</v>
      </c>
      <c r="S527" s="2">
        <v>42390</v>
      </c>
      <c r="T527" s="2">
        <v>42390</v>
      </c>
      <c r="U527" s="2">
        <v>42450</v>
      </c>
      <c r="V527" t="s">
        <v>71</v>
      </c>
      <c r="W527" t="str">
        <f>"                0120"</f>
        <v xml:space="preserve">                0120</v>
      </c>
      <c r="X527">
        <v>0</v>
      </c>
      <c r="Y527" s="1">
        <v>36266.870000000003</v>
      </c>
      <c r="Z527"/>
      <c r="AB527"/>
      <c r="AC527" s="1">
        <v>36266.870000000003</v>
      </c>
      <c r="AD527">
        <v>-60</v>
      </c>
      <c r="AE527" s="1">
        <v>-2176012.2000000002</v>
      </c>
      <c r="AF527">
        <v>0</v>
      </c>
      <c r="AJ527">
        <v>0</v>
      </c>
      <c r="AK527">
        <v>0</v>
      </c>
      <c r="AL527">
        <v>0</v>
      </c>
      <c r="AM527" s="1">
        <v>36266.870000000003</v>
      </c>
      <c r="AN527" s="1">
        <v>36266.870000000003</v>
      </c>
      <c r="AO527" s="1">
        <v>36266.870000000003</v>
      </c>
      <c r="AP527" s="2">
        <v>42746</v>
      </c>
      <c r="AQ527" t="s">
        <v>72</v>
      </c>
      <c r="AR527" t="s">
        <v>72</v>
      </c>
      <c r="AS527">
        <v>31</v>
      </c>
      <c r="AT527" s="4">
        <v>42390</v>
      </c>
      <c r="AV527">
        <v>31</v>
      </c>
      <c r="AW527" s="4">
        <v>42390</v>
      </c>
      <c r="BD527">
        <v>0</v>
      </c>
      <c r="BN527" t="s">
        <v>74</v>
      </c>
    </row>
    <row r="528" spans="1:66" hidden="1">
      <c r="A528">
        <v>100124</v>
      </c>
      <c r="B528" s="3" t="s">
        <v>129</v>
      </c>
      <c r="C528" s="1">
        <v>43500101</v>
      </c>
      <c r="D528" t="s">
        <v>113</v>
      </c>
      <c r="H528" t="str">
        <f t="shared" si="50"/>
        <v>02848590754</v>
      </c>
      <c r="I528" t="str">
        <f t="shared" si="50"/>
        <v>02848590754</v>
      </c>
      <c r="K528" t="str">
        <f>""</f>
        <v/>
      </c>
      <c r="M528" t="s">
        <v>68</v>
      </c>
      <c r="N528" t="str">
        <f t="shared" si="51"/>
        <v>ALTFIN</v>
      </c>
      <c r="O528" t="s">
        <v>123</v>
      </c>
      <c r="P528" s="3" t="s">
        <v>85</v>
      </c>
      <c r="Q528">
        <v>2016</v>
      </c>
      <c r="R528" s="2">
        <v>42422</v>
      </c>
      <c r="S528" s="2">
        <v>42422</v>
      </c>
      <c r="T528" s="2">
        <v>42422</v>
      </c>
      <c r="U528" s="2">
        <v>42482</v>
      </c>
      <c r="V528" t="s">
        <v>71</v>
      </c>
      <c r="W528" t="str">
        <f>"                0222"</f>
        <v xml:space="preserve">                0222</v>
      </c>
      <c r="X528">
        <v>0</v>
      </c>
      <c r="Y528" s="1">
        <v>36208.300000000003</v>
      </c>
      <c r="Z528"/>
      <c r="AB528"/>
      <c r="AC528" s="1">
        <v>36208.300000000003</v>
      </c>
      <c r="AD528">
        <v>-58</v>
      </c>
      <c r="AE528" s="1">
        <v>-2100081.4</v>
      </c>
      <c r="AF528">
        <v>0</v>
      </c>
      <c r="AJ528">
        <v>0</v>
      </c>
      <c r="AK528">
        <v>0</v>
      </c>
      <c r="AL528">
        <v>0</v>
      </c>
      <c r="AM528" s="1">
        <v>36208.300000000003</v>
      </c>
      <c r="AN528" s="1">
        <v>36208.300000000003</v>
      </c>
      <c r="AO528" s="1">
        <v>36208.300000000003</v>
      </c>
      <c r="AP528" s="2">
        <v>42746</v>
      </c>
      <c r="AQ528" t="s">
        <v>72</v>
      </c>
      <c r="AR528" t="s">
        <v>72</v>
      </c>
      <c r="AS528">
        <v>476</v>
      </c>
      <c r="AT528" s="4">
        <v>42424</v>
      </c>
      <c r="AV528">
        <v>476</v>
      </c>
      <c r="AW528" s="4">
        <v>42424</v>
      </c>
      <c r="BD528">
        <v>0</v>
      </c>
      <c r="BN528" t="s">
        <v>74</v>
      </c>
    </row>
    <row r="529" spans="1:66" hidden="1">
      <c r="A529">
        <v>100124</v>
      </c>
      <c r="B529" s="3" t="s">
        <v>129</v>
      </c>
      <c r="C529" s="1">
        <v>43500101</v>
      </c>
      <c r="D529" t="s">
        <v>113</v>
      </c>
      <c r="H529" t="str">
        <f t="shared" si="50"/>
        <v>02848590754</v>
      </c>
      <c r="I529" t="str">
        <f t="shared" si="50"/>
        <v>02848590754</v>
      </c>
      <c r="K529" t="str">
        <f>""</f>
        <v/>
      </c>
      <c r="M529" t="s">
        <v>68</v>
      </c>
      <c r="N529" t="str">
        <f t="shared" si="51"/>
        <v>ALTFIN</v>
      </c>
      <c r="O529" t="s">
        <v>123</v>
      </c>
      <c r="P529" s="3" t="s">
        <v>86</v>
      </c>
      <c r="Q529">
        <v>2016</v>
      </c>
      <c r="R529" s="2">
        <v>42450</v>
      </c>
      <c r="S529" s="2">
        <v>42450</v>
      </c>
      <c r="T529" s="2">
        <v>42450</v>
      </c>
      <c r="U529" s="2">
        <v>42510</v>
      </c>
      <c r="V529" t="s">
        <v>71</v>
      </c>
      <c r="W529" t="str">
        <f>"                0321"</f>
        <v xml:space="preserve">                0321</v>
      </c>
      <c r="X529">
        <v>0</v>
      </c>
      <c r="Y529" s="1">
        <v>36388.53</v>
      </c>
      <c r="Z529"/>
      <c r="AB529"/>
      <c r="AC529" s="1">
        <v>36388.53</v>
      </c>
      <c r="AD529">
        <v>-57</v>
      </c>
      <c r="AE529" s="1">
        <v>-2074146.21</v>
      </c>
      <c r="AF529">
        <v>0</v>
      </c>
      <c r="AJ529">
        <v>0</v>
      </c>
      <c r="AK529">
        <v>0</v>
      </c>
      <c r="AL529">
        <v>0</v>
      </c>
      <c r="AM529" s="1">
        <v>36388.53</v>
      </c>
      <c r="AN529" s="1">
        <v>36388.53</v>
      </c>
      <c r="AO529" s="1">
        <v>36388.53</v>
      </c>
      <c r="AP529" s="2">
        <v>42746</v>
      </c>
      <c r="AQ529" t="s">
        <v>72</v>
      </c>
      <c r="AR529" t="s">
        <v>72</v>
      </c>
      <c r="AS529">
        <v>898</v>
      </c>
      <c r="AT529" s="4">
        <v>42453</v>
      </c>
      <c r="AV529">
        <v>898</v>
      </c>
      <c r="AW529" s="4">
        <v>42453</v>
      </c>
      <c r="BD529">
        <v>0</v>
      </c>
      <c r="BN529" t="s">
        <v>74</v>
      </c>
    </row>
    <row r="530" spans="1:66" hidden="1">
      <c r="A530">
        <v>100124</v>
      </c>
      <c r="B530" s="3" t="s">
        <v>129</v>
      </c>
      <c r="C530" s="1">
        <v>43500101</v>
      </c>
      <c r="D530" t="s">
        <v>113</v>
      </c>
      <c r="H530" t="str">
        <f t="shared" si="50"/>
        <v>02848590754</v>
      </c>
      <c r="I530" t="str">
        <f t="shared" si="50"/>
        <v>02848590754</v>
      </c>
      <c r="K530" t="str">
        <f>""</f>
        <v/>
      </c>
      <c r="M530" t="s">
        <v>68</v>
      </c>
      <c r="N530" t="str">
        <f t="shared" si="51"/>
        <v>ALTFIN</v>
      </c>
      <c r="O530" t="s">
        <v>123</v>
      </c>
      <c r="P530" s="3" t="s">
        <v>87</v>
      </c>
      <c r="Q530">
        <v>2016</v>
      </c>
      <c r="R530" s="2">
        <v>42481</v>
      </c>
      <c r="S530" s="2">
        <v>42481</v>
      </c>
      <c r="T530" s="2">
        <v>42481</v>
      </c>
      <c r="U530" s="2">
        <v>42541</v>
      </c>
      <c r="V530" t="s">
        <v>71</v>
      </c>
      <c r="W530" t="str">
        <f>"                0421"</f>
        <v xml:space="preserve">                0421</v>
      </c>
      <c r="X530">
        <v>0</v>
      </c>
      <c r="Y530" s="1">
        <v>36661.24</v>
      </c>
      <c r="Z530"/>
      <c r="AB530"/>
      <c r="AC530" s="1">
        <v>36661.24</v>
      </c>
      <c r="AD530">
        <v>-60</v>
      </c>
      <c r="AE530" s="1">
        <v>-2199674.4</v>
      </c>
      <c r="AF530">
        <v>0</v>
      </c>
      <c r="AJ530">
        <v>0</v>
      </c>
      <c r="AK530">
        <v>0</v>
      </c>
      <c r="AL530">
        <v>0</v>
      </c>
      <c r="AM530" s="1">
        <v>36661.24</v>
      </c>
      <c r="AN530" s="1">
        <v>36661.24</v>
      </c>
      <c r="AO530" s="1">
        <v>36661.24</v>
      </c>
      <c r="AP530" s="2">
        <v>42746</v>
      </c>
      <c r="AQ530" t="s">
        <v>72</v>
      </c>
      <c r="AR530" t="s">
        <v>72</v>
      </c>
      <c r="AS530">
        <v>1064</v>
      </c>
      <c r="AT530" s="4">
        <v>42481</v>
      </c>
      <c r="AV530">
        <v>1064</v>
      </c>
      <c r="AW530" s="4">
        <v>42481</v>
      </c>
      <c r="BD530">
        <v>0</v>
      </c>
      <c r="BN530" t="s">
        <v>74</v>
      </c>
    </row>
    <row r="531" spans="1:66" hidden="1">
      <c r="A531">
        <v>100124</v>
      </c>
      <c r="B531" s="3" t="s">
        <v>129</v>
      </c>
      <c r="C531" s="1">
        <v>43500101</v>
      </c>
      <c r="D531" t="s">
        <v>113</v>
      </c>
      <c r="H531" t="str">
        <f t="shared" si="50"/>
        <v>02848590754</v>
      </c>
      <c r="I531" t="str">
        <f t="shared" si="50"/>
        <v>02848590754</v>
      </c>
      <c r="K531" t="str">
        <f>""</f>
        <v/>
      </c>
      <c r="M531" t="s">
        <v>68</v>
      </c>
      <c r="N531" t="str">
        <f t="shared" si="51"/>
        <v>ALTFIN</v>
      </c>
      <c r="O531" t="s">
        <v>123</v>
      </c>
      <c r="P531" s="3" t="s">
        <v>88</v>
      </c>
      <c r="Q531">
        <v>2016</v>
      </c>
      <c r="R531" s="2">
        <v>42508</v>
      </c>
      <c r="S531" s="2">
        <v>42510</v>
      </c>
      <c r="T531" s="2">
        <v>42510</v>
      </c>
      <c r="U531" s="2">
        <v>42570</v>
      </c>
      <c r="V531" t="s">
        <v>71</v>
      </c>
      <c r="W531" t="str">
        <f>"                0518"</f>
        <v xml:space="preserve">                0518</v>
      </c>
      <c r="X531">
        <v>0</v>
      </c>
      <c r="Y531" s="1">
        <v>36619.68</v>
      </c>
      <c r="Z531"/>
      <c r="AB531"/>
      <c r="AC531" s="1">
        <v>36619.68</v>
      </c>
      <c r="AD531">
        <v>-57</v>
      </c>
      <c r="AE531" s="1">
        <v>-2087321.76</v>
      </c>
      <c r="AF531">
        <v>0</v>
      </c>
      <c r="AJ531">
        <v>0</v>
      </c>
      <c r="AK531">
        <v>0</v>
      </c>
      <c r="AL531">
        <v>0</v>
      </c>
      <c r="AM531" s="1">
        <v>36619.68</v>
      </c>
      <c r="AN531" s="1">
        <v>36619.68</v>
      </c>
      <c r="AO531" s="1">
        <v>36619.68</v>
      </c>
      <c r="AP531" s="2">
        <v>42746</v>
      </c>
      <c r="AQ531" t="s">
        <v>72</v>
      </c>
      <c r="AR531" t="s">
        <v>72</v>
      </c>
      <c r="AS531">
        <v>1302</v>
      </c>
      <c r="AT531" s="4">
        <v>42513</v>
      </c>
      <c r="AV531">
        <v>1302</v>
      </c>
      <c r="AW531" s="4">
        <v>42513</v>
      </c>
      <c r="BD531">
        <v>0</v>
      </c>
      <c r="BN531" t="s">
        <v>74</v>
      </c>
    </row>
    <row r="532" spans="1:66" hidden="1">
      <c r="A532">
        <v>100124</v>
      </c>
      <c r="B532" s="3" t="s">
        <v>129</v>
      </c>
      <c r="C532" s="1">
        <v>43500101</v>
      </c>
      <c r="D532" t="s">
        <v>113</v>
      </c>
      <c r="H532" t="str">
        <f t="shared" si="50"/>
        <v>02848590754</v>
      </c>
      <c r="I532" t="str">
        <f t="shared" si="50"/>
        <v>02848590754</v>
      </c>
      <c r="K532" t="str">
        <f>""</f>
        <v/>
      </c>
      <c r="M532" t="s">
        <v>68</v>
      </c>
      <c r="N532" t="str">
        <f t="shared" si="51"/>
        <v>ALTFIN</v>
      </c>
      <c r="O532" t="s">
        <v>123</v>
      </c>
      <c r="P532" s="3" t="s">
        <v>89</v>
      </c>
      <c r="Q532">
        <v>2016</v>
      </c>
      <c r="R532" s="2">
        <v>42548</v>
      </c>
      <c r="S532" s="2">
        <v>42543</v>
      </c>
      <c r="T532" s="2">
        <v>42543</v>
      </c>
      <c r="U532" s="2">
        <v>42603</v>
      </c>
      <c r="V532" t="s">
        <v>71</v>
      </c>
      <c r="W532" t="str">
        <f>"                0627"</f>
        <v xml:space="preserve">                0627</v>
      </c>
      <c r="X532">
        <v>0</v>
      </c>
      <c r="Y532" s="1">
        <v>34969.83</v>
      </c>
      <c r="Z532"/>
      <c r="AB532"/>
      <c r="AC532" s="1">
        <v>34969.83</v>
      </c>
      <c r="AD532">
        <v>-47</v>
      </c>
      <c r="AE532" s="1">
        <v>-1643582.01</v>
      </c>
      <c r="AF532">
        <v>0</v>
      </c>
      <c r="AJ532">
        <v>0</v>
      </c>
      <c r="AK532">
        <v>0</v>
      </c>
      <c r="AL532">
        <v>0</v>
      </c>
      <c r="AM532" s="1">
        <v>34969.83</v>
      </c>
      <c r="AN532" s="1">
        <v>34969.83</v>
      </c>
      <c r="AO532" s="1">
        <v>34969.83</v>
      </c>
      <c r="AP532" s="2">
        <v>42746</v>
      </c>
      <c r="AQ532" t="s">
        <v>72</v>
      </c>
      <c r="AR532" t="s">
        <v>72</v>
      </c>
      <c r="AS532">
        <v>1685</v>
      </c>
      <c r="AT532" s="4">
        <v>42556</v>
      </c>
      <c r="AV532">
        <v>1685</v>
      </c>
      <c r="AW532" s="4">
        <v>42556</v>
      </c>
      <c r="BD532">
        <v>0</v>
      </c>
      <c r="BN532" t="s">
        <v>74</v>
      </c>
    </row>
    <row r="533" spans="1:66" hidden="1">
      <c r="A533">
        <v>100124</v>
      </c>
      <c r="B533" s="3" t="s">
        <v>129</v>
      </c>
      <c r="C533" s="1">
        <v>43500101</v>
      </c>
      <c r="D533" t="s">
        <v>113</v>
      </c>
      <c r="H533" t="str">
        <f t="shared" si="50"/>
        <v>02848590754</v>
      </c>
      <c r="I533" t="str">
        <f t="shared" si="50"/>
        <v>02848590754</v>
      </c>
      <c r="K533" t="str">
        <f>""</f>
        <v/>
      </c>
      <c r="M533" t="s">
        <v>68</v>
      </c>
      <c r="N533" t="str">
        <f t="shared" si="51"/>
        <v>ALTFIN</v>
      </c>
      <c r="O533" t="s">
        <v>123</v>
      </c>
      <c r="P533" s="3" t="s">
        <v>90</v>
      </c>
      <c r="Q533">
        <v>2016</v>
      </c>
      <c r="R533" s="2">
        <v>42573</v>
      </c>
      <c r="S533" s="2">
        <v>42573</v>
      </c>
      <c r="T533" s="2">
        <v>42573</v>
      </c>
      <c r="U533" s="2">
        <v>42633</v>
      </c>
      <c r="V533" t="s">
        <v>71</v>
      </c>
      <c r="W533" t="str">
        <f>"                0722"</f>
        <v xml:space="preserve">                0722</v>
      </c>
      <c r="X533">
        <v>0</v>
      </c>
      <c r="Y533" s="1">
        <v>35109.72</v>
      </c>
      <c r="Z533"/>
      <c r="AB533"/>
      <c r="AC533" s="1">
        <v>35109.72</v>
      </c>
      <c r="AD533">
        <v>-48</v>
      </c>
      <c r="AE533" s="1">
        <v>-1685266.56</v>
      </c>
      <c r="AF533">
        <v>0</v>
      </c>
      <c r="AJ533">
        <v>0</v>
      </c>
      <c r="AK533">
        <v>0</v>
      </c>
      <c r="AL533">
        <v>0</v>
      </c>
      <c r="AM533" s="1">
        <v>35109.72</v>
      </c>
      <c r="AN533" s="1">
        <v>35109.72</v>
      </c>
      <c r="AO533" s="1">
        <v>35109.72</v>
      </c>
      <c r="AP533" s="2">
        <v>42746</v>
      </c>
      <c r="AQ533" t="s">
        <v>72</v>
      </c>
      <c r="AR533" t="s">
        <v>72</v>
      </c>
      <c r="AS533">
        <v>2085</v>
      </c>
      <c r="AT533" s="4">
        <v>42585</v>
      </c>
      <c r="AV533">
        <v>2085</v>
      </c>
      <c r="AW533" s="4">
        <v>42585</v>
      </c>
      <c r="BD533">
        <v>0</v>
      </c>
      <c r="BN533" t="s">
        <v>74</v>
      </c>
    </row>
    <row r="534" spans="1:66" hidden="1">
      <c r="A534">
        <v>100124</v>
      </c>
      <c r="B534" s="3" t="s">
        <v>129</v>
      </c>
      <c r="C534" s="1">
        <v>43500101</v>
      </c>
      <c r="D534" t="s">
        <v>113</v>
      </c>
      <c r="H534" t="str">
        <f t="shared" si="50"/>
        <v>02848590754</v>
      </c>
      <c r="I534" t="str">
        <f t="shared" si="50"/>
        <v>02848590754</v>
      </c>
      <c r="K534" t="str">
        <f>""</f>
        <v/>
      </c>
      <c r="M534" t="s">
        <v>68</v>
      </c>
      <c r="N534" t="str">
        <f t="shared" si="51"/>
        <v>ALTFIN</v>
      </c>
      <c r="O534" t="s">
        <v>123</v>
      </c>
      <c r="P534" s="3" t="s">
        <v>91</v>
      </c>
      <c r="Q534">
        <v>2016</v>
      </c>
      <c r="R534" s="2">
        <v>42592</v>
      </c>
      <c r="S534" s="2">
        <v>42598</v>
      </c>
      <c r="T534" s="2">
        <v>42598</v>
      </c>
      <c r="U534" s="2">
        <v>42658</v>
      </c>
      <c r="V534" t="s">
        <v>71</v>
      </c>
      <c r="W534" t="str">
        <f>"                0810"</f>
        <v xml:space="preserve">                0810</v>
      </c>
      <c r="X534">
        <v>0</v>
      </c>
      <c r="Y534" s="1">
        <v>35882.42</v>
      </c>
      <c r="Z534"/>
      <c r="AB534"/>
      <c r="AC534" s="1">
        <v>35882.42</v>
      </c>
      <c r="AD534">
        <v>-60</v>
      </c>
      <c r="AE534" s="1">
        <v>-2152945.2000000002</v>
      </c>
      <c r="AF534">
        <v>0</v>
      </c>
      <c r="AJ534">
        <v>0</v>
      </c>
      <c r="AK534">
        <v>0</v>
      </c>
      <c r="AL534">
        <v>0</v>
      </c>
      <c r="AM534" s="1">
        <v>35882.42</v>
      </c>
      <c r="AN534" s="1">
        <v>35882.42</v>
      </c>
      <c r="AO534" s="1">
        <v>35882.42</v>
      </c>
      <c r="AP534" s="2">
        <v>42746</v>
      </c>
      <c r="AQ534" t="s">
        <v>72</v>
      </c>
      <c r="AR534" t="s">
        <v>72</v>
      </c>
      <c r="AS534">
        <v>2167</v>
      </c>
      <c r="AT534" s="4">
        <v>42598</v>
      </c>
      <c r="AV534">
        <v>2167</v>
      </c>
      <c r="AW534" s="4">
        <v>42598</v>
      </c>
      <c r="BD534">
        <v>0</v>
      </c>
      <c r="BN534" t="s">
        <v>74</v>
      </c>
    </row>
    <row r="535" spans="1:66" hidden="1">
      <c r="A535">
        <v>100124</v>
      </c>
      <c r="B535" s="3" t="s">
        <v>129</v>
      </c>
      <c r="C535" s="1">
        <v>43500101</v>
      </c>
      <c r="D535" t="s">
        <v>113</v>
      </c>
      <c r="H535" t="str">
        <f t="shared" si="50"/>
        <v>02848590754</v>
      </c>
      <c r="I535" t="str">
        <f t="shared" si="50"/>
        <v>02848590754</v>
      </c>
      <c r="K535" t="str">
        <f>""</f>
        <v/>
      </c>
      <c r="M535" t="s">
        <v>68</v>
      </c>
      <c r="N535" t="str">
        <f t="shared" si="51"/>
        <v>ALTFIN</v>
      </c>
      <c r="O535" t="s">
        <v>123</v>
      </c>
      <c r="P535" s="3" t="s">
        <v>92</v>
      </c>
      <c r="Q535">
        <v>2016</v>
      </c>
      <c r="R535" s="2">
        <v>42633</v>
      </c>
      <c r="S535" s="2">
        <v>42634</v>
      </c>
      <c r="T535" s="2">
        <v>42634</v>
      </c>
      <c r="U535" s="2">
        <v>42694</v>
      </c>
      <c r="V535" t="s">
        <v>71</v>
      </c>
      <c r="W535" t="str">
        <f>"                0920"</f>
        <v xml:space="preserve">                0920</v>
      </c>
      <c r="X535">
        <v>0</v>
      </c>
      <c r="Y535" s="1">
        <v>36361.699999999997</v>
      </c>
      <c r="Z535"/>
      <c r="AB535"/>
      <c r="AC535" s="1">
        <v>36361.699999999997</v>
      </c>
      <c r="AD535">
        <v>-60</v>
      </c>
      <c r="AE535" s="1">
        <v>-2181702</v>
      </c>
      <c r="AF535">
        <v>0</v>
      </c>
      <c r="AJ535">
        <v>0</v>
      </c>
      <c r="AK535">
        <v>0</v>
      </c>
      <c r="AL535">
        <v>0</v>
      </c>
      <c r="AM535" s="1">
        <v>36361.699999999997</v>
      </c>
      <c r="AN535" s="1">
        <v>36361.699999999997</v>
      </c>
      <c r="AO535" s="1">
        <v>36361.699999999997</v>
      </c>
      <c r="AP535" s="2">
        <v>42746</v>
      </c>
      <c r="AQ535" t="s">
        <v>72</v>
      </c>
      <c r="AR535" t="s">
        <v>72</v>
      </c>
      <c r="AS535">
        <v>2440</v>
      </c>
      <c r="AT535" s="4">
        <v>42634</v>
      </c>
      <c r="AV535">
        <v>2440</v>
      </c>
      <c r="AW535" s="4">
        <v>42634</v>
      </c>
      <c r="BD535">
        <v>0</v>
      </c>
      <c r="BN535" t="s">
        <v>74</v>
      </c>
    </row>
    <row r="536" spans="1:66" hidden="1">
      <c r="A536">
        <v>100124</v>
      </c>
      <c r="B536" s="3" t="s">
        <v>129</v>
      </c>
      <c r="C536" s="1">
        <v>43500101</v>
      </c>
      <c r="D536" t="s">
        <v>113</v>
      </c>
      <c r="H536" t="str">
        <f t="shared" si="50"/>
        <v>02848590754</v>
      </c>
      <c r="I536" t="str">
        <f t="shared" si="50"/>
        <v>02848590754</v>
      </c>
      <c r="K536" t="str">
        <f>""</f>
        <v/>
      </c>
      <c r="M536" t="s">
        <v>68</v>
      </c>
      <c r="N536" t="str">
        <f t="shared" si="51"/>
        <v>ALTFIN</v>
      </c>
      <c r="O536" t="s">
        <v>123</v>
      </c>
      <c r="P536" s="3" t="s">
        <v>93</v>
      </c>
      <c r="Q536">
        <v>2016</v>
      </c>
      <c r="R536" s="2">
        <v>42664</v>
      </c>
      <c r="S536" s="2">
        <v>42667</v>
      </c>
      <c r="T536" s="2">
        <v>42667</v>
      </c>
      <c r="U536" s="2">
        <v>42727</v>
      </c>
      <c r="V536" t="s">
        <v>71</v>
      </c>
      <c r="W536" t="str">
        <f>"                1021"</f>
        <v xml:space="preserve">                1021</v>
      </c>
      <c r="X536">
        <v>0</v>
      </c>
      <c r="Y536" s="1">
        <v>35472.14</v>
      </c>
      <c r="Z536" s="5">
        <v>35472.14</v>
      </c>
      <c r="AA536">
        <v>-60</v>
      </c>
      <c r="AB536" s="5">
        <v>-2128328.4</v>
      </c>
      <c r="AC536" s="1">
        <v>35472.14</v>
      </c>
      <c r="AD536">
        <v>-60</v>
      </c>
      <c r="AE536" s="1">
        <v>-2128328.4</v>
      </c>
      <c r="AF536">
        <v>0</v>
      </c>
      <c r="AJ536" s="1">
        <v>35472.14</v>
      </c>
      <c r="AK536" s="1">
        <v>35472.14</v>
      </c>
      <c r="AL536" s="1">
        <v>35472.14</v>
      </c>
      <c r="AM536" s="1">
        <v>35472.14</v>
      </c>
      <c r="AN536" s="1">
        <v>35472.14</v>
      </c>
      <c r="AO536" s="1">
        <v>35472.14</v>
      </c>
      <c r="AP536" s="2">
        <v>42746</v>
      </c>
      <c r="AQ536" t="s">
        <v>72</v>
      </c>
      <c r="AR536" t="s">
        <v>72</v>
      </c>
      <c r="AS536">
        <v>2787</v>
      </c>
      <c r="AT536" s="4">
        <v>42667</v>
      </c>
      <c r="AV536">
        <v>2787</v>
      </c>
      <c r="AW536" s="4">
        <v>42667</v>
      </c>
      <c r="BD536">
        <v>0</v>
      </c>
      <c r="BN536" t="s">
        <v>74</v>
      </c>
    </row>
    <row r="537" spans="1:66" hidden="1">
      <c r="A537">
        <v>100124</v>
      </c>
      <c r="B537" s="3" t="s">
        <v>129</v>
      </c>
      <c r="C537" s="1">
        <v>43500101</v>
      </c>
      <c r="D537" t="s">
        <v>113</v>
      </c>
      <c r="H537" t="str">
        <f t="shared" si="50"/>
        <v>02848590754</v>
      </c>
      <c r="I537" t="str">
        <f t="shared" si="50"/>
        <v>02848590754</v>
      </c>
      <c r="K537" t="str">
        <f>""</f>
        <v/>
      </c>
      <c r="M537" t="s">
        <v>68</v>
      </c>
      <c r="N537" t="str">
        <f t="shared" si="51"/>
        <v>ALTFIN</v>
      </c>
      <c r="O537" t="s">
        <v>123</v>
      </c>
      <c r="P537" s="3" t="s">
        <v>94</v>
      </c>
      <c r="Q537">
        <v>2016</v>
      </c>
      <c r="R537" s="2">
        <v>42696</v>
      </c>
      <c r="S537" s="2">
        <v>42696</v>
      </c>
      <c r="T537" s="2">
        <v>42696</v>
      </c>
      <c r="U537" s="2">
        <v>42756</v>
      </c>
      <c r="V537" t="s">
        <v>71</v>
      </c>
      <c r="W537" t="str">
        <f>"                1122"</f>
        <v xml:space="preserve">                1122</v>
      </c>
      <c r="X537">
        <v>0</v>
      </c>
      <c r="Y537" s="1">
        <v>35729.25</v>
      </c>
      <c r="Z537" s="5">
        <v>35729.25</v>
      </c>
      <c r="AA537">
        <v>-59</v>
      </c>
      <c r="AB537" s="5">
        <v>-2108025.75</v>
      </c>
      <c r="AC537" s="1">
        <v>35729.25</v>
      </c>
      <c r="AD537">
        <v>-59</v>
      </c>
      <c r="AE537" s="1">
        <v>-2108025.75</v>
      </c>
      <c r="AF537">
        <v>0</v>
      </c>
      <c r="AJ537" s="1">
        <v>35729.25</v>
      </c>
      <c r="AK537" s="1">
        <v>35729.25</v>
      </c>
      <c r="AL537" s="1">
        <v>35729.25</v>
      </c>
      <c r="AM537" s="1">
        <v>35729.25</v>
      </c>
      <c r="AN537" s="1">
        <v>35729.25</v>
      </c>
      <c r="AO537" s="1">
        <v>35729.25</v>
      </c>
      <c r="AP537" s="2">
        <v>42746</v>
      </c>
      <c r="AQ537" t="s">
        <v>72</v>
      </c>
      <c r="AR537" t="s">
        <v>72</v>
      </c>
      <c r="AS537">
        <v>3225</v>
      </c>
      <c r="AT537" s="4">
        <v>42697</v>
      </c>
      <c r="AV537">
        <v>3225</v>
      </c>
      <c r="AW537" s="4">
        <v>42697</v>
      </c>
      <c r="BD537">
        <v>0</v>
      </c>
      <c r="BN537" t="s">
        <v>74</v>
      </c>
    </row>
    <row r="538" spans="1:66" hidden="1">
      <c r="A538">
        <v>100124</v>
      </c>
      <c r="B538" s="3" t="s">
        <v>129</v>
      </c>
      <c r="C538" s="1">
        <v>43500101</v>
      </c>
      <c r="D538" t="s">
        <v>113</v>
      </c>
      <c r="H538" t="str">
        <f t="shared" si="50"/>
        <v>02848590754</v>
      </c>
      <c r="I538" t="str">
        <f t="shared" si="50"/>
        <v>02848590754</v>
      </c>
      <c r="K538" t="str">
        <f>""</f>
        <v/>
      </c>
      <c r="M538" t="s">
        <v>68</v>
      </c>
      <c r="N538" t="str">
        <f t="shared" si="51"/>
        <v>ALTFIN</v>
      </c>
      <c r="O538" t="s">
        <v>123</v>
      </c>
      <c r="P538" s="3" t="s">
        <v>95</v>
      </c>
      <c r="Q538">
        <v>2016</v>
      </c>
      <c r="R538" s="2">
        <v>42717</v>
      </c>
      <c r="S538" s="2">
        <v>42717</v>
      </c>
      <c r="T538" s="2">
        <v>42717</v>
      </c>
      <c r="U538" s="2">
        <v>42777</v>
      </c>
      <c r="V538" t="s">
        <v>71</v>
      </c>
      <c r="W538" t="str">
        <f>"                1213"</f>
        <v xml:space="preserve">                1213</v>
      </c>
      <c r="X538">
        <v>0</v>
      </c>
      <c r="Y538" s="1">
        <v>35136.67</v>
      </c>
      <c r="Z538" s="5">
        <v>35136.67</v>
      </c>
      <c r="AA538">
        <v>-59</v>
      </c>
      <c r="AB538" s="5">
        <v>-2073063.53</v>
      </c>
      <c r="AC538" s="1">
        <v>35136.67</v>
      </c>
      <c r="AD538">
        <v>-59</v>
      </c>
      <c r="AE538" s="1">
        <v>-2073063.53</v>
      </c>
      <c r="AF538">
        <v>0</v>
      </c>
      <c r="AJ538" s="1">
        <v>35136.67</v>
      </c>
      <c r="AK538" s="1">
        <v>35136.67</v>
      </c>
      <c r="AL538" s="1">
        <v>35136.67</v>
      </c>
      <c r="AM538" s="1">
        <v>35136.67</v>
      </c>
      <c r="AN538" s="1">
        <v>35136.67</v>
      </c>
      <c r="AO538" s="1">
        <v>35136.67</v>
      </c>
      <c r="AP538" s="2">
        <v>42746</v>
      </c>
      <c r="AQ538" t="s">
        <v>72</v>
      </c>
      <c r="AR538" t="s">
        <v>72</v>
      </c>
      <c r="AS538">
        <v>3384</v>
      </c>
      <c r="AT538" s="4">
        <v>42718</v>
      </c>
      <c r="AV538">
        <v>3384</v>
      </c>
      <c r="AW538" s="4">
        <v>42718</v>
      </c>
      <c r="BD538">
        <v>0</v>
      </c>
      <c r="BN538" t="s">
        <v>74</v>
      </c>
    </row>
    <row r="539" spans="1:66" hidden="1">
      <c r="A539">
        <v>100136</v>
      </c>
      <c r="B539" s="3" t="s">
        <v>130</v>
      </c>
      <c r="C539" s="1">
        <v>43300101</v>
      </c>
      <c r="D539" t="s">
        <v>67</v>
      </c>
      <c r="H539" t="str">
        <f t="shared" ref="H539:I556" si="52">"03615181009"</f>
        <v>03615181009</v>
      </c>
      <c r="I539" t="str">
        <f t="shared" si="52"/>
        <v>03615181009</v>
      </c>
      <c r="K539" t="str">
        <f>""</f>
        <v/>
      </c>
      <c r="M539" t="s">
        <v>68</v>
      </c>
      <c r="N539" t="str">
        <f t="shared" ref="N539:N556" si="53">"FOR"</f>
        <v>FOR</v>
      </c>
      <c r="O539" t="s">
        <v>69</v>
      </c>
      <c r="P539" s="3" t="s">
        <v>75</v>
      </c>
      <c r="Q539">
        <v>2015</v>
      </c>
      <c r="R539" s="2">
        <v>42155</v>
      </c>
      <c r="S539" s="2">
        <v>42171</v>
      </c>
      <c r="T539" s="2">
        <v>42166</v>
      </c>
      <c r="U539" s="2">
        <v>42226</v>
      </c>
      <c r="V539" t="s">
        <v>71</v>
      </c>
      <c r="W539" t="str">
        <f>"           000017-PA"</f>
        <v xml:space="preserve">           000017-PA</v>
      </c>
      <c r="X539" s="1">
        <v>6466</v>
      </c>
      <c r="Y539">
        <v>0</v>
      </c>
      <c r="Z539"/>
      <c r="AB539"/>
      <c r="AC539" s="1">
        <v>5300</v>
      </c>
      <c r="AD539">
        <v>227</v>
      </c>
      <c r="AE539" s="1">
        <v>1203100</v>
      </c>
      <c r="AF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 s="2">
        <v>42746</v>
      </c>
      <c r="AQ539" t="s">
        <v>72</v>
      </c>
      <c r="AR539" t="s">
        <v>72</v>
      </c>
      <c r="AS539">
        <v>865</v>
      </c>
      <c r="AT539" s="4">
        <v>42453</v>
      </c>
      <c r="AU539" t="s">
        <v>73</v>
      </c>
      <c r="AV539">
        <v>865</v>
      </c>
      <c r="AW539" s="4">
        <v>42453</v>
      </c>
      <c r="BD539">
        <v>0</v>
      </c>
      <c r="BN539" t="s">
        <v>74</v>
      </c>
    </row>
    <row r="540" spans="1:66" hidden="1">
      <c r="A540">
        <v>100136</v>
      </c>
      <c r="B540" s="3" t="s">
        <v>130</v>
      </c>
      <c r="C540" s="1">
        <v>43300101</v>
      </c>
      <c r="D540" t="s">
        <v>67</v>
      </c>
      <c r="H540" t="str">
        <f t="shared" si="52"/>
        <v>03615181009</v>
      </c>
      <c r="I540" t="str">
        <f t="shared" si="52"/>
        <v>03615181009</v>
      </c>
      <c r="K540" t="str">
        <f>""</f>
        <v/>
      </c>
      <c r="M540" t="s">
        <v>68</v>
      </c>
      <c r="N540" t="str">
        <f t="shared" si="53"/>
        <v>FOR</v>
      </c>
      <c r="O540" t="s">
        <v>69</v>
      </c>
      <c r="P540" s="3" t="s">
        <v>75</v>
      </c>
      <c r="Q540">
        <v>2015</v>
      </c>
      <c r="R540" s="2">
        <v>42155</v>
      </c>
      <c r="S540" s="2">
        <v>42171</v>
      </c>
      <c r="T540" s="2">
        <v>42166</v>
      </c>
      <c r="U540" s="2">
        <v>42226</v>
      </c>
      <c r="V540" t="s">
        <v>71</v>
      </c>
      <c r="W540" t="str">
        <f>"           000018-PA"</f>
        <v xml:space="preserve">           000018-PA</v>
      </c>
      <c r="X540" s="1">
        <v>3233</v>
      </c>
      <c r="Y540">
        <v>0</v>
      </c>
      <c r="Z540"/>
      <c r="AB540"/>
      <c r="AC540" s="1">
        <v>2650</v>
      </c>
      <c r="AD540">
        <v>227</v>
      </c>
      <c r="AE540" s="1">
        <v>601550</v>
      </c>
      <c r="AF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 s="2">
        <v>42746</v>
      </c>
      <c r="AQ540" t="s">
        <v>72</v>
      </c>
      <c r="AR540" t="s">
        <v>72</v>
      </c>
      <c r="AS540">
        <v>865</v>
      </c>
      <c r="AT540" s="4">
        <v>42453</v>
      </c>
      <c r="AU540" t="s">
        <v>73</v>
      </c>
      <c r="AV540">
        <v>865</v>
      </c>
      <c r="AW540" s="4">
        <v>42453</v>
      </c>
      <c r="BD540">
        <v>0</v>
      </c>
      <c r="BN540" t="s">
        <v>74</v>
      </c>
    </row>
    <row r="541" spans="1:66" hidden="1">
      <c r="A541">
        <v>100136</v>
      </c>
      <c r="B541" s="3" t="s">
        <v>130</v>
      </c>
      <c r="C541" s="1">
        <v>43300101</v>
      </c>
      <c r="D541" t="s">
        <v>67</v>
      </c>
      <c r="H541" t="str">
        <f t="shared" si="52"/>
        <v>03615181009</v>
      </c>
      <c r="I541" t="str">
        <f t="shared" si="52"/>
        <v>03615181009</v>
      </c>
      <c r="K541" t="str">
        <f>""</f>
        <v/>
      </c>
      <c r="M541" t="s">
        <v>68</v>
      </c>
      <c r="N541" t="str">
        <f t="shared" si="53"/>
        <v>FOR</v>
      </c>
      <c r="O541" t="s">
        <v>69</v>
      </c>
      <c r="P541" s="3" t="s">
        <v>75</v>
      </c>
      <c r="Q541">
        <v>2015</v>
      </c>
      <c r="R541" s="2">
        <v>42155</v>
      </c>
      <c r="S541" s="2">
        <v>42171</v>
      </c>
      <c r="T541" s="2">
        <v>42166</v>
      </c>
      <c r="U541" s="2">
        <v>42226</v>
      </c>
      <c r="V541" t="s">
        <v>71</v>
      </c>
      <c r="W541" t="str">
        <f>"           000019-PA"</f>
        <v xml:space="preserve">           000019-PA</v>
      </c>
      <c r="X541" s="1">
        <v>6466</v>
      </c>
      <c r="Y541">
        <v>0</v>
      </c>
      <c r="Z541"/>
      <c r="AB541"/>
      <c r="AC541" s="1">
        <v>5300</v>
      </c>
      <c r="AD541">
        <v>227</v>
      </c>
      <c r="AE541" s="1">
        <v>1203100</v>
      </c>
      <c r="AF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 s="2">
        <v>42746</v>
      </c>
      <c r="AQ541" t="s">
        <v>72</v>
      </c>
      <c r="AR541" t="s">
        <v>72</v>
      </c>
      <c r="AS541">
        <v>865</v>
      </c>
      <c r="AT541" s="4">
        <v>42453</v>
      </c>
      <c r="AU541" t="s">
        <v>73</v>
      </c>
      <c r="AV541">
        <v>865</v>
      </c>
      <c r="AW541" s="4">
        <v>42453</v>
      </c>
      <c r="BD541">
        <v>0</v>
      </c>
      <c r="BN541" t="s">
        <v>74</v>
      </c>
    </row>
    <row r="542" spans="1:66" hidden="1">
      <c r="A542">
        <v>100136</v>
      </c>
      <c r="B542" s="3" t="s">
        <v>130</v>
      </c>
      <c r="C542" s="1">
        <v>43300101</v>
      </c>
      <c r="D542" t="s">
        <v>67</v>
      </c>
      <c r="H542" t="str">
        <f t="shared" si="52"/>
        <v>03615181009</v>
      </c>
      <c r="I542" t="str">
        <f t="shared" si="52"/>
        <v>03615181009</v>
      </c>
      <c r="K542" t="str">
        <f>""</f>
        <v/>
      </c>
      <c r="M542" t="s">
        <v>68</v>
      </c>
      <c r="N542" t="str">
        <f t="shared" si="53"/>
        <v>FOR</v>
      </c>
      <c r="O542" t="s">
        <v>69</v>
      </c>
      <c r="P542" s="3" t="s">
        <v>75</v>
      </c>
      <c r="Q542">
        <v>2015</v>
      </c>
      <c r="R542" s="2">
        <v>42155</v>
      </c>
      <c r="S542" s="2">
        <v>42185</v>
      </c>
      <c r="T542" s="2">
        <v>42167</v>
      </c>
      <c r="U542" s="2">
        <v>42227</v>
      </c>
      <c r="V542" t="s">
        <v>71</v>
      </c>
      <c r="W542" t="str">
        <f>"           000045-PA"</f>
        <v xml:space="preserve">           000045-PA</v>
      </c>
      <c r="X542" s="1">
        <v>3233</v>
      </c>
      <c r="Y542">
        <v>0</v>
      </c>
      <c r="Z542"/>
      <c r="AB542"/>
      <c r="AC542" s="1">
        <v>2650</v>
      </c>
      <c r="AD542">
        <v>226</v>
      </c>
      <c r="AE542" s="1">
        <v>598900</v>
      </c>
      <c r="AF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 s="2">
        <v>42746</v>
      </c>
      <c r="AQ542" t="s">
        <v>72</v>
      </c>
      <c r="AR542" t="s">
        <v>72</v>
      </c>
      <c r="AS542">
        <v>865</v>
      </c>
      <c r="AT542" s="4">
        <v>42453</v>
      </c>
      <c r="AU542" t="s">
        <v>73</v>
      </c>
      <c r="AV542">
        <v>865</v>
      </c>
      <c r="AW542" s="4">
        <v>42453</v>
      </c>
      <c r="BD542">
        <v>0</v>
      </c>
      <c r="BN542" t="s">
        <v>74</v>
      </c>
    </row>
    <row r="543" spans="1:66" hidden="1">
      <c r="A543">
        <v>100136</v>
      </c>
      <c r="B543" s="3" t="s">
        <v>130</v>
      </c>
      <c r="C543" s="1">
        <v>43300101</v>
      </c>
      <c r="D543" t="s">
        <v>67</v>
      </c>
      <c r="H543" t="str">
        <f t="shared" si="52"/>
        <v>03615181009</v>
      </c>
      <c r="I543" t="str">
        <f t="shared" si="52"/>
        <v>03615181009</v>
      </c>
      <c r="K543" t="str">
        <f>""</f>
        <v/>
      </c>
      <c r="M543" t="s">
        <v>68</v>
      </c>
      <c r="N543" t="str">
        <f t="shared" si="53"/>
        <v>FOR</v>
      </c>
      <c r="O543" t="s">
        <v>69</v>
      </c>
      <c r="P543" s="3" t="s">
        <v>75</v>
      </c>
      <c r="Q543">
        <v>2015</v>
      </c>
      <c r="R543" s="2">
        <v>42155</v>
      </c>
      <c r="S543" s="2">
        <v>42185</v>
      </c>
      <c r="T543" s="2">
        <v>42173</v>
      </c>
      <c r="U543" s="2">
        <v>42233</v>
      </c>
      <c r="V543" t="s">
        <v>71</v>
      </c>
      <c r="W543" t="str">
        <f>"           000059-PA"</f>
        <v xml:space="preserve">           000059-PA</v>
      </c>
      <c r="X543" s="1">
        <v>3233</v>
      </c>
      <c r="Y543">
        <v>0</v>
      </c>
      <c r="Z543"/>
      <c r="AB543"/>
      <c r="AC543" s="1">
        <v>2650</v>
      </c>
      <c r="AD543">
        <v>220</v>
      </c>
      <c r="AE543" s="1">
        <v>583000</v>
      </c>
      <c r="AF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 s="2">
        <v>42746</v>
      </c>
      <c r="AQ543" t="s">
        <v>72</v>
      </c>
      <c r="AR543" t="s">
        <v>72</v>
      </c>
      <c r="AS543">
        <v>865</v>
      </c>
      <c r="AT543" s="4">
        <v>42453</v>
      </c>
      <c r="AU543" t="s">
        <v>73</v>
      </c>
      <c r="AV543">
        <v>865</v>
      </c>
      <c r="AW543" s="4">
        <v>42453</v>
      </c>
      <c r="BD543">
        <v>0</v>
      </c>
      <c r="BN543" t="s">
        <v>74</v>
      </c>
    </row>
    <row r="544" spans="1:66" hidden="1">
      <c r="A544">
        <v>100136</v>
      </c>
      <c r="B544" s="3" t="s">
        <v>130</v>
      </c>
      <c r="C544" s="1">
        <v>43300101</v>
      </c>
      <c r="D544" t="s">
        <v>67</v>
      </c>
      <c r="H544" t="str">
        <f t="shared" si="52"/>
        <v>03615181009</v>
      </c>
      <c r="I544" t="str">
        <f t="shared" si="52"/>
        <v>03615181009</v>
      </c>
      <c r="K544" t="str">
        <f>""</f>
        <v/>
      </c>
      <c r="M544" t="s">
        <v>68</v>
      </c>
      <c r="N544" t="str">
        <f t="shared" si="53"/>
        <v>FOR</v>
      </c>
      <c r="O544" t="s">
        <v>69</v>
      </c>
      <c r="P544" s="3" t="s">
        <v>75</v>
      </c>
      <c r="Q544">
        <v>2015</v>
      </c>
      <c r="R544" s="2">
        <v>42185</v>
      </c>
      <c r="S544" s="2">
        <v>42201</v>
      </c>
      <c r="T544" s="2">
        <v>42200</v>
      </c>
      <c r="U544" s="2">
        <v>42260</v>
      </c>
      <c r="V544" t="s">
        <v>71</v>
      </c>
      <c r="W544" t="str">
        <f>"           000100-PA"</f>
        <v xml:space="preserve">           000100-PA</v>
      </c>
      <c r="X544" s="1">
        <v>3233</v>
      </c>
      <c r="Y544">
        <v>0</v>
      </c>
      <c r="Z544"/>
      <c r="AB544"/>
      <c r="AC544" s="1">
        <v>2650</v>
      </c>
      <c r="AD544">
        <v>227</v>
      </c>
      <c r="AE544" s="1">
        <v>601550</v>
      </c>
      <c r="AF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 s="2">
        <v>42746</v>
      </c>
      <c r="AQ544" t="s">
        <v>72</v>
      </c>
      <c r="AR544" t="s">
        <v>72</v>
      </c>
      <c r="AS544">
        <v>1199</v>
      </c>
      <c r="AT544" s="4">
        <v>42487</v>
      </c>
      <c r="AU544" t="s">
        <v>73</v>
      </c>
      <c r="AV544">
        <v>1199</v>
      </c>
      <c r="AW544" s="4">
        <v>42487</v>
      </c>
      <c r="BD544">
        <v>0</v>
      </c>
      <c r="BN544" t="s">
        <v>74</v>
      </c>
    </row>
    <row r="545" spans="1:66" hidden="1">
      <c r="A545">
        <v>100136</v>
      </c>
      <c r="B545" s="3" t="s">
        <v>130</v>
      </c>
      <c r="C545" s="1">
        <v>43300101</v>
      </c>
      <c r="D545" t="s">
        <v>67</v>
      </c>
      <c r="H545" t="str">
        <f t="shared" si="52"/>
        <v>03615181009</v>
      </c>
      <c r="I545" t="str">
        <f t="shared" si="52"/>
        <v>03615181009</v>
      </c>
      <c r="K545" t="str">
        <f>""</f>
        <v/>
      </c>
      <c r="M545" t="s">
        <v>68</v>
      </c>
      <c r="N545" t="str">
        <f t="shared" si="53"/>
        <v>FOR</v>
      </c>
      <c r="O545" t="s">
        <v>69</v>
      </c>
      <c r="P545" s="3" t="s">
        <v>75</v>
      </c>
      <c r="Q545">
        <v>2015</v>
      </c>
      <c r="R545" s="2">
        <v>42243</v>
      </c>
      <c r="S545" s="2">
        <v>42248</v>
      </c>
      <c r="T545" s="2">
        <v>42244</v>
      </c>
      <c r="U545" s="2">
        <v>42304</v>
      </c>
      <c r="V545" t="s">
        <v>71</v>
      </c>
      <c r="W545" t="str">
        <f>"           000108-PA"</f>
        <v xml:space="preserve">           000108-PA</v>
      </c>
      <c r="X545" s="1">
        <v>3233</v>
      </c>
      <c r="Y545">
        <v>0</v>
      </c>
      <c r="Z545"/>
      <c r="AB545"/>
      <c r="AC545" s="1">
        <v>2650</v>
      </c>
      <c r="AD545">
        <v>225</v>
      </c>
      <c r="AE545" s="1">
        <v>596250</v>
      </c>
      <c r="AF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 s="2">
        <v>42746</v>
      </c>
      <c r="AQ545" t="s">
        <v>72</v>
      </c>
      <c r="AR545" t="s">
        <v>72</v>
      </c>
      <c r="AS545">
        <v>1583</v>
      </c>
      <c r="AT545" s="4">
        <v>42529</v>
      </c>
      <c r="AU545" t="s">
        <v>73</v>
      </c>
      <c r="AV545">
        <v>1583</v>
      </c>
      <c r="AW545" s="4">
        <v>42529</v>
      </c>
      <c r="BD545">
        <v>0</v>
      </c>
      <c r="BN545" t="s">
        <v>74</v>
      </c>
    </row>
    <row r="546" spans="1:66" hidden="1">
      <c r="A546">
        <v>100136</v>
      </c>
      <c r="B546" s="3" t="s">
        <v>130</v>
      </c>
      <c r="C546" s="1">
        <v>43300101</v>
      </c>
      <c r="D546" t="s">
        <v>67</v>
      </c>
      <c r="H546" t="str">
        <f t="shared" si="52"/>
        <v>03615181009</v>
      </c>
      <c r="I546" t="str">
        <f t="shared" si="52"/>
        <v>03615181009</v>
      </c>
      <c r="K546" t="str">
        <f>""</f>
        <v/>
      </c>
      <c r="M546" t="s">
        <v>68</v>
      </c>
      <c r="N546" t="str">
        <f t="shared" si="53"/>
        <v>FOR</v>
      </c>
      <c r="O546" t="s">
        <v>69</v>
      </c>
      <c r="P546" s="3" t="s">
        <v>75</v>
      </c>
      <c r="Q546">
        <v>2015</v>
      </c>
      <c r="R546" s="2">
        <v>42243</v>
      </c>
      <c r="S546" s="2">
        <v>42248</v>
      </c>
      <c r="T546" s="2">
        <v>42244</v>
      </c>
      <c r="U546" s="2">
        <v>42304</v>
      </c>
      <c r="V546" t="s">
        <v>71</v>
      </c>
      <c r="W546" t="str">
        <f>"           000109-PA"</f>
        <v xml:space="preserve">           000109-PA</v>
      </c>
      <c r="X546" s="1">
        <v>3233</v>
      </c>
      <c r="Y546">
        <v>0</v>
      </c>
      <c r="Z546"/>
      <c r="AB546"/>
      <c r="AC546" s="1">
        <v>2650</v>
      </c>
      <c r="AD546">
        <v>225</v>
      </c>
      <c r="AE546" s="1">
        <v>596250</v>
      </c>
      <c r="AF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 s="2">
        <v>42746</v>
      </c>
      <c r="AQ546" t="s">
        <v>72</v>
      </c>
      <c r="AR546" t="s">
        <v>72</v>
      </c>
      <c r="AS546">
        <v>1583</v>
      </c>
      <c r="AT546" s="4">
        <v>42529</v>
      </c>
      <c r="AU546" t="s">
        <v>73</v>
      </c>
      <c r="AV546">
        <v>1583</v>
      </c>
      <c r="AW546" s="4">
        <v>42529</v>
      </c>
      <c r="BD546">
        <v>0</v>
      </c>
      <c r="BN546" t="s">
        <v>74</v>
      </c>
    </row>
    <row r="547" spans="1:66" hidden="1">
      <c r="A547">
        <v>100136</v>
      </c>
      <c r="B547" s="3" t="s">
        <v>130</v>
      </c>
      <c r="C547" s="1">
        <v>43300101</v>
      </c>
      <c r="D547" t="s">
        <v>67</v>
      </c>
      <c r="H547" t="str">
        <f t="shared" si="52"/>
        <v>03615181009</v>
      </c>
      <c r="I547" t="str">
        <f t="shared" si="52"/>
        <v>03615181009</v>
      </c>
      <c r="K547" t="str">
        <f>""</f>
        <v/>
      </c>
      <c r="M547" t="s">
        <v>68</v>
      </c>
      <c r="N547" t="str">
        <f t="shared" si="53"/>
        <v>FOR</v>
      </c>
      <c r="O547" t="s">
        <v>69</v>
      </c>
      <c r="P547" s="3" t="s">
        <v>75</v>
      </c>
      <c r="Q547">
        <v>2015</v>
      </c>
      <c r="R547" s="2">
        <v>42247</v>
      </c>
      <c r="S547" s="2">
        <v>42254</v>
      </c>
      <c r="T547" s="2">
        <v>42251</v>
      </c>
      <c r="U547" s="2">
        <v>42311</v>
      </c>
      <c r="V547" t="s">
        <v>71</v>
      </c>
      <c r="W547" t="str">
        <f>"           000130-PA"</f>
        <v xml:space="preserve">           000130-PA</v>
      </c>
      <c r="X547" s="1">
        <v>3233</v>
      </c>
      <c r="Y547">
        <v>0</v>
      </c>
      <c r="Z547"/>
      <c r="AB547"/>
      <c r="AC547" s="1">
        <v>2650</v>
      </c>
      <c r="AD547">
        <v>218</v>
      </c>
      <c r="AE547" s="1">
        <v>577700</v>
      </c>
      <c r="AF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 s="2">
        <v>42746</v>
      </c>
      <c r="AQ547" t="s">
        <v>72</v>
      </c>
      <c r="AR547" t="s">
        <v>72</v>
      </c>
      <c r="AS547">
        <v>1583</v>
      </c>
      <c r="AT547" s="4">
        <v>42529</v>
      </c>
      <c r="AU547" t="s">
        <v>73</v>
      </c>
      <c r="AV547">
        <v>1583</v>
      </c>
      <c r="AW547" s="4">
        <v>42529</v>
      </c>
      <c r="BD547">
        <v>0</v>
      </c>
      <c r="BN547" t="s">
        <v>74</v>
      </c>
    </row>
    <row r="548" spans="1:66" hidden="1">
      <c r="A548">
        <v>100136</v>
      </c>
      <c r="B548" s="3" t="s">
        <v>130</v>
      </c>
      <c r="C548" s="1">
        <v>43300101</v>
      </c>
      <c r="D548" t="s">
        <v>67</v>
      </c>
      <c r="H548" t="str">
        <f t="shared" si="52"/>
        <v>03615181009</v>
      </c>
      <c r="I548" t="str">
        <f t="shared" si="52"/>
        <v>03615181009</v>
      </c>
      <c r="K548" t="str">
        <f>""</f>
        <v/>
      </c>
      <c r="M548" t="s">
        <v>68</v>
      </c>
      <c r="N548" t="str">
        <f t="shared" si="53"/>
        <v>FOR</v>
      </c>
      <c r="O548" t="s">
        <v>69</v>
      </c>
      <c r="P548" s="3" t="s">
        <v>75</v>
      </c>
      <c r="Q548">
        <v>2015</v>
      </c>
      <c r="R548" s="2">
        <v>42277</v>
      </c>
      <c r="S548" s="2">
        <v>42299</v>
      </c>
      <c r="T548" s="2">
        <v>42299</v>
      </c>
      <c r="U548" s="2">
        <v>42359</v>
      </c>
      <c r="V548" t="s">
        <v>71</v>
      </c>
      <c r="W548" t="str">
        <f>"           000168-PA"</f>
        <v xml:space="preserve">           000168-PA</v>
      </c>
      <c r="X548" s="1">
        <v>3233</v>
      </c>
      <c r="Y548">
        <v>0</v>
      </c>
      <c r="Z548"/>
      <c r="AB548"/>
      <c r="AC548" s="1">
        <v>2650</v>
      </c>
      <c r="AD548">
        <v>261</v>
      </c>
      <c r="AE548" s="1">
        <v>691650</v>
      </c>
      <c r="AF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 s="2">
        <v>42746</v>
      </c>
      <c r="AQ548" t="s">
        <v>72</v>
      </c>
      <c r="AR548" t="s">
        <v>72</v>
      </c>
      <c r="AS548">
        <v>2332</v>
      </c>
      <c r="AT548" s="4">
        <v>42620</v>
      </c>
      <c r="AU548" t="s">
        <v>73</v>
      </c>
      <c r="AV548">
        <v>2332</v>
      </c>
      <c r="AW548" s="4">
        <v>42620</v>
      </c>
      <c r="BD548">
        <v>0</v>
      </c>
      <c r="BN548" t="s">
        <v>74</v>
      </c>
    </row>
    <row r="549" spans="1:66">
      <c r="A549">
        <v>100136</v>
      </c>
      <c r="B549" s="3" t="s">
        <v>130</v>
      </c>
      <c r="C549" s="1">
        <v>43300101</v>
      </c>
      <c r="D549" t="s">
        <v>67</v>
      </c>
      <c r="H549" t="str">
        <f t="shared" si="52"/>
        <v>03615181009</v>
      </c>
      <c r="I549" t="str">
        <f t="shared" si="52"/>
        <v>03615181009</v>
      </c>
      <c r="K549" t="str">
        <f>""</f>
        <v/>
      </c>
      <c r="M549" t="s">
        <v>68</v>
      </c>
      <c r="N549" t="str">
        <f t="shared" si="53"/>
        <v>FOR</v>
      </c>
      <c r="O549" t="s">
        <v>69</v>
      </c>
      <c r="P549" s="3" t="s">
        <v>75</v>
      </c>
      <c r="Q549">
        <v>2015</v>
      </c>
      <c r="R549" s="2">
        <v>42308</v>
      </c>
      <c r="S549" s="2">
        <v>42325</v>
      </c>
      <c r="T549" s="2">
        <v>42321</v>
      </c>
      <c r="U549" s="2">
        <v>42381</v>
      </c>
      <c r="V549" t="s">
        <v>71</v>
      </c>
      <c r="W549" t="str">
        <f>"           000180-PA"</f>
        <v xml:space="preserve">           000180-PA</v>
      </c>
      <c r="X549" s="1">
        <v>3233</v>
      </c>
      <c r="Y549">
        <v>0</v>
      </c>
      <c r="Z549" s="5">
        <v>2650</v>
      </c>
      <c r="AA549">
        <v>267</v>
      </c>
      <c r="AB549" s="5">
        <v>707550</v>
      </c>
      <c r="AC549" s="1">
        <v>2650</v>
      </c>
      <c r="AD549">
        <v>267</v>
      </c>
      <c r="AE549" s="1">
        <v>707550</v>
      </c>
      <c r="AF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 s="2">
        <v>42746</v>
      </c>
      <c r="AQ549" t="s">
        <v>72</v>
      </c>
      <c r="AR549" t="s">
        <v>72</v>
      </c>
      <c r="AS549">
        <v>2691</v>
      </c>
      <c r="AT549" s="4">
        <v>42648</v>
      </c>
      <c r="AU549" t="s">
        <v>73</v>
      </c>
      <c r="AV549">
        <v>2691</v>
      </c>
      <c r="AW549" s="4">
        <v>42648</v>
      </c>
      <c r="BD549">
        <v>0</v>
      </c>
      <c r="BN549" t="s">
        <v>74</v>
      </c>
    </row>
    <row r="550" spans="1:66">
      <c r="A550">
        <v>100136</v>
      </c>
      <c r="B550" s="3" t="s">
        <v>130</v>
      </c>
      <c r="C550" s="1">
        <v>43300101</v>
      </c>
      <c r="D550" t="s">
        <v>67</v>
      </c>
      <c r="H550" t="str">
        <f t="shared" si="52"/>
        <v>03615181009</v>
      </c>
      <c r="I550" t="str">
        <f t="shared" si="52"/>
        <v>03615181009</v>
      </c>
      <c r="K550" t="str">
        <f>""</f>
        <v/>
      </c>
      <c r="M550" t="s">
        <v>68</v>
      </c>
      <c r="N550" t="str">
        <f t="shared" si="53"/>
        <v>FOR</v>
      </c>
      <c r="O550" t="s">
        <v>69</v>
      </c>
      <c r="P550" s="3" t="s">
        <v>75</v>
      </c>
      <c r="Q550">
        <v>2015</v>
      </c>
      <c r="R550" s="2">
        <v>42338</v>
      </c>
      <c r="S550" s="2">
        <v>42353</v>
      </c>
      <c r="T550" s="2">
        <v>42352</v>
      </c>
      <c r="U550" s="2">
        <v>42412</v>
      </c>
      <c r="V550" t="s">
        <v>71</v>
      </c>
      <c r="W550" t="str">
        <f>"           000212-PA"</f>
        <v xml:space="preserve">           000212-PA</v>
      </c>
      <c r="X550" s="1">
        <v>6466</v>
      </c>
      <c r="Y550">
        <v>0</v>
      </c>
      <c r="Z550" s="5">
        <v>5300</v>
      </c>
      <c r="AA550">
        <v>236</v>
      </c>
      <c r="AB550" s="5">
        <v>1250800</v>
      </c>
      <c r="AC550" s="1">
        <v>5300</v>
      </c>
      <c r="AD550">
        <v>236</v>
      </c>
      <c r="AE550" s="1">
        <v>1250800</v>
      </c>
      <c r="AF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 s="2">
        <v>42746</v>
      </c>
      <c r="AQ550" t="s">
        <v>72</v>
      </c>
      <c r="AR550" t="s">
        <v>72</v>
      </c>
      <c r="AS550">
        <v>2691</v>
      </c>
      <c r="AT550" s="4">
        <v>42648</v>
      </c>
      <c r="AU550" t="s">
        <v>73</v>
      </c>
      <c r="AV550">
        <v>2691</v>
      </c>
      <c r="AW550" s="4">
        <v>42648</v>
      </c>
      <c r="BD550">
        <v>0</v>
      </c>
      <c r="BN550" t="s">
        <v>74</v>
      </c>
    </row>
    <row r="551" spans="1:66">
      <c r="A551">
        <v>100136</v>
      </c>
      <c r="B551" s="3" t="s">
        <v>130</v>
      </c>
      <c r="C551" s="1">
        <v>43300101</v>
      </c>
      <c r="D551" t="s">
        <v>67</v>
      </c>
      <c r="H551" t="str">
        <f t="shared" si="52"/>
        <v>03615181009</v>
      </c>
      <c r="I551" t="str">
        <f t="shared" si="52"/>
        <v>03615181009</v>
      </c>
      <c r="K551" t="str">
        <f>""</f>
        <v/>
      </c>
      <c r="M551" t="s">
        <v>68</v>
      </c>
      <c r="N551" t="str">
        <f t="shared" si="53"/>
        <v>FOR</v>
      </c>
      <c r="O551" t="s">
        <v>69</v>
      </c>
      <c r="P551" s="3" t="s">
        <v>75</v>
      </c>
      <c r="Q551">
        <v>2015</v>
      </c>
      <c r="R551" s="2">
        <v>42369</v>
      </c>
      <c r="S551" s="2">
        <v>42369</v>
      </c>
      <c r="T551" s="2">
        <v>42369</v>
      </c>
      <c r="U551" s="2">
        <v>42429</v>
      </c>
      <c r="V551" t="s">
        <v>71</v>
      </c>
      <c r="W551" t="str">
        <f>"           000244-PA"</f>
        <v xml:space="preserve">           000244-PA</v>
      </c>
      <c r="X551" s="1">
        <v>6466</v>
      </c>
      <c r="Y551">
        <v>0</v>
      </c>
      <c r="Z551" s="5">
        <v>5300</v>
      </c>
      <c r="AA551">
        <v>254</v>
      </c>
      <c r="AB551" s="5">
        <v>1346200</v>
      </c>
      <c r="AC551" s="1">
        <v>5300</v>
      </c>
      <c r="AD551">
        <v>254</v>
      </c>
      <c r="AE551" s="1">
        <v>1346200</v>
      </c>
      <c r="AF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 s="2">
        <v>42746</v>
      </c>
      <c r="AQ551" t="s">
        <v>72</v>
      </c>
      <c r="AR551" t="s">
        <v>72</v>
      </c>
      <c r="AS551">
        <v>3013</v>
      </c>
      <c r="AT551" s="4">
        <v>42683</v>
      </c>
      <c r="AU551" t="s">
        <v>73</v>
      </c>
      <c r="AV551">
        <v>3013</v>
      </c>
      <c r="AW551" s="4">
        <v>42683</v>
      </c>
      <c r="BD551">
        <v>0</v>
      </c>
      <c r="BN551" t="s">
        <v>74</v>
      </c>
    </row>
    <row r="552" spans="1:66">
      <c r="A552">
        <v>100136</v>
      </c>
      <c r="B552" s="3" t="s">
        <v>130</v>
      </c>
      <c r="C552" s="1">
        <v>43300101</v>
      </c>
      <c r="D552" t="s">
        <v>67</v>
      </c>
      <c r="H552" t="str">
        <f t="shared" si="52"/>
        <v>03615181009</v>
      </c>
      <c r="I552" t="str">
        <f t="shared" si="52"/>
        <v>03615181009</v>
      </c>
      <c r="K552" t="str">
        <f>""</f>
        <v/>
      </c>
      <c r="M552" t="s">
        <v>68</v>
      </c>
      <c r="N552" t="str">
        <f t="shared" si="53"/>
        <v>FOR</v>
      </c>
      <c r="O552" t="s">
        <v>69</v>
      </c>
      <c r="P552" s="3" t="s">
        <v>75</v>
      </c>
      <c r="Q552">
        <v>2016</v>
      </c>
      <c r="R552" s="2">
        <v>42398</v>
      </c>
      <c r="S552" s="2">
        <v>42446</v>
      </c>
      <c r="T552" s="2">
        <v>42446</v>
      </c>
      <c r="U552" s="2">
        <v>42506</v>
      </c>
      <c r="V552" t="s">
        <v>71</v>
      </c>
      <c r="W552" t="str">
        <f>"                  16"</f>
        <v xml:space="preserve">                  16</v>
      </c>
      <c r="X552" s="1">
        <v>3233</v>
      </c>
      <c r="Y552">
        <v>0</v>
      </c>
      <c r="Z552" s="5">
        <v>2650</v>
      </c>
      <c r="AA552">
        <v>186</v>
      </c>
      <c r="AB552" s="5">
        <v>492900</v>
      </c>
      <c r="AC552" s="1">
        <v>2650</v>
      </c>
      <c r="AD552">
        <v>186</v>
      </c>
      <c r="AE552" s="1">
        <v>492900</v>
      </c>
      <c r="AF552">
        <v>0</v>
      </c>
      <c r="AJ552">
        <v>0</v>
      </c>
      <c r="AK552">
        <v>0</v>
      </c>
      <c r="AL552">
        <v>0</v>
      </c>
      <c r="AM552" s="1">
        <v>3233</v>
      </c>
      <c r="AN552" s="1">
        <v>3233</v>
      </c>
      <c r="AO552" s="1">
        <v>3233</v>
      </c>
      <c r="AP552" s="2">
        <v>42746</v>
      </c>
      <c r="AQ552" t="s">
        <v>72</v>
      </c>
      <c r="AR552" t="s">
        <v>72</v>
      </c>
      <c r="AS552">
        <v>3183</v>
      </c>
      <c r="AT552" s="4">
        <v>42692</v>
      </c>
      <c r="AU552" t="s">
        <v>73</v>
      </c>
      <c r="AV552">
        <v>3183</v>
      </c>
      <c r="AW552" s="4">
        <v>42692</v>
      </c>
      <c r="BD552">
        <v>0</v>
      </c>
      <c r="BN552" t="s">
        <v>74</v>
      </c>
    </row>
    <row r="553" spans="1:66">
      <c r="A553">
        <v>100136</v>
      </c>
      <c r="B553" s="3" t="s">
        <v>130</v>
      </c>
      <c r="C553" s="1">
        <v>43300101</v>
      </c>
      <c r="D553" t="s">
        <v>67</v>
      </c>
      <c r="H553" t="str">
        <f t="shared" si="52"/>
        <v>03615181009</v>
      </c>
      <c r="I553" t="str">
        <f t="shared" si="52"/>
        <v>03615181009</v>
      </c>
      <c r="K553" t="str">
        <f>""</f>
        <v/>
      </c>
      <c r="M553" t="s">
        <v>68</v>
      </c>
      <c r="N553" t="str">
        <f t="shared" si="53"/>
        <v>FOR</v>
      </c>
      <c r="O553" t="s">
        <v>69</v>
      </c>
      <c r="P553" s="3" t="s">
        <v>75</v>
      </c>
      <c r="Q553">
        <v>2016</v>
      </c>
      <c r="R553" s="2">
        <v>42460</v>
      </c>
      <c r="S553" s="2">
        <v>42475</v>
      </c>
      <c r="T553" s="2">
        <v>42473</v>
      </c>
      <c r="U553" s="2">
        <v>42533</v>
      </c>
      <c r="V553" t="s">
        <v>71</v>
      </c>
      <c r="W553" t="str">
        <f>"                  61"</f>
        <v xml:space="preserve">                  61</v>
      </c>
      <c r="X553" s="1">
        <v>3233</v>
      </c>
      <c r="Y553">
        <v>0</v>
      </c>
      <c r="Z553" s="5">
        <v>2650</v>
      </c>
      <c r="AA553">
        <v>159</v>
      </c>
      <c r="AB553" s="5">
        <v>421350</v>
      </c>
      <c r="AC553" s="1">
        <v>2650</v>
      </c>
      <c r="AD553">
        <v>159</v>
      </c>
      <c r="AE553" s="1">
        <v>421350</v>
      </c>
      <c r="AF553">
        <v>0</v>
      </c>
      <c r="AJ553">
        <v>0</v>
      </c>
      <c r="AK553">
        <v>0</v>
      </c>
      <c r="AL553">
        <v>0</v>
      </c>
      <c r="AM553" s="1">
        <v>3233</v>
      </c>
      <c r="AN553" s="1">
        <v>3233</v>
      </c>
      <c r="AO553" s="1">
        <v>3233</v>
      </c>
      <c r="AP553" s="2">
        <v>42746</v>
      </c>
      <c r="AQ553" t="s">
        <v>72</v>
      </c>
      <c r="AR553" t="s">
        <v>72</v>
      </c>
      <c r="AS553">
        <v>3183</v>
      </c>
      <c r="AT553" s="4">
        <v>42692</v>
      </c>
      <c r="AU553" t="s">
        <v>73</v>
      </c>
      <c r="AV553">
        <v>3183</v>
      </c>
      <c r="AW553" s="4">
        <v>42692</v>
      </c>
      <c r="BD553">
        <v>0</v>
      </c>
      <c r="BN553" t="s">
        <v>74</v>
      </c>
    </row>
    <row r="554" spans="1:66">
      <c r="A554">
        <v>100136</v>
      </c>
      <c r="B554" s="3" t="s">
        <v>130</v>
      </c>
      <c r="C554" s="1">
        <v>43300101</v>
      </c>
      <c r="D554" t="s">
        <v>67</v>
      </c>
      <c r="H554" t="str">
        <f t="shared" si="52"/>
        <v>03615181009</v>
      </c>
      <c r="I554" t="str">
        <f t="shared" si="52"/>
        <v>03615181009</v>
      </c>
      <c r="K554" t="str">
        <f>""</f>
        <v/>
      </c>
      <c r="M554" t="s">
        <v>68</v>
      </c>
      <c r="N554" t="str">
        <f t="shared" si="53"/>
        <v>FOR</v>
      </c>
      <c r="O554" t="s">
        <v>69</v>
      </c>
      <c r="P554" s="3" t="s">
        <v>75</v>
      </c>
      <c r="Q554">
        <v>2016</v>
      </c>
      <c r="R554" s="2">
        <v>42490</v>
      </c>
      <c r="S554" s="2">
        <v>42507</v>
      </c>
      <c r="T554" s="2">
        <v>42501</v>
      </c>
      <c r="U554" s="2">
        <v>42561</v>
      </c>
      <c r="V554" t="s">
        <v>71</v>
      </c>
      <c r="W554" t="str">
        <f>"                  95"</f>
        <v xml:space="preserve">                  95</v>
      </c>
      <c r="X554" s="1">
        <v>3233</v>
      </c>
      <c r="Y554">
        <v>0</v>
      </c>
      <c r="Z554" s="5">
        <v>2650</v>
      </c>
      <c r="AA554">
        <v>131</v>
      </c>
      <c r="AB554" s="5">
        <v>347150</v>
      </c>
      <c r="AC554" s="1">
        <v>2650</v>
      </c>
      <c r="AD554">
        <v>131</v>
      </c>
      <c r="AE554" s="1">
        <v>347150</v>
      </c>
      <c r="AF554">
        <v>0</v>
      </c>
      <c r="AJ554">
        <v>0</v>
      </c>
      <c r="AK554">
        <v>0</v>
      </c>
      <c r="AL554">
        <v>0</v>
      </c>
      <c r="AM554" s="1">
        <v>3233</v>
      </c>
      <c r="AN554" s="1">
        <v>3233</v>
      </c>
      <c r="AO554" s="1">
        <v>3233</v>
      </c>
      <c r="AP554" s="2">
        <v>42746</v>
      </c>
      <c r="AQ554" t="s">
        <v>72</v>
      </c>
      <c r="AR554" t="s">
        <v>72</v>
      </c>
      <c r="AS554">
        <v>3183</v>
      </c>
      <c r="AT554" s="4">
        <v>42692</v>
      </c>
      <c r="AU554" t="s">
        <v>73</v>
      </c>
      <c r="AV554">
        <v>3183</v>
      </c>
      <c r="AW554" s="4">
        <v>42692</v>
      </c>
      <c r="BD554">
        <v>0</v>
      </c>
      <c r="BN554" t="s">
        <v>74</v>
      </c>
    </row>
    <row r="555" spans="1:66">
      <c r="A555">
        <v>100136</v>
      </c>
      <c r="B555" s="3" t="s">
        <v>130</v>
      </c>
      <c r="C555" s="1">
        <v>43300101</v>
      </c>
      <c r="D555" t="s">
        <v>67</v>
      </c>
      <c r="H555" t="str">
        <f t="shared" si="52"/>
        <v>03615181009</v>
      </c>
      <c r="I555" t="str">
        <f t="shared" si="52"/>
        <v>03615181009</v>
      </c>
      <c r="K555" t="str">
        <f>""</f>
        <v/>
      </c>
      <c r="M555" t="s">
        <v>68</v>
      </c>
      <c r="N555" t="str">
        <f t="shared" si="53"/>
        <v>FOR</v>
      </c>
      <c r="O555" t="s">
        <v>69</v>
      </c>
      <c r="P555" s="3" t="s">
        <v>75</v>
      </c>
      <c r="Q555">
        <v>2016</v>
      </c>
      <c r="R555" s="2">
        <v>42521</v>
      </c>
      <c r="S555" s="2">
        <v>42537</v>
      </c>
      <c r="T555" s="2">
        <v>42535</v>
      </c>
      <c r="U555" s="2">
        <v>42595</v>
      </c>
      <c r="V555" t="s">
        <v>71</v>
      </c>
      <c r="W555" t="str">
        <f>"                 115"</f>
        <v xml:space="preserve">                 115</v>
      </c>
      <c r="X555" s="1">
        <v>6466</v>
      </c>
      <c r="Y555">
        <v>0</v>
      </c>
      <c r="Z555" s="5">
        <v>5300</v>
      </c>
      <c r="AA555">
        <v>102</v>
      </c>
      <c r="AB555" s="5">
        <v>540600</v>
      </c>
      <c r="AC555" s="1">
        <v>5300</v>
      </c>
      <c r="AD555">
        <v>102</v>
      </c>
      <c r="AE555" s="1">
        <v>540600</v>
      </c>
      <c r="AF555">
        <v>0</v>
      </c>
      <c r="AJ555">
        <v>0</v>
      </c>
      <c r="AK555">
        <v>0</v>
      </c>
      <c r="AL555">
        <v>0</v>
      </c>
      <c r="AM555" s="1">
        <v>6466</v>
      </c>
      <c r="AN555" s="1">
        <v>6466</v>
      </c>
      <c r="AO555" s="1">
        <v>6466</v>
      </c>
      <c r="AP555" s="2">
        <v>42746</v>
      </c>
      <c r="AQ555" t="s">
        <v>72</v>
      </c>
      <c r="AR555" t="s">
        <v>72</v>
      </c>
      <c r="AS555">
        <v>3295</v>
      </c>
      <c r="AT555" s="4">
        <v>42697</v>
      </c>
      <c r="AU555" t="s">
        <v>73</v>
      </c>
      <c r="AV555">
        <v>3295</v>
      </c>
      <c r="AW555" s="4">
        <v>42697</v>
      </c>
      <c r="BD555">
        <v>0</v>
      </c>
      <c r="BN555" t="s">
        <v>74</v>
      </c>
    </row>
    <row r="556" spans="1:66">
      <c r="A556">
        <v>100136</v>
      </c>
      <c r="B556" s="3" t="s">
        <v>130</v>
      </c>
      <c r="C556" s="1">
        <v>43300101</v>
      </c>
      <c r="D556" t="s">
        <v>67</v>
      </c>
      <c r="H556" t="str">
        <f t="shared" si="52"/>
        <v>03615181009</v>
      </c>
      <c r="I556" t="str">
        <f t="shared" si="52"/>
        <v>03615181009</v>
      </c>
      <c r="K556" t="str">
        <f>""</f>
        <v/>
      </c>
      <c r="M556" t="s">
        <v>68</v>
      </c>
      <c r="N556" t="str">
        <f t="shared" si="53"/>
        <v>FOR</v>
      </c>
      <c r="O556" t="s">
        <v>69</v>
      </c>
      <c r="P556" s="3" t="s">
        <v>75</v>
      </c>
      <c r="Q556">
        <v>2016</v>
      </c>
      <c r="R556" s="2">
        <v>42551</v>
      </c>
      <c r="S556" s="2">
        <v>42577</v>
      </c>
      <c r="T556" s="2">
        <v>42568</v>
      </c>
      <c r="U556" s="2">
        <v>42628</v>
      </c>
      <c r="V556" t="s">
        <v>71</v>
      </c>
      <c r="W556" t="str">
        <f>"                 145"</f>
        <v xml:space="preserve">                 145</v>
      </c>
      <c r="X556" s="1">
        <v>3233</v>
      </c>
      <c r="Y556">
        <v>0</v>
      </c>
      <c r="Z556" s="5">
        <v>2650</v>
      </c>
      <c r="AA556">
        <v>69</v>
      </c>
      <c r="AB556" s="5">
        <v>182850</v>
      </c>
      <c r="AC556" s="1">
        <v>2650</v>
      </c>
      <c r="AD556">
        <v>69</v>
      </c>
      <c r="AE556" s="1">
        <v>182850</v>
      </c>
      <c r="AF556">
        <v>0</v>
      </c>
      <c r="AJ556">
        <v>0</v>
      </c>
      <c r="AK556">
        <v>0</v>
      </c>
      <c r="AL556">
        <v>0</v>
      </c>
      <c r="AM556" s="1">
        <v>3233</v>
      </c>
      <c r="AN556" s="1">
        <v>3233</v>
      </c>
      <c r="AO556" s="1">
        <v>3233</v>
      </c>
      <c r="AP556" s="2">
        <v>42746</v>
      </c>
      <c r="AQ556" t="s">
        <v>72</v>
      </c>
      <c r="AR556" t="s">
        <v>72</v>
      </c>
      <c r="AS556">
        <v>3295</v>
      </c>
      <c r="AT556" s="4">
        <v>42697</v>
      </c>
      <c r="AU556" t="s">
        <v>73</v>
      </c>
      <c r="AV556">
        <v>3295</v>
      </c>
      <c r="AW556" s="4">
        <v>42697</v>
      </c>
      <c r="BD556">
        <v>0</v>
      </c>
      <c r="BN556" t="s">
        <v>74</v>
      </c>
    </row>
    <row r="557" spans="1:66">
      <c r="A557">
        <v>100150</v>
      </c>
      <c r="B557" s="3" t="s">
        <v>131</v>
      </c>
      <c r="C557" s="1">
        <v>43500101</v>
      </c>
      <c r="D557" t="s">
        <v>113</v>
      </c>
      <c r="H557" t="str">
        <f>"CNTCLD69S11A783G"</f>
        <v>CNTCLD69S11A783G</v>
      </c>
      <c r="I557" t="str">
        <f>"01200020624"</f>
        <v>01200020624</v>
      </c>
      <c r="K557" t="str">
        <f>""</f>
        <v/>
      </c>
      <c r="M557" t="s">
        <v>68</v>
      </c>
      <c r="N557" t="str">
        <f>"ALTPRO"</f>
        <v>ALTPRO</v>
      </c>
      <c r="O557" t="s">
        <v>132</v>
      </c>
      <c r="P557" s="3" t="s">
        <v>75</v>
      </c>
      <c r="Q557">
        <v>2016</v>
      </c>
      <c r="R557" s="2">
        <v>42706</v>
      </c>
      <c r="S557" s="2">
        <v>42706</v>
      </c>
      <c r="T557" s="2">
        <v>42706</v>
      </c>
      <c r="U557" s="2">
        <v>42766</v>
      </c>
      <c r="V557" t="s">
        <v>71</v>
      </c>
      <c r="W557" t="str">
        <f>"                 02E"</f>
        <v xml:space="preserve">                 02E</v>
      </c>
      <c r="X557" s="1">
        <v>2075.9699999999998</v>
      </c>
      <c r="Y557">
        <v>-260.82</v>
      </c>
      <c r="Z557" s="5">
        <v>1815.15</v>
      </c>
      <c r="AA557">
        <v>-55</v>
      </c>
      <c r="AB557" s="5">
        <v>-99833.25</v>
      </c>
      <c r="AC557" s="1">
        <v>1815.15</v>
      </c>
      <c r="AD557">
        <v>-55</v>
      </c>
      <c r="AE557" s="1">
        <v>-99833.25</v>
      </c>
      <c r="AF557">
        <v>0</v>
      </c>
      <c r="AJ557" s="1">
        <v>1815.15</v>
      </c>
      <c r="AK557" s="1">
        <v>1815.15</v>
      </c>
      <c r="AL557" s="1">
        <v>1815.15</v>
      </c>
      <c r="AM557" s="1">
        <v>1815.15</v>
      </c>
      <c r="AN557" s="1">
        <v>1815.15</v>
      </c>
      <c r="AO557" s="1">
        <v>1815.15</v>
      </c>
      <c r="AP557" s="2">
        <v>42746</v>
      </c>
      <c r="AQ557" t="s">
        <v>72</v>
      </c>
      <c r="AR557" t="s">
        <v>72</v>
      </c>
      <c r="AS557">
        <v>3362</v>
      </c>
      <c r="AT557" s="4">
        <v>42711</v>
      </c>
      <c r="AV557">
        <v>3362</v>
      </c>
      <c r="AW557" s="4">
        <v>42711</v>
      </c>
      <c r="BD557">
        <v>0</v>
      </c>
      <c r="BN557" t="s">
        <v>74</v>
      </c>
    </row>
    <row r="558" spans="1:66" hidden="1">
      <c r="A558">
        <v>100152</v>
      </c>
      <c r="B558" s="3" t="s">
        <v>133</v>
      </c>
      <c r="C558" s="1">
        <v>43300101</v>
      </c>
      <c r="D558" t="s">
        <v>67</v>
      </c>
      <c r="H558" t="str">
        <f>"06157780963"</f>
        <v>06157780963</v>
      </c>
      <c r="I558" t="str">
        <f>"06157780963"</f>
        <v>06157780963</v>
      </c>
      <c r="K558" t="str">
        <f>""</f>
        <v/>
      </c>
      <c r="M558" t="s">
        <v>68</v>
      </c>
      <c r="N558" t="str">
        <f t="shared" ref="N558:N621" si="54">"FOR"</f>
        <v>FOR</v>
      </c>
      <c r="O558" t="s">
        <v>69</v>
      </c>
      <c r="P558" s="3" t="s">
        <v>75</v>
      </c>
      <c r="Q558">
        <v>2015</v>
      </c>
      <c r="R558" s="2">
        <v>42108</v>
      </c>
      <c r="S558" s="2">
        <v>42115</v>
      </c>
      <c r="T558" s="2">
        <v>42114</v>
      </c>
      <c r="U558" s="2">
        <v>42174</v>
      </c>
      <c r="V558" t="s">
        <v>71</v>
      </c>
      <c r="W558" t="str">
        <f>"             701.182"</f>
        <v xml:space="preserve">             701.182</v>
      </c>
      <c r="X558">
        <v>187.2</v>
      </c>
      <c r="Y558">
        <v>0</v>
      </c>
      <c r="Z558"/>
      <c r="AB558"/>
      <c r="AC558">
        <v>180</v>
      </c>
      <c r="AD558">
        <v>290</v>
      </c>
      <c r="AE558" s="1">
        <v>52200</v>
      </c>
      <c r="AF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 s="2">
        <v>42746</v>
      </c>
      <c r="AQ558" t="s">
        <v>72</v>
      </c>
      <c r="AR558" t="s">
        <v>72</v>
      </c>
      <c r="AS558">
        <v>987</v>
      </c>
      <c r="AT558" s="4">
        <v>42464</v>
      </c>
      <c r="AU558" t="s">
        <v>73</v>
      </c>
      <c r="AV558">
        <v>987</v>
      </c>
      <c r="AW558" s="4">
        <v>42464</v>
      </c>
      <c r="BD558">
        <v>0</v>
      </c>
      <c r="BN558" t="s">
        <v>74</v>
      </c>
    </row>
    <row r="559" spans="1:66" hidden="1">
      <c r="A559">
        <v>100152</v>
      </c>
      <c r="B559" s="3" t="s">
        <v>133</v>
      </c>
      <c r="C559" s="1">
        <v>43300101</v>
      </c>
      <c r="D559" t="s">
        <v>67</v>
      </c>
      <c r="H559" t="str">
        <f>"06157780963"</f>
        <v>06157780963</v>
      </c>
      <c r="I559" t="str">
        <f>"06157780963"</f>
        <v>06157780963</v>
      </c>
      <c r="K559" t="str">
        <f>""</f>
        <v/>
      </c>
      <c r="M559" t="s">
        <v>68</v>
      </c>
      <c r="N559" t="str">
        <f t="shared" si="54"/>
        <v>FOR</v>
      </c>
      <c r="O559" t="s">
        <v>69</v>
      </c>
      <c r="P559" s="3" t="s">
        <v>75</v>
      </c>
      <c r="Q559">
        <v>2015</v>
      </c>
      <c r="R559" s="2">
        <v>42174</v>
      </c>
      <c r="S559" s="2">
        <v>42178</v>
      </c>
      <c r="T559" s="2">
        <v>42178</v>
      </c>
      <c r="U559" s="2">
        <v>42238</v>
      </c>
      <c r="V559" t="s">
        <v>71</v>
      </c>
      <c r="W559" t="str">
        <f>"             703.007"</f>
        <v xml:space="preserve">             703.007</v>
      </c>
      <c r="X559" s="1">
        <v>2912</v>
      </c>
      <c r="Y559">
        <v>0</v>
      </c>
      <c r="Z559"/>
      <c r="AB559"/>
      <c r="AC559" s="1">
        <v>2800</v>
      </c>
      <c r="AD559">
        <v>289</v>
      </c>
      <c r="AE559" s="1">
        <v>809200</v>
      </c>
      <c r="AF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 s="2">
        <v>42746</v>
      </c>
      <c r="AQ559" t="s">
        <v>72</v>
      </c>
      <c r="AR559" t="s">
        <v>72</v>
      </c>
      <c r="AS559">
        <v>1514</v>
      </c>
      <c r="AT559" s="4">
        <v>42527</v>
      </c>
      <c r="AU559" t="s">
        <v>73</v>
      </c>
      <c r="AV559">
        <v>1514</v>
      </c>
      <c r="AW559" s="4">
        <v>42527</v>
      </c>
      <c r="BD559">
        <v>0</v>
      </c>
      <c r="BN559" t="s">
        <v>74</v>
      </c>
    </row>
    <row r="560" spans="1:66">
      <c r="A560">
        <v>100159</v>
      </c>
      <c r="B560" s="3" t="s">
        <v>134</v>
      </c>
      <c r="C560" s="1">
        <v>43300101</v>
      </c>
      <c r="D560" t="s">
        <v>67</v>
      </c>
      <c r="H560" t="str">
        <f>"92034500626"</f>
        <v>92034500626</v>
      </c>
      <c r="I560" t="str">
        <f>""</f>
        <v/>
      </c>
      <c r="K560" t="str">
        <f>""</f>
        <v/>
      </c>
      <c r="M560" t="s">
        <v>68</v>
      </c>
      <c r="N560" t="str">
        <f t="shared" si="54"/>
        <v>FOR</v>
      </c>
      <c r="O560" t="s">
        <v>69</v>
      </c>
      <c r="P560" s="3" t="s">
        <v>135</v>
      </c>
      <c r="Q560">
        <v>2016</v>
      </c>
      <c r="R560" s="2">
        <v>42720</v>
      </c>
      <c r="S560" s="2">
        <v>42720</v>
      </c>
      <c r="T560" s="2">
        <v>42720</v>
      </c>
      <c r="U560" s="2">
        <v>42780</v>
      </c>
      <c r="V560" t="s">
        <v>71</v>
      </c>
      <c r="W560" t="str">
        <f>"                 291"</f>
        <v xml:space="preserve">                 291</v>
      </c>
      <c r="X560">
        <v>0</v>
      </c>
      <c r="Y560" s="1">
        <v>12130.59</v>
      </c>
      <c r="Z560" s="5">
        <v>12130.59</v>
      </c>
      <c r="AA560">
        <v>-60</v>
      </c>
      <c r="AB560" s="5">
        <v>-727835.4</v>
      </c>
      <c r="AC560" s="1">
        <v>12130.59</v>
      </c>
      <c r="AD560">
        <v>-60</v>
      </c>
      <c r="AE560" s="1">
        <v>-727835.4</v>
      </c>
      <c r="AF560">
        <v>0</v>
      </c>
      <c r="AJ560" s="1">
        <v>12130.59</v>
      </c>
      <c r="AK560" s="1">
        <v>12130.59</v>
      </c>
      <c r="AL560" s="1">
        <v>12130.59</v>
      </c>
      <c r="AM560" s="1">
        <v>12130.59</v>
      </c>
      <c r="AN560" s="1">
        <v>12130.59</v>
      </c>
      <c r="AO560" s="1">
        <v>12130.59</v>
      </c>
      <c r="AP560" s="2">
        <v>42746</v>
      </c>
      <c r="AQ560" t="s">
        <v>72</v>
      </c>
      <c r="AR560" t="s">
        <v>72</v>
      </c>
      <c r="AS560">
        <v>3555</v>
      </c>
      <c r="AT560" s="4">
        <v>42720</v>
      </c>
      <c r="AV560">
        <v>3555</v>
      </c>
      <c r="AW560" s="4">
        <v>42720</v>
      </c>
      <c r="BD560">
        <v>0</v>
      </c>
      <c r="BN560" t="s">
        <v>74</v>
      </c>
    </row>
    <row r="561" spans="1:66" hidden="1">
      <c r="A561">
        <v>100161</v>
      </c>
      <c r="B561" s="3" t="s">
        <v>136</v>
      </c>
      <c r="C561" s="1">
        <v>43300101</v>
      </c>
      <c r="D561" t="s">
        <v>67</v>
      </c>
      <c r="H561" t="str">
        <f t="shared" ref="H561:I574" si="55">"00801720152"</f>
        <v>00801720152</v>
      </c>
      <c r="I561" t="str">
        <f t="shared" si="55"/>
        <v>00801720152</v>
      </c>
      <c r="K561" t="str">
        <f>""</f>
        <v/>
      </c>
      <c r="M561" t="s">
        <v>68</v>
      </c>
      <c r="N561" t="str">
        <f t="shared" si="54"/>
        <v>FOR</v>
      </c>
      <c r="O561" t="s">
        <v>69</v>
      </c>
      <c r="P561" s="3" t="s">
        <v>70</v>
      </c>
      <c r="Q561">
        <v>2015</v>
      </c>
      <c r="R561" s="2">
        <v>42035</v>
      </c>
      <c r="S561" s="2">
        <v>42059</v>
      </c>
      <c r="T561" s="2">
        <v>42059</v>
      </c>
      <c r="U561" s="2">
        <v>42119</v>
      </c>
      <c r="V561" t="s">
        <v>71</v>
      </c>
      <c r="W561" t="str">
        <f>"            21502795"</f>
        <v xml:space="preserve">            21502795</v>
      </c>
      <c r="X561" s="1">
        <v>5734</v>
      </c>
      <c r="Y561">
        <v>0</v>
      </c>
      <c r="Z561"/>
      <c r="AB561"/>
      <c r="AC561" s="1">
        <v>4700</v>
      </c>
      <c r="AD561">
        <v>283</v>
      </c>
      <c r="AE561" s="1">
        <v>1330100</v>
      </c>
      <c r="AF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 s="2">
        <v>42746</v>
      </c>
      <c r="AQ561" t="s">
        <v>72</v>
      </c>
      <c r="AR561" t="s">
        <v>72</v>
      </c>
      <c r="AS561">
        <v>200</v>
      </c>
      <c r="AT561" s="4">
        <v>42402</v>
      </c>
      <c r="AU561" t="s">
        <v>73</v>
      </c>
      <c r="AV561">
        <v>200</v>
      </c>
      <c r="AW561" s="4">
        <v>42402</v>
      </c>
      <c r="BD561">
        <v>0</v>
      </c>
      <c r="BN561" t="s">
        <v>74</v>
      </c>
    </row>
    <row r="562" spans="1:66" hidden="1">
      <c r="A562">
        <v>100161</v>
      </c>
      <c r="B562" s="3" t="s">
        <v>136</v>
      </c>
      <c r="C562" s="1">
        <v>43300101</v>
      </c>
      <c r="D562" t="s">
        <v>67</v>
      </c>
      <c r="H562" t="str">
        <f t="shared" si="55"/>
        <v>00801720152</v>
      </c>
      <c r="I562" t="str">
        <f t="shared" si="55"/>
        <v>00801720152</v>
      </c>
      <c r="K562" t="str">
        <f>""</f>
        <v/>
      </c>
      <c r="M562" t="s">
        <v>68</v>
      </c>
      <c r="N562" t="str">
        <f t="shared" si="54"/>
        <v>FOR</v>
      </c>
      <c r="O562" t="s">
        <v>69</v>
      </c>
      <c r="P562" s="3" t="s">
        <v>75</v>
      </c>
      <c r="Q562">
        <v>2015</v>
      </c>
      <c r="R562" s="2">
        <v>42124</v>
      </c>
      <c r="S562" s="2">
        <v>42191</v>
      </c>
      <c r="T562" s="2">
        <v>42188</v>
      </c>
      <c r="U562" s="2">
        <v>42248</v>
      </c>
      <c r="V562" t="s">
        <v>71</v>
      </c>
      <c r="W562" t="str">
        <f>"        S01/21512691"</f>
        <v xml:space="preserve">        S01/21512691</v>
      </c>
      <c r="X562" s="1">
        <v>5734</v>
      </c>
      <c r="Y562">
        <v>0</v>
      </c>
      <c r="Z562"/>
      <c r="AB562"/>
      <c r="AC562" s="1">
        <v>4700</v>
      </c>
      <c r="AD562">
        <v>154</v>
      </c>
      <c r="AE562" s="1">
        <v>723800</v>
      </c>
      <c r="AF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 s="2">
        <v>42746</v>
      </c>
      <c r="AQ562" t="s">
        <v>72</v>
      </c>
      <c r="AR562" t="s">
        <v>72</v>
      </c>
      <c r="AS562">
        <v>200</v>
      </c>
      <c r="AT562" s="4">
        <v>42402</v>
      </c>
      <c r="AU562" t="s">
        <v>73</v>
      </c>
      <c r="AV562">
        <v>200</v>
      </c>
      <c r="AW562" s="4">
        <v>42402</v>
      </c>
      <c r="BD562">
        <v>0</v>
      </c>
      <c r="BN562" t="s">
        <v>74</v>
      </c>
    </row>
    <row r="563" spans="1:66" hidden="1">
      <c r="A563">
        <v>100161</v>
      </c>
      <c r="B563" s="3" t="s">
        <v>136</v>
      </c>
      <c r="C563" s="1">
        <v>43300101</v>
      </c>
      <c r="D563" t="s">
        <v>67</v>
      </c>
      <c r="H563" t="str">
        <f t="shared" si="55"/>
        <v>00801720152</v>
      </c>
      <c r="I563" t="str">
        <f t="shared" si="55"/>
        <v>00801720152</v>
      </c>
      <c r="K563" t="str">
        <f>""</f>
        <v/>
      </c>
      <c r="M563" t="s">
        <v>68</v>
      </c>
      <c r="N563" t="str">
        <f t="shared" si="54"/>
        <v>FOR</v>
      </c>
      <c r="O563" t="s">
        <v>69</v>
      </c>
      <c r="P563" s="3" t="s">
        <v>75</v>
      </c>
      <c r="Q563">
        <v>2015</v>
      </c>
      <c r="R563" s="2">
        <v>42170</v>
      </c>
      <c r="S563" s="2">
        <v>42296</v>
      </c>
      <c r="T563" s="2">
        <v>42293</v>
      </c>
      <c r="U563" s="2">
        <v>42353</v>
      </c>
      <c r="V563" t="s">
        <v>71</v>
      </c>
      <c r="W563" t="str">
        <f>"        S01/21517614"</f>
        <v xml:space="preserve">        S01/21517614</v>
      </c>
      <c r="X563" s="1">
        <v>11284.95</v>
      </c>
      <c r="Y563">
        <v>0</v>
      </c>
      <c r="Z563"/>
      <c r="AB563"/>
      <c r="AC563" s="1">
        <v>9249.9599999999991</v>
      </c>
      <c r="AD563">
        <v>139</v>
      </c>
      <c r="AE563" s="1">
        <v>1285744.44</v>
      </c>
      <c r="AF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 s="2">
        <v>42746</v>
      </c>
      <c r="AQ563" t="s">
        <v>72</v>
      </c>
      <c r="AR563" t="s">
        <v>72</v>
      </c>
      <c r="AS563">
        <v>1234</v>
      </c>
      <c r="AT563" s="4">
        <v>42492</v>
      </c>
      <c r="AU563" t="s">
        <v>73</v>
      </c>
      <c r="AV563">
        <v>1234</v>
      </c>
      <c r="AW563" s="4">
        <v>42492</v>
      </c>
      <c r="BD563">
        <v>0</v>
      </c>
      <c r="BN563" t="s">
        <v>74</v>
      </c>
    </row>
    <row r="564" spans="1:66" hidden="1">
      <c r="A564">
        <v>100161</v>
      </c>
      <c r="B564" s="3" t="s">
        <v>136</v>
      </c>
      <c r="C564" s="1">
        <v>43300101</v>
      </c>
      <c r="D564" t="s">
        <v>67</v>
      </c>
      <c r="H564" t="str">
        <f t="shared" si="55"/>
        <v>00801720152</v>
      </c>
      <c r="I564" t="str">
        <f t="shared" si="55"/>
        <v>00801720152</v>
      </c>
      <c r="K564" t="str">
        <f>""</f>
        <v/>
      </c>
      <c r="M564" t="s">
        <v>68</v>
      </c>
      <c r="N564" t="str">
        <f t="shared" si="54"/>
        <v>FOR</v>
      </c>
      <c r="O564" t="s">
        <v>69</v>
      </c>
      <c r="P564" s="3" t="s">
        <v>75</v>
      </c>
      <c r="Q564">
        <v>2015</v>
      </c>
      <c r="R564" s="2">
        <v>42170</v>
      </c>
      <c r="S564" s="2">
        <v>42296</v>
      </c>
      <c r="T564" s="2">
        <v>42293</v>
      </c>
      <c r="U564" s="2">
        <v>42353</v>
      </c>
      <c r="V564" t="s">
        <v>71</v>
      </c>
      <c r="W564" t="str">
        <f>"        S01/21517615"</f>
        <v xml:space="preserve">        S01/21517615</v>
      </c>
      <c r="X564" s="1">
        <v>2646.33</v>
      </c>
      <c r="Y564">
        <v>0</v>
      </c>
      <c r="Z564"/>
      <c r="AB564"/>
      <c r="AC564" s="1">
        <v>2169.12</v>
      </c>
      <c r="AD564">
        <v>139</v>
      </c>
      <c r="AE564" s="1">
        <v>301507.68</v>
      </c>
      <c r="AF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 s="2">
        <v>42746</v>
      </c>
      <c r="AQ564" t="s">
        <v>72</v>
      </c>
      <c r="AR564" t="s">
        <v>72</v>
      </c>
      <c r="AS564">
        <v>1234</v>
      </c>
      <c r="AT564" s="4">
        <v>42492</v>
      </c>
      <c r="AU564" t="s">
        <v>73</v>
      </c>
      <c r="AV564">
        <v>1234</v>
      </c>
      <c r="AW564" s="4">
        <v>42492</v>
      </c>
      <c r="BD564">
        <v>0</v>
      </c>
      <c r="BN564" t="s">
        <v>74</v>
      </c>
    </row>
    <row r="565" spans="1:66" hidden="1">
      <c r="A565">
        <v>100161</v>
      </c>
      <c r="B565" s="3" t="s">
        <v>136</v>
      </c>
      <c r="C565" s="1">
        <v>43300101</v>
      </c>
      <c r="D565" t="s">
        <v>67</v>
      </c>
      <c r="H565" t="str">
        <f t="shared" si="55"/>
        <v>00801720152</v>
      </c>
      <c r="I565" t="str">
        <f t="shared" si="55"/>
        <v>00801720152</v>
      </c>
      <c r="K565" t="str">
        <f>""</f>
        <v/>
      </c>
      <c r="M565" t="s">
        <v>68</v>
      </c>
      <c r="N565" t="str">
        <f t="shared" si="54"/>
        <v>FOR</v>
      </c>
      <c r="O565" t="s">
        <v>69</v>
      </c>
      <c r="P565" s="3" t="s">
        <v>75</v>
      </c>
      <c r="Q565">
        <v>2015</v>
      </c>
      <c r="R565" s="2">
        <v>42216</v>
      </c>
      <c r="S565" s="2">
        <v>42254</v>
      </c>
      <c r="T565" s="2">
        <v>42251</v>
      </c>
      <c r="U565" s="2">
        <v>42311</v>
      </c>
      <c r="V565" t="s">
        <v>71</v>
      </c>
      <c r="W565" t="str">
        <f>"        S01/21523425"</f>
        <v xml:space="preserve">        S01/21523425</v>
      </c>
      <c r="X565" s="1">
        <v>5734</v>
      </c>
      <c r="Y565">
        <v>0</v>
      </c>
      <c r="Z565"/>
      <c r="AB565"/>
      <c r="AC565" s="1">
        <v>4700</v>
      </c>
      <c r="AD565">
        <v>258</v>
      </c>
      <c r="AE565" s="1">
        <v>1212600</v>
      </c>
      <c r="AF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 s="2">
        <v>42746</v>
      </c>
      <c r="AQ565" t="s">
        <v>72</v>
      </c>
      <c r="AR565" t="s">
        <v>72</v>
      </c>
      <c r="AS565">
        <v>1875</v>
      </c>
      <c r="AT565" s="4">
        <v>42569</v>
      </c>
      <c r="AU565" t="s">
        <v>73</v>
      </c>
      <c r="AV565">
        <v>1875</v>
      </c>
      <c r="AW565" s="4">
        <v>42569</v>
      </c>
      <c r="BD565">
        <v>0</v>
      </c>
      <c r="BN565" t="s">
        <v>74</v>
      </c>
    </row>
    <row r="566" spans="1:66" hidden="1">
      <c r="A566">
        <v>100161</v>
      </c>
      <c r="B566" s="3" t="s">
        <v>136</v>
      </c>
      <c r="C566" s="1">
        <v>43300101</v>
      </c>
      <c r="D566" t="s">
        <v>67</v>
      </c>
      <c r="H566" t="str">
        <f t="shared" si="55"/>
        <v>00801720152</v>
      </c>
      <c r="I566" t="str">
        <f t="shared" si="55"/>
        <v>00801720152</v>
      </c>
      <c r="K566" t="str">
        <f>""</f>
        <v/>
      </c>
      <c r="M566" t="s">
        <v>68</v>
      </c>
      <c r="N566" t="str">
        <f t="shared" si="54"/>
        <v>FOR</v>
      </c>
      <c r="O566" t="s">
        <v>69</v>
      </c>
      <c r="P566" s="3" t="s">
        <v>75</v>
      </c>
      <c r="Q566">
        <v>2015</v>
      </c>
      <c r="R566" s="2">
        <v>42268</v>
      </c>
      <c r="S566" s="2">
        <v>42275</v>
      </c>
      <c r="T566" s="2">
        <v>42272</v>
      </c>
      <c r="U566" s="2">
        <v>42332</v>
      </c>
      <c r="V566" t="s">
        <v>71</v>
      </c>
      <c r="W566" t="str">
        <f>"        S01/21527803"</f>
        <v xml:space="preserve">        S01/21527803</v>
      </c>
      <c r="X566" s="1">
        <v>1323.16</v>
      </c>
      <c r="Y566">
        <v>0</v>
      </c>
      <c r="Z566"/>
      <c r="AB566"/>
      <c r="AC566" s="1">
        <v>1084.56</v>
      </c>
      <c r="AD566">
        <v>245</v>
      </c>
      <c r="AE566" s="1">
        <v>265717.2</v>
      </c>
      <c r="AF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 s="2">
        <v>42746</v>
      </c>
      <c r="AQ566" t="s">
        <v>72</v>
      </c>
      <c r="AR566" t="s">
        <v>72</v>
      </c>
      <c r="AS566">
        <v>1927</v>
      </c>
      <c r="AT566" s="4">
        <v>42577</v>
      </c>
      <c r="AU566" t="s">
        <v>73</v>
      </c>
      <c r="AV566">
        <v>1927</v>
      </c>
      <c r="AW566" s="4">
        <v>42577</v>
      </c>
      <c r="BD566">
        <v>0</v>
      </c>
      <c r="BN566" t="s">
        <v>74</v>
      </c>
    </row>
    <row r="567" spans="1:66" hidden="1">
      <c r="A567">
        <v>100161</v>
      </c>
      <c r="B567" s="3" t="s">
        <v>136</v>
      </c>
      <c r="C567" s="1">
        <v>43300101</v>
      </c>
      <c r="D567" t="s">
        <v>67</v>
      </c>
      <c r="H567" t="str">
        <f t="shared" si="55"/>
        <v>00801720152</v>
      </c>
      <c r="I567" t="str">
        <f t="shared" si="55"/>
        <v>00801720152</v>
      </c>
      <c r="K567" t="str">
        <f>""</f>
        <v/>
      </c>
      <c r="M567" t="s">
        <v>68</v>
      </c>
      <c r="N567" t="str">
        <f t="shared" si="54"/>
        <v>FOR</v>
      </c>
      <c r="O567" t="s">
        <v>69</v>
      </c>
      <c r="P567" s="3" t="s">
        <v>75</v>
      </c>
      <c r="Q567">
        <v>2015</v>
      </c>
      <c r="R567" s="2">
        <v>42268</v>
      </c>
      <c r="S567" s="2">
        <v>42275</v>
      </c>
      <c r="T567" s="2">
        <v>42272</v>
      </c>
      <c r="U567" s="2">
        <v>42332</v>
      </c>
      <c r="V567" t="s">
        <v>71</v>
      </c>
      <c r="W567" t="str">
        <f>"        S01/21527804"</f>
        <v xml:space="preserve">        S01/21527804</v>
      </c>
      <c r="X567" s="1">
        <v>5642.48</v>
      </c>
      <c r="Y567">
        <v>0</v>
      </c>
      <c r="Z567"/>
      <c r="AB567"/>
      <c r="AC567" s="1">
        <v>4624.9799999999996</v>
      </c>
      <c r="AD567">
        <v>245</v>
      </c>
      <c r="AE567" s="1">
        <v>1133120.1000000001</v>
      </c>
      <c r="AF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 s="2">
        <v>42746</v>
      </c>
      <c r="AQ567" t="s">
        <v>72</v>
      </c>
      <c r="AR567" t="s">
        <v>72</v>
      </c>
      <c r="AS567">
        <v>1927</v>
      </c>
      <c r="AT567" s="4">
        <v>42577</v>
      </c>
      <c r="AU567" t="s">
        <v>73</v>
      </c>
      <c r="AV567">
        <v>1927</v>
      </c>
      <c r="AW567" s="4">
        <v>42577</v>
      </c>
      <c r="BD567">
        <v>0</v>
      </c>
      <c r="BN567" t="s">
        <v>74</v>
      </c>
    </row>
    <row r="568" spans="1:66" hidden="1">
      <c r="A568">
        <v>100161</v>
      </c>
      <c r="B568" s="3" t="s">
        <v>136</v>
      </c>
      <c r="C568" s="1">
        <v>43300101</v>
      </c>
      <c r="D568" t="s">
        <v>67</v>
      </c>
      <c r="H568" t="str">
        <f t="shared" si="55"/>
        <v>00801720152</v>
      </c>
      <c r="I568" t="str">
        <f t="shared" si="55"/>
        <v>00801720152</v>
      </c>
      <c r="K568" t="str">
        <f>""</f>
        <v/>
      </c>
      <c r="M568" t="s">
        <v>68</v>
      </c>
      <c r="N568" t="str">
        <f t="shared" si="54"/>
        <v>FOR</v>
      </c>
      <c r="O568" t="s">
        <v>69</v>
      </c>
      <c r="P568" s="3" t="s">
        <v>75</v>
      </c>
      <c r="Q568">
        <v>2015</v>
      </c>
      <c r="R568" s="2">
        <v>42347</v>
      </c>
      <c r="S568" s="2">
        <v>42352</v>
      </c>
      <c r="T568" s="2">
        <v>42348</v>
      </c>
      <c r="U568" s="2">
        <v>42408</v>
      </c>
      <c r="V568" t="s">
        <v>71</v>
      </c>
      <c r="W568" t="str">
        <f>"        S01/21536201"</f>
        <v xml:space="preserve">        S01/21536201</v>
      </c>
      <c r="X568" s="1">
        <v>5642.48</v>
      </c>
      <c r="Y568">
        <v>0</v>
      </c>
      <c r="Z568"/>
      <c r="AB568"/>
      <c r="AC568" s="1">
        <v>4624.9799999999996</v>
      </c>
      <c r="AD568">
        <v>169</v>
      </c>
      <c r="AE568" s="1">
        <v>781621.62</v>
      </c>
      <c r="AF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 s="2">
        <v>42746</v>
      </c>
      <c r="AQ568" t="s">
        <v>72</v>
      </c>
      <c r="AR568" t="s">
        <v>72</v>
      </c>
      <c r="AS568">
        <v>1927</v>
      </c>
      <c r="AT568" s="4">
        <v>42577</v>
      </c>
      <c r="AU568" t="s">
        <v>73</v>
      </c>
      <c r="AV568">
        <v>1927</v>
      </c>
      <c r="AW568" s="4">
        <v>42577</v>
      </c>
      <c r="BD568">
        <v>0</v>
      </c>
      <c r="BN568" t="s">
        <v>74</v>
      </c>
    </row>
    <row r="569" spans="1:66" hidden="1">
      <c r="A569">
        <v>100161</v>
      </c>
      <c r="B569" s="3" t="s">
        <v>136</v>
      </c>
      <c r="C569" s="1">
        <v>43300101</v>
      </c>
      <c r="D569" t="s">
        <v>67</v>
      </c>
      <c r="H569" t="str">
        <f t="shared" si="55"/>
        <v>00801720152</v>
      </c>
      <c r="I569" t="str">
        <f t="shared" si="55"/>
        <v>00801720152</v>
      </c>
      <c r="K569" t="str">
        <f>""</f>
        <v/>
      </c>
      <c r="M569" t="s">
        <v>68</v>
      </c>
      <c r="N569" t="str">
        <f t="shared" si="54"/>
        <v>FOR</v>
      </c>
      <c r="O569" t="s">
        <v>69</v>
      </c>
      <c r="P569" s="3" t="s">
        <v>75</v>
      </c>
      <c r="Q569">
        <v>2015</v>
      </c>
      <c r="R569" s="2">
        <v>42347</v>
      </c>
      <c r="S569" s="2">
        <v>42352</v>
      </c>
      <c r="T569" s="2">
        <v>42348</v>
      </c>
      <c r="U569" s="2">
        <v>42408</v>
      </c>
      <c r="V569" t="s">
        <v>71</v>
      </c>
      <c r="W569" t="str">
        <f>"        S01/21536202"</f>
        <v xml:space="preserve">        S01/21536202</v>
      </c>
      <c r="X569" s="1">
        <v>1323.16</v>
      </c>
      <c r="Y569">
        <v>0</v>
      </c>
      <c r="Z569"/>
      <c r="AB569"/>
      <c r="AC569" s="1">
        <v>1084.56</v>
      </c>
      <c r="AD569">
        <v>169</v>
      </c>
      <c r="AE569" s="1">
        <v>183290.64</v>
      </c>
      <c r="AF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 s="2">
        <v>42746</v>
      </c>
      <c r="AQ569" t="s">
        <v>72</v>
      </c>
      <c r="AR569" t="s">
        <v>72</v>
      </c>
      <c r="AS569">
        <v>1927</v>
      </c>
      <c r="AT569" s="4">
        <v>42577</v>
      </c>
      <c r="AU569" t="s">
        <v>73</v>
      </c>
      <c r="AV569">
        <v>1927</v>
      </c>
      <c r="AW569" s="4">
        <v>42577</v>
      </c>
      <c r="BD569">
        <v>0</v>
      </c>
      <c r="BN569" t="s">
        <v>74</v>
      </c>
    </row>
    <row r="570" spans="1:66" hidden="1">
      <c r="A570">
        <v>100161</v>
      </c>
      <c r="B570" s="3" t="s">
        <v>136</v>
      </c>
      <c r="C570" s="1">
        <v>43300101</v>
      </c>
      <c r="D570" t="s">
        <v>67</v>
      </c>
      <c r="H570" t="str">
        <f t="shared" si="55"/>
        <v>00801720152</v>
      </c>
      <c r="I570" t="str">
        <f t="shared" si="55"/>
        <v>00801720152</v>
      </c>
      <c r="K570" t="str">
        <f>""</f>
        <v/>
      </c>
      <c r="M570" t="s">
        <v>68</v>
      </c>
      <c r="N570" t="str">
        <f t="shared" si="54"/>
        <v>FOR</v>
      </c>
      <c r="O570" t="s">
        <v>69</v>
      </c>
      <c r="P570" s="3" t="s">
        <v>75</v>
      </c>
      <c r="Q570">
        <v>2015</v>
      </c>
      <c r="R570" s="2">
        <v>42368</v>
      </c>
      <c r="S570" s="2">
        <v>42369</v>
      </c>
      <c r="T570" s="2">
        <v>42369</v>
      </c>
      <c r="U570" s="2">
        <v>42429</v>
      </c>
      <c r="V570" t="s">
        <v>71</v>
      </c>
      <c r="W570" t="str">
        <f>"        S01/21539450"</f>
        <v xml:space="preserve">        S01/21539450</v>
      </c>
      <c r="X570" s="1">
        <v>5734</v>
      </c>
      <c r="Y570">
        <v>0</v>
      </c>
      <c r="Z570"/>
      <c r="AB570"/>
      <c r="AC570" s="1">
        <v>4700</v>
      </c>
      <c r="AD570">
        <v>148</v>
      </c>
      <c r="AE570" s="1">
        <v>695600</v>
      </c>
      <c r="AF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 s="2">
        <v>42746</v>
      </c>
      <c r="AQ570" t="s">
        <v>72</v>
      </c>
      <c r="AR570" t="s">
        <v>72</v>
      </c>
      <c r="AS570">
        <v>1927</v>
      </c>
      <c r="AT570" s="4">
        <v>42577</v>
      </c>
      <c r="AU570" t="s">
        <v>73</v>
      </c>
      <c r="AV570">
        <v>1927</v>
      </c>
      <c r="AW570" s="4">
        <v>42577</v>
      </c>
      <c r="BD570">
        <v>0</v>
      </c>
      <c r="BN570" t="s">
        <v>74</v>
      </c>
    </row>
    <row r="571" spans="1:66">
      <c r="A571">
        <v>100161</v>
      </c>
      <c r="B571" s="3" t="s">
        <v>136</v>
      </c>
      <c r="C571" s="1">
        <v>43300101</v>
      </c>
      <c r="D571" t="s">
        <v>67</v>
      </c>
      <c r="H571" t="str">
        <f t="shared" si="55"/>
        <v>00801720152</v>
      </c>
      <c r="I571" t="str">
        <f t="shared" si="55"/>
        <v>00801720152</v>
      </c>
      <c r="K571" t="str">
        <f>""</f>
        <v/>
      </c>
      <c r="M571" t="s">
        <v>68</v>
      </c>
      <c r="N571" t="str">
        <f t="shared" si="54"/>
        <v>FOR</v>
      </c>
      <c r="O571" t="s">
        <v>69</v>
      </c>
      <c r="P571" s="3" t="s">
        <v>75</v>
      </c>
      <c r="Q571">
        <v>2016</v>
      </c>
      <c r="R571" s="2">
        <v>42415</v>
      </c>
      <c r="S571" s="2">
        <v>42417</v>
      </c>
      <c r="T571" s="2">
        <v>42416</v>
      </c>
      <c r="U571" s="2">
        <v>42476</v>
      </c>
      <c r="V571" t="s">
        <v>71</v>
      </c>
      <c r="W571" t="str">
        <f>"        S01/21603709"</f>
        <v xml:space="preserve">        S01/21603709</v>
      </c>
      <c r="X571" s="1">
        <v>1039.6400000000001</v>
      </c>
      <c r="Y571">
        <v>0</v>
      </c>
      <c r="Z571" s="3">
        <v>852.16</v>
      </c>
      <c r="AA571">
        <v>170</v>
      </c>
      <c r="AB571" s="5">
        <v>144867.20000000001</v>
      </c>
      <c r="AC571">
        <v>852.16</v>
      </c>
      <c r="AD571">
        <v>170</v>
      </c>
      <c r="AE571" s="1">
        <v>144867.20000000001</v>
      </c>
      <c r="AF571">
        <v>0</v>
      </c>
      <c r="AJ571">
        <v>0</v>
      </c>
      <c r="AK571">
        <v>0</v>
      </c>
      <c r="AL571">
        <v>0</v>
      </c>
      <c r="AM571" s="1">
        <v>1039.6400000000001</v>
      </c>
      <c r="AN571" s="1">
        <v>1039.6400000000001</v>
      </c>
      <c r="AO571" s="1">
        <v>1039.6400000000001</v>
      </c>
      <c r="AP571" s="2">
        <v>42746</v>
      </c>
      <c r="AQ571" t="s">
        <v>72</v>
      </c>
      <c r="AR571" t="s">
        <v>72</v>
      </c>
      <c r="AS571">
        <v>2573</v>
      </c>
      <c r="AT571" s="4">
        <v>42646</v>
      </c>
      <c r="AU571" t="s">
        <v>73</v>
      </c>
      <c r="AV571">
        <v>2573</v>
      </c>
      <c r="AW571" s="4">
        <v>42646</v>
      </c>
      <c r="BD571">
        <v>0</v>
      </c>
      <c r="BN571" t="s">
        <v>74</v>
      </c>
    </row>
    <row r="572" spans="1:66">
      <c r="A572">
        <v>100161</v>
      </c>
      <c r="B572" s="3" t="s">
        <v>136</v>
      </c>
      <c r="C572" s="1">
        <v>43300101</v>
      </c>
      <c r="D572" t="s">
        <v>67</v>
      </c>
      <c r="H572" t="str">
        <f t="shared" si="55"/>
        <v>00801720152</v>
      </c>
      <c r="I572" t="str">
        <f t="shared" si="55"/>
        <v>00801720152</v>
      </c>
      <c r="K572" t="str">
        <f>""</f>
        <v/>
      </c>
      <c r="M572" t="s">
        <v>68</v>
      </c>
      <c r="N572" t="str">
        <f t="shared" si="54"/>
        <v>FOR</v>
      </c>
      <c r="O572" t="s">
        <v>69</v>
      </c>
      <c r="P572" s="3" t="s">
        <v>75</v>
      </c>
      <c r="Q572">
        <v>2016</v>
      </c>
      <c r="R572" s="2">
        <v>42436</v>
      </c>
      <c r="S572" s="2">
        <v>42446</v>
      </c>
      <c r="T572" s="2">
        <v>42445</v>
      </c>
      <c r="U572" s="2">
        <v>42505</v>
      </c>
      <c r="V572" t="s">
        <v>71</v>
      </c>
      <c r="W572" t="str">
        <f>"        S01/21606229"</f>
        <v xml:space="preserve">        S01/21606229</v>
      </c>
      <c r="X572" s="1">
        <v>3014.82</v>
      </c>
      <c r="Y572">
        <v>0</v>
      </c>
      <c r="Z572" s="5">
        <v>2471.16</v>
      </c>
      <c r="AA572">
        <v>141</v>
      </c>
      <c r="AB572" s="5">
        <v>348433.56</v>
      </c>
      <c r="AC572" s="1">
        <v>2471.16</v>
      </c>
      <c r="AD572">
        <v>141</v>
      </c>
      <c r="AE572" s="1">
        <v>348433.56</v>
      </c>
      <c r="AF572">
        <v>0</v>
      </c>
      <c r="AJ572">
        <v>0</v>
      </c>
      <c r="AK572">
        <v>0</v>
      </c>
      <c r="AL572">
        <v>0</v>
      </c>
      <c r="AM572" s="1">
        <v>3014.82</v>
      </c>
      <c r="AN572" s="1">
        <v>3014.82</v>
      </c>
      <c r="AO572" s="1">
        <v>3014.82</v>
      </c>
      <c r="AP572" s="2">
        <v>42746</v>
      </c>
      <c r="AQ572" t="s">
        <v>72</v>
      </c>
      <c r="AR572" t="s">
        <v>72</v>
      </c>
      <c r="AS572">
        <v>2573</v>
      </c>
      <c r="AT572" s="4">
        <v>42646</v>
      </c>
      <c r="AU572" t="s">
        <v>73</v>
      </c>
      <c r="AV572">
        <v>2573</v>
      </c>
      <c r="AW572" s="4">
        <v>42646</v>
      </c>
      <c r="BD572">
        <v>0</v>
      </c>
      <c r="BN572" t="s">
        <v>74</v>
      </c>
    </row>
    <row r="573" spans="1:66">
      <c r="A573">
        <v>100161</v>
      </c>
      <c r="B573" s="3" t="s">
        <v>136</v>
      </c>
      <c r="C573" s="1">
        <v>43300101</v>
      </c>
      <c r="D573" t="s">
        <v>67</v>
      </c>
      <c r="H573" t="str">
        <f t="shared" si="55"/>
        <v>00801720152</v>
      </c>
      <c r="I573" t="str">
        <f t="shared" si="55"/>
        <v>00801720152</v>
      </c>
      <c r="K573" t="str">
        <f>""</f>
        <v/>
      </c>
      <c r="M573" t="s">
        <v>68</v>
      </c>
      <c r="N573" t="str">
        <f t="shared" si="54"/>
        <v>FOR</v>
      </c>
      <c r="O573" t="s">
        <v>69</v>
      </c>
      <c r="P573" s="3" t="s">
        <v>75</v>
      </c>
      <c r="Q573">
        <v>2016</v>
      </c>
      <c r="R573" s="2">
        <v>42443</v>
      </c>
      <c r="S573" s="2">
        <v>42446</v>
      </c>
      <c r="T573" s="2">
        <v>42445</v>
      </c>
      <c r="U573" s="2">
        <v>42505</v>
      </c>
      <c r="V573" t="s">
        <v>71</v>
      </c>
      <c r="W573" t="str">
        <f>"        S01/21607030"</f>
        <v xml:space="preserve">        S01/21607030</v>
      </c>
      <c r="X573" s="1">
        <v>5734</v>
      </c>
      <c r="Y573">
        <v>0</v>
      </c>
      <c r="Z573" s="5">
        <v>4700</v>
      </c>
      <c r="AA573">
        <v>141</v>
      </c>
      <c r="AB573" s="5">
        <v>662700</v>
      </c>
      <c r="AC573" s="1">
        <v>4700</v>
      </c>
      <c r="AD573">
        <v>141</v>
      </c>
      <c r="AE573" s="1">
        <v>662700</v>
      </c>
      <c r="AF573">
        <v>0</v>
      </c>
      <c r="AJ573">
        <v>0</v>
      </c>
      <c r="AK573">
        <v>0</v>
      </c>
      <c r="AL573">
        <v>0</v>
      </c>
      <c r="AM573" s="1">
        <v>5734</v>
      </c>
      <c r="AN573" s="1">
        <v>5734</v>
      </c>
      <c r="AO573" s="1">
        <v>5734</v>
      </c>
      <c r="AP573" s="2">
        <v>42746</v>
      </c>
      <c r="AQ573" t="s">
        <v>72</v>
      </c>
      <c r="AR573" t="s">
        <v>72</v>
      </c>
      <c r="AS573">
        <v>2573</v>
      </c>
      <c r="AT573" s="4">
        <v>42646</v>
      </c>
      <c r="AU573" t="s">
        <v>73</v>
      </c>
      <c r="AV573">
        <v>2573</v>
      </c>
      <c r="AW573" s="4">
        <v>42646</v>
      </c>
      <c r="BD573">
        <v>0</v>
      </c>
      <c r="BN573" t="s">
        <v>74</v>
      </c>
    </row>
    <row r="574" spans="1:66">
      <c r="A574">
        <v>100161</v>
      </c>
      <c r="B574" s="3" t="s">
        <v>136</v>
      </c>
      <c r="C574" s="1">
        <v>43300101</v>
      </c>
      <c r="D574" t="s">
        <v>67</v>
      </c>
      <c r="H574" t="str">
        <f t="shared" si="55"/>
        <v>00801720152</v>
      </c>
      <c r="I574" t="str">
        <f t="shared" si="55"/>
        <v>00801720152</v>
      </c>
      <c r="K574" t="str">
        <f>""</f>
        <v/>
      </c>
      <c r="M574" t="s">
        <v>68</v>
      </c>
      <c r="N574" t="str">
        <f t="shared" si="54"/>
        <v>FOR</v>
      </c>
      <c r="O574" t="s">
        <v>69</v>
      </c>
      <c r="P574" s="3" t="s">
        <v>75</v>
      </c>
      <c r="Q574">
        <v>2016</v>
      </c>
      <c r="R574" s="2">
        <v>42458</v>
      </c>
      <c r="S574" s="2">
        <v>42464</v>
      </c>
      <c r="T574" s="2">
        <v>42461</v>
      </c>
      <c r="U574" s="2">
        <v>42521</v>
      </c>
      <c r="V574" t="s">
        <v>71</v>
      </c>
      <c r="W574" t="str">
        <f>"        S01/21608941"</f>
        <v xml:space="preserve">        S01/21608941</v>
      </c>
      <c r="X574">
        <v>570.35</v>
      </c>
      <c r="Y574">
        <v>0</v>
      </c>
      <c r="Z574" s="3">
        <v>467.5</v>
      </c>
      <c r="AA574">
        <v>125</v>
      </c>
      <c r="AB574" s="5">
        <v>58437.5</v>
      </c>
      <c r="AC574">
        <v>467.5</v>
      </c>
      <c r="AD574">
        <v>125</v>
      </c>
      <c r="AE574" s="1">
        <v>58437.5</v>
      </c>
      <c r="AF574">
        <v>0</v>
      </c>
      <c r="AJ574">
        <v>0</v>
      </c>
      <c r="AK574">
        <v>0</v>
      </c>
      <c r="AL574">
        <v>0</v>
      </c>
      <c r="AM574">
        <v>570.35</v>
      </c>
      <c r="AN574">
        <v>570.35</v>
      </c>
      <c r="AO574">
        <v>570.35</v>
      </c>
      <c r="AP574" s="2">
        <v>42746</v>
      </c>
      <c r="AQ574" t="s">
        <v>72</v>
      </c>
      <c r="AR574" t="s">
        <v>72</v>
      </c>
      <c r="AS574">
        <v>2573</v>
      </c>
      <c r="AT574" s="4">
        <v>42646</v>
      </c>
      <c r="AU574" t="s">
        <v>73</v>
      </c>
      <c r="AV574">
        <v>2573</v>
      </c>
      <c r="AW574" s="4">
        <v>42646</v>
      </c>
      <c r="BD574">
        <v>0</v>
      </c>
      <c r="BN574" t="s">
        <v>74</v>
      </c>
    </row>
    <row r="575" spans="1:66" hidden="1">
      <c r="A575">
        <v>100164</v>
      </c>
      <c r="B575" s="3" t="s">
        <v>137</v>
      </c>
      <c r="C575" s="1">
        <v>43300101</v>
      </c>
      <c r="D575" t="s">
        <v>67</v>
      </c>
      <c r="H575" t="str">
        <f t="shared" ref="H575:I594" si="56">"00803890151"</f>
        <v>00803890151</v>
      </c>
      <c r="I575" t="str">
        <f t="shared" si="56"/>
        <v>00803890151</v>
      </c>
      <c r="K575" t="str">
        <f>""</f>
        <v/>
      </c>
      <c r="M575" t="s">
        <v>68</v>
      </c>
      <c r="N575" t="str">
        <f t="shared" si="54"/>
        <v>FOR</v>
      </c>
      <c r="O575" t="s">
        <v>69</v>
      </c>
      <c r="P575" s="3" t="s">
        <v>70</v>
      </c>
      <c r="Q575">
        <v>2014</v>
      </c>
      <c r="R575" s="2">
        <v>41934</v>
      </c>
      <c r="S575" s="2">
        <v>41941</v>
      </c>
      <c r="T575" s="2">
        <v>41941</v>
      </c>
      <c r="U575" s="2">
        <v>42001</v>
      </c>
      <c r="V575" t="s">
        <v>71</v>
      </c>
      <c r="W575" t="str">
        <f>"            40041612"</f>
        <v xml:space="preserve">            40041612</v>
      </c>
      <c r="X575" s="1">
        <v>4562.8</v>
      </c>
      <c r="Y575">
        <v>0</v>
      </c>
      <c r="Z575"/>
      <c r="AB575"/>
      <c r="AC575" s="1">
        <v>4562.8</v>
      </c>
      <c r="AD575">
        <v>401</v>
      </c>
      <c r="AE575" s="1">
        <v>1829682.8</v>
      </c>
      <c r="AF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 s="2">
        <v>42746</v>
      </c>
      <c r="AQ575" t="s">
        <v>72</v>
      </c>
      <c r="AR575" t="s">
        <v>72</v>
      </c>
      <c r="AS575">
        <v>210</v>
      </c>
      <c r="AT575" s="4">
        <v>42402</v>
      </c>
      <c r="AU575" t="s">
        <v>73</v>
      </c>
      <c r="AV575">
        <v>210</v>
      </c>
      <c r="AW575" s="4">
        <v>42402</v>
      </c>
      <c r="BD575">
        <v>0</v>
      </c>
      <c r="BN575" t="s">
        <v>74</v>
      </c>
    </row>
    <row r="576" spans="1:66" hidden="1">
      <c r="A576">
        <v>100164</v>
      </c>
      <c r="B576" s="3" t="s">
        <v>137</v>
      </c>
      <c r="C576" s="1">
        <v>43300101</v>
      </c>
      <c r="D576" t="s">
        <v>67</v>
      </c>
      <c r="H576" t="str">
        <f t="shared" si="56"/>
        <v>00803890151</v>
      </c>
      <c r="I576" t="str">
        <f t="shared" si="56"/>
        <v>00803890151</v>
      </c>
      <c r="K576" t="str">
        <f>""</f>
        <v/>
      </c>
      <c r="M576" t="s">
        <v>68</v>
      </c>
      <c r="N576" t="str">
        <f t="shared" si="54"/>
        <v>FOR</v>
      </c>
      <c r="O576" t="s">
        <v>69</v>
      </c>
      <c r="P576" s="3" t="s">
        <v>70</v>
      </c>
      <c r="Q576">
        <v>2014</v>
      </c>
      <c r="R576" s="2">
        <v>41886</v>
      </c>
      <c r="S576" s="2">
        <v>42585</v>
      </c>
      <c r="T576" s="2">
        <v>42585</v>
      </c>
      <c r="U576" s="2">
        <v>42645</v>
      </c>
      <c r="V576" t="s">
        <v>71</v>
      </c>
      <c r="W576" t="str">
        <f>"           140034696"</f>
        <v xml:space="preserve">           140034696</v>
      </c>
      <c r="X576">
        <v>134.19999999999999</v>
      </c>
      <c r="Y576">
        <v>0</v>
      </c>
      <c r="Z576"/>
      <c r="AB576"/>
      <c r="AC576">
        <v>134.19999999999999</v>
      </c>
      <c r="AD576">
        <v>-25</v>
      </c>
      <c r="AE576" s="1">
        <v>-3355</v>
      </c>
      <c r="AF576">
        <v>0</v>
      </c>
      <c r="AJ576">
        <v>0</v>
      </c>
      <c r="AK576">
        <v>0</v>
      </c>
      <c r="AL576">
        <v>0</v>
      </c>
      <c r="AM576">
        <v>0</v>
      </c>
      <c r="AN576">
        <v>134.19999999999999</v>
      </c>
      <c r="AO576">
        <v>0</v>
      </c>
      <c r="AP576" s="2">
        <v>42746</v>
      </c>
      <c r="AQ576" t="s">
        <v>72</v>
      </c>
      <c r="AR576" t="s">
        <v>72</v>
      </c>
      <c r="AS576">
        <v>2318</v>
      </c>
      <c r="AT576" s="4">
        <v>42620</v>
      </c>
      <c r="AV576">
        <v>2318</v>
      </c>
      <c r="AW576" s="4">
        <v>42620</v>
      </c>
      <c r="BD576">
        <v>0</v>
      </c>
      <c r="BN576" t="s">
        <v>74</v>
      </c>
    </row>
    <row r="577" spans="1:66" hidden="1">
      <c r="A577">
        <v>100164</v>
      </c>
      <c r="B577" s="3" t="s">
        <v>137</v>
      </c>
      <c r="C577" s="1">
        <v>43300101</v>
      </c>
      <c r="D577" t="s">
        <v>67</v>
      </c>
      <c r="H577" t="str">
        <f t="shared" si="56"/>
        <v>00803890151</v>
      </c>
      <c r="I577" t="str">
        <f t="shared" si="56"/>
        <v>00803890151</v>
      </c>
      <c r="K577" t="str">
        <f>""</f>
        <v/>
      </c>
      <c r="M577" t="s">
        <v>68</v>
      </c>
      <c r="N577" t="str">
        <f t="shared" si="54"/>
        <v>FOR</v>
      </c>
      <c r="O577" t="s">
        <v>69</v>
      </c>
      <c r="P577" s="3" t="s">
        <v>75</v>
      </c>
      <c r="Q577">
        <v>2015</v>
      </c>
      <c r="R577" s="2">
        <v>42207</v>
      </c>
      <c r="S577" s="2">
        <v>42209</v>
      </c>
      <c r="T577" s="2">
        <v>42207</v>
      </c>
      <c r="U577" s="2">
        <v>42267</v>
      </c>
      <c r="V577" t="s">
        <v>71</v>
      </c>
      <c r="W577" t="str">
        <f>"           152016114"</f>
        <v xml:space="preserve">           152016114</v>
      </c>
      <c r="X577" s="1">
        <v>1342</v>
      </c>
      <c r="Y577">
        <v>0</v>
      </c>
      <c r="Z577">
        <v>272.45999999999998</v>
      </c>
      <c r="AA577">
        <v>431</v>
      </c>
      <c r="AB577" s="1">
        <v>117430.26</v>
      </c>
      <c r="AC577">
        <v>272.45999999999998</v>
      </c>
      <c r="AD577">
        <v>431</v>
      </c>
      <c r="AE577" s="1">
        <v>117430.26</v>
      </c>
      <c r="AF577">
        <v>0</v>
      </c>
      <c r="AJ577">
        <v>0</v>
      </c>
      <c r="AK577">
        <v>332.4</v>
      </c>
      <c r="AL577">
        <v>0</v>
      </c>
      <c r="AM577">
        <v>0</v>
      </c>
      <c r="AN577">
        <v>332.4</v>
      </c>
      <c r="AO577">
        <v>0</v>
      </c>
      <c r="AP577" s="2">
        <v>42746</v>
      </c>
      <c r="AQ577" t="s">
        <v>72</v>
      </c>
      <c r="AR577" t="s">
        <v>72</v>
      </c>
      <c r="AS577">
        <v>3313</v>
      </c>
      <c r="AT577" s="4">
        <v>42339</v>
      </c>
      <c r="AU577" t="s">
        <v>73</v>
      </c>
      <c r="AV577">
        <v>3304</v>
      </c>
      <c r="AW577" s="4">
        <v>42698</v>
      </c>
      <c r="BD577">
        <v>0</v>
      </c>
      <c r="BN577" t="s">
        <v>74</v>
      </c>
    </row>
    <row r="578" spans="1:66" hidden="1">
      <c r="A578">
        <v>100164</v>
      </c>
      <c r="B578" s="3" t="s">
        <v>137</v>
      </c>
      <c r="C578" s="1">
        <v>43300101</v>
      </c>
      <c r="D578" t="s">
        <v>67</v>
      </c>
      <c r="H578" t="str">
        <f t="shared" si="56"/>
        <v>00803890151</v>
      </c>
      <c r="I578" t="str">
        <f t="shared" si="56"/>
        <v>00803890151</v>
      </c>
      <c r="K578" t="str">
        <f>""</f>
        <v/>
      </c>
      <c r="M578" t="s">
        <v>68</v>
      </c>
      <c r="N578" t="str">
        <f t="shared" si="54"/>
        <v>FOR</v>
      </c>
      <c r="O578" t="s">
        <v>69</v>
      </c>
      <c r="P578" s="3" t="s">
        <v>75</v>
      </c>
      <c r="Q578">
        <v>2015</v>
      </c>
      <c r="R578" s="2">
        <v>42222</v>
      </c>
      <c r="S578" s="2">
        <v>42223</v>
      </c>
      <c r="T578" s="2">
        <v>42222</v>
      </c>
      <c r="U578" s="2">
        <v>42282</v>
      </c>
      <c r="V578" t="s">
        <v>71</v>
      </c>
      <c r="W578" t="str">
        <f>"           152018203"</f>
        <v xml:space="preserve">           152018203</v>
      </c>
      <c r="X578" s="1">
        <v>1677.5</v>
      </c>
      <c r="Y578">
        <v>0</v>
      </c>
      <c r="Z578"/>
      <c r="AB578"/>
      <c r="AC578" s="1">
        <v>1375</v>
      </c>
      <c r="AD578">
        <v>120</v>
      </c>
      <c r="AE578" s="1">
        <v>165000</v>
      </c>
      <c r="AF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 s="2">
        <v>42746</v>
      </c>
      <c r="AQ578" t="s">
        <v>72</v>
      </c>
      <c r="AR578" t="s">
        <v>72</v>
      </c>
      <c r="AS578">
        <v>210</v>
      </c>
      <c r="AT578" s="4">
        <v>42402</v>
      </c>
      <c r="AU578" t="s">
        <v>73</v>
      </c>
      <c r="AV578">
        <v>210</v>
      </c>
      <c r="AW578" s="4">
        <v>42402</v>
      </c>
      <c r="BD578">
        <v>0</v>
      </c>
      <c r="BN578" t="s">
        <v>74</v>
      </c>
    </row>
    <row r="579" spans="1:66" hidden="1">
      <c r="A579">
        <v>100164</v>
      </c>
      <c r="B579" s="3" t="s">
        <v>137</v>
      </c>
      <c r="C579" s="1">
        <v>43300101</v>
      </c>
      <c r="D579" t="s">
        <v>67</v>
      </c>
      <c r="H579" t="str">
        <f t="shared" si="56"/>
        <v>00803890151</v>
      </c>
      <c r="I579" t="str">
        <f t="shared" si="56"/>
        <v>00803890151</v>
      </c>
      <c r="K579" t="str">
        <f>""</f>
        <v/>
      </c>
      <c r="M579" t="s">
        <v>68</v>
      </c>
      <c r="N579" t="str">
        <f t="shared" si="54"/>
        <v>FOR</v>
      </c>
      <c r="O579" t="s">
        <v>69</v>
      </c>
      <c r="P579" s="3" t="s">
        <v>75</v>
      </c>
      <c r="Q579">
        <v>2015</v>
      </c>
      <c r="R579" s="2">
        <v>42223</v>
      </c>
      <c r="S579" s="2">
        <v>42226</v>
      </c>
      <c r="T579" s="2">
        <v>42223</v>
      </c>
      <c r="U579" s="2">
        <v>42283</v>
      </c>
      <c r="V579" t="s">
        <v>71</v>
      </c>
      <c r="W579" t="str">
        <f>"           152018356"</f>
        <v xml:space="preserve">           152018356</v>
      </c>
      <c r="X579" s="1">
        <v>1098</v>
      </c>
      <c r="Y579">
        <v>0</v>
      </c>
      <c r="Z579"/>
      <c r="AB579"/>
      <c r="AC579">
        <v>900</v>
      </c>
      <c r="AD579">
        <v>119</v>
      </c>
      <c r="AE579" s="1">
        <v>107100</v>
      </c>
      <c r="AF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 s="2">
        <v>42746</v>
      </c>
      <c r="AQ579" t="s">
        <v>72</v>
      </c>
      <c r="AR579" t="s">
        <v>72</v>
      </c>
      <c r="AS579">
        <v>210</v>
      </c>
      <c r="AT579" s="4">
        <v>42402</v>
      </c>
      <c r="AU579" t="s">
        <v>73</v>
      </c>
      <c r="AV579">
        <v>210</v>
      </c>
      <c r="AW579" s="4">
        <v>42402</v>
      </c>
      <c r="BD579">
        <v>0</v>
      </c>
      <c r="BN579" t="s">
        <v>74</v>
      </c>
    </row>
    <row r="580" spans="1:66" hidden="1">
      <c r="A580">
        <v>100164</v>
      </c>
      <c r="B580" s="3" t="s">
        <v>137</v>
      </c>
      <c r="C580" s="1">
        <v>43300101</v>
      </c>
      <c r="D580" t="s">
        <v>67</v>
      </c>
      <c r="H580" t="str">
        <f t="shared" si="56"/>
        <v>00803890151</v>
      </c>
      <c r="I580" t="str">
        <f t="shared" si="56"/>
        <v>00803890151</v>
      </c>
      <c r="K580" t="str">
        <f>""</f>
        <v/>
      </c>
      <c r="M580" t="s">
        <v>68</v>
      </c>
      <c r="N580" t="str">
        <f t="shared" si="54"/>
        <v>FOR</v>
      </c>
      <c r="O580" t="s">
        <v>69</v>
      </c>
      <c r="P580" s="3" t="s">
        <v>75</v>
      </c>
      <c r="Q580">
        <v>2015</v>
      </c>
      <c r="R580" s="2">
        <v>42226</v>
      </c>
      <c r="S580" s="2">
        <v>42229</v>
      </c>
      <c r="T580" s="2">
        <v>42226</v>
      </c>
      <c r="U580" s="2">
        <v>42286</v>
      </c>
      <c r="V580" t="s">
        <v>71</v>
      </c>
      <c r="W580" t="str">
        <f>"           152018480"</f>
        <v xml:space="preserve">           152018480</v>
      </c>
      <c r="X580" s="1">
        <v>1756.54</v>
      </c>
      <c r="Y580">
        <v>0</v>
      </c>
      <c r="Z580"/>
      <c r="AB580"/>
      <c r="AC580" s="1">
        <v>1439.8</v>
      </c>
      <c r="AD580">
        <v>116</v>
      </c>
      <c r="AE580" s="1">
        <v>167016.79999999999</v>
      </c>
      <c r="AF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 s="2">
        <v>42746</v>
      </c>
      <c r="AQ580" t="s">
        <v>72</v>
      </c>
      <c r="AR580" t="s">
        <v>72</v>
      </c>
      <c r="AS580">
        <v>210</v>
      </c>
      <c r="AT580" s="4">
        <v>42402</v>
      </c>
      <c r="AU580" t="s">
        <v>73</v>
      </c>
      <c r="AV580">
        <v>210</v>
      </c>
      <c r="AW580" s="4">
        <v>42402</v>
      </c>
      <c r="BD580">
        <v>0</v>
      </c>
      <c r="BN580" t="s">
        <v>74</v>
      </c>
    </row>
    <row r="581" spans="1:66" hidden="1">
      <c r="A581">
        <v>100164</v>
      </c>
      <c r="B581" s="3" t="s">
        <v>137</v>
      </c>
      <c r="C581" s="1">
        <v>43300101</v>
      </c>
      <c r="D581" t="s">
        <v>67</v>
      </c>
      <c r="H581" t="str">
        <f t="shared" si="56"/>
        <v>00803890151</v>
      </c>
      <c r="I581" t="str">
        <f t="shared" si="56"/>
        <v>00803890151</v>
      </c>
      <c r="K581" t="str">
        <f>""</f>
        <v/>
      </c>
      <c r="M581" t="s">
        <v>68</v>
      </c>
      <c r="N581" t="str">
        <f t="shared" si="54"/>
        <v>FOR</v>
      </c>
      <c r="O581" t="s">
        <v>69</v>
      </c>
      <c r="P581" s="3" t="s">
        <v>75</v>
      </c>
      <c r="Q581">
        <v>2015</v>
      </c>
      <c r="R581" s="2">
        <v>42240</v>
      </c>
      <c r="S581" s="2">
        <v>42241</v>
      </c>
      <c r="T581" s="2">
        <v>42240</v>
      </c>
      <c r="U581" s="2">
        <v>42300</v>
      </c>
      <c r="V581" t="s">
        <v>71</v>
      </c>
      <c r="W581" t="str">
        <f>"           152019338"</f>
        <v xml:space="preserve">           152019338</v>
      </c>
      <c r="X581">
        <v>732</v>
      </c>
      <c r="Y581">
        <v>0</v>
      </c>
      <c r="Z581"/>
      <c r="AB581"/>
      <c r="AC581">
        <v>600</v>
      </c>
      <c r="AD581">
        <v>102</v>
      </c>
      <c r="AE581" s="1">
        <v>61200</v>
      </c>
      <c r="AF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 s="2">
        <v>42746</v>
      </c>
      <c r="AQ581" t="s">
        <v>72</v>
      </c>
      <c r="AR581" t="s">
        <v>72</v>
      </c>
      <c r="AS581">
        <v>210</v>
      </c>
      <c r="AT581" s="4">
        <v>42402</v>
      </c>
      <c r="AU581" t="s">
        <v>73</v>
      </c>
      <c r="AV581">
        <v>210</v>
      </c>
      <c r="AW581" s="4">
        <v>42402</v>
      </c>
      <c r="BD581">
        <v>0</v>
      </c>
      <c r="BN581" t="s">
        <v>74</v>
      </c>
    </row>
    <row r="582" spans="1:66" hidden="1">
      <c r="A582">
        <v>100164</v>
      </c>
      <c r="B582" s="3" t="s">
        <v>137</v>
      </c>
      <c r="C582" s="1">
        <v>43300101</v>
      </c>
      <c r="D582" t="s">
        <v>67</v>
      </c>
      <c r="H582" t="str">
        <f t="shared" si="56"/>
        <v>00803890151</v>
      </c>
      <c r="I582" t="str">
        <f t="shared" si="56"/>
        <v>00803890151</v>
      </c>
      <c r="K582" t="str">
        <f>""</f>
        <v/>
      </c>
      <c r="M582" t="s">
        <v>68</v>
      </c>
      <c r="N582" t="str">
        <f t="shared" si="54"/>
        <v>FOR</v>
      </c>
      <c r="O582" t="s">
        <v>69</v>
      </c>
      <c r="P582" s="3" t="s">
        <v>75</v>
      </c>
      <c r="Q582">
        <v>2015</v>
      </c>
      <c r="R582" s="2">
        <v>42241</v>
      </c>
      <c r="S582" s="2">
        <v>42242</v>
      </c>
      <c r="T582" s="2">
        <v>42241</v>
      </c>
      <c r="U582" s="2">
        <v>42301</v>
      </c>
      <c r="V582" t="s">
        <v>71</v>
      </c>
      <c r="W582" t="str">
        <f>"           152019435"</f>
        <v xml:space="preserve">           152019435</v>
      </c>
      <c r="X582" s="1">
        <v>1464</v>
      </c>
      <c r="Y582">
        <v>0</v>
      </c>
      <c r="Z582"/>
      <c r="AB582"/>
      <c r="AC582" s="1">
        <v>1200</v>
      </c>
      <c r="AD582">
        <v>101</v>
      </c>
      <c r="AE582" s="1">
        <v>121200</v>
      </c>
      <c r="AF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 s="2">
        <v>42746</v>
      </c>
      <c r="AQ582" t="s">
        <v>72</v>
      </c>
      <c r="AR582" t="s">
        <v>72</v>
      </c>
      <c r="AS582">
        <v>210</v>
      </c>
      <c r="AT582" s="4">
        <v>42402</v>
      </c>
      <c r="AU582" t="s">
        <v>73</v>
      </c>
      <c r="AV582">
        <v>210</v>
      </c>
      <c r="AW582" s="4">
        <v>42402</v>
      </c>
      <c r="BD582">
        <v>0</v>
      </c>
      <c r="BN582" t="s">
        <v>74</v>
      </c>
    </row>
    <row r="583" spans="1:66" hidden="1">
      <c r="A583">
        <v>100164</v>
      </c>
      <c r="B583" s="3" t="s">
        <v>137</v>
      </c>
      <c r="C583" s="1">
        <v>43300101</v>
      </c>
      <c r="D583" t="s">
        <v>67</v>
      </c>
      <c r="H583" t="str">
        <f t="shared" si="56"/>
        <v>00803890151</v>
      </c>
      <c r="I583" t="str">
        <f t="shared" si="56"/>
        <v>00803890151</v>
      </c>
      <c r="K583" t="str">
        <f>""</f>
        <v/>
      </c>
      <c r="M583" t="s">
        <v>68</v>
      </c>
      <c r="N583" t="str">
        <f t="shared" si="54"/>
        <v>FOR</v>
      </c>
      <c r="O583" t="s">
        <v>69</v>
      </c>
      <c r="P583" s="3" t="s">
        <v>75</v>
      </c>
      <c r="Q583">
        <v>2015</v>
      </c>
      <c r="R583" s="2">
        <v>42249</v>
      </c>
      <c r="S583" s="2">
        <v>42251</v>
      </c>
      <c r="T583" s="2">
        <v>42249</v>
      </c>
      <c r="U583" s="2">
        <v>42309</v>
      </c>
      <c r="V583" t="s">
        <v>71</v>
      </c>
      <c r="W583" t="str">
        <f>"           152020387"</f>
        <v xml:space="preserve">           152020387</v>
      </c>
      <c r="X583" s="1">
        <v>10143.69</v>
      </c>
      <c r="Y583">
        <v>0</v>
      </c>
      <c r="Z583"/>
      <c r="AB583"/>
      <c r="AC583" s="1">
        <v>8314.5</v>
      </c>
      <c r="AD583">
        <v>107</v>
      </c>
      <c r="AE583" s="1">
        <v>889651.5</v>
      </c>
      <c r="AF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 s="2">
        <v>42746</v>
      </c>
      <c r="AQ583" t="s">
        <v>72</v>
      </c>
      <c r="AR583" t="s">
        <v>72</v>
      </c>
      <c r="AS583">
        <v>400</v>
      </c>
      <c r="AT583" s="4">
        <v>42416</v>
      </c>
      <c r="AU583" t="s">
        <v>73</v>
      </c>
      <c r="AV583">
        <v>400</v>
      </c>
      <c r="AW583" s="4">
        <v>42416</v>
      </c>
      <c r="BD583">
        <v>0</v>
      </c>
      <c r="BN583" t="s">
        <v>74</v>
      </c>
    </row>
    <row r="584" spans="1:66" hidden="1">
      <c r="A584">
        <v>100164</v>
      </c>
      <c r="B584" s="3" t="s">
        <v>137</v>
      </c>
      <c r="C584" s="1">
        <v>43300101</v>
      </c>
      <c r="D584" t="s">
        <v>67</v>
      </c>
      <c r="H584" t="str">
        <f t="shared" si="56"/>
        <v>00803890151</v>
      </c>
      <c r="I584" t="str">
        <f t="shared" si="56"/>
        <v>00803890151</v>
      </c>
      <c r="K584" t="str">
        <f>""</f>
        <v/>
      </c>
      <c r="M584" t="s">
        <v>68</v>
      </c>
      <c r="N584" t="str">
        <f t="shared" si="54"/>
        <v>FOR</v>
      </c>
      <c r="O584" t="s">
        <v>69</v>
      </c>
      <c r="P584" s="3" t="s">
        <v>75</v>
      </c>
      <c r="Q584">
        <v>2015</v>
      </c>
      <c r="R584" s="2">
        <v>42249</v>
      </c>
      <c r="S584" s="2">
        <v>42251</v>
      </c>
      <c r="T584" s="2">
        <v>42249</v>
      </c>
      <c r="U584" s="2">
        <v>42309</v>
      </c>
      <c r="V584" t="s">
        <v>71</v>
      </c>
      <c r="W584" t="str">
        <f>"           152020388"</f>
        <v xml:space="preserve">           152020388</v>
      </c>
      <c r="X584">
        <v>258.64</v>
      </c>
      <c r="Y584">
        <v>0</v>
      </c>
      <c r="Z584"/>
      <c r="AB584"/>
      <c r="AC584">
        <v>212</v>
      </c>
      <c r="AD584">
        <v>143</v>
      </c>
      <c r="AE584" s="1">
        <v>30316</v>
      </c>
      <c r="AF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 s="2">
        <v>42746</v>
      </c>
      <c r="AQ584" t="s">
        <v>72</v>
      </c>
      <c r="AR584" t="s">
        <v>72</v>
      </c>
      <c r="AS584">
        <v>803</v>
      </c>
      <c r="AT584" s="4">
        <v>42452</v>
      </c>
      <c r="AU584" t="s">
        <v>73</v>
      </c>
      <c r="AV584">
        <v>803</v>
      </c>
      <c r="AW584" s="4">
        <v>42452</v>
      </c>
      <c r="BD584">
        <v>0</v>
      </c>
      <c r="BN584" t="s">
        <v>74</v>
      </c>
    </row>
    <row r="585" spans="1:66" hidden="1">
      <c r="A585">
        <v>100164</v>
      </c>
      <c r="B585" s="3" t="s">
        <v>137</v>
      </c>
      <c r="C585" s="1">
        <v>43300101</v>
      </c>
      <c r="D585" t="s">
        <v>67</v>
      </c>
      <c r="H585" t="str">
        <f t="shared" si="56"/>
        <v>00803890151</v>
      </c>
      <c r="I585" t="str">
        <f t="shared" si="56"/>
        <v>00803890151</v>
      </c>
      <c r="K585" t="str">
        <f>""</f>
        <v/>
      </c>
      <c r="M585" t="s">
        <v>68</v>
      </c>
      <c r="N585" t="str">
        <f t="shared" si="54"/>
        <v>FOR</v>
      </c>
      <c r="O585" t="s">
        <v>69</v>
      </c>
      <c r="P585" s="3" t="s">
        <v>75</v>
      </c>
      <c r="Q585">
        <v>2015</v>
      </c>
      <c r="R585" s="2">
        <v>42249</v>
      </c>
      <c r="S585" s="2">
        <v>42251</v>
      </c>
      <c r="T585" s="2">
        <v>42249</v>
      </c>
      <c r="U585" s="2">
        <v>42309</v>
      </c>
      <c r="V585" t="s">
        <v>71</v>
      </c>
      <c r="W585" t="str">
        <f>"           152020389"</f>
        <v xml:space="preserve">           152020389</v>
      </c>
      <c r="X585" s="1">
        <v>4301.2</v>
      </c>
      <c r="Y585">
        <v>0</v>
      </c>
      <c r="Z585"/>
      <c r="AB585"/>
      <c r="AC585" s="1">
        <v>3525.58</v>
      </c>
      <c r="AD585">
        <v>107</v>
      </c>
      <c r="AE585" s="1">
        <v>377237.06</v>
      </c>
      <c r="AF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 s="2">
        <v>42746</v>
      </c>
      <c r="AQ585" t="s">
        <v>72</v>
      </c>
      <c r="AR585" t="s">
        <v>72</v>
      </c>
      <c r="AS585">
        <v>400</v>
      </c>
      <c r="AT585" s="4">
        <v>42416</v>
      </c>
      <c r="AU585" t="s">
        <v>73</v>
      </c>
      <c r="AV585">
        <v>400</v>
      </c>
      <c r="AW585" s="4">
        <v>42416</v>
      </c>
      <c r="BD585">
        <v>0</v>
      </c>
      <c r="BN585" t="s">
        <v>74</v>
      </c>
    </row>
    <row r="586" spans="1:66" hidden="1">
      <c r="A586">
        <v>100164</v>
      </c>
      <c r="B586" s="3" t="s">
        <v>137</v>
      </c>
      <c r="C586" s="1">
        <v>43300101</v>
      </c>
      <c r="D586" t="s">
        <v>67</v>
      </c>
      <c r="H586" t="str">
        <f t="shared" si="56"/>
        <v>00803890151</v>
      </c>
      <c r="I586" t="str">
        <f t="shared" si="56"/>
        <v>00803890151</v>
      </c>
      <c r="K586" t="str">
        <f>""</f>
        <v/>
      </c>
      <c r="M586" t="s">
        <v>68</v>
      </c>
      <c r="N586" t="str">
        <f t="shared" si="54"/>
        <v>FOR</v>
      </c>
      <c r="O586" t="s">
        <v>69</v>
      </c>
      <c r="P586" s="3" t="s">
        <v>75</v>
      </c>
      <c r="Q586">
        <v>2015</v>
      </c>
      <c r="R586" s="2">
        <v>42254</v>
      </c>
      <c r="S586" s="2">
        <v>42255</v>
      </c>
      <c r="T586" s="2">
        <v>42254</v>
      </c>
      <c r="U586" s="2">
        <v>42314</v>
      </c>
      <c r="V586" t="s">
        <v>71</v>
      </c>
      <c r="W586" t="str">
        <f>"           152020842"</f>
        <v xml:space="preserve">           152020842</v>
      </c>
      <c r="X586">
        <v>292.8</v>
      </c>
      <c r="Y586">
        <v>0</v>
      </c>
      <c r="Z586"/>
      <c r="AB586"/>
      <c r="AC586">
        <v>240</v>
      </c>
      <c r="AD586">
        <v>138</v>
      </c>
      <c r="AE586" s="1">
        <v>33120</v>
      </c>
      <c r="AF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 s="2">
        <v>42746</v>
      </c>
      <c r="AQ586" t="s">
        <v>72</v>
      </c>
      <c r="AR586" t="s">
        <v>72</v>
      </c>
      <c r="AS586">
        <v>803</v>
      </c>
      <c r="AT586" s="4">
        <v>42452</v>
      </c>
      <c r="AU586" t="s">
        <v>73</v>
      </c>
      <c r="AV586">
        <v>803</v>
      </c>
      <c r="AW586" s="4">
        <v>42452</v>
      </c>
      <c r="BD586">
        <v>0</v>
      </c>
      <c r="BN586" t="s">
        <v>74</v>
      </c>
    </row>
    <row r="587" spans="1:66" hidden="1">
      <c r="A587">
        <v>100164</v>
      </c>
      <c r="B587" s="3" t="s">
        <v>137</v>
      </c>
      <c r="C587" s="1">
        <v>43300101</v>
      </c>
      <c r="D587" t="s">
        <v>67</v>
      </c>
      <c r="H587" t="str">
        <f t="shared" si="56"/>
        <v>00803890151</v>
      </c>
      <c r="I587" t="str">
        <f t="shared" si="56"/>
        <v>00803890151</v>
      </c>
      <c r="K587" t="str">
        <f>""</f>
        <v/>
      </c>
      <c r="M587" t="s">
        <v>68</v>
      </c>
      <c r="N587" t="str">
        <f t="shared" si="54"/>
        <v>FOR</v>
      </c>
      <c r="O587" t="s">
        <v>69</v>
      </c>
      <c r="P587" s="3" t="s">
        <v>75</v>
      </c>
      <c r="Q587">
        <v>2015</v>
      </c>
      <c r="R587" s="2">
        <v>42254</v>
      </c>
      <c r="S587" s="2">
        <v>42255</v>
      </c>
      <c r="T587" s="2">
        <v>42254</v>
      </c>
      <c r="U587" s="2">
        <v>42314</v>
      </c>
      <c r="V587" t="s">
        <v>71</v>
      </c>
      <c r="W587" t="str">
        <f>"           152020843"</f>
        <v xml:space="preserve">           152020843</v>
      </c>
      <c r="X587">
        <v>732</v>
      </c>
      <c r="Y587">
        <v>0</v>
      </c>
      <c r="Z587"/>
      <c r="AB587"/>
      <c r="AC587">
        <v>600</v>
      </c>
      <c r="AD587">
        <v>138</v>
      </c>
      <c r="AE587" s="1">
        <v>82800</v>
      </c>
      <c r="AF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 s="2">
        <v>42746</v>
      </c>
      <c r="AQ587" t="s">
        <v>72</v>
      </c>
      <c r="AR587" t="s">
        <v>72</v>
      </c>
      <c r="AS587">
        <v>803</v>
      </c>
      <c r="AT587" s="4">
        <v>42452</v>
      </c>
      <c r="AU587" t="s">
        <v>73</v>
      </c>
      <c r="AV587">
        <v>803</v>
      </c>
      <c r="AW587" s="4">
        <v>42452</v>
      </c>
      <c r="BD587">
        <v>0</v>
      </c>
      <c r="BN587" t="s">
        <v>74</v>
      </c>
    </row>
    <row r="588" spans="1:66" hidden="1">
      <c r="A588">
        <v>100164</v>
      </c>
      <c r="B588" s="3" t="s">
        <v>137</v>
      </c>
      <c r="C588" s="1">
        <v>43300101</v>
      </c>
      <c r="D588" t="s">
        <v>67</v>
      </c>
      <c r="H588" t="str">
        <f t="shared" si="56"/>
        <v>00803890151</v>
      </c>
      <c r="I588" t="str">
        <f t="shared" si="56"/>
        <v>00803890151</v>
      </c>
      <c r="K588" t="str">
        <f>""</f>
        <v/>
      </c>
      <c r="M588" t="s">
        <v>68</v>
      </c>
      <c r="N588" t="str">
        <f t="shared" si="54"/>
        <v>FOR</v>
      </c>
      <c r="O588" t="s">
        <v>69</v>
      </c>
      <c r="P588" s="3" t="s">
        <v>75</v>
      </c>
      <c r="Q588">
        <v>2015</v>
      </c>
      <c r="R588" s="2">
        <v>42256</v>
      </c>
      <c r="S588" s="2">
        <v>42258</v>
      </c>
      <c r="T588" s="2">
        <v>42256</v>
      </c>
      <c r="U588" s="2">
        <v>42316</v>
      </c>
      <c r="V588" t="s">
        <v>71</v>
      </c>
      <c r="W588" t="str">
        <f>"           152021149"</f>
        <v xml:space="preserve">           152021149</v>
      </c>
      <c r="X588">
        <v>322.08</v>
      </c>
      <c r="Y588">
        <v>0</v>
      </c>
      <c r="Z588"/>
      <c r="AB588"/>
      <c r="AC588">
        <v>264</v>
      </c>
      <c r="AD588">
        <v>136</v>
      </c>
      <c r="AE588" s="1">
        <v>35904</v>
      </c>
      <c r="AF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 s="2">
        <v>42746</v>
      </c>
      <c r="AQ588" t="s">
        <v>72</v>
      </c>
      <c r="AR588" t="s">
        <v>72</v>
      </c>
      <c r="AS588">
        <v>803</v>
      </c>
      <c r="AT588" s="4">
        <v>42452</v>
      </c>
      <c r="AU588" t="s">
        <v>73</v>
      </c>
      <c r="AV588">
        <v>803</v>
      </c>
      <c r="AW588" s="4">
        <v>42452</v>
      </c>
      <c r="BD588">
        <v>0</v>
      </c>
      <c r="BN588" t="s">
        <v>74</v>
      </c>
    </row>
    <row r="589" spans="1:66" hidden="1">
      <c r="A589">
        <v>100164</v>
      </c>
      <c r="B589" s="3" t="s">
        <v>137</v>
      </c>
      <c r="C589" s="1">
        <v>43300101</v>
      </c>
      <c r="D589" t="s">
        <v>67</v>
      </c>
      <c r="H589" t="str">
        <f t="shared" si="56"/>
        <v>00803890151</v>
      </c>
      <c r="I589" t="str">
        <f t="shared" si="56"/>
        <v>00803890151</v>
      </c>
      <c r="K589" t="str">
        <f>""</f>
        <v/>
      </c>
      <c r="M589" t="s">
        <v>68</v>
      </c>
      <c r="N589" t="str">
        <f t="shared" si="54"/>
        <v>FOR</v>
      </c>
      <c r="O589" t="s">
        <v>69</v>
      </c>
      <c r="P589" s="3" t="s">
        <v>75</v>
      </c>
      <c r="Q589">
        <v>2015</v>
      </c>
      <c r="R589" s="2">
        <v>42268</v>
      </c>
      <c r="S589" s="2">
        <v>42269</v>
      </c>
      <c r="T589" s="2">
        <v>42268</v>
      </c>
      <c r="U589" s="2">
        <v>42328</v>
      </c>
      <c r="V589" t="s">
        <v>71</v>
      </c>
      <c r="W589" t="str">
        <f>"           152022491"</f>
        <v xml:space="preserve">           152022491</v>
      </c>
      <c r="X589" s="1">
        <v>2408.7199999999998</v>
      </c>
      <c r="Y589">
        <v>0</v>
      </c>
      <c r="Z589"/>
      <c r="AB589"/>
      <c r="AC589" s="1">
        <v>1974.36</v>
      </c>
      <c r="AD589">
        <v>88</v>
      </c>
      <c r="AE589" s="1">
        <v>173743.68</v>
      </c>
      <c r="AF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 s="2">
        <v>42746</v>
      </c>
      <c r="AQ589" t="s">
        <v>72</v>
      </c>
      <c r="AR589" t="s">
        <v>72</v>
      </c>
      <c r="AS589">
        <v>400</v>
      </c>
      <c r="AT589" s="4">
        <v>42416</v>
      </c>
      <c r="AU589" t="s">
        <v>73</v>
      </c>
      <c r="AV589">
        <v>400</v>
      </c>
      <c r="AW589" s="4">
        <v>42416</v>
      </c>
      <c r="BD589">
        <v>0</v>
      </c>
      <c r="BN589" t="s">
        <v>74</v>
      </c>
    </row>
    <row r="590" spans="1:66" hidden="1">
      <c r="A590">
        <v>100164</v>
      </c>
      <c r="B590" s="3" t="s">
        <v>137</v>
      </c>
      <c r="C590" s="1">
        <v>43300101</v>
      </c>
      <c r="D590" t="s">
        <v>67</v>
      </c>
      <c r="H590" t="str">
        <f t="shared" si="56"/>
        <v>00803890151</v>
      </c>
      <c r="I590" t="str">
        <f t="shared" si="56"/>
        <v>00803890151</v>
      </c>
      <c r="K590" t="str">
        <f>""</f>
        <v/>
      </c>
      <c r="M590" t="s">
        <v>68</v>
      </c>
      <c r="N590" t="str">
        <f t="shared" si="54"/>
        <v>FOR</v>
      </c>
      <c r="O590" t="s">
        <v>69</v>
      </c>
      <c r="P590" s="3" t="s">
        <v>75</v>
      </c>
      <c r="Q590">
        <v>2015</v>
      </c>
      <c r="R590" s="2">
        <v>42269</v>
      </c>
      <c r="S590" s="2">
        <v>42269</v>
      </c>
      <c r="T590" s="2">
        <v>42269</v>
      </c>
      <c r="U590" s="2">
        <v>42329</v>
      </c>
      <c r="V590" t="s">
        <v>71</v>
      </c>
      <c r="W590" t="str">
        <f>"           152022660"</f>
        <v xml:space="preserve">           152022660</v>
      </c>
      <c r="X590" s="1">
        <v>6374.5</v>
      </c>
      <c r="Y590">
        <v>0</v>
      </c>
      <c r="Z590"/>
      <c r="AB590"/>
      <c r="AC590" s="1">
        <v>5225</v>
      </c>
      <c r="AD590">
        <v>87</v>
      </c>
      <c r="AE590" s="1">
        <v>454575</v>
      </c>
      <c r="AF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 s="2">
        <v>42746</v>
      </c>
      <c r="AQ590" t="s">
        <v>72</v>
      </c>
      <c r="AR590" t="s">
        <v>72</v>
      </c>
      <c r="AS590">
        <v>400</v>
      </c>
      <c r="AT590" s="4">
        <v>42416</v>
      </c>
      <c r="AU590" t="s">
        <v>73</v>
      </c>
      <c r="AV590">
        <v>400</v>
      </c>
      <c r="AW590" s="4">
        <v>42416</v>
      </c>
      <c r="BD590">
        <v>0</v>
      </c>
      <c r="BN590" t="s">
        <v>74</v>
      </c>
    </row>
    <row r="591" spans="1:66" hidden="1">
      <c r="A591">
        <v>100164</v>
      </c>
      <c r="B591" s="3" t="s">
        <v>137</v>
      </c>
      <c r="C591" s="1">
        <v>43300101</v>
      </c>
      <c r="D591" t="s">
        <v>67</v>
      </c>
      <c r="H591" t="str">
        <f t="shared" si="56"/>
        <v>00803890151</v>
      </c>
      <c r="I591" t="str">
        <f t="shared" si="56"/>
        <v>00803890151</v>
      </c>
      <c r="K591" t="str">
        <f>""</f>
        <v/>
      </c>
      <c r="M591" t="s">
        <v>68</v>
      </c>
      <c r="N591" t="str">
        <f t="shared" si="54"/>
        <v>FOR</v>
      </c>
      <c r="O591" t="s">
        <v>69</v>
      </c>
      <c r="P591" s="3" t="s">
        <v>75</v>
      </c>
      <c r="Q591">
        <v>2015</v>
      </c>
      <c r="R591" s="2">
        <v>42269</v>
      </c>
      <c r="S591" s="2">
        <v>42269</v>
      </c>
      <c r="T591" s="2">
        <v>42269</v>
      </c>
      <c r="U591" s="2">
        <v>42329</v>
      </c>
      <c r="V591" t="s">
        <v>71</v>
      </c>
      <c r="W591" t="str">
        <f>"           152022661"</f>
        <v xml:space="preserve">           152022661</v>
      </c>
      <c r="X591">
        <v>671</v>
      </c>
      <c r="Y591">
        <v>0</v>
      </c>
      <c r="Z591"/>
      <c r="AB591"/>
      <c r="AC591">
        <v>550</v>
      </c>
      <c r="AD591">
        <v>123</v>
      </c>
      <c r="AE591" s="1">
        <v>67650</v>
      </c>
      <c r="AF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 s="2">
        <v>42746</v>
      </c>
      <c r="AQ591" t="s">
        <v>72</v>
      </c>
      <c r="AR591" t="s">
        <v>72</v>
      </c>
      <c r="AS591">
        <v>803</v>
      </c>
      <c r="AT591" s="4">
        <v>42452</v>
      </c>
      <c r="AU591" t="s">
        <v>73</v>
      </c>
      <c r="AV591">
        <v>803</v>
      </c>
      <c r="AW591" s="4">
        <v>42452</v>
      </c>
      <c r="BD591">
        <v>0</v>
      </c>
      <c r="BN591" t="s">
        <v>74</v>
      </c>
    </row>
    <row r="592" spans="1:66" hidden="1">
      <c r="A592">
        <v>100164</v>
      </c>
      <c r="B592" s="3" t="s">
        <v>137</v>
      </c>
      <c r="C592" s="1">
        <v>43300101</v>
      </c>
      <c r="D592" t="s">
        <v>67</v>
      </c>
      <c r="H592" t="str">
        <f t="shared" si="56"/>
        <v>00803890151</v>
      </c>
      <c r="I592" t="str">
        <f t="shared" si="56"/>
        <v>00803890151</v>
      </c>
      <c r="K592" t="str">
        <f>""</f>
        <v/>
      </c>
      <c r="M592" t="s">
        <v>68</v>
      </c>
      <c r="N592" t="str">
        <f t="shared" si="54"/>
        <v>FOR</v>
      </c>
      <c r="O592" t="s">
        <v>69</v>
      </c>
      <c r="P592" s="3" t="s">
        <v>75</v>
      </c>
      <c r="Q592">
        <v>2015</v>
      </c>
      <c r="R592" s="2">
        <v>42271</v>
      </c>
      <c r="S592" s="2">
        <v>42272</v>
      </c>
      <c r="T592" s="2">
        <v>42271</v>
      </c>
      <c r="U592" s="2">
        <v>42331</v>
      </c>
      <c r="V592" t="s">
        <v>71</v>
      </c>
      <c r="W592" t="str">
        <f>"           152023055"</f>
        <v xml:space="preserve">           152023055</v>
      </c>
      <c r="X592">
        <v>335.5</v>
      </c>
      <c r="Y592">
        <v>0</v>
      </c>
      <c r="Z592"/>
      <c r="AB592"/>
      <c r="AC592">
        <v>275</v>
      </c>
      <c r="AD592">
        <v>121</v>
      </c>
      <c r="AE592" s="1">
        <v>33275</v>
      </c>
      <c r="AF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 s="2">
        <v>42746</v>
      </c>
      <c r="AQ592" t="s">
        <v>72</v>
      </c>
      <c r="AR592" t="s">
        <v>72</v>
      </c>
      <c r="AS592">
        <v>803</v>
      </c>
      <c r="AT592" s="4">
        <v>42452</v>
      </c>
      <c r="AU592" t="s">
        <v>73</v>
      </c>
      <c r="AV592">
        <v>803</v>
      </c>
      <c r="AW592" s="4">
        <v>42452</v>
      </c>
      <c r="BD592">
        <v>0</v>
      </c>
      <c r="BN592" t="s">
        <v>74</v>
      </c>
    </row>
    <row r="593" spans="1:66" hidden="1">
      <c r="A593">
        <v>100164</v>
      </c>
      <c r="B593" s="3" t="s">
        <v>137</v>
      </c>
      <c r="C593" s="1">
        <v>43300101</v>
      </c>
      <c r="D593" t="s">
        <v>67</v>
      </c>
      <c r="H593" t="str">
        <f t="shared" si="56"/>
        <v>00803890151</v>
      </c>
      <c r="I593" t="str">
        <f t="shared" si="56"/>
        <v>00803890151</v>
      </c>
      <c r="K593" t="str">
        <f>""</f>
        <v/>
      </c>
      <c r="M593" t="s">
        <v>68</v>
      </c>
      <c r="N593" t="str">
        <f t="shared" si="54"/>
        <v>FOR</v>
      </c>
      <c r="O593" t="s">
        <v>69</v>
      </c>
      <c r="P593" s="3" t="s">
        <v>75</v>
      </c>
      <c r="Q593">
        <v>2015</v>
      </c>
      <c r="R593" s="2">
        <v>42272</v>
      </c>
      <c r="S593" s="2">
        <v>42275</v>
      </c>
      <c r="T593" s="2">
        <v>42272</v>
      </c>
      <c r="U593" s="2">
        <v>42332</v>
      </c>
      <c r="V593" t="s">
        <v>71</v>
      </c>
      <c r="W593" t="str">
        <f>"           152023248"</f>
        <v xml:space="preserve">           152023248</v>
      </c>
      <c r="X593" s="1">
        <v>4270</v>
      </c>
      <c r="Y593">
        <v>0</v>
      </c>
      <c r="Z593"/>
      <c r="AB593"/>
      <c r="AC593" s="1">
        <v>3500</v>
      </c>
      <c r="AD593">
        <v>247</v>
      </c>
      <c r="AE593" s="1">
        <v>864500</v>
      </c>
      <c r="AF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 s="2">
        <v>42746</v>
      </c>
      <c r="AQ593" t="s">
        <v>72</v>
      </c>
      <c r="AR593" t="s">
        <v>72</v>
      </c>
      <c r="AS593">
        <v>2039</v>
      </c>
      <c r="AT593" s="4">
        <v>42579</v>
      </c>
      <c r="AU593" t="s">
        <v>73</v>
      </c>
      <c r="AV593">
        <v>2039</v>
      </c>
      <c r="AW593" s="4">
        <v>42579</v>
      </c>
      <c r="BD593">
        <v>0</v>
      </c>
      <c r="BN593" t="s">
        <v>74</v>
      </c>
    </row>
    <row r="594" spans="1:66" hidden="1">
      <c r="A594">
        <v>100164</v>
      </c>
      <c r="B594" s="3" t="s">
        <v>137</v>
      </c>
      <c r="C594" s="1">
        <v>43300101</v>
      </c>
      <c r="D594" t="s">
        <v>67</v>
      </c>
      <c r="H594" t="str">
        <f t="shared" si="56"/>
        <v>00803890151</v>
      </c>
      <c r="I594" t="str">
        <f t="shared" si="56"/>
        <v>00803890151</v>
      </c>
      <c r="K594" t="str">
        <f>""</f>
        <v/>
      </c>
      <c r="M594" t="s">
        <v>68</v>
      </c>
      <c r="N594" t="str">
        <f t="shared" si="54"/>
        <v>FOR</v>
      </c>
      <c r="O594" t="s">
        <v>69</v>
      </c>
      <c r="P594" s="3" t="s">
        <v>75</v>
      </c>
      <c r="Q594">
        <v>2015</v>
      </c>
      <c r="R594" s="2">
        <v>42272</v>
      </c>
      <c r="S594" s="2">
        <v>42275</v>
      </c>
      <c r="T594" s="2">
        <v>42272</v>
      </c>
      <c r="U594" s="2">
        <v>42332</v>
      </c>
      <c r="V594" t="s">
        <v>71</v>
      </c>
      <c r="W594" t="str">
        <f>"           152023249"</f>
        <v xml:space="preserve">           152023249</v>
      </c>
      <c r="X594">
        <v>152.5</v>
      </c>
      <c r="Y594">
        <v>0</v>
      </c>
      <c r="Z594"/>
      <c r="AB594"/>
      <c r="AC594">
        <v>125</v>
      </c>
      <c r="AD594">
        <v>247</v>
      </c>
      <c r="AE594" s="1">
        <v>30875</v>
      </c>
      <c r="AF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 s="2">
        <v>42746</v>
      </c>
      <c r="AQ594" t="s">
        <v>72</v>
      </c>
      <c r="AR594" t="s">
        <v>72</v>
      </c>
      <c r="AS594">
        <v>2039</v>
      </c>
      <c r="AT594" s="4">
        <v>42579</v>
      </c>
      <c r="AU594" t="s">
        <v>73</v>
      </c>
      <c r="AV594">
        <v>2039</v>
      </c>
      <c r="AW594" s="4">
        <v>42579</v>
      </c>
      <c r="BD594">
        <v>0</v>
      </c>
      <c r="BN594" t="s">
        <v>74</v>
      </c>
    </row>
    <row r="595" spans="1:66" hidden="1">
      <c r="A595">
        <v>100164</v>
      </c>
      <c r="B595" s="3" t="s">
        <v>137</v>
      </c>
      <c r="C595" s="1">
        <v>43300101</v>
      </c>
      <c r="D595" t="s">
        <v>67</v>
      </c>
      <c r="H595" t="str">
        <f t="shared" ref="H595:I614" si="57">"00803890151"</f>
        <v>00803890151</v>
      </c>
      <c r="I595" t="str">
        <f t="shared" si="57"/>
        <v>00803890151</v>
      </c>
      <c r="K595" t="str">
        <f>""</f>
        <v/>
      </c>
      <c r="M595" t="s">
        <v>68</v>
      </c>
      <c r="N595" t="str">
        <f t="shared" si="54"/>
        <v>FOR</v>
      </c>
      <c r="O595" t="s">
        <v>69</v>
      </c>
      <c r="P595" s="3" t="s">
        <v>75</v>
      </c>
      <c r="Q595">
        <v>2015</v>
      </c>
      <c r="R595" s="2">
        <v>42276</v>
      </c>
      <c r="S595" s="2">
        <v>42277</v>
      </c>
      <c r="T595" s="2">
        <v>42276</v>
      </c>
      <c r="U595" s="2">
        <v>42336</v>
      </c>
      <c r="V595" t="s">
        <v>71</v>
      </c>
      <c r="W595" t="str">
        <f>"           152023927"</f>
        <v xml:space="preserve">           152023927</v>
      </c>
      <c r="X595">
        <v>322.08</v>
      </c>
      <c r="Y595">
        <v>0</v>
      </c>
      <c r="Z595"/>
      <c r="AB595"/>
      <c r="AC595">
        <v>264</v>
      </c>
      <c r="AD595">
        <v>116</v>
      </c>
      <c r="AE595" s="1">
        <v>30624</v>
      </c>
      <c r="AF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 s="2">
        <v>42746</v>
      </c>
      <c r="AQ595" t="s">
        <v>72</v>
      </c>
      <c r="AR595" t="s">
        <v>72</v>
      </c>
      <c r="AS595">
        <v>803</v>
      </c>
      <c r="AT595" s="4">
        <v>42452</v>
      </c>
      <c r="AU595" t="s">
        <v>73</v>
      </c>
      <c r="AV595">
        <v>803</v>
      </c>
      <c r="AW595" s="4">
        <v>42452</v>
      </c>
      <c r="BD595">
        <v>0</v>
      </c>
      <c r="BN595" t="s">
        <v>74</v>
      </c>
    </row>
    <row r="596" spans="1:66" hidden="1">
      <c r="A596">
        <v>100164</v>
      </c>
      <c r="B596" s="3" t="s">
        <v>137</v>
      </c>
      <c r="C596" s="1">
        <v>43300101</v>
      </c>
      <c r="D596" t="s">
        <v>67</v>
      </c>
      <c r="H596" t="str">
        <f t="shared" si="57"/>
        <v>00803890151</v>
      </c>
      <c r="I596" t="str">
        <f t="shared" si="57"/>
        <v>00803890151</v>
      </c>
      <c r="K596" t="str">
        <f>""</f>
        <v/>
      </c>
      <c r="M596" t="s">
        <v>68</v>
      </c>
      <c r="N596" t="str">
        <f t="shared" si="54"/>
        <v>FOR</v>
      </c>
      <c r="O596" t="s">
        <v>69</v>
      </c>
      <c r="P596" s="3" t="s">
        <v>75</v>
      </c>
      <c r="Q596">
        <v>2015</v>
      </c>
      <c r="R596" s="2">
        <v>42283</v>
      </c>
      <c r="S596" s="2">
        <v>42284</v>
      </c>
      <c r="T596" s="2">
        <v>42283</v>
      </c>
      <c r="U596" s="2">
        <v>42343</v>
      </c>
      <c r="V596" t="s">
        <v>71</v>
      </c>
      <c r="W596" t="str">
        <f>"           152024829"</f>
        <v xml:space="preserve">           152024829</v>
      </c>
      <c r="X596" s="1">
        <v>4026</v>
      </c>
      <c r="Y596">
        <v>0</v>
      </c>
      <c r="Z596"/>
      <c r="AB596"/>
      <c r="AC596" s="1">
        <v>3300</v>
      </c>
      <c r="AD596">
        <v>236</v>
      </c>
      <c r="AE596" s="1">
        <v>778800</v>
      </c>
      <c r="AF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 s="2">
        <v>42746</v>
      </c>
      <c r="AQ596" t="s">
        <v>72</v>
      </c>
      <c r="AR596" t="s">
        <v>72</v>
      </c>
      <c r="AS596">
        <v>2039</v>
      </c>
      <c r="AT596" s="4">
        <v>42579</v>
      </c>
      <c r="AU596" t="s">
        <v>73</v>
      </c>
      <c r="AV596">
        <v>2039</v>
      </c>
      <c r="AW596" s="4">
        <v>42579</v>
      </c>
      <c r="BD596">
        <v>0</v>
      </c>
      <c r="BN596" t="s">
        <v>74</v>
      </c>
    </row>
    <row r="597" spans="1:66" hidden="1">
      <c r="A597">
        <v>100164</v>
      </c>
      <c r="B597" s="3" t="s">
        <v>137</v>
      </c>
      <c r="C597" s="1">
        <v>43300101</v>
      </c>
      <c r="D597" t="s">
        <v>67</v>
      </c>
      <c r="H597" t="str">
        <f t="shared" si="57"/>
        <v>00803890151</v>
      </c>
      <c r="I597" t="str">
        <f t="shared" si="57"/>
        <v>00803890151</v>
      </c>
      <c r="K597" t="str">
        <f>""</f>
        <v/>
      </c>
      <c r="M597" t="s">
        <v>68</v>
      </c>
      <c r="N597" t="str">
        <f t="shared" si="54"/>
        <v>FOR</v>
      </c>
      <c r="O597" t="s">
        <v>69</v>
      </c>
      <c r="P597" s="3" t="s">
        <v>75</v>
      </c>
      <c r="Q597">
        <v>2015</v>
      </c>
      <c r="R597" s="2">
        <v>42306</v>
      </c>
      <c r="S597" s="2">
        <v>42307</v>
      </c>
      <c r="T597" s="2">
        <v>42306</v>
      </c>
      <c r="U597" s="2">
        <v>42366</v>
      </c>
      <c r="V597" t="s">
        <v>71</v>
      </c>
      <c r="W597" t="str">
        <f>"           152027672"</f>
        <v xml:space="preserve">           152027672</v>
      </c>
      <c r="X597">
        <v>12.69</v>
      </c>
      <c r="Y597">
        <v>0</v>
      </c>
      <c r="Z597"/>
      <c r="AB597"/>
      <c r="AC597">
        <v>10.4</v>
      </c>
      <c r="AD597">
        <v>213</v>
      </c>
      <c r="AE597" s="1">
        <v>2215.1999999999998</v>
      </c>
      <c r="AF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 s="2">
        <v>42746</v>
      </c>
      <c r="AQ597" t="s">
        <v>72</v>
      </c>
      <c r="AR597" t="s">
        <v>72</v>
      </c>
      <c r="AS597">
        <v>2039</v>
      </c>
      <c r="AT597" s="4">
        <v>42579</v>
      </c>
      <c r="AU597" t="s">
        <v>73</v>
      </c>
      <c r="AV597">
        <v>2039</v>
      </c>
      <c r="AW597" s="4">
        <v>42579</v>
      </c>
      <c r="BD597">
        <v>0</v>
      </c>
      <c r="BN597" t="s">
        <v>74</v>
      </c>
    </row>
    <row r="598" spans="1:66" hidden="1">
      <c r="A598">
        <v>100164</v>
      </c>
      <c r="B598" s="3" t="s">
        <v>137</v>
      </c>
      <c r="C598" s="1">
        <v>43300101</v>
      </c>
      <c r="D598" t="s">
        <v>67</v>
      </c>
      <c r="H598" t="str">
        <f t="shared" si="57"/>
        <v>00803890151</v>
      </c>
      <c r="I598" t="str">
        <f t="shared" si="57"/>
        <v>00803890151</v>
      </c>
      <c r="K598" t="str">
        <f>""</f>
        <v/>
      </c>
      <c r="M598" t="s">
        <v>68</v>
      </c>
      <c r="N598" t="str">
        <f t="shared" si="54"/>
        <v>FOR</v>
      </c>
      <c r="O598" t="s">
        <v>69</v>
      </c>
      <c r="P598" s="3" t="s">
        <v>75</v>
      </c>
      <c r="Q598">
        <v>2015</v>
      </c>
      <c r="R598" s="2">
        <v>42306</v>
      </c>
      <c r="S598" s="2">
        <v>42307</v>
      </c>
      <c r="T598" s="2">
        <v>42306</v>
      </c>
      <c r="U598" s="2">
        <v>42366</v>
      </c>
      <c r="V598" t="s">
        <v>71</v>
      </c>
      <c r="W598" t="str">
        <f>"           152027673"</f>
        <v xml:space="preserve">           152027673</v>
      </c>
      <c r="X598" s="1">
        <v>12851.58</v>
      </c>
      <c r="Y598">
        <v>0</v>
      </c>
      <c r="Z598"/>
      <c r="AB598"/>
      <c r="AC598" s="1">
        <v>10534.08</v>
      </c>
      <c r="AD598">
        <v>213</v>
      </c>
      <c r="AE598" s="1">
        <v>2243759.04</v>
      </c>
      <c r="AF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 s="2">
        <v>42746</v>
      </c>
      <c r="AQ598" t="s">
        <v>72</v>
      </c>
      <c r="AR598" t="s">
        <v>72</v>
      </c>
      <c r="AS598">
        <v>2039</v>
      </c>
      <c r="AT598" s="4">
        <v>42579</v>
      </c>
      <c r="AU598" t="s">
        <v>73</v>
      </c>
      <c r="AV598">
        <v>2039</v>
      </c>
      <c r="AW598" s="4">
        <v>42579</v>
      </c>
      <c r="BD598">
        <v>0</v>
      </c>
      <c r="BN598" t="s">
        <v>74</v>
      </c>
    </row>
    <row r="599" spans="1:66" hidden="1">
      <c r="A599">
        <v>100164</v>
      </c>
      <c r="B599" s="3" t="s">
        <v>137</v>
      </c>
      <c r="C599" s="1">
        <v>43300101</v>
      </c>
      <c r="D599" t="s">
        <v>67</v>
      </c>
      <c r="H599" t="str">
        <f t="shared" si="57"/>
        <v>00803890151</v>
      </c>
      <c r="I599" t="str">
        <f t="shared" si="57"/>
        <v>00803890151</v>
      </c>
      <c r="K599" t="str">
        <f>""</f>
        <v/>
      </c>
      <c r="M599" t="s">
        <v>68</v>
      </c>
      <c r="N599" t="str">
        <f t="shared" si="54"/>
        <v>FOR</v>
      </c>
      <c r="O599" t="s">
        <v>69</v>
      </c>
      <c r="P599" s="3" t="s">
        <v>75</v>
      </c>
      <c r="Q599">
        <v>2015</v>
      </c>
      <c r="R599" s="2">
        <v>42307</v>
      </c>
      <c r="S599" s="2">
        <v>42310</v>
      </c>
      <c r="T599" s="2">
        <v>42307</v>
      </c>
      <c r="U599" s="2">
        <v>42367</v>
      </c>
      <c r="V599" t="s">
        <v>71</v>
      </c>
      <c r="W599" t="str">
        <f>"           152027891"</f>
        <v xml:space="preserve">           152027891</v>
      </c>
      <c r="X599">
        <v>6.34</v>
      </c>
      <c r="Y599">
        <v>0</v>
      </c>
      <c r="Z599"/>
      <c r="AB599"/>
      <c r="AC599">
        <v>5.2</v>
      </c>
      <c r="AD599">
        <v>212</v>
      </c>
      <c r="AE599" s="1">
        <v>1102.4000000000001</v>
      </c>
      <c r="AF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 s="2">
        <v>42746</v>
      </c>
      <c r="AQ599" t="s">
        <v>72</v>
      </c>
      <c r="AR599" t="s">
        <v>72</v>
      </c>
      <c r="AS599">
        <v>2039</v>
      </c>
      <c r="AT599" s="4">
        <v>42579</v>
      </c>
      <c r="AU599" t="s">
        <v>73</v>
      </c>
      <c r="AV599">
        <v>2039</v>
      </c>
      <c r="AW599" s="4">
        <v>42579</v>
      </c>
      <c r="BD599">
        <v>0</v>
      </c>
      <c r="BN599" t="s">
        <v>74</v>
      </c>
    </row>
    <row r="600" spans="1:66" hidden="1">
      <c r="A600">
        <v>100164</v>
      </c>
      <c r="B600" s="3" t="s">
        <v>137</v>
      </c>
      <c r="C600" s="1">
        <v>43300101</v>
      </c>
      <c r="D600" t="s">
        <v>67</v>
      </c>
      <c r="H600" t="str">
        <f t="shared" si="57"/>
        <v>00803890151</v>
      </c>
      <c r="I600" t="str">
        <f t="shared" si="57"/>
        <v>00803890151</v>
      </c>
      <c r="K600" t="str">
        <f>""</f>
        <v/>
      </c>
      <c r="M600" t="s">
        <v>68</v>
      </c>
      <c r="N600" t="str">
        <f t="shared" si="54"/>
        <v>FOR</v>
      </c>
      <c r="O600" t="s">
        <v>69</v>
      </c>
      <c r="P600" s="3" t="s">
        <v>75</v>
      </c>
      <c r="Q600">
        <v>2015</v>
      </c>
      <c r="R600" s="2">
        <v>42317</v>
      </c>
      <c r="S600" s="2">
        <v>42318</v>
      </c>
      <c r="T600" s="2">
        <v>42317</v>
      </c>
      <c r="U600" s="2">
        <v>42377</v>
      </c>
      <c r="V600" t="s">
        <v>71</v>
      </c>
      <c r="W600" t="str">
        <f>"           152028892"</f>
        <v xml:space="preserve">           152028892</v>
      </c>
      <c r="X600">
        <v>536.79999999999995</v>
      </c>
      <c r="Y600">
        <v>0</v>
      </c>
      <c r="Z600"/>
      <c r="AB600"/>
      <c r="AC600">
        <v>440</v>
      </c>
      <c r="AD600">
        <v>202</v>
      </c>
      <c r="AE600" s="1">
        <v>88880</v>
      </c>
      <c r="AF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 s="2">
        <v>42746</v>
      </c>
      <c r="AQ600" t="s">
        <v>72</v>
      </c>
      <c r="AR600" t="s">
        <v>72</v>
      </c>
      <c r="AS600">
        <v>2039</v>
      </c>
      <c r="AT600" s="4">
        <v>42579</v>
      </c>
      <c r="AU600" t="s">
        <v>73</v>
      </c>
      <c r="AV600">
        <v>2039</v>
      </c>
      <c r="AW600" s="4">
        <v>42579</v>
      </c>
      <c r="BD600">
        <v>0</v>
      </c>
      <c r="BN600" t="s">
        <v>74</v>
      </c>
    </row>
    <row r="601" spans="1:66" hidden="1">
      <c r="A601">
        <v>100164</v>
      </c>
      <c r="B601" s="3" t="s">
        <v>137</v>
      </c>
      <c r="C601" s="1">
        <v>43300101</v>
      </c>
      <c r="D601" t="s">
        <v>67</v>
      </c>
      <c r="H601" t="str">
        <f t="shared" si="57"/>
        <v>00803890151</v>
      </c>
      <c r="I601" t="str">
        <f t="shared" si="57"/>
        <v>00803890151</v>
      </c>
      <c r="K601" t="str">
        <f>""</f>
        <v/>
      </c>
      <c r="M601" t="s">
        <v>68</v>
      </c>
      <c r="N601" t="str">
        <f t="shared" si="54"/>
        <v>FOR</v>
      </c>
      <c r="O601" t="s">
        <v>69</v>
      </c>
      <c r="P601" s="3" t="s">
        <v>75</v>
      </c>
      <c r="Q601">
        <v>2015</v>
      </c>
      <c r="R601" s="2">
        <v>42317</v>
      </c>
      <c r="S601" s="2">
        <v>42318</v>
      </c>
      <c r="T601" s="2">
        <v>42317</v>
      </c>
      <c r="U601" s="2">
        <v>42377</v>
      </c>
      <c r="V601" t="s">
        <v>71</v>
      </c>
      <c r="W601" t="str">
        <f>"           152028921"</f>
        <v xml:space="preserve">           152028921</v>
      </c>
      <c r="X601">
        <v>756.4</v>
      </c>
      <c r="Y601">
        <v>0</v>
      </c>
      <c r="Z601"/>
      <c r="AB601"/>
      <c r="AC601">
        <v>620</v>
      </c>
      <c r="AD601">
        <v>202</v>
      </c>
      <c r="AE601" s="1">
        <v>125240</v>
      </c>
      <c r="AF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 s="2">
        <v>42746</v>
      </c>
      <c r="AQ601" t="s">
        <v>72</v>
      </c>
      <c r="AR601" t="s">
        <v>72</v>
      </c>
      <c r="AS601">
        <v>2039</v>
      </c>
      <c r="AT601" s="4">
        <v>42579</v>
      </c>
      <c r="AU601" t="s">
        <v>73</v>
      </c>
      <c r="AV601">
        <v>2039</v>
      </c>
      <c r="AW601" s="4">
        <v>42579</v>
      </c>
      <c r="BD601">
        <v>0</v>
      </c>
      <c r="BN601" t="s">
        <v>74</v>
      </c>
    </row>
    <row r="602" spans="1:66" hidden="1">
      <c r="A602">
        <v>100164</v>
      </c>
      <c r="B602" s="3" t="s">
        <v>137</v>
      </c>
      <c r="C602" s="1">
        <v>43300101</v>
      </c>
      <c r="D602" t="s">
        <v>67</v>
      </c>
      <c r="H602" t="str">
        <f t="shared" si="57"/>
        <v>00803890151</v>
      </c>
      <c r="I602" t="str">
        <f t="shared" si="57"/>
        <v>00803890151</v>
      </c>
      <c r="K602" t="str">
        <f>""</f>
        <v/>
      </c>
      <c r="M602" t="s">
        <v>68</v>
      </c>
      <c r="N602" t="str">
        <f t="shared" si="54"/>
        <v>FOR</v>
      </c>
      <c r="O602" t="s">
        <v>69</v>
      </c>
      <c r="P602" s="3" t="s">
        <v>75</v>
      </c>
      <c r="Q602">
        <v>2015</v>
      </c>
      <c r="R602" s="2">
        <v>42317</v>
      </c>
      <c r="S602" s="2">
        <v>42318</v>
      </c>
      <c r="T602" s="2">
        <v>42317</v>
      </c>
      <c r="U602" s="2">
        <v>42377</v>
      </c>
      <c r="V602" t="s">
        <v>71</v>
      </c>
      <c r="W602" t="str">
        <f>"           152028922"</f>
        <v xml:space="preserve">           152028922</v>
      </c>
      <c r="X602" s="1">
        <v>4465.2</v>
      </c>
      <c r="Y602">
        <v>0</v>
      </c>
      <c r="Z602"/>
      <c r="AB602"/>
      <c r="AC602" s="1">
        <v>3660</v>
      </c>
      <c r="AD602">
        <v>202</v>
      </c>
      <c r="AE602" s="1">
        <v>739320</v>
      </c>
      <c r="AF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 s="2">
        <v>42746</v>
      </c>
      <c r="AQ602" t="s">
        <v>72</v>
      </c>
      <c r="AR602" t="s">
        <v>72</v>
      </c>
      <c r="AS602">
        <v>2039</v>
      </c>
      <c r="AT602" s="4">
        <v>42579</v>
      </c>
      <c r="AU602" t="s">
        <v>73</v>
      </c>
      <c r="AV602">
        <v>2039</v>
      </c>
      <c r="AW602" s="4">
        <v>42579</v>
      </c>
      <c r="BD602">
        <v>0</v>
      </c>
      <c r="BN602" t="s">
        <v>74</v>
      </c>
    </row>
    <row r="603" spans="1:66" hidden="1">
      <c r="A603">
        <v>100164</v>
      </c>
      <c r="B603" s="3" t="s">
        <v>137</v>
      </c>
      <c r="C603" s="1">
        <v>43300101</v>
      </c>
      <c r="D603" t="s">
        <v>67</v>
      </c>
      <c r="H603" t="str">
        <f t="shared" si="57"/>
        <v>00803890151</v>
      </c>
      <c r="I603" t="str">
        <f t="shared" si="57"/>
        <v>00803890151</v>
      </c>
      <c r="K603" t="str">
        <f>""</f>
        <v/>
      </c>
      <c r="M603" t="s">
        <v>68</v>
      </c>
      <c r="N603" t="str">
        <f t="shared" si="54"/>
        <v>FOR</v>
      </c>
      <c r="O603" t="s">
        <v>69</v>
      </c>
      <c r="P603" s="3" t="s">
        <v>75</v>
      </c>
      <c r="Q603">
        <v>2015</v>
      </c>
      <c r="R603" s="2">
        <v>42320</v>
      </c>
      <c r="S603" s="2">
        <v>42324</v>
      </c>
      <c r="T603" s="2">
        <v>42320</v>
      </c>
      <c r="U603" s="2">
        <v>42380</v>
      </c>
      <c r="V603" t="s">
        <v>71</v>
      </c>
      <c r="W603" t="str">
        <f>"           152029445"</f>
        <v xml:space="preserve">           152029445</v>
      </c>
      <c r="X603" s="1">
        <v>1323.09</v>
      </c>
      <c r="Y603">
        <v>0</v>
      </c>
      <c r="Z603"/>
      <c r="AB603"/>
      <c r="AC603" s="1">
        <v>1084.5</v>
      </c>
      <c r="AD603">
        <v>199</v>
      </c>
      <c r="AE603" s="1">
        <v>215815.5</v>
      </c>
      <c r="AF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 s="2">
        <v>42746</v>
      </c>
      <c r="AQ603" t="s">
        <v>72</v>
      </c>
      <c r="AR603" t="s">
        <v>72</v>
      </c>
      <c r="AS603">
        <v>2039</v>
      </c>
      <c r="AT603" s="4">
        <v>42579</v>
      </c>
      <c r="AU603" t="s">
        <v>73</v>
      </c>
      <c r="AV603">
        <v>2039</v>
      </c>
      <c r="AW603" s="4">
        <v>42579</v>
      </c>
      <c r="BD603">
        <v>0</v>
      </c>
      <c r="BN603" t="s">
        <v>74</v>
      </c>
    </row>
    <row r="604" spans="1:66" hidden="1">
      <c r="A604">
        <v>100164</v>
      </c>
      <c r="B604" s="3" t="s">
        <v>137</v>
      </c>
      <c r="C604" s="1">
        <v>43300101</v>
      </c>
      <c r="D604" t="s">
        <v>67</v>
      </c>
      <c r="H604" t="str">
        <f t="shared" si="57"/>
        <v>00803890151</v>
      </c>
      <c r="I604" t="str">
        <f t="shared" si="57"/>
        <v>00803890151</v>
      </c>
      <c r="K604" t="str">
        <f>""</f>
        <v/>
      </c>
      <c r="M604" t="s">
        <v>68</v>
      </c>
      <c r="N604" t="str">
        <f t="shared" si="54"/>
        <v>FOR</v>
      </c>
      <c r="O604" t="s">
        <v>69</v>
      </c>
      <c r="P604" s="3" t="s">
        <v>75</v>
      </c>
      <c r="Q604">
        <v>2015</v>
      </c>
      <c r="R604" s="2">
        <v>42320</v>
      </c>
      <c r="S604" s="2">
        <v>42324</v>
      </c>
      <c r="T604" s="2">
        <v>42320</v>
      </c>
      <c r="U604" s="2">
        <v>42380</v>
      </c>
      <c r="V604" t="s">
        <v>71</v>
      </c>
      <c r="W604" t="str">
        <f>"           152029446"</f>
        <v xml:space="preserve">           152029446</v>
      </c>
      <c r="X604" s="1">
        <v>5292.36</v>
      </c>
      <c r="Y604">
        <v>0</v>
      </c>
      <c r="Z604"/>
      <c r="AB604"/>
      <c r="AC604" s="1">
        <v>4338</v>
      </c>
      <c r="AD604">
        <v>199</v>
      </c>
      <c r="AE604" s="1">
        <v>863262</v>
      </c>
      <c r="AF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 s="2">
        <v>42746</v>
      </c>
      <c r="AQ604" t="s">
        <v>72</v>
      </c>
      <c r="AR604" t="s">
        <v>72</v>
      </c>
      <c r="AS604">
        <v>2039</v>
      </c>
      <c r="AT604" s="4">
        <v>42579</v>
      </c>
      <c r="AU604" t="s">
        <v>73</v>
      </c>
      <c r="AV604">
        <v>2039</v>
      </c>
      <c r="AW604" s="4">
        <v>42579</v>
      </c>
      <c r="BD604">
        <v>0</v>
      </c>
      <c r="BN604" t="s">
        <v>74</v>
      </c>
    </row>
    <row r="605" spans="1:66" hidden="1">
      <c r="A605">
        <v>100164</v>
      </c>
      <c r="B605" s="3" t="s">
        <v>137</v>
      </c>
      <c r="C605" s="1">
        <v>43300101</v>
      </c>
      <c r="D605" t="s">
        <v>67</v>
      </c>
      <c r="H605" t="str">
        <f t="shared" si="57"/>
        <v>00803890151</v>
      </c>
      <c r="I605" t="str">
        <f t="shared" si="57"/>
        <v>00803890151</v>
      </c>
      <c r="K605" t="str">
        <f>""</f>
        <v/>
      </c>
      <c r="M605" t="s">
        <v>68</v>
      </c>
      <c r="N605" t="str">
        <f t="shared" si="54"/>
        <v>FOR</v>
      </c>
      <c r="O605" t="s">
        <v>69</v>
      </c>
      <c r="P605" s="3" t="s">
        <v>75</v>
      </c>
      <c r="Q605">
        <v>2015</v>
      </c>
      <c r="R605" s="2">
        <v>42324</v>
      </c>
      <c r="S605" s="2">
        <v>42326</v>
      </c>
      <c r="T605" s="2">
        <v>42325</v>
      </c>
      <c r="U605" s="2">
        <v>42385</v>
      </c>
      <c r="V605" t="s">
        <v>71</v>
      </c>
      <c r="W605" t="str">
        <f>"           152029806"</f>
        <v xml:space="preserve">           152029806</v>
      </c>
      <c r="X605">
        <v>952.82</v>
      </c>
      <c r="Y605">
        <v>0</v>
      </c>
      <c r="Z605"/>
      <c r="AB605"/>
      <c r="AC605">
        <v>781</v>
      </c>
      <c r="AD605">
        <v>194</v>
      </c>
      <c r="AE605" s="1">
        <v>151514</v>
      </c>
      <c r="AF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 s="2">
        <v>42746</v>
      </c>
      <c r="AQ605" t="s">
        <v>72</v>
      </c>
      <c r="AR605" t="s">
        <v>72</v>
      </c>
      <c r="AS605">
        <v>2039</v>
      </c>
      <c r="AT605" s="4">
        <v>42579</v>
      </c>
      <c r="AU605" t="s">
        <v>73</v>
      </c>
      <c r="AV605">
        <v>2039</v>
      </c>
      <c r="AW605" s="4">
        <v>42579</v>
      </c>
      <c r="BD605">
        <v>0</v>
      </c>
      <c r="BN605" t="s">
        <v>74</v>
      </c>
    </row>
    <row r="606" spans="1:66" hidden="1">
      <c r="A606">
        <v>100164</v>
      </c>
      <c r="B606" s="3" t="s">
        <v>137</v>
      </c>
      <c r="C606" s="1">
        <v>43300101</v>
      </c>
      <c r="D606" t="s">
        <v>67</v>
      </c>
      <c r="H606" t="str">
        <f t="shared" si="57"/>
        <v>00803890151</v>
      </c>
      <c r="I606" t="str">
        <f t="shared" si="57"/>
        <v>00803890151</v>
      </c>
      <c r="K606" t="str">
        <f>""</f>
        <v/>
      </c>
      <c r="M606" t="s">
        <v>68</v>
      </c>
      <c r="N606" t="str">
        <f t="shared" si="54"/>
        <v>FOR</v>
      </c>
      <c r="O606" t="s">
        <v>69</v>
      </c>
      <c r="P606" s="3" t="s">
        <v>75</v>
      </c>
      <c r="Q606">
        <v>2015</v>
      </c>
      <c r="R606" s="2">
        <v>42326</v>
      </c>
      <c r="S606" s="2">
        <v>42327</v>
      </c>
      <c r="T606" s="2">
        <v>42326</v>
      </c>
      <c r="U606" s="2">
        <v>42386</v>
      </c>
      <c r="V606" t="s">
        <v>71</v>
      </c>
      <c r="W606" t="str">
        <f>"           152030124"</f>
        <v xml:space="preserve">           152030124</v>
      </c>
      <c r="X606">
        <v>158.6</v>
      </c>
      <c r="Y606">
        <v>0</v>
      </c>
      <c r="Z606"/>
      <c r="AB606"/>
      <c r="AC606">
        <v>130</v>
      </c>
      <c r="AD606">
        <v>193</v>
      </c>
      <c r="AE606" s="1">
        <v>25090</v>
      </c>
      <c r="AF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 s="2">
        <v>42746</v>
      </c>
      <c r="AQ606" t="s">
        <v>72</v>
      </c>
      <c r="AR606" t="s">
        <v>72</v>
      </c>
      <c r="AS606">
        <v>2039</v>
      </c>
      <c r="AT606" s="4">
        <v>42579</v>
      </c>
      <c r="AU606" t="s">
        <v>73</v>
      </c>
      <c r="AV606">
        <v>2039</v>
      </c>
      <c r="AW606" s="4">
        <v>42579</v>
      </c>
      <c r="BD606">
        <v>0</v>
      </c>
      <c r="BN606" t="s">
        <v>74</v>
      </c>
    </row>
    <row r="607" spans="1:66" hidden="1">
      <c r="A607">
        <v>100164</v>
      </c>
      <c r="B607" s="3" t="s">
        <v>137</v>
      </c>
      <c r="C607" s="1">
        <v>43300101</v>
      </c>
      <c r="D607" t="s">
        <v>67</v>
      </c>
      <c r="H607" t="str">
        <f t="shared" si="57"/>
        <v>00803890151</v>
      </c>
      <c r="I607" t="str">
        <f t="shared" si="57"/>
        <v>00803890151</v>
      </c>
      <c r="K607" t="str">
        <f>""</f>
        <v/>
      </c>
      <c r="M607" t="s">
        <v>68</v>
      </c>
      <c r="N607" t="str">
        <f t="shared" si="54"/>
        <v>FOR</v>
      </c>
      <c r="O607" t="s">
        <v>69</v>
      </c>
      <c r="P607" s="3" t="s">
        <v>75</v>
      </c>
      <c r="Q607">
        <v>2015</v>
      </c>
      <c r="R607" s="2">
        <v>42332</v>
      </c>
      <c r="S607" s="2">
        <v>42333</v>
      </c>
      <c r="T607" s="2">
        <v>42332</v>
      </c>
      <c r="U607" s="2">
        <v>42392</v>
      </c>
      <c r="V607" t="s">
        <v>71</v>
      </c>
      <c r="W607" t="str">
        <f>"           152030775"</f>
        <v xml:space="preserve">           152030775</v>
      </c>
      <c r="X607" s="1">
        <v>1019.92</v>
      </c>
      <c r="Y607">
        <v>0</v>
      </c>
      <c r="Z607"/>
      <c r="AB607"/>
      <c r="AC607">
        <v>836</v>
      </c>
      <c r="AD607">
        <v>187</v>
      </c>
      <c r="AE607" s="1">
        <v>156332</v>
      </c>
      <c r="AF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 s="2">
        <v>42746</v>
      </c>
      <c r="AQ607" t="s">
        <v>72</v>
      </c>
      <c r="AR607" t="s">
        <v>72</v>
      </c>
      <c r="AS607">
        <v>2039</v>
      </c>
      <c r="AT607" s="4">
        <v>42579</v>
      </c>
      <c r="AU607" t="s">
        <v>73</v>
      </c>
      <c r="AV607">
        <v>2039</v>
      </c>
      <c r="AW607" s="4">
        <v>42579</v>
      </c>
      <c r="BD607">
        <v>0</v>
      </c>
      <c r="BN607" t="s">
        <v>74</v>
      </c>
    </row>
    <row r="608" spans="1:66" hidden="1">
      <c r="A608">
        <v>100164</v>
      </c>
      <c r="B608" s="3" t="s">
        <v>137</v>
      </c>
      <c r="C608" s="1">
        <v>43300101</v>
      </c>
      <c r="D608" t="s">
        <v>67</v>
      </c>
      <c r="H608" t="str">
        <f t="shared" si="57"/>
        <v>00803890151</v>
      </c>
      <c r="I608" t="str">
        <f t="shared" si="57"/>
        <v>00803890151</v>
      </c>
      <c r="K608" t="str">
        <f>""</f>
        <v/>
      </c>
      <c r="M608" t="s">
        <v>68</v>
      </c>
      <c r="N608" t="str">
        <f t="shared" si="54"/>
        <v>FOR</v>
      </c>
      <c r="O608" t="s">
        <v>69</v>
      </c>
      <c r="P608" s="3" t="s">
        <v>75</v>
      </c>
      <c r="Q608">
        <v>2015</v>
      </c>
      <c r="R608" s="2">
        <v>42332</v>
      </c>
      <c r="S608" s="2">
        <v>42333</v>
      </c>
      <c r="T608" s="2">
        <v>42332</v>
      </c>
      <c r="U608" s="2">
        <v>42392</v>
      </c>
      <c r="V608" t="s">
        <v>71</v>
      </c>
      <c r="W608" t="str">
        <f>"           152030776"</f>
        <v xml:space="preserve">           152030776</v>
      </c>
      <c r="X608" s="1">
        <v>5513.57</v>
      </c>
      <c r="Y608">
        <v>0</v>
      </c>
      <c r="Z608"/>
      <c r="AB608"/>
      <c r="AC608" s="1">
        <v>4519.32</v>
      </c>
      <c r="AD608">
        <v>187</v>
      </c>
      <c r="AE608" s="1">
        <v>845112.84</v>
      </c>
      <c r="AF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 s="2">
        <v>42746</v>
      </c>
      <c r="AQ608" t="s">
        <v>72</v>
      </c>
      <c r="AR608" t="s">
        <v>72</v>
      </c>
      <c r="AS608">
        <v>2039</v>
      </c>
      <c r="AT608" s="4">
        <v>42579</v>
      </c>
      <c r="AU608" t="s">
        <v>73</v>
      </c>
      <c r="AV608">
        <v>2039</v>
      </c>
      <c r="AW608" s="4">
        <v>42579</v>
      </c>
      <c r="BD608">
        <v>0</v>
      </c>
      <c r="BN608" t="s">
        <v>74</v>
      </c>
    </row>
    <row r="609" spans="1:66" hidden="1">
      <c r="A609">
        <v>100164</v>
      </c>
      <c r="B609" s="3" t="s">
        <v>137</v>
      </c>
      <c r="C609" s="1">
        <v>43300101</v>
      </c>
      <c r="D609" t="s">
        <v>67</v>
      </c>
      <c r="H609" t="str">
        <f t="shared" si="57"/>
        <v>00803890151</v>
      </c>
      <c r="I609" t="str">
        <f t="shared" si="57"/>
        <v>00803890151</v>
      </c>
      <c r="K609" t="str">
        <f>""</f>
        <v/>
      </c>
      <c r="M609" t="s">
        <v>68</v>
      </c>
      <c r="N609" t="str">
        <f t="shared" si="54"/>
        <v>FOR</v>
      </c>
      <c r="O609" t="s">
        <v>69</v>
      </c>
      <c r="P609" s="3" t="s">
        <v>75</v>
      </c>
      <c r="Q609">
        <v>2015</v>
      </c>
      <c r="R609" s="2">
        <v>42334</v>
      </c>
      <c r="S609" s="2">
        <v>42338</v>
      </c>
      <c r="T609" s="2">
        <v>42334</v>
      </c>
      <c r="U609" s="2">
        <v>42394</v>
      </c>
      <c r="V609" t="s">
        <v>71</v>
      </c>
      <c r="W609" t="str">
        <f>"           152031223"</f>
        <v xml:space="preserve">           152031223</v>
      </c>
      <c r="X609" s="1">
        <v>5292.36</v>
      </c>
      <c r="Y609">
        <v>0</v>
      </c>
      <c r="Z609"/>
      <c r="AB609"/>
      <c r="AC609" s="1">
        <v>4338</v>
      </c>
      <c r="AD609">
        <v>185</v>
      </c>
      <c r="AE609" s="1">
        <v>802530</v>
      </c>
      <c r="AF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 s="2">
        <v>42746</v>
      </c>
      <c r="AQ609" t="s">
        <v>72</v>
      </c>
      <c r="AR609" t="s">
        <v>72</v>
      </c>
      <c r="AS609">
        <v>2039</v>
      </c>
      <c r="AT609" s="4">
        <v>42579</v>
      </c>
      <c r="AU609" t="s">
        <v>73</v>
      </c>
      <c r="AV609">
        <v>2039</v>
      </c>
      <c r="AW609" s="4">
        <v>42579</v>
      </c>
      <c r="BD609">
        <v>0</v>
      </c>
      <c r="BN609" t="s">
        <v>74</v>
      </c>
    </row>
    <row r="610" spans="1:66" hidden="1">
      <c r="A610">
        <v>100164</v>
      </c>
      <c r="B610" s="3" t="s">
        <v>137</v>
      </c>
      <c r="C610" s="1">
        <v>43300101</v>
      </c>
      <c r="D610" t="s">
        <v>67</v>
      </c>
      <c r="H610" t="str">
        <f t="shared" si="57"/>
        <v>00803890151</v>
      </c>
      <c r="I610" t="str">
        <f t="shared" si="57"/>
        <v>00803890151</v>
      </c>
      <c r="K610" t="str">
        <f>""</f>
        <v/>
      </c>
      <c r="M610" t="s">
        <v>68</v>
      </c>
      <c r="N610" t="str">
        <f t="shared" si="54"/>
        <v>FOR</v>
      </c>
      <c r="O610" t="s">
        <v>69</v>
      </c>
      <c r="P610" s="3" t="s">
        <v>75</v>
      </c>
      <c r="Q610">
        <v>2015</v>
      </c>
      <c r="R610" s="2">
        <v>42335</v>
      </c>
      <c r="S610" s="2">
        <v>42338</v>
      </c>
      <c r="T610" s="2">
        <v>42335</v>
      </c>
      <c r="U610" s="2">
        <v>42395</v>
      </c>
      <c r="V610" t="s">
        <v>71</v>
      </c>
      <c r="W610" t="str">
        <f>"           152031470"</f>
        <v xml:space="preserve">           152031470</v>
      </c>
      <c r="X610">
        <v>12.69</v>
      </c>
      <c r="Y610">
        <v>0</v>
      </c>
      <c r="Z610"/>
      <c r="AB610"/>
      <c r="AC610">
        <v>10.4</v>
      </c>
      <c r="AD610">
        <v>184</v>
      </c>
      <c r="AE610" s="1">
        <v>1913.6</v>
      </c>
      <c r="AF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 s="2">
        <v>42746</v>
      </c>
      <c r="AQ610" t="s">
        <v>72</v>
      </c>
      <c r="AR610" t="s">
        <v>72</v>
      </c>
      <c r="AS610">
        <v>2039</v>
      </c>
      <c r="AT610" s="4">
        <v>42579</v>
      </c>
      <c r="AU610" t="s">
        <v>73</v>
      </c>
      <c r="AV610">
        <v>2039</v>
      </c>
      <c r="AW610" s="4">
        <v>42579</v>
      </c>
      <c r="BD610">
        <v>0</v>
      </c>
      <c r="BN610" t="s">
        <v>74</v>
      </c>
    </row>
    <row r="611" spans="1:66" hidden="1">
      <c r="A611">
        <v>100164</v>
      </c>
      <c r="B611" s="3" t="s">
        <v>137</v>
      </c>
      <c r="C611" s="1">
        <v>43300101</v>
      </c>
      <c r="D611" t="s">
        <v>67</v>
      </c>
      <c r="H611" t="str">
        <f t="shared" si="57"/>
        <v>00803890151</v>
      </c>
      <c r="I611" t="str">
        <f t="shared" si="57"/>
        <v>00803890151</v>
      </c>
      <c r="K611" t="str">
        <f>""</f>
        <v/>
      </c>
      <c r="M611" t="s">
        <v>68</v>
      </c>
      <c r="N611" t="str">
        <f t="shared" si="54"/>
        <v>FOR</v>
      </c>
      <c r="O611" t="s">
        <v>69</v>
      </c>
      <c r="P611" s="3" t="s">
        <v>75</v>
      </c>
      <c r="Q611">
        <v>2015</v>
      </c>
      <c r="R611" s="2">
        <v>42339</v>
      </c>
      <c r="S611" s="2">
        <v>42340</v>
      </c>
      <c r="T611" s="2">
        <v>42339</v>
      </c>
      <c r="U611" s="2">
        <v>42399</v>
      </c>
      <c r="V611" t="s">
        <v>71</v>
      </c>
      <c r="W611" t="str">
        <f>"           152031657"</f>
        <v xml:space="preserve">           152031657</v>
      </c>
      <c r="X611">
        <v>335.5</v>
      </c>
      <c r="Y611">
        <v>0</v>
      </c>
      <c r="Z611"/>
      <c r="AB611"/>
      <c r="AC611">
        <v>275</v>
      </c>
      <c r="AD611">
        <v>180</v>
      </c>
      <c r="AE611" s="1">
        <v>49500</v>
      </c>
      <c r="AF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 s="2">
        <v>42746</v>
      </c>
      <c r="AQ611" t="s">
        <v>72</v>
      </c>
      <c r="AR611" t="s">
        <v>72</v>
      </c>
      <c r="AS611">
        <v>2039</v>
      </c>
      <c r="AT611" s="4">
        <v>42579</v>
      </c>
      <c r="AU611" t="s">
        <v>73</v>
      </c>
      <c r="AV611">
        <v>2039</v>
      </c>
      <c r="AW611" s="4">
        <v>42579</v>
      </c>
      <c r="BD611">
        <v>0</v>
      </c>
      <c r="BN611" t="s">
        <v>74</v>
      </c>
    </row>
    <row r="612" spans="1:66" hidden="1">
      <c r="A612">
        <v>100164</v>
      </c>
      <c r="B612" s="3" t="s">
        <v>137</v>
      </c>
      <c r="C612" s="1">
        <v>43300101</v>
      </c>
      <c r="D612" t="s">
        <v>67</v>
      </c>
      <c r="H612" t="str">
        <f t="shared" si="57"/>
        <v>00803890151</v>
      </c>
      <c r="I612" t="str">
        <f t="shared" si="57"/>
        <v>00803890151</v>
      </c>
      <c r="K612" t="str">
        <f>""</f>
        <v/>
      </c>
      <c r="M612" t="s">
        <v>68</v>
      </c>
      <c r="N612" t="str">
        <f t="shared" si="54"/>
        <v>FOR</v>
      </c>
      <c r="O612" t="s">
        <v>69</v>
      </c>
      <c r="P612" s="3" t="s">
        <v>75</v>
      </c>
      <c r="Q612">
        <v>2015</v>
      </c>
      <c r="R612" s="2">
        <v>42346</v>
      </c>
      <c r="S612" s="2">
        <v>42347</v>
      </c>
      <c r="T612" s="2">
        <v>42346</v>
      </c>
      <c r="U612" s="2">
        <v>42406</v>
      </c>
      <c r="V612" t="s">
        <v>71</v>
      </c>
      <c r="W612" t="str">
        <f>"           152032530"</f>
        <v xml:space="preserve">           152032530</v>
      </c>
      <c r="X612">
        <v>34.159999999999997</v>
      </c>
      <c r="Y612">
        <v>0</v>
      </c>
      <c r="Z612"/>
      <c r="AB612"/>
      <c r="AC612">
        <v>28</v>
      </c>
      <c r="AD612">
        <v>173</v>
      </c>
      <c r="AE612" s="1">
        <v>4844</v>
      </c>
      <c r="AF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 s="2">
        <v>42746</v>
      </c>
      <c r="AQ612" t="s">
        <v>72</v>
      </c>
      <c r="AR612" t="s">
        <v>72</v>
      </c>
      <c r="AS612">
        <v>2039</v>
      </c>
      <c r="AT612" s="4">
        <v>42579</v>
      </c>
      <c r="AU612" t="s">
        <v>73</v>
      </c>
      <c r="AV612">
        <v>2039</v>
      </c>
      <c r="AW612" s="4">
        <v>42579</v>
      </c>
      <c r="BD612">
        <v>0</v>
      </c>
      <c r="BN612" t="s">
        <v>74</v>
      </c>
    </row>
    <row r="613" spans="1:66" hidden="1">
      <c r="A613">
        <v>100164</v>
      </c>
      <c r="B613" s="3" t="s">
        <v>137</v>
      </c>
      <c r="C613" s="1">
        <v>43300101</v>
      </c>
      <c r="D613" t="s">
        <v>67</v>
      </c>
      <c r="H613" t="str">
        <f t="shared" si="57"/>
        <v>00803890151</v>
      </c>
      <c r="I613" t="str">
        <f t="shared" si="57"/>
        <v>00803890151</v>
      </c>
      <c r="K613" t="str">
        <f>""</f>
        <v/>
      </c>
      <c r="M613" t="s">
        <v>68</v>
      </c>
      <c r="N613" t="str">
        <f t="shared" si="54"/>
        <v>FOR</v>
      </c>
      <c r="O613" t="s">
        <v>69</v>
      </c>
      <c r="P613" s="3" t="s">
        <v>75</v>
      </c>
      <c r="Q613">
        <v>2015</v>
      </c>
      <c r="R613" s="2">
        <v>42363</v>
      </c>
      <c r="S613" s="2">
        <v>42368</v>
      </c>
      <c r="T613" s="2">
        <v>42363</v>
      </c>
      <c r="U613" s="2">
        <v>42423</v>
      </c>
      <c r="V613" t="s">
        <v>71</v>
      </c>
      <c r="W613" t="str">
        <f>"           152034698"</f>
        <v xml:space="preserve">           152034698</v>
      </c>
      <c r="X613" s="1">
        <v>4270</v>
      </c>
      <c r="Y613">
        <v>0</v>
      </c>
      <c r="Z613"/>
      <c r="AB613"/>
      <c r="AC613" s="1">
        <v>3500</v>
      </c>
      <c r="AD613">
        <v>156</v>
      </c>
      <c r="AE613" s="1">
        <v>546000</v>
      </c>
      <c r="AF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 s="2">
        <v>42746</v>
      </c>
      <c r="AQ613" t="s">
        <v>72</v>
      </c>
      <c r="AR613" t="s">
        <v>72</v>
      </c>
      <c r="AS613">
        <v>2039</v>
      </c>
      <c r="AT613" s="4">
        <v>42579</v>
      </c>
      <c r="AU613" t="s">
        <v>73</v>
      </c>
      <c r="AV613">
        <v>2039</v>
      </c>
      <c r="AW613" s="4">
        <v>42579</v>
      </c>
      <c r="BD613">
        <v>0</v>
      </c>
      <c r="BN613" t="s">
        <v>74</v>
      </c>
    </row>
    <row r="614" spans="1:66" hidden="1">
      <c r="A614">
        <v>100164</v>
      </c>
      <c r="B614" s="3" t="s">
        <v>137</v>
      </c>
      <c r="C614" s="1">
        <v>43300101</v>
      </c>
      <c r="D614" t="s">
        <v>67</v>
      </c>
      <c r="H614" t="str">
        <f t="shared" si="57"/>
        <v>00803890151</v>
      </c>
      <c r="I614" t="str">
        <f t="shared" si="57"/>
        <v>00803890151</v>
      </c>
      <c r="K614" t="str">
        <f>""</f>
        <v/>
      </c>
      <c r="M614" t="s">
        <v>68</v>
      </c>
      <c r="N614" t="str">
        <f t="shared" si="54"/>
        <v>FOR</v>
      </c>
      <c r="O614" t="s">
        <v>69</v>
      </c>
      <c r="P614" s="3" t="s">
        <v>75</v>
      </c>
      <c r="Q614">
        <v>2015</v>
      </c>
      <c r="R614" s="2">
        <v>42363</v>
      </c>
      <c r="S614" s="2">
        <v>42368</v>
      </c>
      <c r="T614" s="2">
        <v>42363</v>
      </c>
      <c r="U614" s="2">
        <v>42423</v>
      </c>
      <c r="V614" t="s">
        <v>71</v>
      </c>
      <c r="W614" t="str">
        <f>"           152034699"</f>
        <v xml:space="preserve">           152034699</v>
      </c>
      <c r="X614">
        <v>152.5</v>
      </c>
      <c r="Y614">
        <v>0</v>
      </c>
      <c r="Z614"/>
      <c r="AB614"/>
      <c r="AC614">
        <v>125</v>
      </c>
      <c r="AD614">
        <v>156</v>
      </c>
      <c r="AE614" s="1">
        <v>19500</v>
      </c>
      <c r="AF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 s="2">
        <v>42746</v>
      </c>
      <c r="AQ614" t="s">
        <v>72</v>
      </c>
      <c r="AR614" t="s">
        <v>72</v>
      </c>
      <c r="AS614">
        <v>2039</v>
      </c>
      <c r="AT614" s="4">
        <v>42579</v>
      </c>
      <c r="AU614" t="s">
        <v>73</v>
      </c>
      <c r="AV614">
        <v>2039</v>
      </c>
      <c r="AW614" s="4">
        <v>42579</v>
      </c>
      <c r="BD614">
        <v>0</v>
      </c>
      <c r="BN614" t="s">
        <v>74</v>
      </c>
    </row>
    <row r="615" spans="1:66" hidden="1">
      <c r="A615">
        <v>100164</v>
      </c>
      <c r="B615" s="3" t="s">
        <v>137</v>
      </c>
      <c r="C615" s="1">
        <v>43300101</v>
      </c>
      <c r="D615" t="s">
        <v>67</v>
      </c>
      <c r="H615" t="str">
        <f t="shared" ref="H615:I634" si="58">"00803890151"</f>
        <v>00803890151</v>
      </c>
      <c r="I615" t="str">
        <f t="shared" si="58"/>
        <v>00803890151</v>
      </c>
      <c r="K615" t="str">
        <f>""</f>
        <v/>
      </c>
      <c r="M615" t="s">
        <v>68</v>
      </c>
      <c r="N615" t="str">
        <f t="shared" si="54"/>
        <v>FOR</v>
      </c>
      <c r="O615" t="s">
        <v>69</v>
      </c>
      <c r="P615" s="3" t="s">
        <v>75</v>
      </c>
      <c r="Q615">
        <v>2016</v>
      </c>
      <c r="R615" s="2">
        <v>42377</v>
      </c>
      <c r="S615" s="2">
        <v>42389</v>
      </c>
      <c r="T615" s="2">
        <v>42379</v>
      </c>
      <c r="U615" s="2">
        <v>42439</v>
      </c>
      <c r="V615" t="s">
        <v>71</v>
      </c>
      <c r="W615" t="str">
        <f>"           162000510"</f>
        <v xml:space="preserve">           162000510</v>
      </c>
      <c r="X615" s="1">
        <v>11466.78</v>
      </c>
      <c r="Y615">
        <v>0</v>
      </c>
      <c r="Z615"/>
      <c r="AB615"/>
      <c r="AC615" s="1">
        <v>9399</v>
      </c>
      <c r="AD615">
        <v>140</v>
      </c>
      <c r="AE615" s="1">
        <v>1315860</v>
      </c>
      <c r="AF615">
        <v>0</v>
      </c>
      <c r="AJ615">
        <v>0</v>
      </c>
      <c r="AK615">
        <v>0</v>
      </c>
      <c r="AL615">
        <v>0</v>
      </c>
      <c r="AM615" s="1">
        <v>11466.78</v>
      </c>
      <c r="AN615" s="1">
        <v>11466.78</v>
      </c>
      <c r="AO615" s="1">
        <v>11466.78</v>
      </c>
      <c r="AP615" s="2">
        <v>42746</v>
      </c>
      <c r="AQ615" t="s">
        <v>72</v>
      </c>
      <c r="AR615" t="s">
        <v>72</v>
      </c>
      <c r="AS615">
        <v>2039</v>
      </c>
      <c r="AT615" s="4">
        <v>42579</v>
      </c>
      <c r="AU615" t="s">
        <v>73</v>
      </c>
      <c r="AV615">
        <v>2039</v>
      </c>
      <c r="AW615" s="4">
        <v>42579</v>
      </c>
      <c r="BD615">
        <v>0</v>
      </c>
      <c r="BN615" t="s">
        <v>74</v>
      </c>
    </row>
    <row r="616" spans="1:66" hidden="1">
      <c r="A616">
        <v>100164</v>
      </c>
      <c r="B616" s="3" t="s">
        <v>137</v>
      </c>
      <c r="C616" s="1">
        <v>43300101</v>
      </c>
      <c r="D616" t="s">
        <v>67</v>
      </c>
      <c r="H616" t="str">
        <f t="shared" si="58"/>
        <v>00803890151</v>
      </c>
      <c r="I616" t="str">
        <f t="shared" si="58"/>
        <v>00803890151</v>
      </c>
      <c r="K616" t="str">
        <f>""</f>
        <v/>
      </c>
      <c r="M616" t="s">
        <v>68</v>
      </c>
      <c r="N616" t="str">
        <f t="shared" si="54"/>
        <v>FOR</v>
      </c>
      <c r="O616" t="s">
        <v>69</v>
      </c>
      <c r="P616" s="3" t="s">
        <v>75</v>
      </c>
      <c r="Q616">
        <v>2016</v>
      </c>
      <c r="R616" s="2">
        <v>42377</v>
      </c>
      <c r="S616" s="2">
        <v>42389</v>
      </c>
      <c r="T616" s="2">
        <v>42379</v>
      </c>
      <c r="U616" s="2">
        <v>42439</v>
      </c>
      <c r="V616" t="s">
        <v>71</v>
      </c>
      <c r="W616" t="str">
        <f>"           162000511"</f>
        <v xml:space="preserve">           162000511</v>
      </c>
      <c r="X616" s="1">
        <v>10127.49</v>
      </c>
      <c r="Y616">
        <v>0</v>
      </c>
      <c r="Z616"/>
      <c r="AB616"/>
      <c r="AC616" s="1">
        <v>8301.2199999999993</v>
      </c>
      <c r="AD616">
        <v>140</v>
      </c>
      <c r="AE616" s="1">
        <v>1162170.8</v>
      </c>
      <c r="AF616">
        <v>0</v>
      </c>
      <c r="AJ616">
        <v>0</v>
      </c>
      <c r="AK616">
        <v>0</v>
      </c>
      <c r="AL616">
        <v>0</v>
      </c>
      <c r="AM616" s="1">
        <v>10127.49</v>
      </c>
      <c r="AN616" s="1">
        <v>10127.49</v>
      </c>
      <c r="AO616" s="1">
        <v>10127.49</v>
      </c>
      <c r="AP616" s="2">
        <v>42746</v>
      </c>
      <c r="AQ616" t="s">
        <v>72</v>
      </c>
      <c r="AR616" t="s">
        <v>72</v>
      </c>
      <c r="AS616">
        <v>2039</v>
      </c>
      <c r="AT616" s="4">
        <v>42579</v>
      </c>
      <c r="AU616" t="s">
        <v>73</v>
      </c>
      <c r="AV616">
        <v>2039</v>
      </c>
      <c r="AW616" s="4">
        <v>42579</v>
      </c>
      <c r="BD616">
        <v>0</v>
      </c>
      <c r="BN616" t="s">
        <v>74</v>
      </c>
    </row>
    <row r="617" spans="1:66" hidden="1">
      <c r="A617">
        <v>100164</v>
      </c>
      <c r="B617" s="3" t="s">
        <v>137</v>
      </c>
      <c r="C617" s="1">
        <v>43300101</v>
      </c>
      <c r="D617" t="s">
        <v>67</v>
      </c>
      <c r="H617" t="str">
        <f t="shared" si="58"/>
        <v>00803890151</v>
      </c>
      <c r="I617" t="str">
        <f t="shared" si="58"/>
        <v>00803890151</v>
      </c>
      <c r="K617" t="str">
        <f>""</f>
        <v/>
      </c>
      <c r="M617" t="s">
        <v>68</v>
      </c>
      <c r="N617" t="str">
        <f t="shared" si="54"/>
        <v>FOR</v>
      </c>
      <c r="O617" t="s">
        <v>69</v>
      </c>
      <c r="P617" s="3" t="s">
        <v>75</v>
      </c>
      <c r="Q617">
        <v>2016</v>
      </c>
      <c r="R617" s="2">
        <v>42382</v>
      </c>
      <c r="S617" s="2">
        <v>42389</v>
      </c>
      <c r="T617" s="2">
        <v>42382</v>
      </c>
      <c r="U617" s="2">
        <v>42442</v>
      </c>
      <c r="V617" t="s">
        <v>71</v>
      </c>
      <c r="W617" t="str">
        <f>"           162000970"</f>
        <v xml:space="preserve">           162000970</v>
      </c>
      <c r="X617">
        <v>503.25</v>
      </c>
      <c r="Y617">
        <v>0</v>
      </c>
      <c r="Z617"/>
      <c r="AB617"/>
      <c r="AC617">
        <v>412.5</v>
      </c>
      <c r="AD617">
        <v>137</v>
      </c>
      <c r="AE617" s="1">
        <v>56512.5</v>
      </c>
      <c r="AF617">
        <v>0</v>
      </c>
      <c r="AJ617">
        <v>0</v>
      </c>
      <c r="AK617">
        <v>0</v>
      </c>
      <c r="AL617">
        <v>0</v>
      </c>
      <c r="AM617">
        <v>503.25</v>
      </c>
      <c r="AN617">
        <v>503.25</v>
      </c>
      <c r="AO617">
        <v>503.25</v>
      </c>
      <c r="AP617" s="2">
        <v>42746</v>
      </c>
      <c r="AQ617" t="s">
        <v>72</v>
      </c>
      <c r="AR617" t="s">
        <v>72</v>
      </c>
      <c r="AS617">
        <v>2039</v>
      </c>
      <c r="AT617" s="4">
        <v>42579</v>
      </c>
      <c r="AU617" t="s">
        <v>73</v>
      </c>
      <c r="AV617">
        <v>2039</v>
      </c>
      <c r="AW617" s="4">
        <v>42579</v>
      </c>
      <c r="BD617">
        <v>0</v>
      </c>
      <c r="BN617" t="s">
        <v>74</v>
      </c>
    </row>
    <row r="618" spans="1:66" hidden="1">
      <c r="A618">
        <v>100164</v>
      </c>
      <c r="B618" s="3" t="s">
        <v>137</v>
      </c>
      <c r="C618" s="1">
        <v>43300101</v>
      </c>
      <c r="D618" t="s">
        <v>67</v>
      </c>
      <c r="H618" t="str">
        <f t="shared" si="58"/>
        <v>00803890151</v>
      </c>
      <c r="I618" t="str">
        <f t="shared" si="58"/>
        <v>00803890151</v>
      </c>
      <c r="K618" t="str">
        <f>""</f>
        <v/>
      </c>
      <c r="M618" t="s">
        <v>68</v>
      </c>
      <c r="N618" t="str">
        <f t="shared" si="54"/>
        <v>FOR</v>
      </c>
      <c r="O618" t="s">
        <v>69</v>
      </c>
      <c r="P618" s="3" t="s">
        <v>75</v>
      </c>
      <c r="Q618">
        <v>2016</v>
      </c>
      <c r="R618" s="2">
        <v>42384</v>
      </c>
      <c r="S618" s="2">
        <v>42389</v>
      </c>
      <c r="T618" s="2">
        <v>42384</v>
      </c>
      <c r="U618" s="2">
        <v>42444</v>
      </c>
      <c r="V618" t="s">
        <v>71</v>
      </c>
      <c r="W618" t="str">
        <f>"           162001447"</f>
        <v xml:space="preserve">           162001447</v>
      </c>
      <c r="X618">
        <v>841.8</v>
      </c>
      <c r="Y618">
        <v>0</v>
      </c>
      <c r="Z618"/>
      <c r="AB618"/>
      <c r="AC618">
        <v>690</v>
      </c>
      <c r="AD618">
        <v>135</v>
      </c>
      <c r="AE618" s="1">
        <v>93150</v>
      </c>
      <c r="AF618">
        <v>0</v>
      </c>
      <c r="AJ618">
        <v>0</v>
      </c>
      <c r="AK618">
        <v>0</v>
      </c>
      <c r="AL618">
        <v>0</v>
      </c>
      <c r="AM618">
        <v>841.8</v>
      </c>
      <c r="AN618">
        <v>841.8</v>
      </c>
      <c r="AO618">
        <v>841.8</v>
      </c>
      <c r="AP618" s="2">
        <v>42746</v>
      </c>
      <c r="AQ618" t="s">
        <v>72</v>
      </c>
      <c r="AR618" t="s">
        <v>72</v>
      </c>
      <c r="AS618">
        <v>2039</v>
      </c>
      <c r="AT618" s="4">
        <v>42579</v>
      </c>
      <c r="AU618" t="s">
        <v>73</v>
      </c>
      <c r="AV618">
        <v>2039</v>
      </c>
      <c r="AW618" s="4">
        <v>42579</v>
      </c>
      <c r="BD618">
        <v>0</v>
      </c>
      <c r="BN618" t="s">
        <v>74</v>
      </c>
    </row>
    <row r="619" spans="1:66" hidden="1">
      <c r="A619">
        <v>100164</v>
      </c>
      <c r="B619" s="3" t="s">
        <v>137</v>
      </c>
      <c r="C619" s="1">
        <v>43300101</v>
      </c>
      <c r="D619" t="s">
        <v>67</v>
      </c>
      <c r="H619" t="str">
        <f t="shared" si="58"/>
        <v>00803890151</v>
      </c>
      <c r="I619" t="str">
        <f t="shared" si="58"/>
        <v>00803890151</v>
      </c>
      <c r="K619" t="str">
        <f>""</f>
        <v/>
      </c>
      <c r="M619" t="s">
        <v>68</v>
      </c>
      <c r="N619" t="str">
        <f t="shared" si="54"/>
        <v>FOR</v>
      </c>
      <c r="O619" t="s">
        <v>69</v>
      </c>
      <c r="P619" s="3" t="s">
        <v>75</v>
      </c>
      <c r="Q619">
        <v>2016</v>
      </c>
      <c r="R619" s="2">
        <v>42387</v>
      </c>
      <c r="S619" s="2">
        <v>42389</v>
      </c>
      <c r="T619" s="2">
        <v>42387</v>
      </c>
      <c r="U619" s="2">
        <v>42447</v>
      </c>
      <c r="V619" t="s">
        <v>71</v>
      </c>
      <c r="W619" t="str">
        <f>"           162001724"</f>
        <v xml:space="preserve">           162001724</v>
      </c>
      <c r="X619">
        <v>512.4</v>
      </c>
      <c r="Y619">
        <v>0</v>
      </c>
      <c r="Z619"/>
      <c r="AB619"/>
      <c r="AC619">
        <v>420</v>
      </c>
      <c r="AD619">
        <v>132</v>
      </c>
      <c r="AE619" s="1">
        <v>55440</v>
      </c>
      <c r="AF619">
        <v>0</v>
      </c>
      <c r="AJ619">
        <v>0</v>
      </c>
      <c r="AK619">
        <v>0</v>
      </c>
      <c r="AL619">
        <v>0</v>
      </c>
      <c r="AM619">
        <v>512.4</v>
      </c>
      <c r="AN619">
        <v>512.4</v>
      </c>
      <c r="AO619">
        <v>512.4</v>
      </c>
      <c r="AP619" s="2">
        <v>42746</v>
      </c>
      <c r="AQ619" t="s">
        <v>72</v>
      </c>
      <c r="AR619" t="s">
        <v>72</v>
      </c>
      <c r="AS619">
        <v>2039</v>
      </c>
      <c r="AT619" s="4">
        <v>42579</v>
      </c>
      <c r="AU619" t="s">
        <v>73</v>
      </c>
      <c r="AV619">
        <v>2039</v>
      </c>
      <c r="AW619" s="4">
        <v>42579</v>
      </c>
      <c r="BD619">
        <v>0</v>
      </c>
      <c r="BN619" t="s">
        <v>74</v>
      </c>
    </row>
    <row r="620" spans="1:66" hidden="1">
      <c r="A620">
        <v>100164</v>
      </c>
      <c r="B620" s="3" t="s">
        <v>137</v>
      </c>
      <c r="C620" s="1">
        <v>43300101</v>
      </c>
      <c r="D620" t="s">
        <v>67</v>
      </c>
      <c r="H620" t="str">
        <f t="shared" si="58"/>
        <v>00803890151</v>
      </c>
      <c r="I620" t="str">
        <f t="shared" si="58"/>
        <v>00803890151</v>
      </c>
      <c r="K620" t="str">
        <f>""</f>
        <v/>
      </c>
      <c r="M620" t="s">
        <v>68</v>
      </c>
      <c r="N620" t="str">
        <f t="shared" si="54"/>
        <v>FOR</v>
      </c>
      <c r="O620" t="s">
        <v>69</v>
      </c>
      <c r="P620" s="3" t="s">
        <v>75</v>
      </c>
      <c r="Q620">
        <v>2016</v>
      </c>
      <c r="R620" s="2">
        <v>42387</v>
      </c>
      <c r="S620" s="2">
        <v>42389</v>
      </c>
      <c r="T620" s="2">
        <v>42387</v>
      </c>
      <c r="U620" s="2">
        <v>42447</v>
      </c>
      <c r="V620" t="s">
        <v>71</v>
      </c>
      <c r="W620" t="str">
        <f>"           162001725"</f>
        <v xml:space="preserve">           162001725</v>
      </c>
      <c r="X620" s="1">
        <v>6497.72</v>
      </c>
      <c r="Y620">
        <v>0</v>
      </c>
      <c r="Z620"/>
      <c r="AB620"/>
      <c r="AC620" s="1">
        <v>5326</v>
      </c>
      <c r="AD620">
        <v>132</v>
      </c>
      <c r="AE620" s="1">
        <v>703032</v>
      </c>
      <c r="AF620">
        <v>0</v>
      </c>
      <c r="AJ620">
        <v>0</v>
      </c>
      <c r="AK620">
        <v>0</v>
      </c>
      <c r="AL620">
        <v>0</v>
      </c>
      <c r="AM620" s="1">
        <v>6497.72</v>
      </c>
      <c r="AN620" s="1">
        <v>6497.72</v>
      </c>
      <c r="AO620" s="1">
        <v>6497.72</v>
      </c>
      <c r="AP620" s="2">
        <v>42746</v>
      </c>
      <c r="AQ620" t="s">
        <v>72</v>
      </c>
      <c r="AR620" t="s">
        <v>72</v>
      </c>
      <c r="AS620">
        <v>2039</v>
      </c>
      <c r="AT620" s="4">
        <v>42579</v>
      </c>
      <c r="AU620" t="s">
        <v>73</v>
      </c>
      <c r="AV620">
        <v>2039</v>
      </c>
      <c r="AW620" s="4">
        <v>42579</v>
      </c>
      <c r="BD620">
        <v>0</v>
      </c>
      <c r="BN620" t="s">
        <v>74</v>
      </c>
    </row>
    <row r="621" spans="1:66" hidden="1">
      <c r="A621">
        <v>100164</v>
      </c>
      <c r="B621" s="3" t="s">
        <v>137</v>
      </c>
      <c r="C621" s="1">
        <v>43300101</v>
      </c>
      <c r="D621" t="s">
        <v>67</v>
      </c>
      <c r="H621" t="str">
        <f t="shared" si="58"/>
        <v>00803890151</v>
      </c>
      <c r="I621" t="str">
        <f t="shared" si="58"/>
        <v>00803890151</v>
      </c>
      <c r="K621" t="str">
        <f>""</f>
        <v/>
      </c>
      <c r="M621" t="s">
        <v>68</v>
      </c>
      <c r="N621" t="str">
        <f t="shared" si="54"/>
        <v>FOR</v>
      </c>
      <c r="O621" t="s">
        <v>69</v>
      </c>
      <c r="P621" s="3" t="s">
        <v>75</v>
      </c>
      <c r="Q621">
        <v>2016</v>
      </c>
      <c r="R621" s="2">
        <v>42388</v>
      </c>
      <c r="S621" s="2">
        <v>42389</v>
      </c>
      <c r="T621" s="2">
        <v>42388</v>
      </c>
      <c r="U621" s="2">
        <v>42448</v>
      </c>
      <c r="V621" t="s">
        <v>71</v>
      </c>
      <c r="W621" t="str">
        <f>"           162001911"</f>
        <v xml:space="preserve">           162001911</v>
      </c>
      <c r="X621">
        <v>322.08</v>
      </c>
      <c r="Y621">
        <v>0</v>
      </c>
      <c r="Z621"/>
      <c r="AB621"/>
      <c r="AC621">
        <v>264</v>
      </c>
      <c r="AD621">
        <v>131</v>
      </c>
      <c r="AE621" s="1">
        <v>34584</v>
      </c>
      <c r="AF621">
        <v>0</v>
      </c>
      <c r="AJ621">
        <v>0</v>
      </c>
      <c r="AK621">
        <v>0</v>
      </c>
      <c r="AL621">
        <v>0</v>
      </c>
      <c r="AM621">
        <v>322.08</v>
      </c>
      <c r="AN621">
        <v>322.08</v>
      </c>
      <c r="AO621">
        <v>322.08</v>
      </c>
      <c r="AP621" s="2">
        <v>42746</v>
      </c>
      <c r="AQ621" t="s">
        <v>72</v>
      </c>
      <c r="AR621" t="s">
        <v>72</v>
      </c>
      <c r="AS621">
        <v>2039</v>
      </c>
      <c r="AT621" s="4">
        <v>42579</v>
      </c>
      <c r="AU621" t="s">
        <v>73</v>
      </c>
      <c r="AV621">
        <v>2039</v>
      </c>
      <c r="AW621" s="4">
        <v>42579</v>
      </c>
      <c r="BD621">
        <v>0</v>
      </c>
      <c r="BN621" t="s">
        <v>74</v>
      </c>
    </row>
    <row r="622" spans="1:66" hidden="1">
      <c r="A622">
        <v>100164</v>
      </c>
      <c r="B622" s="3" t="s">
        <v>137</v>
      </c>
      <c r="C622" s="1">
        <v>43300101</v>
      </c>
      <c r="D622" t="s">
        <v>67</v>
      </c>
      <c r="H622" t="str">
        <f t="shared" si="58"/>
        <v>00803890151</v>
      </c>
      <c r="I622" t="str">
        <f t="shared" si="58"/>
        <v>00803890151</v>
      </c>
      <c r="K622" t="str">
        <f>""</f>
        <v/>
      </c>
      <c r="M622" t="s">
        <v>68</v>
      </c>
      <c r="N622" t="str">
        <f t="shared" ref="N622:N685" si="59">"FOR"</f>
        <v>FOR</v>
      </c>
      <c r="O622" t="s">
        <v>69</v>
      </c>
      <c r="P622" s="3" t="s">
        <v>75</v>
      </c>
      <c r="Q622">
        <v>2016</v>
      </c>
      <c r="R622" s="2">
        <v>42389</v>
      </c>
      <c r="S622" s="2">
        <v>42395</v>
      </c>
      <c r="T622" s="2">
        <v>42390</v>
      </c>
      <c r="U622" s="2">
        <v>42450</v>
      </c>
      <c r="V622" t="s">
        <v>71</v>
      </c>
      <c r="W622" t="str">
        <f>"           162002178"</f>
        <v xml:space="preserve">           162002178</v>
      </c>
      <c r="X622">
        <v>34.159999999999997</v>
      </c>
      <c r="Y622">
        <v>0</v>
      </c>
      <c r="Z622"/>
      <c r="AB622"/>
      <c r="AC622">
        <v>28</v>
      </c>
      <c r="AD622">
        <v>129</v>
      </c>
      <c r="AE622" s="1">
        <v>3612</v>
      </c>
      <c r="AF622">
        <v>0</v>
      </c>
      <c r="AJ622">
        <v>0</v>
      </c>
      <c r="AK622">
        <v>0</v>
      </c>
      <c r="AL622">
        <v>0</v>
      </c>
      <c r="AM622">
        <v>34.159999999999997</v>
      </c>
      <c r="AN622">
        <v>34.159999999999997</v>
      </c>
      <c r="AO622">
        <v>34.159999999999997</v>
      </c>
      <c r="AP622" s="2">
        <v>42746</v>
      </c>
      <c r="AQ622" t="s">
        <v>72</v>
      </c>
      <c r="AR622" t="s">
        <v>72</v>
      </c>
      <c r="AS622">
        <v>2039</v>
      </c>
      <c r="AT622" s="4">
        <v>42579</v>
      </c>
      <c r="AU622" t="s">
        <v>73</v>
      </c>
      <c r="AV622">
        <v>2039</v>
      </c>
      <c r="AW622" s="4">
        <v>42579</v>
      </c>
      <c r="BD622">
        <v>0</v>
      </c>
      <c r="BN622" t="s">
        <v>74</v>
      </c>
    </row>
    <row r="623" spans="1:66" hidden="1">
      <c r="A623">
        <v>100164</v>
      </c>
      <c r="B623" s="3" t="s">
        <v>137</v>
      </c>
      <c r="C623" s="1">
        <v>43300101</v>
      </c>
      <c r="D623" t="s">
        <v>67</v>
      </c>
      <c r="H623" t="str">
        <f t="shared" si="58"/>
        <v>00803890151</v>
      </c>
      <c r="I623" t="str">
        <f t="shared" si="58"/>
        <v>00803890151</v>
      </c>
      <c r="K623" t="str">
        <f>""</f>
        <v/>
      </c>
      <c r="M623" t="s">
        <v>68</v>
      </c>
      <c r="N623" t="str">
        <f t="shared" si="59"/>
        <v>FOR</v>
      </c>
      <c r="O623" t="s">
        <v>69</v>
      </c>
      <c r="P623" s="3" t="s">
        <v>75</v>
      </c>
      <c r="Q623">
        <v>2016</v>
      </c>
      <c r="R623" s="2">
        <v>42396</v>
      </c>
      <c r="S623" s="2">
        <v>42401</v>
      </c>
      <c r="T623" s="2">
        <v>42397</v>
      </c>
      <c r="U623" s="2">
        <v>42457</v>
      </c>
      <c r="V623" t="s">
        <v>71</v>
      </c>
      <c r="W623" t="str">
        <f>"           162003261"</f>
        <v xml:space="preserve">           162003261</v>
      </c>
      <c r="X623">
        <v>214.72</v>
      </c>
      <c r="Y623">
        <v>0</v>
      </c>
      <c r="Z623"/>
      <c r="AB623"/>
      <c r="AC623">
        <v>176</v>
      </c>
      <c r="AD623">
        <v>122</v>
      </c>
      <c r="AE623" s="1">
        <v>21472</v>
      </c>
      <c r="AF623">
        <v>0</v>
      </c>
      <c r="AJ623">
        <v>0</v>
      </c>
      <c r="AK623">
        <v>0</v>
      </c>
      <c r="AL623">
        <v>0</v>
      </c>
      <c r="AM623">
        <v>214.72</v>
      </c>
      <c r="AN623">
        <v>214.72</v>
      </c>
      <c r="AO623">
        <v>214.72</v>
      </c>
      <c r="AP623" s="2">
        <v>42746</v>
      </c>
      <c r="AQ623" t="s">
        <v>72</v>
      </c>
      <c r="AR623" t="s">
        <v>72</v>
      </c>
      <c r="AS623">
        <v>2039</v>
      </c>
      <c r="AT623" s="4">
        <v>42579</v>
      </c>
      <c r="AU623" t="s">
        <v>73</v>
      </c>
      <c r="AV623">
        <v>2039</v>
      </c>
      <c r="AW623" s="4">
        <v>42579</v>
      </c>
      <c r="BD623">
        <v>0</v>
      </c>
      <c r="BN623" t="s">
        <v>74</v>
      </c>
    </row>
    <row r="624" spans="1:66" hidden="1">
      <c r="A624">
        <v>100164</v>
      </c>
      <c r="B624" s="3" t="s">
        <v>137</v>
      </c>
      <c r="C624" s="1">
        <v>43300101</v>
      </c>
      <c r="D624" t="s">
        <v>67</v>
      </c>
      <c r="H624" t="str">
        <f t="shared" si="58"/>
        <v>00803890151</v>
      </c>
      <c r="I624" t="str">
        <f t="shared" si="58"/>
        <v>00803890151</v>
      </c>
      <c r="K624" t="str">
        <f>""</f>
        <v/>
      </c>
      <c r="M624" t="s">
        <v>68</v>
      </c>
      <c r="N624" t="str">
        <f t="shared" si="59"/>
        <v>FOR</v>
      </c>
      <c r="O624" t="s">
        <v>69</v>
      </c>
      <c r="P624" s="3" t="s">
        <v>75</v>
      </c>
      <c r="Q624">
        <v>2016</v>
      </c>
      <c r="R624" s="2">
        <v>42403</v>
      </c>
      <c r="S624" s="2">
        <v>42410</v>
      </c>
      <c r="T624" s="2">
        <v>42403</v>
      </c>
      <c r="U624" s="2">
        <v>42463</v>
      </c>
      <c r="V624" t="s">
        <v>71</v>
      </c>
      <c r="W624" t="str">
        <f>"           162004347"</f>
        <v xml:space="preserve">           162004347</v>
      </c>
      <c r="X624" s="1">
        <v>10143.69</v>
      </c>
      <c r="Y624">
        <v>0</v>
      </c>
      <c r="Z624"/>
      <c r="AB624"/>
      <c r="AC624" s="1">
        <v>8314.5</v>
      </c>
      <c r="AD624">
        <v>157</v>
      </c>
      <c r="AE624" s="1">
        <v>1305376.5</v>
      </c>
      <c r="AF624">
        <v>0</v>
      </c>
      <c r="AJ624">
        <v>0</v>
      </c>
      <c r="AK624">
        <v>0</v>
      </c>
      <c r="AL624">
        <v>0</v>
      </c>
      <c r="AM624" s="1">
        <v>10143.69</v>
      </c>
      <c r="AN624" s="1">
        <v>10143.69</v>
      </c>
      <c r="AO624" s="1">
        <v>10143.69</v>
      </c>
      <c r="AP624" s="2">
        <v>42746</v>
      </c>
      <c r="AQ624" t="s">
        <v>72</v>
      </c>
      <c r="AR624" t="s">
        <v>72</v>
      </c>
      <c r="AS624">
        <v>2318</v>
      </c>
      <c r="AT624" s="4">
        <v>42620</v>
      </c>
      <c r="AU624" t="s">
        <v>73</v>
      </c>
      <c r="AV624">
        <v>2318</v>
      </c>
      <c r="AW624" s="4">
        <v>42620</v>
      </c>
      <c r="BD624">
        <v>0</v>
      </c>
      <c r="BN624" t="s">
        <v>74</v>
      </c>
    </row>
    <row r="625" spans="1:66" hidden="1">
      <c r="A625">
        <v>100164</v>
      </c>
      <c r="B625" s="3" t="s">
        <v>137</v>
      </c>
      <c r="C625" s="1">
        <v>43300101</v>
      </c>
      <c r="D625" t="s">
        <v>67</v>
      </c>
      <c r="H625" t="str">
        <f t="shared" si="58"/>
        <v>00803890151</v>
      </c>
      <c r="I625" t="str">
        <f t="shared" si="58"/>
        <v>00803890151</v>
      </c>
      <c r="K625" t="str">
        <f>""</f>
        <v/>
      </c>
      <c r="M625" t="s">
        <v>68</v>
      </c>
      <c r="N625" t="str">
        <f t="shared" si="59"/>
        <v>FOR</v>
      </c>
      <c r="O625" t="s">
        <v>69</v>
      </c>
      <c r="P625" s="3" t="s">
        <v>75</v>
      </c>
      <c r="Q625">
        <v>2016</v>
      </c>
      <c r="R625" s="2">
        <v>42412</v>
      </c>
      <c r="S625" s="2">
        <v>42417</v>
      </c>
      <c r="T625" s="2">
        <v>42413</v>
      </c>
      <c r="U625" s="2">
        <v>42473</v>
      </c>
      <c r="V625" t="s">
        <v>71</v>
      </c>
      <c r="W625" t="str">
        <f>"           162005673"</f>
        <v xml:space="preserve">           162005673</v>
      </c>
      <c r="X625" s="1">
        <v>6583.52</v>
      </c>
      <c r="Y625">
        <v>0</v>
      </c>
      <c r="Z625"/>
      <c r="AB625"/>
      <c r="AC625" s="1">
        <v>5396.32</v>
      </c>
      <c r="AD625">
        <v>147</v>
      </c>
      <c r="AE625" s="1">
        <v>793259.04</v>
      </c>
      <c r="AF625">
        <v>0</v>
      </c>
      <c r="AJ625">
        <v>0</v>
      </c>
      <c r="AK625">
        <v>0</v>
      </c>
      <c r="AL625">
        <v>0</v>
      </c>
      <c r="AM625" s="1">
        <v>6583.52</v>
      </c>
      <c r="AN625" s="1">
        <v>6583.52</v>
      </c>
      <c r="AO625" s="1">
        <v>6583.52</v>
      </c>
      <c r="AP625" s="2">
        <v>42746</v>
      </c>
      <c r="AQ625" t="s">
        <v>72</v>
      </c>
      <c r="AR625" t="s">
        <v>72</v>
      </c>
      <c r="AS625">
        <v>2318</v>
      </c>
      <c r="AT625" s="4">
        <v>42620</v>
      </c>
      <c r="AU625" t="s">
        <v>73</v>
      </c>
      <c r="AV625">
        <v>2318</v>
      </c>
      <c r="AW625" s="4">
        <v>42620</v>
      </c>
      <c r="BD625">
        <v>0</v>
      </c>
      <c r="BN625" t="s">
        <v>74</v>
      </c>
    </row>
    <row r="626" spans="1:66" hidden="1">
      <c r="A626">
        <v>100164</v>
      </c>
      <c r="B626" s="3" t="s">
        <v>137</v>
      </c>
      <c r="C626" s="1">
        <v>43300101</v>
      </c>
      <c r="D626" t="s">
        <v>67</v>
      </c>
      <c r="H626" t="str">
        <f t="shared" si="58"/>
        <v>00803890151</v>
      </c>
      <c r="I626" t="str">
        <f t="shared" si="58"/>
        <v>00803890151</v>
      </c>
      <c r="K626" t="str">
        <f>""</f>
        <v/>
      </c>
      <c r="M626" t="s">
        <v>68</v>
      </c>
      <c r="N626" t="str">
        <f t="shared" si="59"/>
        <v>FOR</v>
      </c>
      <c r="O626" t="s">
        <v>69</v>
      </c>
      <c r="P626" s="3" t="s">
        <v>75</v>
      </c>
      <c r="Q626">
        <v>2016</v>
      </c>
      <c r="R626" s="2">
        <v>42430</v>
      </c>
      <c r="S626" s="2">
        <v>42436</v>
      </c>
      <c r="T626" s="2">
        <v>42430</v>
      </c>
      <c r="U626" s="2">
        <v>42490</v>
      </c>
      <c r="V626" t="s">
        <v>71</v>
      </c>
      <c r="W626" t="str">
        <f>"           162007746"</f>
        <v xml:space="preserve">           162007746</v>
      </c>
      <c r="X626">
        <v>129.32</v>
      </c>
      <c r="Y626">
        <v>0</v>
      </c>
      <c r="Z626"/>
      <c r="AB626"/>
      <c r="AC626">
        <v>106</v>
      </c>
      <c r="AD626">
        <v>130</v>
      </c>
      <c r="AE626" s="1">
        <v>13780</v>
      </c>
      <c r="AF626">
        <v>0</v>
      </c>
      <c r="AJ626">
        <v>0</v>
      </c>
      <c r="AK626">
        <v>0</v>
      </c>
      <c r="AL626">
        <v>0</v>
      </c>
      <c r="AM626">
        <v>129.32</v>
      </c>
      <c r="AN626">
        <v>129.32</v>
      </c>
      <c r="AO626">
        <v>129.32</v>
      </c>
      <c r="AP626" s="2">
        <v>42746</v>
      </c>
      <c r="AQ626" t="s">
        <v>72</v>
      </c>
      <c r="AR626" t="s">
        <v>72</v>
      </c>
      <c r="AS626">
        <v>2318</v>
      </c>
      <c r="AT626" s="4">
        <v>42620</v>
      </c>
      <c r="AU626" t="s">
        <v>73</v>
      </c>
      <c r="AV626">
        <v>2318</v>
      </c>
      <c r="AW626" s="4">
        <v>42620</v>
      </c>
      <c r="BD626">
        <v>0</v>
      </c>
      <c r="BN626" t="s">
        <v>74</v>
      </c>
    </row>
    <row r="627" spans="1:66" hidden="1">
      <c r="A627">
        <v>100164</v>
      </c>
      <c r="B627" s="3" t="s">
        <v>137</v>
      </c>
      <c r="C627" s="1">
        <v>43300101</v>
      </c>
      <c r="D627" t="s">
        <v>67</v>
      </c>
      <c r="H627" t="str">
        <f t="shared" si="58"/>
        <v>00803890151</v>
      </c>
      <c r="I627" t="str">
        <f t="shared" si="58"/>
        <v>00803890151</v>
      </c>
      <c r="K627" t="str">
        <f>""</f>
        <v/>
      </c>
      <c r="M627" t="s">
        <v>68</v>
      </c>
      <c r="N627" t="str">
        <f t="shared" si="59"/>
        <v>FOR</v>
      </c>
      <c r="O627" t="s">
        <v>69</v>
      </c>
      <c r="P627" s="3" t="s">
        <v>75</v>
      </c>
      <c r="Q627">
        <v>2016</v>
      </c>
      <c r="R627" s="2">
        <v>42431</v>
      </c>
      <c r="S627" s="2">
        <v>42436</v>
      </c>
      <c r="T627" s="2">
        <v>42432</v>
      </c>
      <c r="U627" s="2">
        <v>42492</v>
      </c>
      <c r="V627" t="s">
        <v>71</v>
      </c>
      <c r="W627" t="str">
        <f>"           162008123"</f>
        <v xml:space="preserve">           162008123</v>
      </c>
      <c r="X627">
        <v>244</v>
      </c>
      <c r="Y627">
        <v>0</v>
      </c>
      <c r="Z627"/>
      <c r="AB627"/>
      <c r="AC627">
        <v>200</v>
      </c>
      <c r="AD627">
        <v>128</v>
      </c>
      <c r="AE627" s="1">
        <v>25600</v>
      </c>
      <c r="AF627">
        <v>0</v>
      </c>
      <c r="AJ627">
        <v>0</v>
      </c>
      <c r="AK627">
        <v>0</v>
      </c>
      <c r="AL627">
        <v>0</v>
      </c>
      <c r="AM627">
        <v>244</v>
      </c>
      <c r="AN627">
        <v>244</v>
      </c>
      <c r="AO627">
        <v>244</v>
      </c>
      <c r="AP627" s="2">
        <v>42746</v>
      </c>
      <c r="AQ627" t="s">
        <v>72</v>
      </c>
      <c r="AR627" t="s">
        <v>72</v>
      </c>
      <c r="AS627">
        <v>2318</v>
      </c>
      <c r="AT627" s="4">
        <v>42620</v>
      </c>
      <c r="AU627" t="s">
        <v>73</v>
      </c>
      <c r="AV627">
        <v>2318</v>
      </c>
      <c r="AW627" s="4">
        <v>42620</v>
      </c>
      <c r="BD627">
        <v>0</v>
      </c>
      <c r="BN627" t="s">
        <v>74</v>
      </c>
    </row>
    <row r="628" spans="1:66" hidden="1">
      <c r="A628">
        <v>100164</v>
      </c>
      <c r="B628" s="3" t="s">
        <v>137</v>
      </c>
      <c r="C628" s="1">
        <v>43300101</v>
      </c>
      <c r="D628" t="s">
        <v>67</v>
      </c>
      <c r="H628" t="str">
        <f t="shared" si="58"/>
        <v>00803890151</v>
      </c>
      <c r="I628" t="str">
        <f t="shared" si="58"/>
        <v>00803890151</v>
      </c>
      <c r="K628" t="str">
        <f>""</f>
        <v/>
      </c>
      <c r="M628" t="s">
        <v>68</v>
      </c>
      <c r="N628" t="str">
        <f t="shared" si="59"/>
        <v>FOR</v>
      </c>
      <c r="O628" t="s">
        <v>69</v>
      </c>
      <c r="P628" s="3" t="s">
        <v>75</v>
      </c>
      <c r="Q628">
        <v>2016</v>
      </c>
      <c r="R628" s="2">
        <v>42436</v>
      </c>
      <c r="S628" s="2">
        <v>42438</v>
      </c>
      <c r="T628" s="2">
        <v>42437</v>
      </c>
      <c r="U628" s="2">
        <v>42497</v>
      </c>
      <c r="V628" t="s">
        <v>71</v>
      </c>
      <c r="W628" t="str">
        <f>"           162008621"</f>
        <v xml:space="preserve">           162008621</v>
      </c>
      <c r="X628" s="1">
        <v>9702.66</v>
      </c>
      <c r="Y628">
        <v>0</v>
      </c>
      <c r="Z628"/>
      <c r="AB628"/>
      <c r="AC628" s="1">
        <v>7953</v>
      </c>
      <c r="AD628">
        <v>123</v>
      </c>
      <c r="AE628" s="1">
        <v>978219</v>
      </c>
      <c r="AF628">
        <v>0</v>
      </c>
      <c r="AJ628">
        <v>0</v>
      </c>
      <c r="AK628">
        <v>0</v>
      </c>
      <c r="AL628">
        <v>0</v>
      </c>
      <c r="AM628" s="1">
        <v>9702.66</v>
      </c>
      <c r="AN628" s="1">
        <v>9702.66</v>
      </c>
      <c r="AO628" s="1">
        <v>9702.66</v>
      </c>
      <c r="AP628" s="2">
        <v>42746</v>
      </c>
      <c r="AQ628" t="s">
        <v>72</v>
      </c>
      <c r="AR628" t="s">
        <v>72</v>
      </c>
      <c r="AS628">
        <v>2318</v>
      </c>
      <c r="AT628" s="4">
        <v>42620</v>
      </c>
      <c r="AU628" t="s">
        <v>73</v>
      </c>
      <c r="AV628">
        <v>2318</v>
      </c>
      <c r="AW628" s="4">
        <v>42620</v>
      </c>
      <c r="BD628">
        <v>0</v>
      </c>
      <c r="BN628" t="s">
        <v>74</v>
      </c>
    </row>
    <row r="629" spans="1:66" hidden="1">
      <c r="A629">
        <v>100164</v>
      </c>
      <c r="B629" s="3" t="s">
        <v>137</v>
      </c>
      <c r="C629" s="1">
        <v>43300101</v>
      </c>
      <c r="D629" t="s">
        <v>67</v>
      </c>
      <c r="H629" t="str">
        <f t="shared" si="58"/>
        <v>00803890151</v>
      </c>
      <c r="I629" t="str">
        <f t="shared" si="58"/>
        <v>00803890151</v>
      </c>
      <c r="K629" t="str">
        <f>""</f>
        <v/>
      </c>
      <c r="M629" t="s">
        <v>68</v>
      </c>
      <c r="N629" t="str">
        <f t="shared" si="59"/>
        <v>FOR</v>
      </c>
      <c r="O629" t="s">
        <v>69</v>
      </c>
      <c r="P629" s="3" t="s">
        <v>75</v>
      </c>
      <c r="Q629">
        <v>2016</v>
      </c>
      <c r="R629" s="2">
        <v>42444</v>
      </c>
      <c r="S629" s="2">
        <v>42446</v>
      </c>
      <c r="T629" s="2">
        <v>42444</v>
      </c>
      <c r="U629" s="2">
        <v>42504</v>
      </c>
      <c r="V629" t="s">
        <v>71</v>
      </c>
      <c r="W629" t="str">
        <f>"           162009814"</f>
        <v xml:space="preserve">           162009814</v>
      </c>
      <c r="X629" s="1">
        <v>6487.83</v>
      </c>
      <c r="Y629">
        <v>0</v>
      </c>
      <c r="Z629"/>
      <c r="AB629"/>
      <c r="AC629" s="1">
        <v>5317.88</v>
      </c>
      <c r="AD629">
        <v>116</v>
      </c>
      <c r="AE629" s="1">
        <v>616874.07999999996</v>
      </c>
      <c r="AF629">
        <v>0</v>
      </c>
      <c r="AJ629">
        <v>0</v>
      </c>
      <c r="AK629">
        <v>0</v>
      </c>
      <c r="AL629">
        <v>0</v>
      </c>
      <c r="AM629" s="1">
        <v>6487.83</v>
      </c>
      <c r="AN629" s="1">
        <v>6487.83</v>
      </c>
      <c r="AO629" s="1">
        <v>6487.83</v>
      </c>
      <c r="AP629" s="2">
        <v>42746</v>
      </c>
      <c r="AQ629" t="s">
        <v>72</v>
      </c>
      <c r="AR629" t="s">
        <v>72</v>
      </c>
      <c r="AS629">
        <v>2318</v>
      </c>
      <c r="AT629" s="4">
        <v>42620</v>
      </c>
      <c r="AU629" t="s">
        <v>73</v>
      </c>
      <c r="AV629">
        <v>2318</v>
      </c>
      <c r="AW629" s="4">
        <v>42620</v>
      </c>
      <c r="BD629">
        <v>0</v>
      </c>
      <c r="BN629" t="s">
        <v>74</v>
      </c>
    </row>
    <row r="630" spans="1:66" hidden="1">
      <c r="A630">
        <v>100164</v>
      </c>
      <c r="B630" s="3" t="s">
        <v>137</v>
      </c>
      <c r="C630" s="1">
        <v>43300101</v>
      </c>
      <c r="D630" t="s">
        <v>67</v>
      </c>
      <c r="H630" t="str">
        <f t="shared" si="58"/>
        <v>00803890151</v>
      </c>
      <c r="I630" t="str">
        <f t="shared" si="58"/>
        <v>00803890151</v>
      </c>
      <c r="K630" t="str">
        <f>""</f>
        <v/>
      </c>
      <c r="M630" t="s">
        <v>68</v>
      </c>
      <c r="N630" t="str">
        <f t="shared" si="59"/>
        <v>FOR</v>
      </c>
      <c r="O630" t="s">
        <v>69</v>
      </c>
      <c r="P630" s="3" t="s">
        <v>75</v>
      </c>
      <c r="Q630">
        <v>2016</v>
      </c>
      <c r="R630" s="2">
        <v>42452</v>
      </c>
      <c r="S630" s="2">
        <v>42453</v>
      </c>
      <c r="T630" s="2">
        <v>42452</v>
      </c>
      <c r="U630" s="2">
        <v>42512</v>
      </c>
      <c r="V630" t="s">
        <v>71</v>
      </c>
      <c r="W630" t="str">
        <f>"           162010870"</f>
        <v xml:space="preserve">           162010870</v>
      </c>
      <c r="X630" s="1">
        <v>5929.2</v>
      </c>
      <c r="Y630">
        <v>0</v>
      </c>
      <c r="Z630"/>
      <c r="AB630"/>
      <c r="AC630" s="1">
        <v>4860</v>
      </c>
      <c r="AD630">
        <v>108</v>
      </c>
      <c r="AE630" s="1">
        <v>524880</v>
      </c>
      <c r="AF630">
        <v>0</v>
      </c>
      <c r="AJ630">
        <v>0</v>
      </c>
      <c r="AK630">
        <v>0</v>
      </c>
      <c r="AL630">
        <v>0</v>
      </c>
      <c r="AM630" s="1">
        <v>5929.2</v>
      </c>
      <c r="AN630" s="1">
        <v>5929.2</v>
      </c>
      <c r="AO630" s="1">
        <v>5929.2</v>
      </c>
      <c r="AP630" s="2">
        <v>42746</v>
      </c>
      <c r="AQ630" t="s">
        <v>72</v>
      </c>
      <c r="AR630" t="s">
        <v>72</v>
      </c>
      <c r="AS630">
        <v>2318</v>
      </c>
      <c r="AT630" s="4">
        <v>42620</v>
      </c>
      <c r="AU630" t="s">
        <v>73</v>
      </c>
      <c r="AV630">
        <v>2318</v>
      </c>
      <c r="AW630" s="4">
        <v>42620</v>
      </c>
      <c r="BD630">
        <v>0</v>
      </c>
      <c r="BN630" t="s">
        <v>74</v>
      </c>
    </row>
    <row r="631" spans="1:66" hidden="1">
      <c r="A631">
        <v>100164</v>
      </c>
      <c r="B631" s="3" t="s">
        <v>137</v>
      </c>
      <c r="C631" s="1">
        <v>43300101</v>
      </c>
      <c r="D631" t="s">
        <v>67</v>
      </c>
      <c r="H631" t="str">
        <f t="shared" si="58"/>
        <v>00803890151</v>
      </c>
      <c r="I631" t="str">
        <f t="shared" si="58"/>
        <v>00803890151</v>
      </c>
      <c r="K631" t="str">
        <f>""</f>
        <v/>
      </c>
      <c r="M631" t="s">
        <v>68</v>
      </c>
      <c r="N631" t="str">
        <f t="shared" si="59"/>
        <v>FOR</v>
      </c>
      <c r="O631" t="s">
        <v>69</v>
      </c>
      <c r="P631" s="3" t="s">
        <v>75</v>
      </c>
      <c r="Q631">
        <v>2016</v>
      </c>
      <c r="R631" s="2">
        <v>42452</v>
      </c>
      <c r="S631" s="2">
        <v>42453</v>
      </c>
      <c r="T631" s="2">
        <v>42452</v>
      </c>
      <c r="U631" s="2">
        <v>42512</v>
      </c>
      <c r="V631" t="s">
        <v>71</v>
      </c>
      <c r="W631" t="str">
        <f>"           162010871"</f>
        <v xml:space="preserve">           162010871</v>
      </c>
      <c r="X631" s="1">
        <v>1011.38</v>
      </c>
      <c r="Y631">
        <v>0</v>
      </c>
      <c r="Z631"/>
      <c r="AB631"/>
      <c r="AC631">
        <v>829</v>
      </c>
      <c r="AD631">
        <v>108</v>
      </c>
      <c r="AE631" s="1">
        <v>89532</v>
      </c>
      <c r="AF631">
        <v>0</v>
      </c>
      <c r="AJ631">
        <v>0</v>
      </c>
      <c r="AK631">
        <v>0</v>
      </c>
      <c r="AL631">
        <v>0</v>
      </c>
      <c r="AM631" s="1">
        <v>1011.38</v>
      </c>
      <c r="AN631" s="1">
        <v>1011.38</v>
      </c>
      <c r="AO631" s="1">
        <v>1011.38</v>
      </c>
      <c r="AP631" s="2">
        <v>42746</v>
      </c>
      <c r="AQ631" t="s">
        <v>72</v>
      </c>
      <c r="AR631" t="s">
        <v>72</v>
      </c>
      <c r="AS631">
        <v>2318</v>
      </c>
      <c r="AT631" s="4">
        <v>42620</v>
      </c>
      <c r="AU631" t="s">
        <v>73</v>
      </c>
      <c r="AV631">
        <v>2318</v>
      </c>
      <c r="AW631" s="4">
        <v>42620</v>
      </c>
      <c r="BD631">
        <v>0</v>
      </c>
      <c r="BN631" t="s">
        <v>74</v>
      </c>
    </row>
    <row r="632" spans="1:66" hidden="1">
      <c r="A632">
        <v>100164</v>
      </c>
      <c r="B632" s="3" t="s">
        <v>137</v>
      </c>
      <c r="C632" s="1">
        <v>43300101</v>
      </c>
      <c r="D632" t="s">
        <v>67</v>
      </c>
      <c r="H632" t="str">
        <f t="shared" si="58"/>
        <v>00803890151</v>
      </c>
      <c r="I632" t="str">
        <f t="shared" si="58"/>
        <v>00803890151</v>
      </c>
      <c r="K632" t="str">
        <f>""</f>
        <v/>
      </c>
      <c r="M632" t="s">
        <v>68</v>
      </c>
      <c r="N632" t="str">
        <f t="shared" si="59"/>
        <v>FOR</v>
      </c>
      <c r="O632" t="s">
        <v>69</v>
      </c>
      <c r="P632" s="3" t="s">
        <v>75</v>
      </c>
      <c r="Q632">
        <v>2016</v>
      </c>
      <c r="R632" s="2">
        <v>42453</v>
      </c>
      <c r="S632" s="2">
        <v>42457</v>
      </c>
      <c r="T632" s="2">
        <v>42453</v>
      </c>
      <c r="U632" s="2">
        <v>42513</v>
      </c>
      <c r="V632" t="s">
        <v>71</v>
      </c>
      <c r="W632" t="str">
        <f>"           162011008"</f>
        <v xml:space="preserve">           162011008</v>
      </c>
      <c r="X632">
        <v>332.82</v>
      </c>
      <c r="Y632">
        <v>0</v>
      </c>
      <c r="Z632"/>
      <c r="AB632"/>
      <c r="AC632">
        <v>272.8</v>
      </c>
      <c r="AD632">
        <v>107</v>
      </c>
      <c r="AE632" s="1">
        <v>29189.599999999999</v>
      </c>
      <c r="AF632">
        <v>0</v>
      </c>
      <c r="AJ632">
        <v>0</v>
      </c>
      <c r="AK632">
        <v>0</v>
      </c>
      <c r="AL632">
        <v>0</v>
      </c>
      <c r="AM632">
        <v>332.82</v>
      </c>
      <c r="AN632">
        <v>332.82</v>
      </c>
      <c r="AO632">
        <v>332.82</v>
      </c>
      <c r="AP632" s="2">
        <v>42746</v>
      </c>
      <c r="AQ632" t="s">
        <v>72</v>
      </c>
      <c r="AR632" t="s">
        <v>72</v>
      </c>
      <c r="AS632">
        <v>2318</v>
      </c>
      <c r="AT632" s="4">
        <v>42620</v>
      </c>
      <c r="AU632" t="s">
        <v>73</v>
      </c>
      <c r="AV632">
        <v>2318</v>
      </c>
      <c r="AW632" s="4">
        <v>42620</v>
      </c>
      <c r="BD632">
        <v>0</v>
      </c>
      <c r="BN632" t="s">
        <v>74</v>
      </c>
    </row>
    <row r="633" spans="1:66">
      <c r="A633">
        <v>100164</v>
      </c>
      <c r="B633" s="3" t="s">
        <v>137</v>
      </c>
      <c r="C633" s="1">
        <v>43300101</v>
      </c>
      <c r="D633" t="s">
        <v>67</v>
      </c>
      <c r="H633" t="str">
        <f t="shared" si="58"/>
        <v>00803890151</v>
      </c>
      <c r="I633" t="str">
        <f t="shared" si="58"/>
        <v>00803890151</v>
      </c>
      <c r="K633" t="str">
        <f>""</f>
        <v/>
      </c>
      <c r="M633" t="s">
        <v>68</v>
      </c>
      <c r="N633" t="str">
        <f t="shared" si="59"/>
        <v>FOR</v>
      </c>
      <c r="O633" t="s">
        <v>69</v>
      </c>
      <c r="P633" s="3" t="s">
        <v>75</v>
      </c>
      <c r="Q633">
        <v>2016</v>
      </c>
      <c r="R633" s="2">
        <v>42453</v>
      </c>
      <c r="S633" s="2">
        <v>42457</v>
      </c>
      <c r="T633" s="2">
        <v>42453</v>
      </c>
      <c r="U633" s="2">
        <v>42513</v>
      </c>
      <c r="V633" t="s">
        <v>71</v>
      </c>
      <c r="W633" t="str">
        <f>"           162011009"</f>
        <v xml:space="preserve">           162011009</v>
      </c>
      <c r="X633">
        <v>203.98</v>
      </c>
      <c r="Y633">
        <v>0</v>
      </c>
      <c r="Z633" s="3">
        <v>167.2</v>
      </c>
      <c r="AA633">
        <v>133</v>
      </c>
      <c r="AB633" s="5">
        <v>22237.599999999999</v>
      </c>
      <c r="AC633">
        <v>167.2</v>
      </c>
      <c r="AD633">
        <v>133</v>
      </c>
      <c r="AE633" s="1">
        <v>22237.599999999999</v>
      </c>
      <c r="AF633">
        <v>0</v>
      </c>
      <c r="AJ633">
        <v>0</v>
      </c>
      <c r="AK633">
        <v>0</v>
      </c>
      <c r="AL633">
        <v>0</v>
      </c>
      <c r="AM633">
        <v>203.98</v>
      </c>
      <c r="AN633">
        <v>203.98</v>
      </c>
      <c r="AO633">
        <v>203.98</v>
      </c>
      <c r="AP633" s="2">
        <v>42746</v>
      </c>
      <c r="AQ633" t="s">
        <v>72</v>
      </c>
      <c r="AR633" t="s">
        <v>72</v>
      </c>
      <c r="AS633">
        <v>2553</v>
      </c>
      <c r="AT633" s="4">
        <v>42646</v>
      </c>
      <c r="AU633" t="s">
        <v>73</v>
      </c>
      <c r="AV633">
        <v>2553</v>
      </c>
      <c r="AW633" s="4">
        <v>42646</v>
      </c>
      <c r="BD633">
        <v>0</v>
      </c>
      <c r="BN633" t="s">
        <v>74</v>
      </c>
    </row>
    <row r="634" spans="1:66" hidden="1">
      <c r="A634">
        <v>100164</v>
      </c>
      <c r="B634" s="3" t="s">
        <v>137</v>
      </c>
      <c r="C634" s="1">
        <v>43300101</v>
      </c>
      <c r="D634" t="s">
        <v>67</v>
      </c>
      <c r="H634" t="str">
        <f t="shared" si="58"/>
        <v>00803890151</v>
      </c>
      <c r="I634" t="str">
        <f t="shared" si="58"/>
        <v>00803890151</v>
      </c>
      <c r="K634" t="str">
        <f>""</f>
        <v/>
      </c>
      <c r="M634" t="s">
        <v>68</v>
      </c>
      <c r="N634" t="str">
        <f t="shared" si="59"/>
        <v>FOR</v>
      </c>
      <c r="O634" t="s">
        <v>69</v>
      </c>
      <c r="P634" s="3" t="s">
        <v>75</v>
      </c>
      <c r="Q634">
        <v>2016</v>
      </c>
      <c r="R634" s="2">
        <v>42454</v>
      </c>
      <c r="S634" s="2">
        <v>42461</v>
      </c>
      <c r="T634" s="2">
        <v>42454</v>
      </c>
      <c r="U634" s="2">
        <v>42514</v>
      </c>
      <c r="V634" t="s">
        <v>71</v>
      </c>
      <c r="W634" t="str">
        <f>"           162011299"</f>
        <v xml:space="preserve">           162011299</v>
      </c>
      <c r="X634" s="1">
        <v>4270</v>
      </c>
      <c r="Y634">
        <v>0</v>
      </c>
      <c r="Z634"/>
      <c r="AB634"/>
      <c r="AC634" s="1">
        <v>3500</v>
      </c>
      <c r="AD634">
        <v>106</v>
      </c>
      <c r="AE634" s="1">
        <v>371000</v>
      </c>
      <c r="AF634">
        <v>0</v>
      </c>
      <c r="AJ634">
        <v>0</v>
      </c>
      <c r="AK634">
        <v>0</v>
      </c>
      <c r="AL634">
        <v>0</v>
      </c>
      <c r="AM634" s="1">
        <v>4270</v>
      </c>
      <c r="AN634" s="1">
        <v>4270</v>
      </c>
      <c r="AO634" s="1">
        <v>4270</v>
      </c>
      <c r="AP634" s="2">
        <v>42746</v>
      </c>
      <c r="AQ634" t="s">
        <v>72</v>
      </c>
      <c r="AR634" t="s">
        <v>72</v>
      </c>
      <c r="AS634">
        <v>2318</v>
      </c>
      <c r="AT634" s="4">
        <v>42620</v>
      </c>
      <c r="AU634" t="s">
        <v>73</v>
      </c>
      <c r="AV634">
        <v>2318</v>
      </c>
      <c r="AW634" s="4">
        <v>42620</v>
      </c>
      <c r="BD634">
        <v>0</v>
      </c>
      <c r="BN634" t="s">
        <v>74</v>
      </c>
    </row>
    <row r="635" spans="1:66" hidden="1">
      <c r="A635">
        <v>100164</v>
      </c>
      <c r="B635" s="3" t="s">
        <v>137</v>
      </c>
      <c r="C635" s="1">
        <v>43300101</v>
      </c>
      <c r="D635" t="s">
        <v>67</v>
      </c>
      <c r="H635" t="str">
        <f t="shared" ref="H635:I654" si="60">"00803890151"</f>
        <v>00803890151</v>
      </c>
      <c r="I635" t="str">
        <f t="shared" si="60"/>
        <v>00803890151</v>
      </c>
      <c r="K635" t="str">
        <f>""</f>
        <v/>
      </c>
      <c r="M635" t="s">
        <v>68</v>
      </c>
      <c r="N635" t="str">
        <f t="shared" si="59"/>
        <v>FOR</v>
      </c>
      <c r="O635" t="s">
        <v>69</v>
      </c>
      <c r="P635" s="3" t="s">
        <v>75</v>
      </c>
      <c r="Q635">
        <v>2016</v>
      </c>
      <c r="R635" s="2">
        <v>42454</v>
      </c>
      <c r="S635" s="2">
        <v>42461</v>
      </c>
      <c r="T635" s="2">
        <v>42454</v>
      </c>
      <c r="U635" s="2">
        <v>42514</v>
      </c>
      <c r="V635" t="s">
        <v>71</v>
      </c>
      <c r="W635" t="str">
        <f>"           162011300"</f>
        <v xml:space="preserve">           162011300</v>
      </c>
      <c r="X635">
        <v>152.5</v>
      </c>
      <c r="Y635">
        <v>0</v>
      </c>
      <c r="Z635"/>
      <c r="AB635"/>
      <c r="AC635">
        <v>125</v>
      </c>
      <c r="AD635">
        <v>106</v>
      </c>
      <c r="AE635" s="1">
        <v>13250</v>
      </c>
      <c r="AF635">
        <v>0</v>
      </c>
      <c r="AJ635">
        <v>0</v>
      </c>
      <c r="AK635">
        <v>0</v>
      </c>
      <c r="AL635">
        <v>0</v>
      </c>
      <c r="AM635">
        <v>152.5</v>
      </c>
      <c r="AN635">
        <v>152.5</v>
      </c>
      <c r="AO635">
        <v>152.5</v>
      </c>
      <c r="AP635" s="2">
        <v>42746</v>
      </c>
      <c r="AQ635" t="s">
        <v>72</v>
      </c>
      <c r="AR635" t="s">
        <v>72</v>
      </c>
      <c r="AS635">
        <v>2318</v>
      </c>
      <c r="AT635" s="4">
        <v>42620</v>
      </c>
      <c r="AU635" t="s">
        <v>73</v>
      </c>
      <c r="AV635">
        <v>2318</v>
      </c>
      <c r="AW635" s="4">
        <v>42620</v>
      </c>
      <c r="BD635">
        <v>0</v>
      </c>
      <c r="BN635" t="s">
        <v>74</v>
      </c>
    </row>
    <row r="636" spans="1:66" hidden="1">
      <c r="A636">
        <v>100164</v>
      </c>
      <c r="B636" s="3" t="s">
        <v>137</v>
      </c>
      <c r="C636" s="1">
        <v>43300101</v>
      </c>
      <c r="D636" t="s">
        <v>67</v>
      </c>
      <c r="H636" t="str">
        <f t="shared" si="60"/>
        <v>00803890151</v>
      </c>
      <c r="I636" t="str">
        <f t="shared" si="60"/>
        <v>00803890151</v>
      </c>
      <c r="K636" t="str">
        <f>""</f>
        <v/>
      </c>
      <c r="M636" t="s">
        <v>68</v>
      </c>
      <c r="N636" t="str">
        <f t="shared" si="59"/>
        <v>FOR</v>
      </c>
      <c r="O636" t="s">
        <v>69</v>
      </c>
      <c r="P636" s="3" t="s">
        <v>75</v>
      </c>
      <c r="Q636">
        <v>2016</v>
      </c>
      <c r="R636" s="2">
        <v>42460</v>
      </c>
      <c r="S636" s="2">
        <v>42464</v>
      </c>
      <c r="T636" s="2">
        <v>42460</v>
      </c>
      <c r="U636" s="2">
        <v>42520</v>
      </c>
      <c r="V636" t="s">
        <v>71</v>
      </c>
      <c r="W636" t="str">
        <f>"           162012258"</f>
        <v xml:space="preserve">           162012258</v>
      </c>
      <c r="X636">
        <v>85.4</v>
      </c>
      <c r="Y636">
        <v>0</v>
      </c>
      <c r="Z636"/>
      <c r="AB636"/>
      <c r="AC636">
        <v>70</v>
      </c>
      <c r="AD636">
        <v>100</v>
      </c>
      <c r="AE636" s="1">
        <v>7000</v>
      </c>
      <c r="AF636">
        <v>0</v>
      </c>
      <c r="AJ636">
        <v>0</v>
      </c>
      <c r="AK636">
        <v>0</v>
      </c>
      <c r="AL636">
        <v>0</v>
      </c>
      <c r="AM636">
        <v>85.4</v>
      </c>
      <c r="AN636">
        <v>85.4</v>
      </c>
      <c r="AO636">
        <v>85.4</v>
      </c>
      <c r="AP636" s="2">
        <v>42746</v>
      </c>
      <c r="AQ636" t="s">
        <v>72</v>
      </c>
      <c r="AR636" t="s">
        <v>72</v>
      </c>
      <c r="AS636">
        <v>2318</v>
      </c>
      <c r="AT636" s="4">
        <v>42620</v>
      </c>
      <c r="AU636" t="s">
        <v>73</v>
      </c>
      <c r="AV636">
        <v>2318</v>
      </c>
      <c r="AW636" s="4">
        <v>42620</v>
      </c>
      <c r="BD636">
        <v>0</v>
      </c>
      <c r="BN636" t="s">
        <v>74</v>
      </c>
    </row>
    <row r="637" spans="1:66" hidden="1">
      <c r="A637">
        <v>100164</v>
      </c>
      <c r="B637" s="3" t="s">
        <v>137</v>
      </c>
      <c r="C637" s="1">
        <v>43300101</v>
      </c>
      <c r="D637" t="s">
        <v>67</v>
      </c>
      <c r="H637" t="str">
        <f t="shared" si="60"/>
        <v>00803890151</v>
      </c>
      <c r="I637" t="str">
        <f t="shared" si="60"/>
        <v>00803890151</v>
      </c>
      <c r="K637" t="str">
        <f>""</f>
        <v/>
      </c>
      <c r="M637" t="s">
        <v>68</v>
      </c>
      <c r="N637" t="str">
        <f t="shared" si="59"/>
        <v>FOR</v>
      </c>
      <c r="O637" t="s">
        <v>69</v>
      </c>
      <c r="P637" s="3" t="s">
        <v>75</v>
      </c>
      <c r="Q637">
        <v>2016</v>
      </c>
      <c r="R637" s="2">
        <v>42468</v>
      </c>
      <c r="S637" s="2">
        <v>42473</v>
      </c>
      <c r="T637" s="2">
        <v>42469</v>
      </c>
      <c r="U637" s="2">
        <v>42529</v>
      </c>
      <c r="V637" t="s">
        <v>71</v>
      </c>
      <c r="W637" t="str">
        <f>"           162013214"</f>
        <v xml:space="preserve">           162013214</v>
      </c>
      <c r="X637" s="1">
        <v>3352.86</v>
      </c>
      <c r="Y637">
        <v>0</v>
      </c>
      <c r="Z637"/>
      <c r="AB637"/>
      <c r="AC637" s="1">
        <v>2748.24</v>
      </c>
      <c r="AD637">
        <v>91</v>
      </c>
      <c r="AE637" s="1">
        <v>250089.84</v>
      </c>
      <c r="AF637">
        <v>0</v>
      </c>
      <c r="AJ637">
        <v>0</v>
      </c>
      <c r="AK637">
        <v>0</v>
      </c>
      <c r="AL637">
        <v>0</v>
      </c>
      <c r="AM637" s="1">
        <v>3352.86</v>
      </c>
      <c r="AN637" s="1">
        <v>3352.86</v>
      </c>
      <c r="AO637" s="1">
        <v>3352.86</v>
      </c>
      <c r="AP637" s="2">
        <v>42746</v>
      </c>
      <c r="AQ637" t="s">
        <v>72</v>
      </c>
      <c r="AR637" t="s">
        <v>72</v>
      </c>
      <c r="AS637">
        <v>2318</v>
      </c>
      <c r="AT637" s="4">
        <v>42620</v>
      </c>
      <c r="AU637" t="s">
        <v>73</v>
      </c>
      <c r="AV637">
        <v>2318</v>
      </c>
      <c r="AW637" s="4">
        <v>42620</v>
      </c>
      <c r="BD637">
        <v>0</v>
      </c>
      <c r="BN637" t="s">
        <v>74</v>
      </c>
    </row>
    <row r="638" spans="1:66" hidden="1">
      <c r="A638">
        <v>100164</v>
      </c>
      <c r="B638" s="3" t="s">
        <v>137</v>
      </c>
      <c r="C638" s="1">
        <v>43300101</v>
      </c>
      <c r="D638" t="s">
        <v>67</v>
      </c>
      <c r="H638" t="str">
        <f t="shared" si="60"/>
        <v>00803890151</v>
      </c>
      <c r="I638" t="str">
        <f t="shared" si="60"/>
        <v>00803890151</v>
      </c>
      <c r="K638" t="str">
        <f>""</f>
        <v/>
      </c>
      <c r="M638" t="s">
        <v>68</v>
      </c>
      <c r="N638" t="str">
        <f t="shared" si="59"/>
        <v>FOR</v>
      </c>
      <c r="O638" t="s">
        <v>69</v>
      </c>
      <c r="P638" s="3" t="s">
        <v>75</v>
      </c>
      <c r="Q638">
        <v>2016</v>
      </c>
      <c r="R638" s="2">
        <v>42471</v>
      </c>
      <c r="S638" s="2">
        <v>42473</v>
      </c>
      <c r="T638" s="2">
        <v>42471</v>
      </c>
      <c r="U638" s="2">
        <v>42531</v>
      </c>
      <c r="V638" t="s">
        <v>71</v>
      </c>
      <c r="W638" t="str">
        <f>"           162013500"</f>
        <v xml:space="preserve">           162013500</v>
      </c>
      <c r="X638">
        <v>161.04</v>
      </c>
      <c r="Y638">
        <v>0</v>
      </c>
      <c r="Z638"/>
      <c r="AB638"/>
      <c r="AC638">
        <v>132</v>
      </c>
      <c r="AD638">
        <v>89</v>
      </c>
      <c r="AE638" s="1">
        <v>11748</v>
      </c>
      <c r="AF638">
        <v>0</v>
      </c>
      <c r="AJ638">
        <v>0</v>
      </c>
      <c r="AK638">
        <v>0</v>
      </c>
      <c r="AL638">
        <v>0</v>
      </c>
      <c r="AM638">
        <v>161.04</v>
      </c>
      <c r="AN638">
        <v>161.04</v>
      </c>
      <c r="AO638">
        <v>161.04</v>
      </c>
      <c r="AP638" s="2">
        <v>42746</v>
      </c>
      <c r="AQ638" t="s">
        <v>72</v>
      </c>
      <c r="AR638" t="s">
        <v>72</v>
      </c>
      <c r="AS638">
        <v>2318</v>
      </c>
      <c r="AT638" s="4">
        <v>42620</v>
      </c>
      <c r="AU638" t="s">
        <v>73</v>
      </c>
      <c r="AV638">
        <v>2318</v>
      </c>
      <c r="AW638" s="4">
        <v>42620</v>
      </c>
      <c r="BD638">
        <v>0</v>
      </c>
      <c r="BN638" t="s">
        <v>74</v>
      </c>
    </row>
    <row r="639" spans="1:66" hidden="1">
      <c r="A639">
        <v>100164</v>
      </c>
      <c r="B639" s="3" t="s">
        <v>137</v>
      </c>
      <c r="C639" s="1">
        <v>43300101</v>
      </c>
      <c r="D639" t="s">
        <v>67</v>
      </c>
      <c r="H639" t="str">
        <f t="shared" si="60"/>
        <v>00803890151</v>
      </c>
      <c r="I639" t="str">
        <f t="shared" si="60"/>
        <v>00803890151</v>
      </c>
      <c r="K639" t="str">
        <f>""</f>
        <v/>
      </c>
      <c r="M639" t="s">
        <v>68</v>
      </c>
      <c r="N639" t="str">
        <f t="shared" si="59"/>
        <v>FOR</v>
      </c>
      <c r="O639" t="s">
        <v>69</v>
      </c>
      <c r="P639" s="3" t="s">
        <v>75</v>
      </c>
      <c r="Q639">
        <v>2016</v>
      </c>
      <c r="R639" s="2">
        <v>42471</v>
      </c>
      <c r="S639" s="2">
        <v>42473</v>
      </c>
      <c r="T639" s="2">
        <v>42471</v>
      </c>
      <c r="U639" s="2">
        <v>42531</v>
      </c>
      <c r="V639" t="s">
        <v>71</v>
      </c>
      <c r="W639" t="str">
        <f>"           162013501"</f>
        <v xml:space="preserve">           162013501</v>
      </c>
      <c r="X639" s="1">
        <v>6710</v>
      </c>
      <c r="Y639">
        <v>0</v>
      </c>
      <c r="Z639"/>
      <c r="AB639"/>
      <c r="AC639" s="1">
        <v>5500</v>
      </c>
      <c r="AD639">
        <v>89</v>
      </c>
      <c r="AE639" s="1">
        <v>489500</v>
      </c>
      <c r="AF639">
        <v>0</v>
      </c>
      <c r="AJ639">
        <v>0</v>
      </c>
      <c r="AK639">
        <v>0</v>
      </c>
      <c r="AL639">
        <v>0</v>
      </c>
      <c r="AM639" s="1">
        <v>6710</v>
      </c>
      <c r="AN639" s="1">
        <v>6710</v>
      </c>
      <c r="AO639" s="1">
        <v>6710</v>
      </c>
      <c r="AP639" s="2">
        <v>42746</v>
      </c>
      <c r="AQ639" t="s">
        <v>72</v>
      </c>
      <c r="AR639" t="s">
        <v>72</v>
      </c>
      <c r="AS639">
        <v>2318</v>
      </c>
      <c r="AT639" s="4">
        <v>42620</v>
      </c>
      <c r="AU639" t="s">
        <v>73</v>
      </c>
      <c r="AV639">
        <v>2318</v>
      </c>
      <c r="AW639" s="4">
        <v>42620</v>
      </c>
      <c r="BD639">
        <v>0</v>
      </c>
      <c r="BN639" t="s">
        <v>74</v>
      </c>
    </row>
    <row r="640" spans="1:66" hidden="1">
      <c r="A640">
        <v>100164</v>
      </c>
      <c r="B640" s="3" t="s">
        <v>137</v>
      </c>
      <c r="C640" s="1">
        <v>43300101</v>
      </c>
      <c r="D640" t="s">
        <v>67</v>
      </c>
      <c r="H640" t="str">
        <f t="shared" si="60"/>
        <v>00803890151</v>
      </c>
      <c r="I640" t="str">
        <f t="shared" si="60"/>
        <v>00803890151</v>
      </c>
      <c r="K640" t="str">
        <f>""</f>
        <v/>
      </c>
      <c r="M640" t="s">
        <v>68</v>
      </c>
      <c r="N640" t="str">
        <f t="shared" si="59"/>
        <v>FOR</v>
      </c>
      <c r="O640" t="s">
        <v>69</v>
      </c>
      <c r="P640" s="3" t="s">
        <v>75</v>
      </c>
      <c r="Q640">
        <v>2016</v>
      </c>
      <c r="R640" s="2">
        <v>42485</v>
      </c>
      <c r="S640" s="2">
        <v>42487</v>
      </c>
      <c r="T640" s="2">
        <v>42485</v>
      </c>
      <c r="U640" s="2">
        <v>42545</v>
      </c>
      <c r="V640" t="s">
        <v>71</v>
      </c>
      <c r="W640" t="str">
        <f>"           162015315"</f>
        <v xml:space="preserve">           162015315</v>
      </c>
      <c r="X640" s="1">
        <v>15436.05</v>
      </c>
      <c r="Y640">
        <v>0</v>
      </c>
      <c r="Z640"/>
      <c r="AB640"/>
      <c r="AC640" s="1">
        <v>12652.5</v>
      </c>
      <c r="AD640">
        <v>75</v>
      </c>
      <c r="AE640" s="1">
        <v>948937.5</v>
      </c>
      <c r="AF640">
        <v>0</v>
      </c>
      <c r="AJ640">
        <v>0</v>
      </c>
      <c r="AK640">
        <v>0</v>
      </c>
      <c r="AL640">
        <v>0</v>
      </c>
      <c r="AM640" s="1">
        <v>15436.05</v>
      </c>
      <c r="AN640" s="1">
        <v>15436.05</v>
      </c>
      <c r="AO640" s="1">
        <v>15436.05</v>
      </c>
      <c r="AP640" s="2">
        <v>42746</v>
      </c>
      <c r="AQ640" t="s">
        <v>72</v>
      </c>
      <c r="AR640" t="s">
        <v>72</v>
      </c>
      <c r="AS640">
        <v>2318</v>
      </c>
      <c r="AT640" s="4">
        <v>42620</v>
      </c>
      <c r="AU640" t="s">
        <v>73</v>
      </c>
      <c r="AV640">
        <v>2318</v>
      </c>
      <c r="AW640" s="4">
        <v>42620</v>
      </c>
      <c r="BD640">
        <v>0</v>
      </c>
      <c r="BN640" t="s">
        <v>74</v>
      </c>
    </row>
    <row r="641" spans="1:66" hidden="1">
      <c r="A641">
        <v>100164</v>
      </c>
      <c r="B641" s="3" t="s">
        <v>137</v>
      </c>
      <c r="C641" s="1">
        <v>43300101</v>
      </c>
      <c r="D641" t="s">
        <v>67</v>
      </c>
      <c r="H641" t="str">
        <f t="shared" si="60"/>
        <v>00803890151</v>
      </c>
      <c r="I641" t="str">
        <f t="shared" si="60"/>
        <v>00803890151</v>
      </c>
      <c r="K641" t="str">
        <f>""</f>
        <v/>
      </c>
      <c r="M641" t="s">
        <v>68</v>
      </c>
      <c r="N641" t="str">
        <f t="shared" si="59"/>
        <v>FOR</v>
      </c>
      <c r="O641" t="s">
        <v>69</v>
      </c>
      <c r="P641" s="3" t="s">
        <v>75</v>
      </c>
      <c r="Q641">
        <v>2016</v>
      </c>
      <c r="R641" s="2">
        <v>42489</v>
      </c>
      <c r="S641" s="2">
        <v>42492</v>
      </c>
      <c r="T641" s="2">
        <v>42489</v>
      </c>
      <c r="U641" s="2">
        <v>42549</v>
      </c>
      <c r="V641" t="s">
        <v>71</v>
      </c>
      <c r="W641" t="str">
        <f>"           162016249"</f>
        <v xml:space="preserve">           162016249</v>
      </c>
      <c r="X641">
        <v>671</v>
      </c>
      <c r="Y641">
        <v>0</v>
      </c>
      <c r="Z641"/>
      <c r="AB641"/>
      <c r="AC641">
        <v>550</v>
      </c>
      <c r="AD641">
        <v>71</v>
      </c>
      <c r="AE641" s="1">
        <v>39050</v>
      </c>
      <c r="AF641">
        <v>0</v>
      </c>
      <c r="AJ641">
        <v>0</v>
      </c>
      <c r="AK641">
        <v>0</v>
      </c>
      <c r="AL641">
        <v>0</v>
      </c>
      <c r="AM641">
        <v>671</v>
      </c>
      <c r="AN641">
        <v>671</v>
      </c>
      <c r="AO641">
        <v>671</v>
      </c>
      <c r="AP641" s="2">
        <v>42746</v>
      </c>
      <c r="AQ641" t="s">
        <v>72</v>
      </c>
      <c r="AR641" t="s">
        <v>72</v>
      </c>
      <c r="AS641">
        <v>2318</v>
      </c>
      <c r="AT641" s="4">
        <v>42620</v>
      </c>
      <c r="AU641" t="s">
        <v>73</v>
      </c>
      <c r="AV641">
        <v>2318</v>
      </c>
      <c r="AW641" s="4">
        <v>42620</v>
      </c>
      <c r="BD641">
        <v>0</v>
      </c>
      <c r="BN641" t="s">
        <v>74</v>
      </c>
    </row>
    <row r="642" spans="1:66" hidden="1">
      <c r="A642">
        <v>100164</v>
      </c>
      <c r="B642" s="3" t="s">
        <v>137</v>
      </c>
      <c r="C642" s="1">
        <v>43300101</v>
      </c>
      <c r="D642" t="s">
        <v>67</v>
      </c>
      <c r="H642" t="str">
        <f t="shared" si="60"/>
        <v>00803890151</v>
      </c>
      <c r="I642" t="str">
        <f t="shared" si="60"/>
        <v>00803890151</v>
      </c>
      <c r="K642" t="str">
        <f>""</f>
        <v/>
      </c>
      <c r="M642" t="s">
        <v>68</v>
      </c>
      <c r="N642" t="str">
        <f t="shared" si="59"/>
        <v>FOR</v>
      </c>
      <c r="O642" t="s">
        <v>69</v>
      </c>
      <c r="P642" s="3" t="s">
        <v>75</v>
      </c>
      <c r="Q642">
        <v>2016</v>
      </c>
      <c r="R642" s="2">
        <v>42496</v>
      </c>
      <c r="S642" s="2">
        <v>42501</v>
      </c>
      <c r="T642" s="2">
        <v>42496</v>
      </c>
      <c r="U642" s="2">
        <v>42556</v>
      </c>
      <c r="V642" t="s">
        <v>71</v>
      </c>
      <c r="W642" t="str">
        <f>"           162017106"</f>
        <v xml:space="preserve">           162017106</v>
      </c>
      <c r="X642" s="1">
        <v>1498.89</v>
      </c>
      <c r="Y642">
        <v>0</v>
      </c>
      <c r="Z642"/>
      <c r="AB642"/>
      <c r="AC642" s="1">
        <v>1228.5999999999999</v>
      </c>
      <c r="AD642">
        <v>64</v>
      </c>
      <c r="AE642" s="1">
        <v>78630.399999999994</v>
      </c>
      <c r="AF642">
        <v>0</v>
      </c>
      <c r="AJ642">
        <v>0</v>
      </c>
      <c r="AK642">
        <v>0</v>
      </c>
      <c r="AL642">
        <v>0</v>
      </c>
      <c r="AM642" s="1">
        <v>1498.89</v>
      </c>
      <c r="AN642" s="1">
        <v>1498.89</v>
      </c>
      <c r="AO642" s="1">
        <v>1498.89</v>
      </c>
      <c r="AP642" s="2">
        <v>42746</v>
      </c>
      <c r="AQ642" t="s">
        <v>72</v>
      </c>
      <c r="AR642" t="s">
        <v>72</v>
      </c>
      <c r="AS642">
        <v>2318</v>
      </c>
      <c r="AT642" s="4">
        <v>42620</v>
      </c>
      <c r="AU642" t="s">
        <v>73</v>
      </c>
      <c r="AV642">
        <v>2318</v>
      </c>
      <c r="AW642" s="4">
        <v>42620</v>
      </c>
      <c r="BD642">
        <v>0</v>
      </c>
      <c r="BN642" t="s">
        <v>74</v>
      </c>
    </row>
    <row r="643" spans="1:66" hidden="1">
      <c r="A643">
        <v>100164</v>
      </c>
      <c r="B643" s="3" t="s">
        <v>137</v>
      </c>
      <c r="C643" s="1">
        <v>43300101</v>
      </c>
      <c r="D643" t="s">
        <v>67</v>
      </c>
      <c r="H643" t="str">
        <f t="shared" si="60"/>
        <v>00803890151</v>
      </c>
      <c r="I643" t="str">
        <f t="shared" si="60"/>
        <v>00803890151</v>
      </c>
      <c r="K643" t="str">
        <f>""</f>
        <v/>
      </c>
      <c r="M643" t="s">
        <v>68</v>
      </c>
      <c r="N643" t="str">
        <f t="shared" si="59"/>
        <v>FOR</v>
      </c>
      <c r="O643" t="s">
        <v>69</v>
      </c>
      <c r="P643" s="3" t="s">
        <v>75</v>
      </c>
      <c r="Q643">
        <v>2016</v>
      </c>
      <c r="R643" s="2">
        <v>42499</v>
      </c>
      <c r="S643" s="2">
        <v>42501</v>
      </c>
      <c r="T643" s="2">
        <v>42500</v>
      </c>
      <c r="U643" s="2">
        <v>42560</v>
      </c>
      <c r="V643" t="s">
        <v>71</v>
      </c>
      <c r="W643" t="str">
        <f>"           162017345"</f>
        <v xml:space="preserve">           162017345</v>
      </c>
      <c r="X643">
        <v>699.88</v>
      </c>
      <c r="Y643">
        <v>0</v>
      </c>
      <c r="Z643"/>
      <c r="AB643"/>
      <c r="AC643">
        <v>573.67999999999995</v>
      </c>
      <c r="AD643">
        <v>60</v>
      </c>
      <c r="AE643" s="1">
        <v>34420.800000000003</v>
      </c>
      <c r="AF643">
        <v>0</v>
      </c>
      <c r="AJ643">
        <v>0</v>
      </c>
      <c r="AK643">
        <v>0</v>
      </c>
      <c r="AL643">
        <v>0</v>
      </c>
      <c r="AM643">
        <v>699.88</v>
      </c>
      <c r="AN643">
        <v>699.88</v>
      </c>
      <c r="AO643">
        <v>699.88</v>
      </c>
      <c r="AP643" s="2">
        <v>42746</v>
      </c>
      <c r="AQ643" t="s">
        <v>72</v>
      </c>
      <c r="AR643" t="s">
        <v>72</v>
      </c>
      <c r="AS643">
        <v>2318</v>
      </c>
      <c r="AT643" s="4">
        <v>42620</v>
      </c>
      <c r="AU643" t="s">
        <v>73</v>
      </c>
      <c r="AV643">
        <v>2318</v>
      </c>
      <c r="AW643" s="4">
        <v>42620</v>
      </c>
      <c r="BD643">
        <v>0</v>
      </c>
      <c r="BN643" t="s">
        <v>74</v>
      </c>
    </row>
    <row r="644" spans="1:66" hidden="1">
      <c r="A644">
        <v>100164</v>
      </c>
      <c r="B644" s="3" t="s">
        <v>137</v>
      </c>
      <c r="C644" s="1">
        <v>43300101</v>
      </c>
      <c r="D644" t="s">
        <v>67</v>
      </c>
      <c r="H644" t="str">
        <f t="shared" si="60"/>
        <v>00803890151</v>
      </c>
      <c r="I644" t="str">
        <f t="shared" si="60"/>
        <v>00803890151</v>
      </c>
      <c r="K644" t="str">
        <f>""</f>
        <v/>
      </c>
      <c r="M644" t="s">
        <v>68</v>
      </c>
      <c r="N644" t="str">
        <f t="shared" si="59"/>
        <v>FOR</v>
      </c>
      <c r="O644" t="s">
        <v>69</v>
      </c>
      <c r="P644" s="3" t="s">
        <v>75</v>
      </c>
      <c r="Q644">
        <v>2016</v>
      </c>
      <c r="R644" s="2">
        <v>42507</v>
      </c>
      <c r="S644" s="2">
        <v>42516</v>
      </c>
      <c r="T644" s="2">
        <v>42507</v>
      </c>
      <c r="U644" s="2">
        <v>42567</v>
      </c>
      <c r="V644" t="s">
        <v>71</v>
      </c>
      <c r="W644" t="str">
        <f>"           162018438"</f>
        <v xml:space="preserve">           162018438</v>
      </c>
      <c r="X644">
        <v>671</v>
      </c>
      <c r="Y644">
        <v>0</v>
      </c>
      <c r="Z644"/>
      <c r="AB644"/>
      <c r="AC644">
        <v>550</v>
      </c>
      <c r="AD644">
        <v>53</v>
      </c>
      <c r="AE644" s="1">
        <v>29150</v>
      </c>
      <c r="AF644">
        <v>0</v>
      </c>
      <c r="AJ644">
        <v>0</v>
      </c>
      <c r="AK644">
        <v>0</v>
      </c>
      <c r="AL644">
        <v>0</v>
      </c>
      <c r="AM644">
        <v>671</v>
      </c>
      <c r="AN644">
        <v>671</v>
      </c>
      <c r="AO644">
        <v>671</v>
      </c>
      <c r="AP644" s="2">
        <v>42746</v>
      </c>
      <c r="AQ644" t="s">
        <v>72</v>
      </c>
      <c r="AR644" t="s">
        <v>72</v>
      </c>
      <c r="AS644">
        <v>2318</v>
      </c>
      <c r="AT644" s="4">
        <v>42620</v>
      </c>
      <c r="AU644" t="s">
        <v>73</v>
      </c>
      <c r="AV644">
        <v>2318</v>
      </c>
      <c r="AW644" s="4">
        <v>42620</v>
      </c>
      <c r="BD644">
        <v>0</v>
      </c>
      <c r="BN644" t="s">
        <v>74</v>
      </c>
    </row>
    <row r="645" spans="1:66" hidden="1">
      <c r="A645">
        <v>100164</v>
      </c>
      <c r="B645" s="3" t="s">
        <v>137</v>
      </c>
      <c r="C645" s="1">
        <v>43300101</v>
      </c>
      <c r="D645" t="s">
        <v>67</v>
      </c>
      <c r="H645" t="str">
        <f t="shared" si="60"/>
        <v>00803890151</v>
      </c>
      <c r="I645" t="str">
        <f t="shared" si="60"/>
        <v>00803890151</v>
      </c>
      <c r="K645" t="str">
        <f>""</f>
        <v/>
      </c>
      <c r="M645" t="s">
        <v>68</v>
      </c>
      <c r="N645" t="str">
        <f t="shared" si="59"/>
        <v>FOR</v>
      </c>
      <c r="O645" t="s">
        <v>69</v>
      </c>
      <c r="P645" s="3" t="s">
        <v>75</v>
      </c>
      <c r="Q645">
        <v>2016</v>
      </c>
      <c r="R645" s="2">
        <v>42522</v>
      </c>
      <c r="S645" s="2">
        <v>42522</v>
      </c>
      <c r="T645" s="2">
        <v>42522</v>
      </c>
      <c r="U645" s="2">
        <v>42582</v>
      </c>
      <c r="V645" t="s">
        <v>71</v>
      </c>
      <c r="W645" t="str">
        <f>"           162020659"</f>
        <v xml:space="preserve">           162020659</v>
      </c>
      <c r="X645">
        <v>119.56</v>
      </c>
      <c r="Y645">
        <v>0</v>
      </c>
      <c r="Z645"/>
      <c r="AB645"/>
      <c r="AC645">
        <v>98</v>
      </c>
      <c r="AD645">
        <v>38</v>
      </c>
      <c r="AE645" s="1">
        <v>3724</v>
      </c>
      <c r="AF645">
        <v>0</v>
      </c>
      <c r="AJ645">
        <v>0</v>
      </c>
      <c r="AK645">
        <v>0</v>
      </c>
      <c r="AL645">
        <v>0</v>
      </c>
      <c r="AM645">
        <v>119.56</v>
      </c>
      <c r="AN645">
        <v>119.56</v>
      </c>
      <c r="AO645">
        <v>119.56</v>
      </c>
      <c r="AP645" s="2">
        <v>42746</v>
      </c>
      <c r="AQ645" t="s">
        <v>72</v>
      </c>
      <c r="AR645" t="s">
        <v>72</v>
      </c>
      <c r="AS645">
        <v>2318</v>
      </c>
      <c r="AT645" s="4">
        <v>42620</v>
      </c>
      <c r="AU645" t="s">
        <v>73</v>
      </c>
      <c r="AV645">
        <v>2318</v>
      </c>
      <c r="AW645" s="4">
        <v>42620</v>
      </c>
      <c r="BD645">
        <v>0</v>
      </c>
      <c r="BN645" t="s">
        <v>74</v>
      </c>
    </row>
    <row r="646" spans="1:66" hidden="1">
      <c r="A646">
        <v>100164</v>
      </c>
      <c r="B646" s="3" t="s">
        <v>137</v>
      </c>
      <c r="C646" s="1">
        <v>43300101</v>
      </c>
      <c r="D646" t="s">
        <v>67</v>
      </c>
      <c r="H646" t="str">
        <f t="shared" si="60"/>
        <v>00803890151</v>
      </c>
      <c r="I646" t="str">
        <f t="shared" si="60"/>
        <v>00803890151</v>
      </c>
      <c r="K646" t="str">
        <f>""</f>
        <v/>
      </c>
      <c r="M646" t="s">
        <v>68</v>
      </c>
      <c r="N646" t="str">
        <f t="shared" si="59"/>
        <v>FOR</v>
      </c>
      <c r="O646" t="s">
        <v>69</v>
      </c>
      <c r="P646" s="3" t="s">
        <v>75</v>
      </c>
      <c r="Q646">
        <v>2016</v>
      </c>
      <c r="R646" s="2">
        <v>42523</v>
      </c>
      <c r="S646" s="2">
        <v>42529</v>
      </c>
      <c r="T646" s="2">
        <v>42523</v>
      </c>
      <c r="U646" s="2">
        <v>42583</v>
      </c>
      <c r="V646" t="s">
        <v>71</v>
      </c>
      <c r="W646" t="str">
        <f>"           162020870"</f>
        <v xml:space="preserve">           162020870</v>
      </c>
      <c r="X646">
        <v>256.2</v>
      </c>
      <c r="Y646">
        <v>0</v>
      </c>
      <c r="Z646"/>
      <c r="AB646"/>
      <c r="AC646">
        <v>210</v>
      </c>
      <c r="AD646">
        <v>37</v>
      </c>
      <c r="AE646" s="1">
        <v>7770</v>
      </c>
      <c r="AF646">
        <v>0</v>
      </c>
      <c r="AJ646">
        <v>0</v>
      </c>
      <c r="AK646">
        <v>0</v>
      </c>
      <c r="AL646">
        <v>0</v>
      </c>
      <c r="AM646">
        <v>256.2</v>
      </c>
      <c r="AN646">
        <v>256.2</v>
      </c>
      <c r="AO646">
        <v>256.2</v>
      </c>
      <c r="AP646" s="2">
        <v>42746</v>
      </c>
      <c r="AQ646" t="s">
        <v>72</v>
      </c>
      <c r="AR646" t="s">
        <v>72</v>
      </c>
      <c r="AS646">
        <v>2318</v>
      </c>
      <c r="AT646" s="4">
        <v>42620</v>
      </c>
      <c r="AU646" t="s">
        <v>73</v>
      </c>
      <c r="AV646">
        <v>2318</v>
      </c>
      <c r="AW646" s="4">
        <v>42620</v>
      </c>
      <c r="BD646">
        <v>0</v>
      </c>
      <c r="BN646" t="s">
        <v>74</v>
      </c>
    </row>
    <row r="647" spans="1:66" hidden="1">
      <c r="A647">
        <v>100164</v>
      </c>
      <c r="B647" s="3" t="s">
        <v>137</v>
      </c>
      <c r="C647" s="1">
        <v>43300101</v>
      </c>
      <c r="D647" t="s">
        <v>67</v>
      </c>
      <c r="H647" t="str">
        <f t="shared" si="60"/>
        <v>00803890151</v>
      </c>
      <c r="I647" t="str">
        <f t="shared" si="60"/>
        <v>00803890151</v>
      </c>
      <c r="K647" t="str">
        <f>""</f>
        <v/>
      </c>
      <c r="M647" t="s">
        <v>68</v>
      </c>
      <c r="N647" t="str">
        <f t="shared" si="59"/>
        <v>FOR</v>
      </c>
      <c r="O647" t="s">
        <v>69</v>
      </c>
      <c r="P647" s="3" t="s">
        <v>75</v>
      </c>
      <c r="Q647">
        <v>2016</v>
      </c>
      <c r="R647" s="2">
        <v>42523</v>
      </c>
      <c r="S647" s="2">
        <v>42529</v>
      </c>
      <c r="T647" s="2">
        <v>42523</v>
      </c>
      <c r="U647" s="2">
        <v>42583</v>
      </c>
      <c r="V647" t="s">
        <v>71</v>
      </c>
      <c r="W647" t="str">
        <f>"           162020871"</f>
        <v xml:space="preserve">           162020871</v>
      </c>
      <c r="X647">
        <v>73.2</v>
      </c>
      <c r="Y647">
        <v>0</v>
      </c>
      <c r="Z647"/>
      <c r="AB647"/>
      <c r="AC647">
        <v>60</v>
      </c>
      <c r="AD647">
        <v>37</v>
      </c>
      <c r="AE647" s="1">
        <v>2220</v>
      </c>
      <c r="AF647">
        <v>0</v>
      </c>
      <c r="AJ647">
        <v>0</v>
      </c>
      <c r="AK647">
        <v>0</v>
      </c>
      <c r="AL647">
        <v>0</v>
      </c>
      <c r="AM647">
        <v>73.2</v>
      </c>
      <c r="AN647">
        <v>73.2</v>
      </c>
      <c r="AO647">
        <v>73.2</v>
      </c>
      <c r="AP647" s="2">
        <v>42746</v>
      </c>
      <c r="AQ647" t="s">
        <v>72</v>
      </c>
      <c r="AR647" t="s">
        <v>72</v>
      </c>
      <c r="AS647">
        <v>2318</v>
      </c>
      <c r="AT647" s="4">
        <v>42620</v>
      </c>
      <c r="AU647" t="s">
        <v>73</v>
      </c>
      <c r="AV647">
        <v>2318</v>
      </c>
      <c r="AW647" s="4">
        <v>42620</v>
      </c>
      <c r="BD647">
        <v>0</v>
      </c>
      <c r="BN647" t="s">
        <v>74</v>
      </c>
    </row>
    <row r="648" spans="1:66" hidden="1">
      <c r="A648">
        <v>100164</v>
      </c>
      <c r="B648" s="3" t="s">
        <v>137</v>
      </c>
      <c r="C648" s="1">
        <v>43300101</v>
      </c>
      <c r="D648" t="s">
        <v>67</v>
      </c>
      <c r="H648" t="str">
        <f t="shared" si="60"/>
        <v>00803890151</v>
      </c>
      <c r="I648" t="str">
        <f t="shared" si="60"/>
        <v>00803890151</v>
      </c>
      <c r="K648" t="str">
        <f>""</f>
        <v/>
      </c>
      <c r="M648" t="s">
        <v>68</v>
      </c>
      <c r="N648" t="str">
        <f t="shared" si="59"/>
        <v>FOR</v>
      </c>
      <c r="O648" t="s">
        <v>69</v>
      </c>
      <c r="P648" s="3" t="s">
        <v>75</v>
      </c>
      <c r="Q648">
        <v>2016</v>
      </c>
      <c r="R648" s="2">
        <v>42523</v>
      </c>
      <c r="S648" s="2">
        <v>42529</v>
      </c>
      <c r="T648" s="2">
        <v>42523</v>
      </c>
      <c r="U648" s="2">
        <v>42583</v>
      </c>
      <c r="V648" t="s">
        <v>71</v>
      </c>
      <c r="W648" t="str">
        <f>"           162020872"</f>
        <v xml:space="preserve">           162020872</v>
      </c>
      <c r="X648" s="1">
        <v>4831.2</v>
      </c>
      <c r="Y648">
        <v>0</v>
      </c>
      <c r="Z648"/>
      <c r="AB648"/>
      <c r="AC648" s="1">
        <v>3960</v>
      </c>
      <c r="AD648">
        <v>37</v>
      </c>
      <c r="AE648" s="1">
        <v>146520</v>
      </c>
      <c r="AF648">
        <v>0</v>
      </c>
      <c r="AJ648">
        <v>0</v>
      </c>
      <c r="AK648">
        <v>0</v>
      </c>
      <c r="AL648">
        <v>0</v>
      </c>
      <c r="AM648" s="1">
        <v>4831.2</v>
      </c>
      <c r="AN648" s="1">
        <v>4831.2</v>
      </c>
      <c r="AO648" s="1">
        <v>4831.2</v>
      </c>
      <c r="AP648" s="2">
        <v>42746</v>
      </c>
      <c r="AQ648" t="s">
        <v>72</v>
      </c>
      <c r="AR648" t="s">
        <v>72</v>
      </c>
      <c r="AS648">
        <v>2318</v>
      </c>
      <c r="AT648" s="4">
        <v>42620</v>
      </c>
      <c r="AU648" t="s">
        <v>73</v>
      </c>
      <c r="AV648">
        <v>2318</v>
      </c>
      <c r="AW648" s="4">
        <v>42620</v>
      </c>
      <c r="BD648">
        <v>0</v>
      </c>
      <c r="BN648" t="s">
        <v>74</v>
      </c>
    </row>
    <row r="649" spans="1:66" hidden="1">
      <c r="A649">
        <v>100164</v>
      </c>
      <c r="B649" s="3" t="s">
        <v>137</v>
      </c>
      <c r="C649" s="1">
        <v>43300101</v>
      </c>
      <c r="D649" t="s">
        <v>67</v>
      </c>
      <c r="H649" t="str">
        <f t="shared" si="60"/>
        <v>00803890151</v>
      </c>
      <c r="I649" t="str">
        <f t="shared" si="60"/>
        <v>00803890151</v>
      </c>
      <c r="K649" t="str">
        <f>""</f>
        <v/>
      </c>
      <c r="M649" t="s">
        <v>68</v>
      </c>
      <c r="N649" t="str">
        <f t="shared" si="59"/>
        <v>FOR</v>
      </c>
      <c r="O649" t="s">
        <v>69</v>
      </c>
      <c r="P649" s="3" t="s">
        <v>75</v>
      </c>
      <c r="Q649">
        <v>2016</v>
      </c>
      <c r="R649" s="2">
        <v>42523</v>
      </c>
      <c r="S649" s="2">
        <v>42529</v>
      </c>
      <c r="T649" s="2">
        <v>42523</v>
      </c>
      <c r="U649" s="2">
        <v>42583</v>
      </c>
      <c r="V649" t="s">
        <v>71</v>
      </c>
      <c r="W649" t="str">
        <f>"           162020873"</f>
        <v xml:space="preserve">           162020873</v>
      </c>
      <c r="X649" s="1">
        <v>1300.52</v>
      </c>
      <c r="Y649">
        <v>0</v>
      </c>
      <c r="Z649"/>
      <c r="AB649"/>
      <c r="AC649" s="1">
        <v>1066</v>
      </c>
      <c r="AD649">
        <v>37</v>
      </c>
      <c r="AE649" s="1">
        <v>39442</v>
      </c>
      <c r="AF649">
        <v>0</v>
      </c>
      <c r="AJ649">
        <v>0</v>
      </c>
      <c r="AK649">
        <v>0</v>
      </c>
      <c r="AL649">
        <v>0</v>
      </c>
      <c r="AM649" s="1">
        <v>1300.52</v>
      </c>
      <c r="AN649" s="1">
        <v>1300.52</v>
      </c>
      <c r="AO649" s="1">
        <v>1300.52</v>
      </c>
      <c r="AP649" s="2">
        <v>42746</v>
      </c>
      <c r="AQ649" t="s">
        <v>72</v>
      </c>
      <c r="AR649" t="s">
        <v>72</v>
      </c>
      <c r="AS649">
        <v>2318</v>
      </c>
      <c r="AT649" s="4">
        <v>42620</v>
      </c>
      <c r="AU649" t="s">
        <v>73</v>
      </c>
      <c r="AV649">
        <v>2318</v>
      </c>
      <c r="AW649" s="4">
        <v>42620</v>
      </c>
      <c r="BD649">
        <v>0</v>
      </c>
      <c r="BN649" t="s">
        <v>74</v>
      </c>
    </row>
    <row r="650" spans="1:66" hidden="1">
      <c r="A650">
        <v>100164</v>
      </c>
      <c r="B650" s="3" t="s">
        <v>137</v>
      </c>
      <c r="C650" s="1">
        <v>43300101</v>
      </c>
      <c r="D650" t="s">
        <v>67</v>
      </c>
      <c r="H650" t="str">
        <f t="shared" si="60"/>
        <v>00803890151</v>
      </c>
      <c r="I650" t="str">
        <f t="shared" si="60"/>
        <v>00803890151</v>
      </c>
      <c r="K650" t="str">
        <f>""</f>
        <v/>
      </c>
      <c r="M650" t="s">
        <v>68</v>
      </c>
      <c r="N650" t="str">
        <f t="shared" si="59"/>
        <v>FOR</v>
      </c>
      <c r="O650" t="s">
        <v>69</v>
      </c>
      <c r="P650" s="3" t="s">
        <v>75</v>
      </c>
      <c r="Q650">
        <v>2016</v>
      </c>
      <c r="R650" s="2">
        <v>42528</v>
      </c>
      <c r="S650" s="2">
        <v>42530</v>
      </c>
      <c r="T650" s="2">
        <v>42528</v>
      </c>
      <c r="U650" s="2">
        <v>42588</v>
      </c>
      <c r="V650" t="s">
        <v>71</v>
      </c>
      <c r="W650" t="str">
        <f>"           162021399"</f>
        <v xml:space="preserve">           162021399</v>
      </c>
      <c r="X650" s="1">
        <v>5032.5</v>
      </c>
      <c r="Y650">
        <v>0</v>
      </c>
      <c r="Z650"/>
      <c r="AB650"/>
      <c r="AC650" s="1">
        <v>4125</v>
      </c>
      <c r="AD650">
        <v>32</v>
      </c>
      <c r="AE650" s="1">
        <v>132000</v>
      </c>
      <c r="AF650">
        <v>0</v>
      </c>
      <c r="AJ650">
        <v>0</v>
      </c>
      <c r="AK650">
        <v>0</v>
      </c>
      <c r="AL650">
        <v>0</v>
      </c>
      <c r="AM650" s="1">
        <v>5032.5</v>
      </c>
      <c r="AN650" s="1">
        <v>5032.5</v>
      </c>
      <c r="AO650" s="1">
        <v>5032.5</v>
      </c>
      <c r="AP650" s="2">
        <v>42746</v>
      </c>
      <c r="AQ650" t="s">
        <v>72</v>
      </c>
      <c r="AR650" t="s">
        <v>72</v>
      </c>
      <c r="AS650">
        <v>2318</v>
      </c>
      <c r="AT650" s="4">
        <v>42620</v>
      </c>
      <c r="AU650" t="s">
        <v>73</v>
      </c>
      <c r="AV650">
        <v>2318</v>
      </c>
      <c r="AW650" s="4">
        <v>42620</v>
      </c>
      <c r="BD650">
        <v>0</v>
      </c>
      <c r="BN650" t="s">
        <v>74</v>
      </c>
    </row>
    <row r="651" spans="1:66" hidden="1">
      <c r="A651">
        <v>100164</v>
      </c>
      <c r="B651" s="3" t="s">
        <v>137</v>
      </c>
      <c r="C651" s="1">
        <v>43300101</v>
      </c>
      <c r="D651" t="s">
        <v>67</v>
      </c>
      <c r="H651" t="str">
        <f t="shared" si="60"/>
        <v>00803890151</v>
      </c>
      <c r="I651" t="str">
        <f t="shared" si="60"/>
        <v>00803890151</v>
      </c>
      <c r="K651" t="str">
        <f>""</f>
        <v/>
      </c>
      <c r="M651" t="s">
        <v>68</v>
      </c>
      <c r="N651" t="str">
        <f t="shared" si="59"/>
        <v>FOR</v>
      </c>
      <c r="O651" t="s">
        <v>69</v>
      </c>
      <c r="P651" s="3" t="s">
        <v>75</v>
      </c>
      <c r="Q651">
        <v>2016</v>
      </c>
      <c r="R651" s="2">
        <v>42528</v>
      </c>
      <c r="S651" s="2">
        <v>42530</v>
      </c>
      <c r="T651" s="2">
        <v>42528</v>
      </c>
      <c r="U651" s="2">
        <v>42588</v>
      </c>
      <c r="V651" t="s">
        <v>71</v>
      </c>
      <c r="W651" t="str">
        <f>"           162021400"</f>
        <v xml:space="preserve">           162021400</v>
      </c>
      <c r="X651" s="1">
        <v>11027.51</v>
      </c>
      <c r="Y651">
        <v>0</v>
      </c>
      <c r="Z651"/>
      <c r="AB651"/>
      <c r="AC651" s="1">
        <v>9038.94</v>
      </c>
      <c r="AD651">
        <v>32</v>
      </c>
      <c r="AE651" s="1">
        <v>289246.08000000002</v>
      </c>
      <c r="AF651">
        <v>0</v>
      </c>
      <c r="AJ651">
        <v>0</v>
      </c>
      <c r="AK651">
        <v>0</v>
      </c>
      <c r="AL651">
        <v>0</v>
      </c>
      <c r="AM651" s="1">
        <v>11027.51</v>
      </c>
      <c r="AN651" s="1">
        <v>11027.51</v>
      </c>
      <c r="AO651" s="1">
        <v>11027.51</v>
      </c>
      <c r="AP651" s="2">
        <v>42746</v>
      </c>
      <c r="AQ651" t="s">
        <v>72</v>
      </c>
      <c r="AR651" t="s">
        <v>72</v>
      </c>
      <c r="AS651">
        <v>2318</v>
      </c>
      <c r="AT651" s="4">
        <v>42620</v>
      </c>
      <c r="AU651" t="s">
        <v>73</v>
      </c>
      <c r="AV651">
        <v>2318</v>
      </c>
      <c r="AW651" s="4">
        <v>42620</v>
      </c>
      <c r="BD651">
        <v>0</v>
      </c>
      <c r="BN651" t="s">
        <v>74</v>
      </c>
    </row>
    <row r="652" spans="1:66" hidden="1">
      <c r="A652">
        <v>100164</v>
      </c>
      <c r="B652" s="3" t="s">
        <v>137</v>
      </c>
      <c r="C652" s="1">
        <v>43300101</v>
      </c>
      <c r="D652" t="s">
        <v>67</v>
      </c>
      <c r="H652" t="str">
        <f t="shared" si="60"/>
        <v>00803890151</v>
      </c>
      <c r="I652" t="str">
        <f t="shared" si="60"/>
        <v>00803890151</v>
      </c>
      <c r="K652" t="str">
        <f>""</f>
        <v/>
      </c>
      <c r="M652" t="s">
        <v>68</v>
      </c>
      <c r="N652" t="str">
        <f t="shared" si="59"/>
        <v>FOR</v>
      </c>
      <c r="O652" t="s">
        <v>69</v>
      </c>
      <c r="P652" s="3" t="s">
        <v>75</v>
      </c>
      <c r="Q652">
        <v>2016</v>
      </c>
      <c r="R652" s="2">
        <v>42531</v>
      </c>
      <c r="S652" s="2">
        <v>42534</v>
      </c>
      <c r="T652" s="2">
        <v>42531</v>
      </c>
      <c r="U652" s="2">
        <v>42591</v>
      </c>
      <c r="V652" t="s">
        <v>71</v>
      </c>
      <c r="W652" t="str">
        <f>"           162021927"</f>
        <v xml:space="preserve">           162021927</v>
      </c>
      <c r="X652">
        <v>85.4</v>
      </c>
      <c r="Y652">
        <v>0</v>
      </c>
      <c r="Z652"/>
      <c r="AB652"/>
      <c r="AC652">
        <v>70</v>
      </c>
      <c r="AD652">
        <v>29</v>
      </c>
      <c r="AE652" s="1">
        <v>2030</v>
      </c>
      <c r="AF652">
        <v>0</v>
      </c>
      <c r="AJ652">
        <v>0</v>
      </c>
      <c r="AK652">
        <v>0</v>
      </c>
      <c r="AL652">
        <v>0</v>
      </c>
      <c r="AM652">
        <v>85.4</v>
      </c>
      <c r="AN652">
        <v>85.4</v>
      </c>
      <c r="AO652">
        <v>85.4</v>
      </c>
      <c r="AP652" s="2">
        <v>42746</v>
      </c>
      <c r="AQ652" t="s">
        <v>72</v>
      </c>
      <c r="AR652" t="s">
        <v>72</v>
      </c>
      <c r="AS652">
        <v>2318</v>
      </c>
      <c r="AT652" s="4">
        <v>42620</v>
      </c>
      <c r="AU652" t="s">
        <v>73</v>
      </c>
      <c r="AV652">
        <v>2318</v>
      </c>
      <c r="AW652" s="4">
        <v>42620</v>
      </c>
      <c r="BD652">
        <v>0</v>
      </c>
      <c r="BN652" t="s">
        <v>74</v>
      </c>
    </row>
    <row r="653" spans="1:66" hidden="1">
      <c r="A653">
        <v>100164</v>
      </c>
      <c r="B653" s="3" t="s">
        <v>137</v>
      </c>
      <c r="C653" s="1">
        <v>43300101</v>
      </c>
      <c r="D653" t="s">
        <v>67</v>
      </c>
      <c r="H653" t="str">
        <f t="shared" si="60"/>
        <v>00803890151</v>
      </c>
      <c r="I653" t="str">
        <f t="shared" si="60"/>
        <v>00803890151</v>
      </c>
      <c r="K653" t="str">
        <f>""</f>
        <v/>
      </c>
      <c r="M653" t="s">
        <v>68</v>
      </c>
      <c r="N653" t="str">
        <f t="shared" si="59"/>
        <v>FOR</v>
      </c>
      <c r="O653" t="s">
        <v>69</v>
      </c>
      <c r="P653" s="3" t="s">
        <v>75</v>
      </c>
      <c r="Q653">
        <v>2016</v>
      </c>
      <c r="R653" s="2">
        <v>42537</v>
      </c>
      <c r="S653" s="2">
        <v>42543</v>
      </c>
      <c r="T653" s="2">
        <v>42537</v>
      </c>
      <c r="U653" s="2">
        <v>42597</v>
      </c>
      <c r="V653" t="s">
        <v>71</v>
      </c>
      <c r="W653" t="str">
        <f>"           162022625"</f>
        <v xml:space="preserve">           162022625</v>
      </c>
      <c r="X653">
        <v>322.08</v>
      </c>
      <c r="Y653">
        <v>0</v>
      </c>
      <c r="Z653"/>
      <c r="AB653"/>
      <c r="AC653">
        <v>264</v>
      </c>
      <c r="AD653">
        <v>23</v>
      </c>
      <c r="AE653" s="1">
        <v>6072</v>
      </c>
      <c r="AF653">
        <v>0</v>
      </c>
      <c r="AJ653">
        <v>0</v>
      </c>
      <c r="AK653">
        <v>0</v>
      </c>
      <c r="AL653">
        <v>0</v>
      </c>
      <c r="AM653">
        <v>322.08</v>
      </c>
      <c r="AN653">
        <v>322.08</v>
      </c>
      <c r="AO653">
        <v>322.08</v>
      </c>
      <c r="AP653" s="2">
        <v>42746</v>
      </c>
      <c r="AQ653" t="s">
        <v>72</v>
      </c>
      <c r="AR653" t="s">
        <v>72</v>
      </c>
      <c r="AS653">
        <v>2318</v>
      </c>
      <c r="AT653" s="4">
        <v>42620</v>
      </c>
      <c r="AU653" t="s">
        <v>73</v>
      </c>
      <c r="AV653">
        <v>2318</v>
      </c>
      <c r="AW653" s="4">
        <v>42620</v>
      </c>
      <c r="BD653">
        <v>0</v>
      </c>
      <c r="BN653" t="s">
        <v>74</v>
      </c>
    </row>
    <row r="654" spans="1:66" hidden="1">
      <c r="A654">
        <v>100164</v>
      </c>
      <c r="B654" s="3" t="s">
        <v>137</v>
      </c>
      <c r="C654" s="1">
        <v>43300101</v>
      </c>
      <c r="D654" t="s">
        <v>67</v>
      </c>
      <c r="H654" t="str">
        <f t="shared" si="60"/>
        <v>00803890151</v>
      </c>
      <c r="I654" t="str">
        <f t="shared" si="60"/>
        <v>00803890151</v>
      </c>
      <c r="K654" t="str">
        <f>""</f>
        <v/>
      </c>
      <c r="M654" t="s">
        <v>68</v>
      </c>
      <c r="N654" t="str">
        <f t="shared" si="59"/>
        <v>FOR</v>
      </c>
      <c r="O654" t="s">
        <v>69</v>
      </c>
      <c r="P654" s="3" t="s">
        <v>75</v>
      </c>
      <c r="Q654">
        <v>2016</v>
      </c>
      <c r="R654" s="2">
        <v>42543</v>
      </c>
      <c r="S654" s="2">
        <v>42544</v>
      </c>
      <c r="T654" s="2">
        <v>42543</v>
      </c>
      <c r="U654" s="2">
        <v>42603</v>
      </c>
      <c r="V654" t="s">
        <v>71</v>
      </c>
      <c r="W654" t="str">
        <f>"           162023387"</f>
        <v xml:space="preserve">           162023387</v>
      </c>
      <c r="X654">
        <v>366</v>
      </c>
      <c r="Y654">
        <v>0</v>
      </c>
      <c r="Z654"/>
      <c r="AB654"/>
      <c r="AC654">
        <v>300</v>
      </c>
      <c r="AD654">
        <v>17</v>
      </c>
      <c r="AE654" s="1">
        <v>5100</v>
      </c>
      <c r="AF654">
        <v>0</v>
      </c>
      <c r="AJ654">
        <v>0</v>
      </c>
      <c r="AK654">
        <v>0</v>
      </c>
      <c r="AL654">
        <v>0</v>
      </c>
      <c r="AM654">
        <v>366</v>
      </c>
      <c r="AN654">
        <v>366</v>
      </c>
      <c r="AO654">
        <v>366</v>
      </c>
      <c r="AP654" s="2">
        <v>42746</v>
      </c>
      <c r="AQ654" t="s">
        <v>72</v>
      </c>
      <c r="AR654" t="s">
        <v>72</v>
      </c>
      <c r="AS654">
        <v>2318</v>
      </c>
      <c r="AT654" s="4">
        <v>42620</v>
      </c>
      <c r="AU654" t="s">
        <v>73</v>
      </c>
      <c r="AV654">
        <v>2318</v>
      </c>
      <c r="AW654" s="4">
        <v>42620</v>
      </c>
      <c r="BD654">
        <v>0</v>
      </c>
      <c r="BN654" t="s">
        <v>74</v>
      </c>
    </row>
    <row r="655" spans="1:66" hidden="1">
      <c r="A655">
        <v>100164</v>
      </c>
      <c r="B655" s="3" t="s">
        <v>137</v>
      </c>
      <c r="C655" s="1">
        <v>43300101</v>
      </c>
      <c r="D655" t="s">
        <v>67</v>
      </c>
      <c r="H655" t="str">
        <f t="shared" ref="H655:I674" si="61">"00803890151"</f>
        <v>00803890151</v>
      </c>
      <c r="I655" t="str">
        <f t="shared" si="61"/>
        <v>00803890151</v>
      </c>
      <c r="K655" t="str">
        <f>""</f>
        <v/>
      </c>
      <c r="M655" t="s">
        <v>68</v>
      </c>
      <c r="N655" t="str">
        <f t="shared" si="59"/>
        <v>FOR</v>
      </c>
      <c r="O655" t="s">
        <v>69</v>
      </c>
      <c r="P655" s="3" t="s">
        <v>75</v>
      </c>
      <c r="Q655">
        <v>2016</v>
      </c>
      <c r="R655" s="2">
        <v>42544</v>
      </c>
      <c r="S655" s="2">
        <v>42550</v>
      </c>
      <c r="T655" s="2">
        <v>42544</v>
      </c>
      <c r="U655" s="2">
        <v>42604</v>
      </c>
      <c r="V655" t="s">
        <v>71</v>
      </c>
      <c r="W655" t="str">
        <f>"           162023599"</f>
        <v xml:space="preserve">           162023599</v>
      </c>
      <c r="X655">
        <v>129.32</v>
      </c>
      <c r="Y655">
        <v>0</v>
      </c>
      <c r="Z655"/>
      <c r="AB655"/>
      <c r="AC655">
        <v>106</v>
      </c>
      <c r="AD655">
        <v>16</v>
      </c>
      <c r="AE655" s="1">
        <v>1696</v>
      </c>
      <c r="AF655">
        <v>0</v>
      </c>
      <c r="AJ655">
        <v>0</v>
      </c>
      <c r="AK655">
        <v>0</v>
      </c>
      <c r="AL655">
        <v>0</v>
      </c>
      <c r="AM655">
        <v>129.32</v>
      </c>
      <c r="AN655">
        <v>129.32</v>
      </c>
      <c r="AO655">
        <v>129.32</v>
      </c>
      <c r="AP655" s="2">
        <v>42746</v>
      </c>
      <c r="AQ655" t="s">
        <v>72</v>
      </c>
      <c r="AR655" t="s">
        <v>72</v>
      </c>
      <c r="AS655">
        <v>2318</v>
      </c>
      <c r="AT655" s="4">
        <v>42620</v>
      </c>
      <c r="AU655" t="s">
        <v>73</v>
      </c>
      <c r="AV655">
        <v>2318</v>
      </c>
      <c r="AW655" s="4">
        <v>42620</v>
      </c>
      <c r="BD655">
        <v>0</v>
      </c>
      <c r="BN655" t="s">
        <v>74</v>
      </c>
    </row>
    <row r="656" spans="1:66">
      <c r="A656">
        <v>100164</v>
      </c>
      <c r="B656" s="3" t="s">
        <v>137</v>
      </c>
      <c r="C656" s="1">
        <v>43300101</v>
      </c>
      <c r="D656" t="s">
        <v>67</v>
      </c>
      <c r="H656" t="str">
        <f t="shared" si="61"/>
        <v>00803890151</v>
      </c>
      <c r="I656" t="str">
        <f t="shared" si="61"/>
        <v>00803890151</v>
      </c>
      <c r="K656" t="str">
        <f>""</f>
        <v/>
      </c>
      <c r="M656" t="s">
        <v>68</v>
      </c>
      <c r="N656" t="str">
        <f t="shared" si="59"/>
        <v>FOR</v>
      </c>
      <c r="O656" t="s">
        <v>69</v>
      </c>
      <c r="P656" s="3" t="s">
        <v>75</v>
      </c>
      <c r="Q656">
        <v>2016</v>
      </c>
      <c r="R656" s="2">
        <v>42545</v>
      </c>
      <c r="S656" s="2">
        <v>42548</v>
      </c>
      <c r="T656" s="2">
        <v>42545</v>
      </c>
      <c r="U656" s="2">
        <v>42605</v>
      </c>
      <c r="V656" t="s">
        <v>71</v>
      </c>
      <c r="W656" t="str">
        <f>"           162023873"</f>
        <v xml:space="preserve">           162023873</v>
      </c>
      <c r="X656" s="1">
        <v>4270</v>
      </c>
      <c r="Y656">
        <v>0</v>
      </c>
      <c r="Z656" s="5">
        <v>3500</v>
      </c>
      <c r="AA656">
        <v>41</v>
      </c>
      <c r="AB656" s="5">
        <v>143500</v>
      </c>
      <c r="AC656" s="1">
        <v>3500</v>
      </c>
      <c r="AD656">
        <v>41</v>
      </c>
      <c r="AE656" s="1">
        <v>143500</v>
      </c>
      <c r="AF656">
        <v>0</v>
      </c>
      <c r="AJ656">
        <v>0</v>
      </c>
      <c r="AK656">
        <v>0</v>
      </c>
      <c r="AL656">
        <v>0</v>
      </c>
      <c r="AM656" s="1">
        <v>4270</v>
      </c>
      <c r="AN656" s="1">
        <v>4270</v>
      </c>
      <c r="AO656" s="1">
        <v>4270</v>
      </c>
      <c r="AP656" s="2">
        <v>42746</v>
      </c>
      <c r="AQ656" t="s">
        <v>72</v>
      </c>
      <c r="AR656" t="s">
        <v>72</v>
      </c>
      <c r="AS656">
        <v>2553</v>
      </c>
      <c r="AT656" s="4">
        <v>42646</v>
      </c>
      <c r="AU656" t="s">
        <v>73</v>
      </c>
      <c r="AV656">
        <v>2553</v>
      </c>
      <c r="AW656" s="4">
        <v>42646</v>
      </c>
      <c r="BD656">
        <v>0</v>
      </c>
      <c r="BN656" t="s">
        <v>74</v>
      </c>
    </row>
    <row r="657" spans="1:66">
      <c r="A657">
        <v>100164</v>
      </c>
      <c r="B657" s="3" t="s">
        <v>137</v>
      </c>
      <c r="C657" s="1">
        <v>43300101</v>
      </c>
      <c r="D657" t="s">
        <v>67</v>
      </c>
      <c r="H657" t="str">
        <f t="shared" si="61"/>
        <v>00803890151</v>
      </c>
      <c r="I657" t="str">
        <f t="shared" si="61"/>
        <v>00803890151</v>
      </c>
      <c r="K657" t="str">
        <f>""</f>
        <v/>
      </c>
      <c r="M657" t="s">
        <v>68</v>
      </c>
      <c r="N657" t="str">
        <f t="shared" si="59"/>
        <v>FOR</v>
      </c>
      <c r="O657" t="s">
        <v>69</v>
      </c>
      <c r="P657" s="3" t="s">
        <v>75</v>
      </c>
      <c r="Q657">
        <v>2016</v>
      </c>
      <c r="R657" s="2">
        <v>42545</v>
      </c>
      <c r="S657" s="2">
        <v>42548</v>
      </c>
      <c r="T657" s="2">
        <v>42545</v>
      </c>
      <c r="U657" s="2">
        <v>42605</v>
      </c>
      <c r="V657" t="s">
        <v>71</v>
      </c>
      <c r="W657" t="str">
        <f>"           162023874"</f>
        <v xml:space="preserve">           162023874</v>
      </c>
      <c r="X657">
        <v>152.5</v>
      </c>
      <c r="Y657">
        <v>0</v>
      </c>
      <c r="Z657" s="3">
        <v>125</v>
      </c>
      <c r="AA657">
        <v>41</v>
      </c>
      <c r="AB657" s="5">
        <v>5125</v>
      </c>
      <c r="AC657">
        <v>125</v>
      </c>
      <c r="AD657">
        <v>41</v>
      </c>
      <c r="AE657" s="1">
        <v>5125</v>
      </c>
      <c r="AF657">
        <v>0</v>
      </c>
      <c r="AJ657">
        <v>0</v>
      </c>
      <c r="AK657">
        <v>0</v>
      </c>
      <c r="AL657">
        <v>0</v>
      </c>
      <c r="AM657">
        <v>152.5</v>
      </c>
      <c r="AN657">
        <v>152.5</v>
      </c>
      <c r="AO657">
        <v>152.5</v>
      </c>
      <c r="AP657" s="2">
        <v>42746</v>
      </c>
      <c r="AQ657" t="s">
        <v>72</v>
      </c>
      <c r="AR657" t="s">
        <v>72</v>
      </c>
      <c r="AS657">
        <v>2553</v>
      </c>
      <c r="AT657" s="4">
        <v>42646</v>
      </c>
      <c r="AU657" t="s">
        <v>73</v>
      </c>
      <c r="AV657">
        <v>2553</v>
      </c>
      <c r="AW657" s="4">
        <v>42646</v>
      </c>
      <c r="BD657">
        <v>0</v>
      </c>
      <c r="BN657" t="s">
        <v>74</v>
      </c>
    </row>
    <row r="658" spans="1:66" hidden="1">
      <c r="A658">
        <v>100164</v>
      </c>
      <c r="B658" s="3" t="s">
        <v>137</v>
      </c>
      <c r="C658" s="1">
        <v>43300101</v>
      </c>
      <c r="D658" t="s">
        <v>67</v>
      </c>
      <c r="H658" t="str">
        <f t="shared" si="61"/>
        <v>00803890151</v>
      </c>
      <c r="I658" t="str">
        <f t="shared" si="61"/>
        <v>00803890151</v>
      </c>
      <c r="K658" t="str">
        <f>""</f>
        <v/>
      </c>
      <c r="M658" t="s">
        <v>68</v>
      </c>
      <c r="N658" t="str">
        <f t="shared" si="59"/>
        <v>FOR</v>
      </c>
      <c r="O658" t="s">
        <v>69</v>
      </c>
      <c r="P658" s="3" t="s">
        <v>75</v>
      </c>
      <c r="Q658">
        <v>2016</v>
      </c>
      <c r="R658" s="2">
        <v>42551</v>
      </c>
      <c r="S658" s="2">
        <v>42556</v>
      </c>
      <c r="T658" s="2">
        <v>42551</v>
      </c>
      <c r="U658" s="2">
        <v>42611</v>
      </c>
      <c r="V658" t="s">
        <v>71</v>
      </c>
      <c r="W658" t="str">
        <f>"           162025067"</f>
        <v xml:space="preserve">           162025067</v>
      </c>
      <c r="X658">
        <v>375.76</v>
      </c>
      <c r="Y658">
        <v>0</v>
      </c>
      <c r="Z658"/>
      <c r="AB658"/>
      <c r="AC658">
        <v>308</v>
      </c>
      <c r="AD658">
        <v>9</v>
      </c>
      <c r="AE658" s="1">
        <v>2772</v>
      </c>
      <c r="AF658">
        <v>0</v>
      </c>
      <c r="AJ658">
        <v>0</v>
      </c>
      <c r="AK658">
        <v>0</v>
      </c>
      <c r="AL658">
        <v>0</v>
      </c>
      <c r="AM658">
        <v>375.76</v>
      </c>
      <c r="AN658">
        <v>375.76</v>
      </c>
      <c r="AO658">
        <v>375.76</v>
      </c>
      <c r="AP658" s="2">
        <v>42746</v>
      </c>
      <c r="AQ658" t="s">
        <v>72</v>
      </c>
      <c r="AR658" t="s">
        <v>72</v>
      </c>
      <c r="AS658">
        <v>2318</v>
      </c>
      <c r="AT658" s="4">
        <v>42620</v>
      </c>
      <c r="AU658" t="s">
        <v>73</v>
      </c>
      <c r="AV658">
        <v>2318</v>
      </c>
      <c r="AW658" s="4">
        <v>42620</v>
      </c>
      <c r="BD658">
        <v>0</v>
      </c>
      <c r="BN658" t="s">
        <v>74</v>
      </c>
    </row>
    <row r="659" spans="1:66" hidden="1">
      <c r="A659">
        <v>100164</v>
      </c>
      <c r="B659" s="3" t="s">
        <v>137</v>
      </c>
      <c r="C659" s="1">
        <v>43300101</v>
      </c>
      <c r="D659" t="s">
        <v>67</v>
      </c>
      <c r="H659" t="str">
        <f t="shared" si="61"/>
        <v>00803890151</v>
      </c>
      <c r="I659" t="str">
        <f t="shared" si="61"/>
        <v>00803890151</v>
      </c>
      <c r="K659" t="str">
        <f>""</f>
        <v/>
      </c>
      <c r="M659" t="s">
        <v>68</v>
      </c>
      <c r="N659" t="str">
        <f t="shared" si="59"/>
        <v>FOR</v>
      </c>
      <c r="O659" t="s">
        <v>69</v>
      </c>
      <c r="P659" s="3" t="s">
        <v>75</v>
      </c>
      <c r="Q659">
        <v>2016</v>
      </c>
      <c r="R659" s="2">
        <v>42551</v>
      </c>
      <c r="S659" s="2">
        <v>42556</v>
      </c>
      <c r="T659" s="2">
        <v>42551</v>
      </c>
      <c r="U659" s="2">
        <v>42611</v>
      </c>
      <c r="V659" t="s">
        <v>71</v>
      </c>
      <c r="W659" t="str">
        <f>"           162025068"</f>
        <v xml:space="preserve">           162025068</v>
      </c>
      <c r="X659" s="1">
        <v>2781.6</v>
      </c>
      <c r="Y659">
        <v>0</v>
      </c>
      <c r="Z659"/>
      <c r="AB659"/>
      <c r="AC659" s="1">
        <v>2280</v>
      </c>
      <c r="AD659">
        <v>9</v>
      </c>
      <c r="AE659" s="1">
        <v>20520</v>
      </c>
      <c r="AF659">
        <v>0</v>
      </c>
      <c r="AJ659">
        <v>0</v>
      </c>
      <c r="AK659">
        <v>0</v>
      </c>
      <c r="AL659">
        <v>0</v>
      </c>
      <c r="AM659" s="1">
        <v>2781.6</v>
      </c>
      <c r="AN659" s="1">
        <v>2781.6</v>
      </c>
      <c r="AO659" s="1">
        <v>2781.6</v>
      </c>
      <c r="AP659" s="2">
        <v>42746</v>
      </c>
      <c r="AQ659" t="s">
        <v>72</v>
      </c>
      <c r="AR659" t="s">
        <v>72</v>
      </c>
      <c r="AS659">
        <v>2318</v>
      </c>
      <c r="AT659" s="4">
        <v>42620</v>
      </c>
      <c r="AU659" t="s">
        <v>73</v>
      </c>
      <c r="AV659">
        <v>2318</v>
      </c>
      <c r="AW659" s="4">
        <v>42620</v>
      </c>
      <c r="BD659">
        <v>0</v>
      </c>
      <c r="BN659" t="s">
        <v>74</v>
      </c>
    </row>
    <row r="660" spans="1:66">
      <c r="A660">
        <v>100164</v>
      </c>
      <c r="B660" s="3" t="s">
        <v>137</v>
      </c>
      <c r="C660" s="1">
        <v>43300101</v>
      </c>
      <c r="D660" t="s">
        <v>67</v>
      </c>
      <c r="H660" t="str">
        <f t="shared" si="61"/>
        <v>00803890151</v>
      </c>
      <c r="I660" t="str">
        <f t="shared" si="61"/>
        <v>00803890151</v>
      </c>
      <c r="K660" t="str">
        <f>""</f>
        <v/>
      </c>
      <c r="M660" t="s">
        <v>68</v>
      </c>
      <c r="N660" t="str">
        <f t="shared" si="59"/>
        <v>FOR</v>
      </c>
      <c r="O660" t="s">
        <v>69</v>
      </c>
      <c r="P660" s="3" t="s">
        <v>75</v>
      </c>
      <c r="Q660">
        <v>2016</v>
      </c>
      <c r="R660" s="2">
        <v>42556</v>
      </c>
      <c r="S660" s="2">
        <v>42558</v>
      </c>
      <c r="T660" s="2">
        <v>42556</v>
      </c>
      <c r="U660" s="2">
        <v>42616</v>
      </c>
      <c r="V660" t="s">
        <v>71</v>
      </c>
      <c r="W660" t="str">
        <f>"           162025706"</f>
        <v xml:space="preserve">           162025706</v>
      </c>
      <c r="X660">
        <v>85.4</v>
      </c>
      <c r="Y660">
        <v>0</v>
      </c>
      <c r="Z660" s="3">
        <v>70</v>
      </c>
      <c r="AA660">
        <v>30</v>
      </c>
      <c r="AB660" s="5">
        <v>2100</v>
      </c>
      <c r="AC660">
        <v>70</v>
      </c>
      <c r="AD660">
        <v>30</v>
      </c>
      <c r="AE660" s="1">
        <v>2100</v>
      </c>
      <c r="AF660">
        <v>0</v>
      </c>
      <c r="AJ660">
        <v>0</v>
      </c>
      <c r="AK660">
        <v>0</v>
      </c>
      <c r="AL660">
        <v>0</v>
      </c>
      <c r="AM660">
        <v>85.4</v>
      </c>
      <c r="AN660">
        <v>85.4</v>
      </c>
      <c r="AO660">
        <v>85.4</v>
      </c>
      <c r="AP660" s="2">
        <v>42746</v>
      </c>
      <c r="AQ660" t="s">
        <v>72</v>
      </c>
      <c r="AR660" t="s">
        <v>72</v>
      </c>
      <c r="AS660">
        <v>2553</v>
      </c>
      <c r="AT660" s="4">
        <v>42646</v>
      </c>
      <c r="AU660" t="s">
        <v>73</v>
      </c>
      <c r="AV660">
        <v>2553</v>
      </c>
      <c r="AW660" s="4">
        <v>42646</v>
      </c>
      <c r="BD660">
        <v>0</v>
      </c>
      <c r="BN660" t="s">
        <v>74</v>
      </c>
    </row>
    <row r="661" spans="1:66">
      <c r="A661">
        <v>100164</v>
      </c>
      <c r="B661" s="3" t="s">
        <v>137</v>
      </c>
      <c r="C661" s="1">
        <v>43300101</v>
      </c>
      <c r="D661" t="s">
        <v>67</v>
      </c>
      <c r="H661" t="str">
        <f t="shared" si="61"/>
        <v>00803890151</v>
      </c>
      <c r="I661" t="str">
        <f t="shared" si="61"/>
        <v>00803890151</v>
      </c>
      <c r="K661" t="str">
        <f>""</f>
        <v/>
      </c>
      <c r="M661" t="s">
        <v>68</v>
      </c>
      <c r="N661" t="str">
        <f t="shared" si="59"/>
        <v>FOR</v>
      </c>
      <c r="O661" t="s">
        <v>69</v>
      </c>
      <c r="P661" s="3" t="s">
        <v>75</v>
      </c>
      <c r="Q661">
        <v>2016</v>
      </c>
      <c r="R661" s="2">
        <v>42556</v>
      </c>
      <c r="S661" s="2">
        <v>42558</v>
      </c>
      <c r="T661" s="2">
        <v>42556</v>
      </c>
      <c r="U661" s="2">
        <v>42616</v>
      </c>
      <c r="V661" t="s">
        <v>71</v>
      </c>
      <c r="W661" t="str">
        <f>"           162025707"</f>
        <v xml:space="preserve">           162025707</v>
      </c>
      <c r="X661" s="1">
        <v>15436.05</v>
      </c>
      <c r="Y661">
        <v>0</v>
      </c>
      <c r="Z661" s="5">
        <v>12652.5</v>
      </c>
      <c r="AA661">
        <v>30</v>
      </c>
      <c r="AB661" s="5">
        <v>379575</v>
      </c>
      <c r="AC661" s="1">
        <v>12652.5</v>
      </c>
      <c r="AD661">
        <v>30</v>
      </c>
      <c r="AE661" s="1">
        <v>379575</v>
      </c>
      <c r="AF661">
        <v>0</v>
      </c>
      <c r="AJ661">
        <v>0</v>
      </c>
      <c r="AK661">
        <v>0</v>
      </c>
      <c r="AL661">
        <v>0</v>
      </c>
      <c r="AM661" s="1">
        <v>15436.05</v>
      </c>
      <c r="AN661" s="1">
        <v>15436.05</v>
      </c>
      <c r="AO661" s="1">
        <v>15436.05</v>
      </c>
      <c r="AP661" s="2">
        <v>42746</v>
      </c>
      <c r="AQ661" t="s">
        <v>72</v>
      </c>
      <c r="AR661" t="s">
        <v>72</v>
      </c>
      <c r="AS661">
        <v>2553</v>
      </c>
      <c r="AT661" s="4">
        <v>42646</v>
      </c>
      <c r="AU661" t="s">
        <v>73</v>
      </c>
      <c r="AV661">
        <v>2553</v>
      </c>
      <c r="AW661" s="4">
        <v>42646</v>
      </c>
      <c r="BD661">
        <v>0</v>
      </c>
      <c r="BN661" t="s">
        <v>74</v>
      </c>
    </row>
    <row r="662" spans="1:66">
      <c r="A662">
        <v>100164</v>
      </c>
      <c r="B662" s="3" t="s">
        <v>137</v>
      </c>
      <c r="C662" s="1">
        <v>43300101</v>
      </c>
      <c r="D662" t="s">
        <v>67</v>
      </c>
      <c r="H662" t="str">
        <f t="shared" si="61"/>
        <v>00803890151</v>
      </c>
      <c r="I662" t="str">
        <f t="shared" si="61"/>
        <v>00803890151</v>
      </c>
      <c r="K662" t="str">
        <f>""</f>
        <v/>
      </c>
      <c r="M662" t="s">
        <v>68</v>
      </c>
      <c r="N662" t="str">
        <f t="shared" si="59"/>
        <v>FOR</v>
      </c>
      <c r="O662" t="s">
        <v>69</v>
      </c>
      <c r="P662" s="3" t="s">
        <v>75</v>
      </c>
      <c r="Q662">
        <v>2016</v>
      </c>
      <c r="R662" s="2">
        <v>42557</v>
      </c>
      <c r="S662" s="2">
        <v>42558</v>
      </c>
      <c r="T662" s="2">
        <v>42557</v>
      </c>
      <c r="U662" s="2">
        <v>42617</v>
      </c>
      <c r="V662" t="s">
        <v>71</v>
      </c>
      <c r="W662" t="str">
        <f>"           162025935"</f>
        <v xml:space="preserve">           162025935</v>
      </c>
      <c r="X662" s="1">
        <v>7506.07</v>
      </c>
      <c r="Y662">
        <v>0</v>
      </c>
      <c r="Z662" s="5">
        <v>6152.5</v>
      </c>
      <c r="AA662">
        <v>29</v>
      </c>
      <c r="AB662" s="5">
        <v>178422.5</v>
      </c>
      <c r="AC662" s="1">
        <v>6152.5</v>
      </c>
      <c r="AD662">
        <v>29</v>
      </c>
      <c r="AE662" s="1">
        <v>178422.5</v>
      </c>
      <c r="AF662">
        <v>0</v>
      </c>
      <c r="AJ662">
        <v>0</v>
      </c>
      <c r="AK662">
        <v>0</v>
      </c>
      <c r="AL662">
        <v>0</v>
      </c>
      <c r="AM662" s="1">
        <v>7506.07</v>
      </c>
      <c r="AN662" s="1">
        <v>7506.07</v>
      </c>
      <c r="AO662" s="1">
        <v>7506.07</v>
      </c>
      <c r="AP662" s="2">
        <v>42746</v>
      </c>
      <c r="AQ662" t="s">
        <v>72</v>
      </c>
      <c r="AR662" t="s">
        <v>72</v>
      </c>
      <c r="AS662">
        <v>2553</v>
      </c>
      <c r="AT662" s="4">
        <v>42646</v>
      </c>
      <c r="AU662" t="s">
        <v>73</v>
      </c>
      <c r="AV662">
        <v>2553</v>
      </c>
      <c r="AW662" s="4">
        <v>42646</v>
      </c>
      <c r="BD662">
        <v>0</v>
      </c>
      <c r="BN662" t="s">
        <v>74</v>
      </c>
    </row>
    <row r="663" spans="1:66">
      <c r="A663">
        <v>100164</v>
      </c>
      <c r="B663" s="3" t="s">
        <v>137</v>
      </c>
      <c r="C663" s="1">
        <v>43300101</v>
      </c>
      <c r="D663" t="s">
        <v>67</v>
      </c>
      <c r="H663" t="str">
        <f t="shared" si="61"/>
        <v>00803890151</v>
      </c>
      <c r="I663" t="str">
        <f t="shared" si="61"/>
        <v>00803890151</v>
      </c>
      <c r="K663" t="str">
        <f>""</f>
        <v/>
      </c>
      <c r="M663" t="s">
        <v>68</v>
      </c>
      <c r="N663" t="str">
        <f t="shared" si="59"/>
        <v>FOR</v>
      </c>
      <c r="O663" t="s">
        <v>69</v>
      </c>
      <c r="P663" s="3" t="s">
        <v>75</v>
      </c>
      <c r="Q663">
        <v>2016</v>
      </c>
      <c r="R663" s="2">
        <v>42559</v>
      </c>
      <c r="S663" s="2">
        <v>42563</v>
      </c>
      <c r="T663" s="2">
        <v>42559</v>
      </c>
      <c r="U663" s="2">
        <v>42619</v>
      </c>
      <c r="V663" t="s">
        <v>71</v>
      </c>
      <c r="W663" t="str">
        <f>"           162026272"</f>
        <v xml:space="preserve">           162026272</v>
      </c>
      <c r="X663">
        <v>322.08</v>
      </c>
      <c r="Y663">
        <v>0</v>
      </c>
      <c r="Z663" s="3">
        <v>264</v>
      </c>
      <c r="AA663">
        <v>27</v>
      </c>
      <c r="AB663" s="5">
        <v>7128</v>
      </c>
      <c r="AC663">
        <v>264</v>
      </c>
      <c r="AD663">
        <v>27</v>
      </c>
      <c r="AE663" s="1">
        <v>7128</v>
      </c>
      <c r="AF663">
        <v>0</v>
      </c>
      <c r="AJ663">
        <v>0</v>
      </c>
      <c r="AK663">
        <v>0</v>
      </c>
      <c r="AL663">
        <v>0</v>
      </c>
      <c r="AM663">
        <v>322.08</v>
      </c>
      <c r="AN663">
        <v>322.08</v>
      </c>
      <c r="AO663">
        <v>322.08</v>
      </c>
      <c r="AP663" s="2">
        <v>42746</v>
      </c>
      <c r="AQ663" t="s">
        <v>72</v>
      </c>
      <c r="AR663" t="s">
        <v>72</v>
      </c>
      <c r="AS663">
        <v>2553</v>
      </c>
      <c r="AT663" s="4">
        <v>42646</v>
      </c>
      <c r="AU663" t="s">
        <v>73</v>
      </c>
      <c r="AV663">
        <v>2553</v>
      </c>
      <c r="AW663" s="4">
        <v>42646</v>
      </c>
      <c r="BD663">
        <v>0</v>
      </c>
      <c r="BN663" t="s">
        <v>74</v>
      </c>
    </row>
    <row r="664" spans="1:66">
      <c r="A664">
        <v>100164</v>
      </c>
      <c r="B664" s="3" t="s">
        <v>137</v>
      </c>
      <c r="C664" s="1">
        <v>43300101</v>
      </c>
      <c r="D664" t="s">
        <v>67</v>
      </c>
      <c r="H664" t="str">
        <f t="shared" si="61"/>
        <v>00803890151</v>
      </c>
      <c r="I664" t="str">
        <f t="shared" si="61"/>
        <v>00803890151</v>
      </c>
      <c r="K664" t="str">
        <f>""</f>
        <v/>
      </c>
      <c r="M664" t="s">
        <v>68</v>
      </c>
      <c r="N664" t="str">
        <f t="shared" si="59"/>
        <v>FOR</v>
      </c>
      <c r="O664" t="s">
        <v>69</v>
      </c>
      <c r="P664" s="3" t="s">
        <v>75</v>
      </c>
      <c r="Q664">
        <v>2016</v>
      </c>
      <c r="R664" s="2">
        <v>42564</v>
      </c>
      <c r="S664" s="2">
        <v>42565</v>
      </c>
      <c r="T664" s="2">
        <v>42564</v>
      </c>
      <c r="U664" s="2">
        <v>42624</v>
      </c>
      <c r="V664" t="s">
        <v>71</v>
      </c>
      <c r="W664" t="str">
        <f>"           162026922"</f>
        <v xml:space="preserve">           162026922</v>
      </c>
      <c r="X664">
        <v>366</v>
      </c>
      <c r="Y664">
        <v>0</v>
      </c>
      <c r="Z664" s="3">
        <v>300</v>
      </c>
      <c r="AA664">
        <v>22</v>
      </c>
      <c r="AB664" s="5">
        <v>6600</v>
      </c>
      <c r="AC664">
        <v>300</v>
      </c>
      <c r="AD664">
        <v>22</v>
      </c>
      <c r="AE664" s="1">
        <v>6600</v>
      </c>
      <c r="AF664">
        <v>0</v>
      </c>
      <c r="AJ664">
        <v>0</v>
      </c>
      <c r="AK664">
        <v>0</v>
      </c>
      <c r="AL664">
        <v>0</v>
      </c>
      <c r="AM664">
        <v>366</v>
      </c>
      <c r="AN664">
        <v>366</v>
      </c>
      <c r="AO664">
        <v>366</v>
      </c>
      <c r="AP664" s="2">
        <v>42746</v>
      </c>
      <c r="AQ664" t="s">
        <v>72</v>
      </c>
      <c r="AR664" t="s">
        <v>72</v>
      </c>
      <c r="AS664">
        <v>2553</v>
      </c>
      <c r="AT664" s="4">
        <v>42646</v>
      </c>
      <c r="AU664" t="s">
        <v>73</v>
      </c>
      <c r="AV664">
        <v>2553</v>
      </c>
      <c r="AW664" s="4">
        <v>42646</v>
      </c>
      <c r="BD664">
        <v>0</v>
      </c>
      <c r="BN664" t="s">
        <v>74</v>
      </c>
    </row>
    <row r="665" spans="1:66">
      <c r="A665">
        <v>100164</v>
      </c>
      <c r="B665" s="3" t="s">
        <v>137</v>
      </c>
      <c r="C665" s="1">
        <v>43300101</v>
      </c>
      <c r="D665" t="s">
        <v>67</v>
      </c>
      <c r="H665" t="str">
        <f t="shared" si="61"/>
        <v>00803890151</v>
      </c>
      <c r="I665" t="str">
        <f t="shared" si="61"/>
        <v>00803890151</v>
      </c>
      <c r="K665" t="str">
        <f>""</f>
        <v/>
      </c>
      <c r="M665" t="s">
        <v>68</v>
      </c>
      <c r="N665" t="str">
        <f t="shared" si="59"/>
        <v>FOR</v>
      </c>
      <c r="O665" t="s">
        <v>69</v>
      </c>
      <c r="P665" s="3" t="s">
        <v>75</v>
      </c>
      <c r="Q665">
        <v>2016</v>
      </c>
      <c r="R665" s="2">
        <v>42564</v>
      </c>
      <c r="S665" s="2">
        <v>42565</v>
      </c>
      <c r="T665" s="2">
        <v>42564</v>
      </c>
      <c r="U665" s="2">
        <v>42624</v>
      </c>
      <c r="V665" t="s">
        <v>71</v>
      </c>
      <c r="W665" t="str">
        <f>"           162026923"</f>
        <v xml:space="preserve">           162026923</v>
      </c>
      <c r="X665">
        <v>54.9</v>
      </c>
      <c r="Y665">
        <v>0</v>
      </c>
      <c r="Z665" s="3">
        <v>45</v>
      </c>
      <c r="AA665">
        <v>22</v>
      </c>
      <c r="AB665" s="3">
        <v>990</v>
      </c>
      <c r="AC665">
        <v>45</v>
      </c>
      <c r="AD665">
        <v>22</v>
      </c>
      <c r="AE665">
        <v>990</v>
      </c>
      <c r="AF665">
        <v>0</v>
      </c>
      <c r="AJ665">
        <v>0</v>
      </c>
      <c r="AK665">
        <v>0</v>
      </c>
      <c r="AL665">
        <v>0</v>
      </c>
      <c r="AM665">
        <v>54.9</v>
      </c>
      <c r="AN665">
        <v>54.9</v>
      </c>
      <c r="AO665">
        <v>54.9</v>
      </c>
      <c r="AP665" s="2">
        <v>42746</v>
      </c>
      <c r="AQ665" t="s">
        <v>72</v>
      </c>
      <c r="AR665" t="s">
        <v>72</v>
      </c>
      <c r="AS665">
        <v>2553</v>
      </c>
      <c r="AT665" s="4">
        <v>42646</v>
      </c>
      <c r="AU665" t="s">
        <v>73</v>
      </c>
      <c r="AV665">
        <v>2553</v>
      </c>
      <c r="AW665" s="4">
        <v>42646</v>
      </c>
      <c r="BD665">
        <v>0</v>
      </c>
      <c r="BN665" t="s">
        <v>74</v>
      </c>
    </row>
    <row r="666" spans="1:66">
      <c r="A666">
        <v>100164</v>
      </c>
      <c r="B666" s="3" t="s">
        <v>137</v>
      </c>
      <c r="C666" s="1">
        <v>43300101</v>
      </c>
      <c r="D666" t="s">
        <v>67</v>
      </c>
      <c r="H666" t="str">
        <f t="shared" si="61"/>
        <v>00803890151</v>
      </c>
      <c r="I666" t="str">
        <f t="shared" si="61"/>
        <v>00803890151</v>
      </c>
      <c r="K666" t="str">
        <f>""</f>
        <v/>
      </c>
      <c r="M666" t="s">
        <v>68</v>
      </c>
      <c r="N666" t="str">
        <f t="shared" si="59"/>
        <v>FOR</v>
      </c>
      <c r="O666" t="s">
        <v>69</v>
      </c>
      <c r="P666" s="3" t="s">
        <v>75</v>
      </c>
      <c r="Q666">
        <v>2016</v>
      </c>
      <c r="R666" s="2">
        <v>42565</v>
      </c>
      <c r="S666" s="2">
        <v>42571</v>
      </c>
      <c r="T666" s="2">
        <v>42567</v>
      </c>
      <c r="U666" s="2">
        <v>42627</v>
      </c>
      <c r="V666" t="s">
        <v>71</v>
      </c>
      <c r="W666" t="str">
        <f>"           162027206"</f>
        <v xml:space="preserve">           162027206</v>
      </c>
      <c r="X666">
        <v>146.4</v>
      </c>
      <c r="Y666">
        <v>0</v>
      </c>
      <c r="Z666" s="3">
        <v>120</v>
      </c>
      <c r="AA666">
        <v>19</v>
      </c>
      <c r="AB666" s="5">
        <v>2280</v>
      </c>
      <c r="AC666">
        <v>120</v>
      </c>
      <c r="AD666">
        <v>19</v>
      </c>
      <c r="AE666" s="1">
        <v>2280</v>
      </c>
      <c r="AF666">
        <v>0</v>
      </c>
      <c r="AJ666">
        <v>0</v>
      </c>
      <c r="AK666">
        <v>0</v>
      </c>
      <c r="AL666">
        <v>0</v>
      </c>
      <c r="AM666">
        <v>146.4</v>
      </c>
      <c r="AN666">
        <v>146.4</v>
      </c>
      <c r="AO666">
        <v>146.4</v>
      </c>
      <c r="AP666" s="2">
        <v>42746</v>
      </c>
      <c r="AQ666" t="s">
        <v>72</v>
      </c>
      <c r="AR666" t="s">
        <v>72</v>
      </c>
      <c r="AS666">
        <v>2553</v>
      </c>
      <c r="AT666" s="4">
        <v>42646</v>
      </c>
      <c r="AU666" t="s">
        <v>73</v>
      </c>
      <c r="AV666">
        <v>2553</v>
      </c>
      <c r="AW666" s="4">
        <v>42646</v>
      </c>
      <c r="BD666">
        <v>0</v>
      </c>
      <c r="BN666" t="s">
        <v>74</v>
      </c>
    </row>
    <row r="667" spans="1:66">
      <c r="A667">
        <v>100164</v>
      </c>
      <c r="B667" s="3" t="s">
        <v>137</v>
      </c>
      <c r="C667" s="1">
        <v>43300101</v>
      </c>
      <c r="D667" t="s">
        <v>67</v>
      </c>
      <c r="H667" t="str">
        <f t="shared" si="61"/>
        <v>00803890151</v>
      </c>
      <c r="I667" t="str">
        <f t="shared" si="61"/>
        <v>00803890151</v>
      </c>
      <c r="K667" t="str">
        <f>""</f>
        <v/>
      </c>
      <c r="M667" t="s">
        <v>68</v>
      </c>
      <c r="N667" t="str">
        <f t="shared" si="59"/>
        <v>FOR</v>
      </c>
      <c r="O667" t="s">
        <v>69</v>
      </c>
      <c r="P667" s="3" t="s">
        <v>75</v>
      </c>
      <c r="Q667">
        <v>2016</v>
      </c>
      <c r="R667" s="2">
        <v>42579</v>
      </c>
      <c r="S667" s="2">
        <v>42583</v>
      </c>
      <c r="T667" s="2">
        <v>42579</v>
      </c>
      <c r="U667" s="2">
        <v>42639</v>
      </c>
      <c r="V667" t="s">
        <v>71</v>
      </c>
      <c r="W667" t="str">
        <f>"           162029078"</f>
        <v xml:space="preserve">           162029078</v>
      </c>
      <c r="X667">
        <v>305</v>
      </c>
      <c r="Y667">
        <v>0</v>
      </c>
      <c r="Z667" s="3">
        <v>250</v>
      </c>
      <c r="AA667">
        <v>7</v>
      </c>
      <c r="AB667" s="5">
        <v>1750</v>
      </c>
      <c r="AC667">
        <v>250</v>
      </c>
      <c r="AD667">
        <v>7</v>
      </c>
      <c r="AE667" s="1">
        <v>1750</v>
      </c>
      <c r="AF667">
        <v>0</v>
      </c>
      <c r="AJ667">
        <v>0</v>
      </c>
      <c r="AK667">
        <v>0</v>
      </c>
      <c r="AL667">
        <v>0</v>
      </c>
      <c r="AM667">
        <v>305</v>
      </c>
      <c r="AN667">
        <v>305</v>
      </c>
      <c r="AO667">
        <v>305</v>
      </c>
      <c r="AP667" s="2">
        <v>42746</v>
      </c>
      <c r="AQ667" t="s">
        <v>72</v>
      </c>
      <c r="AR667" t="s">
        <v>72</v>
      </c>
      <c r="AS667">
        <v>2553</v>
      </c>
      <c r="AT667" s="4">
        <v>42646</v>
      </c>
      <c r="AU667" t="s">
        <v>73</v>
      </c>
      <c r="AV667">
        <v>2553</v>
      </c>
      <c r="AW667" s="4">
        <v>42646</v>
      </c>
      <c r="BD667">
        <v>0</v>
      </c>
      <c r="BN667" t="s">
        <v>74</v>
      </c>
    </row>
    <row r="668" spans="1:66">
      <c r="A668">
        <v>100164</v>
      </c>
      <c r="B668" s="3" t="s">
        <v>137</v>
      </c>
      <c r="C668" s="1">
        <v>43300101</v>
      </c>
      <c r="D668" t="s">
        <v>67</v>
      </c>
      <c r="H668" t="str">
        <f t="shared" si="61"/>
        <v>00803890151</v>
      </c>
      <c r="I668" t="str">
        <f t="shared" si="61"/>
        <v>00803890151</v>
      </c>
      <c r="K668" t="str">
        <f>""</f>
        <v/>
      </c>
      <c r="M668" t="s">
        <v>68</v>
      </c>
      <c r="N668" t="str">
        <f t="shared" si="59"/>
        <v>FOR</v>
      </c>
      <c r="O668" t="s">
        <v>69</v>
      </c>
      <c r="P668" s="3" t="s">
        <v>75</v>
      </c>
      <c r="Q668">
        <v>2016</v>
      </c>
      <c r="R668" s="2">
        <v>42579</v>
      </c>
      <c r="S668" s="2">
        <v>42583</v>
      </c>
      <c r="T668" s="2">
        <v>42579</v>
      </c>
      <c r="U668" s="2">
        <v>42639</v>
      </c>
      <c r="V668" t="s">
        <v>71</v>
      </c>
      <c r="W668" t="str">
        <f>"           162029079"</f>
        <v xml:space="preserve">           162029079</v>
      </c>
      <c r="X668" s="1">
        <v>4919.07</v>
      </c>
      <c r="Y668">
        <v>0</v>
      </c>
      <c r="Z668" s="5">
        <v>4032.02</v>
      </c>
      <c r="AA668">
        <v>7</v>
      </c>
      <c r="AB668" s="5">
        <v>28224.14</v>
      </c>
      <c r="AC668" s="1">
        <v>4032.02</v>
      </c>
      <c r="AD668">
        <v>7</v>
      </c>
      <c r="AE668" s="1">
        <v>28224.14</v>
      </c>
      <c r="AF668">
        <v>0</v>
      </c>
      <c r="AJ668">
        <v>0</v>
      </c>
      <c r="AK668">
        <v>0</v>
      </c>
      <c r="AL668">
        <v>0</v>
      </c>
      <c r="AM668" s="1">
        <v>4919.07</v>
      </c>
      <c r="AN668" s="1">
        <v>4919.07</v>
      </c>
      <c r="AO668" s="1">
        <v>4919.07</v>
      </c>
      <c r="AP668" s="2">
        <v>42746</v>
      </c>
      <c r="AQ668" t="s">
        <v>72</v>
      </c>
      <c r="AR668" t="s">
        <v>72</v>
      </c>
      <c r="AS668">
        <v>2553</v>
      </c>
      <c r="AT668" s="4">
        <v>42646</v>
      </c>
      <c r="AU668" t="s">
        <v>73</v>
      </c>
      <c r="AV668">
        <v>2553</v>
      </c>
      <c r="AW668" s="4">
        <v>42646</v>
      </c>
      <c r="BD668">
        <v>0</v>
      </c>
      <c r="BN668" t="s">
        <v>74</v>
      </c>
    </row>
    <row r="669" spans="1:66">
      <c r="A669">
        <v>100164</v>
      </c>
      <c r="B669" s="3" t="s">
        <v>137</v>
      </c>
      <c r="C669" s="1">
        <v>43300101</v>
      </c>
      <c r="D669" t="s">
        <v>67</v>
      </c>
      <c r="H669" t="str">
        <f t="shared" si="61"/>
        <v>00803890151</v>
      </c>
      <c r="I669" t="str">
        <f t="shared" si="61"/>
        <v>00803890151</v>
      </c>
      <c r="K669" t="str">
        <f>""</f>
        <v/>
      </c>
      <c r="M669" t="s">
        <v>68</v>
      </c>
      <c r="N669" t="str">
        <f t="shared" si="59"/>
        <v>FOR</v>
      </c>
      <c r="O669" t="s">
        <v>69</v>
      </c>
      <c r="P669" s="3" t="s">
        <v>75</v>
      </c>
      <c r="Q669">
        <v>2016</v>
      </c>
      <c r="R669" s="2">
        <v>42580</v>
      </c>
      <c r="S669" s="2">
        <v>42584</v>
      </c>
      <c r="T669" s="2">
        <v>42580</v>
      </c>
      <c r="U669" s="2">
        <v>42640</v>
      </c>
      <c r="V669" t="s">
        <v>71</v>
      </c>
      <c r="W669" t="str">
        <f>"           162029350"</f>
        <v xml:space="preserve">           162029350</v>
      </c>
      <c r="X669">
        <v>219.6</v>
      </c>
      <c r="Y669">
        <v>0</v>
      </c>
      <c r="Z669" s="3">
        <v>180</v>
      </c>
      <c r="AA669">
        <v>6</v>
      </c>
      <c r="AB669" s="5">
        <v>1080</v>
      </c>
      <c r="AC669">
        <v>180</v>
      </c>
      <c r="AD669">
        <v>6</v>
      </c>
      <c r="AE669" s="1">
        <v>1080</v>
      </c>
      <c r="AF669">
        <v>0</v>
      </c>
      <c r="AJ669">
        <v>0</v>
      </c>
      <c r="AK669">
        <v>0</v>
      </c>
      <c r="AL669">
        <v>0</v>
      </c>
      <c r="AM669">
        <v>219.6</v>
      </c>
      <c r="AN669">
        <v>219.6</v>
      </c>
      <c r="AO669">
        <v>219.6</v>
      </c>
      <c r="AP669" s="2">
        <v>42746</v>
      </c>
      <c r="AQ669" t="s">
        <v>72</v>
      </c>
      <c r="AR669" t="s">
        <v>72</v>
      </c>
      <c r="AS669">
        <v>2553</v>
      </c>
      <c r="AT669" s="4">
        <v>42646</v>
      </c>
      <c r="AU669" t="s">
        <v>73</v>
      </c>
      <c r="AV669">
        <v>2553</v>
      </c>
      <c r="AW669" s="4">
        <v>42646</v>
      </c>
      <c r="BD669">
        <v>0</v>
      </c>
      <c r="BN669" t="s">
        <v>74</v>
      </c>
    </row>
    <row r="670" spans="1:66">
      <c r="A670">
        <v>100164</v>
      </c>
      <c r="B670" s="3" t="s">
        <v>137</v>
      </c>
      <c r="C670" s="1">
        <v>43300101</v>
      </c>
      <c r="D670" t="s">
        <v>67</v>
      </c>
      <c r="H670" t="str">
        <f t="shared" si="61"/>
        <v>00803890151</v>
      </c>
      <c r="I670" t="str">
        <f t="shared" si="61"/>
        <v>00803890151</v>
      </c>
      <c r="K670" t="str">
        <f>""</f>
        <v/>
      </c>
      <c r="M670" t="s">
        <v>68</v>
      </c>
      <c r="N670" t="str">
        <f t="shared" si="59"/>
        <v>FOR</v>
      </c>
      <c r="O670" t="s">
        <v>69</v>
      </c>
      <c r="P670" s="3" t="s">
        <v>75</v>
      </c>
      <c r="Q670">
        <v>2016</v>
      </c>
      <c r="R670" s="2">
        <v>42590</v>
      </c>
      <c r="S670" s="2">
        <v>42591</v>
      </c>
      <c r="T670" s="2">
        <v>42590</v>
      </c>
      <c r="U670" s="2">
        <v>42650</v>
      </c>
      <c r="V670" t="s">
        <v>71</v>
      </c>
      <c r="W670" t="str">
        <f>"           162030242"</f>
        <v xml:space="preserve">           162030242</v>
      </c>
      <c r="X670" s="1">
        <v>1098</v>
      </c>
      <c r="Y670">
        <v>0</v>
      </c>
      <c r="Z670" s="3">
        <v>900</v>
      </c>
      <c r="AA670">
        <v>33</v>
      </c>
      <c r="AB670" s="5">
        <v>29700</v>
      </c>
      <c r="AC670">
        <v>900</v>
      </c>
      <c r="AD670">
        <v>33</v>
      </c>
      <c r="AE670" s="1">
        <v>29700</v>
      </c>
      <c r="AF670">
        <v>0</v>
      </c>
      <c r="AJ670">
        <v>0</v>
      </c>
      <c r="AK670">
        <v>0</v>
      </c>
      <c r="AL670">
        <v>0</v>
      </c>
      <c r="AM670" s="1">
        <v>1098</v>
      </c>
      <c r="AN670" s="1">
        <v>1098</v>
      </c>
      <c r="AO670" s="1">
        <v>1098</v>
      </c>
      <c r="AP670" s="2">
        <v>42746</v>
      </c>
      <c r="AQ670" t="s">
        <v>72</v>
      </c>
      <c r="AR670" t="s">
        <v>72</v>
      </c>
      <c r="AS670">
        <v>3030</v>
      </c>
      <c r="AT670" s="4">
        <v>42683</v>
      </c>
      <c r="AU670" t="s">
        <v>73</v>
      </c>
      <c r="AV670">
        <v>3030</v>
      </c>
      <c r="AW670" s="4">
        <v>42683</v>
      </c>
      <c r="BD670">
        <v>0</v>
      </c>
      <c r="BN670" t="s">
        <v>74</v>
      </c>
    </row>
    <row r="671" spans="1:66">
      <c r="A671">
        <v>100164</v>
      </c>
      <c r="B671" s="3" t="s">
        <v>137</v>
      </c>
      <c r="C671" s="1">
        <v>43300101</v>
      </c>
      <c r="D671" t="s">
        <v>67</v>
      </c>
      <c r="H671" t="str">
        <f t="shared" si="61"/>
        <v>00803890151</v>
      </c>
      <c r="I671" t="str">
        <f t="shared" si="61"/>
        <v>00803890151</v>
      </c>
      <c r="K671" t="str">
        <f>""</f>
        <v/>
      </c>
      <c r="M671" t="s">
        <v>68</v>
      </c>
      <c r="N671" t="str">
        <f t="shared" si="59"/>
        <v>FOR</v>
      </c>
      <c r="O671" t="s">
        <v>69</v>
      </c>
      <c r="P671" s="3" t="s">
        <v>75</v>
      </c>
      <c r="Q671">
        <v>2016</v>
      </c>
      <c r="R671" s="2">
        <v>42599</v>
      </c>
      <c r="S671" s="2">
        <v>42600</v>
      </c>
      <c r="T671" s="2">
        <v>42599</v>
      </c>
      <c r="U671" s="2">
        <v>42659</v>
      </c>
      <c r="V671" t="s">
        <v>71</v>
      </c>
      <c r="W671" t="str">
        <f>"           162030913"</f>
        <v xml:space="preserve">           162030913</v>
      </c>
      <c r="X671" s="1">
        <v>1677.5</v>
      </c>
      <c r="Y671">
        <v>0</v>
      </c>
      <c r="Z671" s="5">
        <v>1375</v>
      </c>
      <c r="AA671">
        <v>24</v>
      </c>
      <c r="AB671" s="5">
        <v>33000</v>
      </c>
      <c r="AC671" s="1">
        <v>1375</v>
      </c>
      <c r="AD671">
        <v>24</v>
      </c>
      <c r="AE671" s="1">
        <v>33000</v>
      </c>
      <c r="AF671">
        <v>0</v>
      </c>
      <c r="AJ671">
        <v>0</v>
      </c>
      <c r="AK671">
        <v>0</v>
      </c>
      <c r="AL671">
        <v>0</v>
      </c>
      <c r="AM671" s="1">
        <v>1677.5</v>
      </c>
      <c r="AN671" s="1">
        <v>1677.5</v>
      </c>
      <c r="AO671" s="1">
        <v>1677.5</v>
      </c>
      <c r="AP671" s="2">
        <v>42746</v>
      </c>
      <c r="AQ671" t="s">
        <v>72</v>
      </c>
      <c r="AR671" t="s">
        <v>72</v>
      </c>
      <c r="AS671">
        <v>3030</v>
      </c>
      <c r="AT671" s="4">
        <v>42683</v>
      </c>
      <c r="AU671" t="s">
        <v>73</v>
      </c>
      <c r="AV671">
        <v>3030</v>
      </c>
      <c r="AW671" s="4">
        <v>42683</v>
      </c>
      <c r="BD671">
        <v>0</v>
      </c>
      <c r="BN671" t="s">
        <v>74</v>
      </c>
    </row>
    <row r="672" spans="1:66">
      <c r="A672">
        <v>100164</v>
      </c>
      <c r="B672" s="3" t="s">
        <v>137</v>
      </c>
      <c r="C672" s="1">
        <v>43300101</v>
      </c>
      <c r="D672" t="s">
        <v>67</v>
      </c>
      <c r="H672" t="str">
        <f t="shared" si="61"/>
        <v>00803890151</v>
      </c>
      <c r="I672" t="str">
        <f t="shared" si="61"/>
        <v>00803890151</v>
      </c>
      <c r="K672" t="str">
        <f>""</f>
        <v/>
      </c>
      <c r="M672" t="s">
        <v>68</v>
      </c>
      <c r="N672" t="str">
        <f t="shared" si="59"/>
        <v>FOR</v>
      </c>
      <c r="O672" t="s">
        <v>69</v>
      </c>
      <c r="P672" s="3" t="s">
        <v>75</v>
      </c>
      <c r="Q672">
        <v>2016</v>
      </c>
      <c r="R672" s="2">
        <v>42601</v>
      </c>
      <c r="S672" s="2">
        <v>42612</v>
      </c>
      <c r="T672" s="2">
        <v>42601</v>
      </c>
      <c r="U672" s="2">
        <v>42661</v>
      </c>
      <c r="V672" t="s">
        <v>71</v>
      </c>
      <c r="W672" t="str">
        <f>"           162031164"</f>
        <v xml:space="preserve">           162031164</v>
      </c>
      <c r="X672">
        <v>129.32</v>
      </c>
      <c r="Y672">
        <v>0</v>
      </c>
      <c r="Z672" s="3">
        <v>106</v>
      </c>
      <c r="AA672">
        <v>22</v>
      </c>
      <c r="AB672" s="5">
        <v>2332</v>
      </c>
      <c r="AC672">
        <v>106</v>
      </c>
      <c r="AD672">
        <v>22</v>
      </c>
      <c r="AE672" s="1">
        <v>2332</v>
      </c>
      <c r="AF672">
        <v>0</v>
      </c>
      <c r="AJ672">
        <v>0</v>
      </c>
      <c r="AK672">
        <v>0</v>
      </c>
      <c r="AL672">
        <v>0</v>
      </c>
      <c r="AM672">
        <v>129.32</v>
      </c>
      <c r="AN672">
        <v>129.32</v>
      </c>
      <c r="AO672">
        <v>129.32</v>
      </c>
      <c r="AP672" s="2">
        <v>42746</v>
      </c>
      <c r="AQ672" t="s">
        <v>72</v>
      </c>
      <c r="AR672" t="s">
        <v>72</v>
      </c>
      <c r="AS672">
        <v>3030</v>
      </c>
      <c r="AT672" s="4">
        <v>42683</v>
      </c>
      <c r="AU672" t="s">
        <v>73</v>
      </c>
      <c r="AV672">
        <v>3030</v>
      </c>
      <c r="AW672" s="4">
        <v>42683</v>
      </c>
      <c r="BD672">
        <v>0</v>
      </c>
      <c r="BN672" t="s">
        <v>74</v>
      </c>
    </row>
    <row r="673" spans="1:66">
      <c r="A673">
        <v>100164</v>
      </c>
      <c r="B673" s="3" t="s">
        <v>137</v>
      </c>
      <c r="C673" s="1">
        <v>43300101</v>
      </c>
      <c r="D673" t="s">
        <v>67</v>
      </c>
      <c r="H673" t="str">
        <f t="shared" si="61"/>
        <v>00803890151</v>
      </c>
      <c r="I673" t="str">
        <f t="shared" si="61"/>
        <v>00803890151</v>
      </c>
      <c r="K673" t="str">
        <f>""</f>
        <v/>
      </c>
      <c r="M673" t="s">
        <v>68</v>
      </c>
      <c r="N673" t="str">
        <f t="shared" si="59"/>
        <v>FOR</v>
      </c>
      <c r="O673" t="s">
        <v>69</v>
      </c>
      <c r="P673" s="3" t="s">
        <v>75</v>
      </c>
      <c r="Q673">
        <v>2016</v>
      </c>
      <c r="R673" s="2">
        <v>42614</v>
      </c>
      <c r="S673" s="2">
        <v>42620</v>
      </c>
      <c r="T673" s="2">
        <v>42614</v>
      </c>
      <c r="U673" s="2">
        <v>42674</v>
      </c>
      <c r="V673" t="s">
        <v>71</v>
      </c>
      <c r="W673" t="str">
        <f>"           162032563"</f>
        <v xml:space="preserve">           162032563</v>
      </c>
      <c r="X673" s="1">
        <v>2348.5</v>
      </c>
      <c r="Y673">
        <v>0</v>
      </c>
      <c r="Z673" s="5">
        <v>1925</v>
      </c>
      <c r="AA673">
        <v>45</v>
      </c>
      <c r="AB673" s="5">
        <v>86625</v>
      </c>
      <c r="AC673" s="1">
        <v>1925</v>
      </c>
      <c r="AD673">
        <v>45</v>
      </c>
      <c r="AE673" s="1">
        <v>86625</v>
      </c>
      <c r="AF673">
        <v>423.5</v>
      </c>
      <c r="AJ673">
        <v>0</v>
      </c>
      <c r="AK673">
        <v>0</v>
      </c>
      <c r="AL673">
        <v>0</v>
      </c>
      <c r="AM673" s="1">
        <v>2348.5</v>
      </c>
      <c r="AN673" s="1">
        <v>2348.5</v>
      </c>
      <c r="AO673" s="1">
        <v>2348.5</v>
      </c>
      <c r="AP673" s="2">
        <v>42746</v>
      </c>
      <c r="AQ673" t="s">
        <v>72</v>
      </c>
      <c r="AR673" t="s">
        <v>72</v>
      </c>
      <c r="AS673">
        <v>3530</v>
      </c>
      <c r="AT673" s="4">
        <v>42719</v>
      </c>
      <c r="AU673" t="s">
        <v>73</v>
      </c>
      <c r="AV673">
        <v>3530</v>
      </c>
      <c r="AW673" s="4">
        <v>42719</v>
      </c>
      <c r="AZ673">
        <v>423.5</v>
      </c>
      <c r="BD673">
        <v>0</v>
      </c>
      <c r="BN673" t="s">
        <v>74</v>
      </c>
    </row>
    <row r="674" spans="1:66">
      <c r="A674">
        <v>100164</v>
      </c>
      <c r="B674" s="3" t="s">
        <v>137</v>
      </c>
      <c r="C674" s="1">
        <v>43300101</v>
      </c>
      <c r="D674" t="s">
        <v>67</v>
      </c>
      <c r="H674" t="str">
        <f t="shared" si="61"/>
        <v>00803890151</v>
      </c>
      <c r="I674" t="str">
        <f t="shared" si="61"/>
        <v>00803890151</v>
      </c>
      <c r="K674" t="str">
        <f>""</f>
        <v/>
      </c>
      <c r="M674" t="s">
        <v>68</v>
      </c>
      <c r="N674" t="str">
        <f t="shared" si="59"/>
        <v>FOR</v>
      </c>
      <c r="O674" t="s">
        <v>69</v>
      </c>
      <c r="P674" s="3" t="s">
        <v>75</v>
      </c>
      <c r="Q674">
        <v>2016</v>
      </c>
      <c r="R674" s="2">
        <v>42619</v>
      </c>
      <c r="S674" s="2">
        <v>42620</v>
      </c>
      <c r="T674" s="2">
        <v>42619</v>
      </c>
      <c r="U674" s="2">
        <v>42679</v>
      </c>
      <c r="V674" t="s">
        <v>71</v>
      </c>
      <c r="W674" t="str">
        <f>"           162033280"</f>
        <v xml:space="preserve">           162033280</v>
      </c>
      <c r="X674">
        <v>322.08</v>
      </c>
      <c r="Y674">
        <v>0</v>
      </c>
      <c r="Z674" s="3">
        <v>264</v>
      </c>
      <c r="AA674">
        <v>40</v>
      </c>
      <c r="AB674" s="5">
        <v>10560</v>
      </c>
      <c r="AC674">
        <v>264</v>
      </c>
      <c r="AD674">
        <v>40</v>
      </c>
      <c r="AE674" s="1">
        <v>10560</v>
      </c>
      <c r="AF674">
        <v>58.08</v>
      </c>
      <c r="AJ674">
        <v>0</v>
      </c>
      <c r="AK674">
        <v>0</v>
      </c>
      <c r="AL674">
        <v>0</v>
      </c>
      <c r="AM674">
        <v>322.08</v>
      </c>
      <c r="AN674">
        <v>322.08</v>
      </c>
      <c r="AO674">
        <v>322.08</v>
      </c>
      <c r="AP674" s="2">
        <v>42746</v>
      </c>
      <c r="AQ674" t="s">
        <v>72</v>
      </c>
      <c r="AR674" t="s">
        <v>72</v>
      </c>
      <c r="AS674">
        <v>3530</v>
      </c>
      <c r="AT674" s="4">
        <v>42719</v>
      </c>
      <c r="AU674" t="s">
        <v>73</v>
      </c>
      <c r="AV674">
        <v>3530</v>
      </c>
      <c r="AW674" s="4">
        <v>42719</v>
      </c>
      <c r="AY674">
        <v>58.08</v>
      </c>
      <c r="BD674">
        <v>0</v>
      </c>
      <c r="BN674" t="s">
        <v>74</v>
      </c>
    </row>
    <row r="675" spans="1:66">
      <c r="A675">
        <v>100164</v>
      </c>
      <c r="B675" s="3" t="s">
        <v>137</v>
      </c>
      <c r="C675" s="1">
        <v>43300101</v>
      </c>
      <c r="D675" t="s">
        <v>67</v>
      </c>
      <c r="H675" t="str">
        <f t="shared" ref="H675:I683" si="62">"00803890151"</f>
        <v>00803890151</v>
      </c>
      <c r="I675" t="str">
        <f t="shared" si="62"/>
        <v>00803890151</v>
      </c>
      <c r="K675" t="str">
        <f>""</f>
        <v/>
      </c>
      <c r="M675" t="s">
        <v>68</v>
      </c>
      <c r="N675" t="str">
        <f t="shared" si="59"/>
        <v>FOR</v>
      </c>
      <c r="O675" t="s">
        <v>69</v>
      </c>
      <c r="P675" s="3" t="s">
        <v>75</v>
      </c>
      <c r="Q675">
        <v>2016</v>
      </c>
      <c r="R675" s="2">
        <v>42619</v>
      </c>
      <c r="S675" s="2">
        <v>42620</v>
      </c>
      <c r="T675" s="2">
        <v>42619</v>
      </c>
      <c r="U675" s="2">
        <v>42679</v>
      </c>
      <c r="V675" t="s">
        <v>71</v>
      </c>
      <c r="W675" t="str">
        <f>"           162033316"</f>
        <v xml:space="preserve">           162033316</v>
      </c>
      <c r="X675" s="1">
        <v>2415.6</v>
      </c>
      <c r="Y675">
        <v>0</v>
      </c>
      <c r="Z675" s="5">
        <v>1980</v>
      </c>
      <c r="AA675">
        <v>40</v>
      </c>
      <c r="AB675" s="5">
        <v>79200</v>
      </c>
      <c r="AC675" s="1">
        <v>1980</v>
      </c>
      <c r="AD675">
        <v>40</v>
      </c>
      <c r="AE675" s="1">
        <v>79200</v>
      </c>
      <c r="AF675">
        <v>435.6</v>
      </c>
      <c r="AJ675">
        <v>0</v>
      </c>
      <c r="AK675">
        <v>0</v>
      </c>
      <c r="AL675">
        <v>0</v>
      </c>
      <c r="AM675" s="1">
        <v>2415.6</v>
      </c>
      <c r="AN675" s="1">
        <v>2415.6</v>
      </c>
      <c r="AO675" s="1">
        <v>2415.6</v>
      </c>
      <c r="AP675" s="2">
        <v>42746</v>
      </c>
      <c r="AQ675" t="s">
        <v>72</v>
      </c>
      <c r="AR675" t="s">
        <v>72</v>
      </c>
      <c r="AS675">
        <v>3530</v>
      </c>
      <c r="AT675" s="4">
        <v>42719</v>
      </c>
      <c r="AU675" t="s">
        <v>73</v>
      </c>
      <c r="AV675">
        <v>3530</v>
      </c>
      <c r="AW675" s="4">
        <v>42719</v>
      </c>
      <c r="AY675">
        <v>435.6</v>
      </c>
      <c r="BD675">
        <v>0</v>
      </c>
      <c r="BN675" t="s">
        <v>74</v>
      </c>
    </row>
    <row r="676" spans="1:66">
      <c r="A676">
        <v>100164</v>
      </c>
      <c r="B676" s="3" t="s">
        <v>137</v>
      </c>
      <c r="C676" s="1">
        <v>43300101</v>
      </c>
      <c r="D676" t="s">
        <v>67</v>
      </c>
      <c r="H676" t="str">
        <f t="shared" si="62"/>
        <v>00803890151</v>
      </c>
      <c r="I676" t="str">
        <f t="shared" si="62"/>
        <v>00803890151</v>
      </c>
      <c r="K676" t="str">
        <f>""</f>
        <v/>
      </c>
      <c r="M676" t="s">
        <v>68</v>
      </c>
      <c r="N676" t="str">
        <f t="shared" si="59"/>
        <v>FOR</v>
      </c>
      <c r="O676" t="s">
        <v>69</v>
      </c>
      <c r="P676" s="3" t="s">
        <v>75</v>
      </c>
      <c r="Q676">
        <v>2016</v>
      </c>
      <c r="R676" s="2">
        <v>42621</v>
      </c>
      <c r="S676" s="2">
        <v>42627</v>
      </c>
      <c r="T676" s="2">
        <v>42621</v>
      </c>
      <c r="U676" s="2">
        <v>42681</v>
      </c>
      <c r="V676" t="s">
        <v>71</v>
      </c>
      <c r="W676" t="str">
        <f>"           162033693"</f>
        <v xml:space="preserve">           162033693</v>
      </c>
      <c r="X676">
        <v>732</v>
      </c>
      <c r="Y676">
        <v>0</v>
      </c>
      <c r="Z676" s="3">
        <v>600</v>
      </c>
      <c r="AA676">
        <v>38</v>
      </c>
      <c r="AB676" s="5">
        <v>22800</v>
      </c>
      <c r="AC676">
        <v>600</v>
      </c>
      <c r="AD676">
        <v>38</v>
      </c>
      <c r="AE676" s="1">
        <v>22800</v>
      </c>
      <c r="AF676">
        <v>132</v>
      </c>
      <c r="AJ676">
        <v>0</v>
      </c>
      <c r="AK676">
        <v>0</v>
      </c>
      <c r="AL676">
        <v>0</v>
      </c>
      <c r="AM676">
        <v>732</v>
      </c>
      <c r="AN676">
        <v>732</v>
      </c>
      <c r="AO676">
        <v>732</v>
      </c>
      <c r="AP676" s="2">
        <v>42746</v>
      </c>
      <c r="AQ676" t="s">
        <v>72</v>
      </c>
      <c r="AR676" t="s">
        <v>72</v>
      </c>
      <c r="AS676">
        <v>3530</v>
      </c>
      <c r="AT676" s="4">
        <v>42719</v>
      </c>
      <c r="AU676" t="s">
        <v>73</v>
      </c>
      <c r="AV676">
        <v>3530</v>
      </c>
      <c r="AW676" s="4">
        <v>42719</v>
      </c>
      <c r="AY676">
        <v>132</v>
      </c>
      <c r="BD676">
        <v>0</v>
      </c>
      <c r="BN676" t="s">
        <v>74</v>
      </c>
    </row>
    <row r="677" spans="1:66">
      <c r="A677">
        <v>100164</v>
      </c>
      <c r="B677" s="3" t="s">
        <v>137</v>
      </c>
      <c r="C677" s="1">
        <v>43300101</v>
      </c>
      <c r="D677" t="s">
        <v>67</v>
      </c>
      <c r="H677" t="str">
        <f t="shared" si="62"/>
        <v>00803890151</v>
      </c>
      <c r="I677" t="str">
        <f t="shared" si="62"/>
        <v>00803890151</v>
      </c>
      <c r="K677" t="str">
        <f>""</f>
        <v/>
      </c>
      <c r="M677" t="s">
        <v>68</v>
      </c>
      <c r="N677" t="str">
        <f t="shared" si="59"/>
        <v>FOR</v>
      </c>
      <c r="O677" t="s">
        <v>69</v>
      </c>
      <c r="P677" s="3" t="s">
        <v>75</v>
      </c>
      <c r="Q677">
        <v>2016</v>
      </c>
      <c r="R677" s="2">
        <v>42627</v>
      </c>
      <c r="S677" s="2">
        <v>42627</v>
      </c>
      <c r="T677" s="2">
        <v>42627</v>
      </c>
      <c r="U677" s="2">
        <v>42687</v>
      </c>
      <c r="V677" t="s">
        <v>71</v>
      </c>
      <c r="W677" t="str">
        <f>"           162034430"</f>
        <v xml:space="preserve">           162034430</v>
      </c>
      <c r="X677" s="1">
        <v>9702.66</v>
      </c>
      <c r="Y677">
        <v>0</v>
      </c>
      <c r="Z677" s="5">
        <v>7953</v>
      </c>
      <c r="AA677">
        <v>32</v>
      </c>
      <c r="AB677" s="5">
        <v>254496</v>
      </c>
      <c r="AC677" s="1">
        <v>7953</v>
      </c>
      <c r="AD677">
        <v>32</v>
      </c>
      <c r="AE677" s="1">
        <v>254496</v>
      </c>
      <c r="AF677" s="1">
        <v>1749.66</v>
      </c>
      <c r="AJ677">
        <v>0</v>
      </c>
      <c r="AK677">
        <v>0</v>
      </c>
      <c r="AL677">
        <v>0</v>
      </c>
      <c r="AM677" s="1">
        <v>9702.66</v>
      </c>
      <c r="AN677" s="1">
        <v>9702.66</v>
      </c>
      <c r="AO677" s="1">
        <v>9702.66</v>
      </c>
      <c r="AP677" s="2">
        <v>42746</v>
      </c>
      <c r="AQ677" t="s">
        <v>72</v>
      </c>
      <c r="AR677" t="s">
        <v>72</v>
      </c>
      <c r="AS677">
        <v>3530</v>
      </c>
      <c r="AT677" s="4">
        <v>42719</v>
      </c>
      <c r="AU677" t="s">
        <v>73</v>
      </c>
      <c r="AV677">
        <v>3530</v>
      </c>
      <c r="AW677" s="4">
        <v>42719</v>
      </c>
      <c r="AY677" s="1">
        <v>1749.66</v>
      </c>
      <c r="BD677">
        <v>0</v>
      </c>
      <c r="BN677" t="s">
        <v>74</v>
      </c>
    </row>
    <row r="678" spans="1:66">
      <c r="A678">
        <v>100164</v>
      </c>
      <c r="B678" s="3" t="s">
        <v>137</v>
      </c>
      <c r="C678" s="1">
        <v>43300101</v>
      </c>
      <c r="D678" t="s">
        <v>67</v>
      </c>
      <c r="H678" t="str">
        <f t="shared" si="62"/>
        <v>00803890151</v>
      </c>
      <c r="I678" t="str">
        <f t="shared" si="62"/>
        <v>00803890151</v>
      </c>
      <c r="K678" t="str">
        <f>""</f>
        <v/>
      </c>
      <c r="M678" t="s">
        <v>68</v>
      </c>
      <c r="N678" t="str">
        <f t="shared" si="59"/>
        <v>FOR</v>
      </c>
      <c r="O678" t="s">
        <v>69</v>
      </c>
      <c r="P678" s="3" t="s">
        <v>75</v>
      </c>
      <c r="Q678">
        <v>2016</v>
      </c>
      <c r="R678" s="2">
        <v>42627</v>
      </c>
      <c r="S678" s="2">
        <v>42627</v>
      </c>
      <c r="T678" s="2">
        <v>42627</v>
      </c>
      <c r="U678" s="2">
        <v>42687</v>
      </c>
      <c r="V678" t="s">
        <v>71</v>
      </c>
      <c r="W678" t="str">
        <f>"           162034431"</f>
        <v xml:space="preserve">           162034431</v>
      </c>
      <c r="X678" s="1">
        <v>5812.3</v>
      </c>
      <c r="Y678">
        <v>0</v>
      </c>
      <c r="Z678" s="5">
        <v>4764.18</v>
      </c>
      <c r="AA678">
        <v>32</v>
      </c>
      <c r="AB678" s="5">
        <v>152453.76000000001</v>
      </c>
      <c r="AC678" s="1">
        <v>4764.18</v>
      </c>
      <c r="AD678">
        <v>32</v>
      </c>
      <c r="AE678" s="1">
        <v>152453.76000000001</v>
      </c>
      <c r="AF678" s="1">
        <v>1048.1199999999999</v>
      </c>
      <c r="AJ678">
        <v>0</v>
      </c>
      <c r="AK678">
        <v>0</v>
      </c>
      <c r="AL678">
        <v>0</v>
      </c>
      <c r="AM678" s="1">
        <v>5812.3</v>
      </c>
      <c r="AN678" s="1">
        <v>5812.3</v>
      </c>
      <c r="AO678" s="1">
        <v>5812.3</v>
      </c>
      <c r="AP678" s="2">
        <v>42746</v>
      </c>
      <c r="AQ678" t="s">
        <v>72</v>
      </c>
      <c r="AR678" t="s">
        <v>72</v>
      </c>
      <c r="AS678">
        <v>3530</v>
      </c>
      <c r="AT678" s="4">
        <v>42719</v>
      </c>
      <c r="AU678" t="s">
        <v>73</v>
      </c>
      <c r="AV678">
        <v>3530</v>
      </c>
      <c r="AW678" s="4">
        <v>42719</v>
      </c>
      <c r="AY678" s="1">
        <v>1048.1199999999999</v>
      </c>
      <c r="BD678">
        <v>0</v>
      </c>
      <c r="BN678" t="s">
        <v>74</v>
      </c>
    </row>
    <row r="679" spans="1:66">
      <c r="A679">
        <v>100164</v>
      </c>
      <c r="B679" s="3" t="s">
        <v>137</v>
      </c>
      <c r="C679" s="1">
        <v>43300101</v>
      </c>
      <c r="D679" t="s">
        <v>67</v>
      </c>
      <c r="H679" t="str">
        <f t="shared" si="62"/>
        <v>00803890151</v>
      </c>
      <c r="I679" t="str">
        <f t="shared" si="62"/>
        <v>00803890151</v>
      </c>
      <c r="K679" t="str">
        <f>""</f>
        <v/>
      </c>
      <c r="M679" t="s">
        <v>68</v>
      </c>
      <c r="N679" t="str">
        <f t="shared" si="59"/>
        <v>FOR</v>
      </c>
      <c r="O679" t="s">
        <v>69</v>
      </c>
      <c r="P679" s="3" t="s">
        <v>75</v>
      </c>
      <c r="Q679">
        <v>2016</v>
      </c>
      <c r="R679" s="2">
        <v>42633</v>
      </c>
      <c r="S679" s="2">
        <v>42642</v>
      </c>
      <c r="T679" s="2">
        <v>42633</v>
      </c>
      <c r="U679" s="2">
        <v>42693</v>
      </c>
      <c r="V679" t="s">
        <v>71</v>
      </c>
      <c r="W679" t="str">
        <f>"           162035041"</f>
        <v xml:space="preserve">           162035041</v>
      </c>
      <c r="X679">
        <v>21.3</v>
      </c>
      <c r="Y679">
        <v>0</v>
      </c>
      <c r="Z679" s="3">
        <v>17.46</v>
      </c>
      <c r="AA679">
        <v>26</v>
      </c>
      <c r="AB679" s="3">
        <v>453.96</v>
      </c>
      <c r="AC679">
        <v>17.46</v>
      </c>
      <c r="AD679">
        <v>26</v>
      </c>
      <c r="AE679">
        <v>453.96</v>
      </c>
      <c r="AF679">
        <v>3.84</v>
      </c>
      <c r="AJ679">
        <v>0</v>
      </c>
      <c r="AK679">
        <v>0</v>
      </c>
      <c r="AL679">
        <v>0</v>
      </c>
      <c r="AM679">
        <v>21.3</v>
      </c>
      <c r="AN679">
        <v>21.3</v>
      </c>
      <c r="AO679">
        <v>21.3</v>
      </c>
      <c r="AP679" s="2">
        <v>42746</v>
      </c>
      <c r="AQ679" t="s">
        <v>72</v>
      </c>
      <c r="AR679" t="s">
        <v>72</v>
      </c>
      <c r="AS679">
        <v>3530</v>
      </c>
      <c r="AT679" s="4">
        <v>42719</v>
      </c>
      <c r="AU679" t="s">
        <v>73</v>
      </c>
      <c r="AV679">
        <v>3530</v>
      </c>
      <c r="AW679" s="4">
        <v>42719</v>
      </c>
      <c r="AY679">
        <v>3.84</v>
      </c>
      <c r="BD679">
        <v>0</v>
      </c>
      <c r="BN679" t="s">
        <v>74</v>
      </c>
    </row>
    <row r="680" spans="1:66">
      <c r="A680">
        <v>100164</v>
      </c>
      <c r="B680" s="3" t="s">
        <v>137</v>
      </c>
      <c r="C680" s="1">
        <v>43300101</v>
      </c>
      <c r="D680" t="s">
        <v>67</v>
      </c>
      <c r="H680" t="str">
        <f t="shared" si="62"/>
        <v>00803890151</v>
      </c>
      <c r="I680" t="str">
        <f t="shared" si="62"/>
        <v>00803890151</v>
      </c>
      <c r="K680" t="str">
        <f>""</f>
        <v/>
      </c>
      <c r="M680" t="s">
        <v>68</v>
      </c>
      <c r="N680" t="str">
        <f t="shared" si="59"/>
        <v>FOR</v>
      </c>
      <c r="O680" t="s">
        <v>69</v>
      </c>
      <c r="P680" s="3" t="s">
        <v>75</v>
      </c>
      <c r="Q680">
        <v>2016</v>
      </c>
      <c r="R680" s="2">
        <v>42635</v>
      </c>
      <c r="S680" s="2">
        <v>42642</v>
      </c>
      <c r="T680" s="2">
        <v>42635</v>
      </c>
      <c r="U680" s="2">
        <v>42695</v>
      </c>
      <c r="V680" t="s">
        <v>71</v>
      </c>
      <c r="W680" t="str">
        <f>"           162035343"</f>
        <v xml:space="preserve">           162035343</v>
      </c>
      <c r="X680">
        <v>17.079999999999998</v>
      </c>
      <c r="Y680">
        <v>0</v>
      </c>
      <c r="Z680" s="3">
        <v>14</v>
      </c>
      <c r="AA680">
        <v>24</v>
      </c>
      <c r="AB680" s="3">
        <v>336</v>
      </c>
      <c r="AC680">
        <v>14</v>
      </c>
      <c r="AD680">
        <v>24</v>
      </c>
      <c r="AE680">
        <v>336</v>
      </c>
      <c r="AF680">
        <v>3.08</v>
      </c>
      <c r="AJ680">
        <v>0</v>
      </c>
      <c r="AK680">
        <v>0</v>
      </c>
      <c r="AL680">
        <v>0</v>
      </c>
      <c r="AM680">
        <v>17.079999999999998</v>
      </c>
      <c r="AN680">
        <v>17.079999999999998</v>
      </c>
      <c r="AO680">
        <v>17.079999999999998</v>
      </c>
      <c r="AP680" s="2">
        <v>42746</v>
      </c>
      <c r="AQ680" t="s">
        <v>72</v>
      </c>
      <c r="AR680" t="s">
        <v>72</v>
      </c>
      <c r="AS680">
        <v>3530</v>
      </c>
      <c r="AT680" s="4">
        <v>42719</v>
      </c>
      <c r="AU680" t="s">
        <v>73</v>
      </c>
      <c r="AV680">
        <v>3530</v>
      </c>
      <c r="AW680" s="4">
        <v>42719</v>
      </c>
      <c r="AY680">
        <v>3.08</v>
      </c>
      <c r="BD680">
        <v>0</v>
      </c>
      <c r="BN680" t="s">
        <v>74</v>
      </c>
    </row>
    <row r="681" spans="1:66">
      <c r="A681">
        <v>100164</v>
      </c>
      <c r="B681" s="3" t="s">
        <v>137</v>
      </c>
      <c r="C681" s="1">
        <v>43300101</v>
      </c>
      <c r="D681" t="s">
        <v>67</v>
      </c>
      <c r="H681" t="str">
        <f t="shared" si="62"/>
        <v>00803890151</v>
      </c>
      <c r="I681" t="str">
        <f t="shared" si="62"/>
        <v>00803890151</v>
      </c>
      <c r="K681" t="str">
        <f>""</f>
        <v/>
      </c>
      <c r="M681" t="s">
        <v>68</v>
      </c>
      <c r="N681" t="str">
        <f t="shared" si="59"/>
        <v>FOR</v>
      </c>
      <c r="O681" t="s">
        <v>69</v>
      </c>
      <c r="P681" s="3" t="s">
        <v>75</v>
      </c>
      <c r="Q681">
        <v>2016</v>
      </c>
      <c r="R681" s="2">
        <v>42639</v>
      </c>
      <c r="S681" s="2">
        <v>42642</v>
      </c>
      <c r="T681" s="2">
        <v>42639</v>
      </c>
      <c r="U681" s="2">
        <v>42699</v>
      </c>
      <c r="V681" t="s">
        <v>71</v>
      </c>
      <c r="W681" t="str">
        <f>"           162035777"</f>
        <v xml:space="preserve">           162035777</v>
      </c>
      <c r="X681">
        <v>85.4</v>
      </c>
      <c r="Y681">
        <v>0</v>
      </c>
      <c r="Z681" s="3">
        <v>70</v>
      </c>
      <c r="AA681">
        <v>20</v>
      </c>
      <c r="AB681" s="5">
        <v>1400</v>
      </c>
      <c r="AC681">
        <v>70</v>
      </c>
      <c r="AD681">
        <v>20</v>
      </c>
      <c r="AE681" s="1">
        <v>1400</v>
      </c>
      <c r="AF681">
        <v>15.4</v>
      </c>
      <c r="AJ681">
        <v>0</v>
      </c>
      <c r="AK681">
        <v>0</v>
      </c>
      <c r="AL681">
        <v>0</v>
      </c>
      <c r="AM681">
        <v>85.4</v>
      </c>
      <c r="AN681">
        <v>85.4</v>
      </c>
      <c r="AO681">
        <v>85.4</v>
      </c>
      <c r="AP681" s="2">
        <v>42746</v>
      </c>
      <c r="AQ681" t="s">
        <v>72</v>
      </c>
      <c r="AR681" t="s">
        <v>72</v>
      </c>
      <c r="AS681">
        <v>3530</v>
      </c>
      <c r="AT681" s="4">
        <v>42719</v>
      </c>
      <c r="AU681" t="s">
        <v>73</v>
      </c>
      <c r="AV681">
        <v>3530</v>
      </c>
      <c r="AW681" s="4">
        <v>42719</v>
      </c>
      <c r="AY681">
        <v>15.4</v>
      </c>
      <c r="BD681">
        <v>0</v>
      </c>
      <c r="BN681" t="s">
        <v>74</v>
      </c>
    </row>
    <row r="682" spans="1:66">
      <c r="A682">
        <v>100164</v>
      </c>
      <c r="B682" s="3" t="s">
        <v>137</v>
      </c>
      <c r="C682" s="1">
        <v>43300101</v>
      </c>
      <c r="D682" t="s">
        <v>67</v>
      </c>
      <c r="H682" t="str">
        <f t="shared" si="62"/>
        <v>00803890151</v>
      </c>
      <c r="I682" t="str">
        <f t="shared" si="62"/>
        <v>00803890151</v>
      </c>
      <c r="K682" t="str">
        <f>""</f>
        <v/>
      </c>
      <c r="M682" t="s">
        <v>68</v>
      </c>
      <c r="N682" t="str">
        <f t="shared" si="59"/>
        <v>FOR</v>
      </c>
      <c r="O682" t="s">
        <v>69</v>
      </c>
      <c r="P682" s="3" t="s">
        <v>75</v>
      </c>
      <c r="Q682">
        <v>2016</v>
      </c>
      <c r="R682" s="2">
        <v>42642</v>
      </c>
      <c r="S682" s="2">
        <v>42643</v>
      </c>
      <c r="T682" s="2">
        <v>42642</v>
      </c>
      <c r="U682" s="2">
        <v>42702</v>
      </c>
      <c r="V682" t="s">
        <v>71</v>
      </c>
      <c r="W682" t="str">
        <f>"           162036326"</f>
        <v xml:space="preserve">           162036326</v>
      </c>
      <c r="X682">
        <v>152.5</v>
      </c>
      <c r="Y682">
        <v>0</v>
      </c>
      <c r="Z682" s="3">
        <v>125</v>
      </c>
      <c r="AA682">
        <v>21</v>
      </c>
      <c r="AB682" s="5">
        <v>2625</v>
      </c>
      <c r="AC682">
        <v>125</v>
      </c>
      <c r="AD682">
        <v>21</v>
      </c>
      <c r="AE682" s="1">
        <v>2625</v>
      </c>
      <c r="AF682">
        <v>27.5</v>
      </c>
      <c r="AJ682">
        <v>0</v>
      </c>
      <c r="AK682">
        <v>0</v>
      </c>
      <c r="AL682">
        <v>0</v>
      </c>
      <c r="AM682">
        <v>152.5</v>
      </c>
      <c r="AN682">
        <v>152.5</v>
      </c>
      <c r="AO682">
        <v>152.5</v>
      </c>
      <c r="AP682" s="2">
        <v>42746</v>
      </c>
      <c r="AQ682" t="s">
        <v>72</v>
      </c>
      <c r="AR682" t="s">
        <v>72</v>
      </c>
      <c r="AS682">
        <v>3603</v>
      </c>
      <c r="AT682" s="4">
        <v>42723</v>
      </c>
      <c r="AU682" t="s">
        <v>73</v>
      </c>
      <c r="AV682">
        <v>3603</v>
      </c>
      <c r="AW682" s="4">
        <v>42723</v>
      </c>
      <c r="AY682">
        <v>27.5</v>
      </c>
      <c r="BD682">
        <v>0</v>
      </c>
      <c r="BN682" t="s">
        <v>74</v>
      </c>
    </row>
    <row r="683" spans="1:66">
      <c r="A683">
        <v>100164</v>
      </c>
      <c r="B683" s="3" t="s">
        <v>137</v>
      </c>
      <c r="C683" s="1">
        <v>43300101</v>
      </c>
      <c r="D683" t="s">
        <v>67</v>
      </c>
      <c r="H683" t="str">
        <f t="shared" si="62"/>
        <v>00803890151</v>
      </c>
      <c r="I683" t="str">
        <f t="shared" si="62"/>
        <v>00803890151</v>
      </c>
      <c r="K683" t="str">
        <f>""</f>
        <v/>
      </c>
      <c r="M683" t="s">
        <v>68</v>
      </c>
      <c r="N683" t="str">
        <f t="shared" si="59"/>
        <v>FOR</v>
      </c>
      <c r="O683" t="s">
        <v>69</v>
      </c>
      <c r="P683" s="3" t="s">
        <v>75</v>
      </c>
      <c r="Q683">
        <v>2016</v>
      </c>
      <c r="R683" s="2">
        <v>42642</v>
      </c>
      <c r="S683" s="2">
        <v>42643</v>
      </c>
      <c r="T683" s="2">
        <v>42642</v>
      </c>
      <c r="U683" s="2">
        <v>42702</v>
      </c>
      <c r="V683" t="s">
        <v>71</v>
      </c>
      <c r="W683" t="str">
        <f>"           162036327"</f>
        <v xml:space="preserve">           162036327</v>
      </c>
      <c r="X683" s="1">
        <v>4270</v>
      </c>
      <c r="Y683">
        <v>0</v>
      </c>
      <c r="Z683" s="5">
        <v>3500</v>
      </c>
      <c r="AA683">
        <v>21</v>
      </c>
      <c r="AB683" s="5">
        <v>73500</v>
      </c>
      <c r="AC683" s="1">
        <v>3500</v>
      </c>
      <c r="AD683">
        <v>21</v>
      </c>
      <c r="AE683" s="1">
        <v>73500</v>
      </c>
      <c r="AF683">
        <v>770</v>
      </c>
      <c r="AJ683">
        <v>0</v>
      </c>
      <c r="AK683">
        <v>0</v>
      </c>
      <c r="AL683">
        <v>0</v>
      </c>
      <c r="AM683" s="1">
        <v>4270</v>
      </c>
      <c r="AN683" s="1">
        <v>4270</v>
      </c>
      <c r="AO683" s="1">
        <v>4270</v>
      </c>
      <c r="AP683" s="2">
        <v>42746</v>
      </c>
      <c r="AQ683" t="s">
        <v>72</v>
      </c>
      <c r="AR683" t="s">
        <v>72</v>
      </c>
      <c r="AS683">
        <v>3603</v>
      </c>
      <c r="AT683" s="4">
        <v>42723</v>
      </c>
      <c r="AU683" t="s">
        <v>73</v>
      </c>
      <c r="AV683">
        <v>3603</v>
      </c>
      <c r="AW683" s="4">
        <v>42723</v>
      </c>
      <c r="AY683">
        <v>770</v>
      </c>
      <c r="BD683">
        <v>0</v>
      </c>
      <c r="BN683" t="s">
        <v>74</v>
      </c>
    </row>
    <row r="684" spans="1:66" hidden="1">
      <c r="A684">
        <v>100187</v>
      </c>
      <c r="B684" s="3" t="s">
        <v>138</v>
      </c>
      <c r="C684" s="1">
        <v>43300101</v>
      </c>
      <c r="D684" t="s">
        <v>67</v>
      </c>
      <c r="H684" t="str">
        <f>"00970310397"</f>
        <v>00970310397</v>
      </c>
      <c r="I684" t="str">
        <f>"00970310397"</f>
        <v>00970310397</v>
      </c>
      <c r="K684" t="str">
        <f>""</f>
        <v/>
      </c>
      <c r="M684" t="s">
        <v>68</v>
      </c>
      <c r="N684" t="str">
        <f t="shared" si="59"/>
        <v>FOR</v>
      </c>
      <c r="O684" t="s">
        <v>69</v>
      </c>
      <c r="P684" s="3" t="s">
        <v>75</v>
      </c>
      <c r="Q684">
        <v>2015</v>
      </c>
      <c r="R684" s="2">
        <v>42216</v>
      </c>
      <c r="S684" s="2">
        <v>42229</v>
      </c>
      <c r="T684" s="2">
        <v>42226</v>
      </c>
      <c r="U684" s="2">
        <v>42286</v>
      </c>
      <c r="V684" t="s">
        <v>71</v>
      </c>
      <c r="W684" t="str">
        <f>"          15VS000387"</f>
        <v xml:space="preserve">          15VS000387</v>
      </c>
      <c r="X684">
        <v>683.2</v>
      </c>
      <c r="Y684">
        <v>0</v>
      </c>
      <c r="Z684"/>
      <c r="AB684"/>
      <c r="AC684">
        <v>560</v>
      </c>
      <c r="AD684">
        <v>280</v>
      </c>
      <c r="AE684" s="1">
        <v>156800</v>
      </c>
      <c r="AF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 s="2">
        <v>42746</v>
      </c>
      <c r="AQ684" t="s">
        <v>72</v>
      </c>
      <c r="AR684" t="s">
        <v>72</v>
      </c>
      <c r="AS684">
        <v>1830</v>
      </c>
      <c r="AT684" s="4">
        <v>42566</v>
      </c>
      <c r="AU684" t="s">
        <v>73</v>
      </c>
      <c r="AV684">
        <v>1830</v>
      </c>
      <c r="AW684" s="4">
        <v>42566</v>
      </c>
      <c r="BD684">
        <v>0</v>
      </c>
      <c r="BN684" t="s">
        <v>74</v>
      </c>
    </row>
    <row r="685" spans="1:66" hidden="1">
      <c r="A685">
        <v>100187</v>
      </c>
      <c r="B685" s="3" t="s">
        <v>138</v>
      </c>
      <c r="C685" s="1">
        <v>43300101</v>
      </c>
      <c r="D685" t="s">
        <v>67</v>
      </c>
      <c r="H685" t="str">
        <f>"00970310397"</f>
        <v>00970310397</v>
      </c>
      <c r="I685" t="str">
        <f>"00970310397"</f>
        <v>00970310397</v>
      </c>
      <c r="K685" t="str">
        <f>""</f>
        <v/>
      </c>
      <c r="M685" t="s">
        <v>68</v>
      </c>
      <c r="N685" t="str">
        <f t="shared" si="59"/>
        <v>FOR</v>
      </c>
      <c r="O685" t="s">
        <v>69</v>
      </c>
      <c r="P685" s="3" t="s">
        <v>75</v>
      </c>
      <c r="Q685">
        <v>2015</v>
      </c>
      <c r="R685" s="2">
        <v>42263</v>
      </c>
      <c r="S685" s="2">
        <v>42291</v>
      </c>
      <c r="T685" s="2">
        <v>42291</v>
      </c>
      <c r="U685" s="2">
        <v>42351</v>
      </c>
      <c r="V685" t="s">
        <v>71</v>
      </c>
      <c r="W685" t="str">
        <f>"          15VS000461"</f>
        <v xml:space="preserve">          15VS000461</v>
      </c>
      <c r="X685" s="1">
        <v>1024.8</v>
      </c>
      <c r="Y685">
        <v>0</v>
      </c>
      <c r="Z685"/>
      <c r="AB685"/>
      <c r="AC685">
        <v>840</v>
      </c>
      <c r="AD685">
        <v>270</v>
      </c>
      <c r="AE685" s="1">
        <v>226800</v>
      </c>
      <c r="AF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 s="2">
        <v>42746</v>
      </c>
      <c r="AQ685" t="s">
        <v>72</v>
      </c>
      <c r="AR685" t="s">
        <v>72</v>
      </c>
      <c r="AS685">
        <v>2354</v>
      </c>
      <c r="AT685" s="4">
        <v>42621</v>
      </c>
      <c r="AU685" t="s">
        <v>73</v>
      </c>
      <c r="AV685">
        <v>2354</v>
      </c>
      <c r="AW685" s="4">
        <v>42621</v>
      </c>
      <c r="BD685">
        <v>0</v>
      </c>
      <c r="BN685" t="s">
        <v>74</v>
      </c>
    </row>
    <row r="686" spans="1:66" hidden="1">
      <c r="A686">
        <v>100202</v>
      </c>
      <c r="B686" s="3" t="s">
        <v>139</v>
      </c>
      <c r="C686" s="1">
        <v>43300101</v>
      </c>
      <c r="D686" t="s">
        <v>67</v>
      </c>
      <c r="H686" t="str">
        <f t="shared" ref="H686:I694" si="63">"07022780634"</f>
        <v>07022780634</v>
      </c>
      <c r="I686" t="str">
        <f t="shared" si="63"/>
        <v>07022780634</v>
      </c>
      <c r="K686" t="str">
        <f>""</f>
        <v/>
      </c>
      <c r="M686" t="s">
        <v>68</v>
      </c>
      <c r="N686" t="str">
        <f t="shared" ref="N686:N749" si="64">"FOR"</f>
        <v>FOR</v>
      </c>
      <c r="O686" t="s">
        <v>69</v>
      </c>
      <c r="P686" s="3" t="s">
        <v>70</v>
      </c>
      <c r="Q686">
        <v>2015</v>
      </c>
      <c r="R686" s="2">
        <v>42053</v>
      </c>
      <c r="S686" s="2">
        <v>42072</v>
      </c>
      <c r="T686" s="2">
        <v>42072</v>
      </c>
      <c r="U686" s="2">
        <v>42132</v>
      </c>
      <c r="V686" t="s">
        <v>71</v>
      </c>
      <c r="W686" t="str">
        <f>"                  16"</f>
        <v xml:space="preserve">                  16</v>
      </c>
      <c r="X686" s="1">
        <v>8784</v>
      </c>
      <c r="Y686">
        <v>0</v>
      </c>
      <c r="Z686"/>
      <c r="AB686"/>
      <c r="AC686" s="1">
        <v>7200</v>
      </c>
      <c r="AD686">
        <v>276</v>
      </c>
      <c r="AE686" s="1">
        <v>1987200</v>
      </c>
      <c r="AF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 s="2">
        <v>42746</v>
      </c>
      <c r="AQ686" t="s">
        <v>72</v>
      </c>
      <c r="AR686" t="s">
        <v>72</v>
      </c>
      <c r="AS686">
        <v>305</v>
      </c>
      <c r="AT686" s="4">
        <v>42408</v>
      </c>
      <c r="AU686" t="s">
        <v>73</v>
      </c>
      <c r="AV686">
        <v>305</v>
      </c>
      <c r="AW686" s="4">
        <v>42408</v>
      </c>
      <c r="BD686">
        <v>0</v>
      </c>
      <c r="BN686" t="s">
        <v>74</v>
      </c>
    </row>
    <row r="687" spans="1:66" hidden="1">
      <c r="A687">
        <v>100202</v>
      </c>
      <c r="B687" s="3" t="s">
        <v>139</v>
      </c>
      <c r="C687" s="1">
        <v>43300101</v>
      </c>
      <c r="D687" t="s">
        <v>67</v>
      </c>
      <c r="H687" t="str">
        <f t="shared" si="63"/>
        <v>07022780634</v>
      </c>
      <c r="I687" t="str">
        <f t="shared" si="63"/>
        <v>07022780634</v>
      </c>
      <c r="K687" t="str">
        <f>""</f>
        <v/>
      </c>
      <c r="M687" t="s">
        <v>68</v>
      </c>
      <c r="N687" t="str">
        <f t="shared" si="64"/>
        <v>FOR</v>
      </c>
      <c r="O687" t="s">
        <v>69</v>
      </c>
      <c r="P687" s="3" t="s">
        <v>70</v>
      </c>
      <c r="Q687">
        <v>2015</v>
      </c>
      <c r="R687" s="2">
        <v>42065</v>
      </c>
      <c r="S687" s="2">
        <v>42072</v>
      </c>
      <c r="T687" s="2">
        <v>42072</v>
      </c>
      <c r="U687" s="2">
        <v>42132</v>
      </c>
      <c r="V687" t="s">
        <v>71</v>
      </c>
      <c r="W687" t="str">
        <f>"                  22"</f>
        <v xml:space="preserve">                  22</v>
      </c>
      <c r="X687">
        <v>780.8</v>
      </c>
      <c r="Y687">
        <v>0</v>
      </c>
      <c r="Z687"/>
      <c r="AB687"/>
      <c r="AC687">
        <v>640</v>
      </c>
      <c r="AD687">
        <v>283</v>
      </c>
      <c r="AE687" s="1">
        <v>181120</v>
      </c>
      <c r="AF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 s="2">
        <v>42746</v>
      </c>
      <c r="AQ687" t="s">
        <v>72</v>
      </c>
      <c r="AR687" t="s">
        <v>72</v>
      </c>
      <c r="AS687">
        <v>371</v>
      </c>
      <c r="AT687" s="4">
        <v>42415</v>
      </c>
      <c r="AU687" t="s">
        <v>73</v>
      </c>
      <c r="AV687">
        <v>371</v>
      </c>
      <c r="AW687" s="4">
        <v>42415</v>
      </c>
      <c r="BD687">
        <v>0</v>
      </c>
      <c r="BN687" t="s">
        <v>74</v>
      </c>
    </row>
    <row r="688" spans="1:66" hidden="1">
      <c r="A688">
        <v>100202</v>
      </c>
      <c r="B688" s="3" t="s">
        <v>139</v>
      </c>
      <c r="C688" s="1">
        <v>43300101</v>
      </c>
      <c r="D688" t="s">
        <v>67</v>
      </c>
      <c r="H688" t="str">
        <f t="shared" si="63"/>
        <v>07022780634</v>
      </c>
      <c r="I688" t="str">
        <f t="shared" si="63"/>
        <v>07022780634</v>
      </c>
      <c r="K688" t="str">
        <f>""</f>
        <v/>
      </c>
      <c r="M688" t="s">
        <v>68</v>
      </c>
      <c r="N688" t="str">
        <f t="shared" si="64"/>
        <v>FOR</v>
      </c>
      <c r="O688" t="s">
        <v>69</v>
      </c>
      <c r="P688" s="3" t="s">
        <v>75</v>
      </c>
      <c r="Q688">
        <v>2015</v>
      </c>
      <c r="R688" s="2">
        <v>42122</v>
      </c>
      <c r="S688" s="2">
        <v>42123</v>
      </c>
      <c r="T688" s="2">
        <v>42123</v>
      </c>
      <c r="U688" s="2">
        <v>42183</v>
      </c>
      <c r="V688" t="s">
        <v>71</v>
      </c>
      <c r="W688" t="str">
        <f>"                 2/5"</f>
        <v xml:space="preserve">                 2/5</v>
      </c>
      <c r="X688">
        <v>195.2</v>
      </c>
      <c r="Y688">
        <v>0</v>
      </c>
      <c r="Z688"/>
      <c r="AB688"/>
      <c r="AC688">
        <v>160</v>
      </c>
      <c r="AD688">
        <v>248</v>
      </c>
      <c r="AE688" s="1">
        <v>39680</v>
      </c>
      <c r="AF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 s="2">
        <v>42746</v>
      </c>
      <c r="AQ688" t="s">
        <v>72</v>
      </c>
      <c r="AR688" t="s">
        <v>72</v>
      </c>
      <c r="AS688">
        <v>633</v>
      </c>
      <c r="AT688" s="4">
        <v>42431</v>
      </c>
      <c r="AU688" t="s">
        <v>73</v>
      </c>
      <c r="AV688">
        <v>633</v>
      </c>
      <c r="AW688" s="4">
        <v>42431</v>
      </c>
      <c r="BD688">
        <v>0</v>
      </c>
      <c r="BN688" t="s">
        <v>74</v>
      </c>
    </row>
    <row r="689" spans="1:66" hidden="1">
      <c r="A689">
        <v>100202</v>
      </c>
      <c r="B689" s="3" t="s">
        <v>139</v>
      </c>
      <c r="C689" s="1">
        <v>43300101</v>
      </c>
      <c r="D689" t="s">
        <v>67</v>
      </c>
      <c r="H689" t="str">
        <f t="shared" si="63"/>
        <v>07022780634</v>
      </c>
      <c r="I689" t="str">
        <f t="shared" si="63"/>
        <v>07022780634</v>
      </c>
      <c r="K689" t="str">
        <f>""</f>
        <v/>
      </c>
      <c r="M689" t="s">
        <v>68</v>
      </c>
      <c r="N689" t="str">
        <f t="shared" si="64"/>
        <v>FOR</v>
      </c>
      <c r="O689" t="s">
        <v>69</v>
      </c>
      <c r="P689" s="3" t="s">
        <v>75</v>
      </c>
      <c r="Q689">
        <v>2015</v>
      </c>
      <c r="R689" s="2">
        <v>42122</v>
      </c>
      <c r="S689" s="2">
        <v>42123</v>
      </c>
      <c r="T689" s="2">
        <v>42123</v>
      </c>
      <c r="U689" s="2">
        <v>42183</v>
      </c>
      <c r="V689" t="s">
        <v>71</v>
      </c>
      <c r="W689" t="str">
        <f>"                 2/6"</f>
        <v xml:space="preserve">                 2/6</v>
      </c>
      <c r="X689">
        <v>390.4</v>
      </c>
      <c r="Y689">
        <v>0</v>
      </c>
      <c r="Z689"/>
      <c r="AB689"/>
      <c r="AC689">
        <v>320</v>
      </c>
      <c r="AD689">
        <v>248</v>
      </c>
      <c r="AE689" s="1">
        <v>79360</v>
      </c>
      <c r="AF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 s="2">
        <v>42746</v>
      </c>
      <c r="AQ689" t="s">
        <v>72</v>
      </c>
      <c r="AR689" t="s">
        <v>72</v>
      </c>
      <c r="AS689">
        <v>633</v>
      </c>
      <c r="AT689" s="4">
        <v>42431</v>
      </c>
      <c r="AU689" t="s">
        <v>73</v>
      </c>
      <c r="AV689">
        <v>633</v>
      </c>
      <c r="AW689" s="4">
        <v>42431</v>
      </c>
      <c r="BD689">
        <v>0</v>
      </c>
      <c r="BN689" t="s">
        <v>74</v>
      </c>
    </row>
    <row r="690" spans="1:66" hidden="1">
      <c r="A690">
        <v>100202</v>
      </c>
      <c r="B690" s="3" t="s">
        <v>139</v>
      </c>
      <c r="C690" s="1">
        <v>43300101</v>
      </c>
      <c r="D690" t="s">
        <v>67</v>
      </c>
      <c r="H690" t="str">
        <f t="shared" si="63"/>
        <v>07022780634</v>
      </c>
      <c r="I690" t="str">
        <f t="shared" si="63"/>
        <v>07022780634</v>
      </c>
      <c r="K690" t="str">
        <f>""</f>
        <v/>
      </c>
      <c r="M690" t="s">
        <v>68</v>
      </c>
      <c r="N690" t="str">
        <f t="shared" si="64"/>
        <v>FOR</v>
      </c>
      <c r="O690" t="s">
        <v>69</v>
      </c>
      <c r="P690" s="3" t="s">
        <v>75</v>
      </c>
      <c r="Q690">
        <v>2015</v>
      </c>
      <c r="R690" s="2">
        <v>42149</v>
      </c>
      <c r="S690" s="2">
        <v>42160</v>
      </c>
      <c r="T690" s="2">
        <v>42149</v>
      </c>
      <c r="U690" s="2">
        <v>42209</v>
      </c>
      <c r="V690" t="s">
        <v>71</v>
      </c>
      <c r="W690" t="str">
        <f>"                2/13"</f>
        <v xml:space="preserve">                2/13</v>
      </c>
      <c r="X690">
        <v>976</v>
      </c>
      <c r="Y690">
        <v>0</v>
      </c>
      <c r="Z690"/>
      <c r="AB690"/>
      <c r="AC690">
        <v>800</v>
      </c>
      <c r="AD690">
        <v>222</v>
      </c>
      <c r="AE690" s="1">
        <v>177600</v>
      </c>
      <c r="AF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 s="2">
        <v>42746</v>
      </c>
      <c r="AQ690" t="s">
        <v>72</v>
      </c>
      <c r="AR690" t="s">
        <v>72</v>
      </c>
      <c r="AS690">
        <v>633</v>
      </c>
      <c r="AT690" s="4">
        <v>42431</v>
      </c>
      <c r="AU690" t="s">
        <v>73</v>
      </c>
      <c r="AV690">
        <v>633</v>
      </c>
      <c r="AW690" s="4">
        <v>42431</v>
      </c>
      <c r="BD690">
        <v>0</v>
      </c>
      <c r="BN690" t="s">
        <v>74</v>
      </c>
    </row>
    <row r="691" spans="1:66" hidden="1">
      <c r="A691">
        <v>100202</v>
      </c>
      <c r="B691" s="3" t="s">
        <v>139</v>
      </c>
      <c r="C691" s="1">
        <v>43300101</v>
      </c>
      <c r="D691" t="s">
        <v>67</v>
      </c>
      <c r="H691" t="str">
        <f t="shared" si="63"/>
        <v>07022780634</v>
      </c>
      <c r="I691" t="str">
        <f t="shared" si="63"/>
        <v>07022780634</v>
      </c>
      <c r="K691" t="str">
        <f>""</f>
        <v/>
      </c>
      <c r="M691" t="s">
        <v>68</v>
      </c>
      <c r="N691" t="str">
        <f t="shared" si="64"/>
        <v>FOR</v>
      </c>
      <c r="O691" t="s">
        <v>69</v>
      </c>
      <c r="P691" s="3" t="s">
        <v>75</v>
      </c>
      <c r="Q691">
        <v>2015</v>
      </c>
      <c r="R691" s="2">
        <v>42180</v>
      </c>
      <c r="S691" s="2">
        <v>42185</v>
      </c>
      <c r="T691" s="2">
        <v>42181</v>
      </c>
      <c r="U691" s="2">
        <v>42241</v>
      </c>
      <c r="V691" t="s">
        <v>71</v>
      </c>
      <c r="W691" t="str">
        <f>"                2/27"</f>
        <v xml:space="preserve">                2/27</v>
      </c>
      <c r="X691">
        <v>390.4</v>
      </c>
      <c r="Y691">
        <v>0</v>
      </c>
      <c r="Z691"/>
      <c r="AB691"/>
      <c r="AC691">
        <v>320</v>
      </c>
      <c r="AD691">
        <v>286</v>
      </c>
      <c r="AE691" s="1">
        <v>91520</v>
      </c>
      <c r="AF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 s="2">
        <v>42746</v>
      </c>
      <c r="AQ691" t="s">
        <v>72</v>
      </c>
      <c r="AR691" t="s">
        <v>72</v>
      </c>
      <c r="AS691">
        <v>1515</v>
      </c>
      <c r="AT691" s="4">
        <v>42527</v>
      </c>
      <c r="AU691" t="s">
        <v>73</v>
      </c>
      <c r="AV691">
        <v>1515</v>
      </c>
      <c r="AW691" s="4">
        <v>42527</v>
      </c>
      <c r="BD691">
        <v>0</v>
      </c>
      <c r="BN691" t="s">
        <v>74</v>
      </c>
    </row>
    <row r="692" spans="1:66" hidden="1">
      <c r="A692">
        <v>100202</v>
      </c>
      <c r="B692" s="3" t="s">
        <v>139</v>
      </c>
      <c r="C692" s="1">
        <v>43300101</v>
      </c>
      <c r="D692" t="s">
        <v>67</v>
      </c>
      <c r="H692" t="str">
        <f t="shared" si="63"/>
        <v>07022780634</v>
      </c>
      <c r="I692" t="str">
        <f t="shared" si="63"/>
        <v>07022780634</v>
      </c>
      <c r="K692" t="str">
        <f>""</f>
        <v/>
      </c>
      <c r="M692" t="s">
        <v>68</v>
      </c>
      <c r="N692" t="str">
        <f t="shared" si="64"/>
        <v>FOR</v>
      </c>
      <c r="O692" t="s">
        <v>69</v>
      </c>
      <c r="P692" s="3" t="s">
        <v>75</v>
      </c>
      <c r="Q692">
        <v>2015</v>
      </c>
      <c r="R692" s="2">
        <v>42255</v>
      </c>
      <c r="S692" s="2">
        <v>42262</v>
      </c>
      <c r="T692" s="2">
        <v>42255</v>
      </c>
      <c r="U692" s="2">
        <v>42315</v>
      </c>
      <c r="V692" t="s">
        <v>71</v>
      </c>
      <c r="W692" t="str">
        <f>"                2/49"</f>
        <v xml:space="preserve">                2/49</v>
      </c>
      <c r="X692" s="1">
        <v>1171.2</v>
      </c>
      <c r="Y692">
        <v>0</v>
      </c>
      <c r="Z692"/>
      <c r="AB692"/>
      <c r="AC692">
        <v>960</v>
      </c>
      <c r="AD692">
        <v>306</v>
      </c>
      <c r="AE692" s="1">
        <v>293760</v>
      </c>
      <c r="AF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 s="2">
        <v>42746</v>
      </c>
      <c r="AQ692" t="s">
        <v>72</v>
      </c>
      <c r="AR692" t="s">
        <v>72</v>
      </c>
      <c r="AS692">
        <v>2374</v>
      </c>
      <c r="AT692" s="4">
        <v>42621</v>
      </c>
      <c r="AU692" t="s">
        <v>73</v>
      </c>
      <c r="AV692">
        <v>2374</v>
      </c>
      <c r="AW692" s="4">
        <v>42621</v>
      </c>
      <c r="BD692">
        <v>0</v>
      </c>
      <c r="BN692" t="s">
        <v>74</v>
      </c>
    </row>
    <row r="693" spans="1:66" hidden="1">
      <c r="A693">
        <v>100202</v>
      </c>
      <c r="B693" s="3" t="s">
        <v>139</v>
      </c>
      <c r="C693" s="1">
        <v>43300101</v>
      </c>
      <c r="D693" t="s">
        <v>67</v>
      </c>
      <c r="H693" t="str">
        <f t="shared" si="63"/>
        <v>07022780634</v>
      </c>
      <c r="I693" t="str">
        <f t="shared" si="63"/>
        <v>07022780634</v>
      </c>
      <c r="K693" t="str">
        <f>""</f>
        <v/>
      </c>
      <c r="M693" t="s">
        <v>68</v>
      </c>
      <c r="N693" t="str">
        <f t="shared" si="64"/>
        <v>FOR</v>
      </c>
      <c r="O693" t="s">
        <v>69</v>
      </c>
      <c r="P693" s="3" t="s">
        <v>75</v>
      </c>
      <c r="Q693">
        <v>2015</v>
      </c>
      <c r="R693" s="2">
        <v>42270</v>
      </c>
      <c r="S693" s="2">
        <v>42270</v>
      </c>
      <c r="T693" s="2">
        <v>42270</v>
      </c>
      <c r="U693" s="2">
        <v>42330</v>
      </c>
      <c r="V693" t="s">
        <v>71</v>
      </c>
      <c r="W693" t="str">
        <f>"                2/51"</f>
        <v xml:space="preserve">                2/51</v>
      </c>
      <c r="X693" s="1">
        <v>10492</v>
      </c>
      <c r="Y693">
        <v>0</v>
      </c>
      <c r="Z693"/>
      <c r="AB693"/>
      <c r="AC693" s="1">
        <v>8600</v>
      </c>
      <c r="AD693">
        <v>291</v>
      </c>
      <c r="AE693" s="1">
        <v>2502600</v>
      </c>
      <c r="AF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 s="2">
        <v>42746</v>
      </c>
      <c r="AQ693" t="s">
        <v>72</v>
      </c>
      <c r="AR693" t="s">
        <v>72</v>
      </c>
      <c r="AS693">
        <v>2374</v>
      </c>
      <c r="AT693" s="4">
        <v>42621</v>
      </c>
      <c r="AU693" t="s">
        <v>73</v>
      </c>
      <c r="AV693">
        <v>2374</v>
      </c>
      <c r="AW693" s="4">
        <v>42621</v>
      </c>
      <c r="BD693">
        <v>0</v>
      </c>
      <c r="BN693" t="s">
        <v>74</v>
      </c>
    </row>
    <row r="694" spans="1:66">
      <c r="A694">
        <v>100202</v>
      </c>
      <c r="B694" s="3" t="s">
        <v>139</v>
      </c>
      <c r="C694" s="1">
        <v>43300101</v>
      </c>
      <c r="D694" t="s">
        <v>67</v>
      </c>
      <c r="H694" t="str">
        <f t="shared" si="63"/>
        <v>07022780634</v>
      </c>
      <c r="I694" t="str">
        <f t="shared" si="63"/>
        <v>07022780634</v>
      </c>
      <c r="K694" t="str">
        <f>""</f>
        <v/>
      </c>
      <c r="M694" t="s">
        <v>68</v>
      </c>
      <c r="N694" t="str">
        <f t="shared" si="64"/>
        <v>FOR</v>
      </c>
      <c r="O694" t="s">
        <v>69</v>
      </c>
      <c r="P694" s="3" t="s">
        <v>75</v>
      </c>
      <c r="Q694">
        <v>2016</v>
      </c>
      <c r="R694" s="2">
        <v>42429</v>
      </c>
      <c r="S694" s="2">
        <v>42436</v>
      </c>
      <c r="T694" s="2">
        <v>42429</v>
      </c>
      <c r="U694" s="2">
        <v>42489</v>
      </c>
      <c r="V694" t="s">
        <v>71</v>
      </c>
      <c r="W694" t="str">
        <f>"                 2/8"</f>
        <v xml:space="preserve">                 2/8</v>
      </c>
      <c r="X694">
        <v>390.4</v>
      </c>
      <c r="Y694">
        <v>0</v>
      </c>
      <c r="Z694" s="3">
        <v>320</v>
      </c>
      <c r="AA694">
        <v>234</v>
      </c>
      <c r="AB694" s="5">
        <v>74880</v>
      </c>
      <c r="AC694">
        <v>320</v>
      </c>
      <c r="AD694">
        <v>234</v>
      </c>
      <c r="AE694" s="1">
        <v>74880</v>
      </c>
      <c r="AF694">
        <v>70.400000000000006</v>
      </c>
      <c r="AJ694">
        <v>0</v>
      </c>
      <c r="AK694">
        <v>0</v>
      </c>
      <c r="AL694">
        <v>0</v>
      </c>
      <c r="AM694">
        <v>390.4</v>
      </c>
      <c r="AN694">
        <v>390.4</v>
      </c>
      <c r="AO694">
        <v>390.4</v>
      </c>
      <c r="AP694" s="2">
        <v>42746</v>
      </c>
      <c r="AQ694" t="s">
        <v>72</v>
      </c>
      <c r="AR694" t="s">
        <v>72</v>
      </c>
      <c r="AS694">
        <v>3594</v>
      </c>
      <c r="AT694" s="4">
        <v>42723</v>
      </c>
      <c r="AU694" t="s">
        <v>73</v>
      </c>
      <c r="AV694">
        <v>3594</v>
      </c>
      <c r="AW694" s="4">
        <v>42723</v>
      </c>
      <c r="BD694">
        <v>70.400000000000006</v>
      </c>
      <c r="BN694" t="s">
        <v>74</v>
      </c>
    </row>
    <row r="695" spans="1:66">
      <c r="A695">
        <v>100204</v>
      </c>
      <c r="B695" s="3" t="s">
        <v>140</v>
      </c>
      <c r="C695" s="1">
        <v>43300101</v>
      </c>
      <c r="D695" t="s">
        <v>67</v>
      </c>
      <c r="H695" t="str">
        <f>"03281501217"</f>
        <v>03281501217</v>
      </c>
      <c r="I695" t="str">
        <f>"03281501217"</f>
        <v>03281501217</v>
      </c>
      <c r="K695" t="str">
        <f>""</f>
        <v/>
      </c>
      <c r="M695" t="s">
        <v>68</v>
      </c>
      <c r="N695" t="str">
        <f t="shared" si="64"/>
        <v>FOR</v>
      </c>
      <c r="O695" t="s">
        <v>69</v>
      </c>
      <c r="P695" s="3" t="s">
        <v>70</v>
      </c>
      <c r="Q695">
        <v>2015</v>
      </c>
      <c r="R695" s="2">
        <v>42332</v>
      </c>
      <c r="S695" s="2">
        <v>42514</v>
      </c>
      <c r="T695" s="2">
        <v>42514</v>
      </c>
      <c r="U695" s="2">
        <v>42574</v>
      </c>
      <c r="V695" t="s">
        <v>71</v>
      </c>
      <c r="W695" t="str">
        <f>"           0000146PA"</f>
        <v xml:space="preserve">           0000146PA</v>
      </c>
      <c r="X695" s="1">
        <v>5557.1</v>
      </c>
      <c r="Y695">
        <v>0</v>
      </c>
      <c r="Z695" s="5">
        <v>4555</v>
      </c>
      <c r="AA695">
        <v>110</v>
      </c>
      <c r="AB695" s="5">
        <v>501050</v>
      </c>
      <c r="AC695" s="1">
        <v>4555</v>
      </c>
      <c r="AD695">
        <v>110</v>
      </c>
      <c r="AE695" s="1">
        <v>501050</v>
      </c>
      <c r="AF695">
        <v>0</v>
      </c>
      <c r="AJ695">
        <v>0</v>
      </c>
      <c r="AK695">
        <v>0</v>
      </c>
      <c r="AL695">
        <v>0</v>
      </c>
      <c r="AM695">
        <v>0</v>
      </c>
      <c r="AN695" s="1">
        <v>5557.1</v>
      </c>
      <c r="AO695">
        <v>0</v>
      </c>
      <c r="AP695" s="2">
        <v>42746</v>
      </c>
      <c r="AQ695" t="s">
        <v>72</v>
      </c>
      <c r="AR695" t="s">
        <v>72</v>
      </c>
      <c r="AS695">
        <v>3057</v>
      </c>
      <c r="AT695" s="4">
        <v>42684</v>
      </c>
      <c r="AU695" t="s">
        <v>73</v>
      </c>
      <c r="AV695">
        <v>3057</v>
      </c>
      <c r="AW695" s="4">
        <v>42684</v>
      </c>
      <c r="BD695">
        <v>0</v>
      </c>
      <c r="BN695" t="s">
        <v>74</v>
      </c>
    </row>
    <row r="696" spans="1:66">
      <c r="A696">
        <v>100204</v>
      </c>
      <c r="B696" s="3" t="s">
        <v>140</v>
      </c>
      <c r="C696" s="1">
        <v>43300101</v>
      </c>
      <c r="D696" t="s">
        <v>67</v>
      </c>
      <c r="H696" t="str">
        <f>"03281501217"</f>
        <v>03281501217</v>
      </c>
      <c r="I696" t="str">
        <f>"03281501217"</f>
        <v>03281501217</v>
      </c>
      <c r="K696" t="str">
        <f>""</f>
        <v/>
      </c>
      <c r="M696" t="s">
        <v>68</v>
      </c>
      <c r="N696" t="str">
        <f t="shared" si="64"/>
        <v>FOR</v>
      </c>
      <c r="O696" t="s">
        <v>69</v>
      </c>
      <c r="P696" s="3" t="s">
        <v>75</v>
      </c>
      <c r="Q696">
        <v>2016</v>
      </c>
      <c r="R696" s="2">
        <v>42551</v>
      </c>
      <c r="S696" s="2">
        <v>42580</v>
      </c>
      <c r="T696" s="2">
        <v>42579</v>
      </c>
      <c r="U696" s="2">
        <v>42639</v>
      </c>
      <c r="V696" t="s">
        <v>71</v>
      </c>
      <c r="W696" t="str">
        <f>"           0000114PA"</f>
        <v xml:space="preserve">           0000114PA</v>
      </c>
      <c r="X696" s="1">
        <v>3233</v>
      </c>
      <c r="Y696">
        <v>0</v>
      </c>
      <c r="Z696" s="5">
        <v>2650</v>
      </c>
      <c r="AA696">
        <v>50</v>
      </c>
      <c r="AB696" s="5">
        <v>132500</v>
      </c>
      <c r="AC696" s="1">
        <v>2650</v>
      </c>
      <c r="AD696">
        <v>50</v>
      </c>
      <c r="AE696" s="1">
        <v>132500</v>
      </c>
      <c r="AF696">
        <v>0</v>
      </c>
      <c r="AJ696">
        <v>0</v>
      </c>
      <c r="AK696">
        <v>0</v>
      </c>
      <c r="AL696">
        <v>0</v>
      </c>
      <c r="AM696" s="1">
        <v>3233</v>
      </c>
      <c r="AN696" s="1">
        <v>3233</v>
      </c>
      <c r="AO696" s="1">
        <v>3233</v>
      </c>
      <c r="AP696" s="2">
        <v>42746</v>
      </c>
      <c r="AQ696" t="s">
        <v>72</v>
      </c>
      <c r="AR696" t="s">
        <v>72</v>
      </c>
      <c r="AS696">
        <v>3112</v>
      </c>
      <c r="AT696" s="4">
        <v>42689</v>
      </c>
      <c r="AU696" t="s">
        <v>73</v>
      </c>
      <c r="AV696">
        <v>3112</v>
      </c>
      <c r="AW696" s="4">
        <v>42689</v>
      </c>
      <c r="BD696">
        <v>0</v>
      </c>
      <c r="BN696" t="s">
        <v>74</v>
      </c>
    </row>
    <row r="697" spans="1:66">
      <c r="A697">
        <v>100210</v>
      </c>
      <c r="B697" s="3" t="s">
        <v>141</v>
      </c>
      <c r="C697" s="1">
        <v>43300101</v>
      </c>
      <c r="D697" t="s">
        <v>67</v>
      </c>
      <c r="H697" t="str">
        <f t="shared" ref="H697:I716" si="65">"08082461008"</f>
        <v>08082461008</v>
      </c>
      <c r="I697" t="str">
        <f t="shared" si="65"/>
        <v>08082461008</v>
      </c>
      <c r="K697" t="str">
        <f>""</f>
        <v/>
      </c>
      <c r="M697" t="s">
        <v>68</v>
      </c>
      <c r="N697" t="str">
        <f t="shared" si="64"/>
        <v>FOR</v>
      </c>
      <c r="O697" t="s">
        <v>69</v>
      </c>
      <c r="P697" s="3" t="s">
        <v>78</v>
      </c>
      <c r="Q697">
        <v>2013</v>
      </c>
      <c r="R697" s="2">
        <v>41561</v>
      </c>
      <c r="S697" s="2">
        <v>41570</v>
      </c>
      <c r="T697" s="2">
        <v>41570</v>
      </c>
      <c r="U697" s="2">
        <v>41660</v>
      </c>
      <c r="V697" t="s">
        <v>71</v>
      </c>
      <c r="W697" t="str">
        <f>"            13165374"</f>
        <v xml:space="preserve">            13165374</v>
      </c>
      <c r="X697">
        <v>114.4</v>
      </c>
      <c r="Y697">
        <v>0</v>
      </c>
      <c r="Z697" s="3">
        <v>114.4</v>
      </c>
      <c r="AA697">
        <v>1029</v>
      </c>
      <c r="AB697" s="5">
        <v>117717.6</v>
      </c>
      <c r="AC697">
        <v>114.4</v>
      </c>
      <c r="AD697">
        <v>1029</v>
      </c>
      <c r="AE697" s="1">
        <v>117717.6</v>
      </c>
      <c r="AF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 s="2">
        <v>42746</v>
      </c>
      <c r="AQ697" t="s">
        <v>72</v>
      </c>
      <c r="AR697" t="s">
        <v>72</v>
      </c>
      <c r="AS697">
        <v>3107</v>
      </c>
      <c r="AT697" s="4">
        <v>42689</v>
      </c>
      <c r="AU697" t="s">
        <v>73</v>
      </c>
      <c r="AV697">
        <v>3107</v>
      </c>
      <c r="AW697" s="4">
        <v>42689</v>
      </c>
      <c r="BD697">
        <v>0</v>
      </c>
      <c r="BN697" t="s">
        <v>74</v>
      </c>
    </row>
    <row r="698" spans="1:66">
      <c r="A698">
        <v>100210</v>
      </c>
      <c r="B698" s="3" t="s">
        <v>141</v>
      </c>
      <c r="C698" s="1">
        <v>43300101</v>
      </c>
      <c r="D698" t="s">
        <v>67</v>
      </c>
      <c r="H698" t="str">
        <f t="shared" si="65"/>
        <v>08082461008</v>
      </c>
      <c r="I698" t="str">
        <f t="shared" si="65"/>
        <v>08082461008</v>
      </c>
      <c r="K698" t="str">
        <f>""</f>
        <v/>
      </c>
      <c r="M698" t="s">
        <v>68</v>
      </c>
      <c r="N698" t="str">
        <f t="shared" si="64"/>
        <v>FOR</v>
      </c>
      <c r="O698" t="s">
        <v>69</v>
      </c>
      <c r="P698" s="3" t="s">
        <v>78</v>
      </c>
      <c r="Q698">
        <v>2013</v>
      </c>
      <c r="R698" s="2">
        <v>41561</v>
      </c>
      <c r="S698" s="2">
        <v>41570</v>
      </c>
      <c r="T698" s="2">
        <v>41570</v>
      </c>
      <c r="U698" s="2">
        <v>41660</v>
      </c>
      <c r="V698" t="s">
        <v>71</v>
      </c>
      <c r="W698" t="str">
        <f>"            13165375"</f>
        <v xml:space="preserve">            13165375</v>
      </c>
      <c r="X698">
        <v>451.88</v>
      </c>
      <c r="Y698">
        <v>0</v>
      </c>
      <c r="Z698" s="3">
        <v>451.88</v>
      </c>
      <c r="AA698">
        <v>1029</v>
      </c>
      <c r="AB698" s="5">
        <v>464984.52</v>
      </c>
      <c r="AC698">
        <v>451.88</v>
      </c>
      <c r="AD698">
        <v>1029</v>
      </c>
      <c r="AE698" s="1">
        <v>464984.52</v>
      </c>
      <c r="AF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 s="2">
        <v>42746</v>
      </c>
      <c r="AQ698" t="s">
        <v>72</v>
      </c>
      <c r="AR698" t="s">
        <v>72</v>
      </c>
      <c r="AS698">
        <v>3107</v>
      </c>
      <c r="AT698" s="4">
        <v>42689</v>
      </c>
      <c r="AU698" t="s">
        <v>73</v>
      </c>
      <c r="AV698">
        <v>3107</v>
      </c>
      <c r="AW698" s="4">
        <v>42689</v>
      </c>
      <c r="BD698">
        <v>0</v>
      </c>
      <c r="BN698" t="s">
        <v>74</v>
      </c>
    </row>
    <row r="699" spans="1:66">
      <c r="A699">
        <v>100210</v>
      </c>
      <c r="B699" s="3" t="s">
        <v>141</v>
      </c>
      <c r="C699" s="1">
        <v>43300101</v>
      </c>
      <c r="D699" t="s">
        <v>67</v>
      </c>
      <c r="H699" t="str">
        <f t="shared" si="65"/>
        <v>08082461008</v>
      </c>
      <c r="I699" t="str">
        <f t="shared" si="65"/>
        <v>08082461008</v>
      </c>
      <c r="K699" t="str">
        <f>""</f>
        <v/>
      </c>
      <c r="M699" t="s">
        <v>68</v>
      </c>
      <c r="N699" t="str">
        <f t="shared" si="64"/>
        <v>FOR</v>
      </c>
      <c r="O699" t="s">
        <v>69</v>
      </c>
      <c r="P699" s="3" t="s">
        <v>78</v>
      </c>
      <c r="Q699">
        <v>2014</v>
      </c>
      <c r="R699" s="2">
        <v>41757</v>
      </c>
      <c r="S699" s="2">
        <v>41767</v>
      </c>
      <c r="T699" s="2">
        <v>41767</v>
      </c>
      <c r="U699" s="2">
        <v>41857</v>
      </c>
      <c r="V699" t="s">
        <v>71</v>
      </c>
      <c r="W699" t="str">
        <f>"            14071291"</f>
        <v xml:space="preserve">            14071291</v>
      </c>
      <c r="X699" s="1">
        <v>1408.37</v>
      </c>
      <c r="Y699">
        <v>0</v>
      </c>
      <c r="Z699" s="5">
        <v>1408.37</v>
      </c>
      <c r="AA699">
        <v>832</v>
      </c>
      <c r="AB699" s="5">
        <v>1171763.8400000001</v>
      </c>
      <c r="AC699" s="1">
        <v>1408.37</v>
      </c>
      <c r="AD699">
        <v>832</v>
      </c>
      <c r="AE699" s="1">
        <v>1171763.8400000001</v>
      </c>
      <c r="AF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 s="2">
        <v>42746</v>
      </c>
      <c r="AQ699" t="s">
        <v>72</v>
      </c>
      <c r="AR699" t="s">
        <v>72</v>
      </c>
      <c r="AS699">
        <v>3107</v>
      </c>
      <c r="AT699" s="4">
        <v>42689</v>
      </c>
      <c r="AU699" t="s">
        <v>73</v>
      </c>
      <c r="AV699">
        <v>3107</v>
      </c>
      <c r="AW699" s="4">
        <v>42689</v>
      </c>
      <c r="BD699">
        <v>0</v>
      </c>
      <c r="BN699" t="s">
        <v>74</v>
      </c>
    </row>
    <row r="700" spans="1:66">
      <c r="A700">
        <v>100210</v>
      </c>
      <c r="B700" s="3" t="s">
        <v>141</v>
      </c>
      <c r="C700" s="1">
        <v>43300101</v>
      </c>
      <c r="D700" t="s">
        <v>67</v>
      </c>
      <c r="H700" t="str">
        <f t="shared" si="65"/>
        <v>08082461008</v>
      </c>
      <c r="I700" t="str">
        <f t="shared" si="65"/>
        <v>08082461008</v>
      </c>
      <c r="K700" t="str">
        <f>""</f>
        <v/>
      </c>
      <c r="M700" t="s">
        <v>68</v>
      </c>
      <c r="N700" t="str">
        <f t="shared" si="64"/>
        <v>FOR</v>
      </c>
      <c r="O700" t="s">
        <v>69</v>
      </c>
      <c r="P700" s="3" t="s">
        <v>70</v>
      </c>
      <c r="Q700">
        <v>2014</v>
      </c>
      <c r="R700" s="2">
        <v>41949</v>
      </c>
      <c r="S700" s="2">
        <v>41964</v>
      </c>
      <c r="T700" s="2">
        <v>41964</v>
      </c>
      <c r="U700" s="2">
        <v>42024</v>
      </c>
      <c r="V700" t="s">
        <v>71</v>
      </c>
      <c r="W700" t="str">
        <f>"            14175446"</f>
        <v xml:space="preserve">            14175446</v>
      </c>
      <c r="X700">
        <v>878.4</v>
      </c>
      <c r="Y700">
        <v>0</v>
      </c>
      <c r="Z700" s="3">
        <v>878.4</v>
      </c>
      <c r="AA700">
        <v>665</v>
      </c>
      <c r="AB700" s="5">
        <v>584136</v>
      </c>
      <c r="AC700">
        <v>878.4</v>
      </c>
      <c r="AD700">
        <v>665</v>
      </c>
      <c r="AE700" s="1">
        <v>584136</v>
      </c>
      <c r="AF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 s="2">
        <v>42746</v>
      </c>
      <c r="AQ700" t="s">
        <v>72</v>
      </c>
      <c r="AR700" t="s">
        <v>72</v>
      </c>
      <c r="AS700">
        <v>3107</v>
      </c>
      <c r="AT700" s="4">
        <v>42689</v>
      </c>
      <c r="AU700" t="s">
        <v>73</v>
      </c>
      <c r="AV700">
        <v>3107</v>
      </c>
      <c r="AW700" s="4">
        <v>42689</v>
      </c>
      <c r="BD700">
        <v>0</v>
      </c>
      <c r="BN700" t="s">
        <v>74</v>
      </c>
    </row>
    <row r="701" spans="1:66">
      <c r="A701">
        <v>100210</v>
      </c>
      <c r="B701" s="3" t="s">
        <v>141</v>
      </c>
      <c r="C701" s="1">
        <v>43300101</v>
      </c>
      <c r="D701" t="s">
        <v>67</v>
      </c>
      <c r="H701" t="str">
        <f t="shared" si="65"/>
        <v>08082461008</v>
      </c>
      <c r="I701" t="str">
        <f t="shared" si="65"/>
        <v>08082461008</v>
      </c>
      <c r="K701" t="str">
        <f>""</f>
        <v/>
      </c>
      <c r="M701" t="s">
        <v>68</v>
      </c>
      <c r="N701" t="str">
        <f t="shared" si="64"/>
        <v>FOR</v>
      </c>
      <c r="O701" t="s">
        <v>69</v>
      </c>
      <c r="P701" s="3" t="s">
        <v>78</v>
      </c>
      <c r="Q701">
        <v>2014</v>
      </c>
      <c r="R701" s="2">
        <v>41663</v>
      </c>
      <c r="S701" s="2">
        <v>41689</v>
      </c>
      <c r="T701" s="2">
        <v>41689</v>
      </c>
      <c r="U701" s="2">
        <v>41779</v>
      </c>
      <c r="V701" t="s">
        <v>71</v>
      </c>
      <c r="W701" t="str">
        <f>"            98453327"</f>
        <v xml:space="preserve">            98453327</v>
      </c>
      <c r="X701">
        <v>891.07</v>
      </c>
      <c r="Y701">
        <v>0</v>
      </c>
      <c r="Z701" s="3">
        <v>891.07</v>
      </c>
      <c r="AA701">
        <v>910</v>
      </c>
      <c r="AB701" s="5">
        <v>810873.7</v>
      </c>
      <c r="AC701">
        <v>891.07</v>
      </c>
      <c r="AD701">
        <v>910</v>
      </c>
      <c r="AE701" s="1">
        <v>810873.7</v>
      </c>
      <c r="AF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 s="2">
        <v>42746</v>
      </c>
      <c r="AQ701" t="s">
        <v>72</v>
      </c>
      <c r="AR701" t="s">
        <v>72</v>
      </c>
      <c r="AS701">
        <v>3107</v>
      </c>
      <c r="AT701" s="4">
        <v>42689</v>
      </c>
      <c r="AU701" t="s">
        <v>73</v>
      </c>
      <c r="AV701">
        <v>3107</v>
      </c>
      <c r="AW701" s="4">
        <v>42689</v>
      </c>
      <c r="BD701">
        <v>0</v>
      </c>
      <c r="BN701" t="s">
        <v>74</v>
      </c>
    </row>
    <row r="702" spans="1:66">
      <c r="A702">
        <v>100210</v>
      </c>
      <c r="B702" s="3" t="s">
        <v>141</v>
      </c>
      <c r="C702" s="1">
        <v>43300101</v>
      </c>
      <c r="D702" t="s">
        <v>67</v>
      </c>
      <c r="H702" t="str">
        <f t="shared" si="65"/>
        <v>08082461008</v>
      </c>
      <c r="I702" t="str">
        <f t="shared" si="65"/>
        <v>08082461008</v>
      </c>
      <c r="K702" t="str">
        <f>""</f>
        <v/>
      </c>
      <c r="M702" t="s">
        <v>68</v>
      </c>
      <c r="N702" t="str">
        <f t="shared" si="64"/>
        <v>FOR</v>
      </c>
      <c r="O702" t="s">
        <v>69</v>
      </c>
      <c r="P702" s="3" t="s">
        <v>78</v>
      </c>
      <c r="Q702">
        <v>2014</v>
      </c>
      <c r="R702" s="2">
        <v>41851</v>
      </c>
      <c r="S702" s="2">
        <v>41901</v>
      </c>
      <c r="T702" s="2">
        <v>41901</v>
      </c>
      <c r="U702" s="2">
        <v>41991</v>
      </c>
      <c r="V702" t="s">
        <v>71</v>
      </c>
      <c r="W702" t="str">
        <f>"            98483567"</f>
        <v xml:space="preserve">            98483567</v>
      </c>
      <c r="X702" s="1">
        <v>1181.6500000000001</v>
      </c>
      <c r="Y702">
        <v>0</v>
      </c>
      <c r="Z702" s="5">
        <v>1181.6500000000001</v>
      </c>
      <c r="AA702">
        <v>698</v>
      </c>
      <c r="AB702" s="5">
        <v>824791.7</v>
      </c>
      <c r="AC702" s="1">
        <v>1181.6500000000001</v>
      </c>
      <c r="AD702">
        <v>698</v>
      </c>
      <c r="AE702" s="1">
        <v>824791.7</v>
      </c>
      <c r="AF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 s="2">
        <v>42746</v>
      </c>
      <c r="AQ702" t="s">
        <v>72</v>
      </c>
      <c r="AR702" t="s">
        <v>72</v>
      </c>
      <c r="AS702">
        <v>3107</v>
      </c>
      <c r="AT702" s="4">
        <v>42689</v>
      </c>
      <c r="AU702" t="s">
        <v>73</v>
      </c>
      <c r="AV702">
        <v>3107</v>
      </c>
      <c r="AW702" s="4">
        <v>42689</v>
      </c>
      <c r="BD702">
        <v>0</v>
      </c>
      <c r="BN702" t="s">
        <v>74</v>
      </c>
    </row>
    <row r="703" spans="1:66" hidden="1">
      <c r="A703">
        <v>100210</v>
      </c>
      <c r="B703" s="3" t="s">
        <v>141</v>
      </c>
      <c r="C703" s="1">
        <v>43300101</v>
      </c>
      <c r="D703" t="s">
        <v>67</v>
      </c>
      <c r="H703" t="str">
        <f t="shared" si="65"/>
        <v>08082461008</v>
      </c>
      <c r="I703" t="str">
        <f t="shared" si="65"/>
        <v>08082461008</v>
      </c>
      <c r="K703" t="str">
        <f>""</f>
        <v/>
      </c>
      <c r="M703" t="s">
        <v>68</v>
      </c>
      <c r="N703" t="str">
        <f t="shared" si="64"/>
        <v>FOR</v>
      </c>
      <c r="O703" t="s">
        <v>69</v>
      </c>
      <c r="P703" s="3" t="s">
        <v>70</v>
      </c>
      <c r="Q703">
        <v>2015</v>
      </c>
      <c r="R703" s="2">
        <v>42038</v>
      </c>
      <c r="S703" s="2">
        <v>42048</v>
      </c>
      <c r="T703" s="2">
        <v>42048</v>
      </c>
      <c r="U703" s="2">
        <v>42108</v>
      </c>
      <c r="V703" t="s">
        <v>71</v>
      </c>
      <c r="W703" t="str">
        <f>"            15015274"</f>
        <v xml:space="preserve">            15015274</v>
      </c>
      <c r="X703">
        <v>644.79999999999995</v>
      </c>
      <c r="Y703">
        <v>0</v>
      </c>
      <c r="Z703"/>
      <c r="AB703"/>
      <c r="AC703">
        <v>620</v>
      </c>
      <c r="AD703">
        <v>295</v>
      </c>
      <c r="AE703" s="1">
        <v>182900</v>
      </c>
      <c r="AF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 s="2">
        <v>42746</v>
      </c>
      <c r="AQ703" t="s">
        <v>72</v>
      </c>
      <c r="AR703" t="s">
        <v>72</v>
      </c>
      <c r="AS703">
        <v>229</v>
      </c>
      <c r="AT703" s="4">
        <v>42403</v>
      </c>
      <c r="AU703" t="s">
        <v>73</v>
      </c>
      <c r="AV703">
        <v>229</v>
      </c>
      <c r="AW703" s="4">
        <v>42403</v>
      </c>
      <c r="BD703">
        <v>0</v>
      </c>
      <c r="BN703" t="s">
        <v>74</v>
      </c>
    </row>
    <row r="704" spans="1:66" hidden="1">
      <c r="A704">
        <v>100210</v>
      </c>
      <c r="B704" s="3" t="s">
        <v>141</v>
      </c>
      <c r="C704" s="1">
        <v>43300101</v>
      </c>
      <c r="D704" t="s">
        <v>67</v>
      </c>
      <c r="H704" t="str">
        <f t="shared" si="65"/>
        <v>08082461008</v>
      </c>
      <c r="I704" t="str">
        <f t="shared" si="65"/>
        <v>08082461008</v>
      </c>
      <c r="K704" t="str">
        <f>""</f>
        <v/>
      </c>
      <c r="M704" t="s">
        <v>68</v>
      </c>
      <c r="N704" t="str">
        <f t="shared" si="64"/>
        <v>FOR</v>
      </c>
      <c r="O704" t="s">
        <v>69</v>
      </c>
      <c r="P704" s="3" t="s">
        <v>70</v>
      </c>
      <c r="Q704">
        <v>2015</v>
      </c>
      <c r="R704" s="2">
        <v>42038</v>
      </c>
      <c r="S704" s="2">
        <v>42048</v>
      </c>
      <c r="T704" s="2">
        <v>42048</v>
      </c>
      <c r="U704" s="2">
        <v>42108</v>
      </c>
      <c r="V704" t="s">
        <v>71</v>
      </c>
      <c r="W704" t="str">
        <f>"            15015276"</f>
        <v xml:space="preserve">            15015276</v>
      </c>
      <c r="X704">
        <v>644.79999999999995</v>
      </c>
      <c r="Y704">
        <v>0</v>
      </c>
      <c r="Z704"/>
      <c r="AB704"/>
      <c r="AC704">
        <v>620</v>
      </c>
      <c r="AD704">
        <v>295</v>
      </c>
      <c r="AE704" s="1">
        <v>182900</v>
      </c>
      <c r="AF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 s="2">
        <v>42746</v>
      </c>
      <c r="AQ704" t="s">
        <v>72</v>
      </c>
      <c r="AR704" t="s">
        <v>72</v>
      </c>
      <c r="AS704">
        <v>229</v>
      </c>
      <c r="AT704" s="4">
        <v>42403</v>
      </c>
      <c r="AU704" t="s">
        <v>73</v>
      </c>
      <c r="AV704">
        <v>229</v>
      </c>
      <c r="AW704" s="4">
        <v>42403</v>
      </c>
      <c r="BD704">
        <v>0</v>
      </c>
      <c r="BN704" t="s">
        <v>74</v>
      </c>
    </row>
    <row r="705" spans="1:66" hidden="1">
      <c r="A705">
        <v>100210</v>
      </c>
      <c r="B705" s="3" t="s">
        <v>141</v>
      </c>
      <c r="C705" s="1">
        <v>43300101</v>
      </c>
      <c r="D705" t="s">
        <v>67</v>
      </c>
      <c r="H705" t="str">
        <f t="shared" si="65"/>
        <v>08082461008</v>
      </c>
      <c r="I705" t="str">
        <f t="shared" si="65"/>
        <v>08082461008</v>
      </c>
      <c r="K705" t="str">
        <f>""</f>
        <v/>
      </c>
      <c r="M705" t="s">
        <v>68</v>
      </c>
      <c r="N705" t="str">
        <f t="shared" si="64"/>
        <v>FOR</v>
      </c>
      <c r="O705" t="s">
        <v>69</v>
      </c>
      <c r="P705" s="3" t="s">
        <v>70</v>
      </c>
      <c r="Q705">
        <v>2015</v>
      </c>
      <c r="R705" s="2">
        <v>42038</v>
      </c>
      <c r="S705" s="2">
        <v>42048</v>
      </c>
      <c r="T705" s="2">
        <v>42048</v>
      </c>
      <c r="U705" s="2">
        <v>42108</v>
      </c>
      <c r="V705" t="s">
        <v>71</v>
      </c>
      <c r="W705" t="str">
        <f>"            15015386"</f>
        <v xml:space="preserve">            15015386</v>
      </c>
      <c r="X705">
        <v>139.66999999999999</v>
      </c>
      <c r="Y705">
        <v>0</v>
      </c>
      <c r="Z705"/>
      <c r="AB705"/>
      <c r="AC705">
        <v>114.48</v>
      </c>
      <c r="AD705">
        <v>295</v>
      </c>
      <c r="AE705" s="1">
        <v>33771.599999999999</v>
      </c>
      <c r="AF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 s="2">
        <v>42746</v>
      </c>
      <c r="AQ705" t="s">
        <v>72</v>
      </c>
      <c r="AR705" t="s">
        <v>72</v>
      </c>
      <c r="AS705">
        <v>229</v>
      </c>
      <c r="AT705" s="4">
        <v>42403</v>
      </c>
      <c r="AU705" t="s">
        <v>73</v>
      </c>
      <c r="AV705">
        <v>229</v>
      </c>
      <c r="AW705" s="4">
        <v>42403</v>
      </c>
      <c r="BD705">
        <v>0</v>
      </c>
      <c r="BN705" t="s">
        <v>74</v>
      </c>
    </row>
    <row r="706" spans="1:66" hidden="1">
      <c r="A706">
        <v>100210</v>
      </c>
      <c r="B706" s="3" t="s">
        <v>141</v>
      </c>
      <c r="C706" s="1">
        <v>43300101</v>
      </c>
      <c r="D706" t="s">
        <v>67</v>
      </c>
      <c r="H706" t="str">
        <f t="shared" si="65"/>
        <v>08082461008</v>
      </c>
      <c r="I706" t="str">
        <f t="shared" si="65"/>
        <v>08082461008</v>
      </c>
      <c r="K706" t="str">
        <f>""</f>
        <v/>
      </c>
      <c r="M706" t="s">
        <v>68</v>
      </c>
      <c r="N706" t="str">
        <f t="shared" si="64"/>
        <v>FOR</v>
      </c>
      <c r="O706" t="s">
        <v>69</v>
      </c>
      <c r="P706" s="3" t="s">
        <v>70</v>
      </c>
      <c r="Q706">
        <v>2015</v>
      </c>
      <c r="R706" s="2">
        <v>42038</v>
      </c>
      <c r="S706" s="2">
        <v>42048</v>
      </c>
      <c r="T706" s="2">
        <v>42048</v>
      </c>
      <c r="U706" s="2">
        <v>42108</v>
      </c>
      <c r="V706" t="s">
        <v>71</v>
      </c>
      <c r="W706" t="str">
        <f>"            15015402"</f>
        <v xml:space="preserve">            15015402</v>
      </c>
      <c r="X706">
        <v>196.76</v>
      </c>
      <c r="Y706">
        <v>0</v>
      </c>
      <c r="Z706"/>
      <c r="AB706"/>
      <c r="AC706">
        <v>161.28</v>
      </c>
      <c r="AD706">
        <v>412</v>
      </c>
      <c r="AE706" s="1">
        <v>66447.360000000001</v>
      </c>
      <c r="AF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 s="2">
        <v>42746</v>
      </c>
      <c r="AQ706" t="s">
        <v>72</v>
      </c>
      <c r="AR706" t="s">
        <v>72</v>
      </c>
      <c r="AS706">
        <v>1458</v>
      </c>
      <c r="AT706" s="4">
        <v>42520</v>
      </c>
      <c r="AU706" t="s">
        <v>73</v>
      </c>
      <c r="AV706">
        <v>1458</v>
      </c>
      <c r="AW706" s="4">
        <v>42520</v>
      </c>
      <c r="BD706">
        <v>0</v>
      </c>
      <c r="BN706" t="s">
        <v>74</v>
      </c>
    </row>
    <row r="707" spans="1:66" hidden="1">
      <c r="A707">
        <v>100210</v>
      </c>
      <c r="B707" s="3" t="s">
        <v>141</v>
      </c>
      <c r="C707" s="1">
        <v>43300101</v>
      </c>
      <c r="D707" t="s">
        <v>67</v>
      </c>
      <c r="H707" t="str">
        <f t="shared" si="65"/>
        <v>08082461008</v>
      </c>
      <c r="I707" t="str">
        <f t="shared" si="65"/>
        <v>08082461008</v>
      </c>
      <c r="K707" t="str">
        <f>""</f>
        <v/>
      </c>
      <c r="M707" t="s">
        <v>68</v>
      </c>
      <c r="N707" t="str">
        <f t="shared" si="64"/>
        <v>FOR</v>
      </c>
      <c r="O707" t="s">
        <v>69</v>
      </c>
      <c r="P707" s="3" t="s">
        <v>70</v>
      </c>
      <c r="Q707">
        <v>2015</v>
      </c>
      <c r="R707" s="2">
        <v>42038</v>
      </c>
      <c r="S707" s="2">
        <v>42048</v>
      </c>
      <c r="T707" s="2">
        <v>42048</v>
      </c>
      <c r="U707" s="2">
        <v>42108</v>
      </c>
      <c r="V707" t="s">
        <v>71</v>
      </c>
      <c r="W707" t="str">
        <f>"            15015517"</f>
        <v xml:space="preserve">            15015517</v>
      </c>
      <c r="X707">
        <v>196.76</v>
      </c>
      <c r="Y707">
        <v>0</v>
      </c>
      <c r="Z707"/>
      <c r="AB707"/>
      <c r="AC707">
        <v>161.28</v>
      </c>
      <c r="AD707">
        <v>295</v>
      </c>
      <c r="AE707" s="1">
        <v>47577.599999999999</v>
      </c>
      <c r="AF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 s="2">
        <v>42746</v>
      </c>
      <c r="AQ707" t="s">
        <v>72</v>
      </c>
      <c r="AR707" t="s">
        <v>72</v>
      </c>
      <c r="AS707">
        <v>229</v>
      </c>
      <c r="AT707" s="4">
        <v>42403</v>
      </c>
      <c r="AU707" t="s">
        <v>73</v>
      </c>
      <c r="AV707">
        <v>229</v>
      </c>
      <c r="AW707" s="4">
        <v>42403</v>
      </c>
      <c r="BD707">
        <v>0</v>
      </c>
      <c r="BN707" t="s">
        <v>74</v>
      </c>
    </row>
    <row r="708" spans="1:66" hidden="1">
      <c r="A708">
        <v>100210</v>
      </c>
      <c r="B708" s="3" t="s">
        <v>141</v>
      </c>
      <c r="C708" s="1">
        <v>43300101</v>
      </c>
      <c r="D708" t="s">
        <v>67</v>
      </c>
      <c r="H708" t="str">
        <f t="shared" si="65"/>
        <v>08082461008</v>
      </c>
      <c r="I708" t="str">
        <f t="shared" si="65"/>
        <v>08082461008</v>
      </c>
      <c r="K708" t="str">
        <f>""</f>
        <v/>
      </c>
      <c r="M708" t="s">
        <v>68</v>
      </c>
      <c r="N708" t="str">
        <f t="shared" si="64"/>
        <v>FOR</v>
      </c>
      <c r="O708" t="s">
        <v>69</v>
      </c>
      <c r="P708" s="3" t="s">
        <v>70</v>
      </c>
      <c r="Q708">
        <v>2015</v>
      </c>
      <c r="R708" s="2">
        <v>42039</v>
      </c>
      <c r="S708" s="2">
        <v>42052</v>
      </c>
      <c r="T708" s="2">
        <v>42052</v>
      </c>
      <c r="U708" s="2">
        <v>42112</v>
      </c>
      <c r="V708" t="s">
        <v>71</v>
      </c>
      <c r="W708" t="str">
        <f>"            15017283"</f>
        <v xml:space="preserve">            15017283</v>
      </c>
      <c r="X708" s="1">
        <v>5379.03</v>
      </c>
      <c r="Y708">
        <v>0</v>
      </c>
      <c r="Z708"/>
      <c r="AB708"/>
      <c r="AC708" s="1">
        <v>4409.04</v>
      </c>
      <c r="AD708">
        <v>291</v>
      </c>
      <c r="AE708" s="1">
        <v>1283030.6399999999</v>
      </c>
      <c r="AF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 s="2">
        <v>42746</v>
      </c>
      <c r="AQ708" t="s">
        <v>72</v>
      </c>
      <c r="AR708" t="s">
        <v>72</v>
      </c>
      <c r="AS708">
        <v>229</v>
      </c>
      <c r="AT708" s="4">
        <v>42403</v>
      </c>
      <c r="AU708" t="s">
        <v>73</v>
      </c>
      <c r="AV708">
        <v>229</v>
      </c>
      <c r="AW708" s="4">
        <v>42403</v>
      </c>
      <c r="BD708">
        <v>0</v>
      </c>
      <c r="BN708" t="s">
        <v>74</v>
      </c>
    </row>
    <row r="709" spans="1:66" hidden="1">
      <c r="A709">
        <v>100210</v>
      </c>
      <c r="B709" s="3" t="s">
        <v>141</v>
      </c>
      <c r="C709" s="1">
        <v>43300101</v>
      </c>
      <c r="D709" t="s">
        <v>67</v>
      </c>
      <c r="H709" t="str">
        <f t="shared" si="65"/>
        <v>08082461008</v>
      </c>
      <c r="I709" t="str">
        <f t="shared" si="65"/>
        <v>08082461008</v>
      </c>
      <c r="K709" t="str">
        <f>""</f>
        <v/>
      </c>
      <c r="M709" t="s">
        <v>68</v>
      </c>
      <c r="N709" t="str">
        <f t="shared" si="64"/>
        <v>FOR</v>
      </c>
      <c r="O709" t="s">
        <v>69</v>
      </c>
      <c r="P709" s="3" t="s">
        <v>70</v>
      </c>
      <c r="Q709">
        <v>2015</v>
      </c>
      <c r="R709" s="2">
        <v>42040</v>
      </c>
      <c r="S709" s="2">
        <v>42053</v>
      </c>
      <c r="T709" s="2">
        <v>42053</v>
      </c>
      <c r="U709" s="2">
        <v>42113</v>
      </c>
      <c r="V709" t="s">
        <v>71</v>
      </c>
      <c r="W709" t="str">
        <f>"            15017598"</f>
        <v xml:space="preserve">            15017598</v>
      </c>
      <c r="X709">
        <v>114.4</v>
      </c>
      <c r="Y709">
        <v>0</v>
      </c>
      <c r="Z709"/>
      <c r="AB709"/>
      <c r="AC709">
        <v>110</v>
      </c>
      <c r="AD709">
        <v>290</v>
      </c>
      <c r="AE709" s="1">
        <v>31900</v>
      </c>
      <c r="AF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 s="2">
        <v>42746</v>
      </c>
      <c r="AQ709" t="s">
        <v>72</v>
      </c>
      <c r="AR709" t="s">
        <v>72</v>
      </c>
      <c r="AS709">
        <v>229</v>
      </c>
      <c r="AT709" s="4">
        <v>42403</v>
      </c>
      <c r="AU709" t="s">
        <v>73</v>
      </c>
      <c r="AV709">
        <v>229</v>
      </c>
      <c r="AW709" s="4">
        <v>42403</v>
      </c>
      <c r="BD709">
        <v>0</v>
      </c>
      <c r="BN709" t="s">
        <v>74</v>
      </c>
    </row>
    <row r="710" spans="1:66" hidden="1">
      <c r="A710">
        <v>100210</v>
      </c>
      <c r="B710" s="3" t="s">
        <v>141</v>
      </c>
      <c r="C710" s="1">
        <v>43300101</v>
      </c>
      <c r="D710" t="s">
        <v>67</v>
      </c>
      <c r="H710" t="str">
        <f t="shared" si="65"/>
        <v>08082461008</v>
      </c>
      <c r="I710" t="str">
        <f t="shared" si="65"/>
        <v>08082461008</v>
      </c>
      <c r="K710" t="str">
        <f>""</f>
        <v/>
      </c>
      <c r="M710" t="s">
        <v>68</v>
      </c>
      <c r="N710" t="str">
        <f t="shared" si="64"/>
        <v>FOR</v>
      </c>
      <c r="O710" t="s">
        <v>69</v>
      </c>
      <c r="P710" s="3" t="s">
        <v>70</v>
      </c>
      <c r="Q710">
        <v>2015</v>
      </c>
      <c r="R710" s="2">
        <v>42040</v>
      </c>
      <c r="S710" s="2">
        <v>42053</v>
      </c>
      <c r="T710" s="2">
        <v>42053</v>
      </c>
      <c r="U710" s="2">
        <v>42113</v>
      </c>
      <c r="V710" t="s">
        <v>71</v>
      </c>
      <c r="W710" t="str">
        <f>"            15017599"</f>
        <v xml:space="preserve">            15017599</v>
      </c>
      <c r="X710">
        <v>114.4</v>
      </c>
      <c r="Y710">
        <v>0</v>
      </c>
      <c r="Z710"/>
      <c r="AB710"/>
      <c r="AC710">
        <v>110</v>
      </c>
      <c r="AD710">
        <v>290</v>
      </c>
      <c r="AE710" s="1">
        <v>31900</v>
      </c>
      <c r="AF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 s="2">
        <v>42746</v>
      </c>
      <c r="AQ710" t="s">
        <v>72</v>
      </c>
      <c r="AR710" t="s">
        <v>72</v>
      </c>
      <c r="AS710">
        <v>229</v>
      </c>
      <c r="AT710" s="4">
        <v>42403</v>
      </c>
      <c r="AU710" t="s">
        <v>73</v>
      </c>
      <c r="AV710">
        <v>229</v>
      </c>
      <c r="AW710" s="4">
        <v>42403</v>
      </c>
      <c r="BD710">
        <v>0</v>
      </c>
      <c r="BN710" t="s">
        <v>74</v>
      </c>
    </row>
    <row r="711" spans="1:66" hidden="1">
      <c r="A711">
        <v>100210</v>
      </c>
      <c r="B711" s="3" t="s">
        <v>141</v>
      </c>
      <c r="C711" s="1">
        <v>43300101</v>
      </c>
      <c r="D711" t="s">
        <v>67</v>
      </c>
      <c r="H711" t="str">
        <f t="shared" si="65"/>
        <v>08082461008</v>
      </c>
      <c r="I711" t="str">
        <f t="shared" si="65"/>
        <v>08082461008</v>
      </c>
      <c r="K711" t="str">
        <f>""</f>
        <v/>
      </c>
      <c r="M711" t="s">
        <v>68</v>
      </c>
      <c r="N711" t="str">
        <f t="shared" si="64"/>
        <v>FOR</v>
      </c>
      <c r="O711" t="s">
        <v>69</v>
      </c>
      <c r="P711" s="3" t="s">
        <v>70</v>
      </c>
      <c r="Q711">
        <v>2015</v>
      </c>
      <c r="R711" s="2">
        <v>42040</v>
      </c>
      <c r="S711" s="2">
        <v>42053</v>
      </c>
      <c r="T711" s="2">
        <v>42053</v>
      </c>
      <c r="U711" s="2">
        <v>42113</v>
      </c>
      <c r="V711" t="s">
        <v>71</v>
      </c>
      <c r="W711" t="str">
        <f>"            15017600"</f>
        <v xml:space="preserve">            15017600</v>
      </c>
      <c r="X711">
        <v>45.76</v>
      </c>
      <c r="Y711">
        <v>0</v>
      </c>
      <c r="Z711"/>
      <c r="AB711"/>
      <c r="AC711">
        <v>44</v>
      </c>
      <c r="AD711">
        <v>290</v>
      </c>
      <c r="AE711" s="1">
        <v>12760</v>
      </c>
      <c r="AF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 s="2">
        <v>42746</v>
      </c>
      <c r="AQ711" t="s">
        <v>72</v>
      </c>
      <c r="AR711" t="s">
        <v>72</v>
      </c>
      <c r="AS711">
        <v>229</v>
      </c>
      <c r="AT711" s="4">
        <v>42403</v>
      </c>
      <c r="AU711" t="s">
        <v>73</v>
      </c>
      <c r="AV711">
        <v>229</v>
      </c>
      <c r="AW711" s="4">
        <v>42403</v>
      </c>
      <c r="BD711">
        <v>0</v>
      </c>
      <c r="BN711" t="s">
        <v>74</v>
      </c>
    </row>
    <row r="712" spans="1:66" hidden="1">
      <c r="A712">
        <v>100210</v>
      </c>
      <c r="B712" s="3" t="s">
        <v>141</v>
      </c>
      <c r="C712" s="1">
        <v>43300101</v>
      </c>
      <c r="D712" t="s">
        <v>67</v>
      </c>
      <c r="H712" t="str">
        <f t="shared" si="65"/>
        <v>08082461008</v>
      </c>
      <c r="I712" t="str">
        <f t="shared" si="65"/>
        <v>08082461008</v>
      </c>
      <c r="K712" t="str">
        <f>""</f>
        <v/>
      </c>
      <c r="M712" t="s">
        <v>68</v>
      </c>
      <c r="N712" t="str">
        <f t="shared" si="64"/>
        <v>FOR</v>
      </c>
      <c r="O712" t="s">
        <v>69</v>
      </c>
      <c r="P712" s="3" t="s">
        <v>70</v>
      </c>
      <c r="Q712">
        <v>2015</v>
      </c>
      <c r="R712" s="2">
        <v>42040</v>
      </c>
      <c r="S712" s="2">
        <v>42053</v>
      </c>
      <c r="T712" s="2">
        <v>42053</v>
      </c>
      <c r="U712" s="2">
        <v>42113</v>
      </c>
      <c r="V712" t="s">
        <v>71</v>
      </c>
      <c r="W712" t="str">
        <f>"            15017604"</f>
        <v xml:space="preserve">            15017604</v>
      </c>
      <c r="X712">
        <v>45.76</v>
      </c>
      <c r="Y712">
        <v>0</v>
      </c>
      <c r="Z712"/>
      <c r="AB712"/>
      <c r="AC712">
        <v>44</v>
      </c>
      <c r="AD712">
        <v>290</v>
      </c>
      <c r="AE712" s="1">
        <v>12760</v>
      </c>
      <c r="AF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 s="2">
        <v>42746</v>
      </c>
      <c r="AQ712" t="s">
        <v>72</v>
      </c>
      <c r="AR712" t="s">
        <v>72</v>
      </c>
      <c r="AS712">
        <v>229</v>
      </c>
      <c r="AT712" s="4">
        <v>42403</v>
      </c>
      <c r="AU712" t="s">
        <v>73</v>
      </c>
      <c r="AV712">
        <v>229</v>
      </c>
      <c r="AW712" s="4">
        <v>42403</v>
      </c>
      <c r="BD712">
        <v>0</v>
      </c>
      <c r="BN712" t="s">
        <v>74</v>
      </c>
    </row>
    <row r="713" spans="1:66" hidden="1">
      <c r="A713">
        <v>100210</v>
      </c>
      <c r="B713" s="3" t="s">
        <v>141</v>
      </c>
      <c r="C713" s="1">
        <v>43300101</v>
      </c>
      <c r="D713" t="s">
        <v>67</v>
      </c>
      <c r="H713" t="str">
        <f t="shared" si="65"/>
        <v>08082461008</v>
      </c>
      <c r="I713" t="str">
        <f t="shared" si="65"/>
        <v>08082461008</v>
      </c>
      <c r="K713" t="str">
        <f>""</f>
        <v/>
      </c>
      <c r="M713" t="s">
        <v>68</v>
      </c>
      <c r="N713" t="str">
        <f t="shared" si="64"/>
        <v>FOR</v>
      </c>
      <c r="O713" t="s">
        <v>69</v>
      </c>
      <c r="P713" s="3" t="s">
        <v>70</v>
      </c>
      <c r="Q713">
        <v>2015</v>
      </c>
      <c r="R713" s="2">
        <v>42040</v>
      </c>
      <c r="S713" s="2">
        <v>42053</v>
      </c>
      <c r="T713" s="2">
        <v>42053</v>
      </c>
      <c r="U713" s="2">
        <v>42113</v>
      </c>
      <c r="V713" t="s">
        <v>71</v>
      </c>
      <c r="W713" t="str">
        <f>"            15017605"</f>
        <v xml:space="preserve">            15017605</v>
      </c>
      <c r="X713">
        <v>45.76</v>
      </c>
      <c r="Y713">
        <v>0</v>
      </c>
      <c r="Z713"/>
      <c r="AB713"/>
      <c r="AC713">
        <v>44</v>
      </c>
      <c r="AD713">
        <v>290</v>
      </c>
      <c r="AE713" s="1">
        <v>12760</v>
      </c>
      <c r="AF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 s="2">
        <v>42746</v>
      </c>
      <c r="AQ713" t="s">
        <v>72</v>
      </c>
      <c r="AR713" t="s">
        <v>72</v>
      </c>
      <c r="AS713">
        <v>229</v>
      </c>
      <c r="AT713" s="4">
        <v>42403</v>
      </c>
      <c r="AU713" t="s">
        <v>73</v>
      </c>
      <c r="AV713">
        <v>229</v>
      </c>
      <c r="AW713" s="4">
        <v>42403</v>
      </c>
      <c r="BD713">
        <v>0</v>
      </c>
      <c r="BN713" t="s">
        <v>74</v>
      </c>
    </row>
    <row r="714" spans="1:66" hidden="1">
      <c r="A714">
        <v>100210</v>
      </c>
      <c r="B714" s="3" t="s">
        <v>141</v>
      </c>
      <c r="C714" s="1">
        <v>43300101</v>
      </c>
      <c r="D714" t="s">
        <v>67</v>
      </c>
      <c r="H714" t="str">
        <f t="shared" si="65"/>
        <v>08082461008</v>
      </c>
      <c r="I714" t="str">
        <f t="shared" si="65"/>
        <v>08082461008</v>
      </c>
      <c r="K714" t="str">
        <f>""</f>
        <v/>
      </c>
      <c r="M714" t="s">
        <v>68</v>
      </c>
      <c r="N714" t="str">
        <f t="shared" si="64"/>
        <v>FOR</v>
      </c>
      <c r="O714" t="s">
        <v>69</v>
      </c>
      <c r="P714" s="3" t="s">
        <v>70</v>
      </c>
      <c r="Q714">
        <v>2015</v>
      </c>
      <c r="R714" s="2">
        <v>42040</v>
      </c>
      <c r="S714" s="2">
        <v>42053</v>
      </c>
      <c r="T714" s="2">
        <v>42053</v>
      </c>
      <c r="U714" s="2">
        <v>42113</v>
      </c>
      <c r="V714" t="s">
        <v>71</v>
      </c>
      <c r="W714" t="str">
        <f>"            15017606"</f>
        <v xml:space="preserve">            15017606</v>
      </c>
      <c r="X714">
        <v>45.76</v>
      </c>
      <c r="Y714">
        <v>0</v>
      </c>
      <c r="Z714"/>
      <c r="AB714"/>
      <c r="AC714">
        <v>44</v>
      </c>
      <c r="AD714">
        <v>290</v>
      </c>
      <c r="AE714" s="1">
        <v>12760</v>
      </c>
      <c r="AF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 s="2">
        <v>42746</v>
      </c>
      <c r="AQ714" t="s">
        <v>72</v>
      </c>
      <c r="AR714" t="s">
        <v>72</v>
      </c>
      <c r="AS714">
        <v>229</v>
      </c>
      <c r="AT714" s="4">
        <v>42403</v>
      </c>
      <c r="AU714" t="s">
        <v>73</v>
      </c>
      <c r="AV714">
        <v>229</v>
      </c>
      <c r="AW714" s="4">
        <v>42403</v>
      </c>
      <c r="BD714">
        <v>0</v>
      </c>
      <c r="BN714" t="s">
        <v>74</v>
      </c>
    </row>
    <row r="715" spans="1:66" hidden="1">
      <c r="A715">
        <v>100210</v>
      </c>
      <c r="B715" s="3" t="s">
        <v>141</v>
      </c>
      <c r="C715" s="1">
        <v>43300101</v>
      </c>
      <c r="D715" t="s">
        <v>67</v>
      </c>
      <c r="H715" t="str">
        <f t="shared" si="65"/>
        <v>08082461008</v>
      </c>
      <c r="I715" t="str">
        <f t="shared" si="65"/>
        <v>08082461008</v>
      </c>
      <c r="K715" t="str">
        <f>""</f>
        <v/>
      </c>
      <c r="M715" t="s">
        <v>68</v>
      </c>
      <c r="N715" t="str">
        <f t="shared" si="64"/>
        <v>FOR</v>
      </c>
      <c r="O715" t="s">
        <v>69</v>
      </c>
      <c r="P715" s="3" t="s">
        <v>70</v>
      </c>
      <c r="Q715">
        <v>2015</v>
      </c>
      <c r="R715" s="2">
        <v>42040</v>
      </c>
      <c r="S715" s="2">
        <v>42053</v>
      </c>
      <c r="T715" s="2">
        <v>42053</v>
      </c>
      <c r="U715" s="2">
        <v>42113</v>
      </c>
      <c r="V715" t="s">
        <v>71</v>
      </c>
      <c r="W715" t="str">
        <f>"            15017607"</f>
        <v xml:space="preserve">            15017607</v>
      </c>
      <c r="X715">
        <v>451.88</v>
      </c>
      <c r="Y715">
        <v>0</v>
      </c>
      <c r="Z715"/>
      <c r="AB715"/>
      <c r="AC715">
        <v>434.5</v>
      </c>
      <c r="AD715">
        <v>290</v>
      </c>
      <c r="AE715" s="1">
        <v>126005</v>
      </c>
      <c r="AF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 s="2">
        <v>42746</v>
      </c>
      <c r="AQ715" t="s">
        <v>72</v>
      </c>
      <c r="AR715" t="s">
        <v>72</v>
      </c>
      <c r="AS715">
        <v>229</v>
      </c>
      <c r="AT715" s="4">
        <v>42403</v>
      </c>
      <c r="AU715" t="s">
        <v>73</v>
      </c>
      <c r="AV715">
        <v>229</v>
      </c>
      <c r="AW715" s="4">
        <v>42403</v>
      </c>
      <c r="BD715">
        <v>0</v>
      </c>
      <c r="BN715" t="s">
        <v>74</v>
      </c>
    </row>
    <row r="716" spans="1:66" hidden="1">
      <c r="A716">
        <v>100210</v>
      </c>
      <c r="B716" s="3" t="s">
        <v>141</v>
      </c>
      <c r="C716" s="1">
        <v>43300101</v>
      </c>
      <c r="D716" t="s">
        <v>67</v>
      </c>
      <c r="H716" t="str">
        <f t="shared" si="65"/>
        <v>08082461008</v>
      </c>
      <c r="I716" t="str">
        <f t="shared" si="65"/>
        <v>08082461008</v>
      </c>
      <c r="K716" t="str">
        <f>""</f>
        <v/>
      </c>
      <c r="M716" t="s">
        <v>68</v>
      </c>
      <c r="N716" t="str">
        <f t="shared" si="64"/>
        <v>FOR</v>
      </c>
      <c r="O716" t="s">
        <v>69</v>
      </c>
      <c r="P716" s="3" t="s">
        <v>70</v>
      </c>
      <c r="Q716">
        <v>2015</v>
      </c>
      <c r="R716" s="2">
        <v>42040</v>
      </c>
      <c r="S716" s="2">
        <v>42053</v>
      </c>
      <c r="T716" s="2">
        <v>42053</v>
      </c>
      <c r="U716" s="2">
        <v>42113</v>
      </c>
      <c r="V716" t="s">
        <v>71</v>
      </c>
      <c r="W716" t="str">
        <f>"            15017608"</f>
        <v xml:space="preserve">            15017608</v>
      </c>
      <c r="X716">
        <v>451.88</v>
      </c>
      <c r="Y716">
        <v>0</v>
      </c>
      <c r="Z716"/>
      <c r="AB716"/>
      <c r="AC716">
        <v>434.5</v>
      </c>
      <c r="AD716">
        <v>290</v>
      </c>
      <c r="AE716" s="1">
        <v>126005</v>
      </c>
      <c r="AF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 s="2">
        <v>42746</v>
      </c>
      <c r="AQ716" t="s">
        <v>72</v>
      </c>
      <c r="AR716" t="s">
        <v>72</v>
      </c>
      <c r="AS716">
        <v>229</v>
      </c>
      <c r="AT716" s="4">
        <v>42403</v>
      </c>
      <c r="AU716" t="s">
        <v>73</v>
      </c>
      <c r="AV716">
        <v>229</v>
      </c>
      <c r="AW716" s="4">
        <v>42403</v>
      </c>
      <c r="BD716">
        <v>0</v>
      </c>
      <c r="BN716" t="s">
        <v>74</v>
      </c>
    </row>
    <row r="717" spans="1:66" hidden="1">
      <c r="A717">
        <v>100210</v>
      </c>
      <c r="B717" s="3" t="s">
        <v>141</v>
      </c>
      <c r="C717" s="1">
        <v>43300101</v>
      </c>
      <c r="D717" t="s">
        <v>67</v>
      </c>
      <c r="H717" t="str">
        <f t="shared" ref="H717:I736" si="66">"08082461008"</f>
        <v>08082461008</v>
      </c>
      <c r="I717" t="str">
        <f t="shared" si="66"/>
        <v>08082461008</v>
      </c>
      <c r="K717" t="str">
        <f>""</f>
        <v/>
      </c>
      <c r="M717" t="s">
        <v>68</v>
      </c>
      <c r="N717" t="str">
        <f t="shared" si="64"/>
        <v>FOR</v>
      </c>
      <c r="O717" t="s">
        <v>69</v>
      </c>
      <c r="P717" s="3" t="s">
        <v>70</v>
      </c>
      <c r="Q717">
        <v>2015</v>
      </c>
      <c r="R717" s="2">
        <v>42040</v>
      </c>
      <c r="S717" s="2">
        <v>42053</v>
      </c>
      <c r="T717" s="2">
        <v>42053</v>
      </c>
      <c r="U717" s="2">
        <v>42113</v>
      </c>
      <c r="V717" t="s">
        <v>71</v>
      </c>
      <c r="W717" t="str">
        <f>"            15017609"</f>
        <v xml:space="preserve">            15017609</v>
      </c>
      <c r="X717">
        <v>451.88</v>
      </c>
      <c r="Y717">
        <v>0</v>
      </c>
      <c r="Z717"/>
      <c r="AB717"/>
      <c r="AC717">
        <v>434.5</v>
      </c>
      <c r="AD717">
        <v>290</v>
      </c>
      <c r="AE717" s="1">
        <v>126005</v>
      </c>
      <c r="AF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 s="2">
        <v>42746</v>
      </c>
      <c r="AQ717" t="s">
        <v>72</v>
      </c>
      <c r="AR717" t="s">
        <v>72</v>
      </c>
      <c r="AS717">
        <v>229</v>
      </c>
      <c r="AT717" s="4">
        <v>42403</v>
      </c>
      <c r="AU717" t="s">
        <v>73</v>
      </c>
      <c r="AV717">
        <v>229</v>
      </c>
      <c r="AW717" s="4">
        <v>42403</v>
      </c>
      <c r="BD717">
        <v>0</v>
      </c>
      <c r="BN717" t="s">
        <v>74</v>
      </c>
    </row>
    <row r="718" spans="1:66" hidden="1">
      <c r="A718">
        <v>100210</v>
      </c>
      <c r="B718" s="3" t="s">
        <v>141</v>
      </c>
      <c r="C718" s="1">
        <v>43300101</v>
      </c>
      <c r="D718" t="s">
        <v>67</v>
      </c>
      <c r="H718" t="str">
        <f t="shared" si="66"/>
        <v>08082461008</v>
      </c>
      <c r="I718" t="str">
        <f t="shared" si="66"/>
        <v>08082461008</v>
      </c>
      <c r="K718" t="str">
        <f>""</f>
        <v/>
      </c>
      <c r="M718" t="s">
        <v>68</v>
      </c>
      <c r="N718" t="str">
        <f t="shared" si="64"/>
        <v>FOR</v>
      </c>
      <c r="O718" t="s">
        <v>69</v>
      </c>
      <c r="P718" s="3" t="s">
        <v>70</v>
      </c>
      <c r="Q718">
        <v>2015</v>
      </c>
      <c r="R718" s="2">
        <v>42041</v>
      </c>
      <c r="S718" s="2">
        <v>42053</v>
      </c>
      <c r="T718" s="2">
        <v>42053</v>
      </c>
      <c r="U718" s="2">
        <v>42113</v>
      </c>
      <c r="V718" t="s">
        <v>71</v>
      </c>
      <c r="W718" t="str">
        <f>"            15018686"</f>
        <v xml:space="preserve">            15018686</v>
      </c>
      <c r="X718" s="1">
        <v>9494.77</v>
      </c>
      <c r="Y718">
        <v>0</v>
      </c>
      <c r="Z718"/>
      <c r="AB718"/>
      <c r="AC718" s="1">
        <v>7782.6</v>
      </c>
      <c r="AD718">
        <v>290</v>
      </c>
      <c r="AE718" s="1">
        <v>2256954</v>
      </c>
      <c r="AF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 s="2">
        <v>42746</v>
      </c>
      <c r="AQ718" t="s">
        <v>72</v>
      </c>
      <c r="AR718" t="s">
        <v>72</v>
      </c>
      <c r="AS718">
        <v>229</v>
      </c>
      <c r="AT718" s="4">
        <v>42403</v>
      </c>
      <c r="AU718" t="s">
        <v>73</v>
      </c>
      <c r="AV718">
        <v>229</v>
      </c>
      <c r="AW718" s="4">
        <v>42403</v>
      </c>
      <c r="BD718">
        <v>0</v>
      </c>
      <c r="BN718" t="s">
        <v>74</v>
      </c>
    </row>
    <row r="719" spans="1:66" hidden="1">
      <c r="A719">
        <v>100210</v>
      </c>
      <c r="B719" s="3" t="s">
        <v>141</v>
      </c>
      <c r="C719" s="1">
        <v>43300101</v>
      </c>
      <c r="D719" t="s">
        <v>67</v>
      </c>
      <c r="H719" t="str">
        <f t="shared" si="66"/>
        <v>08082461008</v>
      </c>
      <c r="I719" t="str">
        <f t="shared" si="66"/>
        <v>08082461008</v>
      </c>
      <c r="K719" t="str">
        <f>""</f>
        <v/>
      </c>
      <c r="M719" t="s">
        <v>68</v>
      </c>
      <c r="N719" t="str">
        <f t="shared" si="64"/>
        <v>FOR</v>
      </c>
      <c r="O719" t="s">
        <v>69</v>
      </c>
      <c r="P719" s="3" t="s">
        <v>70</v>
      </c>
      <c r="Q719">
        <v>2015</v>
      </c>
      <c r="R719" s="2">
        <v>42044</v>
      </c>
      <c r="S719" s="2">
        <v>42053</v>
      </c>
      <c r="T719" s="2">
        <v>42053</v>
      </c>
      <c r="U719" s="2">
        <v>42113</v>
      </c>
      <c r="V719" t="s">
        <v>71</v>
      </c>
      <c r="W719" t="str">
        <f>"            15019629"</f>
        <v xml:space="preserve">            15019629</v>
      </c>
      <c r="X719">
        <v>196.76</v>
      </c>
      <c r="Y719">
        <v>0</v>
      </c>
      <c r="Z719"/>
      <c r="AB719"/>
      <c r="AC719">
        <v>161.28</v>
      </c>
      <c r="AD719">
        <v>290</v>
      </c>
      <c r="AE719" s="1">
        <v>46771.199999999997</v>
      </c>
      <c r="AF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 s="2">
        <v>42746</v>
      </c>
      <c r="AQ719" t="s">
        <v>72</v>
      </c>
      <c r="AR719" t="s">
        <v>72</v>
      </c>
      <c r="AS719">
        <v>229</v>
      </c>
      <c r="AT719" s="4">
        <v>42403</v>
      </c>
      <c r="AU719" t="s">
        <v>73</v>
      </c>
      <c r="AV719">
        <v>229</v>
      </c>
      <c r="AW719" s="4">
        <v>42403</v>
      </c>
      <c r="BD719">
        <v>0</v>
      </c>
      <c r="BN719" t="s">
        <v>74</v>
      </c>
    </row>
    <row r="720" spans="1:66" hidden="1">
      <c r="A720">
        <v>100210</v>
      </c>
      <c r="B720" s="3" t="s">
        <v>141</v>
      </c>
      <c r="C720" s="1">
        <v>43300101</v>
      </c>
      <c r="D720" t="s">
        <v>67</v>
      </c>
      <c r="H720" t="str">
        <f t="shared" si="66"/>
        <v>08082461008</v>
      </c>
      <c r="I720" t="str">
        <f t="shared" si="66"/>
        <v>08082461008</v>
      </c>
      <c r="K720" t="str">
        <f>""</f>
        <v/>
      </c>
      <c r="M720" t="s">
        <v>68</v>
      </c>
      <c r="N720" t="str">
        <f t="shared" si="64"/>
        <v>FOR</v>
      </c>
      <c r="O720" t="s">
        <v>69</v>
      </c>
      <c r="P720" s="3" t="s">
        <v>70</v>
      </c>
      <c r="Q720">
        <v>2015</v>
      </c>
      <c r="R720" s="2">
        <v>42045</v>
      </c>
      <c r="S720" s="2">
        <v>42054</v>
      </c>
      <c r="T720" s="2">
        <v>42054</v>
      </c>
      <c r="U720" s="2">
        <v>42114</v>
      </c>
      <c r="V720" t="s">
        <v>71</v>
      </c>
      <c r="W720" t="str">
        <f>"            15020761"</f>
        <v xml:space="preserve">            15020761</v>
      </c>
      <c r="X720" s="1">
        <v>1581.12</v>
      </c>
      <c r="Y720">
        <v>0</v>
      </c>
      <c r="Z720"/>
      <c r="AB720"/>
      <c r="AC720" s="1">
        <v>1296</v>
      </c>
      <c r="AD720">
        <v>289</v>
      </c>
      <c r="AE720" s="1">
        <v>374544</v>
      </c>
      <c r="AF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 s="2">
        <v>42746</v>
      </c>
      <c r="AQ720" t="s">
        <v>72</v>
      </c>
      <c r="AR720" t="s">
        <v>72</v>
      </c>
      <c r="AS720">
        <v>229</v>
      </c>
      <c r="AT720" s="4">
        <v>42403</v>
      </c>
      <c r="AU720" t="s">
        <v>73</v>
      </c>
      <c r="AV720">
        <v>229</v>
      </c>
      <c r="AW720" s="4">
        <v>42403</v>
      </c>
      <c r="BD720">
        <v>0</v>
      </c>
      <c r="BN720" t="s">
        <v>74</v>
      </c>
    </row>
    <row r="721" spans="1:66" hidden="1">
      <c r="A721">
        <v>100210</v>
      </c>
      <c r="B721" s="3" t="s">
        <v>141</v>
      </c>
      <c r="C721" s="1">
        <v>43300101</v>
      </c>
      <c r="D721" t="s">
        <v>67</v>
      </c>
      <c r="H721" t="str">
        <f t="shared" si="66"/>
        <v>08082461008</v>
      </c>
      <c r="I721" t="str">
        <f t="shared" si="66"/>
        <v>08082461008</v>
      </c>
      <c r="K721" t="str">
        <f>""</f>
        <v/>
      </c>
      <c r="M721" t="s">
        <v>68</v>
      </c>
      <c r="N721" t="str">
        <f t="shared" si="64"/>
        <v>FOR</v>
      </c>
      <c r="O721" t="s">
        <v>69</v>
      </c>
      <c r="P721" s="3" t="s">
        <v>78</v>
      </c>
      <c r="Q721">
        <v>2015</v>
      </c>
      <c r="R721" s="2">
        <v>42051</v>
      </c>
      <c r="S721" s="2">
        <v>42060</v>
      </c>
      <c r="T721" s="2">
        <v>42060</v>
      </c>
      <c r="U721" s="2">
        <v>42120</v>
      </c>
      <c r="V721" t="s">
        <v>71</v>
      </c>
      <c r="W721" t="str">
        <f>"            15023752"</f>
        <v xml:space="preserve">            15023752</v>
      </c>
      <c r="X721" s="1">
        <v>11170.32</v>
      </c>
      <c r="Y721">
        <v>0</v>
      </c>
      <c r="Z721"/>
      <c r="AB721"/>
      <c r="AC721" s="1">
        <v>9156</v>
      </c>
      <c r="AD721">
        <v>283</v>
      </c>
      <c r="AE721" s="1">
        <v>2591148</v>
      </c>
      <c r="AF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 s="2">
        <v>42746</v>
      </c>
      <c r="AQ721" t="s">
        <v>72</v>
      </c>
      <c r="AR721" t="s">
        <v>72</v>
      </c>
      <c r="AS721">
        <v>229</v>
      </c>
      <c r="AT721" s="4">
        <v>42403</v>
      </c>
      <c r="AU721" t="s">
        <v>73</v>
      </c>
      <c r="AV721">
        <v>229</v>
      </c>
      <c r="AW721" s="4">
        <v>42403</v>
      </c>
      <c r="BD721">
        <v>0</v>
      </c>
      <c r="BN721" t="s">
        <v>74</v>
      </c>
    </row>
    <row r="722" spans="1:66" hidden="1">
      <c r="A722">
        <v>100210</v>
      </c>
      <c r="B722" s="3" t="s">
        <v>141</v>
      </c>
      <c r="C722" s="1">
        <v>43300101</v>
      </c>
      <c r="D722" t="s">
        <v>67</v>
      </c>
      <c r="H722" t="str">
        <f t="shared" si="66"/>
        <v>08082461008</v>
      </c>
      <c r="I722" t="str">
        <f t="shared" si="66"/>
        <v>08082461008</v>
      </c>
      <c r="K722" t="str">
        <f>""</f>
        <v/>
      </c>
      <c r="M722" t="s">
        <v>68</v>
      </c>
      <c r="N722" t="str">
        <f t="shared" si="64"/>
        <v>FOR</v>
      </c>
      <c r="O722" t="s">
        <v>69</v>
      </c>
      <c r="P722" s="3" t="s">
        <v>78</v>
      </c>
      <c r="Q722">
        <v>2015</v>
      </c>
      <c r="R722" s="2">
        <v>42051</v>
      </c>
      <c r="S722" s="2">
        <v>42060</v>
      </c>
      <c r="T722" s="2">
        <v>42060</v>
      </c>
      <c r="U722" s="2">
        <v>42120</v>
      </c>
      <c r="V722" t="s">
        <v>71</v>
      </c>
      <c r="W722" t="str">
        <f>"            15023873"</f>
        <v xml:space="preserve">            15023873</v>
      </c>
      <c r="X722" s="1">
        <v>9880</v>
      </c>
      <c r="Y722">
        <v>0</v>
      </c>
      <c r="Z722"/>
      <c r="AB722"/>
      <c r="AC722" s="1">
        <v>9500</v>
      </c>
      <c r="AD722">
        <v>283</v>
      </c>
      <c r="AE722" s="1">
        <v>2688500</v>
      </c>
      <c r="AF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 s="2">
        <v>42746</v>
      </c>
      <c r="AQ722" t="s">
        <v>72</v>
      </c>
      <c r="AR722" t="s">
        <v>72</v>
      </c>
      <c r="AS722">
        <v>229</v>
      </c>
      <c r="AT722" s="4">
        <v>42403</v>
      </c>
      <c r="AU722" t="s">
        <v>73</v>
      </c>
      <c r="AV722">
        <v>229</v>
      </c>
      <c r="AW722" s="4">
        <v>42403</v>
      </c>
      <c r="BD722">
        <v>0</v>
      </c>
      <c r="BN722" t="s">
        <v>74</v>
      </c>
    </row>
    <row r="723" spans="1:66" hidden="1">
      <c r="A723">
        <v>100210</v>
      </c>
      <c r="B723" s="3" t="s">
        <v>141</v>
      </c>
      <c r="C723" s="1">
        <v>43300101</v>
      </c>
      <c r="D723" t="s">
        <v>67</v>
      </c>
      <c r="H723" t="str">
        <f t="shared" si="66"/>
        <v>08082461008</v>
      </c>
      <c r="I723" t="str">
        <f t="shared" si="66"/>
        <v>08082461008</v>
      </c>
      <c r="K723" t="str">
        <f>""</f>
        <v/>
      </c>
      <c r="M723" t="s">
        <v>68</v>
      </c>
      <c r="N723" t="str">
        <f t="shared" si="64"/>
        <v>FOR</v>
      </c>
      <c r="O723" t="s">
        <v>69</v>
      </c>
      <c r="P723" s="3" t="s">
        <v>70</v>
      </c>
      <c r="Q723">
        <v>2015</v>
      </c>
      <c r="R723" s="2">
        <v>42052</v>
      </c>
      <c r="S723" s="2">
        <v>42066</v>
      </c>
      <c r="T723" s="2">
        <v>42066</v>
      </c>
      <c r="U723" s="2">
        <v>42126</v>
      </c>
      <c r="V723" t="s">
        <v>71</v>
      </c>
      <c r="W723" t="str">
        <f>"            15025098"</f>
        <v xml:space="preserve">            15025098</v>
      </c>
      <c r="X723" s="1">
        <v>1962.93</v>
      </c>
      <c r="Y723">
        <v>0</v>
      </c>
      <c r="Z723"/>
      <c r="AB723"/>
      <c r="AC723" s="1">
        <v>1608.96</v>
      </c>
      <c r="AD723">
        <v>277</v>
      </c>
      <c r="AE723" s="1">
        <v>445681.91999999998</v>
      </c>
      <c r="AF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 s="2">
        <v>42746</v>
      </c>
      <c r="AQ723" t="s">
        <v>72</v>
      </c>
      <c r="AR723" t="s">
        <v>72</v>
      </c>
      <c r="AS723">
        <v>229</v>
      </c>
      <c r="AT723" s="4">
        <v>42403</v>
      </c>
      <c r="AU723" t="s">
        <v>73</v>
      </c>
      <c r="AV723">
        <v>229</v>
      </c>
      <c r="AW723" s="4">
        <v>42403</v>
      </c>
      <c r="BD723">
        <v>0</v>
      </c>
      <c r="BN723" t="s">
        <v>74</v>
      </c>
    </row>
    <row r="724" spans="1:66" hidden="1">
      <c r="A724">
        <v>100210</v>
      </c>
      <c r="B724" s="3" t="s">
        <v>141</v>
      </c>
      <c r="C724" s="1">
        <v>43300101</v>
      </c>
      <c r="D724" t="s">
        <v>67</v>
      </c>
      <c r="H724" t="str">
        <f t="shared" si="66"/>
        <v>08082461008</v>
      </c>
      <c r="I724" t="str">
        <f t="shared" si="66"/>
        <v>08082461008</v>
      </c>
      <c r="K724" t="str">
        <f>""</f>
        <v/>
      </c>
      <c r="M724" t="s">
        <v>68</v>
      </c>
      <c r="N724" t="str">
        <f t="shared" si="64"/>
        <v>FOR</v>
      </c>
      <c r="O724" t="s">
        <v>69</v>
      </c>
      <c r="P724" s="3" t="s">
        <v>70</v>
      </c>
      <c r="Q724">
        <v>2015</v>
      </c>
      <c r="R724" s="2">
        <v>42055</v>
      </c>
      <c r="S724" s="2">
        <v>42068</v>
      </c>
      <c r="T724" s="2">
        <v>42068</v>
      </c>
      <c r="U724" s="2">
        <v>42128</v>
      </c>
      <c r="V724" t="s">
        <v>71</v>
      </c>
      <c r="W724" t="str">
        <f>"            15027593"</f>
        <v xml:space="preserve">            15027593</v>
      </c>
      <c r="X724">
        <v>114.4</v>
      </c>
      <c r="Y724">
        <v>0</v>
      </c>
      <c r="Z724"/>
      <c r="AB724"/>
      <c r="AC724">
        <v>110</v>
      </c>
      <c r="AD724">
        <v>275</v>
      </c>
      <c r="AE724" s="1">
        <v>30250</v>
      </c>
      <c r="AF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 s="2">
        <v>42746</v>
      </c>
      <c r="AQ724" t="s">
        <v>72</v>
      </c>
      <c r="AR724" t="s">
        <v>72</v>
      </c>
      <c r="AS724">
        <v>229</v>
      </c>
      <c r="AT724" s="4">
        <v>42403</v>
      </c>
      <c r="AU724" t="s">
        <v>73</v>
      </c>
      <c r="AV724">
        <v>229</v>
      </c>
      <c r="AW724" s="4">
        <v>42403</v>
      </c>
      <c r="BD724">
        <v>0</v>
      </c>
      <c r="BN724" t="s">
        <v>74</v>
      </c>
    </row>
    <row r="725" spans="1:66" hidden="1">
      <c r="A725">
        <v>100210</v>
      </c>
      <c r="B725" s="3" t="s">
        <v>141</v>
      </c>
      <c r="C725" s="1">
        <v>43300101</v>
      </c>
      <c r="D725" t="s">
        <v>67</v>
      </c>
      <c r="H725" t="str">
        <f t="shared" si="66"/>
        <v>08082461008</v>
      </c>
      <c r="I725" t="str">
        <f t="shared" si="66"/>
        <v>08082461008</v>
      </c>
      <c r="K725" t="str">
        <f>""</f>
        <v/>
      </c>
      <c r="M725" t="s">
        <v>68</v>
      </c>
      <c r="N725" t="str">
        <f t="shared" si="64"/>
        <v>FOR</v>
      </c>
      <c r="O725" t="s">
        <v>69</v>
      </c>
      <c r="P725" s="3" t="s">
        <v>70</v>
      </c>
      <c r="Q725">
        <v>2015</v>
      </c>
      <c r="R725" s="2">
        <v>42058</v>
      </c>
      <c r="S725" s="2">
        <v>42068</v>
      </c>
      <c r="T725" s="2">
        <v>42068</v>
      </c>
      <c r="U725" s="2">
        <v>42128</v>
      </c>
      <c r="V725" t="s">
        <v>71</v>
      </c>
      <c r="W725" t="str">
        <f>"            15028958"</f>
        <v xml:space="preserve">            15028958</v>
      </c>
      <c r="X725" s="1">
        <v>6568.23</v>
      </c>
      <c r="Y725">
        <v>0</v>
      </c>
      <c r="Z725"/>
      <c r="AB725"/>
      <c r="AC725" s="1">
        <v>5383.8</v>
      </c>
      <c r="AD725">
        <v>275</v>
      </c>
      <c r="AE725" s="1">
        <v>1480545</v>
      </c>
      <c r="AF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 s="2">
        <v>42746</v>
      </c>
      <c r="AQ725" t="s">
        <v>72</v>
      </c>
      <c r="AR725" t="s">
        <v>72</v>
      </c>
      <c r="AS725">
        <v>229</v>
      </c>
      <c r="AT725" s="4">
        <v>42403</v>
      </c>
      <c r="AU725" t="s">
        <v>73</v>
      </c>
      <c r="AV725">
        <v>229</v>
      </c>
      <c r="AW725" s="4">
        <v>42403</v>
      </c>
      <c r="BD725">
        <v>0</v>
      </c>
      <c r="BN725" t="s">
        <v>74</v>
      </c>
    </row>
    <row r="726" spans="1:66" hidden="1">
      <c r="A726">
        <v>100210</v>
      </c>
      <c r="B726" s="3" t="s">
        <v>141</v>
      </c>
      <c r="C726" s="1">
        <v>43300101</v>
      </c>
      <c r="D726" t="s">
        <v>67</v>
      </c>
      <c r="H726" t="str">
        <f t="shared" si="66"/>
        <v>08082461008</v>
      </c>
      <c r="I726" t="str">
        <f t="shared" si="66"/>
        <v>08082461008</v>
      </c>
      <c r="K726" t="str">
        <f>""</f>
        <v/>
      </c>
      <c r="M726" t="s">
        <v>68</v>
      </c>
      <c r="N726" t="str">
        <f t="shared" si="64"/>
        <v>FOR</v>
      </c>
      <c r="O726" t="s">
        <v>69</v>
      </c>
      <c r="P726" s="3" t="s">
        <v>70</v>
      </c>
      <c r="Q726">
        <v>2015</v>
      </c>
      <c r="R726" s="2">
        <v>42059</v>
      </c>
      <c r="S726" s="2">
        <v>42069</v>
      </c>
      <c r="T726" s="2">
        <v>42069</v>
      </c>
      <c r="U726" s="2">
        <v>42129</v>
      </c>
      <c r="V726" t="s">
        <v>71</v>
      </c>
      <c r="W726" t="str">
        <f>"            15029461"</f>
        <v xml:space="preserve">            15029461</v>
      </c>
      <c r="X726">
        <v>559.98</v>
      </c>
      <c r="Y726">
        <v>0</v>
      </c>
      <c r="Z726"/>
      <c r="AB726"/>
      <c r="AC726">
        <v>459</v>
      </c>
      <c r="AD726">
        <v>274</v>
      </c>
      <c r="AE726" s="1">
        <v>125766</v>
      </c>
      <c r="AF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 s="2">
        <v>42746</v>
      </c>
      <c r="AQ726" t="s">
        <v>72</v>
      </c>
      <c r="AR726" t="s">
        <v>72</v>
      </c>
      <c r="AS726">
        <v>229</v>
      </c>
      <c r="AT726" s="4">
        <v>42403</v>
      </c>
      <c r="AU726" t="s">
        <v>73</v>
      </c>
      <c r="AV726">
        <v>229</v>
      </c>
      <c r="AW726" s="4">
        <v>42403</v>
      </c>
      <c r="BD726">
        <v>0</v>
      </c>
      <c r="BN726" t="s">
        <v>74</v>
      </c>
    </row>
    <row r="727" spans="1:66" hidden="1">
      <c r="A727">
        <v>100210</v>
      </c>
      <c r="B727" s="3" t="s">
        <v>141</v>
      </c>
      <c r="C727" s="1">
        <v>43300101</v>
      </c>
      <c r="D727" t="s">
        <v>67</v>
      </c>
      <c r="H727" t="str">
        <f t="shared" si="66"/>
        <v>08082461008</v>
      </c>
      <c r="I727" t="str">
        <f t="shared" si="66"/>
        <v>08082461008</v>
      </c>
      <c r="K727" t="str">
        <f>""</f>
        <v/>
      </c>
      <c r="M727" t="s">
        <v>68</v>
      </c>
      <c r="N727" t="str">
        <f t="shared" si="64"/>
        <v>FOR</v>
      </c>
      <c r="O727" t="s">
        <v>69</v>
      </c>
      <c r="P727" s="3" t="s">
        <v>70</v>
      </c>
      <c r="Q727">
        <v>2015</v>
      </c>
      <c r="R727" s="2">
        <v>42063</v>
      </c>
      <c r="S727" s="2">
        <v>42087</v>
      </c>
      <c r="T727" s="2">
        <v>42087</v>
      </c>
      <c r="U727" s="2">
        <v>42147</v>
      </c>
      <c r="V727" t="s">
        <v>71</v>
      </c>
      <c r="W727" t="str">
        <f>"            15032176"</f>
        <v xml:space="preserve">            15032176</v>
      </c>
      <c r="X727" s="1">
        <v>3584.02</v>
      </c>
      <c r="Y727">
        <v>0</v>
      </c>
      <c r="Z727"/>
      <c r="AB727"/>
      <c r="AC727" s="1">
        <v>2937.72</v>
      </c>
      <c r="AD727">
        <v>256</v>
      </c>
      <c r="AE727" s="1">
        <v>752056.31999999995</v>
      </c>
      <c r="AF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 s="2">
        <v>42746</v>
      </c>
      <c r="AQ727" t="s">
        <v>72</v>
      </c>
      <c r="AR727" t="s">
        <v>72</v>
      </c>
      <c r="AS727">
        <v>229</v>
      </c>
      <c r="AT727" s="4">
        <v>42403</v>
      </c>
      <c r="AU727" t="s">
        <v>73</v>
      </c>
      <c r="AV727">
        <v>229</v>
      </c>
      <c r="AW727" s="4">
        <v>42403</v>
      </c>
      <c r="BD727">
        <v>0</v>
      </c>
      <c r="BN727" t="s">
        <v>74</v>
      </c>
    </row>
    <row r="728" spans="1:66" hidden="1">
      <c r="A728">
        <v>100210</v>
      </c>
      <c r="B728" s="3" t="s">
        <v>141</v>
      </c>
      <c r="C728" s="1">
        <v>43300101</v>
      </c>
      <c r="D728" t="s">
        <v>67</v>
      </c>
      <c r="H728" t="str">
        <f t="shared" si="66"/>
        <v>08082461008</v>
      </c>
      <c r="I728" t="str">
        <f t="shared" si="66"/>
        <v>08082461008</v>
      </c>
      <c r="K728" t="str">
        <f>""</f>
        <v/>
      </c>
      <c r="M728" t="s">
        <v>68</v>
      </c>
      <c r="N728" t="str">
        <f t="shared" si="64"/>
        <v>FOR</v>
      </c>
      <c r="O728" t="s">
        <v>69</v>
      </c>
      <c r="P728" s="3" t="s">
        <v>70</v>
      </c>
      <c r="Q728">
        <v>2015</v>
      </c>
      <c r="R728" s="2">
        <v>42065</v>
      </c>
      <c r="S728" s="2">
        <v>42087</v>
      </c>
      <c r="T728" s="2">
        <v>42087</v>
      </c>
      <c r="U728" s="2">
        <v>42147</v>
      </c>
      <c r="V728" t="s">
        <v>71</v>
      </c>
      <c r="W728" t="str">
        <f>"            15032434"</f>
        <v xml:space="preserve">            15032434</v>
      </c>
      <c r="X728">
        <v>275.38</v>
      </c>
      <c r="Y728">
        <v>0</v>
      </c>
      <c r="Z728"/>
      <c r="AB728"/>
      <c r="AC728">
        <v>225.72</v>
      </c>
      <c r="AD728">
        <v>269</v>
      </c>
      <c r="AE728" s="1">
        <v>60718.68</v>
      </c>
      <c r="AF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 s="2">
        <v>42746</v>
      </c>
      <c r="AQ728" t="s">
        <v>72</v>
      </c>
      <c r="AR728" t="s">
        <v>72</v>
      </c>
      <c r="AS728">
        <v>410</v>
      </c>
      <c r="AT728" s="4">
        <v>42416</v>
      </c>
      <c r="AU728" t="s">
        <v>73</v>
      </c>
      <c r="AV728">
        <v>410</v>
      </c>
      <c r="AW728" s="4">
        <v>42416</v>
      </c>
      <c r="BD728">
        <v>0</v>
      </c>
      <c r="BN728" t="s">
        <v>74</v>
      </c>
    </row>
    <row r="729" spans="1:66" hidden="1">
      <c r="A729">
        <v>100210</v>
      </c>
      <c r="B729" s="3" t="s">
        <v>141</v>
      </c>
      <c r="C729" s="1">
        <v>43300101</v>
      </c>
      <c r="D729" t="s">
        <v>67</v>
      </c>
      <c r="H729" t="str">
        <f t="shared" si="66"/>
        <v>08082461008</v>
      </c>
      <c r="I729" t="str">
        <f t="shared" si="66"/>
        <v>08082461008</v>
      </c>
      <c r="K729" t="str">
        <f>""</f>
        <v/>
      </c>
      <c r="M729" t="s">
        <v>68</v>
      </c>
      <c r="N729" t="str">
        <f t="shared" si="64"/>
        <v>FOR</v>
      </c>
      <c r="O729" t="s">
        <v>69</v>
      </c>
      <c r="P729" s="3" t="s">
        <v>70</v>
      </c>
      <c r="Q729">
        <v>2015</v>
      </c>
      <c r="R729" s="2">
        <v>42066</v>
      </c>
      <c r="S729" s="2">
        <v>42087</v>
      </c>
      <c r="T729" s="2">
        <v>42087</v>
      </c>
      <c r="U729" s="2">
        <v>42147</v>
      </c>
      <c r="V729" t="s">
        <v>71</v>
      </c>
      <c r="W729" t="str">
        <f>"            15033047"</f>
        <v xml:space="preserve">            15033047</v>
      </c>
      <c r="X729">
        <v>644.79999999999995</v>
      </c>
      <c r="Y729">
        <v>0</v>
      </c>
      <c r="Z729"/>
      <c r="AB729"/>
      <c r="AC729">
        <v>620</v>
      </c>
      <c r="AD729">
        <v>269</v>
      </c>
      <c r="AE729" s="1">
        <v>166780</v>
      </c>
      <c r="AF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 s="2">
        <v>42746</v>
      </c>
      <c r="AQ729" t="s">
        <v>72</v>
      </c>
      <c r="AR729" t="s">
        <v>72</v>
      </c>
      <c r="AS729">
        <v>410</v>
      </c>
      <c r="AT729" s="4">
        <v>42416</v>
      </c>
      <c r="AU729" t="s">
        <v>73</v>
      </c>
      <c r="AV729">
        <v>410</v>
      </c>
      <c r="AW729" s="4">
        <v>42416</v>
      </c>
      <c r="BD729">
        <v>0</v>
      </c>
      <c r="BN729" t="s">
        <v>74</v>
      </c>
    </row>
    <row r="730" spans="1:66" hidden="1">
      <c r="A730">
        <v>100210</v>
      </c>
      <c r="B730" s="3" t="s">
        <v>141</v>
      </c>
      <c r="C730" s="1">
        <v>43300101</v>
      </c>
      <c r="D730" t="s">
        <v>67</v>
      </c>
      <c r="H730" t="str">
        <f t="shared" si="66"/>
        <v>08082461008</v>
      </c>
      <c r="I730" t="str">
        <f t="shared" si="66"/>
        <v>08082461008</v>
      </c>
      <c r="K730" t="str">
        <f>""</f>
        <v/>
      </c>
      <c r="M730" t="s">
        <v>68</v>
      </c>
      <c r="N730" t="str">
        <f t="shared" si="64"/>
        <v>FOR</v>
      </c>
      <c r="O730" t="s">
        <v>69</v>
      </c>
      <c r="P730" s="3" t="s">
        <v>70</v>
      </c>
      <c r="Q730">
        <v>2015</v>
      </c>
      <c r="R730" s="2">
        <v>42066</v>
      </c>
      <c r="S730" s="2">
        <v>42087</v>
      </c>
      <c r="T730" s="2">
        <v>42087</v>
      </c>
      <c r="U730" s="2">
        <v>42147</v>
      </c>
      <c r="V730" t="s">
        <v>71</v>
      </c>
      <c r="W730" t="str">
        <f>"            15033365"</f>
        <v xml:space="preserve">            15033365</v>
      </c>
      <c r="X730">
        <v>275.38</v>
      </c>
      <c r="Y730">
        <v>0</v>
      </c>
      <c r="Z730"/>
      <c r="AB730"/>
      <c r="AC730">
        <v>225.72</v>
      </c>
      <c r="AD730">
        <v>269</v>
      </c>
      <c r="AE730" s="1">
        <v>60718.68</v>
      </c>
      <c r="AF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 s="2">
        <v>42746</v>
      </c>
      <c r="AQ730" t="s">
        <v>72</v>
      </c>
      <c r="AR730" t="s">
        <v>72</v>
      </c>
      <c r="AS730">
        <v>410</v>
      </c>
      <c r="AT730" s="4">
        <v>42416</v>
      </c>
      <c r="AU730" t="s">
        <v>73</v>
      </c>
      <c r="AV730">
        <v>410</v>
      </c>
      <c r="AW730" s="4">
        <v>42416</v>
      </c>
      <c r="BD730">
        <v>0</v>
      </c>
      <c r="BN730" t="s">
        <v>74</v>
      </c>
    </row>
    <row r="731" spans="1:66" hidden="1">
      <c r="A731">
        <v>100210</v>
      </c>
      <c r="B731" s="3" t="s">
        <v>141</v>
      </c>
      <c r="C731" s="1">
        <v>43300101</v>
      </c>
      <c r="D731" t="s">
        <v>67</v>
      </c>
      <c r="H731" t="str">
        <f t="shared" si="66"/>
        <v>08082461008</v>
      </c>
      <c r="I731" t="str">
        <f t="shared" si="66"/>
        <v>08082461008</v>
      </c>
      <c r="K731" t="str">
        <f>""</f>
        <v/>
      </c>
      <c r="M731" t="s">
        <v>68</v>
      </c>
      <c r="N731" t="str">
        <f t="shared" si="64"/>
        <v>FOR</v>
      </c>
      <c r="O731" t="s">
        <v>69</v>
      </c>
      <c r="P731" s="3" t="s">
        <v>70</v>
      </c>
      <c r="Q731">
        <v>2015</v>
      </c>
      <c r="R731" s="2">
        <v>42069</v>
      </c>
      <c r="S731" s="2">
        <v>42087</v>
      </c>
      <c r="T731" s="2">
        <v>42087</v>
      </c>
      <c r="U731" s="2">
        <v>42147</v>
      </c>
      <c r="V731" t="s">
        <v>71</v>
      </c>
      <c r="W731" t="str">
        <f>"            15036138"</f>
        <v xml:space="preserve">            15036138</v>
      </c>
      <c r="X731" s="1">
        <v>1101.6600000000001</v>
      </c>
      <c r="Y731">
        <v>0</v>
      </c>
      <c r="Z731"/>
      <c r="AB731"/>
      <c r="AC731">
        <v>903</v>
      </c>
      <c r="AD731">
        <v>269</v>
      </c>
      <c r="AE731" s="1">
        <v>242907</v>
      </c>
      <c r="AF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 s="2">
        <v>42746</v>
      </c>
      <c r="AQ731" t="s">
        <v>72</v>
      </c>
      <c r="AR731" t="s">
        <v>72</v>
      </c>
      <c r="AS731">
        <v>410</v>
      </c>
      <c r="AT731" s="4">
        <v>42416</v>
      </c>
      <c r="AU731" t="s">
        <v>73</v>
      </c>
      <c r="AV731">
        <v>410</v>
      </c>
      <c r="AW731" s="4">
        <v>42416</v>
      </c>
      <c r="BD731">
        <v>0</v>
      </c>
      <c r="BN731" t="s">
        <v>74</v>
      </c>
    </row>
    <row r="732" spans="1:66" hidden="1">
      <c r="A732">
        <v>100210</v>
      </c>
      <c r="B732" s="3" t="s">
        <v>141</v>
      </c>
      <c r="C732" s="1">
        <v>43300101</v>
      </c>
      <c r="D732" t="s">
        <v>67</v>
      </c>
      <c r="H732" t="str">
        <f t="shared" si="66"/>
        <v>08082461008</v>
      </c>
      <c r="I732" t="str">
        <f t="shared" si="66"/>
        <v>08082461008</v>
      </c>
      <c r="K732" t="str">
        <f>""</f>
        <v/>
      </c>
      <c r="M732" t="s">
        <v>68</v>
      </c>
      <c r="N732" t="str">
        <f t="shared" si="64"/>
        <v>FOR</v>
      </c>
      <c r="O732" t="s">
        <v>69</v>
      </c>
      <c r="P732" s="3" t="s">
        <v>70</v>
      </c>
      <c r="Q732">
        <v>2015</v>
      </c>
      <c r="R732" s="2">
        <v>42069</v>
      </c>
      <c r="S732" s="2">
        <v>42087</v>
      </c>
      <c r="T732" s="2">
        <v>42087</v>
      </c>
      <c r="U732" s="2">
        <v>42147</v>
      </c>
      <c r="V732" t="s">
        <v>71</v>
      </c>
      <c r="W732" t="str">
        <f>"            15036139"</f>
        <v xml:space="preserve">            15036139</v>
      </c>
      <c r="X732" s="1">
        <v>3245.2</v>
      </c>
      <c r="Y732">
        <v>0</v>
      </c>
      <c r="Z732"/>
      <c r="AB732"/>
      <c r="AC732" s="1">
        <v>2660</v>
      </c>
      <c r="AD732">
        <v>269</v>
      </c>
      <c r="AE732" s="1">
        <v>715540</v>
      </c>
      <c r="AF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 s="2">
        <v>42746</v>
      </c>
      <c r="AQ732" t="s">
        <v>72</v>
      </c>
      <c r="AR732" t="s">
        <v>72</v>
      </c>
      <c r="AS732">
        <v>410</v>
      </c>
      <c r="AT732" s="4">
        <v>42416</v>
      </c>
      <c r="AU732" t="s">
        <v>73</v>
      </c>
      <c r="AV732">
        <v>410</v>
      </c>
      <c r="AW732" s="4">
        <v>42416</v>
      </c>
      <c r="BD732">
        <v>0</v>
      </c>
      <c r="BN732" t="s">
        <v>74</v>
      </c>
    </row>
    <row r="733" spans="1:66" hidden="1">
      <c r="A733">
        <v>100210</v>
      </c>
      <c r="B733" s="3" t="s">
        <v>141</v>
      </c>
      <c r="C733" s="1">
        <v>43300101</v>
      </c>
      <c r="D733" t="s">
        <v>67</v>
      </c>
      <c r="H733" t="str">
        <f t="shared" si="66"/>
        <v>08082461008</v>
      </c>
      <c r="I733" t="str">
        <f t="shared" si="66"/>
        <v>08082461008</v>
      </c>
      <c r="K733" t="str">
        <f>""</f>
        <v/>
      </c>
      <c r="M733" t="s">
        <v>68</v>
      </c>
      <c r="N733" t="str">
        <f t="shared" si="64"/>
        <v>FOR</v>
      </c>
      <c r="O733" t="s">
        <v>69</v>
      </c>
      <c r="P733" s="3" t="s">
        <v>70</v>
      </c>
      <c r="Q733">
        <v>2015</v>
      </c>
      <c r="R733" s="2">
        <v>42072</v>
      </c>
      <c r="S733" s="2">
        <v>42087</v>
      </c>
      <c r="T733" s="2">
        <v>42087</v>
      </c>
      <c r="U733" s="2">
        <v>42147</v>
      </c>
      <c r="V733" t="s">
        <v>71</v>
      </c>
      <c r="W733" t="str">
        <f>"            15036710"</f>
        <v xml:space="preserve">            15036710</v>
      </c>
      <c r="X733" s="1">
        <v>2045.94</v>
      </c>
      <c r="Y733">
        <v>0</v>
      </c>
      <c r="Z733"/>
      <c r="AB733"/>
      <c r="AC733" s="1">
        <v>1677</v>
      </c>
      <c r="AD733">
        <v>269</v>
      </c>
      <c r="AE733" s="1">
        <v>451113</v>
      </c>
      <c r="AF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 s="2">
        <v>42746</v>
      </c>
      <c r="AQ733" t="s">
        <v>72</v>
      </c>
      <c r="AR733" t="s">
        <v>72</v>
      </c>
      <c r="AS733">
        <v>410</v>
      </c>
      <c r="AT733" s="4">
        <v>42416</v>
      </c>
      <c r="AU733" t="s">
        <v>73</v>
      </c>
      <c r="AV733">
        <v>410</v>
      </c>
      <c r="AW733" s="4">
        <v>42416</v>
      </c>
      <c r="BD733">
        <v>0</v>
      </c>
      <c r="BN733" t="s">
        <v>74</v>
      </c>
    </row>
    <row r="734" spans="1:66" hidden="1">
      <c r="A734">
        <v>100210</v>
      </c>
      <c r="B734" s="3" t="s">
        <v>141</v>
      </c>
      <c r="C734" s="1">
        <v>43300101</v>
      </c>
      <c r="D734" t="s">
        <v>67</v>
      </c>
      <c r="H734" t="str">
        <f t="shared" si="66"/>
        <v>08082461008</v>
      </c>
      <c r="I734" t="str">
        <f t="shared" si="66"/>
        <v>08082461008</v>
      </c>
      <c r="K734" t="str">
        <f>""</f>
        <v/>
      </c>
      <c r="M734" t="s">
        <v>68</v>
      </c>
      <c r="N734" t="str">
        <f t="shared" si="64"/>
        <v>FOR</v>
      </c>
      <c r="O734" t="s">
        <v>69</v>
      </c>
      <c r="P734" s="3" t="s">
        <v>70</v>
      </c>
      <c r="Q734">
        <v>2015</v>
      </c>
      <c r="R734" s="2">
        <v>42072</v>
      </c>
      <c r="S734" s="2">
        <v>42087</v>
      </c>
      <c r="T734" s="2">
        <v>42087</v>
      </c>
      <c r="U734" s="2">
        <v>42147</v>
      </c>
      <c r="V734" t="s">
        <v>71</v>
      </c>
      <c r="W734" t="str">
        <f>"            15037109"</f>
        <v xml:space="preserve">            15037109</v>
      </c>
      <c r="X734" s="1">
        <v>9779.52</v>
      </c>
      <c r="Y734">
        <v>0</v>
      </c>
      <c r="Z734"/>
      <c r="AB734"/>
      <c r="AC734" s="1">
        <v>8016</v>
      </c>
      <c r="AD734">
        <v>269</v>
      </c>
      <c r="AE734" s="1">
        <v>2156304</v>
      </c>
      <c r="AF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 s="2">
        <v>42746</v>
      </c>
      <c r="AQ734" t="s">
        <v>72</v>
      </c>
      <c r="AR734" t="s">
        <v>72</v>
      </c>
      <c r="AS734">
        <v>410</v>
      </c>
      <c r="AT734" s="4">
        <v>42416</v>
      </c>
      <c r="AU734" t="s">
        <v>73</v>
      </c>
      <c r="AV734">
        <v>410</v>
      </c>
      <c r="AW734" s="4">
        <v>42416</v>
      </c>
      <c r="BD734">
        <v>0</v>
      </c>
      <c r="BN734" t="s">
        <v>74</v>
      </c>
    </row>
    <row r="735" spans="1:66" hidden="1">
      <c r="A735">
        <v>100210</v>
      </c>
      <c r="B735" s="3" t="s">
        <v>141</v>
      </c>
      <c r="C735" s="1">
        <v>43300101</v>
      </c>
      <c r="D735" t="s">
        <v>67</v>
      </c>
      <c r="H735" t="str">
        <f t="shared" si="66"/>
        <v>08082461008</v>
      </c>
      <c r="I735" t="str">
        <f t="shared" si="66"/>
        <v>08082461008</v>
      </c>
      <c r="K735" t="str">
        <f>""</f>
        <v/>
      </c>
      <c r="M735" t="s">
        <v>68</v>
      </c>
      <c r="N735" t="str">
        <f t="shared" si="64"/>
        <v>FOR</v>
      </c>
      <c r="O735" t="s">
        <v>69</v>
      </c>
      <c r="P735" s="3" t="s">
        <v>70</v>
      </c>
      <c r="Q735">
        <v>2015</v>
      </c>
      <c r="R735" s="2">
        <v>42075</v>
      </c>
      <c r="S735" s="2">
        <v>42087</v>
      </c>
      <c r="T735" s="2">
        <v>42087</v>
      </c>
      <c r="U735" s="2">
        <v>42147</v>
      </c>
      <c r="V735" t="s">
        <v>71</v>
      </c>
      <c r="W735" t="str">
        <f>"            15039442"</f>
        <v xml:space="preserve">            15039442</v>
      </c>
      <c r="X735">
        <v>298.95</v>
      </c>
      <c r="Y735">
        <v>0</v>
      </c>
      <c r="Z735"/>
      <c r="AB735"/>
      <c r="AC735">
        <v>245.04</v>
      </c>
      <c r="AD735">
        <v>269</v>
      </c>
      <c r="AE735" s="1">
        <v>65915.759999999995</v>
      </c>
      <c r="AF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 s="2">
        <v>42746</v>
      </c>
      <c r="AQ735" t="s">
        <v>72</v>
      </c>
      <c r="AR735" t="s">
        <v>72</v>
      </c>
      <c r="AS735">
        <v>410</v>
      </c>
      <c r="AT735" s="4">
        <v>42416</v>
      </c>
      <c r="AU735" t="s">
        <v>73</v>
      </c>
      <c r="AV735">
        <v>410</v>
      </c>
      <c r="AW735" s="4">
        <v>42416</v>
      </c>
      <c r="BD735">
        <v>0</v>
      </c>
      <c r="BN735" t="s">
        <v>74</v>
      </c>
    </row>
    <row r="736" spans="1:66" hidden="1">
      <c r="A736">
        <v>100210</v>
      </c>
      <c r="B736" s="3" t="s">
        <v>141</v>
      </c>
      <c r="C736" s="1">
        <v>43300101</v>
      </c>
      <c r="D736" t="s">
        <v>67</v>
      </c>
      <c r="H736" t="str">
        <f t="shared" si="66"/>
        <v>08082461008</v>
      </c>
      <c r="I736" t="str">
        <f t="shared" si="66"/>
        <v>08082461008</v>
      </c>
      <c r="K736" t="str">
        <f>""</f>
        <v/>
      </c>
      <c r="M736" t="s">
        <v>68</v>
      </c>
      <c r="N736" t="str">
        <f t="shared" si="64"/>
        <v>FOR</v>
      </c>
      <c r="O736" t="s">
        <v>69</v>
      </c>
      <c r="P736" s="3" t="s">
        <v>70</v>
      </c>
      <c r="Q736">
        <v>2015</v>
      </c>
      <c r="R736" s="2">
        <v>42075</v>
      </c>
      <c r="S736" s="2">
        <v>42087</v>
      </c>
      <c r="T736" s="2">
        <v>42087</v>
      </c>
      <c r="U736" s="2">
        <v>42147</v>
      </c>
      <c r="V736" t="s">
        <v>71</v>
      </c>
      <c r="W736" t="str">
        <f>"            15039704"</f>
        <v xml:space="preserve">            15039704</v>
      </c>
      <c r="X736">
        <v>260.88</v>
      </c>
      <c r="Y736">
        <v>0</v>
      </c>
      <c r="Z736"/>
      <c r="AB736"/>
      <c r="AC736">
        <v>213.84</v>
      </c>
      <c r="AD736">
        <v>269</v>
      </c>
      <c r="AE736" s="1">
        <v>57522.96</v>
      </c>
      <c r="AF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 s="2">
        <v>42746</v>
      </c>
      <c r="AQ736" t="s">
        <v>72</v>
      </c>
      <c r="AR736" t="s">
        <v>72</v>
      </c>
      <c r="AS736">
        <v>410</v>
      </c>
      <c r="AT736" s="4">
        <v>42416</v>
      </c>
      <c r="AU736" t="s">
        <v>73</v>
      </c>
      <c r="AV736">
        <v>410</v>
      </c>
      <c r="AW736" s="4">
        <v>42416</v>
      </c>
      <c r="BD736">
        <v>0</v>
      </c>
      <c r="BN736" t="s">
        <v>74</v>
      </c>
    </row>
    <row r="737" spans="1:66" hidden="1">
      <c r="A737">
        <v>100210</v>
      </c>
      <c r="B737" s="3" t="s">
        <v>141</v>
      </c>
      <c r="C737" s="1">
        <v>43300101</v>
      </c>
      <c r="D737" t="s">
        <v>67</v>
      </c>
      <c r="H737" t="str">
        <f t="shared" ref="H737:I756" si="67">"08082461008"</f>
        <v>08082461008</v>
      </c>
      <c r="I737" t="str">
        <f t="shared" si="67"/>
        <v>08082461008</v>
      </c>
      <c r="K737" t="str">
        <f>""</f>
        <v/>
      </c>
      <c r="M737" t="s">
        <v>68</v>
      </c>
      <c r="N737" t="str">
        <f t="shared" si="64"/>
        <v>FOR</v>
      </c>
      <c r="O737" t="s">
        <v>69</v>
      </c>
      <c r="P737" s="3" t="s">
        <v>70</v>
      </c>
      <c r="Q737">
        <v>2015</v>
      </c>
      <c r="R737" s="2">
        <v>42076</v>
      </c>
      <c r="S737" s="2">
        <v>42087</v>
      </c>
      <c r="T737" s="2">
        <v>42087</v>
      </c>
      <c r="U737" s="2">
        <v>42147</v>
      </c>
      <c r="V737" t="s">
        <v>71</v>
      </c>
      <c r="W737" t="str">
        <f>"            15040252"</f>
        <v xml:space="preserve">            15040252</v>
      </c>
      <c r="X737">
        <v>451.88</v>
      </c>
      <c r="Y737">
        <v>0</v>
      </c>
      <c r="Z737"/>
      <c r="AB737"/>
      <c r="AC737">
        <v>434.5</v>
      </c>
      <c r="AD737">
        <v>269</v>
      </c>
      <c r="AE737" s="1">
        <v>116880.5</v>
      </c>
      <c r="AF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 s="2">
        <v>42746</v>
      </c>
      <c r="AQ737" t="s">
        <v>72</v>
      </c>
      <c r="AR737" t="s">
        <v>72</v>
      </c>
      <c r="AS737">
        <v>410</v>
      </c>
      <c r="AT737" s="4">
        <v>42416</v>
      </c>
      <c r="AU737" t="s">
        <v>73</v>
      </c>
      <c r="AV737">
        <v>410</v>
      </c>
      <c r="AW737" s="4">
        <v>42416</v>
      </c>
      <c r="BD737">
        <v>0</v>
      </c>
      <c r="BN737" t="s">
        <v>74</v>
      </c>
    </row>
    <row r="738" spans="1:66" hidden="1">
      <c r="A738">
        <v>100210</v>
      </c>
      <c r="B738" s="3" t="s">
        <v>141</v>
      </c>
      <c r="C738" s="1">
        <v>43300101</v>
      </c>
      <c r="D738" t="s">
        <v>67</v>
      </c>
      <c r="H738" t="str">
        <f t="shared" si="67"/>
        <v>08082461008</v>
      </c>
      <c r="I738" t="str">
        <f t="shared" si="67"/>
        <v>08082461008</v>
      </c>
      <c r="K738" t="str">
        <f>""</f>
        <v/>
      </c>
      <c r="M738" t="s">
        <v>68</v>
      </c>
      <c r="N738" t="str">
        <f t="shared" si="64"/>
        <v>FOR</v>
      </c>
      <c r="O738" t="s">
        <v>69</v>
      </c>
      <c r="P738" s="3" t="s">
        <v>70</v>
      </c>
      <c r="Q738">
        <v>2015</v>
      </c>
      <c r="R738" s="2">
        <v>42076</v>
      </c>
      <c r="S738" s="2">
        <v>42087</v>
      </c>
      <c r="T738" s="2">
        <v>42087</v>
      </c>
      <c r="U738" s="2">
        <v>42147</v>
      </c>
      <c r="V738" t="s">
        <v>71</v>
      </c>
      <c r="W738" t="str">
        <f>"            15040253"</f>
        <v xml:space="preserve">            15040253</v>
      </c>
      <c r="X738">
        <v>451.88</v>
      </c>
      <c r="Y738">
        <v>0</v>
      </c>
      <c r="Z738"/>
      <c r="AB738"/>
      <c r="AC738">
        <v>434.5</v>
      </c>
      <c r="AD738">
        <v>269</v>
      </c>
      <c r="AE738" s="1">
        <v>116880.5</v>
      </c>
      <c r="AF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 s="2">
        <v>42746</v>
      </c>
      <c r="AQ738" t="s">
        <v>72</v>
      </c>
      <c r="AR738" t="s">
        <v>72</v>
      </c>
      <c r="AS738">
        <v>410</v>
      </c>
      <c r="AT738" s="4">
        <v>42416</v>
      </c>
      <c r="AU738" t="s">
        <v>73</v>
      </c>
      <c r="AV738">
        <v>410</v>
      </c>
      <c r="AW738" s="4">
        <v>42416</v>
      </c>
      <c r="BD738">
        <v>0</v>
      </c>
      <c r="BN738" t="s">
        <v>74</v>
      </c>
    </row>
    <row r="739" spans="1:66" hidden="1">
      <c r="A739">
        <v>100210</v>
      </c>
      <c r="B739" s="3" t="s">
        <v>141</v>
      </c>
      <c r="C739" s="1">
        <v>43300101</v>
      </c>
      <c r="D739" t="s">
        <v>67</v>
      </c>
      <c r="H739" t="str">
        <f t="shared" si="67"/>
        <v>08082461008</v>
      </c>
      <c r="I739" t="str">
        <f t="shared" si="67"/>
        <v>08082461008</v>
      </c>
      <c r="K739" t="str">
        <f>""</f>
        <v/>
      </c>
      <c r="M739" t="s">
        <v>68</v>
      </c>
      <c r="N739" t="str">
        <f t="shared" si="64"/>
        <v>FOR</v>
      </c>
      <c r="O739" t="s">
        <v>69</v>
      </c>
      <c r="P739" s="3" t="s">
        <v>70</v>
      </c>
      <c r="Q739">
        <v>2015</v>
      </c>
      <c r="R739" s="2">
        <v>42076</v>
      </c>
      <c r="S739" s="2">
        <v>42087</v>
      </c>
      <c r="T739" s="2">
        <v>42087</v>
      </c>
      <c r="U739" s="2">
        <v>42147</v>
      </c>
      <c r="V739" t="s">
        <v>71</v>
      </c>
      <c r="W739" t="str">
        <f>"            15040255"</f>
        <v xml:space="preserve">            15040255</v>
      </c>
      <c r="X739">
        <v>451.88</v>
      </c>
      <c r="Y739">
        <v>0</v>
      </c>
      <c r="Z739"/>
      <c r="AB739"/>
      <c r="AC739">
        <v>434.5</v>
      </c>
      <c r="AD739">
        <v>269</v>
      </c>
      <c r="AE739" s="1">
        <v>116880.5</v>
      </c>
      <c r="AF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 s="2">
        <v>42746</v>
      </c>
      <c r="AQ739" t="s">
        <v>72</v>
      </c>
      <c r="AR739" t="s">
        <v>72</v>
      </c>
      <c r="AS739">
        <v>410</v>
      </c>
      <c r="AT739" s="4">
        <v>42416</v>
      </c>
      <c r="AU739" t="s">
        <v>73</v>
      </c>
      <c r="AV739">
        <v>410</v>
      </c>
      <c r="AW739" s="4">
        <v>42416</v>
      </c>
      <c r="BD739">
        <v>0</v>
      </c>
      <c r="BN739" t="s">
        <v>74</v>
      </c>
    </row>
    <row r="740" spans="1:66" hidden="1">
      <c r="A740">
        <v>100210</v>
      </c>
      <c r="B740" s="3" t="s">
        <v>141</v>
      </c>
      <c r="C740" s="1">
        <v>43300101</v>
      </c>
      <c r="D740" t="s">
        <v>67</v>
      </c>
      <c r="H740" t="str">
        <f t="shared" si="67"/>
        <v>08082461008</v>
      </c>
      <c r="I740" t="str">
        <f t="shared" si="67"/>
        <v>08082461008</v>
      </c>
      <c r="K740" t="str">
        <f>""</f>
        <v/>
      </c>
      <c r="M740" t="s">
        <v>68</v>
      </c>
      <c r="N740" t="str">
        <f t="shared" si="64"/>
        <v>FOR</v>
      </c>
      <c r="O740" t="s">
        <v>69</v>
      </c>
      <c r="P740" s="3" t="s">
        <v>70</v>
      </c>
      <c r="Q740">
        <v>2015</v>
      </c>
      <c r="R740" s="2">
        <v>42076</v>
      </c>
      <c r="S740" s="2">
        <v>42087</v>
      </c>
      <c r="T740" s="2">
        <v>42087</v>
      </c>
      <c r="U740" s="2">
        <v>42147</v>
      </c>
      <c r="V740" t="s">
        <v>71</v>
      </c>
      <c r="W740" t="str">
        <f>"            15040256"</f>
        <v xml:space="preserve">            15040256</v>
      </c>
      <c r="X740">
        <v>451.88</v>
      </c>
      <c r="Y740">
        <v>0</v>
      </c>
      <c r="Z740"/>
      <c r="AB740"/>
      <c r="AC740">
        <v>434.5</v>
      </c>
      <c r="AD740">
        <v>269</v>
      </c>
      <c r="AE740" s="1">
        <v>116880.5</v>
      </c>
      <c r="AF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 s="2">
        <v>42746</v>
      </c>
      <c r="AQ740" t="s">
        <v>72</v>
      </c>
      <c r="AR740" t="s">
        <v>72</v>
      </c>
      <c r="AS740">
        <v>410</v>
      </c>
      <c r="AT740" s="4">
        <v>42416</v>
      </c>
      <c r="AU740" t="s">
        <v>73</v>
      </c>
      <c r="AV740">
        <v>410</v>
      </c>
      <c r="AW740" s="4">
        <v>42416</v>
      </c>
      <c r="BD740">
        <v>0</v>
      </c>
      <c r="BN740" t="s">
        <v>74</v>
      </c>
    </row>
    <row r="741" spans="1:66" hidden="1">
      <c r="A741">
        <v>100210</v>
      </c>
      <c r="B741" s="3" t="s">
        <v>141</v>
      </c>
      <c r="C741" s="1">
        <v>43300101</v>
      </c>
      <c r="D741" t="s">
        <v>67</v>
      </c>
      <c r="H741" t="str">
        <f t="shared" si="67"/>
        <v>08082461008</v>
      </c>
      <c r="I741" t="str">
        <f t="shared" si="67"/>
        <v>08082461008</v>
      </c>
      <c r="K741" t="str">
        <f>""</f>
        <v/>
      </c>
      <c r="M741" t="s">
        <v>68</v>
      </c>
      <c r="N741" t="str">
        <f t="shared" si="64"/>
        <v>FOR</v>
      </c>
      <c r="O741" t="s">
        <v>69</v>
      </c>
      <c r="P741" s="3" t="s">
        <v>70</v>
      </c>
      <c r="Q741">
        <v>2015</v>
      </c>
      <c r="R741" s="2">
        <v>42076</v>
      </c>
      <c r="S741" s="2">
        <v>42087</v>
      </c>
      <c r="T741" s="2">
        <v>42087</v>
      </c>
      <c r="U741" s="2">
        <v>42147</v>
      </c>
      <c r="V741" t="s">
        <v>71</v>
      </c>
      <c r="W741" t="str">
        <f>"            15040257"</f>
        <v xml:space="preserve">            15040257</v>
      </c>
      <c r="X741">
        <v>451.88</v>
      </c>
      <c r="Y741">
        <v>0</v>
      </c>
      <c r="Z741"/>
      <c r="AB741"/>
      <c r="AC741">
        <v>434.5</v>
      </c>
      <c r="AD741">
        <v>269</v>
      </c>
      <c r="AE741" s="1">
        <v>116880.5</v>
      </c>
      <c r="AF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 s="2">
        <v>42746</v>
      </c>
      <c r="AQ741" t="s">
        <v>72</v>
      </c>
      <c r="AR741" t="s">
        <v>72</v>
      </c>
      <c r="AS741">
        <v>410</v>
      </c>
      <c r="AT741" s="4">
        <v>42416</v>
      </c>
      <c r="AU741" t="s">
        <v>73</v>
      </c>
      <c r="AV741">
        <v>410</v>
      </c>
      <c r="AW741" s="4">
        <v>42416</v>
      </c>
      <c r="BD741">
        <v>0</v>
      </c>
      <c r="BN741" t="s">
        <v>74</v>
      </c>
    </row>
    <row r="742" spans="1:66" hidden="1">
      <c r="A742">
        <v>100210</v>
      </c>
      <c r="B742" s="3" t="s">
        <v>141</v>
      </c>
      <c r="C742" s="1">
        <v>43300101</v>
      </c>
      <c r="D742" t="s">
        <v>67</v>
      </c>
      <c r="H742" t="str">
        <f t="shared" si="67"/>
        <v>08082461008</v>
      </c>
      <c r="I742" t="str">
        <f t="shared" si="67"/>
        <v>08082461008</v>
      </c>
      <c r="K742" t="str">
        <f>""</f>
        <v/>
      </c>
      <c r="M742" t="s">
        <v>68</v>
      </c>
      <c r="N742" t="str">
        <f t="shared" si="64"/>
        <v>FOR</v>
      </c>
      <c r="O742" t="s">
        <v>69</v>
      </c>
      <c r="P742" s="3" t="s">
        <v>70</v>
      </c>
      <c r="Q742">
        <v>2015</v>
      </c>
      <c r="R742" s="2">
        <v>42076</v>
      </c>
      <c r="S742" s="2">
        <v>42087</v>
      </c>
      <c r="T742" s="2">
        <v>42087</v>
      </c>
      <c r="U742" s="2">
        <v>42147</v>
      </c>
      <c r="V742" t="s">
        <v>71</v>
      </c>
      <c r="W742" t="str">
        <f>"            15040258"</f>
        <v xml:space="preserve">            15040258</v>
      </c>
      <c r="X742">
        <v>451.88</v>
      </c>
      <c r="Y742">
        <v>0</v>
      </c>
      <c r="Z742"/>
      <c r="AB742"/>
      <c r="AC742">
        <v>434.5</v>
      </c>
      <c r="AD742">
        <v>269</v>
      </c>
      <c r="AE742" s="1">
        <v>116880.5</v>
      </c>
      <c r="AF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 s="2">
        <v>42746</v>
      </c>
      <c r="AQ742" t="s">
        <v>72</v>
      </c>
      <c r="AR742" t="s">
        <v>72</v>
      </c>
      <c r="AS742">
        <v>410</v>
      </c>
      <c r="AT742" s="4">
        <v>42416</v>
      </c>
      <c r="AU742" t="s">
        <v>73</v>
      </c>
      <c r="AV742">
        <v>410</v>
      </c>
      <c r="AW742" s="4">
        <v>42416</v>
      </c>
      <c r="BD742">
        <v>0</v>
      </c>
      <c r="BN742" t="s">
        <v>74</v>
      </c>
    </row>
    <row r="743" spans="1:66" hidden="1">
      <c r="A743">
        <v>100210</v>
      </c>
      <c r="B743" s="3" t="s">
        <v>141</v>
      </c>
      <c r="C743" s="1">
        <v>43300101</v>
      </c>
      <c r="D743" t="s">
        <v>67</v>
      </c>
      <c r="H743" t="str">
        <f t="shared" si="67"/>
        <v>08082461008</v>
      </c>
      <c r="I743" t="str">
        <f t="shared" si="67"/>
        <v>08082461008</v>
      </c>
      <c r="K743" t="str">
        <f>""</f>
        <v/>
      </c>
      <c r="M743" t="s">
        <v>68</v>
      </c>
      <c r="N743" t="str">
        <f t="shared" si="64"/>
        <v>FOR</v>
      </c>
      <c r="O743" t="s">
        <v>69</v>
      </c>
      <c r="P743" s="3" t="s">
        <v>70</v>
      </c>
      <c r="Q743">
        <v>2015</v>
      </c>
      <c r="R743" s="2">
        <v>42076</v>
      </c>
      <c r="S743" s="2">
        <v>42087</v>
      </c>
      <c r="T743" s="2">
        <v>42087</v>
      </c>
      <c r="U743" s="2">
        <v>42147</v>
      </c>
      <c r="V743" t="s">
        <v>71</v>
      </c>
      <c r="W743" t="str">
        <f>"            15040259"</f>
        <v xml:space="preserve">            15040259</v>
      </c>
      <c r="X743">
        <v>45.76</v>
      </c>
      <c r="Y743">
        <v>0</v>
      </c>
      <c r="Z743"/>
      <c r="AB743"/>
      <c r="AC743">
        <v>44</v>
      </c>
      <c r="AD743">
        <v>269</v>
      </c>
      <c r="AE743" s="1">
        <v>11836</v>
      </c>
      <c r="AF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 s="2">
        <v>42746</v>
      </c>
      <c r="AQ743" t="s">
        <v>72</v>
      </c>
      <c r="AR743" t="s">
        <v>72</v>
      </c>
      <c r="AS743">
        <v>410</v>
      </c>
      <c r="AT743" s="4">
        <v>42416</v>
      </c>
      <c r="AU743" t="s">
        <v>73</v>
      </c>
      <c r="AV743">
        <v>410</v>
      </c>
      <c r="AW743" s="4">
        <v>42416</v>
      </c>
      <c r="BD743">
        <v>0</v>
      </c>
      <c r="BN743" t="s">
        <v>74</v>
      </c>
    </row>
    <row r="744" spans="1:66" hidden="1">
      <c r="A744">
        <v>100210</v>
      </c>
      <c r="B744" s="3" t="s">
        <v>141</v>
      </c>
      <c r="C744" s="1">
        <v>43300101</v>
      </c>
      <c r="D744" t="s">
        <v>67</v>
      </c>
      <c r="H744" t="str">
        <f t="shared" si="67"/>
        <v>08082461008</v>
      </c>
      <c r="I744" t="str">
        <f t="shared" si="67"/>
        <v>08082461008</v>
      </c>
      <c r="K744" t="str">
        <f>""</f>
        <v/>
      </c>
      <c r="M744" t="s">
        <v>68</v>
      </c>
      <c r="N744" t="str">
        <f t="shared" si="64"/>
        <v>FOR</v>
      </c>
      <c r="O744" t="s">
        <v>69</v>
      </c>
      <c r="P744" s="3" t="s">
        <v>70</v>
      </c>
      <c r="Q744">
        <v>2015</v>
      </c>
      <c r="R744" s="2">
        <v>42076</v>
      </c>
      <c r="S744" s="2">
        <v>42087</v>
      </c>
      <c r="T744" s="2">
        <v>42087</v>
      </c>
      <c r="U744" s="2">
        <v>42147</v>
      </c>
      <c r="V744" t="s">
        <v>71</v>
      </c>
      <c r="W744" t="str">
        <f>"            15040261"</f>
        <v xml:space="preserve">            15040261</v>
      </c>
      <c r="X744">
        <v>45.76</v>
      </c>
      <c r="Y744">
        <v>0</v>
      </c>
      <c r="Z744"/>
      <c r="AB744"/>
      <c r="AC744">
        <v>44</v>
      </c>
      <c r="AD744">
        <v>269</v>
      </c>
      <c r="AE744" s="1">
        <v>11836</v>
      </c>
      <c r="AF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 s="2">
        <v>42746</v>
      </c>
      <c r="AQ744" t="s">
        <v>72</v>
      </c>
      <c r="AR744" t="s">
        <v>72</v>
      </c>
      <c r="AS744">
        <v>410</v>
      </c>
      <c r="AT744" s="4">
        <v>42416</v>
      </c>
      <c r="AU744" t="s">
        <v>73</v>
      </c>
      <c r="AV744">
        <v>410</v>
      </c>
      <c r="AW744" s="4">
        <v>42416</v>
      </c>
      <c r="BD744">
        <v>0</v>
      </c>
      <c r="BN744" t="s">
        <v>74</v>
      </c>
    </row>
    <row r="745" spans="1:66" hidden="1">
      <c r="A745">
        <v>100210</v>
      </c>
      <c r="B745" s="3" t="s">
        <v>141</v>
      </c>
      <c r="C745" s="1">
        <v>43300101</v>
      </c>
      <c r="D745" t="s">
        <v>67</v>
      </c>
      <c r="H745" t="str">
        <f t="shared" si="67"/>
        <v>08082461008</v>
      </c>
      <c r="I745" t="str">
        <f t="shared" si="67"/>
        <v>08082461008</v>
      </c>
      <c r="K745" t="str">
        <f>""</f>
        <v/>
      </c>
      <c r="M745" t="s">
        <v>68</v>
      </c>
      <c r="N745" t="str">
        <f t="shared" si="64"/>
        <v>FOR</v>
      </c>
      <c r="O745" t="s">
        <v>69</v>
      </c>
      <c r="P745" s="3" t="s">
        <v>70</v>
      </c>
      <c r="Q745">
        <v>2015</v>
      </c>
      <c r="R745" s="2">
        <v>42076</v>
      </c>
      <c r="S745" s="2">
        <v>42087</v>
      </c>
      <c r="T745" s="2">
        <v>42087</v>
      </c>
      <c r="U745" s="2">
        <v>42147</v>
      </c>
      <c r="V745" t="s">
        <v>71</v>
      </c>
      <c r="W745" t="str">
        <f>"            15040264"</f>
        <v xml:space="preserve">            15040264</v>
      </c>
      <c r="X745">
        <v>45.76</v>
      </c>
      <c r="Y745">
        <v>0</v>
      </c>
      <c r="Z745"/>
      <c r="AB745"/>
      <c r="AC745">
        <v>44</v>
      </c>
      <c r="AD745">
        <v>269</v>
      </c>
      <c r="AE745" s="1">
        <v>11836</v>
      </c>
      <c r="AF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 s="2">
        <v>42746</v>
      </c>
      <c r="AQ745" t="s">
        <v>72</v>
      </c>
      <c r="AR745" t="s">
        <v>72</v>
      </c>
      <c r="AS745">
        <v>410</v>
      </c>
      <c r="AT745" s="4">
        <v>42416</v>
      </c>
      <c r="AU745" t="s">
        <v>73</v>
      </c>
      <c r="AV745">
        <v>410</v>
      </c>
      <c r="AW745" s="4">
        <v>42416</v>
      </c>
      <c r="BD745">
        <v>0</v>
      </c>
      <c r="BN745" t="s">
        <v>74</v>
      </c>
    </row>
    <row r="746" spans="1:66" hidden="1">
      <c r="A746">
        <v>100210</v>
      </c>
      <c r="B746" s="3" t="s">
        <v>141</v>
      </c>
      <c r="C746" s="1">
        <v>43300101</v>
      </c>
      <c r="D746" t="s">
        <v>67</v>
      </c>
      <c r="H746" t="str">
        <f t="shared" si="67"/>
        <v>08082461008</v>
      </c>
      <c r="I746" t="str">
        <f t="shared" si="67"/>
        <v>08082461008</v>
      </c>
      <c r="K746" t="str">
        <f>""</f>
        <v/>
      </c>
      <c r="M746" t="s">
        <v>68</v>
      </c>
      <c r="N746" t="str">
        <f t="shared" si="64"/>
        <v>FOR</v>
      </c>
      <c r="O746" t="s">
        <v>69</v>
      </c>
      <c r="P746" s="3" t="s">
        <v>70</v>
      </c>
      <c r="Q746">
        <v>2015</v>
      </c>
      <c r="R746" s="2">
        <v>42076</v>
      </c>
      <c r="S746" s="2">
        <v>42087</v>
      </c>
      <c r="T746" s="2">
        <v>42087</v>
      </c>
      <c r="U746" s="2">
        <v>42147</v>
      </c>
      <c r="V746" t="s">
        <v>71</v>
      </c>
      <c r="W746" t="str">
        <f>"            15040265"</f>
        <v xml:space="preserve">            15040265</v>
      </c>
      <c r="X746">
        <v>45.76</v>
      </c>
      <c r="Y746">
        <v>0</v>
      </c>
      <c r="Z746"/>
      <c r="AB746"/>
      <c r="AC746">
        <v>44</v>
      </c>
      <c r="AD746">
        <v>269</v>
      </c>
      <c r="AE746" s="1">
        <v>11836</v>
      </c>
      <c r="AF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 s="2">
        <v>42746</v>
      </c>
      <c r="AQ746" t="s">
        <v>72</v>
      </c>
      <c r="AR746" t="s">
        <v>72</v>
      </c>
      <c r="AS746">
        <v>410</v>
      </c>
      <c r="AT746" s="4">
        <v>42416</v>
      </c>
      <c r="AU746" t="s">
        <v>73</v>
      </c>
      <c r="AV746">
        <v>410</v>
      </c>
      <c r="AW746" s="4">
        <v>42416</v>
      </c>
      <c r="BD746">
        <v>0</v>
      </c>
      <c r="BN746" t="s">
        <v>74</v>
      </c>
    </row>
    <row r="747" spans="1:66" hidden="1">
      <c r="A747">
        <v>100210</v>
      </c>
      <c r="B747" s="3" t="s">
        <v>141</v>
      </c>
      <c r="C747" s="1">
        <v>43300101</v>
      </c>
      <c r="D747" t="s">
        <v>67</v>
      </c>
      <c r="H747" t="str">
        <f t="shared" si="67"/>
        <v>08082461008</v>
      </c>
      <c r="I747" t="str">
        <f t="shared" si="67"/>
        <v>08082461008</v>
      </c>
      <c r="K747" t="str">
        <f>""</f>
        <v/>
      </c>
      <c r="M747" t="s">
        <v>68</v>
      </c>
      <c r="N747" t="str">
        <f t="shared" si="64"/>
        <v>FOR</v>
      </c>
      <c r="O747" t="s">
        <v>69</v>
      </c>
      <c r="P747" s="3" t="s">
        <v>70</v>
      </c>
      <c r="Q747">
        <v>2015</v>
      </c>
      <c r="R747" s="2">
        <v>42076</v>
      </c>
      <c r="S747" s="2">
        <v>42087</v>
      </c>
      <c r="T747" s="2">
        <v>42087</v>
      </c>
      <c r="U747" s="2">
        <v>42147</v>
      </c>
      <c r="V747" t="s">
        <v>71</v>
      </c>
      <c r="W747" t="str">
        <f>"            15040266"</f>
        <v xml:space="preserve">            15040266</v>
      </c>
      <c r="X747">
        <v>45.76</v>
      </c>
      <c r="Y747">
        <v>0</v>
      </c>
      <c r="Z747"/>
      <c r="AB747"/>
      <c r="AC747">
        <v>44</v>
      </c>
      <c r="AD747">
        <v>269</v>
      </c>
      <c r="AE747" s="1">
        <v>11836</v>
      </c>
      <c r="AF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 s="2">
        <v>42746</v>
      </c>
      <c r="AQ747" t="s">
        <v>72</v>
      </c>
      <c r="AR747" t="s">
        <v>72</v>
      </c>
      <c r="AS747">
        <v>410</v>
      </c>
      <c r="AT747" s="4">
        <v>42416</v>
      </c>
      <c r="AU747" t="s">
        <v>73</v>
      </c>
      <c r="AV747">
        <v>410</v>
      </c>
      <c r="AW747" s="4">
        <v>42416</v>
      </c>
      <c r="BD747">
        <v>0</v>
      </c>
      <c r="BN747" t="s">
        <v>74</v>
      </c>
    </row>
    <row r="748" spans="1:66" hidden="1">
      <c r="A748">
        <v>100210</v>
      </c>
      <c r="B748" s="3" t="s">
        <v>141</v>
      </c>
      <c r="C748" s="1">
        <v>43300101</v>
      </c>
      <c r="D748" t="s">
        <v>67</v>
      </c>
      <c r="H748" t="str">
        <f t="shared" si="67"/>
        <v>08082461008</v>
      </c>
      <c r="I748" t="str">
        <f t="shared" si="67"/>
        <v>08082461008</v>
      </c>
      <c r="K748" t="str">
        <f>""</f>
        <v/>
      </c>
      <c r="M748" t="s">
        <v>68</v>
      </c>
      <c r="N748" t="str">
        <f t="shared" si="64"/>
        <v>FOR</v>
      </c>
      <c r="O748" t="s">
        <v>69</v>
      </c>
      <c r="P748" s="3" t="s">
        <v>70</v>
      </c>
      <c r="Q748">
        <v>2015</v>
      </c>
      <c r="R748" s="2">
        <v>42076</v>
      </c>
      <c r="S748" s="2">
        <v>42087</v>
      </c>
      <c r="T748" s="2">
        <v>42087</v>
      </c>
      <c r="U748" s="2">
        <v>42147</v>
      </c>
      <c r="V748" t="s">
        <v>71</v>
      </c>
      <c r="W748" t="str">
        <f>"            15040267"</f>
        <v xml:space="preserve">            15040267</v>
      </c>
      <c r="X748">
        <v>45.76</v>
      </c>
      <c r="Y748">
        <v>0</v>
      </c>
      <c r="Z748"/>
      <c r="AB748"/>
      <c r="AC748">
        <v>44</v>
      </c>
      <c r="AD748">
        <v>269</v>
      </c>
      <c r="AE748" s="1">
        <v>11836</v>
      </c>
      <c r="AF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 s="2">
        <v>42746</v>
      </c>
      <c r="AQ748" t="s">
        <v>72</v>
      </c>
      <c r="AR748" t="s">
        <v>72</v>
      </c>
      <c r="AS748">
        <v>410</v>
      </c>
      <c r="AT748" s="4">
        <v>42416</v>
      </c>
      <c r="AU748" t="s">
        <v>73</v>
      </c>
      <c r="AV748">
        <v>410</v>
      </c>
      <c r="AW748" s="4">
        <v>42416</v>
      </c>
      <c r="BD748">
        <v>0</v>
      </c>
      <c r="BN748" t="s">
        <v>74</v>
      </c>
    </row>
    <row r="749" spans="1:66" hidden="1">
      <c r="A749">
        <v>100210</v>
      </c>
      <c r="B749" s="3" t="s">
        <v>141</v>
      </c>
      <c r="C749" s="1">
        <v>43300101</v>
      </c>
      <c r="D749" t="s">
        <v>67</v>
      </c>
      <c r="H749" t="str">
        <f t="shared" si="67"/>
        <v>08082461008</v>
      </c>
      <c r="I749" t="str">
        <f t="shared" si="67"/>
        <v>08082461008</v>
      </c>
      <c r="K749" t="str">
        <f>""</f>
        <v/>
      </c>
      <c r="M749" t="s">
        <v>68</v>
      </c>
      <c r="N749" t="str">
        <f t="shared" si="64"/>
        <v>FOR</v>
      </c>
      <c r="O749" t="s">
        <v>69</v>
      </c>
      <c r="P749" s="3" t="s">
        <v>70</v>
      </c>
      <c r="Q749">
        <v>2015</v>
      </c>
      <c r="R749" s="2">
        <v>42076</v>
      </c>
      <c r="S749" s="2">
        <v>42087</v>
      </c>
      <c r="T749" s="2">
        <v>42087</v>
      </c>
      <c r="U749" s="2">
        <v>42147</v>
      </c>
      <c r="V749" t="s">
        <v>71</v>
      </c>
      <c r="W749" t="str">
        <f>"            15040269"</f>
        <v xml:space="preserve">            15040269</v>
      </c>
      <c r="X749">
        <v>114.4</v>
      </c>
      <c r="Y749">
        <v>0</v>
      </c>
      <c r="Z749"/>
      <c r="AB749"/>
      <c r="AC749">
        <v>110</v>
      </c>
      <c r="AD749">
        <v>269</v>
      </c>
      <c r="AE749" s="1">
        <v>29590</v>
      </c>
      <c r="AF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 s="2">
        <v>42746</v>
      </c>
      <c r="AQ749" t="s">
        <v>72</v>
      </c>
      <c r="AR749" t="s">
        <v>72</v>
      </c>
      <c r="AS749">
        <v>410</v>
      </c>
      <c r="AT749" s="4">
        <v>42416</v>
      </c>
      <c r="AU749" t="s">
        <v>73</v>
      </c>
      <c r="AV749">
        <v>410</v>
      </c>
      <c r="AW749" s="4">
        <v>42416</v>
      </c>
      <c r="BD749">
        <v>0</v>
      </c>
      <c r="BN749" t="s">
        <v>74</v>
      </c>
    </row>
    <row r="750" spans="1:66" hidden="1">
      <c r="A750">
        <v>100210</v>
      </c>
      <c r="B750" s="3" t="s">
        <v>141</v>
      </c>
      <c r="C750" s="1">
        <v>43300101</v>
      </c>
      <c r="D750" t="s">
        <v>67</v>
      </c>
      <c r="H750" t="str">
        <f t="shared" si="67"/>
        <v>08082461008</v>
      </c>
      <c r="I750" t="str">
        <f t="shared" si="67"/>
        <v>08082461008</v>
      </c>
      <c r="K750" t="str">
        <f>""</f>
        <v/>
      </c>
      <c r="M750" t="s">
        <v>68</v>
      </c>
      <c r="N750" t="str">
        <f t="shared" ref="N750:N813" si="68">"FOR"</f>
        <v>FOR</v>
      </c>
      <c r="O750" t="s">
        <v>69</v>
      </c>
      <c r="P750" s="3" t="s">
        <v>70</v>
      </c>
      <c r="Q750">
        <v>2015</v>
      </c>
      <c r="R750" s="2">
        <v>42076</v>
      </c>
      <c r="S750" s="2">
        <v>42087</v>
      </c>
      <c r="T750" s="2">
        <v>42087</v>
      </c>
      <c r="U750" s="2">
        <v>42147</v>
      </c>
      <c r="V750" t="s">
        <v>71</v>
      </c>
      <c r="W750" t="str">
        <f>"            15040270"</f>
        <v xml:space="preserve">            15040270</v>
      </c>
      <c r="X750">
        <v>114.4</v>
      </c>
      <c r="Y750">
        <v>0</v>
      </c>
      <c r="Z750"/>
      <c r="AB750"/>
      <c r="AC750">
        <v>110</v>
      </c>
      <c r="AD750">
        <v>269</v>
      </c>
      <c r="AE750" s="1">
        <v>29590</v>
      </c>
      <c r="AF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 s="2">
        <v>42746</v>
      </c>
      <c r="AQ750" t="s">
        <v>72</v>
      </c>
      <c r="AR750" t="s">
        <v>72</v>
      </c>
      <c r="AS750">
        <v>410</v>
      </c>
      <c r="AT750" s="4">
        <v>42416</v>
      </c>
      <c r="AU750" t="s">
        <v>73</v>
      </c>
      <c r="AV750">
        <v>410</v>
      </c>
      <c r="AW750" s="4">
        <v>42416</v>
      </c>
      <c r="BD750">
        <v>0</v>
      </c>
      <c r="BN750" t="s">
        <v>74</v>
      </c>
    </row>
    <row r="751" spans="1:66" hidden="1">
      <c r="A751">
        <v>100210</v>
      </c>
      <c r="B751" s="3" t="s">
        <v>141</v>
      </c>
      <c r="C751" s="1">
        <v>43300101</v>
      </c>
      <c r="D751" t="s">
        <v>67</v>
      </c>
      <c r="H751" t="str">
        <f t="shared" si="67"/>
        <v>08082461008</v>
      </c>
      <c r="I751" t="str">
        <f t="shared" si="67"/>
        <v>08082461008</v>
      </c>
      <c r="K751" t="str">
        <f>""</f>
        <v/>
      </c>
      <c r="M751" t="s">
        <v>68</v>
      </c>
      <c r="N751" t="str">
        <f t="shared" si="68"/>
        <v>FOR</v>
      </c>
      <c r="O751" t="s">
        <v>69</v>
      </c>
      <c r="P751" s="3" t="s">
        <v>70</v>
      </c>
      <c r="Q751">
        <v>2015</v>
      </c>
      <c r="R751" s="2">
        <v>42080</v>
      </c>
      <c r="S751" s="2">
        <v>42089</v>
      </c>
      <c r="T751" s="2">
        <v>42089</v>
      </c>
      <c r="U751" s="2">
        <v>42149</v>
      </c>
      <c r="V751" t="s">
        <v>71</v>
      </c>
      <c r="W751" t="str">
        <f>"            15041707"</f>
        <v xml:space="preserve">            15041707</v>
      </c>
      <c r="X751">
        <v>644.79999999999995</v>
      </c>
      <c r="Y751">
        <v>0</v>
      </c>
      <c r="Z751"/>
      <c r="AB751"/>
      <c r="AC751">
        <v>620</v>
      </c>
      <c r="AD751">
        <v>267</v>
      </c>
      <c r="AE751" s="1">
        <v>165540</v>
      </c>
      <c r="AF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 s="2">
        <v>42746</v>
      </c>
      <c r="AQ751" t="s">
        <v>72</v>
      </c>
      <c r="AR751" t="s">
        <v>72</v>
      </c>
      <c r="AS751">
        <v>410</v>
      </c>
      <c r="AT751" s="4">
        <v>42416</v>
      </c>
      <c r="AU751" t="s">
        <v>73</v>
      </c>
      <c r="AV751">
        <v>410</v>
      </c>
      <c r="AW751" s="4">
        <v>42416</v>
      </c>
      <c r="BD751">
        <v>0</v>
      </c>
      <c r="BN751" t="s">
        <v>74</v>
      </c>
    </row>
    <row r="752" spans="1:66" hidden="1">
      <c r="A752">
        <v>100210</v>
      </c>
      <c r="B752" s="3" t="s">
        <v>141</v>
      </c>
      <c r="C752" s="1">
        <v>43300101</v>
      </c>
      <c r="D752" t="s">
        <v>67</v>
      </c>
      <c r="H752" t="str">
        <f t="shared" si="67"/>
        <v>08082461008</v>
      </c>
      <c r="I752" t="str">
        <f t="shared" si="67"/>
        <v>08082461008</v>
      </c>
      <c r="K752" t="str">
        <f>""</f>
        <v/>
      </c>
      <c r="M752" t="s">
        <v>68</v>
      </c>
      <c r="N752" t="str">
        <f t="shared" si="68"/>
        <v>FOR</v>
      </c>
      <c r="O752" t="s">
        <v>69</v>
      </c>
      <c r="P752" s="3" t="s">
        <v>70</v>
      </c>
      <c r="Q752">
        <v>2015</v>
      </c>
      <c r="R752" s="2">
        <v>42087</v>
      </c>
      <c r="S752" s="2">
        <v>42104</v>
      </c>
      <c r="T752" s="2">
        <v>42104</v>
      </c>
      <c r="U752" s="2">
        <v>42164</v>
      </c>
      <c r="V752" t="s">
        <v>71</v>
      </c>
      <c r="W752" t="str">
        <f>"            15045748"</f>
        <v xml:space="preserve">            15045748</v>
      </c>
      <c r="X752">
        <v>610</v>
      </c>
      <c r="Y752">
        <v>0</v>
      </c>
      <c r="Z752"/>
      <c r="AB752"/>
      <c r="AC752">
        <v>500</v>
      </c>
      <c r="AD752">
        <v>239</v>
      </c>
      <c r="AE752" s="1">
        <v>119500</v>
      </c>
      <c r="AF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 s="2">
        <v>42746</v>
      </c>
      <c r="AQ752" t="s">
        <v>72</v>
      </c>
      <c r="AR752" t="s">
        <v>72</v>
      </c>
      <c r="AS752">
        <v>229</v>
      </c>
      <c r="AT752" s="4">
        <v>42403</v>
      </c>
      <c r="AU752" t="s">
        <v>73</v>
      </c>
      <c r="AV752">
        <v>229</v>
      </c>
      <c r="AW752" s="4">
        <v>42403</v>
      </c>
      <c r="BD752">
        <v>0</v>
      </c>
      <c r="BN752" t="s">
        <v>74</v>
      </c>
    </row>
    <row r="753" spans="1:66" hidden="1">
      <c r="A753">
        <v>100210</v>
      </c>
      <c r="B753" s="3" t="s">
        <v>141</v>
      </c>
      <c r="C753" s="1">
        <v>43300101</v>
      </c>
      <c r="D753" t="s">
        <v>67</v>
      </c>
      <c r="H753" t="str">
        <f t="shared" si="67"/>
        <v>08082461008</v>
      </c>
      <c r="I753" t="str">
        <f t="shared" si="67"/>
        <v>08082461008</v>
      </c>
      <c r="K753" t="str">
        <f>""</f>
        <v/>
      </c>
      <c r="M753" t="s">
        <v>68</v>
      </c>
      <c r="N753" t="str">
        <f t="shared" si="68"/>
        <v>FOR</v>
      </c>
      <c r="O753" t="s">
        <v>69</v>
      </c>
      <c r="P753" s="3" t="s">
        <v>70</v>
      </c>
      <c r="Q753">
        <v>2015</v>
      </c>
      <c r="R753" s="2">
        <v>42087</v>
      </c>
      <c r="S753" s="2">
        <v>42104</v>
      </c>
      <c r="T753" s="2">
        <v>42104</v>
      </c>
      <c r="U753" s="2">
        <v>42164</v>
      </c>
      <c r="V753" t="s">
        <v>71</v>
      </c>
      <c r="W753" t="str">
        <f>"            15045749"</f>
        <v xml:space="preserve">            15045749</v>
      </c>
      <c r="X753">
        <v>610</v>
      </c>
      <c r="Y753">
        <v>0</v>
      </c>
      <c r="Z753"/>
      <c r="AB753"/>
      <c r="AC753">
        <v>500</v>
      </c>
      <c r="AD753">
        <v>239</v>
      </c>
      <c r="AE753" s="1">
        <v>119500</v>
      </c>
      <c r="AF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 s="2">
        <v>42746</v>
      </c>
      <c r="AQ753" t="s">
        <v>72</v>
      </c>
      <c r="AR753" t="s">
        <v>72</v>
      </c>
      <c r="AS753">
        <v>229</v>
      </c>
      <c r="AT753" s="4">
        <v>42403</v>
      </c>
      <c r="AU753" t="s">
        <v>73</v>
      </c>
      <c r="AV753">
        <v>229</v>
      </c>
      <c r="AW753" s="4">
        <v>42403</v>
      </c>
      <c r="BD753">
        <v>0</v>
      </c>
      <c r="BN753" t="s">
        <v>74</v>
      </c>
    </row>
    <row r="754" spans="1:66" hidden="1">
      <c r="A754">
        <v>100210</v>
      </c>
      <c r="B754" s="3" t="s">
        <v>141</v>
      </c>
      <c r="C754" s="1">
        <v>43300101</v>
      </c>
      <c r="D754" t="s">
        <v>67</v>
      </c>
      <c r="H754" t="str">
        <f t="shared" si="67"/>
        <v>08082461008</v>
      </c>
      <c r="I754" t="str">
        <f t="shared" si="67"/>
        <v>08082461008</v>
      </c>
      <c r="K754" t="str">
        <f>""</f>
        <v/>
      </c>
      <c r="M754" t="s">
        <v>68</v>
      </c>
      <c r="N754" t="str">
        <f t="shared" si="68"/>
        <v>FOR</v>
      </c>
      <c r="O754" t="s">
        <v>69</v>
      </c>
      <c r="P754" s="3" t="s">
        <v>70</v>
      </c>
      <c r="Q754">
        <v>2015</v>
      </c>
      <c r="R754" s="2">
        <v>42087</v>
      </c>
      <c r="S754" s="2">
        <v>42104</v>
      </c>
      <c r="T754" s="2">
        <v>42104</v>
      </c>
      <c r="U754" s="2">
        <v>42164</v>
      </c>
      <c r="V754" t="s">
        <v>71</v>
      </c>
      <c r="W754" t="str">
        <f>"            15045750"</f>
        <v xml:space="preserve">            15045750</v>
      </c>
      <c r="X754">
        <v>610</v>
      </c>
      <c r="Y754">
        <v>0</v>
      </c>
      <c r="Z754"/>
      <c r="AB754"/>
      <c r="AC754">
        <v>500</v>
      </c>
      <c r="AD754">
        <v>239</v>
      </c>
      <c r="AE754" s="1">
        <v>119500</v>
      </c>
      <c r="AF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 s="2">
        <v>42746</v>
      </c>
      <c r="AQ754" t="s">
        <v>72</v>
      </c>
      <c r="AR754" t="s">
        <v>72</v>
      </c>
      <c r="AS754">
        <v>229</v>
      </c>
      <c r="AT754" s="4">
        <v>42403</v>
      </c>
      <c r="AU754" t="s">
        <v>73</v>
      </c>
      <c r="AV754">
        <v>229</v>
      </c>
      <c r="AW754" s="4">
        <v>42403</v>
      </c>
      <c r="BD754">
        <v>0</v>
      </c>
      <c r="BN754" t="s">
        <v>74</v>
      </c>
    </row>
    <row r="755" spans="1:66" hidden="1">
      <c r="A755">
        <v>100210</v>
      </c>
      <c r="B755" s="3" t="s">
        <v>141</v>
      </c>
      <c r="C755" s="1">
        <v>43300101</v>
      </c>
      <c r="D755" t="s">
        <v>67</v>
      </c>
      <c r="H755" t="str">
        <f t="shared" si="67"/>
        <v>08082461008</v>
      </c>
      <c r="I755" t="str">
        <f t="shared" si="67"/>
        <v>08082461008</v>
      </c>
      <c r="K755" t="str">
        <f>""</f>
        <v/>
      </c>
      <c r="M755" t="s">
        <v>68</v>
      </c>
      <c r="N755" t="str">
        <f t="shared" si="68"/>
        <v>FOR</v>
      </c>
      <c r="O755" t="s">
        <v>69</v>
      </c>
      <c r="P755" s="3" t="s">
        <v>70</v>
      </c>
      <c r="Q755">
        <v>2015</v>
      </c>
      <c r="R755" s="2">
        <v>42087</v>
      </c>
      <c r="S755" s="2">
        <v>42103</v>
      </c>
      <c r="T755" s="2">
        <v>42103</v>
      </c>
      <c r="U755" s="2">
        <v>42163</v>
      </c>
      <c r="V755" t="s">
        <v>71</v>
      </c>
      <c r="W755" t="str">
        <f>"            15046040"</f>
        <v xml:space="preserve">            15046040</v>
      </c>
      <c r="X755">
        <v>490.15</v>
      </c>
      <c r="Y755">
        <v>0</v>
      </c>
      <c r="Z755"/>
      <c r="AB755"/>
      <c r="AC755">
        <v>401.76</v>
      </c>
      <c r="AD755">
        <v>253</v>
      </c>
      <c r="AE755" s="1">
        <v>101645.28</v>
      </c>
      <c r="AF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 s="2">
        <v>42746</v>
      </c>
      <c r="AQ755" t="s">
        <v>72</v>
      </c>
      <c r="AR755" t="s">
        <v>72</v>
      </c>
      <c r="AS755">
        <v>410</v>
      </c>
      <c r="AT755" s="4">
        <v>42416</v>
      </c>
      <c r="AU755" t="s">
        <v>73</v>
      </c>
      <c r="AV755">
        <v>410</v>
      </c>
      <c r="AW755" s="4">
        <v>42416</v>
      </c>
      <c r="BD755">
        <v>0</v>
      </c>
      <c r="BN755" t="s">
        <v>74</v>
      </c>
    </row>
    <row r="756" spans="1:66" hidden="1">
      <c r="A756">
        <v>100210</v>
      </c>
      <c r="B756" s="3" t="s">
        <v>141</v>
      </c>
      <c r="C756" s="1">
        <v>43300101</v>
      </c>
      <c r="D756" t="s">
        <v>67</v>
      </c>
      <c r="H756" t="str">
        <f t="shared" si="67"/>
        <v>08082461008</v>
      </c>
      <c r="I756" t="str">
        <f t="shared" si="67"/>
        <v>08082461008</v>
      </c>
      <c r="K756" t="str">
        <f>""</f>
        <v/>
      </c>
      <c r="M756" t="s">
        <v>68</v>
      </c>
      <c r="N756" t="str">
        <f t="shared" si="68"/>
        <v>FOR</v>
      </c>
      <c r="O756" t="s">
        <v>69</v>
      </c>
      <c r="P756" s="3" t="s">
        <v>70</v>
      </c>
      <c r="Q756">
        <v>2015</v>
      </c>
      <c r="R756" s="2">
        <v>42088</v>
      </c>
      <c r="S756" s="2">
        <v>42103</v>
      </c>
      <c r="T756" s="2">
        <v>42103</v>
      </c>
      <c r="U756" s="2">
        <v>42163</v>
      </c>
      <c r="V756" t="s">
        <v>71</v>
      </c>
      <c r="W756" t="str">
        <f>"            15047184"</f>
        <v xml:space="preserve">            15047184</v>
      </c>
      <c r="X756">
        <v>490.15</v>
      </c>
      <c r="Y756">
        <v>0</v>
      </c>
      <c r="Z756"/>
      <c r="AB756"/>
      <c r="AC756">
        <v>401.76</v>
      </c>
      <c r="AD756">
        <v>253</v>
      </c>
      <c r="AE756" s="1">
        <v>101645.28</v>
      </c>
      <c r="AF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 s="2">
        <v>42746</v>
      </c>
      <c r="AQ756" t="s">
        <v>72</v>
      </c>
      <c r="AR756" t="s">
        <v>72</v>
      </c>
      <c r="AS756">
        <v>410</v>
      </c>
      <c r="AT756" s="4">
        <v>42416</v>
      </c>
      <c r="AU756" t="s">
        <v>73</v>
      </c>
      <c r="AV756">
        <v>410</v>
      </c>
      <c r="AW756" s="4">
        <v>42416</v>
      </c>
      <c r="BD756">
        <v>0</v>
      </c>
      <c r="BN756" t="s">
        <v>74</v>
      </c>
    </row>
    <row r="757" spans="1:66" hidden="1">
      <c r="A757">
        <v>100210</v>
      </c>
      <c r="B757" s="3" t="s">
        <v>141</v>
      </c>
      <c r="C757" s="1">
        <v>43300101</v>
      </c>
      <c r="D757" t="s">
        <v>67</v>
      </c>
      <c r="H757" t="str">
        <f t="shared" ref="H757:I776" si="69">"08082461008"</f>
        <v>08082461008</v>
      </c>
      <c r="I757" t="str">
        <f t="shared" si="69"/>
        <v>08082461008</v>
      </c>
      <c r="K757" t="str">
        <f>""</f>
        <v/>
      </c>
      <c r="M757" t="s">
        <v>68</v>
      </c>
      <c r="N757" t="str">
        <f t="shared" si="68"/>
        <v>FOR</v>
      </c>
      <c r="O757" t="s">
        <v>69</v>
      </c>
      <c r="P757" s="3" t="s">
        <v>70</v>
      </c>
      <c r="Q757">
        <v>2015</v>
      </c>
      <c r="R757" s="2">
        <v>42089</v>
      </c>
      <c r="S757" s="2">
        <v>42104</v>
      </c>
      <c r="T757" s="2">
        <v>42104</v>
      </c>
      <c r="U757" s="2">
        <v>42164</v>
      </c>
      <c r="V757" t="s">
        <v>71</v>
      </c>
      <c r="W757" t="str">
        <f>"            15048201"</f>
        <v xml:space="preserve">            15048201</v>
      </c>
      <c r="X757">
        <v>610</v>
      </c>
      <c r="Y757">
        <v>0</v>
      </c>
      <c r="Z757"/>
      <c r="AB757"/>
      <c r="AC757">
        <v>500</v>
      </c>
      <c r="AD757">
        <v>239</v>
      </c>
      <c r="AE757" s="1">
        <v>119500</v>
      </c>
      <c r="AF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 s="2">
        <v>42746</v>
      </c>
      <c r="AQ757" t="s">
        <v>72</v>
      </c>
      <c r="AR757" t="s">
        <v>72</v>
      </c>
      <c r="AS757">
        <v>229</v>
      </c>
      <c r="AT757" s="4">
        <v>42403</v>
      </c>
      <c r="AU757" t="s">
        <v>73</v>
      </c>
      <c r="AV757">
        <v>229</v>
      </c>
      <c r="AW757" s="4">
        <v>42403</v>
      </c>
      <c r="BD757">
        <v>0</v>
      </c>
      <c r="BN757" t="s">
        <v>74</v>
      </c>
    </row>
    <row r="758" spans="1:66" hidden="1">
      <c r="A758">
        <v>100210</v>
      </c>
      <c r="B758" s="3" t="s">
        <v>141</v>
      </c>
      <c r="C758" s="1">
        <v>43300101</v>
      </c>
      <c r="D758" t="s">
        <v>67</v>
      </c>
      <c r="H758" t="str">
        <f t="shared" si="69"/>
        <v>08082461008</v>
      </c>
      <c r="I758" t="str">
        <f t="shared" si="69"/>
        <v>08082461008</v>
      </c>
      <c r="K758" t="str">
        <f>""</f>
        <v/>
      </c>
      <c r="M758" t="s">
        <v>68</v>
      </c>
      <c r="N758" t="str">
        <f t="shared" si="68"/>
        <v>FOR</v>
      </c>
      <c r="O758" t="s">
        <v>69</v>
      </c>
      <c r="P758" s="3" t="s">
        <v>75</v>
      </c>
      <c r="Q758">
        <v>2015</v>
      </c>
      <c r="R758" s="2">
        <v>42094</v>
      </c>
      <c r="S758" s="2">
        <v>42172</v>
      </c>
      <c r="T758" s="2">
        <v>42171</v>
      </c>
      <c r="U758" s="2">
        <v>42231</v>
      </c>
      <c r="V758" t="s">
        <v>71</v>
      </c>
      <c r="W758" t="str">
        <f>"            15051743"</f>
        <v xml:space="preserve">            15051743</v>
      </c>
      <c r="X758" s="1">
        <v>1140.46</v>
      </c>
      <c r="Y758">
        <v>0</v>
      </c>
      <c r="Z758"/>
      <c r="AB758"/>
      <c r="AC758">
        <v>934.8</v>
      </c>
      <c r="AD758">
        <v>185</v>
      </c>
      <c r="AE758" s="1">
        <v>172938</v>
      </c>
      <c r="AF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 s="2">
        <v>42746</v>
      </c>
      <c r="AQ758" t="s">
        <v>72</v>
      </c>
      <c r="AR758" t="s">
        <v>72</v>
      </c>
      <c r="AS758">
        <v>410</v>
      </c>
      <c r="AT758" s="4">
        <v>42416</v>
      </c>
      <c r="AU758" t="s">
        <v>73</v>
      </c>
      <c r="AV758">
        <v>410</v>
      </c>
      <c r="AW758" s="4">
        <v>42416</v>
      </c>
      <c r="BD758">
        <v>0</v>
      </c>
      <c r="BN758" t="s">
        <v>74</v>
      </c>
    </row>
    <row r="759" spans="1:66" hidden="1">
      <c r="A759">
        <v>100210</v>
      </c>
      <c r="B759" s="3" t="s">
        <v>141</v>
      </c>
      <c r="C759" s="1">
        <v>43300101</v>
      </c>
      <c r="D759" t="s">
        <v>67</v>
      </c>
      <c r="H759" t="str">
        <f t="shared" si="69"/>
        <v>08082461008</v>
      </c>
      <c r="I759" t="str">
        <f t="shared" si="69"/>
        <v>08082461008</v>
      </c>
      <c r="K759" t="str">
        <f>""</f>
        <v/>
      </c>
      <c r="M759" t="s">
        <v>68</v>
      </c>
      <c r="N759" t="str">
        <f t="shared" si="68"/>
        <v>FOR</v>
      </c>
      <c r="O759" t="s">
        <v>69</v>
      </c>
      <c r="P759" s="3" t="s">
        <v>75</v>
      </c>
      <c r="Q759">
        <v>2015</v>
      </c>
      <c r="R759" s="2">
        <v>42097</v>
      </c>
      <c r="S759" s="2">
        <v>42123</v>
      </c>
      <c r="T759" s="2">
        <v>42123</v>
      </c>
      <c r="U759" s="2">
        <v>42183</v>
      </c>
      <c r="V759" t="s">
        <v>71</v>
      </c>
      <c r="W759" t="str">
        <f>"            15053208"</f>
        <v xml:space="preserve">            15053208</v>
      </c>
      <c r="X759">
        <v>114.4</v>
      </c>
      <c r="Y759">
        <v>0</v>
      </c>
      <c r="Z759"/>
      <c r="AB759"/>
      <c r="AC759">
        <v>110</v>
      </c>
      <c r="AD759">
        <v>270</v>
      </c>
      <c r="AE759" s="1">
        <v>29700</v>
      </c>
      <c r="AF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 s="2">
        <v>42746</v>
      </c>
      <c r="AQ759" t="s">
        <v>72</v>
      </c>
      <c r="AR759" t="s">
        <v>72</v>
      </c>
      <c r="AS759">
        <v>864</v>
      </c>
      <c r="AT759" s="4">
        <v>42453</v>
      </c>
      <c r="AU759" t="s">
        <v>73</v>
      </c>
      <c r="AV759">
        <v>864</v>
      </c>
      <c r="AW759" s="4">
        <v>42453</v>
      </c>
      <c r="BD759">
        <v>0</v>
      </c>
      <c r="BN759" t="s">
        <v>74</v>
      </c>
    </row>
    <row r="760" spans="1:66" hidden="1">
      <c r="A760">
        <v>100210</v>
      </c>
      <c r="B760" s="3" t="s">
        <v>141</v>
      </c>
      <c r="C760" s="1">
        <v>43300101</v>
      </c>
      <c r="D760" t="s">
        <v>67</v>
      </c>
      <c r="H760" t="str">
        <f t="shared" si="69"/>
        <v>08082461008</v>
      </c>
      <c r="I760" t="str">
        <f t="shared" si="69"/>
        <v>08082461008</v>
      </c>
      <c r="K760" t="str">
        <f>""</f>
        <v/>
      </c>
      <c r="M760" t="s">
        <v>68</v>
      </c>
      <c r="N760" t="str">
        <f t="shared" si="68"/>
        <v>FOR</v>
      </c>
      <c r="O760" t="s">
        <v>69</v>
      </c>
      <c r="P760" s="3" t="s">
        <v>75</v>
      </c>
      <c r="Q760">
        <v>2015</v>
      </c>
      <c r="R760" s="2">
        <v>42097</v>
      </c>
      <c r="S760" s="2">
        <v>42139</v>
      </c>
      <c r="T760" s="2">
        <v>42137</v>
      </c>
      <c r="U760" s="2">
        <v>42197</v>
      </c>
      <c r="V760" t="s">
        <v>71</v>
      </c>
      <c r="W760" t="str">
        <f>"            15053209"</f>
        <v xml:space="preserve">            15053209</v>
      </c>
      <c r="X760">
        <v>114.4</v>
      </c>
      <c r="Y760">
        <v>0</v>
      </c>
      <c r="Z760"/>
      <c r="AB760"/>
      <c r="AC760">
        <v>110</v>
      </c>
      <c r="AD760">
        <v>256</v>
      </c>
      <c r="AE760" s="1">
        <v>28160</v>
      </c>
      <c r="AF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 s="2">
        <v>42746</v>
      </c>
      <c r="AQ760" t="s">
        <v>72</v>
      </c>
      <c r="AR760" t="s">
        <v>72</v>
      </c>
      <c r="AS760">
        <v>864</v>
      </c>
      <c r="AT760" s="4">
        <v>42453</v>
      </c>
      <c r="AU760" t="s">
        <v>73</v>
      </c>
      <c r="AV760">
        <v>864</v>
      </c>
      <c r="AW760" s="4">
        <v>42453</v>
      </c>
      <c r="BD760">
        <v>0</v>
      </c>
      <c r="BN760" t="s">
        <v>74</v>
      </c>
    </row>
    <row r="761" spans="1:66" hidden="1">
      <c r="A761">
        <v>100210</v>
      </c>
      <c r="B761" s="3" t="s">
        <v>141</v>
      </c>
      <c r="C761" s="1">
        <v>43300101</v>
      </c>
      <c r="D761" t="s">
        <v>67</v>
      </c>
      <c r="H761" t="str">
        <f t="shared" si="69"/>
        <v>08082461008</v>
      </c>
      <c r="I761" t="str">
        <f t="shared" si="69"/>
        <v>08082461008</v>
      </c>
      <c r="K761" t="str">
        <f>""</f>
        <v/>
      </c>
      <c r="M761" t="s">
        <v>68</v>
      </c>
      <c r="N761" t="str">
        <f t="shared" si="68"/>
        <v>FOR</v>
      </c>
      <c r="O761" t="s">
        <v>69</v>
      </c>
      <c r="P761" s="3" t="s">
        <v>75</v>
      </c>
      <c r="Q761">
        <v>2015</v>
      </c>
      <c r="R761" s="2">
        <v>42101</v>
      </c>
      <c r="S761" s="2">
        <v>42139</v>
      </c>
      <c r="T761" s="2">
        <v>42137</v>
      </c>
      <c r="U761" s="2">
        <v>42197</v>
      </c>
      <c r="V761" t="s">
        <v>71</v>
      </c>
      <c r="W761" t="str">
        <f>"            15054061"</f>
        <v xml:space="preserve">            15054061</v>
      </c>
      <c r="X761">
        <v>451.88</v>
      </c>
      <c r="Y761">
        <v>0</v>
      </c>
      <c r="Z761"/>
      <c r="AB761"/>
      <c r="AC761">
        <v>434.5</v>
      </c>
      <c r="AD761">
        <v>256</v>
      </c>
      <c r="AE761" s="1">
        <v>111232</v>
      </c>
      <c r="AF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 s="2">
        <v>42746</v>
      </c>
      <c r="AQ761" t="s">
        <v>72</v>
      </c>
      <c r="AR761" t="s">
        <v>72</v>
      </c>
      <c r="AS761">
        <v>864</v>
      </c>
      <c r="AT761" s="4">
        <v>42453</v>
      </c>
      <c r="AU761" t="s">
        <v>73</v>
      </c>
      <c r="AV761">
        <v>864</v>
      </c>
      <c r="AW761" s="4">
        <v>42453</v>
      </c>
      <c r="BD761">
        <v>0</v>
      </c>
      <c r="BN761" t="s">
        <v>74</v>
      </c>
    </row>
    <row r="762" spans="1:66" hidden="1">
      <c r="A762">
        <v>100210</v>
      </c>
      <c r="B762" s="3" t="s">
        <v>141</v>
      </c>
      <c r="C762" s="1">
        <v>43300101</v>
      </c>
      <c r="D762" t="s">
        <v>67</v>
      </c>
      <c r="H762" t="str">
        <f t="shared" si="69"/>
        <v>08082461008</v>
      </c>
      <c r="I762" t="str">
        <f t="shared" si="69"/>
        <v>08082461008</v>
      </c>
      <c r="K762" t="str">
        <f>""</f>
        <v/>
      </c>
      <c r="M762" t="s">
        <v>68</v>
      </c>
      <c r="N762" t="str">
        <f t="shared" si="68"/>
        <v>FOR</v>
      </c>
      <c r="O762" t="s">
        <v>69</v>
      </c>
      <c r="P762" s="3" t="s">
        <v>75</v>
      </c>
      <c r="Q762">
        <v>2015</v>
      </c>
      <c r="R762" s="2">
        <v>42101</v>
      </c>
      <c r="S762" s="2">
        <v>42172</v>
      </c>
      <c r="T762" s="2">
        <v>42171</v>
      </c>
      <c r="U762" s="2">
        <v>42231</v>
      </c>
      <c r="V762" t="s">
        <v>71</v>
      </c>
      <c r="W762" t="str">
        <f>"            15054063"</f>
        <v xml:space="preserve">            15054063</v>
      </c>
      <c r="X762">
        <v>451.88</v>
      </c>
      <c r="Y762">
        <v>0</v>
      </c>
      <c r="Z762"/>
      <c r="AB762"/>
      <c r="AC762">
        <v>434.5</v>
      </c>
      <c r="AD762">
        <v>222</v>
      </c>
      <c r="AE762" s="1">
        <v>96459</v>
      </c>
      <c r="AF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 s="2">
        <v>42746</v>
      </c>
      <c r="AQ762" t="s">
        <v>72</v>
      </c>
      <c r="AR762" t="s">
        <v>72</v>
      </c>
      <c r="AS762">
        <v>864</v>
      </c>
      <c r="AT762" s="4">
        <v>42453</v>
      </c>
      <c r="AU762" t="s">
        <v>73</v>
      </c>
      <c r="AV762">
        <v>864</v>
      </c>
      <c r="AW762" s="4">
        <v>42453</v>
      </c>
      <c r="BD762">
        <v>0</v>
      </c>
      <c r="BN762" t="s">
        <v>74</v>
      </c>
    </row>
    <row r="763" spans="1:66" hidden="1">
      <c r="A763">
        <v>100210</v>
      </c>
      <c r="B763" s="3" t="s">
        <v>141</v>
      </c>
      <c r="C763" s="1">
        <v>43300101</v>
      </c>
      <c r="D763" t="s">
        <v>67</v>
      </c>
      <c r="H763" t="str">
        <f t="shared" si="69"/>
        <v>08082461008</v>
      </c>
      <c r="I763" t="str">
        <f t="shared" si="69"/>
        <v>08082461008</v>
      </c>
      <c r="K763" t="str">
        <f>""</f>
        <v/>
      </c>
      <c r="M763" t="s">
        <v>68</v>
      </c>
      <c r="N763" t="str">
        <f t="shared" si="68"/>
        <v>FOR</v>
      </c>
      <c r="O763" t="s">
        <v>69</v>
      </c>
      <c r="P763" s="3" t="s">
        <v>75</v>
      </c>
      <c r="Q763">
        <v>2015</v>
      </c>
      <c r="R763" s="2">
        <v>42101</v>
      </c>
      <c r="S763" s="2">
        <v>42123</v>
      </c>
      <c r="T763" s="2">
        <v>42123</v>
      </c>
      <c r="U763" s="2">
        <v>42183</v>
      </c>
      <c r="V763" t="s">
        <v>71</v>
      </c>
      <c r="W763" t="str">
        <f>"            15054064"</f>
        <v xml:space="preserve">            15054064</v>
      </c>
      <c r="X763">
        <v>451.88</v>
      </c>
      <c r="Y763">
        <v>0</v>
      </c>
      <c r="Z763"/>
      <c r="AB763"/>
      <c r="AC763">
        <v>434.5</v>
      </c>
      <c r="AD763">
        <v>270</v>
      </c>
      <c r="AE763" s="1">
        <v>117315</v>
      </c>
      <c r="AF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 s="2">
        <v>42746</v>
      </c>
      <c r="AQ763" t="s">
        <v>72</v>
      </c>
      <c r="AR763" t="s">
        <v>72</v>
      </c>
      <c r="AS763">
        <v>864</v>
      </c>
      <c r="AT763" s="4">
        <v>42453</v>
      </c>
      <c r="AU763" t="s">
        <v>73</v>
      </c>
      <c r="AV763">
        <v>864</v>
      </c>
      <c r="AW763" s="4">
        <v>42453</v>
      </c>
      <c r="BD763">
        <v>0</v>
      </c>
      <c r="BN763" t="s">
        <v>74</v>
      </c>
    </row>
    <row r="764" spans="1:66" hidden="1">
      <c r="A764">
        <v>100210</v>
      </c>
      <c r="B764" s="3" t="s">
        <v>141</v>
      </c>
      <c r="C764" s="1">
        <v>43300101</v>
      </c>
      <c r="D764" t="s">
        <v>67</v>
      </c>
      <c r="H764" t="str">
        <f t="shared" si="69"/>
        <v>08082461008</v>
      </c>
      <c r="I764" t="str">
        <f t="shared" si="69"/>
        <v>08082461008</v>
      </c>
      <c r="K764" t="str">
        <f>""</f>
        <v/>
      </c>
      <c r="M764" t="s">
        <v>68</v>
      </c>
      <c r="N764" t="str">
        <f t="shared" si="68"/>
        <v>FOR</v>
      </c>
      <c r="O764" t="s">
        <v>69</v>
      </c>
      <c r="P764" s="3" t="s">
        <v>75</v>
      </c>
      <c r="Q764">
        <v>2015</v>
      </c>
      <c r="R764" s="2">
        <v>42101</v>
      </c>
      <c r="S764" s="2">
        <v>42172</v>
      </c>
      <c r="T764" s="2">
        <v>42171</v>
      </c>
      <c r="U764" s="2">
        <v>42231</v>
      </c>
      <c r="V764" t="s">
        <v>71</v>
      </c>
      <c r="W764" t="str">
        <f>"            15054065"</f>
        <v xml:space="preserve">            15054065</v>
      </c>
      <c r="X764">
        <v>451.88</v>
      </c>
      <c r="Y764">
        <v>0</v>
      </c>
      <c r="Z764"/>
      <c r="AB764"/>
      <c r="AC764">
        <v>434.5</v>
      </c>
      <c r="AD764">
        <v>222</v>
      </c>
      <c r="AE764" s="1">
        <v>96459</v>
      </c>
      <c r="AF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 s="2">
        <v>42746</v>
      </c>
      <c r="AQ764" t="s">
        <v>72</v>
      </c>
      <c r="AR764" t="s">
        <v>72</v>
      </c>
      <c r="AS764">
        <v>864</v>
      </c>
      <c r="AT764" s="4">
        <v>42453</v>
      </c>
      <c r="AU764" t="s">
        <v>73</v>
      </c>
      <c r="AV764">
        <v>864</v>
      </c>
      <c r="AW764" s="4">
        <v>42453</v>
      </c>
      <c r="BD764">
        <v>0</v>
      </c>
      <c r="BN764" t="s">
        <v>74</v>
      </c>
    </row>
    <row r="765" spans="1:66" hidden="1">
      <c r="A765">
        <v>100210</v>
      </c>
      <c r="B765" s="3" t="s">
        <v>141</v>
      </c>
      <c r="C765" s="1">
        <v>43300101</v>
      </c>
      <c r="D765" t="s">
        <v>67</v>
      </c>
      <c r="H765" t="str">
        <f t="shared" si="69"/>
        <v>08082461008</v>
      </c>
      <c r="I765" t="str">
        <f t="shared" si="69"/>
        <v>08082461008</v>
      </c>
      <c r="K765" t="str">
        <f>""</f>
        <v/>
      </c>
      <c r="M765" t="s">
        <v>68</v>
      </c>
      <c r="N765" t="str">
        <f t="shared" si="68"/>
        <v>FOR</v>
      </c>
      <c r="O765" t="s">
        <v>69</v>
      </c>
      <c r="P765" s="3" t="s">
        <v>75</v>
      </c>
      <c r="Q765">
        <v>2015</v>
      </c>
      <c r="R765" s="2">
        <v>42101</v>
      </c>
      <c r="S765" s="2">
        <v>42123</v>
      </c>
      <c r="T765" s="2">
        <v>42123</v>
      </c>
      <c r="U765" s="2">
        <v>42183</v>
      </c>
      <c r="V765" t="s">
        <v>71</v>
      </c>
      <c r="W765" t="str">
        <f>"            15054068"</f>
        <v xml:space="preserve">            15054068</v>
      </c>
      <c r="X765">
        <v>451.88</v>
      </c>
      <c r="Y765">
        <v>0</v>
      </c>
      <c r="Z765"/>
      <c r="AB765"/>
      <c r="AC765">
        <v>434.5</v>
      </c>
      <c r="AD765">
        <v>270</v>
      </c>
      <c r="AE765" s="1">
        <v>117315</v>
      </c>
      <c r="AF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 s="2">
        <v>42746</v>
      </c>
      <c r="AQ765" t="s">
        <v>72</v>
      </c>
      <c r="AR765" t="s">
        <v>72</v>
      </c>
      <c r="AS765">
        <v>864</v>
      </c>
      <c r="AT765" s="4">
        <v>42453</v>
      </c>
      <c r="AU765" t="s">
        <v>73</v>
      </c>
      <c r="AV765">
        <v>864</v>
      </c>
      <c r="AW765" s="4">
        <v>42453</v>
      </c>
      <c r="BD765">
        <v>0</v>
      </c>
      <c r="BN765" t="s">
        <v>74</v>
      </c>
    </row>
    <row r="766" spans="1:66" hidden="1">
      <c r="A766">
        <v>100210</v>
      </c>
      <c r="B766" s="3" t="s">
        <v>141</v>
      </c>
      <c r="C766" s="1">
        <v>43300101</v>
      </c>
      <c r="D766" t="s">
        <v>67</v>
      </c>
      <c r="H766" t="str">
        <f t="shared" si="69"/>
        <v>08082461008</v>
      </c>
      <c r="I766" t="str">
        <f t="shared" si="69"/>
        <v>08082461008</v>
      </c>
      <c r="K766" t="str">
        <f>""</f>
        <v/>
      </c>
      <c r="M766" t="s">
        <v>68</v>
      </c>
      <c r="N766" t="str">
        <f t="shared" si="68"/>
        <v>FOR</v>
      </c>
      <c r="O766" t="s">
        <v>69</v>
      </c>
      <c r="P766" s="3" t="s">
        <v>75</v>
      </c>
      <c r="Q766">
        <v>2015</v>
      </c>
      <c r="R766" s="2">
        <v>42101</v>
      </c>
      <c r="S766" s="2">
        <v>42123</v>
      </c>
      <c r="T766" s="2">
        <v>42123</v>
      </c>
      <c r="U766" s="2">
        <v>42183</v>
      </c>
      <c r="V766" t="s">
        <v>71</v>
      </c>
      <c r="W766" t="str">
        <f>"            15054070"</f>
        <v xml:space="preserve">            15054070</v>
      </c>
      <c r="X766">
        <v>451.88</v>
      </c>
      <c r="Y766">
        <v>0</v>
      </c>
      <c r="Z766"/>
      <c r="AB766"/>
      <c r="AC766">
        <v>434.5</v>
      </c>
      <c r="AD766">
        <v>270</v>
      </c>
      <c r="AE766" s="1">
        <v>117315</v>
      </c>
      <c r="AF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 s="2">
        <v>42746</v>
      </c>
      <c r="AQ766" t="s">
        <v>72</v>
      </c>
      <c r="AR766" t="s">
        <v>72</v>
      </c>
      <c r="AS766">
        <v>864</v>
      </c>
      <c r="AT766" s="4">
        <v>42453</v>
      </c>
      <c r="AU766" t="s">
        <v>73</v>
      </c>
      <c r="AV766">
        <v>864</v>
      </c>
      <c r="AW766" s="4">
        <v>42453</v>
      </c>
      <c r="BD766">
        <v>0</v>
      </c>
      <c r="BN766" t="s">
        <v>74</v>
      </c>
    </row>
    <row r="767" spans="1:66" hidden="1">
      <c r="A767">
        <v>100210</v>
      </c>
      <c r="B767" s="3" t="s">
        <v>141</v>
      </c>
      <c r="C767" s="1">
        <v>43300101</v>
      </c>
      <c r="D767" t="s">
        <v>67</v>
      </c>
      <c r="H767" t="str">
        <f t="shared" si="69"/>
        <v>08082461008</v>
      </c>
      <c r="I767" t="str">
        <f t="shared" si="69"/>
        <v>08082461008</v>
      </c>
      <c r="K767" t="str">
        <f>""</f>
        <v/>
      </c>
      <c r="M767" t="s">
        <v>68</v>
      </c>
      <c r="N767" t="str">
        <f t="shared" si="68"/>
        <v>FOR</v>
      </c>
      <c r="O767" t="s">
        <v>69</v>
      </c>
      <c r="P767" s="3" t="s">
        <v>75</v>
      </c>
      <c r="Q767">
        <v>2015</v>
      </c>
      <c r="R767" s="2">
        <v>42101</v>
      </c>
      <c r="S767" s="2">
        <v>42172</v>
      </c>
      <c r="T767" s="2">
        <v>42171</v>
      </c>
      <c r="U767" s="2">
        <v>42231</v>
      </c>
      <c r="V767" t="s">
        <v>71</v>
      </c>
      <c r="W767" t="str">
        <f>"            15054072"</f>
        <v xml:space="preserve">            15054072</v>
      </c>
      <c r="X767">
        <v>45.76</v>
      </c>
      <c r="Y767">
        <v>0</v>
      </c>
      <c r="Z767"/>
      <c r="AB767"/>
      <c r="AC767">
        <v>44</v>
      </c>
      <c r="AD767">
        <v>222</v>
      </c>
      <c r="AE767" s="1">
        <v>9768</v>
      </c>
      <c r="AF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 s="2">
        <v>42746</v>
      </c>
      <c r="AQ767" t="s">
        <v>72</v>
      </c>
      <c r="AR767" t="s">
        <v>72</v>
      </c>
      <c r="AS767">
        <v>864</v>
      </c>
      <c r="AT767" s="4">
        <v>42453</v>
      </c>
      <c r="AU767" t="s">
        <v>73</v>
      </c>
      <c r="AV767">
        <v>864</v>
      </c>
      <c r="AW767" s="4">
        <v>42453</v>
      </c>
      <c r="BD767">
        <v>0</v>
      </c>
      <c r="BN767" t="s">
        <v>74</v>
      </c>
    </row>
    <row r="768" spans="1:66" hidden="1">
      <c r="A768">
        <v>100210</v>
      </c>
      <c r="B768" s="3" t="s">
        <v>141</v>
      </c>
      <c r="C768" s="1">
        <v>43300101</v>
      </c>
      <c r="D768" t="s">
        <v>67</v>
      </c>
      <c r="H768" t="str">
        <f t="shared" si="69"/>
        <v>08082461008</v>
      </c>
      <c r="I768" t="str">
        <f t="shared" si="69"/>
        <v>08082461008</v>
      </c>
      <c r="K768" t="str">
        <f>""</f>
        <v/>
      </c>
      <c r="M768" t="s">
        <v>68</v>
      </c>
      <c r="N768" t="str">
        <f t="shared" si="68"/>
        <v>FOR</v>
      </c>
      <c r="O768" t="s">
        <v>69</v>
      </c>
      <c r="P768" s="3" t="s">
        <v>75</v>
      </c>
      <c r="Q768">
        <v>2015</v>
      </c>
      <c r="R768" s="2">
        <v>42101</v>
      </c>
      <c r="S768" s="2">
        <v>42172</v>
      </c>
      <c r="T768" s="2">
        <v>42171</v>
      </c>
      <c r="U768" s="2">
        <v>42231</v>
      </c>
      <c r="V768" t="s">
        <v>71</v>
      </c>
      <c r="W768" t="str">
        <f>"            15054074"</f>
        <v xml:space="preserve">            15054074</v>
      </c>
      <c r="X768">
        <v>45.76</v>
      </c>
      <c r="Y768">
        <v>0</v>
      </c>
      <c r="Z768"/>
      <c r="AB768"/>
      <c r="AC768">
        <v>44</v>
      </c>
      <c r="AD768">
        <v>222</v>
      </c>
      <c r="AE768" s="1">
        <v>9768</v>
      </c>
      <c r="AF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 s="2">
        <v>42746</v>
      </c>
      <c r="AQ768" t="s">
        <v>72</v>
      </c>
      <c r="AR768" t="s">
        <v>72</v>
      </c>
      <c r="AS768">
        <v>864</v>
      </c>
      <c r="AT768" s="4">
        <v>42453</v>
      </c>
      <c r="AU768" t="s">
        <v>73</v>
      </c>
      <c r="AV768">
        <v>864</v>
      </c>
      <c r="AW768" s="4">
        <v>42453</v>
      </c>
      <c r="BD768">
        <v>0</v>
      </c>
      <c r="BN768" t="s">
        <v>74</v>
      </c>
    </row>
    <row r="769" spans="1:66" hidden="1">
      <c r="A769">
        <v>100210</v>
      </c>
      <c r="B769" s="3" t="s">
        <v>141</v>
      </c>
      <c r="C769" s="1">
        <v>43300101</v>
      </c>
      <c r="D769" t="s">
        <v>67</v>
      </c>
      <c r="H769" t="str">
        <f t="shared" si="69"/>
        <v>08082461008</v>
      </c>
      <c r="I769" t="str">
        <f t="shared" si="69"/>
        <v>08082461008</v>
      </c>
      <c r="K769" t="str">
        <f>""</f>
        <v/>
      </c>
      <c r="M769" t="s">
        <v>68</v>
      </c>
      <c r="N769" t="str">
        <f t="shared" si="68"/>
        <v>FOR</v>
      </c>
      <c r="O769" t="s">
        <v>69</v>
      </c>
      <c r="P769" s="3" t="s">
        <v>75</v>
      </c>
      <c r="Q769">
        <v>2015</v>
      </c>
      <c r="R769" s="2">
        <v>42101</v>
      </c>
      <c r="S769" s="2">
        <v>42172</v>
      </c>
      <c r="T769" s="2">
        <v>42171</v>
      </c>
      <c r="U769" s="2">
        <v>42231</v>
      </c>
      <c r="V769" t="s">
        <v>71</v>
      </c>
      <c r="W769" t="str">
        <f>"            15054077"</f>
        <v xml:space="preserve">            15054077</v>
      </c>
      <c r="X769">
        <v>45.76</v>
      </c>
      <c r="Y769">
        <v>0</v>
      </c>
      <c r="Z769"/>
      <c r="AB769"/>
      <c r="AC769">
        <v>44</v>
      </c>
      <c r="AD769">
        <v>222</v>
      </c>
      <c r="AE769" s="1">
        <v>9768</v>
      </c>
      <c r="AF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 s="2">
        <v>42746</v>
      </c>
      <c r="AQ769" t="s">
        <v>72</v>
      </c>
      <c r="AR769" t="s">
        <v>72</v>
      </c>
      <c r="AS769">
        <v>864</v>
      </c>
      <c r="AT769" s="4">
        <v>42453</v>
      </c>
      <c r="AU769" t="s">
        <v>73</v>
      </c>
      <c r="AV769">
        <v>864</v>
      </c>
      <c r="AW769" s="4">
        <v>42453</v>
      </c>
      <c r="BD769">
        <v>0</v>
      </c>
      <c r="BN769" t="s">
        <v>74</v>
      </c>
    </row>
    <row r="770" spans="1:66" hidden="1">
      <c r="A770">
        <v>100210</v>
      </c>
      <c r="B770" s="3" t="s">
        <v>141</v>
      </c>
      <c r="C770" s="1">
        <v>43300101</v>
      </c>
      <c r="D770" t="s">
        <v>67</v>
      </c>
      <c r="H770" t="str">
        <f t="shared" si="69"/>
        <v>08082461008</v>
      </c>
      <c r="I770" t="str">
        <f t="shared" si="69"/>
        <v>08082461008</v>
      </c>
      <c r="K770" t="str">
        <f>""</f>
        <v/>
      </c>
      <c r="M770" t="s">
        <v>68</v>
      </c>
      <c r="N770" t="str">
        <f t="shared" si="68"/>
        <v>FOR</v>
      </c>
      <c r="O770" t="s">
        <v>69</v>
      </c>
      <c r="P770" s="3" t="s">
        <v>75</v>
      </c>
      <c r="Q770">
        <v>2015</v>
      </c>
      <c r="R770" s="2">
        <v>42101</v>
      </c>
      <c r="S770" s="2">
        <v>42123</v>
      </c>
      <c r="T770" s="2">
        <v>42123</v>
      </c>
      <c r="U770" s="2">
        <v>42183</v>
      </c>
      <c r="V770" t="s">
        <v>71</v>
      </c>
      <c r="W770" t="str">
        <f>"            15054079"</f>
        <v xml:space="preserve">            15054079</v>
      </c>
      <c r="X770">
        <v>45.76</v>
      </c>
      <c r="Y770">
        <v>0</v>
      </c>
      <c r="Z770"/>
      <c r="AB770"/>
      <c r="AC770">
        <v>44</v>
      </c>
      <c r="AD770">
        <v>270</v>
      </c>
      <c r="AE770" s="1">
        <v>11880</v>
      </c>
      <c r="AF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 s="2">
        <v>42746</v>
      </c>
      <c r="AQ770" t="s">
        <v>72</v>
      </c>
      <c r="AR770" t="s">
        <v>72</v>
      </c>
      <c r="AS770">
        <v>864</v>
      </c>
      <c r="AT770" s="4">
        <v>42453</v>
      </c>
      <c r="AU770" t="s">
        <v>73</v>
      </c>
      <c r="AV770">
        <v>864</v>
      </c>
      <c r="AW770" s="4">
        <v>42453</v>
      </c>
      <c r="BD770">
        <v>0</v>
      </c>
      <c r="BN770" t="s">
        <v>74</v>
      </c>
    </row>
    <row r="771" spans="1:66" hidden="1">
      <c r="A771">
        <v>100210</v>
      </c>
      <c r="B771" s="3" t="s">
        <v>141</v>
      </c>
      <c r="C771" s="1">
        <v>43300101</v>
      </c>
      <c r="D771" t="s">
        <v>67</v>
      </c>
      <c r="H771" t="str">
        <f t="shared" si="69"/>
        <v>08082461008</v>
      </c>
      <c r="I771" t="str">
        <f t="shared" si="69"/>
        <v>08082461008</v>
      </c>
      <c r="K771" t="str">
        <f>""</f>
        <v/>
      </c>
      <c r="M771" t="s">
        <v>68</v>
      </c>
      <c r="N771" t="str">
        <f t="shared" si="68"/>
        <v>FOR</v>
      </c>
      <c r="O771" t="s">
        <v>69</v>
      </c>
      <c r="P771" s="3" t="s">
        <v>75</v>
      </c>
      <c r="Q771">
        <v>2015</v>
      </c>
      <c r="R771" s="2">
        <v>42101</v>
      </c>
      <c r="S771" s="2">
        <v>42172</v>
      </c>
      <c r="T771" s="2">
        <v>42171</v>
      </c>
      <c r="U771" s="2">
        <v>42231</v>
      </c>
      <c r="V771" t="s">
        <v>71</v>
      </c>
      <c r="W771" t="str">
        <f>"            15054080"</f>
        <v xml:space="preserve">            15054080</v>
      </c>
      <c r="X771">
        <v>45.76</v>
      </c>
      <c r="Y771">
        <v>0</v>
      </c>
      <c r="Z771"/>
      <c r="AB771"/>
      <c r="AC771">
        <v>44</v>
      </c>
      <c r="AD771">
        <v>222</v>
      </c>
      <c r="AE771" s="1">
        <v>9768</v>
      </c>
      <c r="AF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 s="2">
        <v>42746</v>
      </c>
      <c r="AQ771" t="s">
        <v>72</v>
      </c>
      <c r="AR771" t="s">
        <v>72</v>
      </c>
      <c r="AS771">
        <v>864</v>
      </c>
      <c r="AT771" s="4">
        <v>42453</v>
      </c>
      <c r="AU771" t="s">
        <v>73</v>
      </c>
      <c r="AV771">
        <v>864</v>
      </c>
      <c r="AW771" s="4">
        <v>42453</v>
      </c>
      <c r="BD771">
        <v>0</v>
      </c>
      <c r="BN771" t="s">
        <v>74</v>
      </c>
    </row>
    <row r="772" spans="1:66" hidden="1">
      <c r="A772">
        <v>100210</v>
      </c>
      <c r="B772" s="3" t="s">
        <v>141</v>
      </c>
      <c r="C772" s="1">
        <v>43300101</v>
      </c>
      <c r="D772" t="s">
        <v>67</v>
      </c>
      <c r="H772" t="str">
        <f t="shared" si="69"/>
        <v>08082461008</v>
      </c>
      <c r="I772" t="str">
        <f t="shared" si="69"/>
        <v>08082461008</v>
      </c>
      <c r="K772" t="str">
        <f>""</f>
        <v/>
      </c>
      <c r="M772" t="s">
        <v>68</v>
      </c>
      <c r="N772" t="str">
        <f t="shared" si="68"/>
        <v>FOR</v>
      </c>
      <c r="O772" t="s">
        <v>69</v>
      </c>
      <c r="P772" s="3" t="s">
        <v>75</v>
      </c>
      <c r="Q772">
        <v>2015</v>
      </c>
      <c r="R772" s="2">
        <v>42101</v>
      </c>
      <c r="S772" s="2">
        <v>42139</v>
      </c>
      <c r="T772" s="2">
        <v>42137</v>
      </c>
      <c r="U772" s="2">
        <v>42197</v>
      </c>
      <c r="V772" t="s">
        <v>71</v>
      </c>
      <c r="W772" t="str">
        <f>"            15054082"</f>
        <v xml:space="preserve">            15054082</v>
      </c>
      <c r="X772">
        <v>45.76</v>
      </c>
      <c r="Y772">
        <v>0</v>
      </c>
      <c r="Z772"/>
      <c r="AB772"/>
      <c r="AC772">
        <v>44</v>
      </c>
      <c r="AD772">
        <v>256</v>
      </c>
      <c r="AE772" s="1">
        <v>11264</v>
      </c>
      <c r="AF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 s="2">
        <v>42746</v>
      </c>
      <c r="AQ772" t="s">
        <v>72</v>
      </c>
      <c r="AR772" t="s">
        <v>72</v>
      </c>
      <c r="AS772">
        <v>864</v>
      </c>
      <c r="AT772" s="4">
        <v>42453</v>
      </c>
      <c r="AU772" t="s">
        <v>73</v>
      </c>
      <c r="AV772">
        <v>864</v>
      </c>
      <c r="AW772" s="4">
        <v>42453</v>
      </c>
      <c r="BD772">
        <v>0</v>
      </c>
      <c r="BN772" t="s">
        <v>74</v>
      </c>
    </row>
    <row r="773" spans="1:66" hidden="1">
      <c r="A773">
        <v>100210</v>
      </c>
      <c r="B773" s="3" t="s">
        <v>141</v>
      </c>
      <c r="C773" s="1">
        <v>43300101</v>
      </c>
      <c r="D773" t="s">
        <v>67</v>
      </c>
      <c r="H773" t="str">
        <f t="shared" si="69"/>
        <v>08082461008</v>
      </c>
      <c r="I773" t="str">
        <f t="shared" si="69"/>
        <v>08082461008</v>
      </c>
      <c r="K773" t="str">
        <f>""</f>
        <v/>
      </c>
      <c r="M773" t="s">
        <v>68</v>
      </c>
      <c r="N773" t="str">
        <f t="shared" si="68"/>
        <v>FOR</v>
      </c>
      <c r="O773" t="s">
        <v>69</v>
      </c>
      <c r="P773" s="3" t="s">
        <v>75</v>
      </c>
      <c r="Q773">
        <v>2015</v>
      </c>
      <c r="R773" s="2">
        <v>42101</v>
      </c>
      <c r="S773" s="2">
        <v>42172</v>
      </c>
      <c r="T773" s="2">
        <v>42171</v>
      </c>
      <c r="U773" s="2">
        <v>42231</v>
      </c>
      <c r="V773" t="s">
        <v>71</v>
      </c>
      <c r="W773" t="str">
        <f>"            15054590"</f>
        <v xml:space="preserve">            15054590</v>
      </c>
      <c r="X773" s="1">
        <v>11924.28</v>
      </c>
      <c r="Y773">
        <v>0</v>
      </c>
      <c r="Z773"/>
      <c r="AB773"/>
      <c r="AC773" s="1">
        <v>9774</v>
      </c>
      <c r="AD773">
        <v>222</v>
      </c>
      <c r="AE773" s="1">
        <v>2169828</v>
      </c>
      <c r="AF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 s="2">
        <v>42746</v>
      </c>
      <c r="AQ773" t="s">
        <v>72</v>
      </c>
      <c r="AR773" t="s">
        <v>72</v>
      </c>
      <c r="AS773">
        <v>864</v>
      </c>
      <c r="AT773" s="4">
        <v>42453</v>
      </c>
      <c r="AU773" t="s">
        <v>73</v>
      </c>
      <c r="AV773">
        <v>864</v>
      </c>
      <c r="AW773" s="4">
        <v>42453</v>
      </c>
      <c r="BD773">
        <v>0</v>
      </c>
      <c r="BN773" t="s">
        <v>74</v>
      </c>
    </row>
    <row r="774" spans="1:66" hidden="1">
      <c r="A774">
        <v>100210</v>
      </c>
      <c r="B774" s="3" t="s">
        <v>141</v>
      </c>
      <c r="C774" s="1">
        <v>43300101</v>
      </c>
      <c r="D774" t="s">
        <v>67</v>
      </c>
      <c r="H774" t="str">
        <f t="shared" si="69"/>
        <v>08082461008</v>
      </c>
      <c r="I774" t="str">
        <f t="shared" si="69"/>
        <v>08082461008</v>
      </c>
      <c r="K774" t="str">
        <f>""</f>
        <v/>
      </c>
      <c r="M774" t="s">
        <v>68</v>
      </c>
      <c r="N774" t="str">
        <f t="shared" si="68"/>
        <v>FOR</v>
      </c>
      <c r="O774" t="s">
        <v>69</v>
      </c>
      <c r="P774" s="3" t="s">
        <v>75</v>
      </c>
      <c r="Q774">
        <v>2015</v>
      </c>
      <c r="R774" s="2">
        <v>42104</v>
      </c>
      <c r="S774" s="2">
        <v>42139</v>
      </c>
      <c r="T774" s="2">
        <v>42137</v>
      </c>
      <c r="U774" s="2">
        <v>42197</v>
      </c>
      <c r="V774" t="s">
        <v>71</v>
      </c>
      <c r="W774" t="str">
        <f>"            15056829"</f>
        <v xml:space="preserve">            15056829</v>
      </c>
      <c r="X774" s="1">
        <v>1508</v>
      </c>
      <c r="Y774">
        <v>0</v>
      </c>
      <c r="Z774"/>
      <c r="AB774"/>
      <c r="AC774" s="1">
        <v>1450</v>
      </c>
      <c r="AD774">
        <v>256</v>
      </c>
      <c r="AE774" s="1">
        <v>371200</v>
      </c>
      <c r="AF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 s="2">
        <v>42746</v>
      </c>
      <c r="AQ774" t="s">
        <v>72</v>
      </c>
      <c r="AR774" t="s">
        <v>72</v>
      </c>
      <c r="AS774">
        <v>864</v>
      </c>
      <c r="AT774" s="4">
        <v>42453</v>
      </c>
      <c r="AU774" t="s">
        <v>73</v>
      </c>
      <c r="AV774">
        <v>864</v>
      </c>
      <c r="AW774" s="4">
        <v>42453</v>
      </c>
      <c r="BD774">
        <v>0</v>
      </c>
      <c r="BN774" t="s">
        <v>74</v>
      </c>
    </row>
    <row r="775" spans="1:66" hidden="1">
      <c r="A775">
        <v>100210</v>
      </c>
      <c r="B775" s="3" t="s">
        <v>141</v>
      </c>
      <c r="C775" s="1">
        <v>43300101</v>
      </c>
      <c r="D775" t="s">
        <v>67</v>
      </c>
      <c r="H775" t="str">
        <f t="shared" si="69"/>
        <v>08082461008</v>
      </c>
      <c r="I775" t="str">
        <f t="shared" si="69"/>
        <v>08082461008</v>
      </c>
      <c r="K775" t="str">
        <f>""</f>
        <v/>
      </c>
      <c r="M775" t="s">
        <v>68</v>
      </c>
      <c r="N775" t="str">
        <f t="shared" si="68"/>
        <v>FOR</v>
      </c>
      <c r="O775" t="s">
        <v>69</v>
      </c>
      <c r="P775" s="3" t="s">
        <v>75</v>
      </c>
      <c r="Q775">
        <v>2015</v>
      </c>
      <c r="R775" s="2">
        <v>42104</v>
      </c>
      <c r="S775" s="2">
        <v>42139</v>
      </c>
      <c r="T775" s="2">
        <v>42137</v>
      </c>
      <c r="U775" s="2">
        <v>42197</v>
      </c>
      <c r="V775" t="s">
        <v>71</v>
      </c>
      <c r="W775" t="str">
        <f>"            15056863"</f>
        <v xml:space="preserve">            15056863</v>
      </c>
      <c r="X775" s="1">
        <v>6894.59</v>
      </c>
      <c r="Y775">
        <v>0</v>
      </c>
      <c r="Z775"/>
      <c r="AB775"/>
      <c r="AC775" s="1">
        <v>5690.15</v>
      </c>
      <c r="AD775">
        <v>256</v>
      </c>
      <c r="AE775" s="1">
        <v>1456678.4</v>
      </c>
      <c r="AF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 s="2">
        <v>42746</v>
      </c>
      <c r="AQ775" t="s">
        <v>72</v>
      </c>
      <c r="AR775" t="s">
        <v>72</v>
      </c>
      <c r="AS775">
        <v>864</v>
      </c>
      <c r="AT775" s="4">
        <v>42453</v>
      </c>
      <c r="AU775" t="s">
        <v>73</v>
      </c>
      <c r="AV775">
        <v>864</v>
      </c>
      <c r="AW775" s="4">
        <v>42453</v>
      </c>
      <c r="BD775">
        <v>0</v>
      </c>
      <c r="BN775" t="s">
        <v>74</v>
      </c>
    </row>
    <row r="776" spans="1:66" hidden="1">
      <c r="A776">
        <v>100210</v>
      </c>
      <c r="B776" s="3" t="s">
        <v>141</v>
      </c>
      <c r="C776" s="1">
        <v>43300101</v>
      </c>
      <c r="D776" t="s">
        <v>67</v>
      </c>
      <c r="H776" t="str">
        <f t="shared" si="69"/>
        <v>08082461008</v>
      </c>
      <c r="I776" t="str">
        <f t="shared" si="69"/>
        <v>08082461008</v>
      </c>
      <c r="K776" t="str">
        <f>""</f>
        <v/>
      </c>
      <c r="M776" t="s">
        <v>68</v>
      </c>
      <c r="N776" t="str">
        <f t="shared" si="68"/>
        <v>FOR</v>
      </c>
      <c r="O776" t="s">
        <v>69</v>
      </c>
      <c r="P776" s="3" t="s">
        <v>75</v>
      </c>
      <c r="Q776">
        <v>2015</v>
      </c>
      <c r="R776" s="2">
        <v>42107</v>
      </c>
      <c r="S776" s="2">
        <v>42139</v>
      </c>
      <c r="T776" s="2">
        <v>42137</v>
      </c>
      <c r="U776" s="2">
        <v>42197</v>
      </c>
      <c r="V776" t="s">
        <v>71</v>
      </c>
      <c r="W776" t="str">
        <f>"            15057251"</f>
        <v xml:space="preserve">            15057251</v>
      </c>
      <c r="X776" s="1">
        <v>3660</v>
      </c>
      <c r="Y776">
        <v>0</v>
      </c>
      <c r="Z776"/>
      <c r="AB776"/>
      <c r="AC776" s="1">
        <v>3000</v>
      </c>
      <c r="AD776">
        <v>256</v>
      </c>
      <c r="AE776" s="1">
        <v>768000</v>
      </c>
      <c r="AF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 s="2">
        <v>42746</v>
      </c>
      <c r="AQ776" t="s">
        <v>72</v>
      </c>
      <c r="AR776" t="s">
        <v>72</v>
      </c>
      <c r="AS776">
        <v>864</v>
      </c>
      <c r="AT776" s="4">
        <v>42453</v>
      </c>
      <c r="AU776" t="s">
        <v>73</v>
      </c>
      <c r="AV776">
        <v>864</v>
      </c>
      <c r="AW776" s="4">
        <v>42453</v>
      </c>
      <c r="BD776">
        <v>0</v>
      </c>
      <c r="BN776" t="s">
        <v>74</v>
      </c>
    </row>
    <row r="777" spans="1:66" hidden="1">
      <c r="A777">
        <v>100210</v>
      </c>
      <c r="B777" s="3" t="s">
        <v>141</v>
      </c>
      <c r="C777" s="1">
        <v>43300101</v>
      </c>
      <c r="D777" t="s">
        <v>67</v>
      </c>
      <c r="H777" t="str">
        <f t="shared" ref="H777:I796" si="70">"08082461008"</f>
        <v>08082461008</v>
      </c>
      <c r="I777" t="str">
        <f t="shared" si="70"/>
        <v>08082461008</v>
      </c>
      <c r="K777" t="str">
        <f>""</f>
        <v/>
      </c>
      <c r="M777" t="s">
        <v>68</v>
      </c>
      <c r="N777" t="str">
        <f t="shared" si="68"/>
        <v>FOR</v>
      </c>
      <c r="O777" t="s">
        <v>69</v>
      </c>
      <c r="P777" s="3" t="s">
        <v>75</v>
      </c>
      <c r="Q777">
        <v>2015</v>
      </c>
      <c r="R777" s="2">
        <v>42109</v>
      </c>
      <c r="S777" s="2">
        <v>42123</v>
      </c>
      <c r="T777" s="2">
        <v>42123</v>
      </c>
      <c r="U777" s="2">
        <v>42183</v>
      </c>
      <c r="V777" t="s">
        <v>71</v>
      </c>
      <c r="W777" t="str">
        <f>"            15058573"</f>
        <v xml:space="preserve">            15058573</v>
      </c>
      <c r="X777" s="1">
        <v>3164.93</v>
      </c>
      <c r="Y777">
        <v>0</v>
      </c>
      <c r="Z777"/>
      <c r="AB777"/>
      <c r="AC777" s="1">
        <v>2594.1999999999998</v>
      </c>
      <c r="AD777">
        <v>270</v>
      </c>
      <c r="AE777" s="1">
        <v>700434</v>
      </c>
      <c r="AF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 s="2">
        <v>42746</v>
      </c>
      <c r="AQ777" t="s">
        <v>72</v>
      </c>
      <c r="AR777" t="s">
        <v>72</v>
      </c>
      <c r="AS777">
        <v>864</v>
      </c>
      <c r="AT777" s="4">
        <v>42453</v>
      </c>
      <c r="AU777" t="s">
        <v>73</v>
      </c>
      <c r="AV777">
        <v>864</v>
      </c>
      <c r="AW777" s="4">
        <v>42453</v>
      </c>
      <c r="BD777">
        <v>0</v>
      </c>
      <c r="BN777" t="s">
        <v>74</v>
      </c>
    </row>
    <row r="778" spans="1:66" hidden="1">
      <c r="A778">
        <v>100210</v>
      </c>
      <c r="B778" s="3" t="s">
        <v>141</v>
      </c>
      <c r="C778" s="1">
        <v>43300101</v>
      </c>
      <c r="D778" t="s">
        <v>67</v>
      </c>
      <c r="H778" t="str">
        <f t="shared" si="70"/>
        <v>08082461008</v>
      </c>
      <c r="I778" t="str">
        <f t="shared" si="70"/>
        <v>08082461008</v>
      </c>
      <c r="K778" t="str">
        <f>""</f>
        <v/>
      </c>
      <c r="M778" t="s">
        <v>68</v>
      </c>
      <c r="N778" t="str">
        <f t="shared" si="68"/>
        <v>FOR</v>
      </c>
      <c r="O778" t="s">
        <v>69</v>
      </c>
      <c r="P778" s="3" t="s">
        <v>75</v>
      </c>
      <c r="Q778">
        <v>2015</v>
      </c>
      <c r="R778" s="2">
        <v>42114</v>
      </c>
      <c r="S778" s="2">
        <v>42139</v>
      </c>
      <c r="T778" s="2">
        <v>42137</v>
      </c>
      <c r="U778" s="2">
        <v>42197</v>
      </c>
      <c r="V778" t="s">
        <v>71</v>
      </c>
      <c r="W778" t="str">
        <f>"            15061021"</f>
        <v xml:space="preserve">            15061021</v>
      </c>
      <c r="X778">
        <v>644.79999999999995</v>
      </c>
      <c r="Y778">
        <v>0</v>
      </c>
      <c r="Z778"/>
      <c r="AB778"/>
      <c r="AC778">
        <v>620</v>
      </c>
      <c r="AD778">
        <v>256</v>
      </c>
      <c r="AE778" s="1">
        <v>158720</v>
      </c>
      <c r="AF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 s="2">
        <v>42746</v>
      </c>
      <c r="AQ778" t="s">
        <v>72</v>
      </c>
      <c r="AR778" t="s">
        <v>72</v>
      </c>
      <c r="AS778">
        <v>864</v>
      </c>
      <c r="AT778" s="4">
        <v>42453</v>
      </c>
      <c r="AU778" t="s">
        <v>73</v>
      </c>
      <c r="AV778">
        <v>864</v>
      </c>
      <c r="AW778" s="4">
        <v>42453</v>
      </c>
      <c r="BD778">
        <v>0</v>
      </c>
      <c r="BN778" t="s">
        <v>74</v>
      </c>
    </row>
    <row r="779" spans="1:66" hidden="1">
      <c r="A779">
        <v>100210</v>
      </c>
      <c r="B779" s="3" t="s">
        <v>141</v>
      </c>
      <c r="C779" s="1">
        <v>43300101</v>
      </c>
      <c r="D779" t="s">
        <v>67</v>
      </c>
      <c r="H779" t="str">
        <f t="shared" si="70"/>
        <v>08082461008</v>
      </c>
      <c r="I779" t="str">
        <f t="shared" si="70"/>
        <v>08082461008</v>
      </c>
      <c r="K779" t="str">
        <f>""</f>
        <v/>
      </c>
      <c r="M779" t="s">
        <v>68</v>
      </c>
      <c r="N779" t="str">
        <f t="shared" si="68"/>
        <v>FOR</v>
      </c>
      <c r="O779" t="s">
        <v>69</v>
      </c>
      <c r="P779" s="3" t="s">
        <v>75</v>
      </c>
      <c r="Q779">
        <v>2015</v>
      </c>
      <c r="R779" s="2">
        <v>42114</v>
      </c>
      <c r="S779" s="2">
        <v>42123</v>
      </c>
      <c r="T779" s="2">
        <v>42123</v>
      </c>
      <c r="U779" s="2">
        <v>42183</v>
      </c>
      <c r="V779" t="s">
        <v>71</v>
      </c>
      <c r="W779" t="str">
        <f>"            15061390"</f>
        <v xml:space="preserve">            15061390</v>
      </c>
      <c r="X779" s="1">
        <v>1299.1500000000001</v>
      </c>
      <c r="Y779">
        <v>0</v>
      </c>
      <c r="Z779"/>
      <c r="AB779"/>
      <c r="AC779" s="1">
        <v>1064.8800000000001</v>
      </c>
      <c r="AD779">
        <v>270</v>
      </c>
      <c r="AE779" s="1">
        <v>287517.59999999998</v>
      </c>
      <c r="AF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 s="2">
        <v>42746</v>
      </c>
      <c r="AQ779" t="s">
        <v>72</v>
      </c>
      <c r="AR779" t="s">
        <v>72</v>
      </c>
      <c r="AS779">
        <v>864</v>
      </c>
      <c r="AT779" s="4">
        <v>42453</v>
      </c>
      <c r="AU779" t="s">
        <v>73</v>
      </c>
      <c r="AV779">
        <v>864</v>
      </c>
      <c r="AW779" s="4">
        <v>42453</v>
      </c>
      <c r="BD779">
        <v>0</v>
      </c>
      <c r="BN779" t="s">
        <v>74</v>
      </c>
    </row>
    <row r="780" spans="1:66" hidden="1">
      <c r="A780">
        <v>100210</v>
      </c>
      <c r="B780" s="3" t="s">
        <v>141</v>
      </c>
      <c r="C780" s="1">
        <v>43300101</v>
      </c>
      <c r="D780" t="s">
        <v>67</v>
      </c>
      <c r="H780" t="str">
        <f t="shared" si="70"/>
        <v>08082461008</v>
      </c>
      <c r="I780" t="str">
        <f t="shared" si="70"/>
        <v>08082461008</v>
      </c>
      <c r="K780" t="str">
        <f>""</f>
        <v/>
      </c>
      <c r="M780" t="s">
        <v>68</v>
      </c>
      <c r="N780" t="str">
        <f t="shared" si="68"/>
        <v>FOR</v>
      </c>
      <c r="O780" t="s">
        <v>69</v>
      </c>
      <c r="P780" s="3" t="s">
        <v>75</v>
      </c>
      <c r="Q780">
        <v>2015</v>
      </c>
      <c r="R780" s="2">
        <v>42115</v>
      </c>
      <c r="S780" s="2">
        <v>42123</v>
      </c>
      <c r="T780" s="2">
        <v>42123</v>
      </c>
      <c r="U780" s="2">
        <v>42183</v>
      </c>
      <c r="V780" t="s">
        <v>71</v>
      </c>
      <c r="W780" t="str">
        <f>"            15061884"</f>
        <v xml:space="preserve">            15061884</v>
      </c>
      <c r="X780">
        <v>114.4</v>
      </c>
      <c r="Y780">
        <v>0</v>
      </c>
      <c r="Z780"/>
      <c r="AB780"/>
      <c r="AC780">
        <v>110</v>
      </c>
      <c r="AD780">
        <v>270</v>
      </c>
      <c r="AE780" s="1">
        <v>29700</v>
      </c>
      <c r="AF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 s="2">
        <v>42746</v>
      </c>
      <c r="AQ780" t="s">
        <v>72</v>
      </c>
      <c r="AR780" t="s">
        <v>72</v>
      </c>
      <c r="AS780">
        <v>864</v>
      </c>
      <c r="AT780" s="4">
        <v>42453</v>
      </c>
      <c r="AU780" t="s">
        <v>73</v>
      </c>
      <c r="AV780">
        <v>864</v>
      </c>
      <c r="AW780" s="4">
        <v>42453</v>
      </c>
      <c r="BD780">
        <v>0</v>
      </c>
      <c r="BN780" t="s">
        <v>74</v>
      </c>
    </row>
    <row r="781" spans="1:66" hidden="1">
      <c r="A781">
        <v>100210</v>
      </c>
      <c r="B781" s="3" t="s">
        <v>141</v>
      </c>
      <c r="C781" s="1">
        <v>43300101</v>
      </c>
      <c r="D781" t="s">
        <v>67</v>
      </c>
      <c r="H781" t="str">
        <f t="shared" si="70"/>
        <v>08082461008</v>
      </c>
      <c r="I781" t="str">
        <f t="shared" si="70"/>
        <v>08082461008</v>
      </c>
      <c r="K781" t="str">
        <f>""</f>
        <v/>
      </c>
      <c r="M781" t="s">
        <v>68</v>
      </c>
      <c r="N781" t="str">
        <f t="shared" si="68"/>
        <v>FOR</v>
      </c>
      <c r="O781" t="s">
        <v>69</v>
      </c>
      <c r="P781" s="3" t="s">
        <v>75</v>
      </c>
      <c r="Q781">
        <v>2015</v>
      </c>
      <c r="R781" s="2">
        <v>42115</v>
      </c>
      <c r="S781" s="2">
        <v>42142</v>
      </c>
      <c r="T781" s="2">
        <v>42137</v>
      </c>
      <c r="U781" s="2">
        <v>42197</v>
      </c>
      <c r="V781" t="s">
        <v>71</v>
      </c>
      <c r="W781" t="str">
        <f>"            15061885"</f>
        <v xml:space="preserve">            15061885</v>
      </c>
      <c r="X781">
        <v>114.4</v>
      </c>
      <c r="Y781">
        <v>0</v>
      </c>
      <c r="Z781"/>
      <c r="AB781"/>
      <c r="AC781">
        <v>110</v>
      </c>
      <c r="AD781">
        <v>256</v>
      </c>
      <c r="AE781" s="1">
        <v>28160</v>
      </c>
      <c r="AF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 s="2">
        <v>42746</v>
      </c>
      <c r="AQ781" t="s">
        <v>72</v>
      </c>
      <c r="AR781" t="s">
        <v>72</v>
      </c>
      <c r="AS781">
        <v>864</v>
      </c>
      <c r="AT781" s="4">
        <v>42453</v>
      </c>
      <c r="AU781" t="s">
        <v>73</v>
      </c>
      <c r="AV781">
        <v>864</v>
      </c>
      <c r="AW781" s="4">
        <v>42453</v>
      </c>
      <c r="BD781">
        <v>0</v>
      </c>
      <c r="BN781" t="s">
        <v>74</v>
      </c>
    </row>
    <row r="782" spans="1:66" hidden="1">
      <c r="A782">
        <v>100210</v>
      </c>
      <c r="B782" s="3" t="s">
        <v>141</v>
      </c>
      <c r="C782" s="1">
        <v>43300101</v>
      </c>
      <c r="D782" t="s">
        <v>67</v>
      </c>
      <c r="H782" t="str">
        <f t="shared" si="70"/>
        <v>08082461008</v>
      </c>
      <c r="I782" t="str">
        <f t="shared" si="70"/>
        <v>08082461008</v>
      </c>
      <c r="K782" t="str">
        <f>""</f>
        <v/>
      </c>
      <c r="M782" t="s">
        <v>68</v>
      </c>
      <c r="N782" t="str">
        <f t="shared" si="68"/>
        <v>FOR</v>
      </c>
      <c r="O782" t="s">
        <v>69</v>
      </c>
      <c r="P782" s="3" t="s">
        <v>75</v>
      </c>
      <c r="Q782">
        <v>2015</v>
      </c>
      <c r="R782" s="2">
        <v>42115</v>
      </c>
      <c r="S782" s="2">
        <v>42123</v>
      </c>
      <c r="T782" s="2">
        <v>42123</v>
      </c>
      <c r="U782" s="2">
        <v>42183</v>
      </c>
      <c r="V782" t="s">
        <v>71</v>
      </c>
      <c r="W782" t="str">
        <f>"            15061886"</f>
        <v xml:space="preserve">            15061886</v>
      </c>
      <c r="X782">
        <v>451.88</v>
      </c>
      <c r="Y782">
        <v>0</v>
      </c>
      <c r="Z782"/>
      <c r="AB782"/>
      <c r="AC782">
        <v>434.5</v>
      </c>
      <c r="AD782">
        <v>270</v>
      </c>
      <c r="AE782" s="1">
        <v>117315</v>
      </c>
      <c r="AF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 s="2">
        <v>42746</v>
      </c>
      <c r="AQ782" t="s">
        <v>72</v>
      </c>
      <c r="AR782" t="s">
        <v>72</v>
      </c>
      <c r="AS782">
        <v>864</v>
      </c>
      <c r="AT782" s="4">
        <v>42453</v>
      </c>
      <c r="AU782" t="s">
        <v>73</v>
      </c>
      <c r="AV782">
        <v>864</v>
      </c>
      <c r="AW782" s="4">
        <v>42453</v>
      </c>
      <c r="BD782">
        <v>0</v>
      </c>
      <c r="BN782" t="s">
        <v>74</v>
      </c>
    </row>
    <row r="783" spans="1:66" hidden="1">
      <c r="A783">
        <v>100210</v>
      </c>
      <c r="B783" s="3" t="s">
        <v>141</v>
      </c>
      <c r="C783" s="1">
        <v>43300101</v>
      </c>
      <c r="D783" t="s">
        <v>67</v>
      </c>
      <c r="H783" t="str">
        <f t="shared" si="70"/>
        <v>08082461008</v>
      </c>
      <c r="I783" t="str">
        <f t="shared" si="70"/>
        <v>08082461008</v>
      </c>
      <c r="K783" t="str">
        <f>""</f>
        <v/>
      </c>
      <c r="M783" t="s">
        <v>68</v>
      </c>
      <c r="N783" t="str">
        <f t="shared" si="68"/>
        <v>FOR</v>
      </c>
      <c r="O783" t="s">
        <v>69</v>
      </c>
      <c r="P783" s="3" t="s">
        <v>75</v>
      </c>
      <c r="Q783">
        <v>2015</v>
      </c>
      <c r="R783" s="2">
        <v>42115</v>
      </c>
      <c r="S783" s="2">
        <v>42123</v>
      </c>
      <c r="T783" s="2">
        <v>42123</v>
      </c>
      <c r="U783" s="2">
        <v>42183</v>
      </c>
      <c r="V783" t="s">
        <v>71</v>
      </c>
      <c r="W783" t="str">
        <f>"            15061888"</f>
        <v xml:space="preserve">            15061888</v>
      </c>
      <c r="X783">
        <v>451.88</v>
      </c>
      <c r="Y783">
        <v>0</v>
      </c>
      <c r="Z783"/>
      <c r="AB783"/>
      <c r="AC783">
        <v>434.5</v>
      </c>
      <c r="AD783">
        <v>270</v>
      </c>
      <c r="AE783" s="1">
        <v>117315</v>
      </c>
      <c r="AF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 s="2">
        <v>42746</v>
      </c>
      <c r="AQ783" t="s">
        <v>72</v>
      </c>
      <c r="AR783" t="s">
        <v>72</v>
      </c>
      <c r="AS783">
        <v>864</v>
      </c>
      <c r="AT783" s="4">
        <v>42453</v>
      </c>
      <c r="AU783" t="s">
        <v>73</v>
      </c>
      <c r="AV783">
        <v>864</v>
      </c>
      <c r="AW783" s="4">
        <v>42453</v>
      </c>
      <c r="BD783">
        <v>0</v>
      </c>
      <c r="BN783" t="s">
        <v>74</v>
      </c>
    </row>
    <row r="784" spans="1:66" hidden="1">
      <c r="A784">
        <v>100210</v>
      </c>
      <c r="B784" s="3" t="s">
        <v>141</v>
      </c>
      <c r="C784" s="1">
        <v>43300101</v>
      </c>
      <c r="D784" t="s">
        <v>67</v>
      </c>
      <c r="H784" t="str">
        <f t="shared" si="70"/>
        <v>08082461008</v>
      </c>
      <c r="I784" t="str">
        <f t="shared" si="70"/>
        <v>08082461008</v>
      </c>
      <c r="K784" t="str">
        <f>""</f>
        <v/>
      </c>
      <c r="M784" t="s">
        <v>68</v>
      </c>
      <c r="N784" t="str">
        <f t="shared" si="68"/>
        <v>FOR</v>
      </c>
      <c r="O784" t="s">
        <v>69</v>
      </c>
      <c r="P784" s="3" t="s">
        <v>75</v>
      </c>
      <c r="Q784">
        <v>2015</v>
      </c>
      <c r="R784" s="2">
        <v>42115</v>
      </c>
      <c r="S784" s="2">
        <v>42139</v>
      </c>
      <c r="T784" s="2">
        <v>42137</v>
      </c>
      <c r="U784" s="2">
        <v>42197</v>
      </c>
      <c r="V784" t="s">
        <v>71</v>
      </c>
      <c r="W784" t="str">
        <f>"            15061889"</f>
        <v xml:space="preserve">            15061889</v>
      </c>
      <c r="X784">
        <v>451.88</v>
      </c>
      <c r="Y784">
        <v>0</v>
      </c>
      <c r="Z784"/>
      <c r="AB784"/>
      <c r="AC784">
        <v>434.5</v>
      </c>
      <c r="AD784">
        <v>256</v>
      </c>
      <c r="AE784" s="1">
        <v>111232</v>
      </c>
      <c r="AF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 s="2">
        <v>42746</v>
      </c>
      <c r="AQ784" t="s">
        <v>72</v>
      </c>
      <c r="AR784" t="s">
        <v>72</v>
      </c>
      <c r="AS784">
        <v>864</v>
      </c>
      <c r="AT784" s="4">
        <v>42453</v>
      </c>
      <c r="AU784" t="s">
        <v>73</v>
      </c>
      <c r="AV784">
        <v>864</v>
      </c>
      <c r="AW784" s="4">
        <v>42453</v>
      </c>
      <c r="BD784">
        <v>0</v>
      </c>
      <c r="BN784" t="s">
        <v>74</v>
      </c>
    </row>
    <row r="785" spans="1:66" hidden="1">
      <c r="A785">
        <v>100210</v>
      </c>
      <c r="B785" s="3" t="s">
        <v>141</v>
      </c>
      <c r="C785" s="1">
        <v>43300101</v>
      </c>
      <c r="D785" t="s">
        <v>67</v>
      </c>
      <c r="H785" t="str">
        <f t="shared" si="70"/>
        <v>08082461008</v>
      </c>
      <c r="I785" t="str">
        <f t="shared" si="70"/>
        <v>08082461008</v>
      </c>
      <c r="K785" t="str">
        <f>""</f>
        <v/>
      </c>
      <c r="M785" t="s">
        <v>68</v>
      </c>
      <c r="N785" t="str">
        <f t="shared" si="68"/>
        <v>FOR</v>
      </c>
      <c r="O785" t="s">
        <v>69</v>
      </c>
      <c r="P785" s="3" t="s">
        <v>75</v>
      </c>
      <c r="Q785">
        <v>2015</v>
      </c>
      <c r="R785" s="2">
        <v>42115</v>
      </c>
      <c r="S785" s="2">
        <v>42123</v>
      </c>
      <c r="T785" s="2">
        <v>42123</v>
      </c>
      <c r="U785" s="2">
        <v>42183</v>
      </c>
      <c r="V785" t="s">
        <v>71</v>
      </c>
      <c r="W785" t="str">
        <f>"            15061890"</f>
        <v xml:space="preserve">            15061890</v>
      </c>
      <c r="X785">
        <v>451.88</v>
      </c>
      <c r="Y785">
        <v>0</v>
      </c>
      <c r="Z785"/>
      <c r="AB785"/>
      <c r="AC785">
        <v>434.5</v>
      </c>
      <c r="AD785">
        <v>270</v>
      </c>
      <c r="AE785" s="1">
        <v>117315</v>
      </c>
      <c r="AF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 s="2">
        <v>42746</v>
      </c>
      <c r="AQ785" t="s">
        <v>72</v>
      </c>
      <c r="AR785" t="s">
        <v>72</v>
      </c>
      <c r="AS785">
        <v>864</v>
      </c>
      <c r="AT785" s="4">
        <v>42453</v>
      </c>
      <c r="AU785" t="s">
        <v>73</v>
      </c>
      <c r="AV785">
        <v>864</v>
      </c>
      <c r="AW785" s="4">
        <v>42453</v>
      </c>
      <c r="BD785">
        <v>0</v>
      </c>
      <c r="BN785" t="s">
        <v>74</v>
      </c>
    </row>
    <row r="786" spans="1:66" hidden="1">
      <c r="A786">
        <v>100210</v>
      </c>
      <c r="B786" s="3" t="s">
        <v>141</v>
      </c>
      <c r="C786" s="1">
        <v>43300101</v>
      </c>
      <c r="D786" t="s">
        <v>67</v>
      </c>
      <c r="H786" t="str">
        <f t="shared" si="70"/>
        <v>08082461008</v>
      </c>
      <c r="I786" t="str">
        <f t="shared" si="70"/>
        <v>08082461008</v>
      </c>
      <c r="K786" t="str">
        <f>""</f>
        <v/>
      </c>
      <c r="M786" t="s">
        <v>68</v>
      </c>
      <c r="N786" t="str">
        <f t="shared" si="68"/>
        <v>FOR</v>
      </c>
      <c r="O786" t="s">
        <v>69</v>
      </c>
      <c r="P786" s="3" t="s">
        <v>75</v>
      </c>
      <c r="Q786">
        <v>2015</v>
      </c>
      <c r="R786" s="2">
        <v>42115</v>
      </c>
      <c r="S786" s="2">
        <v>42139</v>
      </c>
      <c r="T786" s="2">
        <v>42137</v>
      </c>
      <c r="U786" s="2">
        <v>42197</v>
      </c>
      <c r="V786" t="s">
        <v>71</v>
      </c>
      <c r="W786" t="str">
        <f>"            15061892"</f>
        <v xml:space="preserve">            15061892</v>
      </c>
      <c r="X786">
        <v>451.88</v>
      </c>
      <c r="Y786">
        <v>0</v>
      </c>
      <c r="Z786"/>
      <c r="AB786"/>
      <c r="AC786">
        <v>434.5</v>
      </c>
      <c r="AD786">
        <v>256</v>
      </c>
      <c r="AE786" s="1">
        <v>111232</v>
      </c>
      <c r="AF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 s="2">
        <v>42746</v>
      </c>
      <c r="AQ786" t="s">
        <v>72</v>
      </c>
      <c r="AR786" t="s">
        <v>72</v>
      </c>
      <c r="AS786">
        <v>864</v>
      </c>
      <c r="AT786" s="4">
        <v>42453</v>
      </c>
      <c r="AU786" t="s">
        <v>73</v>
      </c>
      <c r="AV786">
        <v>864</v>
      </c>
      <c r="AW786" s="4">
        <v>42453</v>
      </c>
      <c r="BD786">
        <v>0</v>
      </c>
      <c r="BN786" t="s">
        <v>74</v>
      </c>
    </row>
    <row r="787" spans="1:66" hidden="1">
      <c r="A787">
        <v>100210</v>
      </c>
      <c r="B787" s="3" t="s">
        <v>141</v>
      </c>
      <c r="C787" s="1">
        <v>43300101</v>
      </c>
      <c r="D787" t="s">
        <v>67</v>
      </c>
      <c r="H787" t="str">
        <f t="shared" si="70"/>
        <v>08082461008</v>
      </c>
      <c r="I787" t="str">
        <f t="shared" si="70"/>
        <v>08082461008</v>
      </c>
      <c r="K787" t="str">
        <f>""</f>
        <v/>
      </c>
      <c r="M787" t="s">
        <v>68</v>
      </c>
      <c r="N787" t="str">
        <f t="shared" si="68"/>
        <v>FOR</v>
      </c>
      <c r="O787" t="s">
        <v>69</v>
      </c>
      <c r="P787" s="3" t="s">
        <v>75</v>
      </c>
      <c r="Q787">
        <v>2015</v>
      </c>
      <c r="R787" s="2">
        <v>42115</v>
      </c>
      <c r="S787" s="2">
        <v>42123</v>
      </c>
      <c r="T787" s="2">
        <v>42123</v>
      </c>
      <c r="U787" s="2">
        <v>42183</v>
      </c>
      <c r="V787" t="s">
        <v>71</v>
      </c>
      <c r="W787" t="str">
        <f>"            15061893"</f>
        <v xml:space="preserve">            15061893</v>
      </c>
      <c r="X787">
        <v>451.88</v>
      </c>
      <c r="Y787">
        <v>0</v>
      </c>
      <c r="Z787"/>
      <c r="AB787"/>
      <c r="AC787">
        <v>434.5</v>
      </c>
      <c r="AD787">
        <v>270</v>
      </c>
      <c r="AE787" s="1">
        <v>117315</v>
      </c>
      <c r="AF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 s="2">
        <v>42746</v>
      </c>
      <c r="AQ787" t="s">
        <v>72</v>
      </c>
      <c r="AR787" t="s">
        <v>72</v>
      </c>
      <c r="AS787">
        <v>864</v>
      </c>
      <c r="AT787" s="4">
        <v>42453</v>
      </c>
      <c r="AU787" t="s">
        <v>73</v>
      </c>
      <c r="AV787">
        <v>864</v>
      </c>
      <c r="AW787" s="4">
        <v>42453</v>
      </c>
      <c r="BD787">
        <v>0</v>
      </c>
      <c r="BN787" t="s">
        <v>74</v>
      </c>
    </row>
    <row r="788" spans="1:66" hidden="1">
      <c r="A788">
        <v>100210</v>
      </c>
      <c r="B788" s="3" t="s">
        <v>141</v>
      </c>
      <c r="C788" s="1">
        <v>43300101</v>
      </c>
      <c r="D788" t="s">
        <v>67</v>
      </c>
      <c r="H788" t="str">
        <f t="shared" si="70"/>
        <v>08082461008</v>
      </c>
      <c r="I788" t="str">
        <f t="shared" si="70"/>
        <v>08082461008</v>
      </c>
      <c r="K788" t="str">
        <f>""</f>
        <v/>
      </c>
      <c r="M788" t="s">
        <v>68</v>
      </c>
      <c r="N788" t="str">
        <f t="shared" si="68"/>
        <v>FOR</v>
      </c>
      <c r="O788" t="s">
        <v>69</v>
      </c>
      <c r="P788" s="3" t="s">
        <v>75</v>
      </c>
      <c r="Q788">
        <v>2015</v>
      </c>
      <c r="R788" s="2">
        <v>42115</v>
      </c>
      <c r="S788" s="2">
        <v>42123</v>
      </c>
      <c r="T788" s="2">
        <v>42123</v>
      </c>
      <c r="U788" s="2">
        <v>42183</v>
      </c>
      <c r="V788" t="s">
        <v>71</v>
      </c>
      <c r="W788" t="str">
        <f>"            15061894"</f>
        <v xml:space="preserve">            15061894</v>
      </c>
      <c r="X788">
        <v>45.76</v>
      </c>
      <c r="Y788">
        <v>0</v>
      </c>
      <c r="Z788"/>
      <c r="AB788"/>
      <c r="AC788">
        <v>44</v>
      </c>
      <c r="AD788">
        <v>270</v>
      </c>
      <c r="AE788" s="1">
        <v>11880</v>
      </c>
      <c r="AF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 s="2">
        <v>42746</v>
      </c>
      <c r="AQ788" t="s">
        <v>72</v>
      </c>
      <c r="AR788" t="s">
        <v>72</v>
      </c>
      <c r="AS788">
        <v>864</v>
      </c>
      <c r="AT788" s="4">
        <v>42453</v>
      </c>
      <c r="AU788" t="s">
        <v>73</v>
      </c>
      <c r="AV788">
        <v>864</v>
      </c>
      <c r="AW788" s="4">
        <v>42453</v>
      </c>
      <c r="BD788">
        <v>0</v>
      </c>
      <c r="BN788" t="s">
        <v>74</v>
      </c>
    </row>
    <row r="789" spans="1:66" hidden="1">
      <c r="A789">
        <v>100210</v>
      </c>
      <c r="B789" s="3" t="s">
        <v>141</v>
      </c>
      <c r="C789" s="1">
        <v>43300101</v>
      </c>
      <c r="D789" t="s">
        <v>67</v>
      </c>
      <c r="H789" t="str">
        <f t="shared" si="70"/>
        <v>08082461008</v>
      </c>
      <c r="I789" t="str">
        <f t="shared" si="70"/>
        <v>08082461008</v>
      </c>
      <c r="K789" t="str">
        <f>""</f>
        <v/>
      </c>
      <c r="M789" t="s">
        <v>68</v>
      </c>
      <c r="N789" t="str">
        <f t="shared" si="68"/>
        <v>FOR</v>
      </c>
      <c r="O789" t="s">
        <v>69</v>
      </c>
      <c r="P789" s="3" t="s">
        <v>75</v>
      </c>
      <c r="Q789">
        <v>2015</v>
      </c>
      <c r="R789" s="2">
        <v>42115</v>
      </c>
      <c r="S789" s="2">
        <v>42123</v>
      </c>
      <c r="T789" s="2">
        <v>42123</v>
      </c>
      <c r="U789" s="2">
        <v>42183</v>
      </c>
      <c r="V789" t="s">
        <v>71</v>
      </c>
      <c r="W789" t="str">
        <f>"            15061896"</f>
        <v xml:space="preserve">            15061896</v>
      </c>
      <c r="X789">
        <v>45.76</v>
      </c>
      <c r="Y789">
        <v>0</v>
      </c>
      <c r="Z789"/>
      <c r="AB789"/>
      <c r="AC789">
        <v>44</v>
      </c>
      <c r="AD789">
        <v>270</v>
      </c>
      <c r="AE789" s="1">
        <v>11880</v>
      </c>
      <c r="AF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 s="2">
        <v>42746</v>
      </c>
      <c r="AQ789" t="s">
        <v>72</v>
      </c>
      <c r="AR789" t="s">
        <v>72</v>
      </c>
      <c r="AS789">
        <v>864</v>
      </c>
      <c r="AT789" s="4">
        <v>42453</v>
      </c>
      <c r="AU789" t="s">
        <v>73</v>
      </c>
      <c r="AV789">
        <v>864</v>
      </c>
      <c r="AW789" s="4">
        <v>42453</v>
      </c>
      <c r="BD789">
        <v>0</v>
      </c>
      <c r="BN789" t="s">
        <v>74</v>
      </c>
    </row>
    <row r="790" spans="1:66" hidden="1">
      <c r="A790">
        <v>100210</v>
      </c>
      <c r="B790" s="3" t="s">
        <v>141</v>
      </c>
      <c r="C790" s="1">
        <v>43300101</v>
      </c>
      <c r="D790" t="s">
        <v>67</v>
      </c>
      <c r="H790" t="str">
        <f t="shared" si="70"/>
        <v>08082461008</v>
      </c>
      <c r="I790" t="str">
        <f t="shared" si="70"/>
        <v>08082461008</v>
      </c>
      <c r="K790" t="str">
        <f>""</f>
        <v/>
      </c>
      <c r="M790" t="s">
        <v>68</v>
      </c>
      <c r="N790" t="str">
        <f t="shared" si="68"/>
        <v>FOR</v>
      </c>
      <c r="O790" t="s">
        <v>69</v>
      </c>
      <c r="P790" s="3" t="s">
        <v>75</v>
      </c>
      <c r="Q790">
        <v>2015</v>
      </c>
      <c r="R790" s="2">
        <v>42115</v>
      </c>
      <c r="S790" s="2">
        <v>42123</v>
      </c>
      <c r="T790" s="2">
        <v>42123</v>
      </c>
      <c r="U790" s="2">
        <v>42183</v>
      </c>
      <c r="V790" t="s">
        <v>71</v>
      </c>
      <c r="W790" t="str">
        <f>"            15061905"</f>
        <v xml:space="preserve">            15061905</v>
      </c>
      <c r="X790">
        <v>45.76</v>
      </c>
      <c r="Y790">
        <v>0</v>
      </c>
      <c r="Z790"/>
      <c r="AB790"/>
      <c r="AC790">
        <v>44</v>
      </c>
      <c r="AD790">
        <v>270</v>
      </c>
      <c r="AE790" s="1">
        <v>11880</v>
      </c>
      <c r="AF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 s="2">
        <v>42746</v>
      </c>
      <c r="AQ790" t="s">
        <v>72</v>
      </c>
      <c r="AR790" t="s">
        <v>72</v>
      </c>
      <c r="AS790">
        <v>864</v>
      </c>
      <c r="AT790" s="4">
        <v>42453</v>
      </c>
      <c r="AU790" t="s">
        <v>73</v>
      </c>
      <c r="AV790">
        <v>864</v>
      </c>
      <c r="AW790" s="4">
        <v>42453</v>
      </c>
      <c r="BD790">
        <v>0</v>
      </c>
      <c r="BN790" t="s">
        <v>74</v>
      </c>
    </row>
    <row r="791" spans="1:66" hidden="1">
      <c r="A791">
        <v>100210</v>
      </c>
      <c r="B791" s="3" t="s">
        <v>141</v>
      </c>
      <c r="C791" s="1">
        <v>43300101</v>
      </c>
      <c r="D791" t="s">
        <v>67</v>
      </c>
      <c r="H791" t="str">
        <f t="shared" si="70"/>
        <v>08082461008</v>
      </c>
      <c r="I791" t="str">
        <f t="shared" si="70"/>
        <v>08082461008</v>
      </c>
      <c r="K791" t="str">
        <f>""</f>
        <v/>
      </c>
      <c r="M791" t="s">
        <v>68</v>
      </c>
      <c r="N791" t="str">
        <f t="shared" si="68"/>
        <v>FOR</v>
      </c>
      <c r="O791" t="s">
        <v>69</v>
      </c>
      <c r="P791" s="3" t="s">
        <v>75</v>
      </c>
      <c r="Q791">
        <v>2015</v>
      </c>
      <c r="R791" s="2">
        <v>42115</v>
      </c>
      <c r="S791" s="2">
        <v>42123</v>
      </c>
      <c r="T791" s="2">
        <v>42123</v>
      </c>
      <c r="U791" s="2">
        <v>42183</v>
      </c>
      <c r="V791" t="s">
        <v>71</v>
      </c>
      <c r="W791" t="str">
        <f>"            15061906"</f>
        <v xml:space="preserve">            15061906</v>
      </c>
      <c r="X791">
        <v>45.76</v>
      </c>
      <c r="Y791">
        <v>0</v>
      </c>
      <c r="Z791"/>
      <c r="AB791"/>
      <c r="AC791">
        <v>44</v>
      </c>
      <c r="AD791">
        <v>270</v>
      </c>
      <c r="AE791" s="1">
        <v>11880</v>
      </c>
      <c r="AF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 s="2">
        <v>42746</v>
      </c>
      <c r="AQ791" t="s">
        <v>72</v>
      </c>
      <c r="AR791" t="s">
        <v>72</v>
      </c>
      <c r="AS791">
        <v>864</v>
      </c>
      <c r="AT791" s="4">
        <v>42453</v>
      </c>
      <c r="AU791" t="s">
        <v>73</v>
      </c>
      <c r="AV791">
        <v>864</v>
      </c>
      <c r="AW791" s="4">
        <v>42453</v>
      </c>
      <c r="BD791">
        <v>0</v>
      </c>
      <c r="BN791" t="s">
        <v>74</v>
      </c>
    </row>
    <row r="792" spans="1:66" hidden="1">
      <c r="A792">
        <v>100210</v>
      </c>
      <c r="B792" s="3" t="s">
        <v>141</v>
      </c>
      <c r="C792" s="1">
        <v>43300101</v>
      </c>
      <c r="D792" t="s">
        <v>67</v>
      </c>
      <c r="H792" t="str">
        <f t="shared" si="70"/>
        <v>08082461008</v>
      </c>
      <c r="I792" t="str">
        <f t="shared" si="70"/>
        <v>08082461008</v>
      </c>
      <c r="K792" t="str">
        <f>""</f>
        <v/>
      </c>
      <c r="M792" t="s">
        <v>68</v>
      </c>
      <c r="N792" t="str">
        <f t="shared" si="68"/>
        <v>FOR</v>
      </c>
      <c r="O792" t="s">
        <v>69</v>
      </c>
      <c r="P792" s="3" t="s">
        <v>75</v>
      </c>
      <c r="Q792">
        <v>2015</v>
      </c>
      <c r="R792" s="2">
        <v>42115</v>
      </c>
      <c r="S792" s="2">
        <v>42123</v>
      </c>
      <c r="T792" s="2">
        <v>42123</v>
      </c>
      <c r="U792" s="2">
        <v>42183</v>
      </c>
      <c r="V792" t="s">
        <v>71</v>
      </c>
      <c r="W792" t="str">
        <f>"            15061908"</f>
        <v xml:space="preserve">            15061908</v>
      </c>
      <c r="X792">
        <v>45.76</v>
      </c>
      <c r="Y792">
        <v>0</v>
      </c>
      <c r="Z792"/>
      <c r="AB792"/>
      <c r="AC792">
        <v>44</v>
      </c>
      <c r="AD792">
        <v>270</v>
      </c>
      <c r="AE792" s="1">
        <v>11880</v>
      </c>
      <c r="AF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 s="2">
        <v>42746</v>
      </c>
      <c r="AQ792" t="s">
        <v>72</v>
      </c>
      <c r="AR792" t="s">
        <v>72</v>
      </c>
      <c r="AS792">
        <v>864</v>
      </c>
      <c r="AT792" s="4">
        <v>42453</v>
      </c>
      <c r="AU792" t="s">
        <v>73</v>
      </c>
      <c r="AV792">
        <v>864</v>
      </c>
      <c r="AW792" s="4">
        <v>42453</v>
      </c>
      <c r="BD792">
        <v>0</v>
      </c>
      <c r="BN792" t="s">
        <v>74</v>
      </c>
    </row>
    <row r="793" spans="1:66" hidden="1">
      <c r="A793">
        <v>100210</v>
      </c>
      <c r="B793" s="3" t="s">
        <v>141</v>
      </c>
      <c r="C793" s="1">
        <v>43300101</v>
      </c>
      <c r="D793" t="s">
        <v>67</v>
      </c>
      <c r="H793" t="str">
        <f t="shared" si="70"/>
        <v>08082461008</v>
      </c>
      <c r="I793" t="str">
        <f t="shared" si="70"/>
        <v>08082461008</v>
      </c>
      <c r="K793" t="str">
        <f>""</f>
        <v/>
      </c>
      <c r="M793" t="s">
        <v>68</v>
      </c>
      <c r="N793" t="str">
        <f t="shared" si="68"/>
        <v>FOR</v>
      </c>
      <c r="O793" t="s">
        <v>69</v>
      </c>
      <c r="P793" s="3" t="s">
        <v>75</v>
      </c>
      <c r="Q793">
        <v>2015</v>
      </c>
      <c r="R793" s="2">
        <v>42115</v>
      </c>
      <c r="S793" s="2">
        <v>42123</v>
      </c>
      <c r="T793" s="2">
        <v>42123</v>
      </c>
      <c r="U793" s="2">
        <v>42183</v>
      </c>
      <c r="V793" t="s">
        <v>71</v>
      </c>
      <c r="W793" t="str">
        <f>"            15061910"</f>
        <v xml:space="preserve">            15061910</v>
      </c>
      <c r="X793">
        <v>45.76</v>
      </c>
      <c r="Y793">
        <v>0</v>
      </c>
      <c r="Z793"/>
      <c r="AB793"/>
      <c r="AC793">
        <v>44</v>
      </c>
      <c r="AD793">
        <v>270</v>
      </c>
      <c r="AE793" s="1">
        <v>11880</v>
      </c>
      <c r="AF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 s="2">
        <v>42746</v>
      </c>
      <c r="AQ793" t="s">
        <v>72</v>
      </c>
      <c r="AR793" t="s">
        <v>72</v>
      </c>
      <c r="AS793">
        <v>864</v>
      </c>
      <c r="AT793" s="4">
        <v>42453</v>
      </c>
      <c r="AU793" t="s">
        <v>73</v>
      </c>
      <c r="AV793">
        <v>864</v>
      </c>
      <c r="AW793" s="4">
        <v>42453</v>
      </c>
      <c r="BD793">
        <v>0</v>
      </c>
      <c r="BN793" t="s">
        <v>74</v>
      </c>
    </row>
    <row r="794" spans="1:66" hidden="1">
      <c r="A794">
        <v>100210</v>
      </c>
      <c r="B794" s="3" t="s">
        <v>141</v>
      </c>
      <c r="C794" s="1">
        <v>43300101</v>
      </c>
      <c r="D794" t="s">
        <v>67</v>
      </c>
      <c r="H794" t="str">
        <f t="shared" si="70"/>
        <v>08082461008</v>
      </c>
      <c r="I794" t="str">
        <f t="shared" si="70"/>
        <v>08082461008</v>
      </c>
      <c r="K794" t="str">
        <f>""</f>
        <v/>
      </c>
      <c r="M794" t="s">
        <v>68</v>
      </c>
      <c r="N794" t="str">
        <f t="shared" si="68"/>
        <v>FOR</v>
      </c>
      <c r="O794" t="s">
        <v>69</v>
      </c>
      <c r="P794" s="3" t="s">
        <v>75</v>
      </c>
      <c r="Q794">
        <v>2015</v>
      </c>
      <c r="R794" s="2">
        <v>42115</v>
      </c>
      <c r="S794" s="2">
        <v>42123</v>
      </c>
      <c r="T794" s="2">
        <v>42123</v>
      </c>
      <c r="U794" s="2">
        <v>42183</v>
      </c>
      <c r="V794" t="s">
        <v>71</v>
      </c>
      <c r="W794" t="str">
        <f>"            15062115"</f>
        <v xml:space="preserve">            15062115</v>
      </c>
      <c r="X794" s="1">
        <v>2812.85</v>
      </c>
      <c r="Y794">
        <v>0</v>
      </c>
      <c r="Z794"/>
      <c r="AB794"/>
      <c r="AC794" s="1">
        <v>2305.6</v>
      </c>
      <c r="AD794">
        <v>270</v>
      </c>
      <c r="AE794" s="1">
        <v>622512</v>
      </c>
      <c r="AF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 s="2">
        <v>42746</v>
      </c>
      <c r="AQ794" t="s">
        <v>72</v>
      </c>
      <c r="AR794" t="s">
        <v>72</v>
      </c>
      <c r="AS794">
        <v>864</v>
      </c>
      <c r="AT794" s="4">
        <v>42453</v>
      </c>
      <c r="AU794" t="s">
        <v>73</v>
      </c>
      <c r="AV794">
        <v>864</v>
      </c>
      <c r="AW794" s="4">
        <v>42453</v>
      </c>
      <c r="BD794">
        <v>0</v>
      </c>
      <c r="BN794" t="s">
        <v>74</v>
      </c>
    </row>
    <row r="795" spans="1:66" hidden="1">
      <c r="A795">
        <v>100210</v>
      </c>
      <c r="B795" s="3" t="s">
        <v>141</v>
      </c>
      <c r="C795" s="1">
        <v>43300101</v>
      </c>
      <c r="D795" t="s">
        <v>67</v>
      </c>
      <c r="H795" t="str">
        <f t="shared" si="70"/>
        <v>08082461008</v>
      </c>
      <c r="I795" t="str">
        <f t="shared" si="70"/>
        <v>08082461008</v>
      </c>
      <c r="K795" t="str">
        <f>""</f>
        <v/>
      </c>
      <c r="M795" t="s">
        <v>68</v>
      </c>
      <c r="N795" t="str">
        <f t="shared" si="68"/>
        <v>FOR</v>
      </c>
      <c r="O795" t="s">
        <v>69</v>
      </c>
      <c r="P795" s="3" t="s">
        <v>75</v>
      </c>
      <c r="Q795">
        <v>2015</v>
      </c>
      <c r="R795" s="2">
        <v>42115</v>
      </c>
      <c r="S795" s="2">
        <v>42142</v>
      </c>
      <c r="T795" s="2">
        <v>42137</v>
      </c>
      <c r="U795" s="2">
        <v>42197</v>
      </c>
      <c r="V795" t="s">
        <v>71</v>
      </c>
      <c r="W795" t="str">
        <f>"            15062181"</f>
        <v xml:space="preserve">            15062181</v>
      </c>
      <c r="X795" s="1">
        <v>5086.95</v>
      </c>
      <c r="Y795">
        <v>0</v>
      </c>
      <c r="Z795"/>
      <c r="AB795"/>
      <c r="AC795" s="1">
        <v>4169.6400000000003</v>
      </c>
      <c r="AD795">
        <v>256</v>
      </c>
      <c r="AE795" s="1">
        <v>1067427.8400000001</v>
      </c>
      <c r="AF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 s="2">
        <v>42746</v>
      </c>
      <c r="AQ795" t="s">
        <v>72</v>
      </c>
      <c r="AR795" t="s">
        <v>72</v>
      </c>
      <c r="AS795">
        <v>864</v>
      </c>
      <c r="AT795" s="4">
        <v>42453</v>
      </c>
      <c r="AU795" t="s">
        <v>73</v>
      </c>
      <c r="AV795">
        <v>864</v>
      </c>
      <c r="AW795" s="4">
        <v>42453</v>
      </c>
      <c r="BD795">
        <v>0</v>
      </c>
      <c r="BN795" t="s">
        <v>74</v>
      </c>
    </row>
    <row r="796" spans="1:66" hidden="1">
      <c r="A796">
        <v>100210</v>
      </c>
      <c r="B796" s="3" t="s">
        <v>141</v>
      </c>
      <c r="C796" s="1">
        <v>43300101</v>
      </c>
      <c r="D796" t="s">
        <v>67</v>
      </c>
      <c r="H796" t="str">
        <f t="shared" si="70"/>
        <v>08082461008</v>
      </c>
      <c r="I796" t="str">
        <f t="shared" si="70"/>
        <v>08082461008</v>
      </c>
      <c r="K796" t="str">
        <f>""</f>
        <v/>
      </c>
      <c r="M796" t="s">
        <v>68</v>
      </c>
      <c r="N796" t="str">
        <f t="shared" si="68"/>
        <v>FOR</v>
      </c>
      <c r="O796" t="s">
        <v>69</v>
      </c>
      <c r="P796" s="3" t="s">
        <v>75</v>
      </c>
      <c r="Q796">
        <v>2015</v>
      </c>
      <c r="R796" s="2">
        <v>42115</v>
      </c>
      <c r="S796" s="2">
        <v>42142</v>
      </c>
      <c r="T796" s="2">
        <v>42137</v>
      </c>
      <c r="U796" s="2">
        <v>42197</v>
      </c>
      <c r="V796" t="s">
        <v>71</v>
      </c>
      <c r="W796" t="str">
        <f>"            15062381"</f>
        <v xml:space="preserve">            15062381</v>
      </c>
      <c r="X796" s="1">
        <v>3164.92</v>
      </c>
      <c r="Y796">
        <v>0</v>
      </c>
      <c r="Z796"/>
      <c r="AB796"/>
      <c r="AC796" s="1">
        <v>2594.1999999999998</v>
      </c>
      <c r="AD796">
        <v>256</v>
      </c>
      <c r="AE796" s="1">
        <v>664115.19999999995</v>
      </c>
      <c r="AF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 s="2">
        <v>42746</v>
      </c>
      <c r="AQ796" t="s">
        <v>72</v>
      </c>
      <c r="AR796" t="s">
        <v>72</v>
      </c>
      <c r="AS796">
        <v>864</v>
      </c>
      <c r="AT796" s="4">
        <v>42453</v>
      </c>
      <c r="AU796" t="s">
        <v>73</v>
      </c>
      <c r="AV796">
        <v>864</v>
      </c>
      <c r="AW796" s="4">
        <v>42453</v>
      </c>
      <c r="BD796">
        <v>0</v>
      </c>
      <c r="BN796" t="s">
        <v>74</v>
      </c>
    </row>
    <row r="797" spans="1:66" hidden="1">
      <c r="A797">
        <v>100210</v>
      </c>
      <c r="B797" s="3" t="s">
        <v>141</v>
      </c>
      <c r="C797" s="1">
        <v>43300101</v>
      </c>
      <c r="D797" t="s">
        <v>67</v>
      </c>
      <c r="H797" t="str">
        <f t="shared" ref="H797:I816" si="71">"08082461008"</f>
        <v>08082461008</v>
      </c>
      <c r="I797" t="str">
        <f t="shared" si="71"/>
        <v>08082461008</v>
      </c>
      <c r="K797" t="str">
        <f>""</f>
        <v/>
      </c>
      <c r="M797" t="s">
        <v>68</v>
      </c>
      <c r="N797" t="str">
        <f t="shared" si="68"/>
        <v>FOR</v>
      </c>
      <c r="O797" t="s">
        <v>69</v>
      </c>
      <c r="P797" s="3" t="s">
        <v>75</v>
      </c>
      <c r="Q797">
        <v>2015</v>
      </c>
      <c r="R797" s="2">
        <v>42122</v>
      </c>
      <c r="S797" s="2">
        <v>42158</v>
      </c>
      <c r="T797" s="2">
        <v>42153</v>
      </c>
      <c r="U797" s="2">
        <v>42213</v>
      </c>
      <c r="V797" t="s">
        <v>71</v>
      </c>
      <c r="W797" t="str">
        <f>"            15067526"</f>
        <v xml:space="preserve">            15067526</v>
      </c>
      <c r="X797" s="1">
        <v>5350.92</v>
      </c>
      <c r="Y797">
        <v>0</v>
      </c>
      <c r="Z797"/>
      <c r="AB797"/>
      <c r="AC797" s="1">
        <v>4386</v>
      </c>
      <c r="AD797">
        <v>240</v>
      </c>
      <c r="AE797" s="1">
        <v>1052640</v>
      </c>
      <c r="AF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 s="2">
        <v>42746</v>
      </c>
      <c r="AQ797" t="s">
        <v>72</v>
      </c>
      <c r="AR797" t="s">
        <v>72</v>
      </c>
      <c r="AS797">
        <v>864</v>
      </c>
      <c r="AT797" s="4">
        <v>42453</v>
      </c>
      <c r="AU797" t="s">
        <v>73</v>
      </c>
      <c r="AV797">
        <v>864</v>
      </c>
      <c r="AW797" s="4">
        <v>42453</v>
      </c>
      <c r="BD797">
        <v>0</v>
      </c>
      <c r="BN797" t="s">
        <v>74</v>
      </c>
    </row>
    <row r="798" spans="1:66" hidden="1">
      <c r="A798">
        <v>100210</v>
      </c>
      <c r="B798" s="3" t="s">
        <v>141</v>
      </c>
      <c r="C798" s="1">
        <v>43300101</v>
      </c>
      <c r="D798" t="s">
        <v>67</v>
      </c>
      <c r="H798" t="str">
        <f t="shared" si="71"/>
        <v>08082461008</v>
      </c>
      <c r="I798" t="str">
        <f t="shared" si="71"/>
        <v>08082461008</v>
      </c>
      <c r="K798" t="str">
        <f>""</f>
        <v/>
      </c>
      <c r="M798" t="s">
        <v>68</v>
      </c>
      <c r="N798" t="str">
        <f t="shared" si="68"/>
        <v>FOR</v>
      </c>
      <c r="O798" t="s">
        <v>69</v>
      </c>
      <c r="P798" s="3" t="s">
        <v>75</v>
      </c>
      <c r="Q798">
        <v>2015</v>
      </c>
      <c r="R798" s="2">
        <v>42122</v>
      </c>
      <c r="S798" s="2">
        <v>42158</v>
      </c>
      <c r="T798" s="2">
        <v>42153</v>
      </c>
      <c r="U798" s="2">
        <v>42213</v>
      </c>
      <c r="V798" t="s">
        <v>71</v>
      </c>
      <c r="W798" t="str">
        <f>"            15067568"</f>
        <v xml:space="preserve">            15067568</v>
      </c>
      <c r="X798" s="1">
        <v>2246.9499999999998</v>
      </c>
      <c r="Y798">
        <v>0</v>
      </c>
      <c r="Z798"/>
      <c r="AB798"/>
      <c r="AC798" s="1">
        <v>1841.76</v>
      </c>
      <c r="AD798">
        <v>240</v>
      </c>
      <c r="AE798" s="1">
        <v>442022.40000000002</v>
      </c>
      <c r="AF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 s="2">
        <v>42746</v>
      </c>
      <c r="AQ798" t="s">
        <v>72</v>
      </c>
      <c r="AR798" t="s">
        <v>72</v>
      </c>
      <c r="AS798">
        <v>864</v>
      </c>
      <c r="AT798" s="4">
        <v>42453</v>
      </c>
      <c r="AU798" t="s">
        <v>73</v>
      </c>
      <c r="AV798">
        <v>864</v>
      </c>
      <c r="AW798" s="4">
        <v>42453</v>
      </c>
      <c r="BD798">
        <v>0</v>
      </c>
      <c r="BN798" t="s">
        <v>74</v>
      </c>
    </row>
    <row r="799" spans="1:66" hidden="1">
      <c r="A799">
        <v>100210</v>
      </c>
      <c r="B799" s="3" t="s">
        <v>141</v>
      </c>
      <c r="C799" s="1">
        <v>43300101</v>
      </c>
      <c r="D799" t="s">
        <v>67</v>
      </c>
      <c r="H799" t="str">
        <f t="shared" si="71"/>
        <v>08082461008</v>
      </c>
      <c r="I799" t="str">
        <f t="shared" si="71"/>
        <v>08082461008</v>
      </c>
      <c r="K799" t="str">
        <f>""</f>
        <v/>
      </c>
      <c r="M799" t="s">
        <v>68</v>
      </c>
      <c r="N799" t="str">
        <f t="shared" si="68"/>
        <v>FOR</v>
      </c>
      <c r="O799" t="s">
        <v>69</v>
      </c>
      <c r="P799" s="3" t="s">
        <v>75</v>
      </c>
      <c r="Q799">
        <v>2015</v>
      </c>
      <c r="R799" s="2">
        <v>42123</v>
      </c>
      <c r="S799" s="2">
        <v>42124</v>
      </c>
      <c r="T799" s="2">
        <v>42124</v>
      </c>
      <c r="U799" s="2">
        <v>42184</v>
      </c>
      <c r="V799" t="s">
        <v>71</v>
      </c>
      <c r="W799" t="str">
        <f>"            15068146"</f>
        <v xml:space="preserve">            15068146</v>
      </c>
      <c r="X799">
        <v>644.79999999999995</v>
      </c>
      <c r="Y799">
        <v>0</v>
      </c>
      <c r="Z799"/>
      <c r="AB799"/>
      <c r="AC799">
        <v>620</v>
      </c>
      <c r="AD799">
        <v>269</v>
      </c>
      <c r="AE799" s="1">
        <v>166780</v>
      </c>
      <c r="AF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 s="2">
        <v>42746</v>
      </c>
      <c r="AQ799" t="s">
        <v>72</v>
      </c>
      <c r="AR799" t="s">
        <v>72</v>
      </c>
      <c r="AS799">
        <v>864</v>
      </c>
      <c r="AT799" s="4">
        <v>42453</v>
      </c>
      <c r="AU799" t="s">
        <v>73</v>
      </c>
      <c r="AV799">
        <v>864</v>
      </c>
      <c r="AW799" s="4">
        <v>42453</v>
      </c>
      <c r="BD799">
        <v>0</v>
      </c>
      <c r="BN799" t="s">
        <v>74</v>
      </c>
    </row>
    <row r="800" spans="1:66" hidden="1">
      <c r="A800">
        <v>100210</v>
      </c>
      <c r="B800" s="3" t="s">
        <v>141</v>
      </c>
      <c r="C800" s="1">
        <v>43300101</v>
      </c>
      <c r="D800" t="s">
        <v>67</v>
      </c>
      <c r="H800" t="str">
        <f t="shared" si="71"/>
        <v>08082461008</v>
      </c>
      <c r="I800" t="str">
        <f t="shared" si="71"/>
        <v>08082461008</v>
      </c>
      <c r="K800" t="str">
        <f>""</f>
        <v/>
      </c>
      <c r="M800" t="s">
        <v>68</v>
      </c>
      <c r="N800" t="str">
        <f t="shared" si="68"/>
        <v>FOR</v>
      </c>
      <c r="O800" t="s">
        <v>69</v>
      </c>
      <c r="P800" s="3" t="s">
        <v>75</v>
      </c>
      <c r="Q800">
        <v>2015</v>
      </c>
      <c r="R800" s="2">
        <v>42128</v>
      </c>
      <c r="S800" s="2">
        <v>42129</v>
      </c>
      <c r="T800" s="2">
        <v>42129</v>
      </c>
      <c r="U800" s="2">
        <v>42189</v>
      </c>
      <c r="V800" t="s">
        <v>71</v>
      </c>
      <c r="W800" t="str">
        <f>"            15069655"</f>
        <v xml:space="preserve">            15069655</v>
      </c>
      <c r="X800">
        <v>243.76</v>
      </c>
      <c r="Y800">
        <v>0</v>
      </c>
      <c r="Z800"/>
      <c r="AB800"/>
      <c r="AC800">
        <v>199.8</v>
      </c>
      <c r="AD800">
        <v>264</v>
      </c>
      <c r="AE800" s="1">
        <v>52747.199999999997</v>
      </c>
      <c r="AF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 s="2">
        <v>42746</v>
      </c>
      <c r="AQ800" t="s">
        <v>72</v>
      </c>
      <c r="AR800" t="s">
        <v>72</v>
      </c>
      <c r="AS800">
        <v>864</v>
      </c>
      <c r="AT800" s="4">
        <v>42453</v>
      </c>
      <c r="AU800" t="s">
        <v>73</v>
      </c>
      <c r="AV800">
        <v>864</v>
      </c>
      <c r="AW800" s="4">
        <v>42453</v>
      </c>
      <c r="BD800">
        <v>0</v>
      </c>
      <c r="BN800" t="s">
        <v>74</v>
      </c>
    </row>
    <row r="801" spans="1:66" hidden="1">
      <c r="A801">
        <v>100210</v>
      </c>
      <c r="B801" s="3" t="s">
        <v>141</v>
      </c>
      <c r="C801" s="1">
        <v>43300101</v>
      </c>
      <c r="D801" t="s">
        <v>67</v>
      </c>
      <c r="H801" t="str">
        <f t="shared" si="71"/>
        <v>08082461008</v>
      </c>
      <c r="I801" t="str">
        <f t="shared" si="71"/>
        <v>08082461008</v>
      </c>
      <c r="K801" t="str">
        <f>""</f>
        <v/>
      </c>
      <c r="M801" t="s">
        <v>68</v>
      </c>
      <c r="N801" t="str">
        <f t="shared" si="68"/>
        <v>FOR</v>
      </c>
      <c r="O801" t="s">
        <v>69</v>
      </c>
      <c r="P801" s="3" t="s">
        <v>75</v>
      </c>
      <c r="Q801">
        <v>2015</v>
      </c>
      <c r="R801" s="2">
        <v>42128</v>
      </c>
      <c r="S801" s="2">
        <v>42129</v>
      </c>
      <c r="T801" s="2">
        <v>42129</v>
      </c>
      <c r="U801" s="2">
        <v>42189</v>
      </c>
      <c r="V801" t="s">
        <v>71</v>
      </c>
      <c r="W801" t="str">
        <f>"            15069661"</f>
        <v xml:space="preserve">            15069661</v>
      </c>
      <c r="X801">
        <v>487.51</v>
      </c>
      <c r="Y801">
        <v>0</v>
      </c>
      <c r="Z801"/>
      <c r="AB801"/>
      <c r="AC801">
        <v>399.6</v>
      </c>
      <c r="AD801">
        <v>264</v>
      </c>
      <c r="AE801" s="1">
        <v>105494.39999999999</v>
      </c>
      <c r="AF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 s="2">
        <v>42746</v>
      </c>
      <c r="AQ801" t="s">
        <v>72</v>
      </c>
      <c r="AR801" t="s">
        <v>72</v>
      </c>
      <c r="AS801">
        <v>864</v>
      </c>
      <c r="AT801" s="4">
        <v>42453</v>
      </c>
      <c r="AU801" t="s">
        <v>73</v>
      </c>
      <c r="AV801">
        <v>864</v>
      </c>
      <c r="AW801" s="4">
        <v>42453</v>
      </c>
      <c r="BD801">
        <v>0</v>
      </c>
      <c r="BN801" t="s">
        <v>74</v>
      </c>
    </row>
    <row r="802" spans="1:66" hidden="1">
      <c r="A802">
        <v>100210</v>
      </c>
      <c r="B802" s="3" t="s">
        <v>141</v>
      </c>
      <c r="C802" s="1">
        <v>43300101</v>
      </c>
      <c r="D802" t="s">
        <v>67</v>
      </c>
      <c r="H802" t="str">
        <f t="shared" si="71"/>
        <v>08082461008</v>
      </c>
      <c r="I802" t="str">
        <f t="shared" si="71"/>
        <v>08082461008</v>
      </c>
      <c r="K802" t="str">
        <f>""</f>
        <v/>
      </c>
      <c r="M802" t="s">
        <v>68</v>
      </c>
      <c r="N802" t="str">
        <f t="shared" si="68"/>
        <v>FOR</v>
      </c>
      <c r="O802" t="s">
        <v>69</v>
      </c>
      <c r="P802" s="3" t="s">
        <v>75</v>
      </c>
      <c r="Q802">
        <v>2015</v>
      </c>
      <c r="R802" s="2">
        <v>42130</v>
      </c>
      <c r="S802" s="2">
        <v>42131</v>
      </c>
      <c r="T802" s="2">
        <v>42131</v>
      </c>
      <c r="U802" s="2">
        <v>42191</v>
      </c>
      <c r="V802" t="s">
        <v>71</v>
      </c>
      <c r="W802" t="str">
        <f>"            15071172"</f>
        <v xml:space="preserve">            15071172</v>
      </c>
      <c r="X802">
        <v>644.79999999999995</v>
      </c>
      <c r="Y802">
        <v>0</v>
      </c>
      <c r="Z802"/>
      <c r="AB802"/>
      <c r="AC802">
        <v>620</v>
      </c>
      <c r="AD802">
        <v>262</v>
      </c>
      <c r="AE802" s="1">
        <v>162440</v>
      </c>
      <c r="AF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 s="2">
        <v>42746</v>
      </c>
      <c r="AQ802" t="s">
        <v>72</v>
      </c>
      <c r="AR802" t="s">
        <v>72</v>
      </c>
      <c r="AS802">
        <v>864</v>
      </c>
      <c r="AT802" s="4">
        <v>42453</v>
      </c>
      <c r="AU802" t="s">
        <v>73</v>
      </c>
      <c r="AV802">
        <v>864</v>
      </c>
      <c r="AW802" s="4">
        <v>42453</v>
      </c>
      <c r="BD802">
        <v>0</v>
      </c>
      <c r="BN802" t="s">
        <v>74</v>
      </c>
    </row>
    <row r="803" spans="1:66" hidden="1">
      <c r="A803">
        <v>100210</v>
      </c>
      <c r="B803" s="3" t="s">
        <v>141</v>
      </c>
      <c r="C803" s="1">
        <v>43300101</v>
      </c>
      <c r="D803" t="s">
        <v>67</v>
      </c>
      <c r="H803" t="str">
        <f t="shared" si="71"/>
        <v>08082461008</v>
      </c>
      <c r="I803" t="str">
        <f t="shared" si="71"/>
        <v>08082461008</v>
      </c>
      <c r="K803" t="str">
        <f>""</f>
        <v/>
      </c>
      <c r="M803" t="s">
        <v>68</v>
      </c>
      <c r="N803" t="str">
        <f t="shared" si="68"/>
        <v>FOR</v>
      </c>
      <c r="O803" t="s">
        <v>69</v>
      </c>
      <c r="P803" s="3" t="s">
        <v>75</v>
      </c>
      <c r="Q803">
        <v>2015</v>
      </c>
      <c r="R803" s="2">
        <v>42130</v>
      </c>
      <c r="S803" s="2">
        <v>42131</v>
      </c>
      <c r="T803" s="2">
        <v>42131</v>
      </c>
      <c r="U803" s="2">
        <v>42191</v>
      </c>
      <c r="V803" t="s">
        <v>71</v>
      </c>
      <c r="W803" t="str">
        <f>"            15071173"</f>
        <v xml:space="preserve">            15071173</v>
      </c>
      <c r="X803">
        <v>644.79999999999995</v>
      </c>
      <c r="Y803">
        <v>0</v>
      </c>
      <c r="Z803"/>
      <c r="AB803"/>
      <c r="AC803">
        <v>620</v>
      </c>
      <c r="AD803">
        <v>262</v>
      </c>
      <c r="AE803" s="1">
        <v>162440</v>
      </c>
      <c r="AF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 s="2">
        <v>42746</v>
      </c>
      <c r="AQ803" t="s">
        <v>72</v>
      </c>
      <c r="AR803" t="s">
        <v>72</v>
      </c>
      <c r="AS803">
        <v>864</v>
      </c>
      <c r="AT803" s="4">
        <v>42453</v>
      </c>
      <c r="AU803" t="s">
        <v>73</v>
      </c>
      <c r="AV803">
        <v>864</v>
      </c>
      <c r="AW803" s="4">
        <v>42453</v>
      </c>
      <c r="BD803">
        <v>0</v>
      </c>
      <c r="BN803" t="s">
        <v>74</v>
      </c>
    </row>
    <row r="804" spans="1:66" hidden="1">
      <c r="A804">
        <v>100210</v>
      </c>
      <c r="B804" s="3" t="s">
        <v>141</v>
      </c>
      <c r="C804" s="1">
        <v>43300101</v>
      </c>
      <c r="D804" t="s">
        <v>67</v>
      </c>
      <c r="H804" t="str">
        <f t="shared" si="71"/>
        <v>08082461008</v>
      </c>
      <c r="I804" t="str">
        <f t="shared" si="71"/>
        <v>08082461008</v>
      </c>
      <c r="K804" t="str">
        <f>""</f>
        <v/>
      </c>
      <c r="M804" t="s">
        <v>68</v>
      </c>
      <c r="N804" t="str">
        <f t="shared" si="68"/>
        <v>FOR</v>
      </c>
      <c r="O804" t="s">
        <v>69</v>
      </c>
      <c r="P804" s="3" t="s">
        <v>75</v>
      </c>
      <c r="Q804">
        <v>2015</v>
      </c>
      <c r="R804" s="2">
        <v>42130</v>
      </c>
      <c r="S804" s="2">
        <v>42131</v>
      </c>
      <c r="T804" s="2">
        <v>42131</v>
      </c>
      <c r="U804" s="2">
        <v>42191</v>
      </c>
      <c r="V804" t="s">
        <v>71</v>
      </c>
      <c r="W804" t="str">
        <f>"            15071174"</f>
        <v xml:space="preserve">            15071174</v>
      </c>
      <c r="X804">
        <v>644.79999999999995</v>
      </c>
      <c r="Y804">
        <v>0</v>
      </c>
      <c r="Z804"/>
      <c r="AB804"/>
      <c r="AC804">
        <v>620</v>
      </c>
      <c r="AD804">
        <v>262</v>
      </c>
      <c r="AE804" s="1">
        <v>162440</v>
      </c>
      <c r="AF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 s="2">
        <v>42746</v>
      </c>
      <c r="AQ804" t="s">
        <v>72</v>
      </c>
      <c r="AR804" t="s">
        <v>72</v>
      </c>
      <c r="AS804">
        <v>864</v>
      </c>
      <c r="AT804" s="4">
        <v>42453</v>
      </c>
      <c r="AU804" t="s">
        <v>73</v>
      </c>
      <c r="AV804">
        <v>864</v>
      </c>
      <c r="AW804" s="4">
        <v>42453</v>
      </c>
      <c r="BD804">
        <v>0</v>
      </c>
      <c r="BN804" t="s">
        <v>74</v>
      </c>
    </row>
    <row r="805" spans="1:66" hidden="1">
      <c r="A805">
        <v>100210</v>
      </c>
      <c r="B805" s="3" t="s">
        <v>141</v>
      </c>
      <c r="C805" s="1">
        <v>43300101</v>
      </c>
      <c r="D805" t="s">
        <v>67</v>
      </c>
      <c r="H805" t="str">
        <f t="shared" si="71"/>
        <v>08082461008</v>
      </c>
      <c r="I805" t="str">
        <f t="shared" si="71"/>
        <v>08082461008</v>
      </c>
      <c r="K805" t="str">
        <f>""</f>
        <v/>
      </c>
      <c r="M805" t="s">
        <v>68</v>
      </c>
      <c r="N805" t="str">
        <f t="shared" si="68"/>
        <v>FOR</v>
      </c>
      <c r="O805" t="s">
        <v>69</v>
      </c>
      <c r="P805" s="3" t="s">
        <v>75</v>
      </c>
      <c r="Q805">
        <v>2015</v>
      </c>
      <c r="R805" s="2">
        <v>42130</v>
      </c>
      <c r="S805" s="2">
        <v>42131</v>
      </c>
      <c r="T805" s="2">
        <v>42131</v>
      </c>
      <c r="U805" s="2">
        <v>42191</v>
      </c>
      <c r="V805" t="s">
        <v>71</v>
      </c>
      <c r="W805" t="str">
        <f>"            15071265"</f>
        <v xml:space="preserve">            15071265</v>
      </c>
      <c r="X805" s="1">
        <v>3623.4</v>
      </c>
      <c r="Y805">
        <v>0</v>
      </c>
      <c r="Z805"/>
      <c r="AB805"/>
      <c r="AC805" s="1">
        <v>2970</v>
      </c>
      <c r="AD805">
        <v>262</v>
      </c>
      <c r="AE805" s="1">
        <v>778140</v>
      </c>
      <c r="AF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 s="2">
        <v>42746</v>
      </c>
      <c r="AQ805" t="s">
        <v>72</v>
      </c>
      <c r="AR805" t="s">
        <v>72</v>
      </c>
      <c r="AS805">
        <v>864</v>
      </c>
      <c r="AT805" s="4">
        <v>42453</v>
      </c>
      <c r="AU805" t="s">
        <v>73</v>
      </c>
      <c r="AV805">
        <v>864</v>
      </c>
      <c r="AW805" s="4">
        <v>42453</v>
      </c>
      <c r="BD805">
        <v>0</v>
      </c>
      <c r="BN805" t="s">
        <v>74</v>
      </c>
    </row>
    <row r="806" spans="1:66" hidden="1">
      <c r="A806">
        <v>100210</v>
      </c>
      <c r="B806" s="3" t="s">
        <v>141</v>
      </c>
      <c r="C806" s="1">
        <v>43300101</v>
      </c>
      <c r="D806" t="s">
        <v>67</v>
      </c>
      <c r="H806" t="str">
        <f t="shared" si="71"/>
        <v>08082461008</v>
      </c>
      <c r="I806" t="str">
        <f t="shared" si="71"/>
        <v>08082461008</v>
      </c>
      <c r="K806" t="str">
        <f>""</f>
        <v/>
      </c>
      <c r="M806" t="s">
        <v>68</v>
      </c>
      <c r="N806" t="str">
        <f t="shared" si="68"/>
        <v>FOR</v>
      </c>
      <c r="O806" t="s">
        <v>69</v>
      </c>
      <c r="P806" s="3" t="s">
        <v>75</v>
      </c>
      <c r="Q806">
        <v>2015</v>
      </c>
      <c r="R806" s="2">
        <v>42130</v>
      </c>
      <c r="S806" s="2">
        <v>42131</v>
      </c>
      <c r="T806" s="2">
        <v>42131</v>
      </c>
      <c r="U806" s="2">
        <v>42191</v>
      </c>
      <c r="V806" t="s">
        <v>71</v>
      </c>
      <c r="W806" t="str">
        <f>"            15071510"</f>
        <v xml:space="preserve">            15071510</v>
      </c>
      <c r="X806" s="1">
        <v>10438.32</v>
      </c>
      <c r="Y806">
        <v>0</v>
      </c>
      <c r="Z806"/>
      <c r="AB806"/>
      <c r="AC806" s="1">
        <v>8556</v>
      </c>
      <c r="AD806">
        <v>262</v>
      </c>
      <c r="AE806" s="1">
        <v>2241672</v>
      </c>
      <c r="AF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 s="2">
        <v>42746</v>
      </c>
      <c r="AQ806" t="s">
        <v>72</v>
      </c>
      <c r="AR806" t="s">
        <v>72</v>
      </c>
      <c r="AS806">
        <v>864</v>
      </c>
      <c r="AT806" s="4">
        <v>42453</v>
      </c>
      <c r="AU806" t="s">
        <v>73</v>
      </c>
      <c r="AV806">
        <v>864</v>
      </c>
      <c r="AW806" s="4">
        <v>42453</v>
      </c>
      <c r="BD806">
        <v>0</v>
      </c>
      <c r="BN806" t="s">
        <v>74</v>
      </c>
    </row>
    <row r="807" spans="1:66" hidden="1">
      <c r="A807">
        <v>100210</v>
      </c>
      <c r="B807" s="3" t="s">
        <v>141</v>
      </c>
      <c r="C807" s="1">
        <v>43300101</v>
      </c>
      <c r="D807" t="s">
        <v>67</v>
      </c>
      <c r="H807" t="str">
        <f t="shared" si="71"/>
        <v>08082461008</v>
      </c>
      <c r="I807" t="str">
        <f t="shared" si="71"/>
        <v>08082461008</v>
      </c>
      <c r="K807" t="str">
        <f>""</f>
        <v/>
      </c>
      <c r="M807" t="s">
        <v>68</v>
      </c>
      <c r="N807" t="str">
        <f t="shared" si="68"/>
        <v>FOR</v>
      </c>
      <c r="O807" t="s">
        <v>69</v>
      </c>
      <c r="P807" s="3" t="s">
        <v>75</v>
      </c>
      <c r="Q807">
        <v>2015</v>
      </c>
      <c r="R807" s="2">
        <v>42135</v>
      </c>
      <c r="S807" s="2">
        <v>42178</v>
      </c>
      <c r="T807" s="2">
        <v>42177</v>
      </c>
      <c r="U807" s="2">
        <v>42237</v>
      </c>
      <c r="V807" t="s">
        <v>71</v>
      </c>
      <c r="W807" t="str">
        <f>"            15074325"</f>
        <v xml:space="preserve">            15074325</v>
      </c>
      <c r="X807">
        <v>181.54</v>
      </c>
      <c r="Y807">
        <v>0</v>
      </c>
      <c r="Z807"/>
      <c r="AB807"/>
      <c r="AC807">
        <v>148.80000000000001</v>
      </c>
      <c r="AD807">
        <v>216</v>
      </c>
      <c r="AE807" s="1">
        <v>32140.799999999999</v>
      </c>
      <c r="AF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 s="2">
        <v>42746</v>
      </c>
      <c r="AQ807" t="s">
        <v>72</v>
      </c>
      <c r="AR807" t="s">
        <v>72</v>
      </c>
      <c r="AS807">
        <v>864</v>
      </c>
      <c r="AT807" s="4">
        <v>42453</v>
      </c>
      <c r="AU807" t="s">
        <v>73</v>
      </c>
      <c r="AV807">
        <v>864</v>
      </c>
      <c r="AW807" s="4">
        <v>42453</v>
      </c>
      <c r="BD807">
        <v>0</v>
      </c>
      <c r="BN807" t="s">
        <v>74</v>
      </c>
    </row>
    <row r="808" spans="1:66" hidden="1">
      <c r="A808">
        <v>100210</v>
      </c>
      <c r="B808" s="3" t="s">
        <v>141</v>
      </c>
      <c r="C808" s="1">
        <v>43300101</v>
      </c>
      <c r="D808" t="s">
        <v>67</v>
      </c>
      <c r="H808" t="str">
        <f t="shared" si="71"/>
        <v>08082461008</v>
      </c>
      <c r="I808" t="str">
        <f t="shared" si="71"/>
        <v>08082461008</v>
      </c>
      <c r="K808" t="str">
        <f>""</f>
        <v/>
      </c>
      <c r="M808" t="s">
        <v>68</v>
      </c>
      <c r="N808" t="str">
        <f t="shared" si="68"/>
        <v>FOR</v>
      </c>
      <c r="O808" t="s">
        <v>69</v>
      </c>
      <c r="P808" s="3" t="s">
        <v>75</v>
      </c>
      <c r="Q808">
        <v>2015</v>
      </c>
      <c r="R808" s="2">
        <v>42136</v>
      </c>
      <c r="S808" s="2">
        <v>42139</v>
      </c>
      <c r="T808" s="2">
        <v>42137</v>
      </c>
      <c r="U808" s="2">
        <v>42197</v>
      </c>
      <c r="V808" t="s">
        <v>71</v>
      </c>
      <c r="W808" t="str">
        <f>"            15074885"</f>
        <v xml:space="preserve">            15074885</v>
      </c>
      <c r="X808">
        <v>644.79999999999995</v>
      </c>
      <c r="Y808">
        <v>0</v>
      </c>
      <c r="Z808"/>
      <c r="AB808"/>
      <c r="AC808">
        <v>620</v>
      </c>
      <c r="AD808">
        <v>256</v>
      </c>
      <c r="AE808" s="1">
        <v>158720</v>
      </c>
      <c r="AF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 s="2">
        <v>42746</v>
      </c>
      <c r="AQ808" t="s">
        <v>72</v>
      </c>
      <c r="AR808" t="s">
        <v>72</v>
      </c>
      <c r="AS808">
        <v>864</v>
      </c>
      <c r="AT808" s="4">
        <v>42453</v>
      </c>
      <c r="AU808" t="s">
        <v>73</v>
      </c>
      <c r="AV808">
        <v>864</v>
      </c>
      <c r="AW808" s="4">
        <v>42453</v>
      </c>
      <c r="BD808">
        <v>0</v>
      </c>
      <c r="BN808" t="s">
        <v>74</v>
      </c>
    </row>
    <row r="809" spans="1:66" hidden="1">
      <c r="A809">
        <v>100210</v>
      </c>
      <c r="B809" s="3" t="s">
        <v>141</v>
      </c>
      <c r="C809" s="1">
        <v>43300101</v>
      </c>
      <c r="D809" t="s">
        <v>67</v>
      </c>
      <c r="H809" t="str">
        <f t="shared" si="71"/>
        <v>08082461008</v>
      </c>
      <c r="I809" t="str">
        <f t="shared" si="71"/>
        <v>08082461008</v>
      </c>
      <c r="K809" t="str">
        <f>""</f>
        <v/>
      </c>
      <c r="M809" t="s">
        <v>68</v>
      </c>
      <c r="N809" t="str">
        <f t="shared" si="68"/>
        <v>FOR</v>
      </c>
      <c r="O809" t="s">
        <v>69</v>
      </c>
      <c r="P809" s="3" t="s">
        <v>75</v>
      </c>
      <c r="Q809">
        <v>2015</v>
      </c>
      <c r="R809" s="2">
        <v>42136</v>
      </c>
      <c r="S809" s="2">
        <v>42139</v>
      </c>
      <c r="T809" s="2">
        <v>42137</v>
      </c>
      <c r="U809" s="2">
        <v>42197</v>
      </c>
      <c r="V809" t="s">
        <v>71</v>
      </c>
      <c r="W809" t="str">
        <f>"            15074886"</f>
        <v xml:space="preserve">            15074886</v>
      </c>
      <c r="X809">
        <v>644.79999999999995</v>
      </c>
      <c r="Y809">
        <v>0</v>
      </c>
      <c r="Z809"/>
      <c r="AB809"/>
      <c r="AC809">
        <v>620</v>
      </c>
      <c r="AD809">
        <v>256</v>
      </c>
      <c r="AE809" s="1">
        <v>158720</v>
      </c>
      <c r="AF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 s="2">
        <v>42746</v>
      </c>
      <c r="AQ809" t="s">
        <v>72</v>
      </c>
      <c r="AR809" t="s">
        <v>72</v>
      </c>
      <c r="AS809">
        <v>864</v>
      </c>
      <c r="AT809" s="4">
        <v>42453</v>
      </c>
      <c r="AU809" t="s">
        <v>73</v>
      </c>
      <c r="AV809">
        <v>864</v>
      </c>
      <c r="AW809" s="4">
        <v>42453</v>
      </c>
      <c r="BD809">
        <v>0</v>
      </c>
      <c r="BN809" t="s">
        <v>74</v>
      </c>
    </row>
    <row r="810" spans="1:66" hidden="1">
      <c r="A810">
        <v>100210</v>
      </c>
      <c r="B810" s="3" t="s">
        <v>141</v>
      </c>
      <c r="C810" s="1">
        <v>43300101</v>
      </c>
      <c r="D810" t="s">
        <v>67</v>
      </c>
      <c r="H810" t="str">
        <f t="shared" si="71"/>
        <v>08082461008</v>
      </c>
      <c r="I810" t="str">
        <f t="shared" si="71"/>
        <v>08082461008</v>
      </c>
      <c r="K810" t="str">
        <f>""</f>
        <v/>
      </c>
      <c r="M810" t="s">
        <v>68</v>
      </c>
      <c r="N810" t="str">
        <f t="shared" si="68"/>
        <v>FOR</v>
      </c>
      <c r="O810" t="s">
        <v>69</v>
      </c>
      <c r="P810" s="3" t="s">
        <v>75</v>
      </c>
      <c r="Q810">
        <v>2015</v>
      </c>
      <c r="R810" s="2">
        <v>42136</v>
      </c>
      <c r="S810" s="2">
        <v>42139</v>
      </c>
      <c r="T810" s="2">
        <v>42137</v>
      </c>
      <c r="U810" s="2">
        <v>42197</v>
      </c>
      <c r="V810" t="s">
        <v>71</v>
      </c>
      <c r="W810" t="str">
        <f>"            15075016"</f>
        <v xml:space="preserve">            15075016</v>
      </c>
      <c r="X810">
        <v>724.68</v>
      </c>
      <c r="Y810">
        <v>0</v>
      </c>
      <c r="Z810"/>
      <c r="AB810"/>
      <c r="AC810">
        <v>594</v>
      </c>
      <c r="AD810">
        <v>256</v>
      </c>
      <c r="AE810" s="1">
        <v>152064</v>
      </c>
      <c r="AF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 s="2">
        <v>42746</v>
      </c>
      <c r="AQ810" t="s">
        <v>72</v>
      </c>
      <c r="AR810" t="s">
        <v>72</v>
      </c>
      <c r="AS810">
        <v>864</v>
      </c>
      <c r="AT810" s="4">
        <v>42453</v>
      </c>
      <c r="AU810" t="s">
        <v>73</v>
      </c>
      <c r="AV810">
        <v>864</v>
      </c>
      <c r="AW810" s="4">
        <v>42453</v>
      </c>
      <c r="BD810">
        <v>0</v>
      </c>
      <c r="BN810" t="s">
        <v>74</v>
      </c>
    </row>
    <row r="811" spans="1:66" hidden="1">
      <c r="A811">
        <v>100210</v>
      </c>
      <c r="B811" s="3" t="s">
        <v>141</v>
      </c>
      <c r="C811" s="1">
        <v>43300101</v>
      </c>
      <c r="D811" t="s">
        <v>67</v>
      </c>
      <c r="H811" t="str">
        <f t="shared" si="71"/>
        <v>08082461008</v>
      </c>
      <c r="I811" t="str">
        <f t="shared" si="71"/>
        <v>08082461008</v>
      </c>
      <c r="K811" t="str">
        <f>""</f>
        <v/>
      </c>
      <c r="M811" t="s">
        <v>68</v>
      </c>
      <c r="N811" t="str">
        <f t="shared" si="68"/>
        <v>FOR</v>
      </c>
      <c r="O811" t="s">
        <v>69</v>
      </c>
      <c r="P811" s="3" t="s">
        <v>75</v>
      </c>
      <c r="Q811">
        <v>2015</v>
      </c>
      <c r="R811" s="2">
        <v>42137</v>
      </c>
      <c r="S811" s="2">
        <v>42158</v>
      </c>
      <c r="T811" s="2">
        <v>42138</v>
      </c>
      <c r="U811" s="2">
        <v>42198</v>
      </c>
      <c r="V811" t="s">
        <v>71</v>
      </c>
      <c r="W811" t="str">
        <f>"            15076222"</f>
        <v xml:space="preserve">            15076222</v>
      </c>
      <c r="X811" s="1">
        <v>8784</v>
      </c>
      <c r="Y811">
        <v>0</v>
      </c>
      <c r="Z811"/>
      <c r="AB811"/>
      <c r="AC811" s="1">
        <v>7200</v>
      </c>
      <c r="AD811">
        <v>255</v>
      </c>
      <c r="AE811" s="1">
        <v>1836000</v>
      </c>
      <c r="AF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 s="2">
        <v>42746</v>
      </c>
      <c r="AQ811" t="s">
        <v>72</v>
      </c>
      <c r="AR811" t="s">
        <v>72</v>
      </c>
      <c r="AS811">
        <v>864</v>
      </c>
      <c r="AT811" s="4">
        <v>42453</v>
      </c>
      <c r="AU811" t="s">
        <v>73</v>
      </c>
      <c r="AV811">
        <v>864</v>
      </c>
      <c r="AW811" s="4">
        <v>42453</v>
      </c>
      <c r="BD811">
        <v>0</v>
      </c>
      <c r="BN811" t="s">
        <v>74</v>
      </c>
    </row>
    <row r="812" spans="1:66" hidden="1">
      <c r="A812">
        <v>100210</v>
      </c>
      <c r="B812" s="3" t="s">
        <v>141</v>
      </c>
      <c r="C812" s="1">
        <v>43300101</v>
      </c>
      <c r="D812" t="s">
        <v>67</v>
      </c>
      <c r="H812" t="str">
        <f t="shared" si="71"/>
        <v>08082461008</v>
      </c>
      <c r="I812" t="str">
        <f t="shared" si="71"/>
        <v>08082461008</v>
      </c>
      <c r="K812" t="str">
        <f>""</f>
        <v/>
      </c>
      <c r="M812" t="s">
        <v>68</v>
      </c>
      <c r="N812" t="str">
        <f t="shared" si="68"/>
        <v>FOR</v>
      </c>
      <c r="O812" t="s">
        <v>69</v>
      </c>
      <c r="P812" s="3" t="s">
        <v>75</v>
      </c>
      <c r="Q812">
        <v>2015</v>
      </c>
      <c r="R812" s="2">
        <v>42138</v>
      </c>
      <c r="S812" s="2">
        <v>42174</v>
      </c>
      <c r="T812" s="2">
        <v>42139</v>
      </c>
      <c r="U812" s="2">
        <v>42199</v>
      </c>
      <c r="V812" t="s">
        <v>71</v>
      </c>
      <c r="W812" t="str">
        <f>"            15076860"</f>
        <v xml:space="preserve">            15076860</v>
      </c>
      <c r="X812" s="1">
        <v>2566.6799999999998</v>
      </c>
      <c r="Y812">
        <v>0</v>
      </c>
      <c r="Z812"/>
      <c r="AB812"/>
      <c r="AC812" s="1">
        <v>2103.84</v>
      </c>
      <c r="AD812">
        <v>254</v>
      </c>
      <c r="AE812" s="1">
        <v>534375.36</v>
      </c>
      <c r="AF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 s="2">
        <v>42746</v>
      </c>
      <c r="AQ812" t="s">
        <v>72</v>
      </c>
      <c r="AR812" t="s">
        <v>72</v>
      </c>
      <c r="AS812">
        <v>864</v>
      </c>
      <c r="AT812" s="4">
        <v>42453</v>
      </c>
      <c r="AU812" t="s">
        <v>73</v>
      </c>
      <c r="AV812">
        <v>864</v>
      </c>
      <c r="AW812" s="4">
        <v>42453</v>
      </c>
      <c r="BD812">
        <v>0</v>
      </c>
      <c r="BN812" t="s">
        <v>74</v>
      </c>
    </row>
    <row r="813" spans="1:66" hidden="1">
      <c r="A813">
        <v>100210</v>
      </c>
      <c r="B813" s="3" t="s">
        <v>141</v>
      </c>
      <c r="C813" s="1">
        <v>43300101</v>
      </c>
      <c r="D813" t="s">
        <v>67</v>
      </c>
      <c r="H813" t="str">
        <f t="shared" si="71"/>
        <v>08082461008</v>
      </c>
      <c r="I813" t="str">
        <f t="shared" si="71"/>
        <v>08082461008</v>
      </c>
      <c r="K813" t="str">
        <f>""</f>
        <v/>
      </c>
      <c r="M813" t="s">
        <v>68</v>
      </c>
      <c r="N813" t="str">
        <f t="shared" si="68"/>
        <v>FOR</v>
      </c>
      <c r="O813" t="s">
        <v>69</v>
      </c>
      <c r="P813" s="3" t="s">
        <v>75</v>
      </c>
      <c r="Q813">
        <v>2015</v>
      </c>
      <c r="R813" s="2">
        <v>42138</v>
      </c>
      <c r="S813" s="2">
        <v>42174</v>
      </c>
      <c r="T813" s="2">
        <v>42139</v>
      </c>
      <c r="U813" s="2">
        <v>42199</v>
      </c>
      <c r="V813" t="s">
        <v>71</v>
      </c>
      <c r="W813" t="str">
        <f>"            15076865"</f>
        <v xml:space="preserve">            15076865</v>
      </c>
      <c r="X813" s="1">
        <v>3542.15</v>
      </c>
      <c r="Y813">
        <v>0</v>
      </c>
      <c r="Z813"/>
      <c r="AB813"/>
      <c r="AC813" s="1">
        <v>2903.4</v>
      </c>
      <c r="AD813">
        <v>254</v>
      </c>
      <c r="AE813" s="1">
        <v>737463.6</v>
      </c>
      <c r="AF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 s="2">
        <v>42746</v>
      </c>
      <c r="AQ813" t="s">
        <v>72</v>
      </c>
      <c r="AR813" t="s">
        <v>72</v>
      </c>
      <c r="AS813">
        <v>864</v>
      </c>
      <c r="AT813" s="4">
        <v>42453</v>
      </c>
      <c r="AU813" t="s">
        <v>73</v>
      </c>
      <c r="AV813">
        <v>864</v>
      </c>
      <c r="AW813" s="4">
        <v>42453</v>
      </c>
      <c r="BD813">
        <v>0</v>
      </c>
      <c r="BN813" t="s">
        <v>74</v>
      </c>
    </row>
    <row r="814" spans="1:66" hidden="1">
      <c r="A814">
        <v>100210</v>
      </c>
      <c r="B814" s="3" t="s">
        <v>141</v>
      </c>
      <c r="C814" s="1">
        <v>43300101</v>
      </c>
      <c r="D814" t="s">
        <v>67</v>
      </c>
      <c r="H814" t="str">
        <f t="shared" si="71"/>
        <v>08082461008</v>
      </c>
      <c r="I814" t="str">
        <f t="shared" si="71"/>
        <v>08082461008</v>
      </c>
      <c r="K814" t="str">
        <f>""</f>
        <v/>
      </c>
      <c r="M814" t="s">
        <v>68</v>
      </c>
      <c r="N814" t="str">
        <f t="shared" ref="N814:N877" si="72">"FOR"</f>
        <v>FOR</v>
      </c>
      <c r="O814" t="s">
        <v>69</v>
      </c>
      <c r="P814" s="3" t="s">
        <v>75</v>
      </c>
      <c r="Q814">
        <v>2015</v>
      </c>
      <c r="R814" s="2">
        <v>42138</v>
      </c>
      <c r="S814" s="2">
        <v>42174</v>
      </c>
      <c r="T814" s="2">
        <v>42139</v>
      </c>
      <c r="U814" s="2">
        <v>42199</v>
      </c>
      <c r="V814" t="s">
        <v>71</v>
      </c>
      <c r="W814" t="str">
        <f>"            15076876"</f>
        <v xml:space="preserve">            15076876</v>
      </c>
      <c r="X814" s="1">
        <v>1297.4000000000001</v>
      </c>
      <c r="Y814">
        <v>0</v>
      </c>
      <c r="Z814"/>
      <c r="AB814"/>
      <c r="AC814" s="1">
        <v>1063.44</v>
      </c>
      <c r="AD814">
        <v>254</v>
      </c>
      <c r="AE814" s="1">
        <v>270113.76</v>
      </c>
      <c r="AF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 s="2">
        <v>42746</v>
      </c>
      <c r="AQ814" t="s">
        <v>72</v>
      </c>
      <c r="AR814" t="s">
        <v>72</v>
      </c>
      <c r="AS814">
        <v>864</v>
      </c>
      <c r="AT814" s="4">
        <v>42453</v>
      </c>
      <c r="AU814" t="s">
        <v>73</v>
      </c>
      <c r="AV814">
        <v>864</v>
      </c>
      <c r="AW814" s="4">
        <v>42453</v>
      </c>
      <c r="BD814">
        <v>0</v>
      </c>
      <c r="BN814" t="s">
        <v>74</v>
      </c>
    </row>
    <row r="815" spans="1:66" hidden="1">
      <c r="A815">
        <v>100210</v>
      </c>
      <c r="B815" s="3" t="s">
        <v>141</v>
      </c>
      <c r="C815" s="1">
        <v>43300101</v>
      </c>
      <c r="D815" t="s">
        <v>67</v>
      </c>
      <c r="H815" t="str">
        <f t="shared" si="71"/>
        <v>08082461008</v>
      </c>
      <c r="I815" t="str">
        <f t="shared" si="71"/>
        <v>08082461008</v>
      </c>
      <c r="K815" t="str">
        <f>""</f>
        <v/>
      </c>
      <c r="M815" t="s">
        <v>68</v>
      </c>
      <c r="N815" t="str">
        <f t="shared" si="72"/>
        <v>FOR</v>
      </c>
      <c r="O815" t="s">
        <v>69</v>
      </c>
      <c r="P815" s="3" t="s">
        <v>75</v>
      </c>
      <c r="Q815">
        <v>2015</v>
      </c>
      <c r="R815" s="2">
        <v>42138</v>
      </c>
      <c r="S815" s="2">
        <v>42174</v>
      </c>
      <c r="T815" s="2">
        <v>42139</v>
      </c>
      <c r="U815" s="2">
        <v>42199</v>
      </c>
      <c r="V815" t="s">
        <v>71</v>
      </c>
      <c r="W815" t="str">
        <f>"            15076877"</f>
        <v xml:space="preserve">            15076877</v>
      </c>
      <c r="X815" s="1">
        <v>5226.4799999999996</v>
      </c>
      <c r="Y815">
        <v>0</v>
      </c>
      <c r="Z815"/>
      <c r="AB815"/>
      <c r="AC815" s="1">
        <v>4284</v>
      </c>
      <c r="AD815">
        <v>254</v>
      </c>
      <c r="AE815" s="1">
        <v>1088136</v>
      </c>
      <c r="AF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 s="2">
        <v>42746</v>
      </c>
      <c r="AQ815" t="s">
        <v>72</v>
      </c>
      <c r="AR815" t="s">
        <v>72</v>
      </c>
      <c r="AS815">
        <v>864</v>
      </c>
      <c r="AT815" s="4">
        <v>42453</v>
      </c>
      <c r="AU815" t="s">
        <v>73</v>
      </c>
      <c r="AV815">
        <v>864</v>
      </c>
      <c r="AW815" s="4">
        <v>42453</v>
      </c>
      <c r="BD815">
        <v>0</v>
      </c>
      <c r="BN815" t="s">
        <v>74</v>
      </c>
    </row>
    <row r="816" spans="1:66" hidden="1">
      <c r="A816">
        <v>100210</v>
      </c>
      <c r="B816" s="3" t="s">
        <v>141</v>
      </c>
      <c r="C816" s="1">
        <v>43300101</v>
      </c>
      <c r="D816" t="s">
        <v>67</v>
      </c>
      <c r="H816" t="str">
        <f t="shared" si="71"/>
        <v>08082461008</v>
      </c>
      <c r="I816" t="str">
        <f t="shared" si="71"/>
        <v>08082461008</v>
      </c>
      <c r="K816" t="str">
        <f>""</f>
        <v/>
      </c>
      <c r="M816" t="s">
        <v>68</v>
      </c>
      <c r="N816" t="str">
        <f t="shared" si="72"/>
        <v>FOR</v>
      </c>
      <c r="O816" t="s">
        <v>69</v>
      </c>
      <c r="P816" s="3" t="s">
        <v>75</v>
      </c>
      <c r="Q816">
        <v>2015</v>
      </c>
      <c r="R816" s="2">
        <v>42138</v>
      </c>
      <c r="S816" s="2">
        <v>42174</v>
      </c>
      <c r="T816" s="2">
        <v>42139</v>
      </c>
      <c r="U816" s="2">
        <v>42199</v>
      </c>
      <c r="V816" t="s">
        <v>71</v>
      </c>
      <c r="W816" t="str">
        <f>"            15076878"</f>
        <v xml:space="preserve">            15076878</v>
      </c>
      <c r="X816" s="1">
        <v>5432.9</v>
      </c>
      <c r="Y816">
        <v>0</v>
      </c>
      <c r="Z816"/>
      <c r="AB816"/>
      <c r="AC816" s="1">
        <v>4453.2</v>
      </c>
      <c r="AD816">
        <v>254</v>
      </c>
      <c r="AE816" s="1">
        <v>1131112.8</v>
      </c>
      <c r="AF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 s="2">
        <v>42746</v>
      </c>
      <c r="AQ816" t="s">
        <v>72</v>
      </c>
      <c r="AR816" t="s">
        <v>72</v>
      </c>
      <c r="AS816">
        <v>864</v>
      </c>
      <c r="AT816" s="4">
        <v>42453</v>
      </c>
      <c r="AU816" t="s">
        <v>73</v>
      </c>
      <c r="AV816">
        <v>864</v>
      </c>
      <c r="AW816" s="4">
        <v>42453</v>
      </c>
      <c r="BD816">
        <v>0</v>
      </c>
      <c r="BN816" t="s">
        <v>74</v>
      </c>
    </row>
    <row r="817" spans="1:66" hidden="1">
      <c r="A817">
        <v>100210</v>
      </c>
      <c r="B817" s="3" t="s">
        <v>141</v>
      </c>
      <c r="C817" s="1">
        <v>43300101</v>
      </c>
      <c r="D817" t="s">
        <v>67</v>
      </c>
      <c r="H817" t="str">
        <f t="shared" ref="H817:I836" si="73">"08082461008"</f>
        <v>08082461008</v>
      </c>
      <c r="I817" t="str">
        <f t="shared" si="73"/>
        <v>08082461008</v>
      </c>
      <c r="K817" t="str">
        <f>""</f>
        <v/>
      </c>
      <c r="M817" t="s">
        <v>68</v>
      </c>
      <c r="N817" t="str">
        <f t="shared" si="72"/>
        <v>FOR</v>
      </c>
      <c r="O817" t="s">
        <v>69</v>
      </c>
      <c r="P817" s="3" t="s">
        <v>75</v>
      </c>
      <c r="Q817">
        <v>2015</v>
      </c>
      <c r="R817" s="2">
        <v>42138</v>
      </c>
      <c r="S817" s="2">
        <v>42174</v>
      </c>
      <c r="T817" s="2">
        <v>42139</v>
      </c>
      <c r="U817" s="2">
        <v>42199</v>
      </c>
      <c r="V817" t="s">
        <v>71</v>
      </c>
      <c r="W817" t="str">
        <f>"            15076885"</f>
        <v xml:space="preserve">            15076885</v>
      </c>
      <c r="X817" s="1">
        <v>3263.25</v>
      </c>
      <c r="Y817">
        <v>0</v>
      </c>
      <c r="Z817"/>
      <c r="AB817"/>
      <c r="AC817" s="1">
        <v>2674.8</v>
      </c>
      <c r="AD817">
        <v>254</v>
      </c>
      <c r="AE817" s="1">
        <v>679399.2</v>
      </c>
      <c r="AF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 s="2">
        <v>42746</v>
      </c>
      <c r="AQ817" t="s">
        <v>72</v>
      </c>
      <c r="AR817" t="s">
        <v>72</v>
      </c>
      <c r="AS817">
        <v>864</v>
      </c>
      <c r="AT817" s="4">
        <v>42453</v>
      </c>
      <c r="AU817" t="s">
        <v>73</v>
      </c>
      <c r="AV817">
        <v>864</v>
      </c>
      <c r="AW817" s="4">
        <v>42453</v>
      </c>
      <c r="BD817">
        <v>0</v>
      </c>
      <c r="BN817" t="s">
        <v>74</v>
      </c>
    </row>
    <row r="818" spans="1:66" hidden="1">
      <c r="A818">
        <v>100210</v>
      </c>
      <c r="B818" s="3" t="s">
        <v>141</v>
      </c>
      <c r="C818" s="1">
        <v>43300101</v>
      </c>
      <c r="D818" t="s">
        <v>67</v>
      </c>
      <c r="H818" t="str">
        <f t="shared" si="73"/>
        <v>08082461008</v>
      </c>
      <c r="I818" t="str">
        <f t="shared" si="73"/>
        <v>08082461008</v>
      </c>
      <c r="K818" t="str">
        <f>""</f>
        <v/>
      </c>
      <c r="M818" t="s">
        <v>68</v>
      </c>
      <c r="N818" t="str">
        <f t="shared" si="72"/>
        <v>FOR</v>
      </c>
      <c r="O818" t="s">
        <v>69</v>
      </c>
      <c r="P818" s="3" t="s">
        <v>75</v>
      </c>
      <c r="Q818">
        <v>2015</v>
      </c>
      <c r="R818" s="2">
        <v>42149</v>
      </c>
      <c r="S818" s="2">
        <v>42160</v>
      </c>
      <c r="T818" s="2">
        <v>42150</v>
      </c>
      <c r="U818" s="2">
        <v>42210</v>
      </c>
      <c r="V818" t="s">
        <v>71</v>
      </c>
      <c r="W818" t="str">
        <f>"            15083697"</f>
        <v xml:space="preserve">            15083697</v>
      </c>
      <c r="X818">
        <v>644.79999999999995</v>
      </c>
      <c r="Y818">
        <v>0</v>
      </c>
      <c r="Z818"/>
      <c r="AB818"/>
      <c r="AC818">
        <v>620</v>
      </c>
      <c r="AD818">
        <v>243</v>
      </c>
      <c r="AE818" s="1">
        <v>150660</v>
      </c>
      <c r="AF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 s="2">
        <v>42746</v>
      </c>
      <c r="AQ818" t="s">
        <v>72</v>
      </c>
      <c r="AR818" t="s">
        <v>72</v>
      </c>
      <c r="AS818">
        <v>864</v>
      </c>
      <c r="AT818" s="4">
        <v>42453</v>
      </c>
      <c r="AU818" t="s">
        <v>73</v>
      </c>
      <c r="AV818">
        <v>864</v>
      </c>
      <c r="AW818" s="4">
        <v>42453</v>
      </c>
      <c r="BD818">
        <v>0</v>
      </c>
      <c r="BN818" t="s">
        <v>74</v>
      </c>
    </row>
    <row r="819" spans="1:66" hidden="1">
      <c r="A819">
        <v>100210</v>
      </c>
      <c r="B819" s="3" t="s">
        <v>141</v>
      </c>
      <c r="C819" s="1">
        <v>43300101</v>
      </c>
      <c r="D819" t="s">
        <v>67</v>
      </c>
      <c r="H819" t="str">
        <f t="shared" si="73"/>
        <v>08082461008</v>
      </c>
      <c r="I819" t="str">
        <f t="shared" si="73"/>
        <v>08082461008</v>
      </c>
      <c r="K819" t="str">
        <f>""</f>
        <v/>
      </c>
      <c r="M819" t="s">
        <v>68</v>
      </c>
      <c r="N819" t="str">
        <f t="shared" si="72"/>
        <v>FOR</v>
      </c>
      <c r="O819" t="s">
        <v>69</v>
      </c>
      <c r="P819" s="3" t="s">
        <v>75</v>
      </c>
      <c r="Q819">
        <v>2015</v>
      </c>
      <c r="R819" s="2">
        <v>42149</v>
      </c>
      <c r="S819" s="2">
        <v>42160</v>
      </c>
      <c r="T819" s="2">
        <v>42150</v>
      </c>
      <c r="U819" s="2">
        <v>42210</v>
      </c>
      <c r="V819" t="s">
        <v>71</v>
      </c>
      <c r="W819" t="str">
        <f>"            15083866"</f>
        <v xml:space="preserve">            15083866</v>
      </c>
      <c r="X819" s="1">
        <v>2131.58</v>
      </c>
      <c r="Y819">
        <v>0</v>
      </c>
      <c r="Z819"/>
      <c r="AB819"/>
      <c r="AC819" s="1">
        <v>1747.2</v>
      </c>
      <c r="AD819">
        <v>243</v>
      </c>
      <c r="AE819" s="1">
        <v>424569.59999999998</v>
      </c>
      <c r="AF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 s="2">
        <v>42746</v>
      </c>
      <c r="AQ819" t="s">
        <v>72</v>
      </c>
      <c r="AR819" t="s">
        <v>72</v>
      </c>
      <c r="AS819">
        <v>864</v>
      </c>
      <c r="AT819" s="4">
        <v>42453</v>
      </c>
      <c r="AU819" t="s">
        <v>73</v>
      </c>
      <c r="AV819">
        <v>864</v>
      </c>
      <c r="AW819" s="4">
        <v>42453</v>
      </c>
      <c r="BD819">
        <v>0</v>
      </c>
      <c r="BN819" t="s">
        <v>74</v>
      </c>
    </row>
    <row r="820" spans="1:66" hidden="1">
      <c r="A820">
        <v>100210</v>
      </c>
      <c r="B820" s="3" t="s">
        <v>141</v>
      </c>
      <c r="C820" s="1">
        <v>43300101</v>
      </c>
      <c r="D820" t="s">
        <v>67</v>
      </c>
      <c r="H820" t="str">
        <f t="shared" si="73"/>
        <v>08082461008</v>
      </c>
      <c r="I820" t="str">
        <f t="shared" si="73"/>
        <v>08082461008</v>
      </c>
      <c r="K820" t="str">
        <f>""</f>
        <v/>
      </c>
      <c r="M820" t="s">
        <v>68</v>
      </c>
      <c r="N820" t="str">
        <f t="shared" si="72"/>
        <v>FOR</v>
      </c>
      <c r="O820" t="s">
        <v>69</v>
      </c>
      <c r="P820" s="3" t="s">
        <v>75</v>
      </c>
      <c r="Q820">
        <v>2015</v>
      </c>
      <c r="R820" s="2">
        <v>42150</v>
      </c>
      <c r="S820" s="2">
        <v>42160</v>
      </c>
      <c r="T820" s="2">
        <v>42152</v>
      </c>
      <c r="U820" s="2">
        <v>42212</v>
      </c>
      <c r="V820" t="s">
        <v>71</v>
      </c>
      <c r="W820" t="str">
        <f>"            15084398"</f>
        <v xml:space="preserve">            15084398</v>
      </c>
      <c r="X820">
        <v>568.76</v>
      </c>
      <c r="Y820">
        <v>0</v>
      </c>
      <c r="Z820"/>
      <c r="AB820"/>
      <c r="AC820">
        <v>466.2</v>
      </c>
      <c r="AD820">
        <v>241</v>
      </c>
      <c r="AE820" s="1">
        <v>112354.2</v>
      </c>
      <c r="AF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 s="2">
        <v>42746</v>
      </c>
      <c r="AQ820" t="s">
        <v>72</v>
      </c>
      <c r="AR820" t="s">
        <v>72</v>
      </c>
      <c r="AS820">
        <v>864</v>
      </c>
      <c r="AT820" s="4">
        <v>42453</v>
      </c>
      <c r="AU820" t="s">
        <v>73</v>
      </c>
      <c r="AV820">
        <v>864</v>
      </c>
      <c r="AW820" s="4">
        <v>42453</v>
      </c>
      <c r="BD820">
        <v>0</v>
      </c>
      <c r="BN820" t="s">
        <v>74</v>
      </c>
    </row>
    <row r="821" spans="1:66" hidden="1">
      <c r="A821">
        <v>100210</v>
      </c>
      <c r="B821" s="3" t="s">
        <v>141</v>
      </c>
      <c r="C821" s="1">
        <v>43300101</v>
      </c>
      <c r="D821" t="s">
        <v>67</v>
      </c>
      <c r="H821" t="str">
        <f t="shared" si="73"/>
        <v>08082461008</v>
      </c>
      <c r="I821" t="str">
        <f t="shared" si="73"/>
        <v>08082461008</v>
      </c>
      <c r="K821" t="str">
        <f>""</f>
        <v/>
      </c>
      <c r="M821" t="s">
        <v>68</v>
      </c>
      <c r="N821" t="str">
        <f t="shared" si="72"/>
        <v>FOR</v>
      </c>
      <c r="O821" t="s">
        <v>69</v>
      </c>
      <c r="P821" s="3" t="s">
        <v>75</v>
      </c>
      <c r="Q821">
        <v>2015</v>
      </c>
      <c r="R821" s="2">
        <v>42151</v>
      </c>
      <c r="S821" s="2">
        <v>42160</v>
      </c>
      <c r="T821" s="2">
        <v>42152</v>
      </c>
      <c r="U821" s="2">
        <v>42212</v>
      </c>
      <c r="V821" t="s">
        <v>71</v>
      </c>
      <c r="W821" t="str">
        <f>"            15085342"</f>
        <v xml:space="preserve">            15085342</v>
      </c>
      <c r="X821" s="1">
        <v>6353.76</v>
      </c>
      <c r="Y821">
        <v>0</v>
      </c>
      <c r="Z821"/>
      <c r="AB821"/>
      <c r="AC821" s="1">
        <v>5208</v>
      </c>
      <c r="AD821">
        <v>241</v>
      </c>
      <c r="AE821" s="1">
        <v>1255128</v>
      </c>
      <c r="AF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 s="2">
        <v>42746</v>
      </c>
      <c r="AQ821" t="s">
        <v>72</v>
      </c>
      <c r="AR821" t="s">
        <v>72</v>
      </c>
      <c r="AS821">
        <v>864</v>
      </c>
      <c r="AT821" s="4">
        <v>42453</v>
      </c>
      <c r="AU821" t="s">
        <v>73</v>
      </c>
      <c r="AV821">
        <v>864</v>
      </c>
      <c r="AW821" s="4">
        <v>42453</v>
      </c>
      <c r="BD821">
        <v>0</v>
      </c>
      <c r="BN821" t="s">
        <v>74</v>
      </c>
    </row>
    <row r="822" spans="1:66" hidden="1">
      <c r="A822">
        <v>100210</v>
      </c>
      <c r="B822" s="3" t="s">
        <v>141</v>
      </c>
      <c r="C822" s="1">
        <v>43300101</v>
      </c>
      <c r="D822" t="s">
        <v>67</v>
      </c>
      <c r="H822" t="str">
        <f t="shared" si="73"/>
        <v>08082461008</v>
      </c>
      <c r="I822" t="str">
        <f t="shared" si="73"/>
        <v>08082461008</v>
      </c>
      <c r="K822" t="str">
        <f>""</f>
        <v/>
      </c>
      <c r="M822" t="s">
        <v>68</v>
      </c>
      <c r="N822" t="str">
        <f t="shared" si="72"/>
        <v>FOR</v>
      </c>
      <c r="O822" t="s">
        <v>69</v>
      </c>
      <c r="P822" s="3" t="s">
        <v>75</v>
      </c>
      <c r="Q822">
        <v>2015</v>
      </c>
      <c r="R822" s="2">
        <v>42152</v>
      </c>
      <c r="S822" s="2">
        <v>42160</v>
      </c>
      <c r="T822" s="2">
        <v>42153</v>
      </c>
      <c r="U822" s="2">
        <v>42213</v>
      </c>
      <c r="V822" t="s">
        <v>71</v>
      </c>
      <c r="W822" t="str">
        <f>"            15085836"</f>
        <v xml:space="preserve">            15085836</v>
      </c>
      <c r="X822" s="1">
        <v>22399.200000000001</v>
      </c>
      <c r="Y822">
        <v>0</v>
      </c>
      <c r="Z822"/>
      <c r="AB822"/>
      <c r="AC822" s="1">
        <v>18360</v>
      </c>
      <c r="AD822">
        <v>240</v>
      </c>
      <c r="AE822" s="1">
        <v>4406400</v>
      </c>
      <c r="AF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 s="2">
        <v>42746</v>
      </c>
      <c r="AQ822" t="s">
        <v>72</v>
      </c>
      <c r="AR822" t="s">
        <v>72</v>
      </c>
      <c r="AS822">
        <v>864</v>
      </c>
      <c r="AT822" s="4">
        <v>42453</v>
      </c>
      <c r="AU822" t="s">
        <v>73</v>
      </c>
      <c r="AV822">
        <v>864</v>
      </c>
      <c r="AW822" s="4">
        <v>42453</v>
      </c>
      <c r="BD822">
        <v>0</v>
      </c>
      <c r="BN822" t="s">
        <v>74</v>
      </c>
    </row>
    <row r="823" spans="1:66" hidden="1">
      <c r="A823">
        <v>100210</v>
      </c>
      <c r="B823" s="3" t="s">
        <v>141</v>
      </c>
      <c r="C823" s="1">
        <v>43300101</v>
      </c>
      <c r="D823" t="s">
        <v>67</v>
      </c>
      <c r="H823" t="str">
        <f t="shared" si="73"/>
        <v>08082461008</v>
      </c>
      <c r="I823" t="str">
        <f t="shared" si="73"/>
        <v>08082461008</v>
      </c>
      <c r="K823" t="str">
        <f>""</f>
        <v/>
      </c>
      <c r="M823" t="s">
        <v>68</v>
      </c>
      <c r="N823" t="str">
        <f t="shared" si="72"/>
        <v>FOR</v>
      </c>
      <c r="O823" t="s">
        <v>69</v>
      </c>
      <c r="P823" s="3" t="s">
        <v>75</v>
      </c>
      <c r="Q823">
        <v>2015</v>
      </c>
      <c r="R823" s="2">
        <v>42158</v>
      </c>
      <c r="S823" s="2">
        <v>42163</v>
      </c>
      <c r="T823" s="2">
        <v>42159</v>
      </c>
      <c r="U823" s="2">
        <v>42219</v>
      </c>
      <c r="V823" t="s">
        <v>71</v>
      </c>
      <c r="W823" t="str">
        <f>"            15087581"</f>
        <v xml:space="preserve">            15087581</v>
      </c>
      <c r="X823">
        <v>644.79999999999995</v>
      </c>
      <c r="Y823">
        <v>0</v>
      </c>
      <c r="Z823"/>
      <c r="AB823"/>
      <c r="AC823">
        <v>620</v>
      </c>
      <c r="AD823">
        <v>301</v>
      </c>
      <c r="AE823" s="1">
        <v>186620</v>
      </c>
      <c r="AF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 s="2">
        <v>42746</v>
      </c>
      <c r="AQ823" t="s">
        <v>72</v>
      </c>
      <c r="AR823" t="s">
        <v>72</v>
      </c>
      <c r="AS823">
        <v>1458</v>
      </c>
      <c r="AT823" s="4">
        <v>42520</v>
      </c>
      <c r="AU823" t="s">
        <v>73</v>
      </c>
      <c r="AV823">
        <v>1458</v>
      </c>
      <c r="AW823" s="4">
        <v>42520</v>
      </c>
      <c r="BD823">
        <v>0</v>
      </c>
      <c r="BN823" t="s">
        <v>74</v>
      </c>
    </row>
    <row r="824" spans="1:66" hidden="1">
      <c r="A824">
        <v>100210</v>
      </c>
      <c r="B824" s="3" t="s">
        <v>141</v>
      </c>
      <c r="C824" s="1">
        <v>43300101</v>
      </c>
      <c r="D824" t="s">
        <v>67</v>
      </c>
      <c r="H824" t="str">
        <f t="shared" si="73"/>
        <v>08082461008</v>
      </c>
      <c r="I824" t="str">
        <f t="shared" si="73"/>
        <v>08082461008</v>
      </c>
      <c r="K824" t="str">
        <f>""</f>
        <v/>
      </c>
      <c r="M824" t="s">
        <v>68</v>
      </c>
      <c r="N824" t="str">
        <f t="shared" si="72"/>
        <v>FOR</v>
      </c>
      <c r="O824" t="s">
        <v>69</v>
      </c>
      <c r="P824" s="3" t="s">
        <v>75</v>
      </c>
      <c r="Q824">
        <v>2015</v>
      </c>
      <c r="R824" s="2">
        <v>42158</v>
      </c>
      <c r="S824" s="2">
        <v>42163</v>
      </c>
      <c r="T824" s="2">
        <v>42158</v>
      </c>
      <c r="U824" s="2">
        <v>42218</v>
      </c>
      <c r="V824" t="s">
        <v>71</v>
      </c>
      <c r="W824" t="str">
        <f>"            15087582"</f>
        <v xml:space="preserve">            15087582</v>
      </c>
      <c r="X824">
        <v>644.79999999999995</v>
      </c>
      <c r="Y824">
        <v>0</v>
      </c>
      <c r="Z824"/>
      <c r="AB824"/>
      <c r="AC824">
        <v>620</v>
      </c>
      <c r="AD824">
        <v>302</v>
      </c>
      <c r="AE824" s="1">
        <v>187240</v>
      </c>
      <c r="AF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 s="2">
        <v>42746</v>
      </c>
      <c r="AQ824" t="s">
        <v>72</v>
      </c>
      <c r="AR824" t="s">
        <v>72</v>
      </c>
      <c r="AS824">
        <v>1458</v>
      </c>
      <c r="AT824" s="4">
        <v>42520</v>
      </c>
      <c r="AU824" t="s">
        <v>73</v>
      </c>
      <c r="AV824">
        <v>1458</v>
      </c>
      <c r="AW824" s="4">
        <v>42520</v>
      </c>
      <c r="BD824">
        <v>0</v>
      </c>
      <c r="BN824" t="s">
        <v>74</v>
      </c>
    </row>
    <row r="825" spans="1:66" hidden="1">
      <c r="A825">
        <v>100210</v>
      </c>
      <c r="B825" s="3" t="s">
        <v>141</v>
      </c>
      <c r="C825" s="1">
        <v>43300101</v>
      </c>
      <c r="D825" t="s">
        <v>67</v>
      </c>
      <c r="H825" t="str">
        <f t="shared" si="73"/>
        <v>08082461008</v>
      </c>
      <c r="I825" t="str">
        <f t="shared" si="73"/>
        <v>08082461008</v>
      </c>
      <c r="K825" t="str">
        <f>""</f>
        <v/>
      </c>
      <c r="M825" t="s">
        <v>68</v>
      </c>
      <c r="N825" t="str">
        <f t="shared" si="72"/>
        <v>FOR</v>
      </c>
      <c r="O825" t="s">
        <v>69</v>
      </c>
      <c r="P825" s="3" t="s">
        <v>75</v>
      </c>
      <c r="Q825">
        <v>2015</v>
      </c>
      <c r="R825" s="2">
        <v>42158</v>
      </c>
      <c r="S825" s="2">
        <v>42163</v>
      </c>
      <c r="T825" s="2">
        <v>42158</v>
      </c>
      <c r="U825" s="2">
        <v>42218</v>
      </c>
      <c r="V825" t="s">
        <v>71</v>
      </c>
      <c r="W825" t="str">
        <f>"            15087584"</f>
        <v xml:space="preserve">            15087584</v>
      </c>
      <c r="X825">
        <v>644.79999999999995</v>
      </c>
      <c r="Y825">
        <v>0</v>
      </c>
      <c r="Z825"/>
      <c r="AB825"/>
      <c r="AC825">
        <v>620</v>
      </c>
      <c r="AD825">
        <v>302</v>
      </c>
      <c r="AE825" s="1">
        <v>187240</v>
      </c>
      <c r="AF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 s="2">
        <v>42746</v>
      </c>
      <c r="AQ825" t="s">
        <v>72</v>
      </c>
      <c r="AR825" t="s">
        <v>72</v>
      </c>
      <c r="AS825">
        <v>1458</v>
      </c>
      <c r="AT825" s="4">
        <v>42520</v>
      </c>
      <c r="AU825" t="s">
        <v>73</v>
      </c>
      <c r="AV825">
        <v>1458</v>
      </c>
      <c r="AW825" s="4">
        <v>42520</v>
      </c>
      <c r="BD825">
        <v>0</v>
      </c>
      <c r="BN825" t="s">
        <v>74</v>
      </c>
    </row>
    <row r="826" spans="1:66" hidden="1">
      <c r="A826">
        <v>100210</v>
      </c>
      <c r="B826" s="3" t="s">
        <v>141</v>
      </c>
      <c r="C826" s="1">
        <v>43300101</v>
      </c>
      <c r="D826" t="s">
        <v>67</v>
      </c>
      <c r="H826" t="str">
        <f t="shared" si="73"/>
        <v>08082461008</v>
      </c>
      <c r="I826" t="str">
        <f t="shared" si="73"/>
        <v>08082461008</v>
      </c>
      <c r="K826" t="str">
        <f>""</f>
        <v/>
      </c>
      <c r="M826" t="s">
        <v>68</v>
      </c>
      <c r="N826" t="str">
        <f t="shared" si="72"/>
        <v>FOR</v>
      </c>
      <c r="O826" t="s">
        <v>69</v>
      </c>
      <c r="P826" s="3" t="s">
        <v>75</v>
      </c>
      <c r="Q826">
        <v>2015</v>
      </c>
      <c r="R826" s="2">
        <v>42159</v>
      </c>
      <c r="S826" s="2">
        <v>42163</v>
      </c>
      <c r="T826" s="2">
        <v>42160</v>
      </c>
      <c r="U826" s="2">
        <v>42220</v>
      </c>
      <c r="V826" t="s">
        <v>71</v>
      </c>
      <c r="W826" t="str">
        <f>"            15088562"</f>
        <v xml:space="preserve">            15088562</v>
      </c>
      <c r="X826">
        <v>644.79999999999995</v>
      </c>
      <c r="Y826">
        <v>0</v>
      </c>
      <c r="Z826"/>
      <c r="AB826"/>
      <c r="AC826">
        <v>620</v>
      </c>
      <c r="AD826">
        <v>300</v>
      </c>
      <c r="AE826" s="1">
        <v>186000</v>
      </c>
      <c r="AF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 s="2">
        <v>42746</v>
      </c>
      <c r="AQ826" t="s">
        <v>72</v>
      </c>
      <c r="AR826" t="s">
        <v>72</v>
      </c>
      <c r="AS826">
        <v>1458</v>
      </c>
      <c r="AT826" s="4">
        <v>42520</v>
      </c>
      <c r="AU826" t="s">
        <v>73</v>
      </c>
      <c r="AV826">
        <v>1458</v>
      </c>
      <c r="AW826" s="4">
        <v>42520</v>
      </c>
      <c r="BD826">
        <v>0</v>
      </c>
      <c r="BN826" t="s">
        <v>74</v>
      </c>
    </row>
    <row r="827" spans="1:66" hidden="1">
      <c r="A827">
        <v>100210</v>
      </c>
      <c r="B827" s="3" t="s">
        <v>141</v>
      </c>
      <c r="C827" s="1">
        <v>43300101</v>
      </c>
      <c r="D827" t="s">
        <v>67</v>
      </c>
      <c r="H827" t="str">
        <f t="shared" si="73"/>
        <v>08082461008</v>
      </c>
      <c r="I827" t="str">
        <f t="shared" si="73"/>
        <v>08082461008</v>
      </c>
      <c r="K827" t="str">
        <f>""</f>
        <v/>
      </c>
      <c r="M827" t="s">
        <v>68</v>
      </c>
      <c r="N827" t="str">
        <f t="shared" si="72"/>
        <v>FOR</v>
      </c>
      <c r="O827" t="s">
        <v>69</v>
      </c>
      <c r="P827" s="3" t="s">
        <v>75</v>
      </c>
      <c r="Q827">
        <v>2015</v>
      </c>
      <c r="R827" s="2">
        <v>42163</v>
      </c>
      <c r="S827" s="2">
        <v>42165</v>
      </c>
      <c r="T827" s="2">
        <v>42164</v>
      </c>
      <c r="U827" s="2">
        <v>42224</v>
      </c>
      <c r="V827" t="s">
        <v>71</v>
      </c>
      <c r="W827" t="str">
        <f>"            15090278"</f>
        <v xml:space="preserve">            15090278</v>
      </c>
      <c r="X827">
        <v>451.88</v>
      </c>
      <c r="Y827">
        <v>0</v>
      </c>
      <c r="Z827"/>
      <c r="AB827"/>
      <c r="AC827">
        <v>434.5</v>
      </c>
      <c r="AD827">
        <v>296</v>
      </c>
      <c r="AE827" s="1">
        <v>128612</v>
      </c>
      <c r="AF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 s="2">
        <v>42746</v>
      </c>
      <c r="AQ827" t="s">
        <v>72</v>
      </c>
      <c r="AR827" t="s">
        <v>72</v>
      </c>
      <c r="AS827">
        <v>1458</v>
      </c>
      <c r="AT827" s="4">
        <v>42520</v>
      </c>
      <c r="AU827" t="s">
        <v>73</v>
      </c>
      <c r="AV827">
        <v>1458</v>
      </c>
      <c r="AW827" s="4">
        <v>42520</v>
      </c>
      <c r="BD827">
        <v>0</v>
      </c>
      <c r="BN827" t="s">
        <v>74</v>
      </c>
    </row>
    <row r="828" spans="1:66" hidden="1">
      <c r="A828">
        <v>100210</v>
      </c>
      <c r="B828" s="3" t="s">
        <v>141</v>
      </c>
      <c r="C828" s="1">
        <v>43300101</v>
      </c>
      <c r="D828" t="s">
        <v>67</v>
      </c>
      <c r="H828" t="str">
        <f t="shared" si="73"/>
        <v>08082461008</v>
      </c>
      <c r="I828" t="str">
        <f t="shared" si="73"/>
        <v>08082461008</v>
      </c>
      <c r="K828" t="str">
        <f>""</f>
        <v/>
      </c>
      <c r="M828" t="s">
        <v>68</v>
      </c>
      <c r="N828" t="str">
        <f t="shared" si="72"/>
        <v>FOR</v>
      </c>
      <c r="O828" t="s">
        <v>69</v>
      </c>
      <c r="P828" s="3" t="s">
        <v>75</v>
      </c>
      <c r="Q828">
        <v>2015</v>
      </c>
      <c r="R828" s="2">
        <v>42163</v>
      </c>
      <c r="S828" s="2">
        <v>42165</v>
      </c>
      <c r="T828" s="2">
        <v>42164</v>
      </c>
      <c r="U828" s="2">
        <v>42224</v>
      </c>
      <c r="V828" t="s">
        <v>71</v>
      </c>
      <c r="W828" t="str">
        <f>"            15090279"</f>
        <v xml:space="preserve">            15090279</v>
      </c>
      <c r="X828">
        <v>451.88</v>
      </c>
      <c r="Y828">
        <v>0</v>
      </c>
      <c r="Z828"/>
      <c r="AB828"/>
      <c r="AC828">
        <v>434.5</v>
      </c>
      <c r="AD828">
        <v>296</v>
      </c>
      <c r="AE828" s="1">
        <v>128612</v>
      </c>
      <c r="AF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 s="2">
        <v>42746</v>
      </c>
      <c r="AQ828" t="s">
        <v>72</v>
      </c>
      <c r="AR828" t="s">
        <v>72</v>
      </c>
      <c r="AS828">
        <v>1458</v>
      </c>
      <c r="AT828" s="4">
        <v>42520</v>
      </c>
      <c r="AU828" t="s">
        <v>73</v>
      </c>
      <c r="AV828">
        <v>1458</v>
      </c>
      <c r="AW828" s="4">
        <v>42520</v>
      </c>
      <c r="BD828">
        <v>0</v>
      </c>
      <c r="BN828" t="s">
        <v>74</v>
      </c>
    </row>
    <row r="829" spans="1:66" hidden="1">
      <c r="A829">
        <v>100210</v>
      </c>
      <c r="B829" s="3" t="s">
        <v>141</v>
      </c>
      <c r="C829" s="1">
        <v>43300101</v>
      </c>
      <c r="D829" t="s">
        <v>67</v>
      </c>
      <c r="H829" t="str">
        <f t="shared" si="73"/>
        <v>08082461008</v>
      </c>
      <c r="I829" t="str">
        <f t="shared" si="73"/>
        <v>08082461008</v>
      </c>
      <c r="K829" t="str">
        <f>""</f>
        <v/>
      </c>
      <c r="M829" t="s">
        <v>68</v>
      </c>
      <c r="N829" t="str">
        <f t="shared" si="72"/>
        <v>FOR</v>
      </c>
      <c r="O829" t="s">
        <v>69</v>
      </c>
      <c r="P829" s="3" t="s">
        <v>75</v>
      </c>
      <c r="Q829">
        <v>2015</v>
      </c>
      <c r="R829" s="2">
        <v>42163</v>
      </c>
      <c r="S829" s="2">
        <v>42165</v>
      </c>
      <c r="T829" s="2">
        <v>42164</v>
      </c>
      <c r="U829" s="2">
        <v>42224</v>
      </c>
      <c r="V829" t="s">
        <v>71</v>
      </c>
      <c r="W829" t="str">
        <f>"            15090280"</f>
        <v xml:space="preserve">            15090280</v>
      </c>
      <c r="X829">
        <v>188.76</v>
      </c>
      <c r="Y829">
        <v>0</v>
      </c>
      <c r="Z829"/>
      <c r="AB829"/>
      <c r="AC829">
        <v>181.5</v>
      </c>
      <c r="AD829">
        <v>296</v>
      </c>
      <c r="AE829" s="1">
        <v>53724</v>
      </c>
      <c r="AF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 s="2">
        <v>42746</v>
      </c>
      <c r="AQ829" t="s">
        <v>72</v>
      </c>
      <c r="AR829" t="s">
        <v>72</v>
      </c>
      <c r="AS829">
        <v>1458</v>
      </c>
      <c r="AT829" s="4">
        <v>42520</v>
      </c>
      <c r="AU829" t="s">
        <v>73</v>
      </c>
      <c r="AV829">
        <v>1458</v>
      </c>
      <c r="AW829" s="4">
        <v>42520</v>
      </c>
      <c r="BD829">
        <v>0</v>
      </c>
      <c r="BN829" t="s">
        <v>74</v>
      </c>
    </row>
    <row r="830" spans="1:66" hidden="1">
      <c r="A830">
        <v>100210</v>
      </c>
      <c r="B830" s="3" t="s">
        <v>141</v>
      </c>
      <c r="C830" s="1">
        <v>43300101</v>
      </c>
      <c r="D830" t="s">
        <v>67</v>
      </c>
      <c r="H830" t="str">
        <f t="shared" si="73"/>
        <v>08082461008</v>
      </c>
      <c r="I830" t="str">
        <f t="shared" si="73"/>
        <v>08082461008</v>
      </c>
      <c r="K830" t="str">
        <f>""</f>
        <v/>
      </c>
      <c r="M830" t="s">
        <v>68</v>
      </c>
      <c r="N830" t="str">
        <f t="shared" si="72"/>
        <v>FOR</v>
      </c>
      <c r="O830" t="s">
        <v>69</v>
      </c>
      <c r="P830" s="3" t="s">
        <v>75</v>
      </c>
      <c r="Q830">
        <v>2015</v>
      </c>
      <c r="R830" s="2">
        <v>42163</v>
      </c>
      <c r="S830" s="2">
        <v>42165</v>
      </c>
      <c r="T830" s="2">
        <v>42164</v>
      </c>
      <c r="U830" s="2">
        <v>42224</v>
      </c>
      <c r="V830" t="s">
        <v>71</v>
      </c>
      <c r="W830" t="str">
        <f>"            15090282"</f>
        <v xml:space="preserve">            15090282</v>
      </c>
      <c r="X830">
        <v>188.76</v>
      </c>
      <c r="Y830">
        <v>0</v>
      </c>
      <c r="Z830"/>
      <c r="AB830"/>
      <c r="AC830">
        <v>181.5</v>
      </c>
      <c r="AD830">
        <v>296</v>
      </c>
      <c r="AE830" s="1">
        <v>53724</v>
      </c>
      <c r="AF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 s="2">
        <v>42746</v>
      </c>
      <c r="AQ830" t="s">
        <v>72</v>
      </c>
      <c r="AR830" t="s">
        <v>72</v>
      </c>
      <c r="AS830">
        <v>1458</v>
      </c>
      <c r="AT830" s="4">
        <v>42520</v>
      </c>
      <c r="AU830" t="s">
        <v>73</v>
      </c>
      <c r="AV830">
        <v>1458</v>
      </c>
      <c r="AW830" s="4">
        <v>42520</v>
      </c>
      <c r="BD830">
        <v>0</v>
      </c>
      <c r="BN830" t="s">
        <v>74</v>
      </c>
    </row>
    <row r="831" spans="1:66" hidden="1">
      <c r="A831">
        <v>100210</v>
      </c>
      <c r="B831" s="3" t="s">
        <v>141</v>
      </c>
      <c r="C831" s="1">
        <v>43300101</v>
      </c>
      <c r="D831" t="s">
        <v>67</v>
      </c>
      <c r="H831" t="str">
        <f t="shared" si="73"/>
        <v>08082461008</v>
      </c>
      <c r="I831" t="str">
        <f t="shared" si="73"/>
        <v>08082461008</v>
      </c>
      <c r="K831" t="str">
        <f>""</f>
        <v/>
      </c>
      <c r="M831" t="s">
        <v>68</v>
      </c>
      <c r="N831" t="str">
        <f t="shared" si="72"/>
        <v>FOR</v>
      </c>
      <c r="O831" t="s">
        <v>69</v>
      </c>
      <c r="P831" s="3" t="s">
        <v>75</v>
      </c>
      <c r="Q831">
        <v>2015</v>
      </c>
      <c r="R831" s="2">
        <v>42163</v>
      </c>
      <c r="S831" s="2">
        <v>42165</v>
      </c>
      <c r="T831" s="2">
        <v>42164</v>
      </c>
      <c r="U831" s="2">
        <v>42224</v>
      </c>
      <c r="V831" t="s">
        <v>71</v>
      </c>
      <c r="W831" t="str">
        <f>"            15090283"</f>
        <v xml:space="preserve">            15090283</v>
      </c>
      <c r="X831">
        <v>114.4</v>
      </c>
      <c r="Y831">
        <v>0</v>
      </c>
      <c r="Z831"/>
      <c r="AB831"/>
      <c r="AC831">
        <v>110</v>
      </c>
      <c r="AD831">
        <v>296</v>
      </c>
      <c r="AE831" s="1">
        <v>32560</v>
      </c>
      <c r="AF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 s="2">
        <v>42746</v>
      </c>
      <c r="AQ831" t="s">
        <v>72</v>
      </c>
      <c r="AR831" t="s">
        <v>72</v>
      </c>
      <c r="AS831">
        <v>1458</v>
      </c>
      <c r="AT831" s="4">
        <v>42520</v>
      </c>
      <c r="AU831" t="s">
        <v>73</v>
      </c>
      <c r="AV831">
        <v>1458</v>
      </c>
      <c r="AW831" s="4">
        <v>42520</v>
      </c>
      <c r="BD831">
        <v>0</v>
      </c>
      <c r="BN831" t="s">
        <v>74</v>
      </c>
    </row>
    <row r="832" spans="1:66" hidden="1">
      <c r="A832">
        <v>100210</v>
      </c>
      <c r="B832" s="3" t="s">
        <v>141</v>
      </c>
      <c r="C832" s="1">
        <v>43300101</v>
      </c>
      <c r="D832" t="s">
        <v>67</v>
      </c>
      <c r="H832" t="str">
        <f t="shared" si="73"/>
        <v>08082461008</v>
      </c>
      <c r="I832" t="str">
        <f t="shared" si="73"/>
        <v>08082461008</v>
      </c>
      <c r="K832" t="str">
        <f>""</f>
        <v/>
      </c>
      <c r="M832" t="s">
        <v>68</v>
      </c>
      <c r="N832" t="str">
        <f t="shared" si="72"/>
        <v>FOR</v>
      </c>
      <c r="O832" t="s">
        <v>69</v>
      </c>
      <c r="P832" s="3" t="s">
        <v>75</v>
      </c>
      <c r="Q832">
        <v>2015</v>
      </c>
      <c r="R832" s="2">
        <v>42164</v>
      </c>
      <c r="S832" s="2">
        <v>42165</v>
      </c>
      <c r="T832" s="2">
        <v>42164</v>
      </c>
      <c r="U832" s="2">
        <v>42224</v>
      </c>
      <c r="V832" t="s">
        <v>71</v>
      </c>
      <c r="W832" t="str">
        <f>"            15091100"</f>
        <v xml:space="preserve">            15091100</v>
      </c>
      <c r="X832" s="1">
        <v>9494.77</v>
      </c>
      <c r="Y832">
        <v>0</v>
      </c>
      <c r="Z832"/>
      <c r="AB832"/>
      <c r="AC832" s="1">
        <v>7782.6</v>
      </c>
      <c r="AD832">
        <v>296</v>
      </c>
      <c r="AE832" s="1">
        <v>2303649.6</v>
      </c>
      <c r="AF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 s="2">
        <v>42746</v>
      </c>
      <c r="AQ832" t="s">
        <v>72</v>
      </c>
      <c r="AR832" t="s">
        <v>72</v>
      </c>
      <c r="AS832">
        <v>1458</v>
      </c>
      <c r="AT832" s="4">
        <v>42520</v>
      </c>
      <c r="AU832" t="s">
        <v>73</v>
      </c>
      <c r="AV832">
        <v>1458</v>
      </c>
      <c r="AW832" s="4">
        <v>42520</v>
      </c>
      <c r="BD832">
        <v>0</v>
      </c>
      <c r="BN832" t="s">
        <v>74</v>
      </c>
    </row>
    <row r="833" spans="1:66" hidden="1">
      <c r="A833">
        <v>100210</v>
      </c>
      <c r="B833" s="3" t="s">
        <v>141</v>
      </c>
      <c r="C833" s="1">
        <v>43300101</v>
      </c>
      <c r="D833" t="s">
        <v>67</v>
      </c>
      <c r="H833" t="str">
        <f t="shared" si="73"/>
        <v>08082461008</v>
      </c>
      <c r="I833" t="str">
        <f t="shared" si="73"/>
        <v>08082461008</v>
      </c>
      <c r="K833" t="str">
        <f>""</f>
        <v/>
      </c>
      <c r="M833" t="s">
        <v>68</v>
      </c>
      <c r="N833" t="str">
        <f t="shared" si="72"/>
        <v>FOR</v>
      </c>
      <c r="O833" t="s">
        <v>69</v>
      </c>
      <c r="P833" s="3" t="s">
        <v>75</v>
      </c>
      <c r="Q833">
        <v>2015</v>
      </c>
      <c r="R833" s="2">
        <v>42164</v>
      </c>
      <c r="S833" s="2">
        <v>42165</v>
      </c>
      <c r="T833" s="2">
        <v>42164</v>
      </c>
      <c r="U833" s="2">
        <v>42224</v>
      </c>
      <c r="V833" t="s">
        <v>71</v>
      </c>
      <c r="W833" t="str">
        <f>"            15091132"</f>
        <v xml:space="preserve">            15091132</v>
      </c>
      <c r="X833" s="1">
        <v>6295.2</v>
      </c>
      <c r="Y833">
        <v>0</v>
      </c>
      <c r="Z833"/>
      <c r="AB833"/>
      <c r="AC833" s="1">
        <v>5160</v>
      </c>
      <c r="AD833">
        <v>296</v>
      </c>
      <c r="AE833" s="1">
        <v>1527360</v>
      </c>
      <c r="AF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 s="2">
        <v>42746</v>
      </c>
      <c r="AQ833" t="s">
        <v>72</v>
      </c>
      <c r="AR833" t="s">
        <v>72</v>
      </c>
      <c r="AS833">
        <v>1458</v>
      </c>
      <c r="AT833" s="4">
        <v>42520</v>
      </c>
      <c r="AU833" t="s">
        <v>73</v>
      </c>
      <c r="AV833">
        <v>1458</v>
      </c>
      <c r="AW833" s="4">
        <v>42520</v>
      </c>
      <c r="BD833">
        <v>0</v>
      </c>
      <c r="BN833" t="s">
        <v>74</v>
      </c>
    </row>
    <row r="834" spans="1:66" hidden="1">
      <c r="A834">
        <v>100210</v>
      </c>
      <c r="B834" s="3" t="s">
        <v>141</v>
      </c>
      <c r="C834" s="1">
        <v>43300101</v>
      </c>
      <c r="D834" t="s">
        <v>67</v>
      </c>
      <c r="H834" t="str">
        <f t="shared" si="73"/>
        <v>08082461008</v>
      </c>
      <c r="I834" t="str">
        <f t="shared" si="73"/>
        <v>08082461008</v>
      </c>
      <c r="K834" t="str">
        <f>""</f>
        <v/>
      </c>
      <c r="M834" t="s">
        <v>68</v>
      </c>
      <c r="N834" t="str">
        <f t="shared" si="72"/>
        <v>FOR</v>
      </c>
      <c r="O834" t="s">
        <v>69</v>
      </c>
      <c r="P834" s="3" t="s">
        <v>75</v>
      </c>
      <c r="Q834">
        <v>2015</v>
      </c>
      <c r="R834" s="2">
        <v>42164</v>
      </c>
      <c r="S834" s="2">
        <v>42165</v>
      </c>
      <c r="T834" s="2">
        <v>42165</v>
      </c>
      <c r="U834" s="2">
        <v>42225</v>
      </c>
      <c r="V834" t="s">
        <v>71</v>
      </c>
      <c r="W834" t="str">
        <f>"            15091160"</f>
        <v xml:space="preserve">            15091160</v>
      </c>
      <c r="X834">
        <v>239.8</v>
      </c>
      <c r="Y834">
        <v>0</v>
      </c>
      <c r="Z834"/>
      <c r="AB834"/>
      <c r="AC834">
        <v>196.56</v>
      </c>
      <c r="AD834">
        <v>295</v>
      </c>
      <c r="AE834" s="1">
        <v>57985.2</v>
      </c>
      <c r="AF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 s="2">
        <v>42746</v>
      </c>
      <c r="AQ834" t="s">
        <v>72</v>
      </c>
      <c r="AR834" t="s">
        <v>72</v>
      </c>
      <c r="AS834">
        <v>1458</v>
      </c>
      <c r="AT834" s="4">
        <v>42520</v>
      </c>
      <c r="AU834" t="s">
        <v>73</v>
      </c>
      <c r="AV834">
        <v>1458</v>
      </c>
      <c r="AW834" s="4">
        <v>42520</v>
      </c>
      <c r="BD834">
        <v>0</v>
      </c>
      <c r="BN834" t="s">
        <v>74</v>
      </c>
    </row>
    <row r="835" spans="1:66" hidden="1">
      <c r="A835">
        <v>100210</v>
      </c>
      <c r="B835" s="3" t="s">
        <v>141</v>
      </c>
      <c r="C835" s="1">
        <v>43300101</v>
      </c>
      <c r="D835" t="s">
        <v>67</v>
      </c>
      <c r="H835" t="str">
        <f t="shared" si="73"/>
        <v>08082461008</v>
      </c>
      <c r="I835" t="str">
        <f t="shared" si="73"/>
        <v>08082461008</v>
      </c>
      <c r="K835" t="str">
        <f>""</f>
        <v/>
      </c>
      <c r="M835" t="s">
        <v>68</v>
      </c>
      <c r="N835" t="str">
        <f t="shared" si="72"/>
        <v>FOR</v>
      </c>
      <c r="O835" t="s">
        <v>69</v>
      </c>
      <c r="P835" s="3" t="s">
        <v>75</v>
      </c>
      <c r="Q835">
        <v>2015</v>
      </c>
      <c r="R835" s="2">
        <v>42165</v>
      </c>
      <c r="S835" s="2">
        <v>42167</v>
      </c>
      <c r="T835" s="2">
        <v>42165</v>
      </c>
      <c r="U835" s="2">
        <v>42225</v>
      </c>
      <c r="V835" t="s">
        <v>71</v>
      </c>
      <c r="W835" t="str">
        <f>"            15092123"</f>
        <v xml:space="preserve">            15092123</v>
      </c>
      <c r="X835" s="1">
        <v>6406.61</v>
      </c>
      <c r="Y835">
        <v>0</v>
      </c>
      <c r="Z835"/>
      <c r="AB835"/>
      <c r="AC835" s="1">
        <v>5251.32</v>
      </c>
      <c r="AD835">
        <v>295</v>
      </c>
      <c r="AE835" s="1">
        <v>1549139.4</v>
      </c>
      <c r="AF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 s="2">
        <v>42746</v>
      </c>
      <c r="AQ835" t="s">
        <v>72</v>
      </c>
      <c r="AR835" t="s">
        <v>72</v>
      </c>
      <c r="AS835">
        <v>1458</v>
      </c>
      <c r="AT835" s="4">
        <v>42520</v>
      </c>
      <c r="AU835" t="s">
        <v>73</v>
      </c>
      <c r="AV835">
        <v>1458</v>
      </c>
      <c r="AW835" s="4">
        <v>42520</v>
      </c>
      <c r="BD835">
        <v>0</v>
      </c>
      <c r="BN835" t="s">
        <v>74</v>
      </c>
    </row>
    <row r="836" spans="1:66" hidden="1">
      <c r="A836">
        <v>100210</v>
      </c>
      <c r="B836" s="3" t="s">
        <v>141</v>
      </c>
      <c r="C836" s="1">
        <v>43300101</v>
      </c>
      <c r="D836" t="s">
        <v>67</v>
      </c>
      <c r="H836" t="str">
        <f t="shared" si="73"/>
        <v>08082461008</v>
      </c>
      <c r="I836" t="str">
        <f t="shared" si="73"/>
        <v>08082461008</v>
      </c>
      <c r="K836" t="str">
        <f>""</f>
        <v/>
      </c>
      <c r="M836" t="s">
        <v>68</v>
      </c>
      <c r="N836" t="str">
        <f t="shared" si="72"/>
        <v>FOR</v>
      </c>
      <c r="O836" t="s">
        <v>69</v>
      </c>
      <c r="P836" s="3" t="s">
        <v>75</v>
      </c>
      <c r="Q836">
        <v>2015</v>
      </c>
      <c r="R836" s="2">
        <v>42166</v>
      </c>
      <c r="S836" s="2">
        <v>42167</v>
      </c>
      <c r="T836" s="2">
        <v>42167</v>
      </c>
      <c r="U836" s="2">
        <v>42227</v>
      </c>
      <c r="V836" t="s">
        <v>71</v>
      </c>
      <c r="W836" t="str">
        <f>"            15092646"</f>
        <v xml:space="preserve">            15092646</v>
      </c>
      <c r="X836">
        <v>114.4</v>
      </c>
      <c r="Y836">
        <v>0</v>
      </c>
      <c r="Z836"/>
      <c r="AB836"/>
      <c r="AC836">
        <v>110</v>
      </c>
      <c r="AD836">
        <v>293</v>
      </c>
      <c r="AE836" s="1">
        <v>32230</v>
      </c>
      <c r="AF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 s="2">
        <v>42746</v>
      </c>
      <c r="AQ836" t="s">
        <v>72</v>
      </c>
      <c r="AR836" t="s">
        <v>72</v>
      </c>
      <c r="AS836">
        <v>1458</v>
      </c>
      <c r="AT836" s="4">
        <v>42520</v>
      </c>
      <c r="AU836" t="s">
        <v>73</v>
      </c>
      <c r="AV836">
        <v>1458</v>
      </c>
      <c r="AW836" s="4">
        <v>42520</v>
      </c>
      <c r="BD836">
        <v>0</v>
      </c>
      <c r="BN836" t="s">
        <v>74</v>
      </c>
    </row>
    <row r="837" spans="1:66" hidden="1">
      <c r="A837">
        <v>100210</v>
      </c>
      <c r="B837" s="3" t="s">
        <v>141</v>
      </c>
      <c r="C837" s="1">
        <v>43300101</v>
      </c>
      <c r="D837" t="s">
        <v>67</v>
      </c>
      <c r="H837" t="str">
        <f t="shared" ref="H837:I856" si="74">"08082461008"</f>
        <v>08082461008</v>
      </c>
      <c r="I837" t="str">
        <f t="shared" si="74"/>
        <v>08082461008</v>
      </c>
      <c r="K837" t="str">
        <f>""</f>
        <v/>
      </c>
      <c r="M837" t="s">
        <v>68</v>
      </c>
      <c r="N837" t="str">
        <f t="shared" si="72"/>
        <v>FOR</v>
      </c>
      <c r="O837" t="s">
        <v>69</v>
      </c>
      <c r="P837" s="3" t="s">
        <v>75</v>
      </c>
      <c r="Q837">
        <v>2015</v>
      </c>
      <c r="R837" s="2">
        <v>42166</v>
      </c>
      <c r="S837" s="2">
        <v>42167</v>
      </c>
      <c r="T837" s="2">
        <v>42167</v>
      </c>
      <c r="U837" s="2">
        <v>42227</v>
      </c>
      <c r="V837" t="s">
        <v>71</v>
      </c>
      <c r="W837" t="str">
        <f>"            15092647"</f>
        <v xml:space="preserve">            15092647</v>
      </c>
      <c r="X837">
        <v>114.4</v>
      </c>
      <c r="Y837">
        <v>0</v>
      </c>
      <c r="Z837"/>
      <c r="AB837"/>
      <c r="AC837">
        <v>110</v>
      </c>
      <c r="AD837">
        <v>293</v>
      </c>
      <c r="AE837" s="1">
        <v>32230</v>
      </c>
      <c r="AF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 s="2">
        <v>42746</v>
      </c>
      <c r="AQ837" t="s">
        <v>72</v>
      </c>
      <c r="AR837" t="s">
        <v>72</v>
      </c>
      <c r="AS837">
        <v>1458</v>
      </c>
      <c r="AT837" s="4">
        <v>42520</v>
      </c>
      <c r="AU837" t="s">
        <v>73</v>
      </c>
      <c r="AV837">
        <v>1458</v>
      </c>
      <c r="AW837" s="4">
        <v>42520</v>
      </c>
      <c r="BD837">
        <v>0</v>
      </c>
      <c r="BN837" t="s">
        <v>74</v>
      </c>
    </row>
    <row r="838" spans="1:66" hidden="1">
      <c r="A838">
        <v>100210</v>
      </c>
      <c r="B838" s="3" t="s">
        <v>141</v>
      </c>
      <c r="C838" s="1">
        <v>43300101</v>
      </c>
      <c r="D838" t="s">
        <v>67</v>
      </c>
      <c r="H838" t="str">
        <f t="shared" si="74"/>
        <v>08082461008</v>
      </c>
      <c r="I838" t="str">
        <f t="shared" si="74"/>
        <v>08082461008</v>
      </c>
      <c r="K838" t="str">
        <f>""</f>
        <v/>
      </c>
      <c r="M838" t="s">
        <v>68</v>
      </c>
      <c r="N838" t="str">
        <f t="shared" si="72"/>
        <v>FOR</v>
      </c>
      <c r="O838" t="s">
        <v>69</v>
      </c>
      <c r="P838" s="3" t="s">
        <v>75</v>
      </c>
      <c r="Q838">
        <v>2015</v>
      </c>
      <c r="R838" s="2">
        <v>42166</v>
      </c>
      <c r="S838" s="2">
        <v>42167</v>
      </c>
      <c r="T838" s="2">
        <v>42167</v>
      </c>
      <c r="U838" s="2">
        <v>42227</v>
      </c>
      <c r="V838" t="s">
        <v>71</v>
      </c>
      <c r="W838" t="str">
        <f>"            15092648"</f>
        <v xml:space="preserve">            15092648</v>
      </c>
      <c r="X838">
        <v>45.76</v>
      </c>
      <c r="Y838">
        <v>0</v>
      </c>
      <c r="Z838"/>
      <c r="AB838"/>
      <c r="AC838">
        <v>44</v>
      </c>
      <c r="AD838">
        <v>293</v>
      </c>
      <c r="AE838" s="1">
        <v>12892</v>
      </c>
      <c r="AF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 s="2">
        <v>42746</v>
      </c>
      <c r="AQ838" t="s">
        <v>72</v>
      </c>
      <c r="AR838" t="s">
        <v>72</v>
      </c>
      <c r="AS838">
        <v>1458</v>
      </c>
      <c r="AT838" s="4">
        <v>42520</v>
      </c>
      <c r="AU838" t="s">
        <v>73</v>
      </c>
      <c r="AV838">
        <v>1458</v>
      </c>
      <c r="AW838" s="4">
        <v>42520</v>
      </c>
      <c r="BD838">
        <v>0</v>
      </c>
      <c r="BN838" t="s">
        <v>74</v>
      </c>
    </row>
    <row r="839" spans="1:66" hidden="1">
      <c r="A839">
        <v>100210</v>
      </c>
      <c r="B839" s="3" t="s">
        <v>141</v>
      </c>
      <c r="C839" s="1">
        <v>43300101</v>
      </c>
      <c r="D839" t="s">
        <v>67</v>
      </c>
      <c r="H839" t="str">
        <f t="shared" si="74"/>
        <v>08082461008</v>
      </c>
      <c r="I839" t="str">
        <f t="shared" si="74"/>
        <v>08082461008</v>
      </c>
      <c r="K839" t="str">
        <f>""</f>
        <v/>
      </c>
      <c r="M839" t="s">
        <v>68</v>
      </c>
      <c r="N839" t="str">
        <f t="shared" si="72"/>
        <v>FOR</v>
      </c>
      <c r="O839" t="s">
        <v>69</v>
      </c>
      <c r="P839" s="3" t="s">
        <v>75</v>
      </c>
      <c r="Q839">
        <v>2015</v>
      </c>
      <c r="R839" s="2">
        <v>42166</v>
      </c>
      <c r="S839" s="2">
        <v>42167</v>
      </c>
      <c r="T839" s="2">
        <v>42167</v>
      </c>
      <c r="U839" s="2">
        <v>42227</v>
      </c>
      <c r="V839" t="s">
        <v>71</v>
      </c>
      <c r="W839" t="str">
        <f>"            15092649"</f>
        <v xml:space="preserve">            15092649</v>
      </c>
      <c r="X839">
        <v>45.76</v>
      </c>
      <c r="Y839">
        <v>0</v>
      </c>
      <c r="Z839"/>
      <c r="AB839"/>
      <c r="AC839">
        <v>44</v>
      </c>
      <c r="AD839">
        <v>293</v>
      </c>
      <c r="AE839" s="1">
        <v>12892</v>
      </c>
      <c r="AF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 s="2">
        <v>42746</v>
      </c>
      <c r="AQ839" t="s">
        <v>72</v>
      </c>
      <c r="AR839" t="s">
        <v>72</v>
      </c>
      <c r="AS839">
        <v>1458</v>
      </c>
      <c r="AT839" s="4">
        <v>42520</v>
      </c>
      <c r="AU839" t="s">
        <v>73</v>
      </c>
      <c r="AV839">
        <v>1458</v>
      </c>
      <c r="AW839" s="4">
        <v>42520</v>
      </c>
      <c r="BD839">
        <v>0</v>
      </c>
      <c r="BN839" t="s">
        <v>74</v>
      </c>
    </row>
    <row r="840" spans="1:66" hidden="1">
      <c r="A840">
        <v>100210</v>
      </c>
      <c r="B840" s="3" t="s">
        <v>141</v>
      </c>
      <c r="C840" s="1">
        <v>43300101</v>
      </c>
      <c r="D840" t="s">
        <v>67</v>
      </c>
      <c r="H840" t="str">
        <f t="shared" si="74"/>
        <v>08082461008</v>
      </c>
      <c r="I840" t="str">
        <f t="shared" si="74"/>
        <v>08082461008</v>
      </c>
      <c r="K840" t="str">
        <f>""</f>
        <v/>
      </c>
      <c r="M840" t="s">
        <v>68</v>
      </c>
      <c r="N840" t="str">
        <f t="shared" si="72"/>
        <v>FOR</v>
      </c>
      <c r="O840" t="s">
        <v>69</v>
      </c>
      <c r="P840" s="3" t="s">
        <v>75</v>
      </c>
      <c r="Q840">
        <v>2015</v>
      </c>
      <c r="R840" s="2">
        <v>42166</v>
      </c>
      <c r="S840" s="2">
        <v>42167</v>
      </c>
      <c r="T840" s="2">
        <v>42167</v>
      </c>
      <c r="U840" s="2">
        <v>42227</v>
      </c>
      <c r="V840" t="s">
        <v>71</v>
      </c>
      <c r="W840" t="str">
        <f>"            15092650"</f>
        <v xml:space="preserve">            15092650</v>
      </c>
      <c r="X840">
        <v>45.76</v>
      </c>
      <c r="Y840">
        <v>0</v>
      </c>
      <c r="Z840"/>
      <c r="AB840"/>
      <c r="AC840">
        <v>44</v>
      </c>
      <c r="AD840">
        <v>293</v>
      </c>
      <c r="AE840" s="1">
        <v>12892</v>
      </c>
      <c r="AF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 s="2">
        <v>42746</v>
      </c>
      <c r="AQ840" t="s">
        <v>72</v>
      </c>
      <c r="AR840" t="s">
        <v>72</v>
      </c>
      <c r="AS840">
        <v>1458</v>
      </c>
      <c r="AT840" s="4">
        <v>42520</v>
      </c>
      <c r="AU840" t="s">
        <v>73</v>
      </c>
      <c r="AV840">
        <v>1458</v>
      </c>
      <c r="AW840" s="4">
        <v>42520</v>
      </c>
      <c r="BD840">
        <v>0</v>
      </c>
      <c r="BN840" t="s">
        <v>74</v>
      </c>
    </row>
    <row r="841" spans="1:66" hidden="1">
      <c r="A841">
        <v>100210</v>
      </c>
      <c r="B841" s="3" t="s">
        <v>141</v>
      </c>
      <c r="C841" s="1">
        <v>43300101</v>
      </c>
      <c r="D841" t="s">
        <v>67</v>
      </c>
      <c r="H841" t="str">
        <f t="shared" si="74"/>
        <v>08082461008</v>
      </c>
      <c r="I841" t="str">
        <f t="shared" si="74"/>
        <v>08082461008</v>
      </c>
      <c r="K841" t="str">
        <f>""</f>
        <v/>
      </c>
      <c r="M841" t="s">
        <v>68</v>
      </c>
      <c r="N841" t="str">
        <f t="shared" si="72"/>
        <v>FOR</v>
      </c>
      <c r="O841" t="s">
        <v>69</v>
      </c>
      <c r="P841" s="3" t="s">
        <v>75</v>
      </c>
      <c r="Q841">
        <v>2015</v>
      </c>
      <c r="R841" s="2">
        <v>42166</v>
      </c>
      <c r="S841" s="2">
        <v>42167</v>
      </c>
      <c r="T841" s="2">
        <v>42167</v>
      </c>
      <c r="U841" s="2">
        <v>42227</v>
      </c>
      <c r="V841" t="s">
        <v>71</v>
      </c>
      <c r="W841" t="str">
        <f>"            15092651"</f>
        <v xml:space="preserve">            15092651</v>
      </c>
      <c r="X841">
        <v>45.76</v>
      </c>
      <c r="Y841">
        <v>0</v>
      </c>
      <c r="Z841"/>
      <c r="AB841"/>
      <c r="AC841">
        <v>44</v>
      </c>
      <c r="AD841">
        <v>293</v>
      </c>
      <c r="AE841" s="1">
        <v>12892</v>
      </c>
      <c r="AF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 s="2">
        <v>42746</v>
      </c>
      <c r="AQ841" t="s">
        <v>72</v>
      </c>
      <c r="AR841" t="s">
        <v>72</v>
      </c>
      <c r="AS841">
        <v>1458</v>
      </c>
      <c r="AT841" s="4">
        <v>42520</v>
      </c>
      <c r="AU841" t="s">
        <v>73</v>
      </c>
      <c r="AV841">
        <v>1458</v>
      </c>
      <c r="AW841" s="4">
        <v>42520</v>
      </c>
      <c r="BD841">
        <v>0</v>
      </c>
      <c r="BN841" t="s">
        <v>74</v>
      </c>
    </row>
    <row r="842" spans="1:66" hidden="1">
      <c r="A842">
        <v>100210</v>
      </c>
      <c r="B842" s="3" t="s">
        <v>141</v>
      </c>
      <c r="C842" s="1">
        <v>43300101</v>
      </c>
      <c r="D842" t="s">
        <v>67</v>
      </c>
      <c r="H842" t="str">
        <f t="shared" si="74"/>
        <v>08082461008</v>
      </c>
      <c r="I842" t="str">
        <f t="shared" si="74"/>
        <v>08082461008</v>
      </c>
      <c r="K842" t="str">
        <f>""</f>
        <v/>
      </c>
      <c r="M842" t="s">
        <v>68</v>
      </c>
      <c r="N842" t="str">
        <f t="shared" si="72"/>
        <v>FOR</v>
      </c>
      <c r="O842" t="s">
        <v>69</v>
      </c>
      <c r="P842" s="3" t="s">
        <v>75</v>
      </c>
      <c r="Q842">
        <v>2015</v>
      </c>
      <c r="R842" s="2">
        <v>42166</v>
      </c>
      <c r="S842" s="2">
        <v>42167</v>
      </c>
      <c r="T842" s="2">
        <v>42167</v>
      </c>
      <c r="U842" s="2">
        <v>42227</v>
      </c>
      <c r="V842" t="s">
        <v>71</v>
      </c>
      <c r="W842" t="str">
        <f>"            15092652"</f>
        <v xml:space="preserve">            15092652</v>
      </c>
      <c r="X842">
        <v>45.76</v>
      </c>
      <c r="Y842">
        <v>0</v>
      </c>
      <c r="Z842"/>
      <c r="AB842"/>
      <c r="AC842">
        <v>44</v>
      </c>
      <c r="AD842">
        <v>293</v>
      </c>
      <c r="AE842" s="1">
        <v>12892</v>
      </c>
      <c r="AF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 s="2">
        <v>42746</v>
      </c>
      <c r="AQ842" t="s">
        <v>72</v>
      </c>
      <c r="AR842" t="s">
        <v>72</v>
      </c>
      <c r="AS842">
        <v>1458</v>
      </c>
      <c r="AT842" s="4">
        <v>42520</v>
      </c>
      <c r="AU842" t="s">
        <v>73</v>
      </c>
      <c r="AV842">
        <v>1458</v>
      </c>
      <c r="AW842" s="4">
        <v>42520</v>
      </c>
      <c r="BD842">
        <v>0</v>
      </c>
      <c r="BN842" t="s">
        <v>74</v>
      </c>
    </row>
    <row r="843" spans="1:66" hidden="1">
      <c r="A843">
        <v>100210</v>
      </c>
      <c r="B843" s="3" t="s">
        <v>141</v>
      </c>
      <c r="C843" s="1">
        <v>43300101</v>
      </c>
      <c r="D843" t="s">
        <v>67</v>
      </c>
      <c r="H843" t="str">
        <f t="shared" si="74"/>
        <v>08082461008</v>
      </c>
      <c r="I843" t="str">
        <f t="shared" si="74"/>
        <v>08082461008</v>
      </c>
      <c r="K843" t="str">
        <f>""</f>
        <v/>
      </c>
      <c r="M843" t="s">
        <v>68</v>
      </c>
      <c r="N843" t="str">
        <f t="shared" si="72"/>
        <v>FOR</v>
      </c>
      <c r="O843" t="s">
        <v>69</v>
      </c>
      <c r="P843" s="3" t="s">
        <v>75</v>
      </c>
      <c r="Q843">
        <v>2015</v>
      </c>
      <c r="R843" s="2">
        <v>42166</v>
      </c>
      <c r="S843" s="2">
        <v>42167</v>
      </c>
      <c r="T843" s="2">
        <v>42167</v>
      </c>
      <c r="U843" s="2">
        <v>42227</v>
      </c>
      <c r="V843" t="s">
        <v>71</v>
      </c>
      <c r="W843" t="str">
        <f>"            15092653"</f>
        <v xml:space="preserve">            15092653</v>
      </c>
      <c r="X843">
        <v>45.76</v>
      </c>
      <c r="Y843">
        <v>0</v>
      </c>
      <c r="Z843"/>
      <c r="AB843"/>
      <c r="AC843">
        <v>44</v>
      </c>
      <c r="AD843">
        <v>293</v>
      </c>
      <c r="AE843" s="1">
        <v>12892</v>
      </c>
      <c r="AF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 s="2">
        <v>42746</v>
      </c>
      <c r="AQ843" t="s">
        <v>72</v>
      </c>
      <c r="AR843" t="s">
        <v>72</v>
      </c>
      <c r="AS843">
        <v>1458</v>
      </c>
      <c r="AT843" s="4">
        <v>42520</v>
      </c>
      <c r="AU843" t="s">
        <v>73</v>
      </c>
      <c r="AV843">
        <v>1458</v>
      </c>
      <c r="AW843" s="4">
        <v>42520</v>
      </c>
      <c r="BD843">
        <v>0</v>
      </c>
      <c r="BN843" t="s">
        <v>74</v>
      </c>
    </row>
    <row r="844" spans="1:66" hidden="1">
      <c r="A844">
        <v>100210</v>
      </c>
      <c r="B844" s="3" t="s">
        <v>141</v>
      </c>
      <c r="C844" s="1">
        <v>43300101</v>
      </c>
      <c r="D844" t="s">
        <v>67</v>
      </c>
      <c r="H844" t="str">
        <f t="shared" si="74"/>
        <v>08082461008</v>
      </c>
      <c r="I844" t="str">
        <f t="shared" si="74"/>
        <v>08082461008</v>
      </c>
      <c r="K844" t="str">
        <f>""</f>
        <v/>
      </c>
      <c r="M844" t="s">
        <v>68</v>
      </c>
      <c r="N844" t="str">
        <f t="shared" si="72"/>
        <v>FOR</v>
      </c>
      <c r="O844" t="s">
        <v>69</v>
      </c>
      <c r="P844" s="3" t="s">
        <v>75</v>
      </c>
      <c r="Q844">
        <v>2015</v>
      </c>
      <c r="R844" s="2">
        <v>42166</v>
      </c>
      <c r="S844" s="2">
        <v>42167</v>
      </c>
      <c r="T844" s="2">
        <v>42167</v>
      </c>
      <c r="U844" s="2">
        <v>42227</v>
      </c>
      <c r="V844" t="s">
        <v>71</v>
      </c>
      <c r="W844" t="str">
        <f>"            15092654"</f>
        <v xml:space="preserve">            15092654</v>
      </c>
      <c r="X844">
        <v>45.76</v>
      </c>
      <c r="Y844">
        <v>0</v>
      </c>
      <c r="Z844"/>
      <c r="AB844"/>
      <c r="AC844">
        <v>44</v>
      </c>
      <c r="AD844">
        <v>293</v>
      </c>
      <c r="AE844" s="1">
        <v>12892</v>
      </c>
      <c r="AF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 s="2">
        <v>42746</v>
      </c>
      <c r="AQ844" t="s">
        <v>72</v>
      </c>
      <c r="AR844" t="s">
        <v>72</v>
      </c>
      <c r="AS844">
        <v>1458</v>
      </c>
      <c r="AT844" s="4">
        <v>42520</v>
      </c>
      <c r="AU844" t="s">
        <v>73</v>
      </c>
      <c r="AV844">
        <v>1458</v>
      </c>
      <c r="AW844" s="4">
        <v>42520</v>
      </c>
      <c r="BD844">
        <v>0</v>
      </c>
      <c r="BN844" t="s">
        <v>74</v>
      </c>
    </row>
    <row r="845" spans="1:66" hidden="1">
      <c r="A845">
        <v>100210</v>
      </c>
      <c r="B845" s="3" t="s">
        <v>141</v>
      </c>
      <c r="C845" s="1">
        <v>43300101</v>
      </c>
      <c r="D845" t="s">
        <v>67</v>
      </c>
      <c r="H845" t="str">
        <f t="shared" si="74"/>
        <v>08082461008</v>
      </c>
      <c r="I845" t="str">
        <f t="shared" si="74"/>
        <v>08082461008</v>
      </c>
      <c r="K845" t="str">
        <f>""</f>
        <v/>
      </c>
      <c r="M845" t="s">
        <v>68</v>
      </c>
      <c r="N845" t="str">
        <f t="shared" si="72"/>
        <v>FOR</v>
      </c>
      <c r="O845" t="s">
        <v>69</v>
      </c>
      <c r="P845" s="3" t="s">
        <v>75</v>
      </c>
      <c r="Q845">
        <v>2015</v>
      </c>
      <c r="R845" s="2">
        <v>42166</v>
      </c>
      <c r="S845" s="2">
        <v>42167</v>
      </c>
      <c r="T845" s="2">
        <v>42167</v>
      </c>
      <c r="U845" s="2">
        <v>42227</v>
      </c>
      <c r="V845" t="s">
        <v>71</v>
      </c>
      <c r="W845" t="str">
        <f>"            15092655"</f>
        <v xml:space="preserve">            15092655</v>
      </c>
      <c r="X845">
        <v>45.76</v>
      </c>
      <c r="Y845">
        <v>0</v>
      </c>
      <c r="Z845"/>
      <c r="AB845"/>
      <c r="AC845">
        <v>44</v>
      </c>
      <c r="AD845">
        <v>293</v>
      </c>
      <c r="AE845" s="1">
        <v>12892</v>
      </c>
      <c r="AF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 s="2">
        <v>42746</v>
      </c>
      <c r="AQ845" t="s">
        <v>72</v>
      </c>
      <c r="AR845" t="s">
        <v>72</v>
      </c>
      <c r="AS845">
        <v>1458</v>
      </c>
      <c r="AT845" s="4">
        <v>42520</v>
      </c>
      <c r="AU845" t="s">
        <v>73</v>
      </c>
      <c r="AV845">
        <v>1458</v>
      </c>
      <c r="AW845" s="4">
        <v>42520</v>
      </c>
      <c r="BD845">
        <v>0</v>
      </c>
      <c r="BN845" t="s">
        <v>74</v>
      </c>
    </row>
    <row r="846" spans="1:66" hidden="1">
      <c r="A846">
        <v>100210</v>
      </c>
      <c r="B846" s="3" t="s">
        <v>141</v>
      </c>
      <c r="C846" s="1">
        <v>43300101</v>
      </c>
      <c r="D846" t="s">
        <v>67</v>
      </c>
      <c r="H846" t="str">
        <f t="shared" si="74"/>
        <v>08082461008</v>
      </c>
      <c r="I846" t="str">
        <f t="shared" si="74"/>
        <v>08082461008</v>
      </c>
      <c r="K846" t="str">
        <f>""</f>
        <v/>
      </c>
      <c r="M846" t="s">
        <v>68</v>
      </c>
      <c r="N846" t="str">
        <f t="shared" si="72"/>
        <v>FOR</v>
      </c>
      <c r="O846" t="s">
        <v>69</v>
      </c>
      <c r="P846" s="3" t="s">
        <v>75</v>
      </c>
      <c r="Q846">
        <v>2015</v>
      </c>
      <c r="R846" s="2">
        <v>42166</v>
      </c>
      <c r="S846" s="2">
        <v>42167</v>
      </c>
      <c r="T846" s="2">
        <v>42167</v>
      </c>
      <c r="U846" s="2">
        <v>42227</v>
      </c>
      <c r="V846" t="s">
        <v>71</v>
      </c>
      <c r="W846" t="str">
        <f>"            15092656"</f>
        <v xml:space="preserve">            15092656</v>
      </c>
      <c r="X846">
        <v>451.88</v>
      </c>
      <c r="Y846">
        <v>0</v>
      </c>
      <c r="Z846"/>
      <c r="AB846"/>
      <c r="AC846">
        <v>434.5</v>
      </c>
      <c r="AD846">
        <v>293</v>
      </c>
      <c r="AE846" s="1">
        <v>127308.5</v>
      </c>
      <c r="AF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 s="2">
        <v>42746</v>
      </c>
      <c r="AQ846" t="s">
        <v>72</v>
      </c>
      <c r="AR846" t="s">
        <v>72</v>
      </c>
      <c r="AS846">
        <v>1458</v>
      </c>
      <c r="AT846" s="4">
        <v>42520</v>
      </c>
      <c r="AU846" t="s">
        <v>73</v>
      </c>
      <c r="AV846">
        <v>1458</v>
      </c>
      <c r="AW846" s="4">
        <v>42520</v>
      </c>
      <c r="BD846">
        <v>0</v>
      </c>
      <c r="BN846" t="s">
        <v>74</v>
      </c>
    </row>
    <row r="847" spans="1:66" hidden="1">
      <c r="A847">
        <v>100210</v>
      </c>
      <c r="B847" s="3" t="s">
        <v>141</v>
      </c>
      <c r="C847" s="1">
        <v>43300101</v>
      </c>
      <c r="D847" t="s">
        <v>67</v>
      </c>
      <c r="H847" t="str">
        <f t="shared" si="74"/>
        <v>08082461008</v>
      </c>
      <c r="I847" t="str">
        <f t="shared" si="74"/>
        <v>08082461008</v>
      </c>
      <c r="K847" t="str">
        <f>""</f>
        <v/>
      </c>
      <c r="M847" t="s">
        <v>68</v>
      </c>
      <c r="N847" t="str">
        <f t="shared" si="72"/>
        <v>FOR</v>
      </c>
      <c r="O847" t="s">
        <v>69</v>
      </c>
      <c r="P847" s="3" t="s">
        <v>75</v>
      </c>
      <c r="Q847">
        <v>2015</v>
      </c>
      <c r="R847" s="2">
        <v>42166</v>
      </c>
      <c r="S847" s="2">
        <v>42167</v>
      </c>
      <c r="T847" s="2">
        <v>42167</v>
      </c>
      <c r="U847" s="2">
        <v>42227</v>
      </c>
      <c r="V847" t="s">
        <v>71</v>
      </c>
      <c r="W847" t="str">
        <f>"            15092658"</f>
        <v xml:space="preserve">            15092658</v>
      </c>
      <c r="X847">
        <v>451.88</v>
      </c>
      <c r="Y847">
        <v>0</v>
      </c>
      <c r="Z847"/>
      <c r="AB847"/>
      <c r="AC847">
        <v>434.5</v>
      </c>
      <c r="AD847">
        <v>293</v>
      </c>
      <c r="AE847" s="1">
        <v>127308.5</v>
      </c>
      <c r="AF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 s="2">
        <v>42746</v>
      </c>
      <c r="AQ847" t="s">
        <v>72</v>
      </c>
      <c r="AR847" t="s">
        <v>72</v>
      </c>
      <c r="AS847">
        <v>1458</v>
      </c>
      <c r="AT847" s="4">
        <v>42520</v>
      </c>
      <c r="AU847" t="s">
        <v>73</v>
      </c>
      <c r="AV847">
        <v>1458</v>
      </c>
      <c r="AW847" s="4">
        <v>42520</v>
      </c>
      <c r="BD847">
        <v>0</v>
      </c>
      <c r="BN847" t="s">
        <v>74</v>
      </c>
    </row>
    <row r="848" spans="1:66" hidden="1">
      <c r="A848">
        <v>100210</v>
      </c>
      <c r="B848" s="3" t="s">
        <v>141</v>
      </c>
      <c r="C848" s="1">
        <v>43300101</v>
      </c>
      <c r="D848" t="s">
        <v>67</v>
      </c>
      <c r="H848" t="str">
        <f t="shared" si="74"/>
        <v>08082461008</v>
      </c>
      <c r="I848" t="str">
        <f t="shared" si="74"/>
        <v>08082461008</v>
      </c>
      <c r="K848" t="str">
        <f>""</f>
        <v/>
      </c>
      <c r="M848" t="s">
        <v>68</v>
      </c>
      <c r="N848" t="str">
        <f t="shared" si="72"/>
        <v>FOR</v>
      </c>
      <c r="O848" t="s">
        <v>69</v>
      </c>
      <c r="P848" s="3" t="s">
        <v>75</v>
      </c>
      <c r="Q848">
        <v>2015</v>
      </c>
      <c r="R848" s="2">
        <v>42166</v>
      </c>
      <c r="S848" s="2">
        <v>42167</v>
      </c>
      <c r="T848" s="2">
        <v>42167</v>
      </c>
      <c r="U848" s="2">
        <v>42227</v>
      </c>
      <c r="V848" t="s">
        <v>71</v>
      </c>
      <c r="W848" t="str">
        <f>"            15092659"</f>
        <v xml:space="preserve">            15092659</v>
      </c>
      <c r="X848">
        <v>451.88</v>
      </c>
      <c r="Y848">
        <v>0</v>
      </c>
      <c r="Z848"/>
      <c r="AB848"/>
      <c r="AC848">
        <v>434.5</v>
      </c>
      <c r="AD848">
        <v>293</v>
      </c>
      <c r="AE848" s="1">
        <v>127308.5</v>
      </c>
      <c r="AF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 s="2">
        <v>42746</v>
      </c>
      <c r="AQ848" t="s">
        <v>72</v>
      </c>
      <c r="AR848" t="s">
        <v>72</v>
      </c>
      <c r="AS848">
        <v>1458</v>
      </c>
      <c r="AT848" s="4">
        <v>42520</v>
      </c>
      <c r="AU848" t="s">
        <v>73</v>
      </c>
      <c r="AV848">
        <v>1458</v>
      </c>
      <c r="AW848" s="4">
        <v>42520</v>
      </c>
      <c r="BD848">
        <v>0</v>
      </c>
      <c r="BN848" t="s">
        <v>74</v>
      </c>
    </row>
    <row r="849" spans="1:66" hidden="1">
      <c r="A849">
        <v>100210</v>
      </c>
      <c r="B849" s="3" t="s">
        <v>141</v>
      </c>
      <c r="C849" s="1">
        <v>43300101</v>
      </c>
      <c r="D849" t="s">
        <v>67</v>
      </c>
      <c r="H849" t="str">
        <f t="shared" si="74"/>
        <v>08082461008</v>
      </c>
      <c r="I849" t="str">
        <f t="shared" si="74"/>
        <v>08082461008</v>
      </c>
      <c r="K849" t="str">
        <f>""</f>
        <v/>
      </c>
      <c r="M849" t="s">
        <v>68</v>
      </c>
      <c r="N849" t="str">
        <f t="shared" si="72"/>
        <v>FOR</v>
      </c>
      <c r="O849" t="s">
        <v>69</v>
      </c>
      <c r="P849" s="3" t="s">
        <v>75</v>
      </c>
      <c r="Q849">
        <v>2015</v>
      </c>
      <c r="R849" s="2">
        <v>42166</v>
      </c>
      <c r="S849" s="2">
        <v>42167</v>
      </c>
      <c r="T849" s="2">
        <v>42167</v>
      </c>
      <c r="U849" s="2">
        <v>42227</v>
      </c>
      <c r="V849" t="s">
        <v>71</v>
      </c>
      <c r="W849" t="str">
        <f>"            15092660"</f>
        <v xml:space="preserve">            15092660</v>
      </c>
      <c r="X849">
        <v>451.88</v>
      </c>
      <c r="Y849">
        <v>0</v>
      </c>
      <c r="Z849"/>
      <c r="AB849"/>
      <c r="AC849">
        <v>434.5</v>
      </c>
      <c r="AD849">
        <v>293</v>
      </c>
      <c r="AE849" s="1">
        <v>127308.5</v>
      </c>
      <c r="AF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 s="2">
        <v>42746</v>
      </c>
      <c r="AQ849" t="s">
        <v>72</v>
      </c>
      <c r="AR849" t="s">
        <v>72</v>
      </c>
      <c r="AS849">
        <v>1458</v>
      </c>
      <c r="AT849" s="4">
        <v>42520</v>
      </c>
      <c r="AU849" t="s">
        <v>73</v>
      </c>
      <c r="AV849">
        <v>1458</v>
      </c>
      <c r="AW849" s="4">
        <v>42520</v>
      </c>
      <c r="BD849">
        <v>0</v>
      </c>
      <c r="BN849" t="s">
        <v>74</v>
      </c>
    </row>
    <row r="850" spans="1:66" hidden="1">
      <c r="A850">
        <v>100210</v>
      </c>
      <c r="B850" s="3" t="s">
        <v>141</v>
      </c>
      <c r="C850" s="1">
        <v>43300101</v>
      </c>
      <c r="D850" t="s">
        <v>67</v>
      </c>
      <c r="H850" t="str">
        <f t="shared" si="74"/>
        <v>08082461008</v>
      </c>
      <c r="I850" t="str">
        <f t="shared" si="74"/>
        <v>08082461008</v>
      </c>
      <c r="K850" t="str">
        <f>""</f>
        <v/>
      </c>
      <c r="M850" t="s">
        <v>68</v>
      </c>
      <c r="N850" t="str">
        <f t="shared" si="72"/>
        <v>FOR</v>
      </c>
      <c r="O850" t="s">
        <v>69</v>
      </c>
      <c r="P850" s="3" t="s">
        <v>75</v>
      </c>
      <c r="Q850">
        <v>2015</v>
      </c>
      <c r="R850" s="2">
        <v>42166</v>
      </c>
      <c r="S850" s="2">
        <v>42167</v>
      </c>
      <c r="T850" s="2">
        <v>42167</v>
      </c>
      <c r="U850" s="2">
        <v>42227</v>
      </c>
      <c r="V850" t="s">
        <v>71</v>
      </c>
      <c r="W850" t="str">
        <f>"            15092661"</f>
        <v xml:space="preserve">            15092661</v>
      </c>
      <c r="X850">
        <v>451.88</v>
      </c>
      <c r="Y850">
        <v>0</v>
      </c>
      <c r="Z850"/>
      <c r="AB850"/>
      <c r="AC850">
        <v>434.5</v>
      </c>
      <c r="AD850">
        <v>293</v>
      </c>
      <c r="AE850" s="1">
        <v>127308.5</v>
      </c>
      <c r="AF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 s="2">
        <v>42746</v>
      </c>
      <c r="AQ850" t="s">
        <v>72</v>
      </c>
      <c r="AR850" t="s">
        <v>72</v>
      </c>
      <c r="AS850">
        <v>1458</v>
      </c>
      <c r="AT850" s="4">
        <v>42520</v>
      </c>
      <c r="AU850" t="s">
        <v>73</v>
      </c>
      <c r="AV850">
        <v>1458</v>
      </c>
      <c r="AW850" s="4">
        <v>42520</v>
      </c>
      <c r="BD850">
        <v>0</v>
      </c>
      <c r="BN850" t="s">
        <v>74</v>
      </c>
    </row>
    <row r="851" spans="1:66" hidden="1">
      <c r="A851">
        <v>100210</v>
      </c>
      <c r="B851" s="3" t="s">
        <v>141</v>
      </c>
      <c r="C851" s="1">
        <v>43300101</v>
      </c>
      <c r="D851" t="s">
        <v>67</v>
      </c>
      <c r="H851" t="str">
        <f t="shared" si="74"/>
        <v>08082461008</v>
      </c>
      <c r="I851" t="str">
        <f t="shared" si="74"/>
        <v>08082461008</v>
      </c>
      <c r="K851" t="str">
        <f>""</f>
        <v/>
      </c>
      <c r="M851" t="s">
        <v>68</v>
      </c>
      <c r="N851" t="str">
        <f t="shared" si="72"/>
        <v>FOR</v>
      </c>
      <c r="O851" t="s">
        <v>69</v>
      </c>
      <c r="P851" s="3" t="s">
        <v>75</v>
      </c>
      <c r="Q851">
        <v>2015</v>
      </c>
      <c r="R851" s="2">
        <v>42166</v>
      </c>
      <c r="S851" s="2">
        <v>42167</v>
      </c>
      <c r="T851" s="2">
        <v>42167</v>
      </c>
      <c r="U851" s="2">
        <v>42227</v>
      </c>
      <c r="V851" t="s">
        <v>71</v>
      </c>
      <c r="W851" t="str">
        <f>"            15092669"</f>
        <v xml:space="preserve">            15092669</v>
      </c>
      <c r="X851">
        <v>644.79999999999995</v>
      </c>
      <c r="Y851">
        <v>0</v>
      </c>
      <c r="Z851"/>
      <c r="AB851"/>
      <c r="AC851">
        <v>620</v>
      </c>
      <c r="AD851">
        <v>293</v>
      </c>
      <c r="AE851" s="1">
        <v>181660</v>
      </c>
      <c r="AF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 s="2">
        <v>42746</v>
      </c>
      <c r="AQ851" t="s">
        <v>72</v>
      </c>
      <c r="AR851" t="s">
        <v>72</v>
      </c>
      <c r="AS851">
        <v>1458</v>
      </c>
      <c r="AT851" s="4">
        <v>42520</v>
      </c>
      <c r="AU851" t="s">
        <v>73</v>
      </c>
      <c r="AV851">
        <v>1458</v>
      </c>
      <c r="AW851" s="4">
        <v>42520</v>
      </c>
      <c r="BD851">
        <v>0</v>
      </c>
      <c r="BN851" t="s">
        <v>74</v>
      </c>
    </row>
    <row r="852" spans="1:66" hidden="1">
      <c r="A852">
        <v>100210</v>
      </c>
      <c r="B852" s="3" t="s">
        <v>141</v>
      </c>
      <c r="C852" s="1">
        <v>43300101</v>
      </c>
      <c r="D852" t="s">
        <v>67</v>
      </c>
      <c r="H852" t="str">
        <f t="shared" si="74"/>
        <v>08082461008</v>
      </c>
      <c r="I852" t="str">
        <f t="shared" si="74"/>
        <v>08082461008</v>
      </c>
      <c r="K852" t="str">
        <f>""</f>
        <v/>
      </c>
      <c r="M852" t="s">
        <v>68</v>
      </c>
      <c r="N852" t="str">
        <f t="shared" si="72"/>
        <v>FOR</v>
      </c>
      <c r="O852" t="s">
        <v>69</v>
      </c>
      <c r="P852" s="3" t="s">
        <v>75</v>
      </c>
      <c r="Q852">
        <v>2015</v>
      </c>
      <c r="R852" s="2">
        <v>42166</v>
      </c>
      <c r="S852" s="2">
        <v>42167</v>
      </c>
      <c r="T852" s="2">
        <v>42167</v>
      </c>
      <c r="U852" s="2">
        <v>42227</v>
      </c>
      <c r="V852" t="s">
        <v>71</v>
      </c>
      <c r="W852" t="str">
        <f>"            15092670"</f>
        <v xml:space="preserve">            15092670</v>
      </c>
      <c r="X852">
        <v>644.79999999999995</v>
      </c>
      <c r="Y852">
        <v>0</v>
      </c>
      <c r="Z852"/>
      <c r="AB852"/>
      <c r="AC852">
        <v>620</v>
      </c>
      <c r="AD852">
        <v>293</v>
      </c>
      <c r="AE852" s="1">
        <v>181660</v>
      </c>
      <c r="AF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 s="2">
        <v>42746</v>
      </c>
      <c r="AQ852" t="s">
        <v>72</v>
      </c>
      <c r="AR852" t="s">
        <v>72</v>
      </c>
      <c r="AS852">
        <v>1458</v>
      </c>
      <c r="AT852" s="4">
        <v>42520</v>
      </c>
      <c r="AU852" t="s">
        <v>73</v>
      </c>
      <c r="AV852">
        <v>1458</v>
      </c>
      <c r="AW852" s="4">
        <v>42520</v>
      </c>
      <c r="BD852">
        <v>0</v>
      </c>
      <c r="BN852" t="s">
        <v>74</v>
      </c>
    </row>
    <row r="853" spans="1:66" hidden="1">
      <c r="A853">
        <v>100210</v>
      </c>
      <c r="B853" s="3" t="s">
        <v>141</v>
      </c>
      <c r="C853" s="1">
        <v>43300101</v>
      </c>
      <c r="D853" t="s">
        <v>67</v>
      </c>
      <c r="H853" t="str">
        <f t="shared" si="74"/>
        <v>08082461008</v>
      </c>
      <c r="I853" t="str">
        <f t="shared" si="74"/>
        <v>08082461008</v>
      </c>
      <c r="K853" t="str">
        <f>""</f>
        <v/>
      </c>
      <c r="M853" t="s">
        <v>68</v>
      </c>
      <c r="N853" t="str">
        <f t="shared" si="72"/>
        <v>FOR</v>
      </c>
      <c r="O853" t="s">
        <v>69</v>
      </c>
      <c r="P853" s="3" t="s">
        <v>75</v>
      </c>
      <c r="Q853">
        <v>2015</v>
      </c>
      <c r="R853" s="2">
        <v>42166</v>
      </c>
      <c r="S853" s="2">
        <v>42167</v>
      </c>
      <c r="T853" s="2">
        <v>42167</v>
      </c>
      <c r="U853" s="2">
        <v>42227</v>
      </c>
      <c r="V853" t="s">
        <v>71</v>
      </c>
      <c r="W853" t="str">
        <f>"            15092671"</f>
        <v xml:space="preserve">            15092671</v>
      </c>
      <c r="X853">
        <v>451.88</v>
      </c>
      <c r="Y853">
        <v>0</v>
      </c>
      <c r="Z853"/>
      <c r="AB853"/>
      <c r="AC853">
        <v>434.5</v>
      </c>
      <c r="AD853">
        <v>293</v>
      </c>
      <c r="AE853" s="1">
        <v>127308.5</v>
      </c>
      <c r="AF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 s="2">
        <v>42746</v>
      </c>
      <c r="AQ853" t="s">
        <v>72</v>
      </c>
      <c r="AR853" t="s">
        <v>72</v>
      </c>
      <c r="AS853">
        <v>1458</v>
      </c>
      <c r="AT853" s="4">
        <v>42520</v>
      </c>
      <c r="AU853" t="s">
        <v>73</v>
      </c>
      <c r="AV853">
        <v>1458</v>
      </c>
      <c r="AW853" s="4">
        <v>42520</v>
      </c>
      <c r="BD853">
        <v>0</v>
      </c>
      <c r="BN853" t="s">
        <v>74</v>
      </c>
    </row>
    <row r="854" spans="1:66" hidden="1">
      <c r="A854">
        <v>100210</v>
      </c>
      <c r="B854" s="3" t="s">
        <v>141</v>
      </c>
      <c r="C854" s="1">
        <v>43300101</v>
      </c>
      <c r="D854" t="s">
        <v>67</v>
      </c>
      <c r="H854" t="str">
        <f t="shared" si="74"/>
        <v>08082461008</v>
      </c>
      <c r="I854" t="str">
        <f t="shared" si="74"/>
        <v>08082461008</v>
      </c>
      <c r="K854" t="str">
        <f>""</f>
        <v/>
      </c>
      <c r="M854" t="s">
        <v>68</v>
      </c>
      <c r="N854" t="str">
        <f t="shared" si="72"/>
        <v>FOR</v>
      </c>
      <c r="O854" t="s">
        <v>69</v>
      </c>
      <c r="P854" s="3" t="s">
        <v>75</v>
      </c>
      <c r="Q854">
        <v>2015</v>
      </c>
      <c r="R854" s="2">
        <v>42166</v>
      </c>
      <c r="S854" s="2">
        <v>42167</v>
      </c>
      <c r="T854" s="2">
        <v>42167</v>
      </c>
      <c r="U854" s="2">
        <v>42227</v>
      </c>
      <c r="V854" t="s">
        <v>71</v>
      </c>
      <c r="W854" t="str">
        <f>"            15092672"</f>
        <v xml:space="preserve">            15092672</v>
      </c>
      <c r="X854">
        <v>451.88</v>
      </c>
      <c r="Y854">
        <v>0</v>
      </c>
      <c r="Z854"/>
      <c r="AB854"/>
      <c r="AC854">
        <v>434.5</v>
      </c>
      <c r="AD854">
        <v>293</v>
      </c>
      <c r="AE854" s="1">
        <v>127308.5</v>
      </c>
      <c r="AF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 s="2">
        <v>42746</v>
      </c>
      <c r="AQ854" t="s">
        <v>72</v>
      </c>
      <c r="AR854" t="s">
        <v>72</v>
      </c>
      <c r="AS854">
        <v>1458</v>
      </c>
      <c r="AT854" s="4">
        <v>42520</v>
      </c>
      <c r="AU854" t="s">
        <v>73</v>
      </c>
      <c r="AV854">
        <v>1458</v>
      </c>
      <c r="AW854" s="4">
        <v>42520</v>
      </c>
      <c r="BD854">
        <v>0</v>
      </c>
      <c r="BN854" t="s">
        <v>74</v>
      </c>
    </row>
    <row r="855" spans="1:66" hidden="1">
      <c r="A855">
        <v>100210</v>
      </c>
      <c r="B855" s="3" t="s">
        <v>141</v>
      </c>
      <c r="C855" s="1">
        <v>43300101</v>
      </c>
      <c r="D855" t="s">
        <v>67</v>
      </c>
      <c r="H855" t="str">
        <f t="shared" si="74"/>
        <v>08082461008</v>
      </c>
      <c r="I855" t="str">
        <f t="shared" si="74"/>
        <v>08082461008</v>
      </c>
      <c r="K855" t="str">
        <f>""</f>
        <v/>
      </c>
      <c r="M855" t="s">
        <v>68</v>
      </c>
      <c r="N855" t="str">
        <f t="shared" si="72"/>
        <v>FOR</v>
      </c>
      <c r="O855" t="s">
        <v>69</v>
      </c>
      <c r="P855" s="3" t="s">
        <v>75</v>
      </c>
      <c r="Q855">
        <v>2015</v>
      </c>
      <c r="R855" s="2">
        <v>42166</v>
      </c>
      <c r="S855" s="2">
        <v>42167</v>
      </c>
      <c r="T855" s="2">
        <v>42167</v>
      </c>
      <c r="U855" s="2">
        <v>42227</v>
      </c>
      <c r="V855" t="s">
        <v>71</v>
      </c>
      <c r="W855" t="str">
        <f>"            15092677"</f>
        <v xml:space="preserve">            15092677</v>
      </c>
      <c r="X855">
        <v>114.4</v>
      </c>
      <c r="Y855">
        <v>0</v>
      </c>
      <c r="Z855"/>
      <c r="AB855"/>
      <c r="AC855">
        <v>110</v>
      </c>
      <c r="AD855">
        <v>293</v>
      </c>
      <c r="AE855" s="1">
        <v>32230</v>
      </c>
      <c r="AF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 s="2">
        <v>42746</v>
      </c>
      <c r="AQ855" t="s">
        <v>72</v>
      </c>
      <c r="AR855" t="s">
        <v>72</v>
      </c>
      <c r="AS855">
        <v>1458</v>
      </c>
      <c r="AT855" s="4">
        <v>42520</v>
      </c>
      <c r="AU855" t="s">
        <v>73</v>
      </c>
      <c r="AV855">
        <v>1458</v>
      </c>
      <c r="AW855" s="4">
        <v>42520</v>
      </c>
      <c r="BD855">
        <v>0</v>
      </c>
      <c r="BN855" t="s">
        <v>74</v>
      </c>
    </row>
    <row r="856" spans="1:66" hidden="1">
      <c r="A856">
        <v>100210</v>
      </c>
      <c r="B856" s="3" t="s">
        <v>141</v>
      </c>
      <c r="C856" s="1">
        <v>43300101</v>
      </c>
      <c r="D856" t="s">
        <v>67</v>
      </c>
      <c r="H856" t="str">
        <f t="shared" si="74"/>
        <v>08082461008</v>
      </c>
      <c r="I856" t="str">
        <f t="shared" si="74"/>
        <v>08082461008</v>
      </c>
      <c r="K856" t="str">
        <f>""</f>
        <v/>
      </c>
      <c r="M856" t="s">
        <v>68</v>
      </c>
      <c r="N856" t="str">
        <f t="shared" si="72"/>
        <v>FOR</v>
      </c>
      <c r="O856" t="s">
        <v>69</v>
      </c>
      <c r="P856" s="3" t="s">
        <v>75</v>
      </c>
      <c r="Q856">
        <v>2015</v>
      </c>
      <c r="R856" s="2">
        <v>42166</v>
      </c>
      <c r="S856" s="2">
        <v>42167</v>
      </c>
      <c r="T856" s="2">
        <v>42167</v>
      </c>
      <c r="U856" s="2">
        <v>42227</v>
      </c>
      <c r="V856" t="s">
        <v>71</v>
      </c>
      <c r="W856" t="str">
        <f>"            15092678"</f>
        <v xml:space="preserve">            15092678</v>
      </c>
      <c r="X856">
        <v>114.4</v>
      </c>
      <c r="Y856">
        <v>0</v>
      </c>
      <c r="Z856"/>
      <c r="AB856"/>
      <c r="AC856">
        <v>110</v>
      </c>
      <c r="AD856">
        <v>293</v>
      </c>
      <c r="AE856" s="1">
        <v>32230</v>
      </c>
      <c r="AF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 s="2">
        <v>42746</v>
      </c>
      <c r="AQ856" t="s">
        <v>72</v>
      </c>
      <c r="AR856" t="s">
        <v>72</v>
      </c>
      <c r="AS856">
        <v>1458</v>
      </c>
      <c r="AT856" s="4">
        <v>42520</v>
      </c>
      <c r="AU856" t="s">
        <v>73</v>
      </c>
      <c r="AV856">
        <v>1458</v>
      </c>
      <c r="AW856" s="4">
        <v>42520</v>
      </c>
      <c r="BD856">
        <v>0</v>
      </c>
      <c r="BN856" t="s">
        <v>74</v>
      </c>
    </row>
    <row r="857" spans="1:66" hidden="1">
      <c r="A857">
        <v>100210</v>
      </c>
      <c r="B857" s="3" t="s">
        <v>141</v>
      </c>
      <c r="C857" s="1">
        <v>43300101</v>
      </c>
      <c r="D857" t="s">
        <v>67</v>
      </c>
      <c r="H857" t="str">
        <f t="shared" ref="H857:I876" si="75">"08082461008"</f>
        <v>08082461008</v>
      </c>
      <c r="I857" t="str">
        <f t="shared" si="75"/>
        <v>08082461008</v>
      </c>
      <c r="K857" t="str">
        <f>""</f>
        <v/>
      </c>
      <c r="M857" t="s">
        <v>68</v>
      </c>
      <c r="N857" t="str">
        <f t="shared" si="72"/>
        <v>FOR</v>
      </c>
      <c r="O857" t="s">
        <v>69</v>
      </c>
      <c r="P857" s="3" t="s">
        <v>75</v>
      </c>
      <c r="Q857">
        <v>2015</v>
      </c>
      <c r="R857" s="2">
        <v>42166</v>
      </c>
      <c r="S857" s="2">
        <v>42167</v>
      </c>
      <c r="T857" s="2">
        <v>42167</v>
      </c>
      <c r="U857" s="2">
        <v>42227</v>
      </c>
      <c r="V857" t="s">
        <v>71</v>
      </c>
      <c r="W857" t="str">
        <f>"            15092680"</f>
        <v xml:space="preserve">            15092680</v>
      </c>
      <c r="X857">
        <v>188.76</v>
      </c>
      <c r="Y857">
        <v>0</v>
      </c>
      <c r="Z857"/>
      <c r="AB857"/>
      <c r="AC857">
        <v>181.5</v>
      </c>
      <c r="AD857">
        <v>293</v>
      </c>
      <c r="AE857" s="1">
        <v>53179.5</v>
      </c>
      <c r="AF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 s="2">
        <v>42746</v>
      </c>
      <c r="AQ857" t="s">
        <v>72</v>
      </c>
      <c r="AR857" t="s">
        <v>72</v>
      </c>
      <c r="AS857">
        <v>1458</v>
      </c>
      <c r="AT857" s="4">
        <v>42520</v>
      </c>
      <c r="AU857" t="s">
        <v>73</v>
      </c>
      <c r="AV857">
        <v>1458</v>
      </c>
      <c r="AW857" s="4">
        <v>42520</v>
      </c>
      <c r="BD857">
        <v>0</v>
      </c>
      <c r="BN857" t="s">
        <v>74</v>
      </c>
    </row>
    <row r="858" spans="1:66" hidden="1">
      <c r="A858">
        <v>100210</v>
      </c>
      <c r="B858" s="3" t="s">
        <v>141</v>
      </c>
      <c r="C858" s="1">
        <v>43300101</v>
      </c>
      <c r="D858" t="s">
        <v>67</v>
      </c>
      <c r="H858" t="str">
        <f t="shared" si="75"/>
        <v>08082461008</v>
      </c>
      <c r="I858" t="str">
        <f t="shared" si="75"/>
        <v>08082461008</v>
      </c>
      <c r="K858" t="str">
        <f>""</f>
        <v/>
      </c>
      <c r="M858" t="s">
        <v>68</v>
      </c>
      <c r="N858" t="str">
        <f t="shared" si="72"/>
        <v>FOR</v>
      </c>
      <c r="O858" t="s">
        <v>69</v>
      </c>
      <c r="P858" s="3" t="s">
        <v>75</v>
      </c>
      <c r="Q858">
        <v>2015</v>
      </c>
      <c r="R858" s="2">
        <v>42166</v>
      </c>
      <c r="S858" s="2">
        <v>42167</v>
      </c>
      <c r="T858" s="2">
        <v>42167</v>
      </c>
      <c r="U858" s="2">
        <v>42227</v>
      </c>
      <c r="V858" t="s">
        <v>71</v>
      </c>
      <c r="W858" t="str">
        <f>"            15092681"</f>
        <v xml:space="preserve">            15092681</v>
      </c>
      <c r="X858">
        <v>188.76</v>
      </c>
      <c r="Y858">
        <v>0</v>
      </c>
      <c r="Z858"/>
      <c r="AB858"/>
      <c r="AC858">
        <v>181.5</v>
      </c>
      <c r="AD858">
        <v>293</v>
      </c>
      <c r="AE858" s="1">
        <v>53179.5</v>
      </c>
      <c r="AF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 s="2">
        <v>42746</v>
      </c>
      <c r="AQ858" t="s">
        <v>72</v>
      </c>
      <c r="AR858" t="s">
        <v>72</v>
      </c>
      <c r="AS858">
        <v>1458</v>
      </c>
      <c r="AT858" s="4">
        <v>42520</v>
      </c>
      <c r="AU858" t="s">
        <v>73</v>
      </c>
      <c r="AV858">
        <v>1458</v>
      </c>
      <c r="AW858" s="4">
        <v>42520</v>
      </c>
      <c r="BD858">
        <v>0</v>
      </c>
      <c r="BN858" t="s">
        <v>74</v>
      </c>
    </row>
    <row r="859" spans="1:66" hidden="1">
      <c r="A859">
        <v>100210</v>
      </c>
      <c r="B859" s="3" t="s">
        <v>141</v>
      </c>
      <c r="C859" s="1">
        <v>43300101</v>
      </c>
      <c r="D859" t="s">
        <v>67</v>
      </c>
      <c r="H859" t="str">
        <f t="shared" si="75"/>
        <v>08082461008</v>
      </c>
      <c r="I859" t="str">
        <f t="shared" si="75"/>
        <v>08082461008</v>
      </c>
      <c r="K859" t="str">
        <f>""</f>
        <v/>
      </c>
      <c r="M859" t="s">
        <v>68</v>
      </c>
      <c r="N859" t="str">
        <f t="shared" si="72"/>
        <v>FOR</v>
      </c>
      <c r="O859" t="s">
        <v>69</v>
      </c>
      <c r="P859" s="3" t="s">
        <v>75</v>
      </c>
      <c r="Q859">
        <v>2015</v>
      </c>
      <c r="R859" s="2">
        <v>42166</v>
      </c>
      <c r="S859" s="2">
        <v>42167</v>
      </c>
      <c r="T859" s="2">
        <v>42167</v>
      </c>
      <c r="U859" s="2">
        <v>42227</v>
      </c>
      <c r="V859" t="s">
        <v>71</v>
      </c>
      <c r="W859" t="str">
        <f>"            15092682"</f>
        <v xml:space="preserve">            15092682</v>
      </c>
      <c r="X859">
        <v>188.76</v>
      </c>
      <c r="Y859">
        <v>0</v>
      </c>
      <c r="Z859"/>
      <c r="AB859"/>
      <c r="AC859">
        <v>181.5</v>
      </c>
      <c r="AD859">
        <v>293</v>
      </c>
      <c r="AE859" s="1">
        <v>53179.5</v>
      </c>
      <c r="AF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 s="2">
        <v>42746</v>
      </c>
      <c r="AQ859" t="s">
        <v>72</v>
      </c>
      <c r="AR859" t="s">
        <v>72</v>
      </c>
      <c r="AS859">
        <v>1458</v>
      </c>
      <c r="AT859" s="4">
        <v>42520</v>
      </c>
      <c r="AU859" t="s">
        <v>73</v>
      </c>
      <c r="AV859">
        <v>1458</v>
      </c>
      <c r="AW859" s="4">
        <v>42520</v>
      </c>
      <c r="BD859">
        <v>0</v>
      </c>
      <c r="BN859" t="s">
        <v>74</v>
      </c>
    </row>
    <row r="860" spans="1:66" hidden="1">
      <c r="A860">
        <v>100210</v>
      </c>
      <c r="B860" s="3" t="s">
        <v>141</v>
      </c>
      <c r="C860" s="1">
        <v>43300101</v>
      </c>
      <c r="D860" t="s">
        <v>67</v>
      </c>
      <c r="H860" t="str">
        <f t="shared" si="75"/>
        <v>08082461008</v>
      </c>
      <c r="I860" t="str">
        <f t="shared" si="75"/>
        <v>08082461008</v>
      </c>
      <c r="K860" t="str">
        <f>""</f>
        <v/>
      </c>
      <c r="M860" t="s">
        <v>68</v>
      </c>
      <c r="N860" t="str">
        <f t="shared" si="72"/>
        <v>FOR</v>
      </c>
      <c r="O860" t="s">
        <v>69</v>
      </c>
      <c r="P860" s="3" t="s">
        <v>75</v>
      </c>
      <c r="Q860">
        <v>2015</v>
      </c>
      <c r="R860" s="2">
        <v>42166</v>
      </c>
      <c r="S860" s="2">
        <v>42167</v>
      </c>
      <c r="T860" s="2">
        <v>42167</v>
      </c>
      <c r="U860" s="2">
        <v>42227</v>
      </c>
      <c r="V860" t="s">
        <v>71</v>
      </c>
      <c r="W860" t="str">
        <f>"            15092683"</f>
        <v xml:space="preserve">            15092683</v>
      </c>
      <c r="X860">
        <v>188.76</v>
      </c>
      <c r="Y860">
        <v>0</v>
      </c>
      <c r="Z860"/>
      <c r="AB860"/>
      <c r="AC860">
        <v>181.5</v>
      </c>
      <c r="AD860">
        <v>293</v>
      </c>
      <c r="AE860" s="1">
        <v>53179.5</v>
      </c>
      <c r="AF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 s="2">
        <v>42746</v>
      </c>
      <c r="AQ860" t="s">
        <v>72</v>
      </c>
      <c r="AR860" t="s">
        <v>72</v>
      </c>
      <c r="AS860">
        <v>1458</v>
      </c>
      <c r="AT860" s="4">
        <v>42520</v>
      </c>
      <c r="AU860" t="s">
        <v>73</v>
      </c>
      <c r="AV860">
        <v>1458</v>
      </c>
      <c r="AW860" s="4">
        <v>42520</v>
      </c>
      <c r="BD860">
        <v>0</v>
      </c>
      <c r="BN860" t="s">
        <v>74</v>
      </c>
    </row>
    <row r="861" spans="1:66" hidden="1">
      <c r="A861">
        <v>100210</v>
      </c>
      <c r="B861" s="3" t="s">
        <v>141</v>
      </c>
      <c r="C861" s="1">
        <v>43300101</v>
      </c>
      <c r="D861" t="s">
        <v>67</v>
      </c>
      <c r="H861" t="str">
        <f t="shared" si="75"/>
        <v>08082461008</v>
      </c>
      <c r="I861" t="str">
        <f t="shared" si="75"/>
        <v>08082461008</v>
      </c>
      <c r="K861" t="str">
        <f>""</f>
        <v/>
      </c>
      <c r="M861" t="s">
        <v>68</v>
      </c>
      <c r="N861" t="str">
        <f t="shared" si="72"/>
        <v>FOR</v>
      </c>
      <c r="O861" t="s">
        <v>69</v>
      </c>
      <c r="P861" s="3" t="s">
        <v>75</v>
      </c>
      <c r="Q861">
        <v>2015</v>
      </c>
      <c r="R861" s="2">
        <v>42166</v>
      </c>
      <c r="S861" s="2">
        <v>42167</v>
      </c>
      <c r="T861" s="2">
        <v>42167</v>
      </c>
      <c r="U861" s="2">
        <v>42227</v>
      </c>
      <c r="V861" t="s">
        <v>71</v>
      </c>
      <c r="W861" t="str">
        <f>"            15092684"</f>
        <v xml:space="preserve">            15092684</v>
      </c>
      <c r="X861">
        <v>188.76</v>
      </c>
      <c r="Y861">
        <v>0</v>
      </c>
      <c r="Z861"/>
      <c r="AB861"/>
      <c r="AC861">
        <v>181.5</v>
      </c>
      <c r="AD861">
        <v>293</v>
      </c>
      <c r="AE861" s="1">
        <v>53179.5</v>
      </c>
      <c r="AF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 s="2">
        <v>42746</v>
      </c>
      <c r="AQ861" t="s">
        <v>72</v>
      </c>
      <c r="AR861" t="s">
        <v>72</v>
      </c>
      <c r="AS861">
        <v>1458</v>
      </c>
      <c r="AT861" s="4">
        <v>42520</v>
      </c>
      <c r="AU861" t="s">
        <v>73</v>
      </c>
      <c r="AV861">
        <v>1458</v>
      </c>
      <c r="AW861" s="4">
        <v>42520</v>
      </c>
      <c r="BD861">
        <v>0</v>
      </c>
      <c r="BN861" t="s">
        <v>74</v>
      </c>
    </row>
    <row r="862" spans="1:66" hidden="1">
      <c r="A862">
        <v>100210</v>
      </c>
      <c r="B862" s="3" t="s">
        <v>141</v>
      </c>
      <c r="C862" s="1">
        <v>43300101</v>
      </c>
      <c r="D862" t="s">
        <v>67</v>
      </c>
      <c r="H862" t="str">
        <f t="shared" si="75"/>
        <v>08082461008</v>
      </c>
      <c r="I862" t="str">
        <f t="shared" si="75"/>
        <v>08082461008</v>
      </c>
      <c r="K862" t="str">
        <f>""</f>
        <v/>
      </c>
      <c r="M862" t="s">
        <v>68</v>
      </c>
      <c r="N862" t="str">
        <f t="shared" si="72"/>
        <v>FOR</v>
      </c>
      <c r="O862" t="s">
        <v>69</v>
      </c>
      <c r="P862" s="3" t="s">
        <v>75</v>
      </c>
      <c r="Q862">
        <v>2015</v>
      </c>
      <c r="R862" s="2">
        <v>42166</v>
      </c>
      <c r="S862" s="2">
        <v>42167</v>
      </c>
      <c r="T862" s="2">
        <v>42167</v>
      </c>
      <c r="U862" s="2">
        <v>42227</v>
      </c>
      <c r="V862" t="s">
        <v>71</v>
      </c>
      <c r="W862" t="str">
        <f>"            15092688"</f>
        <v xml:space="preserve">            15092688</v>
      </c>
      <c r="X862">
        <v>188.76</v>
      </c>
      <c r="Y862">
        <v>0</v>
      </c>
      <c r="Z862"/>
      <c r="AB862"/>
      <c r="AC862">
        <v>181.5</v>
      </c>
      <c r="AD862">
        <v>293</v>
      </c>
      <c r="AE862" s="1">
        <v>53179.5</v>
      </c>
      <c r="AF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 s="2">
        <v>42746</v>
      </c>
      <c r="AQ862" t="s">
        <v>72</v>
      </c>
      <c r="AR862" t="s">
        <v>72</v>
      </c>
      <c r="AS862">
        <v>1458</v>
      </c>
      <c r="AT862" s="4">
        <v>42520</v>
      </c>
      <c r="AU862" t="s">
        <v>73</v>
      </c>
      <c r="AV862">
        <v>1458</v>
      </c>
      <c r="AW862" s="4">
        <v>42520</v>
      </c>
      <c r="BD862">
        <v>0</v>
      </c>
      <c r="BN862" t="s">
        <v>74</v>
      </c>
    </row>
    <row r="863" spans="1:66" hidden="1">
      <c r="A863">
        <v>100210</v>
      </c>
      <c r="B863" s="3" t="s">
        <v>141</v>
      </c>
      <c r="C863" s="1">
        <v>43300101</v>
      </c>
      <c r="D863" t="s">
        <v>67</v>
      </c>
      <c r="H863" t="str">
        <f t="shared" si="75"/>
        <v>08082461008</v>
      </c>
      <c r="I863" t="str">
        <f t="shared" si="75"/>
        <v>08082461008</v>
      </c>
      <c r="K863" t="str">
        <f>""</f>
        <v/>
      </c>
      <c r="M863" t="s">
        <v>68</v>
      </c>
      <c r="N863" t="str">
        <f t="shared" si="72"/>
        <v>FOR</v>
      </c>
      <c r="O863" t="s">
        <v>69</v>
      </c>
      <c r="P863" s="3" t="s">
        <v>75</v>
      </c>
      <c r="Q863">
        <v>2015</v>
      </c>
      <c r="R863" s="2">
        <v>42166</v>
      </c>
      <c r="S863" s="2">
        <v>42167</v>
      </c>
      <c r="T863" s="2">
        <v>42167</v>
      </c>
      <c r="U863" s="2">
        <v>42227</v>
      </c>
      <c r="V863" t="s">
        <v>71</v>
      </c>
      <c r="W863" t="str">
        <f>"            15092689"</f>
        <v xml:space="preserve">            15092689</v>
      </c>
      <c r="X863">
        <v>520.52</v>
      </c>
      <c r="Y863">
        <v>0</v>
      </c>
      <c r="Z863"/>
      <c r="AB863"/>
      <c r="AC863">
        <v>500.5</v>
      </c>
      <c r="AD863">
        <v>293</v>
      </c>
      <c r="AE863" s="1">
        <v>146646.5</v>
      </c>
      <c r="AF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 s="2">
        <v>42746</v>
      </c>
      <c r="AQ863" t="s">
        <v>72</v>
      </c>
      <c r="AR863" t="s">
        <v>72</v>
      </c>
      <c r="AS863">
        <v>1458</v>
      </c>
      <c r="AT863" s="4">
        <v>42520</v>
      </c>
      <c r="AU863" t="s">
        <v>73</v>
      </c>
      <c r="AV863">
        <v>1458</v>
      </c>
      <c r="AW863" s="4">
        <v>42520</v>
      </c>
      <c r="BD863">
        <v>0</v>
      </c>
      <c r="BN863" t="s">
        <v>74</v>
      </c>
    </row>
    <row r="864" spans="1:66" hidden="1">
      <c r="A864">
        <v>100210</v>
      </c>
      <c r="B864" s="3" t="s">
        <v>141</v>
      </c>
      <c r="C864" s="1">
        <v>43300101</v>
      </c>
      <c r="D864" t="s">
        <v>67</v>
      </c>
      <c r="H864" t="str">
        <f t="shared" si="75"/>
        <v>08082461008</v>
      </c>
      <c r="I864" t="str">
        <f t="shared" si="75"/>
        <v>08082461008</v>
      </c>
      <c r="K864" t="str">
        <f>""</f>
        <v/>
      </c>
      <c r="M864" t="s">
        <v>68</v>
      </c>
      <c r="N864" t="str">
        <f t="shared" si="72"/>
        <v>FOR</v>
      </c>
      <c r="O864" t="s">
        <v>69</v>
      </c>
      <c r="P864" s="3" t="s">
        <v>75</v>
      </c>
      <c r="Q864">
        <v>2015</v>
      </c>
      <c r="R864" s="2">
        <v>42166</v>
      </c>
      <c r="S864" s="2">
        <v>42167</v>
      </c>
      <c r="T864" s="2">
        <v>42167</v>
      </c>
      <c r="U864" s="2">
        <v>42227</v>
      </c>
      <c r="V864" t="s">
        <v>71</v>
      </c>
      <c r="W864" t="str">
        <f>"            15092691"</f>
        <v xml:space="preserve">            15092691</v>
      </c>
      <c r="X864">
        <v>451.88</v>
      </c>
      <c r="Y864">
        <v>0</v>
      </c>
      <c r="Z864"/>
      <c r="AB864"/>
      <c r="AC864">
        <v>434.5</v>
      </c>
      <c r="AD864">
        <v>293</v>
      </c>
      <c r="AE864" s="1">
        <v>127308.5</v>
      </c>
      <c r="AF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 s="2">
        <v>42746</v>
      </c>
      <c r="AQ864" t="s">
        <v>72</v>
      </c>
      <c r="AR864" t="s">
        <v>72</v>
      </c>
      <c r="AS864">
        <v>1458</v>
      </c>
      <c r="AT864" s="4">
        <v>42520</v>
      </c>
      <c r="AU864" t="s">
        <v>73</v>
      </c>
      <c r="AV864">
        <v>1458</v>
      </c>
      <c r="AW864" s="4">
        <v>42520</v>
      </c>
      <c r="BD864">
        <v>0</v>
      </c>
      <c r="BN864" t="s">
        <v>74</v>
      </c>
    </row>
    <row r="865" spans="1:66" hidden="1">
      <c r="A865">
        <v>100210</v>
      </c>
      <c r="B865" s="3" t="s">
        <v>141</v>
      </c>
      <c r="C865" s="1">
        <v>43300101</v>
      </c>
      <c r="D865" t="s">
        <v>67</v>
      </c>
      <c r="H865" t="str">
        <f t="shared" si="75"/>
        <v>08082461008</v>
      </c>
      <c r="I865" t="str">
        <f t="shared" si="75"/>
        <v>08082461008</v>
      </c>
      <c r="K865" t="str">
        <f>""</f>
        <v/>
      </c>
      <c r="M865" t="s">
        <v>68</v>
      </c>
      <c r="N865" t="str">
        <f t="shared" si="72"/>
        <v>FOR</v>
      </c>
      <c r="O865" t="s">
        <v>69</v>
      </c>
      <c r="P865" s="3" t="s">
        <v>75</v>
      </c>
      <c r="Q865">
        <v>2015</v>
      </c>
      <c r="R865" s="2">
        <v>42166</v>
      </c>
      <c r="S865" s="2">
        <v>42167</v>
      </c>
      <c r="T865" s="2">
        <v>42167</v>
      </c>
      <c r="U865" s="2">
        <v>42227</v>
      </c>
      <c r="V865" t="s">
        <v>71</v>
      </c>
      <c r="W865" t="str">
        <f>"            15092692"</f>
        <v xml:space="preserve">            15092692</v>
      </c>
      <c r="X865">
        <v>451.88</v>
      </c>
      <c r="Y865">
        <v>0</v>
      </c>
      <c r="Z865"/>
      <c r="AB865"/>
      <c r="AC865">
        <v>434.5</v>
      </c>
      <c r="AD865">
        <v>293</v>
      </c>
      <c r="AE865" s="1">
        <v>127308.5</v>
      </c>
      <c r="AF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 s="2">
        <v>42746</v>
      </c>
      <c r="AQ865" t="s">
        <v>72</v>
      </c>
      <c r="AR865" t="s">
        <v>72</v>
      </c>
      <c r="AS865">
        <v>1458</v>
      </c>
      <c r="AT865" s="4">
        <v>42520</v>
      </c>
      <c r="AU865" t="s">
        <v>73</v>
      </c>
      <c r="AV865">
        <v>1458</v>
      </c>
      <c r="AW865" s="4">
        <v>42520</v>
      </c>
      <c r="BD865">
        <v>0</v>
      </c>
      <c r="BN865" t="s">
        <v>74</v>
      </c>
    </row>
    <row r="866" spans="1:66" hidden="1">
      <c r="A866">
        <v>100210</v>
      </c>
      <c r="B866" s="3" t="s">
        <v>141</v>
      </c>
      <c r="C866" s="1">
        <v>43300101</v>
      </c>
      <c r="D866" t="s">
        <v>67</v>
      </c>
      <c r="H866" t="str">
        <f t="shared" si="75"/>
        <v>08082461008</v>
      </c>
      <c r="I866" t="str">
        <f t="shared" si="75"/>
        <v>08082461008</v>
      </c>
      <c r="K866" t="str">
        <f>""</f>
        <v/>
      </c>
      <c r="M866" t="s">
        <v>68</v>
      </c>
      <c r="N866" t="str">
        <f t="shared" si="72"/>
        <v>FOR</v>
      </c>
      <c r="O866" t="s">
        <v>69</v>
      </c>
      <c r="P866" s="3" t="s">
        <v>75</v>
      </c>
      <c r="Q866">
        <v>2015</v>
      </c>
      <c r="R866" s="2">
        <v>42166</v>
      </c>
      <c r="S866" s="2">
        <v>42167</v>
      </c>
      <c r="T866" s="2">
        <v>42167</v>
      </c>
      <c r="U866" s="2">
        <v>42227</v>
      </c>
      <c r="V866" t="s">
        <v>71</v>
      </c>
      <c r="W866" t="str">
        <f>"            15092694"</f>
        <v xml:space="preserve">            15092694</v>
      </c>
      <c r="X866">
        <v>451.88</v>
      </c>
      <c r="Y866">
        <v>0</v>
      </c>
      <c r="Z866"/>
      <c r="AB866"/>
      <c r="AC866">
        <v>434.5</v>
      </c>
      <c r="AD866">
        <v>293</v>
      </c>
      <c r="AE866" s="1">
        <v>127308.5</v>
      </c>
      <c r="AF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 s="2">
        <v>42746</v>
      </c>
      <c r="AQ866" t="s">
        <v>72</v>
      </c>
      <c r="AR866" t="s">
        <v>72</v>
      </c>
      <c r="AS866">
        <v>1458</v>
      </c>
      <c r="AT866" s="4">
        <v>42520</v>
      </c>
      <c r="AU866" t="s">
        <v>73</v>
      </c>
      <c r="AV866">
        <v>1458</v>
      </c>
      <c r="AW866" s="4">
        <v>42520</v>
      </c>
      <c r="BD866">
        <v>0</v>
      </c>
      <c r="BN866" t="s">
        <v>74</v>
      </c>
    </row>
    <row r="867" spans="1:66" hidden="1">
      <c r="A867">
        <v>100210</v>
      </c>
      <c r="B867" s="3" t="s">
        <v>141</v>
      </c>
      <c r="C867" s="1">
        <v>43300101</v>
      </c>
      <c r="D867" t="s">
        <v>67</v>
      </c>
      <c r="H867" t="str">
        <f t="shared" si="75"/>
        <v>08082461008</v>
      </c>
      <c r="I867" t="str">
        <f t="shared" si="75"/>
        <v>08082461008</v>
      </c>
      <c r="K867" t="str">
        <f>""</f>
        <v/>
      </c>
      <c r="M867" t="s">
        <v>68</v>
      </c>
      <c r="N867" t="str">
        <f t="shared" si="72"/>
        <v>FOR</v>
      </c>
      <c r="O867" t="s">
        <v>69</v>
      </c>
      <c r="P867" s="3" t="s">
        <v>75</v>
      </c>
      <c r="Q867">
        <v>2015</v>
      </c>
      <c r="R867" s="2">
        <v>42166</v>
      </c>
      <c r="S867" s="2">
        <v>42167</v>
      </c>
      <c r="T867" s="2">
        <v>42167</v>
      </c>
      <c r="U867" s="2">
        <v>42227</v>
      </c>
      <c r="V867" t="s">
        <v>71</v>
      </c>
      <c r="W867" t="str">
        <f>"            15092696"</f>
        <v xml:space="preserve">            15092696</v>
      </c>
      <c r="X867">
        <v>451.88</v>
      </c>
      <c r="Y867">
        <v>0</v>
      </c>
      <c r="Z867"/>
      <c r="AB867"/>
      <c r="AC867">
        <v>434.5</v>
      </c>
      <c r="AD867">
        <v>293</v>
      </c>
      <c r="AE867" s="1">
        <v>127308.5</v>
      </c>
      <c r="AF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 s="2">
        <v>42746</v>
      </c>
      <c r="AQ867" t="s">
        <v>72</v>
      </c>
      <c r="AR867" t="s">
        <v>72</v>
      </c>
      <c r="AS867">
        <v>1458</v>
      </c>
      <c r="AT867" s="4">
        <v>42520</v>
      </c>
      <c r="AU867" t="s">
        <v>73</v>
      </c>
      <c r="AV867">
        <v>1458</v>
      </c>
      <c r="AW867" s="4">
        <v>42520</v>
      </c>
      <c r="BD867">
        <v>0</v>
      </c>
      <c r="BN867" t="s">
        <v>74</v>
      </c>
    </row>
    <row r="868" spans="1:66" hidden="1">
      <c r="A868">
        <v>100210</v>
      </c>
      <c r="B868" s="3" t="s">
        <v>141</v>
      </c>
      <c r="C868" s="1">
        <v>43300101</v>
      </c>
      <c r="D868" t="s">
        <v>67</v>
      </c>
      <c r="H868" t="str">
        <f t="shared" si="75"/>
        <v>08082461008</v>
      </c>
      <c r="I868" t="str">
        <f t="shared" si="75"/>
        <v>08082461008</v>
      </c>
      <c r="K868" t="str">
        <f>""</f>
        <v/>
      </c>
      <c r="M868" t="s">
        <v>68</v>
      </c>
      <c r="N868" t="str">
        <f t="shared" si="72"/>
        <v>FOR</v>
      </c>
      <c r="O868" t="s">
        <v>69</v>
      </c>
      <c r="P868" s="3" t="s">
        <v>75</v>
      </c>
      <c r="Q868">
        <v>2015</v>
      </c>
      <c r="R868" s="2">
        <v>42166</v>
      </c>
      <c r="S868" s="2">
        <v>42167</v>
      </c>
      <c r="T868" s="2">
        <v>42167</v>
      </c>
      <c r="U868" s="2">
        <v>42227</v>
      </c>
      <c r="V868" t="s">
        <v>71</v>
      </c>
      <c r="W868" t="str">
        <f>"            15092796"</f>
        <v xml:space="preserve">            15092796</v>
      </c>
      <c r="X868">
        <v>682.49</v>
      </c>
      <c r="Y868">
        <v>0</v>
      </c>
      <c r="Z868"/>
      <c r="AB868"/>
      <c r="AC868">
        <v>559.41999999999996</v>
      </c>
      <c r="AD868">
        <v>293</v>
      </c>
      <c r="AE868" s="1">
        <v>163910.06</v>
      </c>
      <c r="AF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 s="2">
        <v>42746</v>
      </c>
      <c r="AQ868" t="s">
        <v>72</v>
      </c>
      <c r="AR868" t="s">
        <v>72</v>
      </c>
      <c r="AS868">
        <v>1458</v>
      </c>
      <c r="AT868" s="4">
        <v>42520</v>
      </c>
      <c r="AU868" t="s">
        <v>73</v>
      </c>
      <c r="AV868">
        <v>1458</v>
      </c>
      <c r="AW868" s="4">
        <v>42520</v>
      </c>
      <c r="BD868">
        <v>0</v>
      </c>
      <c r="BN868" t="s">
        <v>74</v>
      </c>
    </row>
    <row r="869" spans="1:66" hidden="1">
      <c r="A869">
        <v>100210</v>
      </c>
      <c r="B869" s="3" t="s">
        <v>141</v>
      </c>
      <c r="C869" s="1">
        <v>43300101</v>
      </c>
      <c r="D869" t="s">
        <v>67</v>
      </c>
      <c r="H869" t="str">
        <f t="shared" si="75"/>
        <v>08082461008</v>
      </c>
      <c r="I869" t="str">
        <f t="shared" si="75"/>
        <v>08082461008</v>
      </c>
      <c r="K869" t="str">
        <f>""</f>
        <v/>
      </c>
      <c r="M869" t="s">
        <v>68</v>
      </c>
      <c r="N869" t="str">
        <f t="shared" si="72"/>
        <v>FOR</v>
      </c>
      <c r="O869" t="s">
        <v>69</v>
      </c>
      <c r="P869" s="3" t="s">
        <v>75</v>
      </c>
      <c r="Q869">
        <v>2015</v>
      </c>
      <c r="R869" s="2">
        <v>42167</v>
      </c>
      <c r="S869" s="2">
        <v>42170</v>
      </c>
      <c r="T869" s="2">
        <v>42168</v>
      </c>
      <c r="U869" s="2">
        <v>42228</v>
      </c>
      <c r="V869" t="s">
        <v>71</v>
      </c>
      <c r="W869" t="str">
        <f>"            15093671"</f>
        <v xml:space="preserve">            15093671</v>
      </c>
      <c r="X869">
        <v>488</v>
      </c>
      <c r="Y869">
        <v>0</v>
      </c>
      <c r="Z869"/>
      <c r="AB869"/>
      <c r="AC869">
        <v>400</v>
      </c>
      <c r="AD869">
        <v>292</v>
      </c>
      <c r="AE869" s="1">
        <v>116800</v>
      </c>
      <c r="AF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 s="2">
        <v>42746</v>
      </c>
      <c r="AQ869" t="s">
        <v>72</v>
      </c>
      <c r="AR869" t="s">
        <v>72</v>
      </c>
      <c r="AS869">
        <v>1458</v>
      </c>
      <c r="AT869" s="4">
        <v>42520</v>
      </c>
      <c r="AU869" t="s">
        <v>73</v>
      </c>
      <c r="AV869">
        <v>1458</v>
      </c>
      <c r="AW869" s="4">
        <v>42520</v>
      </c>
      <c r="BD869">
        <v>0</v>
      </c>
      <c r="BN869" t="s">
        <v>74</v>
      </c>
    </row>
    <row r="870" spans="1:66" hidden="1">
      <c r="A870">
        <v>100210</v>
      </c>
      <c r="B870" s="3" t="s">
        <v>141</v>
      </c>
      <c r="C870" s="1">
        <v>43300101</v>
      </c>
      <c r="D870" t="s">
        <v>67</v>
      </c>
      <c r="H870" t="str">
        <f t="shared" si="75"/>
        <v>08082461008</v>
      </c>
      <c r="I870" t="str">
        <f t="shared" si="75"/>
        <v>08082461008</v>
      </c>
      <c r="K870" t="str">
        <f>""</f>
        <v/>
      </c>
      <c r="M870" t="s">
        <v>68</v>
      </c>
      <c r="N870" t="str">
        <f t="shared" si="72"/>
        <v>FOR</v>
      </c>
      <c r="O870" t="s">
        <v>69</v>
      </c>
      <c r="P870" s="3" t="s">
        <v>75</v>
      </c>
      <c r="Q870">
        <v>2015</v>
      </c>
      <c r="R870" s="2">
        <v>42173</v>
      </c>
      <c r="S870" s="2">
        <v>42177</v>
      </c>
      <c r="T870" s="2">
        <v>42174</v>
      </c>
      <c r="U870" s="2">
        <v>42234</v>
      </c>
      <c r="V870" t="s">
        <v>71</v>
      </c>
      <c r="W870" t="str">
        <f>"            15097326"</f>
        <v xml:space="preserve">            15097326</v>
      </c>
      <c r="X870">
        <v>363.44</v>
      </c>
      <c r="Y870">
        <v>0</v>
      </c>
      <c r="Z870"/>
      <c r="AB870"/>
      <c r="AC870">
        <v>297.89999999999998</v>
      </c>
      <c r="AD870">
        <v>286</v>
      </c>
      <c r="AE870" s="1">
        <v>85199.4</v>
      </c>
      <c r="AF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 s="2">
        <v>42746</v>
      </c>
      <c r="AQ870" t="s">
        <v>72</v>
      </c>
      <c r="AR870" t="s">
        <v>72</v>
      </c>
      <c r="AS870">
        <v>1458</v>
      </c>
      <c r="AT870" s="4">
        <v>42520</v>
      </c>
      <c r="AU870" t="s">
        <v>73</v>
      </c>
      <c r="AV870">
        <v>1458</v>
      </c>
      <c r="AW870" s="4">
        <v>42520</v>
      </c>
      <c r="BD870">
        <v>0</v>
      </c>
      <c r="BN870" t="s">
        <v>74</v>
      </c>
    </row>
    <row r="871" spans="1:66" hidden="1">
      <c r="A871">
        <v>100210</v>
      </c>
      <c r="B871" s="3" t="s">
        <v>141</v>
      </c>
      <c r="C871" s="1">
        <v>43300101</v>
      </c>
      <c r="D871" t="s">
        <v>67</v>
      </c>
      <c r="H871" t="str">
        <f t="shared" si="75"/>
        <v>08082461008</v>
      </c>
      <c r="I871" t="str">
        <f t="shared" si="75"/>
        <v>08082461008</v>
      </c>
      <c r="K871" t="str">
        <f>""</f>
        <v/>
      </c>
      <c r="M871" t="s">
        <v>68</v>
      </c>
      <c r="N871" t="str">
        <f t="shared" si="72"/>
        <v>FOR</v>
      </c>
      <c r="O871" t="s">
        <v>69</v>
      </c>
      <c r="P871" s="3" t="s">
        <v>75</v>
      </c>
      <c r="Q871">
        <v>2015</v>
      </c>
      <c r="R871" s="2">
        <v>42173</v>
      </c>
      <c r="S871" s="2">
        <v>42177</v>
      </c>
      <c r="T871" s="2">
        <v>42174</v>
      </c>
      <c r="U871" s="2">
        <v>42234</v>
      </c>
      <c r="V871" t="s">
        <v>71</v>
      </c>
      <c r="W871" t="str">
        <f>"            15097588"</f>
        <v xml:space="preserve">            15097588</v>
      </c>
      <c r="X871" s="1">
        <v>1311.5</v>
      </c>
      <c r="Y871">
        <v>0</v>
      </c>
      <c r="Z871"/>
      <c r="AB871"/>
      <c r="AC871" s="1">
        <v>1075</v>
      </c>
      <c r="AD871">
        <v>286</v>
      </c>
      <c r="AE871" s="1">
        <v>307450</v>
      </c>
      <c r="AF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 s="2">
        <v>42746</v>
      </c>
      <c r="AQ871" t="s">
        <v>72</v>
      </c>
      <c r="AR871" t="s">
        <v>72</v>
      </c>
      <c r="AS871">
        <v>1458</v>
      </c>
      <c r="AT871" s="4">
        <v>42520</v>
      </c>
      <c r="AU871" t="s">
        <v>73</v>
      </c>
      <c r="AV871">
        <v>1458</v>
      </c>
      <c r="AW871" s="4">
        <v>42520</v>
      </c>
      <c r="BD871">
        <v>0</v>
      </c>
      <c r="BN871" t="s">
        <v>74</v>
      </c>
    </row>
    <row r="872" spans="1:66" hidden="1">
      <c r="A872">
        <v>100210</v>
      </c>
      <c r="B872" s="3" t="s">
        <v>141</v>
      </c>
      <c r="C872" s="1">
        <v>43300101</v>
      </c>
      <c r="D872" t="s">
        <v>67</v>
      </c>
      <c r="H872" t="str">
        <f t="shared" si="75"/>
        <v>08082461008</v>
      </c>
      <c r="I872" t="str">
        <f t="shared" si="75"/>
        <v>08082461008</v>
      </c>
      <c r="K872" t="str">
        <f>""</f>
        <v/>
      </c>
      <c r="M872" t="s">
        <v>68</v>
      </c>
      <c r="N872" t="str">
        <f t="shared" si="72"/>
        <v>FOR</v>
      </c>
      <c r="O872" t="s">
        <v>69</v>
      </c>
      <c r="P872" s="3" t="s">
        <v>75</v>
      </c>
      <c r="Q872">
        <v>2015</v>
      </c>
      <c r="R872" s="2">
        <v>42177</v>
      </c>
      <c r="S872" s="2">
        <v>42178</v>
      </c>
      <c r="T872" s="2">
        <v>42178</v>
      </c>
      <c r="U872" s="2">
        <v>42238</v>
      </c>
      <c r="V872" t="s">
        <v>71</v>
      </c>
      <c r="W872" t="str">
        <f>"            15098834"</f>
        <v xml:space="preserve">            15098834</v>
      </c>
      <c r="X872">
        <v>644.79999999999995</v>
      </c>
      <c r="Y872">
        <v>0</v>
      </c>
      <c r="Z872"/>
      <c r="AB872"/>
      <c r="AC872">
        <v>620</v>
      </c>
      <c r="AD872">
        <v>282</v>
      </c>
      <c r="AE872" s="1">
        <v>174840</v>
      </c>
      <c r="AF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 s="2">
        <v>42746</v>
      </c>
      <c r="AQ872" t="s">
        <v>72</v>
      </c>
      <c r="AR872" t="s">
        <v>72</v>
      </c>
      <c r="AS872">
        <v>1458</v>
      </c>
      <c r="AT872" s="4">
        <v>42520</v>
      </c>
      <c r="AU872" t="s">
        <v>73</v>
      </c>
      <c r="AV872">
        <v>1458</v>
      </c>
      <c r="AW872" s="4">
        <v>42520</v>
      </c>
      <c r="BD872">
        <v>0</v>
      </c>
      <c r="BN872" t="s">
        <v>74</v>
      </c>
    </row>
    <row r="873" spans="1:66" hidden="1">
      <c r="A873">
        <v>100210</v>
      </c>
      <c r="B873" s="3" t="s">
        <v>141</v>
      </c>
      <c r="C873" s="1">
        <v>43300101</v>
      </c>
      <c r="D873" t="s">
        <v>67</v>
      </c>
      <c r="H873" t="str">
        <f t="shared" si="75"/>
        <v>08082461008</v>
      </c>
      <c r="I873" t="str">
        <f t="shared" si="75"/>
        <v>08082461008</v>
      </c>
      <c r="K873" t="str">
        <f>""</f>
        <v/>
      </c>
      <c r="M873" t="s">
        <v>68</v>
      </c>
      <c r="N873" t="str">
        <f t="shared" si="72"/>
        <v>FOR</v>
      </c>
      <c r="O873" t="s">
        <v>69</v>
      </c>
      <c r="P873" s="3" t="s">
        <v>75</v>
      </c>
      <c r="Q873">
        <v>2015</v>
      </c>
      <c r="R873" s="2">
        <v>42184</v>
      </c>
      <c r="S873" s="2">
        <v>42191</v>
      </c>
      <c r="T873" s="2">
        <v>42185</v>
      </c>
      <c r="U873" s="2">
        <v>42245</v>
      </c>
      <c r="V873" t="s">
        <v>71</v>
      </c>
      <c r="W873" t="str">
        <f>"            15104929"</f>
        <v xml:space="preserve">            15104929</v>
      </c>
      <c r="X873" s="1">
        <v>2068.56</v>
      </c>
      <c r="Y873">
        <v>0</v>
      </c>
      <c r="Z873"/>
      <c r="AB873"/>
      <c r="AC873" s="1">
        <v>1989</v>
      </c>
      <c r="AD873">
        <v>275</v>
      </c>
      <c r="AE873" s="1">
        <v>546975</v>
      </c>
      <c r="AF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 s="2">
        <v>42746</v>
      </c>
      <c r="AQ873" t="s">
        <v>72</v>
      </c>
      <c r="AR873" t="s">
        <v>72</v>
      </c>
      <c r="AS873">
        <v>1458</v>
      </c>
      <c r="AT873" s="4">
        <v>42520</v>
      </c>
      <c r="AU873" t="s">
        <v>73</v>
      </c>
      <c r="AV873">
        <v>1458</v>
      </c>
      <c r="AW873" s="4">
        <v>42520</v>
      </c>
      <c r="BD873">
        <v>0</v>
      </c>
      <c r="BN873" t="s">
        <v>74</v>
      </c>
    </row>
    <row r="874" spans="1:66" hidden="1">
      <c r="A874">
        <v>100210</v>
      </c>
      <c r="B874" s="3" t="s">
        <v>141</v>
      </c>
      <c r="C874" s="1">
        <v>43300101</v>
      </c>
      <c r="D874" t="s">
        <v>67</v>
      </c>
      <c r="H874" t="str">
        <f t="shared" si="75"/>
        <v>08082461008</v>
      </c>
      <c r="I874" t="str">
        <f t="shared" si="75"/>
        <v>08082461008</v>
      </c>
      <c r="K874" t="str">
        <f>""</f>
        <v/>
      </c>
      <c r="M874" t="s">
        <v>68</v>
      </c>
      <c r="N874" t="str">
        <f t="shared" si="72"/>
        <v>FOR</v>
      </c>
      <c r="O874" t="s">
        <v>69</v>
      </c>
      <c r="P874" s="3" t="s">
        <v>75</v>
      </c>
      <c r="Q874">
        <v>2015</v>
      </c>
      <c r="R874" s="2">
        <v>42185</v>
      </c>
      <c r="S874" s="2">
        <v>42191</v>
      </c>
      <c r="T874" s="2">
        <v>42186</v>
      </c>
      <c r="U874" s="2">
        <v>42246</v>
      </c>
      <c r="V874" t="s">
        <v>71</v>
      </c>
      <c r="W874" t="str">
        <f>"            15105650"</f>
        <v xml:space="preserve">            15105650</v>
      </c>
      <c r="X874" s="1">
        <v>3474.06</v>
      </c>
      <c r="Y874">
        <v>0</v>
      </c>
      <c r="Z874"/>
      <c r="AB874"/>
      <c r="AC874" s="1">
        <v>2847.6</v>
      </c>
      <c r="AD874">
        <v>274</v>
      </c>
      <c r="AE874" s="1">
        <v>780242.4</v>
      </c>
      <c r="AF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 s="2">
        <v>42746</v>
      </c>
      <c r="AQ874" t="s">
        <v>72</v>
      </c>
      <c r="AR874" t="s">
        <v>72</v>
      </c>
      <c r="AS874">
        <v>1458</v>
      </c>
      <c r="AT874" s="4">
        <v>42520</v>
      </c>
      <c r="AU874" t="s">
        <v>73</v>
      </c>
      <c r="AV874">
        <v>1458</v>
      </c>
      <c r="AW874" s="4">
        <v>42520</v>
      </c>
      <c r="BD874">
        <v>0</v>
      </c>
      <c r="BN874" t="s">
        <v>74</v>
      </c>
    </row>
    <row r="875" spans="1:66" hidden="1">
      <c r="A875">
        <v>100210</v>
      </c>
      <c r="B875" s="3" t="s">
        <v>141</v>
      </c>
      <c r="C875" s="1">
        <v>43300101</v>
      </c>
      <c r="D875" t="s">
        <v>67</v>
      </c>
      <c r="H875" t="str">
        <f t="shared" si="75"/>
        <v>08082461008</v>
      </c>
      <c r="I875" t="str">
        <f t="shared" si="75"/>
        <v>08082461008</v>
      </c>
      <c r="K875" t="str">
        <f>""</f>
        <v/>
      </c>
      <c r="M875" t="s">
        <v>68</v>
      </c>
      <c r="N875" t="str">
        <f t="shared" si="72"/>
        <v>FOR</v>
      </c>
      <c r="O875" t="s">
        <v>69</v>
      </c>
      <c r="P875" s="3" t="s">
        <v>75</v>
      </c>
      <c r="Q875">
        <v>2015</v>
      </c>
      <c r="R875" s="2">
        <v>42185</v>
      </c>
      <c r="S875" s="2">
        <v>42191</v>
      </c>
      <c r="T875" s="2">
        <v>42186</v>
      </c>
      <c r="U875" s="2">
        <v>42246</v>
      </c>
      <c r="V875" t="s">
        <v>71</v>
      </c>
      <c r="W875" t="str">
        <f>"            15105655"</f>
        <v xml:space="preserve">            15105655</v>
      </c>
      <c r="X875">
        <v>256.93</v>
      </c>
      <c r="Y875">
        <v>0</v>
      </c>
      <c r="Z875"/>
      <c r="AB875"/>
      <c r="AC875">
        <v>210.6</v>
      </c>
      <c r="AD875">
        <v>274</v>
      </c>
      <c r="AE875" s="1">
        <v>57704.4</v>
      </c>
      <c r="AF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 s="2">
        <v>42746</v>
      </c>
      <c r="AQ875" t="s">
        <v>72</v>
      </c>
      <c r="AR875" t="s">
        <v>72</v>
      </c>
      <c r="AS875">
        <v>1458</v>
      </c>
      <c r="AT875" s="4">
        <v>42520</v>
      </c>
      <c r="AU875" t="s">
        <v>73</v>
      </c>
      <c r="AV875">
        <v>1458</v>
      </c>
      <c r="AW875" s="4">
        <v>42520</v>
      </c>
      <c r="BD875">
        <v>0</v>
      </c>
      <c r="BN875" t="s">
        <v>74</v>
      </c>
    </row>
    <row r="876" spans="1:66" hidden="1">
      <c r="A876">
        <v>100210</v>
      </c>
      <c r="B876" s="3" t="s">
        <v>141</v>
      </c>
      <c r="C876" s="1">
        <v>43300101</v>
      </c>
      <c r="D876" t="s">
        <v>67</v>
      </c>
      <c r="H876" t="str">
        <f t="shared" si="75"/>
        <v>08082461008</v>
      </c>
      <c r="I876" t="str">
        <f t="shared" si="75"/>
        <v>08082461008</v>
      </c>
      <c r="K876" t="str">
        <f>""</f>
        <v/>
      </c>
      <c r="M876" t="s">
        <v>68</v>
      </c>
      <c r="N876" t="str">
        <f t="shared" si="72"/>
        <v>FOR</v>
      </c>
      <c r="O876" t="s">
        <v>69</v>
      </c>
      <c r="P876" s="3" t="s">
        <v>75</v>
      </c>
      <c r="Q876">
        <v>2015</v>
      </c>
      <c r="R876" s="2">
        <v>42192</v>
      </c>
      <c r="S876" s="2">
        <v>42193</v>
      </c>
      <c r="T876" s="2">
        <v>42193</v>
      </c>
      <c r="U876" s="2">
        <v>42253</v>
      </c>
      <c r="V876" t="s">
        <v>71</v>
      </c>
      <c r="W876" t="str">
        <f>"            15108855"</f>
        <v xml:space="preserve">            15108855</v>
      </c>
      <c r="X876" s="1">
        <v>3988.4</v>
      </c>
      <c r="Y876">
        <v>0</v>
      </c>
      <c r="Z876"/>
      <c r="AB876"/>
      <c r="AC876" s="1">
        <v>3835</v>
      </c>
      <c r="AD876">
        <v>323</v>
      </c>
      <c r="AE876" s="1">
        <v>1238705</v>
      </c>
      <c r="AF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 s="2">
        <v>42746</v>
      </c>
      <c r="AQ876" t="s">
        <v>72</v>
      </c>
      <c r="AR876" t="s">
        <v>72</v>
      </c>
      <c r="AS876">
        <v>1914</v>
      </c>
      <c r="AT876" s="4">
        <v>42576</v>
      </c>
      <c r="AU876" t="s">
        <v>73</v>
      </c>
      <c r="AV876">
        <v>1914</v>
      </c>
      <c r="AW876" s="4">
        <v>42576</v>
      </c>
      <c r="BD876">
        <v>0</v>
      </c>
      <c r="BN876" t="s">
        <v>74</v>
      </c>
    </row>
    <row r="877" spans="1:66" hidden="1">
      <c r="A877">
        <v>100210</v>
      </c>
      <c r="B877" s="3" t="s">
        <v>141</v>
      </c>
      <c r="C877" s="1">
        <v>43300101</v>
      </c>
      <c r="D877" t="s">
        <v>67</v>
      </c>
      <c r="H877" t="str">
        <f t="shared" ref="H877:I896" si="76">"08082461008"</f>
        <v>08082461008</v>
      </c>
      <c r="I877" t="str">
        <f t="shared" si="76"/>
        <v>08082461008</v>
      </c>
      <c r="K877" t="str">
        <f>""</f>
        <v/>
      </c>
      <c r="M877" t="s">
        <v>68</v>
      </c>
      <c r="N877" t="str">
        <f t="shared" si="72"/>
        <v>FOR</v>
      </c>
      <c r="O877" t="s">
        <v>69</v>
      </c>
      <c r="P877" s="3" t="s">
        <v>75</v>
      </c>
      <c r="Q877">
        <v>2015</v>
      </c>
      <c r="R877" s="2">
        <v>42192</v>
      </c>
      <c r="S877" s="2">
        <v>42193</v>
      </c>
      <c r="T877" s="2">
        <v>42193</v>
      </c>
      <c r="U877" s="2">
        <v>42253</v>
      </c>
      <c r="V877" t="s">
        <v>71</v>
      </c>
      <c r="W877" t="str">
        <f>"            15109052"</f>
        <v xml:space="preserve">            15109052</v>
      </c>
      <c r="X877">
        <v>644.79999999999995</v>
      </c>
      <c r="Y877">
        <v>0</v>
      </c>
      <c r="Z877"/>
      <c r="AB877"/>
      <c r="AC877">
        <v>620</v>
      </c>
      <c r="AD877">
        <v>323</v>
      </c>
      <c r="AE877" s="1">
        <v>200260</v>
      </c>
      <c r="AF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 s="2">
        <v>42746</v>
      </c>
      <c r="AQ877" t="s">
        <v>72</v>
      </c>
      <c r="AR877" t="s">
        <v>72</v>
      </c>
      <c r="AS877">
        <v>1914</v>
      </c>
      <c r="AT877" s="4">
        <v>42576</v>
      </c>
      <c r="AU877" t="s">
        <v>73</v>
      </c>
      <c r="AV877">
        <v>1914</v>
      </c>
      <c r="AW877" s="4">
        <v>42576</v>
      </c>
      <c r="BD877">
        <v>0</v>
      </c>
      <c r="BN877" t="s">
        <v>74</v>
      </c>
    </row>
    <row r="878" spans="1:66" hidden="1">
      <c r="A878">
        <v>100210</v>
      </c>
      <c r="B878" s="3" t="s">
        <v>141</v>
      </c>
      <c r="C878" s="1">
        <v>43300101</v>
      </c>
      <c r="D878" t="s">
        <v>67</v>
      </c>
      <c r="H878" t="str">
        <f t="shared" si="76"/>
        <v>08082461008</v>
      </c>
      <c r="I878" t="str">
        <f t="shared" si="76"/>
        <v>08082461008</v>
      </c>
      <c r="K878" t="str">
        <f>""</f>
        <v/>
      </c>
      <c r="M878" t="s">
        <v>68</v>
      </c>
      <c r="N878" t="str">
        <f t="shared" ref="N878:N941" si="77">"FOR"</f>
        <v>FOR</v>
      </c>
      <c r="O878" t="s">
        <v>69</v>
      </c>
      <c r="P878" s="3" t="s">
        <v>75</v>
      </c>
      <c r="Q878">
        <v>2015</v>
      </c>
      <c r="R878" s="2">
        <v>42192</v>
      </c>
      <c r="S878" s="2">
        <v>42193</v>
      </c>
      <c r="T878" s="2">
        <v>42193</v>
      </c>
      <c r="U878" s="2">
        <v>42253</v>
      </c>
      <c r="V878" t="s">
        <v>71</v>
      </c>
      <c r="W878" t="str">
        <f>"            15109434"</f>
        <v xml:space="preserve">            15109434</v>
      </c>
      <c r="X878" s="1">
        <v>5914.56</v>
      </c>
      <c r="Y878">
        <v>0</v>
      </c>
      <c r="Z878"/>
      <c r="AB878"/>
      <c r="AC878" s="1">
        <v>4848</v>
      </c>
      <c r="AD878">
        <v>323</v>
      </c>
      <c r="AE878" s="1">
        <v>1565904</v>
      </c>
      <c r="AF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 s="2">
        <v>42746</v>
      </c>
      <c r="AQ878" t="s">
        <v>72</v>
      </c>
      <c r="AR878" t="s">
        <v>72</v>
      </c>
      <c r="AS878">
        <v>1914</v>
      </c>
      <c r="AT878" s="4">
        <v>42576</v>
      </c>
      <c r="AU878" t="s">
        <v>73</v>
      </c>
      <c r="AV878">
        <v>1914</v>
      </c>
      <c r="AW878" s="4">
        <v>42576</v>
      </c>
      <c r="BD878">
        <v>0</v>
      </c>
      <c r="BN878" t="s">
        <v>74</v>
      </c>
    </row>
    <row r="879" spans="1:66" hidden="1">
      <c r="A879">
        <v>100210</v>
      </c>
      <c r="B879" s="3" t="s">
        <v>141</v>
      </c>
      <c r="C879" s="1">
        <v>43300101</v>
      </c>
      <c r="D879" t="s">
        <v>67</v>
      </c>
      <c r="H879" t="str">
        <f t="shared" si="76"/>
        <v>08082461008</v>
      </c>
      <c r="I879" t="str">
        <f t="shared" si="76"/>
        <v>08082461008</v>
      </c>
      <c r="K879" t="str">
        <f>""</f>
        <v/>
      </c>
      <c r="M879" t="s">
        <v>68</v>
      </c>
      <c r="N879" t="str">
        <f t="shared" si="77"/>
        <v>FOR</v>
      </c>
      <c r="O879" t="s">
        <v>69</v>
      </c>
      <c r="P879" s="3" t="s">
        <v>75</v>
      </c>
      <c r="Q879">
        <v>2015</v>
      </c>
      <c r="R879" s="2">
        <v>42193</v>
      </c>
      <c r="S879" s="2">
        <v>42198</v>
      </c>
      <c r="T879" s="2">
        <v>42194</v>
      </c>
      <c r="U879" s="2">
        <v>42254</v>
      </c>
      <c r="V879" t="s">
        <v>71</v>
      </c>
      <c r="W879" t="str">
        <f>"            15110212"</f>
        <v xml:space="preserve">            15110212</v>
      </c>
      <c r="X879" s="1">
        <v>11502.4</v>
      </c>
      <c r="Y879">
        <v>0</v>
      </c>
      <c r="Z879"/>
      <c r="AB879"/>
      <c r="AC879" s="1">
        <v>11060</v>
      </c>
      <c r="AD879">
        <v>322</v>
      </c>
      <c r="AE879" s="1">
        <v>3561320</v>
      </c>
      <c r="AF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 s="2">
        <v>42746</v>
      </c>
      <c r="AQ879" t="s">
        <v>72</v>
      </c>
      <c r="AR879" t="s">
        <v>72</v>
      </c>
      <c r="AS879">
        <v>1914</v>
      </c>
      <c r="AT879" s="4">
        <v>42576</v>
      </c>
      <c r="AU879" t="s">
        <v>73</v>
      </c>
      <c r="AV879">
        <v>1914</v>
      </c>
      <c r="AW879" s="4">
        <v>42576</v>
      </c>
      <c r="BD879">
        <v>0</v>
      </c>
      <c r="BN879" t="s">
        <v>74</v>
      </c>
    </row>
    <row r="880" spans="1:66" hidden="1">
      <c r="A880">
        <v>100210</v>
      </c>
      <c r="B880" s="3" t="s">
        <v>141</v>
      </c>
      <c r="C880" s="1">
        <v>43300101</v>
      </c>
      <c r="D880" t="s">
        <v>67</v>
      </c>
      <c r="H880" t="str">
        <f t="shared" si="76"/>
        <v>08082461008</v>
      </c>
      <c r="I880" t="str">
        <f t="shared" si="76"/>
        <v>08082461008</v>
      </c>
      <c r="K880" t="str">
        <f>""</f>
        <v/>
      </c>
      <c r="M880" t="s">
        <v>68</v>
      </c>
      <c r="N880" t="str">
        <f t="shared" si="77"/>
        <v>FOR</v>
      </c>
      <c r="O880" t="s">
        <v>69</v>
      </c>
      <c r="P880" s="3" t="s">
        <v>75</v>
      </c>
      <c r="Q880">
        <v>2015</v>
      </c>
      <c r="R880" s="2">
        <v>42198</v>
      </c>
      <c r="S880" s="2">
        <v>42199</v>
      </c>
      <c r="T880" s="2">
        <v>42198</v>
      </c>
      <c r="U880" s="2">
        <v>42258</v>
      </c>
      <c r="V880" t="s">
        <v>71</v>
      </c>
      <c r="W880" t="str">
        <f>"            15112382"</f>
        <v xml:space="preserve">            15112382</v>
      </c>
      <c r="X880" s="1">
        <v>12641.64</v>
      </c>
      <c r="Y880">
        <v>0</v>
      </c>
      <c r="Z880"/>
      <c r="AB880"/>
      <c r="AC880" s="1">
        <v>10362</v>
      </c>
      <c r="AD880">
        <v>318</v>
      </c>
      <c r="AE880" s="1">
        <v>3295116</v>
      </c>
      <c r="AF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 s="2">
        <v>42746</v>
      </c>
      <c r="AQ880" t="s">
        <v>72</v>
      </c>
      <c r="AR880" t="s">
        <v>72</v>
      </c>
      <c r="AS880">
        <v>1914</v>
      </c>
      <c r="AT880" s="4">
        <v>42576</v>
      </c>
      <c r="AU880" t="s">
        <v>73</v>
      </c>
      <c r="AV880">
        <v>1914</v>
      </c>
      <c r="AW880" s="4">
        <v>42576</v>
      </c>
      <c r="BD880">
        <v>0</v>
      </c>
      <c r="BN880" t="s">
        <v>74</v>
      </c>
    </row>
    <row r="881" spans="1:66" hidden="1">
      <c r="A881">
        <v>100210</v>
      </c>
      <c r="B881" s="3" t="s">
        <v>141</v>
      </c>
      <c r="C881" s="1">
        <v>43300101</v>
      </c>
      <c r="D881" t="s">
        <v>67</v>
      </c>
      <c r="H881" t="str">
        <f t="shared" si="76"/>
        <v>08082461008</v>
      </c>
      <c r="I881" t="str">
        <f t="shared" si="76"/>
        <v>08082461008</v>
      </c>
      <c r="K881" t="str">
        <f>""</f>
        <v/>
      </c>
      <c r="M881" t="s">
        <v>68</v>
      </c>
      <c r="N881" t="str">
        <f t="shared" si="77"/>
        <v>FOR</v>
      </c>
      <c r="O881" t="s">
        <v>69</v>
      </c>
      <c r="P881" s="3" t="s">
        <v>75</v>
      </c>
      <c r="Q881">
        <v>2015</v>
      </c>
      <c r="R881" s="2">
        <v>42206</v>
      </c>
      <c r="S881" s="2">
        <v>42207</v>
      </c>
      <c r="T881" s="2">
        <v>42207</v>
      </c>
      <c r="U881" s="2">
        <v>42267</v>
      </c>
      <c r="V881" t="s">
        <v>71</v>
      </c>
      <c r="W881" t="str">
        <f>"            15116620"</f>
        <v xml:space="preserve">            15116620</v>
      </c>
      <c r="X881">
        <v>230.58</v>
      </c>
      <c r="Y881">
        <v>0</v>
      </c>
      <c r="Z881"/>
      <c r="AB881"/>
      <c r="AC881">
        <v>189</v>
      </c>
      <c r="AD881">
        <v>309</v>
      </c>
      <c r="AE881" s="1">
        <v>58401</v>
      </c>
      <c r="AF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 s="2">
        <v>42746</v>
      </c>
      <c r="AQ881" t="s">
        <v>72</v>
      </c>
      <c r="AR881" t="s">
        <v>72</v>
      </c>
      <c r="AS881">
        <v>1914</v>
      </c>
      <c r="AT881" s="4">
        <v>42576</v>
      </c>
      <c r="AU881" t="s">
        <v>73</v>
      </c>
      <c r="AV881">
        <v>1914</v>
      </c>
      <c r="AW881" s="4">
        <v>42576</v>
      </c>
      <c r="BD881">
        <v>0</v>
      </c>
      <c r="BN881" t="s">
        <v>74</v>
      </c>
    </row>
    <row r="882" spans="1:66" hidden="1">
      <c r="A882">
        <v>100210</v>
      </c>
      <c r="B882" s="3" t="s">
        <v>141</v>
      </c>
      <c r="C882" s="1">
        <v>43300101</v>
      </c>
      <c r="D882" t="s">
        <v>67</v>
      </c>
      <c r="H882" t="str">
        <f t="shared" si="76"/>
        <v>08082461008</v>
      </c>
      <c r="I882" t="str">
        <f t="shared" si="76"/>
        <v>08082461008</v>
      </c>
      <c r="K882" t="str">
        <f>""</f>
        <v/>
      </c>
      <c r="M882" t="s">
        <v>68</v>
      </c>
      <c r="N882" t="str">
        <f t="shared" si="77"/>
        <v>FOR</v>
      </c>
      <c r="O882" t="s">
        <v>69</v>
      </c>
      <c r="P882" s="3" t="s">
        <v>75</v>
      </c>
      <c r="Q882">
        <v>2015</v>
      </c>
      <c r="R882" s="2">
        <v>42209</v>
      </c>
      <c r="S882" s="2">
        <v>42212</v>
      </c>
      <c r="T882" s="2">
        <v>42210</v>
      </c>
      <c r="U882" s="2">
        <v>42270</v>
      </c>
      <c r="V882" t="s">
        <v>71</v>
      </c>
      <c r="W882" t="str">
        <f>"            15119857"</f>
        <v xml:space="preserve">            15119857</v>
      </c>
      <c r="X882">
        <v>644.79999999999995</v>
      </c>
      <c r="Y882">
        <v>0</v>
      </c>
      <c r="Z882"/>
      <c r="AB882"/>
      <c r="AC882">
        <v>620</v>
      </c>
      <c r="AD882">
        <v>306</v>
      </c>
      <c r="AE882" s="1">
        <v>189720</v>
      </c>
      <c r="AF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 s="2">
        <v>42746</v>
      </c>
      <c r="AQ882" t="s">
        <v>72</v>
      </c>
      <c r="AR882" t="s">
        <v>72</v>
      </c>
      <c r="AS882">
        <v>1914</v>
      </c>
      <c r="AT882" s="4">
        <v>42576</v>
      </c>
      <c r="AU882" t="s">
        <v>73</v>
      </c>
      <c r="AV882">
        <v>1914</v>
      </c>
      <c r="AW882" s="4">
        <v>42576</v>
      </c>
      <c r="BD882">
        <v>0</v>
      </c>
      <c r="BN882" t="s">
        <v>74</v>
      </c>
    </row>
    <row r="883" spans="1:66" hidden="1">
      <c r="A883">
        <v>100210</v>
      </c>
      <c r="B883" s="3" t="s">
        <v>141</v>
      </c>
      <c r="C883" s="1">
        <v>43300101</v>
      </c>
      <c r="D883" t="s">
        <v>67</v>
      </c>
      <c r="H883" t="str">
        <f t="shared" si="76"/>
        <v>08082461008</v>
      </c>
      <c r="I883" t="str">
        <f t="shared" si="76"/>
        <v>08082461008</v>
      </c>
      <c r="K883" t="str">
        <f>""</f>
        <v/>
      </c>
      <c r="M883" t="s">
        <v>68</v>
      </c>
      <c r="N883" t="str">
        <f t="shared" si="77"/>
        <v>FOR</v>
      </c>
      <c r="O883" t="s">
        <v>69</v>
      </c>
      <c r="P883" s="3" t="s">
        <v>75</v>
      </c>
      <c r="Q883">
        <v>2015</v>
      </c>
      <c r="R883" s="2">
        <v>42209</v>
      </c>
      <c r="S883" s="2">
        <v>42212</v>
      </c>
      <c r="T883" s="2">
        <v>42209</v>
      </c>
      <c r="U883" s="2">
        <v>42269</v>
      </c>
      <c r="V883" t="s">
        <v>71</v>
      </c>
      <c r="W883" t="str">
        <f>"            15119858"</f>
        <v xml:space="preserve">            15119858</v>
      </c>
      <c r="X883">
        <v>644.79999999999995</v>
      </c>
      <c r="Y883">
        <v>0</v>
      </c>
      <c r="Z883"/>
      <c r="AB883"/>
      <c r="AC883">
        <v>620</v>
      </c>
      <c r="AD883">
        <v>307</v>
      </c>
      <c r="AE883" s="1">
        <v>190340</v>
      </c>
      <c r="AF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 s="2">
        <v>42746</v>
      </c>
      <c r="AQ883" t="s">
        <v>72</v>
      </c>
      <c r="AR883" t="s">
        <v>72</v>
      </c>
      <c r="AS883">
        <v>1914</v>
      </c>
      <c r="AT883" s="4">
        <v>42576</v>
      </c>
      <c r="AU883" t="s">
        <v>73</v>
      </c>
      <c r="AV883">
        <v>1914</v>
      </c>
      <c r="AW883" s="4">
        <v>42576</v>
      </c>
      <c r="BD883">
        <v>0</v>
      </c>
      <c r="BN883" t="s">
        <v>74</v>
      </c>
    </row>
    <row r="884" spans="1:66" hidden="1">
      <c r="A884">
        <v>100210</v>
      </c>
      <c r="B884" s="3" t="s">
        <v>141</v>
      </c>
      <c r="C884" s="1">
        <v>43300101</v>
      </c>
      <c r="D884" t="s">
        <v>67</v>
      </c>
      <c r="H884" t="str">
        <f t="shared" si="76"/>
        <v>08082461008</v>
      </c>
      <c r="I884" t="str">
        <f t="shared" si="76"/>
        <v>08082461008</v>
      </c>
      <c r="K884" t="str">
        <f>""</f>
        <v/>
      </c>
      <c r="M884" t="s">
        <v>68</v>
      </c>
      <c r="N884" t="str">
        <f t="shared" si="77"/>
        <v>FOR</v>
      </c>
      <c r="O884" t="s">
        <v>69</v>
      </c>
      <c r="P884" s="3" t="s">
        <v>75</v>
      </c>
      <c r="Q884">
        <v>2015</v>
      </c>
      <c r="R884" s="2">
        <v>42213</v>
      </c>
      <c r="S884" s="2">
        <v>42215</v>
      </c>
      <c r="T884" s="2">
        <v>42214</v>
      </c>
      <c r="U884" s="2">
        <v>42274</v>
      </c>
      <c r="V884" t="s">
        <v>71</v>
      </c>
      <c r="W884" t="str">
        <f>"            15121169"</f>
        <v xml:space="preserve">            15121169</v>
      </c>
      <c r="X884" s="1">
        <v>3623.4</v>
      </c>
      <c r="Y884">
        <v>0</v>
      </c>
      <c r="Z884"/>
      <c r="AB884"/>
      <c r="AC884" s="1">
        <v>2970</v>
      </c>
      <c r="AD884">
        <v>302</v>
      </c>
      <c r="AE884" s="1">
        <v>896940</v>
      </c>
      <c r="AF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 s="2">
        <v>42746</v>
      </c>
      <c r="AQ884" t="s">
        <v>72</v>
      </c>
      <c r="AR884" t="s">
        <v>72</v>
      </c>
      <c r="AS884">
        <v>1914</v>
      </c>
      <c r="AT884" s="4">
        <v>42576</v>
      </c>
      <c r="AU884" t="s">
        <v>73</v>
      </c>
      <c r="AV884">
        <v>1914</v>
      </c>
      <c r="AW884" s="4">
        <v>42576</v>
      </c>
      <c r="BD884">
        <v>0</v>
      </c>
      <c r="BN884" t="s">
        <v>74</v>
      </c>
    </row>
    <row r="885" spans="1:66" hidden="1">
      <c r="A885">
        <v>100210</v>
      </c>
      <c r="B885" s="3" t="s">
        <v>141</v>
      </c>
      <c r="C885" s="1">
        <v>43300101</v>
      </c>
      <c r="D885" t="s">
        <v>67</v>
      </c>
      <c r="H885" t="str">
        <f t="shared" si="76"/>
        <v>08082461008</v>
      </c>
      <c r="I885" t="str">
        <f t="shared" si="76"/>
        <v>08082461008</v>
      </c>
      <c r="K885" t="str">
        <f>""</f>
        <v/>
      </c>
      <c r="M885" t="s">
        <v>68</v>
      </c>
      <c r="N885" t="str">
        <f t="shared" si="77"/>
        <v>FOR</v>
      </c>
      <c r="O885" t="s">
        <v>69</v>
      </c>
      <c r="P885" s="3" t="s">
        <v>75</v>
      </c>
      <c r="Q885">
        <v>2015</v>
      </c>
      <c r="R885" s="2">
        <v>42213</v>
      </c>
      <c r="S885" s="2">
        <v>42215</v>
      </c>
      <c r="T885" s="2">
        <v>42214</v>
      </c>
      <c r="U885" s="2">
        <v>42274</v>
      </c>
      <c r="V885" t="s">
        <v>71</v>
      </c>
      <c r="W885" t="str">
        <f>"            15121204"</f>
        <v xml:space="preserve">            15121204</v>
      </c>
      <c r="X885">
        <v>217.4</v>
      </c>
      <c r="Y885">
        <v>0</v>
      </c>
      <c r="Z885"/>
      <c r="AB885"/>
      <c r="AC885">
        <v>178.2</v>
      </c>
      <c r="AD885">
        <v>302</v>
      </c>
      <c r="AE885" s="1">
        <v>53816.4</v>
      </c>
      <c r="AF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 s="2">
        <v>42746</v>
      </c>
      <c r="AQ885" t="s">
        <v>72</v>
      </c>
      <c r="AR885" t="s">
        <v>72</v>
      </c>
      <c r="AS885">
        <v>1914</v>
      </c>
      <c r="AT885" s="4">
        <v>42576</v>
      </c>
      <c r="AU885" t="s">
        <v>73</v>
      </c>
      <c r="AV885">
        <v>1914</v>
      </c>
      <c r="AW885" s="4">
        <v>42576</v>
      </c>
      <c r="BD885">
        <v>0</v>
      </c>
      <c r="BN885" t="s">
        <v>74</v>
      </c>
    </row>
    <row r="886" spans="1:66" hidden="1">
      <c r="A886">
        <v>100210</v>
      </c>
      <c r="B886" s="3" t="s">
        <v>141</v>
      </c>
      <c r="C886" s="1">
        <v>43300101</v>
      </c>
      <c r="D886" t="s">
        <v>67</v>
      </c>
      <c r="H886" t="str">
        <f t="shared" si="76"/>
        <v>08082461008</v>
      </c>
      <c r="I886" t="str">
        <f t="shared" si="76"/>
        <v>08082461008</v>
      </c>
      <c r="K886" t="str">
        <f>""</f>
        <v/>
      </c>
      <c r="M886" t="s">
        <v>68</v>
      </c>
      <c r="N886" t="str">
        <f t="shared" si="77"/>
        <v>FOR</v>
      </c>
      <c r="O886" t="s">
        <v>69</v>
      </c>
      <c r="P886" s="3" t="s">
        <v>75</v>
      </c>
      <c r="Q886">
        <v>2015</v>
      </c>
      <c r="R886" s="2">
        <v>42213</v>
      </c>
      <c r="S886" s="2">
        <v>42215</v>
      </c>
      <c r="T886" s="2">
        <v>42214</v>
      </c>
      <c r="U886" s="2">
        <v>42274</v>
      </c>
      <c r="V886" t="s">
        <v>71</v>
      </c>
      <c r="W886" t="str">
        <f>"            15121218"</f>
        <v xml:space="preserve">            15121218</v>
      </c>
      <c r="X886">
        <v>915.73</v>
      </c>
      <c r="Y886">
        <v>0</v>
      </c>
      <c r="Z886"/>
      <c r="AB886"/>
      <c r="AC886">
        <v>750.6</v>
      </c>
      <c r="AD886">
        <v>302</v>
      </c>
      <c r="AE886" s="1">
        <v>226681.2</v>
      </c>
      <c r="AF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 s="2">
        <v>42746</v>
      </c>
      <c r="AQ886" t="s">
        <v>72</v>
      </c>
      <c r="AR886" t="s">
        <v>72</v>
      </c>
      <c r="AS886">
        <v>1914</v>
      </c>
      <c r="AT886" s="4">
        <v>42576</v>
      </c>
      <c r="AU886" t="s">
        <v>73</v>
      </c>
      <c r="AV886">
        <v>1914</v>
      </c>
      <c r="AW886" s="4">
        <v>42576</v>
      </c>
      <c r="BD886">
        <v>0</v>
      </c>
      <c r="BN886" t="s">
        <v>74</v>
      </c>
    </row>
    <row r="887" spans="1:66" hidden="1">
      <c r="A887">
        <v>100210</v>
      </c>
      <c r="B887" s="3" t="s">
        <v>141</v>
      </c>
      <c r="C887" s="1">
        <v>43300101</v>
      </c>
      <c r="D887" t="s">
        <v>67</v>
      </c>
      <c r="H887" t="str">
        <f t="shared" si="76"/>
        <v>08082461008</v>
      </c>
      <c r="I887" t="str">
        <f t="shared" si="76"/>
        <v>08082461008</v>
      </c>
      <c r="K887" t="str">
        <f>""</f>
        <v/>
      </c>
      <c r="M887" t="s">
        <v>68</v>
      </c>
      <c r="N887" t="str">
        <f t="shared" si="77"/>
        <v>FOR</v>
      </c>
      <c r="O887" t="s">
        <v>69</v>
      </c>
      <c r="P887" s="3" t="s">
        <v>75</v>
      </c>
      <c r="Q887">
        <v>2015</v>
      </c>
      <c r="R887" s="2">
        <v>42213</v>
      </c>
      <c r="S887" s="2">
        <v>42215</v>
      </c>
      <c r="T887" s="2">
        <v>42214</v>
      </c>
      <c r="U887" s="2">
        <v>42274</v>
      </c>
      <c r="V887" t="s">
        <v>71</v>
      </c>
      <c r="W887" t="str">
        <f>"            15121220"</f>
        <v xml:space="preserve">            15121220</v>
      </c>
      <c r="X887" s="1">
        <v>2428.7800000000002</v>
      </c>
      <c r="Y887">
        <v>0</v>
      </c>
      <c r="Z887"/>
      <c r="AB887"/>
      <c r="AC887" s="1">
        <v>1990.8</v>
      </c>
      <c r="AD887">
        <v>302</v>
      </c>
      <c r="AE887" s="1">
        <v>601221.6</v>
      </c>
      <c r="AF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 s="2">
        <v>42746</v>
      </c>
      <c r="AQ887" t="s">
        <v>72</v>
      </c>
      <c r="AR887" t="s">
        <v>72</v>
      </c>
      <c r="AS887">
        <v>1914</v>
      </c>
      <c r="AT887" s="4">
        <v>42576</v>
      </c>
      <c r="AU887" t="s">
        <v>73</v>
      </c>
      <c r="AV887">
        <v>1914</v>
      </c>
      <c r="AW887" s="4">
        <v>42576</v>
      </c>
      <c r="BD887">
        <v>0</v>
      </c>
      <c r="BN887" t="s">
        <v>74</v>
      </c>
    </row>
    <row r="888" spans="1:66" hidden="1">
      <c r="A888">
        <v>100210</v>
      </c>
      <c r="B888" s="3" t="s">
        <v>141</v>
      </c>
      <c r="C888" s="1">
        <v>43300101</v>
      </c>
      <c r="D888" t="s">
        <v>67</v>
      </c>
      <c r="H888" t="str">
        <f t="shared" si="76"/>
        <v>08082461008</v>
      </c>
      <c r="I888" t="str">
        <f t="shared" si="76"/>
        <v>08082461008</v>
      </c>
      <c r="K888" t="str">
        <f>""</f>
        <v/>
      </c>
      <c r="M888" t="s">
        <v>68</v>
      </c>
      <c r="N888" t="str">
        <f t="shared" si="77"/>
        <v>FOR</v>
      </c>
      <c r="O888" t="s">
        <v>69</v>
      </c>
      <c r="P888" s="3" t="s">
        <v>75</v>
      </c>
      <c r="Q888">
        <v>2015</v>
      </c>
      <c r="R888" s="2">
        <v>42213</v>
      </c>
      <c r="S888" s="2">
        <v>42215</v>
      </c>
      <c r="T888" s="2">
        <v>42214</v>
      </c>
      <c r="U888" s="2">
        <v>42274</v>
      </c>
      <c r="V888" t="s">
        <v>71</v>
      </c>
      <c r="W888" t="str">
        <f>"            15121224"</f>
        <v xml:space="preserve">            15121224</v>
      </c>
      <c r="X888" s="1">
        <v>5475.66</v>
      </c>
      <c r="Y888">
        <v>0</v>
      </c>
      <c r="Z888"/>
      <c r="AB888"/>
      <c r="AC888" s="1">
        <v>4488.24</v>
      </c>
      <c r="AD888">
        <v>302</v>
      </c>
      <c r="AE888" s="1">
        <v>1355448.48</v>
      </c>
      <c r="AF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 s="2">
        <v>42746</v>
      </c>
      <c r="AQ888" t="s">
        <v>72</v>
      </c>
      <c r="AR888" t="s">
        <v>72</v>
      </c>
      <c r="AS888">
        <v>1914</v>
      </c>
      <c r="AT888" s="4">
        <v>42576</v>
      </c>
      <c r="AU888" t="s">
        <v>73</v>
      </c>
      <c r="AV888">
        <v>1914</v>
      </c>
      <c r="AW888" s="4">
        <v>42576</v>
      </c>
      <c r="BD888">
        <v>0</v>
      </c>
      <c r="BN888" t="s">
        <v>74</v>
      </c>
    </row>
    <row r="889" spans="1:66" hidden="1">
      <c r="A889">
        <v>100210</v>
      </c>
      <c r="B889" s="3" t="s">
        <v>141</v>
      </c>
      <c r="C889" s="1">
        <v>43300101</v>
      </c>
      <c r="D889" t="s">
        <v>67</v>
      </c>
      <c r="H889" t="str">
        <f t="shared" si="76"/>
        <v>08082461008</v>
      </c>
      <c r="I889" t="str">
        <f t="shared" si="76"/>
        <v>08082461008</v>
      </c>
      <c r="K889" t="str">
        <f>""</f>
        <v/>
      </c>
      <c r="M889" t="s">
        <v>68</v>
      </c>
      <c r="N889" t="str">
        <f t="shared" si="77"/>
        <v>FOR</v>
      </c>
      <c r="O889" t="s">
        <v>69</v>
      </c>
      <c r="P889" s="3" t="s">
        <v>75</v>
      </c>
      <c r="Q889">
        <v>2015</v>
      </c>
      <c r="R889" s="2">
        <v>42222</v>
      </c>
      <c r="S889" s="2">
        <v>42223</v>
      </c>
      <c r="T889" s="2">
        <v>42222</v>
      </c>
      <c r="U889" s="2">
        <v>42282</v>
      </c>
      <c r="V889" t="s">
        <v>71</v>
      </c>
      <c r="W889" t="str">
        <f>"            15125319"</f>
        <v xml:space="preserve">            15125319</v>
      </c>
      <c r="X889" s="1">
        <v>6824.92</v>
      </c>
      <c r="Y889">
        <v>0</v>
      </c>
      <c r="Z889"/>
      <c r="AB889"/>
      <c r="AC889" s="1">
        <v>5594.2</v>
      </c>
      <c r="AD889">
        <v>297</v>
      </c>
      <c r="AE889" s="1">
        <v>1661477.4</v>
      </c>
      <c r="AF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 s="2">
        <v>42746</v>
      </c>
      <c r="AQ889" t="s">
        <v>72</v>
      </c>
      <c r="AR889" t="s">
        <v>72</v>
      </c>
      <c r="AS889">
        <v>2031</v>
      </c>
      <c r="AT889" s="4">
        <v>42579</v>
      </c>
      <c r="AU889" t="s">
        <v>73</v>
      </c>
      <c r="AV889">
        <v>2031</v>
      </c>
      <c r="AW889" s="4">
        <v>42579</v>
      </c>
      <c r="BD889">
        <v>0</v>
      </c>
      <c r="BN889" t="s">
        <v>74</v>
      </c>
    </row>
    <row r="890" spans="1:66" hidden="1">
      <c r="A890">
        <v>100210</v>
      </c>
      <c r="B890" s="3" t="s">
        <v>141</v>
      </c>
      <c r="C890" s="1">
        <v>43300101</v>
      </c>
      <c r="D890" t="s">
        <v>67</v>
      </c>
      <c r="H890" t="str">
        <f t="shared" si="76"/>
        <v>08082461008</v>
      </c>
      <c r="I890" t="str">
        <f t="shared" si="76"/>
        <v>08082461008</v>
      </c>
      <c r="K890" t="str">
        <f>""</f>
        <v/>
      </c>
      <c r="M890" t="s">
        <v>68</v>
      </c>
      <c r="N890" t="str">
        <f t="shared" si="77"/>
        <v>FOR</v>
      </c>
      <c r="O890" t="s">
        <v>69</v>
      </c>
      <c r="P890" s="3" t="s">
        <v>75</v>
      </c>
      <c r="Q890">
        <v>2015</v>
      </c>
      <c r="R890" s="2">
        <v>42228</v>
      </c>
      <c r="S890" s="2">
        <v>42229</v>
      </c>
      <c r="T890" s="2">
        <v>42228</v>
      </c>
      <c r="U890" s="2">
        <v>42288</v>
      </c>
      <c r="V890" t="s">
        <v>71</v>
      </c>
      <c r="W890" t="str">
        <f>"            15127066"</f>
        <v xml:space="preserve">            15127066</v>
      </c>
      <c r="X890">
        <v>644.79999999999995</v>
      </c>
      <c r="Y890">
        <v>0</v>
      </c>
      <c r="Z890"/>
      <c r="AB890"/>
      <c r="AC890">
        <v>620</v>
      </c>
      <c r="AD890">
        <v>291</v>
      </c>
      <c r="AE890" s="1">
        <v>180420</v>
      </c>
      <c r="AF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 s="2">
        <v>42746</v>
      </c>
      <c r="AQ890" t="s">
        <v>72</v>
      </c>
      <c r="AR890" t="s">
        <v>72</v>
      </c>
      <c r="AS890">
        <v>2031</v>
      </c>
      <c r="AT890" s="4">
        <v>42579</v>
      </c>
      <c r="AU890" t="s">
        <v>73</v>
      </c>
      <c r="AV890">
        <v>2031</v>
      </c>
      <c r="AW890" s="4">
        <v>42579</v>
      </c>
      <c r="BD890">
        <v>0</v>
      </c>
      <c r="BN890" t="s">
        <v>74</v>
      </c>
    </row>
    <row r="891" spans="1:66" hidden="1">
      <c r="A891">
        <v>100210</v>
      </c>
      <c r="B891" s="3" t="s">
        <v>141</v>
      </c>
      <c r="C891" s="1">
        <v>43300101</v>
      </c>
      <c r="D891" t="s">
        <v>67</v>
      </c>
      <c r="H891" t="str">
        <f t="shared" si="76"/>
        <v>08082461008</v>
      </c>
      <c r="I891" t="str">
        <f t="shared" si="76"/>
        <v>08082461008</v>
      </c>
      <c r="K891" t="str">
        <f>""</f>
        <v/>
      </c>
      <c r="M891" t="s">
        <v>68</v>
      </c>
      <c r="N891" t="str">
        <f t="shared" si="77"/>
        <v>FOR</v>
      </c>
      <c r="O891" t="s">
        <v>69</v>
      </c>
      <c r="P891" s="3" t="s">
        <v>75</v>
      </c>
      <c r="Q891">
        <v>2015</v>
      </c>
      <c r="R891" s="2">
        <v>42228</v>
      </c>
      <c r="S891" s="2">
        <v>42229</v>
      </c>
      <c r="T891" s="2">
        <v>42228</v>
      </c>
      <c r="U891" s="2">
        <v>42288</v>
      </c>
      <c r="V891" t="s">
        <v>71</v>
      </c>
      <c r="W891" t="str">
        <f>"            15127067"</f>
        <v xml:space="preserve">            15127067</v>
      </c>
      <c r="X891">
        <v>644.79999999999995</v>
      </c>
      <c r="Y891">
        <v>0</v>
      </c>
      <c r="Z891"/>
      <c r="AB891"/>
      <c r="AC891">
        <v>620</v>
      </c>
      <c r="AD891">
        <v>291</v>
      </c>
      <c r="AE891" s="1">
        <v>180420</v>
      </c>
      <c r="AF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 s="2">
        <v>42746</v>
      </c>
      <c r="AQ891" t="s">
        <v>72</v>
      </c>
      <c r="AR891" t="s">
        <v>72</v>
      </c>
      <c r="AS891">
        <v>2031</v>
      </c>
      <c r="AT891" s="4">
        <v>42579</v>
      </c>
      <c r="AU891" t="s">
        <v>73</v>
      </c>
      <c r="AV891">
        <v>2031</v>
      </c>
      <c r="AW891" s="4">
        <v>42579</v>
      </c>
      <c r="BD891">
        <v>0</v>
      </c>
      <c r="BN891" t="s">
        <v>74</v>
      </c>
    </row>
    <row r="892" spans="1:66" hidden="1">
      <c r="A892">
        <v>100210</v>
      </c>
      <c r="B892" s="3" t="s">
        <v>141</v>
      </c>
      <c r="C892" s="1">
        <v>43300101</v>
      </c>
      <c r="D892" t="s">
        <v>67</v>
      </c>
      <c r="H892" t="str">
        <f t="shared" si="76"/>
        <v>08082461008</v>
      </c>
      <c r="I892" t="str">
        <f t="shared" si="76"/>
        <v>08082461008</v>
      </c>
      <c r="K892" t="str">
        <f>""</f>
        <v/>
      </c>
      <c r="M892" t="s">
        <v>68</v>
      </c>
      <c r="N892" t="str">
        <f t="shared" si="77"/>
        <v>FOR</v>
      </c>
      <c r="O892" t="s">
        <v>69</v>
      </c>
      <c r="P892" s="3" t="s">
        <v>75</v>
      </c>
      <c r="Q892">
        <v>2015</v>
      </c>
      <c r="R892" s="2">
        <v>42229</v>
      </c>
      <c r="S892" s="2">
        <v>42230</v>
      </c>
      <c r="T892" s="2">
        <v>42230</v>
      </c>
      <c r="U892" s="2">
        <v>42290</v>
      </c>
      <c r="V892" t="s">
        <v>71</v>
      </c>
      <c r="W892" t="str">
        <f>"            15127603"</f>
        <v xml:space="preserve">            15127603</v>
      </c>
      <c r="X892" s="1">
        <v>5898.46</v>
      </c>
      <c r="Y892">
        <v>0</v>
      </c>
      <c r="Z892"/>
      <c r="AB892"/>
      <c r="AC892" s="1">
        <v>4834.8</v>
      </c>
      <c r="AD892">
        <v>289</v>
      </c>
      <c r="AE892" s="1">
        <v>1397257.2</v>
      </c>
      <c r="AF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 s="2">
        <v>42746</v>
      </c>
      <c r="AQ892" t="s">
        <v>72</v>
      </c>
      <c r="AR892" t="s">
        <v>72</v>
      </c>
      <c r="AS892">
        <v>2031</v>
      </c>
      <c r="AT892" s="4">
        <v>42579</v>
      </c>
      <c r="AU892" t="s">
        <v>73</v>
      </c>
      <c r="AV892">
        <v>2031</v>
      </c>
      <c r="AW892" s="4">
        <v>42579</v>
      </c>
      <c r="BD892">
        <v>0</v>
      </c>
      <c r="BN892" t="s">
        <v>74</v>
      </c>
    </row>
    <row r="893" spans="1:66" hidden="1">
      <c r="A893">
        <v>100210</v>
      </c>
      <c r="B893" s="3" t="s">
        <v>141</v>
      </c>
      <c r="C893" s="1">
        <v>43300101</v>
      </c>
      <c r="D893" t="s">
        <v>67</v>
      </c>
      <c r="H893" t="str">
        <f t="shared" si="76"/>
        <v>08082461008</v>
      </c>
      <c r="I893" t="str">
        <f t="shared" si="76"/>
        <v>08082461008</v>
      </c>
      <c r="K893" t="str">
        <f>""</f>
        <v/>
      </c>
      <c r="M893" t="s">
        <v>68</v>
      </c>
      <c r="N893" t="str">
        <f t="shared" si="77"/>
        <v>FOR</v>
      </c>
      <c r="O893" t="s">
        <v>69</v>
      </c>
      <c r="P893" s="3" t="s">
        <v>75</v>
      </c>
      <c r="Q893">
        <v>2015</v>
      </c>
      <c r="R893" s="2">
        <v>42233</v>
      </c>
      <c r="S893" s="2">
        <v>42234</v>
      </c>
      <c r="T893" s="2">
        <v>42233</v>
      </c>
      <c r="U893" s="2">
        <v>42293</v>
      </c>
      <c r="V893" t="s">
        <v>71</v>
      </c>
      <c r="W893" t="str">
        <f>"            15128131"</f>
        <v xml:space="preserve">            15128131</v>
      </c>
      <c r="X893">
        <v>878.4</v>
      </c>
      <c r="Y893">
        <v>0</v>
      </c>
      <c r="Z893"/>
      <c r="AB893"/>
      <c r="AC893">
        <v>720</v>
      </c>
      <c r="AD893">
        <v>286</v>
      </c>
      <c r="AE893" s="1">
        <v>205920</v>
      </c>
      <c r="AF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 s="2">
        <v>42746</v>
      </c>
      <c r="AQ893" t="s">
        <v>72</v>
      </c>
      <c r="AR893" t="s">
        <v>72</v>
      </c>
      <c r="AS893">
        <v>2031</v>
      </c>
      <c r="AT893" s="4">
        <v>42579</v>
      </c>
      <c r="AU893" t="s">
        <v>73</v>
      </c>
      <c r="AV893">
        <v>2031</v>
      </c>
      <c r="AW893" s="4">
        <v>42579</v>
      </c>
      <c r="BD893">
        <v>0</v>
      </c>
      <c r="BN893" t="s">
        <v>74</v>
      </c>
    </row>
    <row r="894" spans="1:66" hidden="1">
      <c r="A894">
        <v>100210</v>
      </c>
      <c r="B894" s="3" t="s">
        <v>141</v>
      </c>
      <c r="C894" s="1">
        <v>43300101</v>
      </c>
      <c r="D894" t="s">
        <v>67</v>
      </c>
      <c r="H894" t="str">
        <f t="shared" si="76"/>
        <v>08082461008</v>
      </c>
      <c r="I894" t="str">
        <f t="shared" si="76"/>
        <v>08082461008</v>
      </c>
      <c r="K894" t="str">
        <f>""</f>
        <v/>
      </c>
      <c r="M894" t="s">
        <v>68</v>
      </c>
      <c r="N894" t="str">
        <f t="shared" si="77"/>
        <v>FOR</v>
      </c>
      <c r="O894" t="s">
        <v>69</v>
      </c>
      <c r="P894" s="3" t="s">
        <v>75</v>
      </c>
      <c r="Q894">
        <v>2015</v>
      </c>
      <c r="R894" s="2">
        <v>42236</v>
      </c>
      <c r="S894" s="2">
        <v>42237</v>
      </c>
      <c r="T894" s="2">
        <v>42236</v>
      </c>
      <c r="U894" s="2">
        <v>42296</v>
      </c>
      <c r="V894" t="s">
        <v>71</v>
      </c>
      <c r="W894" t="str">
        <f>"            15129797"</f>
        <v xml:space="preserve">            15129797</v>
      </c>
      <c r="X894">
        <v>838.66</v>
      </c>
      <c r="Y894">
        <v>0</v>
      </c>
      <c r="Z894"/>
      <c r="AB894"/>
      <c r="AC894">
        <v>806.4</v>
      </c>
      <c r="AD894">
        <v>283</v>
      </c>
      <c r="AE894" s="1">
        <v>228211.20000000001</v>
      </c>
      <c r="AF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 s="2">
        <v>42746</v>
      </c>
      <c r="AQ894" t="s">
        <v>72</v>
      </c>
      <c r="AR894" t="s">
        <v>72</v>
      </c>
      <c r="AS894">
        <v>2031</v>
      </c>
      <c r="AT894" s="4">
        <v>42579</v>
      </c>
      <c r="AU894" t="s">
        <v>73</v>
      </c>
      <c r="AV894">
        <v>2031</v>
      </c>
      <c r="AW894" s="4">
        <v>42579</v>
      </c>
      <c r="BD894">
        <v>0</v>
      </c>
      <c r="BN894" t="s">
        <v>74</v>
      </c>
    </row>
    <row r="895" spans="1:66" hidden="1">
      <c r="A895">
        <v>100210</v>
      </c>
      <c r="B895" s="3" t="s">
        <v>141</v>
      </c>
      <c r="C895" s="1">
        <v>43300101</v>
      </c>
      <c r="D895" t="s">
        <v>67</v>
      </c>
      <c r="H895" t="str">
        <f t="shared" si="76"/>
        <v>08082461008</v>
      </c>
      <c r="I895" t="str">
        <f t="shared" si="76"/>
        <v>08082461008</v>
      </c>
      <c r="K895" t="str">
        <f>""</f>
        <v/>
      </c>
      <c r="M895" t="s">
        <v>68</v>
      </c>
      <c r="N895" t="str">
        <f t="shared" si="77"/>
        <v>FOR</v>
      </c>
      <c r="O895" t="s">
        <v>69</v>
      </c>
      <c r="P895" s="3" t="s">
        <v>75</v>
      </c>
      <c r="Q895">
        <v>2015</v>
      </c>
      <c r="R895" s="2">
        <v>42247</v>
      </c>
      <c r="S895" s="2">
        <v>42248</v>
      </c>
      <c r="T895" s="2">
        <v>42247</v>
      </c>
      <c r="U895" s="2">
        <v>42307</v>
      </c>
      <c r="V895" t="s">
        <v>71</v>
      </c>
      <c r="W895" t="str">
        <f>"            15132370"</f>
        <v xml:space="preserve">            15132370</v>
      </c>
      <c r="X895">
        <v>451.88</v>
      </c>
      <c r="Y895">
        <v>0</v>
      </c>
      <c r="Z895"/>
      <c r="AB895"/>
      <c r="AC895">
        <v>434.5</v>
      </c>
      <c r="AD895">
        <v>272</v>
      </c>
      <c r="AE895" s="1">
        <v>118184</v>
      </c>
      <c r="AF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 s="2">
        <v>42746</v>
      </c>
      <c r="AQ895" t="s">
        <v>72</v>
      </c>
      <c r="AR895" t="s">
        <v>72</v>
      </c>
      <c r="AS895">
        <v>2031</v>
      </c>
      <c r="AT895" s="4">
        <v>42579</v>
      </c>
      <c r="AU895" t="s">
        <v>73</v>
      </c>
      <c r="AV895">
        <v>2031</v>
      </c>
      <c r="AW895" s="4">
        <v>42579</v>
      </c>
      <c r="BD895">
        <v>0</v>
      </c>
      <c r="BN895" t="s">
        <v>74</v>
      </c>
    </row>
    <row r="896" spans="1:66" hidden="1">
      <c r="A896">
        <v>100210</v>
      </c>
      <c r="B896" s="3" t="s">
        <v>141</v>
      </c>
      <c r="C896" s="1">
        <v>43300101</v>
      </c>
      <c r="D896" t="s">
        <v>67</v>
      </c>
      <c r="H896" t="str">
        <f t="shared" si="76"/>
        <v>08082461008</v>
      </c>
      <c r="I896" t="str">
        <f t="shared" si="76"/>
        <v>08082461008</v>
      </c>
      <c r="K896" t="str">
        <f>""</f>
        <v/>
      </c>
      <c r="M896" t="s">
        <v>68</v>
      </c>
      <c r="N896" t="str">
        <f t="shared" si="77"/>
        <v>FOR</v>
      </c>
      <c r="O896" t="s">
        <v>69</v>
      </c>
      <c r="P896" s="3" t="s">
        <v>75</v>
      </c>
      <c r="Q896">
        <v>2015</v>
      </c>
      <c r="R896" s="2">
        <v>42247</v>
      </c>
      <c r="S896" s="2">
        <v>42248</v>
      </c>
      <c r="T896" s="2">
        <v>42247</v>
      </c>
      <c r="U896" s="2">
        <v>42307</v>
      </c>
      <c r="V896" t="s">
        <v>71</v>
      </c>
      <c r="W896" t="str">
        <f>"            15132371"</f>
        <v xml:space="preserve">            15132371</v>
      </c>
      <c r="X896">
        <v>451.88</v>
      </c>
      <c r="Y896">
        <v>0</v>
      </c>
      <c r="Z896"/>
      <c r="AB896"/>
      <c r="AC896">
        <v>434.5</v>
      </c>
      <c r="AD896">
        <v>272</v>
      </c>
      <c r="AE896" s="1">
        <v>118184</v>
      </c>
      <c r="AF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 s="2">
        <v>42746</v>
      </c>
      <c r="AQ896" t="s">
        <v>72</v>
      </c>
      <c r="AR896" t="s">
        <v>72</v>
      </c>
      <c r="AS896">
        <v>2031</v>
      </c>
      <c r="AT896" s="4">
        <v>42579</v>
      </c>
      <c r="AU896" t="s">
        <v>73</v>
      </c>
      <c r="AV896">
        <v>2031</v>
      </c>
      <c r="AW896" s="4">
        <v>42579</v>
      </c>
      <c r="BD896">
        <v>0</v>
      </c>
      <c r="BN896" t="s">
        <v>74</v>
      </c>
    </row>
    <row r="897" spans="1:66" hidden="1">
      <c r="A897">
        <v>100210</v>
      </c>
      <c r="B897" s="3" t="s">
        <v>141</v>
      </c>
      <c r="C897" s="1">
        <v>43300101</v>
      </c>
      <c r="D897" t="s">
        <v>67</v>
      </c>
      <c r="H897" t="str">
        <f t="shared" ref="H897:I916" si="78">"08082461008"</f>
        <v>08082461008</v>
      </c>
      <c r="I897" t="str">
        <f t="shared" si="78"/>
        <v>08082461008</v>
      </c>
      <c r="K897" t="str">
        <f>""</f>
        <v/>
      </c>
      <c r="M897" t="s">
        <v>68</v>
      </c>
      <c r="N897" t="str">
        <f t="shared" si="77"/>
        <v>FOR</v>
      </c>
      <c r="O897" t="s">
        <v>69</v>
      </c>
      <c r="P897" s="3" t="s">
        <v>75</v>
      </c>
      <c r="Q897">
        <v>2015</v>
      </c>
      <c r="R897" s="2">
        <v>42247</v>
      </c>
      <c r="S897" s="2">
        <v>42248</v>
      </c>
      <c r="T897" s="2">
        <v>42247</v>
      </c>
      <c r="U897" s="2">
        <v>42307</v>
      </c>
      <c r="V897" t="s">
        <v>71</v>
      </c>
      <c r="W897" t="str">
        <f>"            15132372"</f>
        <v xml:space="preserve">            15132372</v>
      </c>
      <c r="X897">
        <v>451.88</v>
      </c>
      <c r="Y897">
        <v>0</v>
      </c>
      <c r="Z897"/>
      <c r="AB897"/>
      <c r="AC897">
        <v>434.5</v>
      </c>
      <c r="AD897">
        <v>272</v>
      </c>
      <c r="AE897" s="1">
        <v>118184</v>
      </c>
      <c r="AF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 s="2">
        <v>42746</v>
      </c>
      <c r="AQ897" t="s">
        <v>72</v>
      </c>
      <c r="AR897" t="s">
        <v>72</v>
      </c>
      <c r="AS897">
        <v>2031</v>
      </c>
      <c r="AT897" s="4">
        <v>42579</v>
      </c>
      <c r="AU897" t="s">
        <v>73</v>
      </c>
      <c r="AV897">
        <v>2031</v>
      </c>
      <c r="AW897" s="4">
        <v>42579</v>
      </c>
      <c r="BD897">
        <v>0</v>
      </c>
      <c r="BN897" t="s">
        <v>74</v>
      </c>
    </row>
    <row r="898" spans="1:66" hidden="1">
      <c r="A898">
        <v>100210</v>
      </c>
      <c r="B898" s="3" t="s">
        <v>141</v>
      </c>
      <c r="C898" s="1">
        <v>43300101</v>
      </c>
      <c r="D898" t="s">
        <v>67</v>
      </c>
      <c r="H898" t="str">
        <f t="shared" si="78"/>
        <v>08082461008</v>
      </c>
      <c r="I898" t="str">
        <f t="shared" si="78"/>
        <v>08082461008</v>
      </c>
      <c r="K898" t="str">
        <f>""</f>
        <v/>
      </c>
      <c r="M898" t="s">
        <v>68</v>
      </c>
      <c r="N898" t="str">
        <f t="shared" si="77"/>
        <v>FOR</v>
      </c>
      <c r="O898" t="s">
        <v>69</v>
      </c>
      <c r="P898" s="3" t="s">
        <v>75</v>
      </c>
      <c r="Q898">
        <v>2015</v>
      </c>
      <c r="R898" s="2">
        <v>42247</v>
      </c>
      <c r="S898" s="2">
        <v>42248</v>
      </c>
      <c r="T898" s="2">
        <v>42247</v>
      </c>
      <c r="U898" s="2">
        <v>42307</v>
      </c>
      <c r="V898" t="s">
        <v>71</v>
      </c>
      <c r="W898" t="str">
        <f>"            15132373"</f>
        <v xml:space="preserve">            15132373</v>
      </c>
      <c r="X898">
        <v>451.88</v>
      </c>
      <c r="Y898">
        <v>0</v>
      </c>
      <c r="Z898"/>
      <c r="AB898"/>
      <c r="AC898">
        <v>434.5</v>
      </c>
      <c r="AD898">
        <v>272</v>
      </c>
      <c r="AE898" s="1">
        <v>118184</v>
      </c>
      <c r="AF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 s="2">
        <v>42746</v>
      </c>
      <c r="AQ898" t="s">
        <v>72</v>
      </c>
      <c r="AR898" t="s">
        <v>72</v>
      </c>
      <c r="AS898">
        <v>2031</v>
      </c>
      <c r="AT898" s="4">
        <v>42579</v>
      </c>
      <c r="AU898" t="s">
        <v>73</v>
      </c>
      <c r="AV898">
        <v>2031</v>
      </c>
      <c r="AW898" s="4">
        <v>42579</v>
      </c>
      <c r="BD898">
        <v>0</v>
      </c>
      <c r="BN898" t="s">
        <v>74</v>
      </c>
    </row>
    <row r="899" spans="1:66" hidden="1">
      <c r="A899">
        <v>100210</v>
      </c>
      <c r="B899" s="3" t="s">
        <v>141</v>
      </c>
      <c r="C899" s="1">
        <v>43300101</v>
      </c>
      <c r="D899" t="s">
        <v>67</v>
      </c>
      <c r="H899" t="str">
        <f t="shared" si="78"/>
        <v>08082461008</v>
      </c>
      <c r="I899" t="str">
        <f t="shared" si="78"/>
        <v>08082461008</v>
      </c>
      <c r="K899" t="str">
        <f>""</f>
        <v/>
      </c>
      <c r="M899" t="s">
        <v>68</v>
      </c>
      <c r="N899" t="str">
        <f t="shared" si="77"/>
        <v>FOR</v>
      </c>
      <c r="O899" t="s">
        <v>69</v>
      </c>
      <c r="P899" s="3" t="s">
        <v>75</v>
      </c>
      <c r="Q899">
        <v>2015</v>
      </c>
      <c r="R899" s="2">
        <v>42247</v>
      </c>
      <c r="S899" s="2">
        <v>42248</v>
      </c>
      <c r="T899" s="2">
        <v>42247</v>
      </c>
      <c r="U899" s="2">
        <v>42307</v>
      </c>
      <c r="V899" t="s">
        <v>71</v>
      </c>
      <c r="W899" t="str">
        <f>"            15132375"</f>
        <v xml:space="preserve">            15132375</v>
      </c>
      <c r="X899">
        <v>45.76</v>
      </c>
      <c r="Y899">
        <v>0</v>
      </c>
      <c r="Z899"/>
      <c r="AB899"/>
      <c r="AC899">
        <v>44</v>
      </c>
      <c r="AD899">
        <v>272</v>
      </c>
      <c r="AE899" s="1">
        <v>11968</v>
      </c>
      <c r="AF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 s="2">
        <v>42746</v>
      </c>
      <c r="AQ899" t="s">
        <v>72</v>
      </c>
      <c r="AR899" t="s">
        <v>72</v>
      </c>
      <c r="AS899">
        <v>2031</v>
      </c>
      <c r="AT899" s="4">
        <v>42579</v>
      </c>
      <c r="AU899" t="s">
        <v>73</v>
      </c>
      <c r="AV899">
        <v>2031</v>
      </c>
      <c r="AW899" s="4">
        <v>42579</v>
      </c>
      <c r="BD899">
        <v>0</v>
      </c>
      <c r="BN899" t="s">
        <v>74</v>
      </c>
    </row>
    <row r="900" spans="1:66" hidden="1">
      <c r="A900">
        <v>100210</v>
      </c>
      <c r="B900" s="3" t="s">
        <v>141</v>
      </c>
      <c r="C900" s="1">
        <v>43300101</v>
      </c>
      <c r="D900" t="s">
        <v>67</v>
      </c>
      <c r="H900" t="str">
        <f t="shared" si="78"/>
        <v>08082461008</v>
      </c>
      <c r="I900" t="str">
        <f t="shared" si="78"/>
        <v>08082461008</v>
      </c>
      <c r="K900" t="str">
        <f>""</f>
        <v/>
      </c>
      <c r="M900" t="s">
        <v>68</v>
      </c>
      <c r="N900" t="str">
        <f t="shared" si="77"/>
        <v>FOR</v>
      </c>
      <c r="O900" t="s">
        <v>69</v>
      </c>
      <c r="P900" s="3" t="s">
        <v>75</v>
      </c>
      <c r="Q900">
        <v>2015</v>
      </c>
      <c r="R900" s="2">
        <v>42247</v>
      </c>
      <c r="S900" s="2">
        <v>42248</v>
      </c>
      <c r="T900" s="2">
        <v>42247</v>
      </c>
      <c r="U900" s="2">
        <v>42307</v>
      </c>
      <c r="V900" t="s">
        <v>71</v>
      </c>
      <c r="W900" t="str">
        <f>"            15132376"</f>
        <v xml:space="preserve">            15132376</v>
      </c>
      <c r="X900">
        <v>45.76</v>
      </c>
      <c r="Y900">
        <v>0</v>
      </c>
      <c r="Z900"/>
      <c r="AB900"/>
      <c r="AC900">
        <v>44</v>
      </c>
      <c r="AD900">
        <v>272</v>
      </c>
      <c r="AE900" s="1">
        <v>11968</v>
      </c>
      <c r="AF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 s="2">
        <v>42746</v>
      </c>
      <c r="AQ900" t="s">
        <v>72</v>
      </c>
      <c r="AR900" t="s">
        <v>72</v>
      </c>
      <c r="AS900">
        <v>2031</v>
      </c>
      <c r="AT900" s="4">
        <v>42579</v>
      </c>
      <c r="AU900" t="s">
        <v>73</v>
      </c>
      <c r="AV900">
        <v>2031</v>
      </c>
      <c r="AW900" s="4">
        <v>42579</v>
      </c>
      <c r="BD900">
        <v>0</v>
      </c>
      <c r="BN900" t="s">
        <v>74</v>
      </c>
    </row>
    <row r="901" spans="1:66" hidden="1">
      <c r="A901">
        <v>100210</v>
      </c>
      <c r="B901" s="3" t="s">
        <v>141</v>
      </c>
      <c r="C901" s="1">
        <v>43300101</v>
      </c>
      <c r="D901" t="s">
        <v>67</v>
      </c>
      <c r="H901" t="str">
        <f t="shared" si="78"/>
        <v>08082461008</v>
      </c>
      <c r="I901" t="str">
        <f t="shared" si="78"/>
        <v>08082461008</v>
      </c>
      <c r="K901" t="str">
        <f>""</f>
        <v/>
      </c>
      <c r="M901" t="s">
        <v>68</v>
      </c>
      <c r="N901" t="str">
        <f t="shared" si="77"/>
        <v>FOR</v>
      </c>
      <c r="O901" t="s">
        <v>69</v>
      </c>
      <c r="P901" s="3" t="s">
        <v>75</v>
      </c>
      <c r="Q901">
        <v>2015</v>
      </c>
      <c r="R901" s="2">
        <v>42247</v>
      </c>
      <c r="S901" s="2">
        <v>42248</v>
      </c>
      <c r="T901" s="2">
        <v>42247</v>
      </c>
      <c r="U901" s="2">
        <v>42307</v>
      </c>
      <c r="V901" t="s">
        <v>71</v>
      </c>
      <c r="W901" t="str">
        <f>"            15132377"</f>
        <v xml:space="preserve">            15132377</v>
      </c>
      <c r="X901">
        <v>45.76</v>
      </c>
      <c r="Y901">
        <v>0</v>
      </c>
      <c r="Z901"/>
      <c r="AB901"/>
      <c r="AC901">
        <v>44</v>
      </c>
      <c r="AD901">
        <v>272</v>
      </c>
      <c r="AE901" s="1">
        <v>11968</v>
      </c>
      <c r="AF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 s="2">
        <v>42746</v>
      </c>
      <c r="AQ901" t="s">
        <v>72</v>
      </c>
      <c r="AR901" t="s">
        <v>72</v>
      </c>
      <c r="AS901">
        <v>2031</v>
      </c>
      <c r="AT901" s="4">
        <v>42579</v>
      </c>
      <c r="AU901" t="s">
        <v>73</v>
      </c>
      <c r="AV901">
        <v>2031</v>
      </c>
      <c r="AW901" s="4">
        <v>42579</v>
      </c>
      <c r="BD901">
        <v>0</v>
      </c>
      <c r="BN901" t="s">
        <v>74</v>
      </c>
    </row>
    <row r="902" spans="1:66" hidden="1">
      <c r="A902">
        <v>100210</v>
      </c>
      <c r="B902" s="3" t="s">
        <v>141</v>
      </c>
      <c r="C902" s="1">
        <v>43300101</v>
      </c>
      <c r="D902" t="s">
        <v>67</v>
      </c>
      <c r="H902" t="str">
        <f t="shared" si="78"/>
        <v>08082461008</v>
      </c>
      <c r="I902" t="str">
        <f t="shared" si="78"/>
        <v>08082461008</v>
      </c>
      <c r="K902" t="str">
        <f>""</f>
        <v/>
      </c>
      <c r="M902" t="s">
        <v>68</v>
      </c>
      <c r="N902" t="str">
        <f t="shared" si="77"/>
        <v>FOR</v>
      </c>
      <c r="O902" t="s">
        <v>69</v>
      </c>
      <c r="P902" s="3" t="s">
        <v>75</v>
      </c>
      <c r="Q902">
        <v>2015</v>
      </c>
      <c r="R902" s="2">
        <v>42247</v>
      </c>
      <c r="S902" s="2">
        <v>42248</v>
      </c>
      <c r="T902" s="2">
        <v>42247</v>
      </c>
      <c r="U902" s="2">
        <v>42307</v>
      </c>
      <c r="V902" t="s">
        <v>71</v>
      </c>
      <c r="W902" t="str">
        <f>"            15132378"</f>
        <v xml:space="preserve">            15132378</v>
      </c>
      <c r="X902">
        <v>45.76</v>
      </c>
      <c r="Y902">
        <v>0</v>
      </c>
      <c r="Z902"/>
      <c r="AB902"/>
      <c r="AC902">
        <v>44</v>
      </c>
      <c r="AD902">
        <v>272</v>
      </c>
      <c r="AE902" s="1">
        <v>11968</v>
      </c>
      <c r="AF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 s="2">
        <v>42746</v>
      </c>
      <c r="AQ902" t="s">
        <v>72</v>
      </c>
      <c r="AR902" t="s">
        <v>72</v>
      </c>
      <c r="AS902">
        <v>2031</v>
      </c>
      <c r="AT902" s="4">
        <v>42579</v>
      </c>
      <c r="AU902" t="s">
        <v>73</v>
      </c>
      <c r="AV902">
        <v>2031</v>
      </c>
      <c r="AW902" s="4">
        <v>42579</v>
      </c>
      <c r="BD902">
        <v>0</v>
      </c>
      <c r="BN902" t="s">
        <v>74</v>
      </c>
    </row>
    <row r="903" spans="1:66" hidden="1">
      <c r="A903">
        <v>100210</v>
      </c>
      <c r="B903" s="3" t="s">
        <v>141</v>
      </c>
      <c r="C903" s="1">
        <v>43300101</v>
      </c>
      <c r="D903" t="s">
        <v>67</v>
      </c>
      <c r="H903" t="str">
        <f t="shared" si="78"/>
        <v>08082461008</v>
      </c>
      <c r="I903" t="str">
        <f t="shared" si="78"/>
        <v>08082461008</v>
      </c>
      <c r="K903" t="str">
        <f>""</f>
        <v/>
      </c>
      <c r="M903" t="s">
        <v>68</v>
      </c>
      <c r="N903" t="str">
        <f t="shared" si="77"/>
        <v>FOR</v>
      </c>
      <c r="O903" t="s">
        <v>69</v>
      </c>
      <c r="P903" s="3" t="s">
        <v>75</v>
      </c>
      <c r="Q903">
        <v>2015</v>
      </c>
      <c r="R903" s="2">
        <v>42247</v>
      </c>
      <c r="S903" s="2">
        <v>42248</v>
      </c>
      <c r="T903" s="2">
        <v>42247</v>
      </c>
      <c r="U903" s="2">
        <v>42307</v>
      </c>
      <c r="V903" t="s">
        <v>71</v>
      </c>
      <c r="W903" t="str">
        <f>"            15132379"</f>
        <v xml:space="preserve">            15132379</v>
      </c>
      <c r="X903">
        <v>114.4</v>
      </c>
      <c r="Y903">
        <v>0</v>
      </c>
      <c r="Z903"/>
      <c r="AB903"/>
      <c r="AC903">
        <v>110</v>
      </c>
      <c r="AD903">
        <v>272</v>
      </c>
      <c r="AE903" s="1">
        <v>29920</v>
      </c>
      <c r="AF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 s="2">
        <v>42746</v>
      </c>
      <c r="AQ903" t="s">
        <v>72</v>
      </c>
      <c r="AR903" t="s">
        <v>72</v>
      </c>
      <c r="AS903">
        <v>2031</v>
      </c>
      <c r="AT903" s="4">
        <v>42579</v>
      </c>
      <c r="AU903" t="s">
        <v>73</v>
      </c>
      <c r="AV903">
        <v>2031</v>
      </c>
      <c r="AW903" s="4">
        <v>42579</v>
      </c>
      <c r="BD903">
        <v>0</v>
      </c>
      <c r="BN903" t="s">
        <v>74</v>
      </c>
    </row>
    <row r="904" spans="1:66" hidden="1">
      <c r="A904">
        <v>100210</v>
      </c>
      <c r="B904" s="3" t="s">
        <v>141</v>
      </c>
      <c r="C904" s="1">
        <v>43300101</v>
      </c>
      <c r="D904" t="s">
        <v>67</v>
      </c>
      <c r="H904" t="str">
        <f t="shared" si="78"/>
        <v>08082461008</v>
      </c>
      <c r="I904" t="str">
        <f t="shared" si="78"/>
        <v>08082461008</v>
      </c>
      <c r="K904" t="str">
        <f>""</f>
        <v/>
      </c>
      <c r="M904" t="s">
        <v>68</v>
      </c>
      <c r="N904" t="str">
        <f t="shared" si="77"/>
        <v>FOR</v>
      </c>
      <c r="O904" t="s">
        <v>69</v>
      </c>
      <c r="P904" s="3" t="s">
        <v>75</v>
      </c>
      <c r="Q904">
        <v>2015</v>
      </c>
      <c r="R904" s="2">
        <v>42247</v>
      </c>
      <c r="S904" s="2">
        <v>42248</v>
      </c>
      <c r="T904" s="2">
        <v>42247</v>
      </c>
      <c r="U904" s="2">
        <v>42307</v>
      </c>
      <c r="V904" t="s">
        <v>71</v>
      </c>
      <c r="W904" t="str">
        <f>"            15132380"</f>
        <v xml:space="preserve">            15132380</v>
      </c>
      <c r="X904">
        <v>114.4</v>
      </c>
      <c r="Y904">
        <v>0</v>
      </c>
      <c r="Z904"/>
      <c r="AB904"/>
      <c r="AC904">
        <v>110</v>
      </c>
      <c r="AD904">
        <v>272</v>
      </c>
      <c r="AE904" s="1">
        <v>29920</v>
      </c>
      <c r="AF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 s="2">
        <v>42746</v>
      </c>
      <c r="AQ904" t="s">
        <v>72</v>
      </c>
      <c r="AR904" t="s">
        <v>72</v>
      </c>
      <c r="AS904">
        <v>2031</v>
      </c>
      <c r="AT904" s="4">
        <v>42579</v>
      </c>
      <c r="AU904" t="s">
        <v>73</v>
      </c>
      <c r="AV904">
        <v>2031</v>
      </c>
      <c r="AW904" s="4">
        <v>42579</v>
      </c>
      <c r="BD904">
        <v>0</v>
      </c>
      <c r="BN904" t="s">
        <v>74</v>
      </c>
    </row>
    <row r="905" spans="1:66" hidden="1">
      <c r="A905">
        <v>100210</v>
      </c>
      <c r="B905" s="3" t="s">
        <v>141</v>
      </c>
      <c r="C905" s="1">
        <v>43300101</v>
      </c>
      <c r="D905" t="s">
        <v>67</v>
      </c>
      <c r="H905" t="str">
        <f t="shared" si="78"/>
        <v>08082461008</v>
      </c>
      <c r="I905" t="str">
        <f t="shared" si="78"/>
        <v>08082461008</v>
      </c>
      <c r="K905" t="str">
        <f>""</f>
        <v/>
      </c>
      <c r="M905" t="s">
        <v>68</v>
      </c>
      <c r="N905" t="str">
        <f t="shared" si="77"/>
        <v>FOR</v>
      </c>
      <c r="O905" t="s">
        <v>69</v>
      </c>
      <c r="P905" s="3" t="s">
        <v>75</v>
      </c>
      <c r="Q905">
        <v>2015</v>
      </c>
      <c r="R905" s="2">
        <v>42247</v>
      </c>
      <c r="S905" s="2">
        <v>42248</v>
      </c>
      <c r="T905" s="2">
        <v>42247</v>
      </c>
      <c r="U905" s="2">
        <v>42307</v>
      </c>
      <c r="V905" t="s">
        <v>71</v>
      </c>
      <c r="W905" t="str">
        <f>"            15132582"</f>
        <v xml:space="preserve">            15132582</v>
      </c>
      <c r="X905" s="1">
        <v>7393.2</v>
      </c>
      <c r="Y905">
        <v>0</v>
      </c>
      <c r="Z905"/>
      <c r="AB905"/>
      <c r="AC905" s="1">
        <v>6060</v>
      </c>
      <c r="AD905">
        <v>272</v>
      </c>
      <c r="AE905" s="1">
        <v>1648320</v>
      </c>
      <c r="AF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 s="2">
        <v>42746</v>
      </c>
      <c r="AQ905" t="s">
        <v>72</v>
      </c>
      <c r="AR905" t="s">
        <v>72</v>
      </c>
      <c r="AS905">
        <v>2031</v>
      </c>
      <c r="AT905" s="4">
        <v>42579</v>
      </c>
      <c r="AU905" t="s">
        <v>73</v>
      </c>
      <c r="AV905">
        <v>2031</v>
      </c>
      <c r="AW905" s="4">
        <v>42579</v>
      </c>
      <c r="BD905">
        <v>0</v>
      </c>
      <c r="BN905" t="s">
        <v>74</v>
      </c>
    </row>
    <row r="906" spans="1:66" hidden="1">
      <c r="A906">
        <v>100210</v>
      </c>
      <c r="B906" s="3" t="s">
        <v>141</v>
      </c>
      <c r="C906" s="1">
        <v>43300101</v>
      </c>
      <c r="D906" t="s">
        <v>67</v>
      </c>
      <c r="H906" t="str">
        <f t="shared" si="78"/>
        <v>08082461008</v>
      </c>
      <c r="I906" t="str">
        <f t="shared" si="78"/>
        <v>08082461008</v>
      </c>
      <c r="K906" t="str">
        <f>""</f>
        <v/>
      </c>
      <c r="M906" t="s">
        <v>68</v>
      </c>
      <c r="N906" t="str">
        <f t="shared" si="77"/>
        <v>FOR</v>
      </c>
      <c r="O906" t="s">
        <v>69</v>
      </c>
      <c r="P906" s="3" t="s">
        <v>75</v>
      </c>
      <c r="Q906">
        <v>2015</v>
      </c>
      <c r="R906" s="2">
        <v>42249</v>
      </c>
      <c r="S906" s="2">
        <v>42251</v>
      </c>
      <c r="T906" s="2">
        <v>42249</v>
      </c>
      <c r="U906" s="2">
        <v>42309</v>
      </c>
      <c r="V906" t="s">
        <v>71</v>
      </c>
      <c r="W906" t="str">
        <f>"            15133447"</f>
        <v xml:space="preserve">            15133447</v>
      </c>
      <c r="X906" s="1">
        <v>8784</v>
      </c>
      <c r="Y906">
        <v>0</v>
      </c>
      <c r="Z906"/>
      <c r="AB906"/>
      <c r="AC906" s="1">
        <v>7200</v>
      </c>
      <c r="AD906">
        <v>310</v>
      </c>
      <c r="AE906" s="1">
        <v>2232000</v>
      </c>
      <c r="AF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 s="2">
        <v>42746</v>
      </c>
      <c r="AQ906" t="s">
        <v>72</v>
      </c>
      <c r="AR906" t="s">
        <v>72</v>
      </c>
      <c r="AS906">
        <v>2283</v>
      </c>
      <c r="AT906" s="4">
        <v>42619</v>
      </c>
      <c r="AU906" t="s">
        <v>73</v>
      </c>
      <c r="AV906">
        <v>2283</v>
      </c>
      <c r="AW906" s="4">
        <v>42619</v>
      </c>
      <c r="BD906">
        <v>0</v>
      </c>
      <c r="BN906" t="s">
        <v>74</v>
      </c>
    </row>
    <row r="907" spans="1:66" hidden="1">
      <c r="A907">
        <v>100210</v>
      </c>
      <c r="B907" s="3" t="s">
        <v>141</v>
      </c>
      <c r="C907" s="1">
        <v>43300101</v>
      </c>
      <c r="D907" t="s">
        <v>67</v>
      </c>
      <c r="H907" t="str">
        <f t="shared" si="78"/>
        <v>08082461008</v>
      </c>
      <c r="I907" t="str">
        <f t="shared" si="78"/>
        <v>08082461008</v>
      </c>
      <c r="K907" t="str">
        <f>""</f>
        <v/>
      </c>
      <c r="M907" t="s">
        <v>68</v>
      </c>
      <c r="N907" t="str">
        <f t="shared" si="77"/>
        <v>FOR</v>
      </c>
      <c r="O907" t="s">
        <v>69</v>
      </c>
      <c r="P907" s="3" t="s">
        <v>75</v>
      </c>
      <c r="Q907">
        <v>2015</v>
      </c>
      <c r="R907" s="2">
        <v>42249</v>
      </c>
      <c r="S907" s="2">
        <v>42251</v>
      </c>
      <c r="T907" s="2">
        <v>42249</v>
      </c>
      <c r="U907" s="2">
        <v>42309</v>
      </c>
      <c r="V907" t="s">
        <v>71</v>
      </c>
      <c r="W907" t="str">
        <f>"            15133547"</f>
        <v xml:space="preserve">            15133547</v>
      </c>
      <c r="X907" s="1">
        <v>8982.8799999999992</v>
      </c>
      <c r="Y907">
        <v>0</v>
      </c>
      <c r="Z907"/>
      <c r="AB907"/>
      <c r="AC907" s="1">
        <v>8342.1</v>
      </c>
      <c r="AD907">
        <v>310</v>
      </c>
      <c r="AE907" s="1">
        <v>2586051</v>
      </c>
      <c r="AF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 s="2">
        <v>42746</v>
      </c>
      <c r="AQ907" t="s">
        <v>72</v>
      </c>
      <c r="AR907" t="s">
        <v>72</v>
      </c>
      <c r="AS907">
        <v>2283</v>
      </c>
      <c r="AT907" s="4">
        <v>42619</v>
      </c>
      <c r="AU907" t="s">
        <v>73</v>
      </c>
      <c r="AV907">
        <v>2283</v>
      </c>
      <c r="AW907" s="4">
        <v>42619</v>
      </c>
      <c r="BD907">
        <v>0</v>
      </c>
      <c r="BN907" t="s">
        <v>74</v>
      </c>
    </row>
    <row r="908" spans="1:66" hidden="1">
      <c r="A908">
        <v>100210</v>
      </c>
      <c r="B908" s="3" t="s">
        <v>141</v>
      </c>
      <c r="C908" s="1">
        <v>43300101</v>
      </c>
      <c r="D908" t="s">
        <v>67</v>
      </c>
      <c r="H908" t="str">
        <f t="shared" si="78"/>
        <v>08082461008</v>
      </c>
      <c r="I908" t="str">
        <f t="shared" si="78"/>
        <v>08082461008</v>
      </c>
      <c r="K908" t="str">
        <f>""</f>
        <v/>
      </c>
      <c r="M908" t="s">
        <v>68</v>
      </c>
      <c r="N908" t="str">
        <f t="shared" si="77"/>
        <v>FOR</v>
      </c>
      <c r="O908" t="s">
        <v>69</v>
      </c>
      <c r="P908" s="3" t="s">
        <v>75</v>
      </c>
      <c r="Q908">
        <v>2015</v>
      </c>
      <c r="R908" s="2">
        <v>42249</v>
      </c>
      <c r="S908" s="2">
        <v>42251</v>
      </c>
      <c r="T908" s="2">
        <v>42249</v>
      </c>
      <c r="U908" s="2">
        <v>42309</v>
      </c>
      <c r="V908" t="s">
        <v>71</v>
      </c>
      <c r="W908" t="str">
        <f>"            15133565"</f>
        <v xml:space="preserve">            15133565</v>
      </c>
      <c r="X908" s="1">
        <v>2956.69</v>
      </c>
      <c r="Y908">
        <v>0</v>
      </c>
      <c r="Z908"/>
      <c r="AB908"/>
      <c r="AC908" s="1">
        <v>2423.52</v>
      </c>
      <c r="AD908">
        <v>310</v>
      </c>
      <c r="AE908" s="1">
        <v>751291.2</v>
      </c>
      <c r="AF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 s="2">
        <v>42746</v>
      </c>
      <c r="AQ908" t="s">
        <v>72</v>
      </c>
      <c r="AR908" t="s">
        <v>72</v>
      </c>
      <c r="AS908">
        <v>2283</v>
      </c>
      <c r="AT908" s="4">
        <v>42619</v>
      </c>
      <c r="AU908" t="s">
        <v>73</v>
      </c>
      <c r="AV908">
        <v>2283</v>
      </c>
      <c r="AW908" s="4">
        <v>42619</v>
      </c>
      <c r="BD908">
        <v>0</v>
      </c>
      <c r="BN908" t="s">
        <v>74</v>
      </c>
    </row>
    <row r="909" spans="1:66" hidden="1">
      <c r="A909">
        <v>100210</v>
      </c>
      <c r="B909" s="3" t="s">
        <v>141</v>
      </c>
      <c r="C909" s="1">
        <v>43300101</v>
      </c>
      <c r="D909" t="s">
        <v>67</v>
      </c>
      <c r="H909" t="str">
        <f t="shared" si="78"/>
        <v>08082461008</v>
      </c>
      <c r="I909" t="str">
        <f t="shared" si="78"/>
        <v>08082461008</v>
      </c>
      <c r="K909" t="str">
        <f>""</f>
        <v/>
      </c>
      <c r="M909" t="s">
        <v>68</v>
      </c>
      <c r="N909" t="str">
        <f t="shared" si="77"/>
        <v>FOR</v>
      </c>
      <c r="O909" t="s">
        <v>69</v>
      </c>
      <c r="P909" s="3" t="s">
        <v>75</v>
      </c>
      <c r="Q909">
        <v>2015</v>
      </c>
      <c r="R909" s="2">
        <v>42249</v>
      </c>
      <c r="S909" s="2">
        <v>42251</v>
      </c>
      <c r="T909" s="2">
        <v>42249</v>
      </c>
      <c r="U909" s="2">
        <v>42309</v>
      </c>
      <c r="V909" t="s">
        <v>71</v>
      </c>
      <c r="W909" t="str">
        <f>"            15133580"</f>
        <v xml:space="preserve">            15133580</v>
      </c>
      <c r="X909" s="1">
        <v>3744.18</v>
      </c>
      <c r="Y909">
        <v>0</v>
      </c>
      <c r="Z909"/>
      <c r="AB909"/>
      <c r="AC909" s="1">
        <v>3069</v>
      </c>
      <c r="AD909">
        <v>310</v>
      </c>
      <c r="AE909" s="1">
        <v>951390</v>
      </c>
      <c r="AF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 s="2">
        <v>42746</v>
      </c>
      <c r="AQ909" t="s">
        <v>72</v>
      </c>
      <c r="AR909" t="s">
        <v>72</v>
      </c>
      <c r="AS909">
        <v>2283</v>
      </c>
      <c r="AT909" s="4">
        <v>42619</v>
      </c>
      <c r="AU909" t="s">
        <v>73</v>
      </c>
      <c r="AV909">
        <v>2283</v>
      </c>
      <c r="AW909" s="4">
        <v>42619</v>
      </c>
      <c r="BD909">
        <v>0</v>
      </c>
      <c r="BN909" t="s">
        <v>74</v>
      </c>
    </row>
    <row r="910" spans="1:66" hidden="1">
      <c r="A910">
        <v>100210</v>
      </c>
      <c r="B910" s="3" t="s">
        <v>141</v>
      </c>
      <c r="C910" s="1">
        <v>43300101</v>
      </c>
      <c r="D910" t="s">
        <v>67</v>
      </c>
      <c r="H910" t="str">
        <f t="shared" si="78"/>
        <v>08082461008</v>
      </c>
      <c r="I910" t="str">
        <f t="shared" si="78"/>
        <v>08082461008</v>
      </c>
      <c r="K910" t="str">
        <f>""</f>
        <v/>
      </c>
      <c r="M910" t="s">
        <v>68</v>
      </c>
      <c r="N910" t="str">
        <f t="shared" si="77"/>
        <v>FOR</v>
      </c>
      <c r="O910" t="s">
        <v>69</v>
      </c>
      <c r="P910" s="3" t="s">
        <v>75</v>
      </c>
      <c r="Q910">
        <v>2015</v>
      </c>
      <c r="R910" s="2">
        <v>42250</v>
      </c>
      <c r="S910" s="2">
        <v>42251</v>
      </c>
      <c r="T910" s="2">
        <v>42250</v>
      </c>
      <c r="U910" s="2">
        <v>42310</v>
      </c>
      <c r="V910" t="s">
        <v>71</v>
      </c>
      <c r="W910" t="str">
        <f>"            15133969"</f>
        <v xml:space="preserve">            15133969</v>
      </c>
      <c r="X910">
        <v>82.57</v>
      </c>
      <c r="Y910">
        <v>0</v>
      </c>
      <c r="Z910"/>
      <c r="AB910"/>
      <c r="AC910">
        <v>67.680000000000007</v>
      </c>
      <c r="AD910">
        <v>309</v>
      </c>
      <c r="AE910" s="1">
        <v>20913.12</v>
      </c>
      <c r="AF910">
        <v>0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 s="2">
        <v>42746</v>
      </c>
      <c r="AQ910" t="s">
        <v>72</v>
      </c>
      <c r="AR910" t="s">
        <v>72</v>
      </c>
      <c r="AS910">
        <v>2283</v>
      </c>
      <c r="AT910" s="4">
        <v>42619</v>
      </c>
      <c r="AU910" t="s">
        <v>73</v>
      </c>
      <c r="AV910">
        <v>2283</v>
      </c>
      <c r="AW910" s="4">
        <v>42619</v>
      </c>
      <c r="BD910">
        <v>0</v>
      </c>
      <c r="BN910" t="s">
        <v>74</v>
      </c>
    </row>
    <row r="911" spans="1:66" hidden="1">
      <c r="A911">
        <v>100210</v>
      </c>
      <c r="B911" s="3" t="s">
        <v>141</v>
      </c>
      <c r="C911" s="1">
        <v>43300101</v>
      </c>
      <c r="D911" t="s">
        <v>67</v>
      </c>
      <c r="H911" t="str">
        <f t="shared" si="78"/>
        <v>08082461008</v>
      </c>
      <c r="I911" t="str">
        <f t="shared" si="78"/>
        <v>08082461008</v>
      </c>
      <c r="K911" t="str">
        <f>""</f>
        <v/>
      </c>
      <c r="M911" t="s">
        <v>68</v>
      </c>
      <c r="N911" t="str">
        <f t="shared" si="77"/>
        <v>FOR</v>
      </c>
      <c r="O911" t="s">
        <v>69</v>
      </c>
      <c r="P911" s="3" t="s">
        <v>75</v>
      </c>
      <c r="Q911">
        <v>2015</v>
      </c>
      <c r="R911" s="2">
        <v>42256</v>
      </c>
      <c r="S911" s="2">
        <v>42258</v>
      </c>
      <c r="T911" s="2">
        <v>42257</v>
      </c>
      <c r="U911" s="2">
        <v>42317</v>
      </c>
      <c r="V911" t="s">
        <v>71</v>
      </c>
      <c r="W911" t="str">
        <f>"            15136470"</f>
        <v xml:space="preserve">            15136470</v>
      </c>
      <c r="X911">
        <v>644.79999999999995</v>
      </c>
      <c r="Y911">
        <v>0</v>
      </c>
      <c r="Z911"/>
      <c r="AB911"/>
      <c r="AC911">
        <v>620</v>
      </c>
      <c r="AD911">
        <v>302</v>
      </c>
      <c r="AE911" s="1">
        <v>187240</v>
      </c>
      <c r="AF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 s="2">
        <v>42746</v>
      </c>
      <c r="AQ911" t="s">
        <v>72</v>
      </c>
      <c r="AR911" t="s">
        <v>72</v>
      </c>
      <c r="AS911">
        <v>2283</v>
      </c>
      <c r="AT911" s="4">
        <v>42619</v>
      </c>
      <c r="AU911" t="s">
        <v>73</v>
      </c>
      <c r="AV911">
        <v>2283</v>
      </c>
      <c r="AW911" s="4">
        <v>42619</v>
      </c>
      <c r="BD911">
        <v>0</v>
      </c>
      <c r="BN911" t="s">
        <v>74</v>
      </c>
    </row>
    <row r="912" spans="1:66" hidden="1">
      <c r="A912">
        <v>100210</v>
      </c>
      <c r="B912" s="3" t="s">
        <v>141</v>
      </c>
      <c r="C912" s="1">
        <v>43300101</v>
      </c>
      <c r="D912" t="s">
        <v>67</v>
      </c>
      <c r="H912" t="str">
        <f t="shared" si="78"/>
        <v>08082461008</v>
      </c>
      <c r="I912" t="str">
        <f t="shared" si="78"/>
        <v>08082461008</v>
      </c>
      <c r="K912" t="str">
        <f>""</f>
        <v/>
      </c>
      <c r="M912" t="s">
        <v>68</v>
      </c>
      <c r="N912" t="str">
        <f t="shared" si="77"/>
        <v>FOR</v>
      </c>
      <c r="O912" t="s">
        <v>69</v>
      </c>
      <c r="P912" s="3" t="s">
        <v>75</v>
      </c>
      <c r="Q912">
        <v>2015</v>
      </c>
      <c r="R912" s="2">
        <v>42256</v>
      </c>
      <c r="S912" s="2">
        <v>42258</v>
      </c>
      <c r="T912" s="2">
        <v>42257</v>
      </c>
      <c r="U912" s="2">
        <v>42317</v>
      </c>
      <c r="V912" t="s">
        <v>71</v>
      </c>
      <c r="W912" t="str">
        <f>"            15136471"</f>
        <v xml:space="preserve">            15136471</v>
      </c>
      <c r="X912">
        <v>644.79999999999995</v>
      </c>
      <c r="Y912">
        <v>0</v>
      </c>
      <c r="Z912"/>
      <c r="AB912"/>
      <c r="AC912">
        <v>620</v>
      </c>
      <c r="AD912">
        <v>302</v>
      </c>
      <c r="AE912" s="1">
        <v>187240</v>
      </c>
      <c r="AF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 s="2">
        <v>42746</v>
      </c>
      <c r="AQ912" t="s">
        <v>72</v>
      </c>
      <c r="AR912" t="s">
        <v>72</v>
      </c>
      <c r="AS912">
        <v>2283</v>
      </c>
      <c r="AT912" s="4">
        <v>42619</v>
      </c>
      <c r="AU912" t="s">
        <v>73</v>
      </c>
      <c r="AV912">
        <v>2283</v>
      </c>
      <c r="AW912" s="4">
        <v>42619</v>
      </c>
      <c r="BD912">
        <v>0</v>
      </c>
      <c r="BN912" t="s">
        <v>74</v>
      </c>
    </row>
    <row r="913" spans="1:66" hidden="1">
      <c r="A913">
        <v>100210</v>
      </c>
      <c r="B913" s="3" t="s">
        <v>141</v>
      </c>
      <c r="C913" s="1">
        <v>43300101</v>
      </c>
      <c r="D913" t="s">
        <v>67</v>
      </c>
      <c r="H913" t="str">
        <f t="shared" si="78"/>
        <v>08082461008</v>
      </c>
      <c r="I913" t="str">
        <f t="shared" si="78"/>
        <v>08082461008</v>
      </c>
      <c r="K913" t="str">
        <f>""</f>
        <v/>
      </c>
      <c r="M913" t="s">
        <v>68</v>
      </c>
      <c r="N913" t="str">
        <f t="shared" si="77"/>
        <v>FOR</v>
      </c>
      <c r="O913" t="s">
        <v>69</v>
      </c>
      <c r="P913" s="3" t="s">
        <v>75</v>
      </c>
      <c r="Q913">
        <v>2015</v>
      </c>
      <c r="R913" s="2">
        <v>42258</v>
      </c>
      <c r="S913" s="2">
        <v>42261</v>
      </c>
      <c r="T913" s="2">
        <v>42258</v>
      </c>
      <c r="U913" s="2">
        <v>42318</v>
      </c>
      <c r="V913" t="s">
        <v>71</v>
      </c>
      <c r="W913" t="str">
        <f>"            15137921"</f>
        <v xml:space="preserve">            15137921</v>
      </c>
      <c r="X913">
        <v>421.63</v>
      </c>
      <c r="Y913">
        <v>0</v>
      </c>
      <c r="Z913"/>
      <c r="AB913"/>
      <c r="AC913">
        <v>345.6</v>
      </c>
      <c r="AD913">
        <v>301</v>
      </c>
      <c r="AE913" s="1">
        <v>104025.60000000001</v>
      </c>
      <c r="AF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 s="2">
        <v>42746</v>
      </c>
      <c r="AQ913" t="s">
        <v>72</v>
      </c>
      <c r="AR913" t="s">
        <v>72</v>
      </c>
      <c r="AS913">
        <v>2283</v>
      </c>
      <c r="AT913" s="4">
        <v>42619</v>
      </c>
      <c r="AU913" t="s">
        <v>73</v>
      </c>
      <c r="AV913">
        <v>2283</v>
      </c>
      <c r="AW913" s="4">
        <v>42619</v>
      </c>
      <c r="BD913">
        <v>0</v>
      </c>
      <c r="BN913" t="s">
        <v>74</v>
      </c>
    </row>
    <row r="914" spans="1:66" hidden="1">
      <c r="A914">
        <v>100210</v>
      </c>
      <c r="B914" s="3" t="s">
        <v>141</v>
      </c>
      <c r="C914" s="1">
        <v>43300101</v>
      </c>
      <c r="D914" t="s">
        <v>67</v>
      </c>
      <c r="H914" t="str">
        <f t="shared" si="78"/>
        <v>08082461008</v>
      </c>
      <c r="I914" t="str">
        <f t="shared" si="78"/>
        <v>08082461008</v>
      </c>
      <c r="K914" t="str">
        <f>""</f>
        <v/>
      </c>
      <c r="M914" t="s">
        <v>68</v>
      </c>
      <c r="N914" t="str">
        <f t="shared" si="77"/>
        <v>FOR</v>
      </c>
      <c r="O914" t="s">
        <v>69</v>
      </c>
      <c r="P914" s="3" t="s">
        <v>75</v>
      </c>
      <c r="Q914">
        <v>2015</v>
      </c>
      <c r="R914" s="2">
        <v>42262</v>
      </c>
      <c r="S914" s="2">
        <v>42263</v>
      </c>
      <c r="T914" s="2">
        <v>42262</v>
      </c>
      <c r="U914" s="2">
        <v>42322</v>
      </c>
      <c r="V914" t="s">
        <v>71</v>
      </c>
      <c r="W914" t="str">
        <f>"            15138764"</f>
        <v xml:space="preserve">            15138764</v>
      </c>
      <c r="X914">
        <v>451.88</v>
      </c>
      <c r="Y914">
        <v>0</v>
      </c>
      <c r="Z914"/>
      <c r="AB914"/>
      <c r="AC914">
        <v>434.5</v>
      </c>
      <c r="AD914">
        <v>297</v>
      </c>
      <c r="AE914" s="1">
        <v>129046.5</v>
      </c>
      <c r="AF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 s="2">
        <v>42746</v>
      </c>
      <c r="AQ914" t="s">
        <v>72</v>
      </c>
      <c r="AR914" t="s">
        <v>72</v>
      </c>
      <c r="AS914">
        <v>2283</v>
      </c>
      <c r="AT914" s="4">
        <v>42619</v>
      </c>
      <c r="AU914" t="s">
        <v>73</v>
      </c>
      <c r="AV914">
        <v>2283</v>
      </c>
      <c r="AW914" s="4">
        <v>42619</v>
      </c>
      <c r="BD914">
        <v>0</v>
      </c>
      <c r="BN914" t="s">
        <v>74</v>
      </c>
    </row>
    <row r="915" spans="1:66" hidden="1">
      <c r="A915">
        <v>100210</v>
      </c>
      <c r="B915" s="3" t="s">
        <v>141</v>
      </c>
      <c r="C915" s="1">
        <v>43300101</v>
      </c>
      <c r="D915" t="s">
        <v>67</v>
      </c>
      <c r="H915" t="str">
        <f t="shared" si="78"/>
        <v>08082461008</v>
      </c>
      <c r="I915" t="str">
        <f t="shared" si="78"/>
        <v>08082461008</v>
      </c>
      <c r="K915" t="str">
        <f>""</f>
        <v/>
      </c>
      <c r="M915" t="s">
        <v>68</v>
      </c>
      <c r="N915" t="str">
        <f t="shared" si="77"/>
        <v>FOR</v>
      </c>
      <c r="O915" t="s">
        <v>69</v>
      </c>
      <c r="P915" s="3" t="s">
        <v>75</v>
      </c>
      <c r="Q915">
        <v>2015</v>
      </c>
      <c r="R915" s="2">
        <v>42262</v>
      </c>
      <c r="S915" s="2">
        <v>42263</v>
      </c>
      <c r="T915" s="2">
        <v>42262</v>
      </c>
      <c r="U915" s="2">
        <v>42322</v>
      </c>
      <c r="V915" t="s">
        <v>71</v>
      </c>
      <c r="W915" t="str">
        <f>"            15138766"</f>
        <v xml:space="preserve">            15138766</v>
      </c>
      <c r="X915">
        <v>451.88</v>
      </c>
      <c r="Y915">
        <v>0</v>
      </c>
      <c r="Z915"/>
      <c r="AB915"/>
      <c r="AC915">
        <v>434.5</v>
      </c>
      <c r="AD915">
        <v>297</v>
      </c>
      <c r="AE915" s="1">
        <v>129046.5</v>
      </c>
      <c r="AF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 s="2">
        <v>42746</v>
      </c>
      <c r="AQ915" t="s">
        <v>72</v>
      </c>
      <c r="AR915" t="s">
        <v>72</v>
      </c>
      <c r="AS915">
        <v>2283</v>
      </c>
      <c r="AT915" s="4">
        <v>42619</v>
      </c>
      <c r="AU915" t="s">
        <v>73</v>
      </c>
      <c r="AV915">
        <v>2283</v>
      </c>
      <c r="AW915" s="4">
        <v>42619</v>
      </c>
      <c r="BD915">
        <v>0</v>
      </c>
      <c r="BN915" t="s">
        <v>74</v>
      </c>
    </row>
    <row r="916" spans="1:66" hidden="1">
      <c r="A916">
        <v>100210</v>
      </c>
      <c r="B916" s="3" t="s">
        <v>141</v>
      </c>
      <c r="C916" s="1">
        <v>43300101</v>
      </c>
      <c r="D916" t="s">
        <v>67</v>
      </c>
      <c r="H916" t="str">
        <f t="shared" si="78"/>
        <v>08082461008</v>
      </c>
      <c r="I916" t="str">
        <f t="shared" si="78"/>
        <v>08082461008</v>
      </c>
      <c r="K916" t="str">
        <f>""</f>
        <v/>
      </c>
      <c r="M916" t="s">
        <v>68</v>
      </c>
      <c r="N916" t="str">
        <f t="shared" si="77"/>
        <v>FOR</v>
      </c>
      <c r="O916" t="s">
        <v>69</v>
      </c>
      <c r="P916" s="3" t="s">
        <v>75</v>
      </c>
      <c r="Q916">
        <v>2015</v>
      </c>
      <c r="R916" s="2">
        <v>42262</v>
      </c>
      <c r="S916" s="2">
        <v>42263</v>
      </c>
      <c r="T916" s="2">
        <v>42262</v>
      </c>
      <c r="U916" s="2">
        <v>42322</v>
      </c>
      <c r="V916" t="s">
        <v>71</v>
      </c>
      <c r="W916" t="str">
        <f>"            15138767"</f>
        <v xml:space="preserve">            15138767</v>
      </c>
      <c r="X916">
        <v>45.76</v>
      </c>
      <c r="Y916">
        <v>0</v>
      </c>
      <c r="Z916"/>
      <c r="AB916"/>
      <c r="AC916">
        <v>44</v>
      </c>
      <c r="AD916">
        <v>297</v>
      </c>
      <c r="AE916" s="1">
        <v>13068</v>
      </c>
      <c r="AF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 s="2">
        <v>42746</v>
      </c>
      <c r="AQ916" t="s">
        <v>72</v>
      </c>
      <c r="AR916" t="s">
        <v>72</v>
      </c>
      <c r="AS916">
        <v>2283</v>
      </c>
      <c r="AT916" s="4">
        <v>42619</v>
      </c>
      <c r="AU916" t="s">
        <v>73</v>
      </c>
      <c r="AV916">
        <v>2283</v>
      </c>
      <c r="AW916" s="4">
        <v>42619</v>
      </c>
      <c r="BD916">
        <v>0</v>
      </c>
      <c r="BN916" t="s">
        <v>74</v>
      </c>
    </row>
    <row r="917" spans="1:66" hidden="1">
      <c r="A917">
        <v>100210</v>
      </c>
      <c r="B917" s="3" t="s">
        <v>141</v>
      </c>
      <c r="C917" s="1">
        <v>43300101</v>
      </c>
      <c r="D917" t="s">
        <v>67</v>
      </c>
      <c r="H917" t="str">
        <f t="shared" ref="H917:I936" si="79">"08082461008"</f>
        <v>08082461008</v>
      </c>
      <c r="I917" t="str">
        <f t="shared" si="79"/>
        <v>08082461008</v>
      </c>
      <c r="K917" t="str">
        <f>""</f>
        <v/>
      </c>
      <c r="M917" t="s">
        <v>68</v>
      </c>
      <c r="N917" t="str">
        <f t="shared" si="77"/>
        <v>FOR</v>
      </c>
      <c r="O917" t="s">
        <v>69</v>
      </c>
      <c r="P917" s="3" t="s">
        <v>75</v>
      </c>
      <c r="Q917">
        <v>2015</v>
      </c>
      <c r="R917" s="2">
        <v>42262</v>
      </c>
      <c r="S917" s="2">
        <v>42263</v>
      </c>
      <c r="T917" s="2">
        <v>42262</v>
      </c>
      <c r="U917" s="2">
        <v>42322</v>
      </c>
      <c r="V917" t="s">
        <v>71</v>
      </c>
      <c r="W917" t="str">
        <f>"            15138768"</f>
        <v xml:space="preserve">            15138768</v>
      </c>
      <c r="X917">
        <v>45.76</v>
      </c>
      <c r="Y917">
        <v>0</v>
      </c>
      <c r="Z917"/>
      <c r="AB917"/>
      <c r="AC917">
        <v>44</v>
      </c>
      <c r="AD917">
        <v>297</v>
      </c>
      <c r="AE917" s="1">
        <v>13068</v>
      </c>
      <c r="AF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 s="2">
        <v>42746</v>
      </c>
      <c r="AQ917" t="s">
        <v>72</v>
      </c>
      <c r="AR917" t="s">
        <v>72</v>
      </c>
      <c r="AS917">
        <v>2283</v>
      </c>
      <c r="AT917" s="4">
        <v>42619</v>
      </c>
      <c r="AU917" t="s">
        <v>73</v>
      </c>
      <c r="AV917">
        <v>2283</v>
      </c>
      <c r="AW917" s="4">
        <v>42619</v>
      </c>
      <c r="BD917">
        <v>0</v>
      </c>
      <c r="BN917" t="s">
        <v>74</v>
      </c>
    </row>
    <row r="918" spans="1:66" hidden="1">
      <c r="A918">
        <v>100210</v>
      </c>
      <c r="B918" s="3" t="s">
        <v>141</v>
      </c>
      <c r="C918" s="1">
        <v>43300101</v>
      </c>
      <c r="D918" t="s">
        <v>67</v>
      </c>
      <c r="H918" t="str">
        <f t="shared" si="79"/>
        <v>08082461008</v>
      </c>
      <c r="I918" t="str">
        <f t="shared" si="79"/>
        <v>08082461008</v>
      </c>
      <c r="K918" t="str">
        <f>""</f>
        <v/>
      </c>
      <c r="M918" t="s">
        <v>68</v>
      </c>
      <c r="N918" t="str">
        <f t="shared" si="77"/>
        <v>FOR</v>
      </c>
      <c r="O918" t="s">
        <v>69</v>
      </c>
      <c r="P918" s="3" t="s">
        <v>75</v>
      </c>
      <c r="Q918">
        <v>2015</v>
      </c>
      <c r="R918" s="2">
        <v>42262</v>
      </c>
      <c r="S918" s="2">
        <v>42263</v>
      </c>
      <c r="T918" s="2">
        <v>42263</v>
      </c>
      <c r="U918" s="2">
        <v>42323</v>
      </c>
      <c r="V918" t="s">
        <v>71</v>
      </c>
      <c r="W918" t="str">
        <f>"            15138769"</f>
        <v xml:space="preserve">            15138769</v>
      </c>
      <c r="X918">
        <v>45.76</v>
      </c>
      <c r="Y918">
        <v>0</v>
      </c>
      <c r="Z918"/>
      <c r="AB918"/>
      <c r="AC918">
        <v>44</v>
      </c>
      <c r="AD918">
        <v>296</v>
      </c>
      <c r="AE918" s="1">
        <v>13024</v>
      </c>
      <c r="AF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 s="2">
        <v>42746</v>
      </c>
      <c r="AQ918" t="s">
        <v>72</v>
      </c>
      <c r="AR918" t="s">
        <v>72</v>
      </c>
      <c r="AS918">
        <v>2283</v>
      </c>
      <c r="AT918" s="4">
        <v>42619</v>
      </c>
      <c r="AU918" t="s">
        <v>73</v>
      </c>
      <c r="AV918">
        <v>2283</v>
      </c>
      <c r="AW918" s="4">
        <v>42619</v>
      </c>
      <c r="BD918">
        <v>0</v>
      </c>
      <c r="BN918" t="s">
        <v>74</v>
      </c>
    </row>
    <row r="919" spans="1:66" hidden="1">
      <c r="A919">
        <v>100210</v>
      </c>
      <c r="B919" s="3" t="s">
        <v>141</v>
      </c>
      <c r="C919" s="1">
        <v>43300101</v>
      </c>
      <c r="D919" t="s">
        <v>67</v>
      </c>
      <c r="H919" t="str">
        <f t="shared" si="79"/>
        <v>08082461008</v>
      </c>
      <c r="I919" t="str">
        <f t="shared" si="79"/>
        <v>08082461008</v>
      </c>
      <c r="K919" t="str">
        <f>""</f>
        <v/>
      </c>
      <c r="M919" t="s">
        <v>68</v>
      </c>
      <c r="N919" t="str">
        <f t="shared" si="77"/>
        <v>FOR</v>
      </c>
      <c r="O919" t="s">
        <v>69</v>
      </c>
      <c r="P919" s="3" t="s">
        <v>75</v>
      </c>
      <c r="Q919">
        <v>2015</v>
      </c>
      <c r="R919" s="2">
        <v>42262</v>
      </c>
      <c r="S919" s="2">
        <v>42263</v>
      </c>
      <c r="T919" s="2">
        <v>42262</v>
      </c>
      <c r="U919" s="2">
        <v>42322</v>
      </c>
      <c r="V919" t="s">
        <v>71</v>
      </c>
      <c r="W919" t="str">
        <f>"            15138771"</f>
        <v xml:space="preserve">            15138771</v>
      </c>
      <c r="X919">
        <v>451.88</v>
      </c>
      <c r="Y919">
        <v>0</v>
      </c>
      <c r="Z919"/>
      <c r="AB919"/>
      <c r="AC919">
        <v>434.5</v>
      </c>
      <c r="AD919">
        <v>297</v>
      </c>
      <c r="AE919" s="1">
        <v>129046.5</v>
      </c>
      <c r="AF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 s="2">
        <v>42746</v>
      </c>
      <c r="AQ919" t="s">
        <v>72</v>
      </c>
      <c r="AR919" t="s">
        <v>72</v>
      </c>
      <c r="AS919">
        <v>2283</v>
      </c>
      <c r="AT919" s="4">
        <v>42619</v>
      </c>
      <c r="AU919" t="s">
        <v>73</v>
      </c>
      <c r="AV919">
        <v>2283</v>
      </c>
      <c r="AW919" s="4">
        <v>42619</v>
      </c>
      <c r="BD919">
        <v>0</v>
      </c>
      <c r="BN919" t="s">
        <v>74</v>
      </c>
    </row>
    <row r="920" spans="1:66" hidden="1">
      <c r="A920">
        <v>100210</v>
      </c>
      <c r="B920" s="3" t="s">
        <v>141</v>
      </c>
      <c r="C920" s="1">
        <v>43300101</v>
      </c>
      <c r="D920" t="s">
        <v>67</v>
      </c>
      <c r="H920" t="str">
        <f t="shared" si="79"/>
        <v>08082461008</v>
      </c>
      <c r="I920" t="str">
        <f t="shared" si="79"/>
        <v>08082461008</v>
      </c>
      <c r="K920" t="str">
        <f>""</f>
        <v/>
      </c>
      <c r="M920" t="s">
        <v>68</v>
      </c>
      <c r="N920" t="str">
        <f t="shared" si="77"/>
        <v>FOR</v>
      </c>
      <c r="O920" t="s">
        <v>69</v>
      </c>
      <c r="P920" s="3" t="s">
        <v>75</v>
      </c>
      <c r="Q920">
        <v>2015</v>
      </c>
      <c r="R920" s="2">
        <v>42262</v>
      </c>
      <c r="S920" s="2">
        <v>42263</v>
      </c>
      <c r="T920" s="2">
        <v>42262</v>
      </c>
      <c r="U920" s="2">
        <v>42322</v>
      </c>
      <c r="V920" t="s">
        <v>71</v>
      </c>
      <c r="W920" t="str">
        <f>"            15138772"</f>
        <v xml:space="preserve">            15138772</v>
      </c>
      <c r="X920">
        <v>451.88</v>
      </c>
      <c r="Y920">
        <v>0</v>
      </c>
      <c r="Z920"/>
      <c r="AB920"/>
      <c r="AC920">
        <v>434.5</v>
      </c>
      <c r="AD920">
        <v>297</v>
      </c>
      <c r="AE920" s="1">
        <v>129046.5</v>
      </c>
      <c r="AF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 s="2">
        <v>42746</v>
      </c>
      <c r="AQ920" t="s">
        <v>72</v>
      </c>
      <c r="AR920" t="s">
        <v>72</v>
      </c>
      <c r="AS920">
        <v>2283</v>
      </c>
      <c r="AT920" s="4">
        <v>42619</v>
      </c>
      <c r="AU920" t="s">
        <v>73</v>
      </c>
      <c r="AV920">
        <v>2283</v>
      </c>
      <c r="AW920" s="4">
        <v>42619</v>
      </c>
      <c r="BD920">
        <v>0</v>
      </c>
      <c r="BN920" t="s">
        <v>74</v>
      </c>
    </row>
    <row r="921" spans="1:66" hidden="1">
      <c r="A921">
        <v>100210</v>
      </c>
      <c r="B921" s="3" t="s">
        <v>141</v>
      </c>
      <c r="C921" s="1">
        <v>43300101</v>
      </c>
      <c r="D921" t="s">
        <v>67</v>
      </c>
      <c r="H921" t="str">
        <f t="shared" si="79"/>
        <v>08082461008</v>
      </c>
      <c r="I921" t="str">
        <f t="shared" si="79"/>
        <v>08082461008</v>
      </c>
      <c r="K921" t="str">
        <f>""</f>
        <v/>
      </c>
      <c r="M921" t="s">
        <v>68</v>
      </c>
      <c r="N921" t="str">
        <f t="shared" si="77"/>
        <v>FOR</v>
      </c>
      <c r="O921" t="s">
        <v>69</v>
      </c>
      <c r="P921" s="3" t="s">
        <v>75</v>
      </c>
      <c r="Q921">
        <v>2015</v>
      </c>
      <c r="R921" s="2">
        <v>42262</v>
      </c>
      <c r="S921" s="2">
        <v>42263</v>
      </c>
      <c r="T921" s="2">
        <v>42262</v>
      </c>
      <c r="U921" s="2">
        <v>42322</v>
      </c>
      <c r="V921" t="s">
        <v>71</v>
      </c>
      <c r="W921" t="str">
        <f>"            15138773"</f>
        <v xml:space="preserve">            15138773</v>
      </c>
      <c r="X921">
        <v>114.4</v>
      </c>
      <c r="Y921">
        <v>0</v>
      </c>
      <c r="Z921"/>
      <c r="AB921"/>
      <c r="AC921">
        <v>110</v>
      </c>
      <c r="AD921">
        <v>297</v>
      </c>
      <c r="AE921" s="1">
        <v>32670</v>
      </c>
      <c r="AF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 s="2">
        <v>42746</v>
      </c>
      <c r="AQ921" t="s">
        <v>72</v>
      </c>
      <c r="AR921" t="s">
        <v>72</v>
      </c>
      <c r="AS921">
        <v>2283</v>
      </c>
      <c r="AT921" s="4">
        <v>42619</v>
      </c>
      <c r="AU921" t="s">
        <v>73</v>
      </c>
      <c r="AV921">
        <v>2283</v>
      </c>
      <c r="AW921" s="4">
        <v>42619</v>
      </c>
      <c r="BD921">
        <v>0</v>
      </c>
      <c r="BN921" t="s">
        <v>74</v>
      </c>
    </row>
    <row r="922" spans="1:66" hidden="1">
      <c r="A922">
        <v>100210</v>
      </c>
      <c r="B922" s="3" t="s">
        <v>141</v>
      </c>
      <c r="C922" s="1">
        <v>43300101</v>
      </c>
      <c r="D922" t="s">
        <v>67</v>
      </c>
      <c r="H922" t="str">
        <f t="shared" si="79"/>
        <v>08082461008</v>
      </c>
      <c r="I922" t="str">
        <f t="shared" si="79"/>
        <v>08082461008</v>
      </c>
      <c r="K922" t="str">
        <f>""</f>
        <v/>
      </c>
      <c r="M922" t="s">
        <v>68</v>
      </c>
      <c r="N922" t="str">
        <f t="shared" si="77"/>
        <v>FOR</v>
      </c>
      <c r="O922" t="s">
        <v>69</v>
      </c>
      <c r="P922" s="3" t="s">
        <v>75</v>
      </c>
      <c r="Q922">
        <v>2015</v>
      </c>
      <c r="R922" s="2">
        <v>42262</v>
      </c>
      <c r="S922" s="2">
        <v>42263</v>
      </c>
      <c r="T922" s="2">
        <v>42262</v>
      </c>
      <c r="U922" s="2">
        <v>42322</v>
      </c>
      <c r="V922" t="s">
        <v>71</v>
      </c>
      <c r="W922" t="str">
        <f>"            15138774"</f>
        <v xml:space="preserve">            15138774</v>
      </c>
      <c r="X922">
        <v>114.4</v>
      </c>
      <c r="Y922">
        <v>0</v>
      </c>
      <c r="Z922"/>
      <c r="AB922"/>
      <c r="AC922">
        <v>110</v>
      </c>
      <c r="AD922">
        <v>297</v>
      </c>
      <c r="AE922" s="1">
        <v>32670</v>
      </c>
      <c r="AF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 s="2">
        <v>42746</v>
      </c>
      <c r="AQ922" t="s">
        <v>72</v>
      </c>
      <c r="AR922" t="s">
        <v>72</v>
      </c>
      <c r="AS922">
        <v>2283</v>
      </c>
      <c r="AT922" s="4">
        <v>42619</v>
      </c>
      <c r="AU922" t="s">
        <v>73</v>
      </c>
      <c r="AV922">
        <v>2283</v>
      </c>
      <c r="AW922" s="4">
        <v>42619</v>
      </c>
      <c r="BD922">
        <v>0</v>
      </c>
      <c r="BN922" t="s">
        <v>74</v>
      </c>
    </row>
    <row r="923" spans="1:66" hidden="1">
      <c r="A923">
        <v>100210</v>
      </c>
      <c r="B923" s="3" t="s">
        <v>141</v>
      </c>
      <c r="C923" s="1">
        <v>43300101</v>
      </c>
      <c r="D923" t="s">
        <v>67</v>
      </c>
      <c r="H923" t="str">
        <f t="shared" si="79"/>
        <v>08082461008</v>
      </c>
      <c r="I923" t="str">
        <f t="shared" si="79"/>
        <v>08082461008</v>
      </c>
      <c r="K923" t="str">
        <f>""</f>
        <v/>
      </c>
      <c r="M923" t="s">
        <v>68</v>
      </c>
      <c r="N923" t="str">
        <f t="shared" si="77"/>
        <v>FOR</v>
      </c>
      <c r="O923" t="s">
        <v>69</v>
      </c>
      <c r="P923" s="3" t="s">
        <v>75</v>
      </c>
      <c r="Q923">
        <v>2015</v>
      </c>
      <c r="R923" s="2">
        <v>42262</v>
      </c>
      <c r="S923" s="2">
        <v>42263</v>
      </c>
      <c r="T923" s="2">
        <v>42262</v>
      </c>
      <c r="U923" s="2">
        <v>42322</v>
      </c>
      <c r="V923" t="s">
        <v>71</v>
      </c>
      <c r="W923" t="str">
        <f>"            15138775"</f>
        <v xml:space="preserve">            15138775</v>
      </c>
      <c r="X923">
        <v>45.76</v>
      </c>
      <c r="Y923">
        <v>0</v>
      </c>
      <c r="Z923"/>
      <c r="AB923"/>
      <c r="AC923">
        <v>44</v>
      </c>
      <c r="AD923">
        <v>297</v>
      </c>
      <c r="AE923" s="1">
        <v>13068</v>
      </c>
      <c r="AF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 s="2">
        <v>42746</v>
      </c>
      <c r="AQ923" t="s">
        <v>72</v>
      </c>
      <c r="AR923" t="s">
        <v>72</v>
      </c>
      <c r="AS923">
        <v>2283</v>
      </c>
      <c r="AT923" s="4">
        <v>42619</v>
      </c>
      <c r="AU923" t="s">
        <v>73</v>
      </c>
      <c r="AV923">
        <v>2283</v>
      </c>
      <c r="AW923" s="4">
        <v>42619</v>
      </c>
      <c r="BD923">
        <v>0</v>
      </c>
      <c r="BN923" t="s">
        <v>74</v>
      </c>
    </row>
    <row r="924" spans="1:66" hidden="1">
      <c r="A924">
        <v>100210</v>
      </c>
      <c r="B924" s="3" t="s">
        <v>141</v>
      </c>
      <c r="C924" s="1">
        <v>43300101</v>
      </c>
      <c r="D924" t="s">
        <v>67</v>
      </c>
      <c r="H924" t="str">
        <f t="shared" si="79"/>
        <v>08082461008</v>
      </c>
      <c r="I924" t="str">
        <f t="shared" si="79"/>
        <v>08082461008</v>
      </c>
      <c r="K924" t="str">
        <f>""</f>
        <v/>
      </c>
      <c r="M924" t="s">
        <v>68</v>
      </c>
      <c r="N924" t="str">
        <f t="shared" si="77"/>
        <v>FOR</v>
      </c>
      <c r="O924" t="s">
        <v>69</v>
      </c>
      <c r="P924" s="3" t="s">
        <v>75</v>
      </c>
      <c r="Q924">
        <v>2015</v>
      </c>
      <c r="R924" s="2">
        <v>42263</v>
      </c>
      <c r="S924" s="2">
        <v>42265</v>
      </c>
      <c r="T924" s="2">
        <v>42263</v>
      </c>
      <c r="U924" s="2">
        <v>42323</v>
      </c>
      <c r="V924" t="s">
        <v>71</v>
      </c>
      <c r="W924" t="str">
        <f>"            15139980"</f>
        <v xml:space="preserve">            15139980</v>
      </c>
      <c r="X924" s="1">
        <v>4721.3999999999996</v>
      </c>
      <c r="Y924">
        <v>0</v>
      </c>
      <c r="Z924"/>
      <c r="AB924"/>
      <c r="AC924" s="1">
        <v>3870</v>
      </c>
      <c r="AD924">
        <v>296</v>
      </c>
      <c r="AE924" s="1">
        <v>1145520</v>
      </c>
      <c r="AF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 s="2">
        <v>42746</v>
      </c>
      <c r="AQ924" t="s">
        <v>72</v>
      </c>
      <c r="AR924" t="s">
        <v>72</v>
      </c>
      <c r="AS924">
        <v>2283</v>
      </c>
      <c r="AT924" s="4">
        <v>42619</v>
      </c>
      <c r="AU924" t="s">
        <v>73</v>
      </c>
      <c r="AV924">
        <v>2283</v>
      </c>
      <c r="AW924" s="4">
        <v>42619</v>
      </c>
      <c r="BD924">
        <v>0</v>
      </c>
      <c r="BN924" t="s">
        <v>74</v>
      </c>
    </row>
    <row r="925" spans="1:66" hidden="1">
      <c r="A925">
        <v>100210</v>
      </c>
      <c r="B925" s="3" t="s">
        <v>141</v>
      </c>
      <c r="C925" s="1">
        <v>43300101</v>
      </c>
      <c r="D925" t="s">
        <v>67</v>
      </c>
      <c r="H925" t="str">
        <f t="shared" si="79"/>
        <v>08082461008</v>
      </c>
      <c r="I925" t="str">
        <f t="shared" si="79"/>
        <v>08082461008</v>
      </c>
      <c r="K925" t="str">
        <f>""</f>
        <v/>
      </c>
      <c r="M925" t="s">
        <v>68</v>
      </c>
      <c r="N925" t="str">
        <f t="shared" si="77"/>
        <v>FOR</v>
      </c>
      <c r="O925" t="s">
        <v>69</v>
      </c>
      <c r="P925" s="3" t="s">
        <v>75</v>
      </c>
      <c r="Q925">
        <v>2015</v>
      </c>
      <c r="R925" s="2">
        <v>42269</v>
      </c>
      <c r="S925" s="2">
        <v>42269</v>
      </c>
      <c r="T925" s="2">
        <v>42269</v>
      </c>
      <c r="U925" s="2">
        <v>42329</v>
      </c>
      <c r="V925" t="s">
        <v>71</v>
      </c>
      <c r="W925" t="str">
        <f>"            15143059"</f>
        <v xml:space="preserve">            15143059</v>
      </c>
      <c r="X925" s="1">
        <v>2902.72</v>
      </c>
      <c r="Y925">
        <v>0</v>
      </c>
      <c r="Z925"/>
      <c r="AB925"/>
      <c r="AC925" s="1">
        <v>2379.27</v>
      </c>
      <c r="AD925">
        <v>290</v>
      </c>
      <c r="AE925" s="1">
        <v>689988.3</v>
      </c>
      <c r="AF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 s="2">
        <v>42746</v>
      </c>
      <c r="AQ925" t="s">
        <v>72</v>
      </c>
      <c r="AR925" t="s">
        <v>72</v>
      </c>
      <c r="AS925">
        <v>2283</v>
      </c>
      <c r="AT925" s="4">
        <v>42619</v>
      </c>
      <c r="AU925" t="s">
        <v>73</v>
      </c>
      <c r="AV925">
        <v>2283</v>
      </c>
      <c r="AW925" s="4">
        <v>42619</v>
      </c>
      <c r="BD925">
        <v>0</v>
      </c>
      <c r="BN925" t="s">
        <v>74</v>
      </c>
    </row>
    <row r="926" spans="1:66" hidden="1">
      <c r="A926">
        <v>100210</v>
      </c>
      <c r="B926" s="3" t="s">
        <v>141</v>
      </c>
      <c r="C926" s="1">
        <v>43300101</v>
      </c>
      <c r="D926" t="s">
        <v>67</v>
      </c>
      <c r="H926" t="str">
        <f t="shared" si="79"/>
        <v>08082461008</v>
      </c>
      <c r="I926" t="str">
        <f t="shared" si="79"/>
        <v>08082461008</v>
      </c>
      <c r="K926" t="str">
        <f>""</f>
        <v/>
      </c>
      <c r="M926" t="s">
        <v>68</v>
      </c>
      <c r="N926" t="str">
        <f t="shared" si="77"/>
        <v>FOR</v>
      </c>
      <c r="O926" t="s">
        <v>69</v>
      </c>
      <c r="P926" s="3" t="s">
        <v>75</v>
      </c>
      <c r="Q926">
        <v>2015</v>
      </c>
      <c r="R926" s="2">
        <v>42270</v>
      </c>
      <c r="S926" s="2">
        <v>42272</v>
      </c>
      <c r="T926" s="2">
        <v>42270</v>
      </c>
      <c r="U926" s="2">
        <v>42330</v>
      </c>
      <c r="V926" t="s">
        <v>71</v>
      </c>
      <c r="W926" t="str">
        <f>"            15143993"</f>
        <v xml:space="preserve">            15143993</v>
      </c>
      <c r="X926" s="1">
        <v>5651.05</v>
      </c>
      <c r="Y926">
        <v>0</v>
      </c>
      <c r="Z926"/>
      <c r="AB926"/>
      <c r="AC926" s="1">
        <v>4632</v>
      </c>
      <c r="AD926">
        <v>289</v>
      </c>
      <c r="AE926" s="1">
        <v>1338648</v>
      </c>
      <c r="AF926">
        <v>0</v>
      </c>
      <c r="AJ926">
        <v>0</v>
      </c>
      <c r="AK926">
        <v>0</v>
      </c>
      <c r="AL926">
        <v>0</v>
      </c>
      <c r="AM926">
        <v>0</v>
      </c>
      <c r="AN926">
        <v>0</v>
      </c>
      <c r="AO926">
        <v>0</v>
      </c>
      <c r="AP926" s="2">
        <v>42746</v>
      </c>
      <c r="AQ926" t="s">
        <v>72</v>
      </c>
      <c r="AR926" t="s">
        <v>72</v>
      </c>
      <c r="AS926">
        <v>2283</v>
      </c>
      <c r="AT926" s="4">
        <v>42619</v>
      </c>
      <c r="AU926" t="s">
        <v>73</v>
      </c>
      <c r="AV926">
        <v>2283</v>
      </c>
      <c r="AW926" s="4">
        <v>42619</v>
      </c>
      <c r="BD926">
        <v>0</v>
      </c>
      <c r="BN926" t="s">
        <v>74</v>
      </c>
    </row>
    <row r="927" spans="1:66">
      <c r="A927">
        <v>100210</v>
      </c>
      <c r="B927" s="3" t="s">
        <v>141</v>
      </c>
      <c r="C927" s="1">
        <v>43300101</v>
      </c>
      <c r="D927" t="s">
        <v>67</v>
      </c>
      <c r="H927" t="str">
        <f t="shared" si="79"/>
        <v>08082461008</v>
      </c>
      <c r="I927" t="str">
        <f t="shared" si="79"/>
        <v>08082461008</v>
      </c>
      <c r="K927" t="str">
        <f>""</f>
        <v/>
      </c>
      <c r="M927" t="s">
        <v>68</v>
      </c>
      <c r="N927" t="str">
        <f t="shared" si="77"/>
        <v>FOR</v>
      </c>
      <c r="O927" t="s">
        <v>69</v>
      </c>
      <c r="P927" s="3" t="s">
        <v>75</v>
      </c>
      <c r="Q927">
        <v>2015</v>
      </c>
      <c r="R927" s="2">
        <v>42278</v>
      </c>
      <c r="S927" s="2">
        <v>42282</v>
      </c>
      <c r="T927" s="2">
        <v>42278</v>
      </c>
      <c r="U927" s="2">
        <v>42338</v>
      </c>
      <c r="V927" t="s">
        <v>71</v>
      </c>
      <c r="W927" t="str">
        <f>"            15152230"</f>
        <v xml:space="preserve">            15152230</v>
      </c>
      <c r="X927" s="1">
        <v>9816.1200000000008</v>
      </c>
      <c r="Y927">
        <v>0</v>
      </c>
      <c r="Z927" s="5">
        <v>8046</v>
      </c>
      <c r="AA927">
        <v>309</v>
      </c>
      <c r="AB927" s="5">
        <v>2486214</v>
      </c>
      <c r="AC927" s="1">
        <v>8046</v>
      </c>
      <c r="AD927">
        <v>309</v>
      </c>
      <c r="AE927" s="1">
        <v>2486214</v>
      </c>
      <c r="AF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 s="2">
        <v>42746</v>
      </c>
      <c r="AQ927" t="s">
        <v>72</v>
      </c>
      <c r="AR927" t="s">
        <v>72</v>
      </c>
      <c r="AS927">
        <v>2621</v>
      </c>
      <c r="AT927" s="4">
        <v>42647</v>
      </c>
      <c r="AU927" t="s">
        <v>73</v>
      </c>
      <c r="AV927">
        <v>2621</v>
      </c>
      <c r="AW927" s="4">
        <v>42647</v>
      </c>
      <c r="BD927">
        <v>0</v>
      </c>
      <c r="BN927" t="s">
        <v>74</v>
      </c>
    </row>
    <row r="928" spans="1:66">
      <c r="A928">
        <v>100210</v>
      </c>
      <c r="B928" s="3" t="s">
        <v>141</v>
      </c>
      <c r="C928" s="1">
        <v>43300101</v>
      </c>
      <c r="D928" t="s">
        <v>67</v>
      </c>
      <c r="H928" t="str">
        <f t="shared" si="79"/>
        <v>08082461008</v>
      </c>
      <c r="I928" t="str">
        <f t="shared" si="79"/>
        <v>08082461008</v>
      </c>
      <c r="K928" t="str">
        <f>""</f>
        <v/>
      </c>
      <c r="M928" t="s">
        <v>68</v>
      </c>
      <c r="N928" t="str">
        <f t="shared" si="77"/>
        <v>FOR</v>
      </c>
      <c r="O928" t="s">
        <v>69</v>
      </c>
      <c r="P928" s="3" t="s">
        <v>75</v>
      </c>
      <c r="Q928">
        <v>2015</v>
      </c>
      <c r="R928" s="2">
        <v>42282</v>
      </c>
      <c r="S928" s="2">
        <v>42283</v>
      </c>
      <c r="T928" s="2">
        <v>42283</v>
      </c>
      <c r="U928" s="2">
        <v>42343</v>
      </c>
      <c r="V928" t="s">
        <v>71</v>
      </c>
      <c r="W928" t="str">
        <f>"            15153310"</f>
        <v xml:space="preserve">            15153310</v>
      </c>
      <c r="X928">
        <v>451.88</v>
      </c>
      <c r="Y928">
        <v>0</v>
      </c>
      <c r="Z928" s="3">
        <v>434.5</v>
      </c>
      <c r="AA928">
        <v>304</v>
      </c>
      <c r="AB928" s="5">
        <v>132088</v>
      </c>
      <c r="AC928">
        <v>434.5</v>
      </c>
      <c r="AD928">
        <v>304</v>
      </c>
      <c r="AE928" s="1">
        <v>132088</v>
      </c>
      <c r="AF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 s="2">
        <v>42746</v>
      </c>
      <c r="AQ928" t="s">
        <v>72</v>
      </c>
      <c r="AR928" t="s">
        <v>72</v>
      </c>
      <c r="AS928">
        <v>2621</v>
      </c>
      <c r="AT928" s="4">
        <v>42647</v>
      </c>
      <c r="AU928" t="s">
        <v>73</v>
      </c>
      <c r="AV928">
        <v>2621</v>
      </c>
      <c r="AW928" s="4">
        <v>42647</v>
      </c>
      <c r="BD928">
        <v>0</v>
      </c>
      <c r="BN928" t="s">
        <v>74</v>
      </c>
    </row>
    <row r="929" spans="1:66">
      <c r="A929">
        <v>100210</v>
      </c>
      <c r="B929" s="3" t="s">
        <v>141</v>
      </c>
      <c r="C929" s="1">
        <v>43300101</v>
      </c>
      <c r="D929" t="s">
        <v>67</v>
      </c>
      <c r="H929" t="str">
        <f t="shared" si="79"/>
        <v>08082461008</v>
      </c>
      <c r="I929" t="str">
        <f t="shared" si="79"/>
        <v>08082461008</v>
      </c>
      <c r="K929" t="str">
        <f>""</f>
        <v/>
      </c>
      <c r="M929" t="s">
        <v>68</v>
      </c>
      <c r="N929" t="str">
        <f t="shared" si="77"/>
        <v>FOR</v>
      </c>
      <c r="O929" t="s">
        <v>69</v>
      </c>
      <c r="P929" s="3" t="s">
        <v>75</v>
      </c>
      <c r="Q929">
        <v>2015</v>
      </c>
      <c r="R929" s="2">
        <v>42282</v>
      </c>
      <c r="S929" s="2">
        <v>42283</v>
      </c>
      <c r="T929" s="2">
        <v>42282</v>
      </c>
      <c r="U929" s="2">
        <v>42342</v>
      </c>
      <c r="V929" t="s">
        <v>71</v>
      </c>
      <c r="W929" t="str">
        <f>"            15153311"</f>
        <v xml:space="preserve">            15153311</v>
      </c>
      <c r="X929">
        <v>451.88</v>
      </c>
      <c r="Y929">
        <v>0</v>
      </c>
      <c r="Z929" s="3">
        <v>434.5</v>
      </c>
      <c r="AA929">
        <v>305</v>
      </c>
      <c r="AB929" s="5">
        <v>132522.5</v>
      </c>
      <c r="AC929">
        <v>434.5</v>
      </c>
      <c r="AD929">
        <v>305</v>
      </c>
      <c r="AE929" s="1">
        <v>132522.5</v>
      </c>
      <c r="AF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 s="2">
        <v>42746</v>
      </c>
      <c r="AQ929" t="s">
        <v>72</v>
      </c>
      <c r="AR929" t="s">
        <v>72</v>
      </c>
      <c r="AS929">
        <v>2621</v>
      </c>
      <c r="AT929" s="4">
        <v>42647</v>
      </c>
      <c r="AU929" t="s">
        <v>73</v>
      </c>
      <c r="AV929">
        <v>2621</v>
      </c>
      <c r="AW929" s="4">
        <v>42647</v>
      </c>
      <c r="BD929">
        <v>0</v>
      </c>
      <c r="BN929" t="s">
        <v>74</v>
      </c>
    </row>
    <row r="930" spans="1:66">
      <c r="A930">
        <v>100210</v>
      </c>
      <c r="B930" s="3" t="s">
        <v>141</v>
      </c>
      <c r="C930" s="1">
        <v>43300101</v>
      </c>
      <c r="D930" t="s">
        <v>67</v>
      </c>
      <c r="H930" t="str">
        <f t="shared" si="79"/>
        <v>08082461008</v>
      </c>
      <c r="I930" t="str">
        <f t="shared" si="79"/>
        <v>08082461008</v>
      </c>
      <c r="K930" t="str">
        <f>""</f>
        <v/>
      </c>
      <c r="M930" t="s">
        <v>68</v>
      </c>
      <c r="N930" t="str">
        <f t="shared" si="77"/>
        <v>FOR</v>
      </c>
      <c r="O930" t="s">
        <v>69</v>
      </c>
      <c r="P930" s="3" t="s">
        <v>75</v>
      </c>
      <c r="Q930">
        <v>2015</v>
      </c>
      <c r="R930" s="2">
        <v>42282</v>
      </c>
      <c r="S930" s="2">
        <v>42283</v>
      </c>
      <c r="T930" s="2">
        <v>42283</v>
      </c>
      <c r="U930" s="2">
        <v>42343</v>
      </c>
      <c r="V930" t="s">
        <v>71</v>
      </c>
      <c r="W930" t="str">
        <f>"            15153312"</f>
        <v xml:space="preserve">            15153312</v>
      </c>
      <c r="X930">
        <v>451.88</v>
      </c>
      <c r="Y930">
        <v>0</v>
      </c>
      <c r="Z930" s="3">
        <v>434.5</v>
      </c>
      <c r="AA930">
        <v>304</v>
      </c>
      <c r="AB930" s="5">
        <v>132088</v>
      </c>
      <c r="AC930">
        <v>434.5</v>
      </c>
      <c r="AD930">
        <v>304</v>
      </c>
      <c r="AE930" s="1">
        <v>132088</v>
      </c>
      <c r="AF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 s="2">
        <v>42746</v>
      </c>
      <c r="AQ930" t="s">
        <v>72</v>
      </c>
      <c r="AR930" t="s">
        <v>72</v>
      </c>
      <c r="AS930">
        <v>2621</v>
      </c>
      <c r="AT930" s="4">
        <v>42647</v>
      </c>
      <c r="AU930" t="s">
        <v>73</v>
      </c>
      <c r="AV930">
        <v>2621</v>
      </c>
      <c r="AW930" s="4">
        <v>42647</v>
      </c>
      <c r="BD930">
        <v>0</v>
      </c>
      <c r="BN930" t="s">
        <v>74</v>
      </c>
    </row>
    <row r="931" spans="1:66">
      <c r="A931">
        <v>100210</v>
      </c>
      <c r="B931" s="3" t="s">
        <v>141</v>
      </c>
      <c r="C931" s="1">
        <v>43300101</v>
      </c>
      <c r="D931" t="s">
        <v>67</v>
      </c>
      <c r="H931" t="str">
        <f t="shared" si="79"/>
        <v>08082461008</v>
      </c>
      <c r="I931" t="str">
        <f t="shared" si="79"/>
        <v>08082461008</v>
      </c>
      <c r="K931" t="str">
        <f>""</f>
        <v/>
      </c>
      <c r="M931" t="s">
        <v>68</v>
      </c>
      <c r="N931" t="str">
        <f t="shared" si="77"/>
        <v>FOR</v>
      </c>
      <c r="O931" t="s">
        <v>69</v>
      </c>
      <c r="P931" s="3" t="s">
        <v>75</v>
      </c>
      <c r="Q931">
        <v>2015</v>
      </c>
      <c r="R931" s="2">
        <v>42282</v>
      </c>
      <c r="S931" s="2">
        <v>42283</v>
      </c>
      <c r="T931" s="2">
        <v>42282</v>
      </c>
      <c r="U931" s="2">
        <v>42342</v>
      </c>
      <c r="V931" t="s">
        <v>71</v>
      </c>
      <c r="W931" t="str">
        <f>"            15153313"</f>
        <v xml:space="preserve">            15153313</v>
      </c>
      <c r="X931">
        <v>451.88</v>
      </c>
      <c r="Y931">
        <v>0</v>
      </c>
      <c r="Z931" s="3">
        <v>434.5</v>
      </c>
      <c r="AA931">
        <v>305</v>
      </c>
      <c r="AB931" s="5">
        <v>132522.5</v>
      </c>
      <c r="AC931">
        <v>434.5</v>
      </c>
      <c r="AD931">
        <v>305</v>
      </c>
      <c r="AE931" s="1">
        <v>132522.5</v>
      </c>
      <c r="AF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 s="2">
        <v>42746</v>
      </c>
      <c r="AQ931" t="s">
        <v>72</v>
      </c>
      <c r="AR931" t="s">
        <v>72</v>
      </c>
      <c r="AS931">
        <v>2621</v>
      </c>
      <c r="AT931" s="4">
        <v>42647</v>
      </c>
      <c r="AU931" t="s">
        <v>73</v>
      </c>
      <c r="AV931">
        <v>2621</v>
      </c>
      <c r="AW931" s="4">
        <v>42647</v>
      </c>
      <c r="BD931">
        <v>0</v>
      </c>
      <c r="BN931" t="s">
        <v>74</v>
      </c>
    </row>
    <row r="932" spans="1:66">
      <c r="A932">
        <v>100210</v>
      </c>
      <c r="B932" s="3" t="s">
        <v>141</v>
      </c>
      <c r="C932" s="1">
        <v>43300101</v>
      </c>
      <c r="D932" t="s">
        <v>67</v>
      </c>
      <c r="H932" t="str">
        <f t="shared" si="79"/>
        <v>08082461008</v>
      </c>
      <c r="I932" t="str">
        <f t="shared" si="79"/>
        <v>08082461008</v>
      </c>
      <c r="K932" t="str">
        <f>""</f>
        <v/>
      </c>
      <c r="M932" t="s">
        <v>68</v>
      </c>
      <c r="N932" t="str">
        <f t="shared" si="77"/>
        <v>FOR</v>
      </c>
      <c r="O932" t="s">
        <v>69</v>
      </c>
      <c r="P932" s="3" t="s">
        <v>75</v>
      </c>
      <c r="Q932">
        <v>2015</v>
      </c>
      <c r="R932" s="2">
        <v>42282</v>
      </c>
      <c r="S932" s="2">
        <v>42283</v>
      </c>
      <c r="T932" s="2">
        <v>42283</v>
      </c>
      <c r="U932" s="2">
        <v>42343</v>
      </c>
      <c r="V932" t="s">
        <v>71</v>
      </c>
      <c r="W932" t="str">
        <f>"            15153314"</f>
        <v xml:space="preserve">            15153314</v>
      </c>
      <c r="X932">
        <v>451.88</v>
      </c>
      <c r="Y932">
        <v>0</v>
      </c>
      <c r="Z932" s="3">
        <v>434.5</v>
      </c>
      <c r="AA932">
        <v>304</v>
      </c>
      <c r="AB932" s="5">
        <v>132088</v>
      </c>
      <c r="AC932">
        <v>434.5</v>
      </c>
      <c r="AD932">
        <v>304</v>
      </c>
      <c r="AE932" s="1">
        <v>132088</v>
      </c>
      <c r="AF932">
        <v>0</v>
      </c>
      <c r="AJ932">
        <v>0</v>
      </c>
      <c r="AK932">
        <v>0</v>
      </c>
      <c r="AL932">
        <v>0</v>
      </c>
      <c r="AM932">
        <v>0</v>
      </c>
      <c r="AN932">
        <v>0</v>
      </c>
      <c r="AO932">
        <v>0</v>
      </c>
      <c r="AP932" s="2">
        <v>42746</v>
      </c>
      <c r="AQ932" t="s">
        <v>72</v>
      </c>
      <c r="AR932" t="s">
        <v>72</v>
      </c>
      <c r="AS932">
        <v>2621</v>
      </c>
      <c r="AT932" s="4">
        <v>42647</v>
      </c>
      <c r="AU932" t="s">
        <v>73</v>
      </c>
      <c r="AV932">
        <v>2621</v>
      </c>
      <c r="AW932" s="4">
        <v>42647</v>
      </c>
      <c r="BD932">
        <v>0</v>
      </c>
      <c r="BN932" t="s">
        <v>74</v>
      </c>
    </row>
    <row r="933" spans="1:66">
      <c r="A933">
        <v>100210</v>
      </c>
      <c r="B933" s="3" t="s">
        <v>141</v>
      </c>
      <c r="C933" s="1">
        <v>43300101</v>
      </c>
      <c r="D933" t="s">
        <v>67</v>
      </c>
      <c r="H933" t="str">
        <f t="shared" si="79"/>
        <v>08082461008</v>
      </c>
      <c r="I933" t="str">
        <f t="shared" si="79"/>
        <v>08082461008</v>
      </c>
      <c r="K933" t="str">
        <f>""</f>
        <v/>
      </c>
      <c r="M933" t="s">
        <v>68</v>
      </c>
      <c r="N933" t="str">
        <f t="shared" si="77"/>
        <v>FOR</v>
      </c>
      <c r="O933" t="s">
        <v>69</v>
      </c>
      <c r="P933" s="3" t="s">
        <v>75</v>
      </c>
      <c r="Q933">
        <v>2015</v>
      </c>
      <c r="R933" s="2">
        <v>42282</v>
      </c>
      <c r="S933" s="2">
        <v>42283</v>
      </c>
      <c r="T933" s="2">
        <v>42282</v>
      </c>
      <c r="U933" s="2">
        <v>42342</v>
      </c>
      <c r="V933" t="s">
        <v>71</v>
      </c>
      <c r="W933" t="str">
        <f>"            15153315"</f>
        <v xml:space="preserve">            15153315</v>
      </c>
      <c r="X933">
        <v>45.76</v>
      </c>
      <c r="Y933">
        <v>0</v>
      </c>
      <c r="Z933" s="3">
        <v>44</v>
      </c>
      <c r="AA933">
        <v>305</v>
      </c>
      <c r="AB933" s="5">
        <v>13420</v>
      </c>
      <c r="AC933">
        <v>44</v>
      </c>
      <c r="AD933">
        <v>305</v>
      </c>
      <c r="AE933" s="1">
        <v>13420</v>
      </c>
      <c r="AF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 s="2">
        <v>42746</v>
      </c>
      <c r="AQ933" t="s">
        <v>72</v>
      </c>
      <c r="AR933" t="s">
        <v>72</v>
      </c>
      <c r="AS933">
        <v>2621</v>
      </c>
      <c r="AT933" s="4">
        <v>42647</v>
      </c>
      <c r="AU933" t="s">
        <v>73</v>
      </c>
      <c r="AV933">
        <v>2621</v>
      </c>
      <c r="AW933" s="4">
        <v>42647</v>
      </c>
      <c r="BD933">
        <v>0</v>
      </c>
      <c r="BN933" t="s">
        <v>74</v>
      </c>
    </row>
    <row r="934" spans="1:66">
      <c r="A934">
        <v>100210</v>
      </c>
      <c r="B934" s="3" t="s">
        <v>141</v>
      </c>
      <c r="C934" s="1">
        <v>43300101</v>
      </c>
      <c r="D934" t="s">
        <v>67</v>
      </c>
      <c r="H934" t="str">
        <f t="shared" si="79"/>
        <v>08082461008</v>
      </c>
      <c r="I934" t="str">
        <f t="shared" si="79"/>
        <v>08082461008</v>
      </c>
      <c r="K934" t="str">
        <f>""</f>
        <v/>
      </c>
      <c r="M934" t="s">
        <v>68</v>
      </c>
      <c r="N934" t="str">
        <f t="shared" si="77"/>
        <v>FOR</v>
      </c>
      <c r="O934" t="s">
        <v>69</v>
      </c>
      <c r="P934" s="3" t="s">
        <v>75</v>
      </c>
      <c r="Q934">
        <v>2015</v>
      </c>
      <c r="R934" s="2">
        <v>42282</v>
      </c>
      <c r="S934" s="2">
        <v>42283</v>
      </c>
      <c r="T934" s="2">
        <v>42282</v>
      </c>
      <c r="U934" s="2">
        <v>42342</v>
      </c>
      <c r="V934" t="s">
        <v>71</v>
      </c>
      <c r="W934" t="str">
        <f>"            15153316"</f>
        <v xml:space="preserve">            15153316</v>
      </c>
      <c r="X934">
        <v>45.76</v>
      </c>
      <c r="Y934">
        <v>0</v>
      </c>
      <c r="Z934" s="3">
        <v>44</v>
      </c>
      <c r="AA934">
        <v>305</v>
      </c>
      <c r="AB934" s="5">
        <v>13420</v>
      </c>
      <c r="AC934">
        <v>44</v>
      </c>
      <c r="AD934">
        <v>305</v>
      </c>
      <c r="AE934" s="1">
        <v>13420</v>
      </c>
      <c r="AF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 s="2">
        <v>42746</v>
      </c>
      <c r="AQ934" t="s">
        <v>72</v>
      </c>
      <c r="AR934" t="s">
        <v>72</v>
      </c>
      <c r="AS934">
        <v>2621</v>
      </c>
      <c r="AT934" s="4">
        <v>42647</v>
      </c>
      <c r="AU934" t="s">
        <v>73</v>
      </c>
      <c r="AV934">
        <v>2621</v>
      </c>
      <c r="AW934" s="4">
        <v>42647</v>
      </c>
      <c r="BD934">
        <v>0</v>
      </c>
      <c r="BN934" t="s">
        <v>74</v>
      </c>
    </row>
    <row r="935" spans="1:66">
      <c r="A935">
        <v>100210</v>
      </c>
      <c r="B935" s="3" t="s">
        <v>141</v>
      </c>
      <c r="C935" s="1">
        <v>43300101</v>
      </c>
      <c r="D935" t="s">
        <v>67</v>
      </c>
      <c r="H935" t="str">
        <f t="shared" si="79"/>
        <v>08082461008</v>
      </c>
      <c r="I935" t="str">
        <f t="shared" si="79"/>
        <v>08082461008</v>
      </c>
      <c r="K935" t="str">
        <f>""</f>
        <v/>
      </c>
      <c r="M935" t="s">
        <v>68</v>
      </c>
      <c r="N935" t="str">
        <f t="shared" si="77"/>
        <v>FOR</v>
      </c>
      <c r="O935" t="s">
        <v>69</v>
      </c>
      <c r="P935" s="3" t="s">
        <v>75</v>
      </c>
      <c r="Q935">
        <v>2015</v>
      </c>
      <c r="R935" s="2">
        <v>42282</v>
      </c>
      <c r="S935" s="2">
        <v>42283</v>
      </c>
      <c r="T935" s="2">
        <v>42282</v>
      </c>
      <c r="U935" s="2">
        <v>42342</v>
      </c>
      <c r="V935" t="s">
        <v>71</v>
      </c>
      <c r="W935" t="str">
        <f>"            15153317"</f>
        <v xml:space="preserve">            15153317</v>
      </c>
      <c r="X935">
        <v>45.76</v>
      </c>
      <c r="Y935">
        <v>0</v>
      </c>
      <c r="Z935" s="3">
        <v>44</v>
      </c>
      <c r="AA935">
        <v>305</v>
      </c>
      <c r="AB935" s="5">
        <v>13420</v>
      </c>
      <c r="AC935">
        <v>44</v>
      </c>
      <c r="AD935">
        <v>305</v>
      </c>
      <c r="AE935" s="1">
        <v>13420</v>
      </c>
      <c r="AF935">
        <v>0</v>
      </c>
      <c r="AJ935">
        <v>0</v>
      </c>
      <c r="AK935">
        <v>0</v>
      </c>
      <c r="AL935">
        <v>0</v>
      </c>
      <c r="AM935">
        <v>0</v>
      </c>
      <c r="AN935">
        <v>0</v>
      </c>
      <c r="AO935">
        <v>0</v>
      </c>
      <c r="AP935" s="2">
        <v>42746</v>
      </c>
      <c r="AQ935" t="s">
        <v>72</v>
      </c>
      <c r="AR935" t="s">
        <v>72</v>
      </c>
      <c r="AS935">
        <v>2621</v>
      </c>
      <c r="AT935" s="4">
        <v>42647</v>
      </c>
      <c r="AU935" t="s">
        <v>73</v>
      </c>
      <c r="AV935">
        <v>2621</v>
      </c>
      <c r="AW935" s="4">
        <v>42647</v>
      </c>
      <c r="BD935">
        <v>0</v>
      </c>
      <c r="BN935" t="s">
        <v>74</v>
      </c>
    </row>
    <row r="936" spans="1:66">
      <c r="A936">
        <v>100210</v>
      </c>
      <c r="B936" s="3" t="s">
        <v>141</v>
      </c>
      <c r="C936" s="1">
        <v>43300101</v>
      </c>
      <c r="D936" t="s">
        <v>67</v>
      </c>
      <c r="H936" t="str">
        <f t="shared" si="79"/>
        <v>08082461008</v>
      </c>
      <c r="I936" t="str">
        <f t="shared" si="79"/>
        <v>08082461008</v>
      </c>
      <c r="K936" t="str">
        <f>""</f>
        <v/>
      </c>
      <c r="M936" t="s">
        <v>68</v>
      </c>
      <c r="N936" t="str">
        <f t="shared" si="77"/>
        <v>FOR</v>
      </c>
      <c r="O936" t="s">
        <v>69</v>
      </c>
      <c r="P936" s="3" t="s">
        <v>75</v>
      </c>
      <c r="Q936">
        <v>2015</v>
      </c>
      <c r="R936" s="2">
        <v>42282</v>
      </c>
      <c r="S936" s="2">
        <v>42283</v>
      </c>
      <c r="T936" s="2">
        <v>42282</v>
      </c>
      <c r="U936" s="2">
        <v>42342</v>
      </c>
      <c r="V936" t="s">
        <v>71</v>
      </c>
      <c r="W936" t="str">
        <f>"            15153318"</f>
        <v xml:space="preserve">            15153318</v>
      </c>
      <c r="X936">
        <v>45.76</v>
      </c>
      <c r="Y936">
        <v>0</v>
      </c>
      <c r="Z936" s="3">
        <v>44</v>
      </c>
      <c r="AA936">
        <v>305</v>
      </c>
      <c r="AB936" s="5">
        <v>13420</v>
      </c>
      <c r="AC936">
        <v>44</v>
      </c>
      <c r="AD936">
        <v>305</v>
      </c>
      <c r="AE936" s="1">
        <v>13420</v>
      </c>
      <c r="AF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 s="2">
        <v>42746</v>
      </c>
      <c r="AQ936" t="s">
        <v>72</v>
      </c>
      <c r="AR936" t="s">
        <v>72</v>
      </c>
      <c r="AS936">
        <v>2621</v>
      </c>
      <c r="AT936" s="4">
        <v>42647</v>
      </c>
      <c r="AU936" t="s">
        <v>73</v>
      </c>
      <c r="AV936">
        <v>2621</v>
      </c>
      <c r="AW936" s="4">
        <v>42647</v>
      </c>
      <c r="BD936">
        <v>0</v>
      </c>
      <c r="BN936" t="s">
        <v>74</v>
      </c>
    </row>
    <row r="937" spans="1:66">
      <c r="A937">
        <v>100210</v>
      </c>
      <c r="B937" s="3" t="s">
        <v>141</v>
      </c>
      <c r="C937" s="1">
        <v>43300101</v>
      </c>
      <c r="D937" t="s">
        <v>67</v>
      </c>
      <c r="H937" t="str">
        <f t="shared" ref="H937:I956" si="80">"08082461008"</f>
        <v>08082461008</v>
      </c>
      <c r="I937" t="str">
        <f t="shared" si="80"/>
        <v>08082461008</v>
      </c>
      <c r="K937" t="str">
        <f>""</f>
        <v/>
      </c>
      <c r="M937" t="s">
        <v>68</v>
      </c>
      <c r="N937" t="str">
        <f t="shared" si="77"/>
        <v>FOR</v>
      </c>
      <c r="O937" t="s">
        <v>69</v>
      </c>
      <c r="P937" s="3" t="s">
        <v>75</v>
      </c>
      <c r="Q937">
        <v>2015</v>
      </c>
      <c r="R937" s="2">
        <v>42282</v>
      </c>
      <c r="S937" s="2">
        <v>42283</v>
      </c>
      <c r="T937" s="2">
        <v>42283</v>
      </c>
      <c r="U937" s="2">
        <v>42343</v>
      </c>
      <c r="V937" t="s">
        <v>71</v>
      </c>
      <c r="W937" t="str">
        <f>"            15153319"</f>
        <v xml:space="preserve">            15153319</v>
      </c>
      <c r="X937">
        <v>45.76</v>
      </c>
      <c r="Y937">
        <v>0</v>
      </c>
      <c r="Z937" s="3">
        <v>44</v>
      </c>
      <c r="AA937">
        <v>304</v>
      </c>
      <c r="AB937" s="5">
        <v>13376</v>
      </c>
      <c r="AC937">
        <v>44</v>
      </c>
      <c r="AD937">
        <v>304</v>
      </c>
      <c r="AE937" s="1">
        <v>13376</v>
      </c>
      <c r="AF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 s="2">
        <v>42746</v>
      </c>
      <c r="AQ937" t="s">
        <v>72</v>
      </c>
      <c r="AR937" t="s">
        <v>72</v>
      </c>
      <c r="AS937">
        <v>2621</v>
      </c>
      <c r="AT937" s="4">
        <v>42647</v>
      </c>
      <c r="AU937" t="s">
        <v>73</v>
      </c>
      <c r="AV937">
        <v>2621</v>
      </c>
      <c r="AW937" s="4">
        <v>42647</v>
      </c>
      <c r="BD937">
        <v>0</v>
      </c>
      <c r="BN937" t="s">
        <v>74</v>
      </c>
    </row>
    <row r="938" spans="1:66">
      <c r="A938">
        <v>100210</v>
      </c>
      <c r="B938" s="3" t="s">
        <v>141</v>
      </c>
      <c r="C938" s="1">
        <v>43300101</v>
      </c>
      <c r="D938" t="s">
        <v>67</v>
      </c>
      <c r="H938" t="str">
        <f t="shared" si="80"/>
        <v>08082461008</v>
      </c>
      <c r="I938" t="str">
        <f t="shared" si="80"/>
        <v>08082461008</v>
      </c>
      <c r="K938" t="str">
        <f>""</f>
        <v/>
      </c>
      <c r="M938" t="s">
        <v>68</v>
      </c>
      <c r="N938" t="str">
        <f t="shared" si="77"/>
        <v>FOR</v>
      </c>
      <c r="O938" t="s">
        <v>69</v>
      </c>
      <c r="P938" s="3" t="s">
        <v>75</v>
      </c>
      <c r="Q938">
        <v>2015</v>
      </c>
      <c r="R938" s="2">
        <v>42282</v>
      </c>
      <c r="S938" s="2">
        <v>42283</v>
      </c>
      <c r="T938" s="2">
        <v>42282</v>
      </c>
      <c r="U938" s="2">
        <v>42342</v>
      </c>
      <c r="V938" t="s">
        <v>71</v>
      </c>
      <c r="W938" t="str">
        <f>"            15153320"</f>
        <v xml:space="preserve">            15153320</v>
      </c>
      <c r="X938">
        <v>45.76</v>
      </c>
      <c r="Y938">
        <v>0</v>
      </c>
      <c r="Z938" s="3">
        <v>44</v>
      </c>
      <c r="AA938">
        <v>305</v>
      </c>
      <c r="AB938" s="5">
        <v>13420</v>
      </c>
      <c r="AC938">
        <v>44</v>
      </c>
      <c r="AD938">
        <v>305</v>
      </c>
      <c r="AE938" s="1">
        <v>13420</v>
      </c>
      <c r="AF938">
        <v>0</v>
      </c>
      <c r="AJ938">
        <v>0</v>
      </c>
      <c r="AK938">
        <v>0</v>
      </c>
      <c r="AL938">
        <v>0</v>
      </c>
      <c r="AM938">
        <v>0</v>
      </c>
      <c r="AN938">
        <v>0</v>
      </c>
      <c r="AO938">
        <v>0</v>
      </c>
      <c r="AP938" s="2">
        <v>42746</v>
      </c>
      <c r="AQ938" t="s">
        <v>72</v>
      </c>
      <c r="AR938" t="s">
        <v>72</v>
      </c>
      <c r="AS938">
        <v>2621</v>
      </c>
      <c r="AT938" s="4">
        <v>42647</v>
      </c>
      <c r="AU938" t="s">
        <v>73</v>
      </c>
      <c r="AV938">
        <v>2621</v>
      </c>
      <c r="AW938" s="4">
        <v>42647</v>
      </c>
      <c r="BD938">
        <v>0</v>
      </c>
      <c r="BN938" t="s">
        <v>74</v>
      </c>
    </row>
    <row r="939" spans="1:66">
      <c r="A939">
        <v>100210</v>
      </c>
      <c r="B939" s="3" t="s">
        <v>141</v>
      </c>
      <c r="C939" s="1">
        <v>43300101</v>
      </c>
      <c r="D939" t="s">
        <v>67</v>
      </c>
      <c r="H939" t="str">
        <f t="shared" si="80"/>
        <v>08082461008</v>
      </c>
      <c r="I939" t="str">
        <f t="shared" si="80"/>
        <v>08082461008</v>
      </c>
      <c r="K939" t="str">
        <f>""</f>
        <v/>
      </c>
      <c r="M939" t="s">
        <v>68</v>
      </c>
      <c r="N939" t="str">
        <f t="shared" si="77"/>
        <v>FOR</v>
      </c>
      <c r="O939" t="s">
        <v>69</v>
      </c>
      <c r="P939" s="3" t="s">
        <v>75</v>
      </c>
      <c r="Q939">
        <v>2015</v>
      </c>
      <c r="R939" s="2">
        <v>42282</v>
      </c>
      <c r="S939" s="2">
        <v>42283</v>
      </c>
      <c r="T939" s="2">
        <v>42283</v>
      </c>
      <c r="U939" s="2">
        <v>42343</v>
      </c>
      <c r="V939" t="s">
        <v>71</v>
      </c>
      <c r="W939" t="str">
        <f>"            15153321"</f>
        <v xml:space="preserve">            15153321</v>
      </c>
      <c r="X939">
        <v>114.4</v>
      </c>
      <c r="Y939">
        <v>0</v>
      </c>
      <c r="Z939" s="3">
        <v>110</v>
      </c>
      <c r="AA939">
        <v>304</v>
      </c>
      <c r="AB939" s="5">
        <v>33440</v>
      </c>
      <c r="AC939">
        <v>110</v>
      </c>
      <c r="AD939">
        <v>304</v>
      </c>
      <c r="AE939" s="1">
        <v>33440</v>
      </c>
      <c r="AF939">
        <v>0</v>
      </c>
      <c r="AJ939">
        <v>0</v>
      </c>
      <c r="AK939">
        <v>0</v>
      </c>
      <c r="AL939">
        <v>0</v>
      </c>
      <c r="AM939">
        <v>0</v>
      </c>
      <c r="AN939">
        <v>0</v>
      </c>
      <c r="AO939">
        <v>0</v>
      </c>
      <c r="AP939" s="2">
        <v>42746</v>
      </c>
      <c r="AQ939" t="s">
        <v>72</v>
      </c>
      <c r="AR939" t="s">
        <v>72</v>
      </c>
      <c r="AS939">
        <v>2621</v>
      </c>
      <c r="AT939" s="4">
        <v>42647</v>
      </c>
      <c r="AU939" t="s">
        <v>73</v>
      </c>
      <c r="AV939">
        <v>2621</v>
      </c>
      <c r="AW939" s="4">
        <v>42647</v>
      </c>
      <c r="BD939">
        <v>0</v>
      </c>
      <c r="BN939" t="s">
        <v>74</v>
      </c>
    </row>
    <row r="940" spans="1:66">
      <c r="A940">
        <v>100210</v>
      </c>
      <c r="B940" s="3" t="s">
        <v>141</v>
      </c>
      <c r="C940" s="1">
        <v>43300101</v>
      </c>
      <c r="D940" t="s">
        <v>67</v>
      </c>
      <c r="H940" t="str">
        <f t="shared" si="80"/>
        <v>08082461008</v>
      </c>
      <c r="I940" t="str">
        <f t="shared" si="80"/>
        <v>08082461008</v>
      </c>
      <c r="K940" t="str">
        <f>""</f>
        <v/>
      </c>
      <c r="M940" t="s">
        <v>68</v>
      </c>
      <c r="N940" t="str">
        <f t="shared" si="77"/>
        <v>FOR</v>
      </c>
      <c r="O940" t="s">
        <v>69</v>
      </c>
      <c r="P940" s="3" t="s">
        <v>75</v>
      </c>
      <c r="Q940">
        <v>2015</v>
      </c>
      <c r="R940" s="2">
        <v>42282</v>
      </c>
      <c r="S940" s="2">
        <v>42283</v>
      </c>
      <c r="T940" s="2">
        <v>42282</v>
      </c>
      <c r="U940" s="2">
        <v>42342</v>
      </c>
      <c r="V940" t="s">
        <v>71</v>
      </c>
      <c r="W940" t="str">
        <f>"            15153322"</f>
        <v xml:space="preserve">            15153322</v>
      </c>
      <c r="X940">
        <v>114.4</v>
      </c>
      <c r="Y940">
        <v>0</v>
      </c>
      <c r="Z940" s="3">
        <v>110</v>
      </c>
      <c r="AA940">
        <v>305</v>
      </c>
      <c r="AB940" s="5">
        <v>33550</v>
      </c>
      <c r="AC940">
        <v>110</v>
      </c>
      <c r="AD940">
        <v>305</v>
      </c>
      <c r="AE940" s="1">
        <v>33550</v>
      </c>
      <c r="AF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 s="2">
        <v>42746</v>
      </c>
      <c r="AQ940" t="s">
        <v>72</v>
      </c>
      <c r="AR940" t="s">
        <v>72</v>
      </c>
      <c r="AS940">
        <v>2621</v>
      </c>
      <c r="AT940" s="4">
        <v>42647</v>
      </c>
      <c r="AU940" t="s">
        <v>73</v>
      </c>
      <c r="AV940">
        <v>2621</v>
      </c>
      <c r="AW940" s="4">
        <v>42647</v>
      </c>
      <c r="BD940">
        <v>0</v>
      </c>
      <c r="BN940" t="s">
        <v>74</v>
      </c>
    </row>
    <row r="941" spans="1:66">
      <c r="A941">
        <v>100210</v>
      </c>
      <c r="B941" s="3" t="s">
        <v>141</v>
      </c>
      <c r="C941" s="1">
        <v>43300101</v>
      </c>
      <c r="D941" t="s">
        <v>67</v>
      </c>
      <c r="H941" t="str">
        <f t="shared" si="80"/>
        <v>08082461008</v>
      </c>
      <c r="I941" t="str">
        <f t="shared" si="80"/>
        <v>08082461008</v>
      </c>
      <c r="K941" t="str">
        <f>""</f>
        <v/>
      </c>
      <c r="M941" t="s">
        <v>68</v>
      </c>
      <c r="N941" t="str">
        <f t="shared" si="77"/>
        <v>FOR</v>
      </c>
      <c r="O941" t="s">
        <v>69</v>
      </c>
      <c r="P941" s="3" t="s">
        <v>75</v>
      </c>
      <c r="Q941">
        <v>2015</v>
      </c>
      <c r="R941" s="2">
        <v>42289</v>
      </c>
      <c r="S941" s="2">
        <v>42291</v>
      </c>
      <c r="T941" s="2">
        <v>42289</v>
      </c>
      <c r="U941" s="2">
        <v>42349</v>
      </c>
      <c r="V941" t="s">
        <v>71</v>
      </c>
      <c r="W941" t="str">
        <f>"            15156148"</f>
        <v xml:space="preserve">            15156148</v>
      </c>
      <c r="X941">
        <v>451.88</v>
      </c>
      <c r="Y941">
        <v>0</v>
      </c>
      <c r="Z941" s="3">
        <v>434.5</v>
      </c>
      <c r="AA941">
        <v>298</v>
      </c>
      <c r="AB941" s="5">
        <v>129481</v>
      </c>
      <c r="AC941">
        <v>434.5</v>
      </c>
      <c r="AD941">
        <v>298</v>
      </c>
      <c r="AE941" s="1">
        <v>129481</v>
      </c>
      <c r="AF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 s="2">
        <v>42746</v>
      </c>
      <c r="AQ941" t="s">
        <v>72</v>
      </c>
      <c r="AR941" t="s">
        <v>72</v>
      </c>
      <c r="AS941">
        <v>2621</v>
      </c>
      <c r="AT941" s="4">
        <v>42647</v>
      </c>
      <c r="AU941" t="s">
        <v>73</v>
      </c>
      <c r="AV941">
        <v>2621</v>
      </c>
      <c r="AW941" s="4">
        <v>42647</v>
      </c>
      <c r="BD941">
        <v>0</v>
      </c>
      <c r="BN941" t="s">
        <v>74</v>
      </c>
    </row>
    <row r="942" spans="1:66">
      <c r="A942">
        <v>100210</v>
      </c>
      <c r="B942" s="3" t="s">
        <v>141</v>
      </c>
      <c r="C942" s="1">
        <v>43300101</v>
      </c>
      <c r="D942" t="s">
        <v>67</v>
      </c>
      <c r="H942" t="str">
        <f t="shared" si="80"/>
        <v>08082461008</v>
      </c>
      <c r="I942" t="str">
        <f t="shared" si="80"/>
        <v>08082461008</v>
      </c>
      <c r="K942" t="str">
        <f>""</f>
        <v/>
      </c>
      <c r="M942" t="s">
        <v>68</v>
      </c>
      <c r="N942" t="str">
        <f t="shared" ref="N942:N1005" si="81">"FOR"</f>
        <v>FOR</v>
      </c>
      <c r="O942" t="s">
        <v>69</v>
      </c>
      <c r="P942" s="3" t="s">
        <v>75</v>
      </c>
      <c r="Q942">
        <v>2015</v>
      </c>
      <c r="R942" s="2">
        <v>42289</v>
      </c>
      <c r="S942" s="2">
        <v>42291</v>
      </c>
      <c r="T942" s="2">
        <v>42289</v>
      </c>
      <c r="U942" s="2">
        <v>42349</v>
      </c>
      <c r="V942" t="s">
        <v>71</v>
      </c>
      <c r="W942" t="str">
        <f>"            15156149"</f>
        <v xml:space="preserve">            15156149</v>
      </c>
      <c r="X942">
        <v>451.88</v>
      </c>
      <c r="Y942">
        <v>0</v>
      </c>
      <c r="Z942" s="3">
        <v>434.5</v>
      </c>
      <c r="AA942">
        <v>298</v>
      </c>
      <c r="AB942" s="5">
        <v>129481</v>
      </c>
      <c r="AC942">
        <v>434.5</v>
      </c>
      <c r="AD942">
        <v>298</v>
      </c>
      <c r="AE942" s="1">
        <v>129481</v>
      </c>
      <c r="AF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 s="2">
        <v>42746</v>
      </c>
      <c r="AQ942" t="s">
        <v>72</v>
      </c>
      <c r="AR942" t="s">
        <v>72</v>
      </c>
      <c r="AS942">
        <v>2621</v>
      </c>
      <c r="AT942" s="4">
        <v>42647</v>
      </c>
      <c r="AU942" t="s">
        <v>73</v>
      </c>
      <c r="AV942">
        <v>2621</v>
      </c>
      <c r="AW942" s="4">
        <v>42647</v>
      </c>
      <c r="BD942">
        <v>0</v>
      </c>
      <c r="BN942" t="s">
        <v>74</v>
      </c>
    </row>
    <row r="943" spans="1:66">
      <c r="A943">
        <v>100210</v>
      </c>
      <c r="B943" s="3" t="s">
        <v>141</v>
      </c>
      <c r="C943" s="1">
        <v>43300101</v>
      </c>
      <c r="D943" t="s">
        <v>67</v>
      </c>
      <c r="H943" t="str">
        <f t="shared" si="80"/>
        <v>08082461008</v>
      </c>
      <c r="I943" t="str">
        <f t="shared" si="80"/>
        <v>08082461008</v>
      </c>
      <c r="K943" t="str">
        <f>""</f>
        <v/>
      </c>
      <c r="M943" t="s">
        <v>68</v>
      </c>
      <c r="N943" t="str">
        <f t="shared" si="81"/>
        <v>FOR</v>
      </c>
      <c r="O943" t="s">
        <v>69</v>
      </c>
      <c r="P943" s="3" t="s">
        <v>75</v>
      </c>
      <c r="Q943">
        <v>2015</v>
      </c>
      <c r="R943" s="2">
        <v>42289</v>
      </c>
      <c r="S943" s="2">
        <v>42291</v>
      </c>
      <c r="T943" s="2">
        <v>42289</v>
      </c>
      <c r="U943" s="2">
        <v>42349</v>
      </c>
      <c r="V943" t="s">
        <v>71</v>
      </c>
      <c r="W943" t="str">
        <f>"            15156158"</f>
        <v xml:space="preserve">            15156158</v>
      </c>
      <c r="X943">
        <v>451.88</v>
      </c>
      <c r="Y943">
        <v>0</v>
      </c>
      <c r="Z943" s="3">
        <v>434.5</v>
      </c>
      <c r="AA943">
        <v>298</v>
      </c>
      <c r="AB943" s="5">
        <v>129481</v>
      </c>
      <c r="AC943">
        <v>434.5</v>
      </c>
      <c r="AD943">
        <v>298</v>
      </c>
      <c r="AE943" s="1">
        <v>129481</v>
      </c>
      <c r="AF943">
        <v>0</v>
      </c>
      <c r="AJ943">
        <v>0</v>
      </c>
      <c r="AK943">
        <v>0</v>
      </c>
      <c r="AL943">
        <v>0</v>
      </c>
      <c r="AM943">
        <v>0</v>
      </c>
      <c r="AN943">
        <v>0</v>
      </c>
      <c r="AO943">
        <v>0</v>
      </c>
      <c r="AP943" s="2">
        <v>42746</v>
      </c>
      <c r="AQ943" t="s">
        <v>72</v>
      </c>
      <c r="AR943" t="s">
        <v>72</v>
      </c>
      <c r="AS943">
        <v>2621</v>
      </c>
      <c r="AT943" s="4">
        <v>42647</v>
      </c>
      <c r="AU943" t="s">
        <v>73</v>
      </c>
      <c r="AV943">
        <v>2621</v>
      </c>
      <c r="AW943" s="4">
        <v>42647</v>
      </c>
      <c r="BD943">
        <v>0</v>
      </c>
      <c r="BN943" t="s">
        <v>74</v>
      </c>
    </row>
    <row r="944" spans="1:66">
      <c r="A944">
        <v>100210</v>
      </c>
      <c r="B944" s="3" t="s">
        <v>141</v>
      </c>
      <c r="C944" s="1">
        <v>43300101</v>
      </c>
      <c r="D944" t="s">
        <v>67</v>
      </c>
      <c r="H944" t="str">
        <f t="shared" si="80"/>
        <v>08082461008</v>
      </c>
      <c r="I944" t="str">
        <f t="shared" si="80"/>
        <v>08082461008</v>
      </c>
      <c r="K944" t="str">
        <f>""</f>
        <v/>
      </c>
      <c r="M944" t="s">
        <v>68</v>
      </c>
      <c r="N944" t="str">
        <f t="shared" si="81"/>
        <v>FOR</v>
      </c>
      <c r="O944" t="s">
        <v>69</v>
      </c>
      <c r="P944" s="3" t="s">
        <v>75</v>
      </c>
      <c r="Q944">
        <v>2015</v>
      </c>
      <c r="R944" s="2">
        <v>42289</v>
      </c>
      <c r="S944" s="2">
        <v>42291</v>
      </c>
      <c r="T944" s="2">
        <v>42289</v>
      </c>
      <c r="U944" s="2">
        <v>42349</v>
      </c>
      <c r="V944" t="s">
        <v>71</v>
      </c>
      <c r="W944" t="str">
        <f>"            15156159"</f>
        <v xml:space="preserve">            15156159</v>
      </c>
      <c r="X944">
        <v>451.88</v>
      </c>
      <c r="Y944">
        <v>0</v>
      </c>
      <c r="Z944" s="3">
        <v>434.5</v>
      </c>
      <c r="AA944">
        <v>298</v>
      </c>
      <c r="AB944" s="5">
        <v>129481</v>
      </c>
      <c r="AC944">
        <v>434.5</v>
      </c>
      <c r="AD944">
        <v>298</v>
      </c>
      <c r="AE944" s="1">
        <v>129481</v>
      </c>
      <c r="AF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 s="2">
        <v>42746</v>
      </c>
      <c r="AQ944" t="s">
        <v>72</v>
      </c>
      <c r="AR944" t="s">
        <v>72</v>
      </c>
      <c r="AS944">
        <v>2621</v>
      </c>
      <c r="AT944" s="4">
        <v>42647</v>
      </c>
      <c r="AU944" t="s">
        <v>73</v>
      </c>
      <c r="AV944">
        <v>2621</v>
      </c>
      <c r="AW944" s="4">
        <v>42647</v>
      </c>
      <c r="BD944">
        <v>0</v>
      </c>
      <c r="BN944" t="s">
        <v>74</v>
      </c>
    </row>
    <row r="945" spans="1:66">
      <c r="A945">
        <v>100210</v>
      </c>
      <c r="B945" s="3" t="s">
        <v>141</v>
      </c>
      <c r="C945" s="1">
        <v>43300101</v>
      </c>
      <c r="D945" t="s">
        <v>67</v>
      </c>
      <c r="H945" t="str">
        <f t="shared" si="80"/>
        <v>08082461008</v>
      </c>
      <c r="I945" t="str">
        <f t="shared" si="80"/>
        <v>08082461008</v>
      </c>
      <c r="K945" t="str">
        <f>""</f>
        <v/>
      </c>
      <c r="M945" t="s">
        <v>68</v>
      </c>
      <c r="N945" t="str">
        <f t="shared" si="81"/>
        <v>FOR</v>
      </c>
      <c r="O945" t="s">
        <v>69</v>
      </c>
      <c r="P945" s="3" t="s">
        <v>75</v>
      </c>
      <c r="Q945">
        <v>2015</v>
      </c>
      <c r="R945" s="2">
        <v>42289</v>
      </c>
      <c r="S945" s="2">
        <v>42291</v>
      </c>
      <c r="T945" s="2">
        <v>42289</v>
      </c>
      <c r="U945" s="2">
        <v>42349</v>
      </c>
      <c r="V945" t="s">
        <v>71</v>
      </c>
      <c r="W945" t="str">
        <f>"            15156160"</f>
        <v xml:space="preserve">            15156160</v>
      </c>
      <c r="X945">
        <v>45.76</v>
      </c>
      <c r="Y945">
        <v>0</v>
      </c>
      <c r="Z945" s="3">
        <v>44</v>
      </c>
      <c r="AA945">
        <v>298</v>
      </c>
      <c r="AB945" s="5">
        <v>13112</v>
      </c>
      <c r="AC945">
        <v>44</v>
      </c>
      <c r="AD945">
        <v>298</v>
      </c>
      <c r="AE945" s="1">
        <v>13112</v>
      </c>
      <c r="AF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 s="2">
        <v>42746</v>
      </c>
      <c r="AQ945" t="s">
        <v>72</v>
      </c>
      <c r="AR945" t="s">
        <v>72</v>
      </c>
      <c r="AS945">
        <v>2621</v>
      </c>
      <c r="AT945" s="4">
        <v>42647</v>
      </c>
      <c r="AU945" t="s">
        <v>73</v>
      </c>
      <c r="AV945">
        <v>2621</v>
      </c>
      <c r="AW945" s="4">
        <v>42647</v>
      </c>
      <c r="BD945">
        <v>0</v>
      </c>
      <c r="BN945" t="s">
        <v>74</v>
      </c>
    </row>
    <row r="946" spans="1:66">
      <c r="A946">
        <v>100210</v>
      </c>
      <c r="B946" s="3" t="s">
        <v>141</v>
      </c>
      <c r="C946" s="1">
        <v>43300101</v>
      </c>
      <c r="D946" t="s">
        <v>67</v>
      </c>
      <c r="H946" t="str">
        <f t="shared" si="80"/>
        <v>08082461008</v>
      </c>
      <c r="I946" t="str">
        <f t="shared" si="80"/>
        <v>08082461008</v>
      </c>
      <c r="K946" t="str">
        <f>""</f>
        <v/>
      </c>
      <c r="M946" t="s">
        <v>68</v>
      </c>
      <c r="N946" t="str">
        <f t="shared" si="81"/>
        <v>FOR</v>
      </c>
      <c r="O946" t="s">
        <v>69</v>
      </c>
      <c r="P946" s="3" t="s">
        <v>75</v>
      </c>
      <c r="Q946">
        <v>2015</v>
      </c>
      <c r="R946" s="2">
        <v>42289</v>
      </c>
      <c r="S946" s="2">
        <v>42291</v>
      </c>
      <c r="T946" s="2">
        <v>42289</v>
      </c>
      <c r="U946" s="2">
        <v>42349</v>
      </c>
      <c r="V946" t="s">
        <v>71</v>
      </c>
      <c r="W946" t="str">
        <f>"            15156161"</f>
        <v xml:space="preserve">            15156161</v>
      </c>
      <c r="X946">
        <v>45.76</v>
      </c>
      <c r="Y946">
        <v>0</v>
      </c>
      <c r="Z946" s="3">
        <v>44</v>
      </c>
      <c r="AA946">
        <v>298</v>
      </c>
      <c r="AB946" s="5">
        <v>13112</v>
      </c>
      <c r="AC946">
        <v>44</v>
      </c>
      <c r="AD946">
        <v>298</v>
      </c>
      <c r="AE946" s="1">
        <v>13112</v>
      </c>
      <c r="AF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 s="2">
        <v>42746</v>
      </c>
      <c r="AQ946" t="s">
        <v>72</v>
      </c>
      <c r="AR946" t="s">
        <v>72</v>
      </c>
      <c r="AS946">
        <v>2621</v>
      </c>
      <c r="AT946" s="4">
        <v>42647</v>
      </c>
      <c r="AU946" t="s">
        <v>73</v>
      </c>
      <c r="AV946">
        <v>2621</v>
      </c>
      <c r="AW946" s="4">
        <v>42647</v>
      </c>
      <c r="BD946">
        <v>0</v>
      </c>
      <c r="BN946" t="s">
        <v>74</v>
      </c>
    </row>
    <row r="947" spans="1:66">
      <c r="A947">
        <v>100210</v>
      </c>
      <c r="B947" s="3" t="s">
        <v>141</v>
      </c>
      <c r="C947" s="1">
        <v>43300101</v>
      </c>
      <c r="D947" t="s">
        <v>67</v>
      </c>
      <c r="H947" t="str">
        <f t="shared" si="80"/>
        <v>08082461008</v>
      </c>
      <c r="I947" t="str">
        <f t="shared" si="80"/>
        <v>08082461008</v>
      </c>
      <c r="K947" t="str">
        <f>""</f>
        <v/>
      </c>
      <c r="M947" t="s">
        <v>68</v>
      </c>
      <c r="N947" t="str">
        <f t="shared" si="81"/>
        <v>FOR</v>
      </c>
      <c r="O947" t="s">
        <v>69</v>
      </c>
      <c r="P947" s="3" t="s">
        <v>75</v>
      </c>
      <c r="Q947">
        <v>2015</v>
      </c>
      <c r="R947" s="2">
        <v>42289</v>
      </c>
      <c r="S947" s="2">
        <v>42291</v>
      </c>
      <c r="T947" s="2">
        <v>42289</v>
      </c>
      <c r="U947" s="2">
        <v>42349</v>
      </c>
      <c r="V947" t="s">
        <v>71</v>
      </c>
      <c r="W947" t="str">
        <f>"            15156163"</f>
        <v xml:space="preserve">            15156163</v>
      </c>
      <c r="X947">
        <v>45.76</v>
      </c>
      <c r="Y947">
        <v>0</v>
      </c>
      <c r="Z947" s="3">
        <v>44</v>
      </c>
      <c r="AA947">
        <v>298</v>
      </c>
      <c r="AB947" s="5">
        <v>13112</v>
      </c>
      <c r="AC947">
        <v>44</v>
      </c>
      <c r="AD947">
        <v>298</v>
      </c>
      <c r="AE947" s="1">
        <v>13112</v>
      </c>
      <c r="AF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 s="2">
        <v>42746</v>
      </c>
      <c r="AQ947" t="s">
        <v>72</v>
      </c>
      <c r="AR947" t="s">
        <v>72</v>
      </c>
      <c r="AS947">
        <v>2621</v>
      </c>
      <c r="AT947" s="4">
        <v>42647</v>
      </c>
      <c r="AU947" t="s">
        <v>73</v>
      </c>
      <c r="AV947">
        <v>2621</v>
      </c>
      <c r="AW947" s="4">
        <v>42647</v>
      </c>
      <c r="BD947">
        <v>0</v>
      </c>
      <c r="BN947" t="s">
        <v>74</v>
      </c>
    </row>
    <row r="948" spans="1:66">
      <c r="A948">
        <v>100210</v>
      </c>
      <c r="B948" s="3" t="s">
        <v>141</v>
      </c>
      <c r="C948" s="1">
        <v>43300101</v>
      </c>
      <c r="D948" t="s">
        <v>67</v>
      </c>
      <c r="H948" t="str">
        <f t="shared" si="80"/>
        <v>08082461008</v>
      </c>
      <c r="I948" t="str">
        <f t="shared" si="80"/>
        <v>08082461008</v>
      </c>
      <c r="K948" t="str">
        <f>""</f>
        <v/>
      </c>
      <c r="M948" t="s">
        <v>68</v>
      </c>
      <c r="N948" t="str">
        <f t="shared" si="81"/>
        <v>FOR</v>
      </c>
      <c r="O948" t="s">
        <v>69</v>
      </c>
      <c r="P948" s="3" t="s">
        <v>75</v>
      </c>
      <c r="Q948">
        <v>2015</v>
      </c>
      <c r="R948" s="2">
        <v>42289</v>
      </c>
      <c r="S948" s="2">
        <v>42291</v>
      </c>
      <c r="T948" s="2">
        <v>42289</v>
      </c>
      <c r="U948" s="2">
        <v>42349</v>
      </c>
      <c r="V948" t="s">
        <v>71</v>
      </c>
      <c r="W948" t="str">
        <f>"            15156164"</f>
        <v xml:space="preserve">            15156164</v>
      </c>
      <c r="X948">
        <v>45.76</v>
      </c>
      <c r="Y948">
        <v>0</v>
      </c>
      <c r="Z948" s="3">
        <v>44</v>
      </c>
      <c r="AA948">
        <v>298</v>
      </c>
      <c r="AB948" s="5">
        <v>13112</v>
      </c>
      <c r="AC948">
        <v>44</v>
      </c>
      <c r="AD948">
        <v>298</v>
      </c>
      <c r="AE948" s="1">
        <v>13112</v>
      </c>
      <c r="AF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 s="2">
        <v>42746</v>
      </c>
      <c r="AQ948" t="s">
        <v>72</v>
      </c>
      <c r="AR948" t="s">
        <v>72</v>
      </c>
      <c r="AS948">
        <v>2621</v>
      </c>
      <c r="AT948" s="4">
        <v>42647</v>
      </c>
      <c r="AU948" t="s">
        <v>73</v>
      </c>
      <c r="AV948">
        <v>2621</v>
      </c>
      <c r="AW948" s="4">
        <v>42647</v>
      </c>
      <c r="BD948">
        <v>0</v>
      </c>
      <c r="BN948" t="s">
        <v>74</v>
      </c>
    </row>
    <row r="949" spans="1:66">
      <c r="A949">
        <v>100210</v>
      </c>
      <c r="B949" s="3" t="s">
        <v>141</v>
      </c>
      <c r="C949" s="1">
        <v>43300101</v>
      </c>
      <c r="D949" t="s">
        <v>67</v>
      </c>
      <c r="H949" t="str">
        <f t="shared" si="80"/>
        <v>08082461008</v>
      </c>
      <c r="I949" t="str">
        <f t="shared" si="80"/>
        <v>08082461008</v>
      </c>
      <c r="K949" t="str">
        <f>""</f>
        <v/>
      </c>
      <c r="M949" t="s">
        <v>68</v>
      </c>
      <c r="N949" t="str">
        <f t="shared" si="81"/>
        <v>FOR</v>
      </c>
      <c r="O949" t="s">
        <v>69</v>
      </c>
      <c r="P949" s="3" t="s">
        <v>75</v>
      </c>
      <c r="Q949">
        <v>2015</v>
      </c>
      <c r="R949" s="2">
        <v>42289</v>
      </c>
      <c r="S949" s="2">
        <v>42291</v>
      </c>
      <c r="T949" s="2">
        <v>42289</v>
      </c>
      <c r="U949" s="2">
        <v>42349</v>
      </c>
      <c r="V949" t="s">
        <v>71</v>
      </c>
      <c r="W949" t="str">
        <f>"            15156167"</f>
        <v xml:space="preserve">            15156167</v>
      </c>
      <c r="X949">
        <v>114.4</v>
      </c>
      <c r="Y949">
        <v>0</v>
      </c>
      <c r="Z949" s="3">
        <v>110</v>
      </c>
      <c r="AA949">
        <v>298</v>
      </c>
      <c r="AB949" s="5">
        <v>32780</v>
      </c>
      <c r="AC949">
        <v>110</v>
      </c>
      <c r="AD949">
        <v>298</v>
      </c>
      <c r="AE949" s="1">
        <v>32780</v>
      </c>
      <c r="AF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 s="2">
        <v>42746</v>
      </c>
      <c r="AQ949" t="s">
        <v>72</v>
      </c>
      <c r="AR949" t="s">
        <v>72</v>
      </c>
      <c r="AS949">
        <v>2621</v>
      </c>
      <c r="AT949" s="4">
        <v>42647</v>
      </c>
      <c r="AU949" t="s">
        <v>73</v>
      </c>
      <c r="AV949">
        <v>2621</v>
      </c>
      <c r="AW949" s="4">
        <v>42647</v>
      </c>
      <c r="BD949">
        <v>0</v>
      </c>
      <c r="BN949" t="s">
        <v>74</v>
      </c>
    </row>
    <row r="950" spans="1:66">
      <c r="A950">
        <v>100210</v>
      </c>
      <c r="B950" s="3" t="s">
        <v>141</v>
      </c>
      <c r="C950" s="1">
        <v>43300101</v>
      </c>
      <c r="D950" t="s">
        <v>67</v>
      </c>
      <c r="H950" t="str">
        <f t="shared" si="80"/>
        <v>08082461008</v>
      </c>
      <c r="I950" t="str">
        <f t="shared" si="80"/>
        <v>08082461008</v>
      </c>
      <c r="K950" t="str">
        <f>""</f>
        <v/>
      </c>
      <c r="M950" t="s">
        <v>68</v>
      </c>
      <c r="N950" t="str">
        <f t="shared" si="81"/>
        <v>FOR</v>
      </c>
      <c r="O950" t="s">
        <v>69</v>
      </c>
      <c r="P950" s="3" t="s">
        <v>75</v>
      </c>
      <c r="Q950">
        <v>2015</v>
      </c>
      <c r="R950" s="2">
        <v>42289</v>
      </c>
      <c r="S950" s="2">
        <v>42291</v>
      </c>
      <c r="T950" s="2">
        <v>42289</v>
      </c>
      <c r="U950" s="2">
        <v>42349</v>
      </c>
      <c r="V950" t="s">
        <v>71</v>
      </c>
      <c r="W950" t="str">
        <f>"            15156169"</f>
        <v xml:space="preserve">            15156169</v>
      </c>
      <c r="X950">
        <v>114.4</v>
      </c>
      <c r="Y950">
        <v>0</v>
      </c>
      <c r="Z950" s="3">
        <v>110</v>
      </c>
      <c r="AA950">
        <v>298</v>
      </c>
      <c r="AB950" s="5">
        <v>32780</v>
      </c>
      <c r="AC950">
        <v>110</v>
      </c>
      <c r="AD950">
        <v>298</v>
      </c>
      <c r="AE950" s="1">
        <v>32780</v>
      </c>
      <c r="AF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 s="2">
        <v>42746</v>
      </c>
      <c r="AQ950" t="s">
        <v>72</v>
      </c>
      <c r="AR950" t="s">
        <v>72</v>
      </c>
      <c r="AS950">
        <v>2621</v>
      </c>
      <c r="AT950" s="4">
        <v>42647</v>
      </c>
      <c r="AU950" t="s">
        <v>73</v>
      </c>
      <c r="AV950">
        <v>2621</v>
      </c>
      <c r="AW950" s="4">
        <v>42647</v>
      </c>
      <c r="BD950">
        <v>0</v>
      </c>
      <c r="BN950" t="s">
        <v>74</v>
      </c>
    </row>
    <row r="951" spans="1:66">
      <c r="A951">
        <v>100210</v>
      </c>
      <c r="B951" s="3" t="s">
        <v>141</v>
      </c>
      <c r="C951" s="1">
        <v>43300101</v>
      </c>
      <c r="D951" t="s">
        <v>67</v>
      </c>
      <c r="H951" t="str">
        <f t="shared" si="80"/>
        <v>08082461008</v>
      </c>
      <c r="I951" t="str">
        <f t="shared" si="80"/>
        <v>08082461008</v>
      </c>
      <c r="K951" t="str">
        <f>""</f>
        <v/>
      </c>
      <c r="M951" t="s">
        <v>68</v>
      </c>
      <c r="N951" t="str">
        <f t="shared" si="81"/>
        <v>FOR</v>
      </c>
      <c r="O951" t="s">
        <v>69</v>
      </c>
      <c r="P951" s="3" t="s">
        <v>75</v>
      </c>
      <c r="Q951">
        <v>2015</v>
      </c>
      <c r="R951" s="2">
        <v>42290</v>
      </c>
      <c r="S951" s="2">
        <v>42291</v>
      </c>
      <c r="T951" s="2">
        <v>42291</v>
      </c>
      <c r="U951" s="2">
        <v>42351</v>
      </c>
      <c r="V951" t="s">
        <v>71</v>
      </c>
      <c r="W951" t="str">
        <f>"            15157174"</f>
        <v xml:space="preserve">            15157174</v>
      </c>
      <c r="X951">
        <v>644.79999999999995</v>
      </c>
      <c r="Y951">
        <v>0</v>
      </c>
      <c r="Z951" s="3">
        <v>620</v>
      </c>
      <c r="AA951">
        <v>296</v>
      </c>
      <c r="AB951" s="5">
        <v>183520</v>
      </c>
      <c r="AC951">
        <v>620</v>
      </c>
      <c r="AD951">
        <v>296</v>
      </c>
      <c r="AE951" s="1">
        <v>183520</v>
      </c>
      <c r="AF951">
        <v>0</v>
      </c>
      <c r="AJ951">
        <v>0</v>
      </c>
      <c r="AK951">
        <v>0</v>
      </c>
      <c r="AL951">
        <v>0</v>
      </c>
      <c r="AM951">
        <v>0</v>
      </c>
      <c r="AN951">
        <v>0</v>
      </c>
      <c r="AO951">
        <v>0</v>
      </c>
      <c r="AP951" s="2">
        <v>42746</v>
      </c>
      <c r="AQ951" t="s">
        <v>72</v>
      </c>
      <c r="AR951" t="s">
        <v>72</v>
      </c>
      <c r="AS951">
        <v>2621</v>
      </c>
      <c r="AT951" s="4">
        <v>42647</v>
      </c>
      <c r="AU951" t="s">
        <v>73</v>
      </c>
      <c r="AV951">
        <v>2621</v>
      </c>
      <c r="AW951" s="4">
        <v>42647</v>
      </c>
      <c r="BD951">
        <v>0</v>
      </c>
      <c r="BN951" t="s">
        <v>74</v>
      </c>
    </row>
    <row r="952" spans="1:66">
      <c r="A952">
        <v>100210</v>
      </c>
      <c r="B952" s="3" t="s">
        <v>141</v>
      </c>
      <c r="C952" s="1">
        <v>43300101</v>
      </c>
      <c r="D952" t="s">
        <v>67</v>
      </c>
      <c r="H952" t="str">
        <f t="shared" si="80"/>
        <v>08082461008</v>
      </c>
      <c r="I952" t="str">
        <f t="shared" si="80"/>
        <v>08082461008</v>
      </c>
      <c r="K952" t="str">
        <f>""</f>
        <v/>
      </c>
      <c r="M952" t="s">
        <v>68</v>
      </c>
      <c r="N952" t="str">
        <f t="shared" si="81"/>
        <v>FOR</v>
      </c>
      <c r="O952" t="s">
        <v>69</v>
      </c>
      <c r="P952" s="3" t="s">
        <v>75</v>
      </c>
      <c r="Q952">
        <v>2015</v>
      </c>
      <c r="R952" s="2">
        <v>42292</v>
      </c>
      <c r="S952" s="2">
        <v>42293</v>
      </c>
      <c r="T952" s="2">
        <v>42292</v>
      </c>
      <c r="U952" s="2">
        <v>42352</v>
      </c>
      <c r="V952" t="s">
        <v>71</v>
      </c>
      <c r="W952" t="str">
        <f>"            15159072"</f>
        <v xml:space="preserve">            15159072</v>
      </c>
      <c r="X952" s="1">
        <v>5944.42</v>
      </c>
      <c r="Y952">
        <v>0</v>
      </c>
      <c r="Z952" s="5">
        <v>4872.4799999999996</v>
      </c>
      <c r="AA952">
        <v>295</v>
      </c>
      <c r="AB952" s="5">
        <v>1437381.6</v>
      </c>
      <c r="AC952" s="1">
        <v>4872.4799999999996</v>
      </c>
      <c r="AD952">
        <v>295</v>
      </c>
      <c r="AE952" s="1">
        <v>1437381.6</v>
      </c>
      <c r="AF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 s="2">
        <v>42746</v>
      </c>
      <c r="AQ952" t="s">
        <v>72</v>
      </c>
      <c r="AR952" t="s">
        <v>72</v>
      </c>
      <c r="AS952">
        <v>2621</v>
      </c>
      <c r="AT952" s="4">
        <v>42647</v>
      </c>
      <c r="AU952" t="s">
        <v>73</v>
      </c>
      <c r="AV952">
        <v>2621</v>
      </c>
      <c r="AW952" s="4">
        <v>42647</v>
      </c>
      <c r="BD952">
        <v>0</v>
      </c>
      <c r="BN952" t="s">
        <v>74</v>
      </c>
    </row>
    <row r="953" spans="1:66">
      <c r="A953">
        <v>100210</v>
      </c>
      <c r="B953" s="3" t="s">
        <v>141</v>
      </c>
      <c r="C953" s="1">
        <v>43300101</v>
      </c>
      <c r="D953" t="s">
        <v>67</v>
      </c>
      <c r="H953" t="str">
        <f t="shared" si="80"/>
        <v>08082461008</v>
      </c>
      <c r="I953" t="str">
        <f t="shared" si="80"/>
        <v>08082461008</v>
      </c>
      <c r="K953" t="str">
        <f>""</f>
        <v/>
      </c>
      <c r="M953" t="s">
        <v>68</v>
      </c>
      <c r="N953" t="str">
        <f t="shared" si="81"/>
        <v>FOR</v>
      </c>
      <c r="O953" t="s">
        <v>69</v>
      </c>
      <c r="P953" s="3" t="s">
        <v>75</v>
      </c>
      <c r="Q953">
        <v>2015</v>
      </c>
      <c r="R953" s="2">
        <v>42292</v>
      </c>
      <c r="S953" s="2">
        <v>42293</v>
      </c>
      <c r="T953" s="2">
        <v>42292</v>
      </c>
      <c r="U953" s="2">
        <v>42352</v>
      </c>
      <c r="V953" t="s">
        <v>71</v>
      </c>
      <c r="W953" t="str">
        <f>"            15159077"</f>
        <v xml:space="preserve">            15159077</v>
      </c>
      <c r="X953" s="1">
        <v>1847.93</v>
      </c>
      <c r="Y953">
        <v>0</v>
      </c>
      <c r="Z953" s="5">
        <v>1514.7</v>
      </c>
      <c r="AA953">
        <v>295</v>
      </c>
      <c r="AB953" s="5">
        <v>446836.5</v>
      </c>
      <c r="AC953" s="1">
        <v>1514.7</v>
      </c>
      <c r="AD953">
        <v>295</v>
      </c>
      <c r="AE953" s="1">
        <v>446836.5</v>
      </c>
      <c r="AF953">
        <v>0</v>
      </c>
      <c r="AJ953">
        <v>0</v>
      </c>
      <c r="AK953">
        <v>0</v>
      </c>
      <c r="AL953">
        <v>0</v>
      </c>
      <c r="AM953">
        <v>0</v>
      </c>
      <c r="AN953">
        <v>0</v>
      </c>
      <c r="AO953">
        <v>0</v>
      </c>
      <c r="AP953" s="2">
        <v>42746</v>
      </c>
      <c r="AQ953" t="s">
        <v>72</v>
      </c>
      <c r="AR953" t="s">
        <v>72</v>
      </c>
      <c r="AS953">
        <v>2621</v>
      </c>
      <c r="AT953" s="4">
        <v>42647</v>
      </c>
      <c r="AU953" t="s">
        <v>73</v>
      </c>
      <c r="AV953">
        <v>2621</v>
      </c>
      <c r="AW953" s="4">
        <v>42647</v>
      </c>
      <c r="BD953">
        <v>0</v>
      </c>
      <c r="BN953" t="s">
        <v>74</v>
      </c>
    </row>
    <row r="954" spans="1:66">
      <c r="A954">
        <v>100210</v>
      </c>
      <c r="B954" s="3" t="s">
        <v>141</v>
      </c>
      <c r="C954" s="1">
        <v>43300101</v>
      </c>
      <c r="D954" t="s">
        <v>67</v>
      </c>
      <c r="H954" t="str">
        <f t="shared" si="80"/>
        <v>08082461008</v>
      </c>
      <c r="I954" t="str">
        <f t="shared" si="80"/>
        <v>08082461008</v>
      </c>
      <c r="K954" t="str">
        <f>""</f>
        <v/>
      </c>
      <c r="M954" t="s">
        <v>68</v>
      </c>
      <c r="N954" t="str">
        <f t="shared" si="81"/>
        <v>FOR</v>
      </c>
      <c r="O954" t="s">
        <v>69</v>
      </c>
      <c r="P954" s="3" t="s">
        <v>75</v>
      </c>
      <c r="Q954">
        <v>2015</v>
      </c>
      <c r="R954" s="2">
        <v>42292</v>
      </c>
      <c r="S954" s="2">
        <v>42293</v>
      </c>
      <c r="T954" s="2">
        <v>42292</v>
      </c>
      <c r="U954" s="2">
        <v>42352</v>
      </c>
      <c r="V954" t="s">
        <v>71</v>
      </c>
      <c r="W954" t="str">
        <f>"            15159082"</f>
        <v xml:space="preserve">            15159082</v>
      </c>
      <c r="X954" s="1">
        <v>1137.53</v>
      </c>
      <c r="Y954">
        <v>0</v>
      </c>
      <c r="Z954" s="3">
        <v>932.4</v>
      </c>
      <c r="AA954">
        <v>295</v>
      </c>
      <c r="AB954" s="5">
        <v>275058</v>
      </c>
      <c r="AC954">
        <v>932.4</v>
      </c>
      <c r="AD954">
        <v>295</v>
      </c>
      <c r="AE954" s="1">
        <v>275058</v>
      </c>
      <c r="AF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 s="2">
        <v>42746</v>
      </c>
      <c r="AQ954" t="s">
        <v>72</v>
      </c>
      <c r="AR954" t="s">
        <v>72</v>
      </c>
      <c r="AS954">
        <v>2621</v>
      </c>
      <c r="AT954" s="4">
        <v>42647</v>
      </c>
      <c r="AU954" t="s">
        <v>73</v>
      </c>
      <c r="AV954">
        <v>2621</v>
      </c>
      <c r="AW954" s="4">
        <v>42647</v>
      </c>
      <c r="BD954">
        <v>0</v>
      </c>
      <c r="BN954" t="s">
        <v>74</v>
      </c>
    </row>
    <row r="955" spans="1:66">
      <c r="A955">
        <v>100210</v>
      </c>
      <c r="B955" s="3" t="s">
        <v>141</v>
      </c>
      <c r="C955" s="1">
        <v>43300101</v>
      </c>
      <c r="D955" t="s">
        <v>67</v>
      </c>
      <c r="H955" t="str">
        <f t="shared" si="80"/>
        <v>08082461008</v>
      </c>
      <c r="I955" t="str">
        <f t="shared" si="80"/>
        <v>08082461008</v>
      </c>
      <c r="K955" t="str">
        <f>""</f>
        <v/>
      </c>
      <c r="M955" t="s">
        <v>68</v>
      </c>
      <c r="N955" t="str">
        <f t="shared" si="81"/>
        <v>FOR</v>
      </c>
      <c r="O955" t="s">
        <v>69</v>
      </c>
      <c r="P955" s="3" t="s">
        <v>75</v>
      </c>
      <c r="Q955">
        <v>2015</v>
      </c>
      <c r="R955" s="2">
        <v>42292</v>
      </c>
      <c r="S955" s="2">
        <v>42293</v>
      </c>
      <c r="T955" s="2">
        <v>42292</v>
      </c>
      <c r="U955" s="2">
        <v>42352</v>
      </c>
      <c r="V955" t="s">
        <v>71</v>
      </c>
      <c r="W955" t="str">
        <f>"            15159098"</f>
        <v xml:space="preserve">            15159098</v>
      </c>
      <c r="X955" s="1">
        <v>6032</v>
      </c>
      <c r="Y955">
        <v>0</v>
      </c>
      <c r="Z955" s="5">
        <v>5800</v>
      </c>
      <c r="AA955">
        <v>295</v>
      </c>
      <c r="AB955" s="5">
        <v>1711000</v>
      </c>
      <c r="AC955" s="1">
        <v>5800</v>
      </c>
      <c r="AD955">
        <v>295</v>
      </c>
      <c r="AE955" s="1">
        <v>1711000</v>
      </c>
      <c r="AF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 s="2">
        <v>42746</v>
      </c>
      <c r="AQ955" t="s">
        <v>72</v>
      </c>
      <c r="AR955" t="s">
        <v>72</v>
      </c>
      <c r="AS955">
        <v>2621</v>
      </c>
      <c r="AT955" s="4">
        <v>42647</v>
      </c>
      <c r="AU955" t="s">
        <v>73</v>
      </c>
      <c r="AV955">
        <v>2621</v>
      </c>
      <c r="AW955" s="4">
        <v>42647</v>
      </c>
      <c r="BD955">
        <v>0</v>
      </c>
      <c r="BN955" t="s">
        <v>74</v>
      </c>
    </row>
    <row r="956" spans="1:66">
      <c r="A956">
        <v>100210</v>
      </c>
      <c r="B956" s="3" t="s">
        <v>141</v>
      </c>
      <c r="C956" s="1">
        <v>43300101</v>
      </c>
      <c r="D956" t="s">
        <v>67</v>
      </c>
      <c r="H956" t="str">
        <f t="shared" si="80"/>
        <v>08082461008</v>
      </c>
      <c r="I956" t="str">
        <f t="shared" si="80"/>
        <v>08082461008</v>
      </c>
      <c r="K956" t="str">
        <f>""</f>
        <v/>
      </c>
      <c r="M956" t="s">
        <v>68</v>
      </c>
      <c r="N956" t="str">
        <f t="shared" si="81"/>
        <v>FOR</v>
      </c>
      <c r="O956" t="s">
        <v>69</v>
      </c>
      <c r="P956" s="3" t="s">
        <v>75</v>
      </c>
      <c r="Q956">
        <v>2015</v>
      </c>
      <c r="R956" s="2">
        <v>42293</v>
      </c>
      <c r="S956" s="2">
        <v>42296</v>
      </c>
      <c r="T956" s="2">
        <v>42293</v>
      </c>
      <c r="U956" s="2">
        <v>42353</v>
      </c>
      <c r="V956" t="s">
        <v>71</v>
      </c>
      <c r="W956" t="str">
        <f>"            15159900"</f>
        <v xml:space="preserve">            15159900</v>
      </c>
      <c r="X956" s="1">
        <v>9779.52</v>
      </c>
      <c r="Y956">
        <v>0</v>
      </c>
      <c r="Z956" s="5">
        <v>8016</v>
      </c>
      <c r="AA956">
        <v>294</v>
      </c>
      <c r="AB956" s="5">
        <v>2356704</v>
      </c>
      <c r="AC956" s="1">
        <v>8016</v>
      </c>
      <c r="AD956">
        <v>294</v>
      </c>
      <c r="AE956" s="1">
        <v>2356704</v>
      </c>
      <c r="AF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 s="2">
        <v>42746</v>
      </c>
      <c r="AQ956" t="s">
        <v>72</v>
      </c>
      <c r="AR956" t="s">
        <v>72</v>
      </c>
      <c r="AS956">
        <v>2621</v>
      </c>
      <c r="AT956" s="4">
        <v>42647</v>
      </c>
      <c r="AU956" t="s">
        <v>73</v>
      </c>
      <c r="AV956">
        <v>2621</v>
      </c>
      <c r="AW956" s="4">
        <v>42647</v>
      </c>
      <c r="BD956">
        <v>0</v>
      </c>
      <c r="BN956" t="s">
        <v>74</v>
      </c>
    </row>
    <row r="957" spans="1:66">
      <c r="A957">
        <v>100210</v>
      </c>
      <c r="B957" s="3" t="s">
        <v>141</v>
      </c>
      <c r="C957" s="1">
        <v>43300101</v>
      </c>
      <c r="D957" t="s">
        <v>67</v>
      </c>
      <c r="H957" t="str">
        <f t="shared" ref="H957:I976" si="82">"08082461008"</f>
        <v>08082461008</v>
      </c>
      <c r="I957" t="str">
        <f t="shared" si="82"/>
        <v>08082461008</v>
      </c>
      <c r="K957" t="str">
        <f>""</f>
        <v/>
      </c>
      <c r="M957" t="s">
        <v>68</v>
      </c>
      <c r="N957" t="str">
        <f t="shared" si="81"/>
        <v>FOR</v>
      </c>
      <c r="O957" t="s">
        <v>69</v>
      </c>
      <c r="P957" s="3" t="s">
        <v>75</v>
      </c>
      <c r="Q957">
        <v>2015</v>
      </c>
      <c r="R957" s="2">
        <v>42296</v>
      </c>
      <c r="S957" s="2">
        <v>42298</v>
      </c>
      <c r="T957" s="2">
        <v>42296</v>
      </c>
      <c r="U957" s="2">
        <v>42356</v>
      </c>
      <c r="V957" t="s">
        <v>71</v>
      </c>
      <c r="W957" t="str">
        <f>"            15160711"</f>
        <v xml:space="preserve">            15160711</v>
      </c>
      <c r="X957">
        <v>143.84</v>
      </c>
      <c r="Y957">
        <v>0</v>
      </c>
      <c r="Z957" s="3">
        <v>117.9</v>
      </c>
      <c r="AA957">
        <v>291</v>
      </c>
      <c r="AB957" s="5">
        <v>34308.9</v>
      </c>
      <c r="AC957">
        <v>117.9</v>
      </c>
      <c r="AD957">
        <v>291</v>
      </c>
      <c r="AE957" s="1">
        <v>34308.9</v>
      </c>
      <c r="AF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 s="2">
        <v>42746</v>
      </c>
      <c r="AQ957" t="s">
        <v>72</v>
      </c>
      <c r="AR957" t="s">
        <v>72</v>
      </c>
      <c r="AS957">
        <v>2621</v>
      </c>
      <c r="AT957" s="4">
        <v>42647</v>
      </c>
      <c r="AU957" t="s">
        <v>73</v>
      </c>
      <c r="AV957">
        <v>2621</v>
      </c>
      <c r="AW957" s="4">
        <v>42647</v>
      </c>
      <c r="BD957">
        <v>0</v>
      </c>
      <c r="BN957" t="s">
        <v>74</v>
      </c>
    </row>
    <row r="958" spans="1:66">
      <c r="A958">
        <v>100210</v>
      </c>
      <c r="B958" s="3" t="s">
        <v>141</v>
      </c>
      <c r="C958" s="1">
        <v>43300101</v>
      </c>
      <c r="D958" t="s">
        <v>67</v>
      </c>
      <c r="H958" t="str">
        <f t="shared" si="82"/>
        <v>08082461008</v>
      </c>
      <c r="I958" t="str">
        <f t="shared" si="82"/>
        <v>08082461008</v>
      </c>
      <c r="K958" t="str">
        <f>""</f>
        <v/>
      </c>
      <c r="M958" t="s">
        <v>68</v>
      </c>
      <c r="N958" t="str">
        <f t="shared" si="81"/>
        <v>FOR</v>
      </c>
      <c r="O958" t="s">
        <v>69</v>
      </c>
      <c r="P958" s="3" t="s">
        <v>75</v>
      </c>
      <c r="Q958">
        <v>2015</v>
      </c>
      <c r="R958" s="2">
        <v>42299</v>
      </c>
      <c r="S958" s="2">
        <v>42300</v>
      </c>
      <c r="T958" s="2">
        <v>42300</v>
      </c>
      <c r="U958" s="2">
        <v>42360</v>
      </c>
      <c r="V958" t="s">
        <v>71</v>
      </c>
      <c r="W958" t="str">
        <f>"            15164027"</f>
        <v xml:space="preserve">            15164027</v>
      </c>
      <c r="X958">
        <v>610</v>
      </c>
      <c r="Y958">
        <v>0</v>
      </c>
      <c r="Z958" s="3">
        <v>500</v>
      </c>
      <c r="AA958">
        <v>329</v>
      </c>
      <c r="AB958" s="5">
        <v>164500</v>
      </c>
      <c r="AC958">
        <v>500</v>
      </c>
      <c r="AD958">
        <v>329</v>
      </c>
      <c r="AE958" s="1">
        <v>164500</v>
      </c>
      <c r="AF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 s="2">
        <v>42746</v>
      </c>
      <c r="AQ958" t="s">
        <v>72</v>
      </c>
      <c r="AR958" t="s">
        <v>72</v>
      </c>
      <c r="AS958">
        <v>3096</v>
      </c>
      <c r="AT958" s="4">
        <v>42689</v>
      </c>
      <c r="AU958" t="s">
        <v>73</v>
      </c>
      <c r="AV958">
        <v>3096</v>
      </c>
      <c r="AW958" s="4">
        <v>42689</v>
      </c>
      <c r="BD958">
        <v>0</v>
      </c>
      <c r="BN958" t="s">
        <v>74</v>
      </c>
    </row>
    <row r="959" spans="1:66">
      <c r="A959">
        <v>100210</v>
      </c>
      <c r="B959" s="3" t="s">
        <v>141</v>
      </c>
      <c r="C959" s="1">
        <v>43300101</v>
      </c>
      <c r="D959" t="s">
        <v>67</v>
      </c>
      <c r="H959" t="str">
        <f t="shared" si="82"/>
        <v>08082461008</v>
      </c>
      <c r="I959" t="str">
        <f t="shared" si="82"/>
        <v>08082461008</v>
      </c>
      <c r="K959" t="str">
        <f>""</f>
        <v/>
      </c>
      <c r="M959" t="s">
        <v>68</v>
      </c>
      <c r="N959" t="str">
        <f t="shared" si="81"/>
        <v>FOR</v>
      </c>
      <c r="O959" t="s">
        <v>69</v>
      </c>
      <c r="P959" s="3" t="s">
        <v>75</v>
      </c>
      <c r="Q959">
        <v>2015</v>
      </c>
      <c r="R959" s="2">
        <v>42299</v>
      </c>
      <c r="S959" s="2">
        <v>42300</v>
      </c>
      <c r="T959" s="2">
        <v>42300</v>
      </c>
      <c r="U959" s="2">
        <v>42360</v>
      </c>
      <c r="V959" t="s">
        <v>71</v>
      </c>
      <c r="W959" t="str">
        <f>"            15164028"</f>
        <v xml:space="preserve">            15164028</v>
      </c>
      <c r="X959">
        <v>610</v>
      </c>
      <c r="Y959">
        <v>0</v>
      </c>
      <c r="Z959" s="3">
        <v>500</v>
      </c>
      <c r="AA959">
        <v>329</v>
      </c>
      <c r="AB959" s="5">
        <v>164500</v>
      </c>
      <c r="AC959">
        <v>500</v>
      </c>
      <c r="AD959">
        <v>329</v>
      </c>
      <c r="AE959" s="1">
        <v>164500</v>
      </c>
      <c r="AF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 s="2">
        <v>42746</v>
      </c>
      <c r="AQ959" t="s">
        <v>72</v>
      </c>
      <c r="AR959" t="s">
        <v>72</v>
      </c>
      <c r="AS959">
        <v>3096</v>
      </c>
      <c r="AT959" s="4">
        <v>42689</v>
      </c>
      <c r="AU959" t="s">
        <v>73</v>
      </c>
      <c r="AV959">
        <v>3096</v>
      </c>
      <c r="AW959" s="4">
        <v>42689</v>
      </c>
      <c r="BD959">
        <v>0</v>
      </c>
      <c r="BN959" t="s">
        <v>74</v>
      </c>
    </row>
    <row r="960" spans="1:66">
      <c r="A960">
        <v>100210</v>
      </c>
      <c r="B960" s="3" t="s">
        <v>141</v>
      </c>
      <c r="C960" s="1">
        <v>43300101</v>
      </c>
      <c r="D960" t="s">
        <v>67</v>
      </c>
      <c r="H960" t="str">
        <f t="shared" si="82"/>
        <v>08082461008</v>
      </c>
      <c r="I960" t="str">
        <f t="shared" si="82"/>
        <v>08082461008</v>
      </c>
      <c r="K960" t="str">
        <f>""</f>
        <v/>
      </c>
      <c r="M960" t="s">
        <v>68</v>
      </c>
      <c r="N960" t="str">
        <f t="shared" si="81"/>
        <v>FOR</v>
      </c>
      <c r="O960" t="s">
        <v>69</v>
      </c>
      <c r="P960" s="3" t="s">
        <v>75</v>
      </c>
      <c r="Q960">
        <v>2015</v>
      </c>
      <c r="R960" s="2">
        <v>42299</v>
      </c>
      <c r="S960" s="2">
        <v>42300</v>
      </c>
      <c r="T960" s="2">
        <v>42300</v>
      </c>
      <c r="U960" s="2">
        <v>42360</v>
      </c>
      <c r="V960" t="s">
        <v>71</v>
      </c>
      <c r="W960" t="str">
        <f>"            15164029"</f>
        <v xml:space="preserve">            15164029</v>
      </c>
      <c r="X960">
        <v>610</v>
      </c>
      <c r="Y960">
        <v>0</v>
      </c>
      <c r="Z960" s="3">
        <v>500</v>
      </c>
      <c r="AA960">
        <v>329</v>
      </c>
      <c r="AB960" s="5">
        <v>164500</v>
      </c>
      <c r="AC960">
        <v>500</v>
      </c>
      <c r="AD960">
        <v>329</v>
      </c>
      <c r="AE960" s="1">
        <v>164500</v>
      </c>
      <c r="AF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 s="2">
        <v>42746</v>
      </c>
      <c r="AQ960" t="s">
        <v>72</v>
      </c>
      <c r="AR960" t="s">
        <v>72</v>
      </c>
      <c r="AS960">
        <v>3096</v>
      </c>
      <c r="AT960" s="4">
        <v>42689</v>
      </c>
      <c r="AU960" t="s">
        <v>73</v>
      </c>
      <c r="AV960">
        <v>3096</v>
      </c>
      <c r="AW960" s="4">
        <v>42689</v>
      </c>
      <c r="BD960">
        <v>0</v>
      </c>
      <c r="BN960" t="s">
        <v>74</v>
      </c>
    </row>
    <row r="961" spans="1:66">
      <c r="A961">
        <v>100210</v>
      </c>
      <c r="B961" s="3" t="s">
        <v>141</v>
      </c>
      <c r="C961" s="1">
        <v>43300101</v>
      </c>
      <c r="D961" t="s">
        <v>67</v>
      </c>
      <c r="H961" t="str">
        <f t="shared" si="82"/>
        <v>08082461008</v>
      </c>
      <c r="I961" t="str">
        <f t="shared" si="82"/>
        <v>08082461008</v>
      </c>
      <c r="K961" t="str">
        <f>""</f>
        <v/>
      </c>
      <c r="M961" t="s">
        <v>68</v>
      </c>
      <c r="N961" t="str">
        <f t="shared" si="81"/>
        <v>FOR</v>
      </c>
      <c r="O961" t="s">
        <v>69</v>
      </c>
      <c r="P961" s="3" t="s">
        <v>75</v>
      </c>
      <c r="Q961">
        <v>2015</v>
      </c>
      <c r="R961" s="2">
        <v>42299</v>
      </c>
      <c r="S961" s="2">
        <v>42300</v>
      </c>
      <c r="T961" s="2">
        <v>42300</v>
      </c>
      <c r="U961" s="2">
        <v>42360</v>
      </c>
      <c r="V961" t="s">
        <v>71</v>
      </c>
      <c r="W961" t="str">
        <f>"            15164030"</f>
        <v xml:space="preserve">            15164030</v>
      </c>
      <c r="X961">
        <v>610</v>
      </c>
      <c r="Y961">
        <v>0</v>
      </c>
      <c r="Z961" s="3">
        <v>500</v>
      </c>
      <c r="AA961">
        <v>329</v>
      </c>
      <c r="AB961" s="5">
        <v>164500</v>
      </c>
      <c r="AC961">
        <v>500</v>
      </c>
      <c r="AD961">
        <v>329</v>
      </c>
      <c r="AE961" s="1">
        <v>164500</v>
      </c>
      <c r="AF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 s="2">
        <v>42746</v>
      </c>
      <c r="AQ961" t="s">
        <v>72</v>
      </c>
      <c r="AR961" t="s">
        <v>72</v>
      </c>
      <c r="AS961">
        <v>3096</v>
      </c>
      <c r="AT961" s="4">
        <v>42689</v>
      </c>
      <c r="AU961" t="s">
        <v>73</v>
      </c>
      <c r="AV961">
        <v>3096</v>
      </c>
      <c r="AW961" s="4">
        <v>42689</v>
      </c>
      <c r="BD961">
        <v>0</v>
      </c>
      <c r="BN961" t="s">
        <v>74</v>
      </c>
    </row>
    <row r="962" spans="1:66">
      <c r="A962">
        <v>100210</v>
      </c>
      <c r="B962" s="3" t="s">
        <v>141</v>
      </c>
      <c r="C962" s="1">
        <v>43300101</v>
      </c>
      <c r="D962" t="s">
        <v>67</v>
      </c>
      <c r="H962" t="str">
        <f t="shared" si="82"/>
        <v>08082461008</v>
      </c>
      <c r="I962" t="str">
        <f t="shared" si="82"/>
        <v>08082461008</v>
      </c>
      <c r="K962" t="str">
        <f>""</f>
        <v/>
      </c>
      <c r="M962" t="s">
        <v>68</v>
      </c>
      <c r="N962" t="str">
        <f t="shared" si="81"/>
        <v>FOR</v>
      </c>
      <c r="O962" t="s">
        <v>69</v>
      </c>
      <c r="P962" s="3" t="s">
        <v>75</v>
      </c>
      <c r="Q962">
        <v>2015</v>
      </c>
      <c r="R962" s="2">
        <v>42299</v>
      </c>
      <c r="S962" s="2">
        <v>42300</v>
      </c>
      <c r="T962" s="2">
        <v>42300</v>
      </c>
      <c r="U962" s="2">
        <v>42360</v>
      </c>
      <c r="V962" t="s">
        <v>71</v>
      </c>
      <c r="W962" t="str">
        <f>"            15164031"</f>
        <v xml:space="preserve">            15164031</v>
      </c>
      <c r="X962">
        <v>610</v>
      </c>
      <c r="Y962">
        <v>0</v>
      </c>
      <c r="Z962" s="3">
        <v>500</v>
      </c>
      <c r="AA962">
        <v>329</v>
      </c>
      <c r="AB962" s="5">
        <v>164500</v>
      </c>
      <c r="AC962">
        <v>500</v>
      </c>
      <c r="AD962">
        <v>329</v>
      </c>
      <c r="AE962" s="1">
        <v>164500</v>
      </c>
      <c r="AF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 s="2">
        <v>42746</v>
      </c>
      <c r="AQ962" t="s">
        <v>72</v>
      </c>
      <c r="AR962" t="s">
        <v>72</v>
      </c>
      <c r="AS962">
        <v>3096</v>
      </c>
      <c r="AT962" s="4">
        <v>42689</v>
      </c>
      <c r="AU962" t="s">
        <v>73</v>
      </c>
      <c r="AV962">
        <v>3096</v>
      </c>
      <c r="AW962" s="4">
        <v>42689</v>
      </c>
      <c r="BD962">
        <v>0</v>
      </c>
      <c r="BN962" t="s">
        <v>74</v>
      </c>
    </row>
    <row r="963" spans="1:66">
      <c r="A963">
        <v>100210</v>
      </c>
      <c r="B963" s="3" t="s">
        <v>141</v>
      </c>
      <c r="C963" s="1">
        <v>43300101</v>
      </c>
      <c r="D963" t="s">
        <v>67</v>
      </c>
      <c r="H963" t="str">
        <f t="shared" si="82"/>
        <v>08082461008</v>
      </c>
      <c r="I963" t="str">
        <f t="shared" si="82"/>
        <v>08082461008</v>
      </c>
      <c r="K963" t="str">
        <f>""</f>
        <v/>
      </c>
      <c r="M963" t="s">
        <v>68</v>
      </c>
      <c r="N963" t="str">
        <f t="shared" si="81"/>
        <v>FOR</v>
      </c>
      <c r="O963" t="s">
        <v>69</v>
      </c>
      <c r="P963" s="3" t="s">
        <v>75</v>
      </c>
      <c r="Q963">
        <v>2015</v>
      </c>
      <c r="R963" s="2">
        <v>42299</v>
      </c>
      <c r="S963" s="2">
        <v>42300</v>
      </c>
      <c r="T963" s="2">
        <v>42300</v>
      </c>
      <c r="U963" s="2">
        <v>42360</v>
      </c>
      <c r="V963" t="s">
        <v>71</v>
      </c>
      <c r="W963" t="str">
        <f>"            15164032"</f>
        <v xml:space="preserve">            15164032</v>
      </c>
      <c r="X963">
        <v>610</v>
      </c>
      <c r="Y963">
        <v>0</v>
      </c>
      <c r="Z963" s="3">
        <v>500</v>
      </c>
      <c r="AA963">
        <v>329</v>
      </c>
      <c r="AB963" s="5">
        <v>164500</v>
      </c>
      <c r="AC963">
        <v>500</v>
      </c>
      <c r="AD963">
        <v>329</v>
      </c>
      <c r="AE963" s="1">
        <v>164500</v>
      </c>
      <c r="AF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 s="2">
        <v>42746</v>
      </c>
      <c r="AQ963" t="s">
        <v>72</v>
      </c>
      <c r="AR963" t="s">
        <v>72</v>
      </c>
      <c r="AS963">
        <v>3096</v>
      </c>
      <c r="AT963" s="4">
        <v>42689</v>
      </c>
      <c r="AU963" t="s">
        <v>73</v>
      </c>
      <c r="AV963">
        <v>3096</v>
      </c>
      <c r="AW963" s="4">
        <v>42689</v>
      </c>
      <c r="BD963">
        <v>0</v>
      </c>
      <c r="BN963" t="s">
        <v>74</v>
      </c>
    </row>
    <row r="964" spans="1:66">
      <c r="A964">
        <v>100210</v>
      </c>
      <c r="B964" s="3" t="s">
        <v>141</v>
      </c>
      <c r="C964" s="1">
        <v>43300101</v>
      </c>
      <c r="D964" t="s">
        <v>67</v>
      </c>
      <c r="H964" t="str">
        <f t="shared" si="82"/>
        <v>08082461008</v>
      </c>
      <c r="I964" t="str">
        <f t="shared" si="82"/>
        <v>08082461008</v>
      </c>
      <c r="K964" t="str">
        <f>""</f>
        <v/>
      </c>
      <c r="M964" t="s">
        <v>68</v>
      </c>
      <c r="N964" t="str">
        <f t="shared" si="81"/>
        <v>FOR</v>
      </c>
      <c r="O964" t="s">
        <v>69</v>
      </c>
      <c r="P964" s="3" t="s">
        <v>75</v>
      </c>
      <c r="Q964">
        <v>2015</v>
      </c>
      <c r="R964" s="2">
        <v>42300</v>
      </c>
      <c r="S964" s="2">
        <v>42361</v>
      </c>
      <c r="T964" s="2">
        <v>42361</v>
      </c>
      <c r="U964" s="2">
        <v>42421</v>
      </c>
      <c r="V964" t="s">
        <v>71</v>
      </c>
      <c r="W964" t="str">
        <f>"            15164995"</f>
        <v xml:space="preserve">            15164995</v>
      </c>
      <c r="X964" s="1">
        <v>7466.4</v>
      </c>
      <c r="Y964">
        <v>0</v>
      </c>
      <c r="Z964" s="5">
        <v>6120</v>
      </c>
      <c r="AA964">
        <v>226</v>
      </c>
      <c r="AB964" s="5">
        <v>1383120</v>
      </c>
      <c r="AC964" s="1">
        <v>6120</v>
      </c>
      <c r="AD964">
        <v>226</v>
      </c>
      <c r="AE964" s="1">
        <v>1383120</v>
      </c>
      <c r="AF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 s="2">
        <v>42746</v>
      </c>
      <c r="AQ964" t="s">
        <v>72</v>
      </c>
      <c r="AR964" t="s">
        <v>72</v>
      </c>
      <c r="AS964">
        <v>2621</v>
      </c>
      <c r="AT964" s="4">
        <v>42647</v>
      </c>
      <c r="AU964" t="s">
        <v>73</v>
      </c>
      <c r="AV964">
        <v>2621</v>
      </c>
      <c r="AW964" s="4">
        <v>42647</v>
      </c>
      <c r="BD964">
        <v>0</v>
      </c>
      <c r="BN964" t="s">
        <v>74</v>
      </c>
    </row>
    <row r="965" spans="1:66">
      <c r="A965">
        <v>100210</v>
      </c>
      <c r="B965" s="3" t="s">
        <v>141</v>
      </c>
      <c r="C965" s="1">
        <v>43300101</v>
      </c>
      <c r="D965" t="s">
        <v>67</v>
      </c>
      <c r="H965" t="str">
        <f t="shared" si="82"/>
        <v>08082461008</v>
      </c>
      <c r="I965" t="str">
        <f t="shared" si="82"/>
        <v>08082461008</v>
      </c>
      <c r="K965" t="str">
        <f>""</f>
        <v/>
      </c>
      <c r="M965" t="s">
        <v>68</v>
      </c>
      <c r="N965" t="str">
        <f t="shared" si="81"/>
        <v>FOR</v>
      </c>
      <c r="O965" t="s">
        <v>69</v>
      </c>
      <c r="P965" s="3" t="s">
        <v>75</v>
      </c>
      <c r="Q965">
        <v>2015</v>
      </c>
      <c r="R965" s="2">
        <v>42303</v>
      </c>
      <c r="S965" s="2">
        <v>42305</v>
      </c>
      <c r="T965" s="2">
        <v>42303</v>
      </c>
      <c r="U965" s="2">
        <v>42363</v>
      </c>
      <c r="V965" t="s">
        <v>71</v>
      </c>
      <c r="W965" t="str">
        <f>"            15165681"</f>
        <v xml:space="preserve">            15165681</v>
      </c>
      <c r="X965" s="1">
        <v>2687.9</v>
      </c>
      <c r="Y965">
        <v>0</v>
      </c>
      <c r="Z965" s="5">
        <v>2203.1999999999998</v>
      </c>
      <c r="AA965">
        <v>284</v>
      </c>
      <c r="AB965" s="5">
        <v>625708.80000000005</v>
      </c>
      <c r="AC965" s="1">
        <v>2203.1999999999998</v>
      </c>
      <c r="AD965">
        <v>284</v>
      </c>
      <c r="AE965" s="1">
        <v>625708.80000000005</v>
      </c>
      <c r="AF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 s="2">
        <v>42746</v>
      </c>
      <c r="AQ965" t="s">
        <v>72</v>
      </c>
      <c r="AR965" t="s">
        <v>72</v>
      </c>
      <c r="AS965">
        <v>2621</v>
      </c>
      <c r="AT965" s="4">
        <v>42647</v>
      </c>
      <c r="AU965" t="s">
        <v>73</v>
      </c>
      <c r="AV965">
        <v>2621</v>
      </c>
      <c r="AW965" s="4">
        <v>42647</v>
      </c>
      <c r="BD965">
        <v>0</v>
      </c>
      <c r="BN965" t="s">
        <v>74</v>
      </c>
    </row>
    <row r="966" spans="1:66">
      <c r="A966">
        <v>100210</v>
      </c>
      <c r="B966" s="3" t="s">
        <v>141</v>
      </c>
      <c r="C966" s="1">
        <v>43300101</v>
      </c>
      <c r="D966" t="s">
        <v>67</v>
      </c>
      <c r="H966" t="str">
        <f t="shared" si="82"/>
        <v>08082461008</v>
      </c>
      <c r="I966" t="str">
        <f t="shared" si="82"/>
        <v>08082461008</v>
      </c>
      <c r="K966" t="str">
        <f>""</f>
        <v/>
      </c>
      <c r="M966" t="s">
        <v>68</v>
      </c>
      <c r="N966" t="str">
        <f t="shared" si="81"/>
        <v>FOR</v>
      </c>
      <c r="O966" t="s">
        <v>69</v>
      </c>
      <c r="P966" s="3" t="s">
        <v>75</v>
      </c>
      <c r="Q966">
        <v>2015</v>
      </c>
      <c r="R966" s="2">
        <v>42303</v>
      </c>
      <c r="S966" s="2">
        <v>42305</v>
      </c>
      <c r="T966" s="2">
        <v>42303</v>
      </c>
      <c r="U966" s="2">
        <v>42363</v>
      </c>
      <c r="V966" t="s">
        <v>71</v>
      </c>
      <c r="W966" t="str">
        <f>"            15165682"</f>
        <v xml:space="preserve">            15165682</v>
      </c>
      <c r="X966" s="1">
        <v>2684</v>
      </c>
      <c r="Y966">
        <v>0</v>
      </c>
      <c r="Z966" s="5">
        <v>2200</v>
      </c>
      <c r="AA966">
        <v>284</v>
      </c>
      <c r="AB966" s="5">
        <v>624800</v>
      </c>
      <c r="AC966" s="1">
        <v>2200</v>
      </c>
      <c r="AD966">
        <v>284</v>
      </c>
      <c r="AE966" s="1">
        <v>624800</v>
      </c>
      <c r="AF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 s="2">
        <v>42746</v>
      </c>
      <c r="AQ966" t="s">
        <v>72</v>
      </c>
      <c r="AR966" t="s">
        <v>72</v>
      </c>
      <c r="AS966">
        <v>2621</v>
      </c>
      <c r="AT966" s="4">
        <v>42647</v>
      </c>
      <c r="AU966" t="s">
        <v>73</v>
      </c>
      <c r="AV966">
        <v>2621</v>
      </c>
      <c r="AW966" s="4">
        <v>42647</v>
      </c>
      <c r="BD966">
        <v>0</v>
      </c>
      <c r="BN966" t="s">
        <v>74</v>
      </c>
    </row>
    <row r="967" spans="1:66">
      <c r="A967">
        <v>100210</v>
      </c>
      <c r="B967" s="3" t="s">
        <v>141</v>
      </c>
      <c r="C967" s="1">
        <v>43300101</v>
      </c>
      <c r="D967" t="s">
        <v>67</v>
      </c>
      <c r="H967" t="str">
        <f t="shared" si="82"/>
        <v>08082461008</v>
      </c>
      <c r="I967" t="str">
        <f t="shared" si="82"/>
        <v>08082461008</v>
      </c>
      <c r="K967" t="str">
        <f>""</f>
        <v/>
      </c>
      <c r="M967" t="s">
        <v>68</v>
      </c>
      <c r="N967" t="str">
        <f t="shared" si="81"/>
        <v>FOR</v>
      </c>
      <c r="O967" t="s">
        <v>69</v>
      </c>
      <c r="P967" s="3" t="s">
        <v>75</v>
      </c>
      <c r="Q967">
        <v>2015</v>
      </c>
      <c r="R967" s="2">
        <v>42303</v>
      </c>
      <c r="S967" s="2">
        <v>42305</v>
      </c>
      <c r="T967" s="2">
        <v>42303</v>
      </c>
      <c r="U967" s="2">
        <v>42363</v>
      </c>
      <c r="V967" t="s">
        <v>71</v>
      </c>
      <c r="W967" t="str">
        <f>"            15165698"</f>
        <v xml:space="preserve">            15165698</v>
      </c>
      <c r="X967">
        <v>732</v>
      </c>
      <c r="Y967">
        <v>0</v>
      </c>
      <c r="Z967" s="3">
        <v>600</v>
      </c>
      <c r="AA967">
        <v>284</v>
      </c>
      <c r="AB967" s="5">
        <v>170400</v>
      </c>
      <c r="AC967">
        <v>600</v>
      </c>
      <c r="AD967">
        <v>284</v>
      </c>
      <c r="AE967" s="1">
        <v>170400</v>
      </c>
      <c r="AF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 s="2">
        <v>42746</v>
      </c>
      <c r="AQ967" t="s">
        <v>72</v>
      </c>
      <c r="AR967" t="s">
        <v>72</v>
      </c>
      <c r="AS967">
        <v>2621</v>
      </c>
      <c r="AT967" s="4">
        <v>42647</v>
      </c>
      <c r="AU967" t="s">
        <v>73</v>
      </c>
      <c r="AV967">
        <v>2621</v>
      </c>
      <c r="AW967" s="4">
        <v>42647</v>
      </c>
      <c r="BD967">
        <v>0</v>
      </c>
      <c r="BN967" t="s">
        <v>74</v>
      </c>
    </row>
    <row r="968" spans="1:66">
      <c r="A968">
        <v>100210</v>
      </c>
      <c r="B968" s="3" t="s">
        <v>141</v>
      </c>
      <c r="C968" s="1">
        <v>43300101</v>
      </c>
      <c r="D968" t="s">
        <v>67</v>
      </c>
      <c r="H968" t="str">
        <f t="shared" si="82"/>
        <v>08082461008</v>
      </c>
      <c r="I968" t="str">
        <f t="shared" si="82"/>
        <v>08082461008</v>
      </c>
      <c r="K968" t="str">
        <f>""</f>
        <v/>
      </c>
      <c r="M968" t="s">
        <v>68</v>
      </c>
      <c r="N968" t="str">
        <f t="shared" si="81"/>
        <v>FOR</v>
      </c>
      <c r="O968" t="s">
        <v>69</v>
      </c>
      <c r="P968" s="3" t="s">
        <v>75</v>
      </c>
      <c r="Q968">
        <v>2015</v>
      </c>
      <c r="R968" s="2">
        <v>42303</v>
      </c>
      <c r="S968" s="2">
        <v>42305</v>
      </c>
      <c r="T968" s="2">
        <v>42304</v>
      </c>
      <c r="U968" s="2">
        <v>42364</v>
      </c>
      <c r="V968" t="s">
        <v>71</v>
      </c>
      <c r="W968" t="str">
        <f>"            15165835"</f>
        <v xml:space="preserve">            15165835</v>
      </c>
      <c r="X968" s="1">
        <v>8117.88</v>
      </c>
      <c r="Y968">
        <v>0</v>
      </c>
      <c r="Z968" s="5">
        <v>6654</v>
      </c>
      <c r="AA968">
        <v>283</v>
      </c>
      <c r="AB968" s="5">
        <v>1883082</v>
      </c>
      <c r="AC968" s="1">
        <v>6654</v>
      </c>
      <c r="AD968">
        <v>283</v>
      </c>
      <c r="AE968" s="1">
        <v>1883082</v>
      </c>
      <c r="AF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 s="2">
        <v>42746</v>
      </c>
      <c r="AQ968" t="s">
        <v>72</v>
      </c>
      <c r="AR968" t="s">
        <v>72</v>
      </c>
      <c r="AS968">
        <v>2621</v>
      </c>
      <c r="AT968" s="4">
        <v>42647</v>
      </c>
      <c r="AU968" t="s">
        <v>73</v>
      </c>
      <c r="AV968">
        <v>2621</v>
      </c>
      <c r="AW968" s="4">
        <v>42647</v>
      </c>
      <c r="BD968">
        <v>0</v>
      </c>
      <c r="BN968" t="s">
        <v>74</v>
      </c>
    </row>
    <row r="969" spans="1:66">
      <c r="A969">
        <v>100210</v>
      </c>
      <c r="B969" s="3" t="s">
        <v>141</v>
      </c>
      <c r="C969" s="1">
        <v>43300101</v>
      </c>
      <c r="D969" t="s">
        <v>67</v>
      </c>
      <c r="H969" t="str">
        <f t="shared" si="82"/>
        <v>08082461008</v>
      </c>
      <c r="I969" t="str">
        <f t="shared" si="82"/>
        <v>08082461008</v>
      </c>
      <c r="K969" t="str">
        <f>""</f>
        <v/>
      </c>
      <c r="M969" t="s">
        <v>68</v>
      </c>
      <c r="N969" t="str">
        <f t="shared" si="81"/>
        <v>FOR</v>
      </c>
      <c r="O969" t="s">
        <v>69</v>
      </c>
      <c r="P969" s="3" t="s">
        <v>75</v>
      </c>
      <c r="Q969">
        <v>2015</v>
      </c>
      <c r="R969" s="2">
        <v>42305</v>
      </c>
      <c r="S969" s="2">
        <v>42307</v>
      </c>
      <c r="T969" s="2">
        <v>42305</v>
      </c>
      <c r="U969" s="2">
        <v>42365</v>
      </c>
      <c r="V969" t="s">
        <v>71</v>
      </c>
      <c r="W969" t="str">
        <f>"            15166820"</f>
        <v xml:space="preserve">            15166820</v>
      </c>
      <c r="X969">
        <v>644.79999999999995</v>
      </c>
      <c r="Y969">
        <v>0</v>
      </c>
      <c r="Z969" s="3">
        <v>620</v>
      </c>
      <c r="AA969">
        <v>282</v>
      </c>
      <c r="AB969" s="5">
        <v>174840</v>
      </c>
      <c r="AC969">
        <v>620</v>
      </c>
      <c r="AD969">
        <v>282</v>
      </c>
      <c r="AE969" s="1">
        <v>174840</v>
      </c>
      <c r="AF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 s="2">
        <v>42746</v>
      </c>
      <c r="AQ969" t="s">
        <v>72</v>
      </c>
      <c r="AR969" t="s">
        <v>72</v>
      </c>
      <c r="AS969">
        <v>2621</v>
      </c>
      <c r="AT969" s="4">
        <v>42647</v>
      </c>
      <c r="AU969" t="s">
        <v>73</v>
      </c>
      <c r="AV969">
        <v>2621</v>
      </c>
      <c r="AW969" s="4">
        <v>42647</v>
      </c>
      <c r="BD969">
        <v>0</v>
      </c>
      <c r="BN969" t="s">
        <v>74</v>
      </c>
    </row>
    <row r="970" spans="1:66">
      <c r="A970">
        <v>100210</v>
      </c>
      <c r="B970" s="3" t="s">
        <v>141</v>
      </c>
      <c r="C970" s="1">
        <v>43300101</v>
      </c>
      <c r="D970" t="s">
        <v>67</v>
      </c>
      <c r="H970" t="str">
        <f t="shared" si="82"/>
        <v>08082461008</v>
      </c>
      <c r="I970" t="str">
        <f t="shared" si="82"/>
        <v>08082461008</v>
      </c>
      <c r="K970" t="str">
        <f>""</f>
        <v/>
      </c>
      <c r="M970" t="s">
        <v>68</v>
      </c>
      <c r="N970" t="str">
        <f t="shared" si="81"/>
        <v>FOR</v>
      </c>
      <c r="O970" t="s">
        <v>69</v>
      </c>
      <c r="P970" s="3" t="s">
        <v>75</v>
      </c>
      <c r="Q970">
        <v>2015</v>
      </c>
      <c r="R970" s="2">
        <v>42305</v>
      </c>
      <c r="S970" s="2">
        <v>42307</v>
      </c>
      <c r="T970" s="2">
        <v>42306</v>
      </c>
      <c r="U970" s="2">
        <v>42366</v>
      </c>
      <c r="V970" t="s">
        <v>71</v>
      </c>
      <c r="W970" t="str">
        <f>"            15166821"</f>
        <v xml:space="preserve">            15166821</v>
      </c>
      <c r="X970">
        <v>644.79999999999995</v>
      </c>
      <c r="Y970">
        <v>0</v>
      </c>
      <c r="Z970" s="3">
        <v>620</v>
      </c>
      <c r="AA970">
        <v>281</v>
      </c>
      <c r="AB970" s="5">
        <v>174220</v>
      </c>
      <c r="AC970">
        <v>620</v>
      </c>
      <c r="AD970">
        <v>281</v>
      </c>
      <c r="AE970" s="1">
        <v>174220</v>
      </c>
      <c r="AF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 s="2">
        <v>42746</v>
      </c>
      <c r="AQ970" t="s">
        <v>72</v>
      </c>
      <c r="AR970" t="s">
        <v>72</v>
      </c>
      <c r="AS970">
        <v>2621</v>
      </c>
      <c r="AT970" s="4">
        <v>42647</v>
      </c>
      <c r="AU970" t="s">
        <v>73</v>
      </c>
      <c r="AV970">
        <v>2621</v>
      </c>
      <c r="AW970" s="4">
        <v>42647</v>
      </c>
      <c r="BD970">
        <v>0</v>
      </c>
      <c r="BN970" t="s">
        <v>74</v>
      </c>
    </row>
    <row r="971" spans="1:66">
      <c r="A971">
        <v>100210</v>
      </c>
      <c r="B971" s="3" t="s">
        <v>141</v>
      </c>
      <c r="C971" s="1">
        <v>43300101</v>
      </c>
      <c r="D971" t="s">
        <v>67</v>
      </c>
      <c r="H971" t="str">
        <f t="shared" si="82"/>
        <v>08082461008</v>
      </c>
      <c r="I971" t="str">
        <f t="shared" si="82"/>
        <v>08082461008</v>
      </c>
      <c r="K971" t="str">
        <f>""</f>
        <v/>
      </c>
      <c r="M971" t="s">
        <v>68</v>
      </c>
      <c r="N971" t="str">
        <f t="shared" si="81"/>
        <v>FOR</v>
      </c>
      <c r="O971" t="s">
        <v>69</v>
      </c>
      <c r="P971" s="3" t="s">
        <v>75</v>
      </c>
      <c r="Q971">
        <v>2015</v>
      </c>
      <c r="R971" s="2">
        <v>42305</v>
      </c>
      <c r="S971" s="2">
        <v>42307</v>
      </c>
      <c r="T971" s="2">
        <v>42306</v>
      </c>
      <c r="U971" s="2">
        <v>42366</v>
      </c>
      <c r="V971" t="s">
        <v>71</v>
      </c>
      <c r="W971" t="str">
        <f>"            15166859"</f>
        <v xml:space="preserve">            15166859</v>
      </c>
      <c r="X971">
        <v>113.75</v>
      </c>
      <c r="Y971">
        <v>0</v>
      </c>
      <c r="Z971" s="3">
        <v>93.24</v>
      </c>
      <c r="AA971">
        <v>281</v>
      </c>
      <c r="AB971" s="5">
        <v>26200.44</v>
      </c>
      <c r="AC971">
        <v>93.24</v>
      </c>
      <c r="AD971">
        <v>281</v>
      </c>
      <c r="AE971" s="1">
        <v>26200.44</v>
      </c>
      <c r="AF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 s="2">
        <v>42746</v>
      </c>
      <c r="AQ971" t="s">
        <v>72</v>
      </c>
      <c r="AR971" t="s">
        <v>72</v>
      </c>
      <c r="AS971">
        <v>2621</v>
      </c>
      <c r="AT971" s="4">
        <v>42647</v>
      </c>
      <c r="AU971" t="s">
        <v>73</v>
      </c>
      <c r="AV971">
        <v>2621</v>
      </c>
      <c r="AW971" s="4">
        <v>42647</v>
      </c>
      <c r="BD971">
        <v>0</v>
      </c>
      <c r="BN971" t="s">
        <v>74</v>
      </c>
    </row>
    <row r="972" spans="1:66">
      <c r="A972">
        <v>100210</v>
      </c>
      <c r="B972" s="3" t="s">
        <v>141</v>
      </c>
      <c r="C972" s="1">
        <v>43300101</v>
      </c>
      <c r="D972" t="s">
        <v>67</v>
      </c>
      <c r="H972" t="str">
        <f t="shared" si="82"/>
        <v>08082461008</v>
      </c>
      <c r="I972" t="str">
        <f t="shared" si="82"/>
        <v>08082461008</v>
      </c>
      <c r="K972" t="str">
        <f>""</f>
        <v/>
      </c>
      <c r="M972" t="s">
        <v>68</v>
      </c>
      <c r="N972" t="str">
        <f t="shared" si="81"/>
        <v>FOR</v>
      </c>
      <c r="O972" t="s">
        <v>69</v>
      </c>
      <c r="P972" s="3" t="s">
        <v>75</v>
      </c>
      <c r="Q972">
        <v>2015</v>
      </c>
      <c r="R972" s="2">
        <v>42305</v>
      </c>
      <c r="S972" s="2">
        <v>42307</v>
      </c>
      <c r="T972" s="2">
        <v>42306</v>
      </c>
      <c r="U972" s="2">
        <v>42366</v>
      </c>
      <c r="V972" t="s">
        <v>71</v>
      </c>
      <c r="W972" t="str">
        <f>"            15166877"</f>
        <v xml:space="preserve">            15166877</v>
      </c>
      <c r="X972">
        <v>307.44</v>
      </c>
      <c r="Y972">
        <v>0</v>
      </c>
      <c r="Z972" s="3">
        <v>252</v>
      </c>
      <c r="AA972">
        <v>281</v>
      </c>
      <c r="AB972" s="5">
        <v>70812</v>
      </c>
      <c r="AC972">
        <v>252</v>
      </c>
      <c r="AD972">
        <v>281</v>
      </c>
      <c r="AE972" s="1">
        <v>70812</v>
      </c>
      <c r="AF972">
        <v>0</v>
      </c>
      <c r="AJ972">
        <v>0</v>
      </c>
      <c r="AK972">
        <v>0</v>
      </c>
      <c r="AL972">
        <v>0</v>
      </c>
      <c r="AM972">
        <v>0</v>
      </c>
      <c r="AN972">
        <v>0</v>
      </c>
      <c r="AO972">
        <v>0</v>
      </c>
      <c r="AP972" s="2">
        <v>42746</v>
      </c>
      <c r="AQ972" t="s">
        <v>72</v>
      </c>
      <c r="AR972" t="s">
        <v>72</v>
      </c>
      <c r="AS972">
        <v>2621</v>
      </c>
      <c r="AT972" s="4">
        <v>42647</v>
      </c>
      <c r="AU972" t="s">
        <v>73</v>
      </c>
      <c r="AV972">
        <v>2621</v>
      </c>
      <c r="AW972" s="4">
        <v>42647</v>
      </c>
      <c r="BD972">
        <v>0</v>
      </c>
      <c r="BN972" t="s">
        <v>74</v>
      </c>
    </row>
    <row r="973" spans="1:66">
      <c r="A973">
        <v>100210</v>
      </c>
      <c r="B973" s="3" t="s">
        <v>141</v>
      </c>
      <c r="C973" s="1">
        <v>43300101</v>
      </c>
      <c r="D973" t="s">
        <v>67</v>
      </c>
      <c r="H973" t="str">
        <f t="shared" si="82"/>
        <v>08082461008</v>
      </c>
      <c r="I973" t="str">
        <f t="shared" si="82"/>
        <v>08082461008</v>
      </c>
      <c r="K973" t="str">
        <f>""</f>
        <v/>
      </c>
      <c r="M973" t="s">
        <v>68</v>
      </c>
      <c r="N973" t="str">
        <f t="shared" si="81"/>
        <v>FOR</v>
      </c>
      <c r="O973" t="s">
        <v>69</v>
      </c>
      <c r="P973" s="3" t="s">
        <v>75</v>
      </c>
      <c r="Q973">
        <v>2015</v>
      </c>
      <c r="R973" s="2">
        <v>42307</v>
      </c>
      <c r="S973" s="2">
        <v>42310</v>
      </c>
      <c r="T973" s="2">
        <v>42307</v>
      </c>
      <c r="U973" s="2">
        <v>42367</v>
      </c>
      <c r="V973" t="s">
        <v>71</v>
      </c>
      <c r="W973" t="str">
        <f>"            15168136"</f>
        <v xml:space="preserve">            15168136</v>
      </c>
      <c r="X973" s="1">
        <v>3147.6</v>
      </c>
      <c r="Y973">
        <v>0</v>
      </c>
      <c r="Z973" s="5">
        <v>2580</v>
      </c>
      <c r="AA973">
        <v>280</v>
      </c>
      <c r="AB973" s="5">
        <v>722400</v>
      </c>
      <c r="AC973" s="1">
        <v>2580</v>
      </c>
      <c r="AD973">
        <v>280</v>
      </c>
      <c r="AE973" s="1">
        <v>722400</v>
      </c>
      <c r="AF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 s="2">
        <v>42746</v>
      </c>
      <c r="AQ973" t="s">
        <v>72</v>
      </c>
      <c r="AR973" t="s">
        <v>72</v>
      </c>
      <c r="AS973">
        <v>2621</v>
      </c>
      <c r="AT973" s="4">
        <v>42647</v>
      </c>
      <c r="AU973" t="s">
        <v>73</v>
      </c>
      <c r="AV973">
        <v>2621</v>
      </c>
      <c r="AW973" s="4">
        <v>42647</v>
      </c>
      <c r="BD973">
        <v>0</v>
      </c>
      <c r="BN973" t="s">
        <v>74</v>
      </c>
    </row>
    <row r="974" spans="1:66">
      <c r="A974">
        <v>100210</v>
      </c>
      <c r="B974" s="3" t="s">
        <v>141</v>
      </c>
      <c r="C974" s="1">
        <v>43300101</v>
      </c>
      <c r="D974" t="s">
        <v>67</v>
      </c>
      <c r="H974" t="str">
        <f t="shared" si="82"/>
        <v>08082461008</v>
      </c>
      <c r="I974" t="str">
        <f t="shared" si="82"/>
        <v>08082461008</v>
      </c>
      <c r="K974" t="str">
        <f>""</f>
        <v/>
      </c>
      <c r="M974" t="s">
        <v>68</v>
      </c>
      <c r="N974" t="str">
        <f t="shared" si="81"/>
        <v>FOR</v>
      </c>
      <c r="O974" t="s">
        <v>69</v>
      </c>
      <c r="P974" s="3" t="s">
        <v>75</v>
      </c>
      <c r="Q974">
        <v>2015</v>
      </c>
      <c r="R974" s="2">
        <v>42307</v>
      </c>
      <c r="S974" s="2">
        <v>42310</v>
      </c>
      <c r="T974" s="2">
        <v>42308</v>
      </c>
      <c r="U974" s="2">
        <v>42368</v>
      </c>
      <c r="V974" t="s">
        <v>71</v>
      </c>
      <c r="W974" t="str">
        <f>"            15168365"</f>
        <v xml:space="preserve">            15168365</v>
      </c>
      <c r="X974">
        <v>421.63</v>
      </c>
      <c r="Y974">
        <v>0</v>
      </c>
      <c r="Z974" s="3">
        <v>345.6</v>
      </c>
      <c r="AA974">
        <v>279</v>
      </c>
      <c r="AB974" s="5">
        <v>96422.399999999994</v>
      </c>
      <c r="AC974">
        <v>345.6</v>
      </c>
      <c r="AD974">
        <v>279</v>
      </c>
      <c r="AE974" s="1">
        <v>96422.399999999994</v>
      </c>
      <c r="AF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 s="2">
        <v>42746</v>
      </c>
      <c r="AQ974" t="s">
        <v>72</v>
      </c>
      <c r="AR974" t="s">
        <v>72</v>
      </c>
      <c r="AS974">
        <v>2621</v>
      </c>
      <c r="AT974" s="4">
        <v>42647</v>
      </c>
      <c r="AU974" t="s">
        <v>73</v>
      </c>
      <c r="AV974">
        <v>2621</v>
      </c>
      <c r="AW974" s="4">
        <v>42647</v>
      </c>
      <c r="BD974">
        <v>0</v>
      </c>
      <c r="BN974" t="s">
        <v>74</v>
      </c>
    </row>
    <row r="975" spans="1:66">
      <c r="A975">
        <v>100210</v>
      </c>
      <c r="B975" s="3" t="s">
        <v>141</v>
      </c>
      <c r="C975" s="1">
        <v>43300101</v>
      </c>
      <c r="D975" t="s">
        <v>67</v>
      </c>
      <c r="H975" t="str">
        <f t="shared" si="82"/>
        <v>08082461008</v>
      </c>
      <c r="I975" t="str">
        <f t="shared" si="82"/>
        <v>08082461008</v>
      </c>
      <c r="K975" t="str">
        <f>""</f>
        <v/>
      </c>
      <c r="M975" t="s">
        <v>68</v>
      </c>
      <c r="N975" t="str">
        <f t="shared" si="81"/>
        <v>FOR</v>
      </c>
      <c r="O975" t="s">
        <v>69</v>
      </c>
      <c r="P975" s="3" t="s">
        <v>75</v>
      </c>
      <c r="Q975">
        <v>2015</v>
      </c>
      <c r="R975" s="2">
        <v>42307</v>
      </c>
      <c r="S975" s="2">
        <v>42310</v>
      </c>
      <c r="T975" s="2">
        <v>42308</v>
      </c>
      <c r="U975" s="2">
        <v>42368</v>
      </c>
      <c r="V975" t="s">
        <v>71</v>
      </c>
      <c r="W975" t="str">
        <f>"            15168368"</f>
        <v xml:space="preserve">            15168368</v>
      </c>
      <c r="X975" s="1">
        <v>3726.33</v>
      </c>
      <c r="Y975">
        <v>0</v>
      </c>
      <c r="Z975" s="5">
        <v>3054.36</v>
      </c>
      <c r="AA975">
        <v>279</v>
      </c>
      <c r="AB975" s="5">
        <v>852166.44</v>
      </c>
      <c r="AC975" s="1">
        <v>3054.36</v>
      </c>
      <c r="AD975">
        <v>279</v>
      </c>
      <c r="AE975" s="1">
        <v>852166.44</v>
      </c>
      <c r="AF975">
        <v>0</v>
      </c>
      <c r="AJ975">
        <v>0</v>
      </c>
      <c r="AK975">
        <v>0</v>
      </c>
      <c r="AL975">
        <v>0</v>
      </c>
      <c r="AM975">
        <v>0</v>
      </c>
      <c r="AN975">
        <v>0</v>
      </c>
      <c r="AO975">
        <v>0</v>
      </c>
      <c r="AP975" s="2">
        <v>42746</v>
      </c>
      <c r="AQ975" t="s">
        <v>72</v>
      </c>
      <c r="AR975" t="s">
        <v>72</v>
      </c>
      <c r="AS975">
        <v>2621</v>
      </c>
      <c r="AT975" s="4">
        <v>42647</v>
      </c>
      <c r="AU975" t="s">
        <v>73</v>
      </c>
      <c r="AV975">
        <v>2621</v>
      </c>
      <c r="AW975" s="4">
        <v>42647</v>
      </c>
      <c r="BD975">
        <v>0</v>
      </c>
      <c r="BN975" t="s">
        <v>74</v>
      </c>
    </row>
    <row r="976" spans="1:66">
      <c r="A976">
        <v>100210</v>
      </c>
      <c r="B976" s="3" t="s">
        <v>141</v>
      </c>
      <c r="C976" s="1">
        <v>43300101</v>
      </c>
      <c r="D976" t="s">
        <v>67</v>
      </c>
      <c r="H976" t="str">
        <f t="shared" si="82"/>
        <v>08082461008</v>
      </c>
      <c r="I976" t="str">
        <f t="shared" si="82"/>
        <v>08082461008</v>
      </c>
      <c r="K976" t="str">
        <f>""</f>
        <v/>
      </c>
      <c r="M976" t="s">
        <v>68</v>
      </c>
      <c r="N976" t="str">
        <f t="shared" si="81"/>
        <v>FOR</v>
      </c>
      <c r="O976" t="s">
        <v>69</v>
      </c>
      <c r="P976" s="3" t="s">
        <v>75</v>
      </c>
      <c r="Q976">
        <v>2015</v>
      </c>
      <c r="R976" s="2">
        <v>42307</v>
      </c>
      <c r="S976" s="2">
        <v>42310</v>
      </c>
      <c r="T976" s="2">
        <v>42308</v>
      </c>
      <c r="U976" s="2">
        <v>42368</v>
      </c>
      <c r="V976" t="s">
        <v>71</v>
      </c>
      <c r="W976" t="str">
        <f>"            15168372"</f>
        <v xml:space="preserve">            15168372</v>
      </c>
      <c r="X976" s="1">
        <v>1841.86</v>
      </c>
      <c r="Y976">
        <v>0</v>
      </c>
      <c r="Z976" s="5">
        <v>1509.72</v>
      </c>
      <c r="AA976">
        <v>279</v>
      </c>
      <c r="AB976" s="5">
        <v>421211.88</v>
      </c>
      <c r="AC976" s="1">
        <v>1509.72</v>
      </c>
      <c r="AD976">
        <v>279</v>
      </c>
      <c r="AE976" s="1">
        <v>421211.88</v>
      </c>
      <c r="AF976">
        <v>0</v>
      </c>
      <c r="AJ976">
        <v>0</v>
      </c>
      <c r="AK976">
        <v>0</v>
      </c>
      <c r="AL976">
        <v>0</v>
      </c>
      <c r="AM976">
        <v>0</v>
      </c>
      <c r="AN976">
        <v>0</v>
      </c>
      <c r="AO976">
        <v>0</v>
      </c>
      <c r="AP976" s="2">
        <v>42746</v>
      </c>
      <c r="AQ976" t="s">
        <v>72</v>
      </c>
      <c r="AR976" t="s">
        <v>72</v>
      </c>
      <c r="AS976">
        <v>2621</v>
      </c>
      <c r="AT976" s="4">
        <v>42647</v>
      </c>
      <c r="AU976" t="s">
        <v>73</v>
      </c>
      <c r="AV976">
        <v>2621</v>
      </c>
      <c r="AW976" s="4">
        <v>42647</v>
      </c>
      <c r="BD976">
        <v>0</v>
      </c>
      <c r="BN976" t="s">
        <v>74</v>
      </c>
    </row>
    <row r="977" spans="1:66">
      <c r="A977">
        <v>100210</v>
      </c>
      <c r="B977" s="3" t="s">
        <v>141</v>
      </c>
      <c r="C977" s="1">
        <v>43300101</v>
      </c>
      <c r="D977" t="s">
        <v>67</v>
      </c>
      <c r="H977" t="str">
        <f t="shared" ref="H977:I996" si="83">"08082461008"</f>
        <v>08082461008</v>
      </c>
      <c r="I977" t="str">
        <f t="shared" si="83"/>
        <v>08082461008</v>
      </c>
      <c r="K977" t="str">
        <f>""</f>
        <v/>
      </c>
      <c r="M977" t="s">
        <v>68</v>
      </c>
      <c r="N977" t="str">
        <f t="shared" si="81"/>
        <v>FOR</v>
      </c>
      <c r="O977" t="s">
        <v>69</v>
      </c>
      <c r="P977" s="3" t="s">
        <v>75</v>
      </c>
      <c r="Q977">
        <v>2015</v>
      </c>
      <c r="R977" s="2">
        <v>42311</v>
      </c>
      <c r="S977" s="2">
        <v>42312</v>
      </c>
      <c r="T977" s="2">
        <v>42311</v>
      </c>
      <c r="U977" s="2">
        <v>42371</v>
      </c>
      <c r="V977" t="s">
        <v>71</v>
      </c>
      <c r="W977" t="str">
        <f>"            15169605"</f>
        <v xml:space="preserve">            15169605</v>
      </c>
      <c r="X977">
        <v>217.4</v>
      </c>
      <c r="Y977">
        <v>0</v>
      </c>
      <c r="Z977" s="3">
        <v>178.2</v>
      </c>
      <c r="AA977">
        <v>307</v>
      </c>
      <c r="AB977" s="5">
        <v>54707.4</v>
      </c>
      <c r="AC977">
        <v>178.2</v>
      </c>
      <c r="AD977">
        <v>307</v>
      </c>
      <c r="AE977" s="1">
        <v>54707.4</v>
      </c>
      <c r="AF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 s="2">
        <v>42746</v>
      </c>
      <c r="AQ977" t="s">
        <v>72</v>
      </c>
      <c r="AR977" t="s">
        <v>72</v>
      </c>
      <c r="AS977">
        <v>2927</v>
      </c>
      <c r="AT977" s="4">
        <v>42678</v>
      </c>
      <c r="AU977" t="s">
        <v>73</v>
      </c>
      <c r="AV977">
        <v>2927</v>
      </c>
      <c r="AW977" s="4">
        <v>42678</v>
      </c>
      <c r="BD977">
        <v>0</v>
      </c>
      <c r="BN977" t="s">
        <v>74</v>
      </c>
    </row>
    <row r="978" spans="1:66">
      <c r="A978">
        <v>100210</v>
      </c>
      <c r="B978" s="3" t="s">
        <v>141</v>
      </c>
      <c r="C978" s="1">
        <v>43300101</v>
      </c>
      <c r="D978" t="s">
        <v>67</v>
      </c>
      <c r="H978" t="str">
        <f t="shared" si="83"/>
        <v>08082461008</v>
      </c>
      <c r="I978" t="str">
        <f t="shared" si="83"/>
        <v>08082461008</v>
      </c>
      <c r="K978" t="str">
        <f>""</f>
        <v/>
      </c>
      <c r="M978" t="s">
        <v>68</v>
      </c>
      <c r="N978" t="str">
        <f t="shared" si="81"/>
        <v>FOR</v>
      </c>
      <c r="O978" t="s">
        <v>69</v>
      </c>
      <c r="P978" s="3" t="s">
        <v>75</v>
      </c>
      <c r="Q978">
        <v>2015</v>
      </c>
      <c r="R978" s="2">
        <v>42312</v>
      </c>
      <c r="S978" s="2">
        <v>42317</v>
      </c>
      <c r="T978" s="2">
        <v>42312</v>
      </c>
      <c r="U978" s="2">
        <v>42372</v>
      </c>
      <c r="V978" t="s">
        <v>71</v>
      </c>
      <c r="W978" t="str">
        <f>"            15170221"</f>
        <v xml:space="preserve">            15170221</v>
      </c>
      <c r="X978">
        <v>461.16</v>
      </c>
      <c r="Y978">
        <v>0</v>
      </c>
      <c r="Z978" s="3">
        <v>378</v>
      </c>
      <c r="AA978">
        <v>306</v>
      </c>
      <c r="AB978" s="5">
        <v>115668</v>
      </c>
      <c r="AC978">
        <v>378</v>
      </c>
      <c r="AD978">
        <v>306</v>
      </c>
      <c r="AE978" s="1">
        <v>115668</v>
      </c>
      <c r="AF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 s="2">
        <v>42746</v>
      </c>
      <c r="AQ978" t="s">
        <v>72</v>
      </c>
      <c r="AR978" t="s">
        <v>72</v>
      </c>
      <c r="AS978">
        <v>2927</v>
      </c>
      <c r="AT978" s="4">
        <v>42678</v>
      </c>
      <c r="AU978" t="s">
        <v>73</v>
      </c>
      <c r="AV978">
        <v>2927</v>
      </c>
      <c r="AW978" s="4">
        <v>42678</v>
      </c>
      <c r="BD978">
        <v>0</v>
      </c>
      <c r="BN978" t="s">
        <v>74</v>
      </c>
    </row>
    <row r="979" spans="1:66">
      <c r="A979">
        <v>100210</v>
      </c>
      <c r="B979" s="3" t="s">
        <v>141</v>
      </c>
      <c r="C979" s="1">
        <v>43300101</v>
      </c>
      <c r="D979" t="s">
        <v>67</v>
      </c>
      <c r="H979" t="str">
        <f t="shared" si="83"/>
        <v>08082461008</v>
      </c>
      <c r="I979" t="str">
        <f t="shared" si="83"/>
        <v>08082461008</v>
      </c>
      <c r="K979" t="str">
        <f>""</f>
        <v/>
      </c>
      <c r="M979" t="s">
        <v>68</v>
      </c>
      <c r="N979" t="str">
        <f t="shared" si="81"/>
        <v>FOR</v>
      </c>
      <c r="O979" t="s">
        <v>69</v>
      </c>
      <c r="P979" s="3" t="s">
        <v>75</v>
      </c>
      <c r="Q979">
        <v>2015</v>
      </c>
      <c r="R979" s="2">
        <v>42312</v>
      </c>
      <c r="S979" s="2">
        <v>42317</v>
      </c>
      <c r="T979" s="2">
        <v>42312</v>
      </c>
      <c r="U979" s="2">
        <v>42372</v>
      </c>
      <c r="V979" t="s">
        <v>71</v>
      </c>
      <c r="W979" t="str">
        <f>"            15170250"</f>
        <v xml:space="preserve">            15170250</v>
      </c>
      <c r="X979">
        <v>113.75</v>
      </c>
      <c r="Y979">
        <v>0</v>
      </c>
      <c r="Z979" s="3">
        <v>93.24</v>
      </c>
      <c r="AA979">
        <v>306</v>
      </c>
      <c r="AB979" s="5">
        <v>28531.439999999999</v>
      </c>
      <c r="AC979">
        <v>93.24</v>
      </c>
      <c r="AD979">
        <v>306</v>
      </c>
      <c r="AE979" s="1">
        <v>28531.439999999999</v>
      </c>
      <c r="AF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 s="2">
        <v>42746</v>
      </c>
      <c r="AQ979" t="s">
        <v>72</v>
      </c>
      <c r="AR979" t="s">
        <v>72</v>
      </c>
      <c r="AS979">
        <v>2927</v>
      </c>
      <c r="AT979" s="4">
        <v>42678</v>
      </c>
      <c r="AU979" t="s">
        <v>73</v>
      </c>
      <c r="AV979">
        <v>2927</v>
      </c>
      <c r="AW979" s="4">
        <v>42678</v>
      </c>
      <c r="BD979">
        <v>0</v>
      </c>
      <c r="BN979" t="s">
        <v>74</v>
      </c>
    </row>
    <row r="980" spans="1:66">
      <c r="A980">
        <v>100210</v>
      </c>
      <c r="B980" s="3" t="s">
        <v>141</v>
      </c>
      <c r="C980" s="1">
        <v>43300101</v>
      </c>
      <c r="D980" t="s">
        <v>67</v>
      </c>
      <c r="H980" t="str">
        <f t="shared" si="83"/>
        <v>08082461008</v>
      </c>
      <c r="I980" t="str">
        <f t="shared" si="83"/>
        <v>08082461008</v>
      </c>
      <c r="K980" t="str">
        <f>""</f>
        <v/>
      </c>
      <c r="M980" t="s">
        <v>68</v>
      </c>
      <c r="N980" t="str">
        <f t="shared" si="81"/>
        <v>FOR</v>
      </c>
      <c r="O980" t="s">
        <v>69</v>
      </c>
      <c r="P980" s="3" t="s">
        <v>75</v>
      </c>
      <c r="Q980">
        <v>2015</v>
      </c>
      <c r="R980" s="2">
        <v>42313</v>
      </c>
      <c r="S980" s="2">
        <v>42317</v>
      </c>
      <c r="T980" s="2">
        <v>42313</v>
      </c>
      <c r="U980" s="2">
        <v>42373</v>
      </c>
      <c r="V980" t="s">
        <v>71</v>
      </c>
      <c r="W980" t="str">
        <f>"            15170833"</f>
        <v xml:space="preserve">            15170833</v>
      </c>
      <c r="X980">
        <v>644.79999999999995</v>
      </c>
      <c r="Y980">
        <v>0</v>
      </c>
      <c r="Z980" s="3">
        <v>620</v>
      </c>
      <c r="AA980">
        <v>305</v>
      </c>
      <c r="AB980" s="5">
        <v>189100</v>
      </c>
      <c r="AC980">
        <v>620</v>
      </c>
      <c r="AD980">
        <v>305</v>
      </c>
      <c r="AE980" s="1">
        <v>189100</v>
      </c>
      <c r="AF980">
        <v>0</v>
      </c>
      <c r="AJ980">
        <v>0</v>
      </c>
      <c r="AK980">
        <v>0</v>
      </c>
      <c r="AL980">
        <v>0</v>
      </c>
      <c r="AM980">
        <v>0</v>
      </c>
      <c r="AN980">
        <v>0</v>
      </c>
      <c r="AO980">
        <v>0</v>
      </c>
      <c r="AP980" s="2">
        <v>42746</v>
      </c>
      <c r="AQ980" t="s">
        <v>72</v>
      </c>
      <c r="AR980" t="s">
        <v>72</v>
      </c>
      <c r="AS980">
        <v>2927</v>
      </c>
      <c r="AT980" s="4">
        <v>42678</v>
      </c>
      <c r="AU980" t="s">
        <v>73</v>
      </c>
      <c r="AV980">
        <v>2927</v>
      </c>
      <c r="AW980" s="4">
        <v>42678</v>
      </c>
      <c r="BD980">
        <v>0</v>
      </c>
      <c r="BN980" t="s">
        <v>74</v>
      </c>
    </row>
    <row r="981" spans="1:66">
      <c r="A981">
        <v>100210</v>
      </c>
      <c r="B981" s="3" t="s">
        <v>141</v>
      </c>
      <c r="C981" s="1">
        <v>43300101</v>
      </c>
      <c r="D981" t="s">
        <v>67</v>
      </c>
      <c r="H981" t="str">
        <f t="shared" si="83"/>
        <v>08082461008</v>
      </c>
      <c r="I981" t="str">
        <f t="shared" si="83"/>
        <v>08082461008</v>
      </c>
      <c r="K981" t="str">
        <f>""</f>
        <v/>
      </c>
      <c r="M981" t="s">
        <v>68</v>
      </c>
      <c r="N981" t="str">
        <f t="shared" si="81"/>
        <v>FOR</v>
      </c>
      <c r="O981" t="s">
        <v>69</v>
      </c>
      <c r="P981" s="3" t="s">
        <v>75</v>
      </c>
      <c r="Q981">
        <v>2015</v>
      </c>
      <c r="R981" s="2">
        <v>42314</v>
      </c>
      <c r="S981" s="2">
        <v>42318</v>
      </c>
      <c r="T981" s="2">
        <v>42314</v>
      </c>
      <c r="U981" s="2">
        <v>42374</v>
      </c>
      <c r="V981" t="s">
        <v>71</v>
      </c>
      <c r="W981" t="str">
        <f>"            15171591"</f>
        <v xml:space="preserve">            15171591</v>
      </c>
      <c r="X981">
        <v>644.79999999999995</v>
      </c>
      <c r="Y981">
        <v>0</v>
      </c>
      <c r="Z981" s="3">
        <v>620</v>
      </c>
      <c r="AA981">
        <v>304</v>
      </c>
      <c r="AB981" s="5">
        <v>188480</v>
      </c>
      <c r="AC981">
        <v>620</v>
      </c>
      <c r="AD981">
        <v>304</v>
      </c>
      <c r="AE981" s="1">
        <v>188480</v>
      </c>
      <c r="AF981">
        <v>0</v>
      </c>
      <c r="AJ981">
        <v>0</v>
      </c>
      <c r="AK981">
        <v>0</v>
      </c>
      <c r="AL981">
        <v>0</v>
      </c>
      <c r="AM981">
        <v>0</v>
      </c>
      <c r="AN981">
        <v>0</v>
      </c>
      <c r="AO981">
        <v>0</v>
      </c>
      <c r="AP981" s="2">
        <v>42746</v>
      </c>
      <c r="AQ981" t="s">
        <v>72</v>
      </c>
      <c r="AR981" t="s">
        <v>72</v>
      </c>
      <c r="AS981">
        <v>2927</v>
      </c>
      <c r="AT981" s="4">
        <v>42678</v>
      </c>
      <c r="AU981" t="s">
        <v>73</v>
      </c>
      <c r="AV981">
        <v>2927</v>
      </c>
      <c r="AW981" s="4">
        <v>42678</v>
      </c>
      <c r="BD981">
        <v>0</v>
      </c>
      <c r="BN981" t="s">
        <v>74</v>
      </c>
    </row>
    <row r="982" spans="1:66">
      <c r="A982">
        <v>100210</v>
      </c>
      <c r="B982" s="3" t="s">
        <v>141</v>
      </c>
      <c r="C982" s="1">
        <v>43300101</v>
      </c>
      <c r="D982" t="s">
        <v>67</v>
      </c>
      <c r="H982" t="str">
        <f t="shared" si="83"/>
        <v>08082461008</v>
      </c>
      <c r="I982" t="str">
        <f t="shared" si="83"/>
        <v>08082461008</v>
      </c>
      <c r="K982" t="str">
        <f>""</f>
        <v/>
      </c>
      <c r="M982" t="s">
        <v>68</v>
      </c>
      <c r="N982" t="str">
        <f t="shared" si="81"/>
        <v>FOR</v>
      </c>
      <c r="O982" t="s">
        <v>69</v>
      </c>
      <c r="P982" s="3" t="s">
        <v>75</v>
      </c>
      <c r="Q982">
        <v>2015</v>
      </c>
      <c r="R982" s="2">
        <v>42320</v>
      </c>
      <c r="S982" s="2">
        <v>42324</v>
      </c>
      <c r="T982" s="2">
        <v>42320</v>
      </c>
      <c r="U982" s="2">
        <v>42380</v>
      </c>
      <c r="V982" t="s">
        <v>71</v>
      </c>
      <c r="W982" t="str">
        <f>"            15174602"</f>
        <v xml:space="preserve">            15174602</v>
      </c>
      <c r="X982">
        <v>455.01</v>
      </c>
      <c r="Y982">
        <v>0</v>
      </c>
      <c r="Z982" s="3">
        <v>372.96</v>
      </c>
      <c r="AA982">
        <v>298</v>
      </c>
      <c r="AB982" s="5">
        <v>111142.08</v>
      </c>
      <c r="AC982">
        <v>372.96</v>
      </c>
      <c r="AD982">
        <v>298</v>
      </c>
      <c r="AE982" s="1">
        <v>111142.08</v>
      </c>
      <c r="AF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0</v>
      </c>
      <c r="AP982" s="2">
        <v>42746</v>
      </c>
      <c r="AQ982" t="s">
        <v>72</v>
      </c>
      <c r="AR982" t="s">
        <v>72</v>
      </c>
      <c r="AS982">
        <v>2927</v>
      </c>
      <c r="AT982" s="4">
        <v>42678</v>
      </c>
      <c r="AU982" t="s">
        <v>73</v>
      </c>
      <c r="AV982">
        <v>2927</v>
      </c>
      <c r="AW982" s="4">
        <v>42678</v>
      </c>
      <c r="BD982">
        <v>0</v>
      </c>
      <c r="BN982" t="s">
        <v>74</v>
      </c>
    </row>
    <row r="983" spans="1:66">
      <c r="A983">
        <v>100210</v>
      </c>
      <c r="B983" s="3" t="s">
        <v>141</v>
      </c>
      <c r="C983" s="1">
        <v>43300101</v>
      </c>
      <c r="D983" t="s">
        <v>67</v>
      </c>
      <c r="H983" t="str">
        <f t="shared" si="83"/>
        <v>08082461008</v>
      </c>
      <c r="I983" t="str">
        <f t="shared" si="83"/>
        <v>08082461008</v>
      </c>
      <c r="K983" t="str">
        <f>""</f>
        <v/>
      </c>
      <c r="M983" t="s">
        <v>68</v>
      </c>
      <c r="N983" t="str">
        <f t="shared" si="81"/>
        <v>FOR</v>
      </c>
      <c r="O983" t="s">
        <v>69</v>
      </c>
      <c r="P983" s="3" t="s">
        <v>75</v>
      </c>
      <c r="Q983">
        <v>2015</v>
      </c>
      <c r="R983" s="2">
        <v>42320</v>
      </c>
      <c r="S983" s="2">
        <v>42324</v>
      </c>
      <c r="T983" s="2">
        <v>42320</v>
      </c>
      <c r="U983" s="2">
        <v>42380</v>
      </c>
      <c r="V983" t="s">
        <v>71</v>
      </c>
      <c r="W983" t="str">
        <f>"            15174815"</f>
        <v xml:space="preserve">            15174815</v>
      </c>
      <c r="X983" s="1">
        <v>8892</v>
      </c>
      <c r="Y983">
        <v>0</v>
      </c>
      <c r="Z983" s="5">
        <v>8550</v>
      </c>
      <c r="AA983">
        <v>298</v>
      </c>
      <c r="AB983" s="5">
        <v>2547900</v>
      </c>
      <c r="AC983" s="1">
        <v>8550</v>
      </c>
      <c r="AD983">
        <v>298</v>
      </c>
      <c r="AE983" s="1">
        <v>2547900</v>
      </c>
      <c r="AF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 s="2">
        <v>42746</v>
      </c>
      <c r="AQ983" t="s">
        <v>72</v>
      </c>
      <c r="AR983" t="s">
        <v>72</v>
      </c>
      <c r="AS983">
        <v>2927</v>
      </c>
      <c r="AT983" s="4">
        <v>42678</v>
      </c>
      <c r="AU983" t="s">
        <v>73</v>
      </c>
      <c r="AV983">
        <v>2927</v>
      </c>
      <c r="AW983" s="4">
        <v>42678</v>
      </c>
      <c r="BD983">
        <v>0</v>
      </c>
      <c r="BN983" t="s">
        <v>74</v>
      </c>
    </row>
    <row r="984" spans="1:66">
      <c r="A984">
        <v>100210</v>
      </c>
      <c r="B984" s="3" t="s">
        <v>141</v>
      </c>
      <c r="C984" s="1">
        <v>43300101</v>
      </c>
      <c r="D984" t="s">
        <v>67</v>
      </c>
      <c r="H984" t="str">
        <f t="shared" si="83"/>
        <v>08082461008</v>
      </c>
      <c r="I984" t="str">
        <f t="shared" si="83"/>
        <v>08082461008</v>
      </c>
      <c r="K984" t="str">
        <f>""</f>
        <v/>
      </c>
      <c r="M984" t="s">
        <v>68</v>
      </c>
      <c r="N984" t="str">
        <f t="shared" si="81"/>
        <v>FOR</v>
      </c>
      <c r="O984" t="s">
        <v>69</v>
      </c>
      <c r="P984" s="3" t="s">
        <v>75</v>
      </c>
      <c r="Q984">
        <v>2015</v>
      </c>
      <c r="R984" s="2">
        <v>42320</v>
      </c>
      <c r="S984" s="2">
        <v>42324</v>
      </c>
      <c r="T984" s="2">
        <v>42320</v>
      </c>
      <c r="U984" s="2">
        <v>42380</v>
      </c>
      <c r="V984" t="s">
        <v>71</v>
      </c>
      <c r="W984" t="str">
        <f>"            15174849"</f>
        <v xml:space="preserve">            15174849</v>
      </c>
      <c r="X984" s="1">
        <v>1952</v>
      </c>
      <c r="Y984">
        <v>0</v>
      </c>
      <c r="Z984" s="5">
        <v>1600</v>
      </c>
      <c r="AA984">
        <v>298</v>
      </c>
      <c r="AB984" s="5">
        <v>476800</v>
      </c>
      <c r="AC984" s="1">
        <v>1600</v>
      </c>
      <c r="AD984">
        <v>298</v>
      </c>
      <c r="AE984" s="1">
        <v>476800</v>
      </c>
      <c r="AF984">
        <v>0</v>
      </c>
      <c r="AJ984">
        <v>0</v>
      </c>
      <c r="AK984">
        <v>0</v>
      </c>
      <c r="AL984">
        <v>0</v>
      </c>
      <c r="AM984">
        <v>0</v>
      </c>
      <c r="AN984">
        <v>0</v>
      </c>
      <c r="AO984">
        <v>0</v>
      </c>
      <c r="AP984" s="2">
        <v>42746</v>
      </c>
      <c r="AQ984" t="s">
        <v>72</v>
      </c>
      <c r="AR984" t="s">
        <v>72</v>
      </c>
      <c r="AS984">
        <v>2927</v>
      </c>
      <c r="AT984" s="4">
        <v>42678</v>
      </c>
      <c r="AU984" t="s">
        <v>73</v>
      </c>
      <c r="AV984">
        <v>2927</v>
      </c>
      <c r="AW984" s="4">
        <v>42678</v>
      </c>
      <c r="BD984">
        <v>0</v>
      </c>
      <c r="BN984" t="s">
        <v>74</v>
      </c>
    </row>
    <row r="985" spans="1:66">
      <c r="A985">
        <v>100210</v>
      </c>
      <c r="B985" s="3" t="s">
        <v>141</v>
      </c>
      <c r="C985" s="1">
        <v>43300101</v>
      </c>
      <c r="D985" t="s">
        <v>67</v>
      </c>
      <c r="H985" t="str">
        <f t="shared" si="83"/>
        <v>08082461008</v>
      </c>
      <c r="I985" t="str">
        <f t="shared" si="83"/>
        <v>08082461008</v>
      </c>
      <c r="K985" t="str">
        <f>""</f>
        <v/>
      </c>
      <c r="M985" t="s">
        <v>68</v>
      </c>
      <c r="N985" t="str">
        <f t="shared" si="81"/>
        <v>FOR</v>
      </c>
      <c r="O985" t="s">
        <v>69</v>
      </c>
      <c r="P985" s="3" t="s">
        <v>75</v>
      </c>
      <c r="Q985">
        <v>2015</v>
      </c>
      <c r="R985" s="2">
        <v>42325</v>
      </c>
      <c r="S985" s="2">
        <v>42328</v>
      </c>
      <c r="T985" s="2">
        <v>42327</v>
      </c>
      <c r="U985" s="2">
        <v>42387</v>
      </c>
      <c r="V985" t="s">
        <v>71</v>
      </c>
      <c r="W985" t="str">
        <f>"            15176974"</f>
        <v xml:space="preserve">            15176974</v>
      </c>
      <c r="X985" s="1">
        <v>8784</v>
      </c>
      <c r="Y985">
        <v>0</v>
      </c>
      <c r="Z985" s="5">
        <v>7200</v>
      </c>
      <c r="AA985">
        <v>291</v>
      </c>
      <c r="AB985" s="5">
        <v>2095200</v>
      </c>
      <c r="AC985" s="1">
        <v>7200</v>
      </c>
      <c r="AD985">
        <v>291</v>
      </c>
      <c r="AE985" s="1">
        <v>2095200</v>
      </c>
      <c r="AF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 s="2">
        <v>42746</v>
      </c>
      <c r="AQ985" t="s">
        <v>72</v>
      </c>
      <c r="AR985" t="s">
        <v>72</v>
      </c>
      <c r="AS985">
        <v>2927</v>
      </c>
      <c r="AT985" s="4">
        <v>42678</v>
      </c>
      <c r="AU985" t="s">
        <v>73</v>
      </c>
      <c r="AV985">
        <v>2927</v>
      </c>
      <c r="AW985" s="4">
        <v>42678</v>
      </c>
      <c r="BD985">
        <v>0</v>
      </c>
      <c r="BN985" t="s">
        <v>74</v>
      </c>
    </row>
    <row r="986" spans="1:66">
      <c r="A986">
        <v>100210</v>
      </c>
      <c r="B986" s="3" t="s">
        <v>141</v>
      </c>
      <c r="C986" s="1">
        <v>43300101</v>
      </c>
      <c r="D986" t="s">
        <v>67</v>
      </c>
      <c r="H986" t="str">
        <f t="shared" si="83"/>
        <v>08082461008</v>
      </c>
      <c r="I986" t="str">
        <f t="shared" si="83"/>
        <v>08082461008</v>
      </c>
      <c r="K986" t="str">
        <f>""</f>
        <v/>
      </c>
      <c r="M986" t="s">
        <v>68</v>
      </c>
      <c r="N986" t="str">
        <f t="shared" si="81"/>
        <v>FOR</v>
      </c>
      <c r="O986" t="s">
        <v>69</v>
      </c>
      <c r="P986" s="3" t="s">
        <v>75</v>
      </c>
      <c r="Q986">
        <v>2015</v>
      </c>
      <c r="R986" s="2">
        <v>42325</v>
      </c>
      <c r="S986" s="2">
        <v>42328</v>
      </c>
      <c r="T986" s="2">
        <v>42327</v>
      </c>
      <c r="U986" s="2">
        <v>42387</v>
      </c>
      <c r="V986" t="s">
        <v>71</v>
      </c>
      <c r="W986" t="str">
        <f>"            15177329"</f>
        <v xml:space="preserve">            15177329</v>
      </c>
      <c r="X986" s="1">
        <v>5885.28</v>
      </c>
      <c r="Y986">
        <v>0</v>
      </c>
      <c r="Z986" s="5">
        <v>4824</v>
      </c>
      <c r="AA986">
        <v>291</v>
      </c>
      <c r="AB986" s="5">
        <v>1403784</v>
      </c>
      <c r="AC986" s="1">
        <v>4824</v>
      </c>
      <c r="AD986">
        <v>291</v>
      </c>
      <c r="AE986" s="1">
        <v>1403784</v>
      </c>
      <c r="AF986">
        <v>0</v>
      </c>
      <c r="AJ986">
        <v>0</v>
      </c>
      <c r="AK986">
        <v>0</v>
      </c>
      <c r="AL986">
        <v>0</v>
      </c>
      <c r="AM986">
        <v>0</v>
      </c>
      <c r="AN986">
        <v>0</v>
      </c>
      <c r="AO986">
        <v>0</v>
      </c>
      <c r="AP986" s="2">
        <v>42746</v>
      </c>
      <c r="AQ986" t="s">
        <v>72</v>
      </c>
      <c r="AR986" t="s">
        <v>72</v>
      </c>
      <c r="AS986">
        <v>2927</v>
      </c>
      <c r="AT986" s="4">
        <v>42678</v>
      </c>
      <c r="AU986" t="s">
        <v>73</v>
      </c>
      <c r="AV986">
        <v>2927</v>
      </c>
      <c r="AW986" s="4">
        <v>42678</v>
      </c>
      <c r="BD986">
        <v>0</v>
      </c>
      <c r="BN986" t="s">
        <v>74</v>
      </c>
    </row>
    <row r="987" spans="1:66">
      <c r="A987">
        <v>100210</v>
      </c>
      <c r="B987" s="3" t="s">
        <v>141</v>
      </c>
      <c r="C987" s="1">
        <v>43300101</v>
      </c>
      <c r="D987" t="s">
        <v>67</v>
      </c>
      <c r="H987" t="str">
        <f t="shared" si="83"/>
        <v>08082461008</v>
      </c>
      <c r="I987" t="str">
        <f t="shared" si="83"/>
        <v>08082461008</v>
      </c>
      <c r="K987" t="str">
        <f>""</f>
        <v/>
      </c>
      <c r="M987" t="s">
        <v>68</v>
      </c>
      <c r="N987" t="str">
        <f t="shared" si="81"/>
        <v>FOR</v>
      </c>
      <c r="O987" t="s">
        <v>69</v>
      </c>
      <c r="P987" s="3" t="s">
        <v>75</v>
      </c>
      <c r="Q987">
        <v>2015</v>
      </c>
      <c r="R987" s="2">
        <v>42327</v>
      </c>
      <c r="S987" s="2">
        <v>42328</v>
      </c>
      <c r="T987" s="2">
        <v>42327</v>
      </c>
      <c r="U987" s="2">
        <v>42387</v>
      </c>
      <c r="V987" t="s">
        <v>71</v>
      </c>
      <c r="W987" t="str">
        <f>"            15179419"</f>
        <v xml:space="preserve">            15179419</v>
      </c>
      <c r="X987">
        <v>732</v>
      </c>
      <c r="Y987">
        <v>0</v>
      </c>
      <c r="Z987" s="3">
        <v>600</v>
      </c>
      <c r="AA987">
        <v>291</v>
      </c>
      <c r="AB987" s="5">
        <v>174600</v>
      </c>
      <c r="AC987">
        <v>600</v>
      </c>
      <c r="AD987">
        <v>291</v>
      </c>
      <c r="AE987" s="1">
        <v>174600</v>
      </c>
      <c r="AF987">
        <v>0</v>
      </c>
      <c r="AJ987">
        <v>0</v>
      </c>
      <c r="AK987">
        <v>0</v>
      </c>
      <c r="AL987">
        <v>0</v>
      </c>
      <c r="AM987">
        <v>0</v>
      </c>
      <c r="AN987">
        <v>0</v>
      </c>
      <c r="AO987">
        <v>0</v>
      </c>
      <c r="AP987" s="2">
        <v>42746</v>
      </c>
      <c r="AQ987" t="s">
        <v>72</v>
      </c>
      <c r="AR987" t="s">
        <v>72</v>
      </c>
      <c r="AS987">
        <v>2927</v>
      </c>
      <c r="AT987" s="4">
        <v>42678</v>
      </c>
      <c r="AU987" t="s">
        <v>73</v>
      </c>
      <c r="AV987">
        <v>2927</v>
      </c>
      <c r="AW987" s="4">
        <v>42678</v>
      </c>
      <c r="BD987">
        <v>0</v>
      </c>
      <c r="BN987" t="s">
        <v>74</v>
      </c>
    </row>
    <row r="988" spans="1:66">
      <c r="A988">
        <v>100210</v>
      </c>
      <c r="B988" s="3" t="s">
        <v>141</v>
      </c>
      <c r="C988" s="1">
        <v>43300101</v>
      </c>
      <c r="D988" t="s">
        <v>67</v>
      </c>
      <c r="H988" t="str">
        <f t="shared" si="83"/>
        <v>08082461008</v>
      </c>
      <c r="I988" t="str">
        <f t="shared" si="83"/>
        <v>08082461008</v>
      </c>
      <c r="K988" t="str">
        <f>""</f>
        <v/>
      </c>
      <c r="M988" t="s">
        <v>68</v>
      </c>
      <c r="N988" t="str">
        <f t="shared" si="81"/>
        <v>FOR</v>
      </c>
      <c r="O988" t="s">
        <v>69</v>
      </c>
      <c r="P988" s="3" t="s">
        <v>75</v>
      </c>
      <c r="Q988">
        <v>2015</v>
      </c>
      <c r="R988" s="2">
        <v>42331</v>
      </c>
      <c r="S988" s="2">
        <v>42333</v>
      </c>
      <c r="T988" s="2">
        <v>42332</v>
      </c>
      <c r="U988" s="2">
        <v>42392</v>
      </c>
      <c r="V988" t="s">
        <v>71</v>
      </c>
      <c r="W988" t="str">
        <f>"            15181067"</f>
        <v xml:space="preserve">            15181067</v>
      </c>
      <c r="X988" s="1">
        <v>1152.9000000000001</v>
      </c>
      <c r="Y988">
        <v>0</v>
      </c>
      <c r="Z988" s="3">
        <v>945</v>
      </c>
      <c r="AA988">
        <v>286</v>
      </c>
      <c r="AB988" s="5">
        <v>270270</v>
      </c>
      <c r="AC988">
        <v>945</v>
      </c>
      <c r="AD988">
        <v>286</v>
      </c>
      <c r="AE988" s="1">
        <v>270270</v>
      </c>
      <c r="AF988">
        <v>0</v>
      </c>
      <c r="AJ988">
        <v>0</v>
      </c>
      <c r="AK988">
        <v>0</v>
      </c>
      <c r="AL988">
        <v>0</v>
      </c>
      <c r="AM988">
        <v>0</v>
      </c>
      <c r="AN988">
        <v>0</v>
      </c>
      <c r="AO988">
        <v>0</v>
      </c>
      <c r="AP988" s="2">
        <v>42746</v>
      </c>
      <c r="AQ988" t="s">
        <v>72</v>
      </c>
      <c r="AR988" t="s">
        <v>72</v>
      </c>
      <c r="AS988">
        <v>2927</v>
      </c>
      <c r="AT988" s="4">
        <v>42678</v>
      </c>
      <c r="AU988" t="s">
        <v>73</v>
      </c>
      <c r="AV988">
        <v>2927</v>
      </c>
      <c r="AW988" s="4">
        <v>42678</v>
      </c>
      <c r="BD988">
        <v>0</v>
      </c>
      <c r="BN988" t="s">
        <v>74</v>
      </c>
    </row>
    <row r="989" spans="1:66">
      <c r="A989">
        <v>100210</v>
      </c>
      <c r="B989" s="3" t="s">
        <v>141</v>
      </c>
      <c r="C989" s="1">
        <v>43300101</v>
      </c>
      <c r="D989" t="s">
        <v>67</v>
      </c>
      <c r="H989" t="str">
        <f t="shared" si="83"/>
        <v>08082461008</v>
      </c>
      <c r="I989" t="str">
        <f t="shared" si="83"/>
        <v>08082461008</v>
      </c>
      <c r="K989" t="str">
        <f>""</f>
        <v/>
      </c>
      <c r="M989" t="s">
        <v>68</v>
      </c>
      <c r="N989" t="str">
        <f t="shared" si="81"/>
        <v>FOR</v>
      </c>
      <c r="O989" t="s">
        <v>69</v>
      </c>
      <c r="P989" s="3" t="s">
        <v>75</v>
      </c>
      <c r="Q989">
        <v>2015</v>
      </c>
      <c r="R989" s="2">
        <v>42332</v>
      </c>
      <c r="S989" s="2">
        <v>42334</v>
      </c>
      <c r="T989" s="2">
        <v>42333</v>
      </c>
      <c r="U989" s="2">
        <v>42393</v>
      </c>
      <c r="V989" t="s">
        <v>71</v>
      </c>
      <c r="W989" t="str">
        <f>"            15181856"</f>
        <v xml:space="preserve">            15181856</v>
      </c>
      <c r="X989" s="1">
        <v>1355.81</v>
      </c>
      <c r="Y989">
        <v>0</v>
      </c>
      <c r="Z989" s="5">
        <v>1111.32</v>
      </c>
      <c r="AA989">
        <v>285</v>
      </c>
      <c r="AB989" s="5">
        <v>316726.2</v>
      </c>
      <c r="AC989" s="1">
        <v>1111.32</v>
      </c>
      <c r="AD989">
        <v>285</v>
      </c>
      <c r="AE989" s="1">
        <v>316726.2</v>
      </c>
      <c r="AF989">
        <v>0</v>
      </c>
      <c r="AJ989">
        <v>0</v>
      </c>
      <c r="AK989">
        <v>0</v>
      </c>
      <c r="AL989">
        <v>0</v>
      </c>
      <c r="AM989">
        <v>0</v>
      </c>
      <c r="AN989">
        <v>0</v>
      </c>
      <c r="AO989">
        <v>0</v>
      </c>
      <c r="AP989" s="2">
        <v>42746</v>
      </c>
      <c r="AQ989" t="s">
        <v>72</v>
      </c>
      <c r="AR989" t="s">
        <v>72</v>
      </c>
      <c r="AS989">
        <v>2927</v>
      </c>
      <c r="AT989" s="4">
        <v>42678</v>
      </c>
      <c r="AU989" t="s">
        <v>73</v>
      </c>
      <c r="AV989">
        <v>2927</v>
      </c>
      <c r="AW989" s="4">
        <v>42678</v>
      </c>
      <c r="BD989">
        <v>0</v>
      </c>
      <c r="BN989" t="s">
        <v>74</v>
      </c>
    </row>
    <row r="990" spans="1:66">
      <c r="A990">
        <v>100210</v>
      </c>
      <c r="B990" s="3" t="s">
        <v>141</v>
      </c>
      <c r="C990" s="1">
        <v>43300101</v>
      </c>
      <c r="D990" t="s">
        <v>67</v>
      </c>
      <c r="H990" t="str">
        <f t="shared" si="83"/>
        <v>08082461008</v>
      </c>
      <c r="I990" t="str">
        <f t="shared" si="83"/>
        <v>08082461008</v>
      </c>
      <c r="K990" t="str">
        <f>""</f>
        <v/>
      </c>
      <c r="M990" t="s">
        <v>68</v>
      </c>
      <c r="N990" t="str">
        <f t="shared" si="81"/>
        <v>FOR</v>
      </c>
      <c r="O990" t="s">
        <v>69</v>
      </c>
      <c r="P990" s="3" t="s">
        <v>75</v>
      </c>
      <c r="Q990">
        <v>2015</v>
      </c>
      <c r="R990" s="2">
        <v>42332</v>
      </c>
      <c r="S990" s="2">
        <v>42334</v>
      </c>
      <c r="T990" s="2">
        <v>42333</v>
      </c>
      <c r="U990" s="2">
        <v>42393</v>
      </c>
      <c r="V990" t="s">
        <v>71</v>
      </c>
      <c r="W990" t="str">
        <f>"            15182027"</f>
        <v xml:space="preserve">            15182027</v>
      </c>
      <c r="X990" s="1">
        <v>2878.66</v>
      </c>
      <c r="Y990">
        <v>0</v>
      </c>
      <c r="Z990" s="5">
        <v>2359.56</v>
      </c>
      <c r="AA990">
        <v>285</v>
      </c>
      <c r="AB990" s="5">
        <v>672474.6</v>
      </c>
      <c r="AC990" s="1">
        <v>2359.56</v>
      </c>
      <c r="AD990">
        <v>285</v>
      </c>
      <c r="AE990" s="1">
        <v>672474.6</v>
      </c>
      <c r="AF990">
        <v>0</v>
      </c>
      <c r="AJ990">
        <v>0</v>
      </c>
      <c r="AK990">
        <v>0</v>
      </c>
      <c r="AL990">
        <v>0</v>
      </c>
      <c r="AM990">
        <v>0</v>
      </c>
      <c r="AN990">
        <v>0</v>
      </c>
      <c r="AO990">
        <v>0</v>
      </c>
      <c r="AP990" s="2">
        <v>42746</v>
      </c>
      <c r="AQ990" t="s">
        <v>72</v>
      </c>
      <c r="AR990" t="s">
        <v>72</v>
      </c>
      <c r="AS990">
        <v>2927</v>
      </c>
      <c r="AT990" s="4">
        <v>42678</v>
      </c>
      <c r="AU990" t="s">
        <v>73</v>
      </c>
      <c r="AV990">
        <v>2927</v>
      </c>
      <c r="AW990" s="4">
        <v>42678</v>
      </c>
      <c r="BD990">
        <v>0</v>
      </c>
      <c r="BN990" t="s">
        <v>74</v>
      </c>
    </row>
    <row r="991" spans="1:66">
      <c r="A991">
        <v>100210</v>
      </c>
      <c r="B991" s="3" t="s">
        <v>141</v>
      </c>
      <c r="C991" s="1">
        <v>43300101</v>
      </c>
      <c r="D991" t="s">
        <v>67</v>
      </c>
      <c r="H991" t="str">
        <f t="shared" si="83"/>
        <v>08082461008</v>
      </c>
      <c r="I991" t="str">
        <f t="shared" si="83"/>
        <v>08082461008</v>
      </c>
      <c r="K991" t="str">
        <f>""</f>
        <v/>
      </c>
      <c r="M991" t="s">
        <v>68</v>
      </c>
      <c r="N991" t="str">
        <f t="shared" si="81"/>
        <v>FOR</v>
      </c>
      <c r="O991" t="s">
        <v>69</v>
      </c>
      <c r="P991" s="3" t="s">
        <v>75</v>
      </c>
      <c r="Q991">
        <v>2015</v>
      </c>
      <c r="R991" s="2">
        <v>42332</v>
      </c>
      <c r="S991" s="2">
        <v>42334</v>
      </c>
      <c r="T991" s="2">
        <v>42333</v>
      </c>
      <c r="U991" s="2">
        <v>42393</v>
      </c>
      <c r="V991" t="s">
        <v>71</v>
      </c>
      <c r="W991" t="str">
        <f>"            15182028"</f>
        <v xml:space="preserve">            15182028</v>
      </c>
      <c r="X991">
        <v>457.87</v>
      </c>
      <c r="Y991">
        <v>0</v>
      </c>
      <c r="Z991" s="3">
        <v>375.3</v>
      </c>
      <c r="AA991">
        <v>285</v>
      </c>
      <c r="AB991" s="5">
        <v>106960.5</v>
      </c>
      <c r="AC991">
        <v>375.3</v>
      </c>
      <c r="AD991">
        <v>285</v>
      </c>
      <c r="AE991" s="1">
        <v>106960.5</v>
      </c>
      <c r="AF991">
        <v>0</v>
      </c>
      <c r="AJ991">
        <v>0</v>
      </c>
      <c r="AK991">
        <v>0</v>
      </c>
      <c r="AL991">
        <v>0</v>
      </c>
      <c r="AM991">
        <v>0</v>
      </c>
      <c r="AN991">
        <v>0</v>
      </c>
      <c r="AO991">
        <v>0</v>
      </c>
      <c r="AP991" s="2">
        <v>42746</v>
      </c>
      <c r="AQ991" t="s">
        <v>72</v>
      </c>
      <c r="AR991" t="s">
        <v>72</v>
      </c>
      <c r="AS991">
        <v>2927</v>
      </c>
      <c r="AT991" s="4">
        <v>42678</v>
      </c>
      <c r="AU991" t="s">
        <v>73</v>
      </c>
      <c r="AV991">
        <v>2927</v>
      </c>
      <c r="AW991" s="4">
        <v>42678</v>
      </c>
      <c r="BD991">
        <v>0</v>
      </c>
      <c r="BN991" t="s">
        <v>74</v>
      </c>
    </row>
    <row r="992" spans="1:66">
      <c r="A992">
        <v>100210</v>
      </c>
      <c r="B992" s="3" t="s">
        <v>141</v>
      </c>
      <c r="C992" s="1">
        <v>43300101</v>
      </c>
      <c r="D992" t="s">
        <v>67</v>
      </c>
      <c r="H992" t="str">
        <f t="shared" si="83"/>
        <v>08082461008</v>
      </c>
      <c r="I992" t="str">
        <f t="shared" si="83"/>
        <v>08082461008</v>
      </c>
      <c r="K992" t="str">
        <f>""</f>
        <v/>
      </c>
      <c r="M992" t="s">
        <v>68</v>
      </c>
      <c r="N992" t="str">
        <f t="shared" si="81"/>
        <v>FOR</v>
      </c>
      <c r="O992" t="s">
        <v>69</v>
      </c>
      <c r="P992" s="3" t="s">
        <v>75</v>
      </c>
      <c r="Q992">
        <v>2015</v>
      </c>
      <c r="R992" s="2">
        <v>42332</v>
      </c>
      <c r="S992" s="2">
        <v>42334</v>
      </c>
      <c r="T992" s="2">
        <v>42333</v>
      </c>
      <c r="U992" s="2">
        <v>42393</v>
      </c>
      <c r="V992" t="s">
        <v>71</v>
      </c>
      <c r="W992" t="str">
        <f>"            15182029"</f>
        <v xml:space="preserve">            15182029</v>
      </c>
      <c r="X992">
        <v>252.98</v>
      </c>
      <c r="Y992">
        <v>0</v>
      </c>
      <c r="Z992" s="3">
        <v>207.36</v>
      </c>
      <c r="AA992">
        <v>285</v>
      </c>
      <c r="AB992" s="5">
        <v>59097.599999999999</v>
      </c>
      <c r="AC992">
        <v>207.36</v>
      </c>
      <c r="AD992">
        <v>285</v>
      </c>
      <c r="AE992" s="1">
        <v>59097.599999999999</v>
      </c>
      <c r="AF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 s="2">
        <v>42746</v>
      </c>
      <c r="AQ992" t="s">
        <v>72</v>
      </c>
      <c r="AR992" t="s">
        <v>72</v>
      </c>
      <c r="AS992">
        <v>2927</v>
      </c>
      <c r="AT992" s="4">
        <v>42678</v>
      </c>
      <c r="AU992" t="s">
        <v>73</v>
      </c>
      <c r="AV992">
        <v>2927</v>
      </c>
      <c r="AW992" s="4">
        <v>42678</v>
      </c>
      <c r="BD992">
        <v>0</v>
      </c>
      <c r="BN992" t="s">
        <v>74</v>
      </c>
    </row>
    <row r="993" spans="1:66">
      <c r="A993">
        <v>100210</v>
      </c>
      <c r="B993" s="3" t="s">
        <v>141</v>
      </c>
      <c r="C993" s="1">
        <v>43300101</v>
      </c>
      <c r="D993" t="s">
        <v>67</v>
      </c>
      <c r="H993" t="str">
        <f t="shared" si="83"/>
        <v>08082461008</v>
      </c>
      <c r="I993" t="str">
        <f t="shared" si="83"/>
        <v>08082461008</v>
      </c>
      <c r="K993" t="str">
        <f>""</f>
        <v/>
      </c>
      <c r="M993" t="s">
        <v>68</v>
      </c>
      <c r="N993" t="str">
        <f t="shared" si="81"/>
        <v>FOR</v>
      </c>
      <c r="O993" t="s">
        <v>69</v>
      </c>
      <c r="P993" s="3" t="s">
        <v>75</v>
      </c>
      <c r="Q993">
        <v>2015</v>
      </c>
      <c r="R993" s="2">
        <v>42338</v>
      </c>
      <c r="S993" s="2">
        <v>42340</v>
      </c>
      <c r="T993" s="2">
        <v>42338</v>
      </c>
      <c r="U993" s="2">
        <v>42398</v>
      </c>
      <c r="V993" t="s">
        <v>71</v>
      </c>
      <c r="W993" t="str">
        <f>"            15184253"</f>
        <v xml:space="preserve">            15184253</v>
      </c>
      <c r="X993" s="1">
        <v>2261.88</v>
      </c>
      <c r="Y993">
        <v>0</v>
      </c>
      <c r="Z993" s="5">
        <v>1854</v>
      </c>
      <c r="AA993">
        <v>280</v>
      </c>
      <c r="AB993" s="5">
        <v>519120</v>
      </c>
      <c r="AC993" s="1">
        <v>1854</v>
      </c>
      <c r="AD993">
        <v>280</v>
      </c>
      <c r="AE993" s="1">
        <v>519120</v>
      </c>
      <c r="AF993">
        <v>0</v>
      </c>
      <c r="AJ993">
        <v>0</v>
      </c>
      <c r="AK993">
        <v>0</v>
      </c>
      <c r="AL993">
        <v>0</v>
      </c>
      <c r="AM993">
        <v>0</v>
      </c>
      <c r="AN993">
        <v>0</v>
      </c>
      <c r="AO993">
        <v>0</v>
      </c>
      <c r="AP993" s="2">
        <v>42746</v>
      </c>
      <c r="AQ993" t="s">
        <v>72</v>
      </c>
      <c r="AR993" t="s">
        <v>72</v>
      </c>
      <c r="AS993">
        <v>2927</v>
      </c>
      <c r="AT993" s="4">
        <v>42678</v>
      </c>
      <c r="AU993" t="s">
        <v>73</v>
      </c>
      <c r="AV993">
        <v>2927</v>
      </c>
      <c r="AW993" s="4">
        <v>42678</v>
      </c>
      <c r="BD993">
        <v>0</v>
      </c>
      <c r="BN993" t="s">
        <v>74</v>
      </c>
    </row>
    <row r="994" spans="1:66">
      <c r="A994">
        <v>100210</v>
      </c>
      <c r="B994" s="3" t="s">
        <v>141</v>
      </c>
      <c r="C994" s="1">
        <v>43300101</v>
      </c>
      <c r="D994" t="s">
        <v>67</v>
      </c>
      <c r="H994" t="str">
        <f t="shared" si="83"/>
        <v>08082461008</v>
      </c>
      <c r="I994" t="str">
        <f t="shared" si="83"/>
        <v>08082461008</v>
      </c>
      <c r="K994" t="str">
        <f>""</f>
        <v/>
      </c>
      <c r="M994" t="s">
        <v>68</v>
      </c>
      <c r="N994" t="str">
        <f t="shared" si="81"/>
        <v>FOR</v>
      </c>
      <c r="O994" t="s">
        <v>69</v>
      </c>
      <c r="P994" s="3" t="s">
        <v>75</v>
      </c>
      <c r="Q994">
        <v>2015</v>
      </c>
      <c r="R994" s="2">
        <v>42338</v>
      </c>
      <c r="S994" s="2">
        <v>42340</v>
      </c>
      <c r="T994" s="2">
        <v>42339</v>
      </c>
      <c r="U994" s="2">
        <v>42399</v>
      </c>
      <c r="V994" t="s">
        <v>71</v>
      </c>
      <c r="W994" t="str">
        <f>"            15184824"</f>
        <v xml:space="preserve">            15184824</v>
      </c>
      <c r="X994">
        <v>790.56</v>
      </c>
      <c r="Y994">
        <v>0</v>
      </c>
      <c r="Z994" s="3">
        <v>648</v>
      </c>
      <c r="AA994">
        <v>279</v>
      </c>
      <c r="AB994" s="5">
        <v>180792</v>
      </c>
      <c r="AC994">
        <v>648</v>
      </c>
      <c r="AD994">
        <v>279</v>
      </c>
      <c r="AE994" s="1">
        <v>180792</v>
      </c>
      <c r="AF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 s="2">
        <v>42746</v>
      </c>
      <c r="AQ994" t="s">
        <v>72</v>
      </c>
      <c r="AR994" t="s">
        <v>72</v>
      </c>
      <c r="AS994">
        <v>2927</v>
      </c>
      <c r="AT994" s="4">
        <v>42678</v>
      </c>
      <c r="AU994" t="s">
        <v>73</v>
      </c>
      <c r="AV994">
        <v>2927</v>
      </c>
      <c r="AW994" s="4">
        <v>42678</v>
      </c>
      <c r="BD994">
        <v>0</v>
      </c>
      <c r="BN994" t="s">
        <v>74</v>
      </c>
    </row>
    <row r="995" spans="1:66">
      <c r="A995">
        <v>100210</v>
      </c>
      <c r="B995" s="3" t="s">
        <v>141</v>
      </c>
      <c r="C995" s="1">
        <v>43300101</v>
      </c>
      <c r="D995" t="s">
        <v>67</v>
      </c>
      <c r="H995" t="str">
        <f t="shared" si="83"/>
        <v>08082461008</v>
      </c>
      <c r="I995" t="str">
        <f t="shared" si="83"/>
        <v>08082461008</v>
      </c>
      <c r="K995" t="str">
        <f>""</f>
        <v/>
      </c>
      <c r="M995" t="s">
        <v>68</v>
      </c>
      <c r="N995" t="str">
        <f t="shared" si="81"/>
        <v>FOR</v>
      </c>
      <c r="O995" t="s">
        <v>69</v>
      </c>
      <c r="P995" s="3" t="s">
        <v>75</v>
      </c>
      <c r="Q995">
        <v>2015</v>
      </c>
      <c r="R995" s="2">
        <v>42340</v>
      </c>
      <c r="S995" s="2">
        <v>42341</v>
      </c>
      <c r="T995" s="2">
        <v>42341</v>
      </c>
      <c r="U995" s="2">
        <v>42401</v>
      </c>
      <c r="V995" t="s">
        <v>71</v>
      </c>
      <c r="W995" t="str">
        <f>"            15186190"</f>
        <v xml:space="preserve">            15186190</v>
      </c>
      <c r="X995" s="1">
        <v>4721.3999999999996</v>
      </c>
      <c r="Y995">
        <v>0</v>
      </c>
      <c r="Z995" s="5">
        <v>3870</v>
      </c>
      <c r="AA995">
        <v>291</v>
      </c>
      <c r="AB995" s="5">
        <v>1126170</v>
      </c>
      <c r="AC995" s="1">
        <v>3870</v>
      </c>
      <c r="AD995">
        <v>291</v>
      </c>
      <c r="AE995" s="1">
        <v>1126170</v>
      </c>
      <c r="AF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 s="2">
        <v>42746</v>
      </c>
      <c r="AQ995" t="s">
        <v>72</v>
      </c>
      <c r="AR995" t="s">
        <v>72</v>
      </c>
      <c r="AS995">
        <v>3177</v>
      </c>
      <c r="AT995" s="4">
        <v>42692</v>
      </c>
      <c r="AU995" t="s">
        <v>73</v>
      </c>
      <c r="AV995">
        <v>3177</v>
      </c>
      <c r="AW995" s="4">
        <v>42692</v>
      </c>
      <c r="BD995">
        <v>0</v>
      </c>
      <c r="BN995" t="s">
        <v>74</v>
      </c>
    </row>
    <row r="996" spans="1:66">
      <c r="A996">
        <v>100210</v>
      </c>
      <c r="B996" s="3" t="s">
        <v>141</v>
      </c>
      <c r="C996" s="1">
        <v>43300101</v>
      </c>
      <c r="D996" t="s">
        <v>67</v>
      </c>
      <c r="H996" t="str">
        <f t="shared" si="83"/>
        <v>08082461008</v>
      </c>
      <c r="I996" t="str">
        <f t="shared" si="83"/>
        <v>08082461008</v>
      </c>
      <c r="K996" t="str">
        <f>""</f>
        <v/>
      </c>
      <c r="M996" t="s">
        <v>68</v>
      </c>
      <c r="N996" t="str">
        <f t="shared" si="81"/>
        <v>FOR</v>
      </c>
      <c r="O996" t="s">
        <v>69</v>
      </c>
      <c r="P996" s="3" t="s">
        <v>75</v>
      </c>
      <c r="Q996">
        <v>2015</v>
      </c>
      <c r="R996" s="2">
        <v>42341</v>
      </c>
      <c r="S996" s="2">
        <v>42342</v>
      </c>
      <c r="T996" s="2">
        <v>42341</v>
      </c>
      <c r="U996" s="2">
        <v>42401</v>
      </c>
      <c r="V996" t="s">
        <v>71</v>
      </c>
      <c r="W996" t="str">
        <f>"            15187008"</f>
        <v xml:space="preserve">            15187008</v>
      </c>
      <c r="X996" s="1">
        <v>2898.72</v>
      </c>
      <c r="Y996">
        <v>0</v>
      </c>
      <c r="Z996" s="5">
        <v>2376</v>
      </c>
      <c r="AA996">
        <v>291</v>
      </c>
      <c r="AB996" s="5">
        <v>691416</v>
      </c>
      <c r="AC996" s="1">
        <v>2376</v>
      </c>
      <c r="AD996">
        <v>291</v>
      </c>
      <c r="AE996" s="1">
        <v>691416</v>
      </c>
      <c r="AF996">
        <v>0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 s="2">
        <v>42746</v>
      </c>
      <c r="AQ996" t="s">
        <v>72</v>
      </c>
      <c r="AR996" t="s">
        <v>72</v>
      </c>
      <c r="AS996">
        <v>3177</v>
      </c>
      <c r="AT996" s="4">
        <v>42692</v>
      </c>
      <c r="AU996" t="s">
        <v>73</v>
      </c>
      <c r="AV996">
        <v>3177</v>
      </c>
      <c r="AW996" s="4">
        <v>42692</v>
      </c>
      <c r="BD996">
        <v>0</v>
      </c>
      <c r="BN996" t="s">
        <v>74</v>
      </c>
    </row>
    <row r="997" spans="1:66">
      <c r="A997">
        <v>100210</v>
      </c>
      <c r="B997" s="3" t="s">
        <v>141</v>
      </c>
      <c r="C997" s="1">
        <v>43300101</v>
      </c>
      <c r="D997" t="s">
        <v>67</v>
      </c>
      <c r="H997" t="str">
        <f t="shared" ref="H997:I1016" si="84">"08082461008"</f>
        <v>08082461008</v>
      </c>
      <c r="I997" t="str">
        <f t="shared" si="84"/>
        <v>08082461008</v>
      </c>
      <c r="K997" t="str">
        <f>""</f>
        <v/>
      </c>
      <c r="M997" t="s">
        <v>68</v>
      </c>
      <c r="N997" t="str">
        <f t="shared" si="81"/>
        <v>FOR</v>
      </c>
      <c r="O997" t="s">
        <v>69</v>
      </c>
      <c r="P997" s="3" t="s">
        <v>75</v>
      </c>
      <c r="Q997">
        <v>2015</v>
      </c>
      <c r="R997" s="2">
        <v>42349</v>
      </c>
      <c r="S997" s="2">
        <v>42353</v>
      </c>
      <c r="T997" s="2">
        <v>42350</v>
      </c>
      <c r="U997" s="2">
        <v>42410</v>
      </c>
      <c r="V997" t="s">
        <v>71</v>
      </c>
      <c r="W997" t="str">
        <f>"            15190184"</f>
        <v xml:space="preserve">            15190184</v>
      </c>
      <c r="X997" s="1">
        <v>5277.72</v>
      </c>
      <c r="Y997">
        <v>0</v>
      </c>
      <c r="Z997" s="5">
        <v>4326</v>
      </c>
      <c r="AA997">
        <v>282</v>
      </c>
      <c r="AB997" s="5">
        <v>1219932</v>
      </c>
      <c r="AC997" s="1">
        <v>4326</v>
      </c>
      <c r="AD997">
        <v>282</v>
      </c>
      <c r="AE997" s="1">
        <v>1219932</v>
      </c>
      <c r="AF997">
        <v>0</v>
      </c>
      <c r="AJ997">
        <v>0</v>
      </c>
      <c r="AK997">
        <v>0</v>
      </c>
      <c r="AL997">
        <v>0</v>
      </c>
      <c r="AM997">
        <v>0</v>
      </c>
      <c r="AN997">
        <v>0</v>
      </c>
      <c r="AO997">
        <v>0</v>
      </c>
      <c r="AP997" s="2">
        <v>42746</v>
      </c>
      <c r="AQ997" t="s">
        <v>72</v>
      </c>
      <c r="AR997" t="s">
        <v>72</v>
      </c>
      <c r="AS997">
        <v>3177</v>
      </c>
      <c r="AT997" s="4">
        <v>42692</v>
      </c>
      <c r="AU997" t="s">
        <v>73</v>
      </c>
      <c r="AV997">
        <v>3177</v>
      </c>
      <c r="AW997" s="4">
        <v>42692</v>
      </c>
      <c r="BD997">
        <v>0</v>
      </c>
      <c r="BN997" t="s">
        <v>74</v>
      </c>
    </row>
    <row r="998" spans="1:66">
      <c r="A998">
        <v>100210</v>
      </c>
      <c r="B998" s="3" t="s">
        <v>141</v>
      </c>
      <c r="C998" s="1">
        <v>43300101</v>
      </c>
      <c r="D998" t="s">
        <v>67</v>
      </c>
      <c r="H998" t="str">
        <f t="shared" si="84"/>
        <v>08082461008</v>
      </c>
      <c r="I998" t="str">
        <f t="shared" si="84"/>
        <v>08082461008</v>
      </c>
      <c r="K998" t="str">
        <f>""</f>
        <v/>
      </c>
      <c r="M998" t="s">
        <v>68</v>
      </c>
      <c r="N998" t="str">
        <f t="shared" si="81"/>
        <v>FOR</v>
      </c>
      <c r="O998" t="s">
        <v>69</v>
      </c>
      <c r="P998" s="3" t="s">
        <v>75</v>
      </c>
      <c r="Q998">
        <v>2015</v>
      </c>
      <c r="R998" s="2">
        <v>42355</v>
      </c>
      <c r="S998" s="2">
        <v>42359</v>
      </c>
      <c r="T998" s="2">
        <v>42355</v>
      </c>
      <c r="U998" s="2">
        <v>42415</v>
      </c>
      <c r="V998" t="s">
        <v>71</v>
      </c>
      <c r="W998" t="str">
        <f>"            15193749"</f>
        <v xml:space="preserve">            15193749</v>
      </c>
      <c r="X998">
        <v>704.04</v>
      </c>
      <c r="Y998">
        <v>0</v>
      </c>
      <c r="Z998" s="3">
        <v>577.08000000000004</v>
      </c>
      <c r="AA998">
        <v>277</v>
      </c>
      <c r="AB998" s="5">
        <v>159851.16</v>
      </c>
      <c r="AC998">
        <v>577.08000000000004</v>
      </c>
      <c r="AD998">
        <v>277</v>
      </c>
      <c r="AE998" s="1">
        <v>159851.16</v>
      </c>
      <c r="AF998">
        <v>0</v>
      </c>
      <c r="AJ998">
        <v>0</v>
      </c>
      <c r="AK998">
        <v>0</v>
      </c>
      <c r="AL998">
        <v>0</v>
      </c>
      <c r="AM998">
        <v>0</v>
      </c>
      <c r="AN998">
        <v>0</v>
      </c>
      <c r="AO998">
        <v>0</v>
      </c>
      <c r="AP998" s="2">
        <v>42746</v>
      </c>
      <c r="AQ998" t="s">
        <v>72</v>
      </c>
      <c r="AR998" t="s">
        <v>72</v>
      </c>
      <c r="AS998">
        <v>3177</v>
      </c>
      <c r="AT998" s="4">
        <v>42692</v>
      </c>
      <c r="AU998" t="s">
        <v>73</v>
      </c>
      <c r="AV998">
        <v>3177</v>
      </c>
      <c r="AW998" s="4">
        <v>42692</v>
      </c>
      <c r="BD998">
        <v>0</v>
      </c>
      <c r="BN998" t="s">
        <v>74</v>
      </c>
    </row>
    <row r="999" spans="1:66" hidden="1">
      <c r="A999">
        <v>100210</v>
      </c>
      <c r="B999" s="3" t="s">
        <v>141</v>
      </c>
      <c r="C999" s="1">
        <v>43300101</v>
      </c>
      <c r="D999" t="s">
        <v>67</v>
      </c>
      <c r="H999" t="str">
        <f t="shared" si="84"/>
        <v>08082461008</v>
      </c>
      <c r="I999" t="str">
        <f t="shared" si="84"/>
        <v>08082461008</v>
      </c>
      <c r="K999" t="str">
        <f>""</f>
        <v/>
      </c>
      <c r="M999" t="s">
        <v>68</v>
      </c>
      <c r="N999" t="str">
        <f t="shared" si="81"/>
        <v>FOR</v>
      </c>
      <c r="O999" t="s">
        <v>69</v>
      </c>
      <c r="P999" s="3" t="s">
        <v>70</v>
      </c>
      <c r="Q999">
        <v>2015</v>
      </c>
      <c r="R999" s="2">
        <v>42055</v>
      </c>
      <c r="S999" s="2">
        <v>42089</v>
      </c>
      <c r="T999" s="2">
        <v>42089</v>
      </c>
      <c r="U999" s="2">
        <v>42149</v>
      </c>
      <c r="V999" t="s">
        <v>71</v>
      </c>
      <c r="W999" t="str">
        <f>"            98515265"</f>
        <v xml:space="preserve">            98515265</v>
      </c>
      <c r="X999">
        <v>910.49</v>
      </c>
      <c r="Y999">
        <v>0</v>
      </c>
      <c r="Z999"/>
      <c r="AB999"/>
      <c r="AC999">
        <v>875.47</v>
      </c>
      <c r="AD999">
        <v>254</v>
      </c>
      <c r="AE999" s="1">
        <v>222369.38</v>
      </c>
      <c r="AF999">
        <v>0</v>
      </c>
      <c r="AJ999">
        <v>0</v>
      </c>
      <c r="AK999">
        <v>0</v>
      </c>
      <c r="AL999">
        <v>0</v>
      </c>
      <c r="AM999">
        <v>0</v>
      </c>
      <c r="AN999">
        <v>0</v>
      </c>
      <c r="AO999">
        <v>0</v>
      </c>
      <c r="AP999" s="2">
        <v>42746</v>
      </c>
      <c r="AQ999" t="s">
        <v>72</v>
      </c>
      <c r="AR999" t="s">
        <v>72</v>
      </c>
      <c r="AS999">
        <v>229</v>
      </c>
      <c r="AT999" s="4">
        <v>42403</v>
      </c>
      <c r="AU999" t="s">
        <v>73</v>
      </c>
      <c r="AV999">
        <v>229</v>
      </c>
      <c r="AW999" s="4">
        <v>42403</v>
      </c>
      <c r="BD999">
        <v>0</v>
      </c>
      <c r="BN999" t="s">
        <v>74</v>
      </c>
    </row>
    <row r="1000" spans="1:66" hidden="1">
      <c r="A1000">
        <v>100210</v>
      </c>
      <c r="B1000" s="3" t="s">
        <v>141</v>
      </c>
      <c r="C1000" s="1">
        <v>43300101</v>
      </c>
      <c r="D1000" t="s">
        <v>67</v>
      </c>
      <c r="H1000" t="str">
        <f t="shared" si="84"/>
        <v>08082461008</v>
      </c>
      <c r="I1000" t="str">
        <f t="shared" si="84"/>
        <v>08082461008</v>
      </c>
      <c r="K1000" t="str">
        <f>""</f>
        <v/>
      </c>
      <c r="M1000" t="s">
        <v>68</v>
      </c>
      <c r="N1000" t="str">
        <f t="shared" si="81"/>
        <v>FOR</v>
      </c>
      <c r="O1000" t="s">
        <v>69</v>
      </c>
      <c r="P1000" s="3" t="s">
        <v>70</v>
      </c>
      <c r="Q1000">
        <v>2015</v>
      </c>
      <c r="R1000" s="2">
        <v>42073</v>
      </c>
      <c r="S1000" s="2">
        <v>42094</v>
      </c>
      <c r="T1000" s="2">
        <v>42094</v>
      </c>
      <c r="U1000" s="2">
        <v>42154</v>
      </c>
      <c r="V1000" t="s">
        <v>71</v>
      </c>
      <c r="W1000" t="str">
        <f>"            98518423"</f>
        <v xml:space="preserve">            98518423</v>
      </c>
      <c r="X1000" s="1">
        <v>3176.76</v>
      </c>
      <c r="Y1000">
        <v>0</v>
      </c>
      <c r="Z1000"/>
      <c r="AB1000"/>
      <c r="AC1000" s="1">
        <v>3054.58</v>
      </c>
      <c r="AD1000">
        <v>262</v>
      </c>
      <c r="AE1000" s="1">
        <v>800299.96</v>
      </c>
      <c r="AF1000">
        <v>0</v>
      </c>
      <c r="AJ1000">
        <v>0</v>
      </c>
      <c r="AK1000">
        <v>0</v>
      </c>
      <c r="AL1000">
        <v>0</v>
      </c>
      <c r="AM1000">
        <v>0</v>
      </c>
      <c r="AN1000">
        <v>0</v>
      </c>
      <c r="AO1000">
        <v>0</v>
      </c>
      <c r="AP1000" s="2">
        <v>42746</v>
      </c>
      <c r="AQ1000" t="s">
        <v>72</v>
      </c>
      <c r="AR1000" t="s">
        <v>72</v>
      </c>
      <c r="AS1000">
        <v>410</v>
      </c>
      <c r="AT1000" s="4">
        <v>42416</v>
      </c>
      <c r="AU1000" t="s">
        <v>73</v>
      </c>
      <c r="AV1000">
        <v>410</v>
      </c>
      <c r="AW1000" s="4">
        <v>42416</v>
      </c>
      <c r="BD1000">
        <v>0</v>
      </c>
      <c r="BN1000" t="s">
        <v>74</v>
      </c>
    </row>
    <row r="1001" spans="1:66" hidden="1">
      <c r="A1001">
        <v>100210</v>
      </c>
      <c r="B1001" s="3" t="s">
        <v>141</v>
      </c>
      <c r="C1001" s="1">
        <v>43300101</v>
      </c>
      <c r="D1001" t="s">
        <v>67</v>
      </c>
      <c r="H1001" t="str">
        <f t="shared" si="84"/>
        <v>08082461008</v>
      </c>
      <c r="I1001" t="str">
        <f t="shared" si="84"/>
        <v>08082461008</v>
      </c>
      <c r="K1001" t="str">
        <f>""</f>
        <v/>
      </c>
      <c r="M1001" t="s">
        <v>68</v>
      </c>
      <c r="N1001" t="str">
        <f t="shared" si="81"/>
        <v>FOR</v>
      </c>
      <c r="O1001" t="s">
        <v>69</v>
      </c>
      <c r="P1001" s="3" t="s">
        <v>75</v>
      </c>
      <c r="Q1001">
        <v>2015</v>
      </c>
      <c r="R1001" s="2">
        <v>42103</v>
      </c>
      <c r="S1001" s="2">
        <v>42123</v>
      </c>
      <c r="T1001" s="2">
        <v>42123</v>
      </c>
      <c r="U1001" s="2">
        <v>42183</v>
      </c>
      <c r="V1001" t="s">
        <v>71</v>
      </c>
      <c r="W1001" t="str">
        <f>"            98524236"</f>
        <v xml:space="preserve">            98524236</v>
      </c>
      <c r="X1001">
        <v>920.44</v>
      </c>
      <c r="Y1001">
        <v>0</v>
      </c>
      <c r="Z1001"/>
      <c r="AB1001"/>
      <c r="AC1001">
        <v>885.04</v>
      </c>
      <c r="AD1001">
        <v>270</v>
      </c>
      <c r="AE1001" s="1">
        <v>238960.8</v>
      </c>
      <c r="AF1001">
        <v>0</v>
      </c>
      <c r="AJ1001">
        <v>0</v>
      </c>
      <c r="AK1001">
        <v>0</v>
      </c>
      <c r="AL1001">
        <v>0</v>
      </c>
      <c r="AM1001">
        <v>0</v>
      </c>
      <c r="AN1001">
        <v>0</v>
      </c>
      <c r="AO1001">
        <v>0</v>
      </c>
      <c r="AP1001" s="2">
        <v>42746</v>
      </c>
      <c r="AQ1001" t="s">
        <v>72</v>
      </c>
      <c r="AR1001" t="s">
        <v>72</v>
      </c>
      <c r="AS1001">
        <v>864</v>
      </c>
      <c r="AT1001" s="4">
        <v>42453</v>
      </c>
      <c r="AU1001" t="s">
        <v>73</v>
      </c>
      <c r="AV1001">
        <v>864</v>
      </c>
      <c r="AW1001" s="4">
        <v>42453</v>
      </c>
      <c r="BD1001">
        <v>0</v>
      </c>
      <c r="BN1001" t="s">
        <v>74</v>
      </c>
    </row>
    <row r="1002" spans="1:66" hidden="1">
      <c r="A1002">
        <v>100210</v>
      </c>
      <c r="B1002" s="3" t="s">
        <v>141</v>
      </c>
      <c r="C1002" s="1">
        <v>43300101</v>
      </c>
      <c r="D1002" t="s">
        <v>67</v>
      </c>
      <c r="H1002" t="str">
        <f t="shared" si="84"/>
        <v>08082461008</v>
      </c>
      <c r="I1002" t="str">
        <f t="shared" si="84"/>
        <v>08082461008</v>
      </c>
      <c r="K1002" t="str">
        <f>""</f>
        <v/>
      </c>
      <c r="M1002" t="s">
        <v>68</v>
      </c>
      <c r="N1002" t="str">
        <f t="shared" si="81"/>
        <v>FOR</v>
      </c>
      <c r="O1002" t="s">
        <v>69</v>
      </c>
      <c r="P1002" s="3" t="s">
        <v>75</v>
      </c>
      <c r="Q1002">
        <v>2015</v>
      </c>
      <c r="R1002" s="2">
        <v>42206</v>
      </c>
      <c r="S1002" s="2">
        <v>42207</v>
      </c>
      <c r="T1002" s="2">
        <v>42207</v>
      </c>
      <c r="U1002" s="2">
        <v>42267</v>
      </c>
      <c r="V1002" t="s">
        <v>71</v>
      </c>
      <c r="W1002" t="str">
        <f>"            98542074"</f>
        <v xml:space="preserve">            98542074</v>
      </c>
      <c r="X1002" s="1">
        <v>18351.28</v>
      </c>
      <c r="Y1002">
        <v>0</v>
      </c>
      <c r="Z1002"/>
      <c r="AB1002"/>
      <c r="AC1002" s="1">
        <v>17645.46</v>
      </c>
      <c r="AD1002">
        <v>309</v>
      </c>
      <c r="AE1002" s="1">
        <v>5452447.1399999997</v>
      </c>
      <c r="AF1002">
        <v>0</v>
      </c>
      <c r="AJ1002">
        <v>0</v>
      </c>
      <c r="AK1002">
        <v>0</v>
      </c>
      <c r="AL1002">
        <v>0</v>
      </c>
      <c r="AM1002">
        <v>0</v>
      </c>
      <c r="AN1002">
        <v>0</v>
      </c>
      <c r="AO1002">
        <v>0</v>
      </c>
      <c r="AP1002" s="2">
        <v>42746</v>
      </c>
      <c r="AQ1002" t="s">
        <v>72</v>
      </c>
      <c r="AR1002" t="s">
        <v>72</v>
      </c>
      <c r="AS1002">
        <v>1914</v>
      </c>
      <c r="AT1002" s="4">
        <v>42576</v>
      </c>
      <c r="AU1002" t="s">
        <v>73</v>
      </c>
      <c r="AV1002">
        <v>1914</v>
      </c>
      <c r="AW1002" s="4">
        <v>42576</v>
      </c>
      <c r="BD1002">
        <v>0</v>
      </c>
      <c r="BN1002" t="s">
        <v>74</v>
      </c>
    </row>
    <row r="1003" spans="1:66" hidden="1">
      <c r="A1003">
        <v>100210</v>
      </c>
      <c r="B1003" s="3" t="s">
        <v>141</v>
      </c>
      <c r="C1003" s="1">
        <v>43300101</v>
      </c>
      <c r="D1003" t="s">
        <v>67</v>
      </c>
      <c r="H1003" t="str">
        <f t="shared" si="84"/>
        <v>08082461008</v>
      </c>
      <c r="I1003" t="str">
        <f t="shared" si="84"/>
        <v>08082461008</v>
      </c>
      <c r="K1003" t="str">
        <f>""</f>
        <v/>
      </c>
      <c r="M1003" t="s">
        <v>68</v>
      </c>
      <c r="N1003" t="str">
        <f t="shared" si="81"/>
        <v>FOR</v>
      </c>
      <c r="O1003" t="s">
        <v>69</v>
      </c>
      <c r="P1003" s="3" t="s">
        <v>75</v>
      </c>
      <c r="Q1003">
        <v>2015</v>
      </c>
      <c r="R1003" s="2">
        <v>42206</v>
      </c>
      <c r="S1003" s="2">
        <v>42207</v>
      </c>
      <c r="T1003" s="2">
        <v>42207</v>
      </c>
      <c r="U1003" s="2">
        <v>42267</v>
      </c>
      <c r="V1003" t="s">
        <v>71</v>
      </c>
      <c r="W1003" t="str">
        <f>"            98542075"</f>
        <v xml:space="preserve">            98542075</v>
      </c>
      <c r="X1003">
        <v>968.45</v>
      </c>
      <c r="Y1003">
        <v>0</v>
      </c>
      <c r="Z1003"/>
      <c r="AB1003"/>
      <c r="AC1003">
        <v>931.2</v>
      </c>
      <c r="AD1003">
        <v>309</v>
      </c>
      <c r="AE1003" s="1">
        <v>287740.79999999999</v>
      </c>
      <c r="AF1003">
        <v>0</v>
      </c>
      <c r="AJ1003">
        <v>0</v>
      </c>
      <c r="AK1003">
        <v>0</v>
      </c>
      <c r="AL1003">
        <v>0</v>
      </c>
      <c r="AM1003">
        <v>0</v>
      </c>
      <c r="AN1003">
        <v>0</v>
      </c>
      <c r="AO1003">
        <v>0</v>
      </c>
      <c r="AP1003" s="2">
        <v>42746</v>
      </c>
      <c r="AQ1003" t="s">
        <v>72</v>
      </c>
      <c r="AR1003" t="s">
        <v>72</v>
      </c>
      <c r="AS1003">
        <v>1914</v>
      </c>
      <c r="AT1003" s="4">
        <v>42576</v>
      </c>
      <c r="AU1003" t="s">
        <v>73</v>
      </c>
      <c r="AV1003">
        <v>1914</v>
      </c>
      <c r="AW1003" s="4">
        <v>42576</v>
      </c>
      <c r="BD1003">
        <v>0</v>
      </c>
      <c r="BN1003" t="s">
        <v>74</v>
      </c>
    </row>
    <row r="1004" spans="1:66" hidden="1">
      <c r="A1004">
        <v>100210</v>
      </c>
      <c r="B1004" s="3" t="s">
        <v>141</v>
      </c>
      <c r="C1004" s="1">
        <v>43300101</v>
      </c>
      <c r="D1004" t="s">
        <v>67</v>
      </c>
      <c r="H1004" t="str">
        <f t="shared" si="84"/>
        <v>08082461008</v>
      </c>
      <c r="I1004" t="str">
        <f t="shared" si="84"/>
        <v>08082461008</v>
      </c>
      <c r="K1004" t="str">
        <f>""</f>
        <v/>
      </c>
      <c r="M1004" t="s">
        <v>68</v>
      </c>
      <c r="N1004" t="str">
        <f t="shared" si="81"/>
        <v>FOR</v>
      </c>
      <c r="O1004" t="s">
        <v>69</v>
      </c>
      <c r="P1004" s="3" t="s">
        <v>75</v>
      </c>
      <c r="Q1004">
        <v>2015</v>
      </c>
      <c r="R1004" s="2">
        <v>42207</v>
      </c>
      <c r="S1004" s="2">
        <v>42209</v>
      </c>
      <c r="T1004" s="2">
        <v>42207</v>
      </c>
      <c r="U1004" s="2">
        <v>42267</v>
      </c>
      <c r="V1004" t="s">
        <v>71</v>
      </c>
      <c r="W1004" t="str">
        <f>"            98542467"</f>
        <v xml:space="preserve">            98542467</v>
      </c>
      <c r="X1004" s="1">
        <v>1051.04</v>
      </c>
      <c r="Y1004">
        <v>0</v>
      </c>
      <c r="Z1004"/>
      <c r="AB1004"/>
      <c r="AC1004" s="1">
        <v>1010.62</v>
      </c>
      <c r="AD1004">
        <v>309</v>
      </c>
      <c r="AE1004" s="1">
        <v>312281.58</v>
      </c>
      <c r="AF1004">
        <v>0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 s="2">
        <v>42746</v>
      </c>
      <c r="AQ1004" t="s">
        <v>72</v>
      </c>
      <c r="AR1004" t="s">
        <v>72</v>
      </c>
      <c r="AS1004">
        <v>1914</v>
      </c>
      <c r="AT1004" s="4">
        <v>42576</v>
      </c>
      <c r="AU1004" t="s">
        <v>73</v>
      </c>
      <c r="AV1004">
        <v>1914</v>
      </c>
      <c r="AW1004" s="4">
        <v>42576</v>
      </c>
      <c r="BD1004">
        <v>0</v>
      </c>
      <c r="BN1004" t="s">
        <v>74</v>
      </c>
    </row>
    <row r="1005" spans="1:66" hidden="1">
      <c r="A1005">
        <v>100210</v>
      </c>
      <c r="B1005" s="3" t="s">
        <v>141</v>
      </c>
      <c r="C1005" s="1">
        <v>43300101</v>
      </c>
      <c r="D1005" t="s">
        <v>67</v>
      </c>
      <c r="H1005" t="str">
        <f t="shared" si="84"/>
        <v>08082461008</v>
      </c>
      <c r="I1005" t="str">
        <f t="shared" si="84"/>
        <v>08082461008</v>
      </c>
      <c r="K1005" t="str">
        <f>""</f>
        <v/>
      </c>
      <c r="M1005" t="s">
        <v>68</v>
      </c>
      <c r="N1005" t="str">
        <f t="shared" si="81"/>
        <v>FOR</v>
      </c>
      <c r="O1005" t="s">
        <v>69</v>
      </c>
      <c r="P1005" s="3" t="s">
        <v>75</v>
      </c>
      <c r="Q1005">
        <v>2015</v>
      </c>
      <c r="R1005" s="2">
        <v>42207</v>
      </c>
      <c r="S1005" s="2">
        <v>42209</v>
      </c>
      <c r="T1005" s="2">
        <v>42207</v>
      </c>
      <c r="U1005" s="2">
        <v>42267</v>
      </c>
      <c r="V1005" t="s">
        <v>71</v>
      </c>
      <c r="W1005" t="str">
        <f>"            98542468"</f>
        <v xml:space="preserve">            98542468</v>
      </c>
      <c r="X1005">
        <v>242.55</v>
      </c>
      <c r="Y1005">
        <v>0</v>
      </c>
      <c r="Z1005"/>
      <c r="AB1005"/>
      <c r="AC1005">
        <v>233.22</v>
      </c>
      <c r="AD1005">
        <v>309</v>
      </c>
      <c r="AE1005" s="1">
        <v>72064.98</v>
      </c>
      <c r="AF1005">
        <v>0</v>
      </c>
      <c r="AJ1005">
        <v>0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 s="2">
        <v>42746</v>
      </c>
      <c r="AQ1005" t="s">
        <v>72</v>
      </c>
      <c r="AR1005" t="s">
        <v>72</v>
      </c>
      <c r="AS1005">
        <v>1914</v>
      </c>
      <c r="AT1005" s="4">
        <v>42576</v>
      </c>
      <c r="AU1005" t="s">
        <v>73</v>
      </c>
      <c r="AV1005">
        <v>1914</v>
      </c>
      <c r="AW1005" s="4">
        <v>42576</v>
      </c>
      <c r="BD1005">
        <v>0</v>
      </c>
      <c r="BN1005" t="s">
        <v>74</v>
      </c>
    </row>
    <row r="1006" spans="1:66" hidden="1">
      <c r="A1006">
        <v>100210</v>
      </c>
      <c r="B1006" s="3" t="s">
        <v>141</v>
      </c>
      <c r="C1006" s="1">
        <v>43300101</v>
      </c>
      <c r="D1006" t="s">
        <v>67</v>
      </c>
      <c r="H1006" t="str">
        <f t="shared" si="84"/>
        <v>08082461008</v>
      </c>
      <c r="I1006" t="str">
        <f t="shared" si="84"/>
        <v>08082461008</v>
      </c>
      <c r="K1006" t="str">
        <f>""</f>
        <v/>
      </c>
      <c r="M1006" t="s">
        <v>68</v>
      </c>
      <c r="N1006" t="str">
        <f t="shared" ref="N1006:N1069" si="85">"FOR"</f>
        <v>FOR</v>
      </c>
      <c r="O1006" t="s">
        <v>69</v>
      </c>
      <c r="P1006" s="3" t="s">
        <v>75</v>
      </c>
      <c r="Q1006">
        <v>2015</v>
      </c>
      <c r="R1006" s="2">
        <v>42209</v>
      </c>
      <c r="S1006" s="2">
        <v>42212</v>
      </c>
      <c r="T1006" s="2">
        <v>42209</v>
      </c>
      <c r="U1006" s="2">
        <v>42269</v>
      </c>
      <c r="V1006" t="s">
        <v>71</v>
      </c>
      <c r="W1006" t="str">
        <f>"            98543203"</f>
        <v xml:space="preserve">            98543203</v>
      </c>
      <c r="X1006">
        <v>920.4</v>
      </c>
      <c r="Y1006">
        <v>0</v>
      </c>
      <c r="Z1006"/>
      <c r="AB1006"/>
      <c r="AC1006">
        <v>885</v>
      </c>
      <c r="AD1006">
        <v>307</v>
      </c>
      <c r="AE1006" s="1">
        <v>271695</v>
      </c>
      <c r="AF1006">
        <v>0</v>
      </c>
      <c r="AJ1006">
        <v>0</v>
      </c>
      <c r="AK1006">
        <v>0</v>
      </c>
      <c r="AL1006">
        <v>0</v>
      </c>
      <c r="AM1006">
        <v>0</v>
      </c>
      <c r="AN1006">
        <v>0</v>
      </c>
      <c r="AO1006">
        <v>0</v>
      </c>
      <c r="AP1006" s="2">
        <v>42746</v>
      </c>
      <c r="AQ1006" t="s">
        <v>72</v>
      </c>
      <c r="AR1006" t="s">
        <v>72</v>
      </c>
      <c r="AS1006">
        <v>1914</v>
      </c>
      <c r="AT1006" s="4">
        <v>42576</v>
      </c>
      <c r="AU1006" t="s">
        <v>73</v>
      </c>
      <c r="AV1006">
        <v>1914</v>
      </c>
      <c r="AW1006" s="4">
        <v>42576</v>
      </c>
      <c r="BD1006">
        <v>0</v>
      </c>
      <c r="BN1006" t="s">
        <v>74</v>
      </c>
    </row>
    <row r="1007" spans="1:66" hidden="1">
      <c r="A1007">
        <v>100210</v>
      </c>
      <c r="B1007" s="3" t="s">
        <v>141</v>
      </c>
      <c r="C1007" s="1">
        <v>43300101</v>
      </c>
      <c r="D1007" t="s">
        <v>67</v>
      </c>
      <c r="H1007" t="str">
        <f t="shared" si="84"/>
        <v>08082461008</v>
      </c>
      <c r="I1007" t="str">
        <f t="shared" si="84"/>
        <v>08082461008</v>
      </c>
      <c r="K1007" t="str">
        <f>""</f>
        <v/>
      </c>
      <c r="M1007" t="s">
        <v>68</v>
      </c>
      <c r="N1007" t="str">
        <f t="shared" si="85"/>
        <v>FOR</v>
      </c>
      <c r="O1007" t="s">
        <v>69</v>
      </c>
      <c r="P1007" s="3" t="s">
        <v>75</v>
      </c>
      <c r="Q1007">
        <v>2015</v>
      </c>
      <c r="R1007" s="2">
        <v>42214</v>
      </c>
      <c r="S1007" s="2">
        <v>42215</v>
      </c>
      <c r="T1007" s="2">
        <v>42214</v>
      </c>
      <c r="U1007" s="2">
        <v>42274</v>
      </c>
      <c r="V1007" t="s">
        <v>71</v>
      </c>
      <c r="W1007" t="str">
        <f>"            98544211"</f>
        <v xml:space="preserve">            98544211</v>
      </c>
      <c r="X1007">
        <v>184.08</v>
      </c>
      <c r="Y1007">
        <v>0</v>
      </c>
      <c r="Z1007"/>
      <c r="AB1007"/>
      <c r="AC1007">
        <v>177</v>
      </c>
      <c r="AD1007">
        <v>302</v>
      </c>
      <c r="AE1007" s="1">
        <v>53454</v>
      </c>
      <c r="AF1007">
        <v>0</v>
      </c>
      <c r="AJ1007">
        <v>0</v>
      </c>
      <c r="AK1007">
        <v>0</v>
      </c>
      <c r="AL1007">
        <v>0</v>
      </c>
      <c r="AM1007">
        <v>0</v>
      </c>
      <c r="AN1007">
        <v>0</v>
      </c>
      <c r="AO1007">
        <v>0</v>
      </c>
      <c r="AP1007" s="2">
        <v>42746</v>
      </c>
      <c r="AQ1007" t="s">
        <v>72</v>
      </c>
      <c r="AR1007" t="s">
        <v>72</v>
      </c>
      <c r="AS1007">
        <v>1914</v>
      </c>
      <c r="AT1007" s="4">
        <v>42576</v>
      </c>
      <c r="AU1007" t="s">
        <v>73</v>
      </c>
      <c r="AV1007">
        <v>1914</v>
      </c>
      <c r="AW1007" s="4">
        <v>42576</v>
      </c>
      <c r="BD1007">
        <v>0</v>
      </c>
      <c r="BN1007" t="s">
        <v>74</v>
      </c>
    </row>
    <row r="1008" spans="1:66" hidden="1">
      <c r="A1008">
        <v>100210</v>
      </c>
      <c r="B1008" s="3" t="s">
        <v>141</v>
      </c>
      <c r="C1008" s="1">
        <v>43300101</v>
      </c>
      <c r="D1008" t="s">
        <v>67</v>
      </c>
      <c r="H1008" t="str">
        <f t="shared" si="84"/>
        <v>08082461008</v>
      </c>
      <c r="I1008" t="str">
        <f t="shared" si="84"/>
        <v>08082461008</v>
      </c>
      <c r="K1008" t="str">
        <f>""</f>
        <v/>
      </c>
      <c r="M1008" t="s">
        <v>68</v>
      </c>
      <c r="N1008" t="str">
        <f t="shared" si="85"/>
        <v>FOR</v>
      </c>
      <c r="O1008" t="s">
        <v>69</v>
      </c>
      <c r="P1008" s="3" t="s">
        <v>75</v>
      </c>
      <c r="Q1008">
        <v>2015</v>
      </c>
      <c r="R1008" s="2">
        <v>42215</v>
      </c>
      <c r="S1008" s="2">
        <v>42216</v>
      </c>
      <c r="T1008" s="2">
        <v>42215</v>
      </c>
      <c r="U1008" s="2">
        <v>42275</v>
      </c>
      <c r="V1008" t="s">
        <v>71</v>
      </c>
      <c r="W1008" t="str">
        <f>"            98544425"</f>
        <v xml:space="preserve">            98544425</v>
      </c>
      <c r="X1008">
        <v>825.99</v>
      </c>
      <c r="Y1008">
        <v>0</v>
      </c>
      <c r="Z1008"/>
      <c r="AB1008"/>
      <c r="AC1008">
        <v>677.04</v>
      </c>
      <c r="AD1008">
        <v>301</v>
      </c>
      <c r="AE1008" s="1">
        <v>203789.04</v>
      </c>
      <c r="AF1008">
        <v>0</v>
      </c>
      <c r="AJ1008">
        <v>0</v>
      </c>
      <c r="AK1008">
        <v>0</v>
      </c>
      <c r="AL1008">
        <v>0</v>
      </c>
      <c r="AM1008">
        <v>0</v>
      </c>
      <c r="AN1008">
        <v>0</v>
      </c>
      <c r="AO1008">
        <v>0</v>
      </c>
      <c r="AP1008" s="2">
        <v>42746</v>
      </c>
      <c r="AQ1008" t="s">
        <v>72</v>
      </c>
      <c r="AR1008" t="s">
        <v>72</v>
      </c>
      <c r="AS1008">
        <v>1914</v>
      </c>
      <c r="AT1008" s="4">
        <v>42576</v>
      </c>
      <c r="AU1008" t="s">
        <v>73</v>
      </c>
      <c r="AV1008">
        <v>1914</v>
      </c>
      <c r="AW1008" s="4">
        <v>42576</v>
      </c>
      <c r="BD1008">
        <v>0</v>
      </c>
      <c r="BN1008" t="s">
        <v>74</v>
      </c>
    </row>
    <row r="1009" spans="1:66" hidden="1">
      <c r="A1009">
        <v>100210</v>
      </c>
      <c r="B1009" s="3" t="s">
        <v>141</v>
      </c>
      <c r="C1009" s="1">
        <v>43300101</v>
      </c>
      <c r="D1009" t="s">
        <v>67</v>
      </c>
      <c r="H1009" t="str">
        <f t="shared" si="84"/>
        <v>08082461008</v>
      </c>
      <c r="I1009" t="str">
        <f t="shared" si="84"/>
        <v>08082461008</v>
      </c>
      <c r="K1009" t="str">
        <f>""</f>
        <v/>
      </c>
      <c r="M1009" t="s">
        <v>68</v>
      </c>
      <c r="N1009" t="str">
        <f t="shared" si="85"/>
        <v>FOR</v>
      </c>
      <c r="O1009" t="s">
        <v>69</v>
      </c>
      <c r="P1009" s="3" t="s">
        <v>75</v>
      </c>
      <c r="Q1009">
        <v>2015</v>
      </c>
      <c r="R1009" s="2">
        <v>42215</v>
      </c>
      <c r="S1009" s="2">
        <v>42216</v>
      </c>
      <c r="T1009" s="2">
        <v>42215</v>
      </c>
      <c r="U1009" s="2">
        <v>42275</v>
      </c>
      <c r="V1009" t="s">
        <v>71</v>
      </c>
      <c r="W1009" t="str">
        <f>"            98544426"</f>
        <v xml:space="preserve">            98544426</v>
      </c>
      <c r="X1009" s="1">
        <v>16864.849999999999</v>
      </c>
      <c r="Y1009">
        <v>0</v>
      </c>
      <c r="Z1009"/>
      <c r="AB1009"/>
      <c r="AC1009" s="1">
        <v>16158.88</v>
      </c>
      <c r="AD1009">
        <v>301</v>
      </c>
      <c r="AE1009" s="1">
        <v>4863822.88</v>
      </c>
      <c r="AF1009">
        <v>0</v>
      </c>
      <c r="AJ1009">
        <v>0</v>
      </c>
      <c r="AK1009">
        <v>0</v>
      </c>
      <c r="AL1009">
        <v>0</v>
      </c>
      <c r="AM1009">
        <v>0</v>
      </c>
      <c r="AN1009">
        <v>0</v>
      </c>
      <c r="AO1009">
        <v>0</v>
      </c>
      <c r="AP1009" s="2">
        <v>42746</v>
      </c>
      <c r="AQ1009" t="s">
        <v>72</v>
      </c>
      <c r="AR1009" t="s">
        <v>72</v>
      </c>
      <c r="AS1009">
        <v>1914</v>
      </c>
      <c r="AT1009" s="4">
        <v>42576</v>
      </c>
      <c r="AU1009" t="s">
        <v>73</v>
      </c>
      <c r="AV1009">
        <v>1914</v>
      </c>
      <c r="AW1009" s="4">
        <v>42576</v>
      </c>
      <c r="BD1009">
        <v>0</v>
      </c>
      <c r="BN1009" t="s">
        <v>74</v>
      </c>
    </row>
    <row r="1010" spans="1:66" hidden="1">
      <c r="A1010">
        <v>100210</v>
      </c>
      <c r="B1010" s="3" t="s">
        <v>141</v>
      </c>
      <c r="C1010" s="1">
        <v>43300101</v>
      </c>
      <c r="D1010" t="s">
        <v>67</v>
      </c>
      <c r="H1010" t="str">
        <f t="shared" si="84"/>
        <v>08082461008</v>
      </c>
      <c r="I1010" t="str">
        <f t="shared" si="84"/>
        <v>08082461008</v>
      </c>
      <c r="K1010" t="str">
        <f>""</f>
        <v/>
      </c>
      <c r="M1010" t="s">
        <v>68</v>
      </c>
      <c r="N1010" t="str">
        <f t="shared" si="85"/>
        <v>FOR</v>
      </c>
      <c r="O1010" t="s">
        <v>69</v>
      </c>
      <c r="P1010" s="3" t="s">
        <v>75</v>
      </c>
      <c r="Q1010">
        <v>2015</v>
      </c>
      <c r="R1010" s="2">
        <v>42215</v>
      </c>
      <c r="S1010" s="2">
        <v>42216</v>
      </c>
      <c r="T1010" s="2">
        <v>42215</v>
      </c>
      <c r="U1010" s="2">
        <v>42275</v>
      </c>
      <c r="V1010" t="s">
        <v>71</v>
      </c>
      <c r="W1010" t="str">
        <f>"            98544427"</f>
        <v xml:space="preserve">            98544427</v>
      </c>
      <c r="X1010" s="1">
        <v>1951.31</v>
      </c>
      <c r="Y1010">
        <v>0</v>
      </c>
      <c r="Z1010"/>
      <c r="AB1010"/>
      <c r="AC1010" s="1">
        <v>1876.26</v>
      </c>
      <c r="AD1010">
        <v>301</v>
      </c>
      <c r="AE1010" s="1">
        <v>564754.26</v>
      </c>
      <c r="AF1010">
        <v>0</v>
      </c>
      <c r="AJ1010">
        <v>0</v>
      </c>
      <c r="AK1010">
        <v>0</v>
      </c>
      <c r="AL1010">
        <v>0</v>
      </c>
      <c r="AM1010">
        <v>0</v>
      </c>
      <c r="AN1010">
        <v>0</v>
      </c>
      <c r="AO1010">
        <v>0</v>
      </c>
      <c r="AP1010" s="2">
        <v>42746</v>
      </c>
      <c r="AQ1010" t="s">
        <v>72</v>
      </c>
      <c r="AR1010" t="s">
        <v>72</v>
      </c>
      <c r="AS1010">
        <v>1914</v>
      </c>
      <c r="AT1010" s="4">
        <v>42576</v>
      </c>
      <c r="AU1010" t="s">
        <v>73</v>
      </c>
      <c r="AV1010">
        <v>1914</v>
      </c>
      <c r="AW1010" s="4">
        <v>42576</v>
      </c>
      <c r="BD1010">
        <v>0</v>
      </c>
      <c r="BN1010" t="s">
        <v>74</v>
      </c>
    </row>
    <row r="1011" spans="1:66" hidden="1">
      <c r="A1011">
        <v>100210</v>
      </c>
      <c r="B1011" s="3" t="s">
        <v>141</v>
      </c>
      <c r="C1011" s="1">
        <v>43300101</v>
      </c>
      <c r="D1011" t="s">
        <v>67</v>
      </c>
      <c r="H1011" t="str">
        <f t="shared" si="84"/>
        <v>08082461008</v>
      </c>
      <c r="I1011" t="str">
        <f t="shared" si="84"/>
        <v>08082461008</v>
      </c>
      <c r="K1011" t="str">
        <f>""</f>
        <v/>
      </c>
      <c r="M1011" t="s">
        <v>68</v>
      </c>
      <c r="N1011" t="str">
        <f t="shared" si="85"/>
        <v>FOR</v>
      </c>
      <c r="O1011" t="s">
        <v>69</v>
      </c>
      <c r="P1011" s="3" t="s">
        <v>75</v>
      </c>
      <c r="Q1011">
        <v>2015</v>
      </c>
      <c r="R1011" s="2">
        <v>42227</v>
      </c>
      <c r="S1011" s="2">
        <v>42229</v>
      </c>
      <c r="T1011" s="2">
        <v>42227</v>
      </c>
      <c r="U1011" s="2">
        <v>42287</v>
      </c>
      <c r="V1011" t="s">
        <v>71</v>
      </c>
      <c r="W1011" t="str">
        <f>"            98546249"</f>
        <v xml:space="preserve">            98546249</v>
      </c>
      <c r="X1011" s="1">
        <v>1131.8900000000001</v>
      </c>
      <c r="Y1011">
        <v>0</v>
      </c>
      <c r="Z1011"/>
      <c r="AB1011"/>
      <c r="AC1011" s="1">
        <v>1088.3599999999999</v>
      </c>
      <c r="AD1011">
        <v>292</v>
      </c>
      <c r="AE1011" s="1">
        <v>317801.12</v>
      </c>
      <c r="AF1011">
        <v>0</v>
      </c>
      <c r="AJ1011">
        <v>0</v>
      </c>
      <c r="AK1011">
        <v>0</v>
      </c>
      <c r="AL1011">
        <v>0</v>
      </c>
      <c r="AM1011">
        <v>0</v>
      </c>
      <c r="AN1011">
        <v>0</v>
      </c>
      <c r="AO1011">
        <v>0</v>
      </c>
      <c r="AP1011" s="2">
        <v>42746</v>
      </c>
      <c r="AQ1011" t="s">
        <v>72</v>
      </c>
      <c r="AR1011" t="s">
        <v>72</v>
      </c>
      <c r="AS1011">
        <v>2031</v>
      </c>
      <c r="AT1011" s="4">
        <v>42579</v>
      </c>
      <c r="AU1011" t="s">
        <v>73</v>
      </c>
      <c r="AV1011">
        <v>2031</v>
      </c>
      <c r="AW1011" s="4">
        <v>42579</v>
      </c>
      <c r="BD1011">
        <v>0</v>
      </c>
      <c r="BN1011" t="s">
        <v>74</v>
      </c>
    </row>
    <row r="1012" spans="1:66" hidden="1">
      <c r="A1012">
        <v>100210</v>
      </c>
      <c r="B1012" s="3" t="s">
        <v>141</v>
      </c>
      <c r="C1012" s="1">
        <v>43300101</v>
      </c>
      <c r="D1012" t="s">
        <v>67</v>
      </c>
      <c r="H1012" t="str">
        <f t="shared" si="84"/>
        <v>08082461008</v>
      </c>
      <c r="I1012" t="str">
        <f t="shared" si="84"/>
        <v>08082461008</v>
      </c>
      <c r="K1012" t="str">
        <f>""</f>
        <v/>
      </c>
      <c r="M1012" t="s">
        <v>68</v>
      </c>
      <c r="N1012" t="str">
        <f t="shared" si="85"/>
        <v>FOR</v>
      </c>
      <c r="O1012" t="s">
        <v>69</v>
      </c>
      <c r="P1012" s="3" t="s">
        <v>75</v>
      </c>
      <c r="Q1012">
        <v>2015</v>
      </c>
      <c r="R1012" s="2">
        <v>42237</v>
      </c>
      <c r="S1012" s="2">
        <v>42241</v>
      </c>
      <c r="T1012" s="2">
        <v>42237</v>
      </c>
      <c r="U1012" s="2">
        <v>42297</v>
      </c>
      <c r="V1012" t="s">
        <v>71</v>
      </c>
      <c r="W1012" t="str">
        <f>"            98547948"</f>
        <v xml:space="preserve">            98547948</v>
      </c>
      <c r="X1012" s="1">
        <v>1554.8</v>
      </c>
      <c r="Y1012">
        <v>0</v>
      </c>
      <c r="Z1012"/>
      <c r="AB1012"/>
      <c r="AC1012" s="1">
        <v>1495</v>
      </c>
      <c r="AD1012">
        <v>282</v>
      </c>
      <c r="AE1012" s="1">
        <v>421590</v>
      </c>
      <c r="AF1012">
        <v>0</v>
      </c>
      <c r="AJ1012">
        <v>0</v>
      </c>
      <c r="AK1012">
        <v>0</v>
      </c>
      <c r="AL1012">
        <v>0</v>
      </c>
      <c r="AM1012">
        <v>0</v>
      </c>
      <c r="AN1012">
        <v>0</v>
      </c>
      <c r="AO1012">
        <v>0</v>
      </c>
      <c r="AP1012" s="2">
        <v>42746</v>
      </c>
      <c r="AQ1012" t="s">
        <v>72</v>
      </c>
      <c r="AR1012" t="s">
        <v>72</v>
      </c>
      <c r="AS1012">
        <v>2031</v>
      </c>
      <c r="AT1012" s="4">
        <v>42579</v>
      </c>
      <c r="AU1012" t="s">
        <v>73</v>
      </c>
      <c r="AV1012">
        <v>2031</v>
      </c>
      <c r="AW1012" s="4">
        <v>42579</v>
      </c>
      <c r="BD1012">
        <v>0</v>
      </c>
      <c r="BN1012" t="s">
        <v>74</v>
      </c>
    </row>
    <row r="1013" spans="1:66" hidden="1">
      <c r="A1013">
        <v>100210</v>
      </c>
      <c r="B1013" s="3" t="s">
        <v>141</v>
      </c>
      <c r="C1013" s="1">
        <v>43300101</v>
      </c>
      <c r="D1013" t="s">
        <v>67</v>
      </c>
      <c r="H1013" t="str">
        <f t="shared" si="84"/>
        <v>08082461008</v>
      </c>
      <c r="I1013" t="str">
        <f t="shared" si="84"/>
        <v>08082461008</v>
      </c>
      <c r="K1013" t="str">
        <f>""</f>
        <v/>
      </c>
      <c r="M1013" t="s">
        <v>68</v>
      </c>
      <c r="N1013" t="str">
        <f t="shared" si="85"/>
        <v>FOR</v>
      </c>
      <c r="O1013" t="s">
        <v>69</v>
      </c>
      <c r="P1013" s="3" t="s">
        <v>75</v>
      </c>
      <c r="Q1013">
        <v>2015</v>
      </c>
      <c r="R1013" s="2">
        <v>42237</v>
      </c>
      <c r="S1013" s="2">
        <v>42241</v>
      </c>
      <c r="T1013" s="2">
        <v>42237</v>
      </c>
      <c r="U1013" s="2">
        <v>42297</v>
      </c>
      <c r="V1013" t="s">
        <v>71</v>
      </c>
      <c r="W1013" t="str">
        <f>"            98548117"</f>
        <v xml:space="preserve">            98548117</v>
      </c>
      <c r="X1013" s="1">
        <v>5062.28</v>
      </c>
      <c r="Y1013">
        <v>0</v>
      </c>
      <c r="Z1013"/>
      <c r="AB1013"/>
      <c r="AC1013" s="1">
        <v>4867.58</v>
      </c>
      <c r="AD1013">
        <v>282</v>
      </c>
      <c r="AE1013" s="1">
        <v>1372657.56</v>
      </c>
      <c r="AF1013">
        <v>0</v>
      </c>
      <c r="AJ1013">
        <v>0</v>
      </c>
      <c r="AK1013">
        <v>0</v>
      </c>
      <c r="AL1013">
        <v>0</v>
      </c>
      <c r="AM1013">
        <v>0</v>
      </c>
      <c r="AN1013">
        <v>0</v>
      </c>
      <c r="AO1013">
        <v>0</v>
      </c>
      <c r="AP1013" s="2">
        <v>42746</v>
      </c>
      <c r="AQ1013" t="s">
        <v>72</v>
      </c>
      <c r="AR1013" t="s">
        <v>72</v>
      </c>
      <c r="AS1013">
        <v>2031</v>
      </c>
      <c r="AT1013" s="4">
        <v>42579</v>
      </c>
      <c r="AU1013" t="s">
        <v>73</v>
      </c>
      <c r="AV1013">
        <v>2031</v>
      </c>
      <c r="AW1013" s="4">
        <v>42579</v>
      </c>
      <c r="BD1013">
        <v>0</v>
      </c>
      <c r="BN1013" t="s">
        <v>74</v>
      </c>
    </row>
    <row r="1014" spans="1:66" hidden="1">
      <c r="A1014">
        <v>100210</v>
      </c>
      <c r="B1014" s="3" t="s">
        <v>141</v>
      </c>
      <c r="C1014" s="1">
        <v>43300101</v>
      </c>
      <c r="D1014" t="s">
        <v>67</v>
      </c>
      <c r="H1014" t="str">
        <f t="shared" si="84"/>
        <v>08082461008</v>
      </c>
      <c r="I1014" t="str">
        <f t="shared" si="84"/>
        <v>08082461008</v>
      </c>
      <c r="K1014" t="str">
        <f>""</f>
        <v/>
      </c>
      <c r="M1014" t="s">
        <v>68</v>
      </c>
      <c r="N1014" t="str">
        <f t="shared" si="85"/>
        <v>FOR</v>
      </c>
      <c r="O1014" t="s">
        <v>69</v>
      </c>
      <c r="P1014" s="3" t="s">
        <v>75</v>
      </c>
      <c r="Q1014">
        <v>2015</v>
      </c>
      <c r="R1014" s="2">
        <v>42249</v>
      </c>
      <c r="S1014" s="2">
        <v>42251</v>
      </c>
      <c r="T1014" s="2">
        <v>42249</v>
      </c>
      <c r="U1014" s="2">
        <v>42309</v>
      </c>
      <c r="V1014" t="s">
        <v>71</v>
      </c>
      <c r="W1014" t="str">
        <f>"            98549409"</f>
        <v xml:space="preserve">            98549409</v>
      </c>
      <c r="X1014" s="1">
        <v>2301</v>
      </c>
      <c r="Y1014">
        <v>0</v>
      </c>
      <c r="Z1014"/>
      <c r="AB1014"/>
      <c r="AC1014" s="1">
        <v>2212.5</v>
      </c>
      <c r="AD1014">
        <v>310</v>
      </c>
      <c r="AE1014" s="1">
        <v>685875</v>
      </c>
      <c r="AF1014">
        <v>0</v>
      </c>
      <c r="AJ1014">
        <v>0</v>
      </c>
      <c r="AK1014">
        <v>0</v>
      </c>
      <c r="AL1014">
        <v>0</v>
      </c>
      <c r="AM1014">
        <v>0</v>
      </c>
      <c r="AN1014">
        <v>0</v>
      </c>
      <c r="AO1014">
        <v>0</v>
      </c>
      <c r="AP1014" s="2">
        <v>42746</v>
      </c>
      <c r="AQ1014" t="s">
        <v>72</v>
      </c>
      <c r="AR1014" t="s">
        <v>72</v>
      </c>
      <c r="AS1014">
        <v>2283</v>
      </c>
      <c r="AT1014" s="4">
        <v>42619</v>
      </c>
      <c r="AU1014" t="s">
        <v>73</v>
      </c>
      <c r="AV1014">
        <v>2283</v>
      </c>
      <c r="AW1014" s="4">
        <v>42619</v>
      </c>
      <c r="BD1014">
        <v>0</v>
      </c>
      <c r="BN1014" t="s">
        <v>74</v>
      </c>
    </row>
    <row r="1015" spans="1:66" hidden="1">
      <c r="A1015">
        <v>100210</v>
      </c>
      <c r="B1015" s="3" t="s">
        <v>141</v>
      </c>
      <c r="C1015" s="1">
        <v>43300101</v>
      </c>
      <c r="D1015" t="s">
        <v>67</v>
      </c>
      <c r="H1015" t="str">
        <f t="shared" si="84"/>
        <v>08082461008</v>
      </c>
      <c r="I1015" t="str">
        <f t="shared" si="84"/>
        <v>08082461008</v>
      </c>
      <c r="K1015" t="str">
        <f>""</f>
        <v/>
      </c>
      <c r="M1015" t="s">
        <v>68</v>
      </c>
      <c r="N1015" t="str">
        <f t="shared" si="85"/>
        <v>FOR</v>
      </c>
      <c r="O1015" t="s">
        <v>69</v>
      </c>
      <c r="P1015" s="3" t="s">
        <v>75</v>
      </c>
      <c r="Q1015">
        <v>2015</v>
      </c>
      <c r="R1015" s="2">
        <v>42250</v>
      </c>
      <c r="S1015" s="2">
        <v>42251</v>
      </c>
      <c r="T1015" s="2">
        <v>42250</v>
      </c>
      <c r="U1015" s="2">
        <v>42310</v>
      </c>
      <c r="V1015" t="s">
        <v>71</v>
      </c>
      <c r="W1015" t="str">
        <f>"            98549637"</f>
        <v xml:space="preserve">            98549637</v>
      </c>
      <c r="X1015" s="1">
        <v>1840.88</v>
      </c>
      <c r="Y1015">
        <v>0</v>
      </c>
      <c r="Z1015"/>
      <c r="AB1015"/>
      <c r="AC1015" s="1">
        <v>1770.08</v>
      </c>
      <c r="AD1015">
        <v>309</v>
      </c>
      <c r="AE1015" s="1">
        <v>546954.72</v>
      </c>
      <c r="AF1015">
        <v>0</v>
      </c>
      <c r="AJ1015">
        <v>0</v>
      </c>
      <c r="AK1015">
        <v>0</v>
      </c>
      <c r="AL1015">
        <v>0</v>
      </c>
      <c r="AM1015">
        <v>0</v>
      </c>
      <c r="AN1015">
        <v>0</v>
      </c>
      <c r="AO1015">
        <v>0</v>
      </c>
      <c r="AP1015" s="2">
        <v>42746</v>
      </c>
      <c r="AQ1015" t="s">
        <v>72</v>
      </c>
      <c r="AR1015" t="s">
        <v>72</v>
      </c>
      <c r="AS1015">
        <v>2283</v>
      </c>
      <c r="AT1015" s="4">
        <v>42619</v>
      </c>
      <c r="AU1015" t="s">
        <v>73</v>
      </c>
      <c r="AV1015">
        <v>2283</v>
      </c>
      <c r="AW1015" s="4">
        <v>42619</v>
      </c>
      <c r="BD1015">
        <v>0</v>
      </c>
      <c r="BN1015" t="s">
        <v>74</v>
      </c>
    </row>
    <row r="1016" spans="1:66" hidden="1">
      <c r="A1016">
        <v>100210</v>
      </c>
      <c r="B1016" s="3" t="s">
        <v>141</v>
      </c>
      <c r="C1016" s="1">
        <v>43300101</v>
      </c>
      <c r="D1016" t="s">
        <v>67</v>
      </c>
      <c r="H1016" t="str">
        <f t="shared" si="84"/>
        <v>08082461008</v>
      </c>
      <c r="I1016" t="str">
        <f t="shared" si="84"/>
        <v>08082461008</v>
      </c>
      <c r="K1016" t="str">
        <f>""</f>
        <v/>
      </c>
      <c r="M1016" t="s">
        <v>68</v>
      </c>
      <c r="N1016" t="str">
        <f t="shared" si="85"/>
        <v>FOR</v>
      </c>
      <c r="O1016" t="s">
        <v>69</v>
      </c>
      <c r="P1016" s="3" t="s">
        <v>75</v>
      </c>
      <c r="Q1016">
        <v>2015</v>
      </c>
      <c r="R1016" s="2">
        <v>42263</v>
      </c>
      <c r="S1016" s="2">
        <v>42265</v>
      </c>
      <c r="T1016" s="2">
        <v>42263</v>
      </c>
      <c r="U1016" s="2">
        <v>42323</v>
      </c>
      <c r="V1016" t="s">
        <v>71</v>
      </c>
      <c r="W1016" t="str">
        <f>"            98551694"</f>
        <v xml:space="preserve">            98551694</v>
      </c>
      <c r="X1016">
        <v>920.4</v>
      </c>
      <c r="Y1016">
        <v>0</v>
      </c>
      <c r="Z1016"/>
      <c r="AB1016"/>
      <c r="AC1016">
        <v>885</v>
      </c>
      <c r="AD1016">
        <v>296</v>
      </c>
      <c r="AE1016" s="1">
        <v>261960</v>
      </c>
      <c r="AF1016">
        <v>0</v>
      </c>
      <c r="AJ1016">
        <v>0</v>
      </c>
      <c r="AK1016">
        <v>0</v>
      </c>
      <c r="AL1016">
        <v>0</v>
      </c>
      <c r="AM1016">
        <v>0</v>
      </c>
      <c r="AN1016">
        <v>0</v>
      </c>
      <c r="AO1016">
        <v>0</v>
      </c>
      <c r="AP1016" s="2">
        <v>42746</v>
      </c>
      <c r="AQ1016" t="s">
        <v>72</v>
      </c>
      <c r="AR1016" t="s">
        <v>72</v>
      </c>
      <c r="AS1016">
        <v>2283</v>
      </c>
      <c r="AT1016" s="4">
        <v>42619</v>
      </c>
      <c r="AU1016" t="s">
        <v>73</v>
      </c>
      <c r="AV1016">
        <v>2283</v>
      </c>
      <c r="AW1016" s="4">
        <v>42619</v>
      </c>
      <c r="BD1016">
        <v>0</v>
      </c>
      <c r="BN1016" t="s">
        <v>74</v>
      </c>
    </row>
    <row r="1017" spans="1:66">
      <c r="A1017">
        <v>100210</v>
      </c>
      <c r="B1017" s="3" t="s">
        <v>141</v>
      </c>
      <c r="C1017" s="1">
        <v>43300101</v>
      </c>
      <c r="D1017" t="s">
        <v>67</v>
      </c>
      <c r="H1017" t="str">
        <f t="shared" ref="H1017:I1036" si="86">"08082461008"</f>
        <v>08082461008</v>
      </c>
      <c r="I1017" t="str">
        <f t="shared" si="86"/>
        <v>08082461008</v>
      </c>
      <c r="K1017" t="str">
        <f>""</f>
        <v/>
      </c>
      <c r="M1017" t="s">
        <v>68</v>
      </c>
      <c r="N1017" t="str">
        <f t="shared" si="85"/>
        <v>FOR</v>
      </c>
      <c r="O1017" t="s">
        <v>69</v>
      </c>
      <c r="P1017" s="3" t="s">
        <v>75</v>
      </c>
      <c r="Q1017">
        <v>2015</v>
      </c>
      <c r="R1017" s="2">
        <v>42300</v>
      </c>
      <c r="S1017" s="2">
        <v>42305</v>
      </c>
      <c r="T1017" s="2">
        <v>42300</v>
      </c>
      <c r="U1017" s="2">
        <v>42360</v>
      </c>
      <c r="V1017" t="s">
        <v>71</v>
      </c>
      <c r="W1017" t="str">
        <f>"            98559267"</f>
        <v xml:space="preserve">            98559267</v>
      </c>
      <c r="X1017" s="1">
        <v>1323.55</v>
      </c>
      <c r="Y1017">
        <v>0</v>
      </c>
      <c r="Z1017" s="5">
        <v>1084.8800000000001</v>
      </c>
      <c r="AA1017">
        <v>287</v>
      </c>
      <c r="AB1017" s="5">
        <v>311360.56</v>
      </c>
      <c r="AC1017" s="1">
        <v>1084.8800000000001</v>
      </c>
      <c r="AD1017">
        <v>287</v>
      </c>
      <c r="AE1017" s="1">
        <v>311360.56</v>
      </c>
      <c r="AF1017">
        <v>0</v>
      </c>
      <c r="AJ1017">
        <v>0</v>
      </c>
      <c r="AK1017">
        <v>0</v>
      </c>
      <c r="AL1017">
        <v>0</v>
      </c>
      <c r="AM1017">
        <v>0</v>
      </c>
      <c r="AN1017">
        <v>0</v>
      </c>
      <c r="AO1017">
        <v>0</v>
      </c>
      <c r="AP1017" s="2">
        <v>42746</v>
      </c>
      <c r="AQ1017" t="s">
        <v>72</v>
      </c>
      <c r="AR1017" t="s">
        <v>72</v>
      </c>
      <c r="AS1017">
        <v>2621</v>
      </c>
      <c r="AT1017" s="4">
        <v>42647</v>
      </c>
      <c r="AU1017" t="s">
        <v>73</v>
      </c>
      <c r="AV1017">
        <v>2621</v>
      </c>
      <c r="AW1017" s="4">
        <v>42647</v>
      </c>
      <c r="BD1017">
        <v>0</v>
      </c>
      <c r="BN1017" t="s">
        <v>74</v>
      </c>
    </row>
    <row r="1018" spans="1:66">
      <c r="A1018">
        <v>100210</v>
      </c>
      <c r="B1018" s="3" t="s">
        <v>141</v>
      </c>
      <c r="C1018" s="1">
        <v>43300101</v>
      </c>
      <c r="D1018" t="s">
        <v>67</v>
      </c>
      <c r="H1018" t="str">
        <f t="shared" si="86"/>
        <v>08082461008</v>
      </c>
      <c r="I1018" t="str">
        <f t="shared" si="86"/>
        <v>08082461008</v>
      </c>
      <c r="K1018" t="str">
        <f>""</f>
        <v/>
      </c>
      <c r="M1018" t="s">
        <v>68</v>
      </c>
      <c r="N1018" t="str">
        <f t="shared" si="85"/>
        <v>FOR</v>
      </c>
      <c r="O1018" t="s">
        <v>69</v>
      </c>
      <c r="P1018" s="3" t="s">
        <v>75</v>
      </c>
      <c r="Q1018">
        <v>2015</v>
      </c>
      <c r="R1018" s="2">
        <v>42304</v>
      </c>
      <c r="S1018" s="2">
        <v>42306</v>
      </c>
      <c r="T1018" s="2">
        <v>42304</v>
      </c>
      <c r="U1018" s="2">
        <v>42364</v>
      </c>
      <c r="V1018" t="s">
        <v>71</v>
      </c>
      <c r="W1018" t="str">
        <f>"            98559625"</f>
        <v xml:space="preserve">            98559625</v>
      </c>
      <c r="X1018" s="1">
        <v>3631.06</v>
      </c>
      <c r="Y1018">
        <v>0</v>
      </c>
      <c r="Z1018" s="5">
        <v>3491.4</v>
      </c>
      <c r="AA1018">
        <v>283</v>
      </c>
      <c r="AB1018" s="5">
        <v>988066.2</v>
      </c>
      <c r="AC1018" s="1">
        <v>3491.4</v>
      </c>
      <c r="AD1018">
        <v>283</v>
      </c>
      <c r="AE1018" s="1">
        <v>988066.2</v>
      </c>
      <c r="AF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 s="2">
        <v>42746</v>
      </c>
      <c r="AQ1018" t="s">
        <v>72</v>
      </c>
      <c r="AR1018" t="s">
        <v>72</v>
      </c>
      <c r="AS1018">
        <v>2621</v>
      </c>
      <c r="AT1018" s="4">
        <v>42647</v>
      </c>
      <c r="AU1018" t="s">
        <v>73</v>
      </c>
      <c r="AV1018">
        <v>2621</v>
      </c>
      <c r="AW1018" s="4">
        <v>42647</v>
      </c>
      <c r="BD1018">
        <v>0</v>
      </c>
      <c r="BN1018" t="s">
        <v>74</v>
      </c>
    </row>
    <row r="1019" spans="1:66">
      <c r="A1019">
        <v>100210</v>
      </c>
      <c r="B1019" s="3" t="s">
        <v>141</v>
      </c>
      <c r="C1019" s="1">
        <v>43300101</v>
      </c>
      <c r="D1019" t="s">
        <v>67</v>
      </c>
      <c r="H1019" t="str">
        <f t="shared" si="86"/>
        <v>08082461008</v>
      </c>
      <c r="I1019" t="str">
        <f t="shared" si="86"/>
        <v>08082461008</v>
      </c>
      <c r="K1019" t="str">
        <f>""</f>
        <v/>
      </c>
      <c r="M1019" t="s">
        <v>68</v>
      </c>
      <c r="N1019" t="str">
        <f t="shared" si="85"/>
        <v>FOR</v>
      </c>
      <c r="O1019" t="s">
        <v>69</v>
      </c>
      <c r="P1019" s="3" t="s">
        <v>75</v>
      </c>
      <c r="Q1019">
        <v>2015</v>
      </c>
      <c r="R1019" s="2">
        <v>42304</v>
      </c>
      <c r="S1019" s="2">
        <v>42306</v>
      </c>
      <c r="T1019" s="2">
        <v>42304</v>
      </c>
      <c r="U1019" s="2">
        <v>42364</v>
      </c>
      <c r="V1019" t="s">
        <v>71</v>
      </c>
      <c r="W1019" t="str">
        <f>"            98559626"</f>
        <v xml:space="preserve">            98559626</v>
      </c>
      <c r="X1019" s="1">
        <v>1101.32</v>
      </c>
      <c r="Y1019">
        <v>0</v>
      </c>
      <c r="Z1019" s="3">
        <v>902.72</v>
      </c>
      <c r="AA1019">
        <v>283</v>
      </c>
      <c r="AB1019" s="5">
        <v>255469.76</v>
      </c>
      <c r="AC1019">
        <v>902.72</v>
      </c>
      <c r="AD1019">
        <v>283</v>
      </c>
      <c r="AE1019" s="1">
        <v>255469.76</v>
      </c>
      <c r="AF1019">
        <v>0</v>
      </c>
      <c r="AJ1019">
        <v>0</v>
      </c>
      <c r="AK1019">
        <v>0</v>
      </c>
      <c r="AL1019">
        <v>0</v>
      </c>
      <c r="AM1019">
        <v>0</v>
      </c>
      <c r="AN1019">
        <v>0</v>
      </c>
      <c r="AO1019">
        <v>0</v>
      </c>
      <c r="AP1019" s="2">
        <v>42746</v>
      </c>
      <c r="AQ1019" t="s">
        <v>72</v>
      </c>
      <c r="AR1019" t="s">
        <v>72</v>
      </c>
      <c r="AS1019">
        <v>2621</v>
      </c>
      <c r="AT1019" s="4">
        <v>42647</v>
      </c>
      <c r="AU1019" t="s">
        <v>73</v>
      </c>
      <c r="AV1019">
        <v>2621</v>
      </c>
      <c r="AW1019" s="4">
        <v>42647</v>
      </c>
      <c r="BD1019">
        <v>0</v>
      </c>
      <c r="BN1019" t="s">
        <v>74</v>
      </c>
    </row>
    <row r="1020" spans="1:66">
      <c r="A1020">
        <v>100210</v>
      </c>
      <c r="B1020" s="3" t="s">
        <v>141</v>
      </c>
      <c r="C1020" s="1">
        <v>43300101</v>
      </c>
      <c r="D1020" t="s">
        <v>67</v>
      </c>
      <c r="H1020" t="str">
        <f t="shared" si="86"/>
        <v>08082461008</v>
      </c>
      <c r="I1020" t="str">
        <f t="shared" si="86"/>
        <v>08082461008</v>
      </c>
      <c r="K1020" t="str">
        <f>""</f>
        <v/>
      </c>
      <c r="M1020" t="s">
        <v>68</v>
      </c>
      <c r="N1020" t="str">
        <f t="shared" si="85"/>
        <v>FOR</v>
      </c>
      <c r="O1020" t="s">
        <v>69</v>
      </c>
      <c r="P1020" s="3" t="s">
        <v>75</v>
      </c>
      <c r="Q1020">
        <v>2015</v>
      </c>
      <c r="R1020" s="2">
        <v>42332</v>
      </c>
      <c r="S1020" s="2">
        <v>42333</v>
      </c>
      <c r="T1020" s="2">
        <v>42332</v>
      </c>
      <c r="U1020" s="2">
        <v>42392</v>
      </c>
      <c r="V1020" t="s">
        <v>71</v>
      </c>
      <c r="W1020" t="str">
        <f>"            98564654"</f>
        <v xml:space="preserve">            98564654</v>
      </c>
      <c r="X1020">
        <v>101.02</v>
      </c>
      <c r="Y1020">
        <v>0</v>
      </c>
      <c r="Z1020" s="3">
        <v>82.8</v>
      </c>
      <c r="AA1020">
        <v>286</v>
      </c>
      <c r="AB1020" s="5">
        <v>23680.799999999999</v>
      </c>
      <c r="AC1020">
        <v>82.8</v>
      </c>
      <c r="AD1020">
        <v>286</v>
      </c>
      <c r="AE1020" s="1">
        <v>23680.799999999999</v>
      </c>
      <c r="AF1020">
        <v>0</v>
      </c>
      <c r="AJ1020">
        <v>0</v>
      </c>
      <c r="AK1020">
        <v>0</v>
      </c>
      <c r="AL1020">
        <v>0</v>
      </c>
      <c r="AM1020">
        <v>0</v>
      </c>
      <c r="AN1020">
        <v>0</v>
      </c>
      <c r="AO1020">
        <v>0</v>
      </c>
      <c r="AP1020" s="2">
        <v>42746</v>
      </c>
      <c r="AQ1020" t="s">
        <v>72</v>
      </c>
      <c r="AR1020" t="s">
        <v>72</v>
      </c>
      <c r="AS1020">
        <v>2927</v>
      </c>
      <c r="AT1020" s="4">
        <v>42678</v>
      </c>
      <c r="AU1020" t="s">
        <v>73</v>
      </c>
      <c r="AV1020">
        <v>2927</v>
      </c>
      <c r="AW1020" s="4">
        <v>42678</v>
      </c>
      <c r="BD1020">
        <v>0</v>
      </c>
      <c r="BN1020" t="s">
        <v>74</v>
      </c>
    </row>
    <row r="1021" spans="1:66">
      <c r="A1021">
        <v>100210</v>
      </c>
      <c r="B1021" s="3" t="s">
        <v>141</v>
      </c>
      <c r="C1021" s="1">
        <v>43300101</v>
      </c>
      <c r="D1021" t="s">
        <v>67</v>
      </c>
      <c r="H1021" t="str">
        <f t="shared" si="86"/>
        <v>08082461008</v>
      </c>
      <c r="I1021" t="str">
        <f t="shared" si="86"/>
        <v>08082461008</v>
      </c>
      <c r="K1021" t="str">
        <f>""</f>
        <v/>
      </c>
      <c r="M1021" t="s">
        <v>68</v>
      </c>
      <c r="N1021" t="str">
        <f t="shared" si="85"/>
        <v>FOR</v>
      </c>
      <c r="O1021" t="s">
        <v>69</v>
      </c>
      <c r="P1021" s="3" t="s">
        <v>75</v>
      </c>
      <c r="Q1021">
        <v>2015</v>
      </c>
      <c r="R1021" s="2">
        <v>42339</v>
      </c>
      <c r="S1021" s="2">
        <v>42340</v>
      </c>
      <c r="T1021" s="2">
        <v>42339</v>
      </c>
      <c r="U1021" s="2">
        <v>42399</v>
      </c>
      <c r="V1021" t="s">
        <v>71</v>
      </c>
      <c r="W1021" t="str">
        <f>"            98565610"</f>
        <v xml:space="preserve">            98565610</v>
      </c>
      <c r="X1021">
        <v>505.08</v>
      </c>
      <c r="Y1021">
        <v>0</v>
      </c>
      <c r="Z1021" s="3">
        <v>414</v>
      </c>
      <c r="AA1021">
        <v>293</v>
      </c>
      <c r="AB1021" s="5">
        <v>121302</v>
      </c>
      <c r="AC1021">
        <v>414</v>
      </c>
      <c r="AD1021">
        <v>293</v>
      </c>
      <c r="AE1021" s="1">
        <v>121302</v>
      </c>
      <c r="AF1021">
        <v>0</v>
      </c>
      <c r="AJ1021">
        <v>0</v>
      </c>
      <c r="AK1021">
        <v>0</v>
      </c>
      <c r="AL1021">
        <v>0</v>
      </c>
      <c r="AM1021">
        <v>0</v>
      </c>
      <c r="AN1021">
        <v>0</v>
      </c>
      <c r="AO1021">
        <v>0</v>
      </c>
      <c r="AP1021" s="2">
        <v>42746</v>
      </c>
      <c r="AQ1021" t="s">
        <v>72</v>
      </c>
      <c r="AR1021" t="s">
        <v>72</v>
      </c>
      <c r="AS1021">
        <v>3177</v>
      </c>
      <c r="AT1021" s="4">
        <v>42692</v>
      </c>
      <c r="AU1021" t="s">
        <v>73</v>
      </c>
      <c r="AV1021">
        <v>3177</v>
      </c>
      <c r="AW1021" s="4">
        <v>42692</v>
      </c>
      <c r="BD1021">
        <v>0</v>
      </c>
      <c r="BN1021" t="s">
        <v>74</v>
      </c>
    </row>
    <row r="1022" spans="1:66">
      <c r="A1022">
        <v>100210</v>
      </c>
      <c r="B1022" s="3" t="s">
        <v>141</v>
      </c>
      <c r="C1022" s="1">
        <v>43300101</v>
      </c>
      <c r="D1022" t="s">
        <v>67</v>
      </c>
      <c r="H1022" t="str">
        <f t="shared" si="86"/>
        <v>08082461008</v>
      </c>
      <c r="I1022" t="str">
        <f t="shared" si="86"/>
        <v>08082461008</v>
      </c>
      <c r="K1022" t="str">
        <f>""</f>
        <v/>
      </c>
      <c r="M1022" t="s">
        <v>68</v>
      </c>
      <c r="N1022" t="str">
        <f t="shared" si="85"/>
        <v>FOR</v>
      </c>
      <c r="O1022" t="s">
        <v>69</v>
      </c>
      <c r="P1022" s="3" t="s">
        <v>75</v>
      </c>
      <c r="Q1022">
        <v>2016</v>
      </c>
      <c r="R1022" s="2">
        <v>42383</v>
      </c>
      <c r="S1022" s="2">
        <v>42389</v>
      </c>
      <c r="T1022" s="2">
        <v>42384</v>
      </c>
      <c r="U1022" s="2">
        <v>42444</v>
      </c>
      <c r="V1022" t="s">
        <v>71</v>
      </c>
      <c r="W1022" t="str">
        <f>"            16004137"</f>
        <v xml:space="preserve">            16004137</v>
      </c>
      <c r="X1022" s="1">
        <v>7393.2</v>
      </c>
      <c r="Y1022">
        <v>0</v>
      </c>
      <c r="Z1022" s="5">
        <v>6060</v>
      </c>
      <c r="AA1022">
        <v>248</v>
      </c>
      <c r="AB1022" s="5">
        <v>1502880</v>
      </c>
      <c r="AC1022" s="1">
        <v>6060</v>
      </c>
      <c r="AD1022">
        <v>248</v>
      </c>
      <c r="AE1022" s="1">
        <v>1502880</v>
      </c>
      <c r="AF1022">
        <v>0</v>
      </c>
      <c r="AJ1022">
        <v>0</v>
      </c>
      <c r="AK1022">
        <v>0</v>
      </c>
      <c r="AL1022">
        <v>0</v>
      </c>
      <c r="AM1022" s="1">
        <v>7393.2</v>
      </c>
      <c r="AN1022" s="1">
        <v>7393.2</v>
      </c>
      <c r="AO1022" s="1">
        <v>7393.2</v>
      </c>
      <c r="AP1022" s="2">
        <v>42746</v>
      </c>
      <c r="AQ1022" t="s">
        <v>72</v>
      </c>
      <c r="AR1022" t="s">
        <v>72</v>
      </c>
      <c r="AS1022">
        <v>3177</v>
      </c>
      <c r="AT1022" s="4">
        <v>42692</v>
      </c>
      <c r="AU1022" t="s">
        <v>73</v>
      </c>
      <c r="AV1022">
        <v>3177</v>
      </c>
      <c r="AW1022" s="4">
        <v>42692</v>
      </c>
      <c r="BD1022">
        <v>0</v>
      </c>
      <c r="BN1022" t="s">
        <v>74</v>
      </c>
    </row>
    <row r="1023" spans="1:66">
      <c r="A1023">
        <v>100210</v>
      </c>
      <c r="B1023" s="3" t="s">
        <v>141</v>
      </c>
      <c r="C1023" s="1">
        <v>43300101</v>
      </c>
      <c r="D1023" t="s">
        <v>67</v>
      </c>
      <c r="H1023" t="str">
        <f t="shared" si="86"/>
        <v>08082461008</v>
      </c>
      <c r="I1023" t="str">
        <f t="shared" si="86"/>
        <v>08082461008</v>
      </c>
      <c r="K1023" t="str">
        <f>""</f>
        <v/>
      </c>
      <c r="M1023" t="s">
        <v>68</v>
      </c>
      <c r="N1023" t="str">
        <f t="shared" si="85"/>
        <v>FOR</v>
      </c>
      <c r="O1023" t="s">
        <v>69</v>
      </c>
      <c r="P1023" s="3" t="s">
        <v>75</v>
      </c>
      <c r="Q1023">
        <v>2016</v>
      </c>
      <c r="R1023" s="2">
        <v>42384</v>
      </c>
      <c r="S1023" s="2">
        <v>42389</v>
      </c>
      <c r="T1023" s="2">
        <v>42385</v>
      </c>
      <c r="U1023" s="2">
        <v>42445</v>
      </c>
      <c r="V1023" t="s">
        <v>71</v>
      </c>
      <c r="W1023" t="str">
        <f>"            16004640"</f>
        <v xml:space="preserve">            16004640</v>
      </c>
      <c r="X1023" s="1">
        <v>2261.88</v>
      </c>
      <c r="Y1023">
        <v>0</v>
      </c>
      <c r="Z1023" s="5">
        <v>1854</v>
      </c>
      <c r="AA1023">
        <v>247</v>
      </c>
      <c r="AB1023" s="5">
        <v>457938</v>
      </c>
      <c r="AC1023" s="1">
        <v>1854</v>
      </c>
      <c r="AD1023">
        <v>247</v>
      </c>
      <c r="AE1023" s="1">
        <v>457938</v>
      </c>
      <c r="AF1023">
        <v>0</v>
      </c>
      <c r="AJ1023">
        <v>0</v>
      </c>
      <c r="AK1023">
        <v>0</v>
      </c>
      <c r="AL1023">
        <v>0</v>
      </c>
      <c r="AM1023" s="1">
        <v>2261.88</v>
      </c>
      <c r="AN1023" s="1">
        <v>2261.88</v>
      </c>
      <c r="AO1023" s="1">
        <v>2261.88</v>
      </c>
      <c r="AP1023" s="2">
        <v>42746</v>
      </c>
      <c r="AQ1023" t="s">
        <v>72</v>
      </c>
      <c r="AR1023" t="s">
        <v>72</v>
      </c>
      <c r="AS1023">
        <v>3177</v>
      </c>
      <c r="AT1023" s="4">
        <v>42692</v>
      </c>
      <c r="AU1023" t="s">
        <v>73</v>
      </c>
      <c r="AV1023">
        <v>3177</v>
      </c>
      <c r="AW1023" s="4">
        <v>42692</v>
      </c>
      <c r="BD1023">
        <v>0</v>
      </c>
      <c r="BN1023" t="s">
        <v>74</v>
      </c>
    </row>
    <row r="1024" spans="1:66">
      <c r="A1024">
        <v>100210</v>
      </c>
      <c r="B1024" s="3" t="s">
        <v>141</v>
      </c>
      <c r="C1024" s="1">
        <v>43300101</v>
      </c>
      <c r="D1024" t="s">
        <v>67</v>
      </c>
      <c r="H1024" t="str">
        <f t="shared" si="86"/>
        <v>08082461008</v>
      </c>
      <c r="I1024" t="str">
        <f t="shared" si="86"/>
        <v>08082461008</v>
      </c>
      <c r="K1024" t="str">
        <f>""</f>
        <v/>
      </c>
      <c r="M1024" t="s">
        <v>68</v>
      </c>
      <c r="N1024" t="str">
        <f t="shared" si="85"/>
        <v>FOR</v>
      </c>
      <c r="O1024" t="s">
        <v>69</v>
      </c>
      <c r="P1024" s="3" t="s">
        <v>75</v>
      </c>
      <c r="Q1024">
        <v>2016</v>
      </c>
      <c r="R1024" s="2">
        <v>42388</v>
      </c>
      <c r="S1024" s="2">
        <v>42389</v>
      </c>
      <c r="T1024" s="2">
        <v>42388</v>
      </c>
      <c r="U1024" s="2">
        <v>42448</v>
      </c>
      <c r="V1024" t="s">
        <v>71</v>
      </c>
      <c r="W1024" t="str">
        <f>"            16005671"</f>
        <v xml:space="preserve">            16005671</v>
      </c>
      <c r="X1024">
        <v>644.79999999999995</v>
      </c>
      <c r="Y1024">
        <v>0</v>
      </c>
      <c r="Z1024" s="3">
        <v>620</v>
      </c>
      <c r="AA1024">
        <v>244</v>
      </c>
      <c r="AB1024" s="5">
        <v>151280</v>
      </c>
      <c r="AC1024">
        <v>620</v>
      </c>
      <c r="AD1024">
        <v>244</v>
      </c>
      <c r="AE1024" s="1">
        <v>151280</v>
      </c>
      <c r="AF1024">
        <v>0</v>
      </c>
      <c r="AJ1024">
        <v>0</v>
      </c>
      <c r="AK1024">
        <v>0</v>
      </c>
      <c r="AL1024">
        <v>0</v>
      </c>
      <c r="AM1024">
        <v>0</v>
      </c>
      <c r="AN1024">
        <v>644.79999999999995</v>
      </c>
      <c r="AO1024">
        <v>644.79999999999995</v>
      </c>
      <c r="AP1024" s="2">
        <v>42746</v>
      </c>
      <c r="AQ1024" t="s">
        <v>72</v>
      </c>
      <c r="AR1024" t="s">
        <v>72</v>
      </c>
      <c r="AS1024">
        <v>3177</v>
      </c>
      <c r="AT1024" s="4">
        <v>42692</v>
      </c>
      <c r="AU1024" t="s">
        <v>73</v>
      </c>
      <c r="AV1024">
        <v>3177</v>
      </c>
      <c r="AW1024" s="4">
        <v>42692</v>
      </c>
      <c r="BD1024">
        <v>0</v>
      </c>
      <c r="BN1024" t="s">
        <v>74</v>
      </c>
    </row>
    <row r="1025" spans="1:66">
      <c r="A1025">
        <v>100210</v>
      </c>
      <c r="B1025" s="3" t="s">
        <v>141</v>
      </c>
      <c r="C1025" s="1">
        <v>43300101</v>
      </c>
      <c r="D1025" t="s">
        <v>67</v>
      </c>
      <c r="H1025" t="str">
        <f t="shared" si="86"/>
        <v>08082461008</v>
      </c>
      <c r="I1025" t="str">
        <f t="shared" si="86"/>
        <v>08082461008</v>
      </c>
      <c r="K1025" t="str">
        <f>""</f>
        <v/>
      </c>
      <c r="M1025" t="s">
        <v>68</v>
      </c>
      <c r="N1025" t="str">
        <f t="shared" si="85"/>
        <v>FOR</v>
      </c>
      <c r="O1025" t="s">
        <v>69</v>
      </c>
      <c r="P1025" s="3" t="s">
        <v>75</v>
      </c>
      <c r="Q1025">
        <v>2016</v>
      </c>
      <c r="R1025" s="2">
        <v>42388</v>
      </c>
      <c r="S1025" s="2">
        <v>42389</v>
      </c>
      <c r="T1025" s="2">
        <v>42388</v>
      </c>
      <c r="U1025" s="2">
        <v>42448</v>
      </c>
      <c r="V1025" t="s">
        <v>71</v>
      </c>
      <c r="W1025" t="str">
        <f>"            16005814"</f>
        <v xml:space="preserve">            16005814</v>
      </c>
      <c r="X1025" s="1">
        <v>3280.82</v>
      </c>
      <c r="Y1025">
        <v>0</v>
      </c>
      <c r="Z1025" s="5">
        <v>2689.2</v>
      </c>
      <c r="AA1025">
        <v>244</v>
      </c>
      <c r="AB1025" s="5">
        <v>656164.80000000005</v>
      </c>
      <c r="AC1025" s="1">
        <v>2689.2</v>
      </c>
      <c r="AD1025">
        <v>244</v>
      </c>
      <c r="AE1025" s="1">
        <v>656164.80000000005</v>
      </c>
      <c r="AF1025">
        <v>0</v>
      </c>
      <c r="AJ1025">
        <v>0</v>
      </c>
      <c r="AK1025">
        <v>0</v>
      </c>
      <c r="AL1025">
        <v>0</v>
      </c>
      <c r="AM1025" s="1">
        <v>3280.82</v>
      </c>
      <c r="AN1025" s="1">
        <v>3280.82</v>
      </c>
      <c r="AO1025" s="1">
        <v>3280.82</v>
      </c>
      <c r="AP1025" s="2">
        <v>42746</v>
      </c>
      <c r="AQ1025" t="s">
        <v>72</v>
      </c>
      <c r="AR1025" t="s">
        <v>72</v>
      </c>
      <c r="AS1025">
        <v>3177</v>
      </c>
      <c r="AT1025" s="4">
        <v>42692</v>
      </c>
      <c r="AU1025" t="s">
        <v>73</v>
      </c>
      <c r="AV1025">
        <v>3177</v>
      </c>
      <c r="AW1025" s="4">
        <v>42692</v>
      </c>
      <c r="BD1025">
        <v>0</v>
      </c>
      <c r="BN1025" t="s">
        <v>74</v>
      </c>
    </row>
    <row r="1026" spans="1:66">
      <c r="A1026">
        <v>100210</v>
      </c>
      <c r="B1026" s="3" t="s">
        <v>141</v>
      </c>
      <c r="C1026" s="1">
        <v>43300101</v>
      </c>
      <c r="D1026" t="s">
        <v>67</v>
      </c>
      <c r="H1026" t="str">
        <f t="shared" si="86"/>
        <v>08082461008</v>
      </c>
      <c r="I1026" t="str">
        <f t="shared" si="86"/>
        <v>08082461008</v>
      </c>
      <c r="K1026" t="str">
        <f>""</f>
        <v/>
      </c>
      <c r="M1026" t="s">
        <v>68</v>
      </c>
      <c r="N1026" t="str">
        <f t="shared" si="85"/>
        <v>FOR</v>
      </c>
      <c r="O1026" t="s">
        <v>69</v>
      </c>
      <c r="P1026" s="3" t="s">
        <v>75</v>
      </c>
      <c r="Q1026">
        <v>2016</v>
      </c>
      <c r="R1026" s="2">
        <v>42388</v>
      </c>
      <c r="S1026" s="2">
        <v>42389</v>
      </c>
      <c r="T1026" s="2">
        <v>42388</v>
      </c>
      <c r="U1026" s="2">
        <v>42448</v>
      </c>
      <c r="V1026" t="s">
        <v>71</v>
      </c>
      <c r="W1026" t="str">
        <f>"            16005834"</f>
        <v xml:space="preserve">            16005834</v>
      </c>
      <c r="X1026" s="1">
        <v>1620.65</v>
      </c>
      <c r="Y1026">
        <v>0</v>
      </c>
      <c r="Z1026" s="5">
        <v>1328.4</v>
      </c>
      <c r="AA1026">
        <v>244</v>
      </c>
      <c r="AB1026" s="5">
        <v>324129.59999999998</v>
      </c>
      <c r="AC1026" s="1">
        <v>1328.4</v>
      </c>
      <c r="AD1026">
        <v>244</v>
      </c>
      <c r="AE1026" s="1">
        <v>324129.59999999998</v>
      </c>
      <c r="AF1026">
        <v>0</v>
      </c>
      <c r="AJ1026">
        <v>0</v>
      </c>
      <c r="AK1026">
        <v>0</v>
      </c>
      <c r="AL1026">
        <v>0</v>
      </c>
      <c r="AM1026" s="1">
        <v>1620.65</v>
      </c>
      <c r="AN1026" s="1">
        <v>1620.65</v>
      </c>
      <c r="AO1026" s="1">
        <v>1620.65</v>
      </c>
      <c r="AP1026" s="2">
        <v>42746</v>
      </c>
      <c r="AQ1026" t="s">
        <v>72</v>
      </c>
      <c r="AR1026" t="s">
        <v>72</v>
      </c>
      <c r="AS1026">
        <v>3177</v>
      </c>
      <c r="AT1026" s="4">
        <v>42692</v>
      </c>
      <c r="AU1026" t="s">
        <v>73</v>
      </c>
      <c r="AV1026">
        <v>3177</v>
      </c>
      <c r="AW1026" s="4">
        <v>42692</v>
      </c>
      <c r="BD1026">
        <v>0</v>
      </c>
      <c r="BN1026" t="s">
        <v>74</v>
      </c>
    </row>
    <row r="1027" spans="1:66">
      <c r="A1027">
        <v>100210</v>
      </c>
      <c r="B1027" s="3" t="s">
        <v>141</v>
      </c>
      <c r="C1027" s="1">
        <v>43300101</v>
      </c>
      <c r="D1027" t="s">
        <v>67</v>
      </c>
      <c r="H1027" t="str">
        <f t="shared" si="86"/>
        <v>08082461008</v>
      </c>
      <c r="I1027" t="str">
        <f t="shared" si="86"/>
        <v>08082461008</v>
      </c>
      <c r="K1027" t="str">
        <f>""</f>
        <v/>
      </c>
      <c r="M1027" t="s">
        <v>68</v>
      </c>
      <c r="N1027" t="str">
        <f t="shared" si="85"/>
        <v>FOR</v>
      </c>
      <c r="O1027" t="s">
        <v>69</v>
      </c>
      <c r="P1027" s="3" t="s">
        <v>75</v>
      </c>
      <c r="Q1027">
        <v>2016</v>
      </c>
      <c r="R1027" s="2">
        <v>42388</v>
      </c>
      <c r="S1027" s="2">
        <v>42389</v>
      </c>
      <c r="T1027" s="2">
        <v>42388</v>
      </c>
      <c r="U1027" s="2">
        <v>42448</v>
      </c>
      <c r="V1027" t="s">
        <v>71</v>
      </c>
      <c r="W1027" t="str">
        <f>"            16005837"</f>
        <v xml:space="preserve">            16005837</v>
      </c>
      <c r="X1027" s="1">
        <v>5608.88</v>
      </c>
      <c r="Y1027">
        <v>0</v>
      </c>
      <c r="Z1027" s="5">
        <v>4597.4399999999996</v>
      </c>
      <c r="AA1027">
        <v>244</v>
      </c>
      <c r="AB1027" s="5">
        <v>1121775.3600000001</v>
      </c>
      <c r="AC1027" s="1">
        <v>4597.4399999999996</v>
      </c>
      <c r="AD1027">
        <v>244</v>
      </c>
      <c r="AE1027" s="1">
        <v>1121775.3600000001</v>
      </c>
      <c r="AF1027">
        <v>0</v>
      </c>
      <c r="AJ1027">
        <v>0</v>
      </c>
      <c r="AK1027">
        <v>0</v>
      </c>
      <c r="AL1027">
        <v>0</v>
      </c>
      <c r="AM1027" s="1">
        <v>5608.88</v>
      </c>
      <c r="AN1027" s="1">
        <v>5608.88</v>
      </c>
      <c r="AO1027" s="1">
        <v>5608.88</v>
      </c>
      <c r="AP1027" s="2">
        <v>42746</v>
      </c>
      <c r="AQ1027" t="s">
        <v>72</v>
      </c>
      <c r="AR1027" t="s">
        <v>72</v>
      </c>
      <c r="AS1027">
        <v>3177</v>
      </c>
      <c r="AT1027" s="4">
        <v>42692</v>
      </c>
      <c r="AU1027" t="s">
        <v>73</v>
      </c>
      <c r="AV1027">
        <v>3177</v>
      </c>
      <c r="AW1027" s="4">
        <v>42692</v>
      </c>
      <c r="BD1027">
        <v>0</v>
      </c>
      <c r="BN1027" t="s">
        <v>74</v>
      </c>
    </row>
    <row r="1028" spans="1:66">
      <c r="A1028">
        <v>100210</v>
      </c>
      <c r="B1028" s="3" t="s">
        <v>141</v>
      </c>
      <c r="C1028" s="1">
        <v>43300101</v>
      </c>
      <c r="D1028" t="s">
        <v>67</v>
      </c>
      <c r="H1028" t="str">
        <f t="shared" si="86"/>
        <v>08082461008</v>
      </c>
      <c r="I1028" t="str">
        <f t="shared" si="86"/>
        <v>08082461008</v>
      </c>
      <c r="K1028" t="str">
        <f>""</f>
        <v/>
      </c>
      <c r="M1028" t="s">
        <v>68</v>
      </c>
      <c r="N1028" t="str">
        <f t="shared" si="85"/>
        <v>FOR</v>
      </c>
      <c r="O1028" t="s">
        <v>69</v>
      </c>
      <c r="P1028" s="3" t="s">
        <v>75</v>
      </c>
      <c r="Q1028">
        <v>2016</v>
      </c>
      <c r="R1028" s="2">
        <v>42388</v>
      </c>
      <c r="S1028" s="2">
        <v>42389</v>
      </c>
      <c r="T1028" s="2">
        <v>42388</v>
      </c>
      <c r="U1028" s="2">
        <v>42448</v>
      </c>
      <c r="V1028" t="s">
        <v>71</v>
      </c>
      <c r="W1028" t="str">
        <f>"            16005840"</f>
        <v xml:space="preserve">            16005840</v>
      </c>
      <c r="X1028" s="1">
        <v>1047.49</v>
      </c>
      <c r="Y1028">
        <v>0</v>
      </c>
      <c r="Z1028" s="3">
        <v>858.6</v>
      </c>
      <c r="AA1028">
        <v>244</v>
      </c>
      <c r="AB1028" s="5">
        <v>209498.4</v>
      </c>
      <c r="AC1028">
        <v>858.6</v>
      </c>
      <c r="AD1028">
        <v>244</v>
      </c>
      <c r="AE1028" s="1">
        <v>209498.4</v>
      </c>
      <c r="AF1028">
        <v>0</v>
      </c>
      <c r="AJ1028">
        <v>0</v>
      </c>
      <c r="AK1028">
        <v>0</v>
      </c>
      <c r="AL1028">
        <v>0</v>
      </c>
      <c r="AM1028" s="1">
        <v>1047.49</v>
      </c>
      <c r="AN1028" s="1">
        <v>1047.49</v>
      </c>
      <c r="AO1028" s="1">
        <v>1047.49</v>
      </c>
      <c r="AP1028" s="2">
        <v>42746</v>
      </c>
      <c r="AQ1028" t="s">
        <v>72</v>
      </c>
      <c r="AR1028" t="s">
        <v>72</v>
      </c>
      <c r="AS1028">
        <v>3177</v>
      </c>
      <c r="AT1028" s="4">
        <v>42692</v>
      </c>
      <c r="AU1028" t="s">
        <v>73</v>
      </c>
      <c r="AV1028">
        <v>3177</v>
      </c>
      <c r="AW1028" s="4">
        <v>42692</v>
      </c>
      <c r="BD1028">
        <v>0</v>
      </c>
      <c r="BN1028" t="s">
        <v>74</v>
      </c>
    </row>
    <row r="1029" spans="1:66">
      <c r="A1029">
        <v>100210</v>
      </c>
      <c r="B1029" s="3" t="s">
        <v>141</v>
      </c>
      <c r="C1029" s="1">
        <v>43300101</v>
      </c>
      <c r="D1029" t="s">
        <v>67</v>
      </c>
      <c r="H1029" t="str">
        <f t="shared" si="86"/>
        <v>08082461008</v>
      </c>
      <c r="I1029" t="str">
        <f t="shared" si="86"/>
        <v>08082461008</v>
      </c>
      <c r="K1029" t="str">
        <f>""</f>
        <v/>
      </c>
      <c r="M1029" t="s">
        <v>68</v>
      </c>
      <c r="N1029" t="str">
        <f t="shared" si="85"/>
        <v>FOR</v>
      </c>
      <c r="O1029" t="s">
        <v>69</v>
      </c>
      <c r="P1029" s="3" t="s">
        <v>75</v>
      </c>
      <c r="Q1029">
        <v>2016</v>
      </c>
      <c r="R1029" s="2">
        <v>42388</v>
      </c>
      <c r="S1029" s="2">
        <v>42389</v>
      </c>
      <c r="T1029" s="2">
        <v>42389</v>
      </c>
      <c r="U1029" s="2">
        <v>42449</v>
      </c>
      <c r="V1029" t="s">
        <v>71</v>
      </c>
      <c r="W1029" t="str">
        <f>"            16005847"</f>
        <v xml:space="preserve">            16005847</v>
      </c>
      <c r="X1029" s="1">
        <v>1733.47</v>
      </c>
      <c r="Y1029">
        <v>0</v>
      </c>
      <c r="Z1029" s="5">
        <v>1666.8</v>
      </c>
      <c r="AA1029">
        <v>243</v>
      </c>
      <c r="AB1029" s="5">
        <v>405032.4</v>
      </c>
      <c r="AC1029" s="1">
        <v>1666.8</v>
      </c>
      <c r="AD1029">
        <v>243</v>
      </c>
      <c r="AE1029" s="1">
        <v>405032.4</v>
      </c>
      <c r="AF1029">
        <v>0</v>
      </c>
      <c r="AJ1029">
        <v>0</v>
      </c>
      <c r="AK1029">
        <v>0</v>
      </c>
      <c r="AL1029">
        <v>0</v>
      </c>
      <c r="AM1029" s="1">
        <v>1733.47</v>
      </c>
      <c r="AN1029" s="1">
        <v>1733.47</v>
      </c>
      <c r="AO1029" s="1">
        <v>1733.47</v>
      </c>
      <c r="AP1029" s="2">
        <v>42746</v>
      </c>
      <c r="AQ1029" t="s">
        <v>72</v>
      </c>
      <c r="AR1029" t="s">
        <v>72</v>
      </c>
      <c r="AS1029">
        <v>3177</v>
      </c>
      <c r="AT1029" s="4">
        <v>42692</v>
      </c>
      <c r="AU1029" t="s">
        <v>73</v>
      </c>
      <c r="AV1029">
        <v>3177</v>
      </c>
      <c r="AW1029" s="4">
        <v>42692</v>
      </c>
      <c r="BD1029">
        <v>0</v>
      </c>
      <c r="BN1029" t="s">
        <v>74</v>
      </c>
    </row>
    <row r="1030" spans="1:66">
      <c r="A1030">
        <v>100210</v>
      </c>
      <c r="B1030" s="3" t="s">
        <v>141</v>
      </c>
      <c r="C1030" s="1">
        <v>43300101</v>
      </c>
      <c r="D1030" t="s">
        <v>67</v>
      </c>
      <c r="H1030" t="str">
        <f t="shared" si="86"/>
        <v>08082461008</v>
      </c>
      <c r="I1030" t="str">
        <f t="shared" si="86"/>
        <v>08082461008</v>
      </c>
      <c r="K1030" t="str">
        <f>""</f>
        <v/>
      </c>
      <c r="M1030" t="s">
        <v>68</v>
      </c>
      <c r="N1030" t="str">
        <f t="shared" si="85"/>
        <v>FOR</v>
      </c>
      <c r="O1030" t="s">
        <v>69</v>
      </c>
      <c r="P1030" s="3" t="s">
        <v>75</v>
      </c>
      <c r="Q1030">
        <v>2016</v>
      </c>
      <c r="R1030" s="2">
        <v>42388</v>
      </c>
      <c r="S1030" s="2">
        <v>42389</v>
      </c>
      <c r="T1030" s="2">
        <v>42388</v>
      </c>
      <c r="U1030" s="2">
        <v>42448</v>
      </c>
      <c r="V1030" t="s">
        <v>71</v>
      </c>
      <c r="W1030" t="str">
        <f>"            16005849"</f>
        <v xml:space="preserve">            16005849</v>
      </c>
      <c r="X1030">
        <v>181.54</v>
      </c>
      <c r="Y1030">
        <v>0</v>
      </c>
      <c r="Z1030" s="3">
        <v>148.80000000000001</v>
      </c>
      <c r="AA1030">
        <v>244</v>
      </c>
      <c r="AB1030" s="5">
        <v>36307.199999999997</v>
      </c>
      <c r="AC1030">
        <v>148.80000000000001</v>
      </c>
      <c r="AD1030">
        <v>244</v>
      </c>
      <c r="AE1030" s="1">
        <v>36307.199999999997</v>
      </c>
      <c r="AF1030">
        <v>0</v>
      </c>
      <c r="AJ1030">
        <v>0</v>
      </c>
      <c r="AK1030">
        <v>0</v>
      </c>
      <c r="AL1030">
        <v>0</v>
      </c>
      <c r="AM1030">
        <v>181.54</v>
      </c>
      <c r="AN1030">
        <v>181.54</v>
      </c>
      <c r="AO1030">
        <v>181.54</v>
      </c>
      <c r="AP1030" s="2">
        <v>42746</v>
      </c>
      <c r="AQ1030" t="s">
        <v>72</v>
      </c>
      <c r="AR1030" t="s">
        <v>72</v>
      </c>
      <c r="AS1030">
        <v>3177</v>
      </c>
      <c r="AT1030" s="4">
        <v>42692</v>
      </c>
      <c r="AU1030" t="s">
        <v>73</v>
      </c>
      <c r="AV1030">
        <v>3177</v>
      </c>
      <c r="AW1030" s="4">
        <v>42692</v>
      </c>
      <c r="BD1030">
        <v>0</v>
      </c>
      <c r="BN1030" t="s">
        <v>74</v>
      </c>
    </row>
    <row r="1031" spans="1:66">
      <c r="A1031">
        <v>100210</v>
      </c>
      <c r="B1031" s="3" t="s">
        <v>141</v>
      </c>
      <c r="C1031" s="1">
        <v>43300101</v>
      </c>
      <c r="D1031" t="s">
        <v>67</v>
      </c>
      <c r="H1031" t="str">
        <f t="shared" si="86"/>
        <v>08082461008</v>
      </c>
      <c r="I1031" t="str">
        <f t="shared" si="86"/>
        <v>08082461008</v>
      </c>
      <c r="K1031" t="str">
        <f>""</f>
        <v/>
      </c>
      <c r="M1031" t="s">
        <v>68</v>
      </c>
      <c r="N1031" t="str">
        <f t="shared" si="85"/>
        <v>FOR</v>
      </c>
      <c r="O1031" t="s">
        <v>69</v>
      </c>
      <c r="P1031" s="3" t="s">
        <v>75</v>
      </c>
      <c r="Q1031">
        <v>2016</v>
      </c>
      <c r="R1031" s="2">
        <v>42390</v>
      </c>
      <c r="S1031" s="2">
        <v>42395</v>
      </c>
      <c r="T1031" s="2">
        <v>42391</v>
      </c>
      <c r="U1031" s="2">
        <v>42451</v>
      </c>
      <c r="V1031" t="s">
        <v>71</v>
      </c>
      <c r="W1031" t="str">
        <f>"            16007335"</f>
        <v xml:space="preserve">            16007335</v>
      </c>
      <c r="X1031">
        <v>682.52</v>
      </c>
      <c r="Y1031">
        <v>0</v>
      </c>
      <c r="Z1031" s="3">
        <v>559.44000000000005</v>
      </c>
      <c r="AA1031">
        <v>241</v>
      </c>
      <c r="AB1031" s="5">
        <v>134825.04</v>
      </c>
      <c r="AC1031">
        <v>559.44000000000005</v>
      </c>
      <c r="AD1031">
        <v>241</v>
      </c>
      <c r="AE1031" s="1">
        <v>134825.04</v>
      </c>
      <c r="AF1031">
        <v>0</v>
      </c>
      <c r="AJ1031">
        <v>0</v>
      </c>
      <c r="AK1031">
        <v>0</v>
      </c>
      <c r="AL1031">
        <v>0</v>
      </c>
      <c r="AM1031">
        <v>682.52</v>
      </c>
      <c r="AN1031">
        <v>682.52</v>
      </c>
      <c r="AO1031">
        <v>682.52</v>
      </c>
      <c r="AP1031" s="2">
        <v>42746</v>
      </c>
      <c r="AQ1031" t="s">
        <v>72</v>
      </c>
      <c r="AR1031" t="s">
        <v>72</v>
      </c>
      <c r="AS1031">
        <v>3177</v>
      </c>
      <c r="AT1031" s="4">
        <v>42692</v>
      </c>
      <c r="AU1031" t="s">
        <v>73</v>
      </c>
      <c r="AV1031">
        <v>3177</v>
      </c>
      <c r="AW1031" s="4">
        <v>42692</v>
      </c>
      <c r="BD1031">
        <v>0</v>
      </c>
      <c r="BN1031" t="s">
        <v>74</v>
      </c>
    </row>
    <row r="1032" spans="1:66">
      <c r="A1032">
        <v>100210</v>
      </c>
      <c r="B1032" s="3" t="s">
        <v>141</v>
      </c>
      <c r="C1032" s="1">
        <v>43300101</v>
      </c>
      <c r="D1032" t="s">
        <v>67</v>
      </c>
      <c r="H1032" t="str">
        <f t="shared" si="86"/>
        <v>08082461008</v>
      </c>
      <c r="I1032" t="str">
        <f t="shared" si="86"/>
        <v>08082461008</v>
      </c>
      <c r="K1032" t="str">
        <f>""</f>
        <v/>
      </c>
      <c r="M1032" t="s">
        <v>68</v>
      </c>
      <c r="N1032" t="str">
        <f t="shared" si="85"/>
        <v>FOR</v>
      </c>
      <c r="O1032" t="s">
        <v>69</v>
      </c>
      <c r="P1032" s="3" t="s">
        <v>75</v>
      </c>
      <c r="Q1032">
        <v>2016</v>
      </c>
      <c r="R1032" s="2">
        <v>42390</v>
      </c>
      <c r="S1032" s="2">
        <v>42395</v>
      </c>
      <c r="T1032" s="2">
        <v>42391</v>
      </c>
      <c r="U1032" s="2">
        <v>42451</v>
      </c>
      <c r="V1032" t="s">
        <v>71</v>
      </c>
      <c r="W1032" t="str">
        <f>"            16007386"</f>
        <v xml:space="preserve">            16007386</v>
      </c>
      <c r="X1032" s="1">
        <v>11672.45</v>
      </c>
      <c r="Y1032">
        <v>0</v>
      </c>
      <c r="Z1032" s="5">
        <v>9567.6</v>
      </c>
      <c r="AA1032">
        <v>241</v>
      </c>
      <c r="AB1032" s="5">
        <v>2305791.6</v>
      </c>
      <c r="AC1032" s="1">
        <v>9567.6</v>
      </c>
      <c r="AD1032">
        <v>241</v>
      </c>
      <c r="AE1032" s="1">
        <v>2305791.6</v>
      </c>
      <c r="AF1032">
        <v>0</v>
      </c>
      <c r="AJ1032">
        <v>0</v>
      </c>
      <c r="AK1032">
        <v>0</v>
      </c>
      <c r="AL1032">
        <v>0</v>
      </c>
      <c r="AM1032" s="1">
        <v>11672.45</v>
      </c>
      <c r="AN1032" s="1">
        <v>11672.45</v>
      </c>
      <c r="AO1032" s="1">
        <v>11672.45</v>
      </c>
      <c r="AP1032" s="2">
        <v>42746</v>
      </c>
      <c r="AQ1032" t="s">
        <v>72</v>
      </c>
      <c r="AR1032" t="s">
        <v>72</v>
      </c>
      <c r="AS1032">
        <v>3177</v>
      </c>
      <c r="AT1032" s="4">
        <v>42692</v>
      </c>
      <c r="AU1032" t="s">
        <v>73</v>
      </c>
      <c r="AV1032">
        <v>3177</v>
      </c>
      <c r="AW1032" s="4">
        <v>42692</v>
      </c>
      <c r="BD1032">
        <v>0</v>
      </c>
      <c r="BN1032" t="s">
        <v>74</v>
      </c>
    </row>
    <row r="1033" spans="1:66">
      <c r="A1033">
        <v>100210</v>
      </c>
      <c r="B1033" s="3" t="s">
        <v>141</v>
      </c>
      <c r="C1033" s="1">
        <v>43300101</v>
      </c>
      <c r="D1033" t="s">
        <v>67</v>
      </c>
      <c r="H1033" t="str">
        <f t="shared" si="86"/>
        <v>08082461008</v>
      </c>
      <c r="I1033" t="str">
        <f t="shared" si="86"/>
        <v>08082461008</v>
      </c>
      <c r="K1033" t="str">
        <f>""</f>
        <v/>
      </c>
      <c r="M1033" t="s">
        <v>68</v>
      </c>
      <c r="N1033" t="str">
        <f t="shared" si="85"/>
        <v>FOR</v>
      </c>
      <c r="O1033" t="s">
        <v>69</v>
      </c>
      <c r="P1033" s="3" t="s">
        <v>75</v>
      </c>
      <c r="Q1033">
        <v>2016</v>
      </c>
      <c r="R1033" s="2">
        <v>42391</v>
      </c>
      <c r="S1033" s="2">
        <v>42395</v>
      </c>
      <c r="T1033" s="2">
        <v>42392</v>
      </c>
      <c r="U1033" s="2">
        <v>42452</v>
      </c>
      <c r="V1033" t="s">
        <v>71</v>
      </c>
      <c r="W1033" t="str">
        <f>"            16008039"</f>
        <v xml:space="preserve">            16008039</v>
      </c>
      <c r="X1033">
        <v>114.4</v>
      </c>
      <c r="Y1033">
        <v>0</v>
      </c>
      <c r="Z1033" s="3">
        <v>110</v>
      </c>
      <c r="AA1033">
        <v>240</v>
      </c>
      <c r="AB1033" s="5">
        <v>26400</v>
      </c>
      <c r="AC1033">
        <v>110</v>
      </c>
      <c r="AD1033">
        <v>240</v>
      </c>
      <c r="AE1033" s="1">
        <v>26400</v>
      </c>
      <c r="AF1033">
        <v>0</v>
      </c>
      <c r="AJ1033">
        <v>0</v>
      </c>
      <c r="AK1033">
        <v>0</v>
      </c>
      <c r="AL1033">
        <v>0</v>
      </c>
      <c r="AM1033">
        <v>114.4</v>
      </c>
      <c r="AN1033">
        <v>114.4</v>
      </c>
      <c r="AO1033">
        <v>114.4</v>
      </c>
      <c r="AP1033" s="2">
        <v>42746</v>
      </c>
      <c r="AQ1033" t="s">
        <v>72</v>
      </c>
      <c r="AR1033" t="s">
        <v>72</v>
      </c>
      <c r="AS1033">
        <v>3177</v>
      </c>
      <c r="AT1033" s="4">
        <v>42692</v>
      </c>
      <c r="AU1033" t="s">
        <v>73</v>
      </c>
      <c r="AV1033">
        <v>3177</v>
      </c>
      <c r="AW1033" s="4">
        <v>42692</v>
      </c>
      <c r="BD1033">
        <v>0</v>
      </c>
      <c r="BN1033" t="s">
        <v>74</v>
      </c>
    </row>
    <row r="1034" spans="1:66">
      <c r="A1034">
        <v>100210</v>
      </c>
      <c r="B1034" s="3" t="s">
        <v>141</v>
      </c>
      <c r="C1034" s="1">
        <v>43300101</v>
      </c>
      <c r="D1034" t="s">
        <v>67</v>
      </c>
      <c r="H1034" t="str">
        <f t="shared" si="86"/>
        <v>08082461008</v>
      </c>
      <c r="I1034" t="str">
        <f t="shared" si="86"/>
        <v>08082461008</v>
      </c>
      <c r="K1034" t="str">
        <f>""</f>
        <v/>
      </c>
      <c r="M1034" t="s">
        <v>68</v>
      </c>
      <c r="N1034" t="str">
        <f t="shared" si="85"/>
        <v>FOR</v>
      </c>
      <c r="O1034" t="s">
        <v>69</v>
      </c>
      <c r="P1034" s="3" t="s">
        <v>75</v>
      </c>
      <c r="Q1034">
        <v>2016</v>
      </c>
      <c r="R1034" s="2">
        <v>42391</v>
      </c>
      <c r="S1034" s="2">
        <v>42395</v>
      </c>
      <c r="T1034" s="2">
        <v>42392</v>
      </c>
      <c r="U1034" s="2">
        <v>42452</v>
      </c>
      <c r="V1034" t="s">
        <v>71</v>
      </c>
      <c r="W1034" t="str">
        <f>"            16008040"</f>
        <v xml:space="preserve">            16008040</v>
      </c>
      <c r="X1034">
        <v>114.4</v>
      </c>
      <c r="Y1034">
        <v>0</v>
      </c>
      <c r="Z1034" s="3">
        <v>110</v>
      </c>
      <c r="AA1034">
        <v>240</v>
      </c>
      <c r="AB1034" s="5">
        <v>26400</v>
      </c>
      <c r="AC1034">
        <v>110</v>
      </c>
      <c r="AD1034">
        <v>240</v>
      </c>
      <c r="AE1034" s="1">
        <v>26400</v>
      </c>
      <c r="AF1034">
        <v>0</v>
      </c>
      <c r="AJ1034">
        <v>0</v>
      </c>
      <c r="AK1034">
        <v>0</v>
      </c>
      <c r="AL1034">
        <v>0</v>
      </c>
      <c r="AM1034">
        <v>114.4</v>
      </c>
      <c r="AN1034">
        <v>114.4</v>
      </c>
      <c r="AO1034">
        <v>114.4</v>
      </c>
      <c r="AP1034" s="2">
        <v>42746</v>
      </c>
      <c r="AQ1034" t="s">
        <v>72</v>
      </c>
      <c r="AR1034" t="s">
        <v>72</v>
      </c>
      <c r="AS1034">
        <v>3177</v>
      </c>
      <c r="AT1034" s="4">
        <v>42692</v>
      </c>
      <c r="AU1034" t="s">
        <v>73</v>
      </c>
      <c r="AV1034">
        <v>3177</v>
      </c>
      <c r="AW1034" s="4">
        <v>42692</v>
      </c>
      <c r="BD1034">
        <v>0</v>
      </c>
      <c r="BN1034" t="s">
        <v>74</v>
      </c>
    </row>
    <row r="1035" spans="1:66">
      <c r="A1035">
        <v>100210</v>
      </c>
      <c r="B1035" s="3" t="s">
        <v>141</v>
      </c>
      <c r="C1035" s="1">
        <v>43300101</v>
      </c>
      <c r="D1035" t="s">
        <v>67</v>
      </c>
      <c r="H1035" t="str">
        <f t="shared" si="86"/>
        <v>08082461008</v>
      </c>
      <c r="I1035" t="str">
        <f t="shared" si="86"/>
        <v>08082461008</v>
      </c>
      <c r="K1035" t="str">
        <f>""</f>
        <v/>
      </c>
      <c r="M1035" t="s">
        <v>68</v>
      </c>
      <c r="N1035" t="str">
        <f t="shared" si="85"/>
        <v>FOR</v>
      </c>
      <c r="O1035" t="s">
        <v>69</v>
      </c>
      <c r="P1035" s="3" t="s">
        <v>75</v>
      </c>
      <c r="Q1035">
        <v>2016</v>
      </c>
      <c r="R1035" s="2">
        <v>42391</v>
      </c>
      <c r="S1035" s="2">
        <v>42395</v>
      </c>
      <c r="T1035" s="2">
        <v>42392</v>
      </c>
      <c r="U1035" s="2">
        <v>42452</v>
      </c>
      <c r="V1035" t="s">
        <v>71</v>
      </c>
      <c r="W1035" t="str">
        <f>"            16008041"</f>
        <v xml:space="preserve">            16008041</v>
      </c>
      <c r="X1035">
        <v>45.76</v>
      </c>
      <c r="Y1035">
        <v>0</v>
      </c>
      <c r="Z1035" s="3">
        <v>44</v>
      </c>
      <c r="AA1035">
        <v>240</v>
      </c>
      <c r="AB1035" s="5">
        <v>10560</v>
      </c>
      <c r="AC1035">
        <v>44</v>
      </c>
      <c r="AD1035">
        <v>240</v>
      </c>
      <c r="AE1035" s="1">
        <v>10560</v>
      </c>
      <c r="AF1035">
        <v>0</v>
      </c>
      <c r="AJ1035">
        <v>0</v>
      </c>
      <c r="AK1035">
        <v>0</v>
      </c>
      <c r="AL1035">
        <v>0</v>
      </c>
      <c r="AM1035">
        <v>45.76</v>
      </c>
      <c r="AN1035">
        <v>45.76</v>
      </c>
      <c r="AO1035">
        <v>45.76</v>
      </c>
      <c r="AP1035" s="2">
        <v>42746</v>
      </c>
      <c r="AQ1035" t="s">
        <v>72</v>
      </c>
      <c r="AR1035" t="s">
        <v>72</v>
      </c>
      <c r="AS1035">
        <v>3177</v>
      </c>
      <c r="AT1035" s="4">
        <v>42692</v>
      </c>
      <c r="AU1035" t="s">
        <v>73</v>
      </c>
      <c r="AV1035">
        <v>3177</v>
      </c>
      <c r="AW1035" s="4">
        <v>42692</v>
      </c>
      <c r="BD1035">
        <v>0</v>
      </c>
      <c r="BN1035" t="s">
        <v>74</v>
      </c>
    </row>
    <row r="1036" spans="1:66">
      <c r="A1036">
        <v>100210</v>
      </c>
      <c r="B1036" s="3" t="s">
        <v>141</v>
      </c>
      <c r="C1036" s="1">
        <v>43300101</v>
      </c>
      <c r="D1036" t="s">
        <v>67</v>
      </c>
      <c r="H1036" t="str">
        <f t="shared" si="86"/>
        <v>08082461008</v>
      </c>
      <c r="I1036" t="str">
        <f t="shared" si="86"/>
        <v>08082461008</v>
      </c>
      <c r="K1036" t="str">
        <f>""</f>
        <v/>
      </c>
      <c r="M1036" t="s">
        <v>68</v>
      </c>
      <c r="N1036" t="str">
        <f t="shared" si="85"/>
        <v>FOR</v>
      </c>
      <c r="O1036" t="s">
        <v>69</v>
      </c>
      <c r="P1036" s="3" t="s">
        <v>75</v>
      </c>
      <c r="Q1036">
        <v>2016</v>
      </c>
      <c r="R1036" s="2">
        <v>42391</v>
      </c>
      <c r="S1036" s="2">
        <v>42395</v>
      </c>
      <c r="T1036" s="2">
        <v>42392</v>
      </c>
      <c r="U1036" s="2">
        <v>42452</v>
      </c>
      <c r="V1036" t="s">
        <v>71</v>
      </c>
      <c r="W1036" t="str">
        <f>"            16008048"</f>
        <v xml:space="preserve">            16008048</v>
      </c>
      <c r="X1036">
        <v>45.76</v>
      </c>
      <c r="Y1036">
        <v>0</v>
      </c>
      <c r="Z1036" s="3">
        <v>44</v>
      </c>
      <c r="AA1036">
        <v>240</v>
      </c>
      <c r="AB1036" s="5">
        <v>10560</v>
      </c>
      <c r="AC1036">
        <v>44</v>
      </c>
      <c r="AD1036">
        <v>240</v>
      </c>
      <c r="AE1036" s="1">
        <v>10560</v>
      </c>
      <c r="AF1036">
        <v>0</v>
      </c>
      <c r="AJ1036">
        <v>0</v>
      </c>
      <c r="AK1036">
        <v>0</v>
      </c>
      <c r="AL1036">
        <v>0</v>
      </c>
      <c r="AM1036">
        <v>45.76</v>
      </c>
      <c r="AN1036">
        <v>45.76</v>
      </c>
      <c r="AO1036">
        <v>45.76</v>
      </c>
      <c r="AP1036" s="2">
        <v>42746</v>
      </c>
      <c r="AQ1036" t="s">
        <v>72</v>
      </c>
      <c r="AR1036" t="s">
        <v>72</v>
      </c>
      <c r="AS1036">
        <v>3177</v>
      </c>
      <c r="AT1036" s="4">
        <v>42692</v>
      </c>
      <c r="AU1036" t="s">
        <v>73</v>
      </c>
      <c r="AV1036">
        <v>3177</v>
      </c>
      <c r="AW1036" s="4">
        <v>42692</v>
      </c>
      <c r="BD1036">
        <v>0</v>
      </c>
      <c r="BN1036" t="s">
        <v>74</v>
      </c>
    </row>
    <row r="1037" spans="1:66">
      <c r="A1037">
        <v>100210</v>
      </c>
      <c r="B1037" s="3" t="s">
        <v>141</v>
      </c>
      <c r="C1037" s="1">
        <v>43300101</v>
      </c>
      <c r="D1037" t="s">
        <v>67</v>
      </c>
      <c r="H1037" t="str">
        <f t="shared" ref="H1037:I1056" si="87">"08082461008"</f>
        <v>08082461008</v>
      </c>
      <c r="I1037" t="str">
        <f t="shared" si="87"/>
        <v>08082461008</v>
      </c>
      <c r="K1037" t="str">
        <f>""</f>
        <v/>
      </c>
      <c r="M1037" t="s">
        <v>68</v>
      </c>
      <c r="N1037" t="str">
        <f t="shared" si="85"/>
        <v>FOR</v>
      </c>
      <c r="O1037" t="s">
        <v>69</v>
      </c>
      <c r="P1037" s="3" t="s">
        <v>75</v>
      </c>
      <c r="Q1037">
        <v>2016</v>
      </c>
      <c r="R1037" s="2">
        <v>42391</v>
      </c>
      <c r="S1037" s="2">
        <v>42395</v>
      </c>
      <c r="T1037" s="2">
        <v>42392</v>
      </c>
      <c r="U1037" s="2">
        <v>42452</v>
      </c>
      <c r="V1037" t="s">
        <v>71</v>
      </c>
      <c r="W1037" t="str">
        <f>"            16008049"</f>
        <v xml:space="preserve">            16008049</v>
      </c>
      <c r="X1037">
        <v>45.76</v>
      </c>
      <c r="Y1037">
        <v>0</v>
      </c>
      <c r="Z1037" s="3">
        <v>44</v>
      </c>
      <c r="AA1037">
        <v>240</v>
      </c>
      <c r="AB1037" s="5">
        <v>10560</v>
      </c>
      <c r="AC1037">
        <v>44</v>
      </c>
      <c r="AD1037">
        <v>240</v>
      </c>
      <c r="AE1037" s="1">
        <v>10560</v>
      </c>
      <c r="AF1037">
        <v>0</v>
      </c>
      <c r="AJ1037">
        <v>0</v>
      </c>
      <c r="AK1037">
        <v>0</v>
      </c>
      <c r="AL1037">
        <v>0</v>
      </c>
      <c r="AM1037">
        <v>45.76</v>
      </c>
      <c r="AN1037">
        <v>45.76</v>
      </c>
      <c r="AO1037">
        <v>45.76</v>
      </c>
      <c r="AP1037" s="2">
        <v>42746</v>
      </c>
      <c r="AQ1037" t="s">
        <v>72</v>
      </c>
      <c r="AR1037" t="s">
        <v>72</v>
      </c>
      <c r="AS1037">
        <v>3177</v>
      </c>
      <c r="AT1037" s="4">
        <v>42692</v>
      </c>
      <c r="AU1037" t="s">
        <v>73</v>
      </c>
      <c r="AV1037">
        <v>3177</v>
      </c>
      <c r="AW1037" s="4">
        <v>42692</v>
      </c>
      <c r="BD1037">
        <v>0</v>
      </c>
      <c r="BN1037" t="s">
        <v>74</v>
      </c>
    </row>
    <row r="1038" spans="1:66">
      <c r="A1038">
        <v>100210</v>
      </c>
      <c r="B1038" s="3" t="s">
        <v>141</v>
      </c>
      <c r="C1038" s="1">
        <v>43300101</v>
      </c>
      <c r="D1038" t="s">
        <v>67</v>
      </c>
      <c r="H1038" t="str">
        <f t="shared" si="87"/>
        <v>08082461008</v>
      </c>
      <c r="I1038" t="str">
        <f t="shared" si="87"/>
        <v>08082461008</v>
      </c>
      <c r="K1038" t="str">
        <f>""</f>
        <v/>
      </c>
      <c r="M1038" t="s">
        <v>68</v>
      </c>
      <c r="N1038" t="str">
        <f t="shared" si="85"/>
        <v>FOR</v>
      </c>
      <c r="O1038" t="s">
        <v>69</v>
      </c>
      <c r="P1038" s="3" t="s">
        <v>75</v>
      </c>
      <c r="Q1038">
        <v>2016</v>
      </c>
      <c r="R1038" s="2">
        <v>42391</v>
      </c>
      <c r="S1038" s="2">
        <v>42395</v>
      </c>
      <c r="T1038" s="2">
        <v>42392</v>
      </c>
      <c r="U1038" s="2">
        <v>42452</v>
      </c>
      <c r="V1038" t="s">
        <v>71</v>
      </c>
      <c r="W1038" t="str">
        <f>"            16008051"</f>
        <v xml:space="preserve">            16008051</v>
      </c>
      <c r="X1038">
        <v>45.76</v>
      </c>
      <c r="Y1038">
        <v>0</v>
      </c>
      <c r="Z1038" s="3">
        <v>44</v>
      </c>
      <c r="AA1038">
        <v>240</v>
      </c>
      <c r="AB1038" s="5">
        <v>10560</v>
      </c>
      <c r="AC1038">
        <v>44</v>
      </c>
      <c r="AD1038">
        <v>240</v>
      </c>
      <c r="AE1038" s="1">
        <v>10560</v>
      </c>
      <c r="AF1038">
        <v>0</v>
      </c>
      <c r="AJ1038">
        <v>0</v>
      </c>
      <c r="AK1038">
        <v>0</v>
      </c>
      <c r="AL1038">
        <v>0</v>
      </c>
      <c r="AM1038">
        <v>45.76</v>
      </c>
      <c r="AN1038">
        <v>45.76</v>
      </c>
      <c r="AO1038">
        <v>45.76</v>
      </c>
      <c r="AP1038" s="2">
        <v>42746</v>
      </c>
      <c r="AQ1038" t="s">
        <v>72</v>
      </c>
      <c r="AR1038" t="s">
        <v>72</v>
      </c>
      <c r="AS1038">
        <v>3177</v>
      </c>
      <c r="AT1038" s="4">
        <v>42692</v>
      </c>
      <c r="AU1038" t="s">
        <v>73</v>
      </c>
      <c r="AV1038">
        <v>3177</v>
      </c>
      <c r="AW1038" s="4">
        <v>42692</v>
      </c>
      <c r="BD1038">
        <v>0</v>
      </c>
      <c r="BN1038" t="s">
        <v>74</v>
      </c>
    </row>
    <row r="1039" spans="1:66">
      <c r="A1039">
        <v>100210</v>
      </c>
      <c r="B1039" s="3" t="s">
        <v>141</v>
      </c>
      <c r="C1039" s="1">
        <v>43300101</v>
      </c>
      <c r="D1039" t="s">
        <v>67</v>
      </c>
      <c r="H1039" t="str">
        <f t="shared" si="87"/>
        <v>08082461008</v>
      </c>
      <c r="I1039" t="str">
        <f t="shared" si="87"/>
        <v>08082461008</v>
      </c>
      <c r="K1039" t="str">
        <f>""</f>
        <v/>
      </c>
      <c r="M1039" t="s">
        <v>68</v>
      </c>
      <c r="N1039" t="str">
        <f t="shared" si="85"/>
        <v>FOR</v>
      </c>
      <c r="O1039" t="s">
        <v>69</v>
      </c>
      <c r="P1039" s="3" t="s">
        <v>75</v>
      </c>
      <c r="Q1039">
        <v>2016</v>
      </c>
      <c r="R1039" s="2">
        <v>42391</v>
      </c>
      <c r="S1039" s="2">
        <v>42395</v>
      </c>
      <c r="T1039" s="2">
        <v>42392</v>
      </c>
      <c r="U1039" s="2">
        <v>42452</v>
      </c>
      <c r="V1039" t="s">
        <v>71</v>
      </c>
      <c r="W1039" t="str">
        <f>"            16008052"</f>
        <v xml:space="preserve">            16008052</v>
      </c>
      <c r="X1039">
        <v>451.88</v>
      </c>
      <c r="Y1039">
        <v>0</v>
      </c>
      <c r="Z1039" s="3">
        <v>434.5</v>
      </c>
      <c r="AA1039">
        <v>240</v>
      </c>
      <c r="AB1039" s="5">
        <v>104280</v>
      </c>
      <c r="AC1039">
        <v>434.5</v>
      </c>
      <c r="AD1039">
        <v>240</v>
      </c>
      <c r="AE1039" s="1">
        <v>104280</v>
      </c>
      <c r="AF1039">
        <v>0</v>
      </c>
      <c r="AJ1039">
        <v>0</v>
      </c>
      <c r="AK1039">
        <v>0</v>
      </c>
      <c r="AL1039">
        <v>0</v>
      </c>
      <c r="AM1039">
        <v>451.88</v>
      </c>
      <c r="AN1039">
        <v>451.88</v>
      </c>
      <c r="AO1039">
        <v>451.88</v>
      </c>
      <c r="AP1039" s="2">
        <v>42746</v>
      </c>
      <c r="AQ1039" t="s">
        <v>72</v>
      </c>
      <c r="AR1039" t="s">
        <v>72</v>
      </c>
      <c r="AS1039">
        <v>3177</v>
      </c>
      <c r="AT1039" s="4">
        <v>42692</v>
      </c>
      <c r="AU1039" t="s">
        <v>73</v>
      </c>
      <c r="AV1039">
        <v>3177</v>
      </c>
      <c r="AW1039" s="4">
        <v>42692</v>
      </c>
      <c r="BD1039">
        <v>0</v>
      </c>
      <c r="BN1039" t="s">
        <v>74</v>
      </c>
    </row>
    <row r="1040" spans="1:66">
      <c r="A1040">
        <v>100210</v>
      </c>
      <c r="B1040" s="3" t="s">
        <v>141</v>
      </c>
      <c r="C1040" s="1">
        <v>43300101</v>
      </c>
      <c r="D1040" t="s">
        <v>67</v>
      </c>
      <c r="H1040" t="str">
        <f t="shared" si="87"/>
        <v>08082461008</v>
      </c>
      <c r="I1040" t="str">
        <f t="shared" si="87"/>
        <v>08082461008</v>
      </c>
      <c r="K1040" t="str">
        <f>""</f>
        <v/>
      </c>
      <c r="M1040" t="s">
        <v>68</v>
      </c>
      <c r="N1040" t="str">
        <f t="shared" si="85"/>
        <v>FOR</v>
      </c>
      <c r="O1040" t="s">
        <v>69</v>
      </c>
      <c r="P1040" s="3" t="s">
        <v>75</v>
      </c>
      <c r="Q1040">
        <v>2016</v>
      </c>
      <c r="R1040" s="2">
        <v>42391</v>
      </c>
      <c r="S1040" s="2">
        <v>42395</v>
      </c>
      <c r="T1040" s="2">
        <v>42392</v>
      </c>
      <c r="U1040" s="2">
        <v>42452</v>
      </c>
      <c r="V1040" t="s">
        <v>71</v>
      </c>
      <c r="W1040" t="str">
        <f>"            16008053"</f>
        <v xml:space="preserve">            16008053</v>
      </c>
      <c r="X1040">
        <v>451.88</v>
      </c>
      <c r="Y1040">
        <v>0</v>
      </c>
      <c r="Z1040" s="3">
        <v>434.5</v>
      </c>
      <c r="AA1040">
        <v>240</v>
      </c>
      <c r="AB1040" s="5">
        <v>104280</v>
      </c>
      <c r="AC1040">
        <v>434.5</v>
      </c>
      <c r="AD1040">
        <v>240</v>
      </c>
      <c r="AE1040" s="1">
        <v>104280</v>
      </c>
      <c r="AF1040">
        <v>0</v>
      </c>
      <c r="AJ1040">
        <v>0</v>
      </c>
      <c r="AK1040">
        <v>0</v>
      </c>
      <c r="AL1040">
        <v>0</v>
      </c>
      <c r="AM1040">
        <v>451.88</v>
      </c>
      <c r="AN1040">
        <v>451.88</v>
      </c>
      <c r="AO1040">
        <v>451.88</v>
      </c>
      <c r="AP1040" s="2">
        <v>42746</v>
      </c>
      <c r="AQ1040" t="s">
        <v>72</v>
      </c>
      <c r="AR1040" t="s">
        <v>72</v>
      </c>
      <c r="AS1040">
        <v>3177</v>
      </c>
      <c r="AT1040" s="4">
        <v>42692</v>
      </c>
      <c r="AU1040" t="s">
        <v>73</v>
      </c>
      <c r="AV1040">
        <v>3177</v>
      </c>
      <c r="AW1040" s="4">
        <v>42692</v>
      </c>
      <c r="BD1040">
        <v>0</v>
      </c>
      <c r="BN1040" t="s">
        <v>74</v>
      </c>
    </row>
    <row r="1041" spans="1:66">
      <c r="A1041">
        <v>100210</v>
      </c>
      <c r="B1041" s="3" t="s">
        <v>141</v>
      </c>
      <c r="C1041" s="1">
        <v>43300101</v>
      </c>
      <c r="D1041" t="s">
        <v>67</v>
      </c>
      <c r="H1041" t="str">
        <f t="shared" si="87"/>
        <v>08082461008</v>
      </c>
      <c r="I1041" t="str">
        <f t="shared" si="87"/>
        <v>08082461008</v>
      </c>
      <c r="K1041" t="str">
        <f>""</f>
        <v/>
      </c>
      <c r="M1041" t="s">
        <v>68</v>
      </c>
      <c r="N1041" t="str">
        <f t="shared" si="85"/>
        <v>FOR</v>
      </c>
      <c r="O1041" t="s">
        <v>69</v>
      </c>
      <c r="P1041" s="3" t="s">
        <v>75</v>
      </c>
      <c r="Q1041">
        <v>2016</v>
      </c>
      <c r="R1041" s="2">
        <v>42391</v>
      </c>
      <c r="S1041" s="2">
        <v>42395</v>
      </c>
      <c r="T1041" s="2">
        <v>42392</v>
      </c>
      <c r="U1041" s="2">
        <v>42452</v>
      </c>
      <c r="V1041" t="s">
        <v>71</v>
      </c>
      <c r="W1041" t="str">
        <f>"            16008054"</f>
        <v xml:space="preserve">            16008054</v>
      </c>
      <c r="X1041">
        <v>451.88</v>
      </c>
      <c r="Y1041">
        <v>0</v>
      </c>
      <c r="Z1041" s="3">
        <v>434.5</v>
      </c>
      <c r="AA1041">
        <v>240</v>
      </c>
      <c r="AB1041" s="5">
        <v>104280</v>
      </c>
      <c r="AC1041">
        <v>434.5</v>
      </c>
      <c r="AD1041">
        <v>240</v>
      </c>
      <c r="AE1041" s="1">
        <v>104280</v>
      </c>
      <c r="AF1041">
        <v>0</v>
      </c>
      <c r="AJ1041">
        <v>0</v>
      </c>
      <c r="AK1041">
        <v>0</v>
      </c>
      <c r="AL1041">
        <v>0</v>
      </c>
      <c r="AM1041">
        <v>451.88</v>
      </c>
      <c r="AN1041">
        <v>451.88</v>
      </c>
      <c r="AO1041">
        <v>451.88</v>
      </c>
      <c r="AP1041" s="2">
        <v>42746</v>
      </c>
      <c r="AQ1041" t="s">
        <v>72</v>
      </c>
      <c r="AR1041" t="s">
        <v>72</v>
      </c>
      <c r="AS1041">
        <v>3177</v>
      </c>
      <c r="AT1041" s="4">
        <v>42692</v>
      </c>
      <c r="AU1041" t="s">
        <v>73</v>
      </c>
      <c r="AV1041">
        <v>3177</v>
      </c>
      <c r="AW1041" s="4">
        <v>42692</v>
      </c>
      <c r="BD1041">
        <v>0</v>
      </c>
      <c r="BN1041" t="s">
        <v>74</v>
      </c>
    </row>
    <row r="1042" spans="1:66">
      <c r="A1042">
        <v>100210</v>
      </c>
      <c r="B1042" s="3" t="s">
        <v>141</v>
      </c>
      <c r="C1042" s="1">
        <v>43300101</v>
      </c>
      <c r="D1042" t="s">
        <v>67</v>
      </c>
      <c r="H1042" t="str">
        <f t="shared" si="87"/>
        <v>08082461008</v>
      </c>
      <c r="I1042" t="str">
        <f t="shared" si="87"/>
        <v>08082461008</v>
      </c>
      <c r="K1042" t="str">
        <f>""</f>
        <v/>
      </c>
      <c r="M1042" t="s">
        <v>68</v>
      </c>
      <c r="N1042" t="str">
        <f t="shared" si="85"/>
        <v>FOR</v>
      </c>
      <c r="O1042" t="s">
        <v>69</v>
      </c>
      <c r="P1042" s="3" t="s">
        <v>75</v>
      </c>
      <c r="Q1042">
        <v>2016</v>
      </c>
      <c r="R1042" s="2">
        <v>42391</v>
      </c>
      <c r="S1042" s="2">
        <v>42395</v>
      </c>
      <c r="T1042" s="2">
        <v>42392</v>
      </c>
      <c r="U1042" s="2">
        <v>42452</v>
      </c>
      <c r="V1042" t="s">
        <v>71</v>
      </c>
      <c r="W1042" t="str">
        <f>"            16008056"</f>
        <v xml:space="preserve">            16008056</v>
      </c>
      <c r="X1042">
        <v>451.88</v>
      </c>
      <c r="Y1042">
        <v>0</v>
      </c>
      <c r="Z1042" s="3">
        <v>434.5</v>
      </c>
      <c r="AA1042">
        <v>240</v>
      </c>
      <c r="AB1042" s="5">
        <v>104280</v>
      </c>
      <c r="AC1042">
        <v>434.5</v>
      </c>
      <c r="AD1042">
        <v>240</v>
      </c>
      <c r="AE1042" s="1">
        <v>104280</v>
      </c>
      <c r="AF1042">
        <v>0</v>
      </c>
      <c r="AJ1042">
        <v>0</v>
      </c>
      <c r="AK1042">
        <v>0</v>
      </c>
      <c r="AL1042">
        <v>0</v>
      </c>
      <c r="AM1042">
        <v>451.88</v>
      </c>
      <c r="AN1042">
        <v>451.88</v>
      </c>
      <c r="AO1042">
        <v>451.88</v>
      </c>
      <c r="AP1042" s="2">
        <v>42746</v>
      </c>
      <c r="AQ1042" t="s">
        <v>72</v>
      </c>
      <c r="AR1042" t="s">
        <v>72</v>
      </c>
      <c r="AS1042">
        <v>3177</v>
      </c>
      <c r="AT1042" s="4">
        <v>42692</v>
      </c>
      <c r="AU1042" t="s">
        <v>73</v>
      </c>
      <c r="AV1042">
        <v>3177</v>
      </c>
      <c r="AW1042" s="4">
        <v>42692</v>
      </c>
      <c r="BD1042">
        <v>0</v>
      </c>
      <c r="BN1042" t="s">
        <v>74</v>
      </c>
    </row>
    <row r="1043" spans="1:66">
      <c r="A1043">
        <v>100210</v>
      </c>
      <c r="B1043" s="3" t="s">
        <v>141</v>
      </c>
      <c r="C1043" s="1">
        <v>43300101</v>
      </c>
      <c r="D1043" t="s">
        <v>67</v>
      </c>
      <c r="H1043" t="str">
        <f t="shared" si="87"/>
        <v>08082461008</v>
      </c>
      <c r="I1043" t="str">
        <f t="shared" si="87"/>
        <v>08082461008</v>
      </c>
      <c r="K1043" t="str">
        <f>""</f>
        <v/>
      </c>
      <c r="M1043" t="s">
        <v>68</v>
      </c>
      <c r="N1043" t="str">
        <f t="shared" si="85"/>
        <v>FOR</v>
      </c>
      <c r="O1043" t="s">
        <v>69</v>
      </c>
      <c r="P1043" s="3" t="s">
        <v>75</v>
      </c>
      <c r="Q1043">
        <v>2016</v>
      </c>
      <c r="R1043" s="2">
        <v>42391</v>
      </c>
      <c r="S1043" s="2">
        <v>42395</v>
      </c>
      <c r="T1043" s="2">
        <v>42392</v>
      </c>
      <c r="U1043" s="2">
        <v>42452</v>
      </c>
      <c r="V1043" t="s">
        <v>71</v>
      </c>
      <c r="W1043" t="str">
        <f>"            16008057"</f>
        <v xml:space="preserve">            16008057</v>
      </c>
      <c r="X1043">
        <v>520.52</v>
      </c>
      <c r="Y1043">
        <v>0</v>
      </c>
      <c r="Z1043" s="3">
        <v>500.5</v>
      </c>
      <c r="AA1043">
        <v>240</v>
      </c>
      <c r="AB1043" s="5">
        <v>120120</v>
      </c>
      <c r="AC1043">
        <v>500.5</v>
      </c>
      <c r="AD1043">
        <v>240</v>
      </c>
      <c r="AE1043" s="1">
        <v>120120</v>
      </c>
      <c r="AF1043">
        <v>0</v>
      </c>
      <c r="AJ1043">
        <v>0</v>
      </c>
      <c r="AK1043">
        <v>0</v>
      </c>
      <c r="AL1043">
        <v>0</v>
      </c>
      <c r="AM1043">
        <v>520.52</v>
      </c>
      <c r="AN1043">
        <v>520.52</v>
      </c>
      <c r="AO1043">
        <v>520.52</v>
      </c>
      <c r="AP1043" s="2">
        <v>42746</v>
      </c>
      <c r="AQ1043" t="s">
        <v>72</v>
      </c>
      <c r="AR1043" t="s">
        <v>72</v>
      </c>
      <c r="AS1043">
        <v>3177</v>
      </c>
      <c r="AT1043" s="4">
        <v>42692</v>
      </c>
      <c r="AU1043" t="s">
        <v>73</v>
      </c>
      <c r="AV1043">
        <v>3177</v>
      </c>
      <c r="AW1043" s="4">
        <v>42692</v>
      </c>
      <c r="BD1043">
        <v>0</v>
      </c>
      <c r="BN1043" t="s">
        <v>74</v>
      </c>
    </row>
    <row r="1044" spans="1:66">
      <c r="A1044">
        <v>100210</v>
      </c>
      <c r="B1044" s="3" t="s">
        <v>141</v>
      </c>
      <c r="C1044" s="1">
        <v>43300101</v>
      </c>
      <c r="D1044" t="s">
        <v>67</v>
      </c>
      <c r="H1044" t="str">
        <f t="shared" si="87"/>
        <v>08082461008</v>
      </c>
      <c r="I1044" t="str">
        <f t="shared" si="87"/>
        <v>08082461008</v>
      </c>
      <c r="K1044" t="str">
        <f>""</f>
        <v/>
      </c>
      <c r="M1044" t="s">
        <v>68</v>
      </c>
      <c r="N1044" t="str">
        <f t="shared" si="85"/>
        <v>FOR</v>
      </c>
      <c r="O1044" t="s">
        <v>69</v>
      </c>
      <c r="P1044" s="3" t="s">
        <v>75</v>
      </c>
      <c r="Q1044">
        <v>2016</v>
      </c>
      <c r="R1044" s="2">
        <v>42391</v>
      </c>
      <c r="S1044" s="2">
        <v>42395</v>
      </c>
      <c r="T1044" s="2">
        <v>42392</v>
      </c>
      <c r="U1044" s="2">
        <v>42452</v>
      </c>
      <c r="V1044" t="s">
        <v>71</v>
      </c>
      <c r="W1044" t="str">
        <f>"            16008058"</f>
        <v xml:space="preserve">            16008058</v>
      </c>
      <c r="X1044">
        <v>520.52</v>
      </c>
      <c r="Y1044">
        <v>0</v>
      </c>
      <c r="Z1044" s="3">
        <v>500.5</v>
      </c>
      <c r="AA1044">
        <v>240</v>
      </c>
      <c r="AB1044" s="5">
        <v>120120</v>
      </c>
      <c r="AC1044">
        <v>500.5</v>
      </c>
      <c r="AD1044">
        <v>240</v>
      </c>
      <c r="AE1044" s="1">
        <v>120120</v>
      </c>
      <c r="AF1044">
        <v>0</v>
      </c>
      <c r="AJ1044">
        <v>0</v>
      </c>
      <c r="AK1044">
        <v>0</v>
      </c>
      <c r="AL1044">
        <v>0</v>
      </c>
      <c r="AM1044">
        <v>520.52</v>
      </c>
      <c r="AN1044">
        <v>520.52</v>
      </c>
      <c r="AO1044">
        <v>520.52</v>
      </c>
      <c r="AP1044" s="2">
        <v>42746</v>
      </c>
      <c r="AQ1044" t="s">
        <v>72</v>
      </c>
      <c r="AR1044" t="s">
        <v>72</v>
      </c>
      <c r="AS1044">
        <v>3177</v>
      </c>
      <c r="AT1044" s="4">
        <v>42692</v>
      </c>
      <c r="AU1044" t="s">
        <v>73</v>
      </c>
      <c r="AV1044">
        <v>3177</v>
      </c>
      <c r="AW1044" s="4">
        <v>42692</v>
      </c>
      <c r="BD1044">
        <v>0</v>
      </c>
      <c r="BN1044" t="s">
        <v>74</v>
      </c>
    </row>
    <row r="1045" spans="1:66">
      <c r="A1045">
        <v>100210</v>
      </c>
      <c r="B1045" s="3" t="s">
        <v>141</v>
      </c>
      <c r="C1045" s="1">
        <v>43300101</v>
      </c>
      <c r="D1045" t="s">
        <v>67</v>
      </c>
      <c r="H1045" t="str">
        <f t="shared" si="87"/>
        <v>08082461008</v>
      </c>
      <c r="I1045" t="str">
        <f t="shared" si="87"/>
        <v>08082461008</v>
      </c>
      <c r="K1045" t="str">
        <f>""</f>
        <v/>
      </c>
      <c r="M1045" t="s">
        <v>68</v>
      </c>
      <c r="N1045" t="str">
        <f t="shared" si="85"/>
        <v>FOR</v>
      </c>
      <c r="O1045" t="s">
        <v>69</v>
      </c>
      <c r="P1045" s="3" t="s">
        <v>75</v>
      </c>
      <c r="Q1045">
        <v>2016</v>
      </c>
      <c r="R1045" s="2">
        <v>42391</v>
      </c>
      <c r="S1045" s="2">
        <v>42395</v>
      </c>
      <c r="T1045" s="2">
        <v>42392</v>
      </c>
      <c r="U1045" s="2">
        <v>42452</v>
      </c>
      <c r="V1045" t="s">
        <v>71</v>
      </c>
      <c r="W1045" t="str">
        <f>"            16008060"</f>
        <v xml:space="preserve">            16008060</v>
      </c>
      <c r="X1045">
        <v>451.88</v>
      </c>
      <c r="Y1045">
        <v>0</v>
      </c>
      <c r="Z1045" s="3">
        <v>434.5</v>
      </c>
      <c r="AA1045">
        <v>240</v>
      </c>
      <c r="AB1045" s="5">
        <v>104280</v>
      </c>
      <c r="AC1045">
        <v>434.5</v>
      </c>
      <c r="AD1045">
        <v>240</v>
      </c>
      <c r="AE1045" s="1">
        <v>104280</v>
      </c>
      <c r="AF1045">
        <v>0</v>
      </c>
      <c r="AJ1045">
        <v>0</v>
      </c>
      <c r="AK1045">
        <v>0</v>
      </c>
      <c r="AL1045">
        <v>0</v>
      </c>
      <c r="AM1045">
        <v>451.88</v>
      </c>
      <c r="AN1045">
        <v>451.88</v>
      </c>
      <c r="AO1045">
        <v>451.88</v>
      </c>
      <c r="AP1045" s="2">
        <v>42746</v>
      </c>
      <c r="AQ1045" t="s">
        <v>72</v>
      </c>
      <c r="AR1045" t="s">
        <v>72</v>
      </c>
      <c r="AS1045">
        <v>3177</v>
      </c>
      <c r="AT1045" s="4">
        <v>42692</v>
      </c>
      <c r="AU1045" t="s">
        <v>73</v>
      </c>
      <c r="AV1045">
        <v>3177</v>
      </c>
      <c r="AW1045" s="4">
        <v>42692</v>
      </c>
      <c r="BD1045">
        <v>0</v>
      </c>
      <c r="BN1045" t="s">
        <v>74</v>
      </c>
    </row>
    <row r="1046" spans="1:66">
      <c r="A1046">
        <v>100210</v>
      </c>
      <c r="B1046" s="3" t="s">
        <v>141</v>
      </c>
      <c r="C1046" s="1">
        <v>43300101</v>
      </c>
      <c r="D1046" t="s">
        <v>67</v>
      </c>
      <c r="H1046" t="str">
        <f t="shared" si="87"/>
        <v>08082461008</v>
      </c>
      <c r="I1046" t="str">
        <f t="shared" si="87"/>
        <v>08082461008</v>
      </c>
      <c r="K1046" t="str">
        <f>""</f>
        <v/>
      </c>
      <c r="M1046" t="s">
        <v>68</v>
      </c>
      <c r="N1046" t="str">
        <f t="shared" si="85"/>
        <v>FOR</v>
      </c>
      <c r="O1046" t="s">
        <v>69</v>
      </c>
      <c r="P1046" s="3" t="s">
        <v>75</v>
      </c>
      <c r="Q1046">
        <v>2016</v>
      </c>
      <c r="R1046" s="2">
        <v>42391</v>
      </c>
      <c r="S1046" s="2">
        <v>42395</v>
      </c>
      <c r="T1046" s="2">
        <v>42392</v>
      </c>
      <c r="U1046" s="2">
        <v>42452</v>
      </c>
      <c r="V1046" t="s">
        <v>71</v>
      </c>
      <c r="W1046" t="str">
        <f>"            16008062"</f>
        <v xml:space="preserve">            16008062</v>
      </c>
      <c r="X1046">
        <v>451.88</v>
      </c>
      <c r="Y1046">
        <v>0</v>
      </c>
      <c r="Z1046" s="3">
        <v>434.5</v>
      </c>
      <c r="AA1046">
        <v>240</v>
      </c>
      <c r="AB1046" s="5">
        <v>104280</v>
      </c>
      <c r="AC1046">
        <v>434.5</v>
      </c>
      <c r="AD1046">
        <v>240</v>
      </c>
      <c r="AE1046" s="1">
        <v>104280</v>
      </c>
      <c r="AF1046">
        <v>0</v>
      </c>
      <c r="AJ1046">
        <v>0</v>
      </c>
      <c r="AK1046">
        <v>0</v>
      </c>
      <c r="AL1046">
        <v>0</v>
      </c>
      <c r="AM1046">
        <v>451.88</v>
      </c>
      <c r="AN1046">
        <v>451.88</v>
      </c>
      <c r="AO1046">
        <v>451.88</v>
      </c>
      <c r="AP1046" s="2">
        <v>42746</v>
      </c>
      <c r="AQ1046" t="s">
        <v>72</v>
      </c>
      <c r="AR1046" t="s">
        <v>72</v>
      </c>
      <c r="AS1046">
        <v>3177</v>
      </c>
      <c r="AT1046" s="4">
        <v>42692</v>
      </c>
      <c r="AU1046" t="s">
        <v>73</v>
      </c>
      <c r="AV1046">
        <v>3177</v>
      </c>
      <c r="AW1046" s="4">
        <v>42692</v>
      </c>
      <c r="BD1046">
        <v>0</v>
      </c>
      <c r="BN1046" t="s">
        <v>74</v>
      </c>
    </row>
    <row r="1047" spans="1:66">
      <c r="A1047">
        <v>100210</v>
      </c>
      <c r="B1047" s="3" t="s">
        <v>141</v>
      </c>
      <c r="C1047" s="1">
        <v>43300101</v>
      </c>
      <c r="D1047" t="s">
        <v>67</v>
      </c>
      <c r="H1047" t="str">
        <f t="shared" si="87"/>
        <v>08082461008</v>
      </c>
      <c r="I1047" t="str">
        <f t="shared" si="87"/>
        <v>08082461008</v>
      </c>
      <c r="K1047" t="str">
        <f>""</f>
        <v/>
      </c>
      <c r="M1047" t="s">
        <v>68</v>
      </c>
      <c r="N1047" t="str">
        <f t="shared" si="85"/>
        <v>FOR</v>
      </c>
      <c r="O1047" t="s">
        <v>69</v>
      </c>
      <c r="P1047" s="3" t="s">
        <v>75</v>
      </c>
      <c r="Q1047">
        <v>2016</v>
      </c>
      <c r="R1047" s="2">
        <v>42391</v>
      </c>
      <c r="S1047" s="2">
        <v>42395</v>
      </c>
      <c r="T1047" s="2">
        <v>42392</v>
      </c>
      <c r="U1047" s="2">
        <v>42452</v>
      </c>
      <c r="V1047" t="s">
        <v>71</v>
      </c>
      <c r="W1047" t="str">
        <f>"            16008064"</f>
        <v xml:space="preserve">            16008064</v>
      </c>
      <c r="X1047">
        <v>451.88</v>
      </c>
      <c r="Y1047">
        <v>0</v>
      </c>
      <c r="Z1047" s="3">
        <v>434.5</v>
      </c>
      <c r="AA1047">
        <v>240</v>
      </c>
      <c r="AB1047" s="5">
        <v>104280</v>
      </c>
      <c r="AC1047">
        <v>434.5</v>
      </c>
      <c r="AD1047">
        <v>240</v>
      </c>
      <c r="AE1047" s="1">
        <v>104280</v>
      </c>
      <c r="AF1047">
        <v>0</v>
      </c>
      <c r="AJ1047">
        <v>0</v>
      </c>
      <c r="AK1047">
        <v>0</v>
      </c>
      <c r="AL1047">
        <v>0</v>
      </c>
      <c r="AM1047">
        <v>451.88</v>
      </c>
      <c r="AN1047">
        <v>451.88</v>
      </c>
      <c r="AO1047">
        <v>451.88</v>
      </c>
      <c r="AP1047" s="2">
        <v>42746</v>
      </c>
      <c r="AQ1047" t="s">
        <v>72</v>
      </c>
      <c r="AR1047" t="s">
        <v>72</v>
      </c>
      <c r="AS1047">
        <v>3177</v>
      </c>
      <c r="AT1047" s="4">
        <v>42692</v>
      </c>
      <c r="AU1047" t="s">
        <v>73</v>
      </c>
      <c r="AV1047">
        <v>3177</v>
      </c>
      <c r="AW1047" s="4">
        <v>42692</v>
      </c>
      <c r="BD1047">
        <v>0</v>
      </c>
      <c r="BN1047" t="s">
        <v>74</v>
      </c>
    </row>
    <row r="1048" spans="1:66">
      <c r="A1048">
        <v>100210</v>
      </c>
      <c r="B1048" s="3" t="s">
        <v>141</v>
      </c>
      <c r="C1048" s="1">
        <v>43300101</v>
      </c>
      <c r="D1048" t="s">
        <v>67</v>
      </c>
      <c r="H1048" t="str">
        <f t="shared" si="87"/>
        <v>08082461008</v>
      </c>
      <c r="I1048" t="str">
        <f t="shared" si="87"/>
        <v>08082461008</v>
      </c>
      <c r="K1048" t="str">
        <f>""</f>
        <v/>
      </c>
      <c r="M1048" t="s">
        <v>68</v>
      </c>
      <c r="N1048" t="str">
        <f t="shared" si="85"/>
        <v>FOR</v>
      </c>
      <c r="O1048" t="s">
        <v>69</v>
      </c>
      <c r="P1048" s="3" t="s">
        <v>75</v>
      </c>
      <c r="Q1048">
        <v>2016</v>
      </c>
      <c r="R1048" s="2">
        <v>42391</v>
      </c>
      <c r="S1048" s="2">
        <v>42395</v>
      </c>
      <c r="T1048" s="2">
        <v>42392</v>
      </c>
      <c r="U1048" s="2">
        <v>42452</v>
      </c>
      <c r="V1048" t="s">
        <v>71</v>
      </c>
      <c r="W1048" t="str">
        <f>"            16008065"</f>
        <v xml:space="preserve">            16008065</v>
      </c>
      <c r="X1048">
        <v>451.88</v>
      </c>
      <c r="Y1048">
        <v>0</v>
      </c>
      <c r="Z1048" s="3">
        <v>434.5</v>
      </c>
      <c r="AA1048">
        <v>240</v>
      </c>
      <c r="AB1048" s="5">
        <v>104280</v>
      </c>
      <c r="AC1048">
        <v>434.5</v>
      </c>
      <c r="AD1048">
        <v>240</v>
      </c>
      <c r="AE1048" s="1">
        <v>104280</v>
      </c>
      <c r="AF1048">
        <v>0</v>
      </c>
      <c r="AJ1048">
        <v>0</v>
      </c>
      <c r="AK1048">
        <v>0</v>
      </c>
      <c r="AL1048">
        <v>0</v>
      </c>
      <c r="AM1048">
        <v>451.88</v>
      </c>
      <c r="AN1048">
        <v>451.88</v>
      </c>
      <c r="AO1048">
        <v>451.88</v>
      </c>
      <c r="AP1048" s="2">
        <v>42746</v>
      </c>
      <c r="AQ1048" t="s">
        <v>72</v>
      </c>
      <c r="AR1048" t="s">
        <v>72</v>
      </c>
      <c r="AS1048">
        <v>3177</v>
      </c>
      <c r="AT1048" s="4">
        <v>42692</v>
      </c>
      <c r="AU1048" t="s">
        <v>73</v>
      </c>
      <c r="AV1048">
        <v>3177</v>
      </c>
      <c r="AW1048" s="4">
        <v>42692</v>
      </c>
      <c r="BD1048">
        <v>0</v>
      </c>
      <c r="BN1048" t="s">
        <v>74</v>
      </c>
    </row>
    <row r="1049" spans="1:66">
      <c r="A1049">
        <v>100210</v>
      </c>
      <c r="B1049" s="3" t="s">
        <v>141</v>
      </c>
      <c r="C1049" s="1">
        <v>43300101</v>
      </c>
      <c r="D1049" t="s">
        <v>67</v>
      </c>
      <c r="H1049" t="str">
        <f t="shared" si="87"/>
        <v>08082461008</v>
      </c>
      <c r="I1049" t="str">
        <f t="shared" si="87"/>
        <v>08082461008</v>
      </c>
      <c r="K1049" t="str">
        <f>""</f>
        <v/>
      </c>
      <c r="M1049" t="s">
        <v>68</v>
      </c>
      <c r="N1049" t="str">
        <f t="shared" si="85"/>
        <v>FOR</v>
      </c>
      <c r="O1049" t="s">
        <v>69</v>
      </c>
      <c r="P1049" s="3" t="s">
        <v>75</v>
      </c>
      <c r="Q1049">
        <v>2016</v>
      </c>
      <c r="R1049" s="2">
        <v>42391</v>
      </c>
      <c r="S1049" s="2">
        <v>42395</v>
      </c>
      <c r="T1049" s="2">
        <v>42392</v>
      </c>
      <c r="U1049" s="2">
        <v>42452</v>
      </c>
      <c r="V1049" t="s">
        <v>71</v>
      </c>
      <c r="W1049" t="str">
        <f>"            16008066"</f>
        <v xml:space="preserve">            16008066</v>
      </c>
      <c r="X1049">
        <v>114.4</v>
      </c>
      <c r="Y1049">
        <v>0</v>
      </c>
      <c r="Z1049" s="3">
        <v>110</v>
      </c>
      <c r="AA1049">
        <v>240</v>
      </c>
      <c r="AB1049" s="5">
        <v>26400</v>
      </c>
      <c r="AC1049">
        <v>110</v>
      </c>
      <c r="AD1049">
        <v>240</v>
      </c>
      <c r="AE1049" s="1">
        <v>26400</v>
      </c>
      <c r="AF1049">
        <v>0</v>
      </c>
      <c r="AJ1049">
        <v>0</v>
      </c>
      <c r="AK1049">
        <v>0</v>
      </c>
      <c r="AL1049">
        <v>0</v>
      </c>
      <c r="AM1049">
        <v>114.4</v>
      </c>
      <c r="AN1049">
        <v>114.4</v>
      </c>
      <c r="AO1049">
        <v>114.4</v>
      </c>
      <c r="AP1049" s="2">
        <v>42746</v>
      </c>
      <c r="AQ1049" t="s">
        <v>72</v>
      </c>
      <c r="AR1049" t="s">
        <v>72</v>
      </c>
      <c r="AS1049">
        <v>3177</v>
      </c>
      <c r="AT1049" s="4">
        <v>42692</v>
      </c>
      <c r="AU1049" t="s">
        <v>73</v>
      </c>
      <c r="AV1049">
        <v>3177</v>
      </c>
      <c r="AW1049" s="4">
        <v>42692</v>
      </c>
      <c r="BD1049">
        <v>0</v>
      </c>
      <c r="BN1049" t="s">
        <v>74</v>
      </c>
    </row>
    <row r="1050" spans="1:66">
      <c r="A1050">
        <v>100210</v>
      </c>
      <c r="B1050" s="3" t="s">
        <v>141</v>
      </c>
      <c r="C1050" s="1">
        <v>43300101</v>
      </c>
      <c r="D1050" t="s">
        <v>67</v>
      </c>
      <c r="H1050" t="str">
        <f t="shared" si="87"/>
        <v>08082461008</v>
      </c>
      <c r="I1050" t="str">
        <f t="shared" si="87"/>
        <v>08082461008</v>
      </c>
      <c r="K1050" t="str">
        <f>""</f>
        <v/>
      </c>
      <c r="M1050" t="s">
        <v>68</v>
      </c>
      <c r="N1050" t="str">
        <f t="shared" si="85"/>
        <v>FOR</v>
      </c>
      <c r="O1050" t="s">
        <v>69</v>
      </c>
      <c r="P1050" s="3" t="s">
        <v>75</v>
      </c>
      <c r="Q1050">
        <v>2016</v>
      </c>
      <c r="R1050" s="2">
        <v>42391</v>
      </c>
      <c r="S1050" s="2">
        <v>42395</v>
      </c>
      <c r="T1050" s="2">
        <v>42392</v>
      </c>
      <c r="U1050" s="2">
        <v>42452</v>
      </c>
      <c r="V1050" t="s">
        <v>71</v>
      </c>
      <c r="W1050" t="str">
        <f>"            16008069"</f>
        <v xml:space="preserve">            16008069</v>
      </c>
      <c r="X1050">
        <v>114.4</v>
      </c>
      <c r="Y1050">
        <v>0</v>
      </c>
      <c r="Z1050" s="3">
        <v>110</v>
      </c>
      <c r="AA1050">
        <v>240</v>
      </c>
      <c r="AB1050" s="5">
        <v>26400</v>
      </c>
      <c r="AC1050">
        <v>110</v>
      </c>
      <c r="AD1050">
        <v>240</v>
      </c>
      <c r="AE1050" s="1">
        <v>26400</v>
      </c>
      <c r="AF1050">
        <v>0</v>
      </c>
      <c r="AJ1050">
        <v>0</v>
      </c>
      <c r="AK1050">
        <v>0</v>
      </c>
      <c r="AL1050">
        <v>0</v>
      </c>
      <c r="AM1050">
        <v>114.4</v>
      </c>
      <c r="AN1050">
        <v>114.4</v>
      </c>
      <c r="AO1050">
        <v>114.4</v>
      </c>
      <c r="AP1050" s="2">
        <v>42746</v>
      </c>
      <c r="AQ1050" t="s">
        <v>72</v>
      </c>
      <c r="AR1050" t="s">
        <v>72</v>
      </c>
      <c r="AS1050">
        <v>3177</v>
      </c>
      <c r="AT1050" s="4">
        <v>42692</v>
      </c>
      <c r="AU1050" t="s">
        <v>73</v>
      </c>
      <c r="AV1050">
        <v>3177</v>
      </c>
      <c r="AW1050" s="4">
        <v>42692</v>
      </c>
      <c r="BD1050">
        <v>0</v>
      </c>
      <c r="BN1050" t="s">
        <v>74</v>
      </c>
    </row>
    <row r="1051" spans="1:66">
      <c r="A1051">
        <v>100210</v>
      </c>
      <c r="B1051" s="3" t="s">
        <v>141</v>
      </c>
      <c r="C1051" s="1">
        <v>43300101</v>
      </c>
      <c r="D1051" t="s">
        <v>67</v>
      </c>
      <c r="H1051" t="str">
        <f t="shared" si="87"/>
        <v>08082461008</v>
      </c>
      <c r="I1051" t="str">
        <f t="shared" si="87"/>
        <v>08082461008</v>
      </c>
      <c r="K1051" t="str">
        <f>""</f>
        <v/>
      </c>
      <c r="M1051" t="s">
        <v>68</v>
      </c>
      <c r="N1051" t="str">
        <f t="shared" si="85"/>
        <v>FOR</v>
      </c>
      <c r="O1051" t="s">
        <v>69</v>
      </c>
      <c r="P1051" s="3" t="s">
        <v>75</v>
      </c>
      <c r="Q1051">
        <v>2016</v>
      </c>
      <c r="R1051" s="2">
        <v>42391</v>
      </c>
      <c r="S1051" s="2">
        <v>42395</v>
      </c>
      <c r="T1051" s="2">
        <v>42392</v>
      </c>
      <c r="U1051" s="2">
        <v>42452</v>
      </c>
      <c r="V1051" t="s">
        <v>71</v>
      </c>
      <c r="W1051" t="str">
        <f>"            16008071"</f>
        <v xml:space="preserve">            16008071</v>
      </c>
      <c r="X1051">
        <v>45.76</v>
      </c>
      <c r="Y1051">
        <v>0</v>
      </c>
      <c r="Z1051" s="3">
        <v>44</v>
      </c>
      <c r="AA1051">
        <v>240</v>
      </c>
      <c r="AB1051" s="5">
        <v>10560</v>
      </c>
      <c r="AC1051">
        <v>44</v>
      </c>
      <c r="AD1051">
        <v>240</v>
      </c>
      <c r="AE1051" s="1">
        <v>10560</v>
      </c>
      <c r="AF1051">
        <v>0</v>
      </c>
      <c r="AJ1051">
        <v>0</v>
      </c>
      <c r="AK1051">
        <v>0</v>
      </c>
      <c r="AL1051">
        <v>0</v>
      </c>
      <c r="AM1051">
        <v>45.76</v>
      </c>
      <c r="AN1051">
        <v>45.76</v>
      </c>
      <c r="AO1051">
        <v>45.76</v>
      </c>
      <c r="AP1051" s="2">
        <v>42746</v>
      </c>
      <c r="AQ1051" t="s">
        <v>72</v>
      </c>
      <c r="AR1051" t="s">
        <v>72</v>
      </c>
      <c r="AS1051">
        <v>3177</v>
      </c>
      <c r="AT1051" s="4">
        <v>42692</v>
      </c>
      <c r="AU1051" t="s">
        <v>73</v>
      </c>
      <c r="AV1051">
        <v>3177</v>
      </c>
      <c r="AW1051" s="4">
        <v>42692</v>
      </c>
      <c r="BD1051">
        <v>0</v>
      </c>
      <c r="BN1051" t="s">
        <v>74</v>
      </c>
    </row>
    <row r="1052" spans="1:66">
      <c r="A1052">
        <v>100210</v>
      </c>
      <c r="B1052" s="3" t="s">
        <v>141</v>
      </c>
      <c r="C1052" s="1">
        <v>43300101</v>
      </c>
      <c r="D1052" t="s">
        <v>67</v>
      </c>
      <c r="H1052" t="str">
        <f t="shared" si="87"/>
        <v>08082461008</v>
      </c>
      <c r="I1052" t="str">
        <f t="shared" si="87"/>
        <v>08082461008</v>
      </c>
      <c r="K1052" t="str">
        <f>""</f>
        <v/>
      </c>
      <c r="M1052" t="s">
        <v>68</v>
      </c>
      <c r="N1052" t="str">
        <f t="shared" si="85"/>
        <v>FOR</v>
      </c>
      <c r="O1052" t="s">
        <v>69</v>
      </c>
      <c r="P1052" s="3" t="s">
        <v>75</v>
      </c>
      <c r="Q1052">
        <v>2016</v>
      </c>
      <c r="R1052" s="2">
        <v>42391</v>
      </c>
      <c r="S1052" s="2">
        <v>42395</v>
      </c>
      <c r="T1052" s="2">
        <v>42392</v>
      </c>
      <c r="U1052" s="2">
        <v>42452</v>
      </c>
      <c r="V1052" t="s">
        <v>71</v>
      </c>
      <c r="W1052" t="str">
        <f>"            16008073"</f>
        <v xml:space="preserve">            16008073</v>
      </c>
      <c r="X1052">
        <v>45.76</v>
      </c>
      <c r="Y1052">
        <v>0</v>
      </c>
      <c r="Z1052" s="3">
        <v>44</v>
      </c>
      <c r="AA1052">
        <v>240</v>
      </c>
      <c r="AB1052" s="5">
        <v>10560</v>
      </c>
      <c r="AC1052">
        <v>44</v>
      </c>
      <c r="AD1052">
        <v>240</v>
      </c>
      <c r="AE1052" s="1">
        <v>10560</v>
      </c>
      <c r="AF1052">
        <v>0</v>
      </c>
      <c r="AJ1052">
        <v>0</v>
      </c>
      <c r="AK1052">
        <v>0</v>
      </c>
      <c r="AL1052">
        <v>0</v>
      </c>
      <c r="AM1052">
        <v>45.76</v>
      </c>
      <c r="AN1052">
        <v>45.76</v>
      </c>
      <c r="AO1052">
        <v>45.76</v>
      </c>
      <c r="AP1052" s="2">
        <v>42746</v>
      </c>
      <c r="AQ1052" t="s">
        <v>72</v>
      </c>
      <c r="AR1052" t="s">
        <v>72</v>
      </c>
      <c r="AS1052">
        <v>3177</v>
      </c>
      <c r="AT1052" s="4">
        <v>42692</v>
      </c>
      <c r="AU1052" t="s">
        <v>73</v>
      </c>
      <c r="AV1052">
        <v>3177</v>
      </c>
      <c r="AW1052" s="4">
        <v>42692</v>
      </c>
      <c r="BD1052">
        <v>0</v>
      </c>
      <c r="BN1052" t="s">
        <v>74</v>
      </c>
    </row>
    <row r="1053" spans="1:66">
      <c r="A1053">
        <v>100210</v>
      </c>
      <c r="B1053" s="3" t="s">
        <v>141</v>
      </c>
      <c r="C1053" s="1">
        <v>43300101</v>
      </c>
      <c r="D1053" t="s">
        <v>67</v>
      </c>
      <c r="H1053" t="str">
        <f t="shared" si="87"/>
        <v>08082461008</v>
      </c>
      <c r="I1053" t="str">
        <f t="shared" si="87"/>
        <v>08082461008</v>
      </c>
      <c r="K1053" t="str">
        <f>""</f>
        <v/>
      </c>
      <c r="M1053" t="s">
        <v>68</v>
      </c>
      <c r="N1053" t="str">
        <f t="shared" si="85"/>
        <v>FOR</v>
      </c>
      <c r="O1053" t="s">
        <v>69</v>
      </c>
      <c r="P1053" s="3" t="s">
        <v>75</v>
      </c>
      <c r="Q1053">
        <v>2016</v>
      </c>
      <c r="R1053" s="2">
        <v>42391</v>
      </c>
      <c r="S1053" s="2">
        <v>42395</v>
      </c>
      <c r="T1053" s="2">
        <v>42392</v>
      </c>
      <c r="U1053" s="2">
        <v>42452</v>
      </c>
      <c r="V1053" t="s">
        <v>71</v>
      </c>
      <c r="W1053" t="str">
        <f>"            16008078"</f>
        <v xml:space="preserve">            16008078</v>
      </c>
      <c r="X1053">
        <v>45.76</v>
      </c>
      <c r="Y1053">
        <v>0</v>
      </c>
      <c r="Z1053" s="3">
        <v>44</v>
      </c>
      <c r="AA1053">
        <v>240</v>
      </c>
      <c r="AB1053" s="5">
        <v>10560</v>
      </c>
      <c r="AC1053">
        <v>44</v>
      </c>
      <c r="AD1053">
        <v>240</v>
      </c>
      <c r="AE1053" s="1">
        <v>10560</v>
      </c>
      <c r="AF1053">
        <v>0</v>
      </c>
      <c r="AJ1053">
        <v>0</v>
      </c>
      <c r="AK1053">
        <v>0</v>
      </c>
      <c r="AL1053">
        <v>0</v>
      </c>
      <c r="AM1053">
        <v>45.76</v>
      </c>
      <c r="AN1053">
        <v>45.76</v>
      </c>
      <c r="AO1053">
        <v>45.76</v>
      </c>
      <c r="AP1053" s="2">
        <v>42746</v>
      </c>
      <c r="AQ1053" t="s">
        <v>72</v>
      </c>
      <c r="AR1053" t="s">
        <v>72</v>
      </c>
      <c r="AS1053">
        <v>3177</v>
      </c>
      <c r="AT1053" s="4">
        <v>42692</v>
      </c>
      <c r="AU1053" t="s">
        <v>73</v>
      </c>
      <c r="AV1053">
        <v>3177</v>
      </c>
      <c r="AW1053" s="4">
        <v>42692</v>
      </c>
      <c r="BD1053">
        <v>0</v>
      </c>
      <c r="BN1053" t="s">
        <v>74</v>
      </c>
    </row>
    <row r="1054" spans="1:66">
      <c r="A1054">
        <v>100210</v>
      </c>
      <c r="B1054" s="3" t="s">
        <v>141</v>
      </c>
      <c r="C1054" s="1">
        <v>43300101</v>
      </c>
      <c r="D1054" t="s">
        <v>67</v>
      </c>
      <c r="H1054" t="str">
        <f t="shared" si="87"/>
        <v>08082461008</v>
      </c>
      <c r="I1054" t="str">
        <f t="shared" si="87"/>
        <v>08082461008</v>
      </c>
      <c r="K1054" t="str">
        <f>""</f>
        <v/>
      </c>
      <c r="M1054" t="s">
        <v>68</v>
      </c>
      <c r="N1054" t="str">
        <f t="shared" si="85"/>
        <v>FOR</v>
      </c>
      <c r="O1054" t="s">
        <v>69</v>
      </c>
      <c r="P1054" s="3" t="s">
        <v>75</v>
      </c>
      <c r="Q1054">
        <v>2016</v>
      </c>
      <c r="R1054" s="2">
        <v>42391</v>
      </c>
      <c r="S1054" s="2">
        <v>42395</v>
      </c>
      <c r="T1054" s="2">
        <v>42392</v>
      </c>
      <c r="U1054" s="2">
        <v>42452</v>
      </c>
      <c r="V1054" t="s">
        <v>71</v>
      </c>
      <c r="W1054" t="str">
        <f>"            16008081"</f>
        <v xml:space="preserve">            16008081</v>
      </c>
      <c r="X1054">
        <v>45.76</v>
      </c>
      <c r="Y1054">
        <v>0</v>
      </c>
      <c r="Z1054" s="3">
        <v>44</v>
      </c>
      <c r="AA1054">
        <v>240</v>
      </c>
      <c r="AB1054" s="5">
        <v>10560</v>
      </c>
      <c r="AC1054">
        <v>44</v>
      </c>
      <c r="AD1054">
        <v>240</v>
      </c>
      <c r="AE1054" s="1">
        <v>10560</v>
      </c>
      <c r="AF1054">
        <v>0</v>
      </c>
      <c r="AJ1054">
        <v>0</v>
      </c>
      <c r="AK1054">
        <v>0</v>
      </c>
      <c r="AL1054">
        <v>0</v>
      </c>
      <c r="AM1054">
        <v>45.76</v>
      </c>
      <c r="AN1054">
        <v>45.76</v>
      </c>
      <c r="AO1054">
        <v>45.76</v>
      </c>
      <c r="AP1054" s="2">
        <v>42746</v>
      </c>
      <c r="AQ1054" t="s">
        <v>72</v>
      </c>
      <c r="AR1054" t="s">
        <v>72</v>
      </c>
      <c r="AS1054">
        <v>3177</v>
      </c>
      <c r="AT1054" s="4">
        <v>42692</v>
      </c>
      <c r="AU1054" t="s">
        <v>73</v>
      </c>
      <c r="AV1054">
        <v>3177</v>
      </c>
      <c r="AW1054" s="4">
        <v>42692</v>
      </c>
      <c r="BD1054">
        <v>0</v>
      </c>
      <c r="BN1054" t="s">
        <v>74</v>
      </c>
    </row>
    <row r="1055" spans="1:66">
      <c r="A1055">
        <v>100210</v>
      </c>
      <c r="B1055" s="3" t="s">
        <v>141</v>
      </c>
      <c r="C1055" s="1">
        <v>43300101</v>
      </c>
      <c r="D1055" t="s">
        <v>67</v>
      </c>
      <c r="H1055" t="str">
        <f t="shared" si="87"/>
        <v>08082461008</v>
      </c>
      <c r="I1055" t="str">
        <f t="shared" si="87"/>
        <v>08082461008</v>
      </c>
      <c r="K1055" t="str">
        <f>""</f>
        <v/>
      </c>
      <c r="M1055" t="s">
        <v>68</v>
      </c>
      <c r="N1055" t="str">
        <f t="shared" si="85"/>
        <v>FOR</v>
      </c>
      <c r="O1055" t="s">
        <v>69</v>
      </c>
      <c r="P1055" s="3" t="s">
        <v>75</v>
      </c>
      <c r="Q1055">
        <v>2016</v>
      </c>
      <c r="R1055" s="2">
        <v>42391</v>
      </c>
      <c r="S1055" s="2">
        <v>42395</v>
      </c>
      <c r="T1055" s="2">
        <v>42392</v>
      </c>
      <c r="U1055" s="2">
        <v>42452</v>
      </c>
      <c r="V1055" t="s">
        <v>71</v>
      </c>
      <c r="W1055" t="str">
        <f>"            16008083"</f>
        <v xml:space="preserve">            16008083</v>
      </c>
      <c r="X1055">
        <v>188.76</v>
      </c>
      <c r="Y1055">
        <v>0</v>
      </c>
      <c r="Z1055" s="3">
        <v>181.5</v>
      </c>
      <c r="AA1055">
        <v>240</v>
      </c>
      <c r="AB1055" s="5">
        <v>43560</v>
      </c>
      <c r="AC1055">
        <v>181.5</v>
      </c>
      <c r="AD1055">
        <v>240</v>
      </c>
      <c r="AE1055" s="1">
        <v>43560</v>
      </c>
      <c r="AF1055">
        <v>0</v>
      </c>
      <c r="AJ1055">
        <v>0</v>
      </c>
      <c r="AK1055">
        <v>0</v>
      </c>
      <c r="AL1055">
        <v>0</v>
      </c>
      <c r="AM1055">
        <v>188.76</v>
      </c>
      <c r="AN1055">
        <v>188.76</v>
      </c>
      <c r="AO1055">
        <v>188.76</v>
      </c>
      <c r="AP1055" s="2">
        <v>42746</v>
      </c>
      <c r="AQ1055" t="s">
        <v>72</v>
      </c>
      <c r="AR1055" t="s">
        <v>72</v>
      </c>
      <c r="AS1055">
        <v>3177</v>
      </c>
      <c r="AT1055" s="4">
        <v>42692</v>
      </c>
      <c r="AU1055" t="s">
        <v>73</v>
      </c>
      <c r="AV1055">
        <v>3177</v>
      </c>
      <c r="AW1055" s="4">
        <v>42692</v>
      </c>
      <c r="BD1055">
        <v>0</v>
      </c>
      <c r="BN1055" t="s">
        <v>74</v>
      </c>
    </row>
    <row r="1056" spans="1:66">
      <c r="A1056">
        <v>100210</v>
      </c>
      <c r="B1056" s="3" t="s">
        <v>141</v>
      </c>
      <c r="C1056" s="1">
        <v>43300101</v>
      </c>
      <c r="D1056" t="s">
        <v>67</v>
      </c>
      <c r="H1056" t="str">
        <f t="shared" si="87"/>
        <v>08082461008</v>
      </c>
      <c r="I1056" t="str">
        <f t="shared" si="87"/>
        <v>08082461008</v>
      </c>
      <c r="K1056" t="str">
        <f>""</f>
        <v/>
      </c>
      <c r="M1056" t="s">
        <v>68</v>
      </c>
      <c r="N1056" t="str">
        <f t="shared" si="85"/>
        <v>FOR</v>
      </c>
      <c r="O1056" t="s">
        <v>69</v>
      </c>
      <c r="P1056" s="3" t="s">
        <v>75</v>
      </c>
      <c r="Q1056">
        <v>2016</v>
      </c>
      <c r="R1056" s="2">
        <v>42391</v>
      </c>
      <c r="S1056" s="2">
        <v>42395</v>
      </c>
      <c r="T1056" s="2">
        <v>42392</v>
      </c>
      <c r="U1056" s="2">
        <v>42452</v>
      </c>
      <c r="V1056" t="s">
        <v>71</v>
      </c>
      <c r="W1056" t="str">
        <f>"            16008084"</f>
        <v xml:space="preserve">            16008084</v>
      </c>
      <c r="X1056">
        <v>188.76</v>
      </c>
      <c r="Y1056">
        <v>0</v>
      </c>
      <c r="Z1056" s="3">
        <v>181.5</v>
      </c>
      <c r="AA1056">
        <v>240</v>
      </c>
      <c r="AB1056" s="5">
        <v>43560</v>
      </c>
      <c r="AC1056">
        <v>181.5</v>
      </c>
      <c r="AD1056">
        <v>240</v>
      </c>
      <c r="AE1056" s="1">
        <v>43560</v>
      </c>
      <c r="AF1056">
        <v>0</v>
      </c>
      <c r="AJ1056">
        <v>0</v>
      </c>
      <c r="AK1056">
        <v>0</v>
      </c>
      <c r="AL1056">
        <v>0</v>
      </c>
      <c r="AM1056">
        <v>188.76</v>
      </c>
      <c r="AN1056">
        <v>188.76</v>
      </c>
      <c r="AO1056">
        <v>188.76</v>
      </c>
      <c r="AP1056" s="2">
        <v>42746</v>
      </c>
      <c r="AQ1056" t="s">
        <v>72</v>
      </c>
      <c r="AR1056" t="s">
        <v>72</v>
      </c>
      <c r="AS1056">
        <v>3177</v>
      </c>
      <c r="AT1056" s="4">
        <v>42692</v>
      </c>
      <c r="AU1056" t="s">
        <v>73</v>
      </c>
      <c r="AV1056">
        <v>3177</v>
      </c>
      <c r="AW1056" s="4">
        <v>42692</v>
      </c>
      <c r="BD1056">
        <v>0</v>
      </c>
      <c r="BN1056" t="s">
        <v>74</v>
      </c>
    </row>
    <row r="1057" spans="1:66">
      <c r="A1057">
        <v>100210</v>
      </c>
      <c r="B1057" s="3" t="s">
        <v>141</v>
      </c>
      <c r="C1057" s="1">
        <v>43300101</v>
      </c>
      <c r="D1057" t="s">
        <v>67</v>
      </c>
      <c r="H1057" t="str">
        <f t="shared" ref="H1057:I1076" si="88">"08082461008"</f>
        <v>08082461008</v>
      </c>
      <c r="I1057" t="str">
        <f t="shared" si="88"/>
        <v>08082461008</v>
      </c>
      <c r="K1057" t="str">
        <f>""</f>
        <v/>
      </c>
      <c r="M1057" t="s">
        <v>68</v>
      </c>
      <c r="N1057" t="str">
        <f t="shared" si="85"/>
        <v>FOR</v>
      </c>
      <c r="O1057" t="s">
        <v>69</v>
      </c>
      <c r="P1057" s="3" t="s">
        <v>75</v>
      </c>
      <c r="Q1057">
        <v>2016</v>
      </c>
      <c r="R1057" s="2">
        <v>42391</v>
      </c>
      <c r="S1057" s="2">
        <v>42395</v>
      </c>
      <c r="T1057" s="2">
        <v>42392</v>
      </c>
      <c r="U1057" s="2">
        <v>42452</v>
      </c>
      <c r="V1057" t="s">
        <v>71</v>
      </c>
      <c r="W1057" t="str">
        <f>"            16008185"</f>
        <v xml:space="preserve">            16008185</v>
      </c>
      <c r="X1057">
        <v>391.25</v>
      </c>
      <c r="Y1057">
        <v>0</v>
      </c>
      <c r="Z1057" s="3">
        <v>376.2</v>
      </c>
      <c r="AA1057">
        <v>240</v>
      </c>
      <c r="AB1057" s="5">
        <v>90288</v>
      </c>
      <c r="AC1057">
        <v>376.2</v>
      </c>
      <c r="AD1057">
        <v>240</v>
      </c>
      <c r="AE1057" s="1">
        <v>90288</v>
      </c>
      <c r="AF1057">
        <v>0</v>
      </c>
      <c r="AJ1057">
        <v>0</v>
      </c>
      <c r="AK1057">
        <v>0</v>
      </c>
      <c r="AL1057">
        <v>0</v>
      </c>
      <c r="AM1057">
        <v>391.25</v>
      </c>
      <c r="AN1057">
        <v>391.25</v>
      </c>
      <c r="AO1057">
        <v>391.25</v>
      </c>
      <c r="AP1057" s="2">
        <v>42746</v>
      </c>
      <c r="AQ1057" t="s">
        <v>72</v>
      </c>
      <c r="AR1057" t="s">
        <v>72</v>
      </c>
      <c r="AS1057">
        <v>3177</v>
      </c>
      <c r="AT1057" s="4">
        <v>42692</v>
      </c>
      <c r="AU1057" t="s">
        <v>73</v>
      </c>
      <c r="AV1057">
        <v>3177</v>
      </c>
      <c r="AW1057" s="4">
        <v>42692</v>
      </c>
      <c r="BD1057">
        <v>0</v>
      </c>
      <c r="BN1057" t="s">
        <v>74</v>
      </c>
    </row>
    <row r="1058" spans="1:66">
      <c r="A1058">
        <v>100210</v>
      </c>
      <c r="B1058" s="3" t="s">
        <v>141</v>
      </c>
      <c r="C1058" s="1">
        <v>43300101</v>
      </c>
      <c r="D1058" t="s">
        <v>67</v>
      </c>
      <c r="H1058" t="str">
        <f t="shared" si="88"/>
        <v>08082461008</v>
      </c>
      <c r="I1058" t="str">
        <f t="shared" si="88"/>
        <v>08082461008</v>
      </c>
      <c r="K1058" t="str">
        <f>""</f>
        <v/>
      </c>
      <c r="M1058" t="s">
        <v>68</v>
      </c>
      <c r="N1058" t="str">
        <f t="shared" si="85"/>
        <v>FOR</v>
      </c>
      <c r="O1058" t="s">
        <v>69</v>
      </c>
      <c r="P1058" s="3" t="s">
        <v>75</v>
      </c>
      <c r="Q1058">
        <v>2016</v>
      </c>
      <c r="R1058" s="2">
        <v>42395</v>
      </c>
      <c r="S1058" s="2">
        <v>42396</v>
      </c>
      <c r="T1058" s="2">
        <v>42395</v>
      </c>
      <c r="U1058" s="2">
        <v>42455</v>
      </c>
      <c r="V1058" t="s">
        <v>71</v>
      </c>
      <c r="W1058" t="str">
        <f>"            16010020"</f>
        <v xml:space="preserve">            16010020</v>
      </c>
      <c r="X1058">
        <v>123.85</v>
      </c>
      <c r="Y1058">
        <v>0</v>
      </c>
      <c r="Z1058" s="3">
        <v>101.52</v>
      </c>
      <c r="AA1058">
        <v>237</v>
      </c>
      <c r="AB1058" s="5">
        <v>24060.240000000002</v>
      </c>
      <c r="AC1058">
        <v>101.52</v>
      </c>
      <c r="AD1058">
        <v>237</v>
      </c>
      <c r="AE1058" s="1">
        <v>24060.240000000002</v>
      </c>
      <c r="AF1058">
        <v>0</v>
      </c>
      <c r="AJ1058">
        <v>0</v>
      </c>
      <c r="AK1058">
        <v>0</v>
      </c>
      <c r="AL1058">
        <v>0</v>
      </c>
      <c r="AM1058">
        <v>123.85</v>
      </c>
      <c r="AN1058">
        <v>123.85</v>
      </c>
      <c r="AO1058">
        <v>123.85</v>
      </c>
      <c r="AP1058" s="2">
        <v>42746</v>
      </c>
      <c r="AQ1058" t="s">
        <v>72</v>
      </c>
      <c r="AR1058" t="s">
        <v>72</v>
      </c>
      <c r="AS1058">
        <v>3177</v>
      </c>
      <c r="AT1058" s="4">
        <v>42692</v>
      </c>
      <c r="AU1058" t="s">
        <v>73</v>
      </c>
      <c r="AV1058">
        <v>3177</v>
      </c>
      <c r="AW1058" s="4">
        <v>42692</v>
      </c>
      <c r="BD1058">
        <v>0</v>
      </c>
      <c r="BN1058" t="s">
        <v>74</v>
      </c>
    </row>
    <row r="1059" spans="1:66">
      <c r="A1059">
        <v>100210</v>
      </c>
      <c r="B1059" s="3" t="s">
        <v>141</v>
      </c>
      <c r="C1059" s="1">
        <v>43300101</v>
      </c>
      <c r="D1059" t="s">
        <v>67</v>
      </c>
      <c r="H1059" t="str">
        <f t="shared" si="88"/>
        <v>08082461008</v>
      </c>
      <c r="I1059" t="str">
        <f t="shared" si="88"/>
        <v>08082461008</v>
      </c>
      <c r="K1059" t="str">
        <f>""</f>
        <v/>
      </c>
      <c r="M1059" t="s">
        <v>68</v>
      </c>
      <c r="N1059" t="str">
        <f t="shared" si="85"/>
        <v>FOR</v>
      </c>
      <c r="O1059" t="s">
        <v>69</v>
      </c>
      <c r="P1059" s="3" t="s">
        <v>75</v>
      </c>
      <c r="Q1059">
        <v>2016</v>
      </c>
      <c r="R1059" s="2">
        <v>42395</v>
      </c>
      <c r="S1059" s="2">
        <v>42396</v>
      </c>
      <c r="T1059" s="2">
        <v>42395</v>
      </c>
      <c r="U1059" s="2">
        <v>42455</v>
      </c>
      <c r="V1059" t="s">
        <v>71</v>
      </c>
      <c r="W1059" t="str">
        <f>"            16010286"</f>
        <v xml:space="preserve">            16010286</v>
      </c>
      <c r="X1059" s="1">
        <v>3640.53</v>
      </c>
      <c r="Y1059">
        <v>0</v>
      </c>
      <c r="Z1059" s="5">
        <v>2984.04</v>
      </c>
      <c r="AA1059">
        <v>237</v>
      </c>
      <c r="AB1059" s="5">
        <v>707217.48</v>
      </c>
      <c r="AC1059" s="1">
        <v>2984.04</v>
      </c>
      <c r="AD1059">
        <v>237</v>
      </c>
      <c r="AE1059" s="1">
        <v>707217.48</v>
      </c>
      <c r="AF1059">
        <v>0</v>
      </c>
      <c r="AJ1059">
        <v>0</v>
      </c>
      <c r="AK1059">
        <v>0</v>
      </c>
      <c r="AL1059">
        <v>0</v>
      </c>
      <c r="AM1059" s="1">
        <v>3640.53</v>
      </c>
      <c r="AN1059" s="1">
        <v>3640.53</v>
      </c>
      <c r="AO1059" s="1">
        <v>3640.53</v>
      </c>
      <c r="AP1059" s="2">
        <v>42746</v>
      </c>
      <c r="AQ1059" t="s">
        <v>72</v>
      </c>
      <c r="AR1059" t="s">
        <v>72</v>
      </c>
      <c r="AS1059">
        <v>3177</v>
      </c>
      <c r="AT1059" s="4">
        <v>42692</v>
      </c>
      <c r="AU1059" t="s">
        <v>73</v>
      </c>
      <c r="AV1059">
        <v>3177</v>
      </c>
      <c r="AW1059" s="4">
        <v>42692</v>
      </c>
      <c r="BD1059">
        <v>0</v>
      </c>
      <c r="BN1059" t="s">
        <v>74</v>
      </c>
    </row>
    <row r="1060" spans="1:66">
      <c r="A1060">
        <v>100210</v>
      </c>
      <c r="B1060" s="3" t="s">
        <v>141</v>
      </c>
      <c r="C1060" s="1">
        <v>43300101</v>
      </c>
      <c r="D1060" t="s">
        <v>67</v>
      </c>
      <c r="H1060" t="str">
        <f t="shared" si="88"/>
        <v>08082461008</v>
      </c>
      <c r="I1060" t="str">
        <f t="shared" si="88"/>
        <v>08082461008</v>
      </c>
      <c r="K1060" t="str">
        <f>""</f>
        <v/>
      </c>
      <c r="M1060" t="s">
        <v>68</v>
      </c>
      <c r="N1060" t="str">
        <f t="shared" si="85"/>
        <v>FOR</v>
      </c>
      <c r="O1060" t="s">
        <v>69</v>
      </c>
      <c r="P1060" s="3" t="s">
        <v>75</v>
      </c>
      <c r="Q1060">
        <v>2016</v>
      </c>
      <c r="R1060" s="2">
        <v>42395</v>
      </c>
      <c r="S1060" s="2">
        <v>42396</v>
      </c>
      <c r="T1060" s="2">
        <v>42395</v>
      </c>
      <c r="U1060" s="2">
        <v>42455</v>
      </c>
      <c r="V1060" t="s">
        <v>71</v>
      </c>
      <c r="W1060" t="str">
        <f>"            16010287"</f>
        <v xml:space="preserve">            16010287</v>
      </c>
      <c r="X1060" s="1">
        <v>4427.57</v>
      </c>
      <c r="Y1060">
        <v>0</v>
      </c>
      <c r="Z1060" s="5">
        <v>3629.16</v>
      </c>
      <c r="AA1060">
        <v>237</v>
      </c>
      <c r="AB1060" s="5">
        <v>860110.92</v>
      </c>
      <c r="AC1060" s="1">
        <v>3629.16</v>
      </c>
      <c r="AD1060">
        <v>237</v>
      </c>
      <c r="AE1060" s="1">
        <v>860110.92</v>
      </c>
      <c r="AF1060">
        <v>0</v>
      </c>
      <c r="AJ1060">
        <v>0</v>
      </c>
      <c r="AK1060">
        <v>0</v>
      </c>
      <c r="AL1060">
        <v>0</v>
      </c>
      <c r="AM1060" s="1">
        <v>4427.57</v>
      </c>
      <c r="AN1060" s="1">
        <v>4427.57</v>
      </c>
      <c r="AO1060" s="1">
        <v>4427.57</v>
      </c>
      <c r="AP1060" s="2">
        <v>42746</v>
      </c>
      <c r="AQ1060" t="s">
        <v>72</v>
      </c>
      <c r="AR1060" t="s">
        <v>72</v>
      </c>
      <c r="AS1060">
        <v>3177</v>
      </c>
      <c r="AT1060" s="4">
        <v>42692</v>
      </c>
      <c r="AU1060" t="s">
        <v>73</v>
      </c>
      <c r="AV1060">
        <v>3177</v>
      </c>
      <c r="AW1060" s="4">
        <v>42692</v>
      </c>
      <c r="BD1060">
        <v>0</v>
      </c>
      <c r="BN1060" t="s">
        <v>74</v>
      </c>
    </row>
    <row r="1061" spans="1:66">
      <c r="A1061">
        <v>100210</v>
      </c>
      <c r="B1061" s="3" t="s">
        <v>141</v>
      </c>
      <c r="C1061" s="1">
        <v>43300101</v>
      </c>
      <c r="D1061" t="s">
        <v>67</v>
      </c>
      <c r="H1061" t="str">
        <f t="shared" si="88"/>
        <v>08082461008</v>
      </c>
      <c r="I1061" t="str">
        <f t="shared" si="88"/>
        <v>08082461008</v>
      </c>
      <c r="K1061" t="str">
        <f>""</f>
        <v/>
      </c>
      <c r="M1061" t="s">
        <v>68</v>
      </c>
      <c r="N1061" t="str">
        <f t="shared" si="85"/>
        <v>FOR</v>
      </c>
      <c r="O1061" t="s">
        <v>69</v>
      </c>
      <c r="P1061" s="3" t="s">
        <v>75</v>
      </c>
      <c r="Q1061">
        <v>2016</v>
      </c>
      <c r="R1061" s="2">
        <v>42396</v>
      </c>
      <c r="S1061" s="2">
        <v>42401</v>
      </c>
      <c r="T1061" s="2">
        <v>42397</v>
      </c>
      <c r="U1061" s="2">
        <v>42457</v>
      </c>
      <c r="V1061" t="s">
        <v>71</v>
      </c>
      <c r="W1061" t="str">
        <f>"            16011148"</f>
        <v xml:space="preserve">            16011148</v>
      </c>
      <c r="X1061" s="1">
        <v>2284.9299999999998</v>
      </c>
      <c r="Y1061">
        <v>0</v>
      </c>
      <c r="Z1061" s="5">
        <v>1872.9</v>
      </c>
      <c r="AA1061">
        <v>235</v>
      </c>
      <c r="AB1061" s="5">
        <v>440131.5</v>
      </c>
      <c r="AC1061" s="1">
        <v>1872.9</v>
      </c>
      <c r="AD1061">
        <v>235</v>
      </c>
      <c r="AE1061" s="1">
        <v>440131.5</v>
      </c>
      <c r="AF1061">
        <v>0</v>
      </c>
      <c r="AJ1061">
        <v>0</v>
      </c>
      <c r="AK1061">
        <v>0</v>
      </c>
      <c r="AL1061">
        <v>0</v>
      </c>
      <c r="AM1061" s="1">
        <v>2284.9299999999998</v>
      </c>
      <c r="AN1061" s="1">
        <v>2284.9299999999998</v>
      </c>
      <c r="AO1061" s="1">
        <v>2284.9299999999998</v>
      </c>
      <c r="AP1061" s="2">
        <v>42746</v>
      </c>
      <c r="AQ1061" t="s">
        <v>72</v>
      </c>
      <c r="AR1061" t="s">
        <v>72</v>
      </c>
      <c r="AS1061">
        <v>3177</v>
      </c>
      <c r="AT1061" s="4">
        <v>42692</v>
      </c>
      <c r="AU1061" t="s">
        <v>73</v>
      </c>
      <c r="AV1061">
        <v>3177</v>
      </c>
      <c r="AW1061" s="4">
        <v>42692</v>
      </c>
      <c r="BD1061">
        <v>0</v>
      </c>
      <c r="BN1061" t="s">
        <v>74</v>
      </c>
    </row>
    <row r="1062" spans="1:66">
      <c r="A1062">
        <v>100210</v>
      </c>
      <c r="B1062" s="3" t="s">
        <v>141</v>
      </c>
      <c r="C1062" s="1">
        <v>43300101</v>
      </c>
      <c r="D1062" t="s">
        <v>67</v>
      </c>
      <c r="H1062" t="str">
        <f t="shared" si="88"/>
        <v>08082461008</v>
      </c>
      <c r="I1062" t="str">
        <f t="shared" si="88"/>
        <v>08082461008</v>
      </c>
      <c r="K1062" t="str">
        <f>""</f>
        <v/>
      </c>
      <c r="M1062" t="s">
        <v>68</v>
      </c>
      <c r="N1062" t="str">
        <f t="shared" si="85"/>
        <v>FOR</v>
      </c>
      <c r="O1062" t="s">
        <v>69</v>
      </c>
      <c r="P1062" s="3" t="s">
        <v>75</v>
      </c>
      <c r="Q1062">
        <v>2016</v>
      </c>
      <c r="R1062" s="2">
        <v>42397</v>
      </c>
      <c r="S1062" s="2">
        <v>42401</v>
      </c>
      <c r="T1062" s="2">
        <v>42397</v>
      </c>
      <c r="U1062" s="2">
        <v>42457</v>
      </c>
      <c r="V1062" t="s">
        <v>71</v>
      </c>
      <c r="W1062" t="str">
        <f>"            16011960"</f>
        <v xml:space="preserve">            16011960</v>
      </c>
      <c r="X1062" s="1">
        <v>4392</v>
      </c>
      <c r="Y1062">
        <v>0</v>
      </c>
      <c r="Z1062" s="5">
        <v>3600</v>
      </c>
      <c r="AA1062">
        <v>235</v>
      </c>
      <c r="AB1062" s="5">
        <v>846000</v>
      </c>
      <c r="AC1062" s="1">
        <v>3600</v>
      </c>
      <c r="AD1062">
        <v>235</v>
      </c>
      <c r="AE1062" s="1">
        <v>846000</v>
      </c>
      <c r="AF1062">
        <v>0</v>
      </c>
      <c r="AJ1062">
        <v>0</v>
      </c>
      <c r="AK1062">
        <v>0</v>
      </c>
      <c r="AL1062">
        <v>0</v>
      </c>
      <c r="AM1062" s="1">
        <v>4392</v>
      </c>
      <c r="AN1062" s="1">
        <v>4392</v>
      </c>
      <c r="AO1062" s="1">
        <v>4392</v>
      </c>
      <c r="AP1062" s="2">
        <v>42746</v>
      </c>
      <c r="AQ1062" t="s">
        <v>72</v>
      </c>
      <c r="AR1062" t="s">
        <v>72</v>
      </c>
      <c r="AS1062">
        <v>3177</v>
      </c>
      <c r="AT1062" s="4">
        <v>42692</v>
      </c>
      <c r="AU1062" t="s">
        <v>73</v>
      </c>
      <c r="AV1062">
        <v>3177</v>
      </c>
      <c r="AW1062" s="4">
        <v>42692</v>
      </c>
      <c r="BD1062">
        <v>0</v>
      </c>
      <c r="BN1062" t="s">
        <v>74</v>
      </c>
    </row>
    <row r="1063" spans="1:66">
      <c r="A1063">
        <v>100210</v>
      </c>
      <c r="B1063" s="3" t="s">
        <v>141</v>
      </c>
      <c r="C1063" s="1">
        <v>43300101</v>
      </c>
      <c r="D1063" t="s">
        <v>67</v>
      </c>
      <c r="H1063" t="str">
        <f t="shared" si="88"/>
        <v>08082461008</v>
      </c>
      <c r="I1063" t="str">
        <f t="shared" si="88"/>
        <v>08082461008</v>
      </c>
      <c r="K1063" t="str">
        <f>""</f>
        <v/>
      </c>
      <c r="M1063" t="s">
        <v>68</v>
      </c>
      <c r="N1063" t="str">
        <f t="shared" si="85"/>
        <v>FOR</v>
      </c>
      <c r="O1063" t="s">
        <v>69</v>
      </c>
      <c r="P1063" s="3" t="s">
        <v>75</v>
      </c>
      <c r="Q1063">
        <v>2016</v>
      </c>
      <c r="R1063" s="2">
        <v>42397</v>
      </c>
      <c r="S1063" s="2">
        <v>42401</v>
      </c>
      <c r="T1063" s="2">
        <v>42397</v>
      </c>
      <c r="U1063" s="2">
        <v>42457</v>
      </c>
      <c r="V1063" t="s">
        <v>71</v>
      </c>
      <c r="W1063" t="str">
        <f>"            16012328"</f>
        <v xml:space="preserve">            16012328</v>
      </c>
      <c r="X1063" s="1">
        <v>5202.33</v>
      </c>
      <c r="Y1063">
        <v>0</v>
      </c>
      <c r="Z1063" s="5">
        <v>4264.2</v>
      </c>
      <c r="AA1063">
        <v>235</v>
      </c>
      <c r="AB1063" s="5">
        <v>1002087</v>
      </c>
      <c r="AC1063" s="1">
        <v>4264.2</v>
      </c>
      <c r="AD1063">
        <v>235</v>
      </c>
      <c r="AE1063" s="1">
        <v>1002087</v>
      </c>
      <c r="AF1063">
        <v>0</v>
      </c>
      <c r="AJ1063">
        <v>0</v>
      </c>
      <c r="AK1063">
        <v>0</v>
      </c>
      <c r="AL1063">
        <v>0</v>
      </c>
      <c r="AM1063" s="1">
        <v>5202.33</v>
      </c>
      <c r="AN1063" s="1">
        <v>5202.33</v>
      </c>
      <c r="AO1063" s="1">
        <v>5202.33</v>
      </c>
      <c r="AP1063" s="2">
        <v>42746</v>
      </c>
      <c r="AQ1063" t="s">
        <v>72</v>
      </c>
      <c r="AR1063" t="s">
        <v>72</v>
      </c>
      <c r="AS1063">
        <v>3177</v>
      </c>
      <c r="AT1063" s="4">
        <v>42692</v>
      </c>
      <c r="AU1063" t="s">
        <v>73</v>
      </c>
      <c r="AV1063">
        <v>3177</v>
      </c>
      <c r="AW1063" s="4">
        <v>42692</v>
      </c>
      <c r="BD1063">
        <v>0</v>
      </c>
      <c r="BN1063" t="s">
        <v>74</v>
      </c>
    </row>
    <row r="1064" spans="1:66">
      <c r="A1064">
        <v>100210</v>
      </c>
      <c r="B1064" s="3" t="s">
        <v>141</v>
      </c>
      <c r="C1064" s="1">
        <v>43300101</v>
      </c>
      <c r="D1064" t="s">
        <v>67</v>
      </c>
      <c r="H1064" t="str">
        <f t="shared" si="88"/>
        <v>08082461008</v>
      </c>
      <c r="I1064" t="str">
        <f t="shared" si="88"/>
        <v>08082461008</v>
      </c>
      <c r="K1064" t="str">
        <f>""</f>
        <v/>
      </c>
      <c r="M1064" t="s">
        <v>68</v>
      </c>
      <c r="N1064" t="str">
        <f t="shared" si="85"/>
        <v>FOR</v>
      </c>
      <c r="O1064" t="s">
        <v>69</v>
      </c>
      <c r="P1064" s="3" t="s">
        <v>75</v>
      </c>
      <c r="Q1064">
        <v>2016</v>
      </c>
      <c r="R1064" s="2">
        <v>42397</v>
      </c>
      <c r="S1064" s="2">
        <v>42401</v>
      </c>
      <c r="T1064" s="2">
        <v>42397</v>
      </c>
      <c r="U1064" s="2">
        <v>42457</v>
      </c>
      <c r="V1064" t="s">
        <v>71</v>
      </c>
      <c r="W1064" t="str">
        <f>"            16012330"</f>
        <v xml:space="preserve">            16012330</v>
      </c>
      <c r="X1064">
        <v>546.04</v>
      </c>
      <c r="Y1064">
        <v>0</v>
      </c>
      <c r="Z1064" s="3">
        <v>447.57</v>
      </c>
      <c r="AA1064">
        <v>235</v>
      </c>
      <c r="AB1064" s="5">
        <v>105178.95</v>
      </c>
      <c r="AC1064">
        <v>447.57</v>
      </c>
      <c r="AD1064">
        <v>235</v>
      </c>
      <c r="AE1064" s="1">
        <v>105178.95</v>
      </c>
      <c r="AF1064">
        <v>0</v>
      </c>
      <c r="AJ1064">
        <v>0</v>
      </c>
      <c r="AK1064">
        <v>0</v>
      </c>
      <c r="AL1064">
        <v>0</v>
      </c>
      <c r="AM1064">
        <v>546.04</v>
      </c>
      <c r="AN1064">
        <v>546.04</v>
      </c>
      <c r="AO1064">
        <v>546.04</v>
      </c>
      <c r="AP1064" s="2">
        <v>42746</v>
      </c>
      <c r="AQ1064" t="s">
        <v>72</v>
      </c>
      <c r="AR1064" t="s">
        <v>72</v>
      </c>
      <c r="AS1064">
        <v>3177</v>
      </c>
      <c r="AT1064" s="4">
        <v>42692</v>
      </c>
      <c r="AU1064" t="s">
        <v>73</v>
      </c>
      <c r="AV1064">
        <v>3177</v>
      </c>
      <c r="AW1064" s="4">
        <v>42692</v>
      </c>
      <c r="BD1064">
        <v>0</v>
      </c>
      <c r="BN1064" t="s">
        <v>74</v>
      </c>
    </row>
    <row r="1065" spans="1:66">
      <c r="A1065">
        <v>100210</v>
      </c>
      <c r="B1065" s="3" t="s">
        <v>141</v>
      </c>
      <c r="C1065" s="1">
        <v>43300101</v>
      </c>
      <c r="D1065" t="s">
        <v>67</v>
      </c>
      <c r="H1065" t="str">
        <f t="shared" si="88"/>
        <v>08082461008</v>
      </c>
      <c r="I1065" t="str">
        <f t="shared" si="88"/>
        <v>08082461008</v>
      </c>
      <c r="K1065" t="str">
        <f>""</f>
        <v/>
      </c>
      <c r="M1065" t="s">
        <v>68</v>
      </c>
      <c r="N1065" t="str">
        <f t="shared" si="85"/>
        <v>FOR</v>
      </c>
      <c r="O1065" t="s">
        <v>69</v>
      </c>
      <c r="P1065" s="3" t="s">
        <v>75</v>
      </c>
      <c r="Q1065">
        <v>2016</v>
      </c>
      <c r="R1065" s="2">
        <v>42397</v>
      </c>
      <c r="S1065" s="2">
        <v>42401</v>
      </c>
      <c r="T1065" s="2">
        <v>42397</v>
      </c>
      <c r="U1065" s="2">
        <v>42457</v>
      </c>
      <c r="V1065" t="s">
        <v>71</v>
      </c>
      <c r="W1065" t="str">
        <f>"            16012346"</f>
        <v xml:space="preserve">            16012346</v>
      </c>
      <c r="X1065" s="1">
        <v>7524.96</v>
      </c>
      <c r="Y1065">
        <v>0</v>
      </c>
      <c r="Z1065" s="5">
        <v>6168</v>
      </c>
      <c r="AA1065">
        <v>235</v>
      </c>
      <c r="AB1065" s="5">
        <v>1449480</v>
      </c>
      <c r="AC1065" s="1">
        <v>6168</v>
      </c>
      <c r="AD1065">
        <v>235</v>
      </c>
      <c r="AE1065" s="1">
        <v>1449480</v>
      </c>
      <c r="AF1065">
        <v>0</v>
      </c>
      <c r="AJ1065">
        <v>0</v>
      </c>
      <c r="AK1065">
        <v>0</v>
      </c>
      <c r="AL1065">
        <v>0</v>
      </c>
      <c r="AM1065" s="1">
        <v>7524.96</v>
      </c>
      <c r="AN1065" s="1">
        <v>7524.96</v>
      </c>
      <c r="AO1065" s="1">
        <v>7524.96</v>
      </c>
      <c r="AP1065" s="2">
        <v>42746</v>
      </c>
      <c r="AQ1065" t="s">
        <v>72</v>
      </c>
      <c r="AR1065" t="s">
        <v>72</v>
      </c>
      <c r="AS1065">
        <v>3177</v>
      </c>
      <c r="AT1065" s="4">
        <v>42692</v>
      </c>
      <c r="AU1065" t="s">
        <v>73</v>
      </c>
      <c r="AV1065">
        <v>3177</v>
      </c>
      <c r="AW1065" s="4">
        <v>42692</v>
      </c>
      <c r="BD1065">
        <v>0</v>
      </c>
      <c r="BN1065" t="s">
        <v>74</v>
      </c>
    </row>
    <row r="1066" spans="1:66">
      <c r="A1066">
        <v>100210</v>
      </c>
      <c r="B1066" s="3" t="s">
        <v>141</v>
      </c>
      <c r="C1066" s="1">
        <v>43300101</v>
      </c>
      <c r="D1066" t="s">
        <v>67</v>
      </c>
      <c r="H1066" t="str">
        <f t="shared" si="88"/>
        <v>08082461008</v>
      </c>
      <c r="I1066" t="str">
        <f t="shared" si="88"/>
        <v>08082461008</v>
      </c>
      <c r="K1066" t="str">
        <f>""</f>
        <v/>
      </c>
      <c r="M1066" t="s">
        <v>68</v>
      </c>
      <c r="N1066" t="str">
        <f t="shared" si="85"/>
        <v>FOR</v>
      </c>
      <c r="O1066" t="s">
        <v>69</v>
      </c>
      <c r="P1066" s="3" t="s">
        <v>75</v>
      </c>
      <c r="Q1066">
        <v>2016</v>
      </c>
      <c r="R1066" s="2">
        <v>42398</v>
      </c>
      <c r="S1066" s="2">
        <v>42399</v>
      </c>
      <c r="T1066" s="2">
        <v>42398</v>
      </c>
      <c r="U1066" s="2">
        <v>42458</v>
      </c>
      <c r="V1066" t="s">
        <v>71</v>
      </c>
      <c r="W1066" t="str">
        <f>"            16013018"</f>
        <v xml:space="preserve">            16013018</v>
      </c>
      <c r="X1066">
        <v>743.7</v>
      </c>
      <c r="Y1066">
        <v>0</v>
      </c>
      <c r="Z1066" s="3">
        <v>609.6</v>
      </c>
      <c r="AA1066">
        <v>234</v>
      </c>
      <c r="AB1066" s="5">
        <v>142646.39999999999</v>
      </c>
      <c r="AC1066">
        <v>609.6</v>
      </c>
      <c r="AD1066">
        <v>234</v>
      </c>
      <c r="AE1066" s="1">
        <v>142646.39999999999</v>
      </c>
      <c r="AF1066">
        <v>0</v>
      </c>
      <c r="AJ1066">
        <v>0</v>
      </c>
      <c r="AK1066">
        <v>0</v>
      </c>
      <c r="AL1066">
        <v>0</v>
      </c>
      <c r="AM1066">
        <v>743.7</v>
      </c>
      <c r="AN1066">
        <v>743.7</v>
      </c>
      <c r="AO1066">
        <v>743.7</v>
      </c>
      <c r="AP1066" s="2">
        <v>42746</v>
      </c>
      <c r="AQ1066" t="s">
        <v>72</v>
      </c>
      <c r="AR1066" t="s">
        <v>72</v>
      </c>
      <c r="AS1066">
        <v>3177</v>
      </c>
      <c r="AT1066" s="4">
        <v>42692</v>
      </c>
      <c r="AU1066" t="s">
        <v>73</v>
      </c>
      <c r="AV1066">
        <v>3177</v>
      </c>
      <c r="AW1066" s="4">
        <v>42692</v>
      </c>
      <c r="BD1066">
        <v>0</v>
      </c>
      <c r="BN1066" t="s">
        <v>74</v>
      </c>
    </row>
    <row r="1067" spans="1:66">
      <c r="A1067">
        <v>100210</v>
      </c>
      <c r="B1067" s="3" t="s">
        <v>141</v>
      </c>
      <c r="C1067" s="1">
        <v>43300101</v>
      </c>
      <c r="D1067" t="s">
        <v>67</v>
      </c>
      <c r="H1067" t="str">
        <f t="shared" si="88"/>
        <v>08082461008</v>
      </c>
      <c r="I1067" t="str">
        <f t="shared" si="88"/>
        <v>08082461008</v>
      </c>
      <c r="K1067" t="str">
        <f>""</f>
        <v/>
      </c>
      <c r="M1067" t="s">
        <v>68</v>
      </c>
      <c r="N1067" t="str">
        <f t="shared" si="85"/>
        <v>FOR</v>
      </c>
      <c r="O1067" t="s">
        <v>69</v>
      </c>
      <c r="P1067" s="3" t="s">
        <v>75</v>
      </c>
      <c r="Q1067">
        <v>2016</v>
      </c>
      <c r="R1067" s="2">
        <v>42398</v>
      </c>
      <c r="S1067" s="2">
        <v>42399</v>
      </c>
      <c r="T1067" s="2">
        <v>42399</v>
      </c>
      <c r="U1067" s="2">
        <v>42459</v>
      </c>
      <c r="V1067" t="s">
        <v>71</v>
      </c>
      <c r="W1067" t="str">
        <f>"            16013105"</f>
        <v xml:space="preserve">            16013105</v>
      </c>
      <c r="X1067" s="1">
        <v>14932.8</v>
      </c>
      <c r="Y1067">
        <v>0</v>
      </c>
      <c r="Z1067" s="5">
        <v>12240</v>
      </c>
      <c r="AA1067">
        <v>233</v>
      </c>
      <c r="AB1067" s="5">
        <v>2851920</v>
      </c>
      <c r="AC1067" s="1">
        <v>12240</v>
      </c>
      <c r="AD1067">
        <v>233</v>
      </c>
      <c r="AE1067" s="1">
        <v>2851920</v>
      </c>
      <c r="AF1067">
        <v>0</v>
      </c>
      <c r="AJ1067">
        <v>0</v>
      </c>
      <c r="AK1067">
        <v>0</v>
      </c>
      <c r="AL1067">
        <v>0</v>
      </c>
      <c r="AM1067" s="1">
        <v>14932.8</v>
      </c>
      <c r="AN1067" s="1">
        <v>14932.8</v>
      </c>
      <c r="AO1067" s="1">
        <v>14932.8</v>
      </c>
      <c r="AP1067" s="2">
        <v>42746</v>
      </c>
      <c r="AQ1067" t="s">
        <v>72</v>
      </c>
      <c r="AR1067" t="s">
        <v>72</v>
      </c>
      <c r="AS1067">
        <v>3177</v>
      </c>
      <c r="AT1067" s="4">
        <v>42692</v>
      </c>
      <c r="AU1067" t="s">
        <v>73</v>
      </c>
      <c r="AV1067">
        <v>3177</v>
      </c>
      <c r="AW1067" s="4">
        <v>42692</v>
      </c>
      <c r="BD1067">
        <v>0</v>
      </c>
      <c r="BN1067" t="s">
        <v>74</v>
      </c>
    </row>
    <row r="1068" spans="1:66">
      <c r="A1068">
        <v>100210</v>
      </c>
      <c r="B1068" s="3" t="s">
        <v>141</v>
      </c>
      <c r="C1068" s="1">
        <v>43300101</v>
      </c>
      <c r="D1068" t="s">
        <v>67</v>
      </c>
      <c r="H1068" t="str">
        <f t="shared" si="88"/>
        <v>08082461008</v>
      </c>
      <c r="I1068" t="str">
        <f t="shared" si="88"/>
        <v>08082461008</v>
      </c>
      <c r="K1068" t="str">
        <f>""</f>
        <v/>
      </c>
      <c r="M1068" t="s">
        <v>68</v>
      </c>
      <c r="N1068" t="str">
        <f t="shared" si="85"/>
        <v>FOR</v>
      </c>
      <c r="O1068" t="s">
        <v>69</v>
      </c>
      <c r="P1068" s="3" t="s">
        <v>75</v>
      </c>
      <c r="Q1068">
        <v>2016</v>
      </c>
      <c r="R1068" s="2">
        <v>42401</v>
      </c>
      <c r="S1068" s="2">
        <v>42403</v>
      </c>
      <c r="T1068" s="2">
        <v>42401</v>
      </c>
      <c r="U1068" s="2">
        <v>42461</v>
      </c>
      <c r="V1068" t="s">
        <v>71</v>
      </c>
      <c r="W1068" t="str">
        <f>"            16013724"</f>
        <v xml:space="preserve">            16013724</v>
      </c>
      <c r="X1068">
        <v>185.93</v>
      </c>
      <c r="Y1068">
        <v>0</v>
      </c>
      <c r="Z1068" s="3">
        <v>152.4</v>
      </c>
      <c r="AA1068">
        <v>259</v>
      </c>
      <c r="AB1068" s="5">
        <v>39471.599999999999</v>
      </c>
      <c r="AC1068">
        <v>152.4</v>
      </c>
      <c r="AD1068">
        <v>259</v>
      </c>
      <c r="AE1068" s="1">
        <v>39471.599999999999</v>
      </c>
      <c r="AF1068">
        <v>33.53</v>
      </c>
      <c r="AJ1068">
        <v>0</v>
      </c>
      <c r="AK1068">
        <v>0</v>
      </c>
      <c r="AL1068">
        <v>0</v>
      </c>
      <c r="AM1068">
        <v>185.93</v>
      </c>
      <c r="AN1068">
        <v>185.93</v>
      </c>
      <c r="AO1068">
        <v>185.93</v>
      </c>
      <c r="AP1068" s="2">
        <v>42746</v>
      </c>
      <c r="AQ1068" t="s">
        <v>72</v>
      </c>
      <c r="AR1068" t="s">
        <v>72</v>
      </c>
      <c r="AS1068">
        <v>3545</v>
      </c>
      <c r="AT1068" s="4">
        <v>42720</v>
      </c>
      <c r="AU1068" t="s">
        <v>73</v>
      </c>
      <c r="AV1068">
        <v>3545</v>
      </c>
      <c r="AW1068" s="4">
        <v>42720</v>
      </c>
      <c r="BD1068">
        <v>33.53</v>
      </c>
      <c r="BN1068" t="s">
        <v>74</v>
      </c>
    </row>
    <row r="1069" spans="1:66">
      <c r="A1069">
        <v>100210</v>
      </c>
      <c r="B1069" s="3" t="s">
        <v>141</v>
      </c>
      <c r="C1069" s="1">
        <v>43300101</v>
      </c>
      <c r="D1069" t="s">
        <v>67</v>
      </c>
      <c r="H1069" t="str">
        <f t="shared" si="88"/>
        <v>08082461008</v>
      </c>
      <c r="I1069" t="str">
        <f t="shared" si="88"/>
        <v>08082461008</v>
      </c>
      <c r="K1069" t="str">
        <f>""</f>
        <v/>
      </c>
      <c r="M1069" t="s">
        <v>68</v>
      </c>
      <c r="N1069" t="str">
        <f t="shared" si="85"/>
        <v>FOR</v>
      </c>
      <c r="O1069" t="s">
        <v>69</v>
      </c>
      <c r="P1069" s="3" t="s">
        <v>75</v>
      </c>
      <c r="Q1069">
        <v>2016</v>
      </c>
      <c r="R1069" s="2">
        <v>42402</v>
      </c>
      <c r="S1069" s="2">
        <v>42403</v>
      </c>
      <c r="T1069" s="2">
        <v>42403</v>
      </c>
      <c r="U1069" s="2">
        <v>42463</v>
      </c>
      <c r="V1069" t="s">
        <v>71</v>
      </c>
      <c r="W1069" t="str">
        <f>"            16014400"</f>
        <v xml:space="preserve">            16014400</v>
      </c>
      <c r="X1069">
        <v>644.79999999999995</v>
      </c>
      <c r="Y1069">
        <v>0</v>
      </c>
      <c r="Z1069" s="3">
        <v>620</v>
      </c>
      <c r="AA1069">
        <v>257</v>
      </c>
      <c r="AB1069" s="5">
        <v>159340</v>
      </c>
      <c r="AC1069">
        <v>620</v>
      </c>
      <c r="AD1069">
        <v>257</v>
      </c>
      <c r="AE1069" s="1">
        <v>159340</v>
      </c>
      <c r="AF1069">
        <v>24.8</v>
      </c>
      <c r="AJ1069">
        <v>0</v>
      </c>
      <c r="AK1069">
        <v>0</v>
      </c>
      <c r="AL1069">
        <v>0</v>
      </c>
      <c r="AM1069">
        <v>644.79999999999995</v>
      </c>
      <c r="AN1069">
        <v>644.79999999999995</v>
      </c>
      <c r="AO1069">
        <v>644.79999999999995</v>
      </c>
      <c r="AP1069" s="2">
        <v>42746</v>
      </c>
      <c r="AQ1069" t="s">
        <v>72</v>
      </c>
      <c r="AR1069" t="s">
        <v>72</v>
      </c>
      <c r="AS1069">
        <v>3545</v>
      </c>
      <c r="AT1069" s="4">
        <v>42720</v>
      </c>
      <c r="AU1069" t="s">
        <v>73</v>
      </c>
      <c r="AV1069">
        <v>3545</v>
      </c>
      <c r="AW1069" s="4">
        <v>42720</v>
      </c>
      <c r="BD1069">
        <v>24.8</v>
      </c>
      <c r="BN1069" t="s">
        <v>74</v>
      </c>
    </row>
    <row r="1070" spans="1:66">
      <c r="A1070">
        <v>100210</v>
      </c>
      <c r="B1070" s="3" t="s">
        <v>141</v>
      </c>
      <c r="C1070" s="1">
        <v>43300101</v>
      </c>
      <c r="D1070" t="s">
        <v>67</v>
      </c>
      <c r="H1070" t="str">
        <f t="shared" si="88"/>
        <v>08082461008</v>
      </c>
      <c r="I1070" t="str">
        <f t="shared" si="88"/>
        <v>08082461008</v>
      </c>
      <c r="K1070" t="str">
        <f>""</f>
        <v/>
      </c>
      <c r="M1070" t="s">
        <v>68</v>
      </c>
      <c r="N1070" t="str">
        <f t="shared" ref="N1070:N1133" si="89">"FOR"</f>
        <v>FOR</v>
      </c>
      <c r="O1070" t="s">
        <v>69</v>
      </c>
      <c r="P1070" s="3" t="s">
        <v>75</v>
      </c>
      <c r="Q1070">
        <v>2016</v>
      </c>
      <c r="R1070" s="2">
        <v>42402</v>
      </c>
      <c r="S1070" s="2">
        <v>42403</v>
      </c>
      <c r="T1070" s="2">
        <v>42403</v>
      </c>
      <c r="U1070" s="2">
        <v>42463</v>
      </c>
      <c r="V1070" t="s">
        <v>71</v>
      </c>
      <c r="W1070" t="str">
        <f>"            16014401"</f>
        <v xml:space="preserve">            16014401</v>
      </c>
      <c r="X1070">
        <v>644.79999999999995</v>
      </c>
      <c r="Y1070">
        <v>0</v>
      </c>
      <c r="Z1070" s="3">
        <v>620</v>
      </c>
      <c r="AA1070">
        <v>257</v>
      </c>
      <c r="AB1070" s="5">
        <v>159340</v>
      </c>
      <c r="AC1070">
        <v>620</v>
      </c>
      <c r="AD1070">
        <v>257</v>
      </c>
      <c r="AE1070" s="1">
        <v>159340</v>
      </c>
      <c r="AF1070">
        <v>24.8</v>
      </c>
      <c r="AJ1070">
        <v>0</v>
      </c>
      <c r="AK1070">
        <v>0</v>
      </c>
      <c r="AL1070">
        <v>0</v>
      </c>
      <c r="AM1070">
        <v>644.79999999999995</v>
      </c>
      <c r="AN1070">
        <v>644.79999999999995</v>
      </c>
      <c r="AO1070">
        <v>644.79999999999995</v>
      </c>
      <c r="AP1070" s="2">
        <v>42746</v>
      </c>
      <c r="AQ1070" t="s">
        <v>72</v>
      </c>
      <c r="AR1070" t="s">
        <v>72</v>
      </c>
      <c r="AS1070">
        <v>3545</v>
      </c>
      <c r="AT1070" s="4">
        <v>42720</v>
      </c>
      <c r="AU1070" t="s">
        <v>73</v>
      </c>
      <c r="AV1070">
        <v>3545</v>
      </c>
      <c r="AW1070" s="4">
        <v>42720</v>
      </c>
      <c r="BD1070">
        <v>24.8</v>
      </c>
      <c r="BN1070" t="s">
        <v>74</v>
      </c>
    </row>
    <row r="1071" spans="1:66">
      <c r="A1071">
        <v>100210</v>
      </c>
      <c r="B1071" s="3" t="s">
        <v>141</v>
      </c>
      <c r="C1071" s="1">
        <v>43300101</v>
      </c>
      <c r="D1071" t="s">
        <v>67</v>
      </c>
      <c r="H1071" t="str">
        <f t="shared" si="88"/>
        <v>08082461008</v>
      </c>
      <c r="I1071" t="str">
        <f t="shared" si="88"/>
        <v>08082461008</v>
      </c>
      <c r="K1071" t="str">
        <f>""</f>
        <v/>
      </c>
      <c r="M1071" t="s">
        <v>68</v>
      </c>
      <c r="N1071" t="str">
        <f t="shared" si="89"/>
        <v>FOR</v>
      </c>
      <c r="O1071" t="s">
        <v>69</v>
      </c>
      <c r="P1071" s="3" t="s">
        <v>75</v>
      </c>
      <c r="Q1071">
        <v>2016</v>
      </c>
      <c r="R1071" s="2">
        <v>42402</v>
      </c>
      <c r="S1071" s="2">
        <v>42403</v>
      </c>
      <c r="T1071" s="2">
        <v>42403</v>
      </c>
      <c r="U1071" s="2">
        <v>42463</v>
      </c>
      <c r="V1071" t="s">
        <v>71</v>
      </c>
      <c r="W1071" t="str">
        <f>"            16014402"</f>
        <v xml:space="preserve">            16014402</v>
      </c>
      <c r="X1071">
        <v>644.79999999999995</v>
      </c>
      <c r="Y1071">
        <v>0</v>
      </c>
      <c r="Z1071" s="3">
        <v>620</v>
      </c>
      <c r="AA1071">
        <v>257</v>
      </c>
      <c r="AB1071" s="5">
        <v>159340</v>
      </c>
      <c r="AC1071">
        <v>620</v>
      </c>
      <c r="AD1071">
        <v>257</v>
      </c>
      <c r="AE1071" s="1">
        <v>159340</v>
      </c>
      <c r="AF1071">
        <v>24.8</v>
      </c>
      <c r="AJ1071">
        <v>0</v>
      </c>
      <c r="AK1071">
        <v>0</v>
      </c>
      <c r="AL1071">
        <v>0</v>
      </c>
      <c r="AM1071">
        <v>644.79999999999995</v>
      </c>
      <c r="AN1071">
        <v>644.79999999999995</v>
      </c>
      <c r="AO1071">
        <v>644.79999999999995</v>
      </c>
      <c r="AP1071" s="2">
        <v>42746</v>
      </c>
      <c r="AQ1071" t="s">
        <v>72</v>
      </c>
      <c r="AR1071" t="s">
        <v>72</v>
      </c>
      <c r="AS1071">
        <v>3545</v>
      </c>
      <c r="AT1071" s="4">
        <v>42720</v>
      </c>
      <c r="AU1071" t="s">
        <v>73</v>
      </c>
      <c r="AV1071">
        <v>3545</v>
      </c>
      <c r="AW1071" s="4">
        <v>42720</v>
      </c>
      <c r="BD1071">
        <v>24.8</v>
      </c>
      <c r="BN1071" t="s">
        <v>74</v>
      </c>
    </row>
    <row r="1072" spans="1:66">
      <c r="A1072">
        <v>100210</v>
      </c>
      <c r="B1072" s="3" t="s">
        <v>141</v>
      </c>
      <c r="C1072" s="1">
        <v>43300101</v>
      </c>
      <c r="D1072" t="s">
        <v>67</v>
      </c>
      <c r="H1072" t="str">
        <f t="shared" si="88"/>
        <v>08082461008</v>
      </c>
      <c r="I1072" t="str">
        <f t="shared" si="88"/>
        <v>08082461008</v>
      </c>
      <c r="K1072" t="str">
        <f>""</f>
        <v/>
      </c>
      <c r="M1072" t="s">
        <v>68</v>
      </c>
      <c r="N1072" t="str">
        <f t="shared" si="89"/>
        <v>FOR</v>
      </c>
      <c r="O1072" t="s">
        <v>69</v>
      </c>
      <c r="P1072" s="3" t="s">
        <v>75</v>
      </c>
      <c r="Q1072">
        <v>2016</v>
      </c>
      <c r="R1072" s="2">
        <v>42403</v>
      </c>
      <c r="S1072" s="2">
        <v>42410</v>
      </c>
      <c r="T1072" s="2">
        <v>42404</v>
      </c>
      <c r="U1072" s="2">
        <v>42464</v>
      </c>
      <c r="V1072" t="s">
        <v>71</v>
      </c>
      <c r="W1072" t="str">
        <f>"            16015197"</f>
        <v xml:space="preserve">            16015197</v>
      </c>
      <c r="X1072">
        <v>237.9</v>
      </c>
      <c r="Y1072">
        <v>0</v>
      </c>
      <c r="Z1072" s="3">
        <v>195</v>
      </c>
      <c r="AA1072">
        <v>256</v>
      </c>
      <c r="AB1072" s="5">
        <v>49920</v>
      </c>
      <c r="AC1072">
        <v>195</v>
      </c>
      <c r="AD1072">
        <v>256</v>
      </c>
      <c r="AE1072" s="1">
        <v>49920</v>
      </c>
      <c r="AF1072">
        <v>42.9</v>
      </c>
      <c r="AJ1072">
        <v>0</v>
      </c>
      <c r="AK1072">
        <v>0</v>
      </c>
      <c r="AL1072">
        <v>0</v>
      </c>
      <c r="AM1072">
        <v>237.9</v>
      </c>
      <c r="AN1072">
        <v>237.9</v>
      </c>
      <c r="AO1072">
        <v>237.9</v>
      </c>
      <c r="AP1072" s="2">
        <v>42746</v>
      </c>
      <c r="AQ1072" t="s">
        <v>72</v>
      </c>
      <c r="AR1072" t="s">
        <v>72</v>
      </c>
      <c r="AS1072">
        <v>3545</v>
      </c>
      <c r="AT1072" s="4">
        <v>42720</v>
      </c>
      <c r="AU1072" t="s">
        <v>73</v>
      </c>
      <c r="AV1072">
        <v>3545</v>
      </c>
      <c r="AW1072" s="4">
        <v>42720</v>
      </c>
      <c r="BD1072">
        <v>42.9</v>
      </c>
      <c r="BN1072" t="s">
        <v>74</v>
      </c>
    </row>
    <row r="1073" spans="1:66">
      <c r="A1073">
        <v>100210</v>
      </c>
      <c r="B1073" s="3" t="s">
        <v>141</v>
      </c>
      <c r="C1073" s="1">
        <v>43300101</v>
      </c>
      <c r="D1073" t="s">
        <v>67</v>
      </c>
      <c r="H1073" t="str">
        <f t="shared" si="88"/>
        <v>08082461008</v>
      </c>
      <c r="I1073" t="str">
        <f t="shared" si="88"/>
        <v>08082461008</v>
      </c>
      <c r="K1073" t="str">
        <f>""</f>
        <v/>
      </c>
      <c r="M1073" t="s">
        <v>68</v>
      </c>
      <c r="N1073" t="str">
        <f t="shared" si="89"/>
        <v>FOR</v>
      </c>
      <c r="O1073" t="s">
        <v>69</v>
      </c>
      <c r="P1073" s="3" t="s">
        <v>75</v>
      </c>
      <c r="Q1073">
        <v>2016</v>
      </c>
      <c r="R1073" s="2">
        <v>42403</v>
      </c>
      <c r="S1073" s="2">
        <v>42410</v>
      </c>
      <c r="T1073" s="2">
        <v>42404</v>
      </c>
      <c r="U1073" s="2">
        <v>42464</v>
      </c>
      <c r="V1073" t="s">
        <v>71</v>
      </c>
      <c r="W1073" t="str">
        <f>"            16015198"</f>
        <v xml:space="preserve">            16015198</v>
      </c>
      <c r="X1073" s="1">
        <v>2622.88</v>
      </c>
      <c r="Y1073">
        <v>0</v>
      </c>
      <c r="Z1073" s="5">
        <v>2522</v>
      </c>
      <c r="AA1073">
        <v>256</v>
      </c>
      <c r="AB1073" s="5">
        <v>645632</v>
      </c>
      <c r="AC1073" s="1">
        <v>2522</v>
      </c>
      <c r="AD1073">
        <v>256</v>
      </c>
      <c r="AE1073" s="1">
        <v>645632</v>
      </c>
      <c r="AF1073">
        <v>100.88</v>
      </c>
      <c r="AJ1073">
        <v>0</v>
      </c>
      <c r="AK1073">
        <v>0</v>
      </c>
      <c r="AL1073">
        <v>0</v>
      </c>
      <c r="AM1073" s="1">
        <v>2622.88</v>
      </c>
      <c r="AN1073" s="1">
        <v>2622.88</v>
      </c>
      <c r="AO1073" s="1">
        <v>2622.88</v>
      </c>
      <c r="AP1073" s="2">
        <v>42746</v>
      </c>
      <c r="AQ1073" t="s">
        <v>72</v>
      </c>
      <c r="AR1073" t="s">
        <v>72</v>
      </c>
      <c r="AS1073">
        <v>3545</v>
      </c>
      <c r="AT1073" s="4">
        <v>42720</v>
      </c>
      <c r="AU1073" t="s">
        <v>73</v>
      </c>
      <c r="AV1073">
        <v>3545</v>
      </c>
      <c r="AW1073" s="4">
        <v>42720</v>
      </c>
      <c r="BD1073">
        <v>100.88</v>
      </c>
      <c r="BN1073" t="s">
        <v>74</v>
      </c>
    </row>
    <row r="1074" spans="1:66">
      <c r="A1074">
        <v>100210</v>
      </c>
      <c r="B1074" s="3" t="s">
        <v>141</v>
      </c>
      <c r="C1074" s="1">
        <v>43300101</v>
      </c>
      <c r="D1074" t="s">
        <v>67</v>
      </c>
      <c r="H1074" t="str">
        <f t="shared" si="88"/>
        <v>08082461008</v>
      </c>
      <c r="I1074" t="str">
        <f t="shared" si="88"/>
        <v>08082461008</v>
      </c>
      <c r="K1074" t="str">
        <f>""</f>
        <v/>
      </c>
      <c r="M1074" t="s">
        <v>68</v>
      </c>
      <c r="N1074" t="str">
        <f t="shared" si="89"/>
        <v>FOR</v>
      </c>
      <c r="O1074" t="s">
        <v>69</v>
      </c>
      <c r="P1074" s="3" t="s">
        <v>75</v>
      </c>
      <c r="Q1074">
        <v>2016</v>
      </c>
      <c r="R1074" s="2">
        <v>42403</v>
      </c>
      <c r="S1074" s="2">
        <v>42410</v>
      </c>
      <c r="T1074" s="2">
        <v>42404</v>
      </c>
      <c r="U1074" s="2">
        <v>42464</v>
      </c>
      <c r="V1074" t="s">
        <v>71</v>
      </c>
      <c r="W1074" t="str">
        <f>"            16015262"</f>
        <v xml:space="preserve">            16015262</v>
      </c>
      <c r="X1074" s="1">
        <v>1251.28</v>
      </c>
      <c r="Y1074">
        <v>0</v>
      </c>
      <c r="Z1074" s="5">
        <v>1025.6400000000001</v>
      </c>
      <c r="AA1074">
        <v>256</v>
      </c>
      <c r="AB1074" s="5">
        <v>262563.84000000003</v>
      </c>
      <c r="AC1074" s="1">
        <v>1025.6400000000001</v>
      </c>
      <c r="AD1074">
        <v>256</v>
      </c>
      <c r="AE1074" s="1">
        <v>262563.84000000003</v>
      </c>
      <c r="AF1074">
        <v>225.64</v>
      </c>
      <c r="AJ1074">
        <v>0</v>
      </c>
      <c r="AK1074">
        <v>0</v>
      </c>
      <c r="AL1074">
        <v>0</v>
      </c>
      <c r="AM1074" s="1">
        <v>1251.28</v>
      </c>
      <c r="AN1074" s="1">
        <v>1251.28</v>
      </c>
      <c r="AO1074" s="1">
        <v>1251.28</v>
      </c>
      <c r="AP1074" s="2">
        <v>42746</v>
      </c>
      <c r="AQ1074" t="s">
        <v>72</v>
      </c>
      <c r="AR1074" t="s">
        <v>72</v>
      </c>
      <c r="AS1074">
        <v>3545</v>
      </c>
      <c r="AT1074" s="4">
        <v>42720</v>
      </c>
      <c r="AU1074" t="s">
        <v>73</v>
      </c>
      <c r="AV1074">
        <v>3545</v>
      </c>
      <c r="AW1074" s="4">
        <v>42720</v>
      </c>
      <c r="BD1074">
        <v>225.64</v>
      </c>
      <c r="BN1074" t="s">
        <v>74</v>
      </c>
    </row>
    <row r="1075" spans="1:66">
      <c r="A1075">
        <v>100210</v>
      </c>
      <c r="B1075" s="3" t="s">
        <v>141</v>
      </c>
      <c r="C1075" s="1">
        <v>43300101</v>
      </c>
      <c r="D1075" t="s">
        <v>67</v>
      </c>
      <c r="H1075" t="str">
        <f t="shared" si="88"/>
        <v>08082461008</v>
      </c>
      <c r="I1075" t="str">
        <f t="shared" si="88"/>
        <v>08082461008</v>
      </c>
      <c r="K1075" t="str">
        <f>""</f>
        <v/>
      </c>
      <c r="M1075" t="s">
        <v>68</v>
      </c>
      <c r="N1075" t="str">
        <f t="shared" si="89"/>
        <v>FOR</v>
      </c>
      <c r="O1075" t="s">
        <v>69</v>
      </c>
      <c r="P1075" s="3" t="s">
        <v>75</v>
      </c>
      <c r="Q1075">
        <v>2016</v>
      </c>
      <c r="R1075" s="2">
        <v>42404</v>
      </c>
      <c r="S1075" s="2">
        <v>42410</v>
      </c>
      <c r="T1075" s="2">
        <v>42405</v>
      </c>
      <c r="U1075" s="2">
        <v>42465</v>
      </c>
      <c r="V1075" t="s">
        <v>71</v>
      </c>
      <c r="W1075" t="str">
        <f>"            16015978"</f>
        <v xml:space="preserve">            16015978</v>
      </c>
      <c r="X1075" s="1">
        <v>4560.3599999999997</v>
      </c>
      <c r="Y1075">
        <v>0</v>
      </c>
      <c r="Z1075" s="5">
        <v>3738</v>
      </c>
      <c r="AA1075">
        <v>255</v>
      </c>
      <c r="AB1075" s="5">
        <v>953190</v>
      </c>
      <c r="AC1075" s="1">
        <v>3738</v>
      </c>
      <c r="AD1075">
        <v>255</v>
      </c>
      <c r="AE1075" s="1">
        <v>953190</v>
      </c>
      <c r="AF1075">
        <v>822.36</v>
      </c>
      <c r="AJ1075">
        <v>0</v>
      </c>
      <c r="AK1075">
        <v>0</v>
      </c>
      <c r="AL1075">
        <v>0</v>
      </c>
      <c r="AM1075" s="1">
        <v>4560.3599999999997</v>
      </c>
      <c r="AN1075" s="1">
        <v>4560.3599999999997</v>
      </c>
      <c r="AO1075" s="1">
        <v>4560.3599999999997</v>
      </c>
      <c r="AP1075" s="2">
        <v>42746</v>
      </c>
      <c r="AQ1075" t="s">
        <v>72</v>
      </c>
      <c r="AR1075" t="s">
        <v>72</v>
      </c>
      <c r="AS1075">
        <v>3545</v>
      </c>
      <c r="AT1075" s="4">
        <v>42720</v>
      </c>
      <c r="AU1075" t="s">
        <v>73</v>
      </c>
      <c r="AV1075">
        <v>3545</v>
      </c>
      <c r="AW1075" s="4">
        <v>42720</v>
      </c>
      <c r="BD1075">
        <v>822.36</v>
      </c>
      <c r="BN1075" t="s">
        <v>74</v>
      </c>
    </row>
    <row r="1076" spans="1:66">
      <c r="A1076">
        <v>100210</v>
      </c>
      <c r="B1076" s="3" t="s">
        <v>141</v>
      </c>
      <c r="C1076" s="1">
        <v>43300101</v>
      </c>
      <c r="D1076" t="s">
        <v>67</v>
      </c>
      <c r="H1076" t="str">
        <f t="shared" si="88"/>
        <v>08082461008</v>
      </c>
      <c r="I1076" t="str">
        <f t="shared" si="88"/>
        <v>08082461008</v>
      </c>
      <c r="K1076" t="str">
        <f>""</f>
        <v/>
      </c>
      <c r="M1076" t="s">
        <v>68</v>
      </c>
      <c r="N1076" t="str">
        <f t="shared" si="89"/>
        <v>FOR</v>
      </c>
      <c r="O1076" t="s">
        <v>69</v>
      </c>
      <c r="P1076" s="3" t="s">
        <v>75</v>
      </c>
      <c r="Q1076">
        <v>2016</v>
      </c>
      <c r="R1076" s="2">
        <v>42404</v>
      </c>
      <c r="S1076" s="2">
        <v>42410</v>
      </c>
      <c r="T1076" s="2">
        <v>42405</v>
      </c>
      <c r="U1076" s="2">
        <v>42465</v>
      </c>
      <c r="V1076" t="s">
        <v>71</v>
      </c>
      <c r="W1076" t="str">
        <f>"            16015981"</f>
        <v xml:space="preserve">            16015981</v>
      </c>
      <c r="X1076">
        <v>139.66999999999999</v>
      </c>
      <c r="Y1076">
        <v>0</v>
      </c>
      <c r="Z1076" s="3">
        <v>114.48</v>
      </c>
      <c r="AA1076">
        <v>255</v>
      </c>
      <c r="AB1076" s="5">
        <v>29192.400000000001</v>
      </c>
      <c r="AC1076">
        <v>114.48</v>
      </c>
      <c r="AD1076">
        <v>255</v>
      </c>
      <c r="AE1076" s="1">
        <v>29192.400000000001</v>
      </c>
      <c r="AF1076">
        <v>25.19</v>
      </c>
      <c r="AJ1076">
        <v>0</v>
      </c>
      <c r="AK1076">
        <v>0</v>
      </c>
      <c r="AL1076">
        <v>0</v>
      </c>
      <c r="AM1076">
        <v>139.66999999999999</v>
      </c>
      <c r="AN1076">
        <v>139.66999999999999</v>
      </c>
      <c r="AO1076">
        <v>139.66999999999999</v>
      </c>
      <c r="AP1076" s="2">
        <v>42746</v>
      </c>
      <c r="AQ1076" t="s">
        <v>72</v>
      </c>
      <c r="AR1076" t="s">
        <v>72</v>
      </c>
      <c r="AS1076">
        <v>3545</v>
      </c>
      <c r="AT1076" s="4">
        <v>42720</v>
      </c>
      <c r="AU1076" t="s">
        <v>73</v>
      </c>
      <c r="AV1076">
        <v>3545</v>
      </c>
      <c r="AW1076" s="4">
        <v>42720</v>
      </c>
      <c r="BD1076">
        <v>25.19</v>
      </c>
      <c r="BN1076" t="s">
        <v>74</v>
      </c>
    </row>
    <row r="1077" spans="1:66">
      <c r="A1077">
        <v>100210</v>
      </c>
      <c r="B1077" s="3" t="s">
        <v>141</v>
      </c>
      <c r="C1077" s="1">
        <v>43300101</v>
      </c>
      <c r="D1077" t="s">
        <v>67</v>
      </c>
      <c r="H1077" t="str">
        <f t="shared" ref="H1077:I1096" si="90">"08082461008"</f>
        <v>08082461008</v>
      </c>
      <c r="I1077" t="str">
        <f t="shared" si="90"/>
        <v>08082461008</v>
      </c>
      <c r="K1077" t="str">
        <f>""</f>
        <v/>
      </c>
      <c r="M1077" t="s">
        <v>68</v>
      </c>
      <c r="N1077" t="str">
        <f t="shared" si="89"/>
        <v>FOR</v>
      </c>
      <c r="O1077" t="s">
        <v>69</v>
      </c>
      <c r="P1077" s="3" t="s">
        <v>75</v>
      </c>
      <c r="Q1077">
        <v>2016</v>
      </c>
      <c r="R1077" s="2">
        <v>42405</v>
      </c>
      <c r="S1077" s="2">
        <v>42410</v>
      </c>
      <c r="T1077" s="2">
        <v>42406</v>
      </c>
      <c r="U1077" s="2">
        <v>42466</v>
      </c>
      <c r="V1077" t="s">
        <v>71</v>
      </c>
      <c r="W1077" t="str">
        <f>"            16016552"</f>
        <v xml:space="preserve">            16016552</v>
      </c>
      <c r="X1077">
        <v>341.26</v>
      </c>
      <c r="Y1077">
        <v>0</v>
      </c>
      <c r="Z1077" s="3">
        <v>279.72000000000003</v>
      </c>
      <c r="AA1077">
        <v>254</v>
      </c>
      <c r="AB1077" s="5">
        <v>71048.88</v>
      </c>
      <c r="AC1077">
        <v>279.72000000000003</v>
      </c>
      <c r="AD1077">
        <v>254</v>
      </c>
      <c r="AE1077" s="1">
        <v>71048.88</v>
      </c>
      <c r="AF1077">
        <v>61.54</v>
      </c>
      <c r="AJ1077">
        <v>0</v>
      </c>
      <c r="AK1077">
        <v>0</v>
      </c>
      <c r="AL1077">
        <v>0</v>
      </c>
      <c r="AM1077">
        <v>341.26</v>
      </c>
      <c r="AN1077">
        <v>341.26</v>
      </c>
      <c r="AO1077">
        <v>341.26</v>
      </c>
      <c r="AP1077" s="2">
        <v>42746</v>
      </c>
      <c r="AQ1077" t="s">
        <v>72</v>
      </c>
      <c r="AR1077" t="s">
        <v>72</v>
      </c>
      <c r="AS1077">
        <v>3545</v>
      </c>
      <c r="AT1077" s="4">
        <v>42720</v>
      </c>
      <c r="AU1077" t="s">
        <v>73</v>
      </c>
      <c r="AV1077">
        <v>3545</v>
      </c>
      <c r="AW1077" s="4">
        <v>42720</v>
      </c>
      <c r="BD1077">
        <v>61.54</v>
      </c>
      <c r="BN1077" t="s">
        <v>74</v>
      </c>
    </row>
    <row r="1078" spans="1:66">
      <c r="A1078">
        <v>100210</v>
      </c>
      <c r="B1078" s="3" t="s">
        <v>141</v>
      </c>
      <c r="C1078" s="1">
        <v>43300101</v>
      </c>
      <c r="D1078" t="s">
        <v>67</v>
      </c>
      <c r="H1078" t="str">
        <f t="shared" si="90"/>
        <v>08082461008</v>
      </c>
      <c r="I1078" t="str">
        <f t="shared" si="90"/>
        <v>08082461008</v>
      </c>
      <c r="K1078" t="str">
        <f>""</f>
        <v/>
      </c>
      <c r="M1078" t="s">
        <v>68</v>
      </c>
      <c r="N1078" t="str">
        <f t="shared" si="89"/>
        <v>FOR</v>
      </c>
      <c r="O1078" t="s">
        <v>69</v>
      </c>
      <c r="P1078" s="3" t="s">
        <v>75</v>
      </c>
      <c r="Q1078">
        <v>2016</v>
      </c>
      <c r="R1078" s="2">
        <v>42405</v>
      </c>
      <c r="S1078" s="2">
        <v>42410</v>
      </c>
      <c r="T1078" s="2">
        <v>42406</v>
      </c>
      <c r="U1078" s="2">
        <v>42466</v>
      </c>
      <c r="V1078" t="s">
        <v>71</v>
      </c>
      <c r="W1078" t="str">
        <f>"            16016854"</f>
        <v xml:space="preserve">            16016854</v>
      </c>
      <c r="X1078">
        <v>421.63</v>
      </c>
      <c r="Y1078">
        <v>0</v>
      </c>
      <c r="Z1078" s="3">
        <v>345.6</v>
      </c>
      <c r="AA1078">
        <v>254</v>
      </c>
      <c r="AB1078" s="5">
        <v>87782.399999999994</v>
      </c>
      <c r="AC1078">
        <v>345.6</v>
      </c>
      <c r="AD1078">
        <v>254</v>
      </c>
      <c r="AE1078" s="1">
        <v>87782.399999999994</v>
      </c>
      <c r="AF1078">
        <v>76.03</v>
      </c>
      <c r="AJ1078">
        <v>0</v>
      </c>
      <c r="AK1078">
        <v>0</v>
      </c>
      <c r="AL1078">
        <v>0</v>
      </c>
      <c r="AM1078">
        <v>421.63</v>
      </c>
      <c r="AN1078">
        <v>421.63</v>
      </c>
      <c r="AO1078">
        <v>421.63</v>
      </c>
      <c r="AP1078" s="2">
        <v>42746</v>
      </c>
      <c r="AQ1078" t="s">
        <v>72</v>
      </c>
      <c r="AR1078" t="s">
        <v>72</v>
      </c>
      <c r="AS1078">
        <v>3545</v>
      </c>
      <c r="AT1078" s="4">
        <v>42720</v>
      </c>
      <c r="AU1078" t="s">
        <v>73</v>
      </c>
      <c r="AV1078">
        <v>3545</v>
      </c>
      <c r="AW1078" s="4">
        <v>42720</v>
      </c>
      <c r="BD1078">
        <v>76.03</v>
      </c>
      <c r="BN1078" t="s">
        <v>74</v>
      </c>
    </row>
    <row r="1079" spans="1:66">
      <c r="A1079">
        <v>100210</v>
      </c>
      <c r="B1079" s="3" t="s">
        <v>141</v>
      </c>
      <c r="C1079" s="1">
        <v>43300101</v>
      </c>
      <c r="D1079" t="s">
        <v>67</v>
      </c>
      <c r="H1079" t="str">
        <f t="shared" si="90"/>
        <v>08082461008</v>
      </c>
      <c r="I1079" t="str">
        <f t="shared" si="90"/>
        <v>08082461008</v>
      </c>
      <c r="K1079" t="str">
        <f>""</f>
        <v/>
      </c>
      <c r="M1079" t="s">
        <v>68</v>
      </c>
      <c r="N1079" t="str">
        <f t="shared" si="89"/>
        <v>FOR</v>
      </c>
      <c r="O1079" t="s">
        <v>69</v>
      </c>
      <c r="P1079" s="3" t="s">
        <v>75</v>
      </c>
      <c r="Q1079">
        <v>2016</v>
      </c>
      <c r="R1079" s="2">
        <v>42411</v>
      </c>
      <c r="S1079" s="2">
        <v>42417</v>
      </c>
      <c r="T1079" s="2">
        <v>42412</v>
      </c>
      <c r="U1079" s="2">
        <v>42472</v>
      </c>
      <c r="V1079" t="s">
        <v>71</v>
      </c>
      <c r="W1079" t="str">
        <f>"            16020048"</f>
        <v xml:space="preserve">            16020048</v>
      </c>
      <c r="X1079" s="1">
        <v>4721.3999999999996</v>
      </c>
      <c r="Y1079">
        <v>0</v>
      </c>
      <c r="Z1079" s="5">
        <v>3870</v>
      </c>
      <c r="AA1079">
        <v>248</v>
      </c>
      <c r="AB1079" s="5">
        <v>959760</v>
      </c>
      <c r="AC1079" s="1">
        <v>3870</v>
      </c>
      <c r="AD1079">
        <v>248</v>
      </c>
      <c r="AE1079" s="1">
        <v>959760</v>
      </c>
      <c r="AF1079">
        <v>851.4</v>
      </c>
      <c r="AJ1079">
        <v>0</v>
      </c>
      <c r="AK1079">
        <v>0</v>
      </c>
      <c r="AL1079">
        <v>0</v>
      </c>
      <c r="AM1079" s="1">
        <v>4721.3999999999996</v>
      </c>
      <c r="AN1079" s="1">
        <v>4721.3999999999996</v>
      </c>
      <c r="AO1079" s="1">
        <v>4721.3999999999996</v>
      </c>
      <c r="AP1079" s="2">
        <v>42746</v>
      </c>
      <c r="AQ1079" t="s">
        <v>72</v>
      </c>
      <c r="AR1079" t="s">
        <v>72</v>
      </c>
      <c r="AS1079">
        <v>3545</v>
      </c>
      <c r="AT1079" s="4">
        <v>42720</v>
      </c>
      <c r="AU1079" t="s">
        <v>73</v>
      </c>
      <c r="AV1079">
        <v>3545</v>
      </c>
      <c r="AW1079" s="4">
        <v>42720</v>
      </c>
      <c r="BD1079">
        <v>851.4</v>
      </c>
      <c r="BN1079" t="s">
        <v>74</v>
      </c>
    </row>
    <row r="1080" spans="1:66">
      <c r="A1080">
        <v>100210</v>
      </c>
      <c r="B1080" s="3" t="s">
        <v>141</v>
      </c>
      <c r="C1080" s="1">
        <v>43300101</v>
      </c>
      <c r="D1080" t="s">
        <v>67</v>
      </c>
      <c r="H1080" t="str">
        <f t="shared" si="90"/>
        <v>08082461008</v>
      </c>
      <c r="I1080" t="str">
        <f t="shared" si="90"/>
        <v>08082461008</v>
      </c>
      <c r="K1080" t="str">
        <f>""</f>
        <v/>
      </c>
      <c r="M1080" t="s">
        <v>68</v>
      </c>
      <c r="N1080" t="str">
        <f t="shared" si="89"/>
        <v>FOR</v>
      </c>
      <c r="O1080" t="s">
        <v>69</v>
      </c>
      <c r="P1080" s="3" t="s">
        <v>75</v>
      </c>
      <c r="Q1080">
        <v>2016</v>
      </c>
      <c r="R1080" s="2">
        <v>42411</v>
      </c>
      <c r="S1080" s="2">
        <v>42417</v>
      </c>
      <c r="T1080" s="2">
        <v>42411</v>
      </c>
      <c r="U1080" s="2">
        <v>42471</v>
      </c>
      <c r="V1080" t="s">
        <v>71</v>
      </c>
      <c r="W1080" t="str">
        <f>"            16020050"</f>
        <v xml:space="preserve">            16020050</v>
      </c>
      <c r="X1080" s="1">
        <v>2343.38</v>
      </c>
      <c r="Y1080">
        <v>0</v>
      </c>
      <c r="Z1080" s="5">
        <v>1920.8</v>
      </c>
      <c r="AA1080">
        <v>249</v>
      </c>
      <c r="AB1080" s="5">
        <v>478279.2</v>
      </c>
      <c r="AC1080" s="1">
        <v>1920.8</v>
      </c>
      <c r="AD1080">
        <v>249</v>
      </c>
      <c r="AE1080" s="1">
        <v>478279.2</v>
      </c>
      <c r="AF1080">
        <v>422.58</v>
      </c>
      <c r="AJ1080">
        <v>0</v>
      </c>
      <c r="AK1080">
        <v>0</v>
      </c>
      <c r="AL1080">
        <v>0</v>
      </c>
      <c r="AM1080" s="1">
        <v>2343.38</v>
      </c>
      <c r="AN1080" s="1">
        <v>2343.38</v>
      </c>
      <c r="AO1080" s="1">
        <v>2343.38</v>
      </c>
      <c r="AP1080" s="2">
        <v>42746</v>
      </c>
      <c r="AQ1080" t="s">
        <v>72</v>
      </c>
      <c r="AR1080" t="s">
        <v>72</v>
      </c>
      <c r="AS1080">
        <v>3545</v>
      </c>
      <c r="AT1080" s="4">
        <v>42720</v>
      </c>
      <c r="AU1080" t="s">
        <v>73</v>
      </c>
      <c r="AV1080">
        <v>3545</v>
      </c>
      <c r="AW1080" s="4">
        <v>42720</v>
      </c>
      <c r="BD1080">
        <v>422.58</v>
      </c>
      <c r="BN1080" t="s">
        <v>74</v>
      </c>
    </row>
    <row r="1081" spans="1:66">
      <c r="A1081">
        <v>100210</v>
      </c>
      <c r="B1081" s="3" t="s">
        <v>141</v>
      </c>
      <c r="C1081" s="1">
        <v>43300101</v>
      </c>
      <c r="D1081" t="s">
        <v>67</v>
      </c>
      <c r="H1081" t="str">
        <f t="shared" si="90"/>
        <v>08082461008</v>
      </c>
      <c r="I1081" t="str">
        <f t="shared" si="90"/>
        <v>08082461008</v>
      </c>
      <c r="K1081" t="str">
        <f>""</f>
        <v/>
      </c>
      <c r="M1081" t="s">
        <v>68</v>
      </c>
      <c r="N1081" t="str">
        <f t="shared" si="89"/>
        <v>FOR</v>
      </c>
      <c r="O1081" t="s">
        <v>69</v>
      </c>
      <c r="P1081" s="3" t="s">
        <v>75</v>
      </c>
      <c r="Q1081">
        <v>2016</v>
      </c>
      <c r="R1081" s="2">
        <v>42412</v>
      </c>
      <c r="S1081" s="2">
        <v>42417</v>
      </c>
      <c r="T1081" s="2">
        <v>42413</v>
      </c>
      <c r="U1081" s="2">
        <v>42473</v>
      </c>
      <c r="V1081" t="s">
        <v>71</v>
      </c>
      <c r="W1081" t="str">
        <f>"            16020610"</f>
        <v xml:space="preserve">            16020610</v>
      </c>
      <c r="X1081">
        <v>671</v>
      </c>
      <c r="Y1081">
        <v>0</v>
      </c>
      <c r="Z1081" s="3">
        <v>550</v>
      </c>
      <c r="AA1081">
        <v>247</v>
      </c>
      <c r="AB1081" s="5">
        <v>135850</v>
      </c>
      <c r="AC1081">
        <v>550</v>
      </c>
      <c r="AD1081">
        <v>247</v>
      </c>
      <c r="AE1081" s="1">
        <v>135850</v>
      </c>
      <c r="AF1081">
        <v>121</v>
      </c>
      <c r="AJ1081">
        <v>0</v>
      </c>
      <c r="AK1081">
        <v>0</v>
      </c>
      <c r="AL1081">
        <v>0</v>
      </c>
      <c r="AM1081">
        <v>671</v>
      </c>
      <c r="AN1081">
        <v>671</v>
      </c>
      <c r="AO1081">
        <v>671</v>
      </c>
      <c r="AP1081" s="2">
        <v>42746</v>
      </c>
      <c r="AQ1081" t="s">
        <v>72</v>
      </c>
      <c r="AR1081" t="s">
        <v>72</v>
      </c>
      <c r="AS1081">
        <v>3545</v>
      </c>
      <c r="AT1081" s="4">
        <v>42720</v>
      </c>
      <c r="AU1081" t="s">
        <v>73</v>
      </c>
      <c r="AV1081">
        <v>3545</v>
      </c>
      <c r="AW1081" s="4">
        <v>42720</v>
      </c>
      <c r="BD1081">
        <v>121</v>
      </c>
      <c r="BN1081" t="s">
        <v>74</v>
      </c>
    </row>
    <row r="1082" spans="1:66">
      <c r="A1082">
        <v>100210</v>
      </c>
      <c r="B1082" s="3" t="s">
        <v>141</v>
      </c>
      <c r="C1082" s="1">
        <v>43300101</v>
      </c>
      <c r="D1082" t="s">
        <v>67</v>
      </c>
      <c r="H1082" t="str">
        <f t="shared" si="90"/>
        <v>08082461008</v>
      </c>
      <c r="I1082" t="str">
        <f t="shared" si="90"/>
        <v>08082461008</v>
      </c>
      <c r="K1082" t="str">
        <f>""</f>
        <v/>
      </c>
      <c r="M1082" t="s">
        <v>68</v>
      </c>
      <c r="N1082" t="str">
        <f t="shared" si="89"/>
        <v>FOR</v>
      </c>
      <c r="O1082" t="s">
        <v>69</v>
      </c>
      <c r="P1082" s="3" t="s">
        <v>75</v>
      </c>
      <c r="Q1082">
        <v>2016</v>
      </c>
      <c r="R1082" s="2">
        <v>42412</v>
      </c>
      <c r="S1082" s="2">
        <v>42417</v>
      </c>
      <c r="T1082" s="2">
        <v>42413</v>
      </c>
      <c r="U1082" s="2">
        <v>42473</v>
      </c>
      <c r="V1082" t="s">
        <v>71</v>
      </c>
      <c r="W1082" t="str">
        <f>"            16020632"</f>
        <v xml:space="preserve">            16020632</v>
      </c>
      <c r="X1082" s="1">
        <v>1447.61</v>
      </c>
      <c r="Y1082">
        <v>0</v>
      </c>
      <c r="Z1082" s="5">
        <v>1186.56</v>
      </c>
      <c r="AA1082">
        <v>247</v>
      </c>
      <c r="AB1082" s="5">
        <v>293080.32000000001</v>
      </c>
      <c r="AC1082" s="1">
        <v>1186.56</v>
      </c>
      <c r="AD1082">
        <v>247</v>
      </c>
      <c r="AE1082" s="1">
        <v>293080.32000000001</v>
      </c>
      <c r="AF1082">
        <v>261.05</v>
      </c>
      <c r="AJ1082">
        <v>0</v>
      </c>
      <c r="AK1082">
        <v>0</v>
      </c>
      <c r="AL1082">
        <v>0</v>
      </c>
      <c r="AM1082" s="1">
        <v>1447.61</v>
      </c>
      <c r="AN1082" s="1">
        <v>1447.61</v>
      </c>
      <c r="AO1082" s="1">
        <v>1447.61</v>
      </c>
      <c r="AP1082" s="2">
        <v>42746</v>
      </c>
      <c r="AQ1082" t="s">
        <v>72</v>
      </c>
      <c r="AR1082" t="s">
        <v>72</v>
      </c>
      <c r="AS1082">
        <v>3545</v>
      </c>
      <c r="AT1082" s="4">
        <v>42720</v>
      </c>
      <c r="AU1082" t="s">
        <v>73</v>
      </c>
      <c r="AV1082">
        <v>3545</v>
      </c>
      <c r="AW1082" s="4">
        <v>42720</v>
      </c>
      <c r="BD1082">
        <v>261.05</v>
      </c>
      <c r="BN1082" t="s">
        <v>74</v>
      </c>
    </row>
    <row r="1083" spans="1:66">
      <c r="A1083">
        <v>100210</v>
      </c>
      <c r="B1083" s="3" t="s">
        <v>141</v>
      </c>
      <c r="C1083" s="1">
        <v>43300101</v>
      </c>
      <c r="D1083" t="s">
        <v>67</v>
      </c>
      <c r="H1083" t="str">
        <f t="shared" si="90"/>
        <v>08082461008</v>
      </c>
      <c r="I1083" t="str">
        <f t="shared" si="90"/>
        <v>08082461008</v>
      </c>
      <c r="K1083" t="str">
        <f>""</f>
        <v/>
      </c>
      <c r="M1083" t="s">
        <v>68</v>
      </c>
      <c r="N1083" t="str">
        <f t="shared" si="89"/>
        <v>FOR</v>
      </c>
      <c r="O1083" t="s">
        <v>69</v>
      </c>
      <c r="P1083" s="3" t="s">
        <v>75</v>
      </c>
      <c r="Q1083">
        <v>2016</v>
      </c>
      <c r="R1083" s="2">
        <v>42415</v>
      </c>
      <c r="S1083" s="2">
        <v>42417</v>
      </c>
      <c r="T1083" s="2">
        <v>42415</v>
      </c>
      <c r="U1083" s="2">
        <v>42475</v>
      </c>
      <c r="V1083" t="s">
        <v>71</v>
      </c>
      <c r="W1083" t="str">
        <f>"            16021409"</f>
        <v xml:space="preserve">            16021409</v>
      </c>
      <c r="X1083" s="1">
        <v>5191.34</v>
      </c>
      <c r="Y1083">
        <v>0</v>
      </c>
      <c r="Z1083" s="5">
        <v>4255.2</v>
      </c>
      <c r="AA1083">
        <v>245</v>
      </c>
      <c r="AB1083" s="5">
        <v>1042524</v>
      </c>
      <c r="AC1083" s="1">
        <v>4255.2</v>
      </c>
      <c r="AD1083">
        <v>245</v>
      </c>
      <c r="AE1083" s="1">
        <v>1042524</v>
      </c>
      <c r="AF1083">
        <v>936.14</v>
      </c>
      <c r="AJ1083">
        <v>0</v>
      </c>
      <c r="AK1083">
        <v>0</v>
      </c>
      <c r="AL1083">
        <v>0</v>
      </c>
      <c r="AM1083" s="1">
        <v>5191.34</v>
      </c>
      <c r="AN1083" s="1">
        <v>5191.34</v>
      </c>
      <c r="AO1083" s="1">
        <v>5191.34</v>
      </c>
      <c r="AP1083" s="2">
        <v>42746</v>
      </c>
      <c r="AQ1083" t="s">
        <v>72</v>
      </c>
      <c r="AR1083" t="s">
        <v>72</v>
      </c>
      <c r="AS1083">
        <v>3545</v>
      </c>
      <c r="AT1083" s="4">
        <v>42720</v>
      </c>
      <c r="AU1083" t="s">
        <v>73</v>
      </c>
      <c r="AV1083">
        <v>3545</v>
      </c>
      <c r="AW1083" s="4">
        <v>42720</v>
      </c>
      <c r="BD1083">
        <v>936.14</v>
      </c>
      <c r="BN1083" t="s">
        <v>74</v>
      </c>
    </row>
    <row r="1084" spans="1:66">
      <c r="A1084">
        <v>100210</v>
      </c>
      <c r="B1084" s="3" t="s">
        <v>141</v>
      </c>
      <c r="C1084" s="1">
        <v>43300101</v>
      </c>
      <c r="D1084" t="s">
        <v>67</v>
      </c>
      <c r="H1084" t="str">
        <f t="shared" si="90"/>
        <v>08082461008</v>
      </c>
      <c r="I1084" t="str">
        <f t="shared" si="90"/>
        <v>08082461008</v>
      </c>
      <c r="K1084" t="str">
        <f>""</f>
        <v/>
      </c>
      <c r="M1084" t="s">
        <v>68</v>
      </c>
      <c r="N1084" t="str">
        <f t="shared" si="89"/>
        <v>FOR</v>
      </c>
      <c r="O1084" t="s">
        <v>69</v>
      </c>
      <c r="P1084" s="3" t="s">
        <v>75</v>
      </c>
      <c r="Q1084">
        <v>2016</v>
      </c>
      <c r="R1084" s="2">
        <v>42415</v>
      </c>
      <c r="S1084" s="2">
        <v>42417</v>
      </c>
      <c r="T1084" s="2">
        <v>42415</v>
      </c>
      <c r="U1084" s="2">
        <v>42475</v>
      </c>
      <c r="V1084" t="s">
        <v>71</v>
      </c>
      <c r="W1084" t="str">
        <f>"            16021435"</f>
        <v xml:space="preserve">            16021435</v>
      </c>
      <c r="X1084" s="1">
        <v>4589.6400000000003</v>
      </c>
      <c r="Y1084">
        <v>0</v>
      </c>
      <c r="Z1084" s="5">
        <v>3762</v>
      </c>
      <c r="AA1084">
        <v>245</v>
      </c>
      <c r="AB1084" s="5">
        <v>921690</v>
      </c>
      <c r="AC1084" s="1">
        <v>3762</v>
      </c>
      <c r="AD1084">
        <v>245</v>
      </c>
      <c r="AE1084" s="1">
        <v>921690</v>
      </c>
      <c r="AF1084">
        <v>827.64</v>
      </c>
      <c r="AJ1084">
        <v>0</v>
      </c>
      <c r="AK1084">
        <v>0</v>
      </c>
      <c r="AL1084">
        <v>0</v>
      </c>
      <c r="AM1084" s="1">
        <v>4589.6400000000003</v>
      </c>
      <c r="AN1084" s="1">
        <v>4589.6400000000003</v>
      </c>
      <c r="AO1084" s="1">
        <v>4589.6400000000003</v>
      </c>
      <c r="AP1084" s="2">
        <v>42746</v>
      </c>
      <c r="AQ1084" t="s">
        <v>72</v>
      </c>
      <c r="AR1084" t="s">
        <v>72</v>
      </c>
      <c r="AS1084">
        <v>3545</v>
      </c>
      <c r="AT1084" s="4">
        <v>42720</v>
      </c>
      <c r="AU1084" t="s">
        <v>73</v>
      </c>
      <c r="AV1084">
        <v>3545</v>
      </c>
      <c r="AW1084" s="4">
        <v>42720</v>
      </c>
      <c r="BD1084">
        <v>827.64</v>
      </c>
      <c r="BN1084" t="s">
        <v>74</v>
      </c>
    </row>
    <row r="1085" spans="1:66">
      <c r="A1085">
        <v>100210</v>
      </c>
      <c r="B1085" s="3" t="s">
        <v>141</v>
      </c>
      <c r="C1085" s="1">
        <v>43300101</v>
      </c>
      <c r="D1085" t="s">
        <v>67</v>
      </c>
      <c r="H1085" t="str">
        <f t="shared" si="90"/>
        <v>08082461008</v>
      </c>
      <c r="I1085" t="str">
        <f t="shared" si="90"/>
        <v>08082461008</v>
      </c>
      <c r="K1085" t="str">
        <f>""</f>
        <v/>
      </c>
      <c r="M1085" t="s">
        <v>68</v>
      </c>
      <c r="N1085" t="str">
        <f t="shared" si="89"/>
        <v>FOR</v>
      </c>
      <c r="O1085" t="s">
        <v>69</v>
      </c>
      <c r="P1085" s="3" t="s">
        <v>75</v>
      </c>
      <c r="Q1085">
        <v>2016</v>
      </c>
      <c r="R1085" s="2">
        <v>42416</v>
      </c>
      <c r="S1085" s="2">
        <v>42417</v>
      </c>
      <c r="T1085" s="2">
        <v>42417</v>
      </c>
      <c r="U1085" s="2">
        <v>42477</v>
      </c>
      <c r="V1085" t="s">
        <v>71</v>
      </c>
      <c r="W1085" t="str">
        <f>"            16022022"</f>
        <v xml:space="preserve">            16022022</v>
      </c>
      <c r="X1085" s="1">
        <v>1449.36</v>
      </c>
      <c r="Y1085">
        <v>0</v>
      </c>
      <c r="Z1085" s="5">
        <v>1188</v>
      </c>
      <c r="AA1085">
        <v>243</v>
      </c>
      <c r="AB1085" s="5">
        <v>288684</v>
      </c>
      <c r="AC1085" s="1">
        <v>1188</v>
      </c>
      <c r="AD1085">
        <v>243</v>
      </c>
      <c r="AE1085" s="1">
        <v>288684</v>
      </c>
      <c r="AF1085">
        <v>261.36</v>
      </c>
      <c r="AJ1085">
        <v>0</v>
      </c>
      <c r="AK1085">
        <v>0</v>
      </c>
      <c r="AL1085">
        <v>0</v>
      </c>
      <c r="AM1085" s="1">
        <v>1449.36</v>
      </c>
      <c r="AN1085" s="1">
        <v>1449.36</v>
      </c>
      <c r="AO1085" s="1">
        <v>1449.36</v>
      </c>
      <c r="AP1085" s="2">
        <v>42746</v>
      </c>
      <c r="AQ1085" t="s">
        <v>72</v>
      </c>
      <c r="AR1085" t="s">
        <v>72</v>
      </c>
      <c r="AS1085">
        <v>3545</v>
      </c>
      <c r="AT1085" s="4">
        <v>42720</v>
      </c>
      <c r="AU1085" t="s">
        <v>73</v>
      </c>
      <c r="AV1085">
        <v>3545</v>
      </c>
      <c r="AW1085" s="4">
        <v>42720</v>
      </c>
      <c r="BD1085">
        <v>261.36</v>
      </c>
      <c r="BN1085" t="s">
        <v>74</v>
      </c>
    </row>
    <row r="1086" spans="1:66">
      <c r="A1086">
        <v>100210</v>
      </c>
      <c r="B1086" s="3" t="s">
        <v>141</v>
      </c>
      <c r="C1086" s="1">
        <v>43300101</v>
      </c>
      <c r="D1086" t="s">
        <v>67</v>
      </c>
      <c r="H1086" t="str">
        <f t="shared" si="90"/>
        <v>08082461008</v>
      </c>
      <c r="I1086" t="str">
        <f t="shared" si="90"/>
        <v>08082461008</v>
      </c>
      <c r="K1086" t="str">
        <f>""</f>
        <v/>
      </c>
      <c r="M1086" t="s">
        <v>68</v>
      </c>
      <c r="N1086" t="str">
        <f t="shared" si="89"/>
        <v>FOR</v>
      </c>
      <c r="O1086" t="s">
        <v>69</v>
      </c>
      <c r="P1086" s="3" t="s">
        <v>75</v>
      </c>
      <c r="Q1086">
        <v>2016</v>
      </c>
      <c r="R1086" s="2">
        <v>42418</v>
      </c>
      <c r="S1086" s="2">
        <v>42422</v>
      </c>
      <c r="T1086" s="2">
        <v>42419</v>
      </c>
      <c r="U1086" s="2">
        <v>42479</v>
      </c>
      <c r="V1086" t="s">
        <v>71</v>
      </c>
      <c r="W1086" t="str">
        <f>"            16023538"</f>
        <v xml:space="preserve">            16023538</v>
      </c>
      <c r="X1086">
        <v>114.4</v>
      </c>
      <c r="Y1086">
        <v>0</v>
      </c>
      <c r="Z1086" s="3">
        <v>110</v>
      </c>
      <c r="AA1086">
        <v>241</v>
      </c>
      <c r="AB1086" s="5">
        <v>26510</v>
      </c>
      <c r="AC1086">
        <v>110</v>
      </c>
      <c r="AD1086">
        <v>241</v>
      </c>
      <c r="AE1086" s="1">
        <v>26510</v>
      </c>
      <c r="AF1086">
        <v>4.4000000000000004</v>
      </c>
      <c r="AJ1086">
        <v>0</v>
      </c>
      <c r="AK1086">
        <v>0</v>
      </c>
      <c r="AL1086">
        <v>0</v>
      </c>
      <c r="AM1086">
        <v>114.4</v>
      </c>
      <c r="AN1086">
        <v>114.4</v>
      </c>
      <c r="AO1086">
        <v>114.4</v>
      </c>
      <c r="AP1086" s="2">
        <v>42746</v>
      </c>
      <c r="AQ1086" t="s">
        <v>72</v>
      </c>
      <c r="AR1086" t="s">
        <v>72</v>
      </c>
      <c r="AS1086">
        <v>3545</v>
      </c>
      <c r="AT1086" s="4">
        <v>42720</v>
      </c>
      <c r="AU1086" t="s">
        <v>73</v>
      </c>
      <c r="AV1086">
        <v>3545</v>
      </c>
      <c r="AW1086" s="4">
        <v>42720</v>
      </c>
      <c r="BD1086">
        <v>4.4000000000000004</v>
      </c>
      <c r="BN1086" t="s">
        <v>74</v>
      </c>
    </row>
    <row r="1087" spans="1:66">
      <c r="A1087">
        <v>100210</v>
      </c>
      <c r="B1087" s="3" t="s">
        <v>141</v>
      </c>
      <c r="C1087" s="1">
        <v>43300101</v>
      </c>
      <c r="D1087" t="s">
        <v>67</v>
      </c>
      <c r="H1087" t="str">
        <f t="shared" si="90"/>
        <v>08082461008</v>
      </c>
      <c r="I1087" t="str">
        <f t="shared" si="90"/>
        <v>08082461008</v>
      </c>
      <c r="K1087" t="str">
        <f>""</f>
        <v/>
      </c>
      <c r="M1087" t="s">
        <v>68</v>
      </c>
      <c r="N1087" t="str">
        <f t="shared" si="89"/>
        <v>FOR</v>
      </c>
      <c r="O1087" t="s">
        <v>69</v>
      </c>
      <c r="P1087" s="3" t="s">
        <v>75</v>
      </c>
      <c r="Q1087">
        <v>2016</v>
      </c>
      <c r="R1087" s="2">
        <v>42418</v>
      </c>
      <c r="S1087" s="2">
        <v>42422</v>
      </c>
      <c r="T1087" s="2">
        <v>42419</v>
      </c>
      <c r="U1087" s="2">
        <v>42479</v>
      </c>
      <c r="V1087" t="s">
        <v>71</v>
      </c>
      <c r="W1087" t="str">
        <f>"            16023539"</f>
        <v xml:space="preserve">            16023539</v>
      </c>
      <c r="X1087">
        <v>114.4</v>
      </c>
      <c r="Y1087">
        <v>0</v>
      </c>
      <c r="Z1087" s="3">
        <v>110</v>
      </c>
      <c r="AA1087">
        <v>241</v>
      </c>
      <c r="AB1087" s="5">
        <v>26510</v>
      </c>
      <c r="AC1087">
        <v>110</v>
      </c>
      <c r="AD1087">
        <v>241</v>
      </c>
      <c r="AE1087" s="1">
        <v>26510</v>
      </c>
      <c r="AF1087">
        <v>4.4000000000000004</v>
      </c>
      <c r="AJ1087">
        <v>0</v>
      </c>
      <c r="AK1087">
        <v>0</v>
      </c>
      <c r="AL1087">
        <v>0</v>
      </c>
      <c r="AM1087">
        <v>114.4</v>
      </c>
      <c r="AN1087">
        <v>114.4</v>
      </c>
      <c r="AO1087">
        <v>114.4</v>
      </c>
      <c r="AP1087" s="2">
        <v>42746</v>
      </c>
      <c r="AQ1087" t="s">
        <v>72</v>
      </c>
      <c r="AR1087" t="s">
        <v>72</v>
      </c>
      <c r="AS1087">
        <v>3545</v>
      </c>
      <c r="AT1087" s="4">
        <v>42720</v>
      </c>
      <c r="AU1087" t="s">
        <v>73</v>
      </c>
      <c r="AV1087">
        <v>3545</v>
      </c>
      <c r="AW1087" s="4">
        <v>42720</v>
      </c>
      <c r="BD1087">
        <v>4.4000000000000004</v>
      </c>
      <c r="BN1087" t="s">
        <v>74</v>
      </c>
    </row>
    <row r="1088" spans="1:66">
      <c r="A1088">
        <v>100210</v>
      </c>
      <c r="B1088" s="3" t="s">
        <v>141</v>
      </c>
      <c r="C1088" s="1">
        <v>43300101</v>
      </c>
      <c r="D1088" t="s">
        <v>67</v>
      </c>
      <c r="H1088" t="str">
        <f t="shared" si="90"/>
        <v>08082461008</v>
      </c>
      <c r="I1088" t="str">
        <f t="shared" si="90"/>
        <v>08082461008</v>
      </c>
      <c r="K1088" t="str">
        <f>""</f>
        <v/>
      </c>
      <c r="M1088" t="s">
        <v>68</v>
      </c>
      <c r="N1088" t="str">
        <f t="shared" si="89"/>
        <v>FOR</v>
      </c>
      <c r="O1088" t="s">
        <v>69</v>
      </c>
      <c r="P1088" s="3" t="s">
        <v>75</v>
      </c>
      <c r="Q1088">
        <v>2016</v>
      </c>
      <c r="R1088" s="2">
        <v>42418</v>
      </c>
      <c r="S1088" s="2">
        <v>42422</v>
      </c>
      <c r="T1088" s="2">
        <v>42419</v>
      </c>
      <c r="U1088" s="2">
        <v>42479</v>
      </c>
      <c r="V1088" t="s">
        <v>71</v>
      </c>
      <c r="W1088" t="str">
        <f>"            16023541"</f>
        <v xml:space="preserve">            16023541</v>
      </c>
      <c r="X1088">
        <v>451.88</v>
      </c>
      <c r="Y1088">
        <v>0</v>
      </c>
      <c r="Z1088" s="3">
        <v>434.5</v>
      </c>
      <c r="AA1088">
        <v>241</v>
      </c>
      <c r="AB1088" s="5">
        <v>104714.5</v>
      </c>
      <c r="AC1088">
        <v>434.5</v>
      </c>
      <c r="AD1088">
        <v>241</v>
      </c>
      <c r="AE1088" s="1">
        <v>104714.5</v>
      </c>
      <c r="AF1088">
        <v>17.38</v>
      </c>
      <c r="AJ1088">
        <v>0</v>
      </c>
      <c r="AK1088">
        <v>0</v>
      </c>
      <c r="AL1088">
        <v>0</v>
      </c>
      <c r="AM1088">
        <v>451.88</v>
      </c>
      <c r="AN1088">
        <v>451.88</v>
      </c>
      <c r="AO1088">
        <v>451.88</v>
      </c>
      <c r="AP1088" s="2">
        <v>42746</v>
      </c>
      <c r="AQ1088" t="s">
        <v>72</v>
      </c>
      <c r="AR1088" t="s">
        <v>72</v>
      </c>
      <c r="AS1088">
        <v>3545</v>
      </c>
      <c r="AT1088" s="4">
        <v>42720</v>
      </c>
      <c r="AU1088" t="s">
        <v>73</v>
      </c>
      <c r="AV1088">
        <v>3545</v>
      </c>
      <c r="AW1088" s="4">
        <v>42720</v>
      </c>
      <c r="BD1088">
        <v>17.38</v>
      </c>
      <c r="BN1088" t="s">
        <v>74</v>
      </c>
    </row>
    <row r="1089" spans="1:66">
      <c r="A1089">
        <v>100210</v>
      </c>
      <c r="B1089" s="3" t="s">
        <v>141</v>
      </c>
      <c r="C1089" s="1">
        <v>43300101</v>
      </c>
      <c r="D1089" t="s">
        <v>67</v>
      </c>
      <c r="H1089" t="str">
        <f t="shared" si="90"/>
        <v>08082461008</v>
      </c>
      <c r="I1089" t="str">
        <f t="shared" si="90"/>
        <v>08082461008</v>
      </c>
      <c r="K1089" t="str">
        <f>""</f>
        <v/>
      </c>
      <c r="M1089" t="s">
        <v>68</v>
      </c>
      <c r="N1089" t="str">
        <f t="shared" si="89"/>
        <v>FOR</v>
      </c>
      <c r="O1089" t="s">
        <v>69</v>
      </c>
      <c r="P1089" s="3" t="s">
        <v>75</v>
      </c>
      <c r="Q1089">
        <v>2016</v>
      </c>
      <c r="R1089" s="2">
        <v>42418</v>
      </c>
      <c r="S1089" s="2">
        <v>42422</v>
      </c>
      <c r="T1089" s="2">
        <v>42419</v>
      </c>
      <c r="U1089" s="2">
        <v>42479</v>
      </c>
      <c r="V1089" t="s">
        <v>71</v>
      </c>
      <c r="W1089" t="str">
        <f>"            16023542"</f>
        <v xml:space="preserve">            16023542</v>
      </c>
      <c r="X1089">
        <v>451.88</v>
      </c>
      <c r="Y1089">
        <v>0</v>
      </c>
      <c r="Z1089" s="3">
        <v>434.5</v>
      </c>
      <c r="AA1089">
        <v>241</v>
      </c>
      <c r="AB1089" s="5">
        <v>104714.5</v>
      </c>
      <c r="AC1089">
        <v>434.5</v>
      </c>
      <c r="AD1089">
        <v>241</v>
      </c>
      <c r="AE1089" s="1">
        <v>104714.5</v>
      </c>
      <c r="AF1089">
        <v>17.38</v>
      </c>
      <c r="AJ1089">
        <v>0</v>
      </c>
      <c r="AK1089">
        <v>0</v>
      </c>
      <c r="AL1089">
        <v>0</v>
      </c>
      <c r="AM1089">
        <v>451.88</v>
      </c>
      <c r="AN1089">
        <v>451.88</v>
      </c>
      <c r="AO1089">
        <v>451.88</v>
      </c>
      <c r="AP1089" s="2">
        <v>42746</v>
      </c>
      <c r="AQ1089" t="s">
        <v>72</v>
      </c>
      <c r="AR1089" t="s">
        <v>72</v>
      </c>
      <c r="AS1089">
        <v>3545</v>
      </c>
      <c r="AT1089" s="4">
        <v>42720</v>
      </c>
      <c r="AU1089" t="s">
        <v>73</v>
      </c>
      <c r="AV1089">
        <v>3545</v>
      </c>
      <c r="AW1089" s="4">
        <v>42720</v>
      </c>
      <c r="BD1089">
        <v>17.38</v>
      </c>
      <c r="BN1089" t="s">
        <v>74</v>
      </c>
    </row>
    <row r="1090" spans="1:66">
      <c r="A1090">
        <v>100210</v>
      </c>
      <c r="B1090" s="3" t="s">
        <v>141</v>
      </c>
      <c r="C1090" s="1">
        <v>43300101</v>
      </c>
      <c r="D1090" t="s">
        <v>67</v>
      </c>
      <c r="H1090" t="str">
        <f t="shared" si="90"/>
        <v>08082461008</v>
      </c>
      <c r="I1090" t="str">
        <f t="shared" si="90"/>
        <v>08082461008</v>
      </c>
      <c r="K1090" t="str">
        <f>""</f>
        <v/>
      </c>
      <c r="M1090" t="s">
        <v>68</v>
      </c>
      <c r="N1090" t="str">
        <f t="shared" si="89"/>
        <v>FOR</v>
      </c>
      <c r="O1090" t="s">
        <v>69</v>
      </c>
      <c r="P1090" s="3" t="s">
        <v>75</v>
      </c>
      <c r="Q1090">
        <v>2016</v>
      </c>
      <c r="R1090" s="2">
        <v>42418</v>
      </c>
      <c r="S1090" s="2">
        <v>42422</v>
      </c>
      <c r="T1090" s="2">
        <v>42419</v>
      </c>
      <c r="U1090" s="2">
        <v>42479</v>
      </c>
      <c r="V1090" t="s">
        <v>71</v>
      </c>
      <c r="W1090" t="str">
        <f>"            16023543"</f>
        <v xml:space="preserve">            16023543</v>
      </c>
      <c r="X1090">
        <v>451.88</v>
      </c>
      <c r="Y1090">
        <v>0</v>
      </c>
      <c r="Z1090" s="3">
        <v>434.5</v>
      </c>
      <c r="AA1090">
        <v>241</v>
      </c>
      <c r="AB1090" s="5">
        <v>104714.5</v>
      </c>
      <c r="AC1090">
        <v>434.5</v>
      </c>
      <c r="AD1090">
        <v>241</v>
      </c>
      <c r="AE1090" s="1">
        <v>104714.5</v>
      </c>
      <c r="AF1090">
        <v>17.38</v>
      </c>
      <c r="AJ1090">
        <v>0</v>
      </c>
      <c r="AK1090">
        <v>0</v>
      </c>
      <c r="AL1090">
        <v>0</v>
      </c>
      <c r="AM1090">
        <v>451.88</v>
      </c>
      <c r="AN1090">
        <v>451.88</v>
      </c>
      <c r="AO1090">
        <v>451.88</v>
      </c>
      <c r="AP1090" s="2">
        <v>42746</v>
      </c>
      <c r="AQ1090" t="s">
        <v>72</v>
      </c>
      <c r="AR1090" t="s">
        <v>72</v>
      </c>
      <c r="AS1090">
        <v>3545</v>
      </c>
      <c r="AT1090" s="4">
        <v>42720</v>
      </c>
      <c r="AU1090" t="s">
        <v>73</v>
      </c>
      <c r="AV1090">
        <v>3545</v>
      </c>
      <c r="AW1090" s="4">
        <v>42720</v>
      </c>
      <c r="BD1090">
        <v>17.38</v>
      </c>
      <c r="BN1090" t="s">
        <v>74</v>
      </c>
    </row>
    <row r="1091" spans="1:66">
      <c r="A1091">
        <v>100210</v>
      </c>
      <c r="B1091" s="3" t="s">
        <v>141</v>
      </c>
      <c r="C1091" s="1">
        <v>43300101</v>
      </c>
      <c r="D1091" t="s">
        <v>67</v>
      </c>
      <c r="H1091" t="str">
        <f t="shared" si="90"/>
        <v>08082461008</v>
      </c>
      <c r="I1091" t="str">
        <f t="shared" si="90"/>
        <v>08082461008</v>
      </c>
      <c r="K1091" t="str">
        <f>""</f>
        <v/>
      </c>
      <c r="M1091" t="s">
        <v>68</v>
      </c>
      <c r="N1091" t="str">
        <f t="shared" si="89"/>
        <v>FOR</v>
      </c>
      <c r="O1091" t="s">
        <v>69</v>
      </c>
      <c r="P1091" s="3" t="s">
        <v>75</v>
      </c>
      <c r="Q1091">
        <v>2016</v>
      </c>
      <c r="R1091" s="2">
        <v>42418</v>
      </c>
      <c r="S1091" s="2">
        <v>42422</v>
      </c>
      <c r="T1091" s="2">
        <v>42419</v>
      </c>
      <c r="U1091" s="2">
        <v>42479</v>
      </c>
      <c r="V1091" t="s">
        <v>71</v>
      </c>
      <c r="W1091" t="str">
        <f>"            16023544"</f>
        <v xml:space="preserve">            16023544</v>
      </c>
      <c r="X1091">
        <v>45.76</v>
      </c>
      <c r="Y1091">
        <v>0</v>
      </c>
      <c r="Z1091" s="3">
        <v>44</v>
      </c>
      <c r="AA1091">
        <v>241</v>
      </c>
      <c r="AB1091" s="5">
        <v>10604</v>
      </c>
      <c r="AC1091">
        <v>44</v>
      </c>
      <c r="AD1091">
        <v>241</v>
      </c>
      <c r="AE1091" s="1">
        <v>10604</v>
      </c>
      <c r="AF1091">
        <v>1.76</v>
      </c>
      <c r="AJ1091">
        <v>0</v>
      </c>
      <c r="AK1091">
        <v>0</v>
      </c>
      <c r="AL1091">
        <v>0</v>
      </c>
      <c r="AM1091">
        <v>45.76</v>
      </c>
      <c r="AN1091">
        <v>45.76</v>
      </c>
      <c r="AO1091">
        <v>45.76</v>
      </c>
      <c r="AP1091" s="2">
        <v>42746</v>
      </c>
      <c r="AQ1091" t="s">
        <v>72</v>
      </c>
      <c r="AR1091" t="s">
        <v>72</v>
      </c>
      <c r="AS1091">
        <v>3545</v>
      </c>
      <c r="AT1091" s="4">
        <v>42720</v>
      </c>
      <c r="AU1091" t="s">
        <v>73</v>
      </c>
      <c r="AV1091">
        <v>3545</v>
      </c>
      <c r="AW1091" s="4">
        <v>42720</v>
      </c>
      <c r="BD1091">
        <v>1.76</v>
      </c>
      <c r="BN1091" t="s">
        <v>74</v>
      </c>
    </row>
    <row r="1092" spans="1:66">
      <c r="A1092">
        <v>100210</v>
      </c>
      <c r="B1092" s="3" t="s">
        <v>141</v>
      </c>
      <c r="C1092" s="1">
        <v>43300101</v>
      </c>
      <c r="D1092" t="s">
        <v>67</v>
      </c>
      <c r="H1092" t="str">
        <f t="shared" si="90"/>
        <v>08082461008</v>
      </c>
      <c r="I1092" t="str">
        <f t="shared" si="90"/>
        <v>08082461008</v>
      </c>
      <c r="K1092" t="str">
        <f>""</f>
        <v/>
      </c>
      <c r="M1092" t="s">
        <v>68</v>
      </c>
      <c r="N1092" t="str">
        <f t="shared" si="89"/>
        <v>FOR</v>
      </c>
      <c r="O1092" t="s">
        <v>69</v>
      </c>
      <c r="P1092" s="3" t="s">
        <v>75</v>
      </c>
      <c r="Q1092">
        <v>2016</v>
      </c>
      <c r="R1092" s="2">
        <v>42418</v>
      </c>
      <c r="S1092" s="2">
        <v>42422</v>
      </c>
      <c r="T1092" s="2">
        <v>42419</v>
      </c>
      <c r="U1092" s="2">
        <v>42479</v>
      </c>
      <c r="V1092" t="s">
        <v>71</v>
      </c>
      <c r="W1092" t="str">
        <f>"            16023545"</f>
        <v xml:space="preserve">            16023545</v>
      </c>
      <c r="X1092">
        <v>45.76</v>
      </c>
      <c r="Y1092">
        <v>0</v>
      </c>
      <c r="Z1092" s="3">
        <v>44</v>
      </c>
      <c r="AA1092">
        <v>241</v>
      </c>
      <c r="AB1092" s="5">
        <v>10604</v>
      </c>
      <c r="AC1092">
        <v>44</v>
      </c>
      <c r="AD1092">
        <v>241</v>
      </c>
      <c r="AE1092" s="1">
        <v>10604</v>
      </c>
      <c r="AF1092">
        <v>1.76</v>
      </c>
      <c r="AJ1092">
        <v>0</v>
      </c>
      <c r="AK1092">
        <v>0</v>
      </c>
      <c r="AL1092">
        <v>0</v>
      </c>
      <c r="AM1092">
        <v>45.76</v>
      </c>
      <c r="AN1092">
        <v>45.76</v>
      </c>
      <c r="AO1092">
        <v>45.76</v>
      </c>
      <c r="AP1092" s="2">
        <v>42746</v>
      </c>
      <c r="AQ1092" t="s">
        <v>72</v>
      </c>
      <c r="AR1092" t="s">
        <v>72</v>
      </c>
      <c r="AS1092">
        <v>3545</v>
      </c>
      <c r="AT1092" s="4">
        <v>42720</v>
      </c>
      <c r="AU1092" t="s">
        <v>73</v>
      </c>
      <c r="AV1092">
        <v>3545</v>
      </c>
      <c r="AW1092" s="4">
        <v>42720</v>
      </c>
      <c r="BD1092">
        <v>1.76</v>
      </c>
      <c r="BN1092" t="s">
        <v>74</v>
      </c>
    </row>
    <row r="1093" spans="1:66">
      <c r="A1093">
        <v>100210</v>
      </c>
      <c r="B1093" s="3" t="s">
        <v>141</v>
      </c>
      <c r="C1093" s="1">
        <v>43300101</v>
      </c>
      <c r="D1093" t="s">
        <v>67</v>
      </c>
      <c r="H1093" t="str">
        <f t="shared" si="90"/>
        <v>08082461008</v>
      </c>
      <c r="I1093" t="str">
        <f t="shared" si="90"/>
        <v>08082461008</v>
      </c>
      <c r="K1093" t="str">
        <f>""</f>
        <v/>
      </c>
      <c r="M1093" t="s">
        <v>68</v>
      </c>
      <c r="N1093" t="str">
        <f t="shared" si="89"/>
        <v>FOR</v>
      </c>
      <c r="O1093" t="s">
        <v>69</v>
      </c>
      <c r="P1093" s="3" t="s">
        <v>75</v>
      </c>
      <c r="Q1093">
        <v>2016</v>
      </c>
      <c r="R1093" s="2">
        <v>42418</v>
      </c>
      <c r="S1093" s="2">
        <v>42422</v>
      </c>
      <c r="T1093" s="2">
        <v>42419</v>
      </c>
      <c r="U1093" s="2">
        <v>42479</v>
      </c>
      <c r="V1093" t="s">
        <v>71</v>
      </c>
      <c r="W1093" t="str">
        <f>"            16023546"</f>
        <v xml:space="preserve">            16023546</v>
      </c>
      <c r="X1093">
        <v>45.76</v>
      </c>
      <c r="Y1093">
        <v>0</v>
      </c>
      <c r="Z1093" s="3">
        <v>44</v>
      </c>
      <c r="AA1093">
        <v>241</v>
      </c>
      <c r="AB1093" s="5">
        <v>10604</v>
      </c>
      <c r="AC1093">
        <v>44</v>
      </c>
      <c r="AD1093">
        <v>241</v>
      </c>
      <c r="AE1093" s="1">
        <v>10604</v>
      </c>
      <c r="AF1093">
        <v>1.76</v>
      </c>
      <c r="AJ1093">
        <v>0</v>
      </c>
      <c r="AK1093">
        <v>0</v>
      </c>
      <c r="AL1093">
        <v>0</v>
      </c>
      <c r="AM1093">
        <v>45.76</v>
      </c>
      <c r="AN1093">
        <v>45.76</v>
      </c>
      <c r="AO1093">
        <v>45.76</v>
      </c>
      <c r="AP1093" s="2">
        <v>42746</v>
      </c>
      <c r="AQ1093" t="s">
        <v>72</v>
      </c>
      <c r="AR1093" t="s">
        <v>72</v>
      </c>
      <c r="AS1093">
        <v>3545</v>
      </c>
      <c r="AT1093" s="4">
        <v>42720</v>
      </c>
      <c r="AU1093" t="s">
        <v>73</v>
      </c>
      <c r="AV1093">
        <v>3545</v>
      </c>
      <c r="AW1093" s="4">
        <v>42720</v>
      </c>
      <c r="BD1093">
        <v>1.76</v>
      </c>
      <c r="BN1093" t="s">
        <v>74</v>
      </c>
    </row>
    <row r="1094" spans="1:66">
      <c r="A1094">
        <v>100210</v>
      </c>
      <c r="B1094" s="3" t="s">
        <v>141</v>
      </c>
      <c r="C1094" s="1">
        <v>43300101</v>
      </c>
      <c r="D1094" t="s">
        <v>67</v>
      </c>
      <c r="H1094" t="str">
        <f t="shared" si="90"/>
        <v>08082461008</v>
      </c>
      <c r="I1094" t="str">
        <f t="shared" si="90"/>
        <v>08082461008</v>
      </c>
      <c r="K1094" t="str">
        <f>""</f>
        <v/>
      </c>
      <c r="M1094" t="s">
        <v>68</v>
      </c>
      <c r="N1094" t="str">
        <f t="shared" si="89"/>
        <v>FOR</v>
      </c>
      <c r="O1094" t="s">
        <v>69</v>
      </c>
      <c r="P1094" s="3" t="s">
        <v>75</v>
      </c>
      <c r="Q1094">
        <v>2016</v>
      </c>
      <c r="R1094" s="2">
        <v>42418</v>
      </c>
      <c r="S1094" s="2">
        <v>42422</v>
      </c>
      <c r="T1094" s="2">
        <v>42419</v>
      </c>
      <c r="U1094" s="2">
        <v>42479</v>
      </c>
      <c r="V1094" t="s">
        <v>71</v>
      </c>
      <c r="W1094" t="str">
        <f>"            16023550"</f>
        <v xml:space="preserve">            16023550</v>
      </c>
      <c r="X1094">
        <v>45.76</v>
      </c>
      <c r="Y1094">
        <v>0</v>
      </c>
      <c r="Z1094" s="3">
        <v>44</v>
      </c>
      <c r="AA1094">
        <v>241</v>
      </c>
      <c r="AB1094" s="5">
        <v>10604</v>
      </c>
      <c r="AC1094">
        <v>44</v>
      </c>
      <c r="AD1094">
        <v>241</v>
      </c>
      <c r="AE1094" s="1">
        <v>10604</v>
      </c>
      <c r="AF1094">
        <v>1.76</v>
      </c>
      <c r="AJ1094">
        <v>0</v>
      </c>
      <c r="AK1094">
        <v>0</v>
      </c>
      <c r="AL1094">
        <v>0</v>
      </c>
      <c r="AM1094">
        <v>45.76</v>
      </c>
      <c r="AN1094">
        <v>45.76</v>
      </c>
      <c r="AO1094">
        <v>45.76</v>
      </c>
      <c r="AP1094" s="2">
        <v>42746</v>
      </c>
      <c r="AQ1094" t="s">
        <v>72</v>
      </c>
      <c r="AR1094" t="s">
        <v>72</v>
      </c>
      <c r="AS1094">
        <v>3545</v>
      </c>
      <c r="AT1094" s="4">
        <v>42720</v>
      </c>
      <c r="AU1094" t="s">
        <v>73</v>
      </c>
      <c r="AV1094">
        <v>3545</v>
      </c>
      <c r="AW1094" s="4">
        <v>42720</v>
      </c>
      <c r="BD1094">
        <v>1.76</v>
      </c>
      <c r="BN1094" t="s">
        <v>74</v>
      </c>
    </row>
    <row r="1095" spans="1:66">
      <c r="A1095">
        <v>100210</v>
      </c>
      <c r="B1095" s="3" t="s">
        <v>141</v>
      </c>
      <c r="C1095" s="1">
        <v>43300101</v>
      </c>
      <c r="D1095" t="s">
        <v>67</v>
      </c>
      <c r="H1095" t="str">
        <f t="shared" si="90"/>
        <v>08082461008</v>
      </c>
      <c r="I1095" t="str">
        <f t="shared" si="90"/>
        <v>08082461008</v>
      </c>
      <c r="K1095" t="str">
        <f>""</f>
        <v/>
      </c>
      <c r="M1095" t="s">
        <v>68</v>
      </c>
      <c r="N1095" t="str">
        <f t="shared" si="89"/>
        <v>FOR</v>
      </c>
      <c r="O1095" t="s">
        <v>69</v>
      </c>
      <c r="P1095" s="3" t="s">
        <v>75</v>
      </c>
      <c r="Q1095">
        <v>2016</v>
      </c>
      <c r="R1095" s="2">
        <v>42418</v>
      </c>
      <c r="S1095" s="2">
        <v>42422</v>
      </c>
      <c r="T1095" s="2">
        <v>42419</v>
      </c>
      <c r="U1095" s="2">
        <v>42479</v>
      </c>
      <c r="V1095" t="s">
        <v>71</v>
      </c>
      <c r="W1095" t="str">
        <f>"            16023552"</f>
        <v xml:space="preserve">            16023552</v>
      </c>
      <c r="X1095">
        <v>451.88</v>
      </c>
      <c r="Y1095">
        <v>0</v>
      </c>
      <c r="Z1095" s="3">
        <v>434.5</v>
      </c>
      <c r="AA1095">
        <v>241</v>
      </c>
      <c r="AB1095" s="5">
        <v>104714.5</v>
      </c>
      <c r="AC1095">
        <v>434.5</v>
      </c>
      <c r="AD1095">
        <v>241</v>
      </c>
      <c r="AE1095" s="1">
        <v>104714.5</v>
      </c>
      <c r="AF1095">
        <v>17.38</v>
      </c>
      <c r="AJ1095">
        <v>0</v>
      </c>
      <c r="AK1095">
        <v>0</v>
      </c>
      <c r="AL1095">
        <v>0</v>
      </c>
      <c r="AM1095">
        <v>451.88</v>
      </c>
      <c r="AN1095">
        <v>451.88</v>
      </c>
      <c r="AO1095">
        <v>451.88</v>
      </c>
      <c r="AP1095" s="2">
        <v>42746</v>
      </c>
      <c r="AQ1095" t="s">
        <v>72</v>
      </c>
      <c r="AR1095" t="s">
        <v>72</v>
      </c>
      <c r="AS1095">
        <v>3545</v>
      </c>
      <c r="AT1095" s="4">
        <v>42720</v>
      </c>
      <c r="AU1095" t="s">
        <v>73</v>
      </c>
      <c r="AV1095">
        <v>3545</v>
      </c>
      <c r="AW1095" s="4">
        <v>42720</v>
      </c>
      <c r="BD1095">
        <v>17.38</v>
      </c>
      <c r="BN1095" t="s">
        <v>74</v>
      </c>
    </row>
    <row r="1096" spans="1:66">
      <c r="A1096">
        <v>100210</v>
      </c>
      <c r="B1096" s="3" t="s">
        <v>141</v>
      </c>
      <c r="C1096" s="1">
        <v>43300101</v>
      </c>
      <c r="D1096" t="s">
        <v>67</v>
      </c>
      <c r="H1096" t="str">
        <f t="shared" si="90"/>
        <v>08082461008</v>
      </c>
      <c r="I1096" t="str">
        <f t="shared" si="90"/>
        <v>08082461008</v>
      </c>
      <c r="K1096" t="str">
        <f>""</f>
        <v/>
      </c>
      <c r="M1096" t="s">
        <v>68</v>
      </c>
      <c r="N1096" t="str">
        <f t="shared" si="89"/>
        <v>FOR</v>
      </c>
      <c r="O1096" t="s">
        <v>69</v>
      </c>
      <c r="P1096" s="3" t="s">
        <v>75</v>
      </c>
      <c r="Q1096">
        <v>2016</v>
      </c>
      <c r="R1096" s="2">
        <v>42419</v>
      </c>
      <c r="S1096" s="2">
        <v>42422</v>
      </c>
      <c r="T1096" s="2">
        <v>42420</v>
      </c>
      <c r="U1096" s="2">
        <v>42480</v>
      </c>
      <c r="V1096" t="s">
        <v>71</v>
      </c>
      <c r="W1096" t="str">
        <f>"            16024633"</f>
        <v xml:space="preserve">            16024633</v>
      </c>
      <c r="X1096">
        <v>770.65</v>
      </c>
      <c r="Y1096">
        <v>0</v>
      </c>
      <c r="Z1096" s="3">
        <v>631.67999999999995</v>
      </c>
      <c r="AA1096">
        <v>240</v>
      </c>
      <c r="AB1096" s="5">
        <v>151603.20000000001</v>
      </c>
      <c r="AC1096">
        <v>631.67999999999995</v>
      </c>
      <c r="AD1096">
        <v>240</v>
      </c>
      <c r="AE1096" s="1">
        <v>151603.20000000001</v>
      </c>
      <c r="AF1096">
        <v>138.97</v>
      </c>
      <c r="AJ1096">
        <v>0</v>
      </c>
      <c r="AK1096">
        <v>0</v>
      </c>
      <c r="AL1096">
        <v>0</v>
      </c>
      <c r="AM1096">
        <v>770.65</v>
      </c>
      <c r="AN1096">
        <v>770.65</v>
      </c>
      <c r="AO1096">
        <v>770.65</v>
      </c>
      <c r="AP1096" s="2">
        <v>42746</v>
      </c>
      <c r="AQ1096" t="s">
        <v>72</v>
      </c>
      <c r="AR1096" t="s">
        <v>72</v>
      </c>
      <c r="AS1096">
        <v>3545</v>
      </c>
      <c r="AT1096" s="4">
        <v>42720</v>
      </c>
      <c r="AU1096" t="s">
        <v>73</v>
      </c>
      <c r="AV1096">
        <v>3545</v>
      </c>
      <c r="AW1096" s="4">
        <v>42720</v>
      </c>
      <c r="BD1096">
        <v>138.97</v>
      </c>
      <c r="BN1096" t="s">
        <v>74</v>
      </c>
    </row>
    <row r="1097" spans="1:66">
      <c r="A1097">
        <v>100210</v>
      </c>
      <c r="B1097" s="3" t="s">
        <v>141</v>
      </c>
      <c r="C1097" s="1">
        <v>43300101</v>
      </c>
      <c r="D1097" t="s">
        <v>67</v>
      </c>
      <c r="H1097" t="str">
        <f t="shared" ref="H1097:I1116" si="91">"08082461008"</f>
        <v>08082461008</v>
      </c>
      <c r="I1097" t="str">
        <f t="shared" si="91"/>
        <v>08082461008</v>
      </c>
      <c r="K1097" t="str">
        <f>""</f>
        <v/>
      </c>
      <c r="M1097" t="s">
        <v>68</v>
      </c>
      <c r="N1097" t="str">
        <f t="shared" si="89"/>
        <v>FOR</v>
      </c>
      <c r="O1097" t="s">
        <v>69</v>
      </c>
      <c r="P1097" s="3" t="s">
        <v>75</v>
      </c>
      <c r="Q1097">
        <v>2016</v>
      </c>
      <c r="R1097" s="2">
        <v>42423</v>
      </c>
      <c r="S1097" s="2">
        <v>42425</v>
      </c>
      <c r="T1097" s="2">
        <v>42424</v>
      </c>
      <c r="U1097" s="2">
        <v>42484</v>
      </c>
      <c r="V1097" t="s">
        <v>71</v>
      </c>
      <c r="W1097" t="str">
        <f>"            16026340"</f>
        <v xml:space="preserve">            16026340</v>
      </c>
      <c r="X1097">
        <v>644.79999999999995</v>
      </c>
      <c r="Y1097">
        <v>0</v>
      </c>
      <c r="Z1097" s="3">
        <v>620</v>
      </c>
      <c r="AA1097">
        <v>236</v>
      </c>
      <c r="AB1097" s="5">
        <v>146320</v>
      </c>
      <c r="AC1097">
        <v>620</v>
      </c>
      <c r="AD1097">
        <v>236</v>
      </c>
      <c r="AE1097" s="1">
        <v>146320</v>
      </c>
      <c r="AF1097">
        <v>24.8</v>
      </c>
      <c r="AJ1097">
        <v>0</v>
      </c>
      <c r="AK1097">
        <v>0</v>
      </c>
      <c r="AL1097">
        <v>0</v>
      </c>
      <c r="AM1097">
        <v>644.79999999999995</v>
      </c>
      <c r="AN1097">
        <v>644.79999999999995</v>
      </c>
      <c r="AO1097">
        <v>644.79999999999995</v>
      </c>
      <c r="AP1097" s="2">
        <v>42746</v>
      </c>
      <c r="AQ1097" t="s">
        <v>72</v>
      </c>
      <c r="AR1097" t="s">
        <v>72</v>
      </c>
      <c r="AS1097">
        <v>3545</v>
      </c>
      <c r="AT1097" s="4">
        <v>42720</v>
      </c>
      <c r="AU1097" t="s">
        <v>73</v>
      </c>
      <c r="AV1097">
        <v>3545</v>
      </c>
      <c r="AW1097" s="4">
        <v>42720</v>
      </c>
      <c r="BD1097">
        <v>24.8</v>
      </c>
      <c r="BN1097" t="s">
        <v>74</v>
      </c>
    </row>
    <row r="1098" spans="1:66">
      <c r="A1098">
        <v>100210</v>
      </c>
      <c r="B1098" s="3" t="s">
        <v>141</v>
      </c>
      <c r="C1098" s="1">
        <v>43300101</v>
      </c>
      <c r="D1098" t="s">
        <v>67</v>
      </c>
      <c r="H1098" t="str">
        <f t="shared" si="91"/>
        <v>08082461008</v>
      </c>
      <c r="I1098" t="str">
        <f t="shared" si="91"/>
        <v>08082461008</v>
      </c>
      <c r="K1098" t="str">
        <f>""</f>
        <v/>
      </c>
      <c r="M1098" t="s">
        <v>68</v>
      </c>
      <c r="N1098" t="str">
        <f t="shared" si="89"/>
        <v>FOR</v>
      </c>
      <c r="O1098" t="s">
        <v>69</v>
      </c>
      <c r="P1098" s="3" t="s">
        <v>75</v>
      </c>
      <c r="Q1098">
        <v>2016</v>
      </c>
      <c r="R1098" s="2">
        <v>42423</v>
      </c>
      <c r="S1098" s="2">
        <v>42425</v>
      </c>
      <c r="T1098" s="2">
        <v>42424</v>
      </c>
      <c r="U1098" s="2">
        <v>42484</v>
      </c>
      <c r="V1098" t="s">
        <v>71</v>
      </c>
      <c r="W1098" t="str">
        <f>"            16026341"</f>
        <v xml:space="preserve">            16026341</v>
      </c>
      <c r="X1098">
        <v>644.79999999999995</v>
      </c>
      <c r="Y1098">
        <v>0</v>
      </c>
      <c r="Z1098" s="3">
        <v>620</v>
      </c>
      <c r="AA1098">
        <v>236</v>
      </c>
      <c r="AB1098" s="5">
        <v>146320</v>
      </c>
      <c r="AC1098">
        <v>620</v>
      </c>
      <c r="AD1098">
        <v>236</v>
      </c>
      <c r="AE1098" s="1">
        <v>146320</v>
      </c>
      <c r="AF1098">
        <v>24.8</v>
      </c>
      <c r="AJ1098">
        <v>0</v>
      </c>
      <c r="AK1098">
        <v>0</v>
      </c>
      <c r="AL1098">
        <v>0</v>
      </c>
      <c r="AM1098">
        <v>644.79999999999995</v>
      </c>
      <c r="AN1098">
        <v>644.79999999999995</v>
      </c>
      <c r="AO1098">
        <v>644.79999999999995</v>
      </c>
      <c r="AP1098" s="2">
        <v>42746</v>
      </c>
      <c r="AQ1098" t="s">
        <v>72</v>
      </c>
      <c r="AR1098" t="s">
        <v>72</v>
      </c>
      <c r="AS1098">
        <v>3545</v>
      </c>
      <c r="AT1098" s="4">
        <v>42720</v>
      </c>
      <c r="AU1098" t="s">
        <v>73</v>
      </c>
      <c r="AV1098">
        <v>3545</v>
      </c>
      <c r="AW1098" s="4">
        <v>42720</v>
      </c>
      <c r="BD1098">
        <v>24.8</v>
      </c>
      <c r="BN1098" t="s">
        <v>74</v>
      </c>
    </row>
    <row r="1099" spans="1:66">
      <c r="A1099">
        <v>100210</v>
      </c>
      <c r="B1099" s="3" t="s">
        <v>141</v>
      </c>
      <c r="C1099" s="1">
        <v>43300101</v>
      </c>
      <c r="D1099" t="s">
        <v>67</v>
      </c>
      <c r="H1099" t="str">
        <f t="shared" si="91"/>
        <v>08082461008</v>
      </c>
      <c r="I1099" t="str">
        <f t="shared" si="91"/>
        <v>08082461008</v>
      </c>
      <c r="K1099" t="str">
        <f>""</f>
        <v/>
      </c>
      <c r="M1099" t="s">
        <v>68</v>
      </c>
      <c r="N1099" t="str">
        <f t="shared" si="89"/>
        <v>FOR</v>
      </c>
      <c r="O1099" t="s">
        <v>69</v>
      </c>
      <c r="P1099" s="3" t="s">
        <v>75</v>
      </c>
      <c r="Q1099">
        <v>2016</v>
      </c>
      <c r="R1099" s="2">
        <v>42425</v>
      </c>
      <c r="S1099" s="2">
        <v>42436</v>
      </c>
      <c r="T1099" s="2">
        <v>42426</v>
      </c>
      <c r="U1099" s="2">
        <v>42486</v>
      </c>
      <c r="V1099" t="s">
        <v>71</v>
      </c>
      <c r="W1099" t="str">
        <f>"            16028636"</f>
        <v xml:space="preserve">            16028636</v>
      </c>
      <c r="X1099">
        <v>782.5</v>
      </c>
      <c r="Y1099">
        <v>0</v>
      </c>
      <c r="Z1099" s="3">
        <v>752.4</v>
      </c>
      <c r="AA1099">
        <v>234</v>
      </c>
      <c r="AB1099" s="5">
        <v>176061.6</v>
      </c>
      <c r="AC1099">
        <v>752.4</v>
      </c>
      <c r="AD1099">
        <v>234</v>
      </c>
      <c r="AE1099" s="1">
        <v>176061.6</v>
      </c>
      <c r="AF1099">
        <v>30.1</v>
      </c>
      <c r="AJ1099">
        <v>0</v>
      </c>
      <c r="AK1099">
        <v>0</v>
      </c>
      <c r="AL1099">
        <v>0</v>
      </c>
      <c r="AM1099">
        <v>782.5</v>
      </c>
      <c r="AN1099">
        <v>782.5</v>
      </c>
      <c r="AO1099">
        <v>782.5</v>
      </c>
      <c r="AP1099" s="2">
        <v>42746</v>
      </c>
      <c r="AQ1099" t="s">
        <v>72</v>
      </c>
      <c r="AR1099" t="s">
        <v>72</v>
      </c>
      <c r="AS1099">
        <v>3545</v>
      </c>
      <c r="AT1099" s="4">
        <v>42720</v>
      </c>
      <c r="AU1099" t="s">
        <v>73</v>
      </c>
      <c r="AV1099">
        <v>3545</v>
      </c>
      <c r="AW1099" s="4">
        <v>42720</v>
      </c>
      <c r="BD1099">
        <v>30.1</v>
      </c>
      <c r="BN1099" t="s">
        <v>74</v>
      </c>
    </row>
    <row r="1100" spans="1:66">
      <c r="A1100">
        <v>100210</v>
      </c>
      <c r="B1100" s="3" t="s">
        <v>141</v>
      </c>
      <c r="C1100" s="1">
        <v>43300101</v>
      </c>
      <c r="D1100" t="s">
        <v>67</v>
      </c>
      <c r="H1100" t="str">
        <f t="shared" si="91"/>
        <v>08082461008</v>
      </c>
      <c r="I1100" t="str">
        <f t="shared" si="91"/>
        <v>08082461008</v>
      </c>
      <c r="K1100" t="str">
        <f>""</f>
        <v/>
      </c>
      <c r="M1100" t="s">
        <v>68</v>
      </c>
      <c r="N1100" t="str">
        <f t="shared" si="89"/>
        <v>FOR</v>
      </c>
      <c r="O1100" t="s">
        <v>69</v>
      </c>
      <c r="P1100" s="3" t="s">
        <v>75</v>
      </c>
      <c r="Q1100">
        <v>2016</v>
      </c>
      <c r="R1100" s="2">
        <v>42426</v>
      </c>
      <c r="S1100" s="2">
        <v>42436</v>
      </c>
      <c r="T1100" s="2">
        <v>42426</v>
      </c>
      <c r="U1100" s="2">
        <v>42486</v>
      </c>
      <c r="V1100" t="s">
        <v>71</v>
      </c>
      <c r="W1100" t="str">
        <f>"            16029655"</f>
        <v xml:space="preserve">            16029655</v>
      </c>
      <c r="X1100" s="1">
        <v>1315.4</v>
      </c>
      <c r="Y1100">
        <v>0</v>
      </c>
      <c r="Z1100" s="5">
        <v>1078.2</v>
      </c>
      <c r="AA1100">
        <v>234</v>
      </c>
      <c r="AB1100" s="5">
        <v>252298.8</v>
      </c>
      <c r="AC1100" s="1">
        <v>1078.2</v>
      </c>
      <c r="AD1100">
        <v>234</v>
      </c>
      <c r="AE1100" s="1">
        <v>252298.8</v>
      </c>
      <c r="AF1100">
        <v>237.2</v>
      </c>
      <c r="AJ1100">
        <v>0</v>
      </c>
      <c r="AK1100">
        <v>0</v>
      </c>
      <c r="AL1100">
        <v>0</v>
      </c>
      <c r="AM1100" s="1">
        <v>1315.4</v>
      </c>
      <c r="AN1100" s="1">
        <v>1315.4</v>
      </c>
      <c r="AO1100" s="1">
        <v>1315.4</v>
      </c>
      <c r="AP1100" s="2">
        <v>42746</v>
      </c>
      <c r="AQ1100" t="s">
        <v>72</v>
      </c>
      <c r="AR1100" t="s">
        <v>72</v>
      </c>
      <c r="AS1100">
        <v>3545</v>
      </c>
      <c r="AT1100" s="4">
        <v>42720</v>
      </c>
      <c r="AU1100" t="s">
        <v>73</v>
      </c>
      <c r="AV1100">
        <v>3545</v>
      </c>
      <c r="AW1100" s="4">
        <v>42720</v>
      </c>
      <c r="BD1100">
        <v>237.2</v>
      </c>
      <c r="BN1100" t="s">
        <v>74</v>
      </c>
    </row>
    <row r="1101" spans="1:66">
      <c r="A1101">
        <v>100210</v>
      </c>
      <c r="B1101" s="3" t="s">
        <v>141</v>
      </c>
      <c r="C1101" s="1">
        <v>43300101</v>
      </c>
      <c r="D1101" t="s">
        <v>67</v>
      </c>
      <c r="H1101" t="str">
        <f t="shared" si="91"/>
        <v>08082461008</v>
      </c>
      <c r="I1101" t="str">
        <f t="shared" si="91"/>
        <v>08082461008</v>
      </c>
      <c r="K1101" t="str">
        <f>""</f>
        <v/>
      </c>
      <c r="M1101" t="s">
        <v>68</v>
      </c>
      <c r="N1101" t="str">
        <f t="shared" si="89"/>
        <v>FOR</v>
      </c>
      <c r="O1101" t="s">
        <v>69</v>
      </c>
      <c r="P1101" s="3" t="s">
        <v>75</v>
      </c>
      <c r="Q1101">
        <v>2016</v>
      </c>
      <c r="R1101" s="2">
        <v>42426</v>
      </c>
      <c r="S1101" s="2">
        <v>42436</v>
      </c>
      <c r="T1101" s="2">
        <v>42426</v>
      </c>
      <c r="U1101" s="2">
        <v>42486</v>
      </c>
      <c r="V1101" t="s">
        <v>71</v>
      </c>
      <c r="W1101" t="str">
        <f>"            16029657"</f>
        <v xml:space="preserve">            16029657</v>
      </c>
      <c r="X1101">
        <v>512.4</v>
      </c>
      <c r="Y1101">
        <v>0</v>
      </c>
      <c r="Z1101" s="3">
        <v>420</v>
      </c>
      <c r="AA1101">
        <v>234</v>
      </c>
      <c r="AB1101" s="5">
        <v>98280</v>
      </c>
      <c r="AC1101">
        <v>420</v>
      </c>
      <c r="AD1101">
        <v>234</v>
      </c>
      <c r="AE1101" s="1">
        <v>98280</v>
      </c>
      <c r="AF1101">
        <v>92.4</v>
      </c>
      <c r="AJ1101">
        <v>0</v>
      </c>
      <c r="AK1101">
        <v>0</v>
      </c>
      <c r="AL1101">
        <v>0</v>
      </c>
      <c r="AM1101">
        <v>512.4</v>
      </c>
      <c r="AN1101">
        <v>512.4</v>
      </c>
      <c r="AO1101">
        <v>512.4</v>
      </c>
      <c r="AP1101" s="2">
        <v>42746</v>
      </c>
      <c r="AQ1101" t="s">
        <v>72</v>
      </c>
      <c r="AR1101" t="s">
        <v>72</v>
      </c>
      <c r="AS1101">
        <v>3545</v>
      </c>
      <c r="AT1101" s="4">
        <v>42720</v>
      </c>
      <c r="AU1101" t="s">
        <v>73</v>
      </c>
      <c r="AV1101">
        <v>3545</v>
      </c>
      <c r="AW1101" s="4">
        <v>42720</v>
      </c>
      <c r="BD1101">
        <v>92.4</v>
      </c>
      <c r="BN1101" t="s">
        <v>74</v>
      </c>
    </row>
    <row r="1102" spans="1:66">
      <c r="A1102">
        <v>100210</v>
      </c>
      <c r="B1102" s="3" t="s">
        <v>141</v>
      </c>
      <c r="C1102" s="1">
        <v>43300101</v>
      </c>
      <c r="D1102" t="s">
        <v>67</v>
      </c>
      <c r="H1102" t="str">
        <f t="shared" si="91"/>
        <v>08082461008</v>
      </c>
      <c r="I1102" t="str">
        <f t="shared" si="91"/>
        <v>08082461008</v>
      </c>
      <c r="K1102" t="str">
        <f>""</f>
        <v/>
      </c>
      <c r="M1102" t="s">
        <v>68</v>
      </c>
      <c r="N1102" t="str">
        <f t="shared" si="89"/>
        <v>FOR</v>
      </c>
      <c r="O1102" t="s">
        <v>69</v>
      </c>
      <c r="P1102" s="3" t="s">
        <v>75</v>
      </c>
      <c r="Q1102">
        <v>2016</v>
      </c>
      <c r="R1102" s="2">
        <v>42431</v>
      </c>
      <c r="S1102" s="2">
        <v>42436</v>
      </c>
      <c r="T1102" s="2">
        <v>42433</v>
      </c>
      <c r="U1102" s="2">
        <v>42493</v>
      </c>
      <c r="V1102" t="s">
        <v>71</v>
      </c>
      <c r="W1102" t="str">
        <f>"            16031685"</f>
        <v xml:space="preserve">            16031685</v>
      </c>
      <c r="X1102" s="1">
        <v>11924.28</v>
      </c>
      <c r="Y1102">
        <v>0</v>
      </c>
      <c r="Z1102" s="5">
        <v>9774</v>
      </c>
      <c r="AA1102">
        <v>231</v>
      </c>
      <c r="AB1102" s="5">
        <v>2257794</v>
      </c>
      <c r="AC1102" s="1">
        <v>9774</v>
      </c>
      <c r="AD1102">
        <v>231</v>
      </c>
      <c r="AE1102" s="1">
        <v>2257794</v>
      </c>
      <c r="AF1102" s="1">
        <v>2150.2800000000002</v>
      </c>
      <c r="AJ1102">
        <v>0</v>
      </c>
      <c r="AK1102">
        <v>0</v>
      </c>
      <c r="AL1102">
        <v>0</v>
      </c>
      <c r="AM1102" s="1">
        <v>11924.28</v>
      </c>
      <c r="AN1102" s="1">
        <v>11924.28</v>
      </c>
      <c r="AO1102" s="1">
        <v>11924.28</v>
      </c>
      <c r="AP1102" s="2">
        <v>42746</v>
      </c>
      <c r="AQ1102" t="s">
        <v>72</v>
      </c>
      <c r="AR1102" t="s">
        <v>72</v>
      </c>
      <c r="AS1102">
        <v>3639</v>
      </c>
      <c r="AT1102" s="4">
        <v>42724</v>
      </c>
      <c r="AU1102" t="s">
        <v>73</v>
      </c>
      <c r="AV1102">
        <v>3639</v>
      </c>
      <c r="AW1102" s="4">
        <v>42724</v>
      </c>
      <c r="BD1102" s="1">
        <v>2150.2800000000002</v>
      </c>
      <c r="BN1102" t="s">
        <v>74</v>
      </c>
    </row>
    <row r="1103" spans="1:66">
      <c r="A1103">
        <v>100210</v>
      </c>
      <c r="B1103" s="3" t="s">
        <v>141</v>
      </c>
      <c r="C1103" s="1">
        <v>43300101</v>
      </c>
      <c r="D1103" t="s">
        <v>67</v>
      </c>
      <c r="H1103" t="str">
        <f t="shared" si="91"/>
        <v>08082461008</v>
      </c>
      <c r="I1103" t="str">
        <f t="shared" si="91"/>
        <v>08082461008</v>
      </c>
      <c r="K1103" t="str">
        <f>""</f>
        <v/>
      </c>
      <c r="M1103" t="s">
        <v>68</v>
      </c>
      <c r="N1103" t="str">
        <f t="shared" si="89"/>
        <v>FOR</v>
      </c>
      <c r="O1103" t="s">
        <v>69</v>
      </c>
      <c r="P1103" s="3" t="s">
        <v>75</v>
      </c>
      <c r="Q1103">
        <v>2016</v>
      </c>
      <c r="R1103" s="2">
        <v>42436</v>
      </c>
      <c r="S1103" s="2">
        <v>42438</v>
      </c>
      <c r="T1103" s="2">
        <v>42437</v>
      </c>
      <c r="U1103" s="2">
        <v>42497</v>
      </c>
      <c r="V1103" t="s">
        <v>71</v>
      </c>
      <c r="W1103" t="str">
        <f>"            16033958"</f>
        <v xml:space="preserve">            16033958</v>
      </c>
      <c r="X1103" s="1">
        <v>4940</v>
      </c>
      <c r="Y1103">
        <v>0</v>
      </c>
      <c r="Z1103" s="5">
        <v>4750</v>
      </c>
      <c r="AA1103">
        <v>227</v>
      </c>
      <c r="AB1103" s="5">
        <v>1078250</v>
      </c>
      <c r="AC1103" s="1">
        <v>4750</v>
      </c>
      <c r="AD1103">
        <v>227</v>
      </c>
      <c r="AE1103" s="1">
        <v>1078250</v>
      </c>
      <c r="AF1103">
        <v>190</v>
      </c>
      <c r="AJ1103">
        <v>0</v>
      </c>
      <c r="AK1103">
        <v>0</v>
      </c>
      <c r="AL1103">
        <v>0</v>
      </c>
      <c r="AM1103" s="1">
        <v>4940</v>
      </c>
      <c r="AN1103" s="1">
        <v>4940</v>
      </c>
      <c r="AO1103" s="1">
        <v>4940</v>
      </c>
      <c r="AP1103" s="2">
        <v>42746</v>
      </c>
      <c r="AQ1103" t="s">
        <v>72</v>
      </c>
      <c r="AR1103" t="s">
        <v>72</v>
      </c>
      <c r="AS1103">
        <v>3639</v>
      </c>
      <c r="AT1103" s="4">
        <v>42724</v>
      </c>
      <c r="AU1103" t="s">
        <v>73</v>
      </c>
      <c r="AV1103">
        <v>3639</v>
      </c>
      <c r="AW1103" s="4">
        <v>42724</v>
      </c>
      <c r="BD1103">
        <v>190</v>
      </c>
      <c r="BN1103" t="s">
        <v>74</v>
      </c>
    </row>
    <row r="1104" spans="1:66">
      <c r="A1104">
        <v>100210</v>
      </c>
      <c r="B1104" s="3" t="s">
        <v>141</v>
      </c>
      <c r="C1104" s="1">
        <v>43300101</v>
      </c>
      <c r="D1104" t="s">
        <v>67</v>
      </c>
      <c r="H1104" t="str">
        <f t="shared" si="91"/>
        <v>08082461008</v>
      </c>
      <c r="I1104" t="str">
        <f t="shared" si="91"/>
        <v>08082461008</v>
      </c>
      <c r="K1104" t="str">
        <f>""</f>
        <v/>
      </c>
      <c r="M1104" t="s">
        <v>68</v>
      </c>
      <c r="N1104" t="str">
        <f t="shared" si="89"/>
        <v>FOR</v>
      </c>
      <c r="O1104" t="s">
        <v>69</v>
      </c>
      <c r="P1104" s="3" t="s">
        <v>75</v>
      </c>
      <c r="Q1104">
        <v>2016</v>
      </c>
      <c r="R1104" s="2">
        <v>42450</v>
      </c>
      <c r="S1104" s="2">
        <v>42452</v>
      </c>
      <c r="T1104" s="2">
        <v>42451</v>
      </c>
      <c r="U1104" s="2">
        <v>42511</v>
      </c>
      <c r="V1104" t="s">
        <v>71</v>
      </c>
      <c r="W1104" t="str">
        <f>"            16041450"</f>
        <v xml:space="preserve">            16041450</v>
      </c>
      <c r="X1104">
        <v>644.79999999999995</v>
      </c>
      <c r="Y1104">
        <v>0</v>
      </c>
      <c r="Z1104" s="3">
        <v>620</v>
      </c>
      <c r="AA1104">
        <v>213</v>
      </c>
      <c r="AB1104" s="5">
        <v>132060</v>
      </c>
      <c r="AC1104">
        <v>620</v>
      </c>
      <c r="AD1104">
        <v>213</v>
      </c>
      <c r="AE1104" s="1">
        <v>132060</v>
      </c>
      <c r="AF1104">
        <v>24.8</v>
      </c>
      <c r="AJ1104">
        <v>0</v>
      </c>
      <c r="AK1104">
        <v>0</v>
      </c>
      <c r="AL1104">
        <v>0</v>
      </c>
      <c r="AM1104">
        <v>644.79999999999995</v>
      </c>
      <c r="AN1104">
        <v>644.79999999999995</v>
      </c>
      <c r="AO1104">
        <v>644.79999999999995</v>
      </c>
      <c r="AP1104" s="2">
        <v>42746</v>
      </c>
      <c r="AQ1104" t="s">
        <v>72</v>
      </c>
      <c r="AR1104" t="s">
        <v>72</v>
      </c>
      <c r="AS1104">
        <v>3639</v>
      </c>
      <c r="AT1104" s="4">
        <v>42724</v>
      </c>
      <c r="AU1104" t="s">
        <v>73</v>
      </c>
      <c r="AV1104">
        <v>3639</v>
      </c>
      <c r="AW1104" s="4">
        <v>42724</v>
      </c>
      <c r="BD1104">
        <v>24.8</v>
      </c>
      <c r="BN1104" t="s">
        <v>74</v>
      </c>
    </row>
    <row r="1105" spans="1:66">
      <c r="A1105">
        <v>100210</v>
      </c>
      <c r="B1105" s="3" t="s">
        <v>141</v>
      </c>
      <c r="C1105" s="1">
        <v>43300101</v>
      </c>
      <c r="D1105" t="s">
        <v>67</v>
      </c>
      <c r="H1105" t="str">
        <f t="shared" si="91"/>
        <v>08082461008</v>
      </c>
      <c r="I1105" t="str">
        <f t="shared" si="91"/>
        <v>08082461008</v>
      </c>
      <c r="K1105" t="str">
        <f>""</f>
        <v/>
      </c>
      <c r="M1105" t="s">
        <v>68</v>
      </c>
      <c r="N1105" t="str">
        <f t="shared" si="89"/>
        <v>FOR</v>
      </c>
      <c r="O1105" t="s">
        <v>69</v>
      </c>
      <c r="P1105" s="3" t="s">
        <v>75</v>
      </c>
      <c r="Q1105">
        <v>2016</v>
      </c>
      <c r="R1105" s="2">
        <v>42450</v>
      </c>
      <c r="S1105" s="2">
        <v>42452</v>
      </c>
      <c r="T1105" s="2">
        <v>42451</v>
      </c>
      <c r="U1105" s="2">
        <v>42511</v>
      </c>
      <c r="V1105" t="s">
        <v>71</v>
      </c>
      <c r="W1105" t="str">
        <f>"            16041451"</f>
        <v xml:space="preserve">            16041451</v>
      </c>
      <c r="X1105">
        <v>644.79999999999995</v>
      </c>
      <c r="Y1105">
        <v>0</v>
      </c>
      <c r="Z1105" s="3">
        <v>620</v>
      </c>
      <c r="AA1105">
        <v>213</v>
      </c>
      <c r="AB1105" s="5">
        <v>132060</v>
      </c>
      <c r="AC1105">
        <v>620</v>
      </c>
      <c r="AD1105">
        <v>213</v>
      </c>
      <c r="AE1105" s="1">
        <v>132060</v>
      </c>
      <c r="AF1105">
        <v>24.8</v>
      </c>
      <c r="AJ1105">
        <v>0</v>
      </c>
      <c r="AK1105">
        <v>0</v>
      </c>
      <c r="AL1105">
        <v>0</v>
      </c>
      <c r="AM1105">
        <v>644.79999999999995</v>
      </c>
      <c r="AN1105">
        <v>644.79999999999995</v>
      </c>
      <c r="AO1105">
        <v>644.79999999999995</v>
      </c>
      <c r="AP1105" s="2">
        <v>42746</v>
      </c>
      <c r="AQ1105" t="s">
        <v>72</v>
      </c>
      <c r="AR1105" t="s">
        <v>72</v>
      </c>
      <c r="AS1105">
        <v>3639</v>
      </c>
      <c r="AT1105" s="4">
        <v>42724</v>
      </c>
      <c r="AU1105" t="s">
        <v>73</v>
      </c>
      <c r="AV1105">
        <v>3639</v>
      </c>
      <c r="AW1105" s="4">
        <v>42724</v>
      </c>
      <c r="BD1105">
        <v>24.8</v>
      </c>
      <c r="BN1105" t="s">
        <v>74</v>
      </c>
    </row>
    <row r="1106" spans="1:66">
      <c r="A1106">
        <v>100210</v>
      </c>
      <c r="B1106" s="3" t="s">
        <v>141</v>
      </c>
      <c r="C1106" s="1">
        <v>43300101</v>
      </c>
      <c r="D1106" t="s">
        <v>67</v>
      </c>
      <c r="H1106" t="str">
        <f t="shared" si="91"/>
        <v>08082461008</v>
      </c>
      <c r="I1106" t="str">
        <f t="shared" si="91"/>
        <v>08082461008</v>
      </c>
      <c r="K1106" t="str">
        <f>""</f>
        <v/>
      </c>
      <c r="M1106" t="s">
        <v>68</v>
      </c>
      <c r="N1106" t="str">
        <f t="shared" si="89"/>
        <v>FOR</v>
      </c>
      <c r="O1106" t="s">
        <v>69</v>
      </c>
      <c r="P1106" s="3" t="s">
        <v>75</v>
      </c>
      <c r="Q1106">
        <v>2016</v>
      </c>
      <c r="R1106" s="2">
        <v>42450</v>
      </c>
      <c r="S1106" s="2">
        <v>42452</v>
      </c>
      <c r="T1106" s="2">
        <v>42450</v>
      </c>
      <c r="U1106" s="2">
        <v>42510</v>
      </c>
      <c r="V1106" t="s">
        <v>71</v>
      </c>
      <c r="W1106" t="str">
        <f>"            16041625"</f>
        <v xml:space="preserve">            16041625</v>
      </c>
      <c r="X1106" s="1">
        <v>3147.6</v>
      </c>
      <c r="Y1106">
        <v>0</v>
      </c>
      <c r="Z1106" s="5">
        <v>2580</v>
      </c>
      <c r="AA1106">
        <v>214</v>
      </c>
      <c r="AB1106" s="5">
        <v>552120</v>
      </c>
      <c r="AC1106" s="1">
        <v>2580</v>
      </c>
      <c r="AD1106">
        <v>214</v>
      </c>
      <c r="AE1106" s="1">
        <v>552120</v>
      </c>
      <c r="AF1106">
        <v>567.6</v>
      </c>
      <c r="AJ1106">
        <v>0</v>
      </c>
      <c r="AK1106">
        <v>0</v>
      </c>
      <c r="AL1106">
        <v>0</v>
      </c>
      <c r="AM1106" s="1">
        <v>3147.6</v>
      </c>
      <c r="AN1106" s="1">
        <v>3147.6</v>
      </c>
      <c r="AO1106" s="1">
        <v>3147.6</v>
      </c>
      <c r="AP1106" s="2">
        <v>42746</v>
      </c>
      <c r="AQ1106" t="s">
        <v>72</v>
      </c>
      <c r="AR1106" t="s">
        <v>72</v>
      </c>
      <c r="AS1106">
        <v>3639</v>
      </c>
      <c r="AT1106" s="4">
        <v>42724</v>
      </c>
      <c r="AU1106" t="s">
        <v>73</v>
      </c>
      <c r="AV1106">
        <v>3639</v>
      </c>
      <c r="AW1106" s="4">
        <v>42724</v>
      </c>
      <c r="BD1106">
        <v>567.6</v>
      </c>
      <c r="BN1106" t="s">
        <v>74</v>
      </c>
    </row>
    <row r="1107" spans="1:66">
      <c r="A1107">
        <v>100210</v>
      </c>
      <c r="B1107" s="3" t="s">
        <v>141</v>
      </c>
      <c r="C1107" s="1">
        <v>43300101</v>
      </c>
      <c r="D1107" t="s">
        <v>67</v>
      </c>
      <c r="H1107" t="str">
        <f t="shared" si="91"/>
        <v>08082461008</v>
      </c>
      <c r="I1107" t="str">
        <f t="shared" si="91"/>
        <v>08082461008</v>
      </c>
      <c r="K1107" t="str">
        <f>""</f>
        <v/>
      </c>
      <c r="M1107" t="s">
        <v>68</v>
      </c>
      <c r="N1107" t="str">
        <f t="shared" si="89"/>
        <v>FOR</v>
      </c>
      <c r="O1107" t="s">
        <v>69</v>
      </c>
      <c r="P1107" s="3" t="s">
        <v>75</v>
      </c>
      <c r="Q1107">
        <v>2016</v>
      </c>
      <c r="R1107" s="2">
        <v>42450</v>
      </c>
      <c r="S1107" s="2">
        <v>42452</v>
      </c>
      <c r="T1107" s="2">
        <v>42450</v>
      </c>
      <c r="U1107" s="2">
        <v>42510</v>
      </c>
      <c r="V1107" t="s">
        <v>71</v>
      </c>
      <c r="W1107" t="str">
        <f>"            16041627"</f>
        <v xml:space="preserve">            16041627</v>
      </c>
      <c r="X1107" s="1">
        <v>11019.8</v>
      </c>
      <c r="Y1107">
        <v>0</v>
      </c>
      <c r="Z1107" s="5">
        <v>9032.6200000000008</v>
      </c>
      <c r="AA1107">
        <v>214</v>
      </c>
      <c r="AB1107" s="5">
        <v>1932980.68</v>
      </c>
      <c r="AC1107" s="1">
        <v>9032.6200000000008</v>
      </c>
      <c r="AD1107">
        <v>214</v>
      </c>
      <c r="AE1107" s="1">
        <v>1932980.68</v>
      </c>
      <c r="AF1107" s="1">
        <v>1987.18</v>
      </c>
      <c r="AJ1107">
        <v>0</v>
      </c>
      <c r="AK1107">
        <v>0</v>
      </c>
      <c r="AL1107">
        <v>0</v>
      </c>
      <c r="AM1107" s="1">
        <v>11019.8</v>
      </c>
      <c r="AN1107" s="1">
        <v>11019.8</v>
      </c>
      <c r="AO1107" s="1">
        <v>11019.8</v>
      </c>
      <c r="AP1107" s="2">
        <v>42746</v>
      </c>
      <c r="AQ1107" t="s">
        <v>72</v>
      </c>
      <c r="AR1107" t="s">
        <v>72</v>
      </c>
      <c r="AS1107">
        <v>3639</v>
      </c>
      <c r="AT1107" s="4">
        <v>42724</v>
      </c>
      <c r="AU1107" t="s">
        <v>73</v>
      </c>
      <c r="AV1107">
        <v>3639</v>
      </c>
      <c r="AW1107" s="4">
        <v>42724</v>
      </c>
      <c r="BD1107" s="1">
        <v>1987.18</v>
      </c>
      <c r="BN1107" t="s">
        <v>74</v>
      </c>
    </row>
    <row r="1108" spans="1:66">
      <c r="A1108">
        <v>100210</v>
      </c>
      <c r="B1108" s="3" t="s">
        <v>141</v>
      </c>
      <c r="C1108" s="1">
        <v>43300101</v>
      </c>
      <c r="D1108" t="s">
        <v>67</v>
      </c>
      <c r="H1108" t="str">
        <f t="shared" si="91"/>
        <v>08082461008</v>
      </c>
      <c r="I1108" t="str">
        <f t="shared" si="91"/>
        <v>08082461008</v>
      </c>
      <c r="K1108" t="str">
        <f>""</f>
        <v/>
      </c>
      <c r="M1108" t="s">
        <v>68</v>
      </c>
      <c r="N1108" t="str">
        <f t="shared" si="89"/>
        <v>FOR</v>
      </c>
      <c r="O1108" t="s">
        <v>69</v>
      </c>
      <c r="P1108" s="3" t="s">
        <v>75</v>
      </c>
      <c r="Q1108">
        <v>2016</v>
      </c>
      <c r="R1108" s="2">
        <v>42458</v>
      </c>
      <c r="S1108" s="2">
        <v>42459</v>
      </c>
      <c r="T1108" s="2">
        <v>42459</v>
      </c>
      <c r="U1108" s="2">
        <v>42519</v>
      </c>
      <c r="V1108" t="s">
        <v>71</v>
      </c>
      <c r="W1108" t="str">
        <f>"            16045816"</f>
        <v xml:space="preserve">            16045816</v>
      </c>
      <c r="X1108" s="1">
        <v>9672</v>
      </c>
      <c r="Y1108">
        <v>0</v>
      </c>
      <c r="Z1108" s="5">
        <v>9300</v>
      </c>
      <c r="AA1108">
        <v>205</v>
      </c>
      <c r="AB1108" s="5">
        <v>1906500</v>
      </c>
      <c r="AC1108" s="1">
        <v>9300</v>
      </c>
      <c r="AD1108">
        <v>205</v>
      </c>
      <c r="AE1108" s="1">
        <v>1906500</v>
      </c>
      <c r="AF1108">
        <v>372</v>
      </c>
      <c r="AJ1108">
        <v>0</v>
      </c>
      <c r="AK1108">
        <v>0</v>
      </c>
      <c r="AL1108">
        <v>0</v>
      </c>
      <c r="AM1108" s="1">
        <v>9672</v>
      </c>
      <c r="AN1108" s="1">
        <v>9672</v>
      </c>
      <c r="AO1108" s="1">
        <v>9672</v>
      </c>
      <c r="AP1108" s="2">
        <v>42746</v>
      </c>
      <c r="AQ1108" t="s">
        <v>72</v>
      </c>
      <c r="AR1108" t="s">
        <v>72</v>
      </c>
      <c r="AS1108">
        <v>3639</v>
      </c>
      <c r="AT1108" s="4">
        <v>42724</v>
      </c>
      <c r="AU1108" t="s">
        <v>73</v>
      </c>
      <c r="AV1108">
        <v>3639</v>
      </c>
      <c r="AW1108" s="4">
        <v>42724</v>
      </c>
      <c r="BD1108">
        <v>372</v>
      </c>
      <c r="BN1108" t="s">
        <v>74</v>
      </c>
    </row>
    <row r="1109" spans="1:66">
      <c r="A1109">
        <v>100210</v>
      </c>
      <c r="B1109" s="3" t="s">
        <v>141</v>
      </c>
      <c r="C1109" s="1">
        <v>43300101</v>
      </c>
      <c r="D1109" t="s">
        <v>67</v>
      </c>
      <c r="H1109" t="str">
        <f t="shared" si="91"/>
        <v>08082461008</v>
      </c>
      <c r="I1109" t="str">
        <f t="shared" si="91"/>
        <v>08082461008</v>
      </c>
      <c r="K1109" t="str">
        <f>""</f>
        <v/>
      </c>
      <c r="M1109" t="s">
        <v>68</v>
      </c>
      <c r="N1109" t="str">
        <f t="shared" si="89"/>
        <v>FOR</v>
      </c>
      <c r="O1109" t="s">
        <v>69</v>
      </c>
      <c r="P1109" s="3" t="s">
        <v>75</v>
      </c>
      <c r="Q1109">
        <v>2016</v>
      </c>
      <c r="R1109" s="2">
        <v>42389</v>
      </c>
      <c r="S1109" s="2">
        <v>42395</v>
      </c>
      <c r="T1109" s="2">
        <v>42390</v>
      </c>
      <c r="U1109" s="2">
        <v>42450</v>
      </c>
      <c r="V1109" t="s">
        <v>71</v>
      </c>
      <c r="W1109" t="str">
        <f>"            98573228"</f>
        <v xml:space="preserve">            98573228</v>
      </c>
      <c r="X1109" s="1">
        <v>12899.54</v>
      </c>
      <c r="Y1109">
        <v>0</v>
      </c>
      <c r="Z1109" s="5">
        <v>12403.4</v>
      </c>
      <c r="AA1109">
        <v>242</v>
      </c>
      <c r="AB1109" s="5">
        <v>3001622.8</v>
      </c>
      <c r="AC1109" s="1">
        <v>12403.4</v>
      </c>
      <c r="AD1109">
        <v>242</v>
      </c>
      <c r="AE1109" s="1">
        <v>3001622.8</v>
      </c>
      <c r="AF1109">
        <v>0</v>
      </c>
      <c r="AJ1109">
        <v>0</v>
      </c>
      <c r="AK1109">
        <v>0</v>
      </c>
      <c r="AL1109">
        <v>0</v>
      </c>
      <c r="AM1109" s="1">
        <v>12899.54</v>
      </c>
      <c r="AN1109" s="1">
        <v>12899.54</v>
      </c>
      <c r="AO1109" s="1">
        <v>12899.54</v>
      </c>
      <c r="AP1109" s="2">
        <v>42746</v>
      </c>
      <c r="AQ1109" t="s">
        <v>72</v>
      </c>
      <c r="AR1109" t="s">
        <v>72</v>
      </c>
      <c r="AS1109">
        <v>3177</v>
      </c>
      <c r="AT1109" s="4">
        <v>42692</v>
      </c>
      <c r="AU1109" t="s">
        <v>73</v>
      </c>
      <c r="AV1109">
        <v>3177</v>
      </c>
      <c r="AW1109" s="4">
        <v>42692</v>
      </c>
      <c r="BD1109">
        <v>0</v>
      </c>
      <c r="BN1109" t="s">
        <v>74</v>
      </c>
    </row>
    <row r="1110" spans="1:66">
      <c r="A1110">
        <v>100210</v>
      </c>
      <c r="B1110" s="3" t="s">
        <v>141</v>
      </c>
      <c r="C1110" s="1">
        <v>43300101</v>
      </c>
      <c r="D1110" t="s">
        <v>67</v>
      </c>
      <c r="H1110" t="str">
        <f t="shared" si="91"/>
        <v>08082461008</v>
      </c>
      <c r="I1110" t="str">
        <f t="shared" si="91"/>
        <v>08082461008</v>
      </c>
      <c r="K1110" t="str">
        <f>""</f>
        <v/>
      </c>
      <c r="M1110" t="s">
        <v>68</v>
      </c>
      <c r="N1110" t="str">
        <f t="shared" si="89"/>
        <v>FOR</v>
      </c>
      <c r="O1110" t="s">
        <v>69</v>
      </c>
      <c r="P1110" s="3" t="s">
        <v>75</v>
      </c>
      <c r="Q1110">
        <v>2016</v>
      </c>
      <c r="R1110" s="2">
        <v>42390</v>
      </c>
      <c r="S1110" s="2">
        <v>42395</v>
      </c>
      <c r="T1110" s="2">
        <v>42390</v>
      </c>
      <c r="U1110" s="2">
        <v>42450</v>
      </c>
      <c r="V1110" t="s">
        <v>71</v>
      </c>
      <c r="W1110" t="str">
        <f>"            98573501"</f>
        <v xml:space="preserve">            98573501</v>
      </c>
      <c r="X1110">
        <v>584.6</v>
      </c>
      <c r="Y1110">
        <v>0</v>
      </c>
      <c r="Z1110" s="3">
        <v>562.12</v>
      </c>
      <c r="AA1110">
        <v>242</v>
      </c>
      <c r="AB1110" s="5">
        <v>136033.04</v>
      </c>
      <c r="AC1110">
        <v>562.12</v>
      </c>
      <c r="AD1110">
        <v>242</v>
      </c>
      <c r="AE1110" s="1">
        <v>136033.04</v>
      </c>
      <c r="AF1110">
        <v>0</v>
      </c>
      <c r="AJ1110">
        <v>0</v>
      </c>
      <c r="AK1110">
        <v>0</v>
      </c>
      <c r="AL1110">
        <v>0</v>
      </c>
      <c r="AM1110">
        <v>584.6</v>
      </c>
      <c r="AN1110">
        <v>584.6</v>
      </c>
      <c r="AO1110">
        <v>584.6</v>
      </c>
      <c r="AP1110" s="2">
        <v>42746</v>
      </c>
      <c r="AQ1110" t="s">
        <v>72</v>
      </c>
      <c r="AR1110" t="s">
        <v>72</v>
      </c>
      <c r="AS1110">
        <v>3177</v>
      </c>
      <c r="AT1110" s="4">
        <v>42692</v>
      </c>
      <c r="AU1110" t="s">
        <v>73</v>
      </c>
      <c r="AV1110">
        <v>3177</v>
      </c>
      <c r="AW1110" s="4">
        <v>42692</v>
      </c>
      <c r="BD1110">
        <v>0</v>
      </c>
      <c r="BN1110" t="s">
        <v>74</v>
      </c>
    </row>
    <row r="1111" spans="1:66">
      <c r="A1111">
        <v>100210</v>
      </c>
      <c r="B1111" s="3" t="s">
        <v>141</v>
      </c>
      <c r="C1111" s="1">
        <v>43300101</v>
      </c>
      <c r="D1111" t="s">
        <v>67</v>
      </c>
      <c r="H1111" t="str">
        <f t="shared" si="91"/>
        <v>08082461008</v>
      </c>
      <c r="I1111" t="str">
        <f t="shared" si="91"/>
        <v>08082461008</v>
      </c>
      <c r="K1111" t="str">
        <f>""</f>
        <v/>
      </c>
      <c r="M1111" t="s">
        <v>68</v>
      </c>
      <c r="N1111" t="str">
        <f t="shared" si="89"/>
        <v>FOR</v>
      </c>
      <c r="O1111" t="s">
        <v>69</v>
      </c>
      <c r="P1111" s="3" t="s">
        <v>75</v>
      </c>
      <c r="Q1111">
        <v>2016</v>
      </c>
      <c r="R1111" s="2">
        <v>42391</v>
      </c>
      <c r="S1111" s="2">
        <v>42395</v>
      </c>
      <c r="T1111" s="2">
        <v>42391</v>
      </c>
      <c r="U1111" s="2">
        <v>42451</v>
      </c>
      <c r="V1111" t="s">
        <v>71</v>
      </c>
      <c r="W1111" t="str">
        <f>"            98573740"</f>
        <v xml:space="preserve">            98573740</v>
      </c>
      <c r="X1111">
        <v>552.24</v>
      </c>
      <c r="Y1111">
        <v>0</v>
      </c>
      <c r="Z1111" s="3">
        <v>531</v>
      </c>
      <c r="AA1111">
        <v>241</v>
      </c>
      <c r="AB1111" s="5">
        <v>127971</v>
      </c>
      <c r="AC1111">
        <v>531</v>
      </c>
      <c r="AD1111">
        <v>241</v>
      </c>
      <c r="AE1111" s="1">
        <v>127971</v>
      </c>
      <c r="AF1111">
        <v>0</v>
      </c>
      <c r="AJ1111">
        <v>0</v>
      </c>
      <c r="AK1111">
        <v>0</v>
      </c>
      <c r="AL1111">
        <v>0</v>
      </c>
      <c r="AM1111">
        <v>552.24</v>
      </c>
      <c r="AN1111">
        <v>552.24</v>
      </c>
      <c r="AO1111">
        <v>552.24</v>
      </c>
      <c r="AP1111" s="2">
        <v>42746</v>
      </c>
      <c r="AQ1111" t="s">
        <v>72</v>
      </c>
      <c r="AR1111" t="s">
        <v>72</v>
      </c>
      <c r="AS1111">
        <v>3177</v>
      </c>
      <c r="AT1111" s="4">
        <v>42692</v>
      </c>
      <c r="AU1111" t="s">
        <v>73</v>
      </c>
      <c r="AV1111">
        <v>3177</v>
      </c>
      <c r="AW1111" s="4">
        <v>42692</v>
      </c>
      <c r="BD1111">
        <v>0</v>
      </c>
      <c r="BN1111" t="s">
        <v>74</v>
      </c>
    </row>
    <row r="1112" spans="1:66">
      <c r="A1112">
        <v>100210</v>
      </c>
      <c r="B1112" s="3" t="s">
        <v>141</v>
      </c>
      <c r="C1112" s="1">
        <v>43300101</v>
      </c>
      <c r="D1112" t="s">
        <v>67</v>
      </c>
      <c r="H1112" t="str">
        <f t="shared" si="91"/>
        <v>08082461008</v>
      </c>
      <c r="I1112" t="str">
        <f t="shared" si="91"/>
        <v>08082461008</v>
      </c>
      <c r="K1112" t="str">
        <f>""</f>
        <v/>
      </c>
      <c r="M1112" t="s">
        <v>68</v>
      </c>
      <c r="N1112" t="str">
        <f t="shared" si="89"/>
        <v>FOR</v>
      </c>
      <c r="O1112" t="s">
        <v>69</v>
      </c>
      <c r="P1112" s="3" t="s">
        <v>75</v>
      </c>
      <c r="Q1112">
        <v>2016</v>
      </c>
      <c r="R1112" s="2">
        <v>42391</v>
      </c>
      <c r="S1112" s="2">
        <v>42395</v>
      </c>
      <c r="T1112" s="2">
        <v>42391</v>
      </c>
      <c r="U1112" s="2">
        <v>42451</v>
      </c>
      <c r="V1112" t="s">
        <v>71</v>
      </c>
      <c r="W1112" t="str">
        <f>"            98573741"</f>
        <v xml:space="preserve">            98573741</v>
      </c>
      <c r="X1112" s="1">
        <v>1840.88</v>
      </c>
      <c r="Y1112">
        <v>0</v>
      </c>
      <c r="Z1112" s="5">
        <v>1770.08</v>
      </c>
      <c r="AA1112">
        <v>241</v>
      </c>
      <c r="AB1112" s="5">
        <v>426589.28</v>
      </c>
      <c r="AC1112" s="1">
        <v>1770.08</v>
      </c>
      <c r="AD1112">
        <v>241</v>
      </c>
      <c r="AE1112" s="1">
        <v>426589.28</v>
      </c>
      <c r="AF1112">
        <v>0</v>
      </c>
      <c r="AJ1112">
        <v>0</v>
      </c>
      <c r="AK1112">
        <v>0</v>
      </c>
      <c r="AL1112">
        <v>0</v>
      </c>
      <c r="AM1112" s="1">
        <v>1840.88</v>
      </c>
      <c r="AN1112" s="1">
        <v>1840.88</v>
      </c>
      <c r="AO1112" s="1">
        <v>1840.88</v>
      </c>
      <c r="AP1112" s="2">
        <v>42746</v>
      </c>
      <c r="AQ1112" t="s">
        <v>72</v>
      </c>
      <c r="AR1112" t="s">
        <v>72</v>
      </c>
      <c r="AS1112">
        <v>3177</v>
      </c>
      <c r="AT1112" s="4">
        <v>42692</v>
      </c>
      <c r="AU1112" t="s">
        <v>73</v>
      </c>
      <c r="AV1112">
        <v>3177</v>
      </c>
      <c r="AW1112" s="4">
        <v>42692</v>
      </c>
      <c r="BD1112">
        <v>0</v>
      </c>
      <c r="BN1112" t="s">
        <v>74</v>
      </c>
    </row>
    <row r="1113" spans="1:66">
      <c r="A1113">
        <v>100210</v>
      </c>
      <c r="B1113" s="3" t="s">
        <v>141</v>
      </c>
      <c r="C1113" s="1">
        <v>43300101</v>
      </c>
      <c r="D1113" t="s">
        <v>67</v>
      </c>
      <c r="H1113" t="str">
        <f t="shared" si="91"/>
        <v>08082461008</v>
      </c>
      <c r="I1113" t="str">
        <f t="shared" si="91"/>
        <v>08082461008</v>
      </c>
      <c r="K1113" t="str">
        <f>""</f>
        <v/>
      </c>
      <c r="M1113" t="s">
        <v>68</v>
      </c>
      <c r="N1113" t="str">
        <f t="shared" si="89"/>
        <v>FOR</v>
      </c>
      <c r="O1113" t="s">
        <v>69</v>
      </c>
      <c r="P1113" s="3" t="s">
        <v>75</v>
      </c>
      <c r="Q1113">
        <v>2016</v>
      </c>
      <c r="R1113" s="2">
        <v>42416</v>
      </c>
      <c r="S1113" s="2">
        <v>42417</v>
      </c>
      <c r="T1113" s="2">
        <v>42416</v>
      </c>
      <c r="U1113" s="2">
        <v>42476</v>
      </c>
      <c r="V1113" t="s">
        <v>71</v>
      </c>
      <c r="W1113" t="str">
        <f>"            98578199"</f>
        <v xml:space="preserve">            98578199</v>
      </c>
      <c r="X1113" s="1">
        <v>7845.05</v>
      </c>
      <c r="Y1113">
        <v>0</v>
      </c>
      <c r="Z1113" s="5">
        <v>7543.32</v>
      </c>
      <c r="AA1113">
        <v>244</v>
      </c>
      <c r="AB1113" s="5">
        <v>1840570.08</v>
      </c>
      <c r="AC1113" s="1">
        <v>7543.32</v>
      </c>
      <c r="AD1113">
        <v>244</v>
      </c>
      <c r="AE1113" s="1">
        <v>1840570.08</v>
      </c>
      <c r="AF1113">
        <v>301.73</v>
      </c>
      <c r="AJ1113">
        <v>0</v>
      </c>
      <c r="AK1113">
        <v>0</v>
      </c>
      <c r="AL1113">
        <v>0</v>
      </c>
      <c r="AM1113" s="1">
        <v>7845.05</v>
      </c>
      <c r="AN1113" s="1">
        <v>7845.05</v>
      </c>
      <c r="AO1113" s="1">
        <v>7845.05</v>
      </c>
      <c r="AP1113" s="2">
        <v>42746</v>
      </c>
      <c r="AQ1113" t="s">
        <v>72</v>
      </c>
      <c r="AR1113" t="s">
        <v>72</v>
      </c>
      <c r="AS1113">
        <v>3545</v>
      </c>
      <c r="AT1113" s="4">
        <v>42720</v>
      </c>
      <c r="AU1113" t="s">
        <v>73</v>
      </c>
      <c r="AV1113">
        <v>3545</v>
      </c>
      <c r="AW1113" s="4">
        <v>42720</v>
      </c>
      <c r="BD1113">
        <v>301.73</v>
      </c>
      <c r="BN1113" t="s">
        <v>74</v>
      </c>
    </row>
    <row r="1114" spans="1:66">
      <c r="A1114">
        <v>100210</v>
      </c>
      <c r="B1114" s="3" t="s">
        <v>141</v>
      </c>
      <c r="C1114" s="1">
        <v>43300101</v>
      </c>
      <c r="D1114" t="s">
        <v>67</v>
      </c>
      <c r="H1114" t="str">
        <f t="shared" si="91"/>
        <v>08082461008</v>
      </c>
      <c r="I1114" t="str">
        <f t="shared" si="91"/>
        <v>08082461008</v>
      </c>
      <c r="K1114" t="str">
        <f>""</f>
        <v/>
      </c>
      <c r="M1114" t="s">
        <v>68</v>
      </c>
      <c r="N1114" t="str">
        <f t="shared" si="89"/>
        <v>FOR</v>
      </c>
      <c r="O1114" t="s">
        <v>69</v>
      </c>
      <c r="P1114" s="3" t="s">
        <v>75</v>
      </c>
      <c r="Q1114">
        <v>2016</v>
      </c>
      <c r="R1114" s="2">
        <v>42418</v>
      </c>
      <c r="S1114" s="2">
        <v>42422</v>
      </c>
      <c r="T1114" s="2">
        <v>42418</v>
      </c>
      <c r="U1114" s="2">
        <v>42478</v>
      </c>
      <c r="V1114" t="s">
        <v>71</v>
      </c>
      <c r="W1114" t="str">
        <f>"            98578656"</f>
        <v xml:space="preserve">            98578656</v>
      </c>
      <c r="X1114">
        <v>920.44</v>
      </c>
      <c r="Y1114">
        <v>0</v>
      </c>
      <c r="Z1114" s="3">
        <v>885.04</v>
      </c>
      <c r="AA1114">
        <v>242</v>
      </c>
      <c r="AB1114" s="5">
        <v>214179.68</v>
      </c>
      <c r="AC1114">
        <v>885.04</v>
      </c>
      <c r="AD1114">
        <v>242</v>
      </c>
      <c r="AE1114" s="1">
        <v>214179.68</v>
      </c>
      <c r="AF1114">
        <v>35.4</v>
      </c>
      <c r="AJ1114">
        <v>0</v>
      </c>
      <c r="AK1114">
        <v>0</v>
      </c>
      <c r="AL1114">
        <v>0</v>
      </c>
      <c r="AM1114">
        <v>920.44</v>
      </c>
      <c r="AN1114">
        <v>920.44</v>
      </c>
      <c r="AO1114">
        <v>920.44</v>
      </c>
      <c r="AP1114" s="2">
        <v>42746</v>
      </c>
      <c r="AQ1114" t="s">
        <v>72</v>
      </c>
      <c r="AR1114" t="s">
        <v>72</v>
      </c>
      <c r="AS1114">
        <v>3545</v>
      </c>
      <c r="AT1114" s="4">
        <v>42720</v>
      </c>
      <c r="AU1114" t="s">
        <v>73</v>
      </c>
      <c r="AV1114">
        <v>3545</v>
      </c>
      <c r="AW1114" s="4">
        <v>42720</v>
      </c>
      <c r="BD1114">
        <v>35.4</v>
      </c>
      <c r="BN1114" t="s">
        <v>74</v>
      </c>
    </row>
    <row r="1115" spans="1:66">
      <c r="A1115">
        <v>100210</v>
      </c>
      <c r="B1115" s="3" t="s">
        <v>141</v>
      </c>
      <c r="C1115" s="1">
        <v>43300101</v>
      </c>
      <c r="D1115" t="s">
        <v>67</v>
      </c>
      <c r="H1115" t="str">
        <f t="shared" si="91"/>
        <v>08082461008</v>
      </c>
      <c r="I1115" t="str">
        <f t="shared" si="91"/>
        <v>08082461008</v>
      </c>
      <c r="K1115" t="str">
        <f>""</f>
        <v/>
      </c>
      <c r="M1115" t="s">
        <v>68</v>
      </c>
      <c r="N1115" t="str">
        <f t="shared" si="89"/>
        <v>FOR</v>
      </c>
      <c r="O1115" t="s">
        <v>69</v>
      </c>
      <c r="P1115" s="3" t="s">
        <v>75</v>
      </c>
      <c r="Q1115">
        <v>2016</v>
      </c>
      <c r="R1115" s="2">
        <v>42419</v>
      </c>
      <c r="S1115" s="2">
        <v>42422</v>
      </c>
      <c r="T1115" s="2">
        <v>42419</v>
      </c>
      <c r="U1115" s="2">
        <v>42479</v>
      </c>
      <c r="V1115" t="s">
        <v>71</v>
      </c>
      <c r="W1115" t="str">
        <f>"            98578916"</f>
        <v xml:space="preserve">            98578916</v>
      </c>
      <c r="X1115">
        <v>161.69999999999999</v>
      </c>
      <c r="Y1115">
        <v>0</v>
      </c>
      <c r="Z1115" s="3">
        <v>155.47999999999999</v>
      </c>
      <c r="AA1115">
        <v>241</v>
      </c>
      <c r="AB1115" s="5">
        <v>37470.68</v>
      </c>
      <c r="AC1115">
        <v>155.47999999999999</v>
      </c>
      <c r="AD1115">
        <v>241</v>
      </c>
      <c r="AE1115" s="1">
        <v>37470.68</v>
      </c>
      <c r="AF1115">
        <v>6.22</v>
      </c>
      <c r="AJ1115">
        <v>0</v>
      </c>
      <c r="AK1115">
        <v>0</v>
      </c>
      <c r="AL1115">
        <v>0</v>
      </c>
      <c r="AM1115">
        <v>161.69999999999999</v>
      </c>
      <c r="AN1115">
        <v>161.69999999999999</v>
      </c>
      <c r="AO1115">
        <v>161.69999999999999</v>
      </c>
      <c r="AP1115" s="2">
        <v>42746</v>
      </c>
      <c r="AQ1115" t="s">
        <v>72</v>
      </c>
      <c r="AR1115" t="s">
        <v>72</v>
      </c>
      <c r="AS1115">
        <v>3545</v>
      </c>
      <c r="AT1115" s="4">
        <v>42720</v>
      </c>
      <c r="AU1115" t="s">
        <v>73</v>
      </c>
      <c r="AV1115">
        <v>3545</v>
      </c>
      <c r="AW1115" s="4">
        <v>42720</v>
      </c>
      <c r="BD1115">
        <v>6.22</v>
      </c>
      <c r="BN1115" t="s">
        <v>74</v>
      </c>
    </row>
    <row r="1116" spans="1:66">
      <c r="A1116">
        <v>100210</v>
      </c>
      <c r="B1116" s="3" t="s">
        <v>141</v>
      </c>
      <c r="C1116" s="1">
        <v>43300101</v>
      </c>
      <c r="D1116" t="s">
        <v>67</v>
      </c>
      <c r="H1116" t="str">
        <f t="shared" si="91"/>
        <v>08082461008</v>
      </c>
      <c r="I1116" t="str">
        <f t="shared" si="91"/>
        <v>08082461008</v>
      </c>
      <c r="K1116" t="str">
        <f>""</f>
        <v/>
      </c>
      <c r="M1116" t="s">
        <v>68</v>
      </c>
      <c r="N1116" t="str">
        <f t="shared" si="89"/>
        <v>FOR</v>
      </c>
      <c r="O1116" t="s">
        <v>69</v>
      </c>
      <c r="P1116" s="3" t="s">
        <v>75</v>
      </c>
      <c r="Q1116">
        <v>2016</v>
      </c>
      <c r="R1116" s="2">
        <v>42425</v>
      </c>
      <c r="S1116" s="2">
        <v>42436</v>
      </c>
      <c r="T1116" s="2">
        <v>42425</v>
      </c>
      <c r="U1116" s="2">
        <v>42485</v>
      </c>
      <c r="V1116" t="s">
        <v>71</v>
      </c>
      <c r="W1116" t="str">
        <f>"            98579998"</f>
        <v xml:space="preserve">            98579998</v>
      </c>
      <c r="X1116" s="1">
        <v>1253.8</v>
      </c>
      <c r="Y1116">
        <v>0</v>
      </c>
      <c r="Z1116" s="5">
        <v>1205.58</v>
      </c>
      <c r="AA1116">
        <v>235</v>
      </c>
      <c r="AB1116" s="5">
        <v>283311.3</v>
      </c>
      <c r="AC1116" s="1">
        <v>1205.58</v>
      </c>
      <c r="AD1116">
        <v>235</v>
      </c>
      <c r="AE1116" s="1">
        <v>283311.3</v>
      </c>
      <c r="AF1116">
        <v>48.22</v>
      </c>
      <c r="AJ1116">
        <v>0</v>
      </c>
      <c r="AK1116">
        <v>0</v>
      </c>
      <c r="AL1116">
        <v>0</v>
      </c>
      <c r="AM1116" s="1">
        <v>1253.8</v>
      </c>
      <c r="AN1116" s="1">
        <v>1253.8</v>
      </c>
      <c r="AO1116" s="1">
        <v>1253.8</v>
      </c>
      <c r="AP1116" s="2">
        <v>42746</v>
      </c>
      <c r="AQ1116" t="s">
        <v>72</v>
      </c>
      <c r="AR1116" t="s">
        <v>72</v>
      </c>
      <c r="AS1116">
        <v>3545</v>
      </c>
      <c r="AT1116" s="4">
        <v>42720</v>
      </c>
      <c r="AU1116" t="s">
        <v>73</v>
      </c>
      <c r="AV1116">
        <v>3545</v>
      </c>
      <c r="AW1116" s="4">
        <v>42720</v>
      </c>
      <c r="BD1116">
        <v>48.22</v>
      </c>
      <c r="BN1116" t="s">
        <v>74</v>
      </c>
    </row>
    <row r="1117" spans="1:66">
      <c r="A1117">
        <v>100210</v>
      </c>
      <c r="B1117" s="3" t="s">
        <v>141</v>
      </c>
      <c r="C1117" s="1">
        <v>43300101</v>
      </c>
      <c r="D1117" t="s">
        <v>67</v>
      </c>
      <c r="H1117" t="str">
        <f t="shared" ref="H1117:I1124" si="92">"08082461008"</f>
        <v>08082461008</v>
      </c>
      <c r="I1117" t="str">
        <f t="shared" si="92"/>
        <v>08082461008</v>
      </c>
      <c r="K1117" t="str">
        <f>""</f>
        <v/>
      </c>
      <c r="M1117" t="s">
        <v>68</v>
      </c>
      <c r="N1117" t="str">
        <f t="shared" si="89"/>
        <v>FOR</v>
      </c>
      <c r="O1117" t="s">
        <v>69</v>
      </c>
      <c r="P1117" s="3" t="s">
        <v>75</v>
      </c>
      <c r="Q1117">
        <v>2016</v>
      </c>
      <c r="R1117" s="2">
        <v>42425</v>
      </c>
      <c r="S1117" s="2">
        <v>42436</v>
      </c>
      <c r="T1117" s="2">
        <v>42425</v>
      </c>
      <c r="U1117" s="2">
        <v>42485</v>
      </c>
      <c r="V1117" t="s">
        <v>71</v>
      </c>
      <c r="W1117" t="str">
        <f>"            98580098"</f>
        <v xml:space="preserve">            98580098</v>
      </c>
      <c r="X1117" s="1">
        <v>1554.8</v>
      </c>
      <c r="Y1117">
        <v>0</v>
      </c>
      <c r="Z1117" s="5">
        <v>1495</v>
      </c>
      <c r="AA1117">
        <v>235</v>
      </c>
      <c r="AB1117" s="5">
        <v>351325</v>
      </c>
      <c r="AC1117" s="1">
        <v>1495</v>
      </c>
      <c r="AD1117">
        <v>235</v>
      </c>
      <c r="AE1117" s="1">
        <v>351325</v>
      </c>
      <c r="AF1117">
        <v>59.8</v>
      </c>
      <c r="AJ1117">
        <v>0</v>
      </c>
      <c r="AK1117">
        <v>0</v>
      </c>
      <c r="AL1117">
        <v>0</v>
      </c>
      <c r="AM1117" s="1">
        <v>1554.8</v>
      </c>
      <c r="AN1117" s="1">
        <v>1554.8</v>
      </c>
      <c r="AO1117" s="1">
        <v>1554.8</v>
      </c>
      <c r="AP1117" s="2">
        <v>42746</v>
      </c>
      <c r="AQ1117" t="s">
        <v>72</v>
      </c>
      <c r="AR1117" t="s">
        <v>72</v>
      </c>
      <c r="AS1117">
        <v>3545</v>
      </c>
      <c r="AT1117" s="4">
        <v>42720</v>
      </c>
      <c r="AU1117" t="s">
        <v>73</v>
      </c>
      <c r="AV1117">
        <v>3545</v>
      </c>
      <c r="AW1117" s="4">
        <v>42720</v>
      </c>
      <c r="BD1117">
        <v>59.8</v>
      </c>
      <c r="BN1117" t="s">
        <v>74</v>
      </c>
    </row>
    <row r="1118" spans="1:66">
      <c r="A1118">
        <v>100210</v>
      </c>
      <c r="B1118" s="3" t="s">
        <v>141</v>
      </c>
      <c r="C1118" s="1">
        <v>43300101</v>
      </c>
      <c r="D1118" t="s">
        <v>67</v>
      </c>
      <c r="H1118" t="str">
        <f t="shared" si="92"/>
        <v>08082461008</v>
      </c>
      <c r="I1118" t="str">
        <f t="shared" si="92"/>
        <v>08082461008</v>
      </c>
      <c r="K1118" t="str">
        <f>""</f>
        <v/>
      </c>
      <c r="M1118" t="s">
        <v>68</v>
      </c>
      <c r="N1118" t="str">
        <f t="shared" si="89"/>
        <v>FOR</v>
      </c>
      <c r="O1118" t="s">
        <v>69</v>
      </c>
      <c r="P1118" s="3" t="s">
        <v>75</v>
      </c>
      <c r="Q1118">
        <v>2016</v>
      </c>
      <c r="R1118" s="2">
        <v>42425</v>
      </c>
      <c r="S1118" s="2">
        <v>42436</v>
      </c>
      <c r="T1118" s="2">
        <v>42425</v>
      </c>
      <c r="U1118" s="2">
        <v>42485</v>
      </c>
      <c r="V1118" t="s">
        <v>71</v>
      </c>
      <c r="W1118" t="str">
        <f>"            98580099"</f>
        <v xml:space="preserve">            98580099</v>
      </c>
      <c r="X1118" s="1">
        <v>1767.49</v>
      </c>
      <c r="Y1118">
        <v>0</v>
      </c>
      <c r="Z1118" s="5">
        <v>1699.51</v>
      </c>
      <c r="AA1118">
        <v>235</v>
      </c>
      <c r="AB1118" s="5">
        <v>399384.85</v>
      </c>
      <c r="AC1118" s="1">
        <v>1699.51</v>
      </c>
      <c r="AD1118">
        <v>235</v>
      </c>
      <c r="AE1118" s="1">
        <v>399384.85</v>
      </c>
      <c r="AF1118">
        <v>67.98</v>
      </c>
      <c r="AJ1118">
        <v>0</v>
      </c>
      <c r="AK1118">
        <v>0</v>
      </c>
      <c r="AL1118">
        <v>0</v>
      </c>
      <c r="AM1118" s="1">
        <v>1767.49</v>
      </c>
      <c r="AN1118" s="1">
        <v>1767.49</v>
      </c>
      <c r="AO1118" s="1">
        <v>1767.49</v>
      </c>
      <c r="AP1118" s="2">
        <v>42746</v>
      </c>
      <c r="AQ1118" t="s">
        <v>72</v>
      </c>
      <c r="AR1118" t="s">
        <v>72</v>
      </c>
      <c r="AS1118">
        <v>3545</v>
      </c>
      <c r="AT1118" s="4">
        <v>42720</v>
      </c>
      <c r="AU1118" t="s">
        <v>73</v>
      </c>
      <c r="AV1118">
        <v>3545</v>
      </c>
      <c r="AW1118" s="4">
        <v>42720</v>
      </c>
      <c r="BD1118">
        <v>67.98</v>
      </c>
      <c r="BN1118" t="s">
        <v>74</v>
      </c>
    </row>
    <row r="1119" spans="1:66">
      <c r="A1119">
        <v>100210</v>
      </c>
      <c r="B1119" s="3" t="s">
        <v>141</v>
      </c>
      <c r="C1119" s="1">
        <v>43300101</v>
      </c>
      <c r="D1119" t="s">
        <v>67</v>
      </c>
      <c r="H1119" t="str">
        <f t="shared" si="92"/>
        <v>08082461008</v>
      </c>
      <c r="I1119" t="str">
        <f t="shared" si="92"/>
        <v>08082461008</v>
      </c>
      <c r="K1119" t="str">
        <f>""</f>
        <v/>
      </c>
      <c r="M1119" t="s">
        <v>68</v>
      </c>
      <c r="N1119" t="str">
        <f t="shared" si="89"/>
        <v>FOR</v>
      </c>
      <c r="O1119" t="s">
        <v>69</v>
      </c>
      <c r="P1119" s="3" t="s">
        <v>75</v>
      </c>
      <c r="Q1119">
        <v>2016</v>
      </c>
      <c r="R1119" s="2">
        <v>42426</v>
      </c>
      <c r="S1119" s="2">
        <v>42436</v>
      </c>
      <c r="T1119" s="2">
        <v>42426</v>
      </c>
      <c r="U1119" s="2">
        <v>42486</v>
      </c>
      <c r="V1119" t="s">
        <v>71</v>
      </c>
      <c r="W1119" t="str">
        <f>"            98580590"</f>
        <v xml:space="preserve">            98580590</v>
      </c>
      <c r="X1119" s="1">
        <v>1253.8</v>
      </c>
      <c r="Y1119">
        <v>0</v>
      </c>
      <c r="Z1119" s="5">
        <v>1205.58</v>
      </c>
      <c r="AA1119">
        <v>234</v>
      </c>
      <c r="AB1119" s="5">
        <v>282105.71999999997</v>
      </c>
      <c r="AC1119" s="1">
        <v>1205.58</v>
      </c>
      <c r="AD1119">
        <v>234</v>
      </c>
      <c r="AE1119" s="1">
        <v>282105.71999999997</v>
      </c>
      <c r="AF1119">
        <v>48.22</v>
      </c>
      <c r="AJ1119">
        <v>0</v>
      </c>
      <c r="AK1119">
        <v>0</v>
      </c>
      <c r="AL1119">
        <v>0</v>
      </c>
      <c r="AM1119" s="1">
        <v>1253.8</v>
      </c>
      <c r="AN1119" s="1">
        <v>1253.8</v>
      </c>
      <c r="AO1119" s="1">
        <v>1253.8</v>
      </c>
      <c r="AP1119" s="2">
        <v>42746</v>
      </c>
      <c r="AQ1119" t="s">
        <v>72</v>
      </c>
      <c r="AR1119" t="s">
        <v>72</v>
      </c>
      <c r="AS1119">
        <v>3545</v>
      </c>
      <c r="AT1119" s="4">
        <v>42720</v>
      </c>
      <c r="AU1119" t="s">
        <v>73</v>
      </c>
      <c r="AV1119">
        <v>3545</v>
      </c>
      <c r="AW1119" s="4">
        <v>42720</v>
      </c>
      <c r="BD1119">
        <v>48.22</v>
      </c>
      <c r="BN1119" t="s">
        <v>74</v>
      </c>
    </row>
    <row r="1120" spans="1:66">
      <c r="A1120">
        <v>100210</v>
      </c>
      <c r="B1120" s="3" t="s">
        <v>141</v>
      </c>
      <c r="C1120" s="1">
        <v>43300101</v>
      </c>
      <c r="D1120" t="s">
        <v>67</v>
      </c>
      <c r="H1120" t="str">
        <f t="shared" si="92"/>
        <v>08082461008</v>
      </c>
      <c r="I1120" t="str">
        <f t="shared" si="92"/>
        <v>08082461008</v>
      </c>
      <c r="K1120" t="str">
        <f>""</f>
        <v/>
      </c>
      <c r="M1120" t="s">
        <v>68</v>
      </c>
      <c r="N1120" t="str">
        <f t="shared" si="89"/>
        <v>FOR</v>
      </c>
      <c r="O1120" t="s">
        <v>69</v>
      </c>
      <c r="P1120" s="3" t="s">
        <v>75</v>
      </c>
      <c r="Q1120">
        <v>2016</v>
      </c>
      <c r="R1120" s="2">
        <v>42426</v>
      </c>
      <c r="S1120" s="2">
        <v>42436</v>
      </c>
      <c r="T1120" s="2">
        <v>42426</v>
      </c>
      <c r="U1120" s="2">
        <v>42486</v>
      </c>
      <c r="V1120" t="s">
        <v>71</v>
      </c>
      <c r="W1120" t="str">
        <f>"            98580591"</f>
        <v xml:space="preserve">            98580591</v>
      </c>
      <c r="X1120">
        <v>835.87</v>
      </c>
      <c r="Y1120">
        <v>0</v>
      </c>
      <c r="Z1120" s="3">
        <v>803.72</v>
      </c>
      <c r="AA1120">
        <v>234</v>
      </c>
      <c r="AB1120" s="5">
        <v>188070.48</v>
      </c>
      <c r="AC1120">
        <v>803.72</v>
      </c>
      <c r="AD1120">
        <v>234</v>
      </c>
      <c r="AE1120" s="1">
        <v>188070.48</v>
      </c>
      <c r="AF1120">
        <v>32.15</v>
      </c>
      <c r="AJ1120">
        <v>0</v>
      </c>
      <c r="AK1120">
        <v>0</v>
      </c>
      <c r="AL1120">
        <v>0</v>
      </c>
      <c r="AM1120">
        <v>835.87</v>
      </c>
      <c r="AN1120">
        <v>835.87</v>
      </c>
      <c r="AO1120">
        <v>835.87</v>
      </c>
      <c r="AP1120" s="2">
        <v>42746</v>
      </c>
      <c r="AQ1120" t="s">
        <v>72</v>
      </c>
      <c r="AR1120" t="s">
        <v>72</v>
      </c>
      <c r="AS1120">
        <v>3545</v>
      </c>
      <c r="AT1120" s="4">
        <v>42720</v>
      </c>
      <c r="AU1120" t="s">
        <v>73</v>
      </c>
      <c r="AV1120">
        <v>3545</v>
      </c>
      <c r="AW1120" s="4">
        <v>42720</v>
      </c>
      <c r="BD1120">
        <v>32.15</v>
      </c>
      <c r="BN1120" t="s">
        <v>74</v>
      </c>
    </row>
    <row r="1121" spans="1:66">
      <c r="A1121">
        <v>100210</v>
      </c>
      <c r="B1121" s="3" t="s">
        <v>141</v>
      </c>
      <c r="C1121" s="1">
        <v>43300101</v>
      </c>
      <c r="D1121" t="s">
        <v>67</v>
      </c>
      <c r="H1121" t="str">
        <f t="shared" si="92"/>
        <v>08082461008</v>
      </c>
      <c r="I1121" t="str">
        <f t="shared" si="92"/>
        <v>08082461008</v>
      </c>
      <c r="K1121" t="str">
        <f>""</f>
        <v/>
      </c>
      <c r="M1121" t="s">
        <v>68</v>
      </c>
      <c r="N1121" t="str">
        <f t="shared" si="89"/>
        <v>FOR</v>
      </c>
      <c r="O1121" t="s">
        <v>69</v>
      </c>
      <c r="P1121" s="3" t="s">
        <v>75</v>
      </c>
      <c r="Q1121">
        <v>2016</v>
      </c>
      <c r="R1121" s="2">
        <v>42446</v>
      </c>
      <c r="S1121" s="2">
        <v>42446</v>
      </c>
      <c r="T1121" s="2">
        <v>42446</v>
      </c>
      <c r="U1121" s="2">
        <v>42506</v>
      </c>
      <c r="V1121" t="s">
        <v>71</v>
      </c>
      <c r="W1121" t="str">
        <f>"            98583771"</f>
        <v xml:space="preserve">            98583771</v>
      </c>
      <c r="X1121" s="1">
        <v>3456.49</v>
      </c>
      <c r="Y1121">
        <v>0</v>
      </c>
      <c r="Z1121" s="5">
        <v>3323.55</v>
      </c>
      <c r="AA1121">
        <v>218</v>
      </c>
      <c r="AB1121" s="5">
        <v>724533.9</v>
      </c>
      <c r="AC1121" s="1">
        <v>3323.55</v>
      </c>
      <c r="AD1121">
        <v>218</v>
      </c>
      <c r="AE1121" s="1">
        <v>724533.9</v>
      </c>
      <c r="AF1121">
        <v>132.94</v>
      </c>
      <c r="AJ1121">
        <v>0</v>
      </c>
      <c r="AK1121">
        <v>0</v>
      </c>
      <c r="AL1121">
        <v>0</v>
      </c>
      <c r="AM1121" s="1">
        <v>3456.49</v>
      </c>
      <c r="AN1121" s="1">
        <v>3456.49</v>
      </c>
      <c r="AO1121" s="1">
        <v>3456.49</v>
      </c>
      <c r="AP1121" s="2">
        <v>42746</v>
      </c>
      <c r="AQ1121" t="s">
        <v>72</v>
      </c>
      <c r="AR1121" t="s">
        <v>72</v>
      </c>
      <c r="AS1121">
        <v>3639</v>
      </c>
      <c r="AT1121" s="4">
        <v>42724</v>
      </c>
      <c r="AU1121" t="s">
        <v>73</v>
      </c>
      <c r="AV1121">
        <v>3639</v>
      </c>
      <c r="AW1121" s="4">
        <v>42724</v>
      </c>
      <c r="BD1121">
        <v>132.94</v>
      </c>
      <c r="BN1121" t="s">
        <v>74</v>
      </c>
    </row>
    <row r="1122" spans="1:66">
      <c r="A1122">
        <v>100210</v>
      </c>
      <c r="B1122" s="3" t="s">
        <v>141</v>
      </c>
      <c r="C1122" s="1">
        <v>43300101</v>
      </c>
      <c r="D1122" t="s">
        <v>67</v>
      </c>
      <c r="H1122" t="str">
        <f t="shared" si="92"/>
        <v>08082461008</v>
      </c>
      <c r="I1122" t="str">
        <f t="shared" si="92"/>
        <v>08082461008</v>
      </c>
      <c r="K1122" t="str">
        <f>""</f>
        <v/>
      </c>
      <c r="M1122" t="s">
        <v>68</v>
      </c>
      <c r="N1122" t="str">
        <f t="shared" si="89"/>
        <v>FOR</v>
      </c>
      <c r="O1122" t="s">
        <v>69</v>
      </c>
      <c r="P1122" s="3" t="s">
        <v>75</v>
      </c>
      <c r="Q1122">
        <v>2016</v>
      </c>
      <c r="R1122" s="2">
        <v>42447</v>
      </c>
      <c r="S1122" s="2">
        <v>42447</v>
      </c>
      <c r="T1122" s="2">
        <v>42447</v>
      </c>
      <c r="U1122" s="2">
        <v>42507</v>
      </c>
      <c r="V1122" t="s">
        <v>71</v>
      </c>
      <c r="W1122" t="str">
        <f>"            98584036"</f>
        <v xml:space="preserve">            98584036</v>
      </c>
      <c r="X1122">
        <v>631.49</v>
      </c>
      <c r="Y1122">
        <v>0</v>
      </c>
      <c r="Z1122" s="3">
        <v>607.20000000000005</v>
      </c>
      <c r="AA1122">
        <v>217</v>
      </c>
      <c r="AB1122" s="5">
        <v>131762.4</v>
      </c>
      <c r="AC1122">
        <v>607.20000000000005</v>
      </c>
      <c r="AD1122">
        <v>217</v>
      </c>
      <c r="AE1122" s="1">
        <v>131762.4</v>
      </c>
      <c r="AF1122">
        <v>24.29</v>
      </c>
      <c r="AJ1122">
        <v>0</v>
      </c>
      <c r="AK1122">
        <v>0</v>
      </c>
      <c r="AL1122">
        <v>0</v>
      </c>
      <c r="AM1122">
        <v>631.49</v>
      </c>
      <c r="AN1122">
        <v>631.49</v>
      </c>
      <c r="AO1122">
        <v>631.49</v>
      </c>
      <c r="AP1122" s="2">
        <v>42746</v>
      </c>
      <c r="AQ1122" t="s">
        <v>72</v>
      </c>
      <c r="AR1122" t="s">
        <v>72</v>
      </c>
      <c r="AS1122">
        <v>3639</v>
      </c>
      <c r="AT1122" s="4">
        <v>42724</v>
      </c>
      <c r="AU1122" t="s">
        <v>73</v>
      </c>
      <c r="AV1122">
        <v>3639</v>
      </c>
      <c r="AW1122" s="4">
        <v>42724</v>
      </c>
      <c r="BD1122">
        <v>24.29</v>
      </c>
      <c r="BN1122" t="s">
        <v>74</v>
      </c>
    </row>
    <row r="1123" spans="1:66">
      <c r="A1123">
        <v>100210</v>
      </c>
      <c r="B1123" s="3" t="s">
        <v>141</v>
      </c>
      <c r="C1123" s="1">
        <v>43300101</v>
      </c>
      <c r="D1123" t="s">
        <v>67</v>
      </c>
      <c r="H1123" t="str">
        <f t="shared" si="92"/>
        <v>08082461008</v>
      </c>
      <c r="I1123" t="str">
        <f t="shared" si="92"/>
        <v>08082461008</v>
      </c>
      <c r="K1123" t="str">
        <f>""</f>
        <v/>
      </c>
      <c r="M1123" t="s">
        <v>68</v>
      </c>
      <c r="N1123" t="str">
        <f t="shared" si="89"/>
        <v>FOR</v>
      </c>
      <c r="O1123" t="s">
        <v>69</v>
      </c>
      <c r="P1123" s="3" t="s">
        <v>75</v>
      </c>
      <c r="Q1123">
        <v>2016</v>
      </c>
      <c r="R1123" s="2">
        <v>42458</v>
      </c>
      <c r="S1123" s="2">
        <v>42459</v>
      </c>
      <c r="T1123" s="2">
        <v>42458</v>
      </c>
      <c r="U1123" s="2">
        <v>42518</v>
      </c>
      <c r="V1123" t="s">
        <v>71</v>
      </c>
      <c r="W1123" t="str">
        <f>"            98585779"</f>
        <v xml:space="preserve">            98585779</v>
      </c>
      <c r="X1123" s="1">
        <v>3963.34</v>
      </c>
      <c r="Y1123">
        <v>0</v>
      </c>
      <c r="Z1123" s="5">
        <v>3810.9</v>
      </c>
      <c r="AA1123">
        <v>206</v>
      </c>
      <c r="AB1123" s="5">
        <v>785045.4</v>
      </c>
      <c r="AC1123" s="1">
        <v>3810.9</v>
      </c>
      <c r="AD1123">
        <v>206</v>
      </c>
      <c r="AE1123" s="1">
        <v>785045.4</v>
      </c>
      <c r="AF1123">
        <v>152.44</v>
      </c>
      <c r="AJ1123">
        <v>0</v>
      </c>
      <c r="AK1123">
        <v>0</v>
      </c>
      <c r="AL1123">
        <v>0</v>
      </c>
      <c r="AM1123" s="1">
        <v>3963.34</v>
      </c>
      <c r="AN1123" s="1">
        <v>3963.34</v>
      </c>
      <c r="AO1123" s="1">
        <v>3963.34</v>
      </c>
      <c r="AP1123" s="2">
        <v>42746</v>
      </c>
      <c r="AQ1123" t="s">
        <v>72</v>
      </c>
      <c r="AR1123" t="s">
        <v>72</v>
      </c>
      <c r="AS1123">
        <v>3639</v>
      </c>
      <c r="AT1123" s="4">
        <v>42724</v>
      </c>
      <c r="AU1123" t="s">
        <v>73</v>
      </c>
      <c r="AV1123">
        <v>3639</v>
      </c>
      <c r="AW1123" s="4">
        <v>42724</v>
      </c>
      <c r="BD1123">
        <v>152.44</v>
      </c>
      <c r="BN1123" t="s">
        <v>74</v>
      </c>
    </row>
    <row r="1124" spans="1:66">
      <c r="A1124">
        <v>100210</v>
      </c>
      <c r="B1124" s="3" t="s">
        <v>141</v>
      </c>
      <c r="C1124" s="1">
        <v>43300101</v>
      </c>
      <c r="D1124" t="s">
        <v>67</v>
      </c>
      <c r="H1124" t="str">
        <f t="shared" si="92"/>
        <v>08082461008</v>
      </c>
      <c r="I1124" t="str">
        <f t="shared" si="92"/>
        <v>08082461008</v>
      </c>
      <c r="K1124" t="str">
        <f>""</f>
        <v/>
      </c>
      <c r="M1124" t="s">
        <v>68</v>
      </c>
      <c r="N1124" t="str">
        <f t="shared" si="89"/>
        <v>FOR</v>
      </c>
      <c r="O1124" t="s">
        <v>69</v>
      </c>
      <c r="P1124" s="3" t="s">
        <v>75</v>
      </c>
      <c r="Q1124">
        <v>2016</v>
      </c>
      <c r="R1124" s="2">
        <v>42460</v>
      </c>
      <c r="S1124" s="2">
        <v>42464</v>
      </c>
      <c r="T1124" s="2">
        <v>42460</v>
      </c>
      <c r="U1124" s="2">
        <v>42520</v>
      </c>
      <c r="V1124" t="s">
        <v>71</v>
      </c>
      <c r="W1124" t="str">
        <f>"            98586590"</f>
        <v xml:space="preserve">            98586590</v>
      </c>
      <c r="X1124" s="1">
        <v>4602.04</v>
      </c>
      <c r="Y1124">
        <v>0</v>
      </c>
      <c r="Z1124" s="5">
        <v>4425.04</v>
      </c>
      <c r="AA1124">
        <v>204</v>
      </c>
      <c r="AB1124" s="5">
        <v>902708.16</v>
      </c>
      <c r="AC1124" s="1">
        <v>4425.04</v>
      </c>
      <c r="AD1124">
        <v>204</v>
      </c>
      <c r="AE1124" s="1">
        <v>902708.16</v>
      </c>
      <c r="AF1124">
        <v>177</v>
      </c>
      <c r="AJ1124">
        <v>0</v>
      </c>
      <c r="AK1124">
        <v>0</v>
      </c>
      <c r="AL1124">
        <v>0</v>
      </c>
      <c r="AM1124" s="1">
        <v>4602.04</v>
      </c>
      <c r="AN1124" s="1">
        <v>4602.04</v>
      </c>
      <c r="AO1124" s="1">
        <v>4602.04</v>
      </c>
      <c r="AP1124" s="2">
        <v>42746</v>
      </c>
      <c r="AQ1124" t="s">
        <v>72</v>
      </c>
      <c r="AR1124" t="s">
        <v>72</v>
      </c>
      <c r="AS1124">
        <v>3639</v>
      </c>
      <c r="AT1124" s="4">
        <v>42724</v>
      </c>
      <c r="AU1124" t="s">
        <v>73</v>
      </c>
      <c r="AV1124">
        <v>3639</v>
      </c>
      <c r="AW1124" s="4">
        <v>42724</v>
      </c>
      <c r="BD1124">
        <v>177</v>
      </c>
      <c r="BN1124" t="s">
        <v>74</v>
      </c>
    </row>
    <row r="1125" spans="1:66" hidden="1">
      <c r="A1125">
        <v>100212</v>
      </c>
      <c r="B1125" s="3" t="s">
        <v>142</v>
      </c>
      <c r="C1125" s="1">
        <v>43300101</v>
      </c>
      <c r="D1125" t="s">
        <v>67</v>
      </c>
      <c r="H1125" t="str">
        <f t="shared" ref="H1125:I1128" si="93">"07054190637"</f>
        <v>07054190637</v>
      </c>
      <c r="I1125" t="str">
        <f t="shared" si="93"/>
        <v>07054190637</v>
      </c>
      <c r="K1125" t="str">
        <f>""</f>
        <v/>
      </c>
      <c r="M1125" t="s">
        <v>68</v>
      </c>
      <c r="N1125" t="str">
        <f t="shared" si="89"/>
        <v>FOR</v>
      </c>
      <c r="O1125" t="s">
        <v>69</v>
      </c>
      <c r="P1125" s="3" t="s">
        <v>75</v>
      </c>
      <c r="Q1125">
        <v>2016</v>
      </c>
      <c r="R1125" s="2">
        <v>42460</v>
      </c>
      <c r="S1125" s="2">
        <v>42473</v>
      </c>
      <c r="T1125" s="2">
        <v>42467</v>
      </c>
      <c r="U1125" s="2">
        <v>42527</v>
      </c>
      <c r="V1125" t="s">
        <v>71</v>
      </c>
      <c r="W1125" t="str">
        <f>"                  60"</f>
        <v xml:space="preserve">                  60</v>
      </c>
      <c r="X1125">
        <v>193.16</v>
      </c>
      <c r="Y1125">
        <v>0</v>
      </c>
      <c r="Z1125"/>
      <c r="AB1125"/>
      <c r="AC1125">
        <v>158.33000000000001</v>
      </c>
      <c r="AD1125">
        <v>2</v>
      </c>
      <c r="AE1125">
        <v>316.66000000000003</v>
      </c>
      <c r="AF1125">
        <v>0</v>
      </c>
      <c r="AJ1125">
        <v>0</v>
      </c>
      <c r="AK1125">
        <v>0</v>
      </c>
      <c r="AL1125">
        <v>0</v>
      </c>
      <c r="AM1125">
        <v>193.16</v>
      </c>
      <c r="AN1125">
        <v>193.16</v>
      </c>
      <c r="AO1125">
        <v>193.16</v>
      </c>
      <c r="AP1125" s="2">
        <v>42746</v>
      </c>
      <c r="AQ1125" t="s">
        <v>72</v>
      </c>
      <c r="AR1125" t="s">
        <v>72</v>
      </c>
      <c r="AS1125">
        <v>1592</v>
      </c>
      <c r="AT1125" s="4">
        <v>42529</v>
      </c>
      <c r="AU1125" t="s">
        <v>73</v>
      </c>
      <c r="AV1125">
        <v>1592</v>
      </c>
      <c r="AW1125" s="4">
        <v>42529</v>
      </c>
      <c r="BD1125">
        <v>0</v>
      </c>
      <c r="BN1125" t="s">
        <v>74</v>
      </c>
    </row>
    <row r="1126" spans="1:66" hidden="1">
      <c r="A1126">
        <v>100212</v>
      </c>
      <c r="B1126" s="3" t="s">
        <v>142</v>
      </c>
      <c r="C1126" s="1">
        <v>43300101</v>
      </c>
      <c r="D1126" t="s">
        <v>67</v>
      </c>
      <c r="H1126" t="str">
        <f t="shared" si="93"/>
        <v>07054190637</v>
      </c>
      <c r="I1126" t="str">
        <f t="shared" si="93"/>
        <v>07054190637</v>
      </c>
      <c r="K1126" t="str">
        <f>""</f>
        <v/>
      </c>
      <c r="M1126" t="s">
        <v>68</v>
      </c>
      <c r="N1126" t="str">
        <f t="shared" si="89"/>
        <v>FOR</v>
      </c>
      <c r="O1126" t="s">
        <v>69</v>
      </c>
      <c r="P1126" s="3" t="s">
        <v>75</v>
      </c>
      <c r="Q1126">
        <v>2016</v>
      </c>
      <c r="R1126" s="2">
        <v>42489</v>
      </c>
      <c r="S1126" s="2">
        <v>42492</v>
      </c>
      <c r="T1126" s="2">
        <v>42489</v>
      </c>
      <c r="U1126" s="2">
        <v>42549</v>
      </c>
      <c r="V1126" t="s">
        <v>71</v>
      </c>
      <c r="W1126" t="str">
        <f>"                  74"</f>
        <v xml:space="preserve">                  74</v>
      </c>
      <c r="X1126">
        <v>113.94</v>
      </c>
      <c r="Y1126">
        <v>0</v>
      </c>
      <c r="Z1126"/>
      <c r="AB1126"/>
      <c r="AC1126">
        <v>93.39</v>
      </c>
      <c r="AD1126">
        <v>-20</v>
      </c>
      <c r="AE1126" s="1">
        <v>-1867.8</v>
      </c>
      <c r="AF1126">
        <v>0</v>
      </c>
      <c r="AJ1126">
        <v>0</v>
      </c>
      <c r="AK1126">
        <v>0</v>
      </c>
      <c r="AL1126">
        <v>0</v>
      </c>
      <c r="AM1126">
        <v>113.94</v>
      </c>
      <c r="AN1126">
        <v>113.94</v>
      </c>
      <c r="AO1126">
        <v>113.94</v>
      </c>
      <c r="AP1126" s="2">
        <v>42746</v>
      </c>
      <c r="AQ1126" t="s">
        <v>72</v>
      </c>
      <c r="AR1126" t="s">
        <v>72</v>
      </c>
      <c r="AS1126">
        <v>1592</v>
      </c>
      <c r="AT1126" s="4">
        <v>42529</v>
      </c>
      <c r="AV1126">
        <v>1592</v>
      </c>
      <c r="AW1126" s="4">
        <v>42529</v>
      </c>
      <c r="BD1126">
        <v>0</v>
      </c>
      <c r="BN1126" t="s">
        <v>74</v>
      </c>
    </row>
    <row r="1127" spans="1:66">
      <c r="A1127">
        <v>100212</v>
      </c>
      <c r="B1127" s="3" t="s">
        <v>142</v>
      </c>
      <c r="C1127" s="1">
        <v>43300101</v>
      </c>
      <c r="D1127" t="s">
        <v>67</v>
      </c>
      <c r="H1127" t="str">
        <f t="shared" si="93"/>
        <v>07054190637</v>
      </c>
      <c r="I1127" t="str">
        <f t="shared" si="93"/>
        <v>07054190637</v>
      </c>
      <c r="K1127" t="str">
        <f>""</f>
        <v/>
      </c>
      <c r="M1127" t="s">
        <v>68</v>
      </c>
      <c r="N1127" t="str">
        <f t="shared" si="89"/>
        <v>FOR</v>
      </c>
      <c r="O1127" t="s">
        <v>69</v>
      </c>
      <c r="P1127" s="3" t="s">
        <v>75</v>
      </c>
      <c r="Q1127">
        <v>2016</v>
      </c>
      <c r="R1127" s="2">
        <v>42521</v>
      </c>
      <c r="S1127" s="2">
        <v>42522</v>
      </c>
      <c r="T1127" s="2">
        <v>42522</v>
      </c>
      <c r="U1127" s="2">
        <v>42582</v>
      </c>
      <c r="V1127" t="s">
        <v>71</v>
      </c>
      <c r="W1127" t="str">
        <f>"                 106"</f>
        <v xml:space="preserve">                 106</v>
      </c>
      <c r="X1127">
        <v>315.64</v>
      </c>
      <c r="Y1127">
        <v>0</v>
      </c>
      <c r="Z1127" s="3">
        <v>258.72000000000003</v>
      </c>
      <c r="AA1127">
        <v>101</v>
      </c>
      <c r="AB1127" s="5">
        <v>26130.720000000001</v>
      </c>
      <c r="AC1127">
        <v>258.72000000000003</v>
      </c>
      <c r="AD1127">
        <v>101</v>
      </c>
      <c r="AE1127" s="1">
        <v>26130.720000000001</v>
      </c>
      <c r="AF1127">
        <v>0</v>
      </c>
      <c r="AJ1127">
        <v>0</v>
      </c>
      <c r="AK1127">
        <v>0</v>
      </c>
      <c r="AL1127">
        <v>0</v>
      </c>
      <c r="AM1127">
        <v>315.64</v>
      </c>
      <c r="AN1127">
        <v>315.64</v>
      </c>
      <c r="AO1127">
        <v>315.64</v>
      </c>
      <c r="AP1127" s="2">
        <v>42746</v>
      </c>
      <c r="AQ1127" t="s">
        <v>72</v>
      </c>
      <c r="AR1127" t="s">
        <v>72</v>
      </c>
      <c r="AS1127">
        <v>3005</v>
      </c>
      <c r="AT1127" s="4">
        <v>42683</v>
      </c>
      <c r="AU1127" t="s">
        <v>73</v>
      </c>
      <c r="AV1127">
        <v>3005</v>
      </c>
      <c r="AW1127" s="4">
        <v>42683</v>
      </c>
      <c r="BD1127">
        <v>0</v>
      </c>
      <c r="BN1127" t="s">
        <v>74</v>
      </c>
    </row>
    <row r="1128" spans="1:66">
      <c r="A1128">
        <v>100212</v>
      </c>
      <c r="B1128" s="3" t="s">
        <v>142</v>
      </c>
      <c r="C1128" s="1">
        <v>43300101</v>
      </c>
      <c r="D1128" t="s">
        <v>67</v>
      </c>
      <c r="H1128" t="str">
        <f t="shared" si="93"/>
        <v>07054190637</v>
      </c>
      <c r="I1128" t="str">
        <f t="shared" si="93"/>
        <v>07054190637</v>
      </c>
      <c r="K1128" t="str">
        <f>""</f>
        <v/>
      </c>
      <c r="M1128" t="s">
        <v>68</v>
      </c>
      <c r="N1128" t="str">
        <f t="shared" si="89"/>
        <v>FOR</v>
      </c>
      <c r="O1128" t="s">
        <v>69</v>
      </c>
      <c r="P1128" s="3" t="s">
        <v>75</v>
      </c>
      <c r="Q1128">
        <v>2016</v>
      </c>
      <c r="R1128" s="2">
        <v>42643</v>
      </c>
      <c r="S1128" s="2">
        <v>42654</v>
      </c>
      <c r="T1128" s="2">
        <v>42649</v>
      </c>
      <c r="U1128" s="2">
        <v>42709</v>
      </c>
      <c r="V1128" t="s">
        <v>71</v>
      </c>
      <c r="W1128" t="str">
        <f>"                 162"</f>
        <v xml:space="preserve">                 162</v>
      </c>
      <c r="X1128">
        <v>224.24</v>
      </c>
      <c r="Y1128">
        <v>0</v>
      </c>
      <c r="Z1128" s="3">
        <v>183.8</v>
      </c>
      <c r="AA1128">
        <v>-26</v>
      </c>
      <c r="AB1128" s="5">
        <v>-4778.8</v>
      </c>
      <c r="AC1128">
        <v>183.8</v>
      </c>
      <c r="AD1128">
        <v>-26</v>
      </c>
      <c r="AE1128" s="1">
        <v>-4778.8</v>
      </c>
      <c r="AF1128">
        <v>0</v>
      </c>
      <c r="AJ1128">
        <v>224.24</v>
      </c>
      <c r="AK1128">
        <v>224.24</v>
      </c>
      <c r="AL1128">
        <v>0</v>
      </c>
      <c r="AM1128">
        <v>224.24</v>
      </c>
      <c r="AN1128">
        <v>224.24</v>
      </c>
      <c r="AO1128">
        <v>224.24</v>
      </c>
      <c r="AP1128" s="2">
        <v>42746</v>
      </c>
      <c r="AQ1128" t="s">
        <v>72</v>
      </c>
      <c r="AR1128" t="s">
        <v>72</v>
      </c>
      <c r="AS1128">
        <v>3005</v>
      </c>
      <c r="AT1128" s="4">
        <v>42683</v>
      </c>
      <c r="AV1128">
        <v>3005</v>
      </c>
      <c r="AW1128" s="4">
        <v>42683</v>
      </c>
      <c r="BD1128">
        <v>0</v>
      </c>
      <c r="BN1128" t="s">
        <v>74</v>
      </c>
    </row>
    <row r="1129" spans="1:66" hidden="1">
      <c r="A1129">
        <v>100241</v>
      </c>
      <c r="B1129" s="3" t="s">
        <v>143</v>
      </c>
      <c r="C1129" s="1">
        <v>43300101</v>
      </c>
      <c r="D1129" t="s">
        <v>67</v>
      </c>
      <c r="H1129" t="str">
        <f t="shared" ref="H1129:I1154" si="94">"06716210635"</f>
        <v>06716210635</v>
      </c>
      <c r="I1129" t="str">
        <f t="shared" si="94"/>
        <v>06716210635</v>
      </c>
      <c r="K1129" t="str">
        <f>""</f>
        <v/>
      </c>
      <c r="M1129" t="s">
        <v>68</v>
      </c>
      <c r="N1129" t="str">
        <f t="shared" si="89"/>
        <v>FOR</v>
      </c>
      <c r="O1129" t="s">
        <v>69</v>
      </c>
      <c r="P1129" s="3" t="s">
        <v>70</v>
      </c>
      <c r="Q1129">
        <v>2015</v>
      </c>
      <c r="R1129" s="2">
        <v>42041</v>
      </c>
      <c r="S1129" s="2">
        <v>42073</v>
      </c>
      <c r="T1129" s="2">
        <v>42073</v>
      </c>
      <c r="U1129" s="2">
        <v>42133</v>
      </c>
      <c r="V1129" t="s">
        <v>71</v>
      </c>
      <c r="W1129" t="str">
        <f>"                 158"</f>
        <v xml:space="preserve">                 158</v>
      </c>
      <c r="X1129">
        <v>86.62</v>
      </c>
      <c r="Y1129">
        <v>0</v>
      </c>
      <c r="Z1129"/>
      <c r="AB1129"/>
      <c r="AC1129">
        <v>71</v>
      </c>
      <c r="AD1129">
        <v>275</v>
      </c>
      <c r="AE1129" s="1">
        <v>19525</v>
      </c>
      <c r="AF1129">
        <v>0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 s="2">
        <v>42746</v>
      </c>
      <c r="AQ1129" t="s">
        <v>72</v>
      </c>
      <c r="AR1129" t="s">
        <v>72</v>
      </c>
      <c r="AS1129">
        <v>314</v>
      </c>
      <c r="AT1129" s="4">
        <v>42408</v>
      </c>
      <c r="AU1129" t="s">
        <v>73</v>
      </c>
      <c r="AV1129">
        <v>314</v>
      </c>
      <c r="AW1129" s="4">
        <v>42408</v>
      </c>
      <c r="BD1129">
        <v>0</v>
      </c>
      <c r="BN1129" t="s">
        <v>74</v>
      </c>
    </row>
    <row r="1130" spans="1:66" hidden="1">
      <c r="A1130">
        <v>100241</v>
      </c>
      <c r="B1130" s="3" t="s">
        <v>143</v>
      </c>
      <c r="C1130" s="1">
        <v>43300101</v>
      </c>
      <c r="D1130" t="s">
        <v>67</v>
      </c>
      <c r="H1130" t="str">
        <f t="shared" si="94"/>
        <v>06716210635</v>
      </c>
      <c r="I1130" t="str">
        <f t="shared" si="94"/>
        <v>06716210635</v>
      </c>
      <c r="K1130" t="str">
        <f>""</f>
        <v/>
      </c>
      <c r="M1130" t="s">
        <v>68</v>
      </c>
      <c r="N1130" t="str">
        <f t="shared" si="89"/>
        <v>FOR</v>
      </c>
      <c r="O1130" t="s">
        <v>69</v>
      </c>
      <c r="P1130" s="3" t="s">
        <v>70</v>
      </c>
      <c r="Q1130">
        <v>2015</v>
      </c>
      <c r="R1130" s="2">
        <v>42048</v>
      </c>
      <c r="S1130" s="2">
        <v>42073</v>
      </c>
      <c r="T1130" s="2">
        <v>42073</v>
      </c>
      <c r="U1130" s="2">
        <v>42133</v>
      </c>
      <c r="V1130" t="s">
        <v>71</v>
      </c>
      <c r="W1130" t="str">
        <f>"                 190"</f>
        <v xml:space="preserve">                 190</v>
      </c>
      <c r="X1130" s="1">
        <v>1293.2</v>
      </c>
      <c r="Y1130">
        <v>0</v>
      </c>
      <c r="Z1130"/>
      <c r="AB1130"/>
      <c r="AC1130" s="1">
        <v>1060</v>
      </c>
      <c r="AD1130">
        <v>275</v>
      </c>
      <c r="AE1130" s="1">
        <v>291500</v>
      </c>
      <c r="AF1130">
        <v>0</v>
      </c>
      <c r="AJ1130">
        <v>0</v>
      </c>
      <c r="AK1130">
        <v>0</v>
      </c>
      <c r="AL1130">
        <v>0</v>
      </c>
      <c r="AM1130">
        <v>0</v>
      </c>
      <c r="AN1130">
        <v>0</v>
      </c>
      <c r="AO1130">
        <v>0</v>
      </c>
      <c r="AP1130" s="2">
        <v>42746</v>
      </c>
      <c r="AQ1130" t="s">
        <v>72</v>
      </c>
      <c r="AR1130" t="s">
        <v>72</v>
      </c>
      <c r="AS1130">
        <v>314</v>
      </c>
      <c r="AT1130" s="4">
        <v>42408</v>
      </c>
      <c r="AU1130" t="s">
        <v>73</v>
      </c>
      <c r="AV1130">
        <v>314</v>
      </c>
      <c r="AW1130" s="4">
        <v>42408</v>
      </c>
      <c r="BD1130">
        <v>0</v>
      </c>
      <c r="BN1130" t="s">
        <v>74</v>
      </c>
    </row>
    <row r="1131" spans="1:66" hidden="1">
      <c r="A1131">
        <v>100241</v>
      </c>
      <c r="B1131" s="3" t="s">
        <v>143</v>
      </c>
      <c r="C1131" s="1">
        <v>43300101</v>
      </c>
      <c r="D1131" t="s">
        <v>67</v>
      </c>
      <c r="H1131" t="str">
        <f t="shared" si="94"/>
        <v>06716210635</v>
      </c>
      <c r="I1131" t="str">
        <f t="shared" si="94"/>
        <v>06716210635</v>
      </c>
      <c r="K1131" t="str">
        <f>""</f>
        <v/>
      </c>
      <c r="M1131" t="s">
        <v>68</v>
      </c>
      <c r="N1131" t="str">
        <f t="shared" si="89"/>
        <v>FOR</v>
      </c>
      <c r="O1131" t="s">
        <v>69</v>
      </c>
      <c r="P1131" s="3" t="s">
        <v>70</v>
      </c>
      <c r="Q1131">
        <v>2015</v>
      </c>
      <c r="R1131" s="2">
        <v>42062</v>
      </c>
      <c r="S1131" s="2">
        <v>42089</v>
      </c>
      <c r="T1131" s="2">
        <v>42089</v>
      </c>
      <c r="U1131" s="2">
        <v>42149</v>
      </c>
      <c r="V1131" t="s">
        <v>71</v>
      </c>
      <c r="W1131" t="str">
        <f>"                 257"</f>
        <v xml:space="preserve">                 257</v>
      </c>
      <c r="X1131">
        <v>448.35</v>
      </c>
      <c r="Y1131">
        <v>0</v>
      </c>
      <c r="Z1131"/>
      <c r="AB1131"/>
      <c r="AC1131">
        <v>367.5</v>
      </c>
      <c r="AD1131">
        <v>259</v>
      </c>
      <c r="AE1131" s="1">
        <v>95182.5</v>
      </c>
      <c r="AF1131">
        <v>0</v>
      </c>
      <c r="AJ1131">
        <v>0</v>
      </c>
      <c r="AK1131">
        <v>0</v>
      </c>
      <c r="AL1131">
        <v>0</v>
      </c>
      <c r="AM1131">
        <v>0</v>
      </c>
      <c r="AN1131">
        <v>0</v>
      </c>
      <c r="AO1131">
        <v>0</v>
      </c>
      <c r="AP1131" s="2">
        <v>42746</v>
      </c>
      <c r="AQ1131" t="s">
        <v>72</v>
      </c>
      <c r="AR1131" t="s">
        <v>72</v>
      </c>
      <c r="AS1131">
        <v>314</v>
      </c>
      <c r="AT1131" s="4">
        <v>42408</v>
      </c>
      <c r="AU1131" t="s">
        <v>73</v>
      </c>
      <c r="AV1131">
        <v>314</v>
      </c>
      <c r="AW1131" s="4">
        <v>42408</v>
      </c>
      <c r="BD1131">
        <v>0</v>
      </c>
      <c r="BN1131" t="s">
        <v>74</v>
      </c>
    </row>
    <row r="1132" spans="1:66" hidden="1">
      <c r="A1132">
        <v>100241</v>
      </c>
      <c r="B1132" s="3" t="s">
        <v>143</v>
      </c>
      <c r="C1132" s="1">
        <v>43300101</v>
      </c>
      <c r="D1132" t="s">
        <v>67</v>
      </c>
      <c r="H1132" t="str">
        <f t="shared" si="94"/>
        <v>06716210635</v>
      </c>
      <c r="I1132" t="str">
        <f t="shared" si="94"/>
        <v>06716210635</v>
      </c>
      <c r="K1132" t="str">
        <f>""</f>
        <v/>
      </c>
      <c r="M1132" t="s">
        <v>68</v>
      </c>
      <c r="N1132" t="str">
        <f t="shared" si="89"/>
        <v>FOR</v>
      </c>
      <c r="O1132" t="s">
        <v>69</v>
      </c>
      <c r="P1132" s="3" t="s">
        <v>70</v>
      </c>
      <c r="Q1132">
        <v>2015</v>
      </c>
      <c r="R1132" s="2">
        <v>42076</v>
      </c>
      <c r="S1132" s="2">
        <v>42094</v>
      </c>
      <c r="T1132" s="2">
        <v>42094</v>
      </c>
      <c r="U1132" s="2">
        <v>42154</v>
      </c>
      <c r="V1132" t="s">
        <v>71</v>
      </c>
      <c r="W1132" t="str">
        <f>"                 336"</f>
        <v xml:space="preserve">                 336</v>
      </c>
      <c r="X1132">
        <v>354.73</v>
      </c>
      <c r="Y1132">
        <v>0</v>
      </c>
      <c r="Z1132"/>
      <c r="AB1132"/>
      <c r="AC1132">
        <v>290.76</v>
      </c>
      <c r="AD1132">
        <v>254</v>
      </c>
      <c r="AE1132" s="1">
        <v>73853.039999999994</v>
      </c>
      <c r="AF1132">
        <v>0</v>
      </c>
      <c r="AJ1132">
        <v>0</v>
      </c>
      <c r="AK1132">
        <v>0</v>
      </c>
      <c r="AL1132">
        <v>0</v>
      </c>
      <c r="AM1132">
        <v>0</v>
      </c>
      <c r="AN1132">
        <v>0</v>
      </c>
      <c r="AO1132">
        <v>0</v>
      </c>
      <c r="AP1132" s="2">
        <v>42746</v>
      </c>
      <c r="AQ1132" t="s">
        <v>72</v>
      </c>
      <c r="AR1132" t="s">
        <v>72</v>
      </c>
      <c r="AS1132">
        <v>314</v>
      </c>
      <c r="AT1132" s="4">
        <v>42408</v>
      </c>
      <c r="AU1132" t="s">
        <v>73</v>
      </c>
      <c r="AV1132">
        <v>314</v>
      </c>
      <c r="AW1132" s="4">
        <v>42408</v>
      </c>
      <c r="BD1132">
        <v>0</v>
      </c>
      <c r="BN1132" t="s">
        <v>74</v>
      </c>
    </row>
    <row r="1133" spans="1:66" hidden="1">
      <c r="A1133">
        <v>100241</v>
      </c>
      <c r="B1133" s="3" t="s">
        <v>143</v>
      </c>
      <c r="C1133" s="1">
        <v>43300101</v>
      </c>
      <c r="D1133" t="s">
        <v>67</v>
      </c>
      <c r="H1133" t="str">
        <f t="shared" si="94"/>
        <v>06716210635</v>
      </c>
      <c r="I1133" t="str">
        <f t="shared" si="94"/>
        <v>06716210635</v>
      </c>
      <c r="K1133" t="str">
        <f>""</f>
        <v/>
      </c>
      <c r="M1133" t="s">
        <v>68</v>
      </c>
      <c r="N1133" t="str">
        <f t="shared" si="89"/>
        <v>FOR</v>
      </c>
      <c r="O1133" t="s">
        <v>69</v>
      </c>
      <c r="P1133" s="3" t="s">
        <v>75</v>
      </c>
      <c r="Q1133">
        <v>2015</v>
      </c>
      <c r="R1133" s="2">
        <v>42094</v>
      </c>
      <c r="S1133" s="2">
        <v>42228</v>
      </c>
      <c r="T1133" s="2">
        <v>42219</v>
      </c>
      <c r="U1133" s="2">
        <v>42279</v>
      </c>
      <c r="V1133" t="s">
        <v>71</v>
      </c>
      <c r="W1133" t="str">
        <f>"          000450-0SA"</f>
        <v xml:space="preserve">          000450-0SA</v>
      </c>
      <c r="X1133">
        <v>889.38</v>
      </c>
      <c r="Y1133">
        <v>0</v>
      </c>
      <c r="Z1133"/>
      <c r="AB1133"/>
      <c r="AC1133">
        <v>729</v>
      </c>
      <c r="AD1133">
        <v>136</v>
      </c>
      <c r="AE1133" s="1">
        <v>99144</v>
      </c>
      <c r="AF1133">
        <v>0</v>
      </c>
      <c r="AJ1133">
        <v>0</v>
      </c>
      <c r="AK1133">
        <v>0</v>
      </c>
      <c r="AL1133">
        <v>0</v>
      </c>
      <c r="AM1133">
        <v>0</v>
      </c>
      <c r="AN1133">
        <v>0</v>
      </c>
      <c r="AO1133">
        <v>0</v>
      </c>
      <c r="AP1133" s="2">
        <v>42746</v>
      </c>
      <c r="AQ1133" t="s">
        <v>72</v>
      </c>
      <c r="AR1133" t="s">
        <v>72</v>
      </c>
      <c r="AS1133">
        <v>354</v>
      </c>
      <c r="AT1133" s="4">
        <v>42415</v>
      </c>
      <c r="AU1133" t="s">
        <v>73</v>
      </c>
      <c r="AV1133">
        <v>354</v>
      </c>
      <c r="AW1133" s="4">
        <v>42415</v>
      </c>
      <c r="BD1133">
        <v>0</v>
      </c>
      <c r="BN1133" t="s">
        <v>74</v>
      </c>
    </row>
    <row r="1134" spans="1:66" hidden="1">
      <c r="A1134">
        <v>100241</v>
      </c>
      <c r="B1134" s="3" t="s">
        <v>143</v>
      </c>
      <c r="C1134" s="1">
        <v>43300101</v>
      </c>
      <c r="D1134" t="s">
        <v>67</v>
      </c>
      <c r="H1134" t="str">
        <f t="shared" si="94"/>
        <v>06716210635</v>
      </c>
      <c r="I1134" t="str">
        <f t="shared" si="94"/>
        <v>06716210635</v>
      </c>
      <c r="K1134" t="str">
        <f>""</f>
        <v/>
      </c>
      <c r="M1134" t="s">
        <v>68</v>
      </c>
      <c r="N1134" t="str">
        <f t="shared" ref="N1134:N1157" si="95">"FOR"</f>
        <v>FOR</v>
      </c>
      <c r="O1134" t="s">
        <v>69</v>
      </c>
      <c r="P1134" s="3" t="s">
        <v>75</v>
      </c>
      <c r="Q1134">
        <v>2015</v>
      </c>
      <c r="R1134" s="2">
        <v>42104</v>
      </c>
      <c r="S1134" s="2">
        <v>42108</v>
      </c>
      <c r="T1134" s="2">
        <v>42107</v>
      </c>
      <c r="U1134" s="2">
        <v>42167</v>
      </c>
      <c r="V1134" t="s">
        <v>71</v>
      </c>
      <c r="W1134" t="str">
        <f>"         000024/0CPA"</f>
        <v xml:space="preserve">         000024/0CPA</v>
      </c>
      <c r="X1134">
        <v>336.11</v>
      </c>
      <c r="Y1134">
        <v>0</v>
      </c>
      <c r="Z1134"/>
      <c r="AB1134"/>
      <c r="AC1134">
        <v>275.5</v>
      </c>
      <c r="AD1134">
        <v>248</v>
      </c>
      <c r="AE1134" s="1">
        <v>68324</v>
      </c>
      <c r="AF1134">
        <v>0</v>
      </c>
      <c r="AJ1134">
        <v>0</v>
      </c>
      <c r="AK1134">
        <v>0</v>
      </c>
      <c r="AL1134">
        <v>0</v>
      </c>
      <c r="AM1134">
        <v>0</v>
      </c>
      <c r="AN1134">
        <v>0</v>
      </c>
      <c r="AO1134">
        <v>0</v>
      </c>
      <c r="AP1134" s="2">
        <v>42746</v>
      </c>
      <c r="AQ1134" t="s">
        <v>72</v>
      </c>
      <c r="AR1134" t="s">
        <v>72</v>
      </c>
      <c r="AS1134">
        <v>354</v>
      </c>
      <c r="AT1134" s="4">
        <v>42415</v>
      </c>
      <c r="AU1134" t="s">
        <v>73</v>
      </c>
      <c r="AV1134">
        <v>354</v>
      </c>
      <c r="AW1134" s="4">
        <v>42415</v>
      </c>
      <c r="BD1134">
        <v>0</v>
      </c>
      <c r="BN1134" t="s">
        <v>74</v>
      </c>
    </row>
    <row r="1135" spans="1:66" hidden="1">
      <c r="A1135">
        <v>100241</v>
      </c>
      <c r="B1135" s="3" t="s">
        <v>143</v>
      </c>
      <c r="C1135" s="1">
        <v>43300101</v>
      </c>
      <c r="D1135" t="s">
        <v>67</v>
      </c>
      <c r="H1135" t="str">
        <f t="shared" si="94"/>
        <v>06716210635</v>
      </c>
      <c r="I1135" t="str">
        <f t="shared" si="94"/>
        <v>06716210635</v>
      </c>
      <c r="K1135" t="str">
        <f>""</f>
        <v/>
      </c>
      <c r="M1135" t="s">
        <v>68</v>
      </c>
      <c r="N1135" t="str">
        <f t="shared" si="95"/>
        <v>FOR</v>
      </c>
      <c r="O1135" t="s">
        <v>69</v>
      </c>
      <c r="P1135" s="3" t="s">
        <v>75</v>
      </c>
      <c r="Q1135">
        <v>2015</v>
      </c>
      <c r="R1135" s="2">
        <v>42132</v>
      </c>
      <c r="S1135" s="2">
        <v>42149</v>
      </c>
      <c r="T1135" s="2">
        <v>42138</v>
      </c>
      <c r="U1135" s="2">
        <v>42198</v>
      </c>
      <c r="V1135" t="s">
        <v>71</v>
      </c>
      <c r="W1135" t="str">
        <f>"         000135/0CPA"</f>
        <v xml:space="preserve">         000135/0CPA</v>
      </c>
      <c r="X1135">
        <v>969.9</v>
      </c>
      <c r="Y1135">
        <v>0</v>
      </c>
      <c r="Z1135"/>
      <c r="AB1135"/>
      <c r="AC1135">
        <v>795</v>
      </c>
      <c r="AD1135">
        <v>254</v>
      </c>
      <c r="AE1135" s="1">
        <v>201930</v>
      </c>
      <c r="AF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 s="2">
        <v>42746</v>
      </c>
      <c r="AQ1135" t="s">
        <v>72</v>
      </c>
      <c r="AR1135" t="s">
        <v>72</v>
      </c>
      <c r="AS1135">
        <v>760</v>
      </c>
      <c r="AT1135" s="4">
        <v>42452</v>
      </c>
      <c r="AU1135" t="s">
        <v>73</v>
      </c>
      <c r="AV1135">
        <v>760</v>
      </c>
      <c r="AW1135" s="4">
        <v>42452</v>
      </c>
      <c r="BD1135">
        <v>0</v>
      </c>
      <c r="BN1135" t="s">
        <v>74</v>
      </c>
    </row>
    <row r="1136" spans="1:66" hidden="1">
      <c r="A1136">
        <v>100241</v>
      </c>
      <c r="B1136" s="3" t="s">
        <v>143</v>
      </c>
      <c r="C1136" s="1">
        <v>43300101</v>
      </c>
      <c r="D1136" t="s">
        <v>67</v>
      </c>
      <c r="H1136" t="str">
        <f t="shared" si="94"/>
        <v>06716210635</v>
      </c>
      <c r="I1136" t="str">
        <f t="shared" si="94"/>
        <v>06716210635</v>
      </c>
      <c r="K1136" t="str">
        <f>""</f>
        <v/>
      </c>
      <c r="M1136" t="s">
        <v>68</v>
      </c>
      <c r="N1136" t="str">
        <f t="shared" si="95"/>
        <v>FOR</v>
      </c>
      <c r="O1136" t="s">
        <v>69</v>
      </c>
      <c r="P1136" s="3" t="s">
        <v>75</v>
      </c>
      <c r="Q1136">
        <v>2015</v>
      </c>
      <c r="R1136" s="2">
        <v>42146</v>
      </c>
      <c r="S1136" s="2">
        <v>42163</v>
      </c>
      <c r="T1136" s="2">
        <v>42152</v>
      </c>
      <c r="U1136" s="2">
        <v>42212</v>
      </c>
      <c r="V1136" t="s">
        <v>71</v>
      </c>
      <c r="W1136" t="str">
        <f>"         000210/0CPA"</f>
        <v xml:space="preserve">         000210/0CPA</v>
      </c>
      <c r="X1136" s="1">
        <v>1029.92</v>
      </c>
      <c r="Y1136">
        <v>0</v>
      </c>
      <c r="Z1136"/>
      <c r="AB1136"/>
      <c r="AC1136">
        <v>844.2</v>
      </c>
      <c r="AD1136">
        <v>240</v>
      </c>
      <c r="AE1136" s="1">
        <v>202608</v>
      </c>
      <c r="AF1136">
        <v>0</v>
      </c>
      <c r="AJ1136">
        <v>0</v>
      </c>
      <c r="AK1136">
        <v>0</v>
      </c>
      <c r="AL1136">
        <v>0</v>
      </c>
      <c r="AM1136">
        <v>0</v>
      </c>
      <c r="AN1136">
        <v>0</v>
      </c>
      <c r="AO1136">
        <v>0</v>
      </c>
      <c r="AP1136" s="2">
        <v>42746</v>
      </c>
      <c r="AQ1136" t="s">
        <v>72</v>
      </c>
      <c r="AR1136" t="s">
        <v>72</v>
      </c>
      <c r="AS1136">
        <v>760</v>
      </c>
      <c r="AT1136" s="4">
        <v>42452</v>
      </c>
      <c r="AU1136" t="s">
        <v>73</v>
      </c>
      <c r="AV1136">
        <v>760</v>
      </c>
      <c r="AW1136" s="4">
        <v>42452</v>
      </c>
      <c r="BD1136">
        <v>0</v>
      </c>
      <c r="BN1136" t="s">
        <v>74</v>
      </c>
    </row>
    <row r="1137" spans="1:66" hidden="1">
      <c r="A1137">
        <v>100241</v>
      </c>
      <c r="B1137" s="3" t="s">
        <v>143</v>
      </c>
      <c r="C1137" s="1">
        <v>43300101</v>
      </c>
      <c r="D1137" t="s">
        <v>67</v>
      </c>
      <c r="H1137" t="str">
        <f t="shared" si="94"/>
        <v>06716210635</v>
      </c>
      <c r="I1137" t="str">
        <f t="shared" si="94"/>
        <v>06716210635</v>
      </c>
      <c r="K1137" t="str">
        <f>""</f>
        <v/>
      </c>
      <c r="M1137" t="s">
        <v>68</v>
      </c>
      <c r="N1137" t="str">
        <f t="shared" si="95"/>
        <v>FOR</v>
      </c>
      <c r="O1137" t="s">
        <v>69</v>
      </c>
      <c r="P1137" s="3" t="s">
        <v>75</v>
      </c>
      <c r="Q1137">
        <v>2015</v>
      </c>
      <c r="R1137" s="2">
        <v>42174</v>
      </c>
      <c r="S1137" s="2">
        <v>42181</v>
      </c>
      <c r="T1137" s="2">
        <v>42178</v>
      </c>
      <c r="U1137" s="2">
        <v>42238</v>
      </c>
      <c r="V1137" t="s">
        <v>71</v>
      </c>
      <c r="W1137" t="str">
        <f>"         000332-0CPA"</f>
        <v xml:space="preserve">         000332-0CPA</v>
      </c>
      <c r="X1137">
        <v>132.97999999999999</v>
      </c>
      <c r="Y1137">
        <v>0</v>
      </c>
      <c r="Z1137"/>
      <c r="AB1137"/>
      <c r="AC1137">
        <v>109</v>
      </c>
      <c r="AD1137">
        <v>289</v>
      </c>
      <c r="AE1137" s="1">
        <v>31501</v>
      </c>
      <c r="AF1137">
        <v>0</v>
      </c>
      <c r="AJ1137">
        <v>0</v>
      </c>
      <c r="AK1137">
        <v>0</v>
      </c>
      <c r="AL1137">
        <v>0</v>
      </c>
      <c r="AM1137">
        <v>0</v>
      </c>
      <c r="AN1137">
        <v>0</v>
      </c>
      <c r="AO1137">
        <v>0</v>
      </c>
      <c r="AP1137" s="2">
        <v>42746</v>
      </c>
      <c r="AQ1137" t="s">
        <v>72</v>
      </c>
      <c r="AR1137" t="s">
        <v>72</v>
      </c>
      <c r="AS1137">
        <v>1509</v>
      </c>
      <c r="AT1137" s="4">
        <v>42527</v>
      </c>
      <c r="AU1137" t="s">
        <v>73</v>
      </c>
      <c r="AV1137">
        <v>1509</v>
      </c>
      <c r="AW1137" s="4">
        <v>42527</v>
      </c>
      <c r="BD1137">
        <v>0</v>
      </c>
      <c r="BN1137" t="s">
        <v>74</v>
      </c>
    </row>
    <row r="1138" spans="1:66" hidden="1">
      <c r="A1138">
        <v>100241</v>
      </c>
      <c r="B1138" s="3" t="s">
        <v>143</v>
      </c>
      <c r="C1138" s="1">
        <v>43300101</v>
      </c>
      <c r="D1138" t="s">
        <v>67</v>
      </c>
      <c r="H1138" t="str">
        <f t="shared" si="94"/>
        <v>06716210635</v>
      </c>
      <c r="I1138" t="str">
        <f t="shared" si="94"/>
        <v>06716210635</v>
      </c>
      <c r="K1138" t="str">
        <f>""</f>
        <v/>
      </c>
      <c r="M1138" t="s">
        <v>68</v>
      </c>
      <c r="N1138" t="str">
        <f t="shared" si="95"/>
        <v>FOR</v>
      </c>
      <c r="O1138" t="s">
        <v>69</v>
      </c>
      <c r="P1138" s="3" t="s">
        <v>75</v>
      </c>
      <c r="Q1138">
        <v>2015</v>
      </c>
      <c r="R1138" s="2">
        <v>42181</v>
      </c>
      <c r="S1138" s="2">
        <v>42191</v>
      </c>
      <c r="T1138" s="2">
        <v>42188</v>
      </c>
      <c r="U1138" s="2">
        <v>42248</v>
      </c>
      <c r="V1138" t="s">
        <v>71</v>
      </c>
      <c r="W1138" t="str">
        <f>"         000373-0CPA"</f>
        <v xml:space="preserve">         000373-0CPA</v>
      </c>
      <c r="X1138">
        <v>323.3</v>
      </c>
      <c r="Y1138">
        <v>0</v>
      </c>
      <c r="Z1138"/>
      <c r="AB1138"/>
      <c r="AC1138">
        <v>265</v>
      </c>
      <c r="AD1138">
        <v>279</v>
      </c>
      <c r="AE1138" s="1">
        <v>73935</v>
      </c>
      <c r="AF1138">
        <v>0</v>
      </c>
      <c r="AJ1138">
        <v>0</v>
      </c>
      <c r="AK1138">
        <v>0</v>
      </c>
      <c r="AL1138">
        <v>0</v>
      </c>
      <c r="AM1138">
        <v>0</v>
      </c>
      <c r="AN1138">
        <v>0</v>
      </c>
      <c r="AO1138">
        <v>0</v>
      </c>
      <c r="AP1138" s="2">
        <v>42746</v>
      </c>
      <c r="AQ1138" t="s">
        <v>72</v>
      </c>
      <c r="AR1138" t="s">
        <v>72</v>
      </c>
      <c r="AS1138">
        <v>1509</v>
      </c>
      <c r="AT1138" s="4">
        <v>42527</v>
      </c>
      <c r="AU1138" t="s">
        <v>73</v>
      </c>
      <c r="AV1138">
        <v>1509</v>
      </c>
      <c r="AW1138" s="4">
        <v>42527</v>
      </c>
      <c r="BD1138">
        <v>0</v>
      </c>
      <c r="BN1138" t="s">
        <v>74</v>
      </c>
    </row>
    <row r="1139" spans="1:66" hidden="1">
      <c r="A1139">
        <v>100241</v>
      </c>
      <c r="B1139" s="3" t="s">
        <v>143</v>
      </c>
      <c r="C1139" s="1">
        <v>43300101</v>
      </c>
      <c r="D1139" t="s">
        <v>67</v>
      </c>
      <c r="H1139" t="str">
        <f t="shared" si="94"/>
        <v>06716210635</v>
      </c>
      <c r="I1139" t="str">
        <f t="shared" si="94"/>
        <v>06716210635</v>
      </c>
      <c r="K1139" t="str">
        <f>""</f>
        <v/>
      </c>
      <c r="M1139" t="s">
        <v>68</v>
      </c>
      <c r="N1139" t="str">
        <f t="shared" si="95"/>
        <v>FOR</v>
      </c>
      <c r="O1139" t="s">
        <v>69</v>
      </c>
      <c r="P1139" s="3" t="s">
        <v>75</v>
      </c>
      <c r="Q1139">
        <v>2015</v>
      </c>
      <c r="R1139" s="2">
        <v>42181</v>
      </c>
      <c r="S1139" s="2">
        <v>42191</v>
      </c>
      <c r="T1139" s="2">
        <v>42188</v>
      </c>
      <c r="U1139" s="2">
        <v>42248</v>
      </c>
      <c r="V1139" t="s">
        <v>71</v>
      </c>
      <c r="W1139" t="str">
        <f>"         000374-0CPA"</f>
        <v xml:space="preserve">         000374-0CPA</v>
      </c>
      <c r="X1139" s="1">
        <v>2321.9</v>
      </c>
      <c r="Y1139">
        <v>0</v>
      </c>
      <c r="Z1139"/>
      <c r="AB1139"/>
      <c r="AC1139" s="1">
        <v>1903.2</v>
      </c>
      <c r="AD1139">
        <v>279</v>
      </c>
      <c r="AE1139" s="1">
        <v>530992.80000000005</v>
      </c>
      <c r="AF1139">
        <v>0</v>
      </c>
      <c r="AJ1139">
        <v>0</v>
      </c>
      <c r="AK1139">
        <v>0</v>
      </c>
      <c r="AL1139">
        <v>0</v>
      </c>
      <c r="AM1139">
        <v>0</v>
      </c>
      <c r="AN1139">
        <v>0</v>
      </c>
      <c r="AO1139">
        <v>0</v>
      </c>
      <c r="AP1139" s="2">
        <v>42746</v>
      </c>
      <c r="AQ1139" t="s">
        <v>72</v>
      </c>
      <c r="AR1139" t="s">
        <v>72</v>
      </c>
      <c r="AS1139">
        <v>1509</v>
      </c>
      <c r="AT1139" s="4">
        <v>42527</v>
      </c>
      <c r="AU1139" t="s">
        <v>73</v>
      </c>
      <c r="AV1139">
        <v>1509</v>
      </c>
      <c r="AW1139" s="4">
        <v>42527</v>
      </c>
      <c r="BD1139">
        <v>0</v>
      </c>
      <c r="BN1139" t="s">
        <v>74</v>
      </c>
    </row>
    <row r="1140" spans="1:66" hidden="1">
      <c r="A1140">
        <v>100241</v>
      </c>
      <c r="B1140" s="3" t="s">
        <v>143</v>
      </c>
      <c r="C1140" s="1">
        <v>43300101</v>
      </c>
      <c r="D1140" t="s">
        <v>67</v>
      </c>
      <c r="H1140" t="str">
        <f t="shared" si="94"/>
        <v>06716210635</v>
      </c>
      <c r="I1140" t="str">
        <f t="shared" si="94"/>
        <v>06716210635</v>
      </c>
      <c r="K1140" t="str">
        <f>""</f>
        <v/>
      </c>
      <c r="M1140" t="s">
        <v>68</v>
      </c>
      <c r="N1140" t="str">
        <f t="shared" si="95"/>
        <v>FOR</v>
      </c>
      <c r="O1140" t="s">
        <v>69</v>
      </c>
      <c r="P1140" s="3" t="s">
        <v>75</v>
      </c>
      <c r="Q1140">
        <v>2015</v>
      </c>
      <c r="R1140" s="2">
        <v>42181</v>
      </c>
      <c r="S1140" s="2">
        <v>42191</v>
      </c>
      <c r="T1140" s="2">
        <v>42188</v>
      </c>
      <c r="U1140" s="2">
        <v>42248</v>
      </c>
      <c r="V1140" t="s">
        <v>71</v>
      </c>
      <c r="W1140" t="str">
        <f>"         000375-0CPA"</f>
        <v xml:space="preserve">         000375-0CPA</v>
      </c>
      <c r="X1140">
        <v>241.56</v>
      </c>
      <c r="Y1140">
        <v>0</v>
      </c>
      <c r="Z1140"/>
      <c r="AB1140"/>
      <c r="AC1140">
        <v>198</v>
      </c>
      <c r="AD1140">
        <v>279</v>
      </c>
      <c r="AE1140" s="1">
        <v>55242</v>
      </c>
      <c r="AF1140">
        <v>0</v>
      </c>
      <c r="AJ1140">
        <v>0</v>
      </c>
      <c r="AK1140">
        <v>0</v>
      </c>
      <c r="AL1140">
        <v>0</v>
      </c>
      <c r="AM1140">
        <v>0</v>
      </c>
      <c r="AN1140">
        <v>0</v>
      </c>
      <c r="AO1140">
        <v>0</v>
      </c>
      <c r="AP1140" s="2">
        <v>42746</v>
      </c>
      <c r="AQ1140" t="s">
        <v>72</v>
      </c>
      <c r="AR1140" t="s">
        <v>72</v>
      </c>
      <c r="AS1140">
        <v>1509</v>
      </c>
      <c r="AT1140" s="4">
        <v>42527</v>
      </c>
      <c r="AU1140" t="s">
        <v>73</v>
      </c>
      <c r="AV1140">
        <v>1509</v>
      </c>
      <c r="AW1140" s="4">
        <v>42527</v>
      </c>
      <c r="BD1140">
        <v>0</v>
      </c>
      <c r="BN1140" t="s">
        <v>74</v>
      </c>
    </row>
    <row r="1141" spans="1:66" hidden="1">
      <c r="A1141">
        <v>100241</v>
      </c>
      <c r="B1141" s="3" t="s">
        <v>143</v>
      </c>
      <c r="C1141" s="1">
        <v>43300101</v>
      </c>
      <c r="D1141" t="s">
        <v>67</v>
      </c>
      <c r="H1141" t="str">
        <f t="shared" si="94"/>
        <v>06716210635</v>
      </c>
      <c r="I1141" t="str">
        <f t="shared" si="94"/>
        <v>06716210635</v>
      </c>
      <c r="K1141" t="str">
        <f>""</f>
        <v/>
      </c>
      <c r="M1141" t="s">
        <v>68</v>
      </c>
      <c r="N1141" t="str">
        <f t="shared" si="95"/>
        <v>FOR</v>
      </c>
      <c r="O1141" t="s">
        <v>69</v>
      </c>
      <c r="P1141" s="3" t="s">
        <v>75</v>
      </c>
      <c r="Q1141">
        <v>2015</v>
      </c>
      <c r="R1141" s="2">
        <v>42195</v>
      </c>
      <c r="S1141" s="2">
        <v>42202</v>
      </c>
      <c r="T1141" s="2">
        <v>42200</v>
      </c>
      <c r="U1141" s="2">
        <v>42260</v>
      </c>
      <c r="V1141" t="s">
        <v>71</v>
      </c>
      <c r="W1141" t="str">
        <f>"         000454-0CPA"</f>
        <v xml:space="preserve">         000454-0CPA</v>
      </c>
      <c r="X1141">
        <v>73.2</v>
      </c>
      <c r="Y1141">
        <v>0</v>
      </c>
      <c r="Z1141"/>
      <c r="AB1141"/>
      <c r="AC1141">
        <v>60</v>
      </c>
      <c r="AD1141">
        <v>306</v>
      </c>
      <c r="AE1141" s="1">
        <v>18360</v>
      </c>
      <c r="AF1141">
        <v>0</v>
      </c>
      <c r="AJ1141">
        <v>0</v>
      </c>
      <c r="AK1141">
        <v>0</v>
      </c>
      <c r="AL1141">
        <v>0</v>
      </c>
      <c r="AM1141">
        <v>0</v>
      </c>
      <c r="AN1141">
        <v>0</v>
      </c>
      <c r="AO1141">
        <v>0</v>
      </c>
      <c r="AP1141" s="2">
        <v>42746</v>
      </c>
      <c r="AQ1141" t="s">
        <v>72</v>
      </c>
      <c r="AR1141" t="s">
        <v>72</v>
      </c>
      <c r="AS1141">
        <v>1813</v>
      </c>
      <c r="AT1141" s="4">
        <v>42566</v>
      </c>
      <c r="AU1141" t="s">
        <v>73</v>
      </c>
      <c r="AV1141">
        <v>1813</v>
      </c>
      <c r="AW1141" s="4">
        <v>42566</v>
      </c>
      <c r="BD1141">
        <v>0</v>
      </c>
      <c r="BN1141" t="s">
        <v>74</v>
      </c>
    </row>
    <row r="1142" spans="1:66" hidden="1">
      <c r="A1142">
        <v>100241</v>
      </c>
      <c r="B1142" s="3" t="s">
        <v>143</v>
      </c>
      <c r="C1142" s="1">
        <v>43300101</v>
      </c>
      <c r="D1142" t="s">
        <v>67</v>
      </c>
      <c r="H1142" t="str">
        <f t="shared" si="94"/>
        <v>06716210635</v>
      </c>
      <c r="I1142" t="str">
        <f t="shared" si="94"/>
        <v>06716210635</v>
      </c>
      <c r="K1142" t="str">
        <f>""</f>
        <v/>
      </c>
      <c r="M1142" t="s">
        <v>68</v>
      </c>
      <c r="N1142" t="str">
        <f t="shared" si="95"/>
        <v>FOR</v>
      </c>
      <c r="O1142" t="s">
        <v>69</v>
      </c>
      <c r="P1142" s="3" t="s">
        <v>75</v>
      </c>
      <c r="Q1142">
        <v>2015</v>
      </c>
      <c r="R1142" s="2">
        <v>42209</v>
      </c>
      <c r="S1142" s="2">
        <v>42216</v>
      </c>
      <c r="T1142" s="2">
        <v>42215</v>
      </c>
      <c r="U1142" s="2">
        <v>42275</v>
      </c>
      <c r="V1142" t="s">
        <v>71</v>
      </c>
      <c r="W1142" t="str">
        <f>"         000548-0CPA"</f>
        <v xml:space="preserve">         000548-0CPA</v>
      </c>
      <c r="X1142" s="1">
        <v>1939.8</v>
      </c>
      <c r="Y1142">
        <v>0</v>
      </c>
      <c r="Z1142"/>
      <c r="AB1142"/>
      <c r="AC1142" s="1">
        <v>1590</v>
      </c>
      <c r="AD1142">
        <v>291</v>
      </c>
      <c r="AE1142" s="1">
        <v>462690</v>
      </c>
      <c r="AF1142">
        <v>0</v>
      </c>
      <c r="AJ1142">
        <v>0</v>
      </c>
      <c r="AK1142">
        <v>0</v>
      </c>
      <c r="AL1142">
        <v>0</v>
      </c>
      <c r="AM1142">
        <v>0</v>
      </c>
      <c r="AN1142">
        <v>0</v>
      </c>
      <c r="AO1142">
        <v>0</v>
      </c>
      <c r="AP1142" s="2">
        <v>42746</v>
      </c>
      <c r="AQ1142" t="s">
        <v>72</v>
      </c>
      <c r="AR1142" t="s">
        <v>72</v>
      </c>
      <c r="AS1142">
        <v>1813</v>
      </c>
      <c r="AT1142" s="4">
        <v>42566</v>
      </c>
      <c r="AU1142" t="s">
        <v>73</v>
      </c>
      <c r="AV1142">
        <v>1813</v>
      </c>
      <c r="AW1142" s="4">
        <v>42566</v>
      </c>
      <c r="BD1142">
        <v>0</v>
      </c>
      <c r="BN1142" t="s">
        <v>74</v>
      </c>
    </row>
    <row r="1143" spans="1:66" hidden="1">
      <c r="A1143">
        <v>100241</v>
      </c>
      <c r="B1143" s="3" t="s">
        <v>143</v>
      </c>
      <c r="C1143" s="1">
        <v>43300101</v>
      </c>
      <c r="D1143" t="s">
        <v>67</v>
      </c>
      <c r="H1143" t="str">
        <f t="shared" si="94"/>
        <v>06716210635</v>
      </c>
      <c r="I1143" t="str">
        <f t="shared" si="94"/>
        <v>06716210635</v>
      </c>
      <c r="K1143" t="str">
        <f>""</f>
        <v/>
      </c>
      <c r="M1143" t="s">
        <v>68</v>
      </c>
      <c r="N1143" t="str">
        <f t="shared" si="95"/>
        <v>FOR</v>
      </c>
      <c r="O1143" t="s">
        <v>69</v>
      </c>
      <c r="P1143" s="3" t="s">
        <v>75</v>
      </c>
      <c r="Q1143">
        <v>2015</v>
      </c>
      <c r="R1143" s="2">
        <v>42209</v>
      </c>
      <c r="S1143" s="2">
        <v>42227</v>
      </c>
      <c r="T1143" s="2">
        <v>42215</v>
      </c>
      <c r="U1143" s="2">
        <v>42275</v>
      </c>
      <c r="V1143" t="s">
        <v>71</v>
      </c>
      <c r="W1143" t="str">
        <f>"         000549-0CPA"</f>
        <v xml:space="preserve">         000549-0CPA</v>
      </c>
      <c r="X1143">
        <v>232.41</v>
      </c>
      <c r="Y1143">
        <v>0</v>
      </c>
      <c r="Z1143"/>
      <c r="AB1143"/>
      <c r="AC1143">
        <v>190.5</v>
      </c>
      <c r="AD1143">
        <v>291</v>
      </c>
      <c r="AE1143" s="1">
        <v>55435.5</v>
      </c>
      <c r="AF1143">
        <v>0</v>
      </c>
      <c r="AJ1143">
        <v>0</v>
      </c>
      <c r="AK1143">
        <v>0</v>
      </c>
      <c r="AL1143">
        <v>0</v>
      </c>
      <c r="AM1143">
        <v>0</v>
      </c>
      <c r="AN1143">
        <v>0</v>
      </c>
      <c r="AO1143">
        <v>0</v>
      </c>
      <c r="AP1143" s="2">
        <v>42746</v>
      </c>
      <c r="AQ1143" t="s">
        <v>72</v>
      </c>
      <c r="AR1143" t="s">
        <v>72</v>
      </c>
      <c r="AS1143">
        <v>1813</v>
      </c>
      <c r="AT1143" s="4">
        <v>42566</v>
      </c>
      <c r="AU1143" t="s">
        <v>73</v>
      </c>
      <c r="AV1143">
        <v>1813</v>
      </c>
      <c r="AW1143" s="4">
        <v>42566</v>
      </c>
      <c r="BD1143">
        <v>0</v>
      </c>
      <c r="BN1143" t="s">
        <v>74</v>
      </c>
    </row>
    <row r="1144" spans="1:66" hidden="1">
      <c r="A1144">
        <v>100241</v>
      </c>
      <c r="B1144" s="3" t="s">
        <v>143</v>
      </c>
      <c r="C1144" s="1">
        <v>43300101</v>
      </c>
      <c r="D1144" t="s">
        <v>67</v>
      </c>
      <c r="H1144" t="str">
        <f t="shared" si="94"/>
        <v>06716210635</v>
      </c>
      <c r="I1144" t="str">
        <f t="shared" si="94"/>
        <v>06716210635</v>
      </c>
      <c r="K1144" t="str">
        <f>""</f>
        <v/>
      </c>
      <c r="M1144" t="s">
        <v>68</v>
      </c>
      <c r="N1144" t="str">
        <f t="shared" si="95"/>
        <v>FOR</v>
      </c>
      <c r="O1144" t="s">
        <v>69</v>
      </c>
      <c r="P1144" s="3" t="s">
        <v>75</v>
      </c>
      <c r="Q1144">
        <v>2015</v>
      </c>
      <c r="R1144" s="2">
        <v>42216</v>
      </c>
      <c r="S1144" s="2">
        <v>42223</v>
      </c>
      <c r="T1144" s="2">
        <v>42221</v>
      </c>
      <c r="U1144" s="2">
        <v>42281</v>
      </c>
      <c r="V1144" t="s">
        <v>71</v>
      </c>
      <c r="W1144" t="str">
        <f>"         000589-0CPA"</f>
        <v xml:space="preserve">         000589-0CPA</v>
      </c>
      <c r="X1144">
        <v>211.67</v>
      </c>
      <c r="Y1144">
        <v>0</v>
      </c>
      <c r="Z1144"/>
      <c r="AB1144"/>
      <c r="AC1144">
        <v>173.5</v>
      </c>
      <c r="AD1144">
        <v>134</v>
      </c>
      <c r="AE1144" s="1">
        <v>23249</v>
      </c>
      <c r="AF1144">
        <v>0</v>
      </c>
      <c r="AJ1144">
        <v>0</v>
      </c>
      <c r="AK1144">
        <v>0</v>
      </c>
      <c r="AL1144">
        <v>0</v>
      </c>
      <c r="AM1144">
        <v>0</v>
      </c>
      <c r="AN1144">
        <v>0</v>
      </c>
      <c r="AO1144">
        <v>0</v>
      </c>
      <c r="AP1144" s="2">
        <v>42746</v>
      </c>
      <c r="AQ1144" t="s">
        <v>72</v>
      </c>
      <c r="AR1144" t="s">
        <v>72</v>
      </c>
      <c r="AS1144">
        <v>354</v>
      </c>
      <c r="AT1144" s="4">
        <v>42415</v>
      </c>
      <c r="AU1144" t="s">
        <v>73</v>
      </c>
      <c r="AV1144">
        <v>354</v>
      </c>
      <c r="AW1144" s="4">
        <v>42415</v>
      </c>
      <c r="BD1144">
        <v>0</v>
      </c>
      <c r="BN1144" t="s">
        <v>74</v>
      </c>
    </row>
    <row r="1145" spans="1:66" hidden="1">
      <c r="A1145">
        <v>100241</v>
      </c>
      <c r="B1145" s="3" t="s">
        <v>143</v>
      </c>
      <c r="C1145" s="1">
        <v>43300101</v>
      </c>
      <c r="D1145" t="s">
        <v>67</v>
      </c>
      <c r="H1145" t="str">
        <f t="shared" si="94"/>
        <v>06716210635</v>
      </c>
      <c r="I1145" t="str">
        <f t="shared" si="94"/>
        <v>06716210635</v>
      </c>
      <c r="K1145" t="str">
        <f>""</f>
        <v/>
      </c>
      <c r="M1145" t="s">
        <v>68</v>
      </c>
      <c r="N1145" t="str">
        <f t="shared" si="95"/>
        <v>FOR</v>
      </c>
      <c r="O1145" t="s">
        <v>69</v>
      </c>
      <c r="P1145" s="3" t="s">
        <v>75</v>
      </c>
      <c r="Q1145">
        <v>2015</v>
      </c>
      <c r="R1145" s="2">
        <v>42216</v>
      </c>
      <c r="S1145" s="2">
        <v>42223</v>
      </c>
      <c r="T1145" s="2">
        <v>42221</v>
      </c>
      <c r="U1145" s="2">
        <v>42281</v>
      </c>
      <c r="V1145" t="s">
        <v>71</v>
      </c>
      <c r="W1145" t="str">
        <f>"         000590-0CPA"</f>
        <v xml:space="preserve">         000590-0CPA</v>
      </c>
      <c r="X1145">
        <v>54.35</v>
      </c>
      <c r="Y1145">
        <v>0</v>
      </c>
      <c r="Z1145"/>
      <c r="AB1145"/>
      <c r="AC1145">
        <v>44.55</v>
      </c>
      <c r="AD1145">
        <v>134</v>
      </c>
      <c r="AE1145" s="1">
        <v>5969.7</v>
      </c>
      <c r="AF1145">
        <v>0</v>
      </c>
      <c r="AJ1145">
        <v>0</v>
      </c>
      <c r="AK1145">
        <v>0</v>
      </c>
      <c r="AL1145">
        <v>0</v>
      </c>
      <c r="AM1145">
        <v>0</v>
      </c>
      <c r="AN1145">
        <v>0</v>
      </c>
      <c r="AO1145">
        <v>0</v>
      </c>
      <c r="AP1145" s="2">
        <v>42746</v>
      </c>
      <c r="AQ1145" t="s">
        <v>72</v>
      </c>
      <c r="AR1145" t="s">
        <v>72</v>
      </c>
      <c r="AS1145">
        <v>354</v>
      </c>
      <c r="AT1145" s="4">
        <v>42415</v>
      </c>
      <c r="AU1145" t="s">
        <v>73</v>
      </c>
      <c r="AV1145">
        <v>354</v>
      </c>
      <c r="AW1145" s="4">
        <v>42415</v>
      </c>
      <c r="BD1145">
        <v>0</v>
      </c>
      <c r="BN1145" t="s">
        <v>74</v>
      </c>
    </row>
    <row r="1146" spans="1:66" hidden="1">
      <c r="A1146">
        <v>100241</v>
      </c>
      <c r="B1146" s="3" t="s">
        <v>143</v>
      </c>
      <c r="C1146" s="1">
        <v>43300101</v>
      </c>
      <c r="D1146" t="s">
        <v>67</v>
      </c>
      <c r="H1146" t="str">
        <f t="shared" si="94"/>
        <v>06716210635</v>
      </c>
      <c r="I1146" t="str">
        <f t="shared" si="94"/>
        <v>06716210635</v>
      </c>
      <c r="K1146" t="str">
        <f>""</f>
        <v/>
      </c>
      <c r="M1146" t="s">
        <v>68</v>
      </c>
      <c r="N1146" t="str">
        <f t="shared" si="95"/>
        <v>FOR</v>
      </c>
      <c r="O1146" t="s">
        <v>69</v>
      </c>
      <c r="P1146" s="3" t="s">
        <v>75</v>
      </c>
      <c r="Q1146">
        <v>2015</v>
      </c>
      <c r="R1146" s="2">
        <v>42272</v>
      </c>
      <c r="S1146" s="2">
        <v>42275</v>
      </c>
      <c r="T1146" s="2">
        <v>42275</v>
      </c>
      <c r="U1146" s="2">
        <v>42335</v>
      </c>
      <c r="V1146" t="s">
        <v>71</v>
      </c>
      <c r="W1146" t="str">
        <f>"         000766-0CPA"</f>
        <v xml:space="preserve">         000766-0CPA</v>
      </c>
      <c r="X1146" s="1">
        <v>1849.03</v>
      </c>
      <c r="Y1146">
        <v>0</v>
      </c>
      <c r="Z1146"/>
      <c r="AB1146"/>
      <c r="AC1146" s="1">
        <v>1515.6</v>
      </c>
      <c r="AD1146">
        <v>286</v>
      </c>
      <c r="AE1146" s="1">
        <v>433461.6</v>
      </c>
      <c r="AF1146">
        <v>0</v>
      </c>
      <c r="AJ1146">
        <v>0</v>
      </c>
      <c r="AK1146">
        <v>0</v>
      </c>
      <c r="AL1146">
        <v>0</v>
      </c>
      <c r="AM1146">
        <v>0</v>
      </c>
      <c r="AN1146">
        <v>0</v>
      </c>
      <c r="AO1146">
        <v>0</v>
      </c>
      <c r="AP1146" s="2">
        <v>42746</v>
      </c>
      <c r="AQ1146" t="s">
        <v>72</v>
      </c>
      <c r="AR1146" t="s">
        <v>72</v>
      </c>
      <c r="AS1146">
        <v>2393</v>
      </c>
      <c r="AT1146" s="4">
        <v>42621</v>
      </c>
      <c r="AU1146" t="s">
        <v>73</v>
      </c>
      <c r="AV1146">
        <v>2393</v>
      </c>
      <c r="AW1146" s="4">
        <v>42621</v>
      </c>
      <c r="BD1146">
        <v>0</v>
      </c>
      <c r="BN1146" t="s">
        <v>74</v>
      </c>
    </row>
    <row r="1147" spans="1:66">
      <c r="A1147">
        <v>100241</v>
      </c>
      <c r="B1147" s="3" t="s">
        <v>143</v>
      </c>
      <c r="C1147" s="1">
        <v>43300101</v>
      </c>
      <c r="D1147" t="s">
        <v>67</v>
      </c>
      <c r="H1147" t="str">
        <f t="shared" si="94"/>
        <v>06716210635</v>
      </c>
      <c r="I1147" t="str">
        <f t="shared" si="94"/>
        <v>06716210635</v>
      </c>
      <c r="K1147" t="str">
        <f>""</f>
        <v/>
      </c>
      <c r="M1147" t="s">
        <v>68</v>
      </c>
      <c r="N1147" t="str">
        <f t="shared" si="95"/>
        <v>FOR</v>
      </c>
      <c r="O1147" t="s">
        <v>69</v>
      </c>
      <c r="P1147" s="3" t="s">
        <v>75</v>
      </c>
      <c r="Q1147">
        <v>2015</v>
      </c>
      <c r="R1147" s="2">
        <v>42286</v>
      </c>
      <c r="S1147" s="2">
        <v>42293</v>
      </c>
      <c r="T1147" s="2">
        <v>42292</v>
      </c>
      <c r="U1147" s="2">
        <v>42352</v>
      </c>
      <c r="V1147" t="s">
        <v>71</v>
      </c>
      <c r="W1147" t="str">
        <f>"         000862-0CPA"</f>
        <v xml:space="preserve">         000862-0CPA</v>
      </c>
      <c r="X1147">
        <v>163.97</v>
      </c>
      <c r="Y1147">
        <v>0</v>
      </c>
      <c r="Z1147" s="3">
        <v>134.4</v>
      </c>
      <c r="AA1147">
        <v>296</v>
      </c>
      <c r="AB1147" s="5">
        <v>39782.400000000001</v>
      </c>
      <c r="AC1147">
        <v>134.4</v>
      </c>
      <c r="AD1147">
        <v>296</v>
      </c>
      <c r="AE1147" s="1">
        <v>39782.400000000001</v>
      </c>
      <c r="AF1147">
        <v>0</v>
      </c>
      <c r="AJ1147">
        <v>0</v>
      </c>
      <c r="AK1147">
        <v>0</v>
      </c>
      <c r="AL1147">
        <v>0</v>
      </c>
      <c r="AM1147">
        <v>0</v>
      </c>
      <c r="AN1147">
        <v>0</v>
      </c>
      <c r="AO1147">
        <v>0</v>
      </c>
      <c r="AP1147" s="2">
        <v>42746</v>
      </c>
      <c r="AQ1147" t="s">
        <v>72</v>
      </c>
      <c r="AR1147" t="s">
        <v>72</v>
      </c>
      <c r="AS1147">
        <v>2683</v>
      </c>
      <c r="AT1147" s="4">
        <v>42648</v>
      </c>
      <c r="AU1147" t="s">
        <v>73</v>
      </c>
      <c r="AV1147">
        <v>2683</v>
      </c>
      <c r="AW1147" s="4">
        <v>42648</v>
      </c>
      <c r="BD1147">
        <v>0</v>
      </c>
      <c r="BN1147" t="s">
        <v>74</v>
      </c>
    </row>
    <row r="1148" spans="1:66">
      <c r="A1148">
        <v>100241</v>
      </c>
      <c r="B1148" s="3" t="s">
        <v>143</v>
      </c>
      <c r="C1148" s="1">
        <v>43300101</v>
      </c>
      <c r="D1148" t="s">
        <v>67</v>
      </c>
      <c r="H1148" t="str">
        <f t="shared" si="94"/>
        <v>06716210635</v>
      </c>
      <c r="I1148" t="str">
        <f t="shared" si="94"/>
        <v>06716210635</v>
      </c>
      <c r="K1148" t="str">
        <f>""</f>
        <v/>
      </c>
      <c r="M1148" t="s">
        <v>68</v>
      </c>
      <c r="N1148" t="str">
        <f t="shared" si="95"/>
        <v>FOR</v>
      </c>
      <c r="O1148" t="s">
        <v>69</v>
      </c>
      <c r="P1148" s="3" t="s">
        <v>75</v>
      </c>
      <c r="Q1148">
        <v>2015</v>
      </c>
      <c r="R1148" s="2">
        <v>42321</v>
      </c>
      <c r="S1148" s="2">
        <v>42338</v>
      </c>
      <c r="T1148" s="2">
        <v>42335</v>
      </c>
      <c r="U1148" s="2">
        <v>42395</v>
      </c>
      <c r="V1148" t="s">
        <v>71</v>
      </c>
      <c r="W1148" t="str">
        <f>"         001048-0CPA"</f>
        <v xml:space="preserve">         001048-0CPA</v>
      </c>
      <c r="X1148">
        <v>200.45</v>
      </c>
      <c r="Y1148">
        <v>0</v>
      </c>
      <c r="Z1148" s="3">
        <v>164.3</v>
      </c>
      <c r="AA1148">
        <v>253</v>
      </c>
      <c r="AB1148" s="5">
        <v>41567.9</v>
      </c>
      <c r="AC1148">
        <v>164.3</v>
      </c>
      <c r="AD1148">
        <v>253</v>
      </c>
      <c r="AE1148" s="1">
        <v>41567.9</v>
      </c>
      <c r="AF1148">
        <v>0</v>
      </c>
      <c r="AJ1148">
        <v>0</v>
      </c>
      <c r="AK1148">
        <v>0</v>
      </c>
      <c r="AL1148">
        <v>0</v>
      </c>
      <c r="AM1148">
        <v>0</v>
      </c>
      <c r="AN1148">
        <v>0</v>
      </c>
      <c r="AO1148">
        <v>0</v>
      </c>
      <c r="AP1148" s="2">
        <v>42746</v>
      </c>
      <c r="AQ1148" t="s">
        <v>72</v>
      </c>
      <c r="AR1148" t="s">
        <v>72</v>
      </c>
      <c r="AS1148">
        <v>2683</v>
      </c>
      <c r="AT1148" s="4">
        <v>42648</v>
      </c>
      <c r="AU1148" t="s">
        <v>73</v>
      </c>
      <c r="AV1148">
        <v>2683</v>
      </c>
      <c r="AW1148" s="4">
        <v>42648</v>
      </c>
      <c r="BD1148">
        <v>0</v>
      </c>
      <c r="BN1148" t="s">
        <v>74</v>
      </c>
    </row>
    <row r="1149" spans="1:66">
      <c r="A1149">
        <v>100241</v>
      </c>
      <c r="B1149" s="3" t="s">
        <v>143</v>
      </c>
      <c r="C1149" s="1">
        <v>43300101</v>
      </c>
      <c r="D1149" t="s">
        <v>67</v>
      </c>
      <c r="H1149" t="str">
        <f t="shared" si="94"/>
        <v>06716210635</v>
      </c>
      <c r="I1149" t="str">
        <f t="shared" si="94"/>
        <v>06716210635</v>
      </c>
      <c r="K1149" t="str">
        <f>""</f>
        <v/>
      </c>
      <c r="M1149" t="s">
        <v>68</v>
      </c>
      <c r="N1149" t="str">
        <f t="shared" si="95"/>
        <v>FOR</v>
      </c>
      <c r="O1149" t="s">
        <v>69</v>
      </c>
      <c r="P1149" s="3" t="s">
        <v>75</v>
      </c>
      <c r="Q1149">
        <v>2015</v>
      </c>
      <c r="R1149" s="2">
        <v>42321</v>
      </c>
      <c r="S1149" s="2">
        <v>42338</v>
      </c>
      <c r="T1149" s="2">
        <v>42335</v>
      </c>
      <c r="U1149" s="2">
        <v>42395</v>
      </c>
      <c r="V1149" t="s">
        <v>71</v>
      </c>
      <c r="W1149" t="str">
        <f>"         001049-0CPA"</f>
        <v xml:space="preserve">         001049-0CPA</v>
      </c>
      <c r="X1149">
        <v>154.94</v>
      </c>
      <c r="Y1149">
        <v>0</v>
      </c>
      <c r="Z1149" s="3">
        <v>127</v>
      </c>
      <c r="AA1149">
        <v>253</v>
      </c>
      <c r="AB1149" s="5">
        <v>32131</v>
      </c>
      <c r="AC1149">
        <v>127</v>
      </c>
      <c r="AD1149">
        <v>253</v>
      </c>
      <c r="AE1149" s="1">
        <v>32131</v>
      </c>
      <c r="AF1149">
        <v>0</v>
      </c>
      <c r="AJ1149">
        <v>0</v>
      </c>
      <c r="AK1149">
        <v>0</v>
      </c>
      <c r="AL1149">
        <v>0</v>
      </c>
      <c r="AM1149">
        <v>0</v>
      </c>
      <c r="AN1149">
        <v>0</v>
      </c>
      <c r="AO1149">
        <v>0</v>
      </c>
      <c r="AP1149" s="2">
        <v>42746</v>
      </c>
      <c r="AQ1149" t="s">
        <v>72</v>
      </c>
      <c r="AR1149" t="s">
        <v>72</v>
      </c>
      <c r="AS1149">
        <v>2683</v>
      </c>
      <c r="AT1149" s="4">
        <v>42648</v>
      </c>
      <c r="AU1149" t="s">
        <v>73</v>
      </c>
      <c r="AV1149">
        <v>2683</v>
      </c>
      <c r="AW1149" s="4">
        <v>42648</v>
      </c>
      <c r="BD1149">
        <v>0</v>
      </c>
      <c r="BN1149" t="s">
        <v>74</v>
      </c>
    </row>
    <row r="1150" spans="1:66">
      <c r="A1150">
        <v>100241</v>
      </c>
      <c r="B1150" s="3" t="s">
        <v>143</v>
      </c>
      <c r="C1150" s="1">
        <v>43300101</v>
      </c>
      <c r="D1150" t="s">
        <v>67</v>
      </c>
      <c r="H1150" t="str">
        <f t="shared" si="94"/>
        <v>06716210635</v>
      </c>
      <c r="I1150" t="str">
        <f t="shared" si="94"/>
        <v>06716210635</v>
      </c>
      <c r="K1150" t="str">
        <f>""</f>
        <v/>
      </c>
      <c r="M1150" t="s">
        <v>68</v>
      </c>
      <c r="N1150" t="str">
        <f t="shared" si="95"/>
        <v>FOR</v>
      </c>
      <c r="O1150" t="s">
        <v>69</v>
      </c>
      <c r="P1150" s="3" t="s">
        <v>75</v>
      </c>
      <c r="Q1150">
        <v>2015</v>
      </c>
      <c r="R1150" s="2">
        <v>42335</v>
      </c>
      <c r="S1150" s="2">
        <v>42369</v>
      </c>
      <c r="T1150" s="2">
        <v>42369</v>
      </c>
      <c r="U1150" s="2">
        <v>42429</v>
      </c>
      <c r="V1150" t="s">
        <v>71</v>
      </c>
      <c r="W1150" t="str">
        <f>"         001122-0CPA"</f>
        <v xml:space="preserve">         001122-0CPA</v>
      </c>
      <c r="X1150" s="1">
        <v>1123.6199999999999</v>
      </c>
      <c r="Y1150">
        <v>0</v>
      </c>
      <c r="Z1150" s="3">
        <v>921</v>
      </c>
      <c r="AA1150">
        <v>219</v>
      </c>
      <c r="AB1150" s="5">
        <v>201699</v>
      </c>
      <c r="AC1150">
        <v>921</v>
      </c>
      <c r="AD1150">
        <v>219</v>
      </c>
      <c r="AE1150" s="1">
        <v>201699</v>
      </c>
      <c r="AF1150">
        <v>0</v>
      </c>
      <c r="AJ1150">
        <v>0</v>
      </c>
      <c r="AK1150">
        <v>0</v>
      </c>
      <c r="AL1150">
        <v>0</v>
      </c>
      <c r="AM1150">
        <v>0</v>
      </c>
      <c r="AN1150">
        <v>0</v>
      </c>
      <c r="AO1150">
        <v>0</v>
      </c>
      <c r="AP1150" s="2">
        <v>42746</v>
      </c>
      <c r="AQ1150" t="s">
        <v>72</v>
      </c>
      <c r="AR1150" t="s">
        <v>72</v>
      </c>
      <c r="AS1150">
        <v>2683</v>
      </c>
      <c r="AT1150" s="4">
        <v>42648</v>
      </c>
      <c r="AU1150" t="s">
        <v>73</v>
      </c>
      <c r="AV1150">
        <v>2683</v>
      </c>
      <c r="AW1150" s="4">
        <v>42648</v>
      </c>
      <c r="BD1150">
        <v>0</v>
      </c>
      <c r="BN1150" t="s">
        <v>74</v>
      </c>
    </row>
    <row r="1151" spans="1:66">
      <c r="A1151">
        <v>100241</v>
      </c>
      <c r="B1151" s="3" t="s">
        <v>143</v>
      </c>
      <c r="C1151" s="1">
        <v>43300101</v>
      </c>
      <c r="D1151" t="s">
        <v>67</v>
      </c>
      <c r="H1151" t="str">
        <f t="shared" si="94"/>
        <v>06716210635</v>
      </c>
      <c r="I1151" t="str">
        <f t="shared" si="94"/>
        <v>06716210635</v>
      </c>
      <c r="K1151" t="str">
        <f>""</f>
        <v/>
      </c>
      <c r="M1151" t="s">
        <v>68</v>
      </c>
      <c r="N1151" t="str">
        <f t="shared" si="95"/>
        <v>FOR</v>
      </c>
      <c r="O1151" t="s">
        <v>69</v>
      </c>
      <c r="P1151" s="3" t="s">
        <v>75</v>
      </c>
      <c r="Q1151">
        <v>2015</v>
      </c>
      <c r="R1151" s="2">
        <v>42356</v>
      </c>
      <c r="S1151" s="2">
        <v>42369</v>
      </c>
      <c r="T1151" s="2">
        <v>42369</v>
      </c>
      <c r="U1151" s="2">
        <v>42429</v>
      </c>
      <c r="V1151" t="s">
        <v>71</v>
      </c>
      <c r="W1151" t="str">
        <f>"         001215-0CPA"</f>
        <v xml:space="preserve">         001215-0CPA</v>
      </c>
      <c r="X1151" s="1">
        <v>1092.75</v>
      </c>
      <c r="Y1151">
        <v>0</v>
      </c>
      <c r="Z1151" s="3">
        <v>895.7</v>
      </c>
      <c r="AA1151">
        <v>219</v>
      </c>
      <c r="AB1151" s="5">
        <v>196158.3</v>
      </c>
      <c r="AC1151">
        <v>895.7</v>
      </c>
      <c r="AD1151">
        <v>219</v>
      </c>
      <c r="AE1151" s="1">
        <v>196158.3</v>
      </c>
      <c r="AF1151">
        <v>0</v>
      </c>
      <c r="AJ1151">
        <v>0</v>
      </c>
      <c r="AK1151">
        <v>0</v>
      </c>
      <c r="AL1151">
        <v>0</v>
      </c>
      <c r="AM1151">
        <v>0</v>
      </c>
      <c r="AN1151">
        <v>0</v>
      </c>
      <c r="AO1151">
        <v>0</v>
      </c>
      <c r="AP1151" s="2">
        <v>42746</v>
      </c>
      <c r="AQ1151" t="s">
        <v>72</v>
      </c>
      <c r="AR1151" t="s">
        <v>72</v>
      </c>
      <c r="AS1151">
        <v>2683</v>
      </c>
      <c r="AT1151" s="4">
        <v>42648</v>
      </c>
      <c r="AU1151" t="s">
        <v>73</v>
      </c>
      <c r="AV1151">
        <v>2683</v>
      </c>
      <c r="AW1151" s="4">
        <v>42648</v>
      </c>
      <c r="BD1151">
        <v>0</v>
      </c>
      <c r="BN1151" t="s">
        <v>74</v>
      </c>
    </row>
    <row r="1152" spans="1:66">
      <c r="A1152">
        <v>100241</v>
      </c>
      <c r="B1152" s="3" t="s">
        <v>143</v>
      </c>
      <c r="C1152" s="1">
        <v>43300101</v>
      </c>
      <c r="D1152" t="s">
        <v>67</v>
      </c>
      <c r="H1152" t="str">
        <f t="shared" si="94"/>
        <v>06716210635</v>
      </c>
      <c r="I1152" t="str">
        <f t="shared" si="94"/>
        <v>06716210635</v>
      </c>
      <c r="K1152" t="str">
        <f>""</f>
        <v/>
      </c>
      <c r="M1152" t="s">
        <v>68</v>
      </c>
      <c r="N1152" t="str">
        <f t="shared" si="95"/>
        <v>FOR</v>
      </c>
      <c r="O1152" t="s">
        <v>69</v>
      </c>
      <c r="P1152" s="3" t="s">
        <v>75</v>
      </c>
      <c r="Q1152">
        <v>2016</v>
      </c>
      <c r="R1152" s="2">
        <v>42391</v>
      </c>
      <c r="S1152" s="2">
        <v>42396</v>
      </c>
      <c r="T1152" s="2">
        <v>42396</v>
      </c>
      <c r="U1152" s="2">
        <v>42456</v>
      </c>
      <c r="V1152" t="s">
        <v>71</v>
      </c>
      <c r="W1152" t="str">
        <f>"         000046-0CPA"</f>
        <v xml:space="preserve">         000046-0CPA</v>
      </c>
      <c r="X1152" s="1">
        <v>1778.76</v>
      </c>
      <c r="Y1152">
        <v>0</v>
      </c>
      <c r="Z1152" s="5">
        <v>1458</v>
      </c>
      <c r="AA1152">
        <v>267</v>
      </c>
      <c r="AB1152" s="5">
        <v>389286</v>
      </c>
      <c r="AC1152" s="1">
        <v>1458</v>
      </c>
      <c r="AD1152">
        <v>267</v>
      </c>
      <c r="AE1152" s="1">
        <v>389286</v>
      </c>
      <c r="AF1152">
        <v>320.76</v>
      </c>
      <c r="AJ1152">
        <v>0</v>
      </c>
      <c r="AK1152">
        <v>0</v>
      </c>
      <c r="AL1152">
        <v>0</v>
      </c>
      <c r="AM1152" s="1">
        <v>1778.76</v>
      </c>
      <c r="AN1152" s="1">
        <v>1778.76</v>
      </c>
      <c r="AO1152" s="1">
        <v>1778.76</v>
      </c>
      <c r="AP1152" s="2">
        <v>42746</v>
      </c>
      <c r="AQ1152" t="s">
        <v>72</v>
      </c>
      <c r="AR1152" t="s">
        <v>72</v>
      </c>
      <c r="AS1152">
        <v>3632</v>
      </c>
      <c r="AT1152" s="4">
        <v>42723</v>
      </c>
      <c r="AU1152" t="s">
        <v>73</v>
      </c>
      <c r="AV1152">
        <v>3632</v>
      </c>
      <c r="AW1152" s="4">
        <v>42723</v>
      </c>
      <c r="BD1152">
        <v>320.76</v>
      </c>
      <c r="BN1152" t="s">
        <v>74</v>
      </c>
    </row>
    <row r="1153" spans="1:66">
      <c r="A1153">
        <v>100241</v>
      </c>
      <c r="B1153" s="3" t="s">
        <v>143</v>
      </c>
      <c r="C1153" s="1">
        <v>43300101</v>
      </c>
      <c r="D1153" t="s">
        <v>67</v>
      </c>
      <c r="H1153" t="str">
        <f t="shared" si="94"/>
        <v>06716210635</v>
      </c>
      <c r="I1153" t="str">
        <f t="shared" si="94"/>
        <v>06716210635</v>
      </c>
      <c r="K1153" t="str">
        <f>""</f>
        <v/>
      </c>
      <c r="M1153" t="s">
        <v>68</v>
      </c>
      <c r="N1153" t="str">
        <f t="shared" si="95"/>
        <v>FOR</v>
      </c>
      <c r="O1153" t="s">
        <v>69</v>
      </c>
      <c r="P1153" s="3" t="s">
        <v>75</v>
      </c>
      <c r="Q1153">
        <v>2016</v>
      </c>
      <c r="R1153" s="2">
        <v>42398</v>
      </c>
      <c r="S1153" s="2">
        <v>42417</v>
      </c>
      <c r="T1153" s="2">
        <v>42412</v>
      </c>
      <c r="U1153" s="2">
        <v>42472</v>
      </c>
      <c r="V1153" t="s">
        <v>71</v>
      </c>
      <c r="W1153" t="str">
        <f>"         000082-0CPA"</f>
        <v xml:space="preserve">         000082-0CPA</v>
      </c>
      <c r="X1153">
        <v>889.38</v>
      </c>
      <c r="Y1153">
        <v>0</v>
      </c>
      <c r="Z1153" s="3">
        <v>729</v>
      </c>
      <c r="AA1153">
        <v>251</v>
      </c>
      <c r="AB1153" s="5">
        <v>182979</v>
      </c>
      <c r="AC1153">
        <v>729</v>
      </c>
      <c r="AD1153">
        <v>251</v>
      </c>
      <c r="AE1153" s="1">
        <v>182979</v>
      </c>
      <c r="AF1153">
        <v>160.38</v>
      </c>
      <c r="AJ1153">
        <v>0</v>
      </c>
      <c r="AK1153">
        <v>0</v>
      </c>
      <c r="AL1153">
        <v>0</v>
      </c>
      <c r="AM1153">
        <v>889.38</v>
      </c>
      <c r="AN1153">
        <v>889.38</v>
      </c>
      <c r="AO1153">
        <v>889.38</v>
      </c>
      <c r="AP1153" s="2">
        <v>42746</v>
      </c>
      <c r="AQ1153" t="s">
        <v>72</v>
      </c>
      <c r="AR1153" t="s">
        <v>72</v>
      </c>
      <c r="AS1153">
        <v>3632</v>
      </c>
      <c r="AT1153" s="4">
        <v>42723</v>
      </c>
      <c r="AU1153" t="s">
        <v>73</v>
      </c>
      <c r="AV1153">
        <v>3632</v>
      </c>
      <c r="AW1153" s="4">
        <v>42723</v>
      </c>
      <c r="BD1153">
        <v>160.38</v>
      </c>
      <c r="BN1153" t="s">
        <v>74</v>
      </c>
    </row>
    <row r="1154" spans="1:66">
      <c r="A1154">
        <v>100241</v>
      </c>
      <c r="B1154" s="3" t="s">
        <v>143</v>
      </c>
      <c r="C1154" s="1">
        <v>43300101</v>
      </c>
      <c r="D1154" t="s">
        <v>67</v>
      </c>
      <c r="H1154" t="str">
        <f t="shared" si="94"/>
        <v>06716210635</v>
      </c>
      <c r="I1154" t="str">
        <f t="shared" si="94"/>
        <v>06716210635</v>
      </c>
      <c r="K1154" t="str">
        <f>""</f>
        <v/>
      </c>
      <c r="M1154" t="s">
        <v>68</v>
      </c>
      <c r="N1154" t="str">
        <f t="shared" si="95"/>
        <v>FOR</v>
      </c>
      <c r="O1154" t="s">
        <v>69</v>
      </c>
      <c r="P1154" s="3" t="s">
        <v>75</v>
      </c>
      <c r="Q1154">
        <v>2016</v>
      </c>
      <c r="R1154" s="2">
        <v>42426</v>
      </c>
      <c r="S1154" s="2">
        <v>42438</v>
      </c>
      <c r="T1154" s="2">
        <v>42437</v>
      </c>
      <c r="U1154" s="2">
        <v>42497</v>
      </c>
      <c r="V1154" t="s">
        <v>71</v>
      </c>
      <c r="W1154" t="str">
        <f>"         000218-0CPA"</f>
        <v xml:space="preserve">         000218-0CPA</v>
      </c>
      <c r="X1154">
        <v>158.6</v>
      </c>
      <c r="Y1154">
        <v>0</v>
      </c>
      <c r="Z1154" s="3">
        <v>130</v>
      </c>
      <c r="AA1154">
        <v>226</v>
      </c>
      <c r="AB1154" s="5">
        <v>29380</v>
      </c>
      <c r="AC1154">
        <v>130</v>
      </c>
      <c r="AD1154">
        <v>226</v>
      </c>
      <c r="AE1154" s="1">
        <v>29380</v>
      </c>
      <c r="AF1154">
        <v>28.6</v>
      </c>
      <c r="AJ1154">
        <v>0</v>
      </c>
      <c r="AK1154">
        <v>0</v>
      </c>
      <c r="AL1154">
        <v>0</v>
      </c>
      <c r="AM1154">
        <v>158.6</v>
      </c>
      <c r="AN1154">
        <v>158.6</v>
      </c>
      <c r="AO1154">
        <v>158.6</v>
      </c>
      <c r="AP1154" s="2">
        <v>42746</v>
      </c>
      <c r="AQ1154" t="s">
        <v>72</v>
      </c>
      <c r="AR1154" t="s">
        <v>72</v>
      </c>
      <c r="AS1154">
        <v>3632</v>
      </c>
      <c r="AT1154" s="4">
        <v>42723</v>
      </c>
      <c r="AU1154" t="s">
        <v>73</v>
      </c>
      <c r="AV1154">
        <v>3632</v>
      </c>
      <c r="AW1154" s="4">
        <v>42723</v>
      </c>
      <c r="BD1154">
        <v>28.6</v>
      </c>
      <c r="BN1154" t="s">
        <v>74</v>
      </c>
    </row>
    <row r="1155" spans="1:66" hidden="1">
      <c r="A1155">
        <v>100245</v>
      </c>
      <c r="B1155" s="3" t="s">
        <v>144</v>
      </c>
      <c r="C1155" s="1">
        <v>43300101</v>
      </c>
      <c r="D1155" t="s">
        <v>67</v>
      </c>
      <c r="H1155" t="str">
        <f t="shared" ref="H1155:I1157" si="96">"01513360345"</f>
        <v>01513360345</v>
      </c>
      <c r="I1155" t="str">
        <f t="shared" si="96"/>
        <v>01513360345</v>
      </c>
      <c r="K1155" t="str">
        <f>""</f>
        <v/>
      </c>
      <c r="M1155" t="s">
        <v>68</v>
      </c>
      <c r="N1155" t="str">
        <f t="shared" si="95"/>
        <v>FOR</v>
      </c>
      <c r="O1155" t="s">
        <v>69</v>
      </c>
      <c r="P1155" s="3" t="s">
        <v>75</v>
      </c>
      <c r="Q1155">
        <v>2015</v>
      </c>
      <c r="R1155" s="2">
        <v>42164</v>
      </c>
      <c r="S1155" s="2">
        <v>42170</v>
      </c>
      <c r="T1155" s="2">
        <v>42169</v>
      </c>
      <c r="U1155" s="2">
        <v>42229</v>
      </c>
      <c r="V1155" t="s">
        <v>71</v>
      </c>
      <c r="W1155" t="str">
        <f>"          1015030175"</f>
        <v xml:space="preserve">          1015030175</v>
      </c>
      <c r="X1155" s="1">
        <v>7681.94</v>
      </c>
      <c r="Y1155">
        <v>0</v>
      </c>
      <c r="Z1155"/>
      <c r="AB1155"/>
      <c r="AC1155" s="1">
        <v>6983.58</v>
      </c>
      <c r="AD1155">
        <v>298</v>
      </c>
      <c r="AE1155" s="1">
        <v>2081106.84</v>
      </c>
      <c r="AF1155">
        <v>0</v>
      </c>
      <c r="AJ1155">
        <v>0</v>
      </c>
      <c r="AK1155">
        <v>0</v>
      </c>
      <c r="AL1155">
        <v>0</v>
      </c>
      <c r="AM1155">
        <v>0</v>
      </c>
      <c r="AN1155">
        <v>0</v>
      </c>
      <c r="AO1155">
        <v>0</v>
      </c>
      <c r="AP1155" s="2">
        <v>42746</v>
      </c>
      <c r="AQ1155" t="s">
        <v>72</v>
      </c>
      <c r="AR1155" t="s">
        <v>72</v>
      </c>
      <c r="AS1155">
        <v>1516</v>
      </c>
      <c r="AT1155" s="4">
        <v>42527</v>
      </c>
      <c r="AU1155" t="s">
        <v>73</v>
      </c>
      <c r="AV1155">
        <v>1516</v>
      </c>
      <c r="AW1155" s="4">
        <v>42527</v>
      </c>
      <c r="BD1155">
        <v>0</v>
      </c>
      <c r="BN1155" t="s">
        <v>74</v>
      </c>
    </row>
    <row r="1156" spans="1:66" hidden="1">
      <c r="A1156">
        <v>100245</v>
      </c>
      <c r="B1156" s="3" t="s">
        <v>144</v>
      </c>
      <c r="C1156" s="1">
        <v>43300101</v>
      </c>
      <c r="D1156" t="s">
        <v>67</v>
      </c>
      <c r="H1156" t="str">
        <f t="shared" si="96"/>
        <v>01513360345</v>
      </c>
      <c r="I1156" t="str">
        <f t="shared" si="96"/>
        <v>01513360345</v>
      </c>
      <c r="K1156" t="str">
        <f>""</f>
        <v/>
      </c>
      <c r="M1156" t="s">
        <v>68</v>
      </c>
      <c r="N1156" t="str">
        <f t="shared" si="95"/>
        <v>FOR</v>
      </c>
      <c r="O1156" t="s">
        <v>69</v>
      </c>
      <c r="P1156" s="3" t="s">
        <v>75</v>
      </c>
      <c r="Q1156">
        <v>2015</v>
      </c>
      <c r="R1156" s="2">
        <v>42201</v>
      </c>
      <c r="S1156" s="2">
        <v>42209</v>
      </c>
      <c r="T1156" s="2">
        <v>42207</v>
      </c>
      <c r="U1156" s="2">
        <v>42267</v>
      </c>
      <c r="V1156" t="s">
        <v>71</v>
      </c>
      <c r="W1156" t="str">
        <f>"          1015035537"</f>
        <v xml:space="preserve">          1015035537</v>
      </c>
      <c r="X1156" s="1">
        <v>3840.97</v>
      </c>
      <c r="Y1156">
        <v>0</v>
      </c>
      <c r="Z1156"/>
      <c r="AB1156"/>
      <c r="AC1156" s="1">
        <v>3491.79</v>
      </c>
      <c r="AD1156">
        <v>299</v>
      </c>
      <c r="AE1156" s="1">
        <v>1044045.21</v>
      </c>
      <c r="AF1156">
        <v>0</v>
      </c>
      <c r="AJ1156">
        <v>0</v>
      </c>
      <c r="AK1156">
        <v>0</v>
      </c>
      <c r="AL1156">
        <v>0</v>
      </c>
      <c r="AM1156">
        <v>0</v>
      </c>
      <c r="AN1156">
        <v>0</v>
      </c>
      <c r="AO1156">
        <v>0</v>
      </c>
      <c r="AP1156" s="2">
        <v>42746</v>
      </c>
      <c r="AQ1156" t="s">
        <v>72</v>
      </c>
      <c r="AR1156" t="s">
        <v>72</v>
      </c>
      <c r="AS1156">
        <v>1833</v>
      </c>
      <c r="AT1156" s="4">
        <v>42566</v>
      </c>
      <c r="AU1156" t="s">
        <v>73</v>
      </c>
      <c r="AV1156">
        <v>1833</v>
      </c>
      <c r="AW1156" s="4">
        <v>42566</v>
      </c>
      <c r="BD1156">
        <v>0</v>
      </c>
      <c r="BN1156" t="s">
        <v>74</v>
      </c>
    </row>
    <row r="1157" spans="1:66">
      <c r="A1157">
        <v>100245</v>
      </c>
      <c r="B1157" s="3" t="s">
        <v>144</v>
      </c>
      <c r="C1157" s="1">
        <v>43300101</v>
      </c>
      <c r="D1157" t="s">
        <v>67</v>
      </c>
      <c r="H1157" t="str">
        <f t="shared" si="96"/>
        <v>01513360345</v>
      </c>
      <c r="I1157" t="str">
        <f t="shared" si="96"/>
        <v>01513360345</v>
      </c>
      <c r="K1157" t="str">
        <f>""</f>
        <v/>
      </c>
      <c r="M1157" t="s">
        <v>68</v>
      </c>
      <c r="N1157" t="str">
        <f t="shared" si="95"/>
        <v>FOR</v>
      </c>
      <c r="O1157" t="s">
        <v>69</v>
      </c>
      <c r="P1157" s="3" t="s">
        <v>75</v>
      </c>
      <c r="Q1157">
        <v>2015</v>
      </c>
      <c r="R1157" s="2">
        <v>42297</v>
      </c>
      <c r="S1157" s="2">
        <v>42300</v>
      </c>
      <c r="T1157" s="2">
        <v>42299</v>
      </c>
      <c r="U1157" s="2">
        <v>42359</v>
      </c>
      <c r="V1157" t="s">
        <v>71</v>
      </c>
      <c r="W1157" t="str">
        <f>"          1015049298"</f>
        <v xml:space="preserve">          1015049298</v>
      </c>
      <c r="X1157" s="1">
        <v>2560.65</v>
      </c>
      <c r="Y1157">
        <v>0</v>
      </c>
      <c r="Z1157" s="5">
        <v>2327.86</v>
      </c>
      <c r="AA1157">
        <v>289</v>
      </c>
      <c r="AB1157" s="5">
        <v>672751.54</v>
      </c>
      <c r="AC1157" s="1">
        <v>2327.86</v>
      </c>
      <c r="AD1157">
        <v>289</v>
      </c>
      <c r="AE1157" s="1">
        <v>672751.54</v>
      </c>
      <c r="AF1157">
        <v>0</v>
      </c>
      <c r="AJ1157">
        <v>0</v>
      </c>
      <c r="AK1157">
        <v>0</v>
      </c>
      <c r="AL1157">
        <v>0</v>
      </c>
      <c r="AM1157">
        <v>0</v>
      </c>
      <c r="AN1157">
        <v>0</v>
      </c>
      <c r="AO1157">
        <v>0</v>
      </c>
      <c r="AP1157" s="2">
        <v>42746</v>
      </c>
      <c r="AQ1157" t="s">
        <v>72</v>
      </c>
      <c r="AR1157" t="s">
        <v>72</v>
      </c>
      <c r="AS1157">
        <v>2684</v>
      </c>
      <c r="AT1157" s="4">
        <v>42648</v>
      </c>
      <c r="AU1157" t="s">
        <v>73</v>
      </c>
      <c r="AV1157">
        <v>2684</v>
      </c>
      <c r="AW1157" s="4">
        <v>42648</v>
      </c>
      <c r="BD1157">
        <v>0</v>
      </c>
      <c r="BN1157" t="s">
        <v>74</v>
      </c>
    </row>
    <row r="1158" spans="1:66" hidden="1">
      <c r="A1158">
        <v>100251</v>
      </c>
      <c r="B1158" s="3" t="s">
        <v>145</v>
      </c>
      <c r="C1158" s="1">
        <v>43500101</v>
      </c>
      <c r="D1158" t="s">
        <v>113</v>
      </c>
      <c r="H1158" t="str">
        <f t="shared" ref="H1158:H1169" si="97">"PRTMCL72S43D469N"</f>
        <v>PRTMCL72S43D469N</v>
      </c>
      <c r="I1158" t="str">
        <f t="shared" ref="I1158:I1169" si="98">"01336850621"</f>
        <v>01336850621</v>
      </c>
      <c r="K1158" t="str">
        <f>""</f>
        <v/>
      </c>
      <c r="M1158" t="s">
        <v>68</v>
      </c>
      <c r="N1158" t="str">
        <f t="shared" ref="N1158:N1169" si="99">"ALTPRO"</f>
        <v>ALTPRO</v>
      </c>
      <c r="O1158" t="s">
        <v>132</v>
      </c>
      <c r="P1158" s="3" t="s">
        <v>146</v>
      </c>
      <c r="Q1158">
        <v>2016</v>
      </c>
      <c r="R1158" s="2">
        <v>42583</v>
      </c>
      <c r="S1158" s="2">
        <v>42586</v>
      </c>
      <c r="T1158" s="2">
        <v>42585</v>
      </c>
      <c r="U1158" s="2">
        <v>42645</v>
      </c>
      <c r="V1158" t="s">
        <v>71</v>
      </c>
      <c r="W1158" t="str">
        <f>"                8-PA"</f>
        <v xml:space="preserve">                8-PA</v>
      </c>
      <c r="X1158" s="1">
        <v>2091.0500000000002</v>
      </c>
      <c r="Y1158">
        <v>-417.81</v>
      </c>
      <c r="Z1158"/>
      <c r="AB1158"/>
      <c r="AC1158" s="1">
        <v>1673.24</v>
      </c>
      <c r="AD1158">
        <v>-27</v>
      </c>
      <c r="AE1158" s="1">
        <v>-45177.48</v>
      </c>
      <c r="AF1158">
        <v>0</v>
      </c>
      <c r="AJ1158">
        <v>0</v>
      </c>
      <c r="AK1158">
        <v>0</v>
      </c>
      <c r="AL1158">
        <v>0</v>
      </c>
      <c r="AM1158" s="1">
        <v>1673.24</v>
      </c>
      <c r="AN1158" s="1">
        <v>1673.24</v>
      </c>
      <c r="AO1158" s="1">
        <v>1673.24</v>
      </c>
      <c r="AP1158" s="2">
        <v>42746</v>
      </c>
      <c r="AQ1158" t="s">
        <v>72</v>
      </c>
      <c r="AR1158" t="s">
        <v>72</v>
      </c>
      <c r="AS1158">
        <v>2240</v>
      </c>
      <c r="AT1158" s="4">
        <v>42618</v>
      </c>
      <c r="AV1158">
        <v>2240</v>
      </c>
      <c r="AW1158" s="4">
        <v>42618</v>
      </c>
      <c r="BD1158">
        <v>0</v>
      </c>
      <c r="BN1158" t="s">
        <v>74</v>
      </c>
    </row>
    <row r="1159" spans="1:66" hidden="1">
      <c r="A1159">
        <v>100251</v>
      </c>
      <c r="B1159" s="3" t="s">
        <v>145</v>
      </c>
      <c r="C1159" s="1">
        <v>43500101</v>
      </c>
      <c r="D1159" t="s">
        <v>113</v>
      </c>
      <c r="H1159" t="str">
        <f t="shared" si="97"/>
        <v>PRTMCL72S43D469N</v>
      </c>
      <c r="I1159" t="str">
        <f t="shared" si="98"/>
        <v>01336850621</v>
      </c>
      <c r="K1159" t="str">
        <f>""</f>
        <v/>
      </c>
      <c r="M1159" t="s">
        <v>68</v>
      </c>
      <c r="N1159" t="str">
        <f t="shared" si="99"/>
        <v>ALTPRO</v>
      </c>
      <c r="O1159" t="s">
        <v>132</v>
      </c>
      <c r="P1159" s="3" t="s">
        <v>146</v>
      </c>
      <c r="Q1159">
        <v>2016</v>
      </c>
      <c r="R1159" s="2">
        <v>42615</v>
      </c>
      <c r="S1159" s="2">
        <v>42618</v>
      </c>
      <c r="T1159" s="2">
        <v>42615</v>
      </c>
      <c r="U1159" s="2">
        <v>42675</v>
      </c>
      <c r="V1159" t="s">
        <v>71</v>
      </c>
      <c r="W1159" t="str">
        <f>"               09-PA"</f>
        <v xml:space="preserve">               09-PA</v>
      </c>
      <c r="X1159" s="1">
        <v>1905.79</v>
      </c>
      <c r="Y1159">
        <v>-380.76</v>
      </c>
      <c r="Z1159"/>
      <c r="AB1159"/>
      <c r="AC1159" s="1">
        <v>1525.03</v>
      </c>
      <c r="AD1159">
        <v>-56</v>
      </c>
      <c r="AE1159" s="1">
        <v>-85401.68</v>
      </c>
      <c r="AF1159">
        <v>0</v>
      </c>
      <c r="AJ1159">
        <v>0</v>
      </c>
      <c r="AK1159">
        <v>0</v>
      </c>
      <c r="AL1159">
        <v>0</v>
      </c>
      <c r="AM1159" s="1">
        <v>1525.03</v>
      </c>
      <c r="AN1159" s="1">
        <v>1525.03</v>
      </c>
      <c r="AO1159" s="1">
        <v>1525.03</v>
      </c>
      <c r="AP1159" s="2">
        <v>42746</v>
      </c>
      <c r="AQ1159" t="s">
        <v>72</v>
      </c>
      <c r="AR1159" t="s">
        <v>72</v>
      </c>
      <c r="AS1159">
        <v>2263</v>
      </c>
      <c r="AT1159" s="4">
        <v>42619</v>
      </c>
      <c r="AV1159">
        <v>2263</v>
      </c>
      <c r="AW1159" s="4">
        <v>42619</v>
      </c>
      <c r="BD1159">
        <v>0</v>
      </c>
      <c r="BN1159" t="s">
        <v>74</v>
      </c>
    </row>
    <row r="1160" spans="1:66">
      <c r="A1160">
        <v>100251</v>
      </c>
      <c r="B1160" s="3" t="s">
        <v>145</v>
      </c>
      <c r="C1160" s="1">
        <v>43500101</v>
      </c>
      <c r="D1160" t="s">
        <v>113</v>
      </c>
      <c r="H1160" t="str">
        <f t="shared" si="97"/>
        <v>PRTMCL72S43D469N</v>
      </c>
      <c r="I1160" t="str">
        <f t="shared" si="98"/>
        <v>01336850621</v>
      </c>
      <c r="K1160" t="str">
        <f>""</f>
        <v/>
      </c>
      <c r="M1160" t="s">
        <v>68</v>
      </c>
      <c r="N1160" t="str">
        <f t="shared" si="99"/>
        <v>ALTPRO</v>
      </c>
      <c r="O1160" t="s">
        <v>132</v>
      </c>
      <c r="P1160" s="3" t="s">
        <v>146</v>
      </c>
      <c r="Q1160">
        <v>2016</v>
      </c>
      <c r="R1160" s="2">
        <v>42646</v>
      </c>
      <c r="S1160" s="2">
        <v>42648</v>
      </c>
      <c r="T1160" s="2">
        <v>42647</v>
      </c>
      <c r="U1160" s="2">
        <v>42707</v>
      </c>
      <c r="V1160" t="s">
        <v>71</v>
      </c>
      <c r="W1160" t="str">
        <f>"               10-PA"</f>
        <v xml:space="preserve">               10-PA</v>
      </c>
      <c r="X1160" s="1">
        <v>2624.35</v>
      </c>
      <c r="Y1160">
        <v>-524.87</v>
      </c>
      <c r="Z1160" s="5">
        <v>2099.48</v>
      </c>
      <c r="AA1160">
        <v>-39</v>
      </c>
      <c r="AB1160" s="5">
        <v>-81879.72</v>
      </c>
      <c r="AC1160" s="1">
        <v>2099.48</v>
      </c>
      <c r="AD1160">
        <v>-39</v>
      </c>
      <c r="AE1160" s="1">
        <v>-81879.72</v>
      </c>
      <c r="AF1160">
        <v>0</v>
      </c>
      <c r="AJ1160">
        <v>-524.87</v>
      </c>
      <c r="AK1160" s="1">
        <v>2099.48</v>
      </c>
      <c r="AL1160" s="1">
        <v>2099.48</v>
      </c>
      <c r="AM1160" s="1">
        <v>2099.48</v>
      </c>
      <c r="AN1160" s="1">
        <v>2099.48</v>
      </c>
      <c r="AO1160" s="1">
        <v>2099.48</v>
      </c>
      <c r="AP1160" s="2">
        <v>42746</v>
      </c>
      <c r="AQ1160" t="s">
        <v>72</v>
      </c>
      <c r="AR1160" t="s">
        <v>72</v>
      </c>
      <c r="AS1160">
        <v>2850</v>
      </c>
      <c r="AT1160" s="4">
        <v>42668</v>
      </c>
      <c r="AV1160">
        <v>2850</v>
      </c>
      <c r="AW1160" s="4">
        <v>42668</v>
      </c>
      <c r="BD1160">
        <v>0</v>
      </c>
      <c r="BN1160" t="s">
        <v>74</v>
      </c>
    </row>
    <row r="1161" spans="1:66">
      <c r="A1161">
        <v>100251</v>
      </c>
      <c r="B1161" s="3" t="s">
        <v>145</v>
      </c>
      <c r="C1161" s="1">
        <v>43500101</v>
      </c>
      <c r="D1161" t="s">
        <v>113</v>
      </c>
      <c r="H1161" t="str">
        <f t="shared" si="97"/>
        <v>PRTMCL72S43D469N</v>
      </c>
      <c r="I1161" t="str">
        <f t="shared" si="98"/>
        <v>01336850621</v>
      </c>
      <c r="K1161" t="str">
        <f>""</f>
        <v/>
      </c>
      <c r="M1161" t="s">
        <v>68</v>
      </c>
      <c r="N1161" t="str">
        <f t="shared" si="99"/>
        <v>ALTPRO</v>
      </c>
      <c r="O1161" t="s">
        <v>132</v>
      </c>
      <c r="P1161" s="3" t="s">
        <v>146</v>
      </c>
      <c r="Q1161">
        <v>2016</v>
      </c>
      <c r="R1161" s="2">
        <v>42677</v>
      </c>
      <c r="S1161" s="2">
        <v>42682</v>
      </c>
      <c r="T1161" s="2">
        <v>42681</v>
      </c>
      <c r="U1161" s="2">
        <v>42741</v>
      </c>
      <c r="V1161" t="s">
        <v>71</v>
      </c>
      <c r="W1161" t="str">
        <f>"               11-PA"</f>
        <v xml:space="preserve">               11-PA</v>
      </c>
      <c r="X1161" s="1">
        <v>2721.8</v>
      </c>
      <c r="Y1161">
        <v>-544.36</v>
      </c>
      <c r="Z1161" s="5">
        <v>2177.44</v>
      </c>
      <c r="AA1161">
        <v>-58</v>
      </c>
      <c r="AB1161" s="5">
        <v>-126291.52</v>
      </c>
      <c r="AC1161" s="1">
        <v>2177.44</v>
      </c>
      <c r="AD1161">
        <v>-58</v>
      </c>
      <c r="AE1161" s="1">
        <v>-126291.52</v>
      </c>
      <c r="AF1161">
        <v>0</v>
      </c>
      <c r="AJ1161" s="1">
        <v>2177.44</v>
      </c>
      <c r="AK1161" s="1">
        <v>2177.44</v>
      </c>
      <c r="AL1161" s="1">
        <v>2177.44</v>
      </c>
      <c r="AM1161" s="1">
        <v>2177.44</v>
      </c>
      <c r="AN1161" s="1">
        <v>2177.44</v>
      </c>
      <c r="AO1161" s="1">
        <v>2177.44</v>
      </c>
      <c r="AP1161" s="2">
        <v>42746</v>
      </c>
      <c r="AQ1161" t="s">
        <v>72</v>
      </c>
      <c r="AR1161" t="s">
        <v>72</v>
      </c>
      <c r="AS1161">
        <v>3033</v>
      </c>
      <c r="AT1161" s="4">
        <v>42683</v>
      </c>
      <c r="AV1161">
        <v>3033</v>
      </c>
      <c r="AW1161" s="4">
        <v>42683</v>
      </c>
      <c r="BD1161">
        <v>0</v>
      </c>
      <c r="BN1161" t="s">
        <v>74</v>
      </c>
    </row>
    <row r="1162" spans="1:66">
      <c r="A1162">
        <v>100251</v>
      </c>
      <c r="B1162" s="3" t="s">
        <v>145</v>
      </c>
      <c r="C1162" s="1">
        <v>43500101</v>
      </c>
      <c r="D1162" t="s">
        <v>113</v>
      </c>
      <c r="H1162" t="str">
        <f t="shared" si="97"/>
        <v>PRTMCL72S43D469N</v>
      </c>
      <c r="I1162" t="str">
        <f t="shared" si="98"/>
        <v>01336850621</v>
      </c>
      <c r="K1162" t="str">
        <f>""</f>
        <v/>
      </c>
      <c r="M1162" t="s">
        <v>68</v>
      </c>
      <c r="N1162" t="str">
        <f t="shared" si="99"/>
        <v>ALTPRO</v>
      </c>
      <c r="O1162" t="s">
        <v>132</v>
      </c>
      <c r="P1162" s="3" t="s">
        <v>146</v>
      </c>
      <c r="Q1162">
        <v>2016</v>
      </c>
      <c r="R1162" s="2">
        <v>42706</v>
      </c>
      <c r="S1162" s="2">
        <v>42709</v>
      </c>
      <c r="T1162" s="2">
        <v>42706</v>
      </c>
      <c r="U1162" s="2">
        <v>42766</v>
      </c>
      <c r="V1162" t="s">
        <v>71</v>
      </c>
      <c r="W1162" t="str">
        <f>"               12-PA"</f>
        <v xml:space="preserve">               12-PA</v>
      </c>
      <c r="X1162" s="1">
        <v>2581.3200000000002</v>
      </c>
      <c r="Y1162">
        <v>-516.26</v>
      </c>
      <c r="Z1162" s="5">
        <v>2065.06</v>
      </c>
      <c r="AA1162">
        <v>-57</v>
      </c>
      <c r="AB1162" s="5">
        <v>-117708.42</v>
      </c>
      <c r="AC1162" s="1">
        <v>2065.06</v>
      </c>
      <c r="AD1162">
        <v>-57</v>
      </c>
      <c r="AE1162" s="1">
        <v>-117708.42</v>
      </c>
      <c r="AF1162">
        <v>0</v>
      </c>
      <c r="AJ1162" s="1">
        <v>2065.06</v>
      </c>
      <c r="AK1162" s="1">
        <v>2065.06</v>
      </c>
      <c r="AL1162" s="1">
        <v>2065.06</v>
      </c>
      <c r="AM1162" s="1">
        <v>2065.06</v>
      </c>
      <c r="AN1162" s="1">
        <v>2065.06</v>
      </c>
      <c r="AO1162" s="1">
        <v>2065.06</v>
      </c>
      <c r="AP1162" s="2">
        <v>42746</v>
      </c>
      <c r="AQ1162" t="s">
        <v>72</v>
      </c>
      <c r="AR1162" t="s">
        <v>72</v>
      </c>
      <c r="AS1162">
        <v>3327</v>
      </c>
      <c r="AT1162" s="4">
        <v>42709</v>
      </c>
      <c r="AV1162">
        <v>3327</v>
      </c>
      <c r="AW1162" s="4">
        <v>42709</v>
      </c>
      <c r="BD1162">
        <v>0</v>
      </c>
      <c r="BN1162" t="s">
        <v>74</v>
      </c>
    </row>
    <row r="1163" spans="1:66" hidden="1">
      <c r="A1163">
        <v>100251</v>
      </c>
      <c r="B1163" s="3" t="s">
        <v>145</v>
      </c>
      <c r="C1163" s="1">
        <v>43500101</v>
      </c>
      <c r="D1163" t="s">
        <v>113</v>
      </c>
      <c r="H1163" t="str">
        <f t="shared" si="97"/>
        <v>PRTMCL72S43D469N</v>
      </c>
      <c r="I1163" t="str">
        <f t="shared" si="98"/>
        <v>01336850621</v>
      </c>
      <c r="K1163" t="str">
        <f>""</f>
        <v/>
      </c>
      <c r="M1163" t="s">
        <v>68</v>
      </c>
      <c r="N1163" t="str">
        <f t="shared" si="99"/>
        <v>ALTPRO</v>
      </c>
      <c r="O1163" t="s">
        <v>132</v>
      </c>
      <c r="P1163" s="3" t="s">
        <v>75</v>
      </c>
      <c r="Q1163">
        <v>2016</v>
      </c>
      <c r="R1163" s="2">
        <v>42376</v>
      </c>
      <c r="S1163" s="2">
        <v>42377</v>
      </c>
      <c r="T1163" s="2">
        <v>42376</v>
      </c>
      <c r="U1163" s="2">
        <v>42436</v>
      </c>
      <c r="V1163" t="s">
        <v>71</v>
      </c>
      <c r="W1163" t="str">
        <f>"          01/2016 PA"</f>
        <v xml:space="preserve">          01/2016 PA</v>
      </c>
      <c r="X1163" s="1">
        <v>2327.9899999999998</v>
      </c>
      <c r="Y1163">
        <v>-465.19</v>
      </c>
      <c r="Z1163"/>
      <c r="AB1163"/>
      <c r="AC1163" s="1">
        <v>1862.8</v>
      </c>
      <c r="AD1163">
        <v>-39</v>
      </c>
      <c r="AE1163" s="1">
        <v>-72649.2</v>
      </c>
      <c r="AF1163">
        <v>0</v>
      </c>
      <c r="AJ1163">
        <v>0</v>
      </c>
      <c r="AK1163">
        <v>0</v>
      </c>
      <c r="AL1163">
        <v>0</v>
      </c>
      <c r="AM1163">
        <v>-465.19</v>
      </c>
      <c r="AN1163" s="1">
        <v>1862.8</v>
      </c>
      <c r="AO1163" s="1">
        <v>1862.8</v>
      </c>
      <c r="AP1163" s="2">
        <v>42746</v>
      </c>
      <c r="AQ1163" t="s">
        <v>72</v>
      </c>
      <c r="AR1163" t="s">
        <v>72</v>
      </c>
      <c r="AS1163">
        <v>112</v>
      </c>
      <c r="AT1163" s="4">
        <v>42397</v>
      </c>
      <c r="AV1163">
        <v>112</v>
      </c>
      <c r="AW1163" s="4">
        <v>42397</v>
      </c>
      <c r="BD1163">
        <v>0</v>
      </c>
      <c r="BN1163" t="s">
        <v>74</v>
      </c>
    </row>
    <row r="1164" spans="1:66" hidden="1">
      <c r="A1164">
        <v>100251</v>
      </c>
      <c r="B1164" s="3" t="s">
        <v>145</v>
      </c>
      <c r="C1164" s="1">
        <v>43500101</v>
      </c>
      <c r="D1164" t="s">
        <v>113</v>
      </c>
      <c r="H1164" t="str">
        <f t="shared" si="97"/>
        <v>PRTMCL72S43D469N</v>
      </c>
      <c r="I1164" t="str">
        <f t="shared" si="98"/>
        <v>01336850621</v>
      </c>
      <c r="K1164" t="str">
        <f>""</f>
        <v/>
      </c>
      <c r="M1164" t="s">
        <v>68</v>
      </c>
      <c r="N1164" t="str">
        <f t="shared" si="99"/>
        <v>ALTPRO</v>
      </c>
      <c r="O1164" t="s">
        <v>132</v>
      </c>
      <c r="P1164" s="3" t="s">
        <v>75</v>
      </c>
      <c r="Q1164">
        <v>2016</v>
      </c>
      <c r="R1164" s="2">
        <v>42402</v>
      </c>
      <c r="S1164" s="2">
        <v>42403</v>
      </c>
      <c r="T1164" s="2">
        <v>42402</v>
      </c>
      <c r="U1164" s="2">
        <v>42462</v>
      </c>
      <c r="V1164" t="s">
        <v>71</v>
      </c>
      <c r="W1164" t="str">
        <f>"          02/2016 PA"</f>
        <v xml:space="preserve">          02/2016 PA</v>
      </c>
      <c r="X1164" s="1">
        <v>2340.9899999999998</v>
      </c>
      <c r="Y1164">
        <v>-467.79</v>
      </c>
      <c r="Z1164"/>
      <c r="AB1164"/>
      <c r="AC1164" s="1">
        <v>1873.2</v>
      </c>
      <c r="AD1164">
        <v>-36</v>
      </c>
      <c r="AE1164" s="1">
        <v>-67435.199999999997</v>
      </c>
      <c r="AF1164">
        <v>0</v>
      </c>
      <c r="AJ1164">
        <v>0</v>
      </c>
      <c r="AK1164">
        <v>0</v>
      </c>
      <c r="AL1164">
        <v>0</v>
      </c>
      <c r="AM1164" s="1">
        <v>1873.2</v>
      </c>
      <c r="AN1164" s="1">
        <v>1873.2</v>
      </c>
      <c r="AO1164" s="1">
        <v>1873.2</v>
      </c>
      <c r="AP1164" s="2">
        <v>42746</v>
      </c>
      <c r="AQ1164" t="s">
        <v>72</v>
      </c>
      <c r="AR1164" t="s">
        <v>72</v>
      </c>
      <c r="AS1164">
        <v>583</v>
      </c>
      <c r="AT1164" s="4">
        <v>42426</v>
      </c>
      <c r="AV1164">
        <v>583</v>
      </c>
      <c r="AW1164" s="4">
        <v>42426</v>
      </c>
      <c r="BD1164">
        <v>0</v>
      </c>
      <c r="BN1164" t="s">
        <v>74</v>
      </c>
    </row>
    <row r="1165" spans="1:66" hidden="1">
      <c r="A1165">
        <v>100251</v>
      </c>
      <c r="B1165" s="3" t="s">
        <v>145</v>
      </c>
      <c r="C1165" s="1">
        <v>43500101</v>
      </c>
      <c r="D1165" t="s">
        <v>113</v>
      </c>
      <c r="H1165" t="str">
        <f t="shared" si="97"/>
        <v>PRTMCL72S43D469N</v>
      </c>
      <c r="I1165" t="str">
        <f t="shared" si="98"/>
        <v>01336850621</v>
      </c>
      <c r="K1165" t="str">
        <f>""</f>
        <v/>
      </c>
      <c r="M1165" t="s">
        <v>68</v>
      </c>
      <c r="N1165" t="str">
        <f t="shared" si="99"/>
        <v>ALTPRO</v>
      </c>
      <c r="O1165" t="s">
        <v>132</v>
      </c>
      <c r="P1165" s="3" t="s">
        <v>75</v>
      </c>
      <c r="Q1165">
        <v>2016</v>
      </c>
      <c r="R1165" s="2">
        <v>42402</v>
      </c>
      <c r="S1165" s="2">
        <v>42436</v>
      </c>
      <c r="T1165" s="2">
        <v>42436</v>
      </c>
      <c r="U1165" s="2">
        <v>42496</v>
      </c>
      <c r="V1165" t="s">
        <v>71</v>
      </c>
      <c r="W1165" t="str">
        <f>"          03/2016 PA"</f>
        <v xml:space="preserve">          03/2016 PA</v>
      </c>
      <c r="X1165" s="1">
        <v>2627</v>
      </c>
      <c r="Y1165">
        <v>-525</v>
      </c>
      <c r="Z1165"/>
      <c r="AB1165"/>
      <c r="AC1165" s="1">
        <v>2102</v>
      </c>
      <c r="AD1165">
        <v>-45</v>
      </c>
      <c r="AE1165" s="1">
        <v>-94590</v>
      </c>
      <c r="AF1165">
        <v>0</v>
      </c>
      <c r="AJ1165">
        <v>0</v>
      </c>
      <c r="AK1165">
        <v>0</v>
      </c>
      <c r="AL1165">
        <v>0</v>
      </c>
      <c r="AM1165" s="1">
        <v>2102</v>
      </c>
      <c r="AN1165" s="1">
        <v>2102</v>
      </c>
      <c r="AO1165" s="1">
        <v>2102</v>
      </c>
      <c r="AP1165" s="2">
        <v>42746</v>
      </c>
      <c r="AQ1165" t="s">
        <v>72</v>
      </c>
      <c r="AR1165" t="s">
        <v>72</v>
      </c>
      <c r="AS1165">
        <v>714</v>
      </c>
      <c r="AT1165" s="4">
        <v>42451</v>
      </c>
      <c r="AV1165">
        <v>714</v>
      </c>
      <c r="AW1165" s="4">
        <v>42451</v>
      </c>
      <c r="BD1165">
        <v>0</v>
      </c>
      <c r="BN1165" t="s">
        <v>74</v>
      </c>
    </row>
    <row r="1166" spans="1:66" hidden="1">
      <c r="A1166">
        <v>100251</v>
      </c>
      <c r="B1166" s="3" t="s">
        <v>145</v>
      </c>
      <c r="C1166" s="1">
        <v>43500101</v>
      </c>
      <c r="D1166" t="s">
        <v>113</v>
      </c>
      <c r="H1166" t="str">
        <f t="shared" si="97"/>
        <v>PRTMCL72S43D469N</v>
      </c>
      <c r="I1166" t="str">
        <f t="shared" si="98"/>
        <v>01336850621</v>
      </c>
      <c r="K1166" t="str">
        <f>""</f>
        <v/>
      </c>
      <c r="M1166" t="s">
        <v>68</v>
      </c>
      <c r="N1166" t="str">
        <f t="shared" si="99"/>
        <v>ALTPRO</v>
      </c>
      <c r="O1166" t="s">
        <v>132</v>
      </c>
      <c r="P1166" s="3" t="s">
        <v>75</v>
      </c>
      <c r="Q1166">
        <v>2016</v>
      </c>
      <c r="R1166" s="2">
        <v>42461</v>
      </c>
      <c r="S1166" s="2">
        <v>42471</v>
      </c>
      <c r="T1166" s="2">
        <v>42469</v>
      </c>
      <c r="U1166" s="2">
        <v>42529</v>
      </c>
      <c r="V1166" t="s">
        <v>71</v>
      </c>
      <c r="W1166" t="str">
        <f>"          04/2016 PA"</f>
        <v xml:space="preserve">          04/2016 PA</v>
      </c>
      <c r="X1166" s="1">
        <v>2187</v>
      </c>
      <c r="Y1166">
        <v>-437</v>
      </c>
      <c r="Z1166"/>
      <c r="AB1166"/>
      <c r="AC1166" s="1">
        <v>1750</v>
      </c>
      <c r="AD1166">
        <v>-42</v>
      </c>
      <c r="AE1166" s="1">
        <v>-73500</v>
      </c>
      <c r="AF1166">
        <v>0</v>
      </c>
      <c r="AJ1166">
        <v>0</v>
      </c>
      <c r="AK1166">
        <v>0</v>
      </c>
      <c r="AL1166">
        <v>0</v>
      </c>
      <c r="AM1166" s="1">
        <v>1750</v>
      </c>
      <c r="AN1166" s="1">
        <v>1750</v>
      </c>
      <c r="AO1166" s="1">
        <v>1750</v>
      </c>
      <c r="AP1166" s="2">
        <v>42746</v>
      </c>
      <c r="AQ1166" t="s">
        <v>72</v>
      </c>
      <c r="AR1166" t="s">
        <v>72</v>
      </c>
      <c r="AS1166">
        <v>1146</v>
      </c>
      <c r="AT1166" s="4">
        <v>42487</v>
      </c>
      <c r="AV1166">
        <v>1146</v>
      </c>
      <c r="AW1166" s="4">
        <v>42487</v>
      </c>
      <c r="BD1166">
        <v>0</v>
      </c>
      <c r="BN1166" t="s">
        <v>74</v>
      </c>
    </row>
    <row r="1167" spans="1:66" hidden="1">
      <c r="A1167">
        <v>100251</v>
      </c>
      <c r="B1167" s="3" t="s">
        <v>145</v>
      </c>
      <c r="C1167" s="1">
        <v>43500101</v>
      </c>
      <c r="D1167" t="s">
        <v>113</v>
      </c>
      <c r="H1167" t="str">
        <f t="shared" si="97"/>
        <v>PRTMCL72S43D469N</v>
      </c>
      <c r="I1167" t="str">
        <f t="shared" si="98"/>
        <v>01336850621</v>
      </c>
      <c r="K1167" t="str">
        <f>""</f>
        <v/>
      </c>
      <c r="M1167" t="s">
        <v>68</v>
      </c>
      <c r="N1167" t="str">
        <f t="shared" si="99"/>
        <v>ALTPRO</v>
      </c>
      <c r="O1167" t="s">
        <v>132</v>
      </c>
      <c r="P1167" s="3" t="s">
        <v>75</v>
      </c>
      <c r="Q1167">
        <v>2016</v>
      </c>
      <c r="R1167" s="2">
        <v>42496</v>
      </c>
      <c r="S1167" s="2">
        <v>42507</v>
      </c>
      <c r="T1167" s="2">
        <v>42506</v>
      </c>
      <c r="U1167" s="2">
        <v>42566</v>
      </c>
      <c r="V1167" t="s">
        <v>71</v>
      </c>
      <c r="W1167" t="str">
        <f>"          05/2016 PA"</f>
        <v xml:space="preserve">          05/2016 PA</v>
      </c>
      <c r="X1167" s="1">
        <v>2235</v>
      </c>
      <c r="Y1167">
        <v>-446.6</v>
      </c>
      <c r="Z1167"/>
      <c r="AB1167"/>
      <c r="AC1167" s="1">
        <v>1788.4</v>
      </c>
      <c r="AD1167">
        <v>-50</v>
      </c>
      <c r="AE1167" s="1">
        <v>-89420</v>
      </c>
      <c r="AF1167">
        <v>0</v>
      </c>
      <c r="AJ1167">
        <v>0</v>
      </c>
      <c r="AK1167">
        <v>0</v>
      </c>
      <c r="AL1167">
        <v>0</v>
      </c>
      <c r="AM1167" s="1">
        <v>1788.4</v>
      </c>
      <c r="AN1167" s="1">
        <v>1788.4</v>
      </c>
      <c r="AO1167" s="1">
        <v>1788.4</v>
      </c>
      <c r="AP1167" s="2">
        <v>42746</v>
      </c>
      <c r="AQ1167" t="s">
        <v>72</v>
      </c>
      <c r="AR1167" t="s">
        <v>72</v>
      </c>
      <c r="AS1167">
        <v>1366</v>
      </c>
      <c r="AT1167" s="4">
        <v>42516</v>
      </c>
      <c r="AV1167">
        <v>1366</v>
      </c>
      <c r="AW1167" s="4">
        <v>42516</v>
      </c>
      <c r="BD1167">
        <v>0</v>
      </c>
      <c r="BN1167" t="s">
        <v>74</v>
      </c>
    </row>
    <row r="1168" spans="1:66" hidden="1">
      <c r="A1168">
        <v>100251</v>
      </c>
      <c r="B1168" s="3" t="s">
        <v>145</v>
      </c>
      <c r="C1168" s="1">
        <v>43500101</v>
      </c>
      <c r="D1168" t="s">
        <v>113</v>
      </c>
      <c r="H1168" t="str">
        <f t="shared" si="97"/>
        <v>PRTMCL72S43D469N</v>
      </c>
      <c r="I1168" t="str">
        <f t="shared" si="98"/>
        <v>01336850621</v>
      </c>
      <c r="K1168" t="str">
        <f>""</f>
        <v/>
      </c>
      <c r="M1168" t="s">
        <v>68</v>
      </c>
      <c r="N1168" t="str">
        <f t="shared" si="99"/>
        <v>ALTPRO</v>
      </c>
      <c r="O1168" t="s">
        <v>132</v>
      </c>
      <c r="P1168" s="3" t="s">
        <v>75</v>
      </c>
      <c r="Q1168">
        <v>2016</v>
      </c>
      <c r="R1168" s="2">
        <v>42521</v>
      </c>
      <c r="S1168" s="2">
        <v>42521</v>
      </c>
      <c r="T1168" s="2">
        <v>42521</v>
      </c>
      <c r="U1168" s="2">
        <v>42581</v>
      </c>
      <c r="V1168" t="s">
        <v>71</v>
      </c>
      <c r="W1168" t="str">
        <f>"          06/2016 PA"</f>
        <v xml:space="preserve">          06/2016 PA</v>
      </c>
      <c r="X1168" s="1">
        <v>2741.36</v>
      </c>
      <c r="Y1168">
        <v>-547.87</v>
      </c>
      <c r="Z1168"/>
      <c r="AB1168"/>
      <c r="AC1168" s="1">
        <v>2193.4899999999998</v>
      </c>
      <c r="AD1168">
        <v>-54</v>
      </c>
      <c r="AE1168" s="1">
        <v>-118448.46</v>
      </c>
      <c r="AF1168">
        <v>0</v>
      </c>
      <c r="AJ1168">
        <v>0</v>
      </c>
      <c r="AK1168">
        <v>0</v>
      </c>
      <c r="AL1168">
        <v>0</v>
      </c>
      <c r="AM1168" s="1">
        <v>2193.4899999999998</v>
      </c>
      <c r="AN1168" s="1">
        <v>2193.4899999999998</v>
      </c>
      <c r="AO1168" s="1">
        <v>2193.4899999999998</v>
      </c>
      <c r="AP1168" s="2">
        <v>42746</v>
      </c>
      <c r="AQ1168" t="s">
        <v>72</v>
      </c>
      <c r="AR1168" t="s">
        <v>72</v>
      </c>
      <c r="AS1168">
        <v>1481</v>
      </c>
      <c r="AT1168" s="4">
        <v>42527</v>
      </c>
      <c r="AV1168">
        <v>1481</v>
      </c>
      <c r="AW1168" s="4">
        <v>42527</v>
      </c>
      <c r="BD1168">
        <v>0</v>
      </c>
      <c r="BN1168" t="s">
        <v>74</v>
      </c>
    </row>
    <row r="1169" spans="1:66" hidden="1">
      <c r="A1169">
        <v>100251</v>
      </c>
      <c r="B1169" s="3" t="s">
        <v>145</v>
      </c>
      <c r="C1169" s="1">
        <v>43500101</v>
      </c>
      <c r="D1169" t="s">
        <v>113</v>
      </c>
      <c r="H1169" t="str">
        <f t="shared" si="97"/>
        <v>PRTMCL72S43D469N</v>
      </c>
      <c r="I1169" t="str">
        <f t="shared" si="98"/>
        <v>01336850621</v>
      </c>
      <c r="K1169" t="str">
        <f>""</f>
        <v/>
      </c>
      <c r="M1169" t="s">
        <v>68</v>
      </c>
      <c r="N1169" t="str">
        <f t="shared" si="99"/>
        <v>ALTPRO</v>
      </c>
      <c r="O1169" t="s">
        <v>132</v>
      </c>
      <c r="P1169" s="3" t="s">
        <v>75</v>
      </c>
      <c r="Q1169">
        <v>2016</v>
      </c>
      <c r="R1169" s="2">
        <v>42552</v>
      </c>
      <c r="S1169" s="2">
        <v>42555</v>
      </c>
      <c r="T1169" s="2">
        <v>42552</v>
      </c>
      <c r="U1169" s="2">
        <v>42612</v>
      </c>
      <c r="V1169" t="s">
        <v>71</v>
      </c>
      <c r="W1169" t="str">
        <f>"          07/2016 PA"</f>
        <v xml:space="preserve">          07/2016 PA</v>
      </c>
      <c r="X1169" s="1">
        <v>1887.76</v>
      </c>
      <c r="Y1169">
        <v>-377.15</v>
      </c>
      <c r="Z1169"/>
      <c r="AB1169"/>
      <c r="AC1169" s="1">
        <v>1510.61</v>
      </c>
      <c r="AD1169">
        <v>-46</v>
      </c>
      <c r="AE1169" s="1">
        <v>-69488.06</v>
      </c>
      <c r="AF1169">
        <v>0</v>
      </c>
      <c r="AJ1169">
        <v>0</v>
      </c>
      <c r="AK1169">
        <v>0</v>
      </c>
      <c r="AL1169">
        <v>0</v>
      </c>
      <c r="AM1169" s="1">
        <v>1510.61</v>
      </c>
      <c r="AN1169" s="1">
        <v>1510.61</v>
      </c>
      <c r="AO1169" s="1">
        <v>1510.61</v>
      </c>
      <c r="AP1169" s="2">
        <v>42746</v>
      </c>
      <c r="AQ1169" t="s">
        <v>72</v>
      </c>
      <c r="AR1169" t="s">
        <v>72</v>
      </c>
      <c r="AS1169">
        <v>1792</v>
      </c>
      <c r="AT1169" s="4">
        <v>42566</v>
      </c>
      <c r="AV1169">
        <v>1792</v>
      </c>
      <c r="AW1169" s="4">
        <v>42566</v>
      </c>
      <c r="BD1169">
        <v>0</v>
      </c>
      <c r="BN1169" t="s">
        <v>74</v>
      </c>
    </row>
    <row r="1170" spans="1:66" hidden="1">
      <c r="A1170">
        <v>100254</v>
      </c>
      <c r="B1170" s="3" t="s">
        <v>147</v>
      </c>
      <c r="C1170" s="1">
        <v>43300101</v>
      </c>
      <c r="D1170" t="s">
        <v>67</v>
      </c>
      <c r="H1170" t="str">
        <f t="shared" ref="H1170:I1181" si="100">"06849270639"</f>
        <v>06849270639</v>
      </c>
      <c r="I1170" t="str">
        <f t="shared" si="100"/>
        <v>06849270639</v>
      </c>
      <c r="K1170" t="str">
        <f>""</f>
        <v/>
      </c>
      <c r="M1170" t="s">
        <v>68</v>
      </c>
      <c r="N1170" t="str">
        <f t="shared" ref="N1170:N1201" si="101">"FOR"</f>
        <v>FOR</v>
      </c>
      <c r="O1170" t="s">
        <v>69</v>
      </c>
      <c r="P1170" s="3" t="s">
        <v>70</v>
      </c>
      <c r="Q1170">
        <v>2015</v>
      </c>
      <c r="R1170" s="2">
        <v>42093</v>
      </c>
      <c r="S1170" s="2">
        <v>42102</v>
      </c>
      <c r="T1170" s="2">
        <v>42102</v>
      </c>
      <c r="U1170" s="2">
        <v>42162</v>
      </c>
      <c r="V1170" t="s">
        <v>71</v>
      </c>
      <c r="W1170" t="str">
        <f>"                 374"</f>
        <v xml:space="preserve">                 374</v>
      </c>
      <c r="X1170" s="1">
        <v>1342</v>
      </c>
      <c r="Y1170">
        <v>0</v>
      </c>
      <c r="Z1170"/>
      <c r="AB1170"/>
      <c r="AC1170" s="1">
        <v>1100</v>
      </c>
      <c r="AD1170">
        <v>242</v>
      </c>
      <c r="AE1170" s="1">
        <v>266200</v>
      </c>
      <c r="AF1170">
        <v>0</v>
      </c>
      <c r="AJ1170">
        <v>0</v>
      </c>
      <c r="AK1170">
        <v>0</v>
      </c>
      <c r="AL1170">
        <v>0</v>
      </c>
      <c r="AM1170">
        <v>0</v>
      </c>
      <c r="AN1170">
        <v>0</v>
      </c>
      <c r="AO1170">
        <v>0</v>
      </c>
      <c r="AP1170" s="2">
        <v>42746</v>
      </c>
      <c r="AQ1170" t="s">
        <v>72</v>
      </c>
      <c r="AR1170" t="s">
        <v>72</v>
      </c>
      <c r="AS1170">
        <v>267</v>
      </c>
      <c r="AT1170" s="4">
        <v>42404</v>
      </c>
      <c r="AU1170" t="s">
        <v>73</v>
      </c>
      <c r="AV1170">
        <v>267</v>
      </c>
      <c r="AW1170" s="4">
        <v>42404</v>
      </c>
      <c r="BD1170">
        <v>0</v>
      </c>
      <c r="BN1170" t="s">
        <v>74</v>
      </c>
    </row>
    <row r="1171" spans="1:66" hidden="1">
      <c r="A1171">
        <v>100254</v>
      </c>
      <c r="B1171" s="3" t="s">
        <v>147</v>
      </c>
      <c r="C1171" s="1">
        <v>43300101</v>
      </c>
      <c r="D1171" t="s">
        <v>67</v>
      </c>
      <c r="H1171" t="str">
        <f t="shared" si="100"/>
        <v>06849270639</v>
      </c>
      <c r="I1171" t="str">
        <f t="shared" si="100"/>
        <v>06849270639</v>
      </c>
      <c r="K1171" t="str">
        <f>""</f>
        <v/>
      </c>
      <c r="M1171" t="s">
        <v>68</v>
      </c>
      <c r="N1171" t="str">
        <f t="shared" si="101"/>
        <v>FOR</v>
      </c>
      <c r="O1171" t="s">
        <v>69</v>
      </c>
      <c r="P1171" s="3" t="s">
        <v>70</v>
      </c>
      <c r="Q1171">
        <v>2015</v>
      </c>
      <c r="R1171" s="2">
        <v>42093</v>
      </c>
      <c r="S1171" s="2">
        <v>42102</v>
      </c>
      <c r="T1171" s="2">
        <v>42102</v>
      </c>
      <c r="U1171" s="2">
        <v>42162</v>
      </c>
      <c r="V1171" t="s">
        <v>71</v>
      </c>
      <c r="W1171" t="str">
        <f>"                 375"</f>
        <v xml:space="preserve">                 375</v>
      </c>
      <c r="X1171">
        <v>24.4</v>
      </c>
      <c r="Y1171">
        <v>0</v>
      </c>
      <c r="Z1171"/>
      <c r="AB1171"/>
      <c r="AC1171">
        <v>20</v>
      </c>
      <c r="AD1171">
        <v>242</v>
      </c>
      <c r="AE1171" s="1">
        <v>4840</v>
      </c>
      <c r="AF1171">
        <v>0</v>
      </c>
      <c r="AJ1171">
        <v>0</v>
      </c>
      <c r="AK1171">
        <v>0</v>
      </c>
      <c r="AL1171">
        <v>0</v>
      </c>
      <c r="AM1171">
        <v>0</v>
      </c>
      <c r="AN1171">
        <v>0</v>
      </c>
      <c r="AO1171">
        <v>0</v>
      </c>
      <c r="AP1171" s="2">
        <v>42746</v>
      </c>
      <c r="AQ1171" t="s">
        <v>72</v>
      </c>
      <c r="AR1171" t="s">
        <v>72</v>
      </c>
      <c r="AS1171">
        <v>267</v>
      </c>
      <c r="AT1171" s="4">
        <v>42404</v>
      </c>
      <c r="AU1171" t="s">
        <v>73</v>
      </c>
      <c r="AV1171">
        <v>267</v>
      </c>
      <c r="AW1171" s="4">
        <v>42404</v>
      </c>
      <c r="BD1171">
        <v>0</v>
      </c>
      <c r="BN1171" t="s">
        <v>74</v>
      </c>
    </row>
    <row r="1172" spans="1:66" hidden="1">
      <c r="A1172">
        <v>100254</v>
      </c>
      <c r="B1172" s="3" t="s">
        <v>147</v>
      </c>
      <c r="C1172" s="1">
        <v>43300101</v>
      </c>
      <c r="D1172" t="s">
        <v>67</v>
      </c>
      <c r="H1172" t="str">
        <f t="shared" si="100"/>
        <v>06849270639</v>
      </c>
      <c r="I1172" t="str">
        <f t="shared" si="100"/>
        <v>06849270639</v>
      </c>
      <c r="K1172" t="str">
        <f>""</f>
        <v/>
      </c>
      <c r="M1172" t="s">
        <v>68</v>
      </c>
      <c r="N1172" t="str">
        <f t="shared" si="101"/>
        <v>FOR</v>
      </c>
      <c r="O1172" t="s">
        <v>69</v>
      </c>
      <c r="P1172" s="3" t="s">
        <v>75</v>
      </c>
      <c r="Q1172">
        <v>2015</v>
      </c>
      <c r="R1172" s="2">
        <v>42158</v>
      </c>
      <c r="S1172" s="2">
        <v>42188</v>
      </c>
      <c r="T1172" s="2">
        <v>42187</v>
      </c>
      <c r="U1172" s="2">
        <v>42247</v>
      </c>
      <c r="V1172" t="s">
        <v>71</v>
      </c>
      <c r="W1172" t="str">
        <f>"                 587"</f>
        <v xml:space="preserve">                 587</v>
      </c>
      <c r="X1172">
        <v>24.4</v>
      </c>
      <c r="Y1172">
        <v>0</v>
      </c>
      <c r="Z1172"/>
      <c r="AB1172"/>
      <c r="AC1172">
        <v>20</v>
      </c>
      <c r="AD1172">
        <v>240</v>
      </c>
      <c r="AE1172" s="1">
        <v>4800</v>
      </c>
      <c r="AF1172">
        <v>0</v>
      </c>
      <c r="AJ1172">
        <v>0</v>
      </c>
      <c r="AK1172">
        <v>0</v>
      </c>
      <c r="AL1172">
        <v>0</v>
      </c>
      <c r="AM1172">
        <v>0</v>
      </c>
      <c r="AN1172">
        <v>0</v>
      </c>
      <c r="AO1172">
        <v>0</v>
      </c>
      <c r="AP1172" s="2">
        <v>42746</v>
      </c>
      <c r="AQ1172" t="s">
        <v>72</v>
      </c>
      <c r="AR1172" t="s">
        <v>72</v>
      </c>
      <c r="AS1172">
        <v>1201</v>
      </c>
      <c r="AT1172" s="4">
        <v>42487</v>
      </c>
      <c r="AU1172" t="s">
        <v>73</v>
      </c>
      <c r="AV1172">
        <v>1201</v>
      </c>
      <c r="AW1172" s="4">
        <v>42487</v>
      </c>
      <c r="BD1172">
        <v>0</v>
      </c>
      <c r="BN1172" t="s">
        <v>74</v>
      </c>
    </row>
    <row r="1173" spans="1:66" hidden="1">
      <c r="A1173">
        <v>100254</v>
      </c>
      <c r="B1173" s="3" t="s">
        <v>147</v>
      </c>
      <c r="C1173" s="1">
        <v>43300101</v>
      </c>
      <c r="D1173" t="s">
        <v>67</v>
      </c>
      <c r="H1173" t="str">
        <f t="shared" si="100"/>
        <v>06849270639</v>
      </c>
      <c r="I1173" t="str">
        <f t="shared" si="100"/>
        <v>06849270639</v>
      </c>
      <c r="K1173" t="str">
        <f>""</f>
        <v/>
      </c>
      <c r="M1173" t="s">
        <v>68</v>
      </c>
      <c r="N1173" t="str">
        <f t="shared" si="101"/>
        <v>FOR</v>
      </c>
      <c r="O1173" t="s">
        <v>69</v>
      </c>
      <c r="P1173" s="3" t="s">
        <v>75</v>
      </c>
      <c r="Q1173">
        <v>2015</v>
      </c>
      <c r="R1173" s="2">
        <v>42158</v>
      </c>
      <c r="S1173" s="2">
        <v>42188</v>
      </c>
      <c r="T1173" s="2">
        <v>42187</v>
      </c>
      <c r="U1173" s="2">
        <v>42247</v>
      </c>
      <c r="V1173" t="s">
        <v>71</v>
      </c>
      <c r="W1173" t="str">
        <f>"                 588"</f>
        <v xml:space="preserve">                 588</v>
      </c>
      <c r="X1173" s="1">
        <v>3538</v>
      </c>
      <c r="Y1173">
        <v>0</v>
      </c>
      <c r="Z1173"/>
      <c r="AB1173"/>
      <c r="AC1173" s="1">
        <v>2900</v>
      </c>
      <c r="AD1173">
        <v>240</v>
      </c>
      <c r="AE1173" s="1">
        <v>696000</v>
      </c>
      <c r="AF1173">
        <v>0</v>
      </c>
      <c r="AJ1173">
        <v>0</v>
      </c>
      <c r="AK1173">
        <v>0</v>
      </c>
      <c r="AL1173">
        <v>0</v>
      </c>
      <c r="AM1173">
        <v>0</v>
      </c>
      <c r="AN1173">
        <v>0</v>
      </c>
      <c r="AO1173">
        <v>0</v>
      </c>
      <c r="AP1173" s="2">
        <v>42746</v>
      </c>
      <c r="AQ1173" t="s">
        <v>72</v>
      </c>
      <c r="AR1173" t="s">
        <v>72</v>
      </c>
      <c r="AS1173">
        <v>1201</v>
      </c>
      <c r="AT1173" s="4">
        <v>42487</v>
      </c>
      <c r="AU1173" t="s">
        <v>73</v>
      </c>
      <c r="AV1173">
        <v>1201</v>
      </c>
      <c r="AW1173" s="4">
        <v>42487</v>
      </c>
      <c r="BD1173">
        <v>0</v>
      </c>
      <c r="BN1173" t="s">
        <v>74</v>
      </c>
    </row>
    <row r="1174" spans="1:66" hidden="1">
      <c r="A1174">
        <v>100254</v>
      </c>
      <c r="B1174" s="3" t="s">
        <v>147</v>
      </c>
      <c r="C1174" s="1">
        <v>43300101</v>
      </c>
      <c r="D1174" t="s">
        <v>67</v>
      </c>
      <c r="H1174" t="str">
        <f t="shared" si="100"/>
        <v>06849270639</v>
      </c>
      <c r="I1174" t="str">
        <f t="shared" si="100"/>
        <v>06849270639</v>
      </c>
      <c r="K1174" t="str">
        <f>""</f>
        <v/>
      </c>
      <c r="M1174" t="s">
        <v>68</v>
      </c>
      <c r="N1174" t="str">
        <f t="shared" si="101"/>
        <v>FOR</v>
      </c>
      <c r="O1174" t="s">
        <v>69</v>
      </c>
      <c r="P1174" s="3" t="s">
        <v>75</v>
      </c>
      <c r="Q1174">
        <v>2015</v>
      </c>
      <c r="R1174" s="2">
        <v>42214</v>
      </c>
      <c r="S1174" s="2">
        <v>42227</v>
      </c>
      <c r="T1174" s="2">
        <v>42215</v>
      </c>
      <c r="U1174" s="2">
        <v>42275</v>
      </c>
      <c r="V1174" t="s">
        <v>71</v>
      </c>
      <c r="W1174" t="str">
        <f>"                 840"</f>
        <v xml:space="preserve">                 840</v>
      </c>
      <c r="X1174">
        <v>732</v>
      </c>
      <c r="Y1174">
        <v>0</v>
      </c>
      <c r="Z1174"/>
      <c r="AB1174"/>
      <c r="AC1174">
        <v>600</v>
      </c>
      <c r="AD1174">
        <v>291</v>
      </c>
      <c r="AE1174" s="1">
        <v>174600</v>
      </c>
      <c r="AF1174">
        <v>0</v>
      </c>
      <c r="AJ1174">
        <v>0</v>
      </c>
      <c r="AK1174">
        <v>0</v>
      </c>
      <c r="AL1174">
        <v>0</v>
      </c>
      <c r="AM1174">
        <v>0</v>
      </c>
      <c r="AN1174">
        <v>0</v>
      </c>
      <c r="AO1174">
        <v>0</v>
      </c>
      <c r="AP1174" s="2">
        <v>42746</v>
      </c>
      <c r="AQ1174" t="s">
        <v>72</v>
      </c>
      <c r="AR1174" t="s">
        <v>72</v>
      </c>
      <c r="AS1174">
        <v>1840</v>
      </c>
      <c r="AT1174" s="4">
        <v>42566</v>
      </c>
      <c r="AU1174" t="s">
        <v>73</v>
      </c>
      <c r="AV1174">
        <v>1840</v>
      </c>
      <c r="AW1174" s="4">
        <v>42566</v>
      </c>
      <c r="BD1174">
        <v>0</v>
      </c>
      <c r="BN1174" t="s">
        <v>74</v>
      </c>
    </row>
    <row r="1175" spans="1:66" hidden="1">
      <c r="A1175">
        <v>100254</v>
      </c>
      <c r="B1175" s="3" t="s">
        <v>147</v>
      </c>
      <c r="C1175" s="1">
        <v>43300101</v>
      </c>
      <c r="D1175" t="s">
        <v>67</v>
      </c>
      <c r="H1175" t="str">
        <f t="shared" si="100"/>
        <v>06849270639</v>
      </c>
      <c r="I1175" t="str">
        <f t="shared" si="100"/>
        <v>06849270639</v>
      </c>
      <c r="K1175" t="str">
        <f>""</f>
        <v/>
      </c>
      <c r="M1175" t="s">
        <v>68</v>
      </c>
      <c r="N1175" t="str">
        <f t="shared" si="101"/>
        <v>FOR</v>
      </c>
      <c r="O1175" t="s">
        <v>69</v>
      </c>
      <c r="P1175" s="3" t="s">
        <v>75</v>
      </c>
      <c r="Q1175">
        <v>2015</v>
      </c>
      <c r="R1175" s="2">
        <v>42214</v>
      </c>
      <c r="S1175" s="2">
        <v>42227</v>
      </c>
      <c r="T1175" s="2">
        <v>42215</v>
      </c>
      <c r="U1175" s="2">
        <v>42275</v>
      </c>
      <c r="V1175" t="s">
        <v>71</v>
      </c>
      <c r="W1175" t="str">
        <f>"                 841"</f>
        <v xml:space="preserve">                 841</v>
      </c>
      <c r="X1175">
        <v>170.8</v>
      </c>
      <c r="Y1175">
        <v>0</v>
      </c>
      <c r="Z1175"/>
      <c r="AB1175"/>
      <c r="AC1175">
        <v>140</v>
      </c>
      <c r="AD1175">
        <v>291</v>
      </c>
      <c r="AE1175" s="1">
        <v>40740</v>
      </c>
      <c r="AF1175">
        <v>0</v>
      </c>
      <c r="AJ1175">
        <v>0</v>
      </c>
      <c r="AK1175">
        <v>0</v>
      </c>
      <c r="AL1175">
        <v>0</v>
      </c>
      <c r="AM1175">
        <v>0</v>
      </c>
      <c r="AN1175">
        <v>0</v>
      </c>
      <c r="AO1175">
        <v>0</v>
      </c>
      <c r="AP1175" s="2">
        <v>42746</v>
      </c>
      <c r="AQ1175" t="s">
        <v>72</v>
      </c>
      <c r="AR1175" t="s">
        <v>72</v>
      </c>
      <c r="AS1175">
        <v>1840</v>
      </c>
      <c r="AT1175" s="4">
        <v>42566</v>
      </c>
      <c r="AU1175" t="s">
        <v>73</v>
      </c>
      <c r="AV1175">
        <v>1840</v>
      </c>
      <c r="AW1175" s="4">
        <v>42566</v>
      </c>
      <c r="BD1175">
        <v>0</v>
      </c>
      <c r="BN1175" t="s">
        <v>74</v>
      </c>
    </row>
    <row r="1176" spans="1:66">
      <c r="A1176">
        <v>100254</v>
      </c>
      <c r="B1176" s="3" t="s">
        <v>147</v>
      </c>
      <c r="C1176" s="1">
        <v>43300101</v>
      </c>
      <c r="D1176" t="s">
        <v>67</v>
      </c>
      <c r="H1176" t="str">
        <f t="shared" si="100"/>
        <v>06849270639</v>
      </c>
      <c r="I1176" t="str">
        <f t="shared" si="100"/>
        <v>06849270639</v>
      </c>
      <c r="K1176" t="str">
        <f>""</f>
        <v/>
      </c>
      <c r="M1176" t="s">
        <v>68</v>
      </c>
      <c r="N1176" t="str">
        <f t="shared" si="101"/>
        <v>FOR</v>
      </c>
      <c r="O1176" t="s">
        <v>69</v>
      </c>
      <c r="P1176" s="3" t="s">
        <v>75</v>
      </c>
      <c r="Q1176">
        <v>2015</v>
      </c>
      <c r="R1176" s="2">
        <v>42285</v>
      </c>
      <c r="S1176" s="2">
        <v>42289</v>
      </c>
      <c r="T1176" s="2">
        <v>42289</v>
      </c>
      <c r="U1176" s="2">
        <v>42349</v>
      </c>
      <c r="V1176" t="s">
        <v>71</v>
      </c>
      <c r="W1176" t="str">
        <f>"                1102"</f>
        <v xml:space="preserve">                1102</v>
      </c>
      <c r="X1176">
        <v>195.2</v>
      </c>
      <c r="Y1176">
        <v>0</v>
      </c>
      <c r="Z1176" s="3">
        <v>160</v>
      </c>
      <c r="AA1176">
        <v>299</v>
      </c>
      <c r="AB1176" s="5">
        <v>47840</v>
      </c>
      <c r="AC1176">
        <v>160</v>
      </c>
      <c r="AD1176">
        <v>299</v>
      </c>
      <c r="AE1176" s="1">
        <v>47840</v>
      </c>
      <c r="AF1176">
        <v>0</v>
      </c>
      <c r="AJ1176">
        <v>0</v>
      </c>
      <c r="AK1176">
        <v>0</v>
      </c>
      <c r="AL1176">
        <v>0</v>
      </c>
      <c r="AM1176">
        <v>0</v>
      </c>
      <c r="AN1176">
        <v>0</v>
      </c>
      <c r="AO1176">
        <v>0</v>
      </c>
      <c r="AP1176" s="2">
        <v>42746</v>
      </c>
      <c r="AQ1176" t="s">
        <v>72</v>
      </c>
      <c r="AR1176" t="s">
        <v>72</v>
      </c>
      <c r="AS1176">
        <v>2675</v>
      </c>
      <c r="AT1176" s="4">
        <v>42648</v>
      </c>
      <c r="AU1176" t="s">
        <v>73</v>
      </c>
      <c r="AV1176">
        <v>2675</v>
      </c>
      <c r="AW1176" s="4">
        <v>42648</v>
      </c>
      <c r="BD1176">
        <v>0</v>
      </c>
      <c r="BN1176" t="s">
        <v>74</v>
      </c>
    </row>
    <row r="1177" spans="1:66">
      <c r="A1177">
        <v>100254</v>
      </c>
      <c r="B1177" s="3" t="s">
        <v>147</v>
      </c>
      <c r="C1177" s="1">
        <v>43300101</v>
      </c>
      <c r="D1177" t="s">
        <v>67</v>
      </c>
      <c r="H1177" t="str">
        <f t="shared" si="100"/>
        <v>06849270639</v>
      </c>
      <c r="I1177" t="str">
        <f t="shared" si="100"/>
        <v>06849270639</v>
      </c>
      <c r="K1177" t="str">
        <f>""</f>
        <v/>
      </c>
      <c r="M1177" t="s">
        <v>68</v>
      </c>
      <c r="N1177" t="str">
        <f t="shared" si="101"/>
        <v>FOR</v>
      </c>
      <c r="O1177" t="s">
        <v>69</v>
      </c>
      <c r="P1177" s="3" t="s">
        <v>75</v>
      </c>
      <c r="Q1177">
        <v>2015</v>
      </c>
      <c r="R1177" s="2">
        <v>42369</v>
      </c>
      <c r="S1177" s="2">
        <v>42369</v>
      </c>
      <c r="T1177" s="2">
        <v>42369</v>
      </c>
      <c r="U1177" s="2">
        <v>42429</v>
      </c>
      <c r="V1177" t="s">
        <v>71</v>
      </c>
      <c r="W1177" t="str">
        <f>"                1597"</f>
        <v xml:space="preserve">                1597</v>
      </c>
      <c r="X1177" s="1">
        <v>1098</v>
      </c>
      <c r="Y1177">
        <v>0</v>
      </c>
      <c r="Z1177" s="3">
        <v>900</v>
      </c>
      <c r="AA1177">
        <v>219</v>
      </c>
      <c r="AB1177" s="5">
        <v>197100</v>
      </c>
      <c r="AC1177">
        <v>900</v>
      </c>
      <c r="AD1177">
        <v>219</v>
      </c>
      <c r="AE1177" s="1">
        <v>197100</v>
      </c>
      <c r="AF1177">
        <v>0</v>
      </c>
      <c r="AJ1177">
        <v>0</v>
      </c>
      <c r="AK1177">
        <v>0</v>
      </c>
      <c r="AL1177">
        <v>0</v>
      </c>
      <c r="AM1177">
        <v>0</v>
      </c>
      <c r="AN1177">
        <v>0</v>
      </c>
      <c r="AO1177">
        <v>0</v>
      </c>
      <c r="AP1177" s="2">
        <v>42746</v>
      </c>
      <c r="AQ1177" t="s">
        <v>72</v>
      </c>
      <c r="AR1177" t="s">
        <v>72</v>
      </c>
      <c r="AS1177">
        <v>2675</v>
      </c>
      <c r="AT1177" s="4">
        <v>42648</v>
      </c>
      <c r="AU1177" t="s">
        <v>73</v>
      </c>
      <c r="AV1177">
        <v>2675</v>
      </c>
      <c r="AW1177" s="4">
        <v>42648</v>
      </c>
      <c r="BD1177">
        <v>0</v>
      </c>
      <c r="BN1177" t="s">
        <v>74</v>
      </c>
    </row>
    <row r="1178" spans="1:66">
      <c r="A1178">
        <v>100254</v>
      </c>
      <c r="B1178" s="3" t="s">
        <v>147</v>
      </c>
      <c r="C1178" s="1">
        <v>43300101</v>
      </c>
      <c r="D1178" t="s">
        <v>67</v>
      </c>
      <c r="H1178" t="str">
        <f t="shared" si="100"/>
        <v>06849270639</v>
      </c>
      <c r="I1178" t="str">
        <f t="shared" si="100"/>
        <v>06849270639</v>
      </c>
      <c r="K1178" t="str">
        <f>""</f>
        <v/>
      </c>
      <c r="M1178" t="s">
        <v>68</v>
      </c>
      <c r="N1178" t="str">
        <f t="shared" si="101"/>
        <v>FOR</v>
      </c>
      <c r="O1178" t="s">
        <v>69</v>
      </c>
      <c r="P1178" s="3" t="s">
        <v>75</v>
      </c>
      <c r="Q1178">
        <v>2015</v>
      </c>
      <c r="R1178" s="2">
        <v>42369</v>
      </c>
      <c r="S1178" s="2">
        <v>42369</v>
      </c>
      <c r="T1178" s="2">
        <v>42369</v>
      </c>
      <c r="U1178" s="2">
        <v>42429</v>
      </c>
      <c r="V1178" t="s">
        <v>71</v>
      </c>
      <c r="W1178" t="str">
        <f>"                1599"</f>
        <v xml:space="preserve">                1599</v>
      </c>
      <c r="X1178" s="1">
        <v>2684</v>
      </c>
      <c r="Y1178">
        <v>0</v>
      </c>
      <c r="Z1178" s="5">
        <v>2200</v>
      </c>
      <c r="AA1178">
        <v>219</v>
      </c>
      <c r="AB1178" s="5">
        <v>481800</v>
      </c>
      <c r="AC1178" s="1">
        <v>2200</v>
      </c>
      <c r="AD1178">
        <v>219</v>
      </c>
      <c r="AE1178" s="1">
        <v>481800</v>
      </c>
      <c r="AF1178">
        <v>0</v>
      </c>
      <c r="AJ1178">
        <v>0</v>
      </c>
      <c r="AK1178">
        <v>0</v>
      </c>
      <c r="AL1178">
        <v>0</v>
      </c>
      <c r="AM1178">
        <v>0</v>
      </c>
      <c r="AN1178">
        <v>0</v>
      </c>
      <c r="AO1178">
        <v>0</v>
      </c>
      <c r="AP1178" s="2">
        <v>42746</v>
      </c>
      <c r="AQ1178" t="s">
        <v>72</v>
      </c>
      <c r="AR1178" t="s">
        <v>72</v>
      </c>
      <c r="AS1178">
        <v>2675</v>
      </c>
      <c r="AT1178" s="4">
        <v>42648</v>
      </c>
      <c r="AU1178" t="s">
        <v>73</v>
      </c>
      <c r="AV1178">
        <v>2675</v>
      </c>
      <c r="AW1178" s="4">
        <v>42648</v>
      </c>
      <c r="BD1178">
        <v>0</v>
      </c>
      <c r="BN1178" t="s">
        <v>74</v>
      </c>
    </row>
    <row r="1179" spans="1:66">
      <c r="A1179">
        <v>100254</v>
      </c>
      <c r="B1179" s="3" t="s">
        <v>147</v>
      </c>
      <c r="C1179" s="1">
        <v>43300101</v>
      </c>
      <c r="D1179" t="s">
        <v>67</v>
      </c>
      <c r="H1179" t="str">
        <f t="shared" si="100"/>
        <v>06849270639</v>
      </c>
      <c r="I1179" t="str">
        <f t="shared" si="100"/>
        <v>06849270639</v>
      </c>
      <c r="K1179" t="str">
        <f>""</f>
        <v/>
      </c>
      <c r="M1179" t="s">
        <v>68</v>
      </c>
      <c r="N1179" t="str">
        <f t="shared" si="101"/>
        <v>FOR</v>
      </c>
      <c r="O1179" t="s">
        <v>69</v>
      </c>
      <c r="P1179" s="3" t="s">
        <v>75</v>
      </c>
      <c r="Q1179">
        <v>2015</v>
      </c>
      <c r="R1179" s="2">
        <v>42369</v>
      </c>
      <c r="S1179" s="2">
        <v>42369</v>
      </c>
      <c r="T1179" s="2">
        <v>42369</v>
      </c>
      <c r="U1179" s="2">
        <v>42429</v>
      </c>
      <c r="V1179" t="s">
        <v>71</v>
      </c>
      <c r="W1179" t="str">
        <f>"                1600"</f>
        <v xml:space="preserve">                1600</v>
      </c>
      <c r="X1179" s="1">
        <v>1220</v>
      </c>
      <c r="Y1179">
        <v>0</v>
      </c>
      <c r="Z1179" s="5">
        <v>1000</v>
      </c>
      <c r="AA1179">
        <v>219</v>
      </c>
      <c r="AB1179" s="5">
        <v>219000</v>
      </c>
      <c r="AC1179" s="1">
        <v>1000</v>
      </c>
      <c r="AD1179">
        <v>219</v>
      </c>
      <c r="AE1179" s="1">
        <v>219000</v>
      </c>
      <c r="AF1179">
        <v>0</v>
      </c>
      <c r="AJ1179">
        <v>0</v>
      </c>
      <c r="AK1179">
        <v>0</v>
      </c>
      <c r="AL1179">
        <v>0</v>
      </c>
      <c r="AM1179">
        <v>0</v>
      </c>
      <c r="AN1179">
        <v>0</v>
      </c>
      <c r="AO1179">
        <v>0</v>
      </c>
      <c r="AP1179" s="2">
        <v>42746</v>
      </c>
      <c r="AQ1179" t="s">
        <v>72</v>
      </c>
      <c r="AR1179" t="s">
        <v>72</v>
      </c>
      <c r="AS1179">
        <v>2675</v>
      </c>
      <c r="AT1179" s="4">
        <v>42648</v>
      </c>
      <c r="AU1179" t="s">
        <v>73</v>
      </c>
      <c r="AV1179">
        <v>2675</v>
      </c>
      <c r="AW1179" s="4">
        <v>42648</v>
      </c>
      <c r="BD1179">
        <v>0</v>
      </c>
      <c r="BN1179" t="s">
        <v>74</v>
      </c>
    </row>
    <row r="1180" spans="1:66">
      <c r="A1180">
        <v>100254</v>
      </c>
      <c r="B1180" s="3" t="s">
        <v>147</v>
      </c>
      <c r="C1180" s="1">
        <v>43300101</v>
      </c>
      <c r="D1180" t="s">
        <v>67</v>
      </c>
      <c r="H1180" t="str">
        <f t="shared" si="100"/>
        <v>06849270639</v>
      </c>
      <c r="I1180" t="str">
        <f t="shared" si="100"/>
        <v>06849270639</v>
      </c>
      <c r="K1180" t="str">
        <f>""</f>
        <v/>
      </c>
      <c r="M1180" t="s">
        <v>68</v>
      </c>
      <c r="N1180" t="str">
        <f t="shared" si="101"/>
        <v>FOR</v>
      </c>
      <c r="O1180" t="s">
        <v>69</v>
      </c>
      <c r="P1180" s="3" t="s">
        <v>75</v>
      </c>
      <c r="Q1180">
        <v>2015</v>
      </c>
      <c r="R1180" s="2">
        <v>42369</v>
      </c>
      <c r="S1180" s="2">
        <v>42369</v>
      </c>
      <c r="T1180" s="2">
        <v>42369</v>
      </c>
      <c r="U1180" s="2">
        <v>42429</v>
      </c>
      <c r="V1180" t="s">
        <v>71</v>
      </c>
      <c r="W1180" t="str">
        <f>"                1601"</f>
        <v xml:space="preserve">                1601</v>
      </c>
      <c r="X1180">
        <v>744.2</v>
      </c>
      <c r="Y1180">
        <v>0</v>
      </c>
      <c r="Z1180" s="3">
        <v>610</v>
      </c>
      <c r="AA1180">
        <v>219</v>
      </c>
      <c r="AB1180" s="5">
        <v>133590</v>
      </c>
      <c r="AC1180">
        <v>610</v>
      </c>
      <c r="AD1180">
        <v>219</v>
      </c>
      <c r="AE1180" s="1">
        <v>133590</v>
      </c>
      <c r="AF1180">
        <v>0</v>
      </c>
      <c r="AJ1180">
        <v>0</v>
      </c>
      <c r="AK1180">
        <v>0</v>
      </c>
      <c r="AL1180">
        <v>0</v>
      </c>
      <c r="AM1180">
        <v>0</v>
      </c>
      <c r="AN1180">
        <v>0</v>
      </c>
      <c r="AO1180">
        <v>0</v>
      </c>
      <c r="AP1180" s="2">
        <v>42746</v>
      </c>
      <c r="AQ1180" t="s">
        <v>72</v>
      </c>
      <c r="AR1180" t="s">
        <v>72</v>
      </c>
      <c r="AS1180">
        <v>2675</v>
      </c>
      <c r="AT1180" s="4">
        <v>42648</v>
      </c>
      <c r="AU1180" t="s">
        <v>73</v>
      </c>
      <c r="AV1180">
        <v>2675</v>
      </c>
      <c r="AW1180" s="4">
        <v>42648</v>
      </c>
      <c r="BD1180">
        <v>0</v>
      </c>
      <c r="BN1180" t="s">
        <v>74</v>
      </c>
    </row>
    <row r="1181" spans="1:66">
      <c r="A1181">
        <v>100254</v>
      </c>
      <c r="B1181" s="3" t="s">
        <v>147</v>
      </c>
      <c r="C1181" s="1">
        <v>43300101</v>
      </c>
      <c r="D1181" t="s">
        <v>67</v>
      </c>
      <c r="H1181" t="str">
        <f t="shared" si="100"/>
        <v>06849270639</v>
      </c>
      <c r="I1181" t="str">
        <f t="shared" si="100"/>
        <v>06849270639</v>
      </c>
      <c r="K1181" t="str">
        <f>""</f>
        <v/>
      </c>
      <c r="M1181" t="s">
        <v>68</v>
      </c>
      <c r="N1181" t="str">
        <f t="shared" si="101"/>
        <v>FOR</v>
      </c>
      <c r="O1181" t="s">
        <v>69</v>
      </c>
      <c r="P1181" s="3" t="s">
        <v>75</v>
      </c>
      <c r="Q1181">
        <v>2015</v>
      </c>
      <c r="R1181" s="2">
        <v>42369</v>
      </c>
      <c r="S1181" s="2">
        <v>42369</v>
      </c>
      <c r="T1181" s="2">
        <v>42369</v>
      </c>
      <c r="U1181" s="2">
        <v>42429</v>
      </c>
      <c r="V1181" t="s">
        <v>71</v>
      </c>
      <c r="W1181" t="str">
        <f>"                1602"</f>
        <v xml:space="preserve">                1602</v>
      </c>
      <c r="X1181">
        <v>439.2</v>
      </c>
      <c r="Y1181">
        <v>0</v>
      </c>
      <c r="Z1181" s="3">
        <v>360</v>
      </c>
      <c r="AA1181">
        <v>219</v>
      </c>
      <c r="AB1181" s="5">
        <v>78840</v>
      </c>
      <c r="AC1181">
        <v>360</v>
      </c>
      <c r="AD1181">
        <v>219</v>
      </c>
      <c r="AE1181" s="1">
        <v>78840</v>
      </c>
      <c r="AF1181">
        <v>0</v>
      </c>
      <c r="AJ1181">
        <v>0</v>
      </c>
      <c r="AK1181">
        <v>0</v>
      </c>
      <c r="AL1181">
        <v>0</v>
      </c>
      <c r="AM1181">
        <v>0</v>
      </c>
      <c r="AN1181">
        <v>0</v>
      </c>
      <c r="AO1181">
        <v>0</v>
      </c>
      <c r="AP1181" s="2">
        <v>42746</v>
      </c>
      <c r="AQ1181" t="s">
        <v>72</v>
      </c>
      <c r="AR1181" t="s">
        <v>72</v>
      </c>
      <c r="AS1181">
        <v>2675</v>
      </c>
      <c r="AT1181" s="4">
        <v>42648</v>
      </c>
      <c r="AU1181" t="s">
        <v>73</v>
      </c>
      <c r="AV1181">
        <v>2675</v>
      </c>
      <c r="AW1181" s="4">
        <v>42648</v>
      </c>
      <c r="BD1181">
        <v>0</v>
      </c>
      <c r="BN1181" t="s">
        <v>74</v>
      </c>
    </row>
    <row r="1182" spans="1:66">
      <c r="A1182">
        <v>100256</v>
      </c>
      <c r="B1182" s="3" t="s">
        <v>148</v>
      </c>
      <c r="C1182" s="1">
        <v>43300101</v>
      </c>
      <c r="D1182" t="s">
        <v>67</v>
      </c>
      <c r="H1182" t="str">
        <f>""</f>
        <v/>
      </c>
      <c r="I1182" t="str">
        <f t="shared" ref="I1182:I1191" si="102">"01260340482"</f>
        <v>01260340482</v>
      </c>
      <c r="K1182" t="str">
        <f>""</f>
        <v/>
      </c>
      <c r="M1182" t="s">
        <v>68</v>
      </c>
      <c r="N1182" t="str">
        <f t="shared" si="101"/>
        <v>FOR</v>
      </c>
      <c r="O1182" t="s">
        <v>69</v>
      </c>
      <c r="P1182" s="3" t="s">
        <v>75</v>
      </c>
      <c r="Q1182">
        <v>2016</v>
      </c>
      <c r="R1182" s="2">
        <v>42489</v>
      </c>
      <c r="S1182" s="2">
        <v>42502</v>
      </c>
      <c r="T1182" s="2">
        <v>42502</v>
      </c>
      <c r="U1182" s="2">
        <v>42562</v>
      </c>
      <c r="V1182" t="s">
        <v>71</v>
      </c>
      <c r="W1182" t="str">
        <f>"              2100/S"</f>
        <v xml:space="preserve">              2100/S</v>
      </c>
      <c r="X1182">
        <v>11.33</v>
      </c>
      <c r="Y1182">
        <v>0</v>
      </c>
      <c r="Z1182" s="3">
        <v>9.2899999999999991</v>
      </c>
      <c r="AA1182">
        <v>130</v>
      </c>
      <c r="AB1182" s="5">
        <v>1207.7</v>
      </c>
      <c r="AC1182">
        <v>9.2899999999999991</v>
      </c>
      <c r="AD1182">
        <v>130</v>
      </c>
      <c r="AE1182" s="1">
        <v>1207.7</v>
      </c>
      <c r="AF1182">
        <v>0</v>
      </c>
      <c r="AJ1182">
        <v>0</v>
      </c>
      <c r="AK1182">
        <v>0</v>
      </c>
      <c r="AL1182">
        <v>0</v>
      </c>
      <c r="AM1182">
        <v>11.33</v>
      </c>
      <c r="AN1182">
        <v>11.33</v>
      </c>
      <c r="AO1182">
        <v>11.33</v>
      </c>
      <c r="AP1182" s="2">
        <v>42746</v>
      </c>
      <c r="AQ1182" t="s">
        <v>72</v>
      </c>
      <c r="AR1182" t="s">
        <v>72</v>
      </c>
      <c r="AS1182">
        <v>3167</v>
      </c>
      <c r="AT1182" s="4">
        <v>42692</v>
      </c>
      <c r="AU1182" t="s">
        <v>73</v>
      </c>
      <c r="AV1182">
        <v>3167</v>
      </c>
      <c r="AW1182" s="4">
        <v>42692</v>
      </c>
      <c r="BD1182">
        <v>0</v>
      </c>
      <c r="BN1182" t="s">
        <v>74</v>
      </c>
    </row>
    <row r="1183" spans="1:66">
      <c r="A1183">
        <v>100256</v>
      </c>
      <c r="B1183" s="3" t="s">
        <v>148</v>
      </c>
      <c r="C1183" s="1">
        <v>43300101</v>
      </c>
      <c r="D1183" t="s">
        <v>67</v>
      </c>
      <c r="H1183" t="str">
        <f>""</f>
        <v/>
      </c>
      <c r="I1183" t="str">
        <f t="shared" si="102"/>
        <v>01260340482</v>
      </c>
      <c r="K1183" t="str">
        <f>""</f>
        <v/>
      </c>
      <c r="M1183" t="s">
        <v>68</v>
      </c>
      <c r="N1183" t="str">
        <f t="shared" si="101"/>
        <v>FOR</v>
      </c>
      <c r="O1183" t="s">
        <v>69</v>
      </c>
      <c r="P1183" s="3" t="s">
        <v>75</v>
      </c>
      <c r="Q1183">
        <v>2016</v>
      </c>
      <c r="R1183" s="2">
        <v>42489</v>
      </c>
      <c r="S1183" s="2">
        <v>42502</v>
      </c>
      <c r="T1183" s="2">
        <v>42502</v>
      </c>
      <c r="U1183" s="2">
        <v>42562</v>
      </c>
      <c r="V1183" t="s">
        <v>71</v>
      </c>
      <c r="W1183" t="str">
        <f>"              2101/S"</f>
        <v xml:space="preserve">              2101/S</v>
      </c>
      <c r="X1183">
        <v>556.73</v>
      </c>
      <c r="Y1183">
        <v>0</v>
      </c>
      <c r="Z1183" s="3">
        <v>456.34</v>
      </c>
      <c r="AA1183">
        <v>130</v>
      </c>
      <c r="AB1183" s="5">
        <v>59324.2</v>
      </c>
      <c r="AC1183">
        <v>456.34</v>
      </c>
      <c r="AD1183">
        <v>130</v>
      </c>
      <c r="AE1183" s="1">
        <v>59324.2</v>
      </c>
      <c r="AF1183">
        <v>0</v>
      </c>
      <c r="AJ1183">
        <v>0</v>
      </c>
      <c r="AK1183">
        <v>0</v>
      </c>
      <c r="AL1183">
        <v>0</v>
      </c>
      <c r="AM1183">
        <v>556.73</v>
      </c>
      <c r="AN1183">
        <v>556.73</v>
      </c>
      <c r="AO1183">
        <v>556.73</v>
      </c>
      <c r="AP1183" s="2">
        <v>42746</v>
      </c>
      <c r="AQ1183" t="s">
        <v>72</v>
      </c>
      <c r="AR1183" t="s">
        <v>72</v>
      </c>
      <c r="AS1183">
        <v>3167</v>
      </c>
      <c r="AT1183" s="4">
        <v>42692</v>
      </c>
      <c r="AU1183" t="s">
        <v>73</v>
      </c>
      <c r="AV1183">
        <v>3167</v>
      </c>
      <c r="AW1183" s="4">
        <v>42692</v>
      </c>
      <c r="BD1183">
        <v>0</v>
      </c>
      <c r="BN1183" t="s">
        <v>74</v>
      </c>
    </row>
    <row r="1184" spans="1:66">
      <c r="A1184">
        <v>100256</v>
      </c>
      <c r="B1184" s="3" t="s">
        <v>148</v>
      </c>
      <c r="C1184" s="1">
        <v>43300101</v>
      </c>
      <c r="D1184" t="s">
        <v>67</v>
      </c>
      <c r="H1184" t="str">
        <f>""</f>
        <v/>
      </c>
      <c r="I1184" t="str">
        <f t="shared" si="102"/>
        <v>01260340482</v>
      </c>
      <c r="K1184" t="str">
        <f>""</f>
        <v/>
      </c>
      <c r="M1184" t="s">
        <v>68</v>
      </c>
      <c r="N1184" t="str">
        <f t="shared" si="101"/>
        <v>FOR</v>
      </c>
      <c r="O1184" t="s">
        <v>69</v>
      </c>
      <c r="P1184" s="3" t="s">
        <v>75</v>
      </c>
      <c r="Q1184">
        <v>2016</v>
      </c>
      <c r="R1184" s="2">
        <v>42506</v>
      </c>
      <c r="S1184" s="2">
        <v>42522</v>
      </c>
      <c r="T1184" s="2">
        <v>42507</v>
      </c>
      <c r="U1184" s="2">
        <v>42567</v>
      </c>
      <c r="V1184" t="s">
        <v>71</v>
      </c>
      <c r="W1184" t="str">
        <f>"              2419/S"</f>
        <v xml:space="preserve">              2419/S</v>
      </c>
      <c r="X1184" s="1">
        <v>1055.54</v>
      </c>
      <c r="Y1184">
        <v>0</v>
      </c>
      <c r="Z1184" s="3">
        <v>865.2</v>
      </c>
      <c r="AA1184">
        <v>81</v>
      </c>
      <c r="AB1184" s="5">
        <v>70081.2</v>
      </c>
      <c r="AC1184">
        <v>865.2</v>
      </c>
      <c r="AD1184">
        <v>81</v>
      </c>
      <c r="AE1184" s="1">
        <v>70081.2</v>
      </c>
      <c r="AF1184">
        <v>0</v>
      </c>
      <c r="AJ1184">
        <v>0</v>
      </c>
      <c r="AK1184">
        <v>0</v>
      </c>
      <c r="AL1184">
        <v>0</v>
      </c>
      <c r="AM1184" s="1">
        <v>1055.54</v>
      </c>
      <c r="AN1184" s="1">
        <v>1055.54</v>
      </c>
      <c r="AO1184" s="1">
        <v>1055.54</v>
      </c>
      <c r="AP1184" s="2">
        <v>42746</v>
      </c>
      <c r="AQ1184" t="s">
        <v>72</v>
      </c>
      <c r="AR1184" t="s">
        <v>72</v>
      </c>
      <c r="AS1184">
        <v>2657</v>
      </c>
      <c r="AT1184" s="4">
        <v>42648</v>
      </c>
      <c r="AU1184" t="s">
        <v>73</v>
      </c>
      <c r="AV1184">
        <v>2657</v>
      </c>
      <c r="AW1184" s="4">
        <v>42648</v>
      </c>
      <c r="BD1184">
        <v>0</v>
      </c>
      <c r="BN1184" t="s">
        <v>74</v>
      </c>
    </row>
    <row r="1185" spans="1:66">
      <c r="A1185">
        <v>100256</v>
      </c>
      <c r="B1185" s="3" t="s">
        <v>148</v>
      </c>
      <c r="C1185" s="1">
        <v>43300101</v>
      </c>
      <c r="D1185" t="s">
        <v>67</v>
      </c>
      <c r="H1185" t="str">
        <f>""</f>
        <v/>
      </c>
      <c r="I1185" t="str">
        <f t="shared" si="102"/>
        <v>01260340482</v>
      </c>
      <c r="K1185" t="str">
        <f>""</f>
        <v/>
      </c>
      <c r="M1185" t="s">
        <v>68</v>
      </c>
      <c r="N1185" t="str">
        <f t="shared" si="101"/>
        <v>FOR</v>
      </c>
      <c r="O1185" t="s">
        <v>69</v>
      </c>
      <c r="P1185" s="3" t="s">
        <v>75</v>
      </c>
      <c r="Q1185">
        <v>2016</v>
      </c>
      <c r="R1185" s="2">
        <v>42521</v>
      </c>
      <c r="S1185" s="2">
        <v>42534</v>
      </c>
      <c r="T1185" s="2">
        <v>42531</v>
      </c>
      <c r="U1185" s="2">
        <v>42591</v>
      </c>
      <c r="V1185" t="s">
        <v>71</v>
      </c>
      <c r="W1185" t="str">
        <f>"              2639/S"</f>
        <v xml:space="preserve">              2639/S</v>
      </c>
      <c r="X1185">
        <v>22.67</v>
      </c>
      <c r="Y1185">
        <v>0</v>
      </c>
      <c r="Z1185" s="3">
        <v>18.579999999999998</v>
      </c>
      <c r="AA1185">
        <v>101</v>
      </c>
      <c r="AB1185" s="5">
        <v>1876.58</v>
      </c>
      <c r="AC1185">
        <v>18.579999999999998</v>
      </c>
      <c r="AD1185">
        <v>101</v>
      </c>
      <c r="AE1185" s="1">
        <v>1876.58</v>
      </c>
      <c r="AF1185">
        <v>0</v>
      </c>
      <c r="AJ1185">
        <v>0</v>
      </c>
      <c r="AK1185">
        <v>0</v>
      </c>
      <c r="AL1185">
        <v>0</v>
      </c>
      <c r="AM1185">
        <v>22.67</v>
      </c>
      <c r="AN1185">
        <v>22.67</v>
      </c>
      <c r="AO1185">
        <v>22.67</v>
      </c>
      <c r="AP1185" s="2">
        <v>42746</v>
      </c>
      <c r="AQ1185" t="s">
        <v>72</v>
      </c>
      <c r="AR1185" t="s">
        <v>72</v>
      </c>
      <c r="AS1185">
        <v>3167</v>
      </c>
      <c r="AT1185" s="4">
        <v>42692</v>
      </c>
      <c r="AU1185" t="s">
        <v>73</v>
      </c>
      <c r="AV1185">
        <v>3167</v>
      </c>
      <c r="AW1185" s="4">
        <v>42692</v>
      </c>
      <c r="BD1185">
        <v>0</v>
      </c>
      <c r="BN1185" t="s">
        <v>74</v>
      </c>
    </row>
    <row r="1186" spans="1:66">
      <c r="A1186">
        <v>100256</v>
      </c>
      <c r="B1186" s="3" t="s">
        <v>148</v>
      </c>
      <c r="C1186" s="1">
        <v>43300101</v>
      </c>
      <c r="D1186" t="s">
        <v>67</v>
      </c>
      <c r="H1186" t="str">
        <f>""</f>
        <v/>
      </c>
      <c r="I1186" t="str">
        <f t="shared" si="102"/>
        <v>01260340482</v>
      </c>
      <c r="K1186" t="str">
        <f>""</f>
        <v/>
      </c>
      <c r="M1186" t="s">
        <v>68</v>
      </c>
      <c r="N1186" t="str">
        <f t="shared" si="101"/>
        <v>FOR</v>
      </c>
      <c r="O1186" t="s">
        <v>69</v>
      </c>
      <c r="P1186" s="3" t="s">
        <v>75</v>
      </c>
      <c r="Q1186">
        <v>2016</v>
      </c>
      <c r="R1186" s="2">
        <v>42521</v>
      </c>
      <c r="S1186" s="2">
        <v>42534</v>
      </c>
      <c r="T1186" s="2">
        <v>42531</v>
      </c>
      <c r="U1186" s="2">
        <v>42591</v>
      </c>
      <c r="V1186" t="s">
        <v>71</v>
      </c>
      <c r="W1186" t="str">
        <f>"              2640/S"</f>
        <v xml:space="preserve">              2640/S</v>
      </c>
      <c r="X1186" s="1">
        <v>1113.46</v>
      </c>
      <c r="Y1186">
        <v>0</v>
      </c>
      <c r="Z1186" s="3">
        <v>912.67</v>
      </c>
      <c r="AA1186">
        <v>101</v>
      </c>
      <c r="AB1186" s="5">
        <v>92179.67</v>
      </c>
      <c r="AC1186">
        <v>912.67</v>
      </c>
      <c r="AD1186">
        <v>101</v>
      </c>
      <c r="AE1186" s="1">
        <v>92179.67</v>
      </c>
      <c r="AF1186">
        <v>0</v>
      </c>
      <c r="AJ1186">
        <v>0</v>
      </c>
      <c r="AK1186">
        <v>0</v>
      </c>
      <c r="AL1186">
        <v>0</v>
      </c>
      <c r="AM1186" s="1">
        <v>1113.46</v>
      </c>
      <c r="AN1186" s="1">
        <v>1113.46</v>
      </c>
      <c r="AO1186" s="1">
        <v>1113.46</v>
      </c>
      <c r="AP1186" s="2">
        <v>42746</v>
      </c>
      <c r="AQ1186" t="s">
        <v>72</v>
      </c>
      <c r="AR1186" t="s">
        <v>72</v>
      </c>
      <c r="AS1186">
        <v>3167</v>
      </c>
      <c r="AT1186" s="4">
        <v>42692</v>
      </c>
      <c r="AU1186" t="s">
        <v>73</v>
      </c>
      <c r="AV1186">
        <v>3167</v>
      </c>
      <c r="AW1186" s="4">
        <v>42692</v>
      </c>
      <c r="BD1186">
        <v>0</v>
      </c>
      <c r="BN1186" t="s">
        <v>74</v>
      </c>
    </row>
    <row r="1187" spans="1:66">
      <c r="A1187">
        <v>100256</v>
      </c>
      <c r="B1187" s="3" t="s">
        <v>148</v>
      </c>
      <c r="C1187" s="1">
        <v>43300101</v>
      </c>
      <c r="D1187" t="s">
        <v>67</v>
      </c>
      <c r="H1187" t="str">
        <f>""</f>
        <v/>
      </c>
      <c r="I1187" t="str">
        <f t="shared" si="102"/>
        <v>01260340482</v>
      </c>
      <c r="K1187" t="str">
        <f>""</f>
        <v/>
      </c>
      <c r="M1187" t="s">
        <v>68</v>
      </c>
      <c r="N1187" t="str">
        <f t="shared" si="101"/>
        <v>FOR</v>
      </c>
      <c r="O1187" t="s">
        <v>69</v>
      </c>
      <c r="P1187" s="3" t="s">
        <v>75</v>
      </c>
      <c r="Q1187">
        <v>2016</v>
      </c>
      <c r="R1187" s="2">
        <v>42551</v>
      </c>
      <c r="S1187" s="2">
        <v>42556</v>
      </c>
      <c r="T1187" s="2">
        <v>42556</v>
      </c>
      <c r="U1187" s="2">
        <v>42616</v>
      </c>
      <c r="V1187" t="s">
        <v>71</v>
      </c>
      <c r="W1187" t="str">
        <f>"              3363/S"</f>
        <v xml:space="preserve">              3363/S</v>
      </c>
      <c r="X1187">
        <v>22.67</v>
      </c>
      <c r="Y1187">
        <v>0</v>
      </c>
      <c r="Z1187" s="3">
        <v>18.579999999999998</v>
      </c>
      <c r="AA1187">
        <v>76</v>
      </c>
      <c r="AB1187" s="5">
        <v>1412.08</v>
      </c>
      <c r="AC1187">
        <v>18.579999999999998</v>
      </c>
      <c r="AD1187">
        <v>76</v>
      </c>
      <c r="AE1187" s="1">
        <v>1412.08</v>
      </c>
      <c r="AF1187">
        <v>0</v>
      </c>
      <c r="AJ1187">
        <v>0</v>
      </c>
      <c r="AK1187">
        <v>0</v>
      </c>
      <c r="AL1187">
        <v>0</v>
      </c>
      <c r="AM1187">
        <v>22.67</v>
      </c>
      <c r="AN1187">
        <v>22.67</v>
      </c>
      <c r="AO1187">
        <v>22.67</v>
      </c>
      <c r="AP1187" s="2">
        <v>42746</v>
      </c>
      <c r="AQ1187" t="s">
        <v>72</v>
      </c>
      <c r="AR1187" t="s">
        <v>72</v>
      </c>
      <c r="AS1187">
        <v>3167</v>
      </c>
      <c r="AT1187" s="4">
        <v>42692</v>
      </c>
      <c r="AU1187" t="s">
        <v>73</v>
      </c>
      <c r="AV1187">
        <v>3167</v>
      </c>
      <c r="AW1187" s="4">
        <v>42692</v>
      </c>
      <c r="BD1187">
        <v>0</v>
      </c>
      <c r="BN1187" t="s">
        <v>74</v>
      </c>
    </row>
    <row r="1188" spans="1:66">
      <c r="A1188">
        <v>100256</v>
      </c>
      <c r="B1188" s="3" t="s">
        <v>148</v>
      </c>
      <c r="C1188" s="1">
        <v>43300101</v>
      </c>
      <c r="D1188" t="s">
        <v>67</v>
      </c>
      <c r="H1188" t="str">
        <f>""</f>
        <v/>
      </c>
      <c r="I1188" t="str">
        <f t="shared" si="102"/>
        <v>01260340482</v>
      </c>
      <c r="K1188" t="str">
        <f>""</f>
        <v/>
      </c>
      <c r="M1188" t="s">
        <v>68</v>
      </c>
      <c r="N1188" t="str">
        <f t="shared" si="101"/>
        <v>FOR</v>
      </c>
      <c r="O1188" t="s">
        <v>69</v>
      </c>
      <c r="P1188" s="3" t="s">
        <v>75</v>
      </c>
      <c r="Q1188">
        <v>2016</v>
      </c>
      <c r="R1188" s="2">
        <v>42551</v>
      </c>
      <c r="S1188" s="2">
        <v>42556</v>
      </c>
      <c r="T1188" s="2">
        <v>42556</v>
      </c>
      <c r="U1188" s="2">
        <v>42616</v>
      </c>
      <c r="V1188" t="s">
        <v>71</v>
      </c>
      <c r="W1188" t="str">
        <f>"              3364/S"</f>
        <v xml:space="preserve">              3364/S</v>
      </c>
      <c r="X1188" s="1">
        <v>1113.46</v>
      </c>
      <c r="Y1188">
        <v>0</v>
      </c>
      <c r="Z1188" s="3">
        <v>912.67</v>
      </c>
      <c r="AA1188">
        <v>76</v>
      </c>
      <c r="AB1188" s="5">
        <v>69362.92</v>
      </c>
      <c r="AC1188">
        <v>912.67</v>
      </c>
      <c r="AD1188">
        <v>76</v>
      </c>
      <c r="AE1188" s="1">
        <v>69362.92</v>
      </c>
      <c r="AF1188">
        <v>0</v>
      </c>
      <c r="AJ1188">
        <v>0</v>
      </c>
      <c r="AK1188">
        <v>0</v>
      </c>
      <c r="AL1188">
        <v>0</v>
      </c>
      <c r="AM1188" s="1">
        <v>1113.46</v>
      </c>
      <c r="AN1188" s="1">
        <v>1113.46</v>
      </c>
      <c r="AO1188" s="1">
        <v>1113.46</v>
      </c>
      <c r="AP1188" s="2">
        <v>42746</v>
      </c>
      <c r="AQ1188" t="s">
        <v>72</v>
      </c>
      <c r="AR1188" t="s">
        <v>72</v>
      </c>
      <c r="AS1188">
        <v>3167</v>
      </c>
      <c r="AT1188" s="4">
        <v>42692</v>
      </c>
      <c r="AU1188" t="s">
        <v>73</v>
      </c>
      <c r="AV1188">
        <v>3167</v>
      </c>
      <c r="AW1188" s="4">
        <v>42692</v>
      </c>
      <c r="BD1188">
        <v>0</v>
      </c>
      <c r="BN1188" t="s">
        <v>74</v>
      </c>
    </row>
    <row r="1189" spans="1:66">
      <c r="A1189">
        <v>100256</v>
      </c>
      <c r="B1189" s="3" t="s">
        <v>148</v>
      </c>
      <c r="C1189" s="1">
        <v>43300101</v>
      </c>
      <c r="D1189" t="s">
        <v>67</v>
      </c>
      <c r="H1189" t="str">
        <f>""</f>
        <v/>
      </c>
      <c r="I1189" t="str">
        <f t="shared" si="102"/>
        <v>01260340482</v>
      </c>
      <c r="K1189" t="str">
        <f>""</f>
        <v/>
      </c>
      <c r="M1189" t="s">
        <v>68</v>
      </c>
      <c r="N1189" t="str">
        <f t="shared" si="101"/>
        <v>FOR</v>
      </c>
      <c r="O1189" t="s">
        <v>69</v>
      </c>
      <c r="P1189" s="3" t="s">
        <v>75</v>
      </c>
      <c r="Q1189">
        <v>2016</v>
      </c>
      <c r="R1189" s="2">
        <v>42551</v>
      </c>
      <c r="S1189" s="2">
        <v>42558</v>
      </c>
      <c r="T1189" s="2">
        <v>42556</v>
      </c>
      <c r="U1189" s="2">
        <v>42616</v>
      </c>
      <c r="V1189" t="s">
        <v>71</v>
      </c>
      <c r="W1189" t="str">
        <f>"              3699/S"</f>
        <v xml:space="preserve">              3699/S</v>
      </c>
      <c r="X1189" s="1">
        <v>2133.0500000000002</v>
      </c>
      <c r="Y1189">
        <v>0</v>
      </c>
      <c r="Z1189" s="5">
        <v>1748.4</v>
      </c>
      <c r="AA1189">
        <v>32</v>
      </c>
      <c r="AB1189" s="5">
        <v>55948.800000000003</v>
      </c>
      <c r="AC1189" s="1">
        <v>1748.4</v>
      </c>
      <c r="AD1189">
        <v>32</v>
      </c>
      <c r="AE1189" s="1">
        <v>55948.800000000003</v>
      </c>
      <c r="AF1189">
        <v>0</v>
      </c>
      <c r="AJ1189">
        <v>0</v>
      </c>
      <c r="AK1189">
        <v>0</v>
      </c>
      <c r="AL1189">
        <v>0</v>
      </c>
      <c r="AM1189" s="1">
        <v>2133.0500000000002</v>
      </c>
      <c r="AN1189" s="1">
        <v>2133.0500000000002</v>
      </c>
      <c r="AO1189" s="1">
        <v>2133.0500000000002</v>
      </c>
      <c r="AP1189" s="2">
        <v>42746</v>
      </c>
      <c r="AQ1189" t="s">
        <v>72</v>
      </c>
      <c r="AR1189" t="s">
        <v>72</v>
      </c>
      <c r="AS1189">
        <v>2657</v>
      </c>
      <c r="AT1189" s="4">
        <v>42648</v>
      </c>
      <c r="AU1189" t="s">
        <v>73</v>
      </c>
      <c r="AV1189">
        <v>2657</v>
      </c>
      <c r="AW1189" s="4">
        <v>42648</v>
      </c>
      <c r="BD1189">
        <v>0</v>
      </c>
      <c r="BN1189" t="s">
        <v>74</v>
      </c>
    </row>
    <row r="1190" spans="1:66">
      <c r="A1190">
        <v>100256</v>
      </c>
      <c r="B1190" s="3" t="s">
        <v>148</v>
      </c>
      <c r="C1190" s="1">
        <v>43300101</v>
      </c>
      <c r="D1190" t="s">
        <v>67</v>
      </c>
      <c r="H1190" t="str">
        <f>""</f>
        <v/>
      </c>
      <c r="I1190" t="str">
        <f t="shared" si="102"/>
        <v>01260340482</v>
      </c>
      <c r="K1190" t="str">
        <f>""</f>
        <v/>
      </c>
      <c r="M1190" t="s">
        <v>68</v>
      </c>
      <c r="N1190" t="str">
        <f t="shared" si="101"/>
        <v>FOR</v>
      </c>
      <c r="O1190" t="s">
        <v>69</v>
      </c>
      <c r="P1190" s="3" t="s">
        <v>75</v>
      </c>
      <c r="Q1190">
        <v>2016</v>
      </c>
      <c r="R1190" s="2">
        <v>42580</v>
      </c>
      <c r="S1190" s="2">
        <v>42586</v>
      </c>
      <c r="T1190" s="2">
        <v>42585</v>
      </c>
      <c r="U1190" s="2">
        <v>42645</v>
      </c>
      <c r="V1190" t="s">
        <v>71</v>
      </c>
      <c r="W1190" t="str">
        <f>"              4111/S"</f>
        <v xml:space="preserve">              4111/S</v>
      </c>
      <c r="X1190">
        <v>22.67</v>
      </c>
      <c r="Y1190">
        <v>0</v>
      </c>
      <c r="Z1190" s="3">
        <v>18.579999999999998</v>
      </c>
      <c r="AA1190">
        <v>73</v>
      </c>
      <c r="AB1190" s="5">
        <v>1356.34</v>
      </c>
      <c r="AC1190">
        <v>18.579999999999998</v>
      </c>
      <c r="AD1190">
        <v>73</v>
      </c>
      <c r="AE1190" s="1">
        <v>1356.34</v>
      </c>
      <c r="AF1190">
        <v>4.09</v>
      </c>
      <c r="AJ1190">
        <v>0</v>
      </c>
      <c r="AK1190">
        <v>0</v>
      </c>
      <c r="AL1190">
        <v>0</v>
      </c>
      <c r="AM1190">
        <v>22.67</v>
      </c>
      <c r="AN1190">
        <v>22.67</v>
      </c>
      <c r="AO1190">
        <v>22.67</v>
      </c>
      <c r="AP1190" s="2">
        <v>42746</v>
      </c>
      <c r="AQ1190" t="s">
        <v>72</v>
      </c>
      <c r="AR1190" t="s">
        <v>72</v>
      </c>
      <c r="AS1190">
        <v>3462</v>
      </c>
      <c r="AT1190" s="4">
        <v>42718</v>
      </c>
      <c r="AU1190" t="s">
        <v>73</v>
      </c>
      <c r="AV1190">
        <v>3462</v>
      </c>
      <c r="AW1190" s="4">
        <v>42718</v>
      </c>
      <c r="AZ1190">
        <v>4.09</v>
      </c>
      <c r="BD1190">
        <v>0</v>
      </c>
      <c r="BN1190" t="s">
        <v>74</v>
      </c>
    </row>
    <row r="1191" spans="1:66">
      <c r="A1191">
        <v>100256</v>
      </c>
      <c r="B1191" s="3" t="s">
        <v>148</v>
      </c>
      <c r="C1191" s="1">
        <v>43300101</v>
      </c>
      <c r="D1191" t="s">
        <v>67</v>
      </c>
      <c r="H1191" t="str">
        <f>""</f>
        <v/>
      </c>
      <c r="I1191" t="str">
        <f t="shared" si="102"/>
        <v>01260340482</v>
      </c>
      <c r="K1191" t="str">
        <f>""</f>
        <v/>
      </c>
      <c r="M1191" t="s">
        <v>68</v>
      </c>
      <c r="N1191" t="str">
        <f t="shared" si="101"/>
        <v>FOR</v>
      </c>
      <c r="O1191" t="s">
        <v>69</v>
      </c>
      <c r="P1191" s="3" t="s">
        <v>75</v>
      </c>
      <c r="Q1191">
        <v>2016</v>
      </c>
      <c r="R1191" s="2">
        <v>42580</v>
      </c>
      <c r="S1191" s="2">
        <v>42586</v>
      </c>
      <c r="T1191" s="2">
        <v>42585</v>
      </c>
      <c r="U1191" s="2">
        <v>42645</v>
      </c>
      <c r="V1191" t="s">
        <v>71</v>
      </c>
      <c r="W1191" t="str">
        <f>"              4112/S"</f>
        <v xml:space="preserve">              4112/S</v>
      </c>
      <c r="X1191" s="1">
        <v>1113.46</v>
      </c>
      <c r="Y1191">
        <v>0</v>
      </c>
      <c r="Z1191" s="3">
        <v>912.67</v>
      </c>
      <c r="AA1191">
        <v>73</v>
      </c>
      <c r="AB1191" s="5">
        <v>66624.91</v>
      </c>
      <c r="AC1191">
        <v>912.67</v>
      </c>
      <c r="AD1191">
        <v>73</v>
      </c>
      <c r="AE1191" s="1">
        <v>66624.91</v>
      </c>
      <c r="AF1191">
        <v>200.79</v>
      </c>
      <c r="AJ1191">
        <v>0</v>
      </c>
      <c r="AK1191">
        <v>0</v>
      </c>
      <c r="AL1191">
        <v>0</v>
      </c>
      <c r="AM1191" s="1">
        <v>1113.46</v>
      </c>
      <c r="AN1191" s="1">
        <v>1113.46</v>
      </c>
      <c r="AO1191" s="1">
        <v>1113.46</v>
      </c>
      <c r="AP1191" s="2">
        <v>42746</v>
      </c>
      <c r="AQ1191" t="s">
        <v>72</v>
      </c>
      <c r="AR1191" t="s">
        <v>72</v>
      </c>
      <c r="AS1191">
        <v>3462</v>
      </c>
      <c r="AT1191" s="4">
        <v>42718</v>
      </c>
      <c r="AU1191" t="s">
        <v>73</v>
      </c>
      <c r="AV1191">
        <v>3462</v>
      </c>
      <c r="AW1191" s="4">
        <v>42718</v>
      </c>
      <c r="AZ1191">
        <v>200.79</v>
      </c>
      <c r="BD1191">
        <v>0</v>
      </c>
      <c r="BN1191" t="s">
        <v>74</v>
      </c>
    </row>
    <row r="1192" spans="1:66" hidden="1">
      <c r="A1192">
        <v>100261</v>
      </c>
      <c r="B1192" s="3" t="s">
        <v>149</v>
      </c>
      <c r="C1192" s="1">
        <v>43300101</v>
      </c>
      <c r="D1192" t="s">
        <v>67</v>
      </c>
      <c r="H1192" t="str">
        <f t="shared" ref="H1192:I1201" si="103">"05506871002"</f>
        <v>05506871002</v>
      </c>
      <c r="I1192" t="str">
        <f t="shared" si="103"/>
        <v>05506871002</v>
      </c>
      <c r="K1192" t="str">
        <f>""</f>
        <v/>
      </c>
      <c r="M1192" t="s">
        <v>68</v>
      </c>
      <c r="N1192" t="str">
        <f t="shared" si="101"/>
        <v>FOR</v>
      </c>
      <c r="O1192" t="s">
        <v>69</v>
      </c>
      <c r="P1192" s="3" t="s">
        <v>70</v>
      </c>
      <c r="Q1192">
        <v>2015</v>
      </c>
      <c r="R1192" s="2">
        <v>42081</v>
      </c>
      <c r="S1192" s="2">
        <v>42118</v>
      </c>
      <c r="T1192" s="2">
        <v>42118</v>
      </c>
      <c r="U1192" s="2">
        <v>42178</v>
      </c>
      <c r="V1192" t="s">
        <v>71</v>
      </c>
      <c r="W1192" t="str">
        <f>"            50001080"</f>
        <v xml:space="preserve">            50001080</v>
      </c>
      <c r="X1192" s="1">
        <v>3982.45</v>
      </c>
      <c r="Y1192">
        <v>0</v>
      </c>
      <c r="Z1192"/>
      <c r="AB1192"/>
      <c r="AC1192" s="1">
        <v>3264.3</v>
      </c>
      <c r="AD1192">
        <v>226</v>
      </c>
      <c r="AE1192" s="1">
        <v>737731.8</v>
      </c>
      <c r="AF1192">
        <v>0</v>
      </c>
      <c r="AJ1192">
        <v>0</v>
      </c>
      <c r="AK1192">
        <v>0</v>
      </c>
      <c r="AL1192">
        <v>0</v>
      </c>
      <c r="AM1192">
        <v>0</v>
      </c>
      <c r="AN1192">
        <v>0</v>
      </c>
      <c r="AO1192">
        <v>0</v>
      </c>
      <c r="AP1192" s="2">
        <v>42746</v>
      </c>
      <c r="AQ1192" t="s">
        <v>72</v>
      </c>
      <c r="AR1192" t="s">
        <v>72</v>
      </c>
      <c r="AS1192">
        <v>276</v>
      </c>
      <c r="AT1192" s="4">
        <v>42404</v>
      </c>
      <c r="AU1192" t="s">
        <v>73</v>
      </c>
      <c r="AV1192">
        <v>276</v>
      </c>
      <c r="AW1192" s="4">
        <v>42404</v>
      </c>
      <c r="BD1192">
        <v>0</v>
      </c>
      <c r="BN1192" t="s">
        <v>74</v>
      </c>
    </row>
    <row r="1193" spans="1:66" hidden="1">
      <c r="A1193">
        <v>100261</v>
      </c>
      <c r="B1193" s="3" t="s">
        <v>149</v>
      </c>
      <c r="C1193" s="1">
        <v>43300101</v>
      </c>
      <c r="D1193" t="s">
        <v>67</v>
      </c>
      <c r="H1193" t="str">
        <f t="shared" si="103"/>
        <v>05506871002</v>
      </c>
      <c r="I1193" t="str">
        <f t="shared" si="103"/>
        <v>05506871002</v>
      </c>
      <c r="K1193" t="str">
        <f>""</f>
        <v/>
      </c>
      <c r="M1193" t="s">
        <v>68</v>
      </c>
      <c r="N1193" t="str">
        <f t="shared" si="101"/>
        <v>FOR</v>
      </c>
      <c r="O1193" t="s">
        <v>69</v>
      </c>
      <c r="P1193" s="3" t="s">
        <v>75</v>
      </c>
      <c r="Q1193">
        <v>2015</v>
      </c>
      <c r="R1193" s="2">
        <v>42142</v>
      </c>
      <c r="S1193" s="2">
        <v>42312</v>
      </c>
      <c r="T1193" s="2">
        <v>42307</v>
      </c>
      <c r="U1193" s="2">
        <v>42367</v>
      </c>
      <c r="V1193" t="s">
        <v>71</v>
      </c>
      <c r="W1193" t="str">
        <f>"            50002106"</f>
        <v xml:space="preserve">            50002106</v>
      </c>
      <c r="X1193">
        <v>521.95000000000005</v>
      </c>
      <c r="Y1193">
        <v>0</v>
      </c>
      <c r="Z1193"/>
      <c r="AB1193"/>
      <c r="AC1193">
        <v>427.83</v>
      </c>
      <c r="AD1193">
        <v>86</v>
      </c>
      <c r="AE1193" s="1">
        <v>36793.379999999997</v>
      </c>
      <c r="AF1193">
        <v>0</v>
      </c>
      <c r="AJ1193">
        <v>0</v>
      </c>
      <c r="AK1193">
        <v>0</v>
      </c>
      <c r="AL1193">
        <v>0</v>
      </c>
      <c r="AM1193">
        <v>0</v>
      </c>
      <c r="AN1193">
        <v>0</v>
      </c>
      <c r="AO1193">
        <v>0</v>
      </c>
      <c r="AP1193" s="2">
        <v>42746</v>
      </c>
      <c r="AQ1193" t="s">
        <v>72</v>
      </c>
      <c r="AR1193" t="s">
        <v>72</v>
      </c>
      <c r="AS1193">
        <v>839</v>
      </c>
      <c r="AT1193" s="4">
        <v>42453</v>
      </c>
      <c r="AU1193" t="s">
        <v>73</v>
      </c>
      <c r="AV1193">
        <v>839</v>
      </c>
      <c r="AW1193" s="4">
        <v>42453</v>
      </c>
      <c r="BD1193">
        <v>0</v>
      </c>
      <c r="BN1193" t="s">
        <v>74</v>
      </c>
    </row>
    <row r="1194" spans="1:66" hidden="1">
      <c r="A1194">
        <v>100261</v>
      </c>
      <c r="B1194" s="3" t="s">
        <v>149</v>
      </c>
      <c r="C1194" s="1">
        <v>43300101</v>
      </c>
      <c r="D1194" t="s">
        <v>67</v>
      </c>
      <c r="H1194" t="str">
        <f t="shared" si="103"/>
        <v>05506871002</v>
      </c>
      <c r="I1194" t="str">
        <f t="shared" si="103"/>
        <v>05506871002</v>
      </c>
      <c r="K1194" t="str">
        <f>""</f>
        <v/>
      </c>
      <c r="M1194" t="s">
        <v>68</v>
      </c>
      <c r="N1194" t="str">
        <f t="shared" si="101"/>
        <v>FOR</v>
      </c>
      <c r="O1194" t="s">
        <v>69</v>
      </c>
      <c r="P1194" s="3" t="s">
        <v>75</v>
      </c>
      <c r="Q1194">
        <v>2015</v>
      </c>
      <c r="R1194" s="2">
        <v>42160</v>
      </c>
      <c r="S1194" s="2">
        <v>42313</v>
      </c>
      <c r="T1194" s="2">
        <v>42312</v>
      </c>
      <c r="U1194" s="2">
        <v>42372</v>
      </c>
      <c r="V1194" t="s">
        <v>71</v>
      </c>
      <c r="W1194" t="str">
        <f>"            50002576"</f>
        <v xml:space="preserve">            50002576</v>
      </c>
      <c r="X1194" s="1">
        <v>9725.66</v>
      </c>
      <c r="Y1194">
        <v>0</v>
      </c>
      <c r="Z1194"/>
      <c r="AB1194"/>
      <c r="AC1194" s="1">
        <v>7971.85</v>
      </c>
      <c r="AD1194">
        <v>115</v>
      </c>
      <c r="AE1194" s="1">
        <v>916762.75</v>
      </c>
      <c r="AF1194">
        <v>0</v>
      </c>
      <c r="AJ1194">
        <v>0</v>
      </c>
      <c r="AK1194">
        <v>0</v>
      </c>
      <c r="AL1194">
        <v>0</v>
      </c>
      <c r="AM1194">
        <v>0</v>
      </c>
      <c r="AN1194">
        <v>0</v>
      </c>
      <c r="AO1194">
        <v>0</v>
      </c>
      <c r="AP1194" s="2">
        <v>42746</v>
      </c>
      <c r="AQ1194" t="s">
        <v>72</v>
      </c>
      <c r="AR1194" t="s">
        <v>72</v>
      </c>
      <c r="AS1194">
        <v>1197</v>
      </c>
      <c r="AT1194" s="4">
        <v>42487</v>
      </c>
      <c r="AU1194" t="s">
        <v>73</v>
      </c>
      <c r="AV1194">
        <v>1197</v>
      </c>
      <c r="AW1194" s="4">
        <v>42487</v>
      </c>
      <c r="BD1194">
        <v>0</v>
      </c>
      <c r="BN1194" t="s">
        <v>74</v>
      </c>
    </row>
    <row r="1195" spans="1:66" hidden="1">
      <c r="A1195">
        <v>100261</v>
      </c>
      <c r="B1195" s="3" t="s">
        <v>149</v>
      </c>
      <c r="C1195" s="1">
        <v>43300101</v>
      </c>
      <c r="D1195" t="s">
        <v>67</v>
      </c>
      <c r="H1195" t="str">
        <f t="shared" si="103"/>
        <v>05506871002</v>
      </c>
      <c r="I1195" t="str">
        <f t="shared" si="103"/>
        <v>05506871002</v>
      </c>
      <c r="K1195" t="str">
        <f>""</f>
        <v/>
      </c>
      <c r="M1195" t="s">
        <v>68</v>
      </c>
      <c r="N1195" t="str">
        <f t="shared" si="101"/>
        <v>FOR</v>
      </c>
      <c r="O1195" t="s">
        <v>69</v>
      </c>
      <c r="P1195" s="3" t="s">
        <v>75</v>
      </c>
      <c r="Q1195">
        <v>2015</v>
      </c>
      <c r="R1195" s="2">
        <v>42207</v>
      </c>
      <c r="S1195" s="2">
        <v>42317</v>
      </c>
      <c r="T1195" s="2">
        <v>42314</v>
      </c>
      <c r="U1195" s="2">
        <v>42374</v>
      </c>
      <c r="V1195" t="s">
        <v>71</v>
      </c>
      <c r="W1195" t="str">
        <f>"            50003517"</f>
        <v xml:space="preserve">            50003517</v>
      </c>
      <c r="X1195">
        <v>134.31</v>
      </c>
      <c r="Y1195">
        <v>0</v>
      </c>
      <c r="Z1195"/>
      <c r="AB1195"/>
      <c r="AC1195">
        <v>110.09</v>
      </c>
      <c r="AD1195">
        <v>195</v>
      </c>
      <c r="AE1195" s="1">
        <v>21467.55</v>
      </c>
      <c r="AF1195">
        <v>0</v>
      </c>
      <c r="AJ1195">
        <v>0</v>
      </c>
      <c r="AK1195">
        <v>0</v>
      </c>
      <c r="AL1195">
        <v>0</v>
      </c>
      <c r="AM1195">
        <v>0</v>
      </c>
      <c r="AN1195">
        <v>0</v>
      </c>
      <c r="AO1195">
        <v>0</v>
      </c>
      <c r="AP1195" s="2">
        <v>42746</v>
      </c>
      <c r="AQ1195" t="s">
        <v>72</v>
      </c>
      <c r="AR1195" t="s">
        <v>72</v>
      </c>
      <c r="AS1195">
        <v>1861</v>
      </c>
      <c r="AT1195" s="4">
        <v>42569</v>
      </c>
      <c r="AU1195" t="s">
        <v>73</v>
      </c>
      <c r="AV1195">
        <v>1861</v>
      </c>
      <c r="AW1195" s="4">
        <v>42569</v>
      </c>
      <c r="BD1195">
        <v>0</v>
      </c>
      <c r="BN1195" t="s">
        <v>74</v>
      </c>
    </row>
    <row r="1196" spans="1:66" hidden="1">
      <c r="A1196">
        <v>100261</v>
      </c>
      <c r="B1196" s="3" t="s">
        <v>149</v>
      </c>
      <c r="C1196" s="1">
        <v>43300101</v>
      </c>
      <c r="D1196" t="s">
        <v>67</v>
      </c>
      <c r="H1196" t="str">
        <f t="shared" si="103"/>
        <v>05506871002</v>
      </c>
      <c r="I1196" t="str">
        <f t="shared" si="103"/>
        <v>05506871002</v>
      </c>
      <c r="K1196" t="str">
        <f>""</f>
        <v/>
      </c>
      <c r="M1196" t="s">
        <v>68</v>
      </c>
      <c r="N1196" t="str">
        <f t="shared" si="101"/>
        <v>FOR</v>
      </c>
      <c r="O1196" t="s">
        <v>69</v>
      </c>
      <c r="P1196" s="3" t="s">
        <v>75</v>
      </c>
      <c r="Q1196">
        <v>2015</v>
      </c>
      <c r="R1196" s="2">
        <v>42262</v>
      </c>
      <c r="S1196" s="2">
        <v>42446</v>
      </c>
      <c r="T1196" s="2">
        <v>42446</v>
      </c>
      <c r="U1196" s="2">
        <v>42506</v>
      </c>
      <c r="V1196" t="s">
        <v>71</v>
      </c>
      <c r="W1196" t="str">
        <f>"            50004417"</f>
        <v xml:space="preserve">            50004417</v>
      </c>
      <c r="X1196">
        <v>134.31</v>
      </c>
      <c r="Y1196">
        <v>0</v>
      </c>
      <c r="Z1196"/>
      <c r="AB1196"/>
      <c r="AC1196">
        <v>110.09</v>
      </c>
      <c r="AD1196">
        <v>63</v>
      </c>
      <c r="AE1196" s="1">
        <v>6935.67</v>
      </c>
      <c r="AF1196">
        <v>0</v>
      </c>
      <c r="AJ1196">
        <v>0</v>
      </c>
      <c r="AK1196">
        <v>0</v>
      </c>
      <c r="AL1196">
        <v>0</v>
      </c>
      <c r="AM1196">
        <v>0</v>
      </c>
      <c r="AN1196">
        <v>134.31</v>
      </c>
      <c r="AO1196">
        <v>0</v>
      </c>
      <c r="AP1196" s="2">
        <v>42746</v>
      </c>
      <c r="AQ1196" t="s">
        <v>72</v>
      </c>
      <c r="AR1196" t="s">
        <v>72</v>
      </c>
      <c r="AS1196">
        <v>1861</v>
      </c>
      <c r="AT1196" s="4">
        <v>42569</v>
      </c>
      <c r="AU1196" t="s">
        <v>73</v>
      </c>
      <c r="AV1196">
        <v>1861</v>
      </c>
      <c r="AW1196" s="4">
        <v>42569</v>
      </c>
      <c r="BD1196">
        <v>0</v>
      </c>
      <c r="BN1196" t="s">
        <v>74</v>
      </c>
    </row>
    <row r="1197" spans="1:66" hidden="1">
      <c r="A1197">
        <v>100261</v>
      </c>
      <c r="B1197" s="3" t="s">
        <v>149</v>
      </c>
      <c r="C1197" s="1">
        <v>43300101</v>
      </c>
      <c r="D1197" t="s">
        <v>67</v>
      </c>
      <c r="H1197" t="str">
        <f t="shared" si="103"/>
        <v>05506871002</v>
      </c>
      <c r="I1197" t="str">
        <f t="shared" si="103"/>
        <v>05506871002</v>
      </c>
      <c r="K1197" t="str">
        <f>""</f>
        <v/>
      </c>
      <c r="M1197" t="s">
        <v>68</v>
      </c>
      <c r="N1197" t="str">
        <f t="shared" si="101"/>
        <v>FOR</v>
      </c>
      <c r="O1197" t="s">
        <v>69</v>
      </c>
      <c r="P1197" s="3" t="s">
        <v>70</v>
      </c>
      <c r="Q1197">
        <v>2015</v>
      </c>
      <c r="R1197" s="2">
        <v>42340</v>
      </c>
      <c r="S1197" s="2">
        <v>42369</v>
      </c>
      <c r="T1197" s="2">
        <v>42369</v>
      </c>
      <c r="U1197" s="2">
        <v>42429</v>
      </c>
      <c r="V1197" t="s">
        <v>71</v>
      </c>
      <c r="W1197" t="str">
        <f>"            50005932"</f>
        <v xml:space="preserve">            50005932</v>
      </c>
      <c r="X1197" s="1">
        <v>3370.12</v>
      </c>
      <c r="Y1197">
        <v>0</v>
      </c>
      <c r="Z1197"/>
      <c r="AB1197"/>
      <c r="AC1197" s="1">
        <v>2762.39</v>
      </c>
      <c r="AD1197">
        <v>140</v>
      </c>
      <c r="AE1197" s="1">
        <v>386734.6</v>
      </c>
      <c r="AF1197">
        <v>0</v>
      </c>
      <c r="AJ1197">
        <v>0</v>
      </c>
      <c r="AK1197">
        <v>0</v>
      </c>
      <c r="AL1197">
        <v>0</v>
      </c>
      <c r="AM1197">
        <v>0</v>
      </c>
      <c r="AN1197">
        <v>0</v>
      </c>
      <c r="AO1197">
        <v>0</v>
      </c>
      <c r="AP1197" s="2">
        <v>42746</v>
      </c>
      <c r="AQ1197" t="s">
        <v>72</v>
      </c>
      <c r="AR1197" t="s">
        <v>72</v>
      </c>
      <c r="AS1197">
        <v>1861</v>
      </c>
      <c r="AT1197" s="4">
        <v>42569</v>
      </c>
      <c r="AU1197" t="s">
        <v>73</v>
      </c>
      <c r="AV1197">
        <v>1861</v>
      </c>
      <c r="AW1197" s="4">
        <v>42569</v>
      </c>
      <c r="BD1197">
        <v>0</v>
      </c>
      <c r="BN1197" t="s">
        <v>74</v>
      </c>
    </row>
    <row r="1198" spans="1:66" hidden="1">
      <c r="A1198">
        <v>100261</v>
      </c>
      <c r="B1198" s="3" t="s">
        <v>149</v>
      </c>
      <c r="C1198" s="1">
        <v>43300101</v>
      </c>
      <c r="D1198" t="s">
        <v>67</v>
      </c>
      <c r="H1198" t="str">
        <f t="shared" si="103"/>
        <v>05506871002</v>
      </c>
      <c r="I1198" t="str">
        <f t="shared" si="103"/>
        <v>05506871002</v>
      </c>
      <c r="K1198" t="str">
        <f>""</f>
        <v/>
      </c>
      <c r="M1198" t="s">
        <v>68</v>
      </c>
      <c r="N1198" t="str">
        <f t="shared" si="101"/>
        <v>FOR</v>
      </c>
      <c r="O1198" t="s">
        <v>69</v>
      </c>
      <c r="P1198" s="3" t="s">
        <v>70</v>
      </c>
      <c r="Q1198">
        <v>2015</v>
      </c>
      <c r="R1198" s="2">
        <v>42340</v>
      </c>
      <c r="S1198" s="2">
        <v>42369</v>
      </c>
      <c r="T1198" s="2">
        <v>42369</v>
      </c>
      <c r="U1198" s="2">
        <v>42429</v>
      </c>
      <c r="V1198" t="s">
        <v>71</v>
      </c>
      <c r="W1198" t="str">
        <f>"            50005933"</f>
        <v xml:space="preserve">            50005933</v>
      </c>
      <c r="X1198" s="1">
        <v>1334.42</v>
      </c>
      <c r="Y1198">
        <v>0</v>
      </c>
      <c r="Z1198"/>
      <c r="AB1198"/>
      <c r="AC1198" s="1">
        <v>1093.79</v>
      </c>
      <c r="AD1198">
        <v>140</v>
      </c>
      <c r="AE1198" s="1">
        <v>153130.6</v>
      </c>
      <c r="AF1198">
        <v>0</v>
      </c>
      <c r="AJ1198">
        <v>0</v>
      </c>
      <c r="AK1198">
        <v>0</v>
      </c>
      <c r="AL1198">
        <v>0</v>
      </c>
      <c r="AM1198">
        <v>0</v>
      </c>
      <c r="AN1198">
        <v>0</v>
      </c>
      <c r="AO1198">
        <v>0</v>
      </c>
      <c r="AP1198" s="2">
        <v>42746</v>
      </c>
      <c r="AQ1198" t="s">
        <v>72</v>
      </c>
      <c r="AR1198" t="s">
        <v>72</v>
      </c>
      <c r="AS1198">
        <v>1861</v>
      </c>
      <c r="AT1198" s="4">
        <v>42569</v>
      </c>
      <c r="AU1198" t="s">
        <v>73</v>
      </c>
      <c r="AV1198">
        <v>1861</v>
      </c>
      <c r="AW1198" s="4">
        <v>42569</v>
      </c>
      <c r="BD1198">
        <v>0</v>
      </c>
      <c r="BN1198" t="s">
        <v>74</v>
      </c>
    </row>
    <row r="1199" spans="1:66" hidden="1">
      <c r="A1199">
        <v>100261</v>
      </c>
      <c r="B1199" s="3" t="s">
        <v>149</v>
      </c>
      <c r="C1199" s="1">
        <v>43300101</v>
      </c>
      <c r="D1199" t="s">
        <v>67</v>
      </c>
      <c r="H1199" t="str">
        <f t="shared" si="103"/>
        <v>05506871002</v>
      </c>
      <c r="I1199" t="str">
        <f t="shared" si="103"/>
        <v>05506871002</v>
      </c>
      <c r="K1199" t="str">
        <f>""</f>
        <v/>
      </c>
      <c r="M1199" t="s">
        <v>68</v>
      </c>
      <c r="N1199" t="str">
        <f t="shared" si="101"/>
        <v>FOR</v>
      </c>
      <c r="O1199" t="s">
        <v>69</v>
      </c>
      <c r="P1199" s="3" t="s">
        <v>70</v>
      </c>
      <c r="Q1199">
        <v>2015</v>
      </c>
      <c r="R1199" s="2">
        <v>42340</v>
      </c>
      <c r="S1199" s="2">
        <v>42369</v>
      </c>
      <c r="T1199" s="2">
        <v>42369</v>
      </c>
      <c r="U1199" s="2">
        <v>42429</v>
      </c>
      <c r="V1199" t="s">
        <v>71</v>
      </c>
      <c r="W1199" t="str">
        <f>"            50005934"</f>
        <v xml:space="preserve">            50005934</v>
      </c>
      <c r="X1199" s="1">
        <v>1334.42</v>
      </c>
      <c r="Y1199">
        <v>0</v>
      </c>
      <c r="Z1199"/>
      <c r="AB1199"/>
      <c r="AC1199" s="1">
        <v>1093.79</v>
      </c>
      <c r="AD1199">
        <v>140</v>
      </c>
      <c r="AE1199" s="1">
        <v>153130.6</v>
      </c>
      <c r="AF1199">
        <v>0</v>
      </c>
      <c r="AJ1199">
        <v>0</v>
      </c>
      <c r="AK1199">
        <v>0</v>
      </c>
      <c r="AL1199">
        <v>0</v>
      </c>
      <c r="AM1199">
        <v>0</v>
      </c>
      <c r="AN1199">
        <v>0</v>
      </c>
      <c r="AO1199">
        <v>0</v>
      </c>
      <c r="AP1199" s="2">
        <v>42746</v>
      </c>
      <c r="AQ1199" t="s">
        <v>72</v>
      </c>
      <c r="AR1199" t="s">
        <v>72</v>
      </c>
      <c r="AS1199">
        <v>1861</v>
      </c>
      <c r="AT1199" s="4">
        <v>42569</v>
      </c>
      <c r="AU1199" t="s">
        <v>73</v>
      </c>
      <c r="AV1199">
        <v>1861</v>
      </c>
      <c r="AW1199" s="4">
        <v>42569</v>
      </c>
      <c r="BD1199">
        <v>0</v>
      </c>
      <c r="BN1199" t="s">
        <v>74</v>
      </c>
    </row>
    <row r="1200" spans="1:66" hidden="1">
      <c r="A1200">
        <v>100261</v>
      </c>
      <c r="B1200" s="3" t="s">
        <v>149</v>
      </c>
      <c r="C1200" s="1">
        <v>43300101</v>
      </c>
      <c r="D1200" t="s">
        <v>67</v>
      </c>
      <c r="H1200" t="str">
        <f t="shared" si="103"/>
        <v>05506871002</v>
      </c>
      <c r="I1200" t="str">
        <f t="shared" si="103"/>
        <v>05506871002</v>
      </c>
      <c r="K1200" t="str">
        <f>""</f>
        <v/>
      </c>
      <c r="M1200" t="s">
        <v>68</v>
      </c>
      <c r="N1200" t="str">
        <f t="shared" si="101"/>
        <v>FOR</v>
      </c>
      <c r="O1200" t="s">
        <v>69</v>
      </c>
      <c r="P1200" s="3" t="s">
        <v>70</v>
      </c>
      <c r="Q1200">
        <v>2015</v>
      </c>
      <c r="R1200" s="2">
        <v>42340</v>
      </c>
      <c r="S1200" s="2">
        <v>42369</v>
      </c>
      <c r="T1200" s="2">
        <v>42369</v>
      </c>
      <c r="U1200" s="2">
        <v>42429</v>
      </c>
      <c r="V1200" t="s">
        <v>71</v>
      </c>
      <c r="W1200" t="str">
        <f>"            50005935"</f>
        <v xml:space="preserve">            50005935</v>
      </c>
      <c r="X1200" s="1">
        <v>1334.42</v>
      </c>
      <c r="Y1200">
        <v>0</v>
      </c>
      <c r="Z1200"/>
      <c r="AB1200"/>
      <c r="AC1200" s="1">
        <v>1093.79</v>
      </c>
      <c r="AD1200">
        <v>140</v>
      </c>
      <c r="AE1200" s="1">
        <v>153130.6</v>
      </c>
      <c r="AF1200">
        <v>0</v>
      </c>
      <c r="AJ1200">
        <v>0</v>
      </c>
      <c r="AK1200">
        <v>0</v>
      </c>
      <c r="AL1200">
        <v>0</v>
      </c>
      <c r="AM1200">
        <v>0</v>
      </c>
      <c r="AN1200">
        <v>0</v>
      </c>
      <c r="AO1200">
        <v>0</v>
      </c>
      <c r="AP1200" s="2">
        <v>42746</v>
      </c>
      <c r="AQ1200" t="s">
        <v>72</v>
      </c>
      <c r="AR1200" t="s">
        <v>72</v>
      </c>
      <c r="AS1200">
        <v>1861</v>
      </c>
      <c r="AT1200" s="4">
        <v>42569</v>
      </c>
      <c r="AU1200" t="s">
        <v>73</v>
      </c>
      <c r="AV1200">
        <v>1861</v>
      </c>
      <c r="AW1200" s="4">
        <v>42569</v>
      </c>
      <c r="BD1200">
        <v>0</v>
      </c>
      <c r="BN1200" t="s">
        <v>74</v>
      </c>
    </row>
    <row r="1201" spans="1:66" hidden="1">
      <c r="A1201">
        <v>100261</v>
      </c>
      <c r="B1201" s="3" t="s">
        <v>149</v>
      </c>
      <c r="C1201" s="1">
        <v>43300101</v>
      </c>
      <c r="D1201" t="s">
        <v>67</v>
      </c>
      <c r="H1201" t="str">
        <f t="shared" si="103"/>
        <v>05506871002</v>
      </c>
      <c r="I1201" t="str">
        <f t="shared" si="103"/>
        <v>05506871002</v>
      </c>
      <c r="K1201" t="str">
        <f>""</f>
        <v/>
      </c>
      <c r="M1201" t="s">
        <v>68</v>
      </c>
      <c r="N1201" t="str">
        <f t="shared" si="101"/>
        <v>FOR</v>
      </c>
      <c r="O1201" t="s">
        <v>69</v>
      </c>
      <c r="P1201" s="3" t="s">
        <v>70</v>
      </c>
      <c r="Q1201">
        <v>2015</v>
      </c>
      <c r="R1201" s="2">
        <v>42340</v>
      </c>
      <c r="S1201" s="2">
        <v>42369</v>
      </c>
      <c r="T1201" s="2">
        <v>42369</v>
      </c>
      <c r="U1201" s="2">
        <v>42429</v>
      </c>
      <c r="V1201" t="s">
        <v>71</v>
      </c>
      <c r="W1201" t="str">
        <f>"            50005936"</f>
        <v xml:space="preserve">            50005936</v>
      </c>
      <c r="X1201" s="1">
        <v>2352.27</v>
      </c>
      <c r="Y1201">
        <v>0</v>
      </c>
      <c r="Z1201"/>
      <c r="AB1201"/>
      <c r="AC1201" s="1">
        <v>1928.09</v>
      </c>
      <c r="AD1201">
        <v>140</v>
      </c>
      <c r="AE1201" s="1">
        <v>269932.59999999998</v>
      </c>
      <c r="AF1201">
        <v>0</v>
      </c>
      <c r="AJ1201">
        <v>0</v>
      </c>
      <c r="AK1201">
        <v>0</v>
      </c>
      <c r="AL1201">
        <v>0</v>
      </c>
      <c r="AM1201">
        <v>0</v>
      </c>
      <c r="AN1201">
        <v>0</v>
      </c>
      <c r="AO1201">
        <v>0</v>
      </c>
      <c r="AP1201" s="2">
        <v>42746</v>
      </c>
      <c r="AQ1201" t="s">
        <v>72</v>
      </c>
      <c r="AR1201" t="s">
        <v>72</v>
      </c>
      <c r="AS1201">
        <v>1861</v>
      </c>
      <c r="AT1201" s="4">
        <v>42569</v>
      </c>
      <c r="AU1201" t="s">
        <v>73</v>
      </c>
      <c r="AV1201">
        <v>1861</v>
      </c>
      <c r="AW1201" s="4">
        <v>42569</v>
      </c>
      <c r="BD1201">
        <v>0</v>
      </c>
      <c r="BN1201" t="s">
        <v>74</v>
      </c>
    </row>
    <row r="1202" spans="1:66">
      <c r="A1202">
        <v>100270</v>
      </c>
      <c r="B1202" s="3" t="s">
        <v>150</v>
      </c>
      <c r="C1202" s="1">
        <v>43300101</v>
      </c>
      <c r="D1202" t="s">
        <v>67</v>
      </c>
      <c r="H1202" t="str">
        <f t="shared" ref="H1202:H1233" si="104">"03748120155"</f>
        <v>03748120155</v>
      </c>
      <c r="I1202" t="str">
        <f t="shared" ref="I1202:I1233" si="105">"01364640233"</f>
        <v>01364640233</v>
      </c>
      <c r="K1202" t="str">
        <f>""</f>
        <v/>
      </c>
      <c r="M1202" t="s">
        <v>68</v>
      </c>
      <c r="N1202" t="str">
        <f t="shared" ref="N1202:N1233" si="106">"FOR"</f>
        <v>FOR</v>
      </c>
      <c r="O1202" t="s">
        <v>69</v>
      </c>
      <c r="P1202" s="3" t="s">
        <v>78</v>
      </c>
      <c r="Q1202">
        <v>2013</v>
      </c>
      <c r="R1202" s="2">
        <v>41582</v>
      </c>
      <c r="S1202" s="2">
        <v>41591</v>
      </c>
      <c r="T1202" s="2">
        <v>41591</v>
      </c>
      <c r="U1202" s="2">
        <v>41681</v>
      </c>
      <c r="V1202" t="s">
        <v>71</v>
      </c>
      <c r="W1202" t="str">
        <f>"            31310118"</f>
        <v xml:space="preserve">            31310118</v>
      </c>
      <c r="X1202">
        <v>538.02</v>
      </c>
      <c r="Y1202">
        <v>0</v>
      </c>
      <c r="Z1202" s="3">
        <v>538.02</v>
      </c>
      <c r="AA1202">
        <v>987</v>
      </c>
      <c r="AB1202" s="5">
        <v>531025.74</v>
      </c>
      <c r="AC1202">
        <v>538.02</v>
      </c>
      <c r="AD1202">
        <v>987</v>
      </c>
      <c r="AE1202" s="1">
        <v>531025.74</v>
      </c>
      <c r="AF1202">
        <v>0</v>
      </c>
      <c r="AJ1202">
        <v>0</v>
      </c>
      <c r="AK1202">
        <v>0</v>
      </c>
      <c r="AL1202">
        <v>0</v>
      </c>
      <c r="AM1202">
        <v>0</v>
      </c>
      <c r="AN1202">
        <v>0</v>
      </c>
      <c r="AO1202">
        <v>0</v>
      </c>
      <c r="AP1202" s="2">
        <v>42746</v>
      </c>
      <c r="AQ1202" t="s">
        <v>72</v>
      </c>
      <c r="AR1202" t="s">
        <v>72</v>
      </c>
      <c r="AS1202">
        <v>2879</v>
      </c>
      <c r="AT1202" s="4">
        <v>42668</v>
      </c>
      <c r="AU1202" t="s">
        <v>73</v>
      </c>
      <c r="AV1202">
        <v>2879</v>
      </c>
      <c r="AW1202" s="4">
        <v>42668</v>
      </c>
      <c r="BD1202">
        <v>0</v>
      </c>
      <c r="BN1202" t="s">
        <v>74</v>
      </c>
    </row>
    <row r="1203" spans="1:66" hidden="1">
      <c r="A1203">
        <v>100270</v>
      </c>
      <c r="B1203" s="3" t="s">
        <v>150</v>
      </c>
      <c r="C1203" s="1">
        <v>43300101</v>
      </c>
      <c r="D1203" t="s">
        <v>67</v>
      </c>
      <c r="H1203" t="str">
        <f t="shared" si="104"/>
        <v>03748120155</v>
      </c>
      <c r="I1203" t="str">
        <f t="shared" si="105"/>
        <v>01364640233</v>
      </c>
      <c r="K1203" t="str">
        <f>""</f>
        <v/>
      </c>
      <c r="M1203" t="s">
        <v>68</v>
      </c>
      <c r="N1203" t="str">
        <f t="shared" si="106"/>
        <v>FOR</v>
      </c>
      <c r="O1203" t="s">
        <v>69</v>
      </c>
      <c r="P1203" s="3" t="s">
        <v>70</v>
      </c>
      <c r="Q1203">
        <v>2015</v>
      </c>
      <c r="R1203" s="2">
        <v>42038</v>
      </c>
      <c r="S1203" s="2">
        <v>42047</v>
      </c>
      <c r="T1203" s="2">
        <v>42047</v>
      </c>
      <c r="U1203" s="2">
        <v>42107</v>
      </c>
      <c r="V1203" t="s">
        <v>71</v>
      </c>
      <c r="W1203" t="str">
        <f>"            31501080"</f>
        <v xml:space="preserve">            31501080</v>
      </c>
      <c r="X1203" s="1">
        <v>2253.66</v>
      </c>
      <c r="Y1203">
        <v>0</v>
      </c>
      <c r="Z1203"/>
      <c r="AB1203"/>
      <c r="AC1203" s="1">
        <v>2166.98</v>
      </c>
      <c r="AD1203">
        <v>297</v>
      </c>
      <c r="AE1203" s="1">
        <v>643593.06000000006</v>
      </c>
      <c r="AF1203">
        <v>0</v>
      </c>
      <c r="AJ1203">
        <v>0</v>
      </c>
      <c r="AK1203">
        <v>0</v>
      </c>
      <c r="AL1203">
        <v>0</v>
      </c>
      <c r="AM1203">
        <v>0</v>
      </c>
      <c r="AN1203">
        <v>0</v>
      </c>
      <c r="AO1203">
        <v>0</v>
      </c>
      <c r="AP1203" s="2">
        <v>42746</v>
      </c>
      <c r="AQ1203" t="s">
        <v>72</v>
      </c>
      <c r="AR1203" t="s">
        <v>72</v>
      </c>
      <c r="AS1203">
        <v>245</v>
      </c>
      <c r="AT1203" s="4">
        <v>42404</v>
      </c>
      <c r="AU1203" t="s">
        <v>73</v>
      </c>
      <c r="AV1203">
        <v>245</v>
      </c>
      <c r="AW1203" s="4">
        <v>42404</v>
      </c>
      <c r="BD1203">
        <v>0</v>
      </c>
      <c r="BN1203" t="s">
        <v>74</v>
      </c>
    </row>
    <row r="1204" spans="1:66" hidden="1">
      <c r="A1204">
        <v>100270</v>
      </c>
      <c r="B1204" s="3" t="s">
        <v>150</v>
      </c>
      <c r="C1204" s="1">
        <v>43300101</v>
      </c>
      <c r="D1204" t="s">
        <v>67</v>
      </c>
      <c r="H1204" t="str">
        <f t="shared" si="104"/>
        <v>03748120155</v>
      </c>
      <c r="I1204" t="str">
        <f t="shared" si="105"/>
        <v>01364640233</v>
      </c>
      <c r="K1204" t="str">
        <f>""</f>
        <v/>
      </c>
      <c r="M1204" t="s">
        <v>68</v>
      </c>
      <c r="N1204" t="str">
        <f t="shared" si="106"/>
        <v>FOR</v>
      </c>
      <c r="O1204" t="s">
        <v>69</v>
      </c>
      <c r="P1204" s="3" t="s">
        <v>70</v>
      </c>
      <c r="Q1204">
        <v>2015</v>
      </c>
      <c r="R1204" s="2">
        <v>42038</v>
      </c>
      <c r="S1204" s="2">
        <v>42047</v>
      </c>
      <c r="T1204" s="2">
        <v>42047</v>
      </c>
      <c r="U1204" s="2">
        <v>42107</v>
      </c>
      <c r="V1204" t="s">
        <v>71</v>
      </c>
      <c r="W1204" t="str">
        <f>"            31501082"</f>
        <v xml:space="preserve">            31501082</v>
      </c>
      <c r="X1204" s="1">
        <v>2543.1799999999998</v>
      </c>
      <c r="Y1204">
        <v>0</v>
      </c>
      <c r="Z1204"/>
      <c r="AB1204"/>
      <c r="AC1204" s="1">
        <v>2445.37</v>
      </c>
      <c r="AD1204">
        <v>297</v>
      </c>
      <c r="AE1204" s="1">
        <v>726274.89</v>
      </c>
      <c r="AF1204">
        <v>0</v>
      </c>
      <c r="AJ1204">
        <v>0</v>
      </c>
      <c r="AK1204">
        <v>0</v>
      </c>
      <c r="AL1204">
        <v>0</v>
      </c>
      <c r="AM1204">
        <v>0</v>
      </c>
      <c r="AN1204">
        <v>0</v>
      </c>
      <c r="AO1204">
        <v>0</v>
      </c>
      <c r="AP1204" s="2">
        <v>42746</v>
      </c>
      <c r="AQ1204" t="s">
        <v>72</v>
      </c>
      <c r="AR1204" t="s">
        <v>72</v>
      </c>
      <c r="AS1204">
        <v>245</v>
      </c>
      <c r="AT1204" s="4">
        <v>42404</v>
      </c>
      <c r="AU1204" t="s">
        <v>73</v>
      </c>
      <c r="AV1204">
        <v>245</v>
      </c>
      <c r="AW1204" s="4">
        <v>42404</v>
      </c>
      <c r="BD1204">
        <v>0</v>
      </c>
      <c r="BN1204" t="s">
        <v>74</v>
      </c>
    </row>
    <row r="1205" spans="1:66" hidden="1">
      <c r="A1205">
        <v>100270</v>
      </c>
      <c r="B1205" s="3" t="s">
        <v>150</v>
      </c>
      <c r="C1205" s="1">
        <v>43300101</v>
      </c>
      <c r="D1205" t="s">
        <v>67</v>
      </c>
      <c r="H1205" t="str">
        <f t="shared" si="104"/>
        <v>03748120155</v>
      </c>
      <c r="I1205" t="str">
        <f t="shared" si="105"/>
        <v>01364640233</v>
      </c>
      <c r="K1205" t="str">
        <f>""</f>
        <v/>
      </c>
      <c r="M1205" t="s">
        <v>68</v>
      </c>
      <c r="N1205" t="str">
        <f t="shared" si="106"/>
        <v>FOR</v>
      </c>
      <c r="O1205" t="s">
        <v>69</v>
      </c>
      <c r="P1205" s="3" t="s">
        <v>70</v>
      </c>
      <c r="Q1205">
        <v>2015</v>
      </c>
      <c r="R1205" s="2">
        <v>42047</v>
      </c>
      <c r="S1205" s="2">
        <v>42055</v>
      </c>
      <c r="T1205" s="2">
        <v>42055</v>
      </c>
      <c r="U1205" s="2">
        <v>42115</v>
      </c>
      <c r="V1205" t="s">
        <v>71</v>
      </c>
      <c r="W1205" t="str">
        <f>"            31501424"</f>
        <v xml:space="preserve">            31501424</v>
      </c>
      <c r="X1205" s="1">
        <v>2253.66</v>
      </c>
      <c r="Y1205">
        <v>0</v>
      </c>
      <c r="Z1205"/>
      <c r="AB1205"/>
      <c r="AC1205" s="1">
        <v>2166.98</v>
      </c>
      <c r="AD1205">
        <v>289</v>
      </c>
      <c r="AE1205" s="1">
        <v>626257.22</v>
      </c>
      <c r="AF1205">
        <v>0</v>
      </c>
      <c r="AJ1205">
        <v>0</v>
      </c>
      <c r="AK1205">
        <v>0</v>
      </c>
      <c r="AL1205">
        <v>0</v>
      </c>
      <c r="AM1205">
        <v>0</v>
      </c>
      <c r="AN1205">
        <v>0</v>
      </c>
      <c r="AO1205">
        <v>0</v>
      </c>
      <c r="AP1205" s="2">
        <v>42746</v>
      </c>
      <c r="AQ1205" t="s">
        <v>72</v>
      </c>
      <c r="AR1205" t="s">
        <v>72</v>
      </c>
      <c r="AS1205">
        <v>245</v>
      </c>
      <c r="AT1205" s="4">
        <v>42404</v>
      </c>
      <c r="AU1205" t="s">
        <v>73</v>
      </c>
      <c r="AV1205">
        <v>245</v>
      </c>
      <c r="AW1205" s="4">
        <v>42404</v>
      </c>
      <c r="BD1205">
        <v>0</v>
      </c>
      <c r="BN1205" t="s">
        <v>74</v>
      </c>
    </row>
    <row r="1206" spans="1:66" hidden="1">
      <c r="A1206">
        <v>100270</v>
      </c>
      <c r="B1206" s="3" t="s">
        <v>150</v>
      </c>
      <c r="C1206" s="1">
        <v>43300101</v>
      </c>
      <c r="D1206" t="s">
        <v>67</v>
      </c>
      <c r="H1206" t="str">
        <f t="shared" si="104"/>
        <v>03748120155</v>
      </c>
      <c r="I1206" t="str">
        <f t="shared" si="105"/>
        <v>01364640233</v>
      </c>
      <c r="K1206" t="str">
        <f>""</f>
        <v/>
      </c>
      <c r="M1206" t="s">
        <v>68</v>
      </c>
      <c r="N1206" t="str">
        <f t="shared" si="106"/>
        <v>FOR</v>
      </c>
      <c r="O1206" t="s">
        <v>69</v>
      </c>
      <c r="P1206" s="3" t="s">
        <v>70</v>
      </c>
      <c r="Q1206">
        <v>2015</v>
      </c>
      <c r="R1206" s="2">
        <v>42073</v>
      </c>
      <c r="S1206" s="2">
        <v>42087</v>
      </c>
      <c r="T1206" s="2">
        <v>42087</v>
      </c>
      <c r="U1206" s="2">
        <v>42147</v>
      </c>
      <c r="V1206" t="s">
        <v>71</v>
      </c>
      <c r="W1206" t="str">
        <f>"            31502412"</f>
        <v xml:space="preserve">            31502412</v>
      </c>
      <c r="X1206">
        <v>595.19000000000005</v>
      </c>
      <c r="Y1206">
        <v>0</v>
      </c>
      <c r="Z1206"/>
      <c r="AB1206"/>
      <c r="AC1206">
        <v>572.29999999999995</v>
      </c>
      <c r="AD1206">
        <v>268</v>
      </c>
      <c r="AE1206" s="1">
        <v>153376.4</v>
      </c>
      <c r="AF1206">
        <v>0</v>
      </c>
      <c r="AJ1206">
        <v>0</v>
      </c>
      <c r="AK1206">
        <v>0</v>
      </c>
      <c r="AL1206">
        <v>0</v>
      </c>
      <c r="AM1206">
        <v>0</v>
      </c>
      <c r="AN1206">
        <v>0</v>
      </c>
      <c r="AO1206">
        <v>0</v>
      </c>
      <c r="AP1206" s="2">
        <v>42746</v>
      </c>
      <c r="AQ1206" t="s">
        <v>72</v>
      </c>
      <c r="AR1206" t="s">
        <v>72</v>
      </c>
      <c r="AS1206">
        <v>346</v>
      </c>
      <c r="AT1206" s="4">
        <v>42415</v>
      </c>
      <c r="AU1206" t="s">
        <v>73</v>
      </c>
      <c r="AV1206">
        <v>346</v>
      </c>
      <c r="AW1206" s="4">
        <v>42415</v>
      </c>
      <c r="BD1206">
        <v>0</v>
      </c>
      <c r="BN1206" t="s">
        <v>74</v>
      </c>
    </row>
    <row r="1207" spans="1:66" hidden="1">
      <c r="A1207">
        <v>100270</v>
      </c>
      <c r="B1207" s="3" t="s">
        <v>150</v>
      </c>
      <c r="C1207" s="1">
        <v>43300101</v>
      </c>
      <c r="D1207" t="s">
        <v>67</v>
      </c>
      <c r="H1207" t="str">
        <f t="shared" si="104"/>
        <v>03748120155</v>
      </c>
      <c r="I1207" t="str">
        <f t="shared" si="105"/>
        <v>01364640233</v>
      </c>
      <c r="K1207" t="str">
        <f>""</f>
        <v/>
      </c>
      <c r="M1207" t="s">
        <v>68</v>
      </c>
      <c r="N1207" t="str">
        <f t="shared" si="106"/>
        <v>FOR</v>
      </c>
      <c r="O1207" t="s">
        <v>69</v>
      </c>
      <c r="P1207" s="3" t="s">
        <v>70</v>
      </c>
      <c r="Q1207">
        <v>2015</v>
      </c>
      <c r="R1207" s="2">
        <v>42082</v>
      </c>
      <c r="S1207" s="2">
        <v>42094</v>
      </c>
      <c r="T1207" s="2">
        <v>42094</v>
      </c>
      <c r="U1207" s="2">
        <v>42154</v>
      </c>
      <c r="V1207" t="s">
        <v>71</v>
      </c>
      <c r="W1207" t="str">
        <f>"            31502795"</f>
        <v xml:space="preserve">            31502795</v>
      </c>
      <c r="X1207" s="1">
        <v>2564.34</v>
      </c>
      <c r="Y1207">
        <v>0</v>
      </c>
      <c r="Z1207"/>
      <c r="AB1207"/>
      <c r="AC1207" s="1">
        <v>2433</v>
      </c>
      <c r="AD1207">
        <v>261</v>
      </c>
      <c r="AE1207" s="1">
        <v>635013</v>
      </c>
      <c r="AF1207">
        <v>0</v>
      </c>
      <c r="AJ1207">
        <v>0</v>
      </c>
      <c r="AK1207">
        <v>0</v>
      </c>
      <c r="AL1207">
        <v>0</v>
      </c>
      <c r="AM1207">
        <v>0</v>
      </c>
      <c r="AN1207">
        <v>0</v>
      </c>
      <c r="AO1207">
        <v>0</v>
      </c>
      <c r="AP1207" s="2">
        <v>42746</v>
      </c>
      <c r="AQ1207" t="s">
        <v>72</v>
      </c>
      <c r="AR1207" t="s">
        <v>72</v>
      </c>
      <c r="AS1207">
        <v>346</v>
      </c>
      <c r="AT1207" s="4">
        <v>42415</v>
      </c>
      <c r="AU1207" t="s">
        <v>73</v>
      </c>
      <c r="AV1207">
        <v>346</v>
      </c>
      <c r="AW1207" s="4">
        <v>42415</v>
      </c>
      <c r="BD1207">
        <v>0</v>
      </c>
      <c r="BN1207" t="s">
        <v>74</v>
      </c>
    </row>
    <row r="1208" spans="1:66" hidden="1">
      <c r="A1208">
        <v>100270</v>
      </c>
      <c r="B1208" s="3" t="s">
        <v>150</v>
      </c>
      <c r="C1208" s="1">
        <v>43300101</v>
      </c>
      <c r="D1208" t="s">
        <v>67</v>
      </c>
      <c r="H1208" t="str">
        <f t="shared" si="104"/>
        <v>03748120155</v>
      </c>
      <c r="I1208" t="str">
        <f t="shared" si="105"/>
        <v>01364640233</v>
      </c>
      <c r="K1208" t="str">
        <f>""</f>
        <v/>
      </c>
      <c r="M1208" t="s">
        <v>68</v>
      </c>
      <c r="N1208" t="str">
        <f t="shared" si="106"/>
        <v>FOR</v>
      </c>
      <c r="O1208" t="s">
        <v>69</v>
      </c>
      <c r="P1208" s="3" t="s">
        <v>70</v>
      </c>
      <c r="Q1208">
        <v>2015</v>
      </c>
      <c r="R1208" s="2">
        <v>42083</v>
      </c>
      <c r="S1208" s="2">
        <v>42094</v>
      </c>
      <c r="T1208" s="2">
        <v>42094</v>
      </c>
      <c r="U1208" s="2">
        <v>42154</v>
      </c>
      <c r="V1208" t="s">
        <v>71</v>
      </c>
      <c r="W1208" t="str">
        <f>"            31502885"</f>
        <v xml:space="preserve">            31502885</v>
      </c>
      <c r="X1208">
        <v>297.60000000000002</v>
      </c>
      <c r="Y1208">
        <v>0</v>
      </c>
      <c r="Z1208"/>
      <c r="AB1208"/>
      <c r="AC1208">
        <v>286.14999999999998</v>
      </c>
      <c r="AD1208">
        <v>261</v>
      </c>
      <c r="AE1208" s="1">
        <v>74685.149999999994</v>
      </c>
      <c r="AF1208">
        <v>0</v>
      </c>
      <c r="AJ1208">
        <v>0</v>
      </c>
      <c r="AK1208">
        <v>0</v>
      </c>
      <c r="AL1208">
        <v>0</v>
      </c>
      <c r="AM1208">
        <v>0</v>
      </c>
      <c r="AN1208">
        <v>0</v>
      </c>
      <c r="AO1208">
        <v>0</v>
      </c>
      <c r="AP1208" s="2">
        <v>42746</v>
      </c>
      <c r="AQ1208" t="s">
        <v>72</v>
      </c>
      <c r="AR1208" t="s">
        <v>72</v>
      </c>
      <c r="AS1208">
        <v>346</v>
      </c>
      <c r="AT1208" s="4">
        <v>42415</v>
      </c>
      <c r="AU1208" t="s">
        <v>73</v>
      </c>
      <c r="AV1208">
        <v>346</v>
      </c>
      <c r="AW1208" s="4">
        <v>42415</v>
      </c>
      <c r="BD1208">
        <v>0</v>
      </c>
      <c r="BN1208" t="s">
        <v>74</v>
      </c>
    </row>
    <row r="1209" spans="1:66" hidden="1">
      <c r="A1209">
        <v>100270</v>
      </c>
      <c r="B1209" s="3" t="s">
        <v>150</v>
      </c>
      <c r="C1209" s="1">
        <v>43300101</v>
      </c>
      <c r="D1209" t="s">
        <v>67</v>
      </c>
      <c r="H1209" t="str">
        <f t="shared" si="104"/>
        <v>03748120155</v>
      </c>
      <c r="I1209" t="str">
        <f t="shared" si="105"/>
        <v>01364640233</v>
      </c>
      <c r="K1209" t="str">
        <f>""</f>
        <v/>
      </c>
      <c r="M1209" t="s">
        <v>68</v>
      </c>
      <c r="N1209" t="str">
        <f t="shared" si="106"/>
        <v>FOR</v>
      </c>
      <c r="O1209" t="s">
        <v>69</v>
      </c>
      <c r="P1209" s="3" t="s">
        <v>70</v>
      </c>
      <c r="Q1209">
        <v>2015</v>
      </c>
      <c r="R1209" s="2">
        <v>42086</v>
      </c>
      <c r="S1209" s="2">
        <v>42094</v>
      </c>
      <c r="T1209" s="2">
        <v>42094</v>
      </c>
      <c r="U1209" s="2">
        <v>42154</v>
      </c>
      <c r="V1209" t="s">
        <v>71</v>
      </c>
      <c r="W1209" t="str">
        <f>"            31502924"</f>
        <v xml:space="preserve">            31502924</v>
      </c>
      <c r="X1209">
        <v>297.60000000000002</v>
      </c>
      <c r="Y1209">
        <v>0</v>
      </c>
      <c r="Z1209"/>
      <c r="AB1209"/>
      <c r="AC1209">
        <v>286.14999999999998</v>
      </c>
      <c r="AD1209">
        <v>261</v>
      </c>
      <c r="AE1209" s="1">
        <v>74685.149999999994</v>
      </c>
      <c r="AF1209">
        <v>0</v>
      </c>
      <c r="AJ1209">
        <v>0</v>
      </c>
      <c r="AK1209">
        <v>0</v>
      </c>
      <c r="AL1209">
        <v>0</v>
      </c>
      <c r="AM1209">
        <v>0</v>
      </c>
      <c r="AN1209">
        <v>0</v>
      </c>
      <c r="AO1209">
        <v>0</v>
      </c>
      <c r="AP1209" s="2">
        <v>42746</v>
      </c>
      <c r="AQ1209" t="s">
        <v>72</v>
      </c>
      <c r="AR1209" t="s">
        <v>72</v>
      </c>
      <c r="AS1209">
        <v>346</v>
      </c>
      <c r="AT1209" s="4">
        <v>42415</v>
      </c>
      <c r="AU1209" t="s">
        <v>73</v>
      </c>
      <c r="AV1209">
        <v>346</v>
      </c>
      <c r="AW1209" s="4">
        <v>42415</v>
      </c>
      <c r="BD1209">
        <v>0</v>
      </c>
      <c r="BN1209" t="s">
        <v>74</v>
      </c>
    </row>
    <row r="1210" spans="1:66" hidden="1">
      <c r="A1210">
        <v>100270</v>
      </c>
      <c r="B1210" s="3" t="s">
        <v>150</v>
      </c>
      <c r="C1210" s="1">
        <v>43300101</v>
      </c>
      <c r="D1210" t="s">
        <v>67</v>
      </c>
      <c r="H1210" t="str">
        <f t="shared" si="104"/>
        <v>03748120155</v>
      </c>
      <c r="I1210" t="str">
        <f t="shared" si="105"/>
        <v>01364640233</v>
      </c>
      <c r="K1210" t="str">
        <f>""</f>
        <v/>
      </c>
      <c r="M1210" t="s">
        <v>68</v>
      </c>
      <c r="N1210" t="str">
        <f t="shared" si="106"/>
        <v>FOR</v>
      </c>
      <c r="O1210" t="s">
        <v>69</v>
      </c>
      <c r="P1210" s="3" t="s">
        <v>70</v>
      </c>
      <c r="Q1210">
        <v>2015</v>
      </c>
      <c r="R1210" s="2">
        <v>42086</v>
      </c>
      <c r="S1210" s="2">
        <v>42094</v>
      </c>
      <c r="T1210" s="2">
        <v>42094</v>
      </c>
      <c r="U1210" s="2">
        <v>42154</v>
      </c>
      <c r="V1210" t="s">
        <v>71</v>
      </c>
      <c r="W1210" t="str">
        <f>"            31502925"</f>
        <v xml:space="preserve">            31502925</v>
      </c>
      <c r="X1210">
        <v>297.60000000000002</v>
      </c>
      <c r="Y1210">
        <v>0</v>
      </c>
      <c r="Z1210"/>
      <c r="AB1210"/>
      <c r="AC1210">
        <v>286.14999999999998</v>
      </c>
      <c r="AD1210">
        <v>261</v>
      </c>
      <c r="AE1210" s="1">
        <v>74685.149999999994</v>
      </c>
      <c r="AF1210">
        <v>0</v>
      </c>
      <c r="AJ1210">
        <v>0</v>
      </c>
      <c r="AK1210">
        <v>0</v>
      </c>
      <c r="AL1210">
        <v>0</v>
      </c>
      <c r="AM1210">
        <v>0</v>
      </c>
      <c r="AN1210">
        <v>0</v>
      </c>
      <c r="AO1210">
        <v>0</v>
      </c>
      <c r="AP1210" s="2">
        <v>42746</v>
      </c>
      <c r="AQ1210" t="s">
        <v>72</v>
      </c>
      <c r="AR1210" t="s">
        <v>72</v>
      </c>
      <c r="AS1210">
        <v>346</v>
      </c>
      <c r="AT1210" s="4">
        <v>42415</v>
      </c>
      <c r="AU1210" t="s">
        <v>73</v>
      </c>
      <c r="AV1210">
        <v>346</v>
      </c>
      <c r="AW1210" s="4">
        <v>42415</v>
      </c>
      <c r="BD1210">
        <v>0</v>
      </c>
      <c r="BN1210" t="s">
        <v>74</v>
      </c>
    </row>
    <row r="1211" spans="1:66" hidden="1">
      <c r="A1211">
        <v>100270</v>
      </c>
      <c r="B1211" s="3" t="s">
        <v>150</v>
      </c>
      <c r="C1211" s="1">
        <v>43300101</v>
      </c>
      <c r="D1211" t="s">
        <v>67</v>
      </c>
      <c r="H1211" t="str">
        <f t="shared" si="104"/>
        <v>03748120155</v>
      </c>
      <c r="I1211" t="str">
        <f t="shared" si="105"/>
        <v>01364640233</v>
      </c>
      <c r="K1211" t="str">
        <f>""</f>
        <v/>
      </c>
      <c r="M1211" t="s">
        <v>68</v>
      </c>
      <c r="N1211" t="str">
        <f t="shared" si="106"/>
        <v>FOR</v>
      </c>
      <c r="O1211" t="s">
        <v>69</v>
      </c>
      <c r="P1211" s="3" t="s">
        <v>70</v>
      </c>
      <c r="Q1211">
        <v>2015</v>
      </c>
      <c r="R1211" s="2">
        <v>42086</v>
      </c>
      <c r="S1211" s="2">
        <v>42094</v>
      </c>
      <c r="T1211" s="2">
        <v>42094</v>
      </c>
      <c r="U1211" s="2">
        <v>42154</v>
      </c>
      <c r="V1211" t="s">
        <v>71</v>
      </c>
      <c r="W1211" t="str">
        <f>"            31502926"</f>
        <v xml:space="preserve">            31502926</v>
      </c>
      <c r="X1211" s="1">
        <v>2543.1799999999998</v>
      </c>
      <c r="Y1211">
        <v>0</v>
      </c>
      <c r="Z1211"/>
      <c r="AB1211"/>
      <c r="AC1211" s="1">
        <v>2445.37</v>
      </c>
      <c r="AD1211">
        <v>261</v>
      </c>
      <c r="AE1211" s="1">
        <v>638241.56999999995</v>
      </c>
      <c r="AF1211">
        <v>0</v>
      </c>
      <c r="AJ1211">
        <v>0</v>
      </c>
      <c r="AK1211">
        <v>0</v>
      </c>
      <c r="AL1211">
        <v>0</v>
      </c>
      <c r="AM1211">
        <v>0</v>
      </c>
      <c r="AN1211">
        <v>0</v>
      </c>
      <c r="AO1211">
        <v>0</v>
      </c>
      <c r="AP1211" s="2">
        <v>42746</v>
      </c>
      <c r="AQ1211" t="s">
        <v>72</v>
      </c>
      <c r="AR1211" t="s">
        <v>72</v>
      </c>
      <c r="AS1211">
        <v>346</v>
      </c>
      <c r="AT1211" s="4">
        <v>42415</v>
      </c>
      <c r="AU1211" t="s">
        <v>73</v>
      </c>
      <c r="AV1211">
        <v>346</v>
      </c>
      <c r="AW1211" s="4">
        <v>42415</v>
      </c>
      <c r="BD1211">
        <v>0</v>
      </c>
      <c r="BN1211" t="s">
        <v>74</v>
      </c>
    </row>
    <row r="1212" spans="1:66" hidden="1">
      <c r="A1212">
        <v>100270</v>
      </c>
      <c r="B1212" s="3" t="s">
        <v>150</v>
      </c>
      <c r="C1212" s="1">
        <v>43300101</v>
      </c>
      <c r="D1212" t="s">
        <v>67</v>
      </c>
      <c r="H1212" t="str">
        <f t="shared" si="104"/>
        <v>03748120155</v>
      </c>
      <c r="I1212" t="str">
        <f t="shared" si="105"/>
        <v>01364640233</v>
      </c>
      <c r="K1212" t="str">
        <f>""</f>
        <v/>
      </c>
      <c r="M1212" t="s">
        <v>68</v>
      </c>
      <c r="N1212" t="str">
        <f t="shared" si="106"/>
        <v>FOR</v>
      </c>
      <c r="O1212" t="s">
        <v>69</v>
      </c>
      <c r="P1212" s="3" t="s">
        <v>75</v>
      </c>
      <c r="Q1212">
        <v>2015</v>
      </c>
      <c r="R1212" s="2">
        <v>42102</v>
      </c>
      <c r="S1212" s="2">
        <v>42160</v>
      </c>
      <c r="T1212" s="2">
        <v>42149</v>
      </c>
      <c r="U1212" s="2">
        <v>42209</v>
      </c>
      <c r="V1212" t="s">
        <v>71</v>
      </c>
      <c r="W1212" t="str">
        <f>"            31503522"</f>
        <v xml:space="preserve">            31503522</v>
      </c>
      <c r="X1212">
        <v>596.96</v>
      </c>
      <c r="Y1212">
        <v>0</v>
      </c>
      <c r="Z1212"/>
      <c r="AB1212"/>
      <c r="AC1212">
        <v>574</v>
      </c>
      <c r="AD1212">
        <v>244</v>
      </c>
      <c r="AE1212" s="1">
        <v>140056</v>
      </c>
      <c r="AF1212">
        <v>0</v>
      </c>
      <c r="AJ1212">
        <v>0</v>
      </c>
      <c r="AK1212">
        <v>0</v>
      </c>
      <c r="AL1212">
        <v>0</v>
      </c>
      <c r="AM1212">
        <v>0</v>
      </c>
      <c r="AN1212">
        <v>0</v>
      </c>
      <c r="AO1212">
        <v>0</v>
      </c>
      <c r="AP1212" s="2">
        <v>42746</v>
      </c>
      <c r="AQ1212" t="s">
        <v>72</v>
      </c>
      <c r="AR1212" t="s">
        <v>72</v>
      </c>
      <c r="AS1212">
        <v>874</v>
      </c>
      <c r="AT1212" s="4">
        <v>42453</v>
      </c>
      <c r="AU1212" t="s">
        <v>73</v>
      </c>
      <c r="AV1212">
        <v>874</v>
      </c>
      <c r="AW1212" s="4">
        <v>42453</v>
      </c>
      <c r="BD1212">
        <v>0</v>
      </c>
      <c r="BN1212" t="s">
        <v>74</v>
      </c>
    </row>
    <row r="1213" spans="1:66" hidden="1">
      <c r="A1213">
        <v>100270</v>
      </c>
      <c r="B1213" s="3" t="s">
        <v>150</v>
      </c>
      <c r="C1213" s="1">
        <v>43300101</v>
      </c>
      <c r="D1213" t="s">
        <v>67</v>
      </c>
      <c r="H1213" t="str">
        <f t="shared" si="104"/>
        <v>03748120155</v>
      </c>
      <c r="I1213" t="str">
        <f t="shared" si="105"/>
        <v>01364640233</v>
      </c>
      <c r="K1213" t="str">
        <f>""</f>
        <v/>
      </c>
      <c r="M1213" t="s">
        <v>68</v>
      </c>
      <c r="N1213" t="str">
        <f t="shared" si="106"/>
        <v>FOR</v>
      </c>
      <c r="O1213" t="s">
        <v>69</v>
      </c>
      <c r="P1213" s="3" t="s">
        <v>75</v>
      </c>
      <c r="Q1213">
        <v>2015</v>
      </c>
      <c r="R1213" s="2">
        <v>42102</v>
      </c>
      <c r="S1213" s="2">
        <v>42160</v>
      </c>
      <c r="T1213" s="2">
        <v>42149</v>
      </c>
      <c r="U1213" s="2">
        <v>42209</v>
      </c>
      <c r="V1213" t="s">
        <v>71</v>
      </c>
      <c r="W1213" t="str">
        <f>"            31503525"</f>
        <v xml:space="preserve">            31503525</v>
      </c>
      <c r="X1213" s="1">
        <v>12735.06</v>
      </c>
      <c r="Y1213">
        <v>0</v>
      </c>
      <c r="Z1213"/>
      <c r="AB1213"/>
      <c r="AC1213" s="1">
        <v>12245.25</v>
      </c>
      <c r="AD1213">
        <v>244</v>
      </c>
      <c r="AE1213" s="1">
        <v>2987841</v>
      </c>
      <c r="AF1213">
        <v>0</v>
      </c>
      <c r="AJ1213">
        <v>0</v>
      </c>
      <c r="AK1213">
        <v>0</v>
      </c>
      <c r="AL1213">
        <v>0</v>
      </c>
      <c r="AM1213">
        <v>0</v>
      </c>
      <c r="AN1213">
        <v>0</v>
      </c>
      <c r="AO1213">
        <v>0</v>
      </c>
      <c r="AP1213" s="2">
        <v>42746</v>
      </c>
      <c r="AQ1213" t="s">
        <v>72</v>
      </c>
      <c r="AR1213" t="s">
        <v>72</v>
      </c>
      <c r="AS1213">
        <v>874</v>
      </c>
      <c r="AT1213" s="4">
        <v>42453</v>
      </c>
      <c r="AU1213" t="s">
        <v>73</v>
      </c>
      <c r="AV1213">
        <v>874</v>
      </c>
      <c r="AW1213" s="4">
        <v>42453</v>
      </c>
      <c r="BD1213">
        <v>0</v>
      </c>
      <c r="BN1213" t="s">
        <v>74</v>
      </c>
    </row>
    <row r="1214" spans="1:66" hidden="1">
      <c r="A1214">
        <v>100270</v>
      </c>
      <c r="B1214" s="3" t="s">
        <v>150</v>
      </c>
      <c r="C1214" s="1">
        <v>43300101</v>
      </c>
      <c r="D1214" t="s">
        <v>67</v>
      </c>
      <c r="H1214" t="str">
        <f t="shared" si="104"/>
        <v>03748120155</v>
      </c>
      <c r="I1214" t="str">
        <f t="shared" si="105"/>
        <v>01364640233</v>
      </c>
      <c r="K1214" t="str">
        <f>""</f>
        <v/>
      </c>
      <c r="M1214" t="s">
        <v>68</v>
      </c>
      <c r="N1214" t="str">
        <f t="shared" si="106"/>
        <v>FOR</v>
      </c>
      <c r="O1214" t="s">
        <v>69</v>
      </c>
      <c r="P1214" s="3" t="s">
        <v>75</v>
      </c>
      <c r="Q1214">
        <v>2015</v>
      </c>
      <c r="R1214" s="2">
        <v>42114</v>
      </c>
      <c r="S1214" s="2">
        <v>42149</v>
      </c>
      <c r="T1214" s="2">
        <v>42138</v>
      </c>
      <c r="U1214" s="2">
        <v>42198</v>
      </c>
      <c r="V1214" t="s">
        <v>71</v>
      </c>
      <c r="W1214" t="str">
        <f>"            31503995"</f>
        <v xml:space="preserve">            31503995</v>
      </c>
      <c r="X1214" s="1">
        <v>3266.64</v>
      </c>
      <c r="Y1214">
        <v>0</v>
      </c>
      <c r="Z1214"/>
      <c r="AB1214"/>
      <c r="AC1214" s="1">
        <v>3141</v>
      </c>
      <c r="AD1214">
        <v>255</v>
      </c>
      <c r="AE1214" s="1">
        <v>800955</v>
      </c>
      <c r="AF1214">
        <v>0</v>
      </c>
      <c r="AJ1214">
        <v>0</v>
      </c>
      <c r="AK1214">
        <v>0</v>
      </c>
      <c r="AL1214">
        <v>0</v>
      </c>
      <c r="AM1214">
        <v>0</v>
      </c>
      <c r="AN1214">
        <v>0</v>
      </c>
      <c r="AO1214">
        <v>0</v>
      </c>
      <c r="AP1214" s="2">
        <v>42746</v>
      </c>
      <c r="AQ1214" t="s">
        <v>72</v>
      </c>
      <c r="AR1214" t="s">
        <v>72</v>
      </c>
      <c r="AS1214">
        <v>874</v>
      </c>
      <c r="AT1214" s="4">
        <v>42453</v>
      </c>
      <c r="AU1214" t="s">
        <v>73</v>
      </c>
      <c r="AV1214">
        <v>874</v>
      </c>
      <c r="AW1214" s="4">
        <v>42453</v>
      </c>
      <c r="BD1214">
        <v>0</v>
      </c>
      <c r="BN1214" t="s">
        <v>74</v>
      </c>
    </row>
    <row r="1215" spans="1:66" hidden="1">
      <c r="A1215">
        <v>100270</v>
      </c>
      <c r="B1215" s="3" t="s">
        <v>150</v>
      </c>
      <c r="C1215" s="1">
        <v>43300101</v>
      </c>
      <c r="D1215" t="s">
        <v>67</v>
      </c>
      <c r="H1215" t="str">
        <f t="shared" si="104"/>
        <v>03748120155</v>
      </c>
      <c r="I1215" t="str">
        <f t="shared" si="105"/>
        <v>01364640233</v>
      </c>
      <c r="K1215" t="str">
        <f>""</f>
        <v/>
      </c>
      <c r="M1215" t="s">
        <v>68</v>
      </c>
      <c r="N1215" t="str">
        <f t="shared" si="106"/>
        <v>FOR</v>
      </c>
      <c r="O1215" t="s">
        <v>69</v>
      </c>
      <c r="P1215" s="3" t="s">
        <v>75</v>
      </c>
      <c r="Q1215">
        <v>2015</v>
      </c>
      <c r="R1215" s="2">
        <v>42114</v>
      </c>
      <c r="S1215" s="2">
        <v>42149</v>
      </c>
      <c r="T1215" s="2">
        <v>42138</v>
      </c>
      <c r="U1215" s="2">
        <v>42198</v>
      </c>
      <c r="V1215" t="s">
        <v>71</v>
      </c>
      <c r="W1215" t="str">
        <f>"            31503997"</f>
        <v xml:space="preserve">            31503997</v>
      </c>
      <c r="X1215">
        <v>297.60000000000002</v>
      </c>
      <c r="Y1215">
        <v>0</v>
      </c>
      <c r="Z1215"/>
      <c r="AB1215"/>
      <c r="AC1215">
        <v>286.14999999999998</v>
      </c>
      <c r="AD1215">
        <v>255</v>
      </c>
      <c r="AE1215" s="1">
        <v>72968.25</v>
      </c>
      <c r="AF1215">
        <v>0</v>
      </c>
      <c r="AJ1215">
        <v>0</v>
      </c>
      <c r="AK1215">
        <v>0</v>
      </c>
      <c r="AL1215">
        <v>0</v>
      </c>
      <c r="AM1215">
        <v>0</v>
      </c>
      <c r="AN1215">
        <v>0</v>
      </c>
      <c r="AO1215">
        <v>0</v>
      </c>
      <c r="AP1215" s="2">
        <v>42746</v>
      </c>
      <c r="AQ1215" t="s">
        <v>72</v>
      </c>
      <c r="AR1215" t="s">
        <v>72</v>
      </c>
      <c r="AS1215">
        <v>874</v>
      </c>
      <c r="AT1215" s="4">
        <v>42453</v>
      </c>
      <c r="AU1215" t="s">
        <v>73</v>
      </c>
      <c r="AV1215">
        <v>874</v>
      </c>
      <c r="AW1215" s="4">
        <v>42453</v>
      </c>
      <c r="BD1215">
        <v>0</v>
      </c>
      <c r="BN1215" t="s">
        <v>74</v>
      </c>
    </row>
    <row r="1216" spans="1:66" hidden="1">
      <c r="A1216">
        <v>100270</v>
      </c>
      <c r="B1216" s="3" t="s">
        <v>150</v>
      </c>
      <c r="C1216" s="1">
        <v>43300101</v>
      </c>
      <c r="D1216" t="s">
        <v>67</v>
      </c>
      <c r="H1216" t="str">
        <f t="shared" si="104"/>
        <v>03748120155</v>
      </c>
      <c r="I1216" t="str">
        <f t="shared" si="105"/>
        <v>01364640233</v>
      </c>
      <c r="K1216" t="str">
        <f>""</f>
        <v/>
      </c>
      <c r="M1216" t="s">
        <v>68</v>
      </c>
      <c r="N1216" t="str">
        <f t="shared" si="106"/>
        <v>FOR</v>
      </c>
      <c r="O1216" t="s">
        <v>69</v>
      </c>
      <c r="P1216" s="3" t="s">
        <v>75</v>
      </c>
      <c r="Q1216">
        <v>2015</v>
      </c>
      <c r="R1216" s="2">
        <v>42114</v>
      </c>
      <c r="S1216" s="2">
        <v>42149</v>
      </c>
      <c r="T1216" s="2">
        <v>42138</v>
      </c>
      <c r="U1216" s="2">
        <v>42198</v>
      </c>
      <c r="V1216" t="s">
        <v>71</v>
      </c>
      <c r="W1216" t="str">
        <f>"            31503998"</f>
        <v xml:space="preserve">            31503998</v>
      </c>
      <c r="X1216">
        <v>294.57</v>
      </c>
      <c r="Y1216">
        <v>0</v>
      </c>
      <c r="Z1216"/>
      <c r="AB1216"/>
      <c r="AC1216">
        <v>283.24</v>
      </c>
      <c r="AD1216">
        <v>255</v>
      </c>
      <c r="AE1216" s="1">
        <v>72226.2</v>
      </c>
      <c r="AF1216">
        <v>0</v>
      </c>
      <c r="AJ1216">
        <v>0</v>
      </c>
      <c r="AK1216">
        <v>0</v>
      </c>
      <c r="AL1216">
        <v>0</v>
      </c>
      <c r="AM1216">
        <v>0</v>
      </c>
      <c r="AN1216">
        <v>0</v>
      </c>
      <c r="AO1216">
        <v>0</v>
      </c>
      <c r="AP1216" s="2">
        <v>42746</v>
      </c>
      <c r="AQ1216" t="s">
        <v>72</v>
      </c>
      <c r="AR1216" t="s">
        <v>72</v>
      </c>
      <c r="AS1216">
        <v>874</v>
      </c>
      <c r="AT1216" s="4">
        <v>42453</v>
      </c>
      <c r="AU1216" t="s">
        <v>73</v>
      </c>
      <c r="AV1216">
        <v>874</v>
      </c>
      <c r="AW1216" s="4">
        <v>42453</v>
      </c>
      <c r="BD1216">
        <v>0</v>
      </c>
      <c r="BN1216" t="s">
        <v>74</v>
      </c>
    </row>
    <row r="1217" spans="1:66" hidden="1">
      <c r="A1217">
        <v>100270</v>
      </c>
      <c r="B1217" s="3" t="s">
        <v>150</v>
      </c>
      <c r="C1217" s="1">
        <v>43300101</v>
      </c>
      <c r="D1217" t="s">
        <v>67</v>
      </c>
      <c r="H1217" t="str">
        <f t="shared" si="104"/>
        <v>03748120155</v>
      </c>
      <c r="I1217" t="str">
        <f t="shared" si="105"/>
        <v>01364640233</v>
      </c>
      <c r="K1217" t="str">
        <f>""</f>
        <v/>
      </c>
      <c r="M1217" t="s">
        <v>68</v>
      </c>
      <c r="N1217" t="str">
        <f t="shared" si="106"/>
        <v>FOR</v>
      </c>
      <c r="O1217" t="s">
        <v>69</v>
      </c>
      <c r="P1217" s="3" t="s">
        <v>75</v>
      </c>
      <c r="Q1217">
        <v>2015</v>
      </c>
      <c r="R1217" s="2">
        <v>42114</v>
      </c>
      <c r="S1217" s="2">
        <v>42149</v>
      </c>
      <c r="T1217" s="2">
        <v>42138</v>
      </c>
      <c r="U1217" s="2">
        <v>42198</v>
      </c>
      <c r="V1217" t="s">
        <v>71</v>
      </c>
      <c r="W1217" t="str">
        <f>"            31503999"</f>
        <v xml:space="preserve">            31503999</v>
      </c>
      <c r="X1217">
        <v>297.60000000000002</v>
      </c>
      <c r="Y1217">
        <v>0</v>
      </c>
      <c r="Z1217"/>
      <c r="AB1217"/>
      <c r="AC1217">
        <v>286.14999999999998</v>
      </c>
      <c r="AD1217">
        <v>255</v>
      </c>
      <c r="AE1217" s="1">
        <v>72968.25</v>
      </c>
      <c r="AF1217">
        <v>0</v>
      </c>
      <c r="AJ1217">
        <v>0</v>
      </c>
      <c r="AK1217">
        <v>0</v>
      </c>
      <c r="AL1217">
        <v>0</v>
      </c>
      <c r="AM1217">
        <v>0</v>
      </c>
      <c r="AN1217">
        <v>0</v>
      </c>
      <c r="AO1217">
        <v>0</v>
      </c>
      <c r="AP1217" s="2">
        <v>42746</v>
      </c>
      <c r="AQ1217" t="s">
        <v>72</v>
      </c>
      <c r="AR1217" t="s">
        <v>72</v>
      </c>
      <c r="AS1217">
        <v>874</v>
      </c>
      <c r="AT1217" s="4">
        <v>42453</v>
      </c>
      <c r="AU1217" t="s">
        <v>73</v>
      </c>
      <c r="AV1217">
        <v>874</v>
      </c>
      <c r="AW1217" s="4">
        <v>42453</v>
      </c>
      <c r="BD1217">
        <v>0</v>
      </c>
      <c r="BN1217" t="s">
        <v>74</v>
      </c>
    </row>
    <row r="1218" spans="1:66" hidden="1">
      <c r="A1218">
        <v>100270</v>
      </c>
      <c r="B1218" s="3" t="s">
        <v>150</v>
      </c>
      <c r="C1218" s="1">
        <v>43300101</v>
      </c>
      <c r="D1218" t="s">
        <v>67</v>
      </c>
      <c r="H1218" t="str">
        <f t="shared" si="104"/>
        <v>03748120155</v>
      </c>
      <c r="I1218" t="str">
        <f t="shared" si="105"/>
        <v>01364640233</v>
      </c>
      <c r="K1218" t="str">
        <f>""</f>
        <v/>
      </c>
      <c r="M1218" t="s">
        <v>68</v>
      </c>
      <c r="N1218" t="str">
        <f t="shared" si="106"/>
        <v>FOR</v>
      </c>
      <c r="O1218" t="s">
        <v>69</v>
      </c>
      <c r="P1218" s="3" t="s">
        <v>75</v>
      </c>
      <c r="Q1218">
        <v>2015</v>
      </c>
      <c r="R1218" s="2">
        <v>42115</v>
      </c>
      <c r="S1218" s="2">
        <v>42149</v>
      </c>
      <c r="T1218" s="2">
        <v>42138</v>
      </c>
      <c r="U1218" s="2">
        <v>42198</v>
      </c>
      <c r="V1218" t="s">
        <v>71</v>
      </c>
      <c r="W1218" t="str">
        <f>"            31504068"</f>
        <v xml:space="preserve">            31504068</v>
      </c>
      <c r="X1218" s="1">
        <v>9723.48</v>
      </c>
      <c r="Y1218">
        <v>0</v>
      </c>
      <c r="Z1218"/>
      <c r="AB1218"/>
      <c r="AC1218" s="1">
        <v>9349.5</v>
      </c>
      <c r="AD1218">
        <v>255</v>
      </c>
      <c r="AE1218" s="1">
        <v>2384122.5</v>
      </c>
      <c r="AF1218">
        <v>0</v>
      </c>
      <c r="AJ1218">
        <v>0</v>
      </c>
      <c r="AK1218">
        <v>0</v>
      </c>
      <c r="AL1218">
        <v>0</v>
      </c>
      <c r="AM1218">
        <v>0</v>
      </c>
      <c r="AN1218">
        <v>0</v>
      </c>
      <c r="AO1218">
        <v>0</v>
      </c>
      <c r="AP1218" s="2">
        <v>42746</v>
      </c>
      <c r="AQ1218" t="s">
        <v>72</v>
      </c>
      <c r="AR1218" t="s">
        <v>72</v>
      </c>
      <c r="AS1218">
        <v>874</v>
      </c>
      <c r="AT1218" s="4">
        <v>42453</v>
      </c>
      <c r="AU1218" t="s">
        <v>73</v>
      </c>
      <c r="AV1218">
        <v>874</v>
      </c>
      <c r="AW1218" s="4">
        <v>42453</v>
      </c>
      <c r="BD1218">
        <v>0</v>
      </c>
      <c r="BN1218" t="s">
        <v>74</v>
      </c>
    </row>
    <row r="1219" spans="1:66" hidden="1">
      <c r="A1219">
        <v>100270</v>
      </c>
      <c r="B1219" s="3" t="s">
        <v>150</v>
      </c>
      <c r="C1219" s="1">
        <v>43300101</v>
      </c>
      <c r="D1219" t="s">
        <v>67</v>
      </c>
      <c r="H1219" t="str">
        <f t="shared" si="104"/>
        <v>03748120155</v>
      </c>
      <c r="I1219" t="str">
        <f t="shared" si="105"/>
        <v>01364640233</v>
      </c>
      <c r="K1219" t="str">
        <f>""</f>
        <v/>
      </c>
      <c r="M1219" t="s">
        <v>68</v>
      </c>
      <c r="N1219" t="str">
        <f t="shared" si="106"/>
        <v>FOR</v>
      </c>
      <c r="O1219" t="s">
        <v>69</v>
      </c>
      <c r="P1219" s="3" t="s">
        <v>75</v>
      </c>
      <c r="Q1219">
        <v>2015</v>
      </c>
      <c r="R1219" s="2">
        <v>42117</v>
      </c>
      <c r="S1219" s="2">
        <v>42149</v>
      </c>
      <c r="T1219" s="2">
        <v>42138</v>
      </c>
      <c r="U1219" s="2">
        <v>42198</v>
      </c>
      <c r="V1219" t="s">
        <v>71</v>
      </c>
      <c r="W1219" t="str">
        <f>"            31504164"</f>
        <v xml:space="preserve">            31504164</v>
      </c>
      <c r="X1219">
        <v>917.28</v>
      </c>
      <c r="Y1219">
        <v>0</v>
      </c>
      <c r="Z1219"/>
      <c r="AB1219"/>
      <c r="AC1219">
        <v>882</v>
      </c>
      <c r="AD1219">
        <v>255</v>
      </c>
      <c r="AE1219" s="1">
        <v>224910</v>
      </c>
      <c r="AF1219">
        <v>0</v>
      </c>
      <c r="AJ1219">
        <v>0</v>
      </c>
      <c r="AK1219">
        <v>0</v>
      </c>
      <c r="AL1219">
        <v>0</v>
      </c>
      <c r="AM1219">
        <v>0</v>
      </c>
      <c r="AN1219">
        <v>0</v>
      </c>
      <c r="AO1219">
        <v>0</v>
      </c>
      <c r="AP1219" s="2">
        <v>42746</v>
      </c>
      <c r="AQ1219" t="s">
        <v>72</v>
      </c>
      <c r="AR1219" t="s">
        <v>72</v>
      </c>
      <c r="AS1219">
        <v>874</v>
      </c>
      <c r="AT1219" s="4">
        <v>42453</v>
      </c>
      <c r="AU1219" t="s">
        <v>73</v>
      </c>
      <c r="AV1219">
        <v>874</v>
      </c>
      <c r="AW1219" s="4">
        <v>42453</v>
      </c>
      <c r="BD1219">
        <v>0</v>
      </c>
      <c r="BN1219" t="s">
        <v>74</v>
      </c>
    </row>
    <row r="1220" spans="1:66" hidden="1">
      <c r="A1220">
        <v>100270</v>
      </c>
      <c r="B1220" s="3" t="s">
        <v>150</v>
      </c>
      <c r="C1220" s="1">
        <v>43300101</v>
      </c>
      <c r="D1220" t="s">
        <v>67</v>
      </c>
      <c r="H1220" t="str">
        <f t="shared" si="104"/>
        <v>03748120155</v>
      </c>
      <c r="I1220" t="str">
        <f t="shared" si="105"/>
        <v>01364640233</v>
      </c>
      <c r="K1220" t="str">
        <f>""</f>
        <v/>
      </c>
      <c r="M1220" t="s">
        <v>68</v>
      </c>
      <c r="N1220" t="str">
        <f t="shared" si="106"/>
        <v>FOR</v>
      </c>
      <c r="O1220" t="s">
        <v>69</v>
      </c>
      <c r="P1220" s="3" t="s">
        <v>75</v>
      </c>
      <c r="Q1220">
        <v>2015</v>
      </c>
      <c r="R1220" s="2">
        <v>42117</v>
      </c>
      <c r="S1220" s="2">
        <v>42149</v>
      </c>
      <c r="T1220" s="2">
        <v>42138</v>
      </c>
      <c r="U1220" s="2">
        <v>42198</v>
      </c>
      <c r="V1220" t="s">
        <v>71</v>
      </c>
      <c r="W1220" t="str">
        <f>"            31504172"</f>
        <v xml:space="preserve">            31504172</v>
      </c>
      <c r="X1220" s="1">
        <v>19297.2</v>
      </c>
      <c r="Y1220">
        <v>0</v>
      </c>
      <c r="Z1220"/>
      <c r="AB1220"/>
      <c r="AC1220" s="1">
        <v>18555</v>
      </c>
      <c r="AD1220">
        <v>255</v>
      </c>
      <c r="AE1220" s="1">
        <v>4731525</v>
      </c>
      <c r="AF1220">
        <v>0</v>
      </c>
      <c r="AJ1220">
        <v>0</v>
      </c>
      <c r="AK1220">
        <v>0</v>
      </c>
      <c r="AL1220">
        <v>0</v>
      </c>
      <c r="AM1220">
        <v>0</v>
      </c>
      <c r="AN1220">
        <v>0</v>
      </c>
      <c r="AO1220">
        <v>0</v>
      </c>
      <c r="AP1220" s="2">
        <v>42746</v>
      </c>
      <c r="AQ1220" t="s">
        <v>72</v>
      </c>
      <c r="AR1220" t="s">
        <v>72</v>
      </c>
      <c r="AS1220">
        <v>874</v>
      </c>
      <c r="AT1220" s="4">
        <v>42453</v>
      </c>
      <c r="AU1220" t="s">
        <v>73</v>
      </c>
      <c r="AV1220">
        <v>874</v>
      </c>
      <c r="AW1220" s="4">
        <v>42453</v>
      </c>
      <c r="BD1220">
        <v>0</v>
      </c>
      <c r="BN1220" t="s">
        <v>74</v>
      </c>
    </row>
    <row r="1221" spans="1:66" hidden="1">
      <c r="A1221">
        <v>100270</v>
      </c>
      <c r="B1221" s="3" t="s">
        <v>150</v>
      </c>
      <c r="C1221" s="1">
        <v>43300101</v>
      </c>
      <c r="D1221" t="s">
        <v>67</v>
      </c>
      <c r="H1221" t="str">
        <f t="shared" si="104"/>
        <v>03748120155</v>
      </c>
      <c r="I1221" t="str">
        <f t="shared" si="105"/>
        <v>01364640233</v>
      </c>
      <c r="K1221" t="str">
        <f>""</f>
        <v/>
      </c>
      <c r="M1221" t="s">
        <v>68</v>
      </c>
      <c r="N1221" t="str">
        <f t="shared" si="106"/>
        <v>FOR</v>
      </c>
      <c r="O1221" t="s">
        <v>69</v>
      </c>
      <c r="P1221" s="3" t="s">
        <v>75</v>
      </c>
      <c r="Q1221">
        <v>2015</v>
      </c>
      <c r="R1221" s="2">
        <v>42117</v>
      </c>
      <c r="S1221" s="2">
        <v>42149</v>
      </c>
      <c r="T1221" s="2">
        <v>42138</v>
      </c>
      <c r="U1221" s="2">
        <v>42198</v>
      </c>
      <c r="V1221" t="s">
        <v>71</v>
      </c>
      <c r="W1221" t="str">
        <f>"            31504181"</f>
        <v xml:space="preserve">            31504181</v>
      </c>
      <c r="X1221" s="1">
        <v>13735.8</v>
      </c>
      <c r="Y1221">
        <v>0</v>
      </c>
      <c r="Z1221"/>
      <c r="AB1221"/>
      <c r="AC1221" s="1">
        <v>13207.5</v>
      </c>
      <c r="AD1221">
        <v>255</v>
      </c>
      <c r="AE1221" s="1">
        <v>3367912.5</v>
      </c>
      <c r="AF1221">
        <v>0</v>
      </c>
      <c r="AJ1221">
        <v>0</v>
      </c>
      <c r="AK1221">
        <v>0</v>
      </c>
      <c r="AL1221">
        <v>0</v>
      </c>
      <c r="AM1221">
        <v>0</v>
      </c>
      <c r="AN1221">
        <v>0</v>
      </c>
      <c r="AO1221">
        <v>0</v>
      </c>
      <c r="AP1221" s="2">
        <v>42746</v>
      </c>
      <c r="AQ1221" t="s">
        <v>72</v>
      </c>
      <c r="AR1221" t="s">
        <v>72</v>
      </c>
      <c r="AS1221">
        <v>874</v>
      </c>
      <c r="AT1221" s="4">
        <v>42453</v>
      </c>
      <c r="AU1221" t="s">
        <v>73</v>
      </c>
      <c r="AV1221">
        <v>874</v>
      </c>
      <c r="AW1221" s="4">
        <v>42453</v>
      </c>
      <c r="BD1221">
        <v>0</v>
      </c>
      <c r="BN1221" t="s">
        <v>74</v>
      </c>
    </row>
    <row r="1222" spans="1:66" hidden="1">
      <c r="A1222">
        <v>100270</v>
      </c>
      <c r="B1222" s="3" t="s">
        <v>150</v>
      </c>
      <c r="C1222" s="1">
        <v>43300101</v>
      </c>
      <c r="D1222" t="s">
        <v>67</v>
      </c>
      <c r="H1222" t="str">
        <f t="shared" si="104"/>
        <v>03748120155</v>
      </c>
      <c r="I1222" t="str">
        <f t="shared" si="105"/>
        <v>01364640233</v>
      </c>
      <c r="K1222" t="str">
        <f>""</f>
        <v/>
      </c>
      <c r="M1222" t="s">
        <v>68</v>
      </c>
      <c r="N1222" t="str">
        <f t="shared" si="106"/>
        <v>FOR</v>
      </c>
      <c r="O1222" t="s">
        <v>69</v>
      </c>
      <c r="P1222" s="3" t="s">
        <v>75</v>
      </c>
      <c r="Q1222">
        <v>2015</v>
      </c>
      <c r="R1222" s="2">
        <v>42135</v>
      </c>
      <c r="S1222" s="2">
        <v>42160</v>
      </c>
      <c r="T1222" s="2">
        <v>42149</v>
      </c>
      <c r="U1222" s="2">
        <v>42209</v>
      </c>
      <c r="V1222" t="s">
        <v>71</v>
      </c>
      <c r="W1222" t="str">
        <f>"            31504680"</f>
        <v xml:space="preserve">            31504680</v>
      </c>
      <c r="X1222" s="1">
        <v>2543.1799999999998</v>
      </c>
      <c r="Y1222">
        <v>0</v>
      </c>
      <c r="Z1222"/>
      <c r="AB1222"/>
      <c r="AC1222" s="1">
        <v>2445.37</v>
      </c>
      <c r="AD1222">
        <v>244</v>
      </c>
      <c r="AE1222" s="1">
        <v>596670.28</v>
      </c>
      <c r="AF1222">
        <v>0</v>
      </c>
      <c r="AJ1222">
        <v>0</v>
      </c>
      <c r="AK1222">
        <v>0</v>
      </c>
      <c r="AL1222">
        <v>0</v>
      </c>
      <c r="AM1222">
        <v>0</v>
      </c>
      <c r="AN1222">
        <v>0</v>
      </c>
      <c r="AO1222">
        <v>0</v>
      </c>
      <c r="AP1222" s="2">
        <v>42746</v>
      </c>
      <c r="AQ1222" t="s">
        <v>72</v>
      </c>
      <c r="AR1222" t="s">
        <v>72</v>
      </c>
      <c r="AS1222">
        <v>874</v>
      </c>
      <c r="AT1222" s="4">
        <v>42453</v>
      </c>
      <c r="AU1222" t="s">
        <v>73</v>
      </c>
      <c r="AV1222">
        <v>874</v>
      </c>
      <c r="AW1222" s="4">
        <v>42453</v>
      </c>
      <c r="BD1222">
        <v>0</v>
      </c>
      <c r="BN1222" t="s">
        <v>74</v>
      </c>
    </row>
    <row r="1223" spans="1:66" hidden="1">
      <c r="A1223">
        <v>100270</v>
      </c>
      <c r="B1223" s="3" t="s">
        <v>150</v>
      </c>
      <c r="C1223" s="1">
        <v>43300101</v>
      </c>
      <c r="D1223" t="s">
        <v>67</v>
      </c>
      <c r="H1223" t="str">
        <f t="shared" si="104"/>
        <v>03748120155</v>
      </c>
      <c r="I1223" t="str">
        <f t="shared" si="105"/>
        <v>01364640233</v>
      </c>
      <c r="K1223" t="str">
        <f>""</f>
        <v/>
      </c>
      <c r="M1223" t="s">
        <v>68</v>
      </c>
      <c r="N1223" t="str">
        <f t="shared" si="106"/>
        <v>FOR</v>
      </c>
      <c r="O1223" t="s">
        <v>69</v>
      </c>
      <c r="P1223" s="3" t="s">
        <v>75</v>
      </c>
      <c r="Q1223">
        <v>2015</v>
      </c>
      <c r="R1223" s="2">
        <v>42135</v>
      </c>
      <c r="S1223" s="2">
        <v>42160</v>
      </c>
      <c r="T1223" s="2">
        <v>42149</v>
      </c>
      <c r="U1223" s="2">
        <v>42209</v>
      </c>
      <c r="V1223" t="s">
        <v>71</v>
      </c>
      <c r="W1223" t="str">
        <f>"            31504681"</f>
        <v xml:space="preserve">            31504681</v>
      </c>
      <c r="X1223" s="1">
        <v>2543.1799999999998</v>
      </c>
      <c r="Y1223">
        <v>0</v>
      </c>
      <c r="Z1223"/>
      <c r="AB1223"/>
      <c r="AC1223" s="1">
        <v>2445.37</v>
      </c>
      <c r="AD1223">
        <v>244</v>
      </c>
      <c r="AE1223" s="1">
        <v>596670.28</v>
      </c>
      <c r="AF1223">
        <v>0</v>
      </c>
      <c r="AJ1223">
        <v>0</v>
      </c>
      <c r="AK1223">
        <v>0</v>
      </c>
      <c r="AL1223">
        <v>0</v>
      </c>
      <c r="AM1223">
        <v>0</v>
      </c>
      <c r="AN1223">
        <v>0</v>
      </c>
      <c r="AO1223">
        <v>0</v>
      </c>
      <c r="AP1223" s="2">
        <v>42746</v>
      </c>
      <c r="AQ1223" t="s">
        <v>72</v>
      </c>
      <c r="AR1223" t="s">
        <v>72</v>
      </c>
      <c r="AS1223">
        <v>874</v>
      </c>
      <c r="AT1223" s="4">
        <v>42453</v>
      </c>
      <c r="AU1223" t="s">
        <v>73</v>
      </c>
      <c r="AV1223">
        <v>874</v>
      </c>
      <c r="AW1223" s="4">
        <v>42453</v>
      </c>
      <c r="BD1223">
        <v>0</v>
      </c>
      <c r="BN1223" t="s">
        <v>74</v>
      </c>
    </row>
    <row r="1224" spans="1:66" hidden="1">
      <c r="A1224">
        <v>100270</v>
      </c>
      <c r="B1224" s="3" t="s">
        <v>150</v>
      </c>
      <c r="C1224" s="1">
        <v>43300101</v>
      </c>
      <c r="D1224" t="s">
        <v>67</v>
      </c>
      <c r="H1224" t="str">
        <f t="shared" si="104"/>
        <v>03748120155</v>
      </c>
      <c r="I1224" t="str">
        <f t="shared" si="105"/>
        <v>01364640233</v>
      </c>
      <c r="K1224" t="str">
        <f>""</f>
        <v/>
      </c>
      <c r="M1224" t="s">
        <v>68</v>
      </c>
      <c r="N1224" t="str">
        <f t="shared" si="106"/>
        <v>FOR</v>
      </c>
      <c r="O1224" t="s">
        <v>69</v>
      </c>
      <c r="P1224" s="3" t="s">
        <v>75</v>
      </c>
      <c r="Q1224">
        <v>2015</v>
      </c>
      <c r="R1224" s="2">
        <v>42135</v>
      </c>
      <c r="S1224" s="2">
        <v>42160</v>
      </c>
      <c r="T1224" s="2">
        <v>42149</v>
      </c>
      <c r="U1224" s="2">
        <v>42209</v>
      </c>
      <c r="V1224" t="s">
        <v>71</v>
      </c>
      <c r="W1224" t="str">
        <f>"            31504682"</f>
        <v xml:space="preserve">            31504682</v>
      </c>
      <c r="X1224" s="1">
        <v>2543.1799999999998</v>
      </c>
      <c r="Y1224">
        <v>0</v>
      </c>
      <c r="Z1224"/>
      <c r="AB1224"/>
      <c r="AC1224" s="1">
        <v>2445.37</v>
      </c>
      <c r="AD1224">
        <v>244</v>
      </c>
      <c r="AE1224" s="1">
        <v>596670.28</v>
      </c>
      <c r="AF1224">
        <v>0</v>
      </c>
      <c r="AJ1224">
        <v>0</v>
      </c>
      <c r="AK1224">
        <v>0</v>
      </c>
      <c r="AL1224">
        <v>0</v>
      </c>
      <c r="AM1224">
        <v>0</v>
      </c>
      <c r="AN1224">
        <v>0</v>
      </c>
      <c r="AO1224">
        <v>0</v>
      </c>
      <c r="AP1224" s="2">
        <v>42746</v>
      </c>
      <c r="AQ1224" t="s">
        <v>72</v>
      </c>
      <c r="AR1224" t="s">
        <v>72</v>
      </c>
      <c r="AS1224">
        <v>874</v>
      </c>
      <c r="AT1224" s="4">
        <v>42453</v>
      </c>
      <c r="AU1224" t="s">
        <v>73</v>
      </c>
      <c r="AV1224">
        <v>874</v>
      </c>
      <c r="AW1224" s="4">
        <v>42453</v>
      </c>
      <c r="BD1224">
        <v>0</v>
      </c>
      <c r="BN1224" t="s">
        <v>74</v>
      </c>
    </row>
    <row r="1225" spans="1:66" hidden="1">
      <c r="A1225">
        <v>100270</v>
      </c>
      <c r="B1225" s="3" t="s">
        <v>150</v>
      </c>
      <c r="C1225" s="1">
        <v>43300101</v>
      </c>
      <c r="D1225" t="s">
        <v>67</v>
      </c>
      <c r="H1225" t="str">
        <f t="shared" si="104"/>
        <v>03748120155</v>
      </c>
      <c r="I1225" t="str">
        <f t="shared" si="105"/>
        <v>01364640233</v>
      </c>
      <c r="K1225" t="str">
        <f>""</f>
        <v/>
      </c>
      <c r="M1225" t="s">
        <v>68</v>
      </c>
      <c r="N1225" t="str">
        <f t="shared" si="106"/>
        <v>FOR</v>
      </c>
      <c r="O1225" t="s">
        <v>69</v>
      </c>
      <c r="P1225" s="3" t="s">
        <v>75</v>
      </c>
      <c r="Q1225">
        <v>2015</v>
      </c>
      <c r="R1225" s="2">
        <v>42149</v>
      </c>
      <c r="S1225" s="2">
        <v>42167</v>
      </c>
      <c r="T1225" s="2">
        <v>42166</v>
      </c>
      <c r="U1225" s="2">
        <v>42226</v>
      </c>
      <c r="V1225" t="s">
        <v>71</v>
      </c>
      <c r="W1225" t="str">
        <f>"            31505201"</f>
        <v xml:space="preserve">            31505201</v>
      </c>
      <c r="X1225">
        <v>297.60000000000002</v>
      </c>
      <c r="Y1225">
        <v>0</v>
      </c>
      <c r="Z1225"/>
      <c r="AB1225"/>
      <c r="AC1225">
        <v>286.14999999999998</v>
      </c>
      <c r="AD1225">
        <v>227</v>
      </c>
      <c r="AE1225" s="1">
        <v>64956.05</v>
      </c>
      <c r="AF1225">
        <v>0</v>
      </c>
      <c r="AJ1225">
        <v>0</v>
      </c>
      <c r="AK1225">
        <v>0</v>
      </c>
      <c r="AL1225">
        <v>0</v>
      </c>
      <c r="AM1225">
        <v>0</v>
      </c>
      <c r="AN1225">
        <v>0</v>
      </c>
      <c r="AO1225">
        <v>0</v>
      </c>
      <c r="AP1225" s="2">
        <v>42746</v>
      </c>
      <c r="AQ1225" t="s">
        <v>72</v>
      </c>
      <c r="AR1225" t="s">
        <v>72</v>
      </c>
      <c r="AS1225">
        <v>874</v>
      </c>
      <c r="AT1225" s="4">
        <v>42453</v>
      </c>
      <c r="AU1225" t="s">
        <v>73</v>
      </c>
      <c r="AV1225">
        <v>874</v>
      </c>
      <c r="AW1225" s="4">
        <v>42453</v>
      </c>
      <c r="BD1225">
        <v>0</v>
      </c>
      <c r="BN1225" t="s">
        <v>74</v>
      </c>
    </row>
    <row r="1226" spans="1:66" hidden="1">
      <c r="A1226">
        <v>100270</v>
      </c>
      <c r="B1226" s="3" t="s">
        <v>150</v>
      </c>
      <c r="C1226" s="1">
        <v>43300101</v>
      </c>
      <c r="D1226" t="s">
        <v>67</v>
      </c>
      <c r="H1226" t="str">
        <f t="shared" si="104"/>
        <v>03748120155</v>
      </c>
      <c r="I1226" t="str">
        <f t="shared" si="105"/>
        <v>01364640233</v>
      </c>
      <c r="K1226" t="str">
        <f>""</f>
        <v/>
      </c>
      <c r="M1226" t="s">
        <v>68</v>
      </c>
      <c r="N1226" t="str">
        <f t="shared" si="106"/>
        <v>FOR</v>
      </c>
      <c r="O1226" t="s">
        <v>69</v>
      </c>
      <c r="P1226" s="3" t="s">
        <v>75</v>
      </c>
      <c r="Q1226">
        <v>2015</v>
      </c>
      <c r="R1226" s="2">
        <v>42149</v>
      </c>
      <c r="S1226" s="2">
        <v>42167</v>
      </c>
      <c r="T1226" s="2">
        <v>42166</v>
      </c>
      <c r="U1226" s="2">
        <v>42226</v>
      </c>
      <c r="V1226" t="s">
        <v>71</v>
      </c>
      <c r="W1226" t="str">
        <f>"            31505202"</f>
        <v xml:space="preserve">            31505202</v>
      </c>
      <c r="X1226" s="1">
        <v>2543.1799999999998</v>
      </c>
      <c r="Y1226">
        <v>0</v>
      </c>
      <c r="Z1226"/>
      <c r="AB1226"/>
      <c r="AC1226" s="1">
        <v>2445.37</v>
      </c>
      <c r="AD1226">
        <v>227</v>
      </c>
      <c r="AE1226" s="1">
        <v>555098.99</v>
      </c>
      <c r="AF1226">
        <v>0</v>
      </c>
      <c r="AJ1226">
        <v>0</v>
      </c>
      <c r="AK1226">
        <v>0</v>
      </c>
      <c r="AL1226">
        <v>0</v>
      </c>
      <c r="AM1226">
        <v>0</v>
      </c>
      <c r="AN1226">
        <v>0</v>
      </c>
      <c r="AO1226">
        <v>0</v>
      </c>
      <c r="AP1226" s="2">
        <v>42746</v>
      </c>
      <c r="AQ1226" t="s">
        <v>72</v>
      </c>
      <c r="AR1226" t="s">
        <v>72</v>
      </c>
      <c r="AS1226">
        <v>874</v>
      </c>
      <c r="AT1226" s="4">
        <v>42453</v>
      </c>
      <c r="AU1226" t="s">
        <v>73</v>
      </c>
      <c r="AV1226">
        <v>874</v>
      </c>
      <c r="AW1226" s="4">
        <v>42453</v>
      </c>
      <c r="BD1226">
        <v>0</v>
      </c>
      <c r="BN1226" t="s">
        <v>74</v>
      </c>
    </row>
    <row r="1227" spans="1:66" hidden="1">
      <c r="A1227">
        <v>100270</v>
      </c>
      <c r="B1227" s="3" t="s">
        <v>150</v>
      </c>
      <c r="C1227" s="1">
        <v>43300101</v>
      </c>
      <c r="D1227" t="s">
        <v>67</v>
      </c>
      <c r="H1227" t="str">
        <f t="shared" si="104"/>
        <v>03748120155</v>
      </c>
      <c r="I1227" t="str">
        <f t="shared" si="105"/>
        <v>01364640233</v>
      </c>
      <c r="K1227" t="str">
        <f>""</f>
        <v/>
      </c>
      <c r="M1227" t="s">
        <v>68</v>
      </c>
      <c r="N1227" t="str">
        <f t="shared" si="106"/>
        <v>FOR</v>
      </c>
      <c r="O1227" t="s">
        <v>69</v>
      </c>
      <c r="P1227" s="3" t="s">
        <v>75</v>
      </c>
      <c r="Q1227">
        <v>2015</v>
      </c>
      <c r="R1227" s="2">
        <v>42149</v>
      </c>
      <c r="S1227" s="2">
        <v>42166</v>
      </c>
      <c r="T1227" s="2">
        <v>42166</v>
      </c>
      <c r="U1227" s="2">
        <v>42226</v>
      </c>
      <c r="V1227" t="s">
        <v>71</v>
      </c>
      <c r="W1227" t="str">
        <f>"            31505203"</f>
        <v xml:space="preserve">            31505203</v>
      </c>
      <c r="X1227">
        <v>294.57</v>
      </c>
      <c r="Y1227">
        <v>0</v>
      </c>
      <c r="Z1227"/>
      <c r="AB1227"/>
      <c r="AC1227">
        <v>283.24</v>
      </c>
      <c r="AD1227">
        <v>227</v>
      </c>
      <c r="AE1227" s="1">
        <v>64295.48</v>
      </c>
      <c r="AF1227">
        <v>0</v>
      </c>
      <c r="AJ1227">
        <v>0</v>
      </c>
      <c r="AK1227">
        <v>0</v>
      </c>
      <c r="AL1227">
        <v>0</v>
      </c>
      <c r="AM1227">
        <v>0</v>
      </c>
      <c r="AN1227">
        <v>0</v>
      </c>
      <c r="AO1227">
        <v>0</v>
      </c>
      <c r="AP1227" s="2">
        <v>42746</v>
      </c>
      <c r="AQ1227" t="s">
        <v>72</v>
      </c>
      <c r="AR1227" t="s">
        <v>72</v>
      </c>
      <c r="AS1227">
        <v>874</v>
      </c>
      <c r="AT1227" s="4">
        <v>42453</v>
      </c>
      <c r="AU1227" t="s">
        <v>73</v>
      </c>
      <c r="AV1227">
        <v>874</v>
      </c>
      <c r="AW1227" s="4">
        <v>42453</v>
      </c>
      <c r="BD1227">
        <v>0</v>
      </c>
      <c r="BN1227" t="s">
        <v>74</v>
      </c>
    </row>
    <row r="1228" spans="1:66" hidden="1">
      <c r="A1228">
        <v>100270</v>
      </c>
      <c r="B1228" s="3" t="s">
        <v>150</v>
      </c>
      <c r="C1228" s="1">
        <v>43300101</v>
      </c>
      <c r="D1228" t="s">
        <v>67</v>
      </c>
      <c r="H1228" t="str">
        <f t="shared" si="104"/>
        <v>03748120155</v>
      </c>
      <c r="I1228" t="str">
        <f t="shared" si="105"/>
        <v>01364640233</v>
      </c>
      <c r="K1228" t="str">
        <f>""</f>
        <v/>
      </c>
      <c r="M1228" t="s">
        <v>68</v>
      </c>
      <c r="N1228" t="str">
        <f t="shared" si="106"/>
        <v>FOR</v>
      </c>
      <c r="O1228" t="s">
        <v>69</v>
      </c>
      <c r="P1228" s="3" t="s">
        <v>75</v>
      </c>
      <c r="Q1228">
        <v>2015</v>
      </c>
      <c r="R1228" s="2">
        <v>42149</v>
      </c>
      <c r="S1228" s="2">
        <v>42166</v>
      </c>
      <c r="T1228" s="2">
        <v>42166</v>
      </c>
      <c r="U1228" s="2">
        <v>42226</v>
      </c>
      <c r="V1228" t="s">
        <v>71</v>
      </c>
      <c r="W1228" t="str">
        <f>"            31505204"</f>
        <v xml:space="preserve">            31505204</v>
      </c>
      <c r="X1228">
        <v>297.60000000000002</v>
      </c>
      <c r="Y1228">
        <v>0</v>
      </c>
      <c r="Z1228"/>
      <c r="AB1228"/>
      <c r="AC1228">
        <v>286.14999999999998</v>
      </c>
      <c r="AD1228">
        <v>227</v>
      </c>
      <c r="AE1228" s="1">
        <v>64956.05</v>
      </c>
      <c r="AF1228">
        <v>0</v>
      </c>
      <c r="AJ1228">
        <v>0</v>
      </c>
      <c r="AK1228">
        <v>0</v>
      </c>
      <c r="AL1228">
        <v>0</v>
      </c>
      <c r="AM1228">
        <v>0</v>
      </c>
      <c r="AN1228">
        <v>0</v>
      </c>
      <c r="AO1228">
        <v>0</v>
      </c>
      <c r="AP1228" s="2">
        <v>42746</v>
      </c>
      <c r="AQ1228" t="s">
        <v>72</v>
      </c>
      <c r="AR1228" t="s">
        <v>72</v>
      </c>
      <c r="AS1228">
        <v>874</v>
      </c>
      <c r="AT1228" s="4">
        <v>42453</v>
      </c>
      <c r="AU1228" t="s">
        <v>73</v>
      </c>
      <c r="AV1228">
        <v>874</v>
      </c>
      <c r="AW1228" s="4">
        <v>42453</v>
      </c>
      <c r="BD1228">
        <v>0</v>
      </c>
      <c r="BN1228" t="s">
        <v>74</v>
      </c>
    </row>
    <row r="1229" spans="1:66" hidden="1">
      <c r="A1229">
        <v>100270</v>
      </c>
      <c r="B1229" s="3" t="s">
        <v>150</v>
      </c>
      <c r="C1229" s="1">
        <v>43300101</v>
      </c>
      <c r="D1229" t="s">
        <v>67</v>
      </c>
      <c r="H1229" t="str">
        <f t="shared" si="104"/>
        <v>03748120155</v>
      </c>
      <c r="I1229" t="str">
        <f t="shared" si="105"/>
        <v>01364640233</v>
      </c>
      <c r="K1229" t="str">
        <f>""</f>
        <v/>
      </c>
      <c r="M1229" t="s">
        <v>68</v>
      </c>
      <c r="N1229" t="str">
        <f t="shared" si="106"/>
        <v>FOR</v>
      </c>
      <c r="O1229" t="s">
        <v>69</v>
      </c>
      <c r="P1229" s="3" t="s">
        <v>75</v>
      </c>
      <c r="Q1229">
        <v>2015</v>
      </c>
      <c r="R1229" s="2">
        <v>42149</v>
      </c>
      <c r="S1229" s="2">
        <v>42166</v>
      </c>
      <c r="T1229" s="2">
        <v>42166</v>
      </c>
      <c r="U1229" s="2">
        <v>42226</v>
      </c>
      <c r="V1229" t="s">
        <v>71</v>
      </c>
      <c r="W1229" t="str">
        <f>"            31505205"</f>
        <v xml:space="preserve">            31505205</v>
      </c>
      <c r="X1229" s="1">
        <v>1825.93</v>
      </c>
      <c r="Y1229">
        <v>0</v>
      </c>
      <c r="Z1229"/>
      <c r="AB1229"/>
      <c r="AC1229" s="1">
        <v>1755.7</v>
      </c>
      <c r="AD1229">
        <v>227</v>
      </c>
      <c r="AE1229" s="1">
        <v>398543.9</v>
      </c>
      <c r="AF1229">
        <v>0</v>
      </c>
      <c r="AJ1229">
        <v>0</v>
      </c>
      <c r="AK1229">
        <v>0</v>
      </c>
      <c r="AL1229">
        <v>0</v>
      </c>
      <c r="AM1229">
        <v>0</v>
      </c>
      <c r="AN1229">
        <v>0</v>
      </c>
      <c r="AO1229">
        <v>0</v>
      </c>
      <c r="AP1229" s="2">
        <v>42746</v>
      </c>
      <c r="AQ1229" t="s">
        <v>72</v>
      </c>
      <c r="AR1229" t="s">
        <v>72</v>
      </c>
      <c r="AS1229">
        <v>874</v>
      </c>
      <c r="AT1229" s="4">
        <v>42453</v>
      </c>
      <c r="AU1229" t="s">
        <v>73</v>
      </c>
      <c r="AV1229">
        <v>874</v>
      </c>
      <c r="AW1229" s="4">
        <v>42453</v>
      </c>
      <c r="BD1229">
        <v>0</v>
      </c>
      <c r="BN1229" t="s">
        <v>74</v>
      </c>
    </row>
    <row r="1230" spans="1:66" hidden="1">
      <c r="A1230">
        <v>100270</v>
      </c>
      <c r="B1230" s="3" t="s">
        <v>150</v>
      </c>
      <c r="C1230" s="1">
        <v>43300101</v>
      </c>
      <c r="D1230" t="s">
        <v>67</v>
      </c>
      <c r="H1230" t="str">
        <f t="shared" si="104"/>
        <v>03748120155</v>
      </c>
      <c r="I1230" t="str">
        <f t="shared" si="105"/>
        <v>01364640233</v>
      </c>
      <c r="K1230" t="str">
        <f>""</f>
        <v/>
      </c>
      <c r="M1230" t="s">
        <v>68</v>
      </c>
      <c r="N1230" t="str">
        <f t="shared" si="106"/>
        <v>FOR</v>
      </c>
      <c r="O1230" t="s">
        <v>69</v>
      </c>
      <c r="P1230" s="3" t="s">
        <v>75</v>
      </c>
      <c r="Q1230">
        <v>2015</v>
      </c>
      <c r="R1230" s="2">
        <v>42150</v>
      </c>
      <c r="S1230" s="2">
        <v>42166</v>
      </c>
      <c r="T1230" s="2">
        <v>42166</v>
      </c>
      <c r="U1230" s="2">
        <v>42226</v>
      </c>
      <c r="V1230" t="s">
        <v>71</v>
      </c>
      <c r="W1230" t="str">
        <f>"            31505238"</f>
        <v xml:space="preserve">            31505238</v>
      </c>
      <c r="X1230" s="1">
        <v>1351.86</v>
      </c>
      <c r="Y1230">
        <v>0</v>
      </c>
      <c r="Z1230"/>
      <c r="AB1230"/>
      <c r="AC1230" s="1">
        <v>1108.08</v>
      </c>
      <c r="AD1230">
        <v>227</v>
      </c>
      <c r="AE1230" s="1">
        <v>251534.16</v>
      </c>
      <c r="AF1230">
        <v>0</v>
      </c>
      <c r="AJ1230">
        <v>0</v>
      </c>
      <c r="AK1230">
        <v>0</v>
      </c>
      <c r="AL1230">
        <v>0</v>
      </c>
      <c r="AM1230">
        <v>0</v>
      </c>
      <c r="AN1230">
        <v>0</v>
      </c>
      <c r="AO1230">
        <v>0</v>
      </c>
      <c r="AP1230" s="2">
        <v>42746</v>
      </c>
      <c r="AQ1230" t="s">
        <v>72</v>
      </c>
      <c r="AR1230" t="s">
        <v>72</v>
      </c>
      <c r="AS1230">
        <v>874</v>
      </c>
      <c r="AT1230" s="4">
        <v>42453</v>
      </c>
      <c r="AU1230" t="s">
        <v>73</v>
      </c>
      <c r="AV1230">
        <v>874</v>
      </c>
      <c r="AW1230" s="4">
        <v>42453</v>
      </c>
      <c r="BD1230">
        <v>0</v>
      </c>
      <c r="BN1230" t="s">
        <v>74</v>
      </c>
    </row>
    <row r="1231" spans="1:66" hidden="1">
      <c r="A1231">
        <v>100270</v>
      </c>
      <c r="B1231" s="3" t="s">
        <v>150</v>
      </c>
      <c r="C1231" s="1">
        <v>43300101</v>
      </c>
      <c r="D1231" t="s">
        <v>67</v>
      </c>
      <c r="H1231" t="str">
        <f t="shared" si="104"/>
        <v>03748120155</v>
      </c>
      <c r="I1231" t="str">
        <f t="shared" si="105"/>
        <v>01364640233</v>
      </c>
      <c r="K1231" t="str">
        <f>""</f>
        <v/>
      </c>
      <c r="M1231" t="s">
        <v>68</v>
      </c>
      <c r="N1231" t="str">
        <f t="shared" si="106"/>
        <v>FOR</v>
      </c>
      <c r="O1231" t="s">
        <v>69</v>
      </c>
      <c r="P1231" s="3" t="s">
        <v>75</v>
      </c>
      <c r="Q1231">
        <v>2015</v>
      </c>
      <c r="R1231" s="2">
        <v>42159</v>
      </c>
      <c r="S1231" s="2">
        <v>42185</v>
      </c>
      <c r="T1231" s="2">
        <v>42181</v>
      </c>
      <c r="U1231" s="2">
        <v>42241</v>
      </c>
      <c r="V1231" t="s">
        <v>71</v>
      </c>
      <c r="W1231" t="str">
        <f>"            31505592"</f>
        <v xml:space="preserve">            31505592</v>
      </c>
      <c r="X1231" s="1">
        <v>13390.26</v>
      </c>
      <c r="Y1231">
        <v>0</v>
      </c>
      <c r="Z1231"/>
      <c r="AB1231"/>
      <c r="AC1231" s="1">
        <v>12875.25</v>
      </c>
      <c r="AD1231">
        <v>251</v>
      </c>
      <c r="AE1231" s="1">
        <v>3231687.75</v>
      </c>
      <c r="AF1231">
        <v>0</v>
      </c>
      <c r="AJ1231">
        <v>0</v>
      </c>
      <c r="AK1231">
        <v>0</v>
      </c>
      <c r="AL1231">
        <v>0</v>
      </c>
      <c r="AM1231">
        <v>0</v>
      </c>
      <c r="AN1231">
        <v>0</v>
      </c>
      <c r="AO1231">
        <v>0</v>
      </c>
      <c r="AP1231" s="2">
        <v>42746</v>
      </c>
      <c r="AQ1231" t="s">
        <v>72</v>
      </c>
      <c r="AR1231" t="s">
        <v>72</v>
      </c>
      <c r="AS1231">
        <v>1239</v>
      </c>
      <c r="AT1231" s="4">
        <v>42492</v>
      </c>
      <c r="AU1231" t="s">
        <v>73</v>
      </c>
      <c r="AV1231">
        <v>1239</v>
      </c>
      <c r="AW1231" s="4">
        <v>42492</v>
      </c>
      <c r="BD1231">
        <v>0</v>
      </c>
      <c r="BN1231" t="s">
        <v>74</v>
      </c>
    </row>
    <row r="1232" spans="1:66" hidden="1">
      <c r="A1232">
        <v>100270</v>
      </c>
      <c r="B1232" s="3" t="s">
        <v>150</v>
      </c>
      <c r="C1232" s="1">
        <v>43300101</v>
      </c>
      <c r="D1232" t="s">
        <v>67</v>
      </c>
      <c r="H1232" t="str">
        <f t="shared" si="104"/>
        <v>03748120155</v>
      </c>
      <c r="I1232" t="str">
        <f t="shared" si="105"/>
        <v>01364640233</v>
      </c>
      <c r="K1232" t="str">
        <f>""</f>
        <v/>
      </c>
      <c r="M1232" t="s">
        <v>68</v>
      </c>
      <c r="N1232" t="str">
        <f t="shared" si="106"/>
        <v>FOR</v>
      </c>
      <c r="O1232" t="s">
        <v>69</v>
      </c>
      <c r="P1232" s="3" t="s">
        <v>75</v>
      </c>
      <c r="Q1232">
        <v>2015</v>
      </c>
      <c r="R1232" s="2">
        <v>42178</v>
      </c>
      <c r="S1232" s="2">
        <v>42193</v>
      </c>
      <c r="T1232" s="2">
        <v>42192</v>
      </c>
      <c r="U1232" s="2">
        <v>42252</v>
      </c>
      <c r="V1232" t="s">
        <v>71</v>
      </c>
      <c r="W1232" t="str">
        <f>"            31506283"</f>
        <v xml:space="preserve">            31506283</v>
      </c>
      <c r="X1232">
        <v>297.60000000000002</v>
      </c>
      <c r="Y1232">
        <v>0</v>
      </c>
      <c r="Z1232"/>
      <c r="AB1232"/>
      <c r="AC1232">
        <v>286.14999999999998</v>
      </c>
      <c r="AD1232">
        <v>240</v>
      </c>
      <c r="AE1232" s="1">
        <v>68676</v>
      </c>
      <c r="AF1232">
        <v>0</v>
      </c>
      <c r="AJ1232">
        <v>0</v>
      </c>
      <c r="AK1232">
        <v>0</v>
      </c>
      <c r="AL1232">
        <v>0</v>
      </c>
      <c r="AM1232">
        <v>0</v>
      </c>
      <c r="AN1232">
        <v>0</v>
      </c>
      <c r="AO1232">
        <v>0</v>
      </c>
      <c r="AP1232" s="2">
        <v>42746</v>
      </c>
      <c r="AQ1232" t="s">
        <v>72</v>
      </c>
      <c r="AR1232" t="s">
        <v>72</v>
      </c>
      <c r="AS1232">
        <v>1239</v>
      </c>
      <c r="AT1232" s="4">
        <v>42492</v>
      </c>
      <c r="AU1232" t="s">
        <v>73</v>
      </c>
      <c r="AV1232">
        <v>1239</v>
      </c>
      <c r="AW1232" s="4">
        <v>42492</v>
      </c>
      <c r="BD1232">
        <v>0</v>
      </c>
      <c r="BN1232" t="s">
        <v>74</v>
      </c>
    </row>
    <row r="1233" spans="1:66" hidden="1">
      <c r="A1233">
        <v>100270</v>
      </c>
      <c r="B1233" s="3" t="s">
        <v>150</v>
      </c>
      <c r="C1233" s="1">
        <v>43300101</v>
      </c>
      <c r="D1233" t="s">
        <v>67</v>
      </c>
      <c r="H1233" t="str">
        <f t="shared" si="104"/>
        <v>03748120155</v>
      </c>
      <c r="I1233" t="str">
        <f t="shared" si="105"/>
        <v>01364640233</v>
      </c>
      <c r="K1233" t="str">
        <f>""</f>
        <v/>
      </c>
      <c r="M1233" t="s">
        <v>68</v>
      </c>
      <c r="N1233" t="str">
        <f t="shared" si="106"/>
        <v>FOR</v>
      </c>
      <c r="O1233" t="s">
        <v>69</v>
      </c>
      <c r="P1233" s="3" t="s">
        <v>75</v>
      </c>
      <c r="Q1233">
        <v>2015</v>
      </c>
      <c r="R1233" s="2">
        <v>42194</v>
      </c>
      <c r="S1233" s="2">
        <v>42207</v>
      </c>
      <c r="T1233" s="2">
        <v>42207</v>
      </c>
      <c r="U1233" s="2">
        <v>42267</v>
      </c>
      <c r="V1233" t="s">
        <v>71</v>
      </c>
      <c r="W1233" t="str">
        <f>"            31506871"</f>
        <v xml:space="preserve">            31506871</v>
      </c>
      <c r="X1233" s="1">
        <v>2253.66</v>
      </c>
      <c r="Y1233">
        <v>0</v>
      </c>
      <c r="Z1233"/>
      <c r="AB1233"/>
      <c r="AC1233" s="1">
        <v>2166.98</v>
      </c>
      <c r="AD1233">
        <v>310</v>
      </c>
      <c r="AE1233" s="1">
        <v>671763.8</v>
      </c>
      <c r="AF1233">
        <v>0</v>
      </c>
      <c r="AJ1233">
        <v>0</v>
      </c>
      <c r="AK1233">
        <v>0</v>
      </c>
      <c r="AL1233">
        <v>0</v>
      </c>
      <c r="AM1233">
        <v>0</v>
      </c>
      <c r="AN1233">
        <v>0</v>
      </c>
      <c r="AO1233">
        <v>0</v>
      </c>
      <c r="AP1233" s="2">
        <v>42746</v>
      </c>
      <c r="AQ1233" t="s">
        <v>72</v>
      </c>
      <c r="AR1233" t="s">
        <v>72</v>
      </c>
      <c r="AS1233">
        <v>1935</v>
      </c>
      <c r="AT1233" s="4">
        <v>42577</v>
      </c>
      <c r="AU1233" t="s">
        <v>73</v>
      </c>
      <c r="AV1233">
        <v>1935</v>
      </c>
      <c r="AW1233" s="4">
        <v>42577</v>
      </c>
      <c r="BD1233">
        <v>0</v>
      </c>
      <c r="BN1233" t="s">
        <v>74</v>
      </c>
    </row>
    <row r="1234" spans="1:66" hidden="1">
      <c r="A1234">
        <v>100270</v>
      </c>
      <c r="B1234" s="3" t="s">
        <v>150</v>
      </c>
      <c r="C1234" s="1">
        <v>43300101</v>
      </c>
      <c r="D1234" t="s">
        <v>67</v>
      </c>
      <c r="H1234" t="str">
        <f t="shared" ref="H1234:H1265" si="107">"03748120155"</f>
        <v>03748120155</v>
      </c>
      <c r="I1234" t="str">
        <f t="shared" ref="I1234:I1265" si="108">"01364640233"</f>
        <v>01364640233</v>
      </c>
      <c r="K1234" t="str">
        <f>""</f>
        <v/>
      </c>
      <c r="M1234" t="s">
        <v>68</v>
      </c>
      <c r="N1234" t="str">
        <f t="shared" ref="N1234:N1265" si="109">"FOR"</f>
        <v>FOR</v>
      </c>
      <c r="O1234" t="s">
        <v>69</v>
      </c>
      <c r="P1234" s="3" t="s">
        <v>75</v>
      </c>
      <c r="Q1234">
        <v>2015</v>
      </c>
      <c r="R1234" s="2">
        <v>42202</v>
      </c>
      <c r="S1234" s="2">
        <v>42208</v>
      </c>
      <c r="T1234" s="2">
        <v>42208</v>
      </c>
      <c r="U1234" s="2">
        <v>42268</v>
      </c>
      <c r="V1234" t="s">
        <v>71</v>
      </c>
      <c r="W1234" t="str">
        <f>"            31507187"</f>
        <v xml:space="preserve">            31507187</v>
      </c>
      <c r="X1234" s="1">
        <v>13343.46</v>
      </c>
      <c r="Y1234">
        <v>0</v>
      </c>
      <c r="Z1234"/>
      <c r="AB1234"/>
      <c r="AC1234" s="1">
        <v>12830.25</v>
      </c>
      <c r="AD1234">
        <v>309</v>
      </c>
      <c r="AE1234" s="1">
        <v>3964547.25</v>
      </c>
      <c r="AF1234">
        <v>0</v>
      </c>
      <c r="AJ1234">
        <v>0</v>
      </c>
      <c r="AK1234">
        <v>0</v>
      </c>
      <c r="AL1234">
        <v>0</v>
      </c>
      <c r="AM1234">
        <v>0</v>
      </c>
      <c r="AN1234">
        <v>0</v>
      </c>
      <c r="AO1234">
        <v>0</v>
      </c>
      <c r="AP1234" s="2">
        <v>42746</v>
      </c>
      <c r="AQ1234" t="s">
        <v>72</v>
      </c>
      <c r="AR1234" t="s">
        <v>72</v>
      </c>
      <c r="AS1234">
        <v>1935</v>
      </c>
      <c r="AT1234" s="4">
        <v>42577</v>
      </c>
      <c r="AU1234" t="s">
        <v>73</v>
      </c>
      <c r="AV1234">
        <v>1935</v>
      </c>
      <c r="AW1234" s="4">
        <v>42577</v>
      </c>
      <c r="BD1234">
        <v>0</v>
      </c>
      <c r="BN1234" t="s">
        <v>74</v>
      </c>
    </row>
    <row r="1235" spans="1:66" hidden="1">
      <c r="A1235">
        <v>100270</v>
      </c>
      <c r="B1235" s="3" t="s">
        <v>150</v>
      </c>
      <c r="C1235" s="1">
        <v>43300101</v>
      </c>
      <c r="D1235" t="s">
        <v>67</v>
      </c>
      <c r="H1235" t="str">
        <f t="shared" si="107"/>
        <v>03748120155</v>
      </c>
      <c r="I1235" t="str">
        <f t="shared" si="108"/>
        <v>01364640233</v>
      </c>
      <c r="K1235" t="str">
        <f>""</f>
        <v/>
      </c>
      <c r="M1235" t="s">
        <v>68</v>
      </c>
      <c r="N1235" t="str">
        <f t="shared" si="109"/>
        <v>FOR</v>
      </c>
      <c r="O1235" t="s">
        <v>69</v>
      </c>
      <c r="P1235" s="3" t="s">
        <v>75</v>
      </c>
      <c r="Q1235">
        <v>2015</v>
      </c>
      <c r="R1235" s="2">
        <v>42206</v>
      </c>
      <c r="S1235" s="2">
        <v>42216</v>
      </c>
      <c r="T1235" s="2">
        <v>42215</v>
      </c>
      <c r="U1235" s="2">
        <v>42275</v>
      </c>
      <c r="V1235" t="s">
        <v>71</v>
      </c>
      <c r="W1235" t="str">
        <f>"            31507294"</f>
        <v xml:space="preserve">            31507294</v>
      </c>
      <c r="X1235">
        <v>297.60000000000002</v>
      </c>
      <c r="Y1235">
        <v>0</v>
      </c>
      <c r="Z1235"/>
      <c r="AB1235"/>
      <c r="AC1235">
        <v>286.14999999999998</v>
      </c>
      <c r="AD1235">
        <v>302</v>
      </c>
      <c r="AE1235" s="1">
        <v>86417.3</v>
      </c>
      <c r="AF1235">
        <v>0</v>
      </c>
      <c r="AJ1235">
        <v>0</v>
      </c>
      <c r="AK1235">
        <v>0</v>
      </c>
      <c r="AL1235">
        <v>0</v>
      </c>
      <c r="AM1235">
        <v>0</v>
      </c>
      <c r="AN1235">
        <v>0</v>
      </c>
      <c r="AO1235">
        <v>0</v>
      </c>
      <c r="AP1235" s="2">
        <v>42746</v>
      </c>
      <c r="AQ1235" t="s">
        <v>72</v>
      </c>
      <c r="AR1235" t="s">
        <v>72</v>
      </c>
      <c r="AS1235">
        <v>1935</v>
      </c>
      <c r="AT1235" s="4">
        <v>42577</v>
      </c>
      <c r="AU1235" t="s">
        <v>73</v>
      </c>
      <c r="AV1235">
        <v>1935</v>
      </c>
      <c r="AW1235" s="4">
        <v>42577</v>
      </c>
      <c r="BD1235">
        <v>0</v>
      </c>
      <c r="BN1235" t="s">
        <v>74</v>
      </c>
    </row>
    <row r="1236" spans="1:66" hidden="1">
      <c r="A1236">
        <v>100270</v>
      </c>
      <c r="B1236" s="3" t="s">
        <v>150</v>
      </c>
      <c r="C1236" s="1">
        <v>43300101</v>
      </c>
      <c r="D1236" t="s">
        <v>67</v>
      </c>
      <c r="H1236" t="str">
        <f t="shared" si="107"/>
        <v>03748120155</v>
      </c>
      <c r="I1236" t="str">
        <f t="shared" si="108"/>
        <v>01364640233</v>
      </c>
      <c r="K1236" t="str">
        <f>""</f>
        <v/>
      </c>
      <c r="M1236" t="s">
        <v>68</v>
      </c>
      <c r="N1236" t="str">
        <f t="shared" si="109"/>
        <v>FOR</v>
      </c>
      <c r="O1236" t="s">
        <v>69</v>
      </c>
      <c r="P1236" s="3" t="s">
        <v>75</v>
      </c>
      <c r="Q1236">
        <v>2015</v>
      </c>
      <c r="R1236" s="2">
        <v>42206</v>
      </c>
      <c r="S1236" s="2">
        <v>42216</v>
      </c>
      <c r="T1236" s="2">
        <v>42215</v>
      </c>
      <c r="U1236" s="2">
        <v>42275</v>
      </c>
      <c r="V1236" t="s">
        <v>71</v>
      </c>
      <c r="W1236" t="str">
        <f>"            31507295"</f>
        <v xml:space="preserve">            31507295</v>
      </c>
      <c r="X1236">
        <v>297.60000000000002</v>
      </c>
      <c r="Y1236">
        <v>0</v>
      </c>
      <c r="Z1236"/>
      <c r="AB1236"/>
      <c r="AC1236">
        <v>286.14999999999998</v>
      </c>
      <c r="AD1236">
        <v>302</v>
      </c>
      <c r="AE1236" s="1">
        <v>86417.3</v>
      </c>
      <c r="AF1236">
        <v>0</v>
      </c>
      <c r="AJ1236">
        <v>0</v>
      </c>
      <c r="AK1236">
        <v>0</v>
      </c>
      <c r="AL1236">
        <v>0</v>
      </c>
      <c r="AM1236">
        <v>0</v>
      </c>
      <c r="AN1236">
        <v>0</v>
      </c>
      <c r="AO1236">
        <v>0</v>
      </c>
      <c r="AP1236" s="2">
        <v>42746</v>
      </c>
      <c r="AQ1236" t="s">
        <v>72</v>
      </c>
      <c r="AR1236" t="s">
        <v>72</v>
      </c>
      <c r="AS1236">
        <v>1935</v>
      </c>
      <c r="AT1236" s="4">
        <v>42577</v>
      </c>
      <c r="AU1236" t="s">
        <v>73</v>
      </c>
      <c r="AV1236">
        <v>1935</v>
      </c>
      <c r="AW1236" s="4">
        <v>42577</v>
      </c>
      <c r="BD1236">
        <v>0</v>
      </c>
      <c r="BN1236" t="s">
        <v>74</v>
      </c>
    </row>
    <row r="1237" spans="1:66" hidden="1">
      <c r="A1237">
        <v>100270</v>
      </c>
      <c r="B1237" s="3" t="s">
        <v>150</v>
      </c>
      <c r="C1237" s="1">
        <v>43300101</v>
      </c>
      <c r="D1237" t="s">
        <v>67</v>
      </c>
      <c r="H1237" t="str">
        <f t="shared" si="107"/>
        <v>03748120155</v>
      </c>
      <c r="I1237" t="str">
        <f t="shared" si="108"/>
        <v>01364640233</v>
      </c>
      <c r="K1237" t="str">
        <f>""</f>
        <v/>
      </c>
      <c r="M1237" t="s">
        <v>68</v>
      </c>
      <c r="N1237" t="str">
        <f t="shared" si="109"/>
        <v>FOR</v>
      </c>
      <c r="O1237" t="s">
        <v>69</v>
      </c>
      <c r="P1237" s="3" t="s">
        <v>75</v>
      </c>
      <c r="Q1237">
        <v>2015</v>
      </c>
      <c r="R1237" s="2">
        <v>42206</v>
      </c>
      <c r="S1237" s="2">
        <v>42216</v>
      </c>
      <c r="T1237" s="2">
        <v>42215</v>
      </c>
      <c r="U1237" s="2">
        <v>42275</v>
      </c>
      <c r="V1237" t="s">
        <v>71</v>
      </c>
      <c r="W1237" t="str">
        <f>"            31507296"</f>
        <v xml:space="preserve">            31507296</v>
      </c>
      <c r="X1237">
        <v>297.60000000000002</v>
      </c>
      <c r="Y1237">
        <v>0</v>
      </c>
      <c r="Z1237"/>
      <c r="AB1237"/>
      <c r="AC1237">
        <v>286.14999999999998</v>
      </c>
      <c r="AD1237">
        <v>302</v>
      </c>
      <c r="AE1237" s="1">
        <v>86417.3</v>
      </c>
      <c r="AF1237">
        <v>0</v>
      </c>
      <c r="AJ1237">
        <v>0</v>
      </c>
      <c r="AK1237">
        <v>0</v>
      </c>
      <c r="AL1237">
        <v>0</v>
      </c>
      <c r="AM1237">
        <v>0</v>
      </c>
      <c r="AN1237">
        <v>0</v>
      </c>
      <c r="AO1237">
        <v>0</v>
      </c>
      <c r="AP1237" s="2">
        <v>42746</v>
      </c>
      <c r="AQ1237" t="s">
        <v>72</v>
      </c>
      <c r="AR1237" t="s">
        <v>72</v>
      </c>
      <c r="AS1237">
        <v>1935</v>
      </c>
      <c r="AT1237" s="4">
        <v>42577</v>
      </c>
      <c r="AU1237" t="s">
        <v>73</v>
      </c>
      <c r="AV1237">
        <v>1935</v>
      </c>
      <c r="AW1237" s="4">
        <v>42577</v>
      </c>
      <c r="BD1237">
        <v>0</v>
      </c>
      <c r="BN1237" t="s">
        <v>74</v>
      </c>
    </row>
    <row r="1238" spans="1:66" hidden="1">
      <c r="A1238">
        <v>100270</v>
      </c>
      <c r="B1238" s="3" t="s">
        <v>150</v>
      </c>
      <c r="C1238" s="1">
        <v>43300101</v>
      </c>
      <c r="D1238" t="s">
        <v>67</v>
      </c>
      <c r="H1238" t="str">
        <f t="shared" si="107"/>
        <v>03748120155</v>
      </c>
      <c r="I1238" t="str">
        <f t="shared" si="108"/>
        <v>01364640233</v>
      </c>
      <c r="K1238" t="str">
        <f>""</f>
        <v/>
      </c>
      <c r="M1238" t="s">
        <v>68</v>
      </c>
      <c r="N1238" t="str">
        <f t="shared" si="109"/>
        <v>FOR</v>
      </c>
      <c r="O1238" t="s">
        <v>69</v>
      </c>
      <c r="P1238" s="3" t="s">
        <v>75</v>
      </c>
      <c r="Q1238">
        <v>2015</v>
      </c>
      <c r="R1238" s="2">
        <v>42206</v>
      </c>
      <c r="S1238" s="2">
        <v>42216</v>
      </c>
      <c r="T1238" s="2">
        <v>42215</v>
      </c>
      <c r="U1238" s="2">
        <v>42275</v>
      </c>
      <c r="V1238" t="s">
        <v>71</v>
      </c>
      <c r="W1238" t="str">
        <f>"            31507297"</f>
        <v xml:space="preserve">            31507297</v>
      </c>
      <c r="X1238">
        <v>297.60000000000002</v>
      </c>
      <c r="Y1238">
        <v>0</v>
      </c>
      <c r="Z1238"/>
      <c r="AB1238"/>
      <c r="AC1238">
        <v>286.14999999999998</v>
      </c>
      <c r="AD1238">
        <v>302</v>
      </c>
      <c r="AE1238" s="1">
        <v>86417.3</v>
      </c>
      <c r="AF1238">
        <v>0</v>
      </c>
      <c r="AJ1238">
        <v>0</v>
      </c>
      <c r="AK1238">
        <v>0</v>
      </c>
      <c r="AL1238">
        <v>0</v>
      </c>
      <c r="AM1238">
        <v>0</v>
      </c>
      <c r="AN1238">
        <v>0</v>
      </c>
      <c r="AO1238">
        <v>0</v>
      </c>
      <c r="AP1238" s="2">
        <v>42746</v>
      </c>
      <c r="AQ1238" t="s">
        <v>72</v>
      </c>
      <c r="AR1238" t="s">
        <v>72</v>
      </c>
      <c r="AS1238">
        <v>1935</v>
      </c>
      <c r="AT1238" s="4">
        <v>42577</v>
      </c>
      <c r="AU1238" t="s">
        <v>73</v>
      </c>
      <c r="AV1238">
        <v>1935</v>
      </c>
      <c r="AW1238" s="4">
        <v>42577</v>
      </c>
      <c r="BD1238">
        <v>0</v>
      </c>
      <c r="BN1238" t="s">
        <v>74</v>
      </c>
    </row>
    <row r="1239" spans="1:66" hidden="1">
      <c r="A1239">
        <v>100270</v>
      </c>
      <c r="B1239" s="3" t="s">
        <v>150</v>
      </c>
      <c r="C1239" s="1">
        <v>43300101</v>
      </c>
      <c r="D1239" t="s">
        <v>67</v>
      </c>
      <c r="H1239" t="str">
        <f t="shared" si="107"/>
        <v>03748120155</v>
      </c>
      <c r="I1239" t="str">
        <f t="shared" si="108"/>
        <v>01364640233</v>
      </c>
      <c r="K1239" t="str">
        <f>""</f>
        <v/>
      </c>
      <c r="M1239" t="s">
        <v>68</v>
      </c>
      <c r="N1239" t="str">
        <f t="shared" si="109"/>
        <v>FOR</v>
      </c>
      <c r="O1239" t="s">
        <v>69</v>
      </c>
      <c r="P1239" s="3" t="s">
        <v>75</v>
      </c>
      <c r="Q1239">
        <v>2015</v>
      </c>
      <c r="R1239" s="2">
        <v>42206</v>
      </c>
      <c r="S1239" s="2">
        <v>42216</v>
      </c>
      <c r="T1239" s="2">
        <v>42215</v>
      </c>
      <c r="U1239" s="2">
        <v>42275</v>
      </c>
      <c r="V1239" t="s">
        <v>71</v>
      </c>
      <c r="W1239" t="str">
        <f>"            31507298"</f>
        <v xml:space="preserve">            31507298</v>
      </c>
      <c r="X1239">
        <v>297.60000000000002</v>
      </c>
      <c r="Y1239">
        <v>0</v>
      </c>
      <c r="Z1239"/>
      <c r="AB1239"/>
      <c r="AC1239">
        <v>286.14999999999998</v>
      </c>
      <c r="AD1239">
        <v>302</v>
      </c>
      <c r="AE1239" s="1">
        <v>86417.3</v>
      </c>
      <c r="AF1239">
        <v>0</v>
      </c>
      <c r="AJ1239">
        <v>0</v>
      </c>
      <c r="AK1239">
        <v>0</v>
      </c>
      <c r="AL1239">
        <v>0</v>
      </c>
      <c r="AM1239">
        <v>0</v>
      </c>
      <c r="AN1239">
        <v>0</v>
      </c>
      <c r="AO1239">
        <v>0</v>
      </c>
      <c r="AP1239" s="2">
        <v>42746</v>
      </c>
      <c r="AQ1239" t="s">
        <v>72</v>
      </c>
      <c r="AR1239" t="s">
        <v>72</v>
      </c>
      <c r="AS1239">
        <v>1935</v>
      </c>
      <c r="AT1239" s="4">
        <v>42577</v>
      </c>
      <c r="AU1239" t="s">
        <v>73</v>
      </c>
      <c r="AV1239">
        <v>1935</v>
      </c>
      <c r="AW1239" s="4">
        <v>42577</v>
      </c>
      <c r="BD1239">
        <v>0</v>
      </c>
      <c r="BN1239" t="s">
        <v>74</v>
      </c>
    </row>
    <row r="1240" spans="1:66" hidden="1">
      <c r="A1240">
        <v>100270</v>
      </c>
      <c r="B1240" s="3" t="s">
        <v>150</v>
      </c>
      <c r="C1240" s="1">
        <v>43300101</v>
      </c>
      <c r="D1240" t="s">
        <v>67</v>
      </c>
      <c r="H1240" t="str">
        <f t="shared" si="107"/>
        <v>03748120155</v>
      </c>
      <c r="I1240" t="str">
        <f t="shared" si="108"/>
        <v>01364640233</v>
      </c>
      <c r="K1240" t="str">
        <f>""</f>
        <v/>
      </c>
      <c r="M1240" t="s">
        <v>68</v>
      </c>
      <c r="N1240" t="str">
        <f t="shared" si="109"/>
        <v>FOR</v>
      </c>
      <c r="O1240" t="s">
        <v>69</v>
      </c>
      <c r="P1240" s="3" t="s">
        <v>75</v>
      </c>
      <c r="Q1240">
        <v>2015</v>
      </c>
      <c r="R1240" s="2">
        <v>42212</v>
      </c>
      <c r="S1240" s="2">
        <v>42223</v>
      </c>
      <c r="T1240" s="2">
        <v>42221</v>
      </c>
      <c r="U1240" s="2">
        <v>42281</v>
      </c>
      <c r="V1240" t="s">
        <v>71</v>
      </c>
      <c r="W1240" t="str">
        <f>"            31507480"</f>
        <v xml:space="preserve">            31507480</v>
      </c>
      <c r="X1240" s="1">
        <v>2543.1799999999998</v>
      </c>
      <c r="Y1240">
        <v>0</v>
      </c>
      <c r="Z1240"/>
      <c r="AB1240"/>
      <c r="AC1240" s="1">
        <v>2445.37</v>
      </c>
      <c r="AD1240">
        <v>296</v>
      </c>
      <c r="AE1240" s="1">
        <v>723829.52</v>
      </c>
      <c r="AF1240">
        <v>0</v>
      </c>
      <c r="AJ1240">
        <v>0</v>
      </c>
      <c r="AK1240">
        <v>0</v>
      </c>
      <c r="AL1240">
        <v>0</v>
      </c>
      <c r="AM1240">
        <v>0</v>
      </c>
      <c r="AN1240">
        <v>0</v>
      </c>
      <c r="AO1240">
        <v>0</v>
      </c>
      <c r="AP1240" s="2">
        <v>42746</v>
      </c>
      <c r="AQ1240" t="s">
        <v>72</v>
      </c>
      <c r="AR1240" t="s">
        <v>72</v>
      </c>
      <c r="AS1240">
        <v>1935</v>
      </c>
      <c r="AT1240" s="4">
        <v>42577</v>
      </c>
      <c r="AU1240" t="s">
        <v>73</v>
      </c>
      <c r="AV1240">
        <v>1935</v>
      </c>
      <c r="AW1240" s="4">
        <v>42577</v>
      </c>
      <c r="BD1240">
        <v>0</v>
      </c>
      <c r="BN1240" t="s">
        <v>74</v>
      </c>
    </row>
    <row r="1241" spans="1:66" hidden="1">
      <c r="A1241">
        <v>100270</v>
      </c>
      <c r="B1241" s="3" t="s">
        <v>150</v>
      </c>
      <c r="C1241" s="1">
        <v>43300101</v>
      </c>
      <c r="D1241" t="s">
        <v>67</v>
      </c>
      <c r="H1241" t="str">
        <f t="shared" si="107"/>
        <v>03748120155</v>
      </c>
      <c r="I1241" t="str">
        <f t="shared" si="108"/>
        <v>01364640233</v>
      </c>
      <c r="K1241" t="str">
        <f>""</f>
        <v/>
      </c>
      <c r="M1241" t="s">
        <v>68</v>
      </c>
      <c r="N1241" t="str">
        <f t="shared" si="109"/>
        <v>FOR</v>
      </c>
      <c r="O1241" t="s">
        <v>69</v>
      </c>
      <c r="P1241" s="3" t="s">
        <v>75</v>
      </c>
      <c r="Q1241">
        <v>2015</v>
      </c>
      <c r="R1241" s="2">
        <v>42212</v>
      </c>
      <c r="S1241" s="2">
        <v>42223</v>
      </c>
      <c r="T1241" s="2">
        <v>42221</v>
      </c>
      <c r="U1241" s="2">
        <v>42281</v>
      </c>
      <c r="V1241" t="s">
        <v>71</v>
      </c>
      <c r="W1241" t="str">
        <f>"            31507481"</f>
        <v xml:space="preserve">            31507481</v>
      </c>
      <c r="X1241">
        <v>297.60000000000002</v>
      </c>
      <c r="Y1241">
        <v>0</v>
      </c>
      <c r="Z1241"/>
      <c r="AB1241"/>
      <c r="AC1241">
        <v>286.14999999999998</v>
      </c>
      <c r="AD1241">
        <v>296</v>
      </c>
      <c r="AE1241" s="1">
        <v>84700.4</v>
      </c>
      <c r="AF1241">
        <v>0</v>
      </c>
      <c r="AJ1241">
        <v>0</v>
      </c>
      <c r="AK1241">
        <v>0</v>
      </c>
      <c r="AL1241">
        <v>0</v>
      </c>
      <c r="AM1241">
        <v>0</v>
      </c>
      <c r="AN1241">
        <v>0</v>
      </c>
      <c r="AO1241">
        <v>0</v>
      </c>
      <c r="AP1241" s="2">
        <v>42746</v>
      </c>
      <c r="AQ1241" t="s">
        <v>72</v>
      </c>
      <c r="AR1241" t="s">
        <v>72</v>
      </c>
      <c r="AS1241">
        <v>1935</v>
      </c>
      <c r="AT1241" s="4">
        <v>42577</v>
      </c>
      <c r="AU1241" t="s">
        <v>73</v>
      </c>
      <c r="AV1241">
        <v>1935</v>
      </c>
      <c r="AW1241" s="4">
        <v>42577</v>
      </c>
      <c r="BD1241">
        <v>0</v>
      </c>
      <c r="BN1241" t="s">
        <v>74</v>
      </c>
    </row>
    <row r="1242" spans="1:66" hidden="1">
      <c r="A1242">
        <v>100270</v>
      </c>
      <c r="B1242" s="3" t="s">
        <v>150</v>
      </c>
      <c r="C1242" s="1">
        <v>43300101</v>
      </c>
      <c r="D1242" t="s">
        <v>67</v>
      </c>
      <c r="H1242" t="str">
        <f t="shared" si="107"/>
        <v>03748120155</v>
      </c>
      <c r="I1242" t="str">
        <f t="shared" si="108"/>
        <v>01364640233</v>
      </c>
      <c r="K1242" t="str">
        <f>""</f>
        <v/>
      </c>
      <c r="M1242" t="s">
        <v>68</v>
      </c>
      <c r="N1242" t="str">
        <f t="shared" si="109"/>
        <v>FOR</v>
      </c>
      <c r="O1242" t="s">
        <v>69</v>
      </c>
      <c r="P1242" s="3" t="s">
        <v>75</v>
      </c>
      <c r="Q1242">
        <v>2015</v>
      </c>
      <c r="R1242" s="2">
        <v>42212</v>
      </c>
      <c r="S1242" s="2">
        <v>42223</v>
      </c>
      <c r="T1242" s="2">
        <v>42221</v>
      </c>
      <c r="U1242" s="2">
        <v>42281</v>
      </c>
      <c r="V1242" t="s">
        <v>71</v>
      </c>
      <c r="W1242" t="str">
        <f>"            31507483"</f>
        <v xml:space="preserve">            31507483</v>
      </c>
      <c r="X1242">
        <v>294.57</v>
      </c>
      <c r="Y1242">
        <v>0</v>
      </c>
      <c r="Z1242"/>
      <c r="AB1242"/>
      <c r="AC1242">
        <v>283.24</v>
      </c>
      <c r="AD1242">
        <v>296</v>
      </c>
      <c r="AE1242" s="1">
        <v>83839.039999999994</v>
      </c>
      <c r="AF1242">
        <v>0</v>
      </c>
      <c r="AJ1242">
        <v>0</v>
      </c>
      <c r="AK1242">
        <v>0</v>
      </c>
      <c r="AL1242">
        <v>0</v>
      </c>
      <c r="AM1242">
        <v>0</v>
      </c>
      <c r="AN1242">
        <v>0</v>
      </c>
      <c r="AO1242">
        <v>0</v>
      </c>
      <c r="AP1242" s="2">
        <v>42746</v>
      </c>
      <c r="AQ1242" t="s">
        <v>72</v>
      </c>
      <c r="AR1242" t="s">
        <v>72</v>
      </c>
      <c r="AS1242">
        <v>1935</v>
      </c>
      <c r="AT1242" s="4">
        <v>42577</v>
      </c>
      <c r="AU1242" t="s">
        <v>73</v>
      </c>
      <c r="AV1242">
        <v>1935</v>
      </c>
      <c r="AW1242" s="4">
        <v>42577</v>
      </c>
      <c r="BD1242">
        <v>0</v>
      </c>
      <c r="BN1242" t="s">
        <v>74</v>
      </c>
    </row>
    <row r="1243" spans="1:66" hidden="1">
      <c r="A1243">
        <v>100270</v>
      </c>
      <c r="B1243" s="3" t="s">
        <v>150</v>
      </c>
      <c r="C1243" s="1">
        <v>43300101</v>
      </c>
      <c r="D1243" t="s">
        <v>67</v>
      </c>
      <c r="H1243" t="str">
        <f t="shared" si="107"/>
        <v>03748120155</v>
      </c>
      <c r="I1243" t="str">
        <f t="shared" si="108"/>
        <v>01364640233</v>
      </c>
      <c r="K1243" t="str">
        <f>""</f>
        <v/>
      </c>
      <c r="M1243" t="s">
        <v>68</v>
      </c>
      <c r="N1243" t="str">
        <f t="shared" si="109"/>
        <v>FOR</v>
      </c>
      <c r="O1243" t="s">
        <v>69</v>
      </c>
      <c r="P1243" s="3" t="s">
        <v>75</v>
      </c>
      <c r="Q1243">
        <v>2015</v>
      </c>
      <c r="R1243" s="2">
        <v>42212</v>
      </c>
      <c r="S1243" s="2">
        <v>42223</v>
      </c>
      <c r="T1243" s="2">
        <v>42221</v>
      </c>
      <c r="U1243" s="2">
        <v>42281</v>
      </c>
      <c r="V1243" t="s">
        <v>71</v>
      </c>
      <c r="W1243" t="str">
        <f>"            31507484"</f>
        <v xml:space="preserve">            31507484</v>
      </c>
      <c r="X1243">
        <v>294.57</v>
      </c>
      <c r="Y1243">
        <v>0</v>
      </c>
      <c r="Z1243"/>
      <c r="AB1243"/>
      <c r="AC1243">
        <v>283.24</v>
      </c>
      <c r="AD1243">
        <v>296</v>
      </c>
      <c r="AE1243" s="1">
        <v>83839.039999999994</v>
      </c>
      <c r="AF1243">
        <v>0</v>
      </c>
      <c r="AJ1243">
        <v>0</v>
      </c>
      <c r="AK1243">
        <v>0</v>
      </c>
      <c r="AL1243">
        <v>0</v>
      </c>
      <c r="AM1243">
        <v>0</v>
      </c>
      <c r="AN1243">
        <v>0</v>
      </c>
      <c r="AO1243">
        <v>0</v>
      </c>
      <c r="AP1243" s="2">
        <v>42746</v>
      </c>
      <c r="AQ1243" t="s">
        <v>72</v>
      </c>
      <c r="AR1243" t="s">
        <v>72</v>
      </c>
      <c r="AS1243">
        <v>1935</v>
      </c>
      <c r="AT1243" s="4">
        <v>42577</v>
      </c>
      <c r="AU1243" t="s">
        <v>73</v>
      </c>
      <c r="AV1243">
        <v>1935</v>
      </c>
      <c r="AW1243" s="4">
        <v>42577</v>
      </c>
      <c r="BD1243">
        <v>0</v>
      </c>
      <c r="BN1243" t="s">
        <v>74</v>
      </c>
    </row>
    <row r="1244" spans="1:66" hidden="1">
      <c r="A1244">
        <v>100270</v>
      </c>
      <c r="B1244" s="3" t="s">
        <v>150</v>
      </c>
      <c r="C1244" s="1">
        <v>43300101</v>
      </c>
      <c r="D1244" t="s">
        <v>67</v>
      </c>
      <c r="H1244" t="str">
        <f t="shared" si="107"/>
        <v>03748120155</v>
      </c>
      <c r="I1244" t="str">
        <f t="shared" si="108"/>
        <v>01364640233</v>
      </c>
      <c r="K1244" t="str">
        <f>""</f>
        <v/>
      </c>
      <c r="M1244" t="s">
        <v>68</v>
      </c>
      <c r="N1244" t="str">
        <f t="shared" si="109"/>
        <v>FOR</v>
      </c>
      <c r="O1244" t="s">
        <v>69</v>
      </c>
      <c r="P1244" s="3" t="s">
        <v>75</v>
      </c>
      <c r="Q1244">
        <v>2015</v>
      </c>
      <c r="R1244" s="2">
        <v>42221</v>
      </c>
      <c r="S1244" s="2">
        <v>42233</v>
      </c>
      <c r="T1244" s="2">
        <v>42230</v>
      </c>
      <c r="U1244" s="2">
        <v>42290</v>
      </c>
      <c r="V1244" t="s">
        <v>71</v>
      </c>
      <c r="W1244" t="str">
        <f>"            31507806"</f>
        <v xml:space="preserve">            31507806</v>
      </c>
      <c r="X1244">
        <v>297.60000000000002</v>
      </c>
      <c r="Y1244">
        <v>0</v>
      </c>
      <c r="Z1244"/>
      <c r="AB1244"/>
      <c r="AC1244">
        <v>286.14999999999998</v>
      </c>
      <c r="AD1244">
        <v>289</v>
      </c>
      <c r="AE1244" s="1">
        <v>82697.350000000006</v>
      </c>
      <c r="AF1244">
        <v>0</v>
      </c>
      <c r="AJ1244">
        <v>0</v>
      </c>
      <c r="AK1244">
        <v>0</v>
      </c>
      <c r="AL1244">
        <v>0</v>
      </c>
      <c r="AM1244">
        <v>0</v>
      </c>
      <c r="AN1244">
        <v>0</v>
      </c>
      <c r="AO1244">
        <v>0</v>
      </c>
      <c r="AP1244" s="2">
        <v>42746</v>
      </c>
      <c r="AQ1244" t="s">
        <v>72</v>
      </c>
      <c r="AR1244" t="s">
        <v>72</v>
      </c>
      <c r="AS1244">
        <v>2023</v>
      </c>
      <c r="AT1244" s="4">
        <v>42579</v>
      </c>
      <c r="AU1244" t="s">
        <v>73</v>
      </c>
      <c r="AV1244">
        <v>2023</v>
      </c>
      <c r="AW1244" s="4">
        <v>42579</v>
      </c>
      <c r="BD1244">
        <v>0</v>
      </c>
      <c r="BN1244" t="s">
        <v>74</v>
      </c>
    </row>
    <row r="1245" spans="1:66" hidden="1">
      <c r="A1245">
        <v>100270</v>
      </c>
      <c r="B1245" s="3" t="s">
        <v>150</v>
      </c>
      <c r="C1245" s="1">
        <v>43300101</v>
      </c>
      <c r="D1245" t="s">
        <v>67</v>
      </c>
      <c r="H1245" t="str">
        <f t="shared" si="107"/>
        <v>03748120155</v>
      </c>
      <c r="I1245" t="str">
        <f t="shared" si="108"/>
        <v>01364640233</v>
      </c>
      <c r="K1245" t="str">
        <f>""</f>
        <v/>
      </c>
      <c r="M1245" t="s">
        <v>68</v>
      </c>
      <c r="N1245" t="str">
        <f t="shared" si="109"/>
        <v>FOR</v>
      </c>
      <c r="O1245" t="s">
        <v>69</v>
      </c>
      <c r="P1245" s="3" t="s">
        <v>75</v>
      </c>
      <c r="Q1245">
        <v>2015</v>
      </c>
      <c r="R1245" s="2">
        <v>42236</v>
      </c>
      <c r="S1245" s="2">
        <v>42248</v>
      </c>
      <c r="T1245" s="2">
        <v>42247</v>
      </c>
      <c r="U1245" s="2">
        <v>42307</v>
      </c>
      <c r="V1245" t="s">
        <v>71</v>
      </c>
      <c r="W1245" t="str">
        <f>"            31508062"</f>
        <v xml:space="preserve">            31508062</v>
      </c>
      <c r="X1245">
        <v>294.57</v>
      </c>
      <c r="Y1245">
        <v>0</v>
      </c>
      <c r="Z1245"/>
      <c r="AB1245"/>
      <c r="AC1245">
        <v>283.24</v>
      </c>
      <c r="AD1245">
        <v>272</v>
      </c>
      <c r="AE1245" s="1">
        <v>77041.279999999999</v>
      </c>
      <c r="AF1245">
        <v>0</v>
      </c>
      <c r="AJ1245">
        <v>0</v>
      </c>
      <c r="AK1245">
        <v>0</v>
      </c>
      <c r="AL1245">
        <v>0</v>
      </c>
      <c r="AM1245">
        <v>0</v>
      </c>
      <c r="AN1245">
        <v>0</v>
      </c>
      <c r="AO1245">
        <v>0</v>
      </c>
      <c r="AP1245" s="2">
        <v>42746</v>
      </c>
      <c r="AQ1245" t="s">
        <v>72</v>
      </c>
      <c r="AR1245" t="s">
        <v>72</v>
      </c>
      <c r="AS1245">
        <v>2023</v>
      </c>
      <c r="AT1245" s="4">
        <v>42579</v>
      </c>
      <c r="AU1245" t="s">
        <v>73</v>
      </c>
      <c r="AV1245">
        <v>2023</v>
      </c>
      <c r="AW1245" s="4">
        <v>42579</v>
      </c>
      <c r="BD1245">
        <v>0</v>
      </c>
      <c r="BN1245" t="s">
        <v>74</v>
      </c>
    </row>
    <row r="1246" spans="1:66" hidden="1">
      <c r="A1246">
        <v>100270</v>
      </c>
      <c r="B1246" s="3" t="s">
        <v>150</v>
      </c>
      <c r="C1246" s="1">
        <v>43300101</v>
      </c>
      <c r="D1246" t="s">
        <v>67</v>
      </c>
      <c r="H1246" t="str">
        <f t="shared" si="107"/>
        <v>03748120155</v>
      </c>
      <c r="I1246" t="str">
        <f t="shared" si="108"/>
        <v>01364640233</v>
      </c>
      <c r="K1246" t="str">
        <f>""</f>
        <v/>
      </c>
      <c r="M1246" t="s">
        <v>68</v>
      </c>
      <c r="N1246" t="str">
        <f t="shared" si="109"/>
        <v>FOR</v>
      </c>
      <c r="O1246" t="s">
        <v>69</v>
      </c>
      <c r="P1246" s="3" t="s">
        <v>75</v>
      </c>
      <c r="Q1246">
        <v>2015</v>
      </c>
      <c r="R1246" s="2">
        <v>42249</v>
      </c>
      <c r="S1246" s="2">
        <v>42269</v>
      </c>
      <c r="T1246" s="2">
        <v>42269</v>
      </c>
      <c r="U1246" s="2">
        <v>42329</v>
      </c>
      <c r="V1246" t="s">
        <v>71</v>
      </c>
      <c r="W1246" t="str">
        <f>"            31508360"</f>
        <v xml:space="preserve">            31508360</v>
      </c>
      <c r="X1246" s="1">
        <v>13343.46</v>
      </c>
      <c r="Y1246">
        <v>0</v>
      </c>
      <c r="Z1246"/>
      <c r="AB1246"/>
      <c r="AC1246" s="1">
        <v>12830.25</v>
      </c>
      <c r="AD1246">
        <v>290</v>
      </c>
      <c r="AE1246" s="1">
        <v>3720772.5</v>
      </c>
      <c r="AF1246">
        <v>0</v>
      </c>
      <c r="AJ1246">
        <v>0</v>
      </c>
      <c r="AK1246">
        <v>0</v>
      </c>
      <c r="AL1246">
        <v>0</v>
      </c>
      <c r="AM1246">
        <v>0</v>
      </c>
      <c r="AN1246">
        <v>0</v>
      </c>
      <c r="AO1246">
        <v>0</v>
      </c>
      <c r="AP1246" s="2">
        <v>42746</v>
      </c>
      <c r="AQ1246" t="s">
        <v>72</v>
      </c>
      <c r="AR1246" t="s">
        <v>72</v>
      </c>
      <c r="AS1246">
        <v>2285</v>
      </c>
      <c r="AT1246" s="4">
        <v>42619</v>
      </c>
      <c r="AU1246" t="s">
        <v>73</v>
      </c>
      <c r="AV1246">
        <v>2285</v>
      </c>
      <c r="AW1246" s="4">
        <v>42619</v>
      </c>
      <c r="BD1246">
        <v>0</v>
      </c>
      <c r="BN1246" t="s">
        <v>74</v>
      </c>
    </row>
    <row r="1247" spans="1:66" hidden="1">
      <c r="A1247">
        <v>100270</v>
      </c>
      <c r="B1247" s="3" t="s">
        <v>150</v>
      </c>
      <c r="C1247" s="1">
        <v>43300101</v>
      </c>
      <c r="D1247" t="s">
        <v>67</v>
      </c>
      <c r="H1247" t="str">
        <f t="shared" si="107"/>
        <v>03748120155</v>
      </c>
      <c r="I1247" t="str">
        <f t="shared" si="108"/>
        <v>01364640233</v>
      </c>
      <c r="K1247" t="str">
        <f>""</f>
        <v/>
      </c>
      <c r="M1247" t="s">
        <v>68</v>
      </c>
      <c r="N1247" t="str">
        <f t="shared" si="109"/>
        <v>FOR</v>
      </c>
      <c r="O1247" t="s">
        <v>69</v>
      </c>
      <c r="P1247" s="3" t="s">
        <v>75</v>
      </c>
      <c r="Q1247">
        <v>2015</v>
      </c>
      <c r="R1247" s="2">
        <v>42262</v>
      </c>
      <c r="S1247" s="2">
        <v>42286</v>
      </c>
      <c r="T1247" s="2">
        <v>42284</v>
      </c>
      <c r="U1247" s="2">
        <v>42344</v>
      </c>
      <c r="V1247" t="s">
        <v>71</v>
      </c>
      <c r="W1247" t="str">
        <f>"            31508722"</f>
        <v xml:space="preserve">            31508722</v>
      </c>
      <c r="X1247" s="1">
        <v>2253.66</v>
      </c>
      <c r="Y1247">
        <v>0</v>
      </c>
      <c r="Z1247"/>
      <c r="AB1247"/>
      <c r="AC1247" s="1">
        <v>2166.98</v>
      </c>
      <c r="AD1247">
        <v>275</v>
      </c>
      <c r="AE1247" s="1">
        <v>595919.5</v>
      </c>
      <c r="AF1247">
        <v>0</v>
      </c>
      <c r="AJ1247">
        <v>0</v>
      </c>
      <c r="AK1247">
        <v>0</v>
      </c>
      <c r="AL1247">
        <v>0</v>
      </c>
      <c r="AM1247">
        <v>0</v>
      </c>
      <c r="AN1247">
        <v>0</v>
      </c>
      <c r="AO1247">
        <v>0</v>
      </c>
      <c r="AP1247" s="2">
        <v>42746</v>
      </c>
      <c r="AQ1247" t="s">
        <v>72</v>
      </c>
      <c r="AR1247" t="s">
        <v>72</v>
      </c>
      <c r="AS1247">
        <v>2285</v>
      </c>
      <c r="AT1247" s="4">
        <v>42619</v>
      </c>
      <c r="AU1247" t="s">
        <v>73</v>
      </c>
      <c r="AV1247">
        <v>2285</v>
      </c>
      <c r="AW1247" s="4">
        <v>42619</v>
      </c>
      <c r="BD1247">
        <v>0</v>
      </c>
      <c r="BN1247" t="s">
        <v>74</v>
      </c>
    </row>
    <row r="1248" spans="1:66" hidden="1">
      <c r="A1248">
        <v>100270</v>
      </c>
      <c r="B1248" s="3" t="s">
        <v>150</v>
      </c>
      <c r="C1248" s="1">
        <v>43300101</v>
      </c>
      <c r="D1248" t="s">
        <v>67</v>
      </c>
      <c r="H1248" t="str">
        <f t="shared" si="107"/>
        <v>03748120155</v>
      </c>
      <c r="I1248" t="str">
        <f t="shared" si="108"/>
        <v>01364640233</v>
      </c>
      <c r="K1248" t="str">
        <f>""</f>
        <v/>
      </c>
      <c r="M1248" t="s">
        <v>68</v>
      </c>
      <c r="N1248" t="str">
        <f t="shared" si="109"/>
        <v>FOR</v>
      </c>
      <c r="O1248" t="s">
        <v>69</v>
      </c>
      <c r="P1248" s="3" t="s">
        <v>75</v>
      </c>
      <c r="Q1248">
        <v>2015</v>
      </c>
      <c r="R1248" s="2">
        <v>42262</v>
      </c>
      <c r="S1248" s="2">
        <v>42286</v>
      </c>
      <c r="T1248" s="2">
        <v>42284</v>
      </c>
      <c r="U1248" s="2">
        <v>42344</v>
      </c>
      <c r="V1248" t="s">
        <v>71</v>
      </c>
      <c r="W1248" t="str">
        <f>"            31508723"</f>
        <v xml:space="preserve">            31508723</v>
      </c>
      <c r="X1248">
        <v>294.57</v>
      </c>
      <c r="Y1248">
        <v>0</v>
      </c>
      <c r="Z1248"/>
      <c r="AB1248"/>
      <c r="AC1248">
        <v>283.24</v>
      </c>
      <c r="AD1248">
        <v>275</v>
      </c>
      <c r="AE1248" s="1">
        <v>77891</v>
      </c>
      <c r="AF1248">
        <v>0</v>
      </c>
      <c r="AJ1248">
        <v>0</v>
      </c>
      <c r="AK1248">
        <v>0</v>
      </c>
      <c r="AL1248">
        <v>0</v>
      </c>
      <c r="AM1248">
        <v>0</v>
      </c>
      <c r="AN1248">
        <v>0</v>
      </c>
      <c r="AO1248">
        <v>0</v>
      </c>
      <c r="AP1248" s="2">
        <v>42746</v>
      </c>
      <c r="AQ1248" t="s">
        <v>72</v>
      </c>
      <c r="AR1248" t="s">
        <v>72</v>
      </c>
      <c r="AS1248">
        <v>2285</v>
      </c>
      <c r="AT1248" s="4">
        <v>42619</v>
      </c>
      <c r="AU1248" t="s">
        <v>73</v>
      </c>
      <c r="AV1248">
        <v>2285</v>
      </c>
      <c r="AW1248" s="4">
        <v>42619</v>
      </c>
      <c r="BD1248">
        <v>0</v>
      </c>
      <c r="BN1248" t="s">
        <v>74</v>
      </c>
    </row>
    <row r="1249" spans="1:66" hidden="1">
      <c r="A1249">
        <v>100270</v>
      </c>
      <c r="B1249" s="3" t="s">
        <v>150</v>
      </c>
      <c r="C1249" s="1">
        <v>43300101</v>
      </c>
      <c r="D1249" t="s">
        <v>67</v>
      </c>
      <c r="H1249" t="str">
        <f t="shared" si="107"/>
        <v>03748120155</v>
      </c>
      <c r="I1249" t="str">
        <f t="shared" si="108"/>
        <v>01364640233</v>
      </c>
      <c r="K1249" t="str">
        <f>""</f>
        <v/>
      </c>
      <c r="M1249" t="s">
        <v>68</v>
      </c>
      <c r="N1249" t="str">
        <f t="shared" si="109"/>
        <v>FOR</v>
      </c>
      <c r="O1249" t="s">
        <v>69</v>
      </c>
      <c r="P1249" s="3" t="s">
        <v>75</v>
      </c>
      <c r="Q1249">
        <v>2015</v>
      </c>
      <c r="R1249" s="2">
        <v>42262</v>
      </c>
      <c r="S1249" s="2">
        <v>42286</v>
      </c>
      <c r="T1249" s="2">
        <v>42284</v>
      </c>
      <c r="U1249" s="2">
        <v>42344</v>
      </c>
      <c r="V1249" t="s">
        <v>71</v>
      </c>
      <c r="W1249" t="str">
        <f>"            31508724"</f>
        <v xml:space="preserve">            31508724</v>
      </c>
      <c r="X1249">
        <v>297.60000000000002</v>
      </c>
      <c r="Y1249">
        <v>0</v>
      </c>
      <c r="Z1249"/>
      <c r="AB1249"/>
      <c r="AC1249">
        <v>286.14999999999998</v>
      </c>
      <c r="AD1249">
        <v>275</v>
      </c>
      <c r="AE1249" s="1">
        <v>78691.25</v>
      </c>
      <c r="AF1249">
        <v>0</v>
      </c>
      <c r="AJ1249">
        <v>0</v>
      </c>
      <c r="AK1249">
        <v>0</v>
      </c>
      <c r="AL1249">
        <v>0</v>
      </c>
      <c r="AM1249">
        <v>0</v>
      </c>
      <c r="AN1249">
        <v>0</v>
      </c>
      <c r="AO1249">
        <v>0</v>
      </c>
      <c r="AP1249" s="2">
        <v>42746</v>
      </c>
      <c r="AQ1249" t="s">
        <v>72</v>
      </c>
      <c r="AR1249" t="s">
        <v>72</v>
      </c>
      <c r="AS1249">
        <v>2285</v>
      </c>
      <c r="AT1249" s="4">
        <v>42619</v>
      </c>
      <c r="AU1249" t="s">
        <v>73</v>
      </c>
      <c r="AV1249">
        <v>2285</v>
      </c>
      <c r="AW1249" s="4">
        <v>42619</v>
      </c>
      <c r="BD1249">
        <v>0</v>
      </c>
      <c r="BN1249" t="s">
        <v>74</v>
      </c>
    </row>
    <row r="1250" spans="1:66" hidden="1">
      <c r="A1250">
        <v>100270</v>
      </c>
      <c r="B1250" s="3" t="s">
        <v>150</v>
      </c>
      <c r="C1250" s="1">
        <v>43300101</v>
      </c>
      <c r="D1250" t="s">
        <v>67</v>
      </c>
      <c r="H1250" t="str">
        <f t="shared" si="107"/>
        <v>03748120155</v>
      </c>
      <c r="I1250" t="str">
        <f t="shared" si="108"/>
        <v>01364640233</v>
      </c>
      <c r="K1250" t="str">
        <f>""</f>
        <v/>
      </c>
      <c r="M1250" t="s">
        <v>68</v>
      </c>
      <c r="N1250" t="str">
        <f t="shared" si="109"/>
        <v>FOR</v>
      </c>
      <c r="O1250" t="s">
        <v>69</v>
      </c>
      <c r="P1250" s="3" t="s">
        <v>75</v>
      </c>
      <c r="Q1250">
        <v>2015</v>
      </c>
      <c r="R1250" s="2">
        <v>42262</v>
      </c>
      <c r="S1250" s="2">
        <v>42286</v>
      </c>
      <c r="T1250" s="2">
        <v>42284</v>
      </c>
      <c r="U1250" s="2">
        <v>42344</v>
      </c>
      <c r="V1250" t="s">
        <v>71</v>
      </c>
      <c r="W1250" t="str">
        <f>"            31508725"</f>
        <v xml:space="preserve">            31508725</v>
      </c>
      <c r="X1250" s="1">
        <v>2543.1799999999998</v>
      </c>
      <c r="Y1250">
        <v>0</v>
      </c>
      <c r="Z1250"/>
      <c r="AB1250"/>
      <c r="AC1250" s="1">
        <v>2445.37</v>
      </c>
      <c r="AD1250">
        <v>275</v>
      </c>
      <c r="AE1250" s="1">
        <v>672476.75</v>
      </c>
      <c r="AF1250">
        <v>0</v>
      </c>
      <c r="AJ1250">
        <v>0</v>
      </c>
      <c r="AK1250">
        <v>0</v>
      </c>
      <c r="AL1250">
        <v>0</v>
      </c>
      <c r="AM1250">
        <v>0</v>
      </c>
      <c r="AN1250">
        <v>0</v>
      </c>
      <c r="AO1250">
        <v>0</v>
      </c>
      <c r="AP1250" s="2">
        <v>42746</v>
      </c>
      <c r="AQ1250" t="s">
        <v>72</v>
      </c>
      <c r="AR1250" t="s">
        <v>72</v>
      </c>
      <c r="AS1250">
        <v>2285</v>
      </c>
      <c r="AT1250" s="4">
        <v>42619</v>
      </c>
      <c r="AU1250" t="s">
        <v>73</v>
      </c>
      <c r="AV1250">
        <v>2285</v>
      </c>
      <c r="AW1250" s="4">
        <v>42619</v>
      </c>
      <c r="BD1250">
        <v>0</v>
      </c>
      <c r="BN1250" t="s">
        <v>74</v>
      </c>
    </row>
    <row r="1251" spans="1:66" hidden="1">
      <c r="A1251">
        <v>100270</v>
      </c>
      <c r="B1251" s="3" t="s">
        <v>150</v>
      </c>
      <c r="C1251" s="1">
        <v>43300101</v>
      </c>
      <c r="D1251" t="s">
        <v>67</v>
      </c>
      <c r="H1251" t="str">
        <f t="shared" si="107"/>
        <v>03748120155</v>
      </c>
      <c r="I1251" t="str">
        <f t="shared" si="108"/>
        <v>01364640233</v>
      </c>
      <c r="K1251" t="str">
        <f>""</f>
        <v/>
      </c>
      <c r="M1251" t="s">
        <v>68</v>
      </c>
      <c r="N1251" t="str">
        <f t="shared" si="109"/>
        <v>FOR</v>
      </c>
      <c r="O1251" t="s">
        <v>69</v>
      </c>
      <c r="P1251" s="3" t="s">
        <v>75</v>
      </c>
      <c r="Q1251">
        <v>2015</v>
      </c>
      <c r="R1251" s="2">
        <v>42272</v>
      </c>
      <c r="S1251" s="2">
        <v>42286</v>
      </c>
      <c r="T1251" s="2">
        <v>42284</v>
      </c>
      <c r="U1251" s="2">
        <v>42344</v>
      </c>
      <c r="V1251" t="s">
        <v>71</v>
      </c>
      <c r="W1251" t="str">
        <f>"            31509073"</f>
        <v xml:space="preserve">            31509073</v>
      </c>
      <c r="X1251">
        <v>297.60000000000002</v>
      </c>
      <c r="Y1251">
        <v>0</v>
      </c>
      <c r="Z1251"/>
      <c r="AB1251"/>
      <c r="AC1251">
        <v>286.14999999999998</v>
      </c>
      <c r="AD1251">
        <v>275</v>
      </c>
      <c r="AE1251" s="1">
        <v>78691.25</v>
      </c>
      <c r="AF1251">
        <v>0</v>
      </c>
      <c r="AJ1251">
        <v>0</v>
      </c>
      <c r="AK1251">
        <v>0</v>
      </c>
      <c r="AL1251">
        <v>0</v>
      </c>
      <c r="AM1251">
        <v>0</v>
      </c>
      <c r="AN1251">
        <v>0</v>
      </c>
      <c r="AO1251">
        <v>0</v>
      </c>
      <c r="AP1251" s="2">
        <v>42746</v>
      </c>
      <c r="AQ1251" t="s">
        <v>72</v>
      </c>
      <c r="AR1251" t="s">
        <v>72</v>
      </c>
      <c r="AS1251">
        <v>2285</v>
      </c>
      <c r="AT1251" s="4">
        <v>42619</v>
      </c>
      <c r="AU1251" t="s">
        <v>73</v>
      </c>
      <c r="AV1251">
        <v>2285</v>
      </c>
      <c r="AW1251" s="4">
        <v>42619</v>
      </c>
      <c r="BD1251">
        <v>0</v>
      </c>
      <c r="BN1251" t="s">
        <v>74</v>
      </c>
    </row>
    <row r="1252" spans="1:66">
      <c r="A1252">
        <v>100270</v>
      </c>
      <c r="B1252" s="3" t="s">
        <v>150</v>
      </c>
      <c r="C1252" s="1">
        <v>43300101</v>
      </c>
      <c r="D1252" t="s">
        <v>67</v>
      </c>
      <c r="H1252" t="str">
        <f t="shared" si="107"/>
        <v>03748120155</v>
      </c>
      <c r="I1252" t="str">
        <f t="shared" si="108"/>
        <v>01364640233</v>
      </c>
      <c r="K1252" t="str">
        <f>""</f>
        <v/>
      </c>
      <c r="M1252" t="s">
        <v>68</v>
      </c>
      <c r="N1252" t="str">
        <f t="shared" si="109"/>
        <v>FOR</v>
      </c>
      <c r="O1252" t="s">
        <v>69</v>
      </c>
      <c r="P1252" s="3" t="s">
        <v>75</v>
      </c>
      <c r="Q1252">
        <v>2015</v>
      </c>
      <c r="R1252" s="2">
        <v>42278</v>
      </c>
      <c r="S1252" s="2">
        <v>42286</v>
      </c>
      <c r="T1252" s="2">
        <v>42286</v>
      </c>
      <c r="U1252" s="2">
        <v>42346</v>
      </c>
      <c r="V1252" t="s">
        <v>71</v>
      </c>
      <c r="W1252" t="str">
        <f>"            31509294"</f>
        <v xml:space="preserve">            31509294</v>
      </c>
      <c r="X1252">
        <v>294.57</v>
      </c>
      <c r="Y1252">
        <v>0</v>
      </c>
      <c r="Z1252" s="3">
        <v>283.24</v>
      </c>
      <c r="AA1252">
        <v>302</v>
      </c>
      <c r="AB1252" s="5">
        <v>85538.48</v>
      </c>
      <c r="AC1252">
        <v>283.24</v>
      </c>
      <c r="AD1252">
        <v>302</v>
      </c>
      <c r="AE1252" s="1">
        <v>85538.48</v>
      </c>
      <c r="AF1252">
        <v>0</v>
      </c>
      <c r="AJ1252">
        <v>0</v>
      </c>
      <c r="AK1252">
        <v>0</v>
      </c>
      <c r="AL1252">
        <v>0</v>
      </c>
      <c r="AM1252">
        <v>0</v>
      </c>
      <c r="AN1252">
        <v>0</v>
      </c>
      <c r="AO1252">
        <v>0</v>
      </c>
      <c r="AP1252" s="2">
        <v>42746</v>
      </c>
      <c r="AQ1252" t="s">
        <v>72</v>
      </c>
      <c r="AR1252" t="s">
        <v>72</v>
      </c>
      <c r="AS1252">
        <v>2678</v>
      </c>
      <c r="AT1252" s="4">
        <v>42648</v>
      </c>
      <c r="AU1252" t="s">
        <v>73</v>
      </c>
      <c r="AV1252">
        <v>2678</v>
      </c>
      <c r="AW1252" s="4">
        <v>42648</v>
      </c>
      <c r="BD1252">
        <v>0</v>
      </c>
      <c r="BN1252" t="s">
        <v>74</v>
      </c>
    </row>
    <row r="1253" spans="1:66">
      <c r="A1253">
        <v>100270</v>
      </c>
      <c r="B1253" s="3" t="s">
        <v>150</v>
      </c>
      <c r="C1253" s="1">
        <v>43300101</v>
      </c>
      <c r="D1253" t="s">
        <v>67</v>
      </c>
      <c r="H1253" t="str">
        <f t="shared" si="107"/>
        <v>03748120155</v>
      </c>
      <c r="I1253" t="str">
        <f t="shared" si="108"/>
        <v>01364640233</v>
      </c>
      <c r="K1253" t="str">
        <f>""</f>
        <v/>
      </c>
      <c r="M1253" t="s">
        <v>68</v>
      </c>
      <c r="N1253" t="str">
        <f t="shared" si="109"/>
        <v>FOR</v>
      </c>
      <c r="O1253" t="s">
        <v>69</v>
      </c>
      <c r="P1253" s="3" t="s">
        <v>75</v>
      </c>
      <c r="Q1253">
        <v>2015</v>
      </c>
      <c r="R1253" s="2">
        <v>42278</v>
      </c>
      <c r="S1253" s="2">
        <v>42286</v>
      </c>
      <c r="T1253" s="2">
        <v>42286</v>
      </c>
      <c r="U1253" s="2">
        <v>42346</v>
      </c>
      <c r="V1253" t="s">
        <v>71</v>
      </c>
      <c r="W1253" t="str">
        <f>"            31509297"</f>
        <v xml:space="preserve">            31509297</v>
      </c>
      <c r="X1253">
        <v>297.60000000000002</v>
      </c>
      <c r="Y1253">
        <v>0</v>
      </c>
      <c r="Z1253" s="3">
        <v>286.14999999999998</v>
      </c>
      <c r="AA1253">
        <v>302</v>
      </c>
      <c r="AB1253" s="5">
        <v>86417.3</v>
      </c>
      <c r="AC1253">
        <v>286.14999999999998</v>
      </c>
      <c r="AD1253">
        <v>302</v>
      </c>
      <c r="AE1253" s="1">
        <v>86417.3</v>
      </c>
      <c r="AF1253">
        <v>0</v>
      </c>
      <c r="AJ1253">
        <v>0</v>
      </c>
      <c r="AK1253">
        <v>0</v>
      </c>
      <c r="AL1253">
        <v>0</v>
      </c>
      <c r="AM1253">
        <v>0</v>
      </c>
      <c r="AN1253">
        <v>0</v>
      </c>
      <c r="AO1253">
        <v>0</v>
      </c>
      <c r="AP1253" s="2">
        <v>42746</v>
      </c>
      <c r="AQ1253" t="s">
        <v>72</v>
      </c>
      <c r="AR1253" t="s">
        <v>72</v>
      </c>
      <c r="AS1253">
        <v>2678</v>
      </c>
      <c r="AT1253" s="4">
        <v>42648</v>
      </c>
      <c r="AU1253" t="s">
        <v>73</v>
      </c>
      <c r="AV1253">
        <v>2678</v>
      </c>
      <c r="AW1253" s="4">
        <v>42648</v>
      </c>
      <c r="BD1253">
        <v>0</v>
      </c>
      <c r="BN1253" t="s">
        <v>74</v>
      </c>
    </row>
    <row r="1254" spans="1:66">
      <c r="A1254">
        <v>100270</v>
      </c>
      <c r="B1254" s="3" t="s">
        <v>150</v>
      </c>
      <c r="C1254" s="1">
        <v>43300101</v>
      </c>
      <c r="D1254" t="s">
        <v>67</v>
      </c>
      <c r="H1254" t="str">
        <f t="shared" si="107"/>
        <v>03748120155</v>
      </c>
      <c r="I1254" t="str">
        <f t="shared" si="108"/>
        <v>01364640233</v>
      </c>
      <c r="K1254" t="str">
        <f>""</f>
        <v/>
      </c>
      <c r="M1254" t="s">
        <v>68</v>
      </c>
      <c r="N1254" t="str">
        <f t="shared" si="109"/>
        <v>FOR</v>
      </c>
      <c r="O1254" t="s">
        <v>69</v>
      </c>
      <c r="P1254" s="3" t="s">
        <v>75</v>
      </c>
      <c r="Q1254">
        <v>2015</v>
      </c>
      <c r="R1254" s="2">
        <v>42293</v>
      </c>
      <c r="S1254" s="2">
        <v>42306</v>
      </c>
      <c r="T1254" s="2">
        <v>42304</v>
      </c>
      <c r="U1254" s="2">
        <v>42364</v>
      </c>
      <c r="V1254" t="s">
        <v>71</v>
      </c>
      <c r="W1254" t="str">
        <f>"            31509902"</f>
        <v xml:space="preserve">            31509902</v>
      </c>
      <c r="X1254" s="1">
        <v>2253.66</v>
      </c>
      <c r="Y1254">
        <v>0</v>
      </c>
      <c r="Z1254" s="5">
        <v>2166.98</v>
      </c>
      <c r="AA1254">
        <v>284</v>
      </c>
      <c r="AB1254" s="5">
        <v>615422.31999999995</v>
      </c>
      <c r="AC1254" s="1">
        <v>2166.98</v>
      </c>
      <c r="AD1254">
        <v>284</v>
      </c>
      <c r="AE1254" s="1">
        <v>615422.31999999995</v>
      </c>
      <c r="AF1254">
        <v>0</v>
      </c>
      <c r="AJ1254">
        <v>0</v>
      </c>
      <c r="AK1254">
        <v>0</v>
      </c>
      <c r="AL1254">
        <v>0</v>
      </c>
      <c r="AM1254">
        <v>0</v>
      </c>
      <c r="AN1254">
        <v>0</v>
      </c>
      <c r="AO1254">
        <v>0</v>
      </c>
      <c r="AP1254" s="2">
        <v>42746</v>
      </c>
      <c r="AQ1254" t="s">
        <v>72</v>
      </c>
      <c r="AR1254" t="s">
        <v>72</v>
      </c>
      <c r="AS1254">
        <v>2678</v>
      </c>
      <c r="AT1254" s="4">
        <v>42648</v>
      </c>
      <c r="AU1254" t="s">
        <v>73</v>
      </c>
      <c r="AV1254">
        <v>2678</v>
      </c>
      <c r="AW1254" s="4">
        <v>42648</v>
      </c>
      <c r="BD1254">
        <v>0</v>
      </c>
      <c r="BN1254" t="s">
        <v>74</v>
      </c>
    </row>
    <row r="1255" spans="1:66">
      <c r="A1255">
        <v>100270</v>
      </c>
      <c r="B1255" s="3" t="s">
        <v>150</v>
      </c>
      <c r="C1255" s="1">
        <v>43300101</v>
      </c>
      <c r="D1255" t="s">
        <v>67</v>
      </c>
      <c r="H1255" t="str">
        <f t="shared" si="107"/>
        <v>03748120155</v>
      </c>
      <c r="I1255" t="str">
        <f t="shared" si="108"/>
        <v>01364640233</v>
      </c>
      <c r="K1255" t="str">
        <f>""</f>
        <v/>
      </c>
      <c r="M1255" t="s">
        <v>68</v>
      </c>
      <c r="N1255" t="str">
        <f t="shared" si="109"/>
        <v>FOR</v>
      </c>
      <c r="O1255" t="s">
        <v>69</v>
      </c>
      <c r="P1255" s="3" t="s">
        <v>75</v>
      </c>
      <c r="Q1255">
        <v>2015</v>
      </c>
      <c r="R1255" s="2">
        <v>42293</v>
      </c>
      <c r="S1255" s="2">
        <v>42306</v>
      </c>
      <c r="T1255" s="2">
        <v>42304</v>
      </c>
      <c r="U1255" s="2">
        <v>42364</v>
      </c>
      <c r="V1255" t="s">
        <v>71</v>
      </c>
      <c r="W1255" t="str">
        <f>"            31509903"</f>
        <v xml:space="preserve">            31509903</v>
      </c>
      <c r="X1255" s="1">
        <v>2253.66</v>
      </c>
      <c r="Y1255">
        <v>0</v>
      </c>
      <c r="Z1255" s="5">
        <v>2166.98</v>
      </c>
      <c r="AA1255">
        <v>284</v>
      </c>
      <c r="AB1255" s="5">
        <v>615422.31999999995</v>
      </c>
      <c r="AC1255" s="1">
        <v>2166.98</v>
      </c>
      <c r="AD1255">
        <v>284</v>
      </c>
      <c r="AE1255" s="1">
        <v>615422.31999999995</v>
      </c>
      <c r="AF1255">
        <v>0</v>
      </c>
      <c r="AJ1255">
        <v>0</v>
      </c>
      <c r="AK1255">
        <v>0</v>
      </c>
      <c r="AL1255">
        <v>0</v>
      </c>
      <c r="AM1255">
        <v>0</v>
      </c>
      <c r="AN1255">
        <v>0</v>
      </c>
      <c r="AO1255">
        <v>0</v>
      </c>
      <c r="AP1255" s="2">
        <v>42746</v>
      </c>
      <c r="AQ1255" t="s">
        <v>72</v>
      </c>
      <c r="AR1255" t="s">
        <v>72</v>
      </c>
      <c r="AS1255">
        <v>2678</v>
      </c>
      <c r="AT1255" s="4">
        <v>42648</v>
      </c>
      <c r="AU1255" t="s">
        <v>73</v>
      </c>
      <c r="AV1255">
        <v>2678</v>
      </c>
      <c r="AW1255" s="4">
        <v>42648</v>
      </c>
      <c r="BD1255">
        <v>0</v>
      </c>
      <c r="BN1255" t="s">
        <v>74</v>
      </c>
    </row>
    <row r="1256" spans="1:66">
      <c r="A1256">
        <v>100270</v>
      </c>
      <c r="B1256" s="3" t="s">
        <v>150</v>
      </c>
      <c r="C1256" s="1">
        <v>43300101</v>
      </c>
      <c r="D1256" t="s">
        <v>67</v>
      </c>
      <c r="H1256" t="str">
        <f t="shared" si="107"/>
        <v>03748120155</v>
      </c>
      <c r="I1256" t="str">
        <f t="shared" si="108"/>
        <v>01364640233</v>
      </c>
      <c r="K1256" t="str">
        <f>""</f>
        <v/>
      </c>
      <c r="M1256" t="s">
        <v>68</v>
      </c>
      <c r="N1256" t="str">
        <f t="shared" si="109"/>
        <v>FOR</v>
      </c>
      <c r="O1256" t="s">
        <v>69</v>
      </c>
      <c r="P1256" s="3" t="s">
        <v>75</v>
      </c>
      <c r="Q1256">
        <v>2015</v>
      </c>
      <c r="R1256" s="2">
        <v>42298</v>
      </c>
      <c r="S1256" s="2">
        <v>42306</v>
      </c>
      <c r="T1256" s="2">
        <v>42304</v>
      </c>
      <c r="U1256" s="2">
        <v>42364</v>
      </c>
      <c r="V1256" t="s">
        <v>71</v>
      </c>
      <c r="W1256" t="str">
        <f>"            31510048"</f>
        <v xml:space="preserve">            31510048</v>
      </c>
      <c r="X1256" s="1">
        <v>3266.64</v>
      </c>
      <c r="Y1256">
        <v>0</v>
      </c>
      <c r="Z1256" s="5">
        <v>3141</v>
      </c>
      <c r="AA1256">
        <v>284</v>
      </c>
      <c r="AB1256" s="5">
        <v>892044</v>
      </c>
      <c r="AC1256" s="1">
        <v>3141</v>
      </c>
      <c r="AD1256">
        <v>284</v>
      </c>
      <c r="AE1256" s="1">
        <v>892044</v>
      </c>
      <c r="AF1256">
        <v>0</v>
      </c>
      <c r="AJ1256">
        <v>0</v>
      </c>
      <c r="AK1256">
        <v>0</v>
      </c>
      <c r="AL1256">
        <v>0</v>
      </c>
      <c r="AM1256">
        <v>0</v>
      </c>
      <c r="AN1256">
        <v>0</v>
      </c>
      <c r="AO1256">
        <v>0</v>
      </c>
      <c r="AP1256" s="2">
        <v>42746</v>
      </c>
      <c r="AQ1256" t="s">
        <v>72</v>
      </c>
      <c r="AR1256" t="s">
        <v>72</v>
      </c>
      <c r="AS1256">
        <v>2678</v>
      </c>
      <c r="AT1256" s="4">
        <v>42648</v>
      </c>
      <c r="AU1256" t="s">
        <v>73</v>
      </c>
      <c r="AV1256">
        <v>2678</v>
      </c>
      <c r="AW1256" s="4">
        <v>42648</v>
      </c>
      <c r="BD1256">
        <v>0</v>
      </c>
      <c r="BN1256" t="s">
        <v>74</v>
      </c>
    </row>
    <row r="1257" spans="1:66">
      <c r="A1257">
        <v>100270</v>
      </c>
      <c r="B1257" s="3" t="s">
        <v>150</v>
      </c>
      <c r="C1257" s="1">
        <v>43300101</v>
      </c>
      <c r="D1257" t="s">
        <v>67</v>
      </c>
      <c r="H1257" t="str">
        <f t="shared" si="107"/>
        <v>03748120155</v>
      </c>
      <c r="I1257" t="str">
        <f t="shared" si="108"/>
        <v>01364640233</v>
      </c>
      <c r="K1257" t="str">
        <f>""</f>
        <v/>
      </c>
      <c r="M1257" t="s">
        <v>68</v>
      </c>
      <c r="N1257" t="str">
        <f t="shared" si="109"/>
        <v>FOR</v>
      </c>
      <c r="O1257" t="s">
        <v>69</v>
      </c>
      <c r="P1257" s="3" t="s">
        <v>75</v>
      </c>
      <c r="Q1257">
        <v>2015</v>
      </c>
      <c r="R1257" s="2">
        <v>42305</v>
      </c>
      <c r="S1257" s="2">
        <v>42327</v>
      </c>
      <c r="T1257" s="2">
        <v>42326</v>
      </c>
      <c r="U1257" s="2">
        <v>42386</v>
      </c>
      <c r="V1257" t="s">
        <v>71</v>
      </c>
      <c r="W1257" t="str">
        <f>"            31510315"</f>
        <v xml:space="preserve">            31510315</v>
      </c>
      <c r="X1257">
        <v>297.60000000000002</v>
      </c>
      <c r="Y1257">
        <v>0</v>
      </c>
      <c r="Z1257" s="3">
        <v>286.14999999999998</v>
      </c>
      <c r="AA1257">
        <v>262</v>
      </c>
      <c r="AB1257" s="5">
        <v>74971.3</v>
      </c>
      <c r="AC1257">
        <v>286.14999999999998</v>
      </c>
      <c r="AD1257">
        <v>262</v>
      </c>
      <c r="AE1257" s="1">
        <v>74971.3</v>
      </c>
      <c r="AF1257">
        <v>0</v>
      </c>
      <c r="AJ1257">
        <v>0</v>
      </c>
      <c r="AK1257">
        <v>0</v>
      </c>
      <c r="AL1257">
        <v>0</v>
      </c>
      <c r="AM1257">
        <v>0</v>
      </c>
      <c r="AN1257">
        <v>0</v>
      </c>
      <c r="AO1257">
        <v>0</v>
      </c>
      <c r="AP1257" s="2">
        <v>42746</v>
      </c>
      <c r="AQ1257" t="s">
        <v>72</v>
      </c>
      <c r="AR1257" t="s">
        <v>72</v>
      </c>
      <c r="AS1257">
        <v>2678</v>
      </c>
      <c r="AT1257" s="4">
        <v>42648</v>
      </c>
      <c r="AU1257" t="s">
        <v>73</v>
      </c>
      <c r="AV1257">
        <v>2678</v>
      </c>
      <c r="AW1257" s="4">
        <v>42648</v>
      </c>
      <c r="BD1257">
        <v>0</v>
      </c>
      <c r="BN1257" t="s">
        <v>74</v>
      </c>
    </row>
    <row r="1258" spans="1:66">
      <c r="A1258">
        <v>100270</v>
      </c>
      <c r="B1258" s="3" t="s">
        <v>150</v>
      </c>
      <c r="C1258" s="1">
        <v>43300101</v>
      </c>
      <c r="D1258" t="s">
        <v>67</v>
      </c>
      <c r="H1258" t="str">
        <f t="shared" si="107"/>
        <v>03748120155</v>
      </c>
      <c r="I1258" t="str">
        <f t="shared" si="108"/>
        <v>01364640233</v>
      </c>
      <c r="K1258" t="str">
        <f>""</f>
        <v/>
      </c>
      <c r="M1258" t="s">
        <v>68</v>
      </c>
      <c r="N1258" t="str">
        <f t="shared" si="109"/>
        <v>FOR</v>
      </c>
      <c r="O1258" t="s">
        <v>69</v>
      </c>
      <c r="P1258" s="3" t="s">
        <v>75</v>
      </c>
      <c r="Q1258">
        <v>2015</v>
      </c>
      <c r="R1258" s="2">
        <v>42305</v>
      </c>
      <c r="S1258" s="2">
        <v>42327</v>
      </c>
      <c r="T1258" s="2">
        <v>42326</v>
      </c>
      <c r="U1258" s="2">
        <v>42386</v>
      </c>
      <c r="V1258" t="s">
        <v>71</v>
      </c>
      <c r="W1258" t="str">
        <f>"            31510317"</f>
        <v xml:space="preserve">            31510317</v>
      </c>
      <c r="X1258">
        <v>294.57</v>
      </c>
      <c r="Y1258">
        <v>0</v>
      </c>
      <c r="Z1258" s="3">
        <v>283.24</v>
      </c>
      <c r="AA1258">
        <v>262</v>
      </c>
      <c r="AB1258" s="5">
        <v>74208.88</v>
      </c>
      <c r="AC1258">
        <v>283.24</v>
      </c>
      <c r="AD1258">
        <v>262</v>
      </c>
      <c r="AE1258" s="1">
        <v>74208.88</v>
      </c>
      <c r="AF1258">
        <v>0</v>
      </c>
      <c r="AJ1258">
        <v>0</v>
      </c>
      <c r="AK1258">
        <v>0</v>
      </c>
      <c r="AL1258">
        <v>0</v>
      </c>
      <c r="AM1258">
        <v>0</v>
      </c>
      <c r="AN1258">
        <v>0</v>
      </c>
      <c r="AO1258">
        <v>0</v>
      </c>
      <c r="AP1258" s="2">
        <v>42746</v>
      </c>
      <c r="AQ1258" t="s">
        <v>72</v>
      </c>
      <c r="AR1258" t="s">
        <v>72</v>
      </c>
      <c r="AS1258">
        <v>2678</v>
      </c>
      <c r="AT1258" s="4">
        <v>42648</v>
      </c>
      <c r="AU1258" t="s">
        <v>73</v>
      </c>
      <c r="AV1258">
        <v>2678</v>
      </c>
      <c r="AW1258" s="4">
        <v>42648</v>
      </c>
      <c r="BD1258">
        <v>0</v>
      </c>
      <c r="BN1258" t="s">
        <v>74</v>
      </c>
    </row>
    <row r="1259" spans="1:66">
      <c r="A1259">
        <v>100270</v>
      </c>
      <c r="B1259" s="3" t="s">
        <v>150</v>
      </c>
      <c r="C1259" s="1">
        <v>43300101</v>
      </c>
      <c r="D1259" t="s">
        <v>67</v>
      </c>
      <c r="H1259" t="str">
        <f t="shared" si="107"/>
        <v>03748120155</v>
      </c>
      <c r="I1259" t="str">
        <f t="shared" si="108"/>
        <v>01364640233</v>
      </c>
      <c r="K1259" t="str">
        <f>""</f>
        <v/>
      </c>
      <c r="M1259" t="s">
        <v>68</v>
      </c>
      <c r="N1259" t="str">
        <f t="shared" si="109"/>
        <v>FOR</v>
      </c>
      <c r="O1259" t="s">
        <v>69</v>
      </c>
      <c r="P1259" s="3" t="s">
        <v>75</v>
      </c>
      <c r="Q1259">
        <v>2015</v>
      </c>
      <c r="R1259" s="2">
        <v>42305</v>
      </c>
      <c r="S1259" s="2">
        <v>42327</v>
      </c>
      <c r="T1259" s="2">
        <v>42326</v>
      </c>
      <c r="U1259" s="2">
        <v>42386</v>
      </c>
      <c r="V1259" t="s">
        <v>71</v>
      </c>
      <c r="W1259" t="str">
        <f>"            31510318"</f>
        <v xml:space="preserve">            31510318</v>
      </c>
      <c r="X1259">
        <v>297.60000000000002</v>
      </c>
      <c r="Y1259">
        <v>0</v>
      </c>
      <c r="Z1259" s="3">
        <v>286.14999999999998</v>
      </c>
      <c r="AA1259">
        <v>262</v>
      </c>
      <c r="AB1259" s="5">
        <v>74971.3</v>
      </c>
      <c r="AC1259">
        <v>286.14999999999998</v>
      </c>
      <c r="AD1259">
        <v>262</v>
      </c>
      <c r="AE1259" s="1">
        <v>74971.3</v>
      </c>
      <c r="AF1259">
        <v>0</v>
      </c>
      <c r="AJ1259">
        <v>0</v>
      </c>
      <c r="AK1259">
        <v>0</v>
      </c>
      <c r="AL1259">
        <v>0</v>
      </c>
      <c r="AM1259">
        <v>0</v>
      </c>
      <c r="AN1259">
        <v>0</v>
      </c>
      <c r="AO1259">
        <v>0</v>
      </c>
      <c r="AP1259" s="2">
        <v>42746</v>
      </c>
      <c r="AQ1259" t="s">
        <v>72</v>
      </c>
      <c r="AR1259" t="s">
        <v>72</v>
      </c>
      <c r="AS1259">
        <v>2678</v>
      </c>
      <c r="AT1259" s="4">
        <v>42648</v>
      </c>
      <c r="AU1259" t="s">
        <v>73</v>
      </c>
      <c r="AV1259">
        <v>2678</v>
      </c>
      <c r="AW1259" s="4">
        <v>42648</v>
      </c>
      <c r="BD1259">
        <v>0</v>
      </c>
      <c r="BN1259" t="s">
        <v>74</v>
      </c>
    </row>
    <row r="1260" spans="1:66">
      <c r="A1260">
        <v>100270</v>
      </c>
      <c r="B1260" s="3" t="s">
        <v>150</v>
      </c>
      <c r="C1260" s="1">
        <v>43300101</v>
      </c>
      <c r="D1260" t="s">
        <v>67</v>
      </c>
      <c r="H1260" t="str">
        <f t="shared" si="107"/>
        <v>03748120155</v>
      </c>
      <c r="I1260" t="str">
        <f t="shared" si="108"/>
        <v>01364640233</v>
      </c>
      <c r="K1260" t="str">
        <f>""</f>
        <v/>
      </c>
      <c r="M1260" t="s">
        <v>68</v>
      </c>
      <c r="N1260" t="str">
        <f t="shared" si="109"/>
        <v>FOR</v>
      </c>
      <c r="O1260" t="s">
        <v>69</v>
      </c>
      <c r="P1260" s="3" t="s">
        <v>75</v>
      </c>
      <c r="Q1260">
        <v>2015</v>
      </c>
      <c r="R1260" s="2">
        <v>42310</v>
      </c>
      <c r="S1260" s="2">
        <v>42338</v>
      </c>
      <c r="T1260" s="2">
        <v>42334</v>
      </c>
      <c r="U1260" s="2">
        <v>42394</v>
      </c>
      <c r="V1260" t="s">
        <v>71</v>
      </c>
      <c r="W1260" t="str">
        <f>"            31510520"</f>
        <v xml:space="preserve">            31510520</v>
      </c>
      <c r="X1260">
        <v>297.60000000000002</v>
      </c>
      <c r="Y1260">
        <v>0</v>
      </c>
      <c r="Z1260" s="3">
        <v>286.14999999999998</v>
      </c>
      <c r="AA1260">
        <v>288</v>
      </c>
      <c r="AB1260" s="5">
        <v>82411.199999999997</v>
      </c>
      <c r="AC1260">
        <v>286.14999999999998</v>
      </c>
      <c r="AD1260">
        <v>288</v>
      </c>
      <c r="AE1260" s="1">
        <v>82411.199999999997</v>
      </c>
      <c r="AF1260">
        <v>0</v>
      </c>
      <c r="AJ1260">
        <v>0</v>
      </c>
      <c r="AK1260">
        <v>0</v>
      </c>
      <c r="AL1260">
        <v>0</v>
      </c>
      <c r="AM1260">
        <v>0</v>
      </c>
      <c r="AN1260">
        <v>0</v>
      </c>
      <c r="AO1260">
        <v>0</v>
      </c>
      <c r="AP1260" s="2">
        <v>42746</v>
      </c>
      <c r="AQ1260" t="s">
        <v>72</v>
      </c>
      <c r="AR1260" t="s">
        <v>72</v>
      </c>
      <c r="AS1260">
        <v>2975</v>
      </c>
      <c r="AT1260" s="4">
        <v>42682</v>
      </c>
      <c r="AU1260" t="s">
        <v>73</v>
      </c>
      <c r="AV1260">
        <v>2975</v>
      </c>
      <c r="AW1260" s="4">
        <v>42682</v>
      </c>
      <c r="BD1260">
        <v>0</v>
      </c>
      <c r="BN1260" t="s">
        <v>74</v>
      </c>
    </row>
    <row r="1261" spans="1:66">
      <c r="A1261">
        <v>100270</v>
      </c>
      <c r="B1261" s="3" t="s">
        <v>150</v>
      </c>
      <c r="C1261" s="1">
        <v>43300101</v>
      </c>
      <c r="D1261" t="s">
        <v>67</v>
      </c>
      <c r="H1261" t="str">
        <f t="shared" si="107"/>
        <v>03748120155</v>
      </c>
      <c r="I1261" t="str">
        <f t="shared" si="108"/>
        <v>01364640233</v>
      </c>
      <c r="K1261" t="str">
        <f>""</f>
        <v/>
      </c>
      <c r="M1261" t="s">
        <v>68</v>
      </c>
      <c r="N1261" t="str">
        <f t="shared" si="109"/>
        <v>FOR</v>
      </c>
      <c r="O1261" t="s">
        <v>69</v>
      </c>
      <c r="P1261" s="3" t="s">
        <v>75</v>
      </c>
      <c r="Q1261">
        <v>2015</v>
      </c>
      <c r="R1261" s="2">
        <v>42310</v>
      </c>
      <c r="S1261" s="2">
        <v>42338</v>
      </c>
      <c r="T1261" s="2">
        <v>42334</v>
      </c>
      <c r="U1261" s="2">
        <v>42394</v>
      </c>
      <c r="V1261" t="s">
        <v>71</v>
      </c>
      <c r="W1261" t="str">
        <f>"            31510523"</f>
        <v xml:space="preserve">            31510523</v>
      </c>
      <c r="X1261">
        <v>297.60000000000002</v>
      </c>
      <c r="Y1261">
        <v>0</v>
      </c>
      <c r="Z1261" s="3">
        <v>286.14999999999998</v>
      </c>
      <c r="AA1261">
        <v>288</v>
      </c>
      <c r="AB1261" s="5">
        <v>82411.199999999997</v>
      </c>
      <c r="AC1261">
        <v>286.14999999999998</v>
      </c>
      <c r="AD1261">
        <v>288</v>
      </c>
      <c r="AE1261" s="1">
        <v>82411.199999999997</v>
      </c>
      <c r="AF1261">
        <v>0</v>
      </c>
      <c r="AJ1261">
        <v>0</v>
      </c>
      <c r="AK1261">
        <v>0</v>
      </c>
      <c r="AL1261">
        <v>0</v>
      </c>
      <c r="AM1261">
        <v>0</v>
      </c>
      <c r="AN1261">
        <v>0</v>
      </c>
      <c r="AO1261">
        <v>0</v>
      </c>
      <c r="AP1261" s="2">
        <v>42746</v>
      </c>
      <c r="AQ1261" t="s">
        <v>72</v>
      </c>
      <c r="AR1261" t="s">
        <v>72</v>
      </c>
      <c r="AS1261">
        <v>2975</v>
      </c>
      <c r="AT1261" s="4">
        <v>42682</v>
      </c>
      <c r="AU1261" t="s">
        <v>73</v>
      </c>
      <c r="AV1261">
        <v>2975</v>
      </c>
      <c r="AW1261" s="4">
        <v>42682</v>
      </c>
      <c r="BD1261">
        <v>0</v>
      </c>
      <c r="BN1261" t="s">
        <v>74</v>
      </c>
    </row>
    <row r="1262" spans="1:66">
      <c r="A1262">
        <v>100270</v>
      </c>
      <c r="B1262" s="3" t="s">
        <v>150</v>
      </c>
      <c r="C1262" s="1">
        <v>43300101</v>
      </c>
      <c r="D1262" t="s">
        <v>67</v>
      </c>
      <c r="H1262" t="str">
        <f t="shared" si="107"/>
        <v>03748120155</v>
      </c>
      <c r="I1262" t="str">
        <f t="shared" si="108"/>
        <v>01364640233</v>
      </c>
      <c r="K1262" t="str">
        <f>""</f>
        <v/>
      </c>
      <c r="M1262" t="s">
        <v>68</v>
      </c>
      <c r="N1262" t="str">
        <f t="shared" si="109"/>
        <v>FOR</v>
      </c>
      <c r="O1262" t="s">
        <v>69</v>
      </c>
      <c r="P1262" s="3" t="s">
        <v>75</v>
      </c>
      <c r="Q1262">
        <v>2015</v>
      </c>
      <c r="R1262" s="2">
        <v>42313</v>
      </c>
      <c r="S1262" s="2">
        <v>42338</v>
      </c>
      <c r="T1262" s="2">
        <v>42334</v>
      </c>
      <c r="U1262" s="2">
        <v>42394</v>
      </c>
      <c r="V1262" t="s">
        <v>71</v>
      </c>
      <c r="W1262" t="str">
        <f>"            31510651"</f>
        <v xml:space="preserve">            31510651</v>
      </c>
      <c r="X1262" s="1">
        <v>2543.1799999999998</v>
      </c>
      <c r="Y1262">
        <v>0</v>
      </c>
      <c r="Z1262" s="5">
        <v>2445.37</v>
      </c>
      <c r="AA1262">
        <v>288</v>
      </c>
      <c r="AB1262" s="5">
        <v>704266.56</v>
      </c>
      <c r="AC1262" s="1">
        <v>2445.37</v>
      </c>
      <c r="AD1262">
        <v>288</v>
      </c>
      <c r="AE1262" s="1">
        <v>704266.56</v>
      </c>
      <c r="AF1262">
        <v>0</v>
      </c>
      <c r="AJ1262">
        <v>0</v>
      </c>
      <c r="AK1262">
        <v>0</v>
      </c>
      <c r="AL1262">
        <v>0</v>
      </c>
      <c r="AM1262">
        <v>0</v>
      </c>
      <c r="AN1262">
        <v>0</v>
      </c>
      <c r="AO1262">
        <v>0</v>
      </c>
      <c r="AP1262" s="2">
        <v>42746</v>
      </c>
      <c r="AQ1262" t="s">
        <v>72</v>
      </c>
      <c r="AR1262" t="s">
        <v>72</v>
      </c>
      <c r="AS1262">
        <v>2975</v>
      </c>
      <c r="AT1262" s="4">
        <v>42682</v>
      </c>
      <c r="AU1262" t="s">
        <v>73</v>
      </c>
      <c r="AV1262">
        <v>2975</v>
      </c>
      <c r="AW1262" s="4">
        <v>42682</v>
      </c>
      <c r="BD1262">
        <v>0</v>
      </c>
      <c r="BN1262" t="s">
        <v>74</v>
      </c>
    </row>
    <row r="1263" spans="1:66">
      <c r="A1263">
        <v>100270</v>
      </c>
      <c r="B1263" s="3" t="s">
        <v>150</v>
      </c>
      <c r="C1263" s="1">
        <v>43300101</v>
      </c>
      <c r="D1263" t="s">
        <v>67</v>
      </c>
      <c r="H1263" t="str">
        <f t="shared" si="107"/>
        <v>03748120155</v>
      </c>
      <c r="I1263" t="str">
        <f t="shared" si="108"/>
        <v>01364640233</v>
      </c>
      <c r="K1263" t="str">
        <f>""</f>
        <v/>
      </c>
      <c r="M1263" t="s">
        <v>68</v>
      </c>
      <c r="N1263" t="str">
        <f t="shared" si="109"/>
        <v>FOR</v>
      </c>
      <c r="O1263" t="s">
        <v>69</v>
      </c>
      <c r="P1263" s="3" t="s">
        <v>75</v>
      </c>
      <c r="Q1263">
        <v>2015</v>
      </c>
      <c r="R1263" s="2">
        <v>42333</v>
      </c>
      <c r="S1263" s="2">
        <v>42345</v>
      </c>
      <c r="T1263" s="2">
        <v>42342</v>
      </c>
      <c r="U1263" s="2">
        <v>42402</v>
      </c>
      <c r="V1263" t="s">
        <v>71</v>
      </c>
      <c r="W1263" t="str">
        <f>"            31511338"</f>
        <v xml:space="preserve">            31511338</v>
      </c>
      <c r="X1263">
        <v>294.57</v>
      </c>
      <c r="Y1263">
        <v>0</v>
      </c>
      <c r="Z1263" s="3">
        <v>283.24</v>
      </c>
      <c r="AA1263">
        <v>280</v>
      </c>
      <c r="AB1263" s="5">
        <v>79307.199999999997</v>
      </c>
      <c r="AC1263">
        <v>283.24</v>
      </c>
      <c r="AD1263">
        <v>280</v>
      </c>
      <c r="AE1263" s="1">
        <v>79307.199999999997</v>
      </c>
      <c r="AF1263">
        <v>0</v>
      </c>
      <c r="AJ1263">
        <v>0</v>
      </c>
      <c r="AK1263">
        <v>0</v>
      </c>
      <c r="AL1263">
        <v>0</v>
      </c>
      <c r="AM1263">
        <v>0</v>
      </c>
      <c r="AN1263">
        <v>0</v>
      </c>
      <c r="AO1263">
        <v>0</v>
      </c>
      <c r="AP1263" s="2">
        <v>42746</v>
      </c>
      <c r="AQ1263" t="s">
        <v>72</v>
      </c>
      <c r="AR1263" t="s">
        <v>72</v>
      </c>
      <c r="AS1263">
        <v>2975</v>
      </c>
      <c r="AT1263" s="4">
        <v>42682</v>
      </c>
      <c r="AU1263" t="s">
        <v>73</v>
      </c>
      <c r="AV1263">
        <v>2975</v>
      </c>
      <c r="AW1263" s="4">
        <v>42682</v>
      </c>
      <c r="BD1263">
        <v>0</v>
      </c>
      <c r="BN1263" t="s">
        <v>74</v>
      </c>
    </row>
    <row r="1264" spans="1:66">
      <c r="A1264">
        <v>100270</v>
      </c>
      <c r="B1264" s="3" t="s">
        <v>150</v>
      </c>
      <c r="C1264" s="1">
        <v>43300101</v>
      </c>
      <c r="D1264" t="s">
        <v>67</v>
      </c>
      <c r="H1264" t="str">
        <f t="shared" si="107"/>
        <v>03748120155</v>
      </c>
      <c r="I1264" t="str">
        <f t="shared" si="108"/>
        <v>01364640233</v>
      </c>
      <c r="K1264" t="str">
        <f>""</f>
        <v/>
      </c>
      <c r="M1264" t="s">
        <v>68</v>
      </c>
      <c r="N1264" t="str">
        <f t="shared" si="109"/>
        <v>FOR</v>
      </c>
      <c r="O1264" t="s">
        <v>69</v>
      </c>
      <c r="P1264" s="3" t="s">
        <v>75</v>
      </c>
      <c r="Q1264">
        <v>2015</v>
      </c>
      <c r="R1264" s="2">
        <v>42333</v>
      </c>
      <c r="S1264" s="2">
        <v>42345</v>
      </c>
      <c r="T1264" s="2">
        <v>42342</v>
      </c>
      <c r="U1264" s="2">
        <v>42402</v>
      </c>
      <c r="V1264" t="s">
        <v>71</v>
      </c>
      <c r="W1264" t="str">
        <f>"            31511339"</f>
        <v xml:space="preserve">            31511339</v>
      </c>
      <c r="X1264">
        <v>297.60000000000002</v>
      </c>
      <c r="Y1264">
        <v>0</v>
      </c>
      <c r="Z1264" s="3">
        <v>286.14999999999998</v>
      </c>
      <c r="AA1264">
        <v>280</v>
      </c>
      <c r="AB1264" s="5">
        <v>80122</v>
      </c>
      <c r="AC1264">
        <v>286.14999999999998</v>
      </c>
      <c r="AD1264">
        <v>280</v>
      </c>
      <c r="AE1264" s="1">
        <v>80122</v>
      </c>
      <c r="AF1264">
        <v>0</v>
      </c>
      <c r="AJ1264">
        <v>0</v>
      </c>
      <c r="AK1264">
        <v>0</v>
      </c>
      <c r="AL1264">
        <v>0</v>
      </c>
      <c r="AM1264">
        <v>0</v>
      </c>
      <c r="AN1264">
        <v>0</v>
      </c>
      <c r="AO1264">
        <v>0</v>
      </c>
      <c r="AP1264" s="2">
        <v>42746</v>
      </c>
      <c r="AQ1264" t="s">
        <v>72</v>
      </c>
      <c r="AR1264" t="s">
        <v>72</v>
      </c>
      <c r="AS1264">
        <v>2975</v>
      </c>
      <c r="AT1264" s="4">
        <v>42682</v>
      </c>
      <c r="AU1264" t="s">
        <v>73</v>
      </c>
      <c r="AV1264">
        <v>2975</v>
      </c>
      <c r="AW1264" s="4">
        <v>42682</v>
      </c>
      <c r="BD1264">
        <v>0</v>
      </c>
      <c r="BN1264" t="s">
        <v>74</v>
      </c>
    </row>
    <row r="1265" spans="1:66">
      <c r="A1265">
        <v>100270</v>
      </c>
      <c r="B1265" s="3" t="s">
        <v>150</v>
      </c>
      <c r="C1265" s="1">
        <v>43300101</v>
      </c>
      <c r="D1265" t="s">
        <v>67</v>
      </c>
      <c r="H1265" t="str">
        <f t="shared" si="107"/>
        <v>03748120155</v>
      </c>
      <c r="I1265" t="str">
        <f t="shared" si="108"/>
        <v>01364640233</v>
      </c>
      <c r="K1265" t="str">
        <f>""</f>
        <v/>
      </c>
      <c r="M1265" t="s">
        <v>68</v>
      </c>
      <c r="N1265" t="str">
        <f t="shared" si="109"/>
        <v>FOR</v>
      </c>
      <c r="O1265" t="s">
        <v>69</v>
      </c>
      <c r="P1265" s="3" t="s">
        <v>75</v>
      </c>
      <c r="Q1265">
        <v>2015</v>
      </c>
      <c r="R1265" s="2">
        <v>42333</v>
      </c>
      <c r="S1265" s="2">
        <v>42345</v>
      </c>
      <c r="T1265" s="2">
        <v>42342</v>
      </c>
      <c r="U1265" s="2">
        <v>42402</v>
      </c>
      <c r="V1265" t="s">
        <v>71</v>
      </c>
      <c r="W1265" t="str">
        <f>"            31511340"</f>
        <v xml:space="preserve">            31511340</v>
      </c>
      <c r="X1265">
        <v>297.60000000000002</v>
      </c>
      <c r="Y1265">
        <v>0</v>
      </c>
      <c r="Z1265" s="3">
        <v>286.14999999999998</v>
      </c>
      <c r="AA1265">
        <v>280</v>
      </c>
      <c r="AB1265" s="5">
        <v>80122</v>
      </c>
      <c r="AC1265">
        <v>286.14999999999998</v>
      </c>
      <c r="AD1265">
        <v>280</v>
      </c>
      <c r="AE1265" s="1">
        <v>80122</v>
      </c>
      <c r="AF1265">
        <v>0</v>
      </c>
      <c r="AJ1265">
        <v>0</v>
      </c>
      <c r="AK1265">
        <v>0</v>
      </c>
      <c r="AL1265">
        <v>0</v>
      </c>
      <c r="AM1265">
        <v>0</v>
      </c>
      <c r="AN1265">
        <v>0</v>
      </c>
      <c r="AO1265">
        <v>0</v>
      </c>
      <c r="AP1265" s="2">
        <v>42746</v>
      </c>
      <c r="AQ1265" t="s">
        <v>72</v>
      </c>
      <c r="AR1265" t="s">
        <v>72</v>
      </c>
      <c r="AS1265">
        <v>2975</v>
      </c>
      <c r="AT1265" s="4">
        <v>42682</v>
      </c>
      <c r="AU1265" t="s">
        <v>73</v>
      </c>
      <c r="AV1265">
        <v>2975</v>
      </c>
      <c r="AW1265" s="4">
        <v>42682</v>
      </c>
      <c r="BD1265">
        <v>0</v>
      </c>
      <c r="BN1265" t="s">
        <v>74</v>
      </c>
    </row>
    <row r="1266" spans="1:66">
      <c r="A1266">
        <v>100270</v>
      </c>
      <c r="B1266" s="3" t="s">
        <v>150</v>
      </c>
      <c r="C1266" s="1">
        <v>43300101</v>
      </c>
      <c r="D1266" t="s">
        <v>67</v>
      </c>
      <c r="H1266" t="str">
        <f t="shared" ref="H1266:H1281" si="110">"03748120155"</f>
        <v>03748120155</v>
      </c>
      <c r="I1266" t="str">
        <f t="shared" ref="I1266:I1281" si="111">"01364640233"</f>
        <v>01364640233</v>
      </c>
      <c r="K1266" t="str">
        <f>""</f>
        <v/>
      </c>
      <c r="M1266" t="s">
        <v>68</v>
      </c>
      <c r="N1266" t="str">
        <f t="shared" ref="N1266:N1281" si="112">"FOR"</f>
        <v>FOR</v>
      </c>
      <c r="O1266" t="s">
        <v>69</v>
      </c>
      <c r="P1266" s="3" t="s">
        <v>75</v>
      </c>
      <c r="Q1266">
        <v>2015</v>
      </c>
      <c r="R1266" s="2">
        <v>42333</v>
      </c>
      <c r="S1266" s="2">
        <v>42345</v>
      </c>
      <c r="T1266" s="2">
        <v>42342</v>
      </c>
      <c r="U1266" s="2">
        <v>42402</v>
      </c>
      <c r="V1266" t="s">
        <v>71</v>
      </c>
      <c r="W1266" t="str">
        <f>"            31511353"</f>
        <v xml:space="preserve">            31511353</v>
      </c>
      <c r="X1266" s="1">
        <v>13390.26</v>
      </c>
      <c r="Y1266">
        <v>0</v>
      </c>
      <c r="Z1266" s="5">
        <v>12875.25</v>
      </c>
      <c r="AA1266">
        <v>280</v>
      </c>
      <c r="AB1266" s="5">
        <v>3605070</v>
      </c>
      <c r="AC1266" s="1">
        <v>12875.25</v>
      </c>
      <c r="AD1266">
        <v>280</v>
      </c>
      <c r="AE1266" s="1">
        <v>3605070</v>
      </c>
      <c r="AF1266">
        <v>0</v>
      </c>
      <c r="AJ1266">
        <v>0</v>
      </c>
      <c r="AK1266">
        <v>0</v>
      </c>
      <c r="AL1266">
        <v>0</v>
      </c>
      <c r="AM1266">
        <v>0</v>
      </c>
      <c r="AN1266">
        <v>0</v>
      </c>
      <c r="AO1266">
        <v>0</v>
      </c>
      <c r="AP1266" s="2">
        <v>42746</v>
      </c>
      <c r="AQ1266" t="s">
        <v>72</v>
      </c>
      <c r="AR1266" t="s">
        <v>72</v>
      </c>
      <c r="AS1266">
        <v>2975</v>
      </c>
      <c r="AT1266" s="4">
        <v>42682</v>
      </c>
      <c r="AU1266" t="s">
        <v>73</v>
      </c>
      <c r="AV1266">
        <v>2975</v>
      </c>
      <c r="AW1266" s="4">
        <v>42682</v>
      </c>
      <c r="BD1266">
        <v>0</v>
      </c>
      <c r="BN1266" t="s">
        <v>74</v>
      </c>
    </row>
    <row r="1267" spans="1:66">
      <c r="A1267">
        <v>100270</v>
      </c>
      <c r="B1267" s="3" t="s">
        <v>150</v>
      </c>
      <c r="C1267" s="1">
        <v>43300101</v>
      </c>
      <c r="D1267" t="s">
        <v>67</v>
      </c>
      <c r="H1267" t="str">
        <f t="shared" si="110"/>
        <v>03748120155</v>
      </c>
      <c r="I1267" t="str">
        <f t="shared" si="111"/>
        <v>01364640233</v>
      </c>
      <c r="K1267" t="str">
        <f>""</f>
        <v/>
      </c>
      <c r="M1267" t="s">
        <v>68</v>
      </c>
      <c r="N1267" t="str">
        <f t="shared" si="112"/>
        <v>FOR</v>
      </c>
      <c r="O1267" t="s">
        <v>69</v>
      </c>
      <c r="P1267" s="3" t="s">
        <v>75</v>
      </c>
      <c r="Q1267">
        <v>2015</v>
      </c>
      <c r="R1267" s="2">
        <v>42333</v>
      </c>
      <c r="S1267" s="2">
        <v>42345</v>
      </c>
      <c r="T1267" s="2">
        <v>42342</v>
      </c>
      <c r="U1267" s="2">
        <v>42402</v>
      </c>
      <c r="V1267" t="s">
        <v>71</v>
      </c>
      <c r="W1267" t="str">
        <f>"            31511354"</f>
        <v xml:space="preserve">            31511354</v>
      </c>
      <c r="X1267" s="1">
        <v>9770.2800000000007</v>
      </c>
      <c r="Y1267">
        <v>0</v>
      </c>
      <c r="Z1267" s="5">
        <v>9394.5</v>
      </c>
      <c r="AA1267">
        <v>280</v>
      </c>
      <c r="AB1267" s="5">
        <v>2630460</v>
      </c>
      <c r="AC1267" s="1">
        <v>9394.5</v>
      </c>
      <c r="AD1267">
        <v>280</v>
      </c>
      <c r="AE1267" s="1">
        <v>2630460</v>
      </c>
      <c r="AF1267">
        <v>0</v>
      </c>
      <c r="AJ1267">
        <v>0</v>
      </c>
      <c r="AK1267">
        <v>0</v>
      </c>
      <c r="AL1267">
        <v>0</v>
      </c>
      <c r="AM1267">
        <v>0</v>
      </c>
      <c r="AN1267">
        <v>0</v>
      </c>
      <c r="AO1267">
        <v>0</v>
      </c>
      <c r="AP1267" s="2">
        <v>42746</v>
      </c>
      <c r="AQ1267" t="s">
        <v>72</v>
      </c>
      <c r="AR1267" t="s">
        <v>72</v>
      </c>
      <c r="AS1267">
        <v>2975</v>
      </c>
      <c r="AT1267" s="4">
        <v>42682</v>
      </c>
      <c r="AU1267" t="s">
        <v>73</v>
      </c>
      <c r="AV1267">
        <v>2975</v>
      </c>
      <c r="AW1267" s="4">
        <v>42682</v>
      </c>
      <c r="BD1267">
        <v>0</v>
      </c>
      <c r="BN1267" t="s">
        <v>74</v>
      </c>
    </row>
    <row r="1268" spans="1:66">
      <c r="A1268">
        <v>100270</v>
      </c>
      <c r="B1268" s="3" t="s">
        <v>150</v>
      </c>
      <c r="C1268" s="1">
        <v>43300101</v>
      </c>
      <c r="D1268" t="s">
        <v>67</v>
      </c>
      <c r="H1268" t="str">
        <f t="shared" si="110"/>
        <v>03748120155</v>
      </c>
      <c r="I1268" t="str">
        <f t="shared" si="111"/>
        <v>01364640233</v>
      </c>
      <c r="K1268" t="str">
        <f>""</f>
        <v/>
      </c>
      <c r="M1268" t="s">
        <v>68</v>
      </c>
      <c r="N1268" t="str">
        <f t="shared" si="112"/>
        <v>FOR</v>
      </c>
      <c r="O1268" t="s">
        <v>69</v>
      </c>
      <c r="P1268" s="3" t="s">
        <v>75</v>
      </c>
      <c r="Q1268">
        <v>2015</v>
      </c>
      <c r="R1268" s="2">
        <v>42333</v>
      </c>
      <c r="S1268" s="2">
        <v>42345</v>
      </c>
      <c r="T1268" s="2">
        <v>42342</v>
      </c>
      <c r="U1268" s="2">
        <v>42402</v>
      </c>
      <c r="V1268" t="s">
        <v>71</v>
      </c>
      <c r="W1268" t="str">
        <f>"            31511355"</f>
        <v xml:space="preserve">            31511355</v>
      </c>
      <c r="X1268" s="1">
        <v>9770.2800000000007</v>
      </c>
      <c r="Y1268">
        <v>0</v>
      </c>
      <c r="Z1268" s="5">
        <v>9394.5</v>
      </c>
      <c r="AA1268">
        <v>280</v>
      </c>
      <c r="AB1268" s="5">
        <v>2630460</v>
      </c>
      <c r="AC1268" s="1">
        <v>9394.5</v>
      </c>
      <c r="AD1268">
        <v>280</v>
      </c>
      <c r="AE1268" s="1">
        <v>2630460</v>
      </c>
      <c r="AF1268">
        <v>0</v>
      </c>
      <c r="AJ1268">
        <v>0</v>
      </c>
      <c r="AK1268">
        <v>0</v>
      </c>
      <c r="AL1268">
        <v>0</v>
      </c>
      <c r="AM1268">
        <v>0</v>
      </c>
      <c r="AN1268">
        <v>0</v>
      </c>
      <c r="AO1268">
        <v>0</v>
      </c>
      <c r="AP1268" s="2">
        <v>42746</v>
      </c>
      <c r="AQ1268" t="s">
        <v>72</v>
      </c>
      <c r="AR1268" t="s">
        <v>72</v>
      </c>
      <c r="AS1268">
        <v>2975</v>
      </c>
      <c r="AT1268" s="4">
        <v>42682</v>
      </c>
      <c r="AU1268" t="s">
        <v>73</v>
      </c>
      <c r="AV1268">
        <v>2975</v>
      </c>
      <c r="AW1268" s="4">
        <v>42682</v>
      </c>
      <c r="BD1268">
        <v>0</v>
      </c>
      <c r="BN1268" t="s">
        <v>74</v>
      </c>
    </row>
    <row r="1269" spans="1:66">
      <c r="A1269">
        <v>100270</v>
      </c>
      <c r="B1269" s="3" t="s">
        <v>150</v>
      </c>
      <c r="C1269" s="1">
        <v>43300101</v>
      </c>
      <c r="D1269" t="s">
        <v>67</v>
      </c>
      <c r="H1269" t="str">
        <f t="shared" si="110"/>
        <v>03748120155</v>
      </c>
      <c r="I1269" t="str">
        <f t="shared" si="111"/>
        <v>01364640233</v>
      </c>
      <c r="K1269" t="str">
        <f>""</f>
        <v/>
      </c>
      <c r="M1269" t="s">
        <v>68</v>
      </c>
      <c r="N1269" t="str">
        <f t="shared" si="112"/>
        <v>FOR</v>
      </c>
      <c r="O1269" t="s">
        <v>69</v>
      </c>
      <c r="P1269" s="3" t="s">
        <v>75</v>
      </c>
      <c r="Q1269">
        <v>2015</v>
      </c>
      <c r="R1269" s="2">
        <v>42347</v>
      </c>
      <c r="S1269" s="2">
        <v>42354</v>
      </c>
      <c r="T1269" s="2">
        <v>42354</v>
      </c>
      <c r="U1269" s="2">
        <v>42414</v>
      </c>
      <c r="V1269" t="s">
        <v>71</v>
      </c>
      <c r="W1269" t="str">
        <f>"            31511864"</f>
        <v xml:space="preserve">            31511864</v>
      </c>
      <c r="X1269">
        <v>297.60000000000002</v>
      </c>
      <c r="Y1269">
        <v>0</v>
      </c>
      <c r="Z1269" s="3">
        <v>286.14999999999998</v>
      </c>
      <c r="AA1269">
        <v>268</v>
      </c>
      <c r="AB1269" s="5">
        <v>76688.2</v>
      </c>
      <c r="AC1269">
        <v>286.14999999999998</v>
      </c>
      <c r="AD1269">
        <v>268</v>
      </c>
      <c r="AE1269" s="1">
        <v>76688.2</v>
      </c>
      <c r="AF1269">
        <v>0</v>
      </c>
      <c r="AJ1269">
        <v>0</v>
      </c>
      <c r="AK1269">
        <v>0</v>
      </c>
      <c r="AL1269">
        <v>0</v>
      </c>
      <c r="AM1269">
        <v>0</v>
      </c>
      <c r="AN1269">
        <v>0</v>
      </c>
      <c r="AO1269">
        <v>0</v>
      </c>
      <c r="AP1269" s="2">
        <v>42746</v>
      </c>
      <c r="AQ1269" t="s">
        <v>72</v>
      </c>
      <c r="AR1269" t="s">
        <v>72</v>
      </c>
      <c r="AS1269">
        <v>2975</v>
      </c>
      <c r="AT1269" s="4">
        <v>42682</v>
      </c>
      <c r="AU1269" t="s">
        <v>73</v>
      </c>
      <c r="AV1269">
        <v>2975</v>
      </c>
      <c r="AW1269" s="4">
        <v>42682</v>
      </c>
      <c r="BD1269">
        <v>0</v>
      </c>
      <c r="BN1269" t="s">
        <v>74</v>
      </c>
    </row>
    <row r="1270" spans="1:66">
      <c r="A1270">
        <v>100270</v>
      </c>
      <c r="B1270" s="3" t="s">
        <v>150</v>
      </c>
      <c r="C1270" s="1">
        <v>43300101</v>
      </c>
      <c r="D1270" t="s">
        <v>67</v>
      </c>
      <c r="H1270" t="str">
        <f t="shared" si="110"/>
        <v>03748120155</v>
      </c>
      <c r="I1270" t="str">
        <f t="shared" si="111"/>
        <v>01364640233</v>
      </c>
      <c r="K1270" t="str">
        <f>""</f>
        <v/>
      </c>
      <c r="M1270" t="s">
        <v>68</v>
      </c>
      <c r="N1270" t="str">
        <f t="shared" si="112"/>
        <v>FOR</v>
      </c>
      <c r="O1270" t="s">
        <v>69</v>
      </c>
      <c r="P1270" s="3" t="s">
        <v>75</v>
      </c>
      <c r="Q1270">
        <v>2015</v>
      </c>
      <c r="R1270" s="2">
        <v>42347</v>
      </c>
      <c r="S1270" s="2">
        <v>42354</v>
      </c>
      <c r="T1270" s="2">
        <v>42354</v>
      </c>
      <c r="U1270" s="2">
        <v>42414</v>
      </c>
      <c r="V1270" t="s">
        <v>71</v>
      </c>
      <c r="W1270" t="str">
        <f>"            31511865"</f>
        <v xml:space="preserve">            31511865</v>
      </c>
      <c r="X1270">
        <v>297.60000000000002</v>
      </c>
      <c r="Y1270">
        <v>0</v>
      </c>
      <c r="Z1270" s="3">
        <v>286.14999999999998</v>
      </c>
      <c r="AA1270">
        <v>268</v>
      </c>
      <c r="AB1270" s="5">
        <v>76688.2</v>
      </c>
      <c r="AC1270">
        <v>286.14999999999998</v>
      </c>
      <c r="AD1270">
        <v>268</v>
      </c>
      <c r="AE1270" s="1">
        <v>76688.2</v>
      </c>
      <c r="AF1270">
        <v>0</v>
      </c>
      <c r="AJ1270">
        <v>0</v>
      </c>
      <c r="AK1270">
        <v>0</v>
      </c>
      <c r="AL1270">
        <v>0</v>
      </c>
      <c r="AM1270">
        <v>0</v>
      </c>
      <c r="AN1270">
        <v>0</v>
      </c>
      <c r="AO1270">
        <v>0</v>
      </c>
      <c r="AP1270" s="2">
        <v>42746</v>
      </c>
      <c r="AQ1270" t="s">
        <v>72</v>
      </c>
      <c r="AR1270" t="s">
        <v>72</v>
      </c>
      <c r="AS1270">
        <v>2975</v>
      </c>
      <c r="AT1270" s="4">
        <v>42682</v>
      </c>
      <c r="AU1270" t="s">
        <v>73</v>
      </c>
      <c r="AV1270">
        <v>2975</v>
      </c>
      <c r="AW1270" s="4">
        <v>42682</v>
      </c>
      <c r="BD1270">
        <v>0</v>
      </c>
      <c r="BN1270" t="s">
        <v>74</v>
      </c>
    </row>
    <row r="1271" spans="1:66">
      <c r="A1271">
        <v>100270</v>
      </c>
      <c r="B1271" s="3" t="s">
        <v>150</v>
      </c>
      <c r="C1271" s="1">
        <v>43300101</v>
      </c>
      <c r="D1271" t="s">
        <v>67</v>
      </c>
      <c r="H1271" t="str">
        <f t="shared" si="110"/>
        <v>03748120155</v>
      </c>
      <c r="I1271" t="str">
        <f t="shared" si="111"/>
        <v>01364640233</v>
      </c>
      <c r="K1271" t="str">
        <f>""</f>
        <v/>
      </c>
      <c r="M1271" t="s">
        <v>68</v>
      </c>
      <c r="N1271" t="str">
        <f t="shared" si="112"/>
        <v>FOR</v>
      </c>
      <c r="O1271" t="s">
        <v>69</v>
      </c>
      <c r="P1271" s="3" t="s">
        <v>75</v>
      </c>
      <c r="Q1271">
        <v>2015</v>
      </c>
      <c r="R1271" s="2">
        <v>42347</v>
      </c>
      <c r="S1271" s="2">
        <v>42354</v>
      </c>
      <c r="T1271" s="2">
        <v>42354</v>
      </c>
      <c r="U1271" s="2">
        <v>42414</v>
      </c>
      <c r="V1271" t="s">
        <v>71</v>
      </c>
      <c r="W1271" t="str">
        <f>"            31511866"</f>
        <v xml:space="preserve">            31511866</v>
      </c>
      <c r="X1271">
        <v>297.60000000000002</v>
      </c>
      <c r="Y1271">
        <v>0</v>
      </c>
      <c r="Z1271" s="3">
        <v>286.14999999999998</v>
      </c>
      <c r="AA1271">
        <v>268</v>
      </c>
      <c r="AB1271" s="5">
        <v>76688.2</v>
      </c>
      <c r="AC1271">
        <v>286.14999999999998</v>
      </c>
      <c r="AD1271">
        <v>268</v>
      </c>
      <c r="AE1271" s="1">
        <v>76688.2</v>
      </c>
      <c r="AF1271">
        <v>0</v>
      </c>
      <c r="AJ1271">
        <v>0</v>
      </c>
      <c r="AK1271">
        <v>0</v>
      </c>
      <c r="AL1271">
        <v>0</v>
      </c>
      <c r="AM1271">
        <v>0</v>
      </c>
      <c r="AN1271">
        <v>0</v>
      </c>
      <c r="AO1271">
        <v>0</v>
      </c>
      <c r="AP1271" s="2">
        <v>42746</v>
      </c>
      <c r="AQ1271" t="s">
        <v>72</v>
      </c>
      <c r="AR1271" t="s">
        <v>72</v>
      </c>
      <c r="AS1271">
        <v>2975</v>
      </c>
      <c r="AT1271" s="4">
        <v>42682</v>
      </c>
      <c r="AU1271" t="s">
        <v>73</v>
      </c>
      <c r="AV1271">
        <v>2975</v>
      </c>
      <c r="AW1271" s="4">
        <v>42682</v>
      </c>
      <c r="BD1271">
        <v>0</v>
      </c>
      <c r="BN1271" t="s">
        <v>74</v>
      </c>
    </row>
    <row r="1272" spans="1:66">
      <c r="A1272">
        <v>100270</v>
      </c>
      <c r="B1272" s="3" t="s">
        <v>150</v>
      </c>
      <c r="C1272" s="1">
        <v>43300101</v>
      </c>
      <c r="D1272" t="s">
        <v>67</v>
      </c>
      <c r="H1272" t="str">
        <f t="shared" si="110"/>
        <v>03748120155</v>
      </c>
      <c r="I1272" t="str">
        <f t="shared" si="111"/>
        <v>01364640233</v>
      </c>
      <c r="K1272" t="str">
        <f>""</f>
        <v/>
      </c>
      <c r="M1272" t="s">
        <v>68</v>
      </c>
      <c r="N1272" t="str">
        <f t="shared" si="112"/>
        <v>FOR</v>
      </c>
      <c r="O1272" t="s">
        <v>69</v>
      </c>
      <c r="P1272" s="3" t="s">
        <v>75</v>
      </c>
      <c r="Q1272">
        <v>2015</v>
      </c>
      <c r="R1272" s="2">
        <v>42361</v>
      </c>
      <c r="S1272" s="2">
        <v>42369</v>
      </c>
      <c r="T1272" s="2">
        <v>42369</v>
      </c>
      <c r="U1272" s="2">
        <v>42429</v>
      </c>
      <c r="V1272" t="s">
        <v>71</v>
      </c>
      <c r="W1272" t="str">
        <f>"            31512409"</f>
        <v xml:space="preserve">            31512409</v>
      </c>
      <c r="X1272" s="1">
        <v>13390.26</v>
      </c>
      <c r="Y1272">
        <v>0</v>
      </c>
      <c r="Z1272" s="5">
        <v>12875.25</v>
      </c>
      <c r="AA1272">
        <v>253</v>
      </c>
      <c r="AB1272" s="5">
        <v>3257438.25</v>
      </c>
      <c r="AC1272" s="1">
        <v>12875.25</v>
      </c>
      <c r="AD1272">
        <v>253</v>
      </c>
      <c r="AE1272" s="1">
        <v>3257438.25</v>
      </c>
      <c r="AF1272">
        <v>0</v>
      </c>
      <c r="AJ1272">
        <v>0</v>
      </c>
      <c r="AK1272">
        <v>0</v>
      </c>
      <c r="AL1272">
        <v>0</v>
      </c>
      <c r="AM1272">
        <v>0</v>
      </c>
      <c r="AN1272">
        <v>0</v>
      </c>
      <c r="AO1272">
        <v>0</v>
      </c>
      <c r="AP1272" s="2">
        <v>42746</v>
      </c>
      <c r="AQ1272" t="s">
        <v>72</v>
      </c>
      <c r="AR1272" t="s">
        <v>72</v>
      </c>
      <c r="AS1272">
        <v>2975</v>
      </c>
      <c r="AT1272" s="4">
        <v>42682</v>
      </c>
      <c r="AU1272" t="s">
        <v>73</v>
      </c>
      <c r="AV1272">
        <v>2975</v>
      </c>
      <c r="AW1272" s="4">
        <v>42682</v>
      </c>
      <c r="BD1272">
        <v>0</v>
      </c>
      <c r="BN1272" t="s">
        <v>74</v>
      </c>
    </row>
    <row r="1273" spans="1:66">
      <c r="A1273">
        <v>100270</v>
      </c>
      <c r="B1273" s="3" t="s">
        <v>150</v>
      </c>
      <c r="C1273" s="1">
        <v>43300101</v>
      </c>
      <c r="D1273" t="s">
        <v>67</v>
      </c>
      <c r="H1273" t="str">
        <f t="shared" si="110"/>
        <v>03748120155</v>
      </c>
      <c r="I1273" t="str">
        <f t="shared" si="111"/>
        <v>01364640233</v>
      </c>
      <c r="K1273" t="str">
        <f>""</f>
        <v/>
      </c>
      <c r="M1273" t="s">
        <v>68</v>
      </c>
      <c r="N1273" t="str">
        <f t="shared" si="112"/>
        <v>FOR</v>
      </c>
      <c r="O1273" t="s">
        <v>69</v>
      </c>
      <c r="P1273" s="3" t="s">
        <v>75</v>
      </c>
      <c r="Q1273">
        <v>2015</v>
      </c>
      <c r="R1273" s="2">
        <v>42361</v>
      </c>
      <c r="S1273" s="2">
        <v>42369</v>
      </c>
      <c r="T1273" s="2">
        <v>42369</v>
      </c>
      <c r="U1273" s="2">
        <v>42429</v>
      </c>
      <c r="V1273" t="s">
        <v>71</v>
      </c>
      <c r="W1273" t="str">
        <f>"            31512417"</f>
        <v xml:space="preserve">            31512417</v>
      </c>
      <c r="X1273" s="1">
        <v>10032.36</v>
      </c>
      <c r="Y1273">
        <v>0</v>
      </c>
      <c r="Z1273" s="5">
        <v>9646.5</v>
      </c>
      <c r="AA1273">
        <v>294</v>
      </c>
      <c r="AB1273" s="5">
        <v>2836071</v>
      </c>
      <c r="AC1273" s="1">
        <v>9646.5</v>
      </c>
      <c r="AD1273">
        <v>294</v>
      </c>
      <c r="AE1273" s="1">
        <v>2836071</v>
      </c>
      <c r="AF1273">
        <v>385.86</v>
      </c>
      <c r="AJ1273">
        <v>0</v>
      </c>
      <c r="AK1273">
        <v>0</v>
      </c>
      <c r="AL1273">
        <v>0</v>
      </c>
      <c r="AM1273">
        <v>0</v>
      </c>
      <c r="AN1273">
        <v>0</v>
      </c>
      <c r="AO1273">
        <v>0</v>
      </c>
      <c r="AP1273" s="2">
        <v>42746</v>
      </c>
      <c r="AQ1273" t="s">
        <v>72</v>
      </c>
      <c r="AR1273" t="s">
        <v>72</v>
      </c>
      <c r="AS1273">
        <v>3587</v>
      </c>
      <c r="AT1273" s="4">
        <v>42723</v>
      </c>
      <c r="AU1273" t="s">
        <v>73</v>
      </c>
      <c r="AV1273">
        <v>3587</v>
      </c>
      <c r="AW1273" s="4">
        <v>42723</v>
      </c>
      <c r="BD1273">
        <v>385.86</v>
      </c>
      <c r="BN1273" t="s">
        <v>74</v>
      </c>
    </row>
    <row r="1274" spans="1:66">
      <c r="A1274">
        <v>100270</v>
      </c>
      <c r="B1274" s="3" t="s">
        <v>150</v>
      </c>
      <c r="C1274" s="1">
        <v>43300101</v>
      </c>
      <c r="D1274" t="s">
        <v>67</v>
      </c>
      <c r="H1274" t="str">
        <f t="shared" si="110"/>
        <v>03748120155</v>
      </c>
      <c r="I1274" t="str">
        <f t="shared" si="111"/>
        <v>01364640233</v>
      </c>
      <c r="K1274" t="str">
        <f>""</f>
        <v/>
      </c>
      <c r="M1274" t="s">
        <v>68</v>
      </c>
      <c r="N1274" t="str">
        <f t="shared" si="112"/>
        <v>FOR</v>
      </c>
      <c r="O1274" t="s">
        <v>69</v>
      </c>
      <c r="P1274" s="3" t="s">
        <v>75</v>
      </c>
      <c r="Q1274">
        <v>2016</v>
      </c>
      <c r="R1274" s="2">
        <v>42390</v>
      </c>
      <c r="S1274" s="2">
        <v>42401</v>
      </c>
      <c r="T1274" s="2">
        <v>42397</v>
      </c>
      <c r="U1274" s="2">
        <v>42457</v>
      </c>
      <c r="V1274" t="s">
        <v>71</v>
      </c>
      <c r="W1274" t="str">
        <f>"            31600565"</f>
        <v xml:space="preserve">            31600565</v>
      </c>
      <c r="X1274">
        <v>297.60000000000002</v>
      </c>
      <c r="Y1274">
        <v>0</v>
      </c>
      <c r="Z1274" s="3">
        <v>286.14999999999998</v>
      </c>
      <c r="AA1274">
        <v>266</v>
      </c>
      <c r="AB1274" s="5">
        <v>76115.899999999994</v>
      </c>
      <c r="AC1274">
        <v>286.14999999999998</v>
      </c>
      <c r="AD1274">
        <v>266</v>
      </c>
      <c r="AE1274" s="1">
        <v>76115.899999999994</v>
      </c>
      <c r="AF1274">
        <v>11.45</v>
      </c>
      <c r="AJ1274">
        <v>0</v>
      </c>
      <c r="AK1274">
        <v>0</v>
      </c>
      <c r="AL1274">
        <v>0</v>
      </c>
      <c r="AM1274">
        <v>297.60000000000002</v>
      </c>
      <c r="AN1274">
        <v>297.60000000000002</v>
      </c>
      <c r="AO1274">
        <v>297.60000000000002</v>
      </c>
      <c r="AP1274" s="2">
        <v>42746</v>
      </c>
      <c r="AQ1274" t="s">
        <v>72</v>
      </c>
      <c r="AR1274" t="s">
        <v>72</v>
      </c>
      <c r="AS1274">
        <v>3587</v>
      </c>
      <c r="AT1274" s="4">
        <v>42723</v>
      </c>
      <c r="AU1274" t="s">
        <v>73</v>
      </c>
      <c r="AV1274">
        <v>3587</v>
      </c>
      <c r="AW1274" s="4">
        <v>42723</v>
      </c>
      <c r="BD1274">
        <v>11.45</v>
      </c>
      <c r="BN1274" t="s">
        <v>74</v>
      </c>
    </row>
    <row r="1275" spans="1:66">
      <c r="A1275">
        <v>100270</v>
      </c>
      <c r="B1275" s="3" t="s">
        <v>150</v>
      </c>
      <c r="C1275" s="1">
        <v>43300101</v>
      </c>
      <c r="D1275" t="s">
        <v>67</v>
      </c>
      <c r="H1275" t="str">
        <f t="shared" si="110"/>
        <v>03748120155</v>
      </c>
      <c r="I1275" t="str">
        <f t="shared" si="111"/>
        <v>01364640233</v>
      </c>
      <c r="K1275" t="str">
        <f>""</f>
        <v/>
      </c>
      <c r="M1275" t="s">
        <v>68</v>
      </c>
      <c r="N1275" t="str">
        <f t="shared" si="112"/>
        <v>FOR</v>
      </c>
      <c r="O1275" t="s">
        <v>69</v>
      </c>
      <c r="P1275" s="3" t="s">
        <v>75</v>
      </c>
      <c r="Q1275">
        <v>2016</v>
      </c>
      <c r="R1275" s="2">
        <v>42390</v>
      </c>
      <c r="S1275" s="2">
        <v>42401</v>
      </c>
      <c r="T1275" s="2">
        <v>42397</v>
      </c>
      <c r="U1275" s="2">
        <v>42457</v>
      </c>
      <c r="V1275" t="s">
        <v>71</v>
      </c>
      <c r="W1275" t="str">
        <f>"            31600566"</f>
        <v xml:space="preserve">            31600566</v>
      </c>
      <c r="X1275" s="1">
        <v>2543.1799999999998</v>
      </c>
      <c r="Y1275">
        <v>0</v>
      </c>
      <c r="Z1275" s="5">
        <v>2445.37</v>
      </c>
      <c r="AA1275">
        <v>266</v>
      </c>
      <c r="AB1275" s="5">
        <v>650468.42000000004</v>
      </c>
      <c r="AC1275" s="1">
        <v>2445.37</v>
      </c>
      <c r="AD1275">
        <v>266</v>
      </c>
      <c r="AE1275" s="1">
        <v>650468.42000000004</v>
      </c>
      <c r="AF1275">
        <v>97.81</v>
      </c>
      <c r="AJ1275">
        <v>0</v>
      </c>
      <c r="AK1275">
        <v>0</v>
      </c>
      <c r="AL1275">
        <v>0</v>
      </c>
      <c r="AM1275" s="1">
        <v>2543.1799999999998</v>
      </c>
      <c r="AN1275" s="1">
        <v>2543.1799999999998</v>
      </c>
      <c r="AO1275" s="1">
        <v>2543.1799999999998</v>
      </c>
      <c r="AP1275" s="2">
        <v>42746</v>
      </c>
      <c r="AQ1275" t="s">
        <v>72</v>
      </c>
      <c r="AR1275" t="s">
        <v>72</v>
      </c>
      <c r="AS1275">
        <v>3587</v>
      </c>
      <c r="AT1275" s="4">
        <v>42723</v>
      </c>
      <c r="AU1275" t="s">
        <v>73</v>
      </c>
      <c r="AV1275">
        <v>3587</v>
      </c>
      <c r="AW1275" s="4">
        <v>42723</v>
      </c>
      <c r="BD1275">
        <v>97.81</v>
      </c>
      <c r="BN1275" t="s">
        <v>74</v>
      </c>
    </row>
    <row r="1276" spans="1:66">
      <c r="A1276">
        <v>100270</v>
      </c>
      <c r="B1276" s="3" t="s">
        <v>150</v>
      </c>
      <c r="C1276" s="1">
        <v>43300101</v>
      </c>
      <c r="D1276" t="s">
        <v>67</v>
      </c>
      <c r="H1276" t="str">
        <f t="shared" si="110"/>
        <v>03748120155</v>
      </c>
      <c r="I1276" t="str">
        <f t="shared" si="111"/>
        <v>01364640233</v>
      </c>
      <c r="K1276" t="str">
        <f>""</f>
        <v/>
      </c>
      <c r="M1276" t="s">
        <v>68</v>
      </c>
      <c r="N1276" t="str">
        <f t="shared" si="112"/>
        <v>FOR</v>
      </c>
      <c r="O1276" t="s">
        <v>69</v>
      </c>
      <c r="P1276" s="3" t="s">
        <v>75</v>
      </c>
      <c r="Q1276">
        <v>2016</v>
      </c>
      <c r="R1276" s="2">
        <v>42390</v>
      </c>
      <c r="S1276" s="2">
        <v>42401</v>
      </c>
      <c r="T1276" s="2">
        <v>42397</v>
      </c>
      <c r="U1276" s="2">
        <v>42457</v>
      </c>
      <c r="V1276" t="s">
        <v>71</v>
      </c>
      <c r="W1276" t="str">
        <f>"            31600567"</f>
        <v xml:space="preserve">            31600567</v>
      </c>
      <c r="X1276" s="1">
        <v>1825.93</v>
      </c>
      <c r="Y1276">
        <v>0</v>
      </c>
      <c r="Z1276" s="5">
        <v>1755.7</v>
      </c>
      <c r="AA1276">
        <v>266</v>
      </c>
      <c r="AB1276" s="5">
        <v>467016.2</v>
      </c>
      <c r="AC1276" s="1">
        <v>1755.7</v>
      </c>
      <c r="AD1276">
        <v>266</v>
      </c>
      <c r="AE1276" s="1">
        <v>467016.2</v>
      </c>
      <c r="AF1276">
        <v>70.23</v>
      </c>
      <c r="AJ1276">
        <v>0</v>
      </c>
      <c r="AK1276">
        <v>0</v>
      </c>
      <c r="AL1276">
        <v>0</v>
      </c>
      <c r="AM1276" s="1">
        <v>1825.93</v>
      </c>
      <c r="AN1276" s="1">
        <v>1825.93</v>
      </c>
      <c r="AO1276" s="1">
        <v>1825.93</v>
      </c>
      <c r="AP1276" s="2">
        <v>42746</v>
      </c>
      <c r="AQ1276" t="s">
        <v>72</v>
      </c>
      <c r="AR1276" t="s">
        <v>72</v>
      </c>
      <c r="AS1276">
        <v>3587</v>
      </c>
      <c r="AT1276" s="4">
        <v>42723</v>
      </c>
      <c r="AU1276" t="s">
        <v>73</v>
      </c>
      <c r="AV1276">
        <v>3587</v>
      </c>
      <c r="AW1276" s="4">
        <v>42723</v>
      </c>
      <c r="BD1276">
        <v>70.23</v>
      </c>
      <c r="BN1276" t="s">
        <v>74</v>
      </c>
    </row>
    <row r="1277" spans="1:66">
      <c r="A1277">
        <v>100270</v>
      </c>
      <c r="B1277" s="3" t="s">
        <v>150</v>
      </c>
      <c r="C1277" s="1">
        <v>43300101</v>
      </c>
      <c r="D1277" t="s">
        <v>67</v>
      </c>
      <c r="H1277" t="str">
        <f t="shared" si="110"/>
        <v>03748120155</v>
      </c>
      <c r="I1277" t="str">
        <f t="shared" si="111"/>
        <v>01364640233</v>
      </c>
      <c r="K1277" t="str">
        <f>""</f>
        <v/>
      </c>
      <c r="M1277" t="s">
        <v>68</v>
      </c>
      <c r="N1277" t="str">
        <f t="shared" si="112"/>
        <v>FOR</v>
      </c>
      <c r="O1277" t="s">
        <v>69</v>
      </c>
      <c r="P1277" s="3" t="s">
        <v>75</v>
      </c>
      <c r="Q1277">
        <v>2016</v>
      </c>
      <c r="R1277" s="2">
        <v>42409</v>
      </c>
      <c r="S1277" s="2">
        <v>42425</v>
      </c>
      <c r="T1277" s="2">
        <v>42423</v>
      </c>
      <c r="U1277" s="2">
        <v>42483</v>
      </c>
      <c r="V1277" t="s">
        <v>71</v>
      </c>
      <c r="W1277" t="str">
        <f>"            31601333"</f>
        <v xml:space="preserve">            31601333</v>
      </c>
      <c r="X1277" s="1">
        <v>2530.3200000000002</v>
      </c>
      <c r="Y1277">
        <v>0</v>
      </c>
      <c r="Z1277" s="5">
        <v>2433</v>
      </c>
      <c r="AA1277">
        <v>240</v>
      </c>
      <c r="AB1277" s="5">
        <v>583920</v>
      </c>
      <c r="AC1277" s="1">
        <v>2433</v>
      </c>
      <c r="AD1277">
        <v>240</v>
      </c>
      <c r="AE1277" s="1">
        <v>583920</v>
      </c>
      <c r="AF1277">
        <v>97.32</v>
      </c>
      <c r="AJ1277">
        <v>0</v>
      </c>
      <c r="AK1277">
        <v>0</v>
      </c>
      <c r="AL1277">
        <v>0</v>
      </c>
      <c r="AM1277" s="1">
        <v>2530.3200000000002</v>
      </c>
      <c r="AN1277" s="1">
        <v>2530.3200000000002</v>
      </c>
      <c r="AO1277" s="1">
        <v>2530.3200000000002</v>
      </c>
      <c r="AP1277" s="2">
        <v>42746</v>
      </c>
      <c r="AQ1277" t="s">
        <v>72</v>
      </c>
      <c r="AR1277" t="s">
        <v>72</v>
      </c>
      <c r="AS1277">
        <v>3587</v>
      </c>
      <c r="AT1277" s="4">
        <v>42723</v>
      </c>
      <c r="AU1277" t="s">
        <v>73</v>
      </c>
      <c r="AV1277">
        <v>3587</v>
      </c>
      <c r="AW1277" s="4">
        <v>42723</v>
      </c>
      <c r="BD1277">
        <v>97.32</v>
      </c>
      <c r="BN1277" t="s">
        <v>74</v>
      </c>
    </row>
    <row r="1278" spans="1:66">
      <c r="A1278">
        <v>100270</v>
      </c>
      <c r="B1278" s="3" t="s">
        <v>150</v>
      </c>
      <c r="C1278" s="1">
        <v>43300101</v>
      </c>
      <c r="D1278" t="s">
        <v>67</v>
      </c>
      <c r="H1278" t="str">
        <f t="shared" si="110"/>
        <v>03748120155</v>
      </c>
      <c r="I1278" t="str">
        <f t="shared" si="111"/>
        <v>01364640233</v>
      </c>
      <c r="K1278" t="str">
        <f>""</f>
        <v/>
      </c>
      <c r="M1278" t="s">
        <v>68</v>
      </c>
      <c r="N1278" t="str">
        <f t="shared" si="112"/>
        <v>FOR</v>
      </c>
      <c r="O1278" t="s">
        <v>69</v>
      </c>
      <c r="P1278" s="3" t="s">
        <v>75</v>
      </c>
      <c r="Q1278">
        <v>2016</v>
      </c>
      <c r="R1278" s="2">
        <v>42409</v>
      </c>
      <c r="S1278" s="2">
        <v>42425</v>
      </c>
      <c r="T1278" s="2">
        <v>42423</v>
      </c>
      <c r="U1278" s="2">
        <v>42483</v>
      </c>
      <c r="V1278" t="s">
        <v>71</v>
      </c>
      <c r="W1278" t="str">
        <f>"            31601334"</f>
        <v xml:space="preserve">            31601334</v>
      </c>
      <c r="X1278" s="1">
        <v>9770.2800000000007</v>
      </c>
      <c r="Y1278">
        <v>0</v>
      </c>
      <c r="Z1278" s="5">
        <v>9394.5</v>
      </c>
      <c r="AA1278">
        <v>240</v>
      </c>
      <c r="AB1278" s="5">
        <v>2254680</v>
      </c>
      <c r="AC1278" s="1">
        <v>9394.5</v>
      </c>
      <c r="AD1278">
        <v>240</v>
      </c>
      <c r="AE1278" s="1">
        <v>2254680</v>
      </c>
      <c r="AF1278">
        <v>375.78</v>
      </c>
      <c r="AJ1278">
        <v>0</v>
      </c>
      <c r="AK1278">
        <v>0</v>
      </c>
      <c r="AL1278">
        <v>0</v>
      </c>
      <c r="AM1278" s="1">
        <v>9770.2800000000007</v>
      </c>
      <c r="AN1278" s="1">
        <v>9770.2800000000007</v>
      </c>
      <c r="AO1278" s="1">
        <v>9770.2800000000007</v>
      </c>
      <c r="AP1278" s="2">
        <v>42746</v>
      </c>
      <c r="AQ1278" t="s">
        <v>72</v>
      </c>
      <c r="AR1278" t="s">
        <v>72</v>
      </c>
      <c r="AS1278">
        <v>3587</v>
      </c>
      <c r="AT1278" s="4">
        <v>42723</v>
      </c>
      <c r="AU1278" t="s">
        <v>73</v>
      </c>
      <c r="AV1278">
        <v>3587</v>
      </c>
      <c r="AW1278" s="4">
        <v>42723</v>
      </c>
      <c r="BD1278">
        <v>375.78</v>
      </c>
      <c r="BN1278" t="s">
        <v>74</v>
      </c>
    </row>
    <row r="1279" spans="1:66">
      <c r="A1279">
        <v>100270</v>
      </c>
      <c r="B1279" s="3" t="s">
        <v>150</v>
      </c>
      <c r="C1279" s="1">
        <v>43300101</v>
      </c>
      <c r="D1279" t="s">
        <v>67</v>
      </c>
      <c r="H1279" t="str">
        <f t="shared" si="110"/>
        <v>03748120155</v>
      </c>
      <c r="I1279" t="str">
        <f t="shared" si="111"/>
        <v>01364640233</v>
      </c>
      <c r="K1279" t="str">
        <f>""</f>
        <v/>
      </c>
      <c r="M1279" t="s">
        <v>68</v>
      </c>
      <c r="N1279" t="str">
        <f t="shared" si="112"/>
        <v>FOR</v>
      </c>
      <c r="O1279" t="s">
        <v>69</v>
      </c>
      <c r="P1279" s="3" t="s">
        <v>75</v>
      </c>
      <c r="Q1279">
        <v>2016</v>
      </c>
      <c r="R1279" s="2">
        <v>42412</v>
      </c>
      <c r="S1279" s="2">
        <v>42425</v>
      </c>
      <c r="T1279" s="2">
        <v>42423</v>
      </c>
      <c r="U1279" s="2">
        <v>42483</v>
      </c>
      <c r="V1279" t="s">
        <v>71</v>
      </c>
      <c r="W1279" t="str">
        <f>"            31601554"</f>
        <v xml:space="preserve">            31601554</v>
      </c>
      <c r="X1279">
        <v>297.60000000000002</v>
      </c>
      <c r="Y1279">
        <v>0</v>
      </c>
      <c r="Z1279" s="3">
        <v>286.14999999999998</v>
      </c>
      <c r="AA1279">
        <v>240</v>
      </c>
      <c r="AB1279" s="5">
        <v>68676</v>
      </c>
      <c r="AC1279">
        <v>286.14999999999998</v>
      </c>
      <c r="AD1279">
        <v>240</v>
      </c>
      <c r="AE1279" s="1">
        <v>68676</v>
      </c>
      <c r="AF1279">
        <v>11.45</v>
      </c>
      <c r="AJ1279">
        <v>0</v>
      </c>
      <c r="AK1279">
        <v>0</v>
      </c>
      <c r="AL1279">
        <v>0</v>
      </c>
      <c r="AM1279">
        <v>297.60000000000002</v>
      </c>
      <c r="AN1279">
        <v>297.60000000000002</v>
      </c>
      <c r="AO1279">
        <v>297.60000000000002</v>
      </c>
      <c r="AP1279" s="2">
        <v>42746</v>
      </c>
      <c r="AQ1279" t="s">
        <v>72</v>
      </c>
      <c r="AR1279" t="s">
        <v>72</v>
      </c>
      <c r="AS1279">
        <v>3587</v>
      </c>
      <c r="AT1279" s="4">
        <v>42723</v>
      </c>
      <c r="AU1279" t="s">
        <v>73</v>
      </c>
      <c r="AV1279">
        <v>3587</v>
      </c>
      <c r="AW1279" s="4">
        <v>42723</v>
      </c>
      <c r="BD1279">
        <v>11.45</v>
      </c>
      <c r="BN1279" t="s">
        <v>74</v>
      </c>
    </row>
    <row r="1280" spans="1:66">
      <c r="A1280">
        <v>100270</v>
      </c>
      <c r="B1280" s="3" t="s">
        <v>150</v>
      </c>
      <c r="C1280" s="1">
        <v>43300101</v>
      </c>
      <c r="D1280" t="s">
        <v>67</v>
      </c>
      <c r="H1280" t="str">
        <f t="shared" si="110"/>
        <v>03748120155</v>
      </c>
      <c r="I1280" t="str">
        <f t="shared" si="111"/>
        <v>01364640233</v>
      </c>
      <c r="K1280" t="str">
        <f>""</f>
        <v/>
      </c>
      <c r="M1280" t="s">
        <v>68</v>
      </c>
      <c r="N1280" t="str">
        <f t="shared" si="112"/>
        <v>FOR</v>
      </c>
      <c r="O1280" t="s">
        <v>69</v>
      </c>
      <c r="P1280" s="3" t="s">
        <v>75</v>
      </c>
      <c r="Q1280">
        <v>2016</v>
      </c>
      <c r="R1280" s="2">
        <v>42412</v>
      </c>
      <c r="S1280" s="2">
        <v>42425</v>
      </c>
      <c r="T1280" s="2">
        <v>42423</v>
      </c>
      <c r="U1280" s="2">
        <v>42483</v>
      </c>
      <c r="V1280" t="s">
        <v>71</v>
      </c>
      <c r="W1280" t="str">
        <f>"            31601555"</f>
        <v xml:space="preserve">            31601555</v>
      </c>
      <c r="X1280">
        <v>297.60000000000002</v>
      </c>
      <c r="Y1280">
        <v>0</v>
      </c>
      <c r="Z1280" s="3">
        <v>286.14999999999998</v>
      </c>
      <c r="AA1280">
        <v>240</v>
      </c>
      <c r="AB1280" s="5">
        <v>68676</v>
      </c>
      <c r="AC1280">
        <v>286.14999999999998</v>
      </c>
      <c r="AD1280">
        <v>240</v>
      </c>
      <c r="AE1280" s="1">
        <v>68676</v>
      </c>
      <c r="AF1280">
        <v>11.45</v>
      </c>
      <c r="AJ1280">
        <v>0</v>
      </c>
      <c r="AK1280">
        <v>0</v>
      </c>
      <c r="AL1280">
        <v>0</v>
      </c>
      <c r="AM1280">
        <v>297.60000000000002</v>
      </c>
      <c r="AN1280">
        <v>297.60000000000002</v>
      </c>
      <c r="AO1280">
        <v>297.60000000000002</v>
      </c>
      <c r="AP1280" s="2">
        <v>42746</v>
      </c>
      <c r="AQ1280" t="s">
        <v>72</v>
      </c>
      <c r="AR1280" t="s">
        <v>72</v>
      </c>
      <c r="AS1280">
        <v>3587</v>
      </c>
      <c r="AT1280" s="4">
        <v>42723</v>
      </c>
      <c r="AU1280" t="s">
        <v>73</v>
      </c>
      <c r="AV1280">
        <v>3587</v>
      </c>
      <c r="AW1280" s="4">
        <v>42723</v>
      </c>
      <c r="BD1280">
        <v>11.45</v>
      </c>
      <c r="BN1280" t="s">
        <v>74</v>
      </c>
    </row>
    <row r="1281" spans="1:66">
      <c r="A1281">
        <v>100270</v>
      </c>
      <c r="B1281" s="3" t="s">
        <v>150</v>
      </c>
      <c r="C1281" s="1">
        <v>43300101</v>
      </c>
      <c r="D1281" t="s">
        <v>67</v>
      </c>
      <c r="H1281" t="str">
        <f t="shared" si="110"/>
        <v>03748120155</v>
      </c>
      <c r="I1281" t="str">
        <f t="shared" si="111"/>
        <v>01364640233</v>
      </c>
      <c r="K1281" t="str">
        <f>""</f>
        <v/>
      </c>
      <c r="M1281" t="s">
        <v>68</v>
      </c>
      <c r="N1281" t="str">
        <f t="shared" si="112"/>
        <v>FOR</v>
      </c>
      <c r="O1281" t="s">
        <v>69</v>
      </c>
      <c r="P1281" s="3" t="s">
        <v>75</v>
      </c>
      <c r="Q1281">
        <v>2016</v>
      </c>
      <c r="R1281" s="2">
        <v>42412</v>
      </c>
      <c r="S1281" s="2">
        <v>42425</v>
      </c>
      <c r="T1281" s="2">
        <v>42423</v>
      </c>
      <c r="U1281" s="2">
        <v>42483</v>
      </c>
      <c r="V1281" t="s">
        <v>71</v>
      </c>
      <c r="W1281" t="str">
        <f>"            31601556"</f>
        <v xml:space="preserve">            31601556</v>
      </c>
      <c r="X1281">
        <v>297.60000000000002</v>
      </c>
      <c r="Y1281">
        <v>0</v>
      </c>
      <c r="Z1281" s="3">
        <v>286.14999999999998</v>
      </c>
      <c r="AA1281">
        <v>240</v>
      </c>
      <c r="AB1281" s="5">
        <v>68676</v>
      </c>
      <c r="AC1281">
        <v>286.14999999999998</v>
      </c>
      <c r="AD1281">
        <v>240</v>
      </c>
      <c r="AE1281" s="1">
        <v>68676</v>
      </c>
      <c r="AF1281">
        <v>11.45</v>
      </c>
      <c r="AJ1281">
        <v>0</v>
      </c>
      <c r="AK1281">
        <v>0</v>
      </c>
      <c r="AL1281">
        <v>0</v>
      </c>
      <c r="AM1281">
        <v>297.60000000000002</v>
      </c>
      <c r="AN1281">
        <v>297.60000000000002</v>
      </c>
      <c r="AO1281">
        <v>297.60000000000002</v>
      </c>
      <c r="AP1281" s="2">
        <v>42746</v>
      </c>
      <c r="AQ1281" t="s">
        <v>72</v>
      </c>
      <c r="AR1281" t="s">
        <v>72</v>
      </c>
      <c r="AS1281">
        <v>3587</v>
      </c>
      <c r="AT1281" s="4">
        <v>42723</v>
      </c>
      <c r="AU1281" t="s">
        <v>73</v>
      </c>
      <c r="AV1281">
        <v>3587</v>
      </c>
      <c r="AW1281" s="4">
        <v>42723</v>
      </c>
      <c r="BD1281">
        <v>11.45</v>
      </c>
      <c r="BN1281" t="s">
        <v>74</v>
      </c>
    </row>
    <row r="1282" spans="1:66" hidden="1">
      <c r="A1282">
        <v>100271</v>
      </c>
      <c r="B1282" s="3" t="s">
        <v>151</v>
      </c>
      <c r="C1282" s="1">
        <v>43500101</v>
      </c>
      <c r="D1282" t="s">
        <v>113</v>
      </c>
      <c r="H1282" t="str">
        <f t="shared" ref="H1282:I1293" si="113">"08437820155"</f>
        <v>08437820155</v>
      </c>
      <c r="I1282" t="str">
        <f t="shared" si="113"/>
        <v>08437820155</v>
      </c>
      <c r="K1282" t="str">
        <f>""</f>
        <v/>
      </c>
      <c r="M1282" t="s">
        <v>68</v>
      </c>
      <c r="N1282" t="str">
        <f t="shared" ref="N1282:N1293" si="114">"ALTFIN"</f>
        <v>ALTFIN</v>
      </c>
      <c r="O1282" t="s">
        <v>123</v>
      </c>
      <c r="P1282" s="3" t="s">
        <v>84</v>
      </c>
      <c r="Q1282">
        <v>2016</v>
      </c>
      <c r="R1282" s="2">
        <v>42389</v>
      </c>
      <c r="S1282" s="2">
        <v>42390</v>
      </c>
      <c r="T1282" s="2">
        <v>42390</v>
      </c>
      <c r="U1282" s="2">
        <v>42450</v>
      </c>
      <c r="V1282" t="s">
        <v>71</v>
      </c>
      <c r="W1282" t="str">
        <f>"                0120"</f>
        <v xml:space="preserve">                0120</v>
      </c>
      <c r="X1282">
        <v>0</v>
      </c>
      <c r="Y1282" s="1">
        <v>3160.5</v>
      </c>
      <c r="Z1282"/>
      <c r="AB1282"/>
      <c r="AC1282" s="1">
        <v>3160.5</v>
      </c>
      <c r="AD1282">
        <v>-60</v>
      </c>
      <c r="AE1282" s="1">
        <v>-189630</v>
      </c>
      <c r="AF1282">
        <v>0</v>
      </c>
      <c r="AJ1282">
        <v>0</v>
      </c>
      <c r="AK1282">
        <v>0</v>
      </c>
      <c r="AL1282">
        <v>0</v>
      </c>
      <c r="AM1282" s="1">
        <v>3160.5</v>
      </c>
      <c r="AN1282" s="1">
        <v>3160.5</v>
      </c>
      <c r="AO1282" s="1">
        <v>3160.5</v>
      </c>
      <c r="AP1282" s="2">
        <v>42746</v>
      </c>
      <c r="AQ1282" t="s">
        <v>72</v>
      </c>
      <c r="AR1282" t="s">
        <v>72</v>
      </c>
      <c r="AS1282">
        <v>56</v>
      </c>
      <c r="AT1282" s="4">
        <v>42390</v>
      </c>
      <c r="AV1282">
        <v>56</v>
      </c>
      <c r="AW1282" s="4">
        <v>42390</v>
      </c>
      <c r="BD1282">
        <v>0</v>
      </c>
      <c r="BN1282" t="s">
        <v>74</v>
      </c>
    </row>
    <row r="1283" spans="1:66" hidden="1">
      <c r="A1283">
        <v>100271</v>
      </c>
      <c r="B1283" s="3" t="s">
        <v>151</v>
      </c>
      <c r="C1283" s="1">
        <v>43500101</v>
      </c>
      <c r="D1283" t="s">
        <v>113</v>
      </c>
      <c r="H1283" t="str">
        <f t="shared" si="113"/>
        <v>08437820155</v>
      </c>
      <c r="I1283" t="str">
        <f t="shared" si="113"/>
        <v>08437820155</v>
      </c>
      <c r="K1283" t="str">
        <f>""</f>
        <v/>
      </c>
      <c r="M1283" t="s">
        <v>68</v>
      </c>
      <c r="N1283" t="str">
        <f t="shared" si="114"/>
        <v>ALTFIN</v>
      </c>
      <c r="O1283" t="s">
        <v>123</v>
      </c>
      <c r="P1283" s="3" t="s">
        <v>85</v>
      </c>
      <c r="Q1283">
        <v>2016</v>
      </c>
      <c r="R1283" s="2">
        <v>42422</v>
      </c>
      <c r="S1283" s="2">
        <v>42422</v>
      </c>
      <c r="T1283" s="2">
        <v>42422</v>
      </c>
      <c r="U1283" s="2">
        <v>42482</v>
      </c>
      <c r="V1283" t="s">
        <v>71</v>
      </c>
      <c r="W1283" t="str">
        <f>"                0222"</f>
        <v xml:space="preserve">                0222</v>
      </c>
      <c r="X1283">
        <v>0</v>
      </c>
      <c r="Y1283" s="1">
        <v>3160.5</v>
      </c>
      <c r="Z1283"/>
      <c r="AB1283"/>
      <c r="AC1283" s="1">
        <v>3160.5</v>
      </c>
      <c r="AD1283">
        <v>-58</v>
      </c>
      <c r="AE1283" s="1">
        <v>-183309</v>
      </c>
      <c r="AF1283">
        <v>0</v>
      </c>
      <c r="AJ1283">
        <v>0</v>
      </c>
      <c r="AK1283">
        <v>0</v>
      </c>
      <c r="AL1283">
        <v>0</v>
      </c>
      <c r="AM1283" s="1">
        <v>3160.5</v>
      </c>
      <c r="AN1283" s="1">
        <v>3160.5</v>
      </c>
      <c r="AO1283" s="1">
        <v>3160.5</v>
      </c>
      <c r="AP1283" s="2">
        <v>42746</v>
      </c>
      <c r="AQ1283" t="s">
        <v>72</v>
      </c>
      <c r="AR1283" t="s">
        <v>72</v>
      </c>
      <c r="AS1283">
        <v>500</v>
      </c>
      <c r="AT1283" s="4">
        <v>42424</v>
      </c>
      <c r="AV1283">
        <v>500</v>
      </c>
      <c r="AW1283" s="4">
        <v>42424</v>
      </c>
      <c r="BD1283">
        <v>0</v>
      </c>
      <c r="BN1283" t="s">
        <v>74</v>
      </c>
    </row>
    <row r="1284" spans="1:66" hidden="1">
      <c r="A1284">
        <v>100271</v>
      </c>
      <c r="B1284" s="3" t="s">
        <v>151</v>
      </c>
      <c r="C1284" s="1">
        <v>43500101</v>
      </c>
      <c r="D1284" t="s">
        <v>113</v>
      </c>
      <c r="H1284" t="str">
        <f t="shared" si="113"/>
        <v>08437820155</v>
      </c>
      <c r="I1284" t="str">
        <f t="shared" si="113"/>
        <v>08437820155</v>
      </c>
      <c r="K1284" t="str">
        <f>""</f>
        <v/>
      </c>
      <c r="M1284" t="s">
        <v>68</v>
      </c>
      <c r="N1284" t="str">
        <f t="shared" si="114"/>
        <v>ALTFIN</v>
      </c>
      <c r="O1284" t="s">
        <v>123</v>
      </c>
      <c r="P1284" s="3" t="s">
        <v>86</v>
      </c>
      <c r="Q1284">
        <v>2016</v>
      </c>
      <c r="R1284" s="2">
        <v>42450</v>
      </c>
      <c r="S1284" s="2">
        <v>42450</v>
      </c>
      <c r="T1284" s="2">
        <v>42450</v>
      </c>
      <c r="U1284" s="2">
        <v>42510</v>
      </c>
      <c r="V1284" t="s">
        <v>71</v>
      </c>
      <c r="W1284" t="str">
        <f>"                0321"</f>
        <v xml:space="preserve">                0321</v>
      </c>
      <c r="X1284">
        <v>0</v>
      </c>
      <c r="Y1284" s="1">
        <v>2560.5</v>
      </c>
      <c r="Z1284"/>
      <c r="AB1284"/>
      <c r="AC1284" s="1">
        <v>2560.5</v>
      </c>
      <c r="AD1284">
        <v>-57</v>
      </c>
      <c r="AE1284" s="1">
        <v>-145948.5</v>
      </c>
      <c r="AF1284">
        <v>0</v>
      </c>
      <c r="AJ1284">
        <v>0</v>
      </c>
      <c r="AK1284">
        <v>0</v>
      </c>
      <c r="AL1284">
        <v>0</v>
      </c>
      <c r="AM1284" s="1">
        <v>2560.5</v>
      </c>
      <c r="AN1284" s="1">
        <v>2560.5</v>
      </c>
      <c r="AO1284" s="1">
        <v>2560.5</v>
      </c>
      <c r="AP1284" s="2">
        <v>42746</v>
      </c>
      <c r="AQ1284" t="s">
        <v>72</v>
      </c>
      <c r="AR1284" t="s">
        <v>72</v>
      </c>
      <c r="AS1284">
        <v>922</v>
      </c>
      <c r="AT1284" s="4">
        <v>42453</v>
      </c>
      <c r="AV1284">
        <v>922</v>
      </c>
      <c r="AW1284" s="4">
        <v>42453</v>
      </c>
      <c r="BD1284">
        <v>0</v>
      </c>
      <c r="BN1284" t="s">
        <v>74</v>
      </c>
    </row>
    <row r="1285" spans="1:66" hidden="1">
      <c r="A1285">
        <v>100271</v>
      </c>
      <c r="B1285" s="3" t="s">
        <v>151</v>
      </c>
      <c r="C1285" s="1">
        <v>43500101</v>
      </c>
      <c r="D1285" t="s">
        <v>113</v>
      </c>
      <c r="H1285" t="str">
        <f t="shared" si="113"/>
        <v>08437820155</v>
      </c>
      <c r="I1285" t="str">
        <f t="shared" si="113"/>
        <v>08437820155</v>
      </c>
      <c r="K1285" t="str">
        <f>""</f>
        <v/>
      </c>
      <c r="M1285" t="s">
        <v>68</v>
      </c>
      <c r="N1285" t="str">
        <f t="shared" si="114"/>
        <v>ALTFIN</v>
      </c>
      <c r="O1285" t="s">
        <v>123</v>
      </c>
      <c r="P1285" s="3" t="s">
        <v>87</v>
      </c>
      <c r="Q1285">
        <v>2016</v>
      </c>
      <c r="R1285" s="2">
        <v>42481</v>
      </c>
      <c r="S1285" s="2">
        <v>42481</v>
      </c>
      <c r="T1285" s="2">
        <v>42481</v>
      </c>
      <c r="U1285" s="2">
        <v>42541</v>
      </c>
      <c r="V1285" t="s">
        <v>71</v>
      </c>
      <c r="W1285" t="str">
        <f>"                0421"</f>
        <v xml:space="preserve">                0421</v>
      </c>
      <c r="X1285">
        <v>0</v>
      </c>
      <c r="Y1285" s="1">
        <v>3030.5</v>
      </c>
      <c r="Z1285"/>
      <c r="AB1285"/>
      <c r="AC1285" s="1">
        <v>3030.5</v>
      </c>
      <c r="AD1285">
        <v>-60</v>
      </c>
      <c r="AE1285" s="1">
        <v>-181830</v>
      </c>
      <c r="AF1285">
        <v>0</v>
      </c>
      <c r="AJ1285">
        <v>0</v>
      </c>
      <c r="AK1285">
        <v>0</v>
      </c>
      <c r="AL1285">
        <v>0</v>
      </c>
      <c r="AM1285" s="1">
        <v>3030.5</v>
      </c>
      <c r="AN1285" s="1">
        <v>3030.5</v>
      </c>
      <c r="AO1285" s="1">
        <v>3030.5</v>
      </c>
      <c r="AP1285" s="2">
        <v>42746</v>
      </c>
      <c r="AQ1285" t="s">
        <v>72</v>
      </c>
      <c r="AR1285" t="s">
        <v>72</v>
      </c>
      <c r="AS1285">
        <v>1088</v>
      </c>
      <c r="AT1285" s="4">
        <v>42481</v>
      </c>
      <c r="AV1285">
        <v>1088</v>
      </c>
      <c r="AW1285" s="4">
        <v>42481</v>
      </c>
      <c r="BD1285">
        <v>0</v>
      </c>
      <c r="BN1285" t="s">
        <v>74</v>
      </c>
    </row>
    <row r="1286" spans="1:66" hidden="1">
      <c r="A1286">
        <v>100271</v>
      </c>
      <c r="B1286" s="3" t="s">
        <v>151</v>
      </c>
      <c r="C1286" s="1">
        <v>43500101</v>
      </c>
      <c r="D1286" t="s">
        <v>113</v>
      </c>
      <c r="H1286" t="str">
        <f t="shared" si="113"/>
        <v>08437820155</v>
      </c>
      <c r="I1286" t="str">
        <f t="shared" si="113"/>
        <v>08437820155</v>
      </c>
      <c r="K1286" t="str">
        <f>""</f>
        <v/>
      </c>
      <c r="M1286" t="s">
        <v>68</v>
      </c>
      <c r="N1286" t="str">
        <f t="shared" si="114"/>
        <v>ALTFIN</v>
      </c>
      <c r="O1286" t="s">
        <v>123</v>
      </c>
      <c r="P1286" s="3" t="s">
        <v>88</v>
      </c>
      <c r="Q1286">
        <v>2016</v>
      </c>
      <c r="R1286" s="2">
        <v>42508</v>
      </c>
      <c r="S1286" s="2">
        <v>42510</v>
      </c>
      <c r="T1286" s="2">
        <v>42510</v>
      </c>
      <c r="U1286" s="2">
        <v>42570</v>
      </c>
      <c r="V1286" t="s">
        <v>71</v>
      </c>
      <c r="W1286" t="str">
        <f>"                0518"</f>
        <v xml:space="preserve">                0518</v>
      </c>
      <c r="X1286">
        <v>0</v>
      </c>
      <c r="Y1286" s="1">
        <v>3160.5</v>
      </c>
      <c r="Z1286"/>
      <c r="AB1286"/>
      <c r="AC1286" s="1">
        <v>3160.5</v>
      </c>
      <c r="AD1286">
        <v>-57</v>
      </c>
      <c r="AE1286" s="1">
        <v>-180148.5</v>
      </c>
      <c r="AF1286">
        <v>0</v>
      </c>
      <c r="AJ1286">
        <v>0</v>
      </c>
      <c r="AK1286">
        <v>0</v>
      </c>
      <c r="AL1286">
        <v>0</v>
      </c>
      <c r="AM1286" s="1">
        <v>3160.5</v>
      </c>
      <c r="AN1286" s="1">
        <v>3160.5</v>
      </c>
      <c r="AO1286" s="1">
        <v>3160.5</v>
      </c>
      <c r="AP1286" s="2">
        <v>42746</v>
      </c>
      <c r="AQ1286" t="s">
        <v>72</v>
      </c>
      <c r="AR1286" t="s">
        <v>72</v>
      </c>
      <c r="AS1286">
        <v>1326</v>
      </c>
      <c r="AT1286" s="4">
        <v>42513</v>
      </c>
      <c r="AV1286">
        <v>1326</v>
      </c>
      <c r="AW1286" s="4">
        <v>42513</v>
      </c>
      <c r="BD1286">
        <v>0</v>
      </c>
      <c r="BN1286" t="s">
        <v>74</v>
      </c>
    </row>
    <row r="1287" spans="1:66" hidden="1">
      <c r="A1287">
        <v>100271</v>
      </c>
      <c r="B1287" s="3" t="s">
        <v>151</v>
      </c>
      <c r="C1287" s="1">
        <v>43500101</v>
      </c>
      <c r="D1287" t="s">
        <v>113</v>
      </c>
      <c r="H1287" t="str">
        <f t="shared" si="113"/>
        <v>08437820155</v>
      </c>
      <c r="I1287" t="str">
        <f t="shared" si="113"/>
        <v>08437820155</v>
      </c>
      <c r="K1287" t="str">
        <f>""</f>
        <v/>
      </c>
      <c r="M1287" t="s">
        <v>68</v>
      </c>
      <c r="N1287" t="str">
        <f t="shared" si="114"/>
        <v>ALTFIN</v>
      </c>
      <c r="O1287" t="s">
        <v>123</v>
      </c>
      <c r="P1287" s="3" t="s">
        <v>89</v>
      </c>
      <c r="Q1287">
        <v>2016</v>
      </c>
      <c r="R1287" s="2">
        <v>42548</v>
      </c>
      <c r="S1287" s="2">
        <v>42543</v>
      </c>
      <c r="T1287" s="2">
        <v>42543</v>
      </c>
      <c r="U1287" s="2">
        <v>42603</v>
      </c>
      <c r="V1287" t="s">
        <v>71</v>
      </c>
      <c r="W1287" t="str">
        <f>"                0627"</f>
        <v xml:space="preserve">                0627</v>
      </c>
      <c r="X1287">
        <v>0</v>
      </c>
      <c r="Y1287" s="1">
        <v>3160.5</v>
      </c>
      <c r="Z1287"/>
      <c r="AB1287"/>
      <c r="AC1287" s="1">
        <v>3160.5</v>
      </c>
      <c r="AD1287">
        <v>-47</v>
      </c>
      <c r="AE1287" s="1">
        <v>-148543.5</v>
      </c>
      <c r="AF1287">
        <v>0</v>
      </c>
      <c r="AJ1287">
        <v>0</v>
      </c>
      <c r="AK1287">
        <v>0</v>
      </c>
      <c r="AL1287">
        <v>0</v>
      </c>
      <c r="AM1287" s="1">
        <v>3160.5</v>
      </c>
      <c r="AN1287" s="1">
        <v>3160.5</v>
      </c>
      <c r="AO1287" s="1">
        <v>3160.5</v>
      </c>
      <c r="AP1287" s="2">
        <v>42746</v>
      </c>
      <c r="AQ1287" t="s">
        <v>72</v>
      </c>
      <c r="AR1287" t="s">
        <v>72</v>
      </c>
      <c r="AS1287">
        <v>1708</v>
      </c>
      <c r="AT1287" s="4">
        <v>42556</v>
      </c>
      <c r="AV1287">
        <v>1708</v>
      </c>
      <c r="AW1287" s="4">
        <v>42556</v>
      </c>
      <c r="BD1287">
        <v>0</v>
      </c>
      <c r="BN1287" t="s">
        <v>74</v>
      </c>
    </row>
    <row r="1288" spans="1:66" hidden="1">
      <c r="A1288">
        <v>100271</v>
      </c>
      <c r="B1288" s="3" t="s">
        <v>151</v>
      </c>
      <c r="C1288" s="1">
        <v>43500101</v>
      </c>
      <c r="D1288" t="s">
        <v>113</v>
      </c>
      <c r="H1288" t="str">
        <f t="shared" si="113"/>
        <v>08437820155</v>
      </c>
      <c r="I1288" t="str">
        <f t="shared" si="113"/>
        <v>08437820155</v>
      </c>
      <c r="K1288" t="str">
        <f>""</f>
        <v/>
      </c>
      <c r="M1288" t="s">
        <v>68</v>
      </c>
      <c r="N1288" t="str">
        <f t="shared" si="114"/>
        <v>ALTFIN</v>
      </c>
      <c r="O1288" t="s">
        <v>123</v>
      </c>
      <c r="P1288" s="3" t="s">
        <v>90</v>
      </c>
      <c r="Q1288">
        <v>2016</v>
      </c>
      <c r="R1288" s="2">
        <v>42573</v>
      </c>
      <c r="S1288" s="2">
        <v>42573</v>
      </c>
      <c r="T1288" s="2">
        <v>42573</v>
      </c>
      <c r="U1288" s="2">
        <v>42633</v>
      </c>
      <c r="V1288" t="s">
        <v>71</v>
      </c>
      <c r="W1288" t="str">
        <f>"                0722"</f>
        <v xml:space="preserve">                0722</v>
      </c>
      <c r="X1288">
        <v>0</v>
      </c>
      <c r="Y1288" s="1">
        <v>3240.5</v>
      </c>
      <c r="Z1288"/>
      <c r="AB1288"/>
      <c r="AC1288" s="1">
        <v>3240.5</v>
      </c>
      <c r="AD1288">
        <v>-48</v>
      </c>
      <c r="AE1288" s="1">
        <v>-155544</v>
      </c>
      <c r="AF1288">
        <v>0</v>
      </c>
      <c r="AJ1288">
        <v>0</v>
      </c>
      <c r="AK1288">
        <v>0</v>
      </c>
      <c r="AL1288">
        <v>0</v>
      </c>
      <c r="AM1288" s="1">
        <v>3240.5</v>
      </c>
      <c r="AN1288" s="1">
        <v>3240.5</v>
      </c>
      <c r="AO1288" s="1">
        <v>3240.5</v>
      </c>
      <c r="AP1288" s="2">
        <v>42746</v>
      </c>
      <c r="AQ1288" t="s">
        <v>72</v>
      </c>
      <c r="AR1288" t="s">
        <v>72</v>
      </c>
      <c r="AS1288">
        <v>2108</v>
      </c>
      <c r="AT1288" s="4">
        <v>42585</v>
      </c>
      <c r="AV1288">
        <v>2108</v>
      </c>
      <c r="AW1288" s="4">
        <v>42585</v>
      </c>
      <c r="BD1288">
        <v>0</v>
      </c>
      <c r="BN1288" t="s">
        <v>74</v>
      </c>
    </row>
    <row r="1289" spans="1:66" hidden="1">
      <c r="A1289">
        <v>100271</v>
      </c>
      <c r="B1289" s="3" t="s">
        <v>151</v>
      </c>
      <c r="C1289" s="1">
        <v>43500101</v>
      </c>
      <c r="D1289" t="s">
        <v>113</v>
      </c>
      <c r="H1289" t="str">
        <f t="shared" si="113"/>
        <v>08437820155</v>
      </c>
      <c r="I1289" t="str">
        <f t="shared" si="113"/>
        <v>08437820155</v>
      </c>
      <c r="K1289" t="str">
        <f>""</f>
        <v/>
      </c>
      <c r="M1289" t="s">
        <v>68</v>
      </c>
      <c r="N1289" t="str">
        <f t="shared" si="114"/>
        <v>ALTFIN</v>
      </c>
      <c r="O1289" t="s">
        <v>123</v>
      </c>
      <c r="P1289" s="3" t="s">
        <v>91</v>
      </c>
      <c r="Q1289">
        <v>2016</v>
      </c>
      <c r="R1289" s="2">
        <v>42592</v>
      </c>
      <c r="S1289" s="2">
        <v>42598</v>
      </c>
      <c r="T1289" s="2">
        <v>42598</v>
      </c>
      <c r="U1289" s="2">
        <v>42658</v>
      </c>
      <c r="V1289" t="s">
        <v>71</v>
      </c>
      <c r="W1289" t="str">
        <f>"                0810"</f>
        <v xml:space="preserve">                0810</v>
      </c>
      <c r="X1289">
        <v>0</v>
      </c>
      <c r="Y1289" s="1">
        <v>3240.5</v>
      </c>
      <c r="Z1289"/>
      <c r="AB1289"/>
      <c r="AC1289" s="1">
        <v>3240.5</v>
      </c>
      <c r="AD1289">
        <v>-60</v>
      </c>
      <c r="AE1289" s="1">
        <v>-194430</v>
      </c>
      <c r="AF1289">
        <v>0</v>
      </c>
      <c r="AJ1289">
        <v>0</v>
      </c>
      <c r="AK1289">
        <v>0</v>
      </c>
      <c r="AL1289">
        <v>0</v>
      </c>
      <c r="AM1289" s="1">
        <v>3240.5</v>
      </c>
      <c r="AN1289" s="1">
        <v>3240.5</v>
      </c>
      <c r="AO1289" s="1">
        <v>3240.5</v>
      </c>
      <c r="AP1289" s="2">
        <v>42746</v>
      </c>
      <c r="AQ1289" t="s">
        <v>72</v>
      </c>
      <c r="AR1289" t="s">
        <v>72</v>
      </c>
      <c r="AS1289">
        <v>2190</v>
      </c>
      <c r="AT1289" s="4">
        <v>42598</v>
      </c>
      <c r="AV1289">
        <v>2190</v>
      </c>
      <c r="AW1289" s="4">
        <v>42598</v>
      </c>
      <c r="BD1289">
        <v>0</v>
      </c>
      <c r="BN1289" t="s">
        <v>74</v>
      </c>
    </row>
    <row r="1290" spans="1:66" hidden="1">
      <c r="A1290">
        <v>100271</v>
      </c>
      <c r="B1290" s="3" t="s">
        <v>151</v>
      </c>
      <c r="C1290" s="1">
        <v>43500101</v>
      </c>
      <c r="D1290" t="s">
        <v>113</v>
      </c>
      <c r="H1290" t="str">
        <f t="shared" si="113"/>
        <v>08437820155</v>
      </c>
      <c r="I1290" t="str">
        <f t="shared" si="113"/>
        <v>08437820155</v>
      </c>
      <c r="K1290" t="str">
        <f>""</f>
        <v/>
      </c>
      <c r="M1290" t="s">
        <v>68</v>
      </c>
      <c r="N1290" t="str">
        <f t="shared" si="114"/>
        <v>ALTFIN</v>
      </c>
      <c r="O1290" t="s">
        <v>123</v>
      </c>
      <c r="P1290" s="3" t="s">
        <v>92</v>
      </c>
      <c r="Q1290">
        <v>2016</v>
      </c>
      <c r="R1290" s="2">
        <v>42633</v>
      </c>
      <c r="S1290" s="2">
        <v>42634</v>
      </c>
      <c r="T1290" s="2">
        <v>42634</v>
      </c>
      <c r="U1290" s="2">
        <v>42694</v>
      </c>
      <c r="V1290" t="s">
        <v>71</v>
      </c>
      <c r="W1290" t="str">
        <f>"                0920"</f>
        <v xml:space="preserve">                0920</v>
      </c>
      <c r="X1290">
        <v>0</v>
      </c>
      <c r="Y1290" s="1">
        <v>3255.5</v>
      </c>
      <c r="Z1290"/>
      <c r="AB1290"/>
      <c r="AC1290" s="1">
        <v>3255.5</v>
      </c>
      <c r="AD1290">
        <v>-60</v>
      </c>
      <c r="AE1290" s="1">
        <v>-195330</v>
      </c>
      <c r="AF1290">
        <v>0</v>
      </c>
      <c r="AJ1290">
        <v>0</v>
      </c>
      <c r="AK1290">
        <v>0</v>
      </c>
      <c r="AL1290">
        <v>0</v>
      </c>
      <c r="AM1290" s="1">
        <v>3255.5</v>
      </c>
      <c r="AN1290" s="1">
        <v>3255.5</v>
      </c>
      <c r="AO1290" s="1">
        <v>3255.5</v>
      </c>
      <c r="AP1290" s="2">
        <v>42746</v>
      </c>
      <c r="AQ1290" t="s">
        <v>72</v>
      </c>
      <c r="AR1290" t="s">
        <v>72</v>
      </c>
      <c r="AS1290">
        <v>2464</v>
      </c>
      <c r="AT1290" s="4">
        <v>42634</v>
      </c>
      <c r="AV1290">
        <v>2464</v>
      </c>
      <c r="AW1290" s="4">
        <v>42634</v>
      </c>
      <c r="BD1290">
        <v>0</v>
      </c>
      <c r="BN1290" t="s">
        <v>74</v>
      </c>
    </row>
    <row r="1291" spans="1:66" hidden="1">
      <c r="A1291">
        <v>100271</v>
      </c>
      <c r="B1291" s="3" t="s">
        <v>151</v>
      </c>
      <c r="C1291" s="1">
        <v>43500101</v>
      </c>
      <c r="D1291" t="s">
        <v>113</v>
      </c>
      <c r="H1291" t="str">
        <f t="shared" si="113"/>
        <v>08437820155</v>
      </c>
      <c r="I1291" t="str">
        <f t="shared" si="113"/>
        <v>08437820155</v>
      </c>
      <c r="K1291" t="str">
        <f>""</f>
        <v/>
      </c>
      <c r="M1291" t="s">
        <v>68</v>
      </c>
      <c r="N1291" t="str">
        <f t="shared" si="114"/>
        <v>ALTFIN</v>
      </c>
      <c r="O1291" t="s">
        <v>123</v>
      </c>
      <c r="P1291" s="3" t="s">
        <v>93</v>
      </c>
      <c r="Q1291">
        <v>2016</v>
      </c>
      <c r="R1291" s="2">
        <v>42664</v>
      </c>
      <c r="S1291" s="2">
        <v>42667</v>
      </c>
      <c r="T1291" s="2">
        <v>42667</v>
      </c>
      <c r="U1291" s="2">
        <v>42727</v>
      </c>
      <c r="V1291" t="s">
        <v>71</v>
      </c>
      <c r="W1291" t="str">
        <f>"                1021"</f>
        <v xml:space="preserve">                1021</v>
      </c>
      <c r="X1291">
        <v>0</v>
      </c>
      <c r="Y1291" s="1">
        <v>3092</v>
      </c>
      <c r="Z1291" s="5">
        <v>3092</v>
      </c>
      <c r="AA1291">
        <v>-60</v>
      </c>
      <c r="AB1291" s="5">
        <v>-185520</v>
      </c>
      <c r="AC1291" s="1">
        <v>3092</v>
      </c>
      <c r="AD1291">
        <v>-60</v>
      </c>
      <c r="AE1291" s="1">
        <v>-185520</v>
      </c>
      <c r="AF1291">
        <v>0</v>
      </c>
      <c r="AJ1291" s="1">
        <v>3092</v>
      </c>
      <c r="AK1291" s="1">
        <v>3092</v>
      </c>
      <c r="AL1291" s="1">
        <v>3092</v>
      </c>
      <c r="AM1291" s="1">
        <v>3092</v>
      </c>
      <c r="AN1291" s="1">
        <v>3092</v>
      </c>
      <c r="AO1291" s="1">
        <v>3092</v>
      </c>
      <c r="AP1291" s="2">
        <v>42746</v>
      </c>
      <c r="AQ1291" t="s">
        <v>72</v>
      </c>
      <c r="AR1291" t="s">
        <v>72</v>
      </c>
      <c r="AS1291">
        <v>2812</v>
      </c>
      <c r="AT1291" s="4">
        <v>42667</v>
      </c>
      <c r="AV1291">
        <v>2812</v>
      </c>
      <c r="AW1291" s="4">
        <v>42667</v>
      </c>
      <c r="BD1291">
        <v>0</v>
      </c>
      <c r="BN1291" t="s">
        <v>74</v>
      </c>
    </row>
    <row r="1292" spans="1:66" hidden="1">
      <c r="A1292">
        <v>100271</v>
      </c>
      <c r="B1292" s="3" t="s">
        <v>151</v>
      </c>
      <c r="C1292" s="1">
        <v>43500101</v>
      </c>
      <c r="D1292" t="s">
        <v>113</v>
      </c>
      <c r="H1292" t="str">
        <f t="shared" si="113"/>
        <v>08437820155</v>
      </c>
      <c r="I1292" t="str">
        <f t="shared" si="113"/>
        <v>08437820155</v>
      </c>
      <c r="K1292" t="str">
        <f>""</f>
        <v/>
      </c>
      <c r="M1292" t="s">
        <v>68</v>
      </c>
      <c r="N1292" t="str">
        <f t="shared" si="114"/>
        <v>ALTFIN</v>
      </c>
      <c r="O1292" t="s">
        <v>123</v>
      </c>
      <c r="P1292" s="3" t="s">
        <v>94</v>
      </c>
      <c r="Q1292">
        <v>2016</v>
      </c>
      <c r="R1292" s="2">
        <v>42696</v>
      </c>
      <c r="S1292" s="2">
        <v>42696</v>
      </c>
      <c r="T1292" s="2">
        <v>42696</v>
      </c>
      <c r="U1292" s="2">
        <v>42756</v>
      </c>
      <c r="V1292" t="s">
        <v>71</v>
      </c>
      <c r="W1292" t="str">
        <f>"                1122"</f>
        <v xml:space="preserve">                1122</v>
      </c>
      <c r="X1292">
        <v>0</v>
      </c>
      <c r="Y1292" s="1">
        <v>3717</v>
      </c>
      <c r="Z1292" s="5">
        <v>3717</v>
      </c>
      <c r="AA1292">
        <v>-59</v>
      </c>
      <c r="AB1292" s="5">
        <v>-219303</v>
      </c>
      <c r="AC1292" s="1">
        <v>3717</v>
      </c>
      <c r="AD1292">
        <v>-59</v>
      </c>
      <c r="AE1292" s="1">
        <v>-219303</v>
      </c>
      <c r="AF1292">
        <v>0</v>
      </c>
      <c r="AJ1292" s="1">
        <v>3717</v>
      </c>
      <c r="AK1292" s="1">
        <v>3717</v>
      </c>
      <c r="AL1292" s="1">
        <v>3717</v>
      </c>
      <c r="AM1292" s="1">
        <v>3717</v>
      </c>
      <c r="AN1292" s="1">
        <v>3717</v>
      </c>
      <c r="AO1292" s="1">
        <v>3717</v>
      </c>
      <c r="AP1292" s="2">
        <v>42746</v>
      </c>
      <c r="AQ1292" t="s">
        <v>72</v>
      </c>
      <c r="AR1292" t="s">
        <v>72</v>
      </c>
      <c r="AS1292">
        <v>3249</v>
      </c>
      <c r="AT1292" s="4">
        <v>42697</v>
      </c>
      <c r="AV1292">
        <v>3249</v>
      </c>
      <c r="AW1292" s="4">
        <v>42697</v>
      </c>
      <c r="BD1292">
        <v>0</v>
      </c>
      <c r="BN1292" t="s">
        <v>74</v>
      </c>
    </row>
    <row r="1293" spans="1:66" hidden="1">
      <c r="A1293">
        <v>100271</v>
      </c>
      <c r="B1293" s="3" t="s">
        <v>151</v>
      </c>
      <c r="C1293" s="1">
        <v>43500101</v>
      </c>
      <c r="D1293" t="s">
        <v>113</v>
      </c>
      <c r="H1293" t="str">
        <f t="shared" si="113"/>
        <v>08437820155</v>
      </c>
      <c r="I1293" t="str">
        <f t="shared" si="113"/>
        <v>08437820155</v>
      </c>
      <c r="K1293" t="str">
        <f>""</f>
        <v/>
      </c>
      <c r="M1293" t="s">
        <v>68</v>
      </c>
      <c r="N1293" t="str">
        <f t="shared" si="114"/>
        <v>ALTFIN</v>
      </c>
      <c r="O1293" t="s">
        <v>123</v>
      </c>
      <c r="P1293" s="3" t="s">
        <v>95</v>
      </c>
      <c r="Q1293">
        <v>2016</v>
      </c>
      <c r="R1293" s="2">
        <v>42717</v>
      </c>
      <c r="S1293" s="2">
        <v>42717</v>
      </c>
      <c r="T1293" s="2">
        <v>42717</v>
      </c>
      <c r="U1293" s="2">
        <v>42777</v>
      </c>
      <c r="V1293" t="s">
        <v>71</v>
      </c>
      <c r="W1293" t="str">
        <f>"                1213"</f>
        <v xml:space="preserve">                1213</v>
      </c>
      <c r="X1293">
        <v>0</v>
      </c>
      <c r="Y1293" s="1">
        <v>3717</v>
      </c>
      <c r="Z1293" s="5">
        <v>3717</v>
      </c>
      <c r="AA1293">
        <v>-59</v>
      </c>
      <c r="AB1293" s="5">
        <v>-219303</v>
      </c>
      <c r="AC1293" s="1">
        <v>3717</v>
      </c>
      <c r="AD1293">
        <v>-59</v>
      </c>
      <c r="AE1293" s="1">
        <v>-219303</v>
      </c>
      <c r="AF1293">
        <v>0</v>
      </c>
      <c r="AJ1293" s="1">
        <v>3717</v>
      </c>
      <c r="AK1293" s="1">
        <v>3717</v>
      </c>
      <c r="AL1293" s="1">
        <v>3717</v>
      </c>
      <c r="AM1293" s="1">
        <v>3717</v>
      </c>
      <c r="AN1293" s="1">
        <v>3717</v>
      </c>
      <c r="AO1293" s="1">
        <v>3717</v>
      </c>
      <c r="AP1293" s="2">
        <v>42746</v>
      </c>
      <c r="AQ1293" t="s">
        <v>72</v>
      </c>
      <c r="AR1293" t="s">
        <v>72</v>
      </c>
      <c r="AS1293">
        <v>3408</v>
      </c>
      <c r="AT1293" s="4">
        <v>42718</v>
      </c>
      <c r="AV1293">
        <v>3408</v>
      </c>
      <c r="AW1293" s="4">
        <v>42718</v>
      </c>
      <c r="BD1293">
        <v>0</v>
      </c>
      <c r="BN1293" t="s">
        <v>74</v>
      </c>
    </row>
    <row r="1294" spans="1:66" hidden="1">
      <c r="A1294">
        <v>100272</v>
      </c>
      <c r="B1294" s="3" t="s">
        <v>152</v>
      </c>
      <c r="C1294" s="1">
        <v>43300101</v>
      </c>
      <c r="D1294" t="s">
        <v>67</v>
      </c>
      <c r="H1294" t="str">
        <f>"12792100153"</f>
        <v>12792100153</v>
      </c>
      <c r="I1294" t="str">
        <f>"12792100153"</f>
        <v>12792100153</v>
      </c>
      <c r="K1294" t="str">
        <f>""</f>
        <v/>
      </c>
      <c r="M1294" t="s">
        <v>68</v>
      </c>
      <c r="N1294" t="str">
        <f t="shared" ref="N1294:N1325" si="115">"FOR"</f>
        <v>FOR</v>
      </c>
      <c r="O1294" t="s">
        <v>69</v>
      </c>
      <c r="P1294" s="3" t="s">
        <v>75</v>
      </c>
      <c r="Q1294">
        <v>2015</v>
      </c>
      <c r="R1294" s="2">
        <v>42241</v>
      </c>
      <c r="S1294" s="2">
        <v>42272</v>
      </c>
      <c r="T1294" s="2">
        <v>42270</v>
      </c>
      <c r="U1294" s="2">
        <v>42330</v>
      </c>
      <c r="V1294" t="s">
        <v>71</v>
      </c>
      <c r="W1294" t="str">
        <f>"          5912204843"</f>
        <v xml:space="preserve">          5912204843</v>
      </c>
      <c r="X1294" s="1">
        <v>2854.8</v>
      </c>
      <c r="Y1294">
        <v>0</v>
      </c>
      <c r="Z1294"/>
      <c r="AB1294"/>
      <c r="AC1294" s="1">
        <v>2340</v>
      </c>
      <c r="AD1294">
        <v>249</v>
      </c>
      <c r="AE1294" s="1">
        <v>582660</v>
      </c>
      <c r="AF1294">
        <v>0</v>
      </c>
      <c r="AJ1294">
        <v>0</v>
      </c>
      <c r="AK1294">
        <v>0</v>
      </c>
      <c r="AL1294">
        <v>0</v>
      </c>
      <c r="AM1294">
        <v>0</v>
      </c>
      <c r="AN1294">
        <v>0</v>
      </c>
      <c r="AO1294">
        <v>0</v>
      </c>
      <c r="AP1294" s="2">
        <v>42746</v>
      </c>
      <c r="AQ1294" t="s">
        <v>72</v>
      </c>
      <c r="AR1294" t="s">
        <v>72</v>
      </c>
      <c r="AS1294">
        <v>2010</v>
      </c>
      <c r="AT1294" s="4">
        <v>42579</v>
      </c>
      <c r="AU1294" t="s">
        <v>73</v>
      </c>
      <c r="AV1294">
        <v>2010</v>
      </c>
      <c r="AW1294" s="4">
        <v>42579</v>
      </c>
      <c r="BD1294">
        <v>0</v>
      </c>
      <c r="BN1294" t="s">
        <v>74</v>
      </c>
    </row>
    <row r="1295" spans="1:66" hidden="1">
      <c r="A1295">
        <v>100275</v>
      </c>
      <c r="B1295" s="3" t="s">
        <v>153</v>
      </c>
      <c r="C1295" s="1">
        <v>43300101</v>
      </c>
      <c r="D1295" t="s">
        <v>67</v>
      </c>
      <c r="H1295" t="str">
        <f>""</f>
        <v/>
      </c>
      <c r="I1295" t="str">
        <f>"00725050157"</f>
        <v>00725050157</v>
      </c>
      <c r="K1295" t="str">
        <f>""</f>
        <v/>
      </c>
      <c r="M1295" t="s">
        <v>68</v>
      </c>
      <c r="N1295" t="str">
        <f t="shared" si="115"/>
        <v>FOR</v>
      </c>
      <c r="O1295" t="s">
        <v>69</v>
      </c>
      <c r="P1295" s="3" t="s">
        <v>75</v>
      </c>
      <c r="Q1295">
        <v>2015</v>
      </c>
      <c r="R1295" s="2">
        <v>42356</v>
      </c>
      <c r="S1295" s="2">
        <v>42361</v>
      </c>
      <c r="T1295" s="2">
        <v>42360</v>
      </c>
      <c r="U1295" s="2">
        <v>42420</v>
      </c>
      <c r="V1295" t="s">
        <v>71</v>
      </c>
      <c r="W1295" t="str">
        <f>"            V1507365"</f>
        <v xml:space="preserve">            V1507365</v>
      </c>
      <c r="X1295" s="1">
        <v>6954</v>
      </c>
      <c r="Y1295">
        <v>0</v>
      </c>
      <c r="Z1295"/>
      <c r="AB1295"/>
      <c r="AC1295" s="1">
        <v>5700</v>
      </c>
      <c r="AD1295">
        <v>109</v>
      </c>
      <c r="AE1295" s="1">
        <v>621300</v>
      </c>
      <c r="AF1295">
        <v>0</v>
      </c>
      <c r="AJ1295">
        <v>0</v>
      </c>
      <c r="AK1295">
        <v>0</v>
      </c>
      <c r="AL1295">
        <v>0</v>
      </c>
      <c r="AM1295">
        <v>0</v>
      </c>
      <c r="AN1295">
        <v>0</v>
      </c>
      <c r="AO1295">
        <v>0</v>
      </c>
      <c r="AP1295" s="2">
        <v>42746</v>
      </c>
      <c r="AQ1295" t="s">
        <v>72</v>
      </c>
      <c r="AR1295" t="s">
        <v>72</v>
      </c>
      <c r="AS1295">
        <v>1579</v>
      </c>
      <c r="AT1295" s="4">
        <v>42529</v>
      </c>
      <c r="AU1295" t="s">
        <v>73</v>
      </c>
      <c r="AV1295">
        <v>1579</v>
      </c>
      <c r="AW1295" s="4">
        <v>42529</v>
      </c>
      <c r="BD1295">
        <v>0</v>
      </c>
      <c r="BN1295" t="s">
        <v>74</v>
      </c>
    </row>
    <row r="1296" spans="1:66" hidden="1">
      <c r="A1296">
        <v>100275</v>
      </c>
      <c r="B1296" s="3" t="s">
        <v>153</v>
      </c>
      <c r="C1296" s="1">
        <v>43300101</v>
      </c>
      <c r="D1296" t="s">
        <v>67</v>
      </c>
      <c r="H1296" t="str">
        <f>""</f>
        <v/>
      </c>
      <c r="I1296" t="str">
        <f>"00725050157"</f>
        <v>00725050157</v>
      </c>
      <c r="K1296" t="str">
        <f>""</f>
        <v/>
      </c>
      <c r="M1296" t="s">
        <v>68</v>
      </c>
      <c r="N1296" t="str">
        <f t="shared" si="115"/>
        <v>FOR</v>
      </c>
      <c r="O1296" t="s">
        <v>69</v>
      </c>
      <c r="P1296" s="3" t="s">
        <v>75</v>
      </c>
      <c r="Q1296">
        <v>2016</v>
      </c>
      <c r="R1296" s="2">
        <v>42389</v>
      </c>
      <c r="S1296" s="2">
        <v>42395</v>
      </c>
      <c r="T1296" s="2">
        <v>42391</v>
      </c>
      <c r="U1296" s="2">
        <v>42451</v>
      </c>
      <c r="V1296" t="s">
        <v>71</v>
      </c>
      <c r="W1296" t="str">
        <f>"            V1600233"</f>
        <v xml:space="preserve">            V1600233</v>
      </c>
      <c r="X1296" s="1">
        <v>11590</v>
      </c>
      <c r="Y1296">
        <v>0</v>
      </c>
      <c r="Z1296"/>
      <c r="AB1296"/>
      <c r="AC1296" s="1">
        <v>9500</v>
      </c>
      <c r="AD1296">
        <v>78</v>
      </c>
      <c r="AE1296" s="1">
        <v>741000</v>
      </c>
      <c r="AF1296">
        <v>0</v>
      </c>
      <c r="AJ1296">
        <v>0</v>
      </c>
      <c r="AK1296">
        <v>0</v>
      </c>
      <c r="AL1296">
        <v>0</v>
      </c>
      <c r="AM1296" s="1">
        <v>11590</v>
      </c>
      <c r="AN1296" s="1">
        <v>11590</v>
      </c>
      <c r="AO1296" s="1">
        <v>11590</v>
      </c>
      <c r="AP1296" s="2">
        <v>42746</v>
      </c>
      <c r="AQ1296" t="s">
        <v>72</v>
      </c>
      <c r="AR1296" t="s">
        <v>72</v>
      </c>
      <c r="AS1296">
        <v>1579</v>
      </c>
      <c r="AT1296" s="4">
        <v>42529</v>
      </c>
      <c r="AU1296" t="s">
        <v>73</v>
      </c>
      <c r="AV1296">
        <v>1579</v>
      </c>
      <c r="AW1296" s="4">
        <v>42529</v>
      </c>
      <c r="BD1296">
        <v>0</v>
      </c>
      <c r="BN1296" t="s">
        <v>74</v>
      </c>
    </row>
    <row r="1297" spans="1:66">
      <c r="A1297">
        <v>100275</v>
      </c>
      <c r="B1297" s="3" t="s">
        <v>153</v>
      </c>
      <c r="C1297" s="1">
        <v>43300101</v>
      </c>
      <c r="D1297" t="s">
        <v>67</v>
      </c>
      <c r="H1297" t="str">
        <f>""</f>
        <v/>
      </c>
      <c r="I1297" t="str">
        <f>"00725050157"</f>
        <v>00725050157</v>
      </c>
      <c r="K1297" t="str">
        <f>""</f>
        <v/>
      </c>
      <c r="M1297" t="s">
        <v>68</v>
      </c>
      <c r="N1297" t="str">
        <f t="shared" si="115"/>
        <v>FOR</v>
      </c>
      <c r="O1297" t="s">
        <v>69</v>
      </c>
      <c r="P1297" s="3" t="s">
        <v>75</v>
      </c>
      <c r="Q1297">
        <v>2016</v>
      </c>
      <c r="R1297" s="2">
        <v>42496</v>
      </c>
      <c r="S1297" s="2">
        <v>42501</v>
      </c>
      <c r="T1297" s="2">
        <v>42496</v>
      </c>
      <c r="U1297" s="2">
        <v>42556</v>
      </c>
      <c r="V1297" t="s">
        <v>71</v>
      </c>
      <c r="W1297" t="str">
        <f>"            V1602934"</f>
        <v xml:space="preserve">            V1602934</v>
      </c>
      <c r="X1297" s="1">
        <v>11590</v>
      </c>
      <c r="Y1297">
        <v>0</v>
      </c>
      <c r="Z1297" s="5">
        <v>9500</v>
      </c>
      <c r="AA1297">
        <v>136</v>
      </c>
      <c r="AB1297" s="5">
        <v>1292000</v>
      </c>
      <c r="AC1297" s="1">
        <v>9500</v>
      </c>
      <c r="AD1297">
        <v>136</v>
      </c>
      <c r="AE1297" s="1">
        <v>1292000</v>
      </c>
      <c r="AF1297">
        <v>0</v>
      </c>
      <c r="AJ1297">
        <v>0</v>
      </c>
      <c r="AK1297">
        <v>0</v>
      </c>
      <c r="AL1297">
        <v>0</v>
      </c>
      <c r="AM1297" s="1">
        <v>11590</v>
      </c>
      <c r="AN1297" s="1">
        <v>11590</v>
      </c>
      <c r="AO1297" s="1">
        <v>11590</v>
      </c>
      <c r="AP1297" s="2">
        <v>42746</v>
      </c>
      <c r="AQ1297" t="s">
        <v>72</v>
      </c>
      <c r="AR1297" t="s">
        <v>72</v>
      </c>
      <c r="AS1297">
        <v>3185</v>
      </c>
      <c r="AT1297" s="4">
        <v>42692</v>
      </c>
      <c r="AU1297" t="s">
        <v>73</v>
      </c>
      <c r="AV1297">
        <v>3185</v>
      </c>
      <c r="AW1297" s="4">
        <v>42692</v>
      </c>
      <c r="BD1297">
        <v>0</v>
      </c>
      <c r="BN1297" t="s">
        <v>74</v>
      </c>
    </row>
    <row r="1298" spans="1:66">
      <c r="A1298">
        <v>100275</v>
      </c>
      <c r="B1298" s="3" t="s">
        <v>153</v>
      </c>
      <c r="C1298" s="1">
        <v>43300101</v>
      </c>
      <c r="D1298" t="s">
        <v>67</v>
      </c>
      <c r="H1298" t="str">
        <f>""</f>
        <v/>
      </c>
      <c r="I1298" t="str">
        <f>"00725050157"</f>
        <v>00725050157</v>
      </c>
      <c r="K1298" t="str">
        <f>""</f>
        <v/>
      </c>
      <c r="M1298" t="s">
        <v>68</v>
      </c>
      <c r="N1298" t="str">
        <f t="shared" si="115"/>
        <v>FOR</v>
      </c>
      <c r="O1298" t="s">
        <v>69</v>
      </c>
      <c r="P1298" s="3" t="s">
        <v>75</v>
      </c>
      <c r="Q1298">
        <v>2016</v>
      </c>
      <c r="R1298" s="2">
        <v>42573</v>
      </c>
      <c r="S1298" s="2">
        <v>42578</v>
      </c>
      <c r="T1298" s="2">
        <v>42577</v>
      </c>
      <c r="U1298" s="2">
        <v>42637</v>
      </c>
      <c r="V1298" t="s">
        <v>71</v>
      </c>
      <c r="W1298" t="str">
        <f>"            V1604744"</f>
        <v xml:space="preserve">            V1604744</v>
      </c>
      <c r="X1298" s="1">
        <v>5596.99</v>
      </c>
      <c r="Y1298">
        <v>0</v>
      </c>
      <c r="Z1298" s="5">
        <v>4587.7</v>
      </c>
      <c r="AA1298">
        <v>55</v>
      </c>
      <c r="AB1298" s="5">
        <v>252323.5</v>
      </c>
      <c r="AC1298" s="1">
        <v>4587.7</v>
      </c>
      <c r="AD1298">
        <v>55</v>
      </c>
      <c r="AE1298" s="1">
        <v>252323.5</v>
      </c>
      <c r="AF1298">
        <v>0</v>
      </c>
      <c r="AJ1298">
        <v>0</v>
      </c>
      <c r="AK1298">
        <v>0</v>
      </c>
      <c r="AL1298">
        <v>0</v>
      </c>
      <c r="AM1298" s="1">
        <v>5596.99</v>
      </c>
      <c r="AN1298" s="1">
        <v>5596.99</v>
      </c>
      <c r="AO1298" s="1">
        <v>5596.99</v>
      </c>
      <c r="AP1298" s="2">
        <v>42746</v>
      </c>
      <c r="AQ1298" t="s">
        <v>72</v>
      </c>
      <c r="AR1298" t="s">
        <v>72</v>
      </c>
      <c r="AS1298">
        <v>3185</v>
      </c>
      <c r="AT1298" s="4">
        <v>42692</v>
      </c>
      <c r="AU1298" t="s">
        <v>73</v>
      </c>
      <c r="AV1298">
        <v>3185</v>
      </c>
      <c r="AW1298" s="4">
        <v>42692</v>
      </c>
      <c r="BD1298">
        <v>0</v>
      </c>
      <c r="BN1298" t="s">
        <v>74</v>
      </c>
    </row>
    <row r="1299" spans="1:66">
      <c r="A1299">
        <v>100294</v>
      </c>
      <c r="B1299" s="3" t="s">
        <v>154</v>
      </c>
      <c r="C1299" s="1">
        <v>43300101</v>
      </c>
      <c r="D1299" t="s">
        <v>67</v>
      </c>
      <c r="H1299" t="str">
        <f t="shared" ref="H1299:I1311" si="116">"06068041000"</f>
        <v>06068041000</v>
      </c>
      <c r="I1299" t="str">
        <f t="shared" si="116"/>
        <v>06068041000</v>
      </c>
      <c r="K1299" t="str">
        <f>""</f>
        <v/>
      </c>
      <c r="M1299" t="s">
        <v>68</v>
      </c>
      <c r="N1299" t="str">
        <f t="shared" si="115"/>
        <v>FOR</v>
      </c>
      <c r="O1299" t="s">
        <v>69</v>
      </c>
      <c r="P1299" s="3" t="s">
        <v>70</v>
      </c>
      <c r="Q1299">
        <v>2015</v>
      </c>
      <c r="R1299" s="2">
        <v>42108</v>
      </c>
      <c r="S1299" s="2">
        <v>42643</v>
      </c>
      <c r="T1299" s="2">
        <v>42643</v>
      </c>
      <c r="U1299" s="2">
        <v>42703</v>
      </c>
      <c r="V1299" t="s">
        <v>71</v>
      </c>
      <c r="W1299" t="str">
        <f>"            21505808"</f>
        <v xml:space="preserve">            21505808</v>
      </c>
      <c r="X1299" s="1">
        <v>2440</v>
      </c>
      <c r="Y1299">
        <v>0</v>
      </c>
      <c r="Z1299" s="5">
        <v>2000</v>
      </c>
      <c r="AA1299">
        <v>-25</v>
      </c>
      <c r="AB1299" s="5">
        <v>-50000</v>
      </c>
      <c r="AC1299" s="1">
        <v>2000</v>
      </c>
      <c r="AD1299">
        <v>-25</v>
      </c>
      <c r="AE1299" s="1">
        <v>-50000</v>
      </c>
      <c r="AF1299">
        <v>0</v>
      </c>
      <c r="AJ1299">
        <v>0</v>
      </c>
      <c r="AK1299">
        <v>0</v>
      </c>
      <c r="AL1299">
        <v>0</v>
      </c>
      <c r="AM1299">
        <v>0</v>
      </c>
      <c r="AN1299" s="1">
        <v>2440</v>
      </c>
      <c r="AO1299">
        <v>0</v>
      </c>
      <c r="AP1299" s="2">
        <v>42746</v>
      </c>
      <c r="AQ1299" t="s">
        <v>72</v>
      </c>
      <c r="AR1299" t="s">
        <v>72</v>
      </c>
      <c r="AS1299">
        <v>2944</v>
      </c>
      <c r="AT1299" s="4">
        <v>42678</v>
      </c>
      <c r="AV1299">
        <v>2944</v>
      </c>
      <c r="AW1299" s="4">
        <v>42678</v>
      </c>
      <c r="BD1299">
        <v>0</v>
      </c>
      <c r="BN1299" t="s">
        <v>74</v>
      </c>
    </row>
    <row r="1300" spans="1:66">
      <c r="A1300">
        <v>100294</v>
      </c>
      <c r="B1300" s="3" t="s">
        <v>154</v>
      </c>
      <c r="C1300" s="1">
        <v>43300101</v>
      </c>
      <c r="D1300" t="s">
        <v>67</v>
      </c>
      <c r="H1300" t="str">
        <f t="shared" si="116"/>
        <v>06068041000</v>
      </c>
      <c r="I1300" t="str">
        <f t="shared" si="116"/>
        <v>06068041000</v>
      </c>
      <c r="K1300" t="str">
        <f>""</f>
        <v/>
      </c>
      <c r="M1300" t="s">
        <v>68</v>
      </c>
      <c r="N1300" t="str">
        <f t="shared" si="115"/>
        <v>FOR</v>
      </c>
      <c r="O1300" t="s">
        <v>69</v>
      </c>
      <c r="P1300" s="3" t="s">
        <v>70</v>
      </c>
      <c r="Q1300">
        <v>2015</v>
      </c>
      <c r="R1300" s="2">
        <v>42114</v>
      </c>
      <c r="S1300" s="2">
        <v>42643</v>
      </c>
      <c r="T1300" s="2">
        <v>42643</v>
      </c>
      <c r="U1300" s="2">
        <v>42703</v>
      </c>
      <c r="V1300" t="s">
        <v>71</v>
      </c>
      <c r="W1300" t="str">
        <f>"            21506161"</f>
        <v xml:space="preserve">            21506161</v>
      </c>
      <c r="X1300">
        <v>854</v>
      </c>
      <c r="Y1300">
        <v>0</v>
      </c>
      <c r="Z1300" s="3">
        <v>700</v>
      </c>
      <c r="AA1300">
        <v>-25</v>
      </c>
      <c r="AB1300" s="5">
        <v>-17500</v>
      </c>
      <c r="AC1300">
        <v>700</v>
      </c>
      <c r="AD1300">
        <v>-25</v>
      </c>
      <c r="AE1300" s="1">
        <v>-17500</v>
      </c>
      <c r="AF1300">
        <v>0</v>
      </c>
      <c r="AJ1300">
        <v>0</v>
      </c>
      <c r="AK1300">
        <v>0</v>
      </c>
      <c r="AL1300">
        <v>0</v>
      </c>
      <c r="AM1300">
        <v>0</v>
      </c>
      <c r="AN1300">
        <v>854</v>
      </c>
      <c r="AO1300">
        <v>0</v>
      </c>
      <c r="AP1300" s="2">
        <v>42746</v>
      </c>
      <c r="AQ1300" t="s">
        <v>72</v>
      </c>
      <c r="AR1300" t="s">
        <v>72</v>
      </c>
      <c r="AS1300">
        <v>2944</v>
      </c>
      <c r="AT1300" s="4">
        <v>42678</v>
      </c>
      <c r="AV1300">
        <v>2944</v>
      </c>
      <c r="AW1300" s="4">
        <v>42678</v>
      </c>
      <c r="BD1300">
        <v>0</v>
      </c>
      <c r="BN1300" t="s">
        <v>74</v>
      </c>
    </row>
    <row r="1301" spans="1:66">
      <c r="A1301">
        <v>100294</v>
      </c>
      <c r="B1301" s="3" t="s">
        <v>154</v>
      </c>
      <c r="C1301" s="1">
        <v>43300101</v>
      </c>
      <c r="D1301" t="s">
        <v>67</v>
      </c>
      <c r="H1301" t="str">
        <f t="shared" si="116"/>
        <v>06068041000</v>
      </c>
      <c r="I1301" t="str">
        <f t="shared" si="116"/>
        <v>06068041000</v>
      </c>
      <c r="K1301" t="str">
        <f>""</f>
        <v/>
      </c>
      <c r="M1301" t="s">
        <v>68</v>
      </c>
      <c r="N1301" t="str">
        <f t="shared" si="115"/>
        <v>FOR</v>
      </c>
      <c r="O1301" t="s">
        <v>69</v>
      </c>
      <c r="P1301" s="3" t="s">
        <v>70</v>
      </c>
      <c r="Q1301">
        <v>2015</v>
      </c>
      <c r="R1301" s="2">
        <v>42136</v>
      </c>
      <c r="S1301" s="2">
        <v>42643</v>
      </c>
      <c r="T1301" s="2">
        <v>42643</v>
      </c>
      <c r="U1301" s="2">
        <v>42703</v>
      </c>
      <c r="V1301" t="s">
        <v>71</v>
      </c>
      <c r="W1301" t="str">
        <f>"            21507534"</f>
        <v xml:space="preserve">            21507534</v>
      </c>
      <c r="X1301" s="1">
        <v>1586</v>
      </c>
      <c r="Y1301">
        <v>0</v>
      </c>
      <c r="Z1301" s="5">
        <v>1300</v>
      </c>
      <c r="AA1301">
        <v>-25</v>
      </c>
      <c r="AB1301" s="5">
        <v>-32500</v>
      </c>
      <c r="AC1301" s="1">
        <v>1300</v>
      </c>
      <c r="AD1301">
        <v>-25</v>
      </c>
      <c r="AE1301" s="1">
        <v>-32500</v>
      </c>
      <c r="AF1301">
        <v>0</v>
      </c>
      <c r="AJ1301">
        <v>0</v>
      </c>
      <c r="AK1301">
        <v>0</v>
      </c>
      <c r="AL1301">
        <v>0</v>
      </c>
      <c r="AM1301">
        <v>0</v>
      </c>
      <c r="AN1301" s="1">
        <v>1586</v>
      </c>
      <c r="AO1301">
        <v>0</v>
      </c>
      <c r="AP1301" s="2">
        <v>42746</v>
      </c>
      <c r="AQ1301" t="s">
        <v>72</v>
      </c>
      <c r="AR1301" t="s">
        <v>72</v>
      </c>
      <c r="AS1301">
        <v>2944</v>
      </c>
      <c r="AT1301" s="4">
        <v>42678</v>
      </c>
      <c r="AV1301">
        <v>2944</v>
      </c>
      <c r="AW1301" s="4">
        <v>42678</v>
      </c>
      <c r="BD1301">
        <v>0</v>
      </c>
      <c r="BN1301" t="s">
        <v>74</v>
      </c>
    </row>
    <row r="1302" spans="1:66">
      <c r="A1302">
        <v>100294</v>
      </c>
      <c r="B1302" s="3" t="s">
        <v>154</v>
      </c>
      <c r="C1302" s="1">
        <v>43300101</v>
      </c>
      <c r="D1302" t="s">
        <v>67</v>
      </c>
      <c r="H1302" t="str">
        <f t="shared" si="116"/>
        <v>06068041000</v>
      </c>
      <c r="I1302" t="str">
        <f t="shared" si="116"/>
        <v>06068041000</v>
      </c>
      <c r="K1302" t="str">
        <f>""</f>
        <v/>
      </c>
      <c r="M1302" t="s">
        <v>68</v>
      </c>
      <c r="N1302" t="str">
        <f t="shared" si="115"/>
        <v>FOR</v>
      </c>
      <c r="O1302" t="s">
        <v>69</v>
      </c>
      <c r="P1302" s="3" t="s">
        <v>70</v>
      </c>
      <c r="Q1302">
        <v>2015</v>
      </c>
      <c r="R1302" s="2">
        <v>42143</v>
      </c>
      <c r="S1302" s="2">
        <v>42643</v>
      </c>
      <c r="T1302" s="2">
        <v>42643</v>
      </c>
      <c r="U1302" s="2">
        <v>42703</v>
      </c>
      <c r="V1302" t="s">
        <v>71</v>
      </c>
      <c r="W1302" t="str">
        <f>"            21507995"</f>
        <v xml:space="preserve">            21507995</v>
      </c>
      <c r="X1302" s="1">
        <v>1708</v>
      </c>
      <c r="Y1302">
        <v>0</v>
      </c>
      <c r="Z1302" s="5">
        <v>1400</v>
      </c>
      <c r="AA1302">
        <v>-25</v>
      </c>
      <c r="AB1302" s="5">
        <v>-35000</v>
      </c>
      <c r="AC1302" s="1">
        <v>1400</v>
      </c>
      <c r="AD1302">
        <v>-25</v>
      </c>
      <c r="AE1302" s="1">
        <v>-35000</v>
      </c>
      <c r="AF1302">
        <v>0</v>
      </c>
      <c r="AJ1302">
        <v>0</v>
      </c>
      <c r="AK1302">
        <v>0</v>
      </c>
      <c r="AL1302">
        <v>0</v>
      </c>
      <c r="AM1302">
        <v>0</v>
      </c>
      <c r="AN1302" s="1">
        <v>1708</v>
      </c>
      <c r="AO1302">
        <v>0</v>
      </c>
      <c r="AP1302" s="2">
        <v>42746</v>
      </c>
      <c r="AQ1302" t="s">
        <v>72</v>
      </c>
      <c r="AR1302" t="s">
        <v>72</v>
      </c>
      <c r="AS1302">
        <v>2944</v>
      </c>
      <c r="AT1302" s="4">
        <v>42678</v>
      </c>
      <c r="AV1302">
        <v>2944</v>
      </c>
      <c r="AW1302" s="4">
        <v>42678</v>
      </c>
      <c r="BD1302">
        <v>0</v>
      </c>
      <c r="BN1302" t="s">
        <v>74</v>
      </c>
    </row>
    <row r="1303" spans="1:66">
      <c r="A1303">
        <v>100294</v>
      </c>
      <c r="B1303" s="3" t="s">
        <v>154</v>
      </c>
      <c r="C1303" s="1">
        <v>43300101</v>
      </c>
      <c r="D1303" t="s">
        <v>67</v>
      </c>
      <c r="H1303" t="str">
        <f t="shared" si="116"/>
        <v>06068041000</v>
      </c>
      <c r="I1303" t="str">
        <f t="shared" si="116"/>
        <v>06068041000</v>
      </c>
      <c r="K1303" t="str">
        <f>""</f>
        <v/>
      </c>
      <c r="M1303" t="s">
        <v>68</v>
      </c>
      <c r="N1303" t="str">
        <f t="shared" si="115"/>
        <v>FOR</v>
      </c>
      <c r="O1303" t="s">
        <v>69</v>
      </c>
      <c r="P1303" s="3" t="s">
        <v>70</v>
      </c>
      <c r="Q1303">
        <v>2015</v>
      </c>
      <c r="R1303" s="2">
        <v>42174</v>
      </c>
      <c r="S1303" s="2">
        <v>42643</v>
      </c>
      <c r="T1303" s="2">
        <v>42643</v>
      </c>
      <c r="U1303" s="2">
        <v>42703</v>
      </c>
      <c r="V1303" t="s">
        <v>71</v>
      </c>
      <c r="W1303" t="str">
        <f>"            21510206"</f>
        <v xml:space="preserve">            21510206</v>
      </c>
      <c r="X1303" s="1">
        <v>4880</v>
      </c>
      <c r="Y1303">
        <v>0</v>
      </c>
      <c r="Z1303" s="5">
        <v>4000</v>
      </c>
      <c r="AA1303">
        <v>-25</v>
      </c>
      <c r="AB1303" s="5">
        <v>-100000</v>
      </c>
      <c r="AC1303" s="1">
        <v>4000</v>
      </c>
      <c r="AD1303">
        <v>-25</v>
      </c>
      <c r="AE1303" s="1">
        <v>-100000</v>
      </c>
      <c r="AF1303">
        <v>0</v>
      </c>
      <c r="AJ1303">
        <v>0</v>
      </c>
      <c r="AK1303">
        <v>0</v>
      </c>
      <c r="AL1303">
        <v>0</v>
      </c>
      <c r="AM1303">
        <v>0</v>
      </c>
      <c r="AN1303" s="1">
        <v>4880</v>
      </c>
      <c r="AO1303">
        <v>0</v>
      </c>
      <c r="AP1303" s="2">
        <v>42746</v>
      </c>
      <c r="AQ1303" t="s">
        <v>72</v>
      </c>
      <c r="AR1303" t="s">
        <v>72</v>
      </c>
      <c r="AS1303">
        <v>2944</v>
      </c>
      <c r="AT1303" s="4">
        <v>42678</v>
      </c>
      <c r="AV1303">
        <v>2944</v>
      </c>
      <c r="AW1303" s="4">
        <v>42678</v>
      </c>
      <c r="BD1303">
        <v>0</v>
      </c>
      <c r="BN1303" t="s">
        <v>74</v>
      </c>
    </row>
    <row r="1304" spans="1:66">
      <c r="A1304">
        <v>100294</v>
      </c>
      <c r="B1304" s="3" t="s">
        <v>154</v>
      </c>
      <c r="C1304" s="1">
        <v>43300101</v>
      </c>
      <c r="D1304" t="s">
        <v>67</v>
      </c>
      <c r="H1304" t="str">
        <f t="shared" si="116"/>
        <v>06068041000</v>
      </c>
      <c r="I1304" t="str">
        <f t="shared" si="116"/>
        <v>06068041000</v>
      </c>
      <c r="K1304" t="str">
        <f>""</f>
        <v/>
      </c>
      <c r="M1304" t="s">
        <v>68</v>
      </c>
      <c r="N1304" t="str">
        <f t="shared" si="115"/>
        <v>FOR</v>
      </c>
      <c r="O1304" t="s">
        <v>69</v>
      </c>
      <c r="P1304" s="3" t="s">
        <v>70</v>
      </c>
      <c r="Q1304">
        <v>2015</v>
      </c>
      <c r="R1304" s="2">
        <v>42212</v>
      </c>
      <c r="S1304" s="2">
        <v>42643</v>
      </c>
      <c r="T1304" s="2">
        <v>42643</v>
      </c>
      <c r="U1304" s="2">
        <v>42703</v>
      </c>
      <c r="V1304" t="s">
        <v>71</v>
      </c>
      <c r="W1304" t="str">
        <f>"            21512473"</f>
        <v xml:space="preserve">            21512473</v>
      </c>
      <c r="X1304" s="1">
        <v>1586</v>
      </c>
      <c r="Y1304">
        <v>0</v>
      </c>
      <c r="Z1304" s="5">
        <v>1300</v>
      </c>
      <c r="AA1304">
        <v>-25</v>
      </c>
      <c r="AB1304" s="5">
        <v>-32500</v>
      </c>
      <c r="AC1304" s="1">
        <v>1300</v>
      </c>
      <c r="AD1304">
        <v>-25</v>
      </c>
      <c r="AE1304" s="1">
        <v>-32500</v>
      </c>
      <c r="AF1304">
        <v>0</v>
      </c>
      <c r="AJ1304">
        <v>0</v>
      </c>
      <c r="AK1304">
        <v>0</v>
      </c>
      <c r="AL1304">
        <v>0</v>
      </c>
      <c r="AM1304">
        <v>0</v>
      </c>
      <c r="AN1304" s="1">
        <v>1586</v>
      </c>
      <c r="AO1304">
        <v>0</v>
      </c>
      <c r="AP1304" s="2">
        <v>42746</v>
      </c>
      <c r="AQ1304" t="s">
        <v>72</v>
      </c>
      <c r="AR1304" t="s">
        <v>72</v>
      </c>
      <c r="AS1304">
        <v>2944</v>
      </c>
      <c r="AT1304" s="4">
        <v>42678</v>
      </c>
      <c r="AV1304">
        <v>2944</v>
      </c>
      <c r="AW1304" s="4">
        <v>42678</v>
      </c>
      <c r="BD1304">
        <v>0</v>
      </c>
      <c r="BN1304" t="s">
        <v>74</v>
      </c>
    </row>
    <row r="1305" spans="1:66">
      <c r="A1305">
        <v>100294</v>
      </c>
      <c r="B1305" s="3" t="s">
        <v>154</v>
      </c>
      <c r="C1305" s="1">
        <v>43300101</v>
      </c>
      <c r="D1305" t="s">
        <v>67</v>
      </c>
      <c r="H1305" t="str">
        <f t="shared" si="116"/>
        <v>06068041000</v>
      </c>
      <c r="I1305" t="str">
        <f t="shared" si="116"/>
        <v>06068041000</v>
      </c>
      <c r="K1305" t="str">
        <f>""</f>
        <v/>
      </c>
      <c r="M1305" t="s">
        <v>68</v>
      </c>
      <c r="N1305" t="str">
        <f t="shared" si="115"/>
        <v>FOR</v>
      </c>
      <c r="O1305" t="s">
        <v>69</v>
      </c>
      <c r="P1305" s="3" t="s">
        <v>70</v>
      </c>
      <c r="Q1305">
        <v>2015</v>
      </c>
      <c r="R1305" s="2">
        <v>42241</v>
      </c>
      <c r="S1305" s="2">
        <v>42643</v>
      </c>
      <c r="T1305" s="2">
        <v>42643</v>
      </c>
      <c r="U1305" s="2">
        <v>42703</v>
      </c>
      <c r="V1305" t="s">
        <v>71</v>
      </c>
      <c r="W1305" t="str">
        <f>"            21513838"</f>
        <v xml:space="preserve">            21513838</v>
      </c>
      <c r="X1305" s="1">
        <v>1708</v>
      </c>
      <c r="Y1305">
        <v>0</v>
      </c>
      <c r="Z1305" s="5">
        <v>1400</v>
      </c>
      <c r="AA1305">
        <v>-25</v>
      </c>
      <c r="AB1305" s="5">
        <v>-35000</v>
      </c>
      <c r="AC1305" s="1">
        <v>1400</v>
      </c>
      <c r="AD1305">
        <v>-25</v>
      </c>
      <c r="AE1305" s="1">
        <v>-35000</v>
      </c>
      <c r="AF1305">
        <v>0</v>
      </c>
      <c r="AJ1305">
        <v>0</v>
      </c>
      <c r="AK1305">
        <v>0</v>
      </c>
      <c r="AL1305">
        <v>0</v>
      </c>
      <c r="AM1305">
        <v>0</v>
      </c>
      <c r="AN1305" s="1">
        <v>1708</v>
      </c>
      <c r="AO1305">
        <v>0</v>
      </c>
      <c r="AP1305" s="2">
        <v>42746</v>
      </c>
      <c r="AQ1305" t="s">
        <v>72</v>
      </c>
      <c r="AR1305" t="s">
        <v>72</v>
      </c>
      <c r="AS1305">
        <v>2944</v>
      </c>
      <c r="AT1305" s="4">
        <v>42678</v>
      </c>
      <c r="AV1305">
        <v>2944</v>
      </c>
      <c r="AW1305" s="4">
        <v>42678</v>
      </c>
      <c r="BD1305">
        <v>0</v>
      </c>
      <c r="BN1305" t="s">
        <v>74</v>
      </c>
    </row>
    <row r="1306" spans="1:66">
      <c r="A1306">
        <v>100294</v>
      </c>
      <c r="B1306" s="3" t="s">
        <v>154</v>
      </c>
      <c r="C1306" s="1">
        <v>43300101</v>
      </c>
      <c r="D1306" t="s">
        <v>67</v>
      </c>
      <c r="H1306" t="str">
        <f t="shared" si="116"/>
        <v>06068041000</v>
      </c>
      <c r="I1306" t="str">
        <f t="shared" si="116"/>
        <v>06068041000</v>
      </c>
      <c r="K1306" t="str">
        <f>""</f>
        <v/>
      </c>
      <c r="M1306" t="s">
        <v>68</v>
      </c>
      <c r="N1306" t="str">
        <f t="shared" si="115"/>
        <v>FOR</v>
      </c>
      <c r="O1306" t="s">
        <v>69</v>
      </c>
      <c r="P1306" s="3" t="s">
        <v>70</v>
      </c>
      <c r="Q1306">
        <v>2015</v>
      </c>
      <c r="R1306" s="2">
        <v>42247</v>
      </c>
      <c r="S1306" s="2">
        <v>42643</v>
      </c>
      <c r="T1306" s="2">
        <v>42643</v>
      </c>
      <c r="U1306" s="2">
        <v>42703</v>
      </c>
      <c r="V1306" t="s">
        <v>71</v>
      </c>
      <c r="W1306" t="str">
        <f>"            21514072"</f>
        <v xml:space="preserve">            21514072</v>
      </c>
      <c r="X1306" s="1">
        <v>3660</v>
      </c>
      <c r="Y1306">
        <v>0</v>
      </c>
      <c r="Z1306" s="5">
        <v>3000</v>
      </c>
      <c r="AA1306">
        <v>-25</v>
      </c>
      <c r="AB1306" s="5">
        <v>-75000</v>
      </c>
      <c r="AC1306" s="1">
        <v>3000</v>
      </c>
      <c r="AD1306">
        <v>-25</v>
      </c>
      <c r="AE1306" s="1">
        <v>-75000</v>
      </c>
      <c r="AF1306">
        <v>0</v>
      </c>
      <c r="AJ1306">
        <v>0</v>
      </c>
      <c r="AK1306">
        <v>0</v>
      </c>
      <c r="AL1306">
        <v>0</v>
      </c>
      <c r="AM1306">
        <v>0</v>
      </c>
      <c r="AN1306" s="1">
        <v>3660</v>
      </c>
      <c r="AO1306">
        <v>0</v>
      </c>
      <c r="AP1306" s="2">
        <v>42746</v>
      </c>
      <c r="AQ1306" t="s">
        <v>72</v>
      </c>
      <c r="AR1306" t="s">
        <v>72</v>
      </c>
      <c r="AS1306">
        <v>2944</v>
      </c>
      <c r="AT1306" s="4">
        <v>42678</v>
      </c>
      <c r="AV1306">
        <v>2944</v>
      </c>
      <c r="AW1306" s="4">
        <v>42678</v>
      </c>
      <c r="BD1306">
        <v>0</v>
      </c>
      <c r="BN1306" t="s">
        <v>74</v>
      </c>
    </row>
    <row r="1307" spans="1:66">
      <c r="A1307">
        <v>100294</v>
      </c>
      <c r="B1307" s="3" t="s">
        <v>154</v>
      </c>
      <c r="C1307" s="1">
        <v>43300101</v>
      </c>
      <c r="D1307" t="s">
        <v>67</v>
      </c>
      <c r="H1307" t="str">
        <f t="shared" si="116"/>
        <v>06068041000</v>
      </c>
      <c r="I1307" t="str">
        <f t="shared" si="116"/>
        <v>06068041000</v>
      </c>
      <c r="K1307" t="str">
        <f>""</f>
        <v/>
      </c>
      <c r="M1307" t="s">
        <v>68</v>
      </c>
      <c r="N1307" t="str">
        <f t="shared" si="115"/>
        <v>FOR</v>
      </c>
      <c r="O1307" t="s">
        <v>69</v>
      </c>
      <c r="P1307" s="3" t="s">
        <v>70</v>
      </c>
      <c r="Q1307">
        <v>2015</v>
      </c>
      <c r="R1307" s="2">
        <v>42282</v>
      </c>
      <c r="S1307" s="2">
        <v>42643</v>
      </c>
      <c r="T1307" s="2">
        <v>42643</v>
      </c>
      <c r="U1307" s="2">
        <v>42703</v>
      </c>
      <c r="V1307" t="s">
        <v>71</v>
      </c>
      <c r="W1307" t="str">
        <f>"            21516085"</f>
        <v xml:space="preserve">            21516085</v>
      </c>
      <c r="X1307" s="1">
        <v>1708</v>
      </c>
      <c r="Y1307">
        <v>0</v>
      </c>
      <c r="Z1307" s="5">
        <v>1400</v>
      </c>
      <c r="AA1307">
        <v>-25</v>
      </c>
      <c r="AB1307" s="5">
        <v>-35000</v>
      </c>
      <c r="AC1307" s="1">
        <v>1400</v>
      </c>
      <c r="AD1307">
        <v>-25</v>
      </c>
      <c r="AE1307" s="1">
        <v>-35000</v>
      </c>
      <c r="AF1307">
        <v>0</v>
      </c>
      <c r="AJ1307">
        <v>0</v>
      </c>
      <c r="AK1307">
        <v>0</v>
      </c>
      <c r="AL1307">
        <v>0</v>
      </c>
      <c r="AM1307">
        <v>0</v>
      </c>
      <c r="AN1307" s="1">
        <v>1708</v>
      </c>
      <c r="AO1307">
        <v>0</v>
      </c>
      <c r="AP1307" s="2">
        <v>42746</v>
      </c>
      <c r="AQ1307" t="s">
        <v>72</v>
      </c>
      <c r="AR1307" t="s">
        <v>72</v>
      </c>
      <c r="AS1307">
        <v>2944</v>
      </c>
      <c r="AT1307" s="4">
        <v>42678</v>
      </c>
      <c r="AV1307">
        <v>2944</v>
      </c>
      <c r="AW1307" s="4">
        <v>42678</v>
      </c>
      <c r="BD1307">
        <v>0</v>
      </c>
      <c r="BN1307" t="s">
        <v>74</v>
      </c>
    </row>
    <row r="1308" spans="1:66">
      <c r="A1308">
        <v>100294</v>
      </c>
      <c r="B1308" s="3" t="s">
        <v>154</v>
      </c>
      <c r="C1308" s="1">
        <v>43300101</v>
      </c>
      <c r="D1308" t="s">
        <v>67</v>
      </c>
      <c r="H1308" t="str">
        <f t="shared" si="116"/>
        <v>06068041000</v>
      </c>
      <c r="I1308" t="str">
        <f t="shared" si="116"/>
        <v>06068041000</v>
      </c>
      <c r="K1308" t="str">
        <f>""</f>
        <v/>
      </c>
      <c r="M1308" t="s">
        <v>68</v>
      </c>
      <c r="N1308" t="str">
        <f t="shared" si="115"/>
        <v>FOR</v>
      </c>
      <c r="O1308" t="s">
        <v>69</v>
      </c>
      <c r="P1308" s="3" t="s">
        <v>70</v>
      </c>
      <c r="Q1308">
        <v>2015</v>
      </c>
      <c r="R1308" s="2">
        <v>42313</v>
      </c>
      <c r="S1308" s="2">
        <v>42643</v>
      </c>
      <c r="T1308" s="2">
        <v>42643</v>
      </c>
      <c r="U1308" s="2">
        <v>42703</v>
      </c>
      <c r="V1308" t="s">
        <v>71</v>
      </c>
      <c r="W1308" t="str">
        <f>"            21518112"</f>
        <v xml:space="preserve">            21518112</v>
      </c>
      <c r="X1308" s="1">
        <v>2440</v>
      </c>
      <c r="Y1308">
        <v>0</v>
      </c>
      <c r="Z1308" s="5">
        <v>2000</v>
      </c>
      <c r="AA1308">
        <v>-25</v>
      </c>
      <c r="AB1308" s="5">
        <v>-50000</v>
      </c>
      <c r="AC1308" s="1">
        <v>2000</v>
      </c>
      <c r="AD1308">
        <v>-25</v>
      </c>
      <c r="AE1308" s="1">
        <v>-50000</v>
      </c>
      <c r="AF1308">
        <v>0</v>
      </c>
      <c r="AJ1308">
        <v>0</v>
      </c>
      <c r="AK1308">
        <v>0</v>
      </c>
      <c r="AL1308">
        <v>0</v>
      </c>
      <c r="AM1308">
        <v>0</v>
      </c>
      <c r="AN1308" s="1">
        <v>2440</v>
      </c>
      <c r="AO1308">
        <v>0</v>
      </c>
      <c r="AP1308" s="2">
        <v>42746</v>
      </c>
      <c r="AQ1308" t="s">
        <v>72</v>
      </c>
      <c r="AR1308" t="s">
        <v>72</v>
      </c>
      <c r="AS1308">
        <v>2944</v>
      </c>
      <c r="AT1308" s="4">
        <v>42678</v>
      </c>
      <c r="AV1308">
        <v>2944</v>
      </c>
      <c r="AW1308" s="4">
        <v>42678</v>
      </c>
      <c r="BD1308">
        <v>0</v>
      </c>
      <c r="BN1308" t="s">
        <v>74</v>
      </c>
    </row>
    <row r="1309" spans="1:66">
      <c r="A1309">
        <v>100294</v>
      </c>
      <c r="B1309" s="3" t="s">
        <v>154</v>
      </c>
      <c r="C1309" s="1">
        <v>43300101</v>
      </c>
      <c r="D1309" t="s">
        <v>67</v>
      </c>
      <c r="H1309" t="str">
        <f t="shared" si="116"/>
        <v>06068041000</v>
      </c>
      <c r="I1309" t="str">
        <f t="shared" si="116"/>
        <v>06068041000</v>
      </c>
      <c r="K1309" t="str">
        <f>""</f>
        <v/>
      </c>
      <c r="M1309" t="s">
        <v>68</v>
      </c>
      <c r="N1309" t="str">
        <f t="shared" si="115"/>
        <v>FOR</v>
      </c>
      <c r="O1309" t="s">
        <v>69</v>
      </c>
      <c r="P1309" s="3" t="s">
        <v>70</v>
      </c>
      <c r="Q1309">
        <v>2015</v>
      </c>
      <c r="R1309" s="2">
        <v>42317</v>
      </c>
      <c r="S1309" s="2">
        <v>42643</v>
      </c>
      <c r="T1309" s="2">
        <v>42643</v>
      </c>
      <c r="U1309" s="2">
        <v>42703</v>
      </c>
      <c r="V1309" t="s">
        <v>71</v>
      </c>
      <c r="W1309" t="str">
        <f>"            21518302"</f>
        <v xml:space="preserve">            21518302</v>
      </c>
      <c r="X1309" s="1">
        <v>1708</v>
      </c>
      <c r="Y1309">
        <v>0</v>
      </c>
      <c r="Z1309" s="5">
        <v>1400</v>
      </c>
      <c r="AA1309">
        <v>-25</v>
      </c>
      <c r="AB1309" s="5">
        <v>-35000</v>
      </c>
      <c r="AC1309" s="1">
        <v>1400</v>
      </c>
      <c r="AD1309">
        <v>-25</v>
      </c>
      <c r="AE1309" s="1">
        <v>-35000</v>
      </c>
      <c r="AF1309">
        <v>0</v>
      </c>
      <c r="AJ1309">
        <v>0</v>
      </c>
      <c r="AK1309">
        <v>0</v>
      </c>
      <c r="AL1309">
        <v>0</v>
      </c>
      <c r="AM1309">
        <v>0</v>
      </c>
      <c r="AN1309" s="1">
        <v>1708</v>
      </c>
      <c r="AO1309">
        <v>0</v>
      </c>
      <c r="AP1309" s="2">
        <v>42746</v>
      </c>
      <c r="AQ1309" t="s">
        <v>72</v>
      </c>
      <c r="AR1309" t="s">
        <v>72</v>
      </c>
      <c r="AS1309">
        <v>2944</v>
      </c>
      <c r="AT1309" s="4">
        <v>42678</v>
      </c>
      <c r="AV1309">
        <v>2944</v>
      </c>
      <c r="AW1309" s="4">
        <v>42678</v>
      </c>
      <c r="BD1309">
        <v>0</v>
      </c>
      <c r="BN1309" t="s">
        <v>74</v>
      </c>
    </row>
    <row r="1310" spans="1:66">
      <c r="A1310">
        <v>100294</v>
      </c>
      <c r="B1310" s="3" t="s">
        <v>154</v>
      </c>
      <c r="C1310" s="1">
        <v>43300101</v>
      </c>
      <c r="D1310" t="s">
        <v>67</v>
      </c>
      <c r="H1310" t="str">
        <f t="shared" si="116"/>
        <v>06068041000</v>
      </c>
      <c r="I1310" t="str">
        <f t="shared" si="116"/>
        <v>06068041000</v>
      </c>
      <c r="K1310" t="str">
        <f>""</f>
        <v/>
      </c>
      <c r="M1310" t="s">
        <v>68</v>
      </c>
      <c r="N1310" t="str">
        <f t="shared" si="115"/>
        <v>FOR</v>
      </c>
      <c r="O1310" t="s">
        <v>69</v>
      </c>
      <c r="P1310" s="3" t="s">
        <v>70</v>
      </c>
      <c r="Q1310">
        <v>2015</v>
      </c>
      <c r="R1310" s="2">
        <v>42332</v>
      </c>
      <c r="S1310" s="2">
        <v>42643</v>
      </c>
      <c r="T1310" s="2">
        <v>42643</v>
      </c>
      <c r="U1310" s="2">
        <v>42703</v>
      </c>
      <c r="V1310" t="s">
        <v>71</v>
      </c>
      <c r="W1310" t="str">
        <f>"            21519378"</f>
        <v xml:space="preserve">            21519378</v>
      </c>
      <c r="X1310" s="1">
        <v>1586</v>
      </c>
      <c r="Y1310">
        <v>0</v>
      </c>
      <c r="Z1310" s="5">
        <v>1300</v>
      </c>
      <c r="AA1310">
        <v>-25</v>
      </c>
      <c r="AB1310" s="5">
        <v>-32500</v>
      </c>
      <c r="AC1310" s="1">
        <v>1300</v>
      </c>
      <c r="AD1310">
        <v>-25</v>
      </c>
      <c r="AE1310" s="1">
        <v>-32500</v>
      </c>
      <c r="AF1310">
        <v>0</v>
      </c>
      <c r="AJ1310">
        <v>0</v>
      </c>
      <c r="AK1310">
        <v>0</v>
      </c>
      <c r="AL1310">
        <v>0</v>
      </c>
      <c r="AM1310">
        <v>0</v>
      </c>
      <c r="AN1310" s="1">
        <v>1586</v>
      </c>
      <c r="AO1310">
        <v>0</v>
      </c>
      <c r="AP1310" s="2">
        <v>42746</v>
      </c>
      <c r="AQ1310" t="s">
        <v>72</v>
      </c>
      <c r="AR1310" t="s">
        <v>72</v>
      </c>
      <c r="AS1310">
        <v>2944</v>
      </c>
      <c r="AT1310" s="4">
        <v>42678</v>
      </c>
      <c r="AV1310">
        <v>2944</v>
      </c>
      <c r="AW1310" s="4">
        <v>42678</v>
      </c>
      <c r="BD1310">
        <v>0</v>
      </c>
      <c r="BN1310" t="s">
        <v>74</v>
      </c>
    </row>
    <row r="1311" spans="1:66">
      <c r="A1311">
        <v>100294</v>
      </c>
      <c r="B1311" s="3" t="s">
        <v>154</v>
      </c>
      <c r="C1311" s="1">
        <v>43300101</v>
      </c>
      <c r="D1311" t="s">
        <v>67</v>
      </c>
      <c r="H1311" t="str">
        <f t="shared" si="116"/>
        <v>06068041000</v>
      </c>
      <c r="I1311" t="str">
        <f t="shared" si="116"/>
        <v>06068041000</v>
      </c>
      <c r="K1311" t="str">
        <f>""</f>
        <v/>
      </c>
      <c r="M1311" t="s">
        <v>68</v>
      </c>
      <c r="N1311" t="str">
        <f t="shared" si="115"/>
        <v>FOR</v>
      </c>
      <c r="O1311" t="s">
        <v>69</v>
      </c>
      <c r="P1311" s="3" t="s">
        <v>75</v>
      </c>
      <c r="Q1311">
        <v>2016</v>
      </c>
      <c r="R1311" s="2">
        <v>42398</v>
      </c>
      <c r="S1311" s="2">
        <v>42642</v>
      </c>
      <c r="T1311" s="2">
        <v>42641</v>
      </c>
      <c r="U1311" s="2">
        <v>42701</v>
      </c>
      <c r="V1311" t="s">
        <v>71</v>
      </c>
      <c r="W1311" t="str">
        <f>"            21601490"</f>
        <v xml:space="preserve">            21601490</v>
      </c>
      <c r="X1311" s="1">
        <v>1976.4</v>
      </c>
      <c r="Y1311">
        <v>0</v>
      </c>
      <c r="Z1311" s="5">
        <v>1620</v>
      </c>
      <c r="AA1311">
        <v>22</v>
      </c>
      <c r="AB1311" s="5">
        <v>35640</v>
      </c>
      <c r="AC1311" s="1">
        <v>1620</v>
      </c>
      <c r="AD1311">
        <v>22</v>
      </c>
      <c r="AE1311" s="1">
        <v>35640</v>
      </c>
      <c r="AF1311">
        <v>356.4</v>
      </c>
      <c r="AJ1311">
        <v>0</v>
      </c>
      <c r="AK1311">
        <v>0</v>
      </c>
      <c r="AL1311">
        <v>0</v>
      </c>
      <c r="AM1311" s="1">
        <v>1976.4</v>
      </c>
      <c r="AN1311" s="1">
        <v>1976.4</v>
      </c>
      <c r="AO1311" s="1">
        <v>1976.4</v>
      </c>
      <c r="AP1311" s="2">
        <v>42746</v>
      </c>
      <c r="AQ1311" t="s">
        <v>72</v>
      </c>
      <c r="AR1311" t="s">
        <v>72</v>
      </c>
      <c r="AS1311">
        <v>3627</v>
      </c>
      <c r="AT1311" s="4">
        <v>42723</v>
      </c>
      <c r="AU1311" t="s">
        <v>73</v>
      </c>
      <c r="AV1311">
        <v>3627</v>
      </c>
      <c r="AW1311" s="4">
        <v>42723</v>
      </c>
      <c r="AY1311">
        <v>356.4</v>
      </c>
      <c r="BD1311">
        <v>0</v>
      </c>
      <c r="BN1311" t="s">
        <v>74</v>
      </c>
    </row>
    <row r="1312" spans="1:66" hidden="1">
      <c r="A1312">
        <v>100308</v>
      </c>
      <c r="B1312" s="3" t="s">
        <v>155</v>
      </c>
      <c r="C1312" s="1">
        <v>43300101</v>
      </c>
      <c r="D1312" t="s">
        <v>67</v>
      </c>
      <c r="H1312" t="str">
        <f>"02461070043"</f>
        <v>02461070043</v>
      </c>
      <c r="I1312" t="str">
        <f>"02461070043"</f>
        <v>02461070043</v>
      </c>
      <c r="K1312" t="str">
        <f>""</f>
        <v/>
      </c>
      <c r="M1312" t="s">
        <v>68</v>
      </c>
      <c r="N1312" t="str">
        <f t="shared" si="115"/>
        <v>FOR</v>
      </c>
      <c r="O1312" t="s">
        <v>69</v>
      </c>
      <c r="P1312" s="3" t="s">
        <v>75</v>
      </c>
      <c r="Q1312">
        <v>2015</v>
      </c>
      <c r="R1312" s="2">
        <v>42200</v>
      </c>
      <c r="S1312" s="2">
        <v>42201</v>
      </c>
      <c r="T1312" s="2">
        <v>42201</v>
      </c>
      <c r="U1312" s="2">
        <v>42261</v>
      </c>
      <c r="V1312" t="s">
        <v>71</v>
      </c>
      <c r="W1312" t="str">
        <f>"           078/E2015"</f>
        <v xml:space="preserve">           078/E2015</v>
      </c>
      <c r="X1312" s="1">
        <v>8491.2000000000007</v>
      </c>
      <c r="Y1312">
        <v>0</v>
      </c>
      <c r="Z1312"/>
      <c r="AB1312"/>
      <c r="AC1312" s="1">
        <v>6960</v>
      </c>
      <c r="AD1312">
        <v>305</v>
      </c>
      <c r="AE1312" s="1">
        <v>2122800</v>
      </c>
      <c r="AF1312">
        <v>0</v>
      </c>
      <c r="AJ1312">
        <v>0</v>
      </c>
      <c r="AK1312">
        <v>0</v>
      </c>
      <c r="AL1312">
        <v>0</v>
      </c>
      <c r="AM1312">
        <v>0</v>
      </c>
      <c r="AN1312">
        <v>0</v>
      </c>
      <c r="AO1312">
        <v>0</v>
      </c>
      <c r="AP1312" s="2">
        <v>42746</v>
      </c>
      <c r="AQ1312" t="s">
        <v>72</v>
      </c>
      <c r="AR1312" t="s">
        <v>72</v>
      </c>
      <c r="AS1312">
        <v>1842</v>
      </c>
      <c r="AT1312" s="4">
        <v>42566</v>
      </c>
      <c r="AU1312" t="s">
        <v>73</v>
      </c>
      <c r="AV1312">
        <v>1842</v>
      </c>
      <c r="AW1312" s="4">
        <v>42566</v>
      </c>
      <c r="BD1312">
        <v>0</v>
      </c>
      <c r="BN1312" t="s">
        <v>74</v>
      </c>
    </row>
    <row r="1313" spans="1:66">
      <c r="A1313">
        <v>100308</v>
      </c>
      <c r="B1313" s="3" t="s">
        <v>155</v>
      </c>
      <c r="C1313" s="1">
        <v>43300101</v>
      </c>
      <c r="D1313" t="s">
        <v>67</v>
      </c>
      <c r="H1313" t="str">
        <f>"02461070043"</f>
        <v>02461070043</v>
      </c>
      <c r="I1313" t="str">
        <f>"02461070043"</f>
        <v>02461070043</v>
      </c>
      <c r="K1313" t="str">
        <f>""</f>
        <v/>
      </c>
      <c r="M1313" t="s">
        <v>68</v>
      </c>
      <c r="N1313" t="str">
        <f t="shared" si="115"/>
        <v>FOR</v>
      </c>
      <c r="O1313" t="s">
        <v>69</v>
      </c>
      <c r="P1313" s="3" t="s">
        <v>70</v>
      </c>
      <c r="Q1313">
        <v>2016</v>
      </c>
      <c r="R1313" s="2">
        <v>42521</v>
      </c>
      <c r="S1313" s="2">
        <v>42527</v>
      </c>
      <c r="T1313" s="2">
        <v>42527</v>
      </c>
      <c r="U1313" s="2">
        <v>42587</v>
      </c>
      <c r="V1313" t="s">
        <v>71</v>
      </c>
      <c r="W1313" t="str">
        <f>"           102/E2016"</f>
        <v xml:space="preserve">           102/E2016</v>
      </c>
      <c r="X1313" s="1">
        <v>8320.4</v>
      </c>
      <c r="Y1313">
        <v>0</v>
      </c>
      <c r="Z1313" s="5">
        <v>6820</v>
      </c>
      <c r="AA1313">
        <v>105</v>
      </c>
      <c r="AB1313" s="5">
        <v>716100</v>
      </c>
      <c r="AC1313" s="1">
        <v>6820</v>
      </c>
      <c r="AD1313">
        <v>105</v>
      </c>
      <c r="AE1313" s="1">
        <v>716100</v>
      </c>
      <c r="AF1313">
        <v>0</v>
      </c>
      <c r="AJ1313">
        <v>0</v>
      </c>
      <c r="AK1313">
        <v>0</v>
      </c>
      <c r="AL1313">
        <v>0</v>
      </c>
      <c r="AM1313" s="1">
        <v>8320.4</v>
      </c>
      <c r="AN1313" s="1">
        <v>8320.4</v>
      </c>
      <c r="AO1313" s="1">
        <v>8320.4</v>
      </c>
      <c r="AP1313" s="2">
        <v>42746</v>
      </c>
      <c r="AQ1313" t="s">
        <v>72</v>
      </c>
      <c r="AR1313" t="s">
        <v>72</v>
      </c>
      <c r="AS1313">
        <v>3166</v>
      </c>
      <c r="AT1313" s="4">
        <v>42692</v>
      </c>
      <c r="AU1313" t="s">
        <v>73</v>
      </c>
      <c r="AV1313">
        <v>3166</v>
      </c>
      <c r="AW1313" s="4">
        <v>42692</v>
      </c>
      <c r="BD1313">
        <v>0</v>
      </c>
      <c r="BN1313" t="s">
        <v>74</v>
      </c>
    </row>
    <row r="1314" spans="1:66" hidden="1">
      <c r="A1314">
        <v>100309</v>
      </c>
      <c r="B1314" s="3" t="s">
        <v>156</v>
      </c>
      <c r="C1314" s="1">
        <v>43300101</v>
      </c>
      <c r="D1314" t="s">
        <v>67</v>
      </c>
      <c r="H1314" t="str">
        <f t="shared" ref="H1314:I1337" si="117">"00311430375"</f>
        <v>00311430375</v>
      </c>
      <c r="I1314" t="str">
        <f t="shared" si="117"/>
        <v>00311430375</v>
      </c>
      <c r="K1314" t="str">
        <f>""</f>
        <v/>
      </c>
      <c r="M1314" t="s">
        <v>68</v>
      </c>
      <c r="N1314" t="str">
        <f t="shared" si="115"/>
        <v>FOR</v>
      </c>
      <c r="O1314" t="s">
        <v>69</v>
      </c>
      <c r="P1314" s="3" t="s">
        <v>75</v>
      </c>
      <c r="Q1314">
        <v>2015</v>
      </c>
      <c r="R1314" s="2">
        <v>42121</v>
      </c>
      <c r="S1314" s="2">
        <v>42132</v>
      </c>
      <c r="T1314" s="2">
        <v>42131</v>
      </c>
      <c r="U1314" s="2">
        <v>42191</v>
      </c>
      <c r="V1314" t="s">
        <v>71</v>
      </c>
      <c r="W1314" t="str">
        <f>"            15360018"</f>
        <v xml:space="preserve">            15360018</v>
      </c>
      <c r="X1314" s="1">
        <v>16354.71</v>
      </c>
      <c r="Y1314">
        <v>0</v>
      </c>
      <c r="Z1314"/>
      <c r="AB1314"/>
      <c r="AC1314" s="1">
        <v>13405.5</v>
      </c>
      <c r="AD1314">
        <v>210</v>
      </c>
      <c r="AE1314" s="1">
        <v>2815155</v>
      </c>
      <c r="AF1314">
        <v>0</v>
      </c>
      <c r="AJ1314">
        <v>0</v>
      </c>
      <c r="AK1314">
        <v>0</v>
      </c>
      <c r="AL1314">
        <v>0</v>
      </c>
      <c r="AM1314">
        <v>0</v>
      </c>
      <c r="AN1314">
        <v>0</v>
      </c>
      <c r="AO1314">
        <v>0</v>
      </c>
      <c r="AP1314" s="2">
        <v>42746</v>
      </c>
      <c r="AQ1314" t="s">
        <v>72</v>
      </c>
      <c r="AR1314" t="s">
        <v>72</v>
      </c>
      <c r="AS1314">
        <v>167</v>
      </c>
      <c r="AT1314" s="4">
        <v>42401</v>
      </c>
      <c r="AU1314" t="s">
        <v>73</v>
      </c>
      <c r="AV1314">
        <v>167</v>
      </c>
      <c r="AW1314" s="4">
        <v>42401</v>
      </c>
      <c r="BD1314">
        <v>0</v>
      </c>
      <c r="BN1314" t="s">
        <v>74</v>
      </c>
    </row>
    <row r="1315" spans="1:66" hidden="1">
      <c r="A1315">
        <v>100309</v>
      </c>
      <c r="B1315" s="3" t="s">
        <v>156</v>
      </c>
      <c r="C1315" s="1">
        <v>43300101</v>
      </c>
      <c r="D1315" t="s">
        <v>67</v>
      </c>
      <c r="H1315" t="str">
        <f t="shared" si="117"/>
        <v>00311430375</v>
      </c>
      <c r="I1315" t="str">
        <f t="shared" si="117"/>
        <v>00311430375</v>
      </c>
      <c r="K1315" t="str">
        <f>""</f>
        <v/>
      </c>
      <c r="M1315" t="s">
        <v>68</v>
      </c>
      <c r="N1315" t="str">
        <f t="shared" si="115"/>
        <v>FOR</v>
      </c>
      <c r="O1315" t="s">
        <v>69</v>
      </c>
      <c r="P1315" s="3" t="s">
        <v>75</v>
      </c>
      <c r="Q1315">
        <v>2015</v>
      </c>
      <c r="R1315" s="2">
        <v>42122</v>
      </c>
      <c r="S1315" s="2">
        <v>42165</v>
      </c>
      <c r="T1315" s="2">
        <v>42142</v>
      </c>
      <c r="U1315" s="2">
        <v>42202</v>
      </c>
      <c r="V1315" t="s">
        <v>71</v>
      </c>
      <c r="W1315" t="str">
        <f>"            15360030"</f>
        <v xml:space="preserve">            15360030</v>
      </c>
      <c r="X1315" s="1">
        <v>22041.13</v>
      </c>
      <c r="Y1315">
        <v>0</v>
      </c>
      <c r="Z1315"/>
      <c r="AB1315"/>
      <c r="AC1315" s="1">
        <v>18066.5</v>
      </c>
      <c r="AD1315">
        <v>199</v>
      </c>
      <c r="AE1315" s="1">
        <v>3595233.5</v>
      </c>
      <c r="AF1315">
        <v>0</v>
      </c>
      <c r="AJ1315">
        <v>0</v>
      </c>
      <c r="AK1315">
        <v>0</v>
      </c>
      <c r="AL1315">
        <v>0</v>
      </c>
      <c r="AM1315">
        <v>0</v>
      </c>
      <c r="AN1315">
        <v>0</v>
      </c>
      <c r="AO1315">
        <v>0</v>
      </c>
      <c r="AP1315" s="2">
        <v>42746</v>
      </c>
      <c r="AQ1315" t="s">
        <v>72</v>
      </c>
      <c r="AR1315" t="s">
        <v>72</v>
      </c>
      <c r="AS1315">
        <v>167</v>
      </c>
      <c r="AT1315" s="4">
        <v>42401</v>
      </c>
      <c r="AU1315" t="s">
        <v>73</v>
      </c>
      <c r="AV1315">
        <v>167</v>
      </c>
      <c r="AW1315" s="4">
        <v>42401</v>
      </c>
      <c r="BD1315">
        <v>0</v>
      </c>
      <c r="BN1315" t="s">
        <v>74</v>
      </c>
    </row>
    <row r="1316" spans="1:66" hidden="1">
      <c r="A1316">
        <v>100309</v>
      </c>
      <c r="B1316" s="3" t="s">
        <v>156</v>
      </c>
      <c r="C1316" s="1">
        <v>43300101</v>
      </c>
      <c r="D1316" t="s">
        <v>67</v>
      </c>
      <c r="H1316" t="str">
        <f t="shared" si="117"/>
        <v>00311430375</v>
      </c>
      <c r="I1316" t="str">
        <f t="shared" si="117"/>
        <v>00311430375</v>
      </c>
      <c r="K1316" t="str">
        <f>""</f>
        <v/>
      </c>
      <c r="M1316" t="s">
        <v>68</v>
      </c>
      <c r="N1316" t="str">
        <f t="shared" si="115"/>
        <v>FOR</v>
      </c>
      <c r="O1316" t="s">
        <v>69</v>
      </c>
      <c r="P1316" s="3" t="s">
        <v>75</v>
      </c>
      <c r="Q1316">
        <v>2015</v>
      </c>
      <c r="R1316" s="2">
        <v>42124</v>
      </c>
      <c r="S1316" s="2">
        <v>42142</v>
      </c>
      <c r="T1316" s="2">
        <v>42137</v>
      </c>
      <c r="U1316" s="2">
        <v>42197</v>
      </c>
      <c r="V1316" t="s">
        <v>71</v>
      </c>
      <c r="W1316" t="str">
        <f>"            15360040"</f>
        <v xml:space="preserve">            15360040</v>
      </c>
      <c r="X1316" s="1">
        <v>34461.339999999997</v>
      </c>
      <c r="Y1316">
        <v>0</v>
      </c>
      <c r="Z1316"/>
      <c r="AB1316"/>
      <c r="AC1316" s="1">
        <v>28247</v>
      </c>
      <c r="AD1316">
        <v>204</v>
      </c>
      <c r="AE1316" s="1">
        <v>5762388</v>
      </c>
      <c r="AF1316">
        <v>0</v>
      </c>
      <c r="AJ1316">
        <v>0</v>
      </c>
      <c r="AK1316">
        <v>0</v>
      </c>
      <c r="AL1316">
        <v>0</v>
      </c>
      <c r="AM1316">
        <v>0</v>
      </c>
      <c r="AN1316">
        <v>0</v>
      </c>
      <c r="AO1316">
        <v>0</v>
      </c>
      <c r="AP1316" s="2">
        <v>42746</v>
      </c>
      <c r="AQ1316" t="s">
        <v>72</v>
      </c>
      <c r="AR1316" t="s">
        <v>72</v>
      </c>
      <c r="AS1316">
        <v>167</v>
      </c>
      <c r="AT1316" s="4">
        <v>42401</v>
      </c>
      <c r="AU1316" t="s">
        <v>73</v>
      </c>
      <c r="AV1316">
        <v>167</v>
      </c>
      <c r="AW1316" s="4">
        <v>42401</v>
      </c>
      <c r="BD1316">
        <v>0</v>
      </c>
      <c r="BN1316" t="s">
        <v>74</v>
      </c>
    </row>
    <row r="1317" spans="1:66" hidden="1">
      <c r="A1317">
        <v>100309</v>
      </c>
      <c r="B1317" s="3" t="s">
        <v>156</v>
      </c>
      <c r="C1317" s="1">
        <v>43300101</v>
      </c>
      <c r="D1317" t="s">
        <v>67</v>
      </c>
      <c r="H1317" t="str">
        <f t="shared" si="117"/>
        <v>00311430375</v>
      </c>
      <c r="I1317" t="str">
        <f t="shared" si="117"/>
        <v>00311430375</v>
      </c>
      <c r="K1317" t="str">
        <f>""</f>
        <v/>
      </c>
      <c r="M1317" t="s">
        <v>68</v>
      </c>
      <c r="N1317" t="str">
        <f t="shared" si="115"/>
        <v>FOR</v>
      </c>
      <c r="O1317" t="s">
        <v>69</v>
      </c>
      <c r="P1317" s="3" t="s">
        <v>75</v>
      </c>
      <c r="Q1317">
        <v>2015</v>
      </c>
      <c r="R1317" s="2">
        <v>42142</v>
      </c>
      <c r="S1317" s="2">
        <v>42165</v>
      </c>
      <c r="T1317" s="2">
        <v>42143</v>
      </c>
      <c r="U1317" s="2">
        <v>42203</v>
      </c>
      <c r="V1317" t="s">
        <v>71</v>
      </c>
      <c r="W1317" t="str">
        <f>"            15360051"</f>
        <v xml:space="preserve">            15360051</v>
      </c>
      <c r="X1317" s="1">
        <v>46644.26</v>
      </c>
      <c r="Y1317">
        <v>0</v>
      </c>
      <c r="Z1317"/>
      <c r="AB1317"/>
      <c r="AC1317" s="1">
        <v>38233</v>
      </c>
      <c r="AD1317">
        <v>230</v>
      </c>
      <c r="AE1317" s="1">
        <v>8793590</v>
      </c>
      <c r="AF1317">
        <v>0</v>
      </c>
      <c r="AJ1317">
        <v>0</v>
      </c>
      <c r="AK1317">
        <v>0</v>
      </c>
      <c r="AL1317">
        <v>0</v>
      </c>
      <c r="AM1317">
        <v>0</v>
      </c>
      <c r="AN1317">
        <v>0</v>
      </c>
      <c r="AO1317">
        <v>0</v>
      </c>
      <c r="AP1317" s="2">
        <v>42746</v>
      </c>
      <c r="AQ1317" t="s">
        <v>72</v>
      </c>
      <c r="AR1317" t="s">
        <v>72</v>
      </c>
      <c r="AS1317">
        <v>657</v>
      </c>
      <c r="AT1317" s="4">
        <v>42433</v>
      </c>
      <c r="AU1317" t="s">
        <v>73</v>
      </c>
      <c r="AV1317">
        <v>657</v>
      </c>
      <c r="AW1317" s="4">
        <v>42433</v>
      </c>
      <c r="BD1317">
        <v>0</v>
      </c>
      <c r="BN1317" t="s">
        <v>74</v>
      </c>
    </row>
    <row r="1318" spans="1:66" hidden="1">
      <c r="A1318">
        <v>100309</v>
      </c>
      <c r="B1318" s="3" t="s">
        <v>156</v>
      </c>
      <c r="C1318" s="1">
        <v>43300101</v>
      </c>
      <c r="D1318" t="s">
        <v>67</v>
      </c>
      <c r="H1318" t="str">
        <f t="shared" si="117"/>
        <v>00311430375</v>
      </c>
      <c r="I1318" t="str">
        <f t="shared" si="117"/>
        <v>00311430375</v>
      </c>
      <c r="K1318" t="str">
        <f>""</f>
        <v/>
      </c>
      <c r="M1318" t="s">
        <v>68</v>
      </c>
      <c r="N1318" t="str">
        <f t="shared" si="115"/>
        <v>FOR</v>
      </c>
      <c r="O1318" t="s">
        <v>69</v>
      </c>
      <c r="P1318" s="3" t="s">
        <v>75</v>
      </c>
      <c r="Q1318">
        <v>2015</v>
      </c>
      <c r="R1318" s="2">
        <v>42143</v>
      </c>
      <c r="S1318" s="2">
        <v>42165</v>
      </c>
      <c r="T1318" s="2">
        <v>42144</v>
      </c>
      <c r="U1318" s="2">
        <v>42204</v>
      </c>
      <c r="V1318" t="s">
        <v>71</v>
      </c>
      <c r="W1318" t="str">
        <f>"            15360074"</f>
        <v xml:space="preserve">            15360074</v>
      </c>
      <c r="X1318" s="1">
        <v>2928</v>
      </c>
      <c r="Y1318">
        <v>0</v>
      </c>
      <c r="Z1318"/>
      <c r="AB1318"/>
      <c r="AC1318" s="1">
        <v>2400</v>
      </c>
      <c r="AD1318">
        <v>229</v>
      </c>
      <c r="AE1318" s="1">
        <v>549600</v>
      </c>
      <c r="AF1318">
        <v>0</v>
      </c>
      <c r="AJ1318">
        <v>0</v>
      </c>
      <c r="AK1318">
        <v>0</v>
      </c>
      <c r="AL1318">
        <v>0</v>
      </c>
      <c r="AM1318">
        <v>0</v>
      </c>
      <c r="AN1318">
        <v>0</v>
      </c>
      <c r="AO1318">
        <v>0</v>
      </c>
      <c r="AP1318" s="2">
        <v>42746</v>
      </c>
      <c r="AQ1318" t="s">
        <v>72</v>
      </c>
      <c r="AR1318" t="s">
        <v>72</v>
      </c>
      <c r="AS1318">
        <v>657</v>
      </c>
      <c r="AT1318" s="4">
        <v>42433</v>
      </c>
      <c r="AU1318" t="s">
        <v>73</v>
      </c>
      <c r="AV1318">
        <v>657</v>
      </c>
      <c r="AW1318" s="4">
        <v>42433</v>
      </c>
      <c r="BD1318">
        <v>0</v>
      </c>
      <c r="BN1318" t="s">
        <v>74</v>
      </c>
    </row>
    <row r="1319" spans="1:66" hidden="1">
      <c r="A1319">
        <v>100309</v>
      </c>
      <c r="B1319" s="3" t="s">
        <v>156</v>
      </c>
      <c r="C1319" s="1">
        <v>43300101</v>
      </c>
      <c r="D1319" t="s">
        <v>67</v>
      </c>
      <c r="H1319" t="str">
        <f t="shared" si="117"/>
        <v>00311430375</v>
      </c>
      <c r="I1319" t="str">
        <f t="shared" si="117"/>
        <v>00311430375</v>
      </c>
      <c r="K1319" t="str">
        <f>""</f>
        <v/>
      </c>
      <c r="M1319" t="s">
        <v>68</v>
      </c>
      <c r="N1319" t="str">
        <f t="shared" si="115"/>
        <v>FOR</v>
      </c>
      <c r="O1319" t="s">
        <v>69</v>
      </c>
      <c r="P1319" s="3" t="s">
        <v>75</v>
      </c>
      <c r="Q1319">
        <v>2015</v>
      </c>
      <c r="R1319" s="2">
        <v>42247</v>
      </c>
      <c r="S1319" s="2">
        <v>42261</v>
      </c>
      <c r="T1319" s="2">
        <v>42257</v>
      </c>
      <c r="U1319" s="2">
        <v>42317</v>
      </c>
      <c r="V1319" t="s">
        <v>71</v>
      </c>
      <c r="W1319" t="str">
        <f>"            15360259"</f>
        <v xml:space="preserve">            15360259</v>
      </c>
      <c r="X1319" s="1">
        <v>1464</v>
      </c>
      <c r="Y1319">
        <v>0</v>
      </c>
      <c r="Z1319"/>
      <c r="AB1319"/>
      <c r="AC1319" s="1">
        <v>1200</v>
      </c>
      <c r="AD1319">
        <v>170</v>
      </c>
      <c r="AE1319" s="1">
        <v>204000</v>
      </c>
      <c r="AF1319">
        <v>0</v>
      </c>
      <c r="AJ1319">
        <v>0</v>
      </c>
      <c r="AK1319">
        <v>0</v>
      </c>
      <c r="AL1319">
        <v>0</v>
      </c>
      <c r="AM1319">
        <v>0</v>
      </c>
      <c r="AN1319">
        <v>0</v>
      </c>
      <c r="AO1319">
        <v>0</v>
      </c>
      <c r="AP1319" s="2">
        <v>42746</v>
      </c>
      <c r="AQ1319" t="s">
        <v>72</v>
      </c>
      <c r="AR1319" t="s">
        <v>72</v>
      </c>
      <c r="AS1319">
        <v>1185</v>
      </c>
      <c r="AT1319" s="4">
        <v>42487</v>
      </c>
      <c r="AU1319" t="s">
        <v>73</v>
      </c>
      <c r="AV1319">
        <v>1185</v>
      </c>
      <c r="AW1319" s="4">
        <v>42487</v>
      </c>
      <c r="BD1319">
        <v>0</v>
      </c>
      <c r="BN1319" t="s">
        <v>74</v>
      </c>
    </row>
    <row r="1320" spans="1:66" hidden="1">
      <c r="A1320">
        <v>100309</v>
      </c>
      <c r="B1320" s="3" t="s">
        <v>156</v>
      </c>
      <c r="C1320" s="1">
        <v>43300101</v>
      </c>
      <c r="D1320" t="s">
        <v>67</v>
      </c>
      <c r="H1320" t="str">
        <f t="shared" si="117"/>
        <v>00311430375</v>
      </c>
      <c r="I1320" t="str">
        <f t="shared" si="117"/>
        <v>00311430375</v>
      </c>
      <c r="K1320" t="str">
        <f>""</f>
        <v/>
      </c>
      <c r="M1320" t="s">
        <v>68</v>
      </c>
      <c r="N1320" t="str">
        <f t="shared" si="115"/>
        <v>FOR</v>
      </c>
      <c r="O1320" t="s">
        <v>69</v>
      </c>
      <c r="P1320" s="3" t="s">
        <v>75</v>
      </c>
      <c r="Q1320">
        <v>2015</v>
      </c>
      <c r="R1320" s="2">
        <v>42247</v>
      </c>
      <c r="S1320" s="2">
        <v>42261</v>
      </c>
      <c r="T1320" s="2">
        <v>42258</v>
      </c>
      <c r="U1320" s="2">
        <v>42318</v>
      </c>
      <c r="V1320" t="s">
        <v>71</v>
      </c>
      <c r="W1320" t="str">
        <f>"            15360262"</f>
        <v xml:space="preserve">            15360262</v>
      </c>
      <c r="X1320" s="1">
        <v>2196</v>
      </c>
      <c r="Y1320">
        <v>0</v>
      </c>
      <c r="Z1320"/>
      <c r="AB1320"/>
      <c r="AC1320" s="1">
        <v>1800</v>
      </c>
      <c r="AD1320">
        <v>169</v>
      </c>
      <c r="AE1320" s="1">
        <v>304200</v>
      </c>
      <c r="AF1320">
        <v>0</v>
      </c>
      <c r="AJ1320">
        <v>0</v>
      </c>
      <c r="AK1320">
        <v>0</v>
      </c>
      <c r="AL1320">
        <v>0</v>
      </c>
      <c r="AM1320">
        <v>0</v>
      </c>
      <c r="AN1320">
        <v>0</v>
      </c>
      <c r="AO1320">
        <v>0</v>
      </c>
      <c r="AP1320" s="2">
        <v>42746</v>
      </c>
      <c r="AQ1320" t="s">
        <v>72</v>
      </c>
      <c r="AR1320" t="s">
        <v>72</v>
      </c>
      <c r="AS1320">
        <v>1185</v>
      </c>
      <c r="AT1320" s="4">
        <v>42487</v>
      </c>
      <c r="AU1320" t="s">
        <v>73</v>
      </c>
      <c r="AV1320">
        <v>1185</v>
      </c>
      <c r="AW1320" s="4">
        <v>42487</v>
      </c>
      <c r="BD1320">
        <v>0</v>
      </c>
      <c r="BN1320" t="s">
        <v>74</v>
      </c>
    </row>
    <row r="1321" spans="1:66" hidden="1">
      <c r="A1321">
        <v>100309</v>
      </c>
      <c r="B1321" s="3" t="s">
        <v>156</v>
      </c>
      <c r="C1321" s="1">
        <v>43300101</v>
      </c>
      <c r="D1321" t="s">
        <v>67</v>
      </c>
      <c r="H1321" t="str">
        <f t="shared" si="117"/>
        <v>00311430375</v>
      </c>
      <c r="I1321" t="str">
        <f t="shared" si="117"/>
        <v>00311430375</v>
      </c>
      <c r="K1321" t="str">
        <f>""</f>
        <v/>
      </c>
      <c r="M1321" t="s">
        <v>68</v>
      </c>
      <c r="N1321" t="str">
        <f t="shared" si="115"/>
        <v>FOR</v>
      </c>
      <c r="O1321" t="s">
        <v>69</v>
      </c>
      <c r="P1321" s="3" t="s">
        <v>75</v>
      </c>
      <c r="Q1321">
        <v>2015</v>
      </c>
      <c r="R1321" s="2">
        <v>42247</v>
      </c>
      <c r="S1321" s="2">
        <v>42261</v>
      </c>
      <c r="T1321" s="2">
        <v>42258</v>
      </c>
      <c r="U1321" s="2">
        <v>42318</v>
      </c>
      <c r="V1321" t="s">
        <v>71</v>
      </c>
      <c r="W1321" t="str">
        <f>"            15360263"</f>
        <v xml:space="preserve">            15360263</v>
      </c>
      <c r="X1321">
        <v>732</v>
      </c>
      <c r="Y1321">
        <v>0</v>
      </c>
      <c r="Z1321"/>
      <c r="AB1321"/>
      <c r="AC1321">
        <v>600</v>
      </c>
      <c r="AD1321">
        <v>169</v>
      </c>
      <c r="AE1321" s="1">
        <v>101400</v>
      </c>
      <c r="AF1321">
        <v>0</v>
      </c>
      <c r="AJ1321">
        <v>0</v>
      </c>
      <c r="AK1321">
        <v>0</v>
      </c>
      <c r="AL1321">
        <v>0</v>
      </c>
      <c r="AM1321">
        <v>0</v>
      </c>
      <c r="AN1321">
        <v>0</v>
      </c>
      <c r="AO1321">
        <v>0</v>
      </c>
      <c r="AP1321" s="2">
        <v>42746</v>
      </c>
      <c r="AQ1321" t="s">
        <v>72</v>
      </c>
      <c r="AR1321" t="s">
        <v>72</v>
      </c>
      <c r="AS1321">
        <v>1185</v>
      </c>
      <c r="AT1321" s="4">
        <v>42487</v>
      </c>
      <c r="AU1321" t="s">
        <v>73</v>
      </c>
      <c r="AV1321">
        <v>1185</v>
      </c>
      <c r="AW1321" s="4">
        <v>42487</v>
      </c>
      <c r="BD1321">
        <v>0</v>
      </c>
      <c r="BN1321" t="s">
        <v>74</v>
      </c>
    </row>
    <row r="1322" spans="1:66" hidden="1">
      <c r="A1322">
        <v>100309</v>
      </c>
      <c r="B1322" s="3" t="s">
        <v>156</v>
      </c>
      <c r="C1322" s="1">
        <v>43300101</v>
      </c>
      <c r="D1322" t="s">
        <v>67</v>
      </c>
      <c r="H1322" t="str">
        <f t="shared" si="117"/>
        <v>00311430375</v>
      </c>
      <c r="I1322" t="str">
        <f t="shared" si="117"/>
        <v>00311430375</v>
      </c>
      <c r="K1322" t="str">
        <f>""</f>
        <v/>
      </c>
      <c r="M1322" t="s">
        <v>68</v>
      </c>
      <c r="N1322" t="str">
        <f t="shared" si="115"/>
        <v>FOR</v>
      </c>
      <c r="O1322" t="s">
        <v>69</v>
      </c>
      <c r="P1322" s="3" t="s">
        <v>75</v>
      </c>
      <c r="Q1322">
        <v>2015</v>
      </c>
      <c r="R1322" s="2">
        <v>42247</v>
      </c>
      <c r="S1322" s="2">
        <v>42261</v>
      </c>
      <c r="T1322" s="2">
        <v>42258</v>
      </c>
      <c r="U1322" s="2">
        <v>42318</v>
      </c>
      <c r="V1322" t="s">
        <v>71</v>
      </c>
      <c r="W1322" t="str">
        <f>"            15360289"</f>
        <v xml:space="preserve">            15360289</v>
      </c>
      <c r="X1322" s="1">
        <v>1464</v>
      </c>
      <c r="Y1322">
        <v>0</v>
      </c>
      <c r="Z1322"/>
      <c r="AB1322"/>
      <c r="AC1322" s="1">
        <v>1200</v>
      </c>
      <c r="AD1322">
        <v>169</v>
      </c>
      <c r="AE1322" s="1">
        <v>202800</v>
      </c>
      <c r="AF1322">
        <v>0</v>
      </c>
      <c r="AJ1322">
        <v>0</v>
      </c>
      <c r="AK1322">
        <v>0</v>
      </c>
      <c r="AL1322">
        <v>0</v>
      </c>
      <c r="AM1322">
        <v>0</v>
      </c>
      <c r="AN1322">
        <v>0</v>
      </c>
      <c r="AO1322">
        <v>0</v>
      </c>
      <c r="AP1322" s="2">
        <v>42746</v>
      </c>
      <c r="AQ1322" t="s">
        <v>72</v>
      </c>
      <c r="AR1322" t="s">
        <v>72</v>
      </c>
      <c r="AS1322">
        <v>1185</v>
      </c>
      <c r="AT1322" s="4">
        <v>42487</v>
      </c>
      <c r="AU1322" t="s">
        <v>73</v>
      </c>
      <c r="AV1322">
        <v>1185</v>
      </c>
      <c r="AW1322" s="4">
        <v>42487</v>
      </c>
      <c r="BD1322">
        <v>0</v>
      </c>
      <c r="BN1322" t="s">
        <v>74</v>
      </c>
    </row>
    <row r="1323" spans="1:66" hidden="1">
      <c r="A1323">
        <v>100309</v>
      </c>
      <c r="B1323" s="3" t="s">
        <v>156</v>
      </c>
      <c r="C1323" s="1">
        <v>43300101</v>
      </c>
      <c r="D1323" t="s">
        <v>67</v>
      </c>
      <c r="H1323" t="str">
        <f t="shared" si="117"/>
        <v>00311430375</v>
      </c>
      <c r="I1323" t="str">
        <f t="shared" si="117"/>
        <v>00311430375</v>
      </c>
      <c r="K1323" t="str">
        <f>""</f>
        <v/>
      </c>
      <c r="M1323" t="s">
        <v>68</v>
      </c>
      <c r="N1323" t="str">
        <f t="shared" si="115"/>
        <v>FOR</v>
      </c>
      <c r="O1323" t="s">
        <v>69</v>
      </c>
      <c r="P1323" s="3" t="s">
        <v>75</v>
      </c>
      <c r="Q1323">
        <v>2015</v>
      </c>
      <c r="R1323" s="2">
        <v>42305</v>
      </c>
      <c r="S1323" s="2">
        <v>42321</v>
      </c>
      <c r="T1323" s="2">
        <v>42320</v>
      </c>
      <c r="U1323" s="2">
        <v>42380</v>
      </c>
      <c r="V1323" t="s">
        <v>71</v>
      </c>
      <c r="W1323" t="str">
        <f>"            15360395"</f>
        <v xml:space="preserve">            15360395</v>
      </c>
      <c r="X1323" s="1">
        <v>3660</v>
      </c>
      <c r="Y1323">
        <v>0</v>
      </c>
      <c r="Z1323"/>
      <c r="AB1323"/>
      <c r="AC1323" s="1">
        <v>3000</v>
      </c>
      <c r="AD1323">
        <v>107</v>
      </c>
      <c r="AE1323" s="1">
        <v>321000</v>
      </c>
      <c r="AF1323">
        <v>0</v>
      </c>
      <c r="AJ1323">
        <v>0</v>
      </c>
      <c r="AK1323">
        <v>0</v>
      </c>
      <c r="AL1323">
        <v>0</v>
      </c>
      <c r="AM1323">
        <v>0</v>
      </c>
      <c r="AN1323">
        <v>0</v>
      </c>
      <c r="AO1323">
        <v>0</v>
      </c>
      <c r="AP1323" s="2">
        <v>42746</v>
      </c>
      <c r="AQ1323" t="s">
        <v>72</v>
      </c>
      <c r="AR1323" t="s">
        <v>72</v>
      </c>
      <c r="AS1323">
        <v>1185</v>
      </c>
      <c r="AT1323" s="4">
        <v>42487</v>
      </c>
      <c r="AU1323" t="s">
        <v>73</v>
      </c>
      <c r="AV1323">
        <v>1185</v>
      </c>
      <c r="AW1323" s="4">
        <v>42487</v>
      </c>
      <c r="BD1323">
        <v>0</v>
      </c>
      <c r="BN1323" t="s">
        <v>74</v>
      </c>
    </row>
    <row r="1324" spans="1:66" hidden="1">
      <c r="A1324">
        <v>100309</v>
      </c>
      <c r="B1324" s="3" t="s">
        <v>156</v>
      </c>
      <c r="C1324" s="1">
        <v>43300101</v>
      </c>
      <c r="D1324" t="s">
        <v>67</v>
      </c>
      <c r="H1324" t="str">
        <f t="shared" si="117"/>
        <v>00311430375</v>
      </c>
      <c r="I1324" t="str">
        <f t="shared" si="117"/>
        <v>00311430375</v>
      </c>
      <c r="K1324" t="str">
        <f>""</f>
        <v/>
      </c>
      <c r="M1324" t="s">
        <v>68</v>
      </c>
      <c r="N1324" t="str">
        <f t="shared" si="115"/>
        <v>FOR</v>
      </c>
      <c r="O1324" t="s">
        <v>69</v>
      </c>
      <c r="P1324" s="3" t="s">
        <v>75</v>
      </c>
      <c r="Q1324">
        <v>2015</v>
      </c>
      <c r="R1324" s="2">
        <v>42305</v>
      </c>
      <c r="S1324" s="2">
        <v>42313</v>
      </c>
      <c r="T1324" s="2">
        <v>42311</v>
      </c>
      <c r="U1324" s="2">
        <v>42371</v>
      </c>
      <c r="V1324" t="s">
        <v>71</v>
      </c>
      <c r="W1324" t="str">
        <f>"            15360396"</f>
        <v xml:space="preserve">            15360396</v>
      </c>
      <c r="X1324">
        <v>341.6</v>
      </c>
      <c r="Y1324">
        <v>0</v>
      </c>
      <c r="Z1324"/>
      <c r="AB1324"/>
      <c r="AC1324">
        <v>280</v>
      </c>
      <c r="AD1324">
        <v>116</v>
      </c>
      <c r="AE1324" s="1">
        <v>32480</v>
      </c>
      <c r="AF1324">
        <v>0</v>
      </c>
      <c r="AJ1324">
        <v>0</v>
      </c>
      <c r="AK1324">
        <v>0</v>
      </c>
      <c r="AL1324">
        <v>0</v>
      </c>
      <c r="AM1324">
        <v>0</v>
      </c>
      <c r="AN1324">
        <v>0</v>
      </c>
      <c r="AO1324">
        <v>0</v>
      </c>
      <c r="AP1324" s="2">
        <v>42746</v>
      </c>
      <c r="AQ1324" t="s">
        <v>72</v>
      </c>
      <c r="AR1324" t="s">
        <v>72</v>
      </c>
      <c r="AS1324">
        <v>1185</v>
      </c>
      <c r="AT1324" s="4">
        <v>42487</v>
      </c>
      <c r="AU1324" t="s">
        <v>73</v>
      </c>
      <c r="AV1324">
        <v>1185</v>
      </c>
      <c r="AW1324" s="4">
        <v>42487</v>
      </c>
      <c r="BD1324">
        <v>0</v>
      </c>
      <c r="BN1324" t="s">
        <v>74</v>
      </c>
    </row>
    <row r="1325" spans="1:66" hidden="1">
      <c r="A1325">
        <v>100309</v>
      </c>
      <c r="B1325" s="3" t="s">
        <v>156</v>
      </c>
      <c r="C1325" s="1">
        <v>43300101</v>
      </c>
      <c r="D1325" t="s">
        <v>67</v>
      </c>
      <c r="H1325" t="str">
        <f t="shared" si="117"/>
        <v>00311430375</v>
      </c>
      <c r="I1325" t="str">
        <f t="shared" si="117"/>
        <v>00311430375</v>
      </c>
      <c r="K1325" t="str">
        <f>""</f>
        <v/>
      </c>
      <c r="M1325" t="s">
        <v>68</v>
      </c>
      <c r="N1325" t="str">
        <f t="shared" si="115"/>
        <v>FOR</v>
      </c>
      <c r="O1325" t="s">
        <v>69</v>
      </c>
      <c r="P1325" s="3" t="s">
        <v>75</v>
      </c>
      <c r="Q1325">
        <v>2015</v>
      </c>
      <c r="R1325" s="2">
        <v>42327</v>
      </c>
      <c r="S1325" s="2">
        <v>42328</v>
      </c>
      <c r="T1325" s="2">
        <v>42328</v>
      </c>
      <c r="U1325" s="2">
        <v>42388</v>
      </c>
      <c r="V1325" t="s">
        <v>71</v>
      </c>
      <c r="W1325" t="str">
        <f>"            15360451"</f>
        <v xml:space="preserve">            15360451</v>
      </c>
      <c r="X1325" s="1">
        <v>1464</v>
      </c>
      <c r="Y1325">
        <v>0</v>
      </c>
      <c r="Z1325"/>
      <c r="AB1325"/>
      <c r="AC1325" s="1">
        <v>1200</v>
      </c>
      <c r="AD1325">
        <v>188</v>
      </c>
      <c r="AE1325" s="1">
        <v>225600</v>
      </c>
      <c r="AF1325">
        <v>0</v>
      </c>
      <c r="AJ1325">
        <v>0</v>
      </c>
      <c r="AK1325">
        <v>0</v>
      </c>
      <c r="AL1325">
        <v>0</v>
      </c>
      <c r="AM1325">
        <v>0</v>
      </c>
      <c r="AN1325">
        <v>0</v>
      </c>
      <c r="AO1325">
        <v>0</v>
      </c>
      <c r="AP1325" s="2">
        <v>42746</v>
      </c>
      <c r="AQ1325" t="s">
        <v>72</v>
      </c>
      <c r="AR1325" t="s">
        <v>72</v>
      </c>
      <c r="AS1325">
        <v>1911</v>
      </c>
      <c r="AT1325" s="4">
        <v>42576</v>
      </c>
      <c r="AU1325" t="s">
        <v>73</v>
      </c>
      <c r="AV1325">
        <v>1911</v>
      </c>
      <c r="AW1325" s="4">
        <v>42576</v>
      </c>
      <c r="BD1325">
        <v>0</v>
      </c>
      <c r="BN1325" t="s">
        <v>74</v>
      </c>
    </row>
    <row r="1326" spans="1:66" hidden="1">
      <c r="A1326">
        <v>100309</v>
      </c>
      <c r="B1326" s="3" t="s">
        <v>156</v>
      </c>
      <c r="C1326" s="1">
        <v>43300101</v>
      </c>
      <c r="D1326" t="s">
        <v>67</v>
      </c>
      <c r="H1326" t="str">
        <f t="shared" si="117"/>
        <v>00311430375</v>
      </c>
      <c r="I1326" t="str">
        <f t="shared" si="117"/>
        <v>00311430375</v>
      </c>
      <c r="K1326" t="str">
        <f>""</f>
        <v/>
      </c>
      <c r="M1326" t="s">
        <v>68</v>
      </c>
      <c r="N1326" t="str">
        <f t="shared" ref="N1326:N1357" si="118">"FOR"</f>
        <v>FOR</v>
      </c>
      <c r="O1326" t="s">
        <v>69</v>
      </c>
      <c r="P1326" s="3" t="s">
        <v>75</v>
      </c>
      <c r="Q1326">
        <v>2015</v>
      </c>
      <c r="R1326" s="2">
        <v>42338</v>
      </c>
      <c r="S1326" s="2">
        <v>42352</v>
      </c>
      <c r="T1326" s="2">
        <v>42347</v>
      </c>
      <c r="U1326" s="2">
        <v>42407</v>
      </c>
      <c r="V1326" t="s">
        <v>71</v>
      </c>
      <c r="W1326" t="str">
        <f>"            15360493"</f>
        <v xml:space="preserve">            15360493</v>
      </c>
      <c r="X1326" s="1">
        <v>12200</v>
      </c>
      <c r="Y1326">
        <v>0</v>
      </c>
      <c r="Z1326"/>
      <c r="AB1326"/>
      <c r="AC1326" s="1">
        <v>10000</v>
      </c>
      <c r="AD1326">
        <v>169</v>
      </c>
      <c r="AE1326" s="1">
        <v>1690000</v>
      </c>
      <c r="AF1326">
        <v>0</v>
      </c>
      <c r="AJ1326">
        <v>0</v>
      </c>
      <c r="AK1326">
        <v>0</v>
      </c>
      <c r="AL1326">
        <v>0</v>
      </c>
      <c r="AM1326">
        <v>0</v>
      </c>
      <c r="AN1326">
        <v>0</v>
      </c>
      <c r="AO1326">
        <v>0</v>
      </c>
      <c r="AP1326" s="2">
        <v>42746</v>
      </c>
      <c r="AQ1326" t="s">
        <v>72</v>
      </c>
      <c r="AR1326" t="s">
        <v>72</v>
      </c>
      <c r="AS1326">
        <v>1911</v>
      </c>
      <c r="AT1326" s="4">
        <v>42576</v>
      </c>
      <c r="AU1326" t="s">
        <v>73</v>
      </c>
      <c r="AV1326">
        <v>1911</v>
      </c>
      <c r="AW1326" s="4">
        <v>42576</v>
      </c>
      <c r="BD1326">
        <v>0</v>
      </c>
      <c r="BN1326" t="s">
        <v>74</v>
      </c>
    </row>
    <row r="1327" spans="1:66" hidden="1">
      <c r="A1327">
        <v>100309</v>
      </c>
      <c r="B1327" s="3" t="s">
        <v>156</v>
      </c>
      <c r="C1327" s="1">
        <v>43300101</v>
      </c>
      <c r="D1327" t="s">
        <v>67</v>
      </c>
      <c r="H1327" t="str">
        <f t="shared" si="117"/>
        <v>00311430375</v>
      </c>
      <c r="I1327" t="str">
        <f t="shared" si="117"/>
        <v>00311430375</v>
      </c>
      <c r="K1327" t="str">
        <f>""</f>
        <v/>
      </c>
      <c r="M1327" t="s">
        <v>68</v>
      </c>
      <c r="N1327" t="str">
        <f t="shared" si="118"/>
        <v>FOR</v>
      </c>
      <c r="O1327" t="s">
        <v>69</v>
      </c>
      <c r="P1327" s="3" t="s">
        <v>75</v>
      </c>
      <c r="Q1327">
        <v>2015</v>
      </c>
      <c r="R1327" s="2">
        <v>42369</v>
      </c>
      <c r="S1327" s="2">
        <v>42369</v>
      </c>
      <c r="T1327" s="2">
        <v>42369</v>
      </c>
      <c r="U1327" s="2">
        <v>42429</v>
      </c>
      <c r="V1327" t="s">
        <v>71</v>
      </c>
      <c r="W1327" t="str">
        <f>"            15360617"</f>
        <v xml:space="preserve">            15360617</v>
      </c>
      <c r="X1327" s="1">
        <v>6466</v>
      </c>
      <c r="Y1327">
        <v>0</v>
      </c>
      <c r="Z1327"/>
      <c r="AB1327"/>
      <c r="AC1327" s="1">
        <v>5300</v>
      </c>
      <c r="AD1327">
        <v>147</v>
      </c>
      <c r="AE1327" s="1">
        <v>779100</v>
      </c>
      <c r="AF1327">
        <v>0</v>
      </c>
      <c r="AJ1327">
        <v>0</v>
      </c>
      <c r="AK1327">
        <v>0</v>
      </c>
      <c r="AL1327">
        <v>0</v>
      </c>
      <c r="AM1327">
        <v>0</v>
      </c>
      <c r="AN1327">
        <v>0</v>
      </c>
      <c r="AO1327">
        <v>0</v>
      </c>
      <c r="AP1327" s="2">
        <v>42746</v>
      </c>
      <c r="AQ1327" t="s">
        <v>72</v>
      </c>
      <c r="AR1327" t="s">
        <v>72</v>
      </c>
      <c r="AS1327">
        <v>1911</v>
      </c>
      <c r="AT1327" s="4">
        <v>42576</v>
      </c>
      <c r="AU1327" t="s">
        <v>73</v>
      </c>
      <c r="AV1327">
        <v>1911</v>
      </c>
      <c r="AW1327" s="4">
        <v>42576</v>
      </c>
      <c r="BD1327">
        <v>0</v>
      </c>
      <c r="BN1327" t="s">
        <v>74</v>
      </c>
    </row>
    <row r="1328" spans="1:66" hidden="1">
      <c r="A1328">
        <v>100309</v>
      </c>
      <c r="B1328" s="3" t="s">
        <v>156</v>
      </c>
      <c r="C1328" s="1">
        <v>43300101</v>
      </c>
      <c r="D1328" t="s">
        <v>67</v>
      </c>
      <c r="H1328" t="str">
        <f t="shared" si="117"/>
        <v>00311430375</v>
      </c>
      <c r="I1328" t="str">
        <f t="shared" si="117"/>
        <v>00311430375</v>
      </c>
      <c r="K1328" t="str">
        <f>""</f>
        <v/>
      </c>
      <c r="M1328" t="s">
        <v>68</v>
      </c>
      <c r="N1328" t="str">
        <f t="shared" si="118"/>
        <v>FOR</v>
      </c>
      <c r="O1328" t="s">
        <v>69</v>
      </c>
      <c r="P1328" s="3" t="s">
        <v>75</v>
      </c>
      <c r="Q1328">
        <v>2015</v>
      </c>
      <c r="R1328" s="2">
        <v>42369</v>
      </c>
      <c r="S1328" s="2">
        <v>42369</v>
      </c>
      <c r="T1328" s="2">
        <v>42369</v>
      </c>
      <c r="U1328" s="2">
        <v>42429</v>
      </c>
      <c r="V1328" t="s">
        <v>71</v>
      </c>
      <c r="W1328" t="str">
        <f>"            15360648"</f>
        <v xml:space="preserve">            15360648</v>
      </c>
      <c r="X1328">
        <v>819.84</v>
      </c>
      <c r="Y1328">
        <v>0</v>
      </c>
      <c r="Z1328"/>
      <c r="AB1328"/>
      <c r="AC1328">
        <v>672</v>
      </c>
      <c r="AD1328">
        <v>147</v>
      </c>
      <c r="AE1328" s="1">
        <v>98784</v>
      </c>
      <c r="AF1328">
        <v>0</v>
      </c>
      <c r="AJ1328">
        <v>0</v>
      </c>
      <c r="AK1328">
        <v>0</v>
      </c>
      <c r="AL1328">
        <v>0</v>
      </c>
      <c r="AM1328">
        <v>0</v>
      </c>
      <c r="AN1328">
        <v>0</v>
      </c>
      <c r="AO1328">
        <v>0</v>
      </c>
      <c r="AP1328" s="2">
        <v>42746</v>
      </c>
      <c r="AQ1328" t="s">
        <v>72</v>
      </c>
      <c r="AR1328" t="s">
        <v>72</v>
      </c>
      <c r="AS1328">
        <v>1911</v>
      </c>
      <c r="AT1328" s="4">
        <v>42576</v>
      </c>
      <c r="AU1328" t="s">
        <v>73</v>
      </c>
      <c r="AV1328">
        <v>1911</v>
      </c>
      <c r="AW1328" s="4">
        <v>42576</v>
      </c>
      <c r="BD1328">
        <v>0</v>
      </c>
      <c r="BN1328" t="s">
        <v>74</v>
      </c>
    </row>
    <row r="1329" spans="1:66">
      <c r="A1329">
        <v>100309</v>
      </c>
      <c r="B1329" s="3" t="s">
        <v>156</v>
      </c>
      <c r="C1329" s="1">
        <v>43300101</v>
      </c>
      <c r="D1329" t="s">
        <v>67</v>
      </c>
      <c r="H1329" t="str">
        <f t="shared" si="117"/>
        <v>00311430375</v>
      </c>
      <c r="I1329" t="str">
        <f t="shared" si="117"/>
        <v>00311430375</v>
      </c>
      <c r="K1329" t="str">
        <f>""</f>
        <v/>
      </c>
      <c r="M1329" t="s">
        <v>68</v>
      </c>
      <c r="N1329" t="str">
        <f t="shared" si="118"/>
        <v>FOR</v>
      </c>
      <c r="O1329" t="s">
        <v>69</v>
      </c>
      <c r="P1329" s="3" t="s">
        <v>75</v>
      </c>
      <c r="Q1329">
        <v>2016</v>
      </c>
      <c r="R1329" s="2">
        <v>42429</v>
      </c>
      <c r="S1329" s="2">
        <v>42443</v>
      </c>
      <c r="T1329" s="2">
        <v>42439</v>
      </c>
      <c r="U1329" s="2">
        <v>42499</v>
      </c>
      <c r="V1329" t="s">
        <v>71</v>
      </c>
      <c r="W1329" t="str">
        <f>"            16360102"</f>
        <v xml:space="preserve">            16360102</v>
      </c>
      <c r="X1329" s="1">
        <v>3172</v>
      </c>
      <c r="Y1329">
        <v>0</v>
      </c>
      <c r="Z1329" s="5">
        <v>2600</v>
      </c>
      <c r="AA1329">
        <v>147</v>
      </c>
      <c r="AB1329" s="5">
        <v>382200</v>
      </c>
      <c r="AC1329" s="1">
        <v>2600</v>
      </c>
      <c r="AD1329">
        <v>147</v>
      </c>
      <c r="AE1329" s="1">
        <v>382200</v>
      </c>
      <c r="AF1329">
        <v>0</v>
      </c>
      <c r="AJ1329">
        <v>0</v>
      </c>
      <c r="AK1329">
        <v>0</v>
      </c>
      <c r="AL1329">
        <v>0</v>
      </c>
      <c r="AM1329">
        <v>0</v>
      </c>
      <c r="AN1329" s="1">
        <v>3172</v>
      </c>
      <c r="AO1329" s="1">
        <v>3172</v>
      </c>
      <c r="AP1329" s="2">
        <v>42746</v>
      </c>
      <c r="AQ1329" t="s">
        <v>72</v>
      </c>
      <c r="AR1329" t="s">
        <v>72</v>
      </c>
      <c r="AS1329">
        <v>2577</v>
      </c>
      <c r="AT1329" s="4">
        <v>42646</v>
      </c>
      <c r="AU1329" t="s">
        <v>73</v>
      </c>
      <c r="AV1329">
        <v>2577</v>
      </c>
      <c r="AW1329" s="4">
        <v>42646</v>
      </c>
      <c r="BD1329">
        <v>0</v>
      </c>
      <c r="BN1329" t="s">
        <v>74</v>
      </c>
    </row>
    <row r="1330" spans="1:66">
      <c r="A1330">
        <v>100309</v>
      </c>
      <c r="B1330" s="3" t="s">
        <v>156</v>
      </c>
      <c r="C1330" s="1">
        <v>43300101</v>
      </c>
      <c r="D1330" t="s">
        <v>67</v>
      </c>
      <c r="H1330" t="str">
        <f t="shared" si="117"/>
        <v>00311430375</v>
      </c>
      <c r="I1330" t="str">
        <f t="shared" si="117"/>
        <v>00311430375</v>
      </c>
      <c r="K1330" t="str">
        <f>""</f>
        <v/>
      </c>
      <c r="M1330" t="s">
        <v>68</v>
      </c>
      <c r="N1330" t="str">
        <f t="shared" si="118"/>
        <v>FOR</v>
      </c>
      <c r="O1330" t="s">
        <v>69</v>
      </c>
      <c r="P1330" s="3" t="s">
        <v>75</v>
      </c>
      <c r="Q1330">
        <v>2016</v>
      </c>
      <c r="R1330" s="2">
        <v>42460</v>
      </c>
      <c r="S1330" s="2">
        <v>42471</v>
      </c>
      <c r="T1330" s="2">
        <v>42471</v>
      </c>
      <c r="U1330" s="2">
        <v>42531</v>
      </c>
      <c r="V1330" t="s">
        <v>71</v>
      </c>
      <c r="W1330" t="str">
        <f>"            16360208"</f>
        <v xml:space="preserve">            16360208</v>
      </c>
      <c r="X1330" s="1">
        <v>1830</v>
      </c>
      <c r="Y1330">
        <v>0</v>
      </c>
      <c r="Z1330" s="5">
        <v>1500</v>
      </c>
      <c r="AA1330">
        <v>115</v>
      </c>
      <c r="AB1330" s="5">
        <v>172500</v>
      </c>
      <c r="AC1330" s="1">
        <v>1500</v>
      </c>
      <c r="AD1330">
        <v>115</v>
      </c>
      <c r="AE1330" s="1">
        <v>172500</v>
      </c>
      <c r="AF1330">
        <v>0</v>
      </c>
      <c r="AJ1330">
        <v>0</v>
      </c>
      <c r="AK1330">
        <v>0</v>
      </c>
      <c r="AL1330">
        <v>0</v>
      </c>
      <c r="AM1330" s="1">
        <v>1830</v>
      </c>
      <c r="AN1330" s="1">
        <v>1830</v>
      </c>
      <c r="AO1330" s="1">
        <v>1830</v>
      </c>
      <c r="AP1330" s="2">
        <v>42746</v>
      </c>
      <c r="AQ1330" t="s">
        <v>72</v>
      </c>
      <c r="AR1330" t="s">
        <v>72</v>
      </c>
      <c r="AS1330">
        <v>2577</v>
      </c>
      <c r="AT1330" s="4">
        <v>42646</v>
      </c>
      <c r="AU1330" t="s">
        <v>73</v>
      </c>
      <c r="AV1330">
        <v>2577</v>
      </c>
      <c r="AW1330" s="4">
        <v>42646</v>
      </c>
      <c r="BD1330">
        <v>0</v>
      </c>
      <c r="BN1330" t="s">
        <v>74</v>
      </c>
    </row>
    <row r="1331" spans="1:66">
      <c r="A1331">
        <v>100309</v>
      </c>
      <c r="B1331" s="3" t="s">
        <v>156</v>
      </c>
      <c r="C1331" s="1">
        <v>43300101</v>
      </c>
      <c r="D1331" t="s">
        <v>67</v>
      </c>
      <c r="H1331" t="str">
        <f t="shared" si="117"/>
        <v>00311430375</v>
      </c>
      <c r="I1331" t="str">
        <f t="shared" si="117"/>
        <v>00311430375</v>
      </c>
      <c r="K1331" t="str">
        <f>""</f>
        <v/>
      </c>
      <c r="M1331" t="s">
        <v>68</v>
      </c>
      <c r="N1331" t="str">
        <f t="shared" si="118"/>
        <v>FOR</v>
      </c>
      <c r="O1331" t="s">
        <v>69</v>
      </c>
      <c r="P1331" s="3" t="s">
        <v>75</v>
      </c>
      <c r="Q1331">
        <v>2016</v>
      </c>
      <c r="R1331" s="2">
        <v>42488</v>
      </c>
      <c r="S1331" s="2">
        <v>42492</v>
      </c>
      <c r="T1331" s="2">
        <v>42492</v>
      </c>
      <c r="U1331" s="2">
        <v>42552</v>
      </c>
      <c r="V1331" t="s">
        <v>71</v>
      </c>
      <c r="W1331" t="str">
        <f>"            16360252"</f>
        <v xml:space="preserve">            16360252</v>
      </c>
      <c r="X1331" s="1">
        <v>1705.56</v>
      </c>
      <c r="Y1331">
        <v>0</v>
      </c>
      <c r="Z1331" s="5">
        <v>1398</v>
      </c>
      <c r="AA1331">
        <v>94</v>
      </c>
      <c r="AB1331" s="5">
        <v>131412</v>
      </c>
      <c r="AC1331" s="1">
        <v>1398</v>
      </c>
      <c r="AD1331">
        <v>94</v>
      </c>
      <c r="AE1331" s="1">
        <v>131412</v>
      </c>
      <c r="AF1331">
        <v>0</v>
      </c>
      <c r="AJ1331">
        <v>0</v>
      </c>
      <c r="AK1331">
        <v>0</v>
      </c>
      <c r="AL1331">
        <v>0</v>
      </c>
      <c r="AM1331" s="1">
        <v>1705.56</v>
      </c>
      <c r="AN1331" s="1">
        <v>1705.56</v>
      </c>
      <c r="AO1331" s="1">
        <v>1705.56</v>
      </c>
      <c r="AP1331" s="2">
        <v>42746</v>
      </c>
      <c r="AQ1331" t="s">
        <v>72</v>
      </c>
      <c r="AR1331" t="s">
        <v>72</v>
      </c>
      <c r="AS1331">
        <v>2577</v>
      </c>
      <c r="AT1331" s="4">
        <v>42646</v>
      </c>
      <c r="AU1331" t="s">
        <v>73</v>
      </c>
      <c r="AV1331">
        <v>2577</v>
      </c>
      <c r="AW1331" s="4">
        <v>42646</v>
      </c>
      <c r="BD1331">
        <v>0</v>
      </c>
      <c r="BN1331" t="s">
        <v>74</v>
      </c>
    </row>
    <row r="1332" spans="1:66">
      <c r="A1332">
        <v>100309</v>
      </c>
      <c r="B1332" s="3" t="s">
        <v>156</v>
      </c>
      <c r="C1332" s="1">
        <v>43300101</v>
      </c>
      <c r="D1332" t="s">
        <v>67</v>
      </c>
      <c r="H1332" t="str">
        <f t="shared" si="117"/>
        <v>00311430375</v>
      </c>
      <c r="I1332" t="str">
        <f t="shared" si="117"/>
        <v>00311430375</v>
      </c>
      <c r="K1332" t="str">
        <f>""</f>
        <v/>
      </c>
      <c r="M1332" t="s">
        <v>68</v>
      </c>
      <c r="N1332" t="str">
        <f t="shared" si="118"/>
        <v>FOR</v>
      </c>
      <c r="O1332" t="s">
        <v>69</v>
      </c>
      <c r="P1332" s="3" t="s">
        <v>70</v>
      </c>
      <c r="Q1332">
        <v>2016</v>
      </c>
      <c r="R1332" s="2">
        <v>42501</v>
      </c>
      <c r="S1332" s="2">
        <v>42507</v>
      </c>
      <c r="T1332" s="2">
        <v>42507</v>
      </c>
      <c r="U1332" s="2">
        <v>42567</v>
      </c>
      <c r="V1332" t="s">
        <v>71</v>
      </c>
      <c r="W1332" t="str">
        <f>"            16360277"</f>
        <v xml:space="preserve">            16360277</v>
      </c>
      <c r="X1332" s="1">
        <v>1952</v>
      </c>
      <c r="Y1332">
        <v>0</v>
      </c>
      <c r="Z1332" s="5">
        <v>1600</v>
      </c>
      <c r="AA1332">
        <v>117</v>
      </c>
      <c r="AB1332" s="5">
        <v>187200</v>
      </c>
      <c r="AC1332" s="1">
        <v>1600</v>
      </c>
      <c r="AD1332">
        <v>117</v>
      </c>
      <c r="AE1332" s="1">
        <v>187200</v>
      </c>
      <c r="AF1332">
        <v>0</v>
      </c>
      <c r="AJ1332">
        <v>0</v>
      </c>
      <c r="AK1332">
        <v>0</v>
      </c>
      <c r="AL1332">
        <v>0</v>
      </c>
      <c r="AM1332" s="1">
        <v>1952</v>
      </c>
      <c r="AN1332" s="1">
        <v>1952</v>
      </c>
      <c r="AO1332" s="1">
        <v>1952</v>
      </c>
      <c r="AP1332" s="2">
        <v>42746</v>
      </c>
      <c r="AQ1332" t="s">
        <v>72</v>
      </c>
      <c r="AR1332" t="s">
        <v>72</v>
      </c>
      <c r="AS1332">
        <v>3051</v>
      </c>
      <c r="AT1332" s="4">
        <v>42684</v>
      </c>
      <c r="AU1332" t="s">
        <v>73</v>
      </c>
      <c r="AV1332">
        <v>3051</v>
      </c>
      <c r="AW1332" s="4">
        <v>42684</v>
      </c>
      <c r="BD1332">
        <v>0</v>
      </c>
      <c r="BN1332" t="s">
        <v>74</v>
      </c>
    </row>
    <row r="1333" spans="1:66">
      <c r="A1333">
        <v>100309</v>
      </c>
      <c r="B1333" s="3" t="s">
        <v>156</v>
      </c>
      <c r="C1333" s="1">
        <v>43300101</v>
      </c>
      <c r="D1333" t="s">
        <v>67</v>
      </c>
      <c r="H1333" t="str">
        <f t="shared" si="117"/>
        <v>00311430375</v>
      </c>
      <c r="I1333" t="str">
        <f t="shared" si="117"/>
        <v>00311430375</v>
      </c>
      <c r="K1333" t="str">
        <f>""</f>
        <v/>
      </c>
      <c r="M1333" t="s">
        <v>68</v>
      </c>
      <c r="N1333" t="str">
        <f t="shared" si="118"/>
        <v>FOR</v>
      </c>
      <c r="O1333" t="s">
        <v>69</v>
      </c>
      <c r="P1333" s="3" t="s">
        <v>75</v>
      </c>
      <c r="Q1333">
        <v>2016</v>
      </c>
      <c r="R1333" s="2">
        <v>42521</v>
      </c>
      <c r="S1333" s="2">
        <v>42534</v>
      </c>
      <c r="T1333" s="2">
        <v>42531</v>
      </c>
      <c r="U1333" s="2">
        <v>42591</v>
      </c>
      <c r="V1333" t="s">
        <v>71</v>
      </c>
      <c r="W1333" t="str">
        <f>"            16360310"</f>
        <v xml:space="preserve">            16360310</v>
      </c>
      <c r="X1333" s="1">
        <v>6588</v>
      </c>
      <c r="Y1333">
        <v>0</v>
      </c>
      <c r="Z1333" s="5">
        <v>5400</v>
      </c>
      <c r="AA1333">
        <v>93</v>
      </c>
      <c r="AB1333" s="5">
        <v>502200</v>
      </c>
      <c r="AC1333" s="1">
        <v>5400</v>
      </c>
      <c r="AD1333">
        <v>93</v>
      </c>
      <c r="AE1333" s="1">
        <v>502200</v>
      </c>
      <c r="AF1333">
        <v>0</v>
      </c>
      <c r="AJ1333">
        <v>0</v>
      </c>
      <c r="AK1333">
        <v>0</v>
      </c>
      <c r="AL1333">
        <v>0</v>
      </c>
      <c r="AM1333" s="1">
        <v>6588</v>
      </c>
      <c r="AN1333" s="1">
        <v>6588</v>
      </c>
      <c r="AO1333" s="1">
        <v>6588</v>
      </c>
      <c r="AP1333" s="2">
        <v>42746</v>
      </c>
      <c r="AQ1333" t="s">
        <v>72</v>
      </c>
      <c r="AR1333" t="s">
        <v>72</v>
      </c>
      <c r="AS1333">
        <v>3051</v>
      </c>
      <c r="AT1333" s="4">
        <v>42684</v>
      </c>
      <c r="AU1333" t="s">
        <v>73</v>
      </c>
      <c r="AV1333">
        <v>3051</v>
      </c>
      <c r="AW1333" s="4">
        <v>42684</v>
      </c>
      <c r="BD1333">
        <v>0</v>
      </c>
      <c r="BN1333" t="s">
        <v>74</v>
      </c>
    </row>
    <row r="1334" spans="1:66">
      <c r="A1334">
        <v>100309</v>
      </c>
      <c r="B1334" s="3" t="s">
        <v>156</v>
      </c>
      <c r="C1334" s="1">
        <v>43300101</v>
      </c>
      <c r="D1334" t="s">
        <v>67</v>
      </c>
      <c r="H1334" t="str">
        <f t="shared" si="117"/>
        <v>00311430375</v>
      </c>
      <c r="I1334" t="str">
        <f t="shared" si="117"/>
        <v>00311430375</v>
      </c>
      <c r="K1334" t="str">
        <f>""</f>
        <v/>
      </c>
      <c r="M1334" t="s">
        <v>68</v>
      </c>
      <c r="N1334" t="str">
        <f t="shared" si="118"/>
        <v>FOR</v>
      </c>
      <c r="O1334" t="s">
        <v>69</v>
      </c>
      <c r="P1334" s="3" t="s">
        <v>75</v>
      </c>
      <c r="Q1334">
        <v>2016</v>
      </c>
      <c r="R1334" s="2">
        <v>42521</v>
      </c>
      <c r="S1334" s="2">
        <v>42534</v>
      </c>
      <c r="T1334" s="2">
        <v>42531</v>
      </c>
      <c r="U1334" s="2">
        <v>42591</v>
      </c>
      <c r="V1334" t="s">
        <v>71</v>
      </c>
      <c r="W1334" t="str">
        <f>"            16360317"</f>
        <v xml:space="preserve">            16360317</v>
      </c>
      <c r="X1334" s="1">
        <v>4772.6400000000003</v>
      </c>
      <c r="Y1334">
        <v>0</v>
      </c>
      <c r="Z1334" s="5">
        <v>3912</v>
      </c>
      <c r="AA1334">
        <v>93</v>
      </c>
      <c r="AB1334" s="5">
        <v>363816</v>
      </c>
      <c r="AC1334" s="1">
        <v>3912</v>
      </c>
      <c r="AD1334">
        <v>93</v>
      </c>
      <c r="AE1334" s="1">
        <v>363816</v>
      </c>
      <c r="AF1334">
        <v>0</v>
      </c>
      <c r="AJ1334">
        <v>0</v>
      </c>
      <c r="AK1334">
        <v>0</v>
      </c>
      <c r="AL1334">
        <v>0</v>
      </c>
      <c r="AM1334" s="1">
        <v>4772.6400000000003</v>
      </c>
      <c r="AN1334" s="1">
        <v>4772.6400000000003</v>
      </c>
      <c r="AO1334" s="1">
        <v>4772.6400000000003</v>
      </c>
      <c r="AP1334" s="2">
        <v>42746</v>
      </c>
      <c r="AQ1334" t="s">
        <v>72</v>
      </c>
      <c r="AR1334" t="s">
        <v>72</v>
      </c>
      <c r="AS1334">
        <v>3051</v>
      </c>
      <c r="AT1334" s="4">
        <v>42684</v>
      </c>
      <c r="AU1334" t="s">
        <v>73</v>
      </c>
      <c r="AV1334">
        <v>3051</v>
      </c>
      <c r="AW1334" s="4">
        <v>42684</v>
      </c>
      <c r="BD1334">
        <v>0</v>
      </c>
      <c r="BN1334" t="s">
        <v>74</v>
      </c>
    </row>
    <row r="1335" spans="1:66">
      <c r="A1335">
        <v>100309</v>
      </c>
      <c r="B1335" s="3" t="s">
        <v>156</v>
      </c>
      <c r="C1335" s="1">
        <v>43300101</v>
      </c>
      <c r="D1335" t="s">
        <v>67</v>
      </c>
      <c r="H1335" t="str">
        <f t="shared" si="117"/>
        <v>00311430375</v>
      </c>
      <c r="I1335" t="str">
        <f t="shared" si="117"/>
        <v>00311430375</v>
      </c>
      <c r="K1335" t="str">
        <f>""</f>
        <v/>
      </c>
      <c r="M1335" t="s">
        <v>68</v>
      </c>
      <c r="N1335" t="str">
        <f t="shared" si="118"/>
        <v>FOR</v>
      </c>
      <c r="O1335" t="s">
        <v>69</v>
      </c>
      <c r="P1335" s="3" t="s">
        <v>75</v>
      </c>
      <c r="Q1335">
        <v>2016</v>
      </c>
      <c r="R1335" s="2">
        <v>42548</v>
      </c>
      <c r="S1335" s="2">
        <v>42551</v>
      </c>
      <c r="T1335" s="2">
        <v>42549</v>
      </c>
      <c r="U1335" s="2">
        <v>42609</v>
      </c>
      <c r="V1335" t="s">
        <v>71</v>
      </c>
      <c r="W1335" t="str">
        <f>"            16360353"</f>
        <v xml:space="preserve">            16360353</v>
      </c>
      <c r="X1335" s="1">
        <v>3660</v>
      </c>
      <c r="Y1335">
        <v>0</v>
      </c>
      <c r="Z1335" s="5">
        <v>3000</v>
      </c>
      <c r="AA1335">
        <v>115</v>
      </c>
      <c r="AB1335" s="5">
        <v>345000</v>
      </c>
      <c r="AC1335" s="1">
        <v>3000</v>
      </c>
      <c r="AD1335">
        <v>115</v>
      </c>
      <c r="AE1335" s="1">
        <v>345000</v>
      </c>
      <c r="AF1335">
        <v>660</v>
      </c>
      <c r="AJ1335">
        <v>0</v>
      </c>
      <c r="AK1335">
        <v>0</v>
      </c>
      <c r="AL1335">
        <v>0</v>
      </c>
      <c r="AM1335" s="1">
        <v>3660</v>
      </c>
      <c r="AN1335" s="1">
        <v>3660</v>
      </c>
      <c r="AO1335" s="1">
        <v>3660</v>
      </c>
      <c r="AP1335" s="2">
        <v>42746</v>
      </c>
      <c r="AQ1335" t="s">
        <v>72</v>
      </c>
      <c r="AR1335" t="s">
        <v>72</v>
      </c>
      <c r="AS1335">
        <v>3637</v>
      </c>
      <c r="AT1335" s="4">
        <v>42724</v>
      </c>
      <c r="AU1335" t="s">
        <v>73</v>
      </c>
      <c r="AV1335">
        <v>3637</v>
      </c>
      <c r="AW1335" s="4">
        <v>42724</v>
      </c>
      <c r="BB1335">
        <v>660</v>
      </c>
      <c r="BD1335">
        <v>0</v>
      </c>
      <c r="BN1335" t="s">
        <v>74</v>
      </c>
    </row>
    <row r="1336" spans="1:66">
      <c r="A1336">
        <v>100309</v>
      </c>
      <c r="B1336" s="3" t="s">
        <v>156</v>
      </c>
      <c r="C1336" s="1">
        <v>43300101</v>
      </c>
      <c r="D1336" t="s">
        <v>67</v>
      </c>
      <c r="H1336" t="str">
        <f t="shared" si="117"/>
        <v>00311430375</v>
      </c>
      <c r="I1336" t="str">
        <f t="shared" si="117"/>
        <v>00311430375</v>
      </c>
      <c r="K1336" t="str">
        <f>""</f>
        <v/>
      </c>
      <c r="M1336" t="s">
        <v>68</v>
      </c>
      <c r="N1336" t="str">
        <f t="shared" si="118"/>
        <v>FOR</v>
      </c>
      <c r="O1336" t="s">
        <v>69</v>
      </c>
      <c r="P1336" s="3" t="s">
        <v>75</v>
      </c>
      <c r="Q1336">
        <v>2016</v>
      </c>
      <c r="R1336" s="2">
        <v>42551</v>
      </c>
      <c r="S1336" s="2">
        <v>42565</v>
      </c>
      <c r="T1336" s="2">
        <v>42563</v>
      </c>
      <c r="U1336" s="2">
        <v>42623</v>
      </c>
      <c r="V1336" t="s">
        <v>71</v>
      </c>
      <c r="W1336" t="str">
        <f>"            16360436"</f>
        <v xml:space="preserve">            16360436</v>
      </c>
      <c r="X1336" s="1">
        <v>2562</v>
      </c>
      <c r="Y1336">
        <v>0</v>
      </c>
      <c r="Z1336" s="5">
        <v>2100</v>
      </c>
      <c r="AA1336">
        <v>96</v>
      </c>
      <c r="AB1336" s="5">
        <v>201600</v>
      </c>
      <c r="AC1336" s="1">
        <v>2100</v>
      </c>
      <c r="AD1336">
        <v>96</v>
      </c>
      <c r="AE1336" s="1">
        <v>201600</v>
      </c>
      <c r="AF1336">
        <v>462</v>
      </c>
      <c r="AJ1336">
        <v>0</v>
      </c>
      <c r="AK1336">
        <v>0</v>
      </c>
      <c r="AL1336">
        <v>0</v>
      </c>
      <c r="AM1336" s="1">
        <v>2562</v>
      </c>
      <c r="AN1336" s="1">
        <v>2562</v>
      </c>
      <c r="AO1336" s="1">
        <v>2562</v>
      </c>
      <c r="AP1336" s="2">
        <v>42746</v>
      </c>
      <c r="AQ1336" t="s">
        <v>72</v>
      </c>
      <c r="AR1336" t="s">
        <v>72</v>
      </c>
      <c r="AS1336">
        <v>3536</v>
      </c>
      <c r="AT1336" s="4">
        <v>42719</v>
      </c>
      <c r="AU1336" t="s">
        <v>73</v>
      </c>
      <c r="AV1336">
        <v>3536</v>
      </c>
      <c r="AW1336" s="4">
        <v>42719</v>
      </c>
      <c r="BA1336">
        <v>462</v>
      </c>
      <c r="BD1336">
        <v>0</v>
      </c>
      <c r="BN1336" t="s">
        <v>74</v>
      </c>
    </row>
    <row r="1337" spans="1:66">
      <c r="A1337">
        <v>100309</v>
      </c>
      <c r="B1337" s="3" t="s">
        <v>156</v>
      </c>
      <c r="C1337" s="1">
        <v>43300101</v>
      </c>
      <c r="D1337" t="s">
        <v>67</v>
      </c>
      <c r="H1337" t="str">
        <f t="shared" si="117"/>
        <v>00311430375</v>
      </c>
      <c r="I1337" t="str">
        <f t="shared" si="117"/>
        <v>00311430375</v>
      </c>
      <c r="K1337" t="str">
        <f>""</f>
        <v/>
      </c>
      <c r="M1337" t="s">
        <v>68</v>
      </c>
      <c r="N1337" t="str">
        <f t="shared" si="118"/>
        <v>FOR</v>
      </c>
      <c r="O1337" t="s">
        <v>69</v>
      </c>
      <c r="P1337" s="3" t="s">
        <v>75</v>
      </c>
      <c r="Q1337">
        <v>2016</v>
      </c>
      <c r="R1337" s="2">
        <v>42581</v>
      </c>
      <c r="S1337" s="2">
        <v>42592</v>
      </c>
      <c r="T1337" s="2">
        <v>42592</v>
      </c>
      <c r="U1337" s="2">
        <v>42652</v>
      </c>
      <c r="V1337" t="s">
        <v>71</v>
      </c>
      <c r="W1337" t="str">
        <f>"            16360477"</f>
        <v xml:space="preserve">            16360477</v>
      </c>
      <c r="X1337" s="1">
        <v>14286.2</v>
      </c>
      <c r="Y1337">
        <v>0</v>
      </c>
      <c r="Z1337" s="5">
        <v>11710</v>
      </c>
      <c r="AA1337">
        <v>67</v>
      </c>
      <c r="AB1337" s="5">
        <v>784570</v>
      </c>
      <c r="AC1337" s="1">
        <v>11710</v>
      </c>
      <c r="AD1337">
        <v>67</v>
      </c>
      <c r="AE1337" s="1">
        <v>784570</v>
      </c>
      <c r="AF1337" s="1">
        <v>2576.1999999999998</v>
      </c>
      <c r="AJ1337">
        <v>0</v>
      </c>
      <c r="AK1337">
        <v>0</v>
      </c>
      <c r="AL1337">
        <v>0</v>
      </c>
      <c r="AM1337" s="1">
        <v>14286.2</v>
      </c>
      <c r="AN1337" s="1">
        <v>14286.2</v>
      </c>
      <c r="AO1337" s="1">
        <v>14286.2</v>
      </c>
      <c r="AP1337" s="2">
        <v>42746</v>
      </c>
      <c r="AQ1337" t="s">
        <v>72</v>
      </c>
      <c r="AR1337" t="s">
        <v>72</v>
      </c>
      <c r="AS1337">
        <v>3536</v>
      </c>
      <c r="AT1337" s="4">
        <v>42719</v>
      </c>
      <c r="AU1337" t="s">
        <v>73</v>
      </c>
      <c r="AV1337">
        <v>3536</v>
      </c>
      <c r="AW1337" s="4">
        <v>42719</v>
      </c>
      <c r="AZ1337" s="1">
        <v>2576.1999999999998</v>
      </c>
      <c r="BD1337">
        <v>0</v>
      </c>
      <c r="BN1337" t="s">
        <v>74</v>
      </c>
    </row>
    <row r="1338" spans="1:66" hidden="1">
      <c r="A1338">
        <v>100320</v>
      </c>
      <c r="B1338" s="3" t="s">
        <v>157</v>
      </c>
      <c r="C1338" s="1">
        <v>43300101</v>
      </c>
      <c r="D1338" t="s">
        <v>67</v>
      </c>
      <c r="H1338" t="str">
        <f t="shared" ref="H1338:I1352" si="119">"00426150488"</f>
        <v>00426150488</v>
      </c>
      <c r="I1338" t="str">
        <f t="shared" si="119"/>
        <v>00426150488</v>
      </c>
      <c r="K1338" t="str">
        <f>""</f>
        <v/>
      </c>
      <c r="M1338" t="s">
        <v>68</v>
      </c>
      <c r="N1338" t="str">
        <f t="shared" si="118"/>
        <v>FOR</v>
      </c>
      <c r="O1338" t="s">
        <v>69</v>
      </c>
      <c r="P1338" s="3" t="s">
        <v>75</v>
      </c>
      <c r="Q1338">
        <v>2015</v>
      </c>
      <c r="R1338" s="2">
        <v>42355</v>
      </c>
      <c r="S1338" s="2">
        <v>42366</v>
      </c>
      <c r="T1338" s="2">
        <v>42362</v>
      </c>
      <c r="U1338" s="2">
        <v>42422</v>
      </c>
      <c r="V1338" t="s">
        <v>71</v>
      </c>
      <c r="W1338" t="str">
        <f>"          0000144898"</f>
        <v xml:space="preserve">          0000144898</v>
      </c>
      <c r="X1338" s="1">
        <v>8934.75</v>
      </c>
      <c r="Y1338">
        <v>0</v>
      </c>
      <c r="Z1338"/>
      <c r="AB1338"/>
      <c r="AC1338" s="1">
        <v>8122.5</v>
      </c>
      <c r="AD1338">
        <v>107</v>
      </c>
      <c r="AE1338" s="1">
        <v>869107.5</v>
      </c>
      <c r="AF1338">
        <v>0</v>
      </c>
      <c r="AJ1338">
        <v>0</v>
      </c>
      <c r="AK1338">
        <v>0</v>
      </c>
      <c r="AL1338">
        <v>0</v>
      </c>
      <c r="AM1338">
        <v>0</v>
      </c>
      <c r="AN1338">
        <v>0</v>
      </c>
      <c r="AO1338">
        <v>0</v>
      </c>
      <c r="AP1338" s="2">
        <v>42746</v>
      </c>
      <c r="AQ1338" t="s">
        <v>72</v>
      </c>
      <c r="AR1338" t="s">
        <v>72</v>
      </c>
      <c r="AS1338">
        <v>1590</v>
      </c>
      <c r="AT1338" s="4">
        <v>42529</v>
      </c>
      <c r="AU1338" t="s">
        <v>73</v>
      </c>
      <c r="AV1338">
        <v>1590</v>
      </c>
      <c r="AW1338" s="4">
        <v>42529</v>
      </c>
      <c r="BD1338">
        <v>0</v>
      </c>
      <c r="BN1338" t="s">
        <v>74</v>
      </c>
    </row>
    <row r="1339" spans="1:66" hidden="1">
      <c r="A1339">
        <v>100320</v>
      </c>
      <c r="B1339" s="3" t="s">
        <v>157</v>
      </c>
      <c r="C1339" s="1">
        <v>43300101</v>
      </c>
      <c r="D1339" t="s">
        <v>67</v>
      </c>
      <c r="H1339" t="str">
        <f t="shared" si="119"/>
        <v>00426150488</v>
      </c>
      <c r="I1339" t="str">
        <f t="shared" si="119"/>
        <v>00426150488</v>
      </c>
      <c r="K1339" t="str">
        <f>""</f>
        <v/>
      </c>
      <c r="M1339" t="s">
        <v>68</v>
      </c>
      <c r="N1339" t="str">
        <f t="shared" si="118"/>
        <v>FOR</v>
      </c>
      <c r="O1339" t="s">
        <v>69</v>
      </c>
      <c r="P1339" s="3" t="s">
        <v>75</v>
      </c>
      <c r="Q1339">
        <v>2016</v>
      </c>
      <c r="R1339" s="2">
        <v>42387</v>
      </c>
      <c r="S1339" s="2">
        <v>42389</v>
      </c>
      <c r="T1339" s="2">
        <v>42388</v>
      </c>
      <c r="U1339" s="2">
        <v>42448</v>
      </c>
      <c r="V1339" t="s">
        <v>71</v>
      </c>
      <c r="W1339" t="str">
        <f>"          0000101750"</f>
        <v xml:space="preserve">          0000101750</v>
      </c>
      <c r="X1339" s="1">
        <v>5956.5</v>
      </c>
      <c r="Y1339">
        <v>0</v>
      </c>
      <c r="Z1339"/>
      <c r="AB1339"/>
      <c r="AC1339" s="1">
        <v>5415</v>
      </c>
      <c r="AD1339">
        <v>81</v>
      </c>
      <c r="AE1339" s="1">
        <v>438615</v>
      </c>
      <c r="AF1339">
        <v>0</v>
      </c>
      <c r="AJ1339">
        <v>0</v>
      </c>
      <c r="AK1339">
        <v>0</v>
      </c>
      <c r="AL1339">
        <v>0</v>
      </c>
      <c r="AM1339" s="1">
        <v>5956.5</v>
      </c>
      <c r="AN1339" s="1">
        <v>5956.5</v>
      </c>
      <c r="AO1339" s="1">
        <v>5956.5</v>
      </c>
      <c r="AP1339" s="2">
        <v>42746</v>
      </c>
      <c r="AQ1339" t="s">
        <v>72</v>
      </c>
      <c r="AR1339" t="s">
        <v>72</v>
      </c>
      <c r="AS1339">
        <v>1590</v>
      </c>
      <c r="AT1339" s="4">
        <v>42529</v>
      </c>
      <c r="AU1339" t="s">
        <v>73</v>
      </c>
      <c r="AV1339">
        <v>1590</v>
      </c>
      <c r="AW1339" s="4">
        <v>42529</v>
      </c>
      <c r="BD1339">
        <v>0</v>
      </c>
      <c r="BN1339" t="s">
        <v>74</v>
      </c>
    </row>
    <row r="1340" spans="1:66" hidden="1">
      <c r="A1340">
        <v>100320</v>
      </c>
      <c r="B1340" s="3" t="s">
        <v>157</v>
      </c>
      <c r="C1340" s="1">
        <v>43300101</v>
      </c>
      <c r="D1340" t="s">
        <v>67</v>
      </c>
      <c r="H1340" t="str">
        <f t="shared" si="119"/>
        <v>00426150488</v>
      </c>
      <c r="I1340" t="str">
        <f t="shared" si="119"/>
        <v>00426150488</v>
      </c>
      <c r="K1340" t="str">
        <f>""</f>
        <v/>
      </c>
      <c r="M1340" t="s">
        <v>68</v>
      </c>
      <c r="N1340" t="str">
        <f t="shared" si="118"/>
        <v>FOR</v>
      </c>
      <c r="O1340" t="s">
        <v>69</v>
      </c>
      <c r="P1340" s="3" t="s">
        <v>75</v>
      </c>
      <c r="Q1340">
        <v>2016</v>
      </c>
      <c r="R1340" s="2">
        <v>42409</v>
      </c>
      <c r="S1340" s="2">
        <v>42417</v>
      </c>
      <c r="T1340" s="2">
        <v>42411</v>
      </c>
      <c r="U1340" s="2">
        <v>42471</v>
      </c>
      <c r="V1340" t="s">
        <v>71</v>
      </c>
      <c r="W1340" t="str">
        <f>"          0000104611"</f>
        <v xml:space="preserve">          0000104611</v>
      </c>
      <c r="X1340" s="1">
        <v>5956.5</v>
      </c>
      <c r="Y1340">
        <v>0</v>
      </c>
      <c r="Z1340"/>
      <c r="AB1340"/>
      <c r="AC1340" s="1">
        <v>5415</v>
      </c>
      <c r="AD1340">
        <v>106</v>
      </c>
      <c r="AE1340" s="1">
        <v>573990</v>
      </c>
      <c r="AF1340">
        <v>0</v>
      </c>
      <c r="AJ1340">
        <v>0</v>
      </c>
      <c r="AK1340">
        <v>0</v>
      </c>
      <c r="AL1340">
        <v>0</v>
      </c>
      <c r="AM1340" s="1">
        <v>5956.5</v>
      </c>
      <c r="AN1340" s="1">
        <v>5956.5</v>
      </c>
      <c r="AO1340" s="1">
        <v>5956.5</v>
      </c>
      <c r="AP1340" s="2">
        <v>42746</v>
      </c>
      <c r="AQ1340" t="s">
        <v>72</v>
      </c>
      <c r="AR1340" t="s">
        <v>72</v>
      </c>
      <c r="AS1340">
        <v>1930</v>
      </c>
      <c r="AT1340" s="4">
        <v>42577</v>
      </c>
      <c r="AU1340" t="s">
        <v>73</v>
      </c>
      <c r="AV1340">
        <v>1930</v>
      </c>
      <c r="AW1340" s="4">
        <v>42577</v>
      </c>
      <c r="BD1340">
        <v>0</v>
      </c>
      <c r="BN1340" t="s">
        <v>74</v>
      </c>
    </row>
    <row r="1341" spans="1:66" hidden="1">
      <c r="A1341">
        <v>100320</v>
      </c>
      <c r="B1341" s="3" t="s">
        <v>157</v>
      </c>
      <c r="C1341" s="1">
        <v>43300101</v>
      </c>
      <c r="D1341" t="s">
        <v>67</v>
      </c>
      <c r="H1341" t="str">
        <f t="shared" si="119"/>
        <v>00426150488</v>
      </c>
      <c r="I1341" t="str">
        <f t="shared" si="119"/>
        <v>00426150488</v>
      </c>
      <c r="K1341" t="str">
        <f>""</f>
        <v/>
      </c>
      <c r="M1341" t="s">
        <v>68</v>
      </c>
      <c r="N1341" t="str">
        <f t="shared" si="118"/>
        <v>FOR</v>
      </c>
      <c r="O1341" t="s">
        <v>69</v>
      </c>
      <c r="P1341" s="3" t="s">
        <v>75</v>
      </c>
      <c r="Q1341">
        <v>2016</v>
      </c>
      <c r="R1341" s="2">
        <v>42429</v>
      </c>
      <c r="S1341" s="2">
        <v>42436</v>
      </c>
      <c r="T1341" s="2">
        <v>42431</v>
      </c>
      <c r="U1341" s="2">
        <v>42491</v>
      </c>
      <c r="V1341" t="s">
        <v>71</v>
      </c>
      <c r="W1341" t="str">
        <f>"          0000106885"</f>
        <v xml:space="preserve">          0000106885</v>
      </c>
      <c r="X1341" s="1">
        <v>5956.5</v>
      </c>
      <c r="Y1341">
        <v>0</v>
      </c>
      <c r="Z1341"/>
      <c r="AB1341"/>
      <c r="AC1341" s="1">
        <v>5415</v>
      </c>
      <c r="AD1341">
        <v>86</v>
      </c>
      <c r="AE1341" s="1">
        <v>465690</v>
      </c>
      <c r="AF1341">
        <v>0</v>
      </c>
      <c r="AJ1341">
        <v>0</v>
      </c>
      <c r="AK1341">
        <v>0</v>
      </c>
      <c r="AL1341">
        <v>0</v>
      </c>
      <c r="AM1341" s="1">
        <v>5956.5</v>
      </c>
      <c r="AN1341" s="1">
        <v>5956.5</v>
      </c>
      <c r="AO1341" s="1">
        <v>5956.5</v>
      </c>
      <c r="AP1341" s="2">
        <v>42746</v>
      </c>
      <c r="AQ1341" t="s">
        <v>72</v>
      </c>
      <c r="AR1341" t="s">
        <v>72</v>
      </c>
      <c r="AS1341">
        <v>1930</v>
      </c>
      <c r="AT1341" s="4">
        <v>42577</v>
      </c>
      <c r="AU1341" t="s">
        <v>73</v>
      </c>
      <c r="AV1341">
        <v>1930</v>
      </c>
      <c r="AW1341" s="4">
        <v>42577</v>
      </c>
      <c r="BD1341">
        <v>0</v>
      </c>
      <c r="BN1341" t="s">
        <v>74</v>
      </c>
    </row>
    <row r="1342" spans="1:66" hidden="1">
      <c r="A1342">
        <v>100320</v>
      </c>
      <c r="B1342" s="3" t="s">
        <v>157</v>
      </c>
      <c r="C1342" s="1">
        <v>43300101</v>
      </c>
      <c r="D1342" t="s">
        <v>67</v>
      </c>
      <c r="H1342" t="str">
        <f t="shared" si="119"/>
        <v>00426150488</v>
      </c>
      <c r="I1342" t="str">
        <f t="shared" si="119"/>
        <v>00426150488</v>
      </c>
      <c r="K1342" t="str">
        <f>""</f>
        <v/>
      </c>
      <c r="M1342" t="s">
        <v>68</v>
      </c>
      <c r="N1342" t="str">
        <f t="shared" si="118"/>
        <v>FOR</v>
      </c>
      <c r="O1342" t="s">
        <v>69</v>
      </c>
      <c r="P1342" s="3" t="s">
        <v>75</v>
      </c>
      <c r="Q1342">
        <v>2016</v>
      </c>
      <c r="R1342" s="2">
        <v>42450</v>
      </c>
      <c r="S1342" s="2">
        <v>42452</v>
      </c>
      <c r="T1342" s="2">
        <v>42451</v>
      </c>
      <c r="U1342" s="2">
        <v>42511</v>
      </c>
      <c r="V1342" t="s">
        <v>71</v>
      </c>
      <c r="W1342" t="str">
        <f>"          0000109547"</f>
        <v xml:space="preserve">          0000109547</v>
      </c>
      <c r="X1342" s="1">
        <v>3573.9</v>
      </c>
      <c r="Y1342">
        <v>0</v>
      </c>
      <c r="Z1342"/>
      <c r="AB1342"/>
      <c r="AC1342" s="1">
        <v>3249</v>
      </c>
      <c r="AD1342">
        <v>109</v>
      </c>
      <c r="AE1342" s="1">
        <v>354141</v>
      </c>
      <c r="AF1342">
        <v>0</v>
      </c>
      <c r="AJ1342">
        <v>0</v>
      </c>
      <c r="AK1342">
        <v>0</v>
      </c>
      <c r="AL1342">
        <v>0</v>
      </c>
      <c r="AM1342" s="1">
        <v>3573.9</v>
      </c>
      <c r="AN1342" s="1">
        <v>3573.9</v>
      </c>
      <c r="AO1342" s="1">
        <v>3573.9</v>
      </c>
      <c r="AP1342" s="2">
        <v>42746</v>
      </c>
      <c r="AQ1342" t="s">
        <v>72</v>
      </c>
      <c r="AR1342" t="s">
        <v>72</v>
      </c>
      <c r="AS1342">
        <v>2314</v>
      </c>
      <c r="AT1342" s="4">
        <v>42620</v>
      </c>
      <c r="AU1342" t="s">
        <v>73</v>
      </c>
      <c r="AV1342">
        <v>2314</v>
      </c>
      <c r="AW1342" s="4">
        <v>42620</v>
      </c>
      <c r="BD1342">
        <v>0</v>
      </c>
      <c r="BN1342" t="s">
        <v>74</v>
      </c>
    </row>
    <row r="1343" spans="1:66" hidden="1">
      <c r="A1343">
        <v>100320</v>
      </c>
      <c r="B1343" s="3" t="s">
        <v>157</v>
      </c>
      <c r="C1343" s="1">
        <v>43300101</v>
      </c>
      <c r="D1343" t="s">
        <v>67</v>
      </c>
      <c r="H1343" t="str">
        <f t="shared" si="119"/>
        <v>00426150488</v>
      </c>
      <c r="I1343" t="str">
        <f t="shared" si="119"/>
        <v>00426150488</v>
      </c>
      <c r="K1343" t="str">
        <f>""</f>
        <v/>
      </c>
      <c r="M1343" t="s">
        <v>68</v>
      </c>
      <c r="N1343" t="str">
        <f t="shared" si="118"/>
        <v>FOR</v>
      </c>
      <c r="O1343" t="s">
        <v>69</v>
      </c>
      <c r="P1343" s="3" t="s">
        <v>75</v>
      </c>
      <c r="Q1343">
        <v>2016</v>
      </c>
      <c r="R1343" s="2">
        <v>42465</v>
      </c>
      <c r="S1343" s="2">
        <v>42473</v>
      </c>
      <c r="T1343" s="2">
        <v>42466</v>
      </c>
      <c r="U1343" s="2">
        <v>42526</v>
      </c>
      <c r="V1343" t="s">
        <v>71</v>
      </c>
      <c r="W1343" t="str">
        <f>"          0000111456"</f>
        <v xml:space="preserve">          0000111456</v>
      </c>
      <c r="X1343" s="1">
        <v>14891.25</v>
      </c>
      <c r="Y1343">
        <v>0</v>
      </c>
      <c r="Z1343"/>
      <c r="AB1343"/>
      <c r="AC1343" s="1">
        <v>13537.5</v>
      </c>
      <c r="AD1343">
        <v>94</v>
      </c>
      <c r="AE1343" s="1">
        <v>1272525</v>
      </c>
      <c r="AF1343">
        <v>0</v>
      </c>
      <c r="AJ1343">
        <v>0</v>
      </c>
      <c r="AK1343">
        <v>0</v>
      </c>
      <c r="AL1343">
        <v>0</v>
      </c>
      <c r="AM1343" s="1">
        <v>14891.25</v>
      </c>
      <c r="AN1343" s="1">
        <v>14891.25</v>
      </c>
      <c r="AO1343" s="1">
        <v>14891.25</v>
      </c>
      <c r="AP1343" s="2">
        <v>42746</v>
      </c>
      <c r="AQ1343" t="s">
        <v>72</v>
      </c>
      <c r="AR1343" t="s">
        <v>72</v>
      </c>
      <c r="AS1343">
        <v>2314</v>
      </c>
      <c r="AT1343" s="4">
        <v>42620</v>
      </c>
      <c r="AU1343" t="s">
        <v>73</v>
      </c>
      <c r="AV1343">
        <v>2314</v>
      </c>
      <c r="AW1343" s="4">
        <v>42620</v>
      </c>
      <c r="BD1343">
        <v>0</v>
      </c>
      <c r="BN1343" t="s">
        <v>74</v>
      </c>
    </row>
    <row r="1344" spans="1:66">
      <c r="A1344">
        <v>100320</v>
      </c>
      <c r="B1344" s="3" t="s">
        <v>157</v>
      </c>
      <c r="C1344" s="1">
        <v>43300101</v>
      </c>
      <c r="D1344" t="s">
        <v>67</v>
      </c>
      <c r="H1344" t="str">
        <f t="shared" si="119"/>
        <v>00426150488</v>
      </c>
      <c r="I1344" t="str">
        <f t="shared" si="119"/>
        <v>00426150488</v>
      </c>
      <c r="K1344" t="str">
        <f>""</f>
        <v/>
      </c>
      <c r="M1344" t="s">
        <v>68</v>
      </c>
      <c r="N1344" t="str">
        <f t="shared" si="118"/>
        <v>FOR</v>
      </c>
      <c r="O1344" t="s">
        <v>69</v>
      </c>
      <c r="P1344" s="3" t="s">
        <v>75</v>
      </c>
      <c r="Q1344">
        <v>2016</v>
      </c>
      <c r="R1344" s="2">
        <v>42492</v>
      </c>
      <c r="S1344" s="2">
        <v>42496</v>
      </c>
      <c r="T1344" s="2">
        <v>42493</v>
      </c>
      <c r="U1344" s="2">
        <v>42553</v>
      </c>
      <c r="V1344" t="s">
        <v>71</v>
      </c>
      <c r="W1344" t="str">
        <f>"          0000114867"</f>
        <v xml:space="preserve">          0000114867</v>
      </c>
      <c r="X1344" s="1">
        <v>5956.5</v>
      </c>
      <c r="Y1344">
        <v>0</v>
      </c>
      <c r="Z1344" s="5">
        <v>5415</v>
      </c>
      <c r="AA1344">
        <v>93</v>
      </c>
      <c r="AB1344" s="5">
        <v>503595</v>
      </c>
      <c r="AC1344" s="1">
        <v>5415</v>
      </c>
      <c r="AD1344">
        <v>93</v>
      </c>
      <c r="AE1344" s="1">
        <v>503595</v>
      </c>
      <c r="AF1344">
        <v>0</v>
      </c>
      <c r="AJ1344">
        <v>0</v>
      </c>
      <c r="AK1344">
        <v>0</v>
      </c>
      <c r="AL1344">
        <v>0</v>
      </c>
      <c r="AM1344" s="1">
        <v>5956.5</v>
      </c>
      <c r="AN1344" s="1">
        <v>5956.5</v>
      </c>
      <c r="AO1344" s="1">
        <v>5956.5</v>
      </c>
      <c r="AP1344" s="2">
        <v>42746</v>
      </c>
      <c r="AQ1344" t="s">
        <v>72</v>
      </c>
      <c r="AR1344" t="s">
        <v>72</v>
      </c>
      <c r="AS1344">
        <v>2561</v>
      </c>
      <c r="AT1344" s="4">
        <v>42646</v>
      </c>
      <c r="AU1344" t="s">
        <v>73</v>
      </c>
      <c r="AV1344">
        <v>2561</v>
      </c>
      <c r="AW1344" s="4">
        <v>42646</v>
      </c>
      <c r="BD1344">
        <v>0</v>
      </c>
      <c r="BN1344" t="s">
        <v>74</v>
      </c>
    </row>
    <row r="1345" spans="1:66">
      <c r="A1345">
        <v>100320</v>
      </c>
      <c r="B1345" s="3" t="s">
        <v>157</v>
      </c>
      <c r="C1345" s="1">
        <v>43300101</v>
      </c>
      <c r="D1345" t="s">
        <v>67</v>
      </c>
      <c r="H1345" t="str">
        <f t="shared" si="119"/>
        <v>00426150488</v>
      </c>
      <c r="I1345" t="str">
        <f t="shared" si="119"/>
        <v>00426150488</v>
      </c>
      <c r="K1345" t="str">
        <f>""</f>
        <v/>
      </c>
      <c r="M1345" t="s">
        <v>68</v>
      </c>
      <c r="N1345" t="str">
        <f t="shared" si="118"/>
        <v>FOR</v>
      </c>
      <c r="O1345" t="s">
        <v>69</v>
      </c>
      <c r="P1345" s="3" t="s">
        <v>75</v>
      </c>
      <c r="Q1345">
        <v>2016</v>
      </c>
      <c r="R1345" s="2">
        <v>42506</v>
      </c>
      <c r="S1345" s="2">
        <v>42509</v>
      </c>
      <c r="T1345" s="2">
        <v>42507</v>
      </c>
      <c r="U1345" s="2">
        <v>42567</v>
      </c>
      <c r="V1345" t="s">
        <v>71</v>
      </c>
      <c r="W1345" t="str">
        <f>"          0000116788"</f>
        <v xml:space="preserve">          0000116788</v>
      </c>
      <c r="X1345" s="1">
        <v>4765.2</v>
      </c>
      <c r="Y1345">
        <v>0</v>
      </c>
      <c r="Z1345" s="5">
        <v>4332</v>
      </c>
      <c r="AA1345">
        <v>79</v>
      </c>
      <c r="AB1345" s="5">
        <v>342228</v>
      </c>
      <c r="AC1345" s="1">
        <v>4332</v>
      </c>
      <c r="AD1345">
        <v>79</v>
      </c>
      <c r="AE1345" s="1">
        <v>342228</v>
      </c>
      <c r="AF1345">
        <v>0</v>
      </c>
      <c r="AJ1345">
        <v>0</v>
      </c>
      <c r="AK1345">
        <v>0</v>
      </c>
      <c r="AL1345">
        <v>0</v>
      </c>
      <c r="AM1345" s="1">
        <v>4765.2</v>
      </c>
      <c r="AN1345" s="1">
        <v>4765.2</v>
      </c>
      <c r="AO1345" s="1">
        <v>4765.2</v>
      </c>
      <c r="AP1345" s="2">
        <v>42746</v>
      </c>
      <c r="AQ1345" t="s">
        <v>72</v>
      </c>
      <c r="AR1345" t="s">
        <v>72</v>
      </c>
      <c r="AS1345">
        <v>2561</v>
      </c>
      <c r="AT1345" s="4">
        <v>42646</v>
      </c>
      <c r="AU1345" t="s">
        <v>73</v>
      </c>
      <c r="AV1345">
        <v>2561</v>
      </c>
      <c r="AW1345" s="4">
        <v>42646</v>
      </c>
      <c r="BD1345">
        <v>0</v>
      </c>
      <c r="BN1345" t="s">
        <v>74</v>
      </c>
    </row>
    <row r="1346" spans="1:66">
      <c r="A1346">
        <v>100320</v>
      </c>
      <c r="B1346" s="3" t="s">
        <v>157</v>
      </c>
      <c r="C1346" s="1">
        <v>43300101</v>
      </c>
      <c r="D1346" t="s">
        <v>67</v>
      </c>
      <c r="H1346" t="str">
        <f t="shared" si="119"/>
        <v>00426150488</v>
      </c>
      <c r="I1346" t="str">
        <f t="shared" si="119"/>
        <v>00426150488</v>
      </c>
      <c r="K1346" t="str">
        <f>""</f>
        <v/>
      </c>
      <c r="M1346" t="s">
        <v>68</v>
      </c>
      <c r="N1346" t="str">
        <f t="shared" si="118"/>
        <v>FOR</v>
      </c>
      <c r="O1346" t="s">
        <v>69</v>
      </c>
      <c r="P1346" s="3" t="s">
        <v>75</v>
      </c>
      <c r="Q1346">
        <v>2016</v>
      </c>
      <c r="R1346" s="2">
        <v>42513</v>
      </c>
      <c r="S1346" s="2">
        <v>42515</v>
      </c>
      <c r="T1346" s="2">
        <v>42514</v>
      </c>
      <c r="U1346" s="2">
        <v>42574</v>
      </c>
      <c r="V1346" t="s">
        <v>71</v>
      </c>
      <c r="W1346" t="str">
        <f>"          0000117614"</f>
        <v xml:space="preserve">          0000117614</v>
      </c>
      <c r="X1346" s="1">
        <v>4765.2</v>
      </c>
      <c r="Y1346">
        <v>0</v>
      </c>
      <c r="Z1346" s="5">
        <v>4332</v>
      </c>
      <c r="AA1346">
        <v>72</v>
      </c>
      <c r="AB1346" s="5">
        <v>311904</v>
      </c>
      <c r="AC1346" s="1">
        <v>4332</v>
      </c>
      <c r="AD1346">
        <v>72</v>
      </c>
      <c r="AE1346" s="1">
        <v>311904</v>
      </c>
      <c r="AF1346">
        <v>0</v>
      </c>
      <c r="AJ1346">
        <v>0</v>
      </c>
      <c r="AK1346">
        <v>0</v>
      </c>
      <c r="AL1346">
        <v>0</v>
      </c>
      <c r="AM1346" s="1">
        <v>4765.2</v>
      </c>
      <c r="AN1346" s="1">
        <v>4765.2</v>
      </c>
      <c r="AO1346" s="1">
        <v>4765.2</v>
      </c>
      <c r="AP1346" s="2">
        <v>42746</v>
      </c>
      <c r="AQ1346" t="s">
        <v>72</v>
      </c>
      <c r="AR1346" t="s">
        <v>72</v>
      </c>
      <c r="AS1346">
        <v>2561</v>
      </c>
      <c r="AT1346" s="4">
        <v>42646</v>
      </c>
      <c r="AU1346" t="s">
        <v>73</v>
      </c>
      <c r="AV1346">
        <v>2561</v>
      </c>
      <c r="AW1346" s="4">
        <v>42646</v>
      </c>
      <c r="BD1346">
        <v>0</v>
      </c>
      <c r="BN1346" t="s">
        <v>74</v>
      </c>
    </row>
    <row r="1347" spans="1:66">
      <c r="A1347">
        <v>100320</v>
      </c>
      <c r="B1347" s="3" t="s">
        <v>157</v>
      </c>
      <c r="C1347" s="1">
        <v>43300101</v>
      </c>
      <c r="D1347" t="s">
        <v>67</v>
      </c>
      <c r="H1347" t="str">
        <f t="shared" si="119"/>
        <v>00426150488</v>
      </c>
      <c r="I1347" t="str">
        <f t="shared" si="119"/>
        <v>00426150488</v>
      </c>
      <c r="K1347" t="str">
        <f>""</f>
        <v/>
      </c>
      <c r="M1347" t="s">
        <v>68</v>
      </c>
      <c r="N1347" t="str">
        <f t="shared" si="118"/>
        <v>FOR</v>
      </c>
      <c r="O1347" t="s">
        <v>69</v>
      </c>
      <c r="P1347" s="3" t="s">
        <v>75</v>
      </c>
      <c r="Q1347">
        <v>2016</v>
      </c>
      <c r="R1347" s="2">
        <v>42528</v>
      </c>
      <c r="S1347" s="2">
        <v>42530</v>
      </c>
      <c r="T1347" s="2">
        <v>42529</v>
      </c>
      <c r="U1347" s="2">
        <v>42589</v>
      </c>
      <c r="V1347" t="s">
        <v>71</v>
      </c>
      <c r="W1347" t="str">
        <f>"          0000119345"</f>
        <v xml:space="preserve">          0000119345</v>
      </c>
      <c r="X1347" s="1">
        <v>4765.2</v>
      </c>
      <c r="Y1347">
        <v>0</v>
      </c>
      <c r="Z1347" s="5">
        <v>4332</v>
      </c>
      <c r="AA1347">
        <v>93</v>
      </c>
      <c r="AB1347" s="5">
        <v>402876</v>
      </c>
      <c r="AC1347" s="1">
        <v>4332</v>
      </c>
      <c r="AD1347">
        <v>93</v>
      </c>
      <c r="AE1347" s="1">
        <v>402876</v>
      </c>
      <c r="AF1347">
        <v>0</v>
      </c>
      <c r="AJ1347">
        <v>0</v>
      </c>
      <c r="AK1347">
        <v>0</v>
      </c>
      <c r="AL1347">
        <v>0</v>
      </c>
      <c r="AM1347" s="1">
        <v>4765.2</v>
      </c>
      <c r="AN1347" s="1">
        <v>4765.2</v>
      </c>
      <c r="AO1347" s="1">
        <v>4765.2</v>
      </c>
      <c r="AP1347" s="2">
        <v>42746</v>
      </c>
      <c r="AQ1347" t="s">
        <v>72</v>
      </c>
      <c r="AR1347" t="s">
        <v>72</v>
      </c>
      <c r="AS1347">
        <v>2980</v>
      </c>
      <c r="AT1347" s="4">
        <v>42682</v>
      </c>
      <c r="AU1347" t="s">
        <v>73</v>
      </c>
      <c r="AV1347">
        <v>2980</v>
      </c>
      <c r="AW1347" s="4">
        <v>42682</v>
      </c>
      <c r="BD1347">
        <v>0</v>
      </c>
      <c r="BN1347" t="s">
        <v>74</v>
      </c>
    </row>
    <row r="1348" spans="1:66">
      <c r="A1348">
        <v>100320</v>
      </c>
      <c r="B1348" s="3" t="s">
        <v>157</v>
      </c>
      <c r="C1348" s="1">
        <v>43300101</v>
      </c>
      <c r="D1348" t="s">
        <v>67</v>
      </c>
      <c r="H1348" t="str">
        <f t="shared" si="119"/>
        <v>00426150488</v>
      </c>
      <c r="I1348" t="str">
        <f t="shared" si="119"/>
        <v>00426150488</v>
      </c>
      <c r="K1348" t="str">
        <f>""</f>
        <v/>
      </c>
      <c r="M1348" t="s">
        <v>68</v>
      </c>
      <c r="N1348" t="str">
        <f t="shared" si="118"/>
        <v>FOR</v>
      </c>
      <c r="O1348" t="s">
        <v>69</v>
      </c>
      <c r="P1348" s="3" t="s">
        <v>75</v>
      </c>
      <c r="Q1348">
        <v>2016</v>
      </c>
      <c r="R1348" s="2">
        <v>42543</v>
      </c>
      <c r="S1348" s="2">
        <v>42550</v>
      </c>
      <c r="T1348" s="2">
        <v>42544</v>
      </c>
      <c r="U1348" s="2">
        <v>42604</v>
      </c>
      <c r="V1348" t="s">
        <v>71</v>
      </c>
      <c r="W1348" t="str">
        <f>"          0000121611"</f>
        <v xml:space="preserve">          0000121611</v>
      </c>
      <c r="X1348" s="1">
        <v>4169.55</v>
      </c>
      <c r="Y1348">
        <v>0</v>
      </c>
      <c r="Z1348" s="5">
        <v>3790.5</v>
      </c>
      <c r="AA1348">
        <v>78</v>
      </c>
      <c r="AB1348" s="5">
        <v>295659</v>
      </c>
      <c r="AC1348" s="1">
        <v>3790.5</v>
      </c>
      <c r="AD1348">
        <v>78</v>
      </c>
      <c r="AE1348" s="1">
        <v>295659</v>
      </c>
      <c r="AF1348">
        <v>0</v>
      </c>
      <c r="AJ1348">
        <v>0</v>
      </c>
      <c r="AK1348">
        <v>0</v>
      </c>
      <c r="AL1348">
        <v>0</v>
      </c>
      <c r="AM1348" s="1">
        <v>4169.55</v>
      </c>
      <c r="AN1348" s="1">
        <v>4169.55</v>
      </c>
      <c r="AO1348" s="1">
        <v>4169.55</v>
      </c>
      <c r="AP1348" s="2">
        <v>42746</v>
      </c>
      <c r="AQ1348" t="s">
        <v>72</v>
      </c>
      <c r="AR1348" t="s">
        <v>72</v>
      </c>
      <c r="AS1348">
        <v>2980</v>
      </c>
      <c r="AT1348" s="4">
        <v>42682</v>
      </c>
      <c r="AU1348" t="s">
        <v>73</v>
      </c>
      <c r="AV1348">
        <v>2980</v>
      </c>
      <c r="AW1348" s="4">
        <v>42682</v>
      </c>
      <c r="BD1348">
        <v>0</v>
      </c>
      <c r="BN1348" t="s">
        <v>74</v>
      </c>
    </row>
    <row r="1349" spans="1:66">
      <c r="A1349">
        <v>100320</v>
      </c>
      <c r="B1349" s="3" t="s">
        <v>157</v>
      </c>
      <c r="C1349" s="1">
        <v>43300101</v>
      </c>
      <c r="D1349" t="s">
        <v>67</v>
      </c>
      <c r="H1349" t="str">
        <f t="shared" si="119"/>
        <v>00426150488</v>
      </c>
      <c r="I1349" t="str">
        <f t="shared" si="119"/>
        <v>00426150488</v>
      </c>
      <c r="K1349" t="str">
        <f>""</f>
        <v/>
      </c>
      <c r="M1349" t="s">
        <v>68</v>
      </c>
      <c r="N1349" t="str">
        <f t="shared" si="118"/>
        <v>FOR</v>
      </c>
      <c r="O1349" t="s">
        <v>69</v>
      </c>
      <c r="P1349" s="3" t="s">
        <v>75</v>
      </c>
      <c r="Q1349">
        <v>2016</v>
      </c>
      <c r="R1349" s="2">
        <v>42548</v>
      </c>
      <c r="S1349" s="2">
        <v>42550</v>
      </c>
      <c r="T1349" s="2">
        <v>42549</v>
      </c>
      <c r="U1349" s="2">
        <v>42609</v>
      </c>
      <c r="V1349" t="s">
        <v>71</v>
      </c>
      <c r="W1349" t="str">
        <f>"          0000121993"</f>
        <v xml:space="preserve">          0000121993</v>
      </c>
      <c r="X1349">
        <v>105.57</v>
      </c>
      <c r="Y1349">
        <v>0</v>
      </c>
      <c r="Z1349" s="3">
        <v>95.97</v>
      </c>
      <c r="AA1349">
        <v>73</v>
      </c>
      <c r="AB1349" s="5">
        <v>7005.81</v>
      </c>
      <c r="AC1349">
        <v>95.97</v>
      </c>
      <c r="AD1349">
        <v>73</v>
      </c>
      <c r="AE1349" s="1">
        <v>7005.81</v>
      </c>
      <c r="AF1349">
        <v>0</v>
      </c>
      <c r="AJ1349">
        <v>0</v>
      </c>
      <c r="AK1349">
        <v>0</v>
      </c>
      <c r="AL1349">
        <v>0</v>
      </c>
      <c r="AM1349">
        <v>105.57</v>
      </c>
      <c r="AN1349">
        <v>105.57</v>
      </c>
      <c r="AO1349">
        <v>105.57</v>
      </c>
      <c r="AP1349" s="2">
        <v>42746</v>
      </c>
      <c r="AQ1349" t="s">
        <v>72</v>
      </c>
      <c r="AR1349" t="s">
        <v>72</v>
      </c>
      <c r="AS1349">
        <v>2980</v>
      </c>
      <c r="AT1349" s="4">
        <v>42682</v>
      </c>
      <c r="AU1349" t="s">
        <v>73</v>
      </c>
      <c r="AV1349">
        <v>2980</v>
      </c>
      <c r="AW1349" s="4">
        <v>42682</v>
      </c>
      <c r="BD1349">
        <v>0</v>
      </c>
      <c r="BN1349" t="s">
        <v>74</v>
      </c>
    </row>
    <row r="1350" spans="1:66">
      <c r="A1350">
        <v>100320</v>
      </c>
      <c r="B1350" s="3" t="s">
        <v>157</v>
      </c>
      <c r="C1350" s="1">
        <v>43300101</v>
      </c>
      <c r="D1350" t="s">
        <v>67</v>
      </c>
      <c r="H1350" t="str">
        <f t="shared" si="119"/>
        <v>00426150488</v>
      </c>
      <c r="I1350" t="str">
        <f t="shared" si="119"/>
        <v>00426150488</v>
      </c>
      <c r="K1350" t="str">
        <f>""</f>
        <v/>
      </c>
      <c r="M1350" t="s">
        <v>68</v>
      </c>
      <c r="N1350" t="str">
        <f t="shared" si="118"/>
        <v>FOR</v>
      </c>
      <c r="O1350" t="s">
        <v>69</v>
      </c>
      <c r="P1350" s="3" t="s">
        <v>75</v>
      </c>
      <c r="Q1350">
        <v>2016</v>
      </c>
      <c r="R1350" s="2">
        <v>42565</v>
      </c>
      <c r="S1350" s="2">
        <v>42571</v>
      </c>
      <c r="T1350" s="2">
        <v>42568</v>
      </c>
      <c r="U1350" s="2">
        <v>42628</v>
      </c>
      <c r="V1350" t="s">
        <v>71</v>
      </c>
      <c r="W1350" t="str">
        <f>"          0000124379"</f>
        <v xml:space="preserve">          0000124379</v>
      </c>
      <c r="X1350" s="1">
        <v>4765.2</v>
      </c>
      <c r="Y1350">
        <v>0</v>
      </c>
      <c r="Z1350" s="5">
        <v>4332</v>
      </c>
      <c r="AA1350">
        <v>91</v>
      </c>
      <c r="AB1350" s="5">
        <v>394212</v>
      </c>
      <c r="AC1350" s="1">
        <v>4332</v>
      </c>
      <c r="AD1350">
        <v>91</v>
      </c>
      <c r="AE1350" s="1">
        <v>394212</v>
      </c>
      <c r="AF1350">
        <v>433.2</v>
      </c>
      <c r="AJ1350">
        <v>0</v>
      </c>
      <c r="AK1350">
        <v>0</v>
      </c>
      <c r="AL1350">
        <v>0</v>
      </c>
      <c r="AM1350" s="1">
        <v>4765.2</v>
      </c>
      <c r="AN1350" s="1">
        <v>4765.2</v>
      </c>
      <c r="AO1350" s="1">
        <v>4765.2</v>
      </c>
      <c r="AP1350" s="2">
        <v>42746</v>
      </c>
      <c r="AQ1350" t="s">
        <v>72</v>
      </c>
      <c r="AR1350" t="s">
        <v>72</v>
      </c>
      <c r="AS1350">
        <v>3513</v>
      </c>
      <c r="AT1350" s="4">
        <v>42719</v>
      </c>
      <c r="AU1350" t="s">
        <v>73</v>
      </c>
      <c r="AV1350">
        <v>3513</v>
      </c>
      <c r="AW1350" s="4">
        <v>42719</v>
      </c>
      <c r="BA1350">
        <v>433.2</v>
      </c>
      <c r="BD1350">
        <v>0</v>
      </c>
      <c r="BN1350" t="s">
        <v>74</v>
      </c>
    </row>
    <row r="1351" spans="1:66">
      <c r="A1351">
        <v>100320</v>
      </c>
      <c r="B1351" s="3" t="s">
        <v>157</v>
      </c>
      <c r="C1351" s="1">
        <v>43300101</v>
      </c>
      <c r="D1351" t="s">
        <v>67</v>
      </c>
      <c r="H1351" t="str">
        <f t="shared" si="119"/>
        <v>00426150488</v>
      </c>
      <c r="I1351" t="str">
        <f t="shared" si="119"/>
        <v>00426150488</v>
      </c>
      <c r="K1351" t="str">
        <f>""</f>
        <v/>
      </c>
      <c r="M1351" t="s">
        <v>68</v>
      </c>
      <c r="N1351" t="str">
        <f t="shared" si="118"/>
        <v>FOR</v>
      </c>
      <c r="O1351" t="s">
        <v>69</v>
      </c>
      <c r="P1351" s="3" t="s">
        <v>75</v>
      </c>
      <c r="Q1351">
        <v>2016</v>
      </c>
      <c r="R1351" s="2">
        <v>42576</v>
      </c>
      <c r="S1351" s="2">
        <v>42583</v>
      </c>
      <c r="T1351" s="2">
        <v>42577</v>
      </c>
      <c r="U1351" s="2">
        <v>42637</v>
      </c>
      <c r="V1351" t="s">
        <v>71</v>
      </c>
      <c r="W1351" t="str">
        <f>"          0000125863"</f>
        <v xml:space="preserve">          0000125863</v>
      </c>
      <c r="X1351" s="1">
        <v>4765.2</v>
      </c>
      <c r="Y1351">
        <v>0</v>
      </c>
      <c r="Z1351" s="5">
        <v>4332</v>
      </c>
      <c r="AA1351">
        <v>82</v>
      </c>
      <c r="AB1351" s="5">
        <v>355224</v>
      </c>
      <c r="AC1351" s="1">
        <v>4332</v>
      </c>
      <c r="AD1351">
        <v>82</v>
      </c>
      <c r="AE1351" s="1">
        <v>355224</v>
      </c>
      <c r="AF1351">
        <v>433.2</v>
      </c>
      <c r="AJ1351">
        <v>0</v>
      </c>
      <c r="AK1351">
        <v>0</v>
      </c>
      <c r="AL1351">
        <v>0</v>
      </c>
      <c r="AM1351" s="1">
        <v>4765.2</v>
      </c>
      <c r="AN1351" s="1">
        <v>4765.2</v>
      </c>
      <c r="AO1351" s="1">
        <v>4765.2</v>
      </c>
      <c r="AP1351" s="2">
        <v>42746</v>
      </c>
      <c r="AQ1351" t="s">
        <v>72</v>
      </c>
      <c r="AR1351" t="s">
        <v>72</v>
      </c>
      <c r="AS1351">
        <v>3513</v>
      </c>
      <c r="AT1351" s="4">
        <v>42719</v>
      </c>
      <c r="AU1351" t="s">
        <v>73</v>
      </c>
      <c r="AV1351">
        <v>3513</v>
      </c>
      <c r="AW1351" s="4">
        <v>42719</v>
      </c>
      <c r="BA1351">
        <v>433.2</v>
      </c>
      <c r="BD1351">
        <v>0</v>
      </c>
      <c r="BN1351" t="s">
        <v>74</v>
      </c>
    </row>
    <row r="1352" spans="1:66">
      <c r="A1352">
        <v>100320</v>
      </c>
      <c r="B1352" s="3" t="s">
        <v>157</v>
      </c>
      <c r="C1352" s="1">
        <v>43300101</v>
      </c>
      <c r="D1352" t="s">
        <v>67</v>
      </c>
      <c r="H1352" t="str">
        <f t="shared" si="119"/>
        <v>00426150488</v>
      </c>
      <c r="I1352" t="str">
        <f t="shared" si="119"/>
        <v>00426150488</v>
      </c>
      <c r="K1352" t="str">
        <f>""</f>
        <v/>
      </c>
      <c r="M1352" t="s">
        <v>68</v>
      </c>
      <c r="N1352" t="str">
        <f t="shared" si="118"/>
        <v>FOR</v>
      </c>
      <c r="O1352" t="s">
        <v>69</v>
      </c>
      <c r="P1352" s="3" t="s">
        <v>75</v>
      </c>
      <c r="Q1352">
        <v>2016</v>
      </c>
      <c r="R1352" s="2">
        <v>42586</v>
      </c>
      <c r="S1352" s="2">
        <v>42591</v>
      </c>
      <c r="T1352" s="2">
        <v>42587</v>
      </c>
      <c r="U1352" s="2">
        <v>42647</v>
      </c>
      <c r="V1352" t="s">
        <v>71</v>
      </c>
      <c r="W1352" t="str">
        <f>"          0000127221"</f>
        <v xml:space="preserve">          0000127221</v>
      </c>
      <c r="X1352" s="1">
        <v>4765.2</v>
      </c>
      <c r="Y1352">
        <v>0</v>
      </c>
      <c r="Z1352" s="5">
        <v>4332</v>
      </c>
      <c r="AA1352">
        <v>72</v>
      </c>
      <c r="AB1352" s="5">
        <v>311904</v>
      </c>
      <c r="AC1352" s="1">
        <v>4332</v>
      </c>
      <c r="AD1352">
        <v>72</v>
      </c>
      <c r="AE1352" s="1">
        <v>311904</v>
      </c>
      <c r="AF1352">
        <v>433.2</v>
      </c>
      <c r="AJ1352">
        <v>0</v>
      </c>
      <c r="AK1352">
        <v>0</v>
      </c>
      <c r="AL1352">
        <v>0</v>
      </c>
      <c r="AM1352" s="1">
        <v>4765.2</v>
      </c>
      <c r="AN1352" s="1">
        <v>4765.2</v>
      </c>
      <c r="AO1352" s="1">
        <v>4765.2</v>
      </c>
      <c r="AP1352" s="2">
        <v>42746</v>
      </c>
      <c r="AQ1352" t="s">
        <v>72</v>
      </c>
      <c r="AR1352" t="s">
        <v>72</v>
      </c>
      <c r="AS1352">
        <v>3513</v>
      </c>
      <c r="AT1352" s="4">
        <v>42719</v>
      </c>
      <c r="AU1352" t="s">
        <v>73</v>
      </c>
      <c r="AV1352">
        <v>3513</v>
      </c>
      <c r="AW1352" s="4">
        <v>42719</v>
      </c>
      <c r="AZ1352">
        <v>433.2</v>
      </c>
      <c r="BD1352">
        <v>0</v>
      </c>
      <c r="BN1352" t="s">
        <v>74</v>
      </c>
    </row>
    <row r="1353" spans="1:66" hidden="1">
      <c r="A1353">
        <v>100325</v>
      </c>
      <c r="B1353" s="3" t="s">
        <v>158</v>
      </c>
      <c r="C1353" s="1">
        <v>43300101</v>
      </c>
      <c r="D1353" t="s">
        <v>67</v>
      </c>
      <c r="H1353" t="str">
        <f t="shared" ref="H1353:I1362" si="120">"00182080622"</f>
        <v>00182080622</v>
      </c>
      <c r="I1353" t="str">
        <f t="shared" si="120"/>
        <v>00182080622</v>
      </c>
      <c r="K1353" t="str">
        <f>""</f>
        <v/>
      </c>
      <c r="M1353" t="s">
        <v>68</v>
      </c>
      <c r="N1353" t="str">
        <f t="shared" si="118"/>
        <v>FOR</v>
      </c>
      <c r="O1353" t="s">
        <v>69</v>
      </c>
      <c r="P1353" s="3" t="s">
        <v>75</v>
      </c>
      <c r="Q1353">
        <v>2015</v>
      </c>
      <c r="R1353" s="2">
        <v>42216</v>
      </c>
      <c r="S1353" s="2">
        <v>42227</v>
      </c>
      <c r="T1353" s="2">
        <v>42216</v>
      </c>
      <c r="U1353" s="2">
        <v>42276</v>
      </c>
      <c r="V1353" t="s">
        <v>71</v>
      </c>
      <c r="W1353" t="str">
        <f>"               17/01"</f>
        <v xml:space="preserve">               17/01</v>
      </c>
      <c r="X1353" s="1">
        <v>1756.8</v>
      </c>
      <c r="Y1353">
        <v>0</v>
      </c>
      <c r="Z1353"/>
      <c r="AB1353"/>
      <c r="AC1353" s="1">
        <v>1440</v>
      </c>
      <c r="AD1353">
        <v>128</v>
      </c>
      <c r="AE1353" s="1">
        <v>184320</v>
      </c>
      <c r="AF1353">
        <v>0</v>
      </c>
      <c r="AJ1353">
        <v>0</v>
      </c>
      <c r="AK1353">
        <v>0</v>
      </c>
      <c r="AL1353">
        <v>0</v>
      </c>
      <c r="AM1353">
        <v>0</v>
      </c>
      <c r="AN1353">
        <v>0</v>
      </c>
      <c r="AO1353">
        <v>0</v>
      </c>
      <c r="AP1353" s="2">
        <v>42746</v>
      </c>
      <c r="AQ1353" t="s">
        <v>72</v>
      </c>
      <c r="AR1353" t="s">
        <v>72</v>
      </c>
      <c r="AS1353">
        <v>260</v>
      </c>
      <c r="AT1353" s="4">
        <v>42404</v>
      </c>
      <c r="AU1353" t="s">
        <v>73</v>
      </c>
      <c r="AV1353">
        <v>260</v>
      </c>
      <c r="AW1353" s="4">
        <v>42404</v>
      </c>
      <c r="BD1353">
        <v>0</v>
      </c>
      <c r="BN1353" t="s">
        <v>74</v>
      </c>
    </row>
    <row r="1354" spans="1:66" hidden="1">
      <c r="A1354">
        <v>100325</v>
      </c>
      <c r="B1354" s="3" t="s">
        <v>158</v>
      </c>
      <c r="C1354" s="1">
        <v>43300101</v>
      </c>
      <c r="D1354" t="s">
        <v>67</v>
      </c>
      <c r="H1354" t="str">
        <f t="shared" si="120"/>
        <v>00182080622</v>
      </c>
      <c r="I1354" t="str">
        <f t="shared" si="120"/>
        <v>00182080622</v>
      </c>
      <c r="K1354" t="str">
        <f>""</f>
        <v/>
      </c>
      <c r="M1354" t="s">
        <v>68</v>
      </c>
      <c r="N1354" t="str">
        <f t="shared" si="118"/>
        <v>FOR</v>
      </c>
      <c r="O1354" t="s">
        <v>69</v>
      </c>
      <c r="P1354" s="3" t="s">
        <v>75</v>
      </c>
      <c r="Q1354">
        <v>2015</v>
      </c>
      <c r="R1354" s="2">
        <v>42257</v>
      </c>
      <c r="S1354" s="2">
        <v>42257</v>
      </c>
      <c r="T1354" s="2">
        <v>42257</v>
      </c>
      <c r="U1354" s="2">
        <v>42317</v>
      </c>
      <c r="V1354" t="s">
        <v>71</v>
      </c>
      <c r="W1354" t="str">
        <f>"               21/01"</f>
        <v xml:space="preserve">               21/01</v>
      </c>
      <c r="X1354" s="1">
        <v>1256.77</v>
      </c>
      <c r="Y1354">
        <v>0</v>
      </c>
      <c r="Z1354"/>
      <c r="AB1354"/>
      <c r="AC1354" s="1">
        <v>1030.1400000000001</v>
      </c>
      <c r="AD1354">
        <v>99</v>
      </c>
      <c r="AE1354" s="1">
        <v>101983.86</v>
      </c>
      <c r="AF1354">
        <v>0</v>
      </c>
      <c r="AJ1354">
        <v>0</v>
      </c>
      <c r="AK1354">
        <v>0</v>
      </c>
      <c r="AL1354">
        <v>0</v>
      </c>
      <c r="AM1354">
        <v>0</v>
      </c>
      <c r="AN1354">
        <v>0</v>
      </c>
      <c r="AO1354">
        <v>0</v>
      </c>
      <c r="AP1354" s="2">
        <v>42746</v>
      </c>
      <c r="AQ1354" t="s">
        <v>72</v>
      </c>
      <c r="AR1354" t="s">
        <v>72</v>
      </c>
      <c r="AS1354">
        <v>439</v>
      </c>
      <c r="AT1354" s="4">
        <v>42416</v>
      </c>
      <c r="AU1354" t="s">
        <v>73</v>
      </c>
      <c r="AV1354">
        <v>439</v>
      </c>
      <c r="AW1354" s="4">
        <v>42416</v>
      </c>
      <c r="BD1354">
        <v>0</v>
      </c>
      <c r="BN1354" t="s">
        <v>74</v>
      </c>
    </row>
    <row r="1355" spans="1:66" hidden="1">
      <c r="A1355">
        <v>100325</v>
      </c>
      <c r="B1355" s="3" t="s">
        <v>158</v>
      </c>
      <c r="C1355" s="1">
        <v>43300101</v>
      </c>
      <c r="D1355" t="s">
        <v>67</v>
      </c>
      <c r="H1355" t="str">
        <f t="shared" si="120"/>
        <v>00182080622</v>
      </c>
      <c r="I1355" t="str">
        <f t="shared" si="120"/>
        <v>00182080622</v>
      </c>
      <c r="K1355" t="str">
        <f>""</f>
        <v/>
      </c>
      <c r="M1355" t="s">
        <v>68</v>
      </c>
      <c r="N1355" t="str">
        <f t="shared" si="118"/>
        <v>FOR</v>
      </c>
      <c r="O1355" t="s">
        <v>69</v>
      </c>
      <c r="P1355" s="3" t="s">
        <v>75</v>
      </c>
      <c r="Q1355">
        <v>2015</v>
      </c>
      <c r="R1355" s="2">
        <v>42321</v>
      </c>
      <c r="S1355" s="2">
        <v>42325</v>
      </c>
      <c r="T1355" s="2">
        <v>42321</v>
      </c>
      <c r="U1355" s="2">
        <v>42381</v>
      </c>
      <c r="V1355" t="s">
        <v>71</v>
      </c>
      <c r="W1355" t="str">
        <f>"               30/01"</f>
        <v xml:space="preserve">               30/01</v>
      </c>
      <c r="X1355">
        <v>707.6</v>
      </c>
      <c r="Y1355">
        <v>0</v>
      </c>
      <c r="Z1355"/>
      <c r="AB1355"/>
      <c r="AC1355">
        <v>580</v>
      </c>
      <c r="AD1355">
        <v>106</v>
      </c>
      <c r="AE1355" s="1">
        <v>61480</v>
      </c>
      <c r="AF1355">
        <v>0</v>
      </c>
      <c r="AJ1355">
        <v>0</v>
      </c>
      <c r="AK1355">
        <v>0</v>
      </c>
      <c r="AL1355">
        <v>0</v>
      </c>
      <c r="AM1355">
        <v>0</v>
      </c>
      <c r="AN1355">
        <v>0</v>
      </c>
      <c r="AO1355">
        <v>0</v>
      </c>
      <c r="AP1355" s="2">
        <v>42746</v>
      </c>
      <c r="AQ1355" t="s">
        <v>72</v>
      </c>
      <c r="AR1355" t="s">
        <v>72</v>
      </c>
      <c r="AS1355">
        <v>1189</v>
      </c>
      <c r="AT1355" s="4">
        <v>42487</v>
      </c>
      <c r="AU1355" t="s">
        <v>73</v>
      </c>
      <c r="AV1355">
        <v>1189</v>
      </c>
      <c r="AW1355" s="4">
        <v>42487</v>
      </c>
      <c r="BD1355">
        <v>0</v>
      </c>
      <c r="BN1355" t="s">
        <v>74</v>
      </c>
    </row>
    <row r="1356" spans="1:66" hidden="1">
      <c r="A1356">
        <v>100325</v>
      </c>
      <c r="B1356" s="3" t="s">
        <v>158</v>
      </c>
      <c r="C1356" s="1">
        <v>43300101</v>
      </c>
      <c r="D1356" t="s">
        <v>67</v>
      </c>
      <c r="H1356" t="str">
        <f t="shared" si="120"/>
        <v>00182080622</v>
      </c>
      <c r="I1356" t="str">
        <f t="shared" si="120"/>
        <v>00182080622</v>
      </c>
      <c r="K1356" t="str">
        <f>""</f>
        <v/>
      </c>
      <c r="M1356" t="s">
        <v>68</v>
      </c>
      <c r="N1356" t="str">
        <f t="shared" si="118"/>
        <v>FOR</v>
      </c>
      <c r="O1356" t="s">
        <v>69</v>
      </c>
      <c r="P1356" s="3" t="s">
        <v>75</v>
      </c>
      <c r="Q1356">
        <v>2015</v>
      </c>
      <c r="R1356" s="2">
        <v>42368</v>
      </c>
      <c r="S1356" s="2">
        <v>42368</v>
      </c>
      <c r="T1356" s="2">
        <v>42368</v>
      </c>
      <c r="U1356" s="2">
        <v>42428</v>
      </c>
      <c r="V1356" t="s">
        <v>71</v>
      </c>
      <c r="W1356" t="str">
        <f>"               34/01"</f>
        <v xml:space="preserve">               34/01</v>
      </c>
      <c r="X1356" s="1">
        <v>1525</v>
      </c>
      <c r="Y1356">
        <v>0</v>
      </c>
      <c r="Z1356"/>
      <c r="AB1356"/>
      <c r="AC1356" s="1">
        <v>1250</v>
      </c>
      <c r="AD1356">
        <v>59</v>
      </c>
      <c r="AE1356" s="1">
        <v>73750</v>
      </c>
      <c r="AF1356">
        <v>0</v>
      </c>
      <c r="AJ1356">
        <v>0</v>
      </c>
      <c r="AK1356">
        <v>0</v>
      </c>
      <c r="AL1356">
        <v>0</v>
      </c>
      <c r="AM1356">
        <v>0</v>
      </c>
      <c r="AN1356">
        <v>0</v>
      </c>
      <c r="AO1356">
        <v>0</v>
      </c>
      <c r="AP1356" s="2">
        <v>42746</v>
      </c>
      <c r="AQ1356" t="s">
        <v>72</v>
      </c>
      <c r="AR1356" t="s">
        <v>72</v>
      </c>
      <c r="AS1356">
        <v>1189</v>
      </c>
      <c r="AT1356" s="4">
        <v>42487</v>
      </c>
      <c r="AU1356" t="s">
        <v>73</v>
      </c>
      <c r="AV1356">
        <v>1189</v>
      </c>
      <c r="AW1356" s="4">
        <v>42487</v>
      </c>
      <c r="BD1356">
        <v>0</v>
      </c>
      <c r="BN1356" t="s">
        <v>74</v>
      </c>
    </row>
    <row r="1357" spans="1:66" hidden="1">
      <c r="A1357">
        <v>100325</v>
      </c>
      <c r="B1357" s="3" t="s">
        <v>158</v>
      </c>
      <c r="C1357" s="1">
        <v>43300101</v>
      </c>
      <c r="D1357" t="s">
        <v>67</v>
      </c>
      <c r="H1357" t="str">
        <f t="shared" si="120"/>
        <v>00182080622</v>
      </c>
      <c r="I1357" t="str">
        <f t="shared" si="120"/>
        <v>00182080622</v>
      </c>
      <c r="K1357" t="str">
        <f>""</f>
        <v/>
      </c>
      <c r="M1357" t="s">
        <v>68</v>
      </c>
      <c r="N1357" t="str">
        <f t="shared" si="118"/>
        <v>FOR</v>
      </c>
      <c r="O1357" t="s">
        <v>69</v>
      </c>
      <c r="P1357" s="3" t="s">
        <v>75</v>
      </c>
      <c r="Q1357">
        <v>2016</v>
      </c>
      <c r="R1357" s="2">
        <v>42426</v>
      </c>
      <c r="S1357" s="2">
        <v>42429</v>
      </c>
      <c r="T1357" s="2">
        <v>42426</v>
      </c>
      <c r="U1357" s="2">
        <v>42486</v>
      </c>
      <c r="V1357" t="s">
        <v>71</v>
      </c>
      <c r="W1357" t="str">
        <f>"               40/01"</f>
        <v xml:space="preserve">               40/01</v>
      </c>
      <c r="X1357" s="1">
        <v>3147.6</v>
      </c>
      <c r="Y1357">
        <v>0</v>
      </c>
      <c r="Z1357"/>
      <c r="AB1357"/>
      <c r="AC1357" s="1">
        <v>2580</v>
      </c>
      <c r="AD1357">
        <v>90</v>
      </c>
      <c r="AE1357" s="1">
        <v>232200</v>
      </c>
      <c r="AF1357">
        <v>0</v>
      </c>
      <c r="AJ1357">
        <v>0</v>
      </c>
      <c r="AK1357">
        <v>0</v>
      </c>
      <c r="AL1357">
        <v>0</v>
      </c>
      <c r="AM1357" s="1">
        <v>3147.6</v>
      </c>
      <c r="AN1357" s="1">
        <v>3147.6</v>
      </c>
      <c r="AO1357" s="1">
        <v>3147.6</v>
      </c>
      <c r="AP1357" s="2">
        <v>42746</v>
      </c>
      <c r="AQ1357" t="s">
        <v>72</v>
      </c>
      <c r="AR1357" t="s">
        <v>72</v>
      </c>
      <c r="AS1357">
        <v>1890</v>
      </c>
      <c r="AT1357" s="4">
        <v>42576</v>
      </c>
      <c r="AU1357" t="s">
        <v>73</v>
      </c>
      <c r="AV1357">
        <v>1890</v>
      </c>
      <c r="AW1357" s="4">
        <v>42576</v>
      </c>
      <c r="BD1357">
        <v>0</v>
      </c>
      <c r="BN1357" t="s">
        <v>74</v>
      </c>
    </row>
    <row r="1358" spans="1:66" hidden="1">
      <c r="A1358">
        <v>100325</v>
      </c>
      <c r="B1358" s="3" t="s">
        <v>158</v>
      </c>
      <c r="C1358" s="1">
        <v>43300101</v>
      </c>
      <c r="D1358" t="s">
        <v>67</v>
      </c>
      <c r="H1358" t="str">
        <f t="shared" si="120"/>
        <v>00182080622</v>
      </c>
      <c r="I1358" t="str">
        <f t="shared" si="120"/>
        <v>00182080622</v>
      </c>
      <c r="K1358" t="str">
        <f>""</f>
        <v/>
      </c>
      <c r="M1358" t="s">
        <v>68</v>
      </c>
      <c r="N1358" t="str">
        <f t="shared" ref="N1358:N1389" si="121">"FOR"</f>
        <v>FOR</v>
      </c>
      <c r="O1358" t="s">
        <v>69</v>
      </c>
      <c r="P1358" s="3" t="s">
        <v>75</v>
      </c>
      <c r="Q1358">
        <v>2016</v>
      </c>
      <c r="R1358" s="2">
        <v>42426</v>
      </c>
      <c r="S1358" s="2">
        <v>42443</v>
      </c>
      <c r="T1358" s="2">
        <v>42441</v>
      </c>
      <c r="U1358" s="2">
        <v>42501</v>
      </c>
      <c r="V1358" t="s">
        <v>71</v>
      </c>
      <c r="W1358" t="str">
        <f>"               41/01"</f>
        <v xml:space="preserve">               41/01</v>
      </c>
      <c r="X1358">
        <v>588.04</v>
      </c>
      <c r="Y1358">
        <v>0</v>
      </c>
      <c r="Z1358"/>
      <c r="AB1358"/>
      <c r="AC1358">
        <v>482</v>
      </c>
      <c r="AD1358">
        <v>75</v>
      </c>
      <c r="AE1358" s="1">
        <v>36150</v>
      </c>
      <c r="AF1358">
        <v>0</v>
      </c>
      <c r="AJ1358">
        <v>0</v>
      </c>
      <c r="AK1358">
        <v>0</v>
      </c>
      <c r="AL1358">
        <v>0</v>
      </c>
      <c r="AM1358">
        <v>588.04</v>
      </c>
      <c r="AN1358">
        <v>588.04</v>
      </c>
      <c r="AO1358">
        <v>588.04</v>
      </c>
      <c r="AP1358" s="2">
        <v>42746</v>
      </c>
      <c r="AQ1358" t="s">
        <v>72</v>
      </c>
      <c r="AR1358" t="s">
        <v>72</v>
      </c>
      <c r="AS1358">
        <v>1890</v>
      </c>
      <c r="AT1358" s="4">
        <v>42576</v>
      </c>
      <c r="AU1358" t="s">
        <v>73</v>
      </c>
      <c r="AV1358">
        <v>1890</v>
      </c>
      <c r="AW1358" s="4">
        <v>42576</v>
      </c>
      <c r="BD1358">
        <v>0</v>
      </c>
      <c r="BN1358" t="s">
        <v>74</v>
      </c>
    </row>
    <row r="1359" spans="1:66" hidden="1">
      <c r="A1359">
        <v>100325</v>
      </c>
      <c r="B1359" s="3" t="s">
        <v>158</v>
      </c>
      <c r="C1359" s="1">
        <v>43300101</v>
      </c>
      <c r="D1359" t="s">
        <v>67</v>
      </c>
      <c r="H1359" t="str">
        <f t="shared" si="120"/>
        <v>00182080622</v>
      </c>
      <c r="I1359" t="str">
        <f t="shared" si="120"/>
        <v>00182080622</v>
      </c>
      <c r="K1359" t="str">
        <f>""</f>
        <v/>
      </c>
      <c r="M1359" t="s">
        <v>68</v>
      </c>
      <c r="N1359" t="str">
        <f t="shared" si="121"/>
        <v>FOR</v>
      </c>
      <c r="O1359" t="s">
        <v>69</v>
      </c>
      <c r="P1359" s="3" t="s">
        <v>75</v>
      </c>
      <c r="Q1359">
        <v>2016</v>
      </c>
      <c r="R1359" s="2">
        <v>42440</v>
      </c>
      <c r="S1359" s="2">
        <v>42443</v>
      </c>
      <c r="T1359" s="2">
        <v>42441</v>
      </c>
      <c r="U1359" s="2">
        <v>42501</v>
      </c>
      <c r="V1359" t="s">
        <v>71</v>
      </c>
      <c r="W1359" t="str">
        <f>"               42/01"</f>
        <v xml:space="preserve">               42/01</v>
      </c>
      <c r="X1359" s="1">
        <v>1256.77</v>
      </c>
      <c r="Y1359">
        <v>0</v>
      </c>
      <c r="Z1359"/>
      <c r="AB1359"/>
      <c r="AC1359" s="1">
        <v>1030.1400000000001</v>
      </c>
      <c r="AD1359">
        <v>120</v>
      </c>
      <c r="AE1359" s="1">
        <v>123616.8</v>
      </c>
      <c r="AF1359">
        <v>0</v>
      </c>
      <c r="AJ1359">
        <v>0</v>
      </c>
      <c r="AK1359">
        <v>0</v>
      </c>
      <c r="AL1359">
        <v>0</v>
      </c>
      <c r="AM1359" s="1">
        <v>1256.77</v>
      </c>
      <c r="AN1359" s="1">
        <v>1256.77</v>
      </c>
      <c r="AO1359" s="1">
        <v>1256.77</v>
      </c>
      <c r="AP1359" s="2">
        <v>42746</v>
      </c>
      <c r="AQ1359" t="s">
        <v>72</v>
      </c>
      <c r="AR1359" t="s">
        <v>72</v>
      </c>
      <c r="AS1359">
        <v>2396</v>
      </c>
      <c r="AT1359" s="4">
        <v>42621</v>
      </c>
      <c r="AU1359" t="s">
        <v>73</v>
      </c>
      <c r="AV1359">
        <v>2396</v>
      </c>
      <c r="AW1359" s="4">
        <v>42621</v>
      </c>
      <c r="BD1359">
        <v>0</v>
      </c>
      <c r="BN1359" t="s">
        <v>74</v>
      </c>
    </row>
    <row r="1360" spans="1:66">
      <c r="A1360">
        <v>100325</v>
      </c>
      <c r="B1360" s="3" t="s">
        <v>158</v>
      </c>
      <c r="C1360" s="1">
        <v>43300101</v>
      </c>
      <c r="D1360" t="s">
        <v>67</v>
      </c>
      <c r="H1360" t="str">
        <f t="shared" si="120"/>
        <v>00182080622</v>
      </c>
      <c r="I1360" t="str">
        <f t="shared" si="120"/>
        <v>00182080622</v>
      </c>
      <c r="K1360" t="str">
        <f>""</f>
        <v/>
      </c>
      <c r="M1360" t="s">
        <v>68</v>
      </c>
      <c r="N1360" t="str">
        <f t="shared" si="121"/>
        <v>FOR</v>
      </c>
      <c r="O1360" t="s">
        <v>69</v>
      </c>
      <c r="P1360" s="3" t="s">
        <v>75</v>
      </c>
      <c r="Q1360">
        <v>2016</v>
      </c>
      <c r="R1360" s="2">
        <v>42579</v>
      </c>
      <c r="S1360" s="2">
        <v>42580</v>
      </c>
      <c r="T1360" s="2">
        <v>42579</v>
      </c>
      <c r="U1360" s="2">
        <v>42639</v>
      </c>
      <c r="V1360" t="s">
        <v>71</v>
      </c>
      <c r="W1360" t="str">
        <f>"               58/01"</f>
        <v xml:space="preserve">               58/01</v>
      </c>
      <c r="X1360" s="1">
        <v>2453.59</v>
      </c>
      <c r="Y1360">
        <v>0</v>
      </c>
      <c r="Z1360" s="5">
        <v>2011.14</v>
      </c>
      <c r="AA1360">
        <v>9</v>
      </c>
      <c r="AB1360" s="5">
        <v>18100.259999999998</v>
      </c>
      <c r="AC1360" s="1">
        <v>2011.14</v>
      </c>
      <c r="AD1360">
        <v>9</v>
      </c>
      <c r="AE1360" s="1">
        <v>18100.259999999998</v>
      </c>
      <c r="AF1360">
        <v>0</v>
      </c>
      <c r="AJ1360">
        <v>0</v>
      </c>
      <c r="AK1360">
        <v>0</v>
      </c>
      <c r="AL1360">
        <v>0</v>
      </c>
      <c r="AM1360" s="1">
        <v>2453.59</v>
      </c>
      <c r="AN1360" s="1">
        <v>2453.59</v>
      </c>
      <c r="AO1360" s="1">
        <v>2453.59</v>
      </c>
      <c r="AP1360" s="2">
        <v>42746</v>
      </c>
      <c r="AQ1360" t="s">
        <v>72</v>
      </c>
      <c r="AR1360" t="s">
        <v>72</v>
      </c>
      <c r="AS1360">
        <v>2668</v>
      </c>
      <c r="AT1360" s="4">
        <v>42648</v>
      </c>
      <c r="AU1360" t="s">
        <v>73</v>
      </c>
      <c r="AV1360">
        <v>2668</v>
      </c>
      <c r="AW1360" s="4">
        <v>42648</v>
      </c>
      <c r="BD1360">
        <v>0</v>
      </c>
      <c r="BN1360" t="s">
        <v>74</v>
      </c>
    </row>
    <row r="1361" spans="1:66">
      <c r="A1361">
        <v>100325</v>
      </c>
      <c r="B1361" s="3" t="s">
        <v>158</v>
      </c>
      <c r="C1361" s="1">
        <v>43300101</v>
      </c>
      <c r="D1361" t="s">
        <v>67</v>
      </c>
      <c r="H1361" t="str">
        <f t="shared" si="120"/>
        <v>00182080622</v>
      </c>
      <c r="I1361" t="str">
        <f t="shared" si="120"/>
        <v>00182080622</v>
      </c>
      <c r="K1361" t="str">
        <f>""</f>
        <v/>
      </c>
      <c r="M1361" t="s">
        <v>68</v>
      </c>
      <c r="N1361" t="str">
        <f t="shared" si="121"/>
        <v>FOR</v>
      </c>
      <c r="O1361" t="s">
        <v>69</v>
      </c>
      <c r="P1361" s="3" t="s">
        <v>75</v>
      </c>
      <c r="Q1361">
        <v>2016</v>
      </c>
      <c r="R1361" s="2">
        <v>42614</v>
      </c>
      <c r="S1361" s="2">
        <v>42614</v>
      </c>
      <c r="T1361" s="2">
        <v>42614</v>
      </c>
      <c r="U1361" s="2">
        <v>42674</v>
      </c>
      <c r="V1361" t="s">
        <v>71</v>
      </c>
      <c r="W1361" t="str">
        <f>"               59/01"</f>
        <v xml:space="preserve">               59/01</v>
      </c>
      <c r="X1361" s="1">
        <v>1952</v>
      </c>
      <c r="Y1361">
        <v>0</v>
      </c>
      <c r="Z1361" s="5">
        <v>1600</v>
      </c>
      <c r="AA1361">
        <v>9</v>
      </c>
      <c r="AB1361" s="5">
        <v>14400</v>
      </c>
      <c r="AC1361" s="1">
        <v>1600</v>
      </c>
      <c r="AD1361">
        <v>9</v>
      </c>
      <c r="AE1361" s="1">
        <v>14400</v>
      </c>
      <c r="AF1361">
        <v>0</v>
      </c>
      <c r="AJ1361">
        <v>0</v>
      </c>
      <c r="AK1361">
        <v>0</v>
      </c>
      <c r="AL1361">
        <v>0</v>
      </c>
      <c r="AM1361" s="1">
        <v>1952</v>
      </c>
      <c r="AN1361" s="1">
        <v>1952</v>
      </c>
      <c r="AO1361" s="1">
        <v>1952</v>
      </c>
      <c r="AP1361" s="2">
        <v>42746</v>
      </c>
      <c r="AQ1361" t="s">
        <v>72</v>
      </c>
      <c r="AR1361" t="s">
        <v>72</v>
      </c>
      <c r="AS1361">
        <v>3022</v>
      </c>
      <c r="AT1361" s="4">
        <v>42683</v>
      </c>
      <c r="AU1361" t="s">
        <v>73</v>
      </c>
      <c r="AV1361">
        <v>3022</v>
      </c>
      <c r="AW1361" s="4">
        <v>42683</v>
      </c>
      <c r="BD1361">
        <v>0</v>
      </c>
      <c r="BN1361" t="s">
        <v>74</v>
      </c>
    </row>
    <row r="1362" spans="1:66">
      <c r="A1362">
        <v>100325</v>
      </c>
      <c r="B1362" s="3" t="s">
        <v>158</v>
      </c>
      <c r="C1362" s="1">
        <v>43300101</v>
      </c>
      <c r="D1362" t="s">
        <v>67</v>
      </c>
      <c r="H1362" t="str">
        <f t="shared" si="120"/>
        <v>00182080622</v>
      </c>
      <c r="I1362" t="str">
        <f t="shared" si="120"/>
        <v>00182080622</v>
      </c>
      <c r="K1362" t="str">
        <f>""</f>
        <v/>
      </c>
      <c r="M1362" t="s">
        <v>68</v>
      </c>
      <c r="N1362" t="str">
        <f t="shared" si="121"/>
        <v>FOR</v>
      </c>
      <c r="O1362" t="s">
        <v>69</v>
      </c>
      <c r="P1362" s="3" t="s">
        <v>75</v>
      </c>
      <c r="Q1362">
        <v>2016</v>
      </c>
      <c r="R1362" s="2">
        <v>42632</v>
      </c>
      <c r="S1362" s="2">
        <v>42632</v>
      </c>
      <c r="T1362" s="2">
        <v>42632</v>
      </c>
      <c r="U1362" s="2">
        <v>42692</v>
      </c>
      <c r="V1362" t="s">
        <v>71</v>
      </c>
      <c r="W1362" t="str">
        <f>"               60/01"</f>
        <v xml:space="preserve">               60/01</v>
      </c>
      <c r="X1362" s="1">
        <v>4732.38</v>
      </c>
      <c r="Y1362">
        <v>0</v>
      </c>
      <c r="Z1362" s="5">
        <v>3879</v>
      </c>
      <c r="AA1362">
        <v>-9</v>
      </c>
      <c r="AB1362" s="5">
        <v>-34911</v>
      </c>
      <c r="AC1362" s="1">
        <v>3879</v>
      </c>
      <c r="AD1362">
        <v>-9</v>
      </c>
      <c r="AE1362" s="1">
        <v>-34911</v>
      </c>
      <c r="AF1362">
        <v>0</v>
      </c>
      <c r="AJ1362">
        <v>0</v>
      </c>
      <c r="AK1362">
        <v>0</v>
      </c>
      <c r="AL1362">
        <v>0</v>
      </c>
      <c r="AM1362" s="1">
        <v>4732.38</v>
      </c>
      <c r="AN1362" s="1">
        <v>4732.38</v>
      </c>
      <c r="AO1362" s="1">
        <v>4732.38</v>
      </c>
      <c r="AP1362" s="2">
        <v>42746</v>
      </c>
      <c r="AQ1362" t="s">
        <v>72</v>
      </c>
      <c r="AR1362" t="s">
        <v>72</v>
      </c>
      <c r="AS1362">
        <v>3022</v>
      </c>
      <c r="AT1362" s="4">
        <v>42683</v>
      </c>
      <c r="AV1362">
        <v>3022</v>
      </c>
      <c r="AW1362" s="4">
        <v>42683</v>
      </c>
      <c r="BD1362">
        <v>0</v>
      </c>
      <c r="BN1362" t="s">
        <v>74</v>
      </c>
    </row>
    <row r="1363" spans="1:66" hidden="1">
      <c r="A1363">
        <v>100338</v>
      </c>
      <c r="B1363" s="3" t="s">
        <v>159</v>
      </c>
      <c r="C1363" s="1">
        <v>43300101</v>
      </c>
      <c r="D1363" t="s">
        <v>67</v>
      </c>
      <c r="H1363" t="str">
        <f t="shared" ref="H1363:I1377" si="122">"02154270595"</f>
        <v>02154270595</v>
      </c>
      <c r="I1363" t="str">
        <f t="shared" si="122"/>
        <v>02154270595</v>
      </c>
      <c r="K1363" t="str">
        <f>""</f>
        <v/>
      </c>
      <c r="M1363" t="s">
        <v>68</v>
      </c>
      <c r="N1363" t="str">
        <f t="shared" si="121"/>
        <v>FOR</v>
      </c>
      <c r="O1363" t="s">
        <v>69</v>
      </c>
      <c r="P1363" s="3" t="s">
        <v>78</v>
      </c>
      <c r="Q1363">
        <v>2007</v>
      </c>
      <c r="R1363" s="2">
        <v>39182</v>
      </c>
      <c r="S1363" s="2">
        <v>40714</v>
      </c>
      <c r="T1363" s="2">
        <v>40714</v>
      </c>
      <c r="U1363" s="2">
        <v>40804</v>
      </c>
      <c r="V1363" t="s">
        <v>71</v>
      </c>
      <c r="W1363" t="str">
        <f>"                 332"</f>
        <v xml:space="preserve">                 332</v>
      </c>
      <c r="X1363">
        <v>352.43</v>
      </c>
      <c r="Y1363">
        <v>0</v>
      </c>
      <c r="Z1363"/>
      <c r="AB1363"/>
      <c r="AC1363">
        <v>352.43</v>
      </c>
      <c r="AD1363">
        <v>1628</v>
      </c>
      <c r="AE1363" s="1">
        <v>573756.04</v>
      </c>
      <c r="AF1363">
        <v>0</v>
      </c>
      <c r="AJ1363">
        <v>0</v>
      </c>
      <c r="AK1363">
        <v>0</v>
      </c>
      <c r="AL1363">
        <v>0</v>
      </c>
      <c r="AM1363">
        <v>0</v>
      </c>
      <c r="AN1363">
        <v>0</v>
      </c>
      <c r="AO1363">
        <v>0</v>
      </c>
      <c r="AP1363" s="2">
        <v>42746</v>
      </c>
      <c r="AQ1363" t="s">
        <v>72</v>
      </c>
      <c r="AR1363" t="s">
        <v>72</v>
      </c>
      <c r="AS1363">
        <v>646</v>
      </c>
      <c r="AT1363" s="4">
        <v>42432</v>
      </c>
      <c r="AU1363" t="s">
        <v>73</v>
      </c>
      <c r="AV1363">
        <v>646</v>
      </c>
      <c r="AW1363" s="4">
        <v>42432</v>
      </c>
      <c r="BD1363">
        <v>0</v>
      </c>
      <c r="BN1363" t="s">
        <v>74</v>
      </c>
    </row>
    <row r="1364" spans="1:66" hidden="1">
      <c r="A1364">
        <v>100338</v>
      </c>
      <c r="B1364" s="3" t="s">
        <v>159</v>
      </c>
      <c r="C1364" s="1">
        <v>43300101</v>
      </c>
      <c r="D1364" t="s">
        <v>67</v>
      </c>
      <c r="H1364" t="str">
        <f t="shared" si="122"/>
        <v>02154270595</v>
      </c>
      <c r="I1364" t="str">
        <f t="shared" si="122"/>
        <v>02154270595</v>
      </c>
      <c r="K1364" t="str">
        <f>""</f>
        <v/>
      </c>
      <c r="M1364" t="s">
        <v>68</v>
      </c>
      <c r="N1364" t="str">
        <f t="shared" si="121"/>
        <v>FOR</v>
      </c>
      <c r="O1364" t="s">
        <v>69</v>
      </c>
      <c r="P1364" s="3" t="s">
        <v>78</v>
      </c>
      <c r="Q1364">
        <v>2007</v>
      </c>
      <c r="R1364" s="2">
        <v>39270</v>
      </c>
      <c r="S1364" s="2">
        <v>40714</v>
      </c>
      <c r="T1364" s="2">
        <v>40714</v>
      </c>
      <c r="U1364" s="2">
        <v>40804</v>
      </c>
      <c r="V1364" t="s">
        <v>71</v>
      </c>
      <c r="W1364" t="str">
        <f>"                 439"</f>
        <v xml:space="preserve">                 439</v>
      </c>
      <c r="X1364">
        <v>252.42</v>
      </c>
      <c r="Y1364">
        <v>0</v>
      </c>
      <c r="Z1364"/>
      <c r="AB1364"/>
      <c r="AC1364">
        <v>252.42</v>
      </c>
      <c r="AD1364">
        <v>1628</v>
      </c>
      <c r="AE1364" s="1">
        <v>410939.76</v>
      </c>
      <c r="AF1364">
        <v>0</v>
      </c>
      <c r="AJ1364">
        <v>0</v>
      </c>
      <c r="AK1364">
        <v>0</v>
      </c>
      <c r="AL1364">
        <v>0</v>
      </c>
      <c r="AM1364">
        <v>0</v>
      </c>
      <c r="AN1364">
        <v>0</v>
      </c>
      <c r="AO1364">
        <v>0</v>
      </c>
      <c r="AP1364" s="2">
        <v>42746</v>
      </c>
      <c r="AQ1364" t="s">
        <v>72</v>
      </c>
      <c r="AR1364" t="s">
        <v>72</v>
      </c>
      <c r="AS1364">
        <v>646</v>
      </c>
      <c r="AT1364" s="4">
        <v>42432</v>
      </c>
      <c r="AU1364" t="s">
        <v>73</v>
      </c>
      <c r="AV1364">
        <v>646</v>
      </c>
      <c r="AW1364" s="4">
        <v>42432</v>
      </c>
      <c r="BD1364">
        <v>0</v>
      </c>
      <c r="BN1364" t="s">
        <v>74</v>
      </c>
    </row>
    <row r="1365" spans="1:66" hidden="1">
      <c r="A1365">
        <v>100338</v>
      </c>
      <c r="B1365" s="3" t="s">
        <v>159</v>
      </c>
      <c r="C1365" s="1">
        <v>43300101</v>
      </c>
      <c r="D1365" t="s">
        <v>67</v>
      </c>
      <c r="H1365" t="str">
        <f t="shared" si="122"/>
        <v>02154270595</v>
      </c>
      <c r="I1365" t="str">
        <f t="shared" si="122"/>
        <v>02154270595</v>
      </c>
      <c r="K1365" t="str">
        <f>""</f>
        <v/>
      </c>
      <c r="M1365" t="s">
        <v>68</v>
      </c>
      <c r="N1365" t="str">
        <f t="shared" si="121"/>
        <v>FOR</v>
      </c>
      <c r="O1365" t="s">
        <v>69</v>
      </c>
      <c r="P1365" s="3" t="s">
        <v>70</v>
      </c>
      <c r="Q1365">
        <v>2015</v>
      </c>
      <c r="R1365" s="2">
        <v>42068</v>
      </c>
      <c r="S1365" s="2">
        <v>42080</v>
      </c>
      <c r="T1365" s="2">
        <v>42080</v>
      </c>
      <c r="U1365" s="2">
        <v>42140</v>
      </c>
      <c r="V1365" t="s">
        <v>71</v>
      </c>
      <c r="W1365" t="str">
        <f>"            21504085"</f>
        <v xml:space="preserve">            21504085</v>
      </c>
      <c r="X1365" s="1">
        <v>2928</v>
      </c>
      <c r="Y1365">
        <v>0</v>
      </c>
      <c r="Z1365"/>
      <c r="AB1365"/>
      <c r="AC1365" s="1">
        <v>2400</v>
      </c>
      <c r="AD1365">
        <v>275</v>
      </c>
      <c r="AE1365" s="1">
        <v>660000</v>
      </c>
      <c r="AF1365">
        <v>0</v>
      </c>
      <c r="AJ1365">
        <v>0</v>
      </c>
      <c r="AK1365">
        <v>0</v>
      </c>
      <c r="AL1365">
        <v>0</v>
      </c>
      <c r="AM1365">
        <v>0</v>
      </c>
      <c r="AN1365">
        <v>0</v>
      </c>
      <c r="AO1365">
        <v>0</v>
      </c>
      <c r="AP1365" s="2">
        <v>42746</v>
      </c>
      <c r="AQ1365" t="s">
        <v>72</v>
      </c>
      <c r="AR1365" t="s">
        <v>72</v>
      </c>
      <c r="AS1365">
        <v>388</v>
      </c>
      <c r="AT1365" s="4">
        <v>42415</v>
      </c>
      <c r="AU1365" t="s">
        <v>73</v>
      </c>
      <c r="AV1365">
        <v>388</v>
      </c>
      <c r="AW1365" s="4">
        <v>42415</v>
      </c>
      <c r="BD1365">
        <v>0</v>
      </c>
      <c r="BN1365" t="s">
        <v>74</v>
      </c>
    </row>
    <row r="1366" spans="1:66" hidden="1">
      <c r="A1366">
        <v>100338</v>
      </c>
      <c r="B1366" s="3" t="s">
        <v>159</v>
      </c>
      <c r="C1366" s="1">
        <v>43300101</v>
      </c>
      <c r="D1366" t="s">
        <v>67</v>
      </c>
      <c r="H1366" t="str">
        <f t="shared" si="122"/>
        <v>02154270595</v>
      </c>
      <c r="I1366" t="str">
        <f t="shared" si="122"/>
        <v>02154270595</v>
      </c>
      <c r="K1366" t="str">
        <f>""</f>
        <v/>
      </c>
      <c r="M1366" t="s">
        <v>68</v>
      </c>
      <c r="N1366" t="str">
        <f t="shared" si="121"/>
        <v>FOR</v>
      </c>
      <c r="O1366" t="s">
        <v>69</v>
      </c>
      <c r="P1366" s="3" t="s">
        <v>75</v>
      </c>
      <c r="Q1366">
        <v>2015</v>
      </c>
      <c r="R1366" s="2">
        <v>42108</v>
      </c>
      <c r="S1366" s="2">
        <v>42165</v>
      </c>
      <c r="T1366" s="2">
        <v>42158</v>
      </c>
      <c r="U1366" s="2">
        <v>42218</v>
      </c>
      <c r="V1366" t="s">
        <v>71</v>
      </c>
      <c r="W1366" t="str">
        <f>"            91500599"</f>
        <v xml:space="preserve">            91500599</v>
      </c>
      <c r="X1366">
        <v>378.2</v>
      </c>
      <c r="Y1366">
        <v>0</v>
      </c>
      <c r="Z1366"/>
      <c r="AB1366"/>
      <c r="AC1366">
        <v>310</v>
      </c>
      <c r="AD1366">
        <v>234</v>
      </c>
      <c r="AE1366" s="1">
        <v>72540</v>
      </c>
      <c r="AF1366">
        <v>0</v>
      </c>
      <c r="AJ1366">
        <v>0</v>
      </c>
      <c r="AK1366">
        <v>0</v>
      </c>
      <c r="AL1366">
        <v>0</v>
      </c>
      <c r="AM1366">
        <v>0</v>
      </c>
      <c r="AN1366">
        <v>0</v>
      </c>
      <c r="AO1366">
        <v>0</v>
      </c>
      <c r="AP1366" s="2">
        <v>42746</v>
      </c>
      <c r="AQ1366" t="s">
        <v>72</v>
      </c>
      <c r="AR1366" t="s">
        <v>72</v>
      </c>
      <c r="AS1366">
        <v>775</v>
      </c>
      <c r="AT1366" s="4">
        <v>42452</v>
      </c>
      <c r="AU1366" t="s">
        <v>73</v>
      </c>
      <c r="AV1366">
        <v>775</v>
      </c>
      <c r="AW1366" s="4">
        <v>42452</v>
      </c>
      <c r="BD1366">
        <v>0</v>
      </c>
      <c r="BN1366" t="s">
        <v>74</v>
      </c>
    </row>
    <row r="1367" spans="1:66" hidden="1">
      <c r="A1367">
        <v>100338</v>
      </c>
      <c r="B1367" s="3" t="s">
        <v>159</v>
      </c>
      <c r="C1367" s="1">
        <v>43300101</v>
      </c>
      <c r="D1367" t="s">
        <v>67</v>
      </c>
      <c r="H1367" t="str">
        <f t="shared" si="122"/>
        <v>02154270595</v>
      </c>
      <c r="I1367" t="str">
        <f t="shared" si="122"/>
        <v>02154270595</v>
      </c>
      <c r="K1367" t="str">
        <f>""</f>
        <v/>
      </c>
      <c r="M1367" t="s">
        <v>68</v>
      </c>
      <c r="N1367" t="str">
        <f t="shared" si="121"/>
        <v>FOR</v>
      </c>
      <c r="O1367" t="s">
        <v>69</v>
      </c>
      <c r="P1367" s="3" t="s">
        <v>75</v>
      </c>
      <c r="Q1367">
        <v>2015</v>
      </c>
      <c r="R1367" s="2">
        <v>42115</v>
      </c>
      <c r="S1367" s="2">
        <v>42163</v>
      </c>
      <c r="T1367" s="2">
        <v>42158</v>
      </c>
      <c r="U1367" s="2">
        <v>42218</v>
      </c>
      <c r="V1367" t="s">
        <v>71</v>
      </c>
      <c r="W1367" t="str">
        <f>"            91500891"</f>
        <v xml:space="preserve">            91500891</v>
      </c>
      <c r="X1367" s="1">
        <v>2196</v>
      </c>
      <c r="Y1367">
        <v>0</v>
      </c>
      <c r="Z1367"/>
      <c r="AB1367"/>
      <c r="AC1367" s="1">
        <v>1800</v>
      </c>
      <c r="AD1367">
        <v>234</v>
      </c>
      <c r="AE1367" s="1">
        <v>421200</v>
      </c>
      <c r="AF1367">
        <v>0</v>
      </c>
      <c r="AJ1367">
        <v>0</v>
      </c>
      <c r="AK1367">
        <v>0</v>
      </c>
      <c r="AL1367">
        <v>0</v>
      </c>
      <c r="AM1367">
        <v>0</v>
      </c>
      <c r="AN1367">
        <v>0</v>
      </c>
      <c r="AO1367">
        <v>0</v>
      </c>
      <c r="AP1367" s="2">
        <v>42746</v>
      </c>
      <c r="AQ1367" t="s">
        <v>72</v>
      </c>
      <c r="AR1367" t="s">
        <v>72</v>
      </c>
      <c r="AS1367">
        <v>775</v>
      </c>
      <c r="AT1367" s="4">
        <v>42452</v>
      </c>
      <c r="AU1367" t="s">
        <v>73</v>
      </c>
      <c r="AV1367">
        <v>775</v>
      </c>
      <c r="AW1367" s="4">
        <v>42452</v>
      </c>
      <c r="BD1367">
        <v>0</v>
      </c>
      <c r="BN1367" t="s">
        <v>74</v>
      </c>
    </row>
    <row r="1368" spans="1:66" hidden="1">
      <c r="A1368">
        <v>100338</v>
      </c>
      <c r="B1368" s="3" t="s">
        <v>159</v>
      </c>
      <c r="C1368" s="1">
        <v>43300101</v>
      </c>
      <c r="D1368" t="s">
        <v>67</v>
      </c>
      <c r="H1368" t="str">
        <f t="shared" si="122"/>
        <v>02154270595</v>
      </c>
      <c r="I1368" t="str">
        <f t="shared" si="122"/>
        <v>02154270595</v>
      </c>
      <c r="K1368" t="str">
        <f>""</f>
        <v/>
      </c>
      <c r="M1368" t="s">
        <v>68</v>
      </c>
      <c r="N1368" t="str">
        <f t="shared" si="121"/>
        <v>FOR</v>
      </c>
      <c r="O1368" t="s">
        <v>69</v>
      </c>
      <c r="P1368" s="3" t="s">
        <v>75</v>
      </c>
      <c r="Q1368">
        <v>2015</v>
      </c>
      <c r="R1368" s="2">
        <v>42165</v>
      </c>
      <c r="S1368" s="2">
        <v>42171</v>
      </c>
      <c r="T1368" s="2">
        <v>42170</v>
      </c>
      <c r="U1368" s="2">
        <v>42230</v>
      </c>
      <c r="V1368" t="s">
        <v>71</v>
      </c>
      <c r="W1368" t="str">
        <f>"            91502895"</f>
        <v xml:space="preserve">            91502895</v>
      </c>
      <c r="X1368" s="1">
        <v>3660</v>
      </c>
      <c r="Y1368">
        <v>0</v>
      </c>
      <c r="Z1368"/>
      <c r="AB1368"/>
      <c r="AC1368" s="1">
        <v>3000</v>
      </c>
      <c r="AD1368">
        <v>290</v>
      </c>
      <c r="AE1368" s="1">
        <v>870000</v>
      </c>
      <c r="AF1368">
        <v>0</v>
      </c>
      <c r="AJ1368">
        <v>0</v>
      </c>
      <c r="AK1368">
        <v>0</v>
      </c>
      <c r="AL1368">
        <v>0</v>
      </c>
      <c r="AM1368">
        <v>0</v>
      </c>
      <c r="AN1368">
        <v>0</v>
      </c>
      <c r="AO1368">
        <v>0</v>
      </c>
      <c r="AP1368" s="2">
        <v>42746</v>
      </c>
      <c r="AQ1368" t="s">
        <v>72</v>
      </c>
      <c r="AR1368" t="s">
        <v>72</v>
      </c>
      <c r="AS1368">
        <v>1445</v>
      </c>
      <c r="AT1368" s="4">
        <v>42520</v>
      </c>
      <c r="AU1368" t="s">
        <v>73</v>
      </c>
      <c r="AV1368">
        <v>1445</v>
      </c>
      <c r="AW1368" s="4">
        <v>42520</v>
      </c>
      <c r="BD1368">
        <v>0</v>
      </c>
      <c r="BN1368" t="s">
        <v>74</v>
      </c>
    </row>
    <row r="1369" spans="1:66" hidden="1">
      <c r="A1369">
        <v>100338</v>
      </c>
      <c r="B1369" s="3" t="s">
        <v>159</v>
      </c>
      <c r="C1369" s="1">
        <v>43300101</v>
      </c>
      <c r="D1369" t="s">
        <v>67</v>
      </c>
      <c r="H1369" t="str">
        <f t="shared" si="122"/>
        <v>02154270595</v>
      </c>
      <c r="I1369" t="str">
        <f t="shared" si="122"/>
        <v>02154270595</v>
      </c>
      <c r="K1369" t="str">
        <f>""</f>
        <v/>
      </c>
      <c r="M1369" t="s">
        <v>68</v>
      </c>
      <c r="N1369" t="str">
        <f t="shared" si="121"/>
        <v>FOR</v>
      </c>
      <c r="O1369" t="s">
        <v>69</v>
      </c>
      <c r="P1369" s="3" t="s">
        <v>75</v>
      </c>
      <c r="Q1369">
        <v>2015</v>
      </c>
      <c r="R1369" s="2">
        <v>42181</v>
      </c>
      <c r="S1369" s="2">
        <v>42187</v>
      </c>
      <c r="T1369" s="2">
        <v>42184</v>
      </c>
      <c r="U1369" s="2">
        <v>42244</v>
      </c>
      <c r="V1369" t="s">
        <v>71</v>
      </c>
      <c r="W1369" t="str">
        <f>"            91503596"</f>
        <v xml:space="preserve">            91503596</v>
      </c>
      <c r="X1369">
        <v>936</v>
      </c>
      <c r="Y1369">
        <v>0</v>
      </c>
      <c r="Z1369"/>
      <c r="AB1369"/>
      <c r="AC1369">
        <v>900</v>
      </c>
      <c r="AD1369">
        <v>276</v>
      </c>
      <c r="AE1369" s="1">
        <v>248400</v>
      </c>
      <c r="AF1369">
        <v>0</v>
      </c>
      <c r="AJ1369">
        <v>0</v>
      </c>
      <c r="AK1369">
        <v>0</v>
      </c>
      <c r="AL1369">
        <v>0</v>
      </c>
      <c r="AM1369">
        <v>0</v>
      </c>
      <c r="AN1369">
        <v>0</v>
      </c>
      <c r="AO1369">
        <v>0</v>
      </c>
      <c r="AP1369" s="2">
        <v>42746</v>
      </c>
      <c r="AQ1369" t="s">
        <v>72</v>
      </c>
      <c r="AR1369" t="s">
        <v>72</v>
      </c>
      <c r="AS1369">
        <v>1445</v>
      </c>
      <c r="AT1369" s="4">
        <v>42520</v>
      </c>
      <c r="AU1369" t="s">
        <v>73</v>
      </c>
      <c r="AV1369">
        <v>1445</v>
      </c>
      <c r="AW1369" s="4">
        <v>42520</v>
      </c>
      <c r="BD1369">
        <v>0</v>
      </c>
      <c r="BN1369" t="s">
        <v>74</v>
      </c>
    </row>
    <row r="1370" spans="1:66" hidden="1">
      <c r="A1370">
        <v>100338</v>
      </c>
      <c r="B1370" s="3" t="s">
        <v>159</v>
      </c>
      <c r="C1370" s="1">
        <v>43300101</v>
      </c>
      <c r="D1370" t="s">
        <v>67</v>
      </c>
      <c r="H1370" t="str">
        <f t="shared" si="122"/>
        <v>02154270595</v>
      </c>
      <c r="I1370" t="str">
        <f t="shared" si="122"/>
        <v>02154270595</v>
      </c>
      <c r="K1370" t="str">
        <f>""</f>
        <v/>
      </c>
      <c r="M1370" t="s">
        <v>68</v>
      </c>
      <c r="N1370" t="str">
        <f t="shared" si="121"/>
        <v>FOR</v>
      </c>
      <c r="O1370" t="s">
        <v>69</v>
      </c>
      <c r="P1370" s="3" t="s">
        <v>75</v>
      </c>
      <c r="Q1370">
        <v>2015</v>
      </c>
      <c r="R1370" s="2">
        <v>42192</v>
      </c>
      <c r="S1370" s="2">
        <v>42202</v>
      </c>
      <c r="T1370" s="2">
        <v>42199</v>
      </c>
      <c r="U1370" s="2">
        <v>42259</v>
      </c>
      <c r="V1370" t="s">
        <v>71</v>
      </c>
      <c r="W1370" t="str">
        <f>"            91504037"</f>
        <v xml:space="preserve">            91504037</v>
      </c>
      <c r="X1370" s="1">
        <v>1464</v>
      </c>
      <c r="Y1370">
        <v>0</v>
      </c>
      <c r="Z1370"/>
      <c r="AB1370"/>
      <c r="AC1370" s="1">
        <v>1200</v>
      </c>
      <c r="AD1370">
        <v>317</v>
      </c>
      <c r="AE1370" s="1">
        <v>380400</v>
      </c>
      <c r="AF1370">
        <v>0</v>
      </c>
      <c r="AJ1370">
        <v>0</v>
      </c>
      <c r="AK1370">
        <v>0</v>
      </c>
      <c r="AL1370">
        <v>0</v>
      </c>
      <c r="AM1370">
        <v>0</v>
      </c>
      <c r="AN1370">
        <v>0</v>
      </c>
      <c r="AO1370">
        <v>0</v>
      </c>
      <c r="AP1370" s="2">
        <v>42746</v>
      </c>
      <c r="AQ1370" t="s">
        <v>72</v>
      </c>
      <c r="AR1370" t="s">
        <v>72</v>
      </c>
      <c r="AS1370">
        <v>1888</v>
      </c>
      <c r="AT1370" s="4">
        <v>42576</v>
      </c>
      <c r="AU1370" t="s">
        <v>73</v>
      </c>
      <c r="AV1370">
        <v>1888</v>
      </c>
      <c r="AW1370" s="4">
        <v>42576</v>
      </c>
      <c r="BD1370">
        <v>0</v>
      </c>
      <c r="BN1370" t="s">
        <v>74</v>
      </c>
    </row>
    <row r="1371" spans="1:66" hidden="1">
      <c r="A1371">
        <v>100338</v>
      </c>
      <c r="B1371" s="3" t="s">
        <v>159</v>
      </c>
      <c r="C1371" s="1">
        <v>43300101</v>
      </c>
      <c r="D1371" t="s">
        <v>67</v>
      </c>
      <c r="H1371" t="str">
        <f t="shared" si="122"/>
        <v>02154270595</v>
      </c>
      <c r="I1371" t="str">
        <f t="shared" si="122"/>
        <v>02154270595</v>
      </c>
      <c r="K1371" t="str">
        <f>""</f>
        <v/>
      </c>
      <c r="M1371" t="s">
        <v>68</v>
      </c>
      <c r="N1371" t="str">
        <f t="shared" si="121"/>
        <v>FOR</v>
      </c>
      <c r="O1371" t="s">
        <v>69</v>
      </c>
      <c r="P1371" s="3" t="s">
        <v>75</v>
      </c>
      <c r="Q1371">
        <v>2015</v>
      </c>
      <c r="R1371" s="2">
        <v>42240</v>
      </c>
      <c r="S1371" s="2">
        <v>42255</v>
      </c>
      <c r="T1371" s="2">
        <v>42254</v>
      </c>
      <c r="U1371" s="2">
        <v>42314</v>
      </c>
      <c r="V1371" t="s">
        <v>71</v>
      </c>
      <c r="W1371" t="str">
        <f>"            91505821"</f>
        <v xml:space="preserve">            91505821</v>
      </c>
      <c r="X1371" s="1">
        <v>1464</v>
      </c>
      <c r="Y1371">
        <v>0</v>
      </c>
      <c r="Z1371"/>
      <c r="AB1371"/>
      <c r="AC1371" s="1">
        <v>1200</v>
      </c>
      <c r="AD1371">
        <v>265</v>
      </c>
      <c r="AE1371" s="1">
        <v>318000</v>
      </c>
      <c r="AF1371">
        <v>0</v>
      </c>
      <c r="AJ1371">
        <v>0</v>
      </c>
      <c r="AK1371">
        <v>0</v>
      </c>
      <c r="AL1371">
        <v>0</v>
      </c>
      <c r="AM1371">
        <v>0</v>
      </c>
      <c r="AN1371">
        <v>0</v>
      </c>
      <c r="AO1371">
        <v>0</v>
      </c>
      <c r="AP1371" s="2">
        <v>42746</v>
      </c>
      <c r="AQ1371" t="s">
        <v>72</v>
      </c>
      <c r="AR1371" t="s">
        <v>72</v>
      </c>
      <c r="AS1371">
        <v>2018</v>
      </c>
      <c r="AT1371" s="4">
        <v>42579</v>
      </c>
      <c r="AU1371" t="s">
        <v>73</v>
      </c>
      <c r="AV1371">
        <v>2018</v>
      </c>
      <c r="AW1371" s="4">
        <v>42579</v>
      </c>
      <c r="BD1371">
        <v>0</v>
      </c>
      <c r="BN1371" t="s">
        <v>74</v>
      </c>
    </row>
    <row r="1372" spans="1:66">
      <c r="A1372">
        <v>100338</v>
      </c>
      <c r="B1372" s="3" t="s">
        <v>159</v>
      </c>
      <c r="C1372" s="1">
        <v>43300101</v>
      </c>
      <c r="D1372" t="s">
        <v>67</v>
      </c>
      <c r="H1372" t="str">
        <f t="shared" si="122"/>
        <v>02154270595</v>
      </c>
      <c r="I1372" t="str">
        <f t="shared" si="122"/>
        <v>02154270595</v>
      </c>
      <c r="K1372" t="str">
        <f>""</f>
        <v/>
      </c>
      <c r="M1372" t="s">
        <v>68</v>
      </c>
      <c r="N1372" t="str">
        <f t="shared" si="121"/>
        <v>FOR</v>
      </c>
      <c r="O1372" t="s">
        <v>69</v>
      </c>
      <c r="P1372" s="3" t="s">
        <v>75</v>
      </c>
      <c r="Q1372">
        <v>2015</v>
      </c>
      <c r="R1372" s="2">
        <v>42317</v>
      </c>
      <c r="S1372" s="2">
        <v>42334</v>
      </c>
      <c r="T1372" s="2">
        <v>42333</v>
      </c>
      <c r="U1372" s="2">
        <v>42393</v>
      </c>
      <c r="V1372" t="s">
        <v>71</v>
      </c>
      <c r="W1372" t="str">
        <f>"            91508808"</f>
        <v xml:space="preserve">            91508808</v>
      </c>
      <c r="X1372" s="1">
        <v>1976.4</v>
      </c>
      <c r="Y1372">
        <v>0</v>
      </c>
      <c r="Z1372" s="5">
        <v>1620</v>
      </c>
      <c r="AA1372">
        <v>289</v>
      </c>
      <c r="AB1372" s="5">
        <v>468180</v>
      </c>
      <c r="AC1372" s="1">
        <v>1620</v>
      </c>
      <c r="AD1372">
        <v>289</v>
      </c>
      <c r="AE1372" s="1">
        <v>468180</v>
      </c>
      <c r="AF1372">
        <v>0</v>
      </c>
      <c r="AJ1372">
        <v>0</v>
      </c>
      <c r="AK1372">
        <v>0</v>
      </c>
      <c r="AL1372">
        <v>0</v>
      </c>
      <c r="AM1372">
        <v>0</v>
      </c>
      <c r="AN1372">
        <v>0</v>
      </c>
      <c r="AO1372">
        <v>0</v>
      </c>
      <c r="AP1372" s="2">
        <v>42746</v>
      </c>
      <c r="AQ1372" t="s">
        <v>72</v>
      </c>
      <c r="AR1372" t="s">
        <v>72</v>
      </c>
      <c r="AS1372">
        <v>2960</v>
      </c>
      <c r="AT1372" s="4">
        <v>42682</v>
      </c>
      <c r="AU1372" t="s">
        <v>73</v>
      </c>
      <c r="AV1372">
        <v>2960</v>
      </c>
      <c r="AW1372" s="4">
        <v>42682</v>
      </c>
      <c r="BD1372">
        <v>0</v>
      </c>
      <c r="BN1372" t="s">
        <v>74</v>
      </c>
    </row>
    <row r="1373" spans="1:66">
      <c r="A1373">
        <v>100338</v>
      </c>
      <c r="B1373" s="3" t="s">
        <v>159</v>
      </c>
      <c r="C1373" s="1">
        <v>43300101</v>
      </c>
      <c r="D1373" t="s">
        <v>67</v>
      </c>
      <c r="H1373" t="str">
        <f t="shared" si="122"/>
        <v>02154270595</v>
      </c>
      <c r="I1373" t="str">
        <f t="shared" si="122"/>
        <v>02154270595</v>
      </c>
      <c r="K1373" t="str">
        <f>""</f>
        <v/>
      </c>
      <c r="M1373" t="s">
        <v>68</v>
      </c>
      <c r="N1373" t="str">
        <f t="shared" si="121"/>
        <v>FOR</v>
      </c>
      <c r="O1373" t="s">
        <v>69</v>
      </c>
      <c r="P1373" s="3" t="s">
        <v>75</v>
      </c>
      <c r="Q1373">
        <v>2015</v>
      </c>
      <c r="R1373" s="2">
        <v>42342</v>
      </c>
      <c r="S1373" s="2">
        <v>42354</v>
      </c>
      <c r="T1373" s="2">
        <v>42352</v>
      </c>
      <c r="U1373" s="2">
        <v>42412</v>
      </c>
      <c r="V1373" t="s">
        <v>71</v>
      </c>
      <c r="W1373" t="str">
        <f>"            91509965"</f>
        <v xml:space="preserve">            91509965</v>
      </c>
      <c r="X1373">
        <v>585.6</v>
      </c>
      <c r="Y1373">
        <v>0</v>
      </c>
      <c r="Z1373" s="3">
        <v>480</v>
      </c>
      <c r="AA1373">
        <v>278</v>
      </c>
      <c r="AB1373" s="5">
        <v>133440</v>
      </c>
      <c r="AC1373">
        <v>480</v>
      </c>
      <c r="AD1373">
        <v>278</v>
      </c>
      <c r="AE1373" s="1">
        <v>133440</v>
      </c>
      <c r="AF1373">
        <v>0</v>
      </c>
      <c r="AJ1373">
        <v>0</v>
      </c>
      <c r="AK1373">
        <v>0</v>
      </c>
      <c r="AL1373">
        <v>0</v>
      </c>
      <c r="AM1373">
        <v>0</v>
      </c>
      <c r="AN1373">
        <v>0</v>
      </c>
      <c r="AO1373">
        <v>0</v>
      </c>
      <c r="AP1373" s="2">
        <v>42746</v>
      </c>
      <c r="AQ1373" t="s">
        <v>72</v>
      </c>
      <c r="AR1373" t="s">
        <v>72</v>
      </c>
      <c r="AS1373">
        <v>3136</v>
      </c>
      <c r="AT1373" s="4">
        <v>42690</v>
      </c>
      <c r="AU1373" t="s">
        <v>73</v>
      </c>
      <c r="AV1373">
        <v>3136</v>
      </c>
      <c r="AW1373" s="4">
        <v>42690</v>
      </c>
      <c r="BD1373">
        <v>0</v>
      </c>
      <c r="BN1373" t="s">
        <v>74</v>
      </c>
    </row>
    <row r="1374" spans="1:66">
      <c r="A1374">
        <v>100338</v>
      </c>
      <c r="B1374" s="3" t="s">
        <v>159</v>
      </c>
      <c r="C1374" s="1">
        <v>43300101</v>
      </c>
      <c r="D1374" t="s">
        <v>67</v>
      </c>
      <c r="H1374" t="str">
        <f t="shared" si="122"/>
        <v>02154270595</v>
      </c>
      <c r="I1374" t="str">
        <f t="shared" si="122"/>
        <v>02154270595</v>
      </c>
      <c r="K1374" t="str">
        <f>""</f>
        <v/>
      </c>
      <c r="M1374" t="s">
        <v>68</v>
      </c>
      <c r="N1374" t="str">
        <f t="shared" si="121"/>
        <v>FOR</v>
      </c>
      <c r="O1374" t="s">
        <v>69</v>
      </c>
      <c r="P1374" s="3" t="s">
        <v>75</v>
      </c>
      <c r="Q1374">
        <v>2015</v>
      </c>
      <c r="R1374" s="2">
        <v>42349</v>
      </c>
      <c r="S1374" s="2">
        <v>42354</v>
      </c>
      <c r="T1374" s="2">
        <v>42353</v>
      </c>
      <c r="U1374" s="2">
        <v>42413</v>
      </c>
      <c r="V1374" t="s">
        <v>71</v>
      </c>
      <c r="W1374" t="str">
        <f>"            91510254"</f>
        <v xml:space="preserve">            91510254</v>
      </c>
      <c r="X1374" s="1">
        <v>1464</v>
      </c>
      <c r="Y1374">
        <v>0</v>
      </c>
      <c r="Z1374" s="5">
        <v>1200</v>
      </c>
      <c r="AA1374">
        <v>277</v>
      </c>
      <c r="AB1374" s="5">
        <v>332400</v>
      </c>
      <c r="AC1374" s="1">
        <v>1200</v>
      </c>
      <c r="AD1374">
        <v>277</v>
      </c>
      <c r="AE1374" s="1">
        <v>332400</v>
      </c>
      <c r="AF1374">
        <v>0</v>
      </c>
      <c r="AJ1374">
        <v>0</v>
      </c>
      <c r="AK1374">
        <v>0</v>
      </c>
      <c r="AL1374">
        <v>0</v>
      </c>
      <c r="AM1374">
        <v>0</v>
      </c>
      <c r="AN1374">
        <v>0</v>
      </c>
      <c r="AO1374">
        <v>0</v>
      </c>
      <c r="AP1374" s="2">
        <v>42746</v>
      </c>
      <c r="AQ1374" t="s">
        <v>72</v>
      </c>
      <c r="AR1374" t="s">
        <v>72</v>
      </c>
      <c r="AS1374">
        <v>3136</v>
      </c>
      <c r="AT1374" s="4">
        <v>42690</v>
      </c>
      <c r="AU1374" t="s">
        <v>73</v>
      </c>
      <c r="AV1374">
        <v>3136</v>
      </c>
      <c r="AW1374" s="4">
        <v>42690</v>
      </c>
      <c r="BD1374">
        <v>0</v>
      </c>
      <c r="BN1374" t="s">
        <v>74</v>
      </c>
    </row>
    <row r="1375" spans="1:66">
      <c r="A1375">
        <v>100338</v>
      </c>
      <c r="B1375" s="3" t="s">
        <v>159</v>
      </c>
      <c r="C1375" s="1">
        <v>43300101</v>
      </c>
      <c r="D1375" t="s">
        <v>67</v>
      </c>
      <c r="H1375" t="str">
        <f t="shared" si="122"/>
        <v>02154270595</v>
      </c>
      <c r="I1375" t="str">
        <f t="shared" si="122"/>
        <v>02154270595</v>
      </c>
      <c r="K1375" t="str">
        <f>""</f>
        <v/>
      </c>
      <c r="M1375" t="s">
        <v>68</v>
      </c>
      <c r="N1375" t="str">
        <f t="shared" si="121"/>
        <v>FOR</v>
      </c>
      <c r="O1375" t="s">
        <v>69</v>
      </c>
      <c r="P1375" s="3" t="s">
        <v>75</v>
      </c>
      <c r="Q1375">
        <v>2015</v>
      </c>
      <c r="R1375" s="2">
        <v>42359</v>
      </c>
      <c r="S1375" s="2">
        <v>42368</v>
      </c>
      <c r="T1375" s="2">
        <v>42367</v>
      </c>
      <c r="U1375" s="2">
        <v>42427</v>
      </c>
      <c r="V1375" t="s">
        <v>71</v>
      </c>
      <c r="W1375" t="str">
        <f>"            91510625"</f>
        <v xml:space="preserve">            91510625</v>
      </c>
      <c r="X1375">
        <v>468</v>
      </c>
      <c r="Y1375">
        <v>0</v>
      </c>
      <c r="Z1375" s="3">
        <v>450</v>
      </c>
      <c r="AA1375">
        <v>263</v>
      </c>
      <c r="AB1375" s="5">
        <v>118350</v>
      </c>
      <c r="AC1375">
        <v>450</v>
      </c>
      <c r="AD1375">
        <v>263</v>
      </c>
      <c r="AE1375" s="1">
        <v>118350</v>
      </c>
      <c r="AF1375">
        <v>0</v>
      </c>
      <c r="AJ1375">
        <v>0</v>
      </c>
      <c r="AK1375">
        <v>0</v>
      </c>
      <c r="AL1375">
        <v>0</v>
      </c>
      <c r="AM1375">
        <v>0</v>
      </c>
      <c r="AN1375">
        <v>0</v>
      </c>
      <c r="AO1375">
        <v>0</v>
      </c>
      <c r="AP1375" s="2">
        <v>42746</v>
      </c>
      <c r="AQ1375" t="s">
        <v>72</v>
      </c>
      <c r="AR1375" t="s">
        <v>72</v>
      </c>
      <c r="AS1375">
        <v>3136</v>
      </c>
      <c r="AT1375" s="4">
        <v>42690</v>
      </c>
      <c r="AU1375" t="s">
        <v>73</v>
      </c>
      <c r="AV1375">
        <v>3136</v>
      </c>
      <c r="AW1375" s="4">
        <v>42690</v>
      </c>
      <c r="BD1375">
        <v>0</v>
      </c>
      <c r="BN1375" t="s">
        <v>74</v>
      </c>
    </row>
    <row r="1376" spans="1:66">
      <c r="A1376">
        <v>100338</v>
      </c>
      <c r="B1376" s="3" t="s">
        <v>159</v>
      </c>
      <c r="C1376" s="1">
        <v>43300101</v>
      </c>
      <c r="D1376" t="s">
        <v>67</v>
      </c>
      <c r="H1376" t="str">
        <f t="shared" si="122"/>
        <v>02154270595</v>
      </c>
      <c r="I1376" t="str">
        <f t="shared" si="122"/>
        <v>02154270595</v>
      </c>
      <c r="K1376" t="str">
        <f>""</f>
        <v/>
      </c>
      <c r="M1376" t="s">
        <v>68</v>
      </c>
      <c r="N1376" t="str">
        <f t="shared" si="121"/>
        <v>FOR</v>
      </c>
      <c r="O1376" t="s">
        <v>69</v>
      </c>
      <c r="P1376" s="3" t="s">
        <v>75</v>
      </c>
      <c r="Q1376">
        <v>2016</v>
      </c>
      <c r="R1376" s="2">
        <v>42387</v>
      </c>
      <c r="S1376" s="2">
        <v>42401</v>
      </c>
      <c r="T1376" s="2">
        <v>42397</v>
      </c>
      <c r="U1376" s="2">
        <v>42457</v>
      </c>
      <c r="V1376" t="s">
        <v>71</v>
      </c>
      <c r="W1376" t="str">
        <f>"            91600556"</f>
        <v xml:space="preserve">            91600556</v>
      </c>
      <c r="X1376" s="1">
        <v>1830</v>
      </c>
      <c r="Y1376">
        <v>0</v>
      </c>
      <c r="Z1376" s="5">
        <v>1500</v>
      </c>
      <c r="AA1376">
        <v>266</v>
      </c>
      <c r="AB1376" s="5">
        <v>399000</v>
      </c>
      <c r="AC1376" s="1">
        <v>1500</v>
      </c>
      <c r="AD1376">
        <v>266</v>
      </c>
      <c r="AE1376" s="1">
        <v>399000</v>
      </c>
      <c r="AF1376">
        <v>330</v>
      </c>
      <c r="AJ1376">
        <v>0</v>
      </c>
      <c r="AK1376">
        <v>0</v>
      </c>
      <c r="AL1376">
        <v>0</v>
      </c>
      <c r="AM1376" s="1">
        <v>1830</v>
      </c>
      <c r="AN1376" s="1">
        <v>1830</v>
      </c>
      <c r="AO1376" s="1">
        <v>1830</v>
      </c>
      <c r="AP1376" s="2">
        <v>42746</v>
      </c>
      <c r="AQ1376" t="s">
        <v>72</v>
      </c>
      <c r="AR1376" t="s">
        <v>72</v>
      </c>
      <c r="AS1376">
        <v>3626</v>
      </c>
      <c r="AT1376" s="4">
        <v>42723</v>
      </c>
      <c r="AU1376" t="s">
        <v>73</v>
      </c>
      <c r="AV1376">
        <v>3626</v>
      </c>
      <c r="AW1376" s="4">
        <v>42723</v>
      </c>
      <c r="BD1376">
        <v>330</v>
      </c>
      <c r="BN1376" t="s">
        <v>74</v>
      </c>
    </row>
    <row r="1377" spans="1:66">
      <c r="A1377">
        <v>100338</v>
      </c>
      <c r="B1377" s="3" t="s">
        <v>159</v>
      </c>
      <c r="C1377" s="1">
        <v>43300101</v>
      </c>
      <c r="D1377" t="s">
        <v>67</v>
      </c>
      <c r="H1377" t="str">
        <f t="shared" si="122"/>
        <v>02154270595</v>
      </c>
      <c r="I1377" t="str">
        <f t="shared" si="122"/>
        <v>02154270595</v>
      </c>
      <c r="K1377" t="str">
        <f>""</f>
        <v/>
      </c>
      <c r="M1377" t="s">
        <v>68</v>
      </c>
      <c r="N1377" t="str">
        <f t="shared" si="121"/>
        <v>FOR</v>
      </c>
      <c r="O1377" t="s">
        <v>69</v>
      </c>
      <c r="P1377" s="3" t="s">
        <v>75</v>
      </c>
      <c r="Q1377">
        <v>2016</v>
      </c>
      <c r="R1377" s="2">
        <v>42422</v>
      </c>
      <c r="S1377" s="2">
        <v>42436</v>
      </c>
      <c r="T1377" s="2">
        <v>42429</v>
      </c>
      <c r="U1377" s="2">
        <v>42489</v>
      </c>
      <c r="V1377" t="s">
        <v>71</v>
      </c>
      <c r="W1377" t="str">
        <f>"            91602106"</f>
        <v xml:space="preserve">            91602106</v>
      </c>
      <c r="X1377" s="1">
        <v>1830</v>
      </c>
      <c r="Y1377">
        <v>0</v>
      </c>
      <c r="Z1377" s="5">
        <v>1500</v>
      </c>
      <c r="AA1377">
        <v>234</v>
      </c>
      <c r="AB1377" s="5">
        <v>351000</v>
      </c>
      <c r="AC1377" s="1">
        <v>1500</v>
      </c>
      <c r="AD1377">
        <v>234</v>
      </c>
      <c r="AE1377" s="1">
        <v>351000</v>
      </c>
      <c r="AF1377">
        <v>330</v>
      </c>
      <c r="AJ1377">
        <v>0</v>
      </c>
      <c r="AK1377">
        <v>0</v>
      </c>
      <c r="AL1377">
        <v>0</v>
      </c>
      <c r="AM1377" s="1">
        <v>1830</v>
      </c>
      <c r="AN1377" s="1">
        <v>1830</v>
      </c>
      <c r="AO1377" s="1">
        <v>1830</v>
      </c>
      <c r="AP1377" s="2">
        <v>42746</v>
      </c>
      <c r="AQ1377" t="s">
        <v>72</v>
      </c>
      <c r="AR1377" t="s">
        <v>72</v>
      </c>
      <c r="AS1377">
        <v>3626</v>
      </c>
      <c r="AT1377" s="4">
        <v>42723</v>
      </c>
      <c r="AU1377" t="s">
        <v>73</v>
      </c>
      <c r="AV1377">
        <v>3626</v>
      </c>
      <c r="AW1377" s="4">
        <v>42723</v>
      </c>
      <c r="BD1377">
        <v>330</v>
      </c>
      <c r="BN1377" t="s">
        <v>74</v>
      </c>
    </row>
    <row r="1378" spans="1:66">
      <c r="A1378">
        <v>100342</v>
      </c>
      <c r="B1378" s="3" t="s">
        <v>160</v>
      </c>
      <c r="C1378" s="1">
        <v>43300101</v>
      </c>
      <c r="D1378" t="s">
        <v>67</v>
      </c>
      <c r="H1378" t="str">
        <f>"02022170506"</f>
        <v>02022170506</v>
      </c>
      <c r="I1378" t="str">
        <f>"02022170506"</f>
        <v>02022170506</v>
      </c>
      <c r="K1378" t="str">
        <f>""</f>
        <v/>
      </c>
      <c r="M1378" t="s">
        <v>68</v>
      </c>
      <c r="N1378" t="str">
        <f t="shared" si="121"/>
        <v>FOR</v>
      </c>
      <c r="O1378" t="s">
        <v>69</v>
      </c>
      <c r="P1378" s="3" t="s">
        <v>75</v>
      </c>
      <c r="Q1378">
        <v>2016</v>
      </c>
      <c r="R1378" s="2">
        <v>42580</v>
      </c>
      <c r="S1378" s="2">
        <v>42587</v>
      </c>
      <c r="T1378" s="2">
        <v>42586</v>
      </c>
      <c r="U1378" s="2">
        <v>42646</v>
      </c>
      <c r="V1378" t="s">
        <v>71</v>
      </c>
      <c r="W1378" t="str">
        <f>"              006066"</f>
        <v xml:space="preserve">              006066</v>
      </c>
      <c r="X1378" s="1">
        <v>1967.99</v>
      </c>
      <c r="Y1378">
        <v>0</v>
      </c>
      <c r="Z1378" s="5">
        <v>1789.08</v>
      </c>
      <c r="AA1378">
        <v>63</v>
      </c>
      <c r="AB1378" s="5">
        <v>112712.04</v>
      </c>
      <c r="AC1378" s="1">
        <v>1789.08</v>
      </c>
      <c r="AD1378">
        <v>63</v>
      </c>
      <c r="AE1378" s="1">
        <v>112712.04</v>
      </c>
      <c r="AF1378">
        <v>178.91</v>
      </c>
      <c r="AJ1378">
        <v>0</v>
      </c>
      <c r="AK1378">
        <v>0</v>
      </c>
      <c r="AL1378">
        <v>0</v>
      </c>
      <c r="AM1378" s="1">
        <v>1967.99</v>
      </c>
      <c r="AN1378" s="1">
        <v>1967.99</v>
      </c>
      <c r="AO1378" s="1">
        <v>1967.99</v>
      </c>
      <c r="AP1378" s="2">
        <v>42746</v>
      </c>
      <c r="AQ1378" t="s">
        <v>72</v>
      </c>
      <c r="AR1378" t="s">
        <v>72</v>
      </c>
      <c r="AS1378">
        <v>3322</v>
      </c>
      <c r="AT1378" s="4">
        <v>42709</v>
      </c>
      <c r="AU1378" t="s">
        <v>73</v>
      </c>
      <c r="AV1378">
        <v>3322</v>
      </c>
      <c r="AW1378" s="4">
        <v>42709</v>
      </c>
      <c r="AZ1378">
        <v>178.91</v>
      </c>
      <c r="BD1378">
        <v>0</v>
      </c>
      <c r="BN1378" t="s">
        <v>74</v>
      </c>
    </row>
    <row r="1379" spans="1:66">
      <c r="A1379">
        <v>100349</v>
      </c>
      <c r="B1379" s="3" t="s">
        <v>161</v>
      </c>
      <c r="C1379" s="1">
        <v>43300101</v>
      </c>
      <c r="D1379" t="s">
        <v>67</v>
      </c>
      <c r="H1379" t="str">
        <f t="shared" ref="H1379:I1382" si="123">"01434070155"</f>
        <v>01434070155</v>
      </c>
      <c r="I1379" t="str">
        <f t="shared" si="123"/>
        <v>01434070155</v>
      </c>
      <c r="K1379" t="str">
        <f>""</f>
        <v/>
      </c>
      <c r="M1379" t="s">
        <v>68</v>
      </c>
      <c r="N1379" t="str">
        <f t="shared" si="121"/>
        <v>FOR</v>
      </c>
      <c r="O1379" t="s">
        <v>69</v>
      </c>
      <c r="P1379" s="3" t="s">
        <v>75</v>
      </c>
      <c r="Q1379">
        <v>2016</v>
      </c>
      <c r="R1379" s="2">
        <v>42408</v>
      </c>
      <c r="S1379" s="2">
        <v>42411</v>
      </c>
      <c r="T1379" s="2">
        <v>42410</v>
      </c>
      <c r="U1379" s="2">
        <v>42470</v>
      </c>
      <c r="V1379" t="s">
        <v>71</v>
      </c>
      <c r="W1379" t="str">
        <f>"              V6-133"</f>
        <v xml:space="preserve">              V6-133</v>
      </c>
      <c r="X1379">
        <v>27.52</v>
      </c>
      <c r="Y1379">
        <v>0</v>
      </c>
      <c r="Z1379" s="3">
        <v>25.02</v>
      </c>
      <c r="AA1379">
        <v>208</v>
      </c>
      <c r="AB1379" s="5">
        <v>5204.16</v>
      </c>
      <c r="AC1379">
        <v>25.02</v>
      </c>
      <c r="AD1379">
        <v>208</v>
      </c>
      <c r="AE1379" s="1">
        <v>5204.16</v>
      </c>
      <c r="AF1379">
        <v>0</v>
      </c>
      <c r="AJ1379">
        <v>0</v>
      </c>
      <c r="AK1379">
        <v>0</v>
      </c>
      <c r="AL1379">
        <v>0</v>
      </c>
      <c r="AM1379">
        <v>27.52</v>
      </c>
      <c r="AN1379">
        <v>27.52</v>
      </c>
      <c r="AO1379">
        <v>27.52</v>
      </c>
      <c r="AP1379" s="2">
        <v>42746</v>
      </c>
      <c r="AQ1379" t="s">
        <v>72</v>
      </c>
      <c r="AR1379" t="s">
        <v>72</v>
      </c>
      <c r="AS1379">
        <v>2913</v>
      </c>
      <c r="AT1379" s="4">
        <v>42678</v>
      </c>
      <c r="AU1379" t="s">
        <v>73</v>
      </c>
      <c r="AV1379">
        <v>2913</v>
      </c>
      <c r="AW1379" s="4">
        <v>42678</v>
      </c>
      <c r="BD1379">
        <v>0</v>
      </c>
      <c r="BN1379" t="s">
        <v>74</v>
      </c>
    </row>
    <row r="1380" spans="1:66">
      <c r="A1380">
        <v>100349</v>
      </c>
      <c r="B1380" s="3" t="s">
        <v>161</v>
      </c>
      <c r="C1380" s="1">
        <v>43300101</v>
      </c>
      <c r="D1380" t="s">
        <v>67</v>
      </c>
      <c r="H1380" t="str">
        <f t="shared" si="123"/>
        <v>01434070155</v>
      </c>
      <c r="I1380" t="str">
        <f t="shared" si="123"/>
        <v>01434070155</v>
      </c>
      <c r="K1380" t="str">
        <f>""</f>
        <v/>
      </c>
      <c r="M1380" t="s">
        <v>68</v>
      </c>
      <c r="N1380" t="str">
        <f t="shared" si="121"/>
        <v>FOR</v>
      </c>
      <c r="O1380" t="s">
        <v>69</v>
      </c>
      <c r="P1380" s="3" t="s">
        <v>75</v>
      </c>
      <c r="Q1380">
        <v>2016</v>
      </c>
      <c r="R1380" s="2">
        <v>42458</v>
      </c>
      <c r="S1380" s="2">
        <v>42464</v>
      </c>
      <c r="T1380" s="2">
        <v>42460</v>
      </c>
      <c r="U1380" s="2">
        <v>42520</v>
      </c>
      <c r="V1380" t="s">
        <v>71</v>
      </c>
      <c r="W1380" t="str">
        <f>"              V6-322"</f>
        <v xml:space="preserve">              V6-322</v>
      </c>
      <c r="X1380">
        <v>27.52</v>
      </c>
      <c r="Y1380">
        <v>0</v>
      </c>
      <c r="Z1380" s="3">
        <v>25.02</v>
      </c>
      <c r="AA1380">
        <v>158</v>
      </c>
      <c r="AB1380" s="5">
        <v>3953.16</v>
      </c>
      <c r="AC1380">
        <v>25.02</v>
      </c>
      <c r="AD1380">
        <v>158</v>
      </c>
      <c r="AE1380" s="1">
        <v>3953.16</v>
      </c>
      <c r="AF1380">
        <v>0</v>
      </c>
      <c r="AJ1380">
        <v>0</v>
      </c>
      <c r="AK1380">
        <v>0</v>
      </c>
      <c r="AL1380">
        <v>0</v>
      </c>
      <c r="AM1380">
        <v>27.52</v>
      </c>
      <c r="AN1380">
        <v>27.52</v>
      </c>
      <c r="AO1380">
        <v>27.52</v>
      </c>
      <c r="AP1380" s="2">
        <v>42746</v>
      </c>
      <c r="AQ1380" t="s">
        <v>72</v>
      </c>
      <c r="AR1380" t="s">
        <v>72</v>
      </c>
      <c r="AS1380">
        <v>2913</v>
      </c>
      <c r="AT1380" s="4">
        <v>42678</v>
      </c>
      <c r="AU1380" t="s">
        <v>73</v>
      </c>
      <c r="AV1380">
        <v>2913</v>
      </c>
      <c r="AW1380" s="4">
        <v>42678</v>
      </c>
      <c r="BD1380">
        <v>0</v>
      </c>
      <c r="BN1380" t="s">
        <v>74</v>
      </c>
    </row>
    <row r="1381" spans="1:66">
      <c r="A1381">
        <v>100349</v>
      </c>
      <c r="B1381" s="3" t="s">
        <v>161</v>
      </c>
      <c r="C1381" s="1">
        <v>43300101</v>
      </c>
      <c r="D1381" t="s">
        <v>67</v>
      </c>
      <c r="H1381" t="str">
        <f t="shared" si="123"/>
        <v>01434070155</v>
      </c>
      <c r="I1381" t="str">
        <f t="shared" si="123"/>
        <v>01434070155</v>
      </c>
      <c r="K1381" t="str">
        <f>""</f>
        <v/>
      </c>
      <c r="M1381" t="s">
        <v>68</v>
      </c>
      <c r="N1381" t="str">
        <f t="shared" si="121"/>
        <v>FOR</v>
      </c>
      <c r="O1381" t="s">
        <v>69</v>
      </c>
      <c r="P1381" s="3" t="s">
        <v>75</v>
      </c>
      <c r="Q1381">
        <v>2016</v>
      </c>
      <c r="R1381" s="2">
        <v>42514</v>
      </c>
      <c r="S1381" s="2">
        <v>42530</v>
      </c>
      <c r="T1381" s="2">
        <v>42524</v>
      </c>
      <c r="U1381" s="2">
        <v>42584</v>
      </c>
      <c r="V1381" t="s">
        <v>71</v>
      </c>
      <c r="W1381" t="str">
        <f>"              V6-545"</f>
        <v xml:space="preserve">              V6-545</v>
      </c>
      <c r="X1381">
        <v>27.52</v>
      </c>
      <c r="Y1381">
        <v>0</v>
      </c>
      <c r="Z1381" s="3">
        <v>25.02</v>
      </c>
      <c r="AA1381">
        <v>94</v>
      </c>
      <c r="AB1381" s="5">
        <v>2351.88</v>
      </c>
      <c r="AC1381">
        <v>25.02</v>
      </c>
      <c r="AD1381">
        <v>94</v>
      </c>
      <c r="AE1381" s="1">
        <v>2351.88</v>
      </c>
      <c r="AF1381">
        <v>0</v>
      </c>
      <c r="AJ1381">
        <v>0</v>
      </c>
      <c r="AK1381">
        <v>0</v>
      </c>
      <c r="AL1381">
        <v>0</v>
      </c>
      <c r="AM1381">
        <v>27.52</v>
      </c>
      <c r="AN1381">
        <v>27.52</v>
      </c>
      <c r="AO1381">
        <v>27.52</v>
      </c>
      <c r="AP1381" s="2">
        <v>42746</v>
      </c>
      <c r="AQ1381" t="s">
        <v>72</v>
      </c>
      <c r="AR1381" t="s">
        <v>72</v>
      </c>
      <c r="AS1381">
        <v>2913</v>
      </c>
      <c r="AT1381" s="4">
        <v>42678</v>
      </c>
      <c r="AU1381" t="s">
        <v>73</v>
      </c>
      <c r="AV1381">
        <v>2913</v>
      </c>
      <c r="AW1381" s="4">
        <v>42678</v>
      </c>
      <c r="BD1381">
        <v>0</v>
      </c>
      <c r="BN1381" t="s">
        <v>74</v>
      </c>
    </row>
    <row r="1382" spans="1:66">
      <c r="A1382">
        <v>100349</v>
      </c>
      <c r="B1382" s="3" t="s">
        <v>161</v>
      </c>
      <c r="C1382" s="1">
        <v>43300101</v>
      </c>
      <c r="D1382" t="s">
        <v>67</v>
      </c>
      <c r="H1382" t="str">
        <f t="shared" si="123"/>
        <v>01434070155</v>
      </c>
      <c r="I1382" t="str">
        <f t="shared" si="123"/>
        <v>01434070155</v>
      </c>
      <c r="K1382" t="str">
        <f>""</f>
        <v/>
      </c>
      <c r="M1382" t="s">
        <v>68</v>
      </c>
      <c r="N1382" t="str">
        <f t="shared" si="121"/>
        <v>FOR</v>
      </c>
      <c r="O1382" t="s">
        <v>69</v>
      </c>
      <c r="P1382" s="3" t="s">
        <v>75</v>
      </c>
      <c r="Q1382">
        <v>2016</v>
      </c>
      <c r="R1382" s="2">
        <v>42586</v>
      </c>
      <c r="S1382" s="2">
        <v>42620</v>
      </c>
      <c r="T1382" s="2">
        <v>42613</v>
      </c>
      <c r="U1382" s="2">
        <v>42673</v>
      </c>
      <c r="V1382" t="s">
        <v>71</v>
      </c>
      <c r="W1382" t="str">
        <f>"              V6-835"</f>
        <v xml:space="preserve">              V6-835</v>
      </c>
      <c r="X1382">
        <v>27.52</v>
      </c>
      <c r="Y1382">
        <v>0</v>
      </c>
      <c r="Z1382" s="3">
        <v>25.02</v>
      </c>
      <c r="AA1382">
        <v>5</v>
      </c>
      <c r="AB1382" s="3">
        <v>125.1</v>
      </c>
      <c r="AC1382">
        <v>25.02</v>
      </c>
      <c r="AD1382">
        <v>5</v>
      </c>
      <c r="AE1382">
        <v>125.1</v>
      </c>
      <c r="AF1382">
        <v>0</v>
      </c>
      <c r="AJ1382">
        <v>0</v>
      </c>
      <c r="AK1382">
        <v>0</v>
      </c>
      <c r="AL1382">
        <v>0</v>
      </c>
      <c r="AM1382">
        <v>27.52</v>
      </c>
      <c r="AN1382">
        <v>27.52</v>
      </c>
      <c r="AO1382">
        <v>27.52</v>
      </c>
      <c r="AP1382" s="2">
        <v>42746</v>
      </c>
      <c r="AQ1382" t="s">
        <v>72</v>
      </c>
      <c r="AR1382" t="s">
        <v>72</v>
      </c>
      <c r="AS1382">
        <v>2913</v>
      </c>
      <c r="AT1382" s="4">
        <v>42678</v>
      </c>
      <c r="AU1382" t="s">
        <v>73</v>
      </c>
      <c r="AV1382">
        <v>2913</v>
      </c>
      <c r="AW1382" s="4">
        <v>42678</v>
      </c>
      <c r="BD1382">
        <v>0</v>
      </c>
      <c r="BN1382" t="s">
        <v>74</v>
      </c>
    </row>
    <row r="1383" spans="1:66" hidden="1">
      <c r="A1383">
        <v>100352</v>
      </c>
      <c r="B1383" s="3" t="s">
        <v>162</v>
      </c>
      <c r="C1383" s="1">
        <v>43300101</v>
      </c>
      <c r="D1383" t="s">
        <v>67</v>
      </c>
      <c r="H1383" t="str">
        <f t="shared" ref="H1383:H1402" si="124">"00322800376"</f>
        <v>00322800376</v>
      </c>
      <c r="I1383" t="str">
        <f t="shared" ref="I1383:I1402" si="125">"00503151201"</f>
        <v>00503151201</v>
      </c>
      <c r="K1383" t="str">
        <f>""</f>
        <v/>
      </c>
      <c r="M1383" t="s">
        <v>68</v>
      </c>
      <c r="N1383" t="str">
        <f t="shared" si="121"/>
        <v>FOR</v>
      </c>
      <c r="O1383" t="s">
        <v>69</v>
      </c>
      <c r="P1383" s="3" t="s">
        <v>70</v>
      </c>
      <c r="Q1383">
        <v>2015</v>
      </c>
      <c r="R1383" s="2">
        <v>42072</v>
      </c>
      <c r="S1383" s="2">
        <v>42087</v>
      </c>
      <c r="T1383" s="2">
        <v>42087</v>
      </c>
      <c r="U1383" s="2">
        <v>42147</v>
      </c>
      <c r="V1383" t="s">
        <v>71</v>
      </c>
      <c r="W1383" t="str">
        <f>"             8003437"</f>
        <v xml:space="preserve">             8003437</v>
      </c>
      <c r="X1383">
        <v>108.7</v>
      </c>
      <c r="Y1383">
        <v>0</v>
      </c>
      <c r="Z1383"/>
      <c r="AB1383"/>
      <c r="AC1383">
        <v>89.1</v>
      </c>
      <c r="AD1383">
        <v>268</v>
      </c>
      <c r="AE1383" s="1">
        <v>23878.799999999999</v>
      </c>
      <c r="AF1383">
        <v>0</v>
      </c>
      <c r="AJ1383">
        <v>0</v>
      </c>
      <c r="AK1383">
        <v>0</v>
      </c>
      <c r="AL1383">
        <v>0</v>
      </c>
      <c r="AM1383">
        <v>0</v>
      </c>
      <c r="AN1383">
        <v>0</v>
      </c>
      <c r="AO1383">
        <v>0</v>
      </c>
      <c r="AP1383" s="2">
        <v>42746</v>
      </c>
      <c r="AQ1383" t="s">
        <v>72</v>
      </c>
      <c r="AR1383" t="s">
        <v>72</v>
      </c>
      <c r="AS1383">
        <v>364</v>
      </c>
      <c r="AT1383" s="4">
        <v>42415</v>
      </c>
      <c r="AU1383" t="s">
        <v>73</v>
      </c>
      <c r="AV1383">
        <v>364</v>
      </c>
      <c r="AW1383" s="4">
        <v>42415</v>
      </c>
      <c r="BD1383">
        <v>0</v>
      </c>
      <c r="BN1383" t="s">
        <v>74</v>
      </c>
    </row>
    <row r="1384" spans="1:66" hidden="1">
      <c r="A1384">
        <v>100352</v>
      </c>
      <c r="B1384" s="3" t="s">
        <v>162</v>
      </c>
      <c r="C1384" s="1">
        <v>43300101</v>
      </c>
      <c r="D1384" t="s">
        <v>67</v>
      </c>
      <c r="H1384" t="str">
        <f t="shared" si="124"/>
        <v>00322800376</v>
      </c>
      <c r="I1384" t="str">
        <f t="shared" si="125"/>
        <v>00503151201</v>
      </c>
      <c r="K1384" t="str">
        <f>""</f>
        <v/>
      </c>
      <c r="M1384" t="s">
        <v>68</v>
      </c>
      <c r="N1384" t="str">
        <f t="shared" si="121"/>
        <v>FOR</v>
      </c>
      <c r="O1384" t="s">
        <v>69</v>
      </c>
      <c r="P1384" s="3" t="s">
        <v>70</v>
      </c>
      <c r="Q1384">
        <v>2015</v>
      </c>
      <c r="R1384" s="2">
        <v>42080</v>
      </c>
      <c r="S1384" s="2">
        <v>42097</v>
      </c>
      <c r="T1384" s="2">
        <v>42097</v>
      </c>
      <c r="U1384" s="2">
        <v>42157</v>
      </c>
      <c r="V1384" t="s">
        <v>71</v>
      </c>
      <c r="W1384" t="str">
        <f>"             8003905"</f>
        <v xml:space="preserve">             8003905</v>
      </c>
      <c r="X1384">
        <v>376.98</v>
      </c>
      <c r="Y1384">
        <v>0</v>
      </c>
      <c r="Z1384"/>
      <c r="AB1384"/>
      <c r="AC1384">
        <v>309</v>
      </c>
      <c r="AD1384">
        <v>258</v>
      </c>
      <c r="AE1384" s="1">
        <v>79722</v>
      </c>
      <c r="AF1384">
        <v>0</v>
      </c>
      <c r="AJ1384">
        <v>0</v>
      </c>
      <c r="AK1384">
        <v>0</v>
      </c>
      <c r="AL1384">
        <v>0</v>
      </c>
      <c r="AM1384">
        <v>0</v>
      </c>
      <c r="AN1384">
        <v>0</v>
      </c>
      <c r="AO1384">
        <v>0</v>
      </c>
      <c r="AP1384" s="2">
        <v>42746</v>
      </c>
      <c r="AQ1384" t="s">
        <v>72</v>
      </c>
      <c r="AR1384" t="s">
        <v>72</v>
      </c>
      <c r="AS1384">
        <v>364</v>
      </c>
      <c r="AT1384" s="4">
        <v>42415</v>
      </c>
      <c r="AU1384" t="s">
        <v>73</v>
      </c>
      <c r="AV1384">
        <v>364</v>
      </c>
      <c r="AW1384" s="4">
        <v>42415</v>
      </c>
      <c r="BD1384">
        <v>0</v>
      </c>
      <c r="BN1384" t="s">
        <v>74</v>
      </c>
    </row>
    <row r="1385" spans="1:66" hidden="1">
      <c r="A1385">
        <v>100352</v>
      </c>
      <c r="B1385" s="3" t="s">
        <v>162</v>
      </c>
      <c r="C1385" s="1">
        <v>43300101</v>
      </c>
      <c r="D1385" t="s">
        <v>67</v>
      </c>
      <c r="H1385" t="str">
        <f t="shared" si="124"/>
        <v>00322800376</v>
      </c>
      <c r="I1385" t="str">
        <f t="shared" si="125"/>
        <v>00503151201</v>
      </c>
      <c r="K1385" t="str">
        <f>""</f>
        <v/>
      </c>
      <c r="M1385" t="s">
        <v>68</v>
      </c>
      <c r="N1385" t="str">
        <f t="shared" si="121"/>
        <v>FOR</v>
      </c>
      <c r="O1385" t="s">
        <v>69</v>
      </c>
      <c r="P1385" s="3" t="s">
        <v>75</v>
      </c>
      <c r="Q1385">
        <v>2015</v>
      </c>
      <c r="R1385" s="2">
        <v>42103</v>
      </c>
      <c r="S1385" s="2">
        <v>42115</v>
      </c>
      <c r="T1385" s="2">
        <v>42110</v>
      </c>
      <c r="U1385" s="2">
        <v>42170</v>
      </c>
      <c r="V1385" t="s">
        <v>71</v>
      </c>
      <c r="W1385" t="str">
        <f>"             8005279"</f>
        <v xml:space="preserve">             8005279</v>
      </c>
      <c r="X1385">
        <v>510.4</v>
      </c>
      <c r="Y1385">
        <v>-268.39999999999998</v>
      </c>
      <c r="Z1385"/>
      <c r="AB1385"/>
      <c r="AC1385">
        <v>220</v>
      </c>
      <c r="AD1385">
        <v>350</v>
      </c>
      <c r="AE1385" s="1">
        <v>77000</v>
      </c>
      <c r="AF1385">
        <v>0</v>
      </c>
      <c r="AJ1385">
        <v>0</v>
      </c>
      <c r="AK1385">
        <v>0</v>
      </c>
      <c r="AL1385">
        <v>0</v>
      </c>
      <c r="AM1385">
        <v>0</v>
      </c>
      <c r="AN1385">
        <v>-268.39999999999998</v>
      </c>
      <c r="AO1385">
        <v>0</v>
      </c>
      <c r="AP1385" s="2">
        <v>42746</v>
      </c>
      <c r="AQ1385" t="s">
        <v>72</v>
      </c>
      <c r="AR1385" t="s">
        <v>72</v>
      </c>
      <c r="AS1385">
        <v>1436</v>
      </c>
      <c r="AT1385" s="4">
        <v>42520</v>
      </c>
      <c r="AU1385" t="s">
        <v>73</v>
      </c>
      <c r="AV1385">
        <v>1436</v>
      </c>
      <c r="AW1385" s="4">
        <v>42520</v>
      </c>
      <c r="BD1385">
        <v>0</v>
      </c>
      <c r="BN1385" t="s">
        <v>74</v>
      </c>
    </row>
    <row r="1386" spans="1:66" hidden="1">
      <c r="A1386">
        <v>100352</v>
      </c>
      <c r="B1386" s="3" t="s">
        <v>162</v>
      </c>
      <c r="C1386" s="1">
        <v>43300101</v>
      </c>
      <c r="D1386" t="s">
        <v>67</v>
      </c>
      <c r="H1386" t="str">
        <f t="shared" si="124"/>
        <v>00322800376</v>
      </c>
      <c r="I1386" t="str">
        <f t="shared" si="125"/>
        <v>00503151201</v>
      </c>
      <c r="K1386" t="str">
        <f>""</f>
        <v/>
      </c>
      <c r="M1386" t="s">
        <v>68</v>
      </c>
      <c r="N1386" t="str">
        <f t="shared" si="121"/>
        <v>FOR</v>
      </c>
      <c r="O1386" t="s">
        <v>69</v>
      </c>
      <c r="P1386" s="3" t="s">
        <v>75</v>
      </c>
      <c r="Q1386">
        <v>2015</v>
      </c>
      <c r="R1386" s="2">
        <v>42132</v>
      </c>
      <c r="S1386" s="2">
        <v>42174</v>
      </c>
      <c r="T1386" s="2">
        <v>42138</v>
      </c>
      <c r="U1386" s="2">
        <v>42198</v>
      </c>
      <c r="V1386" t="s">
        <v>71</v>
      </c>
      <c r="W1386" t="str">
        <f>"             8006727"</f>
        <v xml:space="preserve">             8006727</v>
      </c>
      <c r="X1386">
        <v>915</v>
      </c>
      <c r="Y1386">
        <v>0</v>
      </c>
      <c r="Z1386"/>
      <c r="AB1386"/>
      <c r="AC1386">
        <v>750</v>
      </c>
      <c r="AD1386">
        <v>217</v>
      </c>
      <c r="AE1386" s="1">
        <v>162750</v>
      </c>
      <c r="AF1386">
        <v>0</v>
      </c>
      <c r="AJ1386">
        <v>0</v>
      </c>
      <c r="AK1386">
        <v>0</v>
      </c>
      <c r="AL1386">
        <v>0</v>
      </c>
      <c r="AM1386">
        <v>0</v>
      </c>
      <c r="AN1386">
        <v>0</v>
      </c>
      <c r="AO1386">
        <v>0</v>
      </c>
      <c r="AP1386" s="2">
        <v>42746</v>
      </c>
      <c r="AQ1386" t="s">
        <v>72</v>
      </c>
      <c r="AR1386" t="s">
        <v>72</v>
      </c>
      <c r="AS1386">
        <v>364</v>
      </c>
      <c r="AT1386" s="4">
        <v>42415</v>
      </c>
      <c r="AU1386" t="s">
        <v>73</v>
      </c>
      <c r="AV1386">
        <v>364</v>
      </c>
      <c r="AW1386" s="4">
        <v>42415</v>
      </c>
      <c r="BD1386">
        <v>0</v>
      </c>
      <c r="BN1386" t="s">
        <v>74</v>
      </c>
    </row>
    <row r="1387" spans="1:66" hidden="1">
      <c r="A1387">
        <v>100352</v>
      </c>
      <c r="B1387" s="3" t="s">
        <v>162</v>
      </c>
      <c r="C1387" s="1">
        <v>43300101</v>
      </c>
      <c r="D1387" t="s">
        <v>67</v>
      </c>
      <c r="H1387" t="str">
        <f t="shared" si="124"/>
        <v>00322800376</v>
      </c>
      <c r="I1387" t="str">
        <f t="shared" si="125"/>
        <v>00503151201</v>
      </c>
      <c r="K1387" t="str">
        <f>""</f>
        <v/>
      </c>
      <c r="M1387" t="s">
        <v>68</v>
      </c>
      <c r="N1387" t="str">
        <f t="shared" si="121"/>
        <v>FOR</v>
      </c>
      <c r="O1387" t="s">
        <v>69</v>
      </c>
      <c r="P1387" s="3" t="s">
        <v>75</v>
      </c>
      <c r="Q1387">
        <v>2015</v>
      </c>
      <c r="R1387" s="2">
        <v>42142</v>
      </c>
      <c r="S1387" s="2">
        <v>42160</v>
      </c>
      <c r="T1387" s="2">
        <v>42148</v>
      </c>
      <c r="U1387" s="2">
        <v>42208</v>
      </c>
      <c r="V1387" t="s">
        <v>71</v>
      </c>
      <c r="W1387" t="str">
        <f>"             8007121"</f>
        <v xml:space="preserve">             8007121</v>
      </c>
      <c r="X1387">
        <v>197.64</v>
      </c>
      <c r="Y1387">
        <v>0</v>
      </c>
      <c r="Z1387"/>
      <c r="AB1387"/>
      <c r="AC1387">
        <v>162</v>
      </c>
      <c r="AD1387">
        <v>207</v>
      </c>
      <c r="AE1387" s="1">
        <v>33534</v>
      </c>
      <c r="AF1387">
        <v>0</v>
      </c>
      <c r="AJ1387">
        <v>0</v>
      </c>
      <c r="AK1387">
        <v>0</v>
      </c>
      <c r="AL1387">
        <v>0</v>
      </c>
      <c r="AM1387">
        <v>0</v>
      </c>
      <c r="AN1387">
        <v>0</v>
      </c>
      <c r="AO1387">
        <v>0</v>
      </c>
      <c r="AP1387" s="2">
        <v>42746</v>
      </c>
      <c r="AQ1387" t="s">
        <v>72</v>
      </c>
      <c r="AR1387" t="s">
        <v>72</v>
      </c>
      <c r="AS1387">
        <v>364</v>
      </c>
      <c r="AT1387" s="4">
        <v>42415</v>
      </c>
      <c r="AU1387" t="s">
        <v>73</v>
      </c>
      <c r="AV1387">
        <v>364</v>
      </c>
      <c r="AW1387" s="4">
        <v>42415</v>
      </c>
      <c r="BD1387">
        <v>0</v>
      </c>
      <c r="BN1387" t="s">
        <v>74</v>
      </c>
    </row>
    <row r="1388" spans="1:66" hidden="1">
      <c r="A1388">
        <v>100352</v>
      </c>
      <c r="B1388" s="3" t="s">
        <v>162</v>
      </c>
      <c r="C1388" s="1">
        <v>43300101</v>
      </c>
      <c r="D1388" t="s">
        <v>67</v>
      </c>
      <c r="H1388" t="str">
        <f t="shared" si="124"/>
        <v>00322800376</v>
      </c>
      <c r="I1388" t="str">
        <f t="shared" si="125"/>
        <v>00503151201</v>
      </c>
      <c r="K1388" t="str">
        <f>""</f>
        <v/>
      </c>
      <c r="M1388" t="s">
        <v>68</v>
      </c>
      <c r="N1388" t="str">
        <f t="shared" si="121"/>
        <v>FOR</v>
      </c>
      <c r="O1388" t="s">
        <v>69</v>
      </c>
      <c r="P1388" s="3" t="s">
        <v>75</v>
      </c>
      <c r="Q1388">
        <v>2015</v>
      </c>
      <c r="R1388" s="2">
        <v>42154</v>
      </c>
      <c r="S1388" s="2">
        <v>42163</v>
      </c>
      <c r="T1388" s="2">
        <v>42159</v>
      </c>
      <c r="U1388" s="2">
        <v>42219</v>
      </c>
      <c r="V1388" t="s">
        <v>71</v>
      </c>
      <c r="W1388" t="str">
        <f>"             8008160"</f>
        <v xml:space="preserve">             8008160</v>
      </c>
      <c r="X1388">
        <v>251.32</v>
      </c>
      <c r="Y1388">
        <v>0</v>
      </c>
      <c r="Z1388"/>
      <c r="AB1388"/>
      <c r="AC1388">
        <v>206</v>
      </c>
      <c r="AD1388">
        <v>196</v>
      </c>
      <c r="AE1388" s="1">
        <v>40376</v>
      </c>
      <c r="AF1388">
        <v>0</v>
      </c>
      <c r="AJ1388">
        <v>0</v>
      </c>
      <c r="AK1388">
        <v>0</v>
      </c>
      <c r="AL1388">
        <v>0</v>
      </c>
      <c r="AM1388">
        <v>0</v>
      </c>
      <c r="AN1388">
        <v>0</v>
      </c>
      <c r="AO1388">
        <v>0</v>
      </c>
      <c r="AP1388" s="2">
        <v>42746</v>
      </c>
      <c r="AQ1388" t="s">
        <v>72</v>
      </c>
      <c r="AR1388" t="s">
        <v>72</v>
      </c>
      <c r="AS1388">
        <v>364</v>
      </c>
      <c r="AT1388" s="4">
        <v>42415</v>
      </c>
      <c r="AU1388" t="s">
        <v>73</v>
      </c>
      <c r="AV1388">
        <v>364</v>
      </c>
      <c r="AW1388" s="4">
        <v>42415</v>
      </c>
      <c r="BD1388">
        <v>0</v>
      </c>
      <c r="BN1388" t="s">
        <v>74</v>
      </c>
    </row>
    <row r="1389" spans="1:66" hidden="1">
      <c r="A1389">
        <v>100352</v>
      </c>
      <c r="B1389" s="3" t="s">
        <v>162</v>
      </c>
      <c r="C1389" s="1">
        <v>43300101</v>
      </c>
      <c r="D1389" t="s">
        <v>67</v>
      </c>
      <c r="H1389" t="str">
        <f t="shared" si="124"/>
        <v>00322800376</v>
      </c>
      <c r="I1389" t="str">
        <f t="shared" si="125"/>
        <v>00503151201</v>
      </c>
      <c r="K1389" t="str">
        <f>""</f>
        <v/>
      </c>
      <c r="M1389" t="s">
        <v>68</v>
      </c>
      <c r="N1389" t="str">
        <f t="shared" si="121"/>
        <v>FOR</v>
      </c>
      <c r="O1389" t="s">
        <v>69</v>
      </c>
      <c r="P1389" s="3" t="s">
        <v>75</v>
      </c>
      <c r="Q1389">
        <v>2015</v>
      </c>
      <c r="R1389" s="2">
        <v>42174</v>
      </c>
      <c r="S1389" s="2">
        <v>42185</v>
      </c>
      <c r="T1389" s="2">
        <v>42181</v>
      </c>
      <c r="U1389" s="2">
        <v>42241</v>
      </c>
      <c r="V1389" t="s">
        <v>71</v>
      </c>
      <c r="W1389" t="str">
        <f>"             8009394"</f>
        <v xml:space="preserve">             8009394</v>
      </c>
      <c r="X1389">
        <v>242</v>
      </c>
      <c r="Y1389">
        <v>0</v>
      </c>
      <c r="Z1389"/>
      <c r="AB1389"/>
      <c r="AC1389">
        <v>220</v>
      </c>
      <c r="AD1389">
        <v>211</v>
      </c>
      <c r="AE1389" s="1">
        <v>46420</v>
      </c>
      <c r="AF1389">
        <v>0</v>
      </c>
      <c r="AJ1389">
        <v>0</v>
      </c>
      <c r="AK1389">
        <v>0</v>
      </c>
      <c r="AL1389">
        <v>0</v>
      </c>
      <c r="AM1389">
        <v>0</v>
      </c>
      <c r="AN1389">
        <v>0</v>
      </c>
      <c r="AO1389">
        <v>0</v>
      </c>
      <c r="AP1389" s="2">
        <v>42746</v>
      </c>
      <c r="AQ1389" t="s">
        <v>72</v>
      </c>
      <c r="AR1389" t="s">
        <v>72</v>
      </c>
      <c r="AS1389">
        <v>755</v>
      </c>
      <c r="AT1389" s="4">
        <v>42452</v>
      </c>
      <c r="AU1389" t="s">
        <v>73</v>
      </c>
      <c r="AV1389">
        <v>755</v>
      </c>
      <c r="AW1389" s="4">
        <v>42452</v>
      </c>
      <c r="BD1389">
        <v>0</v>
      </c>
      <c r="BN1389" t="s">
        <v>74</v>
      </c>
    </row>
    <row r="1390" spans="1:66" hidden="1">
      <c r="A1390">
        <v>100352</v>
      </c>
      <c r="B1390" s="3" t="s">
        <v>162</v>
      </c>
      <c r="C1390" s="1">
        <v>43300101</v>
      </c>
      <c r="D1390" t="s">
        <v>67</v>
      </c>
      <c r="H1390" t="str">
        <f t="shared" si="124"/>
        <v>00322800376</v>
      </c>
      <c r="I1390" t="str">
        <f t="shared" si="125"/>
        <v>00503151201</v>
      </c>
      <c r="K1390" t="str">
        <f>""</f>
        <v/>
      </c>
      <c r="M1390" t="s">
        <v>68</v>
      </c>
      <c r="N1390" t="str">
        <f t="shared" ref="N1390:N1421" si="126">"FOR"</f>
        <v>FOR</v>
      </c>
      <c r="O1390" t="s">
        <v>69</v>
      </c>
      <c r="P1390" s="3" t="s">
        <v>75</v>
      </c>
      <c r="Q1390">
        <v>2015</v>
      </c>
      <c r="R1390" s="2">
        <v>42174</v>
      </c>
      <c r="S1390" s="2">
        <v>42185</v>
      </c>
      <c r="T1390" s="2">
        <v>42181</v>
      </c>
      <c r="U1390" s="2">
        <v>42241</v>
      </c>
      <c r="V1390" t="s">
        <v>71</v>
      </c>
      <c r="W1390" t="str">
        <f>"             8009395"</f>
        <v xml:space="preserve">             8009395</v>
      </c>
      <c r="X1390">
        <v>120.78</v>
      </c>
      <c r="Y1390">
        <v>0</v>
      </c>
      <c r="Z1390"/>
      <c r="AB1390"/>
      <c r="AC1390">
        <v>99</v>
      </c>
      <c r="AD1390">
        <v>211</v>
      </c>
      <c r="AE1390" s="1">
        <v>20889</v>
      </c>
      <c r="AF1390">
        <v>0</v>
      </c>
      <c r="AJ1390">
        <v>0</v>
      </c>
      <c r="AK1390">
        <v>0</v>
      </c>
      <c r="AL1390">
        <v>0</v>
      </c>
      <c r="AM1390">
        <v>0</v>
      </c>
      <c r="AN1390">
        <v>0</v>
      </c>
      <c r="AO1390">
        <v>0</v>
      </c>
      <c r="AP1390" s="2">
        <v>42746</v>
      </c>
      <c r="AQ1390" t="s">
        <v>72</v>
      </c>
      <c r="AR1390" t="s">
        <v>72</v>
      </c>
      <c r="AS1390">
        <v>755</v>
      </c>
      <c r="AT1390" s="4">
        <v>42452</v>
      </c>
      <c r="AU1390" t="s">
        <v>73</v>
      </c>
      <c r="AV1390">
        <v>755</v>
      </c>
      <c r="AW1390" s="4">
        <v>42452</v>
      </c>
      <c r="BD1390">
        <v>0</v>
      </c>
      <c r="BN1390" t="s">
        <v>74</v>
      </c>
    </row>
    <row r="1391" spans="1:66" hidden="1">
      <c r="A1391">
        <v>100352</v>
      </c>
      <c r="B1391" s="3" t="s">
        <v>162</v>
      </c>
      <c r="C1391" s="1">
        <v>43300101</v>
      </c>
      <c r="D1391" t="s">
        <v>67</v>
      </c>
      <c r="H1391" t="str">
        <f t="shared" si="124"/>
        <v>00322800376</v>
      </c>
      <c r="I1391" t="str">
        <f t="shared" si="125"/>
        <v>00503151201</v>
      </c>
      <c r="K1391" t="str">
        <f>""</f>
        <v/>
      </c>
      <c r="M1391" t="s">
        <v>68</v>
      </c>
      <c r="N1391" t="str">
        <f t="shared" si="126"/>
        <v>FOR</v>
      </c>
      <c r="O1391" t="s">
        <v>69</v>
      </c>
      <c r="P1391" s="3" t="s">
        <v>75</v>
      </c>
      <c r="Q1391">
        <v>2015</v>
      </c>
      <c r="R1391" s="2">
        <v>42193</v>
      </c>
      <c r="S1391" s="2">
        <v>42198</v>
      </c>
      <c r="T1391" s="2">
        <v>42198</v>
      </c>
      <c r="U1391" s="2">
        <v>42258</v>
      </c>
      <c r="V1391" t="s">
        <v>71</v>
      </c>
      <c r="W1391" t="str">
        <f>"             8010535"</f>
        <v xml:space="preserve">             8010535</v>
      </c>
      <c r="X1391" s="1">
        <v>1830</v>
      </c>
      <c r="Y1391">
        <v>0</v>
      </c>
      <c r="Z1391"/>
      <c r="AB1391"/>
      <c r="AC1391" s="1">
        <v>1500</v>
      </c>
      <c r="AD1391">
        <v>194</v>
      </c>
      <c r="AE1391" s="1">
        <v>291000</v>
      </c>
      <c r="AF1391">
        <v>0</v>
      </c>
      <c r="AJ1391">
        <v>0</v>
      </c>
      <c r="AK1391">
        <v>0</v>
      </c>
      <c r="AL1391">
        <v>0</v>
      </c>
      <c r="AM1391">
        <v>0</v>
      </c>
      <c r="AN1391">
        <v>0</v>
      </c>
      <c r="AO1391">
        <v>0</v>
      </c>
      <c r="AP1391" s="2">
        <v>42746</v>
      </c>
      <c r="AQ1391" t="s">
        <v>72</v>
      </c>
      <c r="AR1391" t="s">
        <v>72</v>
      </c>
      <c r="AS1391">
        <v>755</v>
      </c>
      <c r="AT1391" s="4">
        <v>42452</v>
      </c>
      <c r="AU1391" t="s">
        <v>73</v>
      </c>
      <c r="AV1391">
        <v>755</v>
      </c>
      <c r="AW1391" s="4">
        <v>42452</v>
      </c>
      <c r="BD1391">
        <v>0</v>
      </c>
      <c r="BN1391" t="s">
        <v>74</v>
      </c>
    </row>
    <row r="1392" spans="1:66" hidden="1">
      <c r="A1392">
        <v>100352</v>
      </c>
      <c r="B1392" s="3" t="s">
        <v>162</v>
      </c>
      <c r="C1392" s="1">
        <v>43300101</v>
      </c>
      <c r="D1392" t="s">
        <v>67</v>
      </c>
      <c r="H1392" t="str">
        <f t="shared" si="124"/>
        <v>00322800376</v>
      </c>
      <c r="I1392" t="str">
        <f t="shared" si="125"/>
        <v>00503151201</v>
      </c>
      <c r="K1392" t="str">
        <f>""</f>
        <v/>
      </c>
      <c r="M1392" t="s">
        <v>68</v>
      </c>
      <c r="N1392" t="str">
        <f t="shared" si="126"/>
        <v>FOR</v>
      </c>
      <c r="O1392" t="s">
        <v>69</v>
      </c>
      <c r="P1392" s="3" t="s">
        <v>75</v>
      </c>
      <c r="Q1392">
        <v>2015</v>
      </c>
      <c r="R1392" s="2">
        <v>42275</v>
      </c>
      <c r="S1392" s="2">
        <v>42282</v>
      </c>
      <c r="T1392" s="2">
        <v>42277</v>
      </c>
      <c r="U1392" s="2">
        <v>42337</v>
      </c>
      <c r="V1392" t="s">
        <v>71</v>
      </c>
      <c r="W1392" t="str">
        <f>"             8014625"</f>
        <v xml:space="preserve">             8014625</v>
      </c>
      <c r="X1392">
        <v>569.74</v>
      </c>
      <c r="Y1392">
        <v>0</v>
      </c>
      <c r="Z1392"/>
      <c r="AB1392"/>
      <c r="AC1392">
        <v>467</v>
      </c>
      <c r="AD1392">
        <v>115</v>
      </c>
      <c r="AE1392" s="1">
        <v>53705</v>
      </c>
      <c r="AF1392">
        <v>0</v>
      </c>
      <c r="AJ1392">
        <v>0</v>
      </c>
      <c r="AK1392">
        <v>0</v>
      </c>
      <c r="AL1392">
        <v>0</v>
      </c>
      <c r="AM1392">
        <v>0</v>
      </c>
      <c r="AN1392">
        <v>0</v>
      </c>
      <c r="AO1392">
        <v>0</v>
      </c>
      <c r="AP1392" s="2">
        <v>42746</v>
      </c>
      <c r="AQ1392" t="s">
        <v>72</v>
      </c>
      <c r="AR1392" t="s">
        <v>72</v>
      </c>
      <c r="AS1392">
        <v>755</v>
      </c>
      <c r="AT1392" s="4">
        <v>42452</v>
      </c>
      <c r="AU1392" t="s">
        <v>73</v>
      </c>
      <c r="AV1392">
        <v>755</v>
      </c>
      <c r="AW1392" s="4">
        <v>42452</v>
      </c>
      <c r="BD1392">
        <v>0</v>
      </c>
      <c r="BN1392" t="s">
        <v>74</v>
      </c>
    </row>
    <row r="1393" spans="1:66" hidden="1">
      <c r="A1393">
        <v>100352</v>
      </c>
      <c r="B1393" s="3" t="s">
        <v>162</v>
      </c>
      <c r="C1393" s="1">
        <v>43300101</v>
      </c>
      <c r="D1393" t="s">
        <v>67</v>
      </c>
      <c r="H1393" t="str">
        <f t="shared" si="124"/>
        <v>00322800376</v>
      </c>
      <c r="I1393" t="str">
        <f t="shared" si="125"/>
        <v>00503151201</v>
      </c>
      <c r="K1393" t="str">
        <f>""</f>
        <v/>
      </c>
      <c r="M1393" t="s">
        <v>68</v>
      </c>
      <c r="N1393" t="str">
        <f t="shared" si="126"/>
        <v>FOR</v>
      </c>
      <c r="O1393" t="s">
        <v>69</v>
      </c>
      <c r="P1393" s="3" t="s">
        <v>75</v>
      </c>
      <c r="Q1393">
        <v>2015</v>
      </c>
      <c r="R1393" s="2">
        <v>42319</v>
      </c>
      <c r="S1393" s="2">
        <v>42326</v>
      </c>
      <c r="T1393" s="2">
        <v>42324</v>
      </c>
      <c r="U1393" s="2">
        <v>42384</v>
      </c>
      <c r="V1393" t="s">
        <v>71</v>
      </c>
      <c r="W1393" t="str">
        <f>"             8017059"</f>
        <v xml:space="preserve">             8017059</v>
      </c>
      <c r="X1393">
        <v>968</v>
      </c>
      <c r="Y1393">
        <v>0</v>
      </c>
      <c r="Z1393"/>
      <c r="AB1393"/>
      <c r="AC1393">
        <v>880</v>
      </c>
      <c r="AD1393">
        <v>68</v>
      </c>
      <c r="AE1393" s="1">
        <v>59840</v>
      </c>
      <c r="AF1393">
        <v>0</v>
      </c>
      <c r="AJ1393">
        <v>0</v>
      </c>
      <c r="AK1393">
        <v>0</v>
      </c>
      <c r="AL1393">
        <v>0</v>
      </c>
      <c r="AM1393">
        <v>0</v>
      </c>
      <c r="AN1393">
        <v>0</v>
      </c>
      <c r="AO1393">
        <v>0</v>
      </c>
      <c r="AP1393" s="2">
        <v>42746</v>
      </c>
      <c r="AQ1393" t="s">
        <v>72</v>
      </c>
      <c r="AR1393" t="s">
        <v>72</v>
      </c>
      <c r="AS1393">
        <v>755</v>
      </c>
      <c r="AT1393" s="4">
        <v>42452</v>
      </c>
      <c r="AU1393" t="s">
        <v>73</v>
      </c>
      <c r="AV1393">
        <v>755</v>
      </c>
      <c r="AW1393" s="4">
        <v>42452</v>
      </c>
      <c r="BD1393">
        <v>0</v>
      </c>
      <c r="BN1393" t="s">
        <v>74</v>
      </c>
    </row>
    <row r="1394" spans="1:66" hidden="1">
      <c r="A1394">
        <v>100352</v>
      </c>
      <c r="B1394" s="3" t="s">
        <v>162</v>
      </c>
      <c r="C1394" s="1">
        <v>43300101</v>
      </c>
      <c r="D1394" t="s">
        <v>67</v>
      </c>
      <c r="H1394" t="str">
        <f t="shared" si="124"/>
        <v>00322800376</v>
      </c>
      <c r="I1394" t="str">
        <f t="shared" si="125"/>
        <v>00503151201</v>
      </c>
      <c r="K1394" t="str">
        <f>""</f>
        <v/>
      </c>
      <c r="M1394" t="s">
        <v>68</v>
      </c>
      <c r="N1394" t="str">
        <f t="shared" si="126"/>
        <v>FOR</v>
      </c>
      <c r="O1394" t="s">
        <v>69</v>
      </c>
      <c r="P1394" s="3" t="s">
        <v>75</v>
      </c>
      <c r="Q1394">
        <v>2015</v>
      </c>
      <c r="R1394" s="2">
        <v>42335</v>
      </c>
      <c r="S1394" s="2">
        <v>42340</v>
      </c>
      <c r="T1394" s="2">
        <v>42339</v>
      </c>
      <c r="U1394" s="2">
        <v>42399</v>
      </c>
      <c r="V1394" t="s">
        <v>71</v>
      </c>
      <c r="W1394" t="str">
        <f>"             8018257"</f>
        <v xml:space="preserve">             8018257</v>
      </c>
      <c r="X1394">
        <v>318.42</v>
      </c>
      <c r="Y1394">
        <v>0</v>
      </c>
      <c r="Z1394"/>
      <c r="AB1394"/>
      <c r="AC1394">
        <v>261</v>
      </c>
      <c r="AD1394">
        <v>53</v>
      </c>
      <c r="AE1394" s="1">
        <v>13833</v>
      </c>
      <c r="AF1394">
        <v>0</v>
      </c>
      <c r="AJ1394">
        <v>0</v>
      </c>
      <c r="AK1394">
        <v>0</v>
      </c>
      <c r="AL1394">
        <v>0</v>
      </c>
      <c r="AM1394">
        <v>0</v>
      </c>
      <c r="AN1394">
        <v>0</v>
      </c>
      <c r="AO1394">
        <v>0</v>
      </c>
      <c r="AP1394" s="2">
        <v>42746</v>
      </c>
      <c r="AQ1394" t="s">
        <v>72</v>
      </c>
      <c r="AR1394" t="s">
        <v>72</v>
      </c>
      <c r="AS1394">
        <v>755</v>
      </c>
      <c r="AT1394" s="4">
        <v>42452</v>
      </c>
      <c r="AU1394" t="s">
        <v>73</v>
      </c>
      <c r="AV1394">
        <v>755</v>
      </c>
      <c r="AW1394" s="4">
        <v>42452</v>
      </c>
      <c r="BD1394">
        <v>0</v>
      </c>
      <c r="BN1394" t="s">
        <v>74</v>
      </c>
    </row>
    <row r="1395" spans="1:66" hidden="1">
      <c r="A1395">
        <v>100352</v>
      </c>
      <c r="B1395" s="3" t="s">
        <v>162</v>
      </c>
      <c r="C1395" s="1">
        <v>43300101</v>
      </c>
      <c r="D1395" t="s">
        <v>67</v>
      </c>
      <c r="H1395" t="str">
        <f t="shared" si="124"/>
        <v>00322800376</v>
      </c>
      <c r="I1395" t="str">
        <f t="shared" si="125"/>
        <v>00503151201</v>
      </c>
      <c r="K1395" t="str">
        <f>""</f>
        <v/>
      </c>
      <c r="M1395" t="s">
        <v>68</v>
      </c>
      <c r="N1395" t="str">
        <f t="shared" si="126"/>
        <v>FOR</v>
      </c>
      <c r="O1395" t="s">
        <v>69</v>
      </c>
      <c r="P1395" s="3" t="s">
        <v>75</v>
      </c>
      <c r="Q1395">
        <v>2015</v>
      </c>
      <c r="R1395" s="2">
        <v>42335</v>
      </c>
      <c r="S1395" s="2">
        <v>42340</v>
      </c>
      <c r="T1395" s="2">
        <v>42339</v>
      </c>
      <c r="U1395" s="2">
        <v>42399</v>
      </c>
      <c r="V1395" t="s">
        <v>71</v>
      </c>
      <c r="W1395" t="str">
        <f>"             8018258"</f>
        <v xml:space="preserve">             8018258</v>
      </c>
      <c r="X1395" s="1">
        <v>1830</v>
      </c>
      <c r="Y1395">
        <v>0</v>
      </c>
      <c r="Z1395"/>
      <c r="AB1395"/>
      <c r="AC1395" s="1">
        <v>1500</v>
      </c>
      <c r="AD1395">
        <v>53</v>
      </c>
      <c r="AE1395" s="1">
        <v>79500</v>
      </c>
      <c r="AF1395">
        <v>0</v>
      </c>
      <c r="AJ1395">
        <v>0</v>
      </c>
      <c r="AK1395">
        <v>0</v>
      </c>
      <c r="AL1395">
        <v>0</v>
      </c>
      <c r="AM1395">
        <v>0</v>
      </c>
      <c r="AN1395">
        <v>0</v>
      </c>
      <c r="AO1395">
        <v>0</v>
      </c>
      <c r="AP1395" s="2">
        <v>42746</v>
      </c>
      <c r="AQ1395" t="s">
        <v>72</v>
      </c>
      <c r="AR1395" t="s">
        <v>72</v>
      </c>
      <c r="AS1395">
        <v>755</v>
      </c>
      <c r="AT1395" s="4">
        <v>42452</v>
      </c>
      <c r="AU1395" t="s">
        <v>73</v>
      </c>
      <c r="AV1395">
        <v>755</v>
      </c>
      <c r="AW1395" s="4">
        <v>42452</v>
      </c>
      <c r="BD1395">
        <v>0</v>
      </c>
      <c r="BN1395" t="s">
        <v>74</v>
      </c>
    </row>
    <row r="1396" spans="1:66" hidden="1">
      <c r="A1396">
        <v>100352</v>
      </c>
      <c r="B1396" s="3" t="s">
        <v>162</v>
      </c>
      <c r="C1396" s="1">
        <v>43300101</v>
      </c>
      <c r="D1396" t="s">
        <v>67</v>
      </c>
      <c r="H1396" t="str">
        <f t="shared" si="124"/>
        <v>00322800376</v>
      </c>
      <c r="I1396" t="str">
        <f t="shared" si="125"/>
        <v>00503151201</v>
      </c>
      <c r="K1396" t="str">
        <f>""</f>
        <v/>
      </c>
      <c r="M1396" t="s">
        <v>68</v>
      </c>
      <c r="N1396" t="str">
        <f t="shared" si="126"/>
        <v>FOR</v>
      </c>
      <c r="O1396" t="s">
        <v>69</v>
      </c>
      <c r="P1396" s="3" t="s">
        <v>75</v>
      </c>
      <c r="Q1396">
        <v>2015</v>
      </c>
      <c r="R1396" s="2">
        <v>42335</v>
      </c>
      <c r="S1396" s="2">
        <v>42340</v>
      </c>
      <c r="T1396" s="2">
        <v>42339</v>
      </c>
      <c r="U1396" s="2">
        <v>42399</v>
      </c>
      <c r="V1396" t="s">
        <v>71</v>
      </c>
      <c r="W1396" t="str">
        <f>"             8018259"</f>
        <v xml:space="preserve">             8018259</v>
      </c>
      <c r="X1396">
        <v>301.58</v>
      </c>
      <c r="Y1396">
        <v>0</v>
      </c>
      <c r="Z1396"/>
      <c r="AB1396"/>
      <c r="AC1396">
        <v>247.2</v>
      </c>
      <c r="AD1396">
        <v>53</v>
      </c>
      <c r="AE1396" s="1">
        <v>13101.6</v>
      </c>
      <c r="AF1396">
        <v>0</v>
      </c>
      <c r="AJ1396">
        <v>0</v>
      </c>
      <c r="AK1396">
        <v>0</v>
      </c>
      <c r="AL1396">
        <v>0</v>
      </c>
      <c r="AM1396">
        <v>0</v>
      </c>
      <c r="AN1396">
        <v>0</v>
      </c>
      <c r="AO1396">
        <v>0</v>
      </c>
      <c r="AP1396" s="2">
        <v>42746</v>
      </c>
      <c r="AQ1396" t="s">
        <v>72</v>
      </c>
      <c r="AR1396" t="s">
        <v>72</v>
      </c>
      <c r="AS1396">
        <v>755</v>
      </c>
      <c r="AT1396" s="4">
        <v>42452</v>
      </c>
      <c r="AU1396" t="s">
        <v>73</v>
      </c>
      <c r="AV1396">
        <v>755</v>
      </c>
      <c r="AW1396" s="4">
        <v>42452</v>
      </c>
      <c r="BD1396">
        <v>0</v>
      </c>
      <c r="BN1396" t="s">
        <v>74</v>
      </c>
    </row>
    <row r="1397" spans="1:66">
      <c r="A1397">
        <v>100352</v>
      </c>
      <c r="B1397" s="3" t="s">
        <v>162</v>
      </c>
      <c r="C1397" s="1">
        <v>43300101</v>
      </c>
      <c r="D1397" t="s">
        <v>67</v>
      </c>
      <c r="H1397" t="str">
        <f t="shared" si="124"/>
        <v>00322800376</v>
      </c>
      <c r="I1397" t="str">
        <f t="shared" si="125"/>
        <v>00503151201</v>
      </c>
      <c r="K1397" t="str">
        <f>""</f>
        <v/>
      </c>
      <c r="M1397" t="s">
        <v>68</v>
      </c>
      <c r="N1397" t="str">
        <f t="shared" si="126"/>
        <v>FOR</v>
      </c>
      <c r="O1397" t="s">
        <v>69</v>
      </c>
      <c r="P1397" s="3" t="s">
        <v>75</v>
      </c>
      <c r="Q1397">
        <v>2016</v>
      </c>
      <c r="R1397" s="2">
        <v>42391</v>
      </c>
      <c r="S1397" s="2">
        <v>42401</v>
      </c>
      <c r="T1397" s="2">
        <v>42397</v>
      </c>
      <c r="U1397" s="2">
        <v>42457</v>
      </c>
      <c r="V1397" t="s">
        <v>71</v>
      </c>
      <c r="W1397" t="str">
        <f>"             8000704"</f>
        <v xml:space="preserve">             8000704</v>
      </c>
      <c r="X1397">
        <v>251.32</v>
      </c>
      <c r="Y1397">
        <v>0</v>
      </c>
      <c r="Z1397" s="3">
        <v>206</v>
      </c>
      <c r="AA1397">
        <v>266</v>
      </c>
      <c r="AB1397" s="5">
        <v>54796</v>
      </c>
      <c r="AC1397">
        <v>206</v>
      </c>
      <c r="AD1397">
        <v>266</v>
      </c>
      <c r="AE1397" s="1">
        <v>54796</v>
      </c>
      <c r="AF1397">
        <v>45.32</v>
      </c>
      <c r="AJ1397">
        <v>0</v>
      </c>
      <c r="AK1397">
        <v>0</v>
      </c>
      <c r="AL1397">
        <v>0</v>
      </c>
      <c r="AM1397">
        <v>251.32</v>
      </c>
      <c r="AN1397">
        <v>251.32</v>
      </c>
      <c r="AO1397">
        <v>251.32</v>
      </c>
      <c r="AP1397" s="2">
        <v>42746</v>
      </c>
      <c r="AQ1397" t="s">
        <v>72</v>
      </c>
      <c r="AR1397" t="s">
        <v>72</v>
      </c>
      <c r="AS1397">
        <v>3628</v>
      </c>
      <c r="AT1397" s="4">
        <v>42723</v>
      </c>
      <c r="AU1397" t="s">
        <v>73</v>
      </c>
      <c r="AV1397">
        <v>3628</v>
      </c>
      <c r="AW1397" s="4">
        <v>42723</v>
      </c>
      <c r="BD1397">
        <v>45.32</v>
      </c>
      <c r="BN1397" t="s">
        <v>74</v>
      </c>
    </row>
    <row r="1398" spans="1:66">
      <c r="A1398">
        <v>100352</v>
      </c>
      <c r="B1398" s="3" t="s">
        <v>162</v>
      </c>
      <c r="C1398" s="1">
        <v>43300101</v>
      </c>
      <c r="D1398" t="s">
        <v>67</v>
      </c>
      <c r="H1398" t="str">
        <f t="shared" si="124"/>
        <v>00322800376</v>
      </c>
      <c r="I1398" t="str">
        <f t="shared" si="125"/>
        <v>00503151201</v>
      </c>
      <c r="K1398" t="str">
        <f>""</f>
        <v/>
      </c>
      <c r="M1398" t="s">
        <v>68</v>
      </c>
      <c r="N1398" t="str">
        <f t="shared" si="126"/>
        <v>FOR</v>
      </c>
      <c r="O1398" t="s">
        <v>69</v>
      </c>
      <c r="P1398" s="3" t="s">
        <v>75</v>
      </c>
      <c r="Q1398">
        <v>2016</v>
      </c>
      <c r="R1398" s="2">
        <v>42391</v>
      </c>
      <c r="S1398" s="2">
        <v>42401</v>
      </c>
      <c r="T1398" s="2">
        <v>42397</v>
      </c>
      <c r="U1398" s="2">
        <v>42457</v>
      </c>
      <c r="V1398" t="s">
        <v>71</v>
      </c>
      <c r="W1398" t="str">
        <f>"             8000705"</f>
        <v xml:space="preserve">             8000705</v>
      </c>
      <c r="X1398">
        <v>318.42</v>
      </c>
      <c r="Y1398">
        <v>0</v>
      </c>
      <c r="Z1398" s="3">
        <v>261</v>
      </c>
      <c r="AA1398">
        <v>266</v>
      </c>
      <c r="AB1398" s="5">
        <v>69426</v>
      </c>
      <c r="AC1398">
        <v>261</v>
      </c>
      <c r="AD1398">
        <v>266</v>
      </c>
      <c r="AE1398" s="1">
        <v>69426</v>
      </c>
      <c r="AF1398">
        <v>57.42</v>
      </c>
      <c r="AJ1398">
        <v>0</v>
      </c>
      <c r="AK1398">
        <v>0</v>
      </c>
      <c r="AL1398">
        <v>0</v>
      </c>
      <c r="AM1398">
        <v>318.42</v>
      </c>
      <c r="AN1398">
        <v>318.42</v>
      </c>
      <c r="AO1398">
        <v>318.42</v>
      </c>
      <c r="AP1398" s="2">
        <v>42746</v>
      </c>
      <c r="AQ1398" t="s">
        <v>72</v>
      </c>
      <c r="AR1398" t="s">
        <v>72</v>
      </c>
      <c r="AS1398">
        <v>3628</v>
      </c>
      <c r="AT1398" s="4">
        <v>42723</v>
      </c>
      <c r="AU1398" t="s">
        <v>73</v>
      </c>
      <c r="AV1398">
        <v>3628</v>
      </c>
      <c r="AW1398" s="4">
        <v>42723</v>
      </c>
      <c r="BD1398">
        <v>57.42</v>
      </c>
      <c r="BN1398" t="s">
        <v>74</v>
      </c>
    </row>
    <row r="1399" spans="1:66">
      <c r="A1399">
        <v>100352</v>
      </c>
      <c r="B1399" s="3" t="s">
        <v>162</v>
      </c>
      <c r="C1399" s="1">
        <v>43300101</v>
      </c>
      <c r="D1399" t="s">
        <v>67</v>
      </c>
      <c r="H1399" t="str">
        <f t="shared" si="124"/>
        <v>00322800376</v>
      </c>
      <c r="I1399" t="str">
        <f t="shared" si="125"/>
        <v>00503151201</v>
      </c>
      <c r="K1399" t="str">
        <f>""</f>
        <v/>
      </c>
      <c r="M1399" t="s">
        <v>68</v>
      </c>
      <c r="N1399" t="str">
        <f t="shared" si="126"/>
        <v>FOR</v>
      </c>
      <c r="O1399" t="s">
        <v>69</v>
      </c>
      <c r="P1399" s="3" t="s">
        <v>75</v>
      </c>
      <c r="Q1399">
        <v>2016</v>
      </c>
      <c r="R1399" s="2">
        <v>42418</v>
      </c>
      <c r="S1399" s="2">
        <v>42425</v>
      </c>
      <c r="T1399" s="2">
        <v>42423</v>
      </c>
      <c r="U1399" s="2">
        <v>42483</v>
      </c>
      <c r="V1399" t="s">
        <v>71</v>
      </c>
      <c r="W1399" t="str">
        <f>"             8002345"</f>
        <v xml:space="preserve">             8002345</v>
      </c>
      <c r="X1399" s="1">
        <v>1830</v>
      </c>
      <c r="Y1399">
        <v>0</v>
      </c>
      <c r="Z1399" s="5">
        <v>1500</v>
      </c>
      <c r="AA1399">
        <v>240</v>
      </c>
      <c r="AB1399" s="5">
        <v>360000</v>
      </c>
      <c r="AC1399" s="1">
        <v>1500</v>
      </c>
      <c r="AD1399">
        <v>240</v>
      </c>
      <c r="AE1399" s="1">
        <v>360000</v>
      </c>
      <c r="AF1399">
        <v>330</v>
      </c>
      <c r="AJ1399">
        <v>0</v>
      </c>
      <c r="AK1399">
        <v>0</v>
      </c>
      <c r="AL1399">
        <v>0</v>
      </c>
      <c r="AM1399" s="1">
        <v>1830</v>
      </c>
      <c r="AN1399" s="1">
        <v>1830</v>
      </c>
      <c r="AO1399" s="1">
        <v>1830</v>
      </c>
      <c r="AP1399" s="2">
        <v>42746</v>
      </c>
      <c r="AQ1399" t="s">
        <v>72</v>
      </c>
      <c r="AR1399" t="s">
        <v>72</v>
      </c>
      <c r="AS1399">
        <v>3628</v>
      </c>
      <c r="AT1399" s="4">
        <v>42723</v>
      </c>
      <c r="AU1399" t="s">
        <v>73</v>
      </c>
      <c r="AV1399">
        <v>3628</v>
      </c>
      <c r="AW1399" s="4">
        <v>42723</v>
      </c>
      <c r="BD1399">
        <v>330</v>
      </c>
      <c r="BN1399" t="s">
        <v>74</v>
      </c>
    </row>
    <row r="1400" spans="1:66">
      <c r="A1400">
        <v>100352</v>
      </c>
      <c r="B1400" s="3" t="s">
        <v>162</v>
      </c>
      <c r="C1400" s="1">
        <v>43300101</v>
      </c>
      <c r="D1400" t="s">
        <v>67</v>
      </c>
      <c r="H1400" t="str">
        <f t="shared" si="124"/>
        <v>00322800376</v>
      </c>
      <c r="I1400" t="str">
        <f t="shared" si="125"/>
        <v>00503151201</v>
      </c>
      <c r="K1400" t="str">
        <f>""</f>
        <v/>
      </c>
      <c r="M1400" t="s">
        <v>68</v>
      </c>
      <c r="N1400" t="str">
        <f t="shared" si="126"/>
        <v>FOR</v>
      </c>
      <c r="O1400" t="s">
        <v>69</v>
      </c>
      <c r="P1400" s="3" t="s">
        <v>75</v>
      </c>
      <c r="Q1400">
        <v>2016</v>
      </c>
      <c r="R1400" s="2">
        <v>42447</v>
      </c>
      <c r="S1400" s="2">
        <v>42452</v>
      </c>
      <c r="T1400" s="2">
        <v>42451</v>
      </c>
      <c r="U1400" s="2">
        <v>42511</v>
      </c>
      <c r="V1400" t="s">
        <v>71</v>
      </c>
      <c r="W1400" t="str">
        <f>"             8003639"</f>
        <v xml:space="preserve">             8003639</v>
      </c>
      <c r="X1400">
        <v>502.64</v>
      </c>
      <c r="Y1400">
        <v>0</v>
      </c>
      <c r="Z1400" s="3">
        <v>412</v>
      </c>
      <c r="AA1400">
        <v>212</v>
      </c>
      <c r="AB1400" s="5">
        <v>87344</v>
      </c>
      <c r="AC1400">
        <v>412</v>
      </c>
      <c r="AD1400">
        <v>212</v>
      </c>
      <c r="AE1400" s="1">
        <v>87344</v>
      </c>
      <c r="AF1400">
        <v>90.64</v>
      </c>
      <c r="AJ1400">
        <v>0</v>
      </c>
      <c r="AK1400">
        <v>0</v>
      </c>
      <c r="AL1400">
        <v>0</v>
      </c>
      <c r="AM1400">
        <v>502.64</v>
      </c>
      <c r="AN1400">
        <v>502.64</v>
      </c>
      <c r="AO1400">
        <v>502.64</v>
      </c>
      <c r="AP1400" s="2">
        <v>42746</v>
      </c>
      <c r="AQ1400" t="s">
        <v>72</v>
      </c>
      <c r="AR1400" t="s">
        <v>72</v>
      </c>
      <c r="AS1400">
        <v>3628</v>
      </c>
      <c r="AT1400" s="4">
        <v>42723</v>
      </c>
      <c r="AU1400" t="s">
        <v>73</v>
      </c>
      <c r="AV1400">
        <v>3628</v>
      </c>
      <c r="AW1400" s="4">
        <v>42723</v>
      </c>
      <c r="BD1400">
        <v>90.64</v>
      </c>
      <c r="BN1400" t="s">
        <v>74</v>
      </c>
    </row>
    <row r="1401" spans="1:66">
      <c r="A1401">
        <v>100352</v>
      </c>
      <c r="B1401" s="3" t="s">
        <v>162</v>
      </c>
      <c r="C1401" s="1">
        <v>43300101</v>
      </c>
      <c r="D1401" t="s">
        <v>67</v>
      </c>
      <c r="H1401" t="str">
        <f t="shared" si="124"/>
        <v>00322800376</v>
      </c>
      <c r="I1401" t="str">
        <f t="shared" si="125"/>
        <v>00503151201</v>
      </c>
      <c r="K1401" t="str">
        <f>""</f>
        <v/>
      </c>
      <c r="M1401" t="s">
        <v>68</v>
      </c>
      <c r="N1401" t="str">
        <f t="shared" si="126"/>
        <v>FOR</v>
      </c>
      <c r="O1401" t="s">
        <v>69</v>
      </c>
      <c r="P1401" s="3" t="s">
        <v>75</v>
      </c>
      <c r="Q1401">
        <v>2016</v>
      </c>
      <c r="R1401" s="2">
        <v>42458</v>
      </c>
      <c r="S1401" s="2">
        <v>42545</v>
      </c>
      <c r="T1401" s="2">
        <v>42461</v>
      </c>
      <c r="U1401" s="2">
        <v>42521</v>
      </c>
      <c r="V1401" t="s">
        <v>71</v>
      </c>
      <c r="W1401" t="str">
        <f>"             8004716"</f>
        <v xml:space="preserve">             8004716</v>
      </c>
      <c r="X1401">
        <v>197.64</v>
      </c>
      <c r="Y1401">
        <v>0</v>
      </c>
      <c r="Z1401" s="3">
        <v>162</v>
      </c>
      <c r="AA1401">
        <v>202</v>
      </c>
      <c r="AB1401" s="5">
        <v>32724</v>
      </c>
      <c r="AC1401">
        <v>162</v>
      </c>
      <c r="AD1401">
        <v>202</v>
      </c>
      <c r="AE1401" s="1">
        <v>32724</v>
      </c>
      <c r="AF1401">
        <v>35.64</v>
      </c>
      <c r="AJ1401">
        <v>0</v>
      </c>
      <c r="AK1401">
        <v>0</v>
      </c>
      <c r="AL1401">
        <v>0</v>
      </c>
      <c r="AM1401">
        <v>197.64</v>
      </c>
      <c r="AN1401">
        <v>197.64</v>
      </c>
      <c r="AO1401">
        <v>197.64</v>
      </c>
      <c r="AP1401" s="2">
        <v>42746</v>
      </c>
      <c r="AQ1401" t="s">
        <v>72</v>
      </c>
      <c r="AR1401" t="s">
        <v>72</v>
      </c>
      <c r="AS1401">
        <v>3628</v>
      </c>
      <c r="AT1401" s="4">
        <v>42723</v>
      </c>
      <c r="AU1401" t="s">
        <v>73</v>
      </c>
      <c r="AV1401">
        <v>3628</v>
      </c>
      <c r="AW1401" s="4">
        <v>42723</v>
      </c>
      <c r="BD1401">
        <v>35.64</v>
      </c>
      <c r="BN1401" t="s">
        <v>74</v>
      </c>
    </row>
    <row r="1402" spans="1:66">
      <c r="A1402">
        <v>100352</v>
      </c>
      <c r="B1402" s="3" t="s">
        <v>162</v>
      </c>
      <c r="C1402" s="1">
        <v>43300101</v>
      </c>
      <c r="D1402" t="s">
        <v>67</v>
      </c>
      <c r="H1402" t="str">
        <f t="shared" si="124"/>
        <v>00322800376</v>
      </c>
      <c r="I1402" t="str">
        <f t="shared" si="125"/>
        <v>00503151201</v>
      </c>
      <c r="K1402" t="str">
        <f>""</f>
        <v/>
      </c>
      <c r="M1402" t="s">
        <v>68</v>
      </c>
      <c r="N1402" t="str">
        <f t="shared" si="126"/>
        <v>FOR</v>
      </c>
      <c r="O1402" t="s">
        <v>69</v>
      </c>
      <c r="P1402" s="3" t="s">
        <v>75</v>
      </c>
      <c r="Q1402">
        <v>2016</v>
      </c>
      <c r="R1402" s="2">
        <v>42458</v>
      </c>
      <c r="S1402" s="2">
        <v>42464</v>
      </c>
      <c r="T1402" s="2">
        <v>42461</v>
      </c>
      <c r="U1402" s="2">
        <v>42521</v>
      </c>
      <c r="V1402" t="s">
        <v>71</v>
      </c>
      <c r="W1402" t="str">
        <f>"             8004717"</f>
        <v xml:space="preserve">             8004717</v>
      </c>
      <c r="X1402">
        <v>120.78</v>
      </c>
      <c r="Y1402">
        <v>0</v>
      </c>
      <c r="Z1402" s="3">
        <v>99</v>
      </c>
      <c r="AA1402">
        <v>202</v>
      </c>
      <c r="AB1402" s="5">
        <v>19998</v>
      </c>
      <c r="AC1402">
        <v>99</v>
      </c>
      <c r="AD1402">
        <v>202</v>
      </c>
      <c r="AE1402" s="1">
        <v>19998</v>
      </c>
      <c r="AF1402">
        <v>21.78</v>
      </c>
      <c r="AJ1402">
        <v>0</v>
      </c>
      <c r="AK1402">
        <v>0</v>
      </c>
      <c r="AL1402">
        <v>0</v>
      </c>
      <c r="AM1402">
        <v>120.78</v>
      </c>
      <c r="AN1402">
        <v>120.78</v>
      </c>
      <c r="AO1402">
        <v>120.78</v>
      </c>
      <c r="AP1402" s="2">
        <v>42746</v>
      </c>
      <c r="AQ1402" t="s">
        <v>72</v>
      </c>
      <c r="AR1402" t="s">
        <v>72</v>
      </c>
      <c r="AS1402">
        <v>3628</v>
      </c>
      <c r="AT1402" s="4">
        <v>42723</v>
      </c>
      <c r="AU1402" t="s">
        <v>73</v>
      </c>
      <c r="AV1402">
        <v>3628</v>
      </c>
      <c r="AW1402" s="4">
        <v>42723</v>
      </c>
      <c r="BD1402">
        <v>21.78</v>
      </c>
      <c r="BN1402" t="s">
        <v>74</v>
      </c>
    </row>
    <row r="1403" spans="1:66" hidden="1">
      <c r="A1403">
        <v>100353</v>
      </c>
      <c r="B1403" s="3" t="s">
        <v>163</v>
      </c>
      <c r="C1403" s="1">
        <v>43300101</v>
      </c>
      <c r="D1403" t="s">
        <v>67</v>
      </c>
      <c r="H1403" t="str">
        <f t="shared" ref="H1403:I1406" si="127">"04559761210"</f>
        <v>04559761210</v>
      </c>
      <c r="I1403" t="str">
        <f t="shared" si="127"/>
        <v>04559761210</v>
      </c>
      <c r="K1403" t="str">
        <f>""</f>
        <v/>
      </c>
      <c r="M1403" t="s">
        <v>68</v>
      </c>
      <c r="N1403" t="str">
        <f t="shared" si="126"/>
        <v>FOR</v>
      </c>
      <c r="O1403" t="s">
        <v>69</v>
      </c>
      <c r="P1403" s="3" t="s">
        <v>70</v>
      </c>
      <c r="Q1403">
        <v>2014</v>
      </c>
      <c r="R1403" s="2">
        <v>41985</v>
      </c>
      <c r="S1403" s="2">
        <v>41995</v>
      </c>
      <c r="T1403" s="2">
        <v>41995</v>
      </c>
      <c r="U1403" s="2">
        <v>42055</v>
      </c>
      <c r="V1403" t="s">
        <v>71</v>
      </c>
      <c r="W1403" t="str">
        <f>"                1017"</f>
        <v xml:space="preserve">                1017</v>
      </c>
      <c r="X1403">
        <v>507.52</v>
      </c>
      <c r="Y1403">
        <v>0</v>
      </c>
      <c r="Z1403"/>
      <c r="AB1403"/>
      <c r="AC1403">
        <v>507.52</v>
      </c>
      <c r="AD1403">
        <v>346</v>
      </c>
      <c r="AE1403" s="1">
        <v>175601.92000000001</v>
      </c>
      <c r="AF1403">
        <v>0</v>
      </c>
      <c r="AJ1403">
        <v>0</v>
      </c>
      <c r="AK1403">
        <v>0</v>
      </c>
      <c r="AL1403">
        <v>0</v>
      </c>
      <c r="AM1403">
        <v>0</v>
      </c>
      <c r="AN1403">
        <v>0</v>
      </c>
      <c r="AO1403">
        <v>0</v>
      </c>
      <c r="AP1403" s="2">
        <v>42746</v>
      </c>
      <c r="AQ1403" t="s">
        <v>72</v>
      </c>
      <c r="AR1403" t="s">
        <v>72</v>
      </c>
      <c r="AS1403">
        <v>173</v>
      </c>
      <c r="AT1403" s="4">
        <v>42401</v>
      </c>
      <c r="AU1403" t="s">
        <v>73</v>
      </c>
      <c r="AV1403">
        <v>173</v>
      </c>
      <c r="AW1403" s="4">
        <v>42401</v>
      </c>
      <c r="BD1403">
        <v>0</v>
      </c>
      <c r="BN1403" t="s">
        <v>74</v>
      </c>
    </row>
    <row r="1404" spans="1:66" hidden="1">
      <c r="A1404">
        <v>100353</v>
      </c>
      <c r="B1404" s="3" t="s">
        <v>163</v>
      </c>
      <c r="C1404" s="1">
        <v>43300101</v>
      </c>
      <c r="D1404" t="s">
        <v>67</v>
      </c>
      <c r="H1404" t="str">
        <f t="shared" si="127"/>
        <v>04559761210</v>
      </c>
      <c r="I1404" t="str">
        <f t="shared" si="127"/>
        <v>04559761210</v>
      </c>
      <c r="K1404" t="str">
        <f>""</f>
        <v/>
      </c>
      <c r="M1404" t="s">
        <v>68</v>
      </c>
      <c r="N1404" t="str">
        <f t="shared" si="126"/>
        <v>FOR</v>
      </c>
      <c r="O1404" t="s">
        <v>69</v>
      </c>
      <c r="P1404" s="3" t="s">
        <v>70</v>
      </c>
      <c r="Q1404">
        <v>2015</v>
      </c>
      <c r="R1404" s="2">
        <v>42083</v>
      </c>
      <c r="S1404" s="2">
        <v>42087</v>
      </c>
      <c r="T1404" s="2">
        <v>42087</v>
      </c>
      <c r="U1404" s="2">
        <v>42147</v>
      </c>
      <c r="V1404" t="s">
        <v>71</v>
      </c>
      <c r="W1404" t="str">
        <f>"                 253"</f>
        <v xml:space="preserve">                 253</v>
      </c>
      <c r="X1404">
        <v>507.52</v>
      </c>
      <c r="Y1404">
        <v>0</v>
      </c>
      <c r="Z1404"/>
      <c r="AB1404"/>
      <c r="AC1404">
        <v>416</v>
      </c>
      <c r="AD1404">
        <v>254</v>
      </c>
      <c r="AE1404" s="1">
        <v>105664</v>
      </c>
      <c r="AF1404">
        <v>0</v>
      </c>
      <c r="AJ1404">
        <v>0</v>
      </c>
      <c r="AK1404">
        <v>0</v>
      </c>
      <c r="AL1404">
        <v>0</v>
      </c>
      <c r="AM1404">
        <v>0</v>
      </c>
      <c r="AN1404">
        <v>0</v>
      </c>
      <c r="AO1404">
        <v>0</v>
      </c>
      <c r="AP1404" s="2">
        <v>42746</v>
      </c>
      <c r="AQ1404" t="s">
        <v>72</v>
      </c>
      <c r="AR1404" t="s">
        <v>72</v>
      </c>
      <c r="AS1404">
        <v>173</v>
      </c>
      <c r="AT1404" s="4">
        <v>42401</v>
      </c>
      <c r="AU1404" t="s">
        <v>73</v>
      </c>
      <c r="AV1404">
        <v>173</v>
      </c>
      <c r="AW1404" s="4">
        <v>42401</v>
      </c>
      <c r="BD1404">
        <v>0</v>
      </c>
      <c r="BN1404" t="s">
        <v>74</v>
      </c>
    </row>
    <row r="1405" spans="1:66" hidden="1">
      <c r="A1405">
        <v>100353</v>
      </c>
      <c r="B1405" s="3" t="s">
        <v>163</v>
      </c>
      <c r="C1405" s="1">
        <v>43300101</v>
      </c>
      <c r="D1405" t="s">
        <v>67</v>
      </c>
      <c r="H1405" t="str">
        <f t="shared" si="127"/>
        <v>04559761210</v>
      </c>
      <c r="I1405" t="str">
        <f t="shared" si="127"/>
        <v>04559761210</v>
      </c>
      <c r="K1405" t="str">
        <f>""</f>
        <v/>
      </c>
      <c r="M1405" t="s">
        <v>68</v>
      </c>
      <c r="N1405" t="str">
        <f t="shared" si="126"/>
        <v>FOR</v>
      </c>
      <c r="O1405" t="s">
        <v>69</v>
      </c>
      <c r="P1405" s="3" t="s">
        <v>75</v>
      </c>
      <c r="Q1405">
        <v>2015</v>
      </c>
      <c r="R1405" s="2">
        <v>42206</v>
      </c>
      <c r="S1405" s="2">
        <v>42300</v>
      </c>
      <c r="T1405" s="2">
        <v>42299</v>
      </c>
      <c r="U1405" s="2">
        <v>42359</v>
      </c>
      <c r="V1405" t="s">
        <v>71</v>
      </c>
      <c r="W1405" t="str">
        <f>"         FATTPA 1_15"</f>
        <v xml:space="preserve">         FATTPA 1_15</v>
      </c>
      <c r="X1405">
        <v>507.52</v>
      </c>
      <c r="Y1405">
        <v>0</v>
      </c>
      <c r="Z1405"/>
      <c r="AB1405"/>
      <c r="AC1405">
        <v>416</v>
      </c>
      <c r="AD1405">
        <v>42</v>
      </c>
      <c r="AE1405" s="1">
        <v>17472</v>
      </c>
      <c r="AF1405">
        <v>0</v>
      </c>
      <c r="AJ1405">
        <v>0</v>
      </c>
      <c r="AK1405">
        <v>0</v>
      </c>
      <c r="AL1405">
        <v>0</v>
      </c>
      <c r="AM1405">
        <v>0</v>
      </c>
      <c r="AN1405">
        <v>0</v>
      </c>
      <c r="AO1405">
        <v>0</v>
      </c>
      <c r="AP1405" s="2">
        <v>42746</v>
      </c>
      <c r="AQ1405" t="s">
        <v>72</v>
      </c>
      <c r="AR1405" t="s">
        <v>72</v>
      </c>
      <c r="AS1405">
        <v>173</v>
      </c>
      <c r="AT1405" s="4">
        <v>42401</v>
      </c>
      <c r="AU1405" t="s">
        <v>73</v>
      </c>
      <c r="AV1405">
        <v>173</v>
      </c>
      <c r="AW1405" s="4">
        <v>42401</v>
      </c>
      <c r="BD1405">
        <v>0</v>
      </c>
      <c r="BN1405" t="s">
        <v>74</v>
      </c>
    </row>
    <row r="1406" spans="1:66" hidden="1">
      <c r="A1406">
        <v>100353</v>
      </c>
      <c r="B1406" s="3" t="s">
        <v>163</v>
      </c>
      <c r="C1406" s="1">
        <v>43300101</v>
      </c>
      <c r="D1406" t="s">
        <v>67</v>
      </c>
      <c r="H1406" t="str">
        <f t="shared" si="127"/>
        <v>04559761210</v>
      </c>
      <c r="I1406" t="str">
        <f t="shared" si="127"/>
        <v>04559761210</v>
      </c>
      <c r="K1406" t="str">
        <f>""</f>
        <v/>
      </c>
      <c r="M1406" t="s">
        <v>68</v>
      </c>
      <c r="N1406" t="str">
        <f t="shared" si="126"/>
        <v>FOR</v>
      </c>
      <c r="O1406" t="s">
        <v>69</v>
      </c>
      <c r="P1406" s="3" t="s">
        <v>75</v>
      </c>
      <c r="Q1406">
        <v>2015</v>
      </c>
      <c r="R1406" s="2">
        <v>42367</v>
      </c>
      <c r="S1406" s="2">
        <v>42369</v>
      </c>
      <c r="T1406" s="2">
        <v>42369</v>
      </c>
      <c r="U1406" s="2">
        <v>42429</v>
      </c>
      <c r="V1406" t="s">
        <v>71</v>
      </c>
      <c r="W1406" t="str">
        <f>"         FATTPA 2_15"</f>
        <v xml:space="preserve">         FATTPA 2_15</v>
      </c>
      <c r="X1406">
        <v>253.76</v>
      </c>
      <c r="Y1406">
        <v>0</v>
      </c>
      <c r="Z1406"/>
      <c r="AB1406"/>
      <c r="AC1406">
        <v>208</v>
      </c>
      <c r="AD1406">
        <v>-28</v>
      </c>
      <c r="AE1406" s="1">
        <v>-5824</v>
      </c>
      <c r="AF1406">
        <v>0</v>
      </c>
      <c r="AJ1406">
        <v>0</v>
      </c>
      <c r="AK1406">
        <v>0</v>
      </c>
      <c r="AL1406">
        <v>0</v>
      </c>
      <c r="AM1406">
        <v>0</v>
      </c>
      <c r="AN1406">
        <v>0</v>
      </c>
      <c r="AO1406">
        <v>0</v>
      </c>
      <c r="AP1406" s="2">
        <v>42746</v>
      </c>
      <c r="AQ1406" t="s">
        <v>72</v>
      </c>
      <c r="AR1406" t="s">
        <v>72</v>
      </c>
      <c r="AS1406">
        <v>173</v>
      </c>
      <c r="AT1406" s="4">
        <v>42401</v>
      </c>
      <c r="AV1406">
        <v>173</v>
      </c>
      <c r="AW1406" s="4">
        <v>42401</v>
      </c>
      <c r="BD1406">
        <v>0</v>
      </c>
      <c r="BN1406" t="s">
        <v>74</v>
      </c>
    </row>
    <row r="1407" spans="1:66">
      <c r="A1407">
        <v>100360</v>
      </c>
      <c r="B1407" s="3" t="s">
        <v>164</v>
      </c>
      <c r="C1407" s="1">
        <v>43300101</v>
      </c>
      <c r="D1407" t="s">
        <v>67</v>
      </c>
      <c r="H1407" t="str">
        <f>"00076810621"</f>
        <v>00076810621</v>
      </c>
      <c r="I1407" t="str">
        <f>"00076810621"</f>
        <v>00076810621</v>
      </c>
      <c r="K1407" t="str">
        <f>""</f>
        <v/>
      </c>
      <c r="M1407" t="s">
        <v>68</v>
      </c>
      <c r="N1407" t="str">
        <f t="shared" si="126"/>
        <v>FOR</v>
      </c>
      <c r="O1407" t="s">
        <v>69</v>
      </c>
      <c r="P1407" s="3" t="s">
        <v>75</v>
      </c>
      <c r="Q1407">
        <v>2016</v>
      </c>
      <c r="R1407" s="2">
        <v>42538</v>
      </c>
      <c r="S1407" s="2">
        <v>42557</v>
      </c>
      <c r="T1407" s="2">
        <v>42555</v>
      </c>
      <c r="U1407" s="2">
        <v>42615</v>
      </c>
      <c r="V1407" t="s">
        <v>71</v>
      </c>
      <c r="W1407" t="str">
        <f>"            SC/60155"</f>
        <v xml:space="preserve">            SC/60155</v>
      </c>
      <c r="X1407">
        <v>351.34</v>
      </c>
      <c r="Y1407">
        <v>0</v>
      </c>
      <c r="Z1407" s="3">
        <v>318.31</v>
      </c>
      <c r="AA1407">
        <v>66</v>
      </c>
      <c r="AB1407" s="5">
        <v>21008.46</v>
      </c>
      <c r="AC1407">
        <v>318.31</v>
      </c>
      <c r="AD1407">
        <v>66</v>
      </c>
      <c r="AE1407" s="1">
        <v>21008.46</v>
      </c>
      <c r="AF1407">
        <v>33.03</v>
      </c>
      <c r="AJ1407">
        <v>0</v>
      </c>
      <c r="AK1407">
        <v>0</v>
      </c>
      <c r="AL1407">
        <v>0</v>
      </c>
      <c r="AM1407">
        <v>351.34</v>
      </c>
      <c r="AN1407">
        <v>351.34</v>
      </c>
      <c r="AO1407">
        <v>351.34</v>
      </c>
      <c r="AP1407" s="2">
        <v>42746</v>
      </c>
      <c r="AQ1407" t="s">
        <v>72</v>
      </c>
      <c r="AR1407" t="s">
        <v>72</v>
      </c>
      <c r="AS1407">
        <v>2946</v>
      </c>
      <c r="AT1407" s="4">
        <v>42681</v>
      </c>
      <c r="AU1407" t="s">
        <v>73</v>
      </c>
      <c r="AV1407">
        <v>2946</v>
      </c>
      <c r="AW1407" s="4">
        <v>42681</v>
      </c>
      <c r="BA1407">
        <v>33.03</v>
      </c>
      <c r="BD1407">
        <v>0</v>
      </c>
      <c r="BN1407" t="s">
        <v>74</v>
      </c>
    </row>
    <row r="1408" spans="1:66" hidden="1">
      <c r="A1408">
        <v>100362</v>
      </c>
      <c r="B1408" s="3" t="s">
        <v>165</v>
      </c>
      <c r="C1408" s="1">
        <v>43300101</v>
      </c>
      <c r="D1408" t="s">
        <v>67</v>
      </c>
      <c r="H1408" t="str">
        <f>"00394440481"</f>
        <v>00394440481</v>
      </c>
      <c r="I1408" t="str">
        <f>"00394440481"</f>
        <v>00394440481</v>
      </c>
      <c r="K1408" t="str">
        <f>""</f>
        <v/>
      </c>
      <c r="M1408" t="s">
        <v>68</v>
      </c>
      <c r="N1408" t="str">
        <f t="shared" si="126"/>
        <v>FOR</v>
      </c>
      <c r="O1408" t="s">
        <v>69</v>
      </c>
      <c r="P1408" s="3" t="s">
        <v>75</v>
      </c>
      <c r="Q1408">
        <v>2015</v>
      </c>
      <c r="R1408" s="2">
        <v>42184</v>
      </c>
      <c r="S1408" s="2">
        <v>42191</v>
      </c>
      <c r="T1408" s="2">
        <v>42188</v>
      </c>
      <c r="U1408" s="2">
        <v>42248</v>
      </c>
      <c r="V1408" t="s">
        <v>71</v>
      </c>
      <c r="W1408" t="str">
        <f>"              900041"</f>
        <v xml:space="preserve">              900041</v>
      </c>
      <c r="X1408" s="1">
        <v>8244.27</v>
      </c>
      <c r="Y1408">
        <v>0</v>
      </c>
      <c r="Z1408"/>
      <c r="AB1408"/>
      <c r="AC1408" s="1">
        <v>6757.6</v>
      </c>
      <c r="AD1408">
        <v>272</v>
      </c>
      <c r="AE1408" s="1">
        <v>1838067.2</v>
      </c>
      <c r="AF1408">
        <v>0</v>
      </c>
      <c r="AJ1408">
        <v>0</v>
      </c>
      <c r="AK1408">
        <v>0</v>
      </c>
      <c r="AL1408">
        <v>0</v>
      </c>
      <c r="AM1408">
        <v>0</v>
      </c>
      <c r="AN1408">
        <v>0</v>
      </c>
      <c r="AO1408">
        <v>0</v>
      </c>
      <c r="AP1408" s="2">
        <v>42746</v>
      </c>
      <c r="AQ1408" t="s">
        <v>72</v>
      </c>
      <c r="AR1408" t="s">
        <v>72</v>
      </c>
      <c r="AS1408">
        <v>1446</v>
      </c>
      <c r="AT1408" s="4">
        <v>42520</v>
      </c>
      <c r="AU1408" t="s">
        <v>73</v>
      </c>
      <c r="AV1408">
        <v>1446</v>
      </c>
      <c r="AW1408" s="4">
        <v>42520</v>
      </c>
      <c r="BD1408">
        <v>0</v>
      </c>
      <c r="BN1408" t="s">
        <v>74</v>
      </c>
    </row>
    <row r="1409" spans="1:66" hidden="1">
      <c r="A1409">
        <v>100364</v>
      </c>
      <c r="B1409" s="3" t="s">
        <v>166</v>
      </c>
      <c r="C1409" s="1">
        <v>43300101</v>
      </c>
      <c r="D1409" t="s">
        <v>67</v>
      </c>
      <c r="H1409" t="str">
        <f t="shared" ref="H1409:I1413" si="128">"00212840235"</f>
        <v>00212840235</v>
      </c>
      <c r="I1409" t="str">
        <f t="shared" si="128"/>
        <v>00212840235</v>
      </c>
      <c r="K1409" t="str">
        <f>""</f>
        <v/>
      </c>
      <c r="M1409" t="s">
        <v>68</v>
      </c>
      <c r="N1409" t="str">
        <f t="shared" si="126"/>
        <v>FOR</v>
      </c>
      <c r="O1409" t="s">
        <v>69</v>
      </c>
      <c r="P1409" s="3" t="s">
        <v>75</v>
      </c>
      <c r="Q1409">
        <v>2015</v>
      </c>
      <c r="R1409" s="2">
        <v>42222</v>
      </c>
      <c r="S1409" s="2">
        <v>42296</v>
      </c>
      <c r="T1409" s="2">
        <v>42293</v>
      </c>
      <c r="U1409" s="2">
        <v>42353</v>
      </c>
      <c r="V1409" t="s">
        <v>71</v>
      </c>
      <c r="W1409" t="str">
        <f>"     000001015022203"</f>
        <v xml:space="preserve">     000001015022203</v>
      </c>
      <c r="X1409">
        <v>875</v>
      </c>
      <c r="Y1409">
        <v>0</v>
      </c>
      <c r="Z1409"/>
      <c r="AB1409"/>
      <c r="AC1409">
        <v>795.45</v>
      </c>
      <c r="AD1409">
        <v>52</v>
      </c>
      <c r="AE1409" s="1">
        <v>41363.4</v>
      </c>
      <c r="AF1409">
        <v>0</v>
      </c>
      <c r="AJ1409">
        <v>0</v>
      </c>
      <c r="AK1409">
        <v>0</v>
      </c>
      <c r="AL1409">
        <v>0</v>
      </c>
      <c r="AM1409">
        <v>0</v>
      </c>
      <c r="AN1409">
        <v>0</v>
      </c>
      <c r="AO1409">
        <v>0</v>
      </c>
      <c r="AP1409" s="2">
        <v>42746</v>
      </c>
      <c r="AQ1409" t="s">
        <v>72</v>
      </c>
      <c r="AR1409" t="s">
        <v>72</v>
      </c>
      <c r="AS1409">
        <v>285</v>
      </c>
      <c r="AT1409" s="4">
        <v>42405</v>
      </c>
      <c r="AU1409" t="s">
        <v>73</v>
      </c>
      <c r="AV1409">
        <v>285</v>
      </c>
      <c r="AW1409" s="4">
        <v>42405</v>
      </c>
      <c r="BD1409">
        <v>0</v>
      </c>
      <c r="BN1409" t="s">
        <v>74</v>
      </c>
    </row>
    <row r="1410" spans="1:66" hidden="1">
      <c r="A1410">
        <v>100364</v>
      </c>
      <c r="B1410" s="3" t="s">
        <v>166</v>
      </c>
      <c r="C1410" s="1">
        <v>43300101</v>
      </c>
      <c r="D1410" t="s">
        <v>67</v>
      </c>
      <c r="H1410" t="str">
        <f t="shared" si="128"/>
        <v>00212840235</v>
      </c>
      <c r="I1410" t="str">
        <f t="shared" si="128"/>
        <v>00212840235</v>
      </c>
      <c r="K1410" t="str">
        <f>""</f>
        <v/>
      </c>
      <c r="M1410" t="s">
        <v>68</v>
      </c>
      <c r="N1410" t="str">
        <f t="shared" si="126"/>
        <v>FOR</v>
      </c>
      <c r="O1410" t="s">
        <v>69</v>
      </c>
      <c r="P1410" s="3" t="s">
        <v>100</v>
      </c>
      <c r="Q1410">
        <v>2015</v>
      </c>
      <c r="R1410" s="2">
        <v>42269</v>
      </c>
      <c r="S1410" s="2">
        <v>42369</v>
      </c>
      <c r="T1410" s="2">
        <v>42369</v>
      </c>
      <c r="U1410" s="2">
        <v>42429</v>
      </c>
      <c r="V1410" t="s">
        <v>71</v>
      </c>
      <c r="W1410" t="str">
        <f>"     000001015027251"</f>
        <v xml:space="preserve">     000001015027251</v>
      </c>
      <c r="X1410" s="1">
        <v>-1310.4000000000001</v>
      </c>
      <c r="Y1410">
        <v>0</v>
      </c>
      <c r="Z1410"/>
      <c r="AB1410"/>
      <c r="AC1410" s="1">
        <v>-1191.27</v>
      </c>
      <c r="AD1410">
        <v>-24</v>
      </c>
      <c r="AE1410" s="1">
        <v>28590.48</v>
      </c>
      <c r="AF1410">
        <v>0</v>
      </c>
      <c r="AJ1410">
        <v>0</v>
      </c>
      <c r="AK1410">
        <v>0</v>
      </c>
      <c r="AL1410">
        <v>0</v>
      </c>
      <c r="AM1410">
        <v>0</v>
      </c>
      <c r="AN1410">
        <v>0</v>
      </c>
      <c r="AO1410">
        <v>0</v>
      </c>
      <c r="AP1410" s="2">
        <v>42746</v>
      </c>
      <c r="AQ1410" t="s">
        <v>72</v>
      </c>
      <c r="AR1410" t="s">
        <v>72</v>
      </c>
      <c r="AS1410">
        <v>285</v>
      </c>
      <c r="AT1410" s="4">
        <v>42405</v>
      </c>
      <c r="AV1410">
        <v>285</v>
      </c>
      <c r="AW1410" s="4">
        <v>42405</v>
      </c>
      <c r="BD1410">
        <v>0</v>
      </c>
      <c r="BN1410" t="s">
        <v>74</v>
      </c>
    </row>
    <row r="1411" spans="1:66" hidden="1">
      <c r="A1411">
        <v>100364</v>
      </c>
      <c r="B1411" s="3" t="s">
        <v>166</v>
      </c>
      <c r="C1411" s="1">
        <v>43300101</v>
      </c>
      <c r="D1411" t="s">
        <v>67</v>
      </c>
      <c r="H1411" t="str">
        <f t="shared" si="128"/>
        <v>00212840235</v>
      </c>
      <c r="I1411" t="str">
        <f t="shared" si="128"/>
        <v>00212840235</v>
      </c>
      <c r="K1411" t="str">
        <f>""</f>
        <v/>
      </c>
      <c r="M1411" t="s">
        <v>68</v>
      </c>
      <c r="N1411" t="str">
        <f t="shared" si="126"/>
        <v>FOR</v>
      </c>
      <c r="O1411" t="s">
        <v>69</v>
      </c>
      <c r="P1411" s="3" t="s">
        <v>75</v>
      </c>
      <c r="Q1411">
        <v>2015</v>
      </c>
      <c r="R1411" s="2">
        <v>42306</v>
      </c>
      <c r="S1411" s="2">
        <v>42310</v>
      </c>
      <c r="T1411" s="2">
        <v>42307</v>
      </c>
      <c r="U1411" s="2">
        <v>42367</v>
      </c>
      <c r="V1411" t="s">
        <v>71</v>
      </c>
      <c r="W1411" t="str">
        <f>"     000001015032316"</f>
        <v xml:space="preserve">     000001015032316</v>
      </c>
      <c r="X1411">
        <v>875</v>
      </c>
      <c r="Y1411">
        <v>0</v>
      </c>
      <c r="Z1411"/>
      <c r="AB1411"/>
      <c r="AC1411">
        <v>795.45</v>
      </c>
      <c r="AD1411">
        <v>38</v>
      </c>
      <c r="AE1411" s="1">
        <v>30227.1</v>
      </c>
      <c r="AF1411">
        <v>0</v>
      </c>
      <c r="AJ1411">
        <v>0</v>
      </c>
      <c r="AK1411">
        <v>0</v>
      </c>
      <c r="AL1411">
        <v>0</v>
      </c>
      <c r="AM1411">
        <v>0</v>
      </c>
      <c r="AN1411">
        <v>0</v>
      </c>
      <c r="AO1411">
        <v>0</v>
      </c>
      <c r="AP1411" s="2">
        <v>42746</v>
      </c>
      <c r="AQ1411" t="s">
        <v>72</v>
      </c>
      <c r="AR1411" t="s">
        <v>72</v>
      </c>
      <c r="AS1411">
        <v>285</v>
      </c>
      <c r="AT1411" s="4">
        <v>42405</v>
      </c>
      <c r="AU1411" t="s">
        <v>73</v>
      </c>
      <c r="AV1411">
        <v>285</v>
      </c>
      <c r="AW1411" s="4">
        <v>42405</v>
      </c>
      <c r="BD1411">
        <v>0</v>
      </c>
      <c r="BN1411" t="s">
        <v>74</v>
      </c>
    </row>
    <row r="1412" spans="1:66">
      <c r="A1412">
        <v>100364</v>
      </c>
      <c r="B1412" s="3" t="s">
        <v>166</v>
      </c>
      <c r="C1412" s="1">
        <v>43300101</v>
      </c>
      <c r="D1412" t="s">
        <v>67</v>
      </c>
      <c r="H1412" t="str">
        <f t="shared" si="128"/>
        <v>00212840235</v>
      </c>
      <c r="I1412" t="str">
        <f t="shared" si="128"/>
        <v>00212840235</v>
      </c>
      <c r="K1412" t="str">
        <f>""</f>
        <v/>
      </c>
      <c r="M1412" t="s">
        <v>68</v>
      </c>
      <c r="N1412" t="str">
        <f t="shared" si="126"/>
        <v>FOR</v>
      </c>
      <c r="O1412" t="s">
        <v>69</v>
      </c>
      <c r="P1412" s="3" t="s">
        <v>75</v>
      </c>
      <c r="Q1412">
        <v>2016</v>
      </c>
      <c r="R1412" s="2">
        <v>42579</v>
      </c>
      <c r="S1412" s="2">
        <v>42584</v>
      </c>
      <c r="T1412" s="2">
        <v>42580</v>
      </c>
      <c r="U1412" s="2">
        <v>42640</v>
      </c>
      <c r="V1412" t="s">
        <v>71</v>
      </c>
      <c r="W1412" t="str">
        <f>"    0000001000022951"</f>
        <v xml:space="preserve">    0000001000022951</v>
      </c>
      <c r="X1412">
        <v>408.74</v>
      </c>
      <c r="Y1412">
        <v>0</v>
      </c>
      <c r="Z1412" s="3">
        <v>371.58</v>
      </c>
      <c r="AA1412">
        <v>44</v>
      </c>
      <c r="AB1412" s="5">
        <v>16349.52</v>
      </c>
      <c r="AC1412">
        <v>371.58</v>
      </c>
      <c r="AD1412">
        <v>44</v>
      </c>
      <c r="AE1412" s="1">
        <v>16349.52</v>
      </c>
      <c r="AF1412">
        <v>0</v>
      </c>
      <c r="AJ1412">
        <v>0</v>
      </c>
      <c r="AK1412">
        <v>0</v>
      </c>
      <c r="AL1412">
        <v>0</v>
      </c>
      <c r="AM1412">
        <v>408.74</v>
      </c>
      <c r="AN1412">
        <v>408.74</v>
      </c>
      <c r="AO1412">
        <v>408.74</v>
      </c>
      <c r="AP1412" s="2">
        <v>42746</v>
      </c>
      <c r="AQ1412" t="s">
        <v>72</v>
      </c>
      <c r="AR1412" t="s">
        <v>72</v>
      </c>
      <c r="AS1412">
        <v>3042</v>
      </c>
      <c r="AT1412" s="4">
        <v>42684</v>
      </c>
      <c r="AU1412" t="s">
        <v>73</v>
      </c>
      <c r="AV1412">
        <v>3042</v>
      </c>
      <c r="AW1412" s="4">
        <v>42684</v>
      </c>
      <c r="BD1412">
        <v>0</v>
      </c>
      <c r="BN1412" t="s">
        <v>74</v>
      </c>
    </row>
    <row r="1413" spans="1:66">
      <c r="A1413">
        <v>100364</v>
      </c>
      <c r="B1413" s="3" t="s">
        <v>166</v>
      </c>
      <c r="C1413" s="1">
        <v>43300101</v>
      </c>
      <c r="D1413" t="s">
        <v>67</v>
      </c>
      <c r="H1413" t="str">
        <f t="shared" si="128"/>
        <v>00212840235</v>
      </c>
      <c r="I1413" t="str">
        <f t="shared" si="128"/>
        <v>00212840235</v>
      </c>
      <c r="K1413" t="str">
        <f>""</f>
        <v/>
      </c>
      <c r="M1413" t="s">
        <v>68</v>
      </c>
      <c r="N1413" t="str">
        <f t="shared" si="126"/>
        <v>FOR</v>
      </c>
      <c r="O1413" t="s">
        <v>69</v>
      </c>
      <c r="P1413" s="3" t="s">
        <v>75</v>
      </c>
      <c r="Q1413">
        <v>2016</v>
      </c>
      <c r="R1413" s="2">
        <v>42608</v>
      </c>
      <c r="S1413" s="2">
        <v>42612</v>
      </c>
      <c r="T1413" s="2">
        <v>42611</v>
      </c>
      <c r="U1413" s="2">
        <v>42671</v>
      </c>
      <c r="V1413" t="s">
        <v>71</v>
      </c>
      <c r="W1413" t="str">
        <f>"    0000001000025913"</f>
        <v xml:space="preserve">    0000001000025913</v>
      </c>
      <c r="X1413">
        <v>806.43</v>
      </c>
      <c r="Y1413">
        <v>0</v>
      </c>
      <c r="Z1413" s="3">
        <v>733.12</v>
      </c>
      <c r="AA1413">
        <v>13</v>
      </c>
      <c r="AB1413" s="5">
        <v>9530.56</v>
      </c>
      <c r="AC1413">
        <v>733.12</v>
      </c>
      <c r="AD1413">
        <v>13</v>
      </c>
      <c r="AE1413" s="1">
        <v>9530.56</v>
      </c>
      <c r="AF1413">
        <v>0</v>
      </c>
      <c r="AJ1413">
        <v>0</v>
      </c>
      <c r="AK1413">
        <v>0</v>
      </c>
      <c r="AL1413">
        <v>0</v>
      </c>
      <c r="AM1413">
        <v>806.43</v>
      </c>
      <c r="AN1413">
        <v>806.43</v>
      </c>
      <c r="AO1413">
        <v>806.43</v>
      </c>
      <c r="AP1413" s="2">
        <v>42746</v>
      </c>
      <c r="AQ1413" t="s">
        <v>72</v>
      </c>
      <c r="AR1413" t="s">
        <v>72</v>
      </c>
      <c r="AS1413">
        <v>3042</v>
      </c>
      <c r="AT1413" s="4">
        <v>42684</v>
      </c>
      <c r="AU1413" t="s">
        <v>73</v>
      </c>
      <c r="AV1413">
        <v>3042</v>
      </c>
      <c r="AW1413" s="4">
        <v>42684</v>
      </c>
      <c r="BD1413">
        <v>0</v>
      </c>
      <c r="BN1413" t="s">
        <v>74</v>
      </c>
    </row>
    <row r="1414" spans="1:66" hidden="1">
      <c r="A1414">
        <v>100371</v>
      </c>
      <c r="B1414" s="3" t="s">
        <v>167</v>
      </c>
      <c r="C1414" s="1">
        <v>43300101</v>
      </c>
      <c r="D1414" t="s">
        <v>67</v>
      </c>
      <c r="H1414" t="str">
        <f t="shared" ref="H1414:I1433" si="129">"11629770154"</f>
        <v>11629770154</v>
      </c>
      <c r="I1414" t="str">
        <f t="shared" si="129"/>
        <v>11629770154</v>
      </c>
      <c r="K1414" t="str">
        <f>""</f>
        <v/>
      </c>
      <c r="M1414" t="s">
        <v>68</v>
      </c>
      <c r="N1414" t="str">
        <f t="shared" si="126"/>
        <v>FOR</v>
      </c>
      <c r="O1414" t="s">
        <v>69</v>
      </c>
      <c r="P1414" s="3" t="s">
        <v>75</v>
      </c>
      <c r="Q1414">
        <v>2015</v>
      </c>
      <c r="R1414" s="2">
        <v>42247</v>
      </c>
      <c r="S1414" s="2">
        <v>42261</v>
      </c>
      <c r="T1414" s="2">
        <v>42257</v>
      </c>
      <c r="U1414" s="2">
        <v>42317</v>
      </c>
      <c r="V1414" t="s">
        <v>71</v>
      </c>
      <c r="W1414" t="str">
        <f>"               55190"</f>
        <v xml:space="preserve">               55190</v>
      </c>
      <c r="X1414" s="1">
        <v>179078.52</v>
      </c>
      <c r="Y1414">
        <v>0</v>
      </c>
      <c r="Z1414"/>
      <c r="AB1414"/>
      <c r="AC1414" s="1">
        <v>178062.1</v>
      </c>
      <c r="AD1414">
        <v>84</v>
      </c>
      <c r="AE1414" s="1">
        <v>14957216.4</v>
      </c>
      <c r="AF1414">
        <v>0</v>
      </c>
      <c r="AJ1414">
        <v>0</v>
      </c>
      <c r="AK1414">
        <v>0</v>
      </c>
      <c r="AL1414">
        <v>0</v>
      </c>
      <c r="AM1414">
        <v>0</v>
      </c>
      <c r="AN1414">
        <v>0</v>
      </c>
      <c r="AO1414">
        <v>0</v>
      </c>
      <c r="AP1414" s="2">
        <v>42746</v>
      </c>
      <c r="AQ1414" t="s">
        <v>72</v>
      </c>
      <c r="AR1414" t="s">
        <v>72</v>
      </c>
      <c r="AS1414">
        <v>168</v>
      </c>
      <c r="AT1414" s="4">
        <v>42401</v>
      </c>
      <c r="AU1414" t="s">
        <v>73</v>
      </c>
      <c r="AV1414">
        <v>168</v>
      </c>
      <c r="AW1414" s="4">
        <v>42401</v>
      </c>
      <c r="BD1414">
        <v>0</v>
      </c>
      <c r="BN1414" t="s">
        <v>74</v>
      </c>
    </row>
    <row r="1415" spans="1:66" hidden="1">
      <c r="A1415">
        <v>100371</v>
      </c>
      <c r="B1415" s="3" t="s">
        <v>167</v>
      </c>
      <c r="C1415" s="1">
        <v>43300101</v>
      </c>
      <c r="D1415" t="s">
        <v>67</v>
      </c>
      <c r="H1415" t="str">
        <f t="shared" si="129"/>
        <v>11629770154</v>
      </c>
      <c r="I1415" t="str">
        <f t="shared" si="129"/>
        <v>11629770154</v>
      </c>
      <c r="K1415" t="str">
        <f>""</f>
        <v/>
      </c>
      <c r="M1415" t="s">
        <v>68</v>
      </c>
      <c r="N1415" t="str">
        <f t="shared" si="126"/>
        <v>FOR</v>
      </c>
      <c r="O1415" t="s">
        <v>69</v>
      </c>
      <c r="P1415" s="3" t="s">
        <v>75</v>
      </c>
      <c r="Q1415">
        <v>2015</v>
      </c>
      <c r="R1415" s="2">
        <v>42247</v>
      </c>
      <c r="S1415" s="2">
        <v>42261</v>
      </c>
      <c r="T1415" s="2">
        <v>42257</v>
      </c>
      <c r="U1415" s="2">
        <v>42317</v>
      </c>
      <c r="V1415" t="s">
        <v>71</v>
      </c>
      <c r="W1415" t="str">
        <f>"               55191"</f>
        <v xml:space="preserve">               55191</v>
      </c>
      <c r="X1415" s="1">
        <v>1148.3900000000001</v>
      </c>
      <c r="Y1415">
        <v>0</v>
      </c>
      <c r="Z1415"/>
      <c r="AB1415"/>
      <c r="AC1415" s="1">
        <v>1139.24</v>
      </c>
      <c r="AD1415">
        <v>84</v>
      </c>
      <c r="AE1415" s="1">
        <v>95696.16</v>
      </c>
      <c r="AF1415">
        <v>0</v>
      </c>
      <c r="AJ1415">
        <v>0</v>
      </c>
      <c r="AK1415">
        <v>0</v>
      </c>
      <c r="AL1415">
        <v>0</v>
      </c>
      <c r="AM1415">
        <v>0</v>
      </c>
      <c r="AN1415">
        <v>0</v>
      </c>
      <c r="AO1415">
        <v>0</v>
      </c>
      <c r="AP1415" s="2">
        <v>42746</v>
      </c>
      <c r="AQ1415" t="s">
        <v>72</v>
      </c>
      <c r="AR1415" t="s">
        <v>72</v>
      </c>
      <c r="AS1415">
        <v>168</v>
      </c>
      <c r="AT1415" s="4">
        <v>42401</v>
      </c>
      <c r="AU1415" t="s">
        <v>73</v>
      </c>
      <c r="AV1415">
        <v>168</v>
      </c>
      <c r="AW1415" s="4">
        <v>42401</v>
      </c>
      <c r="BD1415">
        <v>0</v>
      </c>
      <c r="BN1415" t="s">
        <v>74</v>
      </c>
    </row>
    <row r="1416" spans="1:66" hidden="1">
      <c r="A1416">
        <v>100371</v>
      </c>
      <c r="B1416" s="3" t="s">
        <v>167</v>
      </c>
      <c r="C1416" s="1">
        <v>43300101</v>
      </c>
      <c r="D1416" t="s">
        <v>67</v>
      </c>
      <c r="H1416" t="str">
        <f t="shared" si="129"/>
        <v>11629770154</v>
      </c>
      <c r="I1416" t="str">
        <f t="shared" si="129"/>
        <v>11629770154</v>
      </c>
      <c r="K1416" t="str">
        <f>""</f>
        <v/>
      </c>
      <c r="M1416" t="s">
        <v>68</v>
      </c>
      <c r="N1416" t="str">
        <f t="shared" si="126"/>
        <v>FOR</v>
      </c>
      <c r="O1416" t="s">
        <v>69</v>
      </c>
      <c r="P1416" s="3" t="s">
        <v>75</v>
      </c>
      <c r="Q1416">
        <v>2015</v>
      </c>
      <c r="R1416" s="2">
        <v>42247</v>
      </c>
      <c r="S1416" s="2">
        <v>42261</v>
      </c>
      <c r="T1416" s="2">
        <v>42257</v>
      </c>
      <c r="U1416" s="2">
        <v>42317</v>
      </c>
      <c r="V1416" t="s">
        <v>71</v>
      </c>
      <c r="W1416" t="str">
        <f>"               55192"</f>
        <v xml:space="preserve">               55192</v>
      </c>
      <c r="X1416" s="1">
        <v>49217.83</v>
      </c>
      <c r="Y1416">
        <v>0</v>
      </c>
      <c r="Z1416"/>
      <c r="AB1416"/>
      <c r="AC1416" s="1">
        <v>48863.79</v>
      </c>
      <c r="AD1416">
        <v>84</v>
      </c>
      <c r="AE1416" s="1">
        <v>4104558.36</v>
      </c>
      <c r="AF1416">
        <v>0</v>
      </c>
      <c r="AJ1416">
        <v>0</v>
      </c>
      <c r="AK1416">
        <v>0</v>
      </c>
      <c r="AL1416">
        <v>0</v>
      </c>
      <c r="AM1416">
        <v>0</v>
      </c>
      <c r="AN1416">
        <v>0</v>
      </c>
      <c r="AO1416">
        <v>0</v>
      </c>
      <c r="AP1416" s="2">
        <v>42746</v>
      </c>
      <c r="AQ1416" t="s">
        <v>72</v>
      </c>
      <c r="AR1416" t="s">
        <v>72</v>
      </c>
      <c r="AS1416">
        <v>168</v>
      </c>
      <c r="AT1416" s="4">
        <v>42401</v>
      </c>
      <c r="AU1416" t="s">
        <v>73</v>
      </c>
      <c r="AV1416">
        <v>168</v>
      </c>
      <c r="AW1416" s="4">
        <v>42401</v>
      </c>
      <c r="BD1416">
        <v>0</v>
      </c>
      <c r="BN1416" t="s">
        <v>74</v>
      </c>
    </row>
    <row r="1417" spans="1:66" hidden="1">
      <c r="A1417">
        <v>100371</v>
      </c>
      <c r="B1417" s="3" t="s">
        <v>167</v>
      </c>
      <c r="C1417" s="1">
        <v>43300101</v>
      </c>
      <c r="D1417" t="s">
        <v>67</v>
      </c>
      <c r="H1417" t="str">
        <f t="shared" si="129"/>
        <v>11629770154</v>
      </c>
      <c r="I1417" t="str">
        <f t="shared" si="129"/>
        <v>11629770154</v>
      </c>
      <c r="K1417" t="str">
        <f>""</f>
        <v/>
      </c>
      <c r="M1417" t="s">
        <v>68</v>
      </c>
      <c r="N1417" t="str">
        <f t="shared" si="126"/>
        <v>FOR</v>
      </c>
      <c r="O1417" t="s">
        <v>69</v>
      </c>
      <c r="P1417" s="3" t="s">
        <v>75</v>
      </c>
      <c r="Q1417">
        <v>2015</v>
      </c>
      <c r="R1417" s="2">
        <v>42247</v>
      </c>
      <c r="S1417" s="2">
        <v>42261</v>
      </c>
      <c r="T1417" s="2">
        <v>42257</v>
      </c>
      <c r="U1417" s="2">
        <v>42317</v>
      </c>
      <c r="V1417" t="s">
        <v>71</v>
      </c>
      <c r="W1417" t="str">
        <f>"               55193"</f>
        <v xml:space="preserve">               55193</v>
      </c>
      <c r="X1417" s="1">
        <v>2324.75</v>
      </c>
      <c r="Y1417">
        <v>0</v>
      </c>
      <c r="Z1417"/>
      <c r="AB1417"/>
      <c r="AC1417" s="1">
        <v>2306.4499999999998</v>
      </c>
      <c r="AD1417">
        <v>84</v>
      </c>
      <c r="AE1417" s="1">
        <v>193741.8</v>
      </c>
      <c r="AF1417">
        <v>0</v>
      </c>
      <c r="AJ1417">
        <v>0</v>
      </c>
      <c r="AK1417">
        <v>0</v>
      </c>
      <c r="AL1417">
        <v>0</v>
      </c>
      <c r="AM1417">
        <v>0</v>
      </c>
      <c r="AN1417">
        <v>0</v>
      </c>
      <c r="AO1417">
        <v>0</v>
      </c>
      <c r="AP1417" s="2">
        <v>42746</v>
      </c>
      <c r="AQ1417" t="s">
        <v>72</v>
      </c>
      <c r="AR1417" t="s">
        <v>72</v>
      </c>
      <c r="AS1417">
        <v>168</v>
      </c>
      <c r="AT1417" s="4">
        <v>42401</v>
      </c>
      <c r="AU1417" t="s">
        <v>73</v>
      </c>
      <c r="AV1417">
        <v>168</v>
      </c>
      <c r="AW1417" s="4">
        <v>42401</v>
      </c>
      <c r="BD1417">
        <v>0</v>
      </c>
      <c r="BN1417" t="s">
        <v>74</v>
      </c>
    </row>
    <row r="1418" spans="1:66" hidden="1">
      <c r="A1418">
        <v>100371</v>
      </c>
      <c r="B1418" s="3" t="s">
        <v>167</v>
      </c>
      <c r="C1418" s="1">
        <v>43300101</v>
      </c>
      <c r="D1418" t="s">
        <v>67</v>
      </c>
      <c r="H1418" t="str">
        <f t="shared" si="129"/>
        <v>11629770154</v>
      </c>
      <c r="I1418" t="str">
        <f t="shared" si="129"/>
        <v>11629770154</v>
      </c>
      <c r="K1418" t="str">
        <f>""</f>
        <v/>
      </c>
      <c r="M1418" t="s">
        <v>68</v>
      </c>
      <c r="N1418" t="str">
        <f t="shared" si="126"/>
        <v>FOR</v>
      </c>
      <c r="O1418" t="s">
        <v>69</v>
      </c>
      <c r="P1418" s="3" t="s">
        <v>75</v>
      </c>
      <c r="Q1418">
        <v>2015</v>
      </c>
      <c r="R1418" s="2">
        <v>42247</v>
      </c>
      <c r="S1418" s="2">
        <v>42261</v>
      </c>
      <c r="T1418" s="2">
        <v>42257</v>
      </c>
      <c r="U1418" s="2">
        <v>42317</v>
      </c>
      <c r="V1418" t="s">
        <v>71</v>
      </c>
      <c r="W1418" t="str">
        <f>"               55194"</f>
        <v xml:space="preserve">               55194</v>
      </c>
      <c r="X1418" s="1">
        <v>13115.34</v>
      </c>
      <c r="Y1418">
        <v>0</v>
      </c>
      <c r="Z1418"/>
      <c r="AB1418"/>
      <c r="AC1418" s="1">
        <v>13020.9</v>
      </c>
      <c r="AD1418">
        <v>84</v>
      </c>
      <c r="AE1418" s="1">
        <v>1093755.6000000001</v>
      </c>
      <c r="AF1418">
        <v>0</v>
      </c>
      <c r="AJ1418">
        <v>0</v>
      </c>
      <c r="AK1418">
        <v>0</v>
      </c>
      <c r="AL1418">
        <v>0</v>
      </c>
      <c r="AM1418">
        <v>0</v>
      </c>
      <c r="AN1418">
        <v>0</v>
      </c>
      <c r="AO1418">
        <v>0</v>
      </c>
      <c r="AP1418" s="2">
        <v>42746</v>
      </c>
      <c r="AQ1418" t="s">
        <v>72</v>
      </c>
      <c r="AR1418" t="s">
        <v>72</v>
      </c>
      <c r="AS1418">
        <v>168</v>
      </c>
      <c r="AT1418" s="4">
        <v>42401</v>
      </c>
      <c r="AU1418" t="s">
        <v>73</v>
      </c>
      <c r="AV1418">
        <v>168</v>
      </c>
      <c r="AW1418" s="4">
        <v>42401</v>
      </c>
      <c r="BD1418">
        <v>0</v>
      </c>
      <c r="BN1418" t="s">
        <v>74</v>
      </c>
    </row>
    <row r="1419" spans="1:66" hidden="1">
      <c r="A1419">
        <v>100371</v>
      </c>
      <c r="B1419" s="3" t="s">
        <v>167</v>
      </c>
      <c r="C1419" s="1">
        <v>43300101</v>
      </c>
      <c r="D1419" t="s">
        <v>67</v>
      </c>
      <c r="H1419" t="str">
        <f t="shared" si="129"/>
        <v>11629770154</v>
      </c>
      <c r="I1419" t="str">
        <f t="shared" si="129"/>
        <v>11629770154</v>
      </c>
      <c r="K1419" t="str">
        <f>""</f>
        <v/>
      </c>
      <c r="M1419" t="s">
        <v>68</v>
      </c>
      <c r="N1419" t="str">
        <f t="shared" si="126"/>
        <v>FOR</v>
      </c>
      <c r="O1419" t="s">
        <v>69</v>
      </c>
      <c r="P1419" s="3" t="s">
        <v>75</v>
      </c>
      <c r="Q1419">
        <v>2015</v>
      </c>
      <c r="R1419" s="2">
        <v>42247</v>
      </c>
      <c r="S1419" s="2">
        <v>42261</v>
      </c>
      <c r="T1419" s="2">
        <v>42257</v>
      </c>
      <c r="U1419" s="2">
        <v>42317</v>
      </c>
      <c r="V1419" t="s">
        <v>71</v>
      </c>
      <c r="W1419" t="str">
        <f>"               55195"</f>
        <v xml:space="preserve">               55195</v>
      </c>
      <c r="X1419" s="1">
        <v>3031.89</v>
      </c>
      <c r="Y1419">
        <v>0</v>
      </c>
      <c r="Z1419"/>
      <c r="AB1419"/>
      <c r="AC1419" s="1">
        <v>3009.25</v>
      </c>
      <c r="AD1419">
        <v>84</v>
      </c>
      <c r="AE1419" s="1">
        <v>252777</v>
      </c>
      <c r="AF1419">
        <v>0</v>
      </c>
      <c r="AJ1419">
        <v>0</v>
      </c>
      <c r="AK1419">
        <v>0</v>
      </c>
      <c r="AL1419">
        <v>0</v>
      </c>
      <c r="AM1419">
        <v>0</v>
      </c>
      <c r="AN1419">
        <v>0</v>
      </c>
      <c r="AO1419">
        <v>0</v>
      </c>
      <c r="AP1419" s="2">
        <v>42746</v>
      </c>
      <c r="AQ1419" t="s">
        <v>72</v>
      </c>
      <c r="AR1419" t="s">
        <v>72</v>
      </c>
      <c r="AS1419">
        <v>168</v>
      </c>
      <c r="AT1419" s="4">
        <v>42401</v>
      </c>
      <c r="AU1419" t="s">
        <v>73</v>
      </c>
      <c r="AV1419">
        <v>168</v>
      </c>
      <c r="AW1419" s="4">
        <v>42401</v>
      </c>
      <c r="BD1419">
        <v>0</v>
      </c>
      <c r="BN1419" t="s">
        <v>74</v>
      </c>
    </row>
    <row r="1420" spans="1:66" hidden="1">
      <c r="A1420">
        <v>100371</v>
      </c>
      <c r="B1420" s="3" t="s">
        <v>167</v>
      </c>
      <c r="C1420" s="1">
        <v>43300101</v>
      </c>
      <c r="D1420" t="s">
        <v>67</v>
      </c>
      <c r="H1420" t="str">
        <f t="shared" si="129"/>
        <v>11629770154</v>
      </c>
      <c r="I1420" t="str">
        <f t="shared" si="129"/>
        <v>11629770154</v>
      </c>
      <c r="K1420" t="str">
        <f>""</f>
        <v/>
      </c>
      <c r="M1420" t="s">
        <v>68</v>
      </c>
      <c r="N1420" t="str">
        <f t="shared" si="126"/>
        <v>FOR</v>
      </c>
      <c r="O1420" t="s">
        <v>69</v>
      </c>
      <c r="P1420" s="3" t="s">
        <v>75</v>
      </c>
      <c r="Q1420">
        <v>2015</v>
      </c>
      <c r="R1420" s="2">
        <v>42247</v>
      </c>
      <c r="S1420" s="2">
        <v>42261</v>
      </c>
      <c r="T1420" s="2">
        <v>42257</v>
      </c>
      <c r="U1420" s="2">
        <v>42317</v>
      </c>
      <c r="V1420" t="s">
        <v>71</v>
      </c>
      <c r="W1420" t="str">
        <f>"               55316"</f>
        <v xml:space="preserve">               55316</v>
      </c>
      <c r="X1420" s="1">
        <v>3633.71</v>
      </c>
      <c r="Y1420">
        <v>0</v>
      </c>
      <c r="Z1420"/>
      <c r="AB1420"/>
      <c r="AC1420" s="1">
        <v>3604.88</v>
      </c>
      <c r="AD1420">
        <v>84</v>
      </c>
      <c r="AE1420" s="1">
        <v>302809.92</v>
      </c>
      <c r="AF1420">
        <v>0</v>
      </c>
      <c r="AJ1420">
        <v>0</v>
      </c>
      <c r="AK1420">
        <v>0</v>
      </c>
      <c r="AL1420">
        <v>0</v>
      </c>
      <c r="AM1420">
        <v>0</v>
      </c>
      <c r="AN1420">
        <v>0</v>
      </c>
      <c r="AO1420">
        <v>0</v>
      </c>
      <c r="AP1420" s="2">
        <v>42746</v>
      </c>
      <c r="AQ1420" t="s">
        <v>72</v>
      </c>
      <c r="AR1420" t="s">
        <v>72</v>
      </c>
      <c r="AS1420">
        <v>168</v>
      </c>
      <c r="AT1420" s="4">
        <v>42401</v>
      </c>
      <c r="AU1420" t="s">
        <v>73</v>
      </c>
      <c r="AV1420">
        <v>168</v>
      </c>
      <c r="AW1420" s="4">
        <v>42401</v>
      </c>
      <c r="BD1420">
        <v>0</v>
      </c>
      <c r="BN1420" t="s">
        <v>74</v>
      </c>
    </row>
    <row r="1421" spans="1:66" hidden="1">
      <c r="A1421">
        <v>100371</v>
      </c>
      <c r="B1421" s="3" t="s">
        <v>167</v>
      </c>
      <c r="C1421" s="1">
        <v>43300101</v>
      </c>
      <c r="D1421" t="s">
        <v>67</v>
      </c>
      <c r="H1421" t="str">
        <f t="shared" si="129"/>
        <v>11629770154</v>
      </c>
      <c r="I1421" t="str">
        <f t="shared" si="129"/>
        <v>11629770154</v>
      </c>
      <c r="K1421" t="str">
        <f>""</f>
        <v/>
      </c>
      <c r="M1421" t="s">
        <v>68</v>
      </c>
      <c r="N1421" t="str">
        <f t="shared" si="126"/>
        <v>FOR</v>
      </c>
      <c r="O1421" t="s">
        <v>69</v>
      </c>
      <c r="P1421" s="3" t="s">
        <v>75</v>
      </c>
      <c r="Q1421">
        <v>2015</v>
      </c>
      <c r="R1421" s="2">
        <v>42277</v>
      </c>
      <c r="S1421" s="2">
        <v>42291</v>
      </c>
      <c r="T1421" s="2">
        <v>42290</v>
      </c>
      <c r="U1421" s="2">
        <v>42350</v>
      </c>
      <c r="V1421" t="s">
        <v>71</v>
      </c>
      <c r="W1421" t="str">
        <f>"               62535"</f>
        <v xml:space="preserve">               62535</v>
      </c>
      <c r="X1421" s="1">
        <v>180491.82</v>
      </c>
      <c r="Y1421">
        <v>0</v>
      </c>
      <c r="Z1421"/>
      <c r="AB1421"/>
      <c r="AC1421" s="1">
        <v>179456.56</v>
      </c>
      <c r="AD1421">
        <v>80</v>
      </c>
      <c r="AE1421" s="1">
        <v>14356524.800000001</v>
      </c>
      <c r="AF1421">
        <v>0</v>
      </c>
      <c r="AJ1421">
        <v>0</v>
      </c>
      <c r="AK1421">
        <v>0</v>
      </c>
      <c r="AL1421">
        <v>0</v>
      </c>
      <c r="AM1421">
        <v>0</v>
      </c>
      <c r="AN1421">
        <v>0</v>
      </c>
      <c r="AO1421">
        <v>0</v>
      </c>
      <c r="AP1421" s="2">
        <v>42746</v>
      </c>
      <c r="AQ1421" t="s">
        <v>72</v>
      </c>
      <c r="AR1421" t="s">
        <v>72</v>
      </c>
      <c r="AS1421">
        <v>601</v>
      </c>
      <c r="AT1421" s="4">
        <v>42430</v>
      </c>
      <c r="AU1421" t="s">
        <v>73</v>
      </c>
      <c r="AV1421">
        <v>601</v>
      </c>
      <c r="AW1421" s="4">
        <v>42430</v>
      </c>
      <c r="BD1421">
        <v>0</v>
      </c>
      <c r="BN1421" t="s">
        <v>74</v>
      </c>
    </row>
    <row r="1422" spans="1:66" hidden="1">
      <c r="A1422">
        <v>100371</v>
      </c>
      <c r="B1422" s="3" t="s">
        <v>167</v>
      </c>
      <c r="C1422" s="1">
        <v>43300101</v>
      </c>
      <c r="D1422" t="s">
        <v>67</v>
      </c>
      <c r="H1422" t="str">
        <f t="shared" si="129"/>
        <v>11629770154</v>
      </c>
      <c r="I1422" t="str">
        <f t="shared" si="129"/>
        <v>11629770154</v>
      </c>
      <c r="K1422" t="str">
        <f>""</f>
        <v/>
      </c>
      <c r="M1422" t="s">
        <v>68</v>
      </c>
      <c r="N1422" t="str">
        <f t="shared" ref="N1422:N1453" si="130">"FOR"</f>
        <v>FOR</v>
      </c>
      <c r="O1422" t="s">
        <v>69</v>
      </c>
      <c r="P1422" s="3" t="s">
        <v>75</v>
      </c>
      <c r="Q1422">
        <v>2015</v>
      </c>
      <c r="R1422" s="2">
        <v>42277</v>
      </c>
      <c r="S1422" s="2">
        <v>42291</v>
      </c>
      <c r="T1422" s="2">
        <v>42290</v>
      </c>
      <c r="U1422" s="2">
        <v>42350</v>
      </c>
      <c r="V1422" t="s">
        <v>71</v>
      </c>
      <c r="W1422" t="str">
        <f>"               62543"</f>
        <v xml:space="preserve">               62543</v>
      </c>
      <c r="X1422" s="1">
        <v>1742.81</v>
      </c>
      <c r="Y1422">
        <v>0</v>
      </c>
      <c r="Z1422"/>
      <c r="AB1422"/>
      <c r="AC1422" s="1">
        <v>1728.92</v>
      </c>
      <c r="AD1422">
        <v>80</v>
      </c>
      <c r="AE1422" s="1">
        <v>138313.60000000001</v>
      </c>
      <c r="AF1422">
        <v>0</v>
      </c>
      <c r="AJ1422">
        <v>0</v>
      </c>
      <c r="AK1422">
        <v>0</v>
      </c>
      <c r="AL1422">
        <v>0</v>
      </c>
      <c r="AM1422">
        <v>0</v>
      </c>
      <c r="AN1422">
        <v>0</v>
      </c>
      <c r="AO1422">
        <v>0</v>
      </c>
      <c r="AP1422" s="2">
        <v>42746</v>
      </c>
      <c r="AQ1422" t="s">
        <v>72</v>
      </c>
      <c r="AR1422" t="s">
        <v>72</v>
      </c>
      <c r="AS1422">
        <v>601</v>
      </c>
      <c r="AT1422" s="4">
        <v>42430</v>
      </c>
      <c r="AU1422" t="s">
        <v>73</v>
      </c>
      <c r="AV1422">
        <v>601</v>
      </c>
      <c r="AW1422" s="4">
        <v>42430</v>
      </c>
      <c r="BD1422">
        <v>0</v>
      </c>
      <c r="BN1422" t="s">
        <v>74</v>
      </c>
    </row>
    <row r="1423" spans="1:66" hidden="1">
      <c r="A1423">
        <v>100371</v>
      </c>
      <c r="B1423" s="3" t="s">
        <v>167</v>
      </c>
      <c r="C1423" s="1">
        <v>43300101</v>
      </c>
      <c r="D1423" t="s">
        <v>67</v>
      </c>
      <c r="H1423" t="str">
        <f t="shared" si="129"/>
        <v>11629770154</v>
      </c>
      <c r="I1423" t="str">
        <f t="shared" si="129"/>
        <v>11629770154</v>
      </c>
      <c r="K1423" t="str">
        <f>""</f>
        <v/>
      </c>
      <c r="M1423" t="s">
        <v>68</v>
      </c>
      <c r="N1423" t="str">
        <f t="shared" si="130"/>
        <v>FOR</v>
      </c>
      <c r="O1423" t="s">
        <v>69</v>
      </c>
      <c r="P1423" s="3" t="s">
        <v>75</v>
      </c>
      <c r="Q1423">
        <v>2015</v>
      </c>
      <c r="R1423" s="2">
        <v>42277</v>
      </c>
      <c r="S1423" s="2">
        <v>42291</v>
      </c>
      <c r="T1423" s="2">
        <v>42290</v>
      </c>
      <c r="U1423" s="2">
        <v>42350</v>
      </c>
      <c r="V1423" t="s">
        <v>71</v>
      </c>
      <c r="W1423" t="str">
        <f>"               62544"</f>
        <v xml:space="preserve">               62544</v>
      </c>
      <c r="X1423" s="1">
        <v>50968.62</v>
      </c>
      <c r="Y1423">
        <v>0</v>
      </c>
      <c r="Z1423"/>
      <c r="AB1423"/>
      <c r="AC1423" s="1">
        <v>50601.98</v>
      </c>
      <c r="AD1423">
        <v>80</v>
      </c>
      <c r="AE1423" s="1">
        <v>4048158.4</v>
      </c>
      <c r="AF1423">
        <v>0</v>
      </c>
      <c r="AJ1423">
        <v>0</v>
      </c>
      <c r="AK1423">
        <v>0</v>
      </c>
      <c r="AL1423">
        <v>0</v>
      </c>
      <c r="AM1423">
        <v>0</v>
      </c>
      <c r="AN1423">
        <v>0</v>
      </c>
      <c r="AO1423">
        <v>0</v>
      </c>
      <c r="AP1423" s="2">
        <v>42746</v>
      </c>
      <c r="AQ1423" t="s">
        <v>72</v>
      </c>
      <c r="AR1423" t="s">
        <v>72</v>
      </c>
      <c r="AS1423">
        <v>601</v>
      </c>
      <c r="AT1423" s="4">
        <v>42430</v>
      </c>
      <c r="AU1423" t="s">
        <v>73</v>
      </c>
      <c r="AV1423">
        <v>601</v>
      </c>
      <c r="AW1423" s="4">
        <v>42430</v>
      </c>
      <c r="BD1423">
        <v>0</v>
      </c>
      <c r="BN1423" t="s">
        <v>74</v>
      </c>
    </row>
    <row r="1424" spans="1:66" hidden="1">
      <c r="A1424">
        <v>100371</v>
      </c>
      <c r="B1424" s="3" t="s">
        <v>167</v>
      </c>
      <c r="C1424" s="1">
        <v>43300101</v>
      </c>
      <c r="D1424" t="s">
        <v>67</v>
      </c>
      <c r="H1424" t="str">
        <f t="shared" si="129"/>
        <v>11629770154</v>
      </c>
      <c r="I1424" t="str">
        <f t="shared" si="129"/>
        <v>11629770154</v>
      </c>
      <c r="K1424" t="str">
        <f>""</f>
        <v/>
      </c>
      <c r="M1424" t="s">
        <v>68</v>
      </c>
      <c r="N1424" t="str">
        <f t="shared" si="130"/>
        <v>FOR</v>
      </c>
      <c r="O1424" t="s">
        <v>69</v>
      </c>
      <c r="P1424" s="3" t="s">
        <v>75</v>
      </c>
      <c r="Q1424">
        <v>2015</v>
      </c>
      <c r="R1424" s="2">
        <v>42277</v>
      </c>
      <c r="S1424" s="2">
        <v>42291</v>
      </c>
      <c r="T1424" s="2">
        <v>42290</v>
      </c>
      <c r="U1424" s="2">
        <v>42350</v>
      </c>
      <c r="V1424" t="s">
        <v>71</v>
      </c>
      <c r="W1424" t="str">
        <f>"               62545"</f>
        <v xml:space="preserve">               62545</v>
      </c>
      <c r="X1424" s="1">
        <v>3905.47</v>
      </c>
      <c r="Y1424">
        <v>0</v>
      </c>
      <c r="Z1424"/>
      <c r="AB1424"/>
      <c r="AC1424" s="1">
        <v>3874.16</v>
      </c>
      <c r="AD1424">
        <v>80</v>
      </c>
      <c r="AE1424" s="1">
        <v>309932.79999999999</v>
      </c>
      <c r="AF1424">
        <v>0</v>
      </c>
      <c r="AJ1424">
        <v>0</v>
      </c>
      <c r="AK1424">
        <v>0</v>
      </c>
      <c r="AL1424">
        <v>0</v>
      </c>
      <c r="AM1424">
        <v>0</v>
      </c>
      <c r="AN1424">
        <v>0</v>
      </c>
      <c r="AO1424">
        <v>0</v>
      </c>
      <c r="AP1424" s="2">
        <v>42746</v>
      </c>
      <c r="AQ1424" t="s">
        <v>72</v>
      </c>
      <c r="AR1424" t="s">
        <v>72</v>
      </c>
      <c r="AS1424">
        <v>601</v>
      </c>
      <c r="AT1424" s="4">
        <v>42430</v>
      </c>
      <c r="AU1424" t="s">
        <v>73</v>
      </c>
      <c r="AV1424">
        <v>601</v>
      </c>
      <c r="AW1424" s="4">
        <v>42430</v>
      </c>
      <c r="BD1424">
        <v>0</v>
      </c>
      <c r="BN1424" t="s">
        <v>74</v>
      </c>
    </row>
    <row r="1425" spans="1:66" hidden="1">
      <c r="A1425">
        <v>100371</v>
      </c>
      <c r="B1425" s="3" t="s">
        <v>167</v>
      </c>
      <c r="C1425" s="1">
        <v>43300101</v>
      </c>
      <c r="D1425" t="s">
        <v>67</v>
      </c>
      <c r="H1425" t="str">
        <f t="shared" si="129"/>
        <v>11629770154</v>
      </c>
      <c r="I1425" t="str">
        <f t="shared" si="129"/>
        <v>11629770154</v>
      </c>
      <c r="K1425" t="str">
        <f>""</f>
        <v/>
      </c>
      <c r="M1425" t="s">
        <v>68</v>
      </c>
      <c r="N1425" t="str">
        <f t="shared" si="130"/>
        <v>FOR</v>
      </c>
      <c r="O1425" t="s">
        <v>69</v>
      </c>
      <c r="P1425" s="3" t="s">
        <v>75</v>
      </c>
      <c r="Q1425">
        <v>2015</v>
      </c>
      <c r="R1425" s="2">
        <v>42277</v>
      </c>
      <c r="S1425" s="2">
        <v>42291</v>
      </c>
      <c r="T1425" s="2">
        <v>42290</v>
      </c>
      <c r="U1425" s="2">
        <v>42350</v>
      </c>
      <c r="V1425" t="s">
        <v>71</v>
      </c>
      <c r="W1425" t="str">
        <f>"               62546"</f>
        <v xml:space="preserve">               62546</v>
      </c>
      <c r="X1425" s="1">
        <v>11531.35</v>
      </c>
      <c r="Y1425">
        <v>0</v>
      </c>
      <c r="Z1425"/>
      <c r="AB1425"/>
      <c r="AC1425" s="1">
        <v>11448.32</v>
      </c>
      <c r="AD1425">
        <v>80</v>
      </c>
      <c r="AE1425" s="1">
        <v>915865.59999999998</v>
      </c>
      <c r="AF1425">
        <v>0</v>
      </c>
      <c r="AJ1425">
        <v>0</v>
      </c>
      <c r="AK1425">
        <v>0</v>
      </c>
      <c r="AL1425">
        <v>0</v>
      </c>
      <c r="AM1425">
        <v>0</v>
      </c>
      <c r="AN1425">
        <v>0</v>
      </c>
      <c r="AO1425">
        <v>0</v>
      </c>
      <c r="AP1425" s="2">
        <v>42746</v>
      </c>
      <c r="AQ1425" t="s">
        <v>72</v>
      </c>
      <c r="AR1425" t="s">
        <v>72</v>
      </c>
      <c r="AS1425">
        <v>601</v>
      </c>
      <c r="AT1425" s="4">
        <v>42430</v>
      </c>
      <c r="AU1425" t="s">
        <v>73</v>
      </c>
      <c r="AV1425">
        <v>601</v>
      </c>
      <c r="AW1425" s="4">
        <v>42430</v>
      </c>
      <c r="BD1425">
        <v>0</v>
      </c>
      <c r="BN1425" t="s">
        <v>74</v>
      </c>
    </row>
    <row r="1426" spans="1:66" hidden="1">
      <c r="A1426">
        <v>100371</v>
      </c>
      <c r="B1426" s="3" t="s">
        <v>167</v>
      </c>
      <c r="C1426" s="1">
        <v>43300101</v>
      </c>
      <c r="D1426" t="s">
        <v>67</v>
      </c>
      <c r="H1426" t="str">
        <f t="shared" si="129"/>
        <v>11629770154</v>
      </c>
      <c r="I1426" t="str">
        <f t="shared" si="129"/>
        <v>11629770154</v>
      </c>
      <c r="K1426" t="str">
        <f>""</f>
        <v/>
      </c>
      <c r="M1426" t="s">
        <v>68</v>
      </c>
      <c r="N1426" t="str">
        <f t="shared" si="130"/>
        <v>FOR</v>
      </c>
      <c r="O1426" t="s">
        <v>69</v>
      </c>
      <c r="P1426" s="3" t="s">
        <v>75</v>
      </c>
      <c r="Q1426">
        <v>2015</v>
      </c>
      <c r="R1426" s="2">
        <v>42277</v>
      </c>
      <c r="S1426" s="2">
        <v>42291</v>
      </c>
      <c r="T1426" s="2">
        <v>42290</v>
      </c>
      <c r="U1426" s="2">
        <v>42350</v>
      </c>
      <c r="V1426" t="s">
        <v>71</v>
      </c>
      <c r="W1426" t="str">
        <f>"               62547"</f>
        <v xml:space="preserve">               62547</v>
      </c>
      <c r="X1426" s="1">
        <v>3386.85</v>
      </c>
      <c r="Y1426">
        <v>0</v>
      </c>
      <c r="Z1426"/>
      <c r="AB1426"/>
      <c r="AC1426" s="1">
        <v>3361.29</v>
      </c>
      <c r="AD1426">
        <v>80</v>
      </c>
      <c r="AE1426" s="1">
        <v>268903.2</v>
      </c>
      <c r="AF1426">
        <v>0</v>
      </c>
      <c r="AJ1426">
        <v>0</v>
      </c>
      <c r="AK1426">
        <v>0</v>
      </c>
      <c r="AL1426">
        <v>0</v>
      </c>
      <c r="AM1426">
        <v>0</v>
      </c>
      <c r="AN1426">
        <v>0</v>
      </c>
      <c r="AO1426">
        <v>0</v>
      </c>
      <c r="AP1426" s="2">
        <v>42746</v>
      </c>
      <c r="AQ1426" t="s">
        <v>72</v>
      </c>
      <c r="AR1426" t="s">
        <v>72</v>
      </c>
      <c r="AS1426">
        <v>601</v>
      </c>
      <c r="AT1426" s="4">
        <v>42430</v>
      </c>
      <c r="AU1426" t="s">
        <v>73</v>
      </c>
      <c r="AV1426">
        <v>601</v>
      </c>
      <c r="AW1426" s="4">
        <v>42430</v>
      </c>
      <c r="BD1426">
        <v>0</v>
      </c>
      <c r="BN1426" t="s">
        <v>74</v>
      </c>
    </row>
    <row r="1427" spans="1:66" hidden="1">
      <c r="A1427">
        <v>100371</v>
      </c>
      <c r="B1427" s="3" t="s">
        <v>167</v>
      </c>
      <c r="C1427" s="1">
        <v>43300101</v>
      </c>
      <c r="D1427" t="s">
        <v>67</v>
      </c>
      <c r="H1427" t="str">
        <f t="shared" si="129"/>
        <v>11629770154</v>
      </c>
      <c r="I1427" t="str">
        <f t="shared" si="129"/>
        <v>11629770154</v>
      </c>
      <c r="K1427" t="str">
        <f>""</f>
        <v/>
      </c>
      <c r="M1427" t="s">
        <v>68</v>
      </c>
      <c r="N1427" t="str">
        <f t="shared" si="130"/>
        <v>FOR</v>
      </c>
      <c r="O1427" t="s">
        <v>69</v>
      </c>
      <c r="P1427" s="3" t="s">
        <v>75</v>
      </c>
      <c r="Q1427">
        <v>2015</v>
      </c>
      <c r="R1427" s="2">
        <v>42277</v>
      </c>
      <c r="S1427" s="2">
        <v>42291</v>
      </c>
      <c r="T1427" s="2">
        <v>42290</v>
      </c>
      <c r="U1427" s="2">
        <v>42350</v>
      </c>
      <c r="V1427" t="s">
        <v>71</v>
      </c>
      <c r="W1427" t="str">
        <f>"               62643"</f>
        <v xml:space="preserve">               62643</v>
      </c>
      <c r="X1427" s="1">
        <v>3936.35</v>
      </c>
      <c r="Y1427">
        <v>0</v>
      </c>
      <c r="Z1427"/>
      <c r="AB1427"/>
      <c r="AC1427" s="1">
        <v>3905.12</v>
      </c>
      <c r="AD1427">
        <v>80</v>
      </c>
      <c r="AE1427" s="1">
        <v>312409.59999999998</v>
      </c>
      <c r="AF1427">
        <v>0</v>
      </c>
      <c r="AJ1427">
        <v>0</v>
      </c>
      <c r="AK1427">
        <v>0</v>
      </c>
      <c r="AL1427">
        <v>0</v>
      </c>
      <c r="AM1427">
        <v>0</v>
      </c>
      <c r="AN1427">
        <v>0</v>
      </c>
      <c r="AO1427">
        <v>0</v>
      </c>
      <c r="AP1427" s="2">
        <v>42746</v>
      </c>
      <c r="AQ1427" t="s">
        <v>72</v>
      </c>
      <c r="AR1427" t="s">
        <v>72</v>
      </c>
      <c r="AS1427">
        <v>601</v>
      </c>
      <c r="AT1427" s="4">
        <v>42430</v>
      </c>
      <c r="AU1427" t="s">
        <v>73</v>
      </c>
      <c r="AV1427">
        <v>601</v>
      </c>
      <c r="AW1427" s="4">
        <v>42430</v>
      </c>
      <c r="BD1427">
        <v>0</v>
      </c>
      <c r="BN1427" t="s">
        <v>74</v>
      </c>
    </row>
    <row r="1428" spans="1:66" hidden="1">
      <c r="A1428">
        <v>100371</v>
      </c>
      <c r="B1428" s="3" t="s">
        <v>167</v>
      </c>
      <c r="C1428" s="1">
        <v>43300101</v>
      </c>
      <c r="D1428" t="s">
        <v>67</v>
      </c>
      <c r="H1428" t="str">
        <f t="shared" si="129"/>
        <v>11629770154</v>
      </c>
      <c r="I1428" t="str">
        <f t="shared" si="129"/>
        <v>11629770154</v>
      </c>
      <c r="K1428" t="str">
        <f>""</f>
        <v/>
      </c>
      <c r="M1428" t="s">
        <v>68</v>
      </c>
      <c r="N1428" t="str">
        <f t="shared" si="130"/>
        <v>FOR</v>
      </c>
      <c r="O1428" t="s">
        <v>69</v>
      </c>
      <c r="P1428" s="3" t="s">
        <v>75</v>
      </c>
      <c r="Q1428">
        <v>2015</v>
      </c>
      <c r="R1428" s="2">
        <v>42308</v>
      </c>
      <c r="S1428" s="2">
        <v>42320</v>
      </c>
      <c r="T1428" s="2">
        <v>42319</v>
      </c>
      <c r="U1428" s="2">
        <v>42379</v>
      </c>
      <c r="V1428" t="s">
        <v>71</v>
      </c>
      <c r="W1428" t="str">
        <f>"               70210"</f>
        <v xml:space="preserve">               70210</v>
      </c>
      <c r="X1428" s="1">
        <v>186210.51</v>
      </c>
      <c r="Y1428">
        <v>0</v>
      </c>
      <c r="Z1428"/>
      <c r="AB1428"/>
      <c r="AC1428" s="1">
        <v>185143.39</v>
      </c>
      <c r="AD1428">
        <v>74</v>
      </c>
      <c r="AE1428" s="1">
        <v>13700610.859999999</v>
      </c>
      <c r="AF1428">
        <v>0</v>
      </c>
      <c r="AJ1428">
        <v>0</v>
      </c>
      <c r="AK1428">
        <v>0</v>
      </c>
      <c r="AL1428">
        <v>0</v>
      </c>
      <c r="AM1428">
        <v>0</v>
      </c>
      <c r="AN1428">
        <v>0</v>
      </c>
      <c r="AO1428">
        <v>0</v>
      </c>
      <c r="AP1428" s="2">
        <v>42746</v>
      </c>
      <c r="AQ1428" t="s">
        <v>72</v>
      </c>
      <c r="AR1428" t="s">
        <v>72</v>
      </c>
      <c r="AS1428">
        <v>883</v>
      </c>
      <c r="AT1428" s="4">
        <v>42453</v>
      </c>
      <c r="AU1428" t="s">
        <v>73</v>
      </c>
      <c r="AV1428">
        <v>883</v>
      </c>
      <c r="AW1428" s="4">
        <v>42453</v>
      </c>
      <c r="BD1428">
        <v>0</v>
      </c>
      <c r="BN1428" t="s">
        <v>74</v>
      </c>
    </row>
    <row r="1429" spans="1:66" hidden="1">
      <c r="A1429">
        <v>100371</v>
      </c>
      <c r="B1429" s="3" t="s">
        <v>167</v>
      </c>
      <c r="C1429" s="1">
        <v>43300101</v>
      </c>
      <c r="D1429" t="s">
        <v>67</v>
      </c>
      <c r="H1429" t="str">
        <f t="shared" si="129"/>
        <v>11629770154</v>
      </c>
      <c r="I1429" t="str">
        <f t="shared" si="129"/>
        <v>11629770154</v>
      </c>
      <c r="K1429" t="str">
        <f>""</f>
        <v/>
      </c>
      <c r="M1429" t="s">
        <v>68</v>
      </c>
      <c r="N1429" t="str">
        <f t="shared" si="130"/>
        <v>FOR</v>
      </c>
      <c r="O1429" t="s">
        <v>69</v>
      </c>
      <c r="P1429" s="3" t="s">
        <v>75</v>
      </c>
      <c r="Q1429">
        <v>2015</v>
      </c>
      <c r="R1429" s="2">
        <v>42308</v>
      </c>
      <c r="S1429" s="2">
        <v>42320</v>
      </c>
      <c r="T1429" s="2">
        <v>42319</v>
      </c>
      <c r="U1429" s="2">
        <v>42379</v>
      </c>
      <c r="V1429" t="s">
        <v>71</v>
      </c>
      <c r="W1429" t="str">
        <f>"               70211"</f>
        <v xml:space="preserve">               70211</v>
      </c>
      <c r="X1429" s="1">
        <v>1594.21</v>
      </c>
      <c r="Y1429">
        <v>0</v>
      </c>
      <c r="Z1429"/>
      <c r="AB1429"/>
      <c r="AC1429" s="1">
        <v>1581.5</v>
      </c>
      <c r="AD1429">
        <v>74</v>
      </c>
      <c r="AE1429" s="1">
        <v>117031</v>
      </c>
      <c r="AF1429">
        <v>0</v>
      </c>
      <c r="AJ1429">
        <v>0</v>
      </c>
      <c r="AK1429">
        <v>0</v>
      </c>
      <c r="AL1429">
        <v>0</v>
      </c>
      <c r="AM1429">
        <v>0</v>
      </c>
      <c r="AN1429">
        <v>0</v>
      </c>
      <c r="AO1429">
        <v>0</v>
      </c>
      <c r="AP1429" s="2">
        <v>42746</v>
      </c>
      <c r="AQ1429" t="s">
        <v>72</v>
      </c>
      <c r="AR1429" t="s">
        <v>72</v>
      </c>
      <c r="AS1429">
        <v>883</v>
      </c>
      <c r="AT1429" s="4">
        <v>42453</v>
      </c>
      <c r="AU1429" t="s">
        <v>73</v>
      </c>
      <c r="AV1429">
        <v>883</v>
      </c>
      <c r="AW1429" s="4">
        <v>42453</v>
      </c>
      <c r="BD1429">
        <v>0</v>
      </c>
      <c r="BN1429" t="s">
        <v>74</v>
      </c>
    </row>
    <row r="1430" spans="1:66" hidden="1">
      <c r="A1430">
        <v>100371</v>
      </c>
      <c r="B1430" s="3" t="s">
        <v>167</v>
      </c>
      <c r="C1430" s="1">
        <v>43300101</v>
      </c>
      <c r="D1430" t="s">
        <v>67</v>
      </c>
      <c r="H1430" t="str">
        <f t="shared" si="129"/>
        <v>11629770154</v>
      </c>
      <c r="I1430" t="str">
        <f t="shared" si="129"/>
        <v>11629770154</v>
      </c>
      <c r="K1430" t="str">
        <f>""</f>
        <v/>
      </c>
      <c r="M1430" t="s">
        <v>68</v>
      </c>
      <c r="N1430" t="str">
        <f t="shared" si="130"/>
        <v>FOR</v>
      </c>
      <c r="O1430" t="s">
        <v>69</v>
      </c>
      <c r="P1430" s="3" t="s">
        <v>75</v>
      </c>
      <c r="Q1430">
        <v>2015</v>
      </c>
      <c r="R1430" s="2">
        <v>42308</v>
      </c>
      <c r="S1430" s="2">
        <v>42320</v>
      </c>
      <c r="T1430" s="2">
        <v>42319</v>
      </c>
      <c r="U1430" s="2">
        <v>42379</v>
      </c>
      <c r="V1430" t="s">
        <v>71</v>
      </c>
      <c r="W1430" t="str">
        <f>"               70212"</f>
        <v xml:space="preserve">               70212</v>
      </c>
      <c r="X1430" s="1">
        <v>52880.94</v>
      </c>
      <c r="Y1430">
        <v>0</v>
      </c>
      <c r="Z1430"/>
      <c r="AB1430"/>
      <c r="AC1430" s="1">
        <v>52503.13</v>
      </c>
      <c r="AD1430">
        <v>74</v>
      </c>
      <c r="AE1430" s="1">
        <v>3885231.62</v>
      </c>
      <c r="AF1430">
        <v>0</v>
      </c>
      <c r="AJ1430">
        <v>0</v>
      </c>
      <c r="AK1430">
        <v>0</v>
      </c>
      <c r="AL1430">
        <v>0</v>
      </c>
      <c r="AM1430">
        <v>0</v>
      </c>
      <c r="AN1430">
        <v>0</v>
      </c>
      <c r="AO1430">
        <v>0</v>
      </c>
      <c r="AP1430" s="2">
        <v>42746</v>
      </c>
      <c r="AQ1430" t="s">
        <v>72</v>
      </c>
      <c r="AR1430" t="s">
        <v>72</v>
      </c>
      <c r="AS1430">
        <v>883</v>
      </c>
      <c r="AT1430" s="4">
        <v>42453</v>
      </c>
      <c r="AU1430" t="s">
        <v>73</v>
      </c>
      <c r="AV1430">
        <v>883</v>
      </c>
      <c r="AW1430" s="4">
        <v>42453</v>
      </c>
      <c r="BD1430">
        <v>0</v>
      </c>
      <c r="BN1430" t="s">
        <v>74</v>
      </c>
    </row>
    <row r="1431" spans="1:66" hidden="1">
      <c r="A1431">
        <v>100371</v>
      </c>
      <c r="B1431" s="3" t="s">
        <v>167</v>
      </c>
      <c r="C1431" s="1">
        <v>43300101</v>
      </c>
      <c r="D1431" t="s">
        <v>67</v>
      </c>
      <c r="H1431" t="str">
        <f t="shared" si="129"/>
        <v>11629770154</v>
      </c>
      <c r="I1431" t="str">
        <f t="shared" si="129"/>
        <v>11629770154</v>
      </c>
      <c r="K1431" t="str">
        <f>""</f>
        <v/>
      </c>
      <c r="M1431" t="s">
        <v>68</v>
      </c>
      <c r="N1431" t="str">
        <f t="shared" si="130"/>
        <v>FOR</v>
      </c>
      <c r="O1431" t="s">
        <v>69</v>
      </c>
      <c r="P1431" s="3" t="s">
        <v>75</v>
      </c>
      <c r="Q1431">
        <v>2015</v>
      </c>
      <c r="R1431" s="2">
        <v>42308</v>
      </c>
      <c r="S1431" s="2">
        <v>42320</v>
      </c>
      <c r="T1431" s="2">
        <v>42319</v>
      </c>
      <c r="U1431" s="2">
        <v>42379</v>
      </c>
      <c r="V1431" t="s">
        <v>71</v>
      </c>
      <c r="W1431" t="str">
        <f>"               70224"</f>
        <v xml:space="preserve">               70224</v>
      </c>
      <c r="X1431" s="1">
        <v>3424.96</v>
      </c>
      <c r="Y1431">
        <v>0</v>
      </c>
      <c r="Z1431"/>
      <c r="AB1431"/>
      <c r="AC1431" s="1">
        <v>3397.52</v>
      </c>
      <c r="AD1431">
        <v>74</v>
      </c>
      <c r="AE1431" s="1">
        <v>251416.48</v>
      </c>
      <c r="AF1431">
        <v>0</v>
      </c>
      <c r="AJ1431">
        <v>0</v>
      </c>
      <c r="AK1431">
        <v>0</v>
      </c>
      <c r="AL1431">
        <v>0</v>
      </c>
      <c r="AM1431">
        <v>0</v>
      </c>
      <c r="AN1431">
        <v>0</v>
      </c>
      <c r="AO1431">
        <v>0</v>
      </c>
      <c r="AP1431" s="2">
        <v>42746</v>
      </c>
      <c r="AQ1431" t="s">
        <v>72</v>
      </c>
      <c r="AR1431" t="s">
        <v>72</v>
      </c>
      <c r="AS1431">
        <v>883</v>
      </c>
      <c r="AT1431" s="4">
        <v>42453</v>
      </c>
      <c r="AU1431" t="s">
        <v>73</v>
      </c>
      <c r="AV1431">
        <v>883</v>
      </c>
      <c r="AW1431" s="4">
        <v>42453</v>
      </c>
      <c r="BD1431">
        <v>0</v>
      </c>
      <c r="BN1431" t="s">
        <v>74</v>
      </c>
    </row>
    <row r="1432" spans="1:66" hidden="1">
      <c r="A1432">
        <v>100371</v>
      </c>
      <c r="B1432" s="3" t="s">
        <v>167</v>
      </c>
      <c r="C1432" s="1">
        <v>43300101</v>
      </c>
      <c r="D1432" t="s">
        <v>67</v>
      </c>
      <c r="H1432" t="str">
        <f t="shared" si="129"/>
        <v>11629770154</v>
      </c>
      <c r="I1432" t="str">
        <f t="shared" si="129"/>
        <v>11629770154</v>
      </c>
      <c r="K1432" t="str">
        <f>""</f>
        <v/>
      </c>
      <c r="M1432" t="s">
        <v>68</v>
      </c>
      <c r="N1432" t="str">
        <f t="shared" si="130"/>
        <v>FOR</v>
      </c>
      <c r="O1432" t="s">
        <v>69</v>
      </c>
      <c r="P1432" s="3" t="s">
        <v>75</v>
      </c>
      <c r="Q1432">
        <v>2015</v>
      </c>
      <c r="R1432" s="2">
        <v>42308</v>
      </c>
      <c r="S1432" s="2">
        <v>42320</v>
      </c>
      <c r="T1432" s="2">
        <v>42319</v>
      </c>
      <c r="U1432" s="2">
        <v>42379</v>
      </c>
      <c r="V1432" t="s">
        <v>71</v>
      </c>
      <c r="W1432" t="str">
        <f>"               70225"</f>
        <v xml:space="preserve">               70225</v>
      </c>
      <c r="X1432" s="1">
        <v>11427.48</v>
      </c>
      <c r="Y1432">
        <v>0</v>
      </c>
      <c r="Z1432"/>
      <c r="AB1432"/>
      <c r="AC1432" s="1">
        <v>11345.2</v>
      </c>
      <c r="AD1432">
        <v>74</v>
      </c>
      <c r="AE1432" s="1">
        <v>839544.8</v>
      </c>
      <c r="AF1432">
        <v>0</v>
      </c>
      <c r="AJ1432">
        <v>0</v>
      </c>
      <c r="AK1432">
        <v>0</v>
      </c>
      <c r="AL1432">
        <v>0</v>
      </c>
      <c r="AM1432">
        <v>0</v>
      </c>
      <c r="AN1432">
        <v>0</v>
      </c>
      <c r="AO1432">
        <v>0</v>
      </c>
      <c r="AP1432" s="2">
        <v>42746</v>
      </c>
      <c r="AQ1432" t="s">
        <v>72</v>
      </c>
      <c r="AR1432" t="s">
        <v>72</v>
      </c>
      <c r="AS1432">
        <v>883</v>
      </c>
      <c r="AT1432" s="4">
        <v>42453</v>
      </c>
      <c r="AU1432" t="s">
        <v>73</v>
      </c>
      <c r="AV1432">
        <v>883</v>
      </c>
      <c r="AW1432" s="4">
        <v>42453</v>
      </c>
      <c r="BD1432">
        <v>0</v>
      </c>
      <c r="BN1432" t="s">
        <v>74</v>
      </c>
    </row>
    <row r="1433" spans="1:66" hidden="1">
      <c r="A1433">
        <v>100371</v>
      </c>
      <c r="B1433" s="3" t="s">
        <v>167</v>
      </c>
      <c r="C1433" s="1">
        <v>43300101</v>
      </c>
      <c r="D1433" t="s">
        <v>67</v>
      </c>
      <c r="H1433" t="str">
        <f t="shared" si="129"/>
        <v>11629770154</v>
      </c>
      <c r="I1433" t="str">
        <f t="shared" si="129"/>
        <v>11629770154</v>
      </c>
      <c r="K1433" t="str">
        <f>""</f>
        <v/>
      </c>
      <c r="M1433" t="s">
        <v>68</v>
      </c>
      <c r="N1433" t="str">
        <f t="shared" si="130"/>
        <v>FOR</v>
      </c>
      <c r="O1433" t="s">
        <v>69</v>
      </c>
      <c r="P1433" s="3" t="s">
        <v>75</v>
      </c>
      <c r="Q1433">
        <v>2015</v>
      </c>
      <c r="R1433" s="2">
        <v>42308</v>
      </c>
      <c r="S1433" s="2">
        <v>42320</v>
      </c>
      <c r="T1433" s="2">
        <v>42319</v>
      </c>
      <c r="U1433" s="2">
        <v>42379</v>
      </c>
      <c r="V1433" t="s">
        <v>71</v>
      </c>
      <c r="W1433" t="str">
        <f>"               70226"</f>
        <v xml:space="preserve">               70226</v>
      </c>
      <c r="X1433" s="1">
        <v>3566.44</v>
      </c>
      <c r="Y1433">
        <v>0</v>
      </c>
      <c r="Z1433"/>
      <c r="AB1433"/>
      <c r="AC1433" s="1">
        <v>3539.49</v>
      </c>
      <c r="AD1433">
        <v>74</v>
      </c>
      <c r="AE1433" s="1">
        <v>261922.26</v>
      </c>
      <c r="AF1433">
        <v>0</v>
      </c>
      <c r="AJ1433">
        <v>0</v>
      </c>
      <c r="AK1433">
        <v>0</v>
      </c>
      <c r="AL1433">
        <v>0</v>
      </c>
      <c r="AM1433">
        <v>0</v>
      </c>
      <c r="AN1433">
        <v>0</v>
      </c>
      <c r="AO1433">
        <v>0</v>
      </c>
      <c r="AP1433" s="2">
        <v>42746</v>
      </c>
      <c r="AQ1433" t="s">
        <v>72</v>
      </c>
      <c r="AR1433" t="s">
        <v>72</v>
      </c>
      <c r="AS1433">
        <v>883</v>
      </c>
      <c r="AT1433" s="4">
        <v>42453</v>
      </c>
      <c r="AU1433" t="s">
        <v>73</v>
      </c>
      <c r="AV1433">
        <v>883</v>
      </c>
      <c r="AW1433" s="4">
        <v>42453</v>
      </c>
      <c r="BD1433">
        <v>0</v>
      </c>
      <c r="BN1433" t="s">
        <v>74</v>
      </c>
    </row>
    <row r="1434" spans="1:66" hidden="1">
      <c r="A1434">
        <v>100371</v>
      </c>
      <c r="B1434" s="3" t="s">
        <v>167</v>
      </c>
      <c r="C1434" s="1">
        <v>43300101</v>
      </c>
      <c r="D1434" t="s">
        <v>67</v>
      </c>
      <c r="H1434" t="str">
        <f t="shared" ref="H1434:I1453" si="131">"11629770154"</f>
        <v>11629770154</v>
      </c>
      <c r="I1434" t="str">
        <f t="shared" si="131"/>
        <v>11629770154</v>
      </c>
      <c r="K1434" t="str">
        <f>""</f>
        <v/>
      </c>
      <c r="M1434" t="s">
        <v>68</v>
      </c>
      <c r="N1434" t="str">
        <f t="shared" si="130"/>
        <v>FOR</v>
      </c>
      <c r="O1434" t="s">
        <v>69</v>
      </c>
      <c r="P1434" s="3" t="s">
        <v>75</v>
      </c>
      <c r="Q1434">
        <v>2015</v>
      </c>
      <c r="R1434" s="2">
        <v>42308</v>
      </c>
      <c r="S1434" s="2">
        <v>42320</v>
      </c>
      <c r="T1434" s="2">
        <v>42319</v>
      </c>
      <c r="U1434" s="2">
        <v>42379</v>
      </c>
      <c r="V1434" t="s">
        <v>71</v>
      </c>
      <c r="W1434" t="str">
        <f>"               70392"</f>
        <v xml:space="preserve">               70392</v>
      </c>
      <c r="X1434" s="1">
        <v>4075.06</v>
      </c>
      <c r="Y1434">
        <v>0</v>
      </c>
      <c r="Z1434"/>
      <c r="AB1434"/>
      <c r="AC1434" s="1">
        <v>4042.73</v>
      </c>
      <c r="AD1434">
        <v>74</v>
      </c>
      <c r="AE1434" s="1">
        <v>299162.02</v>
      </c>
      <c r="AF1434">
        <v>0</v>
      </c>
      <c r="AJ1434">
        <v>0</v>
      </c>
      <c r="AK1434">
        <v>0</v>
      </c>
      <c r="AL1434">
        <v>0</v>
      </c>
      <c r="AM1434">
        <v>0</v>
      </c>
      <c r="AN1434">
        <v>0</v>
      </c>
      <c r="AO1434">
        <v>0</v>
      </c>
      <c r="AP1434" s="2">
        <v>42746</v>
      </c>
      <c r="AQ1434" t="s">
        <v>72</v>
      </c>
      <c r="AR1434" t="s">
        <v>72</v>
      </c>
      <c r="AS1434">
        <v>883</v>
      </c>
      <c r="AT1434" s="4">
        <v>42453</v>
      </c>
      <c r="AU1434" t="s">
        <v>73</v>
      </c>
      <c r="AV1434">
        <v>883</v>
      </c>
      <c r="AW1434" s="4">
        <v>42453</v>
      </c>
      <c r="BD1434">
        <v>0</v>
      </c>
      <c r="BN1434" t="s">
        <v>74</v>
      </c>
    </row>
    <row r="1435" spans="1:66" hidden="1">
      <c r="A1435">
        <v>100371</v>
      </c>
      <c r="B1435" s="3" t="s">
        <v>167</v>
      </c>
      <c r="C1435" s="1">
        <v>43300101</v>
      </c>
      <c r="D1435" t="s">
        <v>67</v>
      </c>
      <c r="H1435" t="str">
        <f t="shared" si="131"/>
        <v>11629770154</v>
      </c>
      <c r="I1435" t="str">
        <f t="shared" si="131"/>
        <v>11629770154</v>
      </c>
      <c r="K1435" t="str">
        <f>""</f>
        <v/>
      </c>
      <c r="M1435" t="s">
        <v>68</v>
      </c>
      <c r="N1435" t="str">
        <f t="shared" si="130"/>
        <v>FOR</v>
      </c>
      <c r="O1435" t="s">
        <v>69</v>
      </c>
      <c r="P1435" s="3" t="s">
        <v>75</v>
      </c>
      <c r="Q1435">
        <v>2015</v>
      </c>
      <c r="R1435" s="2">
        <v>42338</v>
      </c>
      <c r="S1435" s="2">
        <v>42352</v>
      </c>
      <c r="T1435" s="2">
        <v>42350</v>
      </c>
      <c r="U1435" s="2">
        <v>42410</v>
      </c>
      <c r="V1435" t="s">
        <v>71</v>
      </c>
      <c r="W1435" t="str">
        <f>"               77785"</f>
        <v xml:space="preserve">               77785</v>
      </c>
      <c r="X1435" s="1">
        <v>4087.67</v>
      </c>
      <c r="Y1435">
        <v>0</v>
      </c>
      <c r="Z1435"/>
      <c r="AB1435"/>
      <c r="AC1435" s="1">
        <v>4055.24</v>
      </c>
      <c r="AD1435">
        <v>118</v>
      </c>
      <c r="AE1435" s="1">
        <v>478518.32</v>
      </c>
      <c r="AF1435">
        <v>0</v>
      </c>
      <c r="AJ1435">
        <v>0</v>
      </c>
      <c r="AK1435">
        <v>0</v>
      </c>
      <c r="AL1435">
        <v>0</v>
      </c>
      <c r="AM1435">
        <v>0</v>
      </c>
      <c r="AN1435">
        <v>0</v>
      </c>
      <c r="AO1435">
        <v>0</v>
      </c>
      <c r="AP1435" s="2">
        <v>42746</v>
      </c>
      <c r="AQ1435" t="s">
        <v>72</v>
      </c>
      <c r="AR1435" t="s">
        <v>72</v>
      </c>
      <c r="AS1435">
        <v>1553</v>
      </c>
      <c r="AT1435" s="4">
        <v>42528</v>
      </c>
      <c r="AU1435" t="s">
        <v>73</v>
      </c>
      <c r="AV1435">
        <v>1553</v>
      </c>
      <c r="AW1435" s="4">
        <v>42528</v>
      </c>
      <c r="BD1435">
        <v>0</v>
      </c>
      <c r="BN1435" t="s">
        <v>74</v>
      </c>
    </row>
    <row r="1436" spans="1:66" hidden="1">
      <c r="A1436">
        <v>100371</v>
      </c>
      <c r="B1436" s="3" t="s">
        <v>167</v>
      </c>
      <c r="C1436" s="1">
        <v>43300101</v>
      </c>
      <c r="D1436" t="s">
        <v>67</v>
      </c>
      <c r="H1436" t="str">
        <f t="shared" si="131"/>
        <v>11629770154</v>
      </c>
      <c r="I1436" t="str">
        <f t="shared" si="131"/>
        <v>11629770154</v>
      </c>
      <c r="K1436" t="str">
        <f>""</f>
        <v/>
      </c>
      <c r="M1436" t="s">
        <v>68</v>
      </c>
      <c r="N1436" t="str">
        <f t="shared" si="130"/>
        <v>FOR</v>
      </c>
      <c r="O1436" t="s">
        <v>69</v>
      </c>
      <c r="P1436" s="3" t="s">
        <v>75</v>
      </c>
      <c r="Q1436">
        <v>2015</v>
      </c>
      <c r="R1436" s="2">
        <v>42338</v>
      </c>
      <c r="S1436" s="2">
        <v>42352</v>
      </c>
      <c r="T1436" s="2">
        <v>42350</v>
      </c>
      <c r="U1436" s="2">
        <v>42410</v>
      </c>
      <c r="V1436" t="s">
        <v>71</v>
      </c>
      <c r="W1436" t="str">
        <f>"               77786"</f>
        <v xml:space="preserve">               77786</v>
      </c>
      <c r="X1436" s="1">
        <v>3091.75</v>
      </c>
      <c r="Y1436">
        <v>0</v>
      </c>
      <c r="Z1436"/>
      <c r="AB1436"/>
      <c r="AC1436" s="1">
        <v>3068.65</v>
      </c>
      <c r="AD1436">
        <v>118</v>
      </c>
      <c r="AE1436" s="1">
        <v>362100.7</v>
      </c>
      <c r="AF1436">
        <v>0</v>
      </c>
      <c r="AJ1436">
        <v>0</v>
      </c>
      <c r="AK1436">
        <v>0</v>
      </c>
      <c r="AL1436">
        <v>0</v>
      </c>
      <c r="AM1436">
        <v>0</v>
      </c>
      <c r="AN1436">
        <v>0</v>
      </c>
      <c r="AO1436">
        <v>0</v>
      </c>
      <c r="AP1436" s="2">
        <v>42746</v>
      </c>
      <c r="AQ1436" t="s">
        <v>72</v>
      </c>
      <c r="AR1436" t="s">
        <v>72</v>
      </c>
      <c r="AS1436">
        <v>1553</v>
      </c>
      <c r="AT1436" s="4">
        <v>42528</v>
      </c>
      <c r="AU1436" t="s">
        <v>73</v>
      </c>
      <c r="AV1436">
        <v>1553</v>
      </c>
      <c r="AW1436" s="4">
        <v>42528</v>
      </c>
      <c r="BD1436">
        <v>0</v>
      </c>
      <c r="BN1436" t="s">
        <v>74</v>
      </c>
    </row>
    <row r="1437" spans="1:66" hidden="1">
      <c r="A1437">
        <v>100371</v>
      </c>
      <c r="B1437" s="3" t="s">
        <v>167</v>
      </c>
      <c r="C1437" s="1">
        <v>43300101</v>
      </c>
      <c r="D1437" t="s">
        <v>67</v>
      </c>
      <c r="H1437" t="str">
        <f t="shared" si="131"/>
        <v>11629770154</v>
      </c>
      <c r="I1437" t="str">
        <f t="shared" si="131"/>
        <v>11629770154</v>
      </c>
      <c r="K1437" t="str">
        <f>""</f>
        <v/>
      </c>
      <c r="M1437" t="s">
        <v>68</v>
      </c>
      <c r="N1437" t="str">
        <f t="shared" si="130"/>
        <v>FOR</v>
      </c>
      <c r="O1437" t="s">
        <v>69</v>
      </c>
      <c r="P1437" s="3" t="s">
        <v>75</v>
      </c>
      <c r="Q1437">
        <v>2015</v>
      </c>
      <c r="R1437" s="2">
        <v>42338</v>
      </c>
      <c r="S1437" s="2">
        <v>42352</v>
      </c>
      <c r="T1437" s="2">
        <v>42350</v>
      </c>
      <c r="U1437" s="2">
        <v>42410</v>
      </c>
      <c r="V1437" t="s">
        <v>71</v>
      </c>
      <c r="W1437" t="str">
        <f>"               77787"</f>
        <v xml:space="preserve">               77787</v>
      </c>
      <c r="X1437" s="1">
        <v>3044.63</v>
      </c>
      <c r="Y1437">
        <v>0</v>
      </c>
      <c r="Z1437"/>
      <c r="AB1437"/>
      <c r="AC1437" s="1">
        <v>3020.24</v>
      </c>
      <c r="AD1437">
        <v>118</v>
      </c>
      <c r="AE1437" s="1">
        <v>356388.32</v>
      </c>
      <c r="AF1437">
        <v>0</v>
      </c>
      <c r="AJ1437">
        <v>0</v>
      </c>
      <c r="AK1437">
        <v>0</v>
      </c>
      <c r="AL1437">
        <v>0</v>
      </c>
      <c r="AM1437">
        <v>0</v>
      </c>
      <c r="AN1437">
        <v>0</v>
      </c>
      <c r="AO1437">
        <v>0</v>
      </c>
      <c r="AP1437" s="2">
        <v>42746</v>
      </c>
      <c r="AQ1437" t="s">
        <v>72</v>
      </c>
      <c r="AR1437" t="s">
        <v>72</v>
      </c>
      <c r="AS1437">
        <v>1553</v>
      </c>
      <c r="AT1437" s="4">
        <v>42528</v>
      </c>
      <c r="AU1437" t="s">
        <v>73</v>
      </c>
      <c r="AV1437">
        <v>1553</v>
      </c>
      <c r="AW1437" s="4">
        <v>42528</v>
      </c>
      <c r="BD1437">
        <v>0</v>
      </c>
      <c r="BN1437" t="s">
        <v>74</v>
      </c>
    </row>
    <row r="1438" spans="1:66" hidden="1">
      <c r="A1438">
        <v>100371</v>
      </c>
      <c r="B1438" s="3" t="s">
        <v>167</v>
      </c>
      <c r="C1438" s="1">
        <v>43300101</v>
      </c>
      <c r="D1438" t="s">
        <v>67</v>
      </c>
      <c r="H1438" t="str">
        <f t="shared" si="131"/>
        <v>11629770154</v>
      </c>
      <c r="I1438" t="str">
        <f t="shared" si="131"/>
        <v>11629770154</v>
      </c>
      <c r="K1438" t="str">
        <f>""</f>
        <v/>
      </c>
      <c r="M1438" t="s">
        <v>68</v>
      </c>
      <c r="N1438" t="str">
        <f t="shared" si="130"/>
        <v>FOR</v>
      </c>
      <c r="O1438" t="s">
        <v>69</v>
      </c>
      <c r="P1438" s="3" t="s">
        <v>75</v>
      </c>
      <c r="Q1438">
        <v>2015</v>
      </c>
      <c r="R1438" s="2">
        <v>42338</v>
      </c>
      <c r="S1438" s="2">
        <v>42352</v>
      </c>
      <c r="T1438" s="2">
        <v>42350</v>
      </c>
      <c r="U1438" s="2">
        <v>42410</v>
      </c>
      <c r="V1438" t="s">
        <v>71</v>
      </c>
      <c r="W1438" t="str">
        <f>"               77788"</f>
        <v xml:space="preserve">               77788</v>
      </c>
      <c r="X1438" s="1">
        <v>51690.44</v>
      </c>
      <c r="Y1438">
        <v>0</v>
      </c>
      <c r="Z1438"/>
      <c r="AB1438"/>
      <c r="AC1438" s="1">
        <v>51318.59</v>
      </c>
      <c r="AD1438">
        <v>118</v>
      </c>
      <c r="AE1438" s="1">
        <v>6055593.6200000001</v>
      </c>
      <c r="AF1438">
        <v>0</v>
      </c>
      <c r="AJ1438">
        <v>0</v>
      </c>
      <c r="AK1438">
        <v>0</v>
      </c>
      <c r="AL1438">
        <v>0</v>
      </c>
      <c r="AM1438">
        <v>0</v>
      </c>
      <c r="AN1438">
        <v>0</v>
      </c>
      <c r="AO1438">
        <v>0</v>
      </c>
      <c r="AP1438" s="2">
        <v>42746</v>
      </c>
      <c r="AQ1438" t="s">
        <v>72</v>
      </c>
      <c r="AR1438" t="s">
        <v>72</v>
      </c>
      <c r="AS1438">
        <v>1553</v>
      </c>
      <c r="AT1438" s="4">
        <v>42528</v>
      </c>
      <c r="AU1438" t="s">
        <v>73</v>
      </c>
      <c r="AV1438">
        <v>1553</v>
      </c>
      <c r="AW1438" s="4">
        <v>42528</v>
      </c>
      <c r="BD1438">
        <v>0</v>
      </c>
      <c r="BN1438" t="s">
        <v>74</v>
      </c>
    </row>
    <row r="1439" spans="1:66" hidden="1">
      <c r="A1439">
        <v>100371</v>
      </c>
      <c r="B1439" s="3" t="s">
        <v>167</v>
      </c>
      <c r="C1439" s="1">
        <v>43300101</v>
      </c>
      <c r="D1439" t="s">
        <v>67</v>
      </c>
      <c r="H1439" t="str">
        <f t="shared" si="131"/>
        <v>11629770154</v>
      </c>
      <c r="I1439" t="str">
        <f t="shared" si="131"/>
        <v>11629770154</v>
      </c>
      <c r="K1439" t="str">
        <f>""</f>
        <v/>
      </c>
      <c r="M1439" t="s">
        <v>68</v>
      </c>
      <c r="N1439" t="str">
        <f t="shared" si="130"/>
        <v>FOR</v>
      </c>
      <c r="O1439" t="s">
        <v>69</v>
      </c>
      <c r="P1439" s="3" t="s">
        <v>75</v>
      </c>
      <c r="Q1439">
        <v>2015</v>
      </c>
      <c r="R1439" s="2">
        <v>42338</v>
      </c>
      <c r="S1439" s="2">
        <v>42352</v>
      </c>
      <c r="T1439" s="2">
        <v>42350</v>
      </c>
      <c r="U1439" s="2">
        <v>42410</v>
      </c>
      <c r="V1439" t="s">
        <v>71</v>
      </c>
      <c r="W1439" t="str">
        <f>"               77789"</f>
        <v xml:space="preserve">               77789</v>
      </c>
      <c r="X1439" s="1">
        <v>1636.66</v>
      </c>
      <c r="Y1439">
        <v>0</v>
      </c>
      <c r="Z1439"/>
      <c r="AB1439"/>
      <c r="AC1439" s="1">
        <v>1623.62</v>
      </c>
      <c r="AD1439">
        <v>118</v>
      </c>
      <c r="AE1439" s="1">
        <v>191587.16</v>
      </c>
      <c r="AF1439">
        <v>0</v>
      </c>
      <c r="AJ1439">
        <v>0</v>
      </c>
      <c r="AK1439">
        <v>0</v>
      </c>
      <c r="AL1439">
        <v>0</v>
      </c>
      <c r="AM1439">
        <v>0</v>
      </c>
      <c r="AN1439">
        <v>0</v>
      </c>
      <c r="AO1439">
        <v>0</v>
      </c>
      <c r="AP1439" s="2">
        <v>42746</v>
      </c>
      <c r="AQ1439" t="s">
        <v>72</v>
      </c>
      <c r="AR1439" t="s">
        <v>72</v>
      </c>
      <c r="AS1439">
        <v>1553</v>
      </c>
      <c r="AT1439" s="4">
        <v>42528</v>
      </c>
      <c r="AU1439" t="s">
        <v>73</v>
      </c>
      <c r="AV1439">
        <v>1553</v>
      </c>
      <c r="AW1439" s="4">
        <v>42528</v>
      </c>
      <c r="BD1439">
        <v>0</v>
      </c>
      <c r="BN1439" t="s">
        <v>74</v>
      </c>
    </row>
    <row r="1440" spans="1:66" hidden="1">
      <c r="A1440">
        <v>100371</v>
      </c>
      <c r="B1440" s="3" t="s">
        <v>167</v>
      </c>
      <c r="C1440" s="1">
        <v>43300101</v>
      </c>
      <c r="D1440" t="s">
        <v>67</v>
      </c>
      <c r="H1440" t="str">
        <f t="shared" si="131"/>
        <v>11629770154</v>
      </c>
      <c r="I1440" t="str">
        <f t="shared" si="131"/>
        <v>11629770154</v>
      </c>
      <c r="K1440" t="str">
        <f>""</f>
        <v/>
      </c>
      <c r="M1440" t="s">
        <v>68</v>
      </c>
      <c r="N1440" t="str">
        <f t="shared" si="130"/>
        <v>FOR</v>
      </c>
      <c r="O1440" t="s">
        <v>69</v>
      </c>
      <c r="P1440" s="3" t="s">
        <v>75</v>
      </c>
      <c r="Q1440">
        <v>2015</v>
      </c>
      <c r="R1440" s="2">
        <v>42338</v>
      </c>
      <c r="S1440" s="2">
        <v>42352</v>
      </c>
      <c r="T1440" s="2">
        <v>42350</v>
      </c>
      <c r="U1440" s="2">
        <v>42410</v>
      </c>
      <c r="V1440" t="s">
        <v>71</v>
      </c>
      <c r="W1440" t="str">
        <f>"               77790"</f>
        <v xml:space="preserve">               77790</v>
      </c>
      <c r="X1440" s="1">
        <v>178918.29</v>
      </c>
      <c r="Y1440">
        <v>0</v>
      </c>
      <c r="Z1440"/>
      <c r="AB1440"/>
      <c r="AC1440" s="1">
        <v>177893.09</v>
      </c>
      <c r="AD1440">
        <v>118</v>
      </c>
      <c r="AE1440" s="1">
        <v>20991384.620000001</v>
      </c>
      <c r="AF1440">
        <v>0</v>
      </c>
      <c r="AJ1440">
        <v>0</v>
      </c>
      <c r="AK1440">
        <v>0</v>
      </c>
      <c r="AL1440">
        <v>0</v>
      </c>
      <c r="AM1440">
        <v>0</v>
      </c>
      <c r="AN1440">
        <v>0</v>
      </c>
      <c r="AO1440">
        <v>0</v>
      </c>
      <c r="AP1440" s="2">
        <v>42746</v>
      </c>
      <c r="AQ1440" t="s">
        <v>72</v>
      </c>
      <c r="AR1440" t="s">
        <v>72</v>
      </c>
      <c r="AS1440">
        <v>1553</v>
      </c>
      <c r="AT1440" s="4">
        <v>42528</v>
      </c>
      <c r="AU1440" t="s">
        <v>73</v>
      </c>
      <c r="AV1440">
        <v>1553</v>
      </c>
      <c r="AW1440" s="4">
        <v>42528</v>
      </c>
      <c r="BD1440">
        <v>0</v>
      </c>
      <c r="BN1440" t="s">
        <v>74</v>
      </c>
    </row>
    <row r="1441" spans="1:66" hidden="1">
      <c r="A1441">
        <v>100371</v>
      </c>
      <c r="B1441" s="3" t="s">
        <v>167</v>
      </c>
      <c r="C1441" s="1">
        <v>43300101</v>
      </c>
      <c r="D1441" t="s">
        <v>67</v>
      </c>
      <c r="H1441" t="str">
        <f t="shared" si="131"/>
        <v>11629770154</v>
      </c>
      <c r="I1441" t="str">
        <f t="shared" si="131"/>
        <v>11629770154</v>
      </c>
      <c r="K1441" t="str">
        <f>""</f>
        <v/>
      </c>
      <c r="M1441" t="s">
        <v>68</v>
      </c>
      <c r="N1441" t="str">
        <f t="shared" si="130"/>
        <v>FOR</v>
      </c>
      <c r="O1441" t="s">
        <v>69</v>
      </c>
      <c r="P1441" s="3" t="s">
        <v>75</v>
      </c>
      <c r="Q1441">
        <v>2015</v>
      </c>
      <c r="R1441" s="2">
        <v>42338</v>
      </c>
      <c r="S1441" s="2">
        <v>42352</v>
      </c>
      <c r="T1441" s="2">
        <v>42350</v>
      </c>
      <c r="U1441" s="2">
        <v>42410</v>
      </c>
      <c r="V1441" t="s">
        <v>71</v>
      </c>
      <c r="W1441" t="str">
        <f>"               77791"</f>
        <v xml:space="preserve">               77791</v>
      </c>
      <c r="X1441" s="1">
        <v>11635.22</v>
      </c>
      <c r="Y1441">
        <v>0</v>
      </c>
      <c r="Z1441"/>
      <c r="AB1441"/>
      <c r="AC1441" s="1">
        <v>11551.44</v>
      </c>
      <c r="AD1441">
        <v>118</v>
      </c>
      <c r="AE1441" s="1">
        <v>1363069.92</v>
      </c>
      <c r="AF1441">
        <v>0</v>
      </c>
      <c r="AJ1441">
        <v>0</v>
      </c>
      <c r="AK1441">
        <v>0</v>
      </c>
      <c r="AL1441">
        <v>0</v>
      </c>
      <c r="AM1441">
        <v>0</v>
      </c>
      <c r="AN1441">
        <v>0</v>
      </c>
      <c r="AO1441">
        <v>0</v>
      </c>
      <c r="AP1441" s="2">
        <v>42746</v>
      </c>
      <c r="AQ1441" t="s">
        <v>72</v>
      </c>
      <c r="AR1441" t="s">
        <v>72</v>
      </c>
      <c r="AS1441">
        <v>1553</v>
      </c>
      <c r="AT1441" s="4">
        <v>42528</v>
      </c>
      <c r="AU1441" t="s">
        <v>73</v>
      </c>
      <c r="AV1441">
        <v>1553</v>
      </c>
      <c r="AW1441" s="4">
        <v>42528</v>
      </c>
      <c r="BD1441">
        <v>0</v>
      </c>
      <c r="BN1441" t="s">
        <v>74</v>
      </c>
    </row>
    <row r="1442" spans="1:66" hidden="1">
      <c r="A1442">
        <v>100371</v>
      </c>
      <c r="B1442" s="3" t="s">
        <v>167</v>
      </c>
      <c r="C1442" s="1">
        <v>43300101</v>
      </c>
      <c r="D1442" t="s">
        <v>67</v>
      </c>
      <c r="H1442" t="str">
        <f t="shared" si="131"/>
        <v>11629770154</v>
      </c>
      <c r="I1442" t="str">
        <f t="shared" si="131"/>
        <v>11629770154</v>
      </c>
      <c r="K1442" t="str">
        <f>""</f>
        <v/>
      </c>
      <c r="M1442" t="s">
        <v>68</v>
      </c>
      <c r="N1442" t="str">
        <f t="shared" si="130"/>
        <v>FOR</v>
      </c>
      <c r="O1442" t="s">
        <v>69</v>
      </c>
      <c r="P1442" s="3" t="s">
        <v>75</v>
      </c>
      <c r="Q1442">
        <v>2015</v>
      </c>
      <c r="R1442" s="2">
        <v>42369</v>
      </c>
      <c r="S1442" s="2">
        <v>42369</v>
      </c>
      <c r="T1442" s="2">
        <v>42369</v>
      </c>
      <c r="U1442" s="2">
        <v>42429</v>
      </c>
      <c r="V1442" t="s">
        <v>71</v>
      </c>
      <c r="W1442" t="str">
        <f>"               85466"</f>
        <v xml:space="preserve">               85466</v>
      </c>
      <c r="X1442" s="1">
        <v>179025.14</v>
      </c>
      <c r="Y1442">
        <v>0</v>
      </c>
      <c r="Z1442"/>
      <c r="AB1442"/>
      <c r="AC1442" s="1">
        <v>178008.87</v>
      </c>
      <c r="AD1442">
        <v>148</v>
      </c>
      <c r="AE1442" s="1">
        <v>26345312.760000002</v>
      </c>
      <c r="AF1442">
        <v>0</v>
      </c>
      <c r="AJ1442">
        <v>0</v>
      </c>
      <c r="AK1442">
        <v>0</v>
      </c>
      <c r="AL1442">
        <v>0</v>
      </c>
      <c r="AM1442">
        <v>0</v>
      </c>
      <c r="AN1442">
        <v>0</v>
      </c>
      <c r="AO1442">
        <v>0</v>
      </c>
      <c r="AP1442" s="2">
        <v>42746</v>
      </c>
      <c r="AQ1442" t="s">
        <v>72</v>
      </c>
      <c r="AR1442" t="s">
        <v>72</v>
      </c>
      <c r="AS1442">
        <v>1971</v>
      </c>
      <c r="AT1442" s="4">
        <v>42577</v>
      </c>
      <c r="AU1442" t="s">
        <v>73</v>
      </c>
      <c r="AV1442">
        <v>1971</v>
      </c>
      <c r="AW1442" s="4">
        <v>42577</v>
      </c>
      <c r="BD1442">
        <v>0</v>
      </c>
      <c r="BN1442" t="s">
        <v>74</v>
      </c>
    </row>
    <row r="1443" spans="1:66" hidden="1">
      <c r="A1443">
        <v>100371</v>
      </c>
      <c r="B1443" s="3" t="s">
        <v>167</v>
      </c>
      <c r="C1443" s="1">
        <v>43300101</v>
      </c>
      <c r="D1443" t="s">
        <v>67</v>
      </c>
      <c r="H1443" t="str">
        <f t="shared" si="131"/>
        <v>11629770154</v>
      </c>
      <c r="I1443" t="str">
        <f t="shared" si="131"/>
        <v>11629770154</v>
      </c>
      <c r="K1443" t="str">
        <f>""</f>
        <v/>
      </c>
      <c r="M1443" t="s">
        <v>68</v>
      </c>
      <c r="N1443" t="str">
        <f t="shared" si="130"/>
        <v>FOR</v>
      </c>
      <c r="O1443" t="s">
        <v>69</v>
      </c>
      <c r="P1443" s="3" t="s">
        <v>75</v>
      </c>
      <c r="Q1443">
        <v>2015</v>
      </c>
      <c r="R1443" s="2">
        <v>42369</v>
      </c>
      <c r="S1443" s="2">
        <v>42369</v>
      </c>
      <c r="T1443" s="2">
        <v>42369</v>
      </c>
      <c r="U1443" s="2">
        <v>42429</v>
      </c>
      <c r="V1443" t="s">
        <v>71</v>
      </c>
      <c r="W1443" t="str">
        <f>"               85467"</f>
        <v xml:space="preserve">               85467</v>
      </c>
      <c r="X1443" s="1">
        <v>1841.13</v>
      </c>
      <c r="Y1443">
        <v>0</v>
      </c>
      <c r="Z1443"/>
      <c r="AB1443"/>
      <c r="AC1443" s="1">
        <v>1826.45</v>
      </c>
      <c r="AD1443">
        <v>148</v>
      </c>
      <c r="AE1443" s="1">
        <v>270314.59999999998</v>
      </c>
      <c r="AF1443">
        <v>0</v>
      </c>
      <c r="AJ1443">
        <v>0</v>
      </c>
      <c r="AK1443">
        <v>0</v>
      </c>
      <c r="AL1443">
        <v>0</v>
      </c>
      <c r="AM1443">
        <v>0</v>
      </c>
      <c r="AN1443">
        <v>0</v>
      </c>
      <c r="AO1443">
        <v>0</v>
      </c>
      <c r="AP1443" s="2">
        <v>42746</v>
      </c>
      <c r="AQ1443" t="s">
        <v>72</v>
      </c>
      <c r="AR1443" t="s">
        <v>72</v>
      </c>
      <c r="AS1443">
        <v>1971</v>
      </c>
      <c r="AT1443" s="4">
        <v>42577</v>
      </c>
      <c r="AU1443" t="s">
        <v>73</v>
      </c>
      <c r="AV1443">
        <v>1971</v>
      </c>
      <c r="AW1443" s="4">
        <v>42577</v>
      </c>
      <c r="BD1443">
        <v>0</v>
      </c>
      <c r="BN1443" t="s">
        <v>74</v>
      </c>
    </row>
    <row r="1444" spans="1:66" hidden="1">
      <c r="A1444">
        <v>100371</v>
      </c>
      <c r="B1444" s="3" t="s">
        <v>167</v>
      </c>
      <c r="C1444" s="1">
        <v>43300101</v>
      </c>
      <c r="D1444" t="s">
        <v>67</v>
      </c>
      <c r="H1444" t="str">
        <f t="shared" si="131"/>
        <v>11629770154</v>
      </c>
      <c r="I1444" t="str">
        <f t="shared" si="131"/>
        <v>11629770154</v>
      </c>
      <c r="K1444" t="str">
        <f>""</f>
        <v/>
      </c>
      <c r="M1444" t="s">
        <v>68</v>
      </c>
      <c r="N1444" t="str">
        <f t="shared" si="130"/>
        <v>FOR</v>
      </c>
      <c r="O1444" t="s">
        <v>69</v>
      </c>
      <c r="P1444" s="3" t="s">
        <v>75</v>
      </c>
      <c r="Q1444">
        <v>2015</v>
      </c>
      <c r="R1444" s="2">
        <v>42369</v>
      </c>
      <c r="S1444" s="2">
        <v>42369</v>
      </c>
      <c r="T1444" s="2">
        <v>42369</v>
      </c>
      <c r="U1444" s="2">
        <v>42429</v>
      </c>
      <c r="V1444" t="s">
        <v>71</v>
      </c>
      <c r="W1444" t="str">
        <f>"               85468"</f>
        <v xml:space="preserve">               85468</v>
      </c>
      <c r="X1444" s="1">
        <v>47912.639999999999</v>
      </c>
      <c r="Y1444">
        <v>0</v>
      </c>
      <c r="Z1444"/>
      <c r="AB1444"/>
      <c r="AC1444" s="1">
        <v>47571.3</v>
      </c>
      <c r="AD1444">
        <v>148</v>
      </c>
      <c r="AE1444" s="1">
        <v>7040552.4000000004</v>
      </c>
      <c r="AF1444">
        <v>0</v>
      </c>
      <c r="AJ1444">
        <v>0</v>
      </c>
      <c r="AK1444">
        <v>0</v>
      </c>
      <c r="AL1444">
        <v>0</v>
      </c>
      <c r="AM1444">
        <v>0</v>
      </c>
      <c r="AN1444">
        <v>0</v>
      </c>
      <c r="AO1444">
        <v>0</v>
      </c>
      <c r="AP1444" s="2">
        <v>42746</v>
      </c>
      <c r="AQ1444" t="s">
        <v>72</v>
      </c>
      <c r="AR1444" t="s">
        <v>72</v>
      </c>
      <c r="AS1444">
        <v>1971</v>
      </c>
      <c r="AT1444" s="4">
        <v>42577</v>
      </c>
      <c r="AU1444" t="s">
        <v>73</v>
      </c>
      <c r="AV1444">
        <v>1971</v>
      </c>
      <c r="AW1444" s="4">
        <v>42577</v>
      </c>
      <c r="BD1444">
        <v>0</v>
      </c>
      <c r="BN1444" t="s">
        <v>74</v>
      </c>
    </row>
    <row r="1445" spans="1:66" hidden="1">
      <c r="A1445">
        <v>100371</v>
      </c>
      <c r="B1445" s="3" t="s">
        <v>167</v>
      </c>
      <c r="C1445" s="1">
        <v>43300101</v>
      </c>
      <c r="D1445" t="s">
        <v>67</v>
      </c>
      <c r="H1445" t="str">
        <f t="shared" si="131"/>
        <v>11629770154</v>
      </c>
      <c r="I1445" t="str">
        <f t="shared" si="131"/>
        <v>11629770154</v>
      </c>
      <c r="K1445" t="str">
        <f>""</f>
        <v/>
      </c>
      <c r="M1445" t="s">
        <v>68</v>
      </c>
      <c r="N1445" t="str">
        <f t="shared" si="130"/>
        <v>FOR</v>
      </c>
      <c r="O1445" t="s">
        <v>69</v>
      </c>
      <c r="P1445" s="3" t="s">
        <v>75</v>
      </c>
      <c r="Q1445">
        <v>2015</v>
      </c>
      <c r="R1445" s="2">
        <v>42369</v>
      </c>
      <c r="S1445" s="2">
        <v>42369</v>
      </c>
      <c r="T1445" s="2">
        <v>42369</v>
      </c>
      <c r="U1445" s="2">
        <v>42429</v>
      </c>
      <c r="V1445" t="s">
        <v>71</v>
      </c>
      <c r="W1445" t="str">
        <f>"               85469"</f>
        <v xml:space="preserve">               85469</v>
      </c>
      <c r="X1445" s="1">
        <v>4244.28</v>
      </c>
      <c r="Y1445">
        <v>0</v>
      </c>
      <c r="Z1445"/>
      <c r="AB1445"/>
      <c r="AC1445" s="1">
        <v>4210.24</v>
      </c>
      <c r="AD1445">
        <v>148</v>
      </c>
      <c r="AE1445" s="1">
        <v>623115.52000000002</v>
      </c>
      <c r="AF1445">
        <v>0</v>
      </c>
      <c r="AJ1445">
        <v>0</v>
      </c>
      <c r="AK1445">
        <v>0</v>
      </c>
      <c r="AL1445">
        <v>0</v>
      </c>
      <c r="AM1445">
        <v>0</v>
      </c>
      <c r="AN1445">
        <v>0</v>
      </c>
      <c r="AO1445">
        <v>0</v>
      </c>
      <c r="AP1445" s="2">
        <v>42746</v>
      </c>
      <c r="AQ1445" t="s">
        <v>72</v>
      </c>
      <c r="AR1445" t="s">
        <v>72</v>
      </c>
      <c r="AS1445">
        <v>1971</v>
      </c>
      <c r="AT1445" s="4">
        <v>42577</v>
      </c>
      <c r="AU1445" t="s">
        <v>73</v>
      </c>
      <c r="AV1445">
        <v>1971</v>
      </c>
      <c r="AW1445" s="4">
        <v>42577</v>
      </c>
      <c r="BD1445">
        <v>0</v>
      </c>
      <c r="BN1445" t="s">
        <v>74</v>
      </c>
    </row>
    <row r="1446" spans="1:66" hidden="1">
      <c r="A1446">
        <v>100371</v>
      </c>
      <c r="B1446" s="3" t="s">
        <v>167</v>
      </c>
      <c r="C1446" s="1">
        <v>43300101</v>
      </c>
      <c r="D1446" t="s">
        <v>67</v>
      </c>
      <c r="H1446" t="str">
        <f t="shared" si="131"/>
        <v>11629770154</v>
      </c>
      <c r="I1446" t="str">
        <f t="shared" si="131"/>
        <v>11629770154</v>
      </c>
      <c r="K1446" t="str">
        <f>""</f>
        <v/>
      </c>
      <c r="M1446" t="s">
        <v>68</v>
      </c>
      <c r="N1446" t="str">
        <f t="shared" si="130"/>
        <v>FOR</v>
      </c>
      <c r="O1446" t="s">
        <v>69</v>
      </c>
      <c r="P1446" s="3" t="s">
        <v>75</v>
      </c>
      <c r="Q1446">
        <v>2015</v>
      </c>
      <c r="R1446" s="2">
        <v>42369</v>
      </c>
      <c r="S1446" s="2">
        <v>42369</v>
      </c>
      <c r="T1446" s="2">
        <v>42369</v>
      </c>
      <c r="U1446" s="2">
        <v>42429</v>
      </c>
      <c r="V1446" t="s">
        <v>71</v>
      </c>
      <c r="W1446" t="str">
        <f>"               85470"</f>
        <v xml:space="preserve">               85470</v>
      </c>
      <c r="X1446" s="1">
        <v>11820.14</v>
      </c>
      <c r="Y1446">
        <v>0</v>
      </c>
      <c r="Z1446"/>
      <c r="AB1446"/>
      <c r="AC1446" s="1">
        <v>11735.62</v>
      </c>
      <c r="AD1446">
        <v>148</v>
      </c>
      <c r="AE1446" s="1">
        <v>1736871.76</v>
      </c>
      <c r="AF1446">
        <v>0</v>
      </c>
      <c r="AJ1446">
        <v>0</v>
      </c>
      <c r="AK1446">
        <v>0</v>
      </c>
      <c r="AL1446">
        <v>0</v>
      </c>
      <c r="AM1446">
        <v>0</v>
      </c>
      <c r="AN1446">
        <v>0</v>
      </c>
      <c r="AO1446">
        <v>0</v>
      </c>
      <c r="AP1446" s="2">
        <v>42746</v>
      </c>
      <c r="AQ1446" t="s">
        <v>72</v>
      </c>
      <c r="AR1446" t="s">
        <v>72</v>
      </c>
      <c r="AS1446">
        <v>1971</v>
      </c>
      <c r="AT1446" s="4">
        <v>42577</v>
      </c>
      <c r="AU1446" t="s">
        <v>73</v>
      </c>
      <c r="AV1446">
        <v>1971</v>
      </c>
      <c r="AW1446" s="4">
        <v>42577</v>
      </c>
      <c r="BD1446">
        <v>0</v>
      </c>
      <c r="BN1446" t="s">
        <v>74</v>
      </c>
    </row>
    <row r="1447" spans="1:66" hidden="1">
      <c r="A1447">
        <v>100371</v>
      </c>
      <c r="B1447" s="3" t="s">
        <v>167</v>
      </c>
      <c r="C1447" s="1">
        <v>43300101</v>
      </c>
      <c r="D1447" t="s">
        <v>67</v>
      </c>
      <c r="H1447" t="str">
        <f t="shared" si="131"/>
        <v>11629770154</v>
      </c>
      <c r="I1447" t="str">
        <f t="shared" si="131"/>
        <v>11629770154</v>
      </c>
      <c r="K1447" t="str">
        <f>""</f>
        <v/>
      </c>
      <c r="M1447" t="s">
        <v>68</v>
      </c>
      <c r="N1447" t="str">
        <f t="shared" si="130"/>
        <v>FOR</v>
      </c>
      <c r="O1447" t="s">
        <v>69</v>
      </c>
      <c r="P1447" s="3" t="s">
        <v>75</v>
      </c>
      <c r="Q1447">
        <v>2015</v>
      </c>
      <c r="R1447" s="2">
        <v>42369</v>
      </c>
      <c r="S1447" s="2">
        <v>42369</v>
      </c>
      <c r="T1447" s="2">
        <v>42369</v>
      </c>
      <c r="U1447" s="2">
        <v>42429</v>
      </c>
      <c r="V1447" t="s">
        <v>71</v>
      </c>
      <c r="W1447" t="str">
        <f>"               85471"</f>
        <v xml:space="preserve">               85471</v>
      </c>
      <c r="X1447" s="1">
        <v>2875.38</v>
      </c>
      <c r="Y1447">
        <v>0</v>
      </c>
      <c r="Z1447"/>
      <c r="AB1447"/>
      <c r="AC1447" s="1">
        <v>2853.2</v>
      </c>
      <c r="AD1447">
        <v>148</v>
      </c>
      <c r="AE1447" s="1">
        <v>422273.6</v>
      </c>
      <c r="AF1447">
        <v>0</v>
      </c>
      <c r="AJ1447">
        <v>0</v>
      </c>
      <c r="AK1447">
        <v>0</v>
      </c>
      <c r="AL1447">
        <v>0</v>
      </c>
      <c r="AM1447">
        <v>0</v>
      </c>
      <c r="AN1447">
        <v>0</v>
      </c>
      <c r="AO1447">
        <v>0</v>
      </c>
      <c r="AP1447" s="2">
        <v>42746</v>
      </c>
      <c r="AQ1447" t="s">
        <v>72</v>
      </c>
      <c r="AR1447" t="s">
        <v>72</v>
      </c>
      <c r="AS1447">
        <v>1971</v>
      </c>
      <c r="AT1447" s="4">
        <v>42577</v>
      </c>
      <c r="AU1447" t="s">
        <v>73</v>
      </c>
      <c r="AV1447">
        <v>1971</v>
      </c>
      <c r="AW1447" s="4">
        <v>42577</v>
      </c>
      <c r="BD1447">
        <v>0</v>
      </c>
      <c r="BN1447" t="s">
        <v>74</v>
      </c>
    </row>
    <row r="1448" spans="1:66" hidden="1">
      <c r="A1448">
        <v>100371</v>
      </c>
      <c r="B1448" s="3" t="s">
        <v>167</v>
      </c>
      <c r="C1448" s="1">
        <v>43300101</v>
      </c>
      <c r="D1448" t="s">
        <v>67</v>
      </c>
      <c r="H1448" t="str">
        <f t="shared" si="131"/>
        <v>11629770154</v>
      </c>
      <c r="I1448" t="str">
        <f t="shared" si="131"/>
        <v>11629770154</v>
      </c>
      <c r="K1448" t="str">
        <f>""</f>
        <v/>
      </c>
      <c r="M1448" t="s">
        <v>68</v>
      </c>
      <c r="N1448" t="str">
        <f t="shared" si="130"/>
        <v>FOR</v>
      </c>
      <c r="O1448" t="s">
        <v>69</v>
      </c>
      <c r="P1448" s="3" t="s">
        <v>75</v>
      </c>
      <c r="Q1448">
        <v>2015</v>
      </c>
      <c r="R1448" s="2">
        <v>42369</v>
      </c>
      <c r="S1448" s="2">
        <v>42369</v>
      </c>
      <c r="T1448" s="2">
        <v>42369</v>
      </c>
      <c r="U1448" s="2">
        <v>42429</v>
      </c>
      <c r="V1448" t="s">
        <v>71</v>
      </c>
      <c r="W1448" t="str">
        <f>"               85695"</f>
        <v xml:space="preserve">               85695</v>
      </c>
      <c r="X1448" s="1">
        <v>3785.03</v>
      </c>
      <c r="Y1448">
        <v>0</v>
      </c>
      <c r="Z1448"/>
      <c r="AB1448"/>
      <c r="AC1448" s="1">
        <v>3755</v>
      </c>
      <c r="AD1448">
        <v>148</v>
      </c>
      <c r="AE1448" s="1">
        <v>555740</v>
      </c>
      <c r="AF1448">
        <v>0</v>
      </c>
      <c r="AJ1448">
        <v>0</v>
      </c>
      <c r="AK1448">
        <v>0</v>
      </c>
      <c r="AL1448">
        <v>0</v>
      </c>
      <c r="AM1448">
        <v>0</v>
      </c>
      <c r="AN1448">
        <v>0</v>
      </c>
      <c r="AO1448">
        <v>0</v>
      </c>
      <c r="AP1448" s="2">
        <v>42746</v>
      </c>
      <c r="AQ1448" t="s">
        <v>72</v>
      </c>
      <c r="AR1448" t="s">
        <v>72</v>
      </c>
      <c r="AS1448">
        <v>1971</v>
      </c>
      <c r="AT1448" s="4">
        <v>42577</v>
      </c>
      <c r="AU1448" t="s">
        <v>73</v>
      </c>
      <c r="AV1448">
        <v>1971</v>
      </c>
      <c r="AW1448" s="4">
        <v>42577</v>
      </c>
      <c r="BD1448">
        <v>0</v>
      </c>
      <c r="BN1448" t="s">
        <v>74</v>
      </c>
    </row>
    <row r="1449" spans="1:66" hidden="1">
      <c r="A1449">
        <v>100371</v>
      </c>
      <c r="B1449" s="3" t="s">
        <v>167</v>
      </c>
      <c r="C1449" s="1">
        <v>43300101</v>
      </c>
      <c r="D1449" t="s">
        <v>67</v>
      </c>
      <c r="H1449" t="str">
        <f t="shared" si="131"/>
        <v>11629770154</v>
      </c>
      <c r="I1449" t="str">
        <f t="shared" si="131"/>
        <v>11629770154</v>
      </c>
      <c r="K1449" t="str">
        <f>""</f>
        <v/>
      </c>
      <c r="M1449" t="s">
        <v>68</v>
      </c>
      <c r="N1449" t="str">
        <f t="shared" si="130"/>
        <v>FOR</v>
      </c>
      <c r="O1449" t="s">
        <v>69</v>
      </c>
      <c r="P1449" s="3" t="s">
        <v>75</v>
      </c>
      <c r="Q1449">
        <v>2016</v>
      </c>
      <c r="R1449" s="2">
        <v>42400</v>
      </c>
      <c r="S1449" s="2">
        <v>42412</v>
      </c>
      <c r="T1449" s="2">
        <v>42411</v>
      </c>
      <c r="U1449" s="2">
        <v>42471</v>
      </c>
      <c r="V1449" t="s">
        <v>71</v>
      </c>
      <c r="W1449" t="str">
        <f>"                3582"</f>
        <v xml:space="preserve">                3582</v>
      </c>
      <c r="X1449" s="1">
        <v>178933.64</v>
      </c>
      <c r="Y1449">
        <v>0</v>
      </c>
      <c r="Z1449"/>
      <c r="AB1449"/>
      <c r="AC1449" s="1">
        <v>177910.71</v>
      </c>
      <c r="AD1449">
        <v>148</v>
      </c>
      <c r="AE1449" s="1">
        <v>26330785.079999998</v>
      </c>
      <c r="AF1449">
        <v>0</v>
      </c>
      <c r="AJ1449">
        <v>0</v>
      </c>
      <c r="AK1449">
        <v>0</v>
      </c>
      <c r="AL1449">
        <v>0</v>
      </c>
      <c r="AM1449" s="1">
        <v>178933.64</v>
      </c>
      <c r="AN1449" s="1">
        <v>178933.64</v>
      </c>
      <c r="AO1449" s="1">
        <v>178933.64</v>
      </c>
      <c r="AP1449" s="2">
        <v>42746</v>
      </c>
      <c r="AQ1449" t="s">
        <v>72</v>
      </c>
      <c r="AR1449" t="s">
        <v>72</v>
      </c>
      <c r="AS1449">
        <v>2268</v>
      </c>
      <c r="AT1449" s="4">
        <v>42619</v>
      </c>
      <c r="AU1449" t="s">
        <v>73</v>
      </c>
      <c r="AV1449">
        <v>2268</v>
      </c>
      <c r="AW1449" s="4">
        <v>42619</v>
      </c>
      <c r="BD1449">
        <v>0</v>
      </c>
      <c r="BN1449" t="s">
        <v>74</v>
      </c>
    </row>
    <row r="1450" spans="1:66" hidden="1">
      <c r="A1450">
        <v>100371</v>
      </c>
      <c r="B1450" s="3" t="s">
        <v>167</v>
      </c>
      <c r="C1450" s="1">
        <v>43300101</v>
      </c>
      <c r="D1450" t="s">
        <v>67</v>
      </c>
      <c r="H1450" t="str">
        <f t="shared" si="131"/>
        <v>11629770154</v>
      </c>
      <c r="I1450" t="str">
        <f t="shared" si="131"/>
        <v>11629770154</v>
      </c>
      <c r="K1450" t="str">
        <f>""</f>
        <v/>
      </c>
      <c r="M1450" t="s">
        <v>68</v>
      </c>
      <c r="N1450" t="str">
        <f t="shared" si="130"/>
        <v>FOR</v>
      </c>
      <c r="O1450" t="s">
        <v>69</v>
      </c>
      <c r="P1450" s="3" t="s">
        <v>75</v>
      </c>
      <c r="Q1450">
        <v>2016</v>
      </c>
      <c r="R1450" s="2">
        <v>42400</v>
      </c>
      <c r="S1450" s="2">
        <v>42412</v>
      </c>
      <c r="T1450" s="2">
        <v>42411</v>
      </c>
      <c r="U1450" s="2">
        <v>42471</v>
      </c>
      <c r="V1450" t="s">
        <v>71</v>
      </c>
      <c r="W1450" t="str">
        <f>"                3583"</f>
        <v xml:space="preserve">                3583</v>
      </c>
      <c r="X1450" s="1">
        <v>1494.76</v>
      </c>
      <c r="Y1450">
        <v>0</v>
      </c>
      <c r="Z1450"/>
      <c r="AB1450"/>
      <c r="AC1450" s="1">
        <v>1482.85</v>
      </c>
      <c r="AD1450">
        <v>148</v>
      </c>
      <c r="AE1450" s="1">
        <v>219461.8</v>
      </c>
      <c r="AF1450">
        <v>0</v>
      </c>
      <c r="AJ1450">
        <v>0</v>
      </c>
      <c r="AK1450">
        <v>0</v>
      </c>
      <c r="AL1450">
        <v>0</v>
      </c>
      <c r="AM1450" s="1">
        <v>1494.76</v>
      </c>
      <c r="AN1450" s="1">
        <v>1494.76</v>
      </c>
      <c r="AO1450" s="1">
        <v>1494.76</v>
      </c>
      <c r="AP1450" s="2">
        <v>42746</v>
      </c>
      <c r="AQ1450" t="s">
        <v>72</v>
      </c>
      <c r="AR1450" t="s">
        <v>72</v>
      </c>
      <c r="AS1450">
        <v>2268</v>
      </c>
      <c r="AT1450" s="4">
        <v>42619</v>
      </c>
      <c r="AU1450" t="s">
        <v>73</v>
      </c>
      <c r="AV1450">
        <v>2268</v>
      </c>
      <c r="AW1450" s="4">
        <v>42619</v>
      </c>
      <c r="BD1450">
        <v>0</v>
      </c>
      <c r="BN1450" t="s">
        <v>74</v>
      </c>
    </row>
    <row r="1451" spans="1:66" hidden="1">
      <c r="A1451">
        <v>100371</v>
      </c>
      <c r="B1451" s="3" t="s">
        <v>167</v>
      </c>
      <c r="C1451" s="1">
        <v>43300101</v>
      </c>
      <c r="D1451" t="s">
        <v>67</v>
      </c>
      <c r="H1451" t="str">
        <f t="shared" si="131"/>
        <v>11629770154</v>
      </c>
      <c r="I1451" t="str">
        <f t="shared" si="131"/>
        <v>11629770154</v>
      </c>
      <c r="K1451" t="str">
        <f>""</f>
        <v/>
      </c>
      <c r="M1451" t="s">
        <v>68</v>
      </c>
      <c r="N1451" t="str">
        <f t="shared" si="130"/>
        <v>FOR</v>
      </c>
      <c r="O1451" t="s">
        <v>69</v>
      </c>
      <c r="P1451" s="3" t="s">
        <v>75</v>
      </c>
      <c r="Q1451">
        <v>2016</v>
      </c>
      <c r="R1451" s="2">
        <v>42400</v>
      </c>
      <c r="S1451" s="2">
        <v>42412</v>
      </c>
      <c r="T1451" s="2">
        <v>42411</v>
      </c>
      <c r="U1451" s="2">
        <v>42471</v>
      </c>
      <c r="V1451" t="s">
        <v>71</v>
      </c>
      <c r="W1451" t="str">
        <f>"                3584"</f>
        <v xml:space="preserve">                3584</v>
      </c>
      <c r="X1451" s="1">
        <v>49807.63</v>
      </c>
      <c r="Y1451">
        <v>0</v>
      </c>
      <c r="Z1451"/>
      <c r="AB1451"/>
      <c r="AC1451" s="1">
        <v>49451.09</v>
      </c>
      <c r="AD1451">
        <v>148</v>
      </c>
      <c r="AE1451" s="1">
        <v>7318761.3200000003</v>
      </c>
      <c r="AF1451">
        <v>0</v>
      </c>
      <c r="AJ1451">
        <v>0</v>
      </c>
      <c r="AK1451">
        <v>0</v>
      </c>
      <c r="AL1451">
        <v>0</v>
      </c>
      <c r="AM1451" s="1">
        <v>49807.63</v>
      </c>
      <c r="AN1451" s="1">
        <v>49807.63</v>
      </c>
      <c r="AO1451" s="1">
        <v>49807.63</v>
      </c>
      <c r="AP1451" s="2">
        <v>42746</v>
      </c>
      <c r="AQ1451" t="s">
        <v>72</v>
      </c>
      <c r="AR1451" t="s">
        <v>72</v>
      </c>
      <c r="AS1451">
        <v>2268</v>
      </c>
      <c r="AT1451" s="4">
        <v>42619</v>
      </c>
      <c r="AU1451" t="s">
        <v>73</v>
      </c>
      <c r="AV1451">
        <v>2268</v>
      </c>
      <c r="AW1451" s="4">
        <v>42619</v>
      </c>
      <c r="BD1451">
        <v>0</v>
      </c>
      <c r="BN1451" t="s">
        <v>74</v>
      </c>
    </row>
    <row r="1452" spans="1:66" hidden="1">
      <c r="A1452">
        <v>100371</v>
      </c>
      <c r="B1452" s="3" t="s">
        <v>167</v>
      </c>
      <c r="C1452" s="1">
        <v>43300101</v>
      </c>
      <c r="D1452" t="s">
        <v>67</v>
      </c>
      <c r="H1452" t="str">
        <f t="shared" si="131"/>
        <v>11629770154</v>
      </c>
      <c r="I1452" t="str">
        <f t="shared" si="131"/>
        <v>11629770154</v>
      </c>
      <c r="K1452" t="str">
        <f>""</f>
        <v/>
      </c>
      <c r="M1452" t="s">
        <v>68</v>
      </c>
      <c r="N1452" t="str">
        <f t="shared" si="130"/>
        <v>FOR</v>
      </c>
      <c r="O1452" t="s">
        <v>69</v>
      </c>
      <c r="P1452" s="3" t="s">
        <v>75</v>
      </c>
      <c r="Q1452">
        <v>2016</v>
      </c>
      <c r="R1452" s="2">
        <v>42400</v>
      </c>
      <c r="S1452" s="2">
        <v>42412</v>
      </c>
      <c r="T1452" s="2">
        <v>42411</v>
      </c>
      <c r="U1452" s="2">
        <v>42471</v>
      </c>
      <c r="V1452" t="s">
        <v>71</v>
      </c>
      <c r="W1452" t="str">
        <f>"                3585"</f>
        <v xml:space="preserve">                3585</v>
      </c>
      <c r="X1452" s="1">
        <v>2902.12</v>
      </c>
      <c r="Y1452">
        <v>0</v>
      </c>
      <c r="Z1452"/>
      <c r="AB1452"/>
      <c r="AC1452" s="1">
        <v>2879.76</v>
      </c>
      <c r="AD1452">
        <v>148</v>
      </c>
      <c r="AE1452" s="1">
        <v>426204.48</v>
      </c>
      <c r="AF1452">
        <v>0</v>
      </c>
      <c r="AJ1452">
        <v>0</v>
      </c>
      <c r="AK1452">
        <v>0</v>
      </c>
      <c r="AL1452">
        <v>0</v>
      </c>
      <c r="AM1452" s="1">
        <v>2902.12</v>
      </c>
      <c r="AN1452" s="1">
        <v>2902.12</v>
      </c>
      <c r="AO1452" s="1">
        <v>2902.12</v>
      </c>
      <c r="AP1452" s="2">
        <v>42746</v>
      </c>
      <c r="AQ1452" t="s">
        <v>72</v>
      </c>
      <c r="AR1452" t="s">
        <v>72</v>
      </c>
      <c r="AS1452">
        <v>2268</v>
      </c>
      <c r="AT1452" s="4">
        <v>42619</v>
      </c>
      <c r="AU1452" t="s">
        <v>73</v>
      </c>
      <c r="AV1452">
        <v>2268</v>
      </c>
      <c r="AW1452" s="4">
        <v>42619</v>
      </c>
      <c r="BD1452">
        <v>0</v>
      </c>
      <c r="BN1452" t="s">
        <v>74</v>
      </c>
    </row>
    <row r="1453" spans="1:66" hidden="1">
      <c r="A1453">
        <v>100371</v>
      </c>
      <c r="B1453" s="3" t="s">
        <v>167</v>
      </c>
      <c r="C1453" s="1">
        <v>43300101</v>
      </c>
      <c r="D1453" t="s">
        <v>67</v>
      </c>
      <c r="H1453" t="str">
        <f t="shared" si="131"/>
        <v>11629770154</v>
      </c>
      <c r="I1453" t="str">
        <f t="shared" si="131"/>
        <v>11629770154</v>
      </c>
      <c r="K1453" t="str">
        <f>""</f>
        <v/>
      </c>
      <c r="M1453" t="s">
        <v>68</v>
      </c>
      <c r="N1453" t="str">
        <f t="shared" si="130"/>
        <v>FOR</v>
      </c>
      <c r="O1453" t="s">
        <v>69</v>
      </c>
      <c r="P1453" s="3" t="s">
        <v>75</v>
      </c>
      <c r="Q1453">
        <v>2016</v>
      </c>
      <c r="R1453" s="2">
        <v>42400</v>
      </c>
      <c r="S1453" s="2">
        <v>42412</v>
      </c>
      <c r="T1453" s="2">
        <v>42411</v>
      </c>
      <c r="U1453" s="2">
        <v>42471</v>
      </c>
      <c r="V1453" t="s">
        <v>71</v>
      </c>
      <c r="W1453" t="str">
        <f>"                3586"</f>
        <v xml:space="preserve">                3586</v>
      </c>
      <c r="X1453" s="1">
        <v>10155.1</v>
      </c>
      <c r="Y1453">
        <v>0</v>
      </c>
      <c r="Z1453"/>
      <c r="AB1453"/>
      <c r="AC1453" s="1">
        <v>10081.98</v>
      </c>
      <c r="AD1453">
        <v>148</v>
      </c>
      <c r="AE1453" s="1">
        <v>1492133.04</v>
      </c>
      <c r="AF1453">
        <v>0</v>
      </c>
      <c r="AJ1453">
        <v>0</v>
      </c>
      <c r="AK1453">
        <v>0</v>
      </c>
      <c r="AL1453">
        <v>0</v>
      </c>
      <c r="AM1453" s="1">
        <v>10155.1</v>
      </c>
      <c r="AN1453" s="1">
        <v>10155.1</v>
      </c>
      <c r="AO1453" s="1">
        <v>10155.1</v>
      </c>
      <c r="AP1453" s="2">
        <v>42746</v>
      </c>
      <c r="AQ1453" t="s">
        <v>72</v>
      </c>
      <c r="AR1453" t="s">
        <v>72</v>
      </c>
      <c r="AS1453">
        <v>2268</v>
      </c>
      <c r="AT1453" s="4">
        <v>42619</v>
      </c>
      <c r="AU1453" t="s">
        <v>73</v>
      </c>
      <c r="AV1453">
        <v>2268</v>
      </c>
      <c r="AW1453" s="4">
        <v>42619</v>
      </c>
      <c r="BD1453">
        <v>0</v>
      </c>
      <c r="BN1453" t="s">
        <v>74</v>
      </c>
    </row>
    <row r="1454" spans="1:66" hidden="1">
      <c r="A1454">
        <v>100371</v>
      </c>
      <c r="B1454" s="3" t="s">
        <v>167</v>
      </c>
      <c r="C1454" s="1">
        <v>43300101</v>
      </c>
      <c r="D1454" t="s">
        <v>67</v>
      </c>
      <c r="H1454" t="str">
        <f t="shared" ref="H1454:I1473" si="132">"11629770154"</f>
        <v>11629770154</v>
      </c>
      <c r="I1454" t="str">
        <f t="shared" si="132"/>
        <v>11629770154</v>
      </c>
      <c r="K1454" t="str">
        <f>""</f>
        <v/>
      </c>
      <c r="M1454" t="s">
        <v>68</v>
      </c>
      <c r="N1454" t="str">
        <f t="shared" ref="N1454:N1480" si="133">"FOR"</f>
        <v>FOR</v>
      </c>
      <c r="O1454" t="s">
        <v>69</v>
      </c>
      <c r="P1454" s="3" t="s">
        <v>75</v>
      </c>
      <c r="Q1454">
        <v>2016</v>
      </c>
      <c r="R1454" s="2">
        <v>42400</v>
      </c>
      <c r="S1454" s="2">
        <v>42412</v>
      </c>
      <c r="T1454" s="2">
        <v>42411</v>
      </c>
      <c r="U1454" s="2">
        <v>42471</v>
      </c>
      <c r="V1454" t="s">
        <v>71</v>
      </c>
      <c r="W1454" t="str">
        <f>"                3587"</f>
        <v xml:space="preserve">                3587</v>
      </c>
      <c r="X1454" s="1">
        <v>3785.93</v>
      </c>
      <c r="Y1454">
        <v>0</v>
      </c>
      <c r="Z1454"/>
      <c r="AB1454"/>
      <c r="AC1454" s="1">
        <v>3757.29</v>
      </c>
      <c r="AD1454">
        <v>148</v>
      </c>
      <c r="AE1454" s="1">
        <v>556078.92000000004</v>
      </c>
      <c r="AF1454">
        <v>0</v>
      </c>
      <c r="AJ1454">
        <v>0</v>
      </c>
      <c r="AK1454">
        <v>0</v>
      </c>
      <c r="AL1454">
        <v>0</v>
      </c>
      <c r="AM1454" s="1">
        <v>3785.93</v>
      </c>
      <c r="AN1454" s="1">
        <v>3785.93</v>
      </c>
      <c r="AO1454" s="1">
        <v>3785.93</v>
      </c>
      <c r="AP1454" s="2">
        <v>42746</v>
      </c>
      <c r="AQ1454" t="s">
        <v>72</v>
      </c>
      <c r="AR1454" t="s">
        <v>72</v>
      </c>
      <c r="AS1454">
        <v>2268</v>
      </c>
      <c r="AT1454" s="4">
        <v>42619</v>
      </c>
      <c r="AU1454" t="s">
        <v>73</v>
      </c>
      <c r="AV1454">
        <v>2268</v>
      </c>
      <c r="AW1454" s="4">
        <v>42619</v>
      </c>
      <c r="BD1454">
        <v>0</v>
      </c>
      <c r="BN1454" t="s">
        <v>74</v>
      </c>
    </row>
    <row r="1455" spans="1:66" hidden="1">
      <c r="A1455">
        <v>100371</v>
      </c>
      <c r="B1455" s="3" t="s">
        <v>167</v>
      </c>
      <c r="C1455" s="1">
        <v>43300101</v>
      </c>
      <c r="D1455" t="s">
        <v>67</v>
      </c>
      <c r="H1455" t="str">
        <f t="shared" si="132"/>
        <v>11629770154</v>
      </c>
      <c r="I1455" t="str">
        <f t="shared" si="132"/>
        <v>11629770154</v>
      </c>
      <c r="K1455" t="str">
        <f>""</f>
        <v/>
      </c>
      <c r="M1455" t="s">
        <v>68</v>
      </c>
      <c r="N1455" t="str">
        <f t="shared" si="133"/>
        <v>FOR</v>
      </c>
      <c r="O1455" t="s">
        <v>69</v>
      </c>
      <c r="P1455" s="3" t="s">
        <v>75</v>
      </c>
      <c r="Q1455">
        <v>2016</v>
      </c>
      <c r="R1455" s="2">
        <v>42400</v>
      </c>
      <c r="S1455" s="2">
        <v>42412</v>
      </c>
      <c r="T1455" s="2">
        <v>42411</v>
      </c>
      <c r="U1455" s="2">
        <v>42471</v>
      </c>
      <c r="V1455" t="s">
        <v>71</v>
      </c>
      <c r="W1455" t="str">
        <f>"                3588"</f>
        <v xml:space="preserve">                3588</v>
      </c>
      <c r="X1455" s="1">
        <v>2060.54</v>
      </c>
      <c r="Y1455">
        <v>0</v>
      </c>
      <c r="Z1455"/>
      <c r="AB1455"/>
      <c r="AC1455" s="1">
        <v>2045.95</v>
      </c>
      <c r="AD1455">
        <v>148</v>
      </c>
      <c r="AE1455" s="1">
        <v>302800.59999999998</v>
      </c>
      <c r="AF1455">
        <v>0</v>
      </c>
      <c r="AJ1455">
        <v>0</v>
      </c>
      <c r="AK1455">
        <v>0</v>
      </c>
      <c r="AL1455">
        <v>0</v>
      </c>
      <c r="AM1455" s="1">
        <v>2060.54</v>
      </c>
      <c r="AN1455" s="1">
        <v>2060.54</v>
      </c>
      <c r="AO1455" s="1">
        <v>2060.54</v>
      </c>
      <c r="AP1455" s="2">
        <v>42746</v>
      </c>
      <c r="AQ1455" t="s">
        <v>72</v>
      </c>
      <c r="AR1455" t="s">
        <v>72</v>
      </c>
      <c r="AS1455">
        <v>2268</v>
      </c>
      <c r="AT1455" s="4">
        <v>42619</v>
      </c>
      <c r="AU1455" t="s">
        <v>73</v>
      </c>
      <c r="AV1455">
        <v>2268</v>
      </c>
      <c r="AW1455" s="4">
        <v>42619</v>
      </c>
      <c r="BD1455">
        <v>0</v>
      </c>
      <c r="BN1455" t="s">
        <v>74</v>
      </c>
    </row>
    <row r="1456" spans="1:66" hidden="1">
      <c r="A1456">
        <v>100371</v>
      </c>
      <c r="B1456" s="3" t="s">
        <v>167</v>
      </c>
      <c r="C1456" s="1">
        <v>43300101</v>
      </c>
      <c r="D1456" t="s">
        <v>67</v>
      </c>
      <c r="H1456" t="str">
        <f t="shared" si="132"/>
        <v>11629770154</v>
      </c>
      <c r="I1456" t="str">
        <f t="shared" si="132"/>
        <v>11629770154</v>
      </c>
      <c r="K1456" t="str">
        <f>""</f>
        <v/>
      </c>
      <c r="M1456" t="s">
        <v>68</v>
      </c>
      <c r="N1456" t="str">
        <f t="shared" si="133"/>
        <v>FOR</v>
      </c>
      <c r="O1456" t="s">
        <v>69</v>
      </c>
      <c r="P1456" s="3" t="s">
        <v>75</v>
      </c>
      <c r="Q1456">
        <v>2016</v>
      </c>
      <c r="R1456" s="2">
        <v>42400</v>
      </c>
      <c r="S1456" s="2">
        <v>42412</v>
      </c>
      <c r="T1456" s="2">
        <v>42411</v>
      </c>
      <c r="U1456" s="2">
        <v>42471</v>
      </c>
      <c r="V1456" t="s">
        <v>71</v>
      </c>
      <c r="W1456" t="str">
        <f>"                3677"</f>
        <v xml:space="preserve">                3677</v>
      </c>
      <c r="X1456" s="1">
        <v>3785.03</v>
      </c>
      <c r="Y1456">
        <v>0</v>
      </c>
      <c r="Z1456"/>
      <c r="AB1456"/>
      <c r="AC1456" s="1">
        <v>3755</v>
      </c>
      <c r="AD1456">
        <v>148</v>
      </c>
      <c r="AE1456" s="1">
        <v>555740</v>
      </c>
      <c r="AF1456">
        <v>0</v>
      </c>
      <c r="AJ1456">
        <v>0</v>
      </c>
      <c r="AK1456">
        <v>0</v>
      </c>
      <c r="AL1456">
        <v>0</v>
      </c>
      <c r="AM1456" s="1">
        <v>3785.03</v>
      </c>
      <c r="AN1456" s="1">
        <v>3785.03</v>
      </c>
      <c r="AO1456" s="1">
        <v>3785.03</v>
      </c>
      <c r="AP1456" s="2">
        <v>42746</v>
      </c>
      <c r="AQ1456" t="s">
        <v>72</v>
      </c>
      <c r="AR1456" t="s">
        <v>72</v>
      </c>
      <c r="AS1456">
        <v>2268</v>
      </c>
      <c r="AT1456" s="4">
        <v>42619</v>
      </c>
      <c r="AU1456" t="s">
        <v>73</v>
      </c>
      <c r="AV1456">
        <v>2268</v>
      </c>
      <c r="AW1456" s="4">
        <v>42619</v>
      </c>
      <c r="BD1456">
        <v>0</v>
      </c>
      <c r="BN1456" t="s">
        <v>74</v>
      </c>
    </row>
    <row r="1457" spans="1:66">
      <c r="A1457">
        <v>100371</v>
      </c>
      <c r="B1457" s="3" t="s">
        <v>167</v>
      </c>
      <c r="C1457" s="1">
        <v>43300101</v>
      </c>
      <c r="D1457" t="s">
        <v>67</v>
      </c>
      <c r="H1457" t="str">
        <f t="shared" si="132"/>
        <v>11629770154</v>
      </c>
      <c r="I1457" t="str">
        <f t="shared" si="132"/>
        <v>11629770154</v>
      </c>
      <c r="K1457" t="str">
        <f>""</f>
        <v/>
      </c>
      <c r="M1457" t="s">
        <v>68</v>
      </c>
      <c r="N1457" t="str">
        <f t="shared" si="133"/>
        <v>FOR</v>
      </c>
      <c r="O1457" t="s">
        <v>69</v>
      </c>
      <c r="P1457" s="3" t="s">
        <v>75</v>
      </c>
      <c r="Q1457">
        <v>2016</v>
      </c>
      <c r="R1457" s="2">
        <v>42429</v>
      </c>
      <c r="S1457" s="2">
        <v>42443</v>
      </c>
      <c r="T1457" s="2">
        <v>42441</v>
      </c>
      <c r="U1457" s="2">
        <v>42501</v>
      </c>
      <c r="V1457" t="s">
        <v>71</v>
      </c>
      <c r="W1457" t="str">
        <f>"               10932"</f>
        <v xml:space="preserve">               10932</v>
      </c>
      <c r="X1457" s="1">
        <v>3785.03</v>
      </c>
      <c r="Y1457">
        <v>0</v>
      </c>
      <c r="Z1457" s="5">
        <v>3755</v>
      </c>
      <c r="AA1457">
        <v>182</v>
      </c>
      <c r="AB1457" s="5">
        <v>683410</v>
      </c>
      <c r="AC1457" s="1">
        <v>3755</v>
      </c>
      <c r="AD1457">
        <v>182</v>
      </c>
      <c r="AE1457" s="1">
        <v>683410</v>
      </c>
      <c r="AF1457">
        <v>0</v>
      </c>
      <c r="AJ1457">
        <v>0</v>
      </c>
      <c r="AK1457">
        <v>0</v>
      </c>
      <c r="AL1457">
        <v>0</v>
      </c>
      <c r="AM1457" s="1">
        <v>3785.03</v>
      </c>
      <c r="AN1457" s="1">
        <v>3785.03</v>
      </c>
      <c r="AO1457" s="1">
        <v>3785.03</v>
      </c>
      <c r="AP1457" s="2">
        <v>42746</v>
      </c>
      <c r="AQ1457" t="s">
        <v>72</v>
      </c>
      <c r="AR1457" t="s">
        <v>72</v>
      </c>
      <c r="AS1457">
        <v>3020</v>
      </c>
      <c r="AT1457" s="4">
        <v>42683</v>
      </c>
      <c r="AU1457" t="s">
        <v>73</v>
      </c>
      <c r="AV1457">
        <v>3020</v>
      </c>
      <c r="AW1457" s="4">
        <v>42683</v>
      </c>
      <c r="BD1457">
        <v>0</v>
      </c>
      <c r="BN1457" t="s">
        <v>74</v>
      </c>
    </row>
    <row r="1458" spans="1:66">
      <c r="A1458">
        <v>100371</v>
      </c>
      <c r="B1458" s="3" t="s">
        <v>167</v>
      </c>
      <c r="C1458" s="1">
        <v>43300101</v>
      </c>
      <c r="D1458" t="s">
        <v>67</v>
      </c>
      <c r="H1458" t="str">
        <f t="shared" si="132"/>
        <v>11629770154</v>
      </c>
      <c r="I1458" t="str">
        <f t="shared" si="132"/>
        <v>11629770154</v>
      </c>
      <c r="K1458" t="str">
        <f>""</f>
        <v/>
      </c>
      <c r="M1458" t="s">
        <v>68</v>
      </c>
      <c r="N1458" t="str">
        <f t="shared" si="133"/>
        <v>FOR</v>
      </c>
      <c r="O1458" t="s">
        <v>69</v>
      </c>
      <c r="P1458" s="3" t="s">
        <v>75</v>
      </c>
      <c r="Q1458">
        <v>2016</v>
      </c>
      <c r="R1458" s="2">
        <v>42429</v>
      </c>
      <c r="S1458" s="2">
        <v>42443</v>
      </c>
      <c r="T1458" s="2">
        <v>42441</v>
      </c>
      <c r="U1458" s="2">
        <v>42501</v>
      </c>
      <c r="V1458" t="s">
        <v>71</v>
      </c>
      <c r="W1458" t="str">
        <f>"               11072"</f>
        <v xml:space="preserve">               11072</v>
      </c>
      <c r="X1458" s="1">
        <v>174691.84</v>
      </c>
      <c r="Y1458">
        <v>0</v>
      </c>
      <c r="Z1458" s="5">
        <v>173693.06</v>
      </c>
      <c r="AA1458">
        <v>182</v>
      </c>
      <c r="AB1458" s="5">
        <v>31612136.920000002</v>
      </c>
      <c r="AC1458" s="1">
        <v>173693.06</v>
      </c>
      <c r="AD1458">
        <v>182</v>
      </c>
      <c r="AE1458" s="1">
        <v>31612136.920000002</v>
      </c>
      <c r="AF1458">
        <v>0</v>
      </c>
      <c r="AJ1458">
        <v>0</v>
      </c>
      <c r="AK1458">
        <v>0</v>
      </c>
      <c r="AL1458">
        <v>0</v>
      </c>
      <c r="AM1458" s="1">
        <v>174691.84</v>
      </c>
      <c r="AN1458" s="1">
        <v>174691.84</v>
      </c>
      <c r="AO1458" s="1">
        <v>174691.84</v>
      </c>
      <c r="AP1458" s="2">
        <v>42746</v>
      </c>
      <c r="AQ1458" t="s">
        <v>72</v>
      </c>
      <c r="AR1458" t="s">
        <v>72</v>
      </c>
      <c r="AS1458">
        <v>3020</v>
      </c>
      <c r="AT1458" s="4">
        <v>42683</v>
      </c>
      <c r="AU1458" t="s">
        <v>73</v>
      </c>
      <c r="AV1458">
        <v>3020</v>
      </c>
      <c r="AW1458" s="4">
        <v>42683</v>
      </c>
      <c r="BD1458">
        <v>0</v>
      </c>
      <c r="BN1458" t="s">
        <v>74</v>
      </c>
    </row>
    <row r="1459" spans="1:66">
      <c r="A1459">
        <v>100371</v>
      </c>
      <c r="B1459" s="3" t="s">
        <v>167</v>
      </c>
      <c r="C1459" s="1">
        <v>43300101</v>
      </c>
      <c r="D1459" t="s">
        <v>67</v>
      </c>
      <c r="H1459" t="str">
        <f t="shared" si="132"/>
        <v>11629770154</v>
      </c>
      <c r="I1459" t="str">
        <f t="shared" si="132"/>
        <v>11629770154</v>
      </c>
      <c r="K1459" t="str">
        <f>""</f>
        <v/>
      </c>
      <c r="M1459" t="s">
        <v>68</v>
      </c>
      <c r="N1459" t="str">
        <f t="shared" si="133"/>
        <v>FOR</v>
      </c>
      <c r="O1459" t="s">
        <v>69</v>
      </c>
      <c r="P1459" s="3" t="s">
        <v>75</v>
      </c>
      <c r="Q1459">
        <v>2016</v>
      </c>
      <c r="R1459" s="2">
        <v>42429</v>
      </c>
      <c r="S1459" s="2">
        <v>42443</v>
      </c>
      <c r="T1459" s="2">
        <v>42441</v>
      </c>
      <c r="U1459" s="2">
        <v>42501</v>
      </c>
      <c r="V1459" t="s">
        <v>71</v>
      </c>
      <c r="W1459" t="str">
        <f>"               11073"</f>
        <v xml:space="preserve">               11073</v>
      </c>
      <c r="X1459" s="1">
        <v>2099.21</v>
      </c>
      <c r="Y1459">
        <v>0</v>
      </c>
      <c r="Z1459" s="5">
        <v>2082.4699999999998</v>
      </c>
      <c r="AA1459">
        <v>182</v>
      </c>
      <c r="AB1459" s="5">
        <v>379009.54</v>
      </c>
      <c r="AC1459" s="1">
        <v>2082.4699999999998</v>
      </c>
      <c r="AD1459">
        <v>182</v>
      </c>
      <c r="AE1459" s="1">
        <v>379009.54</v>
      </c>
      <c r="AF1459">
        <v>0</v>
      </c>
      <c r="AJ1459">
        <v>0</v>
      </c>
      <c r="AK1459">
        <v>0</v>
      </c>
      <c r="AL1459">
        <v>0</v>
      </c>
      <c r="AM1459" s="1">
        <v>2099.21</v>
      </c>
      <c r="AN1459" s="1">
        <v>2099.21</v>
      </c>
      <c r="AO1459" s="1">
        <v>2099.21</v>
      </c>
      <c r="AP1459" s="2">
        <v>42746</v>
      </c>
      <c r="AQ1459" t="s">
        <v>72</v>
      </c>
      <c r="AR1459" t="s">
        <v>72</v>
      </c>
      <c r="AS1459">
        <v>3020</v>
      </c>
      <c r="AT1459" s="4">
        <v>42683</v>
      </c>
      <c r="AU1459" t="s">
        <v>73</v>
      </c>
      <c r="AV1459">
        <v>3020</v>
      </c>
      <c r="AW1459" s="4">
        <v>42683</v>
      </c>
      <c r="BD1459">
        <v>0</v>
      </c>
      <c r="BN1459" t="s">
        <v>74</v>
      </c>
    </row>
    <row r="1460" spans="1:66">
      <c r="A1460">
        <v>100371</v>
      </c>
      <c r="B1460" s="3" t="s">
        <v>167</v>
      </c>
      <c r="C1460" s="1">
        <v>43300101</v>
      </c>
      <c r="D1460" t="s">
        <v>67</v>
      </c>
      <c r="H1460" t="str">
        <f t="shared" si="132"/>
        <v>11629770154</v>
      </c>
      <c r="I1460" t="str">
        <f t="shared" si="132"/>
        <v>11629770154</v>
      </c>
      <c r="K1460" t="str">
        <f>""</f>
        <v/>
      </c>
      <c r="M1460" t="s">
        <v>68</v>
      </c>
      <c r="N1460" t="str">
        <f t="shared" si="133"/>
        <v>FOR</v>
      </c>
      <c r="O1460" t="s">
        <v>69</v>
      </c>
      <c r="P1460" s="3" t="s">
        <v>75</v>
      </c>
      <c r="Q1460">
        <v>2016</v>
      </c>
      <c r="R1460" s="2">
        <v>42429</v>
      </c>
      <c r="S1460" s="2">
        <v>42443</v>
      </c>
      <c r="T1460" s="2">
        <v>42441</v>
      </c>
      <c r="U1460" s="2">
        <v>42501</v>
      </c>
      <c r="V1460" t="s">
        <v>71</v>
      </c>
      <c r="W1460" t="str">
        <f>"               11074"</f>
        <v xml:space="preserve">               11074</v>
      </c>
      <c r="X1460" s="1">
        <v>50455.32</v>
      </c>
      <c r="Y1460">
        <v>0</v>
      </c>
      <c r="Z1460" s="5">
        <v>50092.19</v>
      </c>
      <c r="AA1460">
        <v>182</v>
      </c>
      <c r="AB1460" s="5">
        <v>9116778.5800000001</v>
      </c>
      <c r="AC1460" s="1">
        <v>50092.19</v>
      </c>
      <c r="AD1460">
        <v>182</v>
      </c>
      <c r="AE1460" s="1">
        <v>9116778.5800000001</v>
      </c>
      <c r="AF1460">
        <v>0</v>
      </c>
      <c r="AJ1460">
        <v>0</v>
      </c>
      <c r="AK1460">
        <v>0</v>
      </c>
      <c r="AL1460">
        <v>0</v>
      </c>
      <c r="AM1460" s="1">
        <v>50455.32</v>
      </c>
      <c r="AN1460" s="1">
        <v>50455.32</v>
      </c>
      <c r="AO1460" s="1">
        <v>50455.32</v>
      </c>
      <c r="AP1460" s="2">
        <v>42746</v>
      </c>
      <c r="AQ1460" t="s">
        <v>72</v>
      </c>
      <c r="AR1460" t="s">
        <v>72</v>
      </c>
      <c r="AS1460">
        <v>3020</v>
      </c>
      <c r="AT1460" s="4">
        <v>42683</v>
      </c>
      <c r="AU1460" t="s">
        <v>73</v>
      </c>
      <c r="AV1460">
        <v>3020</v>
      </c>
      <c r="AW1460" s="4">
        <v>42683</v>
      </c>
      <c r="BD1460">
        <v>0</v>
      </c>
      <c r="BN1460" t="s">
        <v>74</v>
      </c>
    </row>
    <row r="1461" spans="1:66">
      <c r="A1461">
        <v>100371</v>
      </c>
      <c r="B1461" s="3" t="s">
        <v>167</v>
      </c>
      <c r="C1461" s="1">
        <v>43300101</v>
      </c>
      <c r="D1461" t="s">
        <v>67</v>
      </c>
      <c r="H1461" t="str">
        <f t="shared" si="132"/>
        <v>11629770154</v>
      </c>
      <c r="I1461" t="str">
        <f t="shared" si="132"/>
        <v>11629770154</v>
      </c>
      <c r="K1461" t="str">
        <f>""</f>
        <v/>
      </c>
      <c r="M1461" t="s">
        <v>68</v>
      </c>
      <c r="N1461" t="str">
        <f t="shared" si="133"/>
        <v>FOR</v>
      </c>
      <c r="O1461" t="s">
        <v>69</v>
      </c>
      <c r="P1461" s="3" t="s">
        <v>75</v>
      </c>
      <c r="Q1461">
        <v>2016</v>
      </c>
      <c r="R1461" s="2">
        <v>42429</v>
      </c>
      <c r="S1461" s="2">
        <v>42443</v>
      </c>
      <c r="T1461" s="2">
        <v>42441</v>
      </c>
      <c r="U1461" s="2">
        <v>42501</v>
      </c>
      <c r="V1461" t="s">
        <v>71</v>
      </c>
      <c r="W1461" t="str">
        <f>"               11075"</f>
        <v xml:space="preserve">               11075</v>
      </c>
      <c r="X1461" s="1">
        <v>3171.41</v>
      </c>
      <c r="Y1461">
        <v>0</v>
      </c>
      <c r="Z1461" s="5">
        <v>3146</v>
      </c>
      <c r="AA1461">
        <v>182</v>
      </c>
      <c r="AB1461" s="5">
        <v>572572</v>
      </c>
      <c r="AC1461" s="1">
        <v>3146</v>
      </c>
      <c r="AD1461">
        <v>182</v>
      </c>
      <c r="AE1461" s="1">
        <v>572572</v>
      </c>
      <c r="AF1461">
        <v>0</v>
      </c>
      <c r="AJ1461">
        <v>0</v>
      </c>
      <c r="AK1461">
        <v>0</v>
      </c>
      <c r="AL1461">
        <v>0</v>
      </c>
      <c r="AM1461" s="1">
        <v>3171.41</v>
      </c>
      <c r="AN1461" s="1">
        <v>3171.41</v>
      </c>
      <c r="AO1461" s="1">
        <v>3171.41</v>
      </c>
      <c r="AP1461" s="2">
        <v>42746</v>
      </c>
      <c r="AQ1461" t="s">
        <v>72</v>
      </c>
      <c r="AR1461" t="s">
        <v>72</v>
      </c>
      <c r="AS1461">
        <v>3020</v>
      </c>
      <c r="AT1461" s="4">
        <v>42683</v>
      </c>
      <c r="AU1461" t="s">
        <v>73</v>
      </c>
      <c r="AV1461">
        <v>3020</v>
      </c>
      <c r="AW1461" s="4">
        <v>42683</v>
      </c>
      <c r="BD1461">
        <v>0</v>
      </c>
      <c r="BN1461" t="s">
        <v>74</v>
      </c>
    </row>
    <row r="1462" spans="1:66">
      <c r="A1462">
        <v>100371</v>
      </c>
      <c r="B1462" s="3" t="s">
        <v>167</v>
      </c>
      <c r="C1462" s="1">
        <v>43300101</v>
      </c>
      <c r="D1462" t="s">
        <v>67</v>
      </c>
      <c r="H1462" t="str">
        <f t="shared" si="132"/>
        <v>11629770154</v>
      </c>
      <c r="I1462" t="str">
        <f t="shared" si="132"/>
        <v>11629770154</v>
      </c>
      <c r="K1462" t="str">
        <f>""</f>
        <v/>
      </c>
      <c r="M1462" t="s">
        <v>68</v>
      </c>
      <c r="N1462" t="str">
        <f t="shared" si="133"/>
        <v>FOR</v>
      </c>
      <c r="O1462" t="s">
        <v>69</v>
      </c>
      <c r="P1462" s="3" t="s">
        <v>75</v>
      </c>
      <c r="Q1462">
        <v>2016</v>
      </c>
      <c r="R1462" s="2">
        <v>42429</v>
      </c>
      <c r="S1462" s="2">
        <v>42443</v>
      </c>
      <c r="T1462" s="2">
        <v>42441</v>
      </c>
      <c r="U1462" s="2">
        <v>42501</v>
      </c>
      <c r="V1462" t="s">
        <v>71</v>
      </c>
      <c r="W1462" t="str">
        <f>"               11076"</f>
        <v xml:space="preserve">               11076</v>
      </c>
      <c r="X1462" s="1">
        <v>10155.1</v>
      </c>
      <c r="Y1462">
        <v>0</v>
      </c>
      <c r="Z1462" s="5">
        <v>10081.98</v>
      </c>
      <c r="AA1462">
        <v>182</v>
      </c>
      <c r="AB1462" s="5">
        <v>1834920.36</v>
      </c>
      <c r="AC1462" s="1">
        <v>10081.98</v>
      </c>
      <c r="AD1462">
        <v>182</v>
      </c>
      <c r="AE1462" s="1">
        <v>1834920.36</v>
      </c>
      <c r="AF1462">
        <v>0</v>
      </c>
      <c r="AJ1462">
        <v>0</v>
      </c>
      <c r="AK1462">
        <v>0</v>
      </c>
      <c r="AL1462">
        <v>0</v>
      </c>
      <c r="AM1462" s="1">
        <v>10155.1</v>
      </c>
      <c r="AN1462" s="1">
        <v>10155.1</v>
      </c>
      <c r="AO1462" s="1">
        <v>10155.1</v>
      </c>
      <c r="AP1462" s="2">
        <v>42746</v>
      </c>
      <c r="AQ1462" t="s">
        <v>72</v>
      </c>
      <c r="AR1462" t="s">
        <v>72</v>
      </c>
      <c r="AS1462">
        <v>3020</v>
      </c>
      <c r="AT1462" s="4">
        <v>42683</v>
      </c>
      <c r="AU1462" t="s">
        <v>73</v>
      </c>
      <c r="AV1462">
        <v>3020</v>
      </c>
      <c r="AW1462" s="4">
        <v>42683</v>
      </c>
      <c r="BD1462">
        <v>0</v>
      </c>
      <c r="BN1462" t="s">
        <v>74</v>
      </c>
    </row>
    <row r="1463" spans="1:66">
      <c r="A1463">
        <v>100371</v>
      </c>
      <c r="B1463" s="3" t="s">
        <v>167</v>
      </c>
      <c r="C1463" s="1">
        <v>43300101</v>
      </c>
      <c r="D1463" t="s">
        <v>67</v>
      </c>
      <c r="H1463" t="str">
        <f t="shared" si="132"/>
        <v>11629770154</v>
      </c>
      <c r="I1463" t="str">
        <f t="shared" si="132"/>
        <v>11629770154</v>
      </c>
      <c r="K1463" t="str">
        <f>""</f>
        <v/>
      </c>
      <c r="M1463" t="s">
        <v>68</v>
      </c>
      <c r="N1463" t="str">
        <f t="shared" si="133"/>
        <v>FOR</v>
      </c>
      <c r="O1463" t="s">
        <v>69</v>
      </c>
      <c r="P1463" s="3" t="s">
        <v>75</v>
      </c>
      <c r="Q1463">
        <v>2016</v>
      </c>
      <c r="R1463" s="2">
        <v>42429</v>
      </c>
      <c r="S1463" s="2">
        <v>42443</v>
      </c>
      <c r="T1463" s="2">
        <v>42441</v>
      </c>
      <c r="U1463" s="2">
        <v>42501</v>
      </c>
      <c r="V1463" t="s">
        <v>71</v>
      </c>
      <c r="W1463" t="str">
        <f>"               11077"</f>
        <v xml:space="preserve">               11077</v>
      </c>
      <c r="X1463" s="1">
        <v>6133.18</v>
      </c>
      <c r="Y1463">
        <v>0</v>
      </c>
      <c r="Z1463" s="5">
        <v>6086.98</v>
      </c>
      <c r="AA1463">
        <v>182</v>
      </c>
      <c r="AB1463" s="5">
        <v>1107830.3600000001</v>
      </c>
      <c r="AC1463" s="1">
        <v>6086.98</v>
      </c>
      <c r="AD1463">
        <v>182</v>
      </c>
      <c r="AE1463" s="1">
        <v>1107830.3600000001</v>
      </c>
      <c r="AF1463">
        <v>0</v>
      </c>
      <c r="AJ1463">
        <v>0</v>
      </c>
      <c r="AK1463">
        <v>0</v>
      </c>
      <c r="AL1463">
        <v>0</v>
      </c>
      <c r="AM1463" s="1">
        <v>6133.18</v>
      </c>
      <c r="AN1463" s="1">
        <v>6133.18</v>
      </c>
      <c r="AO1463" s="1">
        <v>6133.18</v>
      </c>
      <c r="AP1463" s="2">
        <v>42746</v>
      </c>
      <c r="AQ1463" t="s">
        <v>72</v>
      </c>
      <c r="AR1463" t="s">
        <v>72</v>
      </c>
      <c r="AS1463">
        <v>3020</v>
      </c>
      <c r="AT1463" s="4">
        <v>42683</v>
      </c>
      <c r="AU1463" t="s">
        <v>73</v>
      </c>
      <c r="AV1463">
        <v>3020</v>
      </c>
      <c r="AW1463" s="4">
        <v>42683</v>
      </c>
      <c r="BD1463">
        <v>0</v>
      </c>
      <c r="BN1463" t="s">
        <v>74</v>
      </c>
    </row>
    <row r="1464" spans="1:66">
      <c r="A1464">
        <v>100371</v>
      </c>
      <c r="B1464" s="3" t="s">
        <v>167</v>
      </c>
      <c r="C1464" s="1">
        <v>43300101</v>
      </c>
      <c r="D1464" t="s">
        <v>67</v>
      </c>
      <c r="H1464" t="str">
        <f t="shared" si="132"/>
        <v>11629770154</v>
      </c>
      <c r="I1464" t="str">
        <f t="shared" si="132"/>
        <v>11629770154</v>
      </c>
      <c r="K1464" t="str">
        <f>""</f>
        <v/>
      </c>
      <c r="M1464" t="s">
        <v>68</v>
      </c>
      <c r="N1464" t="str">
        <f t="shared" si="133"/>
        <v>FOR</v>
      </c>
      <c r="O1464" t="s">
        <v>69</v>
      </c>
      <c r="P1464" s="3" t="s">
        <v>75</v>
      </c>
      <c r="Q1464">
        <v>2016</v>
      </c>
      <c r="R1464" s="2">
        <v>42429</v>
      </c>
      <c r="S1464" s="2">
        <v>42443</v>
      </c>
      <c r="T1464" s="2">
        <v>42441</v>
      </c>
      <c r="U1464" s="2">
        <v>42501</v>
      </c>
      <c r="V1464" t="s">
        <v>71</v>
      </c>
      <c r="W1464" t="str">
        <f>"               11078"</f>
        <v xml:space="preserve">               11078</v>
      </c>
      <c r="X1464" s="1">
        <v>1871.62</v>
      </c>
      <c r="Y1464">
        <v>0</v>
      </c>
      <c r="Z1464" s="5">
        <v>1858.16</v>
      </c>
      <c r="AA1464">
        <v>182</v>
      </c>
      <c r="AB1464" s="5">
        <v>338185.12</v>
      </c>
      <c r="AC1464" s="1">
        <v>1858.16</v>
      </c>
      <c r="AD1464">
        <v>182</v>
      </c>
      <c r="AE1464" s="1">
        <v>338185.12</v>
      </c>
      <c r="AF1464">
        <v>0</v>
      </c>
      <c r="AJ1464">
        <v>0</v>
      </c>
      <c r="AK1464">
        <v>0</v>
      </c>
      <c r="AL1464">
        <v>0</v>
      </c>
      <c r="AM1464" s="1">
        <v>1871.62</v>
      </c>
      <c r="AN1464" s="1">
        <v>1871.62</v>
      </c>
      <c r="AO1464" s="1">
        <v>1871.62</v>
      </c>
      <c r="AP1464" s="2">
        <v>42746</v>
      </c>
      <c r="AQ1464" t="s">
        <v>72</v>
      </c>
      <c r="AR1464" t="s">
        <v>72</v>
      </c>
      <c r="AS1464">
        <v>3020</v>
      </c>
      <c r="AT1464" s="4">
        <v>42683</v>
      </c>
      <c r="AU1464" t="s">
        <v>73</v>
      </c>
      <c r="AV1464">
        <v>3020</v>
      </c>
      <c r="AW1464" s="4">
        <v>42683</v>
      </c>
      <c r="BD1464">
        <v>0</v>
      </c>
      <c r="BN1464" t="s">
        <v>74</v>
      </c>
    </row>
    <row r="1465" spans="1:66">
      <c r="A1465">
        <v>100371</v>
      </c>
      <c r="B1465" s="3" t="s">
        <v>167</v>
      </c>
      <c r="C1465" s="1">
        <v>43300101</v>
      </c>
      <c r="D1465" t="s">
        <v>67</v>
      </c>
      <c r="H1465" t="str">
        <f t="shared" si="132"/>
        <v>11629770154</v>
      </c>
      <c r="I1465" t="str">
        <f t="shared" si="132"/>
        <v>11629770154</v>
      </c>
      <c r="K1465" t="str">
        <f>""</f>
        <v/>
      </c>
      <c r="M1465" t="s">
        <v>68</v>
      </c>
      <c r="N1465" t="str">
        <f t="shared" si="133"/>
        <v>FOR</v>
      </c>
      <c r="O1465" t="s">
        <v>69</v>
      </c>
      <c r="P1465" s="3" t="s">
        <v>75</v>
      </c>
      <c r="Q1465">
        <v>2016</v>
      </c>
      <c r="R1465" s="2">
        <v>42460</v>
      </c>
      <c r="S1465" s="2">
        <v>42472</v>
      </c>
      <c r="T1465" s="2">
        <v>42472</v>
      </c>
      <c r="U1465" s="2">
        <v>42532</v>
      </c>
      <c r="V1465" t="s">
        <v>71</v>
      </c>
      <c r="W1465" t="str">
        <f>"               18338"</f>
        <v xml:space="preserve">               18338</v>
      </c>
      <c r="X1465" s="1">
        <v>184973.39</v>
      </c>
      <c r="Y1465">
        <v>0</v>
      </c>
      <c r="Z1465" s="5">
        <v>183913.81</v>
      </c>
      <c r="AA1465">
        <v>114</v>
      </c>
      <c r="AB1465" s="5">
        <v>20966174.34</v>
      </c>
      <c r="AC1465" s="1">
        <v>183913.81</v>
      </c>
      <c r="AD1465">
        <v>114</v>
      </c>
      <c r="AE1465" s="1">
        <v>20966174.34</v>
      </c>
      <c r="AF1465">
        <v>0</v>
      </c>
      <c r="AJ1465">
        <v>0</v>
      </c>
      <c r="AK1465">
        <v>0</v>
      </c>
      <c r="AL1465">
        <v>0</v>
      </c>
      <c r="AM1465" s="1">
        <v>184973.39</v>
      </c>
      <c r="AN1465" s="1">
        <v>184973.39</v>
      </c>
      <c r="AO1465" s="1">
        <v>184973.39</v>
      </c>
      <c r="AP1465" s="2">
        <v>42746</v>
      </c>
      <c r="AQ1465" t="s">
        <v>72</v>
      </c>
      <c r="AR1465" t="s">
        <v>72</v>
      </c>
      <c r="AS1465">
        <v>2563</v>
      </c>
      <c r="AT1465" s="4">
        <v>42646</v>
      </c>
      <c r="AU1465" t="s">
        <v>73</v>
      </c>
      <c r="AV1465">
        <v>2563</v>
      </c>
      <c r="AW1465" s="4">
        <v>42646</v>
      </c>
      <c r="BD1465">
        <v>0</v>
      </c>
      <c r="BN1465" t="s">
        <v>74</v>
      </c>
    </row>
    <row r="1466" spans="1:66">
      <c r="A1466">
        <v>100371</v>
      </c>
      <c r="B1466" s="3" t="s">
        <v>167</v>
      </c>
      <c r="C1466" s="1">
        <v>43300101</v>
      </c>
      <c r="D1466" t="s">
        <v>67</v>
      </c>
      <c r="H1466" t="str">
        <f t="shared" si="132"/>
        <v>11629770154</v>
      </c>
      <c r="I1466" t="str">
        <f t="shared" si="132"/>
        <v>11629770154</v>
      </c>
      <c r="K1466" t="str">
        <f>""</f>
        <v/>
      </c>
      <c r="M1466" t="s">
        <v>68</v>
      </c>
      <c r="N1466" t="str">
        <f t="shared" si="133"/>
        <v>FOR</v>
      </c>
      <c r="O1466" t="s">
        <v>69</v>
      </c>
      <c r="P1466" s="3" t="s">
        <v>75</v>
      </c>
      <c r="Q1466">
        <v>2016</v>
      </c>
      <c r="R1466" s="2">
        <v>42460</v>
      </c>
      <c r="S1466" s="2">
        <v>42472</v>
      </c>
      <c r="T1466" s="2">
        <v>42472</v>
      </c>
      <c r="U1466" s="2">
        <v>42532</v>
      </c>
      <c r="V1466" t="s">
        <v>71</v>
      </c>
      <c r="W1466" t="str">
        <f>"               18339"</f>
        <v xml:space="preserve">               18339</v>
      </c>
      <c r="X1466" s="1">
        <v>1700.35</v>
      </c>
      <c r="Y1466">
        <v>0</v>
      </c>
      <c r="Z1466" s="5">
        <v>1686.8</v>
      </c>
      <c r="AA1466">
        <v>114</v>
      </c>
      <c r="AB1466" s="5">
        <v>192295.2</v>
      </c>
      <c r="AC1466" s="1">
        <v>1686.8</v>
      </c>
      <c r="AD1466">
        <v>114</v>
      </c>
      <c r="AE1466" s="1">
        <v>192295.2</v>
      </c>
      <c r="AF1466">
        <v>0</v>
      </c>
      <c r="AJ1466">
        <v>0</v>
      </c>
      <c r="AK1466">
        <v>0</v>
      </c>
      <c r="AL1466">
        <v>0</v>
      </c>
      <c r="AM1466" s="1">
        <v>1700.35</v>
      </c>
      <c r="AN1466" s="1">
        <v>1700.35</v>
      </c>
      <c r="AO1466" s="1">
        <v>1700.35</v>
      </c>
      <c r="AP1466" s="2">
        <v>42746</v>
      </c>
      <c r="AQ1466" t="s">
        <v>72</v>
      </c>
      <c r="AR1466" t="s">
        <v>72</v>
      </c>
      <c r="AS1466">
        <v>2563</v>
      </c>
      <c r="AT1466" s="4">
        <v>42646</v>
      </c>
      <c r="AU1466" t="s">
        <v>73</v>
      </c>
      <c r="AV1466">
        <v>2563</v>
      </c>
      <c r="AW1466" s="4">
        <v>42646</v>
      </c>
      <c r="BD1466">
        <v>0</v>
      </c>
      <c r="BN1466" t="s">
        <v>74</v>
      </c>
    </row>
    <row r="1467" spans="1:66">
      <c r="A1467">
        <v>100371</v>
      </c>
      <c r="B1467" s="3" t="s">
        <v>167</v>
      </c>
      <c r="C1467" s="1">
        <v>43300101</v>
      </c>
      <c r="D1467" t="s">
        <v>67</v>
      </c>
      <c r="H1467" t="str">
        <f t="shared" si="132"/>
        <v>11629770154</v>
      </c>
      <c r="I1467" t="str">
        <f t="shared" si="132"/>
        <v>11629770154</v>
      </c>
      <c r="K1467" t="str">
        <f>""</f>
        <v/>
      </c>
      <c r="M1467" t="s">
        <v>68</v>
      </c>
      <c r="N1467" t="str">
        <f t="shared" si="133"/>
        <v>FOR</v>
      </c>
      <c r="O1467" t="s">
        <v>69</v>
      </c>
      <c r="P1467" s="3" t="s">
        <v>75</v>
      </c>
      <c r="Q1467">
        <v>2016</v>
      </c>
      <c r="R1467" s="2">
        <v>42460</v>
      </c>
      <c r="S1467" s="2">
        <v>42472</v>
      </c>
      <c r="T1467" s="2">
        <v>42472</v>
      </c>
      <c r="U1467" s="2">
        <v>42532</v>
      </c>
      <c r="V1467" t="s">
        <v>71</v>
      </c>
      <c r="W1467" t="str">
        <f>"               18340"</f>
        <v xml:space="preserve">               18340</v>
      </c>
      <c r="X1467" s="1">
        <v>51089.73</v>
      </c>
      <c r="Y1467">
        <v>0</v>
      </c>
      <c r="Z1467" s="5">
        <v>50723.67</v>
      </c>
      <c r="AA1467">
        <v>114</v>
      </c>
      <c r="AB1467" s="5">
        <v>5782498.3799999999</v>
      </c>
      <c r="AC1467" s="1">
        <v>50723.67</v>
      </c>
      <c r="AD1467">
        <v>114</v>
      </c>
      <c r="AE1467" s="1">
        <v>5782498.3799999999</v>
      </c>
      <c r="AF1467">
        <v>0</v>
      </c>
      <c r="AJ1467">
        <v>0</v>
      </c>
      <c r="AK1467">
        <v>0</v>
      </c>
      <c r="AL1467">
        <v>0</v>
      </c>
      <c r="AM1467" s="1">
        <v>51089.73</v>
      </c>
      <c r="AN1467" s="1">
        <v>51089.73</v>
      </c>
      <c r="AO1467" s="1">
        <v>51089.73</v>
      </c>
      <c r="AP1467" s="2">
        <v>42746</v>
      </c>
      <c r="AQ1467" t="s">
        <v>72</v>
      </c>
      <c r="AR1467" t="s">
        <v>72</v>
      </c>
      <c r="AS1467">
        <v>2563</v>
      </c>
      <c r="AT1467" s="4">
        <v>42646</v>
      </c>
      <c r="AU1467" t="s">
        <v>73</v>
      </c>
      <c r="AV1467">
        <v>2563</v>
      </c>
      <c r="AW1467" s="4">
        <v>42646</v>
      </c>
      <c r="BD1467">
        <v>0</v>
      </c>
      <c r="BN1467" t="s">
        <v>74</v>
      </c>
    </row>
    <row r="1468" spans="1:66">
      <c r="A1468">
        <v>100371</v>
      </c>
      <c r="B1468" s="3" t="s">
        <v>167</v>
      </c>
      <c r="C1468" s="1">
        <v>43300101</v>
      </c>
      <c r="D1468" t="s">
        <v>67</v>
      </c>
      <c r="H1468" t="str">
        <f t="shared" si="132"/>
        <v>11629770154</v>
      </c>
      <c r="I1468" t="str">
        <f t="shared" si="132"/>
        <v>11629770154</v>
      </c>
      <c r="K1468" t="str">
        <f>""</f>
        <v/>
      </c>
      <c r="M1468" t="s">
        <v>68</v>
      </c>
      <c r="N1468" t="str">
        <f t="shared" si="133"/>
        <v>FOR</v>
      </c>
      <c r="O1468" t="s">
        <v>69</v>
      </c>
      <c r="P1468" s="3" t="s">
        <v>75</v>
      </c>
      <c r="Q1468">
        <v>2016</v>
      </c>
      <c r="R1468" s="2">
        <v>42460</v>
      </c>
      <c r="S1468" s="2">
        <v>42472</v>
      </c>
      <c r="T1468" s="2">
        <v>42472</v>
      </c>
      <c r="U1468" s="2">
        <v>42532</v>
      </c>
      <c r="V1468" t="s">
        <v>71</v>
      </c>
      <c r="W1468" t="str">
        <f>"               18341"</f>
        <v xml:space="preserve">               18341</v>
      </c>
      <c r="X1468" s="1">
        <v>3541.1</v>
      </c>
      <c r="Y1468">
        <v>0</v>
      </c>
      <c r="Z1468" s="5">
        <v>3512.72</v>
      </c>
      <c r="AA1468">
        <v>114</v>
      </c>
      <c r="AB1468" s="5">
        <v>400450.08</v>
      </c>
      <c r="AC1468" s="1">
        <v>3512.72</v>
      </c>
      <c r="AD1468">
        <v>114</v>
      </c>
      <c r="AE1468" s="1">
        <v>400450.08</v>
      </c>
      <c r="AF1468">
        <v>0</v>
      </c>
      <c r="AJ1468">
        <v>0</v>
      </c>
      <c r="AK1468">
        <v>0</v>
      </c>
      <c r="AL1468">
        <v>0</v>
      </c>
      <c r="AM1468" s="1">
        <v>3541.1</v>
      </c>
      <c r="AN1468" s="1">
        <v>3541.1</v>
      </c>
      <c r="AO1468" s="1">
        <v>3541.1</v>
      </c>
      <c r="AP1468" s="2">
        <v>42746</v>
      </c>
      <c r="AQ1468" t="s">
        <v>72</v>
      </c>
      <c r="AR1468" t="s">
        <v>72</v>
      </c>
      <c r="AS1468">
        <v>2563</v>
      </c>
      <c r="AT1468" s="4">
        <v>42646</v>
      </c>
      <c r="AU1468" t="s">
        <v>73</v>
      </c>
      <c r="AV1468">
        <v>2563</v>
      </c>
      <c r="AW1468" s="4">
        <v>42646</v>
      </c>
      <c r="BD1468">
        <v>0</v>
      </c>
      <c r="BN1468" t="s">
        <v>74</v>
      </c>
    </row>
    <row r="1469" spans="1:66">
      <c r="A1469">
        <v>100371</v>
      </c>
      <c r="B1469" s="3" t="s">
        <v>167</v>
      </c>
      <c r="C1469" s="1">
        <v>43300101</v>
      </c>
      <c r="D1469" t="s">
        <v>67</v>
      </c>
      <c r="H1469" t="str">
        <f t="shared" si="132"/>
        <v>11629770154</v>
      </c>
      <c r="I1469" t="str">
        <f t="shared" si="132"/>
        <v>11629770154</v>
      </c>
      <c r="K1469" t="str">
        <f>""</f>
        <v/>
      </c>
      <c r="M1469" t="s">
        <v>68</v>
      </c>
      <c r="N1469" t="str">
        <f t="shared" si="133"/>
        <v>FOR</v>
      </c>
      <c r="O1469" t="s">
        <v>69</v>
      </c>
      <c r="P1469" s="3" t="s">
        <v>75</v>
      </c>
      <c r="Q1469">
        <v>2016</v>
      </c>
      <c r="R1469" s="2">
        <v>42460</v>
      </c>
      <c r="S1469" s="2">
        <v>42472</v>
      </c>
      <c r="T1469" s="2">
        <v>42472</v>
      </c>
      <c r="U1469" s="2">
        <v>42532</v>
      </c>
      <c r="V1469" t="s">
        <v>71</v>
      </c>
      <c r="W1469" t="str">
        <f>"               18348"</f>
        <v xml:space="preserve">               18348</v>
      </c>
      <c r="X1469" s="1">
        <v>10051.23</v>
      </c>
      <c r="Y1469">
        <v>0</v>
      </c>
      <c r="Z1469" s="5">
        <v>9978.86</v>
      </c>
      <c r="AA1469">
        <v>114</v>
      </c>
      <c r="AB1469" s="5">
        <v>1137590.04</v>
      </c>
      <c r="AC1469" s="1">
        <v>9978.86</v>
      </c>
      <c r="AD1469">
        <v>114</v>
      </c>
      <c r="AE1469" s="1">
        <v>1137590.04</v>
      </c>
      <c r="AF1469">
        <v>0</v>
      </c>
      <c r="AJ1469">
        <v>0</v>
      </c>
      <c r="AK1469">
        <v>0</v>
      </c>
      <c r="AL1469">
        <v>0</v>
      </c>
      <c r="AM1469" s="1">
        <v>10051.23</v>
      </c>
      <c r="AN1469" s="1">
        <v>10051.23</v>
      </c>
      <c r="AO1469" s="1">
        <v>10051.23</v>
      </c>
      <c r="AP1469" s="2">
        <v>42746</v>
      </c>
      <c r="AQ1469" t="s">
        <v>72</v>
      </c>
      <c r="AR1469" t="s">
        <v>72</v>
      </c>
      <c r="AS1469">
        <v>2563</v>
      </c>
      <c r="AT1469" s="4">
        <v>42646</v>
      </c>
      <c r="AU1469" t="s">
        <v>73</v>
      </c>
      <c r="AV1469">
        <v>2563</v>
      </c>
      <c r="AW1469" s="4">
        <v>42646</v>
      </c>
      <c r="BD1469">
        <v>0</v>
      </c>
      <c r="BN1469" t="s">
        <v>74</v>
      </c>
    </row>
    <row r="1470" spans="1:66">
      <c r="A1470">
        <v>100371</v>
      </c>
      <c r="B1470" s="3" t="s">
        <v>167</v>
      </c>
      <c r="C1470" s="1">
        <v>43300101</v>
      </c>
      <c r="D1470" t="s">
        <v>67</v>
      </c>
      <c r="H1470" t="str">
        <f t="shared" si="132"/>
        <v>11629770154</v>
      </c>
      <c r="I1470" t="str">
        <f t="shared" si="132"/>
        <v>11629770154</v>
      </c>
      <c r="K1470" t="str">
        <f>""</f>
        <v/>
      </c>
      <c r="M1470" t="s">
        <v>68</v>
      </c>
      <c r="N1470" t="str">
        <f t="shared" si="133"/>
        <v>FOR</v>
      </c>
      <c r="O1470" t="s">
        <v>69</v>
      </c>
      <c r="P1470" s="3" t="s">
        <v>75</v>
      </c>
      <c r="Q1470">
        <v>2016</v>
      </c>
      <c r="R1470" s="2">
        <v>42460</v>
      </c>
      <c r="S1470" s="2">
        <v>42472</v>
      </c>
      <c r="T1470" s="2">
        <v>42472</v>
      </c>
      <c r="U1470" s="2">
        <v>42532</v>
      </c>
      <c r="V1470" t="s">
        <v>71</v>
      </c>
      <c r="W1470" t="str">
        <f>"               18349"</f>
        <v xml:space="preserve">               18349</v>
      </c>
      <c r="X1470" s="1">
        <v>6556.42</v>
      </c>
      <c r="Y1470">
        <v>0</v>
      </c>
      <c r="Z1470" s="5">
        <v>6507.14</v>
      </c>
      <c r="AA1470">
        <v>114</v>
      </c>
      <c r="AB1470" s="5">
        <v>741813.96</v>
      </c>
      <c r="AC1470" s="1">
        <v>6507.14</v>
      </c>
      <c r="AD1470">
        <v>114</v>
      </c>
      <c r="AE1470" s="1">
        <v>741813.96</v>
      </c>
      <c r="AF1470">
        <v>0</v>
      </c>
      <c r="AJ1470">
        <v>0</v>
      </c>
      <c r="AK1470">
        <v>0</v>
      </c>
      <c r="AL1470">
        <v>0</v>
      </c>
      <c r="AM1470" s="1">
        <v>6556.42</v>
      </c>
      <c r="AN1470" s="1">
        <v>6556.42</v>
      </c>
      <c r="AO1470" s="1">
        <v>6556.42</v>
      </c>
      <c r="AP1470" s="2">
        <v>42746</v>
      </c>
      <c r="AQ1470" t="s">
        <v>72</v>
      </c>
      <c r="AR1470" t="s">
        <v>72</v>
      </c>
      <c r="AS1470">
        <v>2563</v>
      </c>
      <c r="AT1470" s="4">
        <v>42646</v>
      </c>
      <c r="AU1470" t="s">
        <v>73</v>
      </c>
      <c r="AV1470">
        <v>2563</v>
      </c>
      <c r="AW1470" s="4">
        <v>42646</v>
      </c>
      <c r="BD1470">
        <v>0</v>
      </c>
      <c r="BN1470" t="s">
        <v>74</v>
      </c>
    </row>
    <row r="1471" spans="1:66">
      <c r="A1471">
        <v>100371</v>
      </c>
      <c r="B1471" s="3" t="s">
        <v>167</v>
      </c>
      <c r="C1471" s="1">
        <v>43300101</v>
      </c>
      <c r="D1471" t="s">
        <v>67</v>
      </c>
      <c r="H1471" t="str">
        <f t="shared" si="132"/>
        <v>11629770154</v>
      </c>
      <c r="I1471" t="str">
        <f t="shared" si="132"/>
        <v>11629770154</v>
      </c>
      <c r="K1471" t="str">
        <f>""</f>
        <v/>
      </c>
      <c r="M1471" t="s">
        <v>68</v>
      </c>
      <c r="N1471" t="str">
        <f t="shared" si="133"/>
        <v>FOR</v>
      </c>
      <c r="O1471" t="s">
        <v>69</v>
      </c>
      <c r="P1471" s="3" t="s">
        <v>75</v>
      </c>
      <c r="Q1471">
        <v>2016</v>
      </c>
      <c r="R1471" s="2">
        <v>42460</v>
      </c>
      <c r="S1471" s="2">
        <v>42472</v>
      </c>
      <c r="T1471" s="2">
        <v>42472</v>
      </c>
      <c r="U1471" s="2">
        <v>42532</v>
      </c>
      <c r="V1471" t="s">
        <v>71</v>
      </c>
      <c r="W1471" t="str">
        <f>"               18350"</f>
        <v xml:space="preserve">               18350</v>
      </c>
      <c r="X1471" s="1">
        <v>1923.56</v>
      </c>
      <c r="Y1471">
        <v>0</v>
      </c>
      <c r="Z1471" s="5">
        <v>1909.72</v>
      </c>
      <c r="AA1471">
        <v>114</v>
      </c>
      <c r="AB1471" s="5">
        <v>217708.08</v>
      </c>
      <c r="AC1471" s="1">
        <v>1909.72</v>
      </c>
      <c r="AD1471">
        <v>114</v>
      </c>
      <c r="AE1471" s="1">
        <v>217708.08</v>
      </c>
      <c r="AF1471">
        <v>0</v>
      </c>
      <c r="AJ1471">
        <v>0</v>
      </c>
      <c r="AK1471">
        <v>0</v>
      </c>
      <c r="AL1471">
        <v>0</v>
      </c>
      <c r="AM1471" s="1">
        <v>1923.56</v>
      </c>
      <c r="AN1471" s="1">
        <v>1923.56</v>
      </c>
      <c r="AO1471" s="1">
        <v>1923.56</v>
      </c>
      <c r="AP1471" s="2">
        <v>42746</v>
      </c>
      <c r="AQ1471" t="s">
        <v>72</v>
      </c>
      <c r="AR1471" t="s">
        <v>72</v>
      </c>
      <c r="AS1471">
        <v>2563</v>
      </c>
      <c r="AT1471" s="4">
        <v>42646</v>
      </c>
      <c r="AU1471" t="s">
        <v>73</v>
      </c>
      <c r="AV1471">
        <v>2563</v>
      </c>
      <c r="AW1471" s="4">
        <v>42646</v>
      </c>
      <c r="BD1471">
        <v>0</v>
      </c>
      <c r="BN1471" t="s">
        <v>74</v>
      </c>
    </row>
    <row r="1472" spans="1:66">
      <c r="A1472">
        <v>100371</v>
      </c>
      <c r="B1472" s="3" t="s">
        <v>167</v>
      </c>
      <c r="C1472" s="1">
        <v>43300101</v>
      </c>
      <c r="D1472" t="s">
        <v>67</v>
      </c>
      <c r="H1472" t="str">
        <f t="shared" si="132"/>
        <v>11629770154</v>
      </c>
      <c r="I1472" t="str">
        <f t="shared" si="132"/>
        <v>11629770154</v>
      </c>
      <c r="K1472" t="str">
        <f>""</f>
        <v/>
      </c>
      <c r="M1472" t="s">
        <v>68</v>
      </c>
      <c r="N1472" t="str">
        <f t="shared" si="133"/>
        <v>FOR</v>
      </c>
      <c r="O1472" t="s">
        <v>69</v>
      </c>
      <c r="P1472" s="3" t="s">
        <v>75</v>
      </c>
      <c r="Q1472">
        <v>2016</v>
      </c>
      <c r="R1472" s="2">
        <v>42460</v>
      </c>
      <c r="S1472" s="2">
        <v>42472</v>
      </c>
      <c r="T1472" s="2">
        <v>42472</v>
      </c>
      <c r="U1472" s="2">
        <v>42532</v>
      </c>
      <c r="V1472" t="s">
        <v>71</v>
      </c>
      <c r="W1472" t="str">
        <f>"               18491"</f>
        <v xml:space="preserve">               18491</v>
      </c>
      <c r="X1472" s="1">
        <v>3936.35</v>
      </c>
      <c r="Y1472">
        <v>0</v>
      </c>
      <c r="Z1472" s="5">
        <v>3905.12</v>
      </c>
      <c r="AA1472">
        <v>114</v>
      </c>
      <c r="AB1472" s="5">
        <v>445183.68</v>
      </c>
      <c r="AC1472" s="1">
        <v>3905.12</v>
      </c>
      <c r="AD1472">
        <v>114</v>
      </c>
      <c r="AE1472" s="1">
        <v>445183.68</v>
      </c>
      <c r="AF1472">
        <v>0</v>
      </c>
      <c r="AJ1472">
        <v>0</v>
      </c>
      <c r="AK1472">
        <v>0</v>
      </c>
      <c r="AL1472">
        <v>0</v>
      </c>
      <c r="AM1472" s="1">
        <v>3936.35</v>
      </c>
      <c r="AN1472" s="1">
        <v>3936.35</v>
      </c>
      <c r="AO1472" s="1">
        <v>3936.35</v>
      </c>
      <c r="AP1472" s="2">
        <v>42746</v>
      </c>
      <c r="AQ1472" t="s">
        <v>72</v>
      </c>
      <c r="AR1472" t="s">
        <v>72</v>
      </c>
      <c r="AS1472">
        <v>2563</v>
      </c>
      <c r="AT1472" s="4">
        <v>42646</v>
      </c>
      <c r="AU1472" t="s">
        <v>73</v>
      </c>
      <c r="AV1472">
        <v>2563</v>
      </c>
      <c r="AW1472" s="4">
        <v>42646</v>
      </c>
      <c r="BD1472">
        <v>0</v>
      </c>
      <c r="BN1472" t="s">
        <v>74</v>
      </c>
    </row>
    <row r="1473" spans="1:66">
      <c r="A1473">
        <v>100371</v>
      </c>
      <c r="B1473" s="3" t="s">
        <v>167</v>
      </c>
      <c r="C1473" s="1">
        <v>43300101</v>
      </c>
      <c r="D1473" t="s">
        <v>67</v>
      </c>
      <c r="H1473" t="str">
        <f t="shared" si="132"/>
        <v>11629770154</v>
      </c>
      <c r="I1473" t="str">
        <f t="shared" si="132"/>
        <v>11629770154</v>
      </c>
      <c r="K1473" t="str">
        <f>""</f>
        <v/>
      </c>
      <c r="M1473" t="s">
        <v>68</v>
      </c>
      <c r="N1473" t="str">
        <f t="shared" si="133"/>
        <v>FOR</v>
      </c>
      <c r="O1473" t="s">
        <v>69</v>
      </c>
      <c r="P1473" s="3" t="s">
        <v>75</v>
      </c>
      <c r="Q1473">
        <v>2016</v>
      </c>
      <c r="R1473" s="2">
        <v>42490</v>
      </c>
      <c r="S1473" s="2">
        <v>42502</v>
      </c>
      <c r="T1473" s="2">
        <v>42501</v>
      </c>
      <c r="U1473" s="2">
        <v>42561</v>
      </c>
      <c r="V1473" t="s">
        <v>71</v>
      </c>
      <c r="W1473" t="str">
        <f>"               25995"</f>
        <v xml:space="preserve">               25995</v>
      </c>
      <c r="X1473" s="1">
        <v>3936.35</v>
      </c>
      <c r="Y1473">
        <v>0</v>
      </c>
      <c r="Z1473" s="5">
        <v>3905.12</v>
      </c>
      <c r="AA1473">
        <v>159</v>
      </c>
      <c r="AB1473" s="5">
        <v>620914.07999999996</v>
      </c>
      <c r="AC1473" s="1">
        <v>3905.12</v>
      </c>
      <c r="AD1473">
        <v>159</v>
      </c>
      <c r="AE1473" s="1">
        <v>620914.07999999996</v>
      </c>
      <c r="AF1473">
        <v>31.23</v>
      </c>
      <c r="AJ1473">
        <v>0</v>
      </c>
      <c r="AK1473">
        <v>0</v>
      </c>
      <c r="AL1473">
        <v>0</v>
      </c>
      <c r="AM1473" s="1">
        <v>3936.35</v>
      </c>
      <c r="AN1473" s="1">
        <v>3936.35</v>
      </c>
      <c r="AO1473" s="1">
        <v>3936.35</v>
      </c>
      <c r="AP1473" s="2">
        <v>42746</v>
      </c>
      <c r="AQ1473" t="s">
        <v>72</v>
      </c>
      <c r="AR1473" t="s">
        <v>72</v>
      </c>
      <c r="AS1473">
        <v>3546</v>
      </c>
      <c r="AT1473" s="4">
        <v>42720</v>
      </c>
      <c r="AU1473" t="s">
        <v>73</v>
      </c>
      <c r="AV1473">
        <v>3546</v>
      </c>
      <c r="AW1473" s="4">
        <v>42720</v>
      </c>
      <c r="BC1473">
        <v>31.23</v>
      </c>
      <c r="BD1473">
        <v>0</v>
      </c>
      <c r="BN1473" t="s">
        <v>74</v>
      </c>
    </row>
    <row r="1474" spans="1:66">
      <c r="A1474">
        <v>100371</v>
      </c>
      <c r="B1474" s="3" t="s">
        <v>167</v>
      </c>
      <c r="C1474" s="1">
        <v>43300101</v>
      </c>
      <c r="D1474" t="s">
        <v>67</v>
      </c>
      <c r="H1474" t="str">
        <f t="shared" ref="H1474:I1480" si="134">"11629770154"</f>
        <v>11629770154</v>
      </c>
      <c r="I1474" t="str">
        <f t="shared" si="134"/>
        <v>11629770154</v>
      </c>
      <c r="K1474" t="str">
        <f>""</f>
        <v/>
      </c>
      <c r="M1474" t="s">
        <v>68</v>
      </c>
      <c r="N1474" t="str">
        <f t="shared" si="133"/>
        <v>FOR</v>
      </c>
      <c r="O1474" t="s">
        <v>69</v>
      </c>
      <c r="P1474" s="3" t="s">
        <v>75</v>
      </c>
      <c r="Q1474">
        <v>2016</v>
      </c>
      <c r="R1474" s="2">
        <v>42490</v>
      </c>
      <c r="S1474" s="2">
        <v>42502</v>
      </c>
      <c r="T1474" s="2">
        <v>42501</v>
      </c>
      <c r="U1474" s="2">
        <v>42561</v>
      </c>
      <c r="V1474" t="s">
        <v>71</v>
      </c>
      <c r="W1474" t="str">
        <f>"               26285"</f>
        <v xml:space="preserve">               26285</v>
      </c>
      <c r="X1474" s="1">
        <v>180896.04</v>
      </c>
      <c r="Y1474">
        <v>0</v>
      </c>
      <c r="Z1474" s="5">
        <v>179859.84</v>
      </c>
      <c r="AA1474">
        <v>159</v>
      </c>
      <c r="AB1474" s="5">
        <v>28597714.559999999</v>
      </c>
      <c r="AC1474" s="1">
        <v>179859.84</v>
      </c>
      <c r="AD1474">
        <v>159</v>
      </c>
      <c r="AE1474" s="1">
        <v>28597714.559999999</v>
      </c>
      <c r="AF1474" s="1">
        <v>1036.2</v>
      </c>
      <c r="AJ1474">
        <v>0</v>
      </c>
      <c r="AK1474">
        <v>0</v>
      </c>
      <c r="AL1474">
        <v>0</v>
      </c>
      <c r="AM1474" s="1">
        <v>180896.04</v>
      </c>
      <c r="AN1474" s="1">
        <v>180896.04</v>
      </c>
      <c r="AO1474" s="1">
        <v>180896.04</v>
      </c>
      <c r="AP1474" s="2">
        <v>42746</v>
      </c>
      <c r="AQ1474" t="s">
        <v>72</v>
      </c>
      <c r="AR1474" t="s">
        <v>72</v>
      </c>
      <c r="AS1474">
        <v>3546</v>
      </c>
      <c r="AT1474" s="4">
        <v>42720</v>
      </c>
      <c r="AU1474" t="s">
        <v>73</v>
      </c>
      <c r="AV1474">
        <v>3546</v>
      </c>
      <c r="AW1474" s="4">
        <v>42720</v>
      </c>
      <c r="BC1474" s="1">
        <v>1036.2</v>
      </c>
      <c r="BD1474">
        <v>0</v>
      </c>
      <c r="BN1474" t="s">
        <v>74</v>
      </c>
    </row>
    <row r="1475" spans="1:66">
      <c r="A1475">
        <v>100371</v>
      </c>
      <c r="B1475" s="3" t="s">
        <v>167</v>
      </c>
      <c r="C1475" s="1">
        <v>43300101</v>
      </c>
      <c r="D1475" t="s">
        <v>67</v>
      </c>
      <c r="H1475" t="str">
        <f t="shared" si="134"/>
        <v>11629770154</v>
      </c>
      <c r="I1475" t="str">
        <f t="shared" si="134"/>
        <v>11629770154</v>
      </c>
      <c r="K1475" t="str">
        <f>""</f>
        <v/>
      </c>
      <c r="M1475" t="s">
        <v>68</v>
      </c>
      <c r="N1475" t="str">
        <f t="shared" si="133"/>
        <v>FOR</v>
      </c>
      <c r="O1475" t="s">
        <v>69</v>
      </c>
      <c r="P1475" s="3" t="s">
        <v>75</v>
      </c>
      <c r="Q1475">
        <v>2016</v>
      </c>
      <c r="R1475" s="2">
        <v>42490</v>
      </c>
      <c r="S1475" s="2">
        <v>42502</v>
      </c>
      <c r="T1475" s="2">
        <v>42501</v>
      </c>
      <c r="U1475" s="2">
        <v>42561</v>
      </c>
      <c r="V1475" t="s">
        <v>71</v>
      </c>
      <c r="W1475" t="str">
        <f>"               26286"</f>
        <v xml:space="preserve">               26286</v>
      </c>
      <c r="X1475" s="1">
        <v>1424.37</v>
      </c>
      <c r="Y1475">
        <v>0</v>
      </c>
      <c r="Z1475" s="5">
        <v>1413.02</v>
      </c>
      <c r="AA1475">
        <v>159</v>
      </c>
      <c r="AB1475" s="5">
        <v>224670.18</v>
      </c>
      <c r="AC1475" s="1">
        <v>1413.02</v>
      </c>
      <c r="AD1475">
        <v>159</v>
      </c>
      <c r="AE1475" s="1">
        <v>224670.18</v>
      </c>
      <c r="AF1475">
        <v>11.35</v>
      </c>
      <c r="AJ1475">
        <v>0</v>
      </c>
      <c r="AK1475">
        <v>0</v>
      </c>
      <c r="AL1475">
        <v>0</v>
      </c>
      <c r="AM1475" s="1">
        <v>1424.37</v>
      </c>
      <c r="AN1475" s="1">
        <v>1424.37</v>
      </c>
      <c r="AO1475" s="1">
        <v>1424.37</v>
      </c>
      <c r="AP1475" s="2">
        <v>42746</v>
      </c>
      <c r="AQ1475" t="s">
        <v>72</v>
      </c>
      <c r="AR1475" t="s">
        <v>72</v>
      </c>
      <c r="AS1475">
        <v>3546</v>
      </c>
      <c r="AT1475" s="4">
        <v>42720</v>
      </c>
      <c r="AU1475" t="s">
        <v>73</v>
      </c>
      <c r="AV1475">
        <v>3546</v>
      </c>
      <c r="AW1475" s="4">
        <v>42720</v>
      </c>
      <c r="BC1475">
        <v>11.35</v>
      </c>
      <c r="BD1475">
        <v>0</v>
      </c>
      <c r="BN1475" t="s">
        <v>74</v>
      </c>
    </row>
    <row r="1476" spans="1:66">
      <c r="A1476">
        <v>100371</v>
      </c>
      <c r="B1476" s="3" t="s">
        <v>167</v>
      </c>
      <c r="C1476" s="1">
        <v>43300101</v>
      </c>
      <c r="D1476" t="s">
        <v>67</v>
      </c>
      <c r="H1476" t="str">
        <f t="shared" si="134"/>
        <v>11629770154</v>
      </c>
      <c r="I1476" t="str">
        <f t="shared" si="134"/>
        <v>11629770154</v>
      </c>
      <c r="K1476" t="str">
        <f>""</f>
        <v/>
      </c>
      <c r="M1476" t="s">
        <v>68</v>
      </c>
      <c r="N1476" t="str">
        <f t="shared" si="133"/>
        <v>FOR</v>
      </c>
      <c r="O1476" t="s">
        <v>69</v>
      </c>
      <c r="P1476" s="3" t="s">
        <v>75</v>
      </c>
      <c r="Q1476">
        <v>2016</v>
      </c>
      <c r="R1476" s="2">
        <v>42490</v>
      </c>
      <c r="S1476" s="2">
        <v>42502</v>
      </c>
      <c r="T1476" s="2">
        <v>42501</v>
      </c>
      <c r="U1476" s="2">
        <v>42561</v>
      </c>
      <c r="V1476" t="s">
        <v>71</v>
      </c>
      <c r="W1476" t="str">
        <f>"               26287"</f>
        <v xml:space="preserve">               26287</v>
      </c>
      <c r="X1476" s="1">
        <v>49644.47</v>
      </c>
      <c r="Y1476">
        <v>0</v>
      </c>
      <c r="Z1476" s="5">
        <v>49287.58</v>
      </c>
      <c r="AA1476">
        <v>159</v>
      </c>
      <c r="AB1476" s="5">
        <v>7836725.2199999997</v>
      </c>
      <c r="AC1476" s="1">
        <v>49287.58</v>
      </c>
      <c r="AD1476">
        <v>159</v>
      </c>
      <c r="AE1476" s="1">
        <v>7836725.2199999997</v>
      </c>
      <c r="AF1476">
        <v>356.89</v>
      </c>
      <c r="AJ1476">
        <v>0</v>
      </c>
      <c r="AK1476">
        <v>0</v>
      </c>
      <c r="AL1476">
        <v>0</v>
      </c>
      <c r="AM1476" s="1">
        <v>49644.47</v>
      </c>
      <c r="AN1476" s="1">
        <v>49644.47</v>
      </c>
      <c r="AO1476" s="1">
        <v>49644.47</v>
      </c>
      <c r="AP1476" s="2">
        <v>42746</v>
      </c>
      <c r="AQ1476" t="s">
        <v>72</v>
      </c>
      <c r="AR1476" t="s">
        <v>72</v>
      </c>
      <c r="AS1476">
        <v>3546</v>
      </c>
      <c r="AT1476" s="4">
        <v>42720</v>
      </c>
      <c r="AU1476" t="s">
        <v>73</v>
      </c>
      <c r="AV1476">
        <v>3546</v>
      </c>
      <c r="AW1476" s="4">
        <v>42720</v>
      </c>
      <c r="BC1476">
        <v>356.89</v>
      </c>
      <c r="BD1476">
        <v>0</v>
      </c>
      <c r="BN1476" t="s">
        <v>74</v>
      </c>
    </row>
    <row r="1477" spans="1:66">
      <c r="A1477">
        <v>100371</v>
      </c>
      <c r="B1477" s="3" t="s">
        <v>167</v>
      </c>
      <c r="C1477" s="1">
        <v>43300101</v>
      </c>
      <c r="D1477" t="s">
        <v>67</v>
      </c>
      <c r="H1477" t="str">
        <f t="shared" si="134"/>
        <v>11629770154</v>
      </c>
      <c r="I1477" t="str">
        <f t="shared" si="134"/>
        <v>11629770154</v>
      </c>
      <c r="K1477" t="str">
        <f>""</f>
        <v/>
      </c>
      <c r="M1477" t="s">
        <v>68</v>
      </c>
      <c r="N1477" t="str">
        <f t="shared" si="133"/>
        <v>FOR</v>
      </c>
      <c r="O1477" t="s">
        <v>69</v>
      </c>
      <c r="P1477" s="3" t="s">
        <v>75</v>
      </c>
      <c r="Q1477">
        <v>2016</v>
      </c>
      <c r="R1477" s="2">
        <v>42490</v>
      </c>
      <c r="S1477" s="2">
        <v>42502</v>
      </c>
      <c r="T1477" s="2">
        <v>42501</v>
      </c>
      <c r="U1477" s="2">
        <v>42561</v>
      </c>
      <c r="V1477" t="s">
        <v>71</v>
      </c>
      <c r="W1477" t="str">
        <f>"               26288"</f>
        <v xml:space="preserve">               26288</v>
      </c>
      <c r="X1477" s="1">
        <v>3287.55</v>
      </c>
      <c r="Y1477">
        <v>0</v>
      </c>
      <c r="Z1477" s="5">
        <v>3261.2</v>
      </c>
      <c r="AA1477">
        <v>159</v>
      </c>
      <c r="AB1477" s="5">
        <v>518530.8</v>
      </c>
      <c r="AC1477" s="1">
        <v>3261.2</v>
      </c>
      <c r="AD1477">
        <v>159</v>
      </c>
      <c r="AE1477" s="1">
        <v>518530.8</v>
      </c>
      <c r="AF1477">
        <v>26.35</v>
      </c>
      <c r="AJ1477">
        <v>0</v>
      </c>
      <c r="AK1477">
        <v>0</v>
      </c>
      <c r="AL1477">
        <v>0</v>
      </c>
      <c r="AM1477" s="1">
        <v>3287.55</v>
      </c>
      <c r="AN1477" s="1">
        <v>3287.55</v>
      </c>
      <c r="AO1477" s="1">
        <v>3287.55</v>
      </c>
      <c r="AP1477" s="2">
        <v>42746</v>
      </c>
      <c r="AQ1477" t="s">
        <v>72</v>
      </c>
      <c r="AR1477" t="s">
        <v>72</v>
      </c>
      <c r="AS1477">
        <v>3546</v>
      </c>
      <c r="AT1477" s="4">
        <v>42720</v>
      </c>
      <c r="AU1477" t="s">
        <v>73</v>
      </c>
      <c r="AV1477">
        <v>3546</v>
      </c>
      <c r="AW1477" s="4">
        <v>42720</v>
      </c>
      <c r="BC1477">
        <v>26.35</v>
      </c>
      <c r="BD1477">
        <v>0</v>
      </c>
      <c r="BN1477" t="s">
        <v>74</v>
      </c>
    </row>
    <row r="1478" spans="1:66">
      <c r="A1478">
        <v>100371</v>
      </c>
      <c r="B1478" s="3" t="s">
        <v>167</v>
      </c>
      <c r="C1478" s="1">
        <v>43300101</v>
      </c>
      <c r="D1478" t="s">
        <v>67</v>
      </c>
      <c r="H1478" t="str">
        <f t="shared" si="134"/>
        <v>11629770154</v>
      </c>
      <c r="I1478" t="str">
        <f t="shared" si="134"/>
        <v>11629770154</v>
      </c>
      <c r="K1478" t="str">
        <f>""</f>
        <v/>
      </c>
      <c r="M1478" t="s">
        <v>68</v>
      </c>
      <c r="N1478" t="str">
        <f t="shared" si="133"/>
        <v>FOR</v>
      </c>
      <c r="O1478" t="s">
        <v>69</v>
      </c>
      <c r="P1478" s="3" t="s">
        <v>75</v>
      </c>
      <c r="Q1478">
        <v>2016</v>
      </c>
      <c r="R1478" s="2">
        <v>42490</v>
      </c>
      <c r="S1478" s="2">
        <v>42502</v>
      </c>
      <c r="T1478" s="2">
        <v>42501</v>
      </c>
      <c r="U1478" s="2">
        <v>42561</v>
      </c>
      <c r="V1478" t="s">
        <v>71</v>
      </c>
      <c r="W1478" t="str">
        <f>"               26289"</f>
        <v xml:space="preserve">               26289</v>
      </c>
      <c r="X1478" s="1">
        <v>10752.34</v>
      </c>
      <c r="Y1478">
        <v>0</v>
      </c>
      <c r="Z1478" s="5">
        <v>10674.92</v>
      </c>
      <c r="AA1478">
        <v>159</v>
      </c>
      <c r="AB1478" s="5">
        <v>1697312.28</v>
      </c>
      <c r="AC1478" s="1">
        <v>10674.92</v>
      </c>
      <c r="AD1478">
        <v>159</v>
      </c>
      <c r="AE1478" s="1">
        <v>1697312.28</v>
      </c>
      <c r="AF1478">
        <v>77.42</v>
      </c>
      <c r="AJ1478">
        <v>0</v>
      </c>
      <c r="AK1478">
        <v>0</v>
      </c>
      <c r="AL1478">
        <v>0</v>
      </c>
      <c r="AM1478" s="1">
        <v>10752.34</v>
      </c>
      <c r="AN1478" s="1">
        <v>10752.34</v>
      </c>
      <c r="AO1478" s="1">
        <v>10752.34</v>
      </c>
      <c r="AP1478" s="2">
        <v>42746</v>
      </c>
      <c r="AQ1478" t="s">
        <v>72</v>
      </c>
      <c r="AR1478" t="s">
        <v>72</v>
      </c>
      <c r="AS1478">
        <v>3546</v>
      </c>
      <c r="AT1478" s="4">
        <v>42720</v>
      </c>
      <c r="AU1478" t="s">
        <v>73</v>
      </c>
      <c r="AV1478">
        <v>3546</v>
      </c>
      <c r="AW1478" s="4">
        <v>42720</v>
      </c>
      <c r="BC1478">
        <v>77.42</v>
      </c>
      <c r="BD1478">
        <v>0</v>
      </c>
      <c r="BN1478" t="s">
        <v>74</v>
      </c>
    </row>
    <row r="1479" spans="1:66">
      <c r="A1479">
        <v>100371</v>
      </c>
      <c r="B1479" s="3" t="s">
        <v>167</v>
      </c>
      <c r="C1479" s="1">
        <v>43300101</v>
      </c>
      <c r="D1479" t="s">
        <v>67</v>
      </c>
      <c r="H1479" t="str">
        <f t="shared" si="134"/>
        <v>11629770154</v>
      </c>
      <c r="I1479" t="str">
        <f t="shared" si="134"/>
        <v>11629770154</v>
      </c>
      <c r="K1479" t="str">
        <f>""</f>
        <v/>
      </c>
      <c r="M1479" t="s">
        <v>68</v>
      </c>
      <c r="N1479" t="str">
        <f t="shared" si="133"/>
        <v>FOR</v>
      </c>
      <c r="O1479" t="s">
        <v>69</v>
      </c>
      <c r="P1479" s="3" t="s">
        <v>75</v>
      </c>
      <c r="Q1479">
        <v>2016</v>
      </c>
      <c r="R1479" s="2">
        <v>42490</v>
      </c>
      <c r="S1479" s="2">
        <v>42502</v>
      </c>
      <c r="T1479" s="2">
        <v>42501</v>
      </c>
      <c r="U1479" s="2">
        <v>42561</v>
      </c>
      <c r="V1479" t="s">
        <v>71</v>
      </c>
      <c r="W1479" t="str">
        <f>"               26290"</f>
        <v xml:space="preserve">               26290</v>
      </c>
      <c r="X1479" s="1">
        <v>6396.79</v>
      </c>
      <c r="Y1479">
        <v>0</v>
      </c>
      <c r="Z1479" s="5">
        <v>6348.74</v>
      </c>
      <c r="AA1479">
        <v>159</v>
      </c>
      <c r="AB1479" s="5">
        <v>1009449.66</v>
      </c>
      <c r="AC1479" s="1">
        <v>6348.74</v>
      </c>
      <c r="AD1479">
        <v>159</v>
      </c>
      <c r="AE1479" s="1">
        <v>1009449.66</v>
      </c>
      <c r="AF1479">
        <v>48.05</v>
      </c>
      <c r="AJ1479">
        <v>0</v>
      </c>
      <c r="AK1479">
        <v>0</v>
      </c>
      <c r="AL1479">
        <v>0</v>
      </c>
      <c r="AM1479" s="1">
        <v>6396.79</v>
      </c>
      <c r="AN1479" s="1">
        <v>6396.79</v>
      </c>
      <c r="AO1479" s="1">
        <v>6396.79</v>
      </c>
      <c r="AP1479" s="2">
        <v>42746</v>
      </c>
      <c r="AQ1479" t="s">
        <v>72</v>
      </c>
      <c r="AR1479" t="s">
        <v>72</v>
      </c>
      <c r="AS1479">
        <v>3546</v>
      </c>
      <c r="AT1479" s="4">
        <v>42720</v>
      </c>
      <c r="AU1479" t="s">
        <v>73</v>
      </c>
      <c r="AV1479">
        <v>3546</v>
      </c>
      <c r="AW1479" s="4">
        <v>42720</v>
      </c>
      <c r="BC1479">
        <v>48.05</v>
      </c>
      <c r="BD1479">
        <v>0</v>
      </c>
      <c r="BN1479" t="s">
        <v>74</v>
      </c>
    </row>
    <row r="1480" spans="1:66">
      <c r="A1480">
        <v>100371</v>
      </c>
      <c r="B1480" s="3" t="s">
        <v>167</v>
      </c>
      <c r="C1480" s="1">
        <v>43300101</v>
      </c>
      <c r="D1480" t="s">
        <v>67</v>
      </c>
      <c r="H1480" t="str">
        <f t="shared" si="134"/>
        <v>11629770154</v>
      </c>
      <c r="I1480" t="str">
        <f t="shared" si="134"/>
        <v>11629770154</v>
      </c>
      <c r="K1480" t="str">
        <f>""</f>
        <v/>
      </c>
      <c r="M1480" t="s">
        <v>68</v>
      </c>
      <c r="N1480" t="str">
        <f t="shared" si="133"/>
        <v>FOR</v>
      </c>
      <c r="O1480" t="s">
        <v>69</v>
      </c>
      <c r="P1480" s="3" t="s">
        <v>75</v>
      </c>
      <c r="Q1480">
        <v>2016</v>
      </c>
      <c r="R1480" s="2">
        <v>42490</v>
      </c>
      <c r="S1480" s="2">
        <v>42502</v>
      </c>
      <c r="T1480" s="2">
        <v>42501</v>
      </c>
      <c r="U1480" s="2">
        <v>42561</v>
      </c>
      <c r="V1480" t="s">
        <v>71</v>
      </c>
      <c r="W1480" t="str">
        <f>"               26291"</f>
        <v xml:space="preserve">               26291</v>
      </c>
      <c r="X1480" s="1">
        <v>2027.43</v>
      </c>
      <c r="Y1480">
        <v>0</v>
      </c>
      <c r="Z1480" s="5">
        <v>2012.84</v>
      </c>
      <c r="AA1480">
        <v>159</v>
      </c>
      <c r="AB1480" s="5">
        <v>320041.56</v>
      </c>
      <c r="AC1480" s="1">
        <v>2012.84</v>
      </c>
      <c r="AD1480">
        <v>159</v>
      </c>
      <c r="AE1480" s="1">
        <v>320041.56</v>
      </c>
      <c r="AF1480">
        <v>14.59</v>
      </c>
      <c r="AJ1480">
        <v>0</v>
      </c>
      <c r="AK1480">
        <v>0</v>
      </c>
      <c r="AL1480">
        <v>0</v>
      </c>
      <c r="AM1480" s="1">
        <v>2027.43</v>
      </c>
      <c r="AN1480" s="1">
        <v>2027.43</v>
      </c>
      <c r="AO1480" s="1">
        <v>2027.43</v>
      </c>
      <c r="AP1480" s="2">
        <v>42746</v>
      </c>
      <c r="AQ1480" t="s">
        <v>72</v>
      </c>
      <c r="AR1480" t="s">
        <v>72</v>
      </c>
      <c r="AS1480">
        <v>3546</v>
      </c>
      <c r="AT1480" s="4">
        <v>42720</v>
      </c>
      <c r="AU1480" t="s">
        <v>73</v>
      </c>
      <c r="AV1480">
        <v>3546</v>
      </c>
      <c r="AW1480" s="4">
        <v>42720</v>
      </c>
      <c r="BC1480">
        <v>14.59</v>
      </c>
      <c r="BD1480">
        <v>0</v>
      </c>
      <c r="BN1480" t="s">
        <v>74</v>
      </c>
    </row>
    <row r="1481" spans="1:66" hidden="1">
      <c r="A1481">
        <v>100378</v>
      </c>
      <c r="B1481" s="3" t="s">
        <v>168</v>
      </c>
      <c r="C1481" s="1">
        <v>43500101</v>
      </c>
      <c r="D1481" t="s">
        <v>113</v>
      </c>
      <c r="H1481" t="str">
        <f t="shared" ref="H1481:H1491" si="135">"FCCSLV74H65A783W"</f>
        <v>FCCSLV74H65A783W</v>
      </c>
      <c r="I1481" t="str">
        <f t="shared" ref="I1481:I1491" si="136">"01351760622"</f>
        <v>01351760622</v>
      </c>
      <c r="K1481" t="str">
        <f>""</f>
        <v/>
      </c>
      <c r="M1481" t="s">
        <v>68</v>
      </c>
      <c r="N1481" t="str">
        <f t="shared" ref="N1481:N1491" si="137">"ALTPRO"</f>
        <v>ALTPRO</v>
      </c>
      <c r="O1481" t="s">
        <v>132</v>
      </c>
      <c r="P1481" s="3" t="s">
        <v>75</v>
      </c>
      <c r="Q1481">
        <v>2016</v>
      </c>
      <c r="R1481" s="2">
        <v>42381</v>
      </c>
      <c r="S1481" s="2">
        <v>42388</v>
      </c>
      <c r="T1481" s="2">
        <v>42384</v>
      </c>
      <c r="U1481" s="2">
        <v>42444</v>
      </c>
      <c r="V1481" t="s">
        <v>71</v>
      </c>
      <c r="W1481" t="str">
        <f>"         FATTPA 1_16"</f>
        <v xml:space="preserve">         FATTPA 1_16</v>
      </c>
      <c r="X1481" s="1">
        <v>2846.72</v>
      </c>
      <c r="Y1481">
        <v>-568.94000000000005</v>
      </c>
      <c r="Z1481"/>
      <c r="AB1481"/>
      <c r="AC1481" s="1">
        <v>2277.7800000000002</v>
      </c>
      <c r="AD1481">
        <v>-47</v>
      </c>
      <c r="AE1481" s="1">
        <v>-107055.66</v>
      </c>
      <c r="AF1481">
        <v>0</v>
      </c>
      <c r="AJ1481">
        <v>0</v>
      </c>
      <c r="AK1481">
        <v>0</v>
      </c>
      <c r="AL1481">
        <v>0</v>
      </c>
      <c r="AM1481">
        <v>-568.94000000000005</v>
      </c>
      <c r="AN1481" s="1">
        <v>2277.7800000000002</v>
      </c>
      <c r="AO1481" s="1">
        <v>2277.7800000000002</v>
      </c>
      <c r="AP1481" s="2">
        <v>42746</v>
      </c>
      <c r="AQ1481" t="s">
        <v>72</v>
      </c>
      <c r="AR1481" t="s">
        <v>72</v>
      </c>
      <c r="AS1481">
        <v>142</v>
      </c>
      <c r="AT1481" s="4">
        <v>42397</v>
      </c>
      <c r="AV1481">
        <v>142</v>
      </c>
      <c r="AW1481" s="4">
        <v>42397</v>
      </c>
      <c r="BD1481">
        <v>0</v>
      </c>
      <c r="BN1481" t="s">
        <v>74</v>
      </c>
    </row>
    <row r="1482" spans="1:66" hidden="1">
      <c r="A1482">
        <v>100378</v>
      </c>
      <c r="B1482" s="3" t="s">
        <v>168</v>
      </c>
      <c r="C1482" s="1">
        <v>43500101</v>
      </c>
      <c r="D1482" t="s">
        <v>113</v>
      </c>
      <c r="H1482" t="str">
        <f t="shared" si="135"/>
        <v>FCCSLV74H65A783W</v>
      </c>
      <c r="I1482" t="str">
        <f t="shared" si="136"/>
        <v>01351760622</v>
      </c>
      <c r="K1482" t="str">
        <f>""</f>
        <v/>
      </c>
      <c r="M1482" t="s">
        <v>68</v>
      </c>
      <c r="N1482" t="str">
        <f t="shared" si="137"/>
        <v>ALTPRO</v>
      </c>
      <c r="O1482" t="s">
        <v>132</v>
      </c>
      <c r="P1482" s="3" t="s">
        <v>75</v>
      </c>
      <c r="Q1482">
        <v>2016</v>
      </c>
      <c r="R1482" s="2">
        <v>42389</v>
      </c>
      <c r="S1482" s="2">
        <v>42390</v>
      </c>
      <c r="T1482" s="2">
        <v>42390</v>
      </c>
      <c r="U1482" s="2">
        <v>42450</v>
      </c>
      <c r="V1482" t="s">
        <v>71</v>
      </c>
      <c r="W1482" t="str">
        <f>"         FATTPA 2_16"</f>
        <v xml:space="preserve">         FATTPA 2_16</v>
      </c>
      <c r="X1482" s="1">
        <v>2636</v>
      </c>
      <c r="Y1482">
        <v>-526.79999999999995</v>
      </c>
      <c r="Z1482"/>
      <c r="AB1482"/>
      <c r="AC1482" s="1">
        <v>2109.1999999999998</v>
      </c>
      <c r="AD1482">
        <v>-53</v>
      </c>
      <c r="AE1482" s="1">
        <v>-111787.6</v>
      </c>
      <c r="AF1482">
        <v>0</v>
      </c>
      <c r="AJ1482">
        <v>0</v>
      </c>
      <c r="AK1482">
        <v>0</v>
      </c>
      <c r="AL1482">
        <v>0</v>
      </c>
      <c r="AM1482">
        <v>-526.79999999999995</v>
      </c>
      <c r="AN1482" s="1">
        <v>2109.1999999999998</v>
      </c>
      <c r="AO1482" s="1">
        <v>2109.1999999999998</v>
      </c>
      <c r="AP1482" s="2">
        <v>42746</v>
      </c>
      <c r="AQ1482" t="s">
        <v>72</v>
      </c>
      <c r="AR1482" t="s">
        <v>72</v>
      </c>
      <c r="AS1482">
        <v>142</v>
      </c>
      <c r="AT1482" s="4">
        <v>42397</v>
      </c>
      <c r="AV1482">
        <v>142</v>
      </c>
      <c r="AW1482" s="4">
        <v>42397</v>
      </c>
      <c r="BD1482">
        <v>0</v>
      </c>
      <c r="BN1482" t="s">
        <v>74</v>
      </c>
    </row>
    <row r="1483" spans="1:66" hidden="1">
      <c r="A1483">
        <v>100378</v>
      </c>
      <c r="B1483" s="3" t="s">
        <v>168</v>
      </c>
      <c r="C1483" s="1">
        <v>43500101</v>
      </c>
      <c r="D1483" t="s">
        <v>113</v>
      </c>
      <c r="H1483" t="str">
        <f t="shared" si="135"/>
        <v>FCCSLV74H65A783W</v>
      </c>
      <c r="I1483" t="str">
        <f t="shared" si="136"/>
        <v>01351760622</v>
      </c>
      <c r="K1483" t="str">
        <f>""</f>
        <v/>
      </c>
      <c r="M1483" t="s">
        <v>68</v>
      </c>
      <c r="N1483" t="str">
        <f t="shared" si="137"/>
        <v>ALTPRO</v>
      </c>
      <c r="O1483" t="s">
        <v>132</v>
      </c>
      <c r="P1483" s="3" t="s">
        <v>75</v>
      </c>
      <c r="Q1483">
        <v>2016</v>
      </c>
      <c r="R1483" s="2">
        <v>42391</v>
      </c>
      <c r="S1483" s="2">
        <v>42394</v>
      </c>
      <c r="T1483" s="2">
        <v>42391</v>
      </c>
      <c r="U1483" s="2">
        <v>42451</v>
      </c>
      <c r="V1483" t="s">
        <v>71</v>
      </c>
      <c r="W1483" t="str">
        <f>"         FATTPA 3_16"</f>
        <v xml:space="preserve">         FATTPA 3_16</v>
      </c>
      <c r="X1483" s="1">
        <v>2530.64</v>
      </c>
      <c r="Y1483">
        <v>-505.73</v>
      </c>
      <c r="Z1483"/>
      <c r="AB1483"/>
      <c r="AC1483" s="1">
        <v>2024.91</v>
      </c>
      <c r="AD1483">
        <v>-54</v>
      </c>
      <c r="AE1483" s="1">
        <v>-109345.14</v>
      </c>
      <c r="AF1483">
        <v>0</v>
      </c>
      <c r="AJ1483">
        <v>0</v>
      </c>
      <c r="AK1483">
        <v>0</v>
      </c>
      <c r="AL1483">
        <v>0</v>
      </c>
      <c r="AM1483">
        <v>-505.73</v>
      </c>
      <c r="AN1483" s="1">
        <v>2024.91</v>
      </c>
      <c r="AO1483" s="1">
        <v>2024.91</v>
      </c>
      <c r="AP1483" s="2">
        <v>42746</v>
      </c>
      <c r="AQ1483" t="s">
        <v>72</v>
      </c>
      <c r="AR1483" t="s">
        <v>72</v>
      </c>
      <c r="AS1483">
        <v>142</v>
      </c>
      <c r="AT1483" s="4">
        <v>42397</v>
      </c>
      <c r="AV1483">
        <v>142</v>
      </c>
      <c r="AW1483" s="4">
        <v>42397</v>
      </c>
      <c r="BD1483">
        <v>0</v>
      </c>
      <c r="BN1483" t="s">
        <v>74</v>
      </c>
    </row>
    <row r="1484" spans="1:66" hidden="1">
      <c r="A1484">
        <v>100378</v>
      </c>
      <c r="B1484" s="3" t="s">
        <v>168</v>
      </c>
      <c r="C1484" s="1">
        <v>43500101</v>
      </c>
      <c r="D1484" t="s">
        <v>113</v>
      </c>
      <c r="H1484" t="str">
        <f t="shared" si="135"/>
        <v>FCCSLV74H65A783W</v>
      </c>
      <c r="I1484" t="str">
        <f t="shared" si="136"/>
        <v>01351760622</v>
      </c>
      <c r="K1484" t="str">
        <f>""</f>
        <v/>
      </c>
      <c r="M1484" t="s">
        <v>68</v>
      </c>
      <c r="N1484" t="str">
        <f t="shared" si="137"/>
        <v>ALTPRO</v>
      </c>
      <c r="O1484" t="s">
        <v>132</v>
      </c>
      <c r="P1484" s="3" t="s">
        <v>75</v>
      </c>
      <c r="Q1484">
        <v>2016</v>
      </c>
      <c r="R1484" s="2">
        <v>42468</v>
      </c>
      <c r="S1484" s="2">
        <v>42472</v>
      </c>
      <c r="T1484" s="2">
        <v>42471</v>
      </c>
      <c r="U1484" s="2">
        <v>42531</v>
      </c>
      <c r="V1484" t="s">
        <v>71</v>
      </c>
      <c r="W1484" t="str">
        <f>"         FATTPA 4_16"</f>
        <v xml:space="preserve">         FATTPA 4_16</v>
      </c>
      <c r="X1484" s="1">
        <v>2530.64</v>
      </c>
      <c r="Y1484">
        <v>-505.73</v>
      </c>
      <c r="Z1484"/>
      <c r="AB1484"/>
      <c r="AC1484" s="1">
        <v>2024.91</v>
      </c>
      <c r="AD1484">
        <v>-44</v>
      </c>
      <c r="AE1484" s="1">
        <v>-89096.04</v>
      </c>
      <c r="AF1484">
        <v>0</v>
      </c>
      <c r="AJ1484">
        <v>0</v>
      </c>
      <c r="AK1484">
        <v>0</v>
      </c>
      <c r="AL1484">
        <v>0</v>
      </c>
      <c r="AM1484" s="1">
        <v>2024.91</v>
      </c>
      <c r="AN1484" s="1">
        <v>2024.91</v>
      </c>
      <c r="AO1484" s="1">
        <v>2024.91</v>
      </c>
      <c r="AP1484" s="2">
        <v>42746</v>
      </c>
      <c r="AQ1484" t="s">
        <v>72</v>
      </c>
      <c r="AR1484" t="s">
        <v>72</v>
      </c>
      <c r="AS1484">
        <v>1133</v>
      </c>
      <c r="AT1484" s="4">
        <v>42487</v>
      </c>
      <c r="AV1484">
        <v>1133</v>
      </c>
      <c r="AW1484" s="4">
        <v>42487</v>
      </c>
      <c r="BD1484">
        <v>0</v>
      </c>
      <c r="BN1484" t="s">
        <v>74</v>
      </c>
    </row>
    <row r="1485" spans="1:66" hidden="1">
      <c r="A1485">
        <v>100378</v>
      </c>
      <c r="B1485" s="3" t="s">
        <v>168</v>
      </c>
      <c r="C1485" s="1">
        <v>43500101</v>
      </c>
      <c r="D1485" t="s">
        <v>113</v>
      </c>
      <c r="H1485" t="str">
        <f t="shared" si="135"/>
        <v>FCCSLV74H65A783W</v>
      </c>
      <c r="I1485" t="str">
        <f t="shared" si="136"/>
        <v>01351760622</v>
      </c>
      <c r="K1485" t="str">
        <f>""</f>
        <v/>
      </c>
      <c r="M1485" t="s">
        <v>68</v>
      </c>
      <c r="N1485" t="str">
        <f t="shared" si="137"/>
        <v>ALTPRO</v>
      </c>
      <c r="O1485" t="s">
        <v>132</v>
      </c>
      <c r="P1485" s="3" t="s">
        <v>75</v>
      </c>
      <c r="Q1485">
        <v>2016</v>
      </c>
      <c r="R1485" s="2">
        <v>42472</v>
      </c>
      <c r="S1485" s="2">
        <v>42472</v>
      </c>
      <c r="T1485" s="2">
        <v>42472</v>
      </c>
      <c r="U1485" s="2">
        <v>42532</v>
      </c>
      <c r="V1485" t="s">
        <v>71</v>
      </c>
      <c r="W1485" t="str">
        <f>"         FATTPA 5_16"</f>
        <v xml:space="preserve">         FATTPA 5_16</v>
      </c>
      <c r="X1485" s="1">
        <v>2636</v>
      </c>
      <c r="Y1485">
        <v>-526.79999999999995</v>
      </c>
      <c r="Z1485"/>
      <c r="AB1485"/>
      <c r="AC1485" s="1">
        <v>2109.1999999999998</v>
      </c>
      <c r="AD1485">
        <v>-45</v>
      </c>
      <c r="AE1485" s="1">
        <v>-94914</v>
      </c>
      <c r="AF1485">
        <v>0</v>
      </c>
      <c r="AJ1485">
        <v>0</v>
      </c>
      <c r="AK1485">
        <v>0</v>
      </c>
      <c r="AL1485">
        <v>0</v>
      </c>
      <c r="AM1485" s="1">
        <v>2109.1999999999998</v>
      </c>
      <c r="AN1485" s="1">
        <v>2109.1999999999998</v>
      </c>
      <c r="AO1485" s="1">
        <v>2109.1999999999998</v>
      </c>
      <c r="AP1485" s="2">
        <v>42746</v>
      </c>
      <c r="AQ1485" t="s">
        <v>72</v>
      </c>
      <c r="AR1485" t="s">
        <v>72</v>
      </c>
      <c r="AS1485">
        <v>1133</v>
      </c>
      <c r="AT1485" s="4">
        <v>42487</v>
      </c>
      <c r="AV1485">
        <v>1133</v>
      </c>
      <c r="AW1485" s="4">
        <v>42487</v>
      </c>
      <c r="BD1485">
        <v>0</v>
      </c>
      <c r="BN1485" t="s">
        <v>74</v>
      </c>
    </row>
    <row r="1486" spans="1:66" hidden="1">
      <c r="A1486">
        <v>100378</v>
      </c>
      <c r="B1486" s="3" t="s">
        <v>168</v>
      </c>
      <c r="C1486" s="1">
        <v>43500101</v>
      </c>
      <c r="D1486" t="s">
        <v>113</v>
      </c>
      <c r="H1486" t="str">
        <f t="shared" si="135"/>
        <v>FCCSLV74H65A783W</v>
      </c>
      <c r="I1486" t="str">
        <f t="shared" si="136"/>
        <v>01351760622</v>
      </c>
      <c r="K1486" t="str">
        <f>""</f>
        <v/>
      </c>
      <c r="M1486" t="s">
        <v>68</v>
      </c>
      <c r="N1486" t="str">
        <f t="shared" si="137"/>
        <v>ALTPRO</v>
      </c>
      <c r="O1486" t="s">
        <v>132</v>
      </c>
      <c r="P1486" s="3" t="s">
        <v>75</v>
      </c>
      <c r="Q1486">
        <v>2016</v>
      </c>
      <c r="R1486" s="2">
        <v>42473</v>
      </c>
      <c r="S1486" s="2">
        <v>42475</v>
      </c>
      <c r="T1486" s="2">
        <v>42473</v>
      </c>
      <c r="U1486" s="2">
        <v>42533</v>
      </c>
      <c r="V1486" t="s">
        <v>71</v>
      </c>
      <c r="W1486" t="str">
        <f>"         FATTPA 6_16"</f>
        <v xml:space="preserve">         FATTPA 6_16</v>
      </c>
      <c r="X1486" s="1">
        <v>2741.36</v>
      </c>
      <c r="Y1486">
        <v>-547.87</v>
      </c>
      <c r="Z1486"/>
      <c r="AB1486"/>
      <c r="AC1486" s="1">
        <v>2193.4899999999998</v>
      </c>
      <c r="AD1486">
        <v>-46</v>
      </c>
      <c r="AE1486" s="1">
        <v>-100900.54</v>
      </c>
      <c r="AF1486">
        <v>0</v>
      </c>
      <c r="AJ1486">
        <v>0</v>
      </c>
      <c r="AK1486">
        <v>0</v>
      </c>
      <c r="AL1486">
        <v>0</v>
      </c>
      <c r="AM1486" s="1">
        <v>2193.4899999999998</v>
      </c>
      <c r="AN1486" s="1">
        <v>2193.4899999999998</v>
      </c>
      <c r="AO1486" s="1">
        <v>2193.4899999999998</v>
      </c>
      <c r="AP1486" s="2">
        <v>42746</v>
      </c>
      <c r="AQ1486" t="s">
        <v>72</v>
      </c>
      <c r="AR1486" t="s">
        <v>72</v>
      </c>
      <c r="AS1486">
        <v>1133</v>
      </c>
      <c r="AT1486" s="4">
        <v>42487</v>
      </c>
      <c r="AV1486">
        <v>1133</v>
      </c>
      <c r="AW1486" s="4">
        <v>42487</v>
      </c>
      <c r="BD1486">
        <v>0</v>
      </c>
      <c r="BN1486" t="s">
        <v>74</v>
      </c>
    </row>
    <row r="1487" spans="1:66">
      <c r="A1487">
        <v>100378</v>
      </c>
      <c r="B1487" s="3" t="s">
        <v>168</v>
      </c>
      <c r="C1487" s="1">
        <v>43500101</v>
      </c>
      <c r="D1487" t="s">
        <v>113</v>
      </c>
      <c r="H1487" t="str">
        <f t="shared" si="135"/>
        <v>FCCSLV74H65A783W</v>
      </c>
      <c r="I1487" t="str">
        <f t="shared" si="136"/>
        <v>01351760622</v>
      </c>
      <c r="K1487" t="str">
        <f>""</f>
        <v/>
      </c>
      <c r="M1487" t="s">
        <v>68</v>
      </c>
      <c r="N1487" t="str">
        <f t="shared" si="137"/>
        <v>ALTPRO</v>
      </c>
      <c r="O1487" t="s">
        <v>132</v>
      </c>
      <c r="P1487" s="3" t="s">
        <v>75</v>
      </c>
      <c r="Q1487">
        <v>2016</v>
      </c>
      <c r="R1487" s="2">
        <v>42646</v>
      </c>
      <c r="S1487" s="2">
        <v>42648</v>
      </c>
      <c r="T1487" s="2">
        <v>42648</v>
      </c>
      <c r="U1487" s="2">
        <v>42708</v>
      </c>
      <c r="V1487" t="s">
        <v>71</v>
      </c>
      <c r="W1487" t="str">
        <f>"         FATTPA 7_16"</f>
        <v xml:space="preserve">         FATTPA 7_16</v>
      </c>
      <c r="X1487" s="1">
        <v>2636</v>
      </c>
      <c r="Y1487">
        <v>-526.79999999999995</v>
      </c>
      <c r="Z1487" s="5">
        <v>2109.1999999999998</v>
      </c>
      <c r="AA1487">
        <v>-40</v>
      </c>
      <c r="AB1487" s="5">
        <v>-84368</v>
      </c>
      <c r="AC1487" s="1">
        <v>2109.1999999999998</v>
      </c>
      <c r="AD1487">
        <v>-40</v>
      </c>
      <c r="AE1487" s="1">
        <v>-84368</v>
      </c>
      <c r="AF1487">
        <v>0</v>
      </c>
      <c r="AJ1487">
        <v>-526.79999999999995</v>
      </c>
      <c r="AK1487" s="1">
        <v>2109.1999999999998</v>
      </c>
      <c r="AL1487" s="1">
        <v>2109.1999999999998</v>
      </c>
      <c r="AM1487" s="1">
        <v>2109.1999999999998</v>
      </c>
      <c r="AN1487" s="1">
        <v>2109.1999999999998</v>
      </c>
      <c r="AO1487" s="1">
        <v>2109.1999999999998</v>
      </c>
      <c r="AP1487" s="2">
        <v>42746</v>
      </c>
      <c r="AQ1487" t="s">
        <v>72</v>
      </c>
      <c r="AR1487" t="s">
        <v>72</v>
      </c>
      <c r="AS1487">
        <v>2851</v>
      </c>
      <c r="AT1487" s="4">
        <v>42668</v>
      </c>
      <c r="AV1487">
        <v>2851</v>
      </c>
      <c r="AW1487" s="4">
        <v>42668</v>
      </c>
      <c r="BD1487">
        <v>0</v>
      </c>
      <c r="BN1487" t="s">
        <v>74</v>
      </c>
    </row>
    <row r="1488" spans="1:66">
      <c r="A1488">
        <v>100378</v>
      </c>
      <c r="B1488" s="3" t="s">
        <v>168</v>
      </c>
      <c r="C1488" s="1">
        <v>43500101</v>
      </c>
      <c r="D1488" t="s">
        <v>113</v>
      </c>
      <c r="H1488" t="str">
        <f t="shared" si="135"/>
        <v>FCCSLV74H65A783W</v>
      </c>
      <c r="I1488" t="str">
        <f t="shared" si="136"/>
        <v>01351760622</v>
      </c>
      <c r="K1488" t="str">
        <f>""</f>
        <v/>
      </c>
      <c r="M1488" t="s">
        <v>68</v>
      </c>
      <c r="N1488" t="str">
        <f t="shared" si="137"/>
        <v>ALTPRO</v>
      </c>
      <c r="O1488" t="s">
        <v>132</v>
      </c>
      <c r="P1488" s="3" t="s">
        <v>75</v>
      </c>
      <c r="Q1488">
        <v>2016</v>
      </c>
      <c r="R1488" s="2">
        <v>42709</v>
      </c>
      <c r="S1488" s="2">
        <v>42711</v>
      </c>
      <c r="T1488" s="2">
        <v>42711</v>
      </c>
      <c r="U1488" s="2">
        <v>42771</v>
      </c>
      <c r="V1488" t="s">
        <v>71</v>
      </c>
      <c r="W1488" t="str">
        <f>"        FATTPA 12_16"</f>
        <v xml:space="preserve">        FATTPA 12_16</v>
      </c>
      <c r="X1488" s="1">
        <v>5373.36</v>
      </c>
      <c r="Y1488" s="1">
        <v>-1074.67</v>
      </c>
      <c r="Z1488" s="5">
        <v>4298.6899999999996</v>
      </c>
      <c r="AA1488">
        <v>-60</v>
      </c>
      <c r="AB1488" s="5">
        <v>-257921.4</v>
      </c>
      <c r="AC1488" s="1">
        <v>4298.6899999999996</v>
      </c>
      <c r="AD1488">
        <v>-60</v>
      </c>
      <c r="AE1488" s="1">
        <v>-257921.4</v>
      </c>
      <c r="AF1488">
        <v>0</v>
      </c>
      <c r="AJ1488" s="1">
        <v>-1074.67</v>
      </c>
      <c r="AK1488" s="1">
        <v>4298.6899999999996</v>
      </c>
      <c r="AL1488" s="1">
        <v>4298.6899999999996</v>
      </c>
      <c r="AM1488" s="1">
        <v>4298.6899999999996</v>
      </c>
      <c r="AN1488" s="1">
        <v>4298.6899999999996</v>
      </c>
      <c r="AO1488" s="1">
        <v>4298.6899999999996</v>
      </c>
      <c r="AP1488" s="2">
        <v>42746</v>
      </c>
      <c r="AQ1488" t="s">
        <v>72</v>
      </c>
      <c r="AR1488" t="s">
        <v>72</v>
      </c>
      <c r="AS1488">
        <v>3354</v>
      </c>
      <c r="AT1488" s="4">
        <v>42711</v>
      </c>
      <c r="AV1488">
        <v>3354</v>
      </c>
      <c r="AW1488" s="4">
        <v>42711</v>
      </c>
      <c r="BD1488">
        <v>0</v>
      </c>
      <c r="BN1488" t="s">
        <v>74</v>
      </c>
    </row>
    <row r="1489" spans="1:66">
      <c r="A1489">
        <v>100378</v>
      </c>
      <c r="B1489" s="3" t="s">
        <v>168</v>
      </c>
      <c r="C1489" s="1">
        <v>43500101</v>
      </c>
      <c r="D1489" t="s">
        <v>113</v>
      </c>
      <c r="H1489" t="str">
        <f t="shared" si="135"/>
        <v>FCCSLV74H65A783W</v>
      </c>
      <c r="I1489" t="str">
        <f t="shared" si="136"/>
        <v>01351760622</v>
      </c>
      <c r="K1489" t="str">
        <f>""</f>
        <v/>
      </c>
      <c r="M1489" t="s">
        <v>68</v>
      </c>
      <c r="N1489" t="str">
        <f t="shared" si="137"/>
        <v>ALTPRO</v>
      </c>
      <c r="O1489" t="s">
        <v>132</v>
      </c>
      <c r="P1489" s="3" t="s">
        <v>75</v>
      </c>
      <c r="Q1489">
        <v>2016</v>
      </c>
      <c r="R1489" s="2">
        <v>42709</v>
      </c>
      <c r="S1489" s="2">
        <v>42711</v>
      </c>
      <c r="T1489" s="2">
        <v>42711</v>
      </c>
      <c r="U1489" s="2">
        <v>42771</v>
      </c>
      <c r="V1489" t="s">
        <v>71</v>
      </c>
      <c r="W1489" t="str">
        <f>"        FATTPA 13_16"</f>
        <v xml:space="preserve">        FATTPA 13_16</v>
      </c>
      <c r="X1489" s="1">
        <v>2739.36</v>
      </c>
      <c r="Y1489">
        <v>-547.87</v>
      </c>
      <c r="Z1489" s="5">
        <v>2191.4899999999998</v>
      </c>
      <c r="AA1489">
        <v>-60</v>
      </c>
      <c r="AB1489" s="5">
        <v>-131489.4</v>
      </c>
      <c r="AC1489" s="1">
        <v>2191.4899999999998</v>
      </c>
      <c r="AD1489">
        <v>-60</v>
      </c>
      <c r="AE1489" s="1">
        <v>-131489.4</v>
      </c>
      <c r="AF1489">
        <v>0</v>
      </c>
      <c r="AJ1489">
        <v>-547.87</v>
      </c>
      <c r="AK1489" s="1">
        <v>2191.4899999999998</v>
      </c>
      <c r="AL1489" s="1">
        <v>2191.4899999999998</v>
      </c>
      <c r="AM1489" s="1">
        <v>2191.4899999999998</v>
      </c>
      <c r="AN1489" s="1">
        <v>2191.4899999999998</v>
      </c>
      <c r="AO1489" s="1">
        <v>2191.4899999999998</v>
      </c>
      <c r="AP1489" s="2">
        <v>42746</v>
      </c>
      <c r="AQ1489" t="s">
        <v>72</v>
      </c>
      <c r="AR1489" t="s">
        <v>72</v>
      </c>
      <c r="AS1489">
        <v>3354</v>
      </c>
      <c r="AT1489" s="4">
        <v>42711</v>
      </c>
      <c r="AV1489">
        <v>3354</v>
      </c>
      <c r="AW1489" s="4">
        <v>42711</v>
      </c>
      <c r="BD1489">
        <v>0</v>
      </c>
      <c r="BN1489" t="s">
        <v>74</v>
      </c>
    </row>
    <row r="1490" spans="1:66">
      <c r="A1490">
        <v>100378</v>
      </c>
      <c r="B1490" s="3" t="s">
        <v>168</v>
      </c>
      <c r="C1490" s="1">
        <v>43500101</v>
      </c>
      <c r="D1490" t="s">
        <v>113</v>
      </c>
      <c r="H1490" t="str">
        <f t="shared" si="135"/>
        <v>FCCSLV74H65A783W</v>
      </c>
      <c r="I1490" t="str">
        <f t="shared" si="136"/>
        <v>01351760622</v>
      </c>
      <c r="K1490" t="str">
        <f>""</f>
        <v/>
      </c>
      <c r="M1490" t="s">
        <v>68</v>
      </c>
      <c r="N1490" t="str">
        <f t="shared" si="137"/>
        <v>ALTPRO</v>
      </c>
      <c r="O1490" t="s">
        <v>132</v>
      </c>
      <c r="P1490" s="3" t="s">
        <v>75</v>
      </c>
      <c r="Q1490">
        <v>2016</v>
      </c>
      <c r="R1490" s="2">
        <v>42709</v>
      </c>
      <c r="S1490" s="2">
        <v>42711</v>
      </c>
      <c r="T1490" s="2">
        <v>42711</v>
      </c>
      <c r="U1490" s="2">
        <v>42771</v>
      </c>
      <c r="V1490" t="s">
        <v>71</v>
      </c>
      <c r="W1490" t="str">
        <f>"        FATTPA 14_16"</f>
        <v xml:space="preserve">        FATTPA 14_16</v>
      </c>
      <c r="X1490" s="1">
        <v>2634</v>
      </c>
      <c r="Y1490">
        <v>-526.79999999999995</v>
      </c>
      <c r="Z1490" s="5">
        <v>2107.1999999999998</v>
      </c>
      <c r="AA1490">
        <v>-60</v>
      </c>
      <c r="AB1490" s="5">
        <v>-126432</v>
      </c>
      <c r="AC1490" s="1">
        <v>2107.1999999999998</v>
      </c>
      <c r="AD1490">
        <v>-60</v>
      </c>
      <c r="AE1490" s="1">
        <v>-126432</v>
      </c>
      <c r="AF1490">
        <v>0</v>
      </c>
      <c r="AJ1490">
        <v>-526.79999999999995</v>
      </c>
      <c r="AK1490" s="1">
        <v>2107.1999999999998</v>
      </c>
      <c r="AL1490" s="1">
        <v>2107.1999999999998</v>
      </c>
      <c r="AM1490" s="1">
        <v>2107.1999999999998</v>
      </c>
      <c r="AN1490" s="1">
        <v>2107.1999999999998</v>
      </c>
      <c r="AO1490" s="1">
        <v>2107.1999999999998</v>
      </c>
      <c r="AP1490" s="2">
        <v>42746</v>
      </c>
      <c r="AQ1490" t="s">
        <v>72</v>
      </c>
      <c r="AR1490" t="s">
        <v>72</v>
      </c>
      <c r="AS1490">
        <v>3354</v>
      </c>
      <c r="AT1490" s="4">
        <v>42711</v>
      </c>
      <c r="AV1490">
        <v>3354</v>
      </c>
      <c r="AW1490" s="4">
        <v>42711</v>
      </c>
      <c r="BD1490">
        <v>0</v>
      </c>
      <c r="BN1490" t="s">
        <v>74</v>
      </c>
    </row>
    <row r="1491" spans="1:66">
      <c r="A1491">
        <v>100378</v>
      </c>
      <c r="B1491" s="3" t="s">
        <v>168</v>
      </c>
      <c r="C1491" s="1">
        <v>43500101</v>
      </c>
      <c r="D1491" t="s">
        <v>113</v>
      </c>
      <c r="H1491" t="str">
        <f t="shared" si="135"/>
        <v>FCCSLV74H65A783W</v>
      </c>
      <c r="I1491" t="str">
        <f t="shared" si="136"/>
        <v>01351760622</v>
      </c>
      <c r="K1491" t="str">
        <f>""</f>
        <v/>
      </c>
      <c r="M1491" t="s">
        <v>68</v>
      </c>
      <c r="N1491" t="str">
        <f t="shared" si="137"/>
        <v>ALTPRO</v>
      </c>
      <c r="O1491" t="s">
        <v>132</v>
      </c>
      <c r="P1491" s="3" t="s">
        <v>75</v>
      </c>
      <c r="Q1491">
        <v>2016</v>
      </c>
      <c r="R1491" s="2">
        <v>42709</v>
      </c>
      <c r="S1491" s="2">
        <v>42711</v>
      </c>
      <c r="T1491" s="2">
        <v>42711</v>
      </c>
      <c r="U1491" s="2">
        <v>42771</v>
      </c>
      <c r="V1491" t="s">
        <v>71</v>
      </c>
      <c r="W1491" t="str">
        <f>"        FATTPA 15_16"</f>
        <v xml:space="preserve">        FATTPA 15_16</v>
      </c>
      <c r="X1491" s="1">
        <v>8112.72</v>
      </c>
      <c r="Y1491" s="1">
        <v>-1622.54</v>
      </c>
      <c r="Z1491" s="5">
        <v>6490.18</v>
      </c>
      <c r="AA1491">
        <v>-60</v>
      </c>
      <c r="AB1491" s="5">
        <v>-389410.8</v>
      </c>
      <c r="AC1491" s="1">
        <v>6490.18</v>
      </c>
      <c r="AD1491">
        <v>-60</v>
      </c>
      <c r="AE1491" s="1">
        <v>-389410.8</v>
      </c>
      <c r="AF1491">
        <v>0</v>
      </c>
      <c r="AJ1491" s="1">
        <v>-1622.54</v>
      </c>
      <c r="AK1491" s="1">
        <v>6490.18</v>
      </c>
      <c r="AL1491" s="1">
        <v>6490.18</v>
      </c>
      <c r="AM1491" s="1">
        <v>6490.18</v>
      </c>
      <c r="AN1491" s="1">
        <v>6490.18</v>
      </c>
      <c r="AO1491" s="1">
        <v>6490.18</v>
      </c>
      <c r="AP1491" s="2">
        <v>42746</v>
      </c>
      <c r="AQ1491" t="s">
        <v>72</v>
      </c>
      <c r="AR1491" t="s">
        <v>72</v>
      </c>
      <c r="AS1491">
        <v>3354</v>
      </c>
      <c r="AT1491" s="4">
        <v>42711</v>
      </c>
      <c r="AV1491">
        <v>3354</v>
      </c>
      <c r="AW1491" s="4">
        <v>42711</v>
      </c>
      <c r="BD1491">
        <v>0</v>
      </c>
      <c r="BN1491" t="s">
        <v>74</v>
      </c>
    </row>
    <row r="1492" spans="1:66" hidden="1">
      <c r="A1492">
        <v>100384</v>
      </c>
      <c r="B1492" s="3" t="s">
        <v>169</v>
      </c>
      <c r="C1492" s="1">
        <v>43300101</v>
      </c>
      <c r="D1492" t="s">
        <v>67</v>
      </c>
      <c r="H1492" t="str">
        <f>"04874990155"</f>
        <v>04874990155</v>
      </c>
      <c r="I1492" t="str">
        <f>"04874990155"</f>
        <v>04874990155</v>
      </c>
      <c r="K1492" t="str">
        <f>""</f>
        <v/>
      </c>
      <c r="M1492" t="s">
        <v>68</v>
      </c>
      <c r="N1492" t="str">
        <f t="shared" ref="N1492:N1513" si="138">"FOR"</f>
        <v>FOR</v>
      </c>
      <c r="O1492" t="s">
        <v>69</v>
      </c>
      <c r="P1492" s="3" t="s">
        <v>70</v>
      </c>
      <c r="Q1492">
        <v>2015</v>
      </c>
      <c r="R1492" s="2">
        <v>42076</v>
      </c>
      <c r="S1492" s="2">
        <v>42102</v>
      </c>
      <c r="T1492" s="2">
        <v>42102</v>
      </c>
      <c r="U1492" s="2">
        <v>42162</v>
      </c>
      <c r="V1492" t="s">
        <v>71</v>
      </c>
      <c r="W1492" t="str">
        <f>"                3405"</f>
        <v xml:space="preserve">                3405</v>
      </c>
      <c r="X1492">
        <v>122.49</v>
      </c>
      <c r="Y1492">
        <v>0</v>
      </c>
      <c r="Z1492"/>
      <c r="AB1492"/>
      <c r="AC1492">
        <v>111.35</v>
      </c>
      <c r="AD1492">
        <v>253</v>
      </c>
      <c r="AE1492" s="1">
        <v>28171.55</v>
      </c>
      <c r="AF1492">
        <v>0</v>
      </c>
      <c r="AJ1492">
        <v>0</v>
      </c>
      <c r="AK1492">
        <v>0</v>
      </c>
      <c r="AL1492">
        <v>0</v>
      </c>
      <c r="AM1492">
        <v>0</v>
      </c>
      <c r="AN1492">
        <v>0</v>
      </c>
      <c r="AO1492">
        <v>0</v>
      </c>
      <c r="AP1492" s="2">
        <v>42746</v>
      </c>
      <c r="AQ1492" t="s">
        <v>72</v>
      </c>
      <c r="AR1492" t="s">
        <v>72</v>
      </c>
      <c r="AS1492">
        <v>389</v>
      </c>
      <c r="AT1492" s="4">
        <v>42415</v>
      </c>
      <c r="AU1492" t="s">
        <v>73</v>
      </c>
      <c r="AV1492">
        <v>389</v>
      </c>
      <c r="AW1492" s="4">
        <v>42415</v>
      </c>
      <c r="BD1492">
        <v>0</v>
      </c>
      <c r="BN1492" t="s">
        <v>74</v>
      </c>
    </row>
    <row r="1493" spans="1:66" hidden="1">
      <c r="A1493">
        <v>100384</v>
      </c>
      <c r="B1493" s="3" t="s">
        <v>169</v>
      </c>
      <c r="C1493" s="1">
        <v>43300101</v>
      </c>
      <c r="D1493" t="s">
        <v>67</v>
      </c>
      <c r="H1493" t="str">
        <f>"04874990155"</f>
        <v>04874990155</v>
      </c>
      <c r="I1493" t="str">
        <f>"04874990155"</f>
        <v>04874990155</v>
      </c>
      <c r="K1493" t="str">
        <f>""</f>
        <v/>
      </c>
      <c r="M1493" t="s">
        <v>68</v>
      </c>
      <c r="N1493" t="str">
        <f t="shared" si="138"/>
        <v>FOR</v>
      </c>
      <c r="O1493" t="s">
        <v>69</v>
      </c>
      <c r="P1493" s="3" t="s">
        <v>75</v>
      </c>
      <c r="Q1493">
        <v>2016</v>
      </c>
      <c r="R1493" s="2">
        <v>42503</v>
      </c>
      <c r="S1493" s="2">
        <v>42515</v>
      </c>
      <c r="T1493" s="2">
        <v>42509</v>
      </c>
      <c r="U1493" s="2">
        <v>42569</v>
      </c>
      <c r="V1493" t="s">
        <v>71</v>
      </c>
      <c r="W1493" t="str">
        <f>"    2016-V1 -0005248"</f>
        <v xml:space="preserve">    2016-V1 -0005248</v>
      </c>
      <c r="X1493">
        <v>73.489999999999995</v>
      </c>
      <c r="Y1493">
        <v>0</v>
      </c>
      <c r="Z1493"/>
      <c r="AB1493"/>
      <c r="AC1493">
        <v>66.81</v>
      </c>
      <c r="AD1493">
        <v>8</v>
      </c>
      <c r="AE1493">
        <v>534.48</v>
      </c>
      <c r="AF1493">
        <v>0</v>
      </c>
      <c r="AJ1493">
        <v>0</v>
      </c>
      <c r="AK1493">
        <v>0</v>
      </c>
      <c r="AL1493">
        <v>0</v>
      </c>
      <c r="AM1493">
        <v>73.489999999999995</v>
      </c>
      <c r="AN1493">
        <v>73.489999999999995</v>
      </c>
      <c r="AO1493">
        <v>73.489999999999995</v>
      </c>
      <c r="AP1493" s="2">
        <v>42746</v>
      </c>
      <c r="AQ1493" t="s">
        <v>72</v>
      </c>
      <c r="AR1493" t="s">
        <v>72</v>
      </c>
      <c r="AS1493">
        <v>1955</v>
      </c>
      <c r="AT1493" s="4">
        <v>42577</v>
      </c>
      <c r="AU1493" t="s">
        <v>73</v>
      </c>
      <c r="AV1493">
        <v>1955</v>
      </c>
      <c r="AW1493" s="4">
        <v>42577</v>
      </c>
      <c r="BD1493">
        <v>0</v>
      </c>
      <c r="BN1493" t="s">
        <v>74</v>
      </c>
    </row>
    <row r="1494" spans="1:66" hidden="1">
      <c r="A1494">
        <v>100385</v>
      </c>
      <c r="B1494" s="3" t="s">
        <v>170</v>
      </c>
      <c r="C1494" s="1">
        <v>43300101</v>
      </c>
      <c r="D1494" t="s">
        <v>67</v>
      </c>
      <c r="H1494" t="str">
        <f t="shared" ref="H1494:I1497" si="139">"06037901003"</f>
        <v>06037901003</v>
      </c>
      <c r="I1494" t="str">
        <f t="shared" si="139"/>
        <v>06037901003</v>
      </c>
      <c r="K1494" t="str">
        <f>""</f>
        <v/>
      </c>
      <c r="M1494" t="s">
        <v>68</v>
      </c>
      <c r="N1494" t="str">
        <f t="shared" si="138"/>
        <v>FOR</v>
      </c>
      <c r="O1494" t="s">
        <v>69</v>
      </c>
      <c r="P1494" s="3" t="s">
        <v>70</v>
      </c>
      <c r="Q1494">
        <v>2015</v>
      </c>
      <c r="R1494" s="2">
        <v>42053</v>
      </c>
      <c r="S1494" s="2">
        <v>42067</v>
      </c>
      <c r="T1494" s="2">
        <v>42067</v>
      </c>
      <c r="U1494" s="2">
        <v>42127</v>
      </c>
      <c r="V1494" t="s">
        <v>71</v>
      </c>
      <c r="W1494" t="str">
        <f>"                1438"</f>
        <v xml:space="preserve">                1438</v>
      </c>
      <c r="X1494" s="1">
        <v>1747.24</v>
      </c>
      <c r="Y1494">
        <v>0</v>
      </c>
      <c r="Z1494"/>
      <c r="AB1494"/>
      <c r="AC1494" s="1">
        <v>1588.4</v>
      </c>
      <c r="AD1494">
        <v>277</v>
      </c>
      <c r="AE1494" s="1">
        <v>439986.8</v>
      </c>
      <c r="AF1494">
        <v>0</v>
      </c>
      <c r="AJ1494">
        <v>0</v>
      </c>
      <c r="AK1494">
        <v>0</v>
      </c>
      <c r="AL1494">
        <v>0</v>
      </c>
      <c r="AM1494">
        <v>0</v>
      </c>
      <c r="AN1494">
        <v>0</v>
      </c>
      <c r="AO1494">
        <v>0</v>
      </c>
      <c r="AP1494" s="2">
        <v>42746</v>
      </c>
      <c r="AQ1494" t="s">
        <v>72</v>
      </c>
      <c r="AR1494" t="s">
        <v>72</v>
      </c>
      <c r="AS1494">
        <v>253</v>
      </c>
      <c r="AT1494" s="4">
        <v>42404</v>
      </c>
      <c r="AU1494" t="s">
        <v>73</v>
      </c>
      <c r="AV1494">
        <v>253</v>
      </c>
      <c r="AW1494" s="4">
        <v>42404</v>
      </c>
      <c r="BD1494">
        <v>0</v>
      </c>
      <c r="BN1494" t="s">
        <v>74</v>
      </c>
    </row>
    <row r="1495" spans="1:66" hidden="1">
      <c r="A1495">
        <v>100385</v>
      </c>
      <c r="B1495" s="3" t="s">
        <v>170</v>
      </c>
      <c r="C1495" s="1">
        <v>43300101</v>
      </c>
      <c r="D1495" t="s">
        <v>67</v>
      </c>
      <c r="H1495" t="str">
        <f t="shared" si="139"/>
        <v>06037901003</v>
      </c>
      <c r="I1495" t="str">
        <f t="shared" si="139"/>
        <v>06037901003</v>
      </c>
      <c r="K1495" t="str">
        <f>""</f>
        <v/>
      </c>
      <c r="M1495" t="s">
        <v>68</v>
      </c>
      <c r="N1495" t="str">
        <f t="shared" si="138"/>
        <v>FOR</v>
      </c>
      <c r="O1495" t="s">
        <v>69</v>
      </c>
      <c r="P1495" s="3" t="s">
        <v>75</v>
      </c>
      <c r="Q1495">
        <v>2015</v>
      </c>
      <c r="R1495" s="2">
        <v>42139</v>
      </c>
      <c r="S1495" s="2">
        <v>42160</v>
      </c>
      <c r="T1495" s="2">
        <v>42152</v>
      </c>
      <c r="U1495" s="2">
        <v>42212</v>
      </c>
      <c r="V1495" t="s">
        <v>71</v>
      </c>
      <c r="W1495" t="str">
        <f>"                3912"</f>
        <v xml:space="preserve">                3912</v>
      </c>
      <c r="X1495" s="1">
        <v>1747.24</v>
      </c>
      <c r="Y1495">
        <v>0</v>
      </c>
      <c r="Z1495"/>
      <c r="AB1495"/>
      <c r="AC1495" s="1">
        <v>1588.4</v>
      </c>
      <c r="AD1495">
        <v>240</v>
      </c>
      <c r="AE1495" s="1">
        <v>381216</v>
      </c>
      <c r="AF1495">
        <v>0</v>
      </c>
      <c r="AJ1495">
        <v>0</v>
      </c>
      <c r="AK1495">
        <v>0</v>
      </c>
      <c r="AL1495">
        <v>0</v>
      </c>
      <c r="AM1495">
        <v>0</v>
      </c>
      <c r="AN1495">
        <v>0</v>
      </c>
      <c r="AO1495">
        <v>0</v>
      </c>
      <c r="AP1495" s="2">
        <v>42746</v>
      </c>
      <c r="AQ1495" t="s">
        <v>72</v>
      </c>
      <c r="AR1495" t="s">
        <v>72</v>
      </c>
      <c r="AS1495">
        <v>838</v>
      </c>
      <c r="AT1495" s="4">
        <v>42452</v>
      </c>
      <c r="AU1495" t="s">
        <v>73</v>
      </c>
      <c r="AV1495">
        <v>838</v>
      </c>
      <c r="AW1495" s="4">
        <v>42452</v>
      </c>
      <c r="BD1495">
        <v>0</v>
      </c>
      <c r="BN1495" t="s">
        <v>74</v>
      </c>
    </row>
    <row r="1496" spans="1:66" hidden="1">
      <c r="A1496">
        <v>100385</v>
      </c>
      <c r="B1496" s="3" t="s">
        <v>170</v>
      </c>
      <c r="C1496" s="1">
        <v>43300101</v>
      </c>
      <c r="D1496" t="s">
        <v>67</v>
      </c>
      <c r="H1496" t="str">
        <f t="shared" si="139"/>
        <v>06037901003</v>
      </c>
      <c r="I1496" t="str">
        <f t="shared" si="139"/>
        <v>06037901003</v>
      </c>
      <c r="K1496" t="str">
        <f>""</f>
        <v/>
      </c>
      <c r="M1496" t="s">
        <v>68</v>
      </c>
      <c r="N1496" t="str">
        <f t="shared" si="138"/>
        <v>FOR</v>
      </c>
      <c r="O1496" t="s">
        <v>69</v>
      </c>
      <c r="P1496" s="3" t="s">
        <v>75</v>
      </c>
      <c r="Q1496">
        <v>2015</v>
      </c>
      <c r="R1496" s="2">
        <v>42212</v>
      </c>
      <c r="S1496" s="2">
        <v>42215</v>
      </c>
      <c r="T1496" s="2">
        <v>42213</v>
      </c>
      <c r="U1496" s="2">
        <v>42273</v>
      </c>
      <c r="V1496" t="s">
        <v>71</v>
      </c>
      <c r="W1496" t="str">
        <f>"                6039"</f>
        <v xml:space="preserve">                6039</v>
      </c>
      <c r="X1496" s="1">
        <v>1747.24</v>
      </c>
      <c r="Y1496">
        <v>0</v>
      </c>
      <c r="Z1496"/>
      <c r="AB1496"/>
      <c r="AC1496" s="1">
        <v>1588.4</v>
      </c>
      <c r="AD1496">
        <v>293</v>
      </c>
      <c r="AE1496" s="1">
        <v>465401.2</v>
      </c>
      <c r="AF1496">
        <v>0</v>
      </c>
      <c r="AJ1496">
        <v>0</v>
      </c>
      <c r="AK1496">
        <v>0</v>
      </c>
      <c r="AL1496">
        <v>0</v>
      </c>
      <c r="AM1496">
        <v>0</v>
      </c>
      <c r="AN1496">
        <v>0</v>
      </c>
      <c r="AO1496">
        <v>0</v>
      </c>
      <c r="AP1496" s="2">
        <v>42746</v>
      </c>
      <c r="AQ1496" t="s">
        <v>72</v>
      </c>
      <c r="AR1496" t="s">
        <v>72</v>
      </c>
      <c r="AS1496">
        <v>1835</v>
      </c>
      <c r="AT1496" s="4">
        <v>42566</v>
      </c>
      <c r="AU1496" t="s">
        <v>73</v>
      </c>
      <c r="AV1496">
        <v>1835</v>
      </c>
      <c r="AW1496" s="4">
        <v>42566</v>
      </c>
      <c r="BD1496">
        <v>0</v>
      </c>
      <c r="BN1496" t="s">
        <v>74</v>
      </c>
    </row>
    <row r="1497" spans="1:66">
      <c r="A1497">
        <v>100385</v>
      </c>
      <c r="B1497" s="3" t="s">
        <v>170</v>
      </c>
      <c r="C1497" s="1">
        <v>43300101</v>
      </c>
      <c r="D1497" t="s">
        <v>67</v>
      </c>
      <c r="H1497" t="str">
        <f t="shared" si="139"/>
        <v>06037901003</v>
      </c>
      <c r="I1497" t="str">
        <f t="shared" si="139"/>
        <v>06037901003</v>
      </c>
      <c r="K1497" t="str">
        <f>""</f>
        <v/>
      </c>
      <c r="M1497" t="s">
        <v>68</v>
      </c>
      <c r="N1497" t="str">
        <f t="shared" si="138"/>
        <v>FOR</v>
      </c>
      <c r="O1497" t="s">
        <v>69</v>
      </c>
      <c r="P1497" s="3" t="s">
        <v>75</v>
      </c>
      <c r="Q1497">
        <v>2016</v>
      </c>
      <c r="R1497" s="2">
        <v>42408</v>
      </c>
      <c r="S1497" s="2">
        <v>42410</v>
      </c>
      <c r="T1497" s="2">
        <v>42409</v>
      </c>
      <c r="U1497" s="2">
        <v>42469</v>
      </c>
      <c r="V1497" t="s">
        <v>71</v>
      </c>
      <c r="W1497" t="str">
        <f>"                1074"</f>
        <v xml:space="preserve">                1074</v>
      </c>
      <c r="X1497" s="1">
        <v>4110.04</v>
      </c>
      <c r="Y1497">
        <v>0</v>
      </c>
      <c r="Z1497" s="5">
        <v>3736.4</v>
      </c>
      <c r="AA1497">
        <v>254</v>
      </c>
      <c r="AB1497" s="5">
        <v>949045.6</v>
      </c>
      <c r="AC1497" s="1">
        <v>3736.4</v>
      </c>
      <c r="AD1497">
        <v>254</v>
      </c>
      <c r="AE1497" s="1">
        <v>949045.6</v>
      </c>
      <c r="AF1497">
        <v>373.64</v>
      </c>
      <c r="AJ1497">
        <v>0</v>
      </c>
      <c r="AK1497">
        <v>0</v>
      </c>
      <c r="AL1497">
        <v>0</v>
      </c>
      <c r="AM1497" s="1">
        <v>4110.04</v>
      </c>
      <c r="AN1497" s="1">
        <v>4110.04</v>
      </c>
      <c r="AO1497" s="1">
        <v>4110.04</v>
      </c>
      <c r="AP1497" s="2">
        <v>42746</v>
      </c>
      <c r="AQ1497" t="s">
        <v>72</v>
      </c>
      <c r="AR1497" t="s">
        <v>72</v>
      </c>
      <c r="AS1497">
        <v>3601</v>
      </c>
      <c r="AT1497" s="4">
        <v>42723</v>
      </c>
      <c r="AU1497" t="s">
        <v>73</v>
      </c>
      <c r="AV1497">
        <v>3601</v>
      </c>
      <c r="AW1497" s="4">
        <v>42723</v>
      </c>
      <c r="BD1497">
        <v>373.64</v>
      </c>
      <c r="BN1497" t="s">
        <v>74</v>
      </c>
    </row>
    <row r="1498" spans="1:66" hidden="1">
      <c r="A1498">
        <v>100386</v>
      </c>
      <c r="B1498" s="3" t="s">
        <v>171</v>
      </c>
      <c r="C1498" s="1">
        <v>43300101</v>
      </c>
      <c r="D1498" t="s">
        <v>67</v>
      </c>
      <c r="H1498" t="str">
        <f t="shared" ref="H1498:I1513" si="140">"00737420158"</f>
        <v>00737420158</v>
      </c>
      <c r="I1498" t="str">
        <f t="shared" si="140"/>
        <v>00737420158</v>
      </c>
      <c r="K1498" t="str">
        <f>""</f>
        <v/>
      </c>
      <c r="M1498" t="s">
        <v>68</v>
      </c>
      <c r="N1498" t="str">
        <f t="shared" si="138"/>
        <v>FOR</v>
      </c>
      <c r="O1498" t="s">
        <v>69</v>
      </c>
      <c r="P1498" s="3" t="s">
        <v>70</v>
      </c>
      <c r="Q1498">
        <v>2015</v>
      </c>
      <c r="R1498" s="2">
        <v>42060</v>
      </c>
      <c r="S1498" s="2">
        <v>42097</v>
      </c>
      <c r="T1498" s="2">
        <v>42097</v>
      </c>
      <c r="U1498" s="2">
        <v>42157</v>
      </c>
      <c r="V1498" t="s">
        <v>71</v>
      </c>
      <c r="W1498" t="str">
        <f>"             1503899"</f>
        <v xml:space="preserve">             1503899</v>
      </c>
      <c r="X1498">
        <v>297</v>
      </c>
      <c r="Y1498">
        <v>0</v>
      </c>
      <c r="Z1498"/>
      <c r="AB1498"/>
      <c r="AC1498">
        <v>270</v>
      </c>
      <c r="AD1498">
        <v>251</v>
      </c>
      <c r="AE1498" s="1">
        <v>67770</v>
      </c>
      <c r="AF1498">
        <v>0</v>
      </c>
      <c r="AJ1498">
        <v>0</v>
      </c>
      <c r="AK1498">
        <v>0</v>
      </c>
      <c r="AL1498">
        <v>0</v>
      </c>
      <c r="AM1498">
        <v>0</v>
      </c>
      <c r="AN1498">
        <v>0</v>
      </c>
      <c r="AO1498">
        <v>0</v>
      </c>
      <c r="AP1498" s="2">
        <v>42746</v>
      </c>
      <c r="AQ1498" t="s">
        <v>72</v>
      </c>
      <c r="AR1498" t="s">
        <v>72</v>
      </c>
      <c r="AS1498">
        <v>336</v>
      </c>
      <c r="AT1498" s="4">
        <v>42408</v>
      </c>
      <c r="AU1498" t="s">
        <v>73</v>
      </c>
      <c r="AV1498">
        <v>336</v>
      </c>
      <c r="AW1498" s="4">
        <v>42408</v>
      </c>
      <c r="BD1498">
        <v>0</v>
      </c>
      <c r="BN1498" t="s">
        <v>74</v>
      </c>
    </row>
    <row r="1499" spans="1:66" hidden="1">
      <c r="A1499">
        <v>100386</v>
      </c>
      <c r="B1499" s="3" t="s">
        <v>171</v>
      </c>
      <c r="C1499" s="1">
        <v>43300101</v>
      </c>
      <c r="D1499" t="s">
        <v>67</v>
      </c>
      <c r="H1499" t="str">
        <f t="shared" si="140"/>
        <v>00737420158</v>
      </c>
      <c r="I1499" t="str">
        <f t="shared" si="140"/>
        <v>00737420158</v>
      </c>
      <c r="K1499" t="str">
        <f>""</f>
        <v/>
      </c>
      <c r="M1499" t="s">
        <v>68</v>
      </c>
      <c r="N1499" t="str">
        <f t="shared" si="138"/>
        <v>FOR</v>
      </c>
      <c r="O1499" t="s">
        <v>69</v>
      </c>
      <c r="P1499" s="3" t="s">
        <v>75</v>
      </c>
      <c r="Q1499">
        <v>2015</v>
      </c>
      <c r="R1499" s="2">
        <v>42118</v>
      </c>
      <c r="S1499" s="2">
        <v>42128</v>
      </c>
      <c r="T1499" s="2">
        <v>42125</v>
      </c>
      <c r="U1499" s="2">
        <v>42185</v>
      </c>
      <c r="V1499" t="s">
        <v>71</v>
      </c>
      <c r="W1499" t="str">
        <f>"             1511641"</f>
        <v xml:space="preserve">             1511641</v>
      </c>
      <c r="X1499">
        <v>198</v>
      </c>
      <c r="Y1499">
        <v>0</v>
      </c>
      <c r="Z1499"/>
      <c r="AB1499"/>
      <c r="AC1499">
        <v>180</v>
      </c>
      <c r="AD1499">
        <v>246</v>
      </c>
      <c r="AE1499" s="1">
        <v>44280</v>
      </c>
      <c r="AF1499">
        <v>0</v>
      </c>
      <c r="AJ1499">
        <v>0</v>
      </c>
      <c r="AK1499">
        <v>0</v>
      </c>
      <c r="AL1499">
        <v>0</v>
      </c>
      <c r="AM1499">
        <v>0</v>
      </c>
      <c r="AN1499">
        <v>0</v>
      </c>
      <c r="AO1499">
        <v>0</v>
      </c>
      <c r="AP1499" s="2">
        <v>42746</v>
      </c>
      <c r="AQ1499" t="s">
        <v>72</v>
      </c>
      <c r="AR1499" t="s">
        <v>72</v>
      </c>
      <c r="AS1499">
        <v>640</v>
      </c>
      <c r="AT1499" s="4">
        <v>42431</v>
      </c>
      <c r="AU1499" t="s">
        <v>73</v>
      </c>
      <c r="AV1499">
        <v>640</v>
      </c>
      <c r="AW1499" s="4">
        <v>42431</v>
      </c>
      <c r="BD1499">
        <v>0</v>
      </c>
      <c r="BN1499" t="s">
        <v>74</v>
      </c>
    </row>
    <row r="1500" spans="1:66" hidden="1">
      <c r="A1500">
        <v>100386</v>
      </c>
      <c r="B1500" s="3" t="s">
        <v>171</v>
      </c>
      <c r="C1500" s="1">
        <v>43300101</v>
      </c>
      <c r="D1500" t="s">
        <v>67</v>
      </c>
      <c r="H1500" t="str">
        <f t="shared" si="140"/>
        <v>00737420158</v>
      </c>
      <c r="I1500" t="str">
        <f t="shared" si="140"/>
        <v>00737420158</v>
      </c>
      <c r="K1500" t="str">
        <f>""</f>
        <v/>
      </c>
      <c r="M1500" t="s">
        <v>68</v>
      </c>
      <c r="N1500" t="str">
        <f t="shared" si="138"/>
        <v>FOR</v>
      </c>
      <c r="O1500" t="s">
        <v>69</v>
      </c>
      <c r="P1500" s="3" t="s">
        <v>75</v>
      </c>
      <c r="Q1500">
        <v>2015</v>
      </c>
      <c r="R1500" s="2">
        <v>42124</v>
      </c>
      <c r="S1500" s="2">
        <v>42131</v>
      </c>
      <c r="T1500" s="2">
        <v>42130</v>
      </c>
      <c r="U1500" s="2">
        <v>42190</v>
      </c>
      <c r="V1500" t="s">
        <v>71</v>
      </c>
      <c r="W1500" t="str">
        <f>"             1512369"</f>
        <v xml:space="preserve">             1512369</v>
      </c>
      <c r="X1500">
        <v>198</v>
      </c>
      <c r="Y1500">
        <v>0</v>
      </c>
      <c r="Z1500"/>
      <c r="AB1500"/>
      <c r="AC1500">
        <v>180</v>
      </c>
      <c r="AD1500">
        <v>241</v>
      </c>
      <c r="AE1500" s="1">
        <v>43380</v>
      </c>
      <c r="AF1500">
        <v>0</v>
      </c>
      <c r="AJ1500">
        <v>0</v>
      </c>
      <c r="AK1500">
        <v>0</v>
      </c>
      <c r="AL1500">
        <v>0</v>
      </c>
      <c r="AM1500">
        <v>0</v>
      </c>
      <c r="AN1500">
        <v>0</v>
      </c>
      <c r="AO1500">
        <v>0</v>
      </c>
      <c r="AP1500" s="2">
        <v>42746</v>
      </c>
      <c r="AQ1500" t="s">
        <v>72</v>
      </c>
      <c r="AR1500" t="s">
        <v>72</v>
      </c>
      <c r="AS1500">
        <v>640</v>
      </c>
      <c r="AT1500" s="4">
        <v>42431</v>
      </c>
      <c r="AU1500" t="s">
        <v>73</v>
      </c>
      <c r="AV1500">
        <v>640</v>
      </c>
      <c r="AW1500" s="4">
        <v>42431</v>
      </c>
      <c r="BD1500">
        <v>0</v>
      </c>
      <c r="BN1500" t="s">
        <v>74</v>
      </c>
    </row>
    <row r="1501" spans="1:66" hidden="1">
      <c r="A1501">
        <v>100386</v>
      </c>
      <c r="B1501" s="3" t="s">
        <v>171</v>
      </c>
      <c r="C1501" s="1">
        <v>43300101</v>
      </c>
      <c r="D1501" t="s">
        <v>67</v>
      </c>
      <c r="H1501" t="str">
        <f t="shared" si="140"/>
        <v>00737420158</v>
      </c>
      <c r="I1501" t="str">
        <f t="shared" si="140"/>
        <v>00737420158</v>
      </c>
      <c r="K1501" t="str">
        <f>""</f>
        <v/>
      </c>
      <c r="M1501" t="s">
        <v>68</v>
      </c>
      <c r="N1501" t="str">
        <f t="shared" si="138"/>
        <v>FOR</v>
      </c>
      <c r="O1501" t="s">
        <v>69</v>
      </c>
      <c r="P1501" s="3" t="s">
        <v>75</v>
      </c>
      <c r="Q1501">
        <v>2015</v>
      </c>
      <c r="R1501" s="2">
        <v>42159</v>
      </c>
      <c r="S1501" s="2">
        <v>42165</v>
      </c>
      <c r="T1501" s="2">
        <v>42164</v>
      </c>
      <c r="U1501" s="2">
        <v>42224</v>
      </c>
      <c r="V1501" t="s">
        <v>71</v>
      </c>
      <c r="W1501" t="str">
        <f>"             1515588"</f>
        <v xml:space="preserve">             1515588</v>
      </c>
      <c r="X1501">
        <v>682</v>
      </c>
      <c r="Y1501">
        <v>0</v>
      </c>
      <c r="Z1501"/>
      <c r="AB1501"/>
      <c r="AC1501">
        <v>620</v>
      </c>
      <c r="AD1501">
        <v>303</v>
      </c>
      <c r="AE1501" s="1">
        <v>187860</v>
      </c>
      <c r="AF1501">
        <v>0</v>
      </c>
      <c r="AJ1501">
        <v>0</v>
      </c>
      <c r="AK1501">
        <v>0</v>
      </c>
      <c r="AL1501">
        <v>0</v>
      </c>
      <c r="AM1501">
        <v>0</v>
      </c>
      <c r="AN1501">
        <v>0</v>
      </c>
      <c r="AO1501">
        <v>0</v>
      </c>
      <c r="AP1501" s="2">
        <v>42746</v>
      </c>
      <c r="AQ1501" t="s">
        <v>72</v>
      </c>
      <c r="AR1501" t="s">
        <v>72</v>
      </c>
      <c r="AS1501">
        <v>1533</v>
      </c>
      <c r="AT1501" s="4">
        <v>42527</v>
      </c>
      <c r="AU1501" t="s">
        <v>73</v>
      </c>
      <c r="AV1501">
        <v>1533</v>
      </c>
      <c r="AW1501" s="4">
        <v>42527</v>
      </c>
      <c r="BD1501">
        <v>0</v>
      </c>
      <c r="BN1501" t="s">
        <v>74</v>
      </c>
    </row>
    <row r="1502" spans="1:66" hidden="1">
      <c r="A1502">
        <v>100386</v>
      </c>
      <c r="B1502" s="3" t="s">
        <v>171</v>
      </c>
      <c r="C1502" s="1">
        <v>43300101</v>
      </c>
      <c r="D1502" t="s">
        <v>67</v>
      </c>
      <c r="H1502" t="str">
        <f t="shared" si="140"/>
        <v>00737420158</v>
      </c>
      <c r="I1502" t="str">
        <f t="shared" si="140"/>
        <v>00737420158</v>
      </c>
      <c r="K1502" t="str">
        <f>""</f>
        <v/>
      </c>
      <c r="M1502" t="s">
        <v>68</v>
      </c>
      <c r="N1502" t="str">
        <f t="shared" si="138"/>
        <v>FOR</v>
      </c>
      <c r="O1502" t="s">
        <v>69</v>
      </c>
      <c r="P1502" s="3" t="s">
        <v>75</v>
      </c>
      <c r="Q1502">
        <v>2015</v>
      </c>
      <c r="R1502" s="2">
        <v>42163</v>
      </c>
      <c r="S1502" s="2">
        <v>42167</v>
      </c>
      <c r="T1502" s="2">
        <v>42166</v>
      </c>
      <c r="U1502" s="2">
        <v>42226</v>
      </c>
      <c r="V1502" t="s">
        <v>71</v>
      </c>
      <c r="W1502" t="str">
        <f>"             1515979"</f>
        <v xml:space="preserve">             1515979</v>
      </c>
      <c r="X1502">
        <v>426.25</v>
      </c>
      <c r="Y1502">
        <v>0</v>
      </c>
      <c r="Z1502"/>
      <c r="AB1502"/>
      <c r="AC1502">
        <v>387.5</v>
      </c>
      <c r="AD1502">
        <v>301</v>
      </c>
      <c r="AE1502" s="1">
        <v>116637.5</v>
      </c>
      <c r="AF1502">
        <v>0</v>
      </c>
      <c r="AJ1502">
        <v>0</v>
      </c>
      <c r="AK1502">
        <v>0</v>
      </c>
      <c r="AL1502">
        <v>0</v>
      </c>
      <c r="AM1502">
        <v>0</v>
      </c>
      <c r="AN1502">
        <v>0</v>
      </c>
      <c r="AO1502">
        <v>0</v>
      </c>
      <c r="AP1502" s="2">
        <v>42746</v>
      </c>
      <c r="AQ1502" t="s">
        <v>72</v>
      </c>
      <c r="AR1502" t="s">
        <v>72</v>
      </c>
      <c r="AS1502">
        <v>1533</v>
      </c>
      <c r="AT1502" s="4">
        <v>42527</v>
      </c>
      <c r="AU1502" t="s">
        <v>73</v>
      </c>
      <c r="AV1502">
        <v>1533</v>
      </c>
      <c r="AW1502" s="4">
        <v>42527</v>
      </c>
      <c r="BD1502">
        <v>0</v>
      </c>
      <c r="BN1502" t="s">
        <v>74</v>
      </c>
    </row>
    <row r="1503" spans="1:66" hidden="1">
      <c r="A1503">
        <v>100386</v>
      </c>
      <c r="B1503" s="3" t="s">
        <v>171</v>
      </c>
      <c r="C1503" s="1">
        <v>43300101</v>
      </c>
      <c r="D1503" t="s">
        <v>67</v>
      </c>
      <c r="H1503" t="str">
        <f t="shared" si="140"/>
        <v>00737420158</v>
      </c>
      <c r="I1503" t="str">
        <f t="shared" si="140"/>
        <v>00737420158</v>
      </c>
      <c r="K1503" t="str">
        <f>""</f>
        <v/>
      </c>
      <c r="M1503" t="s">
        <v>68</v>
      </c>
      <c r="N1503" t="str">
        <f t="shared" si="138"/>
        <v>FOR</v>
      </c>
      <c r="O1503" t="s">
        <v>69</v>
      </c>
      <c r="P1503" s="3" t="s">
        <v>75</v>
      </c>
      <c r="Q1503">
        <v>2015</v>
      </c>
      <c r="R1503" s="2">
        <v>42174</v>
      </c>
      <c r="S1503" s="2">
        <v>42185</v>
      </c>
      <c r="T1503" s="2">
        <v>42181</v>
      </c>
      <c r="U1503" s="2">
        <v>42241</v>
      </c>
      <c r="V1503" t="s">
        <v>71</v>
      </c>
      <c r="W1503" t="str">
        <f>"             1517223"</f>
        <v xml:space="preserve">             1517223</v>
      </c>
      <c r="X1503">
        <v>119.35</v>
      </c>
      <c r="Y1503">
        <v>0</v>
      </c>
      <c r="Z1503"/>
      <c r="AB1503"/>
      <c r="AC1503">
        <v>108.5</v>
      </c>
      <c r="AD1503">
        <v>286</v>
      </c>
      <c r="AE1503" s="1">
        <v>31031</v>
      </c>
      <c r="AF1503">
        <v>0</v>
      </c>
      <c r="AJ1503">
        <v>0</v>
      </c>
      <c r="AK1503">
        <v>0</v>
      </c>
      <c r="AL1503">
        <v>0</v>
      </c>
      <c r="AM1503">
        <v>0</v>
      </c>
      <c r="AN1503">
        <v>0</v>
      </c>
      <c r="AO1503">
        <v>0</v>
      </c>
      <c r="AP1503" s="2">
        <v>42746</v>
      </c>
      <c r="AQ1503" t="s">
        <v>72</v>
      </c>
      <c r="AR1503" t="s">
        <v>72</v>
      </c>
      <c r="AS1503">
        <v>1533</v>
      </c>
      <c r="AT1503" s="4">
        <v>42527</v>
      </c>
      <c r="AU1503" t="s">
        <v>73</v>
      </c>
      <c r="AV1503">
        <v>1533</v>
      </c>
      <c r="AW1503" s="4">
        <v>42527</v>
      </c>
      <c r="BD1503">
        <v>0</v>
      </c>
      <c r="BN1503" t="s">
        <v>74</v>
      </c>
    </row>
    <row r="1504" spans="1:66" hidden="1">
      <c r="A1504">
        <v>100386</v>
      </c>
      <c r="B1504" s="3" t="s">
        <v>171</v>
      </c>
      <c r="C1504" s="1">
        <v>43300101</v>
      </c>
      <c r="D1504" t="s">
        <v>67</v>
      </c>
      <c r="H1504" t="str">
        <f t="shared" si="140"/>
        <v>00737420158</v>
      </c>
      <c r="I1504" t="str">
        <f t="shared" si="140"/>
        <v>00737420158</v>
      </c>
      <c r="K1504" t="str">
        <f>""</f>
        <v/>
      </c>
      <c r="M1504" t="s">
        <v>68</v>
      </c>
      <c r="N1504" t="str">
        <f t="shared" si="138"/>
        <v>FOR</v>
      </c>
      <c r="O1504" t="s">
        <v>69</v>
      </c>
      <c r="P1504" s="3" t="s">
        <v>75</v>
      </c>
      <c r="Q1504">
        <v>2015</v>
      </c>
      <c r="R1504" s="2">
        <v>42181</v>
      </c>
      <c r="S1504" s="2">
        <v>42191</v>
      </c>
      <c r="T1504" s="2">
        <v>42184</v>
      </c>
      <c r="U1504" s="2">
        <v>42244</v>
      </c>
      <c r="V1504" t="s">
        <v>71</v>
      </c>
      <c r="W1504" t="str">
        <f>"             1517942"</f>
        <v xml:space="preserve">             1517942</v>
      </c>
      <c r="X1504">
        <v>682</v>
      </c>
      <c r="Y1504">
        <v>0</v>
      </c>
      <c r="Z1504"/>
      <c r="AB1504"/>
      <c r="AC1504">
        <v>620</v>
      </c>
      <c r="AD1504">
        <v>283</v>
      </c>
      <c r="AE1504" s="1">
        <v>175460</v>
      </c>
      <c r="AF1504">
        <v>0</v>
      </c>
      <c r="AJ1504">
        <v>0</v>
      </c>
      <c r="AK1504">
        <v>0</v>
      </c>
      <c r="AL1504">
        <v>0</v>
      </c>
      <c r="AM1504">
        <v>0</v>
      </c>
      <c r="AN1504">
        <v>0</v>
      </c>
      <c r="AO1504">
        <v>0</v>
      </c>
      <c r="AP1504" s="2">
        <v>42746</v>
      </c>
      <c r="AQ1504" t="s">
        <v>72</v>
      </c>
      <c r="AR1504" t="s">
        <v>72</v>
      </c>
      <c r="AS1504">
        <v>1533</v>
      </c>
      <c r="AT1504" s="4">
        <v>42527</v>
      </c>
      <c r="AU1504" t="s">
        <v>73</v>
      </c>
      <c r="AV1504">
        <v>1533</v>
      </c>
      <c r="AW1504" s="4">
        <v>42527</v>
      </c>
      <c r="BD1504">
        <v>0</v>
      </c>
      <c r="BN1504" t="s">
        <v>74</v>
      </c>
    </row>
    <row r="1505" spans="1:66" hidden="1">
      <c r="A1505">
        <v>100386</v>
      </c>
      <c r="B1505" s="3" t="s">
        <v>171</v>
      </c>
      <c r="C1505" s="1">
        <v>43300101</v>
      </c>
      <c r="D1505" t="s">
        <v>67</v>
      </c>
      <c r="H1505" t="str">
        <f t="shared" si="140"/>
        <v>00737420158</v>
      </c>
      <c r="I1505" t="str">
        <f t="shared" si="140"/>
        <v>00737420158</v>
      </c>
      <c r="K1505" t="str">
        <f>""</f>
        <v/>
      </c>
      <c r="M1505" t="s">
        <v>68</v>
      </c>
      <c r="N1505" t="str">
        <f t="shared" si="138"/>
        <v>FOR</v>
      </c>
      <c r="O1505" t="s">
        <v>69</v>
      </c>
      <c r="P1505" s="3" t="s">
        <v>75</v>
      </c>
      <c r="Q1505">
        <v>2015</v>
      </c>
      <c r="R1505" s="2">
        <v>42207</v>
      </c>
      <c r="S1505" s="2">
        <v>42209</v>
      </c>
      <c r="T1505" s="2">
        <v>42208</v>
      </c>
      <c r="U1505" s="2">
        <v>42268</v>
      </c>
      <c r="V1505" t="s">
        <v>71</v>
      </c>
      <c r="W1505" t="str">
        <f>"             1520364"</f>
        <v xml:space="preserve">             1520364</v>
      </c>
      <c r="X1505">
        <v>477.4</v>
      </c>
      <c r="Y1505">
        <v>0</v>
      </c>
      <c r="Z1505"/>
      <c r="AB1505"/>
      <c r="AC1505">
        <v>434</v>
      </c>
      <c r="AD1505">
        <v>301</v>
      </c>
      <c r="AE1505" s="1">
        <v>130634</v>
      </c>
      <c r="AF1505">
        <v>0</v>
      </c>
      <c r="AJ1505">
        <v>0</v>
      </c>
      <c r="AK1505">
        <v>0</v>
      </c>
      <c r="AL1505">
        <v>0</v>
      </c>
      <c r="AM1505">
        <v>0</v>
      </c>
      <c r="AN1505">
        <v>0</v>
      </c>
      <c r="AO1505">
        <v>0</v>
      </c>
      <c r="AP1505" s="2">
        <v>42746</v>
      </c>
      <c r="AQ1505" t="s">
        <v>72</v>
      </c>
      <c r="AR1505" t="s">
        <v>72</v>
      </c>
      <c r="AS1505">
        <v>1850</v>
      </c>
      <c r="AT1505" s="4">
        <v>42569</v>
      </c>
      <c r="AU1505" t="s">
        <v>73</v>
      </c>
      <c r="AV1505">
        <v>1850</v>
      </c>
      <c r="AW1505" s="4">
        <v>42569</v>
      </c>
      <c r="BD1505">
        <v>0</v>
      </c>
      <c r="BN1505" t="s">
        <v>74</v>
      </c>
    </row>
    <row r="1506" spans="1:66" hidden="1">
      <c r="A1506">
        <v>100386</v>
      </c>
      <c r="B1506" s="3" t="s">
        <v>171</v>
      </c>
      <c r="C1506" s="1">
        <v>43300101</v>
      </c>
      <c r="D1506" t="s">
        <v>67</v>
      </c>
      <c r="H1506" t="str">
        <f t="shared" si="140"/>
        <v>00737420158</v>
      </c>
      <c r="I1506" t="str">
        <f t="shared" si="140"/>
        <v>00737420158</v>
      </c>
      <c r="K1506" t="str">
        <f>""</f>
        <v/>
      </c>
      <c r="M1506" t="s">
        <v>68</v>
      </c>
      <c r="N1506" t="str">
        <f t="shared" si="138"/>
        <v>FOR</v>
      </c>
      <c r="O1506" t="s">
        <v>69</v>
      </c>
      <c r="P1506" s="3" t="s">
        <v>75</v>
      </c>
      <c r="Q1506">
        <v>2015</v>
      </c>
      <c r="R1506" s="2">
        <v>42212</v>
      </c>
      <c r="S1506" s="2">
        <v>42216</v>
      </c>
      <c r="T1506" s="2">
        <v>42215</v>
      </c>
      <c r="U1506" s="2">
        <v>42275</v>
      </c>
      <c r="V1506" t="s">
        <v>71</v>
      </c>
      <c r="W1506" t="str">
        <f>"             1520730"</f>
        <v xml:space="preserve">             1520730</v>
      </c>
      <c r="X1506" s="1">
        <v>1705</v>
      </c>
      <c r="Y1506">
        <v>0</v>
      </c>
      <c r="Z1506"/>
      <c r="AB1506"/>
      <c r="AC1506" s="1">
        <v>1550</v>
      </c>
      <c r="AD1506">
        <v>294</v>
      </c>
      <c r="AE1506" s="1">
        <v>455700</v>
      </c>
      <c r="AF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 s="2">
        <v>42746</v>
      </c>
      <c r="AQ1506" t="s">
        <v>72</v>
      </c>
      <c r="AR1506" t="s">
        <v>72</v>
      </c>
      <c r="AS1506">
        <v>1850</v>
      </c>
      <c r="AT1506" s="4">
        <v>42569</v>
      </c>
      <c r="AU1506" t="s">
        <v>73</v>
      </c>
      <c r="AV1506">
        <v>1850</v>
      </c>
      <c r="AW1506" s="4">
        <v>42569</v>
      </c>
      <c r="BD1506">
        <v>0</v>
      </c>
      <c r="BN1506" t="s">
        <v>74</v>
      </c>
    </row>
    <row r="1507" spans="1:66" hidden="1">
      <c r="A1507">
        <v>100386</v>
      </c>
      <c r="B1507" s="3" t="s">
        <v>171</v>
      </c>
      <c r="C1507" s="1">
        <v>43300101</v>
      </c>
      <c r="D1507" t="s">
        <v>67</v>
      </c>
      <c r="H1507" t="str">
        <f t="shared" si="140"/>
        <v>00737420158</v>
      </c>
      <c r="I1507" t="str">
        <f t="shared" si="140"/>
        <v>00737420158</v>
      </c>
      <c r="K1507" t="str">
        <f>""</f>
        <v/>
      </c>
      <c r="M1507" t="s">
        <v>68</v>
      </c>
      <c r="N1507" t="str">
        <f t="shared" si="138"/>
        <v>FOR</v>
      </c>
      <c r="O1507" t="s">
        <v>69</v>
      </c>
      <c r="P1507" s="3" t="s">
        <v>75</v>
      </c>
      <c r="Q1507">
        <v>2015</v>
      </c>
      <c r="R1507" s="2">
        <v>42268</v>
      </c>
      <c r="S1507" s="2">
        <v>42272</v>
      </c>
      <c r="T1507" s="2">
        <v>42271</v>
      </c>
      <c r="U1507" s="2">
        <v>42331</v>
      </c>
      <c r="V1507" t="s">
        <v>71</v>
      </c>
      <c r="W1507" t="str">
        <f>"             1524474"</f>
        <v xml:space="preserve">             1524474</v>
      </c>
      <c r="X1507" s="1">
        <v>1705</v>
      </c>
      <c r="Y1507">
        <v>0</v>
      </c>
      <c r="Z1507"/>
      <c r="AB1507"/>
      <c r="AC1507" s="1">
        <v>1550</v>
      </c>
      <c r="AD1507">
        <v>289</v>
      </c>
      <c r="AE1507" s="1">
        <v>447950</v>
      </c>
      <c r="AF1507">
        <v>0</v>
      </c>
      <c r="AJ1507">
        <v>0</v>
      </c>
      <c r="AK1507">
        <v>0</v>
      </c>
      <c r="AL1507">
        <v>0</v>
      </c>
      <c r="AM1507">
        <v>0</v>
      </c>
      <c r="AN1507">
        <v>0</v>
      </c>
      <c r="AO1507">
        <v>0</v>
      </c>
      <c r="AP1507" s="2">
        <v>42746</v>
      </c>
      <c r="AQ1507" t="s">
        <v>72</v>
      </c>
      <c r="AR1507" t="s">
        <v>72</v>
      </c>
      <c r="AS1507">
        <v>2324</v>
      </c>
      <c r="AT1507" s="4">
        <v>42620</v>
      </c>
      <c r="AU1507" t="s">
        <v>73</v>
      </c>
      <c r="AV1507">
        <v>2324</v>
      </c>
      <c r="AW1507" s="4">
        <v>42620</v>
      </c>
      <c r="BD1507">
        <v>0</v>
      </c>
      <c r="BN1507" t="s">
        <v>74</v>
      </c>
    </row>
    <row r="1508" spans="1:66">
      <c r="A1508">
        <v>100386</v>
      </c>
      <c r="B1508" s="3" t="s">
        <v>171</v>
      </c>
      <c r="C1508" s="1">
        <v>43300101</v>
      </c>
      <c r="D1508" t="s">
        <v>67</v>
      </c>
      <c r="H1508" t="str">
        <f t="shared" si="140"/>
        <v>00737420158</v>
      </c>
      <c r="I1508" t="str">
        <f t="shared" si="140"/>
        <v>00737420158</v>
      </c>
      <c r="K1508" t="str">
        <f>""</f>
        <v/>
      </c>
      <c r="M1508" t="s">
        <v>68</v>
      </c>
      <c r="N1508" t="str">
        <f t="shared" si="138"/>
        <v>FOR</v>
      </c>
      <c r="O1508" t="s">
        <v>69</v>
      </c>
      <c r="P1508" s="3" t="s">
        <v>75</v>
      </c>
      <c r="Q1508">
        <v>2015</v>
      </c>
      <c r="R1508" s="2">
        <v>42321</v>
      </c>
      <c r="S1508" s="2">
        <v>42326</v>
      </c>
      <c r="T1508" s="2">
        <v>42325</v>
      </c>
      <c r="U1508" s="2">
        <v>42385</v>
      </c>
      <c r="V1508" t="s">
        <v>71</v>
      </c>
      <c r="W1508" t="str">
        <f>"             1529935"</f>
        <v xml:space="preserve">             1529935</v>
      </c>
      <c r="X1508" s="1">
        <v>4544.1000000000004</v>
      </c>
      <c r="Y1508">
        <v>0</v>
      </c>
      <c r="Z1508" s="5">
        <v>4131</v>
      </c>
      <c r="AA1508">
        <v>304</v>
      </c>
      <c r="AB1508" s="5">
        <v>1255824</v>
      </c>
      <c r="AC1508" s="1">
        <v>4131</v>
      </c>
      <c r="AD1508">
        <v>304</v>
      </c>
      <c r="AE1508" s="1">
        <v>1255824</v>
      </c>
      <c r="AF1508">
        <v>0</v>
      </c>
      <c r="AJ1508">
        <v>0</v>
      </c>
      <c r="AK1508">
        <v>0</v>
      </c>
      <c r="AL1508">
        <v>0</v>
      </c>
      <c r="AM1508">
        <v>0</v>
      </c>
      <c r="AN1508">
        <v>0</v>
      </c>
      <c r="AO1508">
        <v>0</v>
      </c>
      <c r="AP1508" s="2">
        <v>42746</v>
      </c>
      <c r="AQ1508" t="s">
        <v>72</v>
      </c>
      <c r="AR1508" t="s">
        <v>72</v>
      </c>
      <c r="AS1508">
        <v>3110</v>
      </c>
      <c r="AT1508" s="4">
        <v>42689</v>
      </c>
      <c r="AU1508" t="s">
        <v>73</v>
      </c>
      <c r="AV1508">
        <v>3110</v>
      </c>
      <c r="AW1508" s="4">
        <v>42689</v>
      </c>
      <c r="BD1508">
        <v>0</v>
      </c>
      <c r="BN1508" t="s">
        <v>74</v>
      </c>
    </row>
    <row r="1509" spans="1:66">
      <c r="A1509">
        <v>100386</v>
      </c>
      <c r="B1509" s="3" t="s">
        <v>171</v>
      </c>
      <c r="C1509" s="1">
        <v>43300101</v>
      </c>
      <c r="D1509" t="s">
        <v>67</v>
      </c>
      <c r="H1509" t="str">
        <f t="shared" si="140"/>
        <v>00737420158</v>
      </c>
      <c r="I1509" t="str">
        <f t="shared" si="140"/>
        <v>00737420158</v>
      </c>
      <c r="K1509" t="str">
        <f>""</f>
        <v/>
      </c>
      <c r="M1509" t="s">
        <v>68</v>
      </c>
      <c r="N1509" t="str">
        <f t="shared" si="138"/>
        <v>FOR</v>
      </c>
      <c r="O1509" t="s">
        <v>69</v>
      </c>
      <c r="P1509" s="3" t="s">
        <v>75</v>
      </c>
      <c r="Q1509">
        <v>2015</v>
      </c>
      <c r="R1509" s="2">
        <v>42341</v>
      </c>
      <c r="S1509" s="2">
        <v>42348</v>
      </c>
      <c r="T1509" s="2">
        <v>42347</v>
      </c>
      <c r="U1509" s="2">
        <v>42407</v>
      </c>
      <c r="V1509" t="s">
        <v>71</v>
      </c>
      <c r="W1509" t="str">
        <f>"             1531831"</f>
        <v xml:space="preserve">             1531831</v>
      </c>
      <c r="X1509" s="1">
        <v>4544.1000000000004</v>
      </c>
      <c r="Y1509">
        <v>0</v>
      </c>
      <c r="Z1509" s="5">
        <v>4131</v>
      </c>
      <c r="AA1509">
        <v>282</v>
      </c>
      <c r="AB1509" s="5">
        <v>1164942</v>
      </c>
      <c r="AC1509" s="1">
        <v>4131</v>
      </c>
      <c r="AD1509">
        <v>282</v>
      </c>
      <c r="AE1509" s="1">
        <v>1164942</v>
      </c>
      <c r="AF1509">
        <v>0</v>
      </c>
      <c r="AJ1509">
        <v>0</v>
      </c>
      <c r="AK1509">
        <v>0</v>
      </c>
      <c r="AL1509">
        <v>0</v>
      </c>
      <c r="AM1509">
        <v>0</v>
      </c>
      <c r="AN1509">
        <v>0</v>
      </c>
      <c r="AO1509">
        <v>0</v>
      </c>
      <c r="AP1509" s="2">
        <v>42746</v>
      </c>
      <c r="AQ1509" t="s">
        <v>72</v>
      </c>
      <c r="AR1509" t="s">
        <v>72</v>
      </c>
      <c r="AS1509">
        <v>3110</v>
      </c>
      <c r="AT1509" s="4">
        <v>42689</v>
      </c>
      <c r="AU1509" t="s">
        <v>73</v>
      </c>
      <c r="AV1509">
        <v>3110</v>
      </c>
      <c r="AW1509" s="4">
        <v>42689</v>
      </c>
      <c r="BD1509">
        <v>0</v>
      </c>
      <c r="BN1509" t="s">
        <v>74</v>
      </c>
    </row>
    <row r="1510" spans="1:66">
      <c r="A1510">
        <v>100386</v>
      </c>
      <c r="B1510" s="3" t="s">
        <v>171</v>
      </c>
      <c r="C1510" s="1">
        <v>43300101</v>
      </c>
      <c r="D1510" t="s">
        <v>67</v>
      </c>
      <c r="H1510" t="str">
        <f t="shared" si="140"/>
        <v>00737420158</v>
      </c>
      <c r="I1510" t="str">
        <f t="shared" si="140"/>
        <v>00737420158</v>
      </c>
      <c r="K1510" t="str">
        <f>""</f>
        <v/>
      </c>
      <c r="M1510" t="s">
        <v>68</v>
      </c>
      <c r="N1510" t="str">
        <f t="shared" si="138"/>
        <v>FOR</v>
      </c>
      <c r="O1510" t="s">
        <v>69</v>
      </c>
      <c r="P1510" s="3" t="s">
        <v>75</v>
      </c>
      <c r="Q1510">
        <v>2016</v>
      </c>
      <c r="R1510" s="2">
        <v>42408</v>
      </c>
      <c r="S1510" s="2">
        <v>42410</v>
      </c>
      <c r="T1510" s="2">
        <v>42409</v>
      </c>
      <c r="U1510" s="2">
        <v>42469</v>
      </c>
      <c r="V1510" t="s">
        <v>71</v>
      </c>
      <c r="W1510" t="str">
        <f>"             1603769"</f>
        <v xml:space="preserve">             1603769</v>
      </c>
      <c r="X1510">
        <v>742.5</v>
      </c>
      <c r="Y1510">
        <v>0</v>
      </c>
      <c r="Z1510" s="3">
        <v>675</v>
      </c>
      <c r="AA1510">
        <v>221</v>
      </c>
      <c r="AB1510" s="5">
        <v>149175</v>
      </c>
      <c r="AC1510">
        <v>675</v>
      </c>
      <c r="AD1510">
        <v>221</v>
      </c>
      <c r="AE1510" s="1">
        <v>149175</v>
      </c>
      <c r="AF1510">
        <v>0</v>
      </c>
      <c r="AJ1510">
        <v>0</v>
      </c>
      <c r="AK1510">
        <v>0</v>
      </c>
      <c r="AL1510">
        <v>0</v>
      </c>
      <c r="AM1510">
        <v>742.5</v>
      </c>
      <c r="AN1510">
        <v>742.5</v>
      </c>
      <c r="AO1510">
        <v>742.5</v>
      </c>
      <c r="AP1510" s="2">
        <v>42746</v>
      </c>
      <c r="AQ1510" t="s">
        <v>72</v>
      </c>
      <c r="AR1510" t="s">
        <v>72</v>
      </c>
      <c r="AS1510">
        <v>3150</v>
      </c>
      <c r="AT1510" s="4">
        <v>42690</v>
      </c>
      <c r="AU1510" t="s">
        <v>73</v>
      </c>
      <c r="AV1510">
        <v>3150</v>
      </c>
      <c r="AW1510" s="4">
        <v>42690</v>
      </c>
      <c r="BD1510">
        <v>0</v>
      </c>
      <c r="BN1510" t="s">
        <v>74</v>
      </c>
    </row>
    <row r="1511" spans="1:66">
      <c r="A1511">
        <v>100386</v>
      </c>
      <c r="B1511" s="3" t="s">
        <v>171</v>
      </c>
      <c r="C1511" s="1">
        <v>43300101</v>
      </c>
      <c r="D1511" t="s">
        <v>67</v>
      </c>
      <c r="H1511" t="str">
        <f t="shared" si="140"/>
        <v>00737420158</v>
      </c>
      <c r="I1511" t="str">
        <f t="shared" si="140"/>
        <v>00737420158</v>
      </c>
      <c r="K1511" t="str">
        <f>""</f>
        <v/>
      </c>
      <c r="M1511" t="s">
        <v>68</v>
      </c>
      <c r="N1511" t="str">
        <f t="shared" si="138"/>
        <v>FOR</v>
      </c>
      <c r="O1511" t="s">
        <v>69</v>
      </c>
      <c r="P1511" s="3" t="s">
        <v>75</v>
      </c>
      <c r="Q1511">
        <v>2016</v>
      </c>
      <c r="R1511" s="2">
        <v>42495</v>
      </c>
      <c r="S1511" s="2">
        <v>42501</v>
      </c>
      <c r="T1511" s="2">
        <v>42499</v>
      </c>
      <c r="U1511" s="2">
        <v>42559</v>
      </c>
      <c r="V1511" t="s">
        <v>71</v>
      </c>
      <c r="W1511" t="str">
        <f>"             1612722"</f>
        <v xml:space="preserve">             1612722</v>
      </c>
      <c r="X1511">
        <v>264</v>
      </c>
      <c r="Y1511">
        <v>0</v>
      </c>
      <c r="Z1511" s="3">
        <v>240</v>
      </c>
      <c r="AA1511">
        <v>131</v>
      </c>
      <c r="AB1511" s="5">
        <v>31440</v>
      </c>
      <c r="AC1511">
        <v>240</v>
      </c>
      <c r="AD1511">
        <v>131</v>
      </c>
      <c r="AE1511" s="1">
        <v>31440</v>
      </c>
      <c r="AF1511">
        <v>0</v>
      </c>
      <c r="AJ1511">
        <v>0</v>
      </c>
      <c r="AK1511">
        <v>0</v>
      </c>
      <c r="AL1511">
        <v>0</v>
      </c>
      <c r="AM1511">
        <v>264</v>
      </c>
      <c r="AN1511">
        <v>264</v>
      </c>
      <c r="AO1511">
        <v>264</v>
      </c>
      <c r="AP1511" s="2">
        <v>42746</v>
      </c>
      <c r="AQ1511" t="s">
        <v>72</v>
      </c>
      <c r="AR1511" t="s">
        <v>72</v>
      </c>
      <c r="AS1511">
        <v>3150</v>
      </c>
      <c r="AT1511" s="4">
        <v>42690</v>
      </c>
      <c r="AU1511" t="s">
        <v>73</v>
      </c>
      <c r="AV1511">
        <v>3150</v>
      </c>
      <c r="AW1511" s="4">
        <v>42690</v>
      </c>
      <c r="BD1511">
        <v>0</v>
      </c>
      <c r="BN1511" t="s">
        <v>74</v>
      </c>
    </row>
    <row r="1512" spans="1:66">
      <c r="A1512">
        <v>100386</v>
      </c>
      <c r="B1512" s="3" t="s">
        <v>171</v>
      </c>
      <c r="C1512" s="1">
        <v>43300101</v>
      </c>
      <c r="D1512" t="s">
        <v>67</v>
      </c>
      <c r="H1512" t="str">
        <f t="shared" si="140"/>
        <v>00737420158</v>
      </c>
      <c r="I1512" t="str">
        <f t="shared" si="140"/>
        <v>00737420158</v>
      </c>
      <c r="K1512" t="str">
        <f>""</f>
        <v/>
      </c>
      <c r="M1512" t="s">
        <v>68</v>
      </c>
      <c r="N1512" t="str">
        <f t="shared" si="138"/>
        <v>FOR</v>
      </c>
      <c r="O1512" t="s">
        <v>69</v>
      </c>
      <c r="P1512" s="3" t="s">
        <v>75</v>
      </c>
      <c r="Q1512">
        <v>2016</v>
      </c>
      <c r="R1512" s="2">
        <v>42555</v>
      </c>
      <c r="S1512" s="2">
        <v>42563</v>
      </c>
      <c r="T1512" s="2">
        <v>42558</v>
      </c>
      <c r="U1512" s="2">
        <v>42618</v>
      </c>
      <c r="V1512" t="s">
        <v>71</v>
      </c>
      <c r="W1512" t="str">
        <f>"             1618468"</f>
        <v xml:space="preserve">             1618468</v>
      </c>
      <c r="X1512" s="1">
        <v>1023</v>
      </c>
      <c r="Y1512">
        <v>0</v>
      </c>
      <c r="Z1512" s="3">
        <v>930</v>
      </c>
      <c r="AA1512">
        <v>72</v>
      </c>
      <c r="AB1512" s="5">
        <v>66960</v>
      </c>
      <c r="AC1512">
        <v>930</v>
      </c>
      <c r="AD1512">
        <v>72</v>
      </c>
      <c r="AE1512" s="1">
        <v>66960</v>
      </c>
      <c r="AF1512">
        <v>0</v>
      </c>
      <c r="AJ1512">
        <v>0</v>
      </c>
      <c r="AK1512">
        <v>0</v>
      </c>
      <c r="AL1512">
        <v>0</v>
      </c>
      <c r="AM1512" s="1">
        <v>1023</v>
      </c>
      <c r="AN1512" s="1">
        <v>1023</v>
      </c>
      <c r="AO1512" s="1">
        <v>1023</v>
      </c>
      <c r="AP1512" s="2">
        <v>42746</v>
      </c>
      <c r="AQ1512" t="s">
        <v>72</v>
      </c>
      <c r="AR1512" t="s">
        <v>72</v>
      </c>
      <c r="AS1512">
        <v>3150</v>
      </c>
      <c r="AT1512" s="4">
        <v>42690</v>
      </c>
      <c r="AU1512" t="s">
        <v>73</v>
      </c>
      <c r="AV1512">
        <v>3150</v>
      </c>
      <c r="AW1512" s="4">
        <v>42690</v>
      </c>
      <c r="BD1512">
        <v>0</v>
      </c>
      <c r="BN1512" t="s">
        <v>74</v>
      </c>
    </row>
    <row r="1513" spans="1:66">
      <c r="A1513">
        <v>100386</v>
      </c>
      <c r="B1513" s="3" t="s">
        <v>171</v>
      </c>
      <c r="C1513" s="1">
        <v>43300101</v>
      </c>
      <c r="D1513" t="s">
        <v>67</v>
      </c>
      <c r="H1513" t="str">
        <f t="shared" si="140"/>
        <v>00737420158</v>
      </c>
      <c r="I1513" t="str">
        <f t="shared" si="140"/>
        <v>00737420158</v>
      </c>
      <c r="K1513" t="str">
        <f>""</f>
        <v/>
      </c>
      <c r="M1513" t="s">
        <v>68</v>
      </c>
      <c r="N1513" t="str">
        <f t="shared" si="138"/>
        <v>FOR</v>
      </c>
      <c r="O1513" t="s">
        <v>69</v>
      </c>
      <c r="P1513" s="3" t="s">
        <v>75</v>
      </c>
      <c r="Q1513">
        <v>2016</v>
      </c>
      <c r="R1513" s="2">
        <v>42643</v>
      </c>
      <c r="S1513" s="2">
        <v>42654</v>
      </c>
      <c r="T1513" s="2">
        <v>42649</v>
      </c>
      <c r="U1513" s="2">
        <v>42709</v>
      </c>
      <c r="V1513" t="s">
        <v>71</v>
      </c>
      <c r="W1513" t="str">
        <f>"             1625598"</f>
        <v xml:space="preserve">             1625598</v>
      </c>
      <c r="X1513" s="1">
        <v>2046</v>
      </c>
      <c r="Y1513">
        <v>0</v>
      </c>
      <c r="Z1513" s="5">
        <v>1860</v>
      </c>
      <c r="AA1513">
        <v>-19</v>
      </c>
      <c r="AB1513" s="5">
        <v>-35340</v>
      </c>
      <c r="AC1513" s="1">
        <v>1860</v>
      </c>
      <c r="AD1513">
        <v>-19</v>
      </c>
      <c r="AE1513" s="1">
        <v>-35340</v>
      </c>
      <c r="AF1513">
        <v>0</v>
      </c>
      <c r="AJ1513" s="1">
        <v>2046</v>
      </c>
      <c r="AK1513" s="1">
        <v>2046</v>
      </c>
      <c r="AL1513">
        <v>0</v>
      </c>
      <c r="AM1513" s="1">
        <v>2046</v>
      </c>
      <c r="AN1513" s="1">
        <v>2046</v>
      </c>
      <c r="AO1513" s="1">
        <v>2046</v>
      </c>
      <c r="AP1513" s="2">
        <v>42746</v>
      </c>
      <c r="AQ1513" t="s">
        <v>72</v>
      </c>
      <c r="AR1513" t="s">
        <v>72</v>
      </c>
      <c r="AS1513">
        <v>3150</v>
      </c>
      <c r="AT1513" s="4">
        <v>42690</v>
      </c>
      <c r="AV1513">
        <v>3150</v>
      </c>
      <c r="AW1513" s="4">
        <v>42690</v>
      </c>
      <c r="BD1513">
        <v>0</v>
      </c>
      <c r="BN1513" t="s">
        <v>74</v>
      </c>
    </row>
    <row r="1514" spans="1:66" hidden="1">
      <c r="A1514">
        <v>100387</v>
      </c>
      <c r="B1514" s="3" t="s">
        <v>172</v>
      </c>
      <c r="C1514" s="1">
        <v>43500101</v>
      </c>
      <c r="D1514" t="s">
        <v>113</v>
      </c>
      <c r="H1514" t="str">
        <f>""</f>
        <v/>
      </c>
      <c r="I1514" t="str">
        <f>""</f>
        <v/>
      </c>
      <c r="K1514" t="str">
        <f>""</f>
        <v/>
      </c>
      <c r="M1514" t="s">
        <v>68</v>
      </c>
      <c r="N1514" t="str">
        <f t="shared" ref="N1514:N1525" si="141">"ALTFIN"</f>
        <v>ALTFIN</v>
      </c>
      <c r="O1514" t="s">
        <v>123</v>
      </c>
      <c r="P1514" s="3" t="s">
        <v>84</v>
      </c>
      <c r="Q1514">
        <v>2016</v>
      </c>
      <c r="R1514" s="2">
        <v>42389</v>
      </c>
      <c r="S1514" s="2">
        <v>42390</v>
      </c>
      <c r="T1514" s="2">
        <v>42390</v>
      </c>
      <c r="U1514" s="2">
        <v>42450</v>
      </c>
      <c r="V1514" t="s">
        <v>71</v>
      </c>
      <c r="W1514" t="str">
        <f>"                0120"</f>
        <v xml:space="preserve">                0120</v>
      </c>
      <c r="X1514">
        <v>0</v>
      </c>
      <c r="Y1514" s="1">
        <v>1675.99</v>
      </c>
      <c r="Z1514"/>
      <c r="AB1514"/>
      <c r="AC1514" s="1">
        <v>1675.99</v>
      </c>
      <c r="AD1514">
        <v>-60</v>
      </c>
      <c r="AE1514" s="1">
        <v>-100559.4</v>
      </c>
      <c r="AF1514">
        <v>0</v>
      </c>
      <c r="AJ1514">
        <v>0</v>
      </c>
      <c r="AK1514">
        <v>0</v>
      </c>
      <c r="AL1514">
        <v>0</v>
      </c>
      <c r="AM1514" s="1">
        <v>1675.99</v>
      </c>
      <c r="AN1514" s="1">
        <v>1675.99</v>
      </c>
      <c r="AO1514" s="1">
        <v>1675.99</v>
      </c>
      <c r="AP1514" s="2">
        <v>42746</v>
      </c>
      <c r="AQ1514" t="s">
        <v>72</v>
      </c>
      <c r="AR1514" t="s">
        <v>72</v>
      </c>
      <c r="AS1514">
        <v>63</v>
      </c>
      <c r="AT1514" s="4">
        <v>42390</v>
      </c>
      <c r="AV1514">
        <v>63</v>
      </c>
      <c r="AW1514" s="4">
        <v>42390</v>
      </c>
      <c r="BD1514">
        <v>0</v>
      </c>
      <c r="BN1514" t="s">
        <v>74</v>
      </c>
    </row>
    <row r="1515" spans="1:66" hidden="1">
      <c r="A1515">
        <v>100387</v>
      </c>
      <c r="B1515" s="3" t="s">
        <v>172</v>
      </c>
      <c r="C1515" s="1">
        <v>43500101</v>
      </c>
      <c r="D1515" t="s">
        <v>113</v>
      </c>
      <c r="H1515" t="str">
        <f>""</f>
        <v/>
      </c>
      <c r="I1515" t="str">
        <f>""</f>
        <v/>
      </c>
      <c r="K1515" t="str">
        <f>""</f>
        <v/>
      </c>
      <c r="M1515" t="s">
        <v>68</v>
      </c>
      <c r="N1515" t="str">
        <f t="shared" si="141"/>
        <v>ALTFIN</v>
      </c>
      <c r="O1515" t="s">
        <v>123</v>
      </c>
      <c r="P1515" s="3" t="s">
        <v>85</v>
      </c>
      <c r="Q1515">
        <v>2016</v>
      </c>
      <c r="R1515" s="2">
        <v>42422</v>
      </c>
      <c r="S1515" s="2">
        <v>42422</v>
      </c>
      <c r="T1515" s="2">
        <v>42422</v>
      </c>
      <c r="U1515" s="2">
        <v>42482</v>
      </c>
      <c r="V1515" t="s">
        <v>71</v>
      </c>
      <c r="W1515" t="str">
        <f>"                0222"</f>
        <v xml:space="preserve">                0222</v>
      </c>
      <c r="X1515">
        <v>0</v>
      </c>
      <c r="Y1515" s="1">
        <v>1645.89</v>
      </c>
      <c r="Z1515"/>
      <c r="AB1515"/>
      <c r="AC1515" s="1">
        <v>1645.89</v>
      </c>
      <c r="AD1515">
        <v>-58</v>
      </c>
      <c r="AE1515" s="1">
        <v>-95461.62</v>
      </c>
      <c r="AF1515">
        <v>0</v>
      </c>
      <c r="AJ1515">
        <v>0</v>
      </c>
      <c r="AK1515">
        <v>0</v>
      </c>
      <c r="AL1515">
        <v>0</v>
      </c>
      <c r="AM1515" s="1">
        <v>1645.89</v>
      </c>
      <c r="AN1515" s="1">
        <v>1645.89</v>
      </c>
      <c r="AO1515" s="1">
        <v>1645.89</v>
      </c>
      <c r="AP1515" s="2">
        <v>42746</v>
      </c>
      <c r="AQ1515" t="s">
        <v>72</v>
      </c>
      <c r="AR1515" t="s">
        <v>72</v>
      </c>
      <c r="AS1515">
        <v>507</v>
      </c>
      <c r="AT1515" s="4">
        <v>42424</v>
      </c>
      <c r="AV1515">
        <v>507</v>
      </c>
      <c r="AW1515" s="4">
        <v>42424</v>
      </c>
      <c r="BD1515">
        <v>0</v>
      </c>
      <c r="BN1515" t="s">
        <v>74</v>
      </c>
    </row>
    <row r="1516" spans="1:66" hidden="1">
      <c r="A1516">
        <v>100387</v>
      </c>
      <c r="B1516" s="3" t="s">
        <v>172</v>
      </c>
      <c r="C1516" s="1">
        <v>43500101</v>
      </c>
      <c r="D1516" t="s">
        <v>113</v>
      </c>
      <c r="H1516" t="str">
        <f>""</f>
        <v/>
      </c>
      <c r="I1516" t="str">
        <f>""</f>
        <v/>
      </c>
      <c r="K1516" t="str">
        <f>""</f>
        <v/>
      </c>
      <c r="M1516" t="s">
        <v>68</v>
      </c>
      <c r="N1516" t="str">
        <f t="shared" si="141"/>
        <v>ALTFIN</v>
      </c>
      <c r="O1516" t="s">
        <v>123</v>
      </c>
      <c r="P1516" s="3" t="s">
        <v>86</v>
      </c>
      <c r="Q1516">
        <v>2016</v>
      </c>
      <c r="R1516" s="2">
        <v>42450</v>
      </c>
      <c r="S1516" s="2">
        <v>42450</v>
      </c>
      <c r="T1516" s="2">
        <v>42450</v>
      </c>
      <c r="U1516" s="2">
        <v>42510</v>
      </c>
      <c r="V1516" t="s">
        <v>71</v>
      </c>
      <c r="W1516" t="str">
        <f>"                0321"</f>
        <v xml:space="preserve">                0321</v>
      </c>
      <c r="X1516">
        <v>0</v>
      </c>
      <c r="Y1516" s="1">
        <v>1669.73</v>
      </c>
      <c r="Z1516"/>
      <c r="AB1516"/>
      <c r="AC1516" s="1">
        <v>1669.73</v>
      </c>
      <c r="AD1516">
        <v>-57</v>
      </c>
      <c r="AE1516" s="1">
        <v>-95174.61</v>
      </c>
      <c r="AF1516">
        <v>0</v>
      </c>
      <c r="AJ1516">
        <v>0</v>
      </c>
      <c r="AK1516">
        <v>0</v>
      </c>
      <c r="AL1516">
        <v>0</v>
      </c>
      <c r="AM1516" s="1">
        <v>1669.73</v>
      </c>
      <c r="AN1516" s="1">
        <v>1669.73</v>
      </c>
      <c r="AO1516" s="1">
        <v>1669.73</v>
      </c>
      <c r="AP1516" s="2">
        <v>42746</v>
      </c>
      <c r="AQ1516" t="s">
        <v>72</v>
      </c>
      <c r="AR1516" t="s">
        <v>72</v>
      </c>
      <c r="AS1516">
        <v>929</v>
      </c>
      <c r="AT1516" s="4">
        <v>42453</v>
      </c>
      <c r="AV1516">
        <v>929</v>
      </c>
      <c r="AW1516" s="4">
        <v>42453</v>
      </c>
      <c r="BD1516">
        <v>0</v>
      </c>
      <c r="BN1516" t="s">
        <v>74</v>
      </c>
    </row>
    <row r="1517" spans="1:66" hidden="1">
      <c r="A1517">
        <v>100387</v>
      </c>
      <c r="B1517" s="3" t="s">
        <v>172</v>
      </c>
      <c r="C1517" s="1">
        <v>43500101</v>
      </c>
      <c r="D1517" t="s">
        <v>113</v>
      </c>
      <c r="H1517" t="str">
        <f>""</f>
        <v/>
      </c>
      <c r="I1517" t="str">
        <f>""</f>
        <v/>
      </c>
      <c r="K1517" t="str">
        <f>""</f>
        <v/>
      </c>
      <c r="M1517" t="s">
        <v>68</v>
      </c>
      <c r="N1517" t="str">
        <f t="shared" si="141"/>
        <v>ALTFIN</v>
      </c>
      <c r="O1517" t="s">
        <v>123</v>
      </c>
      <c r="P1517" s="3" t="s">
        <v>87</v>
      </c>
      <c r="Q1517">
        <v>2016</v>
      </c>
      <c r="R1517" s="2">
        <v>42481</v>
      </c>
      <c r="S1517" s="2">
        <v>42481</v>
      </c>
      <c r="T1517" s="2">
        <v>42481</v>
      </c>
      <c r="U1517" s="2">
        <v>42541</v>
      </c>
      <c r="V1517" t="s">
        <v>71</v>
      </c>
      <c r="W1517" t="str">
        <f>"                0421"</f>
        <v xml:space="preserve">                0421</v>
      </c>
      <c r="X1517">
        <v>0</v>
      </c>
      <c r="Y1517" s="1">
        <v>1670.57</v>
      </c>
      <c r="Z1517"/>
      <c r="AB1517"/>
      <c r="AC1517" s="1">
        <v>1670.57</v>
      </c>
      <c r="AD1517">
        <v>-60</v>
      </c>
      <c r="AE1517" s="1">
        <v>-100234.2</v>
      </c>
      <c r="AF1517">
        <v>0</v>
      </c>
      <c r="AJ1517">
        <v>0</v>
      </c>
      <c r="AK1517">
        <v>0</v>
      </c>
      <c r="AL1517">
        <v>0</v>
      </c>
      <c r="AM1517" s="1">
        <v>1670.57</v>
      </c>
      <c r="AN1517" s="1">
        <v>1670.57</v>
      </c>
      <c r="AO1517" s="1">
        <v>1670.57</v>
      </c>
      <c r="AP1517" s="2">
        <v>42746</v>
      </c>
      <c r="AQ1517" t="s">
        <v>72</v>
      </c>
      <c r="AR1517" t="s">
        <v>72</v>
      </c>
      <c r="AS1517">
        <v>1095</v>
      </c>
      <c r="AT1517" s="4">
        <v>42481</v>
      </c>
      <c r="AV1517">
        <v>1095</v>
      </c>
      <c r="AW1517" s="4">
        <v>42481</v>
      </c>
      <c r="BD1517">
        <v>0</v>
      </c>
      <c r="BN1517" t="s">
        <v>74</v>
      </c>
    </row>
    <row r="1518" spans="1:66" hidden="1">
      <c r="A1518">
        <v>100387</v>
      </c>
      <c r="B1518" s="3" t="s">
        <v>172</v>
      </c>
      <c r="C1518" s="1">
        <v>43500101</v>
      </c>
      <c r="D1518" t="s">
        <v>113</v>
      </c>
      <c r="H1518" t="str">
        <f>""</f>
        <v/>
      </c>
      <c r="I1518" t="str">
        <f>""</f>
        <v/>
      </c>
      <c r="K1518" t="str">
        <f>""</f>
        <v/>
      </c>
      <c r="M1518" t="s">
        <v>68</v>
      </c>
      <c r="N1518" t="str">
        <f t="shared" si="141"/>
        <v>ALTFIN</v>
      </c>
      <c r="O1518" t="s">
        <v>123</v>
      </c>
      <c r="P1518" s="3" t="s">
        <v>88</v>
      </c>
      <c r="Q1518">
        <v>2016</v>
      </c>
      <c r="R1518" s="2">
        <v>42508</v>
      </c>
      <c r="S1518" s="2">
        <v>42510</v>
      </c>
      <c r="T1518" s="2">
        <v>42510</v>
      </c>
      <c r="U1518" s="2">
        <v>42570</v>
      </c>
      <c r="V1518" t="s">
        <v>71</v>
      </c>
      <c r="W1518" t="str">
        <f>"                0518"</f>
        <v xml:space="preserve">                0518</v>
      </c>
      <c r="X1518">
        <v>0</v>
      </c>
      <c r="Y1518" s="1">
        <v>1673.29</v>
      </c>
      <c r="Z1518"/>
      <c r="AB1518"/>
      <c r="AC1518" s="1">
        <v>1673.29</v>
      </c>
      <c r="AD1518">
        <v>-57</v>
      </c>
      <c r="AE1518" s="1">
        <v>-95377.53</v>
      </c>
      <c r="AF1518">
        <v>0</v>
      </c>
      <c r="AJ1518">
        <v>0</v>
      </c>
      <c r="AK1518">
        <v>0</v>
      </c>
      <c r="AL1518">
        <v>0</v>
      </c>
      <c r="AM1518" s="1">
        <v>1673.29</v>
      </c>
      <c r="AN1518" s="1">
        <v>1673.29</v>
      </c>
      <c r="AO1518" s="1">
        <v>1673.29</v>
      </c>
      <c r="AP1518" s="2">
        <v>42746</v>
      </c>
      <c r="AQ1518" t="s">
        <v>72</v>
      </c>
      <c r="AR1518" t="s">
        <v>72</v>
      </c>
      <c r="AS1518">
        <v>1333</v>
      </c>
      <c r="AT1518" s="4">
        <v>42513</v>
      </c>
      <c r="AV1518">
        <v>1333</v>
      </c>
      <c r="AW1518" s="4">
        <v>42513</v>
      </c>
      <c r="BD1518">
        <v>0</v>
      </c>
      <c r="BN1518" t="s">
        <v>74</v>
      </c>
    </row>
    <row r="1519" spans="1:66" hidden="1">
      <c r="A1519">
        <v>100387</v>
      </c>
      <c r="B1519" s="3" t="s">
        <v>172</v>
      </c>
      <c r="C1519" s="1">
        <v>43500101</v>
      </c>
      <c r="D1519" t="s">
        <v>113</v>
      </c>
      <c r="H1519" t="str">
        <f>""</f>
        <v/>
      </c>
      <c r="I1519" t="str">
        <f>""</f>
        <v/>
      </c>
      <c r="K1519" t="str">
        <f>""</f>
        <v/>
      </c>
      <c r="M1519" t="s">
        <v>68</v>
      </c>
      <c r="N1519" t="str">
        <f t="shared" si="141"/>
        <v>ALTFIN</v>
      </c>
      <c r="O1519" t="s">
        <v>123</v>
      </c>
      <c r="P1519" s="3" t="s">
        <v>89</v>
      </c>
      <c r="Q1519">
        <v>2016</v>
      </c>
      <c r="R1519" s="2">
        <v>42548</v>
      </c>
      <c r="S1519" s="2">
        <v>42543</v>
      </c>
      <c r="T1519" s="2">
        <v>42543</v>
      </c>
      <c r="U1519" s="2">
        <v>42603</v>
      </c>
      <c r="V1519" t="s">
        <v>71</v>
      </c>
      <c r="W1519" t="str">
        <f>"                0627"</f>
        <v xml:space="preserve">                0627</v>
      </c>
      <c r="X1519">
        <v>0</v>
      </c>
      <c r="Y1519" s="1">
        <v>1674.96</v>
      </c>
      <c r="Z1519"/>
      <c r="AB1519"/>
      <c r="AC1519" s="1">
        <v>1674.96</v>
      </c>
      <c r="AD1519">
        <v>-47</v>
      </c>
      <c r="AE1519" s="1">
        <v>-78723.12</v>
      </c>
      <c r="AF1519">
        <v>0</v>
      </c>
      <c r="AJ1519">
        <v>0</v>
      </c>
      <c r="AK1519">
        <v>0</v>
      </c>
      <c r="AL1519">
        <v>0</v>
      </c>
      <c r="AM1519" s="1">
        <v>1674.96</v>
      </c>
      <c r="AN1519" s="1">
        <v>1674.96</v>
      </c>
      <c r="AO1519" s="1">
        <v>1674.96</v>
      </c>
      <c r="AP1519" s="2">
        <v>42746</v>
      </c>
      <c r="AQ1519" t="s">
        <v>72</v>
      </c>
      <c r="AR1519" t="s">
        <v>72</v>
      </c>
      <c r="AS1519">
        <v>1715</v>
      </c>
      <c r="AT1519" s="4">
        <v>42556</v>
      </c>
      <c r="AV1519">
        <v>1715</v>
      </c>
      <c r="AW1519" s="4">
        <v>42556</v>
      </c>
      <c r="BD1519">
        <v>0</v>
      </c>
      <c r="BN1519" t="s">
        <v>74</v>
      </c>
    </row>
    <row r="1520" spans="1:66" hidden="1">
      <c r="A1520">
        <v>100387</v>
      </c>
      <c r="B1520" s="3" t="s">
        <v>172</v>
      </c>
      <c r="C1520" s="1">
        <v>43500101</v>
      </c>
      <c r="D1520" t="s">
        <v>113</v>
      </c>
      <c r="H1520" t="str">
        <f>""</f>
        <v/>
      </c>
      <c r="I1520" t="str">
        <f>""</f>
        <v/>
      </c>
      <c r="K1520" t="str">
        <f>""</f>
        <v/>
      </c>
      <c r="M1520" t="s">
        <v>68</v>
      </c>
      <c r="N1520" t="str">
        <f t="shared" si="141"/>
        <v>ALTFIN</v>
      </c>
      <c r="O1520" t="s">
        <v>123</v>
      </c>
      <c r="P1520" s="3" t="s">
        <v>90</v>
      </c>
      <c r="Q1520">
        <v>2016</v>
      </c>
      <c r="R1520" s="2">
        <v>42573</v>
      </c>
      <c r="S1520" s="2">
        <v>42573</v>
      </c>
      <c r="T1520" s="2">
        <v>42573</v>
      </c>
      <c r="U1520" s="2">
        <v>42633</v>
      </c>
      <c r="V1520" t="s">
        <v>71</v>
      </c>
      <c r="W1520" t="str">
        <f>"                0722"</f>
        <v xml:space="preserve">                0722</v>
      </c>
      <c r="X1520">
        <v>0</v>
      </c>
      <c r="Y1520" s="1">
        <v>1676.19</v>
      </c>
      <c r="Z1520"/>
      <c r="AB1520"/>
      <c r="AC1520" s="1">
        <v>1676.19</v>
      </c>
      <c r="AD1520">
        <v>-48</v>
      </c>
      <c r="AE1520" s="1">
        <v>-80457.119999999995</v>
      </c>
      <c r="AF1520">
        <v>0</v>
      </c>
      <c r="AJ1520">
        <v>0</v>
      </c>
      <c r="AK1520">
        <v>0</v>
      </c>
      <c r="AL1520">
        <v>0</v>
      </c>
      <c r="AM1520" s="1">
        <v>1676.19</v>
      </c>
      <c r="AN1520" s="1">
        <v>1676.19</v>
      </c>
      <c r="AO1520" s="1">
        <v>1676.19</v>
      </c>
      <c r="AP1520" s="2">
        <v>42746</v>
      </c>
      <c r="AQ1520" t="s">
        <v>72</v>
      </c>
      <c r="AR1520" t="s">
        <v>72</v>
      </c>
      <c r="AS1520">
        <v>2115</v>
      </c>
      <c r="AT1520" s="4">
        <v>42585</v>
      </c>
      <c r="AV1520">
        <v>2115</v>
      </c>
      <c r="AW1520" s="4">
        <v>42585</v>
      </c>
      <c r="BD1520">
        <v>0</v>
      </c>
      <c r="BN1520" t="s">
        <v>74</v>
      </c>
    </row>
    <row r="1521" spans="1:66" hidden="1">
      <c r="A1521">
        <v>100387</v>
      </c>
      <c r="B1521" s="3" t="s">
        <v>172</v>
      </c>
      <c r="C1521" s="1">
        <v>43500101</v>
      </c>
      <c r="D1521" t="s">
        <v>113</v>
      </c>
      <c r="H1521" t="str">
        <f>""</f>
        <v/>
      </c>
      <c r="I1521" t="str">
        <f>""</f>
        <v/>
      </c>
      <c r="K1521" t="str">
        <f>""</f>
        <v/>
      </c>
      <c r="M1521" t="s">
        <v>68</v>
      </c>
      <c r="N1521" t="str">
        <f t="shared" si="141"/>
        <v>ALTFIN</v>
      </c>
      <c r="O1521" t="s">
        <v>123</v>
      </c>
      <c r="P1521" s="3" t="s">
        <v>91</v>
      </c>
      <c r="Q1521">
        <v>2016</v>
      </c>
      <c r="R1521" s="2">
        <v>42592</v>
      </c>
      <c r="S1521" s="2">
        <v>42598</v>
      </c>
      <c r="T1521" s="2">
        <v>42598</v>
      </c>
      <c r="U1521" s="2">
        <v>42658</v>
      </c>
      <c r="V1521" t="s">
        <v>71</v>
      </c>
      <c r="W1521" t="str">
        <f>"                0810"</f>
        <v xml:space="preserve">                0810</v>
      </c>
      <c r="X1521">
        <v>0</v>
      </c>
      <c r="Y1521" s="1">
        <v>1645.51</v>
      </c>
      <c r="Z1521"/>
      <c r="AB1521"/>
      <c r="AC1521" s="1">
        <v>1645.51</v>
      </c>
      <c r="AD1521">
        <v>-60</v>
      </c>
      <c r="AE1521" s="1">
        <v>-98730.6</v>
      </c>
      <c r="AF1521">
        <v>0</v>
      </c>
      <c r="AJ1521">
        <v>0</v>
      </c>
      <c r="AK1521">
        <v>0</v>
      </c>
      <c r="AL1521">
        <v>0</v>
      </c>
      <c r="AM1521" s="1">
        <v>1645.51</v>
      </c>
      <c r="AN1521" s="1">
        <v>1645.51</v>
      </c>
      <c r="AO1521" s="1">
        <v>1645.51</v>
      </c>
      <c r="AP1521" s="2">
        <v>42746</v>
      </c>
      <c r="AQ1521" t="s">
        <v>72</v>
      </c>
      <c r="AR1521" t="s">
        <v>72</v>
      </c>
      <c r="AS1521">
        <v>2197</v>
      </c>
      <c r="AT1521" s="4">
        <v>42598</v>
      </c>
      <c r="AV1521">
        <v>2197</v>
      </c>
      <c r="AW1521" s="4">
        <v>42598</v>
      </c>
      <c r="BD1521">
        <v>0</v>
      </c>
      <c r="BN1521" t="s">
        <v>74</v>
      </c>
    </row>
    <row r="1522" spans="1:66" hidden="1">
      <c r="A1522">
        <v>100387</v>
      </c>
      <c r="B1522" s="3" t="s">
        <v>172</v>
      </c>
      <c r="C1522" s="1">
        <v>43500101</v>
      </c>
      <c r="D1522" t="s">
        <v>113</v>
      </c>
      <c r="H1522" t="str">
        <f>""</f>
        <v/>
      </c>
      <c r="I1522" t="str">
        <f>""</f>
        <v/>
      </c>
      <c r="K1522" t="str">
        <f>""</f>
        <v/>
      </c>
      <c r="M1522" t="s">
        <v>68</v>
      </c>
      <c r="N1522" t="str">
        <f t="shared" si="141"/>
        <v>ALTFIN</v>
      </c>
      <c r="O1522" t="s">
        <v>123</v>
      </c>
      <c r="P1522" s="3" t="s">
        <v>92</v>
      </c>
      <c r="Q1522">
        <v>2016</v>
      </c>
      <c r="R1522" s="2">
        <v>42633</v>
      </c>
      <c r="S1522" s="2">
        <v>42634</v>
      </c>
      <c r="T1522" s="2">
        <v>42634</v>
      </c>
      <c r="U1522" s="2">
        <v>42694</v>
      </c>
      <c r="V1522" t="s">
        <v>71</v>
      </c>
      <c r="W1522" t="str">
        <f>"                0920"</f>
        <v xml:space="preserve">                0920</v>
      </c>
      <c r="X1522">
        <v>0</v>
      </c>
      <c r="Y1522" s="1">
        <v>1656.99</v>
      </c>
      <c r="Z1522"/>
      <c r="AB1522"/>
      <c r="AC1522" s="1">
        <v>1656.99</v>
      </c>
      <c r="AD1522">
        <v>-60</v>
      </c>
      <c r="AE1522" s="1">
        <v>-99419.4</v>
      </c>
      <c r="AF1522">
        <v>0</v>
      </c>
      <c r="AJ1522">
        <v>0</v>
      </c>
      <c r="AK1522">
        <v>0</v>
      </c>
      <c r="AL1522">
        <v>0</v>
      </c>
      <c r="AM1522" s="1">
        <v>1656.99</v>
      </c>
      <c r="AN1522" s="1">
        <v>1656.99</v>
      </c>
      <c r="AO1522" s="1">
        <v>1656.99</v>
      </c>
      <c r="AP1522" s="2">
        <v>42746</v>
      </c>
      <c r="AQ1522" t="s">
        <v>72</v>
      </c>
      <c r="AR1522" t="s">
        <v>72</v>
      </c>
      <c r="AS1522">
        <v>2471</v>
      </c>
      <c r="AT1522" s="4">
        <v>42634</v>
      </c>
      <c r="AV1522">
        <v>2471</v>
      </c>
      <c r="AW1522" s="4">
        <v>42634</v>
      </c>
      <c r="BD1522">
        <v>0</v>
      </c>
      <c r="BN1522" t="s">
        <v>74</v>
      </c>
    </row>
    <row r="1523" spans="1:66" hidden="1">
      <c r="A1523">
        <v>100387</v>
      </c>
      <c r="B1523" s="3" t="s">
        <v>172</v>
      </c>
      <c r="C1523" s="1">
        <v>43500101</v>
      </c>
      <c r="D1523" t="s">
        <v>113</v>
      </c>
      <c r="H1523" t="str">
        <f>""</f>
        <v/>
      </c>
      <c r="I1523" t="str">
        <f>""</f>
        <v/>
      </c>
      <c r="K1523" t="str">
        <f>""</f>
        <v/>
      </c>
      <c r="M1523" t="s">
        <v>68</v>
      </c>
      <c r="N1523" t="str">
        <f t="shared" si="141"/>
        <v>ALTFIN</v>
      </c>
      <c r="O1523" t="s">
        <v>123</v>
      </c>
      <c r="P1523" s="3" t="s">
        <v>93</v>
      </c>
      <c r="Q1523">
        <v>2016</v>
      </c>
      <c r="R1523" s="2">
        <v>42664</v>
      </c>
      <c r="S1523" s="2">
        <v>42667</v>
      </c>
      <c r="T1523" s="2">
        <v>42667</v>
      </c>
      <c r="U1523" s="2">
        <v>42727</v>
      </c>
      <c r="V1523" t="s">
        <v>71</v>
      </c>
      <c r="W1523" t="str">
        <f>"                1021"</f>
        <v xml:space="preserve">                1021</v>
      </c>
      <c r="X1523">
        <v>0</v>
      </c>
      <c r="Y1523" s="1">
        <v>1620.96</v>
      </c>
      <c r="Z1523" s="5">
        <v>1620.96</v>
      </c>
      <c r="AA1523">
        <v>-60</v>
      </c>
      <c r="AB1523" s="5">
        <v>-97257.600000000006</v>
      </c>
      <c r="AC1523" s="1">
        <v>1620.96</v>
      </c>
      <c r="AD1523">
        <v>-60</v>
      </c>
      <c r="AE1523" s="1">
        <v>-97257.600000000006</v>
      </c>
      <c r="AF1523">
        <v>0</v>
      </c>
      <c r="AJ1523" s="1">
        <v>1620.96</v>
      </c>
      <c r="AK1523" s="1">
        <v>1620.96</v>
      </c>
      <c r="AL1523" s="1">
        <v>1620.96</v>
      </c>
      <c r="AM1523" s="1">
        <v>1620.96</v>
      </c>
      <c r="AN1523" s="1">
        <v>1620.96</v>
      </c>
      <c r="AO1523" s="1">
        <v>1620.96</v>
      </c>
      <c r="AP1523" s="2">
        <v>42746</v>
      </c>
      <c r="AQ1523" t="s">
        <v>72</v>
      </c>
      <c r="AR1523" t="s">
        <v>72</v>
      </c>
      <c r="AS1523">
        <v>2818</v>
      </c>
      <c r="AT1523" s="4">
        <v>42667</v>
      </c>
      <c r="AV1523">
        <v>2818</v>
      </c>
      <c r="AW1523" s="4">
        <v>42667</v>
      </c>
      <c r="BD1523">
        <v>0</v>
      </c>
      <c r="BN1523" t="s">
        <v>74</v>
      </c>
    </row>
    <row r="1524" spans="1:66" hidden="1">
      <c r="A1524">
        <v>100387</v>
      </c>
      <c r="B1524" s="3" t="s">
        <v>172</v>
      </c>
      <c r="C1524" s="1">
        <v>43500101</v>
      </c>
      <c r="D1524" t="s">
        <v>113</v>
      </c>
      <c r="H1524" t="str">
        <f>""</f>
        <v/>
      </c>
      <c r="I1524" t="str">
        <f>""</f>
        <v/>
      </c>
      <c r="K1524" t="str">
        <f>""</f>
        <v/>
      </c>
      <c r="M1524" t="s">
        <v>68</v>
      </c>
      <c r="N1524" t="str">
        <f t="shared" si="141"/>
        <v>ALTFIN</v>
      </c>
      <c r="O1524" t="s">
        <v>123</v>
      </c>
      <c r="P1524" s="3" t="s">
        <v>94</v>
      </c>
      <c r="Q1524">
        <v>2016</v>
      </c>
      <c r="R1524" s="2">
        <v>42696</v>
      </c>
      <c r="S1524" s="2">
        <v>42696</v>
      </c>
      <c r="T1524" s="2">
        <v>42696</v>
      </c>
      <c r="U1524" s="2">
        <v>42756</v>
      </c>
      <c r="V1524" t="s">
        <v>71</v>
      </c>
      <c r="W1524" t="str">
        <f>"                1122"</f>
        <v xml:space="preserve">                1122</v>
      </c>
      <c r="X1524">
        <v>0</v>
      </c>
      <c r="Y1524" s="1">
        <v>1608.02</v>
      </c>
      <c r="Z1524" s="5">
        <v>1608.02</v>
      </c>
      <c r="AA1524">
        <v>-59</v>
      </c>
      <c r="AB1524" s="5">
        <v>-94873.18</v>
      </c>
      <c r="AC1524" s="1">
        <v>1608.02</v>
      </c>
      <c r="AD1524">
        <v>-59</v>
      </c>
      <c r="AE1524" s="1">
        <v>-94873.18</v>
      </c>
      <c r="AF1524">
        <v>0</v>
      </c>
      <c r="AJ1524" s="1">
        <v>1608.02</v>
      </c>
      <c r="AK1524" s="1">
        <v>1608.02</v>
      </c>
      <c r="AL1524" s="1">
        <v>1608.02</v>
      </c>
      <c r="AM1524" s="1">
        <v>1608.02</v>
      </c>
      <c r="AN1524" s="1">
        <v>1608.02</v>
      </c>
      <c r="AO1524" s="1">
        <v>1608.02</v>
      </c>
      <c r="AP1524" s="2">
        <v>42746</v>
      </c>
      <c r="AQ1524" t="s">
        <v>72</v>
      </c>
      <c r="AR1524" t="s">
        <v>72</v>
      </c>
      <c r="AS1524">
        <v>3255</v>
      </c>
      <c r="AT1524" s="4">
        <v>42697</v>
      </c>
      <c r="AV1524">
        <v>3255</v>
      </c>
      <c r="AW1524" s="4">
        <v>42697</v>
      </c>
      <c r="BD1524">
        <v>0</v>
      </c>
      <c r="BN1524" t="s">
        <v>74</v>
      </c>
    </row>
    <row r="1525" spans="1:66" hidden="1">
      <c r="A1525">
        <v>100387</v>
      </c>
      <c r="B1525" s="3" t="s">
        <v>172</v>
      </c>
      <c r="C1525" s="1">
        <v>43500101</v>
      </c>
      <c r="D1525" t="s">
        <v>113</v>
      </c>
      <c r="H1525" t="str">
        <f>""</f>
        <v/>
      </c>
      <c r="I1525" t="str">
        <f>""</f>
        <v/>
      </c>
      <c r="K1525" t="str">
        <f>""</f>
        <v/>
      </c>
      <c r="M1525" t="s">
        <v>68</v>
      </c>
      <c r="N1525" t="str">
        <f t="shared" si="141"/>
        <v>ALTFIN</v>
      </c>
      <c r="O1525" t="s">
        <v>123</v>
      </c>
      <c r="P1525" s="3" t="s">
        <v>95</v>
      </c>
      <c r="Q1525">
        <v>2016</v>
      </c>
      <c r="R1525" s="2">
        <v>42717</v>
      </c>
      <c r="S1525" s="2">
        <v>42717</v>
      </c>
      <c r="T1525" s="2">
        <v>42717</v>
      </c>
      <c r="U1525" s="2">
        <v>42777</v>
      </c>
      <c r="V1525" t="s">
        <v>71</v>
      </c>
      <c r="W1525" t="str">
        <f>"                1213"</f>
        <v xml:space="preserve">                1213</v>
      </c>
      <c r="X1525">
        <v>0</v>
      </c>
      <c r="Y1525" s="1">
        <v>1622.27</v>
      </c>
      <c r="Z1525" s="5">
        <v>1622.27</v>
      </c>
      <c r="AA1525">
        <v>-59</v>
      </c>
      <c r="AB1525" s="5">
        <v>-95713.93</v>
      </c>
      <c r="AC1525" s="1">
        <v>1622.27</v>
      </c>
      <c r="AD1525">
        <v>-59</v>
      </c>
      <c r="AE1525" s="1">
        <v>-95713.93</v>
      </c>
      <c r="AF1525">
        <v>0</v>
      </c>
      <c r="AJ1525" s="1">
        <v>1622.27</v>
      </c>
      <c r="AK1525" s="1">
        <v>1622.27</v>
      </c>
      <c r="AL1525" s="1">
        <v>1622.27</v>
      </c>
      <c r="AM1525" s="1">
        <v>1622.27</v>
      </c>
      <c r="AN1525" s="1">
        <v>1622.27</v>
      </c>
      <c r="AO1525" s="1">
        <v>1622.27</v>
      </c>
      <c r="AP1525" s="2">
        <v>42746</v>
      </c>
      <c r="AQ1525" t="s">
        <v>72</v>
      </c>
      <c r="AR1525" t="s">
        <v>72</v>
      </c>
      <c r="AS1525">
        <v>3414</v>
      </c>
      <c r="AT1525" s="4">
        <v>42718</v>
      </c>
      <c r="AV1525">
        <v>3414</v>
      </c>
      <c r="AW1525" s="4">
        <v>42718</v>
      </c>
      <c r="BD1525">
        <v>0</v>
      </c>
      <c r="BN1525" t="s">
        <v>74</v>
      </c>
    </row>
    <row r="1526" spans="1:66" hidden="1">
      <c r="A1526">
        <v>100398</v>
      </c>
      <c r="B1526" s="3" t="s">
        <v>173</v>
      </c>
      <c r="C1526" s="1">
        <v>43300101</v>
      </c>
      <c r="D1526" t="s">
        <v>67</v>
      </c>
      <c r="H1526" t="str">
        <f t="shared" ref="H1526:I1528" si="142">"03663160962"</f>
        <v>03663160962</v>
      </c>
      <c r="I1526" t="str">
        <f t="shared" si="142"/>
        <v>03663160962</v>
      </c>
      <c r="K1526" t="str">
        <f>""</f>
        <v/>
      </c>
      <c r="M1526" t="s">
        <v>68</v>
      </c>
      <c r="N1526" t="str">
        <f t="shared" ref="N1526:N1557" si="143">"FOR"</f>
        <v>FOR</v>
      </c>
      <c r="O1526" t="s">
        <v>69</v>
      </c>
      <c r="P1526" s="3" t="s">
        <v>75</v>
      </c>
      <c r="Q1526">
        <v>2015</v>
      </c>
      <c r="R1526" s="2">
        <v>42201</v>
      </c>
      <c r="S1526" s="2">
        <v>42219</v>
      </c>
      <c r="T1526" s="2">
        <v>42207</v>
      </c>
      <c r="U1526" s="2">
        <v>42267</v>
      </c>
      <c r="V1526" t="s">
        <v>71</v>
      </c>
      <c r="W1526" t="str">
        <f>"             1507635"</f>
        <v xml:space="preserve">             1507635</v>
      </c>
      <c r="X1526" s="1">
        <v>1054.6500000000001</v>
      </c>
      <c r="Y1526">
        <v>0</v>
      </c>
      <c r="Z1526"/>
      <c r="AB1526"/>
      <c r="AC1526">
        <v>958.77</v>
      </c>
      <c r="AD1526">
        <v>253</v>
      </c>
      <c r="AE1526" s="1">
        <v>242568.81</v>
      </c>
      <c r="AF1526">
        <v>0</v>
      </c>
      <c r="AJ1526">
        <v>0</v>
      </c>
      <c r="AK1526">
        <v>0</v>
      </c>
      <c r="AL1526">
        <v>0</v>
      </c>
      <c r="AM1526">
        <v>0</v>
      </c>
      <c r="AN1526">
        <v>0</v>
      </c>
      <c r="AO1526">
        <v>0</v>
      </c>
      <c r="AP1526" s="2">
        <v>42746</v>
      </c>
      <c r="AQ1526" t="s">
        <v>72</v>
      </c>
      <c r="AR1526" t="s">
        <v>72</v>
      </c>
      <c r="AS1526">
        <v>1435</v>
      </c>
      <c r="AT1526" s="4">
        <v>42520</v>
      </c>
      <c r="AU1526" t="s">
        <v>73</v>
      </c>
      <c r="AV1526">
        <v>1435</v>
      </c>
      <c r="AW1526" s="4">
        <v>42520</v>
      </c>
      <c r="BD1526">
        <v>0</v>
      </c>
      <c r="BN1526" t="s">
        <v>74</v>
      </c>
    </row>
    <row r="1527" spans="1:66" hidden="1">
      <c r="A1527">
        <v>100398</v>
      </c>
      <c r="B1527" s="3" t="s">
        <v>173</v>
      </c>
      <c r="C1527" s="1">
        <v>43300101</v>
      </c>
      <c r="D1527" t="s">
        <v>67</v>
      </c>
      <c r="H1527" t="str">
        <f t="shared" si="142"/>
        <v>03663160962</v>
      </c>
      <c r="I1527" t="str">
        <f t="shared" si="142"/>
        <v>03663160962</v>
      </c>
      <c r="K1527" t="str">
        <f>""</f>
        <v/>
      </c>
      <c r="M1527" t="s">
        <v>68</v>
      </c>
      <c r="N1527" t="str">
        <f t="shared" si="143"/>
        <v>FOR</v>
      </c>
      <c r="O1527" t="s">
        <v>69</v>
      </c>
      <c r="P1527" s="3" t="s">
        <v>75</v>
      </c>
      <c r="Q1527">
        <v>2015</v>
      </c>
      <c r="R1527" s="2">
        <v>42212</v>
      </c>
      <c r="S1527" s="2">
        <v>42223</v>
      </c>
      <c r="T1527" s="2">
        <v>42214</v>
      </c>
      <c r="U1527" s="2">
        <v>42274</v>
      </c>
      <c r="V1527" t="s">
        <v>71</v>
      </c>
      <c r="W1527" t="str">
        <f>"             1508098"</f>
        <v xml:space="preserve">             1508098</v>
      </c>
      <c r="X1527" s="1">
        <v>2109.29</v>
      </c>
      <c r="Y1527">
        <v>0</v>
      </c>
      <c r="Z1527"/>
      <c r="AB1527"/>
      <c r="AC1527" s="1">
        <v>1917.54</v>
      </c>
      <c r="AD1527">
        <v>246</v>
      </c>
      <c r="AE1527" s="1">
        <v>471714.84</v>
      </c>
      <c r="AF1527">
        <v>0</v>
      </c>
      <c r="AJ1527">
        <v>0</v>
      </c>
      <c r="AK1527">
        <v>0</v>
      </c>
      <c r="AL1527">
        <v>0</v>
      </c>
      <c r="AM1527">
        <v>0</v>
      </c>
      <c r="AN1527">
        <v>0</v>
      </c>
      <c r="AO1527">
        <v>0</v>
      </c>
      <c r="AP1527" s="2">
        <v>42746</v>
      </c>
      <c r="AQ1527" t="s">
        <v>72</v>
      </c>
      <c r="AR1527" t="s">
        <v>72</v>
      </c>
      <c r="AS1527">
        <v>1435</v>
      </c>
      <c r="AT1527" s="4">
        <v>42520</v>
      </c>
      <c r="AU1527" t="s">
        <v>73</v>
      </c>
      <c r="AV1527">
        <v>1435</v>
      </c>
      <c r="AW1527" s="4">
        <v>42520</v>
      </c>
      <c r="BD1527">
        <v>0</v>
      </c>
      <c r="BN1527" t="s">
        <v>74</v>
      </c>
    </row>
    <row r="1528" spans="1:66" hidden="1">
      <c r="A1528">
        <v>100398</v>
      </c>
      <c r="B1528" s="3" t="s">
        <v>173</v>
      </c>
      <c r="C1528" s="1">
        <v>43300101</v>
      </c>
      <c r="D1528" t="s">
        <v>67</v>
      </c>
      <c r="H1528" t="str">
        <f t="shared" si="142"/>
        <v>03663160962</v>
      </c>
      <c r="I1528" t="str">
        <f t="shared" si="142"/>
        <v>03663160962</v>
      </c>
      <c r="K1528" t="str">
        <f>""</f>
        <v/>
      </c>
      <c r="M1528" t="s">
        <v>68</v>
      </c>
      <c r="N1528" t="str">
        <f t="shared" si="143"/>
        <v>FOR</v>
      </c>
      <c r="O1528" t="s">
        <v>69</v>
      </c>
      <c r="P1528" s="3" t="s">
        <v>75</v>
      </c>
      <c r="Q1528">
        <v>2015</v>
      </c>
      <c r="R1528" s="2">
        <v>42268</v>
      </c>
      <c r="S1528" s="2">
        <v>42270</v>
      </c>
      <c r="T1528" s="2">
        <v>42269</v>
      </c>
      <c r="U1528" s="2">
        <v>42329</v>
      </c>
      <c r="V1528" t="s">
        <v>71</v>
      </c>
      <c r="W1528" t="str">
        <f>"             1510084"</f>
        <v xml:space="preserve">             1510084</v>
      </c>
      <c r="X1528" s="1">
        <v>1054.6500000000001</v>
      </c>
      <c r="Y1528">
        <v>0</v>
      </c>
      <c r="Z1528"/>
      <c r="AB1528"/>
      <c r="AC1528">
        <v>958.77</v>
      </c>
      <c r="AD1528">
        <v>191</v>
      </c>
      <c r="AE1528" s="1">
        <v>183125.07</v>
      </c>
      <c r="AF1528">
        <v>0</v>
      </c>
      <c r="AJ1528">
        <v>0</v>
      </c>
      <c r="AK1528">
        <v>0</v>
      </c>
      <c r="AL1528">
        <v>0</v>
      </c>
      <c r="AM1528">
        <v>0</v>
      </c>
      <c r="AN1528">
        <v>0</v>
      </c>
      <c r="AO1528">
        <v>0</v>
      </c>
      <c r="AP1528" s="2">
        <v>42746</v>
      </c>
      <c r="AQ1528" t="s">
        <v>72</v>
      </c>
      <c r="AR1528" t="s">
        <v>72</v>
      </c>
      <c r="AS1528">
        <v>1435</v>
      </c>
      <c r="AT1528" s="4">
        <v>42520</v>
      </c>
      <c r="AU1528" t="s">
        <v>73</v>
      </c>
      <c r="AV1528">
        <v>1435</v>
      </c>
      <c r="AW1528" s="4">
        <v>42520</v>
      </c>
      <c r="BD1528">
        <v>0</v>
      </c>
      <c r="BN1528" t="s">
        <v>74</v>
      </c>
    </row>
    <row r="1529" spans="1:66" hidden="1">
      <c r="A1529">
        <v>100408</v>
      </c>
      <c r="B1529" s="3" t="s">
        <v>174</v>
      </c>
      <c r="C1529" s="1">
        <v>43300101</v>
      </c>
      <c r="D1529" t="s">
        <v>67</v>
      </c>
      <c r="H1529" t="str">
        <f>"04090050966"</f>
        <v>04090050966</v>
      </c>
      <c r="I1529" t="str">
        <f>"04090050966"</f>
        <v>04090050966</v>
      </c>
      <c r="K1529" t="str">
        <f>""</f>
        <v/>
      </c>
      <c r="M1529" t="s">
        <v>68</v>
      </c>
      <c r="N1529" t="str">
        <f t="shared" si="143"/>
        <v>FOR</v>
      </c>
      <c r="O1529" t="s">
        <v>69</v>
      </c>
      <c r="P1529" s="3" t="s">
        <v>75</v>
      </c>
      <c r="Q1529">
        <v>2015</v>
      </c>
      <c r="R1529" s="2">
        <v>42248</v>
      </c>
      <c r="S1529" s="2">
        <v>42250</v>
      </c>
      <c r="T1529" s="2">
        <v>42249</v>
      </c>
      <c r="U1529" s="2">
        <v>42309</v>
      </c>
      <c r="V1529" t="s">
        <v>71</v>
      </c>
      <c r="W1529" t="str">
        <f>"               00160"</f>
        <v xml:space="preserve">               00160</v>
      </c>
      <c r="X1529" s="1">
        <v>1830</v>
      </c>
      <c r="Y1529">
        <v>0</v>
      </c>
      <c r="Z1529"/>
      <c r="AB1529"/>
      <c r="AC1529" s="1">
        <v>1500</v>
      </c>
      <c r="AD1529">
        <v>92</v>
      </c>
      <c r="AE1529" s="1">
        <v>138000</v>
      </c>
      <c r="AF1529">
        <v>0</v>
      </c>
      <c r="AJ1529">
        <v>0</v>
      </c>
      <c r="AK1529">
        <v>0</v>
      </c>
      <c r="AL1529">
        <v>0</v>
      </c>
      <c r="AM1529">
        <v>0</v>
      </c>
      <c r="AN1529">
        <v>0</v>
      </c>
      <c r="AO1529">
        <v>0</v>
      </c>
      <c r="AP1529" s="2">
        <v>42746</v>
      </c>
      <c r="AQ1529" t="s">
        <v>72</v>
      </c>
      <c r="AR1529" t="s">
        <v>72</v>
      </c>
      <c r="AS1529">
        <v>164</v>
      </c>
      <c r="AT1529" s="4">
        <v>42401</v>
      </c>
      <c r="AU1529" t="s">
        <v>73</v>
      </c>
      <c r="AV1529">
        <v>164</v>
      </c>
      <c r="AW1529" s="4">
        <v>42401</v>
      </c>
      <c r="BD1529">
        <v>0</v>
      </c>
      <c r="BN1529" t="s">
        <v>74</v>
      </c>
    </row>
    <row r="1530" spans="1:66" hidden="1">
      <c r="A1530">
        <v>100408</v>
      </c>
      <c r="B1530" s="3" t="s">
        <v>174</v>
      </c>
      <c r="C1530" s="1">
        <v>43300101</v>
      </c>
      <c r="D1530" t="s">
        <v>67</v>
      </c>
      <c r="H1530" t="str">
        <f>"04090050966"</f>
        <v>04090050966</v>
      </c>
      <c r="I1530" t="str">
        <f>"04090050966"</f>
        <v>04090050966</v>
      </c>
      <c r="K1530" t="str">
        <f>""</f>
        <v/>
      </c>
      <c r="M1530" t="s">
        <v>68</v>
      </c>
      <c r="N1530" t="str">
        <f t="shared" si="143"/>
        <v>FOR</v>
      </c>
      <c r="O1530" t="s">
        <v>69</v>
      </c>
      <c r="P1530" s="3" t="s">
        <v>75</v>
      </c>
      <c r="Q1530">
        <v>2016</v>
      </c>
      <c r="R1530" s="2">
        <v>42460</v>
      </c>
      <c r="S1530" s="2">
        <v>42465</v>
      </c>
      <c r="T1530" s="2">
        <v>42461</v>
      </c>
      <c r="U1530" s="2">
        <v>42521</v>
      </c>
      <c r="V1530" t="s">
        <v>71</v>
      </c>
      <c r="W1530" t="str">
        <f>"                0066"</f>
        <v xml:space="preserve">                0066</v>
      </c>
      <c r="X1530" s="1">
        <v>1708</v>
      </c>
      <c r="Y1530">
        <v>0</v>
      </c>
      <c r="Z1530"/>
      <c r="AB1530"/>
      <c r="AC1530" s="1">
        <v>1400</v>
      </c>
      <c r="AD1530">
        <v>57</v>
      </c>
      <c r="AE1530" s="1">
        <v>79800</v>
      </c>
      <c r="AF1530">
        <v>0</v>
      </c>
      <c r="AJ1530">
        <v>0</v>
      </c>
      <c r="AK1530">
        <v>0</v>
      </c>
      <c r="AL1530">
        <v>0</v>
      </c>
      <c r="AM1530" s="1">
        <v>1708</v>
      </c>
      <c r="AN1530" s="1">
        <v>1708</v>
      </c>
      <c r="AO1530" s="1">
        <v>1708</v>
      </c>
      <c r="AP1530" s="2">
        <v>42746</v>
      </c>
      <c r="AQ1530" t="s">
        <v>72</v>
      </c>
      <c r="AR1530" t="s">
        <v>72</v>
      </c>
      <c r="AS1530">
        <v>1985</v>
      </c>
      <c r="AT1530" s="4">
        <v>42578</v>
      </c>
      <c r="AU1530" t="s">
        <v>73</v>
      </c>
      <c r="AV1530">
        <v>1985</v>
      </c>
      <c r="AW1530" s="4">
        <v>42578</v>
      </c>
      <c r="BD1530">
        <v>0</v>
      </c>
      <c r="BN1530" t="s">
        <v>74</v>
      </c>
    </row>
    <row r="1531" spans="1:66">
      <c r="A1531">
        <v>100415</v>
      </c>
      <c r="B1531" s="3" t="s">
        <v>175</v>
      </c>
      <c r="C1531" s="1">
        <v>43300101</v>
      </c>
      <c r="D1531" t="s">
        <v>67</v>
      </c>
      <c r="H1531" t="str">
        <f>"PNRFNN55T14A783G"</f>
        <v>PNRFNN55T14A783G</v>
      </c>
      <c r="I1531" t="str">
        <f>"00557580628"</f>
        <v>00557580628</v>
      </c>
      <c r="K1531" t="str">
        <f>""</f>
        <v/>
      </c>
      <c r="M1531" t="s">
        <v>68</v>
      </c>
      <c r="N1531" t="str">
        <f t="shared" si="143"/>
        <v>FOR</v>
      </c>
      <c r="O1531" t="s">
        <v>69</v>
      </c>
      <c r="P1531" s="3" t="s">
        <v>75</v>
      </c>
      <c r="Q1531">
        <v>2016</v>
      </c>
      <c r="R1531" s="2">
        <v>42515</v>
      </c>
      <c r="S1531" s="2">
        <v>42516</v>
      </c>
      <c r="T1531" s="2">
        <v>42515</v>
      </c>
      <c r="U1531" s="2">
        <v>42575</v>
      </c>
      <c r="V1531" t="s">
        <v>71</v>
      </c>
      <c r="W1531" t="str">
        <f>"                 5PA"</f>
        <v xml:space="preserve">                 5PA</v>
      </c>
      <c r="X1531" s="1">
        <v>2074</v>
      </c>
      <c r="Y1531">
        <v>-340</v>
      </c>
      <c r="Z1531" s="5">
        <v>1734</v>
      </c>
      <c r="AA1531">
        <v>71</v>
      </c>
      <c r="AB1531" s="5">
        <v>123114</v>
      </c>
      <c r="AC1531" s="1">
        <v>1734</v>
      </c>
      <c r="AD1531">
        <v>71</v>
      </c>
      <c r="AE1531" s="1">
        <v>123114</v>
      </c>
      <c r="AF1531">
        <v>0</v>
      </c>
      <c r="AJ1531">
        <v>0</v>
      </c>
      <c r="AK1531">
        <v>0</v>
      </c>
      <c r="AL1531">
        <v>0</v>
      </c>
      <c r="AM1531" s="1">
        <v>1734</v>
      </c>
      <c r="AN1531" s="1">
        <v>1734</v>
      </c>
      <c r="AO1531" s="1">
        <v>1734</v>
      </c>
      <c r="AP1531" s="2">
        <v>42746</v>
      </c>
      <c r="AQ1531" t="s">
        <v>72</v>
      </c>
      <c r="AR1531" t="s">
        <v>72</v>
      </c>
      <c r="AS1531">
        <v>2530</v>
      </c>
      <c r="AT1531" s="4">
        <v>42646</v>
      </c>
      <c r="AU1531" t="s">
        <v>73</v>
      </c>
      <c r="AV1531">
        <v>2530</v>
      </c>
      <c r="AW1531" s="4">
        <v>42646</v>
      </c>
      <c r="BD1531">
        <v>0</v>
      </c>
      <c r="BN1531" t="s">
        <v>74</v>
      </c>
    </row>
    <row r="1532" spans="1:66" hidden="1">
      <c r="A1532">
        <v>100419</v>
      </c>
      <c r="B1532" s="3" t="s">
        <v>176</v>
      </c>
      <c r="C1532" s="1">
        <v>43300101</v>
      </c>
      <c r="D1532" t="s">
        <v>67</v>
      </c>
      <c r="H1532" t="str">
        <f t="shared" ref="H1532:I1540" si="144">"04874470968"</f>
        <v>04874470968</v>
      </c>
      <c r="I1532" t="str">
        <f t="shared" si="144"/>
        <v>04874470968</v>
      </c>
      <c r="K1532" t="str">
        <f>""</f>
        <v/>
      </c>
      <c r="M1532" t="s">
        <v>68</v>
      </c>
      <c r="N1532" t="str">
        <f t="shared" si="143"/>
        <v>FOR</v>
      </c>
      <c r="O1532" t="s">
        <v>69</v>
      </c>
      <c r="P1532" s="3" t="s">
        <v>75</v>
      </c>
      <c r="Q1532">
        <v>2015</v>
      </c>
      <c r="R1532" s="2">
        <v>42303</v>
      </c>
      <c r="S1532" s="2">
        <v>42306</v>
      </c>
      <c r="T1532" s="2">
        <v>42304</v>
      </c>
      <c r="U1532" s="2">
        <v>42364</v>
      </c>
      <c r="V1532" t="s">
        <v>71</v>
      </c>
      <c r="W1532" t="str">
        <f>"        20150942 /PA"</f>
        <v xml:space="preserve">        20150942 /PA</v>
      </c>
      <c r="X1532" s="1">
        <v>3708.95</v>
      </c>
      <c r="Y1532">
        <v>0</v>
      </c>
      <c r="Z1532"/>
      <c r="AB1532"/>
      <c r="AC1532" s="1">
        <v>3566.3</v>
      </c>
      <c r="AD1532">
        <v>67</v>
      </c>
      <c r="AE1532" s="1">
        <v>238942.1</v>
      </c>
      <c r="AF1532">
        <v>0</v>
      </c>
      <c r="AJ1532">
        <v>0</v>
      </c>
      <c r="AK1532">
        <v>0</v>
      </c>
      <c r="AL1532">
        <v>0</v>
      </c>
      <c r="AM1532">
        <v>0</v>
      </c>
      <c r="AN1532">
        <v>0</v>
      </c>
      <c r="AO1532">
        <v>0</v>
      </c>
      <c r="AP1532" s="2">
        <v>42746</v>
      </c>
      <c r="AQ1532" t="s">
        <v>72</v>
      </c>
      <c r="AR1532" t="s">
        <v>72</v>
      </c>
      <c r="AS1532">
        <v>626</v>
      </c>
      <c r="AT1532" s="4">
        <v>42431</v>
      </c>
      <c r="AU1532" t="s">
        <v>73</v>
      </c>
      <c r="AV1532">
        <v>626</v>
      </c>
      <c r="AW1532" s="4">
        <v>42431</v>
      </c>
      <c r="BD1532">
        <v>0</v>
      </c>
      <c r="BN1532" t="s">
        <v>74</v>
      </c>
    </row>
    <row r="1533" spans="1:66" hidden="1">
      <c r="A1533">
        <v>100419</v>
      </c>
      <c r="B1533" s="3" t="s">
        <v>176</v>
      </c>
      <c r="C1533" s="1">
        <v>43300101</v>
      </c>
      <c r="D1533" t="s">
        <v>67</v>
      </c>
      <c r="H1533" t="str">
        <f t="shared" si="144"/>
        <v>04874470968</v>
      </c>
      <c r="I1533" t="str">
        <f t="shared" si="144"/>
        <v>04874470968</v>
      </c>
      <c r="K1533" t="str">
        <f>""</f>
        <v/>
      </c>
      <c r="M1533" t="s">
        <v>68</v>
      </c>
      <c r="N1533" t="str">
        <f t="shared" si="143"/>
        <v>FOR</v>
      </c>
      <c r="O1533" t="s">
        <v>69</v>
      </c>
      <c r="P1533" s="3" t="s">
        <v>75</v>
      </c>
      <c r="Q1533">
        <v>2015</v>
      </c>
      <c r="R1533" s="2">
        <v>42303</v>
      </c>
      <c r="S1533" s="2">
        <v>42306</v>
      </c>
      <c r="T1533" s="2">
        <v>42304</v>
      </c>
      <c r="U1533" s="2">
        <v>42364</v>
      </c>
      <c r="V1533" t="s">
        <v>71</v>
      </c>
      <c r="W1533" t="str">
        <f>"        20150943 /PA"</f>
        <v xml:space="preserve">        20150943 /PA</v>
      </c>
      <c r="X1533" s="1">
        <v>3708.95</v>
      </c>
      <c r="Y1533">
        <v>0</v>
      </c>
      <c r="Z1533"/>
      <c r="AB1533"/>
      <c r="AC1533" s="1">
        <v>3566.3</v>
      </c>
      <c r="AD1533">
        <v>67</v>
      </c>
      <c r="AE1533" s="1">
        <v>238942.1</v>
      </c>
      <c r="AF1533">
        <v>0</v>
      </c>
      <c r="AJ1533">
        <v>0</v>
      </c>
      <c r="AK1533">
        <v>0</v>
      </c>
      <c r="AL1533">
        <v>0</v>
      </c>
      <c r="AM1533">
        <v>0</v>
      </c>
      <c r="AN1533">
        <v>0</v>
      </c>
      <c r="AO1533">
        <v>0</v>
      </c>
      <c r="AP1533" s="2">
        <v>42746</v>
      </c>
      <c r="AQ1533" t="s">
        <v>72</v>
      </c>
      <c r="AR1533" t="s">
        <v>72</v>
      </c>
      <c r="AS1533">
        <v>626</v>
      </c>
      <c r="AT1533" s="4">
        <v>42431</v>
      </c>
      <c r="AU1533" t="s">
        <v>73</v>
      </c>
      <c r="AV1533">
        <v>626</v>
      </c>
      <c r="AW1533" s="4">
        <v>42431</v>
      </c>
      <c r="BD1533">
        <v>0</v>
      </c>
      <c r="BN1533" t="s">
        <v>74</v>
      </c>
    </row>
    <row r="1534" spans="1:66" hidden="1">
      <c r="A1534">
        <v>100419</v>
      </c>
      <c r="B1534" s="3" t="s">
        <v>176</v>
      </c>
      <c r="C1534" s="1">
        <v>43300101</v>
      </c>
      <c r="D1534" t="s">
        <v>67</v>
      </c>
      <c r="H1534" t="str">
        <f t="shared" si="144"/>
        <v>04874470968</v>
      </c>
      <c r="I1534" t="str">
        <f t="shared" si="144"/>
        <v>04874470968</v>
      </c>
      <c r="K1534" t="str">
        <f>""</f>
        <v/>
      </c>
      <c r="M1534" t="s">
        <v>68</v>
      </c>
      <c r="N1534" t="str">
        <f t="shared" si="143"/>
        <v>FOR</v>
      </c>
      <c r="O1534" t="s">
        <v>69</v>
      </c>
      <c r="P1534" s="3" t="s">
        <v>75</v>
      </c>
      <c r="Q1534">
        <v>2015</v>
      </c>
      <c r="R1534" s="2">
        <v>42318</v>
      </c>
      <c r="S1534" s="2">
        <v>42438</v>
      </c>
      <c r="T1534" s="2">
        <v>42436</v>
      </c>
      <c r="U1534" s="2">
        <v>42496</v>
      </c>
      <c r="V1534" t="s">
        <v>71</v>
      </c>
      <c r="W1534" t="str">
        <f>"        20151014 /PA"</f>
        <v xml:space="preserve">        20151014 /PA</v>
      </c>
      <c r="X1534" s="1">
        <v>3639.91</v>
      </c>
      <c r="Y1534">
        <v>0</v>
      </c>
      <c r="Z1534"/>
      <c r="AB1534"/>
      <c r="AC1534" s="1">
        <v>3499.91</v>
      </c>
      <c r="AD1534">
        <v>24</v>
      </c>
      <c r="AE1534" s="1">
        <v>83997.84</v>
      </c>
      <c r="AF1534">
        <v>0</v>
      </c>
      <c r="AJ1534">
        <v>0</v>
      </c>
      <c r="AK1534">
        <v>0</v>
      </c>
      <c r="AL1534">
        <v>0</v>
      </c>
      <c r="AM1534">
        <v>0</v>
      </c>
      <c r="AN1534" s="1">
        <v>3639.91</v>
      </c>
      <c r="AO1534">
        <v>0</v>
      </c>
      <c r="AP1534" s="2">
        <v>42746</v>
      </c>
      <c r="AQ1534" t="s">
        <v>72</v>
      </c>
      <c r="AR1534" t="s">
        <v>72</v>
      </c>
      <c r="AS1534">
        <v>1424</v>
      </c>
      <c r="AT1534" s="4">
        <v>42520</v>
      </c>
      <c r="AU1534" t="s">
        <v>73</v>
      </c>
      <c r="AV1534">
        <v>1424</v>
      </c>
      <c r="AW1534" s="4">
        <v>42520</v>
      </c>
      <c r="BD1534">
        <v>0</v>
      </c>
      <c r="BN1534" t="s">
        <v>74</v>
      </c>
    </row>
    <row r="1535" spans="1:66" hidden="1">
      <c r="A1535">
        <v>100419</v>
      </c>
      <c r="B1535" s="3" t="s">
        <v>176</v>
      </c>
      <c r="C1535" s="1">
        <v>43300101</v>
      </c>
      <c r="D1535" t="s">
        <v>67</v>
      </c>
      <c r="H1535" t="str">
        <f t="shared" si="144"/>
        <v>04874470968</v>
      </c>
      <c r="I1535" t="str">
        <f t="shared" si="144"/>
        <v>04874470968</v>
      </c>
      <c r="K1535" t="str">
        <f>""</f>
        <v/>
      </c>
      <c r="M1535" t="s">
        <v>68</v>
      </c>
      <c r="N1535" t="str">
        <f t="shared" si="143"/>
        <v>FOR</v>
      </c>
      <c r="O1535" t="s">
        <v>69</v>
      </c>
      <c r="P1535" s="3" t="s">
        <v>75</v>
      </c>
      <c r="Q1535">
        <v>2016</v>
      </c>
      <c r="R1535" s="2">
        <v>42419</v>
      </c>
      <c r="S1535" s="2">
        <v>42436</v>
      </c>
      <c r="T1535" s="2">
        <v>42425</v>
      </c>
      <c r="U1535" s="2">
        <v>42485</v>
      </c>
      <c r="V1535" t="s">
        <v>71</v>
      </c>
      <c r="W1535" t="str">
        <f>"        20160083 /PA"</f>
        <v xml:space="preserve">        20160083 /PA</v>
      </c>
      <c r="X1535" s="1">
        <v>2544.88</v>
      </c>
      <c r="Y1535">
        <v>0</v>
      </c>
      <c r="Z1535"/>
      <c r="AB1535"/>
      <c r="AC1535" s="1">
        <v>2447</v>
      </c>
      <c r="AD1535">
        <v>42</v>
      </c>
      <c r="AE1535" s="1">
        <v>102774</v>
      </c>
      <c r="AF1535">
        <v>0</v>
      </c>
      <c r="AJ1535">
        <v>0</v>
      </c>
      <c r="AK1535">
        <v>0</v>
      </c>
      <c r="AL1535">
        <v>0</v>
      </c>
      <c r="AM1535" s="1">
        <v>2544.88</v>
      </c>
      <c r="AN1535" s="1">
        <v>2544.88</v>
      </c>
      <c r="AO1535" s="1">
        <v>2544.88</v>
      </c>
      <c r="AP1535" s="2">
        <v>42746</v>
      </c>
      <c r="AQ1535" t="s">
        <v>72</v>
      </c>
      <c r="AR1535" t="s">
        <v>72</v>
      </c>
      <c r="AS1535">
        <v>1508</v>
      </c>
      <c r="AT1535" s="4">
        <v>42527</v>
      </c>
      <c r="AU1535" t="s">
        <v>73</v>
      </c>
      <c r="AV1535">
        <v>1508</v>
      </c>
      <c r="AW1535" s="4">
        <v>42527</v>
      </c>
      <c r="BD1535">
        <v>0</v>
      </c>
      <c r="BN1535" t="s">
        <v>74</v>
      </c>
    </row>
    <row r="1536" spans="1:66" hidden="1">
      <c r="A1536">
        <v>100419</v>
      </c>
      <c r="B1536" s="3" t="s">
        <v>176</v>
      </c>
      <c r="C1536" s="1">
        <v>43300101</v>
      </c>
      <c r="D1536" t="s">
        <v>67</v>
      </c>
      <c r="H1536" t="str">
        <f t="shared" si="144"/>
        <v>04874470968</v>
      </c>
      <c r="I1536" t="str">
        <f t="shared" si="144"/>
        <v>04874470968</v>
      </c>
      <c r="K1536" t="str">
        <f>""</f>
        <v/>
      </c>
      <c r="M1536" t="s">
        <v>68</v>
      </c>
      <c r="N1536" t="str">
        <f t="shared" si="143"/>
        <v>FOR</v>
      </c>
      <c r="O1536" t="s">
        <v>69</v>
      </c>
      <c r="P1536" s="3" t="s">
        <v>75</v>
      </c>
      <c r="Q1536">
        <v>2016</v>
      </c>
      <c r="R1536" s="2">
        <v>42419</v>
      </c>
      <c r="S1536" s="2">
        <v>42436</v>
      </c>
      <c r="T1536" s="2">
        <v>42425</v>
      </c>
      <c r="U1536" s="2">
        <v>42485</v>
      </c>
      <c r="V1536" t="s">
        <v>71</v>
      </c>
      <c r="W1536" t="str">
        <f>"        20160084 /PA"</f>
        <v xml:space="preserve">        20160084 /PA</v>
      </c>
      <c r="X1536" s="1">
        <v>2544.88</v>
      </c>
      <c r="Y1536">
        <v>0</v>
      </c>
      <c r="Z1536"/>
      <c r="AB1536"/>
      <c r="AC1536" s="1">
        <v>2447</v>
      </c>
      <c r="AD1536">
        <v>42</v>
      </c>
      <c r="AE1536" s="1">
        <v>102774</v>
      </c>
      <c r="AF1536">
        <v>0</v>
      </c>
      <c r="AJ1536">
        <v>0</v>
      </c>
      <c r="AK1536">
        <v>0</v>
      </c>
      <c r="AL1536">
        <v>0</v>
      </c>
      <c r="AM1536" s="1">
        <v>2544.88</v>
      </c>
      <c r="AN1536" s="1">
        <v>2544.88</v>
      </c>
      <c r="AO1536" s="1">
        <v>2544.88</v>
      </c>
      <c r="AP1536" s="2">
        <v>42746</v>
      </c>
      <c r="AQ1536" t="s">
        <v>72</v>
      </c>
      <c r="AR1536" t="s">
        <v>72</v>
      </c>
      <c r="AS1536">
        <v>1508</v>
      </c>
      <c r="AT1536" s="4">
        <v>42527</v>
      </c>
      <c r="AU1536" t="s">
        <v>73</v>
      </c>
      <c r="AV1536">
        <v>1508</v>
      </c>
      <c r="AW1536" s="4">
        <v>42527</v>
      </c>
      <c r="BD1536">
        <v>0</v>
      </c>
      <c r="BN1536" t="s">
        <v>74</v>
      </c>
    </row>
    <row r="1537" spans="1:66" hidden="1">
      <c r="A1537">
        <v>100419</v>
      </c>
      <c r="B1537" s="3" t="s">
        <v>176</v>
      </c>
      <c r="C1537" s="1">
        <v>43300101</v>
      </c>
      <c r="D1537" t="s">
        <v>67</v>
      </c>
      <c r="H1537" t="str">
        <f t="shared" si="144"/>
        <v>04874470968</v>
      </c>
      <c r="I1537" t="str">
        <f t="shared" si="144"/>
        <v>04874470968</v>
      </c>
      <c r="K1537" t="str">
        <f>""</f>
        <v/>
      </c>
      <c r="M1537" t="s">
        <v>68</v>
      </c>
      <c r="N1537" t="str">
        <f t="shared" si="143"/>
        <v>FOR</v>
      </c>
      <c r="O1537" t="s">
        <v>69</v>
      </c>
      <c r="P1537" s="3" t="s">
        <v>75</v>
      </c>
      <c r="Q1537">
        <v>2016</v>
      </c>
      <c r="R1537" s="2">
        <v>42429</v>
      </c>
      <c r="S1537" s="2">
        <v>42438</v>
      </c>
      <c r="T1537" s="2">
        <v>42436</v>
      </c>
      <c r="U1537" s="2">
        <v>42496</v>
      </c>
      <c r="V1537" t="s">
        <v>71</v>
      </c>
      <c r="W1537" t="str">
        <f>"        20160120 /PA"</f>
        <v xml:space="preserve">        20160120 /PA</v>
      </c>
      <c r="X1537" s="1">
        <v>3708.95</v>
      </c>
      <c r="Y1537">
        <v>0</v>
      </c>
      <c r="Z1537"/>
      <c r="AB1537"/>
      <c r="AC1537" s="1">
        <v>3566.3</v>
      </c>
      <c r="AD1537">
        <v>31</v>
      </c>
      <c r="AE1537" s="1">
        <v>110555.3</v>
      </c>
      <c r="AF1537">
        <v>0</v>
      </c>
      <c r="AJ1537">
        <v>0</v>
      </c>
      <c r="AK1537">
        <v>0</v>
      </c>
      <c r="AL1537">
        <v>0</v>
      </c>
      <c r="AM1537" s="1">
        <v>3708.95</v>
      </c>
      <c r="AN1537" s="1">
        <v>3708.95</v>
      </c>
      <c r="AO1537" s="1">
        <v>3708.95</v>
      </c>
      <c r="AP1537" s="2">
        <v>42746</v>
      </c>
      <c r="AQ1537" t="s">
        <v>72</v>
      </c>
      <c r="AR1537" t="s">
        <v>72</v>
      </c>
      <c r="AS1537">
        <v>1508</v>
      </c>
      <c r="AT1537" s="4">
        <v>42527</v>
      </c>
      <c r="AU1537" t="s">
        <v>73</v>
      </c>
      <c r="AV1537">
        <v>1508</v>
      </c>
      <c r="AW1537" s="4">
        <v>42527</v>
      </c>
      <c r="BD1537">
        <v>0</v>
      </c>
      <c r="BN1537" t="s">
        <v>74</v>
      </c>
    </row>
    <row r="1538" spans="1:66">
      <c r="A1538">
        <v>100419</v>
      </c>
      <c r="B1538" s="3" t="s">
        <v>176</v>
      </c>
      <c r="C1538" s="1">
        <v>43300101</v>
      </c>
      <c r="D1538" t="s">
        <v>67</v>
      </c>
      <c r="H1538" t="str">
        <f t="shared" si="144"/>
        <v>04874470968</v>
      </c>
      <c r="I1538" t="str">
        <f t="shared" si="144"/>
        <v>04874470968</v>
      </c>
      <c r="K1538" t="str">
        <f>""</f>
        <v/>
      </c>
      <c r="M1538" t="s">
        <v>68</v>
      </c>
      <c r="N1538" t="str">
        <f t="shared" si="143"/>
        <v>FOR</v>
      </c>
      <c r="O1538" t="s">
        <v>69</v>
      </c>
      <c r="P1538" s="3" t="s">
        <v>75</v>
      </c>
      <c r="Q1538">
        <v>2016</v>
      </c>
      <c r="R1538" s="2">
        <v>42514</v>
      </c>
      <c r="S1538" s="2">
        <v>42515</v>
      </c>
      <c r="T1538" s="2">
        <v>42514</v>
      </c>
      <c r="U1538" s="2">
        <v>42574</v>
      </c>
      <c r="V1538" t="s">
        <v>71</v>
      </c>
      <c r="W1538" t="str">
        <f>"        20160373 /PA"</f>
        <v xml:space="preserve">        20160373 /PA</v>
      </c>
      <c r="X1538" s="1">
        <v>3708.95</v>
      </c>
      <c r="Y1538">
        <v>0</v>
      </c>
      <c r="Z1538" s="5">
        <v>3566.3</v>
      </c>
      <c r="AA1538">
        <v>73</v>
      </c>
      <c r="AB1538" s="5">
        <v>260339.9</v>
      </c>
      <c r="AC1538" s="1">
        <v>3566.3</v>
      </c>
      <c r="AD1538">
        <v>73</v>
      </c>
      <c r="AE1538" s="1">
        <v>260339.9</v>
      </c>
      <c r="AF1538">
        <v>0</v>
      </c>
      <c r="AJ1538">
        <v>0</v>
      </c>
      <c r="AK1538">
        <v>0</v>
      </c>
      <c r="AL1538">
        <v>0</v>
      </c>
      <c r="AM1538" s="1">
        <v>3708.95</v>
      </c>
      <c r="AN1538" s="1">
        <v>3708.95</v>
      </c>
      <c r="AO1538" s="1">
        <v>3708.95</v>
      </c>
      <c r="AP1538" s="2">
        <v>42746</v>
      </c>
      <c r="AQ1538" t="s">
        <v>72</v>
      </c>
      <c r="AR1538" t="s">
        <v>72</v>
      </c>
      <c r="AS1538">
        <v>2619</v>
      </c>
      <c r="AT1538" s="4">
        <v>42647</v>
      </c>
      <c r="AU1538" t="s">
        <v>73</v>
      </c>
      <c r="AV1538">
        <v>2619</v>
      </c>
      <c r="AW1538" s="4">
        <v>42647</v>
      </c>
      <c r="BD1538">
        <v>0</v>
      </c>
      <c r="BN1538" t="s">
        <v>74</v>
      </c>
    </row>
    <row r="1539" spans="1:66">
      <c r="A1539">
        <v>100419</v>
      </c>
      <c r="B1539" s="3" t="s">
        <v>176</v>
      </c>
      <c r="C1539" s="1">
        <v>43300101</v>
      </c>
      <c r="D1539" t="s">
        <v>67</v>
      </c>
      <c r="H1539" t="str">
        <f t="shared" si="144"/>
        <v>04874470968</v>
      </c>
      <c r="I1539" t="str">
        <f t="shared" si="144"/>
        <v>04874470968</v>
      </c>
      <c r="K1539" t="str">
        <f>""</f>
        <v/>
      </c>
      <c r="M1539" t="s">
        <v>68</v>
      </c>
      <c r="N1539" t="str">
        <f t="shared" si="143"/>
        <v>FOR</v>
      </c>
      <c r="O1539" t="s">
        <v>69</v>
      </c>
      <c r="P1539" s="3" t="s">
        <v>75</v>
      </c>
      <c r="Q1539">
        <v>2016</v>
      </c>
      <c r="R1539" s="2">
        <v>42514</v>
      </c>
      <c r="S1539" s="2">
        <v>42515</v>
      </c>
      <c r="T1539" s="2">
        <v>42514</v>
      </c>
      <c r="U1539" s="2">
        <v>42574</v>
      </c>
      <c r="V1539" t="s">
        <v>71</v>
      </c>
      <c r="W1539" t="str">
        <f>"        20160374 /PA"</f>
        <v xml:space="preserve">        20160374 /PA</v>
      </c>
      <c r="X1539" s="1">
        <v>3708.95</v>
      </c>
      <c r="Y1539">
        <v>0</v>
      </c>
      <c r="Z1539" s="5">
        <v>3566.3</v>
      </c>
      <c r="AA1539">
        <v>73</v>
      </c>
      <c r="AB1539" s="5">
        <v>260339.9</v>
      </c>
      <c r="AC1539" s="1">
        <v>3566.3</v>
      </c>
      <c r="AD1539">
        <v>73</v>
      </c>
      <c r="AE1539" s="1">
        <v>260339.9</v>
      </c>
      <c r="AF1539">
        <v>0</v>
      </c>
      <c r="AJ1539">
        <v>0</v>
      </c>
      <c r="AK1539">
        <v>0</v>
      </c>
      <c r="AL1539">
        <v>0</v>
      </c>
      <c r="AM1539" s="1">
        <v>3708.95</v>
      </c>
      <c r="AN1539" s="1">
        <v>3708.95</v>
      </c>
      <c r="AO1539" s="1">
        <v>3708.95</v>
      </c>
      <c r="AP1539" s="2">
        <v>42746</v>
      </c>
      <c r="AQ1539" t="s">
        <v>72</v>
      </c>
      <c r="AR1539" t="s">
        <v>72</v>
      </c>
      <c r="AS1539">
        <v>2619</v>
      </c>
      <c r="AT1539" s="4">
        <v>42647</v>
      </c>
      <c r="AU1539" t="s">
        <v>73</v>
      </c>
      <c r="AV1539">
        <v>2619</v>
      </c>
      <c r="AW1539" s="4">
        <v>42647</v>
      </c>
      <c r="BD1539">
        <v>0</v>
      </c>
      <c r="BN1539" t="s">
        <v>74</v>
      </c>
    </row>
    <row r="1540" spans="1:66">
      <c r="A1540">
        <v>100419</v>
      </c>
      <c r="B1540" s="3" t="s">
        <v>176</v>
      </c>
      <c r="C1540" s="1">
        <v>43300101</v>
      </c>
      <c r="D1540" t="s">
        <v>67</v>
      </c>
      <c r="H1540" t="str">
        <f t="shared" si="144"/>
        <v>04874470968</v>
      </c>
      <c r="I1540" t="str">
        <f t="shared" si="144"/>
        <v>04874470968</v>
      </c>
      <c r="K1540" t="str">
        <f>""</f>
        <v/>
      </c>
      <c r="M1540" t="s">
        <v>68</v>
      </c>
      <c r="N1540" t="str">
        <f t="shared" si="143"/>
        <v>FOR</v>
      </c>
      <c r="O1540" t="s">
        <v>69</v>
      </c>
      <c r="P1540" s="3" t="s">
        <v>75</v>
      </c>
      <c r="Q1540">
        <v>2016</v>
      </c>
      <c r="R1540" s="2">
        <v>42544</v>
      </c>
      <c r="S1540" s="2">
        <v>42551</v>
      </c>
      <c r="T1540" s="2">
        <v>42550</v>
      </c>
      <c r="U1540" s="2">
        <v>42610</v>
      </c>
      <c r="V1540" t="s">
        <v>71</v>
      </c>
      <c r="W1540" t="str">
        <f>"        20160443 /PA"</f>
        <v xml:space="preserve">        20160443 /PA</v>
      </c>
      <c r="X1540" s="1">
        <v>3639.91</v>
      </c>
      <c r="Y1540">
        <v>0</v>
      </c>
      <c r="Z1540" s="5">
        <v>3499.91</v>
      </c>
      <c r="AA1540">
        <v>37</v>
      </c>
      <c r="AB1540" s="5">
        <v>129496.67</v>
      </c>
      <c r="AC1540" s="1">
        <v>3499.91</v>
      </c>
      <c r="AD1540">
        <v>37</v>
      </c>
      <c r="AE1540" s="1">
        <v>129496.67</v>
      </c>
      <c r="AF1540">
        <v>0</v>
      </c>
      <c r="AJ1540">
        <v>0</v>
      </c>
      <c r="AK1540">
        <v>0</v>
      </c>
      <c r="AL1540">
        <v>0</v>
      </c>
      <c r="AM1540" s="1">
        <v>3639.91</v>
      </c>
      <c r="AN1540" s="1">
        <v>3639.91</v>
      </c>
      <c r="AO1540" s="1">
        <v>3639.91</v>
      </c>
      <c r="AP1540" s="2">
        <v>42746</v>
      </c>
      <c r="AQ1540" t="s">
        <v>72</v>
      </c>
      <c r="AR1540" t="s">
        <v>72</v>
      </c>
      <c r="AS1540">
        <v>2619</v>
      </c>
      <c r="AT1540" s="4">
        <v>42647</v>
      </c>
      <c r="AU1540" t="s">
        <v>73</v>
      </c>
      <c r="AV1540">
        <v>2619</v>
      </c>
      <c r="AW1540" s="4">
        <v>42647</v>
      </c>
      <c r="BD1540">
        <v>0</v>
      </c>
      <c r="BN1540" t="s">
        <v>74</v>
      </c>
    </row>
    <row r="1541" spans="1:66" hidden="1">
      <c r="A1541">
        <v>100427</v>
      </c>
      <c r="B1541" s="3" t="s">
        <v>177</v>
      </c>
      <c r="C1541" s="1">
        <v>43300101</v>
      </c>
      <c r="D1541" t="s">
        <v>67</v>
      </c>
      <c r="H1541" t="str">
        <f>"01539990349"</f>
        <v>01539990349</v>
      </c>
      <c r="I1541" t="str">
        <f>"09713880152"</f>
        <v>09713880152</v>
      </c>
      <c r="K1541" t="str">
        <f>""</f>
        <v/>
      </c>
      <c r="M1541" t="s">
        <v>68</v>
      </c>
      <c r="N1541" t="str">
        <f t="shared" si="143"/>
        <v>FOR</v>
      </c>
      <c r="O1541" t="s">
        <v>69</v>
      </c>
      <c r="P1541" s="3" t="s">
        <v>75</v>
      </c>
      <c r="Q1541">
        <v>2016</v>
      </c>
      <c r="R1541" s="2">
        <v>42423</v>
      </c>
      <c r="S1541" s="2">
        <v>42436</v>
      </c>
      <c r="T1541" s="2">
        <v>42426</v>
      </c>
      <c r="U1541" s="2">
        <v>42486</v>
      </c>
      <c r="V1541" t="s">
        <v>71</v>
      </c>
      <c r="W1541" t="str">
        <f>"           160002849"</f>
        <v xml:space="preserve">           160002849</v>
      </c>
      <c r="X1541" s="1">
        <v>2940.3</v>
      </c>
      <c r="Y1541">
        <v>0</v>
      </c>
      <c r="Z1541"/>
      <c r="AB1541"/>
      <c r="AC1541" s="1">
        <v>2673</v>
      </c>
      <c r="AD1541">
        <v>135</v>
      </c>
      <c r="AE1541" s="1">
        <v>360855</v>
      </c>
      <c r="AF1541">
        <v>0</v>
      </c>
      <c r="AJ1541">
        <v>0</v>
      </c>
      <c r="AK1541">
        <v>0</v>
      </c>
      <c r="AL1541">
        <v>0</v>
      </c>
      <c r="AM1541" s="1">
        <v>2940.3</v>
      </c>
      <c r="AN1541" s="1">
        <v>2940.3</v>
      </c>
      <c r="AO1541" s="1">
        <v>2940.3</v>
      </c>
      <c r="AP1541" s="2">
        <v>42746</v>
      </c>
      <c r="AQ1541" t="s">
        <v>72</v>
      </c>
      <c r="AR1541" t="s">
        <v>72</v>
      </c>
      <c r="AS1541">
        <v>2386</v>
      </c>
      <c r="AT1541" s="4">
        <v>42621</v>
      </c>
      <c r="AU1541" t="s">
        <v>73</v>
      </c>
      <c r="AV1541">
        <v>2386</v>
      </c>
      <c r="AW1541" s="4">
        <v>42621</v>
      </c>
      <c r="BD1541">
        <v>0</v>
      </c>
      <c r="BN1541" t="s">
        <v>74</v>
      </c>
    </row>
    <row r="1542" spans="1:66" hidden="1">
      <c r="A1542">
        <v>100437</v>
      </c>
      <c r="B1542" s="3" t="s">
        <v>178</v>
      </c>
      <c r="C1542" s="1">
        <v>43300101</v>
      </c>
      <c r="D1542" t="s">
        <v>67</v>
      </c>
      <c r="H1542" t="str">
        <f t="shared" ref="H1542:I1546" si="145">"03567830108"</f>
        <v>03567830108</v>
      </c>
      <c r="I1542" t="str">
        <f t="shared" si="145"/>
        <v>03567830108</v>
      </c>
      <c r="K1542" t="str">
        <f>""</f>
        <v/>
      </c>
      <c r="M1542" t="s">
        <v>68</v>
      </c>
      <c r="N1542" t="str">
        <f t="shared" si="143"/>
        <v>FOR</v>
      </c>
      <c r="O1542" t="s">
        <v>69</v>
      </c>
      <c r="P1542" s="3" t="s">
        <v>75</v>
      </c>
      <c r="Q1542">
        <v>2015</v>
      </c>
      <c r="R1542" s="2">
        <v>42186</v>
      </c>
      <c r="S1542" s="2">
        <v>42233</v>
      </c>
      <c r="T1542" s="2">
        <v>42207</v>
      </c>
      <c r="U1542" s="2">
        <v>42267</v>
      </c>
      <c r="V1542" t="s">
        <v>71</v>
      </c>
      <c r="W1542" t="str">
        <f>"                  4E"</f>
        <v xml:space="preserve">                  4E</v>
      </c>
      <c r="X1542" s="1">
        <v>2840.89</v>
      </c>
      <c r="Y1542">
        <v>0</v>
      </c>
      <c r="Z1542"/>
      <c r="AB1542"/>
      <c r="AC1542" s="1">
        <v>2328.6</v>
      </c>
      <c r="AD1542">
        <v>299</v>
      </c>
      <c r="AE1542" s="1">
        <v>696251.4</v>
      </c>
      <c r="AF1542">
        <v>0</v>
      </c>
      <c r="AJ1542">
        <v>0</v>
      </c>
      <c r="AK1542">
        <v>0</v>
      </c>
      <c r="AL1542">
        <v>0</v>
      </c>
      <c r="AM1542">
        <v>0</v>
      </c>
      <c r="AN1542">
        <v>0</v>
      </c>
      <c r="AO1542">
        <v>0</v>
      </c>
      <c r="AP1542" s="2">
        <v>42746</v>
      </c>
      <c r="AQ1542" t="s">
        <v>72</v>
      </c>
      <c r="AR1542" t="s">
        <v>72</v>
      </c>
      <c r="AS1542">
        <v>1843</v>
      </c>
      <c r="AT1542" s="4">
        <v>42566</v>
      </c>
      <c r="AU1542" t="s">
        <v>73</v>
      </c>
      <c r="AV1542">
        <v>1843</v>
      </c>
      <c r="AW1542" s="4">
        <v>42566</v>
      </c>
      <c r="BD1542">
        <v>0</v>
      </c>
      <c r="BN1542" t="s">
        <v>74</v>
      </c>
    </row>
    <row r="1543" spans="1:66" hidden="1">
      <c r="A1543">
        <v>100437</v>
      </c>
      <c r="B1543" s="3" t="s">
        <v>178</v>
      </c>
      <c r="C1543" s="1">
        <v>43300101</v>
      </c>
      <c r="D1543" t="s">
        <v>67</v>
      </c>
      <c r="H1543" t="str">
        <f t="shared" si="145"/>
        <v>03567830108</v>
      </c>
      <c r="I1543" t="str">
        <f t="shared" si="145"/>
        <v>03567830108</v>
      </c>
      <c r="K1543" t="str">
        <f>""</f>
        <v/>
      </c>
      <c r="M1543" t="s">
        <v>68</v>
      </c>
      <c r="N1543" t="str">
        <f t="shared" si="143"/>
        <v>FOR</v>
      </c>
      <c r="O1543" t="s">
        <v>69</v>
      </c>
      <c r="P1543" s="3" t="s">
        <v>75</v>
      </c>
      <c r="Q1543">
        <v>2015</v>
      </c>
      <c r="R1543" s="2">
        <v>42240</v>
      </c>
      <c r="S1543" s="2">
        <v>42241</v>
      </c>
      <c r="T1543" s="2">
        <v>42240</v>
      </c>
      <c r="U1543" s="2">
        <v>42300</v>
      </c>
      <c r="V1543" t="s">
        <v>71</v>
      </c>
      <c r="W1543" t="str">
        <f>"                  6E"</f>
        <v xml:space="preserve">                  6E</v>
      </c>
      <c r="X1543">
        <v>324.89</v>
      </c>
      <c r="Y1543">
        <v>0</v>
      </c>
      <c r="Z1543"/>
      <c r="AB1543"/>
      <c r="AC1543">
        <v>266.3</v>
      </c>
      <c r="AD1543">
        <v>279</v>
      </c>
      <c r="AE1543" s="1">
        <v>74297.7</v>
      </c>
      <c r="AF1543">
        <v>0</v>
      </c>
      <c r="AJ1543">
        <v>0</v>
      </c>
      <c r="AK1543">
        <v>0</v>
      </c>
      <c r="AL1543">
        <v>0</v>
      </c>
      <c r="AM1543">
        <v>0</v>
      </c>
      <c r="AN1543">
        <v>0</v>
      </c>
      <c r="AO1543">
        <v>0</v>
      </c>
      <c r="AP1543" s="2">
        <v>42746</v>
      </c>
      <c r="AQ1543" t="s">
        <v>72</v>
      </c>
      <c r="AR1543" t="s">
        <v>72</v>
      </c>
      <c r="AS1543">
        <v>2007</v>
      </c>
      <c r="AT1543" s="4">
        <v>42579</v>
      </c>
      <c r="AU1543" t="s">
        <v>73</v>
      </c>
      <c r="AV1543">
        <v>2007</v>
      </c>
      <c r="AW1543" s="4">
        <v>42579</v>
      </c>
      <c r="BD1543">
        <v>0</v>
      </c>
      <c r="BN1543" t="s">
        <v>74</v>
      </c>
    </row>
    <row r="1544" spans="1:66">
      <c r="A1544">
        <v>100437</v>
      </c>
      <c r="B1544" s="3" t="s">
        <v>178</v>
      </c>
      <c r="C1544" s="1">
        <v>43300101</v>
      </c>
      <c r="D1544" t="s">
        <v>67</v>
      </c>
      <c r="H1544" t="str">
        <f t="shared" si="145"/>
        <v>03567830108</v>
      </c>
      <c r="I1544" t="str">
        <f t="shared" si="145"/>
        <v>03567830108</v>
      </c>
      <c r="K1544" t="str">
        <f>""</f>
        <v/>
      </c>
      <c r="M1544" t="s">
        <v>68</v>
      </c>
      <c r="N1544" t="str">
        <f t="shared" si="143"/>
        <v>FOR</v>
      </c>
      <c r="O1544" t="s">
        <v>69</v>
      </c>
      <c r="P1544" s="3" t="s">
        <v>75</v>
      </c>
      <c r="Q1544">
        <v>2015</v>
      </c>
      <c r="R1544" s="2">
        <v>42320</v>
      </c>
      <c r="S1544" s="2">
        <v>42321</v>
      </c>
      <c r="T1544" s="2">
        <v>42320</v>
      </c>
      <c r="U1544" s="2">
        <v>42380</v>
      </c>
      <c r="V1544" t="s">
        <v>71</v>
      </c>
      <c r="W1544" t="str">
        <f>"                  9E"</f>
        <v xml:space="preserve">                  9E</v>
      </c>
      <c r="X1544" s="1">
        <v>2840.89</v>
      </c>
      <c r="Y1544">
        <v>0</v>
      </c>
      <c r="Z1544" s="5">
        <v>2328.6</v>
      </c>
      <c r="AA1544">
        <v>304</v>
      </c>
      <c r="AB1544" s="5">
        <v>707894.4</v>
      </c>
      <c r="AC1544" s="1">
        <v>2328.6</v>
      </c>
      <c r="AD1544">
        <v>304</v>
      </c>
      <c r="AE1544" s="1">
        <v>707894.4</v>
      </c>
      <c r="AF1544">
        <v>0</v>
      </c>
      <c r="AJ1544">
        <v>0</v>
      </c>
      <c r="AK1544">
        <v>0</v>
      </c>
      <c r="AL1544">
        <v>0</v>
      </c>
      <c r="AM1544">
        <v>0</v>
      </c>
      <c r="AN1544">
        <v>0</v>
      </c>
      <c r="AO1544">
        <v>0</v>
      </c>
      <c r="AP1544" s="2">
        <v>42746</v>
      </c>
      <c r="AQ1544" t="s">
        <v>72</v>
      </c>
      <c r="AR1544" t="s">
        <v>72</v>
      </c>
      <c r="AS1544">
        <v>3054</v>
      </c>
      <c r="AT1544" s="4">
        <v>42684</v>
      </c>
      <c r="AU1544" t="s">
        <v>73</v>
      </c>
      <c r="AV1544">
        <v>3054</v>
      </c>
      <c r="AW1544" s="4">
        <v>42684</v>
      </c>
      <c r="BD1544">
        <v>0</v>
      </c>
      <c r="BN1544" t="s">
        <v>74</v>
      </c>
    </row>
    <row r="1545" spans="1:66">
      <c r="A1545">
        <v>100437</v>
      </c>
      <c r="B1545" s="3" t="s">
        <v>178</v>
      </c>
      <c r="C1545" s="1">
        <v>43300101</v>
      </c>
      <c r="D1545" t="s">
        <v>67</v>
      </c>
      <c r="H1545" t="str">
        <f t="shared" si="145"/>
        <v>03567830108</v>
      </c>
      <c r="I1545" t="str">
        <f t="shared" si="145"/>
        <v>03567830108</v>
      </c>
      <c r="K1545" t="str">
        <f>""</f>
        <v/>
      </c>
      <c r="M1545" t="s">
        <v>68</v>
      </c>
      <c r="N1545" t="str">
        <f t="shared" si="143"/>
        <v>FOR</v>
      </c>
      <c r="O1545" t="s">
        <v>69</v>
      </c>
      <c r="P1545" s="3" t="s">
        <v>75</v>
      </c>
      <c r="Q1545">
        <v>2015</v>
      </c>
      <c r="R1545" s="2">
        <v>42349</v>
      </c>
      <c r="S1545" s="2">
        <v>42352</v>
      </c>
      <c r="T1545" s="2">
        <v>42349</v>
      </c>
      <c r="U1545" s="2">
        <v>42409</v>
      </c>
      <c r="V1545" t="s">
        <v>71</v>
      </c>
      <c r="W1545" t="str">
        <f>"                 10E"</f>
        <v xml:space="preserve">                 10E</v>
      </c>
      <c r="X1545" s="1">
        <v>1575.19</v>
      </c>
      <c r="Y1545">
        <v>0</v>
      </c>
      <c r="Z1545" s="5">
        <v>1291.1400000000001</v>
      </c>
      <c r="AA1545">
        <v>275</v>
      </c>
      <c r="AB1545" s="5">
        <v>355063.5</v>
      </c>
      <c r="AC1545" s="1">
        <v>1291.1400000000001</v>
      </c>
      <c r="AD1545">
        <v>275</v>
      </c>
      <c r="AE1545" s="1">
        <v>355063.5</v>
      </c>
      <c r="AF1545">
        <v>0</v>
      </c>
      <c r="AJ1545">
        <v>0</v>
      </c>
      <c r="AK1545">
        <v>0</v>
      </c>
      <c r="AL1545">
        <v>0</v>
      </c>
      <c r="AM1545">
        <v>0</v>
      </c>
      <c r="AN1545">
        <v>0</v>
      </c>
      <c r="AO1545">
        <v>0</v>
      </c>
      <c r="AP1545" s="2">
        <v>42746</v>
      </c>
      <c r="AQ1545" t="s">
        <v>72</v>
      </c>
      <c r="AR1545" t="s">
        <v>72</v>
      </c>
      <c r="AS1545">
        <v>3054</v>
      </c>
      <c r="AT1545" s="4">
        <v>42684</v>
      </c>
      <c r="AU1545" t="s">
        <v>73</v>
      </c>
      <c r="AV1545">
        <v>3054</v>
      </c>
      <c r="AW1545" s="4">
        <v>42684</v>
      </c>
      <c r="BD1545">
        <v>0</v>
      </c>
      <c r="BN1545" t="s">
        <v>74</v>
      </c>
    </row>
    <row r="1546" spans="1:66">
      <c r="A1546">
        <v>100437</v>
      </c>
      <c r="B1546" s="3" t="s">
        <v>178</v>
      </c>
      <c r="C1546" s="1">
        <v>43300101</v>
      </c>
      <c r="D1546" t="s">
        <v>67</v>
      </c>
      <c r="H1546" t="str">
        <f t="shared" si="145"/>
        <v>03567830108</v>
      </c>
      <c r="I1546" t="str">
        <f t="shared" si="145"/>
        <v>03567830108</v>
      </c>
      <c r="K1546" t="str">
        <f>""</f>
        <v/>
      </c>
      <c r="M1546" t="s">
        <v>68</v>
      </c>
      <c r="N1546" t="str">
        <f t="shared" si="143"/>
        <v>FOR</v>
      </c>
      <c r="O1546" t="s">
        <v>69</v>
      </c>
      <c r="P1546" s="3" t="s">
        <v>75</v>
      </c>
      <c r="Q1546">
        <v>2016</v>
      </c>
      <c r="R1546" s="2">
        <v>42549</v>
      </c>
      <c r="S1546" s="2">
        <v>42577</v>
      </c>
      <c r="T1546" s="2">
        <v>42567</v>
      </c>
      <c r="U1546" s="2">
        <v>42627</v>
      </c>
      <c r="V1546" t="s">
        <v>71</v>
      </c>
      <c r="W1546" t="str">
        <f>"                  2E"</f>
        <v xml:space="preserve">                  2E</v>
      </c>
      <c r="X1546" s="1">
        <v>2840.89</v>
      </c>
      <c r="Y1546">
        <v>0</v>
      </c>
      <c r="Z1546" s="5">
        <v>2328.6</v>
      </c>
      <c r="AA1546">
        <v>57</v>
      </c>
      <c r="AB1546" s="5">
        <v>132730.20000000001</v>
      </c>
      <c r="AC1546" s="1">
        <v>2328.6</v>
      </c>
      <c r="AD1546">
        <v>57</v>
      </c>
      <c r="AE1546" s="1">
        <v>132730.20000000001</v>
      </c>
      <c r="AF1546">
        <v>0</v>
      </c>
      <c r="AJ1546">
        <v>0</v>
      </c>
      <c r="AK1546">
        <v>0</v>
      </c>
      <c r="AL1546">
        <v>0</v>
      </c>
      <c r="AM1546" s="1">
        <v>2840.89</v>
      </c>
      <c r="AN1546" s="1">
        <v>2840.89</v>
      </c>
      <c r="AO1546" s="1">
        <v>2840.89</v>
      </c>
      <c r="AP1546" s="2">
        <v>42746</v>
      </c>
      <c r="AQ1546" t="s">
        <v>72</v>
      </c>
      <c r="AR1546" t="s">
        <v>72</v>
      </c>
      <c r="AS1546">
        <v>3054</v>
      </c>
      <c r="AT1546" s="4">
        <v>42684</v>
      </c>
      <c r="AU1546" t="s">
        <v>73</v>
      </c>
      <c r="AV1546">
        <v>3054</v>
      </c>
      <c r="AW1546" s="4">
        <v>42684</v>
      </c>
      <c r="BD1546">
        <v>0</v>
      </c>
      <c r="BN1546" t="s">
        <v>74</v>
      </c>
    </row>
    <row r="1547" spans="1:66" hidden="1">
      <c r="A1547">
        <v>100440</v>
      </c>
      <c r="B1547" s="3" t="s">
        <v>179</v>
      </c>
      <c r="C1547" s="1">
        <v>43300101</v>
      </c>
      <c r="D1547" t="s">
        <v>67</v>
      </c>
      <c r="H1547" t="str">
        <f t="shared" ref="H1547:I1553" si="146">"00713510154"</f>
        <v>00713510154</v>
      </c>
      <c r="I1547" t="str">
        <f t="shared" si="146"/>
        <v>00713510154</v>
      </c>
      <c r="K1547" t="str">
        <f>""</f>
        <v/>
      </c>
      <c r="M1547" t="s">
        <v>68</v>
      </c>
      <c r="N1547" t="str">
        <f t="shared" si="143"/>
        <v>FOR</v>
      </c>
      <c r="O1547" t="s">
        <v>69</v>
      </c>
      <c r="P1547" s="3" t="s">
        <v>75</v>
      </c>
      <c r="Q1547">
        <v>2015</v>
      </c>
      <c r="R1547" s="2">
        <v>42277</v>
      </c>
      <c r="S1547" s="2">
        <v>42282</v>
      </c>
      <c r="T1547" s="2">
        <v>42278</v>
      </c>
      <c r="U1547" s="2">
        <v>42338</v>
      </c>
      <c r="V1547" t="s">
        <v>71</v>
      </c>
      <c r="W1547" t="str">
        <f>"           0004931/L"</f>
        <v xml:space="preserve">           0004931/L</v>
      </c>
      <c r="X1547">
        <v>388.87</v>
      </c>
      <c r="Y1547">
        <v>0</v>
      </c>
      <c r="Z1547"/>
      <c r="AB1547"/>
      <c r="AC1547">
        <v>353.52</v>
      </c>
      <c r="AD1547">
        <v>283</v>
      </c>
      <c r="AE1547" s="1">
        <v>100046.16</v>
      </c>
      <c r="AF1547">
        <v>0</v>
      </c>
      <c r="AJ1547">
        <v>0</v>
      </c>
      <c r="AK1547">
        <v>0</v>
      </c>
      <c r="AL1547">
        <v>0</v>
      </c>
      <c r="AM1547">
        <v>0</v>
      </c>
      <c r="AN1547">
        <v>0</v>
      </c>
      <c r="AO1547">
        <v>0</v>
      </c>
      <c r="AP1547" s="2">
        <v>42746</v>
      </c>
      <c r="AQ1547" t="s">
        <v>72</v>
      </c>
      <c r="AR1547" t="s">
        <v>72</v>
      </c>
      <c r="AS1547">
        <v>2373</v>
      </c>
      <c r="AT1547" s="4">
        <v>42621</v>
      </c>
      <c r="AU1547" t="s">
        <v>73</v>
      </c>
      <c r="AV1547">
        <v>2373</v>
      </c>
      <c r="AW1547" s="4">
        <v>42621</v>
      </c>
      <c r="BD1547">
        <v>0</v>
      </c>
      <c r="BN1547" t="s">
        <v>74</v>
      </c>
    </row>
    <row r="1548" spans="1:66" hidden="1">
      <c r="A1548">
        <v>100440</v>
      </c>
      <c r="B1548" s="3" t="s">
        <v>179</v>
      </c>
      <c r="C1548" s="1">
        <v>43300101</v>
      </c>
      <c r="D1548" t="s">
        <v>67</v>
      </c>
      <c r="H1548" t="str">
        <f t="shared" si="146"/>
        <v>00713510154</v>
      </c>
      <c r="I1548" t="str">
        <f t="shared" si="146"/>
        <v>00713510154</v>
      </c>
      <c r="K1548" t="str">
        <f>""</f>
        <v/>
      </c>
      <c r="M1548" t="s">
        <v>68</v>
      </c>
      <c r="N1548" t="str">
        <f t="shared" si="143"/>
        <v>FOR</v>
      </c>
      <c r="O1548" t="s">
        <v>69</v>
      </c>
      <c r="P1548" s="3" t="s">
        <v>75</v>
      </c>
      <c r="Q1548">
        <v>2015</v>
      </c>
      <c r="R1548" s="2">
        <v>42305</v>
      </c>
      <c r="S1548" s="2">
        <v>42307</v>
      </c>
      <c r="T1548" s="2">
        <v>42306</v>
      </c>
      <c r="U1548" s="2">
        <v>42366</v>
      </c>
      <c r="V1548" t="s">
        <v>71</v>
      </c>
      <c r="W1548" t="str">
        <f>"           0005644/L"</f>
        <v xml:space="preserve">           0005644/L</v>
      </c>
      <c r="X1548">
        <v>28.16</v>
      </c>
      <c r="Y1548">
        <v>0</v>
      </c>
      <c r="Z1548"/>
      <c r="AB1548"/>
      <c r="AC1548">
        <v>25.6</v>
      </c>
      <c r="AD1548">
        <v>255</v>
      </c>
      <c r="AE1548" s="1">
        <v>6528</v>
      </c>
      <c r="AF1548">
        <v>0</v>
      </c>
      <c r="AJ1548">
        <v>0</v>
      </c>
      <c r="AK1548">
        <v>0</v>
      </c>
      <c r="AL1548">
        <v>0</v>
      </c>
      <c r="AM1548">
        <v>0</v>
      </c>
      <c r="AN1548">
        <v>0</v>
      </c>
      <c r="AO1548">
        <v>0</v>
      </c>
      <c r="AP1548" s="2">
        <v>42746</v>
      </c>
      <c r="AQ1548" t="s">
        <v>72</v>
      </c>
      <c r="AR1548" t="s">
        <v>72</v>
      </c>
      <c r="AS1548">
        <v>2373</v>
      </c>
      <c r="AT1548" s="4">
        <v>42621</v>
      </c>
      <c r="AU1548" t="s">
        <v>73</v>
      </c>
      <c r="AV1548">
        <v>2373</v>
      </c>
      <c r="AW1548" s="4">
        <v>42621</v>
      </c>
      <c r="BD1548">
        <v>0</v>
      </c>
      <c r="BN1548" t="s">
        <v>74</v>
      </c>
    </row>
    <row r="1549" spans="1:66" hidden="1">
      <c r="A1549">
        <v>100440</v>
      </c>
      <c r="B1549" s="3" t="s">
        <v>179</v>
      </c>
      <c r="C1549" s="1">
        <v>43300101</v>
      </c>
      <c r="D1549" t="s">
        <v>67</v>
      </c>
      <c r="H1549" t="str">
        <f t="shared" si="146"/>
        <v>00713510154</v>
      </c>
      <c r="I1549" t="str">
        <f t="shared" si="146"/>
        <v>00713510154</v>
      </c>
      <c r="K1549" t="str">
        <f>""</f>
        <v/>
      </c>
      <c r="M1549" t="s">
        <v>68</v>
      </c>
      <c r="N1549" t="str">
        <f t="shared" si="143"/>
        <v>FOR</v>
      </c>
      <c r="O1549" t="s">
        <v>69</v>
      </c>
      <c r="P1549" s="3" t="s">
        <v>75</v>
      </c>
      <c r="Q1549">
        <v>2015</v>
      </c>
      <c r="R1549" s="2">
        <v>42331</v>
      </c>
      <c r="S1549" s="2">
        <v>42333</v>
      </c>
      <c r="T1549" s="2">
        <v>42332</v>
      </c>
      <c r="U1549" s="2">
        <v>42392</v>
      </c>
      <c r="V1549" t="s">
        <v>71</v>
      </c>
      <c r="W1549" t="str">
        <f>"           0006292/L"</f>
        <v xml:space="preserve">           0006292/L</v>
      </c>
      <c r="X1549" s="1">
        <v>1009.62</v>
      </c>
      <c r="Y1549">
        <v>0</v>
      </c>
      <c r="Z1549"/>
      <c r="AB1549"/>
      <c r="AC1549">
        <v>917.84</v>
      </c>
      <c r="AD1549">
        <v>229</v>
      </c>
      <c r="AE1549" s="1">
        <v>210185.36</v>
      </c>
      <c r="AF1549">
        <v>0</v>
      </c>
      <c r="AJ1549">
        <v>0</v>
      </c>
      <c r="AK1549">
        <v>0</v>
      </c>
      <c r="AL1549">
        <v>0</v>
      </c>
      <c r="AM1549">
        <v>0</v>
      </c>
      <c r="AN1549">
        <v>0</v>
      </c>
      <c r="AO1549">
        <v>0</v>
      </c>
      <c r="AP1549" s="2">
        <v>42746</v>
      </c>
      <c r="AQ1549" t="s">
        <v>72</v>
      </c>
      <c r="AR1549" t="s">
        <v>72</v>
      </c>
      <c r="AS1549">
        <v>2373</v>
      </c>
      <c r="AT1549" s="4">
        <v>42621</v>
      </c>
      <c r="AU1549" t="s">
        <v>73</v>
      </c>
      <c r="AV1549">
        <v>2373</v>
      </c>
      <c r="AW1549" s="4">
        <v>42621</v>
      </c>
      <c r="BD1549">
        <v>0</v>
      </c>
      <c r="BN1549" t="s">
        <v>74</v>
      </c>
    </row>
    <row r="1550" spans="1:66" hidden="1">
      <c r="A1550">
        <v>100440</v>
      </c>
      <c r="B1550" s="3" t="s">
        <v>179</v>
      </c>
      <c r="C1550" s="1">
        <v>43300101</v>
      </c>
      <c r="D1550" t="s">
        <v>67</v>
      </c>
      <c r="H1550" t="str">
        <f t="shared" si="146"/>
        <v>00713510154</v>
      </c>
      <c r="I1550" t="str">
        <f t="shared" si="146"/>
        <v>00713510154</v>
      </c>
      <c r="K1550" t="str">
        <f>""</f>
        <v/>
      </c>
      <c r="M1550" t="s">
        <v>68</v>
      </c>
      <c r="N1550" t="str">
        <f t="shared" si="143"/>
        <v>FOR</v>
      </c>
      <c r="O1550" t="s">
        <v>69</v>
      </c>
      <c r="P1550" s="3" t="s">
        <v>75</v>
      </c>
      <c r="Q1550">
        <v>2015</v>
      </c>
      <c r="R1550" s="2">
        <v>42335</v>
      </c>
      <c r="S1550" s="2">
        <v>42338</v>
      </c>
      <c r="T1550" s="2">
        <v>42338</v>
      </c>
      <c r="U1550" s="2">
        <v>42398</v>
      </c>
      <c r="V1550" t="s">
        <v>71</v>
      </c>
      <c r="W1550" t="str">
        <f>"           0006449/L"</f>
        <v xml:space="preserve">           0006449/L</v>
      </c>
      <c r="X1550">
        <v>112.64</v>
      </c>
      <c r="Y1550">
        <v>0</v>
      </c>
      <c r="Z1550"/>
      <c r="AB1550"/>
      <c r="AC1550">
        <v>102.4</v>
      </c>
      <c r="AD1550">
        <v>223</v>
      </c>
      <c r="AE1550" s="1">
        <v>22835.200000000001</v>
      </c>
      <c r="AF1550">
        <v>0</v>
      </c>
      <c r="AJ1550">
        <v>0</v>
      </c>
      <c r="AK1550">
        <v>0</v>
      </c>
      <c r="AL1550">
        <v>0</v>
      </c>
      <c r="AM1550">
        <v>0</v>
      </c>
      <c r="AN1550">
        <v>0</v>
      </c>
      <c r="AO1550">
        <v>0</v>
      </c>
      <c r="AP1550" s="2">
        <v>42746</v>
      </c>
      <c r="AQ1550" t="s">
        <v>72</v>
      </c>
      <c r="AR1550" t="s">
        <v>72</v>
      </c>
      <c r="AS1550">
        <v>2373</v>
      </c>
      <c r="AT1550" s="4">
        <v>42621</v>
      </c>
      <c r="AU1550" t="s">
        <v>73</v>
      </c>
      <c r="AV1550">
        <v>2373</v>
      </c>
      <c r="AW1550" s="4">
        <v>42621</v>
      </c>
      <c r="BD1550">
        <v>0</v>
      </c>
      <c r="BN1550" t="s">
        <v>74</v>
      </c>
    </row>
    <row r="1551" spans="1:66" hidden="1">
      <c r="A1551">
        <v>100440</v>
      </c>
      <c r="B1551" s="3" t="s">
        <v>179</v>
      </c>
      <c r="C1551" s="1">
        <v>43300101</v>
      </c>
      <c r="D1551" t="s">
        <v>67</v>
      </c>
      <c r="H1551" t="str">
        <f t="shared" si="146"/>
        <v>00713510154</v>
      </c>
      <c r="I1551" t="str">
        <f t="shared" si="146"/>
        <v>00713510154</v>
      </c>
      <c r="K1551" t="str">
        <f>""</f>
        <v/>
      </c>
      <c r="M1551" t="s">
        <v>68</v>
      </c>
      <c r="N1551" t="str">
        <f t="shared" si="143"/>
        <v>FOR</v>
      </c>
      <c r="O1551" t="s">
        <v>69</v>
      </c>
      <c r="P1551" s="3" t="s">
        <v>75</v>
      </c>
      <c r="Q1551">
        <v>2016</v>
      </c>
      <c r="R1551" s="2">
        <v>42541</v>
      </c>
      <c r="S1551" s="2">
        <v>42543</v>
      </c>
      <c r="T1551" s="2">
        <v>42542</v>
      </c>
      <c r="U1551" s="2">
        <v>42602</v>
      </c>
      <c r="V1551" t="s">
        <v>71</v>
      </c>
      <c r="W1551" t="str">
        <f>"           0004747/L"</f>
        <v xml:space="preserve">           0004747/L</v>
      </c>
      <c r="X1551">
        <v>273.45999999999998</v>
      </c>
      <c r="Y1551">
        <v>0</v>
      </c>
      <c r="Z1551"/>
      <c r="AB1551"/>
      <c r="AC1551">
        <v>248.6</v>
      </c>
      <c r="AD1551">
        <v>19</v>
      </c>
      <c r="AE1551" s="1">
        <v>4723.3999999999996</v>
      </c>
      <c r="AF1551">
        <v>0</v>
      </c>
      <c r="AJ1551">
        <v>0</v>
      </c>
      <c r="AK1551">
        <v>0</v>
      </c>
      <c r="AL1551">
        <v>0</v>
      </c>
      <c r="AM1551">
        <v>273.45999999999998</v>
      </c>
      <c r="AN1551">
        <v>273.45999999999998</v>
      </c>
      <c r="AO1551">
        <v>273.45999999999998</v>
      </c>
      <c r="AP1551" s="2">
        <v>42746</v>
      </c>
      <c r="AQ1551" t="s">
        <v>72</v>
      </c>
      <c r="AR1551" t="s">
        <v>72</v>
      </c>
      <c r="AS1551">
        <v>2373</v>
      </c>
      <c r="AT1551" s="4">
        <v>42621</v>
      </c>
      <c r="AU1551" t="s">
        <v>73</v>
      </c>
      <c r="AV1551">
        <v>2373</v>
      </c>
      <c r="AW1551" s="4">
        <v>42621</v>
      </c>
      <c r="BD1551">
        <v>0</v>
      </c>
      <c r="BN1551" t="s">
        <v>74</v>
      </c>
    </row>
    <row r="1552" spans="1:66" hidden="1">
      <c r="A1552">
        <v>100440</v>
      </c>
      <c r="B1552" s="3" t="s">
        <v>179</v>
      </c>
      <c r="C1552" s="1">
        <v>43300101</v>
      </c>
      <c r="D1552" t="s">
        <v>67</v>
      </c>
      <c r="H1552" t="str">
        <f t="shared" si="146"/>
        <v>00713510154</v>
      </c>
      <c r="I1552" t="str">
        <f t="shared" si="146"/>
        <v>00713510154</v>
      </c>
      <c r="K1552" t="str">
        <f>""</f>
        <v/>
      </c>
      <c r="M1552" t="s">
        <v>68</v>
      </c>
      <c r="N1552" t="str">
        <f t="shared" si="143"/>
        <v>FOR</v>
      </c>
      <c r="O1552" t="s">
        <v>69</v>
      </c>
      <c r="P1552" s="3" t="s">
        <v>75</v>
      </c>
      <c r="Q1552">
        <v>2016</v>
      </c>
      <c r="R1552" s="2">
        <v>42541</v>
      </c>
      <c r="S1552" s="2">
        <v>42543</v>
      </c>
      <c r="T1552" s="2">
        <v>42542</v>
      </c>
      <c r="U1552" s="2">
        <v>42602</v>
      </c>
      <c r="V1552" t="s">
        <v>71</v>
      </c>
      <c r="W1552" t="str">
        <f>"           0004748/L"</f>
        <v xml:space="preserve">           0004748/L</v>
      </c>
      <c r="X1552">
        <v>259.60000000000002</v>
      </c>
      <c r="Y1552">
        <v>0</v>
      </c>
      <c r="Z1552"/>
      <c r="AB1552"/>
      <c r="AC1552">
        <v>236</v>
      </c>
      <c r="AD1552">
        <v>19</v>
      </c>
      <c r="AE1552" s="1">
        <v>4484</v>
      </c>
      <c r="AF1552">
        <v>0</v>
      </c>
      <c r="AJ1552">
        <v>0</v>
      </c>
      <c r="AK1552">
        <v>0</v>
      </c>
      <c r="AL1552">
        <v>0</v>
      </c>
      <c r="AM1552">
        <v>259.60000000000002</v>
      </c>
      <c r="AN1552">
        <v>259.60000000000002</v>
      </c>
      <c r="AO1552">
        <v>259.60000000000002</v>
      </c>
      <c r="AP1552" s="2">
        <v>42746</v>
      </c>
      <c r="AQ1552" t="s">
        <v>72</v>
      </c>
      <c r="AR1552" t="s">
        <v>72</v>
      </c>
      <c r="AS1552">
        <v>2373</v>
      </c>
      <c r="AT1552" s="4">
        <v>42621</v>
      </c>
      <c r="AU1552" t="s">
        <v>73</v>
      </c>
      <c r="AV1552">
        <v>2373</v>
      </c>
      <c r="AW1552" s="4">
        <v>42621</v>
      </c>
      <c r="BD1552">
        <v>0</v>
      </c>
      <c r="BN1552" t="s">
        <v>74</v>
      </c>
    </row>
    <row r="1553" spans="1:66">
      <c r="A1553">
        <v>100440</v>
      </c>
      <c r="B1553" s="3" t="s">
        <v>179</v>
      </c>
      <c r="C1553" s="1">
        <v>43300101</v>
      </c>
      <c r="D1553" t="s">
        <v>67</v>
      </c>
      <c r="H1553" t="str">
        <f t="shared" si="146"/>
        <v>00713510154</v>
      </c>
      <c r="I1553" t="str">
        <f t="shared" si="146"/>
        <v>00713510154</v>
      </c>
      <c r="K1553" t="str">
        <f>""</f>
        <v/>
      </c>
      <c r="M1553" t="s">
        <v>68</v>
      </c>
      <c r="N1553" t="str">
        <f t="shared" si="143"/>
        <v>FOR</v>
      </c>
      <c r="O1553" t="s">
        <v>69</v>
      </c>
      <c r="P1553" s="3" t="s">
        <v>75</v>
      </c>
      <c r="Q1553">
        <v>2016</v>
      </c>
      <c r="R1553" s="2">
        <v>42633</v>
      </c>
      <c r="S1553" s="2">
        <v>42642</v>
      </c>
      <c r="T1553" s="2">
        <v>42634</v>
      </c>
      <c r="U1553" s="2">
        <v>42694</v>
      </c>
      <c r="V1553" t="s">
        <v>71</v>
      </c>
      <c r="W1553" t="str">
        <f>"           0006791/L"</f>
        <v xml:space="preserve">           0006791/L</v>
      </c>
      <c r="X1553">
        <v>55.62</v>
      </c>
      <c r="Y1553">
        <v>0</v>
      </c>
      <c r="Z1553" s="3">
        <v>50.56</v>
      </c>
      <c r="AA1553">
        <v>-4</v>
      </c>
      <c r="AB1553" s="3">
        <v>-202.24</v>
      </c>
      <c r="AC1553">
        <v>50.56</v>
      </c>
      <c r="AD1553">
        <v>-4</v>
      </c>
      <c r="AE1553">
        <v>-202.24</v>
      </c>
      <c r="AF1553">
        <v>0</v>
      </c>
      <c r="AJ1553">
        <v>0</v>
      </c>
      <c r="AK1553">
        <v>0</v>
      </c>
      <c r="AL1553">
        <v>0</v>
      </c>
      <c r="AM1553">
        <v>55.62</v>
      </c>
      <c r="AN1553">
        <v>55.62</v>
      </c>
      <c r="AO1553">
        <v>55.62</v>
      </c>
      <c r="AP1553" s="2">
        <v>42746</v>
      </c>
      <c r="AQ1553" t="s">
        <v>72</v>
      </c>
      <c r="AR1553" t="s">
        <v>72</v>
      </c>
      <c r="AS1553">
        <v>3140</v>
      </c>
      <c r="AT1553" s="4">
        <v>42690</v>
      </c>
      <c r="AV1553">
        <v>3140</v>
      </c>
      <c r="AW1553" s="4">
        <v>42690</v>
      </c>
      <c r="BD1553">
        <v>0</v>
      </c>
      <c r="BN1553" t="s">
        <v>74</v>
      </c>
    </row>
    <row r="1554" spans="1:66" hidden="1">
      <c r="A1554">
        <v>100442</v>
      </c>
      <c r="B1554" s="3" t="s">
        <v>180</v>
      </c>
      <c r="C1554" s="1">
        <v>43300101</v>
      </c>
      <c r="D1554" t="s">
        <v>67</v>
      </c>
      <c r="H1554" t="str">
        <f t="shared" ref="H1554:I1558" si="147">"05848611009"</f>
        <v>05848611009</v>
      </c>
      <c r="I1554" t="str">
        <f t="shared" si="147"/>
        <v>05848611009</v>
      </c>
      <c r="K1554" t="str">
        <f>""</f>
        <v/>
      </c>
      <c r="M1554" t="s">
        <v>68</v>
      </c>
      <c r="N1554" t="str">
        <f t="shared" si="143"/>
        <v>FOR</v>
      </c>
      <c r="O1554" t="s">
        <v>69</v>
      </c>
      <c r="P1554" s="3" t="s">
        <v>70</v>
      </c>
      <c r="Q1554">
        <v>2015</v>
      </c>
      <c r="R1554" s="2">
        <v>42075</v>
      </c>
      <c r="S1554" s="2">
        <v>42089</v>
      </c>
      <c r="T1554" s="2">
        <v>42089</v>
      </c>
      <c r="U1554" s="2">
        <v>42149</v>
      </c>
      <c r="V1554" t="s">
        <v>71</v>
      </c>
      <c r="W1554" t="str">
        <f>"          1501003974"</f>
        <v xml:space="preserve">          1501003974</v>
      </c>
      <c r="X1554" s="1">
        <v>3708.8</v>
      </c>
      <c r="Y1554">
        <v>0</v>
      </c>
      <c r="Z1554"/>
      <c r="AB1554"/>
      <c r="AC1554" s="1">
        <v>3040</v>
      </c>
      <c r="AD1554">
        <v>266</v>
      </c>
      <c r="AE1554" s="1">
        <v>808640</v>
      </c>
      <c r="AF1554">
        <v>0</v>
      </c>
      <c r="AJ1554">
        <v>0</v>
      </c>
      <c r="AK1554">
        <v>0</v>
      </c>
      <c r="AL1554">
        <v>0</v>
      </c>
      <c r="AM1554">
        <v>0</v>
      </c>
      <c r="AN1554">
        <v>0</v>
      </c>
      <c r="AO1554">
        <v>0</v>
      </c>
      <c r="AP1554" s="2">
        <v>42746</v>
      </c>
      <c r="AQ1554" t="s">
        <v>72</v>
      </c>
      <c r="AR1554" t="s">
        <v>72</v>
      </c>
      <c r="AS1554">
        <v>362</v>
      </c>
      <c r="AT1554" s="4">
        <v>42415</v>
      </c>
      <c r="AU1554" t="s">
        <v>73</v>
      </c>
      <c r="AV1554">
        <v>362</v>
      </c>
      <c r="AW1554" s="4">
        <v>42415</v>
      </c>
      <c r="BD1554">
        <v>0</v>
      </c>
      <c r="BN1554" t="s">
        <v>74</v>
      </c>
    </row>
    <row r="1555" spans="1:66" hidden="1">
      <c r="A1555">
        <v>100442</v>
      </c>
      <c r="B1555" s="3" t="s">
        <v>180</v>
      </c>
      <c r="C1555" s="1">
        <v>43300101</v>
      </c>
      <c r="D1555" t="s">
        <v>67</v>
      </c>
      <c r="H1555" t="str">
        <f t="shared" si="147"/>
        <v>05848611009</v>
      </c>
      <c r="I1555" t="str">
        <f t="shared" si="147"/>
        <v>05848611009</v>
      </c>
      <c r="K1555" t="str">
        <f>""</f>
        <v/>
      </c>
      <c r="M1555" t="s">
        <v>68</v>
      </c>
      <c r="N1555" t="str">
        <f t="shared" si="143"/>
        <v>FOR</v>
      </c>
      <c r="O1555" t="s">
        <v>69</v>
      </c>
      <c r="P1555" s="3" t="s">
        <v>75</v>
      </c>
      <c r="Q1555">
        <v>2015</v>
      </c>
      <c r="R1555" s="2">
        <v>42143</v>
      </c>
      <c r="S1555" s="2">
        <v>42209</v>
      </c>
      <c r="T1555" s="2">
        <v>42207</v>
      </c>
      <c r="U1555" s="2">
        <v>42267</v>
      </c>
      <c r="V1555" t="s">
        <v>71</v>
      </c>
      <c r="W1555" t="str">
        <f>"          1601000570"</f>
        <v xml:space="preserve">          1601000570</v>
      </c>
      <c r="X1555" s="1">
        <v>3708.8</v>
      </c>
      <c r="Y1555">
        <v>0</v>
      </c>
      <c r="Z1555"/>
      <c r="AB1555"/>
      <c r="AC1555" s="1">
        <v>3040</v>
      </c>
      <c r="AD1555">
        <v>185</v>
      </c>
      <c r="AE1555" s="1">
        <v>562400</v>
      </c>
      <c r="AF1555">
        <v>0</v>
      </c>
      <c r="AJ1555">
        <v>0</v>
      </c>
      <c r="AK1555">
        <v>0</v>
      </c>
      <c r="AL1555">
        <v>0</v>
      </c>
      <c r="AM1555">
        <v>0</v>
      </c>
      <c r="AN1555">
        <v>0</v>
      </c>
      <c r="AO1555">
        <v>0</v>
      </c>
      <c r="AP1555" s="2">
        <v>42746</v>
      </c>
      <c r="AQ1555" t="s">
        <v>72</v>
      </c>
      <c r="AR1555" t="s">
        <v>72</v>
      </c>
      <c r="AS1555">
        <v>821</v>
      </c>
      <c r="AT1555" s="4">
        <v>42452</v>
      </c>
      <c r="AU1555" t="s">
        <v>73</v>
      </c>
      <c r="AV1555">
        <v>821</v>
      </c>
      <c r="AW1555" s="4">
        <v>42452</v>
      </c>
      <c r="BD1555">
        <v>0</v>
      </c>
      <c r="BN1555" t="s">
        <v>74</v>
      </c>
    </row>
    <row r="1556" spans="1:66" hidden="1">
      <c r="A1556">
        <v>100442</v>
      </c>
      <c r="B1556" s="3" t="s">
        <v>180</v>
      </c>
      <c r="C1556" s="1">
        <v>43300101</v>
      </c>
      <c r="D1556" t="s">
        <v>67</v>
      </c>
      <c r="H1556" t="str">
        <f t="shared" si="147"/>
        <v>05848611009</v>
      </c>
      <c r="I1556" t="str">
        <f t="shared" si="147"/>
        <v>05848611009</v>
      </c>
      <c r="K1556" t="str">
        <f>""</f>
        <v/>
      </c>
      <c r="M1556" t="s">
        <v>68</v>
      </c>
      <c r="N1556" t="str">
        <f t="shared" si="143"/>
        <v>FOR</v>
      </c>
      <c r="O1556" t="s">
        <v>69</v>
      </c>
      <c r="P1556" s="3" t="s">
        <v>75</v>
      </c>
      <c r="Q1556">
        <v>2015</v>
      </c>
      <c r="R1556" s="2">
        <v>42192</v>
      </c>
      <c r="S1556" s="2">
        <v>42202</v>
      </c>
      <c r="T1556" s="2">
        <v>42199</v>
      </c>
      <c r="U1556" s="2">
        <v>42259</v>
      </c>
      <c r="V1556" t="s">
        <v>71</v>
      </c>
      <c r="W1556" t="str">
        <f>"          1601001234"</f>
        <v xml:space="preserve">          1601001234</v>
      </c>
      <c r="X1556" s="1">
        <v>3708.8</v>
      </c>
      <c r="Y1556">
        <v>0</v>
      </c>
      <c r="Z1556"/>
      <c r="AB1556"/>
      <c r="AC1556" s="1">
        <v>3040</v>
      </c>
      <c r="AD1556">
        <v>307</v>
      </c>
      <c r="AE1556" s="1">
        <v>933280</v>
      </c>
      <c r="AF1556">
        <v>0</v>
      </c>
      <c r="AJ1556">
        <v>0</v>
      </c>
      <c r="AK1556">
        <v>0</v>
      </c>
      <c r="AL1556">
        <v>0</v>
      </c>
      <c r="AM1556">
        <v>0</v>
      </c>
      <c r="AN1556">
        <v>0</v>
      </c>
      <c r="AO1556">
        <v>0</v>
      </c>
      <c r="AP1556" s="2">
        <v>42746</v>
      </c>
      <c r="AQ1556" t="s">
        <v>72</v>
      </c>
      <c r="AR1556" t="s">
        <v>72</v>
      </c>
      <c r="AS1556">
        <v>1829</v>
      </c>
      <c r="AT1556" s="4">
        <v>42566</v>
      </c>
      <c r="AU1556" t="s">
        <v>73</v>
      </c>
      <c r="AV1556">
        <v>1829</v>
      </c>
      <c r="AW1556" s="4">
        <v>42566</v>
      </c>
      <c r="BD1556">
        <v>0</v>
      </c>
      <c r="BN1556" t="s">
        <v>74</v>
      </c>
    </row>
    <row r="1557" spans="1:66">
      <c r="A1557">
        <v>100442</v>
      </c>
      <c r="B1557" s="3" t="s">
        <v>180</v>
      </c>
      <c r="C1557" s="1">
        <v>43300101</v>
      </c>
      <c r="D1557" t="s">
        <v>67</v>
      </c>
      <c r="H1557" t="str">
        <f t="shared" si="147"/>
        <v>05848611009</v>
      </c>
      <c r="I1557" t="str">
        <f t="shared" si="147"/>
        <v>05848611009</v>
      </c>
      <c r="K1557" t="str">
        <f>""</f>
        <v/>
      </c>
      <c r="M1557" t="s">
        <v>68</v>
      </c>
      <c r="N1557" t="str">
        <f t="shared" si="143"/>
        <v>FOR</v>
      </c>
      <c r="O1557" t="s">
        <v>69</v>
      </c>
      <c r="P1557" s="3" t="s">
        <v>75</v>
      </c>
      <c r="Q1557">
        <v>2015</v>
      </c>
      <c r="R1557" s="2">
        <v>42307</v>
      </c>
      <c r="S1557" s="2">
        <v>42310</v>
      </c>
      <c r="T1557" s="2">
        <v>42307</v>
      </c>
      <c r="U1557" s="2">
        <v>42367</v>
      </c>
      <c r="V1557" t="s">
        <v>71</v>
      </c>
      <c r="W1557" t="str">
        <f>"          1601002565"</f>
        <v xml:space="preserve">          1601002565</v>
      </c>
      <c r="X1557" s="1">
        <v>3708.8</v>
      </c>
      <c r="Y1557">
        <v>0</v>
      </c>
      <c r="Z1557" s="5">
        <v>3040</v>
      </c>
      <c r="AA1557">
        <v>281</v>
      </c>
      <c r="AB1557" s="5">
        <v>854240</v>
      </c>
      <c r="AC1557" s="1">
        <v>3040</v>
      </c>
      <c r="AD1557">
        <v>281</v>
      </c>
      <c r="AE1557" s="1">
        <v>854240</v>
      </c>
      <c r="AF1557">
        <v>0</v>
      </c>
      <c r="AJ1557">
        <v>0</v>
      </c>
      <c r="AK1557">
        <v>0</v>
      </c>
      <c r="AL1557">
        <v>0</v>
      </c>
      <c r="AM1557">
        <v>0</v>
      </c>
      <c r="AN1557">
        <v>0</v>
      </c>
      <c r="AO1557">
        <v>0</v>
      </c>
      <c r="AP1557" s="2">
        <v>42746</v>
      </c>
      <c r="AQ1557" t="s">
        <v>72</v>
      </c>
      <c r="AR1557" t="s">
        <v>72</v>
      </c>
      <c r="AS1557">
        <v>2685</v>
      </c>
      <c r="AT1557" s="4">
        <v>42648</v>
      </c>
      <c r="AU1557" t="s">
        <v>73</v>
      </c>
      <c r="AV1557">
        <v>2685</v>
      </c>
      <c r="AW1557" s="4">
        <v>42648</v>
      </c>
      <c r="BD1557">
        <v>0</v>
      </c>
      <c r="BN1557" t="s">
        <v>74</v>
      </c>
    </row>
    <row r="1558" spans="1:66">
      <c r="A1558">
        <v>100442</v>
      </c>
      <c r="B1558" s="3" t="s">
        <v>180</v>
      </c>
      <c r="C1558" s="1">
        <v>43300101</v>
      </c>
      <c r="D1558" t="s">
        <v>67</v>
      </c>
      <c r="H1558" t="str">
        <f t="shared" si="147"/>
        <v>05848611009</v>
      </c>
      <c r="I1558" t="str">
        <f t="shared" si="147"/>
        <v>05848611009</v>
      </c>
      <c r="K1558" t="str">
        <f>""</f>
        <v/>
      </c>
      <c r="M1558" t="s">
        <v>68</v>
      </c>
      <c r="N1558" t="str">
        <f t="shared" ref="N1558:N1589" si="148">"FOR"</f>
        <v>FOR</v>
      </c>
      <c r="O1558" t="s">
        <v>69</v>
      </c>
      <c r="P1558" s="3" t="s">
        <v>75</v>
      </c>
      <c r="Q1558">
        <v>2016</v>
      </c>
      <c r="R1558" s="2">
        <v>42577</v>
      </c>
      <c r="S1558" s="2">
        <v>42577</v>
      </c>
      <c r="T1558" s="2">
        <v>42577</v>
      </c>
      <c r="U1558" s="2">
        <v>42637</v>
      </c>
      <c r="V1558" t="s">
        <v>71</v>
      </c>
      <c r="W1558" t="str">
        <f>"          1701001350"</f>
        <v xml:space="preserve">          1701001350</v>
      </c>
      <c r="X1558" s="1">
        <v>6148.8</v>
      </c>
      <c r="Y1558">
        <v>0</v>
      </c>
      <c r="Z1558" s="5">
        <v>5040</v>
      </c>
      <c r="AA1558">
        <v>11</v>
      </c>
      <c r="AB1558" s="5">
        <v>55440</v>
      </c>
      <c r="AC1558" s="1">
        <v>5040</v>
      </c>
      <c r="AD1558">
        <v>11</v>
      </c>
      <c r="AE1558" s="1">
        <v>55440</v>
      </c>
      <c r="AF1558">
        <v>0</v>
      </c>
      <c r="AJ1558">
        <v>0</v>
      </c>
      <c r="AK1558">
        <v>0</v>
      </c>
      <c r="AL1558">
        <v>0</v>
      </c>
      <c r="AM1558" s="1">
        <v>6148.8</v>
      </c>
      <c r="AN1558" s="1">
        <v>6148.8</v>
      </c>
      <c r="AO1558" s="1">
        <v>6148.8</v>
      </c>
      <c r="AP1558" s="2">
        <v>42746</v>
      </c>
      <c r="AQ1558" t="s">
        <v>72</v>
      </c>
      <c r="AR1558" t="s">
        <v>72</v>
      </c>
      <c r="AS1558">
        <v>2685</v>
      </c>
      <c r="AT1558" s="4">
        <v>42648</v>
      </c>
      <c r="AU1558" t="s">
        <v>73</v>
      </c>
      <c r="AV1558">
        <v>2685</v>
      </c>
      <c r="AW1558" s="4">
        <v>42648</v>
      </c>
      <c r="BD1558">
        <v>0</v>
      </c>
      <c r="BN1558" t="s">
        <v>74</v>
      </c>
    </row>
    <row r="1559" spans="1:66" hidden="1">
      <c r="A1559">
        <v>100449</v>
      </c>
      <c r="B1559" s="3" t="s">
        <v>181</v>
      </c>
      <c r="C1559" s="1">
        <v>43300101</v>
      </c>
      <c r="D1559" t="s">
        <v>67</v>
      </c>
      <c r="H1559" t="str">
        <f t="shared" ref="H1559:I1578" si="149">"00153730627"</f>
        <v>00153730627</v>
      </c>
      <c r="I1559" t="str">
        <f t="shared" si="149"/>
        <v>00153730627</v>
      </c>
      <c r="K1559" t="str">
        <f>""</f>
        <v/>
      </c>
      <c r="M1559" t="s">
        <v>68</v>
      </c>
      <c r="N1559" t="str">
        <f t="shared" si="148"/>
        <v>FOR</v>
      </c>
      <c r="O1559" t="s">
        <v>69</v>
      </c>
      <c r="P1559" s="3" t="s">
        <v>75</v>
      </c>
      <c r="Q1559">
        <v>2015</v>
      </c>
      <c r="R1559" s="2">
        <v>42124</v>
      </c>
      <c r="S1559" s="2">
        <v>42369</v>
      </c>
      <c r="T1559" s="2">
        <v>42369</v>
      </c>
      <c r="U1559" s="2">
        <v>42429</v>
      </c>
      <c r="V1559" t="s">
        <v>71</v>
      </c>
      <c r="W1559" t="str">
        <f>"          2015   123"</f>
        <v xml:space="preserve">          2015   123</v>
      </c>
      <c r="X1559" s="1">
        <v>4880</v>
      </c>
      <c r="Y1559">
        <v>0</v>
      </c>
      <c r="Z1559"/>
      <c r="AB1559"/>
      <c r="AC1559" s="1">
        <v>4000</v>
      </c>
      <c r="AD1559">
        <v>2</v>
      </c>
      <c r="AE1559" s="1">
        <v>8000</v>
      </c>
      <c r="AF1559">
        <v>0</v>
      </c>
      <c r="AJ1559">
        <v>0</v>
      </c>
      <c r="AK1559">
        <v>0</v>
      </c>
      <c r="AL1559">
        <v>0</v>
      </c>
      <c r="AM1559">
        <v>0</v>
      </c>
      <c r="AN1559">
        <v>0</v>
      </c>
      <c r="AO1559">
        <v>0</v>
      </c>
      <c r="AP1559" s="2">
        <v>42746</v>
      </c>
      <c r="AQ1559" t="s">
        <v>72</v>
      </c>
      <c r="AR1559" t="s">
        <v>72</v>
      </c>
      <c r="AS1559">
        <v>631</v>
      </c>
      <c r="AT1559" s="4">
        <v>42431</v>
      </c>
      <c r="AU1559" t="s">
        <v>73</v>
      </c>
      <c r="AV1559">
        <v>631</v>
      </c>
      <c r="AW1559" s="4">
        <v>42431</v>
      </c>
      <c r="BD1559">
        <v>0</v>
      </c>
      <c r="BN1559" t="s">
        <v>74</v>
      </c>
    </row>
    <row r="1560" spans="1:66" hidden="1">
      <c r="A1560">
        <v>100449</v>
      </c>
      <c r="B1560" s="3" t="s">
        <v>181</v>
      </c>
      <c r="C1560" s="1">
        <v>43300101</v>
      </c>
      <c r="D1560" t="s">
        <v>67</v>
      </c>
      <c r="H1560" t="str">
        <f t="shared" si="149"/>
        <v>00153730627</v>
      </c>
      <c r="I1560" t="str">
        <f t="shared" si="149"/>
        <v>00153730627</v>
      </c>
      <c r="K1560" t="str">
        <f>""</f>
        <v/>
      </c>
      <c r="M1560" t="s">
        <v>68</v>
      </c>
      <c r="N1560" t="str">
        <f t="shared" si="148"/>
        <v>FOR</v>
      </c>
      <c r="O1560" t="s">
        <v>69</v>
      </c>
      <c r="P1560" s="3" t="s">
        <v>75</v>
      </c>
      <c r="Q1560">
        <v>2015</v>
      </c>
      <c r="R1560" s="2">
        <v>42216</v>
      </c>
      <c r="S1560" s="2">
        <v>42227</v>
      </c>
      <c r="T1560" s="2">
        <v>42216</v>
      </c>
      <c r="U1560" s="2">
        <v>42276</v>
      </c>
      <c r="V1560" t="s">
        <v>71</v>
      </c>
      <c r="W1560" t="str">
        <f>"          2015   216"</f>
        <v xml:space="preserve">          2015   216</v>
      </c>
      <c r="X1560" s="1">
        <v>2562</v>
      </c>
      <c r="Y1560">
        <v>0</v>
      </c>
      <c r="Z1560"/>
      <c r="AB1560"/>
      <c r="AC1560" s="1">
        <v>2100</v>
      </c>
      <c r="AD1560">
        <v>155</v>
      </c>
      <c r="AE1560" s="1">
        <v>325500</v>
      </c>
      <c r="AF1560">
        <v>0</v>
      </c>
      <c r="AJ1560">
        <v>0</v>
      </c>
      <c r="AK1560">
        <v>0</v>
      </c>
      <c r="AL1560">
        <v>0</v>
      </c>
      <c r="AM1560">
        <v>0</v>
      </c>
      <c r="AN1560">
        <v>0</v>
      </c>
      <c r="AO1560">
        <v>0</v>
      </c>
      <c r="AP1560" s="2">
        <v>42746</v>
      </c>
      <c r="AQ1560" t="s">
        <v>72</v>
      </c>
      <c r="AR1560" t="s">
        <v>72</v>
      </c>
      <c r="AS1560">
        <v>631</v>
      </c>
      <c r="AT1560" s="4">
        <v>42431</v>
      </c>
      <c r="AU1560" t="s">
        <v>73</v>
      </c>
      <c r="AV1560">
        <v>631</v>
      </c>
      <c r="AW1560" s="4">
        <v>42431</v>
      </c>
      <c r="BD1560">
        <v>0</v>
      </c>
      <c r="BN1560" t="s">
        <v>74</v>
      </c>
    </row>
    <row r="1561" spans="1:66" hidden="1">
      <c r="A1561">
        <v>100449</v>
      </c>
      <c r="B1561" s="3" t="s">
        <v>181</v>
      </c>
      <c r="C1561" s="1">
        <v>43300101</v>
      </c>
      <c r="D1561" t="s">
        <v>67</v>
      </c>
      <c r="H1561" t="str">
        <f t="shared" si="149"/>
        <v>00153730627</v>
      </c>
      <c r="I1561" t="str">
        <f t="shared" si="149"/>
        <v>00153730627</v>
      </c>
      <c r="K1561" t="str">
        <f>""</f>
        <v/>
      </c>
      <c r="M1561" t="s">
        <v>68</v>
      </c>
      <c r="N1561" t="str">
        <f t="shared" si="148"/>
        <v>FOR</v>
      </c>
      <c r="O1561" t="s">
        <v>69</v>
      </c>
      <c r="P1561" s="3" t="s">
        <v>75</v>
      </c>
      <c r="Q1561">
        <v>2015</v>
      </c>
      <c r="R1561" s="2">
        <v>42247</v>
      </c>
      <c r="S1561" s="2">
        <v>42248</v>
      </c>
      <c r="T1561" s="2">
        <v>42247</v>
      </c>
      <c r="U1561" s="2">
        <v>42307</v>
      </c>
      <c r="V1561" t="s">
        <v>71</v>
      </c>
      <c r="W1561" t="str">
        <f>"          2015   224"</f>
        <v xml:space="preserve">          2015   224</v>
      </c>
      <c r="X1561" s="1">
        <v>5124</v>
      </c>
      <c r="Y1561">
        <v>0</v>
      </c>
      <c r="Z1561"/>
      <c r="AB1561"/>
      <c r="AC1561" s="1">
        <v>4200</v>
      </c>
      <c r="AD1561">
        <v>124</v>
      </c>
      <c r="AE1561" s="1">
        <v>520800</v>
      </c>
      <c r="AF1561">
        <v>0</v>
      </c>
      <c r="AJ1561">
        <v>0</v>
      </c>
      <c r="AK1561">
        <v>0</v>
      </c>
      <c r="AL1561">
        <v>0</v>
      </c>
      <c r="AM1561">
        <v>0</v>
      </c>
      <c r="AN1561">
        <v>0</v>
      </c>
      <c r="AO1561">
        <v>0</v>
      </c>
      <c r="AP1561" s="2">
        <v>42746</v>
      </c>
      <c r="AQ1561" t="s">
        <v>72</v>
      </c>
      <c r="AR1561" t="s">
        <v>72</v>
      </c>
      <c r="AS1561">
        <v>631</v>
      </c>
      <c r="AT1561" s="4">
        <v>42431</v>
      </c>
      <c r="AU1561" t="s">
        <v>73</v>
      </c>
      <c r="AV1561">
        <v>631</v>
      </c>
      <c r="AW1561" s="4">
        <v>42431</v>
      </c>
      <c r="BD1561">
        <v>0</v>
      </c>
      <c r="BN1561" t="s">
        <v>74</v>
      </c>
    </row>
    <row r="1562" spans="1:66" hidden="1">
      <c r="A1562">
        <v>100449</v>
      </c>
      <c r="B1562" s="3" t="s">
        <v>181</v>
      </c>
      <c r="C1562" s="1">
        <v>43300101</v>
      </c>
      <c r="D1562" t="s">
        <v>67</v>
      </c>
      <c r="H1562" t="str">
        <f t="shared" si="149"/>
        <v>00153730627</v>
      </c>
      <c r="I1562" t="str">
        <f t="shared" si="149"/>
        <v>00153730627</v>
      </c>
      <c r="K1562" t="str">
        <f>""</f>
        <v/>
      </c>
      <c r="M1562" t="s">
        <v>68</v>
      </c>
      <c r="N1562" t="str">
        <f t="shared" si="148"/>
        <v>FOR</v>
      </c>
      <c r="O1562" t="s">
        <v>69</v>
      </c>
      <c r="P1562" s="3" t="s">
        <v>75</v>
      </c>
      <c r="Q1562">
        <v>2015</v>
      </c>
      <c r="R1562" s="2">
        <v>42277</v>
      </c>
      <c r="S1562" s="2">
        <v>42277</v>
      </c>
      <c r="T1562" s="2">
        <v>42277</v>
      </c>
      <c r="U1562" s="2">
        <v>42337</v>
      </c>
      <c r="V1562" t="s">
        <v>71</v>
      </c>
      <c r="W1562" t="str">
        <f>"          2015   250"</f>
        <v xml:space="preserve">          2015   250</v>
      </c>
      <c r="X1562" s="1">
        <v>72164.929999999993</v>
      </c>
      <c r="Y1562" s="1">
        <v>-13013.35</v>
      </c>
      <c r="Z1562"/>
      <c r="AB1562"/>
      <c r="AC1562" s="1">
        <v>59151.58</v>
      </c>
      <c r="AD1562">
        <v>43</v>
      </c>
      <c r="AE1562" s="1">
        <v>2543517.94</v>
      </c>
      <c r="AF1562">
        <v>0</v>
      </c>
      <c r="AJ1562">
        <v>0</v>
      </c>
      <c r="AK1562">
        <v>0</v>
      </c>
      <c r="AL1562">
        <v>0</v>
      </c>
      <c r="AM1562">
        <v>0</v>
      </c>
      <c r="AN1562">
        <v>0</v>
      </c>
      <c r="AO1562">
        <v>0</v>
      </c>
      <c r="AP1562" s="2">
        <v>42746</v>
      </c>
      <c r="AQ1562" t="s">
        <v>72</v>
      </c>
      <c r="AR1562" t="s">
        <v>72</v>
      </c>
      <c r="AS1562">
        <v>1</v>
      </c>
      <c r="AT1562" s="4">
        <v>42380</v>
      </c>
      <c r="AU1562" t="s">
        <v>73</v>
      </c>
      <c r="AV1562">
        <v>1</v>
      </c>
      <c r="AW1562" s="4">
        <v>42380</v>
      </c>
      <c r="BD1562">
        <v>0</v>
      </c>
      <c r="BN1562" t="s">
        <v>74</v>
      </c>
    </row>
    <row r="1563" spans="1:66" hidden="1">
      <c r="A1563">
        <v>100449</v>
      </c>
      <c r="B1563" s="3" t="s">
        <v>181</v>
      </c>
      <c r="C1563" s="1">
        <v>43300101</v>
      </c>
      <c r="D1563" t="s">
        <v>67</v>
      </c>
      <c r="H1563" t="str">
        <f t="shared" si="149"/>
        <v>00153730627</v>
      </c>
      <c r="I1563" t="str">
        <f t="shared" si="149"/>
        <v>00153730627</v>
      </c>
      <c r="K1563" t="str">
        <f>""</f>
        <v/>
      </c>
      <c r="M1563" t="s">
        <v>68</v>
      </c>
      <c r="N1563" t="str">
        <f t="shared" si="148"/>
        <v>FOR</v>
      </c>
      <c r="O1563" t="s">
        <v>69</v>
      </c>
      <c r="P1563" s="3" t="s">
        <v>75</v>
      </c>
      <c r="Q1563">
        <v>2015</v>
      </c>
      <c r="R1563" s="2">
        <v>42277</v>
      </c>
      <c r="S1563" s="2">
        <v>42277</v>
      </c>
      <c r="T1563" s="2">
        <v>42277</v>
      </c>
      <c r="U1563" s="2">
        <v>42337</v>
      </c>
      <c r="V1563" t="s">
        <v>71</v>
      </c>
      <c r="W1563" t="str">
        <f>"          2015   251"</f>
        <v xml:space="preserve">          2015   251</v>
      </c>
      <c r="X1563" s="1">
        <v>17360.599999999999</v>
      </c>
      <c r="Y1563">
        <v>0</v>
      </c>
      <c r="Z1563"/>
      <c r="AB1563"/>
      <c r="AC1563" s="1">
        <v>14230</v>
      </c>
      <c r="AD1563">
        <v>43</v>
      </c>
      <c r="AE1563" s="1">
        <v>611890</v>
      </c>
      <c r="AF1563">
        <v>0</v>
      </c>
      <c r="AJ1563">
        <v>0</v>
      </c>
      <c r="AK1563">
        <v>0</v>
      </c>
      <c r="AL1563">
        <v>0</v>
      </c>
      <c r="AM1563">
        <v>0</v>
      </c>
      <c r="AN1563">
        <v>0</v>
      </c>
      <c r="AO1563">
        <v>0</v>
      </c>
      <c r="AP1563" s="2">
        <v>42746</v>
      </c>
      <c r="AQ1563" t="s">
        <v>72</v>
      </c>
      <c r="AR1563" t="s">
        <v>72</v>
      </c>
      <c r="AS1563">
        <v>1</v>
      </c>
      <c r="AT1563" s="4">
        <v>42380</v>
      </c>
      <c r="AU1563" t="s">
        <v>73</v>
      </c>
      <c r="AV1563">
        <v>1</v>
      </c>
      <c r="AW1563" s="4">
        <v>42380</v>
      </c>
      <c r="BD1563">
        <v>0</v>
      </c>
      <c r="BN1563" t="s">
        <v>74</v>
      </c>
    </row>
    <row r="1564" spans="1:66" hidden="1">
      <c r="A1564">
        <v>100449</v>
      </c>
      <c r="B1564" s="3" t="s">
        <v>181</v>
      </c>
      <c r="C1564" s="1">
        <v>43300101</v>
      </c>
      <c r="D1564" t="s">
        <v>67</v>
      </c>
      <c r="H1564" t="str">
        <f t="shared" si="149"/>
        <v>00153730627</v>
      </c>
      <c r="I1564" t="str">
        <f t="shared" si="149"/>
        <v>00153730627</v>
      </c>
      <c r="K1564" t="str">
        <f>""</f>
        <v/>
      </c>
      <c r="M1564" t="s">
        <v>68</v>
      </c>
      <c r="N1564" t="str">
        <f t="shared" si="148"/>
        <v>FOR</v>
      </c>
      <c r="O1564" t="s">
        <v>69</v>
      </c>
      <c r="P1564" s="3" t="s">
        <v>75</v>
      </c>
      <c r="Q1564">
        <v>2015</v>
      </c>
      <c r="R1564" s="2">
        <v>42277</v>
      </c>
      <c r="S1564" s="2">
        <v>42277</v>
      </c>
      <c r="T1564" s="2">
        <v>42277</v>
      </c>
      <c r="U1564" s="2">
        <v>42337</v>
      </c>
      <c r="V1564" t="s">
        <v>71</v>
      </c>
      <c r="W1564" t="str">
        <f>"          2015   252"</f>
        <v xml:space="preserve">          2015   252</v>
      </c>
      <c r="X1564" s="1">
        <v>5124</v>
      </c>
      <c r="Y1564">
        <v>0</v>
      </c>
      <c r="Z1564"/>
      <c r="AB1564"/>
      <c r="AC1564" s="1">
        <v>4200</v>
      </c>
      <c r="AD1564">
        <v>94</v>
      </c>
      <c r="AE1564" s="1">
        <v>394800</v>
      </c>
      <c r="AF1564">
        <v>0</v>
      </c>
      <c r="AJ1564">
        <v>0</v>
      </c>
      <c r="AK1564">
        <v>0</v>
      </c>
      <c r="AL1564">
        <v>0</v>
      </c>
      <c r="AM1564">
        <v>0</v>
      </c>
      <c r="AN1564">
        <v>0</v>
      </c>
      <c r="AO1564">
        <v>0</v>
      </c>
      <c r="AP1564" s="2">
        <v>42746</v>
      </c>
      <c r="AQ1564" t="s">
        <v>72</v>
      </c>
      <c r="AR1564" t="s">
        <v>72</v>
      </c>
      <c r="AS1564">
        <v>631</v>
      </c>
      <c r="AT1564" s="4">
        <v>42431</v>
      </c>
      <c r="AU1564" t="s">
        <v>73</v>
      </c>
      <c r="AV1564">
        <v>631</v>
      </c>
      <c r="AW1564" s="4">
        <v>42431</v>
      </c>
      <c r="BD1564">
        <v>0</v>
      </c>
      <c r="BN1564" t="s">
        <v>74</v>
      </c>
    </row>
    <row r="1565" spans="1:66" hidden="1">
      <c r="A1565">
        <v>100449</v>
      </c>
      <c r="B1565" s="3" t="s">
        <v>181</v>
      </c>
      <c r="C1565" s="1">
        <v>43300101</v>
      </c>
      <c r="D1565" t="s">
        <v>67</v>
      </c>
      <c r="H1565" t="str">
        <f t="shared" si="149"/>
        <v>00153730627</v>
      </c>
      <c r="I1565" t="str">
        <f t="shared" si="149"/>
        <v>00153730627</v>
      </c>
      <c r="K1565" t="str">
        <f>""</f>
        <v/>
      </c>
      <c r="M1565" t="s">
        <v>68</v>
      </c>
      <c r="N1565" t="str">
        <f t="shared" si="148"/>
        <v>FOR</v>
      </c>
      <c r="O1565" t="s">
        <v>69</v>
      </c>
      <c r="P1565" s="3" t="s">
        <v>75</v>
      </c>
      <c r="Q1565">
        <v>2015</v>
      </c>
      <c r="R1565" s="2">
        <v>42308</v>
      </c>
      <c r="S1565" s="2">
        <v>42310</v>
      </c>
      <c r="T1565" s="2">
        <v>42310</v>
      </c>
      <c r="U1565" s="2">
        <v>42370</v>
      </c>
      <c r="V1565" t="s">
        <v>71</v>
      </c>
      <c r="W1565" t="str">
        <f>"          2015   270"</f>
        <v xml:space="preserve">          2015   270</v>
      </c>
      <c r="X1565" s="1">
        <v>72164.929999999993</v>
      </c>
      <c r="Y1565" s="1">
        <v>-13013.35</v>
      </c>
      <c r="Z1565"/>
      <c r="AB1565"/>
      <c r="AC1565" s="1">
        <v>59151.58</v>
      </c>
      <c r="AD1565">
        <v>10</v>
      </c>
      <c r="AE1565" s="1">
        <v>591515.80000000005</v>
      </c>
      <c r="AF1565">
        <v>0</v>
      </c>
      <c r="AJ1565">
        <v>0</v>
      </c>
      <c r="AK1565">
        <v>0</v>
      </c>
      <c r="AL1565">
        <v>0</v>
      </c>
      <c r="AM1565">
        <v>0</v>
      </c>
      <c r="AN1565">
        <v>0</v>
      </c>
      <c r="AO1565">
        <v>0</v>
      </c>
      <c r="AP1565" s="2">
        <v>42746</v>
      </c>
      <c r="AQ1565" t="s">
        <v>72</v>
      </c>
      <c r="AR1565" t="s">
        <v>72</v>
      </c>
      <c r="AS1565">
        <v>1</v>
      </c>
      <c r="AT1565" s="4">
        <v>42380</v>
      </c>
      <c r="AU1565" t="s">
        <v>73</v>
      </c>
      <c r="AV1565">
        <v>1</v>
      </c>
      <c r="AW1565" s="4">
        <v>42380</v>
      </c>
      <c r="BD1565">
        <v>0</v>
      </c>
      <c r="BN1565" t="s">
        <v>74</v>
      </c>
    </row>
    <row r="1566" spans="1:66" hidden="1">
      <c r="A1566">
        <v>100449</v>
      </c>
      <c r="B1566" s="3" t="s">
        <v>181</v>
      </c>
      <c r="C1566" s="1">
        <v>43300101</v>
      </c>
      <c r="D1566" t="s">
        <v>67</v>
      </c>
      <c r="H1566" t="str">
        <f t="shared" si="149"/>
        <v>00153730627</v>
      </c>
      <c r="I1566" t="str">
        <f t="shared" si="149"/>
        <v>00153730627</v>
      </c>
      <c r="K1566" t="str">
        <f>""</f>
        <v/>
      </c>
      <c r="M1566" t="s">
        <v>68</v>
      </c>
      <c r="N1566" t="str">
        <f t="shared" si="148"/>
        <v>FOR</v>
      </c>
      <c r="O1566" t="s">
        <v>69</v>
      </c>
      <c r="P1566" s="3" t="s">
        <v>75</v>
      </c>
      <c r="Q1566">
        <v>2015</v>
      </c>
      <c r="R1566" s="2">
        <v>42308</v>
      </c>
      <c r="S1566" s="2">
        <v>42310</v>
      </c>
      <c r="T1566" s="2">
        <v>42310</v>
      </c>
      <c r="U1566" s="2">
        <v>42370</v>
      </c>
      <c r="V1566" t="s">
        <v>71</v>
      </c>
      <c r="W1566" t="str">
        <f>"          2015   271"</f>
        <v xml:space="preserve">          2015   271</v>
      </c>
      <c r="X1566" s="1">
        <v>17360.599999999999</v>
      </c>
      <c r="Y1566">
        <v>0</v>
      </c>
      <c r="Z1566"/>
      <c r="AB1566"/>
      <c r="AC1566" s="1">
        <v>14230</v>
      </c>
      <c r="AD1566">
        <v>10</v>
      </c>
      <c r="AE1566" s="1">
        <v>142300</v>
      </c>
      <c r="AF1566">
        <v>0</v>
      </c>
      <c r="AJ1566">
        <v>0</v>
      </c>
      <c r="AK1566">
        <v>0</v>
      </c>
      <c r="AL1566">
        <v>0</v>
      </c>
      <c r="AM1566">
        <v>0</v>
      </c>
      <c r="AN1566">
        <v>0</v>
      </c>
      <c r="AO1566">
        <v>0</v>
      </c>
      <c r="AP1566" s="2">
        <v>42746</v>
      </c>
      <c r="AQ1566" t="s">
        <v>72</v>
      </c>
      <c r="AR1566" t="s">
        <v>72</v>
      </c>
      <c r="AS1566">
        <v>1</v>
      </c>
      <c r="AT1566" s="4">
        <v>42380</v>
      </c>
      <c r="AU1566" t="s">
        <v>73</v>
      </c>
      <c r="AV1566">
        <v>1</v>
      </c>
      <c r="AW1566" s="4">
        <v>42380</v>
      </c>
      <c r="BD1566">
        <v>0</v>
      </c>
      <c r="BN1566" t="s">
        <v>74</v>
      </c>
    </row>
    <row r="1567" spans="1:66" hidden="1">
      <c r="A1567">
        <v>100449</v>
      </c>
      <c r="B1567" s="3" t="s">
        <v>181</v>
      </c>
      <c r="C1567" s="1">
        <v>43300101</v>
      </c>
      <c r="D1567" t="s">
        <v>67</v>
      </c>
      <c r="H1567" t="str">
        <f t="shared" si="149"/>
        <v>00153730627</v>
      </c>
      <c r="I1567" t="str">
        <f t="shared" si="149"/>
        <v>00153730627</v>
      </c>
      <c r="K1567" t="str">
        <f>""</f>
        <v/>
      </c>
      <c r="M1567" t="s">
        <v>68</v>
      </c>
      <c r="N1567" t="str">
        <f t="shared" si="148"/>
        <v>FOR</v>
      </c>
      <c r="O1567" t="s">
        <v>69</v>
      </c>
      <c r="P1567" s="3" t="s">
        <v>75</v>
      </c>
      <c r="Q1567">
        <v>2015</v>
      </c>
      <c r="R1567" s="2">
        <v>42308</v>
      </c>
      <c r="S1567" s="2">
        <v>42310</v>
      </c>
      <c r="T1567" s="2">
        <v>42310</v>
      </c>
      <c r="U1567" s="2">
        <v>42370</v>
      </c>
      <c r="V1567" t="s">
        <v>71</v>
      </c>
      <c r="W1567" t="str">
        <f>"          2015   272"</f>
        <v xml:space="preserve">          2015   272</v>
      </c>
      <c r="X1567" s="1">
        <v>5124</v>
      </c>
      <c r="Y1567">
        <v>0</v>
      </c>
      <c r="Z1567"/>
      <c r="AB1567"/>
      <c r="AC1567" s="1">
        <v>4200</v>
      </c>
      <c r="AD1567">
        <v>61</v>
      </c>
      <c r="AE1567" s="1">
        <v>256200</v>
      </c>
      <c r="AF1567">
        <v>0</v>
      </c>
      <c r="AJ1567">
        <v>0</v>
      </c>
      <c r="AK1567">
        <v>0</v>
      </c>
      <c r="AL1567">
        <v>0</v>
      </c>
      <c r="AM1567">
        <v>0</v>
      </c>
      <c r="AN1567">
        <v>0</v>
      </c>
      <c r="AO1567">
        <v>0</v>
      </c>
      <c r="AP1567" s="2">
        <v>42746</v>
      </c>
      <c r="AQ1567" t="s">
        <v>72</v>
      </c>
      <c r="AR1567" t="s">
        <v>72</v>
      </c>
      <c r="AS1567">
        <v>631</v>
      </c>
      <c r="AT1567" s="4">
        <v>42431</v>
      </c>
      <c r="AU1567" t="s">
        <v>73</v>
      </c>
      <c r="AV1567">
        <v>631</v>
      </c>
      <c r="AW1567" s="4">
        <v>42431</v>
      </c>
      <c r="BD1567">
        <v>0</v>
      </c>
      <c r="BN1567" t="s">
        <v>74</v>
      </c>
    </row>
    <row r="1568" spans="1:66" hidden="1">
      <c r="A1568">
        <v>100449</v>
      </c>
      <c r="B1568" s="3" t="s">
        <v>181</v>
      </c>
      <c r="C1568" s="1">
        <v>43300101</v>
      </c>
      <c r="D1568" t="s">
        <v>67</v>
      </c>
      <c r="H1568" t="str">
        <f t="shared" si="149"/>
        <v>00153730627</v>
      </c>
      <c r="I1568" t="str">
        <f t="shared" si="149"/>
        <v>00153730627</v>
      </c>
      <c r="K1568" t="str">
        <f>""</f>
        <v/>
      </c>
      <c r="M1568" t="s">
        <v>68</v>
      </c>
      <c r="N1568" t="str">
        <f t="shared" si="148"/>
        <v>FOR</v>
      </c>
      <c r="O1568" t="s">
        <v>69</v>
      </c>
      <c r="P1568" s="3" t="s">
        <v>75</v>
      </c>
      <c r="Q1568">
        <v>2015</v>
      </c>
      <c r="R1568" s="2">
        <v>42338</v>
      </c>
      <c r="S1568" s="2">
        <v>42338</v>
      </c>
      <c r="T1568" s="2">
        <v>42338</v>
      </c>
      <c r="U1568" s="2">
        <v>42398</v>
      </c>
      <c r="V1568" t="s">
        <v>71</v>
      </c>
      <c r="W1568" t="str">
        <f>"          2015   296"</f>
        <v xml:space="preserve">          2015   296</v>
      </c>
      <c r="X1568" s="1">
        <v>72164.929999999993</v>
      </c>
      <c r="Y1568" s="1">
        <v>-13013.35</v>
      </c>
      <c r="Z1568"/>
      <c r="AB1568"/>
      <c r="AC1568" s="1">
        <v>59151.58</v>
      </c>
      <c r="AD1568">
        <v>3</v>
      </c>
      <c r="AE1568" s="1">
        <v>177454.74</v>
      </c>
      <c r="AF1568">
        <v>0</v>
      </c>
      <c r="AJ1568">
        <v>0</v>
      </c>
      <c r="AK1568">
        <v>0</v>
      </c>
      <c r="AL1568">
        <v>0</v>
      </c>
      <c r="AM1568">
        <v>0</v>
      </c>
      <c r="AN1568">
        <v>0</v>
      </c>
      <c r="AO1568">
        <v>0</v>
      </c>
      <c r="AP1568" s="2">
        <v>42746</v>
      </c>
      <c r="AQ1568" t="s">
        <v>72</v>
      </c>
      <c r="AR1568" t="s">
        <v>72</v>
      </c>
      <c r="AS1568">
        <v>166</v>
      </c>
      <c r="AT1568" s="4">
        <v>42401</v>
      </c>
      <c r="AU1568" t="s">
        <v>73</v>
      </c>
      <c r="AV1568">
        <v>166</v>
      </c>
      <c r="AW1568" s="4">
        <v>42401</v>
      </c>
      <c r="BD1568">
        <v>0</v>
      </c>
      <c r="BN1568" t="s">
        <v>74</v>
      </c>
    </row>
    <row r="1569" spans="1:66" hidden="1">
      <c r="A1569">
        <v>100449</v>
      </c>
      <c r="B1569" s="3" t="s">
        <v>181</v>
      </c>
      <c r="C1569" s="1">
        <v>43300101</v>
      </c>
      <c r="D1569" t="s">
        <v>67</v>
      </c>
      <c r="H1569" t="str">
        <f t="shared" si="149"/>
        <v>00153730627</v>
      </c>
      <c r="I1569" t="str">
        <f t="shared" si="149"/>
        <v>00153730627</v>
      </c>
      <c r="K1569" t="str">
        <f>""</f>
        <v/>
      </c>
      <c r="M1569" t="s">
        <v>68</v>
      </c>
      <c r="N1569" t="str">
        <f t="shared" si="148"/>
        <v>FOR</v>
      </c>
      <c r="O1569" t="s">
        <v>69</v>
      </c>
      <c r="P1569" s="3" t="s">
        <v>75</v>
      </c>
      <c r="Q1569">
        <v>2015</v>
      </c>
      <c r="R1569" s="2">
        <v>42338</v>
      </c>
      <c r="S1569" s="2">
        <v>42338</v>
      </c>
      <c r="T1569" s="2">
        <v>42338</v>
      </c>
      <c r="U1569" s="2">
        <v>42398</v>
      </c>
      <c r="V1569" t="s">
        <v>71</v>
      </c>
      <c r="W1569" t="str">
        <f>"          2015   297"</f>
        <v xml:space="preserve">          2015   297</v>
      </c>
      <c r="X1569" s="1">
        <v>17360.599999999999</v>
      </c>
      <c r="Y1569">
        <v>0</v>
      </c>
      <c r="Z1569"/>
      <c r="AB1569"/>
      <c r="AC1569" s="1">
        <v>14230</v>
      </c>
      <c r="AD1569">
        <v>3</v>
      </c>
      <c r="AE1569" s="1">
        <v>42690</v>
      </c>
      <c r="AF1569">
        <v>0</v>
      </c>
      <c r="AJ1569">
        <v>0</v>
      </c>
      <c r="AK1569">
        <v>0</v>
      </c>
      <c r="AL1569">
        <v>0</v>
      </c>
      <c r="AM1569">
        <v>0</v>
      </c>
      <c r="AN1569">
        <v>0</v>
      </c>
      <c r="AO1569">
        <v>0</v>
      </c>
      <c r="AP1569" s="2">
        <v>42746</v>
      </c>
      <c r="AQ1569" t="s">
        <v>72</v>
      </c>
      <c r="AR1569" t="s">
        <v>72</v>
      </c>
      <c r="AS1569">
        <v>166</v>
      </c>
      <c r="AT1569" s="4">
        <v>42401</v>
      </c>
      <c r="AU1569" t="s">
        <v>73</v>
      </c>
      <c r="AV1569">
        <v>166</v>
      </c>
      <c r="AW1569" s="4">
        <v>42401</v>
      </c>
      <c r="BD1569">
        <v>0</v>
      </c>
      <c r="BN1569" t="s">
        <v>74</v>
      </c>
    </row>
    <row r="1570" spans="1:66" hidden="1">
      <c r="A1570">
        <v>100449</v>
      </c>
      <c r="B1570" s="3" t="s">
        <v>181</v>
      </c>
      <c r="C1570" s="1">
        <v>43300101</v>
      </c>
      <c r="D1570" t="s">
        <v>67</v>
      </c>
      <c r="H1570" t="str">
        <f t="shared" si="149"/>
        <v>00153730627</v>
      </c>
      <c r="I1570" t="str">
        <f t="shared" si="149"/>
        <v>00153730627</v>
      </c>
      <c r="K1570" t="str">
        <f>""</f>
        <v/>
      </c>
      <c r="M1570" t="s">
        <v>68</v>
      </c>
      <c r="N1570" t="str">
        <f t="shared" si="148"/>
        <v>FOR</v>
      </c>
      <c r="O1570" t="s">
        <v>69</v>
      </c>
      <c r="P1570" s="3" t="s">
        <v>75</v>
      </c>
      <c r="Q1570">
        <v>2015</v>
      </c>
      <c r="R1570" s="2">
        <v>42338</v>
      </c>
      <c r="S1570" s="2">
        <v>42338</v>
      </c>
      <c r="T1570" s="2">
        <v>42338</v>
      </c>
      <c r="U1570" s="2">
        <v>42398</v>
      </c>
      <c r="V1570" t="s">
        <v>71</v>
      </c>
      <c r="W1570" t="str">
        <f>"          2015   298"</f>
        <v xml:space="preserve">          2015   298</v>
      </c>
      <c r="X1570" s="1">
        <v>3893.84</v>
      </c>
      <c r="Y1570">
        <v>0</v>
      </c>
      <c r="Z1570"/>
      <c r="AB1570"/>
      <c r="AC1570" s="1">
        <v>3191.67</v>
      </c>
      <c r="AD1570">
        <v>180</v>
      </c>
      <c r="AE1570" s="1">
        <v>574500.6</v>
      </c>
      <c r="AF1570">
        <v>0</v>
      </c>
      <c r="AJ1570">
        <v>0</v>
      </c>
      <c r="AK1570">
        <v>0</v>
      </c>
      <c r="AL1570">
        <v>0</v>
      </c>
      <c r="AM1570">
        <v>0</v>
      </c>
      <c r="AN1570">
        <v>0</v>
      </c>
      <c r="AO1570">
        <v>0</v>
      </c>
      <c r="AP1570" s="2">
        <v>42746</v>
      </c>
      <c r="AQ1570" t="s">
        <v>72</v>
      </c>
      <c r="AR1570" t="s">
        <v>72</v>
      </c>
      <c r="AS1570">
        <v>1982</v>
      </c>
      <c r="AT1570" s="4">
        <v>42578</v>
      </c>
      <c r="AU1570" t="s">
        <v>73</v>
      </c>
      <c r="AV1570">
        <v>1982</v>
      </c>
      <c r="AW1570" s="4">
        <v>42578</v>
      </c>
      <c r="BD1570">
        <v>0</v>
      </c>
      <c r="BN1570" t="s">
        <v>74</v>
      </c>
    </row>
    <row r="1571" spans="1:66" hidden="1">
      <c r="A1571">
        <v>100449</v>
      </c>
      <c r="B1571" s="3" t="s">
        <v>181</v>
      </c>
      <c r="C1571" s="1">
        <v>43300101</v>
      </c>
      <c r="D1571" t="s">
        <v>67</v>
      </c>
      <c r="H1571" t="str">
        <f t="shared" si="149"/>
        <v>00153730627</v>
      </c>
      <c r="I1571" t="str">
        <f t="shared" si="149"/>
        <v>00153730627</v>
      </c>
      <c r="K1571" t="str">
        <f>""</f>
        <v/>
      </c>
      <c r="M1571" t="s">
        <v>68</v>
      </c>
      <c r="N1571" t="str">
        <f t="shared" si="148"/>
        <v>FOR</v>
      </c>
      <c r="O1571" t="s">
        <v>69</v>
      </c>
      <c r="P1571" s="3" t="s">
        <v>75</v>
      </c>
      <c r="Q1571">
        <v>2015</v>
      </c>
      <c r="R1571" s="2">
        <v>42369</v>
      </c>
      <c r="S1571" s="2">
        <v>42369</v>
      </c>
      <c r="T1571" s="2">
        <v>42369</v>
      </c>
      <c r="U1571" s="2">
        <v>42429</v>
      </c>
      <c r="V1571" t="s">
        <v>71</v>
      </c>
      <c r="W1571" t="str">
        <f>"          2015   313"</f>
        <v xml:space="preserve">          2015   313</v>
      </c>
      <c r="X1571" s="1">
        <v>72164.929999999993</v>
      </c>
      <c r="Y1571" s="1">
        <v>-13013.35</v>
      </c>
      <c r="Z1571"/>
      <c r="AB1571"/>
      <c r="AC1571" s="1">
        <v>59151.58</v>
      </c>
      <c r="AD1571">
        <v>2</v>
      </c>
      <c r="AE1571" s="1">
        <v>118303.16</v>
      </c>
      <c r="AF1571">
        <v>0</v>
      </c>
      <c r="AJ1571">
        <v>0</v>
      </c>
      <c r="AK1571">
        <v>0</v>
      </c>
      <c r="AL1571">
        <v>0</v>
      </c>
      <c r="AM1571">
        <v>0</v>
      </c>
      <c r="AN1571">
        <v>0</v>
      </c>
      <c r="AO1571">
        <v>0</v>
      </c>
      <c r="AP1571" s="2">
        <v>42746</v>
      </c>
      <c r="AQ1571" t="s">
        <v>72</v>
      </c>
      <c r="AR1571" t="s">
        <v>72</v>
      </c>
      <c r="AS1571">
        <v>631</v>
      </c>
      <c r="AT1571" s="4">
        <v>42431</v>
      </c>
      <c r="AU1571" t="s">
        <v>73</v>
      </c>
      <c r="AV1571">
        <v>631</v>
      </c>
      <c r="AW1571" s="4">
        <v>42431</v>
      </c>
      <c r="BD1571">
        <v>0</v>
      </c>
      <c r="BN1571" t="s">
        <v>74</v>
      </c>
    </row>
    <row r="1572" spans="1:66" hidden="1">
      <c r="A1572">
        <v>100449</v>
      </c>
      <c r="B1572" s="3" t="s">
        <v>181</v>
      </c>
      <c r="C1572" s="1">
        <v>43300101</v>
      </c>
      <c r="D1572" t="s">
        <v>67</v>
      </c>
      <c r="H1572" t="str">
        <f t="shared" si="149"/>
        <v>00153730627</v>
      </c>
      <c r="I1572" t="str">
        <f t="shared" si="149"/>
        <v>00153730627</v>
      </c>
      <c r="K1572" t="str">
        <f>""</f>
        <v/>
      </c>
      <c r="M1572" t="s">
        <v>68</v>
      </c>
      <c r="N1572" t="str">
        <f t="shared" si="148"/>
        <v>FOR</v>
      </c>
      <c r="O1572" t="s">
        <v>69</v>
      </c>
      <c r="P1572" s="3" t="s">
        <v>75</v>
      </c>
      <c r="Q1572">
        <v>2015</v>
      </c>
      <c r="R1572" s="2">
        <v>42369</v>
      </c>
      <c r="S1572" s="2">
        <v>42369</v>
      </c>
      <c r="T1572" s="2">
        <v>42369</v>
      </c>
      <c r="U1572" s="2">
        <v>42429</v>
      </c>
      <c r="V1572" t="s">
        <v>71</v>
      </c>
      <c r="W1572" t="str">
        <f>"          2015   314"</f>
        <v xml:space="preserve">          2015   314</v>
      </c>
      <c r="X1572" s="1">
        <v>17360.599999999999</v>
      </c>
      <c r="Y1572">
        <v>0</v>
      </c>
      <c r="Z1572"/>
      <c r="AB1572"/>
      <c r="AC1572" s="1">
        <v>14230</v>
      </c>
      <c r="AD1572">
        <v>2</v>
      </c>
      <c r="AE1572" s="1">
        <v>28460</v>
      </c>
      <c r="AF1572">
        <v>0</v>
      </c>
      <c r="AJ1572">
        <v>0</v>
      </c>
      <c r="AK1572">
        <v>0</v>
      </c>
      <c r="AL1572">
        <v>0</v>
      </c>
      <c r="AM1572">
        <v>0</v>
      </c>
      <c r="AN1572">
        <v>0</v>
      </c>
      <c r="AO1572">
        <v>0</v>
      </c>
      <c r="AP1572" s="2">
        <v>42746</v>
      </c>
      <c r="AQ1572" t="s">
        <v>72</v>
      </c>
      <c r="AR1572" t="s">
        <v>72</v>
      </c>
      <c r="AS1572">
        <v>631</v>
      </c>
      <c r="AT1572" s="4">
        <v>42431</v>
      </c>
      <c r="AU1572" t="s">
        <v>73</v>
      </c>
      <c r="AV1572">
        <v>631</v>
      </c>
      <c r="AW1572" s="4">
        <v>42431</v>
      </c>
      <c r="BD1572">
        <v>0</v>
      </c>
      <c r="BN1572" t="s">
        <v>74</v>
      </c>
    </row>
    <row r="1573" spans="1:66" hidden="1">
      <c r="A1573">
        <v>100449</v>
      </c>
      <c r="B1573" s="3" t="s">
        <v>181</v>
      </c>
      <c r="C1573" s="1">
        <v>43300101</v>
      </c>
      <c r="D1573" t="s">
        <v>67</v>
      </c>
      <c r="H1573" t="str">
        <f t="shared" si="149"/>
        <v>00153730627</v>
      </c>
      <c r="I1573" t="str">
        <f t="shared" si="149"/>
        <v>00153730627</v>
      </c>
      <c r="K1573" t="str">
        <f>""</f>
        <v/>
      </c>
      <c r="M1573" t="s">
        <v>68</v>
      </c>
      <c r="N1573" t="str">
        <f t="shared" si="148"/>
        <v>FOR</v>
      </c>
      <c r="O1573" t="s">
        <v>69</v>
      </c>
      <c r="P1573" s="3" t="s">
        <v>75</v>
      </c>
      <c r="Q1573">
        <v>2015</v>
      </c>
      <c r="R1573" s="2">
        <v>42369</v>
      </c>
      <c r="S1573" s="2">
        <v>42369</v>
      </c>
      <c r="T1573" s="2">
        <v>42369</v>
      </c>
      <c r="U1573" s="2">
        <v>42429</v>
      </c>
      <c r="V1573" t="s">
        <v>71</v>
      </c>
      <c r="W1573" t="str">
        <f>"          2015   315"</f>
        <v xml:space="preserve">          2015   315</v>
      </c>
      <c r="X1573" s="1">
        <v>3893.84</v>
      </c>
      <c r="Y1573">
        <v>0</v>
      </c>
      <c r="Z1573"/>
      <c r="AB1573"/>
      <c r="AC1573" s="1">
        <v>3191.67</v>
      </c>
      <c r="AD1573">
        <v>149</v>
      </c>
      <c r="AE1573" s="1">
        <v>475558.83</v>
      </c>
      <c r="AF1573">
        <v>0</v>
      </c>
      <c r="AJ1573">
        <v>0</v>
      </c>
      <c r="AK1573">
        <v>0</v>
      </c>
      <c r="AL1573">
        <v>0</v>
      </c>
      <c r="AM1573">
        <v>0</v>
      </c>
      <c r="AN1573">
        <v>0</v>
      </c>
      <c r="AO1573">
        <v>0</v>
      </c>
      <c r="AP1573" s="2">
        <v>42746</v>
      </c>
      <c r="AQ1573" t="s">
        <v>72</v>
      </c>
      <c r="AR1573" t="s">
        <v>72</v>
      </c>
      <c r="AS1573">
        <v>1982</v>
      </c>
      <c r="AT1573" s="4">
        <v>42578</v>
      </c>
      <c r="AU1573" t="s">
        <v>73</v>
      </c>
      <c r="AV1573">
        <v>1982</v>
      </c>
      <c r="AW1573" s="4">
        <v>42578</v>
      </c>
      <c r="BD1573">
        <v>0</v>
      </c>
      <c r="BN1573" t="s">
        <v>74</v>
      </c>
    </row>
    <row r="1574" spans="1:66" hidden="1">
      <c r="A1574">
        <v>100449</v>
      </c>
      <c r="B1574" s="3" t="s">
        <v>181</v>
      </c>
      <c r="C1574" s="1">
        <v>43300101</v>
      </c>
      <c r="D1574" t="s">
        <v>67</v>
      </c>
      <c r="H1574" t="str">
        <f t="shared" si="149"/>
        <v>00153730627</v>
      </c>
      <c r="I1574" t="str">
        <f t="shared" si="149"/>
        <v>00153730627</v>
      </c>
      <c r="K1574" t="str">
        <f>""</f>
        <v/>
      </c>
      <c r="M1574" t="s">
        <v>68</v>
      </c>
      <c r="N1574" t="str">
        <f t="shared" si="148"/>
        <v>FOR</v>
      </c>
      <c r="O1574" t="s">
        <v>69</v>
      </c>
      <c r="P1574" s="3" t="s">
        <v>182</v>
      </c>
      <c r="Q1574">
        <v>2016</v>
      </c>
      <c r="R1574" s="2">
        <v>42400</v>
      </c>
      <c r="S1574" s="2">
        <v>42402</v>
      </c>
      <c r="T1574" s="2">
        <v>42401</v>
      </c>
      <c r="U1574" s="2">
        <v>42461</v>
      </c>
      <c r="V1574" t="s">
        <v>71</v>
      </c>
      <c r="W1574" t="str">
        <f>"          2016     4"</f>
        <v xml:space="preserve">          2016     4</v>
      </c>
      <c r="X1574" s="1">
        <v>72164.929999999993</v>
      </c>
      <c r="Y1574" s="1">
        <v>-13013.35</v>
      </c>
      <c r="Z1574"/>
      <c r="AB1574"/>
      <c r="AC1574" s="1">
        <v>59151.58</v>
      </c>
      <c r="AD1574">
        <v>12</v>
      </c>
      <c r="AE1574" s="1">
        <v>709818.96</v>
      </c>
      <c r="AF1574">
        <v>0</v>
      </c>
      <c r="AJ1574">
        <v>0</v>
      </c>
      <c r="AK1574">
        <v>0</v>
      </c>
      <c r="AL1574">
        <v>0</v>
      </c>
      <c r="AM1574" s="1">
        <v>59151.58</v>
      </c>
      <c r="AN1574" s="1">
        <v>59151.58</v>
      </c>
      <c r="AO1574" s="1">
        <v>59151.58</v>
      </c>
      <c r="AP1574" s="2">
        <v>42746</v>
      </c>
      <c r="AQ1574" t="s">
        <v>72</v>
      </c>
      <c r="AR1574" t="s">
        <v>72</v>
      </c>
      <c r="AS1574">
        <v>1017</v>
      </c>
      <c r="AT1574" s="4">
        <v>42473</v>
      </c>
      <c r="AU1574" t="s">
        <v>73</v>
      </c>
      <c r="AV1574">
        <v>1017</v>
      </c>
      <c r="AW1574" s="4">
        <v>42473</v>
      </c>
      <c r="BD1574">
        <v>0</v>
      </c>
      <c r="BN1574" t="s">
        <v>74</v>
      </c>
    </row>
    <row r="1575" spans="1:66" hidden="1">
      <c r="A1575">
        <v>100449</v>
      </c>
      <c r="B1575" s="3" t="s">
        <v>181</v>
      </c>
      <c r="C1575" s="1">
        <v>43300101</v>
      </c>
      <c r="D1575" t="s">
        <v>67</v>
      </c>
      <c r="H1575" t="str">
        <f t="shared" si="149"/>
        <v>00153730627</v>
      </c>
      <c r="I1575" t="str">
        <f t="shared" si="149"/>
        <v>00153730627</v>
      </c>
      <c r="K1575" t="str">
        <f>""</f>
        <v/>
      </c>
      <c r="M1575" t="s">
        <v>68</v>
      </c>
      <c r="N1575" t="str">
        <f t="shared" si="148"/>
        <v>FOR</v>
      </c>
      <c r="O1575" t="s">
        <v>69</v>
      </c>
      <c r="P1575" s="3" t="s">
        <v>75</v>
      </c>
      <c r="Q1575">
        <v>2016</v>
      </c>
      <c r="R1575" s="2">
        <v>42400</v>
      </c>
      <c r="S1575" s="2">
        <v>42404</v>
      </c>
      <c r="T1575" s="2">
        <v>42401</v>
      </c>
      <c r="U1575" s="2">
        <v>42461</v>
      </c>
      <c r="V1575" t="s">
        <v>71</v>
      </c>
      <c r="W1575" t="str">
        <f>"          2016     5"</f>
        <v xml:space="preserve">          2016     5</v>
      </c>
      <c r="X1575" s="1">
        <v>17360.599999999999</v>
      </c>
      <c r="Y1575">
        <v>0</v>
      </c>
      <c r="Z1575"/>
      <c r="AB1575"/>
      <c r="AC1575" s="1">
        <v>14230</v>
      </c>
      <c r="AD1575">
        <v>3</v>
      </c>
      <c r="AE1575" s="1">
        <v>42690</v>
      </c>
      <c r="AF1575">
        <v>0</v>
      </c>
      <c r="AJ1575">
        <v>0</v>
      </c>
      <c r="AK1575">
        <v>0</v>
      </c>
      <c r="AL1575">
        <v>0</v>
      </c>
      <c r="AM1575" s="1">
        <v>17360.599999999999</v>
      </c>
      <c r="AN1575" s="1">
        <v>17360.599999999999</v>
      </c>
      <c r="AO1575" s="1">
        <v>17360.599999999999</v>
      </c>
      <c r="AP1575" s="2">
        <v>42746</v>
      </c>
      <c r="AQ1575" t="s">
        <v>72</v>
      </c>
      <c r="AR1575" t="s">
        <v>72</v>
      </c>
      <c r="AS1575">
        <v>995</v>
      </c>
      <c r="AT1575" s="4">
        <v>42464</v>
      </c>
      <c r="AU1575" t="s">
        <v>73</v>
      </c>
      <c r="AV1575">
        <v>995</v>
      </c>
      <c r="AW1575" s="4">
        <v>42464</v>
      </c>
      <c r="BD1575">
        <v>0</v>
      </c>
      <c r="BN1575" t="s">
        <v>74</v>
      </c>
    </row>
    <row r="1576" spans="1:66" hidden="1">
      <c r="A1576">
        <v>100449</v>
      </c>
      <c r="B1576" s="3" t="s">
        <v>181</v>
      </c>
      <c r="C1576" s="1">
        <v>43300101</v>
      </c>
      <c r="D1576" t="s">
        <v>67</v>
      </c>
      <c r="H1576" t="str">
        <f t="shared" si="149"/>
        <v>00153730627</v>
      </c>
      <c r="I1576" t="str">
        <f t="shared" si="149"/>
        <v>00153730627</v>
      </c>
      <c r="K1576" t="str">
        <f>""</f>
        <v/>
      </c>
      <c r="M1576" t="s">
        <v>68</v>
      </c>
      <c r="N1576" t="str">
        <f t="shared" si="148"/>
        <v>FOR</v>
      </c>
      <c r="O1576" t="s">
        <v>69</v>
      </c>
      <c r="P1576" s="3" t="s">
        <v>75</v>
      </c>
      <c r="Q1576">
        <v>2016</v>
      </c>
      <c r="R1576" s="2">
        <v>42400</v>
      </c>
      <c r="S1576" s="2">
        <v>42404</v>
      </c>
      <c r="T1576" s="2">
        <v>42401</v>
      </c>
      <c r="U1576" s="2">
        <v>42461</v>
      </c>
      <c r="V1576" t="s">
        <v>71</v>
      </c>
      <c r="W1576" t="str">
        <f>"          2016     6"</f>
        <v xml:space="preserve">          2016     6</v>
      </c>
      <c r="X1576" s="1">
        <v>3893.84</v>
      </c>
      <c r="Y1576">
        <v>0</v>
      </c>
      <c r="Z1576"/>
      <c r="AB1576"/>
      <c r="AC1576" s="1">
        <v>3191.67</v>
      </c>
      <c r="AD1576">
        <v>117</v>
      </c>
      <c r="AE1576" s="1">
        <v>373425.39</v>
      </c>
      <c r="AF1576">
        <v>0</v>
      </c>
      <c r="AJ1576">
        <v>0</v>
      </c>
      <c r="AK1576">
        <v>0</v>
      </c>
      <c r="AL1576">
        <v>0</v>
      </c>
      <c r="AM1576" s="1">
        <v>3893.84</v>
      </c>
      <c r="AN1576" s="1">
        <v>3893.84</v>
      </c>
      <c r="AO1576" s="1">
        <v>3893.84</v>
      </c>
      <c r="AP1576" s="2">
        <v>42746</v>
      </c>
      <c r="AQ1576" t="s">
        <v>72</v>
      </c>
      <c r="AR1576" t="s">
        <v>72</v>
      </c>
      <c r="AS1576">
        <v>1982</v>
      </c>
      <c r="AT1576" s="4">
        <v>42578</v>
      </c>
      <c r="AU1576" t="s">
        <v>73</v>
      </c>
      <c r="AV1576">
        <v>1982</v>
      </c>
      <c r="AW1576" s="4">
        <v>42578</v>
      </c>
      <c r="BD1576">
        <v>0</v>
      </c>
      <c r="BN1576" t="s">
        <v>74</v>
      </c>
    </row>
    <row r="1577" spans="1:66" hidden="1">
      <c r="A1577">
        <v>100449</v>
      </c>
      <c r="B1577" s="3" t="s">
        <v>181</v>
      </c>
      <c r="C1577" s="1">
        <v>43300101</v>
      </c>
      <c r="D1577" t="s">
        <v>67</v>
      </c>
      <c r="H1577" t="str">
        <f t="shared" si="149"/>
        <v>00153730627</v>
      </c>
      <c r="I1577" t="str">
        <f t="shared" si="149"/>
        <v>00153730627</v>
      </c>
      <c r="K1577" t="str">
        <f>""</f>
        <v/>
      </c>
      <c r="M1577" t="s">
        <v>68</v>
      </c>
      <c r="N1577" t="str">
        <f t="shared" si="148"/>
        <v>FOR</v>
      </c>
      <c r="O1577" t="s">
        <v>69</v>
      </c>
      <c r="P1577" s="3" t="s">
        <v>75</v>
      </c>
      <c r="Q1577">
        <v>2016</v>
      </c>
      <c r="R1577" s="2">
        <v>42429</v>
      </c>
      <c r="S1577" s="2">
        <v>42436</v>
      </c>
      <c r="T1577" s="2">
        <v>42429</v>
      </c>
      <c r="U1577" s="2">
        <v>42489</v>
      </c>
      <c r="V1577" t="s">
        <v>71</v>
      </c>
      <c r="W1577" t="str">
        <f>"          2016    23"</f>
        <v xml:space="preserve">          2016    23</v>
      </c>
      <c r="X1577" s="1">
        <v>72164.929999999993</v>
      </c>
      <c r="Y1577" s="1">
        <v>-13013.35</v>
      </c>
      <c r="Z1577"/>
      <c r="AB1577"/>
      <c r="AC1577" s="1">
        <v>59151.58</v>
      </c>
      <c r="AD1577">
        <v>11</v>
      </c>
      <c r="AE1577" s="1">
        <v>650667.38</v>
      </c>
      <c r="AF1577">
        <v>0</v>
      </c>
      <c r="AJ1577">
        <v>0</v>
      </c>
      <c r="AK1577">
        <v>0</v>
      </c>
      <c r="AL1577">
        <v>0</v>
      </c>
      <c r="AM1577" s="1">
        <v>59151.58</v>
      </c>
      <c r="AN1577" s="1">
        <v>59151.58</v>
      </c>
      <c r="AO1577" s="1">
        <v>59151.58</v>
      </c>
      <c r="AP1577" s="2">
        <v>42746</v>
      </c>
      <c r="AQ1577" t="s">
        <v>72</v>
      </c>
      <c r="AR1577" t="s">
        <v>72</v>
      </c>
      <c r="AS1577">
        <v>1275</v>
      </c>
      <c r="AT1577" s="4">
        <v>42500</v>
      </c>
      <c r="AU1577" t="s">
        <v>73</v>
      </c>
      <c r="AV1577">
        <v>1275</v>
      </c>
      <c r="AW1577" s="4">
        <v>42500</v>
      </c>
      <c r="BD1577">
        <v>0</v>
      </c>
      <c r="BN1577" t="s">
        <v>74</v>
      </c>
    </row>
    <row r="1578" spans="1:66" hidden="1">
      <c r="A1578">
        <v>100449</v>
      </c>
      <c r="B1578" s="3" t="s">
        <v>181</v>
      </c>
      <c r="C1578" s="1">
        <v>43300101</v>
      </c>
      <c r="D1578" t="s">
        <v>67</v>
      </c>
      <c r="H1578" t="str">
        <f t="shared" si="149"/>
        <v>00153730627</v>
      </c>
      <c r="I1578" t="str">
        <f t="shared" si="149"/>
        <v>00153730627</v>
      </c>
      <c r="K1578" t="str">
        <f>""</f>
        <v/>
      </c>
      <c r="M1578" t="s">
        <v>68</v>
      </c>
      <c r="N1578" t="str">
        <f t="shared" si="148"/>
        <v>FOR</v>
      </c>
      <c r="O1578" t="s">
        <v>69</v>
      </c>
      <c r="P1578" s="3" t="s">
        <v>75</v>
      </c>
      <c r="Q1578">
        <v>2016</v>
      </c>
      <c r="R1578" s="2">
        <v>42429</v>
      </c>
      <c r="S1578" s="2">
        <v>42433</v>
      </c>
      <c r="T1578" s="2">
        <v>42429</v>
      </c>
      <c r="U1578" s="2">
        <v>42489</v>
      </c>
      <c r="V1578" t="s">
        <v>71</v>
      </c>
      <c r="W1578" t="str">
        <f>"          2016    24"</f>
        <v xml:space="preserve">          2016    24</v>
      </c>
      <c r="X1578" s="1">
        <v>17360.599999999999</v>
      </c>
      <c r="Y1578">
        <v>0</v>
      </c>
      <c r="Z1578"/>
      <c r="AB1578"/>
      <c r="AC1578" s="1">
        <v>14230</v>
      </c>
      <c r="AD1578">
        <v>-25</v>
      </c>
      <c r="AE1578" s="1">
        <v>-355750</v>
      </c>
      <c r="AF1578">
        <v>0</v>
      </c>
      <c r="AJ1578">
        <v>0</v>
      </c>
      <c r="AK1578">
        <v>0</v>
      </c>
      <c r="AL1578">
        <v>0</v>
      </c>
      <c r="AM1578" s="1">
        <v>17360.599999999999</v>
      </c>
      <c r="AN1578" s="1">
        <v>17360.599999999999</v>
      </c>
      <c r="AO1578" s="1">
        <v>17360.599999999999</v>
      </c>
      <c r="AP1578" s="2">
        <v>42746</v>
      </c>
      <c r="AQ1578" t="s">
        <v>72</v>
      </c>
      <c r="AR1578" t="s">
        <v>72</v>
      </c>
      <c r="AS1578">
        <v>995</v>
      </c>
      <c r="AT1578" s="4">
        <v>42464</v>
      </c>
      <c r="AV1578">
        <v>995</v>
      </c>
      <c r="AW1578" s="4">
        <v>42464</v>
      </c>
      <c r="BD1578">
        <v>0</v>
      </c>
      <c r="BN1578" t="s">
        <v>74</v>
      </c>
    </row>
    <row r="1579" spans="1:66" hidden="1">
      <c r="A1579">
        <v>100449</v>
      </c>
      <c r="B1579" s="3" t="s">
        <v>181</v>
      </c>
      <c r="C1579" s="1">
        <v>43300101</v>
      </c>
      <c r="D1579" t="s">
        <v>67</v>
      </c>
      <c r="H1579" t="str">
        <f t="shared" ref="H1579:I1598" si="150">"00153730627"</f>
        <v>00153730627</v>
      </c>
      <c r="I1579" t="str">
        <f t="shared" si="150"/>
        <v>00153730627</v>
      </c>
      <c r="K1579" t="str">
        <f>""</f>
        <v/>
      </c>
      <c r="M1579" t="s">
        <v>68</v>
      </c>
      <c r="N1579" t="str">
        <f t="shared" si="148"/>
        <v>FOR</v>
      </c>
      <c r="O1579" t="s">
        <v>69</v>
      </c>
      <c r="P1579" s="3" t="s">
        <v>75</v>
      </c>
      <c r="Q1579">
        <v>2016</v>
      </c>
      <c r="R1579" s="2">
        <v>42429</v>
      </c>
      <c r="S1579" s="2">
        <v>42433</v>
      </c>
      <c r="T1579" s="2">
        <v>42429</v>
      </c>
      <c r="U1579" s="2">
        <v>42489</v>
      </c>
      <c r="V1579" t="s">
        <v>71</v>
      </c>
      <c r="W1579" t="str">
        <f>"          2016    25"</f>
        <v xml:space="preserve">          2016    25</v>
      </c>
      <c r="X1579" s="1">
        <v>3893.84</v>
      </c>
      <c r="Y1579">
        <v>0</v>
      </c>
      <c r="Z1579"/>
      <c r="AB1579"/>
      <c r="AC1579" s="1">
        <v>3191.67</v>
      </c>
      <c r="AD1579">
        <v>89</v>
      </c>
      <c r="AE1579" s="1">
        <v>284058.63</v>
      </c>
      <c r="AF1579">
        <v>0</v>
      </c>
      <c r="AJ1579">
        <v>0</v>
      </c>
      <c r="AK1579">
        <v>0</v>
      </c>
      <c r="AL1579">
        <v>0</v>
      </c>
      <c r="AM1579" s="1">
        <v>3893.84</v>
      </c>
      <c r="AN1579" s="1">
        <v>3893.84</v>
      </c>
      <c r="AO1579" s="1">
        <v>3893.84</v>
      </c>
      <c r="AP1579" s="2">
        <v>42746</v>
      </c>
      <c r="AQ1579" t="s">
        <v>72</v>
      </c>
      <c r="AR1579" t="s">
        <v>72</v>
      </c>
      <c r="AS1579">
        <v>1982</v>
      </c>
      <c r="AT1579" s="4">
        <v>42578</v>
      </c>
      <c r="AU1579" t="s">
        <v>73</v>
      </c>
      <c r="AV1579">
        <v>1982</v>
      </c>
      <c r="AW1579" s="4">
        <v>42578</v>
      </c>
      <c r="BD1579">
        <v>0</v>
      </c>
      <c r="BN1579" t="s">
        <v>74</v>
      </c>
    </row>
    <row r="1580" spans="1:66" hidden="1">
      <c r="A1580">
        <v>100449</v>
      </c>
      <c r="B1580" s="3" t="s">
        <v>181</v>
      </c>
      <c r="C1580" s="1">
        <v>43300101</v>
      </c>
      <c r="D1580" t="s">
        <v>67</v>
      </c>
      <c r="H1580" t="str">
        <f t="shared" si="150"/>
        <v>00153730627</v>
      </c>
      <c r="I1580" t="str">
        <f t="shared" si="150"/>
        <v>00153730627</v>
      </c>
      <c r="K1580" t="str">
        <f>""</f>
        <v/>
      </c>
      <c r="M1580" t="s">
        <v>68</v>
      </c>
      <c r="N1580" t="str">
        <f t="shared" si="148"/>
        <v>FOR</v>
      </c>
      <c r="O1580" t="s">
        <v>69</v>
      </c>
      <c r="P1580" s="3" t="s">
        <v>75</v>
      </c>
      <c r="Q1580">
        <v>2016</v>
      </c>
      <c r="R1580" s="2">
        <v>42460</v>
      </c>
      <c r="S1580" s="2">
        <v>42464</v>
      </c>
      <c r="T1580" s="2">
        <v>42460</v>
      </c>
      <c r="U1580" s="2">
        <v>42520</v>
      </c>
      <c r="V1580" t="s">
        <v>71</v>
      </c>
      <c r="W1580" t="str">
        <f>"          2016    47"</f>
        <v xml:space="preserve">          2016    47</v>
      </c>
      <c r="X1580" s="1">
        <v>71473.179999999993</v>
      </c>
      <c r="Y1580" s="1">
        <v>-12888.61</v>
      </c>
      <c r="Z1580"/>
      <c r="AB1580"/>
      <c r="AC1580" s="1">
        <v>58584.57</v>
      </c>
      <c r="AD1580">
        <v>8</v>
      </c>
      <c r="AE1580" s="1">
        <v>468676.56</v>
      </c>
      <c r="AF1580">
        <v>0</v>
      </c>
      <c r="AJ1580">
        <v>0</v>
      </c>
      <c r="AK1580">
        <v>0</v>
      </c>
      <c r="AL1580">
        <v>0</v>
      </c>
      <c r="AM1580" s="1">
        <v>58584.57</v>
      </c>
      <c r="AN1580" s="1">
        <v>58584.57</v>
      </c>
      <c r="AO1580" s="1">
        <v>58584.57</v>
      </c>
      <c r="AP1580" s="2">
        <v>42746</v>
      </c>
      <c r="AQ1580" t="s">
        <v>72</v>
      </c>
      <c r="AR1580" t="s">
        <v>72</v>
      </c>
      <c r="AS1580">
        <v>1558</v>
      </c>
      <c r="AT1580" s="4">
        <v>42528</v>
      </c>
      <c r="AU1580" t="s">
        <v>73</v>
      </c>
      <c r="AV1580">
        <v>1558</v>
      </c>
      <c r="AW1580" s="4">
        <v>42528</v>
      </c>
      <c r="BD1580">
        <v>0</v>
      </c>
      <c r="BN1580" t="s">
        <v>74</v>
      </c>
    </row>
    <row r="1581" spans="1:66" hidden="1">
      <c r="A1581">
        <v>100449</v>
      </c>
      <c r="B1581" s="3" t="s">
        <v>181</v>
      </c>
      <c r="C1581" s="1">
        <v>43300101</v>
      </c>
      <c r="D1581" t="s">
        <v>67</v>
      </c>
      <c r="H1581" t="str">
        <f t="shared" si="150"/>
        <v>00153730627</v>
      </c>
      <c r="I1581" t="str">
        <f t="shared" si="150"/>
        <v>00153730627</v>
      </c>
      <c r="K1581" t="str">
        <f>""</f>
        <v/>
      </c>
      <c r="M1581" t="s">
        <v>68</v>
      </c>
      <c r="N1581" t="str">
        <f t="shared" si="148"/>
        <v>FOR</v>
      </c>
      <c r="O1581" t="s">
        <v>69</v>
      </c>
      <c r="P1581" s="3" t="s">
        <v>75</v>
      </c>
      <c r="Q1581">
        <v>2016</v>
      </c>
      <c r="R1581" s="2">
        <v>42460</v>
      </c>
      <c r="S1581" s="2">
        <v>42464</v>
      </c>
      <c r="T1581" s="2">
        <v>42460</v>
      </c>
      <c r="U1581" s="2">
        <v>42520</v>
      </c>
      <c r="V1581" t="s">
        <v>71</v>
      </c>
      <c r="W1581" t="str">
        <f>"          2016    48"</f>
        <v xml:space="preserve">          2016    48</v>
      </c>
      <c r="X1581" s="1">
        <v>17192.12</v>
      </c>
      <c r="Y1581">
        <v>0</v>
      </c>
      <c r="Z1581"/>
      <c r="AB1581"/>
      <c r="AC1581" s="1">
        <v>14091.9</v>
      </c>
      <c r="AD1581">
        <v>8</v>
      </c>
      <c r="AE1581" s="1">
        <v>112735.2</v>
      </c>
      <c r="AF1581">
        <v>0</v>
      </c>
      <c r="AJ1581">
        <v>0</v>
      </c>
      <c r="AK1581">
        <v>0</v>
      </c>
      <c r="AL1581">
        <v>0</v>
      </c>
      <c r="AM1581" s="1">
        <v>17192.12</v>
      </c>
      <c r="AN1581" s="1">
        <v>17192.12</v>
      </c>
      <c r="AO1581" s="1">
        <v>17192.12</v>
      </c>
      <c r="AP1581" s="2">
        <v>42746</v>
      </c>
      <c r="AQ1581" t="s">
        <v>72</v>
      </c>
      <c r="AR1581" t="s">
        <v>72</v>
      </c>
      <c r="AS1581">
        <v>1558</v>
      </c>
      <c r="AT1581" s="4">
        <v>42528</v>
      </c>
      <c r="AU1581" t="s">
        <v>73</v>
      </c>
      <c r="AV1581">
        <v>1558</v>
      </c>
      <c r="AW1581" s="4">
        <v>42528</v>
      </c>
      <c r="BD1581">
        <v>0</v>
      </c>
      <c r="BN1581" t="s">
        <v>74</v>
      </c>
    </row>
    <row r="1582" spans="1:66" hidden="1">
      <c r="A1582">
        <v>100449</v>
      </c>
      <c r="B1582" s="3" t="s">
        <v>181</v>
      </c>
      <c r="C1582" s="1">
        <v>43300101</v>
      </c>
      <c r="D1582" t="s">
        <v>67</v>
      </c>
      <c r="H1582" t="str">
        <f t="shared" si="150"/>
        <v>00153730627</v>
      </c>
      <c r="I1582" t="str">
        <f t="shared" si="150"/>
        <v>00153730627</v>
      </c>
      <c r="K1582" t="str">
        <f>""</f>
        <v/>
      </c>
      <c r="M1582" t="s">
        <v>68</v>
      </c>
      <c r="N1582" t="str">
        <f t="shared" si="148"/>
        <v>FOR</v>
      </c>
      <c r="O1582" t="s">
        <v>69</v>
      </c>
      <c r="P1582" s="3" t="s">
        <v>75</v>
      </c>
      <c r="Q1582">
        <v>2016</v>
      </c>
      <c r="R1582" s="2">
        <v>42460</v>
      </c>
      <c r="S1582" s="2">
        <v>42465</v>
      </c>
      <c r="T1582" s="2">
        <v>42460</v>
      </c>
      <c r="U1582" s="2">
        <v>42520</v>
      </c>
      <c r="V1582" t="s">
        <v>71</v>
      </c>
      <c r="W1582" t="str">
        <f>"          2016    49"</f>
        <v xml:space="preserve">          2016    49</v>
      </c>
      <c r="X1582" s="1">
        <v>3857.44</v>
      </c>
      <c r="Y1582">
        <v>0</v>
      </c>
      <c r="Z1582"/>
      <c r="AB1582"/>
      <c r="AC1582" s="1">
        <v>3161.84</v>
      </c>
      <c r="AD1582">
        <v>58</v>
      </c>
      <c r="AE1582" s="1">
        <v>183386.72</v>
      </c>
      <c r="AF1582">
        <v>0</v>
      </c>
      <c r="AJ1582">
        <v>0</v>
      </c>
      <c r="AK1582">
        <v>0</v>
      </c>
      <c r="AL1582">
        <v>0</v>
      </c>
      <c r="AM1582" s="1">
        <v>3857.44</v>
      </c>
      <c r="AN1582" s="1">
        <v>3857.44</v>
      </c>
      <c r="AO1582" s="1">
        <v>3857.44</v>
      </c>
      <c r="AP1582" s="2">
        <v>42746</v>
      </c>
      <c r="AQ1582" t="s">
        <v>72</v>
      </c>
      <c r="AR1582" t="s">
        <v>72</v>
      </c>
      <c r="AS1582">
        <v>1982</v>
      </c>
      <c r="AT1582" s="4">
        <v>42578</v>
      </c>
      <c r="AU1582" t="s">
        <v>73</v>
      </c>
      <c r="AV1582">
        <v>1982</v>
      </c>
      <c r="AW1582" s="4">
        <v>42578</v>
      </c>
      <c r="BD1582">
        <v>0</v>
      </c>
      <c r="BN1582" t="s">
        <v>74</v>
      </c>
    </row>
    <row r="1583" spans="1:66" hidden="1">
      <c r="A1583">
        <v>100449</v>
      </c>
      <c r="B1583" s="3" t="s">
        <v>181</v>
      </c>
      <c r="C1583" s="1">
        <v>43300101</v>
      </c>
      <c r="D1583" t="s">
        <v>67</v>
      </c>
      <c r="H1583" t="str">
        <f t="shared" si="150"/>
        <v>00153730627</v>
      </c>
      <c r="I1583" t="str">
        <f t="shared" si="150"/>
        <v>00153730627</v>
      </c>
      <c r="K1583" t="str">
        <f>""</f>
        <v/>
      </c>
      <c r="M1583" t="s">
        <v>68</v>
      </c>
      <c r="N1583" t="str">
        <f t="shared" si="148"/>
        <v>FOR</v>
      </c>
      <c r="O1583" t="s">
        <v>69</v>
      </c>
      <c r="P1583" s="3" t="s">
        <v>75</v>
      </c>
      <c r="Q1583">
        <v>2016</v>
      </c>
      <c r="R1583" s="2">
        <v>42460</v>
      </c>
      <c r="S1583" s="2">
        <v>42464</v>
      </c>
      <c r="T1583" s="2">
        <v>42460</v>
      </c>
      <c r="U1583" s="2">
        <v>42520</v>
      </c>
      <c r="V1583" t="s">
        <v>71</v>
      </c>
      <c r="W1583" t="str">
        <f>"          2016    50"</f>
        <v xml:space="preserve">          2016    50</v>
      </c>
      <c r="X1583" s="1">
        <v>2409.5</v>
      </c>
      <c r="Y1583">
        <v>0</v>
      </c>
      <c r="Z1583"/>
      <c r="AB1583"/>
      <c r="AC1583" s="1">
        <v>1975</v>
      </c>
      <c r="AD1583">
        <v>8</v>
      </c>
      <c r="AE1583" s="1">
        <v>15800</v>
      </c>
      <c r="AF1583">
        <v>0</v>
      </c>
      <c r="AJ1583">
        <v>0</v>
      </c>
      <c r="AK1583">
        <v>0</v>
      </c>
      <c r="AL1583">
        <v>0</v>
      </c>
      <c r="AM1583" s="1">
        <v>2409.5</v>
      </c>
      <c r="AN1583" s="1">
        <v>2409.5</v>
      </c>
      <c r="AO1583" s="1">
        <v>2409.5</v>
      </c>
      <c r="AP1583" s="2">
        <v>42746</v>
      </c>
      <c r="AQ1583" t="s">
        <v>72</v>
      </c>
      <c r="AR1583" t="s">
        <v>72</v>
      </c>
      <c r="AS1583">
        <v>1558</v>
      </c>
      <c r="AT1583" s="4">
        <v>42528</v>
      </c>
      <c r="AU1583" t="s">
        <v>73</v>
      </c>
      <c r="AV1583">
        <v>1558</v>
      </c>
      <c r="AW1583" s="4">
        <v>42528</v>
      </c>
      <c r="BD1583">
        <v>0</v>
      </c>
      <c r="BN1583" t="s">
        <v>74</v>
      </c>
    </row>
    <row r="1584" spans="1:66" hidden="1">
      <c r="A1584">
        <v>100449</v>
      </c>
      <c r="B1584" s="3" t="s">
        <v>181</v>
      </c>
      <c r="C1584" s="1">
        <v>43300101</v>
      </c>
      <c r="D1584" t="s">
        <v>67</v>
      </c>
      <c r="H1584" t="str">
        <f t="shared" si="150"/>
        <v>00153730627</v>
      </c>
      <c r="I1584" t="str">
        <f t="shared" si="150"/>
        <v>00153730627</v>
      </c>
      <c r="K1584" t="str">
        <f>""</f>
        <v/>
      </c>
      <c r="M1584" t="s">
        <v>68</v>
      </c>
      <c r="N1584" t="str">
        <f t="shared" si="148"/>
        <v>FOR</v>
      </c>
      <c r="O1584" t="s">
        <v>69</v>
      </c>
      <c r="P1584" s="3" t="s">
        <v>75</v>
      </c>
      <c r="Q1584">
        <v>2016</v>
      </c>
      <c r="R1584" s="2">
        <v>42490</v>
      </c>
      <c r="S1584" s="2">
        <v>42493</v>
      </c>
      <c r="T1584" s="2">
        <v>42492</v>
      </c>
      <c r="U1584" s="2">
        <v>42552</v>
      </c>
      <c r="V1584" t="s">
        <v>71</v>
      </c>
      <c r="W1584" t="str">
        <f>"          2016    69"</f>
        <v xml:space="preserve">          2016    69</v>
      </c>
      <c r="X1584" s="1">
        <v>71473.179999999993</v>
      </c>
      <c r="Y1584" s="1">
        <v>-12888.61</v>
      </c>
      <c r="Z1584"/>
      <c r="AB1584"/>
      <c r="AC1584" s="1">
        <v>58584.57</v>
      </c>
      <c r="AD1584">
        <v>25</v>
      </c>
      <c r="AE1584" s="1">
        <v>1464614.25</v>
      </c>
      <c r="AF1584">
        <v>0</v>
      </c>
      <c r="AJ1584">
        <v>0</v>
      </c>
      <c r="AK1584">
        <v>0</v>
      </c>
      <c r="AL1584">
        <v>0</v>
      </c>
      <c r="AM1584" s="1">
        <v>58584.57</v>
      </c>
      <c r="AN1584" s="1">
        <v>58584.57</v>
      </c>
      <c r="AO1584" s="1">
        <v>58584.57</v>
      </c>
      <c r="AP1584" s="2">
        <v>42746</v>
      </c>
      <c r="AQ1584" t="s">
        <v>72</v>
      </c>
      <c r="AR1584" t="s">
        <v>72</v>
      </c>
      <c r="AS1584">
        <v>1934</v>
      </c>
      <c r="AT1584" s="4">
        <v>42577</v>
      </c>
      <c r="AU1584" t="s">
        <v>73</v>
      </c>
      <c r="AV1584">
        <v>1934</v>
      </c>
      <c r="AW1584" s="4">
        <v>42577</v>
      </c>
      <c r="BD1584">
        <v>0</v>
      </c>
      <c r="BN1584" t="s">
        <v>74</v>
      </c>
    </row>
    <row r="1585" spans="1:66" hidden="1">
      <c r="A1585">
        <v>100449</v>
      </c>
      <c r="B1585" s="3" t="s">
        <v>181</v>
      </c>
      <c r="C1585" s="1">
        <v>43300101</v>
      </c>
      <c r="D1585" t="s">
        <v>67</v>
      </c>
      <c r="H1585" t="str">
        <f t="shared" si="150"/>
        <v>00153730627</v>
      </c>
      <c r="I1585" t="str">
        <f t="shared" si="150"/>
        <v>00153730627</v>
      </c>
      <c r="K1585" t="str">
        <f>""</f>
        <v/>
      </c>
      <c r="M1585" t="s">
        <v>68</v>
      </c>
      <c r="N1585" t="str">
        <f t="shared" si="148"/>
        <v>FOR</v>
      </c>
      <c r="O1585" t="s">
        <v>69</v>
      </c>
      <c r="P1585" s="3" t="s">
        <v>75</v>
      </c>
      <c r="Q1585">
        <v>2016</v>
      </c>
      <c r="R1585" s="2">
        <v>42490</v>
      </c>
      <c r="S1585" s="2">
        <v>42493</v>
      </c>
      <c r="T1585" s="2">
        <v>42492</v>
      </c>
      <c r="U1585" s="2">
        <v>42552</v>
      </c>
      <c r="V1585" t="s">
        <v>71</v>
      </c>
      <c r="W1585" t="str">
        <f>"          2016    70"</f>
        <v xml:space="preserve">          2016    70</v>
      </c>
      <c r="X1585" s="1">
        <v>17192.12</v>
      </c>
      <c r="Y1585">
        <v>0</v>
      </c>
      <c r="Z1585"/>
      <c r="AB1585"/>
      <c r="AC1585" s="1">
        <v>14091.9</v>
      </c>
      <c r="AD1585">
        <v>25</v>
      </c>
      <c r="AE1585" s="1">
        <v>352297.5</v>
      </c>
      <c r="AF1585">
        <v>0</v>
      </c>
      <c r="AJ1585">
        <v>0</v>
      </c>
      <c r="AK1585">
        <v>0</v>
      </c>
      <c r="AL1585">
        <v>0</v>
      </c>
      <c r="AM1585" s="1">
        <v>17192.12</v>
      </c>
      <c r="AN1585" s="1">
        <v>17192.12</v>
      </c>
      <c r="AO1585" s="1">
        <v>17192.12</v>
      </c>
      <c r="AP1585" s="2">
        <v>42746</v>
      </c>
      <c r="AQ1585" t="s">
        <v>72</v>
      </c>
      <c r="AR1585" t="s">
        <v>72</v>
      </c>
      <c r="AS1585">
        <v>1934</v>
      </c>
      <c r="AT1585" s="4">
        <v>42577</v>
      </c>
      <c r="AU1585" t="s">
        <v>73</v>
      </c>
      <c r="AV1585">
        <v>1934</v>
      </c>
      <c r="AW1585" s="4">
        <v>42577</v>
      </c>
      <c r="BD1585">
        <v>0</v>
      </c>
      <c r="BN1585" t="s">
        <v>74</v>
      </c>
    </row>
    <row r="1586" spans="1:66" hidden="1">
      <c r="A1586">
        <v>100449</v>
      </c>
      <c r="B1586" s="3" t="s">
        <v>181</v>
      </c>
      <c r="C1586" s="1">
        <v>43300101</v>
      </c>
      <c r="D1586" t="s">
        <v>67</v>
      </c>
      <c r="H1586" t="str">
        <f t="shared" si="150"/>
        <v>00153730627</v>
      </c>
      <c r="I1586" t="str">
        <f t="shared" si="150"/>
        <v>00153730627</v>
      </c>
      <c r="K1586" t="str">
        <f>""</f>
        <v/>
      </c>
      <c r="M1586" t="s">
        <v>68</v>
      </c>
      <c r="N1586" t="str">
        <f t="shared" si="148"/>
        <v>FOR</v>
      </c>
      <c r="O1586" t="s">
        <v>69</v>
      </c>
      <c r="P1586" s="3" t="s">
        <v>75</v>
      </c>
      <c r="Q1586">
        <v>2016</v>
      </c>
      <c r="R1586" s="2">
        <v>42490</v>
      </c>
      <c r="S1586" s="2">
        <v>42493</v>
      </c>
      <c r="T1586" s="2">
        <v>42492</v>
      </c>
      <c r="U1586" s="2">
        <v>42552</v>
      </c>
      <c r="V1586" t="s">
        <v>71</v>
      </c>
      <c r="W1586" t="str">
        <f>"          2016    71"</f>
        <v xml:space="preserve">          2016    71</v>
      </c>
      <c r="X1586" s="1">
        <v>3857.44</v>
      </c>
      <c r="Y1586">
        <v>0</v>
      </c>
      <c r="Z1586"/>
      <c r="AB1586"/>
      <c r="AC1586" s="1">
        <v>3161.84</v>
      </c>
      <c r="AD1586">
        <v>26</v>
      </c>
      <c r="AE1586" s="1">
        <v>82207.839999999997</v>
      </c>
      <c r="AF1586">
        <v>0</v>
      </c>
      <c r="AJ1586">
        <v>0</v>
      </c>
      <c r="AK1586">
        <v>0</v>
      </c>
      <c r="AL1586">
        <v>0</v>
      </c>
      <c r="AM1586" s="1">
        <v>3857.44</v>
      </c>
      <c r="AN1586" s="1">
        <v>3857.44</v>
      </c>
      <c r="AO1586" s="1">
        <v>3857.44</v>
      </c>
      <c r="AP1586" s="2">
        <v>42746</v>
      </c>
      <c r="AQ1586" t="s">
        <v>72</v>
      </c>
      <c r="AR1586" t="s">
        <v>72</v>
      </c>
      <c r="AS1586">
        <v>1983</v>
      </c>
      <c r="AT1586" s="4">
        <v>42578</v>
      </c>
      <c r="AU1586" t="s">
        <v>73</v>
      </c>
      <c r="AV1586">
        <v>1983</v>
      </c>
      <c r="AW1586" s="4">
        <v>42578</v>
      </c>
      <c r="BD1586">
        <v>0</v>
      </c>
      <c r="BN1586" t="s">
        <v>74</v>
      </c>
    </row>
    <row r="1587" spans="1:66" hidden="1">
      <c r="A1587">
        <v>100449</v>
      </c>
      <c r="B1587" s="3" t="s">
        <v>181</v>
      </c>
      <c r="C1587" s="1">
        <v>43300101</v>
      </c>
      <c r="D1587" t="s">
        <v>67</v>
      </c>
      <c r="H1587" t="str">
        <f t="shared" si="150"/>
        <v>00153730627</v>
      </c>
      <c r="I1587" t="str">
        <f t="shared" si="150"/>
        <v>00153730627</v>
      </c>
      <c r="K1587" t="str">
        <f>""</f>
        <v/>
      </c>
      <c r="M1587" t="s">
        <v>68</v>
      </c>
      <c r="N1587" t="str">
        <f t="shared" si="148"/>
        <v>FOR</v>
      </c>
      <c r="O1587" t="s">
        <v>69</v>
      </c>
      <c r="P1587" s="3" t="s">
        <v>75</v>
      </c>
      <c r="Q1587">
        <v>2016</v>
      </c>
      <c r="R1587" s="2">
        <v>42490</v>
      </c>
      <c r="S1587" s="2">
        <v>42493</v>
      </c>
      <c r="T1587" s="2">
        <v>42492</v>
      </c>
      <c r="U1587" s="2">
        <v>42552</v>
      </c>
      <c r="V1587" t="s">
        <v>71</v>
      </c>
      <c r="W1587" t="str">
        <f>"          2016    76"</f>
        <v xml:space="preserve">          2016    76</v>
      </c>
      <c r="X1587" s="1">
        <v>1220</v>
      </c>
      <c r="Y1587">
        <v>0</v>
      </c>
      <c r="Z1587"/>
      <c r="AB1587"/>
      <c r="AC1587" s="1">
        <v>1000</v>
      </c>
      <c r="AD1587">
        <v>25</v>
      </c>
      <c r="AE1587" s="1">
        <v>25000</v>
      </c>
      <c r="AF1587">
        <v>0</v>
      </c>
      <c r="AJ1587">
        <v>0</v>
      </c>
      <c r="AK1587">
        <v>0</v>
      </c>
      <c r="AL1587">
        <v>0</v>
      </c>
      <c r="AM1587" s="1">
        <v>1220</v>
      </c>
      <c r="AN1587" s="1">
        <v>1220</v>
      </c>
      <c r="AO1587" s="1">
        <v>1220</v>
      </c>
      <c r="AP1587" s="2">
        <v>42746</v>
      </c>
      <c r="AQ1587" t="s">
        <v>72</v>
      </c>
      <c r="AR1587" t="s">
        <v>72</v>
      </c>
      <c r="AS1587">
        <v>1934</v>
      </c>
      <c r="AT1587" s="4">
        <v>42577</v>
      </c>
      <c r="AU1587" t="s">
        <v>73</v>
      </c>
      <c r="AV1587">
        <v>1934</v>
      </c>
      <c r="AW1587" s="4">
        <v>42577</v>
      </c>
      <c r="BD1587">
        <v>0</v>
      </c>
      <c r="BN1587" t="s">
        <v>74</v>
      </c>
    </row>
    <row r="1588" spans="1:66" hidden="1">
      <c r="A1588">
        <v>100449</v>
      </c>
      <c r="B1588" s="3" t="s">
        <v>181</v>
      </c>
      <c r="C1588" s="1">
        <v>43300101</v>
      </c>
      <c r="D1588" t="s">
        <v>67</v>
      </c>
      <c r="H1588" t="str">
        <f t="shared" si="150"/>
        <v>00153730627</v>
      </c>
      <c r="I1588" t="str">
        <f t="shared" si="150"/>
        <v>00153730627</v>
      </c>
      <c r="K1588" t="str">
        <f>""</f>
        <v/>
      </c>
      <c r="M1588" t="s">
        <v>68</v>
      </c>
      <c r="N1588" t="str">
        <f t="shared" si="148"/>
        <v>FOR</v>
      </c>
      <c r="O1588" t="s">
        <v>69</v>
      </c>
      <c r="P1588" s="3" t="s">
        <v>75</v>
      </c>
      <c r="Q1588">
        <v>2016</v>
      </c>
      <c r="R1588" s="2">
        <v>42490</v>
      </c>
      <c r="S1588" s="2">
        <v>42495</v>
      </c>
      <c r="T1588" s="2">
        <v>42494</v>
      </c>
      <c r="U1588" s="2">
        <v>42554</v>
      </c>
      <c r="V1588" t="s">
        <v>71</v>
      </c>
      <c r="W1588" t="str">
        <f>"          2016    85"</f>
        <v xml:space="preserve">          2016    85</v>
      </c>
      <c r="X1588" s="1">
        <v>1220</v>
      </c>
      <c r="Y1588">
        <v>0</v>
      </c>
      <c r="Z1588"/>
      <c r="AB1588"/>
      <c r="AC1588" s="1">
        <v>1000</v>
      </c>
      <c r="AD1588">
        <v>23</v>
      </c>
      <c r="AE1588" s="1">
        <v>23000</v>
      </c>
      <c r="AF1588">
        <v>0</v>
      </c>
      <c r="AJ1588">
        <v>0</v>
      </c>
      <c r="AK1588">
        <v>0</v>
      </c>
      <c r="AL1588">
        <v>0</v>
      </c>
      <c r="AM1588" s="1">
        <v>1220</v>
      </c>
      <c r="AN1588" s="1">
        <v>1220</v>
      </c>
      <c r="AO1588" s="1">
        <v>1220</v>
      </c>
      <c r="AP1588" s="2">
        <v>42746</v>
      </c>
      <c r="AQ1588" t="s">
        <v>72</v>
      </c>
      <c r="AR1588" t="s">
        <v>72</v>
      </c>
      <c r="AS1588">
        <v>1934</v>
      </c>
      <c r="AT1588" s="4">
        <v>42577</v>
      </c>
      <c r="AU1588" t="s">
        <v>73</v>
      </c>
      <c r="AV1588">
        <v>1934</v>
      </c>
      <c r="AW1588" s="4">
        <v>42577</v>
      </c>
      <c r="BD1588">
        <v>0</v>
      </c>
      <c r="BN1588" t="s">
        <v>74</v>
      </c>
    </row>
    <row r="1589" spans="1:66" hidden="1">
      <c r="A1589">
        <v>100449</v>
      </c>
      <c r="B1589" s="3" t="s">
        <v>181</v>
      </c>
      <c r="C1589" s="1">
        <v>43300101</v>
      </c>
      <c r="D1589" t="s">
        <v>67</v>
      </c>
      <c r="H1589" t="str">
        <f t="shared" si="150"/>
        <v>00153730627</v>
      </c>
      <c r="I1589" t="str">
        <f t="shared" si="150"/>
        <v>00153730627</v>
      </c>
      <c r="K1589" t="str">
        <f>""</f>
        <v/>
      </c>
      <c r="M1589" t="s">
        <v>68</v>
      </c>
      <c r="N1589" t="str">
        <f t="shared" si="148"/>
        <v>FOR</v>
      </c>
      <c r="O1589" t="s">
        <v>69</v>
      </c>
      <c r="P1589" s="3" t="s">
        <v>75</v>
      </c>
      <c r="Q1589">
        <v>2016</v>
      </c>
      <c r="R1589" s="2">
        <v>42521</v>
      </c>
      <c r="S1589" s="2">
        <v>42527</v>
      </c>
      <c r="T1589" s="2">
        <v>42522</v>
      </c>
      <c r="U1589" s="2">
        <v>42582</v>
      </c>
      <c r="V1589" t="s">
        <v>71</v>
      </c>
      <c r="W1589" t="str">
        <f>"          2016    89"</f>
        <v xml:space="preserve">          2016    89</v>
      </c>
      <c r="X1589" s="1">
        <v>71473.179999999993</v>
      </c>
      <c r="Y1589" s="1">
        <v>-12888.61</v>
      </c>
      <c r="Z1589"/>
      <c r="AB1589"/>
      <c r="AC1589" s="1">
        <v>58584.57</v>
      </c>
      <c r="AD1589">
        <v>37</v>
      </c>
      <c r="AE1589" s="1">
        <v>2167629.09</v>
      </c>
      <c r="AF1589">
        <v>0</v>
      </c>
      <c r="AJ1589">
        <v>0</v>
      </c>
      <c r="AK1589">
        <v>0</v>
      </c>
      <c r="AL1589">
        <v>0</v>
      </c>
      <c r="AM1589" s="1">
        <v>58584.57</v>
      </c>
      <c r="AN1589" s="1">
        <v>58584.57</v>
      </c>
      <c r="AO1589" s="1">
        <v>58584.57</v>
      </c>
      <c r="AP1589" s="2">
        <v>42746</v>
      </c>
      <c r="AQ1589" t="s">
        <v>72</v>
      </c>
      <c r="AR1589" t="s">
        <v>72</v>
      </c>
      <c r="AS1589">
        <v>2303</v>
      </c>
      <c r="AT1589" s="4">
        <v>42619</v>
      </c>
      <c r="AU1589" t="s">
        <v>73</v>
      </c>
      <c r="AV1589">
        <v>2303</v>
      </c>
      <c r="AW1589" s="4">
        <v>42619</v>
      </c>
      <c r="BD1589">
        <v>0</v>
      </c>
      <c r="BN1589" t="s">
        <v>74</v>
      </c>
    </row>
    <row r="1590" spans="1:66" hidden="1">
      <c r="A1590">
        <v>100449</v>
      </c>
      <c r="B1590" s="3" t="s">
        <v>181</v>
      </c>
      <c r="C1590" s="1">
        <v>43300101</v>
      </c>
      <c r="D1590" t="s">
        <v>67</v>
      </c>
      <c r="H1590" t="str">
        <f t="shared" si="150"/>
        <v>00153730627</v>
      </c>
      <c r="I1590" t="str">
        <f t="shared" si="150"/>
        <v>00153730627</v>
      </c>
      <c r="K1590" t="str">
        <f>""</f>
        <v/>
      </c>
      <c r="M1590" t="s">
        <v>68</v>
      </c>
      <c r="N1590" t="str">
        <f t="shared" ref="N1590:N1610" si="151">"FOR"</f>
        <v>FOR</v>
      </c>
      <c r="O1590" t="s">
        <v>69</v>
      </c>
      <c r="P1590" s="3" t="s">
        <v>75</v>
      </c>
      <c r="Q1590">
        <v>2016</v>
      </c>
      <c r="R1590" s="2">
        <v>42521</v>
      </c>
      <c r="S1590" s="2">
        <v>42527</v>
      </c>
      <c r="T1590" s="2">
        <v>42522</v>
      </c>
      <c r="U1590" s="2">
        <v>42582</v>
      </c>
      <c r="V1590" t="s">
        <v>71</v>
      </c>
      <c r="W1590" t="str">
        <f>"          2016    90"</f>
        <v xml:space="preserve">          2016    90</v>
      </c>
      <c r="X1590" s="1">
        <v>17192.12</v>
      </c>
      <c r="Y1590">
        <v>0</v>
      </c>
      <c r="Z1590"/>
      <c r="AB1590"/>
      <c r="AC1590" s="1">
        <v>14091.9</v>
      </c>
      <c r="AD1590">
        <v>37</v>
      </c>
      <c r="AE1590" s="1">
        <v>521400.3</v>
      </c>
      <c r="AF1590">
        <v>0</v>
      </c>
      <c r="AJ1590">
        <v>0</v>
      </c>
      <c r="AK1590">
        <v>0</v>
      </c>
      <c r="AL1590">
        <v>0</v>
      </c>
      <c r="AM1590" s="1">
        <v>17192.12</v>
      </c>
      <c r="AN1590" s="1">
        <v>17192.12</v>
      </c>
      <c r="AO1590" s="1">
        <v>17192.12</v>
      </c>
      <c r="AP1590" s="2">
        <v>42746</v>
      </c>
      <c r="AQ1590" t="s">
        <v>72</v>
      </c>
      <c r="AR1590" t="s">
        <v>72</v>
      </c>
      <c r="AS1590">
        <v>2303</v>
      </c>
      <c r="AT1590" s="4">
        <v>42619</v>
      </c>
      <c r="AU1590" t="s">
        <v>73</v>
      </c>
      <c r="AV1590">
        <v>2303</v>
      </c>
      <c r="AW1590" s="4">
        <v>42619</v>
      </c>
      <c r="BD1590">
        <v>0</v>
      </c>
      <c r="BN1590" t="s">
        <v>74</v>
      </c>
    </row>
    <row r="1591" spans="1:66" hidden="1">
      <c r="A1591">
        <v>100449</v>
      </c>
      <c r="B1591" s="3" t="s">
        <v>181</v>
      </c>
      <c r="C1591" s="1">
        <v>43300101</v>
      </c>
      <c r="D1591" t="s">
        <v>67</v>
      </c>
      <c r="H1591" t="str">
        <f t="shared" si="150"/>
        <v>00153730627</v>
      </c>
      <c r="I1591" t="str">
        <f t="shared" si="150"/>
        <v>00153730627</v>
      </c>
      <c r="K1591" t="str">
        <f>""</f>
        <v/>
      </c>
      <c r="M1591" t="s">
        <v>68</v>
      </c>
      <c r="N1591" t="str">
        <f t="shared" si="151"/>
        <v>FOR</v>
      </c>
      <c r="O1591" t="s">
        <v>69</v>
      </c>
      <c r="P1591" s="3" t="s">
        <v>75</v>
      </c>
      <c r="Q1591">
        <v>2016</v>
      </c>
      <c r="R1591" s="2">
        <v>42521</v>
      </c>
      <c r="S1591" s="2">
        <v>42527</v>
      </c>
      <c r="T1591" s="2">
        <v>42522</v>
      </c>
      <c r="U1591" s="2">
        <v>42582</v>
      </c>
      <c r="V1591" t="s">
        <v>71</v>
      </c>
      <c r="W1591" t="str">
        <f>"          2016    91"</f>
        <v xml:space="preserve">          2016    91</v>
      </c>
      <c r="X1591" s="1">
        <v>3857.44</v>
      </c>
      <c r="Y1591">
        <v>0</v>
      </c>
      <c r="Z1591"/>
      <c r="AB1591"/>
      <c r="AC1591" s="1">
        <v>3161.84</v>
      </c>
      <c r="AD1591">
        <v>37</v>
      </c>
      <c r="AE1591" s="1">
        <v>116988.08</v>
      </c>
      <c r="AF1591">
        <v>0</v>
      </c>
      <c r="AJ1591">
        <v>0</v>
      </c>
      <c r="AK1591">
        <v>0</v>
      </c>
      <c r="AL1591">
        <v>0</v>
      </c>
      <c r="AM1591" s="1">
        <v>3857.44</v>
      </c>
      <c r="AN1591" s="1">
        <v>3857.44</v>
      </c>
      <c r="AO1591" s="1">
        <v>3857.44</v>
      </c>
      <c r="AP1591" s="2">
        <v>42746</v>
      </c>
      <c r="AQ1591" t="s">
        <v>72</v>
      </c>
      <c r="AR1591" t="s">
        <v>72</v>
      </c>
      <c r="AS1591">
        <v>2303</v>
      </c>
      <c r="AT1591" s="4">
        <v>42619</v>
      </c>
      <c r="AU1591" t="s">
        <v>73</v>
      </c>
      <c r="AV1591">
        <v>2303</v>
      </c>
      <c r="AW1591" s="4">
        <v>42619</v>
      </c>
      <c r="BD1591">
        <v>0</v>
      </c>
      <c r="BN1591" t="s">
        <v>74</v>
      </c>
    </row>
    <row r="1592" spans="1:66">
      <c r="A1592">
        <v>100449</v>
      </c>
      <c r="B1592" s="3" t="s">
        <v>181</v>
      </c>
      <c r="C1592" s="1">
        <v>43300101</v>
      </c>
      <c r="D1592" t="s">
        <v>67</v>
      </c>
      <c r="H1592" t="str">
        <f t="shared" si="150"/>
        <v>00153730627</v>
      </c>
      <c r="I1592" t="str">
        <f t="shared" si="150"/>
        <v>00153730627</v>
      </c>
      <c r="K1592" t="str">
        <f>""</f>
        <v/>
      </c>
      <c r="M1592" t="s">
        <v>68</v>
      </c>
      <c r="N1592" t="str">
        <f t="shared" si="151"/>
        <v>FOR</v>
      </c>
      <c r="O1592" t="s">
        <v>69</v>
      </c>
      <c r="P1592" s="3" t="s">
        <v>75</v>
      </c>
      <c r="Q1592">
        <v>2016</v>
      </c>
      <c r="R1592" s="2">
        <v>42551</v>
      </c>
      <c r="S1592" s="2">
        <v>42551</v>
      </c>
      <c r="T1592" s="2">
        <v>42551</v>
      </c>
      <c r="U1592" s="2">
        <v>42611</v>
      </c>
      <c r="V1592" t="s">
        <v>71</v>
      </c>
      <c r="W1592" t="str">
        <f>"          2016   109"</f>
        <v xml:space="preserve">          2016   109</v>
      </c>
      <c r="X1592" s="1">
        <v>71473.179999999993</v>
      </c>
      <c r="Y1592" s="1">
        <v>-12888.61</v>
      </c>
      <c r="Z1592" s="5">
        <v>58584.57</v>
      </c>
      <c r="AA1592">
        <v>35</v>
      </c>
      <c r="AB1592" s="5">
        <v>2050459.95</v>
      </c>
      <c r="AC1592" s="1">
        <v>58584.57</v>
      </c>
      <c r="AD1592">
        <v>35</v>
      </c>
      <c r="AE1592" s="1">
        <v>2050459.95</v>
      </c>
      <c r="AF1592">
        <v>0</v>
      </c>
      <c r="AJ1592">
        <v>0</v>
      </c>
      <c r="AK1592">
        <v>0</v>
      </c>
      <c r="AL1592">
        <v>0</v>
      </c>
      <c r="AM1592" s="1">
        <v>58584.57</v>
      </c>
      <c r="AN1592" s="1">
        <v>58584.57</v>
      </c>
      <c r="AO1592" s="1">
        <v>58584.57</v>
      </c>
      <c r="AP1592" s="2">
        <v>42746</v>
      </c>
      <c r="AQ1592" t="s">
        <v>72</v>
      </c>
      <c r="AR1592" t="s">
        <v>72</v>
      </c>
      <c r="AS1592">
        <v>2562</v>
      </c>
      <c r="AT1592" s="4">
        <v>42646</v>
      </c>
      <c r="AU1592" t="s">
        <v>73</v>
      </c>
      <c r="AV1592">
        <v>2562</v>
      </c>
      <c r="AW1592" s="4">
        <v>42646</v>
      </c>
      <c r="BD1592">
        <v>0</v>
      </c>
      <c r="BN1592" t="s">
        <v>74</v>
      </c>
    </row>
    <row r="1593" spans="1:66">
      <c r="A1593">
        <v>100449</v>
      </c>
      <c r="B1593" s="3" t="s">
        <v>181</v>
      </c>
      <c r="C1593" s="1">
        <v>43300101</v>
      </c>
      <c r="D1593" t="s">
        <v>67</v>
      </c>
      <c r="H1593" t="str">
        <f t="shared" si="150"/>
        <v>00153730627</v>
      </c>
      <c r="I1593" t="str">
        <f t="shared" si="150"/>
        <v>00153730627</v>
      </c>
      <c r="K1593" t="str">
        <f>""</f>
        <v/>
      </c>
      <c r="M1593" t="s">
        <v>68</v>
      </c>
      <c r="N1593" t="str">
        <f t="shared" si="151"/>
        <v>FOR</v>
      </c>
      <c r="O1593" t="s">
        <v>69</v>
      </c>
      <c r="P1593" s="3" t="s">
        <v>75</v>
      </c>
      <c r="Q1593">
        <v>2016</v>
      </c>
      <c r="R1593" s="2">
        <v>42551</v>
      </c>
      <c r="S1593" s="2">
        <v>42551</v>
      </c>
      <c r="T1593" s="2">
        <v>42551</v>
      </c>
      <c r="U1593" s="2">
        <v>42611</v>
      </c>
      <c r="V1593" t="s">
        <v>71</v>
      </c>
      <c r="W1593" t="str">
        <f>"          2016   110"</f>
        <v xml:space="preserve">          2016   110</v>
      </c>
      <c r="X1593" s="1">
        <v>17192.12</v>
      </c>
      <c r="Y1593">
        <v>0</v>
      </c>
      <c r="Z1593" s="5">
        <v>14091.9</v>
      </c>
      <c r="AA1593">
        <v>35</v>
      </c>
      <c r="AB1593" s="5">
        <v>493216.5</v>
      </c>
      <c r="AC1593" s="1">
        <v>14091.9</v>
      </c>
      <c r="AD1593">
        <v>35</v>
      </c>
      <c r="AE1593" s="1">
        <v>493216.5</v>
      </c>
      <c r="AF1593">
        <v>0</v>
      </c>
      <c r="AJ1593">
        <v>0</v>
      </c>
      <c r="AK1593">
        <v>0</v>
      </c>
      <c r="AL1593">
        <v>0</v>
      </c>
      <c r="AM1593" s="1">
        <v>17192.12</v>
      </c>
      <c r="AN1593" s="1">
        <v>17192.12</v>
      </c>
      <c r="AO1593" s="1">
        <v>17192.12</v>
      </c>
      <c r="AP1593" s="2">
        <v>42746</v>
      </c>
      <c r="AQ1593" t="s">
        <v>72</v>
      </c>
      <c r="AR1593" t="s">
        <v>72</v>
      </c>
      <c r="AS1593">
        <v>2562</v>
      </c>
      <c r="AT1593" s="4">
        <v>42646</v>
      </c>
      <c r="AU1593" t="s">
        <v>73</v>
      </c>
      <c r="AV1593">
        <v>2562</v>
      </c>
      <c r="AW1593" s="4">
        <v>42646</v>
      </c>
      <c r="BD1593">
        <v>0</v>
      </c>
      <c r="BN1593" t="s">
        <v>74</v>
      </c>
    </row>
    <row r="1594" spans="1:66">
      <c r="A1594">
        <v>100449</v>
      </c>
      <c r="B1594" s="3" t="s">
        <v>181</v>
      </c>
      <c r="C1594" s="1">
        <v>43300101</v>
      </c>
      <c r="D1594" t="s">
        <v>67</v>
      </c>
      <c r="H1594" t="str">
        <f t="shared" si="150"/>
        <v>00153730627</v>
      </c>
      <c r="I1594" t="str">
        <f t="shared" si="150"/>
        <v>00153730627</v>
      </c>
      <c r="K1594" t="str">
        <f>""</f>
        <v/>
      </c>
      <c r="M1594" t="s">
        <v>68</v>
      </c>
      <c r="N1594" t="str">
        <f t="shared" si="151"/>
        <v>FOR</v>
      </c>
      <c r="O1594" t="s">
        <v>69</v>
      </c>
      <c r="P1594" s="3" t="s">
        <v>75</v>
      </c>
      <c r="Q1594">
        <v>2016</v>
      </c>
      <c r="R1594" s="2">
        <v>42551</v>
      </c>
      <c r="S1594" s="2">
        <v>42551</v>
      </c>
      <c r="T1594" s="2">
        <v>42551</v>
      </c>
      <c r="U1594" s="2">
        <v>42611</v>
      </c>
      <c r="V1594" t="s">
        <v>71</v>
      </c>
      <c r="W1594" t="str">
        <f>"          2016   111"</f>
        <v xml:space="preserve">          2016   111</v>
      </c>
      <c r="X1594" s="1">
        <v>3857.44</v>
      </c>
      <c r="Y1594">
        <v>0</v>
      </c>
      <c r="Z1594" s="5">
        <v>3161.84</v>
      </c>
      <c r="AA1594">
        <v>35</v>
      </c>
      <c r="AB1594" s="5">
        <v>110664.4</v>
      </c>
      <c r="AC1594" s="1">
        <v>3161.84</v>
      </c>
      <c r="AD1594">
        <v>35</v>
      </c>
      <c r="AE1594" s="1">
        <v>110664.4</v>
      </c>
      <c r="AF1594">
        <v>0</v>
      </c>
      <c r="AJ1594">
        <v>0</v>
      </c>
      <c r="AK1594">
        <v>0</v>
      </c>
      <c r="AL1594">
        <v>0</v>
      </c>
      <c r="AM1594" s="1">
        <v>3857.44</v>
      </c>
      <c r="AN1594" s="1">
        <v>3857.44</v>
      </c>
      <c r="AO1594" s="1">
        <v>3857.44</v>
      </c>
      <c r="AP1594" s="2">
        <v>42746</v>
      </c>
      <c r="AQ1594" t="s">
        <v>72</v>
      </c>
      <c r="AR1594" t="s">
        <v>72</v>
      </c>
      <c r="AS1594">
        <v>2562</v>
      </c>
      <c r="AT1594" s="4">
        <v>42646</v>
      </c>
      <c r="AU1594" t="s">
        <v>73</v>
      </c>
      <c r="AV1594">
        <v>2562</v>
      </c>
      <c r="AW1594" s="4">
        <v>42646</v>
      </c>
      <c r="BD1594">
        <v>0</v>
      </c>
      <c r="BN1594" t="s">
        <v>74</v>
      </c>
    </row>
    <row r="1595" spans="1:66">
      <c r="A1595">
        <v>100449</v>
      </c>
      <c r="B1595" s="3" t="s">
        <v>181</v>
      </c>
      <c r="C1595" s="1">
        <v>43300101</v>
      </c>
      <c r="D1595" t="s">
        <v>67</v>
      </c>
      <c r="H1595" t="str">
        <f t="shared" si="150"/>
        <v>00153730627</v>
      </c>
      <c r="I1595" t="str">
        <f t="shared" si="150"/>
        <v>00153730627</v>
      </c>
      <c r="K1595" t="str">
        <f>""</f>
        <v/>
      </c>
      <c r="M1595" t="s">
        <v>68</v>
      </c>
      <c r="N1595" t="str">
        <f t="shared" si="151"/>
        <v>FOR</v>
      </c>
      <c r="O1595" t="s">
        <v>69</v>
      </c>
      <c r="P1595" s="3" t="s">
        <v>75</v>
      </c>
      <c r="Q1595">
        <v>2016</v>
      </c>
      <c r="R1595" s="2">
        <v>42562</v>
      </c>
      <c r="S1595" s="2">
        <v>42563</v>
      </c>
      <c r="T1595" s="2">
        <v>42562</v>
      </c>
      <c r="U1595" s="2">
        <v>42622</v>
      </c>
      <c r="V1595" t="s">
        <v>71</v>
      </c>
      <c r="W1595" t="str">
        <f>"          2016   129"</f>
        <v xml:space="preserve">          2016   129</v>
      </c>
      <c r="X1595" s="1">
        <v>9430.6</v>
      </c>
      <c r="Y1595">
        <v>0</v>
      </c>
      <c r="Z1595" s="5">
        <v>7730</v>
      </c>
      <c r="AA1595">
        <v>66</v>
      </c>
      <c r="AB1595" s="5">
        <v>510180</v>
      </c>
      <c r="AC1595" s="1">
        <v>7730</v>
      </c>
      <c r="AD1595">
        <v>66</v>
      </c>
      <c r="AE1595" s="1">
        <v>510180</v>
      </c>
      <c r="AF1595">
        <v>0</v>
      </c>
      <c r="AJ1595">
        <v>0</v>
      </c>
      <c r="AK1595">
        <v>0</v>
      </c>
      <c r="AL1595">
        <v>0</v>
      </c>
      <c r="AM1595" s="1">
        <v>9430.6</v>
      </c>
      <c r="AN1595" s="1">
        <v>9430.6</v>
      </c>
      <c r="AO1595" s="1">
        <v>9430.6</v>
      </c>
      <c r="AP1595" s="2">
        <v>42746</v>
      </c>
      <c r="AQ1595" t="s">
        <v>72</v>
      </c>
      <c r="AR1595" t="s">
        <v>72</v>
      </c>
      <c r="AS1595">
        <v>3082</v>
      </c>
      <c r="AT1595" s="4">
        <v>42688</v>
      </c>
      <c r="AU1595" t="s">
        <v>73</v>
      </c>
      <c r="AV1595">
        <v>3082</v>
      </c>
      <c r="AW1595" s="4">
        <v>42688</v>
      </c>
      <c r="BD1595">
        <v>0</v>
      </c>
      <c r="BN1595" t="s">
        <v>74</v>
      </c>
    </row>
    <row r="1596" spans="1:66">
      <c r="A1596">
        <v>100449</v>
      </c>
      <c r="B1596" s="3" t="s">
        <v>181</v>
      </c>
      <c r="C1596" s="1">
        <v>43300101</v>
      </c>
      <c r="D1596" t="s">
        <v>67</v>
      </c>
      <c r="H1596" t="str">
        <f t="shared" si="150"/>
        <v>00153730627</v>
      </c>
      <c r="I1596" t="str">
        <f t="shared" si="150"/>
        <v>00153730627</v>
      </c>
      <c r="K1596" t="str">
        <f>""</f>
        <v/>
      </c>
      <c r="M1596" t="s">
        <v>68</v>
      </c>
      <c r="N1596" t="str">
        <f t="shared" si="151"/>
        <v>FOR</v>
      </c>
      <c r="O1596" t="s">
        <v>69</v>
      </c>
      <c r="P1596" s="3" t="s">
        <v>75</v>
      </c>
      <c r="Q1596">
        <v>2016</v>
      </c>
      <c r="R1596" s="2">
        <v>42582</v>
      </c>
      <c r="S1596" s="2">
        <v>42583</v>
      </c>
      <c r="T1596" s="2">
        <v>42583</v>
      </c>
      <c r="U1596" s="2">
        <v>42643</v>
      </c>
      <c r="V1596" t="s">
        <v>71</v>
      </c>
      <c r="W1596" t="str">
        <f>"          2016   133"</f>
        <v xml:space="preserve">          2016   133</v>
      </c>
      <c r="X1596" s="1">
        <v>71473.179999999993</v>
      </c>
      <c r="Y1596" s="1">
        <v>-12888.61</v>
      </c>
      <c r="Z1596" s="5">
        <v>58584.57</v>
      </c>
      <c r="AA1596">
        <v>45</v>
      </c>
      <c r="AB1596" s="5">
        <v>2636305.65</v>
      </c>
      <c r="AC1596" s="1">
        <v>58584.57</v>
      </c>
      <c r="AD1596">
        <v>45</v>
      </c>
      <c r="AE1596" s="1">
        <v>2636305.65</v>
      </c>
      <c r="AF1596">
        <v>0</v>
      </c>
      <c r="AJ1596">
        <v>0</v>
      </c>
      <c r="AK1596">
        <v>0</v>
      </c>
      <c r="AL1596">
        <v>0</v>
      </c>
      <c r="AM1596" s="1">
        <v>58584.57</v>
      </c>
      <c r="AN1596" s="1">
        <v>58584.57</v>
      </c>
      <c r="AO1596" s="1">
        <v>58584.57</v>
      </c>
      <c r="AP1596" s="2">
        <v>42746</v>
      </c>
      <c r="AQ1596" t="s">
        <v>72</v>
      </c>
      <c r="AR1596" t="s">
        <v>72</v>
      </c>
      <c r="AS1596">
        <v>3082</v>
      </c>
      <c r="AT1596" s="4">
        <v>42688</v>
      </c>
      <c r="AU1596" t="s">
        <v>73</v>
      </c>
      <c r="AV1596">
        <v>3082</v>
      </c>
      <c r="AW1596" s="4">
        <v>42688</v>
      </c>
      <c r="BD1596">
        <v>0</v>
      </c>
      <c r="BN1596" t="s">
        <v>74</v>
      </c>
    </row>
    <row r="1597" spans="1:66">
      <c r="A1597">
        <v>100449</v>
      </c>
      <c r="B1597" s="3" t="s">
        <v>181</v>
      </c>
      <c r="C1597" s="1">
        <v>43300101</v>
      </c>
      <c r="D1597" t="s">
        <v>67</v>
      </c>
      <c r="H1597" t="str">
        <f t="shared" si="150"/>
        <v>00153730627</v>
      </c>
      <c r="I1597" t="str">
        <f t="shared" si="150"/>
        <v>00153730627</v>
      </c>
      <c r="K1597" t="str">
        <f>""</f>
        <v/>
      </c>
      <c r="M1597" t="s">
        <v>68</v>
      </c>
      <c r="N1597" t="str">
        <f t="shared" si="151"/>
        <v>FOR</v>
      </c>
      <c r="O1597" t="s">
        <v>69</v>
      </c>
      <c r="P1597" s="3" t="s">
        <v>75</v>
      </c>
      <c r="Q1597">
        <v>2016</v>
      </c>
      <c r="R1597" s="2">
        <v>42582</v>
      </c>
      <c r="S1597" s="2">
        <v>42583</v>
      </c>
      <c r="T1597" s="2">
        <v>42583</v>
      </c>
      <c r="U1597" s="2">
        <v>42643</v>
      </c>
      <c r="V1597" t="s">
        <v>71</v>
      </c>
      <c r="W1597" t="str">
        <f>"          2016   134"</f>
        <v xml:space="preserve">          2016   134</v>
      </c>
      <c r="X1597" s="1">
        <v>17192.12</v>
      </c>
      <c r="Y1597">
        <v>0</v>
      </c>
      <c r="Z1597" s="5">
        <v>14091.9</v>
      </c>
      <c r="AA1597">
        <v>45</v>
      </c>
      <c r="AB1597" s="5">
        <v>634135.5</v>
      </c>
      <c r="AC1597" s="1">
        <v>14091.9</v>
      </c>
      <c r="AD1597">
        <v>45</v>
      </c>
      <c r="AE1597" s="1">
        <v>634135.5</v>
      </c>
      <c r="AF1597">
        <v>0</v>
      </c>
      <c r="AJ1597">
        <v>0</v>
      </c>
      <c r="AK1597">
        <v>0</v>
      </c>
      <c r="AL1597">
        <v>0</v>
      </c>
      <c r="AM1597" s="1">
        <v>17192.12</v>
      </c>
      <c r="AN1597" s="1">
        <v>17192.12</v>
      </c>
      <c r="AO1597" s="1">
        <v>17192.12</v>
      </c>
      <c r="AP1597" s="2">
        <v>42746</v>
      </c>
      <c r="AQ1597" t="s">
        <v>72</v>
      </c>
      <c r="AR1597" t="s">
        <v>72</v>
      </c>
      <c r="AS1597">
        <v>3082</v>
      </c>
      <c r="AT1597" s="4">
        <v>42688</v>
      </c>
      <c r="AU1597" t="s">
        <v>73</v>
      </c>
      <c r="AV1597">
        <v>3082</v>
      </c>
      <c r="AW1597" s="4">
        <v>42688</v>
      </c>
      <c r="BD1597">
        <v>0</v>
      </c>
      <c r="BN1597" t="s">
        <v>74</v>
      </c>
    </row>
    <row r="1598" spans="1:66">
      <c r="A1598">
        <v>100449</v>
      </c>
      <c r="B1598" s="3" t="s">
        <v>181</v>
      </c>
      <c r="C1598" s="1">
        <v>43300101</v>
      </c>
      <c r="D1598" t="s">
        <v>67</v>
      </c>
      <c r="H1598" t="str">
        <f t="shared" si="150"/>
        <v>00153730627</v>
      </c>
      <c r="I1598" t="str">
        <f t="shared" si="150"/>
        <v>00153730627</v>
      </c>
      <c r="K1598" t="str">
        <f>""</f>
        <v/>
      </c>
      <c r="M1598" t="s">
        <v>68</v>
      </c>
      <c r="N1598" t="str">
        <f t="shared" si="151"/>
        <v>FOR</v>
      </c>
      <c r="O1598" t="s">
        <v>69</v>
      </c>
      <c r="P1598" s="3" t="s">
        <v>75</v>
      </c>
      <c r="Q1598">
        <v>2016</v>
      </c>
      <c r="R1598" s="2">
        <v>42582</v>
      </c>
      <c r="S1598" s="2">
        <v>42583</v>
      </c>
      <c r="T1598" s="2">
        <v>42583</v>
      </c>
      <c r="U1598" s="2">
        <v>42643</v>
      </c>
      <c r="V1598" t="s">
        <v>71</v>
      </c>
      <c r="W1598" t="str">
        <f>"          2016   135"</f>
        <v xml:space="preserve">          2016   135</v>
      </c>
      <c r="X1598" s="1">
        <v>3857.44</v>
      </c>
      <c r="Y1598">
        <v>0</v>
      </c>
      <c r="Z1598" s="5">
        <v>3161.84</v>
      </c>
      <c r="AA1598">
        <v>45</v>
      </c>
      <c r="AB1598" s="5">
        <v>142282.79999999999</v>
      </c>
      <c r="AC1598" s="1">
        <v>3161.84</v>
      </c>
      <c r="AD1598">
        <v>45</v>
      </c>
      <c r="AE1598" s="1">
        <v>142282.79999999999</v>
      </c>
      <c r="AF1598">
        <v>0</v>
      </c>
      <c r="AJ1598">
        <v>0</v>
      </c>
      <c r="AK1598">
        <v>0</v>
      </c>
      <c r="AL1598">
        <v>0</v>
      </c>
      <c r="AM1598" s="1">
        <v>3857.44</v>
      </c>
      <c r="AN1598" s="1">
        <v>3857.44</v>
      </c>
      <c r="AO1598" s="1">
        <v>3857.44</v>
      </c>
      <c r="AP1598" s="2">
        <v>42746</v>
      </c>
      <c r="AQ1598" t="s">
        <v>72</v>
      </c>
      <c r="AR1598" t="s">
        <v>72</v>
      </c>
      <c r="AS1598">
        <v>3082</v>
      </c>
      <c r="AT1598" s="4">
        <v>42688</v>
      </c>
      <c r="AU1598" t="s">
        <v>73</v>
      </c>
      <c r="AV1598">
        <v>3082</v>
      </c>
      <c r="AW1598" s="4">
        <v>42688</v>
      </c>
      <c r="BD1598">
        <v>0</v>
      </c>
      <c r="BN1598" t="s">
        <v>74</v>
      </c>
    </row>
    <row r="1599" spans="1:66">
      <c r="A1599">
        <v>100449</v>
      </c>
      <c r="B1599" s="3" t="s">
        <v>181</v>
      </c>
      <c r="C1599" s="1">
        <v>43300101</v>
      </c>
      <c r="D1599" t="s">
        <v>67</v>
      </c>
      <c r="H1599" t="str">
        <f t="shared" ref="H1599:I1607" si="152">"00153730627"</f>
        <v>00153730627</v>
      </c>
      <c r="I1599" t="str">
        <f t="shared" si="152"/>
        <v>00153730627</v>
      </c>
      <c r="K1599" t="str">
        <f>""</f>
        <v/>
      </c>
      <c r="M1599" t="s">
        <v>68</v>
      </c>
      <c r="N1599" t="str">
        <f t="shared" si="151"/>
        <v>FOR</v>
      </c>
      <c r="O1599" t="s">
        <v>69</v>
      </c>
      <c r="P1599" s="3" t="s">
        <v>75</v>
      </c>
      <c r="Q1599">
        <v>2016</v>
      </c>
      <c r="R1599" s="2">
        <v>42613</v>
      </c>
      <c r="S1599" s="2">
        <v>42613</v>
      </c>
      <c r="T1599" s="2">
        <v>42613</v>
      </c>
      <c r="U1599" s="2">
        <v>42673</v>
      </c>
      <c r="V1599" t="s">
        <v>71</v>
      </c>
      <c r="W1599" t="str">
        <f>"          2016   150"</f>
        <v xml:space="preserve">          2016   150</v>
      </c>
      <c r="X1599" s="1">
        <v>71473.179999999993</v>
      </c>
      <c r="Y1599" s="1">
        <v>-12888.61</v>
      </c>
      <c r="Z1599" s="5">
        <v>58584.57</v>
      </c>
      <c r="AA1599">
        <v>25</v>
      </c>
      <c r="AB1599" s="5">
        <v>1464614.25</v>
      </c>
      <c r="AC1599" s="1">
        <v>58584.57</v>
      </c>
      <c r="AD1599">
        <v>25</v>
      </c>
      <c r="AE1599" s="1">
        <v>1464614.25</v>
      </c>
      <c r="AF1599">
        <v>0</v>
      </c>
      <c r="AJ1599">
        <v>0</v>
      </c>
      <c r="AK1599">
        <v>0</v>
      </c>
      <c r="AL1599">
        <v>0</v>
      </c>
      <c r="AM1599" s="1">
        <v>58584.57</v>
      </c>
      <c r="AN1599" s="1">
        <v>58584.57</v>
      </c>
      <c r="AO1599" s="1">
        <v>58584.57</v>
      </c>
      <c r="AP1599" s="2">
        <v>42746</v>
      </c>
      <c r="AQ1599" t="s">
        <v>72</v>
      </c>
      <c r="AR1599" t="s">
        <v>72</v>
      </c>
      <c r="AS1599">
        <v>3299</v>
      </c>
      <c r="AT1599" s="4">
        <v>42698</v>
      </c>
      <c r="AU1599" t="s">
        <v>73</v>
      </c>
      <c r="AV1599">
        <v>3299</v>
      </c>
      <c r="AW1599" s="4">
        <v>42698</v>
      </c>
      <c r="BD1599">
        <v>0</v>
      </c>
      <c r="BN1599" t="s">
        <v>74</v>
      </c>
    </row>
    <row r="1600" spans="1:66">
      <c r="A1600">
        <v>100449</v>
      </c>
      <c r="B1600" s="3" t="s">
        <v>181</v>
      </c>
      <c r="C1600" s="1">
        <v>43300101</v>
      </c>
      <c r="D1600" t="s">
        <v>67</v>
      </c>
      <c r="H1600" t="str">
        <f t="shared" si="152"/>
        <v>00153730627</v>
      </c>
      <c r="I1600" t="str">
        <f t="shared" si="152"/>
        <v>00153730627</v>
      </c>
      <c r="K1600" t="str">
        <f>""</f>
        <v/>
      </c>
      <c r="M1600" t="s">
        <v>68</v>
      </c>
      <c r="N1600" t="str">
        <f t="shared" si="151"/>
        <v>FOR</v>
      </c>
      <c r="O1600" t="s">
        <v>69</v>
      </c>
      <c r="P1600" s="3" t="s">
        <v>75</v>
      </c>
      <c r="Q1600">
        <v>2016</v>
      </c>
      <c r="R1600" s="2">
        <v>42613</v>
      </c>
      <c r="S1600" s="2">
        <v>42613</v>
      </c>
      <c r="T1600" s="2">
        <v>42613</v>
      </c>
      <c r="U1600" s="2">
        <v>42673</v>
      </c>
      <c r="V1600" t="s">
        <v>71</v>
      </c>
      <c r="W1600" t="str">
        <f>"          2016   151"</f>
        <v xml:space="preserve">          2016   151</v>
      </c>
      <c r="X1600" s="1">
        <v>17192.12</v>
      </c>
      <c r="Y1600">
        <v>0</v>
      </c>
      <c r="Z1600" s="5">
        <v>14091.9</v>
      </c>
      <c r="AA1600">
        <v>25</v>
      </c>
      <c r="AB1600" s="5">
        <v>352297.5</v>
      </c>
      <c r="AC1600" s="1">
        <v>14091.9</v>
      </c>
      <c r="AD1600">
        <v>25</v>
      </c>
      <c r="AE1600" s="1">
        <v>352297.5</v>
      </c>
      <c r="AF1600">
        <v>0</v>
      </c>
      <c r="AJ1600">
        <v>0</v>
      </c>
      <c r="AK1600">
        <v>0</v>
      </c>
      <c r="AL1600">
        <v>0</v>
      </c>
      <c r="AM1600" s="1">
        <v>17192.12</v>
      </c>
      <c r="AN1600" s="1">
        <v>17192.12</v>
      </c>
      <c r="AO1600" s="1">
        <v>17192.12</v>
      </c>
      <c r="AP1600" s="2">
        <v>42746</v>
      </c>
      <c r="AQ1600" t="s">
        <v>72</v>
      </c>
      <c r="AR1600" t="s">
        <v>72</v>
      </c>
      <c r="AS1600">
        <v>3299</v>
      </c>
      <c r="AT1600" s="4">
        <v>42698</v>
      </c>
      <c r="AU1600" t="s">
        <v>73</v>
      </c>
      <c r="AV1600">
        <v>3299</v>
      </c>
      <c r="AW1600" s="4">
        <v>42698</v>
      </c>
      <c r="BD1600">
        <v>0</v>
      </c>
      <c r="BN1600" t="s">
        <v>74</v>
      </c>
    </row>
    <row r="1601" spans="1:66">
      <c r="A1601">
        <v>100449</v>
      </c>
      <c r="B1601" s="3" t="s">
        <v>181</v>
      </c>
      <c r="C1601" s="1">
        <v>43300101</v>
      </c>
      <c r="D1601" t="s">
        <v>67</v>
      </c>
      <c r="H1601" t="str">
        <f t="shared" si="152"/>
        <v>00153730627</v>
      </c>
      <c r="I1601" t="str">
        <f t="shared" si="152"/>
        <v>00153730627</v>
      </c>
      <c r="K1601" t="str">
        <f>""</f>
        <v/>
      </c>
      <c r="M1601" t="s">
        <v>68</v>
      </c>
      <c r="N1601" t="str">
        <f t="shared" si="151"/>
        <v>FOR</v>
      </c>
      <c r="O1601" t="s">
        <v>69</v>
      </c>
      <c r="P1601" s="3" t="s">
        <v>75</v>
      </c>
      <c r="Q1601">
        <v>2016</v>
      </c>
      <c r="R1601" s="2">
        <v>42613</v>
      </c>
      <c r="S1601" s="2">
        <v>42613</v>
      </c>
      <c r="T1601" s="2">
        <v>42613</v>
      </c>
      <c r="U1601" s="2">
        <v>42673</v>
      </c>
      <c r="V1601" t="s">
        <v>71</v>
      </c>
      <c r="W1601" t="str">
        <f>"          2016   152"</f>
        <v xml:space="preserve">          2016   152</v>
      </c>
      <c r="X1601" s="1">
        <v>3857.44</v>
      </c>
      <c r="Y1601">
        <v>0</v>
      </c>
      <c r="Z1601" s="5">
        <v>3161.84</v>
      </c>
      <c r="AA1601">
        <v>25</v>
      </c>
      <c r="AB1601" s="5">
        <v>79046</v>
      </c>
      <c r="AC1601" s="1">
        <v>3161.84</v>
      </c>
      <c r="AD1601">
        <v>25</v>
      </c>
      <c r="AE1601" s="1">
        <v>79046</v>
      </c>
      <c r="AF1601">
        <v>0</v>
      </c>
      <c r="AJ1601">
        <v>0</v>
      </c>
      <c r="AK1601">
        <v>0</v>
      </c>
      <c r="AL1601">
        <v>0</v>
      </c>
      <c r="AM1601" s="1">
        <v>3857.44</v>
      </c>
      <c r="AN1601" s="1">
        <v>3857.44</v>
      </c>
      <c r="AO1601" s="1">
        <v>3857.44</v>
      </c>
      <c r="AP1601" s="2">
        <v>42746</v>
      </c>
      <c r="AQ1601" t="s">
        <v>72</v>
      </c>
      <c r="AR1601" t="s">
        <v>72</v>
      </c>
      <c r="AS1601">
        <v>3299</v>
      </c>
      <c r="AT1601" s="4">
        <v>42698</v>
      </c>
      <c r="AU1601" t="s">
        <v>73</v>
      </c>
      <c r="AV1601">
        <v>3299</v>
      </c>
      <c r="AW1601" s="4">
        <v>42698</v>
      </c>
      <c r="BD1601">
        <v>0</v>
      </c>
      <c r="BN1601" t="s">
        <v>74</v>
      </c>
    </row>
    <row r="1602" spans="1:66">
      <c r="A1602">
        <v>100449</v>
      </c>
      <c r="B1602" s="3" t="s">
        <v>181</v>
      </c>
      <c r="C1602" s="1">
        <v>43300101</v>
      </c>
      <c r="D1602" t="s">
        <v>67</v>
      </c>
      <c r="H1602" t="str">
        <f t="shared" si="152"/>
        <v>00153730627</v>
      </c>
      <c r="I1602" t="str">
        <f t="shared" si="152"/>
        <v>00153730627</v>
      </c>
      <c r="K1602" t="str">
        <f>""</f>
        <v/>
      </c>
      <c r="M1602" t="s">
        <v>68</v>
      </c>
      <c r="N1602" t="str">
        <f t="shared" si="151"/>
        <v>FOR</v>
      </c>
      <c r="O1602" t="s">
        <v>69</v>
      </c>
      <c r="P1602" s="3" t="s">
        <v>75</v>
      </c>
      <c r="Q1602">
        <v>2016</v>
      </c>
      <c r="R1602" s="2">
        <v>42643</v>
      </c>
      <c r="S1602" s="2">
        <v>42643</v>
      </c>
      <c r="T1602" s="2">
        <v>42643</v>
      </c>
      <c r="U1602" s="2">
        <v>42703</v>
      </c>
      <c r="V1602" t="s">
        <v>71</v>
      </c>
      <c r="W1602" t="str">
        <f>"          2016   169"</f>
        <v xml:space="preserve">          2016   169</v>
      </c>
      <c r="X1602" s="1">
        <v>71473.179999999993</v>
      </c>
      <c r="Y1602" s="1">
        <v>-12888.61</v>
      </c>
      <c r="Z1602" s="5">
        <v>58584.57</v>
      </c>
      <c r="AA1602">
        <v>-5</v>
      </c>
      <c r="AB1602" s="5">
        <v>-292922.84999999998</v>
      </c>
      <c r="AC1602" s="1">
        <v>58584.57</v>
      </c>
      <c r="AD1602">
        <v>-5</v>
      </c>
      <c r="AE1602" s="1">
        <v>-292922.84999999998</v>
      </c>
      <c r="AF1602">
        <v>0</v>
      </c>
      <c r="AJ1602">
        <v>0</v>
      </c>
      <c r="AK1602">
        <v>0</v>
      </c>
      <c r="AL1602">
        <v>0</v>
      </c>
      <c r="AM1602" s="1">
        <v>58584.57</v>
      </c>
      <c r="AN1602" s="1">
        <v>58584.57</v>
      </c>
      <c r="AO1602" s="1">
        <v>58584.57</v>
      </c>
      <c r="AP1602" s="2">
        <v>42746</v>
      </c>
      <c r="AQ1602" t="s">
        <v>72</v>
      </c>
      <c r="AR1602" t="s">
        <v>72</v>
      </c>
      <c r="AS1602">
        <v>3299</v>
      </c>
      <c r="AT1602" s="4">
        <v>42698</v>
      </c>
      <c r="AV1602">
        <v>3299</v>
      </c>
      <c r="AW1602" s="4">
        <v>42698</v>
      </c>
      <c r="BD1602">
        <v>0</v>
      </c>
      <c r="BN1602" t="s">
        <v>74</v>
      </c>
    </row>
    <row r="1603" spans="1:66">
      <c r="A1603">
        <v>100449</v>
      </c>
      <c r="B1603" s="3" t="s">
        <v>181</v>
      </c>
      <c r="C1603" s="1">
        <v>43300101</v>
      </c>
      <c r="D1603" t="s">
        <v>67</v>
      </c>
      <c r="H1603" t="str">
        <f t="shared" si="152"/>
        <v>00153730627</v>
      </c>
      <c r="I1603" t="str">
        <f t="shared" si="152"/>
        <v>00153730627</v>
      </c>
      <c r="K1603" t="str">
        <f>""</f>
        <v/>
      </c>
      <c r="M1603" t="s">
        <v>68</v>
      </c>
      <c r="N1603" t="str">
        <f t="shared" si="151"/>
        <v>FOR</v>
      </c>
      <c r="O1603" t="s">
        <v>69</v>
      </c>
      <c r="P1603" s="3" t="s">
        <v>75</v>
      </c>
      <c r="Q1603">
        <v>2016</v>
      </c>
      <c r="R1603" s="2">
        <v>42643</v>
      </c>
      <c r="S1603" s="2">
        <v>42643</v>
      </c>
      <c r="T1603" s="2">
        <v>42643</v>
      </c>
      <c r="U1603" s="2">
        <v>42703</v>
      </c>
      <c r="V1603" t="s">
        <v>71</v>
      </c>
      <c r="W1603" t="str">
        <f>"          2016   170"</f>
        <v xml:space="preserve">          2016   170</v>
      </c>
      <c r="X1603" s="1">
        <v>17192.12</v>
      </c>
      <c r="Y1603">
        <v>0</v>
      </c>
      <c r="Z1603" s="5">
        <v>14091.9</v>
      </c>
      <c r="AA1603">
        <v>-5</v>
      </c>
      <c r="AB1603" s="5">
        <v>-70459.5</v>
      </c>
      <c r="AC1603" s="1">
        <v>14091.9</v>
      </c>
      <c r="AD1603">
        <v>-5</v>
      </c>
      <c r="AE1603" s="1">
        <v>-70459.5</v>
      </c>
      <c r="AF1603">
        <v>0</v>
      </c>
      <c r="AJ1603">
        <v>0</v>
      </c>
      <c r="AK1603">
        <v>0</v>
      </c>
      <c r="AL1603">
        <v>0</v>
      </c>
      <c r="AM1603" s="1">
        <v>17192.12</v>
      </c>
      <c r="AN1603" s="1">
        <v>17192.12</v>
      </c>
      <c r="AO1603" s="1">
        <v>17192.12</v>
      </c>
      <c r="AP1603" s="2">
        <v>42746</v>
      </c>
      <c r="AQ1603" t="s">
        <v>72</v>
      </c>
      <c r="AR1603" t="s">
        <v>72</v>
      </c>
      <c r="AS1603">
        <v>3299</v>
      </c>
      <c r="AT1603" s="4">
        <v>42698</v>
      </c>
      <c r="AV1603">
        <v>3299</v>
      </c>
      <c r="AW1603" s="4">
        <v>42698</v>
      </c>
      <c r="BD1603">
        <v>0</v>
      </c>
      <c r="BN1603" t="s">
        <v>74</v>
      </c>
    </row>
    <row r="1604" spans="1:66">
      <c r="A1604">
        <v>100449</v>
      </c>
      <c r="B1604" s="3" t="s">
        <v>181</v>
      </c>
      <c r="C1604" s="1">
        <v>43300101</v>
      </c>
      <c r="D1604" t="s">
        <v>67</v>
      </c>
      <c r="H1604" t="str">
        <f t="shared" si="152"/>
        <v>00153730627</v>
      </c>
      <c r="I1604" t="str">
        <f t="shared" si="152"/>
        <v>00153730627</v>
      </c>
      <c r="K1604" t="str">
        <f>""</f>
        <v/>
      </c>
      <c r="M1604" t="s">
        <v>68</v>
      </c>
      <c r="N1604" t="str">
        <f t="shared" si="151"/>
        <v>FOR</v>
      </c>
      <c r="O1604" t="s">
        <v>69</v>
      </c>
      <c r="P1604" s="3" t="s">
        <v>75</v>
      </c>
      <c r="Q1604">
        <v>2016</v>
      </c>
      <c r="R1604" s="2">
        <v>42643</v>
      </c>
      <c r="S1604" s="2">
        <v>42643</v>
      </c>
      <c r="T1604" s="2">
        <v>42643</v>
      </c>
      <c r="U1604" s="2">
        <v>42703</v>
      </c>
      <c r="V1604" t="s">
        <v>71</v>
      </c>
      <c r="W1604" t="str">
        <f>"          2016   171"</f>
        <v xml:space="preserve">          2016   171</v>
      </c>
      <c r="X1604" s="1">
        <v>3857.44</v>
      </c>
      <c r="Y1604">
        <v>0</v>
      </c>
      <c r="Z1604" s="5">
        <v>3161.84</v>
      </c>
      <c r="AA1604">
        <v>-5</v>
      </c>
      <c r="AB1604" s="5">
        <v>-15809.2</v>
      </c>
      <c r="AC1604" s="1">
        <v>3161.84</v>
      </c>
      <c r="AD1604">
        <v>-5</v>
      </c>
      <c r="AE1604" s="1">
        <v>-15809.2</v>
      </c>
      <c r="AF1604">
        <v>0</v>
      </c>
      <c r="AJ1604">
        <v>0</v>
      </c>
      <c r="AK1604">
        <v>0</v>
      </c>
      <c r="AL1604">
        <v>0</v>
      </c>
      <c r="AM1604" s="1">
        <v>3857.44</v>
      </c>
      <c r="AN1604" s="1">
        <v>3857.44</v>
      </c>
      <c r="AO1604" s="1">
        <v>3857.44</v>
      </c>
      <c r="AP1604" s="2">
        <v>42746</v>
      </c>
      <c r="AQ1604" t="s">
        <v>72</v>
      </c>
      <c r="AR1604" t="s">
        <v>72</v>
      </c>
      <c r="AS1604">
        <v>3299</v>
      </c>
      <c r="AT1604" s="4">
        <v>42698</v>
      </c>
      <c r="AV1604">
        <v>3299</v>
      </c>
      <c r="AW1604" s="4">
        <v>42698</v>
      </c>
      <c r="BD1604">
        <v>0</v>
      </c>
      <c r="BN1604" t="s">
        <v>74</v>
      </c>
    </row>
    <row r="1605" spans="1:66">
      <c r="A1605">
        <v>100449</v>
      </c>
      <c r="B1605" s="3" t="s">
        <v>181</v>
      </c>
      <c r="C1605" s="1">
        <v>43300101</v>
      </c>
      <c r="D1605" t="s">
        <v>67</v>
      </c>
      <c r="H1605" t="str">
        <f t="shared" si="152"/>
        <v>00153730627</v>
      </c>
      <c r="I1605" t="str">
        <f t="shared" si="152"/>
        <v>00153730627</v>
      </c>
      <c r="K1605" t="str">
        <f>""</f>
        <v/>
      </c>
      <c r="M1605" t="s">
        <v>68</v>
      </c>
      <c r="N1605" t="str">
        <f t="shared" si="151"/>
        <v>FOR</v>
      </c>
      <c r="O1605" t="s">
        <v>69</v>
      </c>
      <c r="P1605" s="3" t="s">
        <v>75</v>
      </c>
      <c r="Q1605">
        <v>2016</v>
      </c>
      <c r="R1605" s="2">
        <v>42674</v>
      </c>
      <c r="S1605" s="2">
        <v>42677</v>
      </c>
      <c r="T1605" s="2">
        <v>42676</v>
      </c>
      <c r="U1605" s="2">
        <v>42736</v>
      </c>
      <c r="V1605" t="s">
        <v>71</v>
      </c>
      <c r="W1605" t="str">
        <f>"          2016   209"</f>
        <v xml:space="preserve">          2016   209</v>
      </c>
      <c r="X1605" s="1">
        <v>71473.179999999993</v>
      </c>
      <c r="Y1605" s="1">
        <v>-12888.61</v>
      </c>
      <c r="Z1605" s="5">
        <v>58584.57</v>
      </c>
      <c r="AA1605">
        <v>-13</v>
      </c>
      <c r="AB1605" s="5">
        <v>-761599.41</v>
      </c>
      <c r="AC1605" s="1">
        <v>58584.57</v>
      </c>
      <c r="AD1605">
        <v>-13</v>
      </c>
      <c r="AE1605" s="1">
        <v>-761599.41</v>
      </c>
      <c r="AF1605">
        <v>0</v>
      </c>
      <c r="AJ1605" s="1">
        <v>58584.57</v>
      </c>
      <c r="AK1605" s="1">
        <v>58584.57</v>
      </c>
      <c r="AL1605" s="1">
        <v>58584.57</v>
      </c>
      <c r="AM1605" s="1">
        <v>58584.57</v>
      </c>
      <c r="AN1605" s="1">
        <v>58584.57</v>
      </c>
      <c r="AO1605" s="1">
        <v>58584.57</v>
      </c>
      <c r="AP1605" s="2">
        <v>42746</v>
      </c>
      <c r="AQ1605" t="s">
        <v>72</v>
      </c>
      <c r="AR1605" t="s">
        <v>72</v>
      </c>
      <c r="AS1605">
        <v>3578</v>
      </c>
      <c r="AT1605" s="4">
        <v>42723</v>
      </c>
      <c r="AV1605">
        <v>3578</v>
      </c>
      <c r="AW1605" s="4">
        <v>42723</v>
      </c>
      <c r="BD1605">
        <v>0</v>
      </c>
      <c r="BN1605" t="s">
        <v>74</v>
      </c>
    </row>
    <row r="1606" spans="1:66">
      <c r="A1606">
        <v>100449</v>
      </c>
      <c r="B1606" s="3" t="s">
        <v>181</v>
      </c>
      <c r="C1606" s="1">
        <v>43300101</v>
      </c>
      <c r="D1606" t="s">
        <v>67</v>
      </c>
      <c r="H1606" t="str">
        <f t="shared" si="152"/>
        <v>00153730627</v>
      </c>
      <c r="I1606" t="str">
        <f t="shared" si="152"/>
        <v>00153730627</v>
      </c>
      <c r="K1606" t="str">
        <f>""</f>
        <v/>
      </c>
      <c r="M1606" t="s">
        <v>68</v>
      </c>
      <c r="N1606" t="str">
        <f t="shared" si="151"/>
        <v>FOR</v>
      </c>
      <c r="O1606" t="s">
        <v>69</v>
      </c>
      <c r="P1606" s="3" t="s">
        <v>75</v>
      </c>
      <c r="Q1606">
        <v>2016</v>
      </c>
      <c r="R1606" s="2">
        <v>42674</v>
      </c>
      <c r="S1606" s="2">
        <v>42677</v>
      </c>
      <c r="T1606" s="2">
        <v>42676</v>
      </c>
      <c r="U1606" s="2">
        <v>42736</v>
      </c>
      <c r="V1606" t="s">
        <v>71</v>
      </c>
      <c r="W1606" t="str">
        <f>"          2016   210"</f>
        <v xml:space="preserve">          2016   210</v>
      </c>
      <c r="X1606" s="1">
        <v>17192.12</v>
      </c>
      <c r="Y1606">
        <v>0</v>
      </c>
      <c r="Z1606" s="5">
        <v>14091.9</v>
      </c>
      <c r="AA1606">
        <v>-13</v>
      </c>
      <c r="AB1606" s="5">
        <v>-183194.7</v>
      </c>
      <c r="AC1606" s="1">
        <v>14091.9</v>
      </c>
      <c r="AD1606">
        <v>-13</v>
      </c>
      <c r="AE1606" s="1">
        <v>-183194.7</v>
      </c>
      <c r="AF1606" s="1">
        <v>3100.22</v>
      </c>
      <c r="AJ1606" s="1">
        <v>17192.12</v>
      </c>
      <c r="AK1606" s="1">
        <v>17192.12</v>
      </c>
      <c r="AL1606" s="1">
        <v>17192.12</v>
      </c>
      <c r="AM1606" s="1">
        <v>17192.12</v>
      </c>
      <c r="AN1606" s="1">
        <v>17192.12</v>
      </c>
      <c r="AO1606" s="1">
        <v>17192.12</v>
      </c>
      <c r="AP1606" s="2">
        <v>42746</v>
      </c>
      <c r="AQ1606" t="s">
        <v>72</v>
      </c>
      <c r="AR1606" t="s">
        <v>72</v>
      </c>
      <c r="AS1606">
        <v>3578</v>
      </c>
      <c r="AT1606" s="4">
        <v>42723</v>
      </c>
      <c r="AV1606">
        <v>3578</v>
      </c>
      <c r="AW1606" s="4">
        <v>42723</v>
      </c>
      <c r="BD1606">
        <v>0</v>
      </c>
      <c r="BF1606" s="1">
        <v>3100.22</v>
      </c>
      <c r="BN1606" t="s">
        <v>74</v>
      </c>
    </row>
    <row r="1607" spans="1:66">
      <c r="A1607">
        <v>100449</v>
      </c>
      <c r="B1607" s="3" t="s">
        <v>181</v>
      </c>
      <c r="C1607" s="1">
        <v>43300101</v>
      </c>
      <c r="D1607" t="s">
        <v>67</v>
      </c>
      <c r="H1607" t="str">
        <f t="shared" si="152"/>
        <v>00153730627</v>
      </c>
      <c r="I1607" t="str">
        <f t="shared" si="152"/>
        <v>00153730627</v>
      </c>
      <c r="K1607" t="str">
        <f>""</f>
        <v/>
      </c>
      <c r="M1607" t="s">
        <v>68</v>
      </c>
      <c r="N1607" t="str">
        <f t="shared" si="151"/>
        <v>FOR</v>
      </c>
      <c r="O1607" t="s">
        <v>69</v>
      </c>
      <c r="P1607" s="3" t="s">
        <v>75</v>
      </c>
      <c r="Q1607">
        <v>2016</v>
      </c>
      <c r="R1607" s="2">
        <v>42674</v>
      </c>
      <c r="S1607" s="2">
        <v>42677</v>
      </c>
      <c r="T1607" s="2">
        <v>42676</v>
      </c>
      <c r="U1607" s="2">
        <v>42736</v>
      </c>
      <c r="V1607" t="s">
        <v>71</v>
      </c>
      <c r="W1607" t="str">
        <f>"          2016   211"</f>
        <v xml:space="preserve">          2016   211</v>
      </c>
      <c r="X1607" s="1">
        <v>3857.44</v>
      </c>
      <c r="Y1607">
        <v>0</v>
      </c>
      <c r="Z1607" s="5">
        <v>3161.84</v>
      </c>
      <c r="AA1607">
        <v>-13</v>
      </c>
      <c r="AB1607" s="5">
        <v>-41103.919999999998</v>
      </c>
      <c r="AC1607" s="1">
        <v>3161.84</v>
      </c>
      <c r="AD1607">
        <v>-13</v>
      </c>
      <c r="AE1607" s="1">
        <v>-41103.919999999998</v>
      </c>
      <c r="AF1607">
        <v>695.6</v>
      </c>
      <c r="AJ1607" s="1">
        <v>3857.44</v>
      </c>
      <c r="AK1607" s="1">
        <v>3857.44</v>
      </c>
      <c r="AL1607" s="1">
        <v>3857.44</v>
      </c>
      <c r="AM1607" s="1">
        <v>3857.44</v>
      </c>
      <c r="AN1607" s="1">
        <v>3857.44</v>
      </c>
      <c r="AO1607" s="1">
        <v>3857.44</v>
      </c>
      <c r="AP1607" s="2">
        <v>42746</v>
      </c>
      <c r="AQ1607" t="s">
        <v>72</v>
      </c>
      <c r="AR1607" t="s">
        <v>72</v>
      </c>
      <c r="AS1607">
        <v>3578</v>
      </c>
      <c r="AT1607" s="4">
        <v>42723</v>
      </c>
      <c r="AV1607">
        <v>3578</v>
      </c>
      <c r="AW1607" s="4">
        <v>42723</v>
      </c>
      <c r="BD1607">
        <v>0</v>
      </c>
      <c r="BF1607">
        <v>695.6</v>
      </c>
      <c r="BN1607" t="s">
        <v>74</v>
      </c>
    </row>
    <row r="1608" spans="1:66" hidden="1">
      <c r="A1608">
        <v>100453</v>
      </c>
      <c r="B1608" s="3" t="s">
        <v>183</v>
      </c>
      <c r="C1608" s="1">
        <v>43300101</v>
      </c>
      <c r="D1608" t="s">
        <v>67</v>
      </c>
      <c r="H1608" t="str">
        <f>"09933630155"</f>
        <v>09933630155</v>
      </c>
      <c r="I1608" t="str">
        <f>"09933630155"</f>
        <v>09933630155</v>
      </c>
      <c r="K1608" t="str">
        <f>""</f>
        <v/>
      </c>
      <c r="M1608" t="s">
        <v>68</v>
      </c>
      <c r="N1608" t="str">
        <f t="shared" si="151"/>
        <v>FOR</v>
      </c>
      <c r="O1608" t="s">
        <v>69</v>
      </c>
      <c r="P1608" s="3" t="s">
        <v>75</v>
      </c>
      <c r="Q1608">
        <v>2016</v>
      </c>
      <c r="R1608" s="2">
        <v>42411</v>
      </c>
      <c r="S1608" s="2">
        <v>42415</v>
      </c>
      <c r="T1608" s="2">
        <v>42411</v>
      </c>
      <c r="U1608" s="2">
        <v>42471</v>
      </c>
      <c r="V1608" t="s">
        <v>71</v>
      </c>
      <c r="W1608" t="str">
        <f>"          9700144355"</f>
        <v xml:space="preserve">          9700144355</v>
      </c>
      <c r="X1608" s="1">
        <v>3066.71</v>
      </c>
      <c r="Y1608">
        <v>0</v>
      </c>
      <c r="Z1608"/>
      <c r="AB1608"/>
      <c r="AC1608" s="1">
        <v>2513.6999999999998</v>
      </c>
      <c r="AD1608">
        <v>16</v>
      </c>
      <c r="AE1608" s="1">
        <v>40219.199999999997</v>
      </c>
      <c r="AF1608">
        <v>0</v>
      </c>
      <c r="AJ1608">
        <v>0</v>
      </c>
      <c r="AK1608">
        <v>0</v>
      </c>
      <c r="AL1608">
        <v>0</v>
      </c>
      <c r="AM1608" s="1">
        <v>3066.71</v>
      </c>
      <c r="AN1608" s="1">
        <v>3066.71</v>
      </c>
      <c r="AO1608" s="1">
        <v>3066.71</v>
      </c>
      <c r="AP1608" s="2">
        <v>42746</v>
      </c>
      <c r="AQ1608" t="s">
        <v>72</v>
      </c>
      <c r="AR1608" t="s">
        <v>72</v>
      </c>
      <c r="AS1608">
        <v>1183</v>
      </c>
      <c r="AT1608" s="4">
        <v>42487</v>
      </c>
      <c r="AU1608" t="s">
        <v>73</v>
      </c>
      <c r="AV1608">
        <v>1183</v>
      </c>
      <c r="AW1608" s="4">
        <v>42487</v>
      </c>
      <c r="BD1608">
        <v>0</v>
      </c>
      <c r="BN1608" t="s">
        <v>74</v>
      </c>
    </row>
    <row r="1609" spans="1:66" hidden="1">
      <c r="A1609">
        <v>100472</v>
      </c>
      <c r="B1609" s="3" t="s">
        <v>184</v>
      </c>
      <c r="C1609" s="1">
        <v>43300101</v>
      </c>
      <c r="D1609" t="s">
        <v>67</v>
      </c>
      <c r="H1609" t="str">
        <f>"05238881212"</f>
        <v>05238881212</v>
      </c>
      <c r="I1609" t="str">
        <f>"05238881212"</f>
        <v>05238881212</v>
      </c>
      <c r="K1609" t="str">
        <f>""</f>
        <v/>
      </c>
      <c r="M1609" t="s">
        <v>68</v>
      </c>
      <c r="N1609" t="str">
        <f t="shared" si="151"/>
        <v>FOR</v>
      </c>
      <c r="O1609" t="s">
        <v>69</v>
      </c>
      <c r="P1609" s="3" t="s">
        <v>75</v>
      </c>
      <c r="Q1609">
        <v>2015</v>
      </c>
      <c r="R1609" s="2">
        <v>42118</v>
      </c>
      <c r="S1609" s="2">
        <v>42121</v>
      </c>
      <c r="T1609" s="2">
        <v>42120</v>
      </c>
      <c r="U1609" s="2">
        <v>42180</v>
      </c>
      <c r="V1609" t="s">
        <v>71</v>
      </c>
      <c r="W1609" t="str">
        <f>"            051.2015"</f>
        <v xml:space="preserve">            051.2015</v>
      </c>
      <c r="X1609">
        <v>606.34</v>
      </c>
      <c r="Y1609">
        <v>0</v>
      </c>
      <c r="Z1609"/>
      <c r="AB1609"/>
      <c r="AC1609">
        <v>497</v>
      </c>
      <c r="AD1609">
        <v>236</v>
      </c>
      <c r="AE1609" s="1">
        <v>117292</v>
      </c>
      <c r="AF1609">
        <v>0</v>
      </c>
      <c r="AJ1609">
        <v>0</v>
      </c>
      <c r="AK1609">
        <v>0</v>
      </c>
      <c r="AL1609">
        <v>0</v>
      </c>
      <c r="AM1609">
        <v>0</v>
      </c>
      <c r="AN1609">
        <v>0</v>
      </c>
      <c r="AO1609">
        <v>0</v>
      </c>
      <c r="AP1609" s="2">
        <v>42746</v>
      </c>
      <c r="AQ1609" t="s">
        <v>72</v>
      </c>
      <c r="AR1609" t="s">
        <v>72</v>
      </c>
      <c r="AS1609">
        <v>437</v>
      </c>
      <c r="AT1609" s="4">
        <v>42416</v>
      </c>
      <c r="AU1609" t="s">
        <v>73</v>
      </c>
      <c r="AV1609">
        <v>437</v>
      </c>
      <c r="AW1609" s="4">
        <v>42416</v>
      </c>
      <c r="BD1609">
        <v>0</v>
      </c>
      <c r="BN1609" t="s">
        <v>74</v>
      </c>
    </row>
    <row r="1610" spans="1:66">
      <c r="A1610">
        <v>100472</v>
      </c>
      <c r="B1610" s="3" t="s">
        <v>184</v>
      </c>
      <c r="C1610" s="1">
        <v>43300101</v>
      </c>
      <c r="D1610" t="s">
        <v>67</v>
      </c>
      <c r="H1610" t="str">
        <f>"05238881212"</f>
        <v>05238881212</v>
      </c>
      <c r="I1610" t="str">
        <f>"05238881212"</f>
        <v>05238881212</v>
      </c>
      <c r="K1610" t="str">
        <f>""</f>
        <v/>
      </c>
      <c r="M1610" t="s">
        <v>68</v>
      </c>
      <c r="N1610" t="str">
        <f t="shared" si="151"/>
        <v>FOR</v>
      </c>
      <c r="O1610" t="s">
        <v>69</v>
      </c>
      <c r="P1610" s="3" t="s">
        <v>75</v>
      </c>
      <c r="Q1610">
        <v>2015</v>
      </c>
      <c r="R1610" s="2">
        <v>42338</v>
      </c>
      <c r="S1610" s="2">
        <v>42339</v>
      </c>
      <c r="T1610" s="2">
        <v>42338</v>
      </c>
      <c r="U1610" s="2">
        <v>42398</v>
      </c>
      <c r="V1610" t="s">
        <v>71</v>
      </c>
      <c r="W1610" t="str">
        <f>"            142.2015"</f>
        <v xml:space="preserve">            142.2015</v>
      </c>
      <c r="X1610">
        <v>666.12</v>
      </c>
      <c r="Y1610">
        <v>0</v>
      </c>
      <c r="Z1610" s="3">
        <v>546</v>
      </c>
      <c r="AA1610">
        <v>284</v>
      </c>
      <c r="AB1610" s="5">
        <v>155064</v>
      </c>
      <c r="AC1610">
        <v>546</v>
      </c>
      <c r="AD1610">
        <v>284</v>
      </c>
      <c r="AE1610" s="1">
        <v>155064</v>
      </c>
      <c r="AF1610">
        <v>0</v>
      </c>
      <c r="AJ1610">
        <v>0</v>
      </c>
      <c r="AK1610">
        <v>0</v>
      </c>
      <c r="AL1610">
        <v>0</v>
      </c>
      <c r="AM1610">
        <v>0</v>
      </c>
      <c r="AN1610">
        <v>0</v>
      </c>
      <c r="AO1610">
        <v>0</v>
      </c>
      <c r="AP1610" s="2">
        <v>42746</v>
      </c>
      <c r="AQ1610" t="s">
        <v>72</v>
      </c>
      <c r="AR1610" t="s">
        <v>72</v>
      </c>
      <c r="AS1610">
        <v>2996</v>
      </c>
      <c r="AT1610" s="4">
        <v>42682</v>
      </c>
      <c r="AU1610" t="s">
        <v>73</v>
      </c>
      <c r="AV1610">
        <v>2996</v>
      </c>
      <c r="AW1610" s="4">
        <v>42682</v>
      </c>
      <c r="BD1610">
        <v>0</v>
      </c>
      <c r="BN1610" t="s">
        <v>74</v>
      </c>
    </row>
    <row r="1611" spans="1:66" hidden="1">
      <c r="A1611">
        <v>100477</v>
      </c>
      <c r="B1611" s="3" t="s">
        <v>185</v>
      </c>
      <c r="C1611" s="1">
        <v>43500101</v>
      </c>
      <c r="D1611" t="s">
        <v>113</v>
      </c>
      <c r="H1611" t="str">
        <f>"RGGSST59E11B227F"</f>
        <v>RGGSST59E11B227F</v>
      </c>
      <c r="I1611" t="str">
        <f>"02672640618"</f>
        <v>02672640618</v>
      </c>
      <c r="K1611" t="str">
        <f>""</f>
        <v/>
      </c>
      <c r="M1611" t="s">
        <v>68</v>
      </c>
      <c r="N1611" t="str">
        <f>"ALTPRO"</f>
        <v>ALTPRO</v>
      </c>
      <c r="O1611" t="s">
        <v>132</v>
      </c>
      <c r="P1611" s="3" t="s">
        <v>146</v>
      </c>
      <c r="Q1611">
        <v>2015</v>
      </c>
      <c r="R1611" s="2">
        <v>42335</v>
      </c>
      <c r="S1611" s="2">
        <v>42461</v>
      </c>
      <c r="T1611" s="2">
        <v>42459</v>
      </c>
      <c r="U1611" s="2">
        <v>42519</v>
      </c>
      <c r="V1611" t="s">
        <v>71</v>
      </c>
      <c r="W1611" t="str">
        <f>"                4-PA"</f>
        <v xml:space="preserve">                4-PA</v>
      </c>
      <c r="X1611" s="1">
        <v>1659.5</v>
      </c>
      <c r="Y1611">
        <v>-325</v>
      </c>
      <c r="Z1611"/>
      <c r="AB1611"/>
      <c r="AC1611" s="1">
        <v>1334.5</v>
      </c>
      <c r="AD1611">
        <v>1</v>
      </c>
      <c r="AE1611" s="1">
        <v>1334.5</v>
      </c>
      <c r="AF1611">
        <v>0</v>
      </c>
      <c r="AJ1611">
        <v>0</v>
      </c>
      <c r="AK1611">
        <v>0</v>
      </c>
      <c r="AL1611">
        <v>0</v>
      </c>
      <c r="AM1611">
        <v>0</v>
      </c>
      <c r="AN1611" s="1">
        <v>1334.5</v>
      </c>
      <c r="AO1611">
        <v>0</v>
      </c>
      <c r="AP1611" s="2">
        <v>42746</v>
      </c>
      <c r="AQ1611" t="s">
        <v>72</v>
      </c>
      <c r="AR1611" t="s">
        <v>72</v>
      </c>
      <c r="AS1611">
        <v>1401</v>
      </c>
      <c r="AT1611" s="4">
        <v>42520</v>
      </c>
      <c r="AU1611" t="s">
        <v>73</v>
      </c>
      <c r="AV1611">
        <v>1401</v>
      </c>
      <c r="AW1611" s="4">
        <v>42520</v>
      </c>
      <c r="BD1611">
        <v>0</v>
      </c>
      <c r="BN1611" t="s">
        <v>74</v>
      </c>
    </row>
    <row r="1612" spans="1:66">
      <c r="A1612">
        <v>100477</v>
      </c>
      <c r="B1612" s="3" t="s">
        <v>185</v>
      </c>
      <c r="C1612" s="1">
        <v>43500101</v>
      </c>
      <c r="D1612" t="s">
        <v>113</v>
      </c>
      <c r="H1612" t="str">
        <f>"RGGSST59E11B227F"</f>
        <v>RGGSST59E11B227F</v>
      </c>
      <c r="I1612" t="str">
        <f>"02672640618"</f>
        <v>02672640618</v>
      </c>
      <c r="K1612" t="str">
        <f>""</f>
        <v/>
      </c>
      <c r="M1612" t="s">
        <v>68</v>
      </c>
      <c r="N1612" t="str">
        <f>"ALTPRO"</f>
        <v>ALTPRO</v>
      </c>
      <c r="O1612" t="s">
        <v>132</v>
      </c>
      <c r="P1612" s="3" t="s">
        <v>146</v>
      </c>
      <c r="Q1612">
        <v>2016</v>
      </c>
      <c r="R1612" s="2">
        <v>42656</v>
      </c>
      <c r="S1612" s="2">
        <v>42661</v>
      </c>
      <c r="T1612" s="2">
        <v>42657</v>
      </c>
      <c r="U1612" s="2">
        <v>42717</v>
      </c>
      <c r="V1612" t="s">
        <v>71</v>
      </c>
      <c r="W1612" t="str">
        <f>"                  08"</f>
        <v xml:space="preserve">                  08</v>
      </c>
      <c r="X1612" s="1">
        <v>4000</v>
      </c>
      <c r="Y1612">
        <v>-783.92</v>
      </c>
      <c r="Z1612" s="5">
        <v>3216.08</v>
      </c>
      <c r="AA1612">
        <v>-48</v>
      </c>
      <c r="AB1612" s="5">
        <v>-154371.84</v>
      </c>
      <c r="AC1612" s="1">
        <v>3216.08</v>
      </c>
      <c r="AD1612">
        <v>-48</v>
      </c>
      <c r="AE1612" s="1">
        <v>-154371.84</v>
      </c>
      <c r="AF1612">
        <v>0</v>
      </c>
      <c r="AJ1612" s="1">
        <v>3216.08</v>
      </c>
      <c r="AK1612" s="1">
        <v>3216.08</v>
      </c>
      <c r="AL1612" s="1">
        <v>3216.08</v>
      </c>
      <c r="AM1612" s="1">
        <v>3216.08</v>
      </c>
      <c r="AN1612" s="1">
        <v>3216.08</v>
      </c>
      <c r="AO1612" s="1">
        <v>3216.08</v>
      </c>
      <c r="AP1612" s="2">
        <v>42746</v>
      </c>
      <c r="AQ1612" t="s">
        <v>72</v>
      </c>
      <c r="AR1612" t="s">
        <v>72</v>
      </c>
      <c r="AS1612">
        <v>2890</v>
      </c>
      <c r="AT1612" s="4">
        <v>42669</v>
      </c>
      <c r="AV1612">
        <v>2890</v>
      </c>
      <c r="AW1612" s="4">
        <v>42669</v>
      </c>
      <c r="BD1612">
        <v>0</v>
      </c>
      <c r="BN1612" t="s">
        <v>74</v>
      </c>
    </row>
    <row r="1613" spans="1:66">
      <c r="A1613">
        <v>100480</v>
      </c>
      <c r="B1613" s="3" t="s">
        <v>186</v>
      </c>
      <c r="C1613" s="1">
        <v>43300101</v>
      </c>
      <c r="D1613" t="s">
        <v>67</v>
      </c>
      <c r="H1613" t="str">
        <f>"01597140282"</f>
        <v>01597140282</v>
      </c>
      <c r="I1613" t="str">
        <f>"01597140282"</f>
        <v>01597140282</v>
      </c>
      <c r="K1613" t="str">
        <f>""</f>
        <v/>
      </c>
      <c r="M1613" t="s">
        <v>68</v>
      </c>
      <c r="N1613" t="str">
        <f t="shared" ref="N1613:N1656" si="153">"FOR"</f>
        <v>FOR</v>
      </c>
      <c r="O1613" t="s">
        <v>69</v>
      </c>
      <c r="P1613" s="3" t="s">
        <v>75</v>
      </c>
      <c r="Q1613">
        <v>2016</v>
      </c>
      <c r="R1613" s="2">
        <v>42613</v>
      </c>
      <c r="S1613" s="2">
        <v>42620</v>
      </c>
      <c r="T1613" s="2">
        <v>42615</v>
      </c>
      <c r="U1613" s="2">
        <v>42675</v>
      </c>
      <c r="V1613" t="s">
        <v>71</v>
      </c>
      <c r="W1613" t="str">
        <f>"               0397A"</f>
        <v xml:space="preserve">               0397A</v>
      </c>
      <c r="X1613" s="1">
        <v>1769</v>
      </c>
      <c r="Y1613">
        <v>0</v>
      </c>
      <c r="Z1613" s="5">
        <v>1450</v>
      </c>
      <c r="AA1613">
        <v>3</v>
      </c>
      <c r="AB1613" s="5">
        <v>4350</v>
      </c>
      <c r="AC1613" s="1">
        <v>1450</v>
      </c>
      <c r="AD1613">
        <v>3</v>
      </c>
      <c r="AE1613" s="1">
        <v>4350</v>
      </c>
      <c r="AF1613">
        <v>0</v>
      </c>
      <c r="AJ1613">
        <v>0</v>
      </c>
      <c r="AK1613">
        <v>0</v>
      </c>
      <c r="AL1613">
        <v>0</v>
      </c>
      <c r="AM1613" s="1">
        <v>1769</v>
      </c>
      <c r="AN1613" s="1">
        <v>1769</v>
      </c>
      <c r="AO1613" s="1">
        <v>1769</v>
      </c>
      <c r="AP1613" s="2">
        <v>42746</v>
      </c>
      <c r="AQ1613" t="s">
        <v>72</v>
      </c>
      <c r="AR1613" t="s">
        <v>72</v>
      </c>
      <c r="AS1613">
        <v>2916</v>
      </c>
      <c r="AT1613" s="4">
        <v>42678</v>
      </c>
      <c r="AU1613" t="s">
        <v>73</v>
      </c>
      <c r="AV1613">
        <v>2916</v>
      </c>
      <c r="AW1613" s="4">
        <v>42678</v>
      </c>
      <c r="BD1613">
        <v>0</v>
      </c>
      <c r="BN1613" t="s">
        <v>74</v>
      </c>
    </row>
    <row r="1614" spans="1:66" hidden="1">
      <c r="A1614">
        <v>100486</v>
      </c>
      <c r="B1614" s="3" t="s">
        <v>187</v>
      </c>
      <c r="C1614" s="1">
        <v>43300101</v>
      </c>
      <c r="D1614" t="s">
        <v>67</v>
      </c>
      <c r="H1614" t="str">
        <f t="shared" ref="H1614:I1624" si="154">"11575580151"</f>
        <v>11575580151</v>
      </c>
      <c r="I1614" t="str">
        <f t="shared" si="154"/>
        <v>11575580151</v>
      </c>
      <c r="K1614" t="str">
        <f>""</f>
        <v/>
      </c>
      <c r="M1614" t="s">
        <v>68</v>
      </c>
      <c r="N1614" t="str">
        <f t="shared" si="153"/>
        <v>FOR</v>
      </c>
      <c r="O1614" t="s">
        <v>69</v>
      </c>
      <c r="P1614" s="3" t="s">
        <v>70</v>
      </c>
      <c r="Q1614">
        <v>2015</v>
      </c>
      <c r="R1614" s="2">
        <v>42062</v>
      </c>
      <c r="S1614" s="2">
        <v>42110</v>
      </c>
      <c r="T1614" s="2">
        <v>42110</v>
      </c>
      <c r="U1614" s="2">
        <v>42170</v>
      </c>
      <c r="V1614" t="s">
        <v>71</v>
      </c>
      <c r="W1614" t="str">
        <f>"                3715"</f>
        <v xml:space="preserve">                3715</v>
      </c>
      <c r="X1614">
        <v>620.25</v>
      </c>
      <c r="Y1614">
        <v>0</v>
      </c>
      <c r="Z1614"/>
      <c r="AB1614"/>
      <c r="AC1614">
        <v>508.4</v>
      </c>
      <c r="AD1614">
        <v>238</v>
      </c>
      <c r="AE1614" s="1">
        <v>120999.2</v>
      </c>
      <c r="AF1614">
        <v>0</v>
      </c>
      <c r="AJ1614">
        <v>0</v>
      </c>
      <c r="AK1614">
        <v>0</v>
      </c>
      <c r="AL1614">
        <v>0</v>
      </c>
      <c r="AM1614">
        <v>0</v>
      </c>
      <c r="AN1614">
        <v>0</v>
      </c>
      <c r="AO1614">
        <v>0</v>
      </c>
      <c r="AP1614" s="2">
        <v>42746</v>
      </c>
      <c r="AQ1614" t="s">
        <v>72</v>
      </c>
      <c r="AR1614" t="s">
        <v>72</v>
      </c>
      <c r="AS1614">
        <v>325</v>
      </c>
      <c r="AT1614" s="4">
        <v>42408</v>
      </c>
      <c r="AU1614" t="s">
        <v>73</v>
      </c>
      <c r="AV1614">
        <v>325</v>
      </c>
      <c r="AW1614" s="4">
        <v>42408</v>
      </c>
      <c r="BD1614">
        <v>0</v>
      </c>
      <c r="BN1614" t="s">
        <v>74</v>
      </c>
    </row>
    <row r="1615" spans="1:66" hidden="1">
      <c r="A1615">
        <v>100486</v>
      </c>
      <c r="B1615" s="3" t="s">
        <v>187</v>
      </c>
      <c r="C1615" s="1">
        <v>43300101</v>
      </c>
      <c r="D1615" t="s">
        <v>67</v>
      </c>
      <c r="H1615" t="str">
        <f t="shared" si="154"/>
        <v>11575580151</v>
      </c>
      <c r="I1615" t="str">
        <f t="shared" si="154"/>
        <v>11575580151</v>
      </c>
      <c r="K1615" t="str">
        <f>""</f>
        <v/>
      </c>
      <c r="M1615" t="s">
        <v>68</v>
      </c>
      <c r="N1615" t="str">
        <f t="shared" si="153"/>
        <v>FOR</v>
      </c>
      <c r="O1615" t="s">
        <v>69</v>
      </c>
      <c r="P1615" s="3" t="s">
        <v>75</v>
      </c>
      <c r="Q1615">
        <v>2015</v>
      </c>
      <c r="R1615" s="2">
        <v>42174</v>
      </c>
      <c r="S1615" s="2">
        <v>42205</v>
      </c>
      <c r="T1615" s="2">
        <v>42205</v>
      </c>
      <c r="U1615" s="2">
        <v>42265</v>
      </c>
      <c r="V1615" t="s">
        <v>71</v>
      </c>
      <c r="W1615" t="str">
        <f>"              011557"</f>
        <v xml:space="preserve">              011557</v>
      </c>
      <c r="X1615" s="1">
        <v>1855.62</v>
      </c>
      <c r="Y1615">
        <v>0</v>
      </c>
      <c r="Z1615"/>
      <c r="AB1615"/>
      <c r="AC1615" s="1">
        <v>1521</v>
      </c>
      <c r="AD1615">
        <v>222</v>
      </c>
      <c r="AE1615" s="1">
        <v>337662</v>
      </c>
      <c r="AF1615">
        <v>0</v>
      </c>
      <c r="AJ1615">
        <v>0</v>
      </c>
      <c r="AK1615">
        <v>0</v>
      </c>
      <c r="AL1615">
        <v>0</v>
      </c>
      <c r="AM1615">
        <v>0</v>
      </c>
      <c r="AN1615">
        <v>0</v>
      </c>
      <c r="AO1615">
        <v>0</v>
      </c>
      <c r="AP1615" s="2">
        <v>42746</v>
      </c>
      <c r="AQ1615" t="s">
        <v>72</v>
      </c>
      <c r="AR1615" t="s">
        <v>72</v>
      </c>
      <c r="AS1615">
        <v>1200</v>
      </c>
      <c r="AT1615" s="4">
        <v>42487</v>
      </c>
      <c r="AU1615" t="s">
        <v>73</v>
      </c>
      <c r="AV1615">
        <v>1200</v>
      </c>
      <c r="AW1615" s="4">
        <v>42487</v>
      </c>
      <c r="BD1615">
        <v>0</v>
      </c>
      <c r="BN1615" t="s">
        <v>74</v>
      </c>
    </row>
    <row r="1616" spans="1:66" hidden="1">
      <c r="A1616">
        <v>100486</v>
      </c>
      <c r="B1616" s="3" t="s">
        <v>187</v>
      </c>
      <c r="C1616" s="1">
        <v>43300101</v>
      </c>
      <c r="D1616" t="s">
        <v>67</v>
      </c>
      <c r="H1616" t="str">
        <f t="shared" si="154"/>
        <v>11575580151</v>
      </c>
      <c r="I1616" t="str">
        <f t="shared" si="154"/>
        <v>11575580151</v>
      </c>
      <c r="K1616" t="str">
        <f>""</f>
        <v/>
      </c>
      <c r="M1616" t="s">
        <v>68</v>
      </c>
      <c r="N1616" t="str">
        <f t="shared" si="153"/>
        <v>FOR</v>
      </c>
      <c r="O1616" t="s">
        <v>69</v>
      </c>
      <c r="P1616" s="3" t="s">
        <v>75</v>
      </c>
      <c r="Q1616">
        <v>2015</v>
      </c>
      <c r="R1616" s="2">
        <v>42205</v>
      </c>
      <c r="S1616" s="2">
        <v>42228</v>
      </c>
      <c r="T1616" s="2">
        <v>42219</v>
      </c>
      <c r="U1616" s="2">
        <v>42279</v>
      </c>
      <c r="V1616" t="s">
        <v>71</v>
      </c>
      <c r="W1616" t="str">
        <f>"              013916"</f>
        <v xml:space="preserve">              013916</v>
      </c>
      <c r="X1616">
        <v>516.05999999999995</v>
      </c>
      <c r="Y1616">
        <v>0</v>
      </c>
      <c r="Z1616"/>
      <c r="AB1616"/>
      <c r="AC1616">
        <v>423</v>
      </c>
      <c r="AD1616">
        <v>287</v>
      </c>
      <c r="AE1616" s="1">
        <v>121401</v>
      </c>
      <c r="AF1616">
        <v>0</v>
      </c>
      <c r="AJ1616">
        <v>0</v>
      </c>
      <c r="AK1616">
        <v>0</v>
      </c>
      <c r="AL1616">
        <v>0</v>
      </c>
      <c r="AM1616">
        <v>0</v>
      </c>
      <c r="AN1616">
        <v>0</v>
      </c>
      <c r="AO1616">
        <v>0</v>
      </c>
      <c r="AP1616" s="2">
        <v>42746</v>
      </c>
      <c r="AQ1616" t="s">
        <v>72</v>
      </c>
      <c r="AR1616" t="s">
        <v>72</v>
      </c>
      <c r="AS1616">
        <v>1844</v>
      </c>
      <c r="AT1616" s="4">
        <v>42566</v>
      </c>
      <c r="AU1616" t="s">
        <v>73</v>
      </c>
      <c r="AV1616">
        <v>1844</v>
      </c>
      <c r="AW1616" s="4">
        <v>42566</v>
      </c>
      <c r="BD1616">
        <v>0</v>
      </c>
      <c r="BN1616" t="s">
        <v>74</v>
      </c>
    </row>
    <row r="1617" spans="1:66" hidden="1">
      <c r="A1617">
        <v>100486</v>
      </c>
      <c r="B1617" s="3" t="s">
        <v>187</v>
      </c>
      <c r="C1617" s="1">
        <v>43300101</v>
      </c>
      <c r="D1617" t="s">
        <v>67</v>
      </c>
      <c r="H1617" t="str">
        <f t="shared" si="154"/>
        <v>11575580151</v>
      </c>
      <c r="I1617" t="str">
        <f t="shared" si="154"/>
        <v>11575580151</v>
      </c>
      <c r="K1617" t="str">
        <f>""</f>
        <v/>
      </c>
      <c r="M1617" t="s">
        <v>68</v>
      </c>
      <c r="N1617" t="str">
        <f t="shared" si="153"/>
        <v>FOR</v>
      </c>
      <c r="O1617" t="s">
        <v>69</v>
      </c>
      <c r="P1617" s="3" t="s">
        <v>75</v>
      </c>
      <c r="Q1617">
        <v>2015</v>
      </c>
      <c r="R1617" s="2">
        <v>42205</v>
      </c>
      <c r="S1617" s="2">
        <v>42219</v>
      </c>
      <c r="T1617" s="2">
        <v>42219</v>
      </c>
      <c r="U1617" s="2">
        <v>42279</v>
      </c>
      <c r="V1617" t="s">
        <v>71</v>
      </c>
      <c r="W1617" t="str">
        <f>"              014214"</f>
        <v xml:space="preserve">              014214</v>
      </c>
      <c r="X1617">
        <v>620.25</v>
      </c>
      <c r="Y1617">
        <v>0</v>
      </c>
      <c r="Z1617"/>
      <c r="AB1617"/>
      <c r="AC1617">
        <v>508.4</v>
      </c>
      <c r="AD1617">
        <v>287</v>
      </c>
      <c r="AE1617" s="1">
        <v>145910.79999999999</v>
      </c>
      <c r="AF1617">
        <v>0</v>
      </c>
      <c r="AJ1617">
        <v>0</v>
      </c>
      <c r="AK1617">
        <v>0</v>
      </c>
      <c r="AL1617">
        <v>0</v>
      </c>
      <c r="AM1617">
        <v>0</v>
      </c>
      <c r="AN1617">
        <v>0</v>
      </c>
      <c r="AO1617">
        <v>0</v>
      </c>
      <c r="AP1617" s="2">
        <v>42746</v>
      </c>
      <c r="AQ1617" t="s">
        <v>72</v>
      </c>
      <c r="AR1617" t="s">
        <v>72</v>
      </c>
      <c r="AS1617">
        <v>1844</v>
      </c>
      <c r="AT1617" s="4">
        <v>42566</v>
      </c>
      <c r="AU1617" t="s">
        <v>73</v>
      </c>
      <c r="AV1617">
        <v>1844</v>
      </c>
      <c r="AW1617" s="4">
        <v>42566</v>
      </c>
      <c r="BD1617">
        <v>0</v>
      </c>
      <c r="BN1617" t="s">
        <v>74</v>
      </c>
    </row>
    <row r="1618" spans="1:66" hidden="1">
      <c r="A1618">
        <v>100486</v>
      </c>
      <c r="B1618" s="3" t="s">
        <v>187</v>
      </c>
      <c r="C1618" s="1">
        <v>43300101</v>
      </c>
      <c r="D1618" t="s">
        <v>67</v>
      </c>
      <c r="H1618" t="str">
        <f t="shared" si="154"/>
        <v>11575580151</v>
      </c>
      <c r="I1618" t="str">
        <f t="shared" si="154"/>
        <v>11575580151</v>
      </c>
      <c r="K1618" t="str">
        <f>""</f>
        <v/>
      </c>
      <c r="M1618" t="s">
        <v>68</v>
      </c>
      <c r="N1618" t="str">
        <f t="shared" si="153"/>
        <v>FOR</v>
      </c>
      <c r="O1618" t="s">
        <v>69</v>
      </c>
      <c r="P1618" s="3" t="s">
        <v>75</v>
      </c>
      <c r="Q1618">
        <v>2015</v>
      </c>
      <c r="R1618" s="2">
        <v>42247</v>
      </c>
      <c r="S1618" s="2">
        <v>42312</v>
      </c>
      <c r="T1618" s="2">
        <v>42311</v>
      </c>
      <c r="U1618" s="2">
        <v>42371</v>
      </c>
      <c r="V1618" t="s">
        <v>71</v>
      </c>
      <c r="W1618" t="str">
        <f>"              016782"</f>
        <v xml:space="preserve">              016782</v>
      </c>
      <c r="X1618">
        <v>620.25</v>
      </c>
      <c r="Y1618">
        <v>0</v>
      </c>
      <c r="Z1618"/>
      <c r="AB1618"/>
      <c r="AC1618">
        <v>508.4</v>
      </c>
      <c r="AD1618">
        <v>208</v>
      </c>
      <c r="AE1618" s="1">
        <v>105747.2</v>
      </c>
      <c r="AF1618">
        <v>0</v>
      </c>
      <c r="AJ1618">
        <v>0</v>
      </c>
      <c r="AK1618">
        <v>0</v>
      </c>
      <c r="AL1618">
        <v>0</v>
      </c>
      <c r="AM1618">
        <v>0</v>
      </c>
      <c r="AN1618">
        <v>0</v>
      </c>
      <c r="AO1618">
        <v>0</v>
      </c>
      <c r="AP1618" s="2">
        <v>42746</v>
      </c>
      <c r="AQ1618" t="s">
        <v>72</v>
      </c>
      <c r="AR1618" t="s">
        <v>72</v>
      </c>
      <c r="AS1618">
        <v>2022</v>
      </c>
      <c r="AT1618" s="4">
        <v>42579</v>
      </c>
      <c r="AU1618" t="s">
        <v>73</v>
      </c>
      <c r="AV1618">
        <v>2022</v>
      </c>
      <c r="AW1618" s="4">
        <v>42579</v>
      </c>
      <c r="BD1618">
        <v>0</v>
      </c>
      <c r="BN1618" t="s">
        <v>74</v>
      </c>
    </row>
    <row r="1619" spans="1:66" hidden="1">
      <c r="A1619">
        <v>100486</v>
      </c>
      <c r="B1619" s="3" t="s">
        <v>187</v>
      </c>
      <c r="C1619" s="1">
        <v>43300101</v>
      </c>
      <c r="D1619" t="s">
        <v>67</v>
      </c>
      <c r="H1619" t="str">
        <f t="shared" si="154"/>
        <v>11575580151</v>
      </c>
      <c r="I1619" t="str">
        <f t="shared" si="154"/>
        <v>11575580151</v>
      </c>
      <c r="K1619" t="str">
        <f>""</f>
        <v/>
      </c>
      <c r="M1619" t="s">
        <v>68</v>
      </c>
      <c r="N1619" t="str">
        <f t="shared" si="153"/>
        <v>FOR</v>
      </c>
      <c r="O1619" t="s">
        <v>69</v>
      </c>
      <c r="P1619" s="3" t="s">
        <v>75</v>
      </c>
      <c r="Q1619">
        <v>2015</v>
      </c>
      <c r="R1619" s="2">
        <v>42328</v>
      </c>
      <c r="S1619" s="2">
        <v>42333</v>
      </c>
      <c r="T1619" s="2">
        <v>42332</v>
      </c>
      <c r="U1619" s="2">
        <v>42392</v>
      </c>
      <c r="V1619" t="s">
        <v>71</v>
      </c>
      <c r="W1619" t="str">
        <f>"              023779"</f>
        <v xml:space="preserve">              023779</v>
      </c>
      <c r="X1619">
        <v>620.25</v>
      </c>
      <c r="Y1619">
        <v>0</v>
      </c>
      <c r="Z1619"/>
      <c r="AB1619"/>
      <c r="AC1619">
        <v>508.4</v>
      </c>
      <c r="AD1619">
        <v>187</v>
      </c>
      <c r="AE1619" s="1">
        <v>95070.8</v>
      </c>
      <c r="AF1619">
        <v>0</v>
      </c>
      <c r="AJ1619">
        <v>0</v>
      </c>
      <c r="AK1619">
        <v>0</v>
      </c>
      <c r="AL1619">
        <v>0</v>
      </c>
      <c r="AM1619">
        <v>0</v>
      </c>
      <c r="AN1619">
        <v>0</v>
      </c>
      <c r="AO1619">
        <v>0</v>
      </c>
      <c r="AP1619" s="2">
        <v>42746</v>
      </c>
      <c r="AQ1619" t="s">
        <v>72</v>
      </c>
      <c r="AR1619" t="s">
        <v>72</v>
      </c>
      <c r="AS1619">
        <v>2022</v>
      </c>
      <c r="AT1619" s="4">
        <v>42579</v>
      </c>
      <c r="AU1619" t="s">
        <v>73</v>
      </c>
      <c r="AV1619">
        <v>2022</v>
      </c>
      <c r="AW1619" s="4">
        <v>42579</v>
      </c>
      <c r="BD1619">
        <v>0</v>
      </c>
      <c r="BN1619" t="s">
        <v>74</v>
      </c>
    </row>
    <row r="1620" spans="1:66">
      <c r="A1620">
        <v>100486</v>
      </c>
      <c r="B1620" s="3" t="s">
        <v>187</v>
      </c>
      <c r="C1620" s="1">
        <v>43300101</v>
      </c>
      <c r="D1620" t="s">
        <v>67</v>
      </c>
      <c r="H1620" t="str">
        <f t="shared" si="154"/>
        <v>11575580151</v>
      </c>
      <c r="I1620" t="str">
        <f t="shared" si="154"/>
        <v>11575580151</v>
      </c>
      <c r="K1620" t="str">
        <f>""</f>
        <v/>
      </c>
      <c r="M1620" t="s">
        <v>68</v>
      </c>
      <c r="N1620" t="str">
        <f t="shared" si="153"/>
        <v>FOR</v>
      </c>
      <c r="O1620" t="s">
        <v>69</v>
      </c>
      <c r="P1620" s="3" t="s">
        <v>75</v>
      </c>
      <c r="Q1620">
        <v>2016</v>
      </c>
      <c r="R1620" s="2">
        <v>42391</v>
      </c>
      <c r="S1620" s="2">
        <v>42410</v>
      </c>
      <c r="T1620" s="2">
        <v>42405</v>
      </c>
      <c r="U1620" s="2">
        <v>42465</v>
      </c>
      <c r="V1620" t="s">
        <v>71</v>
      </c>
      <c r="W1620" t="str">
        <f>"              000788"</f>
        <v xml:space="preserve">              000788</v>
      </c>
      <c r="X1620">
        <v>620.25</v>
      </c>
      <c r="Y1620">
        <v>0</v>
      </c>
      <c r="Z1620" s="3">
        <v>508.4</v>
      </c>
      <c r="AA1620">
        <v>258</v>
      </c>
      <c r="AB1620" s="5">
        <v>131167.20000000001</v>
      </c>
      <c r="AC1620">
        <v>508.4</v>
      </c>
      <c r="AD1620">
        <v>258</v>
      </c>
      <c r="AE1620" s="1">
        <v>131167.20000000001</v>
      </c>
      <c r="AF1620">
        <v>111.85</v>
      </c>
      <c r="AJ1620">
        <v>0</v>
      </c>
      <c r="AK1620">
        <v>0</v>
      </c>
      <c r="AL1620">
        <v>0</v>
      </c>
      <c r="AM1620">
        <v>620.25</v>
      </c>
      <c r="AN1620">
        <v>620.25</v>
      </c>
      <c r="AO1620">
        <v>620.25</v>
      </c>
      <c r="AP1620" s="2">
        <v>42746</v>
      </c>
      <c r="AQ1620" t="s">
        <v>72</v>
      </c>
      <c r="AR1620" t="s">
        <v>72</v>
      </c>
      <c r="AS1620">
        <v>3624</v>
      </c>
      <c r="AT1620" s="4">
        <v>42723</v>
      </c>
      <c r="AU1620" t="s">
        <v>73</v>
      </c>
      <c r="AV1620">
        <v>3624</v>
      </c>
      <c r="AW1620" s="4">
        <v>42723</v>
      </c>
      <c r="BD1620">
        <v>111.85</v>
      </c>
      <c r="BN1620" t="s">
        <v>74</v>
      </c>
    </row>
    <row r="1621" spans="1:66">
      <c r="A1621">
        <v>100486</v>
      </c>
      <c r="B1621" s="3" t="s">
        <v>187</v>
      </c>
      <c r="C1621" s="1">
        <v>43300101</v>
      </c>
      <c r="D1621" t="s">
        <v>67</v>
      </c>
      <c r="H1621" t="str">
        <f t="shared" si="154"/>
        <v>11575580151</v>
      </c>
      <c r="I1621" t="str">
        <f t="shared" si="154"/>
        <v>11575580151</v>
      </c>
      <c r="K1621" t="str">
        <f>""</f>
        <v/>
      </c>
      <c r="M1621" t="s">
        <v>68</v>
      </c>
      <c r="N1621" t="str">
        <f t="shared" si="153"/>
        <v>FOR</v>
      </c>
      <c r="O1621" t="s">
        <v>69</v>
      </c>
      <c r="P1621" s="3" t="s">
        <v>75</v>
      </c>
      <c r="Q1621">
        <v>2016</v>
      </c>
      <c r="R1621" s="2">
        <v>42453</v>
      </c>
      <c r="S1621" s="2">
        <v>42530</v>
      </c>
      <c r="T1621" s="2">
        <v>42529</v>
      </c>
      <c r="U1621" s="2">
        <v>42589</v>
      </c>
      <c r="V1621" t="s">
        <v>71</v>
      </c>
      <c r="W1621" t="str">
        <f>"              006793"</f>
        <v xml:space="preserve">              006793</v>
      </c>
      <c r="X1621">
        <v>620.25</v>
      </c>
      <c r="Y1621">
        <v>0</v>
      </c>
      <c r="Z1621" s="3">
        <v>508.4</v>
      </c>
      <c r="AA1621">
        <v>134</v>
      </c>
      <c r="AB1621" s="5">
        <v>68125.600000000006</v>
      </c>
      <c r="AC1621">
        <v>508.4</v>
      </c>
      <c r="AD1621">
        <v>134</v>
      </c>
      <c r="AE1621" s="1">
        <v>68125.600000000006</v>
      </c>
      <c r="AF1621">
        <v>111.85</v>
      </c>
      <c r="AJ1621">
        <v>0</v>
      </c>
      <c r="AK1621">
        <v>0</v>
      </c>
      <c r="AL1621">
        <v>0</v>
      </c>
      <c r="AM1621">
        <v>620.25</v>
      </c>
      <c r="AN1621">
        <v>620.25</v>
      </c>
      <c r="AO1621">
        <v>620.25</v>
      </c>
      <c r="AP1621" s="2">
        <v>42746</v>
      </c>
      <c r="AQ1621" t="s">
        <v>72</v>
      </c>
      <c r="AR1621" t="s">
        <v>72</v>
      </c>
      <c r="AS1621">
        <v>3624</v>
      </c>
      <c r="AT1621" s="4">
        <v>42723</v>
      </c>
      <c r="AU1621" t="s">
        <v>73</v>
      </c>
      <c r="AV1621">
        <v>3624</v>
      </c>
      <c r="AW1621" s="4">
        <v>42723</v>
      </c>
      <c r="BB1621">
        <v>111.85</v>
      </c>
      <c r="BD1621">
        <v>0</v>
      </c>
      <c r="BN1621" t="s">
        <v>74</v>
      </c>
    </row>
    <row r="1622" spans="1:66">
      <c r="A1622">
        <v>100486</v>
      </c>
      <c r="B1622" s="3" t="s">
        <v>187</v>
      </c>
      <c r="C1622" s="1">
        <v>43300101</v>
      </c>
      <c r="D1622" t="s">
        <v>67</v>
      </c>
      <c r="H1622" t="str">
        <f t="shared" si="154"/>
        <v>11575580151</v>
      </c>
      <c r="I1622" t="str">
        <f t="shared" si="154"/>
        <v>11575580151</v>
      </c>
      <c r="K1622" t="str">
        <f>""</f>
        <v/>
      </c>
      <c r="M1622" t="s">
        <v>68</v>
      </c>
      <c r="N1622" t="str">
        <f t="shared" si="153"/>
        <v>FOR</v>
      </c>
      <c r="O1622" t="s">
        <v>69</v>
      </c>
      <c r="P1622" s="3" t="s">
        <v>75</v>
      </c>
      <c r="Q1622">
        <v>2016</v>
      </c>
      <c r="R1622" s="2">
        <v>42496</v>
      </c>
      <c r="S1622" s="2">
        <v>42507</v>
      </c>
      <c r="T1622" s="2">
        <v>42507</v>
      </c>
      <c r="U1622" s="2">
        <v>42567</v>
      </c>
      <c r="V1622" t="s">
        <v>71</v>
      </c>
      <c r="W1622" t="str">
        <f>"              010739"</f>
        <v xml:space="preserve">              010739</v>
      </c>
      <c r="X1622">
        <v>415.88</v>
      </c>
      <c r="Y1622">
        <v>0</v>
      </c>
      <c r="Z1622" s="3">
        <v>340.88</v>
      </c>
      <c r="AA1622">
        <v>156</v>
      </c>
      <c r="AB1622" s="5">
        <v>53177.279999999999</v>
      </c>
      <c r="AC1622">
        <v>340.88</v>
      </c>
      <c r="AD1622">
        <v>156</v>
      </c>
      <c r="AE1622" s="1">
        <v>53177.279999999999</v>
      </c>
      <c r="AF1622">
        <v>75</v>
      </c>
      <c r="AJ1622">
        <v>0</v>
      </c>
      <c r="AK1622">
        <v>0</v>
      </c>
      <c r="AL1622">
        <v>0</v>
      </c>
      <c r="AM1622">
        <v>415.88</v>
      </c>
      <c r="AN1622">
        <v>415.88</v>
      </c>
      <c r="AO1622">
        <v>415.88</v>
      </c>
      <c r="AP1622" s="2">
        <v>42746</v>
      </c>
      <c r="AQ1622" t="s">
        <v>72</v>
      </c>
      <c r="AR1622" t="s">
        <v>72</v>
      </c>
      <c r="AS1622">
        <v>3624</v>
      </c>
      <c r="AT1622" s="4">
        <v>42723</v>
      </c>
      <c r="AU1622" t="s">
        <v>73</v>
      </c>
      <c r="AV1622">
        <v>3624</v>
      </c>
      <c r="AW1622" s="4">
        <v>42723</v>
      </c>
      <c r="BC1622">
        <v>75</v>
      </c>
      <c r="BD1622">
        <v>0</v>
      </c>
      <c r="BN1622" t="s">
        <v>74</v>
      </c>
    </row>
    <row r="1623" spans="1:66">
      <c r="A1623">
        <v>100486</v>
      </c>
      <c r="B1623" s="3" t="s">
        <v>187</v>
      </c>
      <c r="C1623" s="1">
        <v>43300101</v>
      </c>
      <c r="D1623" t="s">
        <v>67</v>
      </c>
      <c r="H1623" t="str">
        <f t="shared" si="154"/>
        <v>11575580151</v>
      </c>
      <c r="I1623" t="str">
        <f t="shared" si="154"/>
        <v>11575580151</v>
      </c>
      <c r="K1623" t="str">
        <f>""</f>
        <v/>
      </c>
      <c r="M1623" t="s">
        <v>68</v>
      </c>
      <c r="N1623" t="str">
        <f t="shared" si="153"/>
        <v>FOR</v>
      </c>
      <c r="O1623" t="s">
        <v>69</v>
      </c>
      <c r="P1623" s="3" t="s">
        <v>75</v>
      </c>
      <c r="Q1623">
        <v>2016</v>
      </c>
      <c r="R1623" s="2">
        <v>42538</v>
      </c>
      <c r="S1623" s="2">
        <v>42563</v>
      </c>
      <c r="T1623" s="2">
        <v>42558</v>
      </c>
      <c r="U1623" s="2">
        <v>42618</v>
      </c>
      <c r="V1623" t="s">
        <v>71</v>
      </c>
      <c r="W1623" t="str">
        <f>"              014475"</f>
        <v xml:space="preserve">              014475</v>
      </c>
      <c r="X1623">
        <v>620.25</v>
      </c>
      <c r="Y1623">
        <v>0</v>
      </c>
      <c r="Z1623" s="3">
        <v>508.4</v>
      </c>
      <c r="AA1623">
        <v>105</v>
      </c>
      <c r="AB1623" s="5">
        <v>53382</v>
      </c>
      <c r="AC1623">
        <v>508.4</v>
      </c>
      <c r="AD1623">
        <v>105</v>
      </c>
      <c r="AE1623" s="1">
        <v>53382</v>
      </c>
      <c r="AF1623">
        <v>111.85</v>
      </c>
      <c r="AJ1623">
        <v>0</v>
      </c>
      <c r="AK1623">
        <v>0</v>
      </c>
      <c r="AL1623">
        <v>0</v>
      </c>
      <c r="AM1623">
        <v>620.25</v>
      </c>
      <c r="AN1623">
        <v>620.25</v>
      </c>
      <c r="AO1623">
        <v>620.25</v>
      </c>
      <c r="AP1623" s="2">
        <v>42746</v>
      </c>
      <c r="AQ1623" t="s">
        <v>72</v>
      </c>
      <c r="AR1623" t="s">
        <v>72</v>
      </c>
      <c r="AS1623">
        <v>3624</v>
      </c>
      <c r="AT1623" s="4">
        <v>42723</v>
      </c>
      <c r="AU1623" t="s">
        <v>73</v>
      </c>
      <c r="AV1623">
        <v>3624</v>
      </c>
      <c r="AW1623" s="4">
        <v>42723</v>
      </c>
      <c r="BA1623">
        <v>111.85</v>
      </c>
      <c r="BD1623">
        <v>0</v>
      </c>
      <c r="BN1623" t="s">
        <v>74</v>
      </c>
    </row>
    <row r="1624" spans="1:66">
      <c r="A1624">
        <v>100486</v>
      </c>
      <c r="B1624" s="3" t="s">
        <v>187</v>
      </c>
      <c r="C1624" s="1">
        <v>43300101</v>
      </c>
      <c r="D1624" t="s">
        <v>67</v>
      </c>
      <c r="H1624" t="str">
        <f t="shared" si="154"/>
        <v>11575580151</v>
      </c>
      <c r="I1624" t="str">
        <f t="shared" si="154"/>
        <v>11575580151</v>
      </c>
      <c r="K1624" t="str">
        <f>""</f>
        <v/>
      </c>
      <c r="M1624" t="s">
        <v>68</v>
      </c>
      <c r="N1624" t="str">
        <f t="shared" si="153"/>
        <v>FOR</v>
      </c>
      <c r="O1624" t="s">
        <v>69</v>
      </c>
      <c r="P1624" s="3" t="s">
        <v>75</v>
      </c>
      <c r="Q1624">
        <v>2016</v>
      </c>
      <c r="R1624" s="2">
        <v>42580</v>
      </c>
      <c r="S1624" s="2">
        <v>42584</v>
      </c>
      <c r="T1624" s="2">
        <v>42584</v>
      </c>
      <c r="U1624" s="2">
        <v>42644</v>
      </c>
      <c r="V1624" t="s">
        <v>71</v>
      </c>
      <c r="W1624" t="str">
        <f>"              018919"</f>
        <v xml:space="preserve">              018919</v>
      </c>
      <c r="X1624">
        <v>620.25</v>
      </c>
      <c r="Y1624">
        <v>0</v>
      </c>
      <c r="Z1624" s="3">
        <v>508.4</v>
      </c>
      <c r="AA1624">
        <v>79</v>
      </c>
      <c r="AB1624" s="5">
        <v>40163.599999999999</v>
      </c>
      <c r="AC1624">
        <v>508.4</v>
      </c>
      <c r="AD1624">
        <v>79</v>
      </c>
      <c r="AE1624" s="1">
        <v>40163.599999999999</v>
      </c>
      <c r="AF1624">
        <v>111.85</v>
      </c>
      <c r="AJ1624">
        <v>0</v>
      </c>
      <c r="AK1624">
        <v>0</v>
      </c>
      <c r="AL1624">
        <v>0</v>
      </c>
      <c r="AM1624">
        <v>620.25</v>
      </c>
      <c r="AN1624">
        <v>620.25</v>
      </c>
      <c r="AO1624">
        <v>620.25</v>
      </c>
      <c r="AP1624" s="2">
        <v>42746</v>
      </c>
      <c r="AQ1624" t="s">
        <v>72</v>
      </c>
      <c r="AR1624" t="s">
        <v>72</v>
      </c>
      <c r="AS1624">
        <v>3624</v>
      </c>
      <c r="AT1624" s="4">
        <v>42723</v>
      </c>
      <c r="AU1624" t="s">
        <v>73</v>
      </c>
      <c r="AV1624">
        <v>3624</v>
      </c>
      <c r="AW1624" s="4">
        <v>42723</v>
      </c>
      <c r="AZ1624">
        <v>111.85</v>
      </c>
      <c r="BD1624">
        <v>0</v>
      </c>
      <c r="BN1624" t="s">
        <v>74</v>
      </c>
    </row>
    <row r="1625" spans="1:66" hidden="1">
      <c r="A1625">
        <v>100491</v>
      </c>
      <c r="B1625" s="3" t="s">
        <v>188</v>
      </c>
      <c r="C1625" s="1">
        <v>43300101</v>
      </c>
      <c r="D1625" t="s">
        <v>67</v>
      </c>
      <c r="H1625" t="str">
        <f>"00175410265"</f>
        <v>00175410265</v>
      </c>
      <c r="I1625" t="str">
        <f>"00175410265"</f>
        <v>00175410265</v>
      </c>
      <c r="K1625" t="str">
        <f>""</f>
        <v/>
      </c>
      <c r="M1625" t="s">
        <v>68</v>
      </c>
      <c r="N1625" t="str">
        <f t="shared" si="153"/>
        <v>FOR</v>
      </c>
      <c r="O1625" t="s">
        <v>69</v>
      </c>
      <c r="P1625" s="3" t="s">
        <v>75</v>
      </c>
      <c r="Q1625">
        <v>2015</v>
      </c>
      <c r="R1625" s="2">
        <v>42111</v>
      </c>
      <c r="S1625" s="2">
        <v>42128</v>
      </c>
      <c r="T1625" s="2">
        <v>42123</v>
      </c>
      <c r="U1625" s="2">
        <v>42183</v>
      </c>
      <c r="V1625" t="s">
        <v>71</v>
      </c>
      <c r="W1625" t="str">
        <f>"               184/L"</f>
        <v xml:space="preserve">               184/L</v>
      </c>
      <c r="X1625" s="1">
        <v>1457.17</v>
      </c>
      <c r="Y1625">
        <v>0</v>
      </c>
      <c r="Z1625"/>
      <c r="AB1625"/>
      <c r="AC1625" s="1">
        <v>1194.4000000000001</v>
      </c>
      <c r="AD1625">
        <v>233</v>
      </c>
      <c r="AE1625" s="1">
        <v>278295.2</v>
      </c>
      <c r="AF1625">
        <v>0</v>
      </c>
      <c r="AJ1625">
        <v>0</v>
      </c>
      <c r="AK1625">
        <v>0</v>
      </c>
      <c r="AL1625">
        <v>0</v>
      </c>
      <c r="AM1625">
        <v>0</v>
      </c>
      <c r="AN1625">
        <v>0</v>
      </c>
      <c r="AO1625">
        <v>0</v>
      </c>
      <c r="AP1625" s="2">
        <v>42746</v>
      </c>
      <c r="AQ1625" t="s">
        <v>72</v>
      </c>
      <c r="AR1625" t="s">
        <v>72</v>
      </c>
      <c r="AS1625">
        <v>424</v>
      </c>
      <c r="AT1625" s="4">
        <v>42416</v>
      </c>
      <c r="AU1625" t="s">
        <v>73</v>
      </c>
      <c r="AV1625">
        <v>424</v>
      </c>
      <c r="AW1625" s="4">
        <v>42416</v>
      </c>
      <c r="BD1625">
        <v>0</v>
      </c>
      <c r="BN1625" t="s">
        <v>74</v>
      </c>
    </row>
    <row r="1626" spans="1:66" hidden="1">
      <c r="A1626">
        <v>100494</v>
      </c>
      <c r="B1626" s="3" t="s">
        <v>189</v>
      </c>
      <c r="C1626" s="1">
        <v>43300101</v>
      </c>
      <c r="D1626" t="s">
        <v>67</v>
      </c>
      <c r="H1626" t="str">
        <f t="shared" ref="H1626:I1649" si="155">"03524050238"</f>
        <v>03524050238</v>
      </c>
      <c r="I1626" t="str">
        <f t="shared" si="155"/>
        <v>03524050238</v>
      </c>
      <c r="K1626" t="str">
        <f>""</f>
        <v/>
      </c>
      <c r="M1626" t="s">
        <v>68</v>
      </c>
      <c r="N1626" t="str">
        <f t="shared" si="153"/>
        <v>FOR</v>
      </c>
      <c r="O1626" t="s">
        <v>69</v>
      </c>
      <c r="P1626" s="3" t="s">
        <v>70</v>
      </c>
      <c r="Q1626">
        <v>2015</v>
      </c>
      <c r="R1626" s="2">
        <v>42072</v>
      </c>
      <c r="S1626" s="2">
        <v>42097</v>
      </c>
      <c r="T1626" s="2">
        <v>42097</v>
      </c>
      <c r="U1626" s="2">
        <v>42157</v>
      </c>
      <c r="V1626" t="s">
        <v>71</v>
      </c>
      <c r="W1626" t="str">
        <f>"           740380374"</f>
        <v xml:space="preserve">           740380374</v>
      </c>
      <c r="X1626">
        <v>420.9</v>
      </c>
      <c r="Y1626">
        <v>0</v>
      </c>
      <c r="Z1626"/>
      <c r="AB1626"/>
      <c r="AC1626">
        <v>345</v>
      </c>
      <c r="AD1626">
        <v>258</v>
      </c>
      <c r="AE1626" s="1">
        <v>89010</v>
      </c>
      <c r="AF1626">
        <v>0</v>
      </c>
      <c r="AJ1626">
        <v>0</v>
      </c>
      <c r="AK1626">
        <v>0</v>
      </c>
      <c r="AL1626">
        <v>0</v>
      </c>
      <c r="AM1626">
        <v>0</v>
      </c>
      <c r="AN1626">
        <v>0</v>
      </c>
      <c r="AO1626">
        <v>0</v>
      </c>
      <c r="AP1626" s="2">
        <v>42746</v>
      </c>
      <c r="AQ1626" t="s">
        <v>72</v>
      </c>
      <c r="AR1626" t="s">
        <v>72</v>
      </c>
      <c r="AS1626">
        <v>363</v>
      </c>
      <c r="AT1626" s="4">
        <v>42415</v>
      </c>
      <c r="AU1626" t="s">
        <v>73</v>
      </c>
      <c r="AV1626">
        <v>363</v>
      </c>
      <c r="AW1626" s="4">
        <v>42415</v>
      </c>
      <c r="BD1626">
        <v>0</v>
      </c>
      <c r="BN1626" t="s">
        <v>74</v>
      </c>
    </row>
    <row r="1627" spans="1:66" hidden="1">
      <c r="A1627">
        <v>100494</v>
      </c>
      <c r="B1627" s="3" t="s">
        <v>189</v>
      </c>
      <c r="C1627" s="1">
        <v>43300101</v>
      </c>
      <c r="D1627" t="s">
        <v>67</v>
      </c>
      <c r="H1627" t="str">
        <f t="shared" si="155"/>
        <v>03524050238</v>
      </c>
      <c r="I1627" t="str">
        <f t="shared" si="155"/>
        <v>03524050238</v>
      </c>
      <c r="K1627" t="str">
        <f>""</f>
        <v/>
      </c>
      <c r="M1627" t="s">
        <v>68</v>
      </c>
      <c r="N1627" t="str">
        <f t="shared" si="153"/>
        <v>FOR</v>
      </c>
      <c r="O1627" t="s">
        <v>69</v>
      </c>
      <c r="P1627" s="3" t="s">
        <v>75</v>
      </c>
      <c r="Q1627">
        <v>2015</v>
      </c>
      <c r="R1627" s="2">
        <v>42095</v>
      </c>
      <c r="S1627" s="2">
        <v>42115</v>
      </c>
      <c r="T1627" s="2">
        <v>42114</v>
      </c>
      <c r="U1627" s="2">
        <v>42174</v>
      </c>
      <c r="V1627" t="s">
        <v>71</v>
      </c>
      <c r="W1627" t="str">
        <f>"          0740384846"</f>
        <v xml:space="preserve">          0740384846</v>
      </c>
      <c r="X1627">
        <v>664.9</v>
      </c>
      <c r="Y1627">
        <v>0</v>
      </c>
      <c r="Z1627"/>
      <c r="AB1627"/>
      <c r="AC1627">
        <v>545</v>
      </c>
      <c r="AD1627">
        <v>278</v>
      </c>
      <c r="AE1627" s="1">
        <v>151510</v>
      </c>
      <c r="AF1627">
        <v>0</v>
      </c>
      <c r="AJ1627">
        <v>0</v>
      </c>
      <c r="AK1627">
        <v>0</v>
      </c>
      <c r="AL1627">
        <v>0</v>
      </c>
      <c r="AM1627">
        <v>0</v>
      </c>
      <c r="AN1627">
        <v>0</v>
      </c>
      <c r="AO1627">
        <v>0</v>
      </c>
      <c r="AP1627" s="2">
        <v>42746</v>
      </c>
      <c r="AQ1627" t="s">
        <v>72</v>
      </c>
      <c r="AR1627" t="s">
        <v>72</v>
      </c>
      <c r="AS1627">
        <v>795</v>
      </c>
      <c r="AT1627" s="4">
        <v>42452</v>
      </c>
      <c r="AU1627" t="s">
        <v>73</v>
      </c>
      <c r="AV1627">
        <v>795</v>
      </c>
      <c r="AW1627" s="4">
        <v>42452</v>
      </c>
      <c r="BD1627">
        <v>0</v>
      </c>
      <c r="BN1627" t="s">
        <v>74</v>
      </c>
    </row>
    <row r="1628" spans="1:66" hidden="1">
      <c r="A1628">
        <v>100494</v>
      </c>
      <c r="B1628" s="3" t="s">
        <v>189</v>
      </c>
      <c r="C1628" s="1">
        <v>43300101</v>
      </c>
      <c r="D1628" t="s">
        <v>67</v>
      </c>
      <c r="H1628" t="str">
        <f t="shared" si="155"/>
        <v>03524050238</v>
      </c>
      <c r="I1628" t="str">
        <f t="shared" si="155"/>
        <v>03524050238</v>
      </c>
      <c r="K1628" t="str">
        <f>""</f>
        <v/>
      </c>
      <c r="M1628" t="s">
        <v>68</v>
      </c>
      <c r="N1628" t="str">
        <f t="shared" si="153"/>
        <v>FOR</v>
      </c>
      <c r="O1628" t="s">
        <v>69</v>
      </c>
      <c r="P1628" s="3" t="s">
        <v>75</v>
      </c>
      <c r="Q1628">
        <v>2015</v>
      </c>
      <c r="R1628" s="2">
        <v>42102</v>
      </c>
      <c r="S1628" s="2">
        <v>42124</v>
      </c>
      <c r="T1628" s="2">
        <v>42124</v>
      </c>
      <c r="U1628" s="2">
        <v>42184</v>
      </c>
      <c r="V1628" t="s">
        <v>71</v>
      </c>
      <c r="W1628" t="str">
        <f>"          0740385759"</f>
        <v xml:space="preserve">          0740385759</v>
      </c>
      <c r="X1628" s="1">
        <v>13908</v>
      </c>
      <c r="Y1628">
        <v>0</v>
      </c>
      <c r="Z1628"/>
      <c r="AB1628"/>
      <c r="AC1628" s="1">
        <v>11400</v>
      </c>
      <c r="AD1628">
        <v>268</v>
      </c>
      <c r="AE1628" s="1">
        <v>3055200</v>
      </c>
      <c r="AF1628">
        <v>0</v>
      </c>
      <c r="AJ1628">
        <v>0</v>
      </c>
      <c r="AK1628">
        <v>0</v>
      </c>
      <c r="AL1628">
        <v>0</v>
      </c>
      <c r="AM1628">
        <v>0</v>
      </c>
      <c r="AN1628">
        <v>0</v>
      </c>
      <c r="AO1628">
        <v>0</v>
      </c>
      <c r="AP1628" s="2">
        <v>42746</v>
      </c>
      <c r="AQ1628" t="s">
        <v>72</v>
      </c>
      <c r="AR1628" t="s">
        <v>72</v>
      </c>
      <c r="AS1628">
        <v>795</v>
      </c>
      <c r="AT1628" s="4">
        <v>42452</v>
      </c>
      <c r="AU1628" t="s">
        <v>73</v>
      </c>
      <c r="AV1628">
        <v>795</v>
      </c>
      <c r="AW1628" s="4">
        <v>42452</v>
      </c>
      <c r="BD1628">
        <v>0</v>
      </c>
      <c r="BN1628" t="s">
        <v>74</v>
      </c>
    </row>
    <row r="1629" spans="1:66" hidden="1">
      <c r="A1629">
        <v>100494</v>
      </c>
      <c r="B1629" s="3" t="s">
        <v>189</v>
      </c>
      <c r="C1629" s="1">
        <v>43300101</v>
      </c>
      <c r="D1629" t="s">
        <v>67</v>
      </c>
      <c r="H1629" t="str">
        <f t="shared" si="155"/>
        <v>03524050238</v>
      </c>
      <c r="I1629" t="str">
        <f t="shared" si="155"/>
        <v>03524050238</v>
      </c>
      <c r="K1629" t="str">
        <f>""</f>
        <v/>
      </c>
      <c r="M1629" t="s">
        <v>68</v>
      </c>
      <c r="N1629" t="str">
        <f t="shared" si="153"/>
        <v>FOR</v>
      </c>
      <c r="O1629" t="s">
        <v>69</v>
      </c>
      <c r="P1629" s="3" t="s">
        <v>75</v>
      </c>
      <c r="Q1629">
        <v>2015</v>
      </c>
      <c r="R1629" s="2">
        <v>42131</v>
      </c>
      <c r="S1629" s="2">
        <v>42135</v>
      </c>
      <c r="T1629" s="2">
        <v>42133</v>
      </c>
      <c r="U1629" s="2">
        <v>42193</v>
      </c>
      <c r="V1629" t="s">
        <v>71</v>
      </c>
      <c r="W1629" t="str">
        <f>"          0740391219"</f>
        <v xml:space="preserve">          0740391219</v>
      </c>
      <c r="X1629" s="1">
        <v>4172.3999999999996</v>
      </c>
      <c r="Y1629">
        <v>0</v>
      </c>
      <c r="Z1629"/>
      <c r="AB1629"/>
      <c r="AC1629" s="1">
        <v>3420</v>
      </c>
      <c r="AD1629">
        <v>259</v>
      </c>
      <c r="AE1629" s="1">
        <v>885780</v>
      </c>
      <c r="AF1629">
        <v>0</v>
      </c>
      <c r="AJ1629">
        <v>0</v>
      </c>
      <c r="AK1629">
        <v>0</v>
      </c>
      <c r="AL1629">
        <v>0</v>
      </c>
      <c r="AM1629">
        <v>0</v>
      </c>
      <c r="AN1629">
        <v>0</v>
      </c>
      <c r="AO1629">
        <v>0</v>
      </c>
      <c r="AP1629" s="2">
        <v>42746</v>
      </c>
      <c r="AQ1629" t="s">
        <v>72</v>
      </c>
      <c r="AR1629" t="s">
        <v>72</v>
      </c>
      <c r="AS1629">
        <v>789</v>
      </c>
      <c r="AT1629" s="4">
        <v>42452</v>
      </c>
      <c r="AU1629" t="s">
        <v>73</v>
      </c>
      <c r="AV1629">
        <v>789</v>
      </c>
      <c r="AW1629" s="4">
        <v>42452</v>
      </c>
      <c r="BD1629">
        <v>0</v>
      </c>
      <c r="BN1629" t="s">
        <v>74</v>
      </c>
    </row>
    <row r="1630" spans="1:66" hidden="1">
      <c r="A1630">
        <v>100494</v>
      </c>
      <c r="B1630" s="3" t="s">
        <v>189</v>
      </c>
      <c r="C1630" s="1">
        <v>43300101</v>
      </c>
      <c r="D1630" t="s">
        <v>67</v>
      </c>
      <c r="H1630" t="str">
        <f t="shared" si="155"/>
        <v>03524050238</v>
      </c>
      <c r="I1630" t="str">
        <f t="shared" si="155"/>
        <v>03524050238</v>
      </c>
      <c r="K1630" t="str">
        <f>""</f>
        <v/>
      </c>
      <c r="M1630" t="s">
        <v>68</v>
      </c>
      <c r="N1630" t="str">
        <f t="shared" si="153"/>
        <v>FOR</v>
      </c>
      <c r="O1630" t="s">
        <v>69</v>
      </c>
      <c r="P1630" s="3" t="s">
        <v>75</v>
      </c>
      <c r="Q1630">
        <v>2015</v>
      </c>
      <c r="R1630" s="2">
        <v>42137</v>
      </c>
      <c r="S1630" s="2">
        <v>42158</v>
      </c>
      <c r="T1630" s="2">
        <v>42139</v>
      </c>
      <c r="U1630" s="2">
        <v>42199</v>
      </c>
      <c r="V1630" t="s">
        <v>71</v>
      </c>
      <c r="W1630" t="str">
        <f>"          0740392334"</f>
        <v xml:space="preserve">          0740392334</v>
      </c>
      <c r="X1630">
        <v>768.6</v>
      </c>
      <c r="Y1630">
        <v>0</v>
      </c>
      <c r="Z1630"/>
      <c r="AB1630"/>
      <c r="AC1630">
        <v>630</v>
      </c>
      <c r="AD1630">
        <v>253</v>
      </c>
      <c r="AE1630" s="1">
        <v>159390</v>
      </c>
      <c r="AF1630">
        <v>0</v>
      </c>
      <c r="AJ1630">
        <v>0</v>
      </c>
      <c r="AK1630">
        <v>0</v>
      </c>
      <c r="AL1630">
        <v>0</v>
      </c>
      <c r="AM1630">
        <v>0</v>
      </c>
      <c r="AN1630">
        <v>0</v>
      </c>
      <c r="AO1630">
        <v>0</v>
      </c>
      <c r="AP1630" s="2">
        <v>42746</v>
      </c>
      <c r="AQ1630" t="s">
        <v>72</v>
      </c>
      <c r="AR1630" t="s">
        <v>72</v>
      </c>
      <c r="AS1630">
        <v>789</v>
      </c>
      <c r="AT1630" s="4">
        <v>42452</v>
      </c>
      <c r="AU1630" t="s">
        <v>73</v>
      </c>
      <c r="AV1630">
        <v>789</v>
      </c>
      <c r="AW1630" s="4">
        <v>42452</v>
      </c>
      <c r="BD1630">
        <v>0</v>
      </c>
      <c r="BN1630" t="s">
        <v>74</v>
      </c>
    </row>
    <row r="1631" spans="1:66" hidden="1">
      <c r="A1631">
        <v>100494</v>
      </c>
      <c r="B1631" s="3" t="s">
        <v>189</v>
      </c>
      <c r="C1631" s="1">
        <v>43300101</v>
      </c>
      <c r="D1631" t="s">
        <v>67</v>
      </c>
      <c r="H1631" t="str">
        <f t="shared" si="155"/>
        <v>03524050238</v>
      </c>
      <c r="I1631" t="str">
        <f t="shared" si="155"/>
        <v>03524050238</v>
      </c>
      <c r="K1631" t="str">
        <f>""</f>
        <v/>
      </c>
      <c r="M1631" t="s">
        <v>68</v>
      </c>
      <c r="N1631" t="str">
        <f t="shared" si="153"/>
        <v>FOR</v>
      </c>
      <c r="O1631" t="s">
        <v>69</v>
      </c>
      <c r="P1631" s="3" t="s">
        <v>75</v>
      </c>
      <c r="Q1631">
        <v>2015</v>
      </c>
      <c r="R1631" s="2">
        <v>42139</v>
      </c>
      <c r="S1631" s="2">
        <v>42160</v>
      </c>
      <c r="T1631" s="2">
        <v>42142</v>
      </c>
      <c r="U1631" s="2">
        <v>42202</v>
      </c>
      <c r="V1631" t="s">
        <v>71</v>
      </c>
      <c r="W1631" t="str">
        <f>"          0740392908"</f>
        <v xml:space="preserve">          0740392908</v>
      </c>
      <c r="X1631" s="1">
        <v>4941</v>
      </c>
      <c r="Y1631">
        <v>0</v>
      </c>
      <c r="Z1631"/>
      <c r="AB1631"/>
      <c r="AC1631" s="1">
        <v>4050</v>
      </c>
      <c r="AD1631">
        <v>250</v>
      </c>
      <c r="AE1631" s="1">
        <v>1012500</v>
      </c>
      <c r="AF1631">
        <v>0</v>
      </c>
      <c r="AJ1631">
        <v>0</v>
      </c>
      <c r="AK1631">
        <v>0</v>
      </c>
      <c r="AL1631">
        <v>0</v>
      </c>
      <c r="AM1631">
        <v>0</v>
      </c>
      <c r="AN1631">
        <v>0</v>
      </c>
      <c r="AO1631">
        <v>0</v>
      </c>
      <c r="AP1631" s="2">
        <v>42746</v>
      </c>
      <c r="AQ1631" t="s">
        <v>72</v>
      </c>
      <c r="AR1631" t="s">
        <v>72</v>
      </c>
      <c r="AS1631">
        <v>789</v>
      </c>
      <c r="AT1631" s="4">
        <v>42452</v>
      </c>
      <c r="AU1631" t="s">
        <v>73</v>
      </c>
      <c r="AV1631">
        <v>789</v>
      </c>
      <c r="AW1631" s="4">
        <v>42452</v>
      </c>
      <c r="BD1631">
        <v>0</v>
      </c>
      <c r="BN1631" t="s">
        <v>74</v>
      </c>
    </row>
    <row r="1632" spans="1:66" hidden="1">
      <c r="A1632">
        <v>100494</v>
      </c>
      <c r="B1632" s="3" t="s">
        <v>189</v>
      </c>
      <c r="C1632" s="1">
        <v>43300101</v>
      </c>
      <c r="D1632" t="s">
        <v>67</v>
      </c>
      <c r="H1632" t="str">
        <f t="shared" si="155"/>
        <v>03524050238</v>
      </c>
      <c r="I1632" t="str">
        <f t="shared" si="155"/>
        <v>03524050238</v>
      </c>
      <c r="K1632" t="str">
        <f>""</f>
        <v/>
      </c>
      <c r="M1632" t="s">
        <v>68</v>
      </c>
      <c r="N1632" t="str">
        <f t="shared" si="153"/>
        <v>FOR</v>
      </c>
      <c r="O1632" t="s">
        <v>69</v>
      </c>
      <c r="P1632" s="3" t="s">
        <v>75</v>
      </c>
      <c r="Q1632">
        <v>2015</v>
      </c>
      <c r="R1632" s="2">
        <v>42139</v>
      </c>
      <c r="S1632" s="2">
        <v>42165</v>
      </c>
      <c r="T1632" s="2">
        <v>42142</v>
      </c>
      <c r="U1632" s="2">
        <v>42202</v>
      </c>
      <c r="V1632" t="s">
        <v>71</v>
      </c>
      <c r="W1632" t="str">
        <f>"          0740392909"</f>
        <v xml:space="preserve">          0740392909</v>
      </c>
      <c r="X1632">
        <v>102.85</v>
      </c>
      <c r="Y1632">
        <v>0</v>
      </c>
      <c r="Z1632"/>
      <c r="AB1632"/>
      <c r="AC1632">
        <v>93.5</v>
      </c>
      <c r="AD1632">
        <v>250</v>
      </c>
      <c r="AE1632" s="1">
        <v>23375</v>
      </c>
      <c r="AF1632">
        <v>0</v>
      </c>
      <c r="AJ1632">
        <v>0</v>
      </c>
      <c r="AK1632">
        <v>0</v>
      </c>
      <c r="AL1632">
        <v>0</v>
      </c>
      <c r="AM1632">
        <v>0</v>
      </c>
      <c r="AN1632">
        <v>0</v>
      </c>
      <c r="AO1632">
        <v>0</v>
      </c>
      <c r="AP1632" s="2">
        <v>42746</v>
      </c>
      <c r="AQ1632" t="s">
        <v>72</v>
      </c>
      <c r="AR1632" t="s">
        <v>72</v>
      </c>
      <c r="AS1632">
        <v>789</v>
      </c>
      <c r="AT1632" s="4">
        <v>42452</v>
      </c>
      <c r="AU1632" t="s">
        <v>73</v>
      </c>
      <c r="AV1632">
        <v>789</v>
      </c>
      <c r="AW1632" s="4">
        <v>42452</v>
      </c>
      <c r="BD1632">
        <v>0</v>
      </c>
      <c r="BN1632" t="s">
        <v>74</v>
      </c>
    </row>
    <row r="1633" spans="1:66" hidden="1">
      <c r="A1633">
        <v>100494</v>
      </c>
      <c r="B1633" s="3" t="s">
        <v>189</v>
      </c>
      <c r="C1633" s="1">
        <v>43300101</v>
      </c>
      <c r="D1633" t="s">
        <v>67</v>
      </c>
      <c r="H1633" t="str">
        <f t="shared" si="155"/>
        <v>03524050238</v>
      </c>
      <c r="I1633" t="str">
        <f t="shared" si="155"/>
        <v>03524050238</v>
      </c>
      <c r="K1633" t="str">
        <f>""</f>
        <v/>
      </c>
      <c r="M1633" t="s">
        <v>68</v>
      </c>
      <c r="N1633" t="str">
        <f t="shared" si="153"/>
        <v>FOR</v>
      </c>
      <c r="O1633" t="s">
        <v>69</v>
      </c>
      <c r="P1633" s="3" t="s">
        <v>75</v>
      </c>
      <c r="Q1633">
        <v>2015</v>
      </c>
      <c r="R1633" s="2">
        <v>42179</v>
      </c>
      <c r="S1633" s="2">
        <v>42202</v>
      </c>
      <c r="T1633" s="2">
        <v>42200</v>
      </c>
      <c r="U1633" s="2">
        <v>42260</v>
      </c>
      <c r="V1633" t="s">
        <v>71</v>
      </c>
      <c r="W1633" t="str">
        <f>"          0740399732"</f>
        <v xml:space="preserve">          0740399732</v>
      </c>
      <c r="X1633" s="1">
        <v>15689.2</v>
      </c>
      <c r="Y1633">
        <v>0</v>
      </c>
      <c r="Z1633"/>
      <c r="AB1633"/>
      <c r="AC1633" s="1">
        <v>12860</v>
      </c>
      <c r="AD1633">
        <v>232</v>
      </c>
      <c r="AE1633" s="1">
        <v>2983520</v>
      </c>
      <c r="AF1633">
        <v>0</v>
      </c>
      <c r="AJ1633">
        <v>0</v>
      </c>
      <c r="AK1633">
        <v>0</v>
      </c>
      <c r="AL1633">
        <v>0</v>
      </c>
      <c r="AM1633">
        <v>0</v>
      </c>
      <c r="AN1633">
        <v>0</v>
      </c>
      <c r="AO1633">
        <v>0</v>
      </c>
      <c r="AP1633" s="2">
        <v>42746</v>
      </c>
      <c r="AQ1633" t="s">
        <v>72</v>
      </c>
      <c r="AR1633" t="s">
        <v>72</v>
      </c>
      <c r="AS1633">
        <v>1241</v>
      </c>
      <c r="AT1633" s="4">
        <v>42492</v>
      </c>
      <c r="AU1633" t="s">
        <v>73</v>
      </c>
      <c r="AV1633">
        <v>1241</v>
      </c>
      <c r="AW1633" s="4">
        <v>42492</v>
      </c>
      <c r="BD1633">
        <v>0</v>
      </c>
      <c r="BN1633" t="s">
        <v>74</v>
      </c>
    </row>
    <row r="1634" spans="1:66" hidden="1">
      <c r="A1634">
        <v>100494</v>
      </c>
      <c r="B1634" s="3" t="s">
        <v>189</v>
      </c>
      <c r="C1634" s="1">
        <v>43300101</v>
      </c>
      <c r="D1634" t="s">
        <v>67</v>
      </c>
      <c r="H1634" t="str">
        <f t="shared" si="155"/>
        <v>03524050238</v>
      </c>
      <c r="I1634" t="str">
        <f t="shared" si="155"/>
        <v>03524050238</v>
      </c>
      <c r="K1634" t="str">
        <f>""</f>
        <v/>
      </c>
      <c r="M1634" t="s">
        <v>68</v>
      </c>
      <c r="N1634" t="str">
        <f t="shared" si="153"/>
        <v>FOR</v>
      </c>
      <c r="O1634" t="s">
        <v>69</v>
      </c>
      <c r="P1634" s="3" t="s">
        <v>75</v>
      </c>
      <c r="Q1634">
        <v>2015</v>
      </c>
      <c r="R1634" s="2">
        <v>42180</v>
      </c>
      <c r="S1634" s="2">
        <v>42212</v>
      </c>
      <c r="T1634" s="2">
        <v>42212</v>
      </c>
      <c r="U1634" s="2">
        <v>42272</v>
      </c>
      <c r="V1634" t="s">
        <v>71</v>
      </c>
      <c r="W1634" t="str">
        <f>"          0740399938"</f>
        <v xml:space="preserve">          0740399938</v>
      </c>
      <c r="X1634" s="1">
        <v>1534.76</v>
      </c>
      <c r="Y1634">
        <v>0</v>
      </c>
      <c r="Z1634"/>
      <c r="AB1634"/>
      <c r="AC1634" s="1">
        <v>1258</v>
      </c>
      <c r="AD1634">
        <v>220</v>
      </c>
      <c r="AE1634" s="1">
        <v>276760</v>
      </c>
      <c r="AF1634">
        <v>0</v>
      </c>
      <c r="AJ1634">
        <v>0</v>
      </c>
      <c r="AK1634">
        <v>0</v>
      </c>
      <c r="AL1634">
        <v>0</v>
      </c>
      <c r="AM1634">
        <v>0</v>
      </c>
      <c r="AN1634">
        <v>0</v>
      </c>
      <c r="AO1634">
        <v>0</v>
      </c>
      <c r="AP1634" s="2">
        <v>42746</v>
      </c>
      <c r="AQ1634" t="s">
        <v>72</v>
      </c>
      <c r="AR1634" t="s">
        <v>72</v>
      </c>
      <c r="AS1634">
        <v>1241</v>
      </c>
      <c r="AT1634" s="4">
        <v>42492</v>
      </c>
      <c r="AU1634" t="s">
        <v>73</v>
      </c>
      <c r="AV1634">
        <v>1241</v>
      </c>
      <c r="AW1634" s="4">
        <v>42492</v>
      </c>
      <c r="BD1634">
        <v>0</v>
      </c>
      <c r="BN1634" t="s">
        <v>74</v>
      </c>
    </row>
    <row r="1635" spans="1:66" hidden="1">
      <c r="A1635">
        <v>100494</v>
      </c>
      <c r="B1635" s="3" t="s">
        <v>189</v>
      </c>
      <c r="C1635" s="1">
        <v>43300101</v>
      </c>
      <c r="D1635" t="s">
        <v>67</v>
      </c>
      <c r="H1635" t="str">
        <f t="shared" si="155"/>
        <v>03524050238</v>
      </c>
      <c r="I1635" t="str">
        <f t="shared" si="155"/>
        <v>03524050238</v>
      </c>
      <c r="K1635" t="str">
        <f>""</f>
        <v/>
      </c>
      <c r="M1635" t="s">
        <v>68</v>
      </c>
      <c r="N1635" t="str">
        <f t="shared" si="153"/>
        <v>FOR</v>
      </c>
      <c r="O1635" t="s">
        <v>69</v>
      </c>
      <c r="P1635" s="3" t="s">
        <v>75</v>
      </c>
      <c r="Q1635">
        <v>2015</v>
      </c>
      <c r="R1635" s="2">
        <v>42247</v>
      </c>
      <c r="S1635" s="2">
        <v>42263</v>
      </c>
      <c r="T1635" s="2">
        <v>42249</v>
      </c>
      <c r="U1635" s="2">
        <v>42309</v>
      </c>
      <c r="V1635" t="s">
        <v>71</v>
      </c>
      <c r="W1635" t="str">
        <f>"          0740409545"</f>
        <v xml:space="preserve">          0740409545</v>
      </c>
      <c r="X1635">
        <v>41.14</v>
      </c>
      <c r="Y1635">
        <v>0</v>
      </c>
      <c r="Z1635"/>
      <c r="AB1635"/>
      <c r="AC1635">
        <v>37.4</v>
      </c>
      <c r="AD1635">
        <v>270</v>
      </c>
      <c r="AE1635" s="1">
        <v>10098</v>
      </c>
      <c r="AF1635">
        <v>0</v>
      </c>
      <c r="AJ1635">
        <v>0</v>
      </c>
      <c r="AK1635">
        <v>0</v>
      </c>
      <c r="AL1635">
        <v>0</v>
      </c>
      <c r="AM1635">
        <v>0</v>
      </c>
      <c r="AN1635">
        <v>0</v>
      </c>
      <c r="AO1635">
        <v>0</v>
      </c>
      <c r="AP1635" s="2">
        <v>42746</v>
      </c>
      <c r="AQ1635" t="s">
        <v>72</v>
      </c>
      <c r="AR1635" t="s">
        <v>72</v>
      </c>
      <c r="AS1635">
        <v>2005</v>
      </c>
      <c r="AT1635" s="4">
        <v>42579</v>
      </c>
      <c r="AU1635" t="s">
        <v>73</v>
      </c>
      <c r="AV1635">
        <v>2005</v>
      </c>
      <c r="AW1635" s="4">
        <v>42579</v>
      </c>
      <c r="BD1635">
        <v>0</v>
      </c>
      <c r="BN1635" t="s">
        <v>74</v>
      </c>
    </row>
    <row r="1636" spans="1:66" hidden="1">
      <c r="A1636">
        <v>100494</v>
      </c>
      <c r="B1636" s="3" t="s">
        <v>189</v>
      </c>
      <c r="C1636" s="1">
        <v>43300101</v>
      </c>
      <c r="D1636" t="s">
        <v>67</v>
      </c>
      <c r="H1636" t="str">
        <f t="shared" si="155"/>
        <v>03524050238</v>
      </c>
      <c r="I1636" t="str">
        <f t="shared" si="155"/>
        <v>03524050238</v>
      </c>
      <c r="K1636" t="str">
        <f>""</f>
        <v/>
      </c>
      <c r="M1636" t="s">
        <v>68</v>
      </c>
      <c r="N1636" t="str">
        <f t="shared" si="153"/>
        <v>FOR</v>
      </c>
      <c r="O1636" t="s">
        <v>69</v>
      </c>
      <c r="P1636" s="3" t="s">
        <v>75</v>
      </c>
      <c r="Q1636">
        <v>2015</v>
      </c>
      <c r="R1636" s="2">
        <v>42277</v>
      </c>
      <c r="S1636" s="2">
        <v>42282</v>
      </c>
      <c r="T1636" s="2">
        <v>42279</v>
      </c>
      <c r="U1636" s="2">
        <v>42339</v>
      </c>
      <c r="V1636" t="s">
        <v>71</v>
      </c>
      <c r="W1636" t="str">
        <f>"          0740413908"</f>
        <v xml:space="preserve">          0740413908</v>
      </c>
      <c r="X1636">
        <v>30.36</v>
      </c>
      <c r="Y1636">
        <v>0</v>
      </c>
      <c r="Z1636"/>
      <c r="AB1636"/>
      <c r="AC1636">
        <v>27.6</v>
      </c>
      <c r="AD1636">
        <v>64</v>
      </c>
      <c r="AE1636" s="1">
        <v>1766.4</v>
      </c>
      <c r="AF1636">
        <v>2.76</v>
      </c>
      <c r="AJ1636">
        <v>0</v>
      </c>
      <c r="AK1636">
        <v>0</v>
      </c>
      <c r="AL1636">
        <v>0</v>
      </c>
      <c r="AM1636">
        <v>0</v>
      </c>
      <c r="AN1636">
        <v>0</v>
      </c>
      <c r="AO1636">
        <v>0</v>
      </c>
      <c r="AP1636" s="2">
        <v>42746</v>
      </c>
      <c r="AQ1636" t="s">
        <v>72</v>
      </c>
      <c r="AR1636" t="s">
        <v>72</v>
      </c>
      <c r="AS1636">
        <v>212</v>
      </c>
      <c r="AT1636" s="4">
        <v>42403</v>
      </c>
      <c r="AU1636" t="s">
        <v>73</v>
      </c>
      <c r="AV1636">
        <v>212</v>
      </c>
      <c r="AW1636" s="4">
        <v>42403</v>
      </c>
      <c r="BD1636">
        <v>2.76</v>
      </c>
      <c r="BN1636" t="s">
        <v>74</v>
      </c>
    </row>
    <row r="1637" spans="1:66" hidden="1">
      <c r="A1637">
        <v>100494</v>
      </c>
      <c r="B1637" s="3" t="s">
        <v>189</v>
      </c>
      <c r="C1637" s="1">
        <v>43300101</v>
      </c>
      <c r="D1637" t="s">
        <v>67</v>
      </c>
      <c r="H1637" t="str">
        <f t="shared" si="155"/>
        <v>03524050238</v>
      </c>
      <c r="I1637" t="str">
        <f t="shared" si="155"/>
        <v>03524050238</v>
      </c>
      <c r="K1637" t="str">
        <f>""</f>
        <v/>
      </c>
      <c r="M1637" t="s">
        <v>68</v>
      </c>
      <c r="N1637" t="str">
        <f t="shared" si="153"/>
        <v>FOR</v>
      </c>
      <c r="O1637" t="s">
        <v>69</v>
      </c>
      <c r="P1637" s="3" t="s">
        <v>75</v>
      </c>
      <c r="Q1637">
        <v>2015</v>
      </c>
      <c r="R1637" s="2">
        <v>42300</v>
      </c>
      <c r="S1637" s="2">
        <v>42306</v>
      </c>
      <c r="T1637" s="2">
        <v>42304</v>
      </c>
      <c r="U1637" s="2">
        <v>42364</v>
      </c>
      <c r="V1637" t="s">
        <v>71</v>
      </c>
      <c r="W1637" t="str">
        <f>"          0740417317"</f>
        <v xml:space="preserve">          0740417317</v>
      </c>
      <c r="X1637" s="1">
        <v>17799.8</v>
      </c>
      <c r="Y1637">
        <v>0</v>
      </c>
      <c r="Z1637"/>
      <c r="AB1637"/>
      <c r="AC1637" s="1">
        <v>14590</v>
      </c>
      <c r="AD1637">
        <v>215</v>
      </c>
      <c r="AE1637" s="1">
        <v>3136850</v>
      </c>
      <c r="AF1637">
        <v>0</v>
      </c>
      <c r="AJ1637">
        <v>0</v>
      </c>
      <c r="AK1637">
        <v>0</v>
      </c>
      <c r="AL1637">
        <v>0</v>
      </c>
      <c r="AM1637">
        <v>0</v>
      </c>
      <c r="AN1637">
        <v>0</v>
      </c>
      <c r="AO1637">
        <v>0</v>
      </c>
      <c r="AP1637" s="2">
        <v>42746</v>
      </c>
      <c r="AQ1637" t="s">
        <v>72</v>
      </c>
      <c r="AR1637" t="s">
        <v>72</v>
      </c>
      <c r="AS1637">
        <v>2005</v>
      </c>
      <c r="AT1637" s="4">
        <v>42579</v>
      </c>
      <c r="AU1637" t="s">
        <v>73</v>
      </c>
      <c r="AV1637">
        <v>2005</v>
      </c>
      <c r="AW1637" s="4">
        <v>42579</v>
      </c>
      <c r="BD1637">
        <v>0</v>
      </c>
      <c r="BN1637" t="s">
        <v>74</v>
      </c>
    </row>
    <row r="1638" spans="1:66" hidden="1">
      <c r="A1638">
        <v>100494</v>
      </c>
      <c r="B1638" s="3" t="s">
        <v>189</v>
      </c>
      <c r="C1638" s="1">
        <v>43300101</v>
      </c>
      <c r="D1638" t="s">
        <v>67</v>
      </c>
      <c r="H1638" t="str">
        <f t="shared" si="155"/>
        <v>03524050238</v>
      </c>
      <c r="I1638" t="str">
        <f t="shared" si="155"/>
        <v>03524050238</v>
      </c>
      <c r="K1638" t="str">
        <f>""</f>
        <v/>
      </c>
      <c r="M1638" t="s">
        <v>68</v>
      </c>
      <c r="N1638" t="str">
        <f t="shared" si="153"/>
        <v>FOR</v>
      </c>
      <c r="O1638" t="s">
        <v>69</v>
      </c>
      <c r="P1638" s="3" t="s">
        <v>75</v>
      </c>
      <c r="Q1638">
        <v>2015</v>
      </c>
      <c r="R1638" s="2">
        <v>42303</v>
      </c>
      <c r="S1638" s="2">
        <v>42306</v>
      </c>
      <c r="T1638" s="2">
        <v>42304</v>
      </c>
      <c r="U1638" s="2">
        <v>42364</v>
      </c>
      <c r="V1638" t="s">
        <v>71</v>
      </c>
      <c r="W1638" t="str">
        <f>"          0740417511"</f>
        <v xml:space="preserve">          0740417511</v>
      </c>
      <c r="X1638" s="1">
        <v>1029.68</v>
      </c>
      <c r="Y1638">
        <v>0</v>
      </c>
      <c r="Z1638"/>
      <c r="AB1638"/>
      <c r="AC1638">
        <v>844</v>
      </c>
      <c r="AD1638">
        <v>215</v>
      </c>
      <c r="AE1638" s="1">
        <v>181460</v>
      </c>
      <c r="AF1638">
        <v>0</v>
      </c>
      <c r="AJ1638">
        <v>0</v>
      </c>
      <c r="AK1638">
        <v>0</v>
      </c>
      <c r="AL1638">
        <v>0</v>
      </c>
      <c r="AM1638">
        <v>0</v>
      </c>
      <c r="AN1638">
        <v>0</v>
      </c>
      <c r="AO1638">
        <v>0</v>
      </c>
      <c r="AP1638" s="2">
        <v>42746</v>
      </c>
      <c r="AQ1638" t="s">
        <v>72</v>
      </c>
      <c r="AR1638" t="s">
        <v>72</v>
      </c>
      <c r="AS1638">
        <v>2005</v>
      </c>
      <c r="AT1638" s="4">
        <v>42579</v>
      </c>
      <c r="AU1638" t="s">
        <v>73</v>
      </c>
      <c r="AV1638">
        <v>2005</v>
      </c>
      <c r="AW1638" s="4">
        <v>42579</v>
      </c>
      <c r="BD1638">
        <v>0</v>
      </c>
      <c r="BN1638" t="s">
        <v>74</v>
      </c>
    </row>
    <row r="1639" spans="1:66" hidden="1">
      <c r="A1639">
        <v>100494</v>
      </c>
      <c r="B1639" s="3" t="s">
        <v>189</v>
      </c>
      <c r="C1639" s="1">
        <v>43300101</v>
      </c>
      <c r="D1639" t="s">
        <v>67</v>
      </c>
      <c r="H1639" t="str">
        <f t="shared" si="155"/>
        <v>03524050238</v>
      </c>
      <c r="I1639" t="str">
        <f t="shared" si="155"/>
        <v>03524050238</v>
      </c>
      <c r="K1639" t="str">
        <f>""</f>
        <v/>
      </c>
      <c r="M1639" t="s">
        <v>68</v>
      </c>
      <c r="N1639" t="str">
        <f t="shared" si="153"/>
        <v>FOR</v>
      </c>
      <c r="O1639" t="s">
        <v>69</v>
      </c>
      <c r="P1639" s="3" t="s">
        <v>75</v>
      </c>
      <c r="Q1639">
        <v>2015</v>
      </c>
      <c r="R1639" s="2">
        <v>42317</v>
      </c>
      <c r="S1639" s="2">
        <v>42318</v>
      </c>
      <c r="T1639" s="2">
        <v>42318</v>
      </c>
      <c r="U1639" s="2">
        <v>42378</v>
      </c>
      <c r="V1639" t="s">
        <v>71</v>
      </c>
      <c r="W1639" t="str">
        <f>"          0740419713"</f>
        <v xml:space="preserve">          0740419713</v>
      </c>
      <c r="X1639">
        <v>355.02</v>
      </c>
      <c r="Y1639">
        <v>0</v>
      </c>
      <c r="Z1639"/>
      <c r="AB1639"/>
      <c r="AC1639">
        <v>291</v>
      </c>
      <c r="AD1639">
        <v>201</v>
      </c>
      <c r="AE1639" s="1">
        <v>58491</v>
      </c>
      <c r="AF1639">
        <v>0</v>
      </c>
      <c r="AJ1639">
        <v>0</v>
      </c>
      <c r="AK1639">
        <v>0</v>
      </c>
      <c r="AL1639">
        <v>0</v>
      </c>
      <c r="AM1639">
        <v>0</v>
      </c>
      <c r="AN1639">
        <v>0</v>
      </c>
      <c r="AO1639">
        <v>0</v>
      </c>
      <c r="AP1639" s="2">
        <v>42746</v>
      </c>
      <c r="AQ1639" t="s">
        <v>72</v>
      </c>
      <c r="AR1639" t="s">
        <v>72</v>
      </c>
      <c r="AS1639">
        <v>2005</v>
      </c>
      <c r="AT1639" s="4">
        <v>42579</v>
      </c>
      <c r="AU1639" t="s">
        <v>73</v>
      </c>
      <c r="AV1639">
        <v>2005</v>
      </c>
      <c r="AW1639" s="4">
        <v>42579</v>
      </c>
      <c r="BD1639">
        <v>0</v>
      </c>
      <c r="BN1639" t="s">
        <v>74</v>
      </c>
    </row>
    <row r="1640" spans="1:66" hidden="1">
      <c r="A1640">
        <v>100494</v>
      </c>
      <c r="B1640" s="3" t="s">
        <v>189</v>
      </c>
      <c r="C1640" s="1">
        <v>43300101</v>
      </c>
      <c r="D1640" t="s">
        <v>67</v>
      </c>
      <c r="H1640" t="str">
        <f t="shared" si="155"/>
        <v>03524050238</v>
      </c>
      <c r="I1640" t="str">
        <f t="shared" si="155"/>
        <v>03524050238</v>
      </c>
      <c r="K1640" t="str">
        <f>""</f>
        <v/>
      </c>
      <c r="M1640" t="s">
        <v>68</v>
      </c>
      <c r="N1640" t="str">
        <f t="shared" si="153"/>
        <v>FOR</v>
      </c>
      <c r="O1640" t="s">
        <v>69</v>
      </c>
      <c r="P1640" s="3" t="s">
        <v>75</v>
      </c>
      <c r="Q1640">
        <v>2015</v>
      </c>
      <c r="R1640" s="2">
        <v>42348</v>
      </c>
      <c r="S1640" s="2">
        <v>42353</v>
      </c>
      <c r="T1640" s="2">
        <v>42349</v>
      </c>
      <c r="U1640" s="2">
        <v>42409</v>
      </c>
      <c r="V1640" t="s">
        <v>71</v>
      </c>
      <c r="W1640" t="str">
        <f>"          0740424476"</f>
        <v xml:space="preserve">          0740424476</v>
      </c>
      <c r="X1640">
        <v>252.54</v>
      </c>
      <c r="Y1640">
        <v>0</v>
      </c>
      <c r="Z1640"/>
      <c r="AB1640"/>
      <c r="AC1640">
        <v>207</v>
      </c>
      <c r="AD1640">
        <v>170</v>
      </c>
      <c r="AE1640" s="1">
        <v>35190</v>
      </c>
      <c r="AF1640">
        <v>0</v>
      </c>
      <c r="AJ1640">
        <v>0</v>
      </c>
      <c r="AK1640">
        <v>0</v>
      </c>
      <c r="AL1640">
        <v>0</v>
      </c>
      <c r="AM1640">
        <v>0</v>
      </c>
      <c r="AN1640">
        <v>0</v>
      </c>
      <c r="AO1640">
        <v>0</v>
      </c>
      <c r="AP1640" s="2">
        <v>42746</v>
      </c>
      <c r="AQ1640" t="s">
        <v>72</v>
      </c>
      <c r="AR1640" t="s">
        <v>72</v>
      </c>
      <c r="AS1640">
        <v>2005</v>
      </c>
      <c r="AT1640" s="4">
        <v>42579</v>
      </c>
      <c r="AU1640" t="s">
        <v>73</v>
      </c>
      <c r="AV1640">
        <v>2005</v>
      </c>
      <c r="AW1640" s="4">
        <v>42579</v>
      </c>
      <c r="BD1640">
        <v>0</v>
      </c>
      <c r="BN1640" t="s">
        <v>74</v>
      </c>
    </row>
    <row r="1641" spans="1:66" hidden="1">
      <c r="A1641">
        <v>100494</v>
      </c>
      <c r="B1641" s="3" t="s">
        <v>189</v>
      </c>
      <c r="C1641" s="1">
        <v>43300101</v>
      </c>
      <c r="D1641" t="s">
        <v>67</v>
      </c>
      <c r="H1641" t="str">
        <f t="shared" si="155"/>
        <v>03524050238</v>
      </c>
      <c r="I1641" t="str">
        <f t="shared" si="155"/>
        <v>03524050238</v>
      </c>
      <c r="K1641" t="str">
        <f>""</f>
        <v/>
      </c>
      <c r="M1641" t="s">
        <v>68</v>
      </c>
      <c r="N1641" t="str">
        <f t="shared" si="153"/>
        <v>FOR</v>
      </c>
      <c r="O1641" t="s">
        <v>69</v>
      </c>
      <c r="P1641" s="3" t="s">
        <v>75</v>
      </c>
      <c r="Q1641">
        <v>2016</v>
      </c>
      <c r="R1641" s="2">
        <v>42388</v>
      </c>
      <c r="S1641" s="2">
        <v>42391</v>
      </c>
      <c r="T1641" s="2">
        <v>42390</v>
      </c>
      <c r="U1641" s="2">
        <v>42450</v>
      </c>
      <c r="V1641" t="s">
        <v>71</v>
      </c>
      <c r="W1641" t="str">
        <f>"          0740429788"</f>
        <v xml:space="preserve">          0740429788</v>
      </c>
      <c r="X1641" s="1">
        <v>16848.2</v>
      </c>
      <c r="Y1641">
        <v>0</v>
      </c>
      <c r="Z1641"/>
      <c r="AB1641"/>
      <c r="AC1641" s="1">
        <v>13810</v>
      </c>
      <c r="AD1641">
        <v>169</v>
      </c>
      <c r="AE1641" s="1">
        <v>2333890</v>
      </c>
      <c r="AF1641">
        <v>0</v>
      </c>
      <c r="AJ1641">
        <v>0</v>
      </c>
      <c r="AK1641">
        <v>0</v>
      </c>
      <c r="AL1641">
        <v>0</v>
      </c>
      <c r="AM1641" s="1">
        <v>16848.2</v>
      </c>
      <c r="AN1641" s="1">
        <v>16848.2</v>
      </c>
      <c r="AO1641" s="1">
        <v>16848.2</v>
      </c>
      <c r="AP1641" s="2">
        <v>42746</v>
      </c>
      <c r="AQ1641" t="s">
        <v>72</v>
      </c>
      <c r="AR1641" t="s">
        <v>72</v>
      </c>
      <c r="AS1641">
        <v>2301</v>
      </c>
      <c r="AT1641" s="4">
        <v>42619</v>
      </c>
      <c r="AU1641" t="s">
        <v>73</v>
      </c>
      <c r="AV1641">
        <v>2301</v>
      </c>
      <c r="AW1641" s="4">
        <v>42619</v>
      </c>
      <c r="BD1641">
        <v>0</v>
      </c>
      <c r="BN1641" t="s">
        <v>74</v>
      </c>
    </row>
    <row r="1642" spans="1:66">
      <c r="A1642">
        <v>100494</v>
      </c>
      <c r="B1642" s="3" t="s">
        <v>189</v>
      </c>
      <c r="C1642" s="1">
        <v>43300101</v>
      </c>
      <c r="D1642" t="s">
        <v>67</v>
      </c>
      <c r="H1642" t="str">
        <f t="shared" si="155"/>
        <v>03524050238</v>
      </c>
      <c r="I1642" t="str">
        <f t="shared" si="155"/>
        <v>03524050238</v>
      </c>
      <c r="K1642" t="str">
        <f>""</f>
        <v/>
      </c>
      <c r="M1642" t="s">
        <v>68</v>
      </c>
      <c r="N1642" t="str">
        <f t="shared" si="153"/>
        <v>FOR</v>
      </c>
      <c r="O1642" t="s">
        <v>69</v>
      </c>
      <c r="P1642" s="3" t="s">
        <v>75</v>
      </c>
      <c r="Q1642">
        <v>2016</v>
      </c>
      <c r="R1642" s="2">
        <v>42402</v>
      </c>
      <c r="S1642" s="2">
        <v>42410</v>
      </c>
      <c r="T1642" s="2">
        <v>42403</v>
      </c>
      <c r="U1642" s="2">
        <v>42463</v>
      </c>
      <c r="V1642" t="s">
        <v>71</v>
      </c>
      <c r="W1642" t="str">
        <f>"          0740432322"</f>
        <v xml:space="preserve">          0740432322</v>
      </c>
      <c r="X1642" s="1">
        <v>1171.2</v>
      </c>
      <c r="Y1642">
        <v>0</v>
      </c>
      <c r="Z1642" s="3">
        <v>960</v>
      </c>
      <c r="AA1642">
        <v>220</v>
      </c>
      <c r="AB1642" s="5">
        <v>211200</v>
      </c>
      <c r="AC1642">
        <v>960</v>
      </c>
      <c r="AD1642">
        <v>220</v>
      </c>
      <c r="AE1642" s="1">
        <v>211200</v>
      </c>
      <c r="AF1642">
        <v>0</v>
      </c>
      <c r="AJ1642">
        <v>0</v>
      </c>
      <c r="AK1642">
        <v>0</v>
      </c>
      <c r="AL1642">
        <v>0</v>
      </c>
      <c r="AM1642" s="1">
        <v>1171.2</v>
      </c>
      <c r="AN1642" s="1">
        <v>1171.2</v>
      </c>
      <c r="AO1642" s="1">
        <v>1171.2</v>
      </c>
      <c r="AP1642" s="2">
        <v>42746</v>
      </c>
      <c r="AQ1642" t="s">
        <v>72</v>
      </c>
      <c r="AR1642" t="s">
        <v>72</v>
      </c>
      <c r="AS1642">
        <v>3025</v>
      </c>
      <c r="AT1642" s="4">
        <v>42683</v>
      </c>
      <c r="AU1642" t="s">
        <v>73</v>
      </c>
      <c r="AV1642">
        <v>3025</v>
      </c>
      <c r="AW1642" s="4">
        <v>42683</v>
      </c>
      <c r="BD1642">
        <v>0</v>
      </c>
      <c r="BN1642" t="s">
        <v>74</v>
      </c>
    </row>
    <row r="1643" spans="1:66">
      <c r="A1643">
        <v>100494</v>
      </c>
      <c r="B1643" s="3" t="s">
        <v>189</v>
      </c>
      <c r="C1643" s="1">
        <v>43300101</v>
      </c>
      <c r="D1643" t="s">
        <v>67</v>
      </c>
      <c r="H1643" t="str">
        <f t="shared" si="155"/>
        <v>03524050238</v>
      </c>
      <c r="I1643" t="str">
        <f t="shared" si="155"/>
        <v>03524050238</v>
      </c>
      <c r="K1643" t="str">
        <f>""</f>
        <v/>
      </c>
      <c r="M1643" t="s">
        <v>68</v>
      </c>
      <c r="N1643" t="str">
        <f t="shared" si="153"/>
        <v>FOR</v>
      </c>
      <c r="O1643" t="s">
        <v>69</v>
      </c>
      <c r="P1643" s="3" t="s">
        <v>75</v>
      </c>
      <c r="Q1643">
        <v>2016</v>
      </c>
      <c r="R1643" s="2">
        <v>42423</v>
      </c>
      <c r="S1643" s="2">
        <v>42436</v>
      </c>
      <c r="T1643" s="2">
        <v>42425</v>
      </c>
      <c r="U1643" s="2">
        <v>42485</v>
      </c>
      <c r="V1643" t="s">
        <v>71</v>
      </c>
      <c r="W1643" t="str">
        <f>"          0740435680"</f>
        <v xml:space="preserve">          0740435680</v>
      </c>
      <c r="X1643" s="1">
        <v>1113.8599999999999</v>
      </c>
      <c r="Y1643">
        <v>0</v>
      </c>
      <c r="Z1643" s="3">
        <v>913</v>
      </c>
      <c r="AA1643">
        <v>198</v>
      </c>
      <c r="AB1643" s="5">
        <v>180774</v>
      </c>
      <c r="AC1643">
        <v>913</v>
      </c>
      <c r="AD1643">
        <v>198</v>
      </c>
      <c r="AE1643" s="1">
        <v>180774</v>
      </c>
      <c r="AF1643">
        <v>0</v>
      </c>
      <c r="AJ1643">
        <v>0</v>
      </c>
      <c r="AK1643">
        <v>0</v>
      </c>
      <c r="AL1643">
        <v>0</v>
      </c>
      <c r="AM1643" s="1">
        <v>1113.8599999999999</v>
      </c>
      <c r="AN1643" s="1">
        <v>1113.8599999999999</v>
      </c>
      <c r="AO1643" s="1">
        <v>1113.8599999999999</v>
      </c>
      <c r="AP1643" s="2">
        <v>42746</v>
      </c>
      <c r="AQ1643" t="s">
        <v>72</v>
      </c>
      <c r="AR1643" t="s">
        <v>72</v>
      </c>
      <c r="AS1643">
        <v>3025</v>
      </c>
      <c r="AT1643" s="4">
        <v>42683</v>
      </c>
      <c r="AU1643" t="s">
        <v>73</v>
      </c>
      <c r="AV1643">
        <v>3025</v>
      </c>
      <c r="AW1643" s="4">
        <v>42683</v>
      </c>
      <c r="BD1643">
        <v>0</v>
      </c>
      <c r="BN1643" t="s">
        <v>74</v>
      </c>
    </row>
    <row r="1644" spans="1:66">
      <c r="A1644">
        <v>100494</v>
      </c>
      <c r="B1644" s="3" t="s">
        <v>189</v>
      </c>
      <c r="C1644" s="1">
        <v>43300101</v>
      </c>
      <c r="D1644" t="s">
        <v>67</v>
      </c>
      <c r="H1644" t="str">
        <f t="shared" si="155"/>
        <v>03524050238</v>
      </c>
      <c r="I1644" t="str">
        <f t="shared" si="155"/>
        <v>03524050238</v>
      </c>
      <c r="K1644" t="str">
        <f>""</f>
        <v/>
      </c>
      <c r="M1644" t="s">
        <v>68</v>
      </c>
      <c r="N1644" t="str">
        <f t="shared" si="153"/>
        <v>FOR</v>
      </c>
      <c r="O1644" t="s">
        <v>69</v>
      </c>
      <c r="P1644" s="3" t="s">
        <v>75</v>
      </c>
      <c r="Q1644">
        <v>2016</v>
      </c>
      <c r="R1644" s="2">
        <v>42429</v>
      </c>
      <c r="S1644" s="2">
        <v>42436</v>
      </c>
      <c r="T1644" s="2">
        <v>42430</v>
      </c>
      <c r="U1644" s="2">
        <v>42490</v>
      </c>
      <c r="V1644" t="s">
        <v>71</v>
      </c>
      <c r="W1644" t="str">
        <f>"          0740436616"</f>
        <v xml:space="preserve">          0740436616</v>
      </c>
      <c r="X1644" s="1">
        <v>1071.8399999999999</v>
      </c>
      <c r="Y1644">
        <v>0</v>
      </c>
      <c r="Z1644" s="3">
        <v>974.4</v>
      </c>
      <c r="AA1644">
        <v>193</v>
      </c>
      <c r="AB1644" s="5">
        <v>188059.2</v>
      </c>
      <c r="AC1644">
        <v>974.4</v>
      </c>
      <c r="AD1644">
        <v>193</v>
      </c>
      <c r="AE1644" s="1">
        <v>188059.2</v>
      </c>
      <c r="AF1644">
        <v>0</v>
      </c>
      <c r="AJ1644">
        <v>0</v>
      </c>
      <c r="AK1644">
        <v>0</v>
      </c>
      <c r="AL1644">
        <v>0</v>
      </c>
      <c r="AM1644" s="1">
        <v>1071.8399999999999</v>
      </c>
      <c r="AN1644" s="1">
        <v>1071.8399999999999</v>
      </c>
      <c r="AO1644" s="1">
        <v>1071.8399999999999</v>
      </c>
      <c r="AP1644" s="2">
        <v>42746</v>
      </c>
      <c r="AQ1644" t="s">
        <v>72</v>
      </c>
      <c r="AR1644" t="s">
        <v>72</v>
      </c>
      <c r="AS1644">
        <v>3025</v>
      </c>
      <c r="AT1644" s="4">
        <v>42683</v>
      </c>
      <c r="AU1644" t="s">
        <v>73</v>
      </c>
      <c r="AV1644">
        <v>3025</v>
      </c>
      <c r="AW1644" s="4">
        <v>42683</v>
      </c>
      <c r="BD1644">
        <v>0</v>
      </c>
      <c r="BN1644" t="s">
        <v>74</v>
      </c>
    </row>
    <row r="1645" spans="1:66">
      <c r="A1645">
        <v>100494</v>
      </c>
      <c r="B1645" s="3" t="s">
        <v>189</v>
      </c>
      <c r="C1645" s="1">
        <v>43300101</v>
      </c>
      <c r="D1645" t="s">
        <v>67</v>
      </c>
      <c r="H1645" t="str">
        <f t="shared" si="155"/>
        <v>03524050238</v>
      </c>
      <c r="I1645" t="str">
        <f t="shared" si="155"/>
        <v>03524050238</v>
      </c>
      <c r="K1645" t="str">
        <f>""</f>
        <v/>
      </c>
      <c r="M1645" t="s">
        <v>68</v>
      </c>
      <c r="N1645" t="str">
        <f t="shared" si="153"/>
        <v>FOR</v>
      </c>
      <c r="O1645" t="s">
        <v>69</v>
      </c>
      <c r="P1645" s="3" t="s">
        <v>75</v>
      </c>
      <c r="Q1645">
        <v>2016</v>
      </c>
      <c r="R1645" s="2">
        <v>42450</v>
      </c>
      <c r="S1645" s="2">
        <v>42452</v>
      </c>
      <c r="T1645" s="2">
        <v>42451</v>
      </c>
      <c r="U1645" s="2">
        <v>42511</v>
      </c>
      <c r="V1645" t="s">
        <v>71</v>
      </c>
      <c r="W1645" t="str">
        <f>"          0740440141"</f>
        <v xml:space="preserve">          0740440141</v>
      </c>
      <c r="X1645">
        <v>549</v>
      </c>
      <c r="Y1645">
        <v>0</v>
      </c>
      <c r="Z1645" s="3">
        <v>450</v>
      </c>
      <c r="AA1645">
        <v>172</v>
      </c>
      <c r="AB1645" s="5">
        <v>77400</v>
      </c>
      <c r="AC1645">
        <v>450</v>
      </c>
      <c r="AD1645">
        <v>172</v>
      </c>
      <c r="AE1645" s="1">
        <v>77400</v>
      </c>
      <c r="AF1645">
        <v>0</v>
      </c>
      <c r="AJ1645">
        <v>0</v>
      </c>
      <c r="AK1645">
        <v>0</v>
      </c>
      <c r="AL1645">
        <v>0</v>
      </c>
      <c r="AM1645">
        <v>549</v>
      </c>
      <c r="AN1645">
        <v>549</v>
      </c>
      <c r="AO1645">
        <v>549</v>
      </c>
      <c r="AP1645" s="2">
        <v>42746</v>
      </c>
      <c r="AQ1645" t="s">
        <v>72</v>
      </c>
      <c r="AR1645" t="s">
        <v>72</v>
      </c>
      <c r="AS1645">
        <v>3025</v>
      </c>
      <c r="AT1645" s="4">
        <v>42683</v>
      </c>
      <c r="AU1645" t="s">
        <v>73</v>
      </c>
      <c r="AV1645">
        <v>3025</v>
      </c>
      <c r="AW1645" s="4">
        <v>42683</v>
      </c>
      <c r="BD1645">
        <v>0</v>
      </c>
      <c r="BN1645" t="s">
        <v>74</v>
      </c>
    </row>
    <row r="1646" spans="1:66">
      <c r="A1646">
        <v>100494</v>
      </c>
      <c r="B1646" s="3" t="s">
        <v>189</v>
      </c>
      <c r="C1646" s="1">
        <v>43300101</v>
      </c>
      <c r="D1646" t="s">
        <v>67</v>
      </c>
      <c r="H1646" t="str">
        <f t="shared" si="155"/>
        <v>03524050238</v>
      </c>
      <c r="I1646" t="str">
        <f t="shared" si="155"/>
        <v>03524050238</v>
      </c>
      <c r="K1646" t="str">
        <f>""</f>
        <v/>
      </c>
      <c r="M1646" t="s">
        <v>68</v>
      </c>
      <c r="N1646" t="str">
        <f t="shared" si="153"/>
        <v>FOR</v>
      </c>
      <c r="O1646" t="s">
        <v>69</v>
      </c>
      <c r="P1646" s="3" t="s">
        <v>75</v>
      </c>
      <c r="Q1646">
        <v>2016</v>
      </c>
      <c r="R1646" s="2">
        <v>42454</v>
      </c>
      <c r="S1646" s="2">
        <v>42458</v>
      </c>
      <c r="T1646" s="2">
        <v>42458</v>
      </c>
      <c r="U1646" s="2">
        <v>42518</v>
      </c>
      <c r="V1646" t="s">
        <v>71</v>
      </c>
      <c r="W1646" t="str">
        <f>"          0740441132"</f>
        <v xml:space="preserve">          0740441132</v>
      </c>
      <c r="X1646" s="1">
        <v>2391.1999999999998</v>
      </c>
      <c r="Y1646">
        <v>0</v>
      </c>
      <c r="Z1646" s="5">
        <v>1960</v>
      </c>
      <c r="AA1646">
        <v>165</v>
      </c>
      <c r="AB1646" s="5">
        <v>323400</v>
      </c>
      <c r="AC1646" s="1">
        <v>1960</v>
      </c>
      <c r="AD1646">
        <v>165</v>
      </c>
      <c r="AE1646" s="1">
        <v>323400</v>
      </c>
      <c r="AF1646">
        <v>0</v>
      </c>
      <c r="AJ1646">
        <v>0</v>
      </c>
      <c r="AK1646">
        <v>0</v>
      </c>
      <c r="AL1646">
        <v>0</v>
      </c>
      <c r="AM1646" s="1">
        <v>2391.1999999999998</v>
      </c>
      <c r="AN1646" s="1">
        <v>2391.1999999999998</v>
      </c>
      <c r="AO1646" s="1">
        <v>2391.1999999999998</v>
      </c>
      <c r="AP1646" s="2">
        <v>42746</v>
      </c>
      <c r="AQ1646" t="s">
        <v>72</v>
      </c>
      <c r="AR1646" t="s">
        <v>72</v>
      </c>
      <c r="AS1646">
        <v>3025</v>
      </c>
      <c r="AT1646" s="4">
        <v>42683</v>
      </c>
      <c r="AU1646" t="s">
        <v>73</v>
      </c>
      <c r="AV1646">
        <v>3025</v>
      </c>
      <c r="AW1646" s="4">
        <v>42683</v>
      </c>
      <c r="BD1646">
        <v>0</v>
      </c>
      <c r="BN1646" t="s">
        <v>74</v>
      </c>
    </row>
    <row r="1647" spans="1:66">
      <c r="A1647">
        <v>100494</v>
      </c>
      <c r="B1647" s="3" t="s">
        <v>189</v>
      </c>
      <c r="C1647" s="1">
        <v>43300101</v>
      </c>
      <c r="D1647" t="s">
        <v>67</v>
      </c>
      <c r="H1647" t="str">
        <f t="shared" si="155"/>
        <v>03524050238</v>
      </c>
      <c r="I1647" t="str">
        <f t="shared" si="155"/>
        <v>03524050238</v>
      </c>
      <c r="K1647" t="str">
        <f>""</f>
        <v/>
      </c>
      <c r="M1647" t="s">
        <v>68</v>
      </c>
      <c r="N1647" t="str">
        <f t="shared" si="153"/>
        <v>FOR</v>
      </c>
      <c r="O1647" t="s">
        <v>69</v>
      </c>
      <c r="P1647" s="3" t="s">
        <v>75</v>
      </c>
      <c r="Q1647">
        <v>2016</v>
      </c>
      <c r="R1647" s="2">
        <v>42471</v>
      </c>
      <c r="S1647" s="2">
        <v>42474</v>
      </c>
      <c r="T1647" s="2">
        <v>42472</v>
      </c>
      <c r="U1647" s="2">
        <v>42532</v>
      </c>
      <c r="V1647" t="s">
        <v>71</v>
      </c>
      <c r="W1647" t="str">
        <f>"          0740443884"</f>
        <v xml:space="preserve">          0740443884</v>
      </c>
      <c r="X1647">
        <v>175.45</v>
      </c>
      <c r="Y1647">
        <v>0</v>
      </c>
      <c r="Z1647" s="3">
        <v>159.5</v>
      </c>
      <c r="AA1647">
        <v>187</v>
      </c>
      <c r="AB1647" s="5">
        <v>29826.5</v>
      </c>
      <c r="AC1647">
        <v>159.5</v>
      </c>
      <c r="AD1647">
        <v>187</v>
      </c>
      <c r="AE1647" s="1">
        <v>29826.5</v>
      </c>
      <c r="AF1647">
        <v>15.95</v>
      </c>
      <c r="AJ1647">
        <v>0</v>
      </c>
      <c r="AK1647">
        <v>0</v>
      </c>
      <c r="AL1647">
        <v>0</v>
      </c>
      <c r="AM1647">
        <v>175.45</v>
      </c>
      <c r="AN1647">
        <v>175.45</v>
      </c>
      <c r="AO1647">
        <v>175.45</v>
      </c>
      <c r="AP1647" s="2">
        <v>42746</v>
      </c>
      <c r="AQ1647" t="s">
        <v>72</v>
      </c>
      <c r="AR1647" t="s">
        <v>72</v>
      </c>
      <c r="AS1647">
        <v>3523</v>
      </c>
      <c r="AT1647" s="4">
        <v>42719</v>
      </c>
      <c r="AU1647" t="s">
        <v>73</v>
      </c>
      <c r="AV1647">
        <v>3523</v>
      </c>
      <c r="AW1647" s="4">
        <v>42719</v>
      </c>
      <c r="BD1647">
        <v>15.95</v>
      </c>
      <c r="BN1647" t="s">
        <v>74</v>
      </c>
    </row>
    <row r="1648" spans="1:66">
      <c r="A1648">
        <v>100494</v>
      </c>
      <c r="B1648" s="3" t="s">
        <v>189</v>
      </c>
      <c r="C1648" s="1">
        <v>43300101</v>
      </c>
      <c r="D1648" t="s">
        <v>67</v>
      </c>
      <c r="H1648" t="str">
        <f t="shared" si="155"/>
        <v>03524050238</v>
      </c>
      <c r="I1648" t="str">
        <f t="shared" si="155"/>
        <v>03524050238</v>
      </c>
      <c r="K1648" t="str">
        <f>""</f>
        <v/>
      </c>
      <c r="M1648" t="s">
        <v>68</v>
      </c>
      <c r="N1648" t="str">
        <f t="shared" si="153"/>
        <v>FOR</v>
      </c>
      <c r="O1648" t="s">
        <v>69</v>
      </c>
      <c r="P1648" s="3" t="s">
        <v>75</v>
      </c>
      <c r="Q1648">
        <v>2016</v>
      </c>
      <c r="R1648" s="2">
        <v>42471</v>
      </c>
      <c r="S1648" s="2">
        <v>42474</v>
      </c>
      <c r="T1648" s="2">
        <v>42472</v>
      </c>
      <c r="U1648" s="2">
        <v>42532</v>
      </c>
      <c r="V1648" t="s">
        <v>71</v>
      </c>
      <c r="W1648" t="str">
        <f>"          0740443885"</f>
        <v xml:space="preserve">          0740443885</v>
      </c>
      <c r="X1648">
        <v>869.86</v>
      </c>
      <c r="Y1648">
        <v>0</v>
      </c>
      <c r="Z1648" s="3">
        <v>713</v>
      </c>
      <c r="AA1648">
        <v>187</v>
      </c>
      <c r="AB1648" s="5">
        <v>133331</v>
      </c>
      <c r="AC1648">
        <v>713</v>
      </c>
      <c r="AD1648">
        <v>187</v>
      </c>
      <c r="AE1648" s="1">
        <v>133331</v>
      </c>
      <c r="AF1648">
        <v>156.86000000000001</v>
      </c>
      <c r="AJ1648">
        <v>0</v>
      </c>
      <c r="AK1648">
        <v>0</v>
      </c>
      <c r="AL1648">
        <v>0</v>
      </c>
      <c r="AM1648">
        <v>869.86</v>
      </c>
      <c r="AN1648">
        <v>869.86</v>
      </c>
      <c r="AO1648">
        <v>869.86</v>
      </c>
      <c r="AP1648" s="2">
        <v>42746</v>
      </c>
      <c r="AQ1648" t="s">
        <v>72</v>
      </c>
      <c r="AR1648" t="s">
        <v>72</v>
      </c>
      <c r="AS1648">
        <v>3523</v>
      </c>
      <c r="AT1648" s="4">
        <v>42719</v>
      </c>
      <c r="AU1648" t="s">
        <v>73</v>
      </c>
      <c r="AV1648">
        <v>3523</v>
      </c>
      <c r="AW1648" s="4">
        <v>42719</v>
      </c>
      <c r="BD1648">
        <v>156.86000000000001</v>
      </c>
      <c r="BN1648" t="s">
        <v>74</v>
      </c>
    </row>
    <row r="1649" spans="1:66">
      <c r="A1649">
        <v>100494</v>
      </c>
      <c r="B1649" s="3" t="s">
        <v>189</v>
      </c>
      <c r="C1649" s="1">
        <v>43300101</v>
      </c>
      <c r="D1649" t="s">
        <v>67</v>
      </c>
      <c r="H1649" t="str">
        <f t="shared" si="155"/>
        <v>03524050238</v>
      </c>
      <c r="I1649" t="str">
        <f t="shared" si="155"/>
        <v>03524050238</v>
      </c>
      <c r="K1649" t="str">
        <f>""</f>
        <v/>
      </c>
      <c r="M1649" t="s">
        <v>68</v>
      </c>
      <c r="N1649" t="str">
        <f t="shared" si="153"/>
        <v>FOR</v>
      </c>
      <c r="O1649" t="s">
        <v>69</v>
      </c>
      <c r="P1649" s="3" t="s">
        <v>75</v>
      </c>
      <c r="Q1649">
        <v>2016</v>
      </c>
      <c r="R1649" s="2">
        <v>42500</v>
      </c>
      <c r="S1649" s="2">
        <v>42506</v>
      </c>
      <c r="T1649" s="2">
        <v>42501</v>
      </c>
      <c r="U1649" s="2">
        <v>42561</v>
      </c>
      <c r="V1649" t="s">
        <v>71</v>
      </c>
      <c r="W1649" t="str">
        <f>"          0740448841"</f>
        <v xml:space="preserve">          0740448841</v>
      </c>
      <c r="X1649" s="1">
        <v>13908</v>
      </c>
      <c r="Y1649">
        <v>0</v>
      </c>
      <c r="Z1649" s="5">
        <v>11400</v>
      </c>
      <c r="AA1649">
        <v>158</v>
      </c>
      <c r="AB1649" s="5">
        <v>1801200</v>
      </c>
      <c r="AC1649" s="1">
        <v>11400</v>
      </c>
      <c r="AD1649">
        <v>158</v>
      </c>
      <c r="AE1649" s="1">
        <v>1801200</v>
      </c>
      <c r="AF1649" s="1">
        <v>2508</v>
      </c>
      <c r="AJ1649">
        <v>0</v>
      </c>
      <c r="AK1649">
        <v>0</v>
      </c>
      <c r="AL1649">
        <v>0</v>
      </c>
      <c r="AM1649" s="1">
        <v>13908</v>
      </c>
      <c r="AN1649" s="1">
        <v>13908</v>
      </c>
      <c r="AO1649" s="1">
        <v>13908</v>
      </c>
      <c r="AP1649" s="2">
        <v>42746</v>
      </c>
      <c r="AQ1649" t="s">
        <v>72</v>
      </c>
      <c r="AR1649" t="s">
        <v>72</v>
      </c>
      <c r="AS1649">
        <v>3523</v>
      </c>
      <c r="AT1649" s="4">
        <v>42719</v>
      </c>
      <c r="AU1649" t="s">
        <v>73</v>
      </c>
      <c r="AV1649">
        <v>3523</v>
      </c>
      <c r="AW1649" s="4">
        <v>42719</v>
      </c>
      <c r="BC1649" s="1">
        <v>2508</v>
      </c>
      <c r="BD1649">
        <v>0</v>
      </c>
      <c r="BN1649" t="s">
        <v>74</v>
      </c>
    </row>
    <row r="1650" spans="1:66" hidden="1">
      <c r="A1650">
        <v>100500</v>
      </c>
      <c r="B1650" s="3" t="s">
        <v>190</v>
      </c>
      <c r="C1650" s="1">
        <v>43300101</v>
      </c>
      <c r="D1650" t="s">
        <v>67</v>
      </c>
      <c r="H1650" t="str">
        <f t="shared" ref="H1650:H1656" si="156">"02401440157"</f>
        <v>02401440157</v>
      </c>
      <c r="I1650" t="str">
        <f t="shared" ref="I1650:I1656" si="157">"00777280157"</f>
        <v>00777280157</v>
      </c>
      <c r="K1650" t="str">
        <f>""</f>
        <v/>
      </c>
      <c r="M1650" t="s">
        <v>68</v>
      </c>
      <c r="N1650" t="str">
        <f t="shared" si="153"/>
        <v>FOR</v>
      </c>
      <c r="O1650" t="s">
        <v>69</v>
      </c>
      <c r="P1650" s="3" t="s">
        <v>70</v>
      </c>
      <c r="Q1650">
        <v>2015</v>
      </c>
      <c r="R1650" s="2">
        <v>42038</v>
      </c>
      <c r="S1650" s="2">
        <v>42054</v>
      </c>
      <c r="T1650" s="2">
        <v>42054</v>
      </c>
      <c r="U1650" s="2">
        <v>42114</v>
      </c>
      <c r="V1650" t="s">
        <v>71</v>
      </c>
      <c r="W1650" t="str">
        <f>"          1000895232"</f>
        <v xml:space="preserve">          1000895232</v>
      </c>
      <c r="X1650" s="1">
        <v>1171.2</v>
      </c>
      <c r="Y1650">
        <v>0</v>
      </c>
      <c r="Z1650"/>
      <c r="AB1650"/>
      <c r="AC1650">
        <v>960</v>
      </c>
      <c r="AD1650">
        <v>289</v>
      </c>
      <c r="AE1650" s="1">
        <v>277440</v>
      </c>
      <c r="AF1650">
        <v>0</v>
      </c>
      <c r="AJ1650">
        <v>0</v>
      </c>
      <c r="AK1650">
        <v>0</v>
      </c>
      <c r="AL1650">
        <v>0</v>
      </c>
      <c r="AM1650">
        <v>0</v>
      </c>
      <c r="AN1650">
        <v>0</v>
      </c>
      <c r="AO1650">
        <v>0</v>
      </c>
      <c r="AP1650" s="2">
        <v>42746</v>
      </c>
      <c r="AQ1650" t="s">
        <v>72</v>
      </c>
      <c r="AR1650" t="s">
        <v>72</v>
      </c>
      <c r="AS1650">
        <v>232</v>
      </c>
      <c r="AT1650" s="4">
        <v>42403</v>
      </c>
      <c r="AU1650" t="s">
        <v>73</v>
      </c>
      <c r="AV1650">
        <v>232</v>
      </c>
      <c r="AW1650" s="4">
        <v>42403</v>
      </c>
      <c r="BD1650">
        <v>0</v>
      </c>
      <c r="BN1650" t="s">
        <v>74</v>
      </c>
    </row>
    <row r="1651" spans="1:66" hidden="1">
      <c r="A1651">
        <v>100500</v>
      </c>
      <c r="B1651" s="3" t="s">
        <v>190</v>
      </c>
      <c r="C1651" s="1">
        <v>43300101</v>
      </c>
      <c r="D1651" t="s">
        <v>67</v>
      </c>
      <c r="H1651" t="str">
        <f t="shared" si="156"/>
        <v>02401440157</v>
      </c>
      <c r="I1651" t="str">
        <f t="shared" si="157"/>
        <v>00777280157</v>
      </c>
      <c r="K1651" t="str">
        <f>""</f>
        <v/>
      </c>
      <c r="M1651" t="s">
        <v>68</v>
      </c>
      <c r="N1651" t="str">
        <f t="shared" si="153"/>
        <v>FOR</v>
      </c>
      <c r="O1651" t="s">
        <v>69</v>
      </c>
      <c r="P1651" s="3" t="s">
        <v>75</v>
      </c>
      <c r="Q1651">
        <v>2015</v>
      </c>
      <c r="R1651" s="2">
        <v>42095</v>
      </c>
      <c r="S1651" s="2">
        <v>42212</v>
      </c>
      <c r="T1651" s="2">
        <v>42209</v>
      </c>
      <c r="U1651" s="2">
        <v>42269</v>
      </c>
      <c r="V1651" t="s">
        <v>71</v>
      </c>
      <c r="W1651" t="str">
        <f>"          1000917008"</f>
        <v xml:space="preserve">          1000917008</v>
      </c>
      <c r="X1651">
        <v>761.28</v>
      </c>
      <c r="Y1651">
        <v>0</v>
      </c>
      <c r="Z1651"/>
      <c r="AB1651"/>
      <c r="AC1651">
        <v>624</v>
      </c>
      <c r="AD1651">
        <v>183</v>
      </c>
      <c r="AE1651" s="1">
        <v>114192</v>
      </c>
      <c r="AF1651">
        <v>0</v>
      </c>
      <c r="AJ1651">
        <v>0</v>
      </c>
      <c r="AK1651">
        <v>0</v>
      </c>
      <c r="AL1651">
        <v>0</v>
      </c>
      <c r="AM1651">
        <v>0</v>
      </c>
      <c r="AN1651">
        <v>0</v>
      </c>
      <c r="AO1651">
        <v>0</v>
      </c>
      <c r="AP1651" s="2">
        <v>42746</v>
      </c>
      <c r="AQ1651" t="s">
        <v>72</v>
      </c>
      <c r="AR1651" t="s">
        <v>72</v>
      </c>
      <c r="AS1651">
        <v>764</v>
      </c>
      <c r="AT1651" s="4">
        <v>42452</v>
      </c>
      <c r="AU1651" t="s">
        <v>73</v>
      </c>
      <c r="AV1651">
        <v>764</v>
      </c>
      <c r="AW1651" s="4">
        <v>42452</v>
      </c>
      <c r="BD1651">
        <v>0</v>
      </c>
      <c r="BN1651" t="s">
        <v>74</v>
      </c>
    </row>
    <row r="1652" spans="1:66" hidden="1">
      <c r="A1652">
        <v>100500</v>
      </c>
      <c r="B1652" s="3" t="s">
        <v>190</v>
      </c>
      <c r="C1652" s="1">
        <v>43300101</v>
      </c>
      <c r="D1652" t="s">
        <v>67</v>
      </c>
      <c r="H1652" t="str">
        <f t="shared" si="156"/>
        <v>02401440157</v>
      </c>
      <c r="I1652" t="str">
        <f t="shared" si="157"/>
        <v>00777280157</v>
      </c>
      <c r="K1652" t="str">
        <f>""</f>
        <v/>
      </c>
      <c r="M1652" t="s">
        <v>68</v>
      </c>
      <c r="N1652" t="str">
        <f t="shared" si="153"/>
        <v>FOR</v>
      </c>
      <c r="O1652" t="s">
        <v>69</v>
      </c>
      <c r="P1652" s="3" t="s">
        <v>75</v>
      </c>
      <c r="Q1652">
        <v>2015</v>
      </c>
      <c r="R1652" s="2">
        <v>42153</v>
      </c>
      <c r="S1652" s="2">
        <v>42212</v>
      </c>
      <c r="T1652" s="2">
        <v>42209</v>
      </c>
      <c r="U1652" s="2">
        <v>42269</v>
      </c>
      <c r="V1652" t="s">
        <v>71</v>
      </c>
      <c r="W1652" t="str">
        <f>"          1000934178"</f>
        <v xml:space="preserve">          1000934178</v>
      </c>
      <c r="X1652">
        <v>761.28</v>
      </c>
      <c r="Y1652">
        <v>0</v>
      </c>
      <c r="Z1652"/>
      <c r="AB1652"/>
      <c r="AC1652">
        <v>624</v>
      </c>
      <c r="AD1652">
        <v>183</v>
      </c>
      <c r="AE1652" s="1">
        <v>114192</v>
      </c>
      <c r="AF1652">
        <v>0</v>
      </c>
      <c r="AJ1652">
        <v>0</v>
      </c>
      <c r="AK1652">
        <v>0</v>
      </c>
      <c r="AL1652">
        <v>0</v>
      </c>
      <c r="AM1652">
        <v>0</v>
      </c>
      <c r="AN1652">
        <v>0</v>
      </c>
      <c r="AO1652">
        <v>0</v>
      </c>
      <c r="AP1652" s="2">
        <v>42746</v>
      </c>
      <c r="AQ1652" t="s">
        <v>72</v>
      </c>
      <c r="AR1652" t="s">
        <v>72</v>
      </c>
      <c r="AS1652">
        <v>764</v>
      </c>
      <c r="AT1652" s="4">
        <v>42452</v>
      </c>
      <c r="AU1652" t="s">
        <v>73</v>
      </c>
      <c r="AV1652">
        <v>764</v>
      </c>
      <c r="AW1652" s="4">
        <v>42452</v>
      </c>
      <c r="BD1652">
        <v>0</v>
      </c>
      <c r="BN1652" t="s">
        <v>74</v>
      </c>
    </row>
    <row r="1653" spans="1:66" hidden="1">
      <c r="A1653">
        <v>100500</v>
      </c>
      <c r="B1653" s="3" t="s">
        <v>190</v>
      </c>
      <c r="C1653" s="1">
        <v>43300101</v>
      </c>
      <c r="D1653" t="s">
        <v>67</v>
      </c>
      <c r="H1653" t="str">
        <f t="shared" si="156"/>
        <v>02401440157</v>
      </c>
      <c r="I1653" t="str">
        <f t="shared" si="157"/>
        <v>00777280157</v>
      </c>
      <c r="K1653" t="str">
        <f>""</f>
        <v/>
      </c>
      <c r="M1653" t="s">
        <v>68</v>
      </c>
      <c r="N1653" t="str">
        <f t="shared" si="153"/>
        <v>FOR</v>
      </c>
      <c r="O1653" t="s">
        <v>69</v>
      </c>
      <c r="P1653" s="3" t="s">
        <v>75</v>
      </c>
      <c r="Q1653">
        <v>2015</v>
      </c>
      <c r="R1653" s="2">
        <v>42209</v>
      </c>
      <c r="S1653" s="2">
        <v>42212</v>
      </c>
      <c r="T1653" s="2">
        <v>42209</v>
      </c>
      <c r="U1653" s="2">
        <v>42269</v>
      </c>
      <c r="V1653" t="s">
        <v>71</v>
      </c>
      <c r="W1653" t="str">
        <f>"          1000952740"</f>
        <v xml:space="preserve">          1000952740</v>
      </c>
      <c r="X1653" s="1">
        <v>1522.56</v>
      </c>
      <c r="Y1653">
        <v>0</v>
      </c>
      <c r="Z1653"/>
      <c r="AB1653"/>
      <c r="AC1653" s="1">
        <v>1248</v>
      </c>
      <c r="AD1653">
        <v>300</v>
      </c>
      <c r="AE1653" s="1">
        <v>374400</v>
      </c>
      <c r="AF1653">
        <v>0</v>
      </c>
      <c r="AJ1653">
        <v>0</v>
      </c>
      <c r="AK1653">
        <v>0</v>
      </c>
      <c r="AL1653">
        <v>0</v>
      </c>
      <c r="AM1653">
        <v>0</v>
      </c>
      <c r="AN1653">
        <v>0</v>
      </c>
      <c r="AO1653">
        <v>0</v>
      </c>
      <c r="AP1653" s="2">
        <v>42746</v>
      </c>
      <c r="AQ1653" t="s">
        <v>72</v>
      </c>
      <c r="AR1653" t="s">
        <v>72</v>
      </c>
      <c r="AS1653">
        <v>1858</v>
      </c>
      <c r="AT1653" s="4">
        <v>42569</v>
      </c>
      <c r="AU1653" t="s">
        <v>73</v>
      </c>
      <c r="AV1653">
        <v>1858</v>
      </c>
      <c r="AW1653" s="4">
        <v>42569</v>
      </c>
      <c r="BD1653">
        <v>0</v>
      </c>
      <c r="BN1653" t="s">
        <v>74</v>
      </c>
    </row>
    <row r="1654" spans="1:66">
      <c r="A1654">
        <v>100500</v>
      </c>
      <c r="B1654" s="3" t="s">
        <v>190</v>
      </c>
      <c r="C1654" s="1">
        <v>43300101</v>
      </c>
      <c r="D1654" t="s">
        <v>67</v>
      </c>
      <c r="H1654" t="str">
        <f t="shared" si="156"/>
        <v>02401440157</v>
      </c>
      <c r="I1654" t="str">
        <f t="shared" si="157"/>
        <v>00777280157</v>
      </c>
      <c r="K1654" t="str">
        <f>""</f>
        <v/>
      </c>
      <c r="M1654" t="s">
        <v>68</v>
      </c>
      <c r="N1654" t="str">
        <f t="shared" si="153"/>
        <v>FOR</v>
      </c>
      <c r="O1654" t="s">
        <v>69</v>
      </c>
      <c r="P1654" s="3" t="s">
        <v>75</v>
      </c>
      <c r="Q1654">
        <v>2015</v>
      </c>
      <c r="R1654" s="2">
        <v>42300</v>
      </c>
      <c r="S1654" s="2">
        <v>42305</v>
      </c>
      <c r="T1654" s="2">
        <v>42300</v>
      </c>
      <c r="U1654" s="2">
        <v>42360</v>
      </c>
      <c r="V1654" t="s">
        <v>71</v>
      </c>
      <c r="W1654" t="str">
        <f>"          1180118710"</f>
        <v xml:space="preserve">          1180118710</v>
      </c>
      <c r="X1654">
        <v>936.96</v>
      </c>
      <c r="Y1654">
        <v>0</v>
      </c>
      <c r="Z1654" s="3">
        <v>768</v>
      </c>
      <c r="AA1654">
        <v>288</v>
      </c>
      <c r="AB1654" s="5">
        <v>221184</v>
      </c>
      <c r="AC1654">
        <v>768</v>
      </c>
      <c r="AD1654">
        <v>288</v>
      </c>
      <c r="AE1654" s="1">
        <v>221184</v>
      </c>
      <c r="AF1654">
        <v>0</v>
      </c>
      <c r="AJ1654">
        <v>0</v>
      </c>
      <c r="AK1654">
        <v>0</v>
      </c>
      <c r="AL1654">
        <v>0</v>
      </c>
      <c r="AM1654">
        <v>0</v>
      </c>
      <c r="AN1654">
        <v>0</v>
      </c>
      <c r="AO1654">
        <v>0</v>
      </c>
      <c r="AP1654" s="2">
        <v>42746</v>
      </c>
      <c r="AQ1654" t="s">
        <v>72</v>
      </c>
      <c r="AR1654" t="s">
        <v>72</v>
      </c>
      <c r="AS1654">
        <v>2693</v>
      </c>
      <c r="AT1654" s="4">
        <v>42648</v>
      </c>
      <c r="AU1654" t="s">
        <v>73</v>
      </c>
      <c r="AV1654">
        <v>2693</v>
      </c>
      <c r="AW1654" s="4">
        <v>42648</v>
      </c>
      <c r="BD1654">
        <v>0</v>
      </c>
      <c r="BN1654" t="s">
        <v>74</v>
      </c>
    </row>
    <row r="1655" spans="1:66">
      <c r="A1655">
        <v>100500</v>
      </c>
      <c r="B1655" s="3" t="s">
        <v>190</v>
      </c>
      <c r="C1655" s="1">
        <v>43300101</v>
      </c>
      <c r="D1655" t="s">
        <v>67</v>
      </c>
      <c r="H1655" t="str">
        <f t="shared" si="156"/>
        <v>02401440157</v>
      </c>
      <c r="I1655" t="str">
        <f t="shared" si="157"/>
        <v>00777280157</v>
      </c>
      <c r="K1655" t="str">
        <f>""</f>
        <v/>
      </c>
      <c r="M1655" t="s">
        <v>68</v>
      </c>
      <c r="N1655" t="str">
        <f t="shared" si="153"/>
        <v>FOR</v>
      </c>
      <c r="O1655" t="s">
        <v>69</v>
      </c>
      <c r="P1655" s="3" t="s">
        <v>75</v>
      </c>
      <c r="Q1655">
        <v>2015</v>
      </c>
      <c r="R1655" s="2">
        <v>42317</v>
      </c>
      <c r="S1655" s="2">
        <v>42318</v>
      </c>
      <c r="T1655" s="2">
        <v>42317</v>
      </c>
      <c r="U1655" s="2">
        <v>42377</v>
      </c>
      <c r="V1655" t="s">
        <v>71</v>
      </c>
      <c r="W1655" t="str">
        <f>"          1180124848"</f>
        <v xml:space="preserve">          1180124848</v>
      </c>
      <c r="X1655">
        <v>761.28</v>
      </c>
      <c r="Y1655">
        <v>0</v>
      </c>
      <c r="Z1655" s="3">
        <v>624</v>
      </c>
      <c r="AA1655">
        <v>271</v>
      </c>
      <c r="AB1655" s="5">
        <v>169104</v>
      </c>
      <c r="AC1655">
        <v>624</v>
      </c>
      <c r="AD1655">
        <v>271</v>
      </c>
      <c r="AE1655" s="1">
        <v>169104</v>
      </c>
      <c r="AF1655">
        <v>0</v>
      </c>
      <c r="AJ1655">
        <v>0</v>
      </c>
      <c r="AK1655">
        <v>0</v>
      </c>
      <c r="AL1655">
        <v>0</v>
      </c>
      <c r="AM1655">
        <v>0</v>
      </c>
      <c r="AN1655">
        <v>0</v>
      </c>
      <c r="AO1655">
        <v>0</v>
      </c>
      <c r="AP1655" s="2">
        <v>42746</v>
      </c>
      <c r="AQ1655" t="s">
        <v>72</v>
      </c>
      <c r="AR1655" t="s">
        <v>72</v>
      </c>
      <c r="AS1655">
        <v>2693</v>
      </c>
      <c r="AT1655" s="4">
        <v>42648</v>
      </c>
      <c r="AU1655" t="s">
        <v>73</v>
      </c>
      <c r="AV1655">
        <v>2693</v>
      </c>
      <c r="AW1655" s="4">
        <v>42648</v>
      </c>
      <c r="BD1655">
        <v>0</v>
      </c>
      <c r="BN1655" t="s">
        <v>74</v>
      </c>
    </row>
    <row r="1656" spans="1:66">
      <c r="A1656">
        <v>100500</v>
      </c>
      <c r="B1656" s="3" t="s">
        <v>190</v>
      </c>
      <c r="C1656" s="1">
        <v>43300101</v>
      </c>
      <c r="D1656" t="s">
        <v>67</v>
      </c>
      <c r="H1656" t="str">
        <f t="shared" si="156"/>
        <v>02401440157</v>
      </c>
      <c r="I1656" t="str">
        <f t="shared" si="157"/>
        <v>00777280157</v>
      </c>
      <c r="K1656" t="str">
        <f>""</f>
        <v/>
      </c>
      <c r="M1656" t="s">
        <v>68</v>
      </c>
      <c r="N1656" t="str">
        <f t="shared" si="153"/>
        <v>FOR</v>
      </c>
      <c r="O1656" t="s">
        <v>69</v>
      </c>
      <c r="P1656" s="3" t="s">
        <v>75</v>
      </c>
      <c r="Q1656">
        <v>2016</v>
      </c>
      <c r="R1656" s="2">
        <v>42424</v>
      </c>
      <c r="S1656" s="2">
        <v>42425</v>
      </c>
      <c r="T1656" s="2">
        <v>42424</v>
      </c>
      <c r="U1656" s="2">
        <v>42484</v>
      </c>
      <c r="V1656" t="s">
        <v>71</v>
      </c>
      <c r="W1656" t="str">
        <f>"          1180159803"</f>
        <v xml:space="preserve">          1180159803</v>
      </c>
      <c r="X1656">
        <v>878.4</v>
      </c>
      <c r="Y1656">
        <v>0</v>
      </c>
      <c r="Z1656" s="3">
        <v>720</v>
      </c>
      <c r="AA1656">
        <v>164</v>
      </c>
      <c r="AB1656" s="5">
        <v>118080</v>
      </c>
      <c r="AC1656">
        <v>720</v>
      </c>
      <c r="AD1656">
        <v>164</v>
      </c>
      <c r="AE1656" s="1">
        <v>118080</v>
      </c>
      <c r="AF1656">
        <v>0</v>
      </c>
      <c r="AJ1656">
        <v>0</v>
      </c>
      <c r="AK1656">
        <v>0</v>
      </c>
      <c r="AL1656">
        <v>0</v>
      </c>
      <c r="AM1656">
        <v>878.4</v>
      </c>
      <c r="AN1656">
        <v>878.4</v>
      </c>
      <c r="AO1656">
        <v>878.4</v>
      </c>
      <c r="AP1656" s="2">
        <v>42746</v>
      </c>
      <c r="AQ1656" t="s">
        <v>72</v>
      </c>
      <c r="AR1656" t="s">
        <v>72</v>
      </c>
      <c r="AS1656">
        <v>2693</v>
      </c>
      <c r="AT1656" s="4">
        <v>42648</v>
      </c>
      <c r="AU1656" t="s">
        <v>73</v>
      </c>
      <c r="AV1656">
        <v>2693</v>
      </c>
      <c r="AW1656" s="4">
        <v>42648</v>
      </c>
      <c r="BD1656">
        <v>0</v>
      </c>
      <c r="BN1656" t="s">
        <v>74</v>
      </c>
    </row>
    <row r="1657" spans="1:66" hidden="1">
      <c r="A1657">
        <v>100512</v>
      </c>
      <c r="B1657" s="3" t="s">
        <v>191</v>
      </c>
      <c r="C1657" s="1">
        <v>43500101</v>
      </c>
      <c r="D1657" t="s">
        <v>113</v>
      </c>
      <c r="H1657" t="str">
        <f t="shared" ref="H1657:H1668" si="158">"GGLCCT80M44A783D"</f>
        <v>GGLCCT80M44A783D</v>
      </c>
      <c r="I1657" t="str">
        <f t="shared" ref="I1657:I1668" si="159">"01407950623"</f>
        <v>01407950623</v>
      </c>
      <c r="K1657" t="str">
        <f>""</f>
        <v/>
      </c>
      <c r="M1657" t="s">
        <v>68</v>
      </c>
      <c r="N1657" t="str">
        <f t="shared" ref="N1657:N1668" si="160">"ALTPRO"</f>
        <v>ALTPRO</v>
      </c>
      <c r="O1657" t="s">
        <v>132</v>
      </c>
      <c r="P1657" s="3" t="s">
        <v>75</v>
      </c>
      <c r="Q1657">
        <v>2016</v>
      </c>
      <c r="R1657" s="2">
        <v>42404</v>
      </c>
      <c r="S1657" s="2">
        <v>42405</v>
      </c>
      <c r="T1657" s="2">
        <v>42404</v>
      </c>
      <c r="U1657" s="2">
        <v>42464</v>
      </c>
      <c r="V1657" t="s">
        <v>71</v>
      </c>
      <c r="W1657" t="str">
        <f>"         FATTPA 1_16"</f>
        <v xml:space="preserve">         FATTPA 1_16</v>
      </c>
      <c r="X1657" s="1">
        <v>2530.64</v>
      </c>
      <c r="Y1657">
        <v>-505.73</v>
      </c>
      <c r="Z1657"/>
      <c r="AB1657"/>
      <c r="AC1657" s="1">
        <v>2024.91</v>
      </c>
      <c r="AD1657">
        <v>-38</v>
      </c>
      <c r="AE1657" s="1">
        <v>-76946.58</v>
      </c>
      <c r="AF1657">
        <v>0</v>
      </c>
      <c r="AJ1657">
        <v>0</v>
      </c>
      <c r="AK1657">
        <v>0</v>
      </c>
      <c r="AL1657">
        <v>0</v>
      </c>
      <c r="AM1657">
        <v>-505.73</v>
      </c>
      <c r="AN1657" s="1">
        <v>2024.91</v>
      </c>
      <c r="AO1657" s="1">
        <v>2024.91</v>
      </c>
      <c r="AP1657" s="2">
        <v>42746</v>
      </c>
      <c r="AQ1657" t="s">
        <v>72</v>
      </c>
      <c r="AR1657" t="s">
        <v>72</v>
      </c>
      <c r="AS1657">
        <v>580</v>
      </c>
      <c r="AT1657" s="4">
        <v>42426</v>
      </c>
      <c r="AV1657">
        <v>580</v>
      </c>
      <c r="AW1657" s="4">
        <v>42426</v>
      </c>
      <c r="BD1657">
        <v>0</v>
      </c>
      <c r="BN1657" t="s">
        <v>74</v>
      </c>
    </row>
    <row r="1658" spans="1:66" hidden="1">
      <c r="A1658">
        <v>100512</v>
      </c>
      <c r="B1658" s="3" t="s">
        <v>191</v>
      </c>
      <c r="C1658" s="1">
        <v>43500101</v>
      </c>
      <c r="D1658" t="s">
        <v>113</v>
      </c>
      <c r="H1658" t="str">
        <f t="shared" si="158"/>
        <v>GGLCCT80M44A783D</v>
      </c>
      <c r="I1658" t="str">
        <f t="shared" si="159"/>
        <v>01407950623</v>
      </c>
      <c r="K1658" t="str">
        <f>""</f>
        <v/>
      </c>
      <c r="M1658" t="s">
        <v>68</v>
      </c>
      <c r="N1658" t="str">
        <f t="shared" si="160"/>
        <v>ALTPRO</v>
      </c>
      <c r="O1658" t="s">
        <v>132</v>
      </c>
      <c r="P1658" s="3" t="s">
        <v>75</v>
      </c>
      <c r="Q1658">
        <v>2016</v>
      </c>
      <c r="R1658" s="2">
        <v>42404</v>
      </c>
      <c r="S1658" s="2">
        <v>42405</v>
      </c>
      <c r="T1658" s="2">
        <v>42404</v>
      </c>
      <c r="U1658" s="2">
        <v>42464</v>
      </c>
      <c r="V1658" t="s">
        <v>71</v>
      </c>
      <c r="W1658" t="str">
        <f>"         FATTPA 2_16"</f>
        <v xml:space="preserve">         FATTPA 2_16</v>
      </c>
      <c r="X1658" s="1">
        <v>2530.64</v>
      </c>
      <c r="Y1658">
        <v>-505.73</v>
      </c>
      <c r="Z1658"/>
      <c r="AB1658"/>
      <c r="AC1658" s="1">
        <v>2024.91</v>
      </c>
      <c r="AD1658">
        <v>-38</v>
      </c>
      <c r="AE1658" s="1">
        <v>-76946.58</v>
      </c>
      <c r="AF1658">
        <v>0</v>
      </c>
      <c r="AJ1658">
        <v>0</v>
      </c>
      <c r="AK1658">
        <v>0</v>
      </c>
      <c r="AL1658">
        <v>0</v>
      </c>
      <c r="AM1658" s="1">
        <v>2024.91</v>
      </c>
      <c r="AN1658" s="1">
        <v>2024.91</v>
      </c>
      <c r="AO1658" s="1">
        <v>2024.91</v>
      </c>
      <c r="AP1658" s="2">
        <v>42746</v>
      </c>
      <c r="AQ1658" t="s">
        <v>72</v>
      </c>
      <c r="AR1658" t="s">
        <v>72</v>
      </c>
      <c r="AS1658">
        <v>580</v>
      </c>
      <c r="AT1658" s="4">
        <v>42426</v>
      </c>
      <c r="AV1658">
        <v>580</v>
      </c>
      <c r="AW1658" s="4">
        <v>42426</v>
      </c>
      <c r="BD1658">
        <v>0</v>
      </c>
      <c r="BN1658" t="s">
        <v>74</v>
      </c>
    </row>
    <row r="1659" spans="1:66" hidden="1">
      <c r="A1659">
        <v>100512</v>
      </c>
      <c r="B1659" s="3" t="s">
        <v>191</v>
      </c>
      <c r="C1659" s="1">
        <v>43500101</v>
      </c>
      <c r="D1659" t="s">
        <v>113</v>
      </c>
      <c r="H1659" t="str">
        <f t="shared" si="158"/>
        <v>GGLCCT80M44A783D</v>
      </c>
      <c r="I1659" t="str">
        <f t="shared" si="159"/>
        <v>01407950623</v>
      </c>
      <c r="K1659" t="str">
        <f>""</f>
        <v/>
      </c>
      <c r="M1659" t="s">
        <v>68</v>
      </c>
      <c r="N1659" t="str">
        <f t="shared" si="160"/>
        <v>ALTPRO</v>
      </c>
      <c r="O1659" t="s">
        <v>132</v>
      </c>
      <c r="P1659" s="3" t="s">
        <v>75</v>
      </c>
      <c r="Q1659">
        <v>2016</v>
      </c>
      <c r="R1659" s="2">
        <v>42468</v>
      </c>
      <c r="S1659" s="2">
        <v>42471</v>
      </c>
      <c r="T1659" s="2">
        <v>42469</v>
      </c>
      <c r="U1659" s="2">
        <v>42529</v>
      </c>
      <c r="V1659" t="s">
        <v>71</v>
      </c>
      <c r="W1659" t="str">
        <f>"         FATTPA 3_16"</f>
        <v xml:space="preserve">         FATTPA 3_16</v>
      </c>
      <c r="X1659" s="1">
        <v>2636</v>
      </c>
      <c r="Y1659">
        <v>-526.79999999999995</v>
      </c>
      <c r="Z1659"/>
      <c r="AB1659"/>
      <c r="AC1659" s="1">
        <v>2109.1999999999998</v>
      </c>
      <c r="AD1659">
        <v>-42</v>
      </c>
      <c r="AE1659" s="1">
        <v>-88586.4</v>
      </c>
      <c r="AF1659">
        <v>0</v>
      </c>
      <c r="AJ1659">
        <v>0</v>
      </c>
      <c r="AK1659">
        <v>0</v>
      </c>
      <c r="AL1659">
        <v>0</v>
      </c>
      <c r="AM1659" s="1">
        <v>2109.1999999999998</v>
      </c>
      <c r="AN1659" s="1">
        <v>2109.1999999999998</v>
      </c>
      <c r="AO1659" s="1">
        <v>2109.1999999999998</v>
      </c>
      <c r="AP1659" s="2">
        <v>42746</v>
      </c>
      <c r="AQ1659" t="s">
        <v>72</v>
      </c>
      <c r="AR1659" t="s">
        <v>72</v>
      </c>
      <c r="AS1659">
        <v>1145</v>
      </c>
      <c r="AT1659" s="4">
        <v>42487</v>
      </c>
      <c r="AV1659">
        <v>1145</v>
      </c>
      <c r="AW1659" s="4">
        <v>42487</v>
      </c>
      <c r="BD1659">
        <v>0</v>
      </c>
      <c r="BN1659" t="s">
        <v>74</v>
      </c>
    </row>
    <row r="1660" spans="1:66" hidden="1">
      <c r="A1660">
        <v>100512</v>
      </c>
      <c r="B1660" s="3" t="s">
        <v>191</v>
      </c>
      <c r="C1660" s="1">
        <v>43500101</v>
      </c>
      <c r="D1660" t="s">
        <v>113</v>
      </c>
      <c r="H1660" t="str">
        <f t="shared" si="158"/>
        <v>GGLCCT80M44A783D</v>
      </c>
      <c r="I1660" t="str">
        <f t="shared" si="159"/>
        <v>01407950623</v>
      </c>
      <c r="K1660" t="str">
        <f>""</f>
        <v/>
      </c>
      <c r="M1660" t="s">
        <v>68</v>
      </c>
      <c r="N1660" t="str">
        <f t="shared" si="160"/>
        <v>ALTPRO</v>
      </c>
      <c r="O1660" t="s">
        <v>132</v>
      </c>
      <c r="P1660" s="3" t="s">
        <v>75</v>
      </c>
      <c r="Q1660">
        <v>2016</v>
      </c>
      <c r="R1660" s="2">
        <v>42468</v>
      </c>
      <c r="S1660" s="2">
        <v>42471</v>
      </c>
      <c r="T1660" s="2">
        <v>42469</v>
      </c>
      <c r="U1660" s="2">
        <v>42529</v>
      </c>
      <c r="V1660" t="s">
        <v>71</v>
      </c>
      <c r="W1660" t="str">
        <f>"         FATTPA 4_16"</f>
        <v xml:space="preserve">         FATTPA 4_16</v>
      </c>
      <c r="X1660" s="1">
        <v>2741.36</v>
      </c>
      <c r="Y1660">
        <v>-547.87</v>
      </c>
      <c r="Z1660"/>
      <c r="AB1660"/>
      <c r="AC1660" s="1">
        <v>2193.4899999999998</v>
      </c>
      <c r="AD1660">
        <v>-42</v>
      </c>
      <c r="AE1660" s="1">
        <v>-92126.58</v>
      </c>
      <c r="AF1660">
        <v>0</v>
      </c>
      <c r="AJ1660">
        <v>0</v>
      </c>
      <c r="AK1660">
        <v>0</v>
      </c>
      <c r="AL1660">
        <v>0</v>
      </c>
      <c r="AM1660" s="1">
        <v>2193.4899999999998</v>
      </c>
      <c r="AN1660" s="1">
        <v>2193.4899999999998</v>
      </c>
      <c r="AO1660" s="1">
        <v>2193.4899999999998</v>
      </c>
      <c r="AP1660" s="2">
        <v>42746</v>
      </c>
      <c r="AQ1660" t="s">
        <v>72</v>
      </c>
      <c r="AR1660" t="s">
        <v>72</v>
      </c>
      <c r="AS1660">
        <v>1145</v>
      </c>
      <c r="AT1660" s="4">
        <v>42487</v>
      </c>
      <c r="AV1660">
        <v>1145</v>
      </c>
      <c r="AW1660" s="4">
        <v>42487</v>
      </c>
      <c r="BD1660">
        <v>0</v>
      </c>
      <c r="BN1660" t="s">
        <v>74</v>
      </c>
    </row>
    <row r="1661" spans="1:66" hidden="1">
      <c r="A1661">
        <v>100512</v>
      </c>
      <c r="B1661" s="3" t="s">
        <v>191</v>
      </c>
      <c r="C1661" s="1">
        <v>43500101</v>
      </c>
      <c r="D1661" t="s">
        <v>113</v>
      </c>
      <c r="H1661" t="str">
        <f t="shared" si="158"/>
        <v>GGLCCT80M44A783D</v>
      </c>
      <c r="I1661" t="str">
        <f t="shared" si="159"/>
        <v>01407950623</v>
      </c>
      <c r="K1661" t="str">
        <f>""</f>
        <v/>
      </c>
      <c r="M1661" t="s">
        <v>68</v>
      </c>
      <c r="N1661" t="str">
        <f t="shared" si="160"/>
        <v>ALTPRO</v>
      </c>
      <c r="O1661" t="s">
        <v>132</v>
      </c>
      <c r="P1661" s="3" t="s">
        <v>75</v>
      </c>
      <c r="Q1661">
        <v>2016</v>
      </c>
      <c r="R1661" s="2">
        <v>42496</v>
      </c>
      <c r="S1661" s="2">
        <v>42499</v>
      </c>
      <c r="T1661" s="2">
        <v>42496</v>
      </c>
      <c r="U1661" s="2">
        <v>42556</v>
      </c>
      <c r="V1661" t="s">
        <v>71</v>
      </c>
      <c r="W1661" t="str">
        <f>"         FATTPA 5_16"</f>
        <v xml:space="preserve">         FATTPA 5_16</v>
      </c>
      <c r="X1661" s="1">
        <v>2276.73</v>
      </c>
      <c r="Y1661">
        <v>-454.95</v>
      </c>
      <c r="Z1661"/>
      <c r="AB1661"/>
      <c r="AC1661" s="1">
        <v>1821.78</v>
      </c>
      <c r="AD1661">
        <v>-40</v>
      </c>
      <c r="AE1661" s="1">
        <v>-72871.199999999997</v>
      </c>
      <c r="AF1661">
        <v>0</v>
      </c>
      <c r="AJ1661">
        <v>0</v>
      </c>
      <c r="AK1661">
        <v>0</v>
      </c>
      <c r="AL1661">
        <v>0</v>
      </c>
      <c r="AM1661" s="1">
        <v>1821.78</v>
      </c>
      <c r="AN1661" s="1">
        <v>1821.78</v>
      </c>
      <c r="AO1661" s="1">
        <v>1821.78</v>
      </c>
      <c r="AP1661" s="2">
        <v>42746</v>
      </c>
      <c r="AQ1661" t="s">
        <v>72</v>
      </c>
      <c r="AR1661" t="s">
        <v>72</v>
      </c>
      <c r="AS1661">
        <v>1371</v>
      </c>
      <c r="AT1661" s="4">
        <v>42516</v>
      </c>
      <c r="AV1661">
        <v>1371</v>
      </c>
      <c r="AW1661" s="4">
        <v>42516</v>
      </c>
      <c r="BD1661">
        <v>0</v>
      </c>
      <c r="BN1661" t="s">
        <v>74</v>
      </c>
    </row>
    <row r="1662" spans="1:66" hidden="1">
      <c r="A1662">
        <v>100512</v>
      </c>
      <c r="B1662" s="3" t="s">
        <v>191</v>
      </c>
      <c r="C1662" s="1">
        <v>43500101</v>
      </c>
      <c r="D1662" t="s">
        <v>113</v>
      </c>
      <c r="H1662" t="str">
        <f t="shared" si="158"/>
        <v>GGLCCT80M44A783D</v>
      </c>
      <c r="I1662" t="str">
        <f t="shared" si="159"/>
        <v>01407950623</v>
      </c>
      <c r="K1662" t="str">
        <f>""</f>
        <v/>
      </c>
      <c r="M1662" t="s">
        <v>68</v>
      </c>
      <c r="N1662" t="str">
        <f t="shared" si="160"/>
        <v>ALTPRO</v>
      </c>
      <c r="O1662" t="s">
        <v>132</v>
      </c>
      <c r="P1662" s="3" t="s">
        <v>75</v>
      </c>
      <c r="Q1662">
        <v>2016</v>
      </c>
      <c r="R1662" s="2">
        <v>42529</v>
      </c>
      <c r="S1662" s="2">
        <v>42529</v>
      </c>
      <c r="T1662" s="2">
        <v>42529</v>
      </c>
      <c r="U1662" s="2">
        <v>42589</v>
      </c>
      <c r="V1662" t="s">
        <v>71</v>
      </c>
      <c r="W1662" t="str">
        <f>"         FATTPA 6_16"</f>
        <v xml:space="preserve">         FATTPA 6_16</v>
      </c>
      <c r="X1662" s="1">
        <v>2741.36</v>
      </c>
      <c r="Y1662">
        <v>-547.87</v>
      </c>
      <c r="Z1662"/>
      <c r="AB1662"/>
      <c r="AC1662" s="1">
        <v>2193.4899999999998</v>
      </c>
      <c r="AD1662">
        <v>-37</v>
      </c>
      <c r="AE1662" s="1">
        <v>-81159.13</v>
      </c>
      <c r="AF1662">
        <v>0</v>
      </c>
      <c r="AJ1662">
        <v>0</v>
      </c>
      <c r="AK1662">
        <v>0</v>
      </c>
      <c r="AL1662">
        <v>0</v>
      </c>
      <c r="AM1662" s="1">
        <v>2193.4899999999998</v>
      </c>
      <c r="AN1662" s="1">
        <v>2193.4899999999998</v>
      </c>
      <c r="AO1662" s="1">
        <v>2193.4899999999998</v>
      </c>
      <c r="AP1662" s="2">
        <v>42746</v>
      </c>
      <c r="AQ1662" t="s">
        <v>72</v>
      </c>
      <c r="AR1662" t="s">
        <v>72</v>
      </c>
      <c r="AS1662">
        <v>1644</v>
      </c>
      <c r="AT1662" s="4">
        <v>42552</v>
      </c>
      <c r="AV1662">
        <v>1644</v>
      </c>
      <c r="AW1662" s="4">
        <v>42552</v>
      </c>
      <c r="BD1662">
        <v>0</v>
      </c>
      <c r="BN1662" t="s">
        <v>74</v>
      </c>
    </row>
    <row r="1663" spans="1:66" hidden="1">
      <c r="A1663">
        <v>100512</v>
      </c>
      <c r="B1663" s="3" t="s">
        <v>191</v>
      </c>
      <c r="C1663" s="1">
        <v>43500101</v>
      </c>
      <c r="D1663" t="s">
        <v>113</v>
      </c>
      <c r="H1663" t="str">
        <f t="shared" si="158"/>
        <v>GGLCCT80M44A783D</v>
      </c>
      <c r="I1663" t="str">
        <f t="shared" si="159"/>
        <v>01407950623</v>
      </c>
      <c r="K1663" t="str">
        <f>""</f>
        <v/>
      </c>
      <c r="M1663" t="s">
        <v>68</v>
      </c>
      <c r="N1663" t="str">
        <f t="shared" si="160"/>
        <v>ALTPRO</v>
      </c>
      <c r="O1663" t="s">
        <v>132</v>
      </c>
      <c r="P1663" s="3" t="s">
        <v>75</v>
      </c>
      <c r="Q1663">
        <v>2016</v>
      </c>
      <c r="R1663" s="2">
        <v>42586</v>
      </c>
      <c r="S1663" s="2">
        <v>42587</v>
      </c>
      <c r="T1663" s="2">
        <v>42586</v>
      </c>
      <c r="U1663" s="2">
        <v>42646</v>
      </c>
      <c r="V1663" t="s">
        <v>71</v>
      </c>
      <c r="W1663" t="str">
        <f>"         FATTPA 7_16"</f>
        <v xml:space="preserve">         FATTPA 7_16</v>
      </c>
      <c r="X1663" s="1">
        <v>2636</v>
      </c>
      <c r="Y1663">
        <v>-526.79999999999995</v>
      </c>
      <c r="Z1663"/>
      <c r="AB1663"/>
      <c r="AC1663" s="1">
        <v>2109.1999999999998</v>
      </c>
      <c r="AD1663">
        <v>-28</v>
      </c>
      <c r="AE1663" s="1">
        <v>-59057.599999999999</v>
      </c>
      <c r="AF1663">
        <v>0</v>
      </c>
      <c r="AJ1663">
        <v>0</v>
      </c>
      <c r="AK1663">
        <v>0</v>
      </c>
      <c r="AL1663">
        <v>0</v>
      </c>
      <c r="AM1663" s="1">
        <v>2109.1999999999998</v>
      </c>
      <c r="AN1663" s="1">
        <v>2109.1999999999998</v>
      </c>
      <c r="AO1663" s="1">
        <v>2109.1999999999998</v>
      </c>
      <c r="AP1663" s="2">
        <v>42746</v>
      </c>
      <c r="AQ1663" t="s">
        <v>72</v>
      </c>
      <c r="AR1663" t="s">
        <v>72</v>
      </c>
      <c r="AS1663">
        <v>2241</v>
      </c>
      <c r="AT1663" s="4">
        <v>42618</v>
      </c>
      <c r="AV1663">
        <v>2241</v>
      </c>
      <c r="AW1663" s="4">
        <v>42618</v>
      </c>
      <c r="BD1663">
        <v>0</v>
      </c>
      <c r="BN1663" t="s">
        <v>74</v>
      </c>
    </row>
    <row r="1664" spans="1:66" hidden="1">
      <c r="A1664">
        <v>100512</v>
      </c>
      <c r="B1664" s="3" t="s">
        <v>191</v>
      </c>
      <c r="C1664" s="1">
        <v>43500101</v>
      </c>
      <c r="D1664" t="s">
        <v>113</v>
      </c>
      <c r="H1664" t="str">
        <f t="shared" si="158"/>
        <v>GGLCCT80M44A783D</v>
      </c>
      <c r="I1664" t="str">
        <f t="shared" si="159"/>
        <v>01407950623</v>
      </c>
      <c r="K1664" t="str">
        <f>""</f>
        <v/>
      </c>
      <c r="M1664" t="s">
        <v>68</v>
      </c>
      <c r="N1664" t="str">
        <f t="shared" si="160"/>
        <v>ALTPRO</v>
      </c>
      <c r="O1664" t="s">
        <v>132</v>
      </c>
      <c r="P1664" s="3" t="s">
        <v>75</v>
      </c>
      <c r="Q1664">
        <v>2016</v>
      </c>
      <c r="R1664" s="2">
        <v>42586</v>
      </c>
      <c r="S1664" s="2">
        <v>42587</v>
      </c>
      <c r="T1664" s="2">
        <v>42586</v>
      </c>
      <c r="U1664" s="2">
        <v>42646</v>
      </c>
      <c r="V1664" t="s">
        <v>71</v>
      </c>
      <c r="W1664" t="str">
        <f>"         FATTPA 8_16"</f>
        <v xml:space="preserve">         FATTPA 8_16</v>
      </c>
      <c r="X1664" s="1">
        <v>2118.69</v>
      </c>
      <c r="Y1664">
        <v>-423.34</v>
      </c>
      <c r="Z1664"/>
      <c r="AB1664"/>
      <c r="AC1664" s="1">
        <v>1695.35</v>
      </c>
      <c r="AD1664">
        <v>-28</v>
      </c>
      <c r="AE1664" s="1">
        <v>-47469.8</v>
      </c>
      <c r="AF1664">
        <v>0</v>
      </c>
      <c r="AJ1664">
        <v>0</v>
      </c>
      <c r="AK1664">
        <v>0</v>
      </c>
      <c r="AL1664">
        <v>0</v>
      </c>
      <c r="AM1664" s="1">
        <v>1695.35</v>
      </c>
      <c r="AN1664" s="1">
        <v>1695.35</v>
      </c>
      <c r="AO1664" s="1">
        <v>1695.35</v>
      </c>
      <c r="AP1664" s="2">
        <v>42746</v>
      </c>
      <c r="AQ1664" t="s">
        <v>72</v>
      </c>
      <c r="AR1664" t="s">
        <v>72</v>
      </c>
      <c r="AS1664">
        <v>2241</v>
      </c>
      <c r="AT1664" s="4">
        <v>42618</v>
      </c>
      <c r="AV1664">
        <v>2241</v>
      </c>
      <c r="AW1664" s="4">
        <v>42618</v>
      </c>
      <c r="BD1664">
        <v>0</v>
      </c>
      <c r="BN1664" t="s">
        <v>74</v>
      </c>
    </row>
    <row r="1665" spans="1:66">
      <c r="A1665">
        <v>100512</v>
      </c>
      <c r="B1665" s="3" t="s">
        <v>191</v>
      </c>
      <c r="C1665" s="1">
        <v>43500101</v>
      </c>
      <c r="D1665" t="s">
        <v>113</v>
      </c>
      <c r="H1665" t="str">
        <f t="shared" si="158"/>
        <v>GGLCCT80M44A783D</v>
      </c>
      <c r="I1665" t="str">
        <f t="shared" si="159"/>
        <v>01407950623</v>
      </c>
      <c r="K1665" t="str">
        <f>""</f>
        <v/>
      </c>
      <c r="M1665" t="s">
        <v>68</v>
      </c>
      <c r="N1665" t="str">
        <f t="shared" si="160"/>
        <v>ALTPRO</v>
      </c>
      <c r="O1665" t="s">
        <v>132</v>
      </c>
      <c r="P1665" s="3" t="s">
        <v>75</v>
      </c>
      <c r="Q1665">
        <v>2016</v>
      </c>
      <c r="R1665" s="2">
        <v>42621</v>
      </c>
      <c r="S1665" s="2">
        <v>42621</v>
      </c>
      <c r="T1665" s="2">
        <v>42621</v>
      </c>
      <c r="U1665" s="2">
        <v>42681</v>
      </c>
      <c r="V1665" t="s">
        <v>71</v>
      </c>
      <c r="W1665" t="str">
        <f>"         FATTPA 9_16"</f>
        <v xml:space="preserve">         FATTPA 9_16</v>
      </c>
      <c r="X1665" s="1">
        <v>2212.56</v>
      </c>
      <c r="Y1665">
        <v>-442.51</v>
      </c>
      <c r="Z1665" s="5">
        <v>1770.05</v>
      </c>
      <c r="AA1665">
        <v>-35</v>
      </c>
      <c r="AB1665" s="5">
        <v>-61951.75</v>
      </c>
      <c r="AC1665" s="1">
        <v>1770.05</v>
      </c>
      <c r="AD1665">
        <v>-35</v>
      </c>
      <c r="AE1665" s="1">
        <v>-61951.75</v>
      </c>
      <c r="AF1665">
        <v>0</v>
      </c>
      <c r="AJ1665">
        <v>0</v>
      </c>
      <c r="AK1665">
        <v>0</v>
      </c>
      <c r="AL1665">
        <v>0</v>
      </c>
      <c r="AM1665" s="1">
        <v>1770.05</v>
      </c>
      <c r="AN1665" s="1">
        <v>1770.05</v>
      </c>
      <c r="AO1665" s="1">
        <v>1770.05</v>
      </c>
      <c r="AP1665" s="2">
        <v>42746</v>
      </c>
      <c r="AQ1665" t="s">
        <v>72</v>
      </c>
      <c r="AR1665" t="s">
        <v>72</v>
      </c>
      <c r="AS1665">
        <v>2513</v>
      </c>
      <c r="AT1665" s="4">
        <v>42646</v>
      </c>
      <c r="AV1665">
        <v>2513</v>
      </c>
      <c r="AW1665" s="4">
        <v>42646</v>
      </c>
      <c r="BD1665">
        <v>0</v>
      </c>
      <c r="BN1665" t="s">
        <v>74</v>
      </c>
    </row>
    <row r="1666" spans="1:66">
      <c r="A1666">
        <v>100512</v>
      </c>
      <c r="B1666" s="3" t="s">
        <v>191</v>
      </c>
      <c r="C1666" s="1">
        <v>43500101</v>
      </c>
      <c r="D1666" t="s">
        <v>113</v>
      </c>
      <c r="H1666" t="str">
        <f t="shared" si="158"/>
        <v>GGLCCT80M44A783D</v>
      </c>
      <c r="I1666" t="str">
        <f t="shared" si="159"/>
        <v>01407950623</v>
      </c>
      <c r="K1666" t="str">
        <f>""</f>
        <v/>
      </c>
      <c r="M1666" t="s">
        <v>68</v>
      </c>
      <c r="N1666" t="str">
        <f t="shared" si="160"/>
        <v>ALTPRO</v>
      </c>
      <c r="O1666" t="s">
        <v>132</v>
      </c>
      <c r="P1666" s="3" t="s">
        <v>75</v>
      </c>
      <c r="Q1666">
        <v>2016</v>
      </c>
      <c r="R1666" s="2">
        <v>42650</v>
      </c>
      <c r="S1666" s="2">
        <v>42654</v>
      </c>
      <c r="T1666" s="2">
        <v>42650</v>
      </c>
      <c r="U1666" s="2">
        <v>42710</v>
      </c>
      <c r="V1666" t="s">
        <v>71</v>
      </c>
      <c r="W1666" t="str">
        <f>"        FATTPA 10_16"</f>
        <v xml:space="preserve">        FATTPA 10_16</v>
      </c>
      <c r="X1666" s="1">
        <v>2249.79</v>
      </c>
      <c r="Y1666">
        <v>-449.96</v>
      </c>
      <c r="Z1666" s="5">
        <v>1799.83</v>
      </c>
      <c r="AA1666">
        <v>-42</v>
      </c>
      <c r="AB1666" s="5">
        <v>-75592.86</v>
      </c>
      <c r="AC1666" s="1">
        <v>1799.83</v>
      </c>
      <c r="AD1666">
        <v>-42</v>
      </c>
      <c r="AE1666" s="1">
        <v>-75592.86</v>
      </c>
      <c r="AF1666">
        <v>0</v>
      </c>
      <c r="AJ1666">
        <v>-449.96</v>
      </c>
      <c r="AK1666" s="1">
        <v>1799.83</v>
      </c>
      <c r="AL1666" s="1">
        <v>1799.83</v>
      </c>
      <c r="AM1666" s="1">
        <v>1799.83</v>
      </c>
      <c r="AN1666" s="1">
        <v>1799.83</v>
      </c>
      <c r="AO1666" s="1">
        <v>1799.83</v>
      </c>
      <c r="AP1666" s="2">
        <v>42746</v>
      </c>
      <c r="AQ1666" t="s">
        <v>72</v>
      </c>
      <c r="AR1666" t="s">
        <v>72</v>
      </c>
      <c r="AS1666">
        <v>2872</v>
      </c>
      <c r="AT1666" s="4">
        <v>42668</v>
      </c>
      <c r="AV1666">
        <v>2872</v>
      </c>
      <c r="AW1666" s="4">
        <v>42668</v>
      </c>
      <c r="BD1666">
        <v>0</v>
      </c>
      <c r="BN1666" t="s">
        <v>74</v>
      </c>
    </row>
    <row r="1667" spans="1:66">
      <c r="A1667">
        <v>100512</v>
      </c>
      <c r="B1667" s="3" t="s">
        <v>191</v>
      </c>
      <c r="C1667" s="1">
        <v>43500101</v>
      </c>
      <c r="D1667" t="s">
        <v>113</v>
      </c>
      <c r="H1667" t="str">
        <f t="shared" si="158"/>
        <v>GGLCCT80M44A783D</v>
      </c>
      <c r="I1667" t="str">
        <f t="shared" si="159"/>
        <v>01407950623</v>
      </c>
      <c r="K1667" t="str">
        <f>""</f>
        <v/>
      </c>
      <c r="M1667" t="s">
        <v>68</v>
      </c>
      <c r="N1667" t="str">
        <f t="shared" si="160"/>
        <v>ALTPRO</v>
      </c>
      <c r="O1667" t="s">
        <v>132</v>
      </c>
      <c r="P1667" s="3" t="s">
        <v>75</v>
      </c>
      <c r="Q1667">
        <v>2016</v>
      </c>
      <c r="R1667" s="2">
        <v>42681</v>
      </c>
      <c r="S1667" s="2">
        <v>42681</v>
      </c>
      <c r="T1667" s="2">
        <v>42681</v>
      </c>
      <c r="U1667" s="2">
        <v>42741</v>
      </c>
      <c r="V1667" t="s">
        <v>71</v>
      </c>
      <c r="W1667" t="str">
        <f>"        FATTPA 11_16"</f>
        <v xml:space="preserve">        FATTPA 11_16</v>
      </c>
      <c r="X1667" s="1">
        <v>2739.36</v>
      </c>
      <c r="Y1667">
        <v>-547.87</v>
      </c>
      <c r="Z1667" s="5">
        <v>2191.4899999999998</v>
      </c>
      <c r="AA1667">
        <v>-59</v>
      </c>
      <c r="AB1667" s="5">
        <v>-129297.91</v>
      </c>
      <c r="AC1667" s="1">
        <v>2191.4899999999998</v>
      </c>
      <c r="AD1667">
        <v>-59</v>
      </c>
      <c r="AE1667" s="1">
        <v>-129297.91</v>
      </c>
      <c r="AF1667">
        <v>0</v>
      </c>
      <c r="AJ1667" s="1">
        <v>2191.4899999999998</v>
      </c>
      <c r="AK1667" s="1">
        <v>2191.4899999999998</v>
      </c>
      <c r="AL1667" s="1">
        <v>2191.4899999999998</v>
      </c>
      <c r="AM1667" s="1">
        <v>2191.4899999999998</v>
      </c>
      <c r="AN1667" s="1">
        <v>2191.4899999999998</v>
      </c>
      <c r="AO1667" s="1">
        <v>2191.4899999999998</v>
      </c>
      <c r="AP1667" s="2">
        <v>42746</v>
      </c>
      <c r="AQ1667" t="s">
        <v>72</v>
      </c>
      <c r="AR1667" t="s">
        <v>72</v>
      </c>
      <c r="AS1667">
        <v>2965</v>
      </c>
      <c r="AT1667" s="4">
        <v>42682</v>
      </c>
      <c r="AV1667">
        <v>2965</v>
      </c>
      <c r="AW1667" s="4">
        <v>42682</v>
      </c>
      <c r="BD1667">
        <v>0</v>
      </c>
      <c r="BN1667" t="s">
        <v>74</v>
      </c>
    </row>
    <row r="1668" spans="1:66">
      <c r="A1668">
        <v>100512</v>
      </c>
      <c r="B1668" s="3" t="s">
        <v>191</v>
      </c>
      <c r="C1668" s="1">
        <v>43500101</v>
      </c>
      <c r="D1668" t="s">
        <v>113</v>
      </c>
      <c r="H1668" t="str">
        <f t="shared" si="158"/>
        <v>GGLCCT80M44A783D</v>
      </c>
      <c r="I1668" t="str">
        <f t="shared" si="159"/>
        <v>01407950623</v>
      </c>
      <c r="K1668" t="str">
        <f>""</f>
        <v/>
      </c>
      <c r="M1668" t="s">
        <v>68</v>
      </c>
      <c r="N1668" t="str">
        <f t="shared" si="160"/>
        <v>ALTPRO</v>
      </c>
      <c r="O1668" t="s">
        <v>132</v>
      </c>
      <c r="P1668" s="3" t="s">
        <v>75</v>
      </c>
      <c r="Q1668">
        <v>2016</v>
      </c>
      <c r="R1668" s="2">
        <v>42710</v>
      </c>
      <c r="S1668" s="2">
        <v>42711</v>
      </c>
      <c r="T1668" s="2">
        <v>42711</v>
      </c>
      <c r="U1668" s="2">
        <v>42771</v>
      </c>
      <c r="V1668" t="s">
        <v>71</v>
      </c>
      <c r="W1668" t="str">
        <f>"        FATTPA 12_16"</f>
        <v xml:space="preserve">        FATTPA 12_16</v>
      </c>
      <c r="X1668" s="1">
        <v>2634</v>
      </c>
      <c r="Y1668">
        <v>-526.79999999999995</v>
      </c>
      <c r="Z1668" s="5">
        <v>2107.1999999999998</v>
      </c>
      <c r="AA1668">
        <v>-60</v>
      </c>
      <c r="AB1668" s="5">
        <v>-126432</v>
      </c>
      <c r="AC1668" s="1">
        <v>2107.1999999999998</v>
      </c>
      <c r="AD1668">
        <v>-60</v>
      </c>
      <c r="AE1668" s="1">
        <v>-126432</v>
      </c>
      <c r="AF1668">
        <v>0</v>
      </c>
      <c r="AJ1668" s="1">
        <v>2107.1999999999998</v>
      </c>
      <c r="AK1668" s="1">
        <v>2107.1999999999998</v>
      </c>
      <c r="AL1668" s="1">
        <v>2107.1999999999998</v>
      </c>
      <c r="AM1668" s="1">
        <v>2107.1999999999998</v>
      </c>
      <c r="AN1668" s="1">
        <v>2107.1999999999998</v>
      </c>
      <c r="AO1668" s="1">
        <v>2107.1999999999998</v>
      </c>
      <c r="AP1668" s="2">
        <v>42746</v>
      </c>
      <c r="AQ1668" t="s">
        <v>72</v>
      </c>
      <c r="AR1668" t="s">
        <v>72</v>
      </c>
      <c r="AS1668">
        <v>3353</v>
      </c>
      <c r="AT1668" s="4">
        <v>42711</v>
      </c>
      <c r="AV1668">
        <v>3353</v>
      </c>
      <c r="AW1668" s="4">
        <v>42711</v>
      </c>
      <c r="BD1668">
        <v>0</v>
      </c>
      <c r="BN1668" t="s">
        <v>74</v>
      </c>
    </row>
    <row r="1669" spans="1:66" hidden="1">
      <c r="A1669">
        <v>100514</v>
      </c>
      <c r="B1669" s="3" t="s">
        <v>192</v>
      </c>
      <c r="C1669" s="1">
        <v>43500101</v>
      </c>
      <c r="D1669" t="s">
        <v>113</v>
      </c>
      <c r="H1669" t="str">
        <f>"CTTMSV61B55I277Y"</f>
        <v>CTTMSV61B55I277Y</v>
      </c>
      <c r="I1669" t="str">
        <f>""</f>
        <v/>
      </c>
      <c r="K1669" t="str">
        <f>""</f>
        <v/>
      </c>
      <c r="M1669" t="s">
        <v>68</v>
      </c>
      <c r="N1669" t="str">
        <f>"ALT"</f>
        <v>ALT</v>
      </c>
      <c r="O1669" t="s">
        <v>114</v>
      </c>
      <c r="P1669" s="3" t="s">
        <v>92</v>
      </c>
      <c r="Q1669">
        <v>2016</v>
      </c>
      <c r="R1669" s="2">
        <v>42633</v>
      </c>
      <c r="S1669" s="2">
        <v>42634</v>
      </c>
      <c r="T1669" s="2">
        <v>42634</v>
      </c>
      <c r="U1669" s="2">
        <v>42694</v>
      </c>
      <c r="V1669" t="s">
        <v>71</v>
      </c>
      <c r="W1669" t="str">
        <f>"                0920"</f>
        <v xml:space="preserve">                0920</v>
      </c>
      <c r="X1669">
        <v>0</v>
      </c>
      <c r="Y1669">
        <v>500</v>
      </c>
      <c r="Z1669"/>
      <c r="AB1669"/>
      <c r="AC1669">
        <v>500</v>
      </c>
      <c r="AD1669">
        <v>-60</v>
      </c>
      <c r="AE1669" s="1">
        <v>-30000</v>
      </c>
      <c r="AF1669">
        <v>0</v>
      </c>
      <c r="AJ1669">
        <v>0</v>
      </c>
      <c r="AK1669">
        <v>0</v>
      </c>
      <c r="AL1669">
        <v>0</v>
      </c>
      <c r="AM1669">
        <v>500</v>
      </c>
      <c r="AN1669">
        <v>500</v>
      </c>
      <c r="AO1669">
        <v>500</v>
      </c>
      <c r="AP1669" s="2">
        <v>42746</v>
      </c>
      <c r="AQ1669" t="s">
        <v>72</v>
      </c>
      <c r="AR1669" t="s">
        <v>72</v>
      </c>
      <c r="AS1669">
        <v>2448</v>
      </c>
      <c r="AT1669" s="4">
        <v>42634</v>
      </c>
      <c r="AV1669">
        <v>2448</v>
      </c>
      <c r="AW1669" s="4">
        <v>42634</v>
      </c>
      <c r="BD1669">
        <v>0</v>
      </c>
      <c r="BN1669" t="s">
        <v>74</v>
      </c>
    </row>
    <row r="1670" spans="1:66" hidden="1">
      <c r="A1670">
        <v>100514</v>
      </c>
      <c r="B1670" s="3" t="s">
        <v>192</v>
      </c>
      <c r="C1670" s="1">
        <v>43500101</v>
      </c>
      <c r="D1670" t="s">
        <v>113</v>
      </c>
      <c r="H1670" t="str">
        <f>"CTTMSV61B55I277Y"</f>
        <v>CTTMSV61B55I277Y</v>
      </c>
      <c r="I1670" t="str">
        <f>""</f>
        <v/>
      </c>
      <c r="K1670" t="str">
        <f>""</f>
        <v/>
      </c>
      <c r="M1670" t="s">
        <v>68</v>
      </c>
      <c r="N1670" t="str">
        <f>"ALT"</f>
        <v>ALT</v>
      </c>
      <c r="O1670" t="s">
        <v>114</v>
      </c>
      <c r="P1670" s="3" t="s">
        <v>93</v>
      </c>
      <c r="Q1670">
        <v>2016</v>
      </c>
      <c r="R1670" s="2">
        <v>42664</v>
      </c>
      <c r="S1670" s="2">
        <v>42667</v>
      </c>
      <c r="T1670" s="2">
        <v>42667</v>
      </c>
      <c r="U1670" s="2">
        <v>42727</v>
      </c>
      <c r="V1670" t="s">
        <v>71</v>
      </c>
      <c r="W1670" t="str">
        <f>"                1021"</f>
        <v xml:space="preserve">                1021</v>
      </c>
      <c r="X1670">
        <v>0</v>
      </c>
      <c r="Y1670">
        <v>500</v>
      </c>
      <c r="Z1670" s="3">
        <v>500</v>
      </c>
      <c r="AA1670">
        <v>-60</v>
      </c>
      <c r="AB1670" s="5">
        <v>-30000</v>
      </c>
      <c r="AC1670">
        <v>500</v>
      </c>
      <c r="AD1670">
        <v>-60</v>
      </c>
      <c r="AE1670" s="1">
        <v>-30000</v>
      </c>
      <c r="AF1670">
        <v>0</v>
      </c>
      <c r="AJ1670">
        <v>500</v>
      </c>
      <c r="AK1670">
        <v>500</v>
      </c>
      <c r="AL1670">
        <v>500</v>
      </c>
      <c r="AM1670">
        <v>500</v>
      </c>
      <c r="AN1670">
        <v>500</v>
      </c>
      <c r="AO1670">
        <v>500</v>
      </c>
      <c r="AP1670" s="2">
        <v>42746</v>
      </c>
      <c r="AQ1670" t="s">
        <v>72</v>
      </c>
      <c r="AR1670" t="s">
        <v>72</v>
      </c>
      <c r="AS1670">
        <v>2795</v>
      </c>
      <c r="AT1670" s="4">
        <v>42667</v>
      </c>
      <c r="AV1670">
        <v>2795</v>
      </c>
      <c r="AW1670" s="4">
        <v>42667</v>
      </c>
      <c r="BD1670">
        <v>0</v>
      </c>
      <c r="BN1670" t="s">
        <v>74</v>
      </c>
    </row>
    <row r="1671" spans="1:66" hidden="1">
      <c r="A1671">
        <v>100514</v>
      </c>
      <c r="B1671" s="3" t="s">
        <v>192</v>
      </c>
      <c r="C1671" s="1">
        <v>43500101</v>
      </c>
      <c r="D1671" t="s">
        <v>113</v>
      </c>
      <c r="H1671" t="str">
        <f>"CTTMSV61B55I277Y"</f>
        <v>CTTMSV61B55I277Y</v>
      </c>
      <c r="I1671" t="str">
        <f>""</f>
        <v/>
      </c>
      <c r="K1671" t="str">
        <f>""</f>
        <v/>
      </c>
      <c r="M1671" t="s">
        <v>68</v>
      </c>
      <c r="N1671" t="str">
        <f>"ALT"</f>
        <v>ALT</v>
      </c>
      <c r="O1671" t="s">
        <v>114</v>
      </c>
      <c r="P1671" s="3" t="s">
        <v>94</v>
      </c>
      <c r="Q1671">
        <v>2016</v>
      </c>
      <c r="R1671" s="2">
        <v>42696</v>
      </c>
      <c r="S1671" s="2">
        <v>42696</v>
      </c>
      <c r="T1671" s="2">
        <v>42696</v>
      </c>
      <c r="U1671" s="2">
        <v>42756</v>
      </c>
      <c r="V1671" t="s">
        <v>71</v>
      </c>
      <c r="W1671" t="str">
        <f>"                1122"</f>
        <v xml:space="preserve">                1122</v>
      </c>
      <c r="X1671">
        <v>0</v>
      </c>
      <c r="Y1671">
        <v>500</v>
      </c>
      <c r="Z1671" s="3">
        <v>500</v>
      </c>
      <c r="AA1671">
        <v>-59</v>
      </c>
      <c r="AB1671" s="5">
        <v>-29500</v>
      </c>
      <c r="AC1671">
        <v>500</v>
      </c>
      <c r="AD1671">
        <v>-59</v>
      </c>
      <c r="AE1671" s="1">
        <v>-29500</v>
      </c>
      <c r="AF1671">
        <v>0</v>
      </c>
      <c r="AJ1671">
        <v>500</v>
      </c>
      <c r="AK1671">
        <v>500</v>
      </c>
      <c r="AL1671">
        <v>500</v>
      </c>
      <c r="AM1671">
        <v>500</v>
      </c>
      <c r="AN1671">
        <v>500</v>
      </c>
      <c r="AO1671">
        <v>500</v>
      </c>
      <c r="AP1671" s="2">
        <v>42746</v>
      </c>
      <c r="AQ1671" t="s">
        <v>72</v>
      </c>
      <c r="AR1671" t="s">
        <v>72</v>
      </c>
      <c r="AS1671">
        <v>3233</v>
      </c>
      <c r="AT1671" s="4">
        <v>42697</v>
      </c>
      <c r="AV1671">
        <v>3233</v>
      </c>
      <c r="AW1671" s="4">
        <v>42697</v>
      </c>
      <c r="BD1671">
        <v>0</v>
      </c>
      <c r="BN1671" t="s">
        <v>74</v>
      </c>
    </row>
    <row r="1672" spans="1:66" hidden="1">
      <c r="A1672">
        <v>100514</v>
      </c>
      <c r="B1672" s="3" t="s">
        <v>192</v>
      </c>
      <c r="C1672" s="1">
        <v>43500101</v>
      </c>
      <c r="D1672" t="s">
        <v>113</v>
      </c>
      <c r="H1672" t="str">
        <f>"CTTMSV61B55I277Y"</f>
        <v>CTTMSV61B55I277Y</v>
      </c>
      <c r="I1672" t="str">
        <f>""</f>
        <v/>
      </c>
      <c r="K1672" t="str">
        <f>""</f>
        <v/>
      </c>
      <c r="M1672" t="s">
        <v>68</v>
      </c>
      <c r="N1672" t="str">
        <f>"ALT"</f>
        <v>ALT</v>
      </c>
      <c r="O1672" t="s">
        <v>114</v>
      </c>
      <c r="P1672" s="3" t="s">
        <v>95</v>
      </c>
      <c r="Q1672">
        <v>2016</v>
      </c>
      <c r="R1672" s="2">
        <v>42717</v>
      </c>
      <c r="S1672" s="2">
        <v>42717</v>
      </c>
      <c r="T1672" s="2">
        <v>42717</v>
      </c>
      <c r="U1672" s="2">
        <v>42777</v>
      </c>
      <c r="V1672" t="s">
        <v>71</v>
      </c>
      <c r="W1672" t="str">
        <f>"                1213"</f>
        <v xml:space="preserve">                1213</v>
      </c>
      <c r="X1672">
        <v>0</v>
      </c>
      <c r="Y1672">
        <v>500</v>
      </c>
      <c r="Z1672" s="3">
        <v>500</v>
      </c>
      <c r="AA1672">
        <v>-59</v>
      </c>
      <c r="AB1672" s="5">
        <v>-29500</v>
      </c>
      <c r="AC1672">
        <v>500</v>
      </c>
      <c r="AD1672">
        <v>-59</v>
      </c>
      <c r="AE1672" s="1">
        <v>-29500</v>
      </c>
      <c r="AF1672">
        <v>0</v>
      </c>
      <c r="AJ1672">
        <v>500</v>
      </c>
      <c r="AK1672">
        <v>500</v>
      </c>
      <c r="AL1672">
        <v>500</v>
      </c>
      <c r="AM1672">
        <v>500</v>
      </c>
      <c r="AN1672">
        <v>500</v>
      </c>
      <c r="AO1672">
        <v>500</v>
      </c>
      <c r="AP1672" s="2">
        <v>42746</v>
      </c>
      <c r="AQ1672" t="s">
        <v>72</v>
      </c>
      <c r="AR1672" t="s">
        <v>72</v>
      </c>
      <c r="AS1672">
        <v>3392</v>
      </c>
      <c r="AT1672" s="4">
        <v>42718</v>
      </c>
      <c r="AV1672">
        <v>3392</v>
      </c>
      <c r="AW1672" s="4">
        <v>42718</v>
      </c>
      <c r="BD1672">
        <v>0</v>
      </c>
      <c r="BN1672" t="s">
        <v>74</v>
      </c>
    </row>
    <row r="1673" spans="1:66" hidden="1">
      <c r="A1673">
        <v>100517</v>
      </c>
      <c r="B1673" s="3" t="s">
        <v>193</v>
      </c>
      <c r="C1673" s="1">
        <v>43300101</v>
      </c>
      <c r="D1673" t="s">
        <v>67</v>
      </c>
      <c r="H1673" t="str">
        <f t="shared" ref="H1673:I1676" si="161">"01115150540"</f>
        <v>01115150540</v>
      </c>
      <c r="I1673" t="str">
        <f t="shared" si="161"/>
        <v>01115150540</v>
      </c>
      <c r="K1673" t="str">
        <f>""</f>
        <v/>
      </c>
      <c r="M1673" t="s">
        <v>68</v>
      </c>
      <c r="N1673" t="str">
        <f t="shared" ref="N1673:N1686" si="162">"FOR"</f>
        <v>FOR</v>
      </c>
      <c r="O1673" t="s">
        <v>69</v>
      </c>
      <c r="P1673" s="3" t="s">
        <v>75</v>
      </c>
      <c r="Q1673">
        <v>2015</v>
      </c>
      <c r="R1673" s="2">
        <v>42215</v>
      </c>
      <c r="S1673" s="2">
        <v>42229</v>
      </c>
      <c r="T1673" s="2">
        <v>42220</v>
      </c>
      <c r="U1673" s="2">
        <v>42280</v>
      </c>
      <c r="V1673" t="s">
        <v>71</v>
      </c>
      <c r="W1673" t="str">
        <f>"              558/15"</f>
        <v xml:space="preserve">              558/15</v>
      </c>
      <c r="X1673" s="1">
        <v>1487.18</v>
      </c>
      <c r="Y1673">
        <v>0</v>
      </c>
      <c r="Z1673"/>
      <c r="AB1673"/>
      <c r="AC1673" s="1">
        <v>1219</v>
      </c>
      <c r="AD1673">
        <v>172</v>
      </c>
      <c r="AE1673" s="1">
        <v>209668</v>
      </c>
      <c r="AF1673">
        <v>0</v>
      </c>
      <c r="AJ1673">
        <v>0</v>
      </c>
      <c r="AK1673">
        <v>0</v>
      </c>
      <c r="AL1673">
        <v>0</v>
      </c>
      <c r="AM1673">
        <v>0</v>
      </c>
      <c r="AN1673">
        <v>0</v>
      </c>
      <c r="AO1673">
        <v>0</v>
      </c>
      <c r="AP1673" s="2">
        <v>42746</v>
      </c>
      <c r="AQ1673" t="s">
        <v>72</v>
      </c>
      <c r="AR1673" t="s">
        <v>72</v>
      </c>
      <c r="AS1673">
        <v>799</v>
      </c>
      <c r="AT1673" s="4">
        <v>42452</v>
      </c>
      <c r="AU1673" t="s">
        <v>73</v>
      </c>
      <c r="AV1673">
        <v>799</v>
      </c>
      <c r="AW1673" s="4">
        <v>42452</v>
      </c>
      <c r="BD1673">
        <v>0</v>
      </c>
      <c r="BN1673" t="s">
        <v>74</v>
      </c>
    </row>
    <row r="1674" spans="1:66" hidden="1">
      <c r="A1674">
        <v>100517</v>
      </c>
      <c r="B1674" s="3" t="s">
        <v>193</v>
      </c>
      <c r="C1674" s="1">
        <v>43300101</v>
      </c>
      <c r="D1674" t="s">
        <v>67</v>
      </c>
      <c r="H1674" t="str">
        <f t="shared" si="161"/>
        <v>01115150540</v>
      </c>
      <c r="I1674" t="str">
        <f t="shared" si="161"/>
        <v>01115150540</v>
      </c>
      <c r="K1674" t="str">
        <f>""</f>
        <v/>
      </c>
      <c r="M1674" t="s">
        <v>68</v>
      </c>
      <c r="N1674" t="str">
        <f t="shared" si="162"/>
        <v>FOR</v>
      </c>
      <c r="O1674" t="s">
        <v>69</v>
      </c>
      <c r="P1674" s="3" t="s">
        <v>75</v>
      </c>
      <c r="Q1674">
        <v>2015</v>
      </c>
      <c r="R1674" s="2">
        <v>42215</v>
      </c>
      <c r="S1674" s="2">
        <v>42229</v>
      </c>
      <c r="T1674" s="2">
        <v>42220</v>
      </c>
      <c r="U1674" s="2">
        <v>42280</v>
      </c>
      <c r="V1674" t="s">
        <v>71</v>
      </c>
      <c r="W1674" t="str">
        <f>"              559/15"</f>
        <v xml:space="preserve">              559/15</v>
      </c>
      <c r="X1674" s="1">
        <v>2974.36</v>
      </c>
      <c r="Y1674">
        <v>0</v>
      </c>
      <c r="Z1674"/>
      <c r="AB1674"/>
      <c r="AC1674" s="1">
        <v>2438</v>
      </c>
      <c r="AD1674">
        <v>172</v>
      </c>
      <c r="AE1674" s="1">
        <v>419336</v>
      </c>
      <c r="AF1674">
        <v>0</v>
      </c>
      <c r="AJ1674">
        <v>0</v>
      </c>
      <c r="AK1674">
        <v>0</v>
      </c>
      <c r="AL1674">
        <v>0</v>
      </c>
      <c r="AM1674">
        <v>0</v>
      </c>
      <c r="AN1674">
        <v>0</v>
      </c>
      <c r="AO1674">
        <v>0</v>
      </c>
      <c r="AP1674" s="2">
        <v>42746</v>
      </c>
      <c r="AQ1674" t="s">
        <v>72</v>
      </c>
      <c r="AR1674" t="s">
        <v>72</v>
      </c>
      <c r="AS1674">
        <v>799</v>
      </c>
      <c r="AT1674" s="4">
        <v>42452</v>
      </c>
      <c r="AU1674" t="s">
        <v>73</v>
      </c>
      <c r="AV1674">
        <v>799</v>
      </c>
      <c r="AW1674" s="4">
        <v>42452</v>
      </c>
      <c r="BD1674">
        <v>0</v>
      </c>
      <c r="BN1674" t="s">
        <v>74</v>
      </c>
    </row>
    <row r="1675" spans="1:66" hidden="1">
      <c r="A1675">
        <v>100517</v>
      </c>
      <c r="B1675" s="3" t="s">
        <v>193</v>
      </c>
      <c r="C1675" s="1">
        <v>43300101</v>
      </c>
      <c r="D1675" t="s">
        <v>67</v>
      </c>
      <c r="H1675" t="str">
        <f t="shared" si="161"/>
        <v>01115150540</v>
      </c>
      <c r="I1675" t="str">
        <f t="shared" si="161"/>
        <v>01115150540</v>
      </c>
      <c r="K1675" t="str">
        <f>""</f>
        <v/>
      </c>
      <c r="M1675" t="s">
        <v>68</v>
      </c>
      <c r="N1675" t="str">
        <f t="shared" si="162"/>
        <v>FOR</v>
      </c>
      <c r="O1675" t="s">
        <v>69</v>
      </c>
      <c r="P1675" s="3" t="s">
        <v>75</v>
      </c>
      <c r="Q1675">
        <v>2015</v>
      </c>
      <c r="R1675" s="2">
        <v>42215</v>
      </c>
      <c r="S1675" s="2">
        <v>42229</v>
      </c>
      <c r="T1675" s="2">
        <v>42220</v>
      </c>
      <c r="U1675" s="2">
        <v>42280</v>
      </c>
      <c r="V1675" t="s">
        <v>71</v>
      </c>
      <c r="W1675" t="str">
        <f>"              560/15"</f>
        <v xml:space="preserve">              560/15</v>
      </c>
      <c r="X1675" s="1">
        <v>10410.26</v>
      </c>
      <c r="Y1675">
        <v>0</v>
      </c>
      <c r="Z1675"/>
      <c r="AB1675"/>
      <c r="AC1675" s="1">
        <v>8533</v>
      </c>
      <c r="AD1675">
        <v>172</v>
      </c>
      <c r="AE1675" s="1">
        <v>1467676</v>
      </c>
      <c r="AF1675">
        <v>0</v>
      </c>
      <c r="AJ1675">
        <v>0</v>
      </c>
      <c r="AK1675">
        <v>0</v>
      </c>
      <c r="AL1675">
        <v>0</v>
      </c>
      <c r="AM1675">
        <v>0</v>
      </c>
      <c r="AN1675">
        <v>0</v>
      </c>
      <c r="AO1675">
        <v>0</v>
      </c>
      <c r="AP1675" s="2">
        <v>42746</v>
      </c>
      <c r="AQ1675" t="s">
        <v>72</v>
      </c>
      <c r="AR1675" t="s">
        <v>72</v>
      </c>
      <c r="AS1675">
        <v>799</v>
      </c>
      <c r="AT1675" s="4">
        <v>42452</v>
      </c>
      <c r="AU1675" t="s">
        <v>73</v>
      </c>
      <c r="AV1675">
        <v>799</v>
      </c>
      <c r="AW1675" s="4">
        <v>42452</v>
      </c>
      <c r="BD1675">
        <v>0</v>
      </c>
      <c r="BN1675" t="s">
        <v>74</v>
      </c>
    </row>
    <row r="1676" spans="1:66" hidden="1">
      <c r="A1676">
        <v>100517</v>
      </c>
      <c r="B1676" s="3" t="s">
        <v>193</v>
      </c>
      <c r="C1676" s="1">
        <v>43300101</v>
      </c>
      <c r="D1676" t="s">
        <v>67</v>
      </c>
      <c r="H1676" t="str">
        <f t="shared" si="161"/>
        <v>01115150540</v>
      </c>
      <c r="I1676" t="str">
        <f t="shared" si="161"/>
        <v>01115150540</v>
      </c>
      <c r="K1676" t="str">
        <f>""</f>
        <v/>
      </c>
      <c r="M1676" t="s">
        <v>68</v>
      </c>
      <c r="N1676" t="str">
        <f t="shared" si="162"/>
        <v>FOR</v>
      </c>
      <c r="O1676" t="s">
        <v>69</v>
      </c>
      <c r="P1676" s="3" t="s">
        <v>75</v>
      </c>
      <c r="Q1676">
        <v>2015</v>
      </c>
      <c r="R1676" s="2">
        <v>42215</v>
      </c>
      <c r="S1676" s="2">
        <v>42229</v>
      </c>
      <c r="T1676" s="2">
        <v>42220</v>
      </c>
      <c r="U1676" s="2">
        <v>42280</v>
      </c>
      <c r="V1676" t="s">
        <v>71</v>
      </c>
      <c r="W1676" t="str">
        <f>"              561/15"</f>
        <v xml:space="preserve">              561/15</v>
      </c>
      <c r="X1676" s="1">
        <v>4880</v>
      </c>
      <c r="Y1676">
        <v>0</v>
      </c>
      <c r="Z1676"/>
      <c r="AB1676"/>
      <c r="AC1676" s="1">
        <v>4000</v>
      </c>
      <c r="AD1676">
        <v>172</v>
      </c>
      <c r="AE1676" s="1">
        <v>688000</v>
      </c>
      <c r="AF1676">
        <v>0</v>
      </c>
      <c r="AJ1676">
        <v>0</v>
      </c>
      <c r="AK1676">
        <v>0</v>
      </c>
      <c r="AL1676">
        <v>0</v>
      </c>
      <c r="AM1676">
        <v>0</v>
      </c>
      <c r="AN1676">
        <v>0</v>
      </c>
      <c r="AO1676">
        <v>0</v>
      </c>
      <c r="AP1676" s="2">
        <v>42746</v>
      </c>
      <c r="AQ1676" t="s">
        <v>72</v>
      </c>
      <c r="AR1676" t="s">
        <v>72</v>
      </c>
      <c r="AS1676">
        <v>799</v>
      </c>
      <c r="AT1676" s="4">
        <v>42452</v>
      </c>
      <c r="AU1676" t="s">
        <v>73</v>
      </c>
      <c r="AV1676">
        <v>799</v>
      </c>
      <c r="AW1676" s="4">
        <v>42452</v>
      </c>
      <c r="BD1676">
        <v>0</v>
      </c>
      <c r="BN1676" t="s">
        <v>74</v>
      </c>
    </row>
    <row r="1677" spans="1:66" hidden="1">
      <c r="A1677">
        <v>100520</v>
      </c>
      <c r="B1677" s="3" t="s">
        <v>194</v>
      </c>
      <c r="C1677" s="1">
        <v>43300101</v>
      </c>
      <c r="D1677" t="s">
        <v>67</v>
      </c>
      <c r="H1677" t="str">
        <f t="shared" ref="H1677:I1686" si="163">"06600500158"</f>
        <v>06600500158</v>
      </c>
      <c r="I1677" t="str">
        <f t="shared" si="163"/>
        <v>06600500158</v>
      </c>
      <c r="K1677" t="str">
        <f>""</f>
        <v/>
      </c>
      <c r="M1677" t="s">
        <v>68</v>
      </c>
      <c r="N1677" t="str">
        <f t="shared" si="162"/>
        <v>FOR</v>
      </c>
      <c r="O1677" t="s">
        <v>69</v>
      </c>
      <c r="P1677" s="3" t="s">
        <v>75</v>
      </c>
      <c r="Q1677">
        <v>2015</v>
      </c>
      <c r="R1677" s="2">
        <v>42216</v>
      </c>
      <c r="S1677" s="2">
        <v>42223</v>
      </c>
      <c r="T1677" s="2">
        <v>42222</v>
      </c>
      <c r="U1677" s="2">
        <v>42282</v>
      </c>
      <c r="V1677" t="s">
        <v>71</v>
      </c>
      <c r="W1677" t="str">
        <f>"           000002558"</f>
        <v xml:space="preserve">           000002558</v>
      </c>
      <c r="X1677">
        <v>675.58</v>
      </c>
      <c r="Y1677">
        <v>0</v>
      </c>
      <c r="Z1677"/>
      <c r="AB1677"/>
      <c r="AC1677">
        <v>649.6</v>
      </c>
      <c r="AD1677">
        <v>170</v>
      </c>
      <c r="AE1677" s="1">
        <v>110432</v>
      </c>
      <c r="AF1677">
        <v>0</v>
      </c>
      <c r="AJ1677">
        <v>0</v>
      </c>
      <c r="AK1677">
        <v>0</v>
      </c>
      <c r="AL1677">
        <v>0</v>
      </c>
      <c r="AM1677">
        <v>0</v>
      </c>
      <c r="AN1677">
        <v>0</v>
      </c>
      <c r="AO1677">
        <v>0</v>
      </c>
      <c r="AP1677" s="2">
        <v>42746</v>
      </c>
      <c r="AQ1677" t="s">
        <v>72</v>
      </c>
      <c r="AR1677" t="s">
        <v>72</v>
      </c>
      <c r="AS1677">
        <v>779</v>
      </c>
      <c r="AT1677" s="4">
        <v>42452</v>
      </c>
      <c r="AU1677" t="s">
        <v>73</v>
      </c>
      <c r="AV1677">
        <v>779</v>
      </c>
      <c r="AW1677" s="4">
        <v>42452</v>
      </c>
      <c r="BD1677">
        <v>0</v>
      </c>
      <c r="BN1677" t="s">
        <v>74</v>
      </c>
    </row>
    <row r="1678" spans="1:66" hidden="1">
      <c r="A1678">
        <v>100520</v>
      </c>
      <c r="B1678" s="3" t="s">
        <v>194</v>
      </c>
      <c r="C1678" s="1">
        <v>43300101</v>
      </c>
      <c r="D1678" t="s">
        <v>67</v>
      </c>
      <c r="H1678" t="str">
        <f t="shared" si="163"/>
        <v>06600500158</v>
      </c>
      <c r="I1678" t="str">
        <f t="shared" si="163"/>
        <v>06600500158</v>
      </c>
      <c r="K1678" t="str">
        <f>""</f>
        <v/>
      </c>
      <c r="M1678" t="s">
        <v>68</v>
      </c>
      <c r="N1678" t="str">
        <f t="shared" si="162"/>
        <v>FOR</v>
      </c>
      <c r="O1678" t="s">
        <v>69</v>
      </c>
      <c r="P1678" s="3" t="s">
        <v>75</v>
      </c>
      <c r="Q1678">
        <v>2015</v>
      </c>
      <c r="R1678" s="2">
        <v>42247</v>
      </c>
      <c r="S1678" s="2">
        <v>42251</v>
      </c>
      <c r="T1678" s="2">
        <v>42249</v>
      </c>
      <c r="U1678" s="2">
        <v>42309</v>
      </c>
      <c r="V1678" t="s">
        <v>71</v>
      </c>
      <c r="W1678" t="str">
        <f>"           000002791"</f>
        <v xml:space="preserve">           000002791</v>
      </c>
      <c r="X1678" s="1">
        <v>10920</v>
      </c>
      <c r="Y1678">
        <v>0</v>
      </c>
      <c r="Z1678"/>
      <c r="AB1678"/>
      <c r="AC1678" s="1">
        <v>10500</v>
      </c>
      <c r="AD1678">
        <v>270</v>
      </c>
      <c r="AE1678" s="1">
        <v>2835000</v>
      </c>
      <c r="AF1678">
        <v>0</v>
      </c>
      <c r="AJ1678">
        <v>0</v>
      </c>
      <c r="AK1678">
        <v>0</v>
      </c>
      <c r="AL1678">
        <v>0</v>
      </c>
      <c r="AM1678">
        <v>0</v>
      </c>
      <c r="AN1678">
        <v>0</v>
      </c>
      <c r="AO1678">
        <v>0</v>
      </c>
      <c r="AP1678" s="2">
        <v>42746</v>
      </c>
      <c r="AQ1678" t="s">
        <v>72</v>
      </c>
      <c r="AR1678" t="s">
        <v>72</v>
      </c>
      <c r="AS1678">
        <v>2034</v>
      </c>
      <c r="AT1678" s="4">
        <v>42579</v>
      </c>
      <c r="AU1678" t="s">
        <v>73</v>
      </c>
      <c r="AV1678">
        <v>2034</v>
      </c>
      <c r="AW1678" s="4">
        <v>42579</v>
      </c>
      <c r="BD1678">
        <v>0</v>
      </c>
      <c r="BN1678" t="s">
        <v>74</v>
      </c>
    </row>
    <row r="1679" spans="1:66" hidden="1">
      <c r="A1679">
        <v>100520</v>
      </c>
      <c r="B1679" s="3" t="s">
        <v>194</v>
      </c>
      <c r="C1679" s="1">
        <v>43300101</v>
      </c>
      <c r="D1679" t="s">
        <v>67</v>
      </c>
      <c r="H1679" t="str">
        <f t="shared" si="163"/>
        <v>06600500158</v>
      </c>
      <c r="I1679" t="str">
        <f t="shared" si="163"/>
        <v>06600500158</v>
      </c>
      <c r="K1679" t="str">
        <f>""</f>
        <v/>
      </c>
      <c r="M1679" t="s">
        <v>68</v>
      </c>
      <c r="N1679" t="str">
        <f t="shared" si="162"/>
        <v>FOR</v>
      </c>
      <c r="O1679" t="s">
        <v>69</v>
      </c>
      <c r="P1679" s="3" t="s">
        <v>75</v>
      </c>
      <c r="Q1679">
        <v>2015</v>
      </c>
      <c r="R1679" s="2">
        <v>42277</v>
      </c>
      <c r="S1679" s="2">
        <v>42283</v>
      </c>
      <c r="T1679" s="2">
        <v>42282</v>
      </c>
      <c r="U1679" s="2">
        <v>42342</v>
      </c>
      <c r="V1679" t="s">
        <v>71</v>
      </c>
      <c r="W1679" t="str">
        <f>"           000003209"</f>
        <v xml:space="preserve">           000003209</v>
      </c>
      <c r="X1679" s="1">
        <v>4343.2</v>
      </c>
      <c r="Y1679">
        <v>0</v>
      </c>
      <c r="Z1679"/>
      <c r="AB1679"/>
      <c r="AC1679" s="1">
        <v>3560</v>
      </c>
      <c r="AD1679">
        <v>278</v>
      </c>
      <c r="AE1679" s="1">
        <v>989680</v>
      </c>
      <c r="AF1679">
        <v>0</v>
      </c>
      <c r="AJ1679">
        <v>0</v>
      </c>
      <c r="AK1679">
        <v>0</v>
      </c>
      <c r="AL1679">
        <v>0</v>
      </c>
      <c r="AM1679">
        <v>0</v>
      </c>
      <c r="AN1679">
        <v>0</v>
      </c>
      <c r="AO1679">
        <v>0</v>
      </c>
      <c r="AP1679" s="2">
        <v>42746</v>
      </c>
      <c r="AQ1679" t="s">
        <v>72</v>
      </c>
      <c r="AR1679" t="s">
        <v>72</v>
      </c>
      <c r="AS1679">
        <v>2336</v>
      </c>
      <c r="AT1679" s="4">
        <v>42620</v>
      </c>
      <c r="AU1679" t="s">
        <v>73</v>
      </c>
      <c r="AV1679">
        <v>2336</v>
      </c>
      <c r="AW1679" s="4">
        <v>42620</v>
      </c>
      <c r="BD1679">
        <v>0</v>
      </c>
      <c r="BN1679" t="s">
        <v>74</v>
      </c>
    </row>
    <row r="1680" spans="1:66">
      <c r="A1680">
        <v>100520</v>
      </c>
      <c r="B1680" s="3" t="s">
        <v>194</v>
      </c>
      <c r="C1680" s="1">
        <v>43300101</v>
      </c>
      <c r="D1680" t="s">
        <v>67</v>
      </c>
      <c r="H1680" t="str">
        <f t="shared" si="163"/>
        <v>06600500158</v>
      </c>
      <c r="I1680" t="str">
        <f t="shared" si="163"/>
        <v>06600500158</v>
      </c>
      <c r="K1680" t="str">
        <f>""</f>
        <v/>
      </c>
      <c r="M1680" t="s">
        <v>68</v>
      </c>
      <c r="N1680" t="str">
        <f t="shared" si="162"/>
        <v>FOR</v>
      </c>
      <c r="O1680" t="s">
        <v>69</v>
      </c>
      <c r="P1680" s="3" t="s">
        <v>75</v>
      </c>
      <c r="Q1680">
        <v>2015</v>
      </c>
      <c r="R1680" s="2">
        <v>42300</v>
      </c>
      <c r="S1680" s="2">
        <v>42306</v>
      </c>
      <c r="T1680" s="2">
        <v>42304</v>
      </c>
      <c r="U1680" s="2">
        <v>42364</v>
      </c>
      <c r="V1680" t="s">
        <v>71</v>
      </c>
      <c r="W1680" t="str">
        <f>"           000003397"</f>
        <v xml:space="preserve">           000003397</v>
      </c>
      <c r="X1680" s="1">
        <v>1586</v>
      </c>
      <c r="Y1680">
        <v>0</v>
      </c>
      <c r="Z1680" s="5">
        <v>1300</v>
      </c>
      <c r="AA1680">
        <v>283</v>
      </c>
      <c r="AB1680" s="5">
        <v>367900</v>
      </c>
      <c r="AC1680" s="1">
        <v>1300</v>
      </c>
      <c r="AD1680">
        <v>283</v>
      </c>
      <c r="AE1680" s="1">
        <v>367900</v>
      </c>
      <c r="AF1680">
        <v>0</v>
      </c>
      <c r="AJ1680">
        <v>0</v>
      </c>
      <c r="AK1680">
        <v>0</v>
      </c>
      <c r="AL1680">
        <v>0</v>
      </c>
      <c r="AM1680">
        <v>0</v>
      </c>
      <c r="AN1680">
        <v>0</v>
      </c>
      <c r="AO1680">
        <v>0</v>
      </c>
      <c r="AP1680" s="2">
        <v>42746</v>
      </c>
      <c r="AQ1680" t="s">
        <v>72</v>
      </c>
      <c r="AR1680" t="s">
        <v>72</v>
      </c>
      <c r="AS1680">
        <v>2617</v>
      </c>
      <c r="AT1680" s="4">
        <v>42647</v>
      </c>
      <c r="AU1680" t="s">
        <v>73</v>
      </c>
      <c r="AV1680">
        <v>2617</v>
      </c>
      <c r="AW1680" s="4">
        <v>42647</v>
      </c>
      <c r="BD1680">
        <v>0</v>
      </c>
      <c r="BN1680" t="s">
        <v>74</v>
      </c>
    </row>
    <row r="1681" spans="1:66">
      <c r="A1681">
        <v>100520</v>
      </c>
      <c r="B1681" s="3" t="s">
        <v>194</v>
      </c>
      <c r="C1681" s="1">
        <v>43300101</v>
      </c>
      <c r="D1681" t="s">
        <v>67</v>
      </c>
      <c r="H1681" t="str">
        <f t="shared" si="163"/>
        <v>06600500158</v>
      </c>
      <c r="I1681" t="str">
        <f t="shared" si="163"/>
        <v>06600500158</v>
      </c>
      <c r="K1681" t="str">
        <f>""</f>
        <v/>
      </c>
      <c r="M1681" t="s">
        <v>68</v>
      </c>
      <c r="N1681" t="str">
        <f t="shared" si="162"/>
        <v>FOR</v>
      </c>
      <c r="O1681" t="s">
        <v>69</v>
      </c>
      <c r="P1681" s="3" t="s">
        <v>75</v>
      </c>
      <c r="Q1681">
        <v>2015</v>
      </c>
      <c r="R1681" s="2">
        <v>42300</v>
      </c>
      <c r="S1681" s="2">
        <v>42306</v>
      </c>
      <c r="T1681" s="2">
        <v>42304</v>
      </c>
      <c r="U1681" s="2">
        <v>42364</v>
      </c>
      <c r="V1681" t="s">
        <v>71</v>
      </c>
      <c r="W1681" t="str">
        <f>"           000003398"</f>
        <v xml:space="preserve">           000003398</v>
      </c>
      <c r="X1681" s="1">
        <v>10920</v>
      </c>
      <c r="Y1681">
        <v>0</v>
      </c>
      <c r="Z1681" s="5">
        <v>10500</v>
      </c>
      <c r="AA1681">
        <v>283</v>
      </c>
      <c r="AB1681" s="5">
        <v>2971500</v>
      </c>
      <c r="AC1681" s="1">
        <v>10500</v>
      </c>
      <c r="AD1681">
        <v>283</v>
      </c>
      <c r="AE1681" s="1">
        <v>2971500</v>
      </c>
      <c r="AF1681">
        <v>0</v>
      </c>
      <c r="AJ1681">
        <v>0</v>
      </c>
      <c r="AK1681">
        <v>0</v>
      </c>
      <c r="AL1681">
        <v>0</v>
      </c>
      <c r="AM1681">
        <v>0</v>
      </c>
      <c r="AN1681">
        <v>0</v>
      </c>
      <c r="AO1681">
        <v>0</v>
      </c>
      <c r="AP1681" s="2">
        <v>42746</v>
      </c>
      <c r="AQ1681" t="s">
        <v>72</v>
      </c>
      <c r="AR1681" t="s">
        <v>72</v>
      </c>
      <c r="AS1681">
        <v>2617</v>
      </c>
      <c r="AT1681" s="4">
        <v>42647</v>
      </c>
      <c r="AU1681" t="s">
        <v>73</v>
      </c>
      <c r="AV1681">
        <v>2617</v>
      </c>
      <c r="AW1681" s="4">
        <v>42647</v>
      </c>
      <c r="BD1681">
        <v>0</v>
      </c>
      <c r="BN1681" t="s">
        <v>74</v>
      </c>
    </row>
    <row r="1682" spans="1:66">
      <c r="A1682">
        <v>100520</v>
      </c>
      <c r="B1682" s="3" t="s">
        <v>194</v>
      </c>
      <c r="C1682" s="1">
        <v>43300101</v>
      </c>
      <c r="D1682" t="s">
        <v>67</v>
      </c>
      <c r="H1682" t="str">
        <f t="shared" si="163"/>
        <v>06600500158</v>
      </c>
      <c r="I1682" t="str">
        <f t="shared" si="163"/>
        <v>06600500158</v>
      </c>
      <c r="K1682" t="str">
        <f>""</f>
        <v/>
      </c>
      <c r="M1682" t="s">
        <v>68</v>
      </c>
      <c r="N1682" t="str">
        <f t="shared" si="162"/>
        <v>FOR</v>
      </c>
      <c r="O1682" t="s">
        <v>69</v>
      </c>
      <c r="P1682" s="3" t="s">
        <v>75</v>
      </c>
      <c r="Q1682">
        <v>2015</v>
      </c>
      <c r="R1682" s="2">
        <v>42314</v>
      </c>
      <c r="S1682" s="2">
        <v>42324</v>
      </c>
      <c r="T1682" s="2">
        <v>42320</v>
      </c>
      <c r="U1682" s="2">
        <v>42380</v>
      </c>
      <c r="V1682" t="s">
        <v>71</v>
      </c>
      <c r="W1682" t="str">
        <f>"           000003677"</f>
        <v xml:space="preserve">           000003677</v>
      </c>
      <c r="X1682" s="1">
        <v>10920</v>
      </c>
      <c r="Y1682">
        <v>0</v>
      </c>
      <c r="Z1682" s="5">
        <v>10500</v>
      </c>
      <c r="AA1682">
        <v>302</v>
      </c>
      <c r="AB1682" s="5">
        <v>3171000</v>
      </c>
      <c r="AC1682" s="1">
        <v>10500</v>
      </c>
      <c r="AD1682">
        <v>302</v>
      </c>
      <c r="AE1682" s="1">
        <v>3171000</v>
      </c>
      <c r="AF1682">
        <v>0</v>
      </c>
      <c r="AJ1682">
        <v>0</v>
      </c>
      <c r="AK1682">
        <v>0</v>
      </c>
      <c r="AL1682">
        <v>0</v>
      </c>
      <c r="AM1682">
        <v>0</v>
      </c>
      <c r="AN1682">
        <v>0</v>
      </c>
      <c r="AO1682">
        <v>0</v>
      </c>
      <c r="AP1682" s="2">
        <v>42746</v>
      </c>
      <c r="AQ1682" t="s">
        <v>72</v>
      </c>
      <c r="AR1682" t="s">
        <v>72</v>
      </c>
      <c r="AS1682">
        <v>2972</v>
      </c>
      <c r="AT1682" s="4">
        <v>42682</v>
      </c>
      <c r="AU1682" t="s">
        <v>73</v>
      </c>
      <c r="AV1682">
        <v>2972</v>
      </c>
      <c r="AW1682" s="4">
        <v>42682</v>
      </c>
      <c r="BD1682">
        <v>0</v>
      </c>
      <c r="BN1682" t="s">
        <v>74</v>
      </c>
    </row>
    <row r="1683" spans="1:66">
      <c r="A1683">
        <v>100520</v>
      </c>
      <c r="B1683" s="3" t="s">
        <v>194</v>
      </c>
      <c r="C1683" s="1">
        <v>43300101</v>
      </c>
      <c r="D1683" t="s">
        <v>67</v>
      </c>
      <c r="H1683" t="str">
        <f t="shared" si="163"/>
        <v>06600500158</v>
      </c>
      <c r="I1683" t="str">
        <f t="shared" si="163"/>
        <v>06600500158</v>
      </c>
      <c r="K1683" t="str">
        <f>""</f>
        <v/>
      </c>
      <c r="M1683" t="s">
        <v>68</v>
      </c>
      <c r="N1683" t="str">
        <f t="shared" si="162"/>
        <v>FOR</v>
      </c>
      <c r="O1683" t="s">
        <v>69</v>
      </c>
      <c r="P1683" s="3" t="s">
        <v>75</v>
      </c>
      <c r="Q1683">
        <v>2015</v>
      </c>
      <c r="R1683" s="2">
        <v>42321</v>
      </c>
      <c r="S1683" s="2">
        <v>42326</v>
      </c>
      <c r="T1683" s="2">
        <v>42325</v>
      </c>
      <c r="U1683" s="2">
        <v>42385</v>
      </c>
      <c r="V1683" t="s">
        <v>71</v>
      </c>
      <c r="W1683" t="str">
        <f>"           000003763"</f>
        <v xml:space="preserve">           000003763</v>
      </c>
      <c r="X1683" s="1">
        <v>2417.06</v>
      </c>
      <c r="Y1683">
        <v>0</v>
      </c>
      <c r="Z1683" s="5">
        <v>1981.2</v>
      </c>
      <c r="AA1683">
        <v>297</v>
      </c>
      <c r="AB1683" s="5">
        <v>588416.4</v>
      </c>
      <c r="AC1683" s="1">
        <v>1981.2</v>
      </c>
      <c r="AD1683">
        <v>297</v>
      </c>
      <c r="AE1683" s="1">
        <v>588416.4</v>
      </c>
      <c r="AF1683">
        <v>0</v>
      </c>
      <c r="AJ1683">
        <v>0</v>
      </c>
      <c r="AK1683">
        <v>0</v>
      </c>
      <c r="AL1683">
        <v>0</v>
      </c>
      <c r="AM1683">
        <v>0</v>
      </c>
      <c r="AN1683">
        <v>0</v>
      </c>
      <c r="AO1683">
        <v>0</v>
      </c>
      <c r="AP1683" s="2">
        <v>42746</v>
      </c>
      <c r="AQ1683" t="s">
        <v>72</v>
      </c>
      <c r="AR1683" t="s">
        <v>72</v>
      </c>
      <c r="AS1683">
        <v>2972</v>
      </c>
      <c r="AT1683" s="4">
        <v>42682</v>
      </c>
      <c r="AU1683" t="s">
        <v>73</v>
      </c>
      <c r="AV1683">
        <v>2972</v>
      </c>
      <c r="AW1683" s="4">
        <v>42682</v>
      </c>
      <c r="BD1683">
        <v>0</v>
      </c>
      <c r="BN1683" t="s">
        <v>74</v>
      </c>
    </row>
    <row r="1684" spans="1:66">
      <c r="A1684">
        <v>100520</v>
      </c>
      <c r="B1684" s="3" t="s">
        <v>194</v>
      </c>
      <c r="C1684" s="1">
        <v>43300101</v>
      </c>
      <c r="D1684" t="s">
        <v>67</v>
      </c>
      <c r="H1684" t="str">
        <f t="shared" si="163"/>
        <v>06600500158</v>
      </c>
      <c r="I1684" t="str">
        <f t="shared" si="163"/>
        <v>06600500158</v>
      </c>
      <c r="K1684" t="str">
        <f>""</f>
        <v/>
      </c>
      <c r="M1684" t="s">
        <v>68</v>
      </c>
      <c r="N1684" t="str">
        <f t="shared" si="162"/>
        <v>FOR</v>
      </c>
      <c r="O1684" t="s">
        <v>69</v>
      </c>
      <c r="P1684" s="3" t="s">
        <v>75</v>
      </c>
      <c r="Q1684">
        <v>2015</v>
      </c>
      <c r="R1684" s="2">
        <v>42321</v>
      </c>
      <c r="S1684" s="2">
        <v>42326</v>
      </c>
      <c r="T1684" s="2">
        <v>42325</v>
      </c>
      <c r="U1684" s="2">
        <v>42385</v>
      </c>
      <c r="V1684" t="s">
        <v>71</v>
      </c>
      <c r="W1684" t="str">
        <f>"           000003764"</f>
        <v xml:space="preserve">           000003764</v>
      </c>
      <c r="X1684" s="1">
        <v>2640.53</v>
      </c>
      <c r="Y1684">
        <v>0</v>
      </c>
      <c r="Z1684" s="5">
        <v>2164.37</v>
      </c>
      <c r="AA1684">
        <v>297</v>
      </c>
      <c r="AB1684" s="5">
        <v>642817.89</v>
      </c>
      <c r="AC1684" s="1">
        <v>2164.37</v>
      </c>
      <c r="AD1684">
        <v>297</v>
      </c>
      <c r="AE1684" s="1">
        <v>642817.89</v>
      </c>
      <c r="AF1684">
        <v>0</v>
      </c>
      <c r="AJ1684">
        <v>0</v>
      </c>
      <c r="AK1684">
        <v>0</v>
      </c>
      <c r="AL1684">
        <v>0</v>
      </c>
      <c r="AM1684">
        <v>0</v>
      </c>
      <c r="AN1684">
        <v>0</v>
      </c>
      <c r="AO1684">
        <v>0</v>
      </c>
      <c r="AP1684" s="2">
        <v>42746</v>
      </c>
      <c r="AQ1684" t="s">
        <v>72</v>
      </c>
      <c r="AR1684" t="s">
        <v>72</v>
      </c>
      <c r="AS1684">
        <v>2972</v>
      </c>
      <c r="AT1684" s="4">
        <v>42682</v>
      </c>
      <c r="AU1684" t="s">
        <v>73</v>
      </c>
      <c r="AV1684">
        <v>2972</v>
      </c>
      <c r="AW1684" s="4">
        <v>42682</v>
      </c>
      <c r="BD1684">
        <v>0</v>
      </c>
      <c r="BN1684" t="s">
        <v>74</v>
      </c>
    </row>
    <row r="1685" spans="1:66">
      <c r="A1685">
        <v>100520</v>
      </c>
      <c r="B1685" s="3" t="s">
        <v>194</v>
      </c>
      <c r="C1685" s="1">
        <v>43300101</v>
      </c>
      <c r="D1685" t="s">
        <v>67</v>
      </c>
      <c r="H1685" t="str">
        <f t="shared" si="163"/>
        <v>06600500158</v>
      </c>
      <c r="I1685" t="str">
        <f t="shared" si="163"/>
        <v>06600500158</v>
      </c>
      <c r="K1685" t="str">
        <f>""</f>
        <v/>
      </c>
      <c r="M1685" t="s">
        <v>68</v>
      </c>
      <c r="N1685" t="str">
        <f t="shared" si="162"/>
        <v>FOR</v>
      </c>
      <c r="O1685" t="s">
        <v>69</v>
      </c>
      <c r="P1685" s="3" t="s">
        <v>75</v>
      </c>
      <c r="Q1685">
        <v>2015</v>
      </c>
      <c r="R1685" s="2">
        <v>42328</v>
      </c>
      <c r="S1685" s="2">
        <v>42334</v>
      </c>
      <c r="T1685" s="2">
        <v>42333</v>
      </c>
      <c r="U1685" s="2">
        <v>42393</v>
      </c>
      <c r="V1685" t="s">
        <v>71</v>
      </c>
      <c r="W1685" t="str">
        <f>"           000003851"</f>
        <v xml:space="preserve">           000003851</v>
      </c>
      <c r="X1685" s="1">
        <v>1708</v>
      </c>
      <c r="Y1685">
        <v>0</v>
      </c>
      <c r="Z1685" s="5">
        <v>1400</v>
      </c>
      <c r="AA1685">
        <v>289</v>
      </c>
      <c r="AB1685" s="5">
        <v>404600</v>
      </c>
      <c r="AC1685" s="1">
        <v>1400</v>
      </c>
      <c r="AD1685">
        <v>289</v>
      </c>
      <c r="AE1685" s="1">
        <v>404600</v>
      </c>
      <c r="AF1685">
        <v>0</v>
      </c>
      <c r="AJ1685">
        <v>0</v>
      </c>
      <c r="AK1685">
        <v>0</v>
      </c>
      <c r="AL1685">
        <v>0</v>
      </c>
      <c r="AM1685">
        <v>0</v>
      </c>
      <c r="AN1685">
        <v>0</v>
      </c>
      <c r="AO1685">
        <v>0</v>
      </c>
      <c r="AP1685" s="2">
        <v>42746</v>
      </c>
      <c r="AQ1685" t="s">
        <v>72</v>
      </c>
      <c r="AR1685" t="s">
        <v>72</v>
      </c>
      <c r="AS1685">
        <v>2972</v>
      </c>
      <c r="AT1685" s="4">
        <v>42682</v>
      </c>
      <c r="AU1685" t="s">
        <v>73</v>
      </c>
      <c r="AV1685">
        <v>2972</v>
      </c>
      <c r="AW1685" s="4">
        <v>42682</v>
      </c>
      <c r="BD1685">
        <v>0</v>
      </c>
      <c r="BN1685" t="s">
        <v>74</v>
      </c>
    </row>
    <row r="1686" spans="1:66">
      <c r="A1686">
        <v>100520</v>
      </c>
      <c r="B1686" s="3" t="s">
        <v>194</v>
      </c>
      <c r="C1686" s="1">
        <v>43300101</v>
      </c>
      <c r="D1686" t="s">
        <v>67</v>
      </c>
      <c r="H1686" t="str">
        <f t="shared" si="163"/>
        <v>06600500158</v>
      </c>
      <c r="I1686" t="str">
        <f t="shared" si="163"/>
        <v>06600500158</v>
      </c>
      <c r="K1686" t="str">
        <f>""</f>
        <v/>
      </c>
      <c r="M1686" t="s">
        <v>68</v>
      </c>
      <c r="N1686" t="str">
        <f t="shared" si="162"/>
        <v>FOR</v>
      </c>
      <c r="O1686" t="s">
        <v>69</v>
      </c>
      <c r="P1686" s="3" t="s">
        <v>75</v>
      </c>
      <c r="Q1686">
        <v>2015</v>
      </c>
      <c r="R1686" s="2">
        <v>42349</v>
      </c>
      <c r="S1686" s="2">
        <v>42354</v>
      </c>
      <c r="T1686" s="2">
        <v>42353</v>
      </c>
      <c r="U1686" s="2">
        <v>42413</v>
      </c>
      <c r="V1686" t="s">
        <v>71</v>
      </c>
      <c r="W1686" t="str">
        <f>"           000004058"</f>
        <v xml:space="preserve">           000004058</v>
      </c>
      <c r="X1686" s="1">
        <v>4859.26</v>
      </c>
      <c r="Y1686">
        <v>0</v>
      </c>
      <c r="Z1686" s="5">
        <v>3983</v>
      </c>
      <c r="AA1686">
        <v>277</v>
      </c>
      <c r="AB1686" s="5">
        <v>1103291</v>
      </c>
      <c r="AC1686" s="1">
        <v>3983</v>
      </c>
      <c r="AD1686">
        <v>277</v>
      </c>
      <c r="AE1686" s="1">
        <v>1103291</v>
      </c>
      <c r="AF1686">
        <v>0</v>
      </c>
      <c r="AJ1686">
        <v>0</v>
      </c>
      <c r="AK1686">
        <v>0</v>
      </c>
      <c r="AL1686">
        <v>0</v>
      </c>
      <c r="AM1686">
        <v>0</v>
      </c>
      <c r="AN1686">
        <v>0</v>
      </c>
      <c r="AO1686">
        <v>0</v>
      </c>
      <c r="AP1686" s="2">
        <v>42746</v>
      </c>
      <c r="AQ1686" t="s">
        <v>72</v>
      </c>
      <c r="AR1686" t="s">
        <v>72</v>
      </c>
      <c r="AS1686">
        <v>3144</v>
      </c>
      <c r="AT1686" s="4">
        <v>42690</v>
      </c>
      <c r="AU1686" t="s">
        <v>73</v>
      </c>
      <c r="AV1686">
        <v>3144</v>
      </c>
      <c r="AW1686" s="4">
        <v>42690</v>
      </c>
      <c r="BD1686">
        <v>0</v>
      </c>
      <c r="BN1686" t="s">
        <v>74</v>
      </c>
    </row>
    <row r="1687" spans="1:66" hidden="1">
      <c r="A1687">
        <v>100527</v>
      </c>
      <c r="B1687" s="3" t="s">
        <v>195</v>
      </c>
      <c r="C1687" s="1">
        <v>43500101</v>
      </c>
      <c r="D1687" t="s">
        <v>113</v>
      </c>
      <c r="H1687" t="str">
        <f>"DSTLRT60B07C284D"</f>
        <v>DSTLRT60B07C284D</v>
      </c>
      <c r="I1687" t="str">
        <f>""</f>
        <v/>
      </c>
      <c r="K1687" t="str">
        <f>""</f>
        <v/>
      </c>
      <c r="M1687" t="s">
        <v>68</v>
      </c>
      <c r="N1687" t="str">
        <f>"ALT"</f>
        <v>ALT</v>
      </c>
      <c r="O1687" t="s">
        <v>114</v>
      </c>
      <c r="P1687" s="3" t="s">
        <v>196</v>
      </c>
      <c r="Q1687">
        <v>2016</v>
      </c>
      <c r="R1687" s="2">
        <v>42642</v>
      </c>
      <c r="S1687" s="2">
        <v>42642</v>
      </c>
      <c r="T1687" s="2">
        <v>42642</v>
      </c>
      <c r="U1687" s="2">
        <v>42702</v>
      </c>
      <c r="V1687" t="s">
        <v>71</v>
      </c>
      <c r="W1687" t="str">
        <f>"                 217"</f>
        <v xml:space="preserve">                 217</v>
      </c>
      <c r="X1687">
        <v>0</v>
      </c>
      <c r="Y1687" s="1">
        <v>3183</v>
      </c>
      <c r="Z1687"/>
      <c r="AB1687"/>
      <c r="AC1687" s="1">
        <v>3183</v>
      </c>
      <c r="AD1687">
        <v>-60</v>
      </c>
      <c r="AE1687" s="1">
        <v>-190980</v>
      </c>
      <c r="AF1687">
        <v>0</v>
      </c>
      <c r="AJ1687">
        <v>0</v>
      </c>
      <c r="AK1687">
        <v>0</v>
      </c>
      <c r="AL1687">
        <v>0</v>
      </c>
      <c r="AM1687" s="1">
        <v>3183</v>
      </c>
      <c r="AN1687" s="1">
        <v>3183</v>
      </c>
      <c r="AO1687" s="1">
        <v>3183</v>
      </c>
      <c r="AP1687" s="2">
        <v>42746</v>
      </c>
      <c r="AQ1687" t="s">
        <v>72</v>
      </c>
      <c r="AR1687" t="s">
        <v>72</v>
      </c>
      <c r="AS1687">
        <v>2502</v>
      </c>
      <c r="AT1687" s="4">
        <v>42642</v>
      </c>
      <c r="AV1687">
        <v>2502</v>
      </c>
      <c r="AW1687" s="4">
        <v>42642</v>
      </c>
      <c r="BD1687">
        <v>0</v>
      </c>
      <c r="BN1687" t="s">
        <v>74</v>
      </c>
    </row>
    <row r="1688" spans="1:66" hidden="1">
      <c r="A1688">
        <v>100538</v>
      </c>
      <c r="B1688" s="3" t="s">
        <v>197</v>
      </c>
      <c r="C1688" s="1">
        <v>43300101</v>
      </c>
      <c r="D1688" t="s">
        <v>67</v>
      </c>
      <c r="H1688" t="str">
        <f t="shared" ref="H1688:H1696" si="164">"06954380157"</f>
        <v>06954380157</v>
      </c>
      <c r="I1688" t="str">
        <f t="shared" ref="I1688:I1696" si="165">"01781570591"</f>
        <v>01781570591</v>
      </c>
      <c r="K1688" t="str">
        <f>""</f>
        <v/>
      </c>
      <c r="M1688" t="s">
        <v>68</v>
      </c>
      <c r="N1688" t="str">
        <f t="shared" ref="N1688:N1719" si="166">"FOR"</f>
        <v>FOR</v>
      </c>
      <c r="O1688" t="s">
        <v>69</v>
      </c>
      <c r="P1688" s="3" t="s">
        <v>78</v>
      </c>
      <c r="Q1688">
        <v>2008</v>
      </c>
      <c r="R1688" s="2">
        <v>39742</v>
      </c>
      <c r="S1688" s="2">
        <v>39757</v>
      </c>
      <c r="T1688" s="2">
        <v>39757</v>
      </c>
      <c r="U1688" s="2">
        <v>39847</v>
      </c>
      <c r="V1688" t="s">
        <v>71</v>
      </c>
      <c r="W1688" t="str">
        <f>"            10106984"</f>
        <v xml:space="preserve">            10106984</v>
      </c>
      <c r="X1688">
        <v>228.41</v>
      </c>
      <c r="Y1688">
        <v>0</v>
      </c>
      <c r="Z1688"/>
      <c r="AB1688"/>
      <c r="AC1688">
        <v>228.41</v>
      </c>
      <c r="AD1688">
        <v>2774</v>
      </c>
      <c r="AE1688" s="1">
        <v>633609.34</v>
      </c>
      <c r="AF1688">
        <v>0</v>
      </c>
      <c r="AJ1688">
        <v>0</v>
      </c>
      <c r="AK1688">
        <v>0</v>
      </c>
      <c r="AL1688">
        <v>0</v>
      </c>
      <c r="AM1688">
        <v>0</v>
      </c>
      <c r="AN1688">
        <v>0</v>
      </c>
      <c r="AO1688">
        <v>0</v>
      </c>
      <c r="AP1688" s="2">
        <v>42746</v>
      </c>
      <c r="AQ1688" t="s">
        <v>72</v>
      </c>
      <c r="AR1688" t="s">
        <v>72</v>
      </c>
      <c r="AS1688">
        <v>2380</v>
      </c>
      <c r="AT1688" s="4">
        <v>42621</v>
      </c>
      <c r="AU1688" t="s">
        <v>73</v>
      </c>
      <c r="AV1688">
        <v>2380</v>
      </c>
      <c r="AW1688" s="4">
        <v>42621</v>
      </c>
      <c r="BD1688">
        <v>0</v>
      </c>
      <c r="BN1688" t="s">
        <v>74</v>
      </c>
    </row>
    <row r="1689" spans="1:66" hidden="1">
      <c r="A1689">
        <v>100538</v>
      </c>
      <c r="B1689" s="3" t="s">
        <v>197</v>
      </c>
      <c r="C1689" s="1">
        <v>43300101</v>
      </c>
      <c r="D1689" t="s">
        <v>67</v>
      </c>
      <c r="H1689" t="str">
        <f t="shared" si="164"/>
        <v>06954380157</v>
      </c>
      <c r="I1689" t="str">
        <f t="shared" si="165"/>
        <v>01781570591</v>
      </c>
      <c r="K1689" t="str">
        <f>""</f>
        <v/>
      </c>
      <c r="M1689" t="s">
        <v>68</v>
      </c>
      <c r="N1689" t="str">
        <f t="shared" si="166"/>
        <v>FOR</v>
      </c>
      <c r="O1689" t="s">
        <v>69</v>
      </c>
      <c r="P1689" s="3" t="s">
        <v>78</v>
      </c>
      <c r="Q1689">
        <v>2008</v>
      </c>
      <c r="R1689" s="2">
        <v>39762</v>
      </c>
      <c r="S1689" s="2">
        <v>39780</v>
      </c>
      <c r="T1689" s="2">
        <v>39780</v>
      </c>
      <c r="U1689" s="2">
        <v>39870</v>
      </c>
      <c r="V1689" t="s">
        <v>71</v>
      </c>
      <c r="W1689" t="str">
        <f>"            10114436"</f>
        <v xml:space="preserve">            10114436</v>
      </c>
      <c r="X1689">
        <v>268.05</v>
      </c>
      <c r="Y1689">
        <v>0</v>
      </c>
      <c r="Z1689"/>
      <c r="AB1689"/>
      <c r="AC1689">
        <v>268.05</v>
      </c>
      <c r="AD1689">
        <v>2751</v>
      </c>
      <c r="AE1689" s="1">
        <v>737405.55</v>
      </c>
      <c r="AF1689">
        <v>0</v>
      </c>
      <c r="AJ1689">
        <v>0</v>
      </c>
      <c r="AK1689">
        <v>0</v>
      </c>
      <c r="AL1689">
        <v>0</v>
      </c>
      <c r="AM1689">
        <v>0</v>
      </c>
      <c r="AN1689">
        <v>0</v>
      </c>
      <c r="AO1689">
        <v>0</v>
      </c>
      <c r="AP1689" s="2">
        <v>42746</v>
      </c>
      <c r="AQ1689" t="s">
        <v>72</v>
      </c>
      <c r="AR1689" t="s">
        <v>72</v>
      </c>
      <c r="AS1689">
        <v>2380</v>
      </c>
      <c r="AT1689" s="4">
        <v>42621</v>
      </c>
      <c r="AU1689" t="s">
        <v>73</v>
      </c>
      <c r="AV1689">
        <v>2380</v>
      </c>
      <c r="AW1689" s="4">
        <v>42621</v>
      </c>
      <c r="BD1689">
        <v>0</v>
      </c>
      <c r="BN1689" t="s">
        <v>74</v>
      </c>
    </row>
    <row r="1690" spans="1:66" hidden="1">
      <c r="A1690">
        <v>100538</v>
      </c>
      <c r="B1690" s="3" t="s">
        <v>197</v>
      </c>
      <c r="C1690" s="1">
        <v>43300101</v>
      </c>
      <c r="D1690" t="s">
        <v>67</v>
      </c>
      <c r="H1690" t="str">
        <f t="shared" si="164"/>
        <v>06954380157</v>
      </c>
      <c r="I1690" t="str">
        <f t="shared" si="165"/>
        <v>01781570591</v>
      </c>
      <c r="K1690" t="str">
        <f>""</f>
        <v/>
      </c>
      <c r="M1690" t="s">
        <v>68</v>
      </c>
      <c r="N1690" t="str">
        <f t="shared" si="166"/>
        <v>FOR</v>
      </c>
      <c r="O1690" t="s">
        <v>69</v>
      </c>
      <c r="P1690" s="3" t="s">
        <v>78</v>
      </c>
      <c r="Q1690">
        <v>2008</v>
      </c>
      <c r="R1690" s="2">
        <v>39778</v>
      </c>
      <c r="S1690" s="2">
        <v>39798</v>
      </c>
      <c r="T1690" s="2">
        <v>39798</v>
      </c>
      <c r="U1690" s="2">
        <v>39888</v>
      </c>
      <c r="V1690" t="s">
        <v>71</v>
      </c>
      <c r="W1690" t="str">
        <f>"            10120653"</f>
        <v xml:space="preserve">            10120653</v>
      </c>
      <c r="X1690">
        <v>286.36</v>
      </c>
      <c r="Y1690">
        <v>0</v>
      </c>
      <c r="Z1690"/>
      <c r="AB1690"/>
      <c r="AC1690">
        <v>286.36</v>
      </c>
      <c r="AD1690">
        <v>2733</v>
      </c>
      <c r="AE1690" s="1">
        <v>782621.88</v>
      </c>
      <c r="AF1690">
        <v>0</v>
      </c>
      <c r="AJ1690">
        <v>0</v>
      </c>
      <c r="AK1690">
        <v>0</v>
      </c>
      <c r="AL1690">
        <v>0</v>
      </c>
      <c r="AM1690">
        <v>0</v>
      </c>
      <c r="AN1690">
        <v>0</v>
      </c>
      <c r="AO1690">
        <v>0</v>
      </c>
      <c r="AP1690" s="2">
        <v>42746</v>
      </c>
      <c r="AQ1690" t="s">
        <v>72</v>
      </c>
      <c r="AR1690" t="s">
        <v>72</v>
      </c>
      <c r="AS1690">
        <v>2380</v>
      </c>
      <c r="AT1690" s="4">
        <v>42621</v>
      </c>
      <c r="AU1690" t="s">
        <v>73</v>
      </c>
      <c r="AV1690">
        <v>2380</v>
      </c>
      <c r="AW1690" s="4">
        <v>42621</v>
      </c>
      <c r="BD1690">
        <v>0</v>
      </c>
      <c r="BN1690" t="s">
        <v>74</v>
      </c>
    </row>
    <row r="1691" spans="1:66" hidden="1">
      <c r="A1691">
        <v>100538</v>
      </c>
      <c r="B1691" s="3" t="s">
        <v>197</v>
      </c>
      <c r="C1691" s="1">
        <v>43300101</v>
      </c>
      <c r="D1691" t="s">
        <v>67</v>
      </c>
      <c r="H1691" t="str">
        <f t="shared" si="164"/>
        <v>06954380157</v>
      </c>
      <c r="I1691" t="str">
        <f t="shared" si="165"/>
        <v>01781570591</v>
      </c>
      <c r="K1691" t="str">
        <f>""</f>
        <v/>
      </c>
      <c r="M1691" t="s">
        <v>68</v>
      </c>
      <c r="N1691" t="str">
        <f t="shared" si="166"/>
        <v>FOR</v>
      </c>
      <c r="O1691" t="s">
        <v>69</v>
      </c>
      <c r="P1691" s="3" t="s">
        <v>78</v>
      </c>
      <c r="Q1691">
        <v>2008</v>
      </c>
      <c r="R1691" s="2">
        <v>39805</v>
      </c>
      <c r="S1691" s="2">
        <v>39813</v>
      </c>
      <c r="T1691" s="2">
        <v>39813</v>
      </c>
      <c r="U1691" s="2">
        <v>39903</v>
      </c>
      <c r="V1691" t="s">
        <v>71</v>
      </c>
      <c r="W1691" t="str">
        <f>"            10129806"</f>
        <v xml:space="preserve">            10129806</v>
      </c>
      <c r="X1691">
        <v>199.54</v>
      </c>
      <c r="Y1691">
        <v>0</v>
      </c>
      <c r="Z1691"/>
      <c r="AB1691"/>
      <c r="AC1691">
        <v>199.54</v>
      </c>
      <c r="AD1691">
        <v>2718</v>
      </c>
      <c r="AE1691" s="1">
        <v>542349.72</v>
      </c>
      <c r="AF1691">
        <v>0</v>
      </c>
      <c r="AJ1691">
        <v>0</v>
      </c>
      <c r="AK1691">
        <v>0</v>
      </c>
      <c r="AL1691">
        <v>0</v>
      </c>
      <c r="AM1691">
        <v>0</v>
      </c>
      <c r="AN1691">
        <v>0</v>
      </c>
      <c r="AO1691">
        <v>0</v>
      </c>
      <c r="AP1691" s="2">
        <v>42746</v>
      </c>
      <c r="AQ1691" t="s">
        <v>72</v>
      </c>
      <c r="AR1691" t="s">
        <v>72</v>
      </c>
      <c r="AS1691">
        <v>2380</v>
      </c>
      <c r="AT1691" s="4">
        <v>42621</v>
      </c>
      <c r="AU1691" t="s">
        <v>73</v>
      </c>
      <c r="AV1691">
        <v>2380</v>
      </c>
      <c r="AW1691" s="4">
        <v>42621</v>
      </c>
      <c r="BD1691">
        <v>0</v>
      </c>
      <c r="BN1691" t="s">
        <v>74</v>
      </c>
    </row>
    <row r="1692" spans="1:66" hidden="1">
      <c r="A1692">
        <v>100538</v>
      </c>
      <c r="B1692" s="3" t="s">
        <v>197</v>
      </c>
      <c r="C1692" s="1">
        <v>43300101</v>
      </c>
      <c r="D1692" t="s">
        <v>67</v>
      </c>
      <c r="H1692" t="str">
        <f t="shared" si="164"/>
        <v>06954380157</v>
      </c>
      <c r="I1692" t="str">
        <f t="shared" si="165"/>
        <v>01781570591</v>
      </c>
      <c r="K1692" t="str">
        <f>""</f>
        <v/>
      </c>
      <c r="M1692" t="s">
        <v>68</v>
      </c>
      <c r="N1692" t="str">
        <f t="shared" si="166"/>
        <v>FOR</v>
      </c>
      <c r="O1692" t="s">
        <v>69</v>
      </c>
      <c r="P1692" s="3" t="s">
        <v>75</v>
      </c>
      <c r="Q1692">
        <v>2015</v>
      </c>
      <c r="R1692" s="2">
        <v>42095</v>
      </c>
      <c r="S1692" s="2">
        <v>42185</v>
      </c>
      <c r="T1692" s="2">
        <v>42120</v>
      </c>
      <c r="U1692" s="2">
        <v>42180</v>
      </c>
      <c r="V1692" t="s">
        <v>71</v>
      </c>
      <c r="W1692" t="str">
        <f>"          7010039552"</f>
        <v xml:space="preserve">          7010039552</v>
      </c>
      <c r="X1692" s="1">
        <v>2702.54</v>
      </c>
      <c r="Y1692">
        <v>0</v>
      </c>
      <c r="Z1692"/>
      <c r="AB1692"/>
      <c r="AC1692" s="1">
        <v>2456.85</v>
      </c>
      <c r="AD1692">
        <v>251</v>
      </c>
      <c r="AE1692" s="1">
        <v>616669.35</v>
      </c>
      <c r="AF1692">
        <v>0</v>
      </c>
      <c r="AJ1692">
        <v>0</v>
      </c>
      <c r="AK1692">
        <v>0</v>
      </c>
      <c r="AL1692">
        <v>0</v>
      </c>
      <c r="AM1692">
        <v>0</v>
      </c>
      <c r="AN1692">
        <v>0</v>
      </c>
      <c r="AO1692">
        <v>0</v>
      </c>
      <c r="AP1692" s="2">
        <v>42746</v>
      </c>
      <c r="AQ1692" t="s">
        <v>72</v>
      </c>
      <c r="AR1692" t="s">
        <v>72</v>
      </c>
      <c r="AS1692">
        <v>637</v>
      </c>
      <c r="AT1692" s="4">
        <v>42431</v>
      </c>
      <c r="AU1692" t="s">
        <v>73</v>
      </c>
      <c r="AV1692">
        <v>637</v>
      </c>
      <c r="AW1692" s="4">
        <v>42431</v>
      </c>
      <c r="BD1692">
        <v>0</v>
      </c>
      <c r="BN1692" t="s">
        <v>74</v>
      </c>
    </row>
    <row r="1693" spans="1:66" hidden="1">
      <c r="A1693">
        <v>100538</v>
      </c>
      <c r="B1693" s="3" t="s">
        <v>197</v>
      </c>
      <c r="C1693" s="1">
        <v>43300101</v>
      </c>
      <c r="D1693" t="s">
        <v>67</v>
      </c>
      <c r="H1693" t="str">
        <f t="shared" si="164"/>
        <v>06954380157</v>
      </c>
      <c r="I1693" t="str">
        <f t="shared" si="165"/>
        <v>01781570591</v>
      </c>
      <c r="K1693" t="str">
        <f>""</f>
        <v/>
      </c>
      <c r="M1693" t="s">
        <v>68</v>
      </c>
      <c r="N1693" t="str">
        <f t="shared" si="166"/>
        <v>FOR</v>
      </c>
      <c r="O1693" t="s">
        <v>69</v>
      </c>
      <c r="P1693" s="3" t="s">
        <v>75</v>
      </c>
      <c r="Q1693">
        <v>2015</v>
      </c>
      <c r="R1693" s="2">
        <v>42103</v>
      </c>
      <c r="S1693" s="2">
        <v>42158</v>
      </c>
      <c r="T1693" s="2">
        <v>42138</v>
      </c>
      <c r="U1693" s="2">
        <v>42198</v>
      </c>
      <c r="V1693" t="s">
        <v>71</v>
      </c>
      <c r="W1693" t="str">
        <f>"          7010042041"</f>
        <v xml:space="preserve">          7010042041</v>
      </c>
      <c r="X1693" s="1">
        <v>2702.54</v>
      </c>
      <c r="Y1693">
        <v>0</v>
      </c>
      <c r="Z1693"/>
      <c r="AB1693"/>
      <c r="AC1693" s="1">
        <v>2456.85</v>
      </c>
      <c r="AD1693">
        <v>233</v>
      </c>
      <c r="AE1693" s="1">
        <v>572446.05000000005</v>
      </c>
      <c r="AF1693">
        <v>0</v>
      </c>
      <c r="AJ1693">
        <v>0</v>
      </c>
      <c r="AK1693">
        <v>0</v>
      </c>
      <c r="AL1693">
        <v>0</v>
      </c>
      <c r="AM1693">
        <v>0</v>
      </c>
      <c r="AN1693">
        <v>0</v>
      </c>
      <c r="AO1693">
        <v>0</v>
      </c>
      <c r="AP1693" s="2">
        <v>42746</v>
      </c>
      <c r="AQ1693" t="s">
        <v>72</v>
      </c>
      <c r="AR1693" t="s">
        <v>72</v>
      </c>
      <c r="AS1693">
        <v>637</v>
      </c>
      <c r="AT1693" s="4">
        <v>42431</v>
      </c>
      <c r="AU1693" t="s">
        <v>73</v>
      </c>
      <c r="AV1693">
        <v>637</v>
      </c>
      <c r="AW1693" s="4">
        <v>42431</v>
      </c>
      <c r="BD1693">
        <v>0</v>
      </c>
      <c r="BN1693" t="s">
        <v>74</v>
      </c>
    </row>
    <row r="1694" spans="1:66" hidden="1">
      <c r="A1694">
        <v>100538</v>
      </c>
      <c r="B1694" s="3" t="s">
        <v>197</v>
      </c>
      <c r="C1694" s="1">
        <v>43300101</v>
      </c>
      <c r="D1694" t="s">
        <v>67</v>
      </c>
      <c r="H1694" t="str">
        <f t="shared" si="164"/>
        <v>06954380157</v>
      </c>
      <c r="I1694" t="str">
        <f t="shared" si="165"/>
        <v>01781570591</v>
      </c>
      <c r="K1694" t="str">
        <f>""</f>
        <v/>
      </c>
      <c r="M1694" t="s">
        <v>68</v>
      </c>
      <c r="N1694" t="str">
        <f t="shared" si="166"/>
        <v>FOR</v>
      </c>
      <c r="O1694" t="s">
        <v>69</v>
      </c>
      <c r="P1694" s="3" t="s">
        <v>100</v>
      </c>
      <c r="Q1694">
        <v>2015</v>
      </c>
      <c r="R1694" s="2">
        <v>42311</v>
      </c>
      <c r="S1694" s="2">
        <v>42334</v>
      </c>
      <c r="T1694" s="2">
        <v>42327</v>
      </c>
      <c r="U1694" s="2">
        <v>42387</v>
      </c>
      <c r="V1694" t="s">
        <v>71</v>
      </c>
      <c r="W1694" t="str">
        <f>"          9010008508"</f>
        <v xml:space="preserve">          9010008508</v>
      </c>
      <c r="X1694">
        <v>-137.9</v>
      </c>
      <c r="Y1694">
        <v>0</v>
      </c>
      <c r="Z1694"/>
      <c r="AB1694"/>
      <c r="AC1694">
        <v>-137.9</v>
      </c>
      <c r="AD1694">
        <v>44</v>
      </c>
      <c r="AE1694" s="1">
        <v>-6067.6</v>
      </c>
      <c r="AF1694">
        <v>0</v>
      </c>
      <c r="AJ1694">
        <v>0</v>
      </c>
      <c r="AK1694">
        <v>0</v>
      </c>
      <c r="AL1694">
        <v>0</v>
      </c>
      <c r="AM1694">
        <v>0</v>
      </c>
      <c r="AN1694">
        <v>0</v>
      </c>
      <c r="AO1694">
        <v>0</v>
      </c>
      <c r="AP1694" s="2">
        <v>42746</v>
      </c>
      <c r="AQ1694" t="s">
        <v>72</v>
      </c>
      <c r="AR1694" t="s">
        <v>72</v>
      </c>
      <c r="AS1694">
        <v>637</v>
      </c>
      <c r="AT1694" s="4">
        <v>42431</v>
      </c>
      <c r="AU1694" t="s">
        <v>73</v>
      </c>
      <c r="AV1694">
        <v>637</v>
      </c>
      <c r="AW1694" s="4">
        <v>42431</v>
      </c>
      <c r="BD1694">
        <v>0</v>
      </c>
      <c r="BN1694" t="s">
        <v>74</v>
      </c>
    </row>
    <row r="1695" spans="1:66" hidden="1">
      <c r="A1695">
        <v>100538</v>
      </c>
      <c r="B1695" s="3" t="s">
        <v>197</v>
      </c>
      <c r="C1695" s="1">
        <v>43300101</v>
      </c>
      <c r="D1695" t="s">
        <v>67</v>
      </c>
      <c r="H1695" t="str">
        <f t="shared" si="164"/>
        <v>06954380157</v>
      </c>
      <c r="I1695" t="str">
        <f t="shared" si="165"/>
        <v>01781570591</v>
      </c>
      <c r="K1695" t="str">
        <f>""</f>
        <v/>
      </c>
      <c r="M1695" t="s">
        <v>68</v>
      </c>
      <c r="N1695" t="str">
        <f t="shared" si="166"/>
        <v>FOR</v>
      </c>
      <c r="O1695" t="s">
        <v>69</v>
      </c>
      <c r="P1695" s="3" t="s">
        <v>100</v>
      </c>
      <c r="Q1695">
        <v>2015</v>
      </c>
      <c r="R1695" s="2">
        <v>42311</v>
      </c>
      <c r="S1695" s="2">
        <v>42334</v>
      </c>
      <c r="T1695" s="2">
        <v>42327</v>
      </c>
      <c r="U1695" s="2">
        <v>42387</v>
      </c>
      <c r="V1695" t="s">
        <v>71</v>
      </c>
      <c r="W1695" t="str">
        <f>"          9010008509"</f>
        <v xml:space="preserve">          9010008509</v>
      </c>
      <c r="X1695">
        <v>-197.72</v>
      </c>
      <c r="Y1695">
        <v>0</v>
      </c>
      <c r="Z1695"/>
      <c r="AB1695"/>
      <c r="AC1695">
        <v>-197.72</v>
      </c>
      <c r="AD1695">
        <v>44</v>
      </c>
      <c r="AE1695" s="1">
        <v>-8699.68</v>
      </c>
      <c r="AF1695">
        <v>0</v>
      </c>
      <c r="AJ1695">
        <v>0</v>
      </c>
      <c r="AK1695">
        <v>0</v>
      </c>
      <c r="AL1695">
        <v>0</v>
      </c>
      <c r="AM1695">
        <v>0</v>
      </c>
      <c r="AN1695">
        <v>0</v>
      </c>
      <c r="AO1695">
        <v>0</v>
      </c>
      <c r="AP1695" s="2">
        <v>42746</v>
      </c>
      <c r="AQ1695" t="s">
        <v>72</v>
      </c>
      <c r="AR1695" t="s">
        <v>72</v>
      </c>
      <c r="AS1695">
        <v>637</v>
      </c>
      <c r="AT1695" s="4">
        <v>42431</v>
      </c>
      <c r="AU1695" t="s">
        <v>73</v>
      </c>
      <c r="AV1695">
        <v>637</v>
      </c>
      <c r="AW1695" s="4">
        <v>42431</v>
      </c>
      <c r="BD1695">
        <v>0</v>
      </c>
      <c r="BN1695" t="s">
        <v>74</v>
      </c>
    </row>
    <row r="1696" spans="1:66" hidden="1">
      <c r="A1696">
        <v>100538</v>
      </c>
      <c r="B1696" s="3" t="s">
        <v>197</v>
      </c>
      <c r="C1696" s="1">
        <v>43300101</v>
      </c>
      <c r="D1696" t="s">
        <v>67</v>
      </c>
      <c r="H1696" t="str">
        <f t="shared" si="164"/>
        <v>06954380157</v>
      </c>
      <c r="I1696" t="str">
        <f t="shared" si="165"/>
        <v>01781570591</v>
      </c>
      <c r="K1696" t="str">
        <f>""</f>
        <v/>
      </c>
      <c r="M1696" t="s">
        <v>68</v>
      </c>
      <c r="N1696" t="str">
        <f t="shared" si="166"/>
        <v>FOR</v>
      </c>
      <c r="O1696" t="s">
        <v>69</v>
      </c>
      <c r="P1696" s="3" t="s">
        <v>75</v>
      </c>
      <c r="Q1696">
        <v>2016</v>
      </c>
      <c r="R1696" s="2">
        <v>42566</v>
      </c>
      <c r="S1696" s="2">
        <v>42571</v>
      </c>
      <c r="T1696" s="2">
        <v>42569</v>
      </c>
      <c r="U1696" s="2">
        <v>42629</v>
      </c>
      <c r="V1696" t="s">
        <v>71</v>
      </c>
      <c r="W1696" t="str">
        <f>"          7010067670"</f>
        <v xml:space="preserve">          7010067670</v>
      </c>
      <c r="X1696" s="1">
        <v>1492.21</v>
      </c>
      <c r="Y1696">
        <v>0</v>
      </c>
      <c r="Z1696"/>
      <c r="AB1696"/>
      <c r="AC1696" s="1">
        <v>1356.55</v>
      </c>
      <c r="AD1696">
        <v>-8</v>
      </c>
      <c r="AE1696" s="1">
        <v>-10852.4</v>
      </c>
      <c r="AF1696">
        <v>0</v>
      </c>
      <c r="AJ1696">
        <v>0</v>
      </c>
      <c r="AK1696">
        <v>0</v>
      </c>
      <c r="AL1696">
        <v>0</v>
      </c>
      <c r="AM1696" s="1">
        <v>1492.21</v>
      </c>
      <c r="AN1696" s="1">
        <v>1492.21</v>
      </c>
      <c r="AO1696" s="1">
        <v>1492.21</v>
      </c>
      <c r="AP1696" s="2">
        <v>42746</v>
      </c>
      <c r="AQ1696" t="s">
        <v>72</v>
      </c>
      <c r="AR1696" t="s">
        <v>72</v>
      </c>
      <c r="AS1696">
        <v>2380</v>
      </c>
      <c r="AT1696" s="4">
        <v>42621</v>
      </c>
      <c r="AV1696">
        <v>2380</v>
      </c>
      <c r="AW1696" s="4">
        <v>42621</v>
      </c>
      <c r="BD1696">
        <v>0</v>
      </c>
      <c r="BN1696" t="s">
        <v>74</v>
      </c>
    </row>
    <row r="1697" spans="1:66" hidden="1">
      <c r="A1697">
        <v>100541</v>
      </c>
      <c r="B1697" s="3" t="s">
        <v>198</v>
      </c>
      <c r="C1697" s="1">
        <v>43300101</v>
      </c>
      <c r="D1697" t="s">
        <v>67</v>
      </c>
      <c r="H1697" t="str">
        <f>"04327730018"</f>
        <v>04327730018</v>
      </c>
      <c r="I1697" t="str">
        <f>"04327730018"</f>
        <v>04327730018</v>
      </c>
      <c r="K1697" t="str">
        <f>""</f>
        <v/>
      </c>
      <c r="M1697" t="s">
        <v>68</v>
      </c>
      <c r="N1697" t="str">
        <f t="shared" si="166"/>
        <v>FOR</v>
      </c>
      <c r="O1697" t="s">
        <v>69</v>
      </c>
      <c r="P1697" s="3" t="s">
        <v>70</v>
      </c>
      <c r="Q1697">
        <v>2014</v>
      </c>
      <c r="R1697" s="2">
        <v>41718</v>
      </c>
      <c r="S1697" s="2">
        <v>42369</v>
      </c>
      <c r="T1697" s="2">
        <v>42369</v>
      </c>
      <c r="U1697" s="2">
        <v>42429</v>
      </c>
      <c r="V1697" t="s">
        <v>71</v>
      </c>
      <c r="W1697" t="str">
        <f>"                 876"</f>
        <v xml:space="preserve">                 876</v>
      </c>
      <c r="X1697">
        <v>475.8</v>
      </c>
      <c r="Y1697">
        <v>0</v>
      </c>
      <c r="Z1697"/>
      <c r="AB1697"/>
      <c r="AC1697">
        <v>475.8</v>
      </c>
      <c r="AD1697">
        <v>137</v>
      </c>
      <c r="AE1697" s="1">
        <v>65184.6</v>
      </c>
      <c r="AF1697">
        <v>0</v>
      </c>
      <c r="AJ1697">
        <v>0</v>
      </c>
      <c r="AK1697">
        <v>0</v>
      </c>
      <c r="AL1697">
        <v>0</v>
      </c>
      <c r="AM1697">
        <v>0</v>
      </c>
      <c r="AN1697">
        <v>0</v>
      </c>
      <c r="AO1697">
        <v>0</v>
      </c>
      <c r="AP1697" s="2">
        <v>42746</v>
      </c>
      <c r="AQ1697" t="s">
        <v>72</v>
      </c>
      <c r="AR1697" t="s">
        <v>72</v>
      </c>
      <c r="AS1697">
        <v>1771</v>
      </c>
      <c r="AT1697" s="4">
        <v>42566</v>
      </c>
      <c r="AU1697" t="s">
        <v>73</v>
      </c>
      <c r="AV1697">
        <v>1771</v>
      </c>
      <c r="AW1697" s="4">
        <v>42566</v>
      </c>
      <c r="BD1697">
        <v>0</v>
      </c>
      <c r="BN1697" t="s">
        <v>74</v>
      </c>
    </row>
    <row r="1698" spans="1:66" hidden="1">
      <c r="A1698">
        <v>100542</v>
      </c>
      <c r="B1698" s="3" t="s">
        <v>199</v>
      </c>
      <c r="C1698" s="1">
        <v>43300101</v>
      </c>
      <c r="D1698" t="s">
        <v>67</v>
      </c>
      <c r="H1698" t="str">
        <f t="shared" ref="H1698:I1701" si="167">"05145650635"</f>
        <v>05145650635</v>
      </c>
      <c r="I1698" t="str">
        <f t="shared" si="167"/>
        <v>05145650635</v>
      </c>
      <c r="K1698" t="str">
        <f>""</f>
        <v/>
      </c>
      <c r="M1698" t="s">
        <v>68</v>
      </c>
      <c r="N1698" t="str">
        <f t="shared" si="166"/>
        <v>FOR</v>
      </c>
      <c r="O1698" t="s">
        <v>69</v>
      </c>
      <c r="P1698" s="3" t="s">
        <v>70</v>
      </c>
      <c r="Q1698">
        <v>2015</v>
      </c>
      <c r="R1698" s="2">
        <v>42088</v>
      </c>
      <c r="S1698" s="2">
        <v>42102</v>
      </c>
      <c r="T1698" s="2">
        <v>42102</v>
      </c>
      <c r="U1698" s="2">
        <v>42162</v>
      </c>
      <c r="V1698" t="s">
        <v>71</v>
      </c>
      <c r="W1698" t="str">
        <f>"                  26"</f>
        <v xml:space="preserve">                  26</v>
      </c>
      <c r="X1698" s="1">
        <v>4611.6000000000004</v>
      </c>
      <c r="Y1698">
        <v>0</v>
      </c>
      <c r="Z1698"/>
      <c r="AB1698"/>
      <c r="AC1698" s="1">
        <v>3780</v>
      </c>
      <c r="AD1698">
        <v>253</v>
      </c>
      <c r="AE1698" s="1">
        <v>956340</v>
      </c>
      <c r="AF1698">
        <v>0</v>
      </c>
      <c r="AJ1698">
        <v>0</v>
      </c>
      <c r="AK1698">
        <v>0</v>
      </c>
      <c r="AL1698">
        <v>0</v>
      </c>
      <c r="AM1698">
        <v>0</v>
      </c>
      <c r="AN1698">
        <v>0</v>
      </c>
      <c r="AO1698">
        <v>0</v>
      </c>
      <c r="AP1698" s="2">
        <v>42746</v>
      </c>
      <c r="AQ1698" t="s">
        <v>72</v>
      </c>
      <c r="AR1698" t="s">
        <v>72</v>
      </c>
      <c r="AS1698">
        <v>396</v>
      </c>
      <c r="AT1698" s="4">
        <v>42415</v>
      </c>
      <c r="AU1698" t="s">
        <v>73</v>
      </c>
      <c r="AV1698">
        <v>396</v>
      </c>
      <c r="AW1698" s="4">
        <v>42415</v>
      </c>
      <c r="BD1698">
        <v>0</v>
      </c>
      <c r="BN1698" t="s">
        <v>74</v>
      </c>
    </row>
    <row r="1699" spans="1:66" hidden="1">
      <c r="A1699">
        <v>100542</v>
      </c>
      <c r="B1699" s="3" t="s">
        <v>199</v>
      </c>
      <c r="C1699" s="1">
        <v>43300101</v>
      </c>
      <c r="D1699" t="s">
        <v>67</v>
      </c>
      <c r="H1699" t="str">
        <f t="shared" si="167"/>
        <v>05145650635</v>
      </c>
      <c r="I1699" t="str">
        <f t="shared" si="167"/>
        <v>05145650635</v>
      </c>
      <c r="K1699" t="str">
        <f>""</f>
        <v/>
      </c>
      <c r="M1699" t="s">
        <v>68</v>
      </c>
      <c r="N1699" t="str">
        <f t="shared" si="166"/>
        <v>FOR</v>
      </c>
      <c r="O1699" t="s">
        <v>69</v>
      </c>
      <c r="P1699" s="3" t="s">
        <v>70</v>
      </c>
      <c r="Q1699">
        <v>2015</v>
      </c>
      <c r="R1699" s="2">
        <v>42058</v>
      </c>
      <c r="S1699" s="2">
        <v>42081</v>
      </c>
      <c r="T1699" s="2">
        <v>42081</v>
      </c>
      <c r="U1699" s="2">
        <v>42141</v>
      </c>
      <c r="V1699" t="s">
        <v>71</v>
      </c>
      <c r="W1699" t="str">
        <f>"               17/15"</f>
        <v xml:space="preserve">               17/15</v>
      </c>
      <c r="X1699">
        <v>292.8</v>
      </c>
      <c r="Y1699">
        <v>0</v>
      </c>
      <c r="Z1699"/>
      <c r="AB1699"/>
      <c r="AC1699">
        <v>240</v>
      </c>
      <c r="AD1699">
        <v>267</v>
      </c>
      <c r="AE1699" s="1">
        <v>64080</v>
      </c>
      <c r="AF1699">
        <v>0</v>
      </c>
      <c r="AJ1699">
        <v>0</v>
      </c>
      <c r="AK1699">
        <v>0</v>
      </c>
      <c r="AL1699">
        <v>0</v>
      </c>
      <c r="AM1699">
        <v>0</v>
      </c>
      <c r="AN1699">
        <v>0</v>
      </c>
      <c r="AO1699">
        <v>0</v>
      </c>
      <c r="AP1699" s="2">
        <v>42746</v>
      </c>
      <c r="AQ1699" t="s">
        <v>72</v>
      </c>
      <c r="AR1699" t="s">
        <v>72</v>
      </c>
      <c r="AS1699">
        <v>328</v>
      </c>
      <c r="AT1699" s="4">
        <v>42408</v>
      </c>
      <c r="AU1699" t="s">
        <v>73</v>
      </c>
      <c r="AV1699">
        <v>328</v>
      </c>
      <c r="AW1699" s="4">
        <v>42408</v>
      </c>
      <c r="BD1699">
        <v>0</v>
      </c>
      <c r="BN1699" t="s">
        <v>74</v>
      </c>
    </row>
    <row r="1700" spans="1:66" hidden="1">
      <c r="A1700">
        <v>100542</v>
      </c>
      <c r="B1700" s="3" t="s">
        <v>199</v>
      </c>
      <c r="C1700" s="1">
        <v>43300101</v>
      </c>
      <c r="D1700" t="s">
        <v>67</v>
      </c>
      <c r="H1700" t="str">
        <f t="shared" si="167"/>
        <v>05145650635</v>
      </c>
      <c r="I1700" t="str">
        <f t="shared" si="167"/>
        <v>05145650635</v>
      </c>
      <c r="K1700" t="str">
        <f>""</f>
        <v/>
      </c>
      <c r="M1700" t="s">
        <v>68</v>
      </c>
      <c r="N1700" t="str">
        <f t="shared" si="166"/>
        <v>FOR</v>
      </c>
      <c r="O1700" t="s">
        <v>69</v>
      </c>
      <c r="P1700" s="3" t="s">
        <v>75</v>
      </c>
      <c r="Q1700">
        <v>2015</v>
      </c>
      <c r="R1700" s="2">
        <v>42167</v>
      </c>
      <c r="S1700" s="2">
        <v>42178</v>
      </c>
      <c r="T1700" s="2">
        <v>42178</v>
      </c>
      <c r="U1700" s="2">
        <v>42238</v>
      </c>
      <c r="V1700" t="s">
        <v>71</v>
      </c>
      <c r="W1700" t="str">
        <f>"          FE2015/016"</f>
        <v xml:space="preserve">          FE2015/016</v>
      </c>
      <c r="X1700">
        <v>585.6</v>
      </c>
      <c r="Y1700">
        <v>0</v>
      </c>
      <c r="Z1700"/>
      <c r="AB1700"/>
      <c r="AC1700">
        <v>480</v>
      </c>
      <c r="AD1700">
        <v>177</v>
      </c>
      <c r="AE1700" s="1">
        <v>84960</v>
      </c>
      <c r="AF1700">
        <v>0</v>
      </c>
      <c r="AJ1700">
        <v>0</v>
      </c>
      <c r="AK1700">
        <v>0</v>
      </c>
      <c r="AL1700">
        <v>0</v>
      </c>
      <c r="AM1700">
        <v>0</v>
      </c>
      <c r="AN1700">
        <v>0</v>
      </c>
      <c r="AO1700">
        <v>0</v>
      </c>
      <c r="AP1700" s="2">
        <v>42746</v>
      </c>
      <c r="AQ1700" t="s">
        <v>72</v>
      </c>
      <c r="AR1700" t="s">
        <v>72</v>
      </c>
      <c r="AS1700">
        <v>396</v>
      </c>
      <c r="AT1700" s="4">
        <v>42415</v>
      </c>
      <c r="AU1700" t="s">
        <v>73</v>
      </c>
      <c r="AV1700">
        <v>396</v>
      </c>
      <c r="AW1700" s="4">
        <v>42415</v>
      </c>
      <c r="BD1700">
        <v>0</v>
      </c>
      <c r="BN1700" t="s">
        <v>74</v>
      </c>
    </row>
    <row r="1701" spans="1:66" hidden="1">
      <c r="A1701">
        <v>100542</v>
      </c>
      <c r="B1701" s="3" t="s">
        <v>199</v>
      </c>
      <c r="C1701" s="1">
        <v>43300101</v>
      </c>
      <c r="D1701" t="s">
        <v>67</v>
      </c>
      <c r="H1701" t="str">
        <f t="shared" si="167"/>
        <v>05145650635</v>
      </c>
      <c r="I1701" t="str">
        <f t="shared" si="167"/>
        <v>05145650635</v>
      </c>
      <c r="K1701" t="str">
        <f>""</f>
        <v/>
      </c>
      <c r="M1701" t="s">
        <v>68</v>
      </c>
      <c r="N1701" t="str">
        <f t="shared" si="166"/>
        <v>FOR</v>
      </c>
      <c r="O1701" t="s">
        <v>69</v>
      </c>
      <c r="P1701" s="3" t="s">
        <v>75</v>
      </c>
      <c r="Q1701">
        <v>2015</v>
      </c>
      <c r="R1701" s="2">
        <v>42184</v>
      </c>
      <c r="S1701" s="2">
        <v>42191</v>
      </c>
      <c r="T1701" s="2">
        <v>42188</v>
      </c>
      <c r="U1701" s="2">
        <v>42248</v>
      </c>
      <c r="V1701" t="s">
        <v>71</v>
      </c>
      <c r="W1701" t="str">
        <f>"          FE2015/020"</f>
        <v xml:space="preserve">          FE2015/020</v>
      </c>
      <c r="X1701">
        <v>439.2</v>
      </c>
      <c r="Y1701">
        <v>0</v>
      </c>
      <c r="Z1701"/>
      <c r="AB1701"/>
      <c r="AC1701">
        <v>360</v>
      </c>
      <c r="AD1701">
        <v>167</v>
      </c>
      <c r="AE1701" s="1">
        <v>60120</v>
      </c>
      <c r="AF1701">
        <v>0</v>
      </c>
      <c r="AJ1701">
        <v>0</v>
      </c>
      <c r="AK1701">
        <v>0</v>
      </c>
      <c r="AL1701">
        <v>0</v>
      </c>
      <c r="AM1701">
        <v>0</v>
      </c>
      <c r="AN1701">
        <v>0</v>
      </c>
      <c r="AO1701">
        <v>0</v>
      </c>
      <c r="AP1701" s="2">
        <v>42746</v>
      </c>
      <c r="AQ1701" t="s">
        <v>72</v>
      </c>
      <c r="AR1701" t="s">
        <v>72</v>
      </c>
      <c r="AS1701">
        <v>396</v>
      </c>
      <c r="AT1701" s="4">
        <v>42415</v>
      </c>
      <c r="AU1701" t="s">
        <v>73</v>
      </c>
      <c r="AV1701">
        <v>396</v>
      </c>
      <c r="AW1701" s="4">
        <v>42415</v>
      </c>
      <c r="BD1701">
        <v>0</v>
      </c>
      <c r="BN1701" t="s">
        <v>74</v>
      </c>
    </row>
    <row r="1702" spans="1:66" hidden="1">
      <c r="A1702">
        <v>100543</v>
      </c>
      <c r="B1702" s="3" t="s">
        <v>200</v>
      </c>
      <c r="C1702" s="1">
        <v>43300101</v>
      </c>
      <c r="D1702" t="s">
        <v>67</v>
      </c>
      <c r="H1702" t="str">
        <f>"00856750153"</f>
        <v>00856750153</v>
      </c>
      <c r="I1702" t="str">
        <f>"00856750153"</f>
        <v>00856750153</v>
      </c>
      <c r="K1702" t="str">
        <f>""</f>
        <v/>
      </c>
      <c r="M1702" t="s">
        <v>68</v>
      </c>
      <c r="N1702" t="str">
        <f t="shared" si="166"/>
        <v>FOR</v>
      </c>
      <c r="O1702" t="s">
        <v>69</v>
      </c>
      <c r="P1702" s="3" t="s">
        <v>75</v>
      </c>
      <c r="Q1702">
        <v>2015</v>
      </c>
      <c r="R1702" s="2">
        <v>42321</v>
      </c>
      <c r="S1702" s="2">
        <v>42360</v>
      </c>
      <c r="T1702" s="2">
        <v>42359</v>
      </c>
      <c r="U1702" s="2">
        <v>42419</v>
      </c>
      <c r="V1702" t="s">
        <v>71</v>
      </c>
      <c r="W1702" t="str">
        <f>"          0920858347"</f>
        <v xml:space="preserve">          0920858347</v>
      </c>
      <c r="X1702" s="1">
        <v>92638.66</v>
      </c>
      <c r="Y1702">
        <v>0</v>
      </c>
      <c r="Z1702"/>
      <c r="AB1702"/>
      <c r="AC1702" s="1">
        <v>75933.33</v>
      </c>
      <c r="AD1702">
        <v>73</v>
      </c>
      <c r="AE1702" s="1">
        <v>5543133.0899999999</v>
      </c>
      <c r="AF1702">
        <v>0</v>
      </c>
      <c r="AJ1702">
        <v>0</v>
      </c>
      <c r="AK1702">
        <v>0</v>
      </c>
      <c r="AL1702">
        <v>0</v>
      </c>
      <c r="AM1702">
        <v>0</v>
      </c>
      <c r="AN1702">
        <v>0</v>
      </c>
      <c r="AO1702">
        <v>0</v>
      </c>
      <c r="AP1702" s="2">
        <v>42746</v>
      </c>
      <c r="AQ1702" t="s">
        <v>72</v>
      </c>
      <c r="AR1702" t="s">
        <v>72</v>
      </c>
      <c r="AS1702">
        <v>1244</v>
      </c>
      <c r="AT1702" s="4">
        <v>42492</v>
      </c>
      <c r="AU1702" t="s">
        <v>73</v>
      </c>
      <c r="AV1702">
        <v>1244</v>
      </c>
      <c r="AW1702" s="4">
        <v>42492</v>
      </c>
      <c r="BD1702">
        <v>0</v>
      </c>
      <c r="BN1702" t="s">
        <v>74</v>
      </c>
    </row>
    <row r="1703" spans="1:66" hidden="1">
      <c r="A1703">
        <v>100543</v>
      </c>
      <c r="B1703" s="3" t="s">
        <v>200</v>
      </c>
      <c r="C1703" s="1">
        <v>43300101</v>
      </c>
      <c r="D1703" t="s">
        <v>67</v>
      </c>
      <c r="H1703" t="str">
        <f>"00856750153"</f>
        <v>00856750153</v>
      </c>
      <c r="I1703" t="str">
        <f>"00856750153"</f>
        <v>00856750153</v>
      </c>
      <c r="K1703" t="str">
        <f>""</f>
        <v/>
      </c>
      <c r="M1703" t="s">
        <v>68</v>
      </c>
      <c r="N1703" t="str">
        <f t="shared" si="166"/>
        <v>FOR</v>
      </c>
      <c r="O1703" t="s">
        <v>69</v>
      </c>
      <c r="P1703" s="3" t="s">
        <v>75</v>
      </c>
      <c r="Q1703">
        <v>2015</v>
      </c>
      <c r="R1703" s="2">
        <v>42321</v>
      </c>
      <c r="S1703" s="2">
        <v>42369</v>
      </c>
      <c r="T1703" s="2">
        <v>42369</v>
      </c>
      <c r="U1703" s="2">
        <v>42429</v>
      </c>
      <c r="V1703" t="s">
        <v>71</v>
      </c>
      <c r="W1703" t="str">
        <f>"          0920858348"</f>
        <v xml:space="preserve">          0920858348</v>
      </c>
      <c r="X1703" s="1">
        <v>92638.66</v>
      </c>
      <c r="Y1703">
        <v>0</v>
      </c>
      <c r="Z1703"/>
      <c r="AB1703"/>
      <c r="AC1703" s="1">
        <v>75933.33</v>
      </c>
      <c r="AD1703">
        <v>147</v>
      </c>
      <c r="AE1703" s="1">
        <v>11162199.51</v>
      </c>
      <c r="AF1703">
        <v>0</v>
      </c>
      <c r="AJ1703">
        <v>0</v>
      </c>
      <c r="AK1703">
        <v>0</v>
      </c>
      <c r="AL1703">
        <v>0</v>
      </c>
      <c r="AM1703">
        <v>0</v>
      </c>
      <c r="AN1703">
        <v>0</v>
      </c>
      <c r="AO1703">
        <v>0</v>
      </c>
      <c r="AP1703" s="2">
        <v>42746</v>
      </c>
      <c r="AQ1703" t="s">
        <v>72</v>
      </c>
      <c r="AR1703" t="s">
        <v>72</v>
      </c>
      <c r="AS1703">
        <v>1916</v>
      </c>
      <c r="AT1703" s="4">
        <v>42576</v>
      </c>
      <c r="AU1703" t="s">
        <v>73</v>
      </c>
      <c r="AV1703">
        <v>1916</v>
      </c>
      <c r="AW1703" s="4">
        <v>42576</v>
      </c>
      <c r="BD1703">
        <v>0</v>
      </c>
      <c r="BN1703" t="s">
        <v>74</v>
      </c>
    </row>
    <row r="1704" spans="1:66">
      <c r="A1704">
        <v>100558</v>
      </c>
      <c r="B1704" s="3" t="s">
        <v>201</v>
      </c>
      <c r="C1704" s="1">
        <v>43300101</v>
      </c>
      <c r="D1704" t="s">
        <v>67</v>
      </c>
      <c r="H1704" t="str">
        <f>""</f>
        <v/>
      </c>
      <c r="I1704" t="str">
        <f>"00723460630"</f>
        <v>00723460630</v>
      </c>
      <c r="K1704" t="str">
        <f>""</f>
        <v/>
      </c>
      <c r="M1704" t="s">
        <v>68</v>
      </c>
      <c r="N1704" t="str">
        <f t="shared" si="166"/>
        <v>FOR</v>
      </c>
      <c r="O1704" t="s">
        <v>69</v>
      </c>
      <c r="P1704" s="3" t="s">
        <v>75</v>
      </c>
      <c r="Q1704">
        <v>2016</v>
      </c>
      <c r="R1704" s="2">
        <v>42416</v>
      </c>
      <c r="S1704" s="2">
        <v>42439</v>
      </c>
      <c r="T1704" s="2">
        <v>42438</v>
      </c>
      <c r="U1704" s="2">
        <v>42498</v>
      </c>
      <c r="V1704" t="s">
        <v>71</v>
      </c>
      <c r="W1704" t="str">
        <f>"          000250-0C3"</f>
        <v xml:space="preserve">          000250-0C3</v>
      </c>
      <c r="X1704" s="1">
        <v>11990.16</v>
      </c>
      <c r="Y1704">
        <v>0</v>
      </c>
      <c r="Z1704" s="5">
        <v>9828</v>
      </c>
      <c r="AA1704">
        <v>184</v>
      </c>
      <c r="AB1704" s="5">
        <v>1808352</v>
      </c>
      <c r="AC1704" s="1">
        <v>9828</v>
      </c>
      <c r="AD1704">
        <v>184</v>
      </c>
      <c r="AE1704" s="1">
        <v>1808352</v>
      </c>
      <c r="AF1704">
        <v>0</v>
      </c>
      <c r="AJ1704">
        <v>0</v>
      </c>
      <c r="AK1704">
        <v>0</v>
      </c>
      <c r="AL1704">
        <v>0</v>
      </c>
      <c r="AM1704" s="1">
        <v>11990.16</v>
      </c>
      <c r="AN1704" s="1">
        <v>11990.16</v>
      </c>
      <c r="AO1704" s="1">
        <v>11990.16</v>
      </c>
      <c r="AP1704" s="2">
        <v>42746</v>
      </c>
      <c r="AQ1704" t="s">
        <v>72</v>
      </c>
      <c r="AR1704" t="s">
        <v>72</v>
      </c>
      <c r="AS1704">
        <v>2984</v>
      </c>
      <c r="AT1704" s="4">
        <v>42682</v>
      </c>
      <c r="AU1704" t="s">
        <v>73</v>
      </c>
      <c r="AV1704">
        <v>2984</v>
      </c>
      <c r="AW1704" s="4">
        <v>42682</v>
      </c>
      <c r="BD1704">
        <v>0</v>
      </c>
      <c r="BN1704" t="s">
        <v>74</v>
      </c>
    </row>
    <row r="1705" spans="1:66" hidden="1">
      <c r="A1705">
        <v>100565</v>
      </c>
      <c r="B1705" s="3" t="s">
        <v>202</v>
      </c>
      <c r="C1705" s="1">
        <v>43300101</v>
      </c>
      <c r="D1705" t="s">
        <v>67</v>
      </c>
      <c r="H1705" t="str">
        <f t="shared" ref="H1705:I1732" si="168">"00747170157"</f>
        <v>00747170157</v>
      </c>
      <c r="I1705" t="str">
        <f t="shared" si="168"/>
        <v>00747170157</v>
      </c>
      <c r="K1705" t="str">
        <f>""</f>
        <v/>
      </c>
      <c r="M1705" t="s">
        <v>68</v>
      </c>
      <c r="N1705" t="str">
        <f t="shared" si="166"/>
        <v>FOR</v>
      </c>
      <c r="O1705" t="s">
        <v>69</v>
      </c>
      <c r="P1705" s="3" t="s">
        <v>70</v>
      </c>
      <c r="Q1705">
        <v>2015</v>
      </c>
      <c r="R1705" s="2">
        <v>42051</v>
      </c>
      <c r="S1705" s="2">
        <v>42066</v>
      </c>
      <c r="T1705" s="2">
        <v>42066</v>
      </c>
      <c r="U1705" s="2">
        <v>42126</v>
      </c>
      <c r="V1705" t="s">
        <v>71</v>
      </c>
      <c r="W1705" t="str">
        <f>"          6745307048"</f>
        <v xml:space="preserve">          6745307048</v>
      </c>
      <c r="X1705" s="1">
        <v>17417.29</v>
      </c>
      <c r="Y1705">
        <v>0</v>
      </c>
      <c r="Z1705"/>
      <c r="AB1705"/>
      <c r="AC1705" s="1">
        <v>15833.9</v>
      </c>
      <c r="AD1705">
        <v>275</v>
      </c>
      <c r="AE1705" s="1">
        <v>4354322.5</v>
      </c>
      <c r="AF1705">
        <v>0</v>
      </c>
      <c r="AJ1705">
        <v>0</v>
      </c>
      <c r="AK1705">
        <v>0</v>
      </c>
      <c r="AL1705">
        <v>0</v>
      </c>
      <c r="AM1705">
        <v>0</v>
      </c>
      <c r="AN1705">
        <v>0</v>
      </c>
      <c r="AO1705">
        <v>0</v>
      </c>
      <c r="AP1705" s="2">
        <v>42746</v>
      </c>
      <c r="AQ1705" t="s">
        <v>72</v>
      </c>
      <c r="AR1705" t="s">
        <v>72</v>
      </c>
      <c r="AS1705">
        <v>185</v>
      </c>
      <c r="AT1705" s="4">
        <v>42401</v>
      </c>
      <c r="AU1705" t="s">
        <v>73</v>
      </c>
      <c r="AV1705">
        <v>185</v>
      </c>
      <c r="AW1705" s="4">
        <v>42401</v>
      </c>
      <c r="BD1705">
        <v>0</v>
      </c>
      <c r="BN1705" t="s">
        <v>74</v>
      </c>
    </row>
    <row r="1706" spans="1:66" hidden="1">
      <c r="A1706">
        <v>100565</v>
      </c>
      <c r="B1706" s="3" t="s">
        <v>202</v>
      </c>
      <c r="C1706" s="1">
        <v>43300101</v>
      </c>
      <c r="D1706" t="s">
        <v>67</v>
      </c>
      <c r="H1706" t="str">
        <f t="shared" si="168"/>
        <v>00747170157</v>
      </c>
      <c r="I1706" t="str">
        <f t="shared" si="168"/>
        <v>00747170157</v>
      </c>
      <c r="K1706" t="str">
        <f>""</f>
        <v/>
      </c>
      <c r="M1706" t="s">
        <v>68</v>
      </c>
      <c r="N1706" t="str">
        <f t="shared" si="166"/>
        <v>FOR</v>
      </c>
      <c r="O1706" t="s">
        <v>69</v>
      </c>
      <c r="P1706" s="3" t="s">
        <v>70</v>
      </c>
      <c r="Q1706">
        <v>2015</v>
      </c>
      <c r="R1706" s="2">
        <v>42074</v>
      </c>
      <c r="S1706" s="2">
        <v>42086</v>
      </c>
      <c r="T1706" s="2">
        <v>42086</v>
      </c>
      <c r="U1706" s="2">
        <v>42146</v>
      </c>
      <c r="V1706" t="s">
        <v>71</v>
      </c>
      <c r="W1706" t="str">
        <f>"          6745310590"</f>
        <v xml:space="preserve">          6745310590</v>
      </c>
      <c r="X1706" s="1">
        <v>12063.17</v>
      </c>
      <c r="Y1706">
        <v>0</v>
      </c>
      <c r="Z1706"/>
      <c r="AB1706"/>
      <c r="AC1706" s="1">
        <v>10966.52</v>
      </c>
      <c r="AD1706">
        <v>270</v>
      </c>
      <c r="AE1706" s="1">
        <v>2960960.4</v>
      </c>
      <c r="AF1706">
        <v>0</v>
      </c>
      <c r="AJ1706">
        <v>0</v>
      </c>
      <c r="AK1706">
        <v>0</v>
      </c>
      <c r="AL1706">
        <v>0</v>
      </c>
      <c r="AM1706">
        <v>0</v>
      </c>
      <c r="AN1706">
        <v>0</v>
      </c>
      <c r="AO1706">
        <v>0</v>
      </c>
      <c r="AP1706" s="2">
        <v>42746</v>
      </c>
      <c r="AQ1706" t="s">
        <v>72</v>
      </c>
      <c r="AR1706" t="s">
        <v>72</v>
      </c>
      <c r="AS1706">
        <v>404</v>
      </c>
      <c r="AT1706" s="4">
        <v>42416</v>
      </c>
      <c r="AU1706" t="s">
        <v>73</v>
      </c>
      <c r="AV1706">
        <v>404</v>
      </c>
      <c r="AW1706" s="4">
        <v>42416</v>
      </c>
      <c r="BD1706">
        <v>0</v>
      </c>
      <c r="BN1706" t="s">
        <v>74</v>
      </c>
    </row>
    <row r="1707" spans="1:66" hidden="1">
      <c r="A1707">
        <v>100565</v>
      </c>
      <c r="B1707" s="3" t="s">
        <v>202</v>
      </c>
      <c r="C1707" s="1">
        <v>43300101</v>
      </c>
      <c r="D1707" t="s">
        <v>67</v>
      </c>
      <c r="H1707" t="str">
        <f t="shared" si="168"/>
        <v>00747170157</v>
      </c>
      <c r="I1707" t="str">
        <f t="shared" si="168"/>
        <v>00747170157</v>
      </c>
      <c r="K1707" t="str">
        <f>""</f>
        <v/>
      </c>
      <c r="M1707" t="s">
        <v>68</v>
      </c>
      <c r="N1707" t="str">
        <f t="shared" si="166"/>
        <v>FOR</v>
      </c>
      <c r="O1707" t="s">
        <v>69</v>
      </c>
      <c r="P1707" s="3" t="s">
        <v>75</v>
      </c>
      <c r="Q1707">
        <v>2015</v>
      </c>
      <c r="R1707" s="2">
        <v>42096</v>
      </c>
      <c r="S1707" s="2">
        <v>42107</v>
      </c>
      <c r="T1707" s="2">
        <v>42103</v>
      </c>
      <c r="U1707" s="2">
        <v>42163</v>
      </c>
      <c r="V1707" t="s">
        <v>71</v>
      </c>
      <c r="W1707" t="str">
        <f>"          6745313770"</f>
        <v xml:space="preserve">          6745313770</v>
      </c>
      <c r="X1707" s="1">
        <v>18094.759999999998</v>
      </c>
      <c r="Y1707">
        <v>0</v>
      </c>
      <c r="Z1707"/>
      <c r="AB1707"/>
      <c r="AC1707" s="1">
        <v>16449.78</v>
      </c>
      <c r="AD1707">
        <v>289</v>
      </c>
      <c r="AE1707" s="1">
        <v>4753986.42</v>
      </c>
      <c r="AF1707">
        <v>0</v>
      </c>
      <c r="AJ1707">
        <v>0</v>
      </c>
      <c r="AK1707">
        <v>0</v>
      </c>
      <c r="AL1707">
        <v>0</v>
      </c>
      <c r="AM1707">
        <v>0</v>
      </c>
      <c r="AN1707">
        <v>0</v>
      </c>
      <c r="AO1707">
        <v>0</v>
      </c>
      <c r="AP1707" s="2">
        <v>42746</v>
      </c>
      <c r="AQ1707" t="s">
        <v>72</v>
      </c>
      <c r="AR1707" t="s">
        <v>72</v>
      </c>
      <c r="AS1707">
        <v>801</v>
      </c>
      <c r="AT1707" s="4">
        <v>42452</v>
      </c>
      <c r="AU1707" t="s">
        <v>73</v>
      </c>
      <c r="AV1707">
        <v>801</v>
      </c>
      <c r="AW1707" s="4">
        <v>42452</v>
      </c>
      <c r="BD1707">
        <v>0</v>
      </c>
      <c r="BN1707" t="s">
        <v>74</v>
      </c>
    </row>
    <row r="1708" spans="1:66" hidden="1">
      <c r="A1708">
        <v>100565</v>
      </c>
      <c r="B1708" s="3" t="s">
        <v>202</v>
      </c>
      <c r="C1708" s="1">
        <v>43300101</v>
      </c>
      <c r="D1708" t="s">
        <v>67</v>
      </c>
      <c r="H1708" t="str">
        <f t="shared" si="168"/>
        <v>00747170157</v>
      </c>
      <c r="I1708" t="str">
        <f t="shared" si="168"/>
        <v>00747170157</v>
      </c>
      <c r="K1708" t="str">
        <f>""</f>
        <v/>
      </c>
      <c r="M1708" t="s">
        <v>68</v>
      </c>
      <c r="N1708" t="str">
        <f t="shared" si="166"/>
        <v>FOR</v>
      </c>
      <c r="O1708" t="s">
        <v>69</v>
      </c>
      <c r="P1708" s="3" t="s">
        <v>75</v>
      </c>
      <c r="Q1708">
        <v>2015</v>
      </c>
      <c r="R1708" s="2">
        <v>42101</v>
      </c>
      <c r="S1708" s="2">
        <v>42107</v>
      </c>
      <c r="T1708" s="2">
        <v>42103</v>
      </c>
      <c r="U1708" s="2">
        <v>42163</v>
      </c>
      <c r="V1708" t="s">
        <v>71</v>
      </c>
      <c r="W1708" t="str">
        <f>"          6745314327"</f>
        <v xml:space="preserve">          6745314327</v>
      </c>
      <c r="X1708" s="1">
        <v>10450.370000000001</v>
      </c>
      <c r="Y1708">
        <v>0</v>
      </c>
      <c r="Z1708"/>
      <c r="AB1708"/>
      <c r="AC1708" s="1">
        <v>9500.34</v>
      </c>
      <c r="AD1708">
        <v>289</v>
      </c>
      <c r="AE1708" s="1">
        <v>2745598.26</v>
      </c>
      <c r="AF1708">
        <v>0</v>
      </c>
      <c r="AJ1708">
        <v>0</v>
      </c>
      <c r="AK1708">
        <v>0</v>
      </c>
      <c r="AL1708">
        <v>0</v>
      </c>
      <c r="AM1708">
        <v>0</v>
      </c>
      <c r="AN1708">
        <v>0</v>
      </c>
      <c r="AO1708">
        <v>0</v>
      </c>
      <c r="AP1708" s="2">
        <v>42746</v>
      </c>
      <c r="AQ1708" t="s">
        <v>72</v>
      </c>
      <c r="AR1708" t="s">
        <v>72</v>
      </c>
      <c r="AS1708">
        <v>801</v>
      </c>
      <c r="AT1708" s="4">
        <v>42452</v>
      </c>
      <c r="AU1708" t="s">
        <v>73</v>
      </c>
      <c r="AV1708">
        <v>801</v>
      </c>
      <c r="AW1708" s="4">
        <v>42452</v>
      </c>
      <c r="BD1708">
        <v>0</v>
      </c>
      <c r="BN1708" t="s">
        <v>74</v>
      </c>
    </row>
    <row r="1709" spans="1:66" hidden="1">
      <c r="A1709">
        <v>100565</v>
      </c>
      <c r="B1709" s="3" t="s">
        <v>202</v>
      </c>
      <c r="C1709" s="1">
        <v>43300101</v>
      </c>
      <c r="D1709" t="s">
        <v>67</v>
      </c>
      <c r="H1709" t="str">
        <f t="shared" si="168"/>
        <v>00747170157</v>
      </c>
      <c r="I1709" t="str">
        <f t="shared" si="168"/>
        <v>00747170157</v>
      </c>
      <c r="K1709" t="str">
        <f>""</f>
        <v/>
      </c>
      <c r="M1709" t="s">
        <v>68</v>
      </c>
      <c r="N1709" t="str">
        <f t="shared" si="166"/>
        <v>FOR</v>
      </c>
      <c r="O1709" t="s">
        <v>69</v>
      </c>
      <c r="P1709" s="3" t="s">
        <v>75</v>
      </c>
      <c r="Q1709">
        <v>2015</v>
      </c>
      <c r="R1709" s="2">
        <v>42104</v>
      </c>
      <c r="S1709" s="2">
        <v>42160</v>
      </c>
      <c r="T1709" s="2">
        <v>42146</v>
      </c>
      <c r="U1709" s="2">
        <v>42206</v>
      </c>
      <c r="V1709" t="s">
        <v>71</v>
      </c>
      <c r="W1709" t="str">
        <f>"          6745314946"</f>
        <v xml:space="preserve">          6745314946</v>
      </c>
      <c r="X1709" s="1">
        <v>2090</v>
      </c>
      <c r="Y1709">
        <v>0</v>
      </c>
      <c r="Z1709"/>
      <c r="AB1709"/>
      <c r="AC1709" s="1">
        <v>1900</v>
      </c>
      <c r="AD1709">
        <v>314</v>
      </c>
      <c r="AE1709" s="1">
        <v>596600</v>
      </c>
      <c r="AF1709">
        <v>0</v>
      </c>
      <c r="AJ1709">
        <v>0</v>
      </c>
      <c r="AK1709">
        <v>0</v>
      </c>
      <c r="AL1709">
        <v>0</v>
      </c>
      <c r="AM1709">
        <v>0</v>
      </c>
      <c r="AN1709">
        <v>0</v>
      </c>
      <c r="AO1709">
        <v>0</v>
      </c>
      <c r="AP1709" s="2">
        <v>42746</v>
      </c>
      <c r="AQ1709" t="s">
        <v>72</v>
      </c>
      <c r="AR1709" t="s">
        <v>72</v>
      </c>
      <c r="AS1709">
        <v>1464</v>
      </c>
      <c r="AT1709" s="4">
        <v>42520</v>
      </c>
      <c r="AU1709" t="s">
        <v>73</v>
      </c>
      <c r="AV1709">
        <v>1464</v>
      </c>
      <c r="AW1709" s="4">
        <v>42520</v>
      </c>
      <c r="BD1709">
        <v>0</v>
      </c>
      <c r="BN1709" t="s">
        <v>74</v>
      </c>
    </row>
    <row r="1710" spans="1:66" hidden="1">
      <c r="A1710">
        <v>100565</v>
      </c>
      <c r="B1710" s="3" t="s">
        <v>202</v>
      </c>
      <c r="C1710" s="1">
        <v>43300101</v>
      </c>
      <c r="D1710" t="s">
        <v>67</v>
      </c>
      <c r="H1710" t="str">
        <f t="shared" si="168"/>
        <v>00747170157</v>
      </c>
      <c r="I1710" t="str">
        <f t="shared" si="168"/>
        <v>00747170157</v>
      </c>
      <c r="K1710" t="str">
        <f>""</f>
        <v/>
      </c>
      <c r="M1710" t="s">
        <v>68</v>
      </c>
      <c r="N1710" t="str">
        <f t="shared" si="166"/>
        <v>FOR</v>
      </c>
      <c r="O1710" t="s">
        <v>69</v>
      </c>
      <c r="P1710" s="3" t="s">
        <v>75</v>
      </c>
      <c r="Q1710">
        <v>2015</v>
      </c>
      <c r="R1710" s="2">
        <v>42104</v>
      </c>
      <c r="S1710" s="2">
        <v>42160</v>
      </c>
      <c r="T1710" s="2">
        <v>42146</v>
      </c>
      <c r="U1710" s="2">
        <v>42206</v>
      </c>
      <c r="V1710" t="s">
        <v>71</v>
      </c>
      <c r="W1710" t="str">
        <f>"          6745314947"</f>
        <v xml:space="preserve">          6745314947</v>
      </c>
      <c r="X1710" s="1">
        <v>3015.79</v>
      </c>
      <c r="Y1710">
        <v>0</v>
      </c>
      <c r="Z1710"/>
      <c r="AB1710"/>
      <c r="AC1710" s="1">
        <v>2741.63</v>
      </c>
      <c r="AD1710">
        <v>246</v>
      </c>
      <c r="AE1710" s="1">
        <v>674440.98</v>
      </c>
      <c r="AF1710">
        <v>0</v>
      </c>
      <c r="AJ1710">
        <v>0</v>
      </c>
      <c r="AK1710">
        <v>0</v>
      </c>
      <c r="AL1710">
        <v>0</v>
      </c>
      <c r="AM1710">
        <v>0</v>
      </c>
      <c r="AN1710">
        <v>0</v>
      </c>
      <c r="AO1710">
        <v>0</v>
      </c>
      <c r="AP1710" s="2">
        <v>42746</v>
      </c>
      <c r="AQ1710" t="s">
        <v>72</v>
      </c>
      <c r="AR1710" t="s">
        <v>72</v>
      </c>
      <c r="AS1710">
        <v>801</v>
      </c>
      <c r="AT1710" s="4">
        <v>42452</v>
      </c>
      <c r="AU1710" t="s">
        <v>73</v>
      </c>
      <c r="AV1710">
        <v>801</v>
      </c>
      <c r="AW1710" s="4">
        <v>42452</v>
      </c>
      <c r="BD1710">
        <v>0</v>
      </c>
      <c r="BN1710" t="s">
        <v>74</v>
      </c>
    </row>
    <row r="1711" spans="1:66" hidden="1">
      <c r="A1711">
        <v>100565</v>
      </c>
      <c r="B1711" s="3" t="s">
        <v>202</v>
      </c>
      <c r="C1711" s="1">
        <v>43300101</v>
      </c>
      <c r="D1711" t="s">
        <v>67</v>
      </c>
      <c r="H1711" t="str">
        <f t="shared" si="168"/>
        <v>00747170157</v>
      </c>
      <c r="I1711" t="str">
        <f t="shared" si="168"/>
        <v>00747170157</v>
      </c>
      <c r="K1711" t="str">
        <f>""</f>
        <v/>
      </c>
      <c r="M1711" t="s">
        <v>68</v>
      </c>
      <c r="N1711" t="str">
        <f t="shared" si="166"/>
        <v>FOR</v>
      </c>
      <c r="O1711" t="s">
        <v>69</v>
      </c>
      <c r="P1711" s="3" t="s">
        <v>75</v>
      </c>
      <c r="Q1711">
        <v>2015</v>
      </c>
      <c r="R1711" s="2">
        <v>42111</v>
      </c>
      <c r="S1711" s="2">
        <v>42160</v>
      </c>
      <c r="T1711" s="2">
        <v>42146</v>
      </c>
      <c r="U1711" s="2">
        <v>42206</v>
      </c>
      <c r="V1711" t="s">
        <v>71</v>
      </c>
      <c r="W1711" t="str">
        <f>"          6745316237"</f>
        <v xml:space="preserve">          6745316237</v>
      </c>
      <c r="X1711" s="1">
        <v>2090</v>
      </c>
      <c r="Y1711">
        <v>0</v>
      </c>
      <c r="Z1711"/>
      <c r="AB1711"/>
      <c r="AC1711" s="1">
        <v>1900</v>
      </c>
      <c r="AD1711">
        <v>314</v>
      </c>
      <c r="AE1711" s="1">
        <v>596600</v>
      </c>
      <c r="AF1711">
        <v>0</v>
      </c>
      <c r="AJ1711">
        <v>0</v>
      </c>
      <c r="AK1711">
        <v>0</v>
      </c>
      <c r="AL1711">
        <v>0</v>
      </c>
      <c r="AM1711">
        <v>0</v>
      </c>
      <c r="AN1711">
        <v>0</v>
      </c>
      <c r="AO1711">
        <v>0</v>
      </c>
      <c r="AP1711" s="2">
        <v>42746</v>
      </c>
      <c r="AQ1711" t="s">
        <v>72</v>
      </c>
      <c r="AR1711" t="s">
        <v>72</v>
      </c>
      <c r="AS1711">
        <v>1464</v>
      </c>
      <c r="AT1711" s="4">
        <v>42520</v>
      </c>
      <c r="AU1711" t="s">
        <v>73</v>
      </c>
      <c r="AV1711">
        <v>1464</v>
      </c>
      <c r="AW1711" s="4">
        <v>42520</v>
      </c>
      <c r="BD1711">
        <v>0</v>
      </c>
      <c r="BN1711" t="s">
        <v>74</v>
      </c>
    </row>
    <row r="1712" spans="1:66" hidden="1">
      <c r="A1712">
        <v>100565</v>
      </c>
      <c r="B1712" s="3" t="s">
        <v>202</v>
      </c>
      <c r="C1712" s="1">
        <v>43300101</v>
      </c>
      <c r="D1712" t="s">
        <v>67</v>
      </c>
      <c r="H1712" t="str">
        <f t="shared" si="168"/>
        <v>00747170157</v>
      </c>
      <c r="I1712" t="str">
        <f t="shared" si="168"/>
        <v>00747170157</v>
      </c>
      <c r="K1712" t="str">
        <f>""</f>
        <v/>
      </c>
      <c r="M1712" t="s">
        <v>68</v>
      </c>
      <c r="N1712" t="str">
        <f t="shared" si="166"/>
        <v>FOR</v>
      </c>
      <c r="O1712" t="s">
        <v>69</v>
      </c>
      <c r="P1712" s="3" t="s">
        <v>75</v>
      </c>
      <c r="Q1712">
        <v>2015</v>
      </c>
      <c r="R1712" s="2">
        <v>42124</v>
      </c>
      <c r="S1712" s="2">
        <v>42160</v>
      </c>
      <c r="T1712" s="2">
        <v>42146</v>
      </c>
      <c r="U1712" s="2">
        <v>42206</v>
      </c>
      <c r="V1712" t="s">
        <v>71</v>
      </c>
      <c r="W1712" t="str">
        <f>"          6745318587"</f>
        <v xml:space="preserve">          6745318587</v>
      </c>
      <c r="X1712">
        <v>522.5</v>
      </c>
      <c r="Y1712">
        <v>0</v>
      </c>
      <c r="Z1712"/>
      <c r="AB1712"/>
      <c r="AC1712">
        <v>475</v>
      </c>
      <c r="AD1712">
        <v>246</v>
      </c>
      <c r="AE1712" s="1">
        <v>116850</v>
      </c>
      <c r="AF1712">
        <v>0</v>
      </c>
      <c r="AJ1712">
        <v>0</v>
      </c>
      <c r="AK1712">
        <v>0</v>
      </c>
      <c r="AL1712">
        <v>0</v>
      </c>
      <c r="AM1712">
        <v>0</v>
      </c>
      <c r="AN1712">
        <v>0</v>
      </c>
      <c r="AO1712">
        <v>0</v>
      </c>
      <c r="AP1712" s="2">
        <v>42746</v>
      </c>
      <c r="AQ1712" t="s">
        <v>72</v>
      </c>
      <c r="AR1712" t="s">
        <v>72</v>
      </c>
      <c r="AS1712">
        <v>801</v>
      </c>
      <c r="AT1712" s="4">
        <v>42452</v>
      </c>
      <c r="AU1712" t="s">
        <v>73</v>
      </c>
      <c r="AV1712">
        <v>801</v>
      </c>
      <c r="AW1712" s="4">
        <v>42452</v>
      </c>
      <c r="BD1712">
        <v>0</v>
      </c>
      <c r="BN1712" t="s">
        <v>74</v>
      </c>
    </row>
    <row r="1713" spans="1:66" hidden="1">
      <c r="A1713">
        <v>100565</v>
      </c>
      <c r="B1713" s="3" t="s">
        <v>202</v>
      </c>
      <c r="C1713" s="1">
        <v>43300101</v>
      </c>
      <c r="D1713" t="s">
        <v>67</v>
      </c>
      <c r="H1713" t="str">
        <f t="shared" si="168"/>
        <v>00747170157</v>
      </c>
      <c r="I1713" t="str">
        <f t="shared" si="168"/>
        <v>00747170157</v>
      </c>
      <c r="K1713" t="str">
        <f>""</f>
        <v/>
      </c>
      <c r="M1713" t="s">
        <v>68</v>
      </c>
      <c r="N1713" t="str">
        <f t="shared" si="166"/>
        <v>FOR</v>
      </c>
      <c r="O1713" t="s">
        <v>69</v>
      </c>
      <c r="P1713" s="3" t="s">
        <v>75</v>
      </c>
      <c r="Q1713">
        <v>2015</v>
      </c>
      <c r="R1713" s="2">
        <v>42138</v>
      </c>
      <c r="S1713" s="2">
        <v>42160</v>
      </c>
      <c r="T1713" s="2">
        <v>42146</v>
      </c>
      <c r="U1713" s="2">
        <v>42206</v>
      </c>
      <c r="V1713" t="s">
        <v>71</v>
      </c>
      <c r="W1713" t="str">
        <f>"          6745320764"</f>
        <v xml:space="preserve">          6745320764</v>
      </c>
      <c r="X1713" s="1">
        <v>2090</v>
      </c>
      <c r="Y1713">
        <v>0</v>
      </c>
      <c r="Z1713"/>
      <c r="AB1713"/>
      <c r="AC1713" s="1">
        <v>1900</v>
      </c>
      <c r="AD1713">
        <v>314</v>
      </c>
      <c r="AE1713" s="1">
        <v>596600</v>
      </c>
      <c r="AF1713">
        <v>0</v>
      </c>
      <c r="AJ1713">
        <v>0</v>
      </c>
      <c r="AK1713">
        <v>0</v>
      </c>
      <c r="AL1713">
        <v>0</v>
      </c>
      <c r="AM1713">
        <v>0</v>
      </c>
      <c r="AN1713">
        <v>0</v>
      </c>
      <c r="AO1713">
        <v>0</v>
      </c>
      <c r="AP1713" s="2">
        <v>42746</v>
      </c>
      <c r="AQ1713" t="s">
        <v>72</v>
      </c>
      <c r="AR1713" t="s">
        <v>72</v>
      </c>
      <c r="AS1713">
        <v>1464</v>
      </c>
      <c r="AT1713" s="4">
        <v>42520</v>
      </c>
      <c r="AU1713" t="s">
        <v>73</v>
      </c>
      <c r="AV1713">
        <v>1464</v>
      </c>
      <c r="AW1713" s="4">
        <v>42520</v>
      </c>
      <c r="BD1713">
        <v>0</v>
      </c>
      <c r="BN1713" t="s">
        <v>74</v>
      </c>
    </row>
    <row r="1714" spans="1:66" hidden="1">
      <c r="A1714">
        <v>100565</v>
      </c>
      <c r="B1714" s="3" t="s">
        <v>202</v>
      </c>
      <c r="C1714" s="1">
        <v>43300101</v>
      </c>
      <c r="D1714" t="s">
        <v>67</v>
      </c>
      <c r="H1714" t="str">
        <f t="shared" si="168"/>
        <v>00747170157</v>
      </c>
      <c r="I1714" t="str">
        <f t="shared" si="168"/>
        <v>00747170157</v>
      </c>
      <c r="K1714" t="str">
        <f>""</f>
        <v/>
      </c>
      <c r="M1714" t="s">
        <v>68</v>
      </c>
      <c r="N1714" t="str">
        <f t="shared" si="166"/>
        <v>FOR</v>
      </c>
      <c r="O1714" t="s">
        <v>69</v>
      </c>
      <c r="P1714" s="3" t="s">
        <v>75</v>
      </c>
      <c r="Q1714">
        <v>2015</v>
      </c>
      <c r="R1714" s="2">
        <v>42144</v>
      </c>
      <c r="S1714" s="2">
        <v>42160</v>
      </c>
      <c r="T1714" s="2">
        <v>42146</v>
      </c>
      <c r="U1714" s="2">
        <v>42206</v>
      </c>
      <c r="V1714" t="s">
        <v>71</v>
      </c>
      <c r="W1714" t="str">
        <f>"          6745321682"</f>
        <v xml:space="preserve">          6745321682</v>
      </c>
      <c r="X1714" s="1">
        <v>2090</v>
      </c>
      <c r="Y1714">
        <v>0</v>
      </c>
      <c r="Z1714"/>
      <c r="AB1714"/>
      <c r="AC1714" s="1">
        <v>1900</v>
      </c>
      <c r="AD1714">
        <v>314</v>
      </c>
      <c r="AE1714" s="1">
        <v>596600</v>
      </c>
      <c r="AF1714">
        <v>0</v>
      </c>
      <c r="AJ1714">
        <v>0</v>
      </c>
      <c r="AK1714">
        <v>0</v>
      </c>
      <c r="AL1714">
        <v>0</v>
      </c>
      <c r="AM1714">
        <v>0</v>
      </c>
      <c r="AN1714">
        <v>0</v>
      </c>
      <c r="AO1714">
        <v>0</v>
      </c>
      <c r="AP1714" s="2">
        <v>42746</v>
      </c>
      <c r="AQ1714" t="s">
        <v>72</v>
      </c>
      <c r="AR1714" t="s">
        <v>72</v>
      </c>
      <c r="AS1714">
        <v>1464</v>
      </c>
      <c r="AT1714" s="4">
        <v>42520</v>
      </c>
      <c r="AU1714" t="s">
        <v>73</v>
      </c>
      <c r="AV1714">
        <v>1464</v>
      </c>
      <c r="AW1714" s="4">
        <v>42520</v>
      </c>
      <c r="BD1714">
        <v>0</v>
      </c>
      <c r="BN1714" t="s">
        <v>74</v>
      </c>
    </row>
    <row r="1715" spans="1:66" hidden="1">
      <c r="A1715">
        <v>100565</v>
      </c>
      <c r="B1715" s="3" t="s">
        <v>202</v>
      </c>
      <c r="C1715" s="1">
        <v>43300101</v>
      </c>
      <c r="D1715" t="s">
        <v>67</v>
      </c>
      <c r="H1715" t="str">
        <f t="shared" si="168"/>
        <v>00747170157</v>
      </c>
      <c r="I1715" t="str">
        <f t="shared" si="168"/>
        <v>00747170157</v>
      </c>
      <c r="K1715" t="str">
        <f>""</f>
        <v/>
      </c>
      <c r="M1715" t="s">
        <v>68</v>
      </c>
      <c r="N1715" t="str">
        <f t="shared" si="166"/>
        <v>FOR</v>
      </c>
      <c r="O1715" t="s">
        <v>69</v>
      </c>
      <c r="P1715" s="3" t="s">
        <v>75</v>
      </c>
      <c r="Q1715">
        <v>2015</v>
      </c>
      <c r="R1715" s="2">
        <v>42158</v>
      </c>
      <c r="S1715" s="2">
        <v>42163</v>
      </c>
      <c r="T1715" s="2">
        <v>42159</v>
      </c>
      <c r="U1715" s="2">
        <v>42219</v>
      </c>
      <c r="V1715" t="s">
        <v>71</v>
      </c>
      <c r="W1715" t="str">
        <f>"          6745323809"</f>
        <v xml:space="preserve">          6745323809</v>
      </c>
      <c r="X1715" s="1">
        <v>2090</v>
      </c>
      <c r="Y1715">
        <v>0</v>
      </c>
      <c r="Z1715"/>
      <c r="AB1715"/>
      <c r="AC1715" s="1">
        <v>1900</v>
      </c>
      <c r="AD1715">
        <v>301</v>
      </c>
      <c r="AE1715" s="1">
        <v>571900</v>
      </c>
      <c r="AF1715">
        <v>0</v>
      </c>
      <c r="AJ1715">
        <v>0</v>
      </c>
      <c r="AK1715">
        <v>0</v>
      </c>
      <c r="AL1715">
        <v>0</v>
      </c>
      <c r="AM1715">
        <v>0</v>
      </c>
      <c r="AN1715">
        <v>0</v>
      </c>
      <c r="AO1715">
        <v>0</v>
      </c>
      <c r="AP1715" s="2">
        <v>42746</v>
      </c>
      <c r="AQ1715" t="s">
        <v>72</v>
      </c>
      <c r="AR1715" t="s">
        <v>72</v>
      </c>
      <c r="AS1715">
        <v>1464</v>
      </c>
      <c r="AT1715" s="4">
        <v>42520</v>
      </c>
      <c r="AU1715" t="s">
        <v>73</v>
      </c>
      <c r="AV1715">
        <v>1464</v>
      </c>
      <c r="AW1715" s="4">
        <v>42520</v>
      </c>
      <c r="BD1715">
        <v>0</v>
      </c>
      <c r="BN1715" t="s">
        <v>74</v>
      </c>
    </row>
    <row r="1716" spans="1:66" hidden="1">
      <c r="A1716">
        <v>100565</v>
      </c>
      <c r="B1716" s="3" t="s">
        <v>202</v>
      </c>
      <c r="C1716" s="1">
        <v>43300101</v>
      </c>
      <c r="D1716" t="s">
        <v>67</v>
      </c>
      <c r="H1716" t="str">
        <f t="shared" si="168"/>
        <v>00747170157</v>
      </c>
      <c r="I1716" t="str">
        <f t="shared" si="168"/>
        <v>00747170157</v>
      </c>
      <c r="K1716" t="str">
        <f>""</f>
        <v/>
      </c>
      <c r="M1716" t="s">
        <v>68</v>
      </c>
      <c r="N1716" t="str">
        <f t="shared" si="166"/>
        <v>FOR</v>
      </c>
      <c r="O1716" t="s">
        <v>69</v>
      </c>
      <c r="P1716" s="3" t="s">
        <v>75</v>
      </c>
      <c r="Q1716">
        <v>2015</v>
      </c>
      <c r="R1716" s="2">
        <v>42163</v>
      </c>
      <c r="S1716" s="2">
        <v>42165</v>
      </c>
      <c r="T1716" s="2">
        <v>42164</v>
      </c>
      <c r="U1716" s="2">
        <v>42224</v>
      </c>
      <c r="V1716" t="s">
        <v>71</v>
      </c>
      <c r="W1716" t="str">
        <f>"          6745324661"</f>
        <v xml:space="preserve">          6745324661</v>
      </c>
      <c r="X1716" s="1">
        <v>2090</v>
      </c>
      <c r="Y1716">
        <v>0</v>
      </c>
      <c r="Z1716"/>
      <c r="AB1716"/>
      <c r="AC1716" s="1">
        <v>1900</v>
      </c>
      <c r="AD1716">
        <v>296</v>
      </c>
      <c r="AE1716" s="1">
        <v>562400</v>
      </c>
      <c r="AF1716">
        <v>0</v>
      </c>
      <c r="AJ1716">
        <v>0</v>
      </c>
      <c r="AK1716">
        <v>0</v>
      </c>
      <c r="AL1716">
        <v>0</v>
      </c>
      <c r="AM1716">
        <v>0</v>
      </c>
      <c r="AN1716">
        <v>0</v>
      </c>
      <c r="AO1716">
        <v>0</v>
      </c>
      <c r="AP1716" s="2">
        <v>42746</v>
      </c>
      <c r="AQ1716" t="s">
        <v>72</v>
      </c>
      <c r="AR1716" t="s">
        <v>72</v>
      </c>
      <c r="AS1716">
        <v>1464</v>
      </c>
      <c r="AT1716" s="4">
        <v>42520</v>
      </c>
      <c r="AU1716" t="s">
        <v>73</v>
      </c>
      <c r="AV1716">
        <v>1464</v>
      </c>
      <c r="AW1716" s="4">
        <v>42520</v>
      </c>
      <c r="BD1716">
        <v>0</v>
      </c>
      <c r="BN1716" t="s">
        <v>74</v>
      </c>
    </row>
    <row r="1717" spans="1:66" hidden="1">
      <c r="A1717">
        <v>100565</v>
      </c>
      <c r="B1717" s="3" t="s">
        <v>202</v>
      </c>
      <c r="C1717" s="1">
        <v>43300101</v>
      </c>
      <c r="D1717" t="s">
        <v>67</v>
      </c>
      <c r="H1717" t="str">
        <f t="shared" si="168"/>
        <v>00747170157</v>
      </c>
      <c r="I1717" t="str">
        <f t="shared" si="168"/>
        <v>00747170157</v>
      </c>
      <c r="K1717" t="str">
        <f>""</f>
        <v/>
      </c>
      <c r="M1717" t="s">
        <v>68</v>
      </c>
      <c r="N1717" t="str">
        <f t="shared" si="166"/>
        <v>FOR</v>
      </c>
      <c r="O1717" t="s">
        <v>69</v>
      </c>
      <c r="P1717" s="3" t="s">
        <v>75</v>
      </c>
      <c r="Q1717">
        <v>2015</v>
      </c>
      <c r="R1717" s="2">
        <v>42173</v>
      </c>
      <c r="S1717" s="2">
        <v>42177</v>
      </c>
      <c r="T1717" s="2">
        <v>42174</v>
      </c>
      <c r="U1717" s="2">
        <v>42234</v>
      </c>
      <c r="V1717" t="s">
        <v>71</v>
      </c>
      <c r="W1717" t="str">
        <f>"          6745327007"</f>
        <v xml:space="preserve">          6745327007</v>
      </c>
      <c r="X1717" s="1">
        <v>2090</v>
      </c>
      <c r="Y1717">
        <v>0</v>
      </c>
      <c r="Z1717"/>
      <c r="AB1717"/>
      <c r="AC1717" s="1">
        <v>1900</v>
      </c>
      <c r="AD1717">
        <v>286</v>
      </c>
      <c r="AE1717" s="1">
        <v>543400</v>
      </c>
      <c r="AF1717">
        <v>0</v>
      </c>
      <c r="AJ1717">
        <v>0</v>
      </c>
      <c r="AK1717">
        <v>0</v>
      </c>
      <c r="AL1717">
        <v>0</v>
      </c>
      <c r="AM1717">
        <v>0</v>
      </c>
      <c r="AN1717">
        <v>0</v>
      </c>
      <c r="AO1717">
        <v>0</v>
      </c>
      <c r="AP1717" s="2">
        <v>42746</v>
      </c>
      <c r="AQ1717" t="s">
        <v>72</v>
      </c>
      <c r="AR1717" t="s">
        <v>72</v>
      </c>
      <c r="AS1717">
        <v>1464</v>
      </c>
      <c r="AT1717" s="4">
        <v>42520</v>
      </c>
      <c r="AU1717" t="s">
        <v>73</v>
      </c>
      <c r="AV1717">
        <v>1464</v>
      </c>
      <c r="AW1717" s="4">
        <v>42520</v>
      </c>
      <c r="BD1717">
        <v>0</v>
      </c>
      <c r="BN1717" t="s">
        <v>74</v>
      </c>
    </row>
    <row r="1718" spans="1:66" hidden="1">
      <c r="A1718">
        <v>100565</v>
      </c>
      <c r="B1718" s="3" t="s">
        <v>202</v>
      </c>
      <c r="C1718" s="1">
        <v>43300101</v>
      </c>
      <c r="D1718" t="s">
        <v>67</v>
      </c>
      <c r="H1718" t="str">
        <f t="shared" si="168"/>
        <v>00747170157</v>
      </c>
      <c r="I1718" t="str">
        <f t="shared" si="168"/>
        <v>00747170157</v>
      </c>
      <c r="K1718" t="str">
        <f>""</f>
        <v/>
      </c>
      <c r="M1718" t="s">
        <v>68</v>
      </c>
      <c r="N1718" t="str">
        <f t="shared" si="166"/>
        <v>FOR</v>
      </c>
      <c r="O1718" t="s">
        <v>69</v>
      </c>
      <c r="P1718" s="3" t="s">
        <v>75</v>
      </c>
      <c r="Q1718">
        <v>2015</v>
      </c>
      <c r="R1718" s="2">
        <v>42198</v>
      </c>
      <c r="S1718" s="2">
        <v>42205</v>
      </c>
      <c r="T1718" s="2">
        <v>42202</v>
      </c>
      <c r="U1718" s="2">
        <v>42262</v>
      </c>
      <c r="V1718" t="s">
        <v>71</v>
      </c>
      <c r="W1718" t="str">
        <f>"          6745331629"</f>
        <v xml:space="preserve">          6745331629</v>
      </c>
      <c r="X1718" s="1">
        <v>4180</v>
      </c>
      <c r="Y1718">
        <v>0</v>
      </c>
      <c r="Z1718"/>
      <c r="AB1718"/>
      <c r="AC1718" s="1">
        <v>3800</v>
      </c>
      <c r="AD1718">
        <v>307</v>
      </c>
      <c r="AE1718" s="1">
        <v>1166600</v>
      </c>
      <c r="AF1718">
        <v>0</v>
      </c>
      <c r="AJ1718">
        <v>0</v>
      </c>
      <c r="AK1718">
        <v>0</v>
      </c>
      <c r="AL1718">
        <v>0</v>
      </c>
      <c r="AM1718">
        <v>0</v>
      </c>
      <c r="AN1718">
        <v>0</v>
      </c>
      <c r="AO1718">
        <v>0</v>
      </c>
      <c r="AP1718" s="2">
        <v>42746</v>
      </c>
      <c r="AQ1718" t="s">
        <v>72</v>
      </c>
      <c r="AR1718" t="s">
        <v>72</v>
      </c>
      <c r="AS1718">
        <v>1863</v>
      </c>
      <c r="AT1718" s="4">
        <v>42569</v>
      </c>
      <c r="AU1718" t="s">
        <v>73</v>
      </c>
      <c r="AV1718">
        <v>1863</v>
      </c>
      <c r="AW1718" s="4">
        <v>42569</v>
      </c>
      <c r="BD1718">
        <v>0</v>
      </c>
      <c r="BN1718" t="s">
        <v>74</v>
      </c>
    </row>
    <row r="1719" spans="1:66" hidden="1">
      <c r="A1719">
        <v>100565</v>
      </c>
      <c r="B1719" s="3" t="s">
        <v>202</v>
      </c>
      <c r="C1719" s="1">
        <v>43300101</v>
      </c>
      <c r="D1719" t="s">
        <v>67</v>
      </c>
      <c r="H1719" t="str">
        <f t="shared" si="168"/>
        <v>00747170157</v>
      </c>
      <c r="I1719" t="str">
        <f t="shared" si="168"/>
        <v>00747170157</v>
      </c>
      <c r="K1719" t="str">
        <f>""</f>
        <v/>
      </c>
      <c r="M1719" t="s">
        <v>68</v>
      </c>
      <c r="N1719" t="str">
        <f t="shared" si="166"/>
        <v>FOR</v>
      </c>
      <c r="O1719" t="s">
        <v>69</v>
      </c>
      <c r="P1719" s="3" t="s">
        <v>75</v>
      </c>
      <c r="Q1719">
        <v>2015</v>
      </c>
      <c r="R1719" s="2">
        <v>42213</v>
      </c>
      <c r="S1719" s="2">
        <v>42215</v>
      </c>
      <c r="T1719" s="2">
        <v>42214</v>
      </c>
      <c r="U1719" s="2">
        <v>42274</v>
      </c>
      <c r="V1719" t="s">
        <v>71</v>
      </c>
      <c r="W1719" t="str">
        <f>"          6745334443"</f>
        <v xml:space="preserve">          6745334443</v>
      </c>
      <c r="X1719" s="1">
        <v>2090</v>
      </c>
      <c r="Y1719">
        <v>0</v>
      </c>
      <c r="Z1719"/>
      <c r="AB1719"/>
      <c r="AC1719" s="1">
        <v>1900</v>
      </c>
      <c r="AD1719">
        <v>295</v>
      </c>
      <c r="AE1719" s="1">
        <v>560500</v>
      </c>
      <c r="AF1719">
        <v>0</v>
      </c>
      <c r="AJ1719">
        <v>0</v>
      </c>
      <c r="AK1719">
        <v>0</v>
      </c>
      <c r="AL1719">
        <v>0</v>
      </c>
      <c r="AM1719">
        <v>0</v>
      </c>
      <c r="AN1719">
        <v>0</v>
      </c>
      <c r="AO1719">
        <v>0</v>
      </c>
      <c r="AP1719" s="2">
        <v>42746</v>
      </c>
      <c r="AQ1719" t="s">
        <v>72</v>
      </c>
      <c r="AR1719" t="s">
        <v>72</v>
      </c>
      <c r="AS1719">
        <v>1863</v>
      </c>
      <c r="AT1719" s="4">
        <v>42569</v>
      </c>
      <c r="AU1719" t="s">
        <v>73</v>
      </c>
      <c r="AV1719">
        <v>1863</v>
      </c>
      <c r="AW1719" s="4">
        <v>42569</v>
      </c>
      <c r="BD1719">
        <v>0</v>
      </c>
      <c r="BN1719" t="s">
        <v>74</v>
      </c>
    </row>
    <row r="1720" spans="1:66" hidden="1">
      <c r="A1720">
        <v>100565</v>
      </c>
      <c r="B1720" s="3" t="s">
        <v>202</v>
      </c>
      <c r="C1720" s="1">
        <v>43300101</v>
      </c>
      <c r="D1720" t="s">
        <v>67</v>
      </c>
      <c r="H1720" t="str">
        <f t="shared" si="168"/>
        <v>00747170157</v>
      </c>
      <c r="I1720" t="str">
        <f t="shared" si="168"/>
        <v>00747170157</v>
      </c>
      <c r="K1720" t="str">
        <f>""</f>
        <v/>
      </c>
      <c r="M1720" t="s">
        <v>68</v>
      </c>
      <c r="N1720" t="str">
        <f t="shared" ref="N1720:N1747" si="169">"FOR"</f>
        <v>FOR</v>
      </c>
      <c r="O1720" t="s">
        <v>69</v>
      </c>
      <c r="P1720" s="3" t="s">
        <v>75</v>
      </c>
      <c r="Q1720">
        <v>2015</v>
      </c>
      <c r="R1720" s="2">
        <v>42222</v>
      </c>
      <c r="S1720" s="2">
        <v>42226</v>
      </c>
      <c r="T1720" s="2">
        <v>42223</v>
      </c>
      <c r="U1720" s="2">
        <v>42283</v>
      </c>
      <c r="V1720" t="s">
        <v>71</v>
      </c>
      <c r="W1720" t="str">
        <f>"          6745335884"</f>
        <v xml:space="preserve">          6745335884</v>
      </c>
      <c r="X1720" s="1">
        <v>1957.33</v>
      </c>
      <c r="Y1720">
        <v>0</v>
      </c>
      <c r="Z1720"/>
      <c r="AB1720"/>
      <c r="AC1720" s="1">
        <v>1779.39</v>
      </c>
      <c r="AD1720">
        <v>296</v>
      </c>
      <c r="AE1720" s="1">
        <v>526699.43999999994</v>
      </c>
      <c r="AF1720">
        <v>0</v>
      </c>
      <c r="AJ1720">
        <v>0</v>
      </c>
      <c r="AK1720">
        <v>0</v>
      </c>
      <c r="AL1720">
        <v>0</v>
      </c>
      <c r="AM1720">
        <v>0</v>
      </c>
      <c r="AN1720">
        <v>0</v>
      </c>
      <c r="AO1720">
        <v>0</v>
      </c>
      <c r="AP1720" s="2">
        <v>42746</v>
      </c>
      <c r="AQ1720" t="s">
        <v>72</v>
      </c>
      <c r="AR1720" t="s">
        <v>72</v>
      </c>
      <c r="AS1720">
        <v>2001</v>
      </c>
      <c r="AT1720" s="4">
        <v>42579</v>
      </c>
      <c r="AU1720" t="s">
        <v>73</v>
      </c>
      <c r="AV1720">
        <v>2001</v>
      </c>
      <c r="AW1720" s="4">
        <v>42579</v>
      </c>
      <c r="BD1720">
        <v>0</v>
      </c>
      <c r="BN1720" t="s">
        <v>74</v>
      </c>
    </row>
    <row r="1721" spans="1:66" hidden="1">
      <c r="A1721">
        <v>100565</v>
      </c>
      <c r="B1721" s="3" t="s">
        <v>202</v>
      </c>
      <c r="C1721" s="1">
        <v>43300101</v>
      </c>
      <c r="D1721" t="s">
        <v>67</v>
      </c>
      <c r="H1721" t="str">
        <f t="shared" si="168"/>
        <v>00747170157</v>
      </c>
      <c r="I1721" t="str">
        <f t="shared" si="168"/>
        <v>00747170157</v>
      </c>
      <c r="K1721" t="str">
        <f>""</f>
        <v/>
      </c>
      <c r="M1721" t="s">
        <v>68</v>
      </c>
      <c r="N1721" t="str">
        <f t="shared" si="169"/>
        <v>FOR</v>
      </c>
      <c r="O1721" t="s">
        <v>69</v>
      </c>
      <c r="P1721" s="3" t="s">
        <v>75</v>
      </c>
      <c r="Q1721">
        <v>2015</v>
      </c>
      <c r="R1721" s="2">
        <v>42261</v>
      </c>
      <c r="S1721" s="2">
        <v>42263</v>
      </c>
      <c r="T1721" s="2">
        <v>42262</v>
      </c>
      <c r="U1721" s="2">
        <v>42322</v>
      </c>
      <c r="V1721" t="s">
        <v>71</v>
      </c>
      <c r="W1721" t="str">
        <f>"          6745340285"</f>
        <v xml:space="preserve">          6745340285</v>
      </c>
      <c r="X1721" s="1">
        <v>1957.33</v>
      </c>
      <c r="Y1721">
        <v>0</v>
      </c>
      <c r="Z1721"/>
      <c r="AB1721"/>
      <c r="AC1721" s="1">
        <v>1779.39</v>
      </c>
      <c r="AD1721">
        <v>299</v>
      </c>
      <c r="AE1721" s="1">
        <v>532037.61</v>
      </c>
      <c r="AF1721">
        <v>0</v>
      </c>
      <c r="AJ1721">
        <v>0</v>
      </c>
      <c r="AK1721">
        <v>0</v>
      </c>
      <c r="AL1721">
        <v>0</v>
      </c>
      <c r="AM1721">
        <v>0</v>
      </c>
      <c r="AN1721">
        <v>0</v>
      </c>
      <c r="AO1721">
        <v>0</v>
      </c>
      <c r="AP1721" s="2">
        <v>42746</v>
      </c>
      <c r="AQ1721" t="s">
        <v>72</v>
      </c>
      <c r="AR1721" t="s">
        <v>72</v>
      </c>
      <c r="AS1721">
        <v>2382</v>
      </c>
      <c r="AT1721" s="4">
        <v>42621</v>
      </c>
      <c r="AU1721" t="s">
        <v>73</v>
      </c>
      <c r="AV1721">
        <v>2382</v>
      </c>
      <c r="AW1721" s="4">
        <v>42621</v>
      </c>
      <c r="BD1721">
        <v>0</v>
      </c>
      <c r="BN1721" t="s">
        <v>74</v>
      </c>
    </row>
    <row r="1722" spans="1:66" hidden="1">
      <c r="A1722">
        <v>100565</v>
      </c>
      <c r="B1722" s="3" t="s">
        <v>202</v>
      </c>
      <c r="C1722" s="1">
        <v>43300101</v>
      </c>
      <c r="D1722" t="s">
        <v>67</v>
      </c>
      <c r="H1722" t="str">
        <f t="shared" si="168"/>
        <v>00747170157</v>
      </c>
      <c r="I1722" t="str">
        <f t="shared" si="168"/>
        <v>00747170157</v>
      </c>
      <c r="K1722" t="str">
        <f>""</f>
        <v/>
      </c>
      <c r="M1722" t="s">
        <v>68</v>
      </c>
      <c r="N1722" t="str">
        <f t="shared" si="169"/>
        <v>FOR</v>
      </c>
      <c r="O1722" t="s">
        <v>69</v>
      </c>
      <c r="P1722" s="3" t="s">
        <v>75</v>
      </c>
      <c r="Q1722">
        <v>2015</v>
      </c>
      <c r="R1722" s="2">
        <v>42268</v>
      </c>
      <c r="S1722" s="2">
        <v>42275</v>
      </c>
      <c r="T1722" s="2">
        <v>42272</v>
      </c>
      <c r="U1722" s="2">
        <v>42332</v>
      </c>
      <c r="V1722" t="s">
        <v>71</v>
      </c>
      <c r="W1722" t="str">
        <f>"          6745341449"</f>
        <v xml:space="preserve">          6745341449</v>
      </c>
      <c r="X1722">
        <v>978.67</v>
      </c>
      <c r="Y1722">
        <v>0</v>
      </c>
      <c r="Z1722"/>
      <c r="AB1722"/>
      <c r="AC1722">
        <v>889.7</v>
      </c>
      <c r="AD1722">
        <v>289</v>
      </c>
      <c r="AE1722" s="1">
        <v>257123.3</v>
      </c>
      <c r="AF1722">
        <v>0</v>
      </c>
      <c r="AJ1722">
        <v>0</v>
      </c>
      <c r="AK1722">
        <v>0</v>
      </c>
      <c r="AL1722">
        <v>0</v>
      </c>
      <c r="AM1722">
        <v>0</v>
      </c>
      <c r="AN1722">
        <v>0</v>
      </c>
      <c r="AO1722">
        <v>0</v>
      </c>
      <c r="AP1722" s="2">
        <v>42746</v>
      </c>
      <c r="AQ1722" t="s">
        <v>72</v>
      </c>
      <c r="AR1722" t="s">
        <v>72</v>
      </c>
      <c r="AS1722">
        <v>2382</v>
      </c>
      <c r="AT1722" s="4">
        <v>42621</v>
      </c>
      <c r="AU1722" t="s">
        <v>73</v>
      </c>
      <c r="AV1722">
        <v>2382</v>
      </c>
      <c r="AW1722" s="4">
        <v>42621</v>
      </c>
      <c r="BD1722">
        <v>0</v>
      </c>
      <c r="BN1722" t="s">
        <v>74</v>
      </c>
    </row>
    <row r="1723" spans="1:66">
      <c r="A1723">
        <v>100565</v>
      </c>
      <c r="B1723" s="3" t="s">
        <v>202</v>
      </c>
      <c r="C1723" s="1">
        <v>43300101</v>
      </c>
      <c r="D1723" t="s">
        <v>67</v>
      </c>
      <c r="H1723" t="str">
        <f t="shared" si="168"/>
        <v>00747170157</v>
      </c>
      <c r="I1723" t="str">
        <f t="shared" si="168"/>
        <v>00747170157</v>
      </c>
      <c r="K1723" t="str">
        <f>""</f>
        <v/>
      </c>
      <c r="M1723" t="s">
        <v>68</v>
      </c>
      <c r="N1723" t="str">
        <f t="shared" si="169"/>
        <v>FOR</v>
      </c>
      <c r="O1723" t="s">
        <v>69</v>
      </c>
      <c r="P1723" s="3" t="s">
        <v>75</v>
      </c>
      <c r="Q1723">
        <v>2015</v>
      </c>
      <c r="R1723" s="2">
        <v>42286</v>
      </c>
      <c r="S1723" s="2">
        <v>42289</v>
      </c>
      <c r="T1723" s="2">
        <v>42287</v>
      </c>
      <c r="U1723" s="2">
        <v>42347</v>
      </c>
      <c r="V1723" t="s">
        <v>71</v>
      </c>
      <c r="W1723" t="str">
        <f>"          6745344461"</f>
        <v xml:space="preserve">          6745344461</v>
      </c>
      <c r="X1723" s="1">
        <v>3914.66</v>
      </c>
      <c r="Y1723">
        <v>0</v>
      </c>
      <c r="Z1723" s="5">
        <v>3558.78</v>
      </c>
      <c r="AA1723">
        <v>300</v>
      </c>
      <c r="AB1723" s="5">
        <v>1067634</v>
      </c>
      <c r="AC1723" s="1">
        <v>3558.78</v>
      </c>
      <c r="AD1723">
        <v>300</v>
      </c>
      <c r="AE1723" s="1">
        <v>1067634</v>
      </c>
      <c r="AF1723">
        <v>0</v>
      </c>
      <c r="AJ1723">
        <v>0</v>
      </c>
      <c r="AK1723">
        <v>0</v>
      </c>
      <c r="AL1723">
        <v>0</v>
      </c>
      <c r="AM1723">
        <v>0</v>
      </c>
      <c r="AN1723">
        <v>0</v>
      </c>
      <c r="AO1723">
        <v>0</v>
      </c>
      <c r="AP1723" s="2">
        <v>42746</v>
      </c>
      <c r="AQ1723" t="s">
        <v>72</v>
      </c>
      <c r="AR1723" t="s">
        <v>72</v>
      </c>
      <c r="AS1723">
        <v>2612</v>
      </c>
      <c r="AT1723" s="4">
        <v>42647</v>
      </c>
      <c r="AU1723" t="s">
        <v>73</v>
      </c>
      <c r="AV1723">
        <v>2612</v>
      </c>
      <c r="AW1723" s="4">
        <v>42647</v>
      </c>
      <c r="BD1723">
        <v>0</v>
      </c>
      <c r="BN1723" t="s">
        <v>74</v>
      </c>
    </row>
    <row r="1724" spans="1:66">
      <c r="A1724">
        <v>100565</v>
      </c>
      <c r="B1724" s="3" t="s">
        <v>202</v>
      </c>
      <c r="C1724" s="1">
        <v>43300101</v>
      </c>
      <c r="D1724" t="s">
        <v>67</v>
      </c>
      <c r="H1724" t="str">
        <f t="shared" si="168"/>
        <v>00747170157</v>
      </c>
      <c r="I1724" t="str">
        <f t="shared" si="168"/>
        <v>00747170157</v>
      </c>
      <c r="K1724" t="str">
        <f>""</f>
        <v/>
      </c>
      <c r="M1724" t="s">
        <v>68</v>
      </c>
      <c r="N1724" t="str">
        <f t="shared" si="169"/>
        <v>FOR</v>
      </c>
      <c r="O1724" t="s">
        <v>69</v>
      </c>
      <c r="P1724" s="3" t="s">
        <v>75</v>
      </c>
      <c r="Q1724">
        <v>2015</v>
      </c>
      <c r="R1724" s="2">
        <v>42296</v>
      </c>
      <c r="S1724" s="2">
        <v>42298</v>
      </c>
      <c r="T1724" s="2">
        <v>42297</v>
      </c>
      <c r="U1724" s="2">
        <v>42357</v>
      </c>
      <c r="V1724" t="s">
        <v>71</v>
      </c>
      <c r="W1724" t="str">
        <f>"          6745345979"</f>
        <v xml:space="preserve">          6745345979</v>
      </c>
      <c r="X1724" s="1">
        <v>1957.33</v>
      </c>
      <c r="Y1724">
        <v>0</v>
      </c>
      <c r="Z1724" s="5">
        <v>1779.39</v>
      </c>
      <c r="AA1724">
        <v>290</v>
      </c>
      <c r="AB1724" s="5">
        <v>516023.1</v>
      </c>
      <c r="AC1724" s="1">
        <v>1779.39</v>
      </c>
      <c r="AD1724">
        <v>290</v>
      </c>
      <c r="AE1724" s="1">
        <v>516023.1</v>
      </c>
      <c r="AF1724">
        <v>0</v>
      </c>
      <c r="AJ1724">
        <v>0</v>
      </c>
      <c r="AK1724">
        <v>0</v>
      </c>
      <c r="AL1724">
        <v>0</v>
      </c>
      <c r="AM1724">
        <v>0</v>
      </c>
      <c r="AN1724">
        <v>0</v>
      </c>
      <c r="AO1724">
        <v>0</v>
      </c>
      <c r="AP1724" s="2">
        <v>42746</v>
      </c>
      <c r="AQ1724" t="s">
        <v>72</v>
      </c>
      <c r="AR1724" t="s">
        <v>72</v>
      </c>
      <c r="AS1724">
        <v>2612</v>
      </c>
      <c r="AT1724" s="4">
        <v>42647</v>
      </c>
      <c r="AU1724" t="s">
        <v>73</v>
      </c>
      <c r="AV1724">
        <v>2612</v>
      </c>
      <c r="AW1724" s="4">
        <v>42647</v>
      </c>
      <c r="BD1724">
        <v>0</v>
      </c>
      <c r="BN1724" t="s">
        <v>74</v>
      </c>
    </row>
    <row r="1725" spans="1:66">
      <c r="A1725">
        <v>100565</v>
      </c>
      <c r="B1725" s="3" t="s">
        <v>202</v>
      </c>
      <c r="C1725" s="1">
        <v>43300101</v>
      </c>
      <c r="D1725" t="s">
        <v>67</v>
      </c>
      <c r="H1725" t="str">
        <f t="shared" si="168"/>
        <v>00747170157</v>
      </c>
      <c r="I1725" t="str">
        <f t="shared" si="168"/>
        <v>00747170157</v>
      </c>
      <c r="K1725" t="str">
        <f>""</f>
        <v/>
      </c>
      <c r="M1725" t="s">
        <v>68</v>
      </c>
      <c r="N1725" t="str">
        <f t="shared" si="169"/>
        <v>FOR</v>
      </c>
      <c r="O1725" t="s">
        <v>69</v>
      </c>
      <c r="P1725" s="3" t="s">
        <v>75</v>
      </c>
      <c r="Q1725">
        <v>2015</v>
      </c>
      <c r="R1725" s="2">
        <v>42312</v>
      </c>
      <c r="S1725" s="2">
        <v>42318</v>
      </c>
      <c r="T1725" s="2">
        <v>42314</v>
      </c>
      <c r="U1725" s="2">
        <v>42374</v>
      </c>
      <c r="V1725" t="s">
        <v>71</v>
      </c>
      <c r="W1725" t="str">
        <f>"          6745348724"</f>
        <v xml:space="preserve">          6745348724</v>
      </c>
      <c r="X1725" s="1">
        <v>5871.99</v>
      </c>
      <c r="Y1725">
        <v>0</v>
      </c>
      <c r="Z1725" s="5">
        <v>5338.17</v>
      </c>
      <c r="AA1725">
        <v>308</v>
      </c>
      <c r="AB1725" s="5">
        <v>1644156.36</v>
      </c>
      <c r="AC1725" s="1">
        <v>5338.17</v>
      </c>
      <c r="AD1725">
        <v>308</v>
      </c>
      <c r="AE1725" s="1">
        <v>1644156.36</v>
      </c>
      <c r="AF1725">
        <v>0</v>
      </c>
      <c r="AJ1725">
        <v>0</v>
      </c>
      <c r="AK1725">
        <v>0</v>
      </c>
      <c r="AL1725">
        <v>0</v>
      </c>
      <c r="AM1725">
        <v>0</v>
      </c>
      <c r="AN1725">
        <v>0</v>
      </c>
      <c r="AO1725">
        <v>0</v>
      </c>
      <c r="AP1725" s="2">
        <v>42746</v>
      </c>
      <c r="AQ1725" t="s">
        <v>72</v>
      </c>
      <c r="AR1725" t="s">
        <v>72</v>
      </c>
      <c r="AS1725">
        <v>2992</v>
      </c>
      <c r="AT1725" s="4">
        <v>42682</v>
      </c>
      <c r="AU1725" t="s">
        <v>73</v>
      </c>
      <c r="AV1725">
        <v>2992</v>
      </c>
      <c r="AW1725" s="4">
        <v>42682</v>
      </c>
      <c r="BD1725">
        <v>0</v>
      </c>
      <c r="BN1725" t="s">
        <v>74</v>
      </c>
    </row>
    <row r="1726" spans="1:66">
      <c r="A1726">
        <v>100565</v>
      </c>
      <c r="B1726" s="3" t="s">
        <v>202</v>
      </c>
      <c r="C1726" s="1">
        <v>43300101</v>
      </c>
      <c r="D1726" t="s">
        <v>67</v>
      </c>
      <c r="H1726" t="str">
        <f t="shared" si="168"/>
        <v>00747170157</v>
      </c>
      <c r="I1726" t="str">
        <f t="shared" si="168"/>
        <v>00747170157</v>
      </c>
      <c r="K1726" t="str">
        <f>""</f>
        <v/>
      </c>
      <c r="M1726" t="s">
        <v>68</v>
      </c>
      <c r="N1726" t="str">
        <f t="shared" si="169"/>
        <v>FOR</v>
      </c>
      <c r="O1726" t="s">
        <v>69</v>
      </c>
      <c r="P1726" s="3" t="s">
        <v>75</v>
      </c>
      <c r="Q1726">
        <v>2015</v>
      </c>
      <c r="R1726" s="2">
        <v>42314</v>
      </c>
      <c r="S1726" s="2">
        <v>42318</v>
      </c>
      <c r="T1726" s="2">
        <v>42315</v>
      </c>
      <c r="U1726" s="2">
        <v>42375</v>
      </c>
      <c r="V1726" t="s">
        <v>71</v>
      </c>
      <c r="W1726" t="str">
        <f>"          6745349248"</f>
        <v xml:space="preserve">          6745349248</v>
      </c>
      <c r="X1726">
        <v>489.34</v>
      </c>
      <c r="Y1726">
        <v>0</v>
      </c>
      <c r="Z1726" s="3">
        <v>444.85</v>
      </c>
      <c r="AA1726">
        <v>307</v>
      </c>
      <c r="AB1726" s="5">
        <v>136568.95000000001</v>
      </c>
      <c r="AC1726">
        <v>444.85</v>
      </c>
      <c r="AD1726">
        <v>307</v>
      </c>
      <c r="AE1726" s="1">
        <v>136568.95000000001</v>
      </c>
      <c r="AF1726">
        <v>0</v>
      </c>
      <c r="AJ1726">
        <v>0</v>
      </c>
      <c r="AK1726">
        <v>0</v>
      </c>
      <c r="AL1726">
        <v>0</v>
      </c>
      <c r="AM1726">
        <v>0</v>
      </c>
      <c r="AN1726">
        <v>0</v>
      </c>
      <c r="AO1726">
        <v>0</v>
      </c>
      <c r="AP1726" s="2">
        <v>42746</v>
      </c>
      <c r="AQ1726" t="s">
        <v>72</v>
      </c>
      <c r="AR1726" t="s">
        <v>72</v>
      </c>
      <c r="AS1726">
        <v>2992</v>
      </c>
      <c r="AT1726" s="4">
        <v>42682</v>
      </c>
      <c r="AU1726" t="s">
        <v>73</v>
      </c>
      <c r="AV1726">
        <v>2992</v>
      </c>
      <c r="AW1726" s="4">
        <v>42682</v>
      </c>
      <c r="BD1726">
        <v>0</v>
      </c>
      <c r="BN1726" t="s">
        <v>74</v>
      </c>
    </row>
    <row r="1727" spans="1:66">
      <c r="A1727">
        <v>100565</v>
      </c>
      <c r="B1727" s="3" t="s">
        <v>202</v>
      </c>
      <c r="C1727" s="1">
        <v>43300101</v>
      </c>
      <c r="D1727" t="s">
        <v>67</v>
      </c>
      <c r="H1727" t="str">
        <f t="shared" si="168"/>
        <v>00747170157</v>
      </c>
      <c r="I1727" t="str">
        <f t="shared" si="168"/>
        <v>00747170157</v>
      </c>
      <c r="K1727" t="str">
        <f>""</f>
        <v/>
      </c>
      <c r="M1727" t="s">
        <v>68</v>
      </c>
      <c r="N1727" t="str">
        <f t="shared" si="169"/>
        <v>FOR</v>
      </c>
      <c r="O1727" t="s">
        <v>69</v>
      </c>
      <c r="P1727" s="3" t="s">
        <v>75</v>
      </c>
      <c r="Q1727">
        <v>2015</v>
      </c>
      <c r="R1727" s="2">
        <v>42321</v>
      </c>
      <c r="S1727" s="2">
        <v>42324</v>
      </c>
      <c r="T1727" s="2">
        <v>42322</v>
      </c>
      <c r="U1727" s="2">
        <v>42382</v>
      </c>
      <c r="V1727" t="s">
        <v>71</v>
      </c>
      <c r="W1727" t="str">
        <f>"          6745350231"</f>
        <v xml:space="preserve">          6745350231</v>
      </c>
      <c r="X1727">
        <v>489.34</v>
      </c>
      <c r="Y1727">
        <v>0</v>
      </c>
      <c r="Z1727" s="3">
        <v>444.85</v>
      </c>
      <c r="AA1727">
        <v>300</v>
      </c>
      <c r="AB1727" s="5">
        <v>133455</v>
      </c>
      <c r="AC1727">
        <v>444.85</v>
      </c>
      <c r="AD1727">
        <v>300</v>
      </c>
      <c r="AE1727" s="1">
        <v>133455</v>
      </c>
      <c r="AF1727">
        <v>0</v>
      </c>
      <c r="AJ1727">
        <v>0</v>
      </c>
      <c r="AK1727">
        <v>0</v>
      </c>
      <c r="AL1727">
        <v>0</v>
      </c>
      <c r="AM1727">
        <v>0</v>
      </c>
      <c r="AN1727">
        <v>0</v>
      </c>
      <c r="AO1727">
        <v>0</v>
      </c>
      <c r="AP1727" s="2">
        <v>42746</v>
      </c>
      <c r="AQ1727" t="s">
        <v>72</v>
      </c>
      <c r="AR1727" t="s">
        <v>72</v>
      </c>
      <c r="AS1727">
        <v>2992</v>
      </c>
      <c r="AT1727" s="4">
        <v>42682</v>
      </c>
      <c r="AU1727" t="s">
        <v>73</v>
      </c>
      <c r="AV1727">
        <v>2992</v>
      </c>
      <c r="AW1727" s="4">
        <v>42682</v>
      </c>
      <c r="BD1727">
        <v>0</v>
      </c>
      <c r="BN1727" t="s">
        <v>74</v>
      </c>
    </row>
    <row r="1728" spans="1:66">
      <c r="A1728">
        <v>100565</v>
      </c>
      <c r="B1728" s="3" t="s">
        <v>202</v>
      </c>
      <c r="C1728" s="1">
        <v>43300101</v>
      </c>
      <c r="D1728" t="s">
        <v>67</v>
      </c>
      <c r="H1728" t="str">
        <f t="shared" si="168"/>
        <v>00747170157</v>
      </c>
      <c r="I1728" t="str">
        <f t="shared" si="168"/>
        <v>00747170157</v>
      </c>
      <c r="K1728" t="str">
        <f>""</f>
        <v/>
      </c>
      <c r="M1728" t="s">
        <v>68</v>
      </c>
      <c r="N1728" t="str">
        <f t="shared" si="169"/>
        <v>FOR</v>
      </c>
      <c r="O1728" t="s">
        <v>69</v>
      </c>
      <c r="P1728" s="3" t="s">
        <v>75</v>
      </c>
      <c r="Q1728">
        <v>2015</v>
      </c>
      <c r="R1728" s="2">
        <v>42332</v>
      </c>
      <c r="S1728" s="2">
        <v>42334</v>
      </c>
      <c r="T1728" s="2">
        <v>42333</v>
      </c>
      <c r="U1728" s="2">
        <v>42393</v>
      </c>
      <c r="V1728" t="s">
        <v>71</v>
      </c>
      <c r="W1728" t="str">
        <f>"          6745351925"</f>
        <v xml:space="preserve">          6745351925</v>
      </c>
      <c r="X1728" s="1">
        <v>1957.33</v>
      </c>
      <c r="Y1728">
        <v>0</v>
      </c>
      <c r="Z1728" s="5">
        <v>1779.39</v>
      </c>
      <c r="AA1728">
        <v>289</v>
      </c>
      <c r="AB1728" s="5">
        <v>514243.71</v>
      </c>
      <c r="AC1728" s="1">
        <v>1779.39</v>
      </c>
      <c r="AD1728">
        <v>289</v>
      </c>
      <c r="AE1728" s="1">
        <v>514243.71</v>
      </c>
      <c r="AF1728">
        <v>0</v>
      </c>
      <c r="AJ1728">
        <v>0</v>
      </c>
      <c r="AK1728">
        <v>0</v>
      </c>
      <c r="AL1728">
        <v>0</v>
      </c>
      <c r="AM1728">
        <v>0</v>
      </c>
      <c r="AN1728">
        <v>0</v>
      </c>
      <c r="AO1728">
        <v>0</v>
      </c>
      <c r="AP1728" s="2">
        <v>42746</v>
      </c>
      <c r="AQ1728" t="s">
        <v>72</v>
      </c>
      <c r="AR1728" t="s">
        <v>72</v>
      </c>
      <c r="AS1728">
        <v>2992</v>
      </c>
      <c r="AT1728" s="4">
        <v>42682</v>
      </c>
      <c r="AU1728" t="s">
        <v>73</v>
      </c>
      <c r="AV1728">
        <v>2992</v>
      </c>
      <c r="AW1728" s="4">
        <v>42682</v>
      </c>
      <c r="BD1728">
        <v>0</v>
      </c>
      <c r="BN1728" t="s">
        <v>74</v>
      </c>
    </row>
    <row r="1729" spans="1:66">
      <c r="A1729">
        <v>100565</v>
      </c>
      <c r="B1729" s="3" t="s">
        <v>202</v>
      </c>
      <c r="C1729" s="1">
        <v>43300101</v>
      </c>
      <c r="D1729" t="s">
        <v>67</v>
      </c>
      <c r="H1729" t="str">
        <f t="shared" si="168"/>
        <v>00747170157</v>
      </c>
      <c r="I1729" t="str">
        <f t="shared" si="168"/>
        <v>00747170157</v>
      </c>
      <c r="K1729" t="str">
        <f>""</f>
        <v/>
      </c>
      <c r="M1729" t="s">
        <v>68</v>
      </c>
      <c r="N1729" t="str">
        <f t="shared" si="169"/>
        <v>FOR</v>
      </c>
      <c r="O1729" t="s">
        <v>69</v>
      </c>
      <c r="P1729" s="3" t="s">
        <v>75</v>
      </c>
      <c r="Q1729">
        <v>2015</v>
      </c>
      <c r="R1729" s="2">
        <v>42338</v>
      </c>
      <c r="S1729" s="2">
        <v>42340</v>
      </c>
      <c r="T1729" s="2">
        <v>42339</v>
      </c>
      <c r="U1729" s="2">
        <v>42399</v>
      </c>
      <c r="V1729" t="s">
        <v>71</v>
      </c>
      <c r="W1729" t="str">
        <f>"          6745352648"</f>
        <v xml:space="preserve">          6745352648</v>
      </c>
      <c r="X1729" s="1">
        <v>1957.33</v>
      </c>
      <c r="Y1729">
        <v>0</v>
      </c>
      <c r="Z1729" s="5">
        <v>1779.39</v>
      </c>
      <c r="AA1729">
        <v>283</v>
      </c>
      <c r="AB1729" s="5">
        <v>503567.37</v>
      </c>
      <c r="AC1729" s="1">
        <v>1779.39</v>
      </c>
      <c r="AD1729">
        <v>283</v>
      </c>
      <c r="AE1729" s="1">
        <v>503567.37</v>
      </c>
      <c r="AF1729">
        <v>0</v>
      </c>
      <c r="AJ1729">
        <v>0</v>
      </c>
      <c r="AK1729">
        <v>0</v>
      </c>
      <c r="AL1729">
        <v>0</v>
      </c>
      <c r="AM1729">
        <v>0</v>
      </c>
      <c r="AN1729">
        <v>0</v>
      </c>
      <c r="AO1729">
        <v>0</v>
      </c>
      <c r="AP1729" s="2">
        <v>42746</v>
      </c>
      <c r="AQ1729" t="s">
        <v>72</v>
      </c>
      <c r="AR1729" t="s">
        <v>72</v>
      </c>
      <c r="AS1729">
        <v>2992</v>
      </c>
      <c r="AT1729" s="4">
        <v>42682</v>
      </c>
      <c r="AU1729" t="s">
        <v>73</v>
      </c>
      <c r="AV1729">
        <v>2992</v>
      </c>
      <c r="AW1729" s="4">
        <v>42682</v>
      </c>
      <c r="BD1729">
        <v>0</v>
      </c>
      <c r="BN1729" t="s">
        <v>74</v>
      </c>
    </row>
    <row r="1730" spans="1:66">
      <c r="A1730">
        <v>100565</v>
      </c>
      <c r="B1730" s="3" t="s">
        <v>202</v>
      </c>
      <c r="C1730" s="1">
        <v>43300101</v>
      </c>
      <c r="D1730" t="s">
        <v>67</v>
      </c>
      <c r="H1730" t="str">
        <f t="shared" si="168"/>
        <v>00747170157</v>
      </c>
      <c r="I1730" t="str">
        <f t="shared" si="168"/>
        <v>00747170157</v>
      </c>
      <c r="K1730" t="str">
        <f>""</f>
        <v/>
      </c>
      <c r="M1730" t="s">
        <v>68</v>
      </c>
      <c r="N1730" t="str">
        <f t="shared" si="169"/>
        <v>FOR</v>
      </c>
      <c r="O1730" t="s">
        <v>69</v>
      </c>
      <c r="P1730" s="3" t="s">
        <v>75</v>
      </c>
      <c r="Q1730">
        <v>2015</v>
      </c>
      <c r="R1730" s="2">
        <v>42348</v>
      </c>
      <c r="S1730" s="2">
        <v>42353</v>
      </c>
      <c r="T1730" s="2">
        <v>42349</v>
      </c>
      <c r="U1730" s="2">
        <v>42409</v>
      </c>
      <c r="V1730" t="s">
        <v>71</v>
      </c>
      <c r="W1730" t="str">
        <f>"          6745354571"</f>
        <v xml:space="preserve">          6745354571</v>
      </c>
      <c r="X1730" s="1">
        <v>7346.35</v>
      </c>
      <c r="Y1730">
        <v>0</v>
      </c>
      <c r="Z1730" s="5">
        <v>6678.5</v>
      </c>
      <c r="AA1730">
        <v>281</v>
      </c>
      <c r="AB1730" s="5">
        <v>1876658.5</v>
      </c>
      <c r="AC1730" s="1">
        <v>6678.5</v>
      </c>
      <c r="AD1730">
        <v>281</v>
      </c>
      <c r="AE1730" s="1">
        <v>1876658.5</v>
      </c>
      <c r="AF1730">
        <v>0</v>
      </c>
      <c r="AJ1730">
        <v>0</v>
      </c>
      <c r="AK1730">
        <v>0</v>
      </c>
      <c r="AL1730">
        <v>0</v>
      </c>
      <c r="AM1730">
        <v>0</v>
      </c>
      <c r="AN1730">
        <v>0</v>
      </c>
      <c r="AO1730">
        <v>0</v>
      </c>
      <c r="AP1730" s="2">
        <v>42746</v>
      </c>
      <c r="AQ1730" t="s">
        <v>72</v>
      </c>
      <c r="AR1730" t="s">
        <v>72</v>
      </c>
      <c r="AS1730">
        <v>3127</v>
      </c>
      <c r="AT1730" s="4">
        <v>42690</v>
      </c>
      <c r="AU1730" t="s">
        <v>73</v>
      </c>
      <c r="AV1730">
        <v>3127</v>
      </c>
      <c r="AW1730" s="4">
        <v>42690</v>
      </c>
      <c r="BD1730">
        <v>0</v>
      </c>
      <c r="BN1730" t="s">
        <v>74</v>
      </c>
    </row>
    <row r="1731" spans="1:66">
      <c r="A1731">
        <v>100565</v>
      </c>
      <c r="B1731" s="3" t="s">
        <v>202</v>
      </c>
      <c r="C1731" s="1">
        <v>43300101</v>
      </c>
      <c r="D1731" t="s">
        <v>67</v>
      </c>
      <c r="H1731" t="str">
        <f t="shared" si="168"/>
        <v>00747170157</v>
      </c>
      <c r="I1731" t="str">
        <f t="shared" si="168"/>
        <v>00747170157</v>
      </c>
      <c r="K1731" t="str">
        <f>""</f>
        <v/>
      </c>
      <c r="M1731" t="s">
        <v>68</v>
      </c>
      <c r="N1731" t="str">
        <f t="shared" si="169"/>
        <v>FOR</v>
      </c>
      <c r="O1731" t="s">
        <v>69</v>
      </c>
      <c r="P1731" s="3" t="s">
        <v>75</v>
      </c>
      <c r="Q1731">
        <v>2016</v>
      </c>
      <c r="R1731" s="2">
        <v>42377</v>
      </c>
      <c r="S1731" s="2">
        <v>42389</v>
      </c>
      <c r="T1731" s="2">
        <v>42379</v>
      </c>
      <c r="U1731" s="2">
        <v>42439</v>
      </c>
      <c r="V1731" t="s">
        <v>71</v>
      </c>
      <c r="W1731" t="str">
        <f>"          6746300886"</f>
        <v xml:space="preserve">          6746300886</v>
      </c>
      <c r="X1731" s="1">
        <v>7346.35</v>
      </c>
      <c r="Y1731">
        <v>0</v>
      </c>
      <c r="Z1731" s="5">
        <v>6678.5</v>
      </c>
      <c r="AA1731">
        <v>284</v>
      </c>
      <c r="AB1731" s="5">
        <v>1896694</v>
      </c>
      <c r="AC1731" s="1">
        <v>6678.5</v>
      </c>
      <c r="AD1731">
        <v>284</v>
      </c>
      <c r="AE1731" s="1">
        <v>1896694</v>
      </c>
      <c r="AF1731">
        <v>667.85</v>
      </c>
      <c r="AJ1731">
        <v>0</v>
      </c>
      <c r="AK1731">
        <v>0</v>
      </c>
      <c r="AL1731">
        <v>0</v>
      </c>
      <c r="AM1731" s="1">
        <v>7346.35</v>
      </c>
      <c r="AN1731" s="1">
        <v>7346.35</v>
      </c>
      <c r="AO1731" s="1">
        <v>7346.35</v>
      </c>
      <c r="AP1731" s="2">
        <v>42746</v>
      </c>
      <c r="AQ1731" t="s">
        <v>72</v>
      </c>
      <c r="AR1731" t="s">
        <v>72</v>
      </c>
      <c r="AS1731">
        <v>3593</v>
      </c>
      <c r="AT1731" s="4">
        <v>42723</v>
      </c>
      <c r="AU1731" t="s">
        <v>73</v>
      </c>
      <c r="AV1731">
        <v>3593</v>
      </c>
      <c r="AW1731" s="4">
        <v>42723</v>
      </c>
      <c r="BD1731">
        <v>667.85</v>
      </c>
      <c r="BN1731" t="s">
        <v>74</v>
      </c>
    </row>
    <row r="1732" spans="1:66">
      <c r="A1732">
        <v>100565</v>
      </c>
      <c r="B1732" s="3" t="s">
        <v>202</v>
      </c>
      <c r="C1732" s="1">
        <v>43300101</v>
      </c>
      <c r="D1732" t="s">
        <v>67</v>
      </c>
      <c r="H1732" t="str">
        <f t="shared" si="168"/>
        <v>00747170157</v>
      </c>
      <c r="I1732" t="str">
        <f t="shared" si="168"/>
        <v>00747170157</v>
      </c>
      <c r="K1732" t="str">
        <f>""</f>
        <v/>
      </c>
      <c r="M1732" t="s">
        <v>68</v>
      </c>
      <c r="N1732" t="str">
        <f t="shared" si="169"/>
        <v>FOR</v>
      </c>
      <c r="O1732" t="s">
        <v>69</v>
      </c>
      <c r="P1732" s="3" t="s">
        <v>75</v>
      </c>
      <c r="Q1732">
        <v>2016</v>
      </c>
      <c r="R1732" s="2">
        <v>42403</v>
      </c>
      <c r="S1732" s="2">
        <v>42410</v>
      </c>
      <c r="T1732" s="2">
        <v>42404</v>
      </c>
      <c r="U1732" s="2">
        <v>42464</v>
      </c>
      <c r="V1732" t="s">
        <v>71</v>
      </c>
      <c r="W1732" t="str">
        <f>"          6746306013"</f>
        <v xml:space="preserve">          6746306013</v>
      </c>
      <c r="X1732" s="1">
        <v>7346.35</v>
      </c>
      <c r="Y1732">
        <v>0</v>
      </c>
      <c r="Z1732" s="5">
        <v>6678.5</v>
      </c>
      <c r="AA1732">
        <v>259</v>
      </c>
      <c r="AB1732" s="5">
        <v>1729731.5</v>
      </c>
      <c r="AC1732" s="1">
        <v>6678.5</v>
      </c>
      <c r="AD1732">
        <v>259</v>
      </c>
      <c r="AE1732" s="1">
        <v>1729731.5</v>
      </c>
      <c r="AF1732">
        <v>667.85</v>
      </c>
      <c r="AJ1732">
        <v>0</v>
      </c>
      <c r="AK1732">
        <v>0</v>
      </c>
      <c r="AL1732">
        <v>0</v>
      </c>
      <c r="AM1732" s="1">
        <v>7346.35</v>
      </c>
      <c r="AN1732" s="1">
        <v>7346.35</v>
      </c>
      <c r="AO1732" s="1">
        <v>7346.35</v>
      </c>
      <c r="AP1732" s="2">
        <v>42746</v>
      </c>
      <c r="AQ1732" t="s">
        <v>72</v>
      </c>
      <c r="AR1732" t="s">
        <v>72</v>
      </c>
      <c r="AS1732">
        <v>3593</v>
      </c>
      <c r="AT1732" s="4">
        <v>42723</v>
      </c>
      <c r="AU1732" t="s">
        <v>73</v>
      </c>
      <c r="AV1732">
        <v>3593</v>
      </c>
      <c r="AW1732" s="4">
        <v>42723</v>
      </c>
      <c r="BD1732">
        <v>667.85</v>
      </c>
      <c r="BN1732" t="s">
        <v>74</v>
      </c>
    </row>
    <row r="1733" spans="1:66" hidden="1">
      <c r="A1733">
        <v>100583</v>
      </c>
      <c r="B1733" s="3" t="s">
        <v>203</v>
      </c>
      <c r="C1733" s="1">
        <v>43300101</v>
      </c>
      <c r="D1733" t="s">
        <v>67</v>
      </c>
      <c r="H1733" t="str">
        <f t="shared" ref="H1733:I1737" si="170">"04888070960"</f>
        <v>04888070960</v>
      </c>
      <c r="I1733" t="str">
        <f t="shared" si="170"/>
        <v>04888070960</v>
      </c>
      <c r="K1733" t="str">
        <f>""</f>
        <v/>
      </c>
      <c r="M1733" t="s">
        <v>68</v>
      </c>
      <c r="N1733" t="str">
        <f t="shared" si="169"/>
        <v>FOR</v>
      </c>
      <c r="O1733" t="s">
        <v>69</v>
      </c>
      <c r="P1733" s="3" t="s">
        <v>75</v>
      </c>
      <c r="Q1733">
        <v>2015</v>
      </c>
      <c r="R1733" s="2">
        <v>42307</v>
      </c>
      <c r="S1733" s="2">
        <v>42318</v>
      </c>
      <c r="T1733" s="2">
        <v>42314</v>
      </c>
      <c r="U1733" s="2">
        <v>42374</v>
      </c>
      <c r="V1733" t="s">
        <v>71</v>
      </c>
      <c r="W1733" t="str">
        <f>"             V4/ 148"</f>
        <v xml:space="preserve">             V4/ 148</v>
      </c>
      <c r="X1733">
        <v>387.2</v>
      </c>
      <c r="Y1733">
        <v>0</v>
      </c>
      <c r="Z1733"/>
      <c r="AB1733"/>
      <c r="AC1733">
        <v>352</v>
      </c>
      <c r="AD1733">
        <v>41</v>
      </c>
      <c r="AE1733" s="1">
        <v>14432</v>
      </c>
      <c r="AF1733">
        <v>0</v>
      </c>
      <c r="AJ1733">
        <v>0</v>
      </c>
      <c r="AK1733">
        <v>0</v>
      </c>
      <c r="AL1733">
        <v>0</v>
      </c>
      <c r="AM1733">
        <v>0</v>
      </c>
      <c r="AN1733">
        <v>0</v>
      </c>
      <c r="AO1733">
        <v>0</v>
      </c>
      <c r="AP1733" s="2">
        <v>42746</v>
      </c>
      <c r="AQ1733" t="s">
        <v>72</v>
      </c>
      <c r="AR1733" t="s">
        <v>72</v>
      </c>
      <c r="AS1733">
        <v>374</v>
      </c>
      <c r="AT1733" s="4">
        <v>42415</v>
      </c>
      <c r="AU1733" t="s">
        <v>73</v>
      </c>
      <c r="AV1733">
        <v>374</v>
      </c>
      <c r="AW1733" s="4">
        <v>42415</v>
      </c>
      <c r="BD1733">
        <v>0</v>
      </c>
      <c r="BN1733" t="s">
        <v>74</v>
      </c>
    </row>
    <row r="1734" spans="1:66">
      <c r="A1734">
        <v>100583</v>
      </c>
      <c r="B1734" s="3" t="s">
        <v>203</v>
      </c>
      <c r="C1734" s="1">
        <v>43300101</v>
      </c>
      <c r="D1734" t="s">
        <v>67</v>
      </c>
      <c r="H1734" t="str">
        <f t="shared" si="170"/>
        <v>04888070960</v>
      </c>
      <c r="I1734" t="str">
        <f t="shared" si="170"/>
        <v>04888070960</v>
      </c>
      <c r="K1734" t="str">
        <f>""</f>
        <v/>
      </c>
      <c r="M1734" t="s">
        <v>68</v>
      </c>
      <c r="N1734" t="str">
        <f t="shared" si="169"/>
        <v>FOR</v>
      </c>
      <c r="O1734" t="s">
        <v>69</v>
      </c>
      <c r="P1734" s="3" t="s">
        <v>75</v>
      </c>
      <c r="Q1734">
        <v>2016</v>
      </c>
      <c r="R1734" s="2">
        <v>42460</v>
      </c>
      <c r="S1734" s="2">
        <v>42473</v>
      </c>
      <c r="T1734" s="2">
        <v>42466</v>
      </c>
      <c r="U1734" s="2">
        <v>42526</v>
      </c>
      <c r="V1734" t="s">
        <v>71</v>
      </c>
      <c r="W1734" t="str">
        <f>"              V4/ 48"</f>
        <v xml:space="preserve">              V4/ 48</v>
      </c>
      <c r="X1734">
        <v>580.79999999999995</v>
      </c>
      <c r="Y1734">
        <v>0</v>
      </c>
      <c r="Z1734" s="3">
        <v>528</v>
      </c>
      <c r="AA1734">
        <v>121</v>
      </c>
      <c r="AB1734" s="5">
        <v>63888</v>
      </c>
      <c r="AC1734">
        <v>528</v>
      </c>
      <c r="AD1734">
        <v>121</v>
      </c>
      <c r="AE1734" s="1">
        <v>63888</v>
      </c>
      <c r="AF1734">
        <v>0</v>
      </c>
      <c r="AJ1734">
        <v>0</v>
      </c>
      <c r="AK1734">
        <v>0</v>
      </c>
      <c r="AL1734">
        <v>0</v>
      </c>
      <c r="AM1734">
        <v>580.79999999999995</v>
      </c>
      <c r="AN1734">
        <v>580.79999999999995</v>
      </c>
      <c r="AO1734">
        <v>580.79999999999995</v>
      </c>
      <c r="AP1734" s="2">
        <v>42746</v>
      </c>
      <c r="AQ1734" t="s">
        <v>72</v>
      </c>
      <c r="AR1734" t="s">
        <v>72</v>
      </c>
      <c r="AS1734">
        <v>2599</v>
      </c>
      <c r="AT1734" s="4">
        <v>42647</v>
      </c>
      <c r="AU1734" t="s">
        <v>73</v>
      </c>
      <c r="AV1734">
        <v>2599</v>
      </c>
      <c r="AW1734" s="4">
        <v>42647</v>
      </c>
      <c r="BD1734">
        <v>0</v>
      </c>
      <c r="BN1734" t="s">
        <v>74</v>
      </c>
    </row>
    <row r="1735" spans="1:66">
      <c r="A1735">
        <v>100583</v>
      </c>
      <c r="B1735" s="3" t="s">
        <v>203</v>
      </c>
      <c r="C1735" s="1">
        <v>43300101</v>
      </c>
      <c r="D1735" t="s">
        <v>67</v>
      </c>
      <c r="H1735" t="str">
        <f t="shared" si="170"/>
        <v>04888070960</v>
      </c>
      <c r="I1735" t="str">
        <f t="shared" si="170"/>
        <v>04888070960</v>
      </c>
      <c r="K1735" t="str">
        <f>""</f>
        <v/>
      </c>
      <c r="M1735" t="s">
        <v>68</v>
      </c>
      <c r="N1735" t="str">
        <f t="shared" si="169"/>
        <v>FOR</v>
      </c>
      <c r="O1735" t="s">
        <v>69</v>
      </c>
      <c r="P1735" s="3" t="s">
        <v>75</v>
      </c>
      <c r="Q1735">
        <v>2016</v>
      </c>
      <c r="R1735" s="2">
        <v>42521</v>
      </c>
      <c r="S1735" s="2">
        <v>42534</v>
      </c>
      <c r="T1735" s="2">
        <v>42534</v>
      </c>
      <c r="U1735" s="2">
        <v>42594</v>
      </c>
      <c r="V1735" t="s">
        <v>71</v>
      </c>
      <c r="W1735" t="str">
        <f>"              V4/ 95"</f>
        <v xml:space="preserve">              V4/ 95</v>
      </c>
      <c r="X1735">
        <v>580.79999999999995</v>
      </c>
      <c r="Y1735">
        <v>0</v>
      </c>
      <c r="Z1735" s="3">
        <v>528</v>
      </c>
      <c r="AA1735">
        <v>53</v>
      </c>
      <c r="AB1735" s="5">
        <v>27984</v>
      </c>
      <c r="AC1735">
        <v>528</v>
      </c>
      <c r="AD1735">
        <v>53</v>
      </c>
      <c r="AE1735" s="1">
        <v>27984</v>
      </c>
      <c r="AF1735">
        <v>0</v>
      </c>
      <c r="AJ1735">
        <v>0</v>
      </c>
      <c r="AK1735">
        <v>0</v>
      </c>
      <c r="AL1735">
        <v>0</v>
      </c>
      <c r="AM1735">
        <v>580.79999999999995</v>
      </c>
      <c r="AN1735">
        <v>580.79999999999995</v>
      </c>
      <c r="AO1735">
        <v>580.79999999999995</v>
      </c>
      <c r="AP1735" s="2">
        <v>42746</v>
      </c>
      <c r="AQ1735" t="s">
        <v>72</v>
      </c>
      <c r="AR1735" t="s">
        <v>72</v>
      </c>
      <c r="AS1735">
        <v>2599</v>
      </c>
      <c r="AT1735" s="4">
        <v>42647</v>
      </c>
      <c r="AU1735" t="s">
        <v>73</v>
      </c>
      <c r="AV1735">
        <v>2599</v>
      </c>
      <c r="AW1735" s="4">
        <v>42647</v>
      </c>
      <c r="BD1735">
        <v>0</v>
      </c>
      <c r="BN1735" t="s">
        <v>74</v>
      </c>
    </row>
    <row r="1736" spans="1:66">
      <c r="A1736">
        <v>100583</v>
      </c>
      <c r="B1736" s="3" t="s">
        <v>203</v>
      </c>
      <c r="C1736" s="1">
        <v>43300101</v>
      </c>
      <c r="D1736" t="s">
        <v>67</v>
      </c>
      <c r="H1736" t="str">
        <f t="shared" si="170"/>
        <v>04888070960</v>
      </c>
      <c r="I1736" t="str">
        <f t="shared" si="170"/>
        <v>04888070960</v>
      </c>
      <c r="K1736" t="str">
        <f>""</f>
        <v/>
      </c>
      <c r="M1736" t="s">
        <v>68</v>
      </c>
      <c r="N1736" t="str">
        <f t="shared" si="169"/>
        <v>FOR</v>
      </c>
      <c r="O1736" t="s">
        <v>69</v>
      </c>
      <c r="P1736" s="3" t="s">
        <v>75</v>
      </c>
      <c r="Q1736">
        <v>2016</v>
      </c>
      <c r="R1736" s="2">
        <v>42551</v>
      </c>
      <c r="S1736" s="2">
        <v>42571</v>
      </c>
      <c r="T1736" s="2">
        <v>42562</v>
      </c>
      <c r="U1736" s="2">
        <v>42622</v>
      </c>
      <c r="V1736" t="s">
        <v>71</v>
      </c>
      <c r="W1736" t="str">
        <f>"             V4/ 129"</f>
        <v xml:space="preserve">             V4/ 129</v>
      </c>
      <c r="X1736">
        <v>387.2</v>
      </c>
      <c r="Y1736">
        <v>0</v>
      </c>
      <c r="Z1736" s="3">
        <v>352</v>
      </c>
      <c r="AA1736">
        <v>25</v>
      </c>
      <c r="AB1736" s="5">
        <v>8800</v>
      </c>
      <c r="AC1736">
        <v>352</v>
      </c>
      <c r="AD1736">
        <v>25</v>
      </c>
      <c r="AE1736" s="1">
        <v>8800</v>
      </c>
      <c r="AF1736">
        <v>0</v>
      </c>
      <c r="AJ1736">
        <v>0</v>
      </c>
      <c r="AK1736">
        <v>0</v>
      </c>
      <c r="AL1736">
        <v>0</v>
      </c>
      <c r="AM1736">
        <v>387.2</v>
      </c>
      <c r="AN1736">
        <v>387.2</v>
      </c>
      <c r="AO1736">
        <v>387.2</v>
      </c>
      <c r="AP1736" s="2">
        <v>42746</v>
      </c>
      <c r="AQ1736" t="s">
        <v>72</v>
      </c>
      <c r="AR1736" t="s">
        <v>72</v>
      </c>
      <c r="AS1736">
        <v>2599</v>
      </c>
      <c r="AT1736" s="4">
        <v>42647</v>
      </c>
      <c r="AU1736" t="s">
        <v>73</v>
      </c>
      <c r="AV1736">
        <v>2599</v>
      </c>
      <c r="AW1736" s="4">
        <v>42647</v>
      </c>
      <c r="BD1736">
        <v>0</v>
      </c>
      <c r="BN1736" t="s">
        <v>74</v>
      </c>
    </row>
    <row r="1737" spans="1:66">
      <c r="A1737">
        <v>100583</v>
      </c>
      <c r="B1737" s="3" t="s">
        <v>203</v>
      </c>
      <c r="C1737" s="1">
        <v>43300101</v>
      </c>
      <c r="D1737" t="s">
        <v>67</v>
      </c>
      <c r="H1737" t="str">
        <f t="shared" si="170"/>
        <v>04888070960</v>
      </c>
      <c r="I1737" t="str">
        <f t="shared" si="170"/>
        <v>04888070960</v>
      </c>
      <c r="K1737" t="str">
        <f>""</f>
        <v/>
      </c>
      <c r="M1737" t="s">
        <v>68</v>
      </c>
      <c r="N1737" t="str">
        <f t="shared" si="169"/>
        <v>FOR</v>
      </c>
      <c r="O1737" t="s">
        <v>69</v>
      </c>
      <c r="P1737" s="3" t="s">
        <v>75</v>
      </c>
      <c r="Q1737">
        <v>2016</v>
      </c>
      <c r="R1737" s="2">
        <v>42612</v>
      </c>
      <c r="S1737" s="2">
        <v>42627</v>
      </c>
      <c r="T1737" s="2">
        <v>42621</v>
      </c>
      <c r="U1737" s="2">
        <v>42681</v>
      </c>
      <c r="V1737" t="s">
        <v>71</v>
      </c>
      <c r="W1737" t="str">
        <f>"             V4/ 151"</f>
        <v xml:space="preserve">             V4/ 151</v>
      </c>
      <c r="X1737">
        <v>387.2</v>
      </c>
      <c r="Y1737">
        <v>0</v>
      </c>
      <c r="Z1737" s="3">
        <v>352</v>
      </c>
      <c r="AA1737">
        <v>-34</v>
      </c>
      <c r="AB1737" s="5">
        <v>-11968</v>
      </c>
      <c r="AC1737">
        <v>352</v>
      </c>
      <c r="AD1737">
        <v>-34</v>
      </c>
      <c r="AE1737" s="1">
        <v>-11968</v>
      </c>
      <c r="AF1737">
        <v>0</v>
      </c>
      <c r="AJ1737">
        <v>0</v>
      </c>
      <c r="AK1737">
        <v>0</v>
      </c>
      <c r="AL1737">
        <v>0</v>
      </c>
      <c r="AM1737">
        <v>387.2</v>
      </c>
      <c r="AN1737">
        <v>387.2</v>
      </c>
      <c r="AO1737">
        <v>387.2</v>
      </c>
      <c r="AP1737" s="2">
        <v>42746</v>
      </c>
      <c r="AQ1737" t="s">
        <v>72</v>
      </c>
      <c r="AR1737" t="s">
        <v>72</v>
      </c>
      <c r="AS1737">
        <v>2599</v>
      </c>
      <c r="AT1737" s="4">
        <v>42647</v>
      </c>
      <c r="AV1737">
        <v>2599</v>
      </c>
      <c r="AW1737" s="4">
        <v>42647</v>
      </c>
      <c r="BD1737">
        <v>0</v>
      </c>
      <c r="BN1737" t="s">
        <v>74</v>
      </c>
    </row>
    <row r="1738" spans="1:66" hidden="1">
      <c r="A1738">
        <v>100596</v>
      </c>
      <c r="B1738" s="3" t="s">
        <v>204</v>
      </c>
      <c r="C1738" s="1">
        <v>43300101</v>
      </c>
      <c r="D1738" t="s">
        <v>67</v>
      </c>
      <c r="H1738" t="str">
        <f t="shared" ref="H1738:I1740" si="171">"01166170629"</f>
        <v>01166170629</v>
      </c>
      <c r="I1738" t="str">
        <f t="shared" si="171"/>
        <v>01166170629</v>
      </c>
      <c r="K1738" t="str">
        <f>""</f>
        <v/>
      </c>
      <c r="M1738" t="s">
        <v>68</v>
      </c>
      <c r="N1738" t="str">
        <f t="shared" si="169"/>
        <v>FOR</v>
      </c>
      <c r="O1738" t="s">
        <v>69</v>
      </c>
      <c r="P1738" s="3" t="s">
        <v>75</v>
      </c>
      <c r="Q1738">
        <v>2015</v>
      </c>
      <c r="R1738" s="2">
        <v>42308</v>
      </c>
      <c r="S1738" s="2">
        <v>42314</v>
      </c>
      <c r="T1738" s="2">
        <v>42314</v>
      </c>
      <c r="U1738" s="2">
        <v>42374</v>
      </c>
      <c r="V1738" t="s">
        <v>71</v>
      </c>
      <c r="W1738" t="str">
        <f>"                44SP"</f>
        <v xml:space="preserve">                44SP</v>
      </c>
      <c r="X1738" s="1">
        <v>3434.76</v>
      </c>
      <c r="Y1738">
        <v>0</v>
      </c>
      <c r="Z1738"/>
      <c r="AB1738"/>
      <c r="AC1738" s="1">
        <v>2815.38</v>
      </c>
      <c r="AD1738">
        <v>42</v>
      </c>
      <c r="AE1738" s="1">
        <v>118245.96</v>
      </c>
      <c r="AF1738">
        <v>0</v>
      </c>
      <c r="AJ1738">
        <v>0</v>
      </c>
      <c r="AK1738">
        <v>0</v>
      </c>
      <c r="AL1738">
        <v>0</v>
      </c>
      <c r="AM1738">
        <v>0</v>
      </c>
      <c r="AN1738">
        <v>0</v>
      </c>
      <c r="AO1738">
        <v>0</v>
      </c>
      <c r="AP1738" s="2">
        <v>42746</v>
      </c>
      <c r="AQ1738" t="s">
        <v>72</v>
      </c>
      <c r="AR1738" t="s">
        <v>72</v>
      </c>
      <c r="AS1738">
        <v>430</v>
      </c>
      <c r="AT1738" s="4">
        <v>42416</v>
      </c>
      <c r="AU1738" t="s">
        <v>73</v>
      </c>
      <c r="AV1738">
        <v>430</v>
      </c>
      <c r="AW1738" s="4">
        <v>42416</v>
      </c>
      <c r="BD1738">
        <v>0</v>
      </c>
      <c r="BN1738" t="s">
        <v>74</v>
      </c>
    </row>
    <row r="1739" spans="1:66">
      <c r="A1739">
        <v>100596</v>
      </c>
      <c r="B1739" s="3" t="s">
        <v>204</v>
      </c>
      <c r="C1739" s="1">
        <v>43300101</v>
      </c>
      <c r="D1739" t="s">
        <v>67</v>
      </c>
      <c r="H1739" t="str">
        <f t="shared" si="171"/>
        <v>01166170629</v>
      </c>
      <c r="I1739" t="str">
        <f t="shared" si="171"/>
        <v>01166170629</v>
      </c>
      <c r="K1739" t="str">
        <f>""</f>
        <v/>
      </c>
      <c r="M1739" t="s">
        <v>68</v>
      </c>
      <c r="N1739" t="str">
        <f t="shared" si="169"/>
        <v>FOR</v>
      </c>
      <c r="O1739" t="s">
        <v>69</v>
      </c>
      <c r="P1739" s="3" t="s">
        <v>75</v>
      </c>
      <c r="Q1739">
        <v>2016</v>
      </c>
      <c r="R1739" s="2">
        <v>42460</v>
      </c>
      <c r="S1739" s="2">
        <v>42495</v>
      </c>
      <c r="T1739" s="2">
        <v>42493</v>
      </c>
      <c r="U1739" s="2">
        <v>42553</v>
      </c>
      <c r="V1739" t="s">
        <v>71</v>
      </c>
      <c r="W1739" t="str">
        <f>"                 870"</f>
        <v xml:space="preserve">                 870</v>
      </c>
      <c r="X1739">
        <v>156.29</v>
      </c>
      <c r="Y1739">
        <v>0</v>
      </c>
      <c r="Z1739" s="3">
        <v>128.11000000000001</v>
      </c>
      <c r="AA1739">
        <v>128</v>
      </c>
      <c r="AB1739" s="5">
        <v>16398.080000000002</v>
      </c>
      <c r="AC1739">
        <v>128.11000000000001</v>
      </c>
      <c r="AD1739">
        <v>128</v>
      </c>
      <c r="AE1739" s="1">
        <v>16398.080000000002</v>
      </c>
      <c r="AF1739">
        <v>28.18</v>
      </c>
      <c r="AJ1739">
        <v>0</v>
      </c>
      <c r="AK1739">
        <v>0</v>
      </c>
      <c r="AL1739">
        <v>0</v>
      </c>
      <c r="AM1739">
        <v>156.29</v>
      </c>
      <c r="AN1739">
        <v>156.29</v>
      </c>
      <c r="AO1739">
        <v>156.29</v>
      </c>
      <c r="AP1739" s="2">
        <v>42746</v>
      </c>
      <c r="AQ1739" t="s">
        <v>72</v>
      </c>
      <c r="AR1739" t="s">
        <v>72</v>
      </c>
      <c r="AS1739">
        <v>2946</v>
      </c>
      <c r="AT1739" s="4">
        <v>42681</v>
      </c>
      <c r="AU1739" t="s">
        <v>73</v>
      </c>
      <c r="AV1739">
        <v>2946</v>
      </c>
      <c r="AW1739" s="4">
        <v>42681</v>
      </c>
      <c r="BC1739">
        <v>28.18</v>
      </c>
      <c r="BD1739">
        <v>0</v>
      </c>
      <c r="BN1739" t="s">
        <v>74</v>
      </c>
    </row>
    <row r="1740" spans="1:66" hidden="1">
      <c r="A1740">
        <v>100596</v>
      </c>
      <c r="B1740" s="3" t="s">
        <v>204</v>
      </c>
      <c r="C1740" s="1">
        <v>43300101</v>
      </c>
      <c r="D1740" t="s">
        <v>67</v>
      </c>
      <c r="H1740" t="str">
        <f t="shared" si="171"/>
        <v>01166170629</v>
      </c>
      <c r="I1740" t="str">
        <f t="shared" si="171"/>
        <v>01166170629</v>
      </c>
      <c r="K1740" t="str">
        <f>""</f>
        <v/>
      </c>
      <c r="M1740" t="s">
        <v>68</v>
      </c>
      <c r="N1740" t="str">
        <f t="shared" si="169"/>
        <v>FOR</v>
      </c>
      <c r="O1740" t="s">
        <v>69</v>
      </c>
      <c r="P1740" s="3" t="s">
        <v>75</v>
      </c>
      <c r="Q1740">
        <v>2016</v>
      </c>
      <c r="R1740" s="2">
        <v>42460</v>
      </c>
      <c r="S1740" s="2">
        <v>42495</v>
      </c>
      <c r="T1740" s="2">
        <v>42493</v>
      </c>
      <c r="U1740" s="2">
        <v>42553</v>
      </c>
      <c r="V1740" t="s">
        <v>71</v>
      </c>
      <c r="W1740" t="str">
        <f>"                21SP"</f>
        <v xml:space="preserve">                21SP</v>
      </c>
      <c r="X1740">
        <v>130.61000000000001</v>
      </c>
      <c r="Y1740">
        <v>0</v>
      </c>
      <c r="Z1740"/>
      <c r="AB1740"/>
      <c r="AC1740">
        <v>107.06</v>
      </c>
      <c r="AD1740">
        <v>-1</v>
      </c>
      <c r="AE1740">
        <v>-107.06</v>
      </c>
      <c r="AF1740">
        <v>0</v>
      </c>
      <c r="AJ1740">
        <v>0</v>
      </c>
      <c r="AK1740">
        <v>0</v>
      </c>
      <c r="AL1740">
        <v>0</v>
      </c>
      <c r="AM1740">
        <v>130.61000000000001</v>
      </c>
      <c r="AN1740">
        <v>130.61000000000001</v>
      </c>
      <c r="AO1740">
        <v>130.61000000000001</v>
      </c>
      <c r="AP1740" s="2">
        <v>42746</v>
      </c>
      <c r="AQ1740" t="s">
        <v>72</v>
      </c>
      <c r="AR1740" t="s">
        <v>72</v>
      </c>
      <c r="AS1740">
        <v>1663</v>
      </c>
      <c r="AT1740" s="4">
        <v>42552</v>
      </c>
      <c r="AV1740">
        <v>1663</v>
      </c>
      <c r="AW1740" s="4">
        <v>42552</v>
      </c>
      <c r="BD1740">
        <v>0</v>
      </c>
      <c r="BN1740" t="s">
        <v>74</v>
      </c>
    </row>
    <row r="1741" spans="1:66" hidden="1">
      <c r="A1741">
        <v>100597</v>
      </c>
      <c r="B1741" s="3" t="s">
        <v>205</v>
      </c>
      <c r="C1741" s="1">
        <v>43300101</v>
      </c>
      <c r="D1741" t="s">
        <v>67</v>
      </c>
      <c r="H1741" t="str">
        <f t="shared" ref="H1741:I1745" si="172">"01203750292"</f>
        <v>01203750292</v>
      </c>
      <c r="I1741" t="str">
        <f t="shared" si="172"/>
        <v>01203750292</v>
      </c>
      <c r="K1741" t="str">
        <f>""</f>
        <v/>
      </c>
      <c r="M1741" t="s">
        <v>68</v>
      </c>
      <c r="N1741" t="str">
        <f t="shared" si="169"/>
        <v>FOR</v>
      </c>
      <c r="O1741" t="s">
        <v>69</v>
      </c>
      <c r="P1741" s="3" t="s">
        <v>75</v>
      </c>
      <c r="Q1741">
        <v>2015</v>
      </c>
      <c r="R1741" s="2">
        <v>42195</v>
      </c>
      <c r="S1741" s="2">
        <v>42229</v>
      </c>
      <c r="T1741" s="2">
        <v>42228</v>
      </c>
      <c r="U1741" s="2">
        <v>42288</v>
      </c>
      <c r="V1741" t="s">
        <v>71</v>
      </c>
      <c r="W1741" t="str">
        <f>"              000906"</f>
        <v xml:space="preserve">              000906</v>
      </c>
      <c r="X1741">
        <v>234.24</v>
      </c>
      <c r="Y1741">
        <v>0</v>
      </c>
      <c r="Z1741"/>
      <c r="AB1741"/>
      <c r="AC1741">
        <v>192</v>
      </c>
      <c r="AD1741">
        <v>278</v>
      </c>
      <c r="AE1741" s="1">
        <v>53376</v>
      </c>
      <c r="AF1741">
        <v>0</v>
      </c>
      <c r="AJ1741">
        <v>0</v>
      </c>
      <c r="AK1741">
        <v>0</v>
      </c>
      <c r="AL1741">
        <v>0</v>
      </c>
      <c r="AM1741">
        <v>0</v>
      </c>
      <c r="AN1741">
        <v>0</v>
      </c>
      <c r="AO1741">
        <v>0</v>
      </c>
      <c r="AP1741" s="2">
        <v>42746</v>
      </c>
      <c r="AQ1741" t="s">
        <v>72</v>
      </c>
      <c r="AR1741" t="s">
        <v>72</v>
      </c>
      <c r="AS1741">
        <v>1836</v>
      </c>
      <c r="AT1741" s="4">
        <v>42566</v>
      </c>
      <c r="AU1741" t="s">
        <v>73</v>
      </c>
      <c r="AV1741">
        <v>1836</v>
      </c>
      <c r="AW1741" s="4">
        <v>42566</v>
      </c>
      <c r="BD1741">
        <v>0</v>
      </c>
      <c r="BN1741" t="s">
        <v>74</v>
      </c>
    </row>
    <row r="1742" spans="1:66" hidden="1">
      <c r="A1742">
        <v>100597</v>
      </c>
      <c r="B1742" s="3" t="s">
        <v>205</v>
      </c>
      <c r="C1742" s="1">
        <v>43300101</v>
      </c>
      <c r="D1742" t="s">
        <v>67</v>
      </c>
      <c r="H1742" t="str">
        <f t="shared" si="172"/>
        <v>01203750292</v>
      </c>
      <c r="I1742" t="str">
        <f t="shared" si="172"/>
        <v>01203750292</v>
      </c>
      <c r="K1742" t="str">
        <f>""</f>
        <v/>
      </c>
      <c r="M1742" t="s">
        <v>68</v>
      </c>
      <c r="N1742" t="str">
        <f t="shared" si="169"/>
        <v>FOR</v>
      </c>
      <c r="O1742" t="s">
        <v>69</v>
      </c>
      <c r="P1742" s="3" t="s">
        <v>75</v>
      </c>
      <c r="Q1742">
        <v>2015</v>
      </c>
      <c r="R1742" s="2">
        <v>42216</v>
      </c>
      <c r="S1742" s="2">
        <v>42229</v>
      </c>
      <c r="T1742" s="2">
        <v>42228</v>
      </c>
      <c r="U1742" s="2">
        <v>42288</v>
      </c>
      <c r="V1742" t="s">
        <v>71</v>
      </c>
      <c r="W1742" t="str">
        <f>"              001093"</f>
        <v xml:space="preserve">              001093</v>
      </c>
      <c r="X1742">
        <v>505.08</v>
      </c>
      <c r="Y1742">
        <v>0</v>
      </c>
      <c r="Z1742"/>
      <c r="AB1742"/>
      <c r="AC1742">
        <v>414</v>
      </c>
      <c r="AD1742">
        <v>278</v>
      </c>
      <c r="AE1742" s="1">
        <v>115092</v>
      </c>
      <c r="AF1742">
        <v>0</v>
      </c>
      <c r="AJ1742">
        <v>0</v>
      </c>
      <c r="AK1742">
        <v>0</v>
      </c>
      <c r="AL1742">
        <v>0</v>
      </c>
      <c r="AM1742">
        <v>0</v>
      </c>
      <c r="AN1742">
        <v>0</v>
      </c>
      <c r="AO1742">
        <v>0</v>
      </c>
      <c r="AP1742" s="2">
        <v>42746</v>
      </c>
      <c r="AQ1742" t="s">
        <v>72</v>
      </c>
      <c r="AR1742" t="s">
        <v>72</v>
      </c>
      <c r="AS1742">
        <v>1836</v>
      </c>
      <c r="AT1742" s="4">
        <v>42566</v>
      </c>
      <c r="AU1742" t="s">
        <v>73</v>
      </c>
      <c r="AV1742">
        <v>1836</v>
      </c>
      <c r="AW1742" s="4">
        <v>42566</v>
      </c>
      <c r="BD1742">
        <v>0</v>
      </c>
      <c r="BN1742" t="s">
        <v>74</v>
      </c>
    </row>
    <row r="1743" spans="1:66">
      <c r="A1743">
        <v>100597</v>
      </c>
      <c r="B1743" s="3" t="s">
        <v>205</v>
      </c>
      <c r="C1743" s="1">
        <v>43300101</v>
      </c>
      <c r="D1743" t="s">
        <v>67</v>
      </c>
      <c r="H1743" t="str">
        <f t="shared" si="172"/>
        <v>01203750292</v>
      </c>
      <c r="I1743" t="str">
        <f t="shared" si="172"/>
        <v>01203750292</v>
      </c>
      <c r="K1743" t="str">
        <f>""</f>
        <v/>
      </c>
      <c r="M1743" t="s">
        <v>68</v>
      </c>
      <c r="N1743" t="str">
        <f t="shared" si="169"/>
        <v>FOR</v>
      </c>
      <c r="O1743" t="s">
        <v>69</v>
      </c>
      <c r="P1743" s="3" t="s">
        <v>75</v>
      </c>
      <c r="Q1743">
        <v>2015</v>
      </c>
      <c r="R1743" s="2">
        <v>42284</v>
      </c>
      <c r="S1743" s="2">
        <v>42289</v>
      </c>
      <c r="T1743" s="2">
        <v>42286</v>
      </c>
      <c r="U1743" s="2">
        <v>42346</v>
      </c>
      <c r="V1743" t="s">
        <v>71</v>
      </c>
      <c r="W1743" t="str">
        <f>"              001572"</f>
        <v xml:space="preserve">              001572</v>
      </c>
      <c r="X1743">
        <v>468.48</v>
      </c>
      <c r="Y1743">
        <v>0</v>
      </c>
      <c r="Z1743" s="3">
        <v>384</v>
      </c>
      <c r="AA1743">
        <v>301</v>
      </c>
      <c r="AB1743" s="5">
        <v>115584</v>
      </c>
      <c r="AC1743">
        <v>384</v>
      </c>
      <c r="AD1743">
        <v>301</v>
      </c>
      <c r="AE1743" s="1">
        <v>115584</v>
      </c>
      <c r="AF1743">
        <v>0</v>
      </c>
      <c r="AJ1743">
        <v>0</v>
      </c>
      <c r="AK1743">
        <v>0</v>
      </c>
      <c r="AL1743">
        <v>0</v>
      </c>
      <c r="AM1743">
        <v>0</v>
      </c>
      <c r="AN1743">
        <v>0</v>
      </c>
      <c r="AO1743">
        <v>0</v>
      </c>
      <c r="AP1743" s="2">
        <v>42746</v>
      </c>
      <c r="AQ1743" t="s">
        <v>72</v>
      </c>
      <c r="AR1743" t="s">
        <v>72</v>
      </c>
      <c r="AS1743">
        <v>2608</v>
      </c>
      <c r="AT1743" s="4">
        <v>42647</v>
      </c>
      <c r="AU1743" t="s">
        <v>73</v>
      </c>
      <c r="AV1743">
        <v>2608</v>
      </c>
      <c r="AW1743" s="4">
        <v>42647</v>
      </c>
      <c r="BD1743">
        <v>0</v>
      </c>
      <c r="BN1743" t="s">
        <v>74</v>
      </c>
    </row>
    <row r="1744" spans="1:66">
      <c r="A1744">
        <v>100597</v>
      </c>
      <c r="B1744" s="3" t="s">
        <v>205</v>
      </c>
      <c r="C1744" s="1">
        <v>43300101</v>
      </c>
      <c r="D1744" t="s">
        <v>67</v>
      </c>
      <c r="H1744" t="str">
        <f t="shared" si="172"/>
        <v>01203750292</v>
      </c>
      <c r="I1744" t="str">
        <f t="shared" si="172"/>
        <v>01203750292</v>
      </c>
      <c r="K1744" t="str">
        <f>""</f>
        <v/>
      </c>
      <c r="M1744" t="s">
        <v>68</v>
      </c>
      <c r="N1744" t="str">
        <f t="shared" si="169"/>
        <v>FOR</v>
      </c>
      <c r="O1744" t="s">
        <v>69</v>
      </c>
      <c r="P1744" s="3" t="s">
        <v>75</v>
      </c>
      <c r="Q1744">
        <v>2015</v>
      </c>
      <c r="R1744" s="2">
        <v>42327</v>
      </c>
      <c r="S1744" s="2">
        <v>42331</v>
      </c>
      <c r="T1744" s="2">
        <v>42328</v>
      </c>
      <c r="U1744" s="2">
        <v>42388</v>
      </c>
      <c r="V1744" t="s">
        <v>71</v>
      </c>
      <c r="W1744" t="str">
        <f>"              001949"</f>
        <v xml:space="preserve">              001949</v>
      </c>
      <c r="X1744">
        <v>234.24</v>
      </c>
      <c r="Y1744">
        <v>0</v>
      </c>
      <c r="Z1744" s="3">
        <v>192</v>
      </c>
      <c r="AA1744">
        <v>259</v>
      </c>
      <c r="AB1744" s="5">
        <v>49728</v>
      </c>
      <c r="AC1744">
        <v>192</v>
      </c>
      <c r="AD1744">
        <v>259</v>
      </c>
      <c r="AE1744" s="1">
        <v>49728</v>
      </c>
      <c r="AF1744">
        <v>0</v>
      </c>
      <c r="AJ1744">
        <v>0</v>
      </c>
      <c r="AK1744">
        <v>0</v>
      </c>
      <c r="AL1744">
        <v>0</v>
      </c>
      <c r="AM1744">
        <v>0</v>
      </c>
      <c r="AN1744">
        <v>0</v>
      </c>
      <c r="AO1744">
        <v>0</v>
      </c>
      <c r="AP1744" s="2">
        <v>42746</v>
      </c>
      <c r="AQ1744" t="s">
        <v>72</v>
      </c>
      <c r="AR1744" t="s">
        <v>72</v>
      </c>
      <c r="AS1744">
        <v>2608</v>
      </c>
      <c r="AT1744" s="4">
        <v>42647</v>
      </c>
      <c r="AU1744" t="s">
        <v>73</v>
      </c>
      <c r="AV1744">
        <v>2608</v>
      </c>
      <c r="AW1744" s="4">
        <v>42647</v>
      </c>
      <c r="BD1744">
        <v>0</v>
      </c>
      <c r="BN1744" t="s">
        <v>74</v>
      </c>
    </row>
    <row r="1745" spans="1:66">
      <c r="A1745">
        <v>100597</v>
      </c>
      <c r="B1745" s="3" t="s">
        <v>205</v>
      </c>
      <c r="C1745" s="1">
        <v>43300101</v>
      </c>
      <c r="D1745" t="s">
        <v>67</v>
      </c>
      <c r="H1745" t="str">
        <f t="shared" si="172"/>
        <v>01203750292</v>
      </c>
      <c r="I1745" t="str">
        <f t="shared" si="172"/>
        <v>01203750292</v>
      </c>
      <c r="K1745" t="str">
        <f>""</f>
        <v/>
      </c>
      <c r="M1745" t="s">
        <v>68</v>
      </c>
      <c r="N1745" t="str">
        <f t="shared" si="169"/>
        <v>FOR</v>
      </c>
      <c r="O1745" t="s">
        <v>69</v>
      </c>
      <c r="P1745" s="3" t="s">
        <v>75</v>
      </c>
      <c r="Q1745">
        <v>2016</v>
      </c>
      <c r="R1745" s="2">
        <v>42432</v>
      </c>
      <c r="S1745" s="2">
        <v>42448</v>
      </c>
      <c r="T1745" s="2">
        <v>42447</v>
      </c>
      <c r="U1745" s="2">
        <v>42507</v>
      </c>
      <c r="V1745" t="s">
        <v>71</v>
      </c>
      <c r="W1745" t="str">
        <f>"              000491"</f>
        <v xml:space="preserve">              000491</v>
      </c>
      <c r="X1745" s="1">
        <v>1712.88</v>
      </c>
      <c r="Y1745">
        <v>0</v>
      </c>
      <c r="Z1745" s="5">
        <v>1404</v>
      </c>
      <c r="AA1745">
        <v>140</v>
      </c>
      <c r="AB1745" s="5">
        <v>196560</v>
      </c>
      <c r="AC1745" s="1">
        <v>1404</v>
      </c>
      <c r="AD1745">
        <v>140</v>
      </c>
      <c r="AE1745" s="1">
        <v>196560</v>
      </c>
      <c r="AF1745">
        <v>0</v>
      </c>
      <c r="AJ1745">
        <v>0</v>
      </c>
      <c r="AK1745">
        <v>0</v>
      </c>
      <c r="AL1745">
        <v>0</v>
      </c>
      <c r="AM1745" s="1">
        <v>1712.88</v>
      </c>
      <c r="AN1745" s="1">
        <v>1712.88</v>
      </c>
      <c r="AO1745" s="1">
        <v>1712.88</v>
      </c>
      <c r="AP1745" s="2">
        <v>42746</v>
      </c>
      <c r="AQ1745" t="s">
        <v>72</v>
      </c>
      <c r="AR1745" t="s">
        <v>72</v>
      </c>
      <c r="AS1745">
        <v>2608</v>
      </c>
      <c r="AT1745" s="4">
        <v>42647</v>
      </c>
      <c r="AU1745" t="s">
        <v>73</v>
      </c>
      <c r="AV1745">
        <v>2608</v>
      </c>
      <c r="AW1745" s="4">
        <v>42647</v>
      </c>
      <c r="BD1745">
        <v>0</v>
      </c>
      <c r="BN1745" t="s">
        <v>74</v>
      </c>
    </row>
    <row r="1746" spans="1:66" hidden="1">
      <c r="A1746">
        <v>100613</v>
      </c>
      <c r="B1746" s="3" t="s">
        <v>206</v>
      </c>
      <c r="C1746" s="1">
        <v>43300101</v>
      </c>
      <c r="D1746" t="s">
        <v>67</v>
      </c>
      <c r="H1746" t="str">
        <f>"00751160151"</f>
        <v>00751160151</v>
      </c>
      <c r="I1746" t="str">
        <f>"00751160151"</f>
        <v>00751160151</v>
      </c>
      <c r="K1746" t="str">
        <f>""</f>
        <v/>
      </c>
      <c r="M1746" t="s">
        <v>68</v>
      </c>
      <c r="N1746" t="str">
        <f t="shared" si="169"/>
        <v>FOR</v>
      </c>
      <c r="O1746" t="s">
        <v>69</v>
      </c>
      <c r="P1746" s="3" t="s">
        <v>75</v>
      </c>
      <c r="Q1746">
        <v>2015</v>
      </c>
      <c r="R1746" s="2">
        <v>42192</v>
      </c>
      <c r="S1746" s="2">
        <v>42230</v>
      </c>
      <c r="T1746" s="2">
        <v>42228</v>
      </c>
      <c r="U1746" s="2">
        <v>42288</v>
      </c>
      <c r="V1746" t="s">
        <v>71</v>
      </c>
      <c r="W1746" t="str">
        <f>"          FEPA000974"</f>
        <v xml:space="preserve">          FEPA000974</v>
      </c>
      <c r="X1746" s="1">
        <v>3371.78</v>
      </c>
      <c r="Y1746">
        <v>0</v>
      </c>
      <c r="Z1746"/>
      <c r="AB1746"/>
      <c r="AC1746" s="1">
        <v>2763.75</v>
      </c>
      <c r="AD1746">
        <v>289</v>
      </c>
      <c r="AE1746" s="1">
        <v>798723.75</v>
      </c>
      <c r="AF1746">
        <v>0</v>
      </c>
      <c r="AJ1746">
        <v>0</v>
      </c>
      <c r="AK1746">
        <v>0</v>
      </c>
      <c r="AL1746">
        <v>0</v>
      </c>
      <c r="AM1746">
        <v>0</v>
      </c>
      <c r="AN1746">
        <v>0</v>
      </c>
      <c r="AO1746">
        <v>0</v>
      </c>
      <c r="AP1746" s="2">
        <v>42746</v>
      </c>
      <c r="AQ1746" t="s">
        <v>72</v>
      </c>
      <c r="AR1746" t="s">
        <v>72</v>
      </c>
      <c r="AS1746">
        <v>1921</v>
      </c>
      <c r="AT1746" s="4">
        <v>42577</v>
      </c>
      <c r="AU1746" t="s">
        <v>73</v>
      </c>
      <c r="AV1746">
        <v>1921</v>
      </c>
      <c r="AW1746" s="4">
        <v>42577</v>
      </c>
      <c r="BD1746">
        <v>0</v>
      </c>
      <c r="BN1746" t="s">
        <v>74</v>
      </c>
    </row>
    <row r="1747" spans="1:66" hidden="1">
      <c r="A1747">
        <v>100613</v>
      </c>
      <c r="B1747" s="3" t="s">
        <v>206</v>
      </c>
      <c r="C1747" s="1">
        <v>43300101</v>
      </c>
      <c r="D1747" t="s">
        <v>67</v>
      </c>
      <c r="H1747" t="str">
        <f>"00751160151"</f>
        <v>00751160151</v>
      </c>
      <c r="I1747" t="str">
        <f>"00751160151"</f>
        <v>00751160151</v>
      </c>
      <c r="K1747" t="str">
        <f>""</f>
        <v/>
      </c>
      <c r="M1747" t="s">
        <v>68</v>
      </c>
      <c r="N1747" t="str">
        <f t="shared" si="169"/>
        <v>FOR</v>
      </c>
      <c r="O1747" t="s">
        <v>69</v>
      </c>
      <c r="P1747" s="3" t="s">
        <v>75</v>
      </c>
      <c r="Q1747">
        <v>2015</v>
      </c>
      <c r="R1747" s="2">
        <v>42247</v>
      </c>
      <c r="S1747" s="2">
        <v>42248</v>
      </c>
      <c r="T1747" s="2">
        <v>42247</v>
      </c>
      <c r="U1747" s="2">
        <v>42307</v>
      </c>
      <c r="V1747" t="s">
        <v>71</v>
      </c>
      <c r="W1747" t="str">
        <f>"          FEPA001292"</f>
        <v xml:space="preserve">          FEPA001292</v>
      </c>
      <c r="X1747" s="1">
        <v>5619.63</v>
      </c>
      <c r="Y1747">
        <v>0</v>
      </c>
      <c r="Z1747"/>
      <c r="AB1747"/>
      <c r="AC1747" s="1">
        <v>4606.25</v>
      </c>
      <c r="AD1747">
        <v>270</v>
      </c>
      <c r="AE1747" s="1">
        <v>1243687.5</v>
      </c>
      <c r="AF1747">
        <v>0</v>
      </c>
      <c r="AJ1747">
        <v>0</v>
      </c>
      <c r="AK1747">
        <v>0</v>
      </c>
      <c r="AL1747">
        <v>0</v>
      </c>
      <c r="AM1747">
        <v>0</v>
      </c>
      <c r="AN1747">
        <v>0</v>
      </c>
      <c r="AO1747">
        <v>0</v>
      </c>
      <c r="AP1747" s="2">
        <v>42746</v>
      </c>
      <c r="AQ1747" t="s">
        <v>72</v>
      </c>
      <c r="AR1747" t="s">
        <v>72</v>
      </c>
      <c r="AS1747">
        <v>1921</v>
      </c>
      <c r="AT1747" s="4">
        <v>42577</v>
      </c>
      <c r="AU1747" t="s">
        <v>73</v>
      </c>
      <c r="AV1747">
        <v>1921</v>
      </c>
      <c r="AW1747" s="4">
        <v>42577</v>
      </c>
      <c r="BD1747">
        <v>0</v>
      </c>
      <c r="BN1747" t="s">
        <v>74</v>
      </c>
    </row>
    <row r="1748" spans="1:66" hidden="1">
      <c r="A1748">
        <v>100616</v>
      </c>
      <c r="B1748" s="3" t="s">
        <v>207</v>
      </c>
      <c r="C1748" s="1">
        <v>43500101</v>
      </c>
      <c r="D1748" t="s">
        <v>113</v>
      </c>
      <c r="H1748" t="str">
        <f t="shared" ref="H1748:H1760" si="173">"VSSSNT75H43I234Q"</f>
        <v>VSSSNT75H43I234Q</v>
      </c>
      <c r="I1748" t="str">
        <f t="shared" ref="I1748:I1760" si="174">"01323420628"</f>
        <v>01323420628</v>
      </c>
      <c r="K1748" t="str">
        <f>""</f>
        <v/>
      </c>
      <c r="M1748" t="s">
        <v>68</v>
      </c>
      <c r="N1748" t="str">
        <f t="shared" ref="N1748:N1760" si="175">"ALTPRO"</f>
        <v>ALTPRO</v>
      </c>
      <c r="O1748" t="s">
        <v>132</v>
      </c>
      <c r="P1748" s="3" t="s">
        <v>208</v>
      </c>
      <c r="Q1748">
        <v>2016</v>
      </c>
      <c r="R1748" s="2">
        <v>42716</v>
      </c>
      <c r="S1748" s="2">
        <v>42716</v>
      </c>
      <c r="T1748" s="2">
        <v>42716</v>
      </c>
      <c r="U1748" s="2">
        <v>42776</v>
      </c>
      <c r="V1748" t="s">
        <v>71</v>
      </c>
      <c r="W1748" t="str">
        <f>"                 288"</f>
        <v xml:space="preserve">                 288</v>
      </c>
      <c r="X1748">
        <v>0</v>
      </c>
      <c r="Y1748" s="1">
        <v>2662</v>
      </c>
      <c r="Z1748" s="5">
        <v>2662</v>
      </c>
      <c r="AA1748">
        <v>-58</v>
      </c>
      <c r="AB1748" s="5">
        <v>-154396</v>
      </c>
      <c r="AC1748" s="1">
        <v>2662</v>
      </c>
      <c r="AD1748">
        <v>-58</v>
      </c>
      <c r="AE1748" s="1">
        <v>-154396</v>
      </c>
      <c r="AF1748">
        <v>0</v>
      </c>
      <c r="AJ1748" s="1">
        <v>2662</v>
      </c>
      <c r="AK1748" s="1">
        <v>2662</v>
      </c>
      <c r="AL1748" s="1">
        <v>2662</v>
      </c>
      <c r="AM1748" s="1">
        <v>2662</v>
      </c>
      <c r="AN1748" s="1">
        <v>2662</v>
      </c>
      <c r="AO1748" s="1">
        <v>2662</v>
      </c>
      <c r="AP1748" s="2">
        <v>42746</v>
      </c>
      <c r="AQ1748" t="s">
        <v>72</v>
      </c>
      <c r="AR1748" t="s">
        <v>72</v>
      </c>
      <c r="AS1748">
        <v>3453</v>
      </c>
      <c r="AT1748" s="4">
        <v>42718</v>
      </c>
      <c r="AV1748">
        <v>3453</v>
      </c>
      <c r="AW1748" s="4">
        <v>42718</v>
      </c>
      <c r="BD1748">
        <v>0</v>
      </c>
      <c r="BN1748" t="s">
        <v>74</v>
      </c>
    </row>
    <row r="1749" spans="1:66" hidden="1">
      <c r="A1749">
        <v>100616</v>
      </c>
      <c r="B1749" s="3" t="s">
        <v>207</v>
      </c>
      <c r="C1749" s="1">
        <v>43500101</v>
      </c>
      <c r="D1749" t="s">
        <v>113</v>
      </c>
      <c r="H1749" t="str">
        <f t="shared" si="173"/>
        <v>VSSSNT75H43I234Q</v>
      </c>
      <c r="I1749" t="str">
        <f t="shared" si="174"/>
        <v>01323420628</v>
      </c>
      <c r="K1749" t="str">
        <f>""</f>
        <v/>
      </c>
      <c r="M1749" t="s">
        <v>68</v>
      </c>
      <c r="N1749" t="str">
        <f t="shared" si="175"/>
        <v>ALTPRO</v>
      </c>
      <c r="O1749" t="s">
        <v>132</v>
      </c>
      <c r="P1749" s="3" t="s">
        <v>75</v>
      </c>
      <c r="Q1749">
        <v>2016</v>
      </c>
      <c r="R1749" s="2">
        <v>42380</v>
      </c>
      <c r="S1749" s="2">
        <v>42382</v>
      </c>
      <c r="T1749" s="2">
        <v>42380</v>
      </c>
      <c r="U1749" s="2">
        <v>42440</v>
      </c>
      <c r="V1749" t="s">
        <v>71</v>
      </c>
      <c r="W1749" t="str">
        <f>"       000001-2016-A"</f>
        <v xml:space="preserve">       000001-2016-A</v>
      </c>
      <c r="X1749" s="1">
        <v>2530.64</v>
      </c>
      <c r="Y1749">
        <v>-505.72</v>
      </c>
      <c r="Z1749"/>
      <c r="AB1749"/>
      <c r="AC1749" s="1">
        <v>2024.92</v>
      </c>
      <c r="AD1749">
        <v>-43</v>
      </c>
      <c r="AE1749" s="1">
        <v>-87071.56</v>
      </c>
      <c r="AF1749">
        <v>0</v>
      </c>
      <c r="AJ1749">
        <v>0</v>
      </c>
      <c r="AK1749">
        <v>0</v>
      </c>
      <c r="AL1749">
        <v>0</v>
      </c>
      <c r="AM1749">
        <v>-505.72</v>
      </c>
      <c r="AN1749" s="1">
        <v>2024.92</v>
      </c>
      <c r="AO1749" s="1">
        <v>2024.92</v>
      </c>
      <c r="AP1749" s="2">
        <v>42746</v>
      </c>
      <c r="AQ1749" t="s">
        <v>72</v>
      </c>
      <c r="AR1749" t="s">
        <v>72</v>
      </c>
      <c r="AS1749">
        <v>135</v>
      </c>
      <c r="AT1749" s="4">
        <v>42397</v>
      </c>
      <c r="AV1749">
        <v>135</v>
      </c>
      <c r="AW1749" s="4">
        <v>42397</v>
      </c>
      <c r="BD1749">
        <v>0</v>
      </c>
      <c r="BN1749" t="s">
        <v>74</v>
      </c>
    </row>
    <row r="1750" spans="1:66" hidden="1">
      <c r="A1750">
        <v>100616</v>
      </c>
      <c r="B1750" s="3" t="s">
        <v>207</v>
      </c>
      <c r="C1750" s="1">
        <v>43500101</v>
      </c>
      <c r="D1750" t="s">
        <v>113</v>
      </c>
      <c r="H1750" t="str">
        <f t="shared" si="173"/>
        <v>VSSSNT75H43I234Q</v>
      </c>
      <c r="I1750" t="str">
        <f t="shared" si="174"/>
        <v>01323420628</v>
      </c>
      <c r="K1750" t="str">
        <f>""</f>
        <v/>
      </c>
      <c r="M1750" t="s">
        <v>68</v>
      </c>
      <c r="N1750" t="str">
        <f t="shared" si="175"/>
        <v>ALTPRO</v>
      </c>
      <c r="O1750" t="s">
        <v>132</v>
      </c>
      <c r="P1750" s="3" t="s">
        <v>75</v>
      </c>
      <c r="Q1750">
        <v>2016</v>
      </c>
      <c r="R1750" s="2">
        <v>42402</v>
      </c>
      <c r="S1750" s="2">
        <v>42403</v>
      </c>
      <c r="T1750" s="2">
        <v>42402</v>
      </c>
      <c r="U1750" s="2">
        <v>42462</v>
      </c>
      <c r="V1750" t="s">
        <v>71</v>
      </c>
      <c r="W1750" t="str">
        <f>"       000002-2016-A"</f>
        <v xml:space="preserve">       000002-2016-A</v>
      </c>
      <c r="X1750" s="1">
        <v>2530.64</v>
      </c>
      <c r="Y1750">
        <v>-505.72</v>
      </c>
      <c r="Z1750"/>
      <c r="AB1750"/>
      <c r="AC1750" s="1">
        <v>2024.92</v>
      </c>
      <c r="AD1750">
        <v>-36</v>
      </c>
      <c r="AE1750" s="1">
        <v>-72897.119999999995</v>
      </c>
      <c r="AF1750">
        <v>0</v>
      </c>
      <c r="AJ1750">
        <v>0</v>
      </c>
      <c r="AK1750">
        <v>0</v>
      </c>
      <c r="AL1750">
        <v>0</v>
      </c>
      <c r="AM1750" s="1">
        <v>2024.92</v>
      </c>
      <c r="AN1750" s="1">
        <v>2024.92</v>
      </c>
      <c r="AO1750" s="1">
        <v>2024.92</v>
      </c>
      <c r="AP1750" s="2">
        <v>42746</v>
      </c>
      <c r="AQ1750" t="s">
        <v>72</v>
      </c>
      <c r="AR1750" t="s">
        <v>72</v>
      </c>
      <c r="AS1750">
        <v>584</v>
      </c>
      <c r="AT1750" s="4">
        <v>42426</v>
      </c>
      <c r="AV1750">
        <v>584</v>
      </c>
      <c r="AW1750" s="4">
        <v>42426</v>
      </c>
      <c r="BD1750">
        <v>0</v>
      </c>
      <c r="BN1750" t="s">
        <v>74</v>
      </c>
    </row>
    <row r="1751" spans="1:66" hidden="1">
      <c r="A1751">
        <v>100616</v>
      </c>
      <c r="B1751" s="3" t="s">
        <v>207</v>
      </c>
      <c r="C1751" s="1">
        <v>43500101</v>
      </c>
      <c r="D1751" t="s">
        <v>113</v>
      </c>
      <c r="H1751" t="str">
        <f t="shared" si="173"/>
        <v>VSSSNT75H43I234Q</v>
      </c>
      <c r="I1751" t="str">
        <f t="shared" si="174"/>
        <v>01323420628</v>
      </c>
      <c r="K1751" t="str">
        <f>""</f>
        <v/>
      </c>
      <c r="M1751" t="s">
        <v>68</v>
      </c>
      <c r="N1751" t="str">
        <f t="shared" si="175"/>
        <v>ALTPRO</v>
      </c>
      <c r="O1751" t="s">
        <v>132</v>
      </c>
      <c r="P1751" s="3" t="s">
        <v>75</v>
      </c>
      <c r="Q1751">
        <v>2016</v>
      </c>
      <c r="R1751" s="2">
        <v>42433</v>
      </c>
      <c r="S1751" s="2">
        <v>42436</v>
      </c>
      <c r="T1751" s="2">
        <v>42433</v>
      </c>
      <c r="U1751" s="2">
        <v>42493</v>
      </c>
      <c r="V1751" t="s">
        <v>71</v>
      </c>
      <c r="W1751" t="str">
        <f>"       000003-2016-A"</f>
        <v xml:space="preserve">       000003-2016-A</v>
      </c>
      <c r="X1751" s="1">
        <v>2636</v>
      </c>
      <c r="Y1751">
        <v>-526.79999999999995</v>
      </c>
      <c r="Z1751"/>
      <c r="AB1751"/>
      <c r="AC1751" s="1">
        <v>2109.1999999999998</v>
      </c>
      <c r="AD1751">
        <v>-42</v>
      </c>
      <c r="AE1751" s="1">
        <v>-88586.4</v>
      </c>
      <c r="AF1751">
        <v>0</v>
      </c>
      <c r="AJ1751">
        <v>0</v>
      </c>
      <c r="AK1751">
        <v>0</v>
      </c>
      <c r="AL1751">
        <v>0</v>
      </c>
      <c r="AM1751" s="1">
        <v>2109.1999999999998</v>
      </c>
      <c r="AN1751" s="1">
        <v>2109.1999999999998</v>
      </c>
      <c r="AO1751" s="1">
        <v>2109.1999999999998</v>
      </c>
      <c r="AP1751" s="2">
        <v>42746</v>
      </c>
      <c r="AQ1751" t="s">
        <v>72</v>
      </c>
      <c r="AR1751" t="s">
        <v>72</v>
      </c>
      <c r="AS1751">
        <v>722</v>
      </c>
      <c r="AT1751" s="4">
        <v>42451</v>
      </c>
      <c r="AV1751">
        <v>722</v>
      </c>
      <c r="AW1751" s="4">
        <v>42451</v>
      </c>
      <c r="BD1751">
        <v>0</v>
      </c>
      <c r="BN1751" t="s">
        <v>74</v>
      </c>
    </row>
    <row r="1752" spans="1:66" hidden="1">
      <c r="A1752">
        <v>100616</v>
      </c>
      <c r="B1752" s="3" t="s">
        <v>207</v>
      </c>
      <c r="C1752" s="1">
        <v>43500101</v>
      </c>
      <c r="D1752" t="s">
        <v>113</v>
      </c>
      <c r="H1752" t="str">
        <f t="shared" si="173"/>
        <v>VSSSNT75H43I234Q</v>
      </c>
      <c r="I1752" t="str">
        <f t="shared" si="174"/>
        <v>01323420628</v>
      </c>
      <c r="K1752" t="str">
        <f>""</f>
        <v/>
      </c>
      <c r="M1752" t="s">
        <v>68</v>
      </c>
      <c r="N1752" t="str">
        <f t="shared" si="175"/>
        <v>ALTPRO</v>
      </c>
      <c r="O1752" t="s">
        <v>132</v>
      </c>
      <c r="P1752" s="3" t="s">
        <v>75</v>
      </c>
      <c r="Q1752">
        <v>2016</v>
      </c>
      <c r="R1752" s="2">
        <v>42461</v>
      </c>
      <c r="S1752" s="2">
        <v>42464</v>
      </c>
      <c r="T1752" s="2">
        <v>42461</v>
      </c>
      <c r="U1752" s="2">
        <v>42521</v>
      </c>
      <c r="V1752" t="s">
        <v>71</v>
      </c>
      <c r="W1752" t="str">
        <f>"       000004-2016-A"</f>
        <v xml:space="preserve">       000004-2016-A</v>
      </c>
      <c r="X1752" s="1">
        <v>2741.36</v>
      </c>
      <c r="Y1752">
        <v>-547.87</v>
      </c>
      <c r="Z1752"/>
      <c r="AB1752"/>
      <c r="AC1752" s="1">
        <v>2193.4899999999998</v>
      </c>
      <c r="AD1752">
        <v>-34</v>
      </c>
      <c r="AE1752" s="1">
        <v>-74578.66</v>
      </c>
      <c r="AF1752">
        <v>0</v>
      </c>
      <c r="AJ1752">
        <v>0</v>
      </c>
      <c r="AK1752">
        <v>0</v>
      </c>
      <c r="AL1752">
        <v>0</v>
      </c>
      <c r="AM1752" s="1">
        <v>2193.4899999999998</v>
      </c>
      <c r="AN1752" s="1">
        <v>2193.4899999999998</v>
      </c>
      <c r="AO1752" s="1">
        <v>2193.4899999999998</v>
      </c>
      <c r="AP1752" s="2">
        <v>42746</v>
      </c>
      <c r="AQ1752" t="s">
        <v>72</v>
      </c>
      <c r="AR1752" t="s">
        <v>72</v>
      </c>
      <c r="AS1752">
        <v>1166</v>
      </c>
      <c r="AT1752" s="4">
        <v>42487</v>
      </c>
      <c r="AV1752">
        <v>1166</v>
      </c>
      <c r="AW1752" s="4">
        <v>42487</v>
      </c>
      <c r="BD1752">
        <v>0</v>
      </c>
      <c r="BN1752" t="s">
        <v>74</v>
      </c>
    </row>
    <row r="1753" spans="1:66" hidden="1">
      <c r="A1753">
        <v>100616</v>
      </c>
      <c r="B1753" s="3" t="s">
        <v>207</v>
      </c>
      <c r="C1753" s="1">
        <v>43500101</v>
      </c>
      <c r="D1753" t="s">
        <v>113</v>
      </c>
      <c r="H1753" t="str">
        <f t="shared" si="173"/>
        <v>VSSSNT75H43I234Q</v>
      </c>
      <c r="I1753" t="str">
        <f t="shared" si="174"/>
        <v>01323420628</v>
      </c>
      <c r="K1753" t="str">
        <f>""</f>
        <v/>
      </c>
      <c r="M1753" t="s">
        <v>68</v>
      </c>
      <c r="N1753" t="str">
        <f t="shared" si="175"/>
        <v>ALTPRO</v>
      </c>
      <c r="O1753" t="s">
        <v>132</v>
      </c>
      <c r="P1753" s="3" t="s">
        <v>75</v>
      </c>
      <c r="Q1753">
        <v>2016</v>
      </c>
      <c r="R1753" s="2">
        <v>42493</v>
      </c>
      <c r="S1753" s="2">
        <v>42495</v>
      </c>
      <c r="T1753" s="2">
        <v>42493</v>
      </c>
      <c r="U1753" s="2">
        <v>42553</v>
      </c>
      <c r="V1753" t="s">
        <v>71</v>
      </c>
      <c r="W1753" t="str">
        <f>"       000005-2016-A"</f>
        <v xml:space="preserve">       000005-2016-A</v>
      </c>
      <c r="X1753" s="1">
        <v>2636</v>
      </c>
      <c r="Y1753">
        <v>-526.79999999999995</v>
      </c>
      <c r="Z1753"/>
      <c r="AB1753"/>
      <c r="AC1753" s="1">
        <v>2109.1999999999998</v>
      </c>
      <c r="AD1753">
        <v>-37</v>
      </c>
      <c r="AE1753" s="1">
        <v>-78040.399999999994</v>
      </c>
      <c r="AF1753">
        <v>0</v>
      </c>
      <c r="AJ1753">
        <v>0</v>
      </c>
      <c r="AK1753">
        <v>0</v>
      </c>
      <c r="AL1753">
        <v>0</v>
      </c>
      <c r="AM1753" s="1">
        <v>2109.1999999999998</v>
      </c>
      <c r="AN1753" s="1">
        <v>2109.1999999999998</v>
      </c>
      <c r="AO1753" s="1">
        <v>2109.1999999999998</v>
      </c>
      <c r="AP1753" s="2">
        <v>42746</v>
      </c>
      <c r="AQ1753" t="s">
        <v>72</v>
      </c>
      <c r="AR1753" t="s">
        <v>72</v>
      </c>
      <c r="AS1753">
        <v>1387</v>
      </c>
      <c r="AT1753" s="4">
        <v>42516</v>
      </c>
      <c r="AV1753">
        <v>1387</v>
      </c>
      <c r="AW1753" s="4">
        <v>42516</v>
      </c>
      <c r="BD1753">
        <v>0</v>
      </c>
      <c r="BN1753" t="s">
        <v>74</v>
      </c>
    </row>
    <row r="1754" spans="1:66" hidden="1">
      <c r="A1754">
        <v>100616</v>
      </c>
      <c r="B1754" s="3" t="s">
        <v>207</v>
      </c>
      <c r="C1754" s="1">
        <v>43500101</v>
      </c>
      <c r="D1754" t="s">
        <v>113</v>
      </c>
      <c r="H1754" t="str">
        <f t="shared" si="173"/>
        <v>VSSSNT75H43I234Q</v>
      </c>
      <c r="I1754" t="str">
        <f t="shared" si="174"/>
        <v>01323420628</v>
      </c>
      <c r="K1754" t="str">
        <f>""</f>
        <v/>
      </c>
      <c r="M1754" t="s">
        <v>68</v>
      </c>
      <c r="N1754" t="str">
        <f t="shared" si="175"/>
        <v>ALTPRO</v>
      </c>
      <c r="O1754" t="s">
        <v>132</v>
      </c>
      <c r="P1754" s="3" t="s">
        <v>75</v>
      </c>
      <c r="Q1754">
        <v>2016</v>
      </c>
      <c r="R1754" s="2">
        <v>42529</v>
      </c>
      <c r="S1754" s="2">
        <v>42529</v>
      </c>
      <c r="T1754" s="2">
        <v>42529</v>
      </c>
      <c r="U1754" s="2">
        <v>42589</v>
      </c>
      <c r="V1754" t="s">
        <v>71</v>
      </c>
      <c r="W1754" t="str">
        <f>"       000006-2016-A"</f>
        <v xml:space="preserve">       000006-2016-A</v>
      </c>
      <c r="X1754" s="1">
        <v>2741.36</v>
      </c>
      <c r="Y1754">
        <v>-547.87</v>
      </c>
      <c r="Z1754"/>
      <c r="AB1754"/>
      <c r="AC1754" s="1">
        <v>2193.4899999999998</v>
      </c>
      <c r="AD1754">
        <v>-37</v>
      </c>
      <c r="AE1754" s="1">
        <v>-81159.13</v>
      </c>
      <c r="AF1754">
        <v>0</v>
      </c>
      <c r="AJ1754">
        <v>0</v>
      </c>
      <c r="AK1754">
        <v>0</v>
      </c>
      <c r="AL1754">
        <v>0</v>
      </c>
      <c r="AM1754" s="1">
        <v>2193.4899999999998</v>
      </c>
      <c r="AN1754" s="1">
        <v>2193.4899999999998</v>
      </c>
      <c r="AO1754" s="1">
        <v>2193.4899999999998</v>
      </c>
      <c r="AP1754" s="2">
        <v>42746</v>
      </c>
      <c r="AQ1754" t="s">
        <v>72</v>
      </c>
      <c r="AR1754" t="s">
        <v>72</v>
      </c>
      <c r="AS1754">
        <v>1645</v>
      </c>
      <c r="AT1754" s="4">
        <v>42552</v>
      </c>
      <c r="AV1754">
        <v>1645</v>
      </c>
      <c r="AW1754" s="4">
        <v>42552</v>
      </c>
      <c r="BD1754">
        <v>0</v>
      </c>
      <c r="BN1754" t="s">
        <v>74</v>
      </c>
    </row>
    <row r="1755" spans="1:66" hidden="1">
      <c r="A1755">
        <v>100616</v>
      </c>
      <c r="B1755" s="3" t="s">
        <v>207</v>
      </c>
      <c r="C1755" s="1">
        <v>43500101</v>
      </c>
      <c r="D1755" t="s">
        <v>113</v>
      </c>
      <c r="H1755" t="str">
        <f t="shared" si="173"/>
        <v>VSSSNT75H43I234Q</v>
      </c>
      <c r="I1755" t="str">
        <f t="shared" si="174"/>
        <v>01323420628</v>
      </c>
      <c r="K1755" t="str">
        <f>""</f>
        <v/>
      </c>
      <c r="M1755" t="s">
        <v>68</v>
      </c>
      <c r="N1755" t="str">
        <f t="shared" si="175"/>
        <v>ALTPRO</v>
      </c>
      <c r="O1755" t="s">
        <v>132</v>
      </c>
      <c r="P1755" s="3" t="s">
        <v>75</v>
      </c>
      <c r="Q1755">
        <v>2016</v>
      </c>
      <c r="R1755" s="2">
        <v>42556</v>
      </c>
      <c r="S1755" s="2">
        <v>42557</v>
      </c>
      <c r="T1755" s="2">
        <v>42556</v>
      </c>
      <c r="U1755" s="2">
        <v>42616</v>
      </c>
      <c r="V1755" t="s">
        <v>71</v>
      </c>
      <c r="W1755" t="str">
        <f>"       000007-2016-A"</f>
        <v xml:space="preserve">       000007-2016-A</v>
      </c>
      <c r="X1755" s="1">
        <v>2636</v>
      </c>
      <c r="Y1755">
        <v>-526.79999999999995</v>
      </c>
      <c r="Z1755"/>
      <c r="AB1755"/>
      <c r="AC1755" s="1">
        <v>2109.1999999999998</v>
      </c>
      <c r="AD1755">
        <v>-50</v>
      </c>
      <c r="AE1755" s="1">
        <v>-105460</v>
      </c>
      <c r="AF1755">
        <v>0</v>
      </c>
      <c r="AJ1755">
        <v>0</v>
      </c>
      <c r="AK1755">
        <v>0</v>
      </c>
      <c r="AL1755">
        <v>0</v>
      </c>
      <c r="AM1755" s="1">
        <v>2109.1999999999998</v>
      </c>
      <c r="AN1755" s="1">
        <v>2109.1999999999998</v>
      </c>
      <c r="AO1755" s="1">
        <v>2109.1999999999998</v>
      </c>
      <c r="AP1755" s="2">
        <v>42746</v>
      </c>
      <c r="AQ1755" t="s">
        <v>72</v>
      </c>
      <c r="AR1755" t="s">
        <v>72</v>
      </c>
      <c r="AS1755">
        <v>1791</v>
      </c>
      <c r="AT1755" s="4">
        <v>42566</v>
      </c>
      <c r="AV1755">
        <v>1791</v>
      </c>
      <c r="AW1755" s="4">
        <v>42566</v>
      </c>
      <c r="BD1755">
        <v>0</v>
      </c>
      <c r="BN1755" t="s">
        <v>74</v>
      </c>
    </row>
    <row r="1756" spans="1:66" hidden="1">
      <c r="A1756">
        <v>100616</v>
      </c>
      <c r="B1756" s="3" t="s">
        <v>207</v>
      </c>
      <c r="C1756" s="1">
        <v>43500101</v>
      </c>
      <c r="D1756" t="s">
        <v>113</v>
      </c>
      <c r="H1756" t="str">
        <f t="shared" si="173"/>
        <v>VSSSNT75H43I234Q</v>
      </c>
      <c r="I1756" t="str">
        <f t="shared" si="174"/>
        <v>01323420628</v>
      </c>
      <c r="K1756" t="str">
        <f>""</f>
        <v/>
      </c>
      <c r="M1756" t="s">
        <v>68</v>
      </c>
      <c r="N1756" t="str">
        <f t="shared" si="175"/>
        <v>ALTPRO</v>
      </c>
      <c r="O1756" t="s">
        <v>132</v>
      </c>
      <c r="P1756" s="3" t="s">
        <v>75</v>
      </c>
      <c r="Q1756">
        <v>2016</v>
      </c>
      <c r="R1756" s="2">
        <v>42585</v>
      </c>
      <c r="S1756" s="2">
        <v>42587</v>
      </c>
      <c r="T1756" s="2">
        <v>42586</v>
      </c>
      <c r="U1756" s="2">
        <v>42646</v>
      </c>
      <c r="V1756" t="s">
        <v>71</v>
      </c>
      <c r="W1756" t="str">
        <f>"       000008-2016-A"</f>
        <v xml:space="preserve">       000008-2016-A</v>
      </c>
      <c r="X1756" s="1">
        <v>2741.36</v>
      </c>
      <c r="Y1756">
        <v>-547.87</v>
      </c>
      <c r="Z1756"/>
      <c r="AB1756"/>
      <c r="AC1756" s="1">
        <v>2193.4899999999998</v>
      </c>
      <c r="AD1756">
        <v>-28</v>
      </c>
      <c r="AE1756" s="1">
        <v>-61417.72</v>
      </c>
      <c r="AF1756">
        <v>0</v>
      </c>
      <c r="AJ1756">
        <v>0</v>
      </c>
      <c r="AK1756">
        <v>0</v>
      </c>
      <c r="AL1756">
        <v>0</v>
      </c>
      <c r="AM1756" s="1">
        <v>2193.4899999999998</v>
      </c>
      <c r="AN1756" s="1">
        <v>2193.4899999999998</v>
      </c>
      <c r="AO1756" s="1">
        <v>2193.4899999999998</v>
      </c>
      <c r="AP1756" s="2">
        <v>42746</v>
      </c>
      <c r="AQ1756" t="s">
        <v>72</v>
      </c>
      <c r="AR1756" t="s">
        <v>72</v>
      </c>
      <c r="AS1756">
        <v>2242</v>
      </c>
      <c r="AT1756" s="4">
        <v>42618</v>
      </c>
      <c r="AV1756">
        <v>2242</v>
      </c>
      <c r="AW1756" s="4">
        <v>42618</v>
      </c>
      <c r="BD1756">
        <v>0</v>
      </c>
      <c r="BN1756" t="s">
        <v>74</v>
      </c>
    </row>
    <row r="1757" spans="1:66">
      <c r="A1757">
        <v>100616</v>
      </c>
      <c r="B1757" s="3" t="s">
        <v>207</v>
      </c>
      <c r="C1757" s="1">
        <v>43500101</v>
      </c>
      <c r="D1757" t="s">
        <v>113</v>
      </c>
      <c r="H1757" t="str">
        <f t="shared" si="173"/>
        <v>VSSSNT75H43I234Q</v>
      </c>
      <c r="I1757" t="str">
        <f t="shared" si="174"/>
        <v>01323420628</v>
      </c>
      <c r="K1757" t="str">
        <f>""</f>
        <v/>
      </c>
      <c r="M1757" t="s">
        <v>68</v>
      </c>
      <c r="N1757" t="str">
        <f t="shared" si="175"/>
        <v>ALTPRO</v>
      </c>
      <c r="O1757" t="s">
        <v>132</v>
      </c>
      <c r="P1757" s="3" t="s">
        <v>75</v>
      </c>
      <c r="Q1757">
        <v>2016</v>
      </c>
      <c r="R1757" s="2">
        <v>42619</v>
      </c>
      <c r="S1757" s="2">
        <v>42619</v>
      </c>
      <c r="T1757" s="2">
        <v>42619</v>
      </c>
      <c r="U1757" s="2">
        <v>42679</v>
      </c>
      <c r="V1757" t="s">
        <v>71</v>
      </c>
      <c r="W1757" t="str">
        <f>"       000009-2016-A"</f>
        <v xml:space="preserve">       000009-2016-A</v>
      </c>
      <c r="X1757" s="1">
        <v>2302.36</v>
      </c>
      <c r="Y1757">
        <v>-460.07</v>
      </c>
      <c r="Z1757" s="5">
        <v>1842.29</v>
      </c>
      <c r="AA1757">
        <v>-33</v>
      </c>
      <c r="AB1757" s="5">
        <v>-60795.57</v>
      </c>
      <c r="AC1757" s="1">
        <v>1842.29</v>
      </c>
      <c r="AD1757">
        <v>-33</v>
      </c>
      <c r="AE1757" s="1">
        <v>-60795.57</v>
      </c>
      <c r="AF1757">
        <v>0</v>
      </c>
      <c r="AJ1757">
        <v>0</v>
      </c>
      <c r="AK1757">
        <v>0</v>
      </c>
      <c r="AL1757">
        <v>0</v>
      </c>
      <c r="AM1757" s="1">
        <v>1842.29</v>
      </c>
      <c r="AN1757" s="1">
        <v>1842.29</v>
      </c>
      <c r="AO1757" s="1">
        <v>1842.29</v>
      </c>
      <c r="AP1757" s="2">
        <v>42746</v>
      </c>
      <c r="AQ1757" t="s">
        <v>72</v>
      </c>
      <c r="AR1757" t="s">
        <v>72</v>
      </c>
      <c r="AS1757">
        <v>2523</v>
      </c>
      <c r="AT1757" s="4">
        <v>42646</v>
      </c>
      <c r="AV1757">
        <v>2523</v>
      </c>
      <c r="AW1757" s="4">
        <v>42646</v>
      </c>
      <c r="BD1757">
        <v>0</v>
      </c>
      <c r="BN1757" t="s">
        <v>74</v>
      </c>
    </row>
    <row r="1758" spans="1:66">
      <c r="A1758">
        <v>100616</v>
      </c>
      <c r="B1758" s="3" t="s">
        <v>207</v>
      </c>
      <c r="C1758" s="1">
        <v>43500101</v>
      </c>
      <c r="D1758" t="s">
        <v>113</v>
      </c>
      <c r="H1758" t="str">
        <f t="shared" si="173"/>
        <v>VSSSNT75H43I234Q</v>
      </c>
      <c r="I1758" t="str">
        <f t="shared" si="174"/>
        <v>01323420628</v>
      </c>
      <c r="K1758" t="str">
        <f>""</f>
        <v/>
      </c>
      <c r="M1758" t="s">
        <v>68</v>
      </c>
      <c r="N1758" t="str">
        <f t="shared" si="175"/>
        <v>ALTPRO</v>
      </c>
      <c r="O1758" t="s">
        <v>132</v>
      </c>
      <c r="P1758" s="3" t="s">
        <v>75</v>
      </c>
      <c r="Q1758">
        <v>2016</v>
      </c>
      <c r="R1758" s="2">
        <v>42651</v>
      </c>
      <c r="S1758" s="2">
        <v>42654</v>
      </c>
      <c r="T1758" s="2">
        <v>42651</v>
      </c>
      <c r="U1758" s="2">
        <v>42711</v>
      </c>
      <c r="V1758" t="s">
        <v>71</v>
      </c>
      <c r="W1758" t="str">
        <f>"       000010-2016-A"</f>
        <v xml:space="preserve">       000010-2016-A</v>
      </c>
      <c r="X1758" s="1">
        <v>2636</v>
      </c>
      <c r="Y1758">
        <v>-526.79999999999995</v>
      </c>
      <c r="Z1758" s="5">
        <v>2109.1999999999998</v>
      </c>
      <c r="AA1758">
        <v>-43</v>
      </c>
      <c r="AB1758" s="5">
        <v>-90695.6</v>
      </c>
      <c r="AC1758" s="1">
        <v>2109.1999999999998</v>
      </c>
      <c r="AD1758">
        <v>-43</v>
      </c>
      <c r="AE1758" s="1">
        <v>-90695.6</v>
      </c>
      <c r="AF1758">
        <v>0</v>
      </c>
      <c r="AJ1758">
        <v>-526.79999999999995</v>
      </c>
      <c r="AK1758" s="1">
        <v>2109.1999999999998</v>
      </c>
      <c r="AL1758" s="1">
        <v>2109.1999999999998</v>
      </c>
      <c r="AM1758" s="1">
        <v>2109.1999999999998</v>
      </c>
      <c r="AN1758" s="1">
        <v>2109.1999999999998</v>
      </c>
      <c r="AO1758" s="1">
        <v>2109.1999999999998</v>
      </c>
      <c r="AP1758" s="2">
        <v>42746</v>
      </c>
      <c r="AQ1758" t="s">
        <v>72</v>
      </c>
      <c r="AR1758" t="s">
        <v>72</v>
      </c>
      <c r="AS1758">
        <v>2870</v>
      </c>
      <c r="AT1758" s="4">
        <v>42668</v>
      </c>
      <c r="AV1758">
        <v>2870</v>
      </c>
      <c r="AW1758" s="4">
        <v>42668</v>
      </c>
      <c r="BD1758">
        <v>0</v>
      </c>
      <c r="BN1758" t="s">
        <v>74</v>
      </c>
    </row>
    <row r="1759" spans="1:66">
      <c r="A1759">
        <v>100616</v>
      </c>
      <c r="B1759" s="3" t="s">
        <v>207</v>
      </c>
      <c r="C1759" s="1">
        <v>43500101</v>
      </c>
      <c r="D1759" t="s">
        <v>113</v>
      </c>
      <c r="H1759" t="str">
        <f t="shared" si="173"/>
        <v>VSSSNT75H43I234Q</v>
      </c>
      <c r="I1759" t="str">
        <f t="shared" si="174"/>
        <v>01323420628</v>
      </c>
      <c r="K1759" t="str">
        <f>""</f>
        <v/>
      </c>
      <c r="M1759" t="s">
        <v>68</v>
      </c>
      <c r="N1759" t="str">
        <f t="shared" si="175"/>
        <v>ALTPRO</v>
      </c>
      <c r="O1759" t="s">
        <v>132</v>
      </c>
      <c r="P1759" s="3" t="s">
        <v>75</v>
      </c>
      <c r="Q1759">
        <v>2016</v>
      </c>
      <c r="R1759" s="2">
        <v>42676</v>
      </c>
      <c r="S1759" s="2">
        <v>42690</v>
      </c>
      <c r="T1759" s="2">
        <v>42690</v>
      </c>
      <c r="U1759" s="2">
        <v>42750</v>
      </c>
      <c r="V1759" t="s">
        <v>71</v>
      </c>
      <c r="W1759" t="str">
        <f>"       000011-2016-A"</f>
        <v xml:space="preserve">       000011-2016-A</v>
      </c>
      <c r="X1759" s="1">
        <v>2844.72</v>
      </c>
      <c r="Y1759">
        <v>-568.94000000000005</v>
      </c>
      <c r="Z1759" s="5">
        <v>2275.7800000000002</v>
      </c>
      <c r="AA1759">
        <v>-58</v>
      </c>
      <c r="AB1759" s="5">
        <v>-131995.24</v>
      </c>
      <c r="AC1759" s="1">
        <v>2275.7800000000002</v>
      </c>
      <c r="AD1759">
        <v>-58</v>
      </c>
      <c r="AE1759" s="1">
        <v>-131995.24</v>
      </c>
      <c r="AF1759">
        <v>0</v>
      </c>
      <c r="AJ1759" s="1">
        <v>2275.7800000000002</v>
      </c>
      <c r="AK1759" s="1">
        <v>2275.7800000000002</v>
      </c>
      <c r="AL1759" s="1">
        <v>2275.7800000000002</v>
      </c>
      <c r="AM1759" s="1">
        <v>2275.7800000000002</v>
      </c>
      <c r="AN1759" s="1">
        <v>2275.7800000000002</v>
      </c>
      <c r="AO1759" s="1">
        <v>2275.7800000000002</v>
      </c>
      <c r="AP1759" s="2">
        <v>42746</v>
      </c>
      <c r="AQ1759" t="s">
        <v>72</v>
      </c>
      <c r="AR1759" t="s">
        <v>72</v>
      </c>
      <c r="AS1759">
        <v>3168</v>
      </c>
      <c r="AT1759" s="4">
        <v>42692</v>
      </c>
      <c r="AV1759">
        <v>3168</v>
      </c>
      <c r="AW1759" s="4">
        <v>42692</v>
      </c>
      <c r="BD1759">
        <v>0</v>
      </c>
      <c r="BN1759" t="s">
        <v>74</v>
      </c>
    </row>
    <row r="1760" spans="1:66">
      <c r="A1760">
        <v>100616</v>
      </c>
      <c r="B1760" s="3" t="s">
        <v>207</v>
      </c>
      <c r="C1760" s="1">
        <v>43500101</v>
      </c>
      <c r="D1760" t="s">
        <v>113</v>
      </c>
      <c r="H1760" t="str">
        <f t="shared" si="173"/>
        <v>VSSSNT75H43I234Q</v>
      </c>
      <c r="I1760" t="str">
        <f t="shared" si="174"/>
        <v>01323420628</v>
      </c>
      <c r="K1760" t="str">
        <f>""</f>
        <v/>
      </c>
      <c r="M1760" t="s">
        <v>68</v>
      </c>
      <c r="N1760" t="str">
        <f t="shared" si="175"/>
        <v>ALTPRO</v>
      </c>
      <c r="O1760" t="s">
        <v>132</v>
      </c>
      <c r="P1760" s="3" t="s">
        <v>75</v>
      </c>
      <c r="Q1760">
        <v>2016</v>
      </c>
      <c r="R1760" s="2">
        <v>42709</v>
      </c>
      <c r="S1760" s="2">
        <v>42711</v>
      </c>
      <c r="T1760" s="2">
        <v>42711</v>
      </c>
      <c r="U1760" s="2">
        <v>42771</v>
      </c>
      <c r="V1760" t="s">
        <v>71</v>
      </c>
      <c r="W1760" t="str">
        <f>"       000012-2016-A"</f>
        <v xml:space="preserve">       000012-2016-A</v>
      </c>
      <c r="X1760" s="1">
        <v>2634</v>
      </c>
      <c r="Y1760">
        <v>-526.79999999999995</v>
      </c>
      <c r="Z1760" s="5">
        <v>2107.1999999999998</v>
      </c>
      <c r="AA1760">
        <v>-60</v>
      </c>
      <c r="AB1760" s="5">
        <v>-126432</v>
      </c>
      <c r="AC1760" s="1">
        <v>2107.1999999999998</v>
      </c>
      <c r="AD1760">
        <v>-60</v>
      </c>
      <c r="AE1760" s="1">
        <v>-126432</v>
      </c>
      <c r="AF1760">
        <v>0</v>
      </c>
      <c r="AJ1760" s="1">
        <v>2107.1999999999998</v>
      </c>
      <c r="AK1760" s="1">
        <v>2107.1999999999998</v>
      </c>
      <c r="AL1760" s="1">
        <v>2107.1999999999998</v>
      </c>
      <c r="AM1760" s="1">
        <v>2107.1999999999998</v>
      </c>
      <c r="AN1760" s="1">
        <v>2107.1999999999998</v>
      </c>
      <c r="AO1760" s="1">
        <v>2107.1999999999998</v>
      </c>
      <c r="AP1760" s="2">
        <v>42746</v>
      </c>
      <c r="AQ1760" t="s">
        <v>72</v>
      </c>
      <c r="AR1760" t="s">
        <v>72</v>
      </c>
      <c r="AS1760">
        <v>3356</v>
      </c>
      <c r="AT1760" s="4">
        <v>42711</v>
      </c>
      <c r="AV1760">
        <v>3356</v>
      </c>
      <c r="AW1760" s="4">
        <v>42711</v>
      </c>
      <c r="BD1760">
        <v>0</v>
      </c>
      <c r="BN1760" t="s">
        <v>74</v>
      </c>
    </row>
    <row r="1761" spans="1:66" hidden="1">
      <c r="A1761">
        <v>100622</v>
      </c>
      <c r="B1761" s="3" t="s">
        <v>209</v>
      </c>
      <c r="C1761" s="1">
        <v>43300101</v>
      </c>
      <c r="D1761" t="s">
        <v>67</v>
      </c>
      <c r="H1761" t="str">
        <f t="shared" ref="H1761:I1763" si="176">"01681100150"</f>
        <v>01681100150</v>
      </c>
      <c r="I1761" t="str">
        <f t="shared" si="176"/>
        <v>01681100150</v>
      </c>
      <c r="K1761" t="str">
        <f>""</f>
        <v/>
      </c>
      <c r="M1761" t="s">
        <v>68</v>
      </c>
      <c r="N1761" t="str">
        <f>"FOR"</f>
        <v>FOR</v>
      </c>
      <c r="O1761" t="s">
        <v>69</v>
      </c>
      <c r="P1761" s="3" t="s">
        <v>75</v>
      </c>
      <c r="Q1761">
        <v>2015</v>
      </c>
      <c r="R1761" s="2">
        <v>42202</v>
      </c>
      <c r="S1761" s="2">
        <v>42207</v>
      </c>
      <c r="T1761" s="2">
        <v>42207</v>
      </c>
      <c r="U1761" s="2">
        <v>42267</v>
      </c>
      <c r="V1761" t="s">
        <v>71</v>
      </c>
      <c r="W1761" t="str">
        <f>"          VP  002515"</f>
        <v xml:space="preserve">          VP  002515</v>
      </c>
      <c r="X1761" s="1">
        <v>6405</v>
      </c>
      <c r="Y1761">
        <v>0</v>
      </c>
      <c r="Z1761"/>
      <c r="AB1761"/>
      <c r="AC1761" s="1">
        <v>5250</v>
      </c>
      <c r="AD1761">
        <v>299</v>
      </c>
      <c r="AE1761" s="1">
        <v>1569750</v>
      </c>
      <c r="AF1761">
        <v>0</v>
      </c>
      <c r="AJ1761">
        <v>0</v>
      </c>
      <c r="AK1761">
        <v>0</v>
      </c>
      <c r="AL1761">
        <v>0</v>
      </c>
      <c r="AM1761">
        <v>0</v>
      </c>
      <c r="AN1761">
        <v>0</v>
      </c>
      <c r="AO1761">
        <v>0</v>
      </c>
      <c r="AP1761" s="2">
        <v>42746</v>
      </c>
      <c r="AQ1761" t="s">
        <v>72</v>
      </c>
      <c r="AR1761" t="s">
        <v>72</v>
      </c>
      <c r="AS1761">
        <v>1834</v>
      </c>
      <c r="AT1761" s="4">
        <v>42566</v>
      </c>
      <c r="AU1761" t="s">
        <v>73</v>
      </c>
      <c r="AV1761">
        <v>1834</v>
      </c>
      <c r="AW1761" s="4">
        <v>42566</v>
      </c>
      <c r="BD1761">
        <v>0</v>
      </c>
      <c r="BN1761" t="s">
        <v>74</v>
      </c>
    </row>
    <row r="1762" spans="1:66">
      <c r="A1762">
        <v>100622</v>
      </c>
      <c r="B1762" s="3" t="s">
        <v>209</v>
      </c>
      <c r="C1762" s="1">
        <v>43300101</v>
      </c>
      <c r="D1762" t="s">
        <v>67</v>
      </c>
      <c r="H1762" t="str">
        <f t="shared" si="176"/>
        <v>01681100150</v>
      </c>
      <c r="I1762" t="str">
        <f t="shared" si="176"/>
        <v>01681100150</v>
      </c>
      <c r="K1762" t="str">
        <f>""</f>
        <v/>
      </c>
      <c r="M1762" t="s">
        <v>68</v>
      </c>
      <c r="N1762" t="str">
        <f>"FOR"</f>
        <v>FOR</v>
      </c>
      <c r="O1762" t="s">
        <v>69</v>
      </c>
      <c r="P1762" s="3" t="s">
        <v>75</v>
      </c>
      <c r="Q1762">
        <v>2015</v>
      </c>
      <c r="R1762" s="2">
        <v>42314</v>
      </c>
      <c r="S1762" s="2">
        <v>42318</v>
      </c>
      <c r="T1762" s="2">
        <v>42317</v>
      </c>
      <c r="U1762" s="2">
        <v>42377</v>
      </c>
      <c r="V1762" t="s">
        <v>71</v>
      </c>
      <c r="W1762" t="str">
        <f>"          VP  004673"</f>
        <v xml:space="preserve">          VP  004673</v>
      </c>
      <c r="X1762" s="1">
        <v>4270</v>
      </c>
      <c r="Y1762">
        <v>0</v>
      </c>
      <c r="Z1762" s="5">
        <v>3500</v>
      </c>
      <c r="AA1762">
        <v>305</v>
      </c>
      <c r="AB1762" s="5">
        <v>1067500</v>
      </c>
      <c r="AC1762" s="1">
        <v>3500</v>
      </c>
      <c r="AD1762">
        <v>305</v>
      </c>
      <c r="AE1762" s="1">
        <v>1067500</v>
      </c>
      <c r="AF1762">
        <v>0</v>
      </c>
      <c r="AJ1762">
        <v>0</v>
      </c>
      <c r="AK1762">
        <v>0</v>
      </c>
      <c r="AL1762">
        <v>0</v>
      </c>
      <c r="AM1762">
        <v>0</v>
      </c>
      <c r="AN1762">
        <v>0</v>
      </c>
      <c r="AO1762">
        <v>0</v>
      </c>
      <c r="AP1762" s="2">
        <v>42746</v>
      </c>
      <c r="AQ1762" t="s">
        <v>72</v>
      </c>
      <c r="AR1762" t="s">
        <v>72</v>
      </c>
      <c r="AS1762">
        <v>2987</v>
      </c>
      <c r="AT1762" s="4">
        <v>42682</v>
      </c>
      <c r="AU1762" t="s">
        <v>73</v>
      </c>
      <c r="AV1762">
        <v>2987</v>
      </c>
      <c r="AW1762" s="4">
        <v>42682</v>
      </c>
      <c r="BD1762">
        <v>0</v>
      </c>
      <c r="BN1762" t="s">
        <v>74</v>
      </c>
    </row>
    <row r="1763" spans="1:66">
      <c r="A1763">
        <v>100622</v>
      </c>
      <c r="B1763" s="3" t="s">
        <v>209</v>
      </c>
      <c r="C1763" s="1">
        <v>43300101</v>
      </c>
      <c r="D1763" t="s">
        <v>67</v>
      </c>
      <c r="H1763" t="str">
        <f t="shared" si="176"/>
        <v>01681100150</v>
      </c>
      <c r="I1763" t="str">
        <f t="shared" si="176"/>
        <v>01681100150</v>
      </c>
      <c r="K1763" t="str">
        <f>""</f>
        <v/>
      </c>
      <c r="M1763" t="s">
        <v>68</v>
      </c>
      <c r="N1763" t="str">
        <f>"FOR"</f>
        <v>FOR</v>
      </c>
      <c r="O1763" t="s">
        <v>69</v>
      </c>
      <c r="P1763" s="3" t="s">
        <v>75</v>
      </c>
      <c r="Q1763">
        <v>2015</v>
      </c>
      <c r="R1763" s="2">
        <v>42362</v>
      </c>
      <c r="S1763" s="2">
        <v>42367</v>
      </c>
      <c r="T1763" s="2">
        <v>42366</v>
      </c>
      <c r="U1763" s="2">
        <v>42426</v>
      </c>
      <c r="V1763" t="s">
        <v>71</v>
      </c>
      <c r="W1763" t="str">
        <f>"          VP  005675"</f>
        <v xml:space="preserve">          VP  005675</v>
      </c>
      <c r="X1763" s="1">
        <v>4270</v>
      </c>
      <c r="Y1763">
        <v>0</v>
      </c>
      <c r="Z1763" s="5">
        <v>3500</v>
      </c>
      <c r="AA1763">
        <v>264</v>
      </c>
      <c r="AB1763" s="5">
        <v>924000</v>
      </c>
      <c r="AC1763" s="1">
        <v>3500</v>
      </c>
      <c r="AD1763">
        <v>264</v>
      </c>
      <c r="AE1763" s="1">
        <v>924000</v>
      </c>
      <c r="AF1763">
        <v>0</v>
      </c>
      <c r="AJ1763">
        <v>0</v>
      </c>
      <c r="AK1763">
        <v>0</v>
      </c>
      <c r="AL1763">
        <v>0</v>
      </c>
      <c r="AM1763">
        <v>0</v>
      </c>
      <c r="AN1763">
        <v>0</v>
      </c>
      <c r="AO1763">
        <v>0</v>
      </c>
      <c r="AP1763" s="2">
        <v>42746</v>
      </c>
      <c r="AQ1763" t="s">
        <v>72</v>
      </c>
      <c r="AR1763" t="s">
        <v>72</v>
      </c>
      <c r="AS1763">
        <v>3135</v>
      </c>
      <c r="AT1763" s="4">
        <v>42690</v>
      </c>
      <c r="AU1763" t="s">
        <v>73</v>
      </c>
      <c r="AV1763">
        <v>3135</v>
      </c>
      <c r="AW1763" s="4">
        <v>42690</v>
      </c>
      <c r="BD1763">
        <v>0</v>
      </c>
      <c r="BN1763" t="s">
        <v>74</v>
      </c>
    </row>
    <row r="1764" spans="1:66" hidden="1">
      <c r="A1764">
        <v>100624</v>
      </c>
      <c r="B1764" s="3" t="s">
        <v>210</v>
      </c>
      <c r="C1764" s="1">
        <v>43500101</v>
      </c>
      <c r="D1764" t="s">
        <v>113</v>
      </c>
      <c r="H1764" t="str">
        <f>"01361620626"</f>
        <v>01361620626</v>
      </c>
      <c r="I1764" t="str">
        <f>"01361620626"</f>
        <v>01361620626</v>
      </c>
      <c r="K1764" t="str">
        <f>""</f>
        <v/>
      </c>
      <c r="M1764" t="s">
        <v>68</v>
      </c>
      <c r="N1764" t="str">
        <f>"ALTPRO"</f>
        <v>ALTPRO</v>
      </c>
      <c r="O1764" t="s">
        <v>132</v>
      </c>
      <c r="P1764" s="3" t="s">
        <v>75</v>
      </c>
      <c r="Q1764">
        <v>2015</v>
      </c>
      <c r="R1764" s="2">
        <v>42214</v>
      </c>
      <c r="S1764" s="2">
        <v>42229</v>
      </c>
      <c r="T1764" s="2">
        <v>42222</v>
      </c>
      <c r="U1764" s="2">
        <v>42282</v>
      </c>
      <c r="V1764" t="s">
        <v>71</v>
      </c>
      <c r="W1764" t="str">
        <f>"                  32"</f>
        <v xml:space="preserve">                  32</v>
      </c>
      <c r="X1764" s="1">
        <v>2537.6</v>
      </c>
      <c r="Y1764">
        <v>-400</v>
      </c>
      <c r="Z1764"/>
      <c r="AB1764"/>
      <c r="AC1764" s="1">
        <v>2137.6</v>
      </c>
      <c r="AD1764">
        <v>120</v>
      </c>
      <c r="AE1764" s="1">
        <v>256512</v>
      </c>
      <c r="AF1764">
        <v>0</v>
      </c>
      <c r="AJ1764">
        <v>0</v>
      </c>
      <c r="AK1764">
        <v>0</v>
      </c>
      <c r="AL1764">
        <v>0</v>
      </c>
      <c r="AM1764">
        <v>0</v>
      </c>
      <c r="AN1764">
        <v>0</v>
      </c>
      <c r="AO1764">
        <v>0</v>
      </c>
      <c r="AP1764" s="2">
        <v>42746</v>
      </c>
      <c r="AQ1764" t="s">
        <v>72</v>
      </c>
      <c r="AR1764" t="s">
        <v>72</v>
      </c>
      <c r="AS1764">
        <v>193</v>
      </c>
      <c r="AT1764" s="4">
        <v>42402</v>
      </c>
      <c r="AU1764" t="s">
        <v>73</v>
      </c>
      <c r="AV1764">
        <v>193</v>
      </c>
      <c r="AW1764" s="4">
        <v>42402</v>
      </c>
      <c r="BD1764">
        <v>0</v>
      </c>
      <c r="BN1764" t="s">
        <v>74</v>
      </c>
    </row>
    <row r="1765" spans="1:66" hidden="1">
      <c r="A1765">
        <v>100630</v>
      </c>
      <c r="B1765" s="3" t="s">
        <v>211</v>
      </c>
      <c r="C1765" s="1">
        <v>43300101</v>
      </c>
      <c r="D1765" t="s">
        <v>67</v>
      </c>
      <c r="H1765" t="str">
        <f t="shared" ref="H1765:I1784" si="177">"05688870483"</f>
        <v>05688870483</v>
      </c>
      <c r="I1765" t="str">
        <f t="shared" si="177"/>
        <v>05688870483</v>
      </c>
      <c r="K1765" t="str">
        <f>""</f>
        <v/>
      </c>
      <c r="M1765" t="s">
        <v>68</v>
      </c>
      <c r="N1765" t="str">
        <f t="shared" ref="N1765:N1796" si="178">"FOR"</f>
        <v>FOR</v>
      </c>
      <c r="O1765" t="s">
        <v>69</v>
      </c>
      <c r="P1765" s="3" t="s">
        <v>78</v>
      </c>
      <c r="Q1765">
        <v>2013</v>
      </c>
      <c r="R1765" s="2">
        <v>41362</v>
      </c>
      <c r="S1765" s="2">
        <v>41372</v>
      </c>
      <c r="T1765" s="2">
        <v>41372</v>
      </c>
      <c r="U1765" s="2">
        <v>41462</v>
      </c>
      <c r="V1765" t="s">
        <v>71</v>
      </c>
      <c r="W1765" t="str">
        <f>"              506977"</f>
        <v xml:space="preserve">              506977</v>
      </c>
      <c r="X1765" s="1">
        <v>2820.91</v>
      </c>
      <c r="Y1765">
        <v>0</v>
      </c>
      <c r="Z1765"/>
      <c r="AB1765"/>
      <c r="AC1765" s="1">
        <v>2820.91</v>
      </c>
      <c r="AD1765">
        <v>1069</v>
      </c>
      <c r="AE1765" s="1">
        <v>3015552.79</v>
      </c>
      <c r="AF1765">
        <v>0</v>
      </c>
      <c r="AJ1765">
        <v>0</v>
      </c>
      <c r="AK1765">
        <v>0</v>
      </c>
      <c r="AL1765">
        <v>0</v>
      </c>
      <c r="AM1765">
        <v>0</v>
      </c>
      <c r="AN1765">
        <v>0</v>
      </c>
      <c r="AO1765">
        <v>0</v>
      </c>
      <c r="AP1765" s="2">
        <v>42746</v>
      </c>
      <c r="AQ1765" t="s">
        <v>72</v>
      </c>
      <c r="AR1765" t="s">
        <v>72</v>
      </c>
      <c r="AS1765">
        <v>1609</v>
      </c>
      <c r="AT1765" s="4">
        <v>42531</v>
      </c>
      <c r="AU1765" t="s">
        <v>73</v>
      </c>
      <c r="AV1765">
        <v>1609</v>
      </c>
      <c r="AW1765" s="4">
        <v>42531</v>
      </c>
      <c r="BD1765">
        <v>0</v>
      </c>
      <c r="BN1765" t="s">
        <v>74</v>
      </c>
    </row>
    <row r="1766" spans="1:66" hidden="1">
      <c r="A1766">
        <v>100630</v>
      </c>
      <c r="B1766" s="3" t="s">
        <v>211</v>
      </c>
      <c r="C1766" s="1">
        <v>43300101</v>
      </c>
      <c r="D1766" t="s">
        <v>67</v>
      </c>
      <c r="H1766" t="str">
        <f t="shared" si="177"/>
        <v>05688870483</v>
      </c>
      <c r="I1766" t="str">
        <f t="shared" si="177"/>
        <v>05688870483</v>
      </c>
      <c r="K1766" t="str">
        <f>""</f>
        <v/>
      </c>
      <c r="M1766" t="s">
        <v>68</v>
      </c>
      <c r="N1766" t="str">
        <f t="shared" si="178"/>
        <v>FOR</v>
      </c>
      <c r="O1766" t="s">
        <v>69</v>
      </c>
      <c r="P1766" s="3" t="s">
        <v>78</v>
      </c>
      <c r="Q1766">
        <v>2014</v>
      </c>
      <c r="R1766" s="2">
        <v>41824</v>
      </c>
      <c r="S1766" s="2">
        <v>41836</v>
      </c>
      <c r="T1766" s="2">
        <v>41836</v>
      </c>
      <c r="U1766" s="2">
        <v>41926</v>
      </c>
      <c r="V1766" t="s">
        <v>71</v>
      </c>
      <c r="W1766" t="str">
        <f>"              514549"</f>
        <v xml:space="preserve">              514549</v>
      </c>
      <c r="X1766" s="1">
        <v>3245.2</v>
      </c>
      <c r="Y1766">
        <v>0</v>
      </c>
      <c r="Z1766"/>
      <c r="AB1766"/>
      <c r="AC1766" s="1">
        <v>3245.2</v>
      </c>
      <c r="AD1766">
        <v>604</v>
      </c>
      <c r="AE1766" s="1">
        <v>1960100.8</v>
      </c>
      <c r="AF1766">
        <v>0</v>
      </c>
      <c r="AJ1766">
        <v>0</v>
      </c>
      <c r="AK1766">
        <v>0</v>
      </c>
      <c r="AL1766">
        <v>0</v>
      </c>
      <c r="AM1766">
        <v>0</v>
      </c>
      <c r="AN1766">
        <v>0</v>
      </c>
      <c r="AO1766">
        <v>0</v>
      </c>
      <c r="AP1766" s="2">
        <v>42746</v>
      </c>
      <c r="AQ1766" t="s">
        <v>72</v>
      </c>
      <c r="AR1766" t="s">
        <v>72</v>
      </c>
      <c r="AS1766">
        <v>1607</v>
      </c>
      <c r="AT1766" s="4">
        <v>42530</v>
      </c>
      <c r="AU1766" t="s">
        <v>73</v>
      </c>
      <c r="AV1766">
        <v>1607</v>
      </c>
      <c r="AW1766" s="4">
        <v>42530</v>
      </c>
      <c r="BD1766">
        <v>0</v>
      </c>
      <c r="BN1766" t="s">
        <v>74</v>
      </c>
    </row>
    <row r="1767" spans="1:66" hidden="1">
      <c r="A1767">
        <v>100630</v>
      </c>
      <c r="B1767" s="3" t="s">
        <v>211</v>
      </c>
      <c r="C1767" s="1">
        <v>43300101</v>
      </c>
      <c r="D1767" t="s">
        <v>67</v>
      </c>
      <c r="H1767" t="str">
        <f t="shared" si="177"/>
        <v>05688870483</v>
      </c>
      <c r="I1767" t="str">
        <f t="shared" si="177"/>
        <v>05688870483</v>
      </c>
      <c r="K1767" t="str">
        <f>""</f>
        <v/>
      </c>
      <c r="M1767" t="s">
        <v>68</v>
      </c>
      <c r="N1767" t="str">
        <f t="shared" si="178"/>
        <v>FOR</v>
      </c>
      <c r="O1767" t="s">
        <v>69</v>
      </c>
      <c r="P1767" s="3" t="s">
        <v>78</v>
      </c>
      <c r="Q1767">
        <v>2014</v>
      </c>
      <c r="R1767" s="2">
        <v>41830</v>
      </c>
      <c r="S1767" s="2">
        <v>41844</v>
      </c>
      <c r="T1767" s="2">
        <v>41844</v>
      </c>
      <c r="U1767" s="2">
        <v>41934</v>
      </c>
      <c r="V1767" t="s">
        <v>71</v>
      </c>
      <c r="W1767" t="str">
        <f>"              514925"</f>
        <v xml:space="preserve">              514925</v>
      </c>
      <c r="X1767" s="1">
        <v>3245.2</v>
      </c>
      <c r="Y1767">
        <v>0</v>
      </c>
      <c r="Z1767"/>
      <c r="AB1767"/>
      <c r="AC1767" s="1">
        <v>3245.2</v>
      </c>
      <c r="AD1767">
        <v>596</v>
      </c>
      <c r="AE1767" s="1">
        <v>1934139.2</v>
      </c>
      <c r="AF1767">
        <v>0</v>
      </c>
      <c r="AJ1767">
        <v>0</v>
      </c>
      <c r="AK1767">
        <v>0</v>
      </c>
      <c r="AL1767">
        <v>0</v>
      </c>
      <c r="AM1767">
        <v>0</v>
      </c>
      <c r="AN1767">
        <v>0</v>
      </c>
      <c r="AO1767">
        <v>0</v>
      </c>
      <c r="AP1767" s="2">
        <v>42746</v>
      </c>
      <c r="AQ1767" t="s">
        <v>72</v>
      </c>
      <c r="AR1767" t="s">
        <v>72</v>
      </c>
      <c r="AS1767">
        <v>1607</v>
      </c>
      <c r="AT1767" s="4">
        <v>42530</v>
      </c>
      <c r="AU1767" t="s">
        <v>73</v>
      </c>
      <c r="AV1767">
        <v>1607</v>
      </c>
      <c r="AW1767" s="4">
        <v>42530</v>
      </c>
      <c r="BD1767">
        <v>0</v>
      </c>
      <c r="BN1767" t="s">
        <v>74</v>
      </c>
    </row>
    <row r="1768" spans="1:66" hidden="1">
      <c r="A1768">
        <v>100630</v>
      </c>
      <c r="B1768" s="3" t="s">
        <v>211</v>
      </c>
      <c r="C1768" s="1">
        <v>43300101</v>
      </c>
      <c r="D1768" t="s">
        <v>67</v>
      </c>
      <c r="H1768" t="str">
        <f t="shared" si="177"/>
        <v>05688870483</v>
      </c>
      <c r="I1768" t="str">
        <f t="shared" si="177"/>
        <v>05688870483</v>
      </c>
      <c r="K1768" t="str">
        <f>""</f>
        <v/>
      </c>
      <c r="M1768" t="s">
        <v>68</v>
      </c>
      <c r="N1768" t="str">
        <f t="shared" si="178"/>
        <v>FOR</v>
      </c>
      <c r="O1768" t="s">
        <v>69</v>
      </c>
      <c r="P1768" s="3" t="s">
        <v>78</v>
      </c>
      <c r="Q1768">
        <v>2014</v>
      </c>
      <c r="R1768" s="2">
        <v>41835</v>
      </c>
      <c r="S1768" s="2">
        <v>41849</v>
      </c>
      <c r="T1768" s="2">
        <v>41849</v>
      </c>
      <c r="U1768" s="2">
        <v>41939</v>
      </c>
      <c r="V1768" t="s">
        <v>71</v>
      </c>
      <c r="W1768" t="str">
        <f>"              515152"</f>
        <v xml:space="preserve">              515152</v>
      </c>
      <c r="X1768" s="1">
        <v>7405.89</v>
      </c>
      <c r="Y1768">
        <v>0</v>
      </c>
      <c r="Z1768"/>
      <c r="AB1768"/>
      <c r="AC1768" s="1">
        <v>7405.89</v>
      </c>
      <c r="AD1768">
        <v>591</v>
      </c>
      <c r="AE1768" s="1">
        <v>4376880.99</v>
      </c>
      <c r="AF1768">
        <v>0</v>
      </c>
      <c r="AJ1768">
        <v>0</v>
      </c>
      <c r="AK1768">
        <v>0</v>
      </c>
      <c r="AL1768">
        <v>0</v>
      </c>
      <c r="AM1768">
        <v>0</v>
      </c>
      <c r="AN1768">
        <v>0</v>
      </c>
      <c r="AO1768">
        <v>0</v>
      </c>
      <c r="AP1768" s="2">
        <v>42746</v>
      </c>
      <c r="AQ1768" t="s">
        <v>72</v>
      </c>
      <c r="AR1768" t="s">
        <v>72</v>
      </c>
      <c r="AS1768">
        <v>1607</v>
      </c>
      <c r="AT1768" s="4">
        <v>42530</v>
      </c>
      <c r="AU1768" t="s">
        <v>73</v>
      </c>
      <c r="AV1768">
        <v>1607</v>
      </c>
      <c r="AW1768" s="4">
        <v>42530</v>
      </c>
      <c r="BD1768">
        <v>0</v>
      </c>
      <c r="BN1768" t="s">
        <v>74</v>
      </c>
    </row>
    <row r="1769" spans="1:66" hidden="1">
      <c r="A1769">
        <v>100630</v>
      </c>
      <c r="B1769" s="3" t="s">
        <v>211</v>
      </c>
      <c r="C1769" s="1">
        <v>43300101</v>
      </c>
      <c r="D1769" t="s">
        <v>67</v>
      </c>
      <c r="H1769" t="str">
        <f t="shared" si="177"/>
        <v>05688870483</v>
      </c>
      <c r="I1769" t="str">
        <f t="shared" si="177"/>
        <v>05688870483</v>
      </c>
      <c r="K1769" t="str">
        <f>""</f>
        <v/>
      </c>
      <c r="M1769" t="s">
        <v>68</v>
      </c>
      <c r="N1769" t="str">
        <f t="shared" si="178"/>
        <v>FOR</v>
      </c>
      <c r="O1769" t="s">
        <v>69</v>
      </c>
      <c r="P1769" s="3" t="s">
        <v>78</v>
      </c>
      <c r="Q1769">
        <v>2014</v>
      </c>
      <c r="R1769" s="2">
        <v>41880</v>
      </c>
      <c r="S1769" s="2">
        <v>41892</v>
      </c>
      <c r="T1769" s="2">
        <v>41892</v>
      </c>
      <c r="U1769" s="2">
        <v>41982</v>
      </c>
      <c r="V1769" t="s">
        <v>71</v>
      </c>
      <c r="W1769" t="str">
        <f>"              517705"</f>
        <v xml:space="preserve">              517705</v>
      </c>
      <c r="X1769" s="1">
        <v>1374.9</v>
      </c>
      <c r="Y1769">
        <v>0</v>
      </c>
      <c r="Z1769"/>
      <c r="AB1769"/>
      <c r="AC1769" s="1">
        <v>1374.9</v>
      </c>
      <c r="AD1769">
        <v>548</v>
      </c>
      <c r="AE1769" s="1">
        <v>753445.2</v>
      </c>
      <c r="AF1769">
        <v>0</v>
      </c>
      <c r="AJ1769">
        <v>0</v>
      </c>
      <c r="AK1769">
        <v>0</v>
      </c>
      <c r="AL1769">
        <v>0</v>
      </c>
      <c r="AM1769">
        <v>0</v>
      </c>
      <c r="AN1769">
        <v>0</v>
      </c>
      <c r="AO1769">
        <v>0</v>
      </c>
      <c r="AP1769" s="2">
        <v>42746</v>
      </c>
      <c r="AQ1769" t="s">
        <v>72</v>
      </c>
      <c r="AR1769" t="s">
        <v>72</v>
      </c>
      <c r="AS1769">
        <v>1607</v>
      </c>
      <c r="AT1769" s="4">
        <v>42530</v>
      </c>
      <c r="AU1769" t="s">
        <v>73</v>
      </c>
      <c r="AV1769">
        <v>1607</v>
      </c>
      <c r="AW1769" s="4">
        <v>42530</v>
      </c>
      <c r="BD1769">
        <v>0</v>
      </c>
      <c r="BN1769" t="s">
        <v>74</v>
      </c>
    </row>
    <row r="1770" spans="1:66" hidden="1">
      <c r="A1770">
        <v>100630</v>
      </c>
      <c r="B1770" s="3" t="s">
        <v>211</v>
      </c>
      <c r="C1770" s="1">
        <v>43300101</v>
      </c>
      <c r="D1770" t="s">
        <v>67</v>
      </c>
      <c r="H1770" t="str">
        <f t="shared" si="177"/>
        <v>05688870483</v>
      </c>
      <c r="I1770" t="str">
        <f t="shared" si="177"/>
        <v>05688870483</v>
      </c>
      <c r="K1770" t="str">
        <f>""</f>
        <v/>
      </c>
      <c r="M1770" t="s">
        <v>68</v>
      </c>
      <c r="N1770" t="str">
        <f t="shared" si="178"/>
        <v>FOR</v>
      </c>
      <c r="O1770" t="s">
        <v>69</v>
      </c>
      <c r="P1770" s="3" t="s">
        <v>78</v>
      </c>
      <c r="Q1770">
        <v>2014</v>
      </c>
      <c r="R1770" s="2">
        <v>41880</v>
      </c>
      <c r="S1770" s="2">
        <v>41892</v>
      </c>
      <c r="T1770" s="2">
        <v>41892</v>
      </c>
      <c r="U1770" s="2">
        <v>41982</v>
      </c>
      <c r="V1770" t="s">
        <v>71</v>
      </c>
      <c r="W1770" t="str">
        <f>"              517706"</f>
        <v xml:space="preserve">              517706</v>
      </c>
      <c r="X1770" s="1">
        <v>2844.22</v>
      </c>
      <c r="Y1770">
        <v>0</v>
      </c>
      <c r="Z1770"/>
      <c r="AB1770"/>
      <c r="AC1770" s="1">
        <v>2844.22</v>
      </c>
      <c r="AD1770">
        <v>548</v>
      </c>
      <c r="AE1770" s="1">
        <v>1558632.56</v>
      </c>
      <c r="AF1770">
        <v>0</v>
      </c>
      <c r="AJ1770">
        <v>0</v>
      </c>
      <c r="AK1770">
        <v>0</v>
      </c>
      <c r="AL1770">
        <v>0</v>
      </c>
      <c r="AM1770">
        <v>0</v>
      </c>
      <c r="AN1770">
        <v>0</v>
      </c>
      <c r="AO1770">
        <v>0</v>
      </c>
      <c r="AP1770" s="2">
        <v>42746</v>
      </c>
      <c r="AQ1770" t="s">
        <v>72</v>
      </c>
      <c r="AR1770" t="s">
        <v>72</v>
      </c>
      <c r="AS1770">
        <v>1607</v>
      </c>
      <c r="AT1770" s="4">
        <v>42530</v>
      </c>
      <c r="AU1770" t="s">
        <v>73</v>
      </c>
      <c r="AV1770">
        <v>1607</v>
      </c>
      <c r="AW1770" s="4">
        <v>42530</v>
      </c>
      <c r="BD1770">
        <v>0</v>
      </c>
      <c r="BN1770" t="s">
        <v>74</v>
      </c>
    </row>
    <row r="1771" spans="1:66" hidden="1">
      <c r="A1771">
        <v>100630</v>
      </c>
      <c r="B1771" s="3" t="s">
        <v>211</v>
      </c>
      <c r="C1771" s="1">
        <v>43300101</v>
      </c>
      <c r="D1771" t="s">
        <v>67</v>
      </c>
      <c r="H1771" t="str">
        <f t="shared" si="177"/>
        <v>05688870483</v>
      </c>
      <c r="I1771" t="str">
        <f t="shared" si="177"/>
        <v>05688870483</v>
      </c>
      <c r="K1771" t="str">
        <f>""</f>
        <v/>
      </c>
      <c r="M1771" t="s">
        <v>68</v>
      </c>
      <c r="N1771" t="str">
        <f t="shared" si="178"/>
        <v>FOR</v>
      </c>
      <c r="O1771" t="s">
        <v>69</v>
      </c>
      <c r="P1771" s="3" t="s">
        <v>78</v>
      </c>
      <c r="Q1771">
        <v>2014</v>
      </c>
      <c r="R1771" s="2">
        <v>41906</v>
      </c>
      <c r="S1771" s="2">
        <v>41921</v>
      </c>
      <c r="T1771" s="2">
        <v>41921</v>
      </c>
      <c r="U1771" s="2">
        <v>42011</v>
      </c>
      <c r="V1771" t="s">
        <v>71</v>
      </c>
      <c r="W1771" t="str">
        <f>"              519129"</f>
        <v xml:space="preserve">              519129</v>
      </c>
      <c r="X1771" s="1">
        <v>2433.9</v>
      </c>
      <c r="Y1771">
        <v>0</v>
      </c>
      <c r="Z1771"/>
      <c r="AB1771"/>
      <c r="AC1771" s="1">
        <v>2433.9</v>
      </c>
      <c r="AD1771">
        <v>519</v>
      </c>
      <c r="AE1771" s="1">
        <v>1263194.1000000001</v>
      </c>
      <c r="AF1771">
        <v>0</v>
      </c>
      <c r="AJ1771">
        <v>0</v>
      </c>
      <c r="AK1771">
        <v>0</v>
      </c>
      <c r="AL1771">
        <v>0</v>
      </c>
      <c r="AM1771">
        <v>0</v>
      </c>
      <c r="AN1771">
        <v>0</v>
      </c>
      <c r="AO1771">
        <v>0</v>
      </c>
      <c r="AP1771" s="2">
        <v>42746</v>
      </c>
      <c r="AQ1771" t="s">
        <v>72</v>
      </c>
      <c r="AR1771" t="s">
        <v>72</v>
      </c>
      <c r="AS1771">
        <v>1607</v>
      </c>
      <c r="AT1771" s="4">
        <v>42530</v>
      </c>
      <c r="AU1771" t="s">
        <v>73</v>
      </c>
      <c r="AV1771">
        <v>1607</v>
      </c>
      <c r="AW1771" s="4">
        <v>42530</v>
      </c>
      <c r="BD1771">
        <v>0</v>
      </c>
      <c r="BN1771" t="s">
        <v>74</v>
      </c>
    </row>
    <row r="1772" spans="1:66" hidden="1">
      <c r="A1772">
        <v>100630</v>
      </c>
      <c r="B1772" s="3" t="s">
        <v>211</v>
      </c>
      <c r="C1772" s="1">
        <v>43300101</v>
      </c>
      <c r="D1772" t="s">
        <v>67</v>
      </c>
      <c r="H1772" t="str">
        <f t="shared" si="177"/>
        <v>05688870483</v>
      </c>
      <c r="I1772" t="str">
        <f t="shared" si="177"/>
        <v>05688870483</v>
      </c>
      <c r="K1772" t="str">
        <f>""</f>
        <v/>
      </c>
      <c r="M1772" t="s">
        <v>68</v>
      </c>
      <c r="N1772" t="str">
        <f t="shared" si="178"/>
        <v>FOR</v>
      </c>
      <c r="O1772" t="s">
        <v>69</v>
      </c>
      <c r="P1772" s="3" t="s">
        <v>78</v>
      </c>
      <c r="Q1772">
        <v>2014</v>
      </c>
      <c r="R1772" s="2">
        <v>41907</v>
      </c>
      <c r="S1772" s="2">
        <v>41920</v>
      </c>
      <c r="T1772" s="2">
        <v>41920</v>
      </c>
      <c r="U1772" s="2">
        <v>42010</v>
      </c>
      <c r="V1772" t="s">
        <v>71</v>
      </c>
      <c r="W1772" t="str">
        <f>"              519241"</f>
        <v xml:space="preserve">              519241</v>
      </c>
      <c r="X1772" s="1">
        <v>1374.9</v>
      </c>
      <c r="Y1772">
        <v>0</v>
      </c>
      <c r="Z1772"/>
      <c r="AB1772"/>
      <c r="AC1772" s="1">
        <v>1374.9</v>
      </c>
      <c r="AD1772">
        <v>520</v>
      </c>
      <c r="AE1772" s="1">
        <v>714948</v>
      </c>
      <c r="AF1772">
        <v>0</v>
      </c>
      <c r="AJ1772">
        <v>0</v>
      </c>
      <c r="AK1772">
        <v>0</v>
      </c>
      <c r="AL1772">
        <v>0</v>
      </c>
      <c r="AM1772">
        <v>0</v>
      </c>
      <c r="AN1772">
        <v>0</v>
      </c>
      <c r="AO1772">
        <v>0</v>
      </c>
      <c r="AP1772" s="2">
        <v>42746</v>
      </c>
      <c r="AQ1772" t="s">
        <v>72</v>
      </c>
      <c r="AR1772" t="s">
        <v>72</v>
      </c>
      <c r="AS1772">
        <v>1607</v>
      </c>
      <c r="AT1772" s="4">
        <v>42530</v>
      </c>
      <c r="AU1772" t="s">
        <v>73</v>
      </c>
      <c r="AV1772">
        <v>1607</v>
      </c>
      <c r="AW1772" s="4">
        <v>42530</v>
      </c>
      <c r="BD1772">
        <v>0</v>
      </c>
      <c r="BN1772" t="s">
        <v>74</v>
      </c>
    </row>
    <row r="1773" spans="1:66" hidden="1">
      <c r="A1773">
        <v>100630</v>
      </c>
      <c r="B1773" s="3" t="s">
        <v>211</v>
      </c>
      <c r="C1773" s="1">
        <v>43300101</v>
      </c>
      <c r="D1773" t="s">
        <v>67</v>
      </c>
      <c r="H1773" t="str">
        <f t="shared" si="177"/>
        <v>05688870483</v>
      </c>
      <c r="I1773" t="str">
        <f t="shared" si="177"/>
        <v>05688870483</v>
      </c>
      <c r="K1773" t="str">
        <f>""</f>
        <v/>
      </c>
      <c r="M1773" t="s">
        <v>68</v>
      </c>
      <c r="N1773" t="str">
        <f t="shared" si="178"/>
        <v>FOR</v>
      </c>
      <c r="O1773" t="s">
        <v>69</v>
      </c>
      <c r="P1773" s="3" t="s">
        <v>78</v>
      </c>
      <c r="Q1773">
        <v>2014</v>
      </c>
      <c r="R1773" s="2">
        <v>41907</v>
      </c>
      <c r="S1773" s="2">
        <v>41920</v>
      </c>
      <c r="T1773" s="2">
        <v>41920</v>
      </c>
      <c r="U1773" s="2">
        <v>42010</v>
      </c>
      <c r="V1773" t="s">
        <v>71</v>
      </c>
      <c r="W1773" t="str">
        <f>"              519242"</f>
        <v xml:space="preserve">              519242</v>
      </c>
      <c r="X1773" s="1">
        <v>2844.22</v>
      </c>
      <c r="Y1773">
        <v>0</v>
      </c>
      <c r="Z1773"/>
      <c r="AB1773"/>
      <c r="AC1773" s="1">
        <v>2844.22</v>
      </c>
      <c r="AD1773">
        <v>520</v>
      </c>
      <c r="AE1773" s="1">
        <v>1478994.4</v>
      </c>
      <c r="AF1773">
        <v>0</v>
      </c>
      <c r="AJ1773">
        <v>0</v>
      </c>
      <c r="AK1773">
        <v>0</v>
      </c>
      <c r="AL1773">
        <v>0</v>
      </c>
      <c r="AM1773">
        <v>0</v>
      </c>
      <c r="AN1773">
        <v>0</v>
      </c>
      <c r="AO1773">
        <v>0</v>
      </c>
      <c r="AP1773" s="2">
        <v>42746</v>
      </c>
      <c r="AQ1773" t="s">
        <v>72</v>
      </c>
      <c r="AR1773" t="s">
        <v>72</v>
      </c>
      <c r="AS1773">
        <v>1607</v>
      </c>
      <c r="AT1773" s="4">
        <v>42530</v>
      </c>
      <c r="AU1773" t="s">
        <v>73</v>
      </c>
      <c r="AV1773">
        <v>1607</v>
      </c>
      <c r="AW1773" s="4">
        <v>42530</v>
      </c>
      <c r="BD1773">
        <v>0</v>
      </c>
      <c r="BN1773" t="s">
        <v>74</v>
      </c>
    </row>
    <row r="1774" spans="1:66" hidden="1">
      <c r="A1774">
        <v>100630</v>
      </c>
      <c r="B1774" s="3" t="s">
        <v>211</v>
      </c>
      <c r="C1774" s="1">
        <v>43300101</v>
      </c>
      <c r="D1774" t="s">
        <v>67</v>
      </c>
      <c r="H1774" t="str">
        <f t="shared" si="177"/>
        <v>05688870483</v>
      </c>
      <c r="I1774" t="str">
        <f t="shared" si="177"/>
        <v>05688870483</v>
      </c>
      <c r="K1774" t="str">
        <f>""</f>
        <v/>
      </c>
      <c r="M1774" t="s">
        <v>68</v>
      </c>
      <c r="N1774" t="str">
        <f t="shared" si="178"/>
        <v>FOR</v>
      </c>
      <c r="O1774" t="s">
        <v>69</v>
      </c>
      <c r="P1774" s="3" t="s">
        <v>70</v>
      </c>
      <c r="Q1774">
        <v>2015</v>
      </c>
      <c r="R1774" s="2">
        <v>42044</v>
      </c>
      <c r="S1774" s="2">
        <v>42054</v>
      </c>
      <c r="T1774" s="2">
        <v>42054</v>
      </c>
      <c r="U1774" s="2">
        <v>42114</v>
      </c>
      <c r="V1774" t="s">
        <v>71</v>
      </c>
      <c r="W1774" t="str">
        <f>"              502287"</f>
        <v xml:space="preserve">              502287</v>
      </c>
      <c r="X1774" s="1">
        <v>8622.9</v>
      </c>
      <c r="Y1774">
        <v>0</v>
      </c>
      <c r="Z1774"/>
      <c r="AB1774"/>
      <c r="AC1774" s="1">
        <v>7067.95</v>
      </c>
      <c r="AD1774">
        <v>290</v>
      </c>
      <c r="AE1774" s="1">
        <v>2049705.5</v>
      </c>
      <c r="AF1774">
        <v>0</v>
      </c>
      <c r="AJ1774">
        <v>0</v>
      </c>
      <c r="AK1774">
        <v>0</v>
      </c>
      <c r="AL1774">
        <v>0</v>
      </c>
      <c r="AM1774">
        <v>0</v>
      </c>
      <c r="AN1774">
        <v>0</v>
      </c>
      <c r="AO1774">
        <v>0</v>
      </c>
      <c r="AP1774" s="2">
        <v>42746</v>
      </c>
      <c r="AQ1774" t="s">
        <v>72</v>
      </c>
      <c r="AR1774" t="s">
        <v>72</v>
      </c>
      <c r="AS1774">
        <v>244</v>
      </c>
      <c r="AT1774" s="4">
        <v>42404</v>
      </c>
      <c r="AU1774" t="s">
        <v>73</v>
      </c>
      <c r="AV1774">
        <v>244</v>
      </c>
      <c r="AW1774" s="4">
        <v>42404</v>
      </c>
      <c r="BD1774">
        <v>0</v>
      </c>
      <c r="BN1774" t="s">
        <v>74</v>
      </c>
    </row>
    <row r="1775" spans="1:66" hidden="1">
      <c r="A1775">
        <v>100630</v>
      </c>
      <c r="B1775" s="3" t="s">
        <v>211</v>
      </c>
      <c r="C1775" s="1">
        <v>43300101</v>
      </c>
      <c r="D1775" t="s">
        <v>67</v>
      </c>
      <c r="H1775" t="str">
        <f t="shared" si="177"/>
        <v>05688870483</v>
      </c>
      <c r="I1775" t="str">
        <f t="shared" si="177"/>
        <v>05688870483</v>
      </c>
      <c r="K1775" t="str">
        <f>""</f>
        <v/>
      </c>
      <c r="M1775" t="s">
        <v>68</v>
      </c>
      <c r="N1775" t="str">
        <f t="shared" si="178"/>
        <v>FOR</v>
      </c>
      <c r="O1775" t="s">
        <v>69</v>
      </c>
      <c r="P1775" s="3" t="s">
        <v>70</v>
      </c>
      <c r="Q1775">
        <v>2015</v>
      </c>
      <c r="R1775" s="2">
        <v>42062</v>
      </c>
      <c r="S1775" s="2">
        <v>42073</v>
      </c>
      <c r="T1775" s="2">
        <v>42073</v>
      </c>
      <c r="U1775" s="2">
        <v>42133</v>
      </c>
      <c r="V1775" t="s">
        <v>71</v>
      </c>
      <c r="W1775" t="str">
        <f>"              503589"</f>
        <v xml:space="preserve">              503589</v>
      </c>
      <c r="X1775">
        <v>503.13</v>
      </c>
      <c r="Y1775">
        <v>0</v>
      </c>
      <c r="Z1775"/>
      <c r="AB1775"/>
      <c r="AC1775">
        <v>412.4</v>
      </c>
      <c r="AD1775">
        <v>271</v>
      </c>
      <c r="AE1775" s="1">
        <v>111760.4</v>
      </c>
      <c r="AF1775">
        <v>0</v>
      </c>
      <c r="AJ1775">
        <v>0</v>
      </c>
      <c r="AK1775">
        <v>0</v>
      </c>
      <c r="AL1775">
        <v>0</v>
      </c>
      <c r="AM1775">
        <v>0</v>
      </c>
      <c r="AN1775">
        <v>0</v>
      </c>
      <c r="AO1775">
        <v>0</v>
      </c>
      <c r="AP1775" s="2">
        <v>42746</v>
      </c>
      <c r="AQ1775" t="s">
        <v>72</v>
      </c>
      <c r="AR1775" t="s">
        <v>72</v>
      </c>
      <c r="AS1775">
        <v>244</v>
      </c>
      <c r="AT1775" s="4">
        <v>42404</v>
      </c>
      <c r="AU1775" t="s">
        <v>73</v>
      </c>
      <c r="AV1775">
        <v>244</v>
      </c>
      <c r="AW1775" s="4">
        <v>42404</v>
      </c>
      <c r="BD1775">
        <v>0</v>
      </c>
      <c r="BN1775" t="s">
        <v>74</v>
      </c>
    </row>
    <row r="1776" spans="1:66" hidden="1">
      <c r="A1776">
        <v>100630</v>
      </c>
      <c r="B1776" s="3" t="s">
        <v>211</v>
      </c>
      <c r="C1776" s="1">
        <v>43300101</v>
      </c>
      <c r="D1776" t="s">
        <v>67</v>
      </c>
      <c r="H1776" t="str">
        <f t="shared" si="177"/>
        <v>05688870483</v>
      </c>
      <c r="I1776" t="str">
        <f t="shared" si="177"/>
        <v>05688870483</v>
      </c>
      <c r="K1776" t="str">
        <f>""</f>
        <v/>
      </c>
      <c r="M1776" t="s">
        <v>68</v>
      </c>
      <c r="N1776" t="str">
        <f t="shared" si="178"/>
        <v>FOR</v>
      </c>
      <c r="O1776" t="s">
        <v>69</v>
      </c>
      <c r="P1776" s="3" t="s">
        <v>70</v>
      </c>
      <c r="Q1776">
        <v>2015</v>
      </c>
      <c r="R1776" s="2">
        <v>42073</v>
      </c>
      <c r="S1776" s="2">
        <v>42087</v>
      </c>
      <c r="T1776" s="2">
        <v>42087</v>
      </c>
      <c r="U1776" s="2">
        <v>42147</v>
      </c>
      <c r="V1776" t="s">
        <v>71</v>
      </c>
      <c r="W1776" t="str">
        <f>"              504422"</f>
        <v xml:space="preserve">              504422</v>
      </c>
      <c r="X1776" s="1">
        <v>2920.68</v>
      </c>
      <c r="Y1776">
        <v>0</v>
      </c>
      <c r="Z1776"/>
      <c r="AB1776"/>
      <c r="AC1776" s="1">
        <v>2394</v>
      </c>
      <c r="AD1776">
        <v>269</v>
      </c>
      <c r="AE1776" s="1">
        <v>643986</v>
      </c>
      <c r="AF1776">
        <v>0</v>
      </c>
      <c r="AJ1776">
        <v>0</v>
      </c>
      <c r="AK1776">
        <v>0</v>
      </c>
      <c r="AL1776">
        <v>0</v>
      </c>
      <c r="AM1776">
        <v>0</v>
      </c>
      <c r="AN1776">
        <v>0</v>
      </c>
      <c r="AO1776">
        <v>0</v>
      </c>
      <c r="AP1776" s="2">
        <v>42746</v>
      </c>
      <c r="AQ1776" t="s">
        <v>72</v>
      </c>
      <c r="AR1776" t="s">
        <v>72</v>
      </c>
      <c r="AS1776">
        <v>411</v>
      </c>
      <c r="AT1776" s="4">
        <v>42416</v>
      </c>
      <c r="AU1776" t="s">
        <v>73</v>
      </c>
      <c r="AV1776">
        <v>411</v>
      </c>
      <c r="AW1776" s="4">
        <v>42416</v>
      </c>
      <c r="BD1776">
        <v>0</v>
      </c>
      <c r="BN1776" t="s">
        <v>74</v>
      </c>
    </row>
    <row r="1777" spans="1:66" hidden="1">
      <c r="A1777">
        <v>100630</v>
      </c>
      <c r="B1777" s="3" t="s">
        <v>211</v>
      </c>
      <c r="C1777" s="1">
        <v>43300101</v>
      </c>
      <c r="D1777" t="s">
        <v>67</v>
      </c>
      <c r="H1777" t="str">
        <f t="shared" si="177"/>
        <v>05688870483</v>
      </c>
      <c r="I1777" t="str">
        <f t="shared" si="177"/>
        <v>05688870483</v>
      </c>
      <c r="K1777" t="str">
        <f>""</f>
        <v/>
      </c>
      <c r="M1777" t="s">
        <v>68</v>
      </c>
      <c r="N1777" t="str">
        <f t="shared" si="178"/>
        <v>FOR</v>
      </c>
      <c r="O1777" t="s">
        <v>69</v>
      </c>
      <c r="P1777" s="3" t="s">
        <v>70</v>
      </c>
      <c r="Q1777">
        <v>2015</v>
      </c>
      <c r="R1777" s="2">
        <v>42074</v>
      </c>
      <c r="S1777" s="2">
        <v>42087</v>
      </c>
      <c r="T1777" s="2">
        <v>42087</v>
      </c>
      <c r="U1777" s="2">
        <v>42147</v>
      </c>
      <c r="V1777" t="s">
        <v>71</v>
      </c>
      <c r="W1777" t="str">
        <f>"              504485"</f>
        <v xml:space="preserve">              504485</v>
      </c>
      <c r="X1777" s="1">
        <v>4584.2700000000004</v>
      </c>
      <c r="Y1777">
        <v>0</v>
      </c>
      <c r="Z1777"/>
      <c r="AB1777"/>
      <c r="AC1777" s="1">
        <v>3757.6</v>
      </c>
      <c r="AD1777">
        <v>269</v>
      </c>
      <c r="AE1777" s="1">
        <v>1010794.4</v>
      </c>
      <c r="AF1777">
        <v>0</v>
      </c>
      <c r="AJ1777">
        <v>0</v>
      </c>
      <c r="AK1777">
        <v>0</v>
      </c>
      <c r="AL1777">
        <v>0</v>
      </c>
      <c r="AM1777">
        <v>0</v>
      </c>
      <c r="AN1777">
        <v>0</v>
      </c>
      <c r="AO1777">
        <v>0</v>
      </c>
      <c r="AP1777" s="2">
        <v>42746</v>
      </c>
      <c r="AQ1777" t="s">
        <v>72</v>
      </c>
      <c r="AR1777" t="s">
        <v>72</v>
      </c>
      <c r="AS1777">
        <v>411</v>
      </c>
      <c r="AT1777" s="4">
        <v>42416</v>
      </c>
      <c r="AU1777" t="s">
        <v>73</v>
      </c>
      <c r="AV1777">
        <v>411</v>
      </c>
      <c r="AW1777" s="4">
        <v>42416</v>
      </c>
      <c r="BD1777">
        <v>0</v>
      </c>
      <c r="BN1777" t="s">
        <v>74</v>
      </c>
    </row>
    <row r="1778" spans="1:66" hidden="1">
      <c r="A1778">
        <v>100630</v>
      </c>
      <c r="B1778" s="3" t="s">
        <v>211</v>
      </c>
      <c r="C1778" s="1">
        <v>43300101</v>
      </c>
      <c r="D1778" t="s">
        <v>67</v>
      </c>
      <c r="H1778" t="str">
        <f t="shared" si="177"/>
        <v>05688870483</v>
      </c>
      <c r="I1778" t="str">
        <f t="shared" si="177"/>
        <v>05688870483</v>
      </c>
      <c r="K1778" t="str">
        <f>""</f>
        <v/>
      </c>
      <c r="M1778" t="s">
        <v>68</v>
      </c>
      <c r="N1778" t="str">
        <f t="shared" si="178"/>
        <v>FOR</v>
      </c>
      <c r="O1778" t="s">
        <v>69</v>
      </c>
      <c r="P1778" s="3" t="s">
        <v>70</v>
      </c>
      <c r="Q1778">
        <v>2015</v>
      </c>
      <c r="R1778" s="2">
        <v>42088</v>
      </c>
      <c r="S1778" s="2">
        <v>42096</v>
      </c>
      <c r="T1778" s="2">
        <v>42096</v>
      </c>
      <c r="U1778" s="2">
        <v>42156</v>
      </c>
      <c r="V1778" t="s">
        <v>71</v>
      </c>
      <c r="W1778" t="str">
        <f>"              505771"</f>
        <v xml:space="preserve">              505771</v>
      </c>
      <c r="X1778" s="1">
        <v>1374.9</v>
      </c>
      <c r="Y1778">
        <v>0</v>
      </c>
      <c r="Z1778"/>
      <c r="AB1778"/>
      <c r="AC1778" s="1">
        <v>1126.97</v>
      </c>
      <c r="AD1778">
        <v>260</v>
      </c>
      <c r="AE1778" s="1">
        <v>293012.2</v>
      </c>
      <c r="AF1778">
        <v>0</v>
      </c>
      <c r="AJ1778">
        <v>0</v>
      </c>
      <c r="AK1778">
        <v>0</v>
      </c>
      <c r="AL1778">
        <v>0</v>
      </c>
      <c r="AM1778">
        <v>0</v>
      </c>
      <c r="AN1778">
        <v>0</v>
      </c>
      <c r="AO1778">
        <v>0</v>
      </c>
      <c r="AP1778" s="2">
        <v>42746</v>
      </c>
      <c r="AQ1778" t="s">
        <v>72</v>
      </c>
      <c r="AR1778" t="s">
        <v>72</v>
      </c>
      <c r="AS1778">
        <v>411</v>
      </c>
      <c r="AT1778" s="4">
        <v>42416</v>
      </c>
      <c r="AU1778" t="s">
        <v>73</v>
      </c>
      <c r="AV1778">
        <v>411</v>
      </c>
      <c r="AW1778" s="4">
        <v>42416</v>
      </c>
      <c r="BD1778">
        <v>0</v>
      </c>
      <c r="BN1778" t="s">
        <v>74</v>
      </c>
    </row>
    <row r="1779" spans="1:66" hidden="1">
      <c r="A1779">
        <v>100630</v>
      </c>
      <c r="B1779" s="3" t="s">
        <v>211</v>
      </c>
      <c r="C1779" s="1">
        <v>43300101</v>
      </c>
      <c r="D1779" t="s">
        <v>67</v>
      </c>
      <c r="H1779" t="str">
        <f t="shared" si="177"/>
        <v>05688870483</v>
      </c>
      <c r="I1779" t="str">
        <f t="shared" si="177"/>
        <v>05688870483</v>
      </c>
      <c r="K1779" t="str">
        <f>""</f>
        <v/>
      </c>
      <c r="M1779" t="s">
        <v>68</v>
      </c>
      <c r="N1779" t="str">
        <f t="shared" si="178"/>
        <v>FOR</v>
      </c>
      <c r="O1779" t="s">
        <v>69</v>
      </c>
      <c r="P1779" s="3" t="s">
        <v>70</v>
      </c>
      <c r="Q1779">
        <v>2015</v>
      </c>
      <c r="R1779" s="2">
        <v>42088</v>
      </c>
      <c r="S1779" s="2">
        <v>42096</v>
      </c>
      <c r="T1779" s="2">
        <v>42096</v>
      </c>
      <c r="U1779" s="2">
        <v>42156</v>
      </c>
      <c r="V1779" t="s">
        <v>71</v>
      </c>
      <c r="W1779" t="str">
        <f>"              505772"</f>
        <v xml:space="preserve">              505772</v>
      </c>
      <c r="X1779" s="1">
        <v>2844.22</v>
      </c>
      <c r="Y1779">
        <v>0</v>
      </c>
      <c r="Z1779"/>
      <c r="AB1779"/>
      <c r="AC1779" s="1">
        <v>2331.33</v>
      </c>
      <c r="AD1779">
        <v>260</v>
      </c>
      <c r="AE1779" s="1">
        <v>606145.80000000005</v>
      </c>
      <c r="AF1779">
        <v>0</v>
      </c>
      <c r="AJ1779">
        <v>0</v>
      </c>
      <c r="AK1779">
        <v>0</v>
      </c>
      <c r="AL1779">
        <v>0</v>
      </c>
      <c r="AM1779">
        <v>0</v>
      </c>
      <c r="AN1779">
        <v>0</v>
      </c>
      <c r="AO1779">
        <v>0</v>
      </c>
      <c r="AP1779" s="2">
        <v>42746</v>
      </c>
      <c r="AQ1779" t="s">
        <v>72</v>
      </c>
      <c r="AR1779" t="s">
        <v>72</v>
      </c>
      <c r="AS1779">
        <v>411</v>
      </c>
      <c r="AT1779" s="4">
        <v>42416</v>
      </c>
      <c r="AU1779" t="s">
        <v>73</v>
      </c>
      <c r="AV1779">
        <v>411</v>
      </c>
      <c r="AW1779" s="4">
        <v>42416</v>
      </c>
      <c r="BD1779">
        <v>0</v>
      </c>
      <c r="BN1779" t="s">
        <v>74</v>
      </c>
    </row>
    <row r="1780" spans="1:66" hidden="1">
      <c r="A1780">
        <v>100630</v>
      </c>
      <c r="B1780" s="3" t="s">
        <v>211</v>
      </c>
      <c r="C1780" s="1">
        <v>43300101</v>
      </c>
      <c r="D1780" t="s">
        <v>67</v>
      </c>
      <c r="H1780" t="str">
        <f t="shared" si="177"/>
        <v>05688870483</v>
      </c>
      <c r="I1780" t="str">
        <f t="shared" si="177"/>
        <v>05688870483</v>
      </c>
      <c r="K1780" t="str">
        <f>""</f>
        <v/>
      </c>
      <c r="M1780" t="s">
        <v>68</v>
      </c>
      <c r="N1780" t="str">
        <f t="shared" si="178"/>
        <v>FOR</v>
      </c>
      <c r="O1780" t="s">
        <v>69</v>
      </c>
      <c r="P1780" s="3" t="s">
        <v>70</v>
      </c>
      <c r="Q1780">
        <v>2015</v>
      </c>
      <c r="R1780" s="2">
        <v>42088</v>
      </c>
      <c r="S1780" s="2">
        <v>42097</v>
      </c>
      <c r="T1780" s="2">
        <v>42097</v>
      </c>
      <c r="U1780" s="2">
        <v>42157</v>
      </c>
      <c r="V1780" t="s">
        <v>71</v>
      </c>
      <c r="W1780" t="str">
        <f>"              505773"</f>
        <v xml:space="preserve">              505773</v>
      </c>
      <c r="X1780">
        <v>680.76</v>
      </c>
      <c r="Y1780">
        <v>0</v>
      </c>
      <c r="Z1780"/>
      <c r="AB1780"/>
      <c r="AC1780">
        <v>558</v>
      </c>
      <c r="AD1780">
        <v>259</v>
      </c>
      <c r="AE1780" s="1">
        <v>144522</v>
      </c>
      <c r="AF1780">
        <v>0</v>
      </c>
      <c r="AJ1780">
        <v>0</v>
      </c>
      <c r="AK1780">
        <v>0</v>
      </c>
      <c r="AL1780">
        <v>0</v>
      </c>
      <c r="AM1780">
        <v>0</v>
      </c>
      <c r="AN1780">
        <v>0</v>
      </c>
      <c r="AO1780">
        <v>0</v>
      </c>
      <c r="AP1780" s="2">
        <v>42746</v>
      </c>
      <c r="AQ1780" t="s">
        <v>72</v>
      </c>
      <c r="AR1780" t="s">
        <v>72</v>
      </c>
      <c r="AS1780">
        <v>411</v>
      </c>
      <c r="AT1780" s="4">
        <v>42416</v>
      </c>
      <c r="AU1780" t="s">
        <v>73</v>
      </c>
      <c r="AV1780">
        <v>411</v>
      </c>
      <c r="AW1780" s="4">
        <v>42416</v>
      </c>
      <c r="BD1780">
        <v>0</v>
      </c>
      <c r="BN1780" t="s">
        <v>74</v>
      </c>
    </row>
    <row r="1781" spans="1:66">
      <c r="A1781">
        <v>100630</v>
      </c>
      <c r="B1781" s="3" t="s">
        <v>211</v>
      </c>
      <c r="C1781" s="1">
        <v>43300101</v>
      </c>
      <c r="D1781" t="s">
        <v>67</v>
      </c>
      <c r="H1781" t="str">
        <f t="shared" si="177"/>
        <v>05688870483</v>
      </c>
      <c r="I1781" t="str">
        <f t="shared" si="177"/>
        <v>05688870483</v>
      </c>
      <c r="K1781" t="str">
        <f>""</f>
        <v/>
      </c>
      <c r="M1781" t="s">
        <v>68</v>
      </c>
      <c r="N1781" t="str">
        <f t="shared" si="178"/>
        <v>FOR</v>
      </c>
      <c r="O1781" t="s">
        <v>69</v>
      </c>
      <c r="P1781" s="3" t="s">
        <v>75</v>
      </c>
      <c r="Q1781">
        <v>2015</v>
      </c>
      <c r="R1781" s="2">
        <v>42124</v>
      </c>
      <c r="S1781" s="2">
        <v>42131</v>
      </c>
      <c r="T1781" s="2">
        <v>42130</v>
      </c>
      <c r="U1781" s="2">
        <v>42190</v>
      </c>
      <c r="V1781" t="s">
        <v>71</v>
      </c>
      <c r="W1781" t="str">
        <f>"              900940"</f>
        <v xml:space="preserve">              900940</v>
      </c>
      <c r="X1781" s="1">
        <v>1374.9</v>
      </c>
      <c r="Y1781">
        <v>0</v>
      </c>
      <c r="Z1781" s="5">
        <v>1126.97</v>
      </c>
      <c r="AA1781">
        <v>502</v>
      </c>
      <c r="AB1781" s="5">
        <v>565738.93999999994</v>
      </c>
      <c r="AC1781" s="1">
        <v>1126.97</v>
      </c>
      <c r="AD1781">
        <v>502</v>
      </c>
      <c r="AE1781" s="1">
        <v>565738.93999999994</v>
      </c>
      <c r="AF1781">
        <v>0</v>
      </c>
      <c r="AJ1781">
        <v>0</v>
      </c>
      <c r="AK1781">
        <v>0</v>
      </c>
      <c r="AL1781">
        <v>0</v>
      </c>
      <c r="AM1781">
        <v>0</v>
      </c>
      <c r="AN1781">
        <v>0</v>
      </c>
      <c r="AO1781">
        <v>0</v>
      </c>
      <c r="AP1781" s="2">
        <v>42746</v>
      </c>
      <c r="AQ1781" t="s">
        <v>72</v>
      </c>
      <c r="AR1781" t="s">
        <v>72</v>
      </c>
      <c r="AS1781">
        <v>3188</v>
      </c>
      <c r="AT1781" s="4">
        <v>42692</v>
      </c>
      <c r="AU1781" t="s">
        <v>73</v>
      </c>
      <c r="AV1781">
        <v>3188</v>
      </c>
      <c r="AW1781" s="4">
        <v>42692</v>
      </c>
      <c r="BD1781">
        <v>0</v>
      </c>
      <c r="BN1781" t="s">
        <v>74</v>
      </c>
    </row>
    <row r="1782" spans="1:66">
      <c r="A1782">
        <v>100630</v>
      </c>
      <c r="B1782" s="3" t="s">
        <v>211</v>
      </c>
      <c r="C1782" s="1">
        <v>43300101</v>
      </c>
      <c r="D1782" t="s">
        <v>67</v>
      </c>
      <c r="H1782" t="str">
        <f t="shared" si="177"/>
        <v>05688870483</v>
      </c>
      <c r="I1782" t="str">
        <f t="shared" si="177"/>
        <v>05688870483</v>
      </c>
      <c r="K1782" t="str">
        <f>""</f>
        <v/>
      </c>
      <c r="M1782" t="s">
        <v>68</v>
      </c>
      <c r="N1782" t="str">
        <f t="shared" si="178"/>
        <v>FOR</v>
      </c>
      <c r="O1782" t="s">
        <v>69</v>
      </c>
      <c r="P1782" s="3" t="s">
        <v>75</v>
      </c>
      <c r="Q1782">
        <v>2015</v>
      </c>
      <c r="R1782" s="2">
        <v>42124</v>
      </c>
      <c r="S1782" s="2">
        <v>42131</v>
      </c>
      <c r="T1782" s="2">
        <v>42130</v>
      </c>
      <c r="U1782" s="2">
        <v>42190</v>
      </c>
      <c r="V1782" t="s">
        <v>71</v>
      </c>
      <c r="W1782" t="str">
        <f>"              900941"</f>
        <v xml:space="preserve">              900941</v>
      </c>
      <c r="X1782" s="1">
        <v>2844.22</v>
      </c>
      <c r="Y1782">
        <v>0</v>
      </c>
      <c r="Z1782" s="5">
        <v>2331.33</v>
      </c>
      <c r="AA1782">
        <v>502</v>
      </c>
      <c r="AB1782" s="5">
        <v>1170327.6599999999</v>
      </c>
      <c r="AC1782" s="1">
        <v>2331.33</v>
      </c>
      <c r="AD1782">
        <v>502</v>
      </c>
      <c r="AE1782" s="1">
        <v>1170327.6599999999</v>
      </c>
      <c r="AF1782">
        <v>0</v>
      </c>
      <c r="AJ1782">
        <v>0</v>
      </c>
      <c r="AK1782">
        <v>0</v>
      </c>
      <c r="AL1782">
        <v>0</v>
      </c>
      <c r="AM1782">
        <v>0</v>
      </c>
      <c r="AN1782">
        <v>0</v>
      </c>
      <c r="AO1782">
        <v>0</v>
      </c>
      <c r="AP1782" s="2">
        <v>42746</v>
      </c>
      <c r="AQ1782" t="s">
        <v>72</v>
      </c>
      <c r="AR1782" t="s">
        <v>72</v>
      </c>
      <c r="AS1782">
        <v>3188</v>
      </c>
      <c r="AT1782" s="4">
        <v>42692</v>
      </c>
      <c r="AU1782" t="s">
        <v>73</v>
      </c>
      <c r="AV1782">
        <v>3188</v>
      </c>
      <c r="AW1782" s="4">
        <v>42692</v>
      </c>
      <c r="BD1782">
        <v>0</v>
      </c>
      <c r="BN1782" t="s">
        <v>74</v>
      </c>
    </row>
    <row r="1783" spans="1:66" hidden="1">
      <c r="A1783">
        <v>100630</v>
      </c>
      <c r="B1783" s="3" t="s">
        <v>211</v>
      </c>
      <c r="C1783" s="1">
        <v>43300101</v>
      </c>
      <c r="D1783" t="s">
        <v>67</v>
      </c>
      <c r="H1783" t="str">
        <f t="shared" si="177"/>
        <v>05688870483</v>
      </c>
      <c r="I1783" t="str">
        <f t="shared" si="177"/>
        <v>05688870483</v>
      </c>
      <c r="K1783" t="str">
        <f>""</f>
        <v/>
      </c>
      <c r="M1783" t="s">
        <v>68</v>
      </c>
      <c r="N1783" t="str">
        <f t="shared" si="178"/>
        <v>FOR</v>
      </c>
      <c r="O1783" t="s">
        <v>69</v>
      </c>
      <c r="P1783" s="3" t="s">
        <v>75</v>
      </c>
      <c r="Q1783">
        <v>2015</v>
      </c>
      <c r="R1783" s="2">
        <v>42131</v>
      </c>
      <c r="S1783" s="2">
        <v>42135</v>
      </c>
      <c r="T1783" s="2">
        <v>42134</v>
      </c>
      <c r="U1783" s="2">
        <v>42194</v>
      </c>
      <c r="V1783" t="s">
        <v>71</v>
      </c>
      <c r="W1783" t="str">
        <f>"              901346"</f>
        <v xml:space="preserve">              901346</v>
      </c>
      <c r="X1783" s="1">
        <v>1622.6</v>
      </c>
      <c r="Y1783">
        <v>0</v>
      </c>
      <c r="Z1783"/>
      <c r="AB1783"/>
      <c r="AC1783" s="1">
        <v>1330</v>
      </c>
      <c r="AD1783">
        <v>258</v>
      </c>
      <c r="AE1783" s="1">
        <v>343140</v>
      </c>
      <c r="AF1783">
        <v>0</v>
      </c>
      <c r="AJ1783">
        <v>0</v>
      </c>
      <c r="AK1783">
        <v>0</v>
      </c>
      <c r="AL1783">
        <v>0</v>
      </c>
      <c r="AM1783">
        <v>0</v>
      </c>
      <c r="AN1783">
        <v>0</v>
      </c>
      <c r="AO1783">
        <v>0</v>
      </c>
      <c r="AP1783" s="2">
        <v>42746</v>
      </c>
      <c r="AQ1783" t="s">
        <v>72</v>
      </c>
      <c r="AR1783" t="s">
        <v>72</v>
      </c>
      <c r="AS1783">
        <v>791</v>
      </c>
      <c r="AT1783" s="4">
        <v>42452</v>
      </c>
      <c r="AU1783" t="s">
        <v>73</v>
      </c>
      <c r="AV1783">
        <v>791</v>
      </c>
      <c r="AW1783" s="4">
        <v>42452</v>
      </c>
      <c r="BD1783">
        <v>0</v>
      </c>
      <c r="BN1783" t="s">
        <v>74</v>
      </c>
    </row>
    <row r="1784" spans="1:66" hidden="1">
      <c r="A1784">
        <v>100630</v>
      </c>
      <c r="B1784" s="3" t="s">
        <v>211</v>
      </c>
      <c r="C1784" s="1">
        <v>43300101</v>
      </c>
      <c r="D1784" t="s">
        <v>67</v>
      </c>
      <c r="H1784" t="str">
        <f t="shared" si="177"/>
        <v>05688870483</v>
      </c>
      <c r="I1784" t="str">
        <f t="shared" si="177"/>
        <v>05688870483</v>
      </c>
      <c r="K1784" t="str">
        <f>""</f>
        <v/>
      </c>
      <c r="M1784" t="s">
        <v>68</v>
      </c>
      <c r="N1784" t="str">
        <f t="shared" si="178"/>
        <v>FOR</v>
      </c>
      <c r="O1784" t="s">
        <v>69</v>
      </c>
      <c r="P1784" s="3" t="s">
        <v>75</v>
      </c>
      <c r="Q1784">
        <v>2015</v>
      </c>
      <c r="R1784" s="2">
        <v>42149</v>
      </c>
      <c r="S1784" s="2">
        <v>42160</v>
      </c>
      <c r="T1784" s="2">
        <v>42152</v>
      </c>
      <c r="U1784" s="2">
        <v>42212</v>
      </c>
      <c r="V1784" t="s">
        <v>71</v>
      </c>
      <c r="W1784" t="str">
        <f>"              901800"</f>
        <v xml:space="preserve">              901800</v>
      </c>
      <c r="X1784" s="1">
        <v>6323.44</v>
      </c>
      <c r="Y1784">
        <v>0</v>
      </c>
      <c r="Z1784"/>
      <c r="AB1784"/>
      <c r="AC1784" s="1">
        <v>5183.1499999999996</v>
      </c>
      <c r="AD1784">
        <v>240</v>
      </c>
      <c r="AE1784" s="1">
        <v>1243956</v>
      </c>
      <c r="AF1784">
        <v>0</v>
      </c>
      <c r="AJ1784">
        <v>0</v>
      </c>
      <c r="AK1784">
        <v>0</v>
      </c>
      <c r="AL1784">
        <v>0</v>
      </c>
      <c r="AM1784">
        <v>0</v>
      </c>
      <c r="AN1784">
        <v>0</v>
      </c>
      <c r="AO1784">
        <v>0</v>
      </c>
      <c r="AP1784" s="2">
        <v>42746</v>
      </c>
      <c r="AQ1784" t="s">
        <v>72</v>
      </c>
      <c r="AR1784" t="s">
        <v>72</v>
      </c>
      <c r="AS1784">
        <v>791</v>
      </c>
      <c r="AT1784" s="4">
        <v>42452</v>
      </c>
      <c r="AU1784" t="s">
        <v>73</v>
      </c>
      <c r="AV1784">
        <v>791</v>
      </c>
      <c r="AW1784" s="4">
        <v>42452</v>
      </c>
      <c r="BD1784">
        <v>0</v>
      </c>
      <c r="BN1784" t="s">
        <v>74</v>
      </c>
    </row>
    <row r="1785" spans="1:66">
      <c r="A1785">
        <v>100630</v>
      </c>
      <c r="B1785" s="3" t="s">
        <v>211</v>
      </c>
      <c r="C1785" s="1">
        <v>43300101</v>
      </c>
      <c r="D1785" t="s">
        <v>67</v>
      </c>
      <c r="H1785" t="str">
        <f t="shared" ref="H1785:I1804" si="179">"05688870483"</f>
        <v>05688870483</v>
      </c>
      <c r="I1785" t="str">
        <f t="shared" si="179"/>
        <v>05688870483</v>
      </c>
      <c r="K1785" t="str">
        <f>""</f>
        <v/>
      </c>
      <c r="M1785" t="s">
        <v>68</v>
      </c>
      <c r="N1785" t="str">
        <f t="shared" si="178"/>
        <v>FOR</v>
      </c>
      <c r="O1785" t="s">
        <v>69</v>
      </c>
      <c r="P1785" s="3" t="s">
        <v>75</v>
      </c>
      <c r="Q1785">
        <v>2015</v>
      </c>
      <c r="R1785" s="2">
        <v>42153</v>
      </c>
      <c r="S1785" s="2">
        <v>42164</v>
      </c>
      <c r="T1785" s="2">
        <v>42156</v>
      </c>
      <c r="U1785" s="2">
        <v>42216</v>
      </c>
      <c r="V1785" t="s">
        <v>71</v>
      </c>
      <c r="W1785" t="str">
        <f>"              902103"</f>
        <v xml:space="preserve">              902103</v>
      </c>
      <c r="X1785" s="1">
        <v>1374.9</v>
      </c>
      <c r="Y1785">
        <v>0</v>
      </c>
      <c r="Z1785" s="5">
        <v>1126.97</v>
      </c>
      <c r="AA1785">
        <v>476</v>
      </c>
      <c r="AB1785" s="5">
        <v>536437.72</v>
      </c>
      <c r="AC1785" s="1">
        <v>1126.97</v>
      </c>
      <c r="AD1785">
        <v>476</v>
      </c>
      <c r="AE1785" s="1">
        <v>536437.72</v>
      </c>
      <c r="AF1785">
        <v>0</v>
      </c>
      <c r="AJ1785">
        <v>0</v>
      </c>
      <c r="AK1785">
        <v>0</v>
      </c>
      <c r="AL1785">
        <v>0</v>
      </c>
      <c r="AM1785">
        <v>0</v>
      </c>
      <c r="AN1785">
        <v>0</v>
      </c>
      <c r="AO1785">
        <v>0</v>
      </c>
      <c r="AP1785" s="2">
        <v>42746</v>
      </c>
      <c r="AQ1785" t="s">
        <v>72</v>
      </c>
      <c r="AR1785" t="s">
        <v>72</v>
      </c>
      <c r="AS1785">
        <v>3188</v>
      </c>
      <c r="AT1785" s="4">
        <v>42692</v>
      </c>
      <c r="AU1785" t="s">
        <v>73</v>
      </c>
      <c r="AV1785">
        <v>3188</v>
      </c>
      <c r="AW1785" s="4">
        <v>42692</v>
      </c>
      <c r="BD1785">
        <v>0</v>
      </c>
      <c r="BN1785" t="s">
        <v>74</v>
      </c>
    </row>
    <row r="1786" spans="1:66">
      <c r="A1786">
        <v>100630</v>
      </c>
      <c r="B1786" s="3" t="s">
        <v>211</v>
      </c>
      <c r="C1786" s="1">
        <v>43300101</v>
      </c>
      <c r="D1786" t="s">
        <v>67</v>
      </c>
      <c r="H1786" t="str">
        <f t="shared" si="179"/>
        <v>05688870483</v>
      </c>
      <c r="I1786" t="str">
        <f t="shared" si="179"/>
        <v>05688870483</v>
      </c>
      <c r="K1786" t="str">
        <f>""</f>
        <v/>
      </c>
      <c r="M1786" t="s">
        <v>68</v>
      </c>
      <c r="N1786" t="str">
        <f t="shared" si="178"/>
        <v>FOR</v>
      </c>
      <c r="O1786" t="s">
        <v>69</v>
      </c>
      <c r="P1786" s="3" t="s">
        <v>75</v>
      </c>
      <c r="Q1786">
        <v>2015</v>
      </c>
      <c r="R1786" s="2">
        <v>42153</v>
      </c>
      <c r="S1786" s="2">
        <v>42164</v>
      </c>
      <c r="T1786" s="2">
        <v>42156</v>
      </c>
      <c r="U1786" s="2">
        <v>42216</v>
      </c>
      <c r="V1786" t="s">
        <v>71</v>
      </c>
      <c r="W1786" t="str">
        <f>"              902104"</f>
        <v xml:space="preserve">              902104</v>
      </c>
      <c r="X1786" s="1">
        <v>2844.22</v>
      </c>
      <c r="Y1786">
        <v>0</v>
      </c>
      <c r="Z1786" s="5">
        <v>2331.33</v>
      </c>
      <c r="AA1786">
        <v>476</v>
      </c>
      <c r="AB1786" s="5">
        <v>1109713.08</v>
      </c>
      <c r="AC1786" s="1">
        <v>2331.33</v>
      </c>
      <c r="AD1786">
        <v>476</v>
      </c>
      <c r="AE1786" s="1">
        <v>1109713.08</v>
      </c>
      <c r="AF1786">
        <v>0</v>
      </c>
      <c r="AJ1786">
        <v>0</v>
      </c>
      <c r="AK1786">
        <v>0</v>
      </c>
      <c r="AL1786">
        <v>0</v>
      </c>
      <c r="AM1786">
        <v>0</v>
      </c>
      <c r="AN1786">
        <v>0</v>
      </c>
      <c r="AO1786">
        <v>0</v>
      </c>
      <c r="AP1786" s="2">
        <v>42746</v>
      </c>
      <c r="AQ1786" t="s">
        <v>72</v>
      </c>
      <c r="AR1786" t="s">
        <v>72</v>
      </c>
      <c r="AS1786">
        <v>3188</v>
      </c>
      <c r="AT1786" s="4">
        <v>42692</v>
      </c>
      <c r="AU1786" t="s">
        <v>73</v>
      </c>
      <c r="AV1786">
        <v>3188</v>
      </c>
      <c r="AW1786" s="4">
        <v>42692</v>
      </c>
      <c r="BD1786">
        <v>0</v>
      </c>
      <c r="BN1786" t="s">
        <v>74</v>
      </c>
    </row>
    <row r="1787" spans="1:66" hidden="1">
      <c r="A1787">
        <v>100630</v>
      </c>
      <c r="B1787" s="3" t="s">
        <v>211</v>
      </c>
      <c r="C1787" s="1">
        <v>43300101</v>
      </c>
      <c r="D1787" t="s">
        <v>67</v>
      </c>
      <c r="H1787" t="str">
        <f t="shared" si="179"/>
        <v>05688870483</v>
      </c>
      <c r="I1787" t="str">
        <f t="shared" si="179"/>
        <v>05688870483</v>
      </c>
      <c r="K1787" t="str">
        <f>""</f>
        <v/>
      </c>
      <c r="M1787" t="s">
        <v>68</v>
      </c>
      <c r="N1787" t="str">
        <f t="shared" si="178"/>
        <v>FOR</v>
      </c>
      <c r="O1787" t="s">
        <v>69</v>
      </c>
      <c r="P1787" s="3" t="s">
        <v>75</v>
      </c>
      <c r="Q1787">
        <v>2015</v>
      </c>
      <c r="R1787" s="2">
        <v>42166</v>
      </c>
      <c r="S1787" s="2">
        <v>42172</v>
      </c>
      <c r="T1787" s="2">
        <v>42171</v>
      </c>
      <c r="U1787" s="2">
        <v>42231</v>
      </c>
      <c r="V1787" t="s">
        <v>71</v>
      </c>
      <c r="W1787" t="str">
        <f>"              902574"</f>
        <v xml:space="preserve">              902574</v>
      </c>
      <c r="X1787" s="1">
        <v>1403</v>
      </c>
      <c r="Y1787">
        <v>0</v>
      </c>
      <c r="Z1787"/>
      <c r="AB1787"/>
      <c r="AC1787" s="1">
        <v>1150</v>
      </c>
      <c r="AD1787">
        <v>296</v>
      </c>
      <c r="AE1787" s="1">
        <v>340400</v>
      </c>
      <c r="AF1787">
        <v>0</v>
      </c>
      <c r="AJ1787">
        <v>0</v>
      </c>
      <c r="AK1787">
        <v>0</v>
      </c>
      <c r="AL1787">
        <v>0</v>
      </c>
      <c r="AM1787">
        <v>0</v>
      </c>
      <c r="AN1787">
        <v>0</v>
      </c>
      <c r="AO1787">
        <v>0</v>
      </c>
      <c r="AP1787" s="2">
        <v>42746</v>
      </c>
      <c r="AQ1787" t="s">
        <v>72</v>
      </c>
      <c r="AR1787" t="s">
        <v>72</v>
      </c>
      <c r="AS1787">
        <v>1518</v>
      </c>
      <c r="AT1787" s="4">
        <v>42527</v>
      </c>
      <c r="AU1787" t="s">
        <v>73</v>
      </c>
      <c r="AV1787">
        <v>1518</v>
      </c>
      <c r="AW1787" s="4">
        <v>42527</v>
      </c>
      <c r="BD1787">
        <v>0</v>
      </c>
      <c r="BN1787" t="s">
        <v>74</v>
      </c>
    </row>
    <row r="1788" spans="1:66" hidden="1">
      <c r="A1788">
        <v>100630</v>
      </c>
      <c r="B1788" s="3" t="s">
        <v>211</v>
      </c>
      <c r="C1788" s="1">
        <v>43300101</v>
      </c>
      <c r="D1788" t="s">
        <v>67</v>
      </c>
      <c r="H1788" t="str">
        <f t="shared" si="179"/>
        <v>05688870483</v>
      </c>
      <c r="I1788" t="str">
        <f t="shared" si="179"/>
        <v>05688870483</v>
      </c>
      <c r="K1788" t="str">
        <f>""</f>
        <v/>
      </c>
      <c r="M1788" t="s">
        <v>68</v>
      </c>
      <c r="N1788" t="str">
        <f t="shared" si="178"/>
        <v>FOR</v>
      </c>
      <c r="O1788" t="s">
        <v>69</v>
      </c>
      <c r="P1788" s="3" t="s">
        <v>75</v>
      </c>
      <c r="Q1788">
        <v>2015</v>
      </c>
      <c r="R1788" s="2">
        <v>42181</v>
      </c>
      <c r="S1788" s="2">
        <v>42191</v>
      </c>
      <c r="T1788" s="2">
        <v>42185</v>
      </c>
      <c r="U1788" s="2">
        <v>42245</v>
      </c>
      <c r="V1788" t="s">
        <v>71</v>
      </c>
      <c r="W1788" t="str">
        <f>"              903412"</f>
        <v xml:space="preserve">              903412</v>
      </c>
      <c r="X1788" s="1">
        <v>2806</v>
      </c>
      <c r="Y1788">
        <v>0</v>
      </c>
      <c r="Z1788"/>
      <c r="AB1788"/>
      <c r="AC1788" s="1">
        <v>2300</v>
      </c>
      <c r="AD1788">
        <v>282</v>
      </c>
      <c r="AE1788" s="1">
        <v>648600</v>
      </c>
      <c r="AF1788">
        <v>0</v>
      </c>
      <c r="AJ1788">
        <v>0</v>
      </c>
      <c r="AK1788">
        <v>0</v>
      </c>
      <c r="AL1788">
        <v>0</v>
      </c>
      <c r="AM1788">
        <v>0</v>
      </c>
      <c r="AN1788">
        <v>0</v>
      </c>
      <c r="AO1788">
        <v>0</v>
      </c>
      <c r="AP1788" s="2">
        <v>42746</v>
      </c>
      <c r="AQ1788" t="s">
        <v>72</v>
      </c>
      <c r="AR1788" t="s">
        <v>72</v>
      </c>
      <c r="AS1788">
        <v>1518</v>
      </c>
      <c r="AT1788" s="4">
        <v>42527</v>
      </c>
      <c r="AU1788" t="s">
        <v>73</v>
      </c>
      <c r="AV1788">
        <v>1518</v>
      </c>
      <c r="AW1788" s="4">
        <v>42527</v>
      </c>
      <c r="BD1788">
        <v>0</v>
      </c>
      <c r="BN1788" t="s">
        <v>74</v>
      </c>
    </row>
    <row r="1789" spans="1:66">
      <c r="A1789">
        <v>100630</v>
      </c>
      <c r="B1789" s="3" t="s">
        <v>211</v>
      </c>
      <c r="C1789" s="1">
        <v>43300101</v>
      </c>
      <c r="D1789" t="s">
        <v>67</v>
      </c>
      <c r="H1789" t="str">
        <f t="shared" si="179"/>
        <v>05688870483</v>
      </c>
      <c r="I1789" t="str">
        <f t="shared" si="179"/>
        <v>05688870483</v>
      </c>
      <c r="K1789" t="str">
        <f>""</f>
        <v/>
      </c>
      <c r="M1789" t="s">
        <v>68</v>
      </c>
      <c r="N1789" t="str">
        <f t="shared" si="178"/>
        <v>FOR</v>
      </c>
      <c r="O1789" t="s">
        <v>69</v>
      </c>
      <c r="P1789" s="3" t="s">
        <v>75</v>
      </c>
      <c r="Q1789">
        <v>2015</v>
      </c>
      <c r="R1789" s="2">
        <v>42185</v>
      </c>
      <c r="S1789" s="2">
        <v>42191</v>
      </c>
      <c r="T1789" s="2">
        <v>42188</v>
      </c>
      <c r="U1789" s="2">
        <v>42248</v>
      </c>
      <c r="V1789" t="s">
        <v>71</v>
      </c>
      <c r="W1789" t="str">
        <f>"              903738"</f>
        <v xml:space="preserve">              903738</v>
      </c>
      <c r="X1789" s="1">
        <v>1374.9</v>
      </c>
      <c r="Y1789">
        <v>0</v>
      </c>
      <c r="Z1789" s="5">
        <v>1126.97</v>
      </c>
      <c r="AA1789">
        <v>444</v>
      </c>
      <c r="AB1789" s="5">
        <v>500374.68</v>
      </c>
      <c r="AC1789" s="1">
        <v>1126.97</v>
      </c>
      <c r="AD1789">
        <v>444</v>
      </c>
      <c r="AE1789" s="1">
        <v>500374.68</v>
      </c>
      <c r="AF1789">
        <v>0</v>
      </c>
      <c r="AJ1789">
        <v>0</v>
      </c>
      <c r="AK1789">
        <v>0</v>
      </c>
      <c r="AL1789">
        <v>0</v>
      </c>
      <c r="AM1789">
        <v>0</v>
      </c>
      <c r="AN1789">
        <v>0</v>
      </c>
      <c r="AO1789">
        <v>0</v>
      </c>
      <c r="AP1789" s="2">
        <v>42746</v>
      </c>
      <c r="AQ1789" t="s">
        <v>72</v>
      </c>
      <c r="AR1789" t="s">
        <v>72</v>
      </c>
      <c r="AS1789">
        <v>3188</v>
      </c>
      <c r="AT1789" s="4">
        <v>42692</v>
      </c>
      <c r="AU1789" t="s">
        <v>73</v>
      </c>
      <c r="AV1789">
        <v>3188</v>
      </c>
      <c r="AW1789" s="4">
        <v>42692</v>
      </c>
      <c r="BD1789">
        <v>0</v>
      </c>
      <c r="BN1789" t="s">
        <v>74</v>
      </c>
    </row>
    <row r="1790" spans="1:66">
      <c r="A1790">
        <v>100630</v>
      </c>
      <c r="B1790" s="3" t="s">
        <v>211</v>
      </c>
      <c r="C1790" s="1">
        <v>43300101</v>
      </c>
      <c r="D1790" t="s">
        <v>67</v>
      </c>
      <c r="H1790" t="str">
        <f t="shared" si="179"/>
        <v>05688870483</v>
      </c>
      <c r="I1790" t="str">
        <f t="shared" si="179"/>
        <v>05688870483</v>
      </c>
      <c r="K1790" t="str">
        <f>""</f>
        <v/>
      </c>
      <c r="M1790" t="s">
        <v>68</v>
      </c>
      <c r="N1790" t="str">
        <f t="shared" si="178"/>
        <v>FOR</v>
      </c>
      <c r="O1790" t="s">
        <v>69</v>
      </c>
      <c r="P1790" s="3" t="s">
        <v>75</v>
      </c>
      <c r="Q1790">
        <v>2015</v>
      </c>
      <c r="R1790" s="2">
        <v>42185</v>
      </c>
      <c r="S1790" s="2">
        <v>42191</v>
      </c>
      <c r="T1790" s="2">
        <v>42188</v>
      </c>
      <c r="U1790" s="2">
        <v>42248</v>
      </c>
      <c r="V1790" t="s">
        <v>71</v>
      </c>
      <c r="W1790" t="str">
        <f>"              903739"</f>
        <v xml:space="preserve">              903739</v>
      </c>
      <c r="X1790" s="1">
        <v>2844.22</v>
      </c>
      <c r="Y1790">
        <v>0</v>
      </c>
      <c r="Z1790" s="5">
        <v>2331.33</v>
      </c>
      <c r="AA1790">
        <v>444</v>
      </c>
      <c r="AB1790" s="5">
        <v>1035110.52</v>
      </c>
      <c r="AC1790" s="1">
        <v>2331.33</v>
      </c>
      <c r="AD1790">
        <v>444</v>
      </c>
      <c r="AE1790" s="1">
        <v>1035110.52</v>
      </c>
      <c r="AF1790">
        <v>0</v>
      </c>
      <c r="AJ1790">
        <v>0</v>
      </c>
      <c r="AK1790">
        <v>0</v>
      </c>
      <c r="AL1790">
        <v>0</v>
      </c>
      <c r="AM1790">
        <v>0</v>
      </c>
      <c r="AN1790">
        <v>0</v>
      </c>
      <c r="AO1790">
        <v>0</v>
      </c>
      <c r="AP1790" s="2">
        <v>42746</v>
      </c>
      <c r="AQ1790" t="s">
        <v>72</v>
      </c>
      <c r="AR1790" t="s">
        <v>72</v>
      </c>
      <c r="AS1790">
        <v>3188</v>
      </c>
      <c r="AT1790" s="4">
        <v>42692</v>
      </c>
      <c r="AU1790" t="s">
        <v>73</v>
      </c>
      <c r="AV1790">
        <v>3188</v>
      </c>
      <c r="AW1790" s="4">
        <v>42692</v>
      </c>
      <c r="BD1790">
        <v>0</v>
      </c>
      <c r="BN1790" t="s">
        <v>74</v>
      </c>
    </row>
    <row r="1791" spans="1:66" hidden="1">
      <c r="A1791">
        <v>100630</v>
      </c>
      <c r="B1791" s="3" t="s">
        <v>211</v>
      </c>
      <c r="C1791" s="1">
        <v>43300101</v>
      </c>
      <c r="D1791" t="s">
        <v>67</v>
      </c>
      <c r="H1791" t="str">
        <f t="shared" si="179"/>
        <v>05688870483</v>
      </c>
      <c r="I1791" t="str">
        <f t="shared" si="179"/>
        <v>05688870483</v>
      </c>
      <c r="K1791" t="str">
        <f>""</f>
        <v/>
      </c>
      <c r="M1791" t="s">
        <v>68</v>
      </c>
      <c r="N1791" t="str">
        <f t="shared" si="178"/>
        <v>FOR</v>
      </c>
      <c r="O1791" t="s">
        <v>69</v>
      </c>
      <c r="P1791" s="3" t="s">
        <v>75</v>
      </c>
      <c r="Q1791">
        <v>2015</v>
      </c>
      <c r="R1791" s="2">
        <v>42212</v>
      </c>
      <c r="S1791" s="2">
        <v>42215</v>
      </c>
      <c r="T1791" s="2">
        <v>42213</v>
      </c>
      <c r="U1791" s="2">
        <v>42273</v>
      </c>
      <c r="V1791" t="s">
        <v>71</v>
      </c>
      <c r="W1791" t="str">
        <f>"              904613"</f>
        <v xml:space="preserve">              904613</v>
      </c>
      <c r="X1791" s="1">
        <v>5942.07</v>
      </c>
      <c r="Y1791">
        <v>0</v>
      </c>
      <c r="Z1791"/>
      <c r="AB1791"/>
      <c r="AC1791" s="1">
        <v>4870.55</v>
      </c>
      <c r="AD1791">
        <v>296</v>
      </c>
      <c r="AE1791" s="1">
        <v>1441682.8</v>
      </c>
      <c r="AF1791">
        <v>0</v>
      </c>
      <c r="AJ1791">
        <v>0</v>
      </c>
      <c r="AK1791">
        <v>0</v>
      </c>
      <c r="AL1791">
        <v>0</v>
      </c>
      <c r="AM1791">
        <v>0</v>
      </c>
      <c r="AN1791">
        <v>0</v>
      </c>
      <c r="AO1791">
        <v>0</v>
      </c>
      <c r="AP1791" s="2">
        <v>42746</v>
      </c>
      <c r="AQ1791" t="s">
        <v>72</v>
      </c>
      <c r="AR1791" t="s">
        <v>72</v>
      </c>
      <c r="AS1791">
        <v>1860</v>
      </c>
      <c r="AT1791" s="4">
        <v>42569</v>
      </c>
      <c r="AU1791" t="s">
        <v>73</v>
      </c>
      <c r="AV1791">
        <v>1860</v>
      </c>
      <c r="AW1791" s="4">
        <v>42569</v>
      </c>
      <c r="BD1791">
        <v>0</v>
      </c>
      <c r="BN1791" t="s">
        <v>74</v>
      </c>
    </row>
    <row r="1792" spans="1:66" hidden="1">
      <c r="A1792">
        <v>100630</v>
      </c>
      <c r="B1792" s="3" t="s">
        <v>211</v>
      </c>
      <c r="C1792" s="1">
        <v>43300101</v>
      </c>
      <c r="D1792" t="s">
        <v>67</v>
      </c>
      <c r="H1792" t="str">
        <f t="shared" si="179"/>
        <v>05688870483</v>
      </c>
      <c r="I1792" t="str">
        <f t="shared" si="179"/>
        <v>05688870483</v>
      </c>
      <c r="K1792" t="str">
        <f>""</f>
        <v/>
      </c>
      <c r="M1792" t="s">
        <v>68</v>
      </c>
      <c r="N1792" t="str">
        <f t="shared" si="178"/>
        <v>FOR</v>
      </c>
      <c r="O1792" t="s">
        <v>69</v>
      </c>
      <c r="P1792" s="3" t="s">
        <v>75</v>
      </c>
      <c r="Q1792">
        <v>2015</v>
      </c>
      <c r="R1792" s="2">
        <v>42214</v>
      </c>
      <c r="S1792" s="2">
        <v>42216</v>
      </c>
      <c r="T1792" s="2">
        <v>42215</v>
      </c>
      <c r="U1792" s="2">
        <v>42275</v>
      </c>
      <c r="V1792" t="s">
        <v>71</v>
      </c>
      <c r="W1792" t="str">
        <f>"              904773"</f>
        <v xml:space="preserve">              904773</v>
      </c>
      <c r="X1792" s="1">
        <v>2806</v>
      </c>
      <c r="Y1792">
        <v>0</v>
      </c>
      <c r="Z1792"/>
      <c r="AB1792"/>
      <c r="AC1792" s="1">
        <v>2300</v>
      </c>
      <c r="AD1792">
        <v>294</v>
      </c>
      <c r="AE1792" s="1">
        <v>676200</v>
      </c>
      <c r="AF1792">
        <v>0</v>
      </c>
      <c r="AJ1792">
        <v>0</v>
      </c>
      <c r="AK1792">
        <v>0</v>
      </c>
      <c r="AL1792">
        <v>0</v>
      </c>
      <c r="AM1792">
        <v>0</v>
      </c>
      <c r="AN1792">
        <v>0</v>
      </c>
      <c r="AO1792">
        <v>0</v>
      </c>
      <c r="AP1792" s="2">
        <v>42746</v>
      </c>
      <c r="AQ1792" t="s">
        <v>72</v>
      </c>
      <c r="AR1792" t="s">
        <v>72</v>
      </c>
      <c r="AS1792">
        <v>1860</v>
      </c>
      <c r="AT1792" s="4">
        <v>42569</v>
      </c>
      <c r="AU1792" t="s">
        <v>73</v>
      </c>
      <c r="AV1792">
        <v>1860</v>
      </c>
      <c r="AW1792" s="4">
        <v>42569</v>
      </c>
      <c r="BD1792">
        <v>0</v>
      </c>
      <c r="BN1792" t="s">
        <v>74</v>
      </c>
    </row>
    <row r="1793" spans="1:66">
      <c r="A1793">
        <v>100630</v>
      </c>
      <c r="B1793" s="3" t="s">
        <v>211</v>
      </c>
      <c r="C1793" s="1">
        <v>43300101</v>
      </c>
      <c r="D1793" t="s">
        <v>67</v>
      </c>
      <c r="H1793" t="str">
        <f t="shared" si="179"/>
        <v>05688870483</v>
      </c>
      <c r="I1793" t="str">
        <f t="shared" si="179"/>
        <v>05688870483</v>
      </c>
      <c r="K1793" t="str">
        <f>""</f>
        <v/>
      </c>
      <c r="M1793" t="s">
        <v>68</v>
      </c>
      <c r="N1793" t="str">
        <f t="shared" si="178"/>
        <v>FOR</v>
      </c>
      <c r="O1793" t="s">
        <v>69</v>
      </c>
      <c r="P1793" s="3" t="s">
        <v>75</v>
      </c>
      <c r="Q1793">
        <v>2015</v>
      </c>
      <c r="R1793" s="2">
        <v>42216</v>
      </c>
      <c r="S1793" s="2">
        <v>42228</v>
      </c>
      <c r="T1793" s="2">
        <v>42219</v>
      </c>
      <c r="U1793" s="2">
        <v>42279</v>
      </c>
      <c r="V1793" t="s">
        <v>71</v>
      </c>
      <c r="W1793" t="str">
        <f>"              905043"</f>
        <v xml:space="preserve">              905043</v>
      </c>
      <c r="X1793" s="1">
        <v>1374.9</v>
      </c>
      <c r="Y1793">
        <v>0</v>
      </c>
      <c r="Z1793" s="5">
        <v>1126.97</v>
      </c>
      <c r="AA1793">
        <v>413</v>
      </c>
      <c r="AB1793" s="5">
        <v>465438.61</v>
      </c>
      <c r="AC1793" s="1">
        <v>1126.97</v>
      </c>
      <c r="AD1793">
        <v>413</v>
      </c>
      <c r="AE1793" s="1">
        <v>465438.61</v>
      </c>
      <c r="AF1793">
        <v>0</v>
      </c>
      <c r="AJ1793">
        <v>0</v>
      </c>
      <c r="AK1793">
        <v>0</v>
      </c>
      <c r="AL1793">
        <v>0</v>
      </c>
      <c r="AM1793">
        <v>0</v>
      </c>
      <c r="AN1793">
        <v>0</v>
      </c>
      <c r="AO1793">
        <v>0</v>
      </c>
      <c r="AP1793" s="2">
        <v>42746</v>
      </c>
      <c r="AQ1793" t="s">
        <v>72</v>
      </c>
      <c r="AR1793" t="s">
        <v>72</v>
      </c>
      <c r="AS1793">
        <v>3188</v>
      </c>
      <c r="AT1793" s="4">
        <v>42692</v>
      </c>
      <c r="AU1793" t="s">
        <v>73</v>
      </c>
      <c r="AV1793">
        <v>3188</v>
      </c>
      <c r="AW1793" s="4">
        <v>42692</v>
      </c>
      <c r="BD1793">
        <v>0</v>
      </c>
      <c r="BN1793" t="s">
        <v>74</v>
      </c>
    </row>
    <row r="1794" spans="1:66">
      <c r="A1794">
        <v>100630</v>
      </c>
      <c r="B1794" s="3" t="s">
        <v>211</v>
      </c>
      <c r="C1794" s="1">
        <v>43300101</v>
      </c>
      <c r="D1794" t="s">
        <v>67</v>
      </c>
      <c r="H1794" t="str">
        <f t="shared" si="179"/>
        <v>05688870483</v>
      </c>
      <c r="I1794" t="str">
        <f t="shared" si="179"/>
        <v>05688870483</v>
      </c>
      <c r="K1794" t="str">
        <f>""</f>
        <v/>
      </c>
      <c r="M1794" t="s">
        <v>68</v>
      </c>
      <c r="N1794" t="str">
        <f t="shared" si="178"/>
        <v>FOR</v>
      </c>
      <c r="O1794" t="s">
        <v>69</v>
      </c>
      <c r="P1794" s="3" t="s">
        <v>75</v>
      </c>
      <c r="Q1794">
        <v>2015</v>
      </c>
      <c r="R1794" s="2">
        <v>42216</v>
      </c>
      <c r="S1794" s="2">
        <v>42228</v>
      </c>
      <c r="T1794" s="2">
        <v>42219</v>
      </c>
      <c r="U1794" s="2">
        <v>42279</v>
      </c>
      <c r="V1794" t="s">
        <v>71</v>
      </c>
      <c r="W1794" t="str">
        <f>"              905044"</f>
        <v xml:space="preserve">              905044</v>
      </c>
      <c r="X1794" s="1">
        <v>2844.22</v>
      </c>
      <c r="Y1794">
        <v>0</v>
      </c>
      <c r="Z1794" s="5">
        <v>2331.33</v>
      </c>
      <c r="AA1794">
        <v>413</v>
      </c>
      <c r="AB1794" s="5">
        <v>962839.29</v>
      </c>
      <c r="AC1794" s="1">
        <v>2331.33</v>
      </c>
      <c r="AD1794">
        <v>413</v>
      </c>
      <c r="AE1794" s="1">
        <v>962839.29</v>
      </c>
      <c r="AF1794">
        <v>0</v>
      </c>
      <c r="AJ1794">
        <v>0</v>
      </c>
      <c r="AK1794">
        <v>0</v>
      </c>
      <c r="AL1794">
        <v>0</v>
      </c>
      <c r="AM1794">
        <v>0</v>
      </c>
      <c r="AN1794">
        <v>0</v>
      </c>
      <c r="AO1794">
        <v>0</v>
      </c>
      <c r="AP1794" s="2">
        <v>42746</v>
      </c>
      <c r="AQ1794" t="s">
        <v>72</v>
      </c>
      <c r="AR1794" t="s">
        <v>72</v>
      </c>
      <c r="AS1794">
        <v>3188</v>
      </c>
      <c r="AT1794" s="4">
        <v>42692</v>
      </c>
      <c r="AU1794" t="s">
        <v>73</v>
      </c>
      <c r="AV1794">
        <v>3188</v>
      </c>
      <c r="AW1794" s="4">
        <v>42692</v>
      </c>
      <c r="BD1794">
        <v>0</v>
      </c>
      <c r="BN1794" t="s">
        <v>74</v>
      </c>
    </row>
    <row r="1795" spans="1:66">
      <c r="A1795">
        <v>100630</v>
      </c>
      <c r="B1795" s="3" t="s">
        <v>211</v>
      </c>
      <c r="C1795" s="1">
        <v>43300101</v>
      </c>
      <c r="D1795" t="s">
        <v>67</v>
      </c>
      <c r="H1795" t="str">
        <f t="shared" si="179"/>
        <v>05688870483</v>
      </c>
      <c r="I1795" t="str">
        <f t="shared" si="179"/>
        <v>05688870483</v>
      </c>
      <c r="K1795" t="str">
        <f>""</f>
        <v/>
      </c>
      <c r="M1795" t="s">
        <v>68</v>
      </c>
      <c r="N1795" t="str">
        <f t="shared" si="178"/>
        <v>FOR</v>
      </c>
      <c r="O1795" t="s">
        <v>69</v>
      </c>
      <c r="P1795" s="3" t="s">
        <v>75</v>
      </c>
      <c r="Q1795">
        <v>2015</v>
      </c>
      <c r="R1795" s="2">
        <v>42247</v>
      </c>
      <c r="S1795" s="2">
        <v>42250</v>
      </c>
      <c r="T1795" s="2">
        <v>42249</v>
      </c>
      <c r="U1795" s="2">
        <v>42309</v>
      </c>
      <c r="V1795" t="s">
        <v>71</v>
      </c>
      <c r="W1795" t="str">
        <f>"              905759"</f>
        <v xml:space="preserve">              905759</v>
      </c>
      <c r="X1795" s="1">
        <v>1374.9</v>
      </c>
      <c r="Y1795">
        <v>0</v>
      </c>
      <c r="Z1795" s="5">
        <v>1126.97</v>
      </c>
      <c r="AA1795">
        <v>383</v>
      </c>
      <c r="AB1795" s="5">
        <v>431629.51</v>
      </c>
      <c r="AC1795" s="1">
        <v>1126.97</v>
      </c>
      <c r="AD1795">
        <v>383</v>
      </c>
      <c r="AE1795" s="1">
        <v>431629.51</v>
      </c>
      <c r="AF1795">
        <v>0</v>
      </c>
      <c r="AJ1795">
        <v>0</v>
      </c>
      <c r="AK1795">
        <v>0</v>
      </c>
      <c r="AL1795">
        <v>0</v>
      </c>
      <c r="AM1795">
        <v>0</v>
      </c>
      <c r="AN1795">
        <v>0</v>
      </c>
      <c r="AO1795">
        <v>0</v>
      </c>
      <c r="AP1795" s="2">
        <v>42746</v>
      </c>
      <c r="AQ1795" t="s">
        <v>72</v>
      </c>
      <c r="AR1795" t="s">
        <v>72</v>
      </c>
      <c r="AS1795">
        <v>3188</v>
      </c>
      <c r="AT1795" s="4">
        <v>42692</v>
      </c>
      <c r="AU1795" t="s">
        <v>73</v>
      </c>
      <c r="AV1795">
        <v>3188</v>
      </c>
      <c r="AW1795" s="4">
        <v>42692</v>
      </c>
      <c r="BD1795">
        <v>0</v>
      </c>
      <c r="BN1795" t="s">
        <v>74</v>
      </c>
    </row>
    <row r="1796" spans="1:66">
      <c r="A1796">
        <v>100630</v>
      </c>
      <c r="B1796" s="3" t="s">
        <v>211</v>
      </c>
      <c r="C1796" s="1">
        <v>43300101</v>
      </c>
      <c r="D1796" t="s">
        <v>67</v>
      </c>
      <c r="H1796" t="str">
        <f t="shared" si="179"/>
        <v>05688870483</v>
      </c>
      <c r="I1796" t="str">
        <f t="shared" si="179"/>
        <v>05688870483</v>
      </c>
      <c r="K1796" t="str">
        <f>""</f>
        <v/>
      </c>
      <c r="M1796" t="s">
        <v>68</v>
      </c>
      <c r="N1796" t="str">
        <f t="shared" si="178"/>
        <v>FOR</v>
      </c>
      <c r="O1796" t="s">
        <v>69</v>
      </c>
      <c r="P1796" s="3" t="s">
        <v>75</v>
      </c>
      <c r="Q1796">
        <v>2015</v>
      </c>
      <c r="R1796" s="2">
        <v>42247</v>
      </c>
      <c r="S1796" s="2">
        <v>42250</v>
      </c>
      <c r="T1796" s="2">
        <v>42249</v>
      </c>
      <c r="U1796" s="2">
        <v>42309</v>
      </c>
      <c r="V1796" t="s">
        <v>71</v>
      </c>
      <c r="W1796" t="str">
        <f>"              905760"</f>
        <v xml:space="preserve">              905760</v>
      </c>
      <c r="X1796" s="1">
        <v>2844.22</v>
      </c>
      <c r="Y1796">
        <v>0</v>
      </c>
      <c r="Z1796" s="5">
        <v>2331.33</v>
      </c>
      <c r="AA1796">
        <v>383</v>
      </c>
      <c r="AB1796" s="5">
        <v>892899.39</v>
      </c>
      <c r="AC1796" s="1">
        <v>2331.33</v>
      </c>
      <c r="AD1796">
        <v>383</v>
      </c>
      <c r="AE1796" s="1">
        <v>892899.39</v>
      </c>
      <c r="AF1796">
        <v>0</v>
      </c>
      <c r="AJ1796">
        <v>0</v>
      </c>
      <c r="AK1796">
        <v>0</v>
      </c>
      <c r="AL1796">
        <v>0</v>
      </c>
      <c r="AM1796">
        <v>0</v>
      </c>
      <c r="AN1796">
        <v>0</v>
      </c>
      <c r="AO1796">
        <v>0</v>
      </c>
      <c r="AP1796" s="2">
        <v>42746</v>
      </c>
      <c r="AQ1796" t="s">
        <v>72</v>
      </c>
      <c r="AR1796" t="s">
        <v>72</v>
      </c>
      <c r="AS1796">
        <v>3188</v>
      </c>
      <c r="AT1796" s="4">
        <v>42692</v>
      </c>
      <c r="AU1796" t="s">
        <v>73</v>
      </c>
      <c r="AV1796">
        <v>3188</v>
      </c>
      <c r="AW1796" s="4">
        <v>42692</v>
      </c>
      <c r="BD1796">
        <v>0</v>
      </c>
      <c r="BN1796" t="s">
        <v>74</v>
      </c>
    </row>
    <row r="1797" spans="1:66">
      <c r="A1797">
        <v>100630</v>
      </c>
      <c r="B1797" s="3" t="s">
        <v>211</v>
      </c>
      <c r="C1797" s="1">
        <v>43300101</v>
      </c>
      <c r="D1797" t="s">
        <v>67</v>
      </c>
      <c r="H1797" t="str">
        <f t="shared" si="179"/>
        <v>05688870483</v>
      </c>
      <c r="I1797" t="str">
        <f t="shared" si="179"/>
        <v>05688870483</v>
      </c>
      <c r="K1797" t="str">
        <f>""</f>
        <v/>
      </c>
      <c r="M1797" t="s">
        <v>68</v>
      </c>
      <c r="N1797" t="str">
        <f t="shared" ref="N1797:N1825" si="180">"FOR"</f>
        <v>FOR</v>
      </c>
      <c r="O1797" t="s">
        <v>69</v>
      </c>
      <c r="P1797" s="3" t="s">
        <v>75</v>
      </c>
      <c r="Q1797">
        <v>2015</v>
      </c>
      <c r="R1797" s="2">
        <v>42277</v>
      </c>
      <c r="S1797" s="2">
        <v>42279</v>
      </c>
      <c r="T1797" s="2">
        <v>42279</v>
      </c>
      <c r="U1797" s="2">
        <v>42339</v>
      </c>
      <c r="V1797" t="s">
        <v>71</v>
      </c>
      <c r="W1797" t="str">
        <f>"              907079"</f>
        <v xml:space="preserve">              907079</v>
      </c>
      <c r="X1797" s="1">
        <v>1374.9</v>
      </c>
      <c r="Y1797">
        <v>0</v>
      </c>
      <c r="Z1797" s="5">
        <v>1126.97</v>
      </c>
      <c r="AA1797">
        <v>353</v>
      </c>
      <c r="AB1797" s="5">
        <v>397820.41</v>
      </c>
      <c r="AC1797" s="1">
        <v>1126.97</v>
      </c>
      <c r="AD1797">
        <v>353</v>
      </c>
      <c r="AE1797" s="1">
        <v>397820.41</v>
      </c>
      <c r="AF1797">
        <v>0</v>
      </c>
      <c r="AJ1797">
        <v>0</v>
      </c>
      <c r="AK1797">
        <v>0</v>
      </c>
      <c r="AL1797">
        <v>0</v>
      </c>
      <c r="AM1797">
        <v>0</v>
      </c>
      <c r="AN1797">
        <v>0</v>
      </c>
      <c r="AO1797">
        <v>0</v>
      </c>
      <c r="AP1797" s="2">
        <v>42746</v>
      </c>
      <c r="AQ1797" t="s">
        <v>72</v>
      </c>
      <c r="AR1797" t="s">
        <v>72</v>
      </c>
      <c r="AS1797">
        <v>3188</v>
      </c>
      <c r="AT1797" s="4">
        <v>42692</v>
      </c>
      <c r="AU1797" t="s">
        <v>73</v>
      </c>
      <c r="AV1797">
        <v>3188</v>
      </c>
      <c r="AW1797" s="4">
        <v>42692</v>
      </c>
      <c r="BD1797">
        <v>0</v>
      </c>
      <c r="BN1797" t="s">
        <v>74</v>
      </c>
    </row>
    <row r="1798" spans="1:66">
      <c r="A1798">
        <v>100630</v>
      </c>
      <c r="B1798" s="3" t="s">
        <v>211</v>
      </c>
      <c r="C1798" s="1">
        <v>43300101</v>
      </c>
      <c r="D1798" t="s">
        <v>67</v>
      </c>
      <c r="H1798" t="str">
        <f t="shared" si="179"/>
        <v>05688870483</v>
      </c>
      <c r="I1798" t="str">
        <f t="shared" si="179"/>
        <v>05688870483</v>
      </c>
      <c r="K1798" t="str">
        <f>""</f>
        <v/>
      </c>
      <c r="M1798" t="s">
        <v>68</v>
      </c>
      <c r="N1798" t="str">
        <f t="shared" si="180"/>
        <v>FOR</v>
      </c>
      <c r="O1798" t="s">
        <v>69</v>
      </c>
      <c r="P1798" s="3" t="s">
        <v>75</v>
      </c>
      <c r="Q1798">
        <v>2015</v>
      </c>
      <c r="R1798" s="2">
        <v>42277</v>
      </c>
      <c r="S1798" s="2">
        <v>42279</v>
      </c>
      <c r="T1798" s="2">
        <v>42279</v>
      </c>
      <c r="U1798" s="2">
        <v>42339</v>
      </c>
      <c r="V1798" t="s">
        <v>71</v>
      </c>
      <c r="W1798" t="str">
        <f>"              907080"</f>
        <v xml:space="preserve">              907080</v>
      </c>
      <c r="X1798" s="1">
        <v>2844.22</v>
      </c>
      <c r="Y1798">
        <v>0</v>
      </c>
      <c r="Z1798" s="5">
        <v>2331.33</v>
      </c>
      <c r="AA1798">
        <v>353</v>
      </c>
      <c r="AB1798" s="5">
        <v>822959.49</v>
      </c>
      <c r="AC1798" s="1">
        <v>2331.33</v>
      </c>
      <c r="AD1798">
        <v>353</v>
      </c>
      <c r="AE1798" s="1">
        <v>822959.49</v>
      </c>
      <c r="AF1798">
        <v>0</v>
      </c>
      <c r="AJ1798">
        <v>0</v>
      </c>
      <c r="AK1798">
        <v>0</v>
      </c>
      <c r="AL1798">
        <v>0</v>
      </c>
      <c r="AM1798">
        <v>0</v>
      </c>
      <c r="AN1798">
        <v>0</v>
      </c>
      <c r="AO1798">
        <v>0</v>
      </c>
      <c r="AP1798" s="2">
        <v>42746</v>
      </c>
      <c r="AQ1798" t="s">
        <v>72</v>
      </c>
      <c r="AR1798" t="s">
        <v>72</v>
      </c>
      <c r="AS1798">
        <v>3188</v>
      </c>
      <c r="AT1798" s="4">
        <v>42692</v>
      </c>
      <c r="AU1798" t="s">
        <v>73</v>
      </c>
      <c r="AV1798">
        <v>3188</v>
      </c>
      <c r="AW1798" s="4">
        <v>42692</v>
      </c>
      <c r="BD1798">
        <v>0</v>
      </c>
      <c r="BN1798" t="s">
        <v>74</v>
      </c>
    </row>
    <row r="1799" spans="1:66">
      <c r="A1799">
        <v>100630</v>
      </c>
      <c r="B1799" s="3" t="s">
        <v>211</v>
      </c>
      <c r="C1799" s="1">
        <v>43300101</v>
      </c>
      <c r="D1799" t="s">
        <v>67</v>
      </c>
      <c r="H1799" t="str">
        <f t="shared" si="179"/>
        <v>05688870483</v>
      </c>
      <c r="I1799" t="str">
        <f t="shared" si="179"/>
        <v>05688870483</v>
      </c>
      <c r="K1799" t="str">
        <f>""</f>
        <v/>
      </c>
      <c r="M1799" t="s">
        <v>68</v>
      </c>
      <c r="N1799" t="str">
        <f t="shared" si="180"/>
        <v>FOR</v>
      </c>
      <c r="O1799" t="s">
        <v>69</v>
      </c>
      <c r="P1799" s="3" t="s">
        <v>75</v>
      </c>
      <c r="Q1799">
        <v>2015</v>
      </c>
      <c r="R1799" s="2">
        <v>42283</v>
      </c>
      <c r="S1799" s="2">
        <v>42291</v>
      </c>
      <c r="T1799" s="2">
        <v>42284</v>
      </c>
      <c r="U1799" s="2">
        <v>42344</v>
      </c>
      <c r="V1799" t="s">
        <v>71</v>
      </c>
      <c r="W1799" t="str">
        <f>"              907292"</f>
        <v xml:space="preserve">              907292</v>
      </c>
      <c r="X1799" s="1">
        <v>9574.56</v>
      </c>
      <c r="Y1799">
        <v>0</v>
      </c>
      <c r="Z1799" s="5">
        <v>7848</v>
      </c>
      <c r="AA1799">
        <v>304</v>
      </c>
      <c r="AB1799" s="5">
        <v>2385792</v>
      </c>
      <c r="AC1799" s="1">
        <v>7848</v>
      </c>
      <c r="AD1799">
        <v>304</v>
      </c>
      <c r="AE1799" s="1">
        <v>2385792</v>
      </c>
      <c r="AF1799">
        <v>0</v>
      </c>
      <c r="AJ1799">
        <v>0</v>
      </c>
      <c r="AK1799">
        <v>0</v>
      </c>
      <c r="AL1799">
        <v>0</v>
      </c>
      <c r="AM1799">
        <v>0</v>
      </c>
      <c r="AN1799">
        <v>0</v>
      </c>
      <c r="AO1799">
        <v>0</v>
      </c>
      <c r="AP1799" s="2">
        <v>42746</v>
      </c>
      <c r="AQ1799" t="s">
        <v>72</v>
      </c>
      <c r="AR1799" t="s">
        <v>72</v>
      </c>
      <c r="AS1799">
        <v>2654</v>
      </c>
      <c r="AT1799" s="4">
        <v>42648</v>
      </c>
      <c r="AU1799" t="s">
        <v>73</v>
      </c>
      <c r="AV1799">
        <v>2654</v>
      </c>
      <c r="AW1799" s="4">
        <v>42648</v>
      </c>
      <c r="BD1799">
        <v>0</v>
      </c>
      <c r="BN1799" t="s">
        <v>74</v>
      </c>
    </row>
    <row r="1800" spans="1:66">
      <c r="A1800">
        <v>100630</v>
      </c>
      <c r="B1800" s="3" t="s">
        <v>211</v>
      </c>
      <c r="C1800" s="1">
        <v>43300101</v>
      </c>
      <c r="D1800" t="s">
        <v>67</v>
      </c>
      <c r="H1800" t="str">
        <f t="shared" si="179"/>
        <v>05688870483</v>
      </c>
      <c r="I1800" t="str">
        <f t="shared" si="179"/>
        <v>05688870483</v>
      </c>
      <c r="K1800" t="str">
        <f>""</f>
        <v/>
      </c>
      <c r="M1800" t="s">
        <v>68</v>
      </c>
      <c r="N1800" t="str">
        <f t="shared" si="180"/>
        <v>FOR</v>
      </c>
      <c r="O1800" t="s">
        <v>69</v>
      </c>
      <c r="P1800" s="3" t="s">
        <v>75</v>
      </c>
      <c r="Q1800">
        <v>2015</v>
      </c>
      <c r="R1800" s="2">
        <v>42296</v>
      </c>
      <c r="S1800" s="2">
        <v>42298</v>
      </c>
      <c r="T1800" s="2">
        <v>42297</v>
      </c>
      <c r="U1800" s="2">
        <v>42357</v>
      </c>
      <c r="V1800" t="s">
        <v>71</v>
      </c>
      <c r="W1800" t="str">
        <f>"              907692"</f>
        <v xml:space="preserve">              907692</v>
      </c>
      <c r="X1800">
        <v>453.84</v>
      </c>
      <c r="Y1800">
        <v>0</v>
      </c>
      <c r="Z1800" s="3">
        <v>372</v>
      </c>
      <c r="AA1800">
        <v>291</v>
      </c>
      <c r="AB1800" s="5">
        <v>108252</v>
      </c>
      <c r="AC1800">
        <v>372</v>
      </c>
      <c r="AD1800">
        <v>291</v>
      </c>
      <c r="AE1800" s="1">
        <v>108252</v>
      </c>
      <c r="AF1800">
        <v>0</v>
      </c>
      <c r="AJ1800">
        <v>0</v>
      </c>
      <c r="AK1800">
        <v>0</v>
      </c>
      <c r="AL1800">
        <v>0</v>
      </c>
      <c r="AM1800">
        <v>0</v>
      </c>
      <c r="AN1800">
        <v>0</v>
      </c>
      <c r="AO1800">
        <v>0</v>
      </c>
      <c r="AP1800" s="2">
        <v>42746</v>
      </c>
      <c r="AQ1800" t="s">
        <v>72</v>
      </c>
      <c r="AR1800" t="s">
        <v>72</v>
      </c>
      <c r="AS1800">
        <v>2654</v>
      </c>
      <c r="AT1800" s="4">
        <v>42648</v>
      </c>
      <c r="AU1800" t="s">
        <v>73</v>
      </c>
      <c r="AV1800">
        <v>2654</v>
      </c>
      <c r="AW1800" s="4">
        <v>42648</v>
      </c>
      <c r="BD1800">
        <v>0</v>
      </c>
      <c r="BN1800" t="s">
        <v>74</v>
      </c>
    </row>
    <row r="1801" spans="1:66">
      <c r="A1801">
        <v>100630</v>
      </c>
      <c r="B1801" s="3" t="s">
        <v>211</v>
      </c>
      <c r="C1801" s="1">
        <v>43300101</v>
      </c>
      <c r="D1801" t="s">
        <v>67</v>
      </c>
      <c r="H1801" t="str">
        <f t="shared" si="179"/>
        <v>05688870483</v>
      </c>
      <c r="I1801" t="str">
        <f t="shared" si="179"/>
        <v>05688870483</v>
      </c>
      <c r="K1801" t="str">
        <f>""</f>
        <v/>
      </c>
      <c r="M1801" t="s">
        <v>68</v>
      </c>
      <c r="N1801" t="str">
        <f t="shared" si="180"/>
        <v>FOR</v>
      </c>
      <c r="O1801" t="s">
        <v>69</v>
      </c>
      <c r="P1801" s="3" t="s">
        <v>75</v>
      </c>
      <c r="Q1801">
        <v>2015</v>
      </c>
      <c r="R1801" s="2">
        <v>42307</v>
      </c>
      <c r="S1801" s="2">
        <v>42312</v>
      </c>
      <c r="T1801" s="2">
        <v>42310</v>
      </c>
      <c r="U1801" s="2">
        <v>42370</v>
      </c>
      <c r="V1801" t="s">
        <v>71</v>
      </c>
      <c r="W1801" t="str">
        <f>"              908204"</f>
        <v xml:space="preserve">              908204</v>
      </c>
      <c r="X1801" s="1">
        <v>1374.9</v>
      </c>
      <c r="Y1801">
        <v>0</v>
      </c>
      <c r="Z1801" s="5">
        <v>1126.97</v>
      </c>
      <c r="AA1801">
        <v>322</v>
      </c>
      <c r="AB1801" s="5">
        <v>362884.34</v>
      </c>
      <c r="AC1801" s="1">
        <v>1126.97</v>
      </c>
      <c r="AD1801">
        <v>322</v>
      </c>
      <c r="AE1801" s="1">
        <v>362884.34</v>
      </c>
      <c r="AF1801">
        <v>0</v>
      </c>
      <c r="AJ1801">
        <v>0</v>
      </c>
      <c r="AK1801">
        <v>0</v>
      </c>
      <c r="AL1801">
        <v>0</v>
      </c>
      <c r="AM1801">
        <v>0</v>
      </c>
      <c r="AN1801">
        <v>0</v>
      </c>
      <c r="AO1801">
        <v>0</v>
      </c>
      <c r="AP1801" s="2">
        <v>42746</v>
      </c>
      <c r="AQ1801" t="s">
        <v>72</v>
      </c>
      <c r="AR1801" t="s">
        <v>72</v>
      </c>
      <c r="AS1801">
        <v>3188</v>
      </c>
      <c r="AT1801" s="4">
        <v>42692</v>
      </c>
      <c r="AU1801" t="s">
        <v>73</v>
      </c>
      <c r="AV1801">
        <v>3188</v>
      </c>
      <c r="AW1801" s="4">
        <v>42692</v>
      </c>
      <c r="BD1801">
        <v>0</v>
      </c>
      <c r="BN1801" t="s">
        <v>74</v>
      </c>
    </row>
    <row r="1802" spans="1:66">
      <c r="A1802">
        <v>100630</v>
      </c>
      <c r="B1802" s="3" t="s">
        <v>211</v>
      </c>
      <c r="C1802" s="1">
        <v>43300101</v>
      </c>
      <c r="D1802" t="s">
        <v>67</v>
      </c>
      <c r="H1802" t="str">
        <f t="shared" si="179"/>
        <v>05688870483</v>
      </c>
      <c r="I1802" t="str">
        <f t="shared" si="179"/>
        <v>05688870483</v>
      </c>
      <c r="K1802" t="str">
        <f>""</f>
        <v/>
      </c>
      <c r="M1802" t="s">
        <v>68</v>
      </c>
      <c r="N1802" t="str">
        <f t="shared" si="180"/>
        <v>FOR</v>
      </c>
      <c r="O1802" t="s">
        <v>69</v>
      </c>
      <c r="P1802" s="3" t="s">
        <v>75</v>
      </c>
      <c r="Q1802">
        <v>2015</v>
      </c>
      <c r="R1802" s="2">
        <v>42307</v>
      </c>
      <c r="S1802" s="2">
        <v>42312</v>
      </c>
      <c r="T1802" s="2">
        <v>42310</v>
      </c>
      <c r="U1802" s="2">
        <v>42370</v>
      </c>
      <c r="V1802" t="s">
        <v>71</v>
      </c>
      <c r="W1802" t="str">
        <f>"              908205"</f>
        <v xml:space="preserve">              908205</v>
      </c>
      <c r="X1802" s="1">
        <v>2844.22</v>
      </c>
      <c r="Y1802">
        <v>0</v>
      </c>
      <c r="Z1802" s="5">
        <v>2331.33</v>
      </c>
      <c r="AA1802">
        <v>322</v>
      </c>
      <c r="AB1802" s="5">
        <v>750688.26</v>
      </c>
      <c r="AC1802" s="1">
        <v>2331.33</v>
      </c>
      <c r="AD1802">
        <v>322</v>
      </c>
      <c r="AE1802" s="1">
        <v>750688.26</v>
      </c>
      <c r="AF1802">
        <v>0</v>
      </c>
      <c r="AJ1802">
        <v>0</v>
      </c>
      <c r="AK1802">
        <v>0</v>
      </c>
      <c r="AL1802">
        <v>0</v>
      </c>
      <c r="AM1802">
        <v>0</v>
      </c>
      <c r="AN1802">
        <v>0</v>
      </c>
      <c r="AO1802">
        <v>0</v>
      </c>
      <c r="AP1802" s="2">
        <v>42746</v>
      </c>
      <c r="AQ1802" t="s">
        <v>72</v>
      </c>
      <c r="AR1802" t="s">
        <v>72</v>
      </c>
      <c r="AS1802">
        <v>3188</v>
      </c>
      <c r="AT1802" s="4">
        <v>42692</v>
      </c>
      <c r="AU1802" t="s">
        <v>73</v>
      </c>
      <c r="AV1802">
        <v>3188</v>
      </c>
      <c r="AW1802" s="4">
        <v>42692</v>
      </c>
      <c r="BD1802">
        <v>0</v>
      </c>
      <c r="BN1802" t="s">
        <v>74</v>
      </c>
    </row>
    <row r="1803" spans="1:66">
      <c r="A1803">
        <v>100630</v>
      </c>
      <c r="B1803" s="3" t="s">
        <v>211</v>
      </c>
      <c r="C1803" s="1">
        <v>43300101</v>
      </c>
      <c r="D1803" t="s">
        <v>67</v>
      </c>
      <c r="H1803" t="str">
        <f t="shared" si="179"/>
        <v>05688870483</v>
      </c>
      <c r="I1803" t="str">
        <f t="shared" si="179"/>
        <v>05688870483</v>
      </c>
      <c r="K1803" t="str">
        <f>""</f>
        <v/>
      </c>
      <c r="M1803" t="s">
        <v>68</v>
      </c>
      <c r="N1803" t="str">
        <f t="shared" si="180"/>
        <v>FOR</v>
      </c>
      <c r="O1803" t="s">
        <v>69</v>
      </c>
      <c r="P1803" s="3" t="s">
        <v>75</v>
      </c>
      <c r="Q1803">
        <v>2015</v>
      </c>
      <c r="R1803" s="2">
        <v>42320</v>
      </c>
      <c r="S1803" s="2">
        <v>42324</v>
      </c>
      <c r="T1803" s="2">
        <v>42321</v>
      </c>
      <c r="U1803" s="2">
        <v>42381</v>
      </c>
      <c r="V1803" t="s">
        <v>71</v>
      </c>
      <c r="W1803" t="str">
        <f>"              908713"</f>
        <v xml:space="preserve">              908713</v>
      </c>
      <c r="X1803" s="1">
        <v>4209</v>
      </c>
      <c r="Y1803">
        <v>0</v>
      </c>
      <c r="Z1803" s="5">
        <v>3450</v>
      </c>
      <c r="AA1803">
        <v>311</v>
      </c>
      <c r="AB1803" s="5">
        <v>1072950</v>
      </c>
      <c r="AC1803" s="1">
        <v>3450</v>
      </c>
      <c r="AD1803">
        <v>311</v>
      </c>
      <c r="AE1803" s="1">
        <v>1072950</v>
      </c>
      <c r="AF1803">
        <v>0</v>
      </c>
      <c r="AJ1803">
        <v>0</v>
      </c>
      <c r="AK1803">
        <v>0</v>
      </c>
      <c r="AL1803">
        <v>0</v>
      </c>
      <c r="AM1803">
        <v>0</v>
      </c>
      <c r="AN1803">
        <v>0</v>
      </c>
      <c r="AO1803">
        <v>0</v>
      </c>
      <c r="AP1803" s="2">
        <v>42746</v>
      </c>
      <c r="AQ1803" t="s">
        <v>72</v>
      </c>
      <c r="AR1803" t="s">
        <v>72</v>
      </c>
      <c r="AS1803">
        <v>3188</v>
      </c>
      <c r="AT1803" s="4">
        <v>42692</v>
      </c>
      <c r="AU1803" t="s">
        <v>73</v>
      </c>
      <c r="AV1803">
        <v>3188</v>
      </c>
      <c r="AW1803" s="4">
        <v>42692</v>
      </c>
      <c r="BD1803">
        <v>0</v>
      </c>
      <c r="BN1803" t="s">
        <v>74</v>
      </c>
    </row>
    <row r="1804" spans="1:66">
      <c r="A1804">
        <v>100630</v>
      </c>
      <c r="B1804" s="3" t="s">
        <v>211</v>
      </c>
      <c r="C1804" s="1">
        <v>43300101</v>
      </c>
      <c r="D1804" t="s">
        <v>67</v>
      </c>
      <c r="H1804" t="str">
        <f t="shared" si="179"/>
        <v>05688870483</v>
      </c>
      <c r="I1804" t="str">
        <f t="shared" si="179"/>
        <v>05688870483</v>
      </c>
      <c r="K1804" t="str">
        <f>""</f>
        <v/>
      </c>
      <c r="M1804" t="s">
        <v>68</v>
      </c>
      <c r="N1804" t="str">
        <f t="shared" si="180"/>
        <v>FOR</v>
      </c>
      <c r="O1804" t="s">
        <v>69</v>
      </c>
      <c r="P1804" s="3" t="s">
        <v>75</v>
      </c>
      <c r="Q1804">
        <v>2015</v>
      </c>
      <c r="R1804" s="2">
        <v>42325</v>
      </c>
      <c r="S1804" s="2">
        <v>42327</v>
      </c>
      <c r="T1804" s="2">
        <v>42326</v>
      </c>
      <c r="U1804" s="2">
        <v>42386</v>
      </c>
      <c r="V1804" t="s">
        <v>71</v>
      </c>
      <c r="W1804" t="str">
        <f>"              908806"</f>
        <v xml:space="preserve">              908806</v>
      </c>
      <c r="X1804" s="1">
        <v>3290.58</v>
      </c>
      <c r="Y1804">
        <v>0</v>
      </c>
      <c r="Z1804" s="5">
        <v>2697.2</v>
      </c>
      <c r="AA1804">
        <v>306</v>
      </c>
      <c r="AB1804" s="5">
        <v>825343.2</v>
      </c>
      <c r="AC1804" s="1">
        <v>2697.2</v>
      </c>
      <c r="AD1804">
        <v>306</v>
      </c>
      <c r="AE1804" s="1">
        <v>825343.2</v>
      </c>
      <c r="AF1804">
        <v>0</v>
      </c>
      <c r="AJ1804">
        <v>0</v>
      </c>
      <c r="AK1804">
        <v>0</v>
      </c>
      <c r="AL1804">
        <v>0</v>
      </c>
      <c r="AM1804">
        <v>0</v>
      </c>
      <c r="AN1804">
        <v>0</v>
      </c>
      <c r="AO1804">
        <v>0</v>
      </c>
      <c r="AP1804" s="2">
        <v>42746</v>
      </c>
      <c r="AQ1804" t="s">
        <v>72</v>
      </c>
      <c r="AR1804" t="s">
        <v>72</v>
      </c>
      <c r="AS1804">
        <v>3188</v>
      </c>
      <c r="AT1804" s="4">
        <v>42692</v>
      </c>
      <c r="AU1804" t="s">
        <v>73</v>
      </c>
      <c r="AV1804">
        <v>3188</v>
      </c>
      <c r="AW1804" s="4">
        <v>42692</v>
      </c>
      <c r="BD1804">
        <v>0</v>
      </c>
      <c r="BN1804" t="s">
        <v>74</v>
      </c>
    </row>
    <row r="1805" spans="1:66">
      <c r="A1805">
        <v>100630</v>
      </c>
      <c r="B1805" s="3" t="s">
        <v>211</v>
      </c>
      <c r="C1805" s="1">
        <v>43300101</v>
      </c>
      <c r="D1805" t="s">
        <v>67</v>
      </c>
      <c r="H1805" t="str">
        <f t="shared" ref="H1805:I1814" si="181">"05688870483"</f>
        <v>05688870483</v>
      </c>
      <c r="I1805" t="str">
        <f t="shared" si="181"/>
        <v>05688870483</v>
      </c>
      <c r="K1805" t="str">
        <f>""</f>
        <v/>
      </c>
      <c r="M1805" t="s">
        <v>68</v>
      </c>
      <c r="N1805" t="str">
        <f t="shared" si="180"/>
        <v>FOR</v>
      </c>
      <c r="O1805" t="s">
        <v>69</v>
      </c>
      <c r="P1805" s="3" t="s">
        <v>75</v>
      </c>
      <c r="Q1805">
        <v>2015</v>
      </c>
      <c r="R1805" s="2">
        <v>42338</v>
      </c>
      <c r="S1805" s="2">
        <v>42340</v>
      </c>
      <c r="T1805" s="2">
        <v>42339</v>
      </c>
      <c r="U1805" s="2">
        <v>42399</v>
      </c>
      <c r="V1805" t="s">
        <v>71</v>
      </c>
      <c r="W1805" t="str">
        <f>"              909322"</f>
        <v xml:space="preserve">              909322</v>
      </c>
      <c r="X1805" s="1">
        <v>1374.9</v>
      </c>
      <c r="Y1805">
        <v>0</v>
      </c>
      <c r="Z1805" s="5">
        <v>1126.97</v>
      </c>
      <c r="AA1805">
        <v>293</v>
      </c>
      <c r="AB1805" s="5">
        <v>330202.21000000002</v>
      </c>
      <c r="AC1805" s="1">
        <v>1126.97</v>
      </c>
      <c r="AD1805">
        <v>293</v>
      </c>
      <c r="AE1805" s="1">
        <v>330202.21000000002</v>
      </c>
      <c r="AF1805">
        <v>0</v>
      </c>
      <c r="AJ1805">
        <v>0</v>
      </c>
      <c r="AK1805">
        <v>0</v>
      </c>
      <c r="AL1805">
        <v>0</v>
      </c>
      <c r="AM1805">
        <v>0</v>
      </c>
      <c r="AN1805">
        <v>0</v>
      </c>
      <c r="AO1805">
        <v>0</v>
      </c>
      <c r="AP1805" s="2">
        <v>42746</v>
      </c>
      <c r="AQ1805" t="s">
        <v>72</v>
      </c>
      <c r="AR1805" t="s">
        <v>72</v>
      </c>
      <c r="AS1805">
        <v>3188</v>
      </c>
      <c r="AT1805" s="4">
        <v>42692</v>
      </c>
      <c r="AU1805" t="s">
        <v>73</v>
      </c>
      <c r="AV1805">
        <v>3188</v>
      </c>
      <c r="AW1805" s="4">
        <v>42692</v>
      </c>
      <c r="BD1805">
        <v>0</v>
      </c>
      <c r="BN1805" t="s">
        <v>74</v>
      </c>
    </row>
    <row r="1806" spans="1:66">
      <c r="A1806">
        <v>100630</v>
      </c>
      <c r="B1806" s="3" t="s">
        <v>211</v>
      </c>
      <c r="C1806" s="1">
        <v>43300101</v>
      </c>
      <c r="D1806" t="s">
        <v>67</v>
      </c>
      <c r="H1806" t="str">
        <f t="shared" si="181"/>
        <v>05688870483</v>
      </c>
      <c r="I1806" t="str">
        <f t="shared" si="181"/>
        <v>05688870483</v>
      </c>
      <c r="K1806" t="str">
        <f>""</f>
        <v/>
      </c>
      <c r="M1806" t="s">
        <v>68</v>
      </c>
      <c r="N1806" t="str">
        <f t="shared" si="180"/>
        <v>FOR</v>
      </c>
      <c r="O1806" t="s">
        <v>69</v>
      </c>
      <c r="P1806" s="3" t="s">
        <v>75</v>
      </c>
      <c r="Q1806">
        <v>2015</v>
      </c>
      <c r="R1806" s="2">
        <v>42338</v>
      </c>
      <c r="S1806" s="2">
        <v>42340</v>
      </c>
      <c r="T1806" s="2">
        <v>42339</v>
      </c>
      <c r="U1806" s="2">
        <v>42399</v>
      </c>
      <c r="V1806" t="s">
        <v>71</v>
      </c>
      <c r="W1806" t="str">
        <f>"              909323"</f>
        <v xml:space="preserve">              909323</v>
      </c>
      <c r="X1806" s="1">
        <v>2844.22</v>
      </c>
      <c r="Y1806">
        <v>0</v>
      </c>
      <c r="Z1806" s="5">
        <v>2331.33</v>
      </c>
      <c r="AA1806">
        <v>293</v>
      </c>
      <c r="AB1806" s="5">
        <v>683079.69</v>
      </c>
      <c r="AC1806" s="1">
        <v>2331.33</v>
      </c>
      <c r="AD1806">
        <v>293</v>
      </c>
      <c r="AE1806" s="1">
        <v>683079.69</v>
      </c>
      <c r="AF1806">
        <v>0</v>
      </c>
      <c r="AJ1806">
        <v>0</v>
      </c>
      <c r="AK1806">
        <v>0</v>
      </c>
      <c r="AL1806">
        <v>0</v>
      </c>
      <c r="AM1806">
        <v>0</v>
      </c>
      <c r="AN1806">
        <v>0</v>
      </c>
      <c r="AO1806">
        <v>0</v>
      </c>
      <c r="AP1806" s="2">
        <v>42746</v>
      </c>
      <c r="AQ1806" t="s">
        <v>72</v>
      </c>
      <c r="AR1806" t="s">
        <v>72</v>
      </c>
      <c r="AS1806">
        <v>3188</v>
      </c>
      <c r="AT1806" s="4">
        <v>42692</v>
      </c>
      <c r="AU1806" t="s">
        <v>73</v>
      </c>
      <c r="AV1806">
        <v>3188</v>
      </c>
      <c r="AW1806" s="4">
        <v>42692</v>
      </c>
      <c r="BD1806">
        <v>0</v>
      </c>
      <c r="BN1806" t="s">
        <v>74</v>
      </c>
    </row>
    <row r="1807" spans="1:66">
      <c r="A1807">
        <v>100630</v>
      </c>
      <c r="B1807" s="3" t="s">
        <v>211</v>
      </c>
      <c r="C1807" s="1">
        <v>43300101</v>
      </c>
      <c r="D1807" t="s">
        <v>67</v>
      </c>
      <c r="H1807" t="str">
        <f t="shared" si="181"/>
        <v>05688870483</v>
      </c>
      <c r="I1807" t="str">
        <f t="shared" si="181"/>
        <v>05688870483</v>
      </c>
      <c r="K1807" t="str">
        <f>""</f>
        <v/>
      </c>
      <c r="M1807" t="s">
        <v>68</v>
      </c>
      <c r="N1807" t="str">
        <f t="shared" si="180"/>
        <v>FOR</v>
      </c>
      <c r="O1807" t="s">
        <v>69</v>
      </c>
      <c r="P1807" s="3" t="s">
        <v>75</v>
      </c>
      <c r="Q1807">
        <v>2015</v>
      </c>
      <c r="R1807" s="2">
        <v>42359</v>
      </c>
      <c r="S1807" s="2">
        <v>42361</v>
      </c>
      <c r="T1807" s="2">
        <v>42360</v>
      </c>
      <c r="U1807" s="2">
        <v>42420</v>
      </c>
      <c r="V1807" t="s">
        <v>71</v>
      </c>
      <c r="W1807" t="str">
        <f>"              910286"</f>
        <v xml:space="preserve">              910286</v>
      </c>
      <c r="X1807">
        <v>223.38</v>
      </c>
      <c r="Y1807">
        <v>0</v>
      </c>
      <c r="Z1807" s="3">
        <v>183.1</v>
      </c>
      <c r="AA1807">
        <v>272</v>
      </c>
      <c r="AB1807" s="5">
        <v>49803.199999999997</v>
      </c>
      <c r="AC1807">
        <v>183.1</v>
      </c>
      <c r="AD1807">
        <v>272</v>
      </c>
      <c r="AE1807" s="1">
        <v>49803.199999999997</v>
      </c>
      <c r="AF1807">
        <v>0</v>
      </c>
      <c r="AJ1807">
        <v>0</v>
      </c>
      <c r="AK1807">
        <v>0</v>
      </c>
      <c r="AL1807">
        <v>0</v>
      </c>
      <c r="AM1807">
        <v>0</v>
      </c>
      <c r="AN1807">
        <v>0</v>
      </c>
      <c r="AO1807">
        <v>0</v>
      </c>
      <c r="AP1807" s="2">
        <v>42746</v>
      </c>
      <c r="AQ1807" t="s">
        <v>72</v>
      </c>
      <c r="AR1807" t="s">
        <v>72</v>
      </c>
      <c r="AS1807">
        <v>3188</v>
      </c>
      <c r="AT1807" s="4">
        <v>42692</v>
      </c>
      <c r="AU1807" t="s">
        <v>73</v>
      </c>
      <c r="AV1807">
        <v>3188</v>
      </c>
      <c r="AW1807" s="4">
        <v>42692</v>
      </c>
      <c r="BD1807">
        <v>0</v>
      </c>
      <c r="BN1807" t="s">
        <v>74</v>
      </c>
    </row>
    <row r="1808" spans="1:66">
      <c r="A1808">
        <v>100630</v>
      </c>
      <c r="B1808" s="3" t="s">
        <v>211</v>
      </c>
      <c r="C1808" s="1">
        <v>43300101</v>
      </c>
      <c r="D1808" t="s">
        <v>67</v>
      </c>
      <c r="H1808" t="str">
        <f t="shared" si="181"/>
        <v>05688870483</v>
      </c>
      <c r="I1808" t="str">
        <f t="shared" si="181"/>
        <v>05688870483</v>
      </c>
      <c r="K1808" t="str">
        <f>""</f>
        <v/>
      </c>
      <c r="M1808" t="s">
        <v>68</v>
      </c>
      <c r="N1808" t="str">
        <f t="shared" si="180"/>
        <v>FOR</v>
      </c>
      <c r="O1808" t="s">
        <v>69</v>
      </c>
      <c r="P1808" s="3" t="s">
        <v>75</v>
      </c>
      <c r="Q1808">
        <v>2015</v>
      </c>
      <c r="R1808" s="2">
        <v>42368</v>
      </c>
      <c r="S1808" s="2">
        <v>42369</v>
      </c>
      <c r="T1808" s="2">
        <v>42369</v>
      </c>
      <c r="U1808" s="2">
        <v>42429</v>
      </c>
      <c r="V1808" t="s">
        <v>71</v>
      </c>
      <c r="W1808" t="str">
        <f>"              910600"</f>
        <v xml:space="preserve">              910600</v>
      </c>
      <c r="X1808" s="1">
        <v>1374.9</v>
      </c>
      <c r="Y1808">
        <v>0</v>
      </c>
      <c r="Z1808" s="5">
        <v>1126.97</v>
      </c>
      <c r="AA1808">
        <v>263</v>
      </c>
      <c r="AB1808" s="5">
        <v>296393.11</v>
      </c>
      <c r="AC1808" s="1">
        <v>1126.97</v>
      </c>
      <c r="AD1808">
        <v>263</v>
      </c>
      <c r="AE1808" s="1">
        <v>296393.11</v>
      </c>
      <c r="AF1808">
        <v>0</v>
      </c>
      <c r="AJ1808">
        <v>0</v>
      </c>
      <c r="AK1808">
        <v>0</v>
      </c>
      <c r="AL1808">
        <v>0</v>
      </c>
      <c r="AM1808">
        <v>0</v>
      </c>
      <c r="AN1808">
        <v>0</v>
      </c>
      <c r="AO1808">
        <v>0</v>
      </c>
      <c r="AP1808" s="2">
        <v>42746</v>
      </c>
      <c r="AQ1808" t="s">
        <v>72</v>
      </c>
      <c r="AR1808" t="s">
        <v>72</v>
      </c>
      <c r="AS1808">
        <v>3188</v>
      </c>
      <c r="AT1808" s="4">
        <v>42692</v>
      </c>
      <c r="AU1808" t="s">
        <v>73</v>
      </c>
      <c r="AV1808">
        <v>3188</v>
      </c>
      <c r="AW1808" s="4">
        <v>42692</v>
      </c>
      <c r="BD1808">
        <v>0</v>
      </c>
      <c r="BN1808" t="s">
        <v>74</v>
      </c>
    </row>
    <row r="1809" spans="1:66">
      <c r="A1809">
        <v>100630</v>
      </c>
      <c r="B1809" s="3" t="s">
        <v>211</v>
      </c>
      <c r="C1809" s="1">
        <v>43300101</v>
      </c>
      <c r="D1809" t="s">
        <v>67</v>
      </c>
      <c r="H1809" t="str">
        <f t="shared" si="181"/>
        <v>05688870483</v>
      </c>
      <c r="I1809" t="str">
        <f t="shared" si="181"/>
        <v>05688870483</v>
      </c>
      <c r="K1809" t="str">
        <f>""</f>
        <v/>
      </c>
      <c r="M1809" t="s">
        <v>68</v>
      </c>
      <c r="N1809" t="str">
        <f t="shared" si="180"/>
        <v>FOR</v>
      </c>
      <c r="O1809" t="s">
        <v>69</v>
      </c>
      <c r="P1809" s="3" t="s">
        <v>75</v>
      </c>
      <c r="Q1809">
        <v>2015</v>
      </c>
      <c r="R1809" s="2">
        <v>42368</v>
      </c>
      <c r="S1809" s="2">
        <v>42369</v>
      </c>
      <c r="T1809" s="2">
        <v>42369</v>
      </c>
      <c r="U1809" s="2">
        <v>42429</v>
      </c>
      <c r="V1809" t="s">
        <v>71</v>
      </c>
      <c r="W1809" t="str">
        <f>"              910601"</f>
        <v xml:space="preserve">              910601</v>
      </c>
      <c r="X1809" s="1">
        <v>2844.22</v>
      </c>
      <c r="Y1809">
        <v>0</v>
      </c>
      <c r="Z1809" s="5">
        <v>2331.33</v>
      </c>
      <c r="AA1809">
        <v>289</v>
      </c>
      <c r="AB1809" s="5">
        <v>673754.37</v>
      </c>
      <c r="AC1809" s="1">
        <v>2331.33</v>
      </c>
      <c r="AD1809">
        <v>289</v>
      </c>
      <c r="AE1809" s="1">
        <v>673754.37</v>
      </c>
      <c r="AF1809">
        <v>512.89</v>
      </c>
      <c r="AJ1809">
        <v>0</v>
      </c>
      <c r="AK1809">
        <v>0</v>
      </c>
      <c r="AL1809">
        <v>0</v>
      </c>
      <c r="AM1809">
        <v>0</v>
      </c>
      <c r="AN1809">
        <v>0</v>
      </c>
      <c r="AO1809">
        <v>0</v>
      </c>
      <c r="AP1809" s="2">
        <v>42746</v>
      </c>
      <c r="AQ1809" t="s">
        <v>72</v>
      </c>
      <c r="AR1809" t="s">
        <v>72</v>
      </c>
      <c r="AS1809">
        <v>3492</v>
      </c>
      <c r="AT1809" s="4">
        <v>42718</v>
      </c>
      <c r="AU1809" t="s">
        <v>73</v>
      </c>
      <c r="AV1809">
        <v>3492</v>
      </c>
      <c r="AW1809" s="4">
        <v>42718</v>
      </c>
      <c r="BD1809">
        <v>512.89</v>
      </c>
      <c r="BN1809" t="s">
        <v>74</v>
      </c>
    </row>
    <row r="1810" spans="1:66">
      <c r="A1810">
        <v>100630</v>
      </c>
      <c r="B1810" s="3" t="s">
        <v>211</v>
      </c>
      <c r="C1810" s="1">
        <v>43300101</v>
      </c>
      <c r="D1810" t="s">
        <v>67</v>
      </c>
      <c r="H1810" t="str">
        <f t="shared" si="181"/>
        <v>05688870483</v>
      </c>
      <c r="I1810" t="str">
        <f t="shared" si="181"/>
        <v>05688870483</v>
      </c>
      <c r="K1810" t="str">
        <f>""</f>
        <v/>
      </c>
      <c r="M1810" t="s">
        <v>68</v>
      </c>
      <c r="N1810" t="str">
        <f t="shared" si="180"/>
        <v>FOR</v>
      </c>
      <c r="O1810" t="s">
        <v>69</v>
      </c>
      <c r="P1810" s="3" t="s">
        <v>75</v>
      </c>
      <c r="Q1810">
        <v>2016</v>
      </c>
      <c r="R1810" s="2">
        <v>42405</v>
      </c>
      <c r="S1810" s="2">
        <v>42410</v>
      </c>
      <c r="T1810" s="2">
        <v>42408</v>
      </c>
      <c r="U1810" s="2">
        <v>42468</v>
      </c>
      <c r="V1810" t="s">
        <v>71</v>
      </c>
      <c r="W1810" t="str">
        <f>"              901067"</f>
        <v xml:space="preserve">              901067</v>
      </c>
      <c r="X1810" s="1">
        <v>4407.1899999999996</v>
      </c>
      <c r="Y1810">
        <v>0</v>
      </c>
      <c r="Z1810" s="5">
        <v>3612.45</v>
      </c>
      <c r="AA1810">
        <v>251</v>
      </c>
      <c r="AB1810" s="5">
        <v>906724.95</v>
      </c>
      <c r="AC1810" s="1">
        <v>3612.45</v>
      </c>
      <c r="AD1810">
        <v>251</v>
      </c>
      <c r="AE1810" s="1">
        <v>906724.95</v>
      </c>
      <c r="AF1810">
        <v>794.74</v>
      </c>
      <c r="AJ1810">
        <v>0</v>
      </c>
      <c r="AK1810">
        <v>0</v>
      </c>
      <c r="AL1810">
        <v>0</v>
      </c>
      <c r="AM1810" s="1">
        <v>4407.1899999999996</v>
      </c>
      <c r="AN1810" s="1">
        <v>4407.1899999999996</v>
      </c>
      <c r="AO1810" s="1">
        <v>4407.1899999999996</v>
      </c>
      <c r="AP1810" s="2">
        <v>42746</v>
      </c>
      <c r="AQ1810" t="s">
        <v>72</v>
      </c>
      <c r="AR1810" t="s">
        <v>72</v>
      </c>
      <c r="AS1810">
        <v>3527</v>
      </c>
      <c r="AT1810" s="4">
        <v>42719</v>
      </c>
      <c r="AU1810" t="s">
        <v>73</v>
      </c>
      <c r="AV1810">
        <v>3527</v>
      </c>
      <c r="AW1810" s="4">
        <v>42719</v>
      </c>
      <c r="BD1810">
        <v>794.74</v>
      </c>
      <c r="BN1810" t="s">
        <v>74</v>
      </c>
    </row>
    <row r="1811" spans="1:66">
      <c r="A1811">
        <v>100630</v>
      </c>
      <c r="B1811" s="3" t="s">
        <v>211</v>
      </c>
      <c r="C1811" s="1">
        <v>43300101</v>
      </c>
      <c r="D1811" t="s">
        <v>67</v>
      </c>
      <c r="H1811" t="str">
        <f t="shared" si="181"/>
        <v>05688870483</v>
      </c>
      <c r="I1811" t="str">
        <f t="shared" si="181"/>
        <v>05688870483</v>
      </c>
      <c r="K1811" t="str">
        <f>""</f>
        <v/>
      </c>
      <c r="M1811" t="s">
        <v>68</v>
      </c>
      <c r="N1811" t="str">
        <f t="shared" si="180"/>
        <v>FOR</v>
      </c>
      <c r="O1811" t="s">
        <v>69</v>
      </c>
      <c r="P1811" s="3" t="s">
        <v>75</v>
      </c>
      <c r="Q1811">
        <v>2016</v>
      </c>
      <c r="R1811" s="2">
        <v>42405</v>
      </c>
      <c r="S1811" s="2">
        <v>42410</v>
      </c>
      <c r="T1811" s="2">
        <v>42408</v>
      </c>
      <c r="U1811" s="2">
        <v>42468</v>
      </c>
      <c r="V1811" t="s">
        <v>71</v>
      </c>
      <c r="W1811" t="str">
        <f>"              901068"</f>
        <v xml:space="preserve">              901068</v>
      </c>
      <c r="X1811" s="1">
        <v>4825.6499999999996</v>
      </c>
      <c r="Y1811">
        <v>0</v>
      </c>
      <c r="Z1811" s="5">
        <v>3955.45</v>
      </c>
      <c r="AA1811">
        <v>251</v>
      </c>
      <c r="AB1811" s="5">
        <v>992817.95</v>
      </c>
      <c r="AC1811" s="1">
        <v>3955.45</v>
      </c>
      <c r="AD1811">
        <v>251</v>
      </c>
      <c r="AE1811" s="1">
        <v>992817.95</v>
      </c>
      <c r="AF1811">
        <v>870.2</v>
      </c>
      <c r="AJ1811">
        <v>0</v>
      </c>
      <c r="AK1811">
        <v>0</v>
      </c>
      <c r="AL1811">
        <v>0</v>
      </c>
      <c r="AM1811" s="1">
        <v>4825.6499999999996</v>
      </c>
      <c r="AN1811" s="1">
        <v>4825.6499999999996</v>
      </c>
      <c r="AO1811" s="1">
        <v>4825.6499999999996</v>
      </c>
      <c r="AP1811" s="2">
        <v>42746</v>
      </c>
      <c r="AQ1811" t="s">
        <v>72</v>
      </c>
      <c r="AR1811" t="s">
        <v>72</v>
      </c>
      <c r="AS1811">
        <v>3527</v>
      </c>
      <c r="AT1811" s="4">
        <v>42719</v>
      </c>
      <c r="AU1811" t="s">
        <v>73</v>
      </c>
      <c r="AV1811">
        <v>3527</v>
      </c>
      <c r="AW1811" s="4">
        <v>42719</v>
      </c>
      <c r="BD1811">
        <v>870.2</v>
      </c>
      <c r="BN1811" t="s">
        <v>74</v>
      </c>
    </row>
    <row r="1812" spans="1:66">
      <c r="A1812">
        <v>100630</v>
      </c>
      <c r="B1812" s="3" t="s">
        <v>211</v>
      </c>
      <c r="C1812" s="1">
        <v>43300101</v>
      </c>
      <c r="D1812" t="s">
        <v>67</v>
      </c>
      <c r="H1812" t="str">
        <f t="shared" si="181"/>
        <v>05688870483</v>
      </c>
      <c r="I1812" t="str">
        <f t="shared" si="181"/>
        <v>05688870483</v>
      </c>
      <c r="K1812" t="str">
        <f>""</f>
        <v/>
      </c>
      <c r="M1812" t="s">
        <v>68</v>
      </c>
      <c r="N1812" t="str">
        <f t="shared" si="180"/>
        <v>FOR</v>
      </c>
      <c r="O1812" t="s">
        <v>69</v>
      </c>
      <c r="P1812" s="3" t="s">
        <v>75</v>
      </c>
      <c r="Q1812">
        <v>2016</v>
      </c>
      <c r="R1812" s="2">
        <v>42405</v>
      </c>
      <c r="S1812" s="2">
        <v>42410</v>
      </c>
      <c r="T1812" s="2">
        <v>42408</v>
      </c>
      <c r="U1812" s="2">
        <v>42468</v>
      </c>
      <c r="V1812" t="s">
        <v>71</v>
      </c>
      <c r="W1812" t="str">
        <f>"              901140"</f>
        <v xml:space="preserve">              901140</v>
      </c>
      <c r="X1812" s="1">
        <v>4209</v>
      </c>
      <c r="Y1812">
        <v>0</v>
      </c>
      <c r="Z1812" s="5">
        <v>3450</v>
      </c>
      <c r="AA1812">
        <v>251</v>
      </c>
      <c r="AB1812" s="5">
        <v>865950</v>
      </c>
      <c r="AC1812" s="1">
        <v>3450</v>
      </c>
      <c r="AD1812">
        <v>251</v>
      </c>
      <c r="AE1812" s="1">
        <v>865950</v>
      </c>
      <c r="AF1812">
        <v>759</v>
      </c>
      <c r="AJ1812">
        <v>0</v>
      </c>
      <c r="AK1812">
        <v>0</v>
      </c>
      <c r="AL1812">
        <v>0</v>
      </c>
      <c r="AM1812" s="1">
        <v>4209</v>
      </c>
      <c r="AN1812" s="1">
        <v>4209</v>
      </c>
      <c r="AO1812" s="1">
        <v>4209</v>
      </c>
      <c r="AP1812" s="2">
        <v>42746</v>
      </c>
      <c r="AQ1812" t="s">
        <v>72</v>
      </c>
      <c r="AR1812" t="s">
        <v>72</v>
      </c>
      <c r="AS1812">
        <v>3527</v>
      </c>
      <c r="AT1812" s="4">
        <v>42719</v>
      </c>
      <c r="AU1812" t="s">
        <v>73</v>
      </c>
      <c r="AV1812">
        <v>3527</v>
      </c>
      <c r="AW1812" s="4">
        <v>42719</v>
      </c>
      <c r="BD1812">
        <v>759</v>
      </c>
      <c r="BN1812" t="s">
        <v>74</v>
      </c>
    </row>
    <row r="1813" spans="1:66">
      <c r="A1813">
        <v>100630</v>
      </c>
      <c r="B1813" s="3" t="s">
        <v>211</v>
      </c>
      <c r="C1813" s="1">
        <v>43300101</v>
      </c>
      <c r="D1813" t="s">
        <v>67</v>
      </c>
      <c r="H1813" t="str">
        <f t="shared" si="181"/>
        <v>05688870483</v>
      </c>
      <c r="I1813" t="str">
        <f t="shared" si="181"/>
        <v>05688870483</v>
      </c>
      <c r="K1813" t="str">
        <f>""</f>
        <v/>
      </c>
      <c r="M1813" t="s">
        <v>68</v>
      </c>
      <c r="N1813" t="str">
        <f t="shared" si="180"/>
        <v>FOR</v>
      </c>
      <c r="O1813" t="s">
        <v>69</v>
      </c>
      <c r="P1813" s="3" t="s">
        <v>75</v>
      </c>
      <c r="Q1813">
        <v>2016</v>
      </c>
      <c r="R1813" s="2">
        <v>42444</v>
      </c>
      <c r="S1813" s="2">
        <v>42446</v>
      </c>
      <c r="T1813" s="2">
        <v>42445</v>
      </c>
      <c r="U1813" s="2">
        <v>42505</v>
      </c>
      <c r="V1813" t="s">
        <v>71</v>
      </c>
      <c r="W1813" t="str">
        <f>"              902413"</f>
        <v xml:space="preserve">              902413</v>
      </c>
      <c r="X1813" s="1">
        <v>3179.38</v>
      </c>
      <c r="Y1813">
        <v>0</v>
      </c>
      <c r="Z1813" s="5">
        <v>2606.0500000000002</v>
      </c>
      <c r="AA1813">
        <v>214</v>
      </c>
      <c r="AB1813" s="5">
        <v>557694.69999999995</v>
      </c>
      <c r="AC1813" s="1">
        <v>2606.0500000000002</v>
      </c>
      <c r="AD1813">
        <v>214</v>
      </c>
      <c r="AE1813" s="1">
        <v>557694.69999999995</v>
      </c>
      <c r="AF1813">
        <v>573.33000000000004</v>
      </c>
      <c r="AJ1813">
        <v>0</v>
      </c>
      <c r="AK1813">
        <v>0</v>
      </c>
      <c r="AL1813">
        <v>0</v>
      </c>
      <c r="AM1813" s="1">
        <v>3179.38</v>
      </c>
      <c r="AN1813" s="1">
        <v>3179.38</v>
      </c>
      <c r="AO1813" s="1">
        <v>3179.38</v>
      </c>
      <c r="AP1813" s="2">
        <v>42746</v>
      </c>
      <c r="AQ1813" t="s">
        <v>72</v>
      </c>
      <c r="AR1813" t="s">
        <v>72</v>
      </c>
      <c r="AS1813">
        <v>3527</v>
      </c>
      <c r="AT1813" s="4">
        <v>42719</v>
      </c>
      <c r="AU1813" t="s">
        <v>73</v>
      </c>
      <c r="AV1813">
        <v>3527</v>
      </c>
      <c r="AW1813" s="4">
        <v>42719</v>
      </c>
      <c r="BD1813">
        <v>573.33000000000004</v>
      </c>
      <c r="BN1813" t="s">
        <v>74</v>
      </c>
    </row>
    <row r="1814" spans="1:66">
      <c r="A1814">
        <v>100630</v>
      </c>
      <c r="B1814" s="3" t="s">
        <v>211</v>
      </c>
      <c r="C1814" s="1">
        <v>43300101</v>
      </c>
      <c r="D1814" t="s">
        <v>67</v>
      </c>
      <c r="H1814" t="str">
        <f t="shared" si="181"/>
        <v>05688870483</v>
      </c>
      <c r="I1814" t="str">
        <f t="shared" si="181"/>
        <v>05688870483</v>
      </c>
      <c r="K1814" t="str">
        <f>""</f>
        <v/>
      </c>
      <c r="M1814" t="s">
        <v>68</v>
      </c>
      <c r="N1814" t="str">
        <f t="shared" si="180"/>
        <v>FOR</v>
      </c>
      <c r="O1814" t="s">
        <v>69</v>
      </c>
      <c r="P1814" s="3" t="s">
        <v>75</v>
      </c>
      <c r="Q1814">
        <v>2016</v>
      </c>
      <c r="R1814" s="2">
        <v>42453</v>
      </c>
      <c r="S1814" s="2">
        <v>42454</v>
      </c>
      <c r="T1814" s="2">
        <v>42454</v>
      </c>
      <c r="U1814" s="2">
        <v>42514</v>
      </c>
      <c r="V1814" t="s">
        <v>71</v>
      </c>
      <c r="W1814" t="str">
        <f>"              902681"</f>
        <v xml:space="preserve">              902681</v>
      </c>
      <c r="X1814" s="1">
        <v>1767.78</v>
      </c>
      <c r="Y1814">
        <v>0</v>
      </c>
      <c r="Z1814" s="5">
        <v>1449</v>
      </c>
      <c r="AA1814">
        <v>205</v>
      </c>
      <c r="AB1814" s="5">
        <v>297045</v>
      </c>
      <c r="AC1814" s="1">
        <v>1449</v>
      </c>
      <c r="AD1814">
        <v>205</v>
      </c>
      <c r="AE1814" s="1">
        <v>297045</v>
      </c>
      <c r="AF1814">
        <v>318.77999999999997</v>
      </c>
      <c r="AJ1814">
        <v>0</v>
      </c>
      <c r="AK1814">
        <v>0</v>
      </c>
      <c r="AL1814">
        <v>0</v>
      </c>
      <c r="AM1814" s="1">
        <v>1767.78</v>
      </c>
      <c r="AN1814" s="1">
        <v>1767.78</v>
      </c>
      <c r="AO1814" s="1">
        <v>1767.78</v>
      </c>
      <c r="AP1814" s="2">
        <v>42746</v>
      </c>
      <c r="AQ1814" t="s">
        <v>72</v>
      </c>
      <c r="AR1814" t="s">
        <v>72</v>
      </c>
      <c r="AS1814">
        <v>3527</v>
      </c>
      <c r="AT1814" s="4">
        <v>42719</v>
      </c>
      <c r="AU1814" t="s">
        <v>73</v>
      </c>
      <c r="AV1814">
        <v>3527</v>
      </c>
      <c r="AW1814" s="4">
        <v>42719</v>
      </c>
      <c r="BD1814">
        <v>318.77999999999997</v>
      </c>
      <c r="BN1814" t="s">
        <v>74</v>
      </c>
    </row>
    <row r="1815" spans="1:66">
      <c r="A1815">
        <v>100633</v>
      </c>
      <c r="B1815" s="3" t="s">
        <v>212</v>
      </c>
      <c r="C1815" s="1">
        <v>43300101</v>
      </c>
      <c r="D1815" t="s">
        <v>67</v>
      </c>
      <c r="H1815" t="str">
        <f>"00997380191"</f>
        <v>00997380191</v>
      </c>
      <c r="I1815" t="str">
        <f>"00997380191"</f>
        <v>00997380191</v>
      </c>
      <c r="K1815" t="str">
        <f>""</f>
        <v/>
      </c>
      <c r="M1815" t="s">
        <v>68</v>
      </c>
      <c r="N1815" t="str">
        <f t="shared" si="180"/>
        <v>FOR</v>
      </c>
      <c r="O1815" t="s">
        <v>69</v>
      </c>
      <c r="P1815" s="3" t="s">
        <v>70</v>
      </c>
      <c r="Q1815">
        <v>2014</v>
      </c>
      <c r="R1815" s="2">
        <v>41971</v>
      </c>
      <c r="S1815" s="2">
        <v>42004</v>
      </c>
      <c r="T1815" s="2">
        <v>42004</v>
      </c>
      <c r="U1815" s="2">
        <v>42064</v>
      </c>
      <c r="V1815" t="s">
        <v>71</v>
      </c>
      <c r="W1815" t="str">
        <f>"                 601"</f>
        <v xml:space="preserve">                 601</v>
      </c>
      <c r="X1815" s="1">
        <v>3676.1</v>
      </c>
      <c r="Y1815">
        <v>0</v>
      </c>
      <c r="Z1815" s="5">
        <v>3676.1</v>
      </c>
      <c r="AA1815">
        <v>614</v>
      </c>
      <c r="AB1815" s="5">
        <v>2257125.4</v>
      </c>
      <c r="AC1815" s="1">
        <v>3676.1</v>
      </c>
      <c r="AD1815">
        <v>614</v>
      </c>
      <c r="AE1815" s="1">
        <v>2257125.4</v>
      </c>
      <c r="AF1815">
        <v>0</v>
      </c>
      <c r="AJ1815">
        <v>0</v>
      </c>
      <c r="AK1815">
        <v>0</v>
      </c>
      <c r="AL1815">
        <v>0</v>
      </c>
      <c r="AM1815">
        <v>0</v>
      </c>
      <c r="AN1815">
        <v>0</v>
      </c>
      <c r="AO1815">
        <v>0</v>
      </c>
      <c r="AP1815" s="2">
        <v>42746</v>
      </c>
      <c r="AQ1815" t="s">
        <v>72</v>
      </c>
      <c r="AR1815" t="s">
        <v>72</v>
      </c>
      <c r="AS1815">
        <v>2934</v>
      </c>
      <c r="AT1815" s="4">
        <v>42678</v>
      </c>
      <c r="AU1815" t="s">
        <v>73</v>
      </c>
      <c r="AV1815">
        <v>2934</v>
      </c>
      <c r="AW1815" s="4">
        <v>42678</v>
      </c>
      <c r="BD1815">
        <v>0</v>
      </c>
      <c r="BN1815" t="s">
        <v>74</v>
      </c>
    </row>
    <row r="1816" spans="1:66" hidden="1">
      <c r="A1816">
        <v>100636</v>
      </c>
      <c r="B1816" s="3" t="s">
        <v>213</v>
      </c>
      <c r="C1816" s="1">
        <v>43300101</v>
      </c>
      <c r="D1816" t="s">
        <v>67</v>
      </c>
      <c r="H1816" t="str">
        <f t="shared" ref="H1816:I1825" si="182">"00397360488"</f>
        <v>00397360488</v>
      </c>
      <c r="I1816" t="str">
        <f t="shared" si="182"/>
        <v>00397360488</v>
      </c>
      <c r="K1816" t="str">
        <f>""</f>
        <v/>
      </c>
      <c r="M1816" t="s">
        <v>68</v>
      </c>
      <c r="N1816" t="str">
        <f t="shared" si="180"/>
        <v>FOR</v>
      </c>
      <c r="O1816" t="s">
        <v>69</v>
      </c>
      <c r="P1816" s="3" t="s">
        <v>75</v>
      </c>
      <c r="Q1816">
        <v>2015</v>
      </c>
      <c r="R1816" s="2">
        <v>42215</v>
      </c>
      <c r="S1816" s="2">
        <v>42220</v>
      </c>
      <c r="T1816" s="2">
        <v>42219</v>
      </c>
      <c r="U1816" s="2">
        <v>42279</v>
      </c>
      <c r="V1816" t="s">
        <v>71</v>
      </c>
      <c r="W1816" t="str">
        <f>"           0004350SP"</f>
        <v xml:space="preserve">           0004350SP</v>
      </c>
      <c r="X1816">
        <v>496.89</v>
      </c>
      <c r="Y1816">
        <v>0</v>
      </c>
      <c r="Z1816"/>
      <c r="AB1816"/>
      <c r="AC1816">
        <v>407.29</v>
      </c>
      <c r="AD1816">
        <v>173</v>
      </c>
      <c r="AE1816" s="1">
        <v>70461.17</v>
      </c>
      <c r="AF1816">
        <v>0</v>
      </c>
      <c r="AJ1816">
        <v>0</v>
      </c>
      <c r="AK1816">
        <v>0</v>
      </c>
      <c r="AL1816">
        <v>0</v>
      </c>
      <c r="AM1816">
        <v>0</v>
      </c>
      <c r="AN1816">
        <v>0</v>
      </c>
      <c r="AO1816">
        <v>0</v>
      </c>
      <c r="AP1816" s="2">
        <v>42746</v>
      </c>
      <c r="AQ1816" t="s">
        <v>72</v>
      </c>
      <c r="AR1816" t="s">
        <v>72</v>
      </c>
      <c r="AS1816">
        <v>807</v>
      </c>
      <c r="AT1816" s="4">
        <v>42452</v>
      </c>
      <c r="AU1816" t="s">
        <v>73</v>
      </c>
      <c r="AV1816">
        <v>807</v>
      </c>
      <c r="AW1816" s="4">
        <v>42452</v>
      </c>
      <c r="BD1816">
        <v>0</v>
      </c>
      <c r="BN1816" t="s">
        <v>74</v>
      </c>
    </row>
    <row r="1817" spans="1:66" hidden="1">
      <c r="A1817">
        <v>100636</v>
      </c>
      <c r="B1817" s="3" t="s">
        <v>213</v>
      </c>
      <c r="C1817" s="1">
        <v>43300101</v>
      </c>
      <c r="D1817" t="s">
        <v>67</v>
      </c>
      <c r="H1817" t="str">
        <f t="shared" si="182"/>
        <v>00397360488</v>
      </c>
      <c r="I1817" t="str">
        <f t="shared" si="182"/>
        <v>00397360488</v>
      </c>
      <c r="K1817" t="str">
        <f>""</f>
        <v/>
      </c>
      <c r="M1817" t="s">
        <v>68</v>
      </c>
      <c r="N1817" t="str">
        <f t="shared" si="180"/>
        <v>FOR</v>
      </c>
      <c r="O1817" t="s">
        <v>69</v>
      </c>
      <c r="P1817" s="3" t="s">
        <v>75</v>
      </c>
      <c r="Q1817">
        <v>2015</v>
      </c>
      <c r="R1817" s="2">
        <v>42258</v>
      </c>
      <c r="S1817" s="2">
        <v>42265</v>
      </c>
      <c r="T1817" s="2">
        <v>42263</v>
      </c>
      <c r="U1817" s="2">
        <v>42323</v>
      </c>
      <c r="V1817" t="s">
        <v>71</v>
      </c>
      <c r="W1817" t="str">
        <f>"           0004969SP"</f>
        <v xml:space="preserve">           0004969SP</v>
      </c>
      <c r="X1817">
        <v>977.83</v>
      </c>
      <c r="Y1817">
        <v>0</v>
      </c>
      <c r="Z1817"/>
      <c r="AB1817"/>
      <c r="AC1817">
        <v>801.5</v>
      </c>
      <c r="AD1817">
        <v>129</v>
      </c>
      <c r="AE1817" s="1">
        <v>103393.5</v>
      </c>
      <c r="AF1817">
        <v>0</v>
      </c>
      <c r="AJ1817">
        <v>0</v>
      </c>
      <c r="AK1817">
        <v>0</v>
      </c>
      <c r="AL1817">
        <v>0</v>
      </c>
      <c r="AM1817">
        <v>0</v>
      </c>
      <c r="AN1817">
        <v>0</v>
      </c>
      <c r="AO1817">
        <v>0</v>
      </c>
      <c r="AP1817" s="2">
        <v>42746</v>
      </c>
      <c r="AQ1817" t="s">
        <v>72</v>
      </c>
      <c r="AR1817" t="s">
        <v>72</v>
      </c>
      <c r="AS1817">
        <v>807</v>
      </c>
      <c r="AT1817" s="4">
        <v>42452</v>
      </c>
      <c r="AU1817" t="s">
        <v>73</v>
      </c>
      <c r="AV1817">
        <v>807</v>
      </c>
      <c r="AW1817" s="4">
        <v>42452</v>
      </c>
      <c r="BD1817">
        <v>0</v>
      </c>
      <c r="BN1817" t="s">
        <v>74</v>
      </c>
    </row>
    <row r="1818" spans="1:66" hidden="1">
      <c r="A1818">
        <v>100636</v>
      </c>
      <c r="B1818" s="3" t="s">
        <v>213</v>
      </c>
      <c r="C1818" s="1">
        <v>43300101</v>
      </c>
      <c r="D1818" t="s">
        <v>67</v>
      </c>
      <c r="H1818" t="str">
        <f t="shared" si="182"/>
        <v>00397360488</v>
      </c>
      <c r="I1818" t="str">
        <f t="shared" si="182"/>
        <v>00397360488</v>
      </c>
      <c r="K1818" t="str">
        <f>""</f>
        <v/>
      </c>
      <c r="M1818" t="s">
        <v>68</v>
      </c>
      <c r="N1818" t="str">
        <f t="shared" si="180"/>
        <v>FOR</v>
      </c>
      <c r="O1818" t="s">
        <v>69</v>
      </c>
      <c r="P1818" s="3" t="s">
        <v>75</v>
      </c>
      <c r="Q1818">
        <v>2015</v>
      </c>
      <c r="R1818" s="2">
        <v>42333</v>
      </c>
      <c r="S1818" s="2">
        <v>42338</v>
      </c>
      <c r="T1818" s="2">
        <v>42335</v>
      </c>
      <c r="U1818" s="2">
        <v>42395</v>
      </c>
      <c r="V1818" t="s">
        <v>71</v>
      </c>
      <c r="W1818" t="str">
        <f>"           0006586SP"</f>
        <v xml:space="preserve">           0006586SP</v>
      </c>
      <c r="X1818">
        <v>979.05</v>
      </c>
      <c r="Y1818">
        <v>0</v>
      </c>
      <c r="Z1818"/>
      <c r="AB1818"/>
      <c r="AC1818">
        <v>802.5</v>
      </c>
      <c r="AD1818">
        <v>57</v>
      </c>
      <c r="AE1818" s="1">
        <v>45742.5</v>
      </c>
      <c r="AF1818">
        <v>0</v>
      </c>
      <c r="AJ1818">
        <v>0</v>
      </c>
      <c r="AK1818">
        <v>0</v>
      </c>
      <c r="AL1818">
        <v>0</v>
      </c>
      <c r="AM1818">
        <v>0</v>
      </c>
      <c r="AN1818">
        <v>0</v>
      </c>
      <c r="AO1818">
        <v>0</v>
      </c>
      <c r="AP1818" s="2">
        <v>42746</v>
      </c>
      <c r="AQ1818" t="s">
        <v>72</v>
      </c>
      <c r="AR1818" t="s">
        <v>72</v>
      </c>
      <c r="AS1818">
        <v>807</v>
      </c>
      <c r="AT1818" s="4">
        <v>42452</v>
      </c>
      <c r="AU1818" t="s">
        <v>73</v>
      </c>
      <c r="AV1818">
        <v>807</v>
      </c>
      <c r="AW1818" s="4">
        <v>42452</v>
      </c>
      <c r="BD1818">
        <v>0</v>
      </c>
      <c r="BN1818" t="s">
        <v>74</v>
      </c>
    </row>
    <row r="1819" spans="1:66" hidden="1">
      <c r="A1819">
        <v>100636</v>
      </c>
      <c r="B1819" s="3" t="s">
        <v>213</v>
      </c>
      <c r="C1819" s="1">
        <v>43300101</v>
      </c>
      <c r="D1819" t="s">
        <v>67</v>
      </c>
      <c r="H1819" t="str">
        <f t="shared" si="182"/>
        <v>00397360488</v>
      </c>
      <c r="I1819" t="str">
        <f t="shared" si="182"/>
        <v>00397360488</v>
      </c>
      <c r="K1819" t="str">
        <f>""</f>
        <v/>
      </c>
      <c r="M1819" t="s">
        <v>68</v>
      </c>
      <c r="N1819" t="str">
        <f t="shared" si="180"/>
        <v>FOR</v>
      </c>
      <c r="O1819" t="s">
        <v>69</v>
      </c>
      <c r="P1819" s="3" t="s">
        <v>75</v>
      </c>
      <c r="Q1819">
        <v>2016</v>
      </c>
      <c r="R1819" s="2">
        <v>42394</v>
      </c>
      <c r="S1819" s="2">
        <v>42410</v>
      </c>
      <c r="T1819" s="2">
        <v>42401</v>
      </c>
      <c r="U1819" s="2">
        <v>42461</v>
      </c>
      <c r="V1819" t="s">
        <v>71</v>
      </c>
      <c r="W1819" t="str">
        <f>"           0000328SP"</f>
        <v xml:space="preserve">           0000328SP</v>
      </c>
      <c r="X1819">
        <v>223.26</v>
      </c>
      <c r="Y1819">
        <v>0</v>
      </c>
      <c r="Z1819"/>
      <c r="AB1819"/>
      <c r="AC1819">
        <v>183</v>
      </c>
      <c r="AD1819">
        <v>59</v>
      </c>
      <c r="AE1819" s="1">
        <v>10797</v>
      </c>
      <c r="AF1819">
        <v>0</v>
      </c>
      <c r="AJ1819">
        <v>0</v>
      </c>
      <c r="AK1819">
        <v>0</v>
      </c>
      <c r="AL1819">
        <v>0</v>
      </c>
      <c r="AM1819">
        <v>223.26</v>
      </c>
      <c r="AN1819">
        <v>223.26</v>
      </c>
      <c r="AO1819">
        <v>223.26</v>
      </c>
      <c r="AP1819" s="2">
        <v>42746</v>
      </c>
      <c r="AQ1819" t="s">
        <v>72</v>
      </c>
      <c r="AR1819" t="s">
        <v>72</v>
      </c>
      <c r="AS1819">
        <v>1430</v>
      </c>
      <c r="AT1819" s="4">
        <v>42520</v>
      </c>
      <c r="AU1819" t="s">
        <v>73</v>
      </c>
      <c r="AV1819">
        <v>1430</v>
      </c>
      <c r="AW1819" s="4">
        <v>42520</v>
      </c>
      <c r="BD1819">
        <v>0</v>
      </c>
      <c r="BN1819" t="s">
        <v>74</v>
      </c>
    </row>
    <row r="1820" spans="1:66" hidden="1">
      <c r="A1820">
        <v>100636</v>
      </c>
      <c r="B1820" s="3" t="s">
        <v>213</v>
      </c>
      <c r="C1820" s="1">
        <v>43300101</v>
      </c>
      <c r="D1820" t="s">
        <v>67</v>
      </c>
      <c r="H1820" t="str">
        <f t="shared" si="182"/>
        <v>00397360488</v>
      </c>
      <c r="I1820" t="str">
        <f t="shared" si="182"/>
        <v>00397360488</v>
      </c>
      <c r="K1820" t="str">
        <f>""</f>
        <v/>
      </c>
      <c r="M1820" t="s">
        <v>68</v>
      </c>
      <c r="N1820" t="str">
        <f t="shared" si="180"/>
        <v>FOR</v>
      </c>
      <c r="O1820" t="s">
        <v>69</v>
      </c>
      <c r="P1820" s="3" t="s">
        <v>75</v>
      </c>
      <c r="Q1820">
        <v>2016</v>
      </c>
      <c r="R1820" s="2">
        <v>42416</v>
      </c>
      <c r="S1820" s="2">
        <v>42425</v>
      </c>
      <c r="T1820" s="2">
        <v>42422</v>
      </c>
      <c r="U1820" s="2">
        <v>42482</v>
      </c>
      <c r="V1820" t="s">
        <v>71</v>
      </c>
      <c r="W1820" t="str">
        <f>"           0000794SP"</f>
        <v xml:space="preserve">           0000794SP</v>
      </c>
      <c r="X1820">
        <v>170.31</v>
      </c>
      <c r="Y1820">
        <v>0</v>
      </c>
      <c r="Z1820"/>
      <c r="AB1820"/>
      <c r="AC1820">
        <v>139.6</v>
      </c>
      <c r="AD1820">
        <v>38</v>
      </c>
      <c r="AE1820" s="1">
        <v>5304.8</v>
      </c>
      <c r="AF1820">
        <v>0</v>
      </c>
      <c r="AJ1820">
        <v>0</v>
      </c>
      <c r="AK1820">
        <v>0</v>
      </c>
      <c r="AL1820">
        <v>0</v>
      </c>
      <c r="AM1820">
        <v>170.31</v>
      </c>
      <c r="AN1820">
        <v>170.31</v>
      </c>
      <c r="AO1820">
        <v>170.31</v>
      </c>
      <c r="AP1820" s="2">
        <v>42746</v>
      </c>
      <c r="AQ1820" t="s">
        <v>72</v>
      </c>
      <c r="AR1820" t="s">
        <v>72</v>
      </c>
      <c r="AS1820">
        <v>1430</v>
      </c>
      <c r="AT1820" s="4">
        <v>42520</v>
      </c>
      <c r="AU1820" t="s">
        <v>73</v>
      </c>
      <c r="AV1820">
        <v>1430</v>
      </c>
      <c r="AW1820" s="4">
        <v>42520</v>
      </c>
      <c r="BD1820">
        <v>0</v>
      </c>
      <c r="BN1820" t="s">
        <v>74</v>
      </c>
    </row>
    <row r="1821" spans="1:66" hidden="1">
      <c r="A1821">
        <v>100636</v>
      </c>
      <c r="B1821" s="3" t="s">
        <v>213</v>
      </c>
      <c r="C1821" s="1">
        <v>43300101</v>
      </c>
      <c r="D1821" t="s">
        <v>67</v>
      </c>
      <c r="H1821" t="str">
        <f t="shared" si="182"/>
        <v>00397360488</v>
      </c>
      <c r="I1821" t="str">
        <f t="shared" si="182"/>
        <v>00397360488</v>
      </c>
      <c r="K1821" t="str">
        <f>""</f>
        <v/>
      </c>
      <c r="M1821" t="s">
        <v>68</v>
      </c>
      <c r="N1821" t="str">
        <f t="shared" si="180"/>
        <v>FOR</v>
      </c>
      <c r="O1821" t="s">
        <v>69</v>
      </c>
      <c r="P1821" s="3" t="s">
        <v>75</v>
      </c>
      <c r="Q1821">
        <v>2016</v>
      </c>
      <c r="R1821" s="2">
        <v>42450</v>
      </c>
      <c r="S1821" s="2">
        <v>42464</v>
      </c>
      <c r="T1821" s="2">
        <v>42459</v>
      </c>
      <c r="U1821" s="2">
        <v>42519</v>
      </c>
      <c r="V1821" t="s">
        <v>71</v>
      </c>
      <c r="W1821" t="str">
        <f>"           0001585SP"</f>
        <v xml:space="preserve">           0001585SP</v>
      </c>
      <c r="X1821">
        <v>977.83</v>
      </c>
      <c r="Y1821">
        <v>0</v>
      </c>
      <c r="Z1821"/>
      <c r="AB1821"/>
      <c r="AC1821">
        <v>801.5</v>
      </c>
      <c r="AD1821">
        <v>1</v>
      </c>
      <c r="AE1821">
        <v>801.5</v>
      </c>
      <c r="AF1821">
        <v>0</v>
      </c>
      <c r="AJ1821">
        <v>0</v>
      </c>
      <c r="AK1821">
        <v>0</v>
      </c>
      <c r="AL1821">
        <v>0</v>
      </c>
      <c r="AM1821">
        <v>977.83</v>
      </c>
      <c r="AN1821">
        <v>977.83</v>
      </c>
      <c r="AO1821">
        <v>977.83</v>
      </c>
      <c r="AP1821" s="2">
        <v>42746</v>
      </c>
      <c r="AQ1821" t="s">
        <v>72</v>
      </c>
      <c r="AR1821" t="s">
        <v>72</v>
      </c>
      <c r="AS1821">
        <v>1430</v>
      </c>
      <c r="AT1821" s="4">
        <v>42520</v>
      </c>
      <c r="AU1821" t="s">
        <v>73</v>
      </c>
      <c r="AV1821">
        <v>1430</v>
      </c>
      <c r="AW1821" s="4">
        <v>42520</v>
      </c>
      <c r="BD1821">
        <v>0</v>
      </c>
      <c r="BN1821" t="s">
        <v>74</v>
      </c>
    </row>
    <row r="1822" spans="1:66" hidden="1">
      <c r="A1822">
        <v>100636</v>
      </c>
      <c r="B1822" s="3" t="s">
        <v>213</v>
      </c>
      <c r="C1822" s="1">
        <v>43300101</v>
      </c>
      <c r="D1822" t="s">
        <v>67</v>
      </c>
      <c r="H1822" t="str">
        <f t="shared" si="182"/>
        <v>00397360488</v>
      </c>
      <c r="I1822" t="str">
        <f t="shared" si="182"/>
        <v>00397360488</v>
      </c>
      <c r="K1822" t="str">
        <f>""</f>
        <v/>
      </c>
      <c r="M1822" t="s">
        <v>68</v>
      </c>
      <c r="N1822" t="str">
        <f t="shared" si="180"/>
        <v>FOR</v>
      </c>
      <c r="O1822" t="s">
        <v>69</v>
      </c>
      <c r="P1822" s="3" t="s">
        <v>75</v>
      </c>
      <c r="Q1822">
        <v>2016</v>
      </c>
      <c r="R1822" s="2">
        <v>42459</v>
      </c>
      <c r="S1822" s="2">
        <v>42464</v>
      </c>
      <c r="T1822" s="2">
        <v>42461</v>
      </c>
      <c r="U1822" s="2">
        <v>42521</v>
      </c>
      <c r="V1822" t="s">
        <v>71</v>
      </c>
      <c r="W1822" t="str">
        <f>"           0001746SP"</f>
        <v xml:space="preserve">           0001746SP</v>
      </c>
      <c r="X1822">
        <v>357.22</v>
      </c>
      <c r="Y1822">
        <v>0</v>
      </c>
      <c r="Z1822"/>
      <c r="AB1822"/>
      <c r="AC1822">
        <v>292.8</v>
      </c>
      <c r="AD1822">
        <v>-1</v>
      </c>
      <c r="AE1822">
        <v>-292.8</v>
      </c>
      <c r="AF1822">
        <v>0</v>
      </c>
      <c r="AJ1822">
        <v>0</v>
      </c>
      <c r="AK1822">
        <v>0</v>
      </c>
      <c r="AL1822">
        <v>0</v>
      </c>
      <c r="AM1822">
        <v>357.22</v>
      </c>
      <c r="AN1822">
        <v>357.22</v>
      </c>
      <c r="AO1822">
        <v>357.22</v>
      </c>
      <c r="AP1822" s="2">
        <v>42746</v>
      </c>
      <c r="AQ1822" t="s">
        <v>72</v>
      </c>
      <c r="AR1822" t="s">
        <v>72</v>
      </c>
      <c r="AS1822">
        <v>1430</v>
      </c>
      <c r="AT1822" s="4">
        <v>42520</v>
      </c>
      <c r="AV1822">
        <v>1430</v>
      </c>
      <c r="AW1822" s="4">
        <v>42520</v>
      </c>
      <c r="BD1822">
        <v>0</v>
      </c>
      <c r="BN1822" t="s">
        <v>74</v>
      </c>
    </row>
    <row r="1823" spans="1:66">
      <c r="A1823">
        <v>100636</v>
      </c>
      <c r="B1823" s="3" t="s">
        <v>213</v>
      </c>
      <c r="C1823" s="1">
        <v>43300101</v>
      </c>
      <c r="D1823" t="s">
        <v>67</v>
      </c>
      <c r="H1823" t="str">
        <f t="shared" si="182"/>
        <v>00397360488</v>
      </c>
      <c r="I1823" t="str">
        <f t="shared" si="182"/>
        <v>00397360488</v>
      </c>
      <c r="K1823" t="str">
        <f>""</f>
        <v/>
      </c>
      <c r="M1823" t="s">
        <v>68</v>
      </c>
      <c r="N1823" t="str">
        <f t="shared" si="180"/>
        <v>FOR</v>
      </c>
      <c r="O1823" t="s">
        <v>69</v>
      </c>
      <c r="P1823" s="3" t="s">
        <v>75</v>
      </c>
      <c r="Q1823">
        <v>2016</v>
      </c>
      <c r="R1823" s="2">
        <v>42515</v>
      </c>
      <c r="S1823" s="2">
        <v>42520</v>
      </c>
      <c r="T1823" s="2">
        <v>42516</v>
      </c>
      <c r="U1823" s="2">
        <v>42576</v>
      </c>
      <c r="V1823" t="s">
        <v>71</v>
      </c>
      <c r="W1823" t="str">
        <f>"           0003110SP"</f>
        <v xml:space="preserve">           0003110SP</v>
      </c>
      <c r="X1823">
        <v>579.62</v>
      </c>
      <c r="Y1823">
        <v>0</v>
      </c>
      <c r="Z1823" s="3">
        <v>475.1</v>
      </c>
      <c r="AA1823">
        <v>72</v>
      </c>
      <c r="AB1823" s="5">
        <v>34207.199999999997</v>
      </c>
      <c r="AC1823">
        <v>475.1</v>
      </c>
      <c r="AD1823">
        <v>72</v>
      </c>
      <c r="AE1823" s="1">
        <v>34207.199999999997</v>
      </c>
      <c r="AF1823">
        <v>0</v>
      </c>
      <c r="AJ1823">
        <v>0</v>
      </c>
      <c r="AK1823">
        <v>0</v>
      </c>
      <c r="AL1823">
        <v>0</v>
      </c>
      <c r="AM1823">
        <v>579.62</v>
      </c>
      <c r="AN1823">
        <v>579.62</v>
      </c>
      <c r="AO1823">
        <v>579.62</v>
      </c>
      <c r="AP1823" s="2">
        <v>42746</v>
      </c>
      <c r="AQ1823" t="s">
        <v>72</v>
      </c>
      <c r="AR1823" t="s">
        <v>72</v>
      </c>
      <c r="AS1823">
        <v>2661</v>
      </c>
      <c r="AT1823" s="4">
        <v>42648</v>
      </c>
      <c r="AU1823" t="s">
        <v>73</v>
      </c>
      <c r="AV1823">
        <v>2661</v>
      </c>
      <c r="AW1823" s="4">
        <v>42648</v>
      </c>
      <c r="BD1823">
        <v>0</v>
      </c>
      <c r="BN1823" t="s">
        <v>74</v>
      </c>
    </row>
    <row r="1824" spans="1:66">
      <c r="A1824">
        <v>100636</v>
      </c>
      <c r="B1824" s="3" t="s">
        <v>213</v>
      </c>
      <c r="C1824" s="1">
        <v>43300101</v>
      </c>
      <c r="D1824" t="s">
        <v>67</v>
      </c>
      <c r="H1824" t="str">
        <f t="shared" si="182"/>
        <v>00397360488</v>
      </c>
      <c r="I1824" t="str">
        <f t="shared" si="182"/>
        <v>00397360488</v>
      </c>
      <c r="K1824" t="str">
        <f>""</f>
        <v/>
      </c>
      <c r="M1824" t="s">
        <v>68</v>
      </c>
      <c r="N1824" t="str">
        <f t="shared" si="180"/>
        <v>FOR</v>
      </c>
      <c r="O1824" t="s">
        <v>69</v>
      </c>
      <c r="P1824" s="3" t="s">
        <v>75</v>
      </c>
      <c r="Q1824">
        <v>2016</v>
      </c>
      <c r="R1824" s="2">
        <v>42551</v>
      </c>
      <c r="S1824" s="2">
        <v>42556</v>
      </c>
      <c r="T1824" s="2">
        <v>42551</v>
      </c>
      <c r="U1824" s="2">
        <v>42611</v>
      </c>
      <c r="V1824" t="s">
        <v>71</v>
      </c>
      <c r="W1824" t="str">
        <f>"           0003853SP"</f>
        <v xml:space="preserve">           0003853SP</v>
      </c>
      <c r="X1824">
        <v>893.89</v>
      </c>
      <c r="Y1824">
        <v>0</v>
      </c>
      <c r="Z1824" s="3">
        <v>732.7</v>
      </c>
      <c r="AA1824">
        <v>37</v>
      </c>
      <c r="AB1824" s="5">
        <v>27109.9</v>
      </c>
      <c r="AC1824">
        <v>732.7</v>
      </c>
      <c r="AD1824">
        <v>37</v>
      </c>
      <c r="AE1824" s="1">
        <v>27109.9</v>
      </c>
      <c r="AF1824">
        <v>0</v>
      </c>
      <c r="AJ1824">
        <v>0</v>
      </c>
      <c r="AK1824">
        <v>0</v>
      </c>
      <c r="AL1824">
        <v>0</v>
      </c>
      <c r="AM1824">
        <v>893.89</v>
      </c>
      <c r="AN1824">
        <v>893.89</v>
      </c>
      <c r="AO1824">
        <v>893.89</v>
      </c>
      <c r="AP1824" s="2">
        <v>42746</v>
      </c>
      <c r="AQ1824" t="s">
        <v>72</v>
      </c>
      <c r="AR1824" t="s">
        <v>72</v>
      </c>
      <c r="AS1824">
        <v>2661</v>
      </c>
      <c r="AT1824" s="4">
        <v>42648</v>
      </c>
      <c r="AU1824" t="s">
        <v>73</v>
      </c>
      <c r="AV1824">
        <v>2661</v>
      </c>
      <c r="AW1824" s="4">
        <v>42648</v>
      </c>
      <c r="BD1824">
        <v>0</v>
      </c>
      <c r="BN1824" t="s">
        <v>74</v>
      </c>
    </row>
    <row r="1825" spans="1:66">
      <c r="A1825">
        <v>100636</v>
      </c>
      <c r="B1825" s="3" t="s">
        <v>213</v>
      </c>
      <c r="C1825" s="1">
        <v>43300101</v>
      </c>
      <c r="D1825" t="s">
        <v>67</v>
      </c>
      <c r="H1825" t="str">
        <f t="shared" si="182"/>
        <v>00397360488</v>
      </c>
      <c r="I1825" t="str">
        <f t="shared" si="182"/>
        <v>00397360488</v>
      </c>
      <c r="K1825" t="str">
        <f>""</f>
        <v/>
      </c>
      <c r="M1825" t="s">
        <v>68</v>
      </c>
      <c r="N1825" t="str">
        <f t="shared" si="180"/>
        <v>FOR</v>
      </c>
      <c r="O1825" t="s">
        <v>69</v>
      </c>
      <c r="P1825" s="3" t="s">
        <v>75</v>
      </c>
      <c r="Q1825">
        <v>2016</v>
      </c>
      <c r="R1825" s="2">
        <v>42650</v>
      </c>
      <c r="S1825" s="2">
        <v>42661</v>
      </c>
      <c r="T1825" s="2">
        <v>42661</v>
      </c>
      <c r="U1825" s="2">
        <v>42721</v>
      </c>
      <c r="V1825" t="s">
        <v>71</v>
      </c>
      <c r="W1825" t="str">
        <f>"           0005812SP"</f>
        <v xml:space="preserve">           0005812SP</v>
      </c>
      <c r="X1825">
        <v>223.26</v>
      </c>
      <c r="Y1825">
        <v>0</v>
      </c>
      <c r="Z1825" s="3">
        <v>183</v>
      </c>
      <c r="AA1825">
        <v>-32</v>
      </c>
      <c r="AB1825" s="5">
        <v>-5856</v>
      </c>
      <c r="AC1825">
        <v>183</v>
      </c>
      <c r="AD1825">
        <v>-32</v>
      </c>
      <c r="AE1825" s="1">
        <v>-5856</v>
      </c>
      <c r="AF1825">
        <v>0</v>
      </c>
      <c r="AJ1825">
        <v>223.26</v>
      </c>
      <c r="AK1825">
        <v>223.26</v>
      </c>
      <c r="AL1825">
        <v>223.26</v>
      </c>
      <c r="AM1825">
        <v>223.26</v>
      </c>
      <c r="AN1825">
        <v>223.26</v>
      </c>
      <c r="AO1825">
        <v>223.26</v>
      </c>
      <c r="AP1825" s="2">
        <v>42746</v>
      </c>
      <c r="AQ1825" t="s">
        <v>72</v>
      </c>
      <c r="AR1825" t="s">
        <v>72</v>
      </c>
      <c r="AS1825">
        <v>3094</v>
      </c>
      <c r="AT1825" s="4">
        <v>42689</v>
      </c>
      <c r="AV1825">
        <v>3094</v>
      </c>
      <c r="AW1825" s="4">
        <v>42689</v>
      </c>
      <c r="BD1825">
        <v>0</v>
      </c>
      <c r="BN1825" t="s">
        <v>74</v>
      </c>
    </row>
    <row r="1826" spans="1:66" hidden="1">
      <c r="A1826">
        <v>100638</v>
      </c>
      <c r="B1826" s="3" t="s">
        <v>214</v>
      </c>
      <c r="C1826" s="1">
        <v>43500101</v>
      </c>
      <c r="D1826" t="s">
        <v>113</v>
      </c>
      <c r="H1826" t="str">
        <f t="shared" ref="H1826:H1837" si="183">"CMPSFN65H42A783M"</f>
        <v>CMPSFN65H42A783M</v>
      </c>
      <c r="I1826" t="str">
        <f t="shared" ref="I1826:I1837" si="184">"01624420624"</f>
        <v>01624420624</v>
      </c>
      <c r="K1826" t="str">
        <f>""</f>
        <v/>
      </c>
      <c r="M1826" t="s">
        <v>68</v>
      </c>
      <c r="N1826" t="str">
        <f t="shared" ref="N1826:N1838" si="185">"ALTPRO"</f>
        <v>ALTPRO</v>
      </c>
      <c r="O1826" t="s">
        <v>132</v>
      </c>
      <c r="P1826" s="3" t="s">
        <v>146</v>
      </c>
      <c r="Q1826">
        <v>2016</v>
      </c>
      <c r="R1826" s="2">
        <v>42388</v>
      </c>
      <c r="S1826" s="2">
        <v>42391</v>
      </c>
      <c r="T1826" s="2">
        <v>42390</v>
      </c>
      <c r="U1826" s="2">
        <v>42450</v>
      </c>
      <c r="V1826" t="s">
        <v>71</v>
      </c>
      <c r="W1826" t="str">
        <f>"                  2E"</f>
        <v xml:space="preserve">                  2E</v>
      </c>
      <c r="X1826" s="1">
        <v>1710.16</v>
      </c>
      <c r="Y1826">
        <v>0</v>
      </c>
      <c r="Z1826"/>
      <c r="AB1826"/>
      <c r="AC1826" s="1">
        <v>1710.16</v>
      </c>
      <c r="AD1826">
        <v>-47</v>
      </c>
      <c r="AE1826" s="1">
        <v>-80377.52</v>
      </c>
      <c r="AF1826">
        <v>0</v>
      </c>
      <c r="AJ1826">
        <v>0</v>
      </c>
      <c r="AK1826">
        <v>0</v>
      </c>
      <c r="AL1826">
        <v>0</v>
      </c>
      <c r="AM1826" s="1">
        <v>1710.16</v>
      </c>
      <c r="AN1826" s="1">
        <v>1710.16</v>
      </c>
      <c r="AO1826" s="1">
        <v>1710.16</v>
      </c>
      <c r="AP1826" s="2">
        <v>42746</v>
      </c>
      <c r="AQ1826" t="s">
        <v>72</v>
      </c>
      <c r="AR1826" t="s">
        <v>72</v>
      </c>
      <c r="AS1826">
        <v>219</v>
      </c>
      <c r="AT1826" s="4">
        <v>42403</v>
      </c>
      <c r="AV1826">
        <v>219</v>
      </c>
      <c r="AW1826" s="4">
        <v>42403</v>
      </c>
      <c r="BD1826">
        <v>0</v>
      </c>
      <c r="BN1826" t="s">
        <v>74</v>
      </c>
    </row>
    <row r="1827" spans="1:66" hidden="1">
      <c r="A1827">
        <v>100638</v>
      </c>
      <c r="B1827" s="3" t="s">
        <v>214</v>
      </c>
      <c r="C1827" s="1">
        <v>43500101</v>
      </c>
      <c r="D1827" t="s">
        <v>113</v>
      </c>
      <c r="H1827" t="str">
        <f t="shared" si="183"/>
        <v>CMPSFN65H42A783M</v>
      </c>
      <c r="I1827" t="str">
        <f t="shared" si="184"/>
        <v>01624420624</v>
      </c>
      <c r="K1827" t="str">
        <f>""</f>
        <v/>
      </c>
      <c r="M1827" t="s">
        <v>68</v>
      </c>
      <c r="N1827" t="str">
        <f t="shared" si="185"/>
        <v>ALTPRO</v>
      </c>
      <c r="O1827" t="s">
        <v>132</v>
      </c>
      <c r="P1827" s="3" t="s">
        <v>146</v>
      </c>
      <c r="Q1827">
        <v>2016</v>
      </c>
      <c r="R1827" s="2">
        <v>42405</v>
      </c>
      <c r="S1827" s="2">
        <v>42408</v>
      </c>
      <c r="T1827" s="2">
        <v>42405</v>
      </c>
      <c r="U1827" s="2">
        <v>42465</v>
      </c>
      <c r="V1827" t="s">
        <v>71</v>
      </c>
      <c r="W1827" t="str">
        <f>"                  3E"</f>
        <v xml:space="preserve">                  3E</v>
      </c>
      <c r="X1827" s="1">
        <v>1710.16</v>
      </c>
      <c r="Y1827">
        <v>0</v>
      </c>
      <c r="Z1827"/>
      <c r="AB1827"/>
      <c r="AC1827" s="1">
        <v>1710.16</v>
      </c>
      <c r="AD1827">
        <v>-14</v>
      </c>
      <c r="AE1827" s="1">
        <v>-23942.240000000002</v>
      </c>
      <c r="AF1827">
        <v>0</v>
      </c>
      <c r="AJ1827">
        <v>0</v>
      </c>
      <c r="AK1827">
        <v>0</v>
      </c>
      <c r="AL1827">
        <v>0</v>
      </c>
      <c r="AM1827" s="1">
        <v>1710.16</v>
      </c>
      <c r="AN1827" s="1">
        <v>1710.16</v>
      </c>
      <c r="AO1827" s="1">
        <v>1710.16</v>
      </c>
      <c r="AP1827" s="2">
        <v>42746</v>
      </c>
      <c r="AQ1827" t="s">
        <v>72</v>
      </c>
      <c r="AR1827" t="s">
        <v>72</v>
      </c>
      <c r="AS1827">
        <v>705</v>
      </c>
      <c r="AT1827" s="4">
        <v>42451</v>
      </c>
      <c r="AV1827">
        <v>705</v>
      </c>
      <c r="AW1827" s="4">
        <v>42451</v>
      </c>
      <c r="BD1827">
        <v>0</v>
      </c>
      <c r="BN1827" t="s">
        <v>74</v>
      </c>
    </row>
    <row r="1828" spans="1:66" hidden="1">
      <c r="A1828">
        <v>100638</v>
      </c>
      <c r="B1828" s="3" t="s">
        <v>214</v>
      </c>
      <c r="C1828" s="1">
        <v>43500101</v>
      </c>
      <c r="D1828" t="s">
        <v>113</v>
      </c>
      <c r="H1828" t="str">
        <f t="shared" si="183"/>
        <v>CMPSFN65H42A783M</v>
      </c>
      <c r="I1828" t="str">
        <f t="shared" si="184"/>
        <v>01624420624</v>
      </c>
      <c r="K1828" t="str">
        <f>""</f>
        <v/>
      </c>
      <c r="M1828" t="s">
        <v>68</v>
      </c>
      <c r="N1828" t="str">
        <f t="shared" si="185"/>
        <v>ALTPRO</v>
      </c>
      <c r="O1828" t="s">
        <v>132</v>
      </c>
      <c r="P1828" s="3" t="s">
        <v>146</v>
      </c>
      <c r="Q1828">
        <v>2016</v>
      </c>
      <c r="R1828" s="2">
        <v>42436</v>
      </c>
      <c r="S1828" s="2">
        <v>42436</v>
      </c>
      <c r="T1828" s="2">
        <v>42436</v>
      </c>
      <c r="U1828" s="2">
        <v>42496</v>
      </c>
      <c r="V1828" t="s">
        <v>71</v>
      </c>
      <c r="W1828" t="str">
        <f>"                  4E"</f>
        <v xml:space="preserve">                  4E</v>
      </c>
      <c r="X1828" s="1">
        <v>1777.98</v>
      </c>
      <c r="Y1828">
        <v>0</v>
      </c>
      <c r="Z1828"/>
      <c r="AB1828"/>
      <c r="AC1828" s="1">
        <v>1777.98</v>
      </c>
      <c r="AD1828">
        <v>-45</v>
      </c>
      <c r="AE1828" s="1">
        <v>-80009.100000000006</v>
      </c>
      <c r="AF1828">
        <v>0</v>
      </c>
      <c r="AJ1828">
        <v>0</v>
      </c>
      <c r="AK1828">
        <v>0</v>
      </c>
      <c r="AL1828">
        <v>0</v>
      </c>
      <c r="AM1828" s="1">
        <v>1777.98</v>
      </c>
      <c r="AN1828" s="1">
        <v>1777.98</v>
      </c>
      <c r="AO1828" s="1">
        <v>1777.98</v>
      </c>
      <c r="AP1828" s="2">
        <v>42746</v>
      </c>
      <c r="AQ1828" t="s">
        <v>72</v>
      </c>
      <c r="AR1828" t="s">
        <v>72</v>
      </c>
      <c r="AS1828">
        <v>705</v>
      </c>
      <c r="AT1828" s="4">
        <v>42451</v>
      </c>
      <c r="AV1828">
        <v>705</v>
      </c>
      <c r="AW1828" s="4">
        <v>42451</v>
      </c>
      <c r="BD1828">
        <v>0</v>
      </c>
      <c r="BN1828" t="s">
        <v>74</v>
      </c>
    </row>
    <row r="1829" spans="1:66" hidden="1">
      <c r="A1829">
        <v>100638</v>
      </c>
      <c r="B1829" s="3" t="s">
        <v>214</v>
      </c>
      <c r="C1829" s="1">
        <v>43500101</v>
      </c>
      <c r="D1829" t="s">
        <v>113</v>
      </c>
      <c r="H1829" t="str">
        <f t="shared" si="183"/>
        <v>CMPSFN65H42A783M</v>
      </c>
      <c r="I1829" t="str">
        <f t="shared" si="184"/>
        <v>01624420624</v>
      </c>
      <c r="K1829" t="str">
        <f>""</f>
        <v/>
      </c>
      <c r="M1829" t="s">
        <v>68</v>
      </c>
      <c r="N1829" t="str">
        <f t="shared" si="185"/>
        <v>ALTPRO</v>
      </c>
      <c r="O1829" t="s">
        <v>132</v>
      </c>
      <c r="P1829" s="3" t="s">
        <v>146</v>
      </c>
      <c r="Q1829">
        <v>2016</v>
      </c>
      <c r="R1829" s="2">
        <v>42467</v>
      </c>
      <c r="S1829" s="2">
        <v>42467</v>
      </c>
      <c r="T1829" s="2">
        <v>42467</v>
      </c>
      <c r="U1829" s="2">
        <v>42527</v>
      </c>
      <c r="V1829" t="s">
        <v>71</v>
      </c>
      <c r="W1829" t="str">
        <f>"                  5E"</f>
        <v xml:space="preserve">                  5E</v>
      </c>
      <c r="X1829" s="1">
        <v>1850.83</v>
      </c>
      <c r="Y1829">
        <v>0</v>
      </c>
      <c r="Z1829"/>
      <c r="AB1829"/>
      <c r="AC1829" s="1">
        <v>1850.83</v>
      </c>
      <c r="AD1829">
        <v>-40</v>
      </c>
      <c r="AE1829" s="1">
        <v>-74033.2</v>
      </c>
      <c r="AF1829">
        <v>0</v>
      </c>
      <c r="AJ1829">
        <v>0</v>
      </c>
      <c r="AK1829">
        <v>0</v>
      </c>
      <c r="AL1829">
        <v>0</v>
      </c>
      <c r="AM1829" s="1">
        <v>1850.83</v>
      </c>
      <c r="AN1829" s="1">
        <v>1850.83</v>
      </c>
      <c r="AO1829" s="1">
        <v>1850.83</v>
      </c>
      <c r="AP1829" s="2">
        <v>42746</v>
      </c>
      <c r="AQ1829" t="s">
        <v>72</v>
      </c>
      <c r="AR1829" t="s">
        <v>72</v>
      </c>
      <c r="AS1829">
        <v>1140</v>
      </c>
      <c r="AT1829" s="4">
        <v>42487</v>
      </c>
      <c r="AV1829">
        <v>1140</v>
      </c>
      <c r="AW1829" s="4">
        <v>42487</v>
      </c>
      <c r="BD1829">
        <v>0</v>
      </c>
      <c r="BN1829" t="s">
        <v>74</v>
      </c>
    </row>
    <row r="1830" spans="1:66" hidden="1">
      <c r="A1830">
        <v>100638</v>
      </c>
      <c r="B1830" s="3" t="s">
        <v>214</v>
      </c>
      <c r="C1830" s="1">
        <v>43500101</v>
      </c>
      <c r="D1830" t="s">
        <v>113</v>
      </c>
      <c r="H1830" t="str">
        <f t="shared" si="183"/>
        <v>CMPSFN65H42A783M</v>
      </c>
      <c r="I1830" t="str">
        <f t="shared" si="184"/>
        <v>01624420624</v>
      </c>
      <c r="K1830" t="str">
        <f>""</f>
        <v/>
      </c>
      <c r="M1830" t="s">
        <v>68</v>
      </c>
      <c r="N1830" t="str">
        <f t="shared" si="185"/>
        <v>ALTPRO</v>
      </c>
      <c r="O1830" t="s">
        <v>132</v>
      </c>
      <c r="P1830" s="3" t="s">
        <v>146</v>
      </c>
      <c r="Q1830">
        <v>2016</v>
      </c>
      <c r="R1830" s="2">
        <v>42493</v>
      </c>
      <c r="S1830" s="2">
        <v>42495</v>
      </c>
      <c r="T1830" s="2">
        <v>42494</v>
      </c>
      <c r="U1830" s="2">
        <v>42554</v>
      </c>
      <c r="V1830" t="s">
        <v>71</v>
      </c>
      <c r="W1830" t="str">
        <f>"                  6E"</f>
        <v xml:space="preserve">                  6E</v>
      </c>
      <c r="X1830" s="1">
        <v>1777.98</v>
      </c>
      <c r="Y1830">
        <v>0</v>
      </c>
      <c r="Z1830"/>
      <c r="AB1830"/>
      <c r="AC1830" s="1">
        <v>1777.98</v>
      </c>
      <c r="AD1830">
        <v>-34</v>
      </c>
      <c r="AE1830" s="1">
        <v>-60451.32</v>
      </c>
      <c r="AF1830">
        <v>0</v>
      </c>
      <c r="AJ1830">
        <v>0</v>
      </c>
      <c r="AK1830">
        <v>0</v>
      </c>
      <c r="AL1830">
        <v>0</v>
      </c>
      <c r="AM1830" s="1">
        <v>1777.98</v>
      </c>
      <c r="AN1830" s="1">
        <v>1777.98</v>
      </c>
      <c r="AO1830" s="1">
        <v>1777.98</v>
      </c>
      <c r="AP1830" s="2">
        <v>42746</v>
      </c>
      <c r="AQ1830" t="s">
        <v>72</v>
      </c>
      <c r="AR1830" t="s">
        <v>72</v>
      </c>
      <c r="AS1830">
        <v>1404</v>
      </c>
      <c r="AT1830" s="4">
        <v>42520</v>
      </c>
      <c r="AV1830">
        <v>1404</v>
      </c>
      <c r="AW1830" s="4">
        <v>42520</v>
      </c>
      <c r="BD1830">
        <v>0</v>
      </c>
      <c r="BN1830" t="s">
        <v>74</v>
      </c>
    </row>
    <row r="1831" spans="1:66" hidden="1">
      <c r="A1831">
        <v>100638</v>
      </c>
      <c r="B1831" s="3" t="s">
        <v>214</v>
      </c>
      <c r="C1831" s="1">
        <v>43500101</v>
      </c>
      <c r="D1831" t="s">
        <v>113</v>
      </c>
      <c r="H1831" t="str">
        <f t="shared" si="183"/>
        <v>CMPSFN65H42A783M</v>
      </c>
      <c r="I1831" t="str">
        <f t="shared" si="184"/>
        <v>01624420624</v>
      </c>
      <c r="K1831" t="str">
        <f>""</f>
        <v/>
      </c>
      <c r="M1831" t="s">
        <v>68</v>
      </c>
      <c r="N1831" t="str">
        <f t="shared" si="185"/>
        <v>ALTPRO</v>
      </c>
      <c r="O1831" t="s">
        <v>132</v>
      </c>
      <c r="P1831" s="3" t="s">
        <v>146</v>
      </c>
      <c r="Q1831">
        <v>2016</v>
      </c>
      <c r="R1831" s="2">
        <v>42531</v>
      </c>
      <c r="S1831" s="2">
        <v>42534</v>
      </c>
      <c r="T1831" s="2">
        <v>42531</v>
      </c>
      <c r="U1831" s="2">
        <v>42591</v>
      </c>
      <c r="V1831" t="s">
        <v>71</v>
      </c>
      <c r="W1831" t="str">
        <f>"                  7E"</f>
        <v xml:space="preserve">                  7E</v>
      </c>
      <c r="X1831" s="1">
        <v>1850.83</v>
      </c>
      <c r="Y1831">
        <v>0</v>
      </c>
      <c r="Z1831"/>
      <c r="AB1831"/>
      <c r="AC1831" s="1">
        <v>1850.83</v>
      </c>
      <c r="AD1831">
        <v>-39</v>
      </c>
      <c r="AE1831" s="1">
        <v>-72182.37</v>
      </c>
      <c r="AF1831">
        <v>0</v>
      </c>
      <c r="AJ1831">
        <v>0</v>
      </c>
      <c r="AK1831">
        <v>0</v>
      </c>
      <c r="AL1831">
        <v>0</v>
      </c>
      <c r="AM1831" s="1">
        <v>1850.83</v>
      </c>
      <c r="AN1831" s="1">
        <v>1850.83</v>
      </c>
      <c r="AO1831" s="1">
        <v>1850.83</v>
      </c>
      <c r="AP1831" s="2">
        <v>42746</v>
      </c>
      <c r="AQ1831" t="s">
        <v>72</v>
      </c>
      <c r="AR1831" t="s">
        <v>72</v>
      </c>
      <c r="AS1831">
        <v>1654</v>
      </c>
      <c r="AT1831" s="4">
        <v>42552</v>
      </c>
      <c r="AV1831">
        <v>1654</v>
      </c>
      <c r="AW1831" s="4">
        <v>42552</v>
      </c>
      <c r="BD1831">
        <v>0</v>
      </c>
      <c r="BN1831" t="s">
        <v>74</v>
      </c>
    </row>
    <row r="1832" spans="1:66" hidden="1">
      <c r="A1832">
        <v>100638</v>
      </c>
      <c r="B1832" s="3" t="s">
        <v>214</v>
      </c>
      <c r="C1832" s="1">
        <v>43500101</v>
      </c>
      <c r="D1832" t="s">
        <v>113</v>
      </c>
      <c r="H1832" t="str">
        <f t="shared" si="183"/>
        <v>CMPSFN65H42A783M</v>
      </c>
      <c r="I1832" t="str">
        <f t="shared" si="184"/>
        <v>01624420624</v>
      </c>
      <c r="K1832" t="str">
        <f>""</f>
        <v/>
      </c>
      <c r="M1832" t="s">
        <v>68</v>
      </c>
      <c r="N1832" t="str">
        <f t="shared" si="185"/>
        <v>ALTPRO</v>
      </c>
      <c r="O1832" t="s">
        <v>132</v>
      </c>
      <c r="P1832" s="3" t="s">
        <v>75</v>
      </c>
      <c r="Q1832">
        <v>2016</v>
      </c>
      <c r="R1832" s="2">
        <v>42562</v>
      </c>
      <c r="S1832" s="2">
        <v>42563</v>
      </c>
      <c r="T1832" s="2">
        <v>42562</v>
      </c>
      <c r="U1832" s="2">
        <v>42622</v>
      </c>
      <c r="V1832" t="s">
        <v>71</v>
      </c>
      <c r="W1832" t="str">
        <f>"                  8E"</f>
        <v xml:space="preserve">                  8E</v>
      </c>
      <c r="X1832" s="1">
        <v>1775.47</v>
      </c>
      <c r="Y1832">
        <v>0</v>
      </c>
      <c r="Z1832"/>
      <c r="AB1832"/>
      <c r="AC1832" s="1">
        <v>1775.47</v>
      </c>
      <c r="AD1832">
        <v>-56</v>
      </c>
      <c r="AE1832" s="1">
        <v>-99426.32</v>
      </c>
      <c r="AF1832">
        <v>0</v>
      </c>
      <c r="AJ1832">
        <v>0</v>
      </c>
      <c r="AK1832">
        <v>0</v>
      </c>
      <c r="AL1832">
        <v>0</v>
      </c>
      <c r="AM1832" s="1">
        <v>1775.47</v>
      </c>
      <c r="AN1832" s="1">
        <v>1775.47</v>
      </c>
      <c r="AO1832" s="1">
        <v>1775.47</v>
      </c>
      <c r="AP1832" s="2">
        <v>42746</v>
      </c>
      <c r="AQ1832" t="s">
        <v>72</v>
      </c>
      <c r="AR1832" t="s">
        <v>72</v>
      </c>
      <c r="AS1832">
        <v>1803</v>
      </c>
      <c r="AT1832" s="4">
        <v>42566</v>
      </c>
      <c r="AV1832">
        <v>1803</v>
      </c>
      <c r="AW1832" s="4">
        <v>42566</v>
      </c>
      <c r="BD1832">
        <v>0</v>
      </c>
      <c r="BN1832" t="s">
        <v>74</v>
      </c>
    </row>
    <row r="1833" spans="1:66" hidden="1">
      <c r="A1833">
        <v>100638</v>
      </c>
      <c r="B1833" s="3" t="s">
        <v>214</v>
      </c>
      <c r="C1833" s="1">
        <v>43500101</v>
      </c>
      <c r="D1833" t="s">
        <v>113</v>
      </c>
      <c r="H1833" t="str">
        <f t="shared" si="183"/>
        <v>CMPSFN65H42A783M</v>
      </c>
      <c r="I1833" t="str">
        <f t="shared" si="184"/>
        <v>01624420624</v>
      </c>
      <c r="K1833" t="str">
        <f>""</f>
        <v/>
      </c>
      <c r="M1833" t="s">
        <v>68</v>
      </c>
      <c r="N1833" t="str">
        <f t="shared" si="185"/>
        <v>ALTPRO</v>
      </c>
      <c r="O1833" t="s">
        <v>132</v>
      </c>
      <c r="P1833" s="3" t="s">
        <v>146</v>
      </c>
      <c r="Q1833">
        <v>2016</v>
      </c>
      <c r="R1833" s="2">
        <v>42587</v>
      </c>
      <c r="S1833" s="2">
        <v>42591</v>
      </c>
      <c r="T1833" s="2">
        <v>42587</v>
      </c>
      <c r="U1833" s="2">
        <v>42647</v>
      </c>
      <c r="V1833" t="s">
        <v>71</v>
      </c>
      <c r="W1833" t="str">
        <f>"                  9E"</f>
        <v xml:space="preserve">                  9E</v>
      </c>
      <c r="X1833" s="1">
        <v>1850.83</v>
      </c>
      <c r="Y1833">
        <v>0</v>
      </c>
      <c r="Z1833"/>
      <c r="AB1833"/>
      <c r="AC1833" s="1">
        <v>1850.83</v>
      </c>
      <c r="AD1833">
        <v>-29</v>
      </c>
      <c r="AE1833" s="1">
        <v>-53674.07</v>
      </c>
      <c r="AF1833">
        <v>0</v>
      </c>
      <c r="AJ1833">
        <v>0</v>
      </c>
      <c r="AK1833">
        <v>0</v>
      </c>
      <c r="AL1833">
        <v>0</v>
      </c>
      <c r="AM1833" s="1">
        <v>1850.83</v>
      </c>
      <c r="AN1833" s="1">
        <v>1850.83</v>
      </c>
      <c r="AO1833" s="1">
        <v>1850.83</v>
      </c>
      <c r="AP1833" s="2">
        <v>42746</v>
      </c>
      <c r="AQ1833" t="s">
        <v>72</v>
      </c>
      <c r="AR1833" t="s">
        <v>72</v>
      </c>
      <c r="AS1833">
        <v>2253</v>
      </c>
      <c r="AT1833" s="4">
        <v>42618</v>
      </c>
      <c r="AV1833">
        <v>2253</v>
      </c>
      <c r="AW1833" s="4">
        <v>42618</v>
      </c>
      <c r="BD1833">
        <v>0</v>
      </c>
      <c r="BN1833" t="s">
        <v>74</v>
      </c>
    </row>
    <row r="1834" spans="1:66">
      <c r="A1834">
        <v>100638</v>
      </c>
      <c r="B1834" s="3" t="s">
        <v>214</v>
      </c>
      <c r="C1834" s="1">
        <v>43500101</v>
      </c>
      <c r="D1834" t="s">
        <v>113</v>
      </c>
      <c r="H1834" t="str">
        <f t="shared" si="183"/>
        <v>CMPSFN65H42A783M</v>
      </c>
      <c r="I1834" t="str">
        <f t="shared" si="184"/>
        <v>01624420624</v>
      </c>
      <c r="K1834" t="str">
        <f>""</f>
        <v/>
      </c>
      <c r="M1834" t="s">
        <v>68</v>
      </c>
      <c r="N1834" t="str">
        <f t="shared" si="185"/>
        <v>ALTPRO</v>
      </c>
      <c r="O1834" t="s">
        <v>132</v>
      </c>
      <c r="P1834" s="3" t="s">
        <v>146</v>
      </c>
      <c r="Q1834">
        <v>2016</v>
      </c>
      <c r="R1834" s="2">
        <v>42619</v>
      </c>
      <c r="S1834" s="2">
        <v>42620</v>
      </c>
      <c r="T1834" s="2">
        <v>42619</v>
      </c>
      <c r="U1834" s="2">
        <v>42679</v>
      </c>
      <c r="V1834" t="s">
        <v>71</v>
      </c>
      <c r="W1834" t="str">
        <f>"                 10E"</f>
        <v xml:space="preserve">                 10E</v>
      </c>
      <c r="X1834" s="1">
        <v>1778</v>
      </c>
      <c r="Y1834">
        <v>0</v>
      </c>
      <c r="Z1834" s="5">
        <v>1778</v>
      </c>
      <c r="AA1834">
        <v>-33</v>
      </c>
      <c r="AB1834" s="5">
        <v>-58674</v>
      </c>
      <c r="AC1834" s="1">
        <v>1778</v>
      </c>
      <c r="AD1834">
        <v>-33</v>
      </c>
      <c r="AE1834" s="1">
        <v>-58674</v>
      </c>
      <c r="AF1834">
        <v>0</v>
      </c>
      <c r="AJ1834">
        <v>0</v>
      </c>
      <c r="AK1834">
        <v>0</v>
      </c>
      <c r="AL1834">
        <v>0</v>
      </c>
      <c r="AM1834" s="1">
        <v>1778</v>
      </c>
      <c r="AN1834" s="1">
        <v>1778</v>
      </c>
      <c r="AO1834" s="1">
        <v>1778</v>
      </c>
      <c r="AP1834" s="2">
        <v>42746</v>
      </c>
      <c r="AQ1834" t="s">
        <v>72</v>
      </c>
      <c r="AR1834" t="s">
        <v>72</v>
      </c>
      <c r="AS1834">
        <v>2543</v>
      </c>
      <c r="AT1834" s="4">
        <v>42646</v>
      </c>
      <c r="AV1834">
        <v>2543</v>
      </c>
      <c r="AW1834" s="4">
        <v>42646</v>
      </c>
      <c r="BD1834">
        <v>0</v>
      </c>
      <c r="BN1834" t="s">
        <v>74</v>
      </c>
    </row>
    <row r="1835" spans="1:66">
      <c r="A1835">
        <v>100638</v>
      </c>
      <c r="B1835" s="3" t="s">
        <v>214</v>
      </c>
      <c r="C1835" s="1">
        <v>43500101</v>
      </c>
      <c r="D1835" t="s">
        <v>113</v>
      </c>
      <c r="H1835" t="str">
        <f t="shared" si="183"/>
        <v>CMPSFN65H42A783M</v>
      </c>
      <c r="I1835" t="str">
        <f t="shared" si="184"/>
        <v>01624420624</v>
      </c>
      <c r="K1835" t="str">
        <f>""</f>
        <v/>
      </c>
      <c r="M1835" t="s">
        <v>68</v>
      </c>
      <c r="N1835" t="str">
        <f t="shared" si="185"/>
        <v>ALTPRO</v>
      </c>
      <c r="O1835" t="s">
        <v>132</v>
      </c>
      <c r="P1835" s="3" t="s">
        <v>146</v>
      </c>
      <c r="Q1835">
        <v>2016</v>
      </c>
      <c r="R1835" s="2">
        <v>42647</v>
      </c>
      <c r="S1835" s="2">
        <v>42648</v>
      </c>
      <c r="T1835" s="2">
        <v>42647</v>
      </c>
      <c r="U1835" s="2">
        <v>42707</v>
      </c>
      <c r="V1835" t="s">
        <v>71</v>
      </c>
      <c r="W1835" t="str">
        <f>"                 11E"</f>
        <v xml:space="preserve">                 11E</v>
      </c>
      <c r="X1835" s="1">
        <v>1850.83</v>
      </c>
      <c r="Y1835">
        <v>0</v>
      </c>
      <c r="Z1835" s="5">
        <v>1850.83</v>
      </c>
      <c r="AA1835">
        <v>-38</v>
      </c>
      <c r="AB1835" s="5">
        <v>-70331.539999999994</v>
      </c>
      <c r="AC1835" s="1">
        <v>1850.83</v>
      </c>
      <c r="AD1835">
        <v>-38</v>
      </c>
      <c r="AE1835" s="1">
        <v>-70331.539999999994</v>
      </c>
      <c r="AF1835">
        <v>0</v>
      </c>
      <c r="AJ1835">
        <v>0</v>
      </c>
      <c r="AK1835" s="1">
        <v>1850.83</v>
      </c>
      <c r="AL1835" s="1">
        <v>1850.83</v>
      </c>
      <c r="AM1835" s="1">
        <v>1850.83</v>
      </c>
      <c r="AN1835" s="1">
        <v>1850.83</v>
      </c>
      <c r="AO1835" s="1">
        <v>1850.83</v>
      </c>
      <c r="AP1835" s="2">
        <v>42746</v>
      </c>
      <c r="AQ1835" t="s">
        <v>72</v>
      </c>
      <c r="AR1835" t="s">
        <v>72</v>
      </c>
      <c r="AS1835">
        <v>2886</v>
      </c>
      <c r="AT1835" s="4">
        <v>42669</v>
      </c>
      <c r="AV1835">
        <v>2886</v>
      </c>
      <c r="AW1835" s="4">
        <v>42669</v>
      </c>
      <c r="BD1835">
        <v>0</v>
      </c>
      <c r="BN1835" t="s">
        <v>74</v>
      </c>
    </row>
    <row r="1836" spans="1:66">
      <c r="A1836">
        <v>100638</v>
      </c>
      <c r="B1836" s="3" t="s">
        <v>214</v>
      </c>
      <c r="C1836" s="1">
        <v>43500101</v>
      </c>
      <c r="D1836" t="s">
        <v>113</v>
      </c>
      <c r="H1836" t="str">
        <f t="shared" si="183"/>
        <v>CMPSFN65H42A783M</v>
      </c>
      <c r="I1836" t="str">
        <f t="shared" si="184"/>
        <v>01624420624</v>
      </c>
      <c r="K1836" t="str">
        <f>""</f>
        <v/>
      </c>
      <c r="M1836" t="s">
        <v>68</v>
      </c>
      <c r="N1836" t="str">
        <f t="shared" si="185"/>
        <v>ALTPRO</v>
      </c>
      <c r="O1836" t="s">
        <v>132</v>
      </c>
      <c r="P1836" s="3" t="s">
        <v>146</v>
      </c>
      <c r="Q1836">
        <v>2016</v>
      </c>
      <c r="R1836" s="2">
        <v>42677</v>
      </c>
      <c r="S1836" s="2">
        <v>42678</v>
      </c>
      <c r="T1836" s="2">
        <v>42677</v>
      </c>
      <c r="U1836" s="2">
        <v>42737</v>
      </c>
      <c r="V1836" t="s">
        <v>71</v>
      </c>
      <c r="W1836" t="str">
        <f>"                 12E"</f>
        <v xml:space="preserve">                 12E</v>
      </c>
      <c r="X1836" s="1">
        <v>1850.83</v>
      </c>
      <c r="Y1836">
        <v>0</v>
      </c>
      <c r="Z1836" s="5">
        <v>1850.83</v>
      </c>
      <c r="AA1836">
        <v>-48</v>
      </c>
      <c r="AB1836" s="5">
        <v>-88839.84</v>
      </c>
      <c r="AC1836" s="1">
        <v>1850.83</v>
      </c>
      <c r="AD1836">
        <v>-48</v>
      </c>
      <c r="AE1836" s="1">
        <v>-88839.84</v>
      </c>
      <c r="AF1836">
        <v>0</v>
      </c>
      <c r="AJ1836" s="1">
        <v>1850.83</v>
      </c>
      <c r="AK1836" s="1">
        <v>1850.83</v>
      </c>
      <c r="AL1836" s="1">
        <v>1850.83</v>
      </c>
      <c r="AM1836" s="1">
        <v>1850.83</v>
      </c>
      <c r="AN1836" s="1">
        <v>1850.83</v>
      </c>
      <c r="AO1836" s="1">
        <v>1850.83</v>
      </c>
      <c r="AP1836" s="2">
        <v>42746</v>
      </c>
      <c r="AQ1836" t="s">
        <v>72</v>
      </c>
      <c r="AR1836" t="s">
        <v>72</v>
      </c>
      <c r="AS1836">
        <v>3092</v>
      </c>
      <c r="AT1836" s="4">
        <v>42689</v>
      </c>
      <c r="AV1836">
        <v>3092</v>
      </c>
      <c r="AW1836" s="4">
        <v>42689</v>
      </c>
      <c r="BD1836">
        <v>0</v>
      </c>
      <c r="BN1836" t="s">
        <v>74</v>
      </c>
    </row>
    <row r="1837" spans="1:66">
      <c r="A1837">
        <v>100638</v>
      </c>
      <c r="B1837" s="3" t="s">
        <v>214</v>
      </c>
      <c r="C1837" s="1">
        <v>43500101</v>
      </c>
      <c r="D1837" t="s">
        <v>113</v>
      </c>
      <c r="H1837" t="str">
        <f t="shared" si="183"/>
        <v>CMPSFN65H42A783M</v>
      </c>
      <c r="I1837" t="str">
        <f t="shared" si="184"/>
        <v>01624420624</v>
      </c>
      <c r="K1837" t="str">
        <f>""</f>
        <v/>
      </c>
      <c r="M1837" t="s">
        <v>68</v>
      </c>
      <c r="N1837" t="str">
        <f t="shared" si="185"/>
        <v>ALTPRO</v>
      </c>
      <c r="O1837" t="s">
        <v>132</v>
      </c>
      <c r="P1837" s="3" t="s">
        <v>146</v>
      </c>
      <c r="Q1837">
        <v>2016</v>
      </c>
      <c r="R1837" s="2">
        <v>42713</v>
      </c>
      <c r="S1837" s="2">
        <v>42717</v>
      </c>
      <c r="T1837" s="2">
        <v>42713</v>
      </c>
      <c r="U1837" s="2">
        <v>42773</v>
      </c>
      <c r="V1837" t="s">
        <v>71</v>
      </c>
      <c r="W1837" t="str">
        <f>"                 13E"</f>
        <v xml:space="preserve">                 13E</v>
      </c>
      <c r="X1837" s="1">
        <v>1778</v>
      </c>
      <c r="Y1837">
        <v>0</v>
      </c>
      <c r="Z1837" s="5">
        <v>1778</v>
      </c>
      <c r="AA1837">
        <v>-53</v>
      </c>
      <c r="AB1837" s="5">
        <v>-94234</v>
      </c>
      <c r="AC1837" s="1">
        <v>1778</v>
      </c>
      <c r="AD1837">
        <v>-53</v>
      </c>
      <c r="AE1837" s="1">
        <v>-94234</v>
      </c>
      <c r="AF1837">
        <v>0</v>
      </c>
      <c r="AJ1837" s="1">
        <v>1778</v>
      </c>
      <c r="AK1837" s="1">
        <v>1778</v>
      </c>
      <c r="AL1837" s="1">
        <v>1778</v>
      </c>
      <c r="AM1837" s="1">
        <v>1778</v>
      </c>
      <c r="AN1837" s="1">
        <v>1778</v>
      </c>
      <c r="AO1837" s="1">
        <v>1778</v>
      </c>
      <c r="AP1837" s="2">
        <v>42746</v>
      </c>
      <c r="AQ1837" t="s">
        <v>72</v>
      </c>
      <c r="AR1837" t="s">
        <v>72</v>
      </c>
      <c r="AS1837">
        <v>3540</v>
      </c>
      <c r="AT1837" s="4">
        <v>42720</v>
      </c>
      <c r="AV1837">
        <v>3540</v>
      </c>
      <c r="AW1837" s="4">
        <v>42720</v>
      </c>
      <c r="BD1837">
        <v>0</v>
      </c>
      <c r="BN1837" t="s">
        <v>74</v>
      </c>
    </row>
    <row r="1838" spans="1:66" hidden="1">
      <c r="A1838">
        <v>100644</v>
      </c>
      <c r="B1838" s="3" t="s">
        <v>215</v>
      </c>
      <c r="C1838" s="1">
        <v>43500101</v>
      </c>
      <c r="D1838" t="s">
        <v>113</v>
      </c>
      <c r="H1838" t="str">
        <f>"TRLGNN74M10F839H"</f>
        <v>TRLGNN74M10F839H</v>
      </c>
      <c r="I1838" t="str">
        <f>"05644341215"</f>
        <v>05644341215</v>
      </c>
      <c r="K1838" t="str">
        <f>""</f>
        <v/>
      </c>
      <c r="M1838" t="s">
        <v>68</v>
      </c>
      <c r="N1838" t="str">
        <f t="shared" si="185"/>
        <v>ALTPRO</v>
      </c>
      <c r="O1838" t="s">
        <v>132</v>
      </c>
      <c r="P1838" s="3" t="s">
        <v>216</v>
      </c>
      <c r="Q1838">
        <v>2016</v>
      </c>
      <c r="R1838" s="2">
        <v>42585</v>
      </c>
      <c r="S1838" s="2">
        <v>42585</v>
      </c>
      <c r="T1838" s="2">
        <v>42585</v>
      </c>
      <c r="U1838" s="2">
        <v>42645</v>
      </c>
      <c r="V1838" t="s">
        <v>71</v>
      </c>
      <c r="W1838" t="str">
        <f>"                 189"</f>
        <v xml:space="preserve">                 189</v>
      </c>
      <c r="X1838">
        <v>0</v>
      </c>
      <c r="Y1838" s="1">
        <v>5671.63</v>
      </c>
      <c r="Z1838"/>
      <c r="AB1838"/>
      <c r="AC1838" s="1">
        <v>5671.63</v>
      </c>
      <c r="AD1838">
        <v>-60</v>
      </c>
      <c r="AE1838" s="1">
        <v>-340297.8</v>
      </c>
      <c r="AF1838">
        <v>0</v>
      </c>
      <c r="AJ1838">
        <v>0</v>
      </c>
      <c r="AK1838">
        <v>0</v>
      </c>
      <c r="AL1838">
        <v>0</v>
      </c>
      <c r="AM1838" s="1">
        <v>5671.63</v>
      </c>
      <c r="AN1838" s="1">
        <v>5671.63</v>
      </c>
      <c r="AO1838" s="1">
        <v>5671.63</v>
      </c>
      <c r="AP1838" s="2">
        <v>42746</v>
      </c>
      <c r="AQ1838" t="s">
        <v>72</v>
      </c>
      <c r="AR1838" t="s">
        <v>72</v>
      </c>
      <c r="AS1838">
        <v>2147</v>
      </c>
      <c r="AT1838" s="4">
        <v>42585</v>
      </c>
      <c r="AV1838">
        <v>2147</v>
      </c>
      <c r="AW1838" s="4">
        <v>42585</v>
      </c>
      <c r="BD1838">
        <v>0</v>
      </c>
      <c r="BN1838" t="s">
        <v>74</v>
      </c>
    </row>
    <row r="1839" spans="1:66" hidden="1">
      <c r="A1839">
        <v>100651</v>
      </c>
      <c r="B1839" s="3" t="s">
        <v>217</v>
      </c>
      <c r="C1839" s="1">
        <v>43300101</v>
      </c>
      <c r="D1839" t="s">
        <v>67</v>
      </c>
      <c r="H1839" t="str">
        <f t="shared" ref="H1839:I1850" si="186">"04356871212"</f>
        <v>04356871212</v>
      </c>
      <c r="I1839" t="str">
        <f t="shared" si="186"/>
        <v>04356871212</v>
      </c>
      <c r="K1839" t="str">
        <f>""</f>
        <v/>
      </c>
      <c r="M1839" t="s">
        <v>68</v>
      </c>
      <c r="N1839" t="str">
        <f t="shared" ref="N1839:N1858" si="187">"FOR"</f>
        <v>FOR</v>
      </c>
      <c r="O1839" t="s">
        <v>69</v>
      </c>
      <c r="P1839" s="3" t="s">
        <v>84</v>
      </c>
      <c r="Q1839">
        <v>2016</v>
      </c>
      <c r="R1839" s="2">
        <v>42389</v>
      </c>
      <c r="S1839" s="2">
        <v>42390</v>
      </c>
      <c r="T1839" s="2">
        <v>42390</v>
      </c>
      <c r="U1839" s="2">
        <v>42450</v>
      </c>
      <c r="V1839" t="s">
        <v>71</v>
      </c>
      <c r="W1839" t="str">
        <f>"                0120"</f>
        <v xml:space="preserve">                0120</v>
      </c>
      <c r="X1839">
        <v>0</v>
      </c>
      <c r="Y1839">
        <v>180</v>
      </c>
      <c r="Z1839"/>
      <c r="AB1839"/>
      <c r="AC1839">
        <v>180</v>
      </c>
      <c r="AD1839">
        <v>-60</v>
      </c>
      <c r="AE1839" s="1">
        <v>-10800</v>
      </c>
      <c r="AF1839">
        <v>0</v>
      </c>
      <c r="AJ1839">
        <v>0</v>
      </c>
      <c r="AK1839">
        <v>0</v>
      </c>
      <c r="AL1839">
        <v>0</v>
      </c>
      <c r="AM1839">
        <v>180</v>
      </c>
      <c r="AN1839">
        <v>180</v>
      </c>
      <c r="AO1839">
        <v>180</v>
      </c>
      <c r="AP1839" s="2">
        <v>42746</v>
      </c>
      <c r="AQ1839" t="s">
        <v>72</v>
      </c>
      <c r="AR1839" t="s">
        <v>72</v>
      </c>
      <c r="AS1839">
        <v>36</v>
      </c>
      <c r="AT1839" s="4">
        <v>42390</v>
      </c>
      <c r="AV1839">
        <v>36</v>
      </c>
      <c r="AW1839" s="4">
        <v>42390</v>
      </c>
      <c r="BD1839">
        <v>0</v>
      </c>
      <c r="BN1839" t="s">
        <v>74</v>
      </c>
    </row>
    <row r="1840" spans="1:66" hidden="1">
      <c r="A1840">
        <v>100651</v>
      </c>
      <c r="B1840" s="3" t="s">
        <v>217</v>
      </c>
      <c r="C1840" s="1">
        <v>43300101</v>
      </c>
      <c r="D1840" t="s">
        <v>67</v>
      </c>
      <c r="H1840" t="str">
        <f t="shared" si="186"/>
        <v>04356871212</v>
      </c>
      <c r="I1840" t="str">
        <f t="shared" si="186"/>
        <v>04356871212</v>
      </c>
      <c r="K1840" t="str">
        <f>""</f>
        <v/>
      </c>
      <c r="M1840" t="s">
        <v>68</v>
      </c>
      <c r="N1840" t="str">
        <f t="shared" si="187"/>
        <v>FOR</v>
      </c>
      <c r="O1840" t="s">
        <v>69</v>
      </c>
      <c r="P1840" s="3" t="s">
        <v>85</v>
      </c>
      <c r="Q1840">
        <v>2016</v>
      </c>
      <c r="R1840" s="2">
        <v>42422</v>
      </c>
      <c r="S1840" s="2">
        <v>42422</v>
      </c>
      <c r="T1840" s="2">
        <v>42422</v>
      </c>
      <c r="U1840" s="2">
        <v>42482</v>
      </c>
      <c r="V1840" t="s">
        <v>71</v>
      </c>
      <c r="W1840" t="str">
        <f>"                0222"</f>
        <v xml:space="preserve">                0222</v>
      </c>
      <c r="X1840">
        <v>0</v>
      </c>
      <c r="Y1840">
        <v>180</v>
      </c>
      <c r="Z1840"/>
      <c r="AB1840"/>
      <c r="AC1840">
        <v>180</v>
      </c>
      <c r="AD1840">
        <v>-58</v>
      </c>
      <c r="AE1840" s="1">
        <v>-10440</v>
      </c>
      <c r="AF1840">
        <v>0</v>
      </c>
      <c r="AJ1840">
        <v>0</v>
      </c>
      <c r="AK1840">
        <v>0</v>
      </c>
      <c r="AL1840">
        <v>0</v>
      </c>
      <c r="AM1840">
        <v>180</v>
      </c>
      <c r="AN1840">
        <v>180</v>
      </c>
      <c r="AO1840">
        <v>180</v>
      </c>
      <c r="AP1840" s="2">
        <v>42746</v>
      </c>
      <c r="AQ1840" t="s">
        <v>72</v>
      </c>
      <c r="AR1840" t="s">
        <v>72</v>
      </c>
      <c r="AS1840">
        <v>481</v>
      </c>
      <c r="AT1840" s="4">
        <v>42424</v>
      </c>
      <c r="AV1840">
        <v>481</v>
      </c>
      <c r="AW1840" s="4">
        <v>42424</v>
      </c>
      <c r="BD1840">
        <v>0</v>
      </c>
      <c r="BN1840" t="s">
        <v>74</v>
      </c>
    </row>
    <row r="1841" spans="1:66" hidden="1">
      <c r="A1841">
        <v>100651</v>
      </c>
      <c r="B1841" s="3" t="s">
        <v>217</v>
      </c>
      <c r="C1841" s="1">
        <v>43300101</v>
      </c>
      <c r="D1841" t="s">
        <v>67</v>
      </c>
      <c r="H1841" t="str">
        <f t="shared" si="186"/>
        <v>04356871212</v>
      </c>
      <c r="I1841" t="str">
        <f t="shared" si="186"/>
        <v>04356871212</v>
      </c>
      <c r="K1841" t="str">
        <f>""</f>
        <v/>
      </c>
      <c r="M1841" t="s">
        <v>68</v>
      </c>
      <c r="N1841" t="str">
        <f t="shared" si="187"/>
        <v>FOR</v>
      </c>
      <c r="O1841" t="s">
        <v>69</v>
      </c>
      <c r="P1841" s="3" t="s">
        <v>86</v>
      </c>
      <c r="Q1841">
        <v>2016</v>
      </c>
      <c r="R1841" s="2">
        <v>42450</v>
      </c>
      <c r="S1841" s="2">
        <v>42450</v>
      </c>
      <c r="T1841" s="2">
        <v>42450</v>
      </c>
      <c r="U1841" s="2">
        <v>42510</v>
      </c>
      <c r="V1841" t="s">
        <v>71</v>
      </c>
      <c r="W1841" t="str">
        <f>"                0321"</f>
        <v xml:space="preserve">                0321</v>
      </c>
      <c r="X1841">
        <v>0</v>
      </c>
      <c r="Y1841">
        <v>180</v>
      </c>
      <c r="Z1841"/>
      <c r="AB1841"/>
      <c r="AC1841">
        <v>180</v>
      </c>
      <c r="AD1841">
        <v>-57</v>
      </c>
      <c r="AE1841" s="1">
        <v>-10260</v>
      </c>
      <c r="AF1841">
        <v>0</v>
      </c>
      <c r="AJ1841">
        <v>0</v>
      </c>
      <c r="AK1841">
        <v>0</v>
      </c>
      <c r="AL1841">
        <v>0</v>
      </c>
      <c r="AM1841">
        <v>180</v>
      </c>
      <c r="AN1841">
        <v>180</v>
      </c>
      <c r="AO1841">
        <v>180</v>
      </c>
      <c r="AP1841" s="2">
        <v>42746</v>
      </c>
      <c r="AQ1841" t="s">
        <v>72</v>
      </c>
      <c r="AR1841" t="s">
        <v>72</v>
      </c>
      <c r="AS1841">
        <v>903</v>
      </c>
      <c r="AT1841" s="4">
        <v>42453</v>
      </c>
      <c r="AV1841">
        <v>903</v>
      </c>
      <c r="AW1841" s="4">
        <v>42453</v>
      </c>
      <c r="BD1841">
        <v>0</v>
      </c>
      <c r="BN1841" t="s">
        <v>74</v>
      </c>
    </row>
    <row r="1842" spans="1:66" hidden="1">
      <c r="A1842">
        <v>100651</v>
      </c>
      <c r="B1842" s="3" t="s">
        <v>217</v>
      </c>
      <c r="C1842" s="1">
        <v>43300101</v>
      </c>
      <c r="D1842" t="s">
        <v>67</v>
      </c>
      <c r="H1842" t="str">
        <f t="shared" si="186"/>
        <v>04356871212</v>
      </c>
      <c r="I1842" t="str">
        <f t="shared" si="186"/>
        <v>04356871212</v>
      </c>
      <c r="K1842" t="str">
        <f>""</f>
        <v/>
      </c>
      <c r="M1842" t="s">
        <v>68</v>
      </c>
      <c r="N1842" t="str">
        <f t="shared" si="187"/>
        <v>FOR</v>
      </c>
      <c r="O1842" t="s">
        <v>69</v>
      </c>
      <c r="P1842" s="3" t="s">
        <v>87</v>
      </c>
      <c r="Q1842">
        <v>2016</v>
      </c>
      <c r="R1842" s="2">
        <v>42481</v>
      </c>
      <c r="S1842" s="2">
        <v>42481</v>
      </c>
      <c r="T1842" s="2">
        <v>42481</v>
      </c>
      <c r="U1842" s="2">
        <v>42541</v>
      </c>
      <c r="V1842" t="s">
        <v>71</v>
      </c>
      <c r="W1842" t="str">
        <f>"                0421"</f>
        <v xml:space="preserve">                0421</v>
      </c>
      <c r="X1842">
        <v>0</v>
      </c>
      <c r="Y1842">
        <v>180</v>
      </c>
      <c r="Z1842"/>
      <c r="AB1842"/>
      <c r="AC1842">
        <v>180</v>
      </c>
      <c r="AD1842">
        <v>-60</v>
      </c>
      <c r="AE1842" s="1">
        <v>-10800</v>
      </c>
      <c r="AF1842">
        <v>0</v>
      </c>
      <c r="AJ1842">
        <v>0</v>
      </c>
      <c r="AK1842">
        <v>0</v>
      </c>
      <c r="AL1842">
        <v>0</v>
      </c>
      <c r="AM1842">
        <v>180</v>
      </c>
      <c r="AN1842">
        <v>180</v>
      </c>
      <c r="AO1842">
        <v>180</v>
      </c>
      <c r="AP1842" s="2">
        <v>42746</v>
      </c>
      <c r="AQ1842" t="s">
        <v>72</v>
      </c>
      <c r="AR1842" t="s">
        <v>72</v>
      </c>
      <c r="AS1842">
        <v>1069</v>
      </c>
      <c r="AT1842" s="4">
        <v>42481</v>
      </c>
      <c r="AV1842">
        <v>1069</v>
      </c>
      <c r="AW1842" s="4">
        <v>42481</v>
      </c>
      <c r="BD1842">
        <v>0</v>
      </c>
      <c r="BN1842" t="s">
        <v>74</v>
      </c>
    </row>
    <row r="1843" spans="1:66" hidden="1">
      <c r="A1843">
        <v>100651</v>
      </c>
      <c r="B1843" s="3" t="s">
        <v>217</v>
      </c>
      <c r="C1843" s="1">
        <v>43300101</v>
      </c>
      <c r="D1843" t="s">
        <v>67</v>
      </c>
      <c r="H1843" t="str">
        <f t="shared" si="186"/>
        <v>04356871212</v>
      </c>
      <c r="I1843" t="str">
        <f t="shared" si="186"/>
        <v>04356871212</v>
      </c>
      <c r="K1843" t="str">
        <f>""</f>
        <v/>
      </c>
      <c r="M1843" t="s">
        <v>68</v>
      </c>
      <c r="N1843" t="str">
        <f t="shared" si="187"/>
        <v>FOR</v>
      </c>
      <c r="O1843" t="s">
        <v>69</v>
      </c>
      <c r="P1843" s="3" t="s">
        <v>88</v>
      </c>
      <c r="Q1843">
        <v>2016</v>
      </c>
      <c r="R1843" s="2">
        <v>42508</v>
      </c>
      <c r="S1843" s="2">
        <v>42510</v>
      </c>
      <c r="T1843" s="2">
        <v>42510</v>
      </c>
      <c r="U1843" s="2">
        <v>42570</v>
      </c>
      <c r="V1843" t="s">
        <v>71</v>
      </c>
      <c r="W1843" t="str">
        <f>"                0518"</f>
        <v xml:space="preserve">                0518</v>
      </c>
      <c r="X1843">
        <v>0</v>
      </c>
      <c r="Y1843">
        <v>180</v>
      </c>
      <c r="Z1843"/>
      <c r="AB1843"/>
      <c r="AC1843">
        <v>180</v>
      </c>
      <c r="AD1843">
        <v>-57</v>
      </c>
      <c r="AE1843" s="1">
        <v>-10260</v>
      </c>
      <c r="AF1843">
        <v>0</v>
      </c>
      <c r="AJ1843">
        <v>0</v>
      </c>
      <c r="AK1843">
        <v>0</v>
      </c>
      <c r="AL1843">
        <v>0</v>
      </c>
      <c r="AM1843">
        <v>180</v>
      </c>
      <c r="AN1843">
        <v>180</v>
      </c>
      <c r="AO1843">
        <v>180</v>
      </c>
      <c r="AP1843" s="2">
        <v>42746</v>
      </c>
      <c r="AQ1843" t="s">
        <v>72</v>
      </c>
      <c r="AR1843" t="s">
        <v>72</v>
      </c>
      <c r="AS1843">
        <v>1307</v>
      </c>
      <c r="AT1843" s="4">
        <v>42513</v>
      </c>
      <c r="AV1843">
        <v>1307</v>
      </c>
      <c r="AW1843" s="4">
        <v>42513</v>
      </c>
      <c r="BD1843">
        <v>0</v>
      </c>
      <c r="BN1843" t="s">
        <v>74</v>
      </c>
    </row>
    <row r="1844" spans="1:66" hidden="1">
      <c r="A1844">
        <v>100651</v>
      </c>
      <c r="B1844" s="3" t="s">
        <v>217</v>
      </c>
      <c r="C1844" s="1">
        <v>43300101</v>
      </c>
      <c r="D1844" t="s">
        <v>67</v>
      </c>
      <c r="H1844" t="str">
        <f t="shared" si="186"/>
        <v>04356871212</v>
      </c>
      <c r="I1844" t="str">
        <f t="shared" si="186"/>
        <v>04356871212</v>
      </c>
      <c r="K1844" t="str">
        <f>""</f>
        <v/>
      </c>
      <c r="M1844" t="s">
        <v>68</v>
      </c>
      <c r="N1844" t="str">
        <f t="shared" si="187"/>
        <v>FOR</v>
      </c>
      <c r="O1844" t="s">
        <v>69</v>
      </c>
      <c r="P1844" s="3" t="s">
        <v>89</v>
      </c>
      <c r="Q1844">
        <v>2016</v>
      </c>
      <c r="R1844" s="2">
        <v>42548</v>
      </c>
      <c r="S1844" s="2">
        <v>42543</v>
      </c>
      <c r="T1844" s="2">
        <v>42543</v>
      </c>
      <c r="U1844" s="2">
        <v>42603</v>
      </c>
      <c r="V1844" t="s">
        <v>71</v>
      </c>
      <c r="W1844" t="str">
        <f>"                0627"</f>
        <v xml:space="preserve">                0627</v>
      </c>
      <c r="X1844">
        <v>0</v>
      </c>
      <c r="Y1844">
        <v>180</v>
      </c>
      <c r="Z1844"/>
      <c r="AB1844"/>
      <c r="AC1844">
        <v>180</v>
      </c>
      <c r="AD1844">
        <v>-47</v>
      </c>
      <c r="AE1844" s="1">
        <v>-8460</v>
      </c>
      <c r="AF1844">
        <v>0</v>
      </c>
      <c r="AJ1844">
        <v>0</v>
      </c>
      <c r="AK1844">
        <v>0</v>
      </c>
      <c r="AL1844">
        <v>0</v>
      </c>
      <c r="AM1844">
        <v>180</v>
      </c>
      <c r="AN1844">
        <v>180</v>
      </c>
      <c r="AO1844">
        <v>180</v>
      </c>
      <c r="AP1844" s="2">
        <v>42746</v>
      </c>
      <c r="AQ1844" t="s">
        <v>72</v>
      </c>
      <c r="AR1844" t="s">
        <v>72</v>
      </c>
      <c r="AS1844">
        <v>1690</v>
      </c>
      <c r="AT1844" s="4">
        <v>42556</v>
      </c>
      <c r="AV1844">
        <v>1690</v>
      </c>
      <c r="AW1844" s="4">
        <v>42556</v>
      </c>
      <c r="BD1844">
        <v>0</v>
      </c>
      <c r="BN1844" t="s">
        <v>74</v>
      </c>
    </row>
    <row r="1845" spans="1:66" hidden="1">
      <c r="A1845">
        <v>100651</v>
      </c>
      <c r="B1845" s="3" t="s">
        <v>217</v>
      </c>
      <c r="C1845" s="1">
        <v>43300101</v>
      </c>
      <c r="D1845" t="s">
        <v>67</v>
      </c>
      <c r="H1845" t="str">
        <f t="shared" si="186"/>
        <v>04356871212</v>
      </c>
      <c r="I1845" t="str">
        <f t="shared" si="186"/>
        <v>04356871212</v>
      </c>
      <c r="K1845" t="str">
        <f>""</f>
        <v/>
      </c>
      <c r="M1845" t="s">
        <v>68</v>
      </c>
      <c r="N1845" t="str">
        <f t="shared" si="187"/>
        <v>FOR</v>
      </c>
      <c r="O1845" t="s">
        <v>69</v>
      </c>
      <c r="P1845" s="3" t="s">
        <v>90</v>
      </c>
      <c r="Q1845">
        <v>2016</v>
      </c>
      <c r="R1845" s="2">
        <v>42573</v>
      </c>
      <c r="S1845" s="2">
        <v>42573</v>
      </c>
      <c r="T1845" s="2">
        <v>42573</v>
      </c>
      <c r="U1845" s="2">
        <v>42633</v>
      </c>
      <c r="V1845" t="s">
        <v>71</v>
      </c>
      <c r="W1845" t="str">
        <f>"                0722"</f>
        <v xml:space="preserve">                0722</v>
      </c>
      <c r="X1845">
        <v>0</v>
      </c>
      <c r="Y1845">
        <v>180</v>
      </c>
      <c r="Z1845"/>
      <c r="AB1845"/>
      <c r="AC1845">
        <v>180</v>
      </c>
      <c r="AD1845">
        <v>-48</v>
      </c>
      <c r="AE1845" s="1">
        <v>-8640</v>
      </c>
      <c r="AF1845">
        <v>0</v>
      </c>
      <c r="AJ1845">
        <v>0</v>
      </c>
      <c r="AK1845">
        <v>0</v>
      </c>
      <c r="AL1845">
        <v>0</v>
      </c>
      <c r="AM1845">
        <v>180</v>
      </c>
      <c r="AN1845">
        <v>180</v>
      </c>
      <c r="AO1845">
        <v>180</v>
      </c>
      <c r="AP1845" s="2">
        <v>42746</v>
      </c>
      <c r="AQ1845" t="s">
        <v>72</v>
      </c>
      <c r="AR1845" t="s">
        <v>72</v>
      </c>
      <c r="AS1845">
        <v>2090</v>
      </c>
      <c r="AT1845" s="4">
        <v>42585</v>
      </c>
      <c r="AV1845">
        <v>2090</v>
      </c>
      <c r="AW1845" s="4">
        <v>42585</v>
      </c>
      <c r="BD1845">
        <v>0</v>
      </c>
      <c r="BN1845" t="s">
        <v>74</v>
      </c>
    </row>
    <row r="1846" spans="1:66" hidden="1">
      <c r="A1846">
        <v>100651</v>
      </c>
      <c r="B1846" s="3" t="s">
        <v>217</v>
      </c>
      <c r="C1846" s="1">
        <v>43300101</v>
      </c>
      <c r="D1846" t="s">
        <v>67</v>
      </c>
      <c r="H1846" t="str">
        <f t="shared" si="186"/>
        <v>04356871212</v>
      </c>
      <c r="I1846" t="str">
        <f t="shared" si="186"/>
        <v>04356871212</v>
      </c>
      <c r="K1846" t="str">
        <f>""</f>
        <v/>
      </c>
      <c r="M1846" t="s">
        <v>68</v>
      </c>
      <c r="N1846" t="str">
        <f t="shared" si="187"/>
        <v>FOR</v>
      </c>
      <c r="O1846" t="s">
        <v>69</v>
      </c>
      <c r="P1846" s="3" t="s">
        <v>91</v>
      </c>
      <c r="Q1846">
        <v>2016</v>
      </c>
      <c r="R1846" s="2">
        <v>42592</v>
      </c>
      <c r="S1846" s="2">
        <v>42598</v>
      </c>
      <c r="T1846" s="2">
        <v>42598</v>
      </c>
      <c r="U1846" s="2">
        <v>42658</v>
      </c>
      <c r="V1846" t="s">
        <v>71</v>
      </c>
      <c r="W1846" t="str">
        <f>"                0810"</f>
        <v xml:space="preserve">                0810</v>
      </c>
      <c r="X1846">
        <v>0</v>
      </c>
      <c r="Y1846">
        <v>180</v>
      </c>
      <c r="Z1846"/>
      <c r="AB1846"/>
      <c r="AC1846">
        <v>180</v>
      </c>
      <c r="AD1846">
        <v>-60</v>
      </c>
      <c r="AE1846" s="1">
        <v>-10800</v>
      </c>
      <c r="AF1846">
        <v>0</v>
      </c>
      <c r="AJ1846">
        <v>0</v>
      </c>
      <c r="AK1846">
        <v>0</v>
      </c>
      <c r="AL1846">
        <v>0</v>
      </c>
      <c r="AM1846">
        <v>180</v>
      </c>
      <c r="AN1846">
        <v>180</v>
      </c>
      <c r="AO1846">
        <v>180</v>
      </c>
      <c r="AP1846" s="2">
        <v>42746</v>
      </c>
      <c r="AQ1846" t="s">
        <v>72</v>
      </c>
      <c r="AR1846" t="s">
        <v>72</v>
      </c>
      <c r="AS1846">
        <v>2172</v>
      </c>
      <c r="AT1846" s="4">
        <v>42598</v>
      </c>
      <c r="AV1846">
        <v>2172</v>
      </c>
      <c r="AW1846" s="4">
        <v>42598</v>
      </c>
      <c r="BD1846">
        <v>0</v>
      </c>
      <c r="BN1846" t="s">
        <v>74</v>
      </c>
    </row>
    <row r="1847" spans="1:66" hidden="1">
      <c r="A1847">
        <v>100651</v>
      </c>
      <c r="B1847" s="3" t="s">
        <v>217</v>
      </c>
      <c r="C1847" s="1">
        <v>43300101</v>
      </c>
      <c r="D1847" t="s">
        <v>67</v>
      </c>
      <c r="H1847" t="str">
        <f t="shared" si="186"/>
        <v>04356871212</v>
      </c>
      <c r="I1847" t="str">
        <f t="shared" si="186"/>
        <v>04356871212</v>
      </c>
      <c r="K1847" t="str">
        <f>""</f>
        <v/>
      </c>
      <c r="M1847" t="s">
        <v>68</v>
      </c>
      <c r="N1847" t="str">
        <f t="shared" si="187"/>
        <v>FOR</v>
      </c>
      <c r="O1847" t="s">
        <v>69</v>
      </c>
      <c r="P1847" s="3" t="s">
        <v>92</v>
      </c>
      <c r="Q1847">
        <v>2016</v>
      </c>
      <c r="R1847" s="2">
        <v>42633</v>
      </c>
      <c r="S1847" s="2">
        <v>42634</v>
      </c>
      <c r="T1847" s="2">
        <v>42634</v>
      </c>
      <c r="U1847" s="2">
        <v>42694</v>
      </c>
      <c r="V1847" t="s">
        <v>71</v>
      </c>
      <c r="W1847" t="str">
        <f>"                0920"</f>
        <v xml:space="preserve">                0920</v>
      </c>
      <c r="X1847">
        <v>0</v>
      </c>
      <c r="Y1847">
        <v>180</v>
      </c>
      <c r="Z1847"/>
      <c r="AB1847"/>
      <c r="AC1847">
        <v>180</v>
      </c>
      <c r="AD1847">
        <v>-60</v>
      </c>
      <c r="AE1847" s="1">
        <v>-10800</v>
      </c>
      <c r="AF1847">
        <v>0</v>
      </c>
      <c r="AJ1847">
        <v>0</v>
      </c>
      <c r="AK1847">
        <v>0</v>
      </c>
      <c r="AL1847">
        <v>0</v>
      </c>
      <c r="AM1847">
        <v>180</v>
      </c>
      <c r="AN1847">
        <v>180</v>
      </c>
      <c r="AO1847">
        <v>180</v>
      </c>
      <c r="AP1847" s="2">
        <v>42746</v>
      </c>
      <c r="AQ1847" t="s">
        <v>72</v>
      </c>
      <c r="AR1847" t="s">
        <v>72</v>
      </c>
      <c r="AS1847">
        <v>2445</v>
      </c>
      <c r="AT1847" s="4">
        <v>42634</v>
      </c>
      <c r="AV1847">
        <v>2445</v>
      </c>
      <c r="AW1847" s="4">
        <v>42634</v>
      </c>
      <c r="BD1847">
        <v>0</v>
      </c>
      <c r="BN1847" t="s">
        <v>74</v>
      </c>
    </row>
    <row r="1848" spans="1:66" hidden="1">
      <c r="A1848">
        <v>100651</v>
      </c>
      <c r="B1848" s="3" t="s">
        <v>217</v>
      </c>
      <c r="C1848" s="1">
        <v>43300101</v>
      </c>
      <c r="D1848" t="s">
        <v>67</v>
      </c>
      <c r="H1848" t="str">
        <f t="shared" si="186"/>
        <v>04356871212</v>
      </c>
      <c r="I1848" t="str">
        <f t="shared" si="186"/>
        <v>04356871212</v>
      </c>
      <c r="K1848" t="str">
        <f>""</f>
        <v/>
      </c>
      <c r="M1848" t="s">
        <v>68</v>
      </c>
      <c r="N1848" t="str">
        <f t="shared" si="187"/>
        <v>FOR</v>
      </c>
      <c r="O1848" t="s">
        <v>69</v>
      </c>
      <c r="P1848" s="3" t="s">
        <v>93</v>
      </c>
      <c r="Q1848">
        <v>2016</v>
      </c>
      <c r="R1848" s="2">
        <v>42664</v>
      </c>
      <c r="S1848" s="2">
        <v>42667</v>
      </c>
      <c r="T1848" s="2">
        <v>42667</v>
      </c>
      <c r="U1848" s="2">
        <v>42727</v>
      </c>
      <c r="V1848" t="s">
        <v>71</v>
      </c>
      <c r="W1848" t="str">
        <f>"                1021"</f>
        <v xml:space="preserve">                1021</v>
      </c>
      <c r="X1848">
        <v>0</v>
      </c>
      <c r="Y1848">
        <v>180</v>
      </c>
      <c r="Z1848" s="3">
        <v>180</v>
      </c>
      <c r="AA1848">
        <v>-60</v>
      </c>
      <c r="AB1848" s="5">
        <v>-10800</v>
      </c>
      <c r="AC1848">
        <v>180</v>
      </c>
      <c r="AD1848">
        <v>-60</v>
      </c>
      <c r="AE1848" s="1">
        <v>-10800</v>
      </c>
      <c r="AF1848">
        <v>0</v>
      </c>
      <c r="AJ1848">
        <v>180</v>
      </c>
      <c r="AK1848">
        <v>180</v>
      </c>
      <c r="AL1848">
        <v>180</v>
      </c>
      <c r="AM1848">
        <v>180</v>
      </c>
      <c r="AN1848">
        <v>180</v>
      </c>
      <c r="AO1848">
        <v>180</v>
      </c>
      <c r="AP1848" s="2">
        <v>42746</v>
      </c>
      <c r="AQ1848" t="s">
        <v>72</v>
      </c>
      <c r="AR1848" t="s">
        <v>72</v>
      </c>
      <c r="AS1848">
        <v>2792</v>
      </c>
      <c r="AT1848" s="4">
        <v>42667</v>
      </c>
      <c r="AV1848">
        <v>2792</v>
      </c>
      <c r="AW1848" s="4">
        <v>42667</v>
      </c>
      <c r="BD1848">
        <v>0</v>
      </c>
      <c r="BN1848" t="s">
        <v>74</v>
      </c>
    </row>
    <row r="1849" spans="1:66" hidden="1">
      <c r="A1849">
        <v>100651</v>
      </c>
      <c r="B1849" s="3" t="s">
        <v>217</v>
      </c>
      <c r="C1849" s="1">
        <v>43300101</v>
      </c>
      <c r="D1849" t="s">
        <v>67</v>
      </c>
      <c r="H1849" t="str">
        <f t="shared" si="186"/>
        <v>04356871212</v>
      </c>
      <c r="I1849" t="str">
        <f t="shared" si="186"/>
        <v>04356871212</v>
      </c>
      <c r="K1849" t="str">
        <f>""</f>
        <v/>
      </c>
      <c r="M1849" t="s">
        <v>68</v>
      </c>
      <c r="N1849" t="str">
        <f t="shared" si="187"/>
        <v>FOR</v>
      </c>
      <c r="O1849" t="s">
        <v>69</v>
      </c>
      <c r="P1849" s="3" t="s">
        <v>94</v>
      </c>
      <c r="Q1849">
        <v>2016</v>
      </c>
      <c r="R1849" s="2">
        <v>42696</v>
      </c>
      <c r="S1849" s="2">
        <v>42696</v>
      </c>
      <c r="T1849" s="2">
        <v>42696</v>
      </c>
      <c r="U1849" s="2">
        <v>42756</v>
      </c>
      <c r="V1849" t="s">
        <v>71</v>
      </c>
      <c r="W1849" t="str">
        <f>"                1122"</f>
        <v xml:space="preserve">                1122</v>
      </c>
      <c r="X1849">
        <v>0</v>
      </c>
      <c r="Y1849">
        <v>180</v>
      </c>
      <c r="Z1849" s="3">
        <v>180</v>
      </c>
      <c r="AA1849">
        <v>-59</v>
      </c>
      <c r="AB1849" s="5">
        <v>-10620</v>
      </c>
      <c r="AC1849">
        <v>180</v>
      </c>
      <c r="AD1849">
        <v>-59</v>
      </c>
      <c r="AE1849" s="1">
        <v>-10620</v>
      </c>
      <c r="AF1849">
        <v>0</v>
      </c>
      <c r="AJ1849">
        <v>180</v>
      </c>
      <c r="AK1849">
        <v>180</v>
      </c>
      <c r="AL1849">
        <v>180</v>
      </c>
      <c r="AM1849">
        <v>180</v>
      </c>
      <c r="AN1849">
        <v>180</v>
      </c>
      <c r="AO1849">
        <v>180</v>
      </c>
      <c r="AP1849" s="2">
        <v>42746</v>
      </c>
      <c r="AQ1849" t="s">
        <v>72</v>
      </c>
      <c r="AR1849" t="s">
        <v>72</v>
      </c>
      <c r="AS1849">
        <v>3230</v>
      </c>
      <c r="AT1849" s="4">
        <v>42697</v>
      </c>
      <c r="AV1849">
        <v>3230</v>
      </c>
      <c r="AW1849" s="4">
        <v>42697</v>
      </c>
      <c r="BD1849">
        <v>0</v>
      </c>
      <c r="BN1849" t="s">
        <v>74</v>
      </c>
    </row>
    <row r="1850" spans="1:66" hidden="1">
      <c r="A1850">
        <v>100651</v>
      </c>
      <c r="B1850" s="3" t="s">
        <v>217</v>
      </c>
      <c r="C1850" s="1">
        <v>43300101</v>
      </c>
      <c r="D1850" t="s">
        <v>67</v>
      </c>
      <c r="H1850" t="str">
        <f t="shared" si="186"/>
        <v>04356871212</v>
      </c>
      <c r="I1850" t="str">
        <f t="shared" si="186"/>
        <v>04356871212</v>
      </c>
      <c r="K1850" t="str">
        <f>""</f>
        <v/>
      </c>
      <c r="M1850" t="s">
        <v>68</v>
      </c>
      <c r="N1850" t="str">
        <f t="shared" si="187"/>
        <v>FOR</v>
      </c>
      <c r="O1850" t="s">
        <v>69</v>
      </c>
      <c r="P1850" s="3" t="s">
        <v>95</v>
      </c>
      <c r="Q1850">
        <v>2016</v>
      </c>
      <c r="R1850" s="2">
        <v>42717</v>
      </c>
      <c r="S1850" s="2">
        <v>42717</v>
      </c>
      <c r="T1850" s="2">
        <v>42717</v>
      </c>
      <c r="U1850" s="2">
        <v>42777</v>
      </c>
      <c r="V1850" t="s">
        <v>71</v>
      </c>
      <c r="W1850" t="str">
        <f>"                1213"</f>
        <v xml:space="preserve">                1213</v>
      </c>
      <c r="X1850">
        <v>0</v>
      </c>
      <c r="Y1850">
        <v>180</v>
      </c>
      <c r="Z1850" s="3">
        <v>180</v>
      </c>
      <c r="AA1850">
        <v>-59</v>
      </c>
      <c r="AB1850" s="5">
        <v>-10620</v>
      </c>
      <c r="AC1850">
        <v>180</v>
      </c>
      <c r="AD1850">
        <v>-59</v>
      </c>
      <c r="AE1850" s="1">
        <v>-10620</v>
      </c>
      <c r="AF1850">
        <v>0</v>
      </c>
      <c r="AJ1850">
        <v>180</v>
      </c>
      <c r="AK1850">
        <v>180</v>
      </c>
      <c r="AL1850">
        <v>180</v>
      </c>
      <c r="AM1850">
        <v>180</v>
      </c>
      <c r="AN1850">
        <v>180</v>
      </c>
      <c r="AO1850">
        <v>180</v>
      </c>
      <c r="AP1850" s="2">
        <v>42746</v>
      </c>
      <c r="AQ1850" t="s">
        <v>72</v>
      </c>
      <c r="AR1850" t="s">
        <v>72</v>
      </c>
      <c r="AS1850">
        <v>3389</v>
      </c>
      <c r="AT1850" s="4">
        <v>42718</v>
      </c>
      <c r="AV1850">
        <v>3389</v>
      </c>
      <c r="AW1850" s="4">
        <v>42718</v>
      </c>
      <c r="BD1850">
        <v>0</v>
      </c>
      <c r="BN1850" t="s">
        <v>74</v>
      </c>
    </row>
    <row r="1851" spans="1:66" hidden="1">
      <c r="A1851">
        <v>100655</v>
      </c>
      <c r="B1851" s="3" t="s">
        <v>218</v>
      </c>
      <c r="C1851" s="1">
        <v>43300101</v>
      </c>
      <c r="D1851" t="s">
        <v>67</v>
      </c>
      <c r="H1851" t="str">
        <f t="shared" ref="H1851:H1856" si="188">"00100190610"</f>
        <v>00100190610</v>
      </c>
      <c r="I1851" t="str">
        <f t="shared" ref="I1851:I1856" si="189">"12971700153"</f>
        <v>12971700153</v>
      </c>
      <c r="K1851" t="str">
        <f>""</f>
        <v/>
      </c>
      <c r="M1851" t="s">
        <v>68</v>
      </c>
      <c r="N1851" t="str">
        <f t="shared" si="187"/>
        <v>FOR</v>
      </c>
      <c r="O1851" t="s">
        <v>69</v>
      </c>
      <c r="P1851" s="3" t="s">
        <v>75</v>
      </c>
      <c r="Q1851">
        <v>2015</v>
      </c>
      <c r="R1851" s="2">
        <v>42181</v>
      </c>
      <c r="S1851" s="2">
        <v>42186</v>
      </c>
      <c r="T1851" s="2">
        <v>42182</v>
      </c>
      <c r="U1851" s="2">
        <v>42242</v>
      </c>
      <c r="V1851" t="s">
        <v>71</v>
      </c>
      <c r="W1851" t="str">
        <f>"             0109364"</f>
        <v xml:space="preserve">             0109364</v>
      </c>
      <c r="X1851" s="1">
        <v>2529.79</v>
      </c>
      <c r="Y1851">
        <v>0</v>
      </c>
      <c r="Z1851"/>
      <c r="AB1851"/>
      <c r="AC1851" s="1">
        <v>2073.6</v>
      </c>
      <c r="AD1851">
        <v>278</v>
      </c>
      <c r="AE1851" s="1">
        <v>576460.80000000005</v>
      </c>
      <c r="AF1851">
        <v>0</v>
      </c>
      <c r="AJ1851">
        <v>0</v>
      </c>
      <c r="AK1851">
        <v>0</v>
      </c>
      <c r="AL1851">
        <v>0</v>
      </c>
      <c r="AM1851">
        <v>0</v>
      </c>
      <c r="AN1851">
        <v>0</v>
      </c>
      <c r="AO1851">
        <v>0</v>
      </c>
      <c r="AP1851" s="2">
        <v>42746</v>
      </c>
      <c r="AQ1851" t="s">
        <v>72</v>
      </c>
      <c r="AR1851" t="s">
        <v>72</v>
      </c>
      <c r="AS1851">
        <v>1415</v>
      </c>
      <c r="AT1851" s="4">
        <v>42520</v>
      </c>
      <c r="AU1851" t="s">
        <v>73</v>
      </c>
      <c r="AV1851">
        <v>1415</v>
      </c>
      <c r="AW1851" s="4">
        <v>42520</v>
      </c>
      <c r="BD1851">
        <v>0</v>
      </c>
      <c r="BN1851" t="s">
        <v>74</v>
      </c>
    </row>
    <row r="1852" spans="1:66" hidden="1">
      <c r="A1852">
        <v>100655</v>
      </c>
      <c r="B1852" s="3" t="s">
        <v>218</v>
      </c>
      <c r="C1852" s="1">
        <v>43300101</v>
      </c>
      <c r="D1852" t="s">
        <v>67</v>
      </c>
      <c r="H1852" t="str">
        <f t="shared" si="188"/>
        <v>00100190610</v>
      </c>
      <c r="I1852" t="str">
        <f t="shared" si="189"/>
        <v>12971700153</v>
      </c>
      <c r="K1852" t="str">
        <f>""</f>
        <v/>
      </c>
      <c r="M1852" t="s">
        <v>68</v>
      </c>
      <c r="N1852" t="str">
        <f t="shared" si="187"/>
        <v>FOR</v>
      </c>
      <c r="O1852" t="s">
        <v>69</v>
      </c>
      <c r="P1852" s="3" t="s">
        <v>75</v>
      </c>
      <c r="Q1852">
        <v>2015</v>
      </c>
      <c r="R1852" s="2">
        <v>42206</v>
      </c>
      <c r="S1852" s="2">
        <v>42209</v>
      </c>
      <c r="T1852" s="2">
        <v>42207</v>
      </c>
      <c r="U1852" s="2">
        <v>42267</v>
      </c>
      <c r="V1852" t="s">
        <v>71</v>
      </c>
      <c r="W1852" t="str">
        <f>"             0124525"</f>
        <v xml:space="preserve">             0124525</v>
      </c>
      <c r="X1852">
        <v>677.1</v>
      </c>
      <c r="Y1852">
        <v>0</v>
      </c>
      <c r="Z1852"/>
      <c r="AB1852"/>
      <c r="AC1852">
        <v>555</v>
      </c>
      <c r="AD1852">
        <v>253</v>
      </c>
      <c r="AE1852" s="1">
        <v>140415</v>
      </c>
      <c r="AF1852">
        <v>0</v>
      </c>
      <c r="AJ1852">
        <v>0</v>
      </c>
      <c r="AK1852">
        <v>0</v>
      </c>
      <c r="AL1852">
        <v>0</v>
      </c>
      <c r="AM1852">
        <v>0</v>
      </c>
      <c r="AN1852">
        <v>0</v>
      </c>
      <c r="AO1852">
        <v>0</v>
      </c>
      <c r="AP1852" s="2">
        <v>42746</v>
      </c>
      <c r="AQ1852" t="s">
        <v>72</v>
      </c>
      <c r="AR1852" t="s">
        <v>72</v>
      </c>
      <c r="AS1852">
        <v>1415</v>
      </c>
      <c r="AT1852" s="4">
        <v>42520</v>
      </c>
      <c r="AU1852" t="s">
        <v>73</v>
      </c>
      <c r="AV1852">
        <v>1415</v>
      </c>
      <c r="AW1852" s="4">
        <v>42520</v>
      </c>
      <c r="BD1852">
        <v>0</v>
      </c>
      <c r="BN1852" t="s">
        <v>74</v>
      </c>
    </row>
    <row r="1853" spans="1:66">
      <c r="A1853">
        <v>100655</v>
      </c>
      <c r="B1853" s="3" t="s">
        <v>218</v>
      </c>
      <c r="C1853" s="1">
        <v>43300101</v>
      </c>
      <c r="D1853" t="s">
        <v>67</v>
      </c>
      <c r="H1853" t="str">
        <f t="shared" si="188"/>
        <v>00100190610</v>
      </c>
      <c r="I1853" t="str">
        <f t="shared" si="189"/>
        <v>12971700153</v>
      </c>
      <c r="K1853" t="str">
        <f>""</f>
        <v/>
      </c>
      <c r="M1853" t="s">
        <v>68</v>
      </c>
      <c r="N1853" t="str">
        <f t="shared" si="187"/>
        <v>FOR</v>
      </c>
      <c r="O1853" t="s">
        <v>69</v>
      </c>
      <c r="P1853" s="3" t="s">
        <v>75</v>
      </c>
      <c r="Q1853">
        <v>2015</v>
      </c>
      <c r="R1853" s="2">
        <v>42283</v>
      </c>
      <c r="S1853" s="2">
        <v>42289</v>
      </c>
      <c r="T1853" s="2">
        <v>42284</v>
      </c>
      <c r="U1853" s="2">
        <v>42344</v>
      </c>
      <c r="V1853" t="s">
        <v>71</v>
      </c>
      <c r="W1853" t="str">
        <f>"             0160345"</f>
        <v xml:space="preserve">             0160345</v>
      </c>
      <c r="X1853">
        <v>677.1</v>
      </c>
      <c r="Y1853">
        <v>0</v>
      </c>
      <c r="Z1853" s="3">
        <v>555</v>
      </c>
      <c r="AA1853">
        <v>304</v>
      </c>
      <c r="AB1853" s="5">
        <v>168720</v>
      </c>
      <c r="AC1853">
        <v>555</v>
      </c>
      <c r="AD1853">
        <v>304</v>
      </c>
      <c r="AE1853" s="1">
        <v>168720</v>
      </c>
      <c r="AF1853">
        <v>0</v>
      </c>
      <c r="AJ1853">
        <v>0</v>
      </c>
      <c r="AK1853">
        <v>0</v>
      </c>
      <c r="AL1853">
        <v>0</v>
      </c>
      <c r="AM1853">
        <v>0</v>
      </c>
      <c r="AN1853">
        <v>0</v>
      </c>
      <c r="AO1853">
        <v>0</v>
      </c>
      <c r="AP1853" s="2">
        <v>42746</v>
      </c>
      <c r="AQ1853" t="s">
        <v>72</v>
      </c>
      <c r="AR1853" t="s">
        <v>72</v>
      </c>
      <c r="AS1853">
        <v>2697</v>
      </c>
      <c r="AT1853" s="4">
        <v>42648</v>
      </c>
      <c r="AU1853" t="s">
        <v>73</v>
      </c>
      <c r="AV1853">
        <v>2697</v>
      </c>
      <c r="AW1853" s="4">
        <v>42648</v>
      </c>
      <c r="BD1853">
        <v>0</v>
      </c>
      <c r="BN1853" t="s">
        <v>74</v>
      </c>
    </row>
    <row r="1854" spans="1:66">
      <c r="A1854">
        <v>100655</v>
      </c>
      <c r="B1854" s="3" t="s">
        <v>218</v>
      </c>
      <c r="C1854" s="1">
        <v>43300101</v>
      </c>
      <c r="D1854" t="s">
        <v>67</v>
      </c>
      <c r="H1854" t="str">
        <f t="shared" si="188"/>
        <v>00100190610</v>
      </c>
      <c r="I1854" t="str">
        <f t="shared" si="189"/>
        <v>12971700153</v>
      </c>
      <c r="K1854" t="str">
        <f>""</f>
        <v/>
      </c>
      <c r="M1854" t="s">
        <v>68</v>
      </c>
      <c r="N1854" t="str">
        <f t="shared" si="187"/>
        <v>FOR</v>
      </c>
      <c r="O1854" t="s">
        <v>69</v>
      </c>
      <c r="P1854" s="3" t="s">
        <v>75</v>
      </c>
      <c r="Q1854">
        <v>2015</v>
      </c>
      <c r="R1854" s="2">
        <v>42307</v>
      </c>
      <c r="S1854" s="2">
        <v>42310</v>
      </c>
      <c r="T1854" s="2">
        <v>42308</v>
      </c>
      <c r="U1854" s="2">
        <v>42368</v>
      </c>
      <c r="V1854" t="s">
        <v>71</v>
      </c>
      <c r="W1854" t="str">
        <f>"             0175220"</f>
        <v xml:space="preserve">             0175220</v>
      </c>
      <c r="X1854" s="1">
        <v>1686.53</v>
      </c>
      <c r="Y1854">
        <v>0</v>
      </c>
      <c r="Z1854" s="5">
        <v>1382.4</v>
      </c>
      <c r="AA1854">
        <v>280</v>
      </c>
      <c r="AB1854" s="5">
        <v>387072</v>
      </c>
      <c r="AC1854" s="1">
        <v>1382.4</v>
      </c>
      <c r="AD1854">
        <v>280</v>
      </c>
      <c r="AE1854" s="1">
        <v>387072</v>
      </c>
      <c r="AF1854">
        <v>0</v>
      </c>
      <c r="AJ1854">
        <v>0</v>
      </c>
      <c r="AK1854">
        <v>0</v>
      </c>
      <c r="AL1854">
        <v>0</v>
      </c>
      <c r="AM1854">
        <v>0</v>
      </c>
      <c r="AN1854">
        <v>0</v>
      </c>
      <c r="AO1854">
        <v>0</v>
      </c>
      <c r="AP1854" s="2">
        <v>42746</v>
      </c>
      <c r="AQ1854" t="s">
        <v>72</v>
      </c>
      <c r="AR1854" t="s">
        <v>72</v>
      </c>
      <c r="AS1854">
        <v>2697</v>
      </c>
      <c r="AT1854" s="4">
        <v>42648</v>
      </c>
      <c r="AU1854" t="s">
        <v>73</v>
      </c>
      <c r="AV1854">
        <v>2697</v>
      </c>
      <c r="AW1854" s="4">
        <v>42648</v>
      </c>
      <c r="BD1854">
        <v>0</v>
      </c>
      <c r="BN1854" t="s">
        <v>74</v>
      </c>
    </row>
    <row r="1855" spans="1:66">
      <c r="A1855">
        <v>100655</v>
      </c>
      <c r="B1855" s="3" t="s">
        <v>218</v>
      </c>
      <c r="C1855" s="1">
        <v>43300101</v>
      </c>
      <c r="D1855" t="s">
        <v>67</v>
      </c>
      <c r="H1855" t="str">
        <f t="shared" si="188"/>
        <v>00100190610</v>
      </c>
      <c r="I1855" t="str">
        <f t="shared" si="189"/>
        <v>12971700153</v>
      </c>
      <c r="K1855" t="str">
        <f>""</f>
        <v/>
      </c>
      <c r="M1855" t="s">
        <v>68</v>
      </c>
      <c r="N1855" t="str">
        <f t="shared" si="187"/>
        <v>FOR</v>
      </c>
      <c r="O1855" t="s">
        <v>69</v>
      </c>
      <c r="P1855" s="3" t="s">
        <v>75</v>
      </c>
      <c r="Q1855">
        <v>2015</v>
      </c>
      <c r="R1855" s="2">
        <v>42332</v>
      </c>
      <c r="S1855" s="2">
        <v>42334</v>
      </c>
      <c r="T1855" s="2">
        <v>42333</v>
      </c>
      <c r="U1855" s="2">
        <v>42393</v>
      </c>
      <c r="V1855" t="s">
        <v>71</v>
      </c>
      <c r="W1855" t="str">
        <f>"             0189444"</f>
        <v xml:space="preserve">             0189444</v>
      </c>
      <c r="X1855">
        <v>812.52</v>
      </c>
      <c r="Y1855">
        <v>0</v>
      </c>
      <c r="Z1855" s="3">
        <v>666</v>
      </c>
      <c r="AA1855">
        <v>290</v>
      </c>
      <c r="AB1855" s="5">
        <v>193140</v>
      </c>
      <c r="AC1855">
        <v>666</v>
      </c>
      <c r="AD1855">
        <v>290</v>
      </c>
      <c r="AE1855" s="1">
        <v>193140</v>
      </c>
      <c r="AF1855">
        <v>0</v>
      </c>
      <c r="AJ1855">
        <v>0</v>
      </c>
      <c r="AK1855">
        <v>0</v>
      </c>
      <c r="AL1855">
        <v>0</v>
      </c>
      <c r="AM1855">
        <v>0</v>
      </c>
      <c r="AN1855">
        <v>0</v>
      </c>
      <c r="AO1855">
        <v>0</v>
      </c>
      <c r="AP1855" s="2">
        <v>42746</v>
      </c>
      <c r="AQ1855" t="s">
        <v>72</v>
      </c>
      <c r="AR1855" t="s">
        <v>72</v>
      </c>
      <c r="AS1855">
        <v>3010</v>
      </c>
      <c r="AT1855" s="4">
        <v>42683</v>
      </c>
      <c r="AU1855" t="s">
        <v>73</v>
      </c>
      <c r="AV1855">
        <v>3010</v>
      </c>
      <c r="AW1855" s="4">
        <v>42683</v>
      </c>
      <c r="BD1855">
        <v>0</v>
      </c>
      <c r="BN1855" t="s">
        <v>74</v>
      </c>
    </row>
    <row r="1856" spans="1:66">
      <c r="A1856">
        <v>100655</v>
      </c>
      <c r="B1856" s="3" t="s">
        <v>218</v>
      </c>
      <c r="C1856" s="1">
        <v>43300101</v>
      </c>
      <c r="D1856" t="s">
        <v>67</v>
      </c>
      <c r="H1856" t="str">
        <f t="shared" si="188"/>
        <v>00100190610</v>
      </c>
      <c r="I1856" t="str">
        <f t="shared" si="189"/>
        <v>12971700153</v>
      </c>
      <c r="K1856" t="str">
        <f>""</f>
        <v/>
      </c>
      <c r="M1856" t="s">
        <v>68</v>
      </c>
      <c r="N1856" t="str">
        <f t="shared" si="187"/>
        <v>FOR</v>
      </c>
      <c r="O1856" t="s">
        <v>69</v>
      </c>
      <c r="P1856" s="3" t="s">
        <v>75</v>
      </c>
      <c r="Q1856">
        <v>2015</v>
      </c>
      <c r="R1856" s="2">
        <v>42333</v>
      </c>
      <c r="S1856" s="2">
        <v>42338</v>
      </c>
      <c r="T1856" s="2">
        <v>42334</v>
      </c>
      <c r="U1856" s="2">
        <v>42394</v>
      </c>
      <c r="V1856" t="s">
        <v>71</v>
      </c>
      <c r="W1856" t="str">
        <f>"             0190134"</f>
        <v xml:space="preserve">             0190134</v>
      </c>
      <c r="X1856" s="1">
        <v>2708.4</v>
      </c>
      <c r="Y1856">
        <v>0</v>
      </c>
      <c r="Z1856" s="5">
        <v>2220</v>
      </c>
      <c r="AA1856">
        <v>289</v>
      </c>
      <c r="AB1856" s="5">
        <v>641580</v>
      </c>
      <c r="AC1856" s="1">
        <v>2220</v>
      </c>
      <c r="AD1856">
        <v>289</v>
      </c>
      <c r="AE1856" s="1">
        <v>641580</v>
      </c>
      <c r="AF1856">
        <v>0</v>
      </c>
      <c r="AJ1856">
        <v>0</v>
      </c>
      <c r="AK1856">
        <v>0</v>
      </c>
      <c r="AL1856">
        <v>0</v>
      </c>
      <c r="AM1856">
        <v>0</v>
      </c>
      <c r="AN1856">
        <v>0</v>
      </c>
      <c r="AO1856">
        <v>0</v>
      </c>
      <c r="AP1856" s="2">
        <v>42746</v>
      </c>
      <c r="AQ1856" t="s">
        <v>72</v>
      </c>
      <c r="AR1856" t="s">
        <v>72</v>
      </c>
      <c r="AS1856">
        <v>3010</v>
      </c>
      <c r="AT1856" s="4">
        <v>42683</v>
      </c>
      <c r="AU1856" t="s">
        <v>73</v>
      </c>
      <c r="AV1856">
        <v>3010</v>
      </c>
      <c r="AW1856" s="4">
        <v>42683</v>
      </c>
      <c r="BD1856">
        <v>0</v>
      </c>
      <c r="BN1856" t="s">
        <v>74</v>
      </c>
    </row>
    <row r="1857" spans="1:66" hidden="1">
      <c r="A1857">
        <v>100660</v>
      </c>
      <c r="B1857" s="3" t="s">
        <v>219</v>
      </c>
      <c r="C1857" s="1">
        <v>43300101</v>
      </c>
      <c r="D1857" t="s">
        <v>67</v>
      </c>
      <c r="H1857" t="str">
        <f>"00452440589"</f>
        <v>00452440589</v>
      </c>
      <c r="I1857" t="str">
        <f>"00897041000"</f>
        <v>00897041000</v>
      </c>
      <c r="K1857" t="str">
        <f>""</f>
        <v/>
      </c>
      <c r="M1857" t="s">
        <v>68</v>
      </c>
      <c r="N1857" t="str">
        <f t="shared" si="187"/>
        <v>FOR</v>
      </c>
      <c r="O1857" t="s">
        <v>69</v>
      </c>
      <c r="P1857" s="3" t="s">
        <v>75</v>
      </c>
      <c r="Q1857">
        <v>2015</v>
      </c>
      <c r="R1857" s="2">
        <v>42354</v>
      </c>
      <c r="S1857" s="2">
        <v>42369</v>
      </c>
      <c r="T1857" s="2">
        <v>42369</v>
      </c>
      <c r="U1857" s="2">
        <v>42429</v>
      </c>
      <c r="V1857" t="s">
        <v>71</v>
      </c>
      <c r="W1857" t="str">
        <f>"           551500576"</f>
        <v xml:space="preserve">           551500576</v>
      </c>
      <c r="X1857" s="1">
        <v>3355</v>
      </c>
      <c r="Y1857">
        <v>0</v>
      </c>
      <c r="Z1857"/>
      <c r="AB1857"/>
      <c r="AC1857" s="1">
        <v>2750</v>
      </c>
      <c r="AD1857">
        <v>91</v>
      </c>
      <c r="AE1857" s="1">
        <v>250250</v>
      </c>
      <c r="AF1857">
        <v>0</v>
      </c>
      <c r="AJ1857">
        <v>0</v>
      </c>
      <c r="AK1857">
        <v>0</v>
      </c>
      <c r="AL1857">
        <v>0</v>
      </c>
      <c r="AM1857">
        <v>0</v>
      </c>
      <c r="AN1857">
        <v>0</v>
      </c>
      <c r="AO1857">
        <v>0</v>
      </c>
      <c r="AP1857" s="2">
        <v>42746</v>
      </c>
      <c r="AQ1857" t="s">
        <v>72</v>
      </c>
      <c r="AR1857" t="s">
        <v>72</v>
      </c>
      <c r="AS1857">
        <v>1419</v>
      </c>
      <c r="AT1857" s="4">
        <v>42520</v>
      </c>
      <c r="AU1857" t="s">
        <v>73</v>
      </c>
      <c r="AV1857">
        <v>1419</v>
      </c>
      <c r="AW1857" s="4">
        <v>42520</v>
      </c>
      <c r="BD1857">
        <v>0</v>
      </c>
      <c r="BN1857" t="s">
        <v>74</v>
      </c>
    </row>
    <row r="1858" spans="1:66" hidden="1">
      <c r="A1858">
        <v>100660</v>
      </c>
      <c r="B1858" s="3" t="s">
        <v>219</v>
      </c>
      <c r="C1858" s="1">
        <v>43300101</v>
      </c>
      <c r="D1858" t="s">
        <v>67</v>
      </c>
      <c r="H1858" t="str">
        <f>"00452440589"</f>
        <v>00452440589</v>
      </c>
      <c r="I1858" t="str">
        <f>"00897041000"</f>
        <v>00897041000</v>
      </c>
      <c r="K1858" t="str">
        <f>""</f>
        <v/>
      </c>
      <c r="M1858" t="s">
        <v>68</v>
      </c>
      <c r="N1858" t="str">
        <f t="shared" si="187"/>
        <v>FOR</v>
      </c>
      <c r="O1858" t="s">
        <v>69</v>
      </c>
      <c r="P1858" s="3" t="s">
        <v>75</v>
      </c>
      <c r="Q1858">
        <v>2016</v>
      </c>
      <c r="R1858" s="2">
        <v>42510</v>
      </c>
      <c r="S1858" s="2">
        <v>42528</v>
      </c>
      <c r="T1858" s="2">
        <v>42527</v>
      </c>
      <c r="U1858" s="2">
        <v>42587</v>
      </c>
      <c r="V1858" t="s">
        <v>71</v>
      </c>
      <c r="W1858" t="str">
        <f>"           551600122"</f>
        <v xml:space="preserve">           551600122</v>
      </c>
      <c r="X1858" s="1">
        <v>6499.64</v>
      </c>
      <c r="Y1858">
        <v>0</v>
      </c>
      <c r="Z1858"/>
      <c r="AB1858"/>
      <c r="AC1858" s="1">
        <v>5327.57</v>
      </c>
      <c r="AD1858">
        <v>-10</v>
      </c>
      <c r="AE1858" s="1">
        <v>-53275.7</v>
      </c>
      <c r="AF1858">
        <v>0</v>
      </c>
      <c r="AJ1858">
        <v>0</v>
      </c>
      <c r="AK1858">
        <v>0</v>
      </c>
      <c r="AL1858">
        <v>0</v>
      </c>
      <c r="AM1858" s="1">
        <v>6499.64</v>
      </c>
      <c r="AN1858" s="1">
        <v>6499.64</v>
      </c>
      <c r="AO1858" s="1">
        <v>6499.64</v>
      </c>
      <c r="AP1858" s="2">
        <v>42746</v>
      </c>
      <c r="AQ1858" t="s">
        <v>72</v>
      </c>
      <c r="AR1858" t="s">
        <v>72</v>
      </c>
      <c r="AS1858">
        <v>1952</v>
      </c>
      <c r="AT1858" s="4">
        <v>42577</v>
      </c>
      <c r="AV1858">
        <v>1952</v>
      </c>
      <c r="AW1858" s="4">
        <v>42577</v>
      </c>
      <c r="BD1858">
        <v>0</v>
      </c>
      <c r="BN1858" t="s">
        <v>74</v>
      </c>
    </row>
    <row r="1859" spans="1:66" hidden="1">
      <c r="A1859">
        <v>100661</v>
      </c>
      <c r="B1859" s="3" t="s">
        <v>220</v>
      </c>
      <c r="C1859" s="1">
        <v>43500101</v>
      </c>
      <c r="D1859" t="s">
        <v>113</v>
      </c>
      <c r="H1859" t="str">
        <f>"MMLTTV56M22F839Y"</f>
        <v>MMLTTV56M22F839Y</v>
      </c>
      <c r="I1859" t="str">
        <f>""</f>
        <v/>
      </c>
      <c r="K1859" t="str">
        <f>""</f>
        <v/>
      </c>
      <c r="M1859" t="s">
        <v>68</v>
      </c>
      <c r="N1859" t="str">
        <f>"ALTPRO"</f>
        <v>ALTPRO</v>
      </c>
      <c r="O1859" t="s">
        <v>132</v>
      </c>
      <c r="P1859" s="3" t="s">
        <v>221</v>
      </c>
      <c r="Q1859">
        <v>2016</v>
      </c>
      <c r="R1859" s="2">
        <v>42551</v>
      </c>
      <c r="S1859" s="2">
        <v>42551</v>
      </c>
      <c r="T1859" s="2">
        <v>42551</v>
      </c>
      <c r="U1859" s="2">
        <v>42611</v>
      </c>
      <c r="V1859" t="s">
        <v>71</v>
      </c>
      <c r="W1859" t="str">
        <f>"                 159"</f>
        <v xml:space="preserve">                 159</v>
      </c>
      <c r="X1859">
        <v>0</v>
      </c>
      <c r="Y1859">
        <v>200</v>
      </c>
      <c r="Z1859"/>
      <c r="AB1859"/>
      <c r="AC1859">
        <v>200</v>
      </c>
      <c r="AD1859">
        <v>-34</v>
      </c>
      <c r="AE1859" s="1">
        <v>-6800</v>
      </c>
      <c r="AF1859">
        <v>0</v>
      </c>
      <c r="AJ1859">
        <v>0</v>
      </c>
      <c r="AK1859">
        <v>0</v>
      </c>
      <c r="AL1859">
        <v>0</v>
      </c>
      <c r="AM1859">
        <v>200</v>
      </c>
      <c r="AN1859">
        <v>200</v>
      </c>
      <c r="AO1859">
        <v>200</v>
      </c>
      <c r="AP1859" s="2">
        <v>42746</v>
      </c>
      <c r="AQ1859" t="s">
        <v>72</v>
      </c>
      <c r="AR1859" t="s">
        <v>72</v>
      </c>
      <c r="AS1859">
        <v>1974</v>
      </c>
      <c r="AT1859" s="4">
        <v>42577</v>
      </c>
      <c r="AV1859">
        <v>1974</v>
      </c>
      <c r="AW1859" s="4">
        <v>42577</v>
      </c>
      <c r="BD1859">
        <v>0</v>
      </c>
      <c r="BN1859" t="s">
        <v>74</v>
      </c>
    </row>
    <row r="1860" spans="1:66" hidden="1">
      <c r="A1860">
        <v>100662</v>
      </c>
      <c r="B1860" s="3" t="s">
        <v>222</v>
      </c>
      <c r="C1860" s="1">
        <v>43300101</v>
      </c>
      <c r="D1860" t="s">
        <v>67</v>
      </c>
      <c r="H1860" t="str">
        <f>"01643040387"</f>
        <v>01643040387</v>
      </c>
      <c r="I1860" t="str">
        <f>"01643040387"</f>
        <v>01643040387</v>
      </c>
      <c r="K1860" t="str">
        <f>""</f>
        <v/>
      </c>
      <c r="M1860" t="s">
        <v>68</v>
      </c>
      <c r="N1860" t="str">
        <f>"FOR"</f>
        <v>FOR</v>
      </c>
      <c r="O1860" t="s">
        <v>69</v>
      </c>
      <c r="P1860" s="3" t="s">
        <v>75</v>
      </c>
      <c r="Q1860">
        <v>2015</v>
      </c>
      <c r="R1860" s="2">
        <v>42123</v>
      </c>
      <c r="S1860" s="2">
        <v>42142</v>
      </c>
      <c r="T1860" s="2">
        <v>42138</v>
      </c>
      <c r="U1860" s="2">
        <v>42198</v>
      </c>
      <c r="V1860" t="s">
        <v>71</v>
      </c>
      <c r="W1860" t="str">
        <f>"         FATTPA 2_15"</f>
        <v xml:space="preserve">         FATTPA 2_15</v>
      </c>
      <c r="X1860" s="1">
        <v>1195.5999999999999</v>
      </c>
      <c r="Y1860">
        <v>0</v>
      </c>
      <c r="Z1860"/>
      <c r="AB1860"/>
      <c r="AC1860">
        <v>980</v>
      </c>
      <c r="AD1860">
        <v>218</v>
      </c>
      <c r="AE1860" s="1">
        <v>213640</v>
      </c>
      <c r="AF1860">
        <v>0</v>
      </c>
      <c r="AJ1860">
        <v>0</v>
      </c>
      <c r="AK1860">
        <v>0</v>
      </c>
      <c r="AL1860">
        <v>0</v>
      </c>
      <c r="AM1860">
        <v>0</v>
      </c>
      <c r="AN1860">
        <v>0</v>
      </c>
      <c r="AO1860">
        <v>0</v>
      </c>
      <c r="AP1860" s="2">
        <v>42746</v>
      </c>
      <c r="AQ1860" t="s">
        <v>72</v>
      </c>
      <c r="AR1860" t="s">
        <v>72</v>
      </c>
      <c r="AS1860">
        <v>427</v>
      </c>
      <c r="AT1860" s="4">
        <v>42416</v>
      </c>
      <c r="AU1860" t="s">
        <v>73</v>
      </c>
      <c r="AV1860">
        <v>427</v>
      </c>
      <c r="AW1860" s="4">
        <v>42416</v>
      </c>
      <c r="BD1860">
        <v>0</v>
      </c>
      <c r="BN1860" t="s">
        <v>74</v>
      </c>
    </row>
    <row r="1861" spans="1:66" hidden="1">
      <c r="A1861">
        <v>100662</v>
      </c>
      <c r="B1861" s="3" t="s">
        <v>222</v>
      </c>
      <c r="C1861" s="1">
        <v>43300101</v>
      </c>
      <c r="D1861" t="s">
        <v>67</v>
      </c>
      <c r="H1861" t="str">
        <f>"01643040387"</f>
        <v>01643040387</v>
      </c>
      <c r="I1861" t="str">
        <f>"01643040387"</f>
        <v>01643040387</v>
      </c>
      <c r="K1861" t="str">
        <f>""</f>
        <v/>
      </c>
      <c r="M1861" t="s">
        <v>68</v>
      </c>
      <c r="N1861" t="str">
        <f>"FOR"</f>
        <v>FOR</v>
      </c>
      <c r="O1861" t="s">
        <v>69</v>
      </c>
      <c r="P1861" s="3" t="s">
        <v>75</v>
      </c>
      <c r="Q1861">
        <v>2015</v>
      </c>
      <c r="R1861" s="2">
        <v>42177</v>
      </c>
      <c r="S1861" s="2">
        <v>42177</v>
      </c>
      <c r="T1861" s="2">
        <v>42177</v>
      </c>
      <c r="U1861" s="2">
        <v>42237</v>
      </c>
      <c r="V1861" t="s">
        <v>71</v>
      </c>
      <c r="W1861" t="str">
        <f>"         FATTPA 7_15"</f>
        <v xml:space="preserve">         FATTPA 7_15</v>
      </c>
      <c r="X1861" s="1">
        <v>4321.97</v>
      </c>
      <c r="Y1861">
        <v>0</v>
      </c>
      <c r="Z1861"/>
      <c r="AB1861"/>
      <c r="AC1861" s="1">
        <v>3542.6</v>
      </c>
      <c r="AD1861">
        <v>250</v>
      </c>
      <c r="AE1861" s="1">
        <v>885650</v>
      </c>
      <c r="AF1861">
        <v>0</v>
      </c>
      <c r="AJ1861">
        <v>0</v>
      </c>
      <c r="AK1861">
        <v>0</v>
      </c>
      <c r="AL1861">
        <v>0</v>
      </c>
      <c r="AM1861">
        <v>0</v>
      </c>
      <c r="AN1861">
        <v>0</v>
      </c>
      <c r="AO1861">
        <v>0</v>
      </c>
      <c r="AP1861" s="2">
        <v>42746</v>
      </c>
      <c r="AQ1861" t="s">
        <v>72</v>
      </c>
      <c r="AR1861" t="s">
        <v>72</v>
      </c>
      <c r="AS1861">
        <v>1203</v>
      </c>
      <c r="AT1861" s="4">
        <v>42487</v>
      </c>
      <c r="AU1861" t="s">
        <v>73</v>
      </c>
      <c r="AV1861">
        <v>1203</v>
      </c>
      <c r="AW1861" s="4">
        <v>42487</v>
      </c>
      <c r="BD1861">
        <v>0</v>
      </c>
      <c r="BN1861" t="s">
        <v>74</v>
      </c>
    </row>
    <row r="1862" spans="1:66" hidden="1">
      <c r="A1862">
        <v>100672</v>
      </c>
      <c r="B1862" s="3" t="s">
        <v>223</v>
      </c>
      <c r="C1862" s="1">
        <v>43300101</v>
      </c>
      <c r="D1862" t="s">
        <v>67</v>
      </c>
      <c r="H1862" t="str">
        <f t="shared" ref="H1862:I1864" si="190">"06225750725"</f>
        <v>06225750725</v>
      </c>
      <c r="I1862" t="str">
        <f t="shared" si="190"/>
        <v>06225750725</v>
      </c>
      <c r="K1862" t="str">
        <f>""</f>
        <v/>
      </c>
      <c r="M1862" t="s">
        <v>68</v>
      </c>
      <c r="N1862" t="str">
        <f>"FOR"</f>
        <v>FOR</v>
      </c>
      <c r="O1862" t="s">
        <v>69</v>
      </c>
      <c r="P1862" s="3" t="s">
        <v>75</v>
      </c>
      <c r="Q1862">
        <v>2015</v>
      </c>
      <c r="R1862" s="2">
        <v>42149</v>
      </c>
      <c r="S1862" s="2">
        <v>42163</v>
      </c>
      <c r="T1862" s="2">
        <v>42158</v>
      </c>
      <c r="U1862" s="2">
        <v>42218</v>
      </c>
      <c r="V1862" t="s">
        <v>71</v>
      </c>
      <c r="W1862" t="str">
        <f>"               28/03"</f>
        <v xml:space="preserve">               28/03</v>
      </c>
      <c r="X1862">
        <v>140.54</v>
      </c>
      <c r="Y1862">
        <v>0</v>
      </c>
      <c r="Z1862"/>
      <c r="AB1862"/>
      <c r="AC1862">
        <v>115.2</v>
      </c>
      <c r="AD1862">
        <v>302</v>
      </c>
      <c r="AE1862" s="1">
        <v>34790.400000000001</v>
      </c>
      <c r="AF1862">
        <v>0</v>
      </c>
      <c r="AJ1862">
        <v>0</v>
      </c>
      <c r="AK1862">
        <v>0</v>
      </c>
      <c r="AL1862">
        <v>0</v>
      </c>
      <c r="AM1862">
        <v>0</v>
      </c>
      <c r="AN1862">
        <v>0</v>
      </c>
      <c r="AO1862">
        <v>0</v>
      </c>
      <c r="AP1862" s="2">
        <v>42746</v>
      </c>
      <c r="AQ1862" t="s">
        <v>72</v>
      </c>
      <c r="AR1862" t="s">
        <v>72</v>
      </c>
      <c r="AS1862">
        <v>1437</v>
      </c>
      <c r="AT1862" s="4">
        <v>42520</v>
      </c>
      <c r="AU1862" t="s">
        <v>73</v>
      </c>
      <c r="AV1862">
        <v>1437</v>
      </c>
      <c r="AW1862" s="4">
        <v>42520</v>
      </c>
      <c r="BD1862">
        <v>0</v>
      </c>
      <c r="BN1862" t="s">
        <v>74</v>
      </c>
    </row>
    <row r="1863" spans="1:66" hidden="1">
      <c r="A1863">
        <v>100672</v>
      </c>
      <c r="B1863" s="3" t="s">
        <v>223</v>
      </c>
      <c r="C1863" s="1">
        <v>43300101</v>
      </c>
      <c r="D1863" t="s">
        <v>67</v>
      </c>
      <c r="H1863" t="str">
        <f t="shared" si="190"/>
        <v>06225750725</v>
      </c>
      <c r="I1863" t="str">
        <f t="shared" si="190"/>
        <v>06225750725</v>
      </c>
      <c r="K1863" t="str">
        <f>""</f>
        <v/>
      </c>
      <c r="M1863" t="s">
        <v>68</v>
      </c>
      <c r="N1863" t="str">
        <f>"FOR"</f>
        <v>FOR</v>
      </c>
      <c r="O1863" t="s">
        <v>69</v>
      </c>
      <c r="P1863" s="3" t="s">
        <v>75</v>
      </c>
      <c r="Q1863">
        <v>2015</v>
      </c>
      <c r="R1863" s="2">
        <v>42153</v>
      </c>
      <c r="S1863" s="2">
        <v>42163</v>
      </c>
      <c r="T1863" s="2">
        <v>42158</v>
      </c>
      <c r="U1863" s="2">
        <v>42218</v>
      </c>
      <c r="V1863" t="s">
        <v>71</v>
      </c>
      <c r="W1863" t="str">
        <f>"               40/03"</f>
        <v xml:space="preserve">               40/03</v>
      </c>
      <c r="X1863">
        <v>359.7</v>
      </c>
      <c r="Y1863">
        <v>0</v>
      </c>
      <c r="Z1863"/>
      <c r="AB1863"/>
      <c r="AC1863">
        <v>294.83999999999997</v>
      </c>
      <c r="AD1863">
        <v>302</v>
      </c>
      <c r="AE1863" s="1">
        <v>89041.68</v>
      </c>
      <c r="AF1863">
        <v>0</v>
      </c>
      <c r="AJ1863">
        <v>0</v>
      </c>
      <c r="AK1863">
        <v>0</v>
      </c>
      <c r="AL1863">
        <v>0</v>
      </c>
      <c r="AM1863">
        <v>0</v>
      </c>
      <c r="AN1863">
        <v>0</v>
      </c>
      <c r="AO1863">
        <v>0</v>
      </c>
      <c r="AP1863" s="2">
        <v>42746</v>
      </c>
      <c r="AQ1863" t="s">
        <v>72</v>
      </c>
      <c r="AR1863" t="s">
        <v>72</v>
      </c>
      <c r="AS1863">
        <v>1437</v>
      </c>
      <c r="AT1863" s="4">
        <v>42520</v>
      </c>
      <c r="AU1863" t="s">
        <v>73</v>
      </c>
      <c r="AV1863">
        <v>1437</v>
      </c>
      <c r="AW1863" s="4">
        <v>42520</v>
      </c>
      <c r="BD1863">
        <v>0</v>
      </c>
      <c r="BN1863" t="s">
        <v>74</v>
      </c>
    </row>
    <row r="1864" spans="1:66" hidden="1">
      <c r="A1864">
        <v>100672</v>
      </c>
      <c r="B1864" s="3" t="s">
        <v>223</v>
      </c>
      <c r="C1864" s="1">
        <v>43300101</v>
      </c>
      <c r="D1864" t="s">
        <v>67</v>
      </c>
      <c r="H1864" t="str">
        <f t="shared" si="190"/>
        <v>06225750725</v>
      </c>
      <c r="I1864" t="str">
        <f t="shared" si="190"/>
        <v>06225750725</v>
      </c>
      <c r="K1864" t="str">
        <f>""</f>
        <v/>
      </c>
      <c r="M1864" t="s">
        <v>68</v>
      </c>
      <c r="N1864" t="str">
        <f>"FOR"</f>
        <v>FOR</v>
      </c>
      <c r="O1864" t="s">
        <v>69</v>
      </c>
      <c r="P1864" s="3" t="s">
        <v>75</v>
      </c>
      <c r="Q1864">
        <v>2015</v>
      </c>
      <c r="R1864" s="2">
        <v>42173</v>
      </c>
      <c r="S1864" s="2">
        <v>42417</v>
      </c>
      <c r="T1864" s="2">
        <v>42412</v>
      </c>
      <c r="U1864" s="2">
        <v>42472</v>
      </c>
      <c r="V1864" t="s">
        <v>71</v>
      </c>
      <c r="W1864" t="str">
        <f>"               52/03"</f>
        <v xml:space="preserve">               52/03</v>
      </c>
      <c r="X1864">
        <v>119.9</v>
      </c>
      <c r="Y1864">
        <v>0</v>
      </c>
      <c r="Z1864"/>
      <c r="AB1864"/>
      <c r="AC1864">
        <v>98.28</v>
      </c>
      <c r="AD1864">
        <v>48</v>
      </c>
      <c r="AE1864" s="1">
        <v>4717.4399999999996</v>
      </c>
      <c r="AF1864">
        <v>0</v>
      </c>
      <c r="AJ1864">
        <v>0</v>
      </c>
      <c r="AK1864">
        <v>0</v>
      </c>
      <c r="AL1864">
        <v>0</v>
      </c>
      <c r="AM1864">
        <v>0</v>
      </c>
      <c r="AN1864">
        <v>119.9</v>
      </c>
      <c r="AO1864">
        <v>0</v>
      </c>
      <c r="AP1864" s="2">
        <v>42746</v>
      </c>
      <c r="AQ1864" t="s">
        <v>72</v>
      </c>
      <c r="AR1864" t="s">
        <v>72</v>
      </c>
      <c r="AS1864">
        <v>1437</v>
      </c>
      <c r="AT1864" s="4">
        <v>42520</v>
      </c>
      <c r="AU1864" t="s">
        <v>73</v>
      </c>
      <c r="AV1864">
        <v>1437</v>
      </c>
      <c r="AW1864" s="4">
        <v>42520</v>
      </c>
      <c r="BD1864">
        <v>0</v>
      </c>
      <c r="BN1864" t="s">
        <v>74</v>
      </c>
    </row>
    <row r="1865" spans="1:66" hidden="1">
      <c r="A1865">
        <v>100686</v>
      </c>
      <c r="B1865" s="3" t="s">
        <v>224</v>
      </c>
      <c r="C1865" s="1">
        <v>43500101</v>
      </c>
      <c r="D1865" t="s">
        <v>113</v>
      </c>
      <c r="H1865" t="str">
        <f t="shared" ref="H1865:H1876" si="191">"LCCNLV76L21B963J"</f>
        <v>LCCNLV76L21B963J</v>
      </c>
      <c r="I1865" t="str">
        <f t="shared" ref="I1865:I1876" si="192">"03334340613"</f>
        <v>03334340613</v>
      </c>
      <c r="K1865" t="str">
        <f>""</f>
        <v/>
      </c>
      <c r="M1865" t="s">
        <v>68</v>
      </c>
      <c r="N1865" t="str">
        <f t="shared" ref="N1865:N1888" si="193">"ALTPRO"</f>
        <v>ALTPRO</v>
      </c>
      <c r="O1865" t="s">
        <v>132</v>
      </c>
      <c r="P1865" s="3" t="s">
        <v>146</v>
      </c>
      <c r="Q1865">
        <v>2016</v>
      </c>
      <c r="R1865" s="2">
        <v>42374</v>
      </c>
      <c r="S1865" s="2">
        <v>42377</v>
      </c>
      <c r="T1865" s="2">
        <v>42376</v>
      </c>
      <c r="U1865" s="2">
        <v>42436</v>
      </c>
      <c r="V1865" t="s">
        <v>71</v>
      </c>
      <c r="W1865" t="str">
        <f>"                1/PA"</f>
        <v xml:space="preserve">                1/PA</v>
      </c>
      <c r="X1865" s="1">
        <v>2204.5500000000002</v>
      </c>
      <c r="Y1865">
        <v>-440.51</v>
      </c>
      <c r="Z1865"/>
      <c r="AB1865"/>
      <c r="AC1865" s="1">
        <v>1764.04</v>
      </c>
      <c r="AD1865">
        <v>-39</v>
      </c>
      <c r="AE1865" s="1">
        <v>-68797.56</v>
      </c>
      <c r="AF1865">
        <v>0</v>
      </c>
      <c r="AJ1865">
        <v>0</v>
      </c>
      <c r="AK1865">
        <v>0</v>
      </c>
      <c r="AL1865">
        <v>0</v>
      </c>
      <c r="AM1865">
        <v>-440.51</v>
      </c>
      <c r="AN1865" s="1">
        <v>1764.04</v>
      </c>
      <c r="AO1865" s="1">
        <v>1764.04</v>
      </c>
      <c r="AP1865" s="2">
        <v>42746</v>
      </c>
      <c r="AQ1865" t="s">
        <v>72</v>
      </c>
      <c r="AR1865" t="s">
        <v>72</v>
      </c>
      <c r="AS1865">
        <v>113</v>
      </c>
      <c r="AT1865" s="4">
        <v>42397</v>
      </c>
      <c r="AV1865">
        <v>113</v>
      </c>
      <c r="AW1865" s="4">
        <v>42397</v>
      </c>
      <c r="BD1865">
        <v>0</v>
      </c>
      <c r="BN1865" t="s">
        <v>74</v>
      </c>
    </row>
    <row r="1866" spans="1:66" hidden="1">
      <c r="A1866">
        <v>100686</v>
      </c>
      <c r="B1866" s="3" t="s">
        <v>224</v>
      </c>
      <c r="C1866" s="1">
        <v>43500101</v>
      </c>
      <c r="D1866" t="s">
        <v>113</v>
      </c>
      <c r="H1866" t="str">
        <f t="shared" si="191"/>
        <v>LCCNLV76L21B963J</v>
      </c>
      <c r="I1866" t="str">
        <f t="shared" si="192"/>
        <v>03334340613</v>
      </c>
      <c r="K1866" t="str">
        <f>""</f>
        <v/>
      </c>
      <c r="M1866" t="s">
        <v>68</v>
      </c>
      <c r="N1866" t="str">
        <f t="shared" si="193"/>
        <v>ALTPRO</v>
      </c>
      <c r="O1866" t="s">
        <v>132</v>
      </c>
      <c r="P1866" s="3" t="s">
        <v>146</v>
      </c>
      <c r="Q1866">
        <v>2016</v>
      </c>
      <c r="R1866" s="2">
        <v>42401</v>
      </c>
      <c r="S1866" s="2">
        <v>42404</v>
      </c>
      <c r="T1866" s="2">
        <v>42403</v>
      </c>
      <c r="U1866" s="2">
        <v>42463</v>
      </c>
      <c r="V1866" t="s">
        <v>71</v>
      </c>
      <c r="W1866" t="str">
        <f>"                2/PA"</f>
        <v xml:space="preserve">                2/PA</v>
      </c>
      <c r="X1866" s="1">
        <v>2313.7800000000002</v>
      </c>
      <c r="Y1866">
        <v>-462.36</v>
      </c>
      <c r="Z1866"/>
      <c r="AB1866"/>
      <c r="AC1866" s="1">
        <v>1851.42</v>
      </c>
      <c r="AD1866">
        <v>-37</v>
      </c>
      <c r="AE1866" s="1">
        <v>-68502.539999999994</v>
      </c>
      <c r="AF1866">
        <v>0</v>
      </c>
      <c r="AJ1866">
        <v>0</v>
      </c>
      <c r="AK1866">
        <v>0</v>
      </c>
      <c r="AL1866">
        <v>0</v>
      </c>
      <c r="AM1866" s="1">
        <v>1851.42</v>
      </c>
      <c r="AN1866" s="1">
        <v>1851.42</v>
      </c>
      <c r="AO1866" s="1">
        <v>1851.42</v>
      </c>
      <c r="AP1866" s="2">
        <v>42746</v>
      </c>
      <c r="AQ1866" t="s">
        <v>72</v>
      </c>
      <c r="AR1866" t="s">
        <v>72</v>
      </c>
      <c r="AS1866">
        <v>579</v>
      </c>
      <c r="AT1866" s="4">
        <v>42426</v>
      </c>
      <c r="AV1866">
        <v>579</v>
      </c>
      <c r="AW1866" s="4">
        <v>42426</v>
      </c>
      <c r="BD1866">
        <v>0</v>
      </c>
      <c r="BN1866" t="s">
        <v>74</v>
      </c>
    </row>
    <row r="1867" spans="1:66" hidden="1">
      <c r="A1867">
        <v>100686</v>
      </c>
      <c r="B1867" s="3" t="s">
        <v>224</v>
      </c>
      <c r="C1867" s="1">
        <v>43500101</v>
      </c>
      <c r="D1867" t="s">
        <v>113</v>
      </c>
      <c r="H1867" t="str">
        <f t="shared" si="191"/>
        <v>LCCNLV76L21B963J</v>
      </c>
      <c r="I1867" t="str">
        <f t="shared" si="192"/>
        <v>03334340613</v>
      </c>
      <c r="K1867" t="str">
        <f>""</f>
        <v/>
      </c>
      <c r="M1867" t="s">
        <v>68</v>
      </c>
      <c r="N1867" t="str">
        <f t="shared" si="193"/>
        <v>ALTPRO</v>
      </c>
      <c r="O1867" t="s">
        <v>132</v>
      </c>
      <c r="P1867" s="3" t="s">
        <v>146</v>
      </c>
      <c r="Q1867">
        <v>2016</v>
      </c>
      <c r="R1867" s="2">
        <v>42433</v>
      </c>
      <c r="S1867" s="2">
        <v>42437</v>
      </c>
      <c r="T1867" s="2">
        <v>42436</v>
      </c>
      <c r="U1867" s="2">
        <v>42496</v>
      </c>
      <c r="V1867" t="s">
        <v>71</v>
      </c>
      <c r="W1867" t="str">
        <f>"                3-PA"</f>
        <v xml:space="preserve">                3-PA</v>
      </c>
      <c r="X1867" s="1">
        <v>2237.2199999999998</v>
      </c>
      <c r="Y1867">
        <v>-447.05</v>
      </c>
      <c r="Z1867"/>
      <c r="AB1867"/>
      <c r="AC1867" s="1">
        <v>1790.17</v>
      </c>
      <c r="AD1867">
        <v>-45</v>
      </c>
      <c r="AE1867" s="1">
        <v>-80557.649999999994</v>
      </c>
      <c r="AF1867">
        <v>0</v>
      </c>
      <c r="AJ1867">
        <v>0</v>
      </c>
      <c r="AK1867">
        <v>0</v>
      </c>
      <c r="AL1867">
        <v>0</v>
      </c>
      <c r="AM1867" s="1">
        <v>1790.17</v>
      </c>
      <c r="AN1867" s="1">
        <v>1790.17</v>
      </c>
      <c r="AO1867" s="1">
        <v>1790.17</v>
      </c>
      <c r="AP1867" s="2">
        <v>42746</v>
      </c>
      <c r="AQ1867" t="s">
        <v>72</v>
      </c>
      <c r="AR1867" t="s">
        <v>72</v>
      </c>
      <c r="AS1867">
        <v>713</v>
      </c>
      <c r="AT1867" s="4">
        <v>42451</v>
      </c>
      <c r="AV1867">
        <v>713</v>
      </c>
      <c r="AW1867" s="4">
        <v>42451</v>
      </c>
      <c r="BD1867">
        <v>0</v>
      </c>
      <c r="BN1867" t="s">
        <v>74</v>
      </c>
    </row>
    <row r="1868" spans="1:66" hidden="1">
      <c r="A1868">
        <v>100686</v>
      </c>
      <c r="B1868" s="3" t="s">
        <v>224</v>
      </c>
      <c r="C1868" s="1">
        <v>43500101</v>
      </c>
      <c r="D1868" t="s">
        <v>113</v>
      </c>
      <c r="H1868" t="str">
        <f t="shared" si="191"/>
        <v>LCCNLV76L21B963J</v>
      </c>
      <c r="I1868" t="str">
        <f t="shared" si="192"/>
        <v>03334340613</v>
      </c>
      <c r="K1868" t="str">
        <f>""</f>
        <v/>
      </c>
      <c r="M1868" t="s">
        <v>68</v>
      </c>
      <c r="N1868" t="str">
        <f t="shared" si="193"/>
        <v>ALTPRO</v>
      </c>
      <c r="O1868" t="s">
        <v>132</v>
      </c>
      <c r="P1868" s="3" t="s">
        <v>146</v>
      </c>
      <c r="Q1868">
        <v>2016</v>
      </c>
      <c r="R1868" s="2">
        <v>42461</v>
      </c>
      <c r="S1868" s="2">
        <v>42464</v>
      </c>
      <c r="T1868" s="2">
        <v>42461</v>
      </c>
      <c r="U1868" s="2">
        <v>42521</v>
      </c>
      <c r="V1868" t="s">
        <v>71</v>
      </c>
      <c r="W1868" t="str">
        <f>"                4-PA"</f>
        <v xml:space="preserve">                4-PA</v>
      </c>
      <c r="X1868" s="1">
        <v>2559.09</v>
      </c>
      <c r="Y1868">
        <v>-511.42</v>
      </c>
      <c r="Z1868"/>
      <c r="AB1868"/>
      <c r="AC1868" s="1">
        <v>2047.67</v>
      </c>
      <c r="AD1868">
        <v>-34</v>
      </c>
      <c r="AE1868" s="1">
        <v>-69620.78</v>
      </c>
      <c r="AF1868">
        <v>0</v>
      </c>
      <c r="AJ1868">
        <v>0</v>
      </c>
      <c r="AK1868">
        <v>0</v>
      </c>
      <c r="AL1868">
        <v>0</v>
      </c>
      <c r="AM1868" s="1">
        <v>2047.67</v>
      </c>
      <c r="AN1868" s="1">
        <v>2047.67</v>
      </c>
      <c r="AO1868" s="1">
        <v>2047.67</v>
      </c>
      <c r="AP1868" s="2">
        <v>42746</v>
      </c>
      <c r="AQ1868" t="s">
        <v>72</v>
      </c>
      <c r="AR1868" t="s">
        <v>72</v>
      </c>
      <c r="AS1868">
        <v>1165</v>
      </c>
      <c r="AT1868" s="4">
        <v>42487</v>
      </c>
      <c r="AV1868">
        <v>1165</v>
      </c>
      <c r="AW1868" s="4">
        <v>42487</v>
      </c>
      <c r="BD1868">
        <v>0</v>
      </c>
      <c r="BN1868" t="s">
        <v>74</v>
      </c>
    </row>
    <row r="1869" spans="1:66" hidden="1">
      <c r="A1869">
        <v>100686</v>
      </c>
      <c r="B1869" s="3" t="s">
        <v>224</v>
      </c>
      <c r="C1869" s="1">
        <v>43500101</v>
      </c>
      <c r="D1869" t="s">
        <v>113</v>
      </c>
      <c r="H1869" t="str">
        <f t="shared" si="191"/>
        <v>LCCNLV76L21B963J</v>
      </c>
      <c r="I1869" t="str">
        <f t="shared" si="192"/>
        <v>03334340613</v>
      </c>
      <c r="K1869" t="str">
        <f>""</f>
        <v/>
      </c>
      <c r="M1869" t="s">
        <v>68</v>
      </c>
      <c r="N1869" t="str">
        <f t="shared" si="193"/>
        <v>ALTPRO</v>
      </c>
      <c r="O1869" t="s">
        <v>132</v>
      </c>
      <c r="P1869" s="3" t="s">
        <v>146</v>
      </c>
      <c r="Q1869">
        <v>2016</v>
      </c>
      <c r="R1869" s="2">
        <v>42493</v>
      </c>
      <c r="S1869" s="2">
        <v>42495</v>
      </c>
      <c r="T1869" s="2">
        <v>42493</v>
      </c>
      <c r="U1869" s="2">
        <v>42553</v>
      </c>
      <c r="V1869" t="s">
        <v>71</v>
      </c>
      <c r="W1869" t="str">
        <f>"                5-PA"</f>
        <v xml:space="preserve">                5-PA</v>
      </c>
      <c r="X1869" s="1">
        <v>2380.5100000000002</v>
      </c>
      <c r="Y1869">
        <v>-475.7</v>
      </c>
      <c r="Z1869"/>
      <c r="AB1869"/>
      <c r="AC1869" s="1">
        <v>1904.81</v>
      </c>
      <c r="AD1869">
        <v>-37</v>
      </c>
      <c r="AE1869" s="1">
        <v>-70477.97</v>
      </c>
      <c r="AF1869">
        <v>0</v>
      </c>
      <c r="AJ1869">
        <v>0</v>
      </c>
      <c r="AK1869">
        <v>0</v>
      </c>
      <c r="AL1869">
        <v>0</v>
      </c>
      <c r="AM1869" s="1">
        <v>1904.81</v>
      </c>
      <c r="AN1869" s="1">
        <v>1904.81</v>
      </c>
      <c r="AO1869" s="1">
        <v>1904.81</v>
      </c>
      <c r="AP1869" s="2">
        <v>42746</v>
      </c>
      <c r="AQ1869" t="s">
        <v>72</v>
      </c>
      <c r="AR1869" t="s">
        <v>72</v>
      </c>
      <c r="AS1869">
        <v>1376</v>
      </c>
      <c r="AT1869" s="4">
        <v>42516</v>
      </c>
      <c r="AV1869">
        <v>1376</v>
      </c>
      <c r="AW1869" s="4">
        <v>42516</v>
      </c>
      <c r="BD1869">
        <v>0</v>
      </c>
      <c r="BN1869" t="s">
        <v>74</v>
      </c>
    </row>
    <row r="1870" spans="1:66" hidden="1">
      <c r="A1870">
        <v>100686</v>
      </c>
      <c r="B1870" s="3" t="s">
        <v>224</v>
      </c>
      <c r="C1870" s="1">
        <v>43500101</v>
      </c>
      <c r="D1870" t="s">
        <v>113</v>
      </c>
      <c r="H1870" t="str">
        <f t="shared" si="191"/>
        <v>LCCNLV76L21B963J</v>
      </c>
      <c r="I1870" t="str">
        <f t="shared" si="192"/>
        <v>03334340613</v>
      </c>
      <c r="K1870" t="str">
        <f>""</f>
        <v/>
      </c>
      <c r="M1870" t="s">
        <v>68</v>
      </c>
      <c r="N1870" t="str">
        <f t="shared" si="193"/>
        <v>ALTPRO</v>
      </c>
      <c r="O1870" t="s">
        <v>132</v>
      </c>
      <c r="P1870" s="3" t="s">
        <v>146</v>
      </c>
      <c r="Q1870">
        <v>2016</v>
      </c>
      <c r="R1870" s="2">
        <v>42529</v>
      </c>
      <c r="S1870" s="2">
        <v>42530</v>
      </c>
      <c r="T1870" s="2">
        <v>42530</v>
      </c>
      <c r="U1870" s="2">
        <v>42590</v>
      </c>
      <c r="V1870" t="s">
        <v>71</v>
      </c>
      <c r="W1870" t="str">
        <f>"                6-PA"</f>
        <v xml:space="preserve">                6-PA</v>
      </c>
      <c r="X1870" s="1">
        <v>2741.36</v>
      </c>
      <c r="Y1870">
        <v>-547.87</v>
      </c>
      <c r="Z1870"/>
      <c r="AB1870"/>
      <c r="AC1870" s="1">
        <v>2193.4899999999998</v>
      </c>
      <c r="AD1870">
        <v>-38</v>
      </c>
      <c r="AE1870" s="1">
        <v>-83352.62</v>
      </c>
      <c r="AF1870">
        <v>0</v>
      </c>
      <c r="AJ1870">
        <v>0</v>
      </c>
      <c r="AK1870">
        <v>0</v>
      </c>
      <c r="AL1870">
        <v>0</v>
      </c>
      <c r="AM1870" s="1">
        <v>2193.4899999999998</v>
      </c>
      <c r="AN1870" s="1">
        <v>2193.4899999999998</v>
      </c>
      <c r="AO1870" s="1">
        <v>2193.4899999999998</v>
      </c>
      <c r="AP1870" s="2">
        <v>42746</v>
      </c>
      <c r="AQ1870" t="s">
        <v>72</v>
      </c>
      <c r="AR1870" t="s">
        <v>72</v>
      </c>
      <c r="AS1870">
        <v>1646</v>
      </c>
      <c r="AT1870" s="4">
        <v>42552</v>
      </c>
      <c r="AV1870">
        <v>1646</v>
      </c>
      <c r="AW1870" s="4">
        <v>42552</v>
      </c>
      <c r="BD1870">
        <v>0</v>
      </c>
      <c r="BN1870" t="s">
        <v>74</v>
      </c>
    </row>
    <row r="1871" spans="1:66" hidden="1">
      <c r="A1871">
        <v>100686</v>
      </c>
      <c r="B1871" s="3" t="s">
        <v>224</v>
      </c>
      <c r="C1871" s="1">
        <v>43500101</v>
      </c>
      <c r="D1871" t="s">
        <v>113</v>
      </c>
      <c r="H1871" t="str">
        <f t="shared" si="191"/>
        <v>LCCNLV76L21B963J</v>
      </c>
      <c r="I1871" t="str">
        <f t="shared" si="192"/>
        <v>03334340613</v>
      </c>
      <c r="K1871" t="str">
        <f>""</f>
        <v/>
      </c>
      <c r="M1871" t="s">
        <v>68</v>
      </c>
      <c r="N1871" t="str">
        <f t="shared" si="193"/>
        <v>ALTPRO</v>
      </c>
      <c r="O1871" t="s">
        <v>132</v>
      </c>
      <c r="P1871" s="3" t="s">
        <v>146</v>
      </c>
      <c r="Q1871">
        <v>2016</v>
      </c>
      <c r="R1871" s="2">
        <v>42555</v>
      </c>
      <c r="S1871" s="2">
        <v>42557</v>
      </c>
      <c r="T1871" s="2">
        <v>42556</v>
      </c>
      <c r="U1871" s="2">
        <v>42616</v>
      </c>
      <c r="V1871" t="s">
        <v>71</v>
      </c>
      <c r="W1871" t="str">
        <f>"                7-PA"</f>
        <v xml:space="preserve">                7-PA</v>
      </c>
      <c r="X1871" s="1">
        <v>2636</v>
      </c>
      <c r="Y1871">
        <v>-526.79999999999995</v>
      </c>
      <c r="Z1871"/>
      <c r="AB1871"/>
      <c r="AC1871" s="1">
        <v>2109.1999999999998</v>
      </c>
      <c r="AD1871">
        <v>-50</v>
      </c>
      <c r="AE1871" s="1">
        <v>-105460</v>
      </c>
      <c r="AF1871">
        <v>0</v>
      </c>
      <c r="AJ1871">
        <v>0</v>
      </c>
      <c r="AK1871">
        <v>0</v>
      </c>
      <c r="AL1871">
        <v>0</v>
      </c>
      <c r="AM1871" s="1">
        <v>2109.1999999999998</v>
      </c>
      <c r="AN1871" s="1">
        <v>2109.1999999999998</v>
      </c>
      <c r="AO1871" s="1">
        <v>2109.1999999999998</v>
      </c>
      <c r="AP1871" s="2">
        <v>42746</v>
      </c>
      <c r="AQ1871" t="s">
        <v>72</v>
      </c>
      <c r="AR1871" t="s">
        <v>72</v>
      </c>
      <c r="AS1871">
        <v>1790</v>
      </c>
      <c r="AT1871" s="4">
        <v>42566</v>
      </c>
      <c r="AV1871">
        <v>1790</v>
      </c>
      <c r="AW1871" s="4">
        <v>42566</v>
      </c>
      <c r="BD1871">
        <v>0</v>
      </c>
      <c r="BN1871" t="s">
        <v>74</v>
      </c>
    </row>
    <row r="1872" spans="1:66" hidden="1">
      <c r="A1872">
        <v>100686</v>
      </c>
      <c r="B1872" s="3" t="s">
        <v>224</v>
      </c>
      <c r="C1872" s="1">
        <v>43500101</v>
      </c>
      <c r="D1872" t="s">
        <v>113</v>
      </c>
      <c r="H1872" t="str">
        <f t="shared" si="191"/>
        <v>LCCNLV76L21B963J</v>
      </c>
      <c r="I1872" t="str">
        <f t="shared" si="192"/>
        <v>03334340613</v>
      </c>
      <c r="K1872" t="str">
        <f>""</f>
        <v/>
      </c>
      <c r="M1872" t="s">
        <v>68</v>
      </c>
      <c r="N1872" t="str">
        <f t="shared" si="193"/>
        <v>ALTPRO</v>
      </c>
      <c r="O1872" t="s">
        <v>132</v>
      </c>
      <c r="P1872" s="3" t="s">
        <v>146</v>
      </c>
      <c r="Q1872">
        <v>2016</v>
      </c>
      <c r="R1872" s="2">
        <v>42583</v>
      </c>
      <c r="S1872" s="2">
        <v>42584</v>
      </c>
      <c r="T1872" s="2">
        <v>42583</v>
      </c>
      <c r="U1872" s="2">
        <v>42643</v>
      </c>
      <c r="V1872" t="s">
        <v>71</v>
      </c>
      <c r="W1872" t="str">
        <f>"                8-PA"</f>
        <v xml:space="preserve">                8-PA</v>
      </c>
      <c r="X1872" s="1">
        <v>2741.36</v>
      </c>
      <c r="Y1872">
        <v>-547.87</v>
      </c>
      <c r="Z1872"/>
      <c r="AB1872"/>
      <c r="AC1872" s="1">
        <v>2193.4899999999998</v>
      </c>
      <c r="AD1872">
        <v>-58</v>
      </c>
      <c r="AE1872" s="1">
        <v>-127222.42</v>
      </c>
      <c r="AF1872">
        <v>0</v>
      </c>
      <c r="AJ1872">
        <v>0</v>
      </c>
      <c r="AK1872">
        <v>0</v>
      </c>
      <c r="AL1872">
        <v>0</v>
      </c>
      <c r="AM1872" s="1">
        <v>2193.4899999999998</v>
      </c>
      <c r="AN1872" s="1">
        <v>2193.4899999999998</v>
      </c>
      <c r="AO1872" s="1">
        <v>2193.4899999999998</v>
      </c>
      <c r="AP1872" s="2">
        <v>42746</v>
      </c>
      <c r="AQ1872" t="s">
        <v>72</v>
      </c>
      <c r="AR1872" t="s">
        <v>72</v>
      </c>
      <c r="AS1872">
        <v>2059</v>
      </c>
      <c r="AT1872" s="4">
        <v>42585</v>
      </c>
      <c r="AV1872">
        <v>2059</v>
      </c>
      <c r="AW1872" s="4">
        <v>42585</v>
      </c>
      <c r="BD1872">
        <v>0</v>
      </c>
      <c r="BN1872" t="s">
        <v>74</v>
      </c>
    </row>
    <row r="1873" spans="1:66" hidden="1">
      <c r="A1873">
        <v>100686</v>
      </c>
      <c r="B1873" s="3" t="s">
        <v>224</v>
      </c>
      <c r="C1873" s="1">
        <v>43500101</v>
      </c>
      <c r="D1873" t="s">
        <v>113</v>
      </c>
      <c r="H1873" t="str">
        <f t="shared" si="191"/>
        <v>LCCNLV76L21B963J</v>
      </c>
      <c r="I1873" t="str">
        <f t="shared" si="192"/>
        <v>03334340613</v>
      </c>
      <c r="K1873" t="str">
        <f>""</f>
        <v/>
      </c>
      <c r="M1873" t="s">
        <v>68</v>
      </c>
      <c r="N1873" t="str">
        <f t="shared" si="193"/>
        <v>ALTPRO</v>
      </c>
      <c r="O1873" t="s">
        <v>132</v>
      </c>
      <c r="P1873" s="3" t="s">
        <v>146</v>
      </c>
      <c r="Q1873">
        <v>2016</v>
      </c>
      <c r="R1873" s="2">
        <v>42614</v>
      </c>
      <c r="S1873" s="2">
        <v>42618</v>
      </c>
      <c r="T1873" s="2">
        <v>42614</v>
      </c>
      <c r="U1873" s="2">
        <v>42674</v>
      </c>
      <c r="V1873" t="s">
        <v>71</v>
      </c>
      <c r="W1873" t="str">
        <f>"                9-PA"</f>
        <v xml:space="preserve">                9-PA</v>
      </c>
      <c r="X1873" s="1">
        <v>2636</v>
      </c>
      <c r="Y1873">
        <v>-526.79999999999995</v>
      </c>
      <c r="Z1873"/>
      <c r="AB1873"/>
      <c r="AC1873" s="1">
        <v>2109.1999999999998</v>
      </c>
      <c r="AD1873">
        <v>-55</v>
      </c>
      <c r="AE1873" s="1">
        <v>-116006</v>
      </c>
      <c r="AF1873">
        <v>0</v>
      </c>
      <c r="AJ1873">
        <v>0</v>
      </c>
      <c r="AK1873">
        <v>0</v>
      </c>
      <c r="AL1873">
        <v>0</v>
      </c>
      <c r="AM1873" s="1">
        <v>2109.1999999999998</v>
      </c>
      <c r="AN1873" s="1">
        <v>2109.1999999999998</v>
      </c>
      <c r="AO1873" s="1">
        <v>2109.1999999999998</v>
      </c>
      <c r="AP1873" s="2">
        <v>42746</v>
      </c>
      <c r="AQ1873" t="s">
        <v>72</v>
      </c>
      <c r="AR1873" t="s">
        <v>72</v>
      </c>
      <c r="AS1873">
        <v>2264</v>
      </c>
      <c r="AT1873" s="4">
        <v>42619</v>
      </c>
      <c r="AV1873">
        <v>2264</v>
      </c>
      <c r="AW1873" s="4">
        <v>42619</v>
      </c>
      <c r="BD1873">
        <v>0</v>
      </c>
      <c r="BN1873" t="s">
        <v>74</v>
      </c>
    </row>
    <row r="1874" spans="1:66">
      <c r="A1874">
        <v>100686</v>
      </c>
      <c r="B1874" s="3" t="s">
        <v>224</v>
      </c>
      <c r="C1874" s="1">
        <v>43500101</v>
      </c>
      <c r="D1874" t="s">
        <v>113</v>
      </c>
      <c r="H1874" t="str">
        <f t="shared" si="191"/>
        <v>LCCNLV76L21B963J</v>
      </c>
      <c r="I1874" t="str">
        <f t="shared" si="192"/>
        <v>03334340613</v>
      </c>
      <c r="K1874" t="str">
        <f>""</f>
        <v/>
      </c>
      <c r="M1874" t="s">
        <v>68</v>
      </c>
      <c r="N1874" t="str">
        <f t="shared" si="193"/>
        <v>ALTPRO</v>
      </c>
      <c r="O1874" t="s">
        <v>132</v>
      </c>
      <c r="P1874" s="3" t="s">
        <v>146</v>
      </c>
      <c r="Q1874">
        <v>2016</v>
      </c>
      <c r="R1874" s="2">
        <v>42644</v>
      </c>
      <c r="S1874" s="2">
        <v>42647</v>
      </c>
      <c r="T1874" s="2">
        <v>42646</v>
      </c>
      <c r="U1874" s="2">
        <v>42706</v>
      </c>
      <c r="V1874" t="s">
        <v>71</v>
      </c>
      <c r="W1874" t="str">
        <f>"               10-PA"</f>
        <v xml:space="preserve">               10-PA</v>
      </c>
      <c r="X1874" s="1">
        <v>2706.24</v>
      </c>
      <c r="Y1874">
        <v>-540.85</v>
      </c>
      <c r="Z1874" s="5">
        <v>2165.39</v>
      </c>
      <c r="AA1874">
        <v>-38</v>
      </c>
      <c r="AB1874" s="5">
        <v>-82284.820000000007</v>
      </c>
      <c r="AC1874" s="1">
        <v>2165.39</v>
      </c>
      <c r="AD1874">
        <v>-38</v>
      </c>
      <c r="AE1874" s="1">
        <v>-82284.820000000007</v>
      </c>
      <c r="AF1874">
        <v>0</v>
      </c>
      <c r="AJ1874">
        <v>-540.85</v>
      </c>
      <c r="AK1874" s="1">
        <v>2165.39</v>
      </c>
      <c r="AL1874" s="1">
        <v>2165.39</v>
      </c>
      <c r="AM1874" s="1">
        <v>2165.39</v>
      </c>
      <c r="AN1874" s="1">
        <v>2165.39</v>
      </c>
      <c r="AO1874" s="1">
        <v>2165.39</v>
      </c>
      <c r="AP1874" s="2">
        <v>42746</v>
      </c>
      <c r="AQ1874" t="s">
        <v>72</v>
      </c>
      <c r="AR1874" t="s">
        <v>72</v>
      </c>
      <c r="AS1874">
        <v>2852</v>
      </c>
      <c r="AT1874" s="4">
        <v>42668</v>
      </c>
      <c r="AV1874">
        <v>2852</v>
      </c>
      <c r="AW1874" s="4">
        <v>42668</v>
      </c>
      <c r="BD1874">
        <v>0</v>
      </c>
      <c r="BN1874" t="s">
        <v>74</v>
      </c>
    </row>
    <row r="1875" spans="1:66">
      <c r="A1875">
        <v>100686</v>
      </c>
      <c r="B1875" s="3" t="s">
        <v>224</v>
      </c>
      <c r="C1875" s="1">
        <v>43500101</v>
      </c>
      <c r="D1875" t="s">
        <v>113</v>
      </c>
      <c r="H1875" t="str">
        <f t="shared" si="191"/>
        <v>LCCNLV76L21B963J</v>
      </c>
      <c r="I1875" t="str">
        <f t="shared" si="192"/>
        <v>03334340613</v>
      </c>
      <c r="K1875" t="str">
        <f>""</f>
        <v/>
      </c>
      <c r="M1875" t="s">
        <v>68</v>
      </c>
      <c r="N1875" t="str">
        <f t="shared" si="193"/>
        <v>ALTPRO</v>
      </c>
      <c r="O1875" t="s">
        <v>132</v>
      </c>
      <c r="P1875" s="3" t="s">
        <v>146</v>
      </c>
      <c r="Q1875">
        <v>2016</v>
      </c>
      <c r="R1875" s="2">
        <v>42676</v>
      </c>
      <c r="S1875" s="2">
        <v>42681</v>
      </c>
      <c r="T1875" s="2">
        <v>42678</v>
      </c>
      <c r="U1875" s="2">
        <v>42738</v>
      </c>
      <c r="V1875" t="s">
        <v>71</v>
      </c>
      <c r="W1875" t="str">
        <f>"               11-PA"</f>
        <v xml:space="preserve">               11-PA</v>
      </c>
      <c r="X1875" s="1">
        <v>2440.84</v>
      </c>
      <c r="Y1875">
        <v>-488.17</v>
      </c>
      <c r="Z1875" s="5">
        <v>1952.67</v>
      </c>
      <c r="AA1875">
        <v>-56</v>
      </c>
      <c r="AB1875" s="5">
        <v>-109349.52</v>
      </c>
      <c r="AC1875" s="1">
        <v>1952.67</v>
      </c>
      <c r="AD1875">
        <v>-56</v>
      </c>
      <c r="AE1875" s="1">
        <v>-109349.52</v>
      </c>
      <c r="AF1875">
        <v>0</v>
      </c>
      <c r="AJ1875" s="1">
        <v>1952.67</v>
      </c>
      <c r="AK1875" s="1">
        <v>1952.67</v>
      </c>
      <c r="AL1875" s="1">
        <v>1952.67</v>
      </c>
      <c r="AM1875" s="1">
        <v>1952.67</v>
      </c>
      <c r="AN1875" s="1">
        <v>1952.67</v>
      </c>
      <c r="AO1875" s="1">
        <v>1952.67</v>
      </c>
      <c r="AP1875" s="2">
        <v>42746</v>
      </c>
      <c r="AQ1875" t="s">
        <v>72</v>
      </c>
      <c r="AR1875" t="s">
        <v>72</v>
      </c>
      <c r="AS1875">
        <v>2966</v>
      </c>
      <c r="AT1875" s="4">
        <v>42682</v>
      </c>
      <c r="AV1875">
        <v>2966</v>
      </c>
      <c r="AW1875" s="4">
        <v>42682</v>
      </c>
      <c r="BD1875">
        <v>0</v>
      </c>
      <c r="BN1875" t="s">
        <v>74</v>
      </c>
    </row>
    <row r="1876" spans="1:66">
      <c r="A1876">
        <v>100686</v>
      </c>
      <c r="B1876" s="3" t="s">
        <v>224</v>
      </c>
      <c r="C1876" s="1">
        <v>43500101</v>
      </c>
      <c r="D1876" t="s">
        <v>113</v>
      </c>
      <c r="H1876" t="str">
        <f t="shared" si="191"/>
        <v>LCCNLV76L21B963J</v>
      </c>
      <c r="I1876" t="str">
        <f t="shared" si="192"/>
        <v>03334340613</v>
      </c>
      <c r="K1876" t="str">
        <f>""</f>
        <v/>
      </c>
      <c r="M1876" t="s">
        <v>68</v>
      </c>
      <c r="N1876" t="str">
        <f t="shared" si="193"/>
        <v>ALTPRO</v>
      </c>
      <c r="O1876" t="s">
        <v>132</v>
      </c>
      <c r="P1876" s="3" t="s">
        <v>146</v>
      </c>
      <c r="Q1876">
        <v>2016</v>
      </c>
      <c r="R1876" s="2">
        <v>42705</v>
      </c>
      <c r="S1876" s="2">
        <v>42706</v>
      </c>
      <c r="T1876" s="2">
        <v>42705</v>
      </c>
      <c r="U1876" s="2">
        <v>42765</v>
      </c>
      <c r="V1876" t="s">
        <v>71</v>
      </c>
      <c r="W1876" t="str">
        <f>"               12-PA"</f>
        <v xml:space="preserve">               12-PA</v>
      </c>
      <c r="X1876" s="1">
        <v>2528.64</v>
      </c>
      <c r="Y1876">
        <v>-505.73</v>
      </c>
      <c r="Z1876" s="5">
        <v>2022.91</v>
      </c>
      <c r="AA1876">
        <v>-56</v>
      </c>
      <c r="AB1876" s="5">
        <v>-113282.96</v>
      </c>
      <c r="AC1876" s="1">
        <v>2022.91</v>
      </c>
      <c r="AD1876">
        <v>-56</v>
      </c>
      <c r="AE1876" s="1">
        <v>-113282.96</v>
      </c>
      <c r="AF1876">
        <v>0</v>
      </c>
      <c r="AJ1876" s="1">
        <v>2022.91</v>
      </c>
      <c r="AK1876" s="1">
        <v>2022.91</v>
      </c>
      <c r="AL1876" s="1">
        <v>2022.91</v>
      </c>
      <c r="AM1876" s="1">
        <v>2022.91</v>
      </c>
      <c r="AN1876" s="1">
        <v>2022.91</v>
      </c>
      <c r="AO1876" s="1">
        <v>2022.91</v>
      </c>
      <c r="AP1876" s="2">
        <v>42746</v>
      </c>
      <c r="AQ1876" t="s">
        <v>72</v>
      </c>
      <c r="AR1876" t="s">
        <v>72</v>
      </c>
      <c r="AS1876">
        <v>3328</v>
      </c>
      <c r="AT1876" s="4">
        <v>42709</v>
      </c>
      <c r="AV1876">
        <v>3328</v>
      </c>
      <c r="AW1876" s="4">
        <v>42709</v>
      </c>
      <c r="BD1876">
        <v>0</v>
      </c>
      <c r="BN1876" t="s">
        <v>74</v>
      </c>
    </row>
    <row r="1877" spans="1:66" hidden="1">
      <c r="A1877">
        <v>100687</v>
      </c>
      <c r="B1877" s="3" t="s">
        <v>225</v>
      </c>
      <c r="C1877" s="1">
        <v>43500101</v>
      </c>
      <c r="D1877" t="s">
        <v>113</v>
      </c>
      <c r="H1877" t="str">
        <f t="shared" ref="H1877:H1887" si="194">"RBNMRA73R46D761S"</f>
        <v>RBNMRA73R46D761S</v>
      </c>
      <c r="I1877" t="str">
        <f t="shared" ref="I1877:I1887" si="195">"01399960622"</f>
        <v>01399960622</v>
      </c>
      <c r="K1877" t="str">
        <f>""</f>
        <v/>
      </c>
      <c r="M1877" t="s">
        <v>68</v>
      </c>
      <c r="N1877" t="str">
        <f t="shared" si="193"/>
        <v>ALTPRO</v>
      </c>
      <c r="O1877" t="s">
        <v>132</v>
      </c>
      <c r="P1877" s="3" t="s">
        <v>75</v>
      </c>
      <c r="Q1877">
        <v>2016</v>
      </c>
      <c r="R1877" s="2">
        <v>42377</v>
      </c>
      <c r="S1877" s="2">
        <v>42382</v>
      </c>
      <c r="T1877" s="2">
        <v>42379</v>
      </c>
      <c r="U1877" s="2">
        <v>42439</v>
      </c>
      <c r="V1877" t="s">
        <v>71</v>
      </c>
      <c r="W1877" t="str">
        <f>"         FATTPA 1_16"</f>
        <v xml:space="preserve">         FATTPA 1_16</v>
      </c>
      <c r="X1877" s="1">
        <v>2530.64</v>
      </c>
      <c r="Y1877">
        <v>-505.73</v>
      </c>
      <c r="Z1877"/>
      <c r="AB1877"/>
      <c r="AC1877" s="1">
        <v>2024.91</v>
      </c>
      <c r="AD1877">
        <v>-42</v>
      </c>
      <c r="AE1877" s="1">
        <v>-85046.22</v>
      </c>
      <c r="AF1877">
        <v>0</v>
      </c>
      <c r="AJ1877">
        <v>0</v>
      </c>
      <c r="AK1877">
        <v>0</v>
      </c>
      <c r="AL1877">
        <v>0</v>
      </c>
      <c r="AM1877">
        <v>-505.73</v>
      </c>
      <c r="AN1877" s="1">
        <v>2024.91</v>
      </c>
      <c r="AO1877" s="1">
        <v>2024.91</v>
      </c>
      <c r="AP1877" s="2">
        <v>42746</v>
      </c>
      <c r="AQ1877" t="s">
        <v>72</v>
      </c>
      <c r="AR1877" t="s">
        <v>72</v>
      </c>
      <c r="AS1877">
        <v>134</v>
      </c>
      <c r="AT1877" s="4">
        <v>42397</v>
      </c>
      <c r="AV1877">
        <v>134</v>
      </c>
      <c r="AW1877" s="4">
        <v>42397</v>
      </c>
      <c r="BD1877">
        <v>0</v>
      </c>
      <c r="BN1877" t="s">
        <v>74</v>
      </c>
    </row>
    <row r="1878" spans="1:66" hidden="1">
      <c r="A1878">
        <v>100687</v>
      </c>
      <c r="B1878" s="3" t="s">
        <v>225</v>
      </c>
      <c r="C1878" s="1">
        <v>43500101</v>
      </c>
      <c r="D1878" t="s">
        <v>113</v>
      </c>
      <c r="H1878" t="str">
        <f t="shared" si="194"/>
        <v>RBNMRA73R46D761S</v>
      </c>
      <c r="I1878" t="str">
        <f t="shared" si="195"/>
        <v>01399960622</v>
      </c>
      <c r="K1878" t="str">
        <f>""</f>
        <v/>
      </c>
      <c r="M1878" t="s">
        <v>68</v>
      </c>
      <c r="N1878" t="str">
        <f t="shared" si="193"/>
        <v>ALTPRO</v>
      </c>
      <c r="O1878" t="s">
        <v>132</v>
      </c>
      <c r="P1878" s="3" t="s">
        <v>75</v>
      </c>
      <c r="Q1878">
        <v>2016</v>
      </c>
      <c r="R1878" s="2">
        <v>42403</v>
      </c>
      <c r="S1878" s="2">
        <v>42405</v>
      </c>
      <c r="T1878" s="2">
        <v>42405</v>
      </c>
      <c r="U1878" s="2">
        <v>42465</v>
      </c>
      <c r="V1878" t="s">
        <v>71</v>
      </c>
      <c r="W1878" t="str">
        <f>"         FATTPA 2_16"</f>
        <v xml:space="preserve">         FATTPA 2_16</v>
      </c>
      <c r="X1878" s="1">
        <v>2530.64</v>
      </c>
      <c r="Y1878">
        <v>-505.73</v>
      </c>
      <c r="Z1878"/>
      <c r="AB1878"/>
      <c r="AC1878" s="1">
        <v>2024.91</v>
      </c>
      <c r="AD1878">
        <v>-39</v>
      </c>
      <c r="AE1878" s="1">
        <v>-78971.490000000005</v>
      </c>
      <c r="AF1878">
        <v>0</v>
      </c>
      <c r="AJ1878">
        <v>0</v>
      </c>
      <c r="AK1878">
        <v>0</v>
      </c>
      <c r="AL1878">
        <v>0</v>
      </c>
      <c r="AM1878" s="1">
        <v>2024.91</v>
      </c>
      <c r="AN1878" s="1">
        <v>2024.91</v>
      </c>
      <c r="AO1878" s="1">
        <v>2024.91</v>
      </c>
      <c r="AP1878" s="2">
        <v>42746</v>
      </c>
      <c r="AQ1878" t="s">
        <v>72</v>
      </c>
      <c r="AR1878" t="s">
        <v>72</v>
      </c>
      <c r="AS1878">
        <v>570</v>
      </c>
      <c r="AT1878" s="4">
        <v>42426</v>
      </c>
      <c r="AV1878">
        <v>570</v>
      </c>
      <c r="AW1878" s="4">
        <v>42426</v>
      </c>
      <c r="BD1878">
        <v>0</v>
      </c>
      <c r="BN1878" t="s">
        <v>74</v>
      </c>
    </row>
    <row r="1879" spans="1:66" hidden="1">
      <c r="A1879">
        <v>100687</v>
      </c>
      <c r="B1879" s="3" t="s">
        <v>225</v>
      </c>
      <c r="C1879" s="1">
        <v>43500101</v>
      </c>
      <c r="D1879" t="s">
        <v>113</v>
      </c>
      <c r="H1879" t="str">
        <f t="shared" si="194"/>
        <v>RBNMRA73R46D761S</v>
      </c>
      <c r="I1879" t="str">
        <f t="shared" si="195"/>
        <v>01399960622</v>
      </c>
      <c r="K1879" t="str">
        <f>""</f>
        <v/>
      </c>
      <c r="M1879" t="s">
        <v>68</v>
      </c>
      <c r="N1879" t="str">
        <f t="shared" si="193"/>
        <v>ALTPRO</v>
      </c>
      <c r="O1879" t="s">
        <v>132</v>
      </c>
      <c r="P1879" s="3" t="s">
        <v>75</v>
      </c>
      <c r="Q1879">
        <v>2016</v>
      </c>
      <c r="R1879" s="2">
        <v>42438</v>
      </c>
      <c r="S1879" s="2">
        <v>42438</v>
      </c>
      <c r="T1879" s="2">
        <v>42438</v>
      </c>
      <c r="U1879" s="2">
        <v>42498</v>
      </c>
      <c r="V1879" t="s">
        <v>71</v>
      </c>
      <c r="W1879" t="str">
        <f>"         FATTPA 3_16"</f>
        <v xml:space="preserve">         FATTPA 3_16</v>
      </c>
      <c r="X1879" s="1">
        <v>2558.5700000000002</v>
      </c>
      <c r="Y1879">
        <v>-511.31</v>
      </c>
      <c r="Z1879"/>
      <c r="AB1879"/>
      <c r="AC1879" s="1">
        <v>2047.26</v>
      </c>
      <c r="AD1879">
        <v>-47</v>
      </c>
      <c r="AE1879" s="1">
        <v>-96221.22</v>
      </c>
      <c r="AF1879">
        <v>0</v>
      </c>
      <c r="AJ1879">
        <v>0</v>
      </c>
      <c r="AK1879">
        <v>0</v>
      </c>
      <c r="AL1879">
        <v>0</v>
      </c>
      <c r="AM1879" s="1">
        <v>2047.26</v>
      </c>
      <c r="AN1879" s="1">
        <v>2047.26</v>
      </c>
      <c r="AO1879" s="1">
        <v>2047.26</v>
      </c>
      <c r="AP1879" s="2">
        <v>42746</v>
      </c>
      <c r="AQ1879" t="s">
        <v>72</v>
      </c>
      <c r="AR1879" t="s">
        <v>72</v>
      </c>
      <c r="AS1879">
        <v>712</v>
      </c>
      <c r="AT1879" s="4">
        <v>42451</v>
      </c>
      <c r="AV1879">
        <v>712</v>
      </c>
      <c r="AW1879" s="4">
        <v>42451</v>
      </c>
      <c r="BD1879">
        <v>0</v>
      </c>
      <c r="BN1879" t="s">
        <v>74</v>
      </c>
    </row>
    <row r="1880" spans="1:66" hidden="1">
      <c r="A1880">
        <v>100687</v>
      </c>
      <c r="B1880" s="3" t="s">
        <v>225</v>
      </c>
      <c r="C1880" s="1">
        <v>43500101</v>
      </c>
      <c r="D1880" t="s">
        <v>113</v>
      </c>
      <c r="H1880" t="str">
        <f t="shared" si="194"/>
        <v>RBNMRA73R46D761S</v>
      </c>
      <c r="I1880" t="str">
        <f t="shared" si="195"/>
        <v>01399960622</v>
      </c>
      <c r="K1880" t="str">
        <f>""</f>
        <v/>
      </c>
      <c r="M1880" t="s">
        <v>68</v>
      </c>
      <c r="N1880" t="str">
        <f t="shared" si="193"/>
        <v>ALTPRO</v>
      </c>
      <c r="O1880" t="s">
        <v>132</v>
      </c>
      <c r="P1880" s="3" t="s">
        <v>75</v>
      </c>
      <c r="Q1880">
        <v>2016</v>
      </c>
      <c r="R1880" s="2">
        <v>42461</v>
      </c>
      <c r="S1880" s="2">
        <v>42464</v>
      </c>
      <c r="T1880" s="2">
        <v>42461</v>
      </c>
      <c r="U1880" s="2">
        <v>42521</v>
      </c>
      <c r="V1880" t="s">
        <v>71</v>
      </c>
      <c r="W1880" t="str">
        <f>"         FATTPA 4_16"</f>
        <v xml:space="preserve">         FATTPA 4_16</v>
      </c>
      <c r="X1880" s="1">
        <v>2423.5300000000002</v>
      </c>
      <c r="Y1880">
        <v>-484.31</v>
      </c>
      <c r="Z1880"/>
      <c r="AB1880"/>
      <c r="AC1880" s="1">
        <v>1939.22</v>
      </c>
      <c r="AD1880">
        <v>-34</v>
      </c>
      <c r="AE1880" s="1">
        <v>-65933.48</v>
      </c>
      <c r="AF1880">
        <v>0</v>
      </c>
      <c r="AJ1880">
        <v>0</v>
      </c>
      <c r="AK1880">
        <v>0</v>
      </c>
      <c r="AL1880">
        <v>0</v>
      </c>
      <c r="AM1880" s="1">
        <v>1939.22</v>
      </c>
      <c r="AN1880" s="1">
        <v>1939.22</v>
      </c>
      <c r="AO1880" s="1">
        <v>1939.22</v>
      </c>
      <c r="AP1880" s="2">
        <v>42746</v>
      </c>
      <c r="AQ1880" t="s">
        <v>72</v>
      </c>
      <c r="AR1880" t="s">
        <v>72</v>
      </c>
      <c r="AS1880">
        <v>1164</v>
      </c>
      <c r="AT1880" s="4">
        <v>42487</v>
      </c>
      <c r="AV1880">
        <v>1164</v>
      </c>
      <c r="AW1880" s="4">
        <v>42487</v>
      </c>
      <c r="BD1880">
        <v>0</v>
      </c>
      <c r="BN1880" t="s">
        <v>74</v>
      </c>
    </row>
    <row r="1881" spans="1:66" hidden="1">
      <c r="A1881">
        <v>100687</v>
      </c>
      <c r="B1881" s="3" t="s">
        <v>225</v>
      </c>
      <c r="C1881" s="1">
        <v>43500101</v>
      </c>
      <c r="D1881" t="s">
        <v>113</v>
      </c>
      <c r="H1881" t="str">
        <f t="shared" si="194"/>
        <v>RBNMRA73R46D761S</v>
      </c>
      <c r="I1881" t="str">
        <f t="shared" si="195"/>
        <v>01399960622</v>
      </c>
      <c r="K1881" t="str">
        <f>""</f>
        <v/>
      </c>
      <c r="M1881" t="s">
        <v>68</v>
      </c>
      <c r="N1881" t="str">
        <f t="shared" si="193"/>
        <v>ALTPRO</v>
      </c>
      <c r="O1881" t="s">
        <v>132</v>
      </c>
      <c r="P1881" s="3" t="s">
        <v>75</v>
      </c>
      <c r="Q1881">
        <v>2016</v>
      </c>
      <c r="R1881" s="2">
        <v>42492</v>
      </c>
      <c r="S1881" s="2">
        <v>42493</v>
      </c>
      <c r="T1881" s="2">
        <v>42493</v>
      </c>
      <c r="U1881" s="2">
        <v>42553</v>
      </c>
      <c r="V1881" t="s">
        <v>71</v>
      </c>
      <c r="W1881" t="str">
        <f>"         FATTPA 5_16"</f>
        <v xml:space="preserve">         FATTPA 5_16</v>
      </c>
      <c r="X1881" s="1">
        <v>2636</v>
      </c>
      <c r="Y1881">
        <v>-526.79999999999995</v>
      </c>
      <c r="Z1881"/>
      <c r="AB1881"/>
      <c r="AC1881" s="1">
        <v>2109.1999999999998</v>
      </c>
      <c r="AD1881">
        <v>-37</v>
      </c>
      <c r="AE1881" s="1">
        <v>-78040.399999999994</v>
      </c>
      <c r="AF1881">
        <v>0</v>
      </c>
      <c r="AJ1881">
        <v>0</v>
      </c>
      <c r="AK1881">
        <v>0</v>
      </c>
      <c r="AL1881">
        <v>0</v>
      </c>
      <c r="AM1881" s="1">
        <v>2109.1999999999998</v>
      </c>
      <c r="AN1881" s="1">
        <v>2109.1999999999998</v>
      </c>
      <c r="AO1881" s="1">
        <v>2109.1999999999998</v>
      </c>
      <c r="AP1881" s="2">
        <v>42746</v>
      </c>
      <c r="AQ1881" t="s">
        <v>72</v>
      </c>
      <c r="AR1881" t="s">
        <v>72</v>
      </c>
      <c r="AS1881">
        <v>1377</v>
      </c>
      <c r="AT1881" s="4">
        <v>42516</v>
      </c>
      <c r="AV1881">
        <v>1377</v>
      </c>
      <c r="AW1881" s="4">
        <v>42516</v>
      </c>
      <c r="BD1881">
        <v>0</v>
      </c>
      <c r="BN1881" t="s">
        <v>74</v>
      </c>
    </row>
    <row r="1882" spans="1:66" hidden="1">
      <c r="A1882">
        <v>100687</v>
      </c>
      <c r="B1882" s="3" t="s">
        <v>225</v>
      </c>
      <c r="C1882" s="1">
        <v>43500101</v>
      </c>
      <c r="D1882" t="s">
        <v>113</v>
      </c>
      <c r="H1882" t="str">
        <f t="shared" si="194"/>
        <v>RBNMRA73R46D761S</v>
      </c>
      <c r="I1882" t="str">
        <f t="shared" si="195"/>
        <v>01399960622</v>
      </c>
      <c r="K1882" t="str">
        <f>""</f>
        <v/>
      </c>
      <c r="M1882" t="s">
        <v>68</v>
      </c>
      <c r="N1882" t="str">
        <f t="shared" si="193"/>
        <v>ALTPRO</v>
      </c>
      <c r="O1882" t="s">
        <v>132</v>
      </c>
      <c r="P1882" s="3" t="s">
        <v>75</v>
      </c>
      <c r="Q1882">
        <v>2016</v>
      </c>
      <c r="R1882" s="2">
        <v>42522</v>
      </c>
      <c r="S1882" s="2">
        <v>42527</v>
      </c>
      <c r="T1882" s="2">
        <v>42522</v>
      </c>
      <c r="U1882" s="2">
        <v>42582</v>
      </c>
      <c r="V1882" t="s">
        <v>71</v>
      </c>
      <c r="W1882" t="str">
        <f>"         FATTPA 6_16"</f>
        <v xml:space="preserve">         FATTPA 6_16</v>
      </c>
      <c r="X1882" s="1">
        <v>2741.36</v>
      </c>
      <c r="Y1882">
        <v>-547.87</v>
      </c>
      <c r="Z1882"/>
      <c r="AB1882"/>
      <c r="AC1882" s="1">
        <v>2193.4899999999998</v>
      </c>
      <c r="AD1882">
        <v>-54</v>
      </c>
      <c r="AE1882" s="1">
        <v>-118448.46</v>
      </c>
      <c r="AF1882">
        <v>0</v>
      </c>
      <c r="AJ1882">
        <v>0</v>
      </c>
      <c r="AK1882">
        <v>0</v>
      </c>
      <c r="AL1882">
        <v>0</v>
      </c>
      <c r="AM1882" s="1">
        <v>2193.4899999999998</v>
      </c>
      <c r="AN1882" s="1">
        <v>2193.4899999999998</v>
      </c>
      <c r="AO1882" s="1">
        <v>2193.4899999999998</v>
      </c>
      <c r="AP1882" s="2">
        <v>42746</v>
      </c>
      <c r="AQ1882" t="s">
        <v>72</v>
      </c>
      <c r="AR1882" t="s">
        <v>72</v>
      </c>
      <c r="AS1882">
        <v>1568</v>
      </c>
      <c r="AT1882" s="4">
        <v>42528</v>
      </c>
      <c r="AV1882">
        <v>1568</v>
      </c>
      <c r="AW1882" s="4">
        <v>42528</v>
      </c>
      <c r="BD1882">
        <v>0</v>
      </c>
      <c r="BN1882" t="s">
        <v>74</v>
      </c>
    </row>
    <row r="1883" spans="1:66" hidden="1">
      <c r="A1883">
        <v>100687</v>
      </c>
      <c r="B1883" s="3" t="s">
        <v>225</v>
      </c>
      <c r="C1883" s="1">
        <v>43500101</v>
      </c>
      <c r="D1883" t="s">
        <v>113</v>
      </c>
      <c r="H1883" t="str">
        <f t="shared" si="194"/>
        <v>RBNMRA73R46D761S</v>
      </c>
      <c r="I1883" t="str">
        <f t="shared" si="195"/>
        <v>01399960622</v>
      </c>
      <c r="K1883" t="str">
        <f>""</f>
        <v/>
      </c>
      <c r="M1883" t="s">
        <v>68</v>
      </c>
      <c r="N1883" t="str">
        <f t="shared" si="193"/>
        <v>ALTPRO</v>
      </c>
      <c r="O1883" t="s">
        <v>132</v>
      </c>
      <c r="P1883" s="3" t="s">
        <v>75</v>
      </c>
      <c r="Q1883">
        <v>2016</v>
      </c>
      <c r="R1883" s="2">
        <v>42562</v>
      </c>
      <c r="S1883" s="2">
        <v>42562</v>
      </c>
      <c r="T1883" s="2">
        <v>42562</v>
      </c>
      <c r="U1883" s="2">
        <v>42622</v>
      </c>
      <c r="V1883" t="s">
        <v>71</v>
      </c>
      <c r="W1883" t="str">
        <f>"         FATTPA 7_16"</f>
        <v xml:space="preserve">         FATTPA 7_16</v>
      </c>
      <c r="X1883" s="1">
        <v>2243.54</v>
      </c>
      <c r="Y1883">
        <v>-448.31</v>
      </c>
      <c r="Z1883"/>
      <c r="AB1883"/>
      <c r="AC1883" s="1">
        <v>1795.23</v>
      </c>
      <c r="AD1883">
        <v>-56</v>
      </c>
      <c r="AE1883" s="1">
        <v>-100532.88</v>
      </c>
      <c r="AF1883">
        <v>0</v>
      </c>
      <c r="AJ1883">
        <v>0</v>
      </c>
      <c r="AK1883">
        <v>0</v>
      </c>
      <c r="AL1883">
        <v>0</v>
      </c>
      <c r="AM1883" s="1">
        <v>1795.23</v>
      </c>
      <c r="AN1883" s="1">
        <v>1795.23</v>
      </c>
      <c r="AO1883" s="1">
        <v>1795.23</v>
      </c>
      <c r="AP1883" s="2">
        <v>42746</v>
      </c>
      <c r="AQ1883" t="s">
        <v>72</v>
      </c>
      <c r="AR1883" t="s">
        <v>72</v>
      </c>
      <c r="AS1883">
        <v>1789</v>
      </c>
      <c r="AT1883" s="4">
        <v>42566</v>
      </c>
      <c r="AV1883">
        <v>1789</v>
      </c>
      <c r="AW1883" s="4">
        <v>42566</v>
      </c>
      <c r="BD1883">
        <v>0</v>
      </c>
      <c r="BN1883" t="s">
        <v>74</v>
      </c>
    </row>
    <row r="1884" spans="1:66" hidden="1">
      <c r="A1884">
        <v>100687</v>
      </c>
      <c r="B1884" s="3" t="s">
        <v>225</v>
      </c>
      <c r="C1884" s="1">
        <v>43500101</v>
      </c>
      <c r="D1884" t="s">
        <v>113</v>
      </c>
      <c r="H1884" t="str">
        <f t="shared" si="194"/>
        <v>RBNMRA73R46D761S</v>
      </c>
      <c r="I1884" t="str">
        <f t="shared" si="195"/>
        <v>01399960622</v>
      </c>
      <c r="K1884" t="str">
        <f>""</f>
        <v/>
      </c>
      <c r="M1884" t="s">
        <v>68</v>
      </c>
      <c r="N1884" t="str">
        <f t="shared" si="193"/>
        <v>ALTPRO</v>
      </c>
      <c r="O1884" t="s">
        <v>132</v>
      </c>
      <c r="P1884" s="3" t="s">
        <v>75</v>
      </c>
      <c r="Q1884">
        <v>2016</v>
      </c>
      <c r="R1884" s="2">
        <v>42583</v>
      </c>
      <c r="S1884" s="2">
        <v>42583</v>
      </c>
      <c r="T1884" s="2">
        <v>42583</v>
      </c>
      <c r="U1884" s="2">
        <v>42643</v>
      </c>
      <c r="V1884" t="s">
        <v>71</v>
      </c>
      <c r="W1884" t="str">
        <f>"         FATTPA 8_16"</f>
        <v xml:space="preserve">         FATTPA 8_16</v>
      </c>
      <c r="X1884" s="1">
        <v>2376</v>
      </c>
      <c r="Y1884">
        <v>-474.8</v>
      </c>
      <c r="Z1884"/>
      <c r="AB1884"/>
      <c r="AC1884" s="1">
        <v>1901.2</v>
      </c>
      <c r="AD1884">
        <v>-58</v>
      </c>
      <c r="AE1884" s="1">
        <v>-110269.6</v>
      </c>
      <c r="AF1884">
        <v>0</v>
      </c>
      <c r="AJ1884">
        <v>0</v>
      </c>
      <c r="AK1884">
        <v>0</v>
      </c>
      <c r="AL1884">
        <v>0</v>
      </c>
      <c r="AM1884" s="1">
        <v>1901.2</v>
      </c>
      <c r="AN1884" s="1">
        <v>1901.2</v>
      </c>
      <c r="AO1884" s="1">
        <v>1901.2</v>
      </c>
      <c r="AP1884" s="2">
        <v>42746</v>
      </c>
      <c r="AQ1884" t="s">
        <v>72</v>
      </c>
      <c r="AR1884" t="s">
        <v>72</v>
      </c>
      <c r="AS1884">
        <v>2070</v>
      </c>
      <c r="AT1884" s="4">
        <v>42585</v>
      </c>
      <c r="AV1884">
        <v>2070</v>
      </c>
      <c r="AW1884" s="4">
        <v>42585</v>
      </c>
      <c r="BD1884">
        <v>0</v>
      </c>
      <c r="BN1884" t="s">
        <v>74</v>
      </c>
    </row>
    <row r="1885" spans="1:66">
      <c r="A1885">
        <v>100687</v>
      </c>
      <c r="B1885" s="3" t="s">
        <v>225</v>
      </c>
      <c r="C1885" s="1">
        <v>43500101</v>
      </c>
      <c r="D1885" t="s">
        <v>113</v>
      </c>
      <c r="H1885" t="str">
        <f t="shared" si="194"/>
        <v>RBNMRA73R46D761S</v>
      </c>
      <c r="I1885" t="str">
        <f t="shared" si="195"/>
        <v>01399960622</v>
      </c>
      <c r="K1885" t="str">
        <f>""</f>
        <v/>
      </c>
      <c r="M1885" t="s">
        <v>68</v>
      </c>
      <c r="N1885" t="str">
        <f t="shared" si="193"/>
        <v>ALTPRO</v>
      </c>
      <c r="O1885" t="s">
        <v>132</v>
      </c>
      <c r="P1885" s="3" t="s">
        <v>75</v>
      </c>
      <c r="Q1885">
        <v>2016</v>
      </c>
      <c r="R1885" s="2">
        <v>42618</v>
      </c>
      <c r="S1885" s="2">
        <v>42620</v>
      </c>
      <c r="T1885" s="2">
        <v>42620</v>
      </c>
      <c r="U1885" s="2">
        <v>42680</v>
      </c>
      <c r="V1885" t="s">
        <v>71</v>
      </c>
      <c r="W1885" t="str">
        <f>"         FATTPA 9_16"</f>
        <v xml:space="preserve">         FATTPA 9_16</v>
      </c>
      <c r="X1885" s="1">
        <v>2546.1999999999998</v>
      </c>
      <c r="Y1885">
        <v>-509.24</v>
      </c>
      <c r="Z1885" s="5">
        <v>2036.96</v>
      </c>
      <c r="AA1885">
        <v>-34</v>
      </c>
      <c r="AB1885" s="5">
        <v>-69256.639999999999</v>
      </c>
      <c r="AC1885" s="1">
        <v>2036.96</v>
      </c>
      <c r="AD1885">
        <v>-34</v>
      </c>
      <c r="AE1885" s="1">
        <v>-69256.639999999999</v>
      </c>
      <c r="AF1885">
        <v>0</v>
      </c>
      <c r="AJ1885">
        <v>0</v>
      </c>
      <c r="AK1885">
        <v>0</v>
      </c>
      <c r="AL1885">
        <v>0</v>
      </c>
      <c r="AM1885" s="1">
        <v>2036.96</v>
      </c>
      <c r="AN1885" s="1">
        <v>2036.96</v>
      </c>
      <c r="AO1885" s="1">
        <v>2036.96</v>
      </c>
      <c r="AP1885" s="2">
        <v>42746</v>
      </c>
      <c r="AQ1885" t="s">
        <v>72</v>
      </c>
      <c r="AR1885" t="s">
        <v>72</v>
      </c>
      <c r="AS1885">
        <v>2522</v>
      </c>
      <c r="AT1885" s="4">
        <v>42646</v>
      </c>
      <c r="AV1885">
        <v>2522</v>
      </c>
      <c r="AW1885" s="4">
        <v>42646</v>
      </c>
      <c r="BD1885">
        <v>0</v>
      </c>
      <c r="BN1885" t="s">
        <v>74</v>
      </c>
    </row>
    <row r="1886" spans="1:66">
      <c r="A1886">
        <v>100687</v>
      </c>
      <c r="B1886" s="3" t="s">
        <v>225</v>
      </c>
      <c r="C1886" s="1">
        <v>43500101</v>
      </c>
      <c r="D1886" t="s">
        <v>113</v>
      </c>
      <c r="H1886" t="str">
        <f t="shared" si="194"/>
        <v>RBNMRA73R46D761S</v>
      </c>
      <c r="I1886" t="str">
        <f t="shared" si="195"/>
        <v>01399960622</v>
      </c>
      <c r="K1886" t="str">
        <f>""</f>
        <v/>
      </c>
      <c r="M1886" t="s">
        <v>68</v>
      </c>
      <c r="N1886" t="str">
        <f t="shared" si="193"/>
        <v>ALTPRO</v>
      </c>
      <c r="O1886" t="s">
        <v>132</v>
      </c>
      <c r="P1886" s="3" t="s">
        <v>75</v>
      </c>
      <c r="Q1886">
        <v>2016</v>
      </c>
      <c r="R1886" s="2">
        <v>42646</v>
      </c>
      <c r="S1886" s="2">
        <v>42647</v>
      </c>
      <c r="T1886" s="2">
        <v>42646</v>
      </c>
      <c r="U1886" s="2">
        <v>42706</v>
      </c>
      <c r="V1886" t="s">
        <v>71</v>
      </c>
      <c r="W1886" t="str">
        <f>"        FATTPA 10_16"</f>
        <v xml:space="preserve">        FATTPA 10_16</v>
      </c>
      <c r="X1886" s="1">
        <v>2240.4899999999998</v>
      </c>
      <c r="Y1886">
        <v>-448.1</v>
      </c>
      <c r="Z1886" s="5">
        <v>1792.39</v>
      </c>
      <c r="AA1886">
        <v>-38</v>
      </c>
      <c r="AB1886" s="5">
        <v>-68110.820000000007</v>
      </c>
      <c r="AC1886" s="1">
        <v>1792.39</v>
      </c>
      <c r="AD1886">
        <v>-38</v>
      </c>
      <c r="AE1886" s="1">
        <v>-68110.820000000007</v>
      </c>
      <c r="AF1886">
        <v>0</v>
      </c>
      <c r="AJ1886">
        <v>-448.1</v>
      </c>
      <c r="AK1886" s="1">
        <v>1792.39</v>
      </c>
      <c r="AL1886" s="1">
        <v>1792.39</v>
      </c>
      <c r="AM1886" s="1">
        <v>1792.39</v>
      </c>
      <c r="AN1886" s="1">
        <v>1792.39</v>
      </c>
      <c r="AO1886" s="1">
        <v>1792.39</v>
      </c>
      <c r="AP1886" s="2">
        <v>42746</v>
      </c>
      <c r="AQ1886" t="s">
        <v>72</v>
      </c>
      <c r="AR1886" t="s">
        <v>72</v>
      </c>
      <c r="AS1886">
        <v>2853</v>
      </c>
      <c r="AT1886" s="4">
        <v>42668</v>
      </c>
      <c r="AV1886">
        <v>2853</v>
      </c>
      <c r="AW1886" s="4">
        <v>42668</v>
      </c>
      <c r="BD1886">
        <v>0</v>
      </c>
      <c r="BN1886" t="s">
        <v>74</v>
      </c>
    </row>
    <row r="1887" spans="1:66">
      <c r="A1887">
        <v>100687</v>
      </c>
      <c r="B1887" s="3" t="s">
        <v>225</v>
      </c>
      <c r="C1887" s="1">
        <v>43500101</v>
      </c>
      <c r="D1887" t="s">
        <v>113</v>
      </c>
      <c r="H1887" t="str">
        <f t="shared" si="194"/>
        <v>RBNMRA73R46D761S</v>
      </c>
      <c r="I1887" t="str">
        <f t="shared" si="195"/>
        <v>01399960622</v>
      </c>
      <c r="K1887" t="str">
        <f>""</f>
        <v/>
      </c>
      <c r="M1887" t="s">
        <v>68</v>
      </c>
      <c r="N1887" t="str">
        <f t="shared" si="193"/>
        <v>ALTPRO</v>
      </c>
      <c r="O1887" t="s">
        <v>132</v>
      </c>
      <c r="P1887" s="3" t="s">
        <v>75</v>
      </c>
      <c r="Q1887">
        <v>2016</v>
      </c>
      <c r="R1887" s="2">
        <v>42706</v>
      </c>
      <c r="S1887" s="2">
        <v>42709</v>
      </c>
      <c r="T1887" s="2">
        <v>42706</v>
      </c>
      <c r="U1887" s="2">
        <v>42766</v>
      </c>
      <c r="V1887" t="s">
        <v>71</v>
      </c>
      <c r="W1887" t="str">
        <f>"        FATTPA 11_16"</f>
        <v xml:space="preserve">        FATTPA 11_16</v>
      </c>
      <c r="X1887" s="1">
        <v>5373.36</v>
      </c>
      <c r="Y1887" s="1">
        <v>-1074.67</v>
      </c>
      <c r="Z1887" s="5">
        <v>4298.6899999999996</v>
      </c>
      <c r="AA1887">
        <v>-57</v>
      </c>
      <c r="AB1887" s="5">
        <v>-245025.33</v>
      </c>
      <c r="AC1887" s="1">
        <v>4298.6899999999996</v>
      </c>
      <c r="AD1887">
        <v>-57</v>
      </c>
      <c r="AE1887" s="1">
        <v>-245025.33</v>
      </c>
      <c r="AF1887">
        <v>0</v>
      </c>
      <c r="AJ1887" s="1">
        <v>4298.6899999999996</v>
      </c>
      <c r="AK1887" s="1">
        <v>4298.6899999999996</v>
      </c>
      <c r="AL1887" s="1">
        <v>4298.6899999999996</v>
      </c>
      <c r="AM1887" s="1">
        <v>4298.6899999999996</v>
      </c>
      <c r="AN1887" s="1">
        <v>4298.6899999999996</v>
      </c>
      <c r="AO1887" s="1">
        <v>4298.6899999999996</v>
      </c>
      <c r="AP1887" s="2">
        <v>42746</v>
      </c>
      <c r="AQ1887" t="s">
        <v>72</v>
      </c>
      <c r="AR1887" t="s">
        <v>72</v>
      </c>
      <c r="AS1887">
        <v>3329</v>
      </c>
      <c r="AT1887" s="4">
        <v>42709</v>
      </c>
      <c r="AV1887">
        <v>3329</v>
      </c>
      <c r="AW1887" s="4">
        <v>42709</v>
      </c>
      <c r="BD1887">
        <v>0</v>
      </c>
      <c r="BN1887" t="s">
        <v>74</v>
      </c>
    </row>
    <row r="1888" spans="1:66">
      <c r="A1888">
        <v>100694</v>
      </c>
      <c r="B1888" s="3" t="s">
        <v>226</v>
      </c>
      <c r="C1888" s="1">
        <v>43500101</v>
      </c>
      <c r="D1888" t="s">
        <v>113</v>
      </c>
      <c r="H1888" t="str">
        <f>"MRTVCN54L29A783I"</f>
        <v>MRTVCN54L29A783I</v>
      </c>
      <c r="I1888" t="str">
        <f>"01094850623"</f>
        <v>01094850623</v>
      </c>
      <c r="K1888" t="str">
        <f>""</f>
        <v/>
      </c>
      <c r="M1888" t="s">
        <v>68</v>
      </c>
      <c r="N1888" t="str">
        <f t="shared" si="193"/>
        <v>ALTPRO</v>
      </c>
      <c r="O1888" t="s">
        <v>132</v>
      </c>
      <c r="P1888" s="3" t="s">
        <v>75</v>
      </c>
      <c r="Q1888">
        <v>2016</v>
      </c>
      <c r="R1888" s="2">
        <v>42703</v>
      </c>
      <c r="S1888" s="2">
        <v>42709</v>
      </c>
      <c r="T1888" s="2">
        <v>42707</v>
      </c>
      <c r="U1888" s="2">
        <v>42767</v>
      </c>
      <c r="V1888" t="s">
        <v>71</v>
      </c>
      <c r="W1888" t="str">
        <f>"                 7PA"</f>
        <v xml:space="preserve">                 7PA</v>
      </c>
      <c r="X1888">
        <v>899.99</v>
      </c>
      <c r="Y1888">
        <v>-147.54</v>
      </c>
      <c r="Z1888" s="3">
        <v>752.45</v>
      </c>
      <c r="AA1888">
        <v>-56</v>
      </c>
      <c r="AB1888" s="5">
        <v>-42137.2</v>
      </c>
      <c r="AC1888">
        <v>752.45</v>
      </c>
      <c r="AD1888">
        <v>-56</v>
      </c>
      <c r="AE1888" s="1">
        <v>-42137.2</v>
      </c>
      <c r="AF1888">
        <v>0</v>
      </c>
      <c r="AJ1888">
        <v>752.45</v>
      </c>
      <c r="AK1888">
        <v>752.45</v>
      </c>
      <c r="AL1888">
        <v>752.45</v>
      </c>
      <c r="AM1888">
        <v>752.45</v>
      </c>
      <c r="AN1888">
        <v>752.45</v>
      </c>
      <c r="AO1888">
        <v>752.45</v>
      </c>
      <c r="AP1888" s="2">
        <v>42746</v>
      </c>
      <c r="AQ1888" t="s">
        <v>72</v>
      </c>
      <c r="AR1888" t="s">
        <v>72</v>
      </c>
      <c r="AS1888">
        <v>3351</v>
      </c>
      <c r="AT1888" s="4">
        <v>42711</v>
      </c>
      <c r="AV1888">
        <v>3351</v>
      </c>
      <c r="AW1888" s="4">
        <v>42711</v>
      </c>
      <c r="BD1888">
        <v>0</v>
      </c>
      <c r="BN1888" t="s">
        <v>74</v>
      </c>
    </row>
    <row r="1889" spans="1:66">
      <c r="A1889">
        <v>100695</v>
      </c>
      <c r="B1889" s="3" t="s">
        <v>227</v>
      </c>
      <c r="C1889" s="1">
        <v>43300101</v>
      </c>
      <c r="D1889" t="s">
        <v>67</v>
      </c>
      <c r="H1889" t="str">
        <f t="shared" ref="H1889:I1908" si="196">"00721920155"</f>
        <v>00721920155</v>
      </c>
      <c r="I1889" t="str">
        <f t="shared" si="196"/>
        <v>00721920155</v>
      </c>
      <c r="K1889" t="str">
        <f>""</f>
        <v/>
      </c>
      <c r="M1889" t="s">
        <v>68</v>
      </c>
      <c r="N1889" t="str">
        <f t="shared" ref="N1889:N1952" si="197">"FOR"</f>
        <v>FOR</v>
      </c>
      <c r="O1889" t="s">
        <v>69</v>
      </c>
      <c r="P1889" s="3" t="s">
        <v>78</v>
      </c>
      <c r="Q1889">
        <v>2014</v>
      </c>
      <c r="R1889" s="2">
        <v>41767</v>
      </c>
      <c r="S1889" s="2">
        <v>41788</v>
      </c>
      <c r="T1889" s="2">
        <v>41788</v>
      </c>
      <c r="U1889" s="2">
        <v>41878</v>
      </c>
      <c r="V1889" t="s">
        <v>71</v>
      </c>
      <c r="W1889" t="str">
        <f>"            40089125"</f>
        <v xml:space="preserve">            40089125</v>
      </c>
      <c r="X1889">
        <v>119.6</v>
      </c>
      <c r="Y1889">
        <v>0</v>
      </c>
      <c r="Z1889" s="3">
        <v>119.6</v>
      </c>
      <c r="AA1889">
        <v>790</v>
      </c>
      <c r="AB1889" s="5">
        <v>94484</v>
      </c>
      <c r="AC1889">
        <v>119.6</v>
      </c>
      <c r="AD1889">
        <v>790</v>
      </c>
      <c r="AE1889" s="1">
        <v>94484</v>
      </c>
      <c r="AF1889">
        <v>0</v>
      </c>
      <c r="AJ1889">
        <v>0</v>
      </c>
      <c r="AK1889">
        <v>0</v>
      </c>
      <c r="AL1889">
        <v>0</v>
      </c>
      <c r="AM1889">
        <v>0</v>
      </c>
      <c r="AN1889">
        <v>0</v>
      </c>
      <c r="AO1889">
        <v>0</v>
      </c>
      <c r="AP1889" s="2">
        <v>42746</v>
      </c>
      <c r="AQ1889" t="s">
        <v>72</v>
      </c>
      <c r="AR1889" t="s">
        <v>72</v>
      </c>
      <c r="AS1889">
        <v>2878</v>
      </c>
      <c r="AT1889" s="4">
        <v>42668</v>
      </c>
      <c r="AU1889" t="s">
        <v>73</v>
      </c>
      <c r="AV1889">
        <v>2878</v>
      </c>
      <c r="AW1889" s="4">
        <v>42668</v>
      </c>
      <c r="BD1889">
        <v>0</v>
      </c>
      <c r="BN1889" t="s">
        <v>74</v>
      </c>
    </row>
    <row r="1890" spans="1:66" hidden="1">
      <c r="A1890">
        <v>100695</v>
      </c>
      <c r="B1890" s="3" t="s">
        <v>227</v>
      </c>
      <c r="C1890" s="1">
        <v>43300101</v>
      </c>
      <c r="D1890" t="s">
        <v>67</v>
      </c>
      <c r="H1890" t="str">
        <f t="shared" si="196"/>
        <v>00721920155</v>
      </c>
      <c r="I1890" t="str">
        <f t="shared" si="196"/>
        <v>00721920155</v>
      </c>
      <c r="K1890" t="str">
        <f>""</f>
        <v/>
      </c>
      <c r="M1890" t="s">
        <v>68</v>
      </c>
      <c r="N1890" t="str">
        <f t="shared" si="197"/>
        <v>FOR</v>
      </c>
      <c r="O1890" t="s">
        <v>69</v>
      </c>
      <c r="P1890" s="3" t="s">
        <v>70</v>
      </c>
      <c r="Q1890">
        <v>2015</v>
      </c>
      <c r="R1890" s="2">
        <v>42054</v>
      </c>
      <c r="S1890" s="2">
        <v>42081</v>
      </c>
      <c r="T1890" s="2">
        <v>42081</v>
      </c>
      <c r="U1890" s="2">
        <v>42141</v>
      </c>
      <c r="V1890" t="s">
        <v>71</v>
      </c>
      <c r="W1890" t="str">
        <f>"          5040101372"</f>
        <v xml:space="preserve">          5040101372</v>
      </c>
      <c r="X1890">
        <v>119.6</v>
      </c>
      <c r="Y1890">
        <v>0</v>
      </c>
      <c r="Z1890"/>
      <c r="AB1890"/>
      <c r="AC1890">
        <v>115</v>
      </c>
      <c r="AD1890">
        <v>267</v>
      </c>
      <c r="AE1890" s="1">
        <v>30705</v>
      </c>
      <c r="AF1890">
        <v>0</v>
      </c>
      <c r="AJ1890">
        <v>0</v>
      </c>
      <c r="AK1890">
        <v>0</v>
      </c>
      <c r="AL1890">
        <v>0</v>
      </c>
      <c r="AM1890">
        <v>0</v>
      </c>
      <c r="AN1890">
        <v>0</v>
      </c>
      <c r="AO1890">
        <v>0</v>
      </c>
      <c r="AP1890" s="2">
        <v>42746</v>
      </c>
      <c r="AQ1890" t="s">
        <v>72</v>
      </c>
      <c r="AR1890" t="s">
        <v>72</v>
      </c>
      <c r="AS1890">
        <v>315</v>
      </c>
      <c r="AT1890" s="4">
        <v>42408</v>
      </c>
      <c r="AU1890" t="s">
        <v>73</v>
      </c>
      <c r="AV1890">
        <v>315</v>
      </c>
      <c r="AW1890" s="4">
        <v>42408</v>
      </c>
      <c r="BD1890">
        <v>0</v>
      </c>
      <c r="BN1890" t="s">
        <v>74</v>
      </c>
    </row>
    <row r="1891" spans="1:66" hidden="1">
      <c r="A1891">
        <v>100695</v>
      </c>
      <c r="B1891" s="3" t="s">
        <v>227</v>
      </c>
      <c r="C1891" s="1">
        <v>43300101</v>
      </c>
      <c r="D1891" t="s">
        <v>67</v>
      </c>
      <c r="H1891" t="str">
        <f t="shared" si="196"/>
        <v>00721920155</v>
      </c>
      <c r="I1891" t="str">
        <f t="shared" si="196"/>
        <v>00721920155</v>
      </c>
      <c r="K1891" t="str">
        <f>""</f>
        <v/>
      </c>
      <c r="M1891" t="s">
        <v>68</v>
      </c>
      <c r="N1891" t="str">
        <f t="shared" si="197"/>
        <v>FOR</v>
      </c>
      <c r="O1891" t="s">
        <v>69</v>
      </c>
      <c r="P1891" s="3" t="s">
        <v>70</v>
      </c>
      <c r="Q1891">
        <v>2015</v>
      </c>
      <c r="R1891" s="2">
        <v>42047</v>
      </c>
      <c r="S1891" s="2">
        <v>42081</v>
      </c>
      <c r="T1891" s="2">
        <v>42081</v>
      </c>
      <c r="U1891" s="2">
        <v>42141</v>
      </c>
      <c r="V1891" t="s">
        <v>71</v>
      </c>
      <c r="W1891" t="str">
        <f>"          5840100701"</f>
        <v xml:space="preserve">          5840100701</v>
      </c>
      <c r="X1891">
        <v>119.6</v>
      </c>
      <c r="Y1891">
        <v>0</v>
      </c>
      <c r="Z1891"/>
      <c r="AB1891"/>
      <c r="AC1891">
        <v>115</v>
      </c>
      <c r="AD1891">
        <v>267</v>
      </c>
      <c r="AE1891" s="1">
        <v>30705</v>
      </c>
      <c r="AF1891">
        <v>0</v>
      </c>
      <c r="AJ1891">
        <v>0</v>
      </c>
      <c r="AK1891">
        <v>0</v>
      </c>
      <c r="AL1891">
        <v>0</v>
      </c>
      <c r="AM1891">
        <v>0</v>
      </c>
      <c r="AN1891">
        <v>0</v>
      </c>
      <c r="AO1891">
        <v>0</v>
      </c>
      <c r="AP1891" s="2">
        <v>42746</v>
      </c>
      <c r="AQ1891" t="s">
        <v>72</v>
      </c>
      <c r="AR1891" t="s">
        <v>72</v>
      </c>
      <c r="AS1891">
        <v>315</v>
      </c>
      <c r="AT1891" s="4">
        <v>42408</v>
      </c>
      <c r="AU1891" t="s">
        <v>73</v>
      </c>
      <c r="AV1891">
        <v>315</v>
      </c>
      <c r="AW1891" s="4">
        <v>42408</v>
      </c>
      <c r="BD1891">
        <v>0</v>
      </c>
      <c r="BN1891" t="s">
        <v>74</v>
      </c>
    </row>
    <row r="1892" spans="1:66" hidden="1">
      <c r="A1892">
        <v>100695</v>
      </c>
      <c r="B1892" s="3" t="s">
        <v>227</v>
      </c>
      <c r="C1892" s="1">
        <v>43300101</v>
      </c>
      <c r="D1892" t="s">
        <v>67</v>
      </c>
      <c r="H1892" t="str">
        <f t="shared" si="196"/>
        <v>00721920155</v>
      </c>
      <c r="I1892" t="str">
        <f t="shared" si="196"/>
        <v>00721920155</v>
      </c>
      <c r="K1892" t="str">
        <f>""</f>
        <v/>
      </c>
      <c r="M1892" t="s">
        <v>68</v>
      </c>
      <c r="N1892" t="str">
        <f t="shared" si="197"/>
        <v>FOR</v>
      </c>
      <c r="O1892" t="s">
        <v>69</v>
      </c>
      <c r="P1892" s="3" t="s">
        <v>70</v>
      </c>
      <c r="Q1892">
        <v>2015</v>
      </c>
      <c r="R1892" s="2">
        <v>42047</v>
      </c>
      <c r="S1892" s="2">
        <v>42081</v>
      </c>
      <c r="T1892" s="2">
        <v>42081</v>
      </c>
      <c r="U1892" s="2">
        <v>42141</v>
      </c>
      <c r="V1892" t="s">
        <v>71</v>
      </c>
      <c r="W1892" t="str">
        <f>"          5840100709"</f>
        <v xml:space="preserve">          5840100709</v>
      </c>
      <c r="X1892">
        <v>119.6</v>
      </c>
      <c r="Y1892">
        <v>0</v>
      </c>
      <c r="Z1892"/>
      <c r="AB1892"/>
      <c r="AC1892">
        <v>115</v>
      </c>
      <c r="AD1892">
        <v>267</v>
      </c>
      <c r="AE1892" s="1">
        <v>30705</v>
      </c>
      <c r="AF1892">
        <v>0</v>
      </c>
      <c r="AJ1892">
        <v>0</v>
      </c>
      <c r="AK1892">
        <v>0</v>
      </c>
      <c r="AL1892">
        <v>0</v>
      </c>
      <c r="AM1892">
        <v>0</v>
      </c>
      <c r="AN1892">
        <v>0</v>
      </c>
      <c r="AO1892">
        <v>0</v>
      </c>
      <c r="AP1892" s="2">
        <v>42746</v>
      </c>
      <c r="AQ1892" t="s">
        <v>72</v>
      </c>
      <c r="AR1892" t="s">
        <v>72</v>
      </c>
      <c r="AS1892">
        <v>315</v>
      </c>
      <c r="AT1892" s="4">
        <v>42408</v>
      </c>
      <c r="AU1892" t="s">
        <v>73</v>
      </c>
      <c r="AV1892">
        <v>315</v>
      </c>
      <c r="AW1892" s="4">
        <v>42408</v>
      </c>
      <c r="BD1892">
        <v>0</v>
      </c>
      <c r="BN1892" t="s">
        <v>74</v>
      </c>
    </row>
    <row r="1893" spans="1:66" hidden="1">
      <c r="A1893">
        <v>100695</v>
      </c>
      <c r="B1893" s="3" t="s">
        <v>227</v>
      </c>
      <c r="C1893" s="1">
        <v>43300101</v>
      </c>
      <c r="D1893" t="s">
        <v>67</v>
      </c>
      <c r="H1893" t="str">
        <f t="shared" si="196"/>
        <v>00721920155</v>
      </c>
      <c r="I1893" t="str">
        <f t="shared" si="196"/>
        <v>00721920155</v>
      </c>
      <c r="K1893" t="str">
        <f>""</f>
        <v/>
      </c>
      <c r="M1893" t="s">
        <v>68</v>
      </c>
      <c r="N1893" t="str">
        <f t="shared" si="197"/>
        <v>FOR</v>
      </c>
      <c r="O1893" t="s">
        <v>69</v>
      </c>
      <c r="P1893" s="3" t="s">
        <v>70</v>
      </c>
      <c r="Q1893">
        <v>2015</v>
      </c>
      <c r="R1893" s="2">
        <v>42047</v>
      </c>
      <c r="S1893" s="2">
        <v>42081</v>
      </c>
      <c r="T1893" s="2">
        <v>42081</v>
      </c>
      <c r="U1893" s="2">
        <v>42141</v>
      </c>
      <c r="V1893" t="s">
        <v>71</v>
      </c>
      <c r="W1893" t="str">
        <f>"          5840100713"</f>
        <v xml:space="preserve">          5840100713</v>
      </c>
      <c r="X1893">
        <v>119.6</v>
      </c>
      <c r="Y1893">
        <v>0</v>
      </c>
      <c r="Z1893"/>
      <c r="AB1893"/>
      <c r="AC1893">
        <v>115</v>
      </c>
      <c r="AD1893">
        <v>267</v>
      </c>
      <c r="AE1893" s="1">
        <v>30705</v>
      </c>
      <c r="AF1893">
        <v>0</v>
      </c>
      <c r="AJ1893">
        <v>0</v>
      </c>
      <c r="AK1893">
        <v>0</v>
      </c>
      <c r="AL1893">
        <v>0</v>
      </c>
      <c r="AM1893">
        <v>0</v>
      </c>
      <c r="AN1893">
        <v>0</v>
      </c>
      <c r="AO1893">
        <v>0</v>
      </c>
      <c r="AP1893" s="2">
        <v>42746</v>
      </c>
      <c r="AQ1893" t="s">
        <v>72</v>
      </c>
      <c r="AR1893" t="s">
        <v>72</v>
      </c>
      <c r="AS1893">
        <v>315</v>
      </c>
      <c r="AT1893" s="4">
        <v>42408</v>
      </c>
      <c r="AU1893" t="s">
        <v>73</v>
      </c>
      <c r="AV1893">
        <v>315</v>
      </c>
      <c r="AW1893" s="4">
        <v>42408</v>
      </c>
      <c r="BD1893">
        <v>0</v>
      </c>
      <c r="BN1893" t="s">
        <v>74</v>
      </c>
    </row>
    <row r="1894" spans="1:66" hidden="1">
      <c r="A1894">
        <v>100695</v>
      </c>
      <c r="B1894" s="3" t="s">
        <v>227</v>
      </c>
      <c r="C1894" s="1">
        <v>43300101</v>
      </c>
      <c r="D1894" t="s">
        <v>67</v>
      </c>
      <c r="H1894" t="str">
        <f t="shared" si="196"/>
        <v>00721920155</v>
      </c>
      <c r="I1894" t="str">
        <f t="shared" si="196"/>
        <v>00721920155</v>
      </c>
      <c r="K1894" t="str">
        <f>""</f>
        <v/>
      </c>
      <c r="M1894" t="s">
        <v>68</v>
      </c>
      <c r="N1894" t="str">
        <f t="shared" si="197"/>
        <v>FOR</v>
      </c>
      <c r="O1894" t="s">
        <v>69</v>
      </c>
      <c r="P1894" s="3" t="s">
        <v>70</v>
      </c>
      <c r="Q1894">
        <v>2015</v>
      </c>
      <c r="R1894" s="2">
        <v>42053</v>
      </c>
      <c r="S1894" s="2">
        <v>42081</v>
      </c>
      <c r="T1894" s="2">
        <v>42081</v>
      </c>
      <c r="U1894" s="2">
        <v>42141</v>
      </c>
      <c r="V1894" t="s">
        <v>71</v>
      </c>
      <c r="W1894" t="str">
        <f>"          5840101250"</f>
        <v xml:space="preserve">          5840101250</v>
      </c>
      <c r="X1894">
        <v>119.6</v>
      </c>
      <c r="Y1894">
        <v>0</v>
      </c>
      <c r="Z1894"/>
      <c r="AB1894"/>
      <c r="AC1894">
        <v>115</v>
      </c>
      <c r="AD1894">
        <v>267</v>
      </c>
      <c r="AE1894" s="1">
        <v>30705</v>
      </c>
      <c r="AF1894">
        <v>0</v>
      </c>
      <c r="AJ1894">
        <v>0</v>
      </c>
      <c r="AK1894">
        <v>0</v>
      </c>
      <c r="AL1894">
        <v>0</v>
      </c>
      <c r="AM1894">
        <v>0</v>
      </c>
      <c r="AN1894">
        <v>0</v>
      </c>
      <c r="AO1894">
        <v>0</v>
      </c>
      <c r="AP1894" s="2">
        <v>42746</v>
      </c>
      <c r="AQ1894" t="s">
        <v>72</v>
      </c>
      <c r="AR1894" t="s">
        <v>72</v>
      </c>
      <c r="AS1894">
        <v>315</v>
      </c>
      <c r="AT1894" s="4">
        <v>42408</v>
      </c>
      <c r="AU1894" t="s">
        <v>73</v>
      </c>
      <c r="AV1894">
        <v>315</v>
      </c>
      <c r="AW1894" s="4">
        <v>42408</v>
      </c>
      <c r="BD1894">
        <v>0</v>
      </c>
      <c r="BN1894" t="s">
        <v>74</v>
      </c>
    </row>
    <row r="1895" spans="1:66" hidden="1">
      <c r="A1895">
        <v>100695</v>
      </c>
      <c r="B1895" s="3" t="s">
        <v>227</v>
      </c>
      <c r="C1895" s="1">
        <v>43300101</v>
      </c>
      <c r="D1895" t="s">
        <v>67</v>
      </c>
      <c r="H1895" t="str">
        <f t="shared" si="196"/>
        <v>00721920155</v>
      </c>
      <c r="I1895" t="str">
        <f t="shared" si="196"/>
        <v>00721920155</v>
      </c>
      <c r="K1895" t="str">
        <f>""</f>
        <v/>
      </c>
      <c r="M1895" t="s">
        <v>68</v>
      </c>
      <c r="N1895" t="str">
        <f t="shared" si="197"/>
        <v>FOR</v>
      </c>
      <c r="O1895" t="s">
        <v>69</v>
      </c>
      <c r="P1895" s="3" t="s">
        <v>70</v>
      </c>
      <c r="Q1895">
        <v>2015</v>
      </c>
      <c r="R1895" s="2">
        <v>42054</v>
      </c>
      <c r="S1895" s="2">
        <v>42081</v>
      </c>
      <c r="T1895" s="2">
        <v>42081</v>
      </c>
      <c r="U1895" s="2">
        <v>42141</v>
      </c>
      <c r="V1895" t="s">
        <v>71</v>
      </c>
      <c r="W1895" t="str">
        <f>"          5840101347"</f>
        <v xml:space="preserve">          5840101347</v>
      </c>
      <c r="X1895">
        <v>119.6</v>
      </c>
      <c r="Y1895">
        <v>0</v>
      </c>
      <c r="Z1895"/>
      <c r="AB1895"/>
      <c r="AC1895">
        <v>115</v>
      </c>
      <c r="AD1895">
        <v>267</v>
      </c>
      <c r="AE1895" s="1">
        <v>30705</v>
      </c>
      <c r="AF1895">
        <v>0</v>
      </c>
      <c r="AJ1895">
        <v>0</v>
      </c>
      <c r="AK1895">
        <v>0</v>
      </c>
      <c r="AL1895">
        <v>0</v>
      </c>
      <c r="AM1895">
        <v>0</v>
      </c>
      <c r="AN1895">
        <v>0</v>
      </c>
      <c r="AO1895">
        <v>0</v>
      </c>
      <c r="AP1895" s="2">
        <v>42746</v>
      </c>
      <c r="AQ1895" t="s">
        <v>72</v>
      </c>
      <c r="AR1895" t="s">
        <v>72</v>
      </c>
      <c r="AS1895">
        <v>315</v>
      </c>
      <c r="AT1895" s="4">
        <v>42408</v>
      </c>
      <c r="AU1895" t="s">
        <v>73</v>
      </c>
      <c r="AV1895">
        <v>315</v>
      </c>
      <c r="AW1895" s="4">
        <v>42408</v>
      </c>
      <c r="BD1895">
        <v>0</v>
      </c>
      <c r="BN1895" t="s">
        <v>74</v>
      </c>
    </row>
    <row r="1896" spans="1:66" hidden="1">
      <c r="A1896">
        <v>100695</v>
      </c>
      <c r="B1896" s="3" t="s">
        <v>227</v>
      </c>
      <c r="C1896" s="1">
        <v>43300101</v>
      </c>
      <c r="D1896" t="s">
        <v>67</v>
      </c>
      <c r="H1896" t="str">
        <f t="shared" si="196"/>
        <v>00721920155</v>
      </c>
      <c r="I1896" t="str">
        <f t="shared" si="196"/>
        <v>00721920155</v>
      </c>
      <c r="K1896" t="str">
        <f>""</f>
        <v/>
      </c>
      <c r="M1896" t="s">
        <v>68</v>
      </c>
      <c r="N1896" t="str">
        <f t="shared" si="197"/>
        <v>FOR</v>
      </c>
      <c r="O1896" t="s">
        <v>69</v>
      </c>
      <c r="P1896" s="3" t="s">
        <v>70</v>
      </c>
      <c r="Q1896">
        <v>2015</v>
      </c>
      <c r="R1896" s="2">
        <v>42054</v>
      </c>
      <c r="S1896" s="2">
        <v>42081</v>
      </c>
      <c r="T1896" s="2">
        <v>42081</v>
      </c>
      <c r="U1896" s="2">
        <v>42141</v>
      </c>
      <c r="V1896" t="s">
        <v>71</v>
      </c>
      <c r="W1896" t="str">
        <f>"          5840101353"</f>
        <v xml:space="preserve">          5840101353</v>
      </c>
      <c r="X1896">
        <v>119.6</v>
      </c>
      <c r="Y1896">
        <v>0</v>
      </c>
      <c r="Z1896"/>
      <c r="AB1896"/>
      <c r="AC1896">
        <v>115</v>
      </c>
      <c r="AD1896">
        <v>267</v>
      </c>
      <c r="AE1896" s="1">
        <v>30705</v>
      </c>
      <c r="AF1896">
        <v>0</v>
      </c>
      <c r="AJ1896">
        <v>0</v>
      </c>
      <c r="AK1896">
        <v>0</v>
      </c>
      <c r="AL1896">
        <v>0</v>
      </c>
      <c r="AM1896">
        <v>0</v>
      </c>
      <c r="AN1896">
        <v>0</v>
      </c>
      <c r="AO1896">
        <v>0</v>
      </c>
      <c r="AP1896" s="2">
        <v>42746</v>
      </c>
      <c r="AQ1896" t="s">
        <v>72</v>
      </c>
      <c r="AR1896" t="s">
        <v>72</v>
      </c>
      <c r="AS1896">
        <v>315</v>
      </c>
      <c r="AT1896" s="4">
        <v>42408</v>
      </c>
      <c r="AU1896" t="s">
        <v>73</v>
      </c>
      <c r="AV1896">
        <v>315</v>
      </c>
      <c r="AW1896" s="4">
        <v>42408</v>
      </c>
      <c r="BD1896">
        <v>0</v>
      </c>
      <c r="BN1896" t="s">
        <v>74</v>
      </c>
    </row>
    <row r="1897" spans="1:66" hidden="1">
      <c r="A1897">
        <v>100695</v>
      </c>
      <c r="B1897" s="3" t="s">
        <v>227</v>
      </c>
      <c r="C1897" s="1">
        <v>43300101</v>
      </c>
      <c r="D1897" t="s">
        <v>67</v>
      </c>
      <c r="H1897" t="str">
        <f t="shared" si="196"/>
        <v>00721920155</v>
      </c>
      <c r="I1897" t="str">
        <f t="shared" si="196"/>
        <v>00721920155</v>
      </c>
      <c r="K1897" t="str">
        <f>""</f>
        <v/>
      </c>
      <c r="M1897" t="s">
        <v>68</v>
      </c>
      <c r="N1897" t="str">
        <f t="shared" si="197"/>
        <v>FOR</v>
      </c>
      <c r="O1897" t="s">
        <v>69</v>
      </c>
      <c r="P1897" s="3" t="s">
        <v>70</v>
      </c>
      <c r="Q1897">
        <v>2015</v>
      </c>
      <c r="R1897" s="2">
        <v>42054</v>
      </c>
      <c r="S1897" s="2">
        <v>42081</v>
      </c>
      <c r="T1897" s="2">
        <v>42081</v>
      </c>
      <c r="U1897" s="2">
        <v>42141</v>
      </c>
      <c r="V1897" t="s">
        <v>71</v>
      </c>
      <c r="W1897" t="str">
        <f>"          5840101359"</f>
        <v xml:space="preserve">          5840101359</v>
      </c>
      <c r="X1897">
        <v>119.6</v>
      </c>
      <c r="Y1897">
        <v>0</v>
      </c>
      <c r="Z1897"/>
      <c r="AB1897"/>
      <c r="AC1897">
        <v>115</v>
      </c>
      <c r="AD1897">
        <v>267</v>
      </c>
      <c r="AE1897" s="1">
        <v>30705</v>
      </c>
      <c r="AF1897">
        <v>0</v>
      </c>
      <c r="AJ1897">
        <v>0</v>
      </c>
      <c r="AK1897">
        <v>0</v>
      </c>
      <c r="AL1897">
        <v>0</v>
      </c>
      <c r="AM1897">
        <v>0</v>
      </c>
      <c r="AN1897">
        <v>0</v>
      </c>
      <c r="AO1897">
        <v>0</v>
      </c>
      <c r="AP1897" s="2">
        <v>42746</v>
      </c>
      <c r="AQ1897" t="s">
        <v>72</v>
      </c>
      <c r="AR1897" t="s">
        <v>72</v>
      </c>
      <c r="AS1897">
        <v>315</v>
      </c>
      <c r="AT1897" s="4">
        <v>42408</v>
      </c>
      <c r="AU1897" t="s">
        <v>73</v>
      </c>
      <c r="AV1897">
        <v>315</v>
      </c>
      <c r="AW1897" s="4">
        <v>42408</v>
      </c>
      <c r="BD1897">
        <v>0</v>
      </c>
      <c r="BN1897" t="s">
        <v>74</v>
      </c>
    </row>
    <row r="1898" spans="1:66" hidden="1">
      <c r="A1898">
        <v>100695</v>
      </c>
      <c r="B1898" s="3" t="s">
        <v>227</v>
      </c>
      <c r="C1898" s="1">
        <v>43300101</v>
      </c>
      <c r="D1898" t="s">
        <v>67</v>
      </c>
      <c r="H1898" t="str">
        <f t="shared" si="196"/>
        <v>00721920155</v>
      </c>
      <c r="I1898" t="str">
        <f t="shared" si="196"/>
        <v>00721920155</v>
      </c>
      <c r="K1898" t="str">
        <f>""</f>
        <v/>
      </c>
      <c r="M1898" t="s">
        <v>68</v>
      </c>
      <c r="N1898" t="str">
        <f t="shared" si="197"/>
        <v>FOR</v>
      </c>
      <c r="O1898" t="s">
        <v>69</v>
      </c>
      <c r="P1898" s="3" t="s">
        <v>70</v>
      </c>
      <c r="Q1898">
        <v>2015</v>
      </c>
      <c r="R1898" s="2">
        <v>42054</v>
      </c>
      <c r="S1898" s="2">
        <v>42081</v>
      </c>
      <c r="T1898" s="2">
        <v>42081</v>
      </c>
      <c r="U1898" s="2">
        <v>42141</v>
      </c>
      <c r="V1898" t="s">
        <v>71</v>
      </c>
      <c r="W1898" t="str">
        <f>"          5840101367"</f>
        <v xml:space="preserve">          5840101367</v>
      </c>
      <c r="X1898">
        <v>119.6</v>
      </c>
      <c r="Y1898">
        <v>0</v>
      </c>
      <c r="Z1898"/>
      <c r="AB1898"/>
      <c r="AC1898">
        <v>115</v>
      </c>
      <c r="AD1898">
        <v>267</v>
      </c>
      <c r="AE1898" s="1">
        <v>30705</v>
      </c>
      <c r="AF1898">
        <v>0</v>
      </c>
      <c r="AJ1898">
        <v>0</v>
      </c>
      <c r="AK1898">
        <v>0</v>
      </c>
      <c r="AL1898">
        <v>0</v>
      </c>
      <c r="AM1898">
        <v>0</v>
      </c>
      <c r="AN1898">
        <v>0</v>
      </c>
      <c r="AO1898">
        <v>0</v>
      </c>
      <c r="AP1898" s="2">
        <v>42746</v>
      </c>
      <c r="AQ1898" t="s">
        <v>72</v>
      </c>
      <c r="AR1898" t="s">
        <v>72</v>
      </c>
      <c r="AS1898">
        <v>315</v>
      </c>
      <c r="AT1898" s="4">
        <v>42408</v>
      </c>
      <c r="AU1898" t="s">
        <v>73</v>
      </c>
      <c r="AV1898">
        <v>315</v>
      </c>
      <c r="AW1898" s="4">
        <v>42408</v>
      </c>
      <c r="BD1898">
        <v>0</v>
      </c>
      <c r="BN1898" t="s">
        <v>74</v>
      </c>
    </row>
    <row r="1899" spans="1:66" hidden="1">
      <c r="A1899">
        <v>100695</v>
      </c>
      <c r="B1899" s="3" t="s">
        <v>227</v>
      </c>
      <c r="C1899" s="1">
        <v>43300101</v>
      </c>
      <c r="D1899" t="s">
        <v>67</v>
      </c>
      <c r="H1899" t="str">
        <f t="shared" si="196"/>
        <v>00721920155</v>
      </c>
      <c r="I1899" t="str">
        <f t="shared" si="196"/>
        <v>00721920155</v>
      </c>
      <c r="K1899" t="str">
        <f>""</f>
        <v/>
      </c>
      <c r="M1899" t="s">
        <v>68</v>
      </c>
      <c r="N1899" t="str">
        <f t="shared" si="197"/>
        <v>FOR</v>
      </c>
      <c r="O1899" t="s">
        <v>69</v>
      </c>
      <c r="P1899" s="3" t="s">
        <v>70</v>
      </c>
      <c r="Q1899">
        <v>2015</v>
      </c>
      <c r="R1899" s="2">
        <v>42061</v>
      </c>
      <c r="S1899" s="2">
        <v>42073</v>
      </c>
      <c r="T1899" s="2">
        <v>42073</v>
      </c>
      <c r="U1899" s="2">
        <v>42133</v>
      </c>
      <c r="V1899" t="s">
        <v>71</v>
      </c>
      <c r="W1899" t="str">
        <f>"          5840101802"</f>
        <v xml:space="preserve">          5840101802</v>
      </c>
      <c r="X1899">
        <v>119.6</v>
      </c>
      <c r="Y1899">
        <v>0</v>
      </c>
      <c r="Z1899"/>
      <c r="AB1899"/>
      <c r="AC1899">
        <v>115</v>
      </c>
      <c r="AD1899">
        <v>275</v>
      </c>
      <c r="AE1899" s="1">
        <v>31625</v>
      </c>
      <c r="AF1899">
        <v>0</v>
      </c>
      <c r="AJ1899">
        <v>0</v>
      </c>
      <c r="AK1899">
        <v>0</v>
      </c>
      <c r="AL1899">
        <v>0</v>
      </c>
      <c r="AM1899">
        <v>0</v>
      </c>
      <c r="AN1899">
        <v>0</v>
      </c>
      <c r="AO1899">
        <v>0</v>
      </c>
      <c r="AP1899" s="2">
        <v>42746</v>
      </c>
      <c r="AQ1899" t="s">
        <v>72</v>
      </c>
      <c r="AR1899" t="s">
        <v>72</v>
      </c>
      <c r="AS1899">
        <v>315</v>
      </c>
      <c r="AT1899" s="4">
        <v>42408</v>
      </c>
      <c r="AU1899" t="s">
        <v>73</v>
      </c>
      <c r="AV1899">
        <v>315</v>
      </c>
      <c r="AW1899" s="4">
        <v>42408</v>
      </c>
      <c r="BD1899">
        <v>0</v>
      </c>
      <c r="BN1899" t="s">
        <v>74</v>
      </c>
    </row>
    <row r="1900" spans="1:66" hidden="1">
      <c r="A1900">
        <v>100695</v>
      </c>
      <c r="B1900" s="3" t="s">
        <v>227</v>
      </c>
      <c r="C1900" s="1">
        <v>43300101</v>
      </c>
      <c r="D1900" t="s">
        <v>67</v>
      </c>
      <c r="H1900" t="str">
        <f t="shared" si="196"/>
        <v>00721920155</v>
      </c>
      <c r="I1900" t="str">
        <f t="shared" si="196"/>
        <v>00721920155</v>
      </c>
      <c r="K1900" t="str">
        <f>""</f>
        <v/>
      </c>
      <c r="M1900" t="s">
        <v>68</v>
      </c>
      <c r="N1900" t="str">
        <f t="shared" si="197"/>
        <v>FOR</v>
      </c>
      <c r="O1900" t="s">
        <v>69</v>
      </c>
      <c r="P1900" s="3" t="s">
        <v>70</v>
      </c>
      <c r="Q1900">
        <v>2015</v>
      </c>
      <c r="R1900" s="2">
        <v>42061</v>
      </c>
      <c r="S1900" s="2">
        <v>42073</v>
      </c>
      <c r="T1900" s="2">
        <v>42073</v>
      </c>
      <c r="U1900" s="2">
        <v>42133</v>
      </c>
      <c r="V1900" t="s">
        <v>71</v>
      </c>
      <c r="W1900" t="str">
        <f>"          5840101925"</f>
        <v xml:space="preserve">          5840101925</v>
      </c>
      <c r="X1900">
        <v>119.6</v>
      </c>
      <c r="Y1900">
        <v>0</v>
      </c>
      <c r="Z1900"/>
      <c r="AB1900"/>
      <c r="AC1900">
        <v>115</v>
      </c>
      <c r="AD1900">
        <v>275</v>
      </c>
      <c r="AE1900" s="1">
        <v>31625</v>
      </c>
      <c r="AF1900">
        <v>0</v>
      </c>
      <c r="AJ1900">
        <v>0</v>
      </c>
      <c r="AK1900">
        <v>0</v>
      </c>
      <c r="AL1900">
        <v>0</v>
      </c>
      <c r="AM1900">
        <v>0</v>
      </c>
      <c r="AN1900">
        <v>0</v>
      </c>
      <c r="AO1900">
        <v>0</v>
      </c>
      <c r="AP1900" s="2">
        <v>42746</v>
      </c>
      <c r="AQ1900" t="s">
        <v>72</v>
      </c>
      <c r="AR1900" t="s">
        <v>72</v>
      </c>
      <c r="AS1900">
        <v>315</v>
      </c>
      <c r="AT1900" s="4">
        <v>42408</v>
      </c>
      <c r="AU1900" t="s">
        <v>73</v>
      </c>
      <c r="AV1900">
        <v>315</v>
      </c>
      <c r="AW1900" s="4">
        <v>42408</v>
      </c>
      <c r="BD1900">
        <v>0</v>
      </c>
      <c r="BN1900" t="s">
        <v>74</v>
      </c>
    </row>
    <row r="1901" spans="1:66" hidden="1">
      <c r="A1901">
        <v>100695</v>
      </c>
      <c r="B1901" s="3" t="s">
        <v>227</v>
      </c>
      <c r="C1901" s="1">
        <v>43300101</v>
      </c>
      <c r="D1901" t="s">
        <v>67</v>
      </c>
      <c r="H1901" t="str">
        <f t="shared" si="196"/>
        <v>00721920155</v>
      </c>
      <c r="I1901" t="str">
        <f t="shared" si="196"/>
        <v>00721920155</v>
      </c>
      <c r="K1901" t="str">
        <f>""</f>
        <v/>
      </c>
      <c r="M1901" t="s">
        <v>68</v>
      </c>
      <c r="N1901" t="str">
        <f t="shared" si="197"/>
        <v>FOR</v>
      </c>
      <c r="O1901" t="s">
        <v>69</v>
      </c>
      <c r="P1901" s="3" t="s">
        <v>70</v>
      </c>
      <c r="Q1901">
        <v>2015</v>
      </c>
      <c r="R1901" s="2">
        <v>42061</v>
      </c>
      <c r="S1901" s="2">
        <v>42073</v>
      </c>
      <c r="T1901" s="2">
        <v>42073</v>
      </c>
      <c r="U1901" s="2">
        <v>42133</v>
      </c>
      <c r="V1901" t="s">
        <v>71</v>
      </c>
      <c r="W1901" t="str">
        <f>"          5840101932"</f>
        <v xml:space="preserve">          5840101932</v>
      </c>
      <c r="X1901">
        <v>119.6</v>
      </c>
      <c r="Y1901">
        <v>0</v>
      </c>
      <c r="Z1901"/>
      <c r="AB1901"/>
      <c r="AC1901">
        <v>115</v>
      </c>
      <c r="AD1901">
        <v>275</v>
      </c>
      <c r="AE1901" s="1">
        <v>31625</v>
      </c>
      <c r="AF1901">
        <v>0</v>
      </c>
      <c r="AJ1901">
        <v>0</v>
      </c>
      <c r="AK1901">
        <v>0</v>
      </c>
      <c r="AL1901">
        <v>0</v>
      </c>
      <c r="AM1901">
        <v>0</v>
      </c>
      <c r="AN1901">
        <v>0</v>
      </c>
      <c r="AO1901">
        <v>0</v>
      </c>
      <c r="AP1901" s="2">
        <v>42746</v>
      </c>
      <c r="AQ1901" t="s">
        <v>72</v>
      </c>
      <c r="AR1901" t="s">
        <v>72</v>
      </c>
      <c r="AS1901">
        <v>315</v>
      </c>
      <c r="AT1901" s="4">
        <v>42408</v>
      </c>
      <c r="AU1901" t="s">
        <v>73</v>
      </c>
      <c r="AV1901">
        <v>315</v>
      </c>
      <c r="AW1901" s="4">
        <v>42408</v>
      </c>
      <c r="BD1901">
        <v>0</v>
      </c>
      <c r="BN1901" t="s">
        <v>74</v>
      </c>
    </row>
    <row r="1902" spans="1:66" hidden="1">
      <c r="A1902">
        <v>100695</v>
      </c>
      <c r="B1902" s="3" t="s">
        <v>227</v>
      </c>
      <c r="C1902" s="1">
        <v>43300101</v>
      </c>
      <c r="D1902" t="s">
        <v>67</v>
      </c>
      <c r="H1902" t="str">
        <f t="shared" si="196"/>
        <v>00721920155</v>
      </c>
      <c r="I1902" t="str">
        <f t="shared" si="196"/>
        <v>00721920155</v>
      </c>
      <c r="K1902" t="str">
        <f>""</f>
        <v/>
      </c>
      <c r="M1902" t="s">
        <v>68</v>
      </c>
      <c r="N1902" t="str">
        <f t="shared" si="197"/>
        <v>FOR</v>
      </c>
      <c r="O1902" t="s">
        <v>69</v>
      </c>
      <c r="P1902" s="3" t="s">
        <v>70</v>
      </c>
      <c r="Q1902">
        <v>2015</v>
      </c>
      <c r="R1902" s="2">
        <v>42061</v>
      </c>
      <c r="S1902" s="2">
        <v>42073</v>
      </c>
      <c r="T1902" s="2">
        <v>42073</v>
      </c>
      <c r="U1902" s="2">
        <v>42133</v>
      </c>
      <c r="V1902" t="s">
        <v>71</v>
      </c>
      <c r="W1902" t="str">
        <f>"          5840101938"</f>
        <v xml:space="preserve">          5840101938</v>
      </c>
      <c r="X1902">
        <v>119.6</v>
      </c>
      <c r="Y1902">
        <v>0</v>
      </c>
      <c r="Z1902"/>
      <c r="AB1902"/>
      <c r="AC1902">
        <v>115</v>
      </c>
      <c r="AD1902">
        <v>275</v>
      </c>
      <c r="AE1902" s="1">
        <v>31625</v>
      </c>
      <c r="AF1902">
        <v>0</v>
      </c>
      <c r="AJ1902">
        <v>0</v>
      </c>
      <c r="AK1902">
        <v>0</v>
      </c>
      <c r="AL1902">
        <v>0</v>
      </c>
      <c r="AM1902">
        <v>0</v>
      </c>
      <c r="AN1902">
        <v>0</v>
      </c>
      <c r="AO1902">
        <v>0</v>
      </c>
      <c r="AP1902" s="2">
        <v>42746</v>
      </c>
      <c r="AQ1902" t="s">
        <v>72</v>
      </c>
      <c r="AR1902" t="s">
        <v>72</v>
      </c>
      <c r="AS1902">
        <v>315</v>
      </c>
      <c r="AT1902" s="4">
        <v>42408</v>
      </c>
      <c r="AU1902" t="s">
        <v>73</v>
      </c>
      <c r="AV1902">
        <v>315</v>
      </c>
      <c r="AW1902" s="4">
        <v>42408</v>
      </c>
      <c r="BD1902">
        <v>0</v>
      </c>
      <c r="BN1902" t="s">
        <v>74</v>
      </c>
    </row>
    <row r="1903" spans="1:66" hidden="1">
      <c r="A1903">
        <v>100695</v>
      </c>
      <c r="B1903" s="3" t="s">
        <v>227</v>
      </c>
      <c r="C1903" s="1">
        <v>43300101</v>
      </c>
      <c r="D1903" t="s">
        <v>67</v>
      </c>
      <c r="H1903" t="str">
        <f t="shared" si="196"/>
        <v>00721920155</v>
      </c>
      <c r="I1903" t="str">
        <f t="shared" si="196"/>
        <v>00721920155</v>
      </c>
      <c r="K1903" t="str">
        <f>""</f>
        <v/>
      </c>
      <c r="M1903" t="s">
        <v>68</v>
      </c>
      <c r="N1903" t="str">
        <f t="shared" si="197"/>
        <v>FOR</v>
      </c>
      <c r="O1903" t="s">
        <v>69</v>
      </c>
      <c r="P1903" s="3" t="s">
        <v>70</v>
      </c>
      <c r="Q1903">
        <v>2015</v>
      </c>
      <c r="R1903" s="2">
        <v>42065</v>
      </c>
      <c r="S1903" s="2">
        <v>42471</v>
      </c>
      <c r="T1903" s="2">
        <v>42471</v>
      </c>
      <c r="U1903" s="2">
        <v>42531</v>
      </c>
      <c r="V1903" t="s">
        <v>71</v>
      </c>
      <c r="W1903" t="str">
        <f>"          5840102450"</f>
        <v xml:space="preserve">          5840102450</v>
      </c>
      <c r="X1903" s="1">
        <v>3275.04</v>
      </c>
      <c r="Y1903">
        <v>0</v>
      </c>
      <c r="Z1903"/>
      <c r="AB1903"/>
      <c r="AC1903" s="1">
        <v>2684.46</v>
      </c>
      <c r="AD1903">
        <v>-4</v>
      </c>
      <c r="AE1903" s="1">
        <v>-10737.84</v>
      </c>
      <c r="AF1903">
        <v>0</v>
      </c>
      <c r="AJ1903">
        <v>0</v>
      </c>
      <c r="AK1903">
        <v>0</v>
      </c>
      <c r="AL1903">
        <v>0</v>
      </c>
      <c r="AM1903">
        <v>0</v>
      </c>
      <c r="AN1903" s="1">
        <v>3275.04</v>
      </c>
      <c r="AO1903">
        <v>0</v>
      </c>
      <c r="AP1903" s="2">
        <v>42746</v>
      </c>
      <c r="AQ1903" t="s">
        <v>72</v>
      </c>
      <c r="AR1903" t="s">
        <v>72</v>
      </c>
      <c r="AS1903">
        <v>1502</v>
      </c>
      <c r="AT1903" s="4">
        <v>42527</v>
      </c>
      <c r="AV1903">
        <v>1502</v>
      </c>
      <c r="AW1903" s="4">
        <v>42527</v>
      </c>
      <c r="BD1903">
        <v>0</v>
      </c>
      <c r="BN1903" t="s">
        <v>74</v>
      </c>
    </row>
    <row r="1904" spans="1:66" hidden="1">
      <c r="A1904">
        <v>100695</v>
      </c>
      <c r="B1904" s="3" t="s">
        <v>227</v>
      </c>
      <c r="C1904" s="1">
        <v>43300101</v>
      </c>
      <c r="D1904" t="s">
        <v>67</v>
      </c>
      <c r="H1904" t="str">
        <f t="shared" si="196"/>
        <v>00721920155</v>
      </c>
      <c r="I1904" t="str">
        <f t="shared" si="196"/>
        <v>00721920155</v>
      </c>
      <c r="K1904" t="str">
        <f>""</f>
        <v/>
      </c>
      <c r="M1904" t="s">
        <v>68</v>
      </c>
      <c r="N1904" t="str">
        <f t="shared" si="197"/>
        <v>FOR</v>
      </c>
      <c r="O1904" t="s">
        <v>69</v>
      </c>
      <c r="P1904" s="3" t="s">
        <v>70</v>
      </c>
      <c r="Q1904">
        <v>2015</v>
      </c>
      <c r="R1904" s="2">
        <v>42067</v>
      </c>
      <c r="S1904" s="2">
        <v>42086</v>
      </c>
      <c r="T1904" s="2">
        <v>42086</v>
      </c>
      <c r="U1904" s="2">
        <v>42146</v>
      </c>
      <c r="V1904" t="s">
        <v>71</v>
      </c>
      <c r="W1904" t="str">
        <f>"          5840102541"</f>
        <v xml:space="preserve">          5840102541</v>
      </c>
      <c r="X1904">
        <v>119.6</v>
      </c>
      <c r="Y1904">
        <v>0</v>
      </c>
      <c r="Z1904"/>
      <c r="AB1904"/>
      <c r="AC1904">
        <v>115</v>
      </c>
      <c r="AD1904">
        <v>269</v>
      </c>
      <c r="AE1904" s="1">
        <v>30935</v>
      </c>
      <c r="AF1904">
        <v>0</v>
      </c>
      <c r="AJ1904">
        <v>0</v>
      </c>
      <c r="AK1904">
        <v>0</v>
      </c>
      <c r="AL1904">
        <v>0</v>
      </c>
      <c r="AM1904">
        <v>0</v>
      </c>
      <c r="AN1904">
        <v>0</v>
      </c>
      <c r="AO1904">
        <v>0</v>
      </c>
      <c r="AP1904" s="2">
        <v>42746</v>
      </c>
      <c r="AQ1904" t="s">
        <v>72</v>
      </c>
      <c r="AR1904" t="s">
        <v>72</v>
      </c>
      <c r="AS1904">
        <v>386</v>
      </c>
      <c r="AT1904" s="4">
        <v>42415</v>
      </c>
      <c r="AU1904" t="s">
        <v>73</v>
      </c>
      <c r="AV1904">
        <v>386</v>
      </c>
      <c r="AW1904" s="4">
        <v>42415</v>
      </c>
      <c r="BD1904">
        <v>0</v>
      </c>
      <c r="BN1904" t="s">
        <v>74</v>
      </c>
    </row>
    <row r="1905" spans="1:66" hidden="1">
      <c r="A1905">
        <v>100695</v>
      </c>
      <c r="B1905" s="3" t="s">
        <v>227</v>
      </c>
      <c r="C1905" s="1">
        <v>43300101</v>
      </c>
      <c r="D1905" t="s">
        <v>67</v>
      </c>
      <c r="H1905" t="str">
        <f t="shared" si="196"/>
        <v>00721920155</v>
      </c>
      <c r="I1905" t="str">
        <f t="shared" si="196"/>
        <v>00721920155</v>
      </c>
      <c r="K1905" t="str">
        <f>""</f>
        <v/>
      </c>
      <c r="M1905" t="s">
        <v>68</v>
      </c>
      <c r="N1905" t="str">
        <f t="shared" si="197"/>
        <v>FOR</v>
      </c>
      <c r="O1905" t="s">
        <v>69</v>
      </c>
      <c r="P1905" s="3" t="s">
        <v>70</v>
      </c>
      <c r="Q1905">
        <v>2015</v>
      </c>
      <c r="R1905" s="2">
        <v>42067</v>
      </c>
      <c r="S1905" s="2">
        <v>42086</v>
      </c>
      <c r="T1905" s="2">
        <v>42086</v>
      </c>
      <c r="U1905" s="2">
        <v>42146</v>
      </c>
      <c r="V1905" t="s">
        <v>71</v>
      </c>
      <c r="W1905" t="str">
        <f>"          5840102542"</f>
        <v xml:space="preserve">          5840102542</v>
      </c>
      <c r="X1905">
        <v>119.6</v>
      </c>
      <c r="Y1905">
        <v>0</v>
      </c>
      <c r="Z1905"/>
      <c r="AB1905"/>
      <c r="AC1905">
        <v>115</v>
      </c>
      <c r="AD1905">
        <v>269</v>
      </c>
      <c r="AE1905" s="1">
        <v>30935</v>
      </c>
      <c r="AF1905">
        <v>0</v>
      </c>
      <c r="AJ1905">
        <v>0</v>
      </c>
      <c r="AK1905">
        <v>0</v>
      </c>
      <c r="AL1905">
        <v>0</v>
      </c>
      <c r="AM1905">
        <v>0</v>
      </c>
      <c r="AN1905">
        <v>0</v>
      </c>
      <c r="AO1905">
        <v>0</v>
      </c>
      <c r="AP1905" s="2">
        <v>42746</v>
      </c>
      <c r="AQ1905" t="s">
        <v>72</v>
      </c>
      <c r="AR1905" t="s">
        <v>72</v>
      </c>
      <c r="AS1905">
        <v>386</v>
      </c>
      <c r="AT1905" s="4">
        <v>42415</v>
      </c>
      <c r="AU1905" t="s">
        <v>73</v>
      </c>
      <c r="AV1905">
        <v>386</v>
      </c>
      <c r="AW1905" s="4">
        <v>42415</v>
      </c>
      <c r="BD1905">
        <v>0</v>
      </c>
      <c r="BN1905" t="s">
        <v>74</v>
      </c>
    </row>
    <row r="1906" spans="1:66" hidden="1">
      <c r="A1906">
        <v>100695</v>
      </c>
      <c r="B1906" s="3" t="s">
        <v>227</v>
      </c>
      <c r="C1906" s="1">
        <v>43300101</v>
      </c>
      <c r="D1906" t="s">
        <v>67</v>
      </c>
      <c r="H1906" t="str">
        <f t="shared" si="196"/>
        <v>00721920155</v>
      </c>
      <c r="I1906" t="str">
        <f t="shared" si="196"/>
        <v>00721920155</v>
      </c>
      <c r="K1906" t="str">
        <f>""</f>
        <v/>
      </c>
      <c r="M1906" t="s">
        <v>68</v>
      </c>
      <c r="N1906" t="str">
        <f t="shared" si="197"/>
        <v>FOR</v>
      </c>
      <c r="O1906" t="s">
        <v>69</v>
      </c>
      <c r="P1906" s="3" t="s">
        <v>70</v>
      </c>
      <c r="Q1906">
        <v>2015</v>
      </c>
      <c r="R1906" s="2">
        <v>42067</v>
      </c>
      <c r="S1906" s="2">
        <v>42086</v>
      </c>
      <c r="T1906" s="2">
        <v>42086</v>
      </c>
      <c r="U1906" s="2">
        <v>42146</v>
      </c>
      <c r="V1906" t="s">
        <v>71</v>
      </c>
      <c r="W1906" t="str">
        <f>"          5840102545"</f>
        <v xml:space="preserve">          5840102545</v>
      </c>
      <c r="X1906">
        <v>119.6</v>
      </c>
      <c r="Y1906">
        <v>0</v>
      </c>
      <c r="Z1906"/>
      <c r="AB1906"/>
      <c r="AC1906">
        <v>115</v>
      </c>
      <c r="AD1906">
        <v>269</v>
      </c>
      <c r="AE1906" s="1">
        <v>30935</v>
      </c>
      <c r="AF1906">
        <v>0</v>
      </c>
      <c r="AJ1906">
        <v>0</v>
      </c>
      <c r="AK1906">
        <v>0</v>
      </c>
      <c r="AL1906">
        <v>0</v>
      </c>
      <c r="AM1906">
        <v>0</v>
      </c>
      <c r="AN1906">
        <v>0</v>
      </c>
      <c r="AO1906">
        <v>0</v>
      </c>
      <c r="AP1906" s="2">
        <v>42746</v>
      </c>
      <c r="AQ1906" t="s">
        <v>72</v>
      </c>
      <c r="AR1906" t="s">
        <v>72</v>
      </c>
      <c r="AS1906">
        <v>386</v>
      </c>
      <c r="AT1906" s="4">
        <v>42415</v>
      </c>
      <c r="AU1906" t="s">
        <v>73</v>
      </c>
      <c r="AV1906">
        <v>386</v>
      </c>
      <c r="AW1906" s="4">
        <v>42415</v>
      </c>
      <c r="BD1906">
        <v>0</v>
      </c>
      <c r="BN1906" t="s">
        <v>74</v>
      </c>
    </row>
    <row r="1907" spans="1:66" hidden="1">
      <c r="A1907">
        <v>100695</v>
      </c>
      <c r="B1907" s="3" t="s">
        <v>227</v>
      </c>
      <c r="C1907" s="1">
        <v>43300101</v>
      </c>
      <c r="D1907" t="s">
        <v>67</v>
      </c>
      <c r="H1907" t="str">
        <f t="shared" si="196"/>
        <v>00721920155</v>
      </c>
      <c r="I1907" t="str">
        <f t="shared" si="196"/>
        <v>00721920155</v>
      </c>
      <c r="K1907" t="str">
        <f>""</f>
        <v/>
      </c>
      <c r="M1907" t="s">
        <v>68</v>
      </c>
      <c r="N1907" t="str">
        <f t="shared" si="197"/>
        <v>FOR</v>
      </c>
      <c r="O1907" t="s">
        <v>69</v>
      </c>
      <c r="P1907" s="3" t="s">
        <v>70</v>
      </c>
      <c r="Q1907">
        <v>2015</v>
      </c>
      <c r="R1907" s="2">
        <v>42067</v>
      </c>
      <c r="S1907" s="2">
        <v>42086</v>
      </c>
      <c r="T1907" s="2">
        <v>42086</v>
      </c>
      <c r="U1907" s="2">
        <v>42146</v>
      </c>
      <c r="V1907" t="s">
        <v>71</v>
      </c>
      <c r="W1907" t="str">
        <f>"          5840102547"</f>
        <v xml:space="preserve">          5840102547</v>
      </c>
      <c r="X1907">
        <v>119.6</v>
      </c>
      <c r="Y1907">
        <v>0</v>
      </c>
      <c r="Z1907"/>
      <c r="AB1907"/>
      <c r="AC1907">
        <v>115</v>
      </c>
      <c r="AD1907">
        <v>269</v>
      </c>
      <c r="AE1907" s="1">
        <v>30935</v>
      </c>
      <c r="AF1907">
        <v>0</v>
      </c>
      <c r="AJ1907">
        <v>0</v>
      </c>
      <c r="AK1907">
        <v>0</v>
      </c>
      <c r="AL1907">
        <v>0</v>
      </c>
      <c r="AM1907">
        <v>0</v>
      </c>
      <c r="AN1907">
        <v>0</v>
      </c>
      <c r="AO1907">
        <v>0</v>
      </c>
      <c r="AP1907" s="2">
        <v>42746</v>
      </c>
      <c r="AQ1907" t="s">
        <v>72</v>
      </c>
      <c r="AR1907" t="s">
        <v>72</v>
      </c>
      <c r="AS1907">
        <v>386</v>
      </c>
      <c r="AT1907" s="4">
        <v>42415</v>
      </c>
      <c r="AU1907" t="s">
        <v>73</v>
      </c>
      <c r="AV1907">
        <v>386</v>
      </c>
      <c r="AW1907" s="4">
        <v>42415</v>
      </c>
      <c r="BD1907">
        <v>0</v>
      </c>
      <c r="BN1907" t="s">
        <v>74</v>
      </c>
    </row>
    <row r="1908" spans="1:66" hidden="1">
      <c r="A1908">
        <v>100695</v>
      </c>
      <c r="B1908" s="3" t="s">
        <v>227</v>
      </c>
      <c r="C1908" s="1">
        <v>43300101</v>
      </c>
      <c r="D1908" t="s">
        <v>67</v>
      </c>
      <c r="H1908" t="str">
        <f t="shared" si="196"/>
        <v>00721920155</v>
      </c>
      <c r="I1908" t="str">
        <f t="shared" si="196"/>
        <v>00721920155</v>
      </c>
      <c r="K1908" t="str">
        <f>""</f>
        <v/>
      </c>
      <c r="M1908" t="s">
        <v>68</v>
      </c>
      <c r="N1908" t="str">
        <f t="shared" si="197"/>
        <v>FOR</v>
      </c>
      <c r="O1908" t="s">
        <v>69</v>
      </c>
      <c r="P1908" s="3" t="s">
        <v>70</v>
      </c>
      <c r="Q1908">
        <v>2015</v>
      </c>
      <c r="R1908" s="2">
        <v>42074</v>
      </c>
      <c r="S1908" s="2">
        <v>42089</v>
      </c>
      <c r="T1908" s="2">
        <v>42089</v>
      </c>
      <c r="U1908" s="2">
        <v>42149</v>
      </c>
      <c r="V1908" t="s">
        <v>71</v>
      </c>
      <c r="W1908" t="str">
        <f>"          5840102769"</f>
        <v xml:space="preserve">          5840102769</v>
      </c>
      <c r="X1908">
        <v>119.6</v>
      </c>
      <c r="Y1908">
        <v>0</v>
      </c>
      <c r="Z1908"/>
      <c r="AB1908"/>
      <c r="AC1908">
        <v>115</v>
      </c>
      <c r="AD1908">
        <v>266</v>
      </c>
      <c r="AE1908" s="1">
        <v>30590</v>
      </c>
      <c r="AF1908">
        <v>0</v>
      </c>
      <c r="AJ1908">
        <v>0</v>
      </c>
      <c r="AK1908">
        <v>0</v>
      </c>
      <c r="AL1908">
        <v>0</v>
      </c>
      <c r="AM1908">
        <v>0</v>
      </c>
      <c r="AN1908">
        <v>0</v>
      </c>
      <c r="AO1908">
        <v>0</v>
      </c>
      <c r="AP1908" s="2">
        <v>42746</v>
      </c>
      <c r="AQ1908" t="s">
        <v>72</v>
      </c>
      <c r="AR1908" t="s">
        <v>72</v>
      </c>
      <c r="AS1908">
        <v>386</v>
      </c>
      <c r="AT1908" s="4">
        <v>42415</v>
      </c>
      <c r="AU1908" t="s">
        <v>73</v>
      </c>
      <c r="AV1908">
        <v>386</v>
      </c>
      <c r="AW1908" s="4">
        <v>42415</v>
      </c>
      <c r="BD1908">
        <v>0</v>
      </c>
      <c r="BN1908" t="s">
        <v>74</v>
      </c>
    </row>
    <row r="1909" spans="1:66" hidden="1">
      <c r="A1909">
        <v>100695</v>
      </c>
      <c r="B1909" s="3" t="s">
        <v>227</v>
      </c>
      <c r="C1909" s="1">
        <v>43300101</v>
      </c>
      <c r="D1909" t="s">
        <v>67</v>
      </c>
      <c r="H1909" t="str">
        <f t="shared" ref="H1909:I1928" si="198">"00721920155"</f>
        <v>00721920155</v>
      </c>
      <c r="I1909" t="str">
        <f t="shared" si="198"/>
        <v>00721920155</v>
      </c>
      <c r="K1909" t="str">
        <f>""</f>
        <v/>
      </c>
      <c r="M1909" t="s">
        <v>68</v>
      </c>
      <c r="N1909" t="str">
        <f t="shared" si="197"/>
        <v>FOR</v>
      </c>
      <c r="O1909" t="s">
        <v>69</v>
      </c>
      <c r="P1909" s="3" t="s">
        <v>70</v>
      </c>
      <c r="Q1909">
        <v>2015</v>
      </c>
      <c r="R1909" s="2">
        <v>42074</v>
      </c>
      <c r="S1909" s="2">
        <v>42089</v>
      </c>
      <c r="T1909" s="2">
        <v>42089</v>
      </c>
      <c r="U1909" s="2">
        <v>42149</v>
      </c>
      <c r="V1909" t="s">
        <v>71</v>
      </c>
      <c r="W1909" t="str">
        <f>"          5840102771"</f>
        <v xml:space="preserve">          5840102771</v>
      </c>
      <c r="X1909">
        <v>119.6</v>
      </c>
      <c r="Y1909">
        <v>0</v>
      </c>
      <c r="Z1909"/>
      <c r="AB1909"/>
      <c r="AC1909">
        <v>115</v>
      </c>
      <c r="AD1909">
        <v>266</v>
      </c>
      <c r="AE1909" s="1">
        <v>30590</v>
      </c>
      <c r="AF1909">
        <v>0</v>
      </c>
      <c r="AJ1909">
        <v>0</v>
      </c>
      <c r="AK1909">
        <v>0</v>
      </c>
      <c r="AL1909">
        <v>0</v>
      </c>
      <c r="AM1909">
        <v>0</v>
      </c>
      <c r="AN1909">
        <v>0</v>
      </c>
      <c r="AO1909">
        <v>0</v>
      </c>
      <c r="AP1909" s="2">
        <v>42746</v>
      </c>
      <c r="AQ1909" t="s">
        <v>72</v>
      </c>
      <c r="AR1909" t="s">
        <v>72</v>
      </c>
      <c r="AS1909">
        <v>386</v>
      </c>
      <c r="AT1909" s="4">
        <v>42415</v>
      </c>
      <c r="AU1909" t="s">
        <v>73</v>
      </c>
      <c r="AV1909">
        <v>386</v>
      </c>
      <c r="AW1909" s="4">
        <v>42415</v>
      </c>
      <c r="BD1909">
        <v>0</v>
      </c>
      <c r="BN1909" t="s">
        <v>74</v>
      </c>
    </row>
    <row r="1910" spans="1:66" hidden="1">
      <c r="A1910">
        <v>100695</v>
      </c>
      <c r="B1910" s="3" t="s">
        <v>227</v>
      </c>
      <c r="C1910" s="1">
        <v>43300101</v>
      </c>
      <c r="D1910" t="s">
        <v>67</v>
      </c>
      <c r="H1910" t="str">
        <f t="shared" si="198"/>
        <v>00721920155</v>
      </c>
      <c r="I1910" t="str">
        <f t="shared" si="198"/>
        <v>00721920155</v>
      </c>
      <c r="K1910" t="str">
        <f>""</f>
        <v/>
      </c>
      <c r="M1910" t="s">
        <v>68</v>
      </c>
      <c r="N1910" t="str">
        <f t="shared" si="197"/>
        <v>FOR</v>
      </c>
      <c r="O1910" t="s">
        <v>69</v>
      </c>
      <c r="P1910" s="3" t="s">
        <v>70</v>
      </c>
      <c r="Q1910">
        <v>2015</v>
      </c>
      <c r="R1910" s="2">
        <v>42074</v>
      </c>
      <c r="S1910" s="2">
        <v>42089</v>
      </c>
      <c r="T1910" s="2">
        <v>42089</v>
      </c>
      <c r="U1910" s="2">
        <v>42149</v>
      </c>
      <c r="V1910" t="s">
        <v>71</v>
      </c>
      <c r="W1910" t="str">
        <f>"          5840102776"</f>
        <v xml:space="preserve">          5840102776</v>
      </c>
      <c r="X1910">
        <v>119.6</v>
      </c>
      <c r="Y1910">
        <v>0</v>
      </c>
      <c r="Z1910"/>
      <c r="AB1910"/>
      <c r="AC1910">
        <v>115</v>
      </c>
      <c r="AD1910">
        <v>266</v>
      </c>
      <c r="AE1910" s="1">
        <v>30590</v>
      </c>
      <c r="AF1910">
        <v>0</v>
      </c>
      <c r="AJ1910">
        <v>0</v>
      </c>
      <c r="AK1910">
        <v>0</v>
      </c>
      <c r="AL1910">
        <v>0</v>
      </c>
      <c r="AM1910">
        <v>0</v>
      </c>
      <c r="AN1910">
        <v>0</v>
      </c>
      <c r="AO1910">
        <v>0</v>
      </c>
      <c r="AP1910" s="2">
        <v>42746</v>
      </c>
      <c r="AQ1910" t="s">
        <v>72</v>
      </c>
      <c r="AR1910" t="s">
        <v>72</v>
      </c>
      <c r="AS1910">
        <v>386</v>
      </c>
      <c r="AT1910" s="4">
        <v>42415</v>
      </c>
      <c r="AU1910" t="s">
        <v>73</v>
      </c>
      <c r="AV1910">
        <v>386</v>
      </c>
      <c r="AW1910" s="4">
        <v>42415</v>
      </c>
      <c r="BD1910">
        <v>0</v>
      </c>
      <c r="BN1910" t="s">
        <v>74</v>
      </c>
    </row>
    <row r="1911" spans="1:66" hidden="1">
      <c r="A1911">
        <v>100695</v>
      </c>
      <c r="B1911" s="3" t="s">
        <v>227</v>
      </c>
      <c r="C1911" s="1">
        <v>43300101</v>
      </c>
      <c r="D1911" t="s">
        <v>67</v>
      </c>
      <c r="H1911" t="str">
        <f t="shared" si="198"/>
        <v>00721920155</v>
      </c>
      <c r="I1911" t="str">
        <f t="shared" si="198"/>
        <v>00721920155</v>
      </c>
      <c r="K1911" t="str">
        <f>""</f>
        <v/>
      </c>
      <c r="M1911" t="s">
        <v>68</v>
      </c>
      <c r="N1911" t="str">
        <f t="shared" si="197"/>
        <v>FOR</v>
      </c>
      <c r="O1911" t="s">
        <v>69</v>
      </c>
      <c r="P1911" s="3" t="s">
        <v>70</v>
      </c>
      <c r="Q1911">
        <v>2015</v>
      </c>
      <c r="R1911" s="2">
        <v>42075</v>
      </c>
      <c r="S1911" s="2">
        <v>42094</v>
      </c>
      <c r="T1911" s="2">
        <v>42094</v>
      </c>
      <c r="U1911" s="2">
        <v>42154</v>
      </c>
      <c r="V1911" t="s">
        <v>71</v>
      </c>
      <c r="W1911" t="str">
        <f>"          5840102852"</f>
        <v xml:space="preserve">          5840102852</v>
      </c>
      <c r="X1911">
        <v>119.6</v>
      </c>
      <c r="Y1911">
        <v>0</v>
      </c>
      <c r="Z1911"/>
      <c r="AB1911"/>
      <c r="AC1911">
        <v>115</v>
      </c>
      <c r="AD1911">
        <v>261</v>
      </c>
      <c r="AE1911" s="1">
        <v>30015</v>
      </c>
      <c r="AF1911">
        <v>0</v>
      </c>
      <c r="AJ1911">
        <v>0</v>
      </c>
      <c r="AK1911">
        <v>0</v>
      </c>
      <c r="AL1911">
        <v>0</v>
      </c>
      <c r="AM1911">
        <v>0</v>
      </c>
      <c r="AN1911">
        <v>0</v>
      </c>
      <c r="AO1911">
        <v>0</v>
      </c>
      <c r="AP1911" s="2">
        <v>42746</v>
      </c>
      <c r="AQ1911" t="s">
        <v>72</v>
      </c>
      <c r="AR1911" t="s">
        <v>72</v>
      </c>
      <c r="AS1911">
        <v>386</v>
      </c>
      <c r="AT1911" s="4">
        <v>42415</v>
      </c>
      <c r="AU1911" t="s">
        <v>73</v>
      </c>
      <c r="AV1911">
        <v>386</v>
      </c>
      <c r="AW1911" s="4">
        <v>42415</v>
      </c>
      <c r="BD1911">
        <v>0</v>
      </c>
      <c r="BN1911" t="s">
        <v>74</v>
      </c>
    </row>
    <row r="1912" spans="1:66" hidden="1">
      <c r="A1912">
        <v>100695</v>
      </c>
      <c r="B1912" s="3" t="s">
        <v>227</v>
      </c>
      <c r="C1912" s="1">
        <v>43300101</v>
      </c>
      <c r="D1912" t="s">
        <v>67</v>
      </c>
      <c r="H1912" t="str">
        <f t="shared" si="198"/>
        <v>00721920155</v>
      </c>
      <c r="I1912" t="str">
        <f t="shared" si="198"/>
        <v>00721920155</v>
      </c>
      <c r="K1912" t="str">
        <f>""</f>
        <v/>
      </c>
      <c r="M1912" t="s">
        <v>68</v>
      </c>
      <c r="N1912" t="str">
        <f t="shared" si="197"/>
        <v>FOR</v>
      </c>
      <c r="O1912" t="s">
        <v>69</v>
      </c>
      <c r="P1912" s="3" t="s">
        <v>70</v>
      </c>
      <c r="Q1912">
        <v>2015</v>
      </c>
      <c r="R1912" s="2">
        <v>42075</v>
      </c>
      <c r="S1912" s="2">
        <v>42094</v>
      </c>
      <c r="T1912" s="2">
        <v>42094</v>
      </c>
      <c r="U1912" s="2">
        <v>42154</v>
      </c>
      <c r="V1912" t="s">
        <v>71</v>
      </c>
      <c r="W1912" t="str">
        <f>"          5840102858"</f>
        <v xml:space="preserve">          5840102858</v>
      </c>
      <c r="X1912">
        <v>119.6</v>
      </c>
      <c r="Y1912">
        <v>0</v>
      </c>
      <c r="Z1912"/>
      <c r="AB1912"/>
      <c r="AC1912">
        <v>115</v>
      </c>
      <c r="AD1912">
        <v>261</v>
      </c>
      <c r="AE1912" s="1">
        <v>30015</v>
      </c>
      <c r="AF1912">
        <v>0</v>
      </c>
      <c r="AJ1912">
        <v>0</v>
      </c>
      <c r="AK1912">
        <v>0</v>
      </c>
      <c r="AL1912">
        <v>0</v>
      </c>
      <c r="AM1912">
        <v>0</v>
      </c>
      <c r="AN1912">
        <v>0</v>
      </c>
      <c r="AO1912">
        <v>0</v>
      </c>
      <c r="AP1912" s="2">
        <v>42746</v>
      </c>
      <c r="AQ1912" t="s">
        <v>72</v>
      </c>
      <c r="AR1912" t="s">
        <v>72</v>
      </c>
      <c r="AS1912">
        <v>386</v>
      </c>
      <c r="AT1912" s="4">
        <v>42415</v>
      </c>
      <c r="AU1912" t="s">
        <v>73</v>
      </c>
      <c r="AV1912">
        <v>386</v>
      </c>
      <c r="AW1912" s="4">
        <v>42415</v>
      </c>
      <c r="BD1912">
        <v>0</v>
      </c>
      <c r="BN1912" t="s">
        <v>74</v>
      </c>
    </row>
    <row r="1913" spans="1:66" hidden="1">
      <c r="A1913">
        <v>100695</v>
      </c>
      <c r="B1913" s="3" t="s">
        <v>227</v>
      </c>
      <c r="C1913" s="1">
        <v>43300101</v>
      </c>
      <c r="D1913" t="s">
        <v>67</v>
      </c>
      <c r="H1913" t="str">
        <f t="shared" si="198"/>
        <v>00721920155</v>
      </c>
      <c r="I1913" t="str">
        <f t="shared" si="198"/>
        <v>00721920155</v>
      </c>
      <c r="K1913" t="str">
        <f>""</f>
        <v/>
      </c>
      <c r="M1913" t="s">
        <v>68</v>
      </c>
      <c r="N1913" t="str">
        <f t="shared" si="197"/>
        <v>FOR</v>
      </c>
      <c r="O1913" t="s">
        <v>69</v>
      </c>
      <c r="P1913" s="3" t="s">
        <v>70</v>
      </c>
      <c r="Q1913">
        <v>2015</v>
      </c>
      <c r="R1913" s="2">
        <v>42075</v>
      </c>
      <c r="S1913" s="2">
        <v>42094</v>
      </c>
      <c r="T1913" s="2">
        <v>42094</v>
      </c>
      <c r="U1913" s="2">
        <v>42154</v>
      </c>
      <c r="V1913" t="s">
        <v>71</v>
      </c>
      <c r="W1913" t="str">
        <f>"          5840102863"</f>
        <v xml:space="preserve">          5840102863</v>
      </c>
      <c r="X1913">
        <v>119.6</v>
      </c>
      <c r="Y1913">
        <v>0</v>
      </c>
      <c r="Z1913"/>
      <c r="AB1913"/>
      <c r="AC1913">
        <v>115</v>
      </c>
      <c r="AD1913">
        <v>261</v>
      </c>
      <c r="AE1913" s="1">
        <v>30015</v>
      </c>
      <c r="AF1913">
        <v>0</v>
      </c>
      <c r="AJ1913">
        <v>0</v>
      </c>
      <c r="AK1913">
        <v>0</v>
      </c>
      <c r="AL1913">
        <v>0</v>
      </c>
      <c r="AM1913">
        <v>0</v>
      </c>
      <c r="AN1913">
        <v>0</v>
      </c>
      <c r="AO1913">
        <v>0</v>
      </c>
      <c r="AP1913" s="2">
        <v>42746</v>
      </c>
      <c r="AQ1913" t="s">
        <v>72</v>
      </c>
      <c r="AR1913" t="s">
        <v>72</v>
      </c>
      <c r="AS1913">
        <v>386</v>
      </c>
      <c r="AT1913" s="4">
        <v>42415</v>
      </c>
      <c r="AU1913" t="s">
        <v>73</v>
      </c>
      <c r="AV1913">
        <v>386</v>
      </c>
      <c r="AW1913" s="4">
        <v>42415</v>
      </c>
      <c r="BD1913">
        <v>0</v>
      </c>
      <c r="BN1913" t="s">
        <v>74</v>
      </c>
    </row>
    <row r="1914" spans="1:66" hidden="1">
      <c r="A1914">
        <v>100695</v>
      </c>
      <c r="B1914" s="3" t="s">
        <v>227</v>
      </c>
      <c r="C1914" s="1">
        <v>43300101</v>
      </c>
      <c r="D1914" t="s">
        <v>67</v>
      </c>
      <c r="H1914" t="str">
        <f t="shared" si="198"/>
        <v>00721920155</v>
      </c>
      <c r="I1914" t="str">
        <f t="shared" si="198"/>
        <v>00721920155</v>
      </c>
      <c r="K1914" t="str">
        <f>""</f>
        <v/>
      </c>
      <c r="M1914" t="s">
        <v>68</v>
      </c>
      <c r="N1914" t="str">
        <f t="shared" si="197"/>
        <v>FOR</v>
      </c>
      <c r="O1914" t="s">
        <v>69</v>
      </c>
      <c r="P1914" s="3" t="s">
        <v>70</v>
      </c>
      <c r="Q1914">
        <v>2015</v>
      </c>
      <c r="R1914" s="2">
        <v>42081</v>
      </c>
      <c r="S1914" s="2">
        <v>42094</v>
      </c>
      <c r="T1914" s="2">
        <v>42094</v>
      </c>
      <c r="U1914" s="2">
        <v>42154</v>
      </c>
      <c r="V1914" t="s">
        <v>71</v>
      </c>
      <c r="W1914" t="str">
        <f>"          5840103135"</f>
        <v xml:space="preserve">          5840103135</v>
      </c>
      <c r="X1914">
        <v>119.6</v>
      </c>
      <c r="Y1914">
        <v>0</v>
      </c>
      <c r="Z1914"/>
      <c r="AB1914"/>
      <c r="AC1914">
        <v>115</v>
      </c>
      <c r="AD1914">
        <v>261</v>
      </c>
      <c r="AE1914" s="1">
        <v>30015</v>
      </c>
      <c r="AF1914">
        <v>0</v>
      </c>
      <c r="AJ1914">
        <v>0</v>
      </c>
      <c r="AK1914">
        <v>0</v>
      </c>
      <c r="AL1914">
        <v>0</v>
      </c>
      <c r="AM1914">
        <v>0</v>
      </c>
      <c r="AN1914">
        <v>0</v>
      </c>
      <c r="AO1914">
        <v>0</v>
      </c>
      <c r="AP1914" s="2">
        <v>42746</v>
      </c>
      <c r="AQ1914" t="s">
        <v>72</v>
      </c>
      <c r="AR1914" t="s">
        <v>72</v>
      </c>
      <c r="AS1914">
        <v>386</v>
      </c>
      <c r="AT1914" s="4">
        <v>42415</v>
      </c>
      <c r="AU1914" t="s">
        <v>73</v>
      </c>
      <c r="AV1914">
        <v>386</v>
      </c>
      <c r="AW1914" s="4">
        <v>42415</v>
      </c>
      <c r="BD1914">
        <v>0</v>
      </c>
      <c r="BN1914" t="s">
        <v>74</v>
      </c>
    </row>
    <row r="1915" spans="1:66" hidden="1">
      <c r="A1915">
        <v>100695</v>
      </c>
      <c r="B1915" s="3" t="s">
        <v>227</v>
      </c>
      <c r="C1915" s="1">
        <v>43300101</v>
      </c>
      <c r="D1915" t="s">
        <v>67</v>
      </c>
      <c r="H1915" t="str">
        <f t="shared" si="198"/>
        <v>00721920155</v>
      </c>
      <c r="I1915" t="str">
        <f t="shared" si="198"/>
        <v>00721920155</v>
      </c>
      <c r="K1915" t="str">
        <f>""</f>
        <v/>
      </c>
      <c r="M1915" t="s">
        <v>68</v>
      </c>
      <c r="N1915" t="str">
        <f t="shared" si="197"/>
        <v>FOR</v>
      </c>
      <c r="O1915" t="s">
        <v>69</v>
      </c>
      <c r="P1915" s="3" t="s">
        <v>70</v>
      </c>
      <c r="Q1915">
        <v>2015</v>
      </c>
      <c r="R1915" s="2">
        <v>42081</v>
      </c>
      <c r="S1915" s="2">
        <v>42094</v>
      </c>
      <c r="T1915" s="2">
        <v>42094</v>
      </c>
      <c r="U1915" s="2">
        <v>42154</v>
      </c>
      <c r="V1915" t="s">
        <v>71</v>
      </c>
      <c r="W1915" t="str">
        <f>"          5840103143"</f>
        <v xml:space="preserve">          5840103143</v>
      </c>
      <c r="X1915">
        <v>119.6</v>
      </c>
      <c r="Y1915">
        <v>0</v>
      </c>
      <c r="Z1915"/>
      <c r="AB1915"/>
      <c r="AC1915">
        <v>115</v>
      </c>
      <c r="AD1915">
        <v>261</v>
      </c>
      <c r="AE1915" s="1">
        <v>30015</v>
      </c>
      <c r="AF1915">
        <v>0</v>
      </c>
      <c r="AJ1915">
        <v>0</v>
      </c>
      <c r="AK1915">
        <v>0</v>
      </c>
      <c r="AL1915">
        <v>0</v>
      </c>
      <c r="AM1915">
        <v>0</v>
      </c>
      <c r="AN1915">
        <v>0</v>
      </c>
      <c r="AO1915">
        <v>0</v>
      </c>
      <c r="AP1915" s="2">
        <v>42746</v>
      </c>
      <c r="AQ1915" t="s">
        <v>72</v>
      </c>
      <c r="AR1915" t="s">
        <v>72</v>
      </c>
      <c r="AS1915">
        <v>386</v>
      </c>
      <c r="AT1915" s="4">
        <v>42415</v>
      </c>
      <c r="AU1915" t="s">
        <v>73</v>
      </c>
      <c r="AV1915">
        <v>386</v>
      </c>
      <c r="AW1915" s="4">
        <v>42415</v>
      </c>
      <c r="BD1915">
        <v>0</v>
      </c>
      <c r="BN1915" t="s">
        <v>74</v>
      </c>
    </row>
    <row r="1916" spans="1:66" hidden="1">
      <c r="A1916">
        <v>100695</v>
      </c>
      <c r="B1916" s="3" t="s">
        <v>227</v>
      </c>
      <c r="C1916" s="1">
        <v>43300101</v>
      </c>
      <c r="D1916" t="s">
        <v>67</v>
      </c>
      <c r="H1916" t="str">
        <f t="shared" si="198"/>
        <v>00721920155</v>
      </c>
      <c r="I1916" t="str">
        <f t="shared" si="198"/>
        <v>00721920155</v>
      </c>
      <c r="K1916" t="str">
        <f>""</f>
        <v/>
      </c>
      <c r="M1916" t="s">
        <v>68</v>
      </c>
      <c r="N1916" t="str">
        <f t="shared" si="197"/>
        <v>FOR</v>
      </c>
      <c r="O1916" t="s">
        <v>69</v>
      </c>
      <c r="P1916" s="3" t="s">
        <v>70</v>
      </c>
      <c r="Q1916">
        <v>2015</v>
      </c>
      <c r="R1916" s="2">
        <v>42081</v>
      </c>
      <c r="S1916" s="2">
        <v>42094</v>
      </c>
      <c r="T1916" s="2">
        <v>42094</v>
      </c>
      <c r="U1916" s="2">
        <v>42154</v>
      </c>
      <c r="V1916" t="s">
        <v>71</v>
      </c>
      <c r="W1916" t="str">
        <f>"          5840103145"</f>
        <v xml:space="preserve">          5840103145</v>
      </c>
      <c r="X1916">
        <v>119.6</v>
      </c>
      <c r="Y1916">
        <v>0</v>
      </c>
      <c r="Z1916"/>
      <c r="AB1916"/>
      <c r="AC1916">
        <v>115</v>
      </c>
      <c r="AD1916">
        <v>261</v>
      </c>
      <c r="AE1916" s="1">
        <v>30015</v>
      </c>
      <c r="AF1916">
        <v>0</v>
      </c>
      <c r="AJ1916">
        <v>0</v>
      </c>
      <c r="AK1916">
        <v>0</v>
      </c>
      <c r="AL1916">
        <v>0</v>
      </c>
      <c r="AM1916">
        <v>0</v>
      </c>
      <c r="AN1916">
        <v>0</v>
      </c>
      <c r="AO1916">
        <v>0</v>
      </c>
      <c r="AP1916" s="2">
        <v>42746</v>
      </c>
      <c r="AQ1916" t="s">
        <v>72</v>
      </c>
      <c r="AR1916" t="s">
        <v>72</v>
      </c>
      <c r="AS1916">
        <v>386</v>
      </c>
      <c r="AT1916" s="4">
        <v>42415</v>
      </c>
      <c r="AU1916" t="s">
        <v>73</v>
      </c>
      <c r="AV1916">
        <v>386</v>
      </c>
      <c r="AW1916" s="4">
        <v>42415</v>
      </c>
      <c r="BD1916">
        <v>0</v>
      </c>
      <c r="BN1916" t="s">
        <v>74</v>
      </c>
    </row>
    <row r="1917" spans="1:66" hidden="1">
      <c r="A1917">
        <v>100695</v>
      </c>
      <c r="B1917" s="3" t="s">
        <v>227</v>
      </c>
      <c r="C1917" s="1">
        <v>43300101</v>
      </c>
      <c r="D1917" t="s">
        <v>67</v>
      </c>
      <c r="H1917" t="str">
        <f t="shared" si="198"/>
        <v>00721920155</v>
      </c>
      <c r="I1917" t="str">
        <f t="shared" si="198"/>
        <v>00721920155</v>
      </c>
      <c r="K1917" t="str">
        <f>""</f>
        <v/>
      </c>
      <c r="M1917" t="s">
        <v>68</v>
      </c>
      <c r="N1917" t="str">
        <f t="shared" si="197"/>
        <v>FOR</v>
      </c>
      <c r="O1917" t="s">
        <v>69</v>
      </c>
      <c r="P1917" s="3" t="s">
        <v>70</v>
      </c>
      <c r="Q1917">
        <v>2015</v>
      </c>
      <c r="R1917" s="2">
        <v>42081</v>
      </c>
      <c r="S1917" s="2">
        <v>42094</v>
      </c>
      <c r="T1917" s="2">
        <v>42094</v>
      </c>
      <c r="U1917" s="2">
        <v>42154</v>
      </c>
      <c r="V1917" t="s">
        <v>71</v>
      </c>
      <c r="W1917" t="str">
        <f>"          5840103147"</f>
        <v xml:space="preserve">          5840103147</v>
      </c>
      <c r="X1917">
        <v>119.6</v>
      </c>
      <c r="Y1917">
        <v>0</v>
      </c>
      <c r="Z1917"/>
      <c r="AB1917"/>
      <c r="AC1917">
        <v>115</v>
      </c>
      <c r="AD1917">
        <v>261</v>
      </c>
      <c r="AE1917" s="1">
        <v>30015</v>
      </c>
      <c r="AF1917">
        <v>0</v>
      </c>
      <c r="AJ1917">
        <v>0</v>
      </c>
      <c r="AK1917">
        <v>0</v>
      </c>
      <c r="AL1917">
        <v>0</v>
      </c>
      <c r="AM1917">
        <v>0</v>
      </c>
      <c r="AN1917">
        <v>0</v>
      </c>
      <c r="AO1917">
        <v>0</v>
      </c>
      <c r="AP1917" s="2">
        <v>42746</v>
      </c>
      <c r="AQ1917" t="s">
        <v>72</v>
      </c>
      <c r="AR1917" t="s">
        <v>72</v>
      </c>
      <c r="AS1917">
        <v>386</v>
      </c>
      <c r="AT1917" s="4">
        <v>42415</v>
      </c>
      <c r="AU1917" t="s">
        <v>73</v>
      </c>
      <c r="AV1917">
        <v>386</v>
      </c>
      <c r="AW1917" s="4">
        <v>42415</v>
      </c>
      <c r="BD1917">
        <v>0</v>
      </c>
      <c r="BN1917" t="s">
        <v>74</v>
      </c>
    </row>
    <row r="1918" spans="1:66" hidden="1">
      <c r="A1918">
        <v>100695</v>
      </c>
      <c r="B1918" s="3" t="s">
        <v>227</v>
      </c>
      <c r="C1918" s="1">
        <v>43300101</v>
      </c>
      <c r="D1918" t="s">
        <v>67</v>
      </c>
      <c r="H1918" t="str">
        <f t="shared" si="198"/>
        <v>00721920155</v>
      </c>
      <c r="I1918" t="str">
        <f t="shared" si="198"/>
        <v>00721920155</v>
      </c>
      <c r="K1918" t="str">
        <f>""</f>
        <v/>
      </c>
      <c r="M1918" t="s">
        <v>68</v>
      </c>
      <c r="N1918" t="str">
        <f t="shared" si="197"/>
        <v>FOR</v>
      </c>
      <c r="O1918" t="s">
        <v>69</v>
      </c>
      <c r="P1918" s="3" t="s">
        <v>70</v>
      </c>
      <c r="Q1918">
        <v>2015</v>
      </c>
      <c r="R1918" s="2">
        <v>42087</v>
      </c>
      <c r="S1918" s="2">
        <v>42097</v>
      </c>
      <c r="T1918" s="2">
        <v>42097</v>
      </c>
      <c r="U1918" s="2">
        <v>42157</v>
      </c>
      <c r="V1918" t="s">
        <v>71</v>
      </c>
      <c r="W1918" t="str">
        <f>"          5840103477"</f>
        <v xml:space="preserve">          5840103477</v>
      </c>
      <c r="X1918">
        <v>119.6</v>
      </c>
      <c r="Y1918">
        <v>0</v>
      </c>
      <c r="Z1918"/>
      <c r="AB1918"/>
      <c r="AC1918">
        <v>115</v>
      </c>
      <c r="AD1918">
        <v>258</v>
      </c>
      <c r="AE1918" s="1">
        <v>29670</v>
      </c>
      <c r="AF1918">
        <v>0</v>
      </c>
      <c r="AJ1918">
        <v>0</v>
      </c>
      <c r="AK1918">
        <v>0</v>
      </c>
      <c r="AL1918">
        <v>0</v>
      </c>
      <c r="AM1918">
        <v>0</v>
      </c>
      <c r="AN1918">
        <v>0</v>
      </c>
      <c r="AO1918">
        <v>0</v>
      </c>
      <c r="AP1918" s="2">
        <v>42746</v>
      </c>
      <c r="AQ1918" t="s">
        <v>72</v>
      </c>
      <c r="AR1918" t="s">
        <v>72</v>
      </c>
      <c r="AS1918">
        <v>386</v>
      </c>
      <c r="AT1918" s="4">
        <v>42415</v>
      </c>
      <c r="AU1918" t="s">
        <v>73</v>
      </c>
      <c r="AV1918">
        <v>386</v>
      </c>
      <c r="AW1918" s="4">
        <v>42415</v>
      </c>
      <c r="BD1918">
        <v>0</v>
      </c>
      <c r="BN1918" t="s">
        <v>74</v>
      </c>
    </row>
    <row r="1919" spans="1:66" hidden="1">
      <c r="A1919">
        <v>100695</v>
      </c>
      <c r="B1919" s="3" t="s">
        <v>227</v>
      </c>
      <c r="C1919" s="1">
        <v>43300101</v>
      </c>
      <c r="D1919" t="s">
        <v>67</v>
      </c>
      <c r="H1919" t="str">
        <f t="shared" si="198"/>
        <v>00721920155</v>
      </c>
      <c r="I1919" t="str">
        <f t="shared" si="198"/>
        <v>00721920155</v>
      </c>
      <c r="K1919" t="str">
        <f>""</f>
        <v/>
      </c>
      <c r="M1919" t="s">
        <v>68</v>
      </c>
      <c r="N1919" t="str">
        <f t="shared" si="197"/>
        <v>FOR</v>
      </c>
      <c r="O1919" t="s">
        <v>69</v>
      </c>
      <c r="P1919" s="3" t="s">
        <v>70</v>
      </c>
      <c r="Q1919">
        <v>2015</v>
      </c>
      <c r="R1919" s="2">
        <v>42087</v>
      </c>
      <c r="S1919" s="2">
        <v>42097</v>
      </c>
      <c r="T1919" s="2">
        <v>42097</v>
      </c>
      <c r="U1919" s="2">
        <v>42157</v>
      </c>
      <c r="V1919" t="s">
        <v>71</v>
      </c>
      <c r="W1919" t="str">
        <f>"          5840103478"</f>
        <v xml:space="preserve">          5840103478</v>
      </c>
      <c r="X1919">
        <v>119.6</v>
      </c>
      <c r="Y1919">
        <v>0</v>
      </c>
      <c r="Z1919"/>
      <c r="AB1919"/>
      <c r="AC1919">
        <v>115</v>
      </c>
      <c r="AD1919">
        <v>258</v>
      </c>
      <c r="AE1919" s="1">
        <v>29670</v>
      </c>
      <c r="AF1919">
        <v>0</v>
      </c>
      <c r="AJ1919">
        <v>0</v>
      </c>
      <c r="AK1919">
        <v>0</v>
      </c>
      <c r="AL1919">
        <v>0</v>
      </c>
      <c r="AM1919">
        <v>0</v>
      </c>
      <c r="AN1919">
        <v>0</v>
      </c>
      <c r="AO1919">
        <v>0</v>
      </c>
      <c r="AP1919" s="2">
        <v>42746</v>
      </c>
      <c r="AQ1919" t="s">
        <v>72</v>
      </c>
      <c r="AR1919" t="s">
        <v>72</v>
      </c>
      <c r="AS1919">
        <v>386</v>
      </c>
      <c r="AT1919" s="4">
        <v>42415</v>
      </c>
      <c r="AU1919" t="s">
        <v>73</v>
      </c>
      <c r="AV1919">
        <v>386</v>
      </c>
      <c r="AW1919" s="4">
        <v>42415</v>
      </c>
      <c r="BD1919">
        <v>0</v>
      </c>
      <c r="BN1919" t="s">
        <v>74</v>
      </c>
    </row>
    <row r="1920" spans="1:66" hidden="1">
      <c r="A1920">
        <v>100695</v>
      </c>
      <c r="B1920" s="3" t="s">
        <v>227</v>
      </c>
      <c r="C1920" s="1">
        <v>43300101</v>
      </c>
      <c r="D1920" t="s">
        <v>67</v>
      </c>
      <c r="H1920" t="str">
        <f t="shared" si="198"/>
        <v>00721920155</v>
      </c>
      <c r="I1920" t="str">
        <f t="shared" si="198"/>
        <v>00721920155</v>
      </c>
      <c r="K1920" t="str">
        <f>""</f>
        <v/>
      </c>
      <c r="M1920" t="s">
        <v>68</v>
      </c>
      <c r="N1920" t="str">
        <f t="shared" si="197"/>
        <v>FOR</v>
      </c>
      <c r="O1920" t="s">
        <v>69</v>
      </c>
      <c r="P1920" s="3" t="s">
        <v>70</v>
      </c>
      <c r="Q1920">
        <v>2015</v>
      </c>
      <c r="R1920" s="2">
        <v>42087</v>
      </c>
      <c r="S1920" s="2">
        <v>42097</v>
      </c>
      <c r="T1920" s="2">
        <v>42097</v>
      </c>
      <c r="U1920" s="2">
        <v>42157</v>
      </c>
      <c r="V1920" t="s">
        <v>71</v>
      </c>
      <c r="W1920" t="str">
        <f>"          5840103483"</f>
        <v xml:space="preserve">          5840103483</v>
      </c>
      <c r="X1920">
        <v>119.6</v>
      </c>
      <c r="Y1920">
        <v>0</v>
      </c>
      <c r="Z1920"/>
      <c r="AB1920"/>
      <c r="AC1920">
        <v>115</v>
      </c>
      <c r="AD1920">
        <v>258</v>
      </c>
      <c r="AE1920" s="1">
        <v>29670</v>
      </c>
      <c r="AF1920">
        <v>0</v>
      </c>
      <c r="AJ1920">
        <v>0</v>
      </c>
      <c r="AK1920">
        <v>0</v>
      </c>
      <c r="AL1920">
        <v>0</v>
      </c>
      <c r="AM1920">
        <v>0</v>
      </c>
      <c r="AN1920">
        <v>0</v>
      </c>
      <c r="AO1920">
        <v>0</v>
      </c>
      <c r="AP1920" s="2">
        <v>42746</v>
      </c>
      <c r="AQ1920" t="s">
        <v>72</v>
      </c>
      <c r="AR1920" t="s">
        <v>72</v>
      </c>
      <c r="AS1920">
        <v>386</v>
      </c>
      <c r="AT1920" s="4">
        <v>42415</v>
      </c>
      <c r="AU1920" t="s">
        <v>73</v>
      </c>
      <c r="AV1920">
        <v>386</v>
      </c>
      <c r="AW1920" s="4">
        <v>42415</v>
      </c>
      <c r="BD1920">
        <v>0</v>
      </c>
      <c r="BN1920" t="s">
        <v>74</v>
      </c>
    </row>
    <row r="1921" spans="1:66" hidden="1">
      <c r="A1921">
        <v>100695</v>
      </c>
      <c r="B1921" s="3" t="s">
        <v>227</v>
      </c>
      <c r="C1921" s="1">
        <v>43300101</v>
      </c>
      <c r="D1921" t="s">
        <v>67</v>
      </c>
      <c r="H1921" t="str">
        <f t="shared" si="198"/>
        <v>00721920155</v>
      </c>
      <c r="I1921" t="str">
        <f t="shared" si="198"/>
        <v>00721920155</v>
      </c>
      <c r="K1921" t="str">
        <f>""</f>
        <v/>
      </c>
      <c r="M1921" t="s">
        <v>68</v>
      </c>
      <c r="N1921" t="str">
        <f t="shared" si="197"/>
        <v>FOR</v>
      </c>
      <c r="O1921" t="s">
        <v>69</v>
      </c>
      <c r="P1921" s="3" t="s">
        <v>70</v>
      </c>
      <c r="Q1921">
        <v>2015</v>
      </c>
      <c r="R1921" s="2">
        <v>42087</v>
      </c>
      <c r="S1921" s="2">
        <v>42097</v>
      </c>
      <c r="T1921" s="2">
        <v>42097</v>
      </c>
      <c r="U1921" s="2">
        <v>42157</v>
      </c>
      <c r="V1921" t="s">
        <v>71</v>
      </c>
      <c r="W1921" t="str">
        <f>"          5840103489"</f>
        <v xml:space="preserve">          5840103489</v>
      </c>
      <c r="X1921">
        <v>119.6</v>
      </c>
      <c r="Y1921">
        <v>0</v>
      </c>
      <c r="Z1921"/>
      <c r="AB1921"/>
      <c r="AC1921">
        <v>115</v>
      </c>
      <c r="AD1921">
        <v>258</v>
      </c>
      <c r="AE1921" s="1">
        <v>29670</v>
      </c>
      <c r="AF1921">
        <v>0</v>
      </c>
      <c r="AJ1921">
        <v>0</v>
      </c>
      <c r="AK1921">
        <v>0</v>
      </c>
      <c r="AL1921">
        <v>0</v>
      </c>
      <c r="AM1921">
        <v>0</v>
      </c>
      <c r="AN1921">
        <v>0</v>
      </c>
      <c r="AO1921">
        <v>0</v>
      </c>
      <c r="AP1921" s="2">
        <v>42746</v>
      </c>
      <c r="AQ1921" t="s">
        <v>72</v>
      </c>
      <c r="AR1921" t="s">
        <v>72</v>
      </c>
      <c r="AS1921">
        <v>386</v>
      </c>
      <c r="AT1921" s="4">
        <v>42415</v>
      </c>
      <c r="AU1921" t="s">
        <v>73</v>
      </c>
      <c r="AV1921">
        <v>386</v>
      </c>
      <c r="AW1921" s="4">
        <v>42415</v>
      </c>
      <c r="BD1921">
        <v>0</v>
      </c>
      <c r="BN1921" t="s">
        <v>74</v>
      </c>
    </row>
    <row r="1922" spans="1:66" hidden="1">
      <c r="A1922">
        <v>100695</v>
      </c>
      <c r="B1922" s="3" t="s">
        <v>227</v>
      </c>
      <c r="C1922" s="1">
        <v>43300101</v>
      </c>
      <c r="D1922" t="s">
        <v>67</v>
      </c>
      <c r="H1922" t="str">
        <f t="shared" si="198"/>
        <v>00721920155</v>
      </c>
      <c r="I1922" t="str">
        <f t="shared" si="198"/>
        <v>00721920155</v>
      </c>
      <c r="K1922" t="str">
        <f>""</f>
        <v/>
      </c>
      <c r="M1922" t="s">
        <v>68</v>
      </c>
      <c r="N1922" t="str">
        <f t="shared" si="197"/>
        <v>FOR</v>
      </c>
      <c r="O1922" t="s">
        <v>69</v>
      </c>
      <c r="P1922" s="3" t="s">
        <v>70</v>
      </c>
      <c r="Q1922">
        <v>2015</v>
      </c>
      <c r="R1922" s="2">
        <v>42089</v>
      </c>
      <c r="S1922" s="2">
        <v>42110</v>
      </c>
      <c r="T1922" s="2">
        <v>42110</v>
      </c>
      <c r="U1922" s="2">
        <v>42170</v>
      </c>
      <c r="V1922" t="s">
        <v>71</v>
      </c>
      <c r="W1922" t="str">
        <f>"          5840103630"</f>
        <v xml:space="preserve">          5840103630</v>
      </c>
      <c r="X1922">
        <v>119.6</v>
      </c>
      <c r="Y1922">
        <v>0</v>
      </c>
      <c r="Z1922"/>
      <c r="AB1922"/>
      <c r="AC1922">
        <v>115</v>
      </c>
      <c r="AD1922">
        <v>245</v>
      </c>
      <c r="AE1922" s="1">
        <v>28175</v>
      </c>
      <c r="AF1922">
        <v>0</v>
      </c>
      <c r="AJ1922">
        <v>0</v>
      </c>
      <c r="AK1922">
        <v>0</v>
      </c>
      <c r="AL1922">
        <v>0</v>
      </c>
      <c r="AM1922">
        <v>0</v>
      </c>
      <c r="AN1922">
        <v>0</v>
      </c>
      <c r="AO1922">
        <v>0</v>
      </c>
      <c r="AP1922" s="2">
        <v>42746</v>
      </c>
      <c r="AQ1922" t="s">
        <v>72</v>
      </c>
      <c r="AR1922" t="s">
        <v>72</v>
      </c>
      <c r="AS1922">
        <v>386</v>
      </c>
      <c r="AT1922" s="4">
        <v>42415</v>
      </c>
      <c r="AU1922" t="s">
        <v>73</v>
      </c>
      <c r="AV1922">
        <v>386</v>
      </c>
      <c r="AW1922" s="4">
        <v>42415</v>
      </c>
      <c r="BD1922">
        <v>0</v>
      </c>
      <c r="BN1922" t="s">
        <v>74</v>
      </c>
    </row>
    <row r="1923" spans="1:66" hidden="1">
      <c r="A1923">
        <v>100695</v>
      </c>
      <c r="B1923" s="3" t="s">
        <v>227</v>
      </c>
      <c r="C1923" s="1">
        <v>43300101</v>
      </c>
      <c r="D1923" t="s">
        <v>67</v>
      </c>
      <c r="H1923" t="str">
        <f t="shared" si="198"/>
        <v>00721920155</v>
      </c>
      <c r="I1923" t="str">
        <f t="shared" si="198"/>
        <v>00721920155</v>
      </c>
      <c r="K1923" t="str">
        <f>""</f>
        <v/>
      </c>
      <c r="M1923" t="s">
        <v>68</v>
      </c>
      <c r="N1923" t="str">
        <f t="shared" si="197"/>
        <v>FOR</v>
      </c>
      <c r="O1923" t="s">
        <v>69</v>
      </c>
      <c r="P1923" s="3" t="s">
        <v>70</v>
      </c>
      <c r="Q1923">
        <v>2015</v>
      </c>
      <c r="R1923" s="2">
        <v>42089</v>
      </c>
      <c r="S1923" s="2">
        <v>42110</v>
      </c>
      <c r="T1923" s="2">
        <v>42110</v>
      </c>
      <c r="U1923" s="2">
        <v>42170</v>
      </c>
      <c r="V1923" t="s">
        <v>71</v>
      </c>
      <c r="W1923" t="str">
        <f>"          5840103636"</f>
        <v xml:space="preserve">          5840103636</v>
      </c>
      <c r="X1923">
        <v>119.6</v>
      </c>
      <c r="Y1923">
        <v>0</v>
      </c>
      <c r="Z1923"/>
      <c r="AB1923"/>
      <c r="AC1923">
        <v>115</v>
      </c>
      <c r="AD1923">
        <v>357</v>
      </c>
      <c r="AE1923" s="1">
        <v>41055</v>
      </c>
      <c r="AF1923">
        <v>0</v>
      </c>
      <c r="AJ1923">
        <v>0</v>
      </c>
      <c r="AK1923">
        <v>0</v>
      </c>
      <c r="AL1923">
        <v>0</v>
      </c>
      <c r="AM1923">
        <v>0</v>
      </c>
      <c r="AN1923">
        <v>0</v>
      </c>
      <c r="AO1923">
        <v>0</v>
      </c>
      <c r="AP1923" s="2">
        <v>42746</v>
      </c>
      <c r="AQ1923" t="s">
        <v>72</v>
      </c>
      <c r="AR1923" t="s">
        <v>72</v>
      </c>
      <c r="AS1923">
        <v>1502</v>
      </c>
      <c r="AT1923" s="4">
        <v>42527</v>
      </c>
      <c r="AU1923" t="s">
        <v>73</v>
      </c>
      <c r="AV1923">
        <v>1502</v>
      </c>
      <c r="AW1923" s="4">
        <v>42527</v>
      </c>
      <c r="BD1923">
        <v>0</v>
      </c>
      <c r="BN1923" t="s">
        <v>74</v>
      </c>
    </row>
    <row r="1924" spans="1:66" hidden="1">
      <c r="A1924">
        <v>100695</v>
      </c>
      <c r="B1924" s="3" t="s">
        <v>227</v>
      </c>
      <c r="C1924" s="1">
        <v>43300101</v>
      </c>
      <c r="D1924" t="s">
        <v>67</v>
      </c>
      <c r="H1924" t="str">
        <f t="shared" si="198"/>
        <v>00721920155</v>
      </c>
      <c r="I1924" t="str">
        <f t="shared" si="198"/>
        <v>00721920155</v>
      </c>
      <c r="K1924" t="str">
        <f>""</f>
        <v/>
      </c>
      <c r="M1924" t="s">
        <v>68</v>
      </c>
      <c r="N1924" t="str">
        <f t="shared" si="197"/>
        <v>FOR</v>
      </c>
      <c r="O1924" t="s">
        <v>69</v>
      </c>
      <c r="P1924" s="3" t="s">
        <v>75</v>
      </c>
      <c r="Q1924">
        <v>2015</v>
      </c>
      <c r="R1924" s="2">
        <v>42094</v>
      </c>
      <c r="S1924" s="2">
        <v>42117</v>
      </c>
      <c r="T1924" s="2">
        <v>42115</v>
      </c>
      <c r="U1924" s="2">
        <v>42175</v>
      </c>
      <c r="V1924" t="s">
        <v>71</v>
      </c>
      <c r="W1924" t="str">
        <f>"          5840104032"</f>
        <v xml:space="preserve">          5840104032</v>
      </c>
      <c r="X1924">
        <v>885.72</v>
      </c>
      <c r="Y1924">
        <v>0</v>
      </c>
      <c r="Z1924"/>
      <c r="AB1924"/>
      <c r="AC1924">
        <v>726</v>
      </c>
      <c r="AD1924">
        <v>233</v>
      </c>
      <c r="AE1924" s="1">
        <v>169158</v>
      </c>
      <c r="AF1924">
        <v>0</v>
      </c>
      <c r="AJ1924">
        <v>0</v>
      </c>
      <c r="AK1924">
        <v>0</v>
      </c>
      <c r="AL1924">
        <v>0</v>
      </c>
      <c r="AM1924">
        <v>0</v>
      </c>
      <c r="AN1924">
        <v>0</v>
      </c>
      <c r="AO1924">
        <v>0</v>
      </c>
      <c r="AP1924" s="2">
        <v>42746</v>
      </c>
      <c r="AQ1924" t="s">
        <v>72</v>
      </c>
      <c r="AR1924" t="s">
        <v>72</v>
      </c>
      <c r="AS1924">
        <v>315</v>
      </c>
      <c r="AT1924" s="4">
        <v>42408</v>
      </c>
      <c r="AU1924" t="s">
        <v>73</v>
      </c>
      <c r="AV1924">
        <v>315</v>
      </c>
      <c r="AW1924" s="4">
        <v>42408</v>
      </c>
      <c r="BD1924">
        <v>0</v>
      </c>
      <c r="BN1924" t="s">
        <v>74</v>
      </c>
    </row>
    <row r="1925" spans="1:66" hidden="1">
      <c r="A1925">
        <v>100695</v>
      </c>
      <c r="B1925" s="3" t="s">
        <v>227</v>
      </c>
      <c r="C1925" s="1">
        <v>43300101</v>
      </c>
      <c r="D1925" t="s">
        <v>67</v>
      </c>
      <c r="H1925" t="str">
        <f t="shared" si="198"/>
        <v>00721920155</v>
      </c>
      <c r="I1925" t="str">
        <f t="shared" si="198"/>
        <v>00721920155</v>
      </c>
      <c r="K1925" t="str">
        <f>""</f>
        <v/>
      </c>
      <c r="M1925" t="s">
        <v>68</v>
      </c>
      <c r="N1925" t="str">
        <f t="shared" si="197"/>
        <v>FOR</v>
      </c>
      <c r="O1925" t="s">
        <v>69</v>
      </c>
      <c r="P1925" s="3" t="s">
        <v>75</v>
      </c>
      <c r="Q1925">
        <v>2015</v>
      </c>
      <c r="R1925" s="2">
        <v>42095</v>
      </c>
      <c r="S1925" s="2">
        <v>42108</v>
      </c>
      <c r="T1925" s="2">
        <v>42107</v>
      </c>
      <c r="U1925" s="2">
        <v>42167</v>
      </c>
      <c r="V1925" t="s">
        <v>71</v>
      </c>
      <c r="W1925" t="str">
        <f>"          5840104088"</f>
        <v xml:space="preserve">          5840104088</v>
      </c>
      <c r="X1925">
        <v>119.6</v>
      </c>
      <c r="Y1925">
        <v>0</v>
      </c>
      <c r="Z1925"/>
      <c r="AB1925"/>
      <c r="AC1925">
        <v>115</v>
      </c>
      <c r="AD1925">
        <v>285</v>
      </c>
      <c r="AE1925" s="1">
        <v>32775</v>
      </c>
      <c r="AF1925">
        <v>0</v>
      </c>
      <c r="AJ1925">
        <v>0</v>
      </c>
      <c r="AK1925">
        <v>0</v>
      </c>
      <c r="AL1925">
        <v>0</v>
      </c>
      <c r="AM1925">
        <v>0</v>
      </c>
      <c r="AN1925">
        <v>0</v>
      </c>
      <c r="AO1925">
        <v>0</v>
      </c>
      <c r="AP1925" s="2">
        <v>42746</v>
      </c>
      <c r="AQ1925" t="s">
        <v>72</v>
      </c>
      <c r="AR1925" t="s">
        <v>72</v>
      </c>
      <c r="AS1925">
        <v>757</v>
      </c>
      <c r="AT1925" s="4">
        <v>42452</v>
      </c>
      <c r="AU1925" t="s">
        <v>73</v>
      </c>
      <c r="AV1925">
        <v>757</v>
      </c>
      <c r="AW1925" s="4">
        <v>42452</v>
      </c>
      <c r="BD1925">
        <v>0</v>
      </c>
      <c r="BN1925" t="s">
        <v>74</v>
      </c>
    </row>
    <row r="1926" spans="1:66" hidden="1">
      <c r="A1926">
        <v>100695</v>
      </c>
      <c r="B1926" s="3" t="s">
        <v>227</v>
      </c>
      <c r="C1926" s="1">
        <v>43300101</v>
      </c>
      <c r="D1926" t="s">
        <v>67</v>
      </c>
      <c r="H1926" t="str">
        <f t="shared" si="198"/>
        <v>00721920155</v>
      </c>
      <c r="I1926" t="str">
        <f t="shared" si="198"/>
        <v>00721920155</v>
      </c>
      <c r="K1926" t="str">
        <f>""</f>
        <v/>
      </c>
      <c r="M1926" t="s">
        <v>68</v>
      </c>
      <c r="N1926" t="str">
        <f t="shared" si="197"/>
        <v>FOR</v>
      </c>
      <c r="O1926" t="s">
        <v>69</v>
      </c>
      <c r="P1926" s="3" t="s">
        <v>75</v>
      </c>
      <c r="Q1926">
        <v>2015</v>
      </c>
      <c r="R1926" s="2">
        <v>42095</v>
      </c>
      <c r="S1926" s="2">
        <v>42108</v>
      </c>
      <c r="T1926" s="2">
        <v>42107</v>
      </c>
      <c r="U1926" s="2">
        <v>42167</v>
      </c>
      <c r="V1926" t="s">
        <v>71</v>
      </c>
      <c r="W1926" t="str">
        <f>"          5840104095"</f>
        <v xml:space="preserve">          5840104095</v>
      </c>
      <c r="X1926">
        <v>119.6</v>
      </c>
      <c r="Y1926">
        <v>0</v>
      </c>
      <c r="Z1926"/>
      <c r="AB1926"/>
      <c r="AC1926">
        <v>115</v>
      </c>
      <c r="AD1926">
        <v>285</v>
      </c>
      <c r="AE1926" s="1">
        <v>32775</v>
      </c>
      <c r="AF1926">
        <v>0</v>
      </c>
      <c r="AJ1926">
        <v>0</v>
      </c>
      <c r="AK1926">
        <v>0</v>
      </c>
      <c r="AL1926">
        <v>0</v>
      </c>
      <c r="AM1926">
        <v>0</v>
      </c>
      <c r="AN1926">
        <v>0</v>
      </c>
      <c r="AO1926">
        <v>0</v>
      </c>
      <c r="AP1926" s="2">
        <v>42746</v>
      </c>
      <c r="AQ1926" t="s">
        <v>72</v>
      </c>
      <c r="AR1926" t="s">
        <v>72</v>
      </c>
      <c r="AS1926">
        <v>757</v>
      </c>
      <c r="AT1926" s="4">
        <v>42452</v>
      </c>
      <c r="AU1926" t="s">
        <v>73</v>
      </c>
      <c r="AV1926">
        <v>757</v>
      </c>
      <c r="AW1926" s="4">
        <v>42452</v>
      </c>
      <c r="BD1926">
        <v>0</v>
      </c>
      <c r="BN1926" t="s">
        <v>74</v>
      </c>
    </row>
    <row r="1927" spans="1:66" hidden="1">
      <c r="A1927">
        <v>100695</v>
      </c>
      <c r="B1927" s="3" t="s">
        <v>227</v>
      </c>
      <c r="C1927" s="1">
        <v>43300101</v>
      </c>
      <c r="D1927" t="s">
        <v>67</v>
      </c>
      <c r="H1927" t="str">
        <f t="shared" si="198"/>
        <v>00721920155</v>
      </c>
      <c r="I1927" t="str">
        <f t="shared" si="198"/>
        <v>00721920155</v>
      </c>
      <c r="K1927" t="str">
        <f>""</f>
        <v/>
      </c>
      <c r="M1927" t="s">
        <v>68</v>
      </c>
      <c r="N1927" t="str">
        <f t="shared" si="197"/>
        <v>FOR</v>
      </c>
      <c r="O1927" t="s">
        <v>69</v>
      </c>
      <c r="P1927" s="3" t="s">
        <v>75</v>
      </c>
      <c r="Q1927">
        <v>2015</v>
      </c>
      <c r="R1927" s="2">
        <v>42095</v>
      </c>
      <c r="S1927" s="2">
        <v>42108</v>
      </c>
      <c r="T1927" s="2">
        <v>42107</v>
      </c>
      <c r="U1927" s="2">
        <v>42167</v>
      </c>
      <c r="V1927" t="s">
        <v>71</v>
      </c>
      <c r="W1927" t="str">
        <f>"          5840104105"</f>
        <v xml:space="preserve">          5840104105</v>
      </c>
      <c r="X1927">
        <v>119.6</v>
      </c>
      <c r="Y1927">
        <v>0</v>
      </c>
      <c r="Z1927"/>
      <c r="AB1927"/>
      <c r="AC1927">
        <v>115</v>
      </c>
      <c r="AD1927">
        <v>285</v>
      </c>
      <c r="AE1927" s="1">
        <v>32775</v>
      </c>
      <c r="AF1927">
        <v>0</v>
      </c>
      <c r="AJ1927">
        <v>0</v>
      </c>
      <c r="AK1927">
        <v>0</v>
      </c>
      <c r="AL1927">
        <v>0</v>
      </c>
      <c r="AM1927">
        <v>0</v>
      </c>
      <c r="AN1927">
        <v>0</v>
      </c>
      <c r="AO1927">
        <v>0</v>
      </c>
      <c r="AP1927" s="2">
        <v>42746</v>
      </c>
      <c r="AQ1927" t="s">
        <v>72</v>
      </c>
      <c r="AR1927" t="s">
        <v>72</v>
      </c>
      <c r="AS1927">
        <v>757</v>
      </c>
      <c r="AT1927" s="4">
        <v>42452</v>
      </c>
      <c r="AU1927" t="s">
        <v>73</v>
      </c>
      <c r="AV1927">
        <v>757</v>
      </c>
      <c r="AW1927" s="4">
        <v>42452</v>
      </c>
      <c r="BD1927">
        <v>0</v>
      </c>
      <c r="BN1927" t="s">
        <v>74</v>
      </c>
    </row>
    <row r="1928" spans="1:66" hidden="1">
      <c r="A1928">
        <v>100695</v>
      </c>
      <c r="B1928" s="3" t="s">
        <v>227</v>
      </c>
      <c r="C1928" s="1">
        <v>43300101</v>
      </c>
      <c r="D1928" t="s">
        <v>67</v>
      </c>
      <c r="H1928" t="str">
        <f t="shared" si="198"/>
        <v>00721920155</v>
      </c>
      <c r="I1928" t="str">
        <f t="shared" si="198"/>
        <v>00721920155</v>
      </c>
      <c r="K1928" t="str">
        <f>""</f>
        <v/>
      </c>
      <c r="M1928" t="s">
        <v>68</v>
      </c>
      <c r="N1928" t="str">
        <f t="shared" si="197"/>
        <v>FOR</v>
      </c>
      <c r="O1928" t="s">
        <v>69</v>
      </c>
      <c r="P1928" s="3" t="s">
        <v>75</v>
      </c>
      <c r="Q1928">
        <v>2015</v>
      </c>
      <c r="R1928" s="2">
        <v>42096</v>
      </c>
      <c r="S1928" s="2">
        <v>42108</v>
      </c>
      <c r="T1928" s="2">
        <v>42107</v>
      </c>
      <c r="U1928" s="2">
        <v>42167</v>
      </c>
      <c r="V1928" t="s">
        <v>71</v>
      </c>
      <c r="W1928" t="str">
        <f>"          5840104138"</f>
        <v xml:space="preserve">          5840104138</v>
      </c>
      <c r="X1928">
        <v>119.6</v>
      </c>
      <c r="Y1928">
        <v>0</v>
      </c>
      <c r="Z1928"/>
      <c r="AB1928"/>
      <c r="AC1928">
        <v>115</v>
      </c>
      <c r="AD1928">
        <v>285</v>
      </c>
      <c r="AE1928" s="1">
        <v>32775</v>
      </c>
      <c r="AF1928">
        <v>0</v>
      </c>
      <c r="AJ1928">
        <v>0</v>
      </c>
      <c r="AK1928">
        <v>0</v>
      </c>
      <c r="AL1928">
        <v>0</v>
      </c>
      <c r="AM1928">
        <v>0</v>
      </c>
      <c r="AN1928">
        <v>0</v>
      </c>
      <c r="AO1928">
        <v>0</v>
      </c>
      <c r="AP1928" s="2">
        <v>42746</v>
      </c>
      <c r="AQ1928" t="s">
        <v>72</v>
      </c>
      <c r="AR1928" t="s">
        <v>72</v>
      </c>
      <c r="AS1928">
        <v>757</v>
      </c>
      <c r="AT1928" s="4">
        <v>42452</v>
      </c>
      <c r="AU1928" t="s">
        <v>73</v>
      </c>
      <c r="AV1928">
        <v>757</v>
      </c>
      <c r="AW1928" s="4">
        <v>42452</v>
      </c>
      <c r="BD1928">
        <v>0</v>
      </c>
      <c r="BN1928" t="s">
        <v>74</v>
      </c>
    </row>
    <row r="1929" spans="1:66" hidden="1">
      <c r="A1929">
        <v>100695</v>
      </c>
      <c r="B1929" s="3" t="s">
        <v>227</v>
      </c>
      <c r="C1929" s="1">
        <v>43300101</v>
      </c>
      <c r="D1929" t="s">
        <v>67</v>
      </c>
      <c r="H1929" t="str">
        <f t="shared" ref="H1929:I1948" si="199">"00721920155"</f>
        <v>00721920155</v>
      </c>
      <c r="I1929" t="str">
        <f t="shared" si="199"/>
        <v>00721920155</v>
      </c>
      <c r="K1929" t="str">
        <f>""</f>
        <v/>
      </c>
      <c r="M1929" t="s">
        <v>68</v>
      </c>
      <c r="N1929" t="str">
        <f t="shared" si="197"/>
        <v>FOR</v>
      </c>
      <c r="O1929" t="s">
        <v>69</v>
      </c>
      <c r="P1929" s="3" t="s">
        <v>75</v>
      </c>
      <c r="Q1929">
        <v>2015</v>
      </c>
      <c r="R1929" s="2">
        <v>42103</v>
      </c>
      <c r="S1929" s="2">
        <v>42128</v>
      </c>
      <c r="T1929" s="2">
        <v>42107</v>
      </c>
      <c r="U1929" s="2">
        <v>42167</v>
      </c>
      <c r="V1929" t="s">
        <v>71</v>
      </c>
      <c r="W1929" t="str">
        <f>"          5840104294"</f>
        <v xml:space="preserve">          5840104294</v>
      </c>
      <c r="X1929">
        <v>619.76</v>
      </c>
      <c r="Y1929">
        <v>0</v>
      </c>
      <c r="Z1929"/>
      <c r="AB1929"/>
      <c r="AC1929">
        <v>508</v>
      </c>
      <c r="AD1929">
        <v>249</v>
      </c>
      <c r="AE1929" s="1">
        <v>126492</v>
      </c>
      <c r="AF1929">
        <v>0</v>
      </c>
      <c r="AJ1929">
        <v>0</v>
      </c>
      <c r="AK1929">
        <v>0</v>
      </c>
      <c r="AL1929">
        <v>0</v>
      </c>
      <c r="AM1929">
        <v>0</v>
      </c>
      <c r="AN1929">
        <v>0</v>
      </c>
      <c r="AO1929">
        <v>0</v>
      </c>
      <c r="AP1929" s="2">
        <v>42746</v>
      </c>
      <c r="AQ1929" t="s">
        <v>72</v>
      </c>
      <c r="AR1929" t="s">
        <v>72</v>
      </c>
      <c r="AS1929">
        <v>425</v>
      </c>
      <c r="AT1929" s="4">
        <v>42416</v>
      </c>
      <c r="AU1929" t="s">
        <v>73</v>
      </c>
      <c r="AV1929">
        <v>425</v>
      </c>
      <c r="AW1929" s="4">
        <v>42416</v>
      </c>
      <c r="BD1929">
        <v>0</v>
      </c>
      <c r="BN1929" t="s">
        <v>74</v>
      </c>
    </row>
    <row r="1930" spans="1:66" hidden="1">
      <c r="A1930">
        <v>100695</v>
      </c>
      <c r="B1930" s="3" t="s">
        <v>227</v>
      </c>
      <c r="C1930" s="1">
        <v>43300101</v>
      </c>
      <c r="D1930" t="s">
        <v>67</v>
      </c>
      <c r="H1930" t="str">
        <f t="shared" si="199"/>
        <v>00721920155</v>
      </c>
      <c r="I1930" t="str">
        <f t="shared" si="199"/>
        <v>00721920155</v>
      </c>
      <c r="K1930" t="str">
        <f>""</f>
        <v/>
      </c>
      <c r="M1930" t="s">
        <v>68</v>
      </c>
      <c r="N1930" t="str">
        <f t="shared" si="197"/>
        <v>FOR</v>
      </c>
      <c r="O1930" t="s">
        <v>69</v>
      </c>
      <c r="P1930" s="3" t="s">
        <v>75</v>
      </c>
      <c r="Q1930">
        <v>2015</v>
      </c>
      <c r="R1930" s="2">
        <v>42109</v>
      </c>
      <c r="S1930" s="2">
        <v>42115</v>
      </c>
      <c r="T1930" s="2">
        <v>42113</v>
      </c>
      <c r="U1930" s="2">
        <v>42173</v>
      </c>
      <c r="V1930" t="s">
        <v>71</v>
      </c>
      <c r="W1930" t="str">
        <f>"          5840104468"</f>
        <v xml:space="preserve">          5840104468</v>
      </c>
      <c r="X1930">
        <v>119.6</v>
      </c>
      <c r="Y1930">
        <v>0</v>
      </c>
      <c r="Z1930"/>
      <c r="AB1930"/>
      <c r="AC1930">
        <v>115</v>
      </c>
      <c r="AD1930">
        <v>279</v>
      </c>
      <c r="AE1930" s="1">
        <v>32085</v>
      </c>
      <c r="AF1930">
        <v>0</v>
      </c>
      <c r="AJ1930">
        <v>0</v>
      </c>
      <c r="AK1930">
        <v>0</v>
      </c>
      <c r="AL1930">
        <v>0</v>
      </c>
      <c r="AM1930">
        <v>0</v>
      </c>
      <c r="AN1930">
        <v>0</v>
      </c>
      <c r="AO1930">
        <v>0</v>
      </c>
      <c r="AP1930" s="2">
        <v>42746</v>
      </c>
      <c r="AQ1930" t="s">
        <v>72</v>
      </c>
      <c r="AR1930" t="s">
        <v>72</v>
      </c>
      <c r="AS1930">
        <v>757</v>
      </c>
      <c r="AT1930" s="4">
        <v>42452</v>
      </c>
      <c r="AU1930" t="s">
        <v>73</v>
      </c>
      <c r="AV1930">
        <v>757</v>
      </c>
      <c r="AW1930" s="4">
        <v>42452</v>
      </c>
      <c r="BD1930">
        <v>0</v>
      </c>
      <c r="BN1930" t="s">
        <v>74</v>
      </c>
    </row>
    <row r="1931" spans="1:66" hidden="1">
      <c r="A1931">
        <v>100695</v>
      </c>
      <c r="B1931" s="3" t="s">
        <v>227</v>
      </c>
      <c r="C1931" s="1">
        <v>43300101</v>
      </c>
      <c r="D1931" t="s">
        <v>67</v>
      </c>
      <c r="H1931" t="str">
        <f t="shared" si="199"/>
        <v>00721920155</v>
      </c>
      <c r="I1931" t="str">
        <f t="shared" si="199"/>
        <v>00721920155</v>
      </c>
      <c r="K1931" t="str">
        <f>""</f>
        <v/>
      </c>
      <c r="M1931" t="s">
        <v>68</v>
      </c>
      <c r="N1931" t="str">
        <f t="shared" si="197"/>
        <v>FOR</v>
      </c>
      <c r="O1931" t="s">
        <v>69</v>
      </c>
      <c r="P1931" s="3" t="s">
        <v>75</v>
      </c>
      <c r="Q1931">
        <v>2015</v>
      </c>
      <c r="R1931" s="2">
        <v>42109</v>
      </c>
      <c r="S1931" s="2">
        <v>42115</v>
      </c>
      <c r="T1931" s="2">
        <v>42113</v>
      </c>
      <c r="U1931" s="2">
        <v>42173</v>
      </c>
      <c r="V1931" t="s">
        <v>71</v>
      </c>
      <c r="W1931" t="str">
        <f>"          5840104471"</f>
        <v xml:space="preserve">          5840104471</v>
      </c>
      <c r="X1931">
        <v>119.6</v>
      </c>
      <c r="Y1931">
        <v>0</v>
      </c>
      <c r="Z1931"/>
      <c r="AB1931"/>
      <c r="AC1931">
        <v>115</v>
      </c>
      <c r="AD1931">
        <v>279</v>
      </c>
      <c r="AE1931" s="1">
        <v>32085</v>
      </c>
      <c r="AF1931">
        <v>0</v>
      </c>
      <c r="AJ1931">
        <v>0</v>
      </c>
      <c r="AK1931">
        <v>0</v>
      </c>
      <c r="AL1931">
        <v>0</v>
      </c>
      <c r="AM1931">
        <v>0</v>
      </c>
      <c r="AN1931">
        <v>0</v>
      </c>
      <c r="AO1931">
        <v>0</v>
      </c>
      <c r="AP1931" s="2">
        <v>42746</v>
      </c>
      <c r="AQ1931" t="s">
        <v>72</v>
      </c>
      <c r="AR1931" t="s">
        <v>72</v>
      </c>
      <c r="AS1931">
        <v>757</v>
      </c>
      <c r="AT1931" s="4">
        <v>42452</v>
      </c>
      <c r="AU1931" t="s">
        <v>73</v>
      </c>
      <c r="AV1931">
        <v>757</v>
      </c>
      <c r="AW1931" s="4">
        <v>42452</v>
      </c>
      <c r="BD1931">
        <v>0</v>
      </c>
      <c r="BN1931" t="s">
        <v>74</v>
      </c>
    </row>
    <row r="1932" spans="1:66" hidden="1">
      <c r="A1932">
        <v>100695</v>
      </c>
      <c r="B1932" s="3" t="s">
        <v>227</v>
      </c>
      <c r="C1932" s="1">
        <v>43300101</v>
      </c>
      <c r="D1932" t="s">
        <v>67</v>
      </c>
      <c r="H1932" t="str">
        <f t="shared" si="199"/>
        <v>00721920155</v>
      </c>
      <c r="I1932" t="str">
        <f t="shared" si="199"/>
        <v>00721920155</v>
      </c>
      <c r="K1932" t="str">
        <f>""</f>
        <v/>
      </c>
      <c r="M1932" t="s">
        <v>68</v>
      </c>
      <c r="N1932" t="str">
        <f t="shared" si="197"/>
        <v>FOR</v>
      </c>
      <c r="O1932" t="s">
        <v>69</v>
      </c>
      <c r="P1932" s="3" t="s">
        <v>75</v>
      </c>
      <c r="Q1932">
        <v>2015</v>
      </c>
      <c r="R1932" s="2">
        <v>42109</v>
      </c>
      <c r="S1932" s="2">
        <v>42115</v>
      </c>
      <c r="T1932" s="2">
        <v>42113</v>
      </c>
      <c r="U1932" s="2">
        <v>42173</v>
      </c>
      <c r="V1932" t="s">
        <v>71</v>
      </c>
      <c r="W1932" t="str">
        <f>"          5840104472"</f>
        <v xml:space="preserve">          5840104472</v>
      </c>
      <c r="X1932">
        <v>119.6</v>
      </c>
      <c r="Y1932">
        <v>0</v>
      </c>
      <c r="Z1932"/>
      <c r="AB1932"/>
      <c r="AC1932">
        <v>115</v>
      </c>
      <c r="AD1932">
        <v>279</v>
      </c>
      <c r="AE1932" s="1">
        <v>32085</v>
      </c>
      <c r="AF1932">
        <v>0</v>
      </c>
      <c r="AJ1932">
        <v>0</v>
      </c>
      <c r="AK1932">
        <v>0</v>
      </c>
      <c r="AL1932">
        <v>0</v>
      </c>
      <c r="AM1932">
        <v>0</v>
      </c>
      <c r="AN1932">
        <v>0</v>
      </c>
      <c r="AO1932">
        <v>0</v>
      </c>
      <c r="AP1932" s="2">
        <v>42746</v>
      </c>
      <c r="AQ1932" t="s">
        <v>72</v>
      </c>
      <c r="AR1932" t="s">
        <v>72</v>
      </c>
      <c r="AS1932">
        <v>757</v>
      </c>
      <c r="AT1932" s="4">
        <v>42452</v>
      </c>
      <c r="AU1932" t="s">
        <v>73</v>
      </c>
      <c r="AV1932">
        <v>757</v>
      </c>
      <c r="AW1932" s="4">
        <v>42452</v>
      </c>
      <c r="BD1932">
        <v>0</v>
      </c>
      <c r="BN1932" t="s">
        <v>74</v>
      </c>
    </row>
    <row r="1933" spans="1:66" hidden="1">
      <c r="A1933">
        <v>100695</v>
      </c>
      <c r="B1933" s="3" t="s">
        <v>227</v>
      </c>
      <c r="C1933" s="1">
        <v>43300101</v>
      </c>
      <c r="D1933" t="s">
        <v>67</v>
      </c>
      <c r="H1933" t="str">
        <f t="shared" si="199"/>
        <v>00721920155</v>
      </c>
      <c r="I1933" t="str">
        <f t="shared" si="199"/>
        <v>00721920155</v>
      </c>
      <c r="K1933" t="str">
        <f>""</f>
        <v/>
      </c>
      <c r="M1933" t="s">
        <v>68</v>
      </c>
      <c r="N1933" t="str">
        <f t="shared" si="197"/>
        <v>FOR</v>
      </c>
      <c r="O1933" t="s">
        <v>69</v>
      </c>
      <c r="P1933" s="3" t="s">
        <v>75</v>
      </c>
      <c r="Q1933">
        <v>2015</v>
      </c>
      <c r="R1933" s="2">
        <v>42109</v>
      </c>
      <c r="S1933" s="2">
        <v>42115</v>
      </c>
      <c r="T1933" s="2">
        <v>42113</v>
      </c>
      <c r="U1933" s="2">
        <v>42173</v>
      </c>
      <c r="V1933" t="s">
        <v>71</v>
      </c>
      <c r="W1933" t="str">
        <f>"          5840104473"</f>
        <v xml:space="preserve">          5840104473</v>
      </c>
      <c r="X1933">
        <v>119.6</v>
      </c>
      <c r="Y1933">
        <v>0</v>
      </c>
      <c r="Z1933"/>
      <c r="AB1933"/>
      <c r="AC1933">
        <v>115</v>
      </c>
      <c r="AD1933">
        <v>279</v>
      </c>
      <c r="AE1933" s="1">
        <v>32085</v>
      </c>
      <c r="AF1933">
        <v>0</v>
      </c>
      <c r="AJ1933">
        <v>0</v>
      </c>
      <c r="AK1933">
        <v>0</v>
      </c>
      <c r="AL1933">
        <v>0</v>
      </c>
      <c r="AM1933">
        <v>0</v>
      </c>
      <c r="AN1933">
        <v>0</v>
      </c>
      <c r="AO1933">
        <v>0</v>
      </c>
      <c r="AP1933" s="2">
        <v>42746</v>
      </c>
      <c r="AQ1933" t="s">
        <v>72</v>
      </c>
      <c r="AR1933" t="s">
        <v>72</v>
      </c>
      <c r="AS1933">
        <v>757</v>
      </c>
      <c r="AT1933" s="4">
        <v>42452</v>
      </c>
      <c r="AU1933" t="s">
        <v>73</v>
      </c>
      <c r="AV1933">
        <v>757</v>
      </c>
      <c r="AW1933" s="4">
        <v>42452</v>
      </c>
      <c r="BD1933">
        <v>0</v>
      </c>
      <c r="BN1933" t="s">
        <v>74</v>
      </c>
    </row>
    <row r="1934" spans="1:66" hidden="1">
      <c r="A1934">
        <v>100695</v>
      </c>
      <c r="B1934" s="3" t="s">
        <v>227</v>
      </c>
      <c r="C1934" s="1">
        <v>43300101</v>
      </c>
      <c r="D1934" t="s">
        <v>67</v>
      </c>
      <c r="H1934" t="str">
        <f t="shared" si="199"/>
        <v>00721920155</v>
      </c>
      <c r="I1934" t="str">
        <f t="shared" si="199"/>
        <v>00721920155</v>
      </c>
      <c r="K1934" t="str">
        <f>""</f>
        <v/>
      </c>
      <c r="M1934" t="s">
        <v>68</v>
      </c>
      <c r="N1934" t="str">
        <f t="shared" si="197"/>
        <v>FOR</v>
      </c>
      <c r="O1934" t="s">
        <v>69</v>
      </c>
      <c r="P1934" s="3" t="s">
        <v>75</v>
      </c>
      <c r="Q1934">
        <v>2015</v>
      </c>
      <c r="R1934" s="2">
        <v>42109</v>
      </c>
      <c r="S1934" s="2">
        <v>42115</v>
      </c>
      <c r="T1934" s="2">
        <v>42113</v>
      </c>
      <c r="U1934" s="2">
        <v>42173</v>
      </c>
      <c r="V1934" t="s">
        <v>71</v>
      </c>
      <c r="W1934" t="str">
        <f>"          5840104475"</f>
        <v xml:space="preserve">          5840104475</v>
      </c>
      <c r="X1934">
        <v>119.6</v>
      </c>
      <c r="Y1934">
        <v>0</v>
      </c>
      <c r="Z1934"/>
      <c r="AB1934"/>
      <c r="AC1934">
        <v>115</v>
      </c>
      <c r="AD1934">
        <v>279</v>
      </c>
      <c r="AE1934" s="1">
        <v>32085</v>
      </c>
      <c r="AF1934">
        <v>0</v>
      </c>
      <c r="AJ1934">
        <v>0</v>
      </c>
      <c r="AK1934">
        <v>0</v>
      </c>
      <c r="AL1934">
        <v>0</v>
      </c>
      <c r="AM1934">
        <v>0</v>
      </c>
      <c r="AN1934">
        <v>0</v>
      </c>
      <c r="AO1934">
        <v>0</v>
      </c>
      <c r="AP1934" s="2">
        <v>42746</v>
      </c>
      <c r="AQ1934" t="s">
        <v>72</v>
      </c>
      <c r="AR1934" t="s">
        <v>72</v>
      </c>
      <c r="AS1934">
        <v>757</v>
      </c>
      <c r="AT1934" s="4">
        <v>42452</v>
      </c>
      <c r="AU1934" t="s">
        <v>73</v>
      </c>
      <c r="AV1934">
        <v>757</v>
      </c>
      <c r="AW1934" s="4">
        <v>42452</v>
      </c>
      <c r="BD1934">
        <v>0</v>
      </c>
      <c r="BN1934" t="s">
        <v>74</v>
      </c>
    </row>
    <row r="1935" spans="1:66" hidden="1">
      <c r="A1935">
        <v>100695</v>
      </c>
      <c r="B1935" s="3" t="s">
        <v>227</v>
      </c>
      <c r="C1935" s="1">
        <v>43300101</v>
      </c>
      <c r="D1935" t="s">
        <v>67</v>
      </c>
      <c r="H1935" t="str">
        <f t="shared" si="199"/>
        <v>00721920155</v>
      </c>
      <c r="I1935" t="str">
        <f t="shared" si="199"/>
        <v>00721920155</v>
      </c>
      <c r="K1935" t="str">
        <f>""</f>
        <v/>
      </c>
      <c r="M1935" t="s">
        <v>68</v>
      </c>
      <c r="N1935" t="str">
        <f t="shared" si="197"/>
        <v>FOR</v>
      </c>
      <c r="O1935" t="s">
        <v>69</v>
      </c>
      <c r="P1935" s="3" t="s">
        <v>75</v>
      </c>
      <c r="Q1935">
        <v>2015</v>
      </c>
      <c r="R1935" s="2">
        <v>42109</v>
      </c>
      <c r="S1935" s="2">
        <v>42115</v>
      </c>
      <c r="T1935" s="2">
        <v>42113</v>
      </c>
      <c r="U1935" s="2">
        <v>42173</v>
      </c>
      <c r="V1935" t="s">
        <v>71</v>
      </c>
      <c r="W1935" t="str">
        <f>"          5840104476"</f>
        <v xml:space="preserve">          5840104476</v>
      </c>
      <c r="X1935">
        <v>119.6</v>
      </c>
      <c r="Y1935">
        <v>0</v>
      </c>
      <c r="Z1935"/>
      <c r="AB1935"/>
      <c r="AC1935">
        <v>115</v>
      </c>
      <c r="AD1935">
        <v>279</v>
      </c>
      <c r="AE1935" s="1">
        <v>32085</v>
      </c>
      <c r="AF1935">
        <v>0</v>
      </c>
      <c r="AJ1935">
        <v>0</v>
      </c>
      <c r="AK1935">
        <v>0</v>
      </c>
      <c r="AL1935">
        <v>0</v>
      </c>
      <c r="AM1935">
        <v>0</v>
      </c>
      <c r="AN1935">
        <v>0</v>
      </c>
      <c r="AO1935">
        <v>0</v>
      </c>
      <c r="AP1935" s="2">
        <v>42746</v>
      </c>
      <c r="AQ1935" t="s">
        <v>72</v>
      </c>
      <c r="AR1935" t="s">
        <v>72</v>
      </c>
      <c r="AS1935">
        <v>757</v>
      </c>
      <c r="AT1935" s="4">
        <v>42452</v>
      </c>
      <c r="AU1935" t="s">
        <v>73</v>
      </c>
      <c r="AV1935">
        <v>757</v>
      </c>
      <c r="AW1935" s="4">
        <v>42452</v>
      </c>
      <c r="BD1935">
        <v>0</v>
      </c>
      <c r="BN1935" t="s">
        <v>74</v>
      </c>
    </row>
    <row r="1936" spans="1:66" hidden="1">
      <c r="A1936">
        <v>100695</v>
      </c>
      <c r="B1936" s="3" t="s">
        <v>227</v>
      </c>
      <c r="C1936" s="1">
        <v>43300101</v>
      </c>
      <c r="D1936" t="s">
        <v>67</v>
      </c>
      <c r="H1936" t="str">
        <f t="shared" si="199"/>
        <v>00721920155</v>
      </c>
      <c r="I1936" t="str">
        <f t="shared" si="199"/>
        <v>00721920155</v>
      </c>
      <c r="K1936" t="str">
        <f>""</f>
        <v/>
      </c>
      <c r="M1936" t="s">
        <v>68</v>
      </c>
      <c r="N1936" t="str">
        <f t="shared" si="197"/>
        <v>FOR</v>
      </c>
      <c r="O1936" t="s">
        <v>69</v>
      </c>
      <c r="P1936" s="3" t="s">
        <v>75</v>
      </c>
      <c r="Q1936">
        <v>2015</v>
      </c>
      <c r="R1936" s="2">
        <v>42109</v>
      </c>
      <c r="S1936" s="2">
        <v>42115</v>
      </c>
      <c r="T1936" s="2">
        <v>42113</v>
      </c>
      <c r="U1936" s="2">
        <v>42173</v>
      </c>
      <c r="V1936" t="s">
        <v>71</v>
      </c>
      <c r="W1936" t="str">
        <f>"          5840104477"</f>
        <v xml:space="preserve">          5840104477</v>
      </c>
      <c r="X1936">
        <v>119.6</v>
      </c>
      <c r="Y1936">
        <v>0</v>
      </c>
      <c r="Z1936"/>
      <c r="AB1936"/>
      <c r="AC1936">
        <v>115</v>
      </c>
      <c r="AD1936">
        <v>279</v>
      </c>
      <c r="AE1936" s="1">
        <v>32085</v>
      </c>
      <c r="AF1936">
        <v>0</v>
      </c>
      <c r="AJ1936">
        <v>0</v>
      </c>
      <c r="AK1936">
        <v>0</v>
      </c>
      <c r="AL1936">
        <v>0</v>
      </c>
      <c r="AM1936">
        <v>0</v>
      </c>
      <c r="AN1936">
        <v>0</v>
      </c>
      <c r="AO1936">
        <v>0</v>
      </c>
      <c r="AP1936" s="2">
        <v>42746</v>
      </c>
      <c r="AQ1936" t="s">
        <v>72</v>
      </c>
      <c r="AR1936" t="s">
        <v>72</v>
      </c>
      <c r="AS1936">
        <v>757</v>
      </c>
      <c r="AT1936" s="4">
        <v>42452</v>
      </c>
      <c r="AU1936" t="s">
        <v>73</v>
      </c>
      <c r="AV1936">
        <v>757</v>
      </c>
      <c r="AW1936" s="4">
        <v>42452</v>
      </c>
      <c r="BD1936">
        <v>0</v>
      </c>
      <c r="BN1936" t="s">
        <v>74</v>
      </c>
    </row>
    <row r="1937" spans="1:66" hidden="1">
      <c r="A1937">
        <v>100695</v>
      </c>
      <c r="B1937" s="3" t="s">
        <v>227</v>
      </c>
      <c r="C1937" s="1">
        <v>43300101</v>
      </c>
      <c r="D1937" t="s">
        <v>67</v>
      </c>
      <c r="H1937" t="str">
        <f t="shared" si="199"/>
        <v>00721920155</v>
      </c>
      <c r="I1937" t="str">
        <f t="shared" si="199"/>
        <v>00721920155</v>
      </c>
      <c r="K1937" t="str">
        <f>""</f>
        <v/>
      </c>
      <c r="M1937" t="s">
        <v>68</v>
      </c>
      <c r="N1937" t="str">
        <f t="shared" si="197"/>
        <v>FOR</v>
      </c>
      <c r="O1937" t="s">
        <v>69</v>
      </c>
      <c r="P1937" s="3" t="s">
        <v>75</v>
      </c>
      <c r="Q1937">
        <v>2015</v>
      </c>
      <c r="R1937" s="2">
        <v>42114</v>
      </c>
      <c r="S1937" s="2">
        <v>42142</v>
      </c>
      <c r="T1937" s="2">
        <v>42137</v>
      </c>
      <c r="U1937" s="2">
        <v>42197</v>
      </c>
      <c r="V1937" t="s">
        <v>71</v>
      </c>
      <c r="W1937" t="str">
        <f>"          5840104705"</f>
        <v xml:space="preserve">          5840104705</v>
      </c>
      <c r="X1937">
        <v>119.6</v>
      </c>
      <c r="Y1937">
        <v>0</v>
      </c>
      <c r="Z1937"/>
      <c r="AB1937"/>
      <c r="AC1937">
        <v>115</v>
      </c>
      <c r="AD1937">
        <v>255</v>
      </c>
      <c r="AE1937" s="1">
        <v>29325</v>
      </c>
      <c r="AF1937">
        <v>0</v>
      </c>
      <c r="AJ1937">
        <v>0</v>
      </c>
      <c r="AK1937">
        <v>0</v>
      </c>
      <c r="AL1937">
        <v>0</v>
      </c>
      <c r="AM1937">
        <v>0</v>
      </c>
      <c r="AN1937">
        <v>0</v>
      </c>
      <c r="AO1937">
        <v>0</v>
      </c>
      <c r="AP1937" s="2">
        <v>42746</v>
      </c>
      <c r="AQ1937" t="s">
        <v>72</v>
      </c>
      <c r="AR1937" t="s">
        <v>72</v>
      </c>
      <c r="AS1937">
        <v>757</v>
      </c>
      <c r="AT1937" s="4">
        <v>42452</v>
      </c>
      <c r="AU1937" t="s">
        <v>73</v>
      </c>
      <c r="AV1937">
        <v>757</v>
      </c>
      <c r="AW1937" s="4">
        <v>42452</v>
      </c>
      <c r="BD1937">
        <v>0</v>
      </c>
      <c r="BN1937" t="s">
        <v>74</v>
      </c>
    </row>
    <row r="1938" spans="1:66" hidden="1">
      <c r="A1938">
        <v>100695</v>
      </c>
      <c r="B1938" s="3" t="s">
        <v>227</v>
      </c>
      <c r="C1938" s="1">
        <v>43300101</v>
      </c>
      <c r="D1938" t="s">
        <v>67</v>
      </c>
      <c r="H1938" t="str">
        <f t="shared" si="199"/>
        <v>00721920155</v>
      </c>
      <c r="I1938" t="str">
        <f t="shared" si="199"/>
        <v>00721920155</v>
      </c>
      <c r="K1938" t="str">
        <f>""</f>
        <v/>
      </c>
      <c r="M1938" t="s">
        <v>68</v>
      </c>
      <c r="N1938" t="str">
        <f t="shared" si="197"/>
        <v>FOR</v>
      </c>
      <c r="O1938" t="s">
        <v>69</v>
      </c>
      <c r="P1938" s="3" t="s">
        <v>75</v>
      </c>
      <c r="Q1938">
        <v>2015</v>
      </c>
      <c r="R1938" s="2">
        <v>42115</v>
      </c>
      <c r="S1938" s="2">
        <v>42118</v>
      </c>
      <c r="T1938" s="2">
        <v>42117</v>
      </c>
      <c r="U1938" s="2">
        <v>42177</v>
      </c>
      <c r="V1938" t="s">
        <v>71</v>
      </c>
      <c r="W1938" t="str">
        <f>"          5840104815"</f>
        <v xml:space="preserve">          5840104815</v>
      </c>
      <c r="X1938">
        <v>119.6</v>
      </c>
      <c r="Y1938">
        <v>0</v>
      </c>
      <c r="Z1938"/>
      <c r="AB1938"/>
      <c r="AC1938">
        <v>115</v>
      </c>
      <c r="AD1938">
        <v>275</v>
      </c>
      <c r="AE1938" s="1">
        <v>31625</v>
      </c>
      <c r="AF1938">
        <v>0</v>
      </c>
      <c r="AJ1938">
        <v>0</v>
      </c>
      <c r="AK1938">
        <v>0</v>
      </c>
      <c r="AL1938">
        <v>0</v>
      </c>
      <c r="AM1938">
        <v>0</v>
      </c>
      <c r="AN1938">
        <v>0</v>
      </c>
      <c r="AO1938">
        <v>0</v>
      </c>
      <c r="AP1938" s="2">
        <v>42746</v>
      </c>
      <c r="AQ1938" t="s">
        <v>72</v>
      </c>
      <c r="AR1938" t="s">
        <v>72</v>
      </c>
      <c r="AS1938">
        <v>757</v>
      </c>
      <c r="AT1938" s="4">
        <v>42452</v>
      </c>
      <c r="AU1938" t="s">
        <v>73</v>
      </c>
      <c r="AV1938">
        <v>757</v>
      </c>
      <c r="AW1938" s="4">
        <v>42452</v>
      </c>
      <c r="BD1938">
        <v>0</v>
      </c>
      <c r="BN1938" t="s">
        <v>74</v>
      </c>
    </row>
    <row r="1939" spans="1:66" hidden="1">
      <c r="A1939">
        <v>100695</v>
      </c>
      <c r="B1939" s="3" t="s">
        <v>227</v>
      </c>
      <c r="C1939" s="1">
        <v>43300101</v>
      </c>
      <c r="D1939" t="s">
        <v>67</v>
      </c>
      <c r="H1939" t="str">
        <f t="shared" si="199"/>
        <v>00721920155</v>
      </c>
      <c r="I1939" t="str">
        <f t="shared" si="199"/>
        <v>00721920155</v>
      </c>
      <c r="K1939" t="str">
        <f>""</f>
        <v/>
      </c>
      <c r="M1939" t="s">
        <v>68</v>
      </c>
      <c r="N1939" t="str">
        <f t="shared" si="197"/>
        <v>FOR</v>
      </c>
      <c r="O1939" t="s">
        <v>69</v>
      </c>
      <c r="P1939" s="3" t="s">
        <v>75</v>
      </c>
      <c r="Q1939">
        <v>2015</v>
      </c>
      <c r="R1939" s="2">
        <v>42115</v>
      </c>
      <c r="S1939" s="2">
        <v>42118</v>
      </c>
      <c r="T1939" s="2">
        <v>42117</v>
      </c>
      <c r="U1939" s="2">
        <v>42177</v>
      </c>
      <c r="V1939" t="s">
        <v>71</v>
      </c>
      <c r="W1939" t="str">
        <f>"          5840104822"</f>
        <v xml:space="preserve">          5840104822</v>
      </c>
      <c r="X1939">
        <v>119.6</v>
      </c>
      <c r="Y1939">
        <v>0</v>
      </c>
      <c r="Z1939"/>
      <c r="AB1939"/>
      <c r="AC1939">
        <v>115</v>
      </c>
      <c r="AD1939">
        <v>275</v>
      </c>
      <c r="AE1939" s="1">
        <v>31625</v>
      </c>
      <c r="AF1939">
        <v>0</v>
      </c>
      <c r="AJ1939">
        <v>0</v>
      </c>
      <c r="AK1939">
        <v>0</v>
      </c>
      <c r="AL1939">
        <v>0</v>
      </c>
      <c r="AM1939">
        <v>0</v>
      </c>
      <c r="AN1939">
        <v>0</v>
      </c>
      <c r="AO1939">
        <v>0</v>
      </c>
      <c r="AP1939" s="2">
        <v>42746</v>
      </c>
      <c r="AQ1939" t="s">
        <v>72</v>
      </c>
      <c r="AR1939" t="s">
        <v>72</v>
      </c>
      <c r="AS1939">
        <v>757</v>
      </c>
      <c r="AT1939" s="4">
        <v>42452</v>
      </c>
      <c r="AU1939" t="s">
        <v>73</v>
      </c>
      <c r="AV1939">
        <v>757</v>
      </c>
      <c r="AW1939" s="4">
        <v>42452</v>
      </c>
      <c r="BD1939">
        <v>0</v>
      </c>
      <c r="BN1939" t="s">
        <v>74</v>
      </c>
    </row>
    <row r="1940" spans="1:66" hidden="1">
      <c r="A1940">
        <v>100695</v>
      </c>
      <c r="B1940" s="3" t="s">
        <v>227</v>
      </c>
      <c r="C1940" s="1">
        <v>43300101</v>
      </c>
      <c r="D1940" t="s">
        <v>67</v>
      </c>
      <c r="H1940" t="str">
        <f t="shared" si="199"/>
        <v>00721920155</v>
      </c>
      <c r="I1940" t="str">
        <f t="shared" si="199"/>
        <v>00721920155</v>
      </c>
      <c r="K1940" t="str">
        <f>""</f>
        <v/>
      </c>
      <c r="M1940" t="s">
        <v>68</v>
      </c>
      <c r="N1940" t="str">
        <f t="shared" si="197"/>
        <v>FOR</v>
      </c>
      <c r="O1940" t="s">
        <v>69</v>
      </c>
      <c r="P1940" s="3" t="s">
        <v>75</v>
      </c>
      <c r="Q1940">
        <v>2015</v>
      </c>
      <c r="R1940" s="2">
        <v>42123</v>
      </c>
      <c r="S1940" s="2">
        <v>42131</v>
      </c>
      <c r="T1940" s="2">
        <v>42130</v>
      </c>
      <c r="U1940" s="2">
        <v>42190</v>
      </c>
      <c r="V1940" t="s">
        <v>71</v>
      </c>
      <c r="W1940" t="str">
        <f>"          5840105352"</f>
        <v xml:space="preserve">          5840105352</v>
      </c>
      <c r="X1940">
        <v>119.6</v>
      </c>
      <c r="Y1940">
        <v>0</v>
      </c>
      <c r="Z1940"/>
      <c r="AB1940"/>
      <c r="AC1940">
        <v>115</v>
      </c>
      <c r="AD1940">
        <v>262</v>
      </c>
      <c r="AE1940" s="1">
        <v>30130</v>
      </c>
      <c r="AF1940">
        <v>0</v>
      </c>
      <c r="AJ1940">
        <v>0</v>
      </c>
      <c r="AK1940">
        <v>0</v>
      </c>
      <c r="AL1940">
        <v>0</v>
      </c>
      <c r="AM1940">
        <v>0</v>
      </c>
      <c r="AN1940">
        <v>0</v>
      </c>
      <c r="AO1940">
        <v>0</v>
      </c>
      <c r="AP1940" s="2">
        <v>42746</v>
      </c>
      <c r="AQ1940" t="s">
        <v>72</v>
      </c>
      <c r="AR1940" t="s">
        <v>72</v>
      </c>
      <c r="AS1940">
        <v>757</v>
      </c>
      <c r="AT1940" s="4">
        <v>42452</v>
      </c>
      <c r="AU1940" t="s">
        <v>73</v>
      </c>
      <c r="AV1940">
        <v>757</v>
      </c>
      <c r="AW1940" s="4">
        <v>42452</v>
      </c>
      <c r="BD1940">
        <v>0</v>
      </c>
      <c r="BN1940" t="s">
        <v>74</v>
      </c>
    </row>
    <row r="1941" spans="1:66" hidden="1">
      <c r="A1941">
        <v>100695</v>
      </c>
      <c r="B1941" s="3" t="s">
        <v>227</v>
      </c>
      <c r="C1941" s="1">
        <v>43300101</v>
      </c>
      <c r="D1941" t="s">
        <v>67</v>
      </c>
      <c r="H1941" t="str">
        <f t="shared" si="199"/>
        <v>00721920155</v>
      </c>
      <c r="I1941" t="str">
        <f t="shared" si="199"/>
        <v>00721920155</v>
      </c>
      <c r="K1941" t="str">
        <f>""</f>
        <v/>
      </c>
      <c r="M1941" t="s">
        <v>68</v>
      </c>
      <c r="N1941" t="str">
        <f t="shared" si="197"/>
        <v>FOR</v>
      </c>
      <c r="O1941" t="s">
        <v>69</v>
      </c>
      <c r="P1941" s="3" t="s">
        <v>75</v>
      </c>
      <c r="Q1941">
        <v>2015</v>
      </c>
      <c r="R1941" s="2">
        <v>42123</v>
      </c>
      <c r="S1941" s="2">
        <v>42131</v>
      </c>
      <c r="T1941" s="2">
        <v>42130</v>
      </c>
      <c r="U1941" s="2">
        <v>42190</v>
      </c>
      <c r="V1941" t="s">
        <v>71</v>
      </c>
      <c r="W1941" t="str">
        <f>"          5840105356"</f>
        <v xml:space="preserve">          5840105356</v>
      </c>
      <c r="X1941">
        <v>119.6</v>
      </c>
      <c r="Y1941">
        <v>0</v>
      </c>
      <c r="Z1941"/>
      <c r="AB1941"/>
      <c r="AC1941">
        <v>115</v>
      </c>
      <c r="AD1941">
        <v>262</v>
      </c>
      <c r="AE1941" s="1">
        <v>30130</v>
      </c>
      <c r="AF1941">
        <v>0</v>
      </c>
      <c r="AJ1941">
        <v>0</v>
      </c>
      <c r="AK1941">
        <v>0</v>
      </c>
      <c r="AL1941">
        <v>0</v>
      </c>
      <c r="AM1941">
        <v>0</v>
      </c>
      <c r="AN1941">
        <v>0</v>
      </c>
      <c r="AO1941">
        <v>0</v>
      </c>
      <c r="AP1941" s="2">
        <v>42746</v>
      </c>
      <c r="AQ1941" t="s">
        <v>72</v>
      </c>
      <c r="AR1941" t="s">
        <v>72</v>
      </c>
      <c r="AS1941">
        <v>757</v>
      </c>
      <c r="AT1941" s="4">
        <v>42452</v>
      </c>
      <c r="AU1941" t="s">
        <v>73</v>
      </c>
      <c r="AV1941">
        <v>757</v>
      </c>
      <c r="AW1941" s="4">
        <v>42452</v>
      </c>
      <c r="BD1941">
        <v>0</v>
      </c>
      <c r="BN1941" t="s">
        <v>74</v>
      </c>
    </row>
    <row r="1942" spans="1:66" hidden="1">
      <c r="A1942">
        <v>100695</v>
      </c>
      <c r="B1942" s="3" t="s">
        <v>227</v>
      </c>
      <c r="C1942" s="1">
        <v>43300101</v>
      </c>
      <c r="D1942" t="s">
        <v>67</v>
      </c>
      <c r="H1942" t="str">
        <f t="shared" si="199"/>
        <v>00721920155</v>
      </c>
      <c r="I1942" t="str">
        <f t="shared" si="199"/>
        <v>00721920155</v>
      </c>
      <c r="K1942" t="str">
        <f>""</f>
        <v/>
      </c>
      <c r="M1942" t="s">
        <v>68</v>
      </c>
      <c r="N1942" t="str">
        <f t="shared" si="197"/>
        <v>FOR</v>
      </c>
      <c r="O1942" t="s">
        <v>69</v>
      </c>
      <c r="P1942" s="3" t="s">
        <v>75</v>
      </c>
      <c r="Q1942">
        <v>2015</v>
      </c>
      <c r="R1942" s="2">
        <v>42123</v>
      </c>
      <c r="S1942" s="2">
        <v>42131</v>
      </c>
      <c r="T1942" s="2">
        <v>42130</v>
      </c>
      <c r="U1942" s="2">
        <v>42190</v>
      </c>
      <c r="V1942" t="s">
        <v>71</v>
      </c>
      <c r="W1942" t="str">
        <f>"          5840105366"</f>
        <v xml:space="preserve">          5840105366</v>
      </c>
      <c r="X1942">
        <v>119.6</v>
      </c>
      <c r="Y1942">
        <v>0</v>
      </c>
      <c r="Z1942"/>
      <c r="AB1942"/>
      <c r="AC1942">
        <v>115</v>
      </c>
      <c r="AD1942">
        <v>262</v>
      </c>
      <c r="AE1942" s="1">
        <v>30130</v>
      </c>
      <c r="AF1942">
        <v>0</v>
      </c>
      <c r="AJ1942">
        <v>0</v>
      </c>
      <c r="AK1942">
        <v>0</v>
      </c>
      <c r="AL1942">
        <v>0</v>
      </c>
      <c r="AM1942">
        <v>0</v>
      </c>
      <c r="AN1942">
        <v>0</v>
      </c>
      <c r="AO1942">
        <v>0</v>
      </c>
      <c r="AP1942" s="2">
        <v>42746</v>
      </c>
      <c r="AQ1942" t="s">
        <v>72</v>
      </c>
      <c r="AR1942" t="s">
        <v>72</v>
      </c>
      <c r="AS1942">
        <v>757</v>
      </c>
      <c r="AT1942" s="4">
        <v>42452</v>
      </c>
      <c r="AU1942" t="s">
        <v>73</v>
      </c>
      <c r="AV1942">
        <v>757</v>
      </c>
      <c r="AW1942" s="4">
        <v>42452</v>
      </c>
      <c r="BD1942">
        <v>0</v>
      </c>
      <c r="BN1942" t="s">
        <v>74</v>
      </c>
    </row>
    <row r="1943" spans="1:66" hidden="1">
      <c r="A1943">
        <v>100695</v>
      </c>
      <c r="B1943" s="3" t="s">
        <v>227</v>
      </c>
      <c r="C1943" s="1">
        <v>43300101</v>
      </c>
      <c r="D1943" t="s">
        <v>67</v>
      </c>
      <c r="H1943" t="str">
        <f t="shared" si="199"/>
        <v>00721920155</v>
      </c>
      <c r="I1943" t="str">
        <f t="shared" si="199"/>
        <v>00721920155</v>
      </c>
      <c r="K1943" t="str">
        <f>""</f>
        <v/>
      </c>
      <c r="M1943" t="s">
        <v>68</v>
      </c>
      <c r="N1943" t="str">
        <f t="shared" si="197"/>
        <v>FOR</v>
      </c>
      <c r="O1943" t="s">
        <v>69</v>
      </c>
      <c r="P1943" s="3" t="s">
        <v>75</v>
      </c>
      <c r="Q1943">
        <v>2015</v>
      </c>
      <c r="R1943" s="2">
        <v>42123</v>
      </c>
      <c r="S1943" s="2">
        <v>42131</v>
      </c>
      <c r="T1943" s="2">
        <v>42130</v>
      </c>
      <c r="U1943" s="2">
        <v>42190</v>
      </c>
      <c r="V1943" t="s">
        <v>71</v>
      </c>
      <c r="W1943" t="str">
        <f>"          5840105369"</f>
        <v xml:space="preserve">          5840105369</v>
      </c>
      <c r="X1943">
        <v>119.6</v>
      </c>
      <c r="Y1943">
        <v>0</v>
      </c>
      <c r="Z1943"/>
      <c r="AB1943"/>
      <c r="AC1943">
        <v>115</v>
      </c>
      <c r="AD1943">
        <v>262</v>
      </c>
      <c r="AE1943" s="1">
        <v>30130</v>
      </c>
      <c r="AF1943">
        <v>0</v>
      </c>
      <c r="AJ1943">
        <v>0</v>
      </c>
      <c r="AK1943">
        <v>0</v>
      </c>
      <c r="AL1943">
        <v>0</v>
      </c>
      <c r="AM1943">
        <v>0</v>
      </c>
      <c r="AN1943">
        <v>0</v>
      </c>
      <c r="AO1943">
        <v>0</v>
      </c>
      <c r="AP1943" s="2">
        <v>42746</v>
      </c>
      <c r="AQ1943" t="s">
        <v>72</v>
      </c>
      <c r="AR1943" t="s">
        <v>72</v>
      </c>
      <c r="AS1943">
        <v>757</v>
      </c>
      <c r="AT1943" s="4">
        <v>42452</v>
      </c>
      <c r="AU1943" t="s">
        <v>73</v>
      </c>
      <c r="AV1943">
        <v>757</v>
      </c>
      <c r="AW1943" s="4">
        <v>42452</v>
      </c>
      <c r="BD1943">
        <v>0</v>
      </c>
      <c r="BN1943" t="s">
        <v>74</v>
      </c>
    </row>
    <row r="1944" spans="1:66" hidden="1">
      <c r="A1944">
        <v>100695</v>
      </c>
      <c r="B1944" s="3" t="s">
        <v>227</v>
      </c>
      <c r="C1944" s="1">
        <v>43300101</v>
      </c>
      <c r="D1944" t="s">
        <v>67</v>
      </c>
      <c r="H1944" t="str">
        <f t="shared" si="199"/>
        <v>00721920155</v>
      </c>
      <c r="I1944" t="str">
        <f t="shared" si="199"/>
        <v>00721920155</v>
      </c>
      <c r="K1944" t="str">
        <f>""</f>
        <v/>
      </c>
      <c r="M1944" t="s">
        <v>68</v>
      </c>
      <c r="N1944" t="str">
        <f t="shared" si="197"/>
        <v>FOR</v>
      </c>
      <c r="O1944" t="s">
        <v>69</v>
      </c>
      <c r="P1944" s="3" t="s">
        <v>75</v>
      </c>
      <c r="Q1944">
        <v>2015</v>
      </c>
      <c r="R1944" s="2">
        <v>42123</v>
      </c>
      <c r="S1944" s="2">
        <v>42131</v>
      </c>
      <c r="T1944" s="2">
        <v>42130</v>
      </c>
      <c r="U1944" s="2">
        <v>42190</v>
      </c>
      <c r="V1944" t="s">
        <v>71</v>
      </c>
      <c r="W1944" t="str">
        <f>"          5840105370"</f>
        <v xml:space="preserve">          5840105370</v>
      </c>
      <c r="X1944">
        <v>119.6</v>
      </c>
      <c r="Y1944">
        <v>0</v>
      </c>
      <c r="Z1944"/>
      <c r="AB1944"/>
      <c r="AC1944">
        <v>115</v>
      </c>
      <c r="AD1944">
        <v>262</v>
      </c>
      <c r="AE1944" s="1">
        <v>30130</v>
      </c>
      <c r="AF1944">
        <v>0</v>
      </c>
      <c r="AJ1944">
        <v>0</v>
      </c>
      <c r="AK1944">
        <v>0</v>
      </c>
      <c r="AL1944">
        <v>0</v>
      </c>
      <c r="AM1944">
        <v>0</v>
      </c>
      <c r="AN1944">
        <v>0</v>
      </c>
      <c r="AO1944">
        <v>0</v>
      </c>
      <c r="AP1944" s="2">
        <v>42746</v>
      </c>
      <c r="AQ1944" t="s">
        <v>72</v>
      </c>
      <c r="AR1944" t="s">
        <v>72</v>
      </c>
      <c r="AS1944">
        <v>757</v>
      </c>
      <c r="AT1944" s="4">
        <v>42452</v>
      </c>
      <c r="AU1944" t="s">
        <v>73</v>
      </c>
      <c r="AV1944">
        <v>757</v>
      </c>
      <c r="AW1944" s="4">
        <v>42452</v>
      </c>
      <c r="BD1944">
        <v>0</v>
      </c>
      <c r="BN1944" t="s">
        <v>74</v>
      </c>
    </row>
    <row r="1945" spans="1:66" hidden="1">
      <c r="A1945">
        <v>100695</v>
      </c>
      <c r="B1945" s="3" t="s">
        <v>227</v>
      </c>
      <c r="C1945" s="1">
        <v>43300101</v>
      </c>
      <c r="D1945" t="s">
        <v>67</v>
      </c>
      <c r="H1945" t="str">
        <f t="shared" si="199"/>
        <v>00721920155</v>
      </c>
      <c r="I1945" t="str">
        <f t="shared" si="199"/>
        <v>00721920155</v>
      </c>
      <c r="K1945" t="str">
        <f>""</f>
        <v/>
      </c>
      <c r="M1945" t="s">
        <v>68</v>
      </c>
      <c r="N1945" t="str">
        <f t="shared" si="197"/>
        <v>FOR</v>
      </c>
      <c r="O1945" t="s">
        <v>69</v>
      </c>
      <c r="P1945" s="3" t="s">
        <v>75</v>
      </c>
      <c r="Q1945">
        <v>2015</v>
      </c>
      <c r="R1945" s="2">
        <v>42129</v>
      </c>
      <c r="S1945" s="2">
        <v>42131</v>
      </c>
      <c r="T1945" s="2">
        <v>42130</v>
      </c>
      <c r="U1945" s="2">
        <v>42190</v>
      </c>
      <c r="V1945" t="s">
        <v>71</v>
      </c>
      <c r="W1945" t="str">
        <f>"          5840105586"</f>
        <v xml:space="preserve">          5840105586</v>
      </c>
      <c r="X1945">
        <v>119.6</v>
      </c>
      <c r="Y1945">
        <v>0</v>
      </c>
      <c r="Z1945"/>
      <c r="AB1945"/>
      <c r="AC1945">
        <v>115</v>
      </c>
      <c r="AD1945">
        <v>262</v>
      </c>
      <c r="AE1945" s="1">
        <v>30130</v>
      </c>
      <c r="AF1945">
        <v>0</v>
      </c>
      <c r="AJ1945">
        <v>0</v>
      </c>
      <c r="AK1945">
        <v>0</v>
      </c>
      <c r="AL1945">
        <v>0</v>
      </c>
      <c r="AM1945">
        <v>0</v>
      </c>
      <c r="AN1945">
        <v>0</v>
      </c>
      <c r="AO1945">
        <v>0</v>
      </c>
      <c r="AP1945" s="2">
        <v>42746</v>
      </c>
      <c r="AQ1945" t="s">
        <v>72</v>
      </c>
      <c r="AR1945" t="s">
        <v>72</v>
      </c>
      <c r="AS1945">
        <v>757</v>
      </c>
      <c r="AT1945" s="4">
        <v>42452</v>
      </c>
      <c r="AU1945" t="s">
        <v>73</v>
      </c>
      <c r="AV1945">
        <v>757</v>
      </c>
      <c r="AW1945" s="4">
        <v>42452</v>
      </c>
      <c r="BD1945">
        <v>0</v>
      </c>
      <c r="BN1945" t="s">
        <v>74</v>
      </c>
    </row>
    <row r="1946" spans="1:66" hidden="1">
      <c r="A1946">
        <v>100695</v>
      </c>
      <c r="B1946" s="3" t="s">
        <v>227</v>
      </c>
      <c r="C1946" s="1">
        <v>43300101</v>
      </c>
      <c r="D1946" t="s">
        <v>67</v>
      </c>
      <c r="H1946" t="str">
        <f t="shared" si="199"/>
        <v>00721920155</v>
      </c>
      <c r="I1946" t="str">
        <f t="shared" si="199"/>
        <v>00721920155</v>
      </c>
      <c r="K1946" t="str">
        <f>""</f>
        <v/>
      </c>
      <c r="M1946" t="s">
        <v>68</v>
      </c>
      <c r="N1946" t="str">
        <f t="shared" si="197"/>
        <v>FOR</v>
      </c>
      <c r="O1946" t="s">
        <v>69</v>
      </c>
      <c r="P1946" s="3" t="s">
        <v>75</v>
      </c>
      <c r="Q1946">
        <v>2015</v>
      </c>
      <c r="R1946" s="2">
        <v>42129</v>
      </c>
      <c r="S1946" s="2">
        <v>42131</v>
      </c>
      <c r="T1946" s="2">
        <v>42130</v>
      </c>
      <c r="U1946" s="2">
        <v>42190</v>
      </c>
      <c r="V1946" t="s">
        <v>71</v>
      </c>
      <c r="W1946" t="str">
        <f>"          5840105589"</f>
        <v xml:space="preserve">          5840105589</v>
      </c>
      <c r="X1946">
        <v>119.6</v>
      </c>
      <c r="Y1946">
        <v>0</v>
      </c>
      <c r="Z1946"/>
      <c r="AB1946"/>
      <c r="AC1946">
        <v>115</v>
      </c>
      <c r="AD1946">
        <v>262</v>
      </c>
      <c r="AE1946" s="1">
        <v>30130</v>
      </c>
      <c r="AF1946">
        <v>0</v>
      </c>
      <c r="AJ1946">
        <v>0</v>
      </c>
      <c r="AK1946">
        <v>0</v>
      </c>
      <c r="AL1946">
        <v>0</v>
      </c>
      <c r="AM1946">
        <v>0</v>
      </c>
      <c r="AN1946">
        <v>0</v>
      </c>
      <c r="AO1946">
        <v>0</v>
      </c>
      <c r="AP1946" s="2">
        <v>42746</v>
      </c>
      <c r="AQ1946" t="s">
        <v>72</v>
      </c>
      <c r="AR1946" t="s">
        <v>72</v>
      </c>
      <c r="AS1946">
        <v>757</v>
      </c>
      <c r="AT1946" s="4">
        <v>42452</v>
      </c>
      <c r="AU1946" t="s">
        <v>73</v>
      </c>
      <c r="AV1946">
        <v>757</v>
      </c>
      <c r="AW1946" s="4">
        <v>42452</v>
      </c>
      <c r="BD1946">
        <v>0</v>
      </c>
      <c r="BN1946" t="s">
        <v>74</v>
      </c>
    </row>
    <row r="1947" spans="1:66" hidden="1">
      <c r="A1947">
        <v>100695</v>
      </c>
      <c r="B1947" s="3" t="s">
        <v>227</v>
      </c>
      <c r="C1947" s="1">
        <v>43300101</v>
      </c>
      <c r="D1947" t="s">
        <v>67</v>
      </c>
      <c r="H1947" t="str">
        <f t="shared" si="199"/>
        <v>00721920155</v>
      </c>
      <c r="I1947" t="str">
        <f t="shared" si="199"/>
        <v>00721920155</v>
      </c>
      <c r="K1947" t="str">
        <f>""</f>
        <v/>
      </c>
      <c r="M1947" t="s">
        <v>68</v>
      </c>
      <c r="N1947" t="str">
        <f t="shared" si="197"/>
        <v>FOR</v>
      </c>
      <c r="O1947" t="s">
        <v>69</v>
      </c>
      <c r="P1947" s="3" t="s">
        <v>75</v>
      </c>
      <c r="Q1947">
        <v>2015</v>
      </c>
      <c r="R1947" s="2">
        <v>42129</v>
      </c>
      <c r="S1947" s="2">
        <v>42131</v>
      </c>
      <c r="T1947" s="2">
        <v>42130</v>
      </c>
      <c r="U1947" s="2">
        <v>42190</v>
      </c>
      <c r="V1947" t="s">
        <v>71</v>
      </c>
      <c r="W1947" t="str">
        <f>"          5840105595"</f>
        <v xml:space="preserve">          5840105595</v>
      </c>
      <c r="X1947">
        <v>119.6</v>
      </c>
      <c r="Y1947">
        <v>0</v>
      </c>
      <c r="Z1947"/>
      <c r="AB1947"/>
      <c r="AC1947">
        <v>115</v>
      </c>
      <c r="AD1947">
        <v>262</v>
      </c>
      <c r="AE1947" s="1">
        <v>30130</v>
      </c>
      <c r="AF1947">
        <v>0</v>
      </c>
      <c r="AJ1947">
        <v>0</v>
      </c>
      <c r="AK1947">
        <v>0</v>
      </c>
      <c r="AL1947">
        <v>0</v>
      </c>
      <c r="AM1947">
        <v>0</v>
      </c>
      <c r="AN1947">
        <v>0</v>
      </c>
      <c r="AO1947">
        <v>0</v>
      </c>
      <c r="AP1947" s="2">
        <v>42746</v>
      </c>
      <c r="AQ1947" t="s">
        <v>72</v>
      </c>
      <c r="AR1947" t="s">
        <v>72</v>
      </c>
      <c r="AS1947">
        <v>757</v>
      </c>
      <c r="AT1947" s="4">
        <v>42452</v>
      </c>
      <c r="AU1947" t="s">
        <v>73</v>
      </c>
      <c r="AV1947">
        <v>757</v>
      </c>
      <c r="AW1947" s="4">
        <v>42452</v>
      </c>
      <c r="BD1947">
        <v>0</v>
      </c>
      <c r="BN1947" t="s">
        <v>74</v>
      </c>
    </row>
    <row r="1948" spans="1:66" hidden="1">
      <c r="A1948">
        <v>100695</v>
      </c>
      <c r="B1948" s="3" t="s">
        <v>227</v>
      </c>
      <c r="C1948" s="1">
        <v>43300101</v>
      </c>
      <c r="D1948" t="s">
        <v>67</v>
      </c>
      <c r="H1948" t="str">
        <f t="shared" si="199"/>
        <v>00721920155</v>
      </c>
      <c r="I1948" t="str">
        <f t="shared" si="199"/>
        <v>00721920155</v>
      </c>
      <c r="K1948" t="str">
        <f>""</f>
        <v/>
      </c>
      <c r="M1948" t="s">
        <v>68</v>
      </c>
      <c r="N1948" t="str">
        <f t="shared" si="197"/>
        <v>FOR</v>
      </c>
      <c r="O1948" t="s">
        <v>69</v>
      </c>
      <c r="P1948" s="3" t="s">
        <v>75</v>
      </c>
      <c r="Q1948">
        <v>2015</v>
      </c>
      <c r="R1948" s="2">
        <v>42129</v>
      </c>
      <c r="S1948" s="2">
        <v>42131</v>
      </c>
      <c r="T1948" s="2">
        <v>42130</v>
      </c>
      <c r="U1948" s="2">
        <v>42190</v>
      </c>
      <c r="V1948" t="s">
        <v>71</v>
      </c>
      <c r="W1948" t="str">
        <f>"          5840105598"</f>
        <v xml:space="preserve">          5840105598</v>
      </c>
      <c r="X1948">
        <v>119.6</v>
      </c>
      <c r="Y1948">
        <v>0</v>
      </c>
      <c r="Z1948"/>
      <c r="AB1948"/>
      <c r="AC1948">
        <v>115</v>
      </c>
      <c r="AD1948">
        <v>262</v>
      </c>
      <c r="AE1948" s="1">
        <v>30130</v>
      </c>
      <c r="AF1948">
        <v>0</v>
      </c>
      <c r="AJ1948">
        <v>0</v>
      </c>
      <c r="AK1948">
        <v>0</v>
      </c>
      <c r="AL1948">
        <v>0</v>
      </c>
      <c r="AM1948">
        <v>0</v>
      </c>
      <c r="AN1948">
        <v>0</v>
      </c>
      <c r="AO1948">
        <v>0</v>
      </c>
      <c r="AP1948" s="2">
        <v>42746</v>
      </c>
      <c r="AQ1948" t="s">
        <v>72</v>
      </c>
      <c r="AR1948" t="s">
        <v>72</v>
      </c>
      <c r="AS1948">
        <v>757</v>
      </c>
      <c r="AT1948" s="4">
        <v>42452</v>
      </c>
      <c r="AU1948" t="s">
        <v>73</v>
      </c>
      <c r="AV1948">
        <v>757</v>
      </c>
      <c r="AW1948" s="4">
        <v>42452</v>
      </c>
      <c r="BD1948">
        <v>0</v>
      </c>
      <c r="BN1948" t="s">
        <v>74</v>
      </c>
    </row>
    <row r="1949" spans="1:66" hidden="1">
      <c r="A1949">
        <v>100695</v>
      </c>
      <c r="B1949" s="3" t="s">
        <v>227</v>
      </c>
      <c r="C1949" s="1">
        <v>43300101</v>
      </c>
      <c r="D1949" t="s">
        <v>67</v>
      </c>
      <c r="H1949" t="str">
        <f t="shared" ref="H1949:I1968" si="200">"00721920155"</f>
        <v>00721920155</v>
      </c>
      <c r="I1949" t="str">
        <f t="shared" si="200"/>
        <v>00721920155</v>
      </c>
      <c r="K1949" t="str">
        <f>""</f>
        <v/>
      </c>
      <c r="M1949" t="s">
        <v>68</v>
      </c>
      <c r="N1949" t="str">
        <f t="shared" si="197"/>
        <v>FOR</v>
      </c>
      <c r="O1949" t="s">
        <v>69</v>
      </c>
      <c r="P1949" s="3" t="s">
        <v>75</v>
      </c>
      <c r="Q1949">
        <v>2015</v>
      </c>
      <c r="R1949" s="2">
        <v>42136</v>
      </c>
      <c r="S1949" s="2">
        <v>42174</v>
      </c>
      <c r="T1949" s="2">
        <v>42138</v>
      </c>
      <c r="U1949" s="2">
        <v>42198</v>
      </c>
      <c r="V1949" t="s">
        <v>71</v>
      </c>
      <c r="W1949" t="str">
        <f>"          5840105847"</f>
        <v xml:space="preserve">          5840105847</v>
      </c>
      <c r="X1949">
        <v>119.6</v>
      </c>
      <c r="Y1949">
        <v>0</v>
      </c>
      <c r="Z1949"/>
      <c r="AB1949"/>
      <c r="AC1949">
        <v>115</v>
      </c>
      <c r="AD1949">
        <v>254</v>
      </c>
      <c r="AE1949" s="1">
        <v>29210</v>
      </c>
      <c r="AF1949">
        <v>0</v>
      </c>
      <c r="AJ1949">
        <v>0</v>
      </c>
      <c r="AK1949">
        <v>0</v>
      </c>
      <c r="AL1949">
        <v>0</v>
      </c>
      <c r="AM1949">
        <v>0</v>
      </c>
      <c r="AN1949">
        <v>0</v>
      </c>
      <c r="AO1949">
        <v>0</v>
      </c>
      <c r="AP1949" s="2">
        <v>42746</v>
      </c>
      <c r="AQ1949" t="s">
        <v>72</v>
      </c>
      <c r="AR1949" t="s">
        <v>72</v>
      </c>
      <c r="AS1949">
        <v>757</v>
      </c>
      <c r="AT1949" s="4">
        <v>42452</v>
      </c>
      <c r="AU1949" t="s">
        <v>73</v>
      </c>
      <c r="AV1949">
        <v>757</v>
      </c>
      <c r="AW1949" s="4">
        <v>42452</v>
      </c>
      <c r="BD1949">
        <v>0</v>
      </c>
      <c r="BN1949" t="s">
        <v>74</v>
      </c>
    </row>
    <row r="1950" spans="1:66" hidden="1">
      <c r="A1950">
        <v>100695</v>
      </c>
      <c r="B1950" s="3" t="s">
        <v>227</v>
      </c>
      <c r="C1950" s="1">
        <v>43300101</v>
      </c>
      <c r="D1950" t="s">
        <v>67</v>
      </c>
      <c r="H1950" t="str">
        <f t="shared" si="200"/>
        <v>00721920155</v>
      </c>
      <c r="I1950" t="str">
        <f t="shared" si="200"/>
        <v>00721920155</v>
      </c>
      <c r="K1950" t="str">
        <f>""</f>
        <v/>
      </c>
      <c r="M1950" t="s">
        <v>68</v>
      </c>
      <c r="N1950" t="str">
        <f t="shared" si="197"/>
        <v>FOR</v>
      </c>
      <c r="O1950" t="s">
        <v>69</v>
      </c>
      <c r="P1950" s="3" t="s">
        <v>75</v>
      </c>
      <c r="Q1950">
        <v>2015</v>
      </c>
      <c r="R1950" s="2">
        <v>42136</v>
      </c>
      <c r="S1950" s="2">
        <v>42174</v>
      </c>
      <c r="T1950" s="2">
        <v>42138</v>
      </c>
      <c r="U1950" s="2">
        <v>42198</v>
      </c>
      <c r="V1950" t="s">
        <v>71</v>
      </c>
      <c r="W1950" t="str">
        <f>"          5840105849"</f>
        <v xml:space="preserve">          5840105849</v>
      </c>
      <c r="X1950">
        <v>119.6</v>
      </c>
      <c r="Y1950">
        <v>0</v>
      </c>
      <c r="Z1950"/>
      <c r="AB1950"/>
      <c r="AC1950">
        <v>115</v>
      </c>
      <c r="AD1950">
        <v>254</v>
      </c>
      <c r="AE1950" s="1">
        <v>29210</v>
      </c>
      <c r="AF1950">
        <v>0</v>
      </c>
      <c r="AJ1950">
        <v>0</v>
      </c>
      <c r="AK1950">
        <v>0</v>
      </c>
      <c r="AL1950">
        <v>0</v>
      </c>
      <c r="AM1950">
        <v>0</v>
      </c>
      <c r="AN1950">
        <v>0</v>
      </c>
      <c r="AO1950">
        <v>0</v>
      </c>
      <c r="AP1950" s="2">
        <v>42746</v>
      </c>
      <c r="AQ1950" t="s">
        <v>72</v>
      </c>
      <c r="AR1950" t="s">
        <v>72</v>
      </c>
      <c r="AS1950">
        <v>757</v>
      </c>
      <c r="AT1950" s="4">
        <v>42452</v>
      </c>
      <c r="AU1950" t="s">
        <v>73</v>
      </c>
      <c r="AV1950">
        <v>757</v>
      </c>
      <c r="AW1950" s="4">
        <v>42452</v>
      </c>
      <c r="BD1950">
        <v>0</v>
      </c>
      <c r="BN1950" t="s">
        <v>74</v>
      </c>
    </row>
    <row r="1951" spans="1:66" hidden="1">
      <c r="A1951">
        <v>100695</v>
      </c>
      <c r="B1951" s="3" t="s">
        <v>227</v>
      </c>
      <c r="C1951" s="1">
        <v>43300101</v>
      </c>
      <c r="D1951" t="s">
        <v>67</v>
      </c>
      <c r="H1951" t="str">
        <f t="shared" si="200"/>
        <v>00721920155</v>
      </c>
      <c r="I1951" t="str">
        <f t="shared" si="200"/>
        <v>00721920155</v>
      </c>
      <c r="K1951" t="str">
        <f>""</f>
        <v/>
      </c>
      <c r="M1951" t="s">
        <v>68</v>
      </c>
      <c r="N1951" t="str">
        <f t="shared" si="197"/>
        <v>FOR</v>
      </c>
      <c r="O1951" t="s">
        <v>69</v>
      </c>
      <c r="P1951" s="3" t="s">
        <v>75</v>
      </c>
      <c r="Q1951">
        <v>2015</v>
      </c>
      <c r="R1951" s="2">
        <v>42136</v>
      </c>
      <c r="S1951" s="2">
        <v>42174</v>
      </c>
      <c r="T1951" s="2">
        <v>42138</v>
      </c>
      <c r="U1951" s="2">
        <v>42198</v>
      </c>
      <c r="V1951" t="s">
        <v>71</v>
      </c>
      <c r="W1951" t="str">
        <f>"          5840105854"</f>
        <v xml:space="preserve">          5840105854</v>
      </c>
      <c r="X1951">
        <v>119.6</v>
      </c>
      <c r="Y1951">
        <v>0</v>
      </c>
      <c r="Z1951"/>
      <c r="AB1951"/>
      <c r="AC1951">
        <v>115</v>
      </c>
      <c r="AD1951">
        <v>254</v>
      </c>
      <c r="AE1951" s="1">
        <v>29210</v>
      </c>
      <c r="AF1951">
        <v>0</v>
      </c>
      <c r="AJ1951">
        <v>0</v>
      </c>
      <c r="AK1951">
        <v>0</v>
      </c>
      <c r="AL1951">
        <v>0</v>
      </c>
      <c r="AM1951">
        <v>0</v>
      </c>
      <c r="AN1951">
        <v>0</v>
      </c>
      <c r="AO1951">
        <v>0</v>
      </c>
      <c r="AP1951" s="2">
        <v>42746</v>
      </c>
      <c r="AQ1951" t="s">
        <v>72</v>
      </c>
      <c r="AR1951" t="s">
        <v>72</v>
      </c>
      <c r="AS1951">
        <v>757</v>
      </c>
      <c r="AT1951" s="4">
        <v>42452</v>
      </c>
      <c r="AU1951" t="s">
        <v>73</v>
      </c>
      <c r="AV1951">
        <v>757</v>
      </c>
      <c r="AW1951" s="4">
        <v>42452</v>
      </c>
      <c r="BD1951">
        <v>0</v>
      </c>
      <c r="BN1951" t="s">
        <v>74</v>
      </c>
    </row>
    <row r="1952" spans="1:66" hidden="1">
      <c r="A1952">
        <v>100695</v>
      </c>
      <c r="B1952" s="3" t="s">
        <v>227</v>
      </c>
      <c r="C1952" s="1">
        <v>43300101</v>
      </c>
      <c r="D1952" t="s">
        <v>67</v>
      </c>
      <c r="H1952" t="str">
        <f t="shared" si="200"/>
        <v>00721920155</v>
      </c>
      <c r="I1952" t="str">
        <f t="shared" si="200"/>
        <v>00721920155</v>
      </c>
      <c r="K1952" t="str">
        <f>""</f>
        <v/>
      </c>
      <c r="M1952" t="s">
        <v>68</v>
      </c>
      <c r="N1952" t="str">
        <f t="shared" si="197"/>
        <v>FOR</v>
      </c>
      <c r="O1952" t="s">
        <v>69</v>
      </c>
      <c r="P1952" s="3" t="s">
        <v>75</v>
      </c>
      <c r="Q1952">
        <v>2015</v>
      </c>
      <c r="R1952" s="2">
        <v>42136</v>
      </c>
      <c r="S1952" s="2">
        <v>42174</v>
      </c>
      <c r="T1952" s="2">
        <v>42138</v>
      </c>
      <c r="U1952" s="2">
        <v>42198</v>
      </c>
      <c r="V1952" t="s">
        <v>71</v>
      </c>
      <c r="W1952" t="str">
        <f>"          5840105856"</f>
        <v xml:space="preserve">          5840105856</v>
      </c>
      <c r="X1952">
        <v>119.6</v>
      </c>
      <c r="Y1952">
        <v>0</v>
      </c>
      <c r="Z1952"/>
      <c r="AB1952"/>
      <c r="AC1952">
        <v>115</v>
      </c>
      <c r="AD1952">
        <v>254</v>
      </c>
      <c r="AE1952" s="1">
        <v>29210</v>
      </c>
      <c r="AF1952">
        <v>0</v>
      </c>
      <c r="AJ1952">
        <v>0</v>
      </c>
      <c r="AK1952">
        <v>0</v>
      </c>
      <c r="AL1952">
        <v>0</v>
      </c>
      <c r="AM1952">
        <v>0</v>
      </c>
      <c r="AN1952">
        <v>0</v>
      </c>
      <c r="AO1952">
        <v>0</v>
      </c>
      <c r="AP1952" s="2">
        <v>42746</v>
      </c>
      <c r="AQ1952" t="s">
        <v>72</v>
      </c>
      <c r="AR1952" t="s">
        <v>72</v>
      </c>
      <c r="AS1952">
        <v>757</v>
      </c>
      <c r="AT1952" s="4">
        <v>42452</v>
      </c>
      <c r="AU1952" t="s">
        <v>73</v>
      </c>
      <c r="AV1952">
        <v>757</v>
      </c>
      <c r="AW1952" s="4">
        <v>42452</v>
      </c>
      <c r="BD1952">
        <v>0</v>
      </c>
      <c r="BN1952" t="s">
        <v>74</v>
      </c>
    </row>
    <row r="1953" spans="1:66" hidden="1">
      <c r="A1953">
        <v>100695</v>
      </c>
      <c r="B1953" s="3" t="s">
        <v>227</v>
      </c>
      <c r="C1953" s="1">
        <v>43300101</v>
      </c>
      <c r="D1953" t="s">
        <v>67</v>
      </c>
      <c r="H1953" t="str">
        <f t="shared" si="200"/>
        <v>00721920155</v>
      </c>
      <c r="I1953" t="str">
        <f t="shared" si="200"/>
        <v>00721920155</v>
      </c>
      <c r="K1953" t="str">
        <f>""</f>
        <v/>
      </c>
      <c r="M1953" t="s">
        <v>68</v>
      </c>
      <c r="N1953" t="str">
        <f t="shared" ref="N1953:N2016" si="201">"FOR"</f>
        <v>FOR</v>
      </c>
      <c r="O1953" t="s">
        <v>69</v>
      </c>
      <c r="P1953" s="3" t="s">
        <v>75</v>
      </c>
      <c r="Q1953">
        <v>2015</v>
      </c>
      <c r="R1953" s="2">
        <v>42142</v>
      </c>
      <c r="S1953" s="2">
        <v>42165</v>
      </c>
      <c r="T1953" s="2">
        <v>42142</v>
      </c>
      <c r="U1953" s="2">
        <v>42202</v>
      </c>
      <c r="V1953" t="s">
        <v>71</v>
      </c>
      <c r="W1953" t="str">
        <f>"          5840106107"</f>
        <v xml:space="preserve">          5840106107</v>
      </c>
      <c r="X1953" s="1">
        <v>7920.85</v>
      </c>
      <c r="Y1953">
        <v>0</v>
      </c>
      <c r="Z1953"/>
      <c r="AB1953"/>
      <c r="AC1953" s="1">
        <v>6492.5</v>
      </c>
      <c r="AD1953">
        <v>251</v>
      </c>
      <c r="AE1953" s="1">
        <v>1629617.5</v>
      </c>
      <c r="AF1953">
        <v>0</v>
      </c>
      <c r="AJ1953">
        <v>0</v>
      </c>
      <c r="AK1953">
        <v>0</v>
      </c>
      <c r="AL1953">
        <v>0</v>
      </c>
      <c r="AM1953">
        <v>0</v>
      </c>
      <c r="AN1953">
        <v>0</v>
      </c>
      <c r="AO1953">
        <v>0</v>
      </c>
      <c r="AP1953" s="2">
        <v>42746</v>
      </c>
      <c r="AQ1953" t="s">
        <v>72</v>
      </c>
      <c r="AR1953" t="s">
        <v>72</v>
      </c>
      <c r="AS1953">
        <v>853</v>
      </c>
      <c r="AT1953" s="4">
        <v>42453</v>
      </c>
      <c r="AU1953" t="s">
        <v>73</v>
      </c>
      <c r="AV1953">
        <v>853</v>
      </c>
      <c r="AW1953" s="4">
        <v>42453</v>
      </c>
      <c r="BD1953">
        <v>0</v>
      </c>
      <c r="BN1953" t="s">
        <v>74</v>
      </c>
    </row>
    <row r="1954" spans="1:66" hidden="1">
      <c r="A1954">
        <v>100695</v>
      </c>
      <c r="B1954" s="3" t="s">
        <v>227</v>
      </c>
      <c r="C1954" s="1">
        <v>43300101</v>
      </c>
      <c r="D1954" t="s">
        <v>67</v>
      </c>
      <c r="H1954" t="str">
        <f t="shared" si="200"/>
        <v>00721920155</v>
      </c>
      <c r="I1954" t="str">
        <f t="shared" si="200"/>
        <v>00721920155</v>
      </c>
      <c r="K1954" t="str">
        <f>""</f>
        <v/>
      </c>
      <c r="M1954" t="s">
        <v>68</v>
      </c>
      <c r="N1954" t="str">
        <f t="shared" si="201"/>
        <v>FOR</v>
      </c>
      <c r="O1954" t="s">
        <v>69</v>
      </c>
      <c r="P1954" s="3" t="s">
        <v>75</v>
      </c>
      <c r="Q1954">
        <v>2015</v>
      </c>
      <c r="R1954" s="2">
        <v>42144</v>
      </c>
      <c r="S1954" s="2">
        <v>42163</v>
      </c>
      <c r="T1954" s="2">
        <v>42150</v>
      </c>
      <c r="U1954" s="2">
        <v>42210</v>
      </c>
      <c r="V1954" t="s">
        <v>71</v>
      </c>
      <c r="W1954" t="str">
        <f>"          5840106256"</f>
        <v xml:space="preserve">          5840106256</v>
      </c>
      <c r="X1954" s="1">
        <v>1887.34</v>
      </c>
      <c r="Y1954">
        <v>0</v>
      </c>
      <c r="Z1954"/>
      <c r="AB1954"/>
      <c r="AC1954" s="1">
        <v>1547</v>
      </c>
      <c r="AD1954">
        <v>243</v>
      </c>
      <c r="AE1954" s="1">
        <v>375921</v>
      </c>
      <c r="AF1954">
        <v>0</v>
      </c>
      <c r="AJ1954">
        <v>0</v>
      </c>
      <c r="AK1954">
        <v>0</v>
      </c>
      <c r="AL1954">
        <v>0</v>
      </c>
      <c r="AM1954">
        <v>0</v>
      </c>
      <c r="AN1954">
        <v>0</v>
      </c>
      <c r="AO1954">
        <v>0</v>
      </c>
      <c r="AP1954" s="2">
        <v>42746</v>
      </c>
      <c r="AQ1954" t="s">
        <v>72</v>
      </c>
      <c r="AR1954" t="s">
        <v>72</v>
      </c>
      <c r="AS1954">
        <v>853</v>
      </c>
      <c r="AT1954" s="4">
        <v>42453</v>
      </c>
      <c r="AU1954" t="s">
        <v>73</v>
      </c>
      <c r="AV1954">
        <v>853</v>
      </c>
      <c r="AW1954" s="4">
        <v>42453</v>
      </c>
      <c r="BD1954">
        <v>0</v>
      </c>
      <c r="BN1954" t="s">
        <v>74</v>
      </c>
    </row>
    <row r="1955" spans="1:66" hidden="1">
      <c r="A1955">
        <v>100695</v>
      </c>
      <c r="B1955" s="3" t="s">
        <v>227</v>
      </c>
      <c r="C1955" s="1">
        <v>43300101</v>
      </c>
      <c r="D1955" t="s">
        <v>67</v>
      </c>
      <c r="H1955" t="str">
        <f t="shared" si="200"/>
        <v>00721920155</v>
      </c>
      <c r="I1955" t="str">
        <f t="shared" si="200"/>
        <v>00721920155</v>
      </c>
      <c r="K1955" t="str">
        <f>""</f>
        <v/>
      </c>
      <c r="M1955" t="s">
        <v>68</v>
      </c>
      <c r="N1955" t="str">
        <f t="shared" si="201"/>
        <v>FOR</v>
      </c>
      <c r="O1955" t="s">
        <v>69</v>
      </c>
      <c r="P1955" s="3" t="s">
        <v>75</v>
      </c>
      <c r="Q1955">
        <v>2015</v>
      </c>
      <c r="R1955" s="2">
        <v>42145</v>
      </c>
      <c r="S1955" s="2">
        <v>42163</v>
      </c>
      <c r="T1955" s="2">
        <v>42153</v>
      </c>
      <c r="U1955" s="2">
        <v>42213</v>
      </c>
      <c r="V1955" t="s">
        <v>71</v>
      </c>
      <c r="W1955" t="str">
        <f>"          5840106301"</f>
        <v xml:space="preserve">          5840106301</v>
      </c>
      <c r="X1955">
        <v>119.6</v>
      </c>
      <c r="Y1955">
        <v>0</v>
      </c>
      <c r="Z1955"/>
      <c r="AB1955"/>
      <c r="AC1955">
        <v>115</v>
      </c>
      <c r="AD1955">
        <v>239</v>
      </c>
      <c r="AE1955" s="1">
        <v>27485</v>
      </c>
      <c r="AF1955">
        <v>0</v>
      </c>
      <c r="AJ1955">
        <v>0</v>
      </c>
      <c r="AK1955">
        <v>0</v>
      </c>
      <c r="AL1955">
        <v>0</v>
      </c>
      <c r="AM1955">
        <v>0</v>
      </c>
      <c r="AN1955">
        <v>0</v>
      </c>
      <c r="AO1955">
        <v>0</v>
      </c>
      <c r="AP1955" s="2">
        <v>42746</v>
      </c>
      <c r="AQ1955" t="s">
        <v>72</v>
      </c>
      <c r="AR1955" t="s">
        <v>72</v>
      </c>
      <c r="AS1955">
        <v>757</v>
      </c>
      <c r="AT1955" s="4">
        <v>42452</v>
      </c>
      <c r="AU1955" t="s">
        <v>73</v>
      </c>
      <c r="AV1955">
        <v>757</v>
      </c>
      <c r="AW1955" s="4">
        <v>42452</v>
      </c>
      <c r="BD1955">
        <v>0</v>
      </c>
      <c r="BN1955" t="s">
        <v>74</v>
      </c>
    </row>
    <row r="1956" spans="1:66" hidden="1">
      <c r="A1956">
        <v>100695</v>
      </c>
      <c r="B1956" s="3" t="s">
        <v>227</v>
      </c>
      <c r="C1956" s="1">
        <v>43300101</v>
      </c>
      <c r="D1956" t="s">
        <v>67</v>
      </c>
      <c r="H1956" t="str">
        <f t="shared" si="200"/>
        <v>00721920155</v>
      </c>
      <c r="I1956" t="str">
        <f t="shared" si="200"/>
        <v>00721920155</v>
      </c>
      <c r="K1956" t="str">
        <f>""</f>
        <v/>
      </c>
      <c r="M1956" t="s">
        <v>68</v>
      </c>
      <c r="N1956" t="str">
        <f t="shared" si="201"/>
        <v>FOR</v>
      </c>
      <c r="O1956" t="s">
        <v>69</v>
      </c>
      <c r="P1956" s="3" t="s">
        <v>75</v>
      </c>
      <c r="Q1956">
        <v>2015</v>
      </c>
      <c r="R1956" s="2">
        <v>42145</v>
      </c>
      <c r="S1956" s="2">
        <v>42158</v>
      </c>
      <c r="T1956" s="2">
        <v>42153</v>
      </c>
      <c r="U1956" s="2">
        <v>42213</v>
      </c>
      <c r="V1956" t="s">
        <v>71</v>
      </c>
      <c r="W1956" t="str">
        <f>"          5840106305"</f>
        <v xml:space="preserve">          5840106305</v>
      </c>
      <c r="X1956">
        <v>119.6</v>
      </c>
      <c r="Y1956">
        <v>0</v>
      </c>
      <c r="Z1956"/>
      <c r="AB1956"/>
      <c r="AC1956">
        <v>115</v>
      </c>
      <c r="AD1956">
        <v>239</v>
      </c>
      <c r="AE1956" s="1">
        <v>27485</v>
      </c>
      <c r="AF1956">
        <v>0</v>
      </c>
      <c r="AJ1956">
        <v>0</v>
      </c>
      <c r="AK1956">
        <v>0</v>
      </c>
      <c r="AL1956">
        <v>0</v>
      </c>
      <c r="AM1956">
        <v>0</v>
      </c>
      <c r="AN1956">
        <v>0</v>
      </c>
      <c r="AO1956">
        <v>0</v>
      </c>
      <c r="AP1956" s="2">
        <v>42746</v>
      </c>
      <c r="AQ1956" t="s">
        <v>72</v>
      </c>
      <c r="AR1956" t="s">
        <v>72</v>
      </c>
      <c r="AS1956">
        <v>757</v>
      </c>
      <c r="AT1956" s="4">
        <v>42452</v>
      </c>
      <c r="AU1956" t="s">
        <v>73</v>
      </c>
      <c r="AV1956">
        <v>757</v>
      </c>
      <c r="AW1956" s="4">
        <v>42452</v>
      </c>
      <c r="BD1956">
        <v>0</v>
      </c>
      <c r="BN1956" t="s">
        <v>74</v>
      </c>
    </row>
    <row r="1957" spans="1:66" hidden="1">
      <c r="A1957">
        <v>100695</v>
      </c>
      <c r="B1957" s="3" t="s">
        <v>227</v>
      </c>
      <c r="C1957" s="1">
        <v>43300101</v>
      </c>
      <c r="D1957" t="s">
        <v>67</v>
      </c>
      <c r="H1957" t="str">
        <f t="shared" si="200"/>
        <v>00721920155</v>
      </c>
      <c r="I1957" t="str">
        <f t="shared" si="200"/>
        <v>00721920155</v>
      </c>
      <c r="K1957" t="str">
        <f>""</f>
        <v/>
      </c>
      <c r="M1957" t="s">
        <v>68</v>
      </c>
      <c r="N1957" t="str">
        <f t="shared" si="201"/>
        <v>FOR</v>
      </c>
      <c r="O1957" t="s">
        <v>69</v>
      </c>
      <c r="P1957" s="3" t="s">
        <v>75</v>
      </c>
      <c r="Q1957">
        <v>2015</v>
      </c>
      <c r="R1957" s="2">
        <v>42145</v>
      </c>
      <c r="S1957" s="2">
        <v>42163</v>
      </c>
      <c r="T1957" s="2">
        <v>42153</v>
      </c>
      <c r="U1957" s="2">
        <v>42213</v>
      </c>
      <c r="V1957" t="s">
        <v>71</v>
      </c>
      <c r="W1957" t="str">
        <f>"          5840106306"</f>
        <v xml:space="preserve">          5840106306</v>
      </c>
      <c r="X1957">
        <v>119.6</v>
      </c>
      <c r="Y1957">
        <v>0</v>
      </c>
      <c r="Z1957"/>
      <c r="AB1957"/>
      <c r="AC1957">
        <v>115</v>
      </c>
      <c r="AD1957">
        <v>239</v>
      </c>
      <c r="AE1957" s="1">
        <v>27485</v>
      </c>
      <c r="AF1957">
        <v>0</v>
      </c>
      <c r="AJ1957">
        <v>0</v>
      </c>
      <c r="AK1957">
        <v>0</v>
      </c>
      <c r="AL1957">
        <v>0</v>
      </c>
      <c r="AM1957">
        <v>0</v>
      </c>
      <c r="AN1957">
        <v>0</v>
      </c>
      <c r="AO1957">
        <v>0</v>
      </c>
      <c r="AP1957" s="2">
        <v>42746</v>
      </c>
      <c r="AQ1957" t="s">
        <v>72</v>
      </c>
      <c r="AR1957" t="s">
        <v>72</v>
      </c>
      <c r="AS1957">
        <v>757</v>
      </c>
      <c r="AT1957" s="4">
        <v>42452</v>
      </c>
      <c r="AU1957" t="s">
        <v>73</v>
      </c>
      <c r="AV1957">
        <v>757</v>
      </c>
      <c r="AW1957" s="4">
        <v>42452</v>
      </c>
      <c r="BD1957">
        <v>0</v>
      </c>
      <c r="BN1957" t="s">
        <v>74</v>
      </c>
    </row>
    <row r="1958" spans="1:66" hidden="1">
      <c r="A1958">
        <v>100695</v>
      </c>
      <c r="B1958" s="3" t="s">
        <v>227</v>
      </c>
      <c r="C1958" s="1">
        <v>43300101</v>
      </c>
      <c r="D1958" t="s">
        <v>67</v>
      </c>
      <c r="H1958" t="str">
        <f t="shared" si="200"/>
        <v>00721920155</v>
      </c>
      <c r="I1958" t="str">
        <f t="shared" si="200"/>
        <v>00721920155</v>
      </c>
      <c r="K1958" t="str">
        <f>""</f>
        <v/>
      </c>
      <c r="M1958" t="s">
        <v>68</v>
      </c>
      <c r="N1958" t="str">
        <f t="shared" si="201"/>
        <v>FOR</v>
      </c>
      <c r="O1958" t="s">
        <v>69</v>
      </c>
      <c r="P1958" s="3" t="s">
        <v>75</v>
      </c>
      <c r="Q1958">
        <v>2015</v>
      </c>
      <c r="R1958" s="2">
        <v>42145</v>
      </c>
      <c r="S1958" s="2">
        <v>42163</v>
      </c>
      <c r="T1958" s="2">
        <v>42153</v>
      </c>
      <c r="U1958" s="2">
        <v>42213</v>
      </c>
      <c r="V1958" t="s">
        <v>71</v>
      </c>
      <c r="W1958" t="str">
        <f>"          5840106307"</f>
        <v xml:space="preserve">          5840106307</v>
      </c>
      <c r="X1958">
        <v>119.6</v>
      </c>
      <c r="Y1958">
        <v>0</v>
      </c>
      <c r="Z1958"/>
      <c r="AB1958"/>
      <c r="AC1958">
        <v>115</v>
      </c>
      <c r="AD1958">
        <v>239</v>
      </c>
      <c r="AE1958" s="1">
        <v>27485</v>
      </c>
      <c r="AF1958">
        <v>0</v>
      </c>
      <c r="AJ1958">
        <v>0</v>
      </c>
      <c r="AK1958">
        <v>0</v>
      </c>
      <c r="AL1958">
        <v>0</v>
      </c>
      <c r="AM1958">
        <v>0</v>
      </c>
      <c r="AN1958">
        <v>0</v>
      </c>
      <c r="AO1958">
        <v>0</v>
      </c>
      <c r="AP1958" s="2">
        <v>42746</v>
      </c>
      <c r="AQ1958" t="s">
        <v>72</v>
      </c>
      <c r="AR1958" t="s">
        <v>72</v>
      </c>
      <c r="AS1958">
        <v>757</v>
      </c>
      <c r="AT1958" s="4">
        <v>42452</v>
      </c>
      <c r="AU1958" t="s">
        <v>73</v>
      </c>
      <c r="AV1958">
        <v>757</v>
      </c>
      <c r="AW1958" s="4">
        <v>42452</v>
      </c>
      <c r="BD1958">
        <v>0</v>
      </c>
      <c r="BN1958" t="s">
        <v>74</v>
      </c>
    </row>
    <row r="1959" spans="1:66" hidden="1">
      <c r="A1959">
        <v>100695</v>
      </c>
      <c r="B1959" s="3" t="s">
        <v>227</v>
      </c>
      <c r="C1959" s="1">
        <v>43300101</v>
      </c>
      <c r="D1959" t="s">
        <v>67</v>
      </c>
      <c r="H1959" t="str">
        <f t="shared" si="200"/>
        <v>00721920155</v>
      </c>
      <c r="I1959" t="str">
        <f t="shared" si="200"/>
        <v>00721920155</v>
      </c>
      <c r="K1959" t="str">
        <f>""</f>
        <v/>
      </c>
      <c r="M1959" t="s">
        <v>68</v>
      </c>
      <c r="N1959" t="str">
        <f t="shared" si="201"/>
        <v>FOR</v>
      </c>
      <c r="O1959" t="s">
        <v>69</v>
      </c>
      <c r="P1959" s="3" t="s">
        <v>75</v>
      </c>
      <c r="Q1959">
        <v>2015</v>
      </c>
      <c r="R1959" s="2">
        <v>42145</v>
      </c>
      <c r="S1959" s="2">
        <v>42158</v>
      </c>
      <c r="T1959" s="2">
        <v>42153</v>
      </c>
      <c r="U1959" s="2">
        <v>42213</v>
      </c>
      <c r="V1959" t="s">
        <v>71</v>
      </c>
      <c r="W1959" t="str">
        <f>"          5840106309"</f>
        <v xml:space="preserve">          5840106309</v>
      </c>
      <c r="X1959">
        <v>119.6</v>
      </c>
      <c r="Y1959">
        <v>0</v>
      </c>
      <c r="Z1959"/>
      <c r="AB1959"/>
      <c r="AC1959">
        <v>115</v>
      </c>
      <c r="AD1959">
        <v>239</v>
      </c>
      <c r="AE1959" s="1">
        <v>27485</v>
      </c>
      <c r="AF1959">
        <v>0</v>
      </c>
      <c r="AJ1959">
        <v>0</v>
      </c>
      <c r="AK1959">
        <v>0</v>
      </c>
      <c r="AL1959">
        <v>0</v>
      </c>
      <c r="AM1959">
        <v>0</v>
      </c>
      <c r="AN1959">
        <v>0</v>
      </c>
      <c r="AO1959">
        <v>0</v>
      </c>
      <c r="AP1959" s="2">
        <v>42746</v>
      </c>
      <c r="AQ1959" t="s">
        <v>72</v>
      </c>
      <c r="AR1959" t="s">
        <v>72</v>
      </c>
      <c r="AS1959">
        <v>757</v>
      </c>
      <c r="AT1959" s="4">
        <v>42452</v>
      </c>
      <c r="AU1959" t="s">
        <v>73</v>
      </c>
      <c r="AV1959">
        <v>757</v>
      </c>
      <c r="AW1959" s="4">
        <v>42452</v>
      </c>
      <c r="BD1959">
        <v>0</v>
      </c>
      <c r="BN1959" t="s">
        <v>74</v>
      </c>
    </row>
    <row r="1960" spans="1:66" hidden="1">
      <c r="A1960">
        <v>100695</v>
      </c>
      <c r="B1960" s="3" t="s">
        <v>227</v>
      </c>
      <c r="C1960" s="1">
        <v>43300101</v>
      </c>
      <c r="D1960" t="s">
        <v>67</v>
      </c>
      <c r="H1960" t="str">
        <f t="shared" si="200"/>
        <v>00721920155</v>
      </c>
      <c r="I1960" t="str">
        <f t="shared" si="200"/>
        <v>00721920155</v>
      </c>
      <c r="K1960" t="str">
        <f>""</f>
        <v/>
      </c>
      <c r="M1960" t="s">
        <v>68</v>
      </c>
      <c r="N1960" t="str">
        <f t="shared" si="201"/>
        <v>FOR</v>
      </c>
      <c r="O1960" t="s">
        <v>69</v>
      </c>
      <c r="P1960" s="3" t="s">
        <v>75</v>
      </c>
      <c r="Q1960">
        <v>2015</v>
      </c>
      <c r="R1960" s="2">
        <v>42145</v>
      </c>
      <c r="S1960" s="2">
        <v>42163</v>
      </c>
      <c r="T1960" s="2">
        <v>42153</v>
      </c>
      <c r="U1960" s="2">
        <v>42213</v>
      </c>
      <c r="V1960" t="s">
        <v>71</v>
      </c>
      <c r="W1960" t="str">
        <f>"          5840106311"</f>
        <v xml:space="preserve">          5840106311</v>
      </c>
      <c r="X1960">
        <v>119.6</v>
      </c>
      <c r="Y1960">
        <v>0</v>
      </c>
      <c r="Z1960"/>
      <c r="AB1960"/>
      <c r="AC1960">
        <v>115</v>
      </c>
      <c r="AD1960">
        <v>239</v>
      </c>
      <c r="AE1960" s="1">
        <v>27485</v>
      </c>
      <c r="AF1960">
        <v>0</v>
      </c>
      <c r="AJ1960">
        <v>0</v>
      </c>
      <c r="AK1960">
        <v>0</v>
      </c>
      <c r="AL1960">
        <v>0</v>
      </c>
      <c r="AM1960">
        <v>0</v>
      </c>
      <c r="AN1960">
        <v>0</v>
      </c>
      <c r="AO1960">
        <v>0</v>
      </c>
      <c r="AP1960" s="2">
        <v>42746</v>
      </c>
      <c r="AQ1960" t="s">
        <v>72</v>
      </c>
      <c r="AR1960" t="s">
        <v>72</v>
      </c>
      <c r="AS1960">
        <v>757</v>
      </c>
      <c r="AT1960" s="4">
        <v>42452</v>
      </c>
      <c r="AU1960" t="s">
        <v>73</v>
      </c>
      <c r="AV1960">
        <v>757</v>
      </c>
      <c r="AW1960" s="4">
        <v>42452</v>
      </c>
      <c r="BD1960">
        <v>0</v>
      </c>
      <c r="BN1960" t="s">
        <v>74</v>
      </c>
    </row>
    <row r="1961" spans="1:66" hidden="1">
      <c r="A1961">
        <v>100695</v>
      </c>
      <c r="B1961" s="3" t="s">
        <v>227</v>
      </c>
      <c r="C1961" s="1">
        <v>43300101</v>
      </c>
      <c r="D1961" t="s">
        <v>67</v>
      </c>
      <c r="H1961" t="str">
        <f t="shared" si="200"/>
        <v>00721920155</v>
      </c>
      <c r="I1961" t="str">
        <f t="shared" si="200"/>
        <v>00721920155</v>
      </c>
      <c r="K1961" t="str">
        <f>""</f>
        <v/>
      </c>
      <c r="M1961" t="s">
        <v>68</v>
      </c>
      <c r="N1961" t="str">
        <f t="shared" si="201"/>
        <v>FOR</v>
      </c>
      <c r="O1961" t="s">
        <v>69</v>
      </c>
      <c r="P1961" s="3" t="s">
        <v>75</v>
      </c>
      <c r="Q1961">
        <v>2015</v>
      </c>
      <c r="R1961" s="2">
        <v>42145</v>
      </c>
      <c r="S1961" s="2">
        <v>42160</v>
      </c>
      <c r="T1961" s="2">
        <v>42153</v>
      </c>
      <c r="U1961" s="2">
        <v>42213</v>
      </c>
      <c r="V1961" t="s">
        <v>71</v>
      </c>
      <c r="W1961" t="str">
        <f>"          5840106313"</f>
        <v xml:space="preserve">          5840106313</v>
      </c>
      <c r="X1961">
        <v>119.6</v>
      </c>
      <c r="Y1961">
        <v>0</v>
      </c>
      <c r="Z1961"/>
      <c r="AB1961"/>
      <c r="AC1961">
        <v>115</v>
      </c>
      <c r="AD1961">
        <v>239</v>
      </c>
      <c r="AE1961" s="1">
        <v>27485</v>
      </c>
      <c r="AF1961">
        <v>0</v>
      </c>
      <c r="AJ1961">
        <v>0</v>
      </c>
      <c r="AK1961">
        <v>0</v>
      </c>
      <c r="AL1961">
        <v>0</v>
      </c>
      <c r="AM1961">
        <v>0</v>
      </c>
      <c r="AN1961">
        <v>0</v>
      </c>
      <c r="AO1961">
        <v>0</v>
      </c>
      <c r="AP1961" s="2">
        <v>42746</v>
      </c>
      <c r="AQ1961" t="s">
        <v>72</v>
      </c>
      <c r="AR1961" t="s">
        <v>72</v>
      </c>
      <c r="AS1961">
        <v>757</v>
      </c>
      <c r="AT1961" s="4">
        <v>42452</v>
      </c>
      <c r="AU1961" t="s">
        <v>73</v>
      </c>
      <c r="AV1961">
        <v>757</v>
      </c>
      <c r="AW1961" s="4">
        <v>42452</v>
      </c>
      <c r="BD1961">
        <v>0</v>
      </c>
      <c r="BN1961" t="s">
        <v>74</v>
      </c>
    </row>
    <row r="1962" spans="1:66" hidden="1">
      <c r="A1962">
        <v>100695</v>
      </c>
      <c r="B1962" s="3" t="s">
        <v>227</v>
      </c>
      <c r="C1962" s="1">
        <v>43300101</v>
      </c>
      <c r="D1962" t="s">
        <v>67</v>
      </c>
      <c r="H1962" t="str">
        <f t="shared" si="200"/>
        <v>00721920155</v>
      </c>
      <c r="I1962" t="str">
        <f t="shared" si="200"/>
        <v>00721920155</v>
      </c>
      <c r="K1962" t="str">
        <f>""</f>
        <v/>
      </c>
      <c r="M1962" t="s">
        <v>68</v>
      </c>
      <c r="N1962" t="str">
        <f t="shared" si="201"/>
        <v>FOR</v>
      </c>
      <c r="O1962" t="s">
        <v>69</v>
      </c>
      <c r="P1962" s="3" t="s">
        <v>75</v>
      </c>
      <c r="Q1962">
        <v>2015</v>
      </c>
      <c r="R1962" s="2">
        <v>42145</v>
      </c>
      <c r="S1962" s="2">
        <v>42163</v>
      </c>
      <c r="T1962" s="2">
        <v>42153</v>
      </c>
      <c r="U1962" s="2">
        <v>42213</v>
      </c>
      <c r="V1962" t="s">
        <v>71</v>
      </c>
      <c r="W1962" t="str">
        <f>"          5840106314"</f>
        <v xml:space="preserve">          5840106314</v>
      </c>
      <c r="X1962">
        <v>119.6</v>
      </c>
      <c r="Y1962">
        <v>0</v>
      </c>
      <c r="Z1962"/>
      <c r="AB1962"/>
      <c r="AC1962">
        <v>115</v>
      </c>
      <c r="AD1962">
        <v>239</v>
      </c>
      <c r="AE1962" s="1">
        <v>27485</v>
      </c>
      <c r="AF1962">
        <v>0</v>
      </c>
      <c r="AJ1962">
        <v>0</v>
      </c>
      <c r="AK1962">
        <v>0</v>
      </c>
      <c r="AL1962">
        <v>0</v>
      </c>
      <c r="AM1962">
        <v>0</v>
      </c>
      <c r="AN1962">
        <v>0</v>
      </c>
      <c r="AO1962">
        <v>0</v>
      </c>
      <c r="AP1962" s="2">
        <v>42746</v>
      </c>
      <c r="AQ1962" t="s">
        <v>72</v>
      </c>
      <c r="AR1962" t="s">
        <v>72</v>
      </c>
      <c r="AS1962">
        <v>757</v>
      </c>
      <c r="AT1962" s="4">
        <v>42452</v>
      </c>
      <c r="AU1962" t="s">
        <v>73</v>
      </c>
      <c r="AV1962">
        <v>757</v>
      </c>
      <c r="AW1962" s="4">
        <v>42452</v>
      </c>
      <c r="BD1962">
        <v>0</v>
      </c>
      <c r="BN1962" t="s">
        <v>74</v>
      </c>
    </row>
    <row r="1963" spans="1:66" hidden="1">
      <c r="A1963">
        <v>100695</v>
      </c>
      <c r="B1963" s="3" t="s">
        <v>227</v>
      </c>
      <c r="C1963" s="1">
        <v>43300101</v>
      </c>
      <c r="D1963" t="s">
        <v>67</v>
      </c>
      <c r="H1963" t="str">
        <f t="shared" si="200"/>
        <v>00721920155</v>
      </c>
      <c r="I1963" t="str">
        <f t="shared" si="200"/>
        <v>00721920155</v>
      </c>
      <c r="K1963" t="str">
        <f>""</f>
        <v/>
      </c>
      <c r="M1963" t="s">
        <v>68</v>
      </c>
      <c r="N1963" t="str">
        <f t="shared" si="201"/>
        <v>FOR</v>
      </c>
      <c r="O1963" t="s">
        <v>69</v>
      </c>
      <c r="P1963" s="3" t="s">
        <v>75</v>
      </c>
      <c r="Q1963">
        <v>2015</v>
      </c>
      <c r="R1963" s="2">
        <v>42145</v>
      </c>
      <c r="S1963" s="2">
        <v>42163</v>
      </c>
      <c r="T1963" s="2">
        <v>42153</v>
      </c>
      <c r="U1963" s="2">
        <v>42213</v>
      </c>
      <c r="V1963" t="s">
        <v>71</v>
      </c>
      <c r="W1963" t="str">
        <f>"          5840106316"</f>
        <v xml:space="preserve">          5840106316</v>
      </c>
      <c r="X1963">
        <v>119.6</v>
      </c>
      <c r="Y1963">
        <v>0</v>
      </c>
      <c r="Z1963"/>
      <c r="AB1963"/>
      <c r="AC1963">
        <v>115</v>
      </c>
      <c r="AD1963">
        <v>239</v>
      </c>
      <c r="AE1963" s="1">
        <v>27485</v>
      </c>
      <c r="AF1963">
        <v>0</v>
      </c>
      <c r="AJ1963">
        <v>0</v>
      </c>
      <c r="AK1963">
        <v>0</v>
      </c>
      <c r="AL1963">
        <v>0</v>
      </c>
      <c r="AM1963">
        <v>0</v>
      </c>
      <c r="AN1963">
        <v>0</v>
      </c>
      <c r="AO1963">
        <v>0</v>
      </c>
      <c r="AP1963" s="2">
        <v>42746</v>
      </c>
      <c r="AQ1963" t="s">
        <v>72</v>
      </c>
      <c r="AR1963" t="s">
        <v>72</v>
      </c>
      <c r="AS1963">
        <v>757</v>
      </c>
      <c r="AT1963" s="4">
        <v>42452</v>
      </c>
      <c r="AU1963" t="s">
        <v>73</v>
      </c>
      <c r="AV1963">
        <v>757</v>
      </c>
      <c r="AW1963" s="4">
        <v>42452</v>
      </c>
      <c r="BD1963">
        <v>0</v>
      </c>
      <c r="BN1963" t="s">
        <v>74</v>
      </c>
    </row>
    <row r="1964" spans="1:66" hidden="1">
      <c r="A1964">
        <v>100695</v>
      </c>
      <c r="B1964" s="3" t="s">
        <v>227</v>
      </c>
      <c r="C1964" s="1">
        <v>43300101</v>
      </c>
      <c r="D1964" t="s">
        <v>67</v>
      </c>
      <c r="H1964" t="str">
        <f t="shared" si="200"/>
        <v>00721920155</v>
      </c>
      <c r="I1964" t="str">
        <f t="shared" si="200"/>
        <v>00721920155</v>
      </c>
      <c r="K1964" t="str">
        <f>""</f>
        <v/>
      </c>
      <c r="M1964" t="s">
        <v>68</v>
      </c>
      <c r="N1964" t="str">
        <f t="shared" si="201"/>
        <v>FOR</v>
      </c>
      <c r="O1964" t="s">
        <v>69</v>
      </c>
      <c r="P1964" s="3" t="s">
        <v>75</v>
      </c>
      <c r="Q1964">
        <v>2015</v>
      </c>
      <c r="R1964" s="2">
        <v>42145</v>
      </c>
      <c r="S1964" s="2">
        <v>42158</v>
      </c>
      <c r="T1964" s="2">
        <v>42153</v>
      </c>
      <c r="U1964" s="2">
        <v>42213</v>
      </c>
      <c r="V1964" t="s">
        <v>71</v>
      </c>
      <c r="W1964" t="str">
        <f>"          5840106317"</f>
        <v xml:space="preserve">          5840106317</v>
      </c>
      <c r="X1964">
        <v>119.6</v>
      </c>
      <c r="Y1964">
        <v>0</v>
      </c>
      <c r="Z1964"/>
      <c r="AB1964"/>
      <c r="AC1964">
        <v>115</v>
      </c>
      <c r="AD1964">
        <v>239</v>
      </c>
      <c r="AE1964" s="1">
        <v>27485</v>
      </c>
      <c r="AF1964">
        <v>0</v>
      </c>
      <c r="AJ1964">
        <v>0</v>
      </c>
      <c r="AK1964">
        <v>0</v>
      </c>
      <c r="AL1964">
        <v>0</v>
      </c>
      <c r="AM1964">
        <v>0</v>
      </c>
      <c r="AN1964">
        <v>0</v>
      </c>
      <c r="AO1964">
        <v>0</v>
      </c>
      <c r="AP1964" s="2">
        <v>42746</v>
      </c>
      <c r="AQ1964" t="s">
        <v>72</v>
      </c>
      <c r="AR1964" t="s">
        <v>72</v>
      </c>
      <c r="AS1964">
        <v>757</v>
      </c>
      <c r="AT1964" s="4">
        <v>42452</v>
      </c>
      <c r="AU1964" t="s">
        <v>73</v>
      </c>
      <c r="AV1964">
        <v>757</v>
      </c>
      <c r="AW1964" s="4">
        <v>42452</v>
      </c>
      <c r="BD1964">
        <v>0</v>
      </c>
      <c r="BN1964" t="s">
        <v>74</v>
      </c>
    </row>
    <row r="1965" spans="1:66" hidden="1">
      <c r="A1965">
        <v>100695</v>
      </c>
      <c r="B1965" s="3" t="s">
        <v>227</v>
      </c>
      <c r="C1965" s="1">
        <v>43300101</v>
      </c>
      <c r="D1965" t="s">
        <v>67</v>
      </c>
      <c r="H1965" t="str">
        <f t="shared" si="200"/>
        <v>00721920155</v>
      </c>
      <c r="I1965" t="str">
        <f t="shared" si="200"/>
        <v>00721920155</v>
      </c>
      <c r="K1965" t="str">
        <f>""</f>
        <v/>
      </c>
      <c r="M1965" t="s">
        <v>68</v>
      </c>
      <c r="N1965" t="str">
        <f t="shared" si="201"/>
        <v>FOR</v>
      </c>
      <c r="O1965" t="s">
        <v>69</v>
      </c>
      <c r="P1965" s="3" t="s">
        <v>75</v>
      </c>
      <c r="Q1965">
        <v>2015</v>
      </c>
      <c r="R1965" s="2">
        <v>42145</v>
      </c>
      <c r="S1965" s="2">
        <v>42163</v>
      </c>
      <c r="T1965" s="2">
        <v>42153</v>
      </c>
      <c r="U1965" s="2">
        <v>42213</v>
      </c>
      <c r="V1965" t="s">
        <v>71</v>
      </c>
      <c r="W1965" t="str">
        <f>"          5840106321"</f>
        <v xml:space="preserve">          5840106321</v>
      </c>
      <c r="X1965">
        <v>119.6</v>
      </c>
      <c r="Y1965">
        <v>0</v>
      </c>
      <c r="Z1965"/>
      <c r="AB1965"/>
      <c r="AC1965">
        <v>115</v>
      </c>
      <c r="AD1965">
        <v>239</v>
      </c>
      <c r="AE1965" s="1">
        <v>27485</v>
      </c>
      <c r="AF1965">
        <v>0</v>
      </c>
      <c r="AJ1965">
        <v>0</v>
      </c>
      <c r="AK1965">
        <v>0</v>
      </c>
      <c r="AL1965">
        <v>0</v>
      </c>
      <c r="AM1965">
        <v>0</v>
      </c>
      <c r="AN1965">
        <v>0</v>
      </c>
      <c r="AO1965">
        <v>0</v>
      </c>
      <c r="AP1965" s="2">
        <v>42746</v>
      </c>
      <c r="AQ1965" t="s">
        <v>72</v>
      </c>
      <c r="AR1965" t="s">
        <v>72</v>
      </c>
      <c r="AS1965">
        <v>757</v>
      </c>
      <c r="AT1965" s="4">
        <v>42452</v>
      </c>
      <c r="AU1965" t="s">
        <v>73</v>
      </c>
      <c r="AV1965">
        <v>757</v>
      </c>
      <c r="AW1965" s="4">
        <v>42452</v>
      </c>
      <c r="BD1965">
        <v>0</v>
      </c>
      <c r="BN1965" t="s">
        <v>74</v>
      </c>
    </row>
    <row r="1966" spans="1:66" hidden="1">
      <c r="A1966">
        <v>100695</v>
      </c>
      <c r="B1966" s="3" t="s">
        <v>227</v>
      </c>
      <c r="C1966" s="1">
        <v>43300101</v>
      </c>
      <c r="D1966" t="s">
        <v>67</v>
      </c>
      <c r="H1966" t="str">
        <f t="shared" si="200"/>
        <v>00721920155</v>
      </c>
      <c r="I1966" t="str">
        <f t="shared" si="200"/>
        <v>00721920155</v>
      </c>
      <c r="K1966" t="str">
        <f>""</f>
        <v/>
      </c>
      <c r="M1966" t="s">
        <v>68</v>
      </c>
      <c r="N1966" t="str">
        <f t="shared" si="201"/>
        <v>FOR</v>
      </c>
      <c r="O1966" t="s">
        <v>69</v>
      </c>
      <c r="P1966" s="3" t="s">
        <v>75</v>
      </c>
      <c r="Q1966">
        <v>2015</v>
      </c>
      <c r="R1966" s="2">
        <v>42145</v>
      </c>
      <c r="S1966" s="2">
        <v>42160</v>
      </c>
      <c r="T1966" s="2">
        <v>42153</v>
      </c>
      <c r="U1966" s="2">
        <v>42213</v>
      </c>
      <c r="V1966" t="s">
        <v>71</v>
      </c>
      <c r="W1966" t="str">
        <f>"          5840106322"</f>
        <v xml:space="preserve">          5840106322</v>
      </c>
      <c r="X1966">
        <v>119.6</v>
      </c>
      <c r="Y1966">
        <v>0</v>
      </c>
      <c r="Z1966"/>
      <c r="AB1966"/>
      <c r="AC1966">
        <v>115</v>
      </c>
      <c r="AD1966">
        <v>239</v>
      </c>
      <c r="AE1966" s="1">
        <v>27485</v>
      </c>
      <c r="AF1966">
        <v>0</v>
      </c>
      <c r="AJ1966">
        <v>0</v>
      </c>
      <c r="AK1966">
        <v>0</v>
      </c>
      <c r="AL1966">
        <v>0</v>
      </c>
      <c r="AM1966">
        <v>0</v>
      </c>
      <c r="AN1966">
        <v>0</v>
      </c>
      <c r="AO1966">
        <v>0</v>
      </c>
      <c r="AP1966" s="2">
        <v>42746</v>
      </c>
      <c r="AQ1966" t="s">
        <v>72</v>
      </c>
      <c r="AR1966" t="s">
        <v>72</v>
      </c>
      <c r="AS1966">
        <v>757</v>
      </c>
      <c r="AT1966" s="4">
        <v>42452</v>
      </c>
      <c r="AU1966" t="s">
        <v>73</v>
      </c>
      <c r="AV1966">
        <v>757</v>
      </c>
      <c r="AW1966" s="4">
        <v>42452</v>
      </c>
      <c r="BD1966">
        <v>0</v>
      </c>
      <c r="BN1966" t="s">
        <v>74</v>
      </c>
    </row>
    <row r="1967" spans="1:66" hidden="1">
      <c r="A1967">
        <v>100695</v>
      </c>
      <c r="B1967" s="3" t="s">
        <v>227</v>
      </c>
      <c r="C1967" s="1">
        <v>43300101</v>
      </c>
      <c r="D1967" t="s">
        <v>67</v>
      </c>
      <c r="H1967" t="str">
        <f t="shared" si="200"/>
        <v>00721920155</v>
      </c>
      <c r="I1967" t="str">
        <f t="shared" si="200"/>
        <v>00721920155</v>
      </c>
      <c r="K1967" t="str">
        <f>""</f>
        <v/>
      </c>
      <c r="M1967" t="s">
        <v>68</v>
      </c>
      <c r="N1967" t="str">
        <f t="shared" si="201"/>
        <v>FOR</v>
      </c>
      <c r="O1967" t="s">
        <v>69</v>
      </c>
      <c r="P1967" s="3" t="s">
        <v>75</v>
      </c>
      <c r="Q1967">
        <v>2015</v>
      </c>
      <c r="R1967" s="2">
        <v>42145</v>
      </c>
      <c r="S1967" s="2">
        <v>42163</v>
      </c>
      <c r="T1967" s="2">
        <v>42153</v>
      </c>
      <c r="U1967" s="2">
        <v>42213</v>
      </c>
      <c r="V1967" t="s">
        <v>71</v>
      </c>
      <c r="W1967" t="str">
        <f>"          5840106323"</f>
        <v xml:space="preserve">          5840106323</v>
      </c>
      <c r="X1967">
        <v>119.6</v>
      </c>
      <c r="Y1967">
        <v>0</v>
      </c>
      <c r="Z1967"/>
      <c r="AB1967"/>
      <c r="AC1967">
        <v>115</v>
      </c>
      <c r="AD1967">
        <v>239</v>
      </c>
      <c r="AE1967" s="1">
        <v>27485</v>
      </c>
      <c r="AF1967">
        <v>0</v>
      </c>
      <c r="AJ1967">
        <v>0</v>
      </c>
      <c r="AK1967">
        <v>0</v>
      </c>
      <c r="AL1967">
        <v>0</v>
      </c>
      <c r="AM1967">
        <v>0</v>
      </c>
      <c r="AN1967">
        <v>0</v>
      </c>
      <c r="AO1967">
        <v>0</v>
      </c>
      <c r="AP1967" s="2">
        <v>42746</v>
      </c>
      <c r="AQ1967" t="s">
        <v>72</v>
      </c>
      <c r="AR1967" t="s">
        <v>72</v>
      </c>
      <c r="AS1967">
        <v>757</v>
      </c>
      <c r="AT1967" s="4">
        <v>42452</v>
      </c>
      <c r="AU1967" t="s">
        <v>73</v>
      </c>
      <c r="AV1967">
        <v>757</v>
      </c>
      <c r="AW1967" s="4">
        <v>42452</v>
      </c>
      <c r="BD1967">
        <v>0</v>
      </c>
      <c r="BN1967" t="s">
        <v>74</v>
      </c>
    </row>
    <row r="1968" spans="1:66" hidden="1">
      <c r="A1968">
        <v>100695</v>
      </c>
      <c r="B1968" s="3" t="s">
        <v>227</v>
      </c>
      <c r="C1968" s="1">
        <v>43300101</v>
      </c>
      <c r="D1968" t="s">
        <v>67</v>
      </c>
      <c r="H1968" t="str">
        <f t="shared" si="200"/>
        <v>00721920155</v>
      </c>
      <c r="I1968" t="str">
        <f t="shared" si="200"/>
        <v>00721920155</v>
      </c>
      <c r="K1968" t="str">
        <f>""</f>
        <v/>
      </c>
      <c r="M1968" t="s">
        <v>68</v>
      </c>
      <c r="N1968" t="str">
        <f t="shared" si="201"/>
        <v>FOR</v>
      </c>
      <c r="O1968" t="s">
        <v>69</v>
      </c>
      <c r="P1968" s="3" t="s">
        <v>75</v>
      </c>
      <c r="Q1968">
        <v>2015</v>
      </c>
      <c r="R1968" s="2">
        <v>42145</v>
      </c>
      <c r="S1968" s="2">
        <v>42163</v>
      </c>
      <c r="T1968" s="2">
        <v>42153</v>
      </c>
      <c r="U1968" s="2">
        <v>42213</v>
      </c>
      <c r="V1968" t="s">
        <v>71</v>
      </c>
      <c r="W1968" t="str">
        <f>"          5840106324"</f>
        <v xml:space="preserve">          5840106324</v>
      </c>
      <c r="X1968">
        <v>119.6</v>
      </c>
      <c r="Y1968">
        <v>0</v>
      </c>
      <c r="Z1968"/>
      <c r="AB1968"/>
      <c r="AC1968">
        <v>115</v>
      </c>
      <c r="AD1968">
        <v>239</v>
      </c>
      <c r="AE1968" s="1">
        <v>27485</v>
      </c>
      <c r="AF1968">
        <v>0</v>
      </c>
      <c r="AJ1968">
        <v>0</v>
      </c>
      <c r="AK1968">
        <v>0</v>
      </c>
      <c r="AL1968">
        <v>0</v>
      </c>
      <c r="AM1968">
        <v>0</v>
      </c>
      <c r="AN1968">
        <v>0</v>
      </c>
      <c r="AO1968">
        <v>0</v>
      </c>
      <c r="AP1968" s="2">
        <v>42746</v>
      </c>
      <c r="AQ1968" t="s">
        <v>72</v>
      </c>
      <c r="AR1968" t="s">
        <v>72</v>
      </c>
      <c r="AS1968">
        <v>757</v>
      </c>
      <c r="AT1968" s="4">
        <v>42452</v>
      </c>
      <c r="AU1968" t="s">
        <v>73</v>
      </c>
      <c r="AV1968">
        <v>757</v>
      </c>
      <c r="AW1968" s="4">
        <v>42452</v>
      </c>
      <c r="BD1968">
        <v>0</v>
      </c>
      <c r="BN1968" t="s">
        <v>74</v>
      </c>
    </row>
    <row r="1969" spans="1:66" hidden="1">
      <c r="A1969">
        <v>100695</v>
      </c>
      <c r="B1969" s="3" t="s">
        <v>227</v>
      </c>
      <c r="C1969" s="1">
        <v>43300101</v>
      </c>
      <c r="D1969" t="s">
        <v>67</v>
      </c>
      <c r="H1969" t="str">
        <f t="shared" ref="H1969:I1988" si="202">"00721920155"</f>
        <v>00721920155</v>
      </c>
      <c r="I1969" t="str">
        <f t="shared" si="202"/>
        <v>00721920155</v>
      </c>
      <c r="K1969" t="str">
        <f>""</f>
        <v/>
      </c>
      <c r="M1969" t="s">
        <v>68</v>
      </c>
      <c r="N1969" t="str">
        <f t="shared" si="201"/>
        <v>FOR</v>
      </c>
      <c r="O1969" t="s">
        <v>69</v>
      </c>
      <c r="P1969" s="3" t="s">
        <v>75</v>
      </c>
      <c r="Q1969">
        <v>2015</v>
      </c>
      <c r="R1969" s="2">
        <v>42145</v>
      </c>
      <c r="S1969" s="2">
        <v>42160</v>
      </c>
      <c r="T1969" s="2">
        <v>42153</v>
      </c>
      <c r="U1969" s="2">
        <v>42213</v>
      </c>
      <c r="V1969" t="s">
        <v>71</v>
      </c>
      <c r="W1969" t="str">
        <f>"          5840106325"</f>
        <v xml:space="preserve">          5840106325</v>
      </c>
      <c r="X1969">
        <v>119.6</v>
      </c>
      <c r="Y1969">
        <v>0</v>
      </c>
      <c r="Z1969"/>
      <c r="AB1969"/>
      <c r="AC1969">
        <v>115</v>
      </c>
      <c r="AD1969">
        <v>239</v>
      </c>
      <c r="AE1969" s="1">
        <v>27485</v>
      </c>
      <c r="AF1969">
        <v>0</v>
      </c>
      <c r="AJ1969">
        <v>0</v>
      </c>
      <c r="AK1969">
        <v>0</v>
      </c>
      <c r="AL1969">
        <v>0</v>
      </c>
      <c r="AM1969">
        <v>0</v>
      </c>
      <c r="AN1969">
        <v>0</v>
      </c>
      <c r="AO1969">
        <v>0</v>
      </c>
      <c r="AP1969" s="2">
        <v>42746</v>
      </c>
      <c r="AQ1969" t="s">
        <v>72</v>
      </c>
      <c r="AR1969" t="s">
        <v>72</v>
      </c>
      <c r="AS1969">
        <v>757</v>
      </c>
      <c r="AT1969" s="4">
        <v>42452</v>
      </c>
      <c r="AU1969" t="s">
        <v>73</v>
      </c>
      <c r="AV1969">
        <v>757</v>
      </c>
      <c r="AW1969" s="4">
        <v>42452</v>
      </c>
      <c r="BD1969">
        <v>0</v>
      </c>
      <c r="BN1969" t="s">
        <v>74</v>
      </c>
    </row>
    <row r="1970" spans="1:66" hidden="1">
      <c r="A1970">
        <v>100695</v>
      </c>
      <c r="B1970" s="3" t="s">
        <v>227</v>
      </c>
      <c r="C1970" s="1">
        <v>43300101</v>
      </c>
      <c r="D1970" t="s">
        <v>67</v>
      </c>
      <c r="H1970" t="str">
        <f t="shared" si="202"/>
        <v>00721920155</v>
      </c>
      <c r="I1970" t="str">
        <f t="shared" si="202"/>
        <v>00721920155</v>
      </c>
      <c r="K1970" t="str">
        <f>""</f>
        <v/>
      </c>
      <c r="M1970" t="s">
        <v>68</v>
      </c>
      <c r="N1970" t="str">
        <f t="shared" si="201"/>
        <v>FOR</v>
      </c>
      <c r="O1970" t="s">
        <v>69</v>
      </c>
      <c r="P1970" s="3" t="s">
        <v>75</v>
      </c>
      <c r="Q1970">
        <v>2015</v>
      </c>
      <c r="R1970" s="2">
        <v>42145</v>
      </c>
      <c r="S1970" s="2">
        <v>42163</v>
      </c>
      <c r="T1970" s="2">
        <v>42153</v>
      </c>
      <c r="U1970" s="2">
        <v>42213</v>
      </c>
      <c r="V1970" t="s">
        <v>71</v>
      </c>
      <c r="W1970" t="str">
        <f>"          5840106326"</f>
        <v xml:space="preserve">          5840106326</v>
      </c>
      <c r="X1970">
        <v>119.6</v>
      </c>
      <c r="Y1970">
        <v>0</v>
      </c>
      <c r="Z1970"/>
      <c r="AB1970"/>
      <c r="AC1970">
        <v>115</v>
      </c>
      <c r="AD1970">
        <v>239</v>
      </c>
      <c r="AE1970" s="1">
        <v>27485</v>
      </c>
      <c r="AF1970">
        <v>0</v>
      </c>
      <c r="AJ1970">
        <v>0</v>
      </c>
      <c r="AK1970">
        <v>0</v>
      </c>
      <c r="AL1970">
        <v>0</v>
      </c>
      <c r="AM1970">
        <v>0</v>
      </c>
      <c r="AN1970">
        <v>0</v>
      </c>
      <c r="AO1970">
        <v>0</v>
      </c>
      <c r="AP1970" s="2">
        <v>42746</v>
      </c>
      <c r="AQ1970" t="s">
        <v>72</v>
      </c>
      <c r="AR1970" t="s">
        <v>72</v>
      </c>
      <c r="AS1970">
        <v>757</v>
      </c>
      <c r="AT1970" s="4">
        <v>42452</v>
      </c>
      <c r="AU1970" t="s">
        <v>73</v>
      </c>
      <c r="AV1970">
        <v>757</v>
      </c>
      <c r="AW1970" s="4">
        <v>42452</v>
      </c>
      <c r="BD1970">
        <v>0</v>
      </c>
      <c r="BN1970" t="s">
        <v>74</v>
      </c>
    </row>
    <row r="1971" spans="1:66" hidden="1">
      <c r="A1971">
        <v>100695</v>
      </c>
      <c r="B1971" s="3" t="s">
        <v>227</v>
      </c>
      <c r="C1971" s="1">
        <v>43300101</v>
      </c>
      <c r="D1971" t="s">
        <v>67</v>
      </c>
      <c r="H1971" t="str">
        <f t="shared" si="202"/>
        <v>00721920155</v>
      </c>
      <c r="I1971" t="str">
        <f t="shared" si="202"/>
        <v>00721920155</v>
      </c>
      <c r="K1971" t="str">
        <f>""</f>
        <v/>
      </c>
      <c r="M1971" t="s">
        <v>68</v>
      </c>
      <c r="N1971" t="str">
        <f t="shared" si="201"/>
        <v>FOR</v>
      </c>
      <c r="O1971" t="s">
        <v>69</v>
      </c>
      <c r="P1971" s="3" t="s">
        <v>75</v>
      </c>
      <c r="Q1971">
        <v>2015</v>
      </c>
      <c r="R1971" s="2">
        <v>42145</v>
      </c>
      <c r="S1971" s="2">
        <v>42163</v>
      </c>
      <c r="T1971" s="2">
        <v>42153</v>
      </c>
      <c r="U1971" s="2">
        <v>42213</v>
      </c>
      <c r="V1971" t="s">
        <v>71</v>
      </c>
      <c r="W1971" t="str">
        <f>"          5840106327"</f>
        <v xml:space="preserve">          5840106327</v>
      </c>
      <c r="X1971">
        <v>119.6</v>
      </c>
      <c r="Y1971">
        <v>0</v>
      </c>
      <c r="Z1971"/>
      <c r="AB1971"/>
      <c r="AC1971">
        <v>115</v>
      </c>
      <c r="AD1971">
        <v>239</v>
      </c>
      <c r="AE1971" s="1">
        <v>27485</v>
      </c>
      <c r="AF1971">
        <v>0</v>
      </c>
      <c r="AJ1971">
        <v>0</v>
      </c>
      <c r="AK1971">
        <v>0</v>
      </c>
      <c r="AL1971">
        <v>0</v>
      </c>
      <c r="AM1971">
        <v>0</v>
      </c>
      <c r="AN1971">
        <v>0</v>
      </c>
      <c r="AO1971">
        <v>0</v>
      </c>
      <c r="AP1971" s="2">
        <v>42746</v>
      </c>
      <c r="AQ1971" t="s">
        <v>72</v>
      </c>
      <c r="AR1971" t="s">
        <v>72</v>
      </c>
      <c r="AS1971">
        <v>757</v>
      </c>
      <c r="AT1971" s="4">
        <v>42452</v>
      </c>
      <c r="AU1971" t="s">
        <v>73</v>
      </c>
      <c r="AV1971">
        <v>757</v>
      </c>
      <c r="AW1971" s="4">
        <v>42452</v>
      </c>
      <c r="BD1971">
        <v>0</v>
      </c>
      <c r="BN1971" t="s">
        <v>74</v>
      </c>
    </row>
    <row r="1972" spans="1:66" hidden="1">
      <c r="A1972">
        <v>100695</v>
      </c>
      <c r="B1972" s="3" t="s">
        <v>227</v>
      </c>
      <c r="C1972" s="1">
        <v>43300101</v>
      </c>
      <c r="D1972" t="s">
        <v>67</v>
      </c>
      <c r="H1972" t="str">
        <f t="shared" si="202"/>
        <v>00721920155</v>
      </c>
      <c r="I1972" t="str">
        <f t="shared" si="202"/>
        <v>00721920155</v>
      </c>
      <c r="K1972" t="str">
        <f>""</f>
        <v/>
      </c>
      <c r="M1972" t="s">
        <v>68</v>
      </c>
      <c r="N1972" t="str">
        <f t="shared" si="201"/>
        <v>FOR</v>
      </c>
      <c r="O1972" t="s">
        <v>69</v>
      </c>
      <c r="P1972" s="3" t="s">
        <v>75</v>
      </c>
      <c r="Q1972">
        <v>2015</v>
      </c>
      <c r="R1972" s="2">
        <v>42145</v>
      </c>
      <c r="S1972" s="2">
        <v>42160</v>
      </c>
      <c r="T1972" s="2">
        <v>42153</v>
      </c>
      <c r="U1972" s="2">
        <v>42213</v>
      </c>
      <c r="V1972" t="s">
        <v>71</v>
      </c>
      <c r="W1972" t="str">
        <f>"          5840106328"</f>
        <v xml:space="preserve">          5840106328</v>
      </c>
      <c r="X1972">
        <v>119.6</v>
      </c>
      <c r="Y1972">
        <v>0</v>
      </c>
      <c r="Z1972"/>
      <c r="AB1972"/>
      <c r="AC1972">
        <v>115</v>
      </c>
      <c r="AD1972">
        <v>239</v>
      </c>
      <c r="AE1972" s="1">
        <v>27485</v>
      </c>
      <c r="AF1972">
        <v>0</v>
      </c>
      <c r="AJ1972">
        <v>0</v>
      </c>
      <c r="AK1972">
        <v>0</v>
      </c>
      <c r="AL1972">
        <v>0</v>
      </c>
      <c r="AM1972">
        <v>0</v>
      </c>
      <c r="AN1972">
        <v>0</v>
      </c>
      <c r="AO1972">
        <v>0</v>
      </c>
      <c r="AP1972" s="2">
        <v>42746</v>
      </c>
      <c r="AQ1972" t="s">
        <v>72</v>
      </c>
      <c r="AR1972" t="s">
        <v>72</v>
      </c>
      <c r="AS1972">
        <v>757</v>
      </c>
      <c r="AT1972" s="4">
        <v>42452</v>
      </c>
      <c r="AU1972" t="s">
        <v>73</v>
      </c>
      <c r="AV1972">
        <v>757</v>
      </c>
      <c r="AW1972" s="4">
        <v>42452</v>
      </c>
      <c r="BD1972">
        <v>0</v>
      </c>
      <c r="BN1972" t="s">
        <v>74</v>
      </c>
    </row>
    <row r="1973" spans="1:66" hidden="1">
      <c r="A1973">
        <v>100695</v>
      </c>
      <c r="B1973" s="3" t="s">
        <v>227</v>
      </c>
      <c r="C1973" s="1">
        <v>43300101</v>
      </c>
      <c r="D1973" t="s">
        <v>67</v>
      </c>
      <c r="H1973" t="str">
        <f t="shared" si="202"/>
        <v>00721920155</v>
      </c>
      <c r="I1973" t="str">
        <f t="shared" si="202"/>
        <v>00721920155</v>
      </c>
      <c r="K1973" t="str">
        <f>""</f>
        <v/>
      </c>
      <c r="M1973" t="s">
        <v>68</v>
      </c>
      <c r="N1973" t="str">
        <f t="shared" si="201"/>
        <v>FOR</v>
      </c>
      <c r="O1973" t="s">
        <v>69</v>
      </c>
      <c r="P1973" s="3" t="s">
        <v>75</v>
      </c>
      <c r="Q1973">
        <v>2015</v>
      </c>
      <c r="R1973" s="2">
        <v>42145</v>
      </c>
      <c r="S1973" s="2">
        <v>42163</v>
      </c>
      <c r="T1973" s="2">
        <v>42153</v>
      </c>
      <c r="U1973" s="2">
        <v>42213</v>
      </c>
      <c r="V1973" t="s">
        <v>71</v>
      </c>
      <c r="W1973" t="str">
        <f>"          5840106329"</f>
        <v xml:space="preserve">          5840106329</v>
      </c>
      <c r="X1973">
        <v>119.6</v>
      </c>
      <c r="Y1973">
        <v>0</v>
      </c>
      <c r="Z1973"/>
      <c r="AB1973"/>
      <c r="AC1973">
        <v>115</v>
      </c>
      <c r="AD1973">
        <v>239</v>
      </c>
      <c r="AE1973" s="1">
        <v>27485</v>
      </c>
      <c r="AF1973">
        <v>0</v>
      </c>
      <c r="AJ1973">
        <v>0</v>
      </c>
      <c r="AK1973">
        <v>0</v>
      </c>
      <c r="AL1973">
        <v>0</v>
      </c>
      <c r="AM1973">
        <v>0</v>
      </c>
      <c r="AN1973">
        <v>0</v>
      </c>
      <c r="AO1973">
        <v>0</v>
      </c>
      <c r="AP1973" s="2">
        <v>42746</v>
      </c>
      <c r="AQ1973" t="s">
        <v>72</v>
      </c>
      <c r="AR1973" t="s">
        <v>72</v>
      </c>
      <c r="AS1973">
        <v>757</v>
      </c>
      <c r="AT1973" s="4">
        <v>42452</v>
      </c>
      <c r="AU1973" t="s">
        <v>73</v>
      </c>
      <c r="AV1973">
        <v>757</v>
      </c>
      <c r="AW1973" s="4">
        <v>42452</v>
      </c>
      <c r="BD1973">
        <v>0</v>
      </c>
      <c r="BN1973" t="s">
        <v>74</v>
      </c>
    </row>
    <row r="1974" spans="1:66" hidden="1">
      <c r="A1974">
        <v>100695</v>
      </c>
      <c r="B1974" s="3" t="s">
        <v>227</v>
      </c>
      <c r="C1974" s="1">
        <v>43300101</v>
      </c>
      <c r="D1974" t="s">
        <v>67</v>
      </c>
      <c r="H1974" t="str">
        <f t="shared" si="202"/>
        <v>00721920155</v>
      </c>
      <c r="I1974" t="str">
        <f t="shared" si="202"/>
        <v>00721920155</v>
      </c>
      <c r="K1974" t="str">
        <f>""</f>
        <v/>
      </c>
      <c r="M1974" t="s">
        <v>68</v>
      </c>
      <c r="N1974" t="str">
        <f t="shared" si="201"/>
        <v>FOR</v>
      </c>
      <c r="O1974" t="s">
        <v>69</v>
      </c>
      <c r="P1974" s="3" t="s">
        <v>75</v>
      </c>
      <c r="Q1974">
        <v>2015</v>
      </c>
      <c r="R1974" s="2">
        <v>42145</v>
      </c>
      <c r="S1974" s="2">
        <v>42163</v>
      </c>
      <c r="T1974" s="2">
        <v>42153</v>
      </c>
      <c r="U1974" s="2">
        <v>42213</v>
      </c>
      <c r="V1974" t="s">
        <v>71</v>
      </c>
      <c r="W1974" t="str">
        <f>"          5840106331"</f>
        <v xml:space="preserve">          5840106331</v>
      </c>
      <c r="X1974">
        <v>119.6</v>
      </c>
      <c r="Y1974">
        <v>0</v>
      </c>
      <c r="Z1974"/>
      <c r="AB1974"/>
      <c r="AC1974">
        <v>115</v>
      </c>
      <c r="AD1974">
        <v>239</v>
      </c>
      <c r="AE1974" s="1">
        <v>27485</v>
      </c>
      <c r="AF1974">
        <v>0</v>
      </c>
      <c r="AJ1974">
        <v>0</v>
      </c>
      <c r="AK1974">
        <v>0</v>
      </c>
      <c r="AL1974">
        <v>0</v>
      </c>
      <c r="AM1974">
        <v>0</v>
      </c>
      <c r="AN1974">
        <v>0</v>
      </c>
      <c r="AO1974">
        <v>0</v>
      </c>
      <c r="AP1974" s="2">
        <v>42746</v>
      </c>
      <c r="AQ1974" t="s">
        <v>72</v>
      </c>
      <c r="AR1974" t="s">
        <v>72</v>
      </c>
      <c r="AS1974">
        <v>757</v>
      </c>
      <c r="AT1974" s="4">
        <v>42452</v>
      </c>
      <c r="AU1974" t="s">
        <v>73</v>
      </c>
      <c r="AV1974">
        <v>757</v>
      </c>
      <c r="AW1974" s="4">
        <v>42452</v>
      </c>
      <c r="BD1974">
        <v>0</v>
      </c>
      <c r="BN1974" t="s">
        <v>74</v>
      </c>
    </row>
    <row r="1975" spans="1:66" hidden="1">
      <c r="A1975">
        <v>100695</v>
      </c>
      <c r="B1975" s="3" t="s">
        <v>227</v>
      </c>
      <c r="C1975" s="1">
        <v>43300101</v>
      </c>
      <c r="D1975" t="s">
        <v>67</v>
      </c>
      <c r="H1975" t="str">
        <f t="shared" si="202"/>
        <v>00721920155</v>
      </c>
      <c r="I1975" t="str">
        <f t="shared" si="202"/>
        <v>00721920155</v>
      </c>
      <c r="K1975" t="str">
        <f>""</f>
        <v/>
      </c>
      <c r="M1975" t="s">
        <v>68</v>
      </c>
      <c r="N1975" t="str">
        <f t="shared" si="201"/>
        <v>FOR</v>
      </c>
      <c r="O1975" t="s">
        <v>69</v>
      </c>
      <c r="P1975" s="3" t="s">
        <v>75</v>
      </c>
      <c r="Q1975">
        <v>2015</v>
      </c>
      <c r="R1975" s="2">
        <v>42145</v>
      </c>
      <c r="S1975" s="2">
        <v>42160</v>
      </c>
      <c r="T1975" s="2">
        <v>42153</v>
      </c>
      <c r="U1975" s="2">
        <v>42213</v>
      </c>
      <c r="V1975" t="s">
        <v>71</v>
      </c>
      <c r="W1975" t="str">
        <f>"          5840106332"</f>
        <v xml:space="preserve">          5840106332</v>
      </c>
      <c r="X1975">
        <v>119.6</v>
      </c>
      <c r="Y1975">
        <v>0</v>
      </c>
      <c r="Z1975"/>
      <c r="AB1975"/>
      <c r="AC1975">
        <v>115</v>
      </c>
      <c r="AD1975">
        <v>239</v>
      </c>
      <c r="AE1975" s="1">
        <v>27485</v>
      </c>
      <c r="AF1975">
        <v>0</v>
      </c>
      <c r="AJ1975">
        <v>0</v>
      </c>
      <c r="AK1975">
        <v>0</v>
      </c>
      <c r="AL1975">
        <v>0</v>
      </c>
      <c r="AM1975">
        <v>0</v>
      </c>
      <c r="AN1975">
        <v>0</v>
      </c>
      <c r="AO1975">
        <v>0</v>
      </c>
      <c r="AP1975" s="2">
        <v>42746</v>
      </c>
      <c r="AQ1975" t="s">
        <v>72</v>
      </c>
      <c r="AR1975" t="s">
        <v>72</v>
      </c>
      <c r="AS1975">
        <v>757</v>
      </c>
      <c r="AT1975" s="4">
        <v>42452</v>
      </c>
      <c r="AU1975" t="s">
        <v>73</v>
      </c>
      <c r="AV1975">
        <v>757</v>
      </c>
      <c r="AW1975" s="4">
        <v>42452</v>
      </c>
      <c r="BD1975">
        <v>0</v>
      </c>
      <c r="BN1975" t="s">
        <v>74</v>
      </c>
    </row>
    <row r="1976" spans="1:66" hidden="1">
      <c r="A1976">
        <v>100695</v>
      </c>
      <c r="B1976" s="3" t="s">
        <v>227</v>
      </c>
      <c r="C1976" s="1">
        <v>43300101</v>
      </c>
      <c r="D1976" t="s">
        <v>67</v>
      </c>
      <c r="H1976" t="str">
        <f t="shared" si="202"/>
        <v>00721920155</v>
      </c>
      <c r="I1976" t="str">
        <f t="shared" si="202"/>
        <v>00721920155</v>
      </c>
      <c r="K1976" t="str">
        <f>""</f>
        <v/>
      </c>
      <c r="M1976" t="s">
        <v>68</v>
      </c>
      <c r="N1976" t="str">
        <f t="shared" si="201"/>
        <v>FOR</v>
      </c>
      <c r="O1976" t="s">
        <v>69</v>
      </c>
      <c r="P1976" s="3" t="s">
        <v>75</v>
      </c>
      <c r="Q1976">
        <v>2015</v>
      </c>
      <c r="R1976" s="2">
        <v>42149</v>
      </c>
      <c r="S1976" s="2">
        <v>42160</v>
      </c>
      <c r="T1976" s="2">
        <v>42153</v>
      </c>
      <c r="U1976" s="2">
        <v>42213</v>
      </c>
      <c r="V1976" t="s">
        <v>71</v>
      </c>
      <c r="W1976" t="str">
        <f>"          5840106491"</f>
        <v xml:space="preserve">          5840106491</v>
      </c>
      <c r="X1976">
        <v>119.6</v>
      </c>
      <c r="Y1976">
        <v>0</v>
      </c>
      <c r="Z1976"/>
      <c r="AB1976"/>
      <c r="AC1976">
        <v>115</v>
      </c>
      <c r="AD1976">
        <v>239</v>
      </c>
      <c r="AE1976" s="1">
        <v>27485</v>
      </c>
      <c r="AF1976">
        <v>0</v>
      </c>
      <c r="AJ1976">
        <v>0</v>
      </c>
      <c r="AK1976">
        <v>0</v>
      </c>
      <c r="AL1976">
        <v>0</v>
      </c>
      <c r="AM1976">
        <v>0</v>
      </c>
      <c r="AN1976">
        <v>0</v>
      </c>
      <c r="AO1976">
        <v>0</v>
      </c>
      <c r="AP1976" s="2">
        <v>42746</v>
      </c>
      <c r="AQ1976" t="s">
        <v>72</v>
      </c>
      <c r="AR1976" t="s">
        <v>72</v>
      </c>
      <c r="AS1976">
        <v>757</v>
      </c>
      <c r="AT1976" s="4">
        <v>42452</v>
      </c>
      <c r="AU1976" t="s">
        <v>73</v>
      </c>
      <c r="AV1976">
        <v>757</v>
      </c>
      <c r="AW1976" s="4">
        <v>42452</v>
      </c>
      <c r="BD1976">
        <v>0</v>
      </c>
      <c r="BN1976" t="s">
        <v>74</v>
      </c>
    </row>
    <row r="1977" spans="1:66" hidden="1">
      <c r="A1977">
        <v>100695</v>
      </c>
      <c r="B1977" s="3" t="s">
        <v>227</v>
      </c>
      <c r="C1977" s="1">
        <v>43300101</v>
      </c>
      <c r="D1977" t="s">
        <v>67</v>
      </c>
      <c r="H1977" t="str">
        <f t="shared" si="202"/>
        <v>00721920155</v>
      </c>
      <c r="I1977" t="str">
        <f t="shared" si="202"/>
        <v>00721920155</v>
      </c>
      <c r="K1977" t="str">
        <f>""</f>
        <v/>
      </c>
      <c r="M1977" t="s">
        <v>68</v>
      </c>
      <c r="N1977" t="str">
        <f t="shared" si="201"/>
        <v>FOR</v>
      </c>
      <c r="O1977" t="s">
        <v>69</v>
      </c>
      <c r="P1977" s="3" t="s">
        <v>75</v>
      </c>
      <c r="Q1977">
        <v>2015</v>
      </c>
      <c r="R1977" s="2">
        <v>42159</v>
      </c>
      <c r="S1977" s="2">
        <v>42164</v>
      </c>
      <c r="T1977" s="2">
        <v>42163</v>
      </c>
      <c r="U1977" s="2">
        <v>42223</v>
      </c>
      <c r="V1977" t="s">
        <v>71</v>
      </c>
      <c r="W1977" t="str">
        <f>"          5840106999"</f>
        <v xml:space="preserve">          5840106999</v>
      </c>
      <c r="X1977">
        <v>119.6</v>
      </c>
      <c r="Y1977">
        <v>0</v>
      </c>
      <c r="Z1977"/>
      <c r="AB1977"/>
      <c r="AC1977">
        <v>115</v>
      </c>
      <c r="AD1977">
        <v>304</v>
      </c>
      <c r="AE1977" s="1">
        <v>34960</v>
      </c>
      <c r="AF1977">
        <v>0</v>
      </c>
      <c r="AJ1977">
        <v>0</v>
      </c>
      <c r="AK1977">
        <v>0</v>
      </c>
      <c r="AL1977">
        <v>0</v>
      </c>
      <c r="AM1977">
        <v>0</v>
      </c>
      <c r="AN1977">
        <v>0</v>
      </c>
      <c r="AO1977">
        <v>0</v>
      </c>
      <c r="AP1977" s="2">
        <v>42746</v>
      </c>
      <c r="AQ1977" t="s">
        <v>72</v>
      </c>
      <c r="AR1977" t="s">
        <v>72</v>
      </c>
      <c r="AS1977">
        <v>1502</v>
      </c>
      <c r="AT1977" s="4">
        <v>42527</v>
      </c>
      <c r="AU1977" t="s">
        <v>73</v>
      </c>
      <c r="AV1977">
        <v>1502</v>
      </c>
      <c r="AW1977" s="4">
        <v>42527</v>
      </c>
      <c r="BD1977">
        <v>0</v>
      </c>
      <c r="BN1977" t="s">
        <v>74</v>
      </c>
    </row>
    <row r="1978" spans="1:66" hidden="1">
      <c r="A1978">
        <v>100695</v>
      </c>
      <c r="B1978" s="3" t="s">
        <v>227</v>
      </c>
      <c r="C1978" s="1">
        <v>43300101</v>
      </c>
      <c r="D1978" t="s">
        <v>67</v>
      </c>
      <c r="H1978" t="str">
        <f t="shared" si="202"/>
        <v>00721920155</v>
      </c>
      <c r="I1978" t="str">
        <f t="shared" si="202"/>
        <v>00721920155</v>
      </c>
      <c r="K1978" t="str">
        <f>""</f>
        <v/>
      </c>
      <c r="M1978" t="s">
        <v>68</v>
      </c>
      <c r="N1978" t="str">
        <f t="shared" si="201"/>
        <v>FOR</v>
      </c>
      <c r="O1978" t="s">
        <v>69</v>
      </c>
      <c r="P1978" s="3" t="s">
        <v>75</v>
      </c>
      <c r="Q1978">
        <v>2015</v>
      </c>
      <c r="R1978" s="2">
        <v>42159</v>
      </c>
      <c r="S1978" s="2">
        <v>42164</v>
      </c>
      <c r="T1978" s="2">
        <v>42163</v>
      </c>
      <c r="U1978" s="2">
        <v>42223</v>
      </c>
      <c r="V1978" t="s">
        <v>71</v>
      </c>
      <c r="W1978" t="str">
        <f>"          5840107000"</f>
        <v xml:space="preserve">          5840107000</v>
      </c>
      <c r="X1978">
        <v>119.6</v>
      </c>
      <c r="Y1978">
        <v>0</v>
      </c>
      <c r="Z1978"/>
      <c r="AB1978"/>
      <c r="AC1978">
        <v>115</v>
      </c>
      <c r="AD1978">
        <v>304</v>
      </c>
      <c r="AE1978" s="1">
        <v>34960</v>
      </c>
      <c r="AF1978">
        <v>0</v>
      </c>
      <c r="AJ1978">
        <v>0</v>
      </c>
      <c r="AK1978">
        <v>0</v>
      </c>
      <c r="AL1978">
        <v>0</v>
      </c>
      <c r="AM1978">
        <v>0</v>
      </c>
      <c r="AN1978">
        <v>0</v>
      </c>
      <c r="AO1978">
        <v>0</v>
      </c>
      <c r="AP1978" s="2">
        <v>42746</v>
      </c>
      <c r="AQ1978" t="s">
        <v>72</v>
      </c>
      <c r="AR1978" t="s">
        <v>72</v>
      </c>
      <c r="AS1978">
        <v>1502</v>
      </c>
      <c r="AT1978" s="4">
        <v>42527</v>
      </c>
      <c r="AU1978" t="s">
        <v>73</v>
      </c>
      <c r="AV1978">
        <v>1502</v>
      </c>
      <c r="AW1978" s="4">
        <v>42527</v>
      </c>
      <c r="BD1978">
        <v>0</v>
      </c>
      <c r="BN1978" t="s">
        <v>74</v>
      </c>
    </row>
    <row r="1979" spans="1:66" hidden="1">
      <c r="A1979">
        <v>100695</v>
      </c>
      <c r="B1979" s="3" t="s">
        <v>227</v>
      </c>
      <c r="C1979" s="1">
        <v>43300101</v>
      </c>
      <c r="D1979" t="s">
        <v>67</v>
      </c>
      <c r="H1979" t="str">
        <f t="shared" si="202"/>
        <v>00721920155</v>
      </c>
      <c r="I1979" t="str">
        <f t="shared" si="202"/>
        <v>00721920155</v>
      </c>
      <c r="K1979" t="str">
        <f>""</f>
        <v/>
      </c>
      <c r="M1979" t="s">
        <v>68</v>
      </c>
      <c r="N1979" t="str">
        <f t="shared" si="201"/>
        <v>FOR</v>
      </c>
      <c r="O1979" t="s">
        <v>69</v>
      </c>
      <c r="P1979" s="3" t="s">
        <v>75</v>
      </c>
      <c r="Q1979">
        <v>2015</v>
      </c>
      <c r="R1979" s="2">
        <v>42159</v>
      </c>
      <c r="S1979" s="2">
        <v>42164</v>
      </c>
      <c r="T1979" s="2">
        <v>42163</v>
      </c>
      <c r="U1979" s="2">
        <v>42223</v>
      </c>
      <c r="V1979" t="s">
        <v>71</v>
      </c>
      <c r="W1979" t="str">
        <f>"          5840107003"</f>
        <v xml:space="preserve">          5840107003</v>
      </c>
      <c r="X1979">
        <v>119.6</v>
      </c>
      <c r="Y1979">
        <v>0</v>
      </c>
      <c r="Z1979"/>
      <c r="AB1979"/>
      <c r="AC1979">
        <v>115</v>
      </c>
      <c r="AD1979">
        <v>304</v>
      </c>
      <c r="AE1979" s="1">
        <v>34960</v>
      </c>
      <c r="AF1979">
        <v>0</v>
      </c>
      <c r="AJ1979">
        <v>0</v>
      </c>
      <c r="AK1979">
        <v>0</v>
      </c>
      <c r="AL1979">
        <v>0</v>
      </c>
      <c r="AM1979">
        <v>0</v>
      </c>
      <c r="AN1979">
        <v>0</v>
      </c>
      <c r="AO1979">
        <v>0</v>
      </c>
      <c r="AP1979" s="2">
        <v>42746</v>
      </c>
      <c r="AQ1979" t="s">
        <v>72</v>
      </c>
      <c r="AR1979" t="s">
        <v>72</v>
      </c>
      <c r="AS1979">
        <v>1502</v>
      </c>
      <c r="AT1979" s="4">
        <v>42527</v>
      </c>
      <c r="AU1979" t="s">
        <v>73</v>
      </c>
      <c r="AV1979">
        <v>1502</v>
      </c>
      <c r="AW1979" s="4">
        <v>42527</v>
      </c>
      <c r="BD1979">
        <v>0</v>
      </c>
      <c r="BN1979" t="s">
        <v>74</v>
      </c>
    </row>
    <row r="1980" spans="1:66" hidden="1">
      <c r="A1980">
        <v>100695</v>
      </c>
      <c r="B1980" s="3" t="s">
        <v>227</v>
      </c>
      <c r="C1980" s="1">
        <v>43300101</v>
      </c>
      <c r="D1980" t="s">
        <v>67</v>
      </c>
      <c r="H1980" t="str">
        <f t="shared" si="202"/>
        <v>00721920155</v>
      </c>
      <c r="I1980" t="str">
        <f t="shared" si="202"/>
        <v>00721920155</v>
      </c>
      <c r="K1980" t="str">
        <f>""</f>
        <v/>
      </c>
      <c r="M1980" t="s">
        <v>68</v>
      </c>
      <c r="N1980" t="str">
        <f t="shared" si="201"/>
        <v>FOR</v>
      </c>
      <c r="O1980" t="s">
        <v>69</v>
      </c>
      <c r="P1980" s="3" t="s">
        <v>75</v>
      </c>
      <c r="Q1980">
        <v>2015</v>
      </c>
      <c r="R1980" s="2">
        <v>42159</v>
      </c>
      <c r="S1980" s="2">
        <v>42164</v>
      </c>
      <c r="T1980" s="2">
        <v>42163</v>
      </c>
      <c r="U1980" s="2">
        <v>42223</v>
      </c>
      <c r="V1980" t="s">
        <v>71</v>
      </c>
      <c r="W1980" t="str">
        <f>"          5840107007"</f>
        <v xml:space="preserve">          5840107007</v>
      </c>
      <c r="X1980">
        <v>119.6</v>
      </c>
      <c r="Y1980">
        <v>0</v>
      </c>
      <c r="Z1980"/>
      <c r="AB1980"/>
      <c r="AC1980">
        <v>115</v>
      </c>
      <c r="AD1980">
        <v>304</v>
      </c>
      <c r="AE1980" s="1">
        <v>34960</v>
      </c>
      <c r="AF1980">
        <v>0</v>
      </c>
      <c r="AJ1980">
        <v>0</v>
      </c>
      <c r="AK1980">
        <v>0</v>
      </c>
      <c r="AL1980">
        <v>0</v>
      </c>
      <c r="AM1980">
        <v>0</v>
      </c>
      <c r="AN1980">
        <v>0</v>
      </c>
      <c r="AO1980">
        <v>0</v>
      </c>
      <c r="AP1980" s="2">
        <v>42746</v>
      </c>
      <c r="AQ1980" t="s">
        <v>72</v>
      </c>
      <c r="AR1980" t="s">
        <v>72</v>
      </c>
      <c r="AS1980">
        <v>1502</v>
      </c>
      <c r="AT1980" s="4">
        <v>42527</v>
      </c>
      <c r="AU1980" t="s">
        <v>73</v>
      </c>
      <c r="AV1980">
        <v>1502</v>
      </c>
      <c r="AW1980" s="4">
        <v>42527</v>
      </c>
      <c r="BD1980">
        <v>0</v>
      </c>
      <c r="BN1980" t="s">
        <v>74</v>
      </c>
    </row>
    <row r="1981" spans="1:66" hidden="1">
      <c r="A1981">
        <v>100695</v>
      </c>
      <c r="B1981" s="3" t="s">
        <v>227</v>
      </c>
      <c r="C1981" s="1">
        <v>43300101</v>
      </c>
      <c r="D1981" t="s">
        <v>67</v>
      </c>
      <c r="H1981" t="str">
        <f t="shared" si="202"/>
        <v>00721920155</v>
      </c>
      <c r="I1981" t="str">
        <f t="shared" si="202"/>
        <v>00721920155</v>
      </c>
      <c r="K1981" t="str">
        <f>""</f>
        <v/>
      </c>
      <c r="M1981" t="s">
        <v>68</v>
      </c>
      <c r="N1981" t="str">
        <f t="shared" si="201"/>
        <v>FOR</v>
      </c>
      <c r="O1981" t="s">
        <v>69</v>
      </c>
      <c r="P1981" s="3" t="s">
        <v>75</v>
      </c>
      <c r="Q1981">
        <v>2015</v>
      </c>
      <c r="R1981" s="2">
        <v>42159</v>
      </c>
      <c r="S1981" s="2">
        <v>42164</v>
      </c>
      <c r="T1981" s="2">
        <v>42163</v>
      </c>
      <c r="U1981" s="2">
        <v>42223</v>
      </c>
      <c r="V1981" t="s">
        <v>71</v>
      </c>
      <c r="W1981" t="str">
        <f>"          5840107013"</f>
        <v xml:space="preserve">          5840107013</v>
      </c>
      <c r="X1981">
        <v>119.6</v>
      </c>
      <c r="Y1981">
        <v>0</v>
      </c>
      <c r="Z1981"/>
      <c r="AB1981"/>
      <c r="AC1981">
        <v>115</v>
      </c>
      <c r="AD1981">
        <v>304</v>
      </c>
      <c r="AE1981" s="1">
        <v>34960</v>
      </c>
      <c r="AF1981">
        <v>0</v>
      </c>
      <c r="AJ1981">
        <v>0</v>
      </c>
      <c r="AK1981">
        <v>0</v>
      </c>
      <c r="AL1981">
        <v>0</v>
      </c>
      <c r="AM1981">
        <v>0</v>
      </c>
      <c r="AN1981">
        <v>0</v>
      </c>
      <c r="AO1981">
        <v>0</v>
      </c>
      <c r="AP1981" s="2">
        <v>42746</v>
      </c>
      <c r="AQ1981" t="s">
        <v>72</v>
      </c>
      <c r="AR1981" t="s">
        <v>72</v>
      </c>
      <c r="AS1981">
        <v>1502</v>
      </c>
      <c r="AT1981" s="4">
        <v>42527</v>
      </c>
      <c r="AU1981" t="s">
        <v>73</v>
      </c>
      <c r="AV1981">
        <v>1502</v>
      </c>
      <c r="AW1981" s="4">
        <v>42527</v>
      </c>
      <c r="BD1981">
        <v>0</v>
      </c>
      <c r="BN1981" t="s">
        <v>74</v>
      </c>
    </row>
    <row r="1982" spans="1:66" hidden="1">
      <c r="A1982">
        <v>100695</v>
      </c>
      <c r="B1982" s="3" t="s">
        <v>227</v>
      </c>
      <c r="C1982" s="1">
        <v>43300101</v>
      </c>
      <c r="D1982" t="s">
        <v>67</v>
      </c>
      <c r="H1982" t="str">
        <f t="shared" si="202"/>
        <v>00721920155</v>
      </c>
      <c r="I1982" t="str">
        <f t="shared" si="202"/>
        <v>00721920155</v>
      </c>
      <c r="K1982" t="str">
        <f>""</f>
        <v/>
      </c>
      <c r="M1982" t="s">
        <v>68</v>
      </c>
      <c r="N1982" t="str">
        <f t="shared" si="201"/>
        <v>FOR</v>
      </c>
      <c r="O1982" t="s">
        <v>69</v>
      </c>
      <c r="P1982" s="3" t="s">
        <v>75</v>
      </c>
      <c r="Q1982">
        <v>2015</v>
      </c>
      <c r="R1982" s="2">
        <v>42159</v>
      </c>
      <c r="S1982" s="2">
        <v>42164</v>
      </c>
      <c r="T1982" s="2">
        <v>42163</v>
      </c>
      <c r="U1982" s="2">
        <v>42223</v>
      </c>
      <c r="V1982" t="s">
        <v>71</v>
      </c>
      <c r="W1982" t="str">
        <f>"          5840107014"</f>
        <v xml:space="preserve">          5840107014</v>
      </c>
      <c r="X1982">
        <v>119.6</v>
      </c>
      <c r="Y1982">
        <v>0</v>
      </c>
      <c r="Z1982"/>
      <c r="AB1982"/>
      <c r="AC1982">
        <v>115</v>
      </c>
      <c r="AD1982">
        <v>304</v>
      </c>
      <c r="AE1982" s="1">
        <v>34960</v>
      </c>
      <c r="AF1982">
        <v>0</v>
      </c>
      <c r="AJ1982">
        <v>0</v>
      </c>
      <c r="AK1982">
        <v>0</v>
      </c>
      <c r="AL1982">
        <v>0</v>
      </c>
      <c r="AM1982">
        <v>0</v>
      </c>
      <c r="AN1982">
        <v>0</v>
      </c>
      <c r="AO1982">
        <v>0</v>
      </c>
      <c r="AP1982" s="2">
        <v>42746</v>
      </c>
      <c r="AQ1982" t="s">
        <v>72</v>
      </c>
      <c r="AR1982" t="s">
        <v>72</v>
      </c>
      <c r="AS1982">
        <v>1502</v>
      </c>
      <c r="AT1982" s="4">
        <v>42527</v>
      </c>
      <c r="AU1982" t="s">
        <v>73</v>
      </c>
      <c r="AV1982">
        <v>1502</v>
      </c>
      <c r="AW1982" s="4">
        <v>42527</v>
      </c>
      <c r="BD1982">
        <v>0</v>
      </c>
      <c r="BN1982" t="s">
        <v>74</v>
      </c>
    </row>
    <row r="1983" spans="1:66" hidden="1">
      <c r="A1983">
        <v>100695</v>
      </c>
      <c r="B1983" s="3" t="s">
        <v>227</v>
      </c>
      <c r="C1983" s="1">
        <v>43300101</v>
      </c>
      <c r="D1983" t="s">
        <v>67</v>
      </c>
      <c r="H1983" t="str">
        <f t="shared" si="202"/>
        <v>00721920155</v>
      </c>
      <c r="I1983" t="str">
        <f t="shared" si="202"/>
        <v>00721920155</v>
      </c>
      <c r="K1983" t="str">
        <f>""</f>
        <v/>
      </c>
      <c r="M1983" t="s">
        <v>68</v>
      </c>
      <c r="N1983" t="str">
        <f t="shared" si="201"/>
        <v>FOR</v>
      </c>
      <c r="O1983" t="s">
        <v>69</v>
      </c>
      <c r="P1983" s="3" t="s">
        <v>75</v>
      </c>
      <c r="Q1983">
        <v>2015</v>
      </c>
      <c r="R1983" s="2">
        <v>42159</v>
      </c>
      <c r="S1983" s="2">
        <v>42164</v>
      </c>
      <c r="T1983" s="2">
        <v>42163</v>
      </c>
      <c r="U1983" s="2">
        <v>42223</v>
      </c>
      <c r="V1983" t="s">
        <v>71</v>
      </c>
      <c r="W1983" t="str">
        <f>"          5840107016"</f>
        <v xml:space="preserve">          5840107016</v>
      </c>
      <c r="X1983">
        <v>119.6</v>
      </c>
      <c r="Y1983">
        <v>0</v>
      </c>
      <c r="Z1983"/>
      <c r="AB1983"/>
      <c r="AC1983">
        <v>115</v>
      </c>
      <c r="AD1983">
        <v>304</v>
      </c>
      <c r="AE1983" s="1">
        <v>34960</v>
      </c>
      <c r="AF1983">
        <v>0</v>
      </c>
      <c r="AJ1983">
        <v>0</v>
      </c>
      <c r="AK1983">
        <v>0</v>
      </c>
      <c r="AL1983">
        <v>0</v>
      </c>
      <c r="AM1983">
        <v>0</v>
      </c>
      <c r="AN1983">
        <v>0</v>
      </c>
      <c r="AO1983">
        <v>0</v>
      </c>
      <c r="AP1983" s="2">
        <v>42746</v>
      </c>
      <c r="AQ1983" t="s">
        <v>72</v>
      </c>
      <c r="AR1983" t="s">
        <v>72</v>
      </c>
      <c r="AS1983">
        <v>1502</v>
      </c>
      <c r="AT1983" s="4">
        <v>42527</v>
      </c>
      <c r="AU1983" t="s">
        <v>73</v>
      </c>
      <c r="AV1983">
        <v>1502</v>
      </c>
      <c r="AW1983" s="4">
        <v>42527</v>
      </c>
      <c r="BD1983">
        <v>0</v>
      </c>
      <c r="BN1983" t="s">
        <v>74</v>
      </c>
    </row>
    <row r="1984" spans="1:66" hidden="1">
      <c r="A1984">
        <v>100695</v>
      </c>
      <c r="B1984" s="3" t="s">
        <v>227</v>
      </c>
      <c r="C1984" s="1">
        <v>43300101</v>
      </c>
      <c r="D1984" t="s">
        <v>67</v>
      </c>
      <c r="H1984" t="str">
        <f t="shared" si="202"/>
        <v>00721920155</v>
      </c>
      <c r="I1984" t="str">
        <f t="shared" si="202"/>
        <v>00721920155</v>
      </c>
      <c r="K1984" t="str">
        <f>""</f>
        <v/>
      </c>
      <c r="M1984" t="s">
        <v>68</v>
      </c>
      <c r="N1984" t="str">
        <f t="shared" si="201"/>
        <v>FOR</v>
      </c>
      <c r="O1984" t="s">
        <v>69</v>
      </c>
      <c r="P1984" s="3" t="s">
        <v>75</v>
      </c>
      <c r="Q1984">
        <v>2015</v>
      </c>
      <c r="R1984" s="2">
        <v>42159</v>
      </c>
      <c r="S1984" s="2">
        <v>42164</v>
      </c>
      <c r="T1984" s="2">
        <v>42163</v>
      </c>
      <c r="U1984" s="2">
        <v>42223</v>
      </c>
      <c r="V1984" t="s">
        <v>71</v>
      </c>
      <c r="W1984" t="str">
        <f>"          5840107017"</f>
        <v xml:space="preserve">          5840107017</v>
      </c>
      <c r="X1984">
        <v>119.6</v>
      </c>
      <c r="Y1984">
        <v>0</v>
      </c>
      <c r="Z1984"/>
      <c r="AB1984"/>
      <c r="AC1984">
        <v>115</v>
      </c>
      <c r="AD1984">
        <v>304</v>
      </c>
      <c r="AE1984" s="1">
        <v>34960</v>
      </c>
      <c r="AF1984">
        <v>0</v>
      </c>
      <c r="AJ1984">
        <v>0</v>
      </c>
      <c r="AK1984">
        <v>0</v>
      </c>
      <c r="AL1984">
        <v>0</v>
      </c>
      <c r="AM1984">
        <v>0</v>
      </c>
      <c r="AN1984">
        <v>0</v>
      </c>
      <c r="AO1984">
        <v>0</v>
      </c>
      <c r="AP1984" s="2">
        <v>42746</v>
      </c>
      <c r="AQ1984" t="s">
        <v>72</v>
      </c>
      <c r="AR1984" t="s">
        <v>72</v>
      </c>
      <c r="AS1984">
        <v>1502</v>
      </c>
      <c r="AT1984" s="4">
        <v>42527</v>
      </c>
      <c r="AU1984" t="s">
        <v>73</v>
      </c>
      <c r="AV1984">
        <v>1502</v>
      </c>
      <c r="AW1984" s="4">
        <v>42527</v>
      </c>
      <c r="BD1984">
        <v>0</v>
      </c>
      <c r="BN1984" t="s">
        <v>74</v>
      </c>
    </row>
    <row r="1985" spans="1:66" hidden="1">
      <c r="A1985">
        <v>100695</v>
      </c>
      <c r="B1985" s="3" t="s">
        <v>227</v>
      </c>
      <c r="C1985" s="1">
        <v>43300101</v>
      </c>
      <c r="D1985" t="s">
        <v>67</v>
      </c>
      <c r="H1985" t="str">
        <f t="shared" si="202"/>
        <v>00721920155</v>
      </c>
      <c r="I1985" t="str">
        <f t="shared" si="202"/>
        <v>00721920155</v>
      </c>
      <c r="K1985" t="str">
        <f>""</f>
        <v/>
      </c>
      <c r="M1985" t="s">
        <v>68</v>
      </c>
      <c r="N1985" t="str">
        <f t="shared" si="201"/>
        <v>FOR</v>
      </c>
      <c r="O1985" t="s">
        <v>69</v>
      </c>
      <c r="P1985" s="3" t="s">
        <v>75</v>
      </c>
      <c r="Q1985">
        <v>2015</v>
      </c>
      <c r="R1985" s="2">
        <v>42159</v>
      </c>
      <c r="S1985" s="2">
        <v>42164</v>
      </c>
      <c r="T1985" s="2">
        <v>42163</v>
      </c>
      <c r="U1985" s="2">
        <v>42223</v>
      </c>
      <c r="V1985" t="s">
        <v>71</v>
      </c>
      <c r="W1985" t="str">
        <f>"          5840107018"</f>
        <v xml:space="preserve">          5840107018</v>
      </c>
      <c r="X1985">
        <v>119.6</v>
      </c>
      <c r="Y1985">
        <v>0</v>
      </c>
      <c r="Z1985"/>
      <c r="AB1985"/>
      <c r="AC1985">
        <v>115</v>
      </c>
      <c r="AD1985">
        <v>304</v>
      </c>
      <c r="AE1985" s="1">
        <v>34960</v>
      </c>
      <c r="AF1985">
        <v>0</v>
      </c>
      <c r="AJ1985">
        <v>0</v>
      </c>
      <c r="AK1985">
        <v>0</v>
      </c>
      <c r="AL1985">
        <v>0</v>
      </c>
      <c r="AM1985">
        <v>0</v>
      </c>
      <c r="AN1985">
        <v>0</v>
      </c>
      <c r="AO1985">
        <v>0</v>
      </c>
      <c r="AP1985" s="2">
        <v>42746</v>
      </c>
      <c r="AQ1985" t="s">
        <v>72</v>
      </c>
      <c r="AR1985" t="s">
        <v>72</v>
      </c>
      <c r="AS1985">
        <v>1502</v>
      </c>
      <c r="AT1985" s="4">
        <v>42527</v>
      </c>
      <c r="AU1985" t="s">
        <v>73</v>
      </c>
      <c r="AV1985">
        <v>1502</v>
      </c>
      <c r="AW1985" s="4">
        <v>42527</v>
      </c>
      <c r="BD1985">
        <v>0</v>
      </c>
      <c r="BN1985" t="s">
        <v>74</v>
      </c>
    </row>
    <row r="1986" spans="1:66" hidden="1">
      <c r="A1986">
        <v>100695</v>
      </c>
      <c r="B1986" s="3" t="s">
        <v>227</v>
      </c>
      <c r="C1986" s="1">
        <v>43300101</v>
      </c>
      <c r="D1986" t="s">
        <v>67</v>
      </c>
      <c r="H1986" t="str">
        <f t="shared" si="202"/>
        <v>00721920155</v>
      </c>
      <c r="I1986" t="str">
        <f t="shared" si="202"/>
        <v>00721920155</v>
      </c>
      <c r="K1986" t="str">
        <f>""</f>
        <v/>
      </c>
      <c r="M1986" t="s">
        <v>68</v>
      </c>
      <c r="N1986" t="str">
        <f t="shared" si="201"/>
        <v>FOR</v>
      </c>
      <c r="O1986" t="s">
        <v>69</v>
      </c>
      <c r="P1986" s="3" t="s">
        <v>75</v>
      </c>
      <c r="Q1986">
        <v>2015</v>
      </c>
      <c r="R1986" s="2">
        <v>42167</v>
      </c>
      <c r="S1986" s="2">
        <v>42171</v>
      </c>
      <c r="T1986" s="2">
        <v>42170</v>
      </c>
      <c r="U1986" s="2">
        <v>42230</v>
      </c>
      <c r="V1986" t="s">
        <v>71</v>
      </c>
      <c r="W1986" t="str">
        <f>"          5840107291"</f>
        <v xml:space="preserve">          5840107291</v>
      </c>
      <c r="X1986">
        <v>119.6</v>
      </c>
      <c r="Y1986">
        <v>0</v>
      </c>
      <c r="Z1986"/>
      <c r="AB1986"/>
      <c r="AC1986">
        <v>115</v>
      </c>
      <c r="AD1986">
        <v>297</v>
      </c>
      <c r="AE1986" s="1">
        <v>34155</v>
      </c>
      <c r="AF1986">
        <v>0</v>
      </c>
      <c r="AJ1986">
        <v>0</v>
      </c>
      <c r="AK1986">
        <v>0</v>
      </c>
      <c r="AL1986">
        <v>0</v>
      </c>
      <c r="AM1986">
        <v>0</v>
      </c>
      <c r="AN1986">
        <v>0</v>
      </c>
      <c r="AO1986">
        <v>0</v>
      </c>
      <c r="AP1986" s="2">
        <v>42746</v>
      </c>
      <c r="AQ1986" t="s">
        <v>72</v>
      </c>
      <c r="AR1986" t="s">
        <v>72</v>
      </c>
      <c r="AS1986">
        <v>1502</v>
      </c>
      <c r="AT1986" s="4">
        <v>42527</v>
      </c>
      <c r="AU1986" t="s">
        <v>73</v>
      </c>
      <c r="AV1986">
        <v>1502</v>
      </c>
      <c r="AW1986" s="4">
        <v>42527</v>
      </c>
      <c r="BD1986">
        <v>0</v>
      </c>
      <c r="BN1986" t="s">
        <v>74</v>
      </c>
    </row>
    <row r="1987" spans="1:66" hidden="1">
      <c r="A1987">
        <v>100695</v>
      </c>
      <c r="B1987" s="3" t="s">
        <v>227</v>
      </c>
      <c r="C1987" s="1">
        <v>43300101</v>
      </c>
      <c r="D1987" t="s">
        <v>67</v>
      </c>
      <c r="H1987" t="str">
        <f t="shared" si="202"/>
        <v>00721920155</v>
      </c>
      <c r="I1987" t="str">
        <f t="shared" si="202"/>
        <v>00721920155</v>
      </c>
      <c r="K1987" t="str">
        <f>""</f>
        <v/>
      </c>
      <c r="M1987" t="s">
        <v>68</v>
      </c>
      <c r="N1987" t="str">
        <f t="shared" si="201"/>
        <v>FOR</v>
      </c>
      <c r="O1987" t="s">
        <v>69</v>
      </c>
      <c r="P1987" s="3" t="s">
        <v>75</v>
      </c>
      <c r="Q1987">
        <v>2015</v>
      </c>
      <c r="R1987" s="2">
        <v>42167</v>
      </c>
      <c r="S1987" s="2">
        <v>42171</v>
      </c>
      <c r="T1987" s="2">
        <v>42170</v>
      </c>
      <c r="U1987" s="2">
        <v>42230</v>
      </c>
      <c r="V1987" t="s">
        <v>71</v>
      </c>
      <c r="W1987" t="str">
        <f>"          5840107293"</f>
        <v xml:space="preserve">          5840107293</v>
      </c>
      <c r="X1987">
        <v>119.6</v>
      </c>
      <c r="Y1987">
        <v>0</v>
      </c>
      <c r="Z1987"/>
      <c r="AB1987"/>
      <c r="AC1987">
        <v>115</v>
      </c>
      <c r="AD1987">
        <v>297</v>
      </c>
      <c r="AE1987" s="1">
        <v>34155</v>
      </c>
      <c r="AF1987">
        <v>0</v>
      </c>
      <c r="AJ1987">
        <v>0</v>
      </c>
      <c r="AK1987">
        <v>0</v>
      </c>
      <c r="AL1987">
        <v>0</v>
      </c>
      <c r="AM1987">
        <v>0</v>
      </c>
      <c r="AN1987">
        <v>0</v>
      </c>
      <c r="AO1987">
        <v>0</v>
      </c>
      <c r="AP1987" s="2">
        <v>42746</v>
      </c>
      <c r="AQ1987" t="s">
        <v>72</v>
      </c>
      <c r="AR1987" t="s">
        <v>72</v>
      </c>
      <c r="AS1987">
        <v>1502</v>
      </c>
      <c r="AT1987" s="4">
        <v>42527</v>
      </c>
      <c r="AU1987" t="s">
        <v>73</v>
      </c>
      <c r="AV1987">
        <v>1502</v>
      </c>
      <c r="AW1987" s="4">
        <v>42527</v>
      </c>
      <c r="BD1987">
        <v>0</v>
      </c>
      <c r="BN1987" t="s">
        <v>74</v>
      </c>
    </row>
    <row r="1988" spans="1:66" hidden="1">
      <c r="A1988">
        <v>100695</v>
      </c>
      <c r="B1988" s="3" t="s">
        <v>227</v>
      </c>
      <c r="C1988" s="1">
        <v>43300101</v>
      </c>
      <c r="D1988" t="s">
        <v>67</v>
      </c>
      <c r="H1988" t="str">
        <f t="shared" si="202"/>
        <v>00721920155</v>
      </c>
      <c r="I1988" t="str">
        <f t="shared" si="202"/>
        <v>00721920155</v>
      </c>
      <c r="K1988" t="str">
        <f>""</f>
        <v/>
      </c>
      <c r="M1988" t="s">
        <v>68</v>
      </c>
      <c r="N1988" t="str">
        <f t="shared" si="201"/>
        <v>FOR</v>
      </c>
      <c r="O1988" t="s">
        <v>69</v>
      </c>
      <c r="P1988" s="3" t="s">
        <v>75</v>
      </c>
      <c r="Q1988">
        <v>2015</v>
      </c>
      <c r="R1988" s="2">
        <v>42167</v>
      </c>
      <c r="S1988" s="2">
        <v>42171</v>
      </c>
      <c r="T1988" s="2">
        <v>42170</v>
      </c>
      <c r="U1988" s="2">
        <v>42230</v>
      </c>
      <c r="V1988" t="s">
        <v>71</v>
      </c>
      <c r="W1988" t="str">
        <f>"          5840107294"</f>
        <v xml:space="preserve">          5840107294</v>
      </c>
      <c r="X1988">
        <v>119.6</v>
      </c>
      <c r="Y1988">
        <v>0</v>
      </c>
      <c r="Z1988"/>
      <c r="AB1988"/>
      <c r="AC1988">
        <v>115</v>
      </c>
      <c r="AD1988">
        <v>297</v>
      </c>
      <c r="AE1988" s="1">
        <v>34155</v>
      </c>
      <c r="AF1988">
        <v>0</v>
      </c>
      <c r="AJ1988">
        <v>0</v>
      </c>
      <c r="AK1988">
        <v>0</v>
      </c>
      <c r="AL1988">
        <v>0</v>
      </c>
      <c r="AM1988">
        <v>0</v>
      </c>
      <c r="AN1988">
        <v>0</v>
      </c>
      <c r="AO1988">
        <v>0</v>
      </c>
      <c r="AP1988" s="2">
        <v>42746</v>
      </c>
      <c r="AQ1988" t="s">
        <v>72</v>
      </c>
      <c r="AR1988" t="s">
        <v>72</v>
      </c>
      <c r="AS1988">
        <v>1502</v>
      </c>
      <c r="AT1988" s="4">
        <v>42527</v>
      </c>
      <c r="AU1988" t="s">
        <v>73</v>
      </c>
      <c r="AV1988">
        <v>1502</v>
      </c>
      <c r="AW1988" s="4">
        <v>42527</v>
      </c>
      <c r="BD1988">
        <v>0</v>
      </c>
      <c r="BN1988" t="s">
        <v>74</v>
      </c>
    </row>
    <row r="1989" spans="1:66" hidden="1">
      <c r="A1989">
        <v>100695</v>
      </c>
      <c r="B1989" s="3" t="s">
        <v>227</v>
      </c>
      <c r="C1989" s="1">
        <v>43300101</v>
      </c>
      <c r="D1989" t="s">
        <v>67</v>
      </c>
      <c r="H1989" t="str">
        <f t="shared" ref="H1989:I2008" si="203">"00721920155"</f>
        <v>00721920155</v>
      </c>
      <c r="I1989" t="str">
        <f t="shared" si="203"/>
        <v>00721920155</v>
      </c>
      <c r="K1989" t="str">
        <f>""</f>
        <v/>
      </c>
      <c r="M1989" t="s">
        <v>68</v>
      </c>
      <c r="N1989" t="str">
        <f t="shared" si="201"/>
        <v>FOR</v>
      </c>
      <c r="O1989" t="s">
        <v>69</v>
      </c>
      <c r="P1989" s="3" t="s">
        <v>75</v>
      </c>
      <c r="Q1989">
        <v>2015</v>
      </c>
      <c r="R1989" s="2">
        <v>42172</v>
      </c>
      <c r="S1989" s="2">
        <v>42174</v>
      </c>
      <c r="T1989" s="2">
        <v>42173</v>
      </c>
      <c r="U1989" s="2">
        <v>42233</v>
      </c>
      <c r="V1989" t="s">
        <v>71</v>
      </c>
      <c r="W1989" t="str">
        <f>"          5840107509"</f>
        <v xml:space="preserve">          5840107509</v>
      </c>
      <c r="X1989">
        <v>119.6</v>
      </c>
      <c r="Y1989">
        <v>0</v>
      </c>
      <c r="Z1989"/>
      <c r="AB1989"/>
      <c r="AC1989">
        <v>115</v>
      </c>
      <c r="AD1989">
        <v>294</v>
      </c>
      <c r="AE1989" s="1">
        <v>33810</v>
      </c>
      <c r="AF1989">
        <v>0</v>
      </c>
      <c r="AJ1989">
        <v>0</v>
      </c>
      <c r="AK1989">
        <v>0</v>
      </c>
      <c r="AL1989">
        <v>0</v>
      </c>
      <c r="AM1989">
        <v>0</v>
      </c>
      <c r="AN1989">
        <v>0</v>
      </c>
      <c r="AO1989">
        <v>0</v>
      </c>
      <c r="AP1989" s="2">
        <v>42746</v>
      </c>
      <c r="AQ1989" t="s">
        <v>72</v>
      </c>
      <c r="AR1989" t="s">
        <v>72</v>
      </c>
      <c r="AS1989">
        <v>1502</v>
      </c>
      <c r="AT1989" s="4">
        <v>42527</v>
      </c>
      <c r="AU1989" t="s">
        <v>73</v>
      </c>
      <c r="AV1989">
        <v>1502</v>
      </c>
      <c r="AW1989" s="4">
        <v>42527</v>
      </c>
      <c r="BD1989">
        <v>0</v>
      </c>
      <c r="BN1989" t="s">
        <v>74</v>
      </c>
    </row>
    <row r="1990" spans="1:66" hidden="1">
      <c r="A1990">
        <v>100695</v>
      </c>
      <c r="B1990" s="3" t="s">
        <v>227</v>
      </c>
      <c r="C1990" s="1">
        <v>43300101</v>
      </c>
      <c r="D1990" t="s">
        <v>67</v>
      </c>
      <c r="H1990" t="str">
        <f t="shared" si="203"/>
        <v>00721920155</v>
      </c>
      <c r="I1990" t="str">
        <f t="shared" si="203"/>
        <v>00721920155</v>
      </c>
      <c r="K1990" t="str">
        <f>""</f>
        <v/>
      </c>
      <c r="M1990" t="s">
        <v>68</v>
      </c>
      <c r="N1990" t="str">
        <f t="shared" si="201"/>
        <v>FOR</v>
      </c>
      <c r="O1990" t="s">
        <v>69</v>
      </c>
      <c r="P1990" s="3" t="s">
        <v>75</v>
      </c>
      <c r="Q1990">
        <v>2015</v>
      </c>
      <c r="R1990" s="2">
        <v>42178</v>
      </c>
      <c r="S1990" s="2">
        <v>42187</v>
      </c>
      <c r="T1990" s="2">
        <v>42184</v>
      </c>
      <c r="U1990" s="2">
        <v>42244</v>
      </c>
      <c r="V1990" t="s">
        <v>71</v>
      </c>
      <c r="W1990" t="str">
        <f>"          5840107759"</f>
        <v xml:space="preserve">          5840107759</v>
      </c>
      <c r="X1990">
        <v>119.6</v>
      </c>
      <c r="Y1990">
        <v>0</v>
      </c>
      <c r="Z1990"/>
      <c r="AB1990"/>
      <c r="AC1990">
        <v>115</v>
      </c>
      <c r="AD1990">
        <v>283</v>
      </c>
      <c r="AE1990" s="1">
        <v>32545</v>
      </c>
      <c r="AF1990">
        <v>0</v>
      </c>
      <c r="AJ1990">
        <v>0</v>
      </c>
      <c r="AK1990">
        <v>0</v>
      </c>
      <c r="AL1990">
        <v>0</v>
      </c>
      <c r="AM1990">
        <v>0</v>
      </c>
      <c r="AN1990">
        <v>0</v>
      </c>
      <c r="AO1990">
        <v>0</v>
      </c>
      <c r="AP1990" s="2">
        <v>42746</v>
      </c>
      <c r="AQ1990" t="s">
        <v>72</v>
      </c>
      <c r="AR1990" t="s">
        <v>72</v>
      </c>
      <c r="AS1990">
        <v>1502</v>
      </c>
      <c r="AT1990" s="4">
        <v>42527</v>
      </c>
      <c r="AU1990" t="s">
        <v>73</v>
      </c>
      <c r="AV1990">
        <v>1502</v>
      </c>
      <c r="AW1990" s="4">
        <v>42527</v>
      </c>
      <c r="BD1990">
        <v>0</v>
      </c>
      <c r="BN1990" t="s">
        <v>74</v>
      </c>
    </row>
    <row r="1991" spans="1:66" hidden="1">
      <c r="A1991">
        <v>100695</v>
      </c>
      <c r="B1991" s="3" t="s">
        <v>227</v>
      </c>
      <c r="C1991" s="1">
        <v>43300101</v>
      </c>
      <c r="D1991" t="s">
        <v>67</v>
      </c>
      <c r="H1991" t="str">
        <f t="shared" si="203"/>
        <v>00721920155</v>
      </c>
      <c r="I1991" t="str">
        <f t="shared" si="203"/>
        <v>00721920155</v>
      </c>
      <c r="K1991" t="str">
        <f>""</f>
        <v/>
      </c>
      <c r="M1991" t="s">
        <v>68</v>
      </c>
      <c r="N1991" t="str">
        <f t="shared" si="201"/>
        <v>FOR</v>
      </c>
      <c r="O1991" t="s">
        <v>69</v>
      </c>
      <c r="P1991" s="3" t="s">
        <v>75</v>
      </c>
      <c r="Q1991">
        <v>2015</v>
      </c>
      <c r="R1991" s="2">
        <v>42178</v>
      </c>
      <c r="S1991" s="2">
        <v>42187</v>
      </c>
      <c r="T1991" s="2">
        <v>42184</v>
      </c>
      <c r="U1991" s="2">
        <v>42244</v>
      </c>
      <c r="V1991" t="s">
        <v>71</v>
      </c>
      <c r="W1991" t="str">
        <f>"          5840107761"</f>
        <v xml:space="preserve">          5840107761</v>
      </c>
      <c r="X1991">
        <v>119.6</v>
      </c>
      <c r="Y1991">
        <v>0</v>
      </c>
      <c r="Z1991"/>
      <c r="AB1991"/>
      <c r="AC1991">
        <v>115</v>
      </c>
      <c r="AD1991">
        <v>283</v>
      </c>
      <c r="AE1991" s="1">
        <v>32545</v>
      </c>
      <c r="AF1991">
        <v>0</v>
      </c>
      <c r="AJ1991">
        <v>0</v>
      </c>
      <c r="AK1991">
        <v>0</v>
      </c>
      <c r="AL1991">
        <v>0</v>
      </c>
      <c r="AM1991">
        <v>0</v>
      </c>
      <c r="AN1991">
        <v>0</v>
      </c>
      <c r="AO1991">
        <v>0</v>
      </c>
      <c r="AP1991" s="2">
        <v>42746</v>
      </c>
      <c r="AQ1991" t="s">
        <v>72</v>
      </c>
      <c r="AR1991" t="s">
        <v>72</v>
      </c>
      <c r="AS1991">
        <v>1502</v>
      </c>
      <c r="AT1991" s="4">
        <v>42527</v>
      </c>
      <c r="AU1991" t="s">
        <v>73</v>
      </c>
      <c r="AV1991">
        <v>1502</v>
      </c>
      <c r="AW1991" s="4">
        <v>42527</v>
      </c>
      <c r="BD1991">
        <v>0</v>
      </c>
      <c r="BN1991" t="s">
        <v>74</v>
      </c>
    </row>
    <row r="1992" spans="1:66" hidden="1">
      <c r="A1992">
        <v>100695</v>
      </c>
      <c r="B1992" s="3" t="s">
        <v>227</v>
      </c>
      <c r="C1992" s="1">
        <v>43300101</v>
      </c>
      <c r="D1992" t="s">
        <v>67</v>
      </c>
      <c r="H1992" t="str">
        <f t="shared" si="203"/>
        <v>00721920155</v>
      </c>
      <c r="I1992" t="str">
        <f t="shared" si="203"/>
        <v>00721920155</v>
      </c>
      <c r="K1992" t="str">
        <f>""</f>
        <v/>
      </c>
      <c r="M1992" t="s">
        <v>68</v>
      </c>
      <c r="N1992" t="str">
        <f t="shared" si="201"/>
        <v>FOR</v>
      </c>
      <c r="O1992" t="s">
        <v>69</v>
      </c>
      <c r="P1992" s="3" t="s">
        <v>75</v>
      </c>
      <c r="Q1992">
        <v>2015</v>
      </c>
      <c r="R1992" s="2">
        <v>42178</v>
      </c>
      <c r="S1992" s="2">
        <v>42187</v>
      </c>
      <c r="T1992" s="2">
        <v>42184</v>
      </c>
      <c r="U1992" s="2">
        <v>42244</v>
      </c>
      <c r="V1992" t="s">
        <v>71</v>
      </c>
      <c r="W1992" t="str">
        <f>"          5840107762"</f>
        <v xml:space="preserve">          5840107762</v>
      </c>
      <c r="X1992">
        <v>119.6</v>
      </c>
      <c r="Y1992">
        <v>0</v>
      </c>
      <c r="Z1992"/>
      <c r="AB1992"/>
      <c r="AC1992">
        <v>115</v>
      </c>
      <c r="AD1992">
        <v>283</v>
      </c>
      <c r="AE1992" s="1">
        <v>32545</v>
      </c>
      <c r="AF1992">
        <v>0</v>
      </c>
      <c r="AJ1992">
        <v>0</v>
      </c>
      <c r="AK1992">
        <v>0</v>
      </c>
      <c r="AL1992">
        <v>0</v>
      </c>
      <c r="AM1992">
        <v>0</v>
      </c>
      <c r="AN1992">
        <v>0</v>
      </c>
      <c r="AO1992">
        <v>0</v>
      </c>
      <c r="AP1992" s="2">
        <v>42746</v>
      </c>
      <c r="AQ1992" t="s">
        <v>72</v>
      </c>
      <c r="AR1992" t="s">
        <v>72</v>
      </c>
      <c r="AS1992">
        <v>1502</v>
      </c>
      <c r="AT1992" s="4">
        <v>42527</v>
      </c>
      <c r="AU1992" t="s">
        <v>73</v>
      </c>
      <c r="AV1992">
        <v>1502</v>
      </c>
      <c r="AW1992" s="4">
        <v>42527</v>
      </c>
      <c r="BD1992">
        <v>0</v>
      </c>
      <c r="BN1992" t="s">
        <v>74</v>
      </c>
    </row>
    <row r="1993" spans="1:66" hidden="1">
      <c r="A1993">
        <v>100695</v>
      </c>
      <c r="B1993" s="3" t="s">
        <v>227</v>
      </c>
      <c r="C1993" s="1">
        <v>43300101</v>
      </c>
      <c r="D1993" t="s">
        <v>67</v>
      </c>
      <c r="H1993" t="str">
        <f t="shared" si="203"/>
        <v>00721920155</v>
      </c>
      <c r="I1993" t="str">
        <f t="shared" si="203"/>
        <v>00721920155</v>
      </c>
      <c r="K1993" t="str">
        <f>""</f>
        <v/>
      </c>
      <c r="M1993" t="s">
        <v>68</v>
      </c>
      <c r="N1993" t="str">
        <f t="shared" si="201"/>
        <v>FOR</v>
      </c>
      <c r="O1993" t="s">
        <v>69</v>
      </c>
      <c r="P1993" s="3" t="s">
        <v>75</v>
      </c>
      <c r="Q1993">
        <v>2015</v>
      </c>
      <c r="R1993" s="2">
        <v>42178</v>
      </c>
      <c r="S1993" s="2">
        <v>42187</v>
      </c>
      <c r="T1993" s="2">
        <v>42184</v>
      </c>
      <c r="U1993" s="2">
        <v>42244</v>
      </c>
      <c r="V1993" t="s">
        <v>71</v>
      </c>
      <c r="W1993" t="str">
        <f>"          5840107764"</f>
        <v xml:space="preserve">          5840107764</v>
      </c>
      <c r="X1993">
        <v>119.6</v>
      </c>
      <c r="Y1993">
        <v>0</v>
      </c>
      <c r="Z1993"/>
      <c r="AB1993"/>
      <c r="AC1993">
        <v>115</v>
      </c>
      <c r="AD1993">
        <v>283</v>
      </c>
      <c r="AE1993" s="1">
        <v>32545</v>
      </c>
      <c r="AF1993">
        <v>0</v>
      </c>
      <c r="AJ1993">
        <v>0</v>
      </c>
      <c r="AK1993">
        <v>0</v>
      </c>
      <c r="AL1993">
        <v>0</v>
      </c>
      <c r="AM1993">
        <v>0</v>
      </c>
      <c r="AN1993">
        <v>0</v>
      </c>
      <c r="AO1993">
        <v>0</v>
      </c>
      <c r="AP1993" s="2">
        <v>42746</v>
      </c>
      <c r="AQ1993" t="s">
        <v>72</v>
      </c>
      <c r="AR1993" t="s">
        <v>72</v>
      </c>
      <c r="AS1993">
        <v>1502</v>
      </c>
      <c r="AT1993" s="4">
        <v>42527</v>
      </c>
      <c r="AU1993" t="s">
        <v>73</v>
      </c>
      <c r="AV1993">
        <v>1502</v>
      </c>
      <c r="AW1993" s="4">
        <v>42527</v>
      </c>
      <c r="BD1993">
        <v>0</v>
      </c>
      <c r="BN1993" t="s">
        <v>74</v>
      </c>
    </row>
    <row r="1994" spans="1:66" hidden="1">
      <c r="A1994">
        <v>100695</v>
      </c>
      <c r="B1994" s="3" t="s">
        <v>227</v>
      </c>
      <c r="C1994" s="1">
        <v>43300101</v>
      </c>
      <c r="D1994" t="s">
        <v>67</v>
      </c>
      <c r="H1994" t="str">
        <f t="shared" si="203"/>
        <v>00721920155</v>
      </c>
      <c r="I1994" t="str">
        <f t="shared" si="203"/>
        <v>00721920155</v>
      </c>
      <c r="K1994" t="str">
        <f>""</f>
        <v/>
      </c>
      <c r="M1994" t="s">
        <v>68</v>
      </c>
      <c r="N1994" t="str">
        <f t="shared" si="201"/>
        <v>FOR</v>
      </c>
      <c r="O1994" t="s">
        <v>69</v>
      </c>
      <c r="P1994" s="3" t="s">
        <v>75</v>
      </c>
      <c r="Q1994">
        <v>2015</v>
      </c>
      <c r="R1994" s="2">
        <v>42178</v>
      </c>
      <c r="S1994" s="2">
        <v>42187</v>
      </c>
      <c r="T1994" s="2">
        <v>42184</v>
      </c>
      <c r="U1994" s="2">
        <v>42244</v>
      </c>
      <c r="V1994" t="s">
        <v>71</v>
      </c>
      <c r="W1994" t="str">
        <f>"          5840107765"</f>
        <v xml:space="preserve">          5840107765</v>
      </c>
      <c r="X1994">
        <v>119.6</v>
      </c>
      <c r="Y1994">
        <v>0</v>
      </c>
      <c r="Z1994"/>
      <c r="AB1994"/>
      <c r="AC1994">
        <v>115</v>
      </c>
      <c r="AD1994">
        <v>283</v>
      </c>
      <c r="AE1994" s="1">
        <v>32545</v>
      </c>
      <c r="AF1994">
        <v>0</v>
      </c>
      <c r="AJ1994">
        <v>0</v>
      </c>
      <c r="AK1994">
        <v>0</v>
      </c>
      <c r="AL1994">
        <v>0</v>
      </c>
      <c r="AM1994">
        <v>0</v>
      </c>
      <c r="AN1994">
        <v>0</v>
      </c>
      <c r="AO1994">
        <v>0</v>
      </c>
      <c r="AP1994" s="2">
        <v>42746</v>
      </c>
      <c r="AQ1994" t="s">
        <v>72</v>
      </c>
      <c r="AR1994" t="s">
        <v>72</v>
      </c>
      <c r="AS1994">
        <v>1502</v>
      </c>
      <c r="AT1994" s="4">
        <v>42527</v>
      </c>
      <c r="AU1994" t="s">
        <v>73</v>
      </c>
      <c r="AV1994">
        <v>1502</v>
      </c>
      <c r="AW1994" s="4">
        <v>42527</v>
      </c>
      <c r="BD1994">
        <v>0</v>
      </c>
      <c r="BN1994" t="s">
        <v>74</v>
      </c>
    </row>
    <row r="1995" spans="1:66" hidden="1">
      <c r="A1995">
        <v>100695</v>
      </c>
      <c r="B1995" s="3" t="s">
        <v>227</v>
      </c>
      <c r="C1995" s="1">
        <v>43300101</v>
      </c>
      <c r="D1995" t="s">
        <v>67</v>
      </c>
      <c r="H1995" t="str">
        <f t="shared" si="203"/>
        <v>00721920155</v>
      </c>
      <c r="I1995" t="str">
        <f t="shared" si="203"/>
        <v>00721920155</v>
      </c>
      <c r="K1995" t="str">
        <f>""</f>
        <v/>
      </c>
      <c r="M1995" t="s">
        <v>68</v>
      </c>
      <c r="N1995" t="str">
        <f t="shared" si="201"/>
        <v>FOR</v>
      </c>
      <c r="O1995" t="s">
        <v>69</v>
      </c>
      <c r="P1995" s="3" t="s">
        <v>75</v>
      </c>
      <c r="Q1995">
        <v>2015</v>
      </c>
      <c r="R1995" s="2">
        <v>42178</v>
      </c>
      <c r="S1995" s="2">
        <v>42187</v>
      </c>
      <c r="T1995" s="2">
        <v>42184</v>
      </c>
      <c r="U1995" s="2">
        <v>42244</v>
      </c>
      <c r="V1995" t="s">
        <v>71</v>
      </c>
      <c r="W1995" t="str">
        <f>"          5840107772"</f>
        <v xml:space="preserve">          5840107772</v>
      </c>
      <c r="X1995">
        <v>119.6</v>
      </c>
      <c r="Y1995">
        <v>0</v>
      </c>
      <c r="Z1995"/>
      <c r="AB1995"/>
      <c r="AC1995">
        <v>115</v>
      </c>
      <c r="AD1995">
        <v>283</v>
      </c>
      <c r="AE1995" s="1">
        <v>32545</v>
      </c>
      <c r="AF1995">
        <v>0</v>
      </c>
      <c r="AJ1995">
        <v>0</v>
      </c>
      <c r="AK1995">
        <v>0</v>
      </c>
      <c r="AL1995">
        <v>0</v>
      </c>
      <c r="AM1995">
        <v>0</v>
      </c>
      <c r="AN1995">
        <v>0</v>
      </c>
      <c r="AO1995">
        <v>0</v>
      </c>
      <c r="AP1995" s="2">
        <v>42746</v>
      </c>
      <c r="AQ1995" t="s">
        <v>72</v>
      </c>
      <c r="AR1995" t="s">
        <v>72</v>
      </c>
      <c r="AS1995">
        <v>1502</v>
      </c>
      <c r="AT1995" s="4">
        <v>42527</v>
      </c>
      <c r="AU1995" t="s">
        <v>73</v>
      </c>
      <c r="AV1995">
        <v>1502</v>
      </c>
      <c r="AW1995" s="4">
        <v>42527</v>
      </c>
      <c r="BD1995">
        <v>0</v>
      </c>
      <c r="BN1995" t="s">
        <v>74</v>
      </c>
    </row>
    <row r="1996" spans="1:66" hidden="1">
      <c r="A1996">
        <v>100695</v>
      </c>
      <c r="B1996" s="3" t="s">
        <v>227</v>
      </c>
      <c r="C1996" s="1">
        <v>43300101</v>
      </c>
      <c r="D1996" t="s">
        <v>67</v>
      </c>
      <c r="H1996" t="str">
        <f t="shared" si="203"/>
        <v>00721920155</v>
      </c>
      <c r="I1996" t="str">
        <f t="shared" si="203"/>
        <v>00721920155</v>
      </c>
      <c r="K1996" t="str">
        <f>""</f>
        <v/>
      </c>
      <c r="M1996" t="s">
        <v>68</v>
      </c>
      <c r="N1996" t="str">
        <f t="shared" si="201"/>
        <v>FOR</v>
      </c>
      <c r="O1996" t="s">
        <v>69</v>
      </c>
      <c r="P1996" s="3" t="s">
        <v>75</v>
      </c>
      <c r="Q1996">
        <v>2015</v>
      </c>
      <c r="R1996" s="2">
        <v>42178</v>
      </c>
      <c r="S1996" s="2">
        <v>42191</v>
      </c>
      <c r="T1996" s="2">
        <v>42184</v>
      </c>
      <c r="U1996" s="2">
        <v>42244</v>
      </c>
      <c r="V1996" t="s">
        <v>71</v>
      </c>
      <c r="W1996" t="str">
        <f>"          5840107773"</f>
        <v xml:space="preserve">          5840107773</v>
      </c>
      <c r="X1996">
        <v>119.6</v>
      </c>
      <c r="Y1996">
        <v>0</v>
      </c>
      <c r="Z1996"/>
      <c r="AB1996"/>
      <c r="AC1996">
        <v>115</v>
      </c>
      <c r="AD1996">
        <v>283</v>
      </c>
      <c r="AE1996" s="1">
        <v>32545</v>
      </c>
      <c r="AF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0</v>
      </c>
      <c r="AP1996" s="2">
        <v>42746</v>
      </c>
      <c r="AQ1996" t="s">
        <v>72</v>
      </c>
      <c r="AR1996" t="s">
        <v>72</v>
      </c>
      <c r="AS1996">
        <v>1502</v>
      </c>
      <c r="AT1996" s="4">
        <v>42527</v>
      </c>
      <c r="AU1996" t="s">
        <v>73</v>
      </c>
      <c r="AV1996">
        <v>1502</v>
      </c>
      <c r="AW1996" s="4">
        <v>42527</v>
      </c>
      <c r="BD1996">
        <v>0</v>
      </c>
      <c r="BN1996" t="s">
        <v>74</v>
      </c>
    </row>
    <row r="1997" spans="1:66" hidden="1">
      <c r="A1997">
        <v>100695</v>
      </c>
      <c r="B1997" s="3" t="s">
        <v>227</v>
      </c>
      <c r="C1997" s="1">
        <v>43300101</v>
      </c>
      <c r="D1997" t="s">
        <v>67</v>
      </c>
      <c r="H1997" t="str">
        <f t="shared" si="203"/>
        <v>00721920155</v>
      </c>
      <c r="I1997" t="str">
        <f t="shared" si="203"/>
        <v>00721920155</v>
      </c>
      <c r="K1997" t="str">
        <f>""</f>
        <v/>
      </c>
      <c r="M1997" t="s">
        <v>68</v>
      </c>
      <c r="N1997" t="str">
        <f t="shared" si="201"/>
        <v>FOR</v>
      </c>
      <c r="O1997" t="s">
        <v>69</v>
      </c>
      <c r="P1997" s="3" t="s">
        <v>75</v>
      </c>
      <c r="Q1997">
        <v>2015</v>
      </c>
      <c r="R1997" s="2">
        <v>42178</v>
      </c>
      <c r="S1997" s="2">
        <v>42191</v>
      </c>
      <c r="T1997" s="2">
        <v>42184</v>
      </c>
      <c r="U1997" s="2">
        <v>42244</v>
      </c>
      <c r="V1997" t="s">
        <v>71</v>
      </c>
      <c r="W1997" t="str">
        <f>"          5840107775"</f>
        <v xml:space="preserve">          5840107775</v>
      </c>
      <c r="X1997">
        <v>119.6</v>
      </c>
      <c r="Y1997">
        <v>0</v>
      </c>
      <c r="Z1997"/>
      <c r="AB1997"/>
      <c r="AC1997">
        <v>115</v>
      </c>
      <c r="AD1997">
        <v>283</v>
      </c>
      <c r="AE1997" s="1">
        <v>32545</v>
      </c>
      <c r="AF1997">
        <v>0</v>
      </c>
      <c r="AJ1997">
        <v>0</v>
      </c>
      <c r="AK1997">
        <v>0</v>
      </c>
      <c r="AL1997">
        <v>0</v>
      </c>
      <c r="AM1997">
        <v>0</v>
      </c>
      <c r="AN1997">
        <v>0</v>
      </c>
      <c r="AO1997">
        <v>0</v>
      </c>
      <c r="AP1997" s="2">
        <v>42746</v>
      </c>
      <c r="AQ1997" t="s">
        <v>72</v>
      </c>
      <c r="AR1997" t="s">
        <v>72</v>
      </c>
      <c r="AS1997">
        <v>1502</v>
      </c>
      <c r="AT1997" s="4">
        <v>42527</v>
      </c>
      <c r="AU1997" t="s">
        <v>73</v>
      </c>
      <c r="AV1997">
        <v>1502</v>
      </c>
      <c r="AW1997" s="4">
        <v>42527</v>
      </c>
      <c r="BD1997">
        <v>0</v>
      </c>
      <c r="BN1997" t="s">
        <v>74</v>
      </c>
    </row>
    <row r="1998" spans="1:66" hidden="1">
      <c r="A1998">
        <v>100695</v>
      </c>
      <c r="B1998" s="3" t="s">
        <v>227</v>
      </c>
      <c r="C1998" s="1">
        <v>43300101</v>
      </c>
      <c r="D1998" t="s">
        <v>67</v>
      </c>
      <c r="H1998" t="str">
        <f t="shared" si="203"/>
        <v>00721920155</v>
      </c>
      <c r="I1998" t="str">
        <f t="shared" si="203"/>
        <v>00721920155</v>
      </c>
      <c r="K1998" t="str">
        <f>""</f>
        <v/>
      </c>
      <c r="M1998" t="s">
        <v>68</v>
      </c>
      <c r="N1998" t="str">
        <f t="shared" si="201"/>
        <v>FOR</v>
      </c>
      <c r="O1998" t="s">
        <v>69</v>
      </c>
      <c r="P1998" s="3" t="s">
        <v>75</v>
      </c>
      <c r="Q1998">
        <v>2015</v>
      </c>
      <c r="R1998" s="2">
        <v>42178</v>
      </c>
      <c r="S1998" s="2">
        <v>42191</v>
      </c>
      <c r="T1998" s="2">
        <v>42184</v>
      </c>
      <c r="U1998" s="2">
        <v>42244</v>
      </c>
      <c r="V1998" t="s">
        <v>71</v>
      </c>
      <c r="W1998" t="str">
        <f>"          5840107777"</f>
        <v xml:space="preserve">          5840107777</v>
      </c>
      <c r="X1998">
        <v>119.6</v>
      </c>
      <c r="Y1998">
        <v>0</v>
      </c>
      <c r="Z1998"/>
      <c r="AB1998"/>
      <c r="AC1998">
        <v>115</v>
      </c>
      <c r="AD1998">
        <v>283</v>
      </c>
      <c r="AE1998" s="1">
        <v>32545</v>
      </c>
      <c r="AF1998">
        <v>0</v>
      </c>
      <c r="AJ1998">
        <v>0</v>
      </c>
      <c r="AK1998">
        <v>0</v>
      </c>
      <c r="AL1998">
        <v>0</v>
      </c>
      <c r="AM1998">
        <v>0</v>
      </c>
      <c r="AN1998">
        <v>0</v>
      </c>
      <c r="AO1998">
        <v>0</v>
      </c>
      <c r="AP1998" s="2">
        <v>42746</v>
      </c>
      <c r="AQ1998" t="s">
        <v>72</v>
      </c>
      <c r="AR1998" t="s">
        <v>72</v>
      </c>
      <c r="AS1998">
        <v>1502</v>
      </c>
      <c r="AT1998" s="4">
        <v>42527</v>
      </c>
      <c r="AU1998" t="s">
        <v>73</v>
      </c>
      <c r="AV1998">
        <v>1502</v>
      </c>
      <c r="AW1998" s="4">
        <v>42527</v>
      </c>
      <c r="BD1998">
        <v>0</v>
      </c>
      <c r="BN1998" t="s">
        <v>74</v>
      </c>
    </row>
    <row r="1999" spans="1:66" hidden="1">
      <c r="A1999">
        <v>100695</v>
      </c>
      <c r="B1999" s="3" t="s">
        <v>227</v>
      </c>
      <c r="C1999" s="1">
        <v>43300101</v>
      </c>
      <c r="D1999" t="s">
        <v>67</v>
      </c>
      <c r="H1999" t="str">
        <f t="shared" si="203"/>
        <v>00721920155</v>
      </c>
      <c r="I1999" t="str">
        <f t="shared" si="203"/>
        <v>00721920155</v>
      </c>
      <c r="K1999" t="str">
        <f>""</f>
        <v/>
      </c>
      <c r="M1999" t="s">
        <v>68</v>
      </c>
      <c r="N1999" t="str">
        <f t="shared" si="201"/>
        <v>FOR</v>
      </c>
      <c r="O1999" t="s">
        <v>69</v>
      </c>
      <c r="P1999" s="3" t="s">
        <v>75</v>
      </c>
      <c r="Q1999">
        <v>2015</v>
      </c>
      <c r="R1999" s="2">
        <v>42178</v>
      </c>
      <c r="S1999" s="2">
        <v>42187</v>
      </c>
      <c r="T1999" s="2">
        <v>42184</v>
      </c>
      <c r="U1999" s="2">
        <v>42244</v>
      </c>
      <c r="V1999" t="s">
        <v>71</v>
      </c>
      <c r="W1999" t="str">
        <f>"          5840107779"</f>
        <v xml:space="preserve">          5840107779</v>
      </c>
      <c r="X1999">
        <v>119.6</v>
      </c>
      <c r="Y1999">
        <v>0</v>
      </c>
      <c r="Z1999"/>
      <c r="AB1999"/>
      <c r="AC1999">
        <v>115</v>
      </c>
      <c r="AD1999">
        <v>283</v>
      </c>
      <c r="AE1999" s="1">
        <v>32545</v>
      </c>
      <c r="AF1999">
        <v>0</v>
      </c>
      <c r="AJ1999">
        <v>0</v>
      </c>
      <c r="AK1999">
        <v>0</v>
      </c>
      <c r="AL1999">
        <v>0</v>
      </c>
      <c r="AM1999">
        <v>0</v>
      </c>
      <c r="AN1999">
        <v>0</v>
      </c>
      <c r="AO1999">
        <v>0</v>
      </c>
      <c r="AP1999" s="2">
        <v>42746</v>
      </c>
      <c r="AQ1999" t="s">
        <v>72</v>
      </c>
      <c r="AR1999" t="s">
        <v>72</v>
      </c>
      <c r="AS1999">
        <v>1502</v>
      </c>
      <c r="AT1999" s="4">
        <v>42527</v>
      </c>
      <c r="AU1999" t="s">
        <v>73</v>
      </c>
      <c r="AV1999">
        <v>1502</v>
      </c>
      <c r="AW1999" s="4">
        <v>42527</v>
      </c>
      <c r="BD1999">
        <v>0</v>
      </c>
      <c r="BN1999" t="s">
        <v>74</v>
      </c>
    </row>
    <row r="2000" spans="1:66" hidden="1">
      <c r="A2000">
        <v>100695</v>
      </c>
      <c r="B2000" s="3" t="s">
        <v>227</v>
      </c>
      <c r="C2000" s="1">
        <v>43300101</v>
      </c>
      <c r="D2000" t="s">
        <v>67</v>
      </c>
      <c r="H2000" t="str">
        <f t="shared" si="203"/>
        <v>00721920155</v>
      </c>
      <c r="I2000" t="str">
        <f t="shared" si="203"/>
        <v>00721920155</v>
      </c>
      <c r="K2000" t="str">
        <f>""</f>
        <v/>
      </c>
      <c r="M2000" t="s">
        <v>68</v>
      </c>
      <c r="N2000" t="str">
        <f t="shared" si="201"/>
        <v>FOR</v>
      </c>
      <c r="O2000" t="s">
        <v>69</v>
      </c>
      <c r="P2000" s="3" t="s">
        <v>75</v>
      </c>
      <c r="Q2000">
        <v>2015</v>
      </c>
      <c r="R2000" s="2">
        <v>42178</v>
      </c>
      <c r="S2000" s="2">
        <v>42191</v>
      </c>
      <c r="T2000" s="2">
        <v>42184</v>
      </c>
      <c r="U2000" s="2">
        <v>42244</v>
      </c>
      <c r="V2000" t="s">
        <v>71</v>
      </c>
      <c r="W2000" t="str">
        <f>"          5840107781"</f>
        <v xml:space="preserve">          5840107781</v>
      </c>
      <c r="X2000">
        <v>119.6</v>
      </c>
      <c r="Y2000">
        <v>0</v>
      </c>
      <c r="Z2000"/>
      <c r="AB2000"/>
      <c r="AC2000">
        <v>115</v>
      </c>
      <c r="AD2000">
        <v>283</v>
      </c>
      <c r="AE2000" s="1">
        <v>32545</v>
      </c>
      <c r="AF2000">
        <v>0</v>
      </c>
      <c r="AJ2000">
        <v>0</v>
      </c>
      <c r="AK2000">
        <v>0</v>
      </c>
      <c r="AL2000">
        <v>0</v>
      </c>
      <c r="AM2000">
        <v>0</v>
      </c>
      <c r="AN2000">
        <v>0</v>
      </c>
      <c r="AO2000">
        <v>0</v>
      </c>
      <c r="AP2000" s="2">
        <v>42746</v>
      </c>
      <c r="AQ2000" t="s">
        <v>72</v>
      </c>
      <c r="AR2000" t="s">
        <v>72</v>
      </c>
      <c r="AS2000">
        <v>1502</v>
      </c>
      <c r="AT2000" s="4">
        <v>42527</v>
      </c>
      <c r="AU2000" t="s">
        <v>73</v>
      </c>
      <c r="AV2000">
        <v>1502</v>
      </c>
      <c r="AW2000" s="4">
        <v>42527</v>
      </c>
      <c r="BD2000">
        <v>0</v>
      </c>
      <c r="BN2000" t="s">
        <v>74</v>
      </c>
    </row>
    <row r="2001" spans="1:66" hidden="1">
      <c r="A2001">
        <v>100695</v>
      </c>
      <c r="B2001" s="3" t="s">
        <v>227</v>
      </c>
      <c r="C2001" s="1">
        <v>43300101</v>
      </c>
      <c r="D2001" t="s">
        <v>67</v>
      </c>
      <c r="H2001" t="str">
        <f t="shared" si="203"/>
        <v>00721920155</v>
      </c>
      <c r="I2001" t="str">
        <f t="shared" si="203"/>
        <v>00721920155</v>
      </c>
      <c r="K2001" t="str">
        <f>""</f>
        <v/>
      </c>
      <c r="M2001" t="s">
        <v>68</v>
      </c>
      <c r="N2001" t="str">
        <f t="shared" si="201"/>
        <v>FOR</v>
      </c>
      <c r="O2001" t="s">
        <v>69</v>
      </c>
      <c r="P2001" s="3" t="s">
        <v>75</v>
      </c>
      <c r="Q2001">
        <v>2015</v>
      </c>
      <c r="R2001" s="2">
        <v>42178</v>
      </c>
      <c r="S2001" s="2">
        <v>42187</v>
      </c>
      <c r="T2001" s="2">
        <v>42184</v>
      </c>
      <c r="U2001" s="2">
        <v>42244</v>
      </c>
      <c r="V2001" t="s">
        <v>71</v>
      </c>
      <c r="W2001" t="str">
        <f>"          5840107782"</f>
        <v xml:space="preserve">          5840107782</v>
      </c>
      <c r="X2001">
        <v>119.6</v>
      </c>
      <c r="Y2001">
        <v>0</v>
      </c>
      <c r="Z2001"/>
      <c r="AB2001"/>
      <c r="AC2001">
        <v>115</v>
      </c>
      <c r="AD2001">
        <v>283</v>
      </c>
      <c r="AE2001" s="1">
        <v>32545</v>
      </c>
      <c r="AF2001">
        <v>0</v>
      </c>
      <c r="AJ2001">
        <v>0</v>
      </c>
      <c r="AK2001">
        <v>0</v>
      </c>
      <c r="AL2001">
        <v>0</v>
      </c>
      <c r="AM2001">
        <v>0</v>
      </c>
      <c r="AN2001">
        <v>0</v>
      </c>
      <c r="AO2001">
        <v>0</v>
      </c>
      <c r="AP2001" s="2">
        <v>42746</v>
      </c>
      <c r="AQ2001" t="s">
        <v>72</v>
      </c>
      <c r="AR2001" t="s">
        <v>72</v>
      </c>
      <c r="AS2001">
        <v>1502</v>
      </c>
      <c r="AT2001" s="4">
        <v>42527</v>
      </c>
      <c r="AU2001" t="s">
        <v>73</v>
      </c>
      <c r="AV2001">
        <v>1502</v>
      </c>
      <c r="AW2001" s="4">
        <v>42527</v>
      </c>
      <c r="BD2001">
        <v>0</v>
      </c>
      <c r="BN2001" t="s">
        <v>74</v>
      </c>
    </row>
    <row r="2002" spans="1:66" hidden="1">
      <c r="A2002">
        <v>100695</v>
      </c>
      <c r="B2002" s="3" t="s">
        <v>227</v>
      </c>
      <c r="C2002" s="1">
        <v>43300101</v>
      </c>
      <c r="D2002" t="s">
        <v>67</v>
      </c>
      <c r="H2002" t="str">
        <f t="shared" si="203"/>
        <v>00721920155</v>
      </c>
      <c r="I2002" t="str">
        <f t="shared" si="203"/>
        <v>00721920155</v>
      </c>
      <c r="K2002" t="str">
        <f>""</f>
        <v/>
      </c>
      <c r="M2002" t="s">
        <v>68</v>
      </c>
      <c r="N2002" t="str">
        <f t="shared" si="201"/>
        <v>FOR</v>
      </c>
      <c r="O2002" t="s">
        <v>69</v>
      </c>
      <c r="P2002" s="3" t="s">
        <v>75</v>
      </c>
      <c r="Q2002">
        <v>2015</v>
      </c>
      <c r="R2002" s="2">
        <v>42178</v>
      </c>
      <c r="S2002" s="2">
        <v>42191</v>
      </c>
      <c r="T2002" s="2">
        <v>42184</v>
      </c>
      <c r="U2002" s="2">
        <v>42244</v>
      </c>
      <c r="V2002" t="s">
        <v>71</v>
      </c>
      <c r="W2002" t="str">
        <f>"          5840107790"</f>
        <v xml:space="preserve">          5840107790</v>
      </c>
      <c r="X2002">
        <v>119.6</v>
      </c>
      <c r="Y2002">
        <v>0</v>
      </c>
      <c r="Z2002"/>
      <c r="AB2002"/>
      <c r="AC2002">
        <v>115</v>
      </c>
      <c r="AD2002">
        <v>283</v>
      </c>
      <c r="AE2002" s="1">
        <v>32545</v>
      </c>
      <c r="AF2002">
        <v>0</v>
      </c>
      <c r="AJ2002">
        <v>0</v>
      </c>
      <c r="AK2002">
        <v>0</v>
      </c>
      <c r="AL2002">
        <v>0</v>
      </c>
      <c r="AM2002">
        <v>0</v>
      </c>
      <c r="AN2002">
        <v>0</v>
      </c>
      <c r="AO2002">
        <v>0</v>
      </c>
      <c r="AP2002" s="2">
        <v>42746</v>
      </c>
      <c r="AQ2002" t="s">
        <v>72</v>
      </c>
      <c r="AR2002" t="s">
        <v>72</v>
      </c>
      <c r="AS2002">
        <v>1502</v>
      </c>
      <c r="AT2002" s="4">
        <v>42527</v>
      </c>
      <c r="AU2002" t="s">
        <v>73</v>
      </c>
      <c r="AV2002">
        <v>1502</v>
      </c>
      <c r="AW2002" s="4">
        <v>42527</v>
      </c>
      <c r="BD2002">
        <v>0</v>
      </c>
      <c r="BN2002" t="s">
        <v>74</v>
      </c>
    </row>
    <row r="2003" spans="1:66" hidden="1">
      <c r="A2003">
        <v>100695</v>
      </c>
      <c r="B2003" s="3" t="s">
        <v>227</v>
      </c>
      <c r="C2003" s="1">
        <v>43300101</v>
      </c>
      <c r="D2003" t="s">
        <v>67</v>
      </c>
      <c r="H2003" t="str">
        <f t="shared" si="203"/>
        <v>00721920155</v>
      </c>
      <c r="I2003" t="str">
        <f t="shared" si="203"/>
        <v>00721920155</v>
      </c>
      <c r="K2003" t="str">
        <f>""</f>
        <v/>
      </c>
      <c r="M2003" t="s">
        <v>68</v>
      </c>
      <c r="N2003" t="str">
        <f t="shared" si="201"/>
        <v>FOR</v>
      </c>
      <c r="O2003" t="s">
        <v>69</v>
      </c>
      <c r="P2003" s="3" t="s">
        <v>75</v>
      </c>
      <c r="Q2003">
        <v>2015</v>
      </c>
      <c r="R2003" s="2">
        <v>42178</v>
      </c>
      <c r="S2003" s="2">
        <v>42187</v>
      </c>
      <c r="T2003" s="2">
        <v>42184</v>
      </c>
      <c r="U2003" s="2">
        <v>42244</v>
      </c>
      <c r="V2003" t="s">
        <v>71</v>
      </c>
      <c r="W2003" t="str">
        <f>"          5840107793"</f>
        <v xml:space="preserve">          5840107793</v>
      </c>
      <c r="X2003">
        <v>119.6</v>
      </c>
      <c r="Y2003">
        <v>0</v>
      </c>
      <c r="Z2003"/>
      <c r="AB2003"/>
      <c r="AC2003">
        <v>115</v>
      </c>
      <c r="AD2003">
        <v>283</v>
      </c>
      <c r="AE2003" s="1">
        <v>32545</v>
      </c>
      <c r="AF2003">
        <v>0</v>
      </c>
      <c r="AJ2003">
        <v>0</v>
      </c>
      <c r="AK2003">
        <v>0</v>
      </c>
      <c r="AL2003">
        <v>0</v>
      </c>
      <c r="AM2003">
        <v>0</v>
      </c>
      <c r="AN2003">
        <v>0</v>
      </c>
      <c r="AO2003">
        <v>0</v>
      </c>
      <c r="AP2003" s="2">
        <v>42746</v>
      </c>
      <c r="AQ2003" t="s">
        <v>72</v>
      </c>
      <c r="AR2003" t="s">
        <v>72</v>
      </c>
      <c r="AS2003">
        <v>1502</v>
      </c>
      <c r="AT2003" s="4">
        <v>42527</v>
      </c>
      <c r="AU2003" t="s">
        <v>73</v>
      </c>
      <c r="AV2003">
        <v>1502</v>
      </c>
      <c r="AW2003" s="4">
        <v>42527</v>
      </c>
      <c r="BD2003">
        <v>0</v>
      </c>
      <c r="BN2003" t="s">
        <v>74</v>
      </c>
    </row>
    <row r="2004" spans="1:66" hidden="1">
      <c r="A2004">
        <v>100695</v>
      </c>
      <c r="B2004" s="3" t="s">
        <v>227</v>
      </c>
      <c r="C2004" s="1">
        <v>43300101</v>
      </c>
      <c r="D2004" t="s">
        <v>67</v>
      </c>
      <c r="H2004" t="str">
        <f t="shared" si="203"/>
        <v>00721920155</v>
      </c>
      <c r="I2004" t="str">
        <f t="shared" si="203"/>
        <v>00721920155</v>
      </c>
      <c r="K2004" t="str">
        <f>""</f>
        <v/>
      </c>
      <c r="M2004" t="s">
        <v>68</v>
      </c>
      <c r="N2004" t="str">
        <f t="shared" si="201"/>
        <v>FOR</v>
      </c>
      <c r="O2004" t="s">
        <v>69</v>
      </c>
      <c r="P2004" s="3" t="s">
        <v>75</v>
      </c>
      <c r="Q2004">
        <v>2015</v>
      </c>
      <c r="R2004" s="2">
        <v>42178</v>
      </c>
      <c r="S2004" s="2">
        <v>42187</v>
      </c>
      <c r="T2004" s="2">
        <v>42184</v>
      </c>
      <c r="U2004" s="2">
        <v>42244</v>
      </c>
      <c r="V2004" t="s">
        <v>71</v>
      </c>
      <c r="W2004" t="str">
        <f>"          5840107794"</f>
        <v xml:space="preserve">          5840107794</v>
      </c>
      <c r="X2004">
        <v>119.6</v>
      </c>
      <c r="Y2004">
        <v>0</v>
      </c>
      <c r="Z2004"/>
      <c r="AB2004"/>
      <c r="AC2004">
        <v>115</v>
      </c>
      <c r="AD2004">
        <v>283</v>
      </c>
      <c r="AE2004" s="1">
        <v>32545</v>
      </c>
      <c r="AF2004">
        <v>0</v>
      </c>
      <c r="AJ2004">
        <v>0</v>
      </c>
      <c r="AK2004">
        <v>0</v>
      </c>
      <c r="AL2004">
        <v>0</v>
      </c>
      <c r="AM2004">
        <v>0</v>
      </c>
      <c r="AN2004">
        <v>0</v>
      </c>
      <c r="AO2004">
        <v>0</v>
      </c>
      <c r="AP2004" s="2">
        <v>42746</v>
      </c>
      <c r="AQ2004" t="s">
        <v>72</v>
      </c>
      <c r="AR2004" t="s">
        <v>72</v>
      </c>
      <c r="AS2004">
        <v>1502</v>
      </c>
      <c r="AT2004" s="4">
        <v>42527</v>
      </c>
      <c r="AU2004" t="s">
        <v>73</v>
      </c>
      <c r="AV2004">
        <v>1502</v>
      </c>
      <c r="AW2004" s="4">
        <v>42527</v>
      </c>
      <c r="BD2004">
        <v>0</v>
      </c>
      <c r="BN2004" t="s">
        <v>74</v>
      </c>
    </row>
    <row r="2005" spans="1:66" hidden="1">
      <c r="A2005">
        <v>100695</v>
      </c>
      <c r="B2005" s="3" t="s">
        <v>227</v>
      </c>
      <c r="C2005" s="1">
        <v>43300101</v>
      </c>
      <c r="D2005" t="s">
        <v>67</v>
      </c>
      <c r="H2005" t="str">
        <f t="shared" si="203"/>
        <v>00721920155</v>
      </c>
      <c r="I2005" t="str">
        <f t="shared" si="203"/>
        <v>00721920155</v>
      </c>
      <c r="K2005" t="str">
        <f>""</f>
        <v/>
      </c>
      <c r="M2005" t="s">
        <v>68</v>
      </c>
      <c r="N2005" t="str">
        <f t="shared" si="201"/>
        <v>FOR</v>
      </c>
      <c r="O2005" t="s">
        <v>69</v>
      </c>
      <c r="P2005" s="3" t="s">
        <v>75</v>
      </c>
      <c r="Q2005">
        <v>2015</v>
      </c>
      <c r="R2005" s="2">
        <v>42178</v>
      </c>
      <c r="S2005" s="2">
        <v>42191</v>
      </c>
      <c r="T2005" s="2">
        <v>42184</v>
      </c>
      <c r="U2005" s="2">
        <v>42244</v>
      </c>
      <c r="V2005" t="s">
        <v>71</v>
      </c>
      <c r="W2005" t="str">
        <f>"          5840107795"</f>
        <v xml:space="preserve">          5840107795</v>
      </c>
      <c r="X2005">
        <v>119.6</v>
      </c>
      <c r="Y2005">
        <v>0</v>
      </c>
      <c r="Z2005"/>
      <c r="AB2005"/>
      <c r="AC2005">
        <v>115</v>
      </c>
      <c r="AD2005">
        <v>283</v>
      </c>
      <c r="AE2005" s="1">
        <v>32545</v>
      </c>
      <c r="AF2005">
        <v>0</v>
      </c>
      <c r="AJ2005">
        <v>0</v>
      </c>
      <c r="AK2005">
        <v>0</v>
      </c>
      <c r="AL2005">
        <v>0</v>
      </c>
      <c r="AM2005">
        <v>0</v>
      </c>
      <c r="AN2005">
        <v>0</v>
      </c>
      <c r="AO2005">
        <v>0</v>
      </c>
      <c r="AP2005" s="2">
        <v>42746</v>
      </c>
      <c r="AQ2005" t="s">
        <v>72</v>
      </c>
      <c r="AR2005" t="s">
        <v>72</v>
      </c>
      <c r="AS2005">
        <v>1502</v>
      </c>
      <c r="AT2005" s="4">
        <v>42527</v>
      </c>
      <c r="AU2005" t="s">
        <v>73</v>
      </c>
      <c r="AV2005">
        <v>1502</v>
      </c>
      <c r="AW2005" s="4">
        <v>42527</v>
      </c>
      <c r="BD2005">
        <v>0</v>
      </c>
      <c r="BN2005" t="s">
        <v>74</v>
      </c>
    </row>
    <row r="2006" spans="1:66" hidden="1">
      <c r="A2006">
        <v>100695</v>
      </c>
      <c r="B2006" s="3" t="s">
        <v>227</v>
      </c>
      <c r="C2006" s="1">
        <v>43300101</v>
      </c>
      <c r="D2006" t="s">
        <v>67</v>
      </c>
      <c r="H2006" t="str">
        <f t="shared" si="203"/>
        <v>00721920155</v>
      </c>
      <c r="I2006" t="str">
        <f t="shared" si="203"/>
        <v>00721920155</v>
      </c>
      <c r="K2006" t="str">
        <f>""</f>
        <v/>
      </c>
      <c r="M2006" t="s">
        <v>68</v>
      </c>
      <c r="N2006" t="str">
        <f t="shared" si="201"/>
        <v>FOR</v>
      </c>
      <c r="O2006" t="s">
        <v>69</v>
      </c>
      <c r="P2006" s="3" t="s">
        <v>75</v>
      </c>
      <c r="Q2006">
        <v>2015</v>
      </c>
      <c r="R2006" s="2">
        <v>42178</v>
      </c>
      <c r="S2006" s="2">
        <v>42191</v>
      </c>
      <c r="T2006" s="2">
        <v>42184</v>
      </c>
      <c r="U2006" s="2">
        <v>42244</v>
      </c>
      <c r="V2006" t="s">
        <v>71</v>
      </c>
      <c r="W2006" t="str">
        <f>"          5840107796"</f>
        <v xml:space="preserve">          5840107796</v>
      </c>
      <c r="X2006">
        <v>119.6</v>
      </c>
      <c r="Y2006">
        <v>0</v>
      </c>
      <c r="Z2006"/>
      <c r="AB2006"/>
      <c r="AC2006">
        <v>115</v>
      </c>
      <c r="AD2006">
        <v>283</v>
      </c>
      <c r="AE2006" s="1">
        <v>32545</v>
      </c>
      <c r="AF2006">
        <v>0</v>
      </c>
      <c r="AJ2006">
        <v>0</v>
      </c>
      <c r="AK2006">
        <v>0</v>
      </c>
      <c r="AL2006">
        <v>0</v>
      </c>
      <c r="AM2006">
        <v>0</v>
      </c>
      <c r="AN2006">
        <v>0</v>
      </c>
      <c r="AO2006">
        <v>0</v>
      </c>
      <c r="AP2006" s="2">
        <v>42746</v>
      </c>
      <c r="AQ2006" t="s">
        <v>72</v>
      </c>
      <c r="AR2006" t="s">
        <v>72</v>
      </c>
      <c r="AS2006">
        <v>1502</v>
      </c>
      <c r="AT2006" s="4">
        <v>42527</v>
      </c>
      <c r="AU2006" t="s">
        <v>73</v>
      </c>
      <c r="AV2006">
        <v>1502</v>
      </c>
      <c r="AW2006" s="4">
        <v>42527</v>
      </c>
      <c r="BD2006">
        <v>0</v>
      </c>
      <c r="BN2006" t="s">
        <v>74</v>
      </c>
    </row>
    <row r="2007" spans="1:66" hidden="1">
      <c r="A2007">
        <v>100695</v>
      </c>
      <c r="B2007" s="3" t="s">
        <v>227</v>
      </c>
      <c r="C2007" s="1">
        <v>43300101</v>
      </c>
      <c r="D2007" t="s">
        <v>67</v>
      </c>
      <c r="H2007" t="str">
        <f t="shared" si="203"/>
        <v>00721920155</v>
      </c>
      <c r="I2007" t="str">
        <f t="shared" si="203"/>
        <v>00721920155</v>
      </c>
      <c r="K2007" t="str">
        <f>""</f>
        <v/>
      </c>
      <c r="M2007" t="s">
        <v>68</v>
      </c>
      <c r="N2007" t="str">
        <f t="shared" si="201"/>
        <v>FOR</v>
      </c>
      <c r="O2007" t="s">
        <v>69</v>
      </c>
      <c r="P2007" s="3" t="s">
        <v>75</v>
      </c>
      <c r="Q2007">
        <v>2015</v>
      </c>
      <c r="R2007" s="2">
        <v>42187</v>
      </c>
      <c r="S2007" s="2">
        <v>42195</v>
      </c>
      <c r="T2007" s="2">
        <v>42193</v>
      </c>
      <c r="U2007" s="2">
        <v>42253</v>
      </c>
      <c r="V2007" t="s">
        <v>71</v>
      </c>
      <c r="W2007" t="str">
        <f>"          5840108390"</f>
        <v xml:space="preserve">          5840108390</v>
      </c>
      <c r="X2007">
        <v>119.6</v>
      </c>
      <c r="Y2007">
        <v>0</v>
      </c>
      <c r="Z2007"/>
      <c r="AB2007"/>
      <c r="AC2007">
        <v>115</v>
      </c>
      <c r="AD2007">
        <v>316</v>
      </c>
      <c r="AE2007" s="1">
        <v>36340</v>
      </c>
      <c r="AF2007">
        <v>0</v>
      </c>
      <c r="AJ2007">
        <v>0</v>
      </c>
      <c r="AK2007">
        <v>0</v>
      </c>
      <c r="AL2007">
        <v>0</v>
      </c>
      <c r="AM2007">
        <v>0</v>
      </c>
      <c r="AN2007">
        <v>0</v>
      </c>
      <c r="AO2007">
        <v>0</v>
      </c>
      <c r="AP2007" s="2">
        <v>42746</v>
      </c>
      <c r="AQ2007" t="s">
        <v>72</v>
      </c>
      <c r="AR2007" t="s">
        <v>72</v>
      </c>
      <c r="AS2007">
        <v>1869</v>
      </c>
      <c r="AT2007" s="4">
        <v>42569</v>
      </c>
      <c r="AU2007" t="s">
        <v>73</v>
      </c>
      <c r="AV2007">
        <v>1869</v>
      </c>
      <c r="AW2007" s="4">
        <v>42569</v>
      </c>
      <c r="BD2007">
        <v>0</v>
      </c>
      <c r="BN2007" t="s">
        <v>74</v>
      </c>
    </row>
    <row r="2008" spans="1:66" hidden="1">
      <c r="A2008">
        <v>100695</v>
      </c>
      <c r="B2008" s="3" t="s">
        <v>227</v>
      </c>
      <c r="C2008" s="1">
        <v>43300101</v>
      </c>
      <c r="D2008" t="s">
        <v>67</v>
      </c>
      <c r="H2008" t="str">
        <f t="shared" si="203"/>
        <v>00721920155</v>
      </c>
      <c r="I2008" t="str">
        <f t="shared" si="203"/>
        <v>00721920155</v>
      </c>
      <c r="K2008" t="str">
        <f>""</f>
        <v/>
      </c>
      <c r="M2008" t="s">
        <v>68</v>
      </c>
      <c r="N2008" t="str">
        <f t="shared" si="201"/>
        <v>FOR</v>
      </c>
      <c r="O2008" t="s">
        <v>69</v>
      </c>
      <c r="P2008" s="3" t="s">
        <v>75</v>
      </c>
      <c r="Q2008">
        <v>2015</v>
      </c>
      <c r="R2008" s="2">
        <v>42187</v>
      </c>
      <c r="S2008" s="2">
        <v>42195</v>
      </c>
      <c r="T2008" s="2">
        <v>42193</v>
      </c>
      <c r="U2008" s="2">
        <v>42253</v>
      </c>
      <c r="V2008" t="s">
        <v>71</v>
      </c>
      <c r="W2008" t="str">
        <f>"          5840108394"</f>
        <v xml:space="preserve">          5840108394</v>
      </c>
      <c r="X2008">
        <v>119.6</v>
      </c>
      <c r="Y2008">
        <v>0</v>
      </c>
      <c r="Z2008"/>
      <c r="AB2008"/>
      <c r="AC2008">
        <v>115</v>
      </c>
      <c r="AD2008">
        <v>316</v>
      </c>
      <c r="AE2008" s="1">
        <v>36340</v>
      </c>
      <c r="AF2008">
        <v>0</v>
      </c>
      <c r="AJ2008">
        <v>0</v>
      </c>
      <c r="AK2008">
        <v>0</v>
      </c>
      <c r="AL2008">
        <v>0</v>
      </c>
      <c r="AM2008">
        <v>0</v>
      </c>
      <c r="AN2008">
        <v>0</v>
      </c>
      <c r="AO2008">
        <v>0</v>
      </c>
      <c r="AP2008" s="2">
        <v>42746</v>
      </c>
      <c r="AQ2008" t="s">
        <v>72</v>
      </c>
      <c r="AR2008" t="s">
        <v>72</v>
      </c>
      <c r="AS2008">
        <v>1869</v>
      </c>
      <c r="AT2008" s="4">
        <v>42569</v>
      </c>
      <c r="AU2008" t="s">
        <v>73</v>
      </c>
      <c r="AV2008">
        <v>1869</v>
      </c>
      <c r="AW2008" s="4">
        <v>42569</v>
      </c>
      <c r="BD2008">
        <v>0</v>
      </c>
      <c r="BN2008" t="s">
        <v>74</v>
      </c>
    </row>
    <row r="2009" spans="1:66" hidden="1">
      <c r="A2009">
        <v>100695</v>
      </c>
      <c r="B2009" s="3" t="s">
        <v>227</v>
      </c>
      <c r="C2009" s="1">
        <v>43300101</v>
      </c>
      <c r="D2009" t="s">
        <v>67</v>
      </c>
      <c r="H2009" t="str">
        <f t="shared" ref="H2009:I2028" si="204">"00721920155"</f>
        <v>00721920155</v>
      </c>
      <c r="I2009" t="str">
        <f t="shared" si="204"/>
        <v>00721920155</v>
      </c>
      <c r="K2009" t="str">
        <f>""</f>
        <v/>
      </c>
      <c r="M2009" t="s">
        <v>68</v>
      </c>
      <c r="N2009" t="str">
        <f t="shared" si="201"/>
        <v>FOR</v>
      </c>
      <c r="O2009" t="s">
        <v>69</v>
      </c>
      <c r="P2009" s="3" t="s">
        <v>75</v>
      </c>
      <c r="Q2009">
        <v>2015</v>
      </c>
      <c r="R2009" s="2">
        <v>42187</v>
      </c>
      <c r="S2009" s="2">
        <v>42195</v>
      </c>
      <c r="T2009" s="2">
        <v>42193</v>
      </c>
      <c r="U2009" s="2">
        <v>42253</v>
      </c>
      <c r="V2009" t="s">
        <v>71</v>
      </c>
      <c r="W2009" t="str">
        <f>"          5840108397"</f>
        <v xml:space="preserve">          5840108397</v>
      </c>
      <c r="X2009">
        <v>119.6</v>
      </c>
      <c r="Y2009">
        <v>0</v>
      </c>
      <c r="Z2009"/>
      <c r="AB2009"/>
      <c r="AC2009">
        <v>115</v>
      </c>
      <c r="AD2009">
        <v>316</v>
      </c>
      <c r="AE2009" s="1">
        <v>36340</v>
      </c>
      <c r="AF2009">
        <v>0</v>
      </c>
      <c r="AJ2009">
        <v>0</v>
      </c>
      <c r="AK2009">
        <v>0</v>
      </c>
      <c r="AL2009">
        <v>0</v>
      </c>
      <c r="AM2009">
        <v>0</v>
      </c>
      <c r="AN2009">
        <v>0</v>
      </c>
      <c r="AO2009">
        <v>0</v>
      </c>
      <c r="AP2009" s="2">
        <v>42746</v>
      </c>
      <c r="AQ2009" t="s">
        <v>72</v>
      </c>
      <c r="AR2009" t="s">
        <v>72</v>
      </c>
      <c r="AS2009">
        <v>1869</v>
      </c>
      <c r="AT2009" s="4">
        <v>42569</v>
      </c>
      <c r="AU2009" t="s">
        <v>73</v>
      </c>
      <c r="AV2009">
        <v>1869</v>
      </c>
      <c r="AW2009" s="4">
        <v>42569</v>
      </c>
      <c r="BD2009">
        <v>0</v>
      </c>
      <c r="BN2009" t="s">
        <v>74</v>
      </c>
    </row>
    <row r="2010" spans="1:66" hidden="1">
      <c r="A2010">
        <v>100695</v>
      </c>
      <c r="B2010" s="3" t="s">
        <v>227</v>
      </c>
      <c r="C2010" s="1">
        <v>43300101</v>
      </c>
      <c r="D2010" t="s">
        <v>67</v>
      </c>
      <c r="H2010" t="str">
        <f t="shared" si="204"/>
        <v>00721920155</v>
      </c>
      <c r="I2010" t="str">
        <f t="shared" si="204"/>
        <v>00721920155</v>
      </c>
      <c r="K2010" t="str">
        <f>""</f>
        <v/>
      </c>
      <c r="M2010" t="s">
        <v>68</v>
      </c>
      <c r="N2010" t="str">
        <f t="shared" si="201"/>
        <v>FOR</v>
      </c>
      <c r="O2010" t="s">
        <v>69</v>
      </c>
      <c r="P2010" s="3" t="s">
        <v>75</v>
      </c>
      <c r="Q2010">
        <v>2015</v>
      </c>
      <c r="R2010" s="2">
        <v>42187</v>
      </c>
      <c r="S2010" s="2">
        <v>42195</v>
      </c>
      <c r="T2010" s="2">
        <v>42193</v>
      </c>
      <c r="U2010" s="2">
        <v>42253</v>
      </c>
      <c r="V2010" t="s">
        <v>71</v>
      </c>
      <c r="W2010" t="str">
        <f>"          5840108399"</f>
        <v xml:space="preserve">          5840108399</v>
      </c>
      <c r="X2010">
        <v>119.6</v>
      </c>
      <c r="Y2010">
        <v>0</v>
      </c>
      <c r="Z2010"/>
      <c r="AB2010"/>
      <c r="AC2010">
        <v>115</v>
      </c>
      <c r="AD2010">
        <v>316</v>
      </c>
      <c r="AE2010" s="1">
        <v>36340</v>
      </c>
      <c r="AF2010">
        <v>0</v>
      </c>
      <c r="AJ2010">
        <v>0</v>
      </c>
      <c r="AK2010">
        <v>0</v>
      </c>
      <c r="AL2010">
        <v>0</v>
      </c>
      <c r="AM2010">
        <v>0</v>
      </c>
      <c r="AN2010">
        <v>0</v>
      </c>
      <c r="AO2010">
        <v>0</v>
      </c>
      <c r="AP2010" s="2">
        <v>42746</v>
      </c>
      <c r="AQ2010" t="s">
        <v>72</v>
      </c>
      <c r="AR2010" t="s">
        <v>72</v>
      </c>
      <c r="AS2010">
        <v>1869</v>
      </c>
      <c r="AT2010" s="4">
        <v>42569</v>
      </c>
      <c r="AU2010" t="s">
        <v>73</v>
      </c>
      <c r="AV2010">
        <v>1869</v>
      </c>
      <c r="AW2010" s="4">
        <v>42569</v>
      </c>
      <c r="BD2010">
        <v>0</v>
      </c>
      <c r="BN2010" t="s">
        <v>74</v>
      </c>
    </row>
    <row r="2011" spans="1:66" hidden="1">
      <c r="A2011">
        <v>100695</v>
      </c>
      <c r="B2011" s="3" t="s">
        <v>227</v>
      </c>
      <c r="C2011" s="1">
        <v>43300101</v>
      </c>
      <c r="D2011" t="s">
        <v>67</v>
      </c>
      <c r="H2011" t="str">
        <f t="shared" si="204"/>
        <v>00721920155</v>
      </c>
      <c r="I2011" t="str">
        <f t="shared" si="204"/>
        <v>00721920155</v>
      </c>
      <c r="K2011" t="str">
        <f>""</f>
        <v/>
      </c>
      <c r="M2011" t="s">
        <v>68</v>
      </c>
      <c r="N2011" t="str">
        <f t="shared" si="201"/>
        <v>FOR</v>
      </c>
      <c r="O2011" t="s">
        <v>69</v>
      </c>
      <c r="P2011" s="3" t="s">
        <v>75</v>
      </c>
      <c r="Q2011">
        <v>2015</v>
      </c>
      <c r="R2011" s="2">
        <v>42187</v>
      </c>
      <c r="S2011" s="2">
        <v>42195</v>
      </c>
      <c r="T2011" s="2">
        <v>42193</v>
      </c>
      <c r="U2011" s="2">
        <v>42253</v>
      </c>
      <c r="V2011" t="s">
        <v>71</v>
      </c>
      <c r="W2011" t="str">
        <f>"          5840108401"</f>
        <v xml:space="preserve">          5840108401</v>
      </c>
      <c r="X2011">
        <v>119.6</v>
      </c>
      <c r="Y2011">
        <v>0</v>
      </c>
      <c r="Z2011"/>
      <c r="AB2011"/>
      <c r="AC2011">
        <v>115</v>
      </c>
      <c r="AD2011">
        <v>316</v>
      </c>
      <c r="AE2011" s="1">
        <v>36340</v>
      </c>
      <c r="AF2011">
        <v>0</v>
      </c>
      <c r="AJ2011">
        <v>0</v>
      </c>
      <c r="AK2011">
        <v>0</v>
      </c>
      <c r="AL2011">
        <v>0</v>
      </c>
      <c r="AM2011">
        <v>0</v>
      </c>
      <c r="AN2011">
        <v>0</v>
      </c>
      <c r="AO2011">
        <v>0</v>
      </c>
      <c r="AP2011" s="2">
        <v>42746</v>
      </c>
      <c r="AQ2011" t="s">
        <v>72</v>
      </c>
      <c r="AR2011" t="s">
        <v>72</v>
      </c>
      <c r="AS2011">
        <v>1869</v>
      </c>
      <c r="AT2011" s="4">
        <v>42569</v>
      </c>
      <c r="AU2011" t="s">
        <v>73</v>
      </c>
      <c r="AV2011">
        <v>1869</v>
      </c>
      <c r="AW2011" s="4">
        <v>42569</v>
      </c>
      <c r="BD2011">
        <v>0</v>
      </c>
      <c r="BN2011" t="s">
        <v>74</v>
      </c>
    </row>
    <row r="2012" spans="1:66" hidden="1">
      <c r="A2012">
        <v>100695</v>
      </c>
      <c r="B2012" s="3" t="s">
        <v>227</v>
      </c>
      <c r="C2012" s="1">
        <v>43300101</v>
      </c>
      <c r="D2012" t="s">
        <v>67</v>
      </c>
      <c r="H2012" t="str">
        <f t="shared" si="204"/>
        <v>00721920155</v>
      </c>
      <c r="I2012" t="str">
        <f t="shared" si="204"/>
        <v>00721920155</v>
      </c>
      <c r="K2012" t="str">
        <f>""</f>
        <v/>
      </c>
      <c r="M2012" t="s">
        <v>68</v>
      </c>
      <c r="N2012" t="str">
        <f t="shared" si="201"/>
        <v>FOR</v>
      </c>
      <c r="O2012" t="s">
        <v>69</v>
      </c>
      <c r="P2012" s="3" t="s">
        <v>75</v>
      </c>
      <c r="Q2012">
        <v>2015</v>
      </c>
      <c r="R2012" s="2">
        <v>42193</v>
      </c>
      <c r="S2012" s="2">
        <v>42202</v>
      </c>
      <c r="T2012" s="2">
        <v>42200</v>
      </c>
      <c r="U2012" s="2">
        <v>42260</v>
      </c>
      <c r="V2012" t="s">
        <v>71</v>
      </c>
      <c r="W2012" t="str">
        <f>"          5840108572"</f>
        <v xml:space="preserve">          5840108572</v>
      </c>
      <c r="X2012">
        <v>119.6</v>
      </c>
      <c r="Y2012">
        <v>0</v>
      </c>
      <c r="Z2012"/>
      <c r="AB2012"/>
      <c r="AC2012">
        <v>115</v>
      </c>
      <c r="AD2012">
        <v>309</v>
      </c>
      <c r="AE2012" s="1">
        <v>35535</v>
      </c>
      <c r="AF2012">
        <v>0</v>
      </c>
      <c r="AJ2012">
        <v>0</v>
      </c>
      <c r="AK2012">
        <v>0</v>
      </c>
      <c r="AL2012">
        <v>0</v>
      </c>
      <c r="AM2012">
        <v>0</v>
      </c>
      <c r="AN2012">
        <v>0</v>
      </c>
      <c r="AO2012">
        <v>0</v>
      </c>
      <c r="AP2012" s="2">
        <v>42746</v>
      </c>
      <c r="AQ2012" t="s">
        <v>72</v>
      </c>
      <c r="AR2012" t="s">
        <v>72</v>
      </c>
      <c r="AS2012">
        <v>1869</v>
      </c>
      <c r="AT2012" s="4">
        <v>42569</v>
      </c>
      <c r="AU2012" t="s">
        <v>73</v>
      </c>
      <c r="AV2012">
        <v>1869</v>
      </c>
      <c r="AW2012" s="4">
        <v>42569</v>
      </c>
      <c r="BD2012">
        <v>0</v>
      </c>
      <c r="BN2012" t="s">
        <v>74</v>
      </c>
    </row>
    <row r="2013" spans="1:66" hidden="1">
      <c r="A2013">
        <v>100695</v>
      </c>
      <c r="B2013" s="3" t="s">
        <v>227</v>
      </c>
      <c r="C2013" s="1">
        <v>43300101</v>
      </c>
      <c r="D2013" t="s">
        <v>67</v>
      </c>
      <c r="H2013" t="str">
        <f t="shared" si="204"/>
        <v>00721920155</v>
      </c>
      <c r="I2013" t="str">
        <f t="shared" si="204"/>
        <v>00721920155</v>
      </c>
      <c r="K2013" t="str">
        <f>""</f>
        <v/>
      </c>
      <c r="M2013" t="s">
        <v>68</v>
      </c>
      <c r="N2013" t="str">
        <f t="shared" si="201"/>
        <v>FOR</v>
      </c>
      <c r="O2013" t="s">
        <v>69</v>
      </c>
      <c r="P2013" s="3" t="s">
        <v>75</v>
      </c>
      <c r="Q2013">
        <v>2015</v>
      </c>
      <c r="R2013" s="2">
        <v>42193</v>
      </c>
      <c r="S2013" s="2">
        <v>42202</v>
      </c>
      <c r="T2013" s="2">
        <v>42200</v>
      </c>
      <c r="U2013" s="2">
        <v>42260</v>
      </c>
      <c r="V2013" t="s">
        <v>71</v>
      </c>
      <c r="W2013" t="str">
        <f>"          5840108574"</f>
        <v xml:space="preserve">          5840108574</v>
      </c>
      <c r="X2013">
        <v>119.6</v>
      </c>
      <c r="Y2013">
        <v>0</v>
      </c>
      <c r="Z2013"/>
      <c r="AB2013"/>
      <c r="AC2013">
        <v>115</v>
      </c>
      <c r="AD2013">
        <v>309</v>
      </c>
      <c r="AE2013" s="1">
        <v>35535</v>
      </c>
      <c r="AF2013">
        <v>0</v>
      </c>
      <c r="AJ2013">
        <v>0</v>
      </c>
      <c r="AK2013">
        <v>0</v>
      </c>
      <c r="AL2013">
        <v>0</v>
      </c>
      <c r="AM2013">
        <v>0</v>
      </c>
      <c r="AN2013">
        <v>0</v>
      </c>
      <c r="AO2013">
        <v>0</v>
      </c>
      <c r="AP2013" s="2">
        <v>42746</v>
      </c>
      <c r="AQ2013" t="s">
        <v>72</v>
      </c>
      <c r="AR2013" t="s">
        <v>72</v>
      </c>
      <c r="AS2013">
        <v>1869</v>
      </c>
      <c r="AT2013" s="4">
        <v>42569</v>
      </c>
      <c r="AU2013" t="s">
        <v>73</v>
      </c>
      <c r="AV2013">
        <v>1869</v>
      </c>
      <c r="AW2013" s="4">
        <v>42569</v>
      </c>
      <c r="BD2013">
        <v>0</v>
      </c>
      <c r="BN2013" t="s">
        <v>74</v>
      </c>
    </row>
    <row r="2014" spans="1:66" hidden="1">
      <c r="A2014">
        <v>100695</v>
      </c>
      <c r="B2014" s="3" t="s">
        <v>227</v>
      </c>
      <c r="C2014" s="1">
        <v>43300101</v>
      </c>
      <c r="D2014" t="s">
        <v>67</v>
      </c>
      <c r="H2014" t="str">
        <f t="shared" si="204"/>
        <v>00721920155</v>
      </c>
      <c r="I2014" t="str">
        <f t="shared" si="204"/>
        <v>00721920155</v>
      </c>
      <c r="K2014" t="str">
        <f>""</f>
        <v/>
      </c>
      <c r="M2014" t="s">
        <v>68</v>
      </c>
      <c r="N2014" t="str">
        <f t="shared" si="201"/>
        <v>FOR</v>
      </c>
      <c r="O2014" t="s">
        <v>69</v>
      </c>
      <c r="P2014" s="3" t="s">
        <v>75</v>
      </c>
      <c r="Q2014">
        <v>2015</v>
      </c>
      <c r="R2014" s="2">
        <v>42193</v>
      </c>
      <c r="S2014" s="2">
        <v>42202</v>
      </c>
      <c r="T2014" s="2">
        <v>42200</v>
      </c>
      <c r="U2014" s="2">
        <v>42260</v>
      </c>
      <c r="V2014" t="s">
        <v>71</v>
      </c>
      <c r="W2014" t="str">
        <f>"          5840108576"</f>
        <v xml:space="preserve">          5840108576</v>
      </c>
      <c r="X2014">
        <v>119.6</v>
      </c>
      <c r="Y2014">
        <v>0</v>
      </c>
      <c r="Z2014"/>
      <c r="AB2014"/>
      <c r="AC2014">
        <v>115</v>
      </c>
      <c r="AD2014">
        <v>309</v>
      </c>
      <c r="AE2014" s="1">
        <v>35535</v>
      </c>
      <c r="AF2014">
        <v>0</v>
      </c>
      <c r="AJ2014">
        <v>0</v>
      </c>
      <c r="AK2014">
        <v>0</v>
      </c>
      <c r="AL2014">
        <v>0</v>
      </c>
      <c r="AM2014">
        <v>0</v>
      </c>
      <c r="AN2014">
        <v>0</v>
      </c>
      <c r="AO2014">
        <v>0</v>
      </c>
      <c r="AP2014" s="2">
        <v>42746</v>
      </c>
      <c r="AQ2014" t="s">
        <v>72</v>
      </c>
      <c r="AR2014" t="s">
        <v>72</v>
      </c>
      <c r="AS2014">
        <v>1869</v>
      </c>
      <c r="AT2014" s="4">
        <v>42569</v>
      </c>
      <c r="AU2014" t="s">
        <v>73</v>
      </c>
      <c r="AV2014">
        <v>1869</v>
      </c>
      <c r="AW2014" s="4">
        <v>42569</v>
      </c>
      <c r="BD2014">
        <v>0</v>
      </c>
      <c r="BN2014" t="s">
        <v>74</v>
      </c>
    </row>
    <row r="2015" spans="1:66" hidden="1">
      <c r="A2015">
        <v>100695</v>
      </c>
      <c r="B2015" s="3" t="s">
        <v>227</v>
      </c>
      <c r="C2015" s="1">
        <v>43300101</v>
      </c>
      <c r="D2015" t="s">
        <v>67</v>
      </c>
      <c r="H2015" t="str">
        <f t="shared" si="204"/>
        <v>00721920155</v>
      </c>
      <c r="I2015" t="str">
        <f t="shared" si="204"/>
        <v>00721920155</v>
      </c>
      <c r="K2015" t="str">
        <f>""</f>
        <v/>
      </c>
      <c r="M2015" t="s">
        <v>68</v>
      </c>
      <c r="N2015" t="str">
        <f t="shared" si="201"/>
        <v>FOR</v>
      </c>
      <c r="O2015" t="s">
        <v>69</v>
      </c>
      <c r="P2015" s="3" t="s">
        <v>75</v>
      </c>
      <c r="Q2015">
        <v>2015</v>
      </c>
      <c r="R2015" s="2">
        <v>42193</v>
      </c>
      <c r="S2015" s="2">
        <v>42202</v>
      </c>
      <c r="T2015" s="2">
        <v>42199</v>
      </c>
      <c r="U2015" s="2">
        <v>42259</v>
      </c>
      <c r="V2015" t="s">
        <v>71</v>
      </c>
      <c r="W2015" t="str">
        <f>"          5840108578"</f>
        <v xml:space="preserve">          5840108578</v>
      </c>
      <c r="X2015">
        <v>119.6</v>
      </c>
      <c r="Y2015">
        <v>0</v>
      </c>
      <c r="Z2015"/>
      <c r="AB2015"/>
      <c r="AC2015">
        <v>115</v>
      </c>
      <c r="AD2015">
        <v>310</v>
      </c>
      <c r="AE2015" s="1">
        <v>35650</v>
      </c>
      <c r="AF2015">
        <v>0</v>
      </c>
      <c r="AJ2015">
        <v>0</v>
      </c>
      <c r="AK2015">
        <v>0</v>
      </c>
      <c r="AL2015">
        <v>0</v>
      </c>
      <c r="AM2015">
        <v>0</v>
      </c>
      <c r="AN2015">
        <v>0</v>
      </c>
      <c r="AO2015">
        <v>0</v>
      </c>
      <c r="AP2015" s="2">
        <v>42746</v>
      </c>
      <c r="AQ2015" t="s">
        <v>72</v>
      </c>
      <c r="AR2015" t="s">
        <v>72</v>
      </c>
      <c r="AS2015">
        <v>1869</v>
      </c>
      <c r="AT2015" s="4">
        <v>42569</v>
      </c>
      <c r="AU2015" t="s">
        <v>73</v>
      </c>
      <c r="AV2015">
        <v>1869</v>
      </c>
      <c r="AW2015" s="4">
        <v>42569</v>
      </c>
      <c r="BD2015">
        <v>0</v>
      </c>
      <c r="BN2015" t="s">
        <v>74</v>
      </c>
    </row>
    <row r="2016" spans="1:66" hidden="1">
      <c r="A2016">
        <v>100695</v>
      </c>
      <c r="B2016" s="3" t="s">
        <v>227</v>
      </c>
      <c r="C2016" s="1">
        <v>43300101</v>
      </c>
      <c r="D2016" t="s">
        <v>67</v>
      </c>
      <c r="H2016" t="str">
        <f t="shared" si="204"/>
        <v>00721920155</v>
      </c>
      <c r="I2016" t="str">
        <f t="shared" si="204"/>
        <v>00721920155</v>
      </c>
      <c r="K2016" t="str">
        <f>""</f>
        <v/>
      </c>
      <c r="M2016" t="s">
        <v>68</v>
      </c>
      <c r="N2016" t="str">
        <f t="shared" si="201"/>
        <v>FOR</v>
      </c>
      <c r="O2016" t="s">
        <v>69</v>
      </c>
      <c r="P2016" s="3" t="s">
        <v>75</v>
      </c>
      <c r="Q2016">
        <v>2015</v>
      </c>
      <c r="R2016" s="2">
        <v>42195</v>
      </c>
      <c r="S2016" s="2">
        <v>42202</v>
      </c>
      <c r="T2016" s="2">
        <v>42199</v>
      </c>
      <c r="U2016" s="2">
        <v>42259</v>
      </c>
      <c r="V2016" t="s">
        <v>71</v>
      </c>
      <c r="W2016" t="str">
        <f>"          5840108663"</f>
        <v xml:space="preserve">          5840108663</v>
      </c>
      <c r="X2016">
        <v>119.6</v>
      </c>
      <c r="Y2016">
        <v>0</v>
      </c>
      <c r="Z2016"/>
      <c r="AB2016"/>
      <c r="AC2016">
        <v>115</v>
      </c>
      <c r="AD2016">
        <v>310</v>
      </c>
      <c r="AE2016" s="1">
        <v>35650</v>
      </c>
      <c r="AF2016">
        <v>0</v>
      </c>
      <c r="AJ2016">
        <v>0</v>
      </c>
      <c r="AK2016">
        <v>0</v>
      </c>
      <c r="AL2016">
        <v>0</v>
      </c>
      <c r="AM2016">
        <v>0</v>
      </c>
      <c r="AN2016">
        <v>0</v>
      </c>
      <c r="AO2016">
        <v>0</v>
      </c>
      <c r="AP2016" s="2">
        <v>42746</v>
      </c>
      <c r="AQ2016" t="s">
        <v>72</v>
      </c>
      <c r="AR2016" t="s">
        <v>72</v>
      </c>
      <c r="AS2016">
        <v>1869</v>
      </c>
      <c r="AT2016" s="4">
        <v>42569</v>
      </c>
      <c r="AU2016" t="s">
        <v>73</v>
      </c>
      <c r="AV2016">
        <v>1869</v>
      </c>
      <c r="AW2016" s="4">
        <v>42569</v>
      </c>
      <c r="BD2016">
        <v>0</v>
      </c>
      <c r="BN2016" t="s">
        <v>74</v>
      </c>
    </row>
    <row r="2017" spans="1:66" hidden="1">
      <c r="A2017">
        <v>100695</v>
      </c>
      <c r="B2017" s="3" t="s">
        <v>227</v>
      </c>
      <c r="C2017" s="1">
        <v>43300101</v>
      </c>
      <c r="D2017" t="s">
        <v>67</v>
      </c>
      <c r="H2017" t="str">
        <f t="shared" si="204"/>
        <v>00721920155</v>
      </c>
      <c r="I2017" t="str">
        <f t="shared" si="204"/>
        <v>00721920155</v>
      </c>
      <c r="K2017" t="str">
        <f>""</f>
        <v/>
      </c>
      <c r="M2017" t="s">
        <v>68</v>
      </c>
      <c r="N2017" t="str">
        <f t="shared" ref="N2017:N2080" si="205">"FOR"</f>
        <v>FOR</v>
      </c>
      <c r="O2017" t="s">
        <v>69</v>
      </c>
      <c r="P2017" s="3" t="s">
        <v>75</v>
      </c>
      <c r="Q2017">
        <v>2015</v>
      </c>
      <c r="R2017" s="2">
        <v>42195</v>
      </c>
      <c r="S2017" s="2">
        <v>42202</v>
      </c>
      <c r="T2017" s="2">
        <v>42200</v>
      </c>
      <c r="U2017" s="2">
        <v>42260</v>
      </c>
      <c r="V2017" t="s">
        <v>71</v>
      </c>
      <c r="W2017" t="str">
        <f>"          5840108665"</f>
        <v xml:space="preserve">          5840108665</v>
      </c>
      <c r="X2017">
        <v>119.6</v>
      </c>
      <c r="Y2017">
        <v>0</v>
      </c>
      <c r="Z2017"/>
      <c r="AB2017"/>
      <c r="AC2017">
        <v>115</v>
      </c>
      <c r="AD2017">
        <v>309</v>
      </c>
      <c r="AE2017" s="1">
        <v>35535</v>
      </c>
      <c r="AF2017">
        <v>0</v>
      </c>
      <c r="AJ2017">
        <v>0</v>
      </c>
      <c r="AK2017">
        <v>0</v>
      </c>
      <c r="AL2017">
        <v>0</v>
      </c>
      <c r="AM2017">
        <v>0</v>
      </c>
      <c r="AN2017">
        <v>0</v>
      </c>
      <c r="AO2017">
        <v>0</v>
      </c>
      <c r="AP2017" s="2">
        <v>42746</v>
      </c>
      <c r="AQ2017" t="s">
        <v>72</v>
      </c>
      <c r="AR2017" t="s">
        <v>72</v>
      </c>
      <c r="AS2017">
        <v>1869</v>
      </c>
      <c r="AT2017" s="4">
        <v>42569</v>
      </c>
      <c r="AU2017" t="s">
        <v>73</v>
      </c>
      <c r="AV2017">
        <v>1869</v>
      </c>
      <c r="AW2017" s="4">
        <v>42569</v>
      </c>
      <c r="BD2017">
        <v>0</v>
      </c>
      <c r="BN2017" t="s">
        <v>74</v>
      </c>
    </row>
    <row r="2018" spans="1:66" hidden="1">
      <c r="A2018">
        <v>100695</v>
      </c>
      <c r="B2018" s="3" t="s">
        <v>227</v>
      </c>
      <c r="C2018" s="1">
        <v>43300101</v>
      </c>
      <c r="D2018" t="s">
        <v>67</v>
      </c>
      <c r="H2018" t="str">
        <f t="shared" si="204"/>
        <v>00721920155</v>
      </c>
      <c r="I2018" t="str">
        <f t="shared" si="204"/>
        <v>00721920155</v>
      </c>
      <c r="K2018" t="str">
        <f>""</f>
        <v/>
      </c>
      <c r="M2018" t="s">
        <v>68</v>
      </c>
      <c r="N2018" t="str">
        <f t="shared" si="205"/>
        <v>FOR</v>
      </c>
      <c r="O2018" t="s">
        <v>69</v>
      </c>
      <c r="P2018" s="3" t="s">
        <v>75</v>
      </c>
      <c r="Q2018">
        <v>2015</v>
      </c>
      <c r="R2018" s="2">
        <v>42199</v>
      </c>
      <c r="S2018" s="2">
        <v>42202</v>
      </c>
      <c r="T2018" s="2">
        <v>42200</v>
      </c>
      <c r="U2018" s="2">
        <v>42260</v>
      </c>
      <c r="V2018" t="s">
        <v>71</v>
      </c>
      <c r="W2018" t="str">
        <f>"          5840108730"</f>
        <v xml:space="preserve">          5840108730</v>
      </c>
      <c r="X2018">
        <v>119.6</v>
      </c>
      <c r="Y2018">
        <v>0</v>
      </c>
      <c r="Z2018"/>
      <c r="AB2018"/>
      <c r="AC2018">
        <v>115</v>
      </c>
      <c r="AD2018">
        <v>309</v>
      </c>
      <c r="AE2018" s="1">
        <v>35535</v>
      </c>
      <c r="AF2018">
        <v>0</v>
      </c>
      <c r="AJ2018">
        <v>0</v>
      </c>
      <c r="AK2018">
        <v>0</v>
      </c>
      <c r="AL2018">
        <v>0</v>
      </c>
      <c r="AM2018">
        <v>0</v>
      </c>
      <c r="AN2018">
        <v>0</v>
      </c>
      <c r="AO2018">
        <v>0</v>
      </c>
      <c r="AP2018" s="2">
        <v>42746</v>
      </c>
      <c r="AQ2018" t="s">
        <v>72</v>
      </c>
      <c r="AR2018" t="s">
        <v>72</v>
      </c>
      <c r="AS2018">
        <v>1869</v>
      </c>
      <c r="AT2018" s="4">
        <v>42569</v>
      </c>
      <c r="AU2018" t="s">
        <v>73</v>
      </c>
      <c r="AV2018">
        <v>1869</v>
      </c>
      <c r="AW2018" s="4">
        <v>42569</v>
      </c>
      <c r="BD2018">
        <v>0</v>
      </c>
      <c r="BN2018" t="s">
        <v>74</v>
      </c>
    </row>
    <row r="2019" spans="1:66" hidden="1">
      <c r="A2019">
        <v>100695</v>
      </c>
      <c r="B2019" s="3" t="s">
        <v>227</v>
      </c>
      <c r="C2019" s="1">
        <v>43300101</v>
      </c>
      <c r="D2019" t="s">
        <v>67</v>
      </c>
      <c r="H2019" t="str">
        <f t="shared" si="204"/>
        <v>00721920155</v>
      </c>
      <c r="I2019" t="str">
        <f t="shared" si="204"/>
        <v>00721920155</v>
      </c>
      <c r="K2019" t="str">
        <f>""</f>
        <v/>
      </c>
      <c r="M2019" t="s">
        <v>68</v>
      </c>
      <c r="N2019" t="str">
        <f t="shared" si="205"/>
        <v>FOR</v>
      </c>
      <c r="O2019" t="s">
        <v>69</v>
      </c>
      <c r="P2019" s="3" t="s">
        <v>75</v>
      </c>
      <c r="Q2019">
        <v>2015</v>
      </c>
      <c r="R2019" s="2">
        <v>42199</v>
      </c>
      <c r="S2019" s="2">
        <v>42206</v>
      </c>
      <c r="T2019" s="2">
        <v>42205</v>
      </c>
      <c r="U2019" s="2">
        <v>42265</v>
      </c>
      <c r="V2019" t="s">
        <v>71</v>
      </c>
      <c r="W2019" t="str">
        <f>"          5840108745"</f>
        <v xml:space="preserve">          5840108745</v>
      </c>
      <c r="X2019">
        <v>119.6</v>
      </c>
      <c r="Y2019">
        <v>0</v>
      </c>
      <c r="Z2019"/>
      <c r="AB2019"/>
      <c r="AC2019">
        <v>115</v>
      </c>
      <c r="AD2019">
        <v>304</v>
      </c>
      <c r="AE2019" s="1">
        <v>34960</v>
      </c>
      <c r="AF2019">
        <v>0</v>
      </c>
      <c r="AJ2019">
        <v>0</v>
      </c>
      <c r="AK2019">
        <v>0</v>
      </c>
      <c r="AL2019">
        <v>0</v>
      </c>
      <c r="AM2019">
        <v>0</v>
      </c>
      <c r="AN2019">
        <v>0</v>
      </c>
      <c r="AO2019">
        <v>0</v>
      </c>
      <c r="AP2019" s="2">
        <v>42746</v>
      </c>
      <c r="AQ2019" t="s">
        <v>72</v>
      </c>
      <c r="AR2019" t="s">
        <v>72</v>
      </c>
      <c r="AS2019">
        <v>1869</v>
      </c>
      <c r="AT2019" s="4">
        <v>42569</v>
      </c>
      <c r="AU2019" t="s">
        <v>73</v>
      </c>
      <c r="AV2019">
        <v>1869</v>
      </c>
      <c r="AW2019" s="4">
        <v>42569</v>
      </c>
      <c r="BD2019">
        <v>0</v>
      </c>
      <c r="BN2019" t="s">
        <v>74</v>
      </c>
    </row>
    <row r="2020" spans="1:66" hidden="1">
      <c r="A2020">
        <v>100695</v>
      </c>
      <c r="B2020" s="3" t="s">
        <v>227</v>
      </c>
      <c r="C2020" s="1">
        <v>43300101</v>
      </c>
      <c r="D2020" t="s">
        <v>67</v>
      </c>
      <c r="H2020" t="str">
        <f t="shared" si="204"/>
        <v>00721920155</v>
      </c>
      <c r="I2020" t="str">
        <f t="shared" si="204"/>
        <v>00721920155</v>
      </c>
      <c r="K2020" t="str">
        <f>""</f>
        <v/>
      </c>
      <c r="M2020" t="s">
        <v>68</v>
      </c>
      <c r="N2020" t="str">
        <f t="shared" si="205"/>
        <v>FOR</v>
      </c>
      <c r="O2020" t="s">
        <v>69</v>
      </c>
      <c r="P2020" s="3" t="s">
        <v>75</v>
      </c>
      <c r="Q2020">
        <v>2015</v>
      </c>
      <c r="R2020" s="2">
        <v>42201</v>
      </c>
      <c r="S2020" s="2">
        <v>42206</v>
      </c>
      <c r="T2020" s="2">
        <v>42205</v>
      </c>
      <c r="U2020" s="2">
        <v>42265</v>
      </c>
      <c r="V2020" t="s">
        <v>71</v>
      </c>
      <c r="W2020" t="str">
        <f>"          5840108808"</f>
        <v xml:space="preserve">          5840108808</v>
      </c>
      <c r="X2020">
        <v>119.6</v>
      </c>
      <c r="Y2020">
        <v>0</v>
      </c>
      <c r="Z2020"/>
      <c r="AB2020"/>
      <c r="AC2020">
        <v>115</v>
      </c>
      <c r="AD2020">
        <v>304</v>
      </c>
      <c r="AE2020" s="1">
        <v>34960</v>
      </c>
      <c r="AF2020">
        <v>0</v>
      </c>
      <c r="AJ2020">
        <v>0</v>
      </c>
      <c r="AK2020">
        <v>0</v>
      </c>
      <c r="AL2020">
        <v>0</v>
      </c>
      <c r="AM2020">
        <v>0</v>
      </c>
      <c r="AN2020">
        <v>0</v>
      </c>
      <c r="AO2020">
        <v>0</v>
      </c>
      <c r="AP2020" s="2">
        <v>42746</v>
      </c>
      <c r="AQ2020" t="s">
        <v>72</v>
      </c>
      <c r="AR2020" t="s">
        <v>72</v>
      </c>
      <c r="AS2020">
        <v>1869</v>
      </c>
      <c r="AT2020" s="4">
        <v>42569</v>
      </c>
      <c r="AU2020" t="s">
        <v>73</v>
      </c>
      <c r="AV2020">
        <v>1869</v>
      </c>
      <c r="AW2020" s="4">
        <v>42569</v>
      </c>
      <c r="BD2020">
        <v>0</v>
      </c>
      <c r="BN2020" t="s">
        <v>74</v>
      </c>
    </row>
    <row r="2021" spans="1:66" hidden="1">
      <c r="A2021">
        <v>100695</v>
      </c>
      <c r="B2021" s="3" t="s">
        <v>227</v>
      </c>
      <c r="C2021" s="1">
        <v>43300101</v>
      </c>
      <c r="D2021" t="s">
        <v>67</v>
      </c>
      <c r="H2021" t="str">
        <f t="shared" si="204"/>
        <v>00721920155</v>
      </c>
      <c r="I2021" t="str">
        <f t="shared" si="204"/>
        <v>00721920155</v>
      </c>
      <c r="K2021" t="str">
        <f>""</f>
        <v/>
      </c>
      <c r="M2021" t="s">
        <v>68</v>
      </c>
      <c r="N2021" t="str">
        <f t="shared" si="205"/>
        <v>FOR</v>
      </c>
      <c r="O2021" t="s">
        <v>69</v>
      </c>
      <c r="P2021" s="3" t="s">
        <v>75</v>
      </c>
      <c r="Q2021">
        <v>2015</v>
      </c>
      <c r="R2021" s="2">
        <v>42209</v>
      </c>
      <c r="S2021" s="2">
        <v>42216</v>
      </c>
      <c r="T2021" s="2">
        <v>42215</v>
      </c>
      <c r="U2021" s="2">
        <v>42275</v>
      </c>
      <c r="V2021" t="s">
        <v>71</v>
      </c>
      <c r="W2021" t="str">
        <f>"          5840109226"</f>
        <v xml:space="preserve">          5840109226</v>
      </c>
      <c r="X2021">
        <v>119.6</v>
      </c>
      <c r="Y2021">
        <v>0</v>
      </c>
      <c r="Z2021"/>
      <c r="AB2021"/>
      <c r="AC2021">
        <v>115</v>
      </c>
      <c r="AD2021">
        <v>294</v>
      </c>
      <c r="AE2021" s="1">
        <v>33810</v>
      </c>
      <c r="AF2021">
        <v>0</v>
      </c>
      <c r="AJ2021">
        <v>0</v>
      </c>
      <c r="AK2021">
        <v>0</v>
      </c>
      <c r="AL2021">
        <v>0</v>
      </c>
      <c r="AM2021">
        <v>0</v>
      </c>
      <c r="AN2021">
        <v>0</v>
      </c>
      <c r="AO2021">
        <v>0</v>
      </c>
      <c r="AP2021" s="2">
        <v>42746</v>
      </c>
      <c r="AQ2021" t="s">
        <v>72</v>
      </c>
      <c r="AR2021" t="s">
        <v>72</v>
      </c>
      <c r="AS2021">
        <v>1869</v>
      </c>
      <c r="AT2021" s="4">
        <v>42569</v>
      </c>
      <c r="AU2021" t="s">
        <v>73</v>
      </c>
      <c r="AV2021">
        <v>1869</v>
      </c>
      <c r="AW2021" s="4">
        <v>42569</v>
      </c>
      <c r="BD2021">
        <v>0</v>
      </c>
      <c r="BN2021" t="s">
        <v>74</v>
      </c>
    </row>
    <row r="2022" spans="1:66" hidden="1">
      <c r="A2022">
        <v>100695</v>
      </c>
      <c r="B2022" s="3" t="s">
        <v>227</v>
      </c>
      <c r="C2022" s="1">
        <v>43300101</v>
      </c>
      <c r="D2022" t="s">
        <v>67</v>
      </c>
      <c r="H2022" t="str">
        <f t="shared" si="204"/>
        <v>00721920155</v>
      </c>
      <c r="I2022" t="str">
        <f t="shared" si="204"/>
        <v>00721920155</v>
      </c>
      <c r="K2022" t="str">
        <f>""</f>
        <v/>
      </c>
      <c r="M2022" t="s">
        <v>68</v>
      </c>
      <c r="N2022" t="str">
        <f t="shared" si="205"/>
        <v>FOR</v>
      </c>
      <c r="O2022" t="s">
        <v>69</v>
      </c>
      <c r="P2022" s="3" t="s">
        <v>75</v>
      </c>
      <c r="Q2022">
        <v>2015</v>
      </c>
      <c r="R2022" s="2">
        <v>42209</v>
      </c>
      <c r="S2022" s="2">
        <v>42216</v>
      </c>
      <c r="T2022" s="2">
        <v>42215</v>
      </c>
      <c r="U2022" s="2">
        <v>42275</v>
      </c>
      <c r="V2022" t="s">
        <v>71</v>
      </c>
      <c r="W2022" t="str">
        <f>"          5840109229"</f>
        <v xml:space="preserve">          5840109229</v>
      </c>
      <c r="X2022">
        <v>119.6</v>
      </c>
      <c r="Y2022">
        <v>0</v>
      </c>
      <c r="Z2022"/>
      <c r="AB2022"/>
      <c r="AC2022">
        <v>115</v>
      </c>
      <c r="AD2022">
        <v>294</v>
      </c>
      <c r="AE2022" s="1">
        <v>33810</v>
      </c>
      <c r="AF2022">
        <v>0</v>
      </c>
      <c r="AJ2022">
        <v>0</v>
      </c>
      <c r="AK2022">
        <v>0</v>
      </c>
      <c r="AL2022">
        <v>0</v>
      </c>
      <c r="AM2022">
        <v>0</v>
      </c>
      <c r="AN2022">
        <v>0</v>
      </c>
      <c r="AO2022">
        <v>0</v>
      </c>
      <c r="AP2022" s="2">
        <v>42746</v>
      </c>
      <c r="AQ2022" t="s">
        <v>72</v>
      </c>
      <c r="AR2022" t="s">
        <v>72</v>
      </c>
      <c r="AS2022">
        <v>1869</v>
      </c>
      <c r="AT2022" s="4">
        <v>42569</v>
      </c>
      <c r="AU2022" t="s">
        <v>73</v>
      </c>
      <c r="AV2022">
        <v>1869</v>
      </c>
      <c r="AW2022" s="4">
        <v>42569</v>
      </c>
      <c r="BD2022">
        <v>0</v>
      </c>
      <c r="BN2022" t="s">
        <v>74</v>
      </c>
    </row>
    <row r="2023" spans="1:66" hidden="1">
      <c r="A2023">
        <v>100695</v>
      </c>
      <c r="B2023" s="3" t="s">
        <v>227</v>
      </c>
      <c r="C2023" s="1">
        <v>43300101</v>
      </c>
      <c r="D2023" t="s">
        <v>67</v>
      </c>
      <c r="H2023" t="str">
        <f t="shared" si="204"/>
        <v>00721920155</v>
      </c>
      <c r="I2023" t="str">
        <f t="shared" si="204"/>
        <v>00721920155</v>
      </c>
      <c r="K2023" t="str">
        <f>""</f>
        <v/>
      </c>
      <c r="M2023" t="s">
        <v>68</v>
      </c>
      <c r="N2023" t="str">
        <f t="shared" si="205"/>
        <v>FOR</v>
      </c>
      <c r="O2023" t="s">
        <v>69</v>
      </c>
      <c r="P2023" s="3" t="s">
        <v>75</v>
      </c>
      <c r="Q2023">
        <v>2015</v>
      </c>
      <c r="R2023" s="2">
        <v>42209</v>
      </c>
      <c r="S2023" s="2">
        <v>42216</v>
      </c>
      <c r="T2023" s="2">
        <v>42215</v>
      </c>
      <c r="U2023" s="2">
        <v>42275</v>
      </c>
      <c r="V2023" t="s">
        <v>71</v>
      </c>
      <c r="W2023" t="str">
        <f>"          5840109232"</f>
        <v xml:space="preserve">          5840109232</v>
      </c>
      <c r="X2023">
        <v>119.6</v>
      </c>
      <c r="Y2023">
        <v>0</v>
      </c>
      <c r="Z2023"/>
      <c r="AB2023"/>
      <c r="AC2023">
        <v>115</v>
      </c>
      <c r="AD2023">
        <v>294</v>
      </c>
      <c r="AE2023" s="1">
        <v>33810</v>
      </c>
      <c r="AF2023">
        <v>0</v>
      </c>
      <c r="AJ2023">
        <v>0</v>
      </c>
      <c r="AK2023">
        <v>0</v>
      </c>
      <c r="AL2023">
        <v>0</v>
      </c>
      <c r="AM2023">
        <v>0</v>
      </c>
      <c r="AN2023">
        <v>0</v>
      </c>
      <c r="AO2023">
        <v>0</v>
      </c>
      <c r="AP2023" s="2">
        <v>42746</v>
      </c>
      <c r="AQ2023" t="s">
        <v>72</v>
      </c>
      <c r="AR2023" t="s">
        <v>72</v>
      </c>
      <c r="AS2023">
        <v>1869</v>
      </c>
      <c r="AT2023" s="4">
        <v>42569</v>
      </c>
      <c r="AU2023" t="s">
        <v>73</v>
      </c>
      <c r="AV2023">
        <v>1869</v>
      </c>
      <c r="AW2023" s="4">
        <v>42569</v>
      </c>
      <c r="BD2023">
        <v>0</v>
      </c>
      <c r="BN2023" t="s">
        <v>74</v>
      </c>
    </row>
    <row r="2024" spans="1:66" hidden="1">
      <c r="A2024">
        <v>100695</v>
      </c>
      <c r="B2024" s="3" t="s">
        <v>227</v>
      </c>
      <c r="C2024" s="1">
        <v>43300101</v>
      </c>
      <c r="D2024" t="s">
        <v>67</v>
      </c>
      <c r="H2024" t="str">
        <f t="shared" si="204"/>
        <v>00721920155</v>
      </c>
      <c r="I2024" t="str">
        <f t="shared" si="204"/>
        <v>00721920155</v>
      </c>
      <c r="K2024" t="str">
        <f>""</f>
        <v/>
      </c>
      <c r="M2024" t="s">
        <v>68</v>
      </c>
      <c r="N2024" t="str">
        <f t="shared" si="205"/>
        <v>FOR</v>
      </c>
      <c r="O2024" t="s">
        <v>69</v>
      </c>
      <c r="P2024" s="3" t="s">
        <v>75</v>
      </c>
      <c r="Q2024">
        <v>2015</v>
      </c>
      <c r="R2024" s="2">
        <v>42256</v>
      </c>
      <c r="S2024" s="2">
        <v>42263</v>
      </c>
      <c r="T2024" s="2">
        <v>42262</v>
      </c>
      <c r="U2024" s="2">
        <v>42322</v>
      </c>
      <c r="V2024" t="s">
        <v>71</v>
      </c>
      <c r="W2024" t="str">
        <f>"          5840110327"</f>
        <v xml:space="preserve">          5840110327</v>
      </c>
      <c r="X2024">
        <v>119.6</v>
      </c>
      <c r="Y2024">
        <v>0</v>
      </c>
      <c r="Z2024"/>
      <c r="AB2024"/>
      <c r="AC2024">
        <v>115</v>
      </c>
      <c r="AD2024">
        <v>247</v>
      </c>
      <c r="AE2024" s="1">
        <v>28405</v>
      </c>
      <c r="AF2024">
        <v>0</v>
      </c>
      <c r="AJ2024">
        <v>0</v>
      </c>
      <c r="AK2024">
        <v>0</v>
      </c>
      <c r="AL2024">
        <v>0</v>
      </c>
      <c r="AM2024">
        <v>0</v>
      </c>
      <c r="AN2024">
        <v>0</v>
      </c>
      <c r="AO2024">
        <v>0</v>
      </c>
      <c r="AP2024" s="2">
        <v>42746</v>
      </c>
      <c r="AQ2024" t="s">
        <v>72</v>
      </c>
      <c r="AR2024" t="s">
        <v>72</v>
      </c>
      <c r="AS2024">
        <v>1869</v>
      </c>
      <c r="AT2024" s="4">
        <v>42569</v>
      </c>
      <c r="AU2024" t="s">
        <v>73</v>
      </c>
      <c r="AV2024">
        <v>1869</v>
      </c>
      <c r="AW2024" s="4">
        <v>42569</v>
      </c>
      <c r="BD2024">
        <v>0</v>
      </c>
      <c r="BN2024" t="s">
        <v>74</v>
      </c>
    </row>
    <row r="2025" spans="1:66" hidden="1">
      <c r="A2025">
        <v>100695</v>
      </c>
      <c r="B2025" s="3" t="s">
        <v>227</v>
      </c>
      <c r="C2025" s="1">
        <v>43300101</v>
      </c>
      <c r="D2025" t="s">
        <v>67</v>
      </c>
      <c r="H2025" t="str">
        <f t="shared" si="204"/>
        <v>00721920155</v>
      </c>
      <c r="I2025" t="str">
        <f t="shared" si="204"/>
        <v>00721920155</v>
      </c>
      <c r="K2025" t="str">
        <f>""</f>
        <v/>
      </c>
      <c r="M2025" t="s">
        <v>68</v>
      </c>
      <c r="N2025" t="str">
        <f t="shared" si="205"/>
        <v>FOR</v>
      </c>
      <c r="O2025" t="s">
        <v>69</v>
      </c>
      <c r="P2025" s="3" t="s">
        <v>75</v>
      </c>
      <c r="Q2025">
        <v>2015</v>
      </c>
      <c r="R2025" s="2">
        <v>42256</v>
      </c>
      <c r="S2025" s="2">
        <v>42263</v>
      </c>
      <c r="T2025" s="2">
        <v>42262</v>
      </c>
      <c r="U2025" s="2">
        <v>42322</v>
      </c>
      <c r="V2025" t="s">
        <v>71</v>
      </c>
      <c r="W2025" t="str">
        <f>"          5840110329"</f>
        <v xml:space="preserve">          5840110329</v>
      </c>
      <c r="X2025">
        <v>119.6</v>
      </c>
      <c r="Y2025">
        <v>0</v>
      </c>
      <c r="Z2025"/>
      <c r="AB2025"/>
      <c r="AC2025">
        <v>115</v>
      </c>
      <c r="AD2025">
        <v>247</v>
      </c>
      <c r="AE2025" s="1">
        <v>28405</v>
      </c>
      <c r="AF2025">
        <v>0</v>
      </c>
      <c r="AJ2025">
        <v>0</v>
      </c>
      <c r="AK2025">
        <v>0</v>
      </c>
      <c r="AL2025">
        <v>0</v>
      </c>
      <c r="AM2025">
        <v>0</v>
      </c>
      <c r="AN2025">
        <v>0</v>
      </c>
      <c r="AO2025">
        <v>0</v>
      </c>
      <c r="AP2025" s="2">
        <v>42746</v>
      </c>
      <c r="AQ2025" t="s">
        <v>72</v>
      </c>
      <c r="AR2025" t="s">
        <v>72</v>
      </c>
      <c r="AS2025">
        <v>1869</v>
      </c>
      <c r="AT2025" s="4">
        <v>42569</v>
      </c>
      <c r="AU2025" t="s">
        <v>73</v>
      </c>
      <c r="AV2025">
        <v>1869</v>
      </c>
      <c r="AW2025" s="4">
        <v>42569</v>
      </c>
      <c r="BD2025">
        <v>0</v>
      </c>
      <c r="BN2025" t="s">
        <v>74</v>
      </c>
    </row>
    <row r="2026" spans="1:66" hidden="1">
      <c r="A2026">
        <v>100695</v>
      </c>
      <c r="B2026" s="3" t="s">
        <v>227</v>
      </c>
      <c r="C2026" s="1">
        <v>43300101</v>
      </c>
      <c r="D2026" t="s">
        <v>67</v>
      </c>
      <c r="H2026" t="str">
        <f t="shared" si="204"/>
        <v>00721920155</v>
      </c>
      <c r="I2026" t="str">
        <f t="shared" si="204"/>
        <v>00721920155</v>
      </c>
      <c r="K2026" t="str">
        <f>""</f>
        <v/>
      </c>
      <c r="M2026" t="s">
        <v>68</v>
      </c>
      <c r="N2026" t="str">
        <f t="shared" si="205"/>
        <v>FOR</v>
      </c>
      <c r="O2026" t="s">
        <v>69</v>
      </c>
      <c r="P2026" s="3" t="s">
        <v>75</v>
      </c>
      <c r="Q2026">
        <v>2015</v>
      </c>
      <c r="R2026" s="2">
        <v>42256</v>
      </c>
      <c r="S2026" s="2">
        <v>42263</v>
      </c>
      <c r="T2026" s="2">
        <v>42262</v>
      </c>
      <c r="U2026" s="2">
        <v>42322</v>
      </c>
      <c r="V2026" t="s">
        <v>71</v>
      </c>
      <c r="W2026" t="str">
        <f>"          5840110333"</f>
        <v xml:space="preserve">          5840110333</v>
      </c>
      <c r="X2026">
        <v>119.6</v>
      </c>
      <c r="Y2026">
        <v>0</v>
      </c>
      <c r="Z2026"/>
      <c r="AB2026"/>
      <c r="AC2026">
        <v>115</v>
      </c>
      <c r="AD2026">
        <v>247</v>
      </c>
      <c r="AE2026" s="1">
        <v>28405</v>
      </c>
      <c r="AF2026">
        <v>0</v>
      </c>
      <c r="AJ2026">
        <v>0</v>
      </c>
      <c r="AK2026">
        <v>0</v>
      </c>
      <c r="AL2026">
        <v>0</v>
      </c>
      <c r="AM2026">
        <v>0</v>
      </c>
      <c r="AN2026">
        <v>0</v>
      </c>
      <c r="AO2026">
        <v>0</v>
      </c>
      <c r="AP2026" s="2">
        <v>42746</v>
      </c>
      <c r="AQ2026" t="s">
        <v>72</v>
      </c>
      <c r="AR2026" t="s">
        <v>72</v>
      </c>
      <c r="AS2026">
        <v>1869</v>
      </c>
      <c r="AT2026" s="4">
        <v>42569</v>
      </c>
      <c r="AU2026" t="s">
        <v>73</v>
      </c>
      <c r="AV2026">
        <v>1869</v>
      </c>
      <c r="AW2026" s="4">
        <v>42569</v>
      </c>
      <c r="BD2026">
        <v>0</v>
      </c>
      <c r="BN2026" t="s">
        <v>74</v>
      </c>
    </row>
    <row r="2027" spans="1:66" hidden="1">
      <c r="A2027">
        <v>100695</v>
      </c>
      <c r="B2027" s="3" t="s">
        <v>227</v>
      </c>
      <c r="C2027" s="1">
        <v>43300101</v>
      </c>
      <c r="D2027" t="s">
        <v>67</v>
      </c>
      <c r="H2027" t="str">
        <f t="shared" si="204"/>
        <v>00721920155</v>
      </c>
      <c r="I2027" t="str">
        <f t="shared" si="204"/>
        <v>00721920155</v>
      </c>
      <c r="K2027" t="str">
        <f>""</f>
        <v/>
      </c>
      <c r="M2027" t="s">
        <v>68</v>
      </c>
      <c r="N2027" t="str">
        <f t="shared" si="205"/>
        <v>FOR</v>
      </c>
      <c r="O2027" t="s">
        <v>69</v>
      </c>
      <c r="P2027" s="3" t="s">
        <v>75</v>
      </c>
      <c r="Q2027">
        <v>2015</v>
      </c>
      <c r="R2027" s="2">
        <v>42256</v>
      </c>
      <c r="S2027" s="2">
        <v>42263</v>
      </c>
      <c r="T2027" s="2">
        <v>42262</v>
      </c>
      <c r="U2027" s="2">
        <v>42322</v>
      </c>
      <c r="V2027" t="s">
        <v>71</v>
      </c>
      <c r="W2027" t="str">
        <f>"          5840110334"</f>
        <v xml:space="preserve">          5840110334</v>
      </c>
      <c r="X2027">
        <v>119.6</v>
      </c>
      <c r="Y2027">
        <v>0</v>
      </c>
      <c r="Z2027"/>
      <c r="AB2027"/>
      <c r="AC2027">
        <v>115</v>
      </c>
      <c r="AD2027">
        <v>247</v>
      </c>
      <c r="AE2027" s="1">
        <v>28405</v>
      </c>
      <c r="AF2027">
        <v>0</v>
      </c>
      <c r="AJ2027">
        <v>0</v>
      </c>
      <c r="AK2027">
        <v>0</v>
      </c>
      <c r="AL2027">
        <v>0</v>
      </c>
      <c r="AM2027">
        <v>0</v>
      </c>
      <c r="AN2027">
        <v>0</v>
      </c>
      <c r="AO2027">
        <v>0</v>
      </c>
      <c r="AP2027" s="2">
        <v>42746</v>
      </c>
      <c r="AQ2027" t="s">
        <v>72</v>
      </c>
      <c r="AR2027" t="s">
        <v>72</v>
      </c>
      <c r="AS2027">
        <v>1869</v>
      </c>
      <c r="AT2027" s="4">
        <v>42569</v>
      </c>
      <c r="AU2027" t="s">
        <v>73</v>
      </c>
      <c r="AV2027">
        <v>1869</v>
      </c>
      <c r="AW2027" s="4">
        <v>42569</v>
      </c>
      <c r="BD2027">
        <v>0</v>
      </c>
      <c r="BN2027" t="s">
        <v>74</v>
      </c>
    </row>
    <row r="2028" spans="1:66" hidden="1">
      <c r="A2028">
        <v>100695</v>
      </c>
      <c r="B2028" s="3" t="s">
        <v>227</v>
      </c>
      <c r="C2028" s="1">
        <v>43300101</v>
      </c>
      <c r="D2028" t="s">
        <v>67</v>
      </c>
      <c r="H2028" t="str">
        <f t="shared" si="204"/>
        <v>00721920155</v>
      </c>
      <c r="I2028" t="str">
        <f t="shared" si="204"/>
        <v>00721920155</v>
      </c>
      <c r="K2028" t="str">
        <f>""</f>
        <v/>
      </c>
      <c r="M2028" t="s">
        <v>68</v>
      </c>
      <c r="N2028" t="str">
        <f t="shared" si="205"/>
        <v>FOR</v>
      </c>
      <c r="O2028" t="s">
        <v>69</v>
      </c>
      <c r="P2028" s="3" t="s">
        <v>75</v>
      </c>
      <c r="Q2028">
        <v>2015</v>
      </c>
      <c r="R2028" s="2">
        <v>42257</v>
      </c>
      <c r="S2028" s="2">
        <v>42263</v>
      </c>
      <c r="T2028" s="2">
        <v>42262</v>
      </c>
      <c r="U2028" s="2">
        <v>42322</v>
      </c>
      <c r="V2028" t="s">
        <v>71</v>
      </c>
      <c r="W2028" t="str">
        <f>"          5840110371"</f>
        <v xml:space="preserve">          5840110371</v>
      </c>
      <c r="X2028">
        <v>119.6</v>
      </c>
      <c r="Y2028">
        <v>0</v>
      </c>
      <c r="Z2028"/>
      <c r="AB2028"/>
      <c r="AC2028">
        <v>115</v>
      </c>
      <c r="AD2028">
        <v>247</v>
      </c>
      <c r="AE2028" s="1">
        <v>28405</v>
      </c>
      <c r="AF2028">
        <v>0</v>
      </c>
      <c r="AJ2028">
        <v>0</v>
      </c>
      <c r="AK2028">
        <v>0</v>
      </c>
      <c r="AL2028">
        <v>0</v>
      </c>
      <c r="AM2028">
        <v>0</v>
      </c>
      <c r="AN2028">
        <v>0</v>
      </c>
      <c r="AO2028">
        <v>0</v>
      </c>
      <c r="AP2028" s="2">
        <v>42746</v>
      </c>
      <c r="AQ2028" t="s">
        <v>72</v>
      </c>
      <c r="AR2028" t="s">
        <v>72</v>
      </c>
      <c r="AS2028">
        <v>1869</v>
      </c>
      <c r="AT2028" s="4">
        <v>42569</v>
      </c>
      <c r="AU2028" t="s">
        <v>73</v>
      </c>
      <c r="AV2028">
        <v>1869</v>
      </c>
      <c r="AW2028" s="4">
        <v>42569</v>
      </c>
      <c r="BD2028">
        <v>0</v>
      </c>
      <c r="BN2028" t="s">
        <v>74</v>
      </c>
    </row>
    <row r="2029" spans="1:66" hidden="1">
      <c r="A2029">
        <v>100695</v>
      </c>
      <c r="B2029" s="3" t="s">
        <v>227</v>
      </c>
      <c r="C2029" s="1">
        <v>43300101</v>
      </c>
      <c r="D2029" t="s">
        <v>67</v>
      </c>
      <c r="H2029" t="str">
        <f t="shared" ref="H2029:I2048" si="206">"00721920155"</f>
        <v>00721920155</v>
      </c>
      <c r="I2029" t="str">
        <f t="shared" si="206"/>
        <v>00721920155</v>
      </c>
      <c r="K2029" t="str">
        <f>""</f>
        <v/>
      </c>
      <c r="M2029" t="s">
        <v>68</v>
      </c>
      <c r="N2029" t="str">
        <f t="shared" si="205"/>
        <v>FOR</v>
      </c>
      <c r="O2029" t="s">
        <v>69</v>
      </c>
      <c r="P2029" s="3" t="s">
        <v>75</v>
      </c>
      <c r="Q2029">
        <v>2015</v>
      </c>
      <c r="R2029" s="2">
        <v>42257</v>
      </c>
      <c r="S2029" s="2">
        <v>42263</v>
      </c>
      <c r="T2029" s="2">
        <v>42262</v>
      </c>
      <c r="U2029" s="2">
        <v>42322</v>
      </c>
      <c r="V2029" t="s">
        <v>71</v>
      </c>
      <c r="W2029" t="str">
        <f>"          5840110373"</f>
        <v xml:space="preserve">          5840110373</v>
      </c>
      <c r="X2029">
        <v>119.6</v>
      </c>
      <c r="Y2029">
        <v>0</v>
      </c>
      <c r="Z2029"/>
      <c r="AB2029"/>
      <c r="AC2029">
        <v>115</v>
      </c>
      <c r="AD2029">
        <v>247</v>
      </c>
      <c r="AE2029" s="1">
        <v>28405</v>
      </c>
      <c r="AF2029">
        <v>0</v>
      </c>
      <c r="AJ2029">
        <v>0</v>
      </c>
      <c r="AK2029">
        <v>0</v>
      </c>
      <c r="AL2029">
        <v>0</v>
      </c>
      <c r="AM2029">
        <v>0</v>
      </c>
      <c r="AN2029">
        <v>0</v>
      </c>
      <c r="AO2029">
        <v>0</v>
      </c>
      <c r="AP2029" s="2">
        <v>42746</v>
      </c>
      <c r="AQ2029" t="s">
        <v>72</v>
      </c>
      <c r="AR2029" t="s">
        <v>72</v>
      </c>
      <c r="AS2029">
        <v>1869</v>
      </c>
      <c r="AT2029" s="4">
        <v>42569</v>
      </c>
      <c r="AU2029" t="s">
        <v>73</v>
      </c>
      <c r="AV2029">
        <v>1869</v>
      </c>
      <c r="AW2029" s="4">
        <v>42569</v>
      </c>
      <c r="BD2029">
        <v>0</v>
      </c>
      <c r="BN2029" t="s">
        <v>74</v>
      </c>
    </row>
    <row r="2030" spans="1:66" hidden="1">
      <c r="A2030">
        <v>100695</v>
      </c>
      <c r="B2030" s="3" t="s">
        <v>227</v>
      </c>
      <c r="C2030" s="1">
        <v>43300101</v>
      </c>
      <c r="D2030" t="s">
        <v>67</v>
      </c>
      <c r="H2030" t="str">
        <f t="shared" si="206"/>
        <v>00721920155</v>
      </c>
      <c r="I2030" t="str">
        <f t="shared" si="206"/>
        <v>00721920155</v>
      </c>
      <c r="K2030" t="str">
        <f>""</f>
        <v/>
      </c>
      <c r="M2030" t="s">
        <v>68</v>
      </c>
      <c r="N2030" t="str">
        <f t="shared" si="205"/>
        <v>FOR</v>
      </c>
      <c r="O2030" t="s">
        <v>69</v>
      </c>
      <c r="P2030" s="3" t="s">
        <v>75</v>
      </c>
      <c r="Q2030">
        <v>2015</v>
      </c>
      <c r="R2030" s="2">
        <v>42257</v>
      </c>
      <c r="S2030" s="2">
        <v>42263</v>
      </c>
      <c r="T2030" s="2">
        <v>42262</v>
      </c>
      <c r="U2030" s="2">
        <v>42322</v>
      </c>
      <c r="V2030" t="s">
        <v>71</v>
      </c>
      <c r="W2030" t="str">
        <f>"          5840110374"</f>
        <v xml:space="preserve">          5840110374</v>
      </c>
      <c r="X2030">
        <v>119.6</v>
      </c>
      <c r="Y2030">
        <v>0</v>
      </c>
      <c r="Z2030"/>
      <c r="AB2030"/>
      <c r="AC2030">
        <v>115</v>
      </c>
      <c r="AD2030">
        <v>247</v>
      </c>
      <c r="AE2030" s="1">
        <v>28405</v>
      </c>
      <c r="AF2030">
        <v>0</v>
      </c>
      <c r="AJ2030">
        <v>0</v>
      </c>
      <c r="AK2030">
        <v>0</v>
      </c>
      <c r="AL2030">
        <v>0</v>
      </c>
      <c r="AM2030">
        <v>0</v>
      </c>
      <c r="AN2030">
        <v>0</v>
      </c>
      <c r="AO2030">
        <v>0</v>
      </c>
      <c r="AP2030" s="2">
        <v>42746</v>
      </c>
      <c r="AQ2030" t="s">
        <v>72</v>
      </c>
      <c r="AR2030" t="s">
        <v>72</v>
      </c>
      <c r="AS2030">
        <v>1869</v>
      </c>
      <c r="AT2030" s="4">
        <v>42569</v>
      </c>
      <c r="AU2030" t="s">
        <v>73</v>
      </c>
      <c r="AV2030">
        <v>1869</v>
      </c>
      <c r="AW2030" s="4">
        <v>42569</v>
      </c>
      <c r="BD2030">
        <v>0</v>
      </c>
      <c r="BN2030" t="s">
        <v>74</v>
      </c>
    </row>
    <row r="2031" spans="1:66" hidden="1">
      <c r="A2031">
        <v>100695</v>
      </c>
      <c r="B2031" s="3" t="s">
        <v>227</v>
      </c>
      <c r="C2031" s="1">
        <v>43300101</v>
      </c>
      <c r="D2031" t="s">
        <v>67</v>
      </c>
      <c r="H2031" t="str">
        <f t="shared" si="206"/>
        <v>00721920155</v>
      </c>
      <c r="I2031" t="str">
        <f t="shared" si="206"/>
        <v>00721920155</v>
      </c>
      <c r="K2031" t="str">
        <f>""</f>
        <v/>
      </c>
      <c r="M2031" t="s">
        <v>68</v>
      </c>
      <c r="N2031" t="str">
        <f t="shared" si="205"/>
        <v>FOR</v>
      </c>
      <c r="O2031" t="s">
        <v>69</v>
      </c>
      <c r="P2031" s="3" t="s">
        <v>75</v>
      </c>
      <c r="Q2031">
        <v>2015</v>
      </c>
      <c r="R2031" s="2">
        <v>42262</v>
      </c>
      <c r="S2031" s="2">
        <v>42269</v>
      </c>
      <c r="T2031" s="2">
        <v>42268</v>
      </c>
      <c r="U2031" s="2">
        <v>42328</v>
      </c>
      <c r="V2031" t="s">
        <v>71</v>
      </c>
      <c r="W2031" t="str">
        <f>"          5840110575"</f>
        <v xml:space="preserve">          5840110575</v>
      </c>
      <c r="X2031">
        <v>119.6</v>
      </c>
      <c r="Y2031">
        <v>0</v>
      </c>
      <c r="Z2031"/>
      <c r="AB2031"/>
      <c r="AC2031">
        <v>115</v>
      </c>
      <c r="AD2031">
        <v>241</v>
      </c>
      <c r="AE2031" s="1">
        <v>27715</v>
      </c>
      <c r="AF2031">
        <v>0</v>
      </c>
      <c r="AJ2031">
        <v>0</v>
      </c>
      <c r="AK2031">
        <v>0</v>
      </c>
      <c r="AL2031">
        <v>0</v>
      </c>
      <c r="AM2031">
        <v>0</v>
      </c>
      <c r="AN2031">
        <v>0</v>
      </c>
      <c r="AO2031">
        <v>0</v>
      </c>
      <c r="AP2031" s="2">
        <v>42746</v>
      </c>
      <c r="AQ2031" t="s">
        <v>72</v>
      </c>
      <c r="AR2031" t="s">
        <v>72</v>
      </c>
      <c r="AS2031">
        <v>1869</v>
      </c>
      <c r="AT2031" s="4">
        <v>42569</v>
      </c>
      <c r="AU2031" t="s">
        <v>73</v>
      </c>
      <c r="AV2031">
        <v>1869</v>
      </c>
      <c r="AW2031" s="4">
        <v>42569</v>
      </c>
      <c r="BD2031">
        <v>0</v>
      </c>
      <c r="BN2031" t="s">
        <v>74</v>
      </c>
    </row>
    <row r="2032" spans="1:66" hidden="1">
      <c r="A2032">
        <v>100695</v>
      </c>
      <c r="B2032" s="3" t="s">
        <v>227</v>
      </c>
      <c r="C2032" s="1">
        <v>43300101</v>
      </c>
      <c r="D2032" t="s">
        <v>67</v>
      </c>
      <c r="H2032" t="str">
        <f t="shared" si="206"/>
        <v>00721920155</v>
      </c>
      <c r="I2032" t="str">
        <f t="shared" si="206"/>
        <v>00721920155</v>
      </c>
      <c r="K2032" t="str">
        <f>""</f>
        <v/>
      </c>
      <c r="M2032" t="s">
        <v>68</v>
      </c>
      <c r="N2032" t="str">
        <f t="shared" si="205"/>
        <v>FOR</v>
      </c>
      <c r="O2032" t="s">
        <v>69</v>
      </c>
      <c r="P2032" s="3" t="s">
        <v>75</v>
      </c>
      <c r="Q2032">
        <v>2015</v>
      </c>
      <c r="R2032" s="2">
        <v>42262</v>
      </c>
      <c r="S2032" s="2">
        <v>42269</v>
      </c>
      <c r="T2032" s="2">
        <v>42268</v>
      </c>
      <c r="U2032" s="2">
        <v>42328</v>
      </c>
      <c r="V2032" t="s">
        <v>71</v>
      </c>
      <c r="W2032" t="str">
        <f>"          5840110578"</f>
        <v xml:space="preserve">          5840110578</v>
      </c>
      <c r="X2032">
        <v>119.6</v>
      </c>
      <c r="Y2032">
        <v>0</v>
      </c>
      <c r="Z2032"/>
      <c r="AB2032"/>
      <c r="AC2032">
        <v>115</v>
      </c>
      <c r="AD2032">
        <v>241</v>
      </c>
      <c r="AE2032" s="1">
        <v>27715</v>
      </c>
      <c r="AF2032">
        <v>0</v>
      </c>
      <c r="AJ2032">
        <v>0</v>
      </c>
      <c r="AK2032">
        <v>0</v>
      </c>
      <c r="AL2032">
        <v>0</v>
      </c>
      <c r="AM2032">
        <v>0</v>
      </c>
      <c r="AN2032">
        <v>0</v>
      </c>
      <c r="AO2032">
        <v>0</v>
      </c>
      <c r="AP2032" s="2">
        <v>42746</v>
      </c>
      <c r="AQ2032" t="s">
        <v>72</v>
      </c>
      <c r="AR2032" t="s">
        <v>72</v>
      </c>
      <c r="AS2032">
        <v>1869</v>
      </c>
      <c r="AT2032" s="4">
        <v>42569</v>
      </c>
      <c r="AU2032" t="s">
        <v>73</v>
      </c>
      <c r="AV2032">
        <v>1869</v>
      </c>
      <c r="AW2032" s="4">
        <v>42569</v>
      </c>
      <c r="BD2032">
        <v>0</v>
      </c>
      <c r="BN2032" t="s">
        <v>74</v>
      </c>
    </row>
    <row r="2033" spans="1:66" hidden="1">
      <c r="A2033">
        <v>100695</v>
      </c>
      <c r="B2033" s="3" t="s">
        <v>227</v>
      </c>
      <c r="C2033" s="1">
        <v>43300101</v>
      </c>
      <c r="D2033" t="s">
        <v>67</v>
      </c>
      <c r="H2033" t="str">
        <f t="shared" si="206"/>
        <v>00721920155</v>
      </c>
      <c r="I2033" t="str">
        <f t="shared" si="206"/>
        <v>00721920155</v>
      </c>
      <c r="K2033" t="str">
        <f>""</f>
        <v/>
      </c>
      <c r="M2033" t="s">
        <v>68</v>
      </c>
      <c r="N2033" t="str">
        <f t="shared" si="205"/>
        <v>FOR</v>
      </c>
      <c r="O2033" t="s">
        <v>69</v>
      </c>
      <c r="P2033" s="3" t="s">
        <v>75</v>
      </c>
      <c r="Q2033">
        <v>2015</v>
      </c>
      <c r="R2033" s="2">
        <v>42262</v>
      </c>
      <c r="S2033" s="2">
        <v>42269</v>
      </c>
      <c r="T2033" s="2">
        <v>42268</v>
      </c>
      <c r="U2033" s="2">
        <v>42328</v>
      </c>
      <c r="V2033" t="s">
        <v>71</v>
      </c>
      <c r="W2033" t="str">
        <f>"          5840110579"</f>
        <v xml:space="preserve">          5840110579</v>
      </c>
      <c r="X2033">
        <v>119.6</v>
      </c>
      <c r="Y2033">
        <v>0</v>
      </c>
      <c r="Z2033"/>
      <c r="AB2033"/>
      <c r="AC2033">
        <v>115</v>
      </c>
      <c r="AD2033">
        <v>241</v>
      </c>
      <c r="AE2033" s="1">
        <v>27715</v>
      </c>
      <c r="AF2033">
        <v>0</v>
      </c>
      <c r="AJ2033">
        <v>0</v>
      </c>
      <c r="AK2033">
        <v>0</v>
      </c>
      <c r="AL2033">
        <v>0</v>
      </c>
      <c r="AM2033">
        <v>0</v>
      </c>
      <c r="AN2033">
        <v>0</v>
      </c>
      <c r="AO2033">
        <v>0</v>
      </c>
      <c r="AP2033" s="2">
        <v>42746</v>
      </c>
      <c r="AQ2033" t="s">
        <v>72</v>
      </c>
      <c r="AR2033" t="s">
        <v>72</v>
      </c>
      <c r="AS2033">
        <v>1869</v>
      </c>
      <c r="AT2033" s="4">
        <v>42569</v>
      </c>
      <c r="AU2033" t="s">
        <v>73</v>
      </c>
      <c r="AV2033">
        <v>1869</v>
      </c>
      <c r="AW2033" s="4">
        <v>42569</v>
      </c>
      <c r="BD2033">
        <v>0</v>
      </c>
      <c r="BN2033" t="s">
        <v>74</v>
      </c>
    </row>
    <row r="2034" spans="1:66" hidden="1">
      <c r="A2034">
        <v>100695</v>
      </c>
      <c r="B2034" s="3" t="s">
        <v>227</v>
      </c>
      <c r="C2034" s="1">
        <v>43300101</v>
      </c>
      <c r="D2034" t="s">
        <v>67</v>
      </c>
      <c r="H2034" t="str">
        <f t="shared" si="206"/>
        <v>00721920155</v>
      </c>
      <c r="I2034" t="str">
        <f t="shared" si="206"/>
        <v>00721920155</v>
      </c>
      <c r="K2034" t="str">
        <f>""</f>
        <v/>
      </c>
      <c r="M2034" t="s">
        <v>68</v>
      </c>
      <c r="N2034" t="str">
        <f t="shared" si="205"/>
        <v>FOR</v>
      </c>
      <c r="O2034" t="s">
        <v>69</v>
      </c>
      <c r="P2034" s="3" t="s">
        <v>75</v>
      </c>
      <c r="Q2034">
        <v>2015</v>
      </c>
      <c r="R2034" s="2">
        <v>42262</v>
      </c>
      <c r="S2034" s="2">
        <v>42269</v>
      </c>
      <c r="T2034" s="2">
        <v>42268</v>
      </c>
      <c r="U2034" s="2">
        <v>42328</v>
      </c>
      <c r="V2034" t="s">
        <v>71</v>
      </c>
      <c r="W2034" t="str">
        <f>"          5840110580"</f>
        <v xml:space="preserve">          5840110580</v>
      </c>
      <c r="X2034">
        <v>119.6</v>
      </c>
      <c r="Y2034">
        <v>0</v>
      </c>
      <c r="Z2034"/>
      <c r="AB2034"/>
      <c r="AC2034">
        <v>115</v>
      </c>
      <c r="AD2034">
        <v>241</v>
      </c>
      <c r="AE2034" s="1">
        <v>27715</v>
      </c>
      <c r="AF2034">
        <v>0</v>
      </c>
      <c r="AJ2034">
        <v>0</v>
      </c>
      <c r="AK2034">
        <v>0</v>
      </c>
      <c r="AL2034">
        <v>0</v>
      </c>
      <c r="AM2034">
        <v>0</v>
      </c>
      <c r="AN2034">
        <v>0</v>
      </c>
      <c r="AO2034">
        <v>0</v>
      </c>
      <c r="AP2034" s="2">
        <v>42746</v>
      </c>
      <c r="AQ2034" t="s">
        <v>72</v>
      </c>
      <c r="AR2034" t="s">
        <v>72</v>
      </c>
      <c r="AS2034">
        <v>1869</v>
      </c>
      <c r="AT2034" s="4">
        <v>42569</v>
      </c>
      <c r="AU2034" t="s">
        <v>73</v>
      </c>
      <c r="AV2034">
        <v>1869</v>
      </c>
      <c r="AW2034" s="4">
        <v>42569</v>
      </c>
      <c r="BD2034">
        <v>0</v>
      </c>
      <c r="BN2034" t="s">
        <v>74</v>
      </c>
    </row>
    <row r="2035" spans="1:66" hidden="1">
      <c r="A2035">
        <v>100695</v>
      </c>
      <c r="B2035" s="3" t="s">
        <v>227</v>
      </c>
      <c r="C2035" s="1">
        <v>43300101</v>
      </c>
      <c r="D2035" t="s">
        <v>67</v>
      </c>
      <c r="H2035" t="str">
        <f t="shared" si="206"/>
        <v>00721920155</v>
      </c>
      <c r="I2035" t="str">
        <f t="shared" si="206"/>
        <v>00721920155</v>
      </c>
      <c r="K2035" t="str">
        <f>""</f>
        <v/>
      </c>
      <c r="M2035" t="s">
        <v>68</v>
      </c>
      <c r="N2035" t="str">
        <f t="shared" si="205"/>
        <v>FOR</v>
      </c>
      <c r="O2035" t="s">
        <v>69</v>
      </c>
      <c r="P2035" s="3" t="s">
        <v>75</v>
      </c>
      <c r="Q2035">
        <v>2015</v>
      </c>
      <c r="R2035" s="2">
        <v>42262</v>
      </c>
      <c r="S2035" s="2">
        <v>42269</v>
      </c>
      <c r="T2035" s="2">
        <v>42268</v>
      </c>
      <c r="U2035" s="2">
        <v>42328</v>
      </c>
      <c r="V2035" t="s">
        <v>71</v>
      </c>
      <c r="W2035" t="str">
        <f>"          5840110583"</f>
        <v xml:space="preserve">          5840110583</v>
      </c>
      <c r="X2035">
        <v>119.6</v>
      </c>
      <c r="Y2035">
        <v>0</v>
      </c>
      <c r="Z2035"/>
      <c r="AB2035"/>
      <c r="AC2035">
        <v>115</v>
      </c>
      <c r="AD2035">
        <v>241</v>
      </c>
      <c r="AE2035" s="1">
        <v>27715</v>
      </c>
      <c r="AF2035">
        <v>0</v>
      </c>
      <c r="AJ2035">
        <v>0</v>
      </c>
      <c r="AK2035">
        <v>0</v>
      </c>
      <c r="AL2035">
        <v>0</v>
      </c>
      <c r="AM2035">
        <v>0</v>
      </c>
      <c r="AN2035">
        <v>0</v>
      </c>
      <c r="AO2035">
        <v>0</v>
      </c>
      <c r="AP2035" s="2">
        <v>42746</v>
      </c>
      <c r="AQ2035" t="s">
        <v>72</v>
      </c>
      <c r="AR2035" t="s">
        <v>72</v>
      </c>
      <c r="AS2035">
        <v>1869</v>
      </c>
      <c r="AT2035" s="4">
        <v>42569</v>
      </c>
      <c r="AU2035" t="s">
        <v>73</v>
      </c>
      <c r="AV2035">
        <v>1869</v>
      </c>
      <c r="AW2035" s="4">
        <v>42569</v>
      </c>
      <c r="BD2035">
        <v>0</v>
      </c>
      <c r="BN2035" t="s">
        <v>74</v>
      </c>
    </row>
    <row r="2036" spans="1:66" hidden="1">
      <c r="A2036">
        <v>100695</v>
      </c>
      <c r="B2036" s="3" t="s">
        <v>227</v>
      </c>
      <c r="C2036" s="1">
        <v>43300101</v>
      </c>
      <c r="D2036" t="s">
        <v>67</v>
      </c>
      <c r="H2036" t="str">
        <f t="shared" si="206"/>
        <v>00721920155</v>
      </c>
      <c r="I2036" t="str">
        <f t="shared" si="206"/>
        <v>00721920155</v>
      </c>
      <c r="K2036" t="str">
        <f>""</f>
        <v/>
      </c>
      <c r="M2036" t="s">
        <v>68</v>
      </c>
      <c r="N2036" t="str">
        <f t="shared" si="205"/>
        <v>FOR</v>
      </c>
      <c r="O2036" t="s">
        <v>69</v>
      </c>
      <c r="P2036" s="3" t="s">
        <v>75</v>
      </c>
      <c r="Q2036">
        <v>2015</v>
      </c>
      <c r="R2036" s="2">
        <v>42262</v>
      </c>
      <c r="S2036" s="2">
        <v>42269</v>
      </c>
      <c r="T2036" s="2">
        <v>42268</v>
      </c>
      <c r="U2036" s="2">
        <v>42328</v>
      </c>
      <c r="V2036" t="s">
        <v>71</v>
      </c>
      <c r="W2036" t="str">
        <f>"          5840110584"</f>
        <v xml:space="preserve">          5840110584</v>
      </c>
      <c r="X2036">
        <v>119.6</v>
      </c>
      <c r="Y2036">
        <v>0</v>
      </c>
      <c r="Z2036"/>
      <c r="AB2036"/>
      <c r="AC2036">
        <v>115</v>
      </c>
      <c r="AD2036">
        <v>241</v>
      </c>
      <c r="AE2036" s="1">
        <v>27715</v>
      </c>
      <c r="AF2036">
        <v>0</v>
      </c>
      <c r="AJ2036">
        <v>0</v>
      </c>
      <c r="AK2036">
        <v>0</v>
      </c>
      <c r="AL2036">
        <v>0</v>
      </c>
      <c r="AM2036">
        <v>0</v>
      </c>
      <c r="AN2036">
        <v>0</v>
      </c>
      <c r="AO2036">
        <v>0</v>
      </c>
      <c r="AP2036" s="2">
        <v>42746</v>
      </c>
      <c r="AQ2036" t="s">
        <v>72</v>
      </c>
      <c r="AR2036" t="s">
        <v>72</v>
      </c>
      <c r="AS2036">
        <v>1869</v>
      </c>
      <c r="AT2036" s="4">
        <v>42569</v>
      </c>
      <c r="AU2036" t="s">
        <v>73</v>
      </c>
      <c r="AV2036">
        <v>1869</v>
      </c>
      <c r="AW2036" s="4">
        <v>42569</v>
      </c>
      <c r="BD2036">
        <v>0</v>
      </c>
      <c r="BN2036" t="s">
        <v>74</v>
      </c>
    </row>
    <row r="2037" spans="1:66" hidden="1">
      <c r="A2037">
        <v>100695</v>
      </c>
      <c r="B2037" s="3" t="s">
        <v>227</v>
      </c>
      <c r="C2037" s="1">
        <v>43300101</v>
      </c>
      <c r="D2037" t="s">
        <v>67</v>
      </c>
      <c r="H2037" t="str">
        <f t="shared" si="206"/>
        <v>00721920155</v>
      </c>
      <c r="I2037" t="str">
        <f t="shared" si="206"/>
        <v>00721920155</v>
      </c>
      <c r="K2037" t="str">
        <f>""</f>
        <v/>
      </c>
      <c r="M2037" t="s">
        <v>68</v>
      </c>
      <c r="N2037" t="str">
        <f t="shared" si="205"/>
        <v>FOR</v>
      </c>
      <c r="O2037" t="s">
        <v>69</v>
      </c>
      <c r="P2037" s="3" t="s">
        <v>75</v>
      </c>
      <c r="Q2037">
        <v>2015</v>
      </c>
      <c r="R2037" s="2">
        <v>42262</v>
      </c>
      <c r="S2037" s="2">
        <v>42269</v>
      </c>
      <c r="T2037" s="2">
        <v>42268</v>
      </c>
      <c r="U2037" s="2">
        <v>42328</v>
      </c>
      <c r="V2037" t="s">
        <v>71</v>
      </c>
      <c r="W2037" t="str">
        <f>"          5840110587"</f>
        <v xml:space="preserve">          5840110587</v>
      </c>
      <c r="X2037">
        <v>119.6</v>
      </c>
      <c r="Y2037">
        <v>0</v>
      </c>
      <c r="Z2037"/>
      <c r="AB2037"/>
      <c r="AC2037">
        <v>115</v>
      </c>
      <c r="AD2037">
        <v>241</v>
      </c>
      <c r="AE2037" s="1">
        <v>27715</v>
      </c>
      <c r="AF2037">
        <v>0</v>
      </c>
      <c r="AJ2037">
        <v>0</v>
      </c>
      <c r="AK2037">
        <v>0</v>
      </c>
      <c r="AL2037">
        <v>0</v>
      </c>
      <c r="AM2037">
        <v>0</v>
      </c>
      <c r="AN2037">
        <v>0</v>
      </c>
      <c r="AO2037">
        <v>0</v>
      </c>
      <c r="AP2037" s="2">
        <v>42746</v>
      </c>
      <c r="AQ2037" t="s">
        <v>72</v>
      </c>
      <c r="AR2037" t="s">
        <v>72</v>
      </c>
      <c r="AS2037">
        <v>1869</v>
      </c>
      <c r="AT2037" s="4">
        <v>42569</v>
      </c>
      <c r="AU2037" t="s">
        <v>73</v>
      </c>
      <c r="AV2037">
        <v>1869</v>
      </c>
      <c r="AW2037" s="4">
        <v>42569</v>
      </c>
      <c r="BD2037">
        <v>0</v>
      </c>
      <c r="BN2037" t="s">
        <v>74</v>
      </c>
    </row>
    <row r="2038" spans="1:66" hidden="1">
      <c r="A2038">
        <v>100695</v>
      </c>
      <c r="B2038" s="3" t="s">
        <v>227</v>
      </c>
      <c r="C2038" s="1">
        <v>43300101</v>
      </c>
      <c r="D2038" t="s">
        <v>67</v>
      </c>
      <c r="H2038" t="str">
        <f t="shared" si="206"/>
        <v>00721920155</v>
      </c>
      <c r="I2038" t="str">
        <f t="shared" si="206"/>
        <v>00721920155</v>
      </c>
      <c r="K2038" t="str">
        <f>""</f>
        <v/>
      </c>
      <c r="M2038" t="s">
        <v>68</v>
      </c>
      <c r="N2038" t="str">
        <f t="shared" si="205"/>
        <v>FOR</v>
      </c>
      <c r="O2038" t="s">
        <v>69</v>
      </c>
      <c r="P2038" s="3" t="s">
        <v>75</v>
      </c>
      <c r="Q2038">
        <v>2015</v>
      </c>
      <c r="R2038" s="2">
        <v>42262</v>
      </c>
      <c r="S2038" s="2">
        <v>42269</v>
      </c>
      <c r="T2038" s="2">
        <v>42268</v>
      </c>
      <c r="U2038" s="2">
        <v>42328</v>
      </c>
      <c r="V2038" t="s">
        <v>71</v>
      </c>
      <c r="W2038" t="str">
        <f>"          5840110590"</f>
        <v xml:space="preserve">          5840110590</v>
      </c>
      <c r="X2038">
        <v>119.6</v>
      </c>
      <c r="Y2038">
        <v>0</v>
      </c>
      <c r="Z2038"/>
      <c r="AB2038"/>
      <c r="AC2038">
        <v>115</v>
      </c>
      <c r="AD2038">
        <v>241</v>
      </c>
      <c r="AE2038" s="1">
        <v>27715</v>
      </c>
      <c r="AF2038">
        <v>0</v>
      </c>
      <c r="AJ2038">
        <v>0</v>
      </c>
      <c r="AK2038">
        <v>0</v>
      </c>
      <c r="AL2038">
        <v>0</v>
      </c>
      <c r="AM2038">
        <v>0</v>
      </c>
      <c r="AN2038">
        <v>0</v>
      </c>
      <c r="AO2038">
        <v>0</v>
      </c>
      <c r="AP2038" s="2">
        <v>42746</v>
      </c>
      <c r="AQ2038" t="s">
        <v>72</v>
      </c>
      <c r="AR2038" t="s">
        <v>72</v>
      </c>
      <c r="AS2038">
        <v>1869</v>
      </c>
      <c r="AT2038" s="4">
        <v>42569</v>
      </c>
      <c r="AU2038" t="s">
        <v>73</v>
      </c>
      <c r="AV2038">
        <v>1869</v>
      </c>
      <c r="AW2038" s="4">
        <v>42569</v>
      </c>
      <c r="BD2038">
        <v>0</v>
      </c>
      <c r="BN2038" t="s">
        <v>74</v>
      </c>
    </row>
    <row r="2039" spans="1:66" hidden="1">
      <c r="A2039">
        <v>100695</v>
      </c>
      <c r="B2039" s="3" t="s">
        <v>227</v>
      </c>
      <c r="C2039" s="1">
        <v>43300101</v>
      </c>
      <c r="D2039" t="s">
        <v>67</v>
      </c>
      <c r="H2039" t="str">
        <f t="shared" si="206"/>
        <v>00721920155</v>
      </c>
      <c r="I2039" t="str">
        <f t="shared" si="206"/>
        <v>00721920155</v>
      </c>
      <c r="K2039" t="str">
        <f>""</f>
        <v/>
      </c>
      <c r="M2039" t="s">
        <v>68</v>
      </c>
      <c r="N2039" t="str">
        <f t="shared" si="205"/>
        <v>FOR</v>
      </c>
      <c r="O2039" t="s">
        <v>69</v>
      </c>
      <c r="P2039" s="3" t="s">
        <v>75</v>
      </c>
      <c r="Q2039">
        <v>2015</v>
      </c>
      <c r="R2039" s="2">
        <v>42263</v>
      </c>
      <c r="S2039" s="2">
        <v>42268</v>
      </c>
      <c r="T2039" s="2">
        <v>42268</v>
      </c>
      <c r="U2039" s="2">
        <v>42328</v>
      </c>
      <c r="V2039" t="s">
        <v>71</v>
      </c>
      <c r="W2039" t="str">
        <f>"          5840110611"</f>
        <v xml:space="preserve">          5840110611</v>
      </c>
      <c r="X2039" s="1">
        <v>2869.44</v>
      </c>
      <c r="Y2039">
        <v>0</v>
      </c>
      <c r="Z2039"/>
      <c r="AB2039"/>
      <c r="AC2039" s="1">
        <v>2352</v>
      </c>
      <c r="AD2039">
        <v>291</v>
      </c>
      <c r="AE2039" s="1">
        <v>684432</v>
      </c>
      <c r="AF2039">
        <v>0</v>
      </c>
      <c r="AJ2039">
        <v>0</v>
      </c>
      <c r="AK2039">
        <v>0</v>
      </c>
      <c r="AL2039">
        <v>0</v>
      </c>
      <c r="AM2039">
        <v>0</v>
      </c>
      <c r="AN2039">
        <v>0</v>
      </c>
      <c r="AO2039">
        <v>0</v>
      </c>
      <c r="AP2039" s="2">
        <v>42746</v>
      </c>
      <c r="AQ2039" t="s">
        <v>72</v>
      </c>
      <c r="AR2039" t="s">
        <v>72</v>
      </c>
      <c r="AS2039">
        <v>2289</v>
      </c>
      <c r="AT2039" s="4">
        <v>42619</v>
      </c>
      <c r="AU2039" t="s">
        <v>73</v>
      </c>
      <c r="AV2039">
        <v>2289</v>
      </c>
      <c r="AW2039" s="4">
        <v>42619</v>
      </c>
      <c r="BD2039">
        <v>0</v>
      </c>
      <c r="BN2039" t="s">
        <v>74</v>
      </c>
    </row>
    <row r="2040" spans="1:66" hidden="1">
      <c r="A2040">
        <v>100695</v>
      </c>
      <c r="B2040" s="3" t="s">
        <v>227</v>
      </c>
      <c r="C2040" s="1">
        <v>43300101</v>
      </c>
      <c r="D2040" t="s">
        <v>67</v>
      </c>
      <c r="H2040" t="str">
        <f t="shared" si="206"/>
        <v>00721920155</v>
      </c>
      <c r="I2040" t="str">
        <f t="shared" si="206"/>
        <v>00721920155</v>
      </c>
      <c r="K2040" t="str">
        <f>""</f>
        <v/>
      </c>
      <c r="M2040" t="s">
        <v>68</v>
      </c>
      <c r="N2040" t="str">
        <f t="shared" si="205"/>
        <v>FOR</v>
      </c>
      <c r="O2040" t="s">
        <v>69</v>
      </c>
      <c r="P2040" s="3" t="s">
        <v>75</v>
      </c>
      <c r="Q2040">
        <v>2015</v>
      </c>
      <c r="R2040" s="2">
        <v>42263</v>
      </c>
      <c r="S2040" s="2">
        <v>42268</v>
      </c>
      <c r="T2040" s="2">
        <v>42268</v>
      </c>
      <c r="U2040" s="2">
        <v>42328</v>
      </c>
      <c r="V2040" t="s">
        <v>71</v>
      </c>
      <c r="W2040" t="str">
        <f>"          5840110615"</f>
        <v xml:space="preserve">          5840110615</v>
      </c>
      <c r="X2040" s="1">
        <v>7229.72</v>
      </c>
      <c r="Y2040">
        <v>0</v>
      </c>
      <c r="Z2040"/>
      <c r="AB2040"/>
      <c r="AC2040" s="1">
        <v>5926</v>
      </c>
      <c r="AD2040">
        <v>291</v>
      </c>
      <c r="AE2040" s="1">
        <v>1724466</v>
      </c>
      <c r="AF2040">
        <v>0</v>
      </c>
      <c r="AJ2040">
        <v>0</v>
      </c>
      <c r="AK2040">
        <v>0</v>
      </c>
      <c r="AL2040">
        <v>0</v>
      </c>
      <c r="AM2040">
        <v>0</v>
      </c>
      <c r="AN2040">
        <v>0</v>
      </c>
      <c r="AO2040">
        <v>0</v>
      </c>
      <c r="AP2040" s="2">
        <v>42746</v>
      </c>
      <c r="AQ2040" t="s">
        <v>72</v>
      </c>
      <c r="AR2040" t="s">
        <v>72</v>
      </c>
      <c r="AS2040">
        <v>2289</v>
      </c>
      <c r="AT2040" s="4">
        <v>42619</v>
      </c>
      <c r="AU2040" t="s">
        <v>73</v>
      </c>
      <c r="AV2040">
        <v>2289</v>
      </c>
      <c r="AW2040" s="4">
        <v>42619</v>
      </c>
      <c r="BD2040">
        <v>0</v>
      </c>
      <c r="BN2040" t="s">
        <v>74</v>
      </c>
    </row>
    <row r="2041" spans="1:66" hidden="1">
      <c r="A2041">
        <v>100695</v>
      </c>
      <c r="B2041" s="3" t="s">
        <v>227</v>
      </c>
      <c r="C2041" s="1">
        <v>43300101</v>
      </c>
      <c r="D2041" t="s">
        <v>67</v>
      </c>
      <c r="H2041" t="str">
        <f t="shared" si="206"/>
        <v>00721920155</v>
      </c>
      <c r="I2041" t="str">
        <f t="shared" si="206"/>
        <v>00721920155</v>
      </c>
      <c r="K2041" t="str">
        <f>""</f>
        <v/>
      </c>
      <c r="M2041" t="s">
        <v>68</v>
      </c>
      <c r="N2041" t="str">
        <f t="shared" si="205"/>
        <v>FOR</v>
      </c>
      <c r="O2041" t="s">
        <v>69</v>
      </c>
      <c r="P2041" s="3" t="s">
        <v>75</v>
      </c>
      <c r="Q2041">
        <v>2015</v>
      </c>
      <c r="R2041" s="2">
        <v>42275</v>
      </c>
      <c r="S2041" s="2">
        <v>42277</v>
      </c>
      <c r="T2041" s="2">
        <v>42276</v>
      </c>
      <c r="U2041" s="2">
        <v>42336</v>
      </c>
      <c r="V2041" t="s">
        <v>71</v>
      </c>
      <c r="W2041" t="str">
        <f>"          5840111275"</f>
        <v xml:space="preserve">          5840111275</v>
      </c>
      <c r="X2041">
        <v>119.6</v>
      </c>
      <c r="Y2041">
        <v>0</v>
      </c>
      <c r="Z2041"/>
      <c r="AB2041"/>
      <c r="AC2041">
        <v>115</v>
      </c>
      <c r="AD2041">
        <v>233</v>
      </c>
      <c r="AE2041" s="1">
        <v>26795</v>
      </c>
      <c r="AF2041">
        <v>0</v>
      </c>
      <c r="AJ2041">
        <v>0</v>
      </c>
      <c r="AK2041">
        <v>0</v>
      </c>
      <c r="AL2041">
        <v>0</v>
      </c>
      <c r="AM2041">
        <v>0</v>
      </c>
      <c r="AN2041">
        <v>0</v>
      </c>
      <c r="AO2041">
        <v>0</v>
      </c>
      <c r="AP2041" s="2">
        <v>42746</v>
      </c>
      <c r="AQ2041" t="s">
        <v>72</v>
      </c>
      <c r="AR2041" t="s">
        <v>72</v>
      </c>
      <c r="AS2041">
        <v>1869</v>
      </c>
      <c r="AT2041" s="4">
        <v>42569</v>
      </c>
      <c r="AU2041" t="s">
        <v>73</v>
      </c>
      <c r="AV2041">
        <v>1869</v>
      </c>
      <c r="AW2041" s="4">
        <v>42569</v>
      </c>
      <c r="BD2041">
        <v>0</v>
      </c>
      <c r="BN2041" t="s">
        <v>74</v>
      </c>
    </row>
    <row r="2042" spans="1:66" hidden="1">
      <c r="A2042">
        <v>100695</v>
      </c>
      <c r="B2042" s="3" t="s">
        <v>227</v>
      </c>
      <c r="C2042" s="1">
        <v>43300101</v>
      </c>
      <c r="D2042" t="s">
        <v>67</v>
      </c>
      <c r="H2042" t="str">
        <f t="shared" si="206"/>
        <v>00721920155</v>
      </c>
      <c r="I2042" t="str">
        <f t="shared" si="206"/>
        <v>00721920155</v>
      </c>
      <c r="K2042" t="str">
        <f>""</f>
        <v/>
      </c>
      <c r="M2042" t="s">
        <v>68</v>
      </c>
      <c r="N2042" t="str">
        <f t="shared" si="205"/>
        <v>FOR</v>
      </c>
      <c r="O2042" t="s">
        <v>69</v>
      </c>
      <c r="P2042" s="3" t="s">
        <v>75</v>
      </c>
      <c r="Q2042">
        <v>2015</v>
      </c>
      <c r="R2042" s="2">
        <v>42275</v>
      </c>
      <c r="S2042" s="2">
        <v>42277</v>
      </c>
      <c r="T2042" s="2">
        <v>42276</v>
      </c>
      <c r="U2042" s="2">
        <v>42336</v>
      </c>
      <c r="V2042" t="s">
        <v>71</v>
      </c>
      <c r="W2042" t="str">
        <f>"          5840111280"</f>
        <v xml:space="preserve">          5840111280</v>
      </c>
      <c r="X2042">
        <v>119.6</v>
      </c>
      <c r="Y2042">
        <v>0</v>
      </c>
      <c r="Z2042"/>
      <c r="AB2042"/>
      <c r="AC2042">
        <v>115</v>
      </c>
      <c r="AD2042">
        <v>233</v>
      </c>
      <c r="AE2042" s="1">
        <v>26795</v>
      </c>
      <c r="AF2042">
        <v>0</v>
      </c>
      <c r="AJ2042">
        <v>0</v>
      </c>
      <c r="AK2042">
        <v>0</v>
      </c>
      <c r="AL2042">
        <v>0</v>
      </c>
      <c r="AM2042">
        <v>0</v>
      </c>
      <c r="AN2042">
        <v>0</v>
      </c>
      <c r="AO2042">
        <v>0</v>
      </c>
      <c r="AP2042" s="2">
        <v>42746</v>
      </c>
      <c r="AQ2042" t="s">
        <v>72</v>
      </c>
      <c r="AR2042" t="s">
        <v>72</v>
      </c>
      <c r="AS2042">
        <v>1869</v>
      </c>
      <c r="AT2042" s="4">
        <v>42569</v>
      </c>
      <c r="AU2042" t="s">
        <v>73</v>
      </c>
      <c r="AV2042">
        <v>1869</v>
      </c>
      <c r="AW2042" s="4">
        <v>42569</v>
      </c>
      <c r="BD2042">
        <v>0</v>
      </c>
      <c r="BN2042" t="s">
        <v>74</v>
      </c>
    </row>
    <row r="2043" spans="1:66" hidden="1">
      <c r="A2043">
        <v>100695</v>
      </c>
      <c r="B2043" s="3" t="s">
        <v>227</v>
      </c>
      <c r="C2043" s="1">
        <v>43300101</v>
      </c>
      <c r="D2043" t="s">
        <v>67</v>
      </c>
      <c r="H2043" t="str">
        <f t="shared" si="206"/>
        <v>00721920155</v>
      </c>
      <c r="I2043" t="str">
        <f t="shared" si="206"/>
        <v>00721920155</v>
      </c>
      <c r="K2043" t="str">
        <f>""</f>
        <v/>
      </c>
      <c r="M2043" t="s">
        <v>68</v>
      </c>
      <c r="N2043" t="str">
        <f t="shared" si="205"/>
        <v>FOR</v>
      </c>
      <c r="O2043" t="s">
        <v>69</v>
      </c>
      <c r="P2043" s="3" t="s">
        <v>75</v>
      </c>
      <c r="Q2043">
        <v>2015</v>
      </c>
      <c r="R2043" s="2">
        <v>42275</v>
      </c>
      <c r="S2043" s="2">
        <v>42277</v>
      </c>
      <c r="T2043" s="2">
        <v>42276</v>
      </c>
      <c r="U2043" s="2">
        <v>42336</v>
      </c>
      <c r="V2043" t="s">
        <v>71</v>
      </c>
      <c r="W2043" t="str">
        <f>"          5840111283"</f>
        <v xml:space="preserve">          5840111283</v>
      </c>
      <c r="X2043">
        <v>119.6</v>
      </c>
      <c r="Y2043">
        <v>0</v>
      </c>
      <c r="Z2043"/>
      <c r="AB2043"/>
      <c r="AC2043">
        <v>115</v>
      </c>
      <c r="AD2043">
        <v>233</v>
      </c>
      <c r="AE2043" s="1">
        <v>26795</v>
      </c>
      <c r="AF2043">
        <v>0</v>
      </c>
      <c r="AJ2043">
        <v>0</v>
      </c>
      <c r="AK2043">
        <v>0</v>
      </c>
      <c r="AL2043">
        <v>0</v>
      </c>
      <c r="AM2043">
        <v>0</v>
      </c>
      <c r="AN2043">
        <v>0</v>
      </c>
      <c r="AO2043">
        <v>0</v>
      </c>
      <c r="AP2043" s="2">
        <v>42746</v>
      </c>
      <c r="AQ2043" t="s">
        <v>72</v>
      </c>
      <c r="AR2043" t="s">
        <v>72</v>
      </c>
      <c r="AS2043">
        <v>1869</v>
      </c>
      <c r="AT2043" s="4">
        <v>42569</v>
      </c>
      <c r="AU2043" t="s">
        <v>73</v>
      </c>
      <c r="AV2043">
        <v>1869</v>
      </c>
      <c r="AW2043" s="4">
        <v>42569</v>
      </c>
      <c r="BD2043">
        <v>0</v>
      </c>
      <c r="BN2043" t="s">
        <v>74</v>
      </c>
    </row>
    <row r="2044" spans="1:66" hidden="1">
      <c r="A2044">
        <v>100695</v>
      </c>
      <c r="B2044" s="3" t="s">
        <v>227</v>
      </c>
      <c r="C2044" s="1">
        <v>43300101</v>
      </c>
      <c r="D2044" t="s">
        <v>67</v>
      </c>
      <c r="H2044" t="str">
        <f t="shared" si="206"/>
        <v>00721920155</v>
      </c>
      <c r="I2044" t="str">
        <f t="shared" si="206"/>
        <v>00721920155</v>
      </c>
      <c r="K2044" t="str">
        <f>""</f>
        <v/>
      </c>
      <c r="M2044" t="s">
        <v>68</v>
      </c>
      <c r="N2044" t="str">
        <f t="shared" si="205"/>
        <v>FOR</v>
      </c>
      <c r="O2044" t="s">
        <v>69</v>
      </c>
      <c r="P2044" s="3" t="s">
        <v>75</v>
      </c>
      <c r="Q2044">
        <v>2015</v>
      </c>
      <c r="R2044" s="2">
        <v>42275</v>
      </c>
      <c r="S2044" s="2">
        <v>42277</v>
      </c>
      <c r="T2044" s="2">
        <v>42276</v>
      </c>
      <c r="U2044" s="2">
        <v>42336</v>
      </c>
      <c r="V2044" t="s">
        <v>71</v>
      </c>
      <c r="W2044" t="str">
        <f>"          5840111285"</f>
        <v xml:space="preserve">          5840111285</v>
      </c>
      <c r="X2044">
        <v>119.6</v>
      </c>
      <c r="Y2044">
        <v>0</v>
      </c>
      <c r="Z2044"/>
      <c r="AB2044"/>
      <c r="AC2044">
        <v>115</v>
      </c>
      <c r="AD2044">
        <v>233</v>
      </c>
      <c r="AE2044" s="1">
        <v>26795</v>
      </c>
      <c r="AF2044">
        <v>0</v>
      </c>
      <c r="AJ2044">
        <v>0</v>
      </c>
      <c r="AK2044">
        <v>0</v>
      </c>
      <c r="AL2044">
        <v>0</v>
      </c>
      <c r="AM2044">
        <v>0</v>
      </c>
      <c r="AN2044">
        <v>0</v>
      </c>
      <c r="AO2044">
        <v>0</v>
      </c>
      <c r="AP2044" s="2">
        <v>42746</v>
      </c>
      <c r="AQ2044" t="s">
        <v>72</v>
      </c>
      <c r="AR2044" t="s">
        <v>72</v>
      </c>
      <c r="AS2044">
        <v>1869</v>
      </c>
      <c r="AT2044" s="4">
        <v>42569</v>
      </c>
      <c r="AU2044" t="s">
        <v>73</v>
      </c>
      <c r="AV2044">
        <v>1869</v>
      </c>
      <c r="AW2044" s="4">
        <v>42569</v>
      </c>
      <c r="BD2044">
        <v>0</v>
      </c>
      <c r="BN2044" t="s">
        <v>74</v>
      </c>
    </row>
    <row r="2045" spans="1:66" hidden="1">
      <c r="A2045">
        <v>100695</v>
      </c>
      <c r="B2045" s="3" t="s">
        <v>227</v>
      </c>
      <c r="C2045" s="1">
        <v>43300101</v>
      </c>
      <c r="D2045" t="s">
        <v>67</v>
      </c>
      <c r="H2045" t="str">
        <f t="shared" si="206"/>
        <v>00721920155</v>
      </c>
      <c r="I2045" t="str">
        <f t="shared" si="206"/>
        <v>00721920155</v>
      </c>
      <c r="K2045" t="str">
        <f>""</f>
        <v/>
      </c>
      <c r="M2045" t="s">
        <v>68</v>
      </c>
      <c r="N2045" t="str">
        <f t="shared" si="205"/>
        <v>FOR</v>
      </c>
      <c r="O2045" t="s">
        <v>69</v>
      </c>
      <c r="P2045" s="3" t="s">
        <v>75</v>
      </c>
      <c r="Q2045">
        <v>2015</v>
      </c>
      <c r="R2045" s="2">
        <v>42275</v>
      </c>
      <c r="S2045" s="2">
        <v>42277</v>
      </c>
      <c r="T2045" s="2">
        <v>42276</v>
      </c>
      <c r="U2045" s="2">
        <v>42336</v>
      </c>
      <c r="V2045" t="s">
        <v>71</v>
      </c>
      <c r="W2045" t="str">
        <f>"          5840111293"</f>
        <v xml:space="preserve">          5840111293</v>
      </c>
      <c r="X2045">
        <v>119.6</v>
      </c>
      <c r="Y2045">
        <v>0</v>
      </c>
      <c r="Z2045"/>
      <c r="AB2045"/>
      <c r="AC2045">
        <v>115</v>
      </c>
      <c r="AD2045">
        <v>233</v>
      </c>
      <c r="AE2045" s="1">
        <v>26795</v>
      </c>
      <c r="AF2045">
        <v>0</v>
      </c>
      <c r="AJ2045">
        <v>0</v>
      </c>
      <c r="AK2045">
        <v>0</v>
      </c>
      <c r="AL2045">
        <v>0</v>
      </c>
      <c r="AM2045">
        <v>0</v>
      </c>
      <c r="AN2045">
        <v>0</v>
      </c>
      <c r="AO2045">
        <v>0</v>
      </c>
      <c r="AP2045" s="2">
        <v>42746</v>
      </c>
      <c r="AQ2045" t="s">
        <v>72</v>
      </c>
      <c r="AR2045" t="s">
        <v>72</v>
      </c>
      <c r="AS2045">
        <v>1869</v>
      </c>
      <c r="AT2045" s="4">
        <v>42569</v>
      </c>
      <c r="AU2045" t="s">
        <v>73</v>
      </c>
      <c r="AV2045">
        <v>1869</v>
      </c>
      <c r="AW2045" s="4">
        <v>42569</v>
      </c>
      <c r="BD2045">
        <v>0</v>
      </c>
      <c r="BN2045" t="s">
        <v>74</v>
      </c>
    </row>
    <row r="2046" spans="1:66" hidden="1">
      <c r="A2046">
        <v>100695</v>
      </c>
      <c r="B2046" s="3" t="s">
        <v>227</v>
      </c>
      <c r="C2046" s="1">
        <v>43300101</v>
      </c>
      <c r="D2046" t="s">
        <v>67</v>
      </c>
      <c r="H2046" t="str">
        <f t="shared" si="206"/>
        <v>00721920155</v>
      </c>
      <c r="I2046" t="str">
        <f t="shared" si="206"/>
        <v>00721920155</v>
      </c>
      <c r="K2046" t="str">
        <f>""</f>
        <v/>
      </c>
      <c r="M2046" t="s">
        <v>68</v>
      </c>
      <c r="N2046" t="str">
        <f t="shared" si="205"/>
        <v>FOR</v>
      </c>
      <c r="O2046" t="s">
        <v>69</v>
      </c>
      <c r="P2046" s="3" t="s">
        <v>75</v>
      </c>
      <c r="Q2046">
        <v>2015</v>
      </c>
      <c r="R2046" s="2">
        <v>42275</v>
      </c>
      <c r="S2046" s="2">
        <v>42277</v>
      </c>
      <c r="T2046" s="2">
        <v>42276</v>
      </c>
      <c r="U2046" s="2">
        <v>42336</v>
      </c>
      <c r="V2046" t="s">
        <v>71</v>
      </c>
      <c r="W2046" t="str">
        <f>"          5840111296"</f>
        <v xml:space="preserve">          5840111296</v>
      </c>
      <c r="X2046">
        <v>119.6</v>
      </c>
      <c r="Y2046">
        <v>0</v>
      </c>
      <c r="Z2046"/>
      <c r="AB2046"/>
      <c r="AC2046">
        <v>115</v>
      </c>
      <c r="AD2046">
        <v>233</v>
      </c>
      <c r="AE2046" s="1">
        <v>26795</v>
      </c>
      <c r="AF2046">
        <v>0</v>
      </c>
      <c r="AJ2046">
        <v>0</v>
      </c>
      <c r="AK2046">
        <v>0</v>
      </c>
      <c r="AL2046">
        <v>0</v>
      </c>
      <c r="AM2046">
        <v>0</v>
      </c>
      <c r="AN2046">
        <v>0</v>
      </c>
      <c r="AO2046">
        <v>0</v>
      </c>
      <c r="AP2046" s="2">
        <v>42746</v>
      </c>
      <c r="AQ2046" t="s">
        <v>72</v>
      </c>
      <c r="AR2046" t="s">
        <v>72</v>
      </c>
      <c r="AS2046">
        <v>1869</v>
      </c>
      <c r="AT2046" s="4">
        <v>42569</v>
      </c>
      <c r="AU2046" t="s">
        <v>73</v>
      </c>
      <c r="AV2046">
        <v>1869</v>
      </c>
      <c r="AW2046" s="4">
        <v>42569</v>
      </c>
      <c r="BD2046">
        <v>0</v>
      </c>
      <c r="BN2046" t="s">
        <v>74</v>
      </c>
    </row>
    <row r="2047" spans="1:66" hidden="1">
      <c r="A2047">
        <v>100695</v>
      </c>
      <c r="B2047" s="3" t="s">
        <v>227</v>
      </c>
      <c r="C2047" s="1">
        <v>43300101</v>
      </c>
      <c r="D2047" t="s">
        <v>67</v>
      </c>
      <c r="H2047" t="str">
        <f t="shared" si="206"/>
        <v>00721920155</v>
      </c>
      <c r="I2047" t="str">
        <f t="shared" si="206"/>
        <v>00721920155</v>
      </c>
      <c r="K2047" t="str">
        <f>""</f>
        <v/>
      </c>
      <c r="M2047" t="s">
        <v>68</v>
      </c>
      <c r="N2047" t="str">
        <f t="shared" si="205"/>
        <v>FOR</v>
      </c>
      <c r="O2047" t="s">
        <v>69</v>
      </c>
      <c r="P2047" s="3" t="s">
        <v>75</v>
      </c>
      <c r="Q2047">
        <v>2015</v>
      </c>
      <c r="R2047" s="2">
        <v>42275</v>
      </c>
      <c r="S2047" s="2">
        <v>42277</v>
      </c>
      <c r="T2047" s="2">
        <v>42276</v>
      </c>
      <c r="U2047" s="2">
        <v>42336</v>
      </c>
      <c r="V2047" t="s">
        <v>71</v>
      </c>
      <c r="W2047" t="str">
        <f>"          5840111299"</f>
        <v xml:space="preserve">          5840111299</v>
      </c>
      <c r="X2047">
        <v>119.6</v>
      </c>
      <c r="Y2047">
        <v>0</v>
      </c>
      <c r="Z2047"/>
      <c r="AB2047"/>
      <c r="AC2047">
        <v>115</v>
      </c>
      <c r="AD2047">
        <v>233</v>
      </c>
      <c r="AE2047" s="1">
        <v>26795</v>
      </c>
      <c r="AF2047">
        <v>0</v>
      </c>
      <c r="AJ2047">
        <v>0</v>
      </c>
      <c r="AK2047">
        <v>0</v>
      </c>
      <c r="AL2047">
        <v>0</v>
      </c>
      <c r="AM2047">
        <v>0</v>
      </c>
      <c r="AN2047">
        <v>0</v>
      </c>
      <c r="AO2047">
        <v>0</v>
      </c>
      <c r="AP2047" s="2">
        <v>42746</v>
      </c>
      <c r="AQ2047" t="s">
        <v>72</v>
      </c>
      <c r="AR2047" t="s">
        <v>72</v>
      </c>
      <c r="AS2047">
        <v>1869</v>
      </c>
      <c r="AT2047" s="4">
        <v>42569</v>
      </c>
      <c r="AU2047" t="s">
        <v>73</v>
      </c>
      <c r="AV2047">
        <v>1869</v>
      </c>
      <c r="AW2047" s="4">
        <v>42569</v>
      </c>
      <c r="BD2047">
        <v>0</v>
      </c>
      <c r="BN2047" t="s">
        <v>74</v>
      </c>
    </row>
    <row r="2048" spans="1:66" hidden="1">
      <c r="A2048">
        <v>100695</v>
      </c>
      <c r="B2048" s="3" t="s">
        <v>227</v>
      </c>
      <c r="C2048" s="1">
        <v>43300101</v>
      </c>
      <c r="D2048" t="s">
        <v>67</v>
      </c>
      <c r="H2048" t="str">
        <f t="shared" si="206"/>
        <v>00721920155</v>
      </c>
      <c r="I2048" t="str">
        <f t="shared" si="206"/>
        <v>00721920155</v>
      </c>
      <c r="K2048" t="str">
        <f>""</f>
        <v/>
      </c>
      <c r="M2048" t="s">
        <v>68</v>
      </c>
      <c r="N2048" t="str">
        <f t="shared" si="205"/>
        <v>FOR</v>
      </c>
      <c r="O2048" t="s">
        <v>69</v>
      </c>
      <c r="P2048" s="3" t="s">
        <v>75</v>
      </c>
      <c r="Q2048">
        <v>2015</v>
      </c>
      <c r="R2048" s="2">
        <v>42275</v>
      </c>
      <c r="S2048" s="2">
        <v>42277</v>
      </c>
      <c r="T2048" s="2">
        <v>42276</v>
      </c>
      <c r="U2048" s="2">
        <v>42336</v>
      </c>
      <c r="V2048" t="s">
        <v>71</v>
      </c>
      <c r="W2048" t="str">
        <f>"          5840111301"</f>
        <v xml:space="preserve">          5840111301</v>
      </c>
      <c r="X2048">
        <v>119.6</v>
      </c>
      <c r="Y2048">
        <v>0</v>
      </c>
      <c r="Z2048"/>
      <c r="AB2048"/>
      <c r="AC2048">
        <v>115</v>
      </c>
      <c r="AD2048">
        <v>233</v>
      </c>
      <c r="AE2048" s="1">
        <v>26795</v>
      </c>
      <c r="AF2048">
        <v>0</v>
      </c>
      <c r="AJ2048">
        <v>0</v>
      </c>
      <c r="AK2048">
        <v>0</v>
      </c>
      <c r="AL2048">
        <v>0</v>
      </c>
      <c r="AM2048">
        <v>0</v>
      </c>
      <c r="AN2048">
        <v>0</v>
      </c>
      <c r="AO2048">
        <v>0</v>
      </c>
      <c r="AP2048" s="2">
        <v>42746</v>
      </c>
      <c r="AQ2048" t="s">
        <v>72</v>
      </c>
      <c r="AR2048" t="s">
        <v>72</v>
      </c>
      <c r="AS2048">
        <v>1869</v>
      </c>
      <c r="AT2048" s="4">
        <v>42569</v>
      </c>
      <c r="AU2048" t="s">
        <v>73</v>
      </c>
      <c r="AV2048">
        <v>1869</v>
      </c>
      <c r="AW2048" s="4">
        <v>42569</v>
      </c>
      <c r="BD2048">
        <v>0</v>
      </c>
      <c r="BN2048" t="s">
        <v>74</v>
      </c>
    </row>
    <row r="2049" spans="1:66" hidden="1">
      <c r="A2049">
        <v>100695</v>
      </c>
      <c r="B2049" s="3" t="s">
        <v>227</v>
      </c>
      <c r="C2049" s="1">
        <v>43300101</v>
      </c>
      <c r="D2049" t="s">
        <v>67</v>
      </c>
      <c r="H2049" t="str">
        <f t="shared" ref="H2049:I2068" si="207">"00721920155"</f>
        <v>00721920155</v>
      </c>
      <c r="I2049" t="str">
        <f t="shared" si="207"/>
        <v>00721920155</v>
      </c>
      <c r="K2049" t="str">
        <f>""</f>
        <v/>
      </c>
      <c r="M2049" t="s">
        <v>68</v>
      </c>
      <c r="N2049" t="str">
        <f t="shared" si="205"/>
        <v>FOR</v>
      </c>
      <c r="O2049" t="s">
        <v>69</v>
      </c>
      <c r="P2049" s="3" t="s">
        <v>75</v>
      </c>
      <c r="Q2049">
        <v>2015</v>
      </c>
      <c r="R2049" s="2">
        <v>42275</v>
      </c>
      <c r="S2049" s="2">
        <v>42277</v>
      </c>
      <c r="T2049" s="2">
        <v>42276</v>
      </c>
      <c r="U2049" s="2">
        <v>42336</v>
      </c>
      <c r="V2049" t="s">
        <v>71</v>
      </c>
      <c r="W2049" t="str">
        <f>"          5840111304"</f>
        <v xml:space="preserve">          5840111304</v>
      </c>
      <c r="X2049">
        <v>119.6</v>
      </c>
      <c r="Y2049">
        <v>0</v>
      </c>
      <c r="Z2049"/>
      <c r="AB2049"/>
      <c r="AC2049">
        <v>115</v>
      </c>
      <c r="AD2049">
        <v>233</v>
      </c>
      <c r="AE2049" s="1">
        <v>26795</v>
      </c>
      <c r="AF2049">
        <v>0</v>
      </c>
      <c r="AJ2049">
        <v>0</v>
      </c>
      <c r="AK2049">
        <v>0</v>
      </c>
      <c r="AL2049">
        <v>0</v>
      </c>
      <c r="AM2049">
        <v>0</v>
      </c>
      <c r="AN2049">
        <v>0</v>
      </c>
      <c r="AO2049">
        <v>0</v>
      </c>
      <c r="AP2049" s="2">
        <v>42746</v>
      </c>
      <c r="AQ2049" t="s">
        <v>72</v>
      </c>
      <c r="AR2049" t="s">
        <v>72</v>
      </c>
      <c r="AS2049">
        <v>1869</v>
      </c>
      <c r="AT2049" s="4">
        <v>42569</v>
      </c>
      <c r="AU2049" t="s">
        <v>73</v>
      </c>
      <c r="AV2049">
        <v>1869</v>
      </c>
      <c r="AW2049" s="4">
        <v>42569</v>
      </c>
      <c r="BD2049">
        <v>0</v>
      </c>
      <c r="BN2049" t="s">
        <v>74</v>
      </c>
    </row>
    <row r="2050" spans="1:66" hidden="1">
      <c r="A2050">
        <v>100695</v>
      </c>
      <c r="B2050" s="3" t="s">
        <v>227</v>
      </c>
      <c r="C2050" s="1">
        <v>43300101</v>
      </c>
      <c r="D2050" t="s">
        <v>67</v>
      </c>
      <c r="H2050" t="str">
        <f t="shared" si="207"/>
        <v>00721920155</v>
      </c>
      <c r="I2050" t="str">
        <f t="shared" si="207"/>
        <v>00721920155</v>
      </c>
      <c r="K2050" t="str">
        <f>""</f>
        <v/>
      </c>
      <c r="M2050" t="s">
        <v>68</v>
      </c>
      <c r="N2050" t="str">
        <f t="shared" si="205"/>
        <v>FOR</v>
      </c>
      <c r="O2050" t="s">
        <v>69</v>
      </c>
      <c r="P2050" s="3" t="s">
        <v>75</v>
      </c>
      <c r="Q2050">
        <v>2015</v>
      </c>
      <c r="R2050" s="2">
        <v>42275</v>
      </c>
      <c r="S2050" s="2">
        <v>42277</v>
      </c>
      <c r="T2050" s="2">
        <v>42276</v>
      </c>
      <c r="U2050" s="2">
        <v>42336</v>
      </c>
      <c r="V2050" t="s">
        <v>71</v>
      </c>
      <c r="W2050" t="str">
        <f>"          5840111305"</f>
        <v xml:space="preserve">          5840111305</v>
      </c>
      <c r="X2050">
        <v>119.6</v>
      </c>
      <c r="Y2050">
        <v>0</v>
      </c>
      <c r="Z2050"/>
      <c r="AB2050"/>
      <c r="AC2050">
        <v>115</v>
      </c>
      <c r="AD2050">
        <v>233</v>
      </c>
      <c r="AE2050" s="1">
        <v>26795</v>
      </c>
      <c r="AF2050">
        <v>0</v>
      </c>
      <c r="AJ2050">
        <v>0</v>
      </c>
      <c r="AK2050">
        <v>0</v>
      </c>
      <c r="AL2050">
        <v>0</v>
      </c>
      <c r="AM2050">
        <v>0</v>
      </c>
      <c r="AN2050">
        <v>0</v>
      </c>
      <c r="AO2050">
        <v>0</v>
      </c>
      <c r="AP2050" s="2">
        <v>42746</v>
      </c>
      <c r="AQ2050" t="s">
        <v>72</v>
      </c>
      <c r="AR2050" t="s">
        <v>72</v>
      </c>
      <c r="AS2050">
        <v>1869</v>
      </c>
      <c r="AT2050" s="4">
        <v>42569</v>
      </c>
      <c r="AU2050" t="s">
        <v>73</v>
      </c>
      <c r="AV2050">
        <v>1869</v>
      </c>
      <c r="AW2050" s="4">
        <v>42569</v>
      </c>
      <c r="BD2050">
        <v>0</v>
      </c>
      <c r="BN2050" t="s">
        <v>74</v>
      </c>
    </row>
    <row r="2051" spans="1:66" hidden="1">
      <c r="A2051">
        <v>100695</v>
      </c>
      <c r="B2051" s="3" t="s">
        <v>227</v>
      </c>
      <c r="C2051" s="1">
        <v>43300101</v>
      </c>
      <c r="D2051" t="s">
        <v>67</v>
      </c>
      <c r="H2051" t="str">
        <f t="shared" si="207"/>
        <v>00721920155</v>
      </c>
      <c r="I2051" t="str">
        <f t="shared" si="207"/>
        <v>00721920155</v>
      </c>
      <c r="K2051" t="str">
        <f>""</f>
        <v/>
      </c>
      <c r="M2051" t="s">
        <v>68</v>
      </c>
      <c r="N2051" t="str">
        <f t="shared" si="205"/>
        <v>FOR</v>
      </c>
      <c r="O2051" t="s">
        <v>69</v>
      </c>
      <c r="P2051" s="3" t="s">
        <v>75</v>
      </c>
      <c r="Q2051">
        <v>2015</v>
      </c>
      <c r="R2051" s="2">
        <v>42275</v>
      </c>
      <c r="S2051" s="2">
        <v>42277</v>
      </c>
      <c r="T2051" s="2">
        <v>42276</v>
      </c>
      <c r="U2051" s="2">
        <v>42336</v>
      </c>
      <c r="V2051" t="s">
        <v>71</v>
      </c>
      <c r="W2051" t="str">
        <f>"          5840111307"</f>
        <v xml:space="preserve">          5840111307</v>
      </c>
      <c r="X2051">
        <v>119.6</v>
      </c>
      <c r="Y2051">
        <v>0</v>
      </c>
      <c r="Z2051"/>
      <c r="AB2051"/>
      <c r="AC2051">
        <v>115</v>
      </c>
      <c r="AD2051">
        <v>233</v>
      </c>
      <c r="AE2051" s="1">
        <v>26795</v>
      </c>
      <c r="AF2051">
        <v>0</v>
      </c>
      <c r="AJ2051">
        <v>0</v>
      </c>
      <c r="AK2051">
        <v>0</v>
      </c>
      <c r="AL2051">
        <v>0</v>
      </c>
      <c r="AM2051">
        <v>0</v>
      </c>
      <c r="AN2051">
        <v>0</v>
      </c>
      <c r="AO2051">
        <v>0</v>
      </c>
      <c r="AP2051" s="2">
        <v>42746</v>
      </c>
      <c r="AQ2051" t="s">
        <v>72</v>
      </c>
      <c r="AR2051" t="s">
        <v>72</v>
      </c>
      <c r="AS2051">
        <v>1869</v>
      </c>
      <c r="AT2051" s="4">
        <v>42569</v>
      </c>
      <c r="AU2051" t="s">
        <v>73</v>
      </c>
      <c r="AV2051">
        <v>1869</v>
      </c>
      <c r="AW2051" s="4">
        <v>42569</v>
      </c>
      <c r="BD2051">
        <v>0</v>
      </c>
      <c r="BN2051" t="s">
        <v>74</v>
      </c>
    </row>
    <row r="2052" spans="1:66" hidden="1">
      <c r="A2052">
        <v>100695</v>
      </c>
      <c r="B2052" s="3" t="s">
        <v>227</v>
      </c>
      <c r="C2052" s="1">
        <v>43300101</v>
      </c>
      <c r="D2052" t="s">
        <v>67</v>
      </c>
      <c r="H2052" t="str">
        <f t="shared" si="207"/>
        <v>00721920155</v>
      </c>
      <c r="I2052" t="str">
        <f t="shared" si="207"/>
        <v>00721920155</v>
      </c>
      <c r="K2052" t="str">
        <f>""</f>
        <v/>
      </c>
      <c r="M2052" t="s">
        <v>68</v>
      </c>
      <c r="N2052" t="str">
        <f t="shared" si="205"/>
        <v>FOR</v>
      </c>
      <c r="O2052" t="s">
        <v>69</v>
      </c>
      <c r="P2052" s="3" t="s">
        <v>75</v>
      </c>
      <c r="Q2052">
        <v>2015</v>
      </c>
      <c r="R2052" s="2">
        <v>42277</v>
      </c>
      <c r="S2052" s="2">
        <v>42282</v>
      </c>
      <c r="T2052" s="2">
        <v>42280</v>
      </c>
      <c r="U2052" s="2">
        <v>42340</v>
      </c>
      <c r="V2052" t="s">
        <v>71</v>
      </c>
      <c r="W2052" t="str">
        <f>"          5840111596"</f>
        <v xml:space="preserve">          5840111596</v>
      </c>
      <c r="X2052" s="1">
        <v>4955.59</v>
      </c>
      <c r="Y2052">
        <v>0</v>
      </c>
      <c r="Z2052"/>
      <c r="AB2052"/>
      <c r="AC2052" s="1">
        <v>4061.96</v>
      </c>
      <c r="AD2052">
        <v>279</v>
      </c>
      <c r="AE2052" s="1">
        <v>1133286.8400000001</v>
      </c>
      <c r="AF2052">
        <v>0</v>
      </c>
      <c r="AJ2052">
        <v>0</v>
      </c>
      <c r="AK2052">
        <v>0</v>
      </c>
      <c r="AL2052">
        <v>0</v>
      </c>
      <c r="AM2052">
        <v>0</v>
      </c>
      <c r="AN2052">
        <v>0</v>
      </c>
      <c r="AO2052">
        <v>0</v>
      </c>
      <c r="AP2052" s="2">
        <v>42746</v>
      </c>
      <c r="AQ2052" t="s">
        <v>72</v>
      </c>
      <c r="AR2052" t="s">
        <v>72</v>
      </c>
      <c r="AS2052">
        <v>2289</v>
      </c>
      <c r="AT2052" s="4">
        <v>42619</v>
      </c>
      <c r="AU2052" t="s">
        <v>73</v>
      </c>
      <c r="AV2052">
        <v>2289</v>
      </c>
      <c r="AW2052" s="4">
        <v>42619</v>
      </c>
      <c r="BD2052">
        <v>0</v>
      </c>
      <c r="BN2052" t="s">
        <v>74</v>
      </c>
    </row>
    <row r="2053" spans="1:66" hidden="1">
      <c r="A2053">
        <v>100695</v>
      </c>
      <c r="B2053" s="3" t="s">
        <v>227</v>
      </c>
      <c r="C2053" s="1">
        <v>43300101</v>
      </c>
      <c r="D2053" t="s">
        <v>67</v>
      </c>
      <c r="H2053" t="str">
        <f t="shared" si="207"/>
        <v>00721920155</v>
      </c>
      <c r="I2053" t="str">
        <f t="shared" si="207"/>
        <v>00721920155</v>
      </c>
      <c r="K2053" t="str">
        <f>""</f>
        <v/>
      </c>
      <c r="M2053" t="s">
        <v>68</v>
      </c>
      <c r="N2053" t="str">
        <f t="shared" si="205"/>
        <v>FOR</v>
      </c>
      <c r="O2053" t="s">
        <v>69</v>
      </c>
      <c r="P2053" s="3" t="s">
        <v>75</v>
      </c>
      <c r="Q2053">
        <v>2015</v>
      </c>
      <c r="R2053" s="2">
        <v>42277</v>
      </c>
      <c r="S2053" s="2">
        <v>42283</v>
      </c>
      <c r="T2053" s="2">
        <v>42280</v>
      </c>
      <c r="U2053" s="2">
        <v>42340</v>
      </c>
      <c r="V2053" t="s">
        <v>71</v>
      </c>
      <c r="W2053" t="str">
        <f>"          5840111620"</f>
        <v xml:space="preserve">          5840111620</v>
      </c>
      <c r="X2053">
        <v>119.6</v>
      </c>
      <c r="Y2053">
        <v>0</v>
      </c>
      <c r="Z2053"/>
      <c r="AB2053"/>
      <c r="AC2053">
        <v>115</v>
      </c>
      <c r="AD2053">
        <v>229</v>
      </c>
      <c r="AE2053" s="1">
        <v>26335</v>
      </c>
      <c r="AF2053">
        <v>0</v>
      </c>
      <c r="AJ2053">
        <v>0</v>
      </c>
      <c r="AK2053">
        <v>0</v>
      </c>
      <c r="AL2053">
        <v>0</v>
      </c>
      <c r="AM2053">
        <v>0</v>
      </c>
      <c r="AN2053">
        <v>0</v>
      </c>
      <c r="AO2053">
        <v>0</v>
      </c>
      <c r="AP2053" s="2">
        <v>42746</v>
      </c>
      <c r="AQ2053" t="s">
        <v>72</v>
      </c>
      <c r="AR2053" t="s">
        <v>72</v>
      </c>
      <c r="AS2053">
        <v>1869</v>
      </c>
      <c r="AT2053" s="4">
        <v>42569</v>
      </c>
      <c r="AU2053" t="s">
        <v>73</v>
      </c>
      <c r="AV2053">
        <v>1869</v>
      </c>
      <c r="AW2053" s="4">
        <v>42569</v>
      </c>
      <c r="BD2053">
        <v>0</v>
      </c>
      <c r="BN2053" t="s">
        <v>74</v>
      </c>
    </row>
    <row r="2054" spans="1:66" hidden="1">
      <c r="A2054">
        <v>100695</v>
      </c>
      <c r="B2054" s="3" t="s">
        <v>227</v>
      </c>
      <c r="C2054" s="1">
        <v>43300101</v>
      </c>
      <c r="D2054" t="s">
        <v>67</v>
      </c>
      <c r="H2054" t="str">
        <f t="shared" si="207"/>
        <v>00721920155</v>
      </c>
      <c r="I2054" t="str">
        <f t="shared" si="207"/>
        <v>00721920155</v>
      </c>
      <c r="K2054" t="str">
        <f>""</f>
        <v/>
      </c>
      <c r="M2054" t="s">
        <v>68</v>
      </c>
      <c r="N2054" t="str">
        <f t="shared" si="205"/>
        <v>FOR</v>
      </c>
      <c r="O2054" t="s">
        <v>69</v>
      </c>
      <c r="P2054" s="3" t="s">
        <v>75</v>
      </c>
      <c r="Q2054">
        <v>2015</v>
      </c>
      <c r="R2054" s="2">
        <v>42277</v>
      </c>
      <c r="S2054" s="2">
        <v>42283</v>
      </c>
      <c r="T2054" s="2">
        <v>42280</v>
      </c>
      <c r="U2054" s="2">
        <v>42340</v>
      </c>
      <c r="V2054" t="s">
        <v>71</v>
      </c>
      <c r="W2054" t="str">
        <f>"          5840111625"</f>
        <v xml:space="preserve">          5840111625</v>
      </c>
      <c r="X2054">
        <v>119.6</v>
      </c>
      <c r="Y2054">
        <v>0</v>
      </c>
      <c r="Z2054"/>
      <c r="AB2054"/>
      <c r="AC2054">
        <v>115</v>
      </c>
      <c r="AD2054">
        <v>229</v>
      </c>
      <c r="AE2054" s="1">
        <v>26335</v>
      </c>
      <c r="AF2054">
        <v>0</v>
      </c>
      <c r="AJ2054">
        <v>0</v>
      </c>
      <c r="AK2054">
        <v>0</v>
      </c>
      <c r="AL2054">
        <v>0</v>
      </c>
      <c r="AM2054">
        <v>0</v>
      </c>
      <c r="AN2054">
        <v>0</v>
      </c>
      <c r="AO2054">
        <v>0</v>
      </c>
      <c r="AP2054" s="2">
        <v>42746</v>
      </c>
      <c r="AQ2054" t="s">
        <v>72</v>
      </c>
      <c r="AR2054" t="s">
        <v>72</v>
      </c>
      <c r="AS2054">
        <v>1869</v>
      </c>
      <c r="AT2054" s="4">
        <v>42569</v>
      </c>
      <c r="AU2054" t="s">
        <v>73</v>
      </c>
      <c r="AV2054">
        <v>1869</v>
      </c>
      <c r="AW2054" s="4">
        <v>42569</v>
      </c>
      <c r="BD2054">
        <v>0</v>
      </c>
      <c r="BN2054" t="s">
        <v>74</v>
      </c>
    </row>
    <row r="2055" spans="1:66" hidden="1">
      <c r="A2055">
        <v>100695</v>
      </c>
      <c r="B2055" s="3" t="s">
        <v>227</v>
      </c>
      <c r="C2055" s="1">
        <v>43300101</v>
      </c>
      <c r="D2055" t="s">
        <v>67</v>
      </c>
      <c r="H2055" t="str">
        <f t="shared" si="207"/>
        <v>00721920155</v>
      </c>
      <c r="I2055" t="str">
        <f t="shared" si="207"/>
        <v>00721920155</v>
      </c>
      <c r="K2055" t="str">
        <f>""</f>
        <v/>
      </c>
      <c r="M2055" t="s">
        <v>68</v>
      </c>
      <c r="N2055" t="str">
        <f t="shared" si="205"/>
        <v>FOR</v>
      </c>
      <c r="O2055" t="s">
        <v>69</v>
      </c>
      <c r="P2055" s="3" t="s">
        <v>75</v>
      </c>
      <c r="Q2055">
        <v>2015</v>
      </c>
      <c r="R2055" s="2">
        <v>42277</v>
      </c>
      <c r="S2055" s="2">
        <v>42283</v>
      </c>
      <c r="T2055" s="2">
        <v>42280</v>
      </c>
      <c r="U2055" s="2">
        <v>42340</v>
      </c>
      <c r="V2055" t="s">
        <v>71</v>
      </c>
      <c r="W2055" t="str">
        <f>"          5840111626"</f>
        <v xml:space="preserve">          5840111626</v>
      </c>
      <c r="X2055">
        <v>119.6</v>
      </c>
      <c r="Y2055">
        <v>0</v>
      </c>
      <c r="Z2055"/>
      <c r="AB2055"/>
      <c r="AC2055">
        <v>115</v>
      </c>
      <c r="AD2055">
        <v>229</v>
      </c>
      <c r="AE2055" s="1">
        <v>26335</v>
      </c>
      <c r="AF2055">
        <v>0</v>
      </c>
      <c r="AJ2055">
        <v>0</v>
      </c>
      <c r="AK2055">
        <v>0</v>
      </c>
      <c r="AL2055">
        <v>0</v>
      </c>
      <c r="AM2055">
        <v>0</v>
      </c>
      <c r="AN2055">
        <v>0</v>
      </c>
      <c r="AO2055">
        <v>0</v>
      </c>
      <c r="AP2055" s="2">
        <v>42746</v>
      </c>
      <c r="AQ2055" t="s">
        <v>72</v>
      </c>
      <c r="AR2055" t="s">
        <v>72</v>
      </c>
      <c r="AS2055">
        <v>1869</v>
      </c>
      <c r="AT2055" s="4">
        <v>42569</v>
      </c>
      <c r="AU2055" t="s">
        <v>73</v>
      </c>
      <c r="AV2055">
        <v>1869</v>
      </c>
      <c r="AW2055" s="4">
        <v>42569</v>
      </c>
      <c r="BD2055">
        <v>0</v>
      </c>
      <c r="BN2055" t="s">
        <v>74</v>
      </c>
    </row>
    <row r="2056" spans="1:66">
      <c r="A2056">
        <v>100695</v>
      </c>
      <c r="B2056" s="3" t="s">
        <v>227</v>
      </c>
      <c r="C2056" s="1">
        <v>43300101</v>
      </c>
      <c r="D2056" t="s">
        <v>67</v>
      </c>
      <c r="H2056" t="str">
        <f t="shared" si="207"/>
        <v>00721920155</v>
      </c>
      <c r="I2056" t="str">
        <f t="shared" si="207"/>
        <v>00721920155</v>
      </c>
      <c r="K2056" t="str">
        <f>""</f>
        <v/>
      </c>
      <c r="M2056" t="s">
        <v>68</v>
      </c>
      <c r="N2056" t="str">
        <f t="shared" si="205"/>
        <v>FOR</v>
      </c>
      <c r="O2056" t="s">
        <v>69</v>
      </c>
      <c r="P2056" s="3" t="s">
        <v>75</v>
      </c>
      <c r="Q2056">
        <v>2015</v>
      </c>
      <c r="R2056" s="2">
        <v>42291</v>
      </c>
      <c r="S2056" s="2">
        <v>42296</v>
      </c>
      <c r="T2056" s="2">
        <v>42293</v>
      </c>
      <c r="U2056" s="2">
        <v>42353</v>
      </c>
      <c r="V2056" t="s">
        <v>71</v>
      </c>
      <c r="W2056" t="str">
        <f>"          5840111965"</f>
        <v xml:space="preserve">          5840111965</v>
      </c>
      <c r="X2056">
        <v>119.6</v>
      </c>
      <c r="Y2056">
        <v>0</v>
      </c>
      <c r="Z2056" s="3">
        <v>115</v>
      </c>
      <c r="AA2056">
        <v>295</v>
      </c>
      <c r="AB2056" s="5">
        <v>33925</v>
      </c>
      <c r="AC2056">
        <v>115</v>
      </c>
      <c r="AD2056">
        <v>295</v>
      </c>
      <c r="AE2056" s="1">
        <v>33925</v>
      </c>
      <c r="AF2056">
        <v>0</v>
      </c>
      <c r="AJ2056">
        <v>0</v>
      </c>
      <c r="AK2056">
        <v>0</v>
      </c>
      <c r="AL2056">
        <v>0</v>
      </c>
      <c r="AM2056">
        <v>0</v>
      </c>
      <c r="AN2056">
        <v>0</v>
      </c>
      <c r="AO2056">
        <v>0</v>
      </c>
      <c r="AP2056" s="2">
        <v>42746</v>
      </c>
      <c r="AQ2056" t="s">
        <v>72</v>
      </c>
      <c r="AR2056" t="s">
        <v>72</v>
      </c>
      <c r="AS2056">
        <v>2700</v>
      </c>
      <c r="AT2056" s="4">
        <v>42648</v>
      </c>
      <c r="AU2056" t="s">
        <v>73</v>
      </c>
      <c r="AV2056">
        <v>2700</v>
      </c>
      <c r="AW2056" s="4">
        <v>42648</v>
      </c>
      <c r="BD2056">
        <v>0</v>
      </c>
      <c r="BN2056" t="s">
        <v>74</v>
      </c>
    </row>
    <row r="2057" spans="1:66">
      <c r="A2057">
        <v>100695</v>
      </c>
      <c r="B2057" s="3" t="s">
        <v>227</v>
      </c>
      <c r="C2057" s="1">
        <v>43300101</v>
      </c>
      <c r="D2057" t="s">
        <v>67</v>
      </c>
      <c r="H2057" t="str">
        <f t="shared" si="207"/>
        <v>00721920155</v>
      </c>
      <c r="I2057" t="str">
        <f t="shared" si="207"/>
        <v>00721920155</v>
      </c>
      <c r="K2057" t="str">
        <f>""</f>
        <v/>
      </c>
      <c r="M2057" t="s">
        <v>68</v>
      </c>
      <c r="N2057" t="str">
        <f t="shared" si="205"/>
        <v>FOR</v>
      </c>
      <c r="O2057" t="s">
        <v>69</v>
      </c>
      <c r="P2057" s="3" t="s">
        <v>75</v>
      </c>
      <c r="Q2057">
        <v>2015</v>
      </c>
      <c r="R2057" s="2">
        <v>42291</v>
      </c>
      <c r="S2057" s="2">
        <v>42296</v>
      </c>
      <c r="T2057" s="2">
        <v>42293</v>
      </c>
      <c r="U2057" s="2">
        <v>42353</v>
      </c>
      <c r="V2057" t="s">
        <v>71</v>
      </c>
      <c r="W2057" t="str">
        <f>"          5840111967"</f>
        <v xml:space="preserve">          5840111967</v>
      </c>
      <c r="X2057">
        <v>119.6</v>
      </c>
      <c r="Y2057">
        <v>0</v>
      </c>
      <c r="Z2057" s="3">
        <v>115</v>
      </c>
      <c r="AA2057">
        <v>295</v>
      </c>
      <c r="AB2057" s="5">
        <v>33925</v>
      </c>
      <c r="AC2057">
        <v>115</v>
      </c>
      <c r="AD2057">
        <v>295</v>
      </c>
      <c r="AE2057" s="1">
        <v>33925</v>
      </c>
      <c r="AF2057">
        <v>0</v>
      </c>
      <c r="AJ2057">
        <v>0</v>
      </c>
      <c r="AK2057">
        <v>0</v>
      </c>
      <c r="AL2057">
        <v>0</v>
      </c>
      <c r="AM2057">
        <v>0</v>
      </c>
      <c r="AN2057">
        <v>0</v>
      </c>
      <c r="AO2057">
        <v>0</v>
      </c>
      <c r="AP2057" s="2">
        <v>42746</v>
      </c>
      <c r="AQ2057" t="s">
        <v>72</v>
      </c>
      <c r="AR2057" t="s">
        <v>72</v>
      </c>
      <c r="AS2057">
        <v>2700</v>
      </c>
      <c r="AT2057" s="4">
        <v>42648</v>
      </c>
      <c r="AU2057" t="s">
        <v>73</v>
      </c>
      <c r="AV2057">
        <v>2700</v>
      </c>
      <c r="AW2057" s="4">
        <v>42648</v>
      </c>
      <c r="BD2057">
        <v>0</v>
      </c>
      <c r="BN2057" t="s">
        <v>74</v>
      </c>
    </row>
    <row r="2058" spans="1:66">
      <c r="A2058">
        <v>100695</v>
      </c>
      <c r="B2058" s="3" t="s">
        <v>227</v>
      </c>
      <c r="C2058" s="1">
        <v>43300101</v>
      </c>
      <c r="D2058" t="s">
        <v>67</v>
      </c>
      <c r="H2058" t="str">
        <f t="shared" si="207"/>
        <v>00721920155</v>
      </c>
      <c r="I2058" t="str">
        <f t="shared" si="207"/>
        <v>00721920155</v>
      </c>
      <c r="K2058" t="str">
        <f>""</f>
        <v/>
      </c>
      <c r="M2058" t="s">
        <v>68</v>
      </c>
      <c r="N2058" t="str">
        <f t="shared" si="205"/>
        <v>FOR</v>
      </c>
      <c r="O2058" t="s">
        <v>69</v>
      </c>
      <c r="P2058" s="3" t="s">
        <v>75</v>
      </c>
      <c r="Q2058">
        <v>2015</v>
      </c>
      <c r="R2058" s="2">
        <v>42291</v>
      </c>
      <c r="S2058" s="2">
        <v>42296</v>
      </c>
      <c r="T2058" s="2">
        <v>42293</v>
      </c>
      <c r="U2058" s="2">
        <v>42353</v>
      </c>
      <c r="V2058" t="s">
        <v>71</v>
      </c>
      <c r="W2058" t="str">
        <f>"          5840111970"</f>
        <v xml:space="preserve">          5840111970</v>
      </c>
      <c r="X2058">
        <v>119.6</v>
      </c>
      <c r="Y2058">
        <v>0</v>
      </c>
      <c r="Z2058" s="3">
        <v>115</v>
      </c>
      <c r="AA2058">
        <v>295</v>
      </c>
      <c r="AB2058" s="5">
        <v>33925</v>
      </c>
      <c r="AC2058">
        <v>115</v>
      </c>
      <c r="AD2058">
        <v>295</v>
      </c>
      <c r="AE2058" s="1">
        <v>33925</v>
      </c>
      <c r="AF2058">
        <v>0</v>
      </c>
      <c r="AJ2058">
        <v>0</v>
      </c>
      <c r="AK2058">
        <v>0</v>
      </c>
      <c r="AL2058">
        <v>0</v>
      </c>
      <c r="AM2058">
        <v>0</v>
      </c>
      <c r="AN2058">
        <v>0</v>
      </c>
      <c r="AO2058">
        <v>0</v>
      </c>
      <c r="AP2058" s="2">
        <v>42746</v>
      </c>
      <c r="AQ2058" t="s">
        <v>72</v>
      </c>
      <c r="AR2058" t="s">
        <v>72</v>
      </c>
      <c r="AS2058">
        <v>2700</v>
      </c>
      <c r="AT2058" s="4">
        <v>42648</v>
      </c>
      <c r="AU2058" t="s">
        <v>73</v>
      </c>
      <c r="AV2058">
        <v>2700</v>
      </c>
      <c r="AW2058" s="4">
        <v>42648</v>
      </c>
      <c r="BD2058">
        <v>0</v>
      </c>
      <c r="BN2058" t="s">
        <v>74</v>
      </c>
    </row>
    <row r="2059" spans="1:66">
      <c r="A2059">
        <v>100695</v>
      </c>
      <c r="B2059" s="3" t="s">
        <v>227</v>
      </c>
      <c r="C2059" s="1">
        <v>43300101</v>
      </c>
      <c r="D2059" t="s">
        <v>67</v>
      </c>
      <c r="H2059" t="str">
        <f t="shared" si="207"/>
        <v>00721920155</v>
      </c>
      <c r="I2059" t="str">
        <f t="shared" si="207"/>
        <v>00721920155</v>
      </c>
      <c r="K2059" t="str">
        <f>""</f>
        <v/>
      </c>
      <c r="M2059" t="s">
        <v>68</v>
      </c>
      <c r="N2059" t="str">
        <f t="shared" si="205"/>
        <v>FOR</v>
      </c>
      <c r="O2059" t="s">
        <v>69</v>
      </c>
      <c r="P2059" s="3" t="s">
        <v>75</v>
      </c>
      <c r="Q2059">
        <v>2015</v>
      </c>
      <c r="R2059" s="2">
        <v>42291</v>
      </c>
      <c r="S2059" s="2">
        <v>42296</v>
      </c>
      <c r="T2059" s="2">
        <v>42293</v>
      </c>
      <c r="U2059" s="2">
        <v>42353</v>
      </c>
      <c r="V2059" t="s">
        <v>71</v>
      </c>
      <c r="W2059" t="str">
        <f>"          5840111971"</f>
        <v xml:space="preserve">          5840111971</v>
      </c>
      <c r="X2059">
        <v>119.6</v>
      </c>
      <c r="Y2059">
        <v>0</v>
      </c>
      <c r="Z2059" s="3">
        <v>115</v>
      </c>
      <c r="AA2059">
        <v>295</v>
      </c>
      <c r="AB2059" s="5">
        <v>33925</v>
      </c>
      <c r="AC2059">
        <v>115</v>
      </c>
      <c r="AD2059">
        <v>295</v>
      </c>
      <c r="AE2059" s="1">
        <v>33925</v>
      </c>
      <c r="AF2059">
        <v>0</v>
      </c>
      <c r="AJ2059">
        <v>0</v>
      </c>
      <c r="AK2059">
        <v>0</v>
      </c>
      <c r="AL2059">
        <v>0</v>
      </c>
      <c r="AM2059">
        <v>0</v>
      </c>
      <c r="AN2059">
        <v>0</v>
      </c>
      <c r="AO2059">
        <v>0</v>
      </c>
      <c r="AP2059" s="2">
        <v>42746</v>
      </c>
      <c r="AQ2059" t="s">
        <v>72</v>
      </c>
      <c r="AR2059" t="s">
        <v>72</v>
      </c>
      <c r="AS2059">
        <v>2700</v>
      </c>
      <c r="AT2059" s="4">
        <v>42648</v>
      </c>
      <c r="AU2059" t="s">
        <v>73</v>
      </c>
      <c r="AV2059">
        <v>2700</v>
      </c>
      <c r="AW2059" s="4">
        <v>42648</v>
      </c>
      <c r="BD2059">
        <v>0</v>
      </c>
      <c r="BN2059" t="s">
        <v>74</v>
      </c>
    </row>
    <row r="2060" spans="1:66">
      <c r="A2060">
        <v>100695</v>
      </c>
      <c r="B2060" s="3" t="s">
        <v>227</v>
      </c>
      <c r="C2060" s="1">
        <v>43300101</v>
      </c>
      <c r="D2060" t="s">
        <v>67</v>
      </c>
      <c r="H2060" t="str">
        <f t="shared" si="207"/>
        <v>00721920155</v>
      </c>
      <c r="I2060" t="str">
        <f t="shared" si="207"/>
        <v>00721920155</v>
      </c>
      <c r="K2060" t="str">
        <f>""</f>
        <v/>
      </c>
      <c r="M2060" t="s">
        <v>68</v>
      </c>
      <c r="N2060" t="str">
        <f t="shared" si="205"/>
        <v>FOR</v>
      </c>
      <c r="O2060" t="s">
        <v>69</v>
      </c>
      <c r="P2060" s="3" t="s">
        <v>75</v>
      </c>
      <c r="Q2060">
        <v>2015</v>
      </c>
      <c r="R2060" s="2">
        <v>42291</v>
      </c>
      <c r="S2060" s="2">
        <v>42296</v>
      </c>
      <c r="T2060" s="2">
        <v>42293</v>
      </c>
      <c r="U2060" s="2">
        <v>42353</v>
      </c>
      <c r="V2060" t="s">
        <v>71</v>
      </c>
      <c r="W2060" t="str">
        <f>"          5840111976"</f>
        <v xml:space="preserve">          5840111976</v>
      </c>
      <c r="X2060">
        <v>119.6</v>
      </c>
      <c r="Y2060">
        <v>0</v>
      </c>
      <c r="Z2060" s="3">
        <v>115</v>
      </c>
      <c r="AA2060">
        <v>295</v>
      </c>
      <c r="AB2060" s="5">
        <v>33925</v>
      </c>
      <c r="AC2060">
        <v>115</v>
      </c>
      <c r="AD2060">
        <v>295</v>
      </c>
      <c r="AE2060" s="1">
        <v>33925</v>
      </c>
      <c r="AF2060">
        <v>0</v>
      </c>
      <c r="AJ2060">
        <v>0</v>
      </c>
      <c r="AK2060">
        <v>0</v>
      </c>
      <c r="AL2060">
        <v>0</v>
      </c>
      <c r="AM2060">
        <v>0</v>
      </c>
      <c r="AN2060">
        <v>0</v>
      </c>
      <c r="AO2060">
        <v>0</v>
      </c>
      <c r="AP2060" s="2">
        <v>42746</v>
      </c>
      <c r="AQ2060" t="s">
        <v>72</v>
      </c>
      <c r="AR2060" t="s">
        <v>72</v>
      </c>
      <c r="AS2060">
        <v>2700</v>
      </c>
      <c r="AT2060" s="4">
        <v>42648</v>
      </c>
      <c r="AU2060" t="s">
        <v>73</v>
      </c>
      <c r="AV2060">
        <v>2700</v>
      </c>
      <c r="AW2060" s="4">
        <v>42648</v>
      </c>
      <c r="BD2060">
        <v>0</v>
      </c>
      <c r="BN2060" t="s">
        <v>74</v>
      </c>
    </row>
    <row r="2061" spans="1:66">
      <c r="A2061">
        <v>100695</v>
      </c>
      <c r="B2061" s="3" t="s">
        <v>227</v>
      </c>
      <c r="C2061" s="1">
        <v>43300101</v>
      </c>
      <c r="D2061" t="s">
        <v>67</v>
      </c>
      <c r="H2061" t="str">
        <f t="shared" si="207"/>
        <v>00721920155</v>
      </c>
      <c r="I2061" t="str">
        <f t="shared" si="207"/>
        <v>00721920155</v>
      </c>
      <c r="K2061" t="str">
        <f>""</f>
        <v/>
      </c>
      <c r="M2061" t="s">
        <v>68</v>
      </c>
      <c r="N2061" t="str">
        <f t="shared" si="205"/>
        <v>FOR</v>
      </c>
      <c r="O2061" t="s">
        <v>69</v>
      </c>
      <c r="P2061" s="3" t="s">
        <v>75</v>
      </c>
      <c r="Q2061">
        <v>2015</v>
      </c>
      <c r="R2061" s="2">
        <v>42291</v>
      </c>
      <c r="S2061" s="2">
        <v>42296</v>
      </c>
      <c r="T2061" s="2">
        <v>42293</v>
      </c>
      <c r="U2061" s="2">
        <v>42353</v>
      </c>
      <c r="V2061" t="s">
        <v>71</v>
      </c>
      <c r="W2061" t="str">
        <f>"          5840111978"</f>
        <v xml:space="preserve">          5840111978</v>
      </c>
      <c r="X2061">
        <v>119.6</v>
      </c>
      <c r="Y2061">
        <v>0</v>
      </c>
      <c r="Z2061" s="3">
        <v>115</v>
      </c>
      <c r="AA2061">
        <v>295</v>
      </c>
      <c r="AB2061" s="5">
        <v>33925</v>
      </c>
      <c r="AC2061">
        <v>115</v>
      </c>
      <c r="AD2061">
        <v>295</v>
      </c>
      <c r="AE2061" s="1">
        <v>33925</v>
      </c>
      <c r="AF2061">
        <v>0</v>
      </c>
      <c r="AJ2061">
        <v>0</v>
      </c>
      <c r="AK2061">
        <v>0</v>
      </c>
      <c r="AL2061">
        <v>0</v>
      </c>
      <c r="AM2061">
        <v>0</v>
      </c>
      <c r="AN2061">
        <v>0</v>
      </c>
      <c r="AO2061">
        <v>0</v>
      </c>
      <c r="AP2061" s="2">
        <v>42746</v>
      </c>
      <c r="AQ2061" t="s">
        <v>72</v>
      </c>
      <c r="AR2061" t="s">
        <v>72</v>
      </c>
      <c r="AS2061">
        <v>2700</v>
      </c>
      <c r="AT2061" s="4">
        <v>42648</v>
      </c>
      <c r="AU2061" t="s">
        <v>73</v>
      </c>
      <c r="AV2061">
        <v>2700</v>
      </c>
      <c r="AW2061" s="4">
        <v>42648</v>
      </c>
      <c r="BD2061">
        <v>0</v>
      </c>
      <c r="BN2061" t="s">
        <v>74</v>
      </c>
    </row>
    <row r="2062" spans="1:66">
      <c r="A2062">
        <v>100695</v>
      </c>
      <c r="B2062" s="3" t="s">
        <v>227</v>
      </c>
      <c r="C2062" s="1">
        <v>43300101</v>
      </c>
      <c r="D2062" t="s">
        <v>67</v>
      </c>
      <c r="H2062" t="str">
        <f t="shared" si="207"/>
        <v>00721920155</v>
      </c>
      <c r="I2062" t="str">
        <f t="shared" si="207"/>
        <v>00721920155</v>
      </c>
      <c r="K2062" t="str">
        <f>""</f>
        <v/>
      </c>
      <c r="M2062" t="s">
        <v>68</v>
      </c>
      <c r="N2062" t="str">
        <f t="shared" si="205"/>
        <v>FOR</v>
      </c>
      <c r="O2062" t="s">
        <v>69</v>
      </c>
      <c r="P2062" s="3" t="s">
        <v>75</v>
      </c>
      <c r="Q2062">
        <v>2015</v>
      </c>
      <c r="R2062" s="2">
        <v>42291</v>
      </c>
      <c r="S2062" s="2">
        <v>42296</v>
      </c>
      <c r="T2062" s="2">
        <v>42293</v>
      </c>
      <c r="U2062" s="2">
        <v>42353</v>
      </c>
      <c r="V2062" t="s">
        <v>71</v>
      </c>
      <c r="W2062" t="str">
        <f>"          5840111980"</f>
        <v xml:space="preserve">          5840111980</v>
      </c>
      <c r="X2062">
        <v>119.6</v>
      </c>
      <c r="Y2062">
        <v>0</v>
      </c>
      <c r="Z2062" s="3">
        <v>115</v>
      </c>
      <c r="AA2062">
        <v>295</v>
      </c>
      <c r="AB2062" s="5">
        <v>33925</v>
      </c>
      <c r="AC2062">
        <v>115</v>
      </c>
      <c r="AD2062">
        <v>295</v>
      </c>
      <c r="AE2062" s="1">
        <v>33925</v>
      </c>
      <c r="AF2062">
        <v>0</v>
      </c>
      <c r="AJ2062">
        <v>0</v>
      </c>
      <c r="AK2062">
        <v>0</v>
      </c>
      <c r="AL2062">
        <v>0</v>
      </c>
      <c r="AM2062">
        <v>0</v>
      </c>
      <c r="AN2062">
        <v>0</v>
      </c>
      <c r="AO2062">
        <v>0</v>
      </c>
      <c r="AP2062" s="2">
        <v>42746</v>
      </c>
      <c r="AQ2062" t="s">
        <v>72</v>
      </c>
      <c r="AR2062" t="s">
        <v>72</v>
      </c>
      <c r="AS2062">
        <v>2700</v>
      </c>
      <c r="AT2062" s="4">
        <v>42648</v>
      </c>
      <c r="AU2062" t="s">
        <v>73</v>
      </c>
      <c r="AV2062">
        <v>2700</v>
      </c>
      <c r="AW2062" s="4">
        <v>42648</v>
      </c>
      <c r="BD2062">
        <v>0</v>
      </c>
      <c r="BN2062" t="s">
        <v>74</v>
      </c>
    </row>
    <row r="2063" spans="1:66">
      <c r="A2063">
        <v>100695</v>
      </c>
      <c r="B2063" s="3" t="s">
        <v>227</v>
      </c>
      <c r="C2063" s="1">
        <v>43300101</v>
      </c>
      <c r="D2063" t="s">
        <v>67</v>
      </c>
      <c r="H2063" t="str">
        <f t="shared" si="207"/>
        <v>00721920155</v>
      </c>
      <c r="I2063" t="str">
        <f t="shared" si="207"/>
        <v>00721920155</v>
      </c>
      <c r="K2063" t="str">
        <f>""</f>
        <v/>
      </c>
      <c r="M2063" t="s">
        <v>68</v>
      </c>
      <c r="N2063" t="str">
        <f t="shared" si="205"/>
        <v>FOR</v>
      </c>
      <c r="O2063" t="s">
        <v>69</v>
      </c>
      <c r="P2063" s="3" t="s">
        <v>75</v>
      </c>
      <c r="Q2063">
        <v>2015</v>
      </c>
      <c r="R2063" s="2">
        <v>42291</v>
      </c>
      <c r="S2063" s="2">
        <v>42296</v>
      </c>
      <c r="T2063" s="2">
        <v>42293</v>
      </c>
      <c r="U2063" s="2">
        <v>42353</v>
      </c>
      <c r="V2063" t="s">
        <v>71</v>
      </c>
      <c r="W2063" t="str">
        <f>"          5840111981"</f>
        <v xml:space="preserve">          5840111981</v>
      </c>
      <c r="X2063">
        <v>119.6</v>
      </c>
      <c r="Y2063">
        <v>0</v>
      </c>
      <c r="Z2063" s="3">
        <v>115</v>
      </c>
      <c r="AA2063">
        <v>295</v>
      </c>
      <c r="AB2063" s="5">
        <v>33925</v>
      </c>
      <c r="AC2063">
        <v>115</v>
      </c>
      <c r="AD2063">
        <v>295</v>
      </c>
      <c r="AE2063" s="1">
        <v>33925</v>
      </c>
      <c r="AF2063">
        <v>0</v>
      </c>
      <c r="AJ2063">
        <v>0</v>
      </c>
      <c r="AK2063">
        <v>0</v>
      </c>
      <c r="AL2063">
        <v>0</v>
      </c>
      <c r="AM2063">
        <v>0</v>
      </c>
      <c r="AN2063">
        <v>0</v>
      </c>
      <c r="AO2063">
        <v>0</v>
      </c>
      <c r="AP2063" s="2">
        <v>42746</v>
      </c>
      <c r="AQ2063" t="s">
        <v>72</v>
      </c>
      <c r="AR2063" t="s">
        <v>72</v>
      </c>
      <c r="AS2063">
        <v>2700</v>
      </c>
      <c r="AT2063" s="4">
        <v>42648</v>
      </c>
      <c r="AU2063" t="s">
        <v>73</v>
      </c>
      <c r="AV2063">
        <v>2700</v>
      </c>
      <c r="AW2063" s="4">
        <v>42648</v>
      </c>
      <c r="BD2063">
        <v>0</v>
      </c>
      <c r="BN2063" t="s">
        <v>74</v>
      </c>
    </row>
    <row r="2064" spans="1:66">
      <c r="A2064">
        <v>100695</v>
      </c>
      <c r="B2064" s="3" t="s">
        <v>227</v>
      </c>
      <c r="C2064" s="1">
        <v>43300101</v>
      </c>
      <c r="D2064" t="s">
        <v>67</v>
      </c>
      <c r="H2064" t="str">
        <f t="shared" si="207"/>
        <v>00721920155</v>
      </c>
      <c r="I2064" t="str">
        <f t="shared" si="207"/>
        <v>00721920155</v>
      </c>
      <c r="K2064" t="str">
        <f>""</f>
        <v/>
      </c>
      <c r="M2064" t="s">
        <v>68</v>
      </c>
      <c r="N2064" t="str">
        <f t="shared" si="205"/>
        <v>FOR</v>
      </c>
      <c r="O2064" t="s">
        <v>69</v>
      </c>
      <c r="P2064" s="3" t="s">
        <v>75</v>
      </c>
      <c r="Q2064">
        <v>2015</v>
      </c>
      <c r="R2064" s="2">
        <v>42291</v>
      </c>
      <c r="S2064" s="2">
        <v>42296</v>
      </c>
      <c r="T2064" s="2">
        <v>42293</v>
      </c>
      <c r="U2064" s="2">
        <v>42353</v>
      </c>
      <c r="V2064" t="s">
        <v>71</v>
      </c>
      <c r="W2064" t="str">
        <f>"          5840111982"</f>
        <v xml:space="preserve">          5840111982</v>
      </c>
      <c r="X2064">
        <v>119.6</v>
      </c>
      <c r="Y2064">
        <v>0</v>
      </c>
      <c r="Z2064" s="3">
        <v>115</v>
      </c>
      <c r="AA2064">
        <v>295</v>
      </c>
      <c r="AB2064" s="5">
        <v>33925</v>
      </c>
      <c r="AC2064">
        <v>115</v>
      </c>
      <c r="AD2064">
        <v>295</v>
      </c>
      <c r="AE2064" s="1">
        <v>33925</v>
      </c>
      <c r="AF2064">
        <v>0</v>
      </c>
      <c r="AJ2064">
        <v>0</v>
      </c>
      <c r="AK2064">
        <v>0</v>
      </c>
      <c r="AL2064">
        <v>0</v>
      </c>
      <c r="AM2064">
        <v>0</v>
      </c>
      <c r="AN2064">
        <v>0</v>
      </c>
      <c r="AO2064">
        <v>0</v>
      </c>
      <c r="AP2064" s="2">
        <v>42746</v>
      </c>
      <c r="AQ2064" t="s">
        <v>72</v>
      </c>
      <c r="AR2064" t="s">
        <v>72</v>
      </c>
      <c r="AS2064">
        <v>2700</v>
      </c>
      <c r="AT2064" s="4">
        <v>42648</v>
      </c>
      <c r="AU2064" t="s">
        <v>73</v>
      </c>
      <c r="AV2064">
        <v>2700</v>
      </c>
      <c r="AW2064" s="4">
        <v>42648</v>
      </c>
      <c r="BD2064">
        <v>0</v>
      </c>
      <c r="BN2064" t="s">
        <v>74</v>
      </c>
    </row>
    <row r="2065" spans="1:66">
      <c r="A2065">
        <v>100695</v>
      </c>
      <c r="B2065" s="3" t="s">
        <v>227</v>
      </c>
      <c r="C2065" s="1">
        <v>43300101</v>
      </c>
      <c r="D2065" t="s">
        <v>67</v>
      </c>
      <c r="H2065" t="str">
        <f t="shared" si="207"/>
        <v>00721920155</v>
      </c>
      <c r="I2065" t="str">
        <f t="shared" si="207"/>
        <v>00721920155</v>
      </c>
      <c r="K2065" t="str">
        <f>""</f>
        <v/>
      </c>
      <c r="M2065" t="s">
        <v>68</v>
      </c>
      <c r="N2065" t="str">
        <f t="shared" si="205"/>
        <v>FOR</v>
      </c>
      <c r="O2065" t="s">
        <v>69</v>
      </c>
      <c r="P2065" s="3" t="s">
        <v>75</v>
      </c>
      <c r="Q2065">
        <v>2015</v>
      </c>
      <c r="R2065" s="2">
        <v>42291</v>
      </c>
      <c r="S2065" s="2">
        <v>42296</v>
      </c>
      <c r="T2065" s="2">
        <v>42293</v>
      </c>
      <c r="U2065" s="2">
        <v>42353</v>
      </c>
      <c r="V2065" t="s">
        <v>71</v>
      </c>
      <c r="W2065" t="str">
        <f>"          5840111984"</f>
        <v xml:space="preserve">          5840111984</v>
      </c>
      <c r="X2065">
        <v>119.6</v>
      </c>
      <c r="Y2065">
        <v>0</v>
      </c>
      <c r="Z2065" s="3">
        <v>115</v>
      </c>
      <c r="AA2065">
        <v>295</v>
      </c>
      <c r="AB2065" s="5">
        <v>33925</v>
      </c>
      <c r="AC2065">
        <v>115</v>
      </c>
      <c r="AD2065">
        <v>295</v>
      </c>
      <c r="AE2065" s="1">
        <v>33925</v>
      </c>
      <c r="AF2065">
        <v>0</v>
      </c>
      <c r="AJ2065">
        <v>0</v>
      </c>
      <c r="AK2065">
        <v>0</v>
      </c>
      <c r="AL2065">
        <v>0</v>
      </c>
      <c r="AM2065">
        <v>0</v>
      </c>
      <c r="AN2065">
        <v>0</v>
      </c>
      <c r="AO2065">
        <v>0</v>
      </c>
      <c r="AP2065" s="2">
        <v>42746</v>
      </c>
      <c r="AQ2065" t="s">
        <v>72</v>
      </c>
      <c r="AR2065" t="s">
        <v>72</v>
      </c>
      <c r="AS2065">
        <v>2700</v>
      </c>
      <c r="AT2065" s="4">
        <v>42648</v>
      </c>
      <c r="AU2065" t="s">
        <v>73</v>
      </c>
      <c r="AV2065">
        <v>2700</v>
      </c>
      <c r="AW2065" s="4">
        <v>42648</v>
      </c>
      <c r="BD2065">
        <v>0</v>
      </c>
      <c r="BN2065" t="s">
        <v>74</v>
      </c>
    </row>
    <row r="2066" spans="1:66">
      <c r="A2066">
        <v>100695</v>
      </c>
      <c r="B2066" s="3" t="s">
        <v>227</v>
      </c>
      <c r="C2066" s="1">
        <v>43300101</v>
      </c>
      <c r="D2066" t="s">
        <v>67</v>
      </c>
      <c r="H2066" t="str">
        <f t="shared" si="207"/>
        <v>00721920155</v>
      </c>
      <c r="I2066" t="str">
        <f t="shared" si="207"/>
        <v>00721920155</v>
      </c>
      <c r="K2066" t="str">
        <f>""</f>
        <v/>
      </c>
      <c r="M2066" t="s">
        <v>68</v>
      </c>
      <c r="N2066" t="str">
        <f t="shared" si="205"/>
        <v>FOR</v>
      </c>
      <c r="O2066" t="s">
        <v>69</v>
      </c>
      <c r="P2066" s="3" t="s">
        <v>75</v>
      </c>
      <c r="Q2066">
        <v>2015</v>
      </c>
      <c r="R2066" s="2">
        <v>42291</v>
      </c>
      <c r="S2066" s="2">
        <v>42296</v>
      </c>
      <c r="T2066" s="2">
        <v>42293</v>
      </c>
      <c r="U2066" s="2">
        <v>42353</v>
      </c>
      <c r="V2066" t="s">
        <v>71</v>
      </c>
      <c r="W2066" t="str">
        <f>"          5840111989"</f>
        <v xml:space="preserve">          5840111989</v>
      </c>
      <c r="X2066">
        <v>119.6</v>
      </c>
      <c r="Y2066">
        <v>0</v>
      </c>
      <c r="Z2066" s="3">
        <v>115</v>
      </c>
      <c r="AA2066">
        <v>295</v>
      </c>
      <c r="AB2066" s="5">
        <v>33925</v>
      </c>
      <c r="AC2066">
        <v>115</v>
      </c>
      <c r="AD2066">
        <v>295</v>
      </c>
      <c r="AE2066" s="1">
        <v>33925</v>
      </c>
      <c r="AF2066">
        <v>0</v>
      </c>
      <c r="AJ2066">
        <v>0</v>
      </c>
      <c r="AK2066">
        <v>0</v>
      </c>
      <c r="AL2066">
        <v>0</v>
      </c>
      <c r="AM2066">
        <v>0</v>
      </c>
      <c r="AN2066">
        <v>0</v>
      </c>
      <c r="AO2066">
        <v>0</v>
      </c>
      <c r="AP2066" s="2">
        <v>42746</v>
      </c>
      <c r="AQ2066" t="s">
        <v>72</v>
      </c>
      <c r="AR2066" t="s">
        <v>72</v>
      </c>
      <c r="AS2066">
        <v>2700</v>
      </c>
      <c r="AT2066" s="4">
        <v>42648</v>
      </c>
      <c r="AU2066" t="s">
        <v>73</v>
      </c>
      <c r="AV2066">
        <v>2700</v>
      </c>
      <c r="AW2066" s="4">
        <v>42648</v>
      </c>
      <c r="BD2066">
        <v>0</v>
      </c>
      <c r="BN2066" t="s">
        <v>74</v>
      </c>
    </row>
    <row r="2067" spans="1:66">
      <c r="A2067">
        <v>100695</v>
      </c>
      <c r="B2067" s="3" t="s">
        <v>227</v>
      </c>
      <c r="C2067" s="1">
        <v>43300101</v>
      </c>
      <c r="D2067" t="s">
        <v>67</v>
      </c>
      <c r="H2067" t="str">
        <f t="shared" si="207"/>
        <v>00721920155</v>
      </c>
      <c r="I2067" t="str">
        <f t="shared" si="207"/>
        <v>00721920155</v>
      </c>
      <c r="K2067" t="str">
        <f>""</f>
        <v/>
      </c>
      <c r="M2067" t="s">
        <v>68</v>
      </c>
      <c r="N2067" t="str">
        <f t="shared" si="205"/>
        <v>FOR</v>
      </c>
      <c r="O2067" t="s">
        <v>69</v>
      </c>
      <c r="P2067" s="3" t="s">
        <v>75</v>
      </c>
      <c r="Q2067">
        <v>2015</v>
      </c>
      <c r="R2067" s="2">
        <v>42291</v>
      </c>
      <c r="S2067" s="2">
        <v>42296</v>
      </c>
      <c r="T2067" s="2">
        <v>42293</v>
      </c>
      <c r="U2067" s="2">
        <v>42353</v>
      </c>
      <c r="V2067" t="s">
        <v>71</v>
      </c>
      <c r="W2067" t="str">
        <f>"          5840111991"</f>
        <v xml:space="preserve">          5840111991</v>
      </c>
      <c r="X2067">
        <v>119.6</v>
      </c>
      <c r="Y2067">
        <v>0</v>
      </c>
      <c r="Z2067" s="3">
        <v>115</v>
      </c>
      <c r="AA2067">
        <v>295</v>
      </c>
      <c r="AB2067" s="5">
        <v>33925</v>
      </c>
      <c r="AC2067">
        <v>115</v>
      </c>
      <c r="AD2067">
        <v>295</v>
      </c>
      <c r="AE2067" s="1">
        <v>33925</v>
      </c>
      <c r="AF2067">
        <v>0</v>
      </c>
      <c r="AJ2067">
        <v>0</v>
      </c>
      <c r="AK2067">
        <v>0</v>
      </c>
      <c r="AL2067">
        <v>0</v>
      </c>
      <c r="AM2067">
        <v>0</v>
      </c>
      <c r="AN2067">
        <v>0</v>
      </c>
      <c r="AO2067">
        <v>0</v>
      </c>
      <c r="AP2067" s="2">
        <v>42746</v>
      </c>
      <c r="AQ2067" t="s">
        <v>72</v>
      </c>
      <c r="AR2067" t="s">
        <v>72</v>
      </c>
      <c r="AS2067">
        <v>2700</v>
      </c>
      <c r="AT2067" s="4">
        <v>42648</v>
      </c>
      <c r="AU2067" t="s">
        <v>73</v>
      </c>
      <c r="AV2067">
        <v>2700</v>
      </c>
      <c r="AW2067" s="4">
        <v>42648</v>
      </c>
      <c r="BD2067">
        <v>0</v>
      </c>
      <c r="BN2067" t="s">
        <v>74</v>
      </c>
    </row>
    <row r="2068" spans="1:66">
      <c r="A2068">
        <v>100695</v>
      </c>
      <c r="B2068" s="3" t="s">
        <v>227</v>
      </c>
      <c r="C2068" s="1">
        <v>43300101</v>
      </c>
      <c r="D2068" t="s">
        <v>67</v>
      </c>
      <c r="H2068" t="str">
        <f t="shared" si="207"/>
        <v>00721920155</v>
      </c>
      <c r="I2068" t="str">
        <f t="shared" si="207"/>
        <v>00721920155</v>
      </c>
      <c r="K2068" t="str">
        <f>""</f>
        <v/>
      </c>
      <c r="M2068" t="s">
        <v>68</v>
      </c>
      <c r="N2068" t="str">
        <f t="shared" si="205"/>
        <v>FOR</v>
      </c>
      <c r="O2068" t="s">
        <v>69</v>
      </c>
      <c r="P2068" s="3" t="s">
        <v>75</v>
      </c>
      <c r="Q2068">
        <v>2015</v>
      </c>
      <c r="R2068" s="2">
        <v>42296</v>
      </c>
      <c r="S2068" s="2">
        <v>42305</v>
      </c>
      <c r="T2068" s="2">
        <v>42303</v>
      </c>
      <c r="U2068" s="2">
        <v>42363</v>
      </c>
      <c r="V2068" t="s">
        <v>71</v>
      </c>
      <c r="W2068" t="str">
        <f>"          5840112154"</f>
        <v xml:space="preserve">          5840112154</v>
      </c>
      <c r="X2068">
        <v>119.6</v>
      </c>
      <c r="Y2068">
        <v>0</v>
      </c>
      <c r="Z2068" s="3">
        <v>115</v>
      </c>
      <c r="AA2068">
        <v>285</v>
      </c>
      <c r="AB2068" s="5">
        <v>32775</v>
      </c>
      <c r="AC2068">
        <v>115</v>
      </c>
      <c r="AD2068">
        <v>285</v>
      </c>
      <c r="AE2068" s="1">
        <v>32775</v>
      </c>
      <c r="AF2068">
        <v>0</v>
      </c>
      <c r="AJ2068">
        <v>0</v>
      </c>
      <c r="AK2068">
        <v>0</v>
      </c>
      <c r="AL2068">
        <v>0</v>
      </c>
      <c r="AM2068">
        <v>0</v>
      </c>
      <c r="AN2068">
        <v>0</v>
      </c>
      <c r="AO2068">
        <v>0</v>
      </c>
      <c r="AP2068" s="2">
        <v>42746</v>
      </c>
      <c r="AQ2068" t="s">
        <v>72</v>
      </c>
      <c r="AR2068" t="s">
        <v>72</v>
      </c>
      <c r="AS2068">
        <v>2700</v>
      </c>
      <c r="AT2068" s="4">
        <v>42648</v>
      </c>
      <c r="AU2068" t="s">
        <v>73</v>
      </c>
      <c r="AV2068">
        <v>2700</v>
      </c>
      <c r="AW2068" s="4">
        <v>42648</v>
      </c>
      <c r="BD2068">
        <v>0</v>
      </c>
      <c r="BN2068" t="s">
        <v>74</v>
      </c>
    </row>
    <row r="2069" spans="1:66">
      <c r="A2069">
        <v>100695</v>
      </c>
      <c r="B2069" s="3" t="s">
        <v>227</v>
      </c>
      <c r="C2069" s="1">
        <v>43300101</v>
      </c>
      <c r="D2069" t="s">
        <v>67</v>
      </c>
      <c r="H2069" t="str">
        <f t="shared" ref="H2069:I2088" si="208">"00721920155"</f>
        <v>00721920155</v>
      </c>
      <c r="I2069" t="str">
        <f t="shared" si="208"/>
        <v>00721920155</v>
      </c>
      <c r="K2069" t="str">
        <f>""</f>
        <v/>
      </c>
      <c r="M2069" t="s">
        <v>68</v>
      </c>
      <c r="N2069" t="str">
        <f t="shared" si="205"/>
        <v>FOR</v>
      </c>
      <c r="O2069" t="s">
        <v>69</v>
      </c>
      <c r="P2069" s="3" t="s">
        <v>75</v>
      </c>
      <c r="Q2069">
        <v>2015</v>
      </c>
      <c r="R2069" s="2">
        <v>42296</v>
      </c>
      <c r="S2069" s="2">
        <v>42305</v>
      </c>
      <c r="T2069" s="2">
        <v>42303</v>
      </c>
      <c r="U2069" s="2">
        <v>42363</v>
      </c>
      <c r="V2069" t="s">
        <v>71</v>
      </c>
      <c r="W2069" t="str">
        <f>"          5840112164"</f>
        <v xml:space="preserve">          5840112164</v>
      </c>
      <c r="X2069">
        <v>119.6</v>
      </c>
      <c r="Y2069">
        <v>0</v>
      </c>
      <c r="Z2069" s="3">
        <v>115</v>
      </c>
      <c r="AA2069">
        <v>285</v>
      </c>
      <c r="AB2069" s="5">
        <v>32775</v>
      </c>
      <c r="AC2069">
        <v>115</v>
      </c>
      <c r="AD2069">
        <v>285</v>
      </c>
      <c r="AE2069" s="1">
        <v>32775</v>
      </c>
      <c r="AF2069">
        <v>0</v>
      </c>
      <c r="AJ2069">
        <v>0</v>
      </c>
      <c r="AK2069">
        <v>0</v>
      </c>
      <c r="AL2069">
        <v>0</v>
      </c>
      <c r="AM2069">
        <v>0</v>
      </c>
      <c r="AN2069">
        <v>0</v>
      </c>
      <c r="AO2069">
        <v>0</v>
      </c>
      <c r="AP2069" s="2">
        <v>42746</v>
      </c>
      <c r="AQ2069" t="s">
        <v>72</v>
      </c>
      <c r="AR2069" t="s">
        <v>72</v>
      </c>
      <c r="AS2069">
        <v>2700</v>
      </c>
      <c r="AT2069" s="4">
        <v>42648</v>
      </c>
      <c r="AU2069" t="s">
        <v>73</v>
      </c>
      <c r="AV2069">
        <v>2700</v>
      </c>
      <c r="AW2069" s="4">
        <v>42648</v>
      </c>
      <c r="BD2069">
        <v>0</v>
      </c>
      <c r="BN2069" t="s">
        <v>74</v>
      </c>
    </row>
    <row r="2070" spans="1:66">
      <c r="A2070">
        <v>100695</v>
      </c>
      <c r="B2070" s="3" t="s">
        <v>227</v>
      </c>
      <c r="C2070" s="1">
        <v>43300101</v>
      </c>
      <c r="D2070" t="s">
        <v>67</v>
      </c>
      <c r="H2070" t="str">
        <f t="shared" si="208"/>
        <v>00721920155</v>
      </c>
      <c r="I2070" t="str">
        <f t="shared" si="208"/>
        <v>00721920155</v>
      </c>
      <c r="K2070" t="str">
        <f>""</f>
        <v/>
      </c>
      <c r="M2070" t="s">
        <v>68</v>
      </c>
      <c r="N2070" t="str">
        <f t="shared" si="205"/>
        <v>FOR</v>
      </c>
      <c r="O2070" t="s">
        <v>69</v>
      </c>
      <c r="P2070" s="3" t="s">
        <v>75</v>
      </c>
      <c r="Q2070">
        <v>2015</v>
      </c>
      <c r="R2070" s="2">
        <v>42296</v>
      </c>
      <c r="S2070" s="2">
        <v>42305</v>
      </c>
      <c r="T2070" s="2">
        <v>42303</v>
      </c>
      <c r="U2070" s="2">
        <v>42363</v>
      </c>
      <c r="V2070" t="s">
        <v>71</v>
      </c>
      <c r="W2070" t="str">
        <f>"          5840112168"</f>
        <v xml:space="preserve">          5840112168</v>
      </c>
      <c r="X2070">
        <v>119.6</v>
      </c>
      <c r="Y2070">
        <v>0</v>
      </c>
      <c r="Z2070" s="3">
        <v>115</v>
      </c>
      <c r="AA2070">
        <v>285</v>
      </c>
      <c r="AB2070" s="5">
        <v>32775</v>
      </c>
      <c r="AC2070">
        <v>115</v>
      </c>
      <c r="AD2070">
        <v>285</v>
      </c>
      <c r="AE2070" s="1">
        <v>32775</v>
      </c>
      <c r="AF2070">
        <v>0</v>
      </c>
      <c r="AJ2070">
        <v>0</v>
      </c>
      <c r="AK2070">
        <v>0</v>
      </c>
      <c r="AL2070">
        <v>0</v>
      </c>
      <c r="AM2070">
        <v>0</v>
      </c>
      <c r="AN2070">
        <v>0</v>
      </c>
      <c r="AO2070">
        <v>0</v>
      </c>
      <c r="AP2070" s="2">
        <v>42746</v>
      </c>
      <c r="AQ2070" t="s">
        <v>72</v>
      </c>
      <c r="AR2070" t="s">
        <v>72</v>
      </c>
      <c r="AS2070">
        <v>2700</v>
      </c>
      <c r="AT2070" s="4">
        <v>42648</v>
      </c>
      <c r="AU2070" t="s">
        <v>73</v>
      </c>
      <c r="AV2070">
        <v>2700</v>
      </c>
      <c r="AW2070" s="4">
        <v>42648</v>
      </c>
      <c r="BD2070">
        <v>0</v>
      </c>
      <c r="BN2070" t="s">
        <v>74</v>
      </c>
    </row>
    <row r="2071" spans="1:66">
      <c r="A2071">
        <v>100695</v>
      </c>
      <c r="B2071" s="3" t="s">
        <v>227</v>
      </c>
      <c r="C2071" s="1">
        <v>43300101</v>
      </c>
      <c r="D2071" t="s">
        <v>67</v>
      </c>
      <c r="H2071" t="str">
        <f t="shared" si="208"/>
        <v>00721920155</v>
      </c>
      <c r="I2071" t="str">
        <f t="shared" si="208"/>
        <v>00721920155</v>
      </c>
      <c r="K2071" t="str">
        <f>""</f>
        <v/>
      </c>
      <c r="M2071" t="s">
        <v>68</v>
      </c>
      <c r="N2071" t="str">
        <f t="shared" si="205"/>
        <v>FOR</v>
      </c>
      <c r="O2071" t="s">
        <v>69</v>
      </c>
      <c r="P2071" s="3" t="s">
        <v>75</v>
      </c>
      <c r="Q2071">
        <v>2015</v>
      </c>
      <c r="R2071" s="2">
        <v>42296</v>
      </c>
      <c r="S2071" s="2">
        <v>42305</v>
      </c>
      <c r="T2071" s="2">
        <v>42303</v>
      </c>
      <c r="U2071" s="2">
        <v>42363</v>
      </c>
      <c r="V2071" t="s">
        <v>71</v>
      </c>
      <c r="W2071" t="str">
        <f>"          5840112172"</f>
        <v xml:space="preserve">          5840112172</v>
      </c>
      <c r="X2071">
        <v>119.6</v>
      </c>
      <c r="Y2071">
        <v>0</v>
      </c>
      <c r="Z2071" s="3">
        <v>115</v>
      </c>
      <c r="AA2071">
        <v>285</v>
      </c>
      <c r="AB2071" s="5">
        <v>32775</v>
      </c>
      <c r="AC2071">
        <v>115</v>
      </c>
      <c r="AD2071">
        <v>285</v>
      </c>
      <c r="AE2071" s="1">
        <v>32775</v>
      </c>
      <c r="AF2071">
        <v>0</v>
      </c>
      <c r="AJ2071">
        <v>0</v>
      </c>
      <c r="AK2071">
        <v>0</v>
      </c>
      <c r="AL2071">
        <v>0</v>
      </c>
      <c r="AM2071">
        <v>0</v>
      </c>
      <c r="AN2071">
        <v>0</v>
      </c>
      <c r="AO2071">
        <v>0</v>
      </c>
      <c r="AP2071" s="2">
        <v>42746</v>
      </c>
      <c r="AQ2071" t="s">
        <v>72</v>
      </c>
      <c r="AR2071" t="s">
        <v>72</v>
      </c>
      <c r="AS2071">
        <v>2700</v>
      </c>
      <c r="AT2071" s="4">
        <v>42648</v>
      </c>
      <c r="AU2071" t="s">
        <v>73</v>
      </c>
      <c r="AV2071">
        <v>2700</v>
      </c>
      <c r="AW2071" s="4">
        <v>42648</v>
      </c>
      <c r="BD2071">
        <v>0</v>
      </c>
      <c r="BN2071" t="s">
        <v>74</v>
      </c>
    </row>
    <row r="2072" spans="1:66">
      <c r="A2072">
        <v>100695</v>
      </c>
      <c r="B2072" s="3" t="s">
        <v>227</v>
      </c>
      <c r="C2072" s="1">
        <v>43300101</v>
      </c>
      <c r="D2072" t="s">
        <v>67</v>
      </c>
      <c r="H2072" t="str">
        <f t="shared" si="208"/>
        <v>00721920155</v>
      </c>
      <c r="I2072" t="str">
        <f t="shared" si="208"/>
        <v>00721920155</v>
      </c>
      <c r="K2072" t="str">
        <f>""</f>
        <v/>
      </c>
      <c r="M2072" t="s">
        <v>68</v>
      </c>
      <c r="N2072" t="str">
        <f t="shared" si="205"/>
        <v>FOR</v>
      </c>
      <c r="O2072" t="s">
        <v>69</v>
      </c>
      <c r="P2072" s="3" t="s">
        <v>75</v>
      </c>
      <c r="Q2072">
        <v>2015</v>
      </c>
      <c r="R2072" s="2">
        <v>42296</v>
      </c>
      <c r="S2072" s="2">
        <v>42305</v>
      </c>
      <c r="T2072" s="2">
        <v>42303</v>
      </c>
      <c r="U2072" s="2">
        <v>42363</v>
      </c>
      <c r="V2072" t="s">
        <v>71</v>
      </c>
      <c r="W2072" t="str">
        <f>"          5840112178"</f>
        <v xml:space="preserve">          5840112178</v>
      </c>
      <c r="X2072">
        <v>119.6</v>
      </c>
      <c r="Y2072">
        <v>0</v>
      </c>
      <c r="Z2072" s="3">
        <v>115</v>
      </c>
      <c r="AA2072">
        <v>285</v>
      </c>
      <c r="AB2072" s="5">
        <v>32775</v>
      </c>
      <c r="AC2072">
        <v>115</v>
      </c>
      <c r="AD2072">
        <v>285</v>
      </c>
      <c r="AE2072" s="1">
        <v>32775</v>
      </c>
      <c r="AF2072">
        <v>0</v>
      </c>
      <c r="AJ2072">
        <v>0</v>
      </c>
      <c r="AK2072">
        <v>0</v>
      </c>
      <c r="AL2072">
        <v>0</v>
      </c>
      <c r="AM2072">
        <v>0</v>
      </c>
      <c r="AN2072">
        <v>0</v>
      </c>
      <c r="AO2072">
        <v>0</v>
      </c>
      <c r="AP2072" s="2">
        <v>42746</v>
      </c>
      <c r="AQ2072" t="s">
        <v>72</v>
      </c>
      <c r="AR2072" t="s">
        <v>72</v>
      </c>
      <c r="AS2072">
        <v>2700</v>
      </c>
      <c r="AT2072" s="4">
        <v>42648</v>
      </c>
      <c r="AU2072" t="s">
        <v>73</v>
      </c>
      <c r="AV2072">
        <v>2700</v>
      </c>
      <c r="AW2072" s="4">
        <v>42648</v>
      </c>
      <c r="BD2072">
        <v>0</v>
      </c>
      <c r="BN2072" t="s">
        <v>74</v>
      </c>
    </row>
    <row r="2073" spans="1:66">
      <c r="A2073">
        <v>100695</v>
      </c>
      <c r="B2073" s="3" t="s">
        <v>227</v>
      </c>
      <c r="C2073" s="1">
        <v>43300101</v>
      </c>
      <c r="D2073" t="s">
        <v>67</v>
      </c>
      <c r="H2073" t="str">
        <f t="shared" si="208"/>
        <v>00721920155</v>
      </c>
      <c r="I2073" t="str">
        <f t="shared" si="208"/>
        <v>00721920155</v>
      </c>
      <c r="K2073" t="str">
        <f>""</f>
        <v/>
      </c>
      <c r="M2073" t="s">
        <v>68</v>
      </c>
      <c r="N2073" t="str">
        <f t="shared" si="205"/>
        <v>FOR</v>
      </c>
      <c r="O2073" t="s">
        <v>69</v>
      </c>
      <c r="P2073" s="3" t="s">
        <v>75</v>
      </c>
      <c r="Q2073">
        <v>2015</v>
      </c>
      <c r="R2073" s="2">
        <v>42305</v>
      </c>
      <c r="S2073" s="2">
        <v>42312</v>
      </c>
      <c r="T2073" s="2">
        <v>42312</v>
      </c>
      <c r="U2073" s="2">
        <v>42372</v>
      </c>
      <c r="V2073" t="s">
        <v>71</v>
      </c>
      <c r="W2073" t="str">
        <f>"          5840112730"</f>
        <v xml:space="preserve">          5840112730</v>
      </c>
      <c r="X2073">
        <v>119.6</v>
      </c>
      <c r="Y2073">
        <v>0</v>
      </c>
      <c r="Z2073" s="3">
        <v>115</v>
      </c>
      <c r="AA2073">
        <v>276</v>
      </c>
      <c r="AB2073" s="5">
        <v>31740</v>
      </c>
      <c r="AC2073">
        <v>115</v>
      </c>
      <c r="AD2073">
        <v>276</v>
      </c>
      <c r="AE2073" s="1">
        <v>31740</v>
      </c>
      <c r="AF2073">
        <v>0</v>
      </c>
      <c r="AJ2073">
        <v>0</v>
      </c>
      <c r="AK2073">
        <v>0</v>
      </c>
      <c r="AL2073">
        <v>0</v>
      </c>
      <c r="AM2073">
        <v>0</v>
      </c>
      <c r="AN2073">
        <v>0</v>
      </c>
      <c r="AO2073">
        <v>0</v>
      </c>
      <c r="AP2073" s="2">
        <v>42746</v>
      </c>
      <c r="AQ2073" t="s">
        <v>72</v>
      </c>
      <c r="AR2073" t="s">
        <v>72</v>
      </c>
      <c r="AS2073">
        <v>2700</v>
      </c>
      <c r="AT2073" s="4">
        <v>42648</v>
      </c>
      <c r="AU2073" t="s">
        <v>73</v>
      </c>
      <c r="AV2073">
        <v>2700</v>
      </c>
      <c r="AW2073" s="4">
        <v>42648</v>
      </c>
      <c r="BD2073">
        <v>0</v>
      </c>
      <c r="BN2073" t="s">
        <v>74</v>
      </c>
    </row>
    <row r="2074" spans="1:66">
      <c r="A2074">
        <v>100695</v>
      </c>
      <c r="B2074" s="3" t="s">
        <v>227</v>
      </c>
      <c r="C2074" s="1">
        <v>43300101</v>
      </c>
      <c r="D2074" t="s">
        <v>67</v>
      </c>
      <c r="H2074" t="str">
        <f t="shared" si="208"/>
        <v>00721920155</v>
      </c>
      <c r="I2074" t="str">
        <f t="shared" si="208"/>
        <v>00721920155</v>
      </c>
      <c r="K2074" t="str">
        <f>""</f>
        <v/>
      </c>
      <c r="M2074" t="s">
        <v>68</v>
      </c>
      <c r="N2074" t="str">
        <f t="shared" si="205"/>
        <v>FOR</v>
      </c>
      <c r="O2074" t="s">
        <v>69</v>
      </c>
      <c r="P2074" s="3" t="s">
        <v>75</v>
      </c>
      <c r="Q2074">
        <v>2015</v>
      </c>
      <c r="R2074" s="2">
        <v>42305</v>
      </c>
      <c r="S2074" s="2">
        <v>42312</v>
      </c>
      <c r="T2074" s="2">
        <v>42312</v>
      </c>
      <c r="U2074" s="2">
        <v>42372</v>
      </c>
      <c r="V2074" t="s">
        <v>71</v>
      </c>
      <c r="W2074" t="str">
        <f>"          5840112732"</f>
        <v xml:space="preserve">          5840112732</v>
      </c>
      <c r="X2074">
        <v>119.6</v>
      </c>
      <c r="Y2074">
        <v>0</v>
      </c>
      <c r="Z2074" s="3">
        <v>115</v>
      </c>
      <c r="AA2074">
        <v>276</v>
      </c>
      <c r="AB2074" s="5">
        <v>31740</v>
      </c>
      <c r="AC2074">
        <v>115</v>
      </c>
      <c r="AD2074">
        <v>276</v>
      </c>
      <c r="AE2074" s="1">
        <v>31740</v>
      </c>
      <c r="AF2074">
        <v>0</v>
      </c>
      <c r="AJ2074">
        <v>0</v>
      </c>
      <c r="AK2074">
        <v>0</v>
      </c>
      <c r="AL2074">
        <v>0</v>
      </c>
      <c r="AM2074">
        <v>0</v>
      </c>
      <c r="AN2074">
        <v>0</v>
      </c>
      <c r="AO2074">
        <v>0</v>
      </c>
      <c r="AP2074" s="2">
        <v>42746</v>
      </c>
      <c r="AQ2074" t="s">
        <v>72</v>
      </c>
      <c r="AR2074" t="s">
        <v>72</v>
      </c>
      <c r="AS2074">
        <v>2700</v>
      </c>
      <c r="AT2074" s="4">
        <v>42648</v>
      </c>
      <c r="AU2074" t="s">
        <v>73</v>
      </c>
      <c r="AV2074">
        <v>2700</v>
      </c>
      <c r="AW2074" s="4">
        <v>42648</v>
      </c>
      <c r="BD2074">
        <v>0</v>
      </c>
      <c r="BN2074" t="s">
        <v>74</v>
      </c>
    </row>
    <row r="2075" spans="1:66">
      <c r="A2075">
        <v>100695</v>
      </c>
      <c r="B2075" s="3" t="s">
        <v>227</v>
      </c>
      <c r="C2075" s="1">
        <v>43300101</v>
      </c>
      <c r="D2075" t="s">
        <v>67</v>
      </c>
      <c r="H2075" t="str">
        <f t="shared" si="208"/>
        <v>00721920155</v>
      </c>
      <c r="I2075" t="str">
        <f t="shared" si="208"/>
        <v>00721920155</v>
      </c>
      <c r="K2075" t="str">
        <f>""</f>
        <v/>
      </c>
      <c r="M2075" t="s">
        <v>68</v>
      </c>
      <c r="N2075" t="str">
        <f t="shared" si="205"/>
        <v>FOR</v>
      </c>
      <c r="O2075" t="s">
        <v>69</v>
      </c>
      <c r="P2075" s="3" t="s">
        <v>75</v>
      </c>
      <c r="Q2075">
        <v>2015</v>
      </c>
      <c r="R2075" s="2">
        <v>42305</v>
      </c>
      <c r="S2075" s="2">
        <v>42312</v>
      </c>
      <c r="T2075" s="2">
        <v>42312</v>
      </c>
      <c r="U2075" s="2">
        <v>42372</v>
      </c>
      <c r="V2075" t="s">
        <v>71</v>
      </c>
      <c r="W2075" t="str">
        <f>"          5840112733"</f>
        <v xml:space="preserve">          5840112733</v>
      </c>
      <c r="X2075">
        <v>119.6</v>
      </c>
      <c r="Y2075">
        <v>0</v>
      </c>
      <c r="Z2075" s="3">
        <v>115</v>
      </c>
      <c r="AA2075">
        <v>276</v>
      </c>
      <c r="AB2075" s="5">
        <v>31740</v>
      </c>
      <c r="AC2075">
        <v>115</v>
      </c>
      <c r="AD2075">
        <v>276</v>
      </c>
      <c r="AE2075" s="1">
        <v>31740</v>
      </c>
      <c r="AF2075">
        <v>0</v>
      </c>
      <c r="AJ2075">
        <v>0</v>
      </c>
      <c r="AK2075">
        <v>0</v>
      </c>
      <c r="AL2075">
        <v>0</v>
      </c>
      <c r="AM2075">
        <v>0</v>
      </c>
      <c r="AN2075">
        <v>0</v>
      </c>
      <c r="AO2075">
        <v>0</v>
      </c>
      <c r="AP2075" s="2">
        <v>42746</v>
      </c>
      <c r="AQ2075" t="s">
        <v>72</v>
      </c>
      <c r="AR2075" t="s">
        <v>72</v>
      </c>
      <c r="AS2075">
        <v>2700</v>
      </c>
      <c r="AT2075" s="4">
        <v>42648</v>
      </c>
      <c r="AU2075" t="s">
        <v>73</v>
      </c>
      <c r="AV2075">
        <v>2700</v>
      </c>
      <c r="AW2075" s="4">
        <v>42648</v>
      </c>
      <c r="BD2075">
        <v>0</v>
      </c>
      <c r="BN2075" t="s">
        <v>74</v>
      </c>
    </row>
    <row r="2076" spans="1:66">
      <c r="A2076">
        <v>100695</v>
      </c>
      <c r="B2076" s="3" t="s">
        <v>227</v>
      </c>
      <c r="C2076" s="1">
        <v>43300101</v>
      </c>
      <c r="D2076" t="s">
        <v>67</v>
      </c>
      <c r="H2076" t="str">
        <f t="shared" si="208"/>
        <v>00721920155</v>
      </c>
      <c r="I2076" t="str">
        <f t="shared" si="208"/>
        <v>00721920155</v>
      </c>
      <c r="K2076" t="str">
        <f>""</f>
        <v/>
      </c>
      <c r="M2076" t="s">
        <v>68</v>
      </c>
      <c r="N2076" t="str">
        <f t="shared" si="205"/>
        <v>FOR</v>
      </c>
      <c r="O2076" t="s">
        <v>69</v>
      </c>
      <c r="P2076" s="3" t="s">
        <v>75</v>
      </c>
      <c r="Q2076">
        <v>2015</v>
      </c>
      <c r="R2076" s="2">
        <v>42305</v>
      </c>
      <c r="S2076" s="2">
        <v>42312</v>
      </c>
      <c r="T2076" s="2">
        <v>42312</v>
      </c>
      <c r="U2076" s="2">
        <v>42372</v>
      </c>
      <c r="V2076" t="s">
        <v>71</v>
      </c>
      <c r="W2076" t="str">
        <f>"          5840112738"</f>
        <v xml:space="preserve">          5840112738</v>
      </c>
      <c r="X2076">
        <v>119.6</v>
      </c>
      <c r="Y2076">
        <v>0</v>
      </c>
      <c r="Z2076" s="3">
        <v>115</v>
      </c>
      <c r="AA2076">
        <v>276</v>
      </c>
      <c r="AB2076" s="5">
        <v>31740</v>
      </c>
      <c r="AC2076">
        <v>115</v>
      </c>
      <c r="AD2076">
        <v>276</v>
      </c>
      <c r="AE2076" s="1">
        <v>31740</v>
      </c>
      <c r="AF2076">
        <v>0</v>
      </c>
      <c r="AJ2076">
        <v>0</v>
      </c>
      <c r="AK2076">
        <v>0</v>
      </c>
      <c r="AL2076">
        <v>0</v>
      </c>
      <c r="AM2076">
        <v>0</v>
      </c>
      <c r="AN2076">
        <v>0</v>
      </c>
      <c r="AO2076">
        <v>0</v>
      </c>
      <c r="AP2076" s="2">
        <v>42746</v>
      </c>
      <c r="AQ2076" t="s">
        <v>72</v>
      </c>
      <c r="AR2076" t="s">
        <v>72</v>
      </c>
      <c r="AS2076">
        <v>2700</v>
      </c>
      <c r="AT2076" s="4">
        <v>42648</v>
      </c>
      <c r="AU2076" t="s">
        <v>73</v>
      </c>
      <c r="AV2076">
        <v>2700</v>
      </c>
      <c r="AW2076" s="4">
        <v>42648</v>
      </c>
      <c r="BD2076">
        <v>0</v>
      </c>
      <c r="BN2076" t="s">
        <v>74</v>
      </c>
    </row>
    <row r="2077" spans="1:66">
      <c r="A2077">
        <v>100695</v>
      </c>
      <c r="B2077" s="3" t="s">
        <v>227</v>
      </c>
      <c r="C2077" s="1">
        <v>43300101</v>
      </c>
      <c r="D2077" t="s">
        <v>67</v>
      </c>
      <c r="H2077" t="str">
        <f t="shared" si="208"/>
        <v>00721920155</v>
      </c>
      <c r="I2077" t="str">
        <f t="shared" si="208"/>
        <v>00721920155</v>
      </c>
      <c r="K2077" t="str">
        <f>""</f>
        <v/>
      </c>
      <c r="M2077" t="s">
        <v>68</v>
      </c>
      <c r="N2077" t="str">
        <f t="shared" si="205"/>
        <v>FOR</v>
      </c>
      <c r="O2077" t="s">
        <v>69</v>
      </c>
      <c r="P2077" s="3" t="s">
        <v>75</v>
      </c>
      <c r="Q2077">
        <v>2015</v>
      </c>
      <c r="R2077" s="2">
        <v>42311</v>
      </c>
      <c r="S2077" s="2">
        <v>42322</v>
      </c>
      <c r="T2077" s="2">
        <v>42322</v>
      </c>
      <c r="U2077" s="2">
        <v>42382</v>
      </c>
      <c r="V2077" t="s">
        <v>71</v>
      </c>
      <c r="W2077" t="str">
        <f>"          5840113040"</f>
        <v xml:space="preserve">          5840113040</v>
      </c>
      <c r="X2077">
        <v>119.6</v>
      </c>
      <c r="Y2077">
        <v>0</v>
      </c>
      <c r="Z2077" s="3">
        <v>115</v>
      </c>
      <c r="AA2077">
        <v>266</v>
      </c>
      <c r="AB2077" s="5">
        <v>30590</v>
      </c>
      <c r="AC2077">
        <v>115</v>
      </c>
      <c r="AD2077">
        <v>266</v>
      </c>
      <c r="AE2077" s="1">
        <v>30590</v>
      </c>
      <c r="AF2077">
        <v>0</v>
      </c>
      <c r="AJ2077">
        <v>0</v>
      </c>
      <c r="AK2077">
        <v>0</v>
      </c>
      <c r="AL2077">
        <v>0</v>
      </c>
      <c r="AM2077">
        <v>0</v>
      </c>
      <c r="AN2077">
        <v>0</v>
      </c>
      <c r="AO2077">
        <v>0</v>
      </c>
      <c r="AP2077" s="2">
        <v>42746</v>
      </c>
      <c r="AQ2077" t="s">
        <v>72</v>
      </c>
      <c r="AR2077" t="s">
        <v>72</v>
      </c>
      <c r="AS2077">
        <v>2700</v>
      </c>
      <c r="AT2077" s="4">
        <v>42648</v>
      </c>
      <c r="AU2077" t="s">
        <v>73</v>
      </c>
      <c r="AV2077">
        <v>2700</v>
      </c>
      <c r="AW2077" s="4">
        <v>42648</v>
      </c>
      <c r="BD2077">
        <v>0</v>
      </c>
      <c r="BN2077" t="s">
        <v>74</v>
      </c>
    </row>
    <row r="2078" spans="1:66">
      <c r="A2078">
        <v>100695</v>
      </c>
      <c r="B2078" s="3" t="s">
        <v>227</v>
      </c>
      <c r="C2078" s="1">
        <v>43300101</v>
      </c>
      <c r="D2078" t="s">
        <v>67</v>
      </c>
      <c r="H2078" t="str">
        <f t="shared" si="208"/>
        <v>00721920155</v>
      </c>
      <c r="I2078" t="str">
        <f t="shared" si="208"/>
        <v>00721920155</v>
      </c>
      <c r="K2078" t="str">
        <f>""</f>
        <v/>
      </c>
      <c r="M2078" t="s">
        <v>68</v>
      </c>
      <c r="N2078" t="str">
        <f t="shared" si="205"/>
        <v>FOR</v>
      </c>
      <c r="O2078" t="s">
        <v>69</v>
      </c>
      <c r="P2078" s="3" t="s">
        <v>75</v>
      </c>
      <c r="Q2078">
        <v>2015</v>
      </c>
      <c r="R2078" s="2">
        <v>42311</v>
      </c>
      <c r="S2078" s="2">
        <v>42322</v>
      </c>
      <c r="T2078" s="2">
        <v>42322</v>
      </c>
      <c r="U2078" s="2">
        <v>42382</v>
      </c>
      <c r="V2078" t="s">
        <v>71</v>
      </c>
      <c r="W2078" t="str">
        <f>"          5840113041"</f>
        <v xml:space="preserve">          5840113041</v>
      </c>
      <c r="X2078">
        <v>119.6</v>
      </c>
      <c r="Y2078">
        <v>0</v>
      </c>
      <c r="Z2078" s="3">
        <v>115</v>
      </c>
      <c r="AA2078">
        <v>266</v>
      </c>
      <c r="AB2078" s="5">
        <v>30590</v>
      </c>
      <c r="AC2078">
        <v>115</v>
      </c>
      <c r="AD2078">
        <v>266</v>
      </c>
      <c r="AE2078" s="1">
        <v>30590</v>
      </c>
      <c r="AF2078">
        <v>0</v>
      </c>
      <c r="AJ2078">
        <v>0</v>
      </c>
      <c r="AK2078">
        <v>0</v>
      </c>
      <c r="AL2078">
        <v>0</v>
      </c>
      <c r="AM2078">
        <v>0</v>
      </c>
      <c r="AN2078">
        <v>0</v>
      </c>
      <c r="AO2078">
        <v>0</v>
      </c>
      <c r="AP2078" s="2">
        <v>42746</v>
      </c>
      <c r="AQ2078" t="s">
        <v>72</v>
      </c>
      <c r="AR2078" t="s">
        <v>72</v>
      </c>
      <c r="AS2078">
        <v>2700</v>
      </c>
      <c r="AT2078" s="4">
        <v>42648</v>
      </c>
      <c r="AU2078" t="s">
        <v>73</v>
      </c>
      <c r="AV2078">
        <v>2700</v>
      </c>
      <c r="AW2078" s="4">
        <v>42648</v>
      </c>
      <c r="BD2078">
        <v>0</v>
      </c>
      <c r="BN2078" t="s">
        <v>74</v>
      </c>
    </row>
    <row r="2079" spans="1:66">
      <c r="A2079">
        <v>100695</v>
      </c>
      <c r="B2079" s="3" t="s">
        <v>227</v>
      </c>
      <c r="C2079" s="1">
        <v>43300101</v>
      </c>
      <c r="D2079" t="s">
        <v>67</v>
      </c>
      <c r="H2079" t="str">
        <f t="shared" si="208"/>
        <v>00721920155</v>
      </c>
      <c r="I2079" t="str">
        <f t="shared" si="208"/>
        <v>00721920155</v>
      </c>
      <c r="K2079" t="str">
        <f>""</f>
        <v/>
      </c>
      <c r="M2079" t="s">
        <v>68</v>
      </c>
      <c r="N2079" t="str">
        <f t="shared" si="205"/>
        <v>FOR</v>
      </c>
      <c r="O2079" t="s">
        <v>69</v>
      </c>
      <c r="P2079" s="3" t="s">
        <v>75</v>
      </c>
      <c r="Q2079">
        <v>2015</v>
      </c>
      <c r="R2079" s="2">
        <v>42311</v>
      </c>
      <c r="S2079" s="2">
        <v>42322</v>
      </c>
      <c r="T2079" s="2">
        <v>42322</v>
      </c>
      <c r="U2079" s="2">
        <v>42382</v>
      </c>
      <c r="V2079" t="s">
        <v>71</v>
      </c>
      <c r="W2079" t="str">
        <f>"          5840113042"</f>
        <v xml:space="preserve">          5840113042</v>
      </c>
      <c r="X2079">
        <v>119.6</v>
      </c>
      <c r="Y2079">
        <v>0</v>
      </c>
      <c r="Z2079" s="3">
        <v>115</v>
      </c>
      <c r="AA2079">
        <v>266</v>
      </c>
      <c r="AB2079" s="5">
        <v>30590</v>
      </c>
      <c r="AC2079">
        <v>115</v>
      </c>
      <c r="AD2079">
        <v>266</v>
      </c>
      <c r="AE2079" s="1">
        <v>30590</v>
      </c>
      <c r="AF2079">
        <v>0</v>
      </c>
      <c r="AJ2079">
        <v>0</v>
      </c>
      <c r="AK2079">
        <v>0</v>
      </c>
      <c r="AL2079">
        <v>0</v>
      </c>
      <c r="AM2079">
        <v>0</v>
      </c>
      <c r="AN2079">
        <v>0</v>
      </c>
      <c r="AO2079">
        <v>0</v>
      </c>
      <c r="AP2079" s="2">
        <v>42746</v>
      </c>
      <c r="AQ2079" t="s">
        <v>72</v>
      </c>
      <c r="AR2079" t="s">
        <v>72</v>
      </c>
      <c r="AS2079">
        <v>2700</v>
      </c>
      <c r="AT2079" s="4">
        <v>42648</v>
      </c>
      <c r="AU2079" t="s">
        <v>73</v>
      </c>
      <c r="AV2079">
        <v>2700</v>
      </c>
      <c r="AW2079" s="4">
        <v>42648</v>
      </c>
      <c r="BD2079">
        <v>0</v>
      </c>
      <c r="BN2079" t="s">
        <v>74</v>
      </c>
    </row>
    <row r="2080" spans="1:66">
      <c r="A2080">
        <v>100695</v>
      </c>
      <c r="B2080" s="3" t="s">
        <v>227</v>
      </c>
      <c r="C2080" s="1">
        <v>43300101</v>
      </c>
      <c r="D2080" t="s">
        <v>67</v>
      </c>
      <c r="H2080" t="str">
        <f t="shared" si="208"/>
        <v>00721920155</v>
      </c>
      <c r="I2080" t="str">
        <f t="shared" si="208"/>
        <v>00721920155</v>
      </c>
      <c r="K2080" t="str">
        <f>""</f>
        <v/>
      </c>
      <c r="M2080" t="s">
        <v>68</v>
      </c>
      <c r="N2080" t="str">
        <f t="shared" si="205"/>
        <v>FOR</v>
      </c>
      <c r="O2080" t="s">
        <v>69</v>
      </c>
      <c r="P2080" s="3" t="s">
        <v>75</v>
      </c>
      <c r="Q2080">
        <v>2015</v>
      </c>
      <c r="R2080" s="2">
        <v>42311</v>
      </c>
      <c r="S2080" s="2">
        <v>42322</v>
      </c>
      <c r="T2080" s="2">
        <v>42322</v>
      </c>
      <c r="U2080" s="2">
        <v>42382</v>
      </c>
      <c r="V2080" t="s">
        <v>71</v>
      </c>
      <c r="W2080" t="str">
        <f>"          5840113043"</f>
        <v xml:space="preserve">          5840113043</v>
      </c>
      <c r="X2080">
        <v>119.6</v>
      </c>
      <c r="Y2080">
        <v>0</v>
      </c>
      <c r="Z2080" s="3">
        <v>115</v>
      </c>
      <c r="AA2080">
        <v>266</v>
      </c>
      <c r="AB2080" s="5">
        <v>30590</v>
      </c>
      <c r="AC2080">
        <v>115</v>
      </c>
      <c r="AD2080">
        <v>266</v>
      </c>
      <c r="AE2080" s="1">
        <v>30590</v>
      </c>
      <c r="AF2080">
        <v>0</v>
      </c>
      <c r="AJ2080">
        <v>0</v>
      </c>
      <c r="AK2080">
        <v>0</v>
      </c>
      <c r="AL2080">
        <v>0</v>
      </c>
      <c r="AM2080">
        <v>0</v>
      </c>
      <c r="AN2080">
        <v>0</v>
      </c>
      <c r="AO2080">
        <v>0</v>
      </c>
      <c r="AP2080" s="2">
        <v>42746</v>
      </c>
      <c r="AQ2080" t="s">
        <v>72</v>
      </c>
      <c r="AR2080" t="s">
        <v>72</v>
      </c>
      <c r="AS2080">
        <v>2700</v>
      </c>
      <c r="AT2080" s="4">
        <v>42648</v>
      </c>
      <c r="AU2080" t="s">
        <v>73</v>
      </c>
      <c r="AV2080">
        <v>2700</v>
      </c>
      <c r="AW2080" s="4">
        <v>42648</v>
      </c>
      <c r="BD2080">
        <v>0</v>
      </c>
      <c r="BN2080" t="s">
        <v>74</v>
      </c>
    </row>
    <row r="2081" spans="1:66">
      <c r="A2081">
        <v>100695</v>
      </c>
      <c r="B2081" s="3" t="s">
        <v>227</v>
      </c>
      <c r="C2081" s="1">
        <v>43300101</v>
      </c>
      <c r="D2081" t="s">
        <v>67</v>
      </c>
      <c r="H2081" t="str">
        <f t="shared" si="208"/>
        <v>00721920155</v>
      </c>
      <c r="I2081" t="str">
        <f t="shared" si="208"/>
        <v>00721920155</v>
      </c>
      <c r="K2081" t="str">
        <f>""</f>
        <v/>
      </c>
      <c r="M2081" t="s">
        <v>68</v>
      </c>
      <c r="N2081" t="str">
        <f t="shared" ref="N2081:N2144" si="209">"FOR"</f>
        <v>FOR</v>
      </c>
      <c r="O2081" t="s">
        <v>69</v>
      </c>
      <c r="P2081" s="3" t="s">
        <v>75</v>
      </c>
      <c r="Q2081">
        <v>2015</v>
      </c>
      <c r="R2081" s="2">
        <v>42311</v>
      </c>
      <c r="S2081" s="2">
        <v>42322</v>
      </c>
      <c r="T2081" s="2">
        <v>42322</v>
      </c>
      <c r="U2081" s="2">
        <v>42382</v>
      </c>
      <c r="V2081" t="s">
        <v>71</v>
      </c>
      <c r="W2081" t="str">
        <f>"          5840113045"</f>
        <v xml:space="preserve">          5840113045</v>
      </c>
      <c r="X2081">
        <v>119.6</v>
      </c>
      <c r="Y2081">
        <v>0</v>
      </c>
      <c r="Z2081" s="3">
        <v>115</v>
      </c>
      <c r="AA2081">
        <v>266</v>
      </c>
      <c r="AB2081" s="5">
        <v>30590</v>
      </c>
      <c r="AC2081">
        <v>115</v>
      </c>
      <c r="AD2081">
        <v>266</v>
      </c>
      <c r="AE2081" s="1">
        <v>30590</v>
      </c>
      <c r="AF2081">
        <v>0</v>
      </c>
      <c r="AJ2081">
        <v>0</v>
      </c>
      <c r="AK2081">
        <v>0</v>
      </c>
      <c r="AL2081">
        <v>0</v>
      </c>
      <c r="AM2081">
        <v>0</v>
      </c>
      <c r="AN2081">
        <v>0</v>
      </c>
      <c r="AO2081">
        <v>0</v>
      </c>
      <c r="AP2081" s="2">
        <v>42746</v>
      </c>
      <c r="AQ2081" t="s">
        <v>72</v>
      </c>
      <c r="AR2081" t="s">
        <v>72</v>
      </c>
      <c r="AS2081">
        <v>2700</v>
      </c>
      <c r="AT2081" s="4">
        <v>42648</v>
      </c>
      <c r="AU2081" t="s">
        <v>73</v>
      </c>
      <c r="AV2081">
        <v>2700</v>
      </c>
      <c r="AW2081" s="4">
        <v>42648</v>
      </c>
      <c r="BD2081">
        <v>0</v>
      </c>
      <c r="BN2081" t="s">
        <v>74</v>
      </c>
    </row>
    <row r="2082" spans="1:66">
      <c r="A2082">
        <v>100695</v>
      </c>
      <c r="B2082" s="3" t="s">
        <v>227</v>
      </c>
      <c r="C2082" s="1">
        <v>43300101</v>
      </c>
      <c r="D2082" t="s">
        <v>67</v>
      </c>
      <c r="H2082" t="str">
        <f t="shared" si="208"/>
        <v>00721920155</v>
      </c>
      <c r="I2082" t="str">
        <f t="shared" si="208"/>
        <v>00721920155</v>
      </c>
      <c r="K2082" t="str">
        <f>""</f>
        <v/>
      </c>
      <c r="M2082" t="s">
        <v>68</v>
      </c>
      <c r="N2082" t="str">
        <f t="shared" si="209"/>
        <v>FOR</v>
      </c>
      <c r="O2082" t="s">
        <v>69</v>
      </c>
      <c r="P2082" s="3" t="s">
        <v>75</v>
      </c>
      <c r="Q2082">
        <v>2015</v>
      </c>
      <c r="R2082" s="2">
        <v>42311</v>
      </c>
      <c r="S2082" s="2">
        <v>42322</v>
      </c>
      <c r="T2082" s="2">
        <v>42322</v>
      </c>
      <c r="U2082" s="2">
        <v>42382</v>
      </c>
      <c r="V2082" t="s">
        <v>71</v>
      </c>
      <c r="W2082" t="str">
        <f>"          5840113046"</f>
        <v xml:space="preserve">          5840113046</v>
      </c>
      <c r="X2082">
        <v>119.6</v>
      </c>
      <c r="Y2082">
        <v>0</v>
      </c>
      <c r="Z2082" s="3">
        <v>115</v>
      </c>
      <c r="AA2082">
        <v>266</v>
      </c>
      <c r="AB2082" s="5">
        <v>30590</v>
      </c>
      <c r="AC2082">
        <v>115</v>
      </c>
      <c r="AD2082">
        <v>266</v>
      </c>
      <c r="AE2082" s="1">
        <v>30590</v>
      </c>
      <c r="AF2082">
        <v>0</v>
      </c>
      <c r="AJ2082">
        <v>0</v>
      </c>
      <c r="AK2082">
        <v>0</v>
      </c>
      <c r="AL2082">
        <v>0</v>
      </c>
      <c r="AM2082">
        <v>0</v>
      </c>
      <c r="AN2082">
        <v>0</v>
      </c>
      <c r="AO2082">
        <v>0</v>
      </c>
      <c r="AP2082" s="2">
        <v>42746</v>
      </c>
      <c r="AQ2082" t="s">
        <v>72</v>
      </c>
      <c r="AR2082" t="s">
        <v>72</v>
      </c>
      <c r="AS2082">
        <v>2700</v>
      </c>
      <c r="AT2082" s="4">
        <v>42648</v>
      </c>
      <c r="AU2082" t="s">
        <v>73</v>
      </c>
      <c r="AV2082">
        <v>2700</v>
      </c>
      <c r="AW2082" s="4">
        <v>42648</v>
      </c>
      <c r="BD2082">
        <v>0</v>
      </c>
      <c r="BN2082" t="s">
        <v>74</v>
      </c>
    </row>
    <row r="2083" spans="1:66">
      <c r="A2083">
        <v>100695</v>
      </c>
      <c r="B2083" s="3" t="s">
        <v>227</v>
      </c>
      <c r="C2083" s="1">
        <v>43300101</v>
      </c>
      <c r="D2083" t="s">
        <v>67</v>
      </c>
      <c r="H2083" t="str">
        <f t="shared" si="208"/>
        <v>00721920155</v>
      </c>
      <c r="I2083" t="str">
        <f t="shared" si="208"/>
        <v>00721920155</v>
      </c>
      <c r="K2083" t="str">
        <f>""</f>
        <v/>
      </c>
      <c r="M2083" t="s">
        <v>68</v>
      </c>
      <c r="N2083" t="str">
        <f t="shared" si="209"/>
        <v>FOR</v>
      </c>
      <c r="O2083" t="s">
        <v>69</v>
      </c>
      <c r="P2083" s="3" t="s">
        <v>75</v>
      </c>
      <c r="Q2083">
        <v>2015</v>
      </c>
      <c r="R2083" s="2">
        <v>42311</v>
      </c>
      <c r="S2083" s="2">
        <v>42322</v>
      </c>
      <c r="T2083" s="2">
        <v>42322</v>
      </c>
      <c r="U2083" s="2">
        <v>42382</v>
      </c>
      <c r="V2083" t="s">
        <v>71</v>
      </c>
      <c r="W2083" t="str">
        <f>"          5840113049"</f>
        <v xml:space="preserve">          5840113049</v>
      </c>
      <c r="X2083">
        <v>119.6</v>
      </c>
      <c r="Y2083">
        <v>0</v>
      </c>
      <c r="Z2083" s="3">
        <v>115</v>
      </c>
      <c r="AA2083">
        <v>266</v>
      </c>
      <c r="AB2083" s="5">
        <v>30590</v>
      </c>
      <c r="AC2083">
        <v>115</v>
      </c>
      <c r="AD2083">
        <v>266</v>
      </c>
      <c r="AE2083" s="1">
        <v>30590</v>
      </c>
      <c r="AF2083">
        <v>0</v>
      </c>
      <c r="AJ2083">
        <v>0</v>
      </c>
      <c r="AK2083">
        <v>0</v>
      </c>
      <c r="AL2083">
        <v>0</v>
      </c>
      <c r="AM2083">
        <v>0</v>
      </c>
      <c r="AN2083">
        <v>0</v>
      </c>
      <c r="AO2083">
        <v>0</v>
      </c>
      <c r="AP2083" s="2">
        <v>42746</v>
      </c>
      <c r="AQ2083" t="s">
        <v>72</v>
      </c>
      <c r="AR2083" t="s">
        <v>72</v>
      </c>
      <c r="AS2083">
        <v>2700</v>
      </c>
      <c r="AT2083" s="4">
        <v>42648</v>
      </c>
      <c r="AU2083" t="s">
        <v>73</v>
      </c>
      <c r="AV2083">
        <v>2700</v>
      </c>
      <c r="AW2083" s="4">
        <v>42648</v>
      </c>
      <c r="BD2083">
        <v>0</v>
      </c>
      <c r="BN2083" t="s">
        <v>74</v>
      </c>
    </row>
    <row r="2084" spans="1:66">
      <c r="A2084">
        <v>100695</v>
      </c>
      <c r="B2084" s="3" t="s">
        <v>227</v>
      </c>
      <c r="C2084" s="1">
        <v>43300101</v>
      </c>
      <c r="D2084" t="s">
        <v>67</v>
      </c>
      <c r="H2084" t="str">
        <f t="shared" si="208"/>
        <v>00721920155</v>
      </c>
      <c r="I2084" t="str">
        <f t="shared" si="208"/>
        <v>00721920155</v>
      </c>
      <c r="K2084" t="str">
        <f>""</f>
        <v/>
      </c>
      <c r="M2084" t="s">
        <v>68</v>
      </c>
      <c r="N2084" t="str">
        <f t="shared" si="209"/>
        <v>FOR</v>
      </c>
      <c r="O2084" t="s">
        <v>69</v>
      </c>
      <c r="P2084" s="3" t="s">
        <v>75</v>
      </c>
      <c r="Q2084">
        <v>2015</v>
      </c>
      <c r="R2084" s="2">
        <v>42311</v>
      </c>
      <c r="S2084" s="2">
        <v>42322</v>
      </c>
      <c r="T2084" s="2">
        <v>42322</v>
      </c>
      <c r="U2084" s="2">
        <v>42382</v>
      </c>
      <c r="V2084" t="s">
        <v>71</v>
      </c>
      <c r="W2084" t="str">
        <f>"          5840113050"</f>
        <v xml:space="preserve">          5840113050</v>
      </c>
      <c r="X2084">
        <v>119.6</v>
      </c>
      <c r="Y2084">
        <v>0</v>
      </c>
      <c r="Z2084" s="3">
        <v>115</v>
      </c>
      <c r="AA2084">
        <v>266</v>
      </c>
      <c r="AB2084" s="5">
        <v>30590</v>
      </c>
      <c r="AC2084">
        <v>115</v>
      </c>
      <c r="AD2084">
        <v>266</v>
      </c>
      <c r="AE2084" s="1">
        <v>30590</v>
      </c>
      <c r="AF2084">
        <v>0</v>
      </c>
      <c r="AJ2084">
        <v>0</v>
      </c>
      <c r="AK2084">
        <v>0</v>
      </c>
      <c r="AL2084">
        <v>0</v>
      </c>
      <c r="AM2084">
        <v>0</v>
      </c>
      <c r="AN2084">
        <v>0</v>
      </c>
      <c r="AO2084">
        <v>0</v>
      </c>
      <c r="AP2084" s="2">
        <v>42746</v>
      </c>
      <c r="AQ2084" t="s">
        <v>72</v>
      </c>
      <c r="AR2084" t="s">
        <v>72</v>
      </c>
      <c r="AS2084">
        <v>2700</v>
      </c>
      <c r="AT2084" s="4">
        <v>42648</v>
      </c>
      <c r="AU2084" t="s">
        <v>73</v>
      </c>
      <c r="AV2084">
        <v>2700</v>
      </c>
      <c r="AW2084" s="4">
        <v>42648</v>
      </c>
      <c r="BD2084">
        <v>0</v>
      </c>
      <c r="BN2084" t="s">
        <v>74</v>
      </c>
    </row>
    <row r="2085" spans="1:66">
      <c r="A2085">
        <v>100695</v>
      </c>
      <c r="B2085" s="3" t="s">
        <v>227</v>
      </c>
      <c r="C2085" s="1">
        <v>43300101</v>
      </c>
      <c r="D2085" t="s">
        <v>67</v>
      </c>
      <c r="H2085" t="str">
        <f t="shared" si="208"/>
        <v>00721920155</v>
      </c>
      <c r="I2085" t="str">
        <f t="shared" si="208"/>
        <v>00721920155</v>
      </c>
      <c r="K2085" t="str">
        <f>""</f>
        <v/>
      </c>
      <c r="M2085" t="s">
        <v>68</v>
      </c>
      <c r="N2085" t="str">
        <f t="shared" si="209"/>
        <v>FOR</v>
      </c>
      <c r="O2085" t="s">
        <v>69</v>
      </c>
      <c r="P2085" s="3" t="s">
        <v>75</v>
      </c>
      <c r="Q2085">
        <v>2015</v>
      </c>
      <c r="R2085" s="2">
        <v>42311</v>
      </c>
      <c r="S2085" s="2">
        <v>42322</v>
      </c>
      <c r="T2085" s="2">
        <v>42322</v>
      </c>
      <c r="U2085" s="2">
        <v>42382</v>
      </c>
      <c r="V2085" t="s">
        <v>71</v>
      </c>
      <c r="W2085" t="str">
        <f>"          5840113051"</f>
        <v xml:space="preserve">          5840113051</v>
      </c>
      <c r="X2085">
        <v>119.6</v>
      </c>
      <c r="Y2085">
        <v>0</v>
      </c>
      <c r="Z2085" s="3">
        <v>115</v>
      </c>
      <c r="AA2085">
        <v>266</v>
      </c>
      <c r="AB2085" s="5">
        <v>30590</v>
      </c>
      <c r="AC2085">
        <v>115</v>
      </c>
      <c r="AD2085">
        <v>266</v>
      </c>
      <c r="AE2085" s="1">
        <v>30590</v>
      </c>
      <c r="AF2085">
        <v>0</v>
      </c>
      <c r="AJ2085">
        <v>0</v>
      </c>
      <c r="AK2085">
        <v>0</v>
      </c>
      <c r="AL2085">
        <v>0</v>
      </c>
      <c r="AM2085">
        <v>0</v>
      </c>
      <c r="AN2085">
        <v>0</v>
      </c>
      <c r="AO2085">
        <v>0</v>
      </c>
      <c r="AP2085" s="2">
        <v>42746</v>
      </c>
      <c r="AQ2085" t="s">
        <v>72</v>
      </c>
      <c r="AR2085" t="s">
        <v>72</v>
      </c>
      <c r="AS2085">
        <v>2700</v>
      </c>
      <c r="AT2085" s="4">
        <v>42648</v>
      </c>
      <c r="AU2085" t="s">
        <v>73</v>
      </c>
      <c r="AV2085">
        <v>2700</v>
      </c>
      <c r="AW2085" s="4">
        <v>42648</v>
      </c>
      <c r="BD2085">
        <v>0</v>
      </c>
      <c r="BN2085" t="s">
        <v>74</v>
      </c>
    </row>
    <row r="2086" spans="1:66">
      <c r="A2086">
        <v>100695</v>
      </c>
      <c r="B2086" s="3" t="s">
        <v>227</v>
      </c>
      <c r="C2086" s="1">
        <v>43300101</v>
      </c>
      <c r="D2086" t="s">
        <v>67</v>
      </c>
      <c r="H2086" t="str">
        <f t="shared" si="208"/>
        <v>00721920155</v>
      </c>
      <c r="I2086" t="str">
        <f t="shared" si="208"/>
        <v>00721920155</v>
      </c>
      <c r="K2086" t="str">
        <f>""</f>
        <v/>
      </c>
      <c r="M2086" t="s">
        <v>68</v>
      </c>
      <c r="N2086" t="str">
        <f t="shared" si="209"/>
        <v>FOR</v>
      </c>
      <c r="O2086" t="s">
        <v>69</v>
      </c>
      <c r="P2086" s="3" t="s">
        <v>75</v>
      </c>
      <c r="Q2086">
        <v>2015</v>
      </c>
      <c r="R2086" s="2">
        <v>42318</v>
      </c>
      <c r="S2086" s="2">
        <v>42325</v>
      </c>
      <c r="T2086" s="2">
        <v>42322</v>
      </c>
      <c r="U2086" s="2">
        <v>42382</v>
      </c>
      <c r="V2086" t="s">
        <v>71</v>
      </c>
      <c r="W2086" t="str">
        <f>"          5840113313"</f>
        <v xml:space="preserve">          5840113313</v>
      </c>
      <c r="X2086" s="1">
        <v>1383.48</v>
      </c>
      <c r="Y2086">
        <v>0</v>
      </c>
      <c r="Z2086" s="5">
        <v>1134</v>
      </c>
      <c r="AA2086">
        <v>266</v>
      </c>
      <c r="AB2086" s="5">
        <v>301644</v>
      </c>
      <c r="AC2086" s="1">
        <v>1134</v>
      </c>
      <c r="AD2086">
        <v>266</v>
      </c>
      <c r="AE2086" s="1">
        <v>301644</v>
      </c>
      <c r="AF2086">
        <v>0</v>
      </c>
      <c r="AJ2086">
        <v>0</v>
      </c>
      <c r="AK2086">
        <v>0</v>
      </c>
      <c r="AL2086">
        <v>0</v>
      </c>
      <c r="AM2086">
        <v>0</v>
      </c>
      <c r="AN2086">
        <v>0</v>
      </c>
      <c r="AO2086">
        <v>0</v>
      </c>
      <c r="AP2086" s="2">
        <v>42746</v>
      </c>
      <c r="AQ2086" t="s">
        <v>72</v>
      </c>
      <c r="AR2086" t="s">
        <v>72</v>
      </c>
      <c r="AS2086">
        <v>2700</v>
      </c>
      <c r="AT2086" s="4">
        <v>42648</v>
      </c>
      <c r="AU2086" t="s">
        <v>73</v>
      </c>
      <c r="AV2086">
        <v>2700</v>
      </c>
      <c r="AW2086" s="4">
        <v>42648</v>
      </c>
      <c r="BD2086">
        <v>0</v>
      </c>
      <c r="BN2086" t="s">
        <v>74</v>
      </c>
    </row>
    <row r="2087" spans="1:66">
      <c r="A2087">
        <v>100695</v>
      </c>
      <c r="B2087" s="3" t="s">
        <v>227</v>
      </c>
      <c r="C2087" s="1">
        <v>43300101</v>
      </c>
      <c r="D2087" t="s">
        <v>67</v>
      </c>
      <c r="H2087" t="str">
        <f t="shared" si="208"/>
        <v>00721920155</v>
      </c>
      <c r="I2087" t="str">
        <f t="shared" si="208"/>
        <v>00721920155</v>
      </c>
      <c r="K2087" t="str">
        <f>""</f>
        <v/>
      </c>
      <c r="M2087" t="s">
        <v>68</v>
      </c>
      <c r="N2087" t="str">
        <f t="shared" si="209"/>
        <v>FOR</v>
      </c>
      <c r="O2087" t="s">
        <v>69</v>
      </c>
      <c r="P2087" s="3" t="s">
        <v>75</v>
      </c>
      <c r="Q2087">
        <v>2015</v>
      </c>
      <c r="R2087" s="2">
        <v>42318</v>
      </c>
      <c r="S2087" s="2">
        <v>42322</v>
      </c>
      <c r="T2087" s="2">
        <v>42322</v>
      </c>
      <c r="U2087" s="2">
        <v>42382</v>
      </c>
      <c r="V2087" t="s">
        <v>71</v>
      </c>
      <c r="W2087" t="str">
        <f>"          5840113316"</f>
        <v xml:space="preserve">          5840113316</v>
      </c>
      <c r="X2087">
        <v>119.6</v>
      </c>
      <c r="Y2087">
        <v>0</v>
      </c>
      <c r="Z2087" s="3">
        <v>115</v>
      </c>
      <c r="AA2087">
        <v>266</v>
      </c>
      <c r="AB2087" s="5">
        <v>30590</v>
      </c>
      <c r="AC2087">
        <v>115</v>
      </c>
      <c r="AD2087">
        <v>266</v>
      </c>
      <c r="AE2087" s="1">
        <v>30590</v>
      </c>
      <c r="AF2087">
        <v>0</v>
      </c>
      <c r="AJ2087">
        <v>0</v>
      </c>
      <c r="AK2087">
        <v>0</v>
      </c>
      <c r="AL2087">
        <v>0</v>
      </c>
      <c r="AM2087">
        <v>0</v>
      </c>
      <c r="AN2087">
        <v>0</v>
      </c>
      <c r="AO2087">
        <v>0</v>
      </c>
      <c r="AP2087" s="2">
        <v>42746</v>
      </c>
      <c r="AQ2087" t="s">
        <v>72</v>
      </c>
      <c r="AR2087" t="s">
        <v>72</v>
      </c>
      <c r="AS2087">
        <v>2700</v>
      </c>
      <c r="AT2087" s="4">
        <v>42648</v>
      </c>
      <c r="AU2087" t="s">
        <v>73</v>
      </c>
      <c r="AV2087">
        <v>2700</v>
      </c>
      <c r="AW2087" s="4">
        <v>42648</v>
      </c>
      <c r="BD2087">
        <v>0</v>
      </c>
      <c r="BN2087" t="s">
        <v>74</v>
      </c>
    </row>
    <row r="2088" spans="1:66">
      <c r="A2088">
        <v>100695</v>
      </c>
      <c r="B2088" s="3" t="s">
        <v>227</v>
      </c>
      <c r="C2088" s="1">
        <v>43300101</v>
      </c>
      <c r="D2088" t="s">
        <v>67</v>
      </c>
      <c r="H2088" t="str">
        <f t="shared" si="208"/>
        <v>00721920155</v>
      </c>
      <c r="I2088" t="str">
        <f t="shared" si="208"/>
        <v>00721920155</v>
      </c>
      <c r="K2088" t="str">
        <f>""</f>
        <v/>
      </c>
      <c r="M2088" t="s">
        <v>68</v>
      </c>
      <c r="N2088" t="str">
        <f t="shared" si="209"/>
        <v>FOR</v>
      </c>
      <c r="O2088" t="s">
        <v>69</v>
      </c>
      <c r="P2088" s="3" t="s">
        <v>75</v>
      </c>
      <c r="Q2088">
        <v>2015</v>
      </c>
      <c r="R2088" s="2">
        <v>42318</v>
      </c>
      <c r="S2088" s="2">
        <v>42322</v>
      </c>
      <c r="T2088" s="2">
        <v>42322</v>
      </c>
      <c r="U2088" s="2">
        <v>42382</v>
      </c>
      <c r="V2088" t="s">
        <v>71</v>
      </c>
      <c r="W2088" t="str">
        <f>"          5840113319"</f>
        <v xml:space="preserve">          5840113319</v>
      </c>
      <c r="X2088">
        <v>119.6</v>
      </c>
      <c r="Y2088">
        <v>0</v>
      </c>
      <c r="Z2088" s="3">
        <v>115</v>
      </c>
      <c r="AA2088">
        <v>266</v>
      </c>
      <c r="AB2088" s="5">
        <v>30590</v>
      </c>
      <c r="AC2088">
        <v>115</v>
      </c>
      <c r="AD2088">
        <v>266</v>
      </c>
      <c r="AE2088" s="1">
        <v>30590</v>
      </c>
      <c r="AF2088">
        <v>0</v>
      </c>
      <c r="AJ2088">
        <v>0</v>
      </c>
      <c r="AK2088">
        <v>0</v>
      </c>
      <c r="AL2088">
        <v>0</v>
      </c>
      <c r="AM2088">
        <v>0</v>
      </c>
      <c r="AN2088">
        <v>0</v>
      </c>
      <c r="AO2088">
        <v>0</v>
      </c>
      <c r="AP2088" s="2">
        <v>42746</v>
      </c>
      <c r="AQ2088" t="s">
        <v>72</v>
      </c>
      <c r="AR2088" t="s">
        <v>72</v>
      </c>
      <c r="AS2088">
        <v>2700</v>
      </c>
      <c r="AT2088" s="4">
        <v>42648</v>
      </c>
      <c r="AU2088" t="s">
        <v>73</v>
      </c>
      <c r="AV2088">
        <v>2700</v>
      </c>
      <c r="AW2088" s="4">
        <v>42648</v>
      </c>
      <c r="BD2088">
        <v>0</v>
      </c>
      <c r="BN2088" t="s">
        <v>74</v>
      </c>
    </row>
    <row r="2089" spans="1:66">
      <c r="A2089">
        <v>100695</v>
      </c>
      <c r="B2089" s="3" t="s">
        <v>227</v>
      </c>
      <c r="C2089" s="1">
        <v>43300101</v>
      </c>
      <c r="D2089" t="s">
        <v>67</v>
      </c>
      <c r="H2089" t="str">
        <f t="shared" ref="H2089:I2108" si="210">"00721920155"</f>
        <v>00721920155</v>
      </c>
      <c r="I2089" t="str">
        <f t="shared" si="210"/>
        <v>00721920155</v>
      </c>
      <c r="K2089" t="str">
        <f>""</f>
        <v/>
      </c>
      <c r="M2089" t="s">
        <v>68</v>
      </c>
      <c r="N2089" t="str">
        <f t="shared" si="209"/>
        <v>FOR</v>
      </c>
      <c r="O2089" t="s">
        <v>69</v>
      </c>
      <c r="P2089" s="3" t="s">
        <v>75</v>
      </c>
      <c r="Q2089">
        <v>2015</v>
      </c>
      <c r="R2089" s="2">
        <v>42318</v>
      </c>
      <c r="S2089" s="2">
        <v>42322</v>
      </c>
      <c r="T2089" s="2">
        <v>42322</v>
      </c>
      <c r="U2089" s="2">
        <v>42382</v>
      </c>
      <c r="V2089" t="s">
        <v>71</v>
      </c>
      <c r="W2089" t="str">
        <f>"          5840113321"</f>
        <v xml:space="preserve">          5840113321</v>
      </c>
      <c r="X2089">
        <v>119.6</v>
      </c>
      <c r="Y2089">
        <v>0</v>
      </c>
      <c r="Z2089" s="3">
        <v>115</v>
      </c>
      <c r="AA2089">
        <v>266</v>
      </c>
      <c r="AB2089" s="5">
        <v>30590</v>
      </c>
      <c r="AC2089">
        <v>115</v>
      </c>
      <c r="AD2089">
        <v>266</v>
      </c>
      <c r="AE2089" s="1">
        <v>30590</v>
      </c>
      <c r="AF2089">
        <v>0</v>
      </c>
      <c r="AJ2089">
        <v>0</v>
      </c>
      <c r="AK2089">
        <v>0</v>
      </c>
      <c r="AL2089">
        <v>0</v>
      </c>
      <c r="AM2089">
        <v>0</v>
      </c>
      <c r="AN2089">
        <v>0</v>
      </c>
      <c r="AO2089">
        <v>0</v>
      </c>
      <c r="AP2089" s="2">
        <v>42746</v>
      </c>
      <c r="AQ2089" t="s">
        <v>72</v>
      </c>
      <c r="AR2089" t="s">
        <v>72</v>
      </c>
      <c r="AS2089">
        <v>2700</v>
      </c>
      <c r="AT2089" s="4">
        <v>42648</v>
      </c>
      <c r="AU2089" t="s">
        <v>73</v>
      </c>
      <c r="AV2089">
        <v>2700</v>
      </c>
      <c r="AW2089" s="4">
        <v>42648</v>
      </c>
      <c r="BD2089">
        <v>0</v>
      </c>
      <c r="BN2089" t="s">
        <v>74</v>
      </c>
    </row>
    <row r="2090" spans="1:66">
      <c r="A2090">
        <v>100695</v>
      </c>
      <c r="B2090" s="3" t="s">
        <v>227</v>
      </c>
      <c r="C2090" s="1">
        <v>43300101</v>
      </c>
      <c r="D2090" t="s">
        <v>67</v>
      </c>
      <c r="H2090" t="str">
        <f t="shared" si="210"/>
        <v>00721920155</v>
      </c>
      <c r="I2090" t="str">
        <f t="shared" si="210"/>
        <v>00721920155</v>
      </c>
      <c r="K2090" t="str">
        <f>""</f>
        <v/>
      </c>
      <c r="M2090" t="s">
        <v>68</v>
      </c>
      <c r="N2090" t="str">
        <f t="shared" si="209"/>
        <v>FOR</v>
      </c>
      <c r="O2090" t="s">
        <v>69</v>
      </c>
      <c r="P2090" s="3" t="s">
        <v>75</v>
      </c>
      <c r="Q2090">
        <v>2015</v>
      </c>
      <c r="R2090" s="2">
        <v>42318</v>
      </c>
      <c r="S2090" s="2">
        <v>42322</v>
      </c>
      <c r="T2090" s="2">
        <v>42322</v>
      </c>
      <c r="U2090" s="2">
        <v>42382</v>
      </c>
      <c r="V2090" t="s">
        <v>71</v>
      </c>
      <c r="W2090" t="str">
        <f>"          5840113323"</f>
        <v xml:space="preserve">          5840113323</v>
      </c>
      <c r="X2090">
        <v>119.6</v>
      </c>
      <c r="Y2090">
        <v>0</v>
      </c>
      <c r="Z2090" s="3">
        <v>115</v>
      </c>
      <c r="AA2090">
        <v>266</v>
      </c>
      <c r="AB2090" s="5">
        <v>30590</v>
      </c>
      <c r="AC2090">
        <v>115</v>
      </c>
      <c r="AD2090">
        <v>266</v>
      </c>
      <c r="AE2090" s="1">
        <v>30590</v>
      </c>
      <c r="AF2090">
        <v>0</v>
      </c>
      <c r="AJ2090">
        <v>0</v>
      </c>
      <c r="AK2090">
        <v>0</v>
      </c>
      <c r="AL2090">
        <v>0</v>
      </c>
      <c r="AM2090">
        <v>0</v>
      </c>
      <c r="AN2090">
        <v>0</v>
      </c>
      <c r="AO2090">
        <v>0</v>
      </c>
      <c r="AP2090" s="2">
        <v>42746</v>
      </c>
      <c r="AQ2090" t="s">
        <v>72</v>
      </c>
      <c r="AR2090" t="s">
        <v>72</v>
      </c>
      <c r="AS2090">
        <v>2700</v>
      </c>
      <c r="AT2090" s="4">
        <v>42648</v>
      </c>
      <c r="AU2090" t="s">
        <v>73</v>
      </c>
      <c r="AV2090">
        <v>2700</v>
      </c>
      <c r="AW2090" s="4">
        <v>42648</v>
      </c>
      <c r="BD2090">
        <v>0</v>
      </c>
      <c r="BN2090" t="s">
        <v>74</v>
      </c>
    </row>
    <row r="2091" spans="1:66">
      <c r="A2091">
        <v>100695</v>
      </c>
      <c r="B2091" s="3" t="s">
        <v>227</v>
      </c>
      <c r="C2091" s="1">
        <v>43300101</v>
      </c>
      <c r="D2091" t="s">
        <v>67</v>
      </c>
      <c r="H2091" t="str">
        <f t="shared" si="210"/>
        <v>00721920155</v>
      </c>
      <c r="I2091" t="str">
        <f t="shared" si="210"/>
        <v>00721920155</v>
      </c>
      <c r="K2091" t="str">
        <f>""</f>
        <v/>
      </c>
      <c r="M2091" t="s">
        <v>68</v>
      </c>
      <c r="N2091" t="str">
        <f t="shared" si="209"/>
        <v>FOR</v>
      </c>
      <c r="O2091" t="s">
        <v>69</v>
      </c>
      <c r="P2091" s="3" t="s">
        <v>75</v>
      </c>
      <c r="Q2091">
        <v>2015</v>
      </c>
      <c r="R2091" s="2">
        <v>42318</v>
      </c>
      <c r="S2091" s="2">
        <v>42322</v>
      </c>
      <c r="T2091" s="2">
        <v>42322</v>
      </c>
      <c r="U2091" s="2">
        <v>42382</v>
      </c>
      <c r="V2091" t="s">
        <v>71</v>
      </c>
      <c r="W2091" t="str">
        <f>"          5840113325"</f>
        <v xml:space="preserve">          5840113325</v>
      </c>
      <c r="X2091">
        <v>119.6</v>
      </c>
      <c r="Y2091">
        <v>0</v>
      </c>
      <c r="Z2091" s="3">
        <v>115</v>
      </c>
      <c r="AA2091">
        <v>266</v>
      </c>
      <c r="AB2091" s="5">
        <v>30590</v>
      </c>
      <c r="AC2091">
        <v>115</v>
      </c>
      <c r="AD2091">
        <v>266</v>
      </c>
      <c r="AE2091" s="1">
        <v>30590</v>
      </c>
      <c r="AF2091">
        <v>0</v>
      </c>
      <c r="AJ2091">
        <v>0</v>
      </c>
      <c r="AK2091">
        <v>0</v>
      </c>
      <c r="AL2091">
        <v>0</v>
      </c>
      <c r="AM2091">
        <v>0</v>
      </c>
      <c r="AN2091">
        <v>0</v>
      </c>
      <c r="AO2091">
        <v>0</v>
      </c>
      <c r="AP2091" s="2">
        <v>42746</v>
      </c>
      <c r="AQ2091" t="s">
        <v>72</v>
      </c>
      <c r="AR2091" t="s">
        <v>72</v>
      </c>
      <c r="AS2091">
        <v>2700</v>
      </c>
      <c r="AT2091" s="4">
        <v>42648</v>
      </c>
      <c r="AU2091" t="s">
        <v>73</v>
      </c>
      <c r="AV2091">
        <v>2700</v>
      </c>
      <c r="AW2091" s="4">
        <v>42648</v>
      </c>
      <c r="BD2091">
        <v>0</v>
      </c>
      <c r="BN2091" t="s">
        <v>74</v>
      </c>
    </row>
    <row r="2092" spans="1:66">
      <c r="A2092">
        <v>100695</v>
      </c>
      <c r="B2092" s="3" t="s">
        <v>227</v>
      </c>
      <c r="C2092" s="1">
        <v>43300101</v>
      </c>
      <c r="D2092" t="s">
        <v>67</v>
      </c>
      <c r="H2092" t="str">
        <f t="shared" si="210"/>
        <v>00721920155</v>
      </c>
      <c r="I2092" t="str">
        <f t="shared" si="210"/>
        <v>00721920155</v>
      </c>
      <c r="K2092" t="str">
        <f>""</f>
        <v/>
      </c>
      <c r="M2092" t="s">
        <v>68</v>
      </c>
      <c r="N2092" t="str">
        <f t="shared" si="209"/>
        <v>FOR</v>
      </c>
      <c r="O2092" t="s">
        <v>69</v>
      </c>
      <c r="P2092" s="3" t="s">
        <v>75</v>
      </c>
      <c r="Q2092">
        <v>2015</v>
      </c>
      <c r="R2092" s="2">
        <v>42321</v>
      </c>
      <c r="S2092" s="2">
        <v>42322</v>
      </c>
      <c r="T2092" s="2">
        <v>42322</v>
      </c>
      <c r="U2092" s="2">
        <v>42382</v>
      </c>
      <c r="V2092" t="s">
        <v>71</v>
      </c>
      <c r="W2092" t="str">
        <f>"          5840113483"</f>
        <v xml:space="preserve">          5840113483</v>
      </c>
      <c r="X2092">
        <v>119.6</v>
      </c>
      <c r="Y2092">
        <v>0</v>
      </c>
      <c r="Z2092" s="3">
        <v>115</v>
      </c>
      <c r="AA2092">
        <v>266</v>
      </c>
      <c r="AB2092" s="5">
        <v>30590</v>
      </c>
      <c r="AC2092">
        <v>115</v>
      </c>
      <c r="AD2092">
        <v>266</v>
      </c>
      <c r="AE2092" s="1">
        <v>30590</v>
      </c>
      <c r="AF2092">
        <v>0</v>
      </c>
      <c r="AJ2092">
        <v>0</v>
      </c>
      <c r="AK2092">
        <v>0</v>
      </c>
      <c r="AL2092">
        <v>0</v>
      </c>
      <c r="AM2092">
        <v>0</v>
      </c>
      <c r="AN2092">
        <v>0</v>
      </c>
      <c r="AO2092">
        <v>0</v>
      </c>
      <c r="AP2092" s="2">
        <v>42746</v>
      </c>
      <c r="AQ2092" t="s">
        <v>72</v>
      </c>
      <c r="AR2092" t="s">
        <v>72</v>
      </c>
      <c r="AS2092">
        <v>2700</v>
      </c>
      <c r="AT2092" s="4">
        <v>42648</v>
      </c>
      <c r="AU2092" t="s">
        <v>73</v>
      </c>
      <c r="AV2092">
        <v>2700</v>
      </c>
      <c r="AW2092" s="4">
        <v>42648</v>
      </c>
      <c r="BD2092">
        <v>0</v>
      </c>
      <c r="BN2092" t="s">
        <v>74</v>
      </c>
    </row>
    <row r="2093" spans="1:66">
      <c r="A2093">
        <v>100695</v>
      </c>
      <c r="B2093" s="3" t="s">
        <v>227</v>
      </c>
      <c r="C2093" s="1">
        <v>43300101</v>
      </c>
      <c r="D2093" t="s">
        <v>67</v>
      </c>
      <c r="H2093" t="str">
        <f t="shared" si="210"/>
        <v>00721920155</v>
      </c>
      <c r="I2093" t="str">
        <f t="shared" si="210"/>
        <v>00721920155</v>
      </c>
      <c r="K2093" t="str">
        <f>""</f>
        <v/>
      </c>
      <c r="M2093" t="s">
        <v>68</v>
      </c>
      <c r="N2093" t="str">
        <f t="shared" si="209"/>
        <v>FOR</v>
      </c>
      <c r="O2093" t="s">
        <v>69</v>
      </c>
      <c r="P2093" s="3" t="s">
        <v>75</v>
      </c>
      <c r="Q2093">
        <v>2015</v>
      </c>
      <c r="R2093" s="2">
        <v>42321</v>
      </c>
      <c r="S2093" s="2">
        <v>42322</v>
      </c>
      <c r="T2093" s="2">
        <v>42322</v>
      </c>
      <c r="U2093" s="2">
        <v>42382</v>
      </c>
      <c r="V2093" t="s">
        <v>71</v>
      </c>
      <c r="W2093" t="str">
        <f>"          5840113486"</f>
        <v xml:space="preserve">          5840113486</v>
      </c>
      <c r="X2093">
        <v>119.6</v>
      </c>
      <c r="Y2093">
        <v>0</v>
      </c>
      <c r="Z2093" s="3">
        <v>115</v>
      </c>
      <c r="AA2093">
        <v>266</v>
      </c>
      <c r="AB2093" s="5">
        <v>30590</v>
      </c>
      <c r="AC2093">
        <v>115</v>
      </c>
      <c r="AD2093">
        <v>266</v>
      </c>
      <c r="AE2093" s="1">
        <v>30590</v>
      </c>
      <c r="AF2093">
        <v>0</v>
      </c>
      <c r="AJ2093">
        <v>0</v>
      </c>
      <c r="AK2093">
        <v>0</v>
      </c>
      <c r="AL2093">
        <v>0</v>
      </c>
      <c r="AM2093">
        <v>0</v>
      </c>
      <c r="AN2093">
        <v>0</v>
      </c>
      <c r="AO2093">
        <v>0</v>
      </c>
      <c r="AP2093" s="2">
        <v>42746</v>
      </c>
      <c r="AQ2093" t="s">
        <v>72</v>
      </c>
      <c r="AR2093" t="s">
        <v>72</v>
      </c>
      <c r="AS2093">
        <v>2700</v>
      </c>
      <c r="AT2093" s="4">
        <v>42648</v>
      </c>
      <c r="AU2093" t="s">
        <v>73</v>
      </c>
      <c r="AV2093">
        <v>2700</v>
      </c>
      <c r="AW2093" s="4">
        <v>42648</v>
      </c>
      <c r="BD2093">
        <v>0</v>
      </c>
      <c r="BN2093" t="s">
        <v>74</v>
      </c>
    </row>
    <row r="2094" spans="1:66">
      <c r="A2094">
        <v>100695</v>
      </c>
      <c r="B2094" s="3" t="s">
        <v>227</v>
      </c>
      <c r="C2094" s="1">
        <v>43300101</v>
      </c>
      <c r="D2094" t="s">
        <v>67</v>
      </c>
      <c r="H2094" t="str">
        <f t="shared" si="210"/>
        <v>00721920155</v>
      </c>
      <c r="I2094" t="str">
        <f t="shared" si="210"/>
        <v>00721920155</v>
      </c>
      <c r="K2094" t="str">
        <f>""</f>
        <v/>
      </c>
      <c r="M2094" t="s">
        <v>68</v>
      </c>
      <c r="N2094" t="str">
        <f t="shared" si="209"/>
        <v>FOR</v>
      </c>
      <c r="O2094" t="s">
        <v>69</v>
      </c>
      <c r="P2094" s="3" t="s">
        <v>75</v>
      </c>
      <c r="Q2094">
        <v>2015</v>
      </c>
      <c r="R2094" s="2">
        <v>42321</v>
      </c>
      <c r="S2094" s="2">
        <v>42322</v>
      </c>
      <c r="T2094" s="2">
        <v>42322</v>
      </c>
      <c r="U2094" s="2">
        <v>42382</v>
      </c>
      <c r="V2094" t="s">
        <v>71</v>
      </c>
      <c r="W2094" t="str">
        <f>"          5840113489"</f>
        <v xml:space="preserve">          5840113489</v>
      </c>
      <c r="X2094">
        <v>119.6</v>
      </c>
      <c r="Y2094">
        <v>0</v>
      </c>
      <c r="Z2094" s="3">
        <v>115</v>
      </c>
      <c r="AA2094">
        <v>266</v>
      </c>
      <c r="AB2094" s="5">
        <v>30590</v>
      </c>
      <c r="AC2094">
        <v>115</v>
      </c>
      <c r="AD2094">
        <v>266</v>
      </c>
      <c r="AE2094" s="1">
        <v>30590</v>
      </c>
      <c r="AF2094">
        <v>0</v>
      </c>
      <c r="AJ2094">
        <v>0</v>
      </c>
      <c r="AK2094">
        <v>0</v>
      </c>
      <c r="AL2094">
        <v>0</v>
      </c>
      <c r="AM2094">
        <v>0</v>
      </c>
      <c r="AN2094">
        <v>0</v>
      </c>
      <c r="AO2094">
        <v>0</v>
      </c>
      <c r="AP2094" s="2">
        <v>42746</v>
      </c>
      <c r="AQ2094" t="s">
        <v>72</v>
      </c>
      <c r="AR2094" t="s">
        <v>72</v>
      </c>
      <c r="AS2094">
        <v>2700</v>
      </c>
      <c r="AT2094" s="4">
        <v>42648</v>
      </c>
      <c r="AU2094" t="s">
        <v>73</v>
      </c>
      <c r="AV2094">
        <v>2700</v>
      </c>
      <c r="AW2094" s="4">
        <v>42648</v>
      </c>
      <c r="BD2094">
        <v>0</v>
      </c>
      <c r="BN2094" t="s">
        <v>74</v>
      </c>
    </row>
    <row r="2095" spans="1:66">
      <c r="A2095">
        <v>100695</v>
      </c>
      <c r="B2095" s="3" t="s">
        <v>227</v>
      </c>
      <c r="C2095" s="1">
        <v>43300101</v>
      </c>
      <c r="D2095" t="s">
        <v>67</v>
      </c>
      <c r="H2095" t="str">
        <f t="shared" si="210"/>
        <v>00721920155</v>
      </c>
      <c r="I2095" t="str">
        <f t="shared" si="210"/>
        <v>00721920155</v>
      </c>
      <c r="K2095" t="str">
        <f>""</f>
        <v/>
      </c>
      <c r="M2095" t="s">
        <v>68</v>
      </c>
      <c r="N2095" t="str">
        <f t="shared" si="209"/>
        <v>FOR</v>
      </c>
      <c r="O2095" t="s">
        <v>69</v>
      </c>
      <c r="P2095" s="3" t="s">
        <v>75</v>
      </c>
      <c r="Q2095">
        <v>2015</v>
      </c>
      <c r="R2095" s="2">
        <v>42321</v>
      </c>
      <c r="S2095" s="2">
        <v>42322</v>
      </c>
      <c r="T2095" s="2">
        <v>42322</v>
      </c>
      <c r="U2095" s="2">
        <v>42382</v>
      </c>
      <c r="V2095" t="s">
        <v>71</v>
      </c>
      <c r="W2095" t="str">
        <f>"          5840113490"</f>
        <v xml:space="preserve">          5840113490</v>
      </c>
      <c r="X2095">
        <v>119.6</v>
      </c>
      <c r="Y2095">
        <v>0</v>
      </c>
      <c r="Z2095" s="3">
        <v>115</v>
      </c>
      <c r="AA2095">
        <v>266</v>
      </c>
      <c r="AB2095" s="5">
        <v>30590</v>
      </c>
      <c r="AC2095">
        <v>115</v>
      </c>
      <c r="AD2095">
        <v>266</v>
      </c>
      <c r="AE2095" s="1">
        <v>30590</v>
      </c>
      <c r="AF2095">
        <v>0</v>
      </c>
      <c r="AJ2095">
        <v>0</v>
      </c>
      <c r="AK2095">
        <v>0</v>
      </c>
      <c r="AL2095">
        <v>0</v>
      </c>
      <c r="AM2095">
        <v>0</v>
      </c>
      <c r="AN2095">
        <v>0</v>
      </c>
      <c r="AO2095">
        <v>0</v>
      </c>
      <c r="AP2095" s="2">
        <v>42746</v>
      </c>
      <c r="AQ2095" t="s">
        <v>72</v>
      </c>
      <c r="AR2095" t="s">
        <v>72</v>
      </c>
      <c r="AS2095">
        <v>2700</v>
      </c>
      <c r="AT2095" s="4">
        <v>42648</v>
      </c>
      <c r="AU2095" t="s">
        <v>73</v>
      </c>
      <c r="AV2095">
        <v>2700</v>
      </c>
      <c r="AW2095" s="4">
        <v>42648</v>
      </c>
      <c r="BD2095">
        <v>0</v>
      </c>
      <c r="BN2095" t="s">
        <v>74</v>
      </c>
    </row>
    <row r="2096" spans="1:66">
      <c r="A2096">
        <v>100695</v>
      </c>
      <c r="B2096" s="3" t="s">
        <v>227</v>
      </c>
      <c r="C2096" s="1">
        <v>43300101</v>
      </c>
      <c r="D2096" t="s">
        <v>67</v>
      </c>
      <c r="H2096" t="str">
        <f t="shared" si="210"/>
        <v>00721920155</v>
      </c>
      <c r="I2096" t="str">
        <f t="shared" si="210"/>
        <v>00721920155</v>
      </c>
      <c r="K2096" t="str">
        <f>""</f>
        <v/>
      </c>
      <c r="M2096" t="s">
        <v>68</v>
      </c>
      <c r="N2096" t="str">
        <f t="shared" si="209"/>
        <v>FOR</v>
      </c>
      <c r="O2096" t="s">
        <v>69</v>
      </c>
      <c r="P2096" s="3" t="s">
        <v>75</v>
      </c>
      <c r="Q2096">
        <v>2015</v>
      </c>
      <c r="R2096" s="2">
        <v>42321</v>
      </c>
      <c r="S2096" s="2">
        <v>42333</v>
      </c>
      <c r="T2096" s="2">
        <v>42332</v>
      </c>
      <c r="U2096" s="2">
        <v>42392</v>
      </c>
      <c r="V2096" t="s">
        <v>71</v>
      </c>
      <c r="W2096" t="str">
        <f>"          5840113496"</f>
        <v xml:space="preserve">          5840113496</v>
      </c>
      <c r="X2096">
        <v>119.6</v>
      </c>
      <c r="Y2096">
        <v>0</v>
      </c>
      <c r="Z2096" s="3">
        <v>115</v>
      </c>
      <c r="AA2096">
        <v>256</v>
      </c>
      <c r="AB2096" s="5">
        <v>29440</v>
      </c>
      <c r="AC2096">
        <v>115</v>
      </c>
      <c r="AD2096">
        <v>256</v>
      </c>
      <c r="AE2096" s="1">
        <v>29440</v>
      </c>
      <c r="AF2096">
        <v>0</v>
      </c>
      <c r="AJ2096">
        <v>0</v>
      </c>
      <c r="AK2096">
        <v>0</v>
      </c>
      <c r="AL2096">
        <v>0</v>
      </c>
      <c r="AM2096">
        <v>0</v>
      </c>
      <c r="AN2096">
        <v>0</v>
      </c>
      <c r="AO2096">
        <v>0</v>
      </c>
      <c r="AP2096" s="2">
        <v>42746</v>
      </c>
      <c r="AQ2096" t="s">
        <v>72</v>
      </c>
      <c r="AR2096" t="s">
        <v>72</v>
      </c>
      <c r="AS2096">
        <v>2700</v>
      </c>
      <c r="AT2096" s="4">
        <v>42648</v>
      </c>
      <c r="AU2096" t="s">
        <v>73</v>
      </c>
      <c r="AV2096">
        <v>2700</v>
      </c>
      <c r="AW2096" s="4">
        <v>42648</v>
      </c>
      <c r="BD2096">
        <v>0</v>
      </c>
      <c r="BN2096" t="s">
        <v>74</v>
      </c>
    </row>
    <row r="2097" spans="1:66">
      <c r="A2097">
        <v>100695</v>
      </c>
      <c r="B2097" s="3" t="s">
        <v>227</v>
      </c>
      <c r="C2097" s="1">
        <v>43300101</v>
      </c>
      <c r="D2097" t="s">
        <v>67</v>
      </c>
      <c r="H2097" t="str">
        <f t="shared" si="210"/>
        <v>00721920155</v>
      </c>
      <c r="I2097" t="str">
        <f t="shared" si="210"/>
        <v>00721920155</v>
      </c>
      <c r="K2097" t="str">
        <f>""</f>
        <v/>
      </c>
      <c r="M2097" t="s">
        <v>68</v>
      </c>
      <c r="N2097" t="str">
        <f t="shared" si="209"/>
        <v>FOR</v>
      </c>
      <c r="O2097" t="s">
        <v>69</v>
      </c>
      <c r="P2097" s="3" t="s">
        <v>75</v>
      </c>
      <c r="Q2097">
        <v>2015</v>
      </c>
      <c r="R2097" s="2">
        <v>42333</v>
      </c>
      <c r="S2097" s="2">
        <v>42353</v>
      </c>
      <c r="T2097" s="2">
        <v>42349</v>
      </c>
      <c r="U2097" s="2">
        <v>42409</v>
      </c>
      <c r="V2097" t="s">
        <v>71</v>
      </c>
      <c r="W2097" t="str">
        <f>"          5840114081"</f>
        <v xml:space="preserve">          5840114081</v>
      </c>
      <c r="X2097">
        <v>119.6</v>
      </c>
      <c r="Y2097">
        <v>0</v>
      </c>
      <c r="Z2097" s="3">
        <v>115</v>
      </c>
      <c r="AA2097">
        <v>239</v>
      </c>
      <c r="AB2097" s="5">
        <v>27485</v>
      </c>
      <c r="AC2097">
        <v>115</v>
      </c>
      <c r="AD2097">
        <v>239</v>
      </c>
      <c r="AE2097" s="1">
        <v>27485</v>
      </c>
      <c r="AF2097">
        <v>0</v>
      </c>
      <c r="AJ2097">
        <v>0</v>
      </c>
      <c r="AK2097">
        <v>0</v>
      </c>
      <c r="AL2097">
        <v>0</v>
      </c>
      <c r="AM2097">
        <v>0</v>
      </c>
      <c r="AN2097">
        <v>0</v>
      </c>
      <c r="AO2097">
        <v>0</v>
      </c>
      <c r="AP2097" s="2">
        <v>42746</v>
      </c>
      <c r="AQ2097" t="s">
        <v>72</v>
      </c>
      <c r="AR2097" t="s">
        <v>72</v>
      </c>
      <c r="AS2097">
        <v>2700</v>
      </c>
      <c r="AT2097" s="4">
        <v>42648</v>
      </c>
      <c r="AU2097" t="s">
        <v>73</v>
      </c>
      <c r="AV2097">
        <v>2700</v>
      </c>
      <c r="AW2097" s="4">
        <v>42648</v>
      </c>
      <c r="BD2097">
        <v>0</v>
      </c>
      <c r="BN2097" t="s">
        <v>74</v>
      </c>
    </row>
    <row r="2098" spans="1:66">
      <c r="A2098">
        <v>100695</v>
      </c>
      <c r="B2098" s="3" t="s">
        <v>227</v>
      </c>
      <c r="C2098" s="1">
        <v>43300101</v>
      </c>
      <c r="D2098" t="s">
        <v>67</v>
      </c>
      <c r="H2098" t="str">
        <f t="shared" si="210"/>
        <v>00721920155</v>
      </c>
      <c r="I2098" t="str">
        <f t="shared" si="210"/>
        <v>00721920155</v>
      </c>
      <c r="K2098" t="str">
        <f>""</f>
        <v/>
      </c>
      <c r="M2098" t="s">
        <v>68</v>
      </c>
      <c r="N2098" t="str">
        <f t="shared" si="209"/>
        <v>FOR</v>
      </c>
      <c r="O2098" t="s">
        <v>69</v>
      </c>
      <c r="P2098" s="3" t="s">
        <v>75</v>
      </c>
      <c r="Q2098">
        <v>2015</v>
      </c>
      <c r="R2098" s="2">
        <v>42333</v>
      </c>
      <c r="S2098" s="2">
        <v>42353</v>
      </c>
      <c r="T2098" s="2">
        <v>42349</v>
      </c>
      <c r="U2098" s="2">
        <v>42409</v>
      </c>
      <c r="V2098" t="s">
        <v>71</v>
      </c>
      <c r="W2098" t="str">
        <f>"          5840114084"</f>
        <v xml:space="preserve">          5840114084</v>
      </c>
      <c r="X2098">
        <v>119.6</v>
      </c>
      <c r="Y2098">
        <v>0</v>
      </c>
      <c r="Z2098" s="3">
        <v>115</v>
      </c>
      <c r="AA2098">
        <v>239</v>
      </c>
      <c r="AB2098" s="5">
        <v>27485</v>
      </c>
      <c r="AC2098">
        <v>115</v>
      </c>
      <c r="AD2098">
        <v>239</v>
      </c>
      <c r="AE2098" s="1">
        <v>27485</v>
      </c>
      <c r="AF2098">
        <v>0</v>
      </c>
      <c r="AJ2098">
        <v>0</v>
      </c>
      <c r="AK2098">
        <v>0</v>
      </c>
      <c r="AL2098">
        <v>0</v>
      </c>
      <c r="AM2098">
        <v>0</v>
      </c>
      <c r="AN2098">
        <v>0</v>
      </c>
      <c r="AO2098">
        <v>0</v>
      </c>
      <c r="AP2098" s="2">
        <v>42746</v>
      </c>
      <c r="AQ2098" t="s">
        <v>72</v>
      </c>
      <c r="AR2098" t="s">
        <v>72</v>
      </c>
      <c r="AS2098">
        <v>2700</v>
      </c>
      <c r="AT2098" s="4">
        <v>42648</v>
      </c>
      <c r="AU2098" t="s">
        <v>73</v>
      </c>
      <c r="AV2098">
        <v>2700</v>
      </c>
      <c r="AW2098" s="4">
        <v>42648</v>
      </c>
      <c r="BD2098">
        <v>0</v>
      </c>
      <c r="BN2098" t="s">
        <v>74</v>
      </c>
    </row>
    <row r="2099" spans="1:66">
      <c r="A2099">
        <v>100695</v>
      </c>
      <c r="B2099" s="3" t="s">
        <v>227</v>
      </c>
      <c r="C2099" s="1">
        <v>43300101</v>
      </c>
      <c r="D2099" t="s">
        <v>67</v>
      </c>
      <c r="H2099" t="str">
        <f t="shared" si="210"/>
        <v>00721920155</v>
      </c>
      <c r="I2099" t="str">
        <f t="shared" si="210"/>
        <v>00721920155</v>
      </c>
      <c r="K2099" t="str">
        <f>""</f>
        <v/>
      </c>
      <c r="M2099" t="s">
        <v>68</v>
      </c>
      <c r="N2099" t="str">
        <f t="shared" si="209"/>
        <v>FOR</v>
      </c>
      <c r="O2099" t="s">
        <v>69</v>
      </c>
      <c r="P2099" s="3" t="s">
        <v>75</v>
      </c>
      <c r="Q2099">
        <v>2015</v>
      </c>
      <c r="R2099" s="2">
        <v>42333</v>
      </c>
      <c r="S2099" s="2">
        <v>42353</v>
      </c>
      <c r="T2099" s="2">
        <v>42349</v>
      </c>
      <c r="U2099" s="2">
        <v>42409</v>
      </c>
      <c r="V2099" t="s">
        <v>71</v>
      </c>
      <c r="W2099" t="str">
        <f>"          5840114087"</f>
        <v xml:space="preserve">          5840114087</v>
      </c>
      <c r="X2099">
        <v>119.6</v>
      </c>
      <c r="Y2099">
        <v>0</v>
      </c>
      <c r="Z2099" s="3">
        <v>115</v>
      </c>
      <c r="AA2099">
        <v>239</v>
      </c>
      <c r="AB2099" s="5">
        <v>27485</v>
      </c>
      <c r="AC2099">
        <v>115</v>
      </c>
      <c r="AD2099">
        <v>239</v>
      </c>
      <c r="AE2099" s="1">
        <v>27485</v>
      </c>
      <c r="AF2099">
        <v>0</v>
      </c>
      <c r="AJ2099">
        <v>0</v>
      </c>
      <c r="AK2099">
        <v>0</v>
      </c>
      <c r="AL2099">
        <v>0</v>
      </c>
      <c r="AM2099">
        <v>0</v>
      </c>
      <c r="AN2099">
        <v>0</v>
      </c>
      <c r="AO2099">
        <v>0</v>
      </c>
      <c r="AP2099" s="2">
        <v>42746</v>
      </c>
      <c r="AQ2099" t="s">
        <v>72</v>
      </c>
      <c r="AR2099" t="s">
        <v>72</v>
      </c>
      <c r="AS2099">
        <v>2700</v>
      </c>
      <c r="AT2099" s="4">
        <v>42648</v>
      </c>
      <c r="AU2099" t="s">
        <v>73</v>
      </c>
      <c r="AV2099">
        <v>2700</v>
      </c>
      <c r="AW2099" s="4">
        <v>42648</v>
      </c>
      <c r="BD2099">
        <v>0</v>
      </c>
      <c r="BN2099" t="s">
        <v>74</v>
      </c>
    </row>
    <row r="2100" spans="1:66">
      <c r="A2100">
        <v>100695</v>
      </c>
      <c r="B2100" s="3" t="s">
        <v>227</v>
      </c>
      <c r="C2100" s="1">
        <v>43300101</v>
      </c>
      <c r="D2100" t="s">
        <v>67</v>
      </c>
      <c r="H2100" t="str">
        <f t="shared" si="210"/>
        <v>00721920155</v>
      </c>
      <c r="I2100" t="str">
        <f t="shared" si="210"/>
        <v>00721920155</v>
      </c>
      <c r="K2100" t="str">
        <f>""</f>
        <v/>
      </c>
      <c r="M2100" t="s">
        <v>68</v>
      </c>
      <c r="N2100" t="str">
        <f t="shared" si="209"/>
        <v>FOR</v>
      </c>
      <c r="O2100" t="s">
        <v>69</v>
      </c>
      <c r="P2100" s="3" t="s">
        <v>75</v>
      </c>
      <c r="Q2100">
        <v>2015</v>
      </c>
      <c r="R2100" s="2">
        <v>42333</v>
      </c>
      <c r="S2100" s="2">
        <v>42353</v>
      </c>
      <c r="T2100" s="2">
        <v>42349</v>
      </c>
      <c r="U2100" s="2">
        <v>42409</v>
      </c>
      <c r="V2100" t="s">
        <v>71</v>
      </c>
      <c r="W2100" t="str">
        <f>"          5840114088"</f>
        <v xml:space="preserve">          5840114088</v>
      </c>
      <c r="X2100">
        <v>119.6</v>
      </c>
      <c r="Y2100">
        <v>0</v>
      </c>
      <c r="Z2100" s="3">
        <v>115</v>
      </c>
      <c r="AA2100">
        <v>239</v>
      </c>
      <c r="AB2100" s="5">
        <v>27485</v>
      </c>
      <c r="AC2100">
        <v>115</v>
      </c>
      <c r="AD2100">
        <v>239</v>
      </c>
      <c r="AE2100" s="1">
        <v>27485</v>
      </c>
      <c r="AF2100">
        <v>0</v>
      </c>
      <c r="AJ2100">
        <v>0</v>
      </c>
      <c r="AK2100">
        <v>0</v>
      </c>
      <c r="AL2100">
        <v>0</v>
      </c>
      <c r="AM2100">
        <v>0</v>
      </c>
      <c r="AN2100">
        <v>0</v>
      </c>
      <c r="AO2100">
        <v>0</v>
      </c>
      <c r="AP2100" s="2">
        <v>42746</v>
      </c>
      <c r="AQ2100" t="s">
        <v>72</v>
      </c>
      <c r="AR2100" t="s">
        <v>72</v>
      </c>
      <c r="AS2100">
        <v>2700</v>
      </c>
      <c r="AT2100" s="4">
        <v>42648</v>
      </c>
      <c r="AU2100" t="s">
        <v>73</v>
      </c>
      <c r="AV2100">
        <v>2700</v>
      </c>
      <c r="AW2100" s="4">
        <v>42648</v>
      </c>
      <c r="BD2100">
        <v>0</v>
      </c>
      <c r="BN2100" t="s">
        <v>74</v>
      </c>
    </row>
    <row r="2101" spans="1:66">
      <c r="A2101">
        <v>100695</v>
      </c>
      <c r="B2101" s="3" t="s">
        <v>227</v>
      </c>
      <c r="C2101" s="1">
        <v>43300101</v>
      </c>
      <c r="D2101" t="s">
        <v>67</v>
      </c>
      <c r="H2101" t="str">
        <f t="shared" si="210"/>
        <v>00721920155</v>
      </c>
      <c r="I2101" t="str">
        <f t="shared" si="210"/>
        <v>00721920155</v>
      </c>
      <c r="K2101" t="str">
        <f>""</f>
        <v/>
      </c>
      <c r="M2101" t="s">
        <v>68</v>
      </c>
      <c r="N2101" t="str">
        <f t="shared" si="209"/>
        <v>FOR</v>
      </c>
      <c r="O2101" t="s">
        <v>69</v>
      </c>
      <c r="P2101" s="3" t="s">
        <v>75</v>
      </c>
      <c r="Q2101">
        <v>2015</v>
      </c>
      <c r="R2101" s="2">
        <v>42333</v>
      </c>
      <c r="S2101" s="2">
        <v>42353</v>
      </c>
      <c r="T2101" s="2">
        <v>42349</v>
      </c>
      <c r="U2101" s="2">
        <v>42409</v>
      </c>
      <c r="V2101" t="s">
        <v>71</v>
      </c>
      <c r="W2101" t="str">
        <f>"          5840114089"</f>
        <v xml:space="preserve">          5840114089</v>
      </c>
      <c r="X2101">
        <v>119.6</v>
      </c>
      <c r="Y2101">
        <v>0</v>
      </c>
      <c r="Z2101" s="3">
        <v>115</v>
      </c>
      <c r="AA2101">
        <v>239</v>
      </c>
      <c r="AB2101" s="5">
        <v>27485</v>
      </c>
      <c r="AC2101">
        <v>115</v>
      </c>
      <c r="AD2101">
        <v>239</v>
      </c>
      <c r="AE2101" s="1">
        <v>27485</v>
      </c>
      <c r="AF2101">
        <v>0</v>
      </c>
      <c r="AJ2101">
        <v>0</v>
      </c>
      <c r="AK2101">
        <v>0</v>
      </c>
      <c r="AL2101">
        <v>0</v>
      </c>
      <c r="AM2101">
        <v>0</v>
      </c>
      <c r="AN2101">
        <v>0</v>
      </c>
      <c r="AO2101">
        <v>0</v>
      </c>
      <c r="AP2101" s="2">
        <v>42746</v>
      </c>
      <c r="AQ2101" t="s">
        <v>72</v>
      </c>
      <c r="AR2101" t="s">
        <v>72</v>
      </c>
      <c r="AS2101">
        <v>2700</v>
      </c>
      <c r="AT2101" s="4">
        <v>42648</v>
      </c>
      <c r="AU2101" t="s">
        <v>73</v>
      </c>
      <c r="AV2101">
        <v>2700</v>
      </c>
      <c r="AW2101" s="4">
        <v>42648</v>
      </c>
      <c r="BD2101">
        <v>0</v>
      </c>
      <c r="BN2101" t="s">
        <v>74</v>
      </c>
    </row>
    <row r="2102" spans="1:66">
      <c r="A2102">
        <v>100695</v>
      </c>
      <c r="B2102" s="3" t="s">
        <v>227</v>
      </c>
      <c r="C2102" s="1">
        <v>43300101</v>
      </c>
      <c r="D2102" t="s">
        <v>67</v>
      </c>
      <c r="H2102" t="str">
        <f t="shared" si="210"/>
        <v>00721920155</v>
      </c>
      <c r="I2102" t="str">
        <f t="shared" si="210"/>
        <v>00721920155</v>
      </c>
      <c r="K2102" t="str">
        <f>""</f>
        <v/>
      </c>
      <c r="M2102" t="s">
        <v>68</v>
      </c>
      <c r="N2102" t="str">
        <f t="shared" si="209"/>
        <v>FOR</v>
      </c>
      <c r="O2102" t="s">
        <v>69</v>
      </c>
      <c r="P2102" s="3" t="s">
        <v>75</v>
      </c>
      <c r="Q2102">
        <v>2015</v>
      </c>
      <c r="R2102" s="2">
        <v>42333</v>
      </c>
      <c r="S2102" s="2">
        <v>42353</v>
      </c>
      <c r="T2102" s="2">
        <v>42349</v>
      </c>
      <c r="U2102" s="2">
        <v>42409</v>
      </c>
      <c r="V2102" t="s">
        <v>71</v>
      </c>
      <c r="W2102" t="str">
        <f>"          5840114090"</f>
        <v xml:space="preserve">          5840114090</v>
      </c>
      <c r="X2102">
        <v>119.6</v>
      </c>
      <c r="Y2102">
        <v>0</v>
      </c>
      <c r="Z2102" s="3">
        <v>115</v>
      </c>
      <c r="AA2102">
        <v>239</v>
      </c>
      <c r="AB2102" s="5">
        <v>27485</v>
      </c>
      <c r="AC2102">
        <v>115</v>
      </c>
      <c r="AD2102">
        <v>239</v>
      </c>
      <c r="AE2102" s="1">
        <v>27485</v>
      </c>
      <c r="AF2102">
        <v>0</v>
      </c>
      <c r="AJ2102">
        <v>0</v>
      </c>
      <c r="AK2102">
        <v>0</v>
      </c>
      <c r="AL2102">
        <v>0</v>
      </c>
      <c r="AM2102">
        <v>0</v>
      </c>
      <c r="AN2102">
        <v>0</v>
      </c>
      <c r="AO2102">
        <v>0</v>
      </c>
      <c r="AP2102" s="2">
        <v>42746</v>
      </c>
      <c r="AQ2102" t="s">
        <v>72</v>
      </c>
      <c r="AR2102" t="s">
        <v>72</v>
      </c>
      <c r="AS2102">
        <v>2700</v>
      </c>
      <c r="AT2102" s="4">
        <v>42648</v>
      </c>
      <c r="AU2102" t="s">
        <v>73</v>
      </c>
      <c r="AV2102">
        <v>2700</v>
      </c>
      <c r="AW2102" s="4">
        <v>42648</v>
      </c>
      <c r="BD2102">
        <v>0</v>
      </c>
      <c r="BN2102" t="s">
        <v>74</v>
      </c>
    </row>
    <row r="2103" spans="1:66">
      <c r="A2103">
        <v>100695</v>
      </c>
      <c r="B2103" s="3" t="s">
        <v>227</v>
      </c>
      <c r="C2103" s="1">
        <v>43300101</v>
      </c>
      <c r="D2103" t="s">
        <v>67</v>
      </c>
      <c r="H2103" t="str">
        <f t="shared" si="210"/>
        <v>00721920155</v>
      </c>
      <c r="I2103" t="str">
        <f t="shared" si="210"/>
        <v>00721920155</v>
      </c>
      <c r="K2103" t="str">
        <f>""</f>
        <v/>
      </c>
      <c r="M2103" t="s">
        <v>68</v>
      </c>
      <c r="N2103" t="str">
        <f t="shared" si="209"/>
        <v>FOR</v>
      </c>
      <c r="O2103" t="s">
        <v>69</v>
      </c>
      <c r="P2103" s="3" t="s">
        <v>75</v>
      </c>
      <c r="Q2103">
        <v>2015</v>
      </c>
      <c r="R2103" s="2">
        <v>42335</v>
      </c>
      <c r="S2103" s="2">
        <v>42353</v>
      </c>
      <c r="T2103" s="2">
        <v>42349</v>
      </c>
      <c r="U2103" s="2">
        <v>42409</v>
      </c>
      <c r="V2103" t="s">
        <v>71</v>
      </c>
      <c r="W2103" t="str">
        <f>"          5840114188"</f>
        <v xml:space="preserve">          5840114188</v>
      </c>
      <c r="X2103">
        <v>119.6</v>
      </c>
      <c r="Y2103">
        <v>0</v>
      </c>
      <c r="Z2103" s="3">
        <v>115</v>
      </c>
      <c r="AA2103">
        <v>239</v>
      </c>
      <c r="AB2103" s="5">
        <v>27485</v>
      </c>
      <c r="AC2103">
        <v>115</v>
      </c>
      <c r="AD2103">
        <v>239</v>
      </c>
      <c r="AE2103" s="1">
        <v>27485</v>
      </c>
      <c r="AF2103">
        <v>0</v>
      </c>
      <c r="AJ2103">
        <v>0</v>
      </c>
      <c r="AK2103">
        <v>0</v>
      </c>
      <c r="AL2103">
        <v>0</v>
      </c>
      <c r="AM2103">
        <v>0</v>
      </c>
      <c r="AN2103">
        <v>0</v>
      </c>
      <c r="AO2103">
        <v>0</v>
      </c>
      <c r="AP2103" s="2">
        <v>42746</v>
      </c>
      <c r="AQ2103" t="s">
        <v>72</v>
      </c>
      <c r="AR2103" t="s">
        <v>72</v>
      </c>
      <c r="AS2103">
        <v>2700</v>
      </c>
      <c r="AT2103" s="4">
        <v>42648</v>
      </c>
      <c r="AU2103" t="s">
        <v>73</v>
      </c>
      <c r="AV2103">
        <v>2700</v>
      </c>
      <c r="AW2103" s="4">
        <v>42648</v>
      </c>
      <c r="BD2103">
        <v>0</v>
      </c>
      <c r="BN2103" t="s">
        <v>74</v>
      </c>
    </row>
    <row r="2104" spans="1:66">
      <c r="A2104">
        <v>100695</v>
      </c>
      <c r="B2104" s="3" t="s">
        <v>227</v>
      </c>
      <c r="C2104" s="1">
        <v>43300101</v>
      </c>
      <c r="D2104" t="s">
        <v>67</v>
      </c>
      <c r="H2104" t="str">
        <f t="shared" si="210"/>
        <v>00721920155</v>
      </c>
      <c r="I2104" t="str">
        <f t="shared" si="210"/>
        <v>00721920155</v>
      </c>
      <c r="K2104" t="str">
        <f>""</f>
        <v/>
      </c>
      <c r="M2104" t="s">
        <v>68</v>
      </c>
      <c r="N2104" t="str">
        <f t="shared" si="209"/>
        <v>FOR</v>
      </c>
      <c r="O2104" t="s">
        <v>69</v>
      </c>
      <c r="P2104" s="3" t="s">
        <v>75</v>
      </c>
      <c r="Q2104">
        <v>2015</v>
      </c>
      <c r="R2104" s="2">
        <v>42335</v>
      </c>
      <c r="S2104" s="2">
        <v>42353</v>
      </c>
      <c r="T2104" s="2">
        <v>42349</v>
      </c>
      <c r="U2104" s="2">
        <v>42409</v>
      </c>
      <c r="V2104" t="s">
        <v>71</v>
      </c>
      <c r="W2104" t="str">
        <f>"          5840114195"</f>
        <v xml:space="preserve">          5840114195</v>
      </c>
      <c r="X2104">
        <v>119.6</v>
      </c>
      <c r="Y2104">
        <v>0</v>
      </c>
      <c r="Z2104" s="3">
        <v>115</v>
      </c>
      <c r="AA2104">
        <v>239</v>
      </c>
      <c r="AB2104" s="5">
        <v>27485</v>
      </c>
      <c r="AC2104">
        <v>115</v>
      </c>
      <c r="AD2104">
        <v>239</v>
      </c>
      <c r="AE2104" s="1">
        <v>27485</v>
      </c>
      <c r="AF2104">
        <v>0</v>
      </c>
      <c r="AJ2104">
        <v>0</v>
      </c>
      <c r="AK2104">
        <v>0</v>
      </c>
      <c r="AL2104">
        <v>0</v>
      </c>
      <c r="AM2104">
        <v>0</v>
      </c>
      <c r="AN2104">
        <v>0</v>
      </c>
      <c r="AO2104">
        <v>0</v>
      </c>
      <c r="AP2104" s="2">
        <v>42746</v>
      </c>
      <c r="AQ2104" t="s">
        <v>72</v>
      </c>
      <c r="AR2104" t="s">
        <v>72</v>
      </c>
      <c r="AS2104">
        <v>2700</v>
      </c>
      <c r="AT2104" s="4">
        <v>42648</v>
      </c>
      <c r="AU2104" t="s">
        <v>73</v>
      </c>
      <c r="AV2104">
        <v>2700</v>
      </c>
      <c r="AW2104" s="4">
        <v>42648</v>
      </c>
      <c r="BD2104">
        <v>0</v>
      </c>
      <c r="BN2104" t="s">
        <v>74</v>
      </c>
    </row>
    <row r="2105" spans="1:66">
      <c r="A2105">
        <v>100695</v>
      </c>
      <c r="B2105" s="3" t="s">
        <v>227</v>
      </c>
      <c r="C2105" s="1">
        <v>43300101</v>
      </c>
      <c r="D2105" t="s">
        <v>67</v>
      </c>
      <c r="H2105" t="str">
        <f t="shared" si="210"/>
        <v>00721920155</v>
      </c>
      <c r="I2105" t="str">
        <f t="shared" si="210"/>
        <v>00721920155</v>
      </c>
      <c r="K2105" t="str">
        <f>""</f>
        <v/>
      </c>
      <c r="M2105" t="s">
        <v>68</v>
      </c>
      <c r="N2105" t="str">
        <f t="shared" si="209"/>
        <v>FOR</v>
      </c>
      <c r="O2105" t="s">
        <v>69</v>
      </c>
      <c r="P2105" s="3" t="s">
        <v>75</v>
      </c>
      <c r="Q2105">
        <v>2015</v>
      </c>
      <c r="R2105" s="2">
        <v>42335</v>
      </c>
      <c r="S2105" s="2">
        <v>42353</v>
      </c>
      <c r="T2105" s="2">
        <v>42349</v>
      </c>
      <c r="U2105" s="2">
        <v>42409</v>
      </c>
      <c r="V2105" t="s">
        <v>71</v>
      </c>
      <c r="W2105" t="str">
        <f>"          5840114206"</f>
        <v xml:space="preserve">          5840114206</v>
      </c>
      <c r="X2105">
        <v>119.6</v>
      </c>
      <c r="Y2105">
        <v>0</v>
      </c>
      <c r="Z2105" s="3">
        <v>115</v>
      </c>
      <c r="AA2105">
        <v>239</v>
      </c>
      <c r="AB2105" s="5">
        <v>27485</v>
      </c>
      <c r="AC2105">
        <v>115</v>
      </c>
      <c r="AD2105">
        <v>239</v>
      </c>
      <c r="AE2105" s="1">
        <v>27485</v>
      </c>
      <c r="AF2105">
        <v>0</v>
      </c>
      <c r="AJ2105">
        <v>0</v>
      </c>
      <c r="AK2105">
        <v>0</v>
      </c>
      <c r="AL2105">
        <v>0</v>
      </c>
      <c r="AM2105">
        <v>0</v>
      </c>
      <c r="AN2105">
        <v>0</v>
      </c>
      <c r="AO2105">
        <v>0</v>
      </c>
      <c r="AP2105" s="2">
        <v>42746</v>
      </c>
      <c r="AQ2105" t="s">
        <v>72</v>
      </c>
      <c r="AR2105" t="s">
        <v>72</v>
      </c>
      <c r="AS2105">
        <v>2700</v>
      </c>
      <c r="AT2105" s="4">
        <v>42648</v>
      </c>
      <c r="AU2105" t="s">
        <v>73</v>
      </c>
      <c r="AV2105">
        <v>2700</v>
      </c>
      <c r="AW2105" s="4">
        <v>42648</v>
      </c>
      <c r="BD2105">
        <v>0</v>
      </c>
      <c r="BN2105" t="s">
        <v>74</v>
      </c>
    </row>
    <row r="2106" spans="1:66">
      <c r="A2106">
        <v>100695</v>
      </c>
      <c r="B2106" s="3" t="s">
        <v>227</v>
      </c>
      <c r="C2106" s="1">
        <v>43300101</v>
      </c>
      <c r="D2106" t="s">
        <v>67</v>
      </c>
      <c r="H2106" t="str">
        <f t="shared" si="210"/>
        <v>00721920155</v>
      </c>
      <c r="I2106" t="str">
        <f t="shared" si="210"/>
        <v>00721920155</v>
      </c>
      <c r="K2106" t="str">
        <f>""</f>
        <v/>
      </c>
      <c r="M2106" t="s">
        <v>68</v>
      </c>
      <c r="N2106" t="str">
        <f t="shared" si="209"/>
        <v>FOR</v>
      </c>
      <c r="O2106" t="s">
        <v>69</v>
      </c>
      <c r="P2106" s="3" t="s">
        <v>75</v>
      </c>
      <c r="Q2106">
        <v>2015</v>
      </c>
      <c r="R2106" s="2">
        <v>42338</v>
      </c>
      <c r="S2106" s="2">
        <v>42353</v>
      </c>
      <c r="T2106" s="2">
        <v>42349</v>
      </c>
      <c r="U2106" s="2">
        <v>42409</v>
      </c>
      <c r="V2106" t="s">
        <v>71</v>
      </c>
      <c r="W2106" t="str">
        <f>"          5840114234"</f>
        <v xml:space="preserve">          5840114234</v>
      </c>
      <c r="X2106">
        <v>119.6</v>
      </c>
      <c r="Y2106">
        <v>0</v>
      </c>
      <c r="Z2106" s="3">
        <v>115</v>
      </c>
      <c r="AA2106">
        <v>239</v>
      </c>
      <c r="AB2106" s="5">
        <v>27485</v>
      </c>
      <c r="AC2106">
        <v>115</v>
      </c>
      <c r="AD2106">
        <v>239</v>
      </c>
      <c r="AE2106" s="1">
        <v>27485</v>
      </c>
      <c r="AF2106">
        <v>0</v>
      </c>
      <c r="AJ2106">
        <v>0</v>
      </c>
      <c r="AK2106">
        <v>0</v>
      </c>
      <c r="AL2106">
        <v>0</v>
      </c>
      <c r="AM2106">
        <v>0</v>
      </c>
      <c r="AN2106">
        <v>0</v>
      </c>
      <c r="AO2106">
        <v>0</v>
      </c>
      <c r="AP2106" s="2">
        <v>42746</v>
      </c>
      <c r="AQ2106" t="s">
        <v>72</v>
      </c>
      <c r="AR2106" t="s">
        <v>72</v>
      </c>
      <c r="AS2106">
        <v>2700</v>
      </c>
      <c r="AT2106" s="4">
        <v>42648</v>
      </c>
      <c r="AU2106" t="s">
        <v>73</v>
      </c>
      <c r="AV2106">
        <v>2700</v>
      </c>
      <c r="AW2106" s="4">
        <v>42648</v>
      </c>
      <c r="BD2106">
        <v>0</v>
      </c>
      <c r="BN2106" t="s">
        <v>74</v>
      </c>
    </row>
    <row r="2107" spans="1:66">
      <c r="A2107">
        <v>100695</v>
      </c>
      <c r="B2107" s="3" t="s">
        <v>227</v>
      </c>
      <c r="C2107" s="1">
        <v>43300101</v>
      </c>
      <c r="D2107" t="s">
        <v>67</v>
      </c>
      <c r="H2107" t="str">
        <f t="shared" si="210"/>
        <v>00721920155</v>
      </c>
      <c r="I2107" t="str">
        <f t="shared" si="210"/>
        <v>00721920155</v>
      </c>
      <c r="K2107" t="str">
        <f>""</f>
        <v/>
      </c>
      <c r="M2107" t="s">
        <v>68</v>
      </c>
      <c r="N2107" t="str">
        <f t="shared" si="209"/>
        <v>FOR</v>
      </c>
      <c r="O2107" t="s">
        <v>69</v>
      </c>
      <c r="P2107" s="3" t="s">
        <v>75</v>
      </c>
      <c r="Q2107">
        <v>2015</v>
      </c>
      <c r="R2107" s="2">
        <v>42338</v>
      </c>
      <c r="S2107" s="2">
        <v>42353</v>
      </c>
      <c r="T2107" s="2">
        <v>42349</v>
      </c>
      <c r="U2107" s="2">
        <v>42409</v>
      </c>
      <c r="V2107" t="s">
        <v>71</v>
      </c>
      <c r="W2107" t="str">
        <f>"          5840114239"</f>
        <v xml:space="preserve">          5840114239</v>
      </c>
      <c r="X2107">
        <v>119.6</v>
      </c>
      <c r="Y2107">
        <v>0</v>
      </c>
      <c r="Z2107" s="3">
        <v>115</v>
      </c>
      <c r="AA2107">
        <v>239</v>
      </c>
      <c r="AB2107" s="5">
        <v>27485</v>
      </c>
      <c r="AC2107">
        <v>115</v>
      </c>
      <c r="AD2107">
        <v>239</v>
      </c>
      <c r="AE2107" s="1">
        <v>27485</v>
      </c>
      <c r="AF2107">
        <v>0</v>
      </c>
      <c r="AJ2107">
        <v>0</v>
      </c>
      <c r="AK2107">
        <v>0</v>
      </c>
      <c r="AL2107">
        <v>0</v>
      </c>
      <c r="AM2107">
        <v>0</v>
      </c>
      <c r="AN2107">
        <v>0</v>
      </c>
      <c r="AO2107">
        <v>0</v>
      </c>
      <c r="AP2107" s="2">
        <v>42746</v>
      </c>
      <c r="AQ2107" t="s">
        <v>72</v>
      </c>
      <c r="AR2107" t="s">
        <v>72</v>
      </c>
      <c r="AS2107">
        <v>2700</v>
      </c>
      <c r="AT2107" s="4">
        <v>42648</v>
      </c>
      <c r="AU2107" t="s">
        <v>73</v>
      </c>
      <c r="AV2107">
        <v>2700</v>
      </c>
      <c r="AW2107" s="4">
        <v>42648</v>
      </c>
      <c r="BD2107">
        <v>0</v>
      </c>
      <c r="BN2107" t="s">
        <v>74</v>
      </c>
    </row>
    <row r="2108" spans="1:66">
      <c r="A2108">
        <v>100695</v>
      </c>
      <c r="B2108" s="3" t="s">
        <v>227</v>
      </c>
      <c r="C2108" s="1">
        <v>43300101</v>
      </c>
      <c r="D2108" t="s">
        <v>67</v>
      </c>
      <c r="H2108" t="str">
        <f t="shared" si="210"/>
        <v>00721920155</v>
      </c>
      <c r="I2108" t="str">
        <f t="shared" si="210"/>
        <v>00721920155</v>
      </c>
      <c r="K2108" t="str">
        <f>""</f>
        <v/>
      </c>
      <c r="M2108" t="s">
        <v>68</v>
      </c>
      <c r="N2108" t="str">
        <f t="shared" si="209"/>
        <v>FOR</v>
      </c>
      <c r="O2108" t="s">
        <v>69</v>
      </c>
      <c r="P2108" s="3" t="s">
        <v>75</v>
      </c>
      <c r="Q2108">
        <v>2015</v>
      </c>
      <c r="R2108" s="2">
        <v>42338</v>
      </c>
      <c r="S2108" s="2">
        <v>42353</v>
      </c>
      <c r="T2108" s="2">
        <v>42349</v>
      </c>
      <c r="U2108" s="2">
        <v>42409</v>
      </c>
      <c r="V2108" t="s">
        <v>71</v>
      </c>
      <c r="W2108" t="str">
        <f>"          5840114241"</f>
        <v xml:space="preserve">          5840114241</v>
      </c>
      <c r="X2108">
        <v>119.6</v>
      </c>
      <c r="Y2108">
        <v>0</v>
      </c>
      <c r="Z2108" s="3">
        <v>115</v>
      </c>
      <c r="AA2108">
        <v>239</v>
      </c>
      <c r="AB2108" s="5">
        <v>27485</v>
      </c>
      <c r="AC2108">
        <v>115</v>
      </c>
      <c r="AD2108">
        <v>239</v>
      </c>
      <c r="AE2108" s="1">
        <v>27485</v>
      </c>
      <c r="AF2108">
        <v>0</v>
      </c>
      <c r="AJ2108">
        <v>0</v>
      </c>
      <c r="AK2108">
        <v>0</v>
      </c>
      <c r="AL2108">
        <v>0</v>
      </c>
      <c r="AM2108">
        <v>0</v>
      </c>
      <c r="AN2108">
        <v>0</v>
      </c>
      <c r="AO2108">
        <v>0</v>
      </c>
      <c r="AP2108" s="2">
        <v>42746</v>
      </c>
      <c r="AQ2108" t="s">
        <v>72</v>
      </c>
      <c r="AR2108" t="s">
        <v>72</v>
      </c>
      <c r="AS2108">
        <v>2700</v>
      </c>
      <c r="AT2108" s="4">
        <v>42648</v>
      </c>
      <c r="AU2108" t="s">
        <v>73</v>
      </c>
      <c r="AV2108">
        <v>2700</v>
      </c>
      <c r="AW2108" s="4">
        <v>42648</v>
      </c>
      <c r="BD2108">
        <v>0</v>
      </c>
      <c r="BN2108" t="s">
        <v>74</v>
      </c>
    </row>
    <row r="2109" spans="1:66">
      <c r="A2109">
        <v>100695</v>
      </c>
      <c r="B2109" s="3" t="s">
        <v>227</v>
      </c>
      <c r="C2109" s="1">
        <v>43300101</v>
      </c>
      <c r="D2109" t="s">
        <v>67</v>
      </c>
      <c r="H2109" t="str">
        <f t="shared" ref="H2109:I2128" si="211">"00721920155"</f>
        <v>00721920155</v>
      </c>
      <c r="I2109" t="str">
        <f t="shared" si="211"/>
        <v>00721920155</v>
      </c>
      <c r="K2109" t="str">
        <f>""</f>
        <v/>
      </c>
      <c r="M2109" t="s">
        <v>68</v>
      </c>
      <c r="N2109" t="str">
        <f t="shared" si="209"/>
        <v>FOR</v>
      </c>
      <c r="O2109" t="s">
        <v>69</v>
      </c>
      <c r="P2109" s="3" t="s">
        <v>75</v>
      </c>
      <c r="Q2109">
        <v>2015</v>
      </c>
      <c r="R2109" s="2">
        <v>42338</v>
      </c>
      <c r="S2109" s="2">
        <v>42353</v>
      </c>
      <c r="T2109" s="2">
        <v>42349</v>
      </c>
      <c r="U2109" s="2">
        <v>42409</v>
      </c>
      <c r="V2109" t="s">
        <v>71</v>
      </c>
      <c r="W2109" t="str">
        <f>"          5840114244"</f>
        <v xml:space="preserve">          5840114244</v>
      </c>
      <c r="X2109">
        <v>119.6</v>
      </c>
      <c r="Y2109">
        <v>0</v>
      </c>
      <c r="Z2109" s="3">
        <v>115</v>
      </c>
      <c r="AA2109">
        <v>239</v>
      </c>
      <c r="AB2109" s="5">
        <v>27485</v>
      </c>
      <c r="AC2109">
        <v>115</v>
      </c>
      <c r="AD2109">
        <v>239</v>
      </c>
      <c r="AE2109" s="1">
        <v>27485</v>
      </c>
      <c r="AF2109">
        <v>0</v>
      </c>
      <c r="AJ2109">
        <v>0</v>
      </c>
      <c r="AK2109">
        <v>0</v>
      </c>
      <c r="AL2109">
        <v>0</v>
      </c>
      <c r="AM2109">
        <v>0</v>
      </c>
      <c r="AN2109">
        <v>0</v>
      </c>
      <c r="AO2109">
        <v>0</v>
      </c>
      <c r="AP2109" s="2">
        <v>42746</v>
      </c>
      <c r="AQ2109" t="s">
        <v>72</v>
      </c>
      <c r="AR2109" t="s">
        <v>72</v>
      </c>
      <c r="AS2109">
        <v>2700</v>
      </c>
      <c r="AT2109" s="4">
        <v>42648</v>
      </c>
      <c r="AU2109" t="s">
        <v>73</v>
      </c>
      <c r="AV2109">
        <v>2700</v>
      </c>
      <c r="AW2109" s="4">
        <v>42648</v>
      </c>
      <c r="BD2109">
        <v>0</v>
      </c>
      <c r="BN2109" t="s">
        <v>74</v>
      </c>
    </row>
    <row r="2110" spans="1:66">
      <c r="A2110">
        <v>100695</v>
      </c>
      <c r="B2110" s="3" t="s">
        <v>227</v>
      </c>
      <c r="C2110" s="1">
        <v>43300101</v>
      </c>
      <c r="D2110" t="s">
        <v>67</v>
      </c>
      <c r="H2110" t="str">
        <f t="shared" si="211"/>
        <v>00721920155</v>
      </c>
      <c r="I2110" t="str">
        <f t="shared" si="211"/>
        <v>00721920155</v>
      </c>
      <c r="K2110" t="str">
        <f>""</f>
        <v/>
      </c>
      <c r="M2110" t="s">
        <v>68</v>
      </c>
      <c r="N2110" t="str">
        <f t="shared" si="209"/>
        <v>FOR</v>
      </c>
      <c r="O2110" t="s">
        <v>69</v>
      </c>
      <c r="P2110" s="3" t="s">
        <v>75</v>
      </c>
      <c r="Q2110">
        <v>2015</v>
      </c>
      <c r="R2110" s="2">
        <v>42340</v>
      </c>
      <c r="S2110" s="2">
        <v>42353</v>
      </c>
      <c r="T2110" s="2">
        <v>42349</v>
      </c>
      <c r="U2110" s="2">
        <v>42409</v>
      </c>
      <c r="V2110" t="s">
        <v>71</v>
      </c>
      <c r="W2110" t="str">
        <f>"          5840114422"</f>
        <v xml:space="preserve">          5840114422</v>
      </c>
      <c r="X2110">
        <v>119.6</v>
      </c>
      <c r="Y2110">
        <v>0</v>
      </c>
      <c r="Z2110" s="3">
        <v>115</v>
      </c>
      <c r="AA2110">
        <v>275</v>
      </c>
      <c r="AB2110" s="5">
        <v>31625</v>
      </c>
      <c r="AC2110">
        <v>115</v>
      </c>
      <c r="AD2110">
        <v>275</v>
      </c>
      <c r="AE2110" s="1">
        <v>31625</v>
      </c>
      <c r="AF2110">
        <v>0</v>
      </c>
      <c r="AJ2110">
        <v>0</v>
      </c>
      <c r="AK2110">
        <v>0</v>
      </c>
      <c r="AL2110">
        <v>0</v>
      </c>
      <c r="AM2110">
        <v>0</v>
      </c>
      <c r="AN2110">
        <v>0</v>
      </c>
      <c r="AO2110">
        <v>0</v>
      </c>
      <c r="AP2110" s="2">
        <v>42746</v>
      </c>
      <c r="AQ2110" t="s">
        <v>72</v>
      </c>
      <c r="AR2110" t="s">
        <v>72</v>
      </c>
      <c r="AS2110">
        <v>3049</v>
      </c>
      <c r="AT2110" s="4">
        <v>42684</v>
      </c>
      <c r="AU2110" t="s">
        <v>73</v>
      </c>
      <c r="AV2110">
        <v>3049</v>
      </c>
      <c r="AW2110" s="4">
        <v>42684</v>
      </c>
      <c r="BD2110">
        <v>0</v>
      </c>
      <c r="BN2110" t="s">
        <v>74</v>
      </c>
    </row>
    <row r="2111" spans="1:66">
      <c r="A2111">
        <v>100695</v>
      </c>
      <c r="B2111" s="3" t="s">
        <v>227</v>
      </c>
      <c r="C2111" s="1">
        <v>43300101</v>
      </c>
      <c r="D2111" t="s">
        <v>67</v>
      </c>
      <c r="H2111" t="str">
        <f t="shared" si="211"/>
        <v>00721920155</v>
      </c>
      <c r="I2111" t="str">
        <f t="shared" si="211"/>
        <v>00721920155</v>
      </c>
      <c r="K2111" t="str">
        <f>""</f>
        <v/>
      </c>
      <c r="M2111" t="s">
        <v>68</v>
      </c>
      <c r="N2111" t="str">
        <f t="shared" si="209"/>
        <v>FOR</v>
      </c>
      <c r="O2111" t="s">
        <v>69</v>
      </c>
      <c r="P2111" s="3" t="s">
        <v>75</v>
      </c>
      <c r="Q2111">
        <v>2015</v>
      </c>
      <c r="R2111" s="2">
        <v>42340</v>
      </c>
      <c r="S2111" s="2">
        <v>42353</v>
      </c>
      <c r="T2111" s="2">
        <v>42349</v>
      </c>
      <c r="U2111" s="2">
        <v>42409</v>
      </c>
      <c r="V2111" t="s">
        <v>71</v>
      </c>
      <c r="W2111" t="str">
        <f>"          5840114425"</f>
        <v xml:space="preserve">          5840114425</v>
      </c>
      <c r="X2111">
        <v>119.6</v>
      </c>
      <c r="Y2111">
        <v>0</v>
      </c>
      <c r="Z2111" s="3">
        <v>115</v>
      </c>
      <c r="AA2111">
        <v>275</v>
      </c>
      <c r="AB2111" s="5">
        <v>31625</v>
      </c>
      <c r="AC2111">
        <v>115</v>
      </c>
      <c r="AD2111">
        <v>275</v>
      </c>
      <c r="AE2111" s="1">
        <v>31625</v>
      </c>
      <c r="AF2111">
        <v>0</v>
      </c>
      <c r="AJ2111">
        <v>0</v>
      </c>
      <c r="AK2111">
        <v>0</v>
      </c>
      <c r="AL2111">
        <v>0</v>
      </c>
      <c r="AM2111">
        <v>0</v>
      </c>
      <c r="AN2111">
        <v>0</v>
      </c>
      <c r="AO2111">
        <v>0</v>
      </c>
      <c r="AP2111" s="2">
        <v>42746</v>
      </c>
      <c r="AQ2111" t="s">
        <v>72</v>
      </c>
      <c r="AR2111" t="s">
        <v>72</v>
      </c>
      <c r="AS2111">
        <v>3049</v>
      </c>
      <c r="AT2111" s="4">
        <v>42684</v>
      </c>
      <c r="AU2111" t="s">
        <v>73</v>
      </c>
      <c r="AV2111">
        <v>3049</v>
      </c>
      <c r="AW2111" s="4">
        <v>42684</v>
      </c>
      <c r="BD2111">
        <v>0</v>
      </c>
      <c r="BN2111" t="s">
        <v>74</v>
      </c>
    </row>
    <row r="2112" spans="1:66">
      <c r="A2112">
        <v>100695</v>
      </c>
      <c r="B2112" s="3" t="s">
        <v>227</v>
      </c>
      <c r="C2112" s="1">
        <v>43300101</v>
      </c>
      <c r="D2112" t="s">
        <v>67</v>
      </c>
      <c r="H2112" t="str">
        <f t="shared" si="211"/>
        <v>00721920155</v>
      </c>
      <c r="I2112" t="str">
        <f t="shared" si="211"/>
        <v>00721920155</v>
      </c>
      <c r="K2112" t="str">
        <f>""</f>
        <v/>
      </c>
      <c r="M2112" t="s">
        <v>68</v>
      </c>
      <c r="N2112" t="str">
        <f t="shared" si="209"/>
        <v>FOR</v>
      </c>
      <c r="O2112" t="s">
        <v>69</v>
      </c>
      <c r="P2112" s="3" t="s">
        <v>75</v>
      </c>
      <c r="Q2112">
        <v>2015</v>
      </c>
      <c r="R2112" s="2">
        <v>42340</v>
      </c>
      <c r="S2112" s="2">
        <v>42353</v>
      </c>
      <c r="T2112" s="2">
        <v>42349</v>
      </c>
      <c r="U2112" s="2">
        <v>42409</v>
      </c>
      <c r="V2112" t="s">
        <v>71</v>
      </c>
      <c r="W2112" t="str">
        <f>"          5840114426"</f>
        <v xml:space="preserve">          5840114426</v>
      </c>
      <c r="X2112">
        <v>119.6</v>
      </c>
      <c r="Y2112">
        <v>0</v>
      </c>
      <c r="Z2112" s="3">
        <v>115</v>
      </c>
      <c r="AA2112">
        <v>275</v>
      </c>
      <c r="AB2112" s="5">
        <v>31625</v>
      </c>
      <c r="AC2112">
        <v>115</v>
      </c>
      <c r="AD2112">
        <v>275</v>
      </c>
      <c r="AE2112" s="1">
        <v>31625</v>
      </c>
      <c r="AF2112">
        <v>0</v>
      </c>
      <c r="AJ2112">
        <v>0</v>
      </c>
      <c r="AK2112">
        <v>0</v>
      </c>
      <c r="AL2112">
        <v>0</v>
      </c>
      <c r="AM2112">
        <v>0</v>
      </c>
      <c r="AN2112">
        <v>0</v>
      </c>
      <c r="AO2112">
        <v>0</v>
      </c>
      <c r="AP2112" s="2">
        <v>42746</v>
      </c>
      <c r="AQ2112" t="s">
        <v>72</v>
      </c>
      <c r="AR2112" t="s">
        <v>72</v>
      </c>
      <c r="AS2112">
        <v>3049</v>
      </c>
      <c r="AT2112" s="4">
        <v>42684</v>
      </c>
      <c r="AU2112" t="s">
        <v>73</v>
      </c>
      <c r="AV2112">
        <v>3049</v>
      </c>
      <c r="AW2112" s="4">
        <v>42684</v>
      </c>
      <c r="BD2112">
        <v>0</v>
      </c>
      <c r="BN2112" t="s">
        <v>74</v>
      </c>
    </row>
    <row r="2113" spans="1:66">
      <c r="A2113">
        <v>100695</v>
      </c>
      <c r="B2113" s="3" t="s">
        <v>227</v>
      </c>
      <c r="C2113" s="1">
        <v>43300101</v>
      </c>
      <c r="D2113" t="s">
        <v>67</v>
      </c>
      <c r="H2113" t="str">
        <f t="shared" si="211"/>
        <v>00721920155</v>
      </c>
      <c r="I2113" t="str">
        <f t="shared" si="211"/>
        <v>00721920155</v>
      </c>
      <c r="K2113" t="str">
        <f>""</f>
        <v/>
      </c>
      <c r="M2113" t="s">
        <v>68</v>
      </c>
      <c r="N2113" t="str">
        <f t="shared" si="209"/>
        <v>FOR</v>
      </c>
      <c r="O2113" t="s">
        <v>69</v>
      </c>
      <c r="P2113" s="3" t="s">
        <v>75</v>
      </c>
      <c r="Q2113">
        <v>2015</v>
      </c>
      <c r="R2113" s="2">
        <v>42340</v>
      </c>
      <c r="S2113" s="2">
        <v>42353</v>
      </c>
      <c r="T2113" s="2">
        <v>42349</v>
      </c>
      <c r="U2113" s="2">
        <v>42409</v>
      </c>
      <c r="V2113" t="s">
        <v>71</v>
      </c>
      <c r="W2113" t="str">
        <f>"          5840114428"</f>
        <v xml:space="preserve">          5840114428</v>
      </c>
      <c r="X2113">
        <v>119.6</v>
      </c>
      <c r="Y2113">
        <v>0</v>
      </c>
      <c r="Z2113" s="3">
        <v>115</v>
      </c>
      <c r="AA2113">
        <v>275</v>
      </c>
      <c r="AB2113" s="5">
        <v>31625</v>
      </c>
      <c r="AC2113">
        <v>115</v>
      </c>
      <c r="AD2113">
        <v>275</v>
      </c>
      <c r="AE2113" s="1">
        <v>31625</v>
      </c>
      <c r="AF2113">
        <v>0</v>
      </c>
      <c r="AJ2113">
        <v>0</v>
      </c>
      <c r="AK2113">
        <v>0</v>
      </c>
      <c r="AL2113">
        <v>0</v>
      </c>
      <c r="AM2113">
        <v>0</v>
      </c>
      <c r="AN2113">
        <v>0</v>
      </c>
      <c r="AO2113">
        <v>0</v>
      </c>
      <c r="AP2113" s="2">
        <v>42746</v>
      </c>
      <c r="AQ2113" t="s">
        <v>72</v>
      </c>
      <c r="AR2113" t="s">
        <v>72</v>
      </c>
      <c r="AS2113">
        <v>3049</v>
      </c>
      <c r="AT2113" s="4">
        <v>42684</v>
      </c>
      <c r="AU2113" t="s">
        <v>73</v>
      </c>
      <c r="AV2113">
        <v>3049</v>
      </c>
      <c r="AW2113" s="4">
        <v>42684</v>
      </c>
      <c r="BD2113">
        <v>0</v>
      </c>
      <c r="BN2113" t="s">
        <v>74</v>
      </c>
    </row>
    <row r="2114" spans="1:66">
      <c r="A2114">
        <v>100695</v>
      </c>
      <c r="B2114" s="3" t="s">
        <v>227</v>
      </c>
      <c r="C2114" s="1">
        <v>43300101</v>
      </c>
      <c r="D2114" t="s">
        <v>67</v>
      </c>
      <c r="H2114" t="str">
        <f t="shared" si="211"/>
        <v>00721920155</v>
      </c>
      <c r="I2114" t="str">
        <f t="shared" si="211"/>
        <v>00721920155</v>
      </c>
      <c r="K2114" t="str">
        <f>""</f>
        <v/>
      </c>
      <c r="M2114" t="s">
        <v>68</v>
      </c>
      <c r="N2114" t="str">
        <f t="shared" si="209"/>
        <v>FOR</v>
      </c>
      <c r="O2114" t="s">
        <v>69</v>
      </c>
      <c r="P2114" s="3" t="s">
        <v>75</v>
      </c>
      <c r="Q2114">
        <v>2015</v>
      </c>
      <c r="R2114" s="2">
        <v>42341</v>
      </c>
      <c r="S2114" s="2">
        <v>42353</v>
      </c>
      <c r="T2114" s="2">
        <v>42349</v>
      </c>
      <c r="U2114" s="2">
        <v>42409</v>
      </c>
      <c r="V2114" t="s">
        <v>71</v>
      </c>
      <c r="W2114" t="str">
        <f>"          5840114480"</f>
        <v xml:space="preserve">          5840114480</v>
      </c>
      <c r="X2114" s="1">
        <v>7920.85</v>
      </c>
      <c r="Y2114">
        <v>0</v>
      </c>
      <c r="Z2114" s="5">
        <v>6492.5</v>
      </c>
      <c r="AA2114">
        <v>275</v>
      </c>
      <c r="AB2114" s="5">
        <v>1785437.5</v>
      </c>
      <c r="AC2114" s="1">
        <v>6492.5</v>
      </c>
      <c r="AD2114">
        <v>275</v>
      </c>
      <c r="AE2114" s="1">
        <v>1785437.5</v>
      </c>
      <c r="AF2114">
        <v>0</v>
      </c>
      <c r="AJ2114">
        <v>0</v>
      </c>
      <c r="AK2114">
        <v>0</v>
      </c>
      <c r="AL2114">
        <v>0</v>
      </c>
      <c r="AM2114">
        <v>0</v>
      </c>
      <c r="AN2114">
        <v>0</v>
      </c>
      <c r="AO2114">
        <v>0</v>
      </c>
      <c r="AP2114" s="2">
        <v>42746</v>
      </c>
      <c r="AQ2114" t="s">
        <v>72</v>
      </c>
      <c r="AR2114" t="s">
        <v>72</v>
      </c>
      <c r="AS2114">
        <v>3049</v>
      </c>
      <c r="AT2114" s="4">
        <v>42684</v>
      </c>
      <c r="AU2114" t="s">
        <v>73</v>
      </c>
      <c r="AV2114">
        <v>3049</v>
      </c>
      <c r="AW2114" s="4">
        <v>42684</v>
      </c>
      <c r="BD2114">
        <v>0</v>
      </c>
      <c r="BN2114" t="s">
        <v>74</v>
      </c>
    </row>
    <row r="2115" spans="1:66">
      <c r="A2115">
        <v>100695</v>
      </c>
      <c r="B2115" s="3" t="s">
        <v>227</v>
      </c>
      <c r="C2115" s="1">
        <v>43300101</v>
      </c>
      <c r="D2115" t="s">
        <v>67</v>
      </c>
      <c r="H2115" t="str">
        <f t="shared" si="211"/>
        <v>00721920155</v>
      </c>
      <c r="I2115" t="str">
        <f t="shared" si="211"/>
        <v>00721920155</v>
      </c>
      <c r="K2115" t="str">
        <f>""</f>
        <v/>
      </c>
      <c r="M2115" t="s">
        <v>68</v>
      </c>
      <c r="N2115" t="str">
        <f t="shared" si="209"/>
        <v>FOR</v>
      </c>
      <c r="O2115" t="s">
        <v>69</v>
      </c>
      <c r="P2115" s="3" t="s">
        <v>75</v>
      </c>
      <c r="Q2115">
        <v>2015</v>
      </c>
      <c r="R2115" s="2">
        <v>42347</v>
      </c>
      <c r="S2115" s="2">
        <v>42353</v>
      </c>
      <c r="T2115" s="2">
        <v>42349</v>
      </c>
      <c r="U2115" s="2">
        <v>42409</v>
      </c>
      <c r="V2115" t="s">
        <v>71</v>
      </c>
      <c r="W2115" t="str">
        <f>"          5840114574"</f>
        <v xml:space="preserve">          5840114574</v>
      </c>
      <c r="X2115">
        <v>119.6</v>
      </c>
      <c r="Y2115">
        <v>0</v>
      </c>
      <c r="Z2115" s="3">
        <v>115</v>
      </c>
      <c r="AA2115">
        <v>275</v>
      </c>
      <c r="AB2115" s="5">
        <v>31625</v>
      </c>
      <c r="AC2115">
        <v>115</v>
      </c>
      <c r="AD2115">
        <v>275</v>
      </c>
      <c r="AE2115" s="1">
        <v>31625</v>
      </c>
      <c r="AF2115">
        <v>0</v>
      </c>
      <c r="AJ2115">
        <v>0</v>
      </c>
      <c r="AK2115">
        <v>0</v>
      </c>
      <c r="AL2115">
        <v>0</v>
      </c>
      <c r="AM2115">
        <v>0</v>
      </c>
      <c r="AN2115">
        <v>0</v>
      </c>
      <c r="AO2115">
        <v>0</v>
      </c>
      <c r="AP2115" s="2">
        <v>42746</v>
      </c>
      <c r="AQ2115" t="s">
        <v>72</v>
      </c>
      <c r="AR2115" t="s">
        <v>72</v>
      </c>
      <c r="AS2115">
        <v>3049</v>
      </c>
      <c r="AT2115" s="4">
        <v>42684</v>
      </c>
      <c r="AU2115" t="s">
        <v>73</v>
      </c>
      <c r="AV2115">
        <v>3049</v>
      </c>
      <c r="AW2115" s="4">
        <v>42684</v>
      </c>
      <c r="BD2115">
        <v>0</v>
      </c>
      <c r="BN2115" t="s">
        <v>74</v>
      </c>
    </row>
    <row r="2116" spans="1:66">
      <c r="A2116">
        <v>100695</v>
      </c>
      <c r="B2116" s="3" t="s">
        <v>227</v>
      </c>
      <c r="C2116" s="1">
        <v>43300101</v>
      </c>
      <c r="D2116" t="s">
        <v>67</v>
      </c>
      <c r="H2116" t="str">
        <f t="shared" si="211"/>
        <v>00721920155</v>
      </c>
      <c r="I2116" t="str">
        <f t="shared" si="211"/>
        <v>00721920155</v>
      </c>
      <c r="K2116" t="str">
        <f>""</f>
        <v/>
      </c>
      <c r="M2116" t="s">
        <v>68</v>
      </c>
      <c r="N2116" t="str">
        <f t="shared" si="209"/>
        <v>FOR</v>
      </c>
      <c r="O2116" t="s">
        <v>69</v>
      </c>
      <c r="P2116" s="3" t="s">
        <v>75</v>
      </c>
      <c r="Q2116">
        <v>2015</v>
      </c>
      <c r="R2116" s="2">
        <v>42355</v>
      </c>
      <c r="S2116" s="2">
        <v>42359</v>
      </c>
      <c r="T2116" s="2">
        <v>42356</v>
      </c>
      <c r="U2116" s="2">
        <v>42416</v>
      </c>
      <c r="V2116" t="s">
        <v>71</v>
      </c>
      <c r="W2116" t="str">
        <f>"          5840115054"</f>
        <v xml:space="preserve">          5840115054</v>
      </c>
      <c r="X2116">
        <v>119.6</v>
      </c>
      <c r="Y2116">
        <v>0</v>
      </c>
      <c r="Z2116" s="3">
        <v>115</v>
      </c>
      <c r="AA2116">
        <v>268</v>
      </c>
      <c r="AB2116" s="5">
        <v>30820</v>
      </c>
      <c r="AC2116">
        <v>115</v>
      </c>
      <c r="AD2116">
        <v>268</v>
      </c>
      <c r="AE2116" s="1">
        <v>30820</v>
      </c>
      <c r="AF2116">
        <v>0</v>
      </c>
      <c r="AJ2116">
        <v>0</v>
      </c>
      <c r="AK2116">
        <v>0</v>
      </c>
      <c r="AL2116">
        <v>0</v>
      </c>
      <c r="AM2116">
        <v>0</v>
      </c>
      <c r="AN2116">
        <v>0</v>
      </c>
      <c r="AO2116">
        <v>0</v>
      </c>
      <c r="AP2116" s="2">
        <v>42746</v>
      </c>
      <c r="AQ2116" t="s">
        <v>72</v>
      </c>
      <c r="AR2116" t="s">
        <v>72</v>
      </c>
      <c r="AS2116">
        <v>3049</v>
      </c>
      <c r="AT2116" s="4">
        <v>42684</v>
      </c>
      <c r="AU2116" t="s">
        <v>73</v>
      </c>
      <c r="AV2116">
        <v>3049</v>
      </c>
      <c r="AW2116" s="4">
        <v>42684</v>
      </c>
      <c r="BD2116">
        <v>0</v>
      </c>
      <c r="BN2116" t="s">
        <v>74</v>
      </c>
    </row>
    <row r="2117" spans="1:66">
      <c r="A2117">
        <v>100695</v>
      </c>
      <c r="B2117" s="3" t="s">
        <v>227</v>
      </c>
      <c r="C2117" s="1">
        <v>43300101</v>
      </c>
      <c r="D2117" t="s">
        <v>67</v>
      </c>
      <c r="H2117" t="str">
        <f t="shared" si="211"/>
        <v>00721920155</v>
      </c>
      <c r="I2117" t="str">
        <f t="shared" si="211"/>
        <v>00721920155</v>
      </c>
      <c r="K2117" t="str">
        <f>""</f>
        <v/>
      </c>
      <c r="M2117" t="s">
        <v>68</v>
      </c>
      <c r="N2117" t="str">
        <f t="shared" si="209"/>
        <v>FOR</v>
      </c>
      <c r="O2117" t="s">
        <v>69</v>
      </c>
      <c r="P2117" s="3" t="s">
        <v>75</v>
      </c>
      <c r="Q2117">
        <v>2015</v>
      </c>
      <c r="R2117" s="2">
        <v>42356</v>
      </c>
      <c r="S2117" s="2">
        <v>42359</v>
      </c>
      <c r="T2117" s="2">
        <v>42356</v>
      </c>
      <c r="U2117" s="2">
        <v>42416</v>
      </c>
      <c r="V2117" t="s">
        <v>71</v>
      </c>
      <c r="W2117" t="str">
        <f>"          5840115063"</f>
        <v xml:space="preserve">          5840115063</v>
      </c>
      <c r="X2117">
        <v>119.6</v>
      </c>
      <c r="Y2117">
        <v>0</v>
      </c>
      <c r="Z2117" s="3">
        <v>115</v>
      </c>
      <c r="AA2117">
        <v>268</v>
      </c>
      <c r="AB2117" s="5">
        <v>30820</v>
      </c>
      <c r="AC2117">
        <v>115</v>
      </c>
      <c r="AD2117">
        <v>268</v>
      </c>
      <c r="AE2117" s="1">
        <v>30820</v>
      </c>
      <c r="AF2117">
        <v>0</v>
      </c>
      <c r="AJ2117">
        <v>0</v>
      </c>
      <c r="AK2117">
        <v>0</v>
      </c>
      <c r="AL2117">
        <v>0</v>
      </c>
      <c r="AM2117">
        <v>0</v>
      </c>
      <c r="AN2117">
        <v>0</v>
      </c>
      <c r="AO2117">
        <v>0</v>
      </c>
      <c r="AP2117" s="2">
        <v>42746</v>
      </c>
      <c r="AQ2117" t="s">
        <v>72</v>
      </c>
      <c r="AR2117" t="s">
        <v>72</v>
      </c>
      <c r="AS2117">
        <v>3049</v>
      </c>
      <c r="AT2117" s="4">
        <v>42684</v>
      </c>
      <c r="AU2117" t="s">
        <v>73</v>
      </c>
      <c r="AV2117">
        <v>3049</v>
      </c>
      <c r="AW2117" s="4">
        <v>42684</v>
      </c>
      <c r="BD2117">
        <v>0</v>
      </c>
      <c r="BN2117" t="s">
        <v>74</v>
      </c>
    </row>
    <row r="2118" spans="1:66">
      <c r="A2118">
        <v>100695</v>
      </c>
      <c r="B2118" s="3" t="s">
        <v>227</v>
      </c>
      <c r="C2118" s="1">
        <v>43300101</v>
      </c>
      <c r="D2118" t="s">
        <v>67</v>
      </c>
      <c r="H2118" t="str">
        <f t="shared" si="211"/>
        <v>00721920155</v>
      </c>
      <c r="I2118" t="str">
        <f t="shared" si="211"/>
        <v>00721920155</v>
      </c>
      <c r="K2118" t="str">
        <f>""</f>
        <v/>
      </c>
      <c r="M2118" t="s">
        <v>68</v>
      </c>
      <c r="N2118" t="str">
        <f t="shared" si="209"/>
        <v>FOR</v>
      </c>
      <c r="O2118" t="s">
        <v>69</v>
      </c>
      <c r="P2118" s="3" t="s">
        <v>75</v>
      </c>
      <c r="Q2118">
        <v>2015</v>
      </c>
      <c r="R2118" s="2">
        <v>42356</v>
      </c>
      <c r="S2118" s="2">
        <v>42359</v>
      </c>
      <c r="T2118" s="2">
        <v>42356</v>
      </c>
      <c r="U2118" s="2">
        <v>42416</v>
      </c>
      <c r="V2118" t="s">
        <v>71</v>
      </c>
      <c r="W2118" t="str">
        <f>"          5840115064"</f>
        <v xml:space="preserve">          5840115064</v>
      </c>
      <c r="X2118">
        <v>119.6</v>
      </c>
      <c r="Y2118">
        <v>0</v>
      </c>
      <c r="Z2118" s="3">
        <v>115</v>
      </c>
      <c r="AA2118">
        <v>268</v>
      </c>
      <c r="AB2118" s="5">
        <v>30820</v>
      </c>
      <c r="AC2118">
        <v>115</v>
      </c>
      <c r="AD2118">
        <v>268</v>
      </c>
      <c r="AE2118" s="1">
        <v>30820</v>
      </c>
      <c r="AF2118">
        <v>0</v>
      </c>
      <c r="AJ2118">
        <v>0</v>
      </c>
      <c r="AK2118">
        <v>0</v>
      </c>
      <c r="AL2118">
        <v>0</v>
      </c>
      <c r="AM2118">
        <v>0</v>
      </c>
      <c r="AN2118">
        <v>0</v>
      </c>
      <c r="AO2118">
        <v>0</v>
      </c>
      <c r="AP2118" s="2">
        <v>42746</v>
      </c>
      <c r="AQ2118" t="s">
        <v>72</v>
      </c>
      <c r="AR2118" t="s">
        <v>72</v>
      </c>
      <c r="AS2118">
        <v>3049</v>
      </c>
      <c r="AT2118" s="4">
        <v>42684</v>
      </c>
      <c r="AU2118" t="s">
        <v>73</v>
      </c>
      <c r="AV2118">
        <v>3049</v>
      </c>
      <c r="AW2118" s="4">
        <v>42684</v>
      </c>
      <c r="BD2118">
        <v>0</v>
      </c>
      <c r="BN2118" t="s">
        <v>74</v>
      </c>
    </row>
    <row r="2119" spans="1:66">
      <c r="A2119">
        <v>100695</v>
      </c>
      <c r="B2119" s="3" t="s">
        <v>227</v>
      </c>
      <c r="C2119" s="1">
        <v>43300101</v>
      </c>
      <c r="D2119" t="s">
        <v>67</v>
      </c>
      <c r="H2119" t="str">
        <f t="shared" si="211"/>
        <v>00721920155</v>
      </c>
      <c r="I2119" t="str">
        <f t="shared" si="211"/>
        <v>00721920155</v>
      </c>
      <c r="K2119" t="str">
        <f>""</f>
        <v/>
      </c>
      <c r="M2119" t="s">
        <v>68</v>
      </c>
      <c r="N2119" t="str">
        <f t="shared" si="209"/>
        <v>FOR</v>
      </c>
      <c r="O2119" t="s">
        <v>69</v>
      </c>
      <c r="P2119" s="3" t="s">
        <v>75</v>
      </c>
      <c r="Q2119">
        <v>2015</v>
      </c>
      <c r="R2119" s="2">
        <v>42356</v>
      </c>
      <c r="S2119" s="2">
        <v>42359</v>
      </c>
      <c r="T2119" s="2">
        <v>42356</v>
      </c>
      <c r="U2119" s="2">
        <v>42416</v>
      </c>
      <c r="V2119" t="s">
        <v>71</v>
      </c>
      <c r="W2119" t="str">
        <f>"          5840115066"</f>
        <v xml:space="preserve">          5840115066</v>
      </c>
      <c r="X2119">
        <v>119.6</v>
      </c>
      <c r="Y2119">
        <v>0</v>
      </c>
      <c r="Z2119" s="3">
        <v>115</v>
      </c>
      <c r="AA2119">
        <v>268</v>
      </c>
      <c r="AB2119" s="5">
        <v>30820</v>
      </c>
      <c r="AC2119">
        <v>115</v>
      </c>
      <c r="AD2119">
        <v>268</v>
      </c>
      <c r="AE2119" s="1">
        <v>30820</v>
      </c>
      <c r="AF2119">
        <v>0</v>
      </c>
      <c r="AJ2119">
        <v>0</v>
      </c>
      <c r="AK2119">
        <v>0</v>
      </c>
      <c r="AL2119">
        <v>0</v>
      </c>
      <c r="AM2119">
        <v>0</v>
      </c>
      <c r="AN2119">
        <v>0</v>
      </c>
      <c r="AO2119">
        <v>0</v>
      </c>
      <c r="AP2119" s="2">
        <v>42746</v>
      </c>
      <c r="AQ2119" t="s">
        <v>72</v>
      </c>
      <c r="AR2119" t="s">
        <v>72</v>
      </c>
      <c r="AS2119">
        <v>3049</v>
      </c>
      <c r="AT2119" s="4">
        <v>42684</v>
      </c>
      <c r="AU2119" t="s">
        <v>73</v>
      </c>
      <c r="AV2119">
        <v>3049</v>
      </c>
      <c r="AW2119" s="4">
        <v>42684</v>
      </c>
      <c r="BD2119">
        <v>0</v>
      </c>
      <c r="BN2119" t="s">
        <v>74</v>
      </c>
    </row>
    <row r="2120" spans="1:66">
      <c r="A2120">
        <v>100695</v>
      </c>
      <c r="B2120" s="3" t="s">
        <v>227</v>
      </c>
      <c r="C2120" s="1">
        <v>43300101</v>
      </c>
      <c r="D2120" t="s">
        <v>67</v>
      </c>
      <c r="H2120" t="str">
        <f t="shared" si="211"/>
        <v>00721920155</v>
      </c>
      <c r="I2120" t="str">
        <f t="shared" si="211"/>
        <v>00721920155</v>
      </c>
      <c r="K2120" t="str">
        <f>""</f>
        <v/>
      </c>
      <c r="M2120" t="s">
        <v>68</v>
      </c>
      <c r="N2120" t="str">
        <f t="shared" si="209"/>
        <v>FOR</v>
      </c>
      <c r="O2120" t="s">
        <v>69</v>
      </c>
      <c r="P2120" s="3" t="s">
        <v>75</v>
      </c>
      <c r="Q2120">
        <v>2015</v>
      </c>
      <c r="R2120" s="2">
        <v>42356</v>
      </c>
      <c r="S2120" s="2">
        <v>42359</v>
      </c>
      <c r="T2120" s="2">
        <v>42356</v>
      </c>
      <c r="U2120" s="2">
        <v>42416</v>
      </c>
      <c r="V2120" t="s">
        <v>71</v>
      </c>
      <c r="W2120" t="str">
        <f>"          5840115068"</f>
        <v xml:space="preserve">          5840115068</v>
      </c>
      <c r="X2120">
        <v>119.6</v>
      </c>
      <c r="Y2120">
        <v>0</v>
      </c>
      <c r="Z2120" s="3">
        <v>115</v>
      </c>
      <c r="AA2120">
        <v>268</v>
      </c>
      <c r="AB2120" s="5">
        <v>30820</v>
      </c>
      <c r="AC2120">
        <v>115</v>
      </c>
      <c r="AD2120">
        <v>268</v>
      </c>
      <c r="AE2120" s="1">
        <v>30820</v>
      </c>
      <c r="AF2120">
        <v>0</v>
      </c>
      <c r="AJ2120">
        <v>0</v>
      </c>
      <c r="AK2120">
        <v>0</v>
      </c>
      <c r="AL2120">
        <v>0</v>
      </c>
      <c r="AM2120">
        <v>0</v>
      </c>
      <c r="AN2120">
        <v>0</v>
      </c>
      <c r="AO2120">
        <v>0</v>
      </c>
      <c r="AP2120" s="2">
        <v>42746</v>
      </c>
      <c r="AQ2120" t="s">
        <v>72</v>
      </c>
      <c r="AR2120" t="s">
        <v>72</v>
      </c>
      <c r="AS2120">
        <v>3049</v>
      </c>
      <c r="AT2120" s="4">
        <v>42684</v>
      </c>
      <c r="AU2120" t="s">
        <v>73</v>
      </c>
      <c r="AV2120">
        <v>3049</v>
      </c>
      <c r="AW2120" s="4">
        <v>42684</v>
      </c>
      <c r="BD2120">
        <v>0</v>
      </c>
      <c r="BN2120" t="s">
        <v>74</v>
      </c>
    </row>
    <row r="2121" spans="1:66">
      <c r="A2121">
        <v>100695</v>
      </c>
      <c r="B2121" s="3" t="s">
        <v>227</v>
      </c>
      <c r="C2121" s="1">
        <v>43300101</v>
      </c>
      <c r="D2121" t="s">
        <v>67</v>
      </c>
      <c r="H2121" t="str">
        <f t="shared" si="211"/>
        <v>00721920155</v>
      </c>
      <c r="I2121" t="str">
        <f t="shared" si="211"/>
        <v>00721920155</v>
      </c>
      <c r="K2121" t="str">
        <f>""</f>
        <v/>
      </c>
      <c r="M2121" t="s">
        <v>68</v>
      </c>
      <c r="N2121" t="str">
        <f t="shared" si="209"/>
        <v>FOR</v>
      </c>
      <c r="O2121" t="s">
        <v>69</v>
      </c>
      <c r="P2121" s="3" t="s">
        <v>75</v>
      </c>
      <c r="Q2121">
        <v>2015</v>
      </c>
      <c r="R2121" s="2">
        <v>42359</v>
      </c>
      <c r="S2121" s="2">
        <v>42361</v>
      </c>
      <c r="T2121" s="2">
        <v>42360</v>
      </c>
      <c r="U2121" s="2">
        <v>42420</v>
      </c>
      <c r="V2121" t="s">
        <v>71</v>
      </c>
      <c r="W2121" t="str">
        <f>"          5840115203"</f>
        <v xml:space="preserve">          5840115203</v>
      </c>
      <c r="X2121">
        <v>119.6</v>
      </c>
      <c r="Y2121">
        <v>0</v>
      </c>
      <c r="Z2121" s="3">
        <v>115</v>
      </c>
      <c r="AA2121">
        <v>264</v>
      </c>
      <c r="AB2121" s="5">
        <v>30360</v>
      </c>
      <c r="AC2121">
        <v>115</v>
      </c>
      <c r="AD2121">
        <v>264</v>
      </c>
      <c r="AE2121" s="1">
        <v>30360</v>
      </c>
      <c r="AF2121">
        <v>0</v>
      </c>
      <c r="AJ2121">
        <v>0</v>
      </c>
      <c r="AK2121">
        <v>0</v>
      </c>
      <c r="AL2121">
        <v>0</v>
      </c>
      <c r="AM2121">
        <v>0</v>
      </c>
      <c r="AN2121">
        <v>0</v>
      </c>
      <c r="AO2121">
        <v>0</v>
      </c>
      <c r="AP2121" s="2">
        <v>42746</v>
      </c>
      <c r="AQ2121" t="s">
        <v>72</v>
      </c>
      <c r="AR2121" t="s">
        <v>72</v>
      </c>
      <c r="AS2121">
        <v>3049</v>
      </c>
      <c r="AT2121" s="4">
        <v>42684</v>
      </c>
      <c r="AU2121" t="s">
        <v>73</v>
      </c>
      <c r="AV2121">
        <v>3049</v>
      </c>
      <c r="AW2121" s="4">
        <v>42684</v>
      </c>
      <c r="BD2121">
        <v>0</v>
      </c>
      <c r="BN2121" t="s">
        <v>74</v>
      </c>
    </row>
    <row r="2122" spans="1:66">
      <c r="A2122">
        <v>100695</v>
      </c>
      <c r="B2122" s="3" t="s">
        <v>227</v>
      </c>
      <c r="C2122" s="1">
        <v>43300101</v>
      </c>
      <c r="D2122" t="s">
        <v>67</v>
      </c>
      <c r="H2122" t="str">
        <f t="shared" si="211"/>
        <v>00721920155</v>
      </c>
      <c r="I2122" t="str">
        <f t="shared" si="211"/>
        <v>00721920155</v>
      </c>
      <c r="K2122" t="str">
        <f>""</f>
        <v/>
      </c>
      <c r="M2122" t="s">
        <v>68</v>
      </c>
      <c r="N2122" t="str">
        <f t="shared" si="209"/>
        <v>FOR</v>
      </c>
      <c r="O2122" t="s">
        <v>69</v>
      </c>
      <c r="P2122" s="3" t="s">
        <v>75</v>
      </c>
      <c r="Q2122">
        <v>2015</v>
      </c>
      <c r="R2122" s="2">
        <v>42359</v>
      </c>
      <c r="S2122" s="2">
        <v>42361</v>
      </c>
      <c r="T2122" s="2">
        <v>42360</v>
      </c>
      <c r="U2122" s="2">
        <v>42420</v>
      </c>
      <c r="V2122" t="s">
        <v>71</v>
      </c>
      <c r="W2122" t="str">
        <f>"          5840115213"</f>
        <v xml:space="preserve">          5840115213</v>
      </c>
      <c r="X2122">
        <v>119.6</v>
      </c>
      <c r="Y2122">
        <v>0</v>
      </c>
      <c r="Z2122" s="3">
        <v>115</v>
      </c>
      <c r="AA2122">
        <v>264</v>
      </c>
      <c r="AB2122" s="5">
        <v>30360</v>
      </c>
      <c r="AC2122">
        <v>115</v>
      </c>
      <c r="AD2122">
        <v>264</v>
      </c>
      <c r="AE2122" s="1">
        <v>30360</v>
      </c>
      <c r="AF2122">
        <v>0</v>
      </c>
      <c r="AJ2122">
        <v>0</v>
      </c>
      <c r="AK2122">
        <v>0</v>
      </c>
      <c r="AL2122">
        <v>0</v>
      </c>
      <c r="AM2122">
        <v>0</v>
      </c>
      <c r="AN2122">
        <v>0</v>
      </c>
      <c r="AO2122">
        <v>0</v>
      </c>
      <c r="AP2122" s="2">
        <v>42746</v>
      </c>
      <c r="AQ2122" t="s">
        <v>72</v>
      </c>
      <c r="AR2122" t="s">
        <v>72</v>
      </c>
      <c r="AS2122">
        <v>3049</v>
      </c>
      <c r="AT2122" s="4">
        <v>42684</v>
      </c>
      <c r="AU2122" t="s">
        <v>73</v>
      </c>
      <c r="AV2122">
        <v>3049</v>
      </c>
      <c r="AW2122" s="4">
        <v>42684</v>
      </c>
      <c r="BD2122">
        <v>0</v>
      </c>
      <c r="BN2122" t="s">
        <v>74</v>
      </c>
    </row>
    <row r="2123" spans="1:66">
      <c r="A2123">
        <v>100695</v>
      </c>
      <c r="B2123" s="3" t="s">
        <v>227</v>
      </c>
      <c r="C2123" s="1">
        <v>43300101</v>
      </c>
      <c r="D2123" t="s">
        <v>67</v>
      </c>
      <c r="H2123" t="str">
        <f t="shared" si="211"/>
        <v>00721920155</v>
      </c>
      <c r="I2123" t="str">
        <f t="shared" si="211"/>
        <v>00721920155</v>
      </c>
      <c r="K2123" t="str">
        <f>""</f>
        <v/>
      </c>
      <c r="M2123" t="s">
        <v>68</v>
      </c>
      <c r="N2123" t="str">
        <f t="shared" si="209"/>
        <v>FOR</v>
      </c>
      <c r="O2123" t="s">
        <v>69</v>
      </c>
      <c r="P2123" s="3" t="s">
        <v>75</v>
      </c>
      <c r="Q2123">
        <v>2015</v>
      </c>
      <c r="R2123" s="2">
        <v>42359</v>
      </c>
      <c r="S2123" s="2">
        <v>42361</v>
      </c>
      <c r="T2123" s="2">
        <v>42360</v>
      </c>
      <c r="U2123" s="2">
        <v>42420</v>
      </c>
      <c r="V2123" t="s">
        <v>71</v>
      </c>
      <c r="W2123" t="str">
        <f>"          5840115222"</f>
        <v xml:space="preserve">          5840115222</v>
      </c>
      <c r="X2123">
        <v>119.6</v>
      </c>
      <c r="Y2123">
        <v>0</v>
      </c>
      <c r="Z2123" s="3">
        <v>115</v>
      </c>
      <c r="AA2123">
        <v>264</v>
      </c>
      <c r="AB2123" s="5">
        <v>30360</v>
      </c>
      <c r="AC2123">
        <v>115</v>
      </c>
      <c r="AD2123">
        <v>264</v>
      </c>
      <c r="AE2123" s="1">
        <v>30360</v>
      </c>
      <c r="AF2123">
        <v>0</v>
      </c>
      <c r="AJ2123">
        <v>0</v>
      </c>
      <c r="AK2123">
        <v>0</v>
      </c>
      <c r="AL2123">
        <v>0</v>
      </c>
      <c r="AM2123">
        <v>0</v>
      </c>
      <c r="AN2123">
        <v>0</v>
      </c>
      <c r="AO2123">
        <v>0</v>
      </c>
      <c r="AP2123" s="2">
        <v>42746</v>
      </c>
      <c r="AQ2123" t="s">
        <v>72</v>
      </c>
      <c r="AR2123" t="s">
        <v>72</v>
      </c>
      <c r="AS2123">
        <v>3049</v>
      </c>
      <c r="AT2123" s="4">
        <v>42684</v>
      </c>
      <c r="AU2123" t="s">
        <v>73</v>
      </c>
      <c r="AV2123">
        <v>3049</v>
      </c>
      <c r="AW2123" s="4">
        <v>42684</v>
      </c>
      <c r="BD2123">
        <v>0</v>
      </c>
      <c r="BN2123" t="s">
        <v>74</v>
      </c>
    </row>
    <row r="2124" spans="1:66">
      <c r="A2124">
        <v>100695</v>
      </c>
      <c r="B2124" s="3" t="s">
        <v>227</v>
      </c>
      <c r="C2124" s="1">
        <v>43300101</v>
      </c>
      <c r="D2124" t="s">
        <v>67</v>
      </c>
      <c r="H2124" t="str">
        <f t="shared" si="211"/>
        <v>00721920155</v>
      </c>
      <c r="I2124" t="str">
        <f t="shared" si="211"/>
        <v>00721920155</v>
      </c>
      <c r="K2124" t="str">
        <f>""</f>
        <v/>
      </c>
      <c r="M2124" t="s">
        <v>68</v>
      </c>
      <c r="N2124" t="str">
        <f t="shared" si="209"/>
        <v>FOR</v>
      </c>
      <c r="O2124" t="s">
        <v>69</v>
      </c>
      <c r="P2124" s="3" t="s">
        <v>75</v>
      </c>
      <c r="Q2124">
        <v>2015</v>
      </c>
      <c r="R2124" s="2">
        <v>42360</v>
      </c>
      <c r="S2124" s="2">
        <v>42361</v>
      </c>
      <c r="T2124" s="2">
        <v>42360</v>
      </c>
      <c r="U2124" s="2">
        <v>42420</v>
      </c>
      <c r="V2124" t="s">
        <v>71</v>
      </c>
      <c r="W2124" t="str">
        <f>"          5840115251"</f>
        <v xml:space="preserve">          5840115251</v>
      </c>
      <c r="X2124">
        <v>119.6</v>
      </c>
      <c r="Y2124">
        <v>0</v>
      </c>
      <c r="Z2124" s="3">
        <v>115</v>
      </c>
      <c r="AA2124">
        <v>264</v>
      </c>
      <c r="AB2124" s="5">
        <v>30360</v>
      </c>
      <c r="AC2124">
        <v>115</v>
      </c>
      <c r="AD2124">
        <v>264</v>
      </c>
      <c r="AE2124" s="1">
        <v>30360</v>
      </c>
      <c r="AF2124">
        <v>0</v>
      </c>
      <c r="AJ2124">
        <v>0</v>
      </c>
      <c r="AK2124">
        <v>0</v>
      </c>
      <c r="AL2124">
        <v>0</v>
      </c>
      <c r="AM2124">
        <v>0</v>
      </c>
      <c r="AN2124">
        <v>0</v>
      </c>
      <c r="AO2124">
        <v>0</v>
      </c>
      <c r="AP2124" s="2">
        <v>42746</v>
      </c>
      <c r="AQ2124" t="s">
        <v>72</v>
      </c>
      <c r="AR2124" t="s">
        <v>72</v>
      </c>
      <c r="AS2124">
        <v>3049</v>
      </c>
      <c r="AT2124" s="4">
        <v>42684</v>
      </c>
      <c r="AU2124" t="s">
        <v>73</v>
      </c>
      <c r="AV2124">
        <v>3049</v>
      </c>
      <c r="AW2124" s="4">
        <v>42684</v>
      </c>
      <c r="BD2124">
        <v>0</v>
      </c>
      <c r="BN2124" t="s">
        <v>74</v>
      </c>
    </row>
    <row r="2125" spans="1:66">
      <c r="A2125">
        <v>100695</v>
      </c>
      <c r="B2125" s="3" t="s">
        <v>227</v>
      </c>
      <c r="C2125" s="1">
        <v>43300101</v>
      </c>
      <c r="D2125" t="s">
        <v>67</v>
      </c>
      <c r="H2125" t="str">
        <f t="shared" si="211"/>
        <v>00721920155</v>
      </c>
      <c r="I2125" t="str">
        <f t="shared" si="211"/>
        <v>00721920155</v>
      </c>
      <c r="K2125" t="str">
        <f>""</f>
        <v/>
      </c>
      <c r="M2125" t="s">
        <v>68</v>
      </c>
      <c r="N2125" t="str">
        <f t="shared" si="209"/>
        <v>FOR</v>
      </c>
      <c r="O2125" t="s">
        <v>69</v>
      </c>
      <c r="P2125" s="3" t="s">
        <v>75</v>
      </c>
      <c r="Q2125">
        <v>2015</v>
      </c>
      <c r="R2125" s="2">
        <v>42360</v>
      </c>
      <c r="S2125" s="2">
        <v>42361</v>
      </c>
      <c r="T2125" s="2">
        <v>42360</v>
      </c>
      <c r="U2125" s="2">
        <v>42420</v>
      </c>
      <c r="V2125" t="s">
        <v>71</v>
      </c>
      <c r="W2125" t="str">
        <f>"          5840115261"</f>
        <v xml:space="preserve">          5840115261</v>
      </c>
      <c r="X2125">
        <v>119.6</v>
      </c>
      <c r="Y2125">
        <v>0</v>
      </c>
      <c r="Z2125" s="3">
        <v>115</v>
      </c>
      <c r="AA2125">
        <v>264</v>
      </c>
      <c r="AB2125" s="5">
        <v>30360</v>
      </c>
      <c r="AC2125">
        <v>115</v>
      </c>
      <c r="AD2125">
        <v>264</v>
      </c>
      <c r="AE2125" s="1">
        <v>30360</v>
      </c>
      <c r="AF2125">
        <v>0</v>
      </c>
      <c r="AJ2125">
        <v>0</v>
      </c>
      <c r="AK2125">
        <v>0</v>
      </c>
      <c r="AL2125">
        <v>0</v>
      </c>
      <c r="AM2125">
        <v>0</v>
      </c>
      <c r="AN2125">
        <v>0</v>
      </c>
      <c r="AO2125">
        <v>0</v>
      </c>
      <c r="AP2125" s="2">
        <v>42746</v>
      </c>
      <c r="AQ2125" t="s">
        <v>72</v>
      </c>
      <c r="AR2125" t="s">
        <v>72</v>
      </c>
      <c r="AS2125">
        <v>3049</v>
      </c>
      <c r="AT2125" s="4">
        <v>42684</v>
      </c>
      <c r="AU2125" t="s">
        <v>73</v>
      </c>
      <c r="AV2125">
        <v>3049</v>
      </c>
      <c r="AW2125" s="4">
        <v>42684</v>
      </c>
      <c r="BD2125">
        <v>0</v>
      </c>
      <c r="BN2125" t="s">
        <v>74</v>
      </c>
    </row>
    <row r="2126" spans="1:66">
      <c r="A2126">
        <v>100695</v>
      </c>
      <c r="B2126" s="3" t="s">
        <v>227</v>
      </c>
      <c r="C2126" s="1">
        <v>43300101</v>
      </c>
      <c r="D2126" t="s">
        <v>67</v>
      </c>
      <c r="H2126" t="str">
        <f t="shared" si="211"/>
        <v>00721920155</v>
      </c>
      <c r="I2126" t="str">
        <f t="shared" si="211"/>
        <v>00721920155</v>
      </c>
      <c r="K2126" t="str">
        <f>""</f>
        <v/>
      </c>
      <c r="M2126" t="s">
        <v>68</v>
      </c>
      <c r="N2126" t="str">
        <f t="shared" si="209"/>
        <v>FOR</v>
      </c>
      <c r="O2126" t="s">
        <v>69</v>
      </c>
      <c r="P2126" s="3" t="s">
        <v>75</v>
      </c>
      <c r="Q2126">
        <v>2015</v>
      </c>
      <c r="R2126" s="2">
        <v>42360</v>
      </c>
      <c r="S2126" s="2">
        <v>42361</v>
      </c>
      <c r="T2126" s="2">
        <v>42360</v>
      </c>
      <c r="U2126" s="2">
        <v>42420</v>
      </c>
      <c r="V2126" t="s">
        <v>71</v>
      </c>
      <c r="W2126" t="str">
        <f>"          5840115268"</f>
        <v xml:space="preserve">          5840115268</v>
      </c>
      <c r="X2126">
        <v>119.6</v>
      </c>
      <c r="Y2126">
        <v>0</v>
      </c>
      <c r="Z2126" s="3">
        <v>115</v>
      </c>
      <c r="AA2126">
        <v>264</v>
      </c>
      <c r="AB2126" s="5">
        <v>30360</v>
      </c>
      <c r="AC2126">
        <v>115</v>
      </c>
      <c r="AD2126">
        <v>264</v>
      </c>
      <c r="AE2126" s="1">
        <v>30360</v>
      </c>
      <c r="AF2126">
        <v>0</v>
      </c>
      <c r="AJ2126">
        <v>0</v>
      </c>
      <c r="AK2126">
        <v>0</v>
      </c>
      <c r="AL2126">
        <v>0</v>
      </c>
      <c r="AM2126">
        <v>0</v>
      </c>
      <c r="AN2126">
        <v>0</v>
      </c>
      <c r="AO2126">
        <v>0</v>
      </c>
      <c r="AP2126" s="2">
        <v>42746</v>
      </c>
      <c r="AQ2126" t="s">
        <v>72</v>
      </c>
      <c r="AR2126" t="s">
        <v>72</v>
      </c>
      <c r="AS2126">
        <v>3049</v>
      </c>
      <c r="AT2126" s="4">
        <v>42684</v>
      </c>
      <c r="AU2126" t="s">
        <v>73</v>
      </c>
      <c r="AV2126">
        <v>3049</v>
      </c>
      <c r="AW2126" s="4">
        <v>42684</v>
      </c>
      <c r="BD2126">
        <v>0</v>
      </c>
      <c r="BN2126" t="s">
        <v>74</v>
      </c>
    </row>
    <row r="2127" spans="1:66">
      <c r="A2127">
        <v>100695</v>
      </c>
      <c r="B2127" s="3" t="s">
        <v>227</v>
      </c>
      <c r="C2127" s="1">
        <v>43300101</v>
      </c>
      <c r="D2127" t="s">
        <v>67</v>
      </c>
      <c r="H2127" t="str">
        <f t="shared" si="211"/>
        <v>00721920155</v>
      </c>
      <c r="I2127" t="str">
        <f t="shared" si="211"/>
        <v>00721920155</v>
      </c>
      <c r="K2127" t="str">
        <f>""</f>
        <v/>
      </c>
      <c r="M2127" t="s">
        <v>68</v>
      </c>
      <c r="N2127" t="str">
        <f t="shared" si="209"/>
        <v>FOR</v>
      </c>
      <c r="O2127" t="s">
        <v>69</v>
      </c>
      <c r="P2127" s="3" t="s">
        <v>75</v>
      </c>
      <c r="Q2127">
        <v>2015</v>
      </c>
      <c r="R2127" s="2">
        <v>42360</v>
      </c>
      <c r="S2127" s="2">
        <v>42361</v>
      </c>
      <c r="T2127" s="2">
        <v>42360</v>
      </c>
      <c r="U2127" s="2">
        <v>42420</v>
      </c>
      <c r="V2127" t="s">
        <v>71</v>
      </c>
      <c r="W2127" t="str">
        <f>"          5840115284"</f>
        <v xml:space="preserve">          5840115284</v>
      </c>
      <c r="X2127">
        <v>119.6</v>
      </c>
      <c r="Y2127">
        <v>0</v>
      </c>
      <c r="Z2127" s="3">
        <v>115</v>
      </c>
      <c r="AA2127">
        <v>264</v>
      </c>
      <c r="AB2127" s="5">
        <v>30360</v>
      </c>
      <c r="AC2127">
        <v>115</v>
      </c>
      <c r="AD2127">
        <v>264</v>
      </c>
      <c r="AE2127" s="1">
        <v>30360</v>
      </c>
      <c r="AF2127">
        <v>0</v>
      </c>
      <c r="AJ2127">
        <v>0</v>
      </c>
      <c r="AK2127">
        <v>0</v>
      </c>
      <c r="AL2127">
        <v>0</v>
      </c>
      <c r="AM2127">
        <v>0</v>
      </c>
      <c r="AN2127">
        <v>0</v>
      </c>
      <c r="AO2127">
        <v>0</v>
      </c>
      <c r="AP2127" s="2">
        <v>42746</v>
      </c>
      <c r="AQ2127" t="s">
        <v>72</v>
      </c>
      <c r="AR2127" t="s">
        <v>72</v>
      </c>
      <c r="AS2127">
        <v>3049</v>
      </c>
      <c r="AT2127" s="4">
        <v>42684</v>
      </c>
      <c r="AU2127" t="s">
        <v>73</v>
      </c>
      <c r="AV2127">
        <v>3049</v>
      </c>
      <c r="AW2127" s="4">
        <v>42684</v>
      </c>
      <c r="BD2127">
        <v>0</v>
      </c>
      <c r="BN2127" t="s">
        <v>74</v>
      </c>
    </row>
    <row r="2128" spans="1:66">
      <c r="A2128">
        <v>100695</v>
      </c>
      <c r="B2128" s="3" t="s">
        <v>227</v>
      </c>
      <c r="C2128" s="1">
        <v>43300101</v>
      </c>
      <c r="D2128" t="s">
        <v>67</v>
      </c>
      <c r="H2128" t="str">
        <f t="shared" si="211"/>
        <v>00721920155</v>
      </c>
      <c r="I2128" t="str">
        <f t="shared" si="211"/>
        <v>00721920155</v>
      </c>
      <c r="K2128" t="str">
        <f>""</f>
        <v/>
      </c>
      <c r="M2128" t="s">
        <v>68</v>
      </c>
      <c r="N2128" t="str">
        <f t="shared" si="209"/>
        <v>FOR</v>
      </c>
      <c r="O2128" t="s">
        <v>69</v>
      </c>
      <c r="P2128" s="3" t="s">
        <v>75</v>
      </c>
      <c r="Q2128">
        <v>2015</v>
      </c>
      <c r="R2128" s="2">
        <v>42360</v>
      </c>
      <c r="S2128" s="2">
        <v>42367</v>
      </c>
      <c r="T2128" s="2">
        <v>42366</v>
      </c>
      <c r="U2128" s="2">
        <v>42426</v>
      </c>
      <c r="V2128" t="s">
        <v>71</v>
      </c>
      <c r="W2128" t="str">
        <f>"          5840115290"</f>
        <v xml:space="preserve">          5840115290</v>
      </c>
      <c r="X2128">
        <v>119.6</v>
      </c>
      <c r="Y2128">
        <v>0</v>
      </c>
      <c r="Z2128" s="3">
        <v>115</v>
      </c>
      <c r="AA2128">
        <v>258</v>
      </c>
      <c r="AB2128" s="5">
        <v>29670</v>
      </c>
      <c r="AC2128">
        <v>115</v>
      </c>
      <c r="AD2128">
        <v>258</v>
      </c>
      <c r="AE2128" s="1">
        <v>29670</v>
      </c>
      <c r="AF2128">
        <v>0</v>
      </c>
      <c r="AJ2128">
        <v>0</v>
      </c>
      <c r="AK2128">
        <v>0</v>
      </c>
      <c r="AL2128">
        <v>0</v>
      </c>
      <c r="AM2128">
        <v>0</v>
      </c>
      <c r="AN2128">
        <v>0</v>
      </c>
      <c r="AO2128">
        <v>0</v>
      </c>
      <c r="AP2128" s="2">
        <v>42746</v>
      </c>
      <c r="AQ2128" t="s">
        <v>72</v>
      </c>
      <c r="AR2128" t="s">
        <v>72</v>
      </c>
      <c r="AS2128">
        <v>3049</v>
      </c>
      <c r="AT2128" s="4">
        <v>42684</v>
      </c>
      <c r="AU2128" t="s">
        <v>73</v>
      </c>
      <c r="AV2128">
        <v>3049</v>
      </c>
      <c r="AW2128" s="4">
        <v>42684</v>
      </c>
      <c r="BD2128">
        <v>0</v>
      </c>
      <c r="BN2128" t="s">
        <v>74</v>
      </c>
    </row>
    <row r="2129" spans="1:66">
      <c r="A2129">
        <v>100695</v>
      </c>
      <c r="B2129" s="3" t="s">
        <v>227</v>
      </c>
      <c r="C2129" s="1">
        <v>43300101</v>
      </c>
      <c r="D2129" t="s">
        <v>67</v>
      </c>
      <c r="H2129" t="str">
        <f t="shared" ref="H2129:I2148" si="212">"00721920155"</f>
        <v>00721920155</v>
      </c>
      <c r="I2129" t="str">
        <f t="shared" si="212"/>
        <v>00721920155</v>
      </c>
      <c r="K2129" t="str">
        <f>""</f>
        <v/>
      </c>
      <c r="M2129" t="s">
        <v>68</v>
      </c>
      <c r="N2129" t="str">
        <f t="shared" si="209"/>
        <v>FOR</v>
      </c>
      <c r="O2129" t="s">
        <v>69</v>
      </c>
      <c r="P2129" s="3" t="s">
        <v>75</v>
      </c>
      <c r="Q2129">
        <v>2015</v>
      </c>
      <c r="R2129" s="2">
        <v>42361</v>
      </c>
      <c r="S2129" s="2">
        <v>42367</v>
      </c>
      <c r="T2129" s="2">
        <v>42366</v>
      </c>
      <c r="U2129" s="2">
        <v>42426</v>
      </c>
      <c r="V2129" t="s">
        <v>71</v>
      </c>
      <c r="W2129" t="str">
        <f>"          5840115315"</f>
        <v xml:space="preserve">          5840115315</v>
      </c>
      <c r="X2129">
        <v>119.6</v>
      </c>
      <c r="Y2129">
        <v>0</v>
      </c>
      <c r="Z2129" s="3">
        <v>115</v>
      </c>
      <c r="AA2129">
        <v>258</v>
      </c>
      <c r="AB2129" s="5">
        <v>29670</v>
      </c>
      <c r="AC2129">
        <v>115</v>
      </c>
      <c r="AD2129">
        <v>258</v>
      </c>
      <c r="AE2129" s="1">
        <v>29670</v>
      </c>
      <c r="AF2129">
        <v>0</v>
      </c>
      <c r="AJ2129">
        <v>0</v>
      </c>
      <c r="AK2129">
        <v>0</v>
      </c>
      <c r="AL2129">
        <v>0</v>
      </c>
      <c r="AM2129">
        <v>0</v>
      </c>
      <c r="AN2129">
        <v>0</v>
      </c>
      <c r="AO2129">
        <v>0</v>
      </c>
      <c r="AP2129" s="2">
        <v>42746</v>
      </c>
      <c r="AQ2129" t="s">
        <v>72</v>
      </c>
      <c r="AR2129" t="s">
        <v>72</v>
      </c>
      <c r="AS2129">
        <v>3049</v>
      </c>
      <c r="AT2129" s="4">
        <v>42684</v>
      </c>
      <c r="AU2129" t="s">
        <v>73</v>
      </c>
      <c r="AV2129">
        <v>3049</v>
      </c>
      <c r="AW2129" s="4">
        <v>42684</v>
      </c>
      <c r="BD2129">
        <v>0</v>
      </c>
      <c r="BN2129" t="s">
        <v>74</v>
      </c>
    </row>
    <row r="2130" spans="1:66">
      <c r="A2130">
        <v>100695</v>
      </c>
      <c r="B2130" s="3" t="s">
        <v>227</v>
      </c>
      <c r="C2130" s="1">
        <v>43300101</v>
      </c>
      <c r="D2130" t="s">
        <v>67</v>
      </c>
      <c r="H2130" t="str">
        <f t="shared" si="212"/>
        <v>00721920155</v>
      </c>
      <c r="I2130" t="str">
        <f t="shared" si="212"/>
        <v>00721920155</v>
      </c>
      <c r="K2130" t="str">
        <f>""</f>
        <v/>
      </c>
      <c r="M2130" t="s">
        <v>68</v>
      </c>
      <c r="N2130" t="str">
        <f t="shared" si="209"/>
        <v>FOR</v>
      </c>
      <c r="O2130" t="s">
        <v>69</v>
      </c>
      <c r="P2130" s="3" t="s">
        <v>75</v>
      </c>
      <c r="Q2130">
        <v>2015</v>
      </c>
      <c r="R2130" s="2">
        <v>42361</v>
      </c>
      <c r="S2130" s="2">
        <v>42367</v>
      </c>
      <c r="T2130" s="2">
        <v>42366</v>
      </c>
      <c r="U2130" s="2">
        <v>42426</v>
      </c>
      <c r="V2130" t="s">
        <v>71</v>
      </c>
      <c r="W2130" t="str">
        <f>"          5840115321"</f>
        <v xml:space="preserve">          5840115321</v>
      </c>
      <c r="X2130">
        <v>119.6</v>
      </c>
      <c r="Y2130">
        <v>0</v>
      </c>
      <c r="Z2130" s="3">
        <v>115</v>
      </c>
      <c r="AA2130">
        <v>258</v>
      </c>
      <c r="AB2130" s="5">
        <v>29670</v>
      </c>
      <c r="AC2130">
        <v>115</v>
      </c>
      <c r="AD2130">
        <v>258</v>
      </c>
      <c r="AE2130" s="1">
        <v>29670</v>
      </c>
      <c r="AF2130">
        <v>0</v>
      </c>
      <c r="AJ2130">
        <v>0</v>
      </c>
      <c r="AK2130">
        <v>0</v>
      </c>
      <c r="AL2130">
        <v>0</v>
      </c>
      <c r="AM2130">
        <v>0</v>
      </c>
      <c r="AN2130">
        <v>0</v>
      </c>
      <c r="AO2130">
        <v>0</v>
      </c>
      <c r="AP2130" s="2">
        <v>42746</v>
      </c>
      <c r="AQ2130" t="s">
        <v>72</v>
      </c>
      <c r="AR2130" t="s">
        <v>72</v>
      </c>
      <c r="AS2130">
        <v>3049</v>
      </c>
      <c r="AT2130" s="4">
        <v>42684</v>
      </c>
      <c r="AU2130" t="s">
        <v>73</v>
      </c>
      <c r="AV2130">
        <v>3049</v>
      </c>
      <c r="AW2130" s="4">
        <v>42684</v>
      </c>
      <c r="BD2130">
        <v>0</v>
      </c>
      <c r="BN2130" t="s">
        <v>74</v>
      </c>
    </row>
    <row r="2131" spans="1:66">
      <c r="A2131">
        <v>100695</v>
      </c>
      <c r="B2131" s="3" t="s">
        <v>227</v>
      </c>
      <c r="C2131" s="1">
        <v>43300101</v>
      </c>
      <c r="D2131" t="s">
        <v>67</v>
      </c>
      <c r="H2131" t="str">
        <f t="shared" si="212"/>
        <v>00721920155</v>
      </c>
      <c r="I2131" t="str">
        <f t="shared" si="212"/>
        <v>00721920155</v>
      </c>
      <c r="K2131" t="str">
        <f>""</f>
        <v/>
      </c>
      <c r="M2131" t="s">
        <v>68</v>
      </c>
      <c r="N2131" t="str">
        <f t="shared" si="209"/>
        <v>FOR</v>
      </c>
      <c r="O2131" t="s">
        <v>69</v>
      </c>
      <c r="P2131" s="3" t="s">
        <v>75</v>
      </c>
      <c r="Q2131">
        <v>2015</v>
      </c>
      <c r="R2131" s="2">
        <v>42361</v>
      </c>
      <c r="S2131" s="2">
        <v>42367</v>
      </c>
      <c r="T2131" s="2">
        <v>42366</v>
      </c>
      <c r="U2131" s="2">
        <v>42426</v>
      </c>
      <c r="V2131" t="s">
        <v>71</v>
      </c>
      <c r="W2131" t="str">
        <f>"          5840115333"</f>
        <v xml:space="preserve">          5840115333</v>
      </c>
      <c r="X2131">
        <v>119.6</v>
      </c>
      <c r="Y2131">
        <v>0</v>
      </c>
      <c r="Z2131" s="3">
        <v>115</v>
      </c>
      <c r="AA2131">
        <v>258</v>
      </c>
      <c r="AB2131" s="5">
        <v>29670</v>
      </c>
      <c r="AC2131">
        <v>115</v>
      </c>
      <c r="AD2131">
        <v>258</v>
      </c>
      <c r="AE2131" s="1">
        <v>29670</v>
      </c>
      <c r="AF2131">
        <v>0</v>
      </c>
      <c r="AJ2131">
        <v>0</v>
      </c>
      <c r="AK2131">
        <v>0</v>
      </c>
      <c r="AL2131">
        <v>0</v>
      </c>
      <c r="AM2131">
        <v>0</v>
      </c>
      <c r="AN2131">
        <v>0</v>
      </c>
      <c r="AO2131">
        <v>0</v>
      </c>
      <c r="AP2131" s="2">
        <v>42746</v>
      </c>
      <c r="AQ2131" t="s">
        <v>72</v>
      </c>
      <c r="AR2131" t="s">
        <v>72</v>
      </c>
      <c r="AS2131">
        <v>3049</v>
      </c>
      <c r="AT2131" s="4">
        <v>42684</v>
      </c>
      <c r="AU2131" t="s">
        <v>73</v>
      </c>
      <c r="AV2131">
        <v>3049</v>
      </c>
      <c r="AW2131" s="4">
        <v>42684</v>
      </c>
      <c r="BD2131">
        <v>0</v>
      </c>
      <c r="BN2131" t="s">
        <v>74</v>
      </c>
    </row>
    <row r="2132" spans="1:66">
      <c r="A2132">
        <v>100695</v>
      </c>
      <c r="B2132" s="3" t="s">
        <v>227</v>
      </c>
      <c r="C2132" s="1">
        <v>43300101</v>
      </c>
      <c r="D2132" t="s">
        <v>67</v>
      </c>
      <c r="H2132" t="str">
        <f t="shared" si="212"/>
        <v>00721920155</v>
      </c>
      <c r="I2132" t="str">
        <f t="shared" si="212"/>
        <v>00721920155</v>
      </c>
      <c r="K2132" t="str">
        <f>""</f>
        <v/>
      </c>
      <c r="M2132" t="s">
        <v>68</v>
      </c>
      <c r="N2132" t="str">
        <f t="shared" si="209"/>
        <v>FOR</v>
      </c>
      <c r="O2132" t="s">
        <v>69</v>
      </c>
      <c r="P2132" s="3" t="s">
        <v>75</v>
      </c>
      <c r="Q2132">
        <v>2016</v>
      </c>
      <c r="R2132" s="2">
        <v>42388</v>
      </c>
      <c r="S2132" s="2">
        <v>42395</v>
      </c>
      <c r="T2132" s="2">
        <v>42391</v>
      </c>
      <c r="U2132" s="2">
        <v>42451</v>
      </c>
      <c r="V2132" t="s">
        <v>71</v>
      </c>
      <c r="W2132" t="str">
        <f>"          5840115962"</f>
        <v xml:space="preserve">          5840115962</v>
      </c>
      <c r="X2132">
        <v>119.6</v>
      </c>
      <c r="Y2132">
        <v>0</v>
      </c>
      <c r="Z2132" s="3">
        <v>115</v>
      </c>
      <c r="AA2132">
        <v>247</v>
      </c>
      <c r="AB2132" s="5">
        <v>28405</v>
      </c>
      <c r="AC2132">
        <v>115</v>
      </c>
      <c r="AD2132">
        <v>247</v>
      </c>
      <c r="AE2132" s="1">
        <v>28405</v>
      </c>
      <c r="AF2132">
        <v>0</v>
      </c>
      <c r="AJ2132">
        <v>0</v>
      </c>
      <c r="AK2132">
        <v>0</v>
      </c>
      <c r="AL2132">
        <v>0</v>
      </c>
      <c r="AM2132">
        <v>119.6</v>
      </c>
      <c r="AN2132">
        <v>119.6</v>
      </c>
      <c r="AO2132">
        <v>119.6</v>
      </c>
      <c r="AP2132" s="2">
        <v>42746</v>
      </c>
      <c r="AQ2132" t="s">
        <v>72</v>
      </c>
      <c r="AR2132" t="s">
        <v>72</v>
      </c>
      <c r="AS2132">
        <v>3310</v>
      </c>
      <c r="AT2132" s="4">
        <v>42698</v>
      </c>
      <c r="AU2132" t="s">
        <v>73</v>
      </c>
      <c r="AV2132">
        <v>3310</v>
      </c>
      <c r="AW2132" s="4">
        <v>42698</v>
      </c>
      <c r="BD2132">
        <v>0</v>
      </c>
      <c r="BN2132" t="s">
        <v>74</v>
      </c>
    </row>
    <row r="2133" spans="1:66">
      <c r="A2133">
        <v>100695</v>
      </c>
      <c r="B2133" s="3" t="s">
        <v>227</v>
      </c>
      <c r="C2133" s="1">
        <v>43300101</v>
      </c>
      <c r="D2133" t="s">
        <v>67</v>
      </c>
      <c r="H2133" t="str">
        <f t="shared" si="212"/>
        <v>00721920155</v>
      </c>
      <c r="I2133" t="str">
        <f t="shared" si="212"/>
        <v>00721920155</v>
      </c>
      <c r="K2133" t="str">
        <f>""</f>
        <v/>
      </c>
      <c r="M2133" t="s">
        <v>68</v>
      </c>
      <c r="N2133" t="str">
        <f t="shared" si="209"/>
        <v>FOR</v>
      </c>
      <c r="O2133" t="s">
        <v>69</v>
      </c>
      <c r="P2133" s="3" t="s">
        <v>75</v>
      </c>
      <c r="Q2133">
        <v>2016</v>
      </c>
      <c r="R2133" s="2">
        <v>42388</v>
      </c>
      <c r="S2133" s="2">
        <v>42395</v>
      </c>
      <c r="T2133" s="2">
        <v>42391</v>
      </c>
      <c r="U2133" s="2">
        <v>42451</v>
      </c>
      <c r="V2133" t="s">
        <v>71</v>
      </c>
      <c r="W2133" t="str">
        <f>"          5840115974"</f>
        <v xml:space="preserve">          5840115974</v>
      </c>
      <c r="X2133">
        <v>119.6</v>
      </c>
      <c r="Y2133">
        <v>0</v>
      </c>
      <c r="Z2133" s="3">
        <v>115</v>
      </c>
      <c r="AA2133">
        <v>247</v>
      </c>
      <c r="AB2133" s="5">
        <v>28405</v>
      </c>
      <c r="AC2133">
        <v>115</v>
      </c>
      <c r="AD2133">
        <v>247</v>
      </c>
      <c r="AE2133" s="1">
        <v>28405</v>
      </c>
      <c r="AF2133">
        <v>0</v>
      </c>
      <c r="AJ2133">
        <v>0</v>
      </c>
      <c r="AK2133">
        <v>0</v>
      </c>
      <c r="AL2133">
        <v>0</v>
      </c>
      <c r="AM2133">
        <v>119.6</v>
      </c>
      <c r="AN2133">
        <v>119.6</v>
      </c>
      <c r="AO2133">
        <v>119.6</v>
      </c>
      <c r="AP2133" s="2">
        <v>42746</v>
      </c>
      <c r="AQ2133" t="s">
        <v>72</v>
      </c>
      <c r="AR2133" t="s">
        <v>72</v>
      </c>
      <c r="AS2133">
        <v>3310</v>
      </c>
      <c r="AT2133" s="4">
        <v>42698</v>
      </c>
      <c r="AU2133" t="s">
        <v>73</v>
      </c>
      <c r="AV2133">
        <v>3310</v>
      </c>
      <c r="AW2133" s="4">
        <v>42698</v>
      </c>
      <c r="BD2133">
        <v>0</v>
      </c>
      <c r="BN2133" t="s">
        <v>74</v>
      </c>
    </row>
    <row r="2134" spans="1:66">
      <c r="A2134">
        <v>100695</v>
      </c>
      <c r="B2134" s="3" t="s">
        <v>227</v>
      </c>
      <c r="C2134" s="1">
        <v>43300101</v>
      </c>
      <c r="D2134" t="s">
        <v>67</v>
      </c>
      <c r="H2134" t="str">
        <f t="shared" si="212"/>
        <v>00721920155</v>
      </c>
      <c r="I2134" t="str">
        <f t="shared" si="212"/>
        <v>00721920155</v>
      </c>
      <c r="K2134" t="str">
        <f>""</f>
        <v/>
      </c>
      <c r="M2134" t="s">
        <v>68</v>
      </c>
      <c r="N2134" t="str">
        <f t="shared" si="209"/>
        <v>FOR</v>
      </c>
      <c r="O2134" t="s">
        <v>69</v>
      </c>
      <c r="P2134" s="3" t="s">
        <v>75</v>
      </c>
      <c r="Q2134">
        <v>2016</v>
      </c>
      <c r="R2134" s="2">
        <v>42388</v>
      </c>
      <c r="S2134" s="2">
        <v>42395</v>
      </c>
      <c r="T2134" s="2">
        <v>42391</v>
      </c>
      <c r="U2134" s="2">
        <v>42451</v>
      </c>
      <c r="V2134" t="s">
        <v>71</v>
      </c>
      <c r="W2134" t="str">
        <f>"          5840116001"</f>
        <v xml:space="preserve">          5840116001</v>
      </c>
      <c r="X2134">
        <v>119.6</v>
      </c>
      <c r="Y2134">
        <v>0</v>
      </c>
      <c r="Z2134" s="3">
        <v>115</v>
      </c>
      <c r="AA2134">
        <v>247</v>
      </c>
      <c r="AB2134" s="5">
        <v>28405</v>
      </c>
      <c r="AC2134">
        <v>115</v>
      </c>
      <c r="AD2134">
        <v>247</v>
      </c>
      <c r="AE2134" s="1">
        <v>28405</v>
      </c>
      <c r="AF2134">
        <v>0</v>
      </c>
      <c r="AJ2134">
        <v>0</v>
      </c>
      <c r="AK2134">
        <v>0</v>
      </c>
      <c r="AL2134">
        <v>0</v>
      </c>
      <c r="AM2134">
        <v>119.6</v>
      </c>
      <c r="AN2134">
        <v>119.6</v>
      </c>
      <c r="AO2134">
        <v>119.6</v>
      </c>
      <c r="AP2134" s="2">
        <v>42746</v>
      </c>
      <c r="AQ2134" t="s">
        <v>72</v>
      </c>
      <c r="AR2134" t="s">
        <v>72</v>
      </c>
      <c r="AS2134">
        <v>3310</v>
      </c>
      <c r="AT2134" s="4">
        <v>42698</v>
      </c>
      <c r="AU2134" t="s">
        <v>73</v>
      </c>
      <c r="AV2134">
        <v>3310</v>
      </c>
      <c r="AW2134" s="4">
        <v>42698</v>
      </c>
      <c r="BD2134">
        <v>0</v>
      </c>
      <c r="BN2134" t="s">
        <v>74</v>
      </c>
    </row>
    <row r="2135" spans="1:66">
      <c r="A2135">
        <v>100695</v>
      </c>
      <c r="B2135" s="3" t="s">
        <v>227</v>
      </c>
      <c r="C2135" s="1">
        <v>43300101</v>
      </c>
      <c r="D2135" t="s">
        <v>67</v>
      </c>
      <c r="H2135" t="str">
        <f t="shared" si="212"/>
        <v>00721920155</v>
      </c>
      <c r="I2135" t="str">
        <f t="shared" si="212"/>
        <v>00721920155</v>
      </c>
      <c r="K2135" t="str">
        <f>""</f>
        <v/>
      </c>
      <c r="M2135" t="s">
        <v>68</v>
      </c>
      <c r="N2135" t="str">
        <f t="shared" si="209"/>
        <v>FOR</v>
      </c>
      <c r="O2135" t="s">
        <v>69</v>
      </c>
      <c r="P2135" s="3" t="s">
        <v>75</v>
      </c>
      <c r="Q2135">
        <v>2016</v>
      </c>
      <c r="R2135" s="2">
        <v>42388</v>
      </c>
      <c r="S2135" s="2">
        <v>42395</v>
      </c>
      <c r="T2135" s="2">
        <v>42391</v>
      </c>
      <c r="U2135" s="2">
        <v>42451</v>
      </c>
      <c r="V2135" t="s">
        <v>71</v>
      </c>
      <c r="W2135" t="str">
        <f>"          5840116019"</f>
        <v xml:space="preserve">          5840116019</v>
      </c>
      <c r="X2135">
        <v>119.6</v>
      </c>
      <c r="Y2135">
        <v>0</v>
      </c>
      <c r="Z2135" s="3">
        <v>115</v>
      </c>
      <c r="AA2135">
        <v>247</v>
      </c>
      <c r="AB2135" s="5">
        <v>28405</v>
      </c>
      <c r="AC2135">
        <v>115</v>
      </c>
      <c r="AD2135">
        <v>247</v>
      </c>
      <c r="AE2135" s="1">
        <v>28405</v>
      </c>
      <c r="AF2135">
        <v>0</v>
      </c>
      <c r="AJ2135">
        <v>0</v>
      </c>
      <c r="AK2135">
        <v>0</v>
      </c>
      <c r="AL2135">
        <v>0</v>
      </c>
      <c r="AM2135">
        <v>119.6</v>
      </c>
      <c r="AN2135">
        <v>119.6</v>
      </c>
      <c r="AO2135">
        <v>119.6</v>
      </c>
      <c r="AP2135" s="2">
        <v>42746</v>
      </c>
      <c r="AQ2135" t="s">
        <v>72</v>
      </c>
      <c r="AR2135" t="s">
        <v>72</v>
      </c>
      <c r="AS2135">
        <v>3310</v>
      </c>
      <c r="AT2135" s="4">
        <v>42698</v>
      </c>
      <c r="AU2135" t="s">
        <v>73</v>
      </c>
      <c r="AV2135">
        <v>3310</v>
      </c>
      <c r="AW2135" s="4">
        <v>42698</v>
      </c>
      <c r="BD2135">
        <v>0</v>
      </c>
      <c r="BN2135" t="s">
        <v>74</v>
      </c>
    </row>
    <row r="2136" spans="1:66">
      <c r="A2136">
        <v>100695</v>
      </c>
      <c r="B2136" s="3" t="s">
        <v>227</v>
      </c>
      <c r="C2136" s="1">
        <v>43300101</v>
      </c>
      <c r="D2136" t="s">
        <v>67</v>
      </c>
      <c r="H2136" t="str">
        <f t="shared" si="212"/>
        <v>00721920155</v>
      </c>
      <c r="I2136" t="str">
        <f t="shared" si="212"/>
        <v>00721920155</v>
      </c>
      <c r="K2136" t="str">
        <f>""</f>
        <v/>
      </c>
      <c r="M2136" t="s">
        <v>68</v>
      </c>
      <c r="N2136" t="str">
        <f t="shared" si="209"/>
        <v>FOR</v>
      </c>
      <c r="O2136" t="s">
        <v>69</v>
      </c>
      <c r="P2136" s="3" t="s">
        <v>75</v>
      </c>
      <c r="Q2136">
        <v>2016</v>
      </c>
      <c r="R2136" s="2">
        <v>42389</v>
      </c>
      <c r="S2136" s="2">
        <v>42395</v>
      </c>
      <c r="T2136" s="2">
        <v>42391</v>
      </c>
      <c r="U2136" s="2">
        <v>42451</v>
      </c>
      <c r="V2136" t="s">
        <v>71</v>
      </c>
      <c r="W2136" t="str">
        <f>"          5840116044"</f>
        <v xml:space="preserve">          5840116044</v>
      </c>
      <c r="X2136">
        <v>119.6</v>
      </c>
      <c r="Y2136">
        <v>0</v>
      </c>
      <c r="Z2136" s="3">
        <v>115</v>
      </c>
      <c r="AA2136">
        <v>247</v>
      </c>
      <c r="AB2136" s="5">
        <v>28405</v>
      </c>
      <c r="AC2136">
        <v>115</v>
      </c>
      <c r="AD2136">
        <v>247</v>
      </c>
      <c r="AE2136" s="1">
        <v>28405</v>
      </c>
      <c r="AF2136">
        <v>0</v>
      </c>
      <c r="AJ2136">
        <v>0</v>
      </c>
      <c r="AK2136">
        <v>0</v>
      </c>
      <c r="AL2136">
        <v>0</v>
      </c>
      <c r="AM2136">
        <v>119.6</v>
      </c>
      <c r="AN2136">
        <v>119.6</v>
      </c>
      <c r="AO2136">
        <v>119.6</v>
      </c>
      <c r="AP2136" s="2">
        <v>42746</v>
      </c>
      <c r="AQ2136" t="s">
        <v>72</v>
      </c>
      <c r="AR2136" t="s">
        <v>72</v>
      </c>
      <c r="AS2136">
        <v>3310</v>
      </c>
      <c r="AT2136" s="4">
        <v>42698</v>
      </c>
      <c r="AU2136" t="s">
        <v>73</v>
      </c>
      <c r="AV2136">
        <v>3310</v>
      </c>
      <c r="AW2136" s="4">
        <v>42698</v>
      </c>
      <c r="BD2136">
        <v>0</v>
      </c>
      <c r="BN2136" t="s">
        <v>74</v>
      </c>
    </row>
    <row r="2137" spans="1:66">
      <c r="A2137">
        <v>100695</v>
      </c>
      <c r="B2137" s="3" t="s">
        <v>227</v>
      </c>
      <c r="C2137" s="1">
        <v>43300101</v>
      </c>
      <c r="D2137" t="s">
        <v>67</v>
      </c>
      <c r="H2137" t="str">
        <f t="shared" si="212"/>
        <v>00721920155</v>
      </c>
      <c r="I2137" t="str">
        <f t="shared" si="212"/>
        <v>00721920155</v>
      </c>
      <c r="K2137" t="str">
        <f>""</f>
        <v/>
      </c>
      <c r="M2137" t="s">
        <v>68</v>
      </c>
      <c r="N2137" t="str">
        <f t="shared" si="209"/>
        <v>FOR</v>
      </c>
      <c r="O2137" t="s">
        <v>69</v>
      </c>
      <c r="P2137" s="3" t="s">
        <v>75</v>
      </c>
      <c r="Q2137">
        <v>2016</v>
      </c>
      <c r="R2137" s="2">
        <v>42389</v>
      </c>
      <c r="S2137" s="2">
        <v>42395</v>
      </c>
      <c r="T2137" s="2">
        <v>42391</v>
      </c>
      <c r="U2137" s="2">
        <v>42451</v>
      </c>
      <c r="V2137" t="s">
        <v>71</v>
      </c>
      <c r="W2137" t="str">
        <f>"          5840116050"</f>
        <v xml:space="preserve">          5840116050</v>
      </c>
      <c r="X2137">
        <v>119.6</v>
      </c>
      <c r="Y2137">
        <v>0</v>
      </c>
      <c r="Z2137" s="3">
        <v>115</v>
      </c>
      <c r="AA2137">
        <v>247</v>
      </c>
      <c r="AB2137" s="5">
        <v>28405</v>
      </c>
      <c r="AC2137">
        <v>115</v>
      </c>
      <c r="AD2137">
        <v>247</v>
      </c>
      <c r="AE2137" s="1">
        <v>28405</v>
      </c>
      <c r="AF2137">
        <v>0</v>
      </c>
      <c r="AJ2137">
        <v>0</v>
      </c>
      <c r="AK2137">
        <v>0</v>
      </c>
      <c r="AL2137">
        <v>0</v>
      </c>
      <c r="AM2137">
        <v>119.6</v>
      </c>
      <c r="AN2137">
        <v>119.6</v>
      </c>
      <c r="AO2137">
        <v>119.6</v>
      </c>
      <c r="AP2137" s="2">
        <v>42746</v>
      </c>
      <c r="AQ2137" t="s">
        <v>72</v>
      </c>
      <c r="AR2137" t="s">
        <v>72</v>
      </c>
      <c r="AS2137">
        <v>3310</v>
      </c>
      <c r="AT2137" s="4">
        <v>42698</v>
      </c>
      <c r="AU2137" t="s">
        <v>73</v>
      </c>
      <c r="AV2137">
        <v>3310</v>
      </c>
      <c r="AW2137" s="4">
        <v>42698</v>
      </c>
      <c r="BD2137">
        <v>0</v>
      </c>
      <c r="BN2137" t="s">
        <v>74</v>
      </c>
    </row>
    <row r="2138" spans="1:66">
      <c r="A2138">
        <v>100695</v>
      </c>
      <c r="B2138" s="3" t="s">
        <v>227</v>
      </c>
      <c r="C2138" s="1">
        <v>43300101</v>
      </c>
      <c r="D2138" t="s">
        <v>67</v>
      </c>
      <c r="H2138" t="str">
        <f t="shared" si="212"/>
        <v>00721920155</v>
      </c>
      <c r="I2138" t="str">
        <f t="shared" si="212"/>
        <v>00721920155</v>
      </c>
      <c r="K2138" t="str">
        <f>""</f>
        <v/>
      </c>
      <c r="M2138" t="s">
        <v>68</v>
      </c>
      <c r="N2138" t="str">
        <f t="shared" si="209"/>
        <v>FOR</v>
      </c>
      <c r="O2138" t="s">
        <v>69</v>
      </c>
      <c r="P2138" s="3" t="s">
        <v>75</v>
      </c>
      <c r="Q2138">
        <v>2016</v>
      </c>
      <c r="R2138" s="2">
        <v>42389</v>
      </c>
      <c r="S2138" s="2">
        <v>42395</v>
      </c>
      <c r="T2138" s="2">
        <v>42391</v>
      </c>
      <c r="U2138" s="2">
        <v>42451</v>
      </c>
      <c r="V2138" t="s">
        <v>71</v>
      </c>
      <c r="W2138" t="str">
        <f>"          5840116056"</f>
        <v xml:space="preserve">          5840116056</v>
      </c>
      <c r="X2138">
        <v>119.6</v>
      </c>
      <c r="Y2138">
        <v>0</v>
      </c>
      <c r="Z2138" s="3">
        <v>115</v>
      </c>
      <c r="AA2138">
        <v>247</v>
      </c>
      <c r="AB2138" s="5">
        <v>28405</v>
      </c>
      <c r="AC2138">
        <v>115</v>
      </c>
      <c r="AD2138">
        <v>247</v>
      </c>
      <c r="AE2138" s="1">
        <v>28405</v>
      </c>
      <c r="AF2138">
        <v>0</v>
      </c>
      <c r="AJ2138">
        <v>0</v>
      </c>
      <c r="AK2138">
        <v>0</v>
      </c>
      <c r="AL2138">
        <v>0</v>
      </c>
      <c r="AM2138">
        <v>119.6</v>
      </c>
      <c r="AN2138">
        <v>119.6</v>
      </c>
      <c r="AO2138">
        <v>119.6</v>
      </c>
      <c r="AP2138" s="2">
        <v>42746</v>
      </c>
      <c r="AQ2138" t="s">
        <v>72</v>
      </c>
      <c r="AR2138" t="s">
        <v>72</v>
      </c>
      <c r="AS2138">
        <v>3310</v>
      </c>
      <c r="AT2138" s="4">
        <v>42698</v>
      </c>
      <c r="AU2138" t="s">
        <v>73</v>
      </c>
      <c r="AV2138">
        <v>3310</v>
      </c>
      <c r="AW2138" s="4">
        <v>42698</v>
      </c>
      <c r="BD2138">
        <v>0</v>
      </c>
      <c r="BN2138" t="s">
        <v>74</v>
      </c>
    </row>
    <row r="2139" spans="1:66">
      <c r="A2139">
        <v>100695</v>
      </c>
      <c r="B2139" s="3" t="s">
        <v>227</v>
      </c>
      <c r="C2139" s="1">
        <v>43300101</v>
      </c>
      <c r="D2139" t="s">
        <v>67</v>
      </c>
      <c r="H2139" t="str">
        <f t="shared" si="212"/>
        <v>00721920155</v>
      </c>
      <c r="I2139" t="str">
        <f t="shared" si="212"/>
        <v>00721920155</v>
      </c>
      <c r="K2139" t="str">
        <f>""</f>
        <v/>
      </c>
      <c r="M2139" t="s">
        <v>68</v>
      </c>
      <c r="N2139" t="str">
        <f t="shared" si="209"/>
        <v>FOR</v>
      </c>
      <c r="O2139" t="s">
        <v>69</v>
      </c>
      <c r="P2139" s="3" t="s">
        <v>75</v>
      </c>
      <c r="Q2139">
        <v>2016</v>
      </c>
      <c r="R2139" s="2">
        <v>42389</v>
      </c>
      <c r="S2139" s="2">
        <v>42395</v>
      </c>
      <c r="T2139" s="2">
        <v>42391</v>
      </c>
      <c r="U2139" s="2">
        <v>42451</v>
      </c>
      <c r="V2139" t="s">
        <v>71</v>
      </c>
      <c r="W2139" t="str">
        <f>"          5840116069"</f>
        <v xml:space="preserve">          5840116069</v>
      </c>
      <c r="X2139">
        <v>119.6</v>
      </c>
      <c r="Y2139">
        <v>0</v>
      </c>
      <c r="Z2139" s="3">
        <v>115</v>
      </c>
      <c r="AA2139">
        <v>247</v>
      </c>
      <c r="AB2139" s="5">
        <v>28405</v>
      </c>
      <c r="AC2139">
        <v>115</v>
      </c>
      <c r="AD2139">
        <v>247</v>
      </c>
      <c r="AE2139" s="1">
        <v>28405</v>
      </c>
      <c r="AF2139">
        <v>0</v>
      </c>
      <c r="AJ2139">
        <v>0</v>
      </c>
      <c r="AK2139">
        <v>0</v>
      </c>
      <c r="AL2139">
        <v>0</v>
      </c>
      <c r="AM2139">
        <v>119.6</v>
      </c>
      <c r="AN2139">
        <v>119.6</v>
      </c>
      <c r="AO2139">
        <v>119.6</v>
      </c>
      <c r="AP2139" s="2">
        <v>42746</v>
      </c>
      <c r="AQ2139" t="s">
        <v>72</v>
      </c>
      <c r="AR2139" t="s">
        <v>72</v>
      </c>
      <c r="AS2139">
        <v>3310</v>
      </c>
      <c r="AT2139" s="4">
        <v>42698</v>
      </c>
      <c r="AU2139" t="s">
        <v>73</v>
      </c>
      <c r="AV2139">
        <v>3310</v>
      </c>
      <c r="AW2139" s="4">
        <v>42698</v>
      </c>
      <c r="BD2139">
        <v>0</v>
      </c>
      <c r="BN2139" t="s">
        <v>74</v>
      </c>
    </row>
    <row r="2140" spans="1:66">
      <c r="A2140">
        <v>100695</v>
      </c>
      <c r="B2140" s="3" t="s">
        <v>227</v>
      </c>
      <c r="C2140" s="1">
        <v>43300101</v>
      </c>
      <c r="D2140" t="s">
        <v>67</v>
      </c>
      <c r="H2140" t="str">
        <f t="shared" si="212"/>
        <v>00721920155</v>
      </c>
      <c r="I2140" t="str">
        <f t="shared" si="212"/>
        <v>00721920155</v>
      </c>
      <c r="K2140" t="str">
        <f>""</f>
        <v/>
      </c>
      <c r="M2140" t="s">
        <v>68</v>
      </c>
      <c r="N2140" t="str">
        <f t="shared" si="209"/>
        <v>FOR</v>
      </c>
      <c r="O2140" t="s">
        <v>69</v>
      </c>
      <c r="P2140" s="3" t="s">
        <v>75</v>
      </c>
      <c r="Q2140">
        <v>2016</v>
      </c>
      <c r="R2140" s="2">
        <v>42389</v>
      </c>
      <c r="S2140" s="2">
        <v>42395</v>
      </c>
      <c r="T2140" s="2">
        <v>42391</v>
      </c>
      <c r="U2140" s="2">
        <v>42451</v>
      </c>
      <c r="V2140" t="s">
        <v>71</v>
      </c>
      <c r="W2140" t="str">
        <f>"          5840116079"</f>
        <v xml:space="preserve">          5840116079</v>
      </c>
      <c r="X2140">
        <v>119.6</v>
      </c>
      <c r="Y2140">
        <v>0</v>
      </c>
      <c r="Z2140" s="3">
        <v>115</v>
      </c>
      <c r="AA2140">
        <v>247</v>
      </c>
      <c r="AB2140" s="5">
        <v>28405</v>
      </c>
      <c r="AC2140">
        <v>115</v>
      </c>
      <c r="AD2140">
        <v>247</v>
      </c>
      <c r="AE2140" s="1">
        <v>28405</v>
      </c>
      <c r="AF2140">
        <v>0</v>
      </c>
      <c r="AJ2140">
        <v>0</v>
      </c>
      <c r="AK2140">
        <v>0</v>
      </c>
      <c r="AL2140">
        <v>0</v>
      </c>
      <c r="AM2140">
        <v>119.6</v>
      </c>
      <c r="AN2140">
        <v>119.6</v>
      </c>
      <c r="AO2140">
        <v>119.6</v>
      </c>
      <c r="AP2140" s="2">
        <v>42746</v>
      </c>
      <c r="AQ2140" t="s">
        <v>72</v>
      </c>
      <c r="AR2140" t="s">
        <v>72</v>
      </c>
      <c r="AS2140">
        <v>3310</v>
      </c>
      <c r="AT2140" s="4">
        <v>42698</v>
      </c>
      <c r="AU2140" t="s">
        <v>73</v>
      </c>
      <c r="AV2140">
        <v>3310</v>
      </c>
      <c r="AW2140" s="4">
        <v>42698</v>
      </c>
      <c r="BD2140">
        <v>0</v>
      </c>
      <c r="BN2140" t="s">
        <v>74</v>
      </c>
    </row>
    <row r="2141" spans="1:66">
      <c r="A2141">
        <v>100695</v>
      </c>
      <c r="B2141" s="3" t="s">
        <v>227</v>
      </c>
      <c r="C2141" s="1">
        <v>43300101</v>
      </c>
      <c r="D2141" t="s">
        <v>67</v>
      </c>
      <c r="H2141" t="str">
        <f t="shared" si="212"/>
        <v>00721920155</v>
      </c>
      <c r="I2141" t="str">
        <f t="shared" si="212"/>
        <v>00721920155</v>
      </c>
      <c r="K2141" t="str">
        <f>""</f>
        <v/>
      </c>
      <c r="M2141" t="s">
        <v>68</v>
      </c>
      <c r="N2141" t="str">
        <f t="shared" si="209"/>
        <v>FOR</v>
      </c>
      <c r="O2141" t="s">
        <v>69</v>
      </c>
      <c r="P2141" s="3" t="s">
        <v>75</v>
      </c>
      <c r="Q2141">
        <v>2016</v>
      </c>
      <c r="R2141" s="2">
        <v>42390</v>
      </c>
      <c r="S2141" s="2">
        <v>42395</v>
      </c>
      <c r="T2141" s="2">
        <v>42391</v>
      </c>
      <c r="U2141" s="2">
        <v>42451</v>
      </c>
      <c r="V2141" t="s">
        <v>71</v>
      </c>
      <c r="W2141" t="str">
        <f>"          5840116089"</f>
        <v xml:space="preserve">          5840116089</v>
      </c>
      <c r="X2141">
        <v>119.6</v>
      </c>
      <c r="Y2141">
        <v>0</v>
      </c>
      <c r="Z2141" s="3">
        <v>115</v>
      </c>
      <c r="AA2141">
        <v>247</v>
      </c>
      <c r="AB2141" s="5">
        <v>28405</v>
      </c>
      <c r="AC2141">
        <v>115</v>
      </c>
      <c r="AD2141">
        <v>247</v>
      </c>
      <c r="AE2141" s="1">
        <v>28405</v>
      </c>
      <c r="AF2141">
        <v>0</v>
      </c>
      <c r="AJ2141">
        <v>0</v>
      </c>
      <c r="AK2141">
        <v>0</v>
      </c>
      <c r="AL2141">
        <v>0</v>
      </c>
      <c r="AM2141">
        <v>119.6</v>
      </c>
      <c r="AN2141">
        <v>119.6</v>
      </c>
      <c r="AO2141">
        <v>119.6</v>
      </c>
      <c r="AP2141" s="2">
        <v>42746</v>
      </c>
      <c r="AQ2141" t="s">
        <v>72</v>
      </c>
      <c r="AR2141" t="s">
        <v>72</v>
      </c>
      <c r="AS2141">
        <v>3310</v>
      </c>
      <c r="AT2141" s="4">
        <v>42698</v>
      </c>
      <c r="AU2141" t="s">
        <v>73</v>
      </c>
      <c r="AV2141">
        <v>3310</v>
      </c>
      <c r="AW2141" s="4">
        <v>42698</v>
      </c>
      <c r="BD2141">
        <v>0</v>
      </c>
      <c r="BN2141" t="s">
        <v>74</v>
      </c>
    </row>
    <row r="2142" spans="1:66">
      <c r="A2142">
        <v>100695</v>
      </c>
      <c r="B2142" s="3" t="s">
        <v>227</v>
      </c>
      <c r="C2142" s="1">
        <v>43300101</v>
      </c>
      <c r="D2142" t="s">
        <v>67</v>
      </c>
      <c r="H2142" t="str">
        <f t="shared" si="212"/>
        <v>00721920155</v>
      </c>
      <c r="I2142" t="str">
        <f t="shared" si="212"/>
        <v>00721920155</v>
      </c>
      <c r="K2142" t="str">
        <f>""</f>
        <v/>
      </c>
      <c r="M2142" t="s">
        <v>68</v>
      </c>
      <c r="N2142" t="str">
        <f t="shared" si="209"/>
        <v>FOR</v>
      </c>
      <c r="O2142" t="s">
        <v>69</v>
      </c>
      <c r="P2142" s="3" t="s">
        <v>75</v>
      </c>
      <c r="Q2142">
        <v>2016</v>
      </c>
      <c r="R2142" s="2">
        <v>42390</v>
      </c>
      <c r="S2142" s="2">
        <v>42395</v>
      </c>
      <c r="T2142" s="2">
        <v>42391</v>
      </c>
      <c r="U2142" s="2">
        <v>42451</v>
      </c>
      <c r="V2142" t="s">
        <v>71</v>
      </c>
      <c r="W2142" t="str">
        <f>"          5840116105"</f>
        <v xml:space="preserve">          5840116105</v>
      </c>
      <c r="X2142">
        <v>119.6</v>
      </c>
      <c r="Y2142">
        <v>0</v>
      </c>
      <c r="Z2142" s="3">
        <v>115</v>
      </c>
      <c r="AA2142">
        <v>247</v>
      </c>
      <c r="AB2142" s="5">
        <v>28405</v>
      </c>
      <c r="AC2142">
        <v>115</v>
      </c>
      <c r="AD2142">
        <v>247</v>
      </c>
      <c r="AE2142" s="1">
        <v>28405</v>
      </c>
      <c r="AF2142">
        <v>0</v>
      </c>
      <c r="AJ2142">
        <v>0</v>
      </c>
      <c r="AK2142">
        <v>0</v>
      </c>
      <c r="AL2142">
        <v>0</v>
      </c>
      <c r="AM2142">
        <v>119.6</v>
      </c>
      <c r="AN2142">
        <v>119.6</v>
      </c>
      <c r="AO2142">
        <v>119.6</v>
      </c>
      <c r="AP2142" s="2">
        <v>42746</v>
      </c>
      <c r="AQ2142" t="s">
        <v>72</v>
      </c>
      <c r="AR2142" t="s">
        <v>72</v>
      </c>
      <c r="AS2142">
        <v>3310</v>
      </c>
      <c r="AT2142" s="4">
        <v>42698</v>
      </c>
      <c r="AU2142" t="s">
        <v>73</v>
      </c>
      <c r="AV2142">
        <v>3310</v>
      </c>
      <c r="AW2142" s="4">
        <v>42698</v>
      </c>
      <c r="BD2142">
        <v>0</v>
      </c>
      <c r="BN2142" t="s">
        <v>74</v>
      </c>
    </row>
    <row r="2143" spans="1:66">
      <c r="A2143">
        <v>100695</v>
      </c>
      <c r="B2143" s="3" t="s">
        <v>227</v>
      </c>
      <c r="C2143" s="1">
        <v>43300101</v>
      </c>
      <c r="D2143" t="s">
        <v>67</v>
      </c>
      <c r="H2143" t="str">
        <f t="shared" si="212"/>
        <v>00721920155</v>
      </c>
      <c r="I2143" t="str">
        <f t="shared" si="212"/>
        <v>00721920155</v>
      </c>
      <c r="K2143" t="str">
        <f>""</f>
        <v/>
      </c>
      <c r="M2143" t="s">
        <v>68</v>
      </c>
      <c r="N2143" t="str">
        <f t="shared" si="209"/>
        <v>FOR</v>
      </c>
      <c r="O2143" t="s">
        <v>69</v>
      </c>
      <c r="P2143" s="3" t="s">
        <v>75</v>
      </c>
      <c r="Q2143">
        <v>2016</v>
      </c>
      <c r="R2143" s="2">
        <v>42391</v>
      </c>
      <c r="S2143" s="2">
        <v>42395</v>
      </c>
      <c r="T2143" s="2">
        <v>42391</v>
      </c>
      <c r="U2143" s="2">
        <v>42451</v>
      </c>
      <c r="V2143" t="s">
        <v>71</v>
      </c>
      <c r="W2143" t="str">
        <f>"          5840116152"</f>
        <v xml:space="preserve">          5840116152</v>
      </c>
      <c r="X2143">
        <v>119.6</v>
      </c>
      <c r="Y2143">
        <v>0</v>
      </c>
      <c r="Z2143" s="3">
        <v>115</v>
      </c>
      <c r="AA2143">
        <v>247</v>
      </c>
      <c r="AB2143" s="5">
        <v>28405</v>
      </c>
      <c r="AC2143">
        <v>115</v>
      </c>
      <c r="AD2143">
        <v>247</v>
      </c>
      <c r="AE2143" s="1">
        <v>28405</v>
      </c>
      <c r="AF2143">
        <v>0</v>
      </c>
      <c r="AJ2143">
        <v>0</v>
      </c>
      <c r="AK2143">
        <v>0</v>
      </c>
      <c r="AL2143">
        <v>0</v>
      </c>
      <c r="AM2143">
        <v>119.6</v>
      </c>
      <c r="AN2143">
        <v>119.6</v>
      </c>
      <c r="AO2143">
        <v>119.6</v>
      </c>
      <c r="AP2143" s="2">
        <v>42746</v>
      </c>
      <c r="AQ2143" t="s">
        <v>72</v>
      </c>
      <c r="AR2143" t="s">
        <v>72</v>
      </c>
      <c r="AS2143">
        <v>3310</v>
      </c>
      <c r="AT2143" s="4">
        <v>42698</v>
      </c>
      <c r="AU2143" t="s">
        <v>73</v>
      </c>
      <c r="AV2143">
        <v>3310</v>
      </c>
      <c r="AW2143" s="4">
        <v>42698</v>
      </c>
      <c r="BD2143">
        <v>0</v>
      </c>
      <c r="BN2143" t="s">
        <v>74</v>
      </c>
    </row>
    <row r="2144" spans="1:66">
      <c r="A2144">
        <v>100695</v>
      </c>
      <c r="B2144" s="3" t="s">
        <v>227</v>
      </c>
      <c r="C2144" s="1">
        <v>43300101</v>
      </c>
      <c r="D2144" t="s">
        <v>67</v>
      </c>
      <c r="H2144" t="str">
        <f t="shared" si="212"/>
        <v>00721920155</v>
      </c>
      <c r="I2144" t="str">
        <f t="shared" si="212"/>
        <v>00721920155</v>
      </c>
      <c r="K2144" t="str">
        <f>""</f>
        <v/>
      </c>
      <c r="M2144" t="s">
        <v>68</v>
      </c>
      <c r="N2144" t="str">
        <f t="shared" si="209"/>
        <v>FOR</v>
      </c>
      <c r="O2144" t="s">
        <v>69</v>
      </c>
      <c r="P2144" s="3" t="s">
        <v>75</v>
      </c>
      <c r="Q2144">
        <v>2016</v>
      </c>
      <c r="R2144" s="2">
        <v>42391</v>
      </c>
      <c r="S2144" s="2">
        <v>42395</v>
      </c>
      <c r="T2144" s="2">
        <v>42391</v>
      </c>
      <c r="U2144" s="2">
        <v>42451</v>
      </c>
      <c r="V2144" t="s">
        <v>71</v>
      </c>
      <c r="W2144" t="str">
        <f>"          5840116158"</f>
        <v xml:space="preserve">          5840116158</v>
      </c>
      <c r="X2144">
        <v>119.6</v>
      </c>
      <c r="Y2144">
        <v>0</v>
      </c>
      <c r="Z2144" s="3">
        <v>115</v>
      </c>
      <c r="AA2144">
        <v>247</v>
      </c>
      <c r="AB2144" s="5">
        <v>28405</v>
      </c>
      <c r="AC2144">
        <v>115</v>
      </c>
      <c r="AD2144">
        <v>247</v>
      </c>
      <c r="AE2144" s="1">
        <v>28405</v>
      </c>
      <c r="AF2144">
        <v>0</v>
      </c>
      <c r="AJ2144">
        <v>0</v>
      </c>
      <c r="AK2144">
        <v>0</v>
      </c>
      <c r="AL2144">
        <v>0</v>
      </c>
      <c r="AM2144">
        <v>119.6</v>
      </c>
      <c r="AN2144">
        <v>119.6</v>
      </c>
      <c r="AO2144">
        <v>119.6</v>
      </c>
      <c r="AP2144" s="2">
        <v>42746</v>
      </c>
      <c r="AQ2144" t="s">
        <v>72</v>
      </c>
      <c r="AR2144" t="s">
        <v>72</v>
      </c>
      <c r="AS2144">
        <v>3310</v>
      </c>
      <c r="AT2144" s="4">
        <v>42698</v>
      </c>
      <c r="AU2144" t="s">
        <v>73</v>
      </c>
      <c r="AV2144">
        <v>3310</v>
      </c>
      <c r="AW2144" s="4">
        <v>42698</v>
      </c>
      <c r="BD2144">
        <v>0</v>
      </c>
      <c r="BN2144" t="s">
        <v>74</v>
      </c>
    </row>
    <row r="2145" spans="1:66">
      <c r="A2145">
        <v>100695</v>
      </c>
      <c r="B2145" s="3" t="s">
        <v>227</v>
      </c>
      <c r="C2145" s="1">
        <v>43300101</v>
      </c>
      <c r="D2145" t="s">
        <v>67</v>
      </c>
      <c r="H2145" t="str">
        <f t="shared" si="212"/>
        <v>00721920155</v>
      </c>
      <c r="I2145" t="str">
        <f t="shared" si="212"/>
        <v>00721920155</v>
      </c>
      <c r="K2145" t="str">
        <f>""</f>
        <v/>
      </c>
      <c r="M2145" t="s">
        <v>68</v>
      </c>
      <c r="N2145" t="str">
        <f t="shared" ref="N2145:N2208" si="213">"FOR"</f>
        <v>FOR</v>
      </c>
      <c r="O2145" t="s">
        <v>69</v>
      </c>
      <c r="P2145" s="3" t="s">
        <v>75</v>
      </c>
      <c r="Q2145">
        <v>2016</v>
      </c>
      <c r="R2145" s="2">
        <v>42391</v>
      </c>
      <c r="S2145" s="2">
        <v>42401</v>
      </c>
      <c r="T2145" s="2">
        <v>42397</v>
      </c>
      <c r="U2145" s="2">
        <v>42457</v>
      </c>
      <c r="V2145" t="s">
        <v>71</v>
      </c>
      <c r="W2145" t="str">
        <f>"          5840116170"</f>
        <v xml:space="preserve">          5840116170</v>
      </c>
      <c r="X2145">
        <v>119.6</v>
      </c>
      <c r="Y2145">
        <v>0</v>
      </c>
      <c r="Z2145" s="3">
        <v>115</v>
      </c>
      <c r="AA2145">
        <v>241</v>
      </c>
      <c r="AB2145" s="5">
        <v>27715</v>
      </c>
      <c r="AC2145">
        <v>115</v>
      </c>
      <c r="AD2145">
        <v>241</v>
      </c>
      <c r="AE2145" s="1">
        <v>27715</v>
      </c>
      <c r="AF2145">
        <v>0</v>
      </c>
      <c r="AJ2145">
        <v>0</v>
      </c>
      <c r="AK2145">
        <v>0</v>
      </c>
      <c r="AL2145">
        <v>0</v>
      </c>
      <c r="AM2145">
        <v>119.6</v>
      </c>
      <c r="AN2145">
        <v>119.6</v>
      </c>
      <c r="AO2145">
        <v>119.6</v>
      </c>
      <c r="AP2145" s="2">
        <v>42746</v>
      </c>
      <c r="AQ2145" t="s">
        <v>72</v>
      </c>
      <c r="AR2145" t="s">
        <v>72</v>
      </c>
      <c r="AS2145">
        <v>3310</v>
      </c>
      <c r="AT2145" s="4">
        <v>42698</v>
      </c>
      <c r="AU2145" t="s">
        <v>73</v>
      </c>
      <c r="AV2145">
        <v>3310</v>
      </c>
      <c r="AW2145" s="4">
        <v>42698</v>
      </c>
      <c r="BD2145">
        <v>0</v>
      </c>
      <c r="BN2145" t="s">
        <v>74</v>
      </c>
    </row>
    <row r="2146" spans="1:66">
      <c r="A2146">
        <v>100695</v>
      </c>
      <c r="B2146" s="3" t="s">
        <v>227</v>
      </c>
      <c r="C2146" s="1">
        <v>43300101</v>
      </c>
      <c r="D2146" t="s">
        <v>67</v>
      </c>
      <c r="H2146" t="str">
        <f t="shared" si="212"/>
        <v>00721920155</v>
      </c>
      <c r="I2146" t="str">
        <f t="shared" si="212"/>
        <v>00721920155</v>
      </c>
      <c r="K2146" t="str">
        <f>""</f>
        <v/>
      </c>
      <c r="M2146" t="s">
        <v>68</v>
      </c>
      <c r="N2146" t="str">
        <f t="shared" si="213"/>
        <v>FOR</v>
      </c>
      <c r="O2146" t="s">
        <v>69</v>
      </c>
      <c r="P2146" s="3" t="s">
        <v>75</v>
      </c>
      <c r="Q2146">
        <v>2016</v>
      </c>
      <c r="R2146" s="2">
        <v>42401</v>
      </c>
      <c r="S2146" s="2">
        <v>42411</v>
      </c>
      <c r="T2146" s="2">
        <v>42401</v>
      </c>
      <c r="U2146" s="2">
        <v>42461</v>
      </c>
      <c r="V2146" t="s">
        <v>71</v>
      </c>
      <c r="W2146" t="str">
        <f>"          5840116647"</f>
        <v xml:space="preserve">          5840116647</v>
      </c>
      <c r="X2146">
        <v>119.6</v>
      </c>
      <c r="Y2146">
        <v>0</v>
      </c>
      <c r="Z2146" s="3">
        <v>115</v>
      </c>
      <c r="AA2146">
        <v>237</v>
      </c>
      <c r="AB2146" s="5">
        <v>27255</v>
      </c>
      <c r="AC2146">
        <v>115</v>
      </c>
      <c r="AD2146">
        <v>237</v>
      </c>
      <c r="AE2146" s="1">
        <v>27255</v>
      </c>
      <c r="AF2146">
        <v>0</v>
      </c>
      <c r="AJ2146">
        <v>0</v>
      </c>
      <c r="AK2146">
        <v>0</v>
      </c>
      <c r="AL2146">
        <v>0</v>
      </c>
      <c r="AM2146">
        <v>119.6</v>
      </c>
      <c r="AN2146">
        <v>119.6</v>
      </c>
      <c r="AO2146">
        <v>119.6</v>
      </c>
      <c r="AP2146" s="2">
        <v>42746</v>
      </c>
      <c r="AQ2146" t="s">
        <v>72</v>
      </c>
      <c r="AR2146" t="s">
        <v>72</v>
      </c>
      <c r="AS2146">
        <v>3310</v>
      </c>
      <c r="AT2146" s="4">
        <v>42698</v>
      </c>
      <c r="AU2146" t="s">
        <v>73</v>
      </c>
      <c r="AV2146">
        <v>3310</v>
      </c>
      <c r="AW2146" s="4">
        <v>42698</v>
      </c>
      <c r="BD2146">
        <v>0</v>
      </c>
      <c r="BN2146" t="s">
        <v>74</v>
      </c>
    </row>
    <row r="2147" spans="1:66">
      <c r="A2147">
        <v>100695</v>
      </c>
      <c r="B2147" s="3" t="s">
        <v>227</v>
      </c>
      <c r="C2147" s="1">
        <v>43300101</v>
      </c>
      <c r="D2147" t="s">
        <v>67</v>
      </c>
      <c r="H2147" t="str">
        <f t="shared" si="212"/>
        <v>00721920155</v>
      </c>
      <c r="I2147" t="str">
        <f t="shared" si="212"/>
        <v>00721920155</v>
      </c>
      <c r="K2147" t="str">
        <f>""</f>
        <v/>
      </c>
      <c r="M2147" t="s">
        <v>68</v>
      </c>
      <c r="N2147" t="str">
        <f t="shared" si="213"/>
        <v>FOR</v>
      </c>
      <c r="O2147" t="s">
        <v>69</v>
      </c>
      <c r="P2147" s="3" t="s">
        <v>75</v>
      </c>
      <c r="Q2147">
        <v>2016</v>
      </c>
      <c r="R2147" s="2">
        <v>42401</v>
      </c>
      <c r="S2147" s="2">
        <v>42403</v>
      </c>
      <c r="T2147" s="2">
        <v>42401</v>
      </c>
      <c r="U2147" s="2">
        <v>42461</v>
      </c>
      <c r="V2147" t="s">
        <v>71</v>
      </c>
      <c r="W2147" t="str">
        <f>"          5840116648"</f>
        <v xml:space="preserve">          5840116648</v>
      </c>
      <c r="X2147">
        <v>119.6</v>
      </c>
      <c r="Y2147">
        <v>0</v>
      </c>
      <c r="Z2147" s="3">
        <v>115</v>
      </c>
      <c r="AA2147">
        <v>237</v>
      </c>
      <c r="AB2147" s="5">
        <v>27255</v>
      </c>
      <c r="AC2147">
        <v>115</v>
      </c>
      <c r="AD2147">
        <v>237</v>
      </c>
      <c r="AE2147" s="1">
        <v>27255</v>
      </c>
      <c r="AF2147">
        <v>0</v>
      </c>
      <c r="AJ2147">
        <v>0</v>
      </c>
      <c r="AK2147">
        <v>0</v>
      </c>
      <c r="AL2147">
        <v>0</v>
      </c>
      <c r="AM2147">
        <v>119.6</v>
      </c>
      <c r="AN2147">
        <v>119.6</v>
      </c>
      <c r="AO2147">
        <v>119.6</v>
      </c>
      <c r="AP2147" s="2">
        <v>42746</v>
      </c>
      <c r="AQ2147" t="s">
        <v>72</v>
      </c>
      <c r="AR2147" t="s">
        <v>72</v>
      </c>
      <c r="AS2147">
        <v>3310</v>
      </c>
      <c r="AT2147" s="4">
        <v>42698</v>
      </c>
      <c r="AU2147" t="s">
        <v>73</v>
      </c>
      <c r="AV2147">
        <v>3310</v>
      </c>
      <c r="AW2147" s="4">
        <v>42698</v>
      </c>
      <c r="BD2147">
        <v>0</v>
      </c>
      <c r="BN2147" t="s">
        <v>74</v>
      </c>
    </row>
    <row r="2148" spans="1:66">
      <c r="A2148">
        <v>100695</v>
      </c>
      <c r="B2148" s="3" t="s">
        <v>227</v>
      </c>
      <c r="C2148" s="1">
        <v>43300101</v>
      </c>
      <c r="D2148" t="s">
        <v>67</v>
      </c>
      <c r="H2148" t="str">
        <f t="shared" si="212"/>
        <v>00721920155</v>
      </c>
      <c r="I2148" t="str">
        <f t="shared" si="212"/>
        <v>00721920155</v>
      </c>
      <c r="K2148" t="str">
        <f>""</f>
        <v/>
      </c>
      <c r="M2148" t="s">
        <v>68</v>
      </c>
      <c r="N2148" t="str">
        <f t="shared" si="213"/>
        <v>FOR</v>
      </c>
      <c r="O2148" t="s">
        <v>69</v>
      </c>
      <c r="P2148" s="3" t="s">
        <v>75</v>
      </c>
      <c r="Q2148">
        <v>2016</v>
      </c>
      <c r="R2148" s="2">
        <v>42401</v>
      </c>
      <c r="S2148" s="2">
        <v>42403</v>
      </c>
      <c r="T2148" s="2">
        <v>42401</v>
      </c>
      <c r="U2148" s="2">
        <v>42461</v>
      </c>
      <c r="V2148" t="s">
        <v>71</v>
      </c>
      <c r="W2148" t="str">
        <f>"          5840116652"</f>
        <v xml:space="preserve">          5840116652</v>
      </c>
      <c r="X2148">
        <v>119.6</v>
      </c>
      <c r="Y2148">
        <v>0</v>
      </c>
      <c r="Z2148" s="3">
        <v>115</v>
      </c>
      <c r="AA2148">
        <v>237</v>
      </c>
      <c r="AB2148" s="5">
        <v>27255</v>
      </c>
      <c r="AC2148">
        <v>115</v>
      </c>
      <c r="AD2148">
        <v>237</v>
      </c>
      <c r="AE2148" s="1">
        <v>27255</v>
      </c>
      <c r="AF2148">
        <v>0</v>
      </c>
      <c r="AJ2148">
        <v>0</v>
      </c>
      <c r="AK2148">
        <v>0</v>
      </c>
      <c r="AL2148">
        <v>0</v>
      </c>
      <c r="AM2148">
        <v>119.6</v>
      </c>
      <c r="AN2148">
        <v>119.6</v>
      </c>
      <c r="AO2148">
        <v>119.6</v>
      </c>
      <c r="AP2148" s="2">
        <v>42746</v>
      </c>
      <c r="AQ2148" t="s">
        <v>72</v>
      </c>
      <c r="AR2148" t="s">
        <v>72</v>
      </c>
      <c r="AS2148">
        <v>3310</v>
      </c>
      <c r="AT2148" s="4">
        <v>42698</v>
      </c>
      <c r="AU2148" t="s">
        <v>73</v>
      </c>
      <c r="AV2148">
        <v>3310</v>
      </c>
      <c r="AW2148" s="4">
        <v>42698</v>
      </c>
      <c r="BD2148">
        <v>0</v>
      </c>
      <c r="BN2148" t="s">
        <v>74</v>
      </c>
    </row>
    <row r="2149" spans="1:66">
      <c r="A2149">
        <v>100695</v>
      </c>
      <c r="B2149" s="3" t="s">
        <v>227</v>
      </c>
      <c r="C2149" s="1">
        <v>43300101</v>
      </c>
      <c r="D2149" t="s">
        <v>67</v>
      </c>
      <c r="H2149" t="str">
        <f t="shared" ref="H2149:I2168" si="214">"00721920155"</f>
        <v>00721920155</v>
      </c>
      <c r="I2149" t="str">
        <f t="shared" si="214"/>
        <v>00721920155</v>
      </c>
      <c r="K2149" t="str">
        <f>""</f>
        <v/>
      </c>
      <c r="M2149" t="s">
        <v>68</v>
      </c>
      <c r="N2149" t="str">
        <f t="shared" si="213"/>
        <v>FOR</v>
      </c>
      <c r="O2149" t="s">
        <v>69</v>
      </c>
      <c r="P2149" s="3" t="s">
        <v>75</v>
      </c>
      <c r="Q2149">
        <v>2016</v>
      </c>
      <c r="R2149" s="2">
        <v>42401</v>
      </c>
      <c r="S2149" s="2">
        <v>42403</v>
      </c>
      <c r="T2149" s="2">
        <v>42401</v>
      </c>
      <c r="U2149" s="2">
        <v>42461</v>
      </c>
      <c r="V2149" t="s">
        <v>71</v>
      </c>
      <c r="W2149" t="str">
        <f>"          5840116668"</f>
        <v xml:space="preserve">          5840116668</v>
      </c>
      <c r="X2149">
        <v>119.6</v>
      </c>
      <c r="Y2149">
        <v>0</v>
      </c>
      <c r="Z2149" s="3">
        <v>115</v>
      </c>
      <c r="AA2149">
        <v>237</v>
      </c>
      <c r="AB2149" s="5">
        <v>27255</v>
      </c>
      <c r="AC2149">
        <v>115</v>
      </c>
      <c r="AD2149">
        <v>237</v>
      </c>
      <c r="AE2149" s="1">
        <v>27255</v>
      </c>
      <c r="AF2149">
        <v>0</v>
      </c>
      <c r="AJ2149">
        <v>0</v>
      </c>
      <c r="AK2149">
        <v>0</v>
      </c>
      <c r="AL2149">
        <v>0</v>
      </c>
      <c r="AM2149">
        <v>119.6</v>
      </c>
      <c r="AN2149">
        <v>119.6</v>
      </c>
      <c r="AO2149">
        <v>119.6</v>
      </c>
      <c r="AP2149" s="2">
        <v>42746</v>
      </c>
      <c r="AQ2149" t="s">
        <v>72</v>
      </c>
      <c r="AR2149" t="s">
        <v>72</v>
      </c>
      <c r="AS2149">
        <v>3310</v>
      </c>
      <c r="AT2149" s="4">
        <v>42698</v>
      </c>
      <c r="AU2149" t="s">
        <v>73</v>
      </c>
      <c r="AV2149">
        <v>3310</v>
      </c>
      <c r="AW2149" s="4">
        <v>42698</v>
      </c>
      <c r="BD2149">
        <v>0</v>
      </c>
      <c r="BN2149" t="s">
        <v>74</v>
      </c>
    </row>
    <row r="2150" spans="1:66">
      <c r="A2150">
        <v>100695</v>
      </c>
      <c r="B2150" s="3" t="s">
        <v>227</v>
      </c>
      <c r="C2150" s="1">
        <v>43300101</v>
      </c>
      <c r="D2150" t="s">
        <v>67</v>
      </c>
      <c r="H2150" t="str">
        <f t="shared" si="214"/>
        <v>00721920155</v>
      </c>
      <c r="I2150" t="str">
        <f t="shared" si="214"/>
        <v>00721920155</v>
      </c>
      <c r="K2150" t="str">
        <f>""</f>
        <v/>
      </c>
      <c r="M2150" t="s">
        <v>68</v>
      </c>
      <c r="N2150" t="str">
        <f t="shared" si="213"/>
        <v>FOR</v>
      </c>
      <c r="O2150" t="s">
        <v>69</v>
      </c>
      <c r="P2150" s="3" t="s">
        <v>75</v>
      </c>
      <c r="Q2150">
        <v>2016</v>
      </c>
      <c r="R2150" s="2">
        <v>42401</v>
      </c>
      <c r="S2150" s="2">
        <v>42403</v>
      </c>
      <c r="T2150" s="2">
        <v>42401</v>
      </c>
      <c r="U2150" s="2">
        <v>42461</v>
      </c>
      <c r="V2150" t="s">
        <v>71</v>
      </c>
      <c r="W2150" t="str">
        <f>"          5840116677"</f>
        <v xml:space="preserve">          5840116677</v>
      </c>
      <c r="X2150">
        <v>119.6</v>
      </c>
      <c r="Y2150">
        <v>0</v>
      </c>
      <c r="Z2150" s="3">
        <v>115</v>
      </c>
      <c r="AA2150">
        <v>237</v>
      </c>
      <c r="AB2150" s="5">
        <v>27255</v>
      </c>
      <c r="AC2150">
        <v>115</v>
      </c>
      <c r="AD2150">
        <v>237</v>
      </c>
      <c r="AE2150" s="1">
        <v>27255</v>
      </c>
      <c r="AF2150">
        <v>0</v>
      </c>
      <c r="AJ2150">
        <v>0</v>
      </c>
      <c r="AK2150">
        <v>0</v>
      </c>
      <c r="AL2150">
        <v>0</v>
      </c>
      <c r="AM2150">
        <v>119.6</v>
      </c>
      <c r="AN2150">
        <v>119.6</v>
      </c>
      <c r="AO2150">
        <v>119.6</v>
      </c>
      <c r="AP2150" s="2">
        <v>42746</v>
      </c>
      <c r="AQ2150" t="s">
        <v>72</v>
      </c>
      <c r="AR2150" t="s">
        <v>72</v>
      </c>
      <c r="AS2150">
        <v>3310</v>
      </c>
      <c r="AT2150" s="4">
        <v>42698</v>
      </c>
      <c r="AU2150" t="s">
        <v>73</v>
      </c>
      <c r="AV2150">
        <v>3310</v>
      </c>
      <c r="AW2150" s="4">
        <v>42698</v>
      </c>
      <c r="BD2150">
        <v>0</v>
      </c>
      <c r="BN2150" t="s">
        <v>74</v>
      </c>
    </row>
    <row r="2151" spans="1:66">
      <c r="A2151">
        <v>100695</v>
      </c>
      <c r="B2151" s="3" t="s">
        <v>227</v>
      </c>
      <c r="C2151" s="1">
        <v>43300101</v>
      </c>
      <c r="D2151" t="s">
        <v>67</v>
      </c>
      <c r="H2151" t="str">
        <f t="shared" si="214"/>
        <v>00721920155</v>
      </c>
      <c r="I2151" t="str">
        <f t="shared" si="214"/>
        <v>00721920155</v>
      </c>
      <c r="K2151" t="str">
        <f>""</f>
        <v/>
      </c>
      <c r="M2151" t="s">
        <v>68</v>
      </c>
      <c r="N2151" t="str">
        <f t="shared" si="213"/>
        <v>FOR</v>
      </c>
      <c r="O2151" t="s">
        <v>69</v>
      </c>
      <c r="P2151" s="3" t="s">
        <v>75</v>
      </c>
      <c r="Q2151">
        <v>2016</v>
      </c>
      <c r="R2151" s="2">
        <v>42401</v>
      </c>
      <c r="S2151" s="2">
        <v>42403</v>
      </c>
      <c r="T2151" s="2">
        <v>42401</v>
      </c>
      <c r="U2151" s="2">
        <v>42461</v>
      </c>
      <c r="V2151" t="s">
        <v>71</v>
      </c>
      <c r="W2151" t="str">
        <f>"          5840116683"</f>
        <v xml:space="preserve">          5840116683</v>
      </c>
      <c r="X2151">
        <v>119.6</v>
      </c>
      <c r="Y2151">
        <v>0</v>
      </c>
      <c r="Z2151" s="3">
        <v>115</v>
      </c>
      <c r="AA2151">
        <v>237</v>
      </c>
      <c r="AB2151" s="5">
        <v>27255</v>
      </c>
      <c r="AC2151">
        <v>115</v>
      </c>
      <c r="AD2151">
        <v>237</v>
      </c>
      <c r="AE2151" s="1">
        <v>27255</v>
      </c>
      <c r="AF2151">
        <v>0</v>
      </c>
      <c r="AJ2151">
        <v>0</v>
      </c>
      <c r="AK2151">
        <v>0</v>
      </c>
      <c r="AL2151">
        <v>0</v>
      </c>
      <c r="AM2151">
        <v>119.6</v>
      </c>
      <c r="AN2151">
        <v>119.6</v>
      </c>
      <c r="AO2151">
        <v>119.6</v>
      </c>
      <c r="AP2151" s="2">
        <v>42746</v>
      </c>
      <c r="AQ2151" t="s">
        <v>72</v>
      </c>
      <c r="AR2151" t="s">
        <v>72</v>
      </c>
      <c r="AS2151">
        <v>3310</v>
      </c>
      <c r="AT2151" s="4">
        <v>42698</v>
      </c>
      <c r="AU2151" t="s">
        <v>73</v>
      </c>
      <c r="AV2151">
        <v>3310</v>
      </c>
      <c r="AW2151" s="4">
        <v>42698</v>
      </c>
      <c r="BD2151">
        <v>0</v>
      </c>
      <c r="BN2151" t="s">
        <v>74</v>
      </c>
    </row>
    <row r="2152" spans="1:66">
      <c r="A2152">
        <v>100695</v>
      </c>
      <c r="B2152" s="3" t="s">
        <v>227</v>
      </c>
      <c r="C2152" s="1">
        <v>43300101</v>
      </c>
      <c r="D2152" t="s">
        <v>67</v>
      </c>
      <c r="H2152" t="str">
        <f t="shared" si="214"/>
        <v>00721920155</v>
      </c>
      <c r="I2152" t="str">
        <f t="shared" si="214"/>
        <v>00721920155</v>
      </c>
      <c r="K2152" t="str">
        <f>""</f>
        <v/>
      </c>
      <c r="M2152" t="s">
        <v>68</v>
      </c>
      <c r="N2152" t="str">
        <f t="shared" si="213"/>
        <v>FOR</v>
      </c>
      <c r="O2152" t="s">
        <v>69</v>
      </c>
      <c r="P2152" s="3" t="s">
        <v>75</v>
      </c>
      <c r="Q2152">
        <v>2016</v>
      </c>
      <c r="R2152" s="2">
        <v>42401</v>
      </c>
      <c r="S2152" s="2">
        <v>42410</v>
      </c>
      <c r="T2152" s="2">
        <v>42408</v>
      </c>
      <c r="U2152" s="2">
        <v>42468</v>
      </c>
      <c r="V2152" t="s">
        <v>71</v>
      </c>
      <c r="W2152" t="str">
        <f>"          5840116684"</f>
        <v xml:space="preserve">          5840116684</v>
      </c>
      <c r="X2152">
        <v>119.6</v>
      </c>
      <c r="Y2152">
        <v>0</v>
      </c>
      <c r="Z2152" s="3">
        <v>115</v>
      </c>
      <c r="AA2152">
        <v>230</v>
      </c>
      <c r="AB2152" s="5">
        <v>26450</v>
      </c>
      <c r="AC2152">
        <v>115</v>
      </c>
      <c r="AD2152">
        <v>230</v>
      </c>
      <c r="AE2152" s="1">
        <v>26450</v>
      </c>
      <c r="AF2152">
        <v>0</v>
      </c>
      <c r="AJ2152">
        <v>0</v>
      </c>
      <c r="AK2152">
        <v>0</v>
      </c>
      <c r="AL2152">
        <v>0</v>
      </c>
      <c r="AM2152">
        <v>119.6</v>
      </c>
      <c r="AN2152">
        <v>119.6</v>
      </c>
      <c r="AO2152">
        <v>119.6</v>
      </c>
      <c r="AP2152" s="2">
        <v>42746</v>
      </c>
      <c r="AQ2152" t="s">
        <v>72</v>
      </c>
      <c r="AR2152" t="s">
        <v>72</v>
      </c>
      <c r="AS2152">
        <v>3310</v>
      </c>
      <c r="AT2152" s="4">
        <v>42698</v>
      </c>
      <c r="AU2152" t="s">
        <v>73</v>
      </c>
      <c r="AV2152">
        <v>3310</v>
      </c>
      <c r="AW2152" s="4">
        <v>42698</v>
      </c>
      <c r="BD2152">
        <v>0</v>
      </c>
      <c r="BN2152" t="s">
        <v>74</v>
      </c>
    </row>
    <row r="2153" spans="1:66">
      <c r="A2153">
        <v>100695</v>
      </c>
      <c r="B2153" s="3" t="s">
        <v>227</v>
      </c>
      <c r="C2153" s="1">
        <v>43300101</v>
      </c>
      <c r="D2153" t="s">
        <v>67</v>
      </c>
      <c r="H2153" t="str">
        <f t="shared" si="214"/>
        <v>00721920155</v>
      </c>
      <c r="I2153" t="str">
        <f t="shared" si="214"/>
        <v>00721920155</v>
      </c>
      <c r="K2153" t="str">
        <f>""</f>
        <v/>
      </c>
      <c r="M2153" t="s">
        <v>68</v>
      </c>
      <c r="N2153" t="str">
        <f t="shared" si="213"/>
        <v>FOR</v>
      </c>
      <c r="O2153" t="s">
        <v>69</v>
      </c>
      <c r="P2153" s="3" t="s">
        <v>75</v>
      </c>
      <c r="Q2153">
        <v>2016</v>
      </c>
      <c r="R2153" s="2">
        <v>42403</v>
      </c>
      <c r="S2153" s="2">
        <v>42410</v>
      </c>
      <c r="T2153" s="2">
        <v>42408</v>
      </c>
      <c r="U2153" s="2">
        <v>42468</v>
      </c>
      <c r="V2153" t="s">
        <v>71</v>
      </c>
      <c r="W2153" t="str">
        <f>"          5840116769"</f>
        <v xml:space="preserve">          5840116769</v>
      </c>
      <c r="X2153">
        <v>119.6</v>
      </c>
      <c r="Y2153">
        <v>0</v>
      </c>
      <c r="Z2153" s="3">
        <v>115</v>
      </c>
      <c r="AA2153">
        <v>230</v>
      </c>
      <c r="AB2153" s="5">
        <v>26450</v>
      </c>
      <c r="AC2153">
        <v>115</v>
      </c>
      <c r="AD2153">
        <v>230</v>
      </c>
      <c r="AE2153" s="1">
        <v>26450</v>
      </c>
      <c r="AF2153">
        <v>0</v>
      </c>
      <c r="AJ2153">
        <v>0</v>
      </c>
      <c r="AK2153">
        <v>0</v>
      </c>
      <c r="AL2153">
        <v>0</v>
      </c>
      <c r="AM2153">
        <v>119.6</v>
      </c>
      <c r="AN2153">
        <v>119.6</v>
      </c>
      <c r="AO2153">
        <v>119.6</v>
      </c>
      <c r="AP2153" s="2">
        <v>42746</v>
      </c>
      <c r="AQ2153" t="s">
        <v>72</v>
      </c>
      <c r="AR2153" t="s">
        <v>72</v>
      </c>
      <c r="AS2153">
        <v>3310</v>
      </c>
      <c r="AT2153" s="4">
        <v>42698</v>
      </c>
      <c r="AU2153" t="s">
        <v>73</v>
      </c>
      <c r="AV2153">
        <v>3310</v>
      </c>
      <c r="AW2153" s="4">
        <v>42698</v>
      </c>
      <c r="BD2153">
        <v>0</v>
      </c>
      <c r="BN2153" t="s">
        <v>74</v>
      </c>
    </row>
    <row r="2154" spans="1:66">
      <c r="A2154">
        <v>100695</v>
      </c>
      <c r="B2154" s="3" t="s">
        <v>227</v>
      </c>
      <c r="C2154" s="1">
        <v>43300101</v>
      </c>
      <c r="D2154" t="s">
        <v>67</v>
      </c>
      <c r="H2154" t="str">
        <f t="shared" si="214"/>
        <v>00721920155</v>
      </c>
      <c r="I2154" t="str">
        <f t="shared" si="214"/>
        <v>00721920155</v>
      </c>
      <c r="K2154" t="str">
        <f>""</f>
        <v/>
      </c>
      <c r="M2154" t="s">
        <v>68</v>
      </c>
      <c r="N2154" t="str">
        <f t="shared" si="213"/>
        <v>FOR</v>
      </c>
      <c r="O2154" t="s">
        <v>69</v>
      </c>
      <c r="P2154" s="3" t="s">
        <v>75</v>
      </c>
      <c r="Q2154">
        <v>2016</v>
      </c>
      <c r="R2154" s="2">
        <v>42408</v>
      </c>
      <c r="S2154" s="2">
        <v>42417</v>
      </c>
      <c r="T2154" s="2">
        <v>42412</v>
      </c>
      <c r="U2154" s="2">
        <v>42472</v>
      </c>
      <c r="V2154" t="s">
        <v>71</v>
      </c>
      <c r="W2154" t="str">
        <f>"          5840116926"</f>
        <v xml:space="preserve">          5840116926</v>
      </c>
      <c r="X2154">
        <v>119.6</v>
      </c>
      <c r="Y2154">
        <v>0</v>
      </c>
      <c r="Z2154" s="3">
        <v>115</v>
      </c>
      <c r="AA2154">
        <v>226</v>
      </c>
      <c r="AB2154" s="5">
        <v>25990</v>
      </c>
      <c r="AC2154">
        <v>115</v>
      </c>
      <c r="AD2154">
        <v>226</v>
      </c>
      <c r="AE2154" s="1">
        <v>25990</v>
      </c>
      <c r="AF2154">
        <v>0</v>
      </c>
      <c r="AJ2154">
        <v>0</v>
      </c>
      <c r="AK2154">
        <v>0</v>
      </c>
      <c r="AL2154">
        <v>0</v>
      </c>
      <c r="AM2154">
        <v>119.6</v>
      </c>
      <c r="AN2154">
        <v>119.6</v>
      </c>
      <c r="AO2154">
        <v>119.6</v>
      </c>
      <c r="AP2154" s="2">
        <v>42746</v>
      </c>
      <c r="AQ2154" t="s">
        <v>72</v>
      </c>
      <c r="AR2154" t="s">
        <v>72</v>
      </c>
      <c r="AS2154">
        <v>3310</v>
      </c>
      <c r="AT2154" s="4">
        <v>42698</v>
      </c>
      <c r="AU2154" t="s">
        <v>73</v>
      </c>
      <c r="AV2154">
        <v>3310</v>
      </c>
      <c r="AW2154" s="4">
        <v>42698</v>
      </c>
      <c r="BD2154">
        <v>0</v>
      </c>
      <c r="BN2154" t="s">
        <v>74</v>
      </c>
    </row>
    <row r="2155" spans="1:66">
      <c r="A2155">
        <v>100695</v>
      </c>
      <c r="B2155" s="3" t="s">
        <v>227</v>
      </c>
      <c r="C2155" s="1">
        <v>43300101</v>
      </c>
      <c r="D2155" t="s">
        <v>67</v>
      </c>
      <c r="H2155" t="str">
        <f t="shared" si="214"/>
        <v>00721920155</v>
      </c>
      <c r="I2155" t="str">
        <f t="shared" si="214"/>
        <v>00721920155</v>
      </c>
      <c r="K2155" t="str">
        <f>""</f>
        <v/>
      </c>
      <c r="M2155" t="s">
        <v>68</v>
      </c>
      <c r="N2155" t="str">
        <f t="shared" si="213"/>
        <v>FOR</v>
      </c>
      <c r="O2155" t="s">
        <v>69</v>
      </c>
      <c r="P2155" s="3" t="s">
        <v>75</v>
      </c>
      <c r="Q2155">
        <v>2016</v>
      </c>
      <c r="R2155" s="2">
        <v>42409</v>
      </c>
      <c r="S2155" s="2">
        <v>42417</v>
      </c>
      <c r="T2155" s="2">
        <v>42412</v>
      </c>
      <c r="U2155" s="2">
        <v>42472</v>
      </c>
      <c r="V2155" t="s">
        <v>71</v>
      </c>
      <c r="W2155" t="str">
        <f>"          5840116948"</f>
        <v xml:space="preserve">          5840116948</v>
      </c>
      <c r="X2155">
        <v>119.6</v>
      </c>
      <c r="Y2155">
        <v>0</v>
      </c>
      <c r="Z2155" s="3">
        <v>115</v>
      </c>
      <c r="AA2155">
        <v>226</v>
      </c>
      <c r="AB2155" s="5">
        <v>25990</v>
      </c>
      <c r="AC2155">
        <v>115</v>
      </c>
      <c r="AD2155">
        <v>226</v>
      </c>
      <c r="AE2155" s="1">
        <v>25990</v>
      </c>
      <c r="AF2155">
        <v>0</v>
      </c>
      <c r="AJ2155">
        <v>0</v>
      </c>
      <c r="AK2155">
        <v>0</v>
      </c>
      <c r="AL2155">
        <v>0</v>
      </c>
      <c r="AM2155">
        <v>119.6</v>
      </c>
      <c r="AN2155">
        <v>119.6</v>
      </c>
      <c r="AO2155">
        <v>119.6</v>
      </c>
      <c r="AP2155" s="2">
        <v>42746</v>
      </c>
      <c r="AQ2155" t="s">
        <v>72</v>
      </c>
      <c r="AR2155" t="s">
        <v>72</v>
      </c>
      <c r="AS2155">
        <v>3310</v>
      </c>
      <c r="AT2155" s="4">
        <v>42698</v>
      </c>
      <c r="AU2155" t="s">
        <v>73</v>
      </c>
      <c r="AV2155">
        <v>3310</v>
      </c>
      <c r="AW2155" s="4">
        <v>42698</v>
      </c>
      <c r="BD2155">
        <v>0</v>
      </c>
      <c r="BN2155" t="s">
        <v>74</v>
      </c>
    </row>
    <row r="2156" spans="1:66">
      <c r="A2156">
        <v>100695</v>
      </c>
      <c r="B2156" s="3" t="s">
        <v>227</v>
      </c>
      <c r="C2156" s="1">
        <v>43300101</v>
      </c>
      <c r="D2156" t="s">
        <v>67</v>
      </c>
      <c r="H2156" t="str">
        <f t="shared" si="214"/>
        <v>00721920155</v>
      </c>
      <c r="I2156" t="str">
        <f t="shared" si="214"/>
        <v>00721920155</v>
      </c>
      <c r="K2156" t="str">
        <f>""</f>
        <v/>
      </c>
      <c r="M2156" t="s">
        <v>68</v>
      </c>
      <c r="N2156" t="str">
        <f t="shared" si="213"/>
        <v>FOR</v>
      </c>
      <c r="O2156" t="s">
        <v>69</v>
      </c>
      <c r="P2156" s="3" t="s">
        <v>75</v>
      </c>
      <c r="Q2156">
        <v>2016</v>
      </c>
      <c r="R2156" s="2">
        <v>42409</v>
      </c>
      <c r="S2156" s="2">
        <v>42417</v>
      </c>
      <c r="T2156" s="2">
        <v>42412</v>
      </c>
      <c r="U2156" s="2">
        <v>42472</v>
      </c>
      <c r="V2156" t="s">
        <v>71</v>
      </c>
      <c r="W2156" t="str">
        <f>"          5840116956"</f>
        <v xml:space="preserve">          5840116956</v>
      </c>
      <c r="X2156">
        <v>119.6</v>
      </c>
      <c r="Y2156">
        <v>0</v>
      </c>
      <c r="Z2156" s="3">
        <v>115</v>
      </c>
      <c r="AA2156">
        <v>226</v>
      </c>
      <c r="AB2156" s="5">
        <v>25990</v>
      </c>
      <c r="AC2156">
        <v>115</v>
      </c>
      <c r="AD2156">
        <v>226</v>
      </c>
      <c r="AE2156" s="1">
        <v>25990</v>
      </c>
      <c r="AF2156">
        <v>0</v>
      </c>
      <c r="AJ2156">
        <v>0</v>
      </c>
      <c r="AK2156">
        <v>0</v>
      </c>
      <c r="AL2156">
        <v>0</v>
      </c>
      <c r="AM2156">
        <v>119.6</v>
      </c>
      <c r="AN2156">
        <v>119.6</v>
      </c>
      <c r="AO2156">
        <v>119.6</v>
      </c>
      <c r="AP2156" s="2">
        <v>42746</v>
      </c>
      <c r="AQ2156" t="s">
        <v>72</v>
      </c>
      <c r="AR2156" t="s">
        <v>72</v>
      </c>
      <c r="AS2156">
        <v>3310</v>
      </c>
      <c r="AT2156" s="4">
        <v>42698</v>
      </c>
      <c r="AU2156" t="s">
        <v>73</v>
      </c>
      <c r="AV2156">
        <v>3310</v>
      </c>
      <c r="AW2156" s="4">
        <v>42698</v>
      </c>
      <c r="BD2156">
        <v>0</v>
      </c>
      <c r="BN2156" t="s">
        <v>74</v>
      </c>
    </row>
    <row r="2157" spans="1:66">
      <c r="A2157">
        <v>100695</v>
      </c>
      <c r="B2157" s="3" t="s">
        <v>227</v>
      </c>
      <c r="C2157" s="1">
        <v>43300101</v>
      </c>
      <c r="D2157" t="s">
        <v>67</v>
      </c>
      <c r="H2157" t="str">
        <f t="shared" si="214"/>
        <v>00721920155</v>
      </c>
      <c r="I2157" t="str">
        <f t="shared" si="214"/>
        <v>00721920155</v>
      </c>
      <c r="K2157" t="str">
        <f>""</f>
        <v/>
      </c>
      <c r="M2157" t="s">
        <v>68</v>
      </c>
      <c r="N2157" t="str">
        <f t="shared" si="213"/>
        <v>FOR</v>
      </c>
      <c r="O2157" t="s">
        <v>69</v>
      </c>
      <c r="P2157" s="3" t="s">
        <v>75</v>
      </c>
      <c r="Q2157">
        <v>2016</v>
      </c>
      <c r="R2157" s="2">
        <v>42409</v>
      </c>
      <c r="S2157" s="2">
        <v>42417</v>
      </c>
      <c r="T2157" s="2">
        <v>42412</v>
      </c>
      <c r="U2157" s="2">
        <v>42472</v>
      </c>
      <c r="V2157" t="s">
        <v>71</v>
      </c>
      <c r="W2157" t="str">
        <f>"          5840116969"</f>
        <v xml:space="preserve">          5840116969</v>
      </c>
      <c r="X2157">
        <v>119.6</v>
      </c>
      <c r="Y2157">
        <v>0</v>
      </c>
      <c r="Z2157" s="3">
        <v>115</v>
      </c>
      <c r="AA2157">
        <v>226</v>
      </c>
      <c r="AB2157" s="5">
        <v>25990</v>
      </c>
      <c r="AC2157">
        <v>115</v>
      </c>
      <c r="AD2157">
        <v>226</v>
      </c>
      <c r="AE2157" s="1">
        <v>25990</v>
      </c>
      <c r="AF2157">
        <v>0</v>
      </c>
      <c r="AJ2157">
        <v>0</v>
      </c>
      <c r="AK2157">
        <v>0</v>
      </c>
      <c r="AL2157">
        <v>0</v>
      </c>
      <c r="AM2157">
        <v>119.6</v>
      </c>
      <c r="AN2157">
        <v>119.6</v>
      </c>
      <c r="AO2157">
        <v>119.6</v>
      </c>
      <c r="AP2157" s="2">
        <v>42746</v>
      </c>
      <c r="AQ2157" t="s">
        <v>72</v>
      </c>
      <c r="AR2157" t="s">
        <v>72</v>
      </c>
      <c r="AS2157">
        <v>3310</v>
      </c>
      <c r="AT2157" s="4">
        <v>42698</v>
      </c>
      <c r="AU2157" t="s">
        <v>73</v>
      </c>
      <c r="AV2157">
        <v>3310</v>
      </c>
      <c r="AW2157" s="4">
        <v>42698</v>
      </c>
      <c r="BD2157">
        <v>0</v>
      </c>
      <c r="BN2157" t="s">
        <v>74</v>
      </c>
    </row>
    <row r="2158" spans="1:66">
      <c r="A2158">
        <v>100695</v>
      </c>
      <c r="B2158" s="3" t="s">
        <v>227</v>
      </c>
      <c r="C2158" s="1">
        <v>43300101</v>
      </c>
      <c r="D2158" t="s">
        <v>67</v>
      </c>
      <c r="H2158" t="str">
        <f t="shared" si="214"/>
        <v>00721920155</v>
      </c>
      <c r="I2158" t="str">
        <f t="shared" si="214"/>
        <v>00721920155</v>
      </c>
      <c r="K2158" t="str">
        <f>""</f>
        <v/>
      </c>
      <c r="M2158" t="s">
        <v>68</v>
      </c>
      <c r="N2158" t="str">
        <f t="shared" si="213"/>
        <v>FOR</v>
      </c>
      <c r="O2158" t="s">
        <v>69</v>
      </c>
      <c r="P2158" s="3" t="s">
        <v>75</v>
      </c>
      <c r="Q2158">
        <v>2016</v>
      </c>
      <c r="R2158" s="2">
        <v>42410</v>
      </c>
      <c r="S2158" s="2">
        <v>42417</v>
      </c>
      <c r="T2158" s="2">
        <v>42412</v>
      </c>
      <c r="U2158" s="2">
        <v>42472</v>
      </c>
      <c r="V2158" t="s">
        <v>71</v>
      </c>
      <c r="W2158" t="str">
        <f>"          5840116991"</f>
        <v xml:space="preserve">          5840116991</v>
      </c>
      <c r="X2158">
        <v>119.6</v>
      </c>
      <c r="Y2158">
        <v>0</v>
      </c>
      <c r="Z2158" s="3">
        <v>115</v>
      </c>
      <c r="AA2158">
        <v>226</v>
      </c>
      <c r="AB2158" s="5">
        <v>25990</v>
      </c>
      <c r="AC2158">
        <v>115</v>
      </c>
      <c r="AD2158">
        <v>226</v>
      </c>
      <c r="AE2158" s="1">
        <v>25990</v>
      </c>
      <c r="AF2158">
        <v>0</v>
      </c>
      <c r="AJ2158">
        <v>0</v>
      </c>
      <c r="AK2158">
        <v>0</v>
      </c>
      <c r="AL2158">
        <v>0</v>
      </c>
      <c r="AM2158">
        <v>119.6</v>
      </c>
      <c r="AN2158">
        <v>119.6</v>
      </c>
      <c r="AO2158">
        <v>119.6</v>
      </c>
      <c r="AP2158" s="2">
        <v>42746</v>
      </c>
      <c r="AQ2158" t="s">
        <v>72</v>
      </c>
      <c r="AR2158" t="s">
        <v>72</v>
      </c>
      <c r="AS2158">
        <v>3310</v>
      </c>
      <c r="AT2158" s="4">
        <v>42698</v>
      </c>
      <c r="AU2158" t="s">
        <v>73</v>
      </c>
      <c r="AV2158">
        <v>3310</v>
      </c>
      <c r="AW2158" s="4">
        <v>42698</v>
      </c>
      <c r="BD2158">
        <v>0</v>
      </c>
      <c r="BN2158" t="s">
        <v>74</v>
      </c>
    </row>
    <row r="2159" spans="1:66">
      <c r="A2159">
        <v>100695</v>
      </c>
      <c r="B2159" s="3" t="s">
        <v>227</v>
      </c>
      <c r="C2159" s="1">
        <v>43300101</v>
      </c>
      <c r="D2159" t="s">
        <v>67</v>
      </c>
      <c r="H2159" t="str">
        <f t="shared" si="214"/>
        <v>00721920155</v>
      </c>
      <c r="I2159" t="str">
        <f t="shared" si="214"/>
        <v>00721920155</v>
      </c>
      <c r="K2159" t="str">
        <f>""</f>
        <v/>
      </c>
      <c r="M2159" t="s">
        <v>68</v>
      </c>
      <c r="N2159" t="str">
        <f t="shared" si="213"/>
        <v>FOR</v>
      </c>
      <c r="O2159" t="s">
        <v>69</v>
      </c>
      <c r="P2159" s="3" t="s">
        <v>75</v>
      </c>
      <c r="Q2159">
        <v>2016</v>
      </c>
      <c r="R2159" s="2">
        <v>42410</v>
      </c>
      <c r="S2159" s="2">
        <v>42417</v>
      </c>
      <c r="T2159" s="2">
        <v>42412</v>
      </c>
      <c r="U2159" s="2">
        <v>42472</v>
      </c>
      <c r="V2159" t="s">
        <v>71</v>
      </c>
      <c r="W2159" t="str">
        <f>"          5840117012"</f>
        <v xml:space="preserve">          5840117012</v>
      </c>
      <c r="X2159">
        <v>119.6</v>
      </c>
      <c r="Y2159">
        <v>0</v>
      </c>
      <c r="Z2159" s="3">
        <v>115</v>
      </c>
      <c r="AA2159">
        <v>226</v>
      </c>
      <c r="AB2159" s="5">
        <v>25990</v>
      </c>
      <c r="AC2159">
        <v>115</v>
      </c>
      <c r="AD2159">
        <v>226</v>
      </c>
      <c r="AE2159" s="1">
        <v>25990</v>
      </c>
      <c r="AF2159">
        <v>0</v>
      </c>
      <c r="AJ2159">
        <v>0</v>
      </c>
      <c r="AK2159">
        <v>0</v>
      </c>
      <c r="AL2159">
        <v>0</v>
      </c>
      <c r="AM2159">
        <v>119.6</v>
      </c>
      <c r="AN2159">
        <v>119.6</v>
      </c>
      <c r="AO2159">
        <v>119.6</v>
      </c>
      <c r="AP2159" s="2">
        <v>42746</v>
      </c>
      <c r="AQ2159" t="s">
        <v>72</v>
      </c>
      <c r="AR2159" t="s">
        <v>72</v>
      </c>
      <c r="AS2159">
        <v>3310</v>
      </c>
      <c r="AT2159" s="4">
        <v>42698</v>
      </c>
      <c r="AU2159" t="s">
        <v>73</v>
      </c>
      <c r="AV2159">
        <v>3310</v>
      </c>
      <c r="AW2159" s="4">
        <v>42698</v>
      </c>
      <c r="BD2159">
        <v>0</v>
      </c>
      <c r="BN2159" t="s">
        <v>74</v>
      </c>
    </row>
    <row r="2160" spans="1:66">
      <c r="A2160">
        <v>100695</v>
      </c>
      <c r="B2160" s="3" t="s">
        <v>227</v>
      </c>
      <c r="C2160" s="1">
        <v>43300101</v>
      </c>
      <c r="D2160" t="s">
        <v>67</v>
      </c>
      <c r="H2160" t="str">
        <f t="shared" si="214"/>
        <v>00721920155</v>
      </c>
      <c r="I2160" t="str">
        <f t="shared" si="214"/>
        <v>00721920155</v>
      </c>
      <c r="K2160" t="str">
        <f>""</f>
        <v/>
      </c>
      <c r="M2160" t="s">
        <v>68</v>
      </c>
      <c r="N2160" t="str">
        <f t="shared" si="213"/>
        <v>FOR</v>
      </c>
      <c r="O2160" t="s">
        <v>69</v>
      </c>
      <c r="P2160" s="3" t="s">
        <v>75</v>
      </c>
      <c r="Q2160">
        <v>2016</v>
      </c>
      <c r="R2160" s="2">
        <v>42410</v>
      </c>
      <c r="S2160" s="2">
        <v>42417</v>
      </c>
      <c r="T2160" s="2">
        <v>42412</v>
      </c>
      <c r="U2160" s="2">
        <v>42472</v>
      </c>
      <c r="V2160" t="s">
        <v>71</v>
      </c>
      <c r="W2160" t="str">
        <f>"          5840117017"</f>
        <v xml:space="preserve">          5840117017</v>
      </c>
      <c r="X2160">
        <v>119.6</v>
      </c>
      <c r="Y2160">
        <v>0</v>
      </c>
      <c r="Z2160" s="3">
        <v>115</v>
      </c>
      <c r="AA2160">
        <v>226</v>
      </c>
      <c r="AB2160" s="5">
        <v>25990</v>
      </c>
      <c r="AC2160">
        <v>115</v>
      </c>
      <c r="AD2160">
        <v>226</v>
      </c>
      <c r="AE2160" s="1">
        <v>25990</v>
      </c>
      <c r="AF2160">
        <v>0</v>
      </c>
      <c r="AJ2160">
        <v>0</v>
      </c>
      <c r="AK2160">
        <v>0</v>
      </c>
      <c r="AL2160">
        <v>0</v>
      </c>
      <c r="AM2160">
        <v>119.6</v>
      </c>
      <c r="AN2160">
        <v>119.6</v>
      </c>
      <c r="AO2160">
        <v>119.6</v>
      </c>
      <c r="AP2160" s="2">
        <v>42746</v>
      </c>
      <c r="AQ2160" t="s">
        <v>72</v>
      </c>
      <c r="AR2160" t="s">
        <v>72</v>
      </c>
      <c r="AS2160">
        <v>3310</v>
      </c>
      <c r="AT2160" s="4">
        <v>42698</v>
      </c>
      <c r="AU2160" t="s">
        <v>73</v>
      </c>
      <c r="AV2160">
        <v>3310</v>
      </c>
      <c r="AW2160" s="4">
        <v>42698</v>
      </c>
      <c r="BD2160">
        <v>0</v>
      </c>
      <c r="BN2160" t="s">
        <v>74</v>
      </c>
    </row>
    <row r="2161" spans="1:66">
      <c r="A2161">
        <v>100695</v>
      </c>
      <c r="B2161" s="3" t="s">
        <v>227</v>
      </c>
      <c r="C2161" s="1">
        <v>43300101</v>
      </c>
      <c r="D2161" t="s">
        <v>67</v>
      </c>
      <c r="H2161" t="str">
        <f t="shared" si="214"/>
        <v>00721920155</v>
      </c>
      <c r="I2161" t="str">
        <f t="shared" si="214"/>
        <v>00721920155</v>
      </c>
      <c r="K2161" t="str">
        <f>""</f>
        <v/>
      </c>
      <c r="M2161" t="s">
        <v>68</v>
      </c>
      <c r="N2161" t="str">
        <f t="shared" si="213"/>
        <v>FOR</v>
      </c>
      <c r="O2161" t="s">
        <v>69</v>
      </c>
      <c r="P2161" s="3" t="s">
        <v>75</v>
      </c>
      <c r="Q2161">
        <v>2016</v>
      </c>
      <c r="R2161" s="2">
        <v>42410</v>
      </c>
      <c r="S2161" s="2">
        <v>42417</v>
      </c>
      <c r="T2161" s="2">
        <v>42412</v>
      </c>
      <c r="U2161" s="2">
        <v>42472</v>
      </c>
      <c r="V2161" t="s">
        <v>71</v>
      </c>
      <c r="W2161" t="str">
        <f>"          5840117026"</f>
        <v xml:space="preserve">          5840117026</v>
      </c>
      <c r="X2161">
        <v>119.6</v>
      </c>
      <c r="Y2161">
        <v>0</v>
      </c>
      <c r="Z2161" s="3">
        <v>115</v>
      </c>
      <c r="AA2161">
        <v>226</v>
      </c>
      <c r="AB2161" s="5">
        <v>25990</v>
      </c>
      <c r="AC2161">
        <v>115</v>
      </c>
      <c r="AD2161">
        <v>226</v>
      </c>
      <c r="AE2161" s="1">
        <v>25990</v>
      </c>
      <c r="AF2161">
        <v>0</v>
      </c>
      <c r="AJ2161">
        <v>0</v>
      </c>
      <c r="AK2161">
        <v>0</v>
      </c>
      <c r="AL2161">
        <v>0</v>
      </c>
      <c r="AM2161">
        <v>119.6</v>
      </c>
      <c r="AN2161">
        <v>119.6</v>
      </c>
      <c r="AO2161">
        <v>119.6</v>
      </c>
      <c r="AP2161" s="2">
        <v>42746</v>
      </c>
      <c r="AQ2161" t="s">
        <v>72</v>
      </c>
      <c r="AR2161" t="s">
        <v>72</v>
      </c>
      <c r="AS2161">
        <v>3310</v>
      </c>
      <c r="AT2161" s="4">
        <v>42698</v>
      </c>
      <c r="AU2161" t="s">
        <v>73</v>
      </c>
      <c r="AV2161">
        <v>3310</v>
      </c>
      <c r="AW2161" s="4">
        <v>42698</v>
      </c>
      <c r="BD2161">
        <v>0</v>
      </c>
      <c r="BN2161" t="s">
        <v>74</v>
      </c>
    </row>
    <row r="2162" spans="1:66">
      <c r="A2162">
        <v>100695</v>
      </c>
      <c r="B2162" s="3" t="s">
        <v>227</v>
      </c>
      <c r="C2162" s="1">
        <v>43300101</v>
      </c>
      <c r="D2162" t="s">
        <v>67</v>
      </c>
      <c r="H2162" t="str">
        <f t="shared" si="214"/>
        <v>00721920155</v>
      </c>
      <c r="I2162" t="str">
        <f t="shared" si="214"/>
        <v>00721920155</v>
      </c>
      <c r="K2162" t="str">
        <f>""</f>
        <v/>
      </c>
      <c r="M2162" t="s">
        <v>68</v>
      </c>
      <c r="N2162" t="str">
        <f t="shared" si="213"/>
        <v>FOR</v>
      </c>
      <c r="O2162" t="s">
        <v>69</v>
      </c>
      <c r="P2162" s="3" t="s">
        <v>75</v>
      </c>
      <c r="Q2162">
        <v>2016</v>
      </c>
      <c r="R2162" s="2">
        <v>42411</v>
      </c>
      <c r="S2162" s="2">
        <v>42417</v>
      </c>
      <c r="T2162" s="2">
        <v>42412</v>
      </c>
      <c r="U2162" s="2">
        <v>42472</v>
      </c>
      <c r="V2162" t="s">
        <v>71</v>
      </c>
      <c r="W2162" t="str">
        <f>"          5840117064"</f>
        <v xml:space="preserve">          5840117064</v>
      </c>
      <c r="X2162">
        <v>119.6</v>
      </c>
      <c r="Y2162">
        <v>0</v>
      </c>
      <c r="Z2162" s="3">
        <v>115</v>
      </c>
      <c r="AA2162">
        <v>226</v>
      </c>
      <c r="AB2162" s="5">
        <v>25990</v>
      </c>
      <c r="AC2162">
        <v>115</v>
      </c>
      <c r="AD2162">
        <v>226</v>
      </c>
      <c r="AE2162" s="1">
        <v>25990</v>
      </c>
      <c r="AF2162">
        <v>0</v>
      </c>
      <c r="AJ2162">
        <v>0</v>
      </c>
      <c r="AK2162">
        <v>0</v>
      </c>
      <c r="AL2162">
        <v>0</v>
      </c>
      <c r="AM2162">
        <v>119.6</v>
      </c>
      <c r="AN2162">
        <v>119.6</v>
      </c>
      <c r="AO2162">
        <v>119.6</v>
      </c>
      <c r="AP2162" s="2">
        <v>42746</v>
      </c>
      <c r="AQ2162" t="s">
        <v>72</v>
      </c>
      <c r="AR2162" t="s">
        <v>72</v>
      </c>
      <c r="AS2162">
        <v>3310</v>
      </c>
      <c r="AT2162" s="4">
        <v>42698</v>
      </c>
      <c r="AU2162" t="s">
        <v>73</v>
      </c>
      <c r="AV2162">
        <v>3310</v>
      </c>
      <c r="AW2162" s="4">
        <v>42698</v>
      </c>
      <c r="BD2162">
        <v>0</v>
      </c>
      <c r="BN2162" t="s">
        <v>74</v>
      </c>
    </row>
    <row r="2163" spans="1:66">
      <c r="A2163">
        <v>100695</v>
      </c>
      <c r="B2163" s="3" t="s">
        <v>227</v>
      </c>
      <c r="C2163" s="1">
        <v>43300101</v>
      </c>
      <c r="D2163" t="s">
        <v>67</v>
      </c>
      <c r="H2163" t="str">
        <f t="shared" si="214"/>
        <v>00721920155</v>
      </c>
      <c r="I2163" t="str">
        <f t="shared" si="214"/>
        <v>00721920155</v>
      </c>
      <c r="K2163" t="str">
        <f>""</f>
        <v/>
      </c>
      <c r="M2163" t="s">
        <v>68</v>
      </c>
      <c r="N2163" t="str">
        <f t="shared" si="213"/>
        <v>FOR</v>
      </c>
      <c r="O2163" t="s">
        <v>69</v>
      </c>
      <c r="P2163" s="3" t="s">
        <v>75</v>
      </c>
      <c r="Q2163">
        <v>2016</v>
      </c>
      <c r="R2163" s="2">
        <v>42415</v>
      </c>
      <c r="S2163" s="2">
        <v>42417</v>
      </c>
      <c r="T2163" s="2">
        <v>42415</v>
      </c>
      <c r="U2163" s="2">
        <v>42475</v>
      </c>
      <c r="V2163" t="s">
        <v>71</v>
      </c>
      <c r="W2163" t="str">
        <f>"          5840117165"</f>
        <v xml:space="preserve">          5840117165</v>
      </c>
      <c r="X2163">
        <v>119.6</v>
      </c>
      <c r="Y2163">
        <v>0</v>
      </c>
      <c r="Z2163" s="3">
        <v>115</v>
      </c>
      <c r="AA2163">
        <v>223</v>
      </c>
      <c r="AB2163" s="5">
        <v>25645</v>
      </c>
      <c r="AC2163">
        <v>115</v>
      </c>
      <c r="AD2163">
        <v>223</v>
      </c>
      <c r="AE2163" s="1">
        <v>25645</v>
      </c>
      <c r="AF2163">
        <v>0</v>
      </c>
      <c r="AJ2163">
        <v>0</v>
      </c>
      <c r="AK2163">
        <v>0</v>
      </c>
      <c r="AL2163">
        <v>0</v>
      </c>
      <c r="AM2163">
        <v>119.6</v>
      </c>
      <c r="AN2163">
        <v>119.6</v>
      </c>
      <c r="AO2163">
        <v>119.6</v>
      </c>
      <c r="AP2163" s="2">
        <v>42746</v>
      </c>
      <c r="AQ2163" t="s">
        <v>72</v>
      </c>
      <c r="AR2163" t="s">
        <v>72</v>
      </c>
      <c r="AS2163">
        <v>3310</v>
      </c>
      <c r="AT2163" s="4">
        <v>42698</v>
      </c>
      <c r="AU2163" t="s">
        <v>73</v>
      </c>
      <c r="AV2163">
        <v>3310</v>
      </c>
      <c r="AW2163" s="4">
        <v>42698</v>
      </c>
      <c r="BD2163">
        <v>0</v>
      </c>
      <c r="BN2163" t="s">
        <v>74</v>
      </c>
    </row>
    <row r="2164" spans="1:66">
      <c r="A2164">
        <v>100695</v>
      </c>
      <c r="B2164" s="3" t="s">
        <v>227</v>
      </c>
      <c r="C2164" s="1">
        <v>43300101</v>
      </c>
      <c r="D2164" t="s">
        <v>67</v>
      </c>
      <c r="H2164" t="str">
        <f t="shared" si="214"/>
        <v>00721920155</v>
      </c>
      <c r="I2164" t="str">
        <f t="shared" si="214"/>
        <v>00721920155</v>
      </c>
      <c r="K2164" t="str">
        <f>""</f>
        <v/>
      </c>
      <c r="M2164" t="s">
        <v>68</v>
      </c>
      <c r="N2164" t="str">
        <f t="shared" si="213"/>
        <v>FOR</v>
      </c>
      <c r="O2164" t="s">
        <v>69</v>
      </c>
      <c r="P2164" s="3" t="s">
        <v>75</v>
      </c>
      <c r="Q2164">
        <v>2016</v>
      </c>
      <c r="R2164" s="2">
        <v>42415</v>
      </c>
      <c r="S2164" s="2">
        <v>42417</v>
      </c>
      <c r="T2164" s="2">
        <v>42416</v>
      </c>
      <c r="U2164" s="2">
        <v>42476</v>
      </c>
      <c r="V2164" t="s">
        <v>71</v>
      </c>
      <c r="W2164" t="str">
        <f>"          5840117186"</f>
        <v xml:space="preserve">          5840117186</v>
      </c>
      <c r="X2164">
        <v>119.6</v>
      </c>
      <c r="Y2164">
        <v>0</v>
      </c>
      <c r="Z2164" s="3">
        <v>115</v>
      </c>
      <c r="AA2164">
        <v>222</v>
      </c>
      <c r="AB2164" s="5">
        <v>25530</v>
      </c>
      <c r="AC2164">
        <v>115</v>
      </c>
      <c r="AD2164">
        <v>222</v>
      </c>
      <c r="AE2164" s="1">
        <v>25530</v>
      </c>
      <c r="AF2164">
        <v>0</v>
      </c>
      <c r="AJ2164">
        <v>0</v>
      </c>
      <c r="AK2164">
        <v>0</v>
      </c>
      <c r="AL2164">
        <v>0</v>
      </c>
      <c r="AM2164">
        <v>119.6</v>
      </c>
      <c r="AN2164">
        <v>119.6</v>
      </c>
      <c r="AO2164">
        <v>119.6</v>
      </c>
      <c r="AP2164" s="2">
        <v>42746</v>
      </c>
      <c r="AQ2164" t="s">
        <v>72</v>
      </c>
      <c r="AR2164" t="s">
        <v>72</v>
      </c>
      <c r="AS2164">
        <v>3310</v>
      </c>
      <c r="AT2164" s="4">
        <v>42698</v>
      </c>
      <c r="AU2164" t="s">
        <v>73</v>
      </c>
      <c r="AV2164">
        <v>3310</v>
      </c>
      <c r="AW2164" s="4">
        <v>42698</v>
      </c>
      <c r="BD2164">
        <v>0</v>
      </c>
      <c r="BN2164" t="s">
        <v>74</v>
      </c>
    </row>
    <row r="2165" spans="1:66">
      <c r="A2165">
        <v>100695</v>
      </c>
      <c r="B2165" s="3" t="s">
        <v>227</v>
      </c>
      <c r="C2165" s="1">
        <v>43300101</v>
      </c>
      <c r="D2165" t="s">
        <v>67</v>
      </c>
      <c r="H2165" t="str">
        <f t="shared" si="214"/>
        <v>00721920155</v>
      </c>
      <c r="I2165" t="str">
        <f t="shared" si="214"/>
        <v>00721920155</v>
      </c>
      <c r="K2165" t="str">
        <f>""</f>
        <v/>
      </c>
      <c r="M2165" t="s">
        <v>68</v>
      </c>
      <c r="N2165" t="str">
        <f t="shared" si="213"/>
        <v>FOR</v>
      </c>
      <c r="O2165" t="s">
        <v>69</v>
      </c>
      <c r="P2165" s="3" t="s">
        <v>75</v>
      </c>
      <c r="Q2165">
        <v>2016</v>
      </c>
      <c r="R2165" s="2">
        <v>42415</v>
      </c>
      <c r="S2165" s="2">
        <v>42417</v>
      </c>
      <c r="T2165" s="2">
        <v>42416</v>
      </c>
      <c r="U2165" s="2">
        <v>42476</v>
      </c>
      <c r="V2165" t="s">
        <v>71</v>
      </c>
      <c r="W2165" t="str">
        <f>"          5840117209"</f>
        <v xml:space="preserve">          5840117209</v>
      </c>
      <c r="X2165">
        <v>119.6</v>
      </c>
      <c r="Y2165">
        <v>0</v>
      </c>
      <c r="Z2165" s="3">
        <v>115</v>
      </c>
      <c r="AA2165">
        <v>222</v>
      </c>
      <c r="AB2165" s="5">
        <v>25530</v>
      </c>
      <c r="AC2165">
        <v>115</v>
      </c>
      <c r="AD2165">
        <v>222</v>
      </c>
      <c r="AE2165" s="1">
        <v>25530</v>
      </c>
      <c r="AF2165">
        <v>0</v>
      </c>
      <c r="AJ2165">
        <v>0</v>
      </c>
      <c r="AK2165">
        <v>0</v>
      </c>
      <c r="AL2165">
        <v>0</v>
      </c>
      <c r="AM2165">
        <v>119.6</v>
      </c>
      <c r="AN2165">
        <v>119.6</v>
      </c>
      <c r="AO2165">
        <v>119.6</v>
      </c>
      <c r="AP2165" s="2">
        <v>42746</v>
      </c>
      <c r="AQ2165" t="s">
        <v>72</v>
      </c>
      <c r="AR2165" t="s">
        <v>72</v>
      </c>
      <c r="AS2165">
        <v>3310</v>
      </c>
      <c r="AT2165" s="4">
        <v>42698</v>
      </c>
      <c r="AU2165" t="s">
        <v>73</v>
      </c>
      <c r="AV2165">
        <v>3310</v>
      </c>
      <c r="AW2165" s="4">
        <v>42698</v>
      </c>
      <c r="BD2165">
        <v>0</v>
      </c>
      <c r="BN2165" t="s">
        <v>74</v>
      </c>
    </row>
    <row r="2166" spans="1:66">
      <c r="A2166">
        <v>100695</v>
      </c>
      <c r="B2166" s="3" t="s">
        <v>227</v>
      </c>
      <c r="C2166" s="1">
        <v>43300101</v>
      </c>
      <c r="D2166" t="s">
        <v>67</v>
      </c>
      <c r="H2166" t="str">
        <f t="shared" si="214"/>
        <v>00721920155</v>
      </c>
      <c r="I2166" t="str">
        <f t="shared" si="214"/>
        <v>00721920155</v>
      </c>
      <c r="K2166" t="str">
        <f>""</f>
        <v/>
      </c>
      <c r="M2166" t="s">
        <v>68</v>
      </c>
      <c r="N2166" t="str">
        <f t="shared" si="213"/>
        <v>FOR</v>
      </c>
      <c r="O2166" t="s">
        <v>69</v>
      </c>
      <c r="P2166" s="3" t="s">
        <v>75</v>
      </c>
      <c r="Q2166">
        <v>2016</v>
      </c>
      <c r="R2166" s="2">
        <v>42415</v>
      </c>
      <c r="S2166" s="2">
        <v>42417</v>
      </c>
      <c r="T2166" s="2">
        <v>42416</v>
      </c>
      <c r="U2166" s="2">
        <v>42476</v>
      </c>
      <c r="V2166" t="s">
        <v>71</v>
      </c>
      <c r="W2166" t="str">
        <f>"          5840117225"</f>
        <v xml:space="preserve">          5840117225</v>
      </c>
      <c r="X2166">
        <v>119.6</v>
      </c>
      <c r="Y2166">
        <v>0</v>
      </c>
      <c r="Z2166" s="3">
        <v>115</v>
      </c>
      <c r="AA2166">
        <v>222</v>
      </c>
      <c r="AB2166" s="5">
        <v>25530</v>
      </c>
      <c r="AC2166">
        <v>115</v>
      </c>
      <c r="AD2166">
        <v>222</v>
      </c>
      <c r="AE2166" s="1">
        <v>25530</v>
      </c>
      <c r="AF2166">
        <v>0</v>
      </c>
      <c r="AJ2166">
        <v>0</v>
      </c>
      <c r="AK2166">
        <v>0</v>
      </c>
      <c r="AL2166">
        <v>0</v>
      </c>
      <c r="AM2166">
        <v>119.6</v>
      </c>
      <c r="AN2166">
        <v>119.6</v>
      </c>
      <c r="AO2166">
        <v>119.6</v>
      </c>
      <c r="AP2166" s="2">
        <v>42746</v>
      </c>
      <c r="AQ2166" t="s">
        <v>72</v>
      </c>
      <c r="AR2166" t="s">
        <v>72</v>
      </c>
      <c r="AS2166">
        <v>3310</v>
      </c>
      <c r="AT2166" s="4">
        <v>42698</v>
      </c>
      <c r="AU2166" t="s">
        <v>73</v>
      </c>
      <c r="AV2166">
        <v>3310</v>
      </c>
      <c r="AW2166" s="4">
        <v>42698</v>
      </c>
      <c r="BD2166">
        <v>0</v>
      </c>
      <c r="BN2166" t="s">
        <v>74</v>
      </c>
    </row>
    <row r="2167" spans="1:66">
      <c r="A2167">
        <v>100695</v>
      </c>
      <c r="B2167" s="3" t="s">
        <v>227</v>
      </c>
      <c r="C2167" s="1">
        <v>43300101</v>
      </c>
      <c r="D2167" t="s">
        <v>67</v>
      </c>
      <c r="H2167" t="str">
        <f t="shared" si="214"/>
        <v>00721920155</v>
      </c>
      <c r="I2167" t="str">
        <f t="shared" si="214"/>
        <v>00721920155</v>
      </c>
      <c r="K2167" t="str">
        <f>""</f>
        <v/>
      </c>
      <c r="M2167" t="s">
        <v>68</v>
      </c>
      <c r="N2167" t="str">
        <f t="shared" si="213"/>
        <v>FOR</v>
      </c>
      <c r="O2167" t="s">
        <v>69</v>
      </c>
      <c r="P2167" s="3" t="s">
        <v>75</v>
      </c>
      <c r="Q2167">
        <v>2016</v>
      </c>
      <c r="R2167" s="2">
        <v>42416</v>
      </c>
      <c r="S2167" s="2">
        <v>42422</v>
      </c>
      <c r="T2167" s="2">
        <v>42419</v>
      </c>
      <c r="U2167" s="2">
        <v>42479</v>
      </c>
      <c r="V2167" t="s">
        <v>71</v>
      </c>
      <c r="W2167" t="str">
        <f>"          5840117236"</f>
        <v xml:space="preserve">          5840117236</v>
      </c>
      <c r="X2167">
        <v>119.6</v>
      </c>
      <c r="Y2167">
        <v>0</v>
      </c>
      <c r="Z2167" s="3">
        <v>115</v>
      </c>
      <c r="AA2167">
        <v>219</v>
      </c>
      <c r="AB2167" s="5">
        <v>25185</v>
      </c>
      <c r="AC2167">
        <v>115</v>
      </c>
      <c r="AD2167">
        <v>219</v>
      </c>
      <c r="AE2167" s="1">
        <v>25185</v>
      </c>
      <c r="AF2167">
        <v>0</v>
      </c>
      <c r="AJ2167">
        <v>0</v>
      </c>
      <c r="AK2167">
        <v>0</v>
      </c>
      <c r="AL2167">
        <v>0</v>
      </c>
      <c r="AM2167">
        <v>119.6</v>
      </c>
      <c r="AN2167">
        <v>119.6</v>
      </c>
      <c r="AO2167">
        <v>119.6</v>
      </c>
      <c r="AP2167" s="2">
        <v>42746</v>
      </c>
      <c r="AQ2167" t="s">
        <v>72</v>
      </c>
      <c r="AR2167" t="s">
        <v>72</v>
      </c>
      <c r="AS2167">
        <v>3310</v>
      </c>
      <c r="AT2167" s="4">
        <v>42698</v>
      </c>
      <c r="AU2167" t="s">
        <v>73</v>
      </c>
      <c r="AV2167">
        <v>3310</v>
      </c>
      <c r="AW2167" s="4">
        <v>42698</v>
      </c>
      <c r="BD2167">
        <v>0</v>
      </c>
      <c r="BN2167" t="s">
        <v>74</v>
      </c>
    </row>
    <row r="2168" spans="1:66">
      <c r="A2168">
        <v>100695</v>
      </c>
      <c r="B2168" s="3" t="s">
        <v>227</v>
      </c>
      <c r="C2168" s="1">
        <v>43300101</v>
      </c>
      <c r="D2168" t="s">
        <v>67</v>
      </c>
      <c r="H2168" t="str">
        <f t="shared" si="214"/>
        <v>00721920155</v>
      </c>
      <c r="I2168" t="str">
        <f t="shared" si="214"/>
        <v>00721920155</v>
      </c>
      <c r="K2168" t="str">
        <f>""</f>
        <v/>
      </c>
      <c r="M2168" t="s">
        <v>68</v>
      </c>
      <c r="N2168" t="str">
        <f t="shared" si="213"/>
        <v>FOR</v>
      </c>
      <c r="O2168" t="s">
        <v>69</v>
      </c>
      <c r="P2168" s="3" t="s">
        <v>75</v>
      </c>
      <c r="Q2168">
        <v>2016</v>
      </c>
      <c r="R2168" s="2">
        <v>42416</v>
      </c>
      <c r="S2168" s="2">
        <v>42422</v>
      </c>
      <c r="T2168" s="2">
        <v>42419</v>
      </c>
      <c r="U2168" s="2">
        <v>42479</v>
      </c>
      <c r="V2168" t="s">
        <v>71</v>
      </c>
      <c r="W2168" t="str">
        <f>"          5840117238"</f>
        <v xml:space="preserve">          5840117238</v>
      </c>
      <c r="X2168">
        <v>119.6</v>
      </c>
      <c r="Y2168">
        <v>0</v>
      </c>
      <c r="Z2168" s="3">
        <v>115</v>
      </c>
      <c r="AA2168">
        <v>219</v>
      </c>
      <c r="AB2168" s="5">
        <v>25185</v>
      </c>
      <c r="AC2168">
        <v>115</v>
      </c>
      <c r="AD2168">
        <v>219</v>
      </c>
      <c r="AE2168" s="1">
        <v>25185</v>
      </c>
      <c r="AF2168">
        <v>0</v>
      </c>
      <c r="AJ2168">
        <v>0</v>
      </c>
      <c r="AK2168">
        <v>0</v>
      </c>
      <c r="AL2168">
        <v>0</v>
      </c>
      <c r="AM2168">
        <v>119.6</v>
      </c>
      <c r="AN2168">
        <v>119.6</v>
      </c>
      <c r="AO2168">
        <v>119.6</v>
      </c>
      <c r="AP2168" s="2">
        <v>42746</v>
      </c>
      <c r="AQ2168" t="s">
        <v>72</v>
      </c>
      <c r="AR2168" t="s">
        <v>72</v>
      </c>
      <c r="AS2168">
        <v>3310</v>
      </c>
      <c r="AT2168" s="4">
        <v>42698</v>
      </c>
      <c r="AU2168" t="s">
        <v>73</v>
      </c>
      <c r="AV2168">
        <v>3310</v>
      </c>
      <c r="AW2168" s="4">
        <v>42698</v>
      </c>
      <c r="BD2168">
        <v>0</v>
      </c>
      <c r="BN2168" t="s">
        <v>74</v>
      </c>
    </row>
    <row r="2169" spans="1:66">
      <c r="A2169">
        <v>100695</v>
      </c>
      <c r="B2169" s="3" t="s">
        <v>227</v>
      </c>
      <c r="C2169" s="1">
        <v>43300101</v>
      </c>
      <c r="D2169" t="s">
        <v>67</v>
      </c>
      <c r="H2169" t="str">
        <f t="shared" ref="H2169:I2188" si="215">"00721920155"</f>
        <v>00721920155</v>
      </c>
      <c r="I2169" t="str">
        <f t="shared" si="215"/>
        <v>00721920155</v>
      </c>
      <c r="K2169" t="str">
        <f>""</f>
        <v/>
      </c>
      <c r="M2169" t="s">
        <v>68</v>
      </c>
      <c r="N2169" t="str">
        <f t="shared" si="213"/>
        <v>FOR</v>
      </c>
      <c r="O2169" t="s">
        <v>69</v>
      </c>
      <c r="P2169" s="3" t="s">
        <v>75</v>
      </c>
      <c r="Q2169">
        <v>2016</v>
      </c>
      <c r="R2169" s="2">
        <v>42416</v>
      </c>
      <c r="S2169" s="2">
        <v>42422</v>
      </c>
      <c r="T2169" s="2">
        <v>42419</v>
      </c>
      <c r="U2169" s="2">
        <v>42479</v>
      </c>
      <c r="V2169" t="s">
        <v>71</v>
      </c>
      <c r="W2169" t="str">
        <f>"          5840117265"</f>
        <v xml:space="preserve">          5840117265</v>
      </c>
      <c r="X2169">
        <v>119.6</v>
      </c>
      <c r="Y2169">
        <v>0</v>
      </c>
      <c r="Z2169" s="3">
        <v>115</v>
      </c>
      <c r="AA2169">
        <v>219</v>
      </c>
      <c r="AB2169" s="5">
        <v>25185</v>
      </c>
      <c r="AC2169">
        <v>115</v>
      </c>
      <c r="AD2169">
        <v>219</v>
      </c>
      <c r="AE2169" s="1">
        <v>25185</v>
      </c>
      <c r="AF2169">
        <v>0</v>
      </c>
      <c r="AJ2169">
        <v>0</v>
      </c>
      <c r="AK2169">
        <v>0</v>
      </c>
      <c r="AL2169">
        <v>0</v>
      </c>
      <c r="AM2169">
        <v>119.6</v>
      </c>
      <c r="AN2169">
        <v>119.6</v>
      </c>
      <c r="AO2169">
        <v>119.6</v>
      </c>
      <c r="AP2169" s="2">
        <v>42746</v>
      </c>
      <c r="AQ2169" t="s">
        <v>72</v>
      </c>
      <c r="AR2169" t="s">
        <v>72</v>
      </c>
      <c r="AS2169">
        <v>3310</v>
      </c>
      <c r="AT2169" s="4">
        <v>42698</v>
      </c>
      <c r="AU2169" t="s">
        <v>73</v>
      </c>
      <c r="AV2169">
        <v>3310</v>
      </c>
      <c r="AW2169" s="4">
        <v>42698</v>
      </c>
      <c r="BD2169">
        <v>0</v>
      </c>
      <c r="BN2169" t="s">
        <v>74</v>
      </c>
    </row>
    <row r="2170" spans="1:66">
      <c r="A2170">
        <v>100695</v>
      </c>
      <c r="B2170" s="3" t="s">
        <v>227</v>
      </c>
      <c r="C2170" s="1">
        <v>43300101</v>
      </c>
      <c r="D2170" t="s">
        <v>67</v>
      </c>
      <c r="H2170" t="str">
        <f t="shared" si="215"/>
        <v>00721920155</v>
      </c>
      <c r="I2170" t="str">
        <f t="shared" si="215"/>
        <v>00721920155</v>
      </c>
      <c r="K2170" t="str">
        <f>""</f>
        <v/>
      </c>
      <c r="M2170" t="s">
        <v>68</v>
      </c>
      <c r="N2170" t="str">
        <f t="shared" si="213"/>
        <v>FOR</v>
      </c>
      <c r="O2170" t="s">
        <v>69</v>
      </c>
      <c r="P2170" s="3" t="s">
        <v>75</v>
      </c>
      <c r="Q2170">
        <v>2016</v>
      </c>
      <c r="R2170" s="2">
        <v>42419</v>
      </c>
      <c r="S2170" s="2">
        <v>42425</v>
      </c>
      <c r="T2170" s="2">
        <v>42422</v>
      </c>
      <c r="U2170" s="2">
        <v>42482</v>
      </c>
      <c r="V2170" t="s">
        <v>71</v>
      </c>
      <c r="W2170" t="str">
        <f>"          5840117446"</f>
        <v xml:space="preserve">          5840117446</v>
      </c>
      <c r="X2170">
        <v>119.6</v>
      </c>
      <c r="Y2170">
        <v>0</v>
      </c>
      <c r="Z2170" s="3">
        <v>115</v>
      </c>
      <c r="AA2170">
        <v>216</v>
      </c>
      <c r="AB2170" s="5">
        <v>24840</v>
      </c>
      <c r="AC2170">
        <v>115</v>
      </c>
      <c r="AD2170">
        <v>216</v>
      </c>
      <c r="AE2170" s="1">
        <v>24840</v>
      </c>
      <c r="AF2170">
        <v>0</v>
      </c>
      <c r="AJ2170">
        <v>0</v>
      </c>
      <c r="AK2170">
        <v>0</v>
      </c>
      <c r="AL2170">
        <v>0</v>
      </c>
      <c r="AM2170">
        <v>119.6</v>
      </c>
      <c r="AN2170">
        <v>119.6</v>
      </c>
      <c r="AO2170">
        <v>119.6</v>
      </c>
      <c r="AP2170" s="2">
        <v>42746</v>
      </c>
      <c r="AQ2170" t="s">
        <v>72</v>
      </c>
      <c r="AR2170" t="s">
        <v>72</v>
      </c>
      <c r="AS2170">
        <v>3310</v>
      </c>
      <c r="AT2170" s="4">
        <v>42698</v>
      </c>
      <c r="AU2170" t="s">
        <v>73</v>
      </c>
      <c r="AV2170">
        <v>3310</v>
      </c>
      <c r="AW2170" s="4">
        <v>42698</v>
      </c>
      <c r="BD2170">
        <v>0</v>
      </c>
      <c r="BN2170" t="s">
        <v>74</v>
      </c>
    </row>
    <row r="2171" spans="1:66">
      <c r="A2171">
        <v>100695</v>
      </c>
      <c r="B2171" s="3" t="s">
        <v>227</v>
      </c>
      <c r="C2171" s="1">
        <v>43300101</v>
      </c>
      <c r="D2171" t="s">
        <v>67</v>
      </c>
      <c r="H2171" t="str">
        <f t="shared" si="215"/>
        <v>00721920155</v>
      </c>
      <c r="I2171" t="str">
        <f t="shared" si="215"/>
        <v>00721920155</v>
      </c>
      <c r="K2171" t="str">
        <f>""</f>
        <v/>
      </c>
      <c r="M2171" t="s">
        <v>68</v>
      </c>
      <c r="N2171" t="str">
        <f t="shared" si="213"/>
        <v>FOR</v>
      </c>
      <c r="O2171" t="s">
        <v>69</v>
      </c>
      <c r="P2171" s="3" t="s">
        <v>75</v>
      </c>
      <c r="Q2171">
        <v>2016</v>
      </c>
      <c r="R2171" s="2">
        <v>42422</v>
      </c>
      <c r="S2171" s="2">
        <v>42425</v>
      </c>
      <c r="T2171" s="2">
        <v>42423</v>
      </c>
      <c r="U2171" s="2">
        <v>42483</v>
      </c>
      <c r="V2171" t="s">
        <v>71</v>
      </c>
      <c r="W2171" t="str">
        <f>"          5840117542"</f>
        <v xml:space="preserve">          5840117542</v>
      </c>
      <c r="X2171">
        <v>119.6</v>
      </c>
      <c r="Y2171">
        <v>0</v>
      </c>
      <c r="Z2171" s="3">
        <v>115</v>
      </c>
      <c r="AA2171">
        <v>215</v>
      </c>
      <c r="AB2171" s="5">
        <v>24725</v>
      </c>
      <c r="AC2171">
        <v>115</v>
      </c>
      <c r="AD2171">
        <v>215</v>
      </c>
      <c r="AE2171" s="1">
        <v>24725</v>
      </c>
      <c r="AF2171">
        <v>0</v>
      </c>
      <c r="AJ2171">
        <v>0</v>
      </c>
      <c r="AK2171">
        <v>0</v>
      </c>
      <c r="AL2171">
        <v>0</v>
      </c>
      <c r="AM2171">
        <v>119.6</v>
      </c>
      <c r="AN2171">
        <v>119.6</v>
      </c>
      <c r="AO2171">
        <v>119.6</v>
      </c>
      <c r="AP2171" s="2">
        <v>42746</v>
      </c>
      <c r="AQ2171" t="s">
        <v>72</v>
      </c>
      <c r="AR2171" t="s">
        <v>72</v>
      </c>
      <c r="AS2171">
        <v>3310</v>
      </c>
      <c r="AT2171" s="4">
        <v>42698</v>
      </c>
      <c r="AU2171" t="s">
        <v>73</v>
      </c>
      <c r="AV2171">
        <v>3310</v>
      </c>
      <c r="AW2171" s="4">
        <v>42698</v>
      </c>
      <c r="BD2171">
        <v>0</v>
      </c>
      <c r="BN2171" t="s">
        <v>74</v>
      </c>
    </row>
    <row r="2172" spans="1:66">
      <c r="A2172">
        <v>100695</v>
      </c>
      <c r="B2172" s="3" t="s">
        <v>227</v>
      </c>
      <c r="C2172" s="1">
        <v>43300101</v>
      </c>
      <c r="D2172" t="s">
        <v>67</v>
      </c>
      <c r="H2172" t="str">
        <f t="shared" si="215"/>
        <v>00721920155</v>
      </c>
      <c r="I2172" t="str">
        <f t="shared" si="215"/>
        <v>00721920155</v>
      </c>
      <c r="K2172" t="str">
        <f>""</f>
        <v/>
      </c>
      <c r="M2172" t="s">
        <v>68</v>
      </c>
      <c r="N2172" t="str">
        <f t="shared" si="213"/>
        <v>FOR</v>
      </c>
      <c r="O2172" t="s">
        <v>69</v>
      </c>
      <c r="P2172" s="3" t="s">
        <v>75</v>
      </c>
      <c r="Q2172">
        <v>2016</v>
      </c>
      <c r="R2172" s="2">
        <v>42422</v>
      </c>
      <c r="S2172" s="2">
        <v>42425</v>
      </c>
      <c r="T2172" s="2">
        <v>42423</v>
      </c>
      <c r="U2172" s="2">
        <v>42483</v>
      </c>
      <c r="V2172" t="s">
        <v>71</v>
      </c>
      <c r="W2172" t="str">
        <f>"          5840117559"</f>
        <v xml:space="preserve">          5840117559</v>
      </c>
      <c r="X2172">
        <v>119.6</v>
      </c>
      <c r="Y2172">
        <v>0</v>
      </c>
      <c r="Z2172" s="3">
        <v>115</v>
      </c>
      <c r="AA2172">
        <v>215</v>
      </c>
      <c r="AB2172" s="5">
        <v>24725</v>
      </c>
      <c r="AC2172">
        <v>115</v>
      </c>
      <c r="AD2172">
        <v>215</v>
      </c>
      <c r="AE2172" s="1">
        <v>24725</v>
      </c>
      <c r="AF2172">
        <v>0</v>
      </c>
      <c r="AJ2172">
        <v>0</v>
      </c>
      <c r="AK2172">
        <v>0</v>
      </c>
      <c r="AL2172">
        <v>0</v>
      </c>
      <c r="AM2172">
        <v>119.6</v>
      </c>
      <c r="AN2172">
        <v>119.6</v>
      </c>
      <c r="AO2172">
        <v>119.6</v>
      </c>
      <c r="AP2172" s="2">
        <v>42746</v>
      </c>
      <c r="AQ2172" t="s">
        <v>72</v>
      </c>
      <c r="AR2172" t="s">
        <v>72</v>
      </c>
      <c r="AS2172">
        <v>3310</v>
      </c>
      <c r="AT2172" s="4">
        <v>42698</v>
      </c>
      <c r="AU2172" t="s">
        <v>73</v>
      </c>
      <c r="AV2172">
        <v>3310</v>
      </c>
      <c r="AW2172" s="4">
        <v>42698</v>
      </c>
      <c r="BD2172">
        <v>0</v>
      </c>
      <c r="BN2172" t="s">
        <v>74</v>
      </c>
    </row>
    <row r="2173" spans="1:66">
      <c r="A2173">
        <v>100695</v>
      </c>
      <c r="B2173" s="3" t="s">
        <v>227</v>
      </c>
      <c r="C2173" s="1">
        <v>43300101</v>
      </c>
      <c r="D2173" t="s">
        <v>67</v>
      </c>
      <c r="H2173" t="str">
        <f t="shared" si="215"/>
        <v>00721920155</v>
      </c>
      <c r="I2173" t="str">
        <f t="shared" si="215"/>
        <v>00721920155</v>
      </c>
      <c r="K2173" t="str">
        <f>""</f>
        <v/>
      </c>
      <c r="M2173" t="s">
        <v>68</v>
      </c>
      <c r="N2173" t="str">
        <f t="shared" si="213"/>
        <v>FOR</v>
      </c>
      <c r="O2173" t="s">
        <v>69</v>
      </c>
      <c r="P2173" s="3" t="s">
        <v>75</v>
      </c>
      <c r="Q2173">
        <v>2016</v>
      </c>
      <c r="R2173" s="2">
        <v>42422</v>
      </c>
      <c r="S2173" s="2">
        <v>42425</v>
      </c>
      <c r="T2173" s="2">
        <v>42423</v>
      </c>
      <c r="U2173" s="2">
        <v>42483</v>
      </c>
      <c r="V2173" t="s">
        <v>71</v>
      </c>
      <c r="W2173" t="str">
        <f>"          5840117565"</f>
        <v xml:space="preserve">          5840117565</v>
      </c>
      <c r="X2173">
        <v>119.6</v>
      </c>
      <c r="Y2173">
        <v>0</v>
      </c>
      <c r="Z2173" s="3">
        <v>115</v>
      </c>
      <c r="AA2173">
        <v>215</v>
      </c>
      <c r="AB2173" s="5">
        <v>24725</v>
      </c>
      <c r="AC2173">
        <v>115</v>
      </c>
      <c r="AD2173">
        <v>215</v>
      </c>
      <c r="AE2173" s="1">
        <v>24725</v>
      </c>
      <c r="AF2173">
        <v>0</v>
      </c>
      <c r="AJ2173">
        <v>0</v>
      </c>
      <c r="AK2173">
        <v>0</v>
      </c>
      <c r="AL2173">
        <v>0</v>
      </c>
      <c r="AM2173">
        <v>119.6</v>
      </c>
      <c r="AN2173">
        <v>119.6</v>
      </c>
      <c r="AO2173">
        <v>119.6</v>
      </c>
      <c r="AP2173" s="2">
        <v>42746</v>
      </c>
      <c r="AQ2173" t="s">
        <v>72</v>
      </c>
      <c r="AR2173" t="s">
        <v>72</v>
      </c>
      <c r="AS2173">
        <v>3310</v>
      </c>
      <c r="AT2173" s="4">
        <v>42698</v>
      </c>
      <c r="AU2173" t="s">
        <v>73</v>
      </c>
      <c r="AV2173">
        <v>3310</v>
      </c>
      <c r="AW2173" s="4">
        <v>42698</v>
      </c>
      <c r="BD2173">
        <v>0</v>
      </c>
      <c r="BN2173" t="s">
        <v>74</v>
      </c>
    </row>
    <row r="2174" spans="1:66">
      <c r="A2174">
        <v>100695</v>
      </c>
      <c r="B2174" s="3" t="s">
        <v>227</v>
      </c>
      <c r="C2174" s="1">
        <v>43300101</v>
      </c>
      <c r="D2174" t="s">
        <v>67</v>
      </c>
      <c r="H2174" t="str">
        <f t="shared" si="215"/>
        <v>00721920155</v>
      </c>
      <c r="I2174" t="str">
        <f t="shared" si="215"/>
        <v>00721920155</v>
      </c>
      <c r="K2174" t="str">
        <f>""</f>
        <v/>
      </c>
      <c r="M2174" t="s">
        <v>68</v>
      </c>
      <c r="N2174" t="str">
        <f t="shared" si="213"/>
        <v>FOR</v>
      </c>
      <c r="O2174" t="s">
        <v>69</v>
      </c>
      <c r="P2174" s="3" t="s">
        <v>75</v>
      </c>
      <c r="Q2174">
        <v>2016</v>
      </c>
      <c r="R2174" s="2">
        <v>42422</v>
      </c>
      <c r="S2174" s="2">
        <v>42425</v>
      </c>
      <c r="T2174" s="2">
        <v>42423</v>
      </c>
      <c r="U2174" s="2">
        <v>42483</v>
      </c>
      <c r="V2174" t="s">
        <v>71</v>
      </c>
      <c r="W2174" t="str">
        <f>"          5840117581"</f>
        <v xml:space="preserve">          5840117581</v>
      </c>
      <c r="X2174">
        <v>119.6</v>
      </c>
      <c r="Y2174">
        <v>0</v>
      </c>
      <c r="Z2174" s="3">
        <v>115</v>
      </c>
      <c r="AA2174">
        <v>215</v>
      </c>
      <c r="AB2174" s="5">
        <v>24725</v>
      </c>
      <c r="AC2174">
        <v>115</v>
      </c>
      <c r="AD2174">
        <v>215</v>
      </c>
      <c r="AE2174" s="1">
        <v>24725</v>
      </c>
      <c r="AF2174">
        <v>0</v>
      </c>
      <c r="AJ2174">
        <v>0</v>
      </c>
      <c r="AK2174">
        <v>0</v>
      </c>
      <c r="AL2174">
        <v>0</v>
      </c>
      <c r="AM2174">
        <v>119.6</v>
      </c>
      <c r="AN2174">
        <v>119.6</v>
      </c>
      <c r="AO2174">
        <v>119.6</v>
      </c>
      <c r="AP2174" s="2">
        <v>42746</v>
      </c>
      <c r="AQ2174" t="s">
        <v>72</v>
      </c>
      <c r="AR2174" t="s">
        <v>72</v>
      </c>
      <c r="AS2174">
        <v>3310</v>
      </c>
      <c r="AT2174" s="4">
        <v>42698</v>
      </c>
      <c r="AU2174" t="s">
        <v>73</v>
      </c>
      <c r="AV2174">
        <v>3310</v>
      </c>
      <c r="AW2174" s="4">
        <v>42698</v>
      </c>
      <c r="BD2174">
        <v>0</v>
      </c>
      <c r="BN2174" t="s">
        <v>74</v>
      </c>
    </row>
    <row r="2175" spans="1:66">
      <c r="A2175">
        <v>100695</v>
      </c>
      <c r="B2175" s="3" t="s">
        <v>227</v>
      </c>
      <c r="C2175" s="1">
        <v>43300101</v>
      </c>
      <c r="D2175" t="s">
        <v>67</v>
      </c>
      <c r="H2175" t="str">
        <f t="shared" si="215"/>
        <v>00721920155</v>
      </c>
      <c r="I2175" t="str">
        <f t="shared" si="215"/>
        <v>00721920155</v>
      </c>
      <c r="K2175" t="str">
        <f>""</f>
        <v/>
      </c>
      <c r="M2175" t="s">
        <v>68</v>
      </c>
      <c r="N2175" t="str">
        <f t="shared" si="213"/>
        <v>FOR</v>
      </c>
      <c r="O2175" t="s">
        <v>69</v>
      </c>
      <c r="P2175" s="3" t="s">
        <v>75</v>
      </c>
      <c r="Q2175">
        <v>2016</v>
      </c>
      <c r="R2175" s="2">
        <v>42422</v>
      </c>
      <c r="S2175" s="2">
        <v>42425</v>
      </c>
      <c r="T2175" s="2">
        <v>42423</v>
      </c>
      <c r="U2175" s="2">
        <v>42483</v>
      </c>
      <c r="V2175" t="s">
        <v>71</v>
      </c>
      <c r="W2175" t="str">
        <f>"          5840117599"</f>
        <v xml:space="preserve">          5840117599</v>
      </c>
      <c r="X2175">
        <v>119.6</v>
      </c>
      <c r="Y2175">
        <v>0</v>
      </c>
      <c r="Z2175" s="3">
        <v>115</v>
      </c>
      <c r="AA2175">
        <v>215</v>
      </c>
      <c r="AB2175" s="5">
        <v>24725</v>
      </c>
      <c r="AC2175">
        <v>115</v>
      </c>
      <c r="AD2175">
        <v>215</v>
      </c>
      <c r="AE2175" s="1">
        <v>24725</v>
      </c>
      <c r="AF2175">
        <v>0</v>
      </c>
      <c r="AJ2175">
        <v>0</v>
      </c>
      <c r="AK2175">
        <v>0</v>
      </c>
      <c r="AL2175">
        <v>0</v>
      </c>
      <c r="AM2175">
        <v>119.6</v>
      </c>
      <c r="AN2175">
        <v>119.6</v>
      </c>
      <c r="AO2175">
        <v>119.6</v>
      </c>
      <c r="AP2175" s="2">
        <v>42746</v>
      </c>
      <c r="AQ2175" t="s">
        <v>72</v>
      </c>
      <c r="AR2175" t="s">
        <v>72</v>
      </c>
      <c r="AS2175">
        <v>3310</v>
      </c>
      <c r="AT2175" s="4">
        <v>42698</v>
      </c>
      <c r="AU2175" t="s">
        <v>73</v>
      </c>
      <c r="AV2175">
        <v>3310</v>
      </c>
      <c r="AW2175" s="4">
        <v>42698</v>
      </c>
      <c r="BD2175">
        <v>0</v>
      </c>
      <c r="BN2175" t="s">
        <v>74</v>
      </c>
    </row>
    <row r="2176" spans="1:66">
      <c r="A2176">
        <v>100695</v>
      </c>
      <c r="B2176" s="3" t="s">
        <v>227</v>
      </c>
      <c r="C2176" s="1">
        <v>43300101</v>
      </c>
      <c r="D2176" t="s">
        <v>67</v>
      </c>
      <c r="H2176" t="str">
        <f t="shared" si="215"/>
        <v>00721920155</v>
      </c>
      <c r="I2176" t="str">
        <f t="shared" si="215"/>
        <v>00721920155</v>
      </c>
      <c r="K2176" t="str">
        <f>""</f>
        <v/>
      </c>
      <c r="M2176" t="s">
        <v>68</v>
      </c>
      <c r="N2176" t="str">
        <f t="shared" si="213"/>
        <v>FOR</v>
      </c>
      <c r="O2176" t="s">
        <v>69</v>
      </c>
      <c r="P2176" s="3" t="s">
        <v>75</v>
      </c>
      <c r="Q2176">
        <v>2016</v>
      </c>
      <c r="R2176" s="2">
        <v>42425</v>
      </c>
      <c r="S2176" s="2">
        <v>42433</v>
      </c>
      <c r="T2176" s="2">
        <v>42429</v>
      </c>
      <c r="U2176" s="2">
        <v>42489</v>
      </c>
      <c r="V2176" t="s">
        <v>71</v>
      </c>
      <c r="W2176" t="str">
        <f>"          5840117758"</f>
        <v xml:space="preserve">          5840117758</v>
      </c>
      <c r="X2176" s="1">
        <v>3617.52</v>
      </c>
      <c r="Y2176">
        <v>0</v>
      </c>
      <c r="Z2176" s="5">
        <v>2965.18</v>
      </c>
      <c r="AA2176">
        <v>209</v>
      </c>
      <c r="AB2176" s="5">
        <v>619722.62</v>
      </c>
      <c r="AC2176" s="1">
        <v>2965.18</v>
      </c>
      <c r="AD2176">
        <v>209</v>
      </c>
      <c r="AE2176" s="1">
        <v>619722.62</v>
      </c>
      <c r="AF2176">
        <v>0</v>
      </c>
      <c r="AJ2176">
        <v>0</v>
      </c>
      <c r="AK2176">
        <v>0</v>
      </c>
      <c r="AL2176">
        <v>0</v>
      </c>
      <c r="AM2176" s="1">
        <v>3617.52</v>
      </c>
      <c r="AN2176" s="1">
        <v>3617.52</v>
      </c>
      <c r="AO2176" s="1">
        <v>3617.52</v>
      </c>
      <c r="AP2176" s="2">
        <v>42746</v>
      </c>
      <c r="AQ2176" t="s">
        <v>72</v>
      </c>
      <c r="AR2176" t="s">
        <v>72</v>
      </c>
      <c r="AS2176">
        <v>3310</v>
      </c>
      <c r="AT2176" s="4">
        <v>42698</v>
      </c>
      <c r="AU2176" t="s">
        <v>73</v>
      </c>
      <c r="AV2176">
        <v>3310</v>
      </c>
      <c r="AW2176" s="4">
        <v>42698</v>
      </c>
      <c r="BD2176">
        <v>0</v>
      </c>
      <c r="BN2176" t="s">
        <v>74</v>
      </c>
    </row>
    <row r="2177" spans="1:66">
      <c r="A2177">
        <v>100695</v>
      </c>
      <c r="B2177" s="3" t="s">
        <v>227</v>
      </c>
      <c r="C2177" s="1">
        <v>43300101</v>
      </c>
      <c r="D2177" t="s">
        <v>67</v>
      </c>
      <c r="H2177" t="str">
        <f t="shared" si="215"/>
        <v>00721920155</v>
      </c>
      <c r="I2177" t="str">
        <f t="shared" si="215"/>
        <v>00721920155</v>
      </c>
      <c r="K2177" t="str">
        <f>""</f>
        <v/>
      </c>
      <c r="M2177" t="s">
        <v>68</v>
      </c>
      <c r="N2177" t="str">
        <f t="shared" si="213"/>
        <v>FOR</v>
      </c>
      <c r="O2177" t="s">
        <v>69</v>
      </c>
      <c r="P2177" s="3" t="s">
        <v>75</v>
      </c>
      <c r="Q2177">
        <v>2016</v>
      </c>
      <c r="R2177" s="2">
        <v>42426</v>
      </c>
      <c r="S2177" s="2">
        <v>42436</v>
      </c>
      <c r="T2177" s="2">
        <v>42429</v>
      </c>
      <c r="U2177" s="2">
        <v>42489</v>
      </c>
      <c r="V2177" t="s">
        <v>71</v>
      </c>
      <c r="W2177" t="str">
        <f>"          5840117820"</f>
        <v xml:space="preserve">          5840117820</v>
      </c>
      <c r="X2177">
        <v>119.6</v>
      </c>
      <c r="Y2177">
        <v>0</v>
      </c>
      <c r="Z2177" s="3">
        <v>115</v>
      </c>
      <c r="AA2177">
        <v>209</v>
      </c>
      <c r="AB2177" s="5">
        <v>24035</v>
      </c>
      <c r="AC2177">
        <v>115</v>
      </c>
      <c r="AD2177">
        <v>209</v>
      </c>
      <c r="AE2177" s="1">
        <v>24035</v>
      </c>
      <c r="AF2177">
        <v>0</v>
      </c>
      <c r="AJ2177">
        <v>0</v>
      </c>
      <c r="AK2177">
        <v>0</v>
      </c>
      <c r="AL2177">
        <v>0</v>
      </c>
      <c r="AM2177">
        <v>119.6</v>
      </c>
      <c r="AN2177">
        <v>119.6</v>
      </c>
      <c r="AO2177">
        <v>119.6</v>
      </c>
      <c r="AP2177" s="2">
        <v>42746</v>
      </c>
      <c r="AQ2177" t="s">
        <v>72</v>
      </c>
      <c r="AR2177" t="s">
        <v>72</v>
      </c>
      <c r="AS2177">
        <v>3310</v>
      </c>
      <c r="AT2177" s="4">
        <v>42698</v>
      </c>
      <c r="AU2177" t="s">
        <v>73</v>
      </c>
      <c r="AV2177">
        <v>3310</v>
      </c>
      <c r="AW2177" s="4">
        <v>42698</v>
      </c>
      <c r="BD2177">
        <v>0</v>
      </c>
      <c r="BN2177" t="s">
        <v>74</v>
      </c>
    </row>
    <row r="2178" spans="1:66">
      <c r="A2178">
        <v>100695</v>
      </c>
      <c r="B2178" s="3" t="s">
        <v>227</v>
      </c>
      <c r="C2178" s="1">
        <v>43300101</v>
      </c>
      <c r="D2178" t="s">
        <v>67</v>
      </c>
      <c r="H2178" t="str">
        <f t="shared" si="215"/>
        <v>00721920155</v>
      </c>
      <c r="I2178" t="str">
        <f t="shared" si="215"/>
        <v>00721920155</v>
      </c>
      <c r="K2178" t="str">
        <f>""</f>
        <v/>
      </c>
      <c r="M2178" t="s">
        <v>68</v>
      </c>
      <c r="N2178" t="str">
        <f t="shared" si="213"/>
        <v>FOR</v>
      </c>
      <c r="O2178" t="s">
        <v>69</v>
      </c>
      <c r="P2178" s="3" t="s">
        <v>75</v>
      </c>
      <c r="Q2178">
        <v>2016</v>
      </c>
      <c r="R2178" s="2">
        <v>42426</v>
      </c>
      <c r="S2178" s="2">
        <v>42436</v>
      </c>
      <c r="T2178" s="2">
        <v>42429</v>
      </c>
      <c r="U2178" s="2">
        <v>42489</v>
      </c>
      <c r="V2178" t="s">
        <v>71</v>
      </c>
      <c r="W2178" t="str">
        <f>"          5840117829"</f>
        <v xml:space="preserve">          5840117829</v>
      </c>
      <c r="X2178">
        <v>119.6</v>
      </c>
      <c r="Y2178">
        <v>0</v>
      </c>
      <c r="Z2178" s="3">
        <v>115</v>
      </c>
      <c r="AA2178">
        <v>209</v>
      </c>
      <c r="AB2178" s="5">
        <v>24035</v>
      </c>
      <c r="AC2178">
        <v>115</v>
      </c>
      <c r="AD2178">
        <v>209</v>
      </c>
      <c r="AE2178" s="1">
        <v>24035</v>
      </c>
      <c r="AF2178">
        <v>0</v>
      </c>
      <c r="AJ2178">
        <v>0</v>
      </c>
      <c r="AK2178">
        <v>0</v>
      </c>
      <c r="AL2178">
        <v>0</v>
      </c>
      <c r="AM2178">
        <v>119.6</v>
      </c>
      <c r="AN2178">
        <v>119.6</v>
      </c>
      <c r="AO2178">
        <v>119.6</v>
      </c>
      <c r="AP2178" s="2">
        <v>42746</v>
      </c>
      <c r="AQ2178" t="s">
        <v>72</v>
      </c>
      <c r="AR2178" t="s">
        <v>72</v>
      </c>
      <c r="AS2178">
        <v>3310</v>
      </c>
      <c r="AT2178" s="4">
        <v>42698</v>
      </c>
      <c r="AU2178" t="s">
        <v>73</v>
      </c>
      <c r="AV2178">
        <v>3310</v>
      </c>
      <c r="AW2178" s="4">
        <v>42698</v>
      </c>
      <c r="BD2178">
        <v>0</v>
      </c>
      <c r="BN2178" t="s">
        <v>74</v>
      </c>
    </row>
    <row r="2179" spans="1:66">
      <c r="A2179">
        <v>100695</v>
      </c>
      <c r="B2179" s="3" t="s">
        <v>227</v>
      </c>
      <c r="C2179" s="1">
        <v>43300101</v>
      </c>
      <c r="D2179" t="s">
        <v>67</v>
      </c>
      <c r="H2179" t="str">
        <f t="shared" si="215"/>
        <v>00721920155</v>
      </c>
      <c r="I2179" t="str">
        <f t="shared" si="215"/>
        <v>00721920155</v>
      </c>
      <c r="K2179" t="str">
        <f>""</f>
        <v/>
      </c>
      <c r="M2179" t="s">
        <v>68</v>
      </c>
      <c r="N2179" t="str">
        <f t="shared" si="213"/>
        <v>FOR</v>
      </c>
      <c r="O2179" t="s">
        <v>69</v>
      </c>
      <c r="P2179" s="3" t="s">
        <v>75</v>
      </c>
      <c r="Q2179">
        <v>2016</v>
      </c>
      <c r="R2179" s="2">
        <v>42426</v>
      </c>
      <c r="S2179" s="2">
        <v>42436</v>
      </c>
      <c r="T2179" s="2">
        <v>42429</v>
      </c>
      <c r="U2179" s="2">
        <v>42489</v>
      </c>
      <c r="V2179" t="s">
        <v>71</v>
      </c>
      <c r="W2179" t="str">
        <f>"          5840117830"</f>
        <v xml:space="preserve">          5840117830</v>
      </c>
      <c r="X2179">
        <v>119.6</v>
      </c>
      <c r="Y2179">
        <v>0</v>
      </c>
      <c r="Z2179" s="3">
        <v>115</v>
      </c>
      <c r="AA2179">
        <v>209</v>
      </c>
      <c r="AB2179" s="5">
        <v>24035</v>
      </c>
      <c r="AC2179">
        <v>115</v>
      </c>
      <c r="AD2179">
        <v>209</v>
      </c>
      <c r="AE2179" s="1">
        <v>24035</v>
      </c>
      <c r="AF2179">
        <v>0</v>
      </c>
      <c r="AJ2179">
        <v>0</v>
      </c>
      <c r="AK2179">
        <v>0</v>
      </c>
      <c r="AL2179">
        <v>0</v>
      </c>
      <c r="AM2179">
        <v>119.6</v>
      </c>
      <c r="AN2179">
        <v>119.6</v>
      </c>
      <c r="AO2179">
        <v>119.6</v>
      </c>
      <c r="AP2179" s="2">
        <v>42746</v>
      </c>
      <c r="AQ2179" t="s">
        <v>72</v>
      </c>
      <c r="AR2179" t="s">
        <v>72</v>
      </c>
      <c r="AS2179">
        <v>3310</v>
      </c>
      <c r="AT2179" s="4">
        <v>42698</v>
      </c>
      <c r="AU2179" t="s">
        <v>73</v>
      </c>
      <c r="AV2179">
        <v>3310</v>
      </c>
      <c r="AW2179" s="4">
        <v>42698</v>
      </c>
      <c r="BD2179">
        <v>0</v>
      </c>
      <c r="BN2179" t="s">
        <v>74</v>
      </c>
    </row>
    <row r="2180" spans="1:66">
      <c r="A2180">
        <v>100695</v>
      </c>
      <c r="B2180" s="3" t="s">
        <v>227</v>
      </c>
      <c r="C2180" s="1">
        <v>43300101</v>
      </c>
      <c r="D2180" t="s">
        <v>67</v>
      </c>
      <c r="H2180" t="str">
        <f t="shared" si="215"/>
        <v>00721920155</v>
      </c>
      <c r="I2180" t="str">
        <f t="shared" si="215"/>
        <v>00721920155</v>
      </c>
      <c r="K2180" t="str">
        <f>""</f>
        <v/>
      </c>
      <c r="M2180" t="s">
        <v>68</v>
      </c>
      <c r="N2180" t="str">
        <f t="shared" si="213"/>
        <v>FOR</v>
      </c>
      <c r="O2180" t="s">
        <v>69</v>
      </c>
      <c r="P2180" s="3" t="s">
        <v>75</v>
      </c>
      <c r="Q2180">
        <v>2016</v>
      </c>
      <c r="R2180" s="2">
        <v>42426</v>
      </c>
      <c r="S2180" s="2">
        <v>42436</v>
      </c>
      <c r="T2180" s="2">
        <v>42429</v>
      </c>
      <c r="U2180" s="2">
        <v>42489</v>
      </c>
      <c r="V2180" t="s">
        <v>71</v>
      </c>
      <c r="W2180" t="str">
        <f>"          5840117831"</f>
        <v xml:space="preserve">          5840117831</v>
      </c>
      <c r="X2180">
        <v>119.6</v>
      </c>
      <c r="Y2180">
        <v>0</v>
      </c>
      <c r="Z2180" s="3">
        <v>115</v>
      </c>
      <c r="AA2180">
        <v>209</v>
      </c>
      <c r="AB2180" s="5">
        <v>24035</v>
      </c>
      <c r="AC2180">
        <v>115</v>
      </c>
      <c r="AD2180">
        <v>209</v>
      </c>
      <c r="AE2180" s="1">
        <v>24035</v>
      </c>
      <c r="AF2180">
        <v>0</v>
      </c>
      <c r="AJ2180">
        <v>0</v>
      </c>
      <c r="AK2180">
        <v>0</v>
      </c>
      <c r="AL2180">
        <v>0</v>
      </c>
      <c r="AM2180">
        <v>119.6</v>
      </c>
      <c r="AN2180">
        <v>119.6</v>
      </c>
      <c r="AO2180">
        <v>119.6</v>
      </c>
      <c r="AP2180" s="2">
        <v>42746</v>
      </c>
      <c r="AQ2180" t="s">
        <v>72</v>
      </c>
      <c r="AR2180" t="s">
        <v>72</v>
      </c>
      <c r="AS2180">
        <v>3310</v>
      </c>
      <c r="AT2180" s="4">
        <v>42698</v>
      </c>
      <c r="AU2180" t="s">
        <v>73</v>
      </c>
      <c r="AV2180">
        <v>3310</v>
      </c>
      <c r="AW2180" s="4">
        <v>42698</v>
      </c>
      <c r="BD2180">
        <v>0</v>
      </c>
      <c r="BN2180" t="s">
        <v>74</v>
      </c>
    </row>
    <row r="2181" spans="1:66">
      <c r="A2181">
        <v>100695</v>
      </c>
      <c r="B2181" s="3" t="s">
        <v>227</v>
      </c>
      <c r="C2181" s="1">
        <v>43300101</v>
      </c>
      <c r="D2181" t="s">
        <v>67</v>
      </c>
      <c r="H2181" t="str">
        <f t="shared" si="215"/>
        <v>00721920155</v>
      </c>
      <c r="I2181" t="str">
        <f t="shared" si="215"/>
        <v>00721920155</v>
      </c>
      <c r="K2181" t="str">
        <f>""</f>
        <v/>
      </c>
      <c r="M2181" t="s">
        <v>68</v>
      </c>
      <c r="N2181" t="str">
        <f t="shared" si="213"/>
        <v>FOR</v>
      </c>
      <c r="O2181" t="s">
        <v>69</v>
      </c>
      <c r="P2181" s="3" t="s">
        <v>75</v>
      </c>
      <c r="Q2181">
        <v>2016</v>
      </c>
      <c r="R2181" s="2">
        <v>42426</v>
      </c>
      <c r="S2181" s="2">
        <v>42436</v>
      </c>
      <c r="T2181" s="2">
        <v>42429</v>
      </c>
      <c r="U2181" s="2">
        <v>42489</v>
      </c>
      <c r="V2181" t="s">
        <v>71</v>
      </c>
      <c r="W2181" t="str">
        <f>"          5840117864"</f>
        <v xml:space="preserve">          5840117864</v>
      </c>
      <c r="X2181">
        <v>119.6</v>
      </c>
      <c r="Y2181">
        <v>0</v>
      </c>
      <c r="Z2181" s="3">
        <v>115</v>
      </c>
      <c r="AA2181">
        <v>209</v>
      </c>
      <c r="AB2181" s="5">
        <v>24035</v>
      </c>
      <c r="AC2181">
        <v>115</v>
      </c>
      <c r="AD2181">
        <v>209</v>
      </c>
      <c r="AE2181" s="1">
        <v>24035</v>
      </c>
      <c r="AF2181">
        <v>0</v>
      </c>
      <c r="AJ2181">
        <v>0</v>
      </c>
      <c r="AK2181">
        <v>0</v>
      </c>
      <c r="AL2181">
        <v>0</v>
      </c>
      <c r="AM2181">
        <v>119.6</v>
      </c>
      <c r="AN2181">
        <v>119.6</v>
      </c>
      <c r="AO2181">
        <v>119.6</v>
      </c>
      <c r="AP2181" s="2">
        <v>42746</v>
      </c>
      <c r="AQ2181" t="s">
        <v>72</v>
      </c>
      <c r="AR2181" t="s">
        <v>72</v>
      </c>
      <c r="AS2181">
        <v>3310</v>
      </c>
      <c r="AT2181" s="4">
        <v>42698</v>
      </c>
      <c r="AU2181" t="s">
        <v>73</v>
      </c>
      <c r="AV2181">
        <v>3310</v>
      </c>
      <c r="AW2181" s="4">
        <v>42698</v>
      </c>
      <c r="BD2181">
        <v>0</v>
      </c>
      <c r="BN2181" t="s">
        <v>74</v>
      </c>
    </row>
    <row r="2182" spans="1:66">
      <c r="A2182">
        <v>100695</v>
      </c>
      <c r="B2182" s="3" t="s">
        <v>227</v>
      </c>
      <c r="C2182" s="1">
        <v>43300101</v>
      </c>
      <c r="D2182" t="s">
        <v>67</v>
      </c>
      <c r="H2182" t="str">
        <f t="shared" si="215"/>
        <v>00721920155</v>
      </c>
      <c r="I2182" t="str">
        <f t="shared" si="215"/>
        <v>00721920155</v>
      </c>
      <c r="K2182" t="str">
        <f>""</f>
        <v/>
      </c>
      <c r="M2182" t="s">
        <v>68</v>
      </c>
      <c r="N2182" t="str">
        <f t="shared" si="213"/>
        <v>FOR</v>
      </c>
      <c r="O2182" t="s">
        <v>69</v>
      </c>
      <c r="P2182" s="3" t="s">
        <v>75</v>
      </c>
      <c r="Q2182">
        <v>2016</v>
      </c>
      <c r="R2182" s="2">
        <v>42426</v>
      </c>
      <c r="S2182" s="2">
        <v>42436</v>
      </c>
      <c r="T2182" s="2">
        <v>42429</v>
      </c>
      <c r="U2182" s="2">
        <v>42489</v>
      </c>
      <c r="V2182" t="s">
        <v>71</v>
      </c>
      <c r="W2182" t="str">
        <f>"          5840117870"</f>
        <v xml:space="preserve">          5840117870</v>
      </c>
      <c r="X2182">
        <v>119.6</v>
      </c>
      <c r="Y2182">
        <v>0</v>
      </c>
      <c r="Z2182" s="3">
        <v>115</v>
      </c>
      <c r="AA2182">
        <v>209</v>
      </c>
      <c r="AB2182" s="5">
        <v>24035</v>
      </c>
      <c r="AC2182">
        <v>115</v>
      </c>
      <c r="AD2182">
        <v>209</v>
      </c>
      <c r="AE2182" s="1">
        <v>24035</v>
      </c>
      <c r="AF2182">
        <v>0</v>
      </c>
      <c r="AJ2182">
        <v>0</v>
      </c>
      <c r="AK2182">
        <v>0</v>
      </c>
      <c r="AL2182">
        <v>0</v>
      </c>
      <c r="AM2182">
        <v>119.6</v>
      </c>
      <c r="AN2182">
        <v>119.6</v>
      </c>
      <c r="AO2182">
        <v>119.6</v>
      </c>
      <c r="AP2182" s="2">
        <v>42746</v>
      </c>
      <c r="AQ2182" t="s">
        <v>72</v>
      </c>
      <c r="AR2182" t="s">
        <v>72</v>
      </c>
      <c r="AS2182">
        <v>3310</v>
      </c>
      <c r="AT2182" s="4">
        <v>42698</v>
      </c>
      <c r="AU2182" t="s">
        <v>73</v>
      </c>
      <c r="AV2182">
        <v>3310</v>
      </c>
      <c r="AW2182" s="4">
        <v>42698</v>
      </c>
      <c r="BD2182">
        <v>0</v>
      </c>
      <c r="BN2182" t="s">
        <v>74</v>
      </c>
    </row>
    <row r="2183" spans="1:66">
      <c r="A2183">
        <v>100695</v>
      </c>
      <c r="B2183" s="3" t="s">
        <v>227</v>
      </c>
      <c r="C2183" s="1">
        <v>43300101</v>
      </c>
      <c r="D2183" t="s">
        <v>67</v>
      </c>
      <c r="H2183" t="str">
        <f t="shared" si="215"/>
        <v>00721920155</v>
      </c>
      <c r="I2183" t="str">
        <f t="shared" si="215"/>
        <v>00721920155</v>
      </c>
      <c r="K2183" t="str">
        <f>""</f>
        <v/>
      </c>
      <c r="M2183" t="s">
        <v>68</v>
      </c>
      <c r="N2183" t="str">
        <f t="shared" si="213"/>
        <v>FOR</v>
      </c>
      <c r="O2183" t="s">
        <v>69</v>
      </c>
      <c r="P2183" s="3" t="s">
        <v>75</v>
      </c>
      <c r="Q2183">
        <v>2016</v>
      </c>
      <c r="R2183" s="2">
        <v>42426</v>
      </c>
      <c r="S2183" s="2">
        <v>42436</v>
      </c>
      <c r="T2183" s="2">
        <v>42429</v>
      </c>
      <c r="U2183" s="2">
        <v>42489</v>
      </c>
      <c r="V2183" t="s">
        <v>71</v>
      </c>
      <c r="W2183" t="str">
        <f>"          5840117881"</f>
        <v xml:space="preserve">          5840117881</v>
      </c>
      <c r="X2183">
        <v>119.6</v>
      </c>
      <c r="Y2183">
        <v>0</v>
      </c>
      <c r="Z2183" s="3">
        <v>115</v>
      </c>
      <c r="AA2183">
        <v>209</v>
      </c>
      <c r="AB2183" s="5">
        <v>24035</v>
      </c>
      <c r="AC2183">
        <v>115</v>
      </c>
      <c r="AD2183">
        <v>209</v>
      </c>
      <c r="AE2183" s="1">
        <v>24035</v>
      </c>
      <c r="AF2183">
        <v>0</v>
      </c>
      <c r="AJ2183">
        <v>0</v>
      </c>
      <c r="AK2183">
        <v>0</v>
      </c>
      <c r="AL2183">
        <v>0</v>
      </c>
      <c r="AM2183">
        <v>119.6</v>
      </c>
      <c r="AN2183">
        <v>119.6</v>
      </c>
      <c r="AO2183">
        <v>119.6</v>
      </c>
      <c r="AP2183" s="2">
        <v>42746</v>
      </c>
      <c r="AQ2183" t="s">
        <v>72</v>
      </c>
      <c r="AR2183" t="s">
        <v>72</v>
      </c>
      <c r="AS2183">
        <v>3310</v>
      </c>
      <c r="AT2183" s="4">
        <v>42698</v>
      </c>
      <c r="AU2183" t="s">
        <v>73</v>
      </c>
      <c r="AV2183">
        <v>3310</v>
      </c>
      <c r="AW2183" s="4">
        <v>42698</v>
      </c>
      <c r="BD2183">
        <v>0</v>
      </c>
      <c r="BN2183" t="s">
        <v>74</v>
      </c>
    </row>
    <row r="2184" spans="1:66">
      <c r="A2184">
        <v>100695</v>
      </c>
      <c r="B2184" s="3" t="s">
        <v>227</v>
      </c>
      <c r="C2184" s="1">
        <v>43300101</v>
      </c>
      <c r="D2184" t="s">
        <v>67</v>
      </c>
      <c r="H2184" t="str">
        <f t="shared" si="215"/>
        <v>00721920155</v>
      </c>
      <c r="I2184" t="str">
        <f t="shared" si="215"/>
        <v>00721920155</v>
      </c>
      <c r="K2184" t="str">
        <f>""</f>
        <v/>
      </c>
      <c r="M2184" t="s">
        <v>68</v>
      </c>
      <c r="N2184" t="str">
        <f t="shared" si="213"/>
        <v>FOR</v>
      </c>
      <c r="O2184" t="s">
        <v>69</v>
      </c>
      <c r="P2184" s="3" t="s">
        <v>75</v>
      </c>
      <c r="Q2184">
        <v>2016</v>
      </c>
      <c r="R2184" s="2">
        <v>42433</v>
      </c>
      <c r="S2184" s="2">
        <v>42438</v>
      </c>
      <c r="T2184" s="2">
        <v>42437</v>
      </c>
      <c r="U2184" s="2">
        <v>42497</v>
      </c>
      <c r="V2184" t="s">
        <v>71</v>
      </c>
      <c r="W2184" t="str">
        <f>"          5840118216"</f>
        <v xml:space="preserve">          5840118216</v>
      </c>
      <c r="X2184">
        <v>119.6</v>
      </c>
      <c r="Y2184">
        <v>0</v>
      </c>
      <c r="Z2184" s="3">
        <v>115</v>
      </c>
      <c r="AA2184">
        <v>221</v>
      </c>
      <c r="AB2184" s="5">
        <v>25415</v>
      </c>
      <c r="AC2184">
        <v>115</v>
      </c>
      <c r="AD2184">
        <v>221</v>
      </c>
      <c r="AE2184" s="1">
        <v>25415</v>
      </c>
      <c r="AF2184">
        <v>4.5999999999999996</v>
      </c>
      <c r="AJ2184">
        <v>0</v>
      </c>
      <c r="AK2184">
        <v>0</v>
      </c>
      <c r="AL2184">
        <v>0</v>
      </c>
      <c r="AM2184">
        <v>119.6</v>
      </c>
      <c r="AN2184">
        <v>119.6</v>
      </c>
      <c r="AO2184">
        <v>119.6</v>
      </c>
      <c r="AP2184" s="2">
        <v>42746</v>
      </c>
      <c r="AQ2184" t="s">
        <v>72</v>
      </c>
      <c r="AR2184" t="s">
        <v>72</v>
      </c>
      <c r="AS2184">
        <v>3465</v>
      </c>
      <c r="AT2184" s="4">
        <v>42718</v>
      </c>
      <c r="AU2184" t="s">
        <v>73</v>
      </c>
      <c r="AV2184">
        <v>3465</v>
      </c>
      <c r="AW2184" s="4">
        <v>42718</v>
      </c>
      <c r="BD2184">
        <v>4.5999999999999996</v>
      </c>
      <c r="BN2184" t="s">
        <v>74</v>
      </c>
    </row>
    <row r="2185" spans="1:66">
      <c r="A2185">
        <v>100695</v>
      </c>
      <c r="B2185" s="3" t="s">
        <v>227</v>
      </c>
      <c r="C2185" s="1">
        <v>43300101</v>
      </c>
      <c r="D2185" t="s">
        <v>67</v>
      </c>
      <c r="H2185" t="str">
        <f t="shared" si="215"/>
        <v>00721920155</v>
      </c>
      <c r="I2185" t="str">
        <f t="shared" si="215"/>
        <v>00721920155</v>
      </c>
      <c r="K2185" t="str">
        <f>""</f>
        <v/>
      </c>
      <c r="M2185" t="s">
        <v>68</v>
      </c>
      <c r="N2185" t="str">
        <f t="shared" si="213"/>
        <v>FOR</v>
      </c>
      <c r="O2185" t="s">
        <v>69</v>
      </c>
      <c r="P2185" s="3" t="s">
        <v>75</v>
      </c>
      <c r="Q2185">
        <v>2016</v>
      </c>
      <c r="R2185" s="2">
        <v>42436</v>
      </c>
      <c r="S2185" s="2">
        <v>42438</v>
      </c>
      <c r="T2185" s="2">
        <v>42437</v>
      </c>
      <c r="U2185" s="2">
        <v>42497</v>
      </c>
      <c r="V2185" t="s">
        <v>71</v>
      </c>
      <c r="W2185" t="str">
        <f>"          5840118232"</f>
        <v xml:space="preserve">          5840118232</v>
      </c>
      <c r="X2185">
        <v>119.6</v>
      </c>
      <c r="Y2185">
        <v>0</v>
      </c>
      <c r="Z2185" s="3">
        <v>115</v>
      </c>
      <c r="AA2185">
        <v>221</v>
      </c>
      <c r="AB2185" s="5">
        <v>25415</v>
      </c>
      <c r="AC2185">
        <v>115</v>
      </c>
      <c r="AD2185">
        <v>221</v>
      </c>
      <c r="AE2185" s="1">
        <v>25415</v>
      </c>
      <c r="AF2185">
        <v>4.5999999999999996</v>
      </c>
      <c r="AJ2185">
        <v>0</v>
      </c>
      <c r="AK2185">
        <v>0</v>
      </c>
      <c r="AL2185">
        <v>0</v>
      </c>
      <c r="AM2185">
        <v>119.6</v>
      </c>
      <c r="AN2185">
        <v>119.6</v>
      </c>
      <c r="AO2185">
        <v>119.6</v>
      </c>
      <c r="AP2185" s="2">
        <v>42746</v>
      </c>
      <c r="AQ2185" t="s">
        <v>72</v>
      </c>
      <c r="AR2185" t="s">
        <v>72</v>
      </c>
      <c r="AS2185">
        <v>3465</v>
      </c>
      <c r="AT2185" s="4">
        <v>42718</v>
      </c>
      <c r="AU2185" t="s">
        <v>73</v>
      </c>
      <c r="AV2185">
        <v>3465</v>
      </c>
      <c r="AW2185" s="4">
        <v>42718</v>
      </c>
      <c r="BD2185">
        <v>4.5999999999999996</v>
      </c>
      <c r="BN2185" t="s">
        <v>74</v>
      </c>
    </row>
    <row r="2186" spans="1:66">
      <c r="A2186">
        <v>100695</v>
      </c>
      <c r="B2186" s="3" t="s">
        <v>227</v>
      </c>
      <c r="C2186" s="1">
        <v>43300101</v>
      </c>
      <c r="D2186" t="s">
        <v>67</v>
      </c>
      <c r="H2186" t="str">
        <f t="shared" si="215"/>
        <v>00721920155</v>
      </c>
      <c r="I2186" t="str">
        <f t="shared" si="215"/>
        <v>00721920155</v>
      </c>
      <c r="K2186" t="str">
        <f>""</f>
        <v/>
      </c>
      <c r="M2186" t="s">
        <v>68</v>
      </c>
      <c r="N2186" t="str">
        <f t="shared" si="213"/>
        <v>FOR</v>
      </c>
      <c r="O2186" t="s">
        <v>69</v>
      </c>
      <c r="P2186" s="3" t="s">
        <v>75</v>
      </c>
      <c r="Q2186">
        <v>2016</v>
      </c>
      <c r="R2186" s="2">
        <v>42436</v>
      </c>
      <c r="S2186" s="2">
        <v>42438</v>
      </c>
      <c r="T2186" s="2">
        <v>42437</v>
      </c>
      <c r="U2186" s="2">
        <v>42497</v>
      </c>
      <c r="V2186" t="s">
        <v>71</v>
      </c>
      <c r="W2186" t="str">
        <f>"          5840118242"</f>
        <v xml:space="preserve">          5840118242</v>
      </c>
      <c r="X2186">
        <v>119.6</v>
      </c>
      <c r="Y2186">
        <v>0</v>
      </c>
      <c r="Z2186" s="3">
        <v>115</v>
      </c>
      <c r="AA2186">
        <v>221</v>
      </c>
      <c r="AB2186" s="5">
        <v>25415</v>
      </c>
      <c r="AC2186">
        <v>115</v>
      </c>
      <c r="AD2186">
        <v>221</v>
      </c>
      <c r="AE2186" s="1">
        <v>25415</v>
      </c>
      <c r="AF2186">
        <v>4.5999999999999996</v>
      </c>
      <c r="AJ2186">
        <v>0</v>
      </c>
      <c r="AK2186">
        <v>0</v>
      </c>
      <c r="AL2186">
        <v>0</v>
      </c>
      <c r="AM2186">
        <v>119.6</v>
      </c>
      <c r="AN2186">
        <v>119.6</v>
      </c>
      <c r="AO2186">
        <v>119.6</v>
      </c>
      <c r="AP2186" s="2">
        <v>42746</v>
      </c>
      <c r="AQ2186" t="s">
        <v>72</v>
      </c>
      <c r="AR2186" t="s">
        <v>72</v>
      </c>
      <c r="AS2186">
        <v>3465</v>
      </c>
      <c r="AT2186" s="4">
        <v>42718</v>
      </c>
      <c r="AU2186" t="s">
        <v>73</v>
      </c>
      <c r="AV2186">
        <v>3465</v>
      </c>
      <c r="AW2186" s="4">
        <v>42718</v>
      </c>
      <c r="BD2186">
        <v>4.5999999999999996</v>
      </c>
      <c r="BN2186" t="s">
        <v>74</v>
      </c>
    </row>
    <row r="2187" spans="1:66">
      <c r="A2187">
        <v>100695</v>
      </c>
      <c r="B2187" s="3" t="s">
        <v>227</v>
      </c>
      <c r="C2187" s="1">
        <v>43300101</v>
      </c>
      <c r="D2187" t="s">
        <v>67</v>
      </c>
      <c r="H2187" t="str">
        <f t="shared" si="215"/>
        <v>00721920155</v>
      </c>
      <c r="I2187" t="str">
        <f t="shared" si="215"/>
        <v>00721920155</v>
      </c>
      <c r="K2187" t="str">
        <f>""</f>
        <v/>
      </c>
      <c r="M2187" t="s">
        <v>68</v>
      </c>
      <c r="N2187" t="str">
        <f t="shared" si="213"/>
        <v>FOR</v>
      </c>
      <c r="O2187" t="s">
        <v>69</v>
      </c>
      <c r="P2187" s="3" t="s">
        <v>75</v>
      </c>
      <c r="Q2187">
        <v>2016</v>
      </c>
      <c r="R2187" s="2">
        <v>42436</v>
      </c>
      <c r="S2187" s="2">
        <v>42438</v>
      </c>
      <c r="T2187" s="2">
        <v>42437</v>
      </c>
      <c r="U2187" s="2">
        <v>42497</v>
      </c>
      <c r="V2187" t="s">
        <v>71</v>
      </c>
      <c r="W2187" t="str">
        <f>"          5840118266"</f>
        <v xml:space="preserve">          5840118266</v>
      </c>
      <c r="X2187">
        <v>119.6</v>
      </c>
      <c r="Y2187">
        <v>0</v>
      </c>
      <c r="Z2187" s="3">
        <v>115</v>
      </c>
      <c r="AA2187">
        <v>221</v>
      </c>
      <c r="AB2187" s="5">
        <v>25415</v>
      </c>
      <c r="AC2187">
        <v>115</v>
      </c>
      <c r="AD2187">
        <v>221</v>
      </c>
      <c r="AE2187" s="1">
        <v>25415</v>
      </c>
      <c r="AF2187">
        <v>4.5999999999999996</v>
      </c>
      <c r="AJ2187">
        <v>0</v>
      </c>
      <c r="AK2187">
        <v>0</v>
      </c>
      <c r="AL2187">
        <v>0</v>
      </c>
      <c r="AM2187">
        <v>119.6</v>
      </c>
      <c r="AN2187">
        <v>119.6</v>
      </c>
      <c r="AO2187">
        <v>119.6</v>
      </c>
      <c r="AP2187" s="2">
        <v>42746</v>
      </c>
      <c r="AQ2187" t="s">
        <v>72</v>
      </c>
      <c r="AR2187" t="s">
        <v>72</v>
      </c>
      <c r="AS2187">
        <v>3465</v>
      </c>
      <c r="AT2187" s="4">
        <v>42718</v>
      </c>
      <c r="AU2187" t="s">
        <v>73</v>
      </c>
      <c r="AV2187">
        <v>3465</v>
      </c>
      <c r="AW2187" s="4">
        <v>42718</v>
      </c>
      <c r="BD2187">
        <v>4.5999999999999996</v>
      </c>
      <c r="BN2187" t="s">
        <v>74</v>
      </c>
    </row>
    <row r="2188" spans="1:66">
      <c r="A2188">
        <v>100695</v>
      </c>
      <c r="B2188" s="3" t="s">
        <v>227</v>
      </c>
      <c r="C2188" s="1">
        <v>43300101</v>
      </c>
      <c r="D2188" t="s">
        <v>67</v>
      </c>
      <c r="H2188" t="str">
        <f t="shared" si="215"/>
        <v>00721920155</v>
      </c>
      <c r="I2188" t="str">
        <f t="shared" si="215"/>
        <v>00721920155</v>
      </c>
      <c r="K2188" t="str">
        <f>""</f>
        <v/>
      </c>
      <c r="M2188" t="s">
        <v>68</v>
      </c>
      <c r="N2188" t="str">
        <f t="shared" si="213"/>
        <v>FOR</v>
      </c>
      <c r="O2188" t="s">
        <v>69</v>
      </c>
      <c r="P2188" s="3" t="s">
        <v>75</v>
      </c>
      <c r="Q2188">
        <v>2016</v>
      </c>
      <c r="R2188" s="2">
        <v>42437</v>
      </c>
      <c r="S2188" s="2">
        <v>42443</v>
      </c>
      <c r="T2188" s="2">
        <v>42441</v>
      </c>
      <c r="U2188" s="2">
        <v>42501</v>
      </c>
      <c r="V2188" t="s">
        <v>71</v>
      </c>
      <c r="W2188" t="str">
        <f>"          5840118296"</f>
        <v xml:space="preserve">          5840118296</v>
      </c>
      <c r="X2188">
        <v>119.6</v>
      </c>
      <c r="Y2188">
        <v>0</v>
      </c>
      <c r="Z2188" s="3">
        <v>115</v>
      </c>
      <c r="AA2188">
        <v>217</v>
      </c>
      <c r="AB2188" s="5">
        <v>24955</v>
      </c>
      <c r="AC2188">
        <v>115</v>
      </c>
      <c r="AD2188">
        <v>217</v>
      </c>
      <c r="AE2188" s="1">
        <v>24955</v>
      </c>
      <c r="AF2188">
        <v>4.5999999999999996</v>
      </c>
      <c r="AJ2188">
        <v>0</v>
      </c>
      <c r="AK2188">
        <v>0</v>
      </c>
      <c r="AL2188">
        <v>0</v>
      </c>
      <c r="AM2188">
        <v>119.6</v>
      </c>
      <c r="AN2188">
        <v>119.6</v>
      </c>
      <c r="AO2188">
        <v>119.6</v>
      </c>
      <c r="AP2188" s="2">
        <v>42746</v>
      </c>
      <c r="AQ2188" t="s">
        <v>72</v>
      </c>
      <c r="AR2188" t="s">
        <v>72</v>
      </c>
      <c r="AS2188">
        <v>3465</v>
      </c>
      <c r="AT2188" s="4">
        <v>42718</v>
      </c>
      <c r="AU2188" t="s">
        <v>73</v>
      </c>
      <c r="AV2188">
        <v>3465</v>
      </c>
      <c r="AW2188" s="4">
        <v>42718</v>
      </c>
      <c r="BD2188">
        <v>4.5999999999999996</v>
      </c>
      <c r="BN2188" t="s">
        <v>74</v>
      </c>
    </row>
    <row r="2189" spans="1:66">
      <c r="A2189">
        <v>100695</v>
      </c>
      <c r="B2189" s="3" t="s">
        <v>227</v>
      </c>
      <c r="C2189" s="1">
        <v>43300101</v>
      </c>
      <c r="D2189" t="s">
        <v>67</v>
      </c>
      <c r="H2189" t="str">
        <f t="shared" ref="H2189:I2208" si="216">"00721920155"</f>
        <v>00721920155</v>
      </c>
      <c r="I2189" t="str">
        <f t="shared" si="216"/>
        <v>00721920155</v>
      </c>
      <c r="K2189" t="str">
        <f>""</f>
        <v/>
      </c>
      <c r="M2189" t="s">
        <v>68</v>
      </c>
      <c r="N2189" t="str">
        <f t="shared" si="213"/>
        <v>FOR</v>
      </c>
      <c r="O2189" t="s">
        <v>69</v>
      </c>
      <c r="P2189" s="3" t="s">
        <v>75</v>
      </c>
      <c r="Q2189">
        <v>2016</v>
      </c>
      <c r="R2189" s="2">
        <v>42440</v>
      </c>
      <c r="S2189" s="2">
        <v>42446</v>
      </c>
      <c r="T2189" s="2">
        <v>42443</v>
      </c>
      <c r="U2189" s="2">
        <v>42503</v>
      </c>
      <c r="V2189" t="s">
        <v>71</v>
      </c>
      <c r="W2189" t="str">
        <f>"          5840118463"</f>
        <v xml:space="preserve">          5840118463</v>
      </c>
      <c r="X2189">
        <v>119.6</v>
      </c>
      <c r="Y2189">
        <v>0</v>
      </c>
      <c r="Z2189" s="3">
        <v>115</v>
      </c>
      <c r="AA2189">
        <v>215</v>
      </c>
      <c r="AB2189" s="5">
        <v>24725</v>
      </c>
      <c r="AC2189">
        <v>115</v>
      </c>
      <c r="AD2189">
        <v>215</v>
      </c>
      <c r="AE2189" s="1">
        <v>24725</v>
      </c>
      <c r="AF2189">
        <v>4.5999999999999996</v>
      </c>
      <c r="AJ2189">
        <v>0</v>
      </c>
      <c r="AK2189">
        <v>0</v>
      </c>
      <c r="AL2189">
        <v>0</v>
      </c>
      <c r="AM2189">
        <v>119.6</v>
      </c>
      <c r="AN2189">
        <v>119.6</v>
      </c>
      <c r="AO2189">
        <v>119.6</v>
      </c>
      <c r="AP2189" s="2">
        <v>42746</v>
      </c>
      <c r="AQ2189" t="s">
        <v>72</v>
      </c>
      <c r="AR2189" t="s">
        <v>72</v>
      </c>
      <c r="AS2189">
        <v>3465</v>
      </c>
      <c r="AT2189" s="4">
        <v>42718</v>
      </c>
      <c r="AU2189" t="s">
        <v>73</v>
      </c>
      <c r="AV2189">
        <v>3465</v>
      </c>
      <c r="AW2189" s="4">
        <v>42718</v>
      </c>
      <c r="BD2189">
        <v>4.5999999999999996</v>
      </c>
      <c r="BN2189" t="s">
        <v>74</v>
      </c>
    </row>
    <row r="2190" spans="1:66">
      <c r="A2190">
        <v>100695</v>
      </c>
      <c r="B2190" s="3" t="s">
        <v>227</v>
      </c>
      <c r="C2190" s="1">
        <v>43300101</v>
      </c>
      <c r="D2190" t="s">
        <v>67</v>
      </c>
      <c r="H2190" t="str">
        <f t="shared" si="216"/>
        <v>00721920155</v>
      </c>
      <c r="I2190" t="str">
        <f t="shared" si="216"/>
        <v>00721920155</v>
      </c>
      <c r="K2190" t="str">
        <f>""</f>
        <v/>
      </c>
      <c r="M2190" t="s">
        <v>68</v>
      </c>
      <c r="N2190" t="str">
        <f t="shared" si="213"/>
        <v>FOR</v>
      </c>
      <c r="O2190" t="s">
        <v>69</v>
      </c>
      <c r="P2190" s="3" t="s">
        <v>75</v>
      </c>
      <c r="Q2190">
        <v>2016</v>
      </c>
      <c r="R2190" s="2">
        <v>42440</v>
      </c>
      <c r="S2190" s="2">
        <v>42446</v>
      </c>
      <c r="T2190" s="2">
        <v>42443</v>
      </c>
      <c r="U2190" s="2">
        <v>42503</v>
      </c>
      <c r="V2190" t="s">
        <v>71</v>
      </c>
      <c r="W2190" t="str">
        <f>"          5840118470"</f>
        <v xml:space="preserve">          5840118470</v>
      </c>
      <c r="X2190">
        <v>119.6</v>
      </c>
      <c r="Y2190">
        <v>0</v>
      </c>
      <c r="Z2190" s="3">
        <v>115</v>
      </c>
      <c r="AA2190">
        <v>215</v>
      </c>
      <c r="AB2190" s="5">
        <v>24725</v>
      </c>
      <c r="AC2190">
        <v>115</v>
      </c>
      <c r="AD2190">
        <v>215</v>
      </c>
      <c r="AE2190" s="1">
        <v>24725</v>
      </c>
      <c r="AF2190">
        <v>4.5999999999999996</v>
      </c>
      <c r="AJ2190">
        <v>0</v>
      </c>
      <c r="AK2190">
        <v>0</v>
      </c>
      <c r="AL2190">
        <v>0</v>
      </c>
      <c r="AM2190">
        <v>119.6</v>
      </c>
      <c r="AN2190">
        <v>119.6</v>
      </c>
      <c r="AO2190">
        <v>119.6</v>
      </c>
      <c r="AP2190" s="2">
        <v>42746</v>
      </c>
      <c r="AQ2190" t="s">
        <v>72</v>
      </c>
      <c r="AR2190" t="s">
        <v>72</v>
      </c>
      <c r="AS2190">
        <v>3465</v>
      </c>
      <c r="AT2190" s="4">
        <v>42718</v>
      </c>
      <c r="AU2190" t="s">
        <v>73</v>
      </c>
      <c r="AV2190">
        <v>3465</v>
      </c>
      <c r="AW2190" s="4">
        <v>42718</v>
      </c>
      <c r="BD2190">
        <v>4.5999999999999996</v>
      </c>
      <c r="BN2190" t="s">
        <v>74</v>
      </c>
    </row>
    <row r="2191" spans="1:66">
      <c r="A2191">
        <v>100695</v>
      </c>
      <c r="B2191" s="3" t="s">
        <v>227</v>
      </c>
      <c r="C2191" s="1">
        <v>43300101</v>
      </c>
      <c r="D2191" t="s">
        <v>67</v>
      </c>
      <c r="H2191" t="str">
        <f t="shared" si="216"/>
        <v>00721920155</v>
      </c>
      <c r="I2191" t="str">
        <f t="shared" si="216"/>
        <v>00721920155</v>
      </c>
      <c r="K2191" t="str">
        <f>""</f>
        <v/>
      </c>
      <c r="M2191" t="s">
        <v>68</v>
      </c>
      <c r="N2191" t="str">
        <f t="shared" si="213"/>
        <v>FOR</v>
      </c>
      <c r="O2191" t="s">
        <v>69</v>
      </c>
      <c r="P2191" s="3" t="s">
        <v>75</v>
      </c>
      <c r="Q2191">
        <v>2016</v>
      </c>
      <c r="R2191" s="2">
        <v>42440</v>
      </c>
      <c r="S2191" s="2">
        <v>42446</v>
      </c>
      <c r="T2191" s="2">
        <v>42443</v>
      </c>
      <c r="U2191" s="2">
        <v>42503</v>
      </c>
      <c r="V2191" t="s">
        <v>71</v>
      </c>
      <c r="W2191" t="str">
        <f>"          5840118478"</f>
        <v xml:space="preserve">          5840118478</v>
      </c>
      <c r="X2191">
        <v>119.6</v>
      </c>
      <c r="Y2191">
        <v>0</v>
      </c>
      <c r="Z2191" s="3">
        <v>115</v>
      </c>
      <c r="AA2191">
        <v>215</v>
      </c>
      <c r="AB2191" s="5">
        <v>24725</v>
      </c>
      <c r="AC2191">
        <v>115</v>
      </c>
      <c r="AD2191">
        <v>215</v>
      </c>
      <c r="AE2191" s="1">
        <v>24725</v>
      </c>
      <c r="AF2191">
        <v>4.5999999999999996</v>
      </c>
      <c r="AJ2191">
        <v>0</v>
      </c>
      <c r="AK2191">
        <v>0</v>
      </c>
      <c r="AL2191">
        <v>0</v>
      </c>
      <c r="AM2191">
        <v>119.6</v>
      </c>
      <c r="AN2191">
        <v>119.6</v>
      </c>
      <c r="AO2191">
        <v>119.6</v>
      </c>
      <c r="AP2191" s="2">
        <v>42746</v>
      </c>
      <c r="AQ2191" t="s">
        <v>72</v>
      </c>
      <c r="AR2191" t="s">
        <v>72</v>
      </c>
      <c r="AS2191">
        <v>3465</v>
      </c>
      <c r="AT2191" s="4">
        <v>42718</v>
      </c>
      <c r="AU2191" t="s">
        <v>73</v>
      </c>
      <c r="AV2191">
        <v>3465</v>
      </c>
      <c r="AW2191" s="4">
        <v>42718</v>
      </c>
      <c r="BD2191">
        <v>4.5999999999999996</v>
      </c>
      <c r="BN2191" t="s">
        <v>74</v>
      </c>
    </row>
    <row r="2192" spans="1:66">
      <c r="A2192">
        <v>100695</v>
      </c>
      <c r="B2192" s="3" t="s">
        <v>227</v>
      </c>
      <c r="C2192" s="1">
        <v>43300101</v>
      </c>
      <c r="D2192" t="s">
        <v>67</v>
      </c>
      <c r="H2192" t="str">
        <f t="shared" si="216"/>
        <v>00721920155</v>
      </c>
      <c r="I2192" t="str">
        <f t="shared" si="216"/>
        <v>00721920155</v>
      </c>
      <c r="K2192" t="str">
        <f>""</f>
        <v/>
      </c>
      <c r="M2192" t="s">
        <v>68</v>
      </c>
      <c r="N2192" t="str">
        <f t="shared" si="213"/>
        <v>FOR</v>
      </c>
      <c r="O2192" t="s">
        <v>69</v>
      </c>
      <c r="P2192" s="3" t="s">
        <v>75</v>
      </c>
      <c r="Q2192">
        <v>2016</v>
      </c>
      <c r="R2192" s="2">
        <v>42440</v>
      </c>
      <c r="S2192" s="2">
        <v>42446</v>
      </c>
      <c r="T2192" s="2">
        <v>42443</v>
      </c>
      <c r="U2192" s="2">
        <v>42503</v>
      </c>
      <c r="V2192" t="s">
        <v>71</v>
      </c>
      <c r="W2192" t="str">
        <f>"          5840118481"</f>
        <v xml:space="preserve">          5840118481</v>
      </c>
      <c r="X2192">
        <v>119.6</v>
      </c>
      <c r="Y2192">
        <v>0</v>
      </c>
      <c r="Z2192" s="3">
        <v>115</v>
      </c>
      <c r="AA2192">
        <v>215</v>
      </c>
      <c r="AB2192" s="5">
        <v>24725</v>
      </c>
      <c r="AC2192">
        <v>115</v>
      </c>
      <c r="AD2192">
        <v>215</v>
      </c>
      <c r="AE2192" s="1">
        <v>24725</v>
      </c>
      <c r="AF2192">
        <v>4.5999999999999996</v>
      </c>
      <c r="AJ2192">
        <v>0</v>
      </c>
      <c r="AK2192">
        <v>0</v>
      </c>
      <c r="AL2192">
        <v>0</v>
      </c>
      <c r="AM2192">
        <v>119.6</v>
      </c>
      <c r="AN2192">
        <v>119.6</v>
      </c>
      <c r="AO2192">
        <v>119.6</v>
      </c>
      <c r="AP2192" s="2">
        <v>42746</v>
      </c>
      <c r="AQ2192" t="s">
        <v>72</v>
      </c>
      <c r="AR2192" t="s">
        <v>72</v>
      </c>
      <c r="AS2192">
        <v>3465</v>
      </c>
      <c r="AT2192" s="4">
        <v>42718</v>
      </c>
      <c r="AU2192" t="s">
        <v>73</v>
      </c>
      <c r="AV2192">
        <v>3465</v>
      </c>
      <c r="AW2192" s="4">
        <v>42718</v>
      </c>
      <c r="BD2192">
        <v>4.5999999999999996</v>
      </c>
      <c r="BN2192" t="s">
        <v>74</v>
      </c>
    </row>
    <row r="2193" spans="1:66">
      <c r="A2193">
        <v>100695</v>
      </c>
      <c r="B2193" s="3" t="s">
        <v>227</v>
      </c>
      <c r="C2193" s="1">
        <v>43300101</v>
      </c>
      <c r="D2193" t="s">
        <v>67</v>
      </c>
      <c r="H2193" t="str">
        <f t="shared" si="216"/>
        <v>00721920155</v>
      </c>
      <c r="I2193" t="str">
        <f t="shared" si="216"/>
        <v>00721920155</v>
      </c>
      <c r="K2193" t="str">
        <f>""</f>
        <v/>
      </c>
      <c r="M2193" t="s">
        <v>68</v>
      </c>
      <c r="N2193" t="str">
        <f t="shared" si="213"/>
        <v>FOR</v>
      </c>
      <c r="O2193" t="s">
        <v>69</v>
      </c>
      <c r="P2193" s="3" t="s">
        <v>75</v>
      </c>
      <c r="Q2193">
        <v>2016</v>
      </c>
      <c r="R2193" s="2">
        <v>42445</v>
      </c>
      <c r="S2193" s="2">
        <v>42448</v>
      </c>
      <c r="T2193" s="2">
        <v>42447</v>
      </c>
      <c r="U2193" s="2">
        <v>42507</v>
      </c>
      <c r="V2193" t="s">
        <v>71</v>
      </c>
      <c r="W2193" t="str">
        <f>"          5840118621"</f>
        <v xml:space="preserve">          5840118621</v>
      </c>
      <c r="X2193">
        <v>119.6</v>
      </c>
      <c r="Y2193">
        <v>0</v>
      </c>
      <c r="Z2193" s="3">
        <v>115</v>
      </c>
      <c r="AA2193">
        <v>211</v>
      </c>
      <c r="AB2193" s="5">
        <v>24265</v>
      </c>
      <c r="AC2193">
        <v>115</v>
      </c>
      <c r="AD2193">
        <v>211</v>
      </c>
      <c r="AE2193" s="1">
        <v>24265</v>
      </c>
      <c r="AF2193">
        <v>4.5999999999999996</v>
      </c>
      <c r="AJ2193">
        <v>0</v>
      </c>
      <c r="AK2193">
        <v>0</v>
      </c>
      <c r="AL2193">
        <v>0</v>
      </c>
      <c r="AM2193">
        <v>119.6</v>
      </c>
      <c r="AN2193">
        <v>119.6</v>
      </c>
      <c r="AO2193">
        <v>119.6</v>
      </c>
      <c r="AP2193" s="2">
        <v>42746</v>
      </c>
      <c r="AQ2193" t="s">
        <v>72</v>
      </c>
      <c r="AR2193" t="s">
        <v>72</v>
      </c>
      <c r="AS2193">
        <v>3465</v>
      </c>
      <c r="AT2193" s="4">
        <v>42718</v>
      </c>
      <c r="AU2193" t="s">
        <v>73</v>
      </c>
      <c r="AV2193">
        <v>3465</v>
      </c>
      <c r="AW2193" s="4">
        <v>42718</v>
      </c>
      <c r="BD2193">
        <v>4.5999999999999996</v>
      </c>
      <c r="BN2193" t="s">
        <v>74</v>
      </c>
    </row>
    <row r="2194" spans="1:66">
      <c r="A2194">
        <v>100695</v>
      </c>
      <c r="B2194" s="3" t="s">
        <v>227</v>
      </c>
      <c r="C2194" s="1">
        <v>43300101</v>
      </c>
      <c r="D2194" t="s">
        <v>67</v>
      </c>
      <c r="H2194" t="str">
        <f t="shared" si="216"/>
        <v>00721920155</v>
      </c>
      <c r="I2194" t="str">
        <f t="shared" si="216"/>
        <v>00721920155</v>
      </c>
      <c r="K2194" t="str">
        <f>""</f>
        <v/>
      </c>
      <c r="M2194" t="s">
        <v>68</v>
      </c>
      <c r="N2194" t="str">
        <f t="shared" si="213"/>
        <v>FOR</v>
      </c>
      <c r="O2194" t="s">
        <v>69</v>
      </c>
      <c r="P2194" s="3" t="s">
        <v>75</v>
      </c>
      <c r="Q2194">
        <v>2016</v>
      </c>
      <c r="R2194" s="2">
        <v>42445</v>
      </c>
      <c r="S2194" s="2">
        <v>42448</v>
      </c>
      <c r="T2194" s="2">
        <v>42447</v>
      </c>
      <c r="U2194" s="2">
        <v>42507</v>
      </c>
      <c r="V2194" t="s">
        <v>71</v>
      </c>
      <c r="W2194" t="str">
        <f>"          5840118624"</f>
        <v xml:space="preserve">          5840118624</v>
      </c>
      <c r="X2194">
        <v>119.6</v>
      </c>
      <c r="Y2194">
        <v>0</v>
      </c>
      <c r="Z2194" s="3">
        <v>115</v>
      </c>
      <c r="AA2194">
        <v>211</v>
      </c>
      <c r="AB2194" s="5">
        <v>24265</v>
      </c>
      <c r="AC2194">
        <v>115</v>
      </c>
      <c r="AD2194">
        <v>211</v>
      </c>
      <c r="AE2194" s="1">
        <v>24265</v>
      </c>
      <c r="AF2194">
        <v>4.5999999999999996</v>
      </c>
      <c r="AJ2194">
        <v>0</v>
      </c>
      <c r="AK2194">
        <v>0</v>
      </c>
      <c r="AL2194">
        <v>0</v>
      </c>
      <c r="AM2194">
        <v>119.6</v>
      </c>
      <c r="AN2194">
        <v>119.6</v>
      </c>
      <c r="AO2194">
        <v>119.6</v>
      </c>
      <c r="AP2194" s="2">
        <v>42746</v>
      </c>
      <c r="AQ2194" t="s">
        <v>72</v>
      </c>
      <c r="AR2194" t="s">
        <v>72</v>
      </c>
      <c r="AS2194">
        <v>3465</v>
      </c>
      <c r="AT2194" s="4">
        <v>42718</v>
      </c>
      <c r="AU2194" t="s">
        <v>73</v>
      </c>
      <c r="AV2194">
        <v>3465</v>
      </c>
      <c r="AW2194" s="4">
        <v>42718</v>
      </c>
      <c r="BD2194">
        <v>4.5999999999999996</v>
      </c>
      <c r="BN2194" t="s">
        <v>74</v>
      </c>
    </row>
    <row r="2195" spans="1:66">
      <c r="A2195">
        <v>100695</v>
      </c>
      <c r="B2195" s="3" t="s">
        <v>227</v>
      </c>
      <c r="C2195" s="1">
        <v>43300101</v>
      </c>
      <c r="D2195" t="s">
        <v>67</v>
      </c>
      <c r="H2195" t="str">
        <f t="shared" si="216"/>
        <v>00721920155</v>
      </c>
      <c r="I2195" t="str">
        <f t="shared" si="216"/>
        <v>00721920155</v>
      </c>
      <c r="K2195" t="str">
        <f>""</f>
        <v/>
      </c>
      <c r="M2195" t="s">
        <v>68</v>
      </c>
      <c r="N2195" t="str">
        <f t="shared" si="213"/>
        <v>FOR</v>
      </c>
      <c r="O2195" t="s">
        <v>69</v>
      </c>
      <c r="P2195" s="3" t="s">
        <v>75</v>
      </c>
      <c r="Q2195">
        <v>2016</v>
      </c>
      <c r="R2195" s="2">
        <v>42445</v>
      </c>
      <c r="S2195" s="2">
        <v>42448</v>
      </c>
      <c r="T2195" s="2">
        <v>42447</v>
      </c>
      <c r="U2195" s="2">
        <v>42507</v>
      </c>
      <c r="V2195" t="s">
        <v>71</v>
      </c>
      <c r="W2195" t="str">
        <f>"          5840118633"</f>
        <v xml:space="preserve">          5840118633</v>
      </c>
      <c r="X2195">
        <v>119.6</v>
      </c>
      <c r="Y2195">
        <v>0</v>
      </c>
      <c r="Z2195" s="3">
        <v>115</v>
      </c>
      <c r="AA2195">
        <v>211</v>
      </c>
      <c r="AB2195" s="5">
        <v>24265</v>
      </c>
      <c r="AC2195">
        <v>115</v>
      </c>
      <c r="AD2195">
        <v>211</v>
      </c>
      <c r="AE2195" s="1">
        <v>24265</v>
      </c>
      <c r="AF2195">
        <v>4.5999999999999996</v>
      </c>
      <c r="AJ2195">
        <v>0</v>
      </c>
      <c r="AK2195">
        <v>0</v>
      </c>
      <c r="AL2195">
        <v>0</v>
      </c>
      <c r="AM2195">
        <v>119.6</v>
      </c>
      <c r="AN2195">
        <v>119.6</v>
      </c>
      <c r="AO2195">
        <v>119.6</v>
      </c>
      <c r="AP2195" s="2">
        <v>42746</v>
      </c>
      <c r="AQ2195" t="s">
        <v>72</v>
      </c>
      <c r="AR2195" t="s">
        <v>72</v>
      </c>
      <c r="AS2195">
        <v>3465</v>
      </c>
      <c r="AT2195" s="4">
        <v>42718</v>
      </c>
      <c r="AU2195" t="s">
        <v>73</v>
      </c>
      <c r="AV2195">
        <v>3465</v>
      </c>
      <c r="AW2195" s="4">
        <v>42718</v>
      </c>
      <c r="BD2195">
        <v>4.5999999999999996</v>
      </c>
      <c r="BN2195" t="s">
        <v>74</v>
      </c>
    </row>
    <row r="2196" spans="1:66">
      <c r="A2196">
        <v>100695</v>
      </c>
      <c r="B2196" s="3" t="s">
        <v>227</v>
      </c>
      <c r="C2196" s="1">
        <v>43300101</v>
      </c>
      <c r="D2196" t="s">
        <v>67</v>
      </c>
      <c r="H2196" t="str">
        <f t="shared" si="216"/>
        <v>00721920155</v>
      </c>
      <c r="I2196" t="str">
        <f t="shared" si="216"/>
        <v>00721920155</v>
      </c>
      <c r="K2196" t="str">
        <f>""</f>
        <v/>
      </c>
      <c r="M2196" t="s">
        <v>68</v>
      </c>
      <c r="N2196" t="str">
        <f t="shared" si="213"/>
        <v>FOR</v>
      </c>
      <c r="O2196" t="s">
        <v>69</v>
      </c>
      <c r="P2196" s="3" t="s">
        <v>75</v>
      </c>
      <c r="Q2196">
        <v>2016</v>
      </c>
      <c r="R2196" s="2">
        <v>42446</v>
      </c>
      <c r="S2196" s="2">
        <v>42448</v>
      </c>
      <c r="T2196" s="2">
        <v>42447</v>
      </c>
      <c r="U2196" s="2">
        <v>42507</v>
      </c>
      <c r="V2196" t="s">
        <v>71</v>
      </c>
      <c r="W2196" t="str">
        <f>"          5840118671"</f>
        <v xml:space="preserve">          5840118671</v>
      </c>
      <c r="X2196">
        <v>119.6</v>
      </c>
      <c r="Y2196">
        <v>0</v>
      </c>
      <c r="Z2196" s="3">
        <v>115</v>
      </c>
      <c r="AA2196">
        <v>211</v>
      </c>
      <c r="AB2196" s="5">
        <v>24265</v>
      </c>
      <c r="AC2196">
        <v>115</v>
      </c>
      <c r="AD2196">
        <v>211</v>
      </c>
      <c r="AE2196" s="1">
        <v>24265</v>
      </c>
      <c r="AF2196">
        <v>4.5999999999999996</v>
      </c>
      <c r="AJ2196">
        <v>0</v>
      </c>
      <c r="AK2196">
        <v>0</v>
      </c>
      <c r="AL2196">
        <v>0</v>
      </c>
      <c r="AM2196">
        <v>119.6</v>
      </c>
      <c r="AN2196">
        <v>119.6</v>
      </c>
      <c r="AO2196">
        <v>119.6</v>
      </c>
      <c r="AP2196" s="2">
        <v>42746</v>
      </c>
      <c r="AQ2196" t="s">
        <v>72</v>
      </c>
      <c r="AR2196" t="s">
        <v>72</v>
      </c>
      <c r="AS2196">
        <v>3465</v>
      </c>
      <c r="AT2196" s="4">
        <v>42718</v>
      </c>
      <c r="AU2196" t="s">
        <v>73</v>
      </c>
      <c r="AV2196">
        <v>3465</v>
      </c>
      <c r="AW2196" s="4">
        <v>42718</v>
      </c>
      <c r="BD2196">
        <v>4.5999999999999996</v>
      </c>
      <c r="BN2196" t="s">
        <v>74</v>
      </c>
    </row>
    <row r="2197" spans="1:66">
      <c r="A2197">
        <v>100695</v>
      </c>
      <c r="B2197" s="3" t="s">
        <v>227</v>
      </c>
      <c r="C2197" s="1">
        <v>43300101</v>
      </c>
      <c r="D2197" t="s">
        <v>67</v>
      </c>
      <c r="H2197" t="str">
        <f t="shared" si="216"/>
        <v>00721920155</v>
      </c>
      <c r="I2197" t="str">
        <f t="shared" si="216"/>
        <v>00721920155</v>
      </c>
      <c r="K2197" t="str">
        <f>""</f>
        <v/>
      </c>
      <c r="M2197" t="s">
        <v>68</v>
      </c>
      <c r="N2197" t="str">
        <f t="shared" si="213"/>
        <v>FOR</v>
      </c>
      <c r="O2197" t="s">
        <v>69</v>
      </c>
      <c r="P2197" s="3" t="s">
        <v>75</v>
      </c>
      <c r="Q2197">
        <v>2016</v>
      </c>
      <c r="R2197" s="2">
        <v>42446</v>
      </c>
      <c r="S2197" s="2">
        <v>42448</v>
      </c>
      <c r="T2197" s="2">
        <v>42447</v>
      </c>
      <c r="U2197" s="2">
        <v>42507</v>
      </c>
      <c r="V2197" t="s">
        <v>71</v>
      </c>
      <c r="W2197" t="str">
        <f>"          5840118684"</f>
        <v xml:space="preserve">          5840118684</v>
      </c>
      <c r="X2197">
        <v>150.80000000000001</v>
      </c>
      <c r="Y2197">
        <v>0</v>
      </c>
      <c r="Z2197" s="3">
        <v>145</v>
      </c>
      <c r="AA2197">
        <v>211</v>
      </c>
      <c r="AB2197" s="5">
        <v>30595</v>
      </c>
      <c r="AC2197">
        <v>145</v>
      </c>
      <c r="AD2197">
        <v>211</v>
      </c>
      <c r="AE2197" s="1">
        <v>30595</v>
      </c>
      <c r="AF2197">
        <v>5.8</v>
      </c>
      <c r="AJ2197">
        <v>0</v>
      </c>
      <c r="AK2197">
        <v>0</v>
      </c>
      <c r="AL2197">
        <v>0</v>
      </c>
      <c r="AM2197">
        <v>150.80000000000001</v>
      </c>
      <c r="AN2197">
        <v>150.80000000000001</v>
      </c>
      <c r="AO2197">
        <v>150.80000000000001</v>
      </c>
      <c r="AP2197" s="2">
        <v>42746</v>
      </c>
      <c r="AQ2197" t="s">
        <v>72</v>
      </c>
      <c r="AR2197" t="s">
        <v>72</v>
      </c>
      <c r="AS2197">
        <v>3465</v>
      </c>
      <c r="AT2197" s="4">
        <v>42718</v>
      </c>
      <c r="AU2197" t="s">
        <v>73</v>
      </c>
      <c r="AV2197">
        <v>3465</v>
      </c>
      <c r="AW2197" s="4">
        <v>42718</v>
      </c>
      <c r="BD2197">
        <v>5.8</v>
      </c>
      <c r="BN2197" t="s">
        <v>74</v>
      </c>
    </row>
    <row r="2198" spans="1:66">
      <c r="A2198">
        <v>100695</v>
      </c>
      <c r="B2198" s="3" t="s">
        <v>227</v>
      </c>
      <c r="C2198" s="1">
        <v>43300101</v>
      </c>
      <c r="D2198" t="s">
        <v>67</v>
      </c>
      <c r="H2198" t="str">
        <f t="shared" si="216"/>
        <v>00721920155</v>
      </c>
      <c r="I2198" t="str">
        <f t="shared" si="216"/>
        <v>00721920155</v>
      </c>
      <c r="K2198" t="str">
        <f>""</f>
        <v/>
      </c>
      <c r="M2198" t="s">
        <v>68</v>
      </c>
      <c r="N2198" t="str">
        <f t="shared" si="213"/>
        <v>FOR</v>
      </c>
      <c r="O2198" t="s">
        <v>69</v>
      </c>
      <c r="P2198" s="3" t="s">
        <v>75</v>
      </c>
      <c r="Q2198">
        <v>2016</v>
      </c>
      <c r="R2198" s="2">
        <v>42458</v>
      </c>
      <c r="S2198" s="2">
        <v>42464</v>
      </c>
      <c r="T2198" s="2">
        <v>42459</v>
      </c>
      <c r="U2198" s="2">
        <v>42519</v>
      </c>
      <c r="V2198" t="s">
        <v>71</v>
      </c>
      <c r="W2198" t="str">
        <f>"          5840119278"</f>
        <v xml:space="preserve">          5840119278</v>
      </c>
      <c r="X2198">
        <v>119.6</v>
      </c>
      <c r="Y2198">
        <v>0</v>
      </c>
      <c r="Z2198" s="3">
        <v>115</v>
      </c>
      <c r="AA2198">
        <v>199</v>
      </c>
      <c r="AB2198" s="5">
        <v>22885</v>
      </c>
      <c r="AC2198">
        <v>115</v>
      </c>
      <c r="AD2198">
        <v>199</v>
      </c>
      <c r="AE2198" s="1">
        <v>22885</v>
      </c>
      <c r="AF2198">
        <v>4.5999999999999996</v>
      </c>
      <c r="AJ2198">
        <v>0</v>
      </c>
      <c r="AK2198">
        <v>0</v>
      </c>
      <c r="AL2198">
        <v>0</v>
      </c>
      <c r="AM2198">
        <v>119.6</v>
      </c>
      <c r="AN2198">
        <v>119.6</v>
      </c>
      <c r="AO2198">
        <v>119.6</v>
      </c>
      <c r="AP2198" s="2">
        <v>42746</v>
      </c>
      <c r="AQ2198" t="s">
        <v>72</v>
      </c>
      <c r="AR2198" t="s">
        <v>72</v>
      </c>
      <c r="AS2198">
        <v>3465</v>
      </c>
      <c r="AT2198" s="4">
        <v>42718</v>
      </c>
      <c r="AU2198" t="s">
        <v>73</v>
      </c>
      <c r="AV2198">
        <v>3465</v>
      </c>
      <c r="AW2198" s="4">
        <v>42718</v>
      </c>
      <c r="BD2198">
        <v>4.5999999999999996</v>
      </c>
      <c r="BN2198" t="s">
        <v>74</v>
      </c>
    </row>
    <row r="2199" spans="1:66">
      <c r="A2199">
        <v>100695</v>
      </c>
      <c r="B2199" s="3" t="s">
        <v>227</v>
      </c>
      <c r="C2199" s="1">
        <v>43300101</v>
      </c>
      <c r="D2199" t="s">
        <v>67</v>
      </c>
      <c r="H2199" t="str">
        <f t="shared" si="216"/>
        <v>00721920155</v>
      </c>
      <c r="I2199" t="str">
        <f t="shared" si="216"/>
        <v>00721920155</v>
      </c>
      <c r="K2199" t="str">
        <f>""</f>
        <v/>
      </c>
      <c r="M2199" t="s">
        <v>68</v>
      </c>
      <c r="N2199" t="str">
        <f t="shared" si="213"/>
        <v>FOR</v>
      </c>
      <c r="O2199" t="s">
        <v>69</v>
      </c>
      <c r="P2199" s="3" t="s">
        <v>75</v>
      </c>
      <c r="Q2199">
        <v>2016</v>
      </c>
      <c r="R2199" s="2">
        <v>42458</v>
      </c>
      <c r="S2199" s="2">
        <v>42464</v>
      </c>
      <c r="T2199" s="2">
        <v>42459</v>
      </c>
      <c r="U2199" s="2">
        <v>42519</v>
      </c>
      <c r="V2199" t="s">
        <v>71</v>
      </c>
      <c r="W2199" t="str">
        <f>"          5840119287"</f>
        <v xml:space="preserve">          5840119287</v>
      </c>
      <c r="X2199">
        <v>119.6</v>
      </c>
      <c r="Y2199">
        <v>0</v>
      </c>
      <c r="Z2199" s="3">
        <v>115</v>
      </c>
      <c r="AA2199">
        <v>199</v>
      </c>
      <c r="AB2199" s="5">
        <v>22885</v>
      </c>
      <c r="AC2199">
        <v>115</v>
      </c>
      <c r="AD2199">
        <v>199</v>
      </c>
      <c r="AE2199" s="1">
        <v>22885</v>
      </c>
      <c r="AF2199">
        <v>4.5999999999999996</v>
      </c>
      <c r="AJ2199">
        <v>0</v>
      </c>
      <c r="AK2199">
        <v>0</v>
      </c>
      <c r="AL2199">
        <v>0</v>
      </c>
      <c r="AM2199">
        <v>119.6</v>
      </c>
      <c r="AN2199">
        <v>119.6</v>
      </c>
      <c r="AO2199">
        <v>119.6</v>
      </c>
      <c r="AP2199" s="2">
        <v>42746</v>
      </c>
      <c r="AQ2199" t="s">
        <v>72</v>
      </c>
      <c r="AR2199" t="s">
        <v>72</v>
      </c>
      <c r="AS2199">
        <v>3465</v>
      </c>
      <c r="AT2199" s="4">
        <v>42718</v>
      </c>
      <c r="AU2199" t="s">
        <v>73</v>
      </c>
      <c r="AV2199">
        <v>3465</v>
      </c>
      <c r="AW2199" s="4">
        <v>42718</v>
      </c>
      <c r="BD2199">
        <v>4.5999999999999996</v>
      </c>
      <c r="BN2199" t="s">
        <v>74</v>
      </c>
    </row>
    <row r="2200" spans="1:66">
      <c r="A2200">
        <v>100695</v>
      </c>
      <c r="B2200" s="3" t="s">
        <v>227</v>
      </c>
      <c r="C2200" s="1">
        <v>43300101</v>
      </c>
      <c r="D2200" t="s">
        <v>67</v>
      </c>
      <c r="H2200" t="str">
        <f t="shared" si="216"/>
        <v>00721920155</v>
      </c>
      <c r="I2200" t="str">
        <f t="shared" si="216"/>
        <v>00721920155</v>
      </c>
      <c r="K2200" t="str">
        <f>""</f>
        <v/>
      </c>
      <c r="M2200" t="s">
        <v>68</v>
      </c>
      <c r="N2200" t="str">
        <f t="shared" si="213"/>
        <v>FOR</v>
      </c>
      <c r="O2200" t="s">
        <v>69</v>
      </c>
      <c r="P2200" s="3" t="s">
        <v>75</v>
      </c>
      <c r="Q2200">
        <v>2016</v>
      </c>
      <c r="R2200" s="2">
        <v>42458</v>
      </c>
      <c r="S2200" s="2">
        <v>42464</v>
      </c>
      <c r="T2200" s="2">
        <v>42459</v>
      </c>
      <c r="U2200" s="2">
        <v>42519</v>
      </c>
      <c r="V2200" t="s">
        <v>71</v>
      </c>
      <c r="W2200" t="str">
        <f>"          5840119303"</f>
        <v xml:space="preserve">          5840119303</v>
      </c>
      <c r="X2200">
        <v>119.6</v>
      </c>
      <c r="Y2200">
        <v>0</v>
      </c>
      <c r="Z2200" s="3">
        <v>115</v>
      </c>
      <c r="AA2200">
        <v>199</v>
      </c>
      <c r="AB2200" s="5">
        <v>22885</v>
      </c>
      <c r="AC2200">
        <v>115</v>
      </c>
      <c r="AD2200">
        <v>199</v>
      </c>
      <c r="AE2200" s="1">
        <v>22885</v>
      </c>
      <c r="AF2200">
        <v>4.5999999999999996</v>
      </c>
      <c r="AJ2200">
        <v>0</v>
      </c>
      <c r="AK2200">
        <v>0</v>
      </c>
      <c r="AL2200">
        <v>0</v>
      </c>
      <c r="AM2200">
        <v>119.6</v>
      </c>
      <c r="AN2200">
        <v>119.6</v>
      </c>
      <c r="AO2200">
        <v>119.6</v>
      </c>
      <c r="AP2200" s="2">
        <v>42746</v>
      </c>
      <c r="AQ2200" t="s">
        <v>72</v>
      </c>
      <c r="AR2200" t="s">
        <v>72</v>
      </c>
      <c r="AS2200">
        <v>3465</v>
      </c>
      <c r="AT2200" s="4">
        <v>42718</v>
      </c>
      <c r="AU2200" t="s">
        <v>73</v>
      </c>
      <c r="AV2200">
        <v>3465</v>
      </c>
      <c r="AW2200" s="4">
        <v>42718</v>
      </c>
      <c r="BD2200">
        <v>4.5999999999999996</v>
      </c>
      <c r="BN2200" t="s">
        <v>74</v>
      </c>
    </row>
    <row r="2201" spans="1:66">
      <c r="A2201">
        <v>100695</v>
      </c>
      <c r="B2201" s="3" t="s">
        <v>227</v>
      </c>
      <c r="C2201" s="1">
        <v>43300101</v>
      </c>
      <c r="D2201" t="s">
        <v>67</v>
      </c>
      <c r="H2201" t="str">
        <f t="shared" si="216"/>
        <v>00721920155</v>
      </c>
      <c r="I2201" t="str">
        <f t="shared" si="216"/>
        <v>00721920155</v>
      </c>
      <c r="K2201" t="str">
        <f>""</f>
        <v/>
      </c>
      <c r="M2201" t="s">
        <v>68</v>
      </c>
      <c r="N2201" t="str">
        <f t="shared" si="213"/>
        <v>FOR</v>
      </c>
      <c r="O2201" t="s">
        <v>69</v>
      </c>
      <c r="P2201" s="3" t="s">
        <v>75</v>
      </c>
      <c r="Q2201">
        <v>2016</v>
      </c>
      <c r="R2201" s="2">
        <v>42458</v>
      </c>
      <c r="S2201" s="2">
        <v>42464</v>
      </c>
      <c r="T2201" s="2">
        <v>42459</v>
      </c>
      <c r="U2201" s="2">
        <v>42519</v>
      </c>
      <c r="V2201" t="s">
        <v>71</v>
      </c>
      <c r="W2201" t="str">
        <f>"          5840119321"</f>
        <v xml:space="preserve">          5840119321</v>
      </c>
      <c r="X2201">
        <v>119.6</v>
      </c>
      <c r="Y2201">
        <v>0</v>
      </c>
      <c r="Z2201" s="3">
        <v>115</v>
      </c>
      <c r="AA2201">
        <v>199</v>
      </c>
      <c r="AB2201" s="5">
        <v>22885</v>
      </c>
      <c r="AC2201">
        <v>115</v>
      </c>
      <c r="AD2201">
        <v>199</v>
      </c>
      <c r="AE2201" s="1">
        <v>22885</v>
      </c>
      <c r="AF2201">
        <v>4.5999999999999996</v>
      </c>
      <c r="AJ2201">
        <v>0</v>
      </c>
      <c r="AK2201">
        <v>0</v>
      </c>
      <c r="AL2201">
        <v>0</v>
      </c>
      <c r="AM2201">
        <v>119.6</v>
      </c>
      <c r="AN2201">
        <v>119.6</v>
      </c>
      <c r="AO2201">
        <v>119.6</v>
      </c>
      <c r="AP2201" s="2">
        <v>42746</v>
      </c>
      <c r="AQ2201" t="s">
        <v>72</v>
      </c>
      <c r="AR2201" t="s">
        <v>72</v>
      </c>
      <c r="AS2201">
        <v>3465</v>
      </c>
      <c r="AT2201" s="4">
        <v>42718</v>
      </c>
      <c r="AU2201" t="s">
        <v>73</v>
      </c>
      <c r="AV2201">
        <v>3465</v>
      </c>
      <c r="AW2201" s="4">
        <v>42718</v>
      </c>
      <c r="BD2201">
        <v>4.5999999999999996</v>
      </c>
      <c r="BN2201" t="s">
        <v>74</v>
      </c>
    </row>
    <row r="2202" spans="1:66">
      <c r="A2202">
        <v>100695</v>
      </c>
      <c r="B2202" s="3" t="s">
        <v>227</v>
      </c>
      <c r="C2202" s="1">
        <v>43300101</v>
      </c>
      <c r="D2202" t="s">
        <v>67</v>
      </c>
      <c r="H2202" t="str">
        <f t="shared" si="216"/>
        <v>00721920155</v>
      </c>
      <c r="I2202" t="str">
        <f t="shared" si="216"/>
        <v>00721920155</v>
      </c>
      <c r="K2202" t="str">
        <f>""</f>
        <v/>
      </c>
      <c r="M2202" t="s">
        <v>68</v>
      </c>
      <c r="N2202" t="str">
        <f t="shared" si="213"/>
        <v>FOR</v>
      </c>
      <c r="O2202" t="s">
        <v>69</v>
      </c>
      <c r="P2202" s="3" t="s">
        <v>75</v>
      </c>
      <c r="Q2202">
        <v>2016</v>
      </c>
      <c r="R2202" s="2">
        <v>42458</v>
      </c>
      <c r="S2202" s="2">
        <v>42464</v>
      </c>
      <c r="T2202" s="2">
        <v>42459</v>
      </c>
      <c r="U2202" s="2">
        <v>42519</v>
      </c>
      <c r="V2202" t="s">
        <v>71</v>
      </c>
      <c r="W2202" t="str">
        <f>"          5840119332"</f>
        <v xml:space="preserve">          5840119332</v>
      </c>
      <c r="X2202">
        <v>119.6</v>
      </c>
      <c r="Y2202">
        <v>0</v>
      </c>
      <c r="Z2202" s="3">
        <v>115</v>
      </c>
      <c r="AA2202">
        <v>199</v>
      </c>
      <c r="AB2202" s="5">
        <v>22885</v>
      </c>
      <c r="AC2202">
        <v>115</v>
      </c>
      <c r="AD2202">
        <v>199</v>
      </c>
      <c r="AE2202" s="1">
        <v>22885</v>
      </c>
      <c r="AF2202">
        <v>4.5999999999999996</v>
      </c>
      <c r="AJ2202">
        <v>0</v>
      </c>
      <c r="AK2202">
        <v>0</v>
      </c>
      <c r="AL2202">
        <v>0</v>
      </c>
      <c r="AM2202">
        <v>119.6</v>
      </c>
      <c r="AN2202">
        <v>119.6</v>
      </c>
      <c r="AO2202">
        <v>119.6</v>
      </c>
      <c r="AP2202" s="2">
        <v>42746</v>
      </c>
      <c r="AQ2202" t="s">
        <v>72</v>
      </c>
      <c r="AR2202" t="s">
        <v>72</v>
      </c>
      <c r="AS2202">
        <v>3465</v>
      </c>
      <c r="AT2202" s="4">
        <v>42718</v>
      </c>
      <c r="AU2202" t="s">
        <v>73</v>
      </c>
      <c r="AV2202">
        <v>3465</v>
      </c>
      <c r="AW2202" s="4">
        <v>42718</v>
      </c>
      <c r="BD2202">
        <v>4.5999999999999996</v>
      </c>
      <c r="BN2202" t="s">
        <v>74</v>
      </c>
    </row>
    <row r="2203" spans="1:66">
      <c r="A2203">
        <v>100695</v>
      </c>
      <c r="B2203" s="3" t="s">
        <v>227</v>
      </c>
      <c r="C2203" s="1">
        <v>43300101</v>
      </c>
      <c r="D2203" t="s">
        <v>67</v>
      </c>
      <c r="H2203" t="str">
        <f t="shared" si="216"/>
        <v>00721920155</v>
      </c>
      <c r="I2203" t="str">
        <f t="shared" si="216"/>
        <v>00721920155</v>
      </c>
      <c r="K2203" t="str">
        <f>""</f>
        <v/>
      </c>
      <c r="M2203" t="s">
        <v>68</v>
      </c>
      <c r="N2203" t="str">
        <f t="shared" si="213"/>
        <v>FOR</v>
      </c>
      <c r="O2203" t="s">
        <v>69</v>
      </c>
      <c r="P2203" s="3" t="s">
        <v>75</v>
      </c>
      <c r="Q2203">
        <v>2016</v>
      </c>
      <c r="R2203" s="2">
        <v>42458</v>
      </c>
      <c r="S2203" s="2">
        <v>42464</v>
      </c>
      <c r="T2203" s="2">
        <v>42459</v>
      </c>
      <c r="U2203" s="2">
        <v>42519</v>
      </c>
      <c r="V2203" t="s">
        <v>71</v>
      </c>
      <c r="W2203" t="str">
        <f>"          5840119336"</f>
        <v xml:space="preserve">          5840119336</v>
      </c>
      <c r="X2203">
        <v>119.6</v>
      </c>
      <c r="Y2203">
        <v>0</v>
      </c>
      <c r="Z2203" s="3">
        <v>115</v>
      </c>
      <c r="AA2203">
        <v>199</v>
      </c>
      <c r="AB2203" s="5">
        <v>22885</v>
      </c>
      <c r="AC2203">
        <v>115</v>
      </c>
      <c r="AD2203">
        <v>199</v>
      </c>
      <c r="AE2203" s="1">
        <v>22885</v>
      </c>
      <c r="AF2203">
        <v>4.5999999999999996</v>
      </c>
      <c r="AJ2203">
        <v>0</v>
      </c>
      <c r="AK2203">
        <v>0</v>
      </c>
      <c r="AL2203">
        <v>0</v>
      </c>
      <c r="AM2203">
        <v>119.6</v>
      </c>
      <c r="AN2203">
        <v>119.6</v>
      </c>
      <c r="AO2203">
        <v>119.6</v>
      </c>
      <c r="AP2203" s="2">
        <v>42746</v>
      </c>
      <c r="AQ2203" t="s">
        <v>72</v>
      </c>
      <c r="AR2203" t="s">
        <v>72</v>
      </c>
      <c r="AS2203">
        <v>3465</v>
      </c>
      <c r="AT2203" s="4">
        <v>42718</v>
      </c>
      <c r="AU2203" t="s">
        <v>73</v>
      </c>
      <c r="AV2203">
        <v>3465</v>
      </c>
      <c r="AW2203" s="4">
        <v>42718</v>
      </c>
      <c r="BD2203">
        <v>4.5999999999999996</v>
      </c>
      <c r="BN2203" t="s">
        <v>74</v>
      </c>
    </row>
    <row r="2204" spans="1:66">
      <c r="A2204">
        <v>100695</v>
      </c>
      <c r="B2204" s="3" t="s">
        <v>227</v>
      </c>
      <c r="C2204" s="1">
        <v>43300101</v>
      </c>
      <c r="D2204" t="s">
        <v>67</v>
      </c>
      <c r="H2204" t="str">
        <f t="shared" si="216"/>
        <v>00721920155</v>
      </c>
      <c r="I2204" t="str">
        <f t="shared" si="216"/>
        <v>00721920155</v>
      </c>
      <c r="K2204" t="str">
        <f>""</f>
        <v/>
      </c>
      <c r="M2204" t="s">
        <v>68</v>
      </c>
      <c r="N2204" t="str">
        <f t="shared" si="213"/>
        <v>FOR</v>
      </c>
      <c r="O2204" t="s">
        <v>69</v>
      </c>
      <c r="P2204" s="3" t="s">
        <v>75</v>
      </c>
      <c r="Q2204">
        <v>2016</v>
      </c>
      <c r="R2204" s="2">
        <v>42459</v>
      </c>
      <c r="S2204" s="2">
        <v>42464</v>
      </c>
      <c r="T2204" s="2">
        <v>42459</v>
      </c>
      <c r="U2204" s="2">
        <v>42519</v>
      </c>
      <c r="V2204" t="s">
        <v>71</v>
      </c>
      <c r="W2204" t="str">
        <f>"          5840119371"</f>
        <v xml:space="preserve">          5840119371</v>
      </c>
      <c r="X2204">
        <v>119.6</v>
      </c>
      <c r="Y2204">
        <v>0</v>
      </c>
      <c r="Z2204" s="3">
        <v>115</v>
      </c>
      <c r="AA2204">
        <v>199</v>
      </c>
      <c r="AB2204" s="5">
        <v>22885</v>
      </c>
      <c r="AC2204">
        <v>115</v>
      </c>
      <c r="AD2204">
        <v>199</v>
      </c>
      <c r="AE2204" s="1">
        <v>22885</v>
      </c>
      <c r="AF2204">
        <v>4.5999999999999996</v>
      </c>
      <c r="AJ2204">
        <v>0</v>
      </c>
      <c r="AK2204">
        <v>0</v>
      </c>
      <c r="AL2204">
        <v>0</v>
      </c>
      <c r="AM2204">
        <v>119.6</v>
      </c>
      <c r="AN2204">
        <v>119.6</v>
      </c>
      <c r="AO2204">
        <v>119.6</v>
      </c>
      <c r="AP2204" s="2">
        <v>42746</v>
      </c>
      <c r="AQ2204" t="s">
        <v>72</v>
      </c>
      <c r="AR2204" t="s">
        <v>72</v>
      </c>
      <c r="AS2204">
        <v>3465</v>
      </c>
      <c r="AT2204" s="4">
        <v>42718</v>
      </c>
      <c r="AU2204" t="s">
        <v>73</v>
      </c>
      <c r="AV2204">
        <v>3465</v>
      </c>
      <c r="AW2204" s="4">
        <v>42718</v>
      </c>
      <c r="BD2204">
        <v>4.5999999999999996</v>
      </c>
      <c r="BN2204" t="s">
        <v>74</v>
      </c>
    </row>
    <row r="2205" spans="1:66">
      <c r="A2205">
        <v>100695</v>
      </c>
      <c r="B2205" s="3" t="s">
        <v>227</v>
      </c>
      <c r="C2205" s="1">
        <v>43300101</v>
      </c>
      <c r="D2205" t="s">
        <v>67</v>
      </c>
      <c r="H2205" t="str">
        <f t="shared" si="216"/>
        <v>00721920155</v>
      </c>
      <c r="I2205" t="str">
        <f t="shared" si="216"/>
        <v>00721920155</v>
      </c>
      <c r="K2205" t="str">
        <f>""</f>
        <v/>
      </c>
      <c r="M2205" t="s">
        <v>68</v>
      </c>
      <c r="N2205" t="str">
        <f t="shared" si="213"/>
        <v>FOR</v>
      </c>
      <c r="O2205" t="s">
        <v>69</v>
      </c>
      <c r="P2205" s="3" t="s">
        <v>75</v>
      </c>
      <c r="Q2205">
        <v>2016</v>
      </c>
      <c r="R2205" s="2">
        <v>42459</v>
      </c>
      <c r="S2205" s="2">
        <v>42464</v>
      </c>
      <c r="T2205" s="2">
        <v>42459</v>
      </c>
      <c r="U2205" s="2">
        <v>42519</v>
      </c>
      <c r="V2205" t="s">
        <v>71</v>
      </c>
      <c r="W2205" t="str">
        <f>"          5840119383"</f>
        <v xml:space="preserve">          5840119383</v>
      </c>
      <c r="X2205">
        <v>119.6</v>
      </c>
      <c r="Y2205">
        <v>0</v>
      </c>
      <c r="Z2205" s="3">
        <v>115</v>
      </c>
      <c r="AA2205">
        <v>199</v>
      </c>
      <c r="AB2205" s="5">
        <v>22885</v>
      </c>
      <c r="AC2205">
        <v>115</v>
      </c>
      <c r="AD2205">
        <v>199</v>
      </c>
      <c r="AE2205" s="1">
        <v>22885</v>
      </c>
      <c r="AF2205">
        <v>4.5999999999999996</v>
      </c>
      <c r="AJ2205">
        <v>0</v>
      </c>
      <c r="AK2205">
        <v>0</v>
      </c>
      <c r="AL2205">
        <v>0</v>
      </c>
      <c r="AM2205">
        <v>119.6</v>
      </c>
      <c r="AN2205">
        <v>119.6</v>
      </c>
      <c r="AO2205">
        <v>119.6</v>
      </c>
      <c r="AP2205" s="2">
        <v>42746</v>
      </c>
      <c r="AQ2205" t="s">
        <v>72</v>
      </c>
      <c r="AR2205" t="s">
        <v>72</v>
      </c>
      <c r="AS2205">
        <v>3465</v>
      </c>
      <c r="AT2205" s="4">
        <v>42718</v>
      </c>
      <c r="AU2205" t="s">
        <v>73</v>
      </c>
      <c r="AV2205">
        <v>3465</v>
      </c>
      <c r="AW2205" s="4">
        <v>42718</v>
      </c>
      <c r="BD2205">
        <v>4.5999999999999996</v>
      </c>
      <c r="BN2205" t="s">
        <v>74</v>
      </c>
    </row>
    <row r="2206" spans="1:66">
      <c r="A2206">
        <v>100695</v>
      </c>
      <c r="B2206" s="3" t="s">
        <v>227</v>
      </c>
      <c r="C2206" s="1">
        <v>43300101</v>
      </c>
      <c r="D2206" t="s">
        <v>67</v>
      </c>
      <c r="H2206" t="str">
        <f t="shared" si="216"/>
        <v>00721920155</v>
      </c>
      <c r="I2206" t="str">
        <f t="shared" si="216"/>
        <v>00721920155</v>
      </c>
      <c r="K2206" t="str">
        <f>""</f>
        <v/>
      </c>
      <c r="M2206" t="s">
        <v>68</v>
      </c>
      <c r="N2206" t="str">
        <f t="shared" si="213"/>
        <v>FOR</v>
      </c>
      <c r="O2206" t="s">
        <v>69</v>
      </c>
      <c r="P2206" s="3" t="s">
        <v>75</v>
      </c>
      <c r="Q2206">
        <v>2016</v>
      </c>
      <c r="R2206" s="2">
        <v>42459</v>
      </c>
      <c r="S2206" s="2">
        <v>42464</v>
      </c>
      <c r="T2206" s="2">
        <v>42459</v>
      </c>
      <c r="U2206" s="2">
        <v>42519</v>
      </c>
      <c r="V2206" t="s">
        <v>71</v>
      </c>
      <c r="W2206" t="str">
        <f>"          5840119394"</f>
        <v xml:space="preserve">          5840119394</v>
      </c>
      <c r="X2206">
        <v>119.6</v>
      </c>
      <c r="Y2206">
        <v>0</v>
      </c>
      <c r="Z2206" s="3">
        <v>115</v>
      </c>
      <c r="AA2206">
        <v>199</v>
      </c>
      <c r="AB2206" s="5">
        <v>22885</v>
      </c>
      <c r="AC2206">
        <v>115</v>
      </c>
      <c r="AD2206">
        <v>199</v>
      </c>
      <c r="AE2206" s="1">
        <v>22885</v>
      </c>
      <c r="AF2206">
        <v>4.5999999999999996</v>
      </c>
      <c r="AJ2206">
        <v>0</v>
      </c>
      <c r="AK2206">
        <v>0</v>
      </c>
      <c r="AL2206">
        <v>0</v>
      </c>
      <c r="AM2206">
        <v>119.6</v>
      </c>
      <c r="AN2206">
        <v>119.6</v>
      </c>
      <c r="AO2206">
        <v>119.6</v>
      </c>
      <c r="AP2206" s="2">
        <v>42746</v>
      </c>
      <c r="AQ2206" t="s">
        <v>72</v>
      </c>
      <c r="AR2206" t="s">
        <v>72</v>
      </c>
      <c r="AS2206">
        <v>3465</v>
      </c>
      <c r="AT2206" s="4">
        <v>42718</v>
      </c>
      <c r="AU2206" t="s">
        <v>73</v>
      </c>
      <c r="AV2206">
        <v>3465</v>
      </c>
      <c r="AW2206" s="4">
        <v>42718</v>
      </c>
      <c r="BD2206">
        <v>4.5999999999999996</v>
      </c>
      <c r="BN2206" t="s">
        <v>74</v>
      </c>
    </row>
    <row r="2207" spans="1:66">
      <c r="A2207">
        <v>100695</v>
      </c>
      <c r="B2207" s="3" t="s">
        <v>227</v>
      </c>
      <c r="C2207" s="1">
        <v>43300101</v>
      </c>
      <c r="D2207" t="s">
        <v>67</v>
      </c>
      <c r="H2207" t="str">
        <f t="shared" si="216"/>
        <v>00721920155</v>
      </c>
      <c r="I2207" t="str">
        <f t="shared" si="216"/>
        <v>00721920155</v>
      </c>
      <c r="K2207" t="str">
        <f>""</f>
        <v/>
      </c>
      <c r="M2207" t="s">
        <v>68</v>
      </c>
      <c r="N2207" t="str">
        <f t="shared" si="213"/>
        <v>FOR</v>
      </c>
      <c r="O2207" t="s">
        <v>69</v>
      </c>
      <c r="P2207" s="3" t="s">
        <v>75</v>
      </c>
      <c r="Q2207">
        <v>2016</v>
      </c>
      <c r="R2207" s="2">
        <v>42459</v>
      </c>
      <c r="S2207" s="2">
        <v>42464</v>
      </c>
      <c r="T2207" s="2">
        <v>42461</v>
      </c>
      <c r="U2207" s="2">
        <v>42521</v>
      </c>
      <c r="V2207" t="s">
        <v>71</v>
      </c>
      <c r="W2207" t="str">
        <f>"          5840119406"</f>
        <v xml:space="preserve">          5840119406</v>
      </c>
      <c r="X2207">
        <v>119.6</v>
      </c>
      <c r="Y2207">
        <v>0</v>
      </c>
      <c r="Z2207" s="3">
        <v>115</v>
      </c>
      <c r="AA2207">
        <v>197</v>
      </c>
      <c r="AB2207" s="5">
        <v>22655</v>
      </c>
      <c r="AC2207">
        <v>115</v>
      </c>
      <c r="AD2207">
        <v>197</v>
      </c>
      <c r="AE2207" s="1">
        <v>22655</v>
      </c>
      <c r="AF2207">
        <v>4.5999999999999996</v>
      </c>
      <c r="AJ2207">
        <v>0</v>
      </c>
      <c r="AK2207">
        <v>0</v>
      </c>
      <c r="AL2207">
        <v>0</v>
      </c>
      <c r="AM2207">
        <v>119.6</v>
      </c>
      <c r="AN2207">
        <v>119.6</v>
      </c>
      <c r="AO2207">
        <v>119.6</v>
      </c>
      <c r="AP2207" s="2">
        <v>42746</v>
      </c>
      <c r="AQ2207" t="s">
        <v>72</v>
      </c>
      <c r="AR2207" t="s">
        <v>72</v>
      </c>
      <c r="AS2207">
        <v>3465</v>
      </c>
      <c r="AT2207" s="4">
        <v>42718</v>
      </c>
      <c r="AU2207" t="s">
        <v>73</v>
      </c>
      <c r="AV2207">
        <v>3465</v>
      </c>
      <c r="AW2207" s="4">
        <v>42718</v>
      </c>
      <c r="BD2207">
        <v>4.5999999999999996</v>
      </c>
      <c r="BN2207" t="s">
        <v>74</v>
      </c>
    </row>
    <row r="2208" spans="1:66">
      <c r="A2208">
        <v>100695</v>
      </c>
      <c r="B2208" s="3" t="s">
        <v>227</v>
      </c>
      <c r="C2208" s="1">
        <v>43300101</v>
      </c>
      <c r="D2208" t="s">
        <v>67</v>
      </c>
      <c r="H2208" t="str">
        <f t="shared" si="216"/>
        <v>00721920155</v>
      </c>
      <c r="I2208" t="str">
        <f t="shared" si="216"/>
        <v>00721920155</v>
      </c>
      <c r="K2208" t="str">
        <f>""</f>
        <v/>
      </c>
      <c r="M2208" t="s">
        <v>68</v>
      </c>
      <c r="N2208" t="str">
        <f t="shared" si="213"/>
        <v>FOR</v>
      </c>
      <c r="O2208" t="s">
        <v>69</v>
      </c>
      <c r="P2208" s="3" t="s">
        <v>75</v>
      </c>
      <c r="Q2208">
        <v>2016</v>
      </c>
      <c r="R2208" s="2">
        <v>42468</v>
      </c>
      <c r="S2208" s="2">
        <v>42473</v>
      </c>
      <c r="T2208" s="2">
        <v>42471</v>
      </c>
      <c r="U2208" s="2">
        <v>42531</v>
      </c>
      <c r="V2208" t="s">
        <v>71</v>
      </c>
      <c r="W2208" t="str">
        <f>"          5840119856"</f>
        <v xml:space="preserve">          5840119856</v>
      </c>
      <c r="X2208">
        <v>119.6</v>
      </c>
      <c r="Y2208">
        <v>0</v>
      </c>
      <c r="Z2208" s="3">
        <v>115</v>
      </c>
      <c r="AA2208">
        <v>187</v>
      </c>
      <c r="AB2208" s="5">
        <v>21505</v>
      </c>
      <c r="AC2208">
        <v>115</v>
      </c>
      <c r="AD2208">
        <v>187</v>
      </c>
      <c r="AE2208" s="1">
        <v>21505</v>
      </c>
      <c r="AF2208">
        <v>4.5999999999999996</v>
      </c>
      <c r="AJ2208">
        <v>0</v>
      </c>
      <c r="AK2208">
        <v>0</v>
      </c>
      <c r="AL2208">
        <v>0</v>
      </c>
      <c r="AM2208">
        <v>119.6</v>
      </c>
      <c r="AN2208">
        <v>119.6</v>
      </c>
      <c r="AO2208">
        <v>119.6</v>
      </c>
      <c r="AP2208" s="2">
        <v>42746</v>
      </c>
      <c r="AQ2208" t="s">
        <v>72</v>
      </c>
      <c r="AR2208" t="s">
        <v>72</v>
      </c>
      <c r="AS2208">
        <v>3465</v>
      </c>
      <c r="AT2208" s="4">
        <v>42718</v>
      </c>
      <c r="AU2208" t="s">
        <v>73</v>
      </c>
      <c r="AV2208">
        <v>3465</v>
      </c>
      <c r="AW2208" s="4">
        <v>42718</v>
      </c>
      <c r="BD2208">
        <v>4.5999999999999996</v>
      </c>
      <c r="BN2208" t="s">
        <v>74</v>
      </c>
    </row>
    <row r="2209" spans="1:66">
      <c r="A2209">
        <v>100695</v>
      </c>
      <c r="B2209" s="3" t="s">
        <v>227</v>
      </c>
      <c r="C2209" s="1">
        <v>43300101</v>
      </c>
      <c r="D2209" t="s">
        <v>67</v>
      </c>
      <c r="H2209" t="str">
        <f t="shared" ref="H2209:I2224" si="217">"00721920155"</f>
        <v>00721920155</v>
      </c>
      <c r="I2209" t="str">
        <f t="shared" si="217"/>
        <v>00721920155</v>
      </c>
      <c r="K2209" t="str">
        <f>""</f>
        <v/>
      </c>
      <c r="M2209" t="s">
        <v>68</v>
      </c>
      <c r="N2209" t="str">
        <f t="shared" ref="N2209:N2272" si="218">"FOR"</f>
        <v>FOR</v>
      </c>
      <c r="O2209" t="s">
        <v>69</v>
      </c>
      <c r="P2209" s="3" t="s">
        <v>75</v>
      </c>
      <c r="Q2209">
        <v>2016</v>
      </c>
      <c r="R2209" s="2">
        <v>42468</v>
      </c>
      <c r="S2209" s="2">
        <v>42473</v>
      </c>
      <c r="T2209" s="2">
        <v>42471</v>
      </c>
      <c r="U2209" s="2">
        <v>42531</v>
      </c>
      <c r="V2209" t="s">
        <v>71</v>
      </c>
      <c r="W2209" t="str">
        <f>"          5840119864"</f>
        <v xml:space="preserve">          5840119864</v>
      </c>
      <c r="X2209">
        <v>119.6</v>
      </c>
      <c r="Y2209">
        <v>0</v>
      </c>
      <c r="Z2209" s="3">
        <v>115</v>
      </c>
      <c r="AA2209">
        <v>187</v>
      </c>
      <c r="AB2209" s="5">
        <v>21505</v>
      </c>
      <c r="AC2209">
        <v>115</v>
      </c>
      <c r="AD2209">
        <v>187</v>
      </c>
      <c r="AE2209" s="1">
        <v>21505</v>
      </c>
      <c r="AF2209">
        <v>4.5999999999999996</v>
      </c>
      <c r="AJ2209">
        <v>0</v>
      </c>
      <c r="AK2209">
        <v>0</v>
      </c>
      <c r="AL2209">
        <v>0</v>
      </c>
      <c r="AM2209">
        <v>119.6</v>
      </c>
      <c r="AN2209">
        <v>119.6</v>
      </c>
      <c r="AO2209">
        <v>119.6</v>
      </c>
      <c r="AP2209" s="2">
        <v>42746</v>
      </c>
      <c r="AQ2209" t="s">
        <v>72</v>
      </c>
      <c r="AR2209" t="s">
        <v>72</v>
      </c>
      <c r="AS2209">
        <v>3465</v>
      </c>
      <c r="AT2209" s="4">
        <v>42718</v>
      </c>
      <c r="AU2209" t="s">
        <v>73</v>
      </c>
      <c r="AV2209">
        <v>3465</v>
      </c>
      <c r="AW2209" s="4">
        <v>42718</v>
      </c>
      <c r="BD2209">
        <v>4.5999999999999996</v>
      </c>
      <c r="BN2209" t="s">
        <v>74</v>
      </c>
    </row>
    <row r="2210" spans="1:66">
      <c r="A2210">
        <v>100695</v>
      </c>
      <c r="B2210" s="3" t="s">
        <v>227</v>
      </c>
      <c r="C2210" s="1">
        <v>43300101</v>
      </c>
      <c r="D2210" t="s">
        <v>67</v>
      </c>
      <c r="H2210" t="str">
        <f t="shared" si="217"/>
        <v>00721920155</v>
      </c>
      <c r="I2210" t="str">
        <f t="shared" si="217"/>
        <v>00721920155</v>
      </c>
      <c r="K2210" t="str">
        <f>""</f>
        <v/>
      </c>
      <c r="M2210" t="s">
        <v>68</v>
      </c>
      <c r="N2210" t="str">
        <f t="shared" si="218"/>
        <v>FOR</v>
      </c>
      <c r="O2210" t="s">
        <v>69</v>
      </c>
      <c r="P2210" s="3" t="s">
        <v>75</v>
      </c>
      <c r="Q2210">
        <v>2016</v>
      </c>
      <c r="R2210" s="2">
        <v>42468</v>
      </c>
      <c r="S2210" s="2">
        <v>42473</v>
      </c>
      <c r="T2210" s="2">
        <v>42471</v>
      </c>
      <c r="U2210" s="2">
        <v>42531</v>
      </c>
      <c r="V2210" t="s">
        <v>71</v>
      </c>
      <c r="W2210" t="str">
        <f>"          5840119873"</f>
        <v xml:space="preserve">          5840119873</v>
      </c>
      <c r="X2210">
        <v>119.6</v>
      </c>
      <c r="Y2210">
        <v>0</v>
      </c>
      <c r="Z2210" s="3">
        <v>115</v>
      </c>
      <c r="AA2210">
        <v>187</v>
      </c>
      <c r="AB2210" s="5">
        <v>21505</v>
      </c>
      <c r="AC2210">
        <v>115</v>
      </c>
      <c r="AD2210">
        <v>187</v>
      </c>
      <c r="AE2210" s="1">
        <v>21505</v>
      </c>
      <c r="AF2210">
        <v>4.5999999999999996</v>
      </c>
      <c r="AJ2210">
        <v>0</v>
      </c>
      <c r="AK2210">
        <v>0</v>
      </c>
      <c r="AL2210">
        <v>0</v>
      </c>
      <c r="AM2210">
        <v>119.6</v>
      </c>
      <c r="AN2210">
        <v>119.6</v>
      </c>
      <c r="AO2210">
        <v>119.6</v>
      </c>
      <c r="AP2210" s="2">
        <v>42746</v>
      </c>
      <c r="AQ2210" t="s">
        <v>72</v>
      </c>
      <c r="AR2210" t="s">
        <v>72</v>
      </c>
      <c r="AS2210">
        <v>3465</v>
      </c>
      <c r="AT2210" s="4">
        <v>42718</v>
      </c>
      <c r="AU2210" t="s">
        <v>73</v>
      </c>
      <c r="AV2210">
        <v>3465</v>
      </c>
      <c r="AW2210" s="4">
        <v>42718</v>
      </c>
      <c r="BD2210">
        <v>4.5999999999999996</v>
      </c>
      <c r="BN2210" t="s">
        <v>74</v>
      </c>
    </row>
    <row r="2211" spans="1:66">
      <c r="A2211">
        <v>100695</v>
      </c>
      <c r="B2211" s="3" t="s">
        <v>227</v>
      </c>
      <c r="C2211" s="1">
        <v>43300101</v>
      </c>
      <c r="D2211" t="s">
        <v>67</v>
      </c>
      <c r="H2211" t="str">
        <f t="shared" si="217"/>
        <v>00721920155</v>
      </c>
      <c r="I2211" t="str">
        <f t="shared" si="217"/>
        <v>00721920155</v>
      </c>
      <c r="K2211" t="str">
        <f>""</f>
        <v/>
      </c>
      <c r="M2211" t="s">
        <v>68</v>
      </c>
      <c r="N2211" t="str">
        <f t="shared" si="218"/>
        <v>FOR</v>
      </c>
      <c r="O2211" t="s">
        <v>69</v>
      </c>
      <c r="P2211" s="3" t="s">
        <v>75</v>
      </c>
      <c r="Q2211">
        <v>2016</v>
      </c>
      <c r="R2211" s="2">
        <v>42468</v>
      </c>
      <c r="S2211" s="2">
        <v>42473</v>
      </c>
      <c r="T2211" s="2">
        <v>42471</v>
      </c>
      <c r="U2211" s="2">
        <v>42531</v>
      </c>
      <c r="V2211" t="s">
        <v>71</v>
      </c>
      <c r="W2211" t="str">
        <f>"          5840119878"</f>
        <v xml:space="preserve">          5840119878</v>
      </c>
      <c r="X2211">
        <v>119.6</v>
      </c>
      <c r="Y2211">
        <v>0</v>
      </c>
      <c r="Z2211" s="3">
        <v>115</v>
      </c>
      <c r="AA2211">
        <v>187</v>
      </c>
      <c r="AB2211" s="5">
        <v>21505</v>
      </c>
      <c r="AC2211">
        <v>115</v>
      </c>
      <c r="AD2211">
        <v>187</v>
      </c>
      <c r="AE2211" s="1">
        <v>21505</v>
      </c>
      <c r="AF2211">
        <v>4.5999999999999996</v>
      </c>
      <c r="AJ2211">
        <v>0</v>
      </c>
      <c r="AK2211">
        <v>0</v>
      </c>
      <c r="AL2211">
        <v>0</v>
      </c>
      <c r="AM2211">
        <v>119.6</v>
      </c>
      <c r="AN2211">
        <v>119.6</v>
      </c>
      <c r="AO2211">
        <v>119.6</v>
      </c>
      <c r="AP2211" s="2">
        <v>42746</v>
      </c>
      <c r="AQ2211" t="s">
        <v>72</v>
      </c>
      <c r="AR2211" t="s">
        <v>72</v>
      </c>
      <c r="AS2211">
        <v>3465</v>
      </c>
      <c r="AT2211" s="4">
        <v>42718</v>
      </c>
      <c r="AU2211" t="s">
        <v>73</v>
      </c>
      <c r="AV2211">
        <v>3465</v>
      </c>
      <c r="AW2211" s="4">
        <v>42718</v>
      </c>
      <c r="BD2211">
        <v>4.5999999999999996</v>
      </c>
      <c r="BN2211" t="s">
        <v>74</v>
      </c>
    </row>
    <row r="2212" spans="1:66">
      <c r="A2212">
        <v>100695</v>
      </c>
      <c r="B2212" s="3" t="s">
        <v>227</v>
      </c>
      <c r="C2212" s="1">
        <v>43300101</v>
      </c>
      <c r="D2212" t="s">
        <v>67</v>
      </c>
      <c r="H2212" t="str">
        <f t="shared" si="217"/>
        <v>00721920155</v>
      </c>
      <c r="I2212" t="str">
        <f t="shared" si="217"/>
        <v>00721920155</v>
      </c>
      <c r="K2212" t="str">
        <f>""</f>
        <v/>
      </c>
      <c r="M2212" t="s">
        <v>68</v>
      </c>
      <c r="N2212" t="str">
        <f t="shared" si="218"/>
        <v>FOR</v>
      </c>
      <c r="O2212" t="s">
        <v>69</v>
      </c>
      <c r="P2212" s="3" t="s">
        <v>75</v>
      </c>
      <c r="Q2212">
        <v>2016</v>
      </c>
      <c r="R2212" s="2">
        <v>42468</v>
      </c>
      <c r="S2212" s="2">
        <v>42473</v>
      </c>
      <c r="T2212" s="2">
        <v>42471</v>
      </c>
      <c r="U2212" s="2">
        <v>42531</v>
      </c>
      <c r="V2212" t="s">
        <v>71</v>
      </c>
      <c r="W2212" t="str">
        <f>"          5840119894"</f>
        <v xml:space="preserve">          5840119894</v>
      </c>
      <c r="X2212">
        <v>119.6</v>
      </c>
      <c r="Y2212">
        <v>0</v>
      </c>
      <c r="Z2212" s="3">
        <v>115</v>
      </c>
      <c r="AA2212">
        <v>187</v>
      </c>
      <c r="AB2212" s="5">
        <v>21505</v>
      </c>
      <c r="AC2212">
        <v>115</v>
      </c>
      <c r="AD2212">
        <v>187</v>
      </c>
      <c r="AE2212" s="1">
        <v>21505</v>
      </c>
      <c r="AF2212">
        <v>4.5999999999999996</v>
      </c>
      <c r="AJ2212">
        <v>0</v>
      </c>
      <c r="AK2212">
        <v>0</v>
      </c>
      <c r="AL2212">
        <v>0</v>
      </c>
      <c r="AM2212">
        <v>119.6</v>
      </c>
      <c r="AN2212">
        <v>119.6</v>
      </c>
      <c r="AO2212">
        <v>119.6</v>
      </c>
      <c r="AP2212" s="2">
        <v>42746</v>
      </c>
      <c r="AQ2212" t="s">
        <v>72</v>
      </c>
      <c r="AR2212" t="s">
        <v>72</v>
      </c>
      <c r="AS2212">
        <v>3465</v>
      </c>
      <c r="AT2212" s="4">
        <v>42718</v>
      </c>
      <c r="AU2212" t="s">
        <v>73</v>
      </c>
      <c r="AV2212">
        <v>3465</v>
      </c>
      <c r="AW2212" s="4">
        <v>42718</v>
      </c>
      <c r="BD2212">
        <v>4.5999999999999996</v>
      </c>
      <c r="BN2212" t="s">
        <v>74</v>
      </c>
    </row>
    <row r="2213" spans="1:66">
      <c r="A2213">
        <v>100695</v>
      </c>
      <c r="B2213" s="3" t="s">
        <v>227</v>
      </c>
      <c r="C2213" s="1">
        <v>43300101</v>
      </c>
      <c r="D2213" t="s">
        <v>67</v>
      </c>
      <c r="H2213" t="str">
        <f t="shared" si="217"/>
        <v>00721920155</v>
      </c>
      <c r="I2213" t="str">
        <f t="shared" si="217"/>
        <v>00721920155</v>
      </c>
      <c r="K2213" t="str">
        <f>""</f>
        <v/>
      </c>
      <c r="M2213" t="s">
        <v>68</v>
      </c>
      <c r="N2213" t="str">
        <f t="shared" si="218"/>
        <v>FOR</v>
      </c>
      <c r="O2213" t="s">
        <v>69</v>
      </c>
      <c r="P2213" s="3" t="s">
        <v>75</v>
      </c>
      <c r="Q2213">
        <v>2016</v>
      </c>
      <c r="R2213" s="2">
        <v>42471</v>
      </c>
      <c r="S2213" s="2">
        <v>42473</v>
      </c>
      <c r="T2213" s="2">
        <v>42471</v>
      </c>
      <c r="U2213" s="2">
        <v>42531</v>
      </c>
      <c r="V2213" t="s">
        <v>71</v>
      </c>
      <c r="W2213" t="str">
        <f>"          5840119913"</f>
        <v xml:space="preserve">          5840119913</v>
      </c>
      <c r="X2213">
        <v>119.6</v>
      </c>
      <c r="Y2213">
        <v>0</v>
      </c>
      <c r="Z2213" s="3">
        <v>115</v>
      </c>
      <c r="AA2213">
        <v>187</v>
      </c>
      <c r="AB2213" s="5">
        <v>21505</v>
      </c>
      <c r="AC2213">
        <v>115</v>
      </c>
      <c r="AD2213">
        <v>187</v>
      </c>
      <c r="AE2213" s="1">
        <v>21505</v>
      </c>
      <c r="AF2213">
        <v>4.5999999999999996</v>
      </c>
      <c r="AJ2213">
        <v>0</v>
      </c>
      <c r="AK2213">
        <v>0</v>
      </c>
      <c r="AL2213">
        <v>0</v>
      </c>
      <c r="AM2213">
        <v>119.6</v>
      </c>
      <c r="AN2213">
        <v>119.6</v>
      </c>
      <c r="AO2213">
        <v>119.6</v>
      </c>
      <c r="AP2213" s="2">
        <v>42746</v>
      </c>
      <c r="AQ2213" t="s">
        <v>72</v>
      </c>
      <c r="AR2213" t="s">
        <v>72</v>
      </c>
      <c r="AS2213">
        <v>3465</v>
      </c>
      <c r="AT2213" s="4">
        <v>42718</v>
      </c>
      <c r="AU2213" t="s">
        <v>73</v>
      </c>
      <c r="AV2213">
        <v>3465</v>
      </c>
      <c r="AW2213" s="4">
        <v>42718</v>
      </c>
      <c r="BD2213">
        <v>4.5999999999999996</v>
      </c>
      <c r="BN2213" t="s">
        <v>74</v>
      </c>
    </row>
    <row r="2214" spans="1:66">
      <c r="A2214">
        <v>100695</v>
      </c>
      <c r="B2214" s="3" t="s">
        <v>227</v>
      </c>
      <c r="C2214" s="1">
        <v>43300101</v>
      </c>
      <c r="D2214" t="s">
        <v>67</v>
      </c>
      <c r="H2214" t="str">
        <f t="shared" si="217"/>
        <v>00721920155</v>
      </c>
      <c r="I2214" t="str">
        <f t="shared" si="217"/>
        <v>00721920155</v>
      </c>
      <c r="K2214" t="str">
        <f>""</f>
        <v/>
      </c>
      <c r="M2214" t="s">
        <v>68</v>
      </c>
      <c r="N2214" t="str">
        <f t="shared" si="218"/>
        <v>FOR</v>
      </c>
      <c r="O2214" t="s">
        <v>69</v>
      </c>
      <c r="P2214" s="3" t="s">
        <v>75</v>
      </c>
      <c r="Q2214">
        <v>2016</v>
      </c>
      <c r="R2214" s="2">
        <v>42478</v>
      </c>
      <c r="S2214" s="2">
        <v>42481</v>
      </c>
      <c r="T2214" s="2">
        <v>42480</v>
      </c>
      <c r="U2214" s="2">
        <v>42540</v>
      </c>
      <c r="V2214" t="s">
        <v>71</v>
      </c>
      <c r="W2214" t="str">
        <f>"          5840120197"</f>
        <v xml:space="preserve">          5840120197</v>
      </c>
      <c r="X2214">
        <v>119.6</v>
      </c>
      <c r="Y2214">
        <v>0</v>
      </c>
      <c r="Z2214" s="3">
        <v>115</v>
      </c>
      <c r="AA2214">
        <v>178</v>
      </c>
      <c r="AB2214" s="5">
        <v>20470</v>
      </c>
      <c r="AC2214">
        <v>115</v>
      </c>
      <c r="AD2214">
        <v>178</v>
      </c>
      <c r="AE2214" s="1">
        <v>20470</v>
      </c>
      <c r="AF2214">
        <v>4.5999999999999996</v>
      </c>
      <c r="AJ2214">
        <v>0</v>
      </c>
      <c r="AK2214">
        <v>0</v>
      </c>
      <c r="AL2214">
        <v>0</v>
      </c>
      <c r="AM2214">
        <v>119.6</v>
      </c>
      <c r="AN2214">
        <v>119.6</v>
      </c>
      <c r="AO2214">
        <v>119.6</v>
      </c>
      <c r="AP2214" s="2">
        <v>42746</v>
      </c>
      <c r="AQ2214" t="s">
        <v>72</v>
      </c>
      <c r="AR2214" t="s">
        <v>72</v>
      </c>
      <c r="AS2214">
        <v>3465</v>
      </c>
      <c r="AT2214" s="4">
        <v>42718</v>
      </c>
      <c r="AU2214" t="s">
        <v>73</v>
      </c>
      <c r="AV2214">
        <v>3465</v>
      </c>
      <c r="AW2214" s="4">
        <v>42718</v>
      </c>
      <c r="BD2214">
        <v>4.5999999999999996</v>
      </c>
      <c r="BN2214" t="s">
        <v>74</v>
      </c>
    </row>
    <row r="2215" spans="1:66">
      <c r="A2215">
        <v>100695</v>
      </c>
      <c r="B2215" s="3" t="s">
        <v>227</v>
      </c>
      <c r="C2215" s="1">
        <v>43300101</v>
      </c>
      <c r="D2215" t="s">
        <v>67</v>
      </c>
      <c r="H2215" t="str">
        <f t="shared" si="217"/>
        <v>00721920155</v>
      </c>
      <c r="I2215" t="str">
        <f t="shared" si="217"/>
        <v>00721920155</v>
      </c>
      <c r="K2215" t="str">
        <f>""</f>
        <v/>
      </c>
      <c r="M2215" t="s">
        <v>68</v>
      </c>
      <c r="N2215" t="str">
        <f t="shared" si="218"/>
        <v>FOR</v>
      </c>
      <c r="O2215" t="s">
        <v>69</v>
      </c>
      <c r="P2215" s="3" t="s">
        <v>75</v>
      </c>
      <c r="Q2215">
        <v>2016</v>
      </c>
      <c r="R2215" s="2">
        <v>42478</v>
      </c>
      <c r="S2215" s="2">
        <v>42481</v>
      </c>
      <c r="T2215" s="2">
        <v>42480</v>
      </c>
      <c r="U2215" s="2">
        <v>42540</v>
      </c>
      <c r="V2215" t="s">
        <v>71</v>
      </c>
      <c r="W2215" t="str">
        <f>"          5840120215"</f>
        <v xml:space="preserve">          5840120215</v>
      </c>
      <c r="X2215">
        <v>119.6</v>
      </c>
      <c r="Y2215">
        <v>0</v>
      </c>
      <c r="Z2215" s="3">
        <v>115</v>
      </c>
      <c r="AA2215">
        <v>178</v>
      </c>
      <c r="AB2215" s="5">
        <v>20470</v>
      </c>
      <c r="AC2215">
        <v>115</v>
      </c>
      <c r="AD2215">
        <v>178</v>
      </c>
      <c r="AE2215" s="1">
        <v>20470</v>
      </c>
      <c r="AF2215">
        <v>4.5999999999999996</v>
      </c>
      <c r="AJ2215">
        <v>0</v>
      </c>
      <c r="AK2215">
        <v>0</v>
      </c>
      <c r="AL2215">
        <v>0</v>
      </c>
      <c r="AM2215">
        <v>119.6</v>
      </c>
      <c r="AN2215">
        <v>119.6</v>
      </c>
      <c r="AO2215">
        <v>119.6</v>
      </c>
      <c r="AP2215" s="2">
        <v>42746</v>
      </c>
      <c r="AQ2215" t="s">
        <v>72</v>
      </c>
      <c r="AR2215" t="s">
        <v>72</v>
      </c>
      <c r="AS2215">
        <v>3465</v>
      </c>
      <c r="AT2215" s="4">
        <v>42718</v>
      </c>
      <c r="AU2215" t="s">
        <v>73</v>
      </c>
      <c r="AV2215">
        <v>3465</v>
      </c>
      <c r="AW2215" s="4">
        <v>42718</v>
      </c>
      <c r="BD2215">
        <v>4.5999999999999996</v>
      </c>
      <c r="BN2215" t="s">
        <v>74</v>
      </c>
    </row>
    <row r="2216" spans="1:66">
      <c r="A2216">
        <v>100695</v>
      </c>
      <c r="B2216" s="3" t="s">
        <v>227</v>
      </c>
      <c r="C2216" s="1">
        <v>43300101</v>
      </c>
      <c r="D2216" t="s">
        <v>67</v>
      </c>
      <c r="H2216" t="str">
        <f t="shared" si="217"/>
        <v>00721920155</v>
      </c>
      <c r="I2216" t="str">
        <f t="shared" si="217"/>
        <v>00721920155</v>
      </c>
      <c r="K2216" t="str">
        <f>""</f>
        <v/>
      </c>
      <c r="M2216" t="s">
        <v>68</v>
      </c>
      <c r="N2216" t="str">
        <f t="shared" si="218"/>
        <v>FOR</v>
      </c>
      <c r="O2216" t="s">
        <v>69</v>
      </c>
      <c r="P2216" s="3" t="s">
        <v>75</v>
      </c>
      <c r="Q2216">
        <v>2016</v>
      </c>
      <c r="R2216" s="2">
        <v>42478</v>
      </c>
      <c r="S2216" s="2">
        <v>42481</v>
      </c>
      <c r="T2216" s="2">
        <v>42480</v>
      </c>
      <c r="U2216" s="2">
        <v>42540</v>
      </c>
      <c r="V2216" t="s">
        <v>71</v>
      </c>
      <c r="W2216" t="str">
        <f>"          5840120233"</f>
        <v xml:space="preserve">          5840120233</v>
      </c>
      <c r="X2216">
        <v>119.6</v>
      </c>
      <c r="Y2216">
        <v>0</v>
      </c>
      <c r="Z2216" s="3">
        <v>115</v>
      </c>
      <c r="AA2216">
        <v>178</v>
      </c>
      <c r="AB2216" s="5">
        <v>20470</v>
      </c>
      <c r="AC2216">
        <v>115</v>
      </c>
      <c r="AD2216">
        <v>178</v>
      </c>
      <c r="AE2216" s="1">
        <v>20470</v>
      </c>
      <c r="AF2216">
        <v>4.5999999999999996</v>
      </c>
      <c r="AJ2216">
        <v>0</v>
      </c>
      <c r="AK2216">
        <v>0</v>
      </c>
      <c r="AL2216">
        <v>0</v>
      </c>
      <c r="AM2216">
        <v>119.6</v>
      </c>
      <c r="AN2216">
        <v>119.6</v>
      </c>
      <c r="AO2216">
        <v>119.6</v>
      </c>
      <c r="AP2216" s="2">
        <v>42746</v>
      </c>
      <c r="AQ2216" t="s">
        <v>72</v>
      </c>
      <c r="AR2216" t="s">
        <v>72</v>
      </c>
      <c r="AS2216">
        <v>3465</v>
      </c>
      <c r="AT2216" s="4">
        <v>42718</v>
      </c>
      <c r="AU2216" t="s">
        <v>73</v>
      </c>
      <c r="AV2216">
        <v>3465</v>
      </c>
      <c r="AW2216" s="4">
        <v>42718</v>
      </c>
      <c r="BD2216">
        <v>4.5999999999999996</v>
      </c>
      <c r="BN2216" t="s">
        <v>74</v>
      </c>
    </row>
    <row r="2217" spans="1:66">
      <c r="A2217">
        <v>100695</v>
      </c>
      <c r="B2217" s="3" t="s">
        <v>227</v>
      </c>
      <c r="C2217" s="1">
        <v>43300101</v>
      </c>
      <c r="D2217" t="s">
        <v>67</v>
      </c>
      <c r="H2217" t="str">
        <f t="shared" si="217"/>
        <v>00721920155</v>
      </c>
      <c r="I2217" t="str">
        <f t="shared" si="217"/>
        <v>00721920155</v>
      </c>
      <c r="K2217" t="str">
        <f>""</f>
        <v/>
      </c>
      <c r="M2217" t="s">
        <v>68</v>
      </c>
      <c r="N2217" t="str">
        <f t="shared" si="218"/>
        <v>FOR</v>
      </c>
      <c r="O2217" t="s">
        <v>69</v>
      </c>
      <c r="P2217" s="3" t="s">
        <v>75</v>
      </c>
      <c r="Q2217">
        <v>2016</v>
      </c>
      <c r="R2217" s="2">
        <v>42478</v>
      </c>
      <c r="S2217" s="2">
        <v>42481</v>
      </c>
      <c r="T2217" s="2">
        <v>42480</v>
      </c>
      <c r="U2217" s="2">
        <v>42540</v>
      </c>
      <c r="V2217" t="s">
        <v>71</v>
      </c>
      <c r="W2217" t="str">
        <f>"          5840120241"</f>
        <v xml:space="preserve">          5840120241</v>
      </c>
      <c r="X2217">
        <v>119.6</v>
      </c>
      <c r="Y2217">
        <v>0</v>
      </c>
      <c r="Z2217" s="3">
        <v>115</v>
      </c>
      <c r="AA2217">
        <v>178</v>
      </c>
      <c r="AB2217" s="5">
        <v>20470</v>
      </c>
      <c r="AC2217">
        <v>115</v>
      </c>
      <c r="AD2217">
        <v>178</v>
      </c>
      <c r="AE2217" s="1">
        <v>20470</v>
      </c>
      <c r="AF2217">
        <v>4.5999999999999996</v>
      </c>
      <c r="AJ2217">
        <v>0</v>
      </c>
      <c r="AK2217">
        <v>0</v>
      </c>
      <c r="AL2217">
        <v>0</v>
      </c>
      <c r="AM2217">
        <v>119.6</v>
      </c>
      <c r="AN2217">
        <v>119.6</v>
      </c>
      <c r="AO2217">
        <v>119.6</v>
      </c>
      <c r="AP2217" s="2">
        <v>42746</v>
      </c>
      <c r="AQ2217" t="s">
        <v>72</v>
      </c>
      <c r="AR2217" t="s">
        <v>72</v>
      </c>
      <c r="AS2217">
        <v>3465</v>
      </c>
      <c r="AT2217" s="4">
        <v>42718</v>
      </c>
      <c r="AU2217" t="s">
        <v>73</v>
      </c>
      <c r="AV2217">
        <v>3465</v>
      </c>
      <c r="AW2217" s="4">
        <v>42718</v>
      </c>
      <c r="BD2217">
        <v>4.5999999999999996</v>
      </c>
      <c r="BN2217" t="s">
        <v>74</v>
      </c>
    </row>
    <row r="2218" spans="1:66">
      <c r="A2218">
        <v>100695</v>
      </c>
      <c r="B2218" s="3" t="s">
        <v>227</v>
      </c>
      <c r="C2218" s="1">
        <v>43300101</v>
      </c>
      <c r="D2218" t="s">
        <v>67</v>
      </c>
      <c r="H2218" t="str">
        <f t="shared" si="217"/>
        <v>00721920155</v>
      </c>
      <c r="I2218" t="str">
        <f t="shared" si="217"/>
        <v>00721920155</v>
      </c>
      <c r="K2218" t="str">
        <f>""</f>
        <v/>
      </c>
      <c r="M2218" t="s">
        <v>68</v>
      </c>
      <c r="N2218" t="str">
        <f t="shared" si="218"/>
        <v>FOR</v>
      </c>
      <c r="O2218" t="s">
        <v>69</v>
      </c>
      <c r="P2218" s="3" t="s">
        <v>75</v>
      </c>
      <c r="Q2218">
        <v>2016</v>
      </c>
      <c r="R2218" s="2">
        <v>42479</v>
      </c>
      <c r="S2218" s="2">
        <v>42481</v>
      </c>
      <c r="T2218" s="2">
        <v>42480</v>
      </c>
      <c r="U2218" s="2">
        <v>42540</v>
      </c>
      <c r="V2218" t="s">
        <v>71</v>
      </c>
      <c r="W2218" t="str">
        <f>"          5840120279"</f>
        <v xml:space="preserve">          5840120279</v>
      </c>
      <c r="X2218">
        <v>119.6</v>
      </c>
      <c r="Y2218">
        <v>0</v>
      </c>
      <c r="Z2218" s="3">
        <v>115</v>
      </c>
      <c r="AA2218">
        <v>178</v>
      </c>
      <c r="AB2218" s="5">
        <v>20470</v>
      </c>
      <c r="AC2218">
        <v>115</v>
      </c>
      <c r="AD2218">
        <v>178</v>
      </c>
      <c r="AE2218" s="1">
        <v>20470</v>
      </c>
      <c r="AF2218">
        <v>4.5999999999999996</v>
      </c>
      <c r="AJ2218">
        <v>0</v>
      </c>
      <c r="AK2218">
        <v>0</v>
      </c>
      <c r="AL2218">
        <v>0</v>
      </c>
      <c r="AM2218">
        <v>119.6</v>
      </c>
      <c r="AN2218">
        <v>119.6</v>
      </c>
      <c r="AO2218">
        <v>119.6</v>
      </c>
      <c r="AP2218" s="2">
        <v>42746</v>
      </c>
      <c r="AQ2218" t="s">
        <v>72</v>
      </c>
      <c r="AR2218" t="s">
        <v>72</v>
      </c>
      <c r="AS2218">
        <v>3465</v>
      </c>
      <c r="AT2218" s="4">
        <v>42718</v>
      </c>
      <c r="AU2218" t="s">
        <v>73</v>
      </c>
      <c r="AV2218">
        <v>3465</v>
      </c>
      <c r="AW2218" s="4">
        <v>42718</v>
      </c>
      <c r="BD2218">
        <v>4.5999999999999996</v>
      </c>
      <c r="BN2218" t="s">
        <v>74</v>
      </c>
    </row>
    <row r="2219" spans="1:66">
      <c r="A2219">
        <v>100695</v>
      </c>
      <c r="B2219" s="3" t="s">
        <v>227</v>
      </c>
      <c r="C2219" s="1">
        <v>43300101</v>
      </c>
      <c r="D2219" t="s">
        <v>67</v>
      </c>
      <c r="H2219" t="str">
        <f t="shared" si="217"/>
        <v>00721920155</v>
      </c>
      <c r="I2219" t="str">
        <f t="shared" si="217"/>
        <v>00721920155</v>
      </c>
      <c r="K2219" t="str">
        <f>""</f>
        <v/>
      </c>
      <c r="M2219" t="s">
        <v>68</v>
      </c>
      <c r="N2219" t="str">
        <f t="shared" si="218"/>
        <v>FOR</v>
      </c>
      <c r="O2219" t="s">
        <v>69</v>
      </c>
      <c r="P2219" s="3" t="s">
        <v>75</v>
      </c>
      <c r="Q2219">
        <v>2016</v>
      </c>
      <c r="R2219" s="2">
        <v>42479</v>
      </c>
      <c r="S2219" s="2">
        <v>42481</v>
      </c>
      <c r="T2219" s="2">
        <v>42480</v>
      </c>
      <c r="U2219" s="2">
        <v>42540</v>
      </c>
      <c r="V2219" t="s">
        <v>71</v>
      </c>
      <c r="W2219" t="str">
        <f>"          5840120293"</f>
        <v xml:space="preserve">          5840120293</v>
      </c>
      <c r="X2219">
        <v>119.6</v>
      </c>
      <c r="Y2219">
        <v>0</v>
      </c>
      <c r="Z2219" s="3">
        <v>115</v>
      </c>
      <c r="AA2219">
        <v>178</v>
      </c>
      <c r="AB2219" s="5">
        <v>20470</v>
      </c>
      <c r="AC2219">
        <v>115</v>
      </c>
      <c r="AD2219">
        <v>178</v>
      </c>
      <c r="AE2219" s="1">
        <v>20470</v>
      </c>
      <c r="AF2219">
        <v>4.5999999999999996</v>
      </c>
      <c r="AJ2219">
        <v>0</v>
      </c>
      <c r="AK2219">
        <v>0</v>
      </c>
      <c r="AL2219">
        <v>0</v>
      </c>
      <c r="AM2219">
        <v>119.6</v>
      </c>
      <c r="AN2219">
        <v>119.6</v>
      </c>
      <c r="AO2219">
        <v>119.6</v>
      </c>
      <c r="AP2219" s="2">
        <v>42746</v>
      </c>
      <c r="AQ2219" t="s">
        <v>72</v>
      </c>
      <c r="AR2219" t="s">
        <v>72</v>
      </c>
      <c r="AS2219">
        <v>3465</v>
      </c>
      <c r="AT2219" s="4">
        <v>42718</v>
      </c>
      <c r="AU2219" t="s">
        <v>73</v>
      </c>
      <c r="AV2219">
        <v>3465</v>
      </c>
      <c r="AW2219" s="4">
        <v>42718</v>
      </c>
      <c r="BD2219">
        <v>4.5999999999999996</v>
      </c>
      <c r="BN2219" t="s">
        <v>74</v>
      </c>
    </row>
    <row r="2220" spans="1:66">
      <c r="A2220">
        <v>100695</v>
      </c>
      <c r="B2220" s="3" t="s">
        <v>227</v>
      </c>
      <c r="C2220" s="1">
        <v>43300101</v>
      </c>
      <c r="D2220" t="s">
        <v>67</v>
      </c>
      <c r="H2220" t="str">
        <f t="shared" si="217"/>
        <v>00721920155</v>
      </c>
      <c r="I2220" t="str">
        <f t="shared" si="217"/>
        <v>00721920155</v>
      </c>
      <c r="K2220" t="str">
        <f>""</f>
        <v/>
      </c>
      <c r="M2220" t="s">
        <v>68</v>
      </c>
      <c r="N2220" t="str">
        <f t="shared" si="218"/>
        <v>FOR</v>
      </c>
      <c r="O2220" t="s">
        <v>69</v>
      </c>
      <c r="P2220" s="3" t="s">
        <v>75</v>
      </c>
      <c r="Q2220">
        <v>2016</v>
      </c>
      <c r="R2220" s="2">
        <v>42479</v>
      </c>
      <c r="S2220" s="2">
        <v>42481</v>
      </c>
      <c r="T2220" s="2">
        <v>42480</v>
      </c>
      <c r="U2220" s="2">
        <v>42540</v>
      </c>
      <c r="V2220" t="s">
        <v>71</v>
      </c>
      <c r="W2220" t="str">
        <f>"          5840120319"</f>
        <v xml:space="preserve">          5840120319</v>
      </c>
      <c r="X2220">
        <v>119.6</v>
      </c>
      <c r="Y2220">
        <v>0</v>
      </c>
      <c r="Z2220" s="3">
        <v>115</v>
      </c>
      <c r="AA2220">
        <v>178</v>
      </c>
      <c r="AB2220" s="5">
        <v>20470</v>
      </c>
      <c r="AC2220">
        <v>115</v>
      </c>
      <c r="AD2220">
        <v>178</v>
      </c>
      <c r="AE2220" s="1">
        <v>20470</v>
      </c>
      <c r="AF2220">
        <v>4.5999999999999996</v>
      </c>
      <c r="AJ2220">
        <v>0</v>
      </c>
      <c r="AK2220">
        <v>0</v>
      </c>
      <c r="AL2220">
        <v>0</v>
      </c>
      <c r="AM2220">
        <v>119.6</v>
      </c>
      <c r="AN2220">
        <v>119.6</v>
      </c>
      <c r="AO2220">
        <v>119.6</v>
      </c>
      <c r="AP2220" s="2">
        <v>42746</v>
      </c>
      <c r="AQ2220" t="s">
        <v>72</v>
      </c>
      <c r="AR2220" t="s">
        <v>72</v>
      </c>
      <c r="AS2220">
        <v>3465</v>
      </c>
      <c r="AT2220" s="4">
        <v>42718</v>
      </c>
      <c r="AU2220" t="s">
        <v>73</v>
      </c>
      <c r="AV2220">
        <v>3465</v>
      </c>
      <c r="AW2220" s="4">
        <v>42718</v>
      </c>
      <c r="BD2220">
        <v>4.5999999999999996</v>
      </c>
      <c r="BN2220" t="s">
        <v>74</v>
      </c>
    </row>
    <row r="2221" spans="1:66">
      <c r="A2221">
        <v>100695</v>
      </c>
      <c r="B2221" s="3" t="s">
        <v>227</v>
      </c>
      <c r="C2221" s="1">
        <v>43300101</v>
      </c>
      <c r="D2221" t="s">
        <v>67</v>
      </c>
      <c r="H2221" t="str">
        <f t="shared" si="217"/>
        <v>00721920155</v>
      </c>
      <c r="I2221" t="str">
        <f t="shared" si="217"/>
        <v>00721920155</v>
      </c>
      <c r="K2221" t="str">
        <f>""</f>
        <v/>
      </c>
      <c r="M2221" t="s">
        <v>68</v>
      </c>
      <c r="N2221" t="str">
        <f t="shared" si="218"/>
        <v>FOR</v>
      </c>
      <c r="O2221" t="s">
        <v>69</v>
      </c>
      <c r="P2221" s="3" t="s">
        <v>75</v>
      </c>
      <c r="Q2221">
        <v>2016</v>
      </c>
      <c r="R2221" s="2">
        <v>42479</v>
      </c>
      <c r="S2221" s="2">
        <v>42481</v>
      </c>
      <c r="T2221" s="2">
        <v>42480</v>
      </c>
      <c r="U2221" s="2">
        <v>42540</v>
      </c>
      <c r="V2221" t="s">
        <v>71</v>
      </c>
      <c r="W2221" t="str">
        <f>"          5840120332"</f>
        <v xml:space="preserve">          5840120332</v>
      </c>
      <c r="X2221">
        <v>119.6</v>
      </c>
      <c r="Y2221">
        <v>0</v>
      </c>
      <c r="Z2221" s="3">
        <v>115</v>
      </c>
      <c r="AA2221">
        <v>178</v>
      </c>
      <c r="AB2221" s="5">
        <v>20470</v>
      </c>
      <c r="AC2221">
        <v>115</v>
      </c>
      <c r="AD2221">
        <v>178</v>
      </c>
      <c r="AE2221" s="1">
        <v>20470</v>
      </c>
      <c r="AF2221">
        <v>4.5999999999999996</v>
      </c>
      <c r="AJ2221">
        <v>0</v>
      </c>
      <c r="AK2221">
        <v>0</v>
      </c>
      <c r="AL2221">
        <v>0</v>
      </c>
      <c r="AM2221">
        <v>119.6</v>
      </c>
      <c r="AN2221">
        <v>119.6</v>
      </c>
      <c r="AO2221">
        <v>119.6</v>
      </c>
      <c r="AP2221" s="2">
        <v>42746</v>
      </c>
      <c r="AQ2221" t="s">
        <v>72</v>
      </c>
      <c r="AR2221" t="s">
        <v>72</v>
      </c>
      <c r="AS2221">
        <v>3465</v>
      </c>
      <c r="AT2221" s="4">
        <v>42718</v>
      </c>
      <c r="AU2221" t="s">
        <v>73</v>
      </c>
      <c r="AV2221">
        <v>3465</v>
      </c>
      <c r="AW2221" s="4">
        <v>42718</v>
      </c>
      <c r="BD2221">
        <v>4.5999999999999996</v>
      </c>
      <c r="BN2221" t="s">
        <v>74</v>
      </c>
    </row>
    <row r="2222" spans="1:66">
      <c r="A2222">
        <v>100695</v>
      </c>
      <c r="B2222" s="3" t="s">
        <v>227</v>
      </c>
      <c r="C2222" s="1">
        <v>43300101</v>
      </c>
      <c r="D2222" t="s">
        <v>67</v>
      </c>
      <c r="H2222" t="str">
        <f t="shared" si="217"/>
        <v>00721920155</v>
      </c>
      <c r="I2222" t="str">
        <f t="shared" si="217"/>
        <v>00721920155</v>
      </c>
      <c r="K2222" t="str">
        <f>""</f>
        <v/>
      </c>
      <c r="M2222" t="s">
        <v>68</v>
      </c>
      <c r="N2222" t="str">
        <f t="shared" si="218"/>
        <v>FOR</v>
      </c>
      <c r="O2222" t="s">
        <v>69</v>
      </c>
      <c r="P2222" s="3" t="s">
        <v>75</v>
      </c>
      <c r="Q2222">
        <v>2016</v>
      </c>
      <c r="R2222" s="2">
        <v>42482</v>
      </c>
      <c r="S2222" s="2">
        <v>42488</v>
      </c>
      <c r="T2222" s="2">
        <v>42486</v>
      </c>
      <c r="U2222" s="2">
        <v>42546</v>
      </c>
      <c r="V2222" t="s">
        <v>71</v>
      </c>
      <c r="W2222" t="str">
        <f>"          5840120571"</f>
        <v xml:space="preserve">          5840120571</v>
      </c>
      <c r="X2222">
        <v>119.6</v>
      </c>
      <c r="Y2222">
        <v>0</v>
      </c>
      <c r="Z2222" s="3">
        <v>115</v>
      </c>
      <c r="AA2222">
        <v>172</v>
      </c>
      <c r="AB2222" s="5">
        <v>19780</v>
      </c>
      <c r="AC2222">
        <v>115</v>
      </c>
      <c r="AD2222">
        <v>172</v>
      </c>
      <c r="AE2222" s="1">
        <v>19780</v>
      </c>
      <c r="AF2222">
        <v>4.5999999999999996</v>
      </c>
      <c r="AJ2222">
        <v>0</v>
      </c>
      <c r="AK2222">
        <v>0</v>
      </c>
      <c r="AL2222">
        <v>0</v>
      </c>
      <c r="AM2222">
        <v>119.6</v>
      </c>
      <c r="AN2222">
        <v>119.6</v>
      </c>
      <c r="AO2222">
        <v>119.6</v>
      </c>
      <c r="AP2222" s="2">
        <v>42746</v>
      </c>
      <c r="AQ2222" t="s">
        <v>72</v>
      </c>
      <c r="AR2222" t="s">
        <v>72</v>
      </c>
      <c r="AS2222">
        <v>3465</v>
      </c>
      <c r="AT2222" s="4">
        <v>42718</v>
      </c>
      <c r="AU2222" t="s">
        <v>73</v>
      </c>
      <c r="AV2222">
        <v>3465</v>
      </c>
      <c r="AW2222" s="4">
        <v>42718</v>
      </c>
      <c r="BD2222">
        <v>4.5999999999999996</v>
      </c>
      <c r="BN2222" t="s">
        <v>74</v>
      </c>
    </row>
    <row r="2223" spans="1:66">
      <c r="A2223">
        <v>100695</v>
      </c>
      <c r="B2223" s="3" t="s">
        <v>227</v>
      </c>
      <c r="C2223" s="1">
        <v>43300101</v>
      </c>
      <c r="D2223" t="s">
        <v>67</v>
      </c>
      <c r="H2223" t="str">
        <f t="shared" si="217"/>
        <v>00721920155</v>
      </c>
      <c r="I2223" t="str">
        <f t="shared" si="217"/>
        <v>00721920155</v>
      </c>
      <c r="K2223" t="str">
        <f>""</f>
        <v/>
      </c>
      <c r="M2223" t="s">
        <v>68</v>
      </c>
      <c r="N2223" t="str">
        <f t="shared" si="218"/>
        <v>FOR</v>
      </c>
      <c r="O2223" t="s">
        <v>69</v>
      </c>
      <c r="P2223" s="3" t="s">
        <v>75</v>
      </c>
      <c r="Q2223">
        <v>2016</v>
      </c>
      <c r="R2223" s="2">
        <v>42482</v>
      </c>
      <c r="S2223" s="2">
        <v>42488</v>
      </c>
      <c r="T2223" s="2">
        <v>42486</v>
      </c>
      <c r="U2223" s="2">
        <v>42546</v>
      </c>
      <c r="V2223" t="s">
        <v>71</v>
      </c>
      <c r="W2223" t="str">
        <f>"          5840120573"</f>
        <v xml:space="preserve">          5840120573</v>
      </c>
      <c r="X2223">
        <v>119.6</v>
      </c>
      <c r="Y2223">
        <v>0</v>
      </c>
      <c r="Z2223" s="3">
        <v>115</v>
      </c>
      <c r="AA2223">
        <v>172</v>
      </c>
      <c r="AB2223" s="5">
        <v>19780</v>
      </c>
      <c r="AC2223">
        <v>115</v>
      </c>
      <c r="AD2223">
        <v>172</v>
      </c>
      <c r="AE2223" s="1">
        <v>19780</v>
      </c>
      <c r="AF2223">
        <v>4.5999999999999996</v>
      </c>
      <c r="AJ2223">
        <v>0</v>
      </c>
      <c r="AK2223">
        <v>0</v>
      </c>
      <c r="AL2223">
        <v>0</v>
      </c>
      <c r="AM2223">
        <v>119.6</v>
      </c>
      <c r="AN2223">
        <v>119.6</v>
      </c>
      <c r="AO2223">
        <v>119.6</v>
      </c>
      <c r="AP2223" s="2">
        <v>42746</v>
      </c>
      <c r="AQ2223" t="s">
        <v>72</v>
      </c>
      <c r="AR2223" t="s">
        <v>72</v>
      </c>
      <c r="AS2223">
        <v>3465</v>
      </c>
      <c r="AT2223" s="4">
        <v>42718</v>
      </c>
      <c r="AU2223" t="s">
        <v>73</v>
      </c>
      <c r="AV2223">
        <v>3465</v>
      </c>
      <c r="AW2223" s="4">
        <v>42718</v>
      </c>
      <c r="BD2223">
        <v>4.5999999999999996</v>
      </c>
      <c r="BN2223" t="s">
        <v>74</v>
      </c>
    </row>
    <row r="2224" spans="1:66">
      <c r="A2224">
        <v>100695</v>
      </c>
      <c r="B2224" s="3" t="s">
        <v>227</v>
      </c>
      <c r="C2224" s="1">
        <v>43300101</v>
      </c>
      <c r="D2224" t="s">
        <v>67</v>
      </c>
      <c r="H2224" t="str">
        <f t="shared" si="217"/>
        <v>00721920155</v>
      </c>
      <c r="I2224" t="str">
        <f t="shared" si="217"/>
        <v>00721920155</v>
      </c>
      <c r="K2224" t="str">
        <f>""</f>
        <v/>
      </c>
      <c r="M2224" t="s">
        <v>68</v>
      </c>
      <c r="N2224" t="str">
        <f t="shared" si="218"/>
        <v>FOR</v>
      </c>
      <c r="O2224" t="s">
        <v>69</v>
      </c>
      <c r="P2224" s="3" t="s">
        <v>75</v>
      </c>
      <c r="Q2224">
        <v>2016</v>
      </c>
      <c r="R2224" s="2">
        <v>42482</v>
      </c>
      <c r="S2224" s="2">
        <v>42487</v>
      </c>
      <c r="T2224" s="2">
        <v>42486</v>
      </c>
      <c r="U2224" s="2">
        <v>42546</v>
      </c>
      <c r="V2224" t="s">
        <v>71</v>
      </c>
      <c r="W2224" t="str">
        <f>"          5840120574"</f>
        <v xml:space="preserve">          5840120574</v>
      </c>
      <c r="X2224">
        <v>119.6</v>
      </c>
      <c r="Y2224">
        <v>0</v>
      </c>
      <c r="Z2224" s="3">
        <v>115</v>
      </c>
      <c r="AA2224">
        <v>172</v>
      </c>
      <c r="AB2224" s="5">
        <v>19780</v>
      </c>
      <c r="AC2224">
        <v>115</v>
      </c>
      <c r="AD2224">
        <v>172</v>
      </c>
      <c r="AE2224" s="1">
        <v>19780</v>
      </c>
      <c r="AF2224">
        <v>4.5999999999999996</v>
      </c>
      <c r="AJ2224">
        <v>0</v>
      </c>
      <c r="AK2224">
        <v>0</v>
      </c>
      <c r="AL2224">
        <v>0</v>
      </c>
      <c r="AM2224">
        <v>119.6</v>
      </c>
      <c r="AN2224">
        <v>119.6</v>
      </c>
      <c r="AO2224">
        <v>119.6</v>
      </c>
      <c r="AP2224" s="2">
        <v>42746</v>
      </c>
      <c r="AQ2224" t="s">
        <v>72</v>
      </c>
      <c r="AR2224" t="s">
        <v>72</v>
      </c>
      <c r="AS2224">
        <v>3465</v>
      </c>
      <c r="AT2224" s="4">
        <v>42718</v>
      </c>
      <c r="AU2224" t="s">
        <v>73</v>
      </c>
      <c r="AV2224">
        <v>3465</v>
      </c>
      <c r="AW2224" s="4">
        <v>42718</v>
      </c>
      <c r="BD2224">
        <v>4.5999999999999996</v>
      </c>
      <c r="BN2224" t="s">
        <v>74</v>
      </c>
    </row>
    <row r="2225" spans="1:66" hidden="1">
      <c r="A2225">
        <v>100700</v>
      </c>
      <c r="B2225" s="3" t="s">
        <v>228</v>
      </c>
      <c r="C2225" s="1">
        <v>43300101</v>
      </c>
      <c r="D2225" t="s">
        <v>67</v>
      </c>
      <c r="H2225" t="str">
        <f t="shared" ref="H2225:H2256" si="219">"STFGPP58D22A783F"</f>
        <v>STFGPP58D22A783F</v>
      </c>
      <c r="I2225" t="str">
        <f t="shared" ref="I2225:I2256" si="220">"00766740625"</f>
        <v>00766740625</v>
      </c>
      <c r="K2225" t="str">
        <f>""</f>
        <v/>
      </c>
      <c r="M2225" t="s">
        <v>68</v>
      </c>
      <c r="N2225" t="str">
        <f t="shared" si="218"/>
        <v>FOR</v>
      </c>
      <c r="O2225" t="s">
        <v>69</v>
      </c>
      <c r="P2225" s="3" t="s">
        <v>70</v>
      </c>
      <c r="Q2225">
        <v>2015</v>
      </c>
      <c r="R2225" s="2">
        <v>42035</v>
      </c>
      <c r="S2225" s="2">
        <v>42040</v>
      </c>
      <c r="T2225" s="2">
        <v>42040</v>
      </c>
      <c r="U2225" s="2">
        <v>42100</v>
      </c>
      <c r="V2225" t="s">
        <v>71</v>
      </c>
      <c r="W2225" t="str">
        <f>"                  27"</f>
        <v xml:space="preserve">                  27</v>
      </c>
      <c r="X2225">
        <v>615.01</v>
      </c>
      <c r="Y2225">
        <v>0</v>
      </c>
      <c r="Z2225"/>
      <c r="AB2225"/>
      <c r="AC2225">
        <v>591.36</v>
      </c>
      <c r="AD2225">
        <v>308</v>
      </c>
      <c r="AE2225" s="1">
        <v>182138.88</v>
      </c>
      <c r="AF2225">
        <v>0</v>
      </c>
      <c r="AJ2225">
        <v>0</v>
      </c>
      <c r="AK2225">
        <v>0</v>
      </c>
      <c r="AL2225">
        <v>0</v>
      </c>
      <c r="AM2225">
        <v>0</v>
      </c>
      <c r="AN2225">
        <v>0</v>
      </c>
      <c r="AO2225">
        <v>0</v>
      </c>
      <c r="AP2225" s="2">
        <v>42746</v>
      </c>
      <c r="AQ2225" t="s">
        <v>72</v>
      </c>
      <c r="AR2225" t="s">
        <v>72</v>
      </c>
      <c r="AS2225">
        <v>316</v>
      </c>
      <c r="AT2225" s="4">
        <v>42408</v>
      </c>
      <c r="AU2225" t="s">
        <v>73</v>
      </c>
      <c r="AV2225">
        <v>316</v>
      </c>
      <c r="AW2225" s="4">
        <v>42408</v>
      </c>
      <c r="BD2225">
        <v>0</v>
      </c>
      <c r="BN2225" t="s">
        <v>74</v>
      </c>
    </row>
    <row r="2226" spans="1:66" hidden="1">
      <c r="A2226">
        <v>100700</v>
      </c>
      <c r="B2226" s="3" t="s">
        <v>228</v>
      </c>
      <c r="C2226" s="1">
        <v>43300101</v>
      </c>
      <c r="D2226" t="s">
        <v>67</v>
      </c>
      <c r="H2226" t="str">
        <f t="shared" si="219"/>
        <v>STFGPP58D22A783F</v>
      </c>
      <c r="I2226" t="str">
        <f t="shared" si="220"/>
        <v>00766740625</v>
      </c>
      <c r="K2226" t="str">
        <f>""</f>
        <v/>
      </c>
      <c r="M2226" t="s">
        <v>68</v>
      </c>
      <c r="N2226" t="str">
        <f t="shared" si="218"/>
        <v>FOR</v>
      </c>
      <c r="O2226" t="s">
        <v>69</v>
      </c>
      <c r="P2226" s="3" t="s">
        <v>70</v>
      </c>
      <c r="Q2226">
        <v>2015</v>
      </c>
      <c r="R2226" s="2">
        <v>42037</v>
      </c>
      <c r="S2226" s="2">
        <v>42040</v>
      </c>
      <c r="T2226" s="2">
        <v>42040</v>
      </c>
      <c r="U2226" s="2">
        <v>42100</v>
      </c>
      <c r="V2226" t="s">
        <v>71</v>
      </c>
      <c r="W2226" t="str">
        <f>"                  28"</f>
        <v xml:space="preserve">                  28</v>
      </c>
      <c r="X2226">
        <v>464.76</v>
      </c>
      <c r="Y2226">
        <v>0</v>
      </c>
      <c r="Z2226"/>
      <c r="AB2226"/>
      <c r="AC2226">
        <v>446.88</v>
      </c>
      <c r="AD2226">
        <v>308</v>
      </c>
      <c r="AE2226" s="1">
        <v>137639.04000000001</v>
      </c>
      <c r="AF2226">
        <v>0</v>
      </c>
      <c r="AJ2226">
        <v>0</v>
      </c>
      <c r="AK2226">
        <v>0</v>
      </c>
      <c r="AL2226">
        <v>0</v>
      </c>
      <c r="AM2226">
        <v>0</v>
      </c>
      <c r="AN2226">
        <v>0</v>
      </c>
      <c r="AO2226">
        <v>0</v>
      </c>
      <c r="AP2226" s="2">
        <v>42746</v>
      </c>
      <c r="AQ2226" t="s">
        <v>72</v>
      </c>
      <c r="AR2226" t="s">
        <v>72</v>
      </c>
      <c r="AS2226">
        <v>316</v>
      </c>
      <c r="AT2226" s="4">
        <v>42408</v>
      </c>
      <c r="AU2226" t="s">
        <v>73</v>
      </c>
      <c r="AV2226">
        <v>316</v>
      </c>
      <c r="AW2226" s="4">
        <v>42408</v>
      </c>
      <c r="BD2226">
        <v>0</v>
      </c>
      <c r="BN2226" t="s">
        <v>74</v>
      </c>
    </row>
    <row r="2227" spans="1:66" hidden="1">
      <c r="A2227">
        <v>100700</v>
      </c>
      <c r="B2227" s="3" t="s">
        <v>228</v>
      </c>
      <c r="C2227" s="1">
        <v>43300101</v>
      </c>
      <c r="D2227" t="s">
        <v>67</v>
      </c>
      <c r="H2227" t="str">
        <f t="shared" si="219"/>
        <v>STFGPP58D22A783F</v>
      </c>
      <c r="I2227" t="str">
        <f t="shared" si="220"/>
        <v>00766740625</v>
      </c>
      <c r="K2227" t="str">
        <f>""</f>
        <v/>
      </c>
      <c r="M2227" t="s">
        <v>68</v>
      </c>
      <c r="N2227" t="str">
        <f t="shared" si="218"/>
        <v>FOR</v>
      </c>
      <c r="O2227" t="s">
        <v>69</v>
      </c>
      <c r="P2227" s="3" t="s">
        <v>70</v>
      </c>
      <c r="Q2227">
        <v>2015</v>
      </c>
      <c r="R2227" s="2">
        <v>42037</v>
      </c>
      <c r="S2227" s="2">
        <v>42040</v>
      </c>
      <c r="T2227" s="2">
        <v>42040</v>
      </c>
      <c r="U2227" s="2">
        <v>42100</v>
      </c>
      <c r="V2227" t="s">
        <v>71</v>
      </c>
      <c r="W2227" t="str">
        <f>"                  29"</f>
        <v xml:space="preserve">                  29</v>
      </c>
      <c r="X2227">
        <v>297.64999999999998</v>
      </c>
      <c r="Y2227">
        <v>0</v>
      </c>
      <c r="Z2227"/>
      <c r="AB2227"/>
      <c r="AC2227">
        <v>286.2</v>
      </c>
      <c r="AD2227">
        <v>308</v>
      </c>
      <c r="AE2227" s="1">
        <v>88149.6</v>
      </c>
      <c r="AF2227">
        <v>0</v>
      </c>
      <c r="AJ2227">
        <v>0</v>
      </c>
      <c r="AK2227">
        <v>0</v>
      </c>
      <c r="AL2227">
        <v>0</v>
      </c>
      <c r="AM2227">
        <v>0</v>
      </c>
      <c r="AN2227">
        <v>0</v>
      </c>
      <c r="AO2227">
        <v>0</v>
      </c>
      <c r="AP2227" s="2">
        <v>42746</v>
      </c>
      <c r="AQ2227" t="s">
        <v>72</v>
      </c>
      <c r="AR2227" t="s">
        <v>72</v>
      </c>
      <c r="AS2227">
        <v>316</v>
      </c>
      <c r="AT2227" s="4">
        <v>42408</v>
      </c>
      <c r="AU2227" t="s">
        <v>73</v>
      </c>
      <c r="AV2227">
        <v>316</v>
      </c>
      <c r="AW2227" s="4">
        <v>42408</v>
      </c>
      <c r="BD2227">
        <v>0</v>
      </c>
      <c r="BN2227" t="s">
        <v>74</v>
      </c>
    </row>
    <row r="2228" spans="1:66" hidden="1">
      <c r="A2228">
        <v>100700</v>
      </c>
      <c r="B2228" s="3" t="s">
        <v>228</v>
      </c>
      <c r="C2228" s="1">
        <v>43300101</v>
      </c>
      <c r="D2228" t="s">
        <v>67</v>
      </c>
      <c r="H2228" t="str">
        <f t="shared" si="219"/>
        <v>STFGPP58D22A783F</v>
      </c>
      <c r="I2228" t="str">
        <f t="shared" si="220"/>
        <v>00766740625</v>
      </c>
      <c r="K2228" t="str">
        <f>""</f>
        <v/>
      </c>
      <c r="M2228" t="s">
        <v>68</v>
      </c>
      <c r="N2228" t="str">
        <f t="shared" si="218"/>
        <v>FOR</v>
      </c>
      <c r="O2228" t="s">
        <v>69</v>
      </c>
      <c r="P2228" s="3" t="s">
        <v>70</v>
      </c>
      <c r="Q2228">
        <v>2015</v>
      </c>
      <c r="R2228" s="2">
        <v>42058</v>
      </c>
      <c r="S2228" s="2">
        <v>42059</v>
      </c>
      <c r="T2228" s="2">
        <v>42059</v>
      </c>
      <c r="U2228" s="2">
        <v>42119</v>
      </c>
      <c r="V2228" t="s">
        <v>71</v>
      </c>
      <c r="W2228" t="str">
        <f>"                  54"</f>
        <v xml:space="preserve">                  54</v>
      </c>
      <c r="X2228">
        <v>345.95</v>
      </c>
      <c r="Y2228">
        <v>0</v>
      </c>
      <c r="Z2228"/>
      <c r="AB2228"/>
      <c r="AC2228">
        <v>332.64</v>
      </c>
      <c r="AD2228">
        <v>289</v>
      </c>
      <c r="AE2228" s="1">
        <v>96132.96</v>
      </c>
      <c r="AF2228">
        <v>0</v>
      </c>
      <c r="AJ2228">
        <v>0</v>
      </c>
      <c r="AK2228">
        <v>0</v>
      </c>
      <c r="AL2228">
        <v>0</v>
      </c>
      <c r="AM2228">
        <v>0</v>
      </c>
      <c r="AN2228">
        <v>0</v>
      </c>
      <c r="AO2228">
        <v>0</v>
      </c>
      <c r="AP2228" s="2">
        <v>42746</v>
      </c>
      <c r="AQ2228" t="s">
        <v>72</v>
      </c>
      <c r="AR2228" t="s">
        <v>72</v>
      </c>
      <c r="AS2228">
        <v>316</v>
      </c>
      <c r="AT2228" s="4">
        <v>42408</v>
      </c>
      <c r="AU2228" t="s">
        <v>73</v>
      </c>
      <c r="AV2228">
        <v>316</v>
      </c>
      <c r="AW2228" s="4">
        <v>42408</v>
      </c>
      <c r="BD2228">
        <v>0</v>
      </c>
      <c r="BN2228" t="s">
        <v>74</v>
      </c>
    </row>
    <row r="2229" spans="1:66" hidden="1">
      <c r="A2229">
        <v>100700</v>
      </c>
      <c r="B2229" s="3" t="s">
        <v>228</v>
      </c>
      <c r="C2229" s="1">
        <v>43300101</v>
      </c>
      <c r="D2229" t="s">
        <v>67</v>
      </c>
      <c r="H2229" t="str">
        <f t="shared" si="219"/>
        <v>STFGPP58D22A783F</v>
      </c>
      <c r="I2229" t="str">
        <f t="shared" si="220"/>
        <v>00766740625</v>
      </c>
      <c r="K2229" t="str">
        <f>""</f>
        <v/>
      </c>
      <c r="M2229" t="s">
        <v>68</v>
      </c>
      <c r="N2229" t="str">
        <f t="shared" si="218"/>
        <v>FOR</v>
      </c>
      <c r="O2229" t="s">
        <v>69</v>
      </c>
      <c r="P2229" s="3" t="s">
        <v>70</v>
      </c>
      <c r="Q2229">
        <v>2015</v>
      </c>
      <c r="R2229" s="2">
        <v>42062</v>
      </c>
      <c r="S2229" s="2">
        <v>42067</v>
      </c>
      <c r="T2229" s="2">
        <v>42067</v>
      </c>
      <c r="U2229" s="2">
        <v>42127</v>
      </c>
      <c r="V2229" t="s">
        <v>71</v>
      </c>
      <c r="W2229" t="str">
        <f>"                  65"</f>
        <v xml:space="preserve">                  65</v>
      </c>
      <c r="X2229">
        <v>116.48</v>
      </c>
      <c r="Y2229">
        <v>0</v>
      </c>
      <c r="Z2229"/>
      <c r="AB2229"/>
      <c r="AC2229">
        <v>112</v>
      </c>
      <c r="AD2229">
        <v>281</v>
      </c>
      <c r="AE2229" s="1">
        <v>31472</v>
      </c>
      <c r="AF2229">
        <v>0</v>
      </c>
      <c r="AJ2229">
        <v>0</v>
      </c>
      <c r="AK2229">
        <v>0</v>
      </c>
      <c r="AL2229">
        <v>0</v>
      </c>
      <c r="AM2229">
        <v>0</v>
      </c>
      <c r="AN2229">
        <v>0</v>
      </c>
      <c r="AO2229">
        <v>0</v>
      </c>
      <c r="AP2229" s="2">
        <v>42746</v>
      </c>
      <c r="AQ2229" t="s">
        <v>72</v>
      </c>
      <c r="AR2229" t="s">
        <v>72</v>
      </c>
      <c r="AS2229">
        <v>316</v>
      </c>
      <c r="AT2229" s="4">
        <v>42408</v>
      </c>
      <c r="AU2229" t="s">
        <v>73</v>
      </c>
      <c r="AV2229">
        <v>316</v>
      </c>
      <c r="AW2229" s="4">
        <v>42408</v>
      </c>
      <c r="BD2229">
        <v>0</v>
      </c>
      <c r="BN2229" t="s">
        <v>74</v>
      </c>
    </row>
    <row r="2230" spans="1:66" hidden="1">
      <c r="A2230">
        <v>100700</v>
      </c>
      <c r="B2230" s="3" t="s">
        <v>228</v>
      </c>
      <c r="C2230" s="1">
        <v>43300101</v>
      </c>
      <c r="D2230" t="s">
        <v>67</v>
      </c>
      <c r="H2230" t="str">
        <f t="shared" si="219"/>
        <v>STFGPP58D22A783F</v>
      </c>
      <c r="I2230" t="str">
        <f t="shared" si="220"/>
        <v>00766740625</v>
      </c>
      <c r="K2230" t="str">
        <f>""</f>
        <v/>
      </c>
      <c r="M2230" t="s">
        <v>68</v>
      </c>
      <c r="N2230" t="str">
        <f t="shared" si="218"/>
        <v>FOR</v>
      </c>
      <c r="O2230" t="s">
        <v>69</v>
      </c>
      <c r="P2230" s="3" t="s">
        <v>70</v>
      </c>
      <c r="Q2230">
        <v>2015</v>
      </c>
      <c r="R2230" s="2">
        <v>42062</v>
      </c>
      <c r="S2230" s="2">
        <v>42067</v>
      </c>
      <c r="T2230" s="2">
        <v>42067</v>
      </c>
      <c r="U2230" s="2">
        <v>42127</v>
      </c>
      <c r="V2230" t="s">
        <v>71</v>
      </c>
      <c r="W2230" t="str">
        <f>"                  66"</f>
        <v xml:space="preserve">                  66</v>
      </c>
      <c r="X2230">
        <v>297.64999999999998</v>
      </c>
      <c r="Y2230">
        <v>0</v>
      </c>
      <c r="Z2230"/>
      <c r="AB2230"/>
      <c r="AC2230">
        <v>286.2</v>
      </c>
      <c r="AD2230">
        <v>281</v>
      </c>
      <c r="AE2230" s="1">
        <v>80422.2</v>
      </c>
      <c r="AF2230">
        <v>0</v>
      </c>
      <c r="AJ2230">
        <v>0</v>
      </c>
      <c r="AK2230">
        <v>0</v>
      </c>
      <c r="AL2230">
        <v>0</v>
      </c>
      <c r="AM2230">
        <v>0</v>
      </c>
      <c r="AN2230">
        <v>0</v>
      </c>
      <c r="AO2230">
        <v>0</v>
      </c>
      <c r="AP2230" s="2">
        <v>42746</v>
      </c>
      <c r="AQ2230" t="s">
        <v>72</v>
      </c>
      <c r="AR2230" t="s">
        <v>72</v>
      </c>
      <c r="AS2230">
        <v>316</v>
      </c>
      <c r="AT2230" s="4">
        <v>42408</v>
      </c>
      <c r="AU2230" t="s">
        <v>73</v>
      </c>
      <c r="AV2230">
        <v>316</v>
      </c>
      <c r="AW2230" s="4">
        <v>42408</v>
      </c>
      <c r="BD2230">
        <v>0</v>
      </c>
      <c r="BN2230" t="s">
        <v>74</v>
      </c>
    </row>
    <row r="2231" spans="1:66" hidden="1">
      <c r="A2231">
        <v>100700</v>
      </c>
      <c r="B2231" s="3" t="s">
        <v>228</v>
      </c>
      <c r="C2231" s="1">
        <v>43300101</v>
      </c>
      <c r="D2231" t="s">
        <v>67</v>
      </c>
      <c r="H2231" t="str">
        <f t="shared" si="219"/>
        <v>STFGPP58D22A783F</v>
      </c>
      <c r="I2231" t="str">
        <f t="shared" si="220"/>
        <v>00766740625</v>
      </c>
      <c r="K2231" t="str">
        <f>""</f>
        <v/>
      </c>
      <c r="M2231" t="s">
        <v>68</v>
      </c>
      <c r="N2231" t="str">
        <f t="shared" si="218"/>
        <v>FOR</v>
      </c>
      <c r="O2231" t="s">
        <v>69</v>
      </c>
      <c r="P2231" s="3" t="s">
        <v>70</v>
      </c>
      <c r="Q2231">
        <v>2015</v>
      </c>
      <c r="R2231" s="2">
        <v>42062</v>
      </c>
      <c r="S2231" s="2">
        <v>42067</v>
      </c>
      <c r="T2231" s="2">
        <v>42067</v>
      </c>
      <c r="U2231" s="2">
        <v>42127</v>
      </c>
      <c r="V2231" t="s">
        <v>71</v>
      </c>
      <c r="W2231" t="str">
        <f>"                  67"</f>
        <v xml:space="preserve">                  67</v>
      </c>
      <c r="X2231">
        <v>462.09</v>
      </c>
      <c r="Y2231">
        <v>0</v>
      </c>
      <c r="Z2231"/>
      <c r="AB2231"/>
      <c r="AC2231">
        <v>444.32</v>
      </c>
      <c r="AD2231">
        <v>281</v>
      </c>
      <c r="AE2231" s="1">
        <v>124853.92</v>
      </c>
      <c r="AF2231">
        <v>0</v>
      </c>
      <c r="AJ2231">
        <v>0</v>
      </c>
      <c r="AK2231">
        <v>0</v>
      </c>
      <c r="AL2231">
        <v>0</v>
      </c>
      <c r="AM2231">
        <v>0</v>
      </c>
      <c r="AN2231">
        <v>0</v>
      </c>
      <c r="AO2231">
        <v>0</v>
      </c>
      <c r="AP2231" s="2">
        <v>42746</v>
      </c>
      <c r="AQ2231" t="s">
        <v>72</v>
      </c>
      <c r="AR2231" t="s">
        <v>72</v>
      </c>
      <c r="AS2231">
        <v>316</v>
      </c>
      <c r="AT2231" s="4">
        <v>42408</v>
      </c>
      <c r="AU2231" t="s">
        <v>73</v>
      </c>
      <c r="AV2231">
        <v>316</v>
      </c>
      <c r="AW2231" s="4">
        <v>42408</v>
      </c>
      <c r="BD2231">
        <v>0</v>
      </c>
      <c r="BN2231" t="s">
        <v>74</v>
      </c>
    </row>
    <row r="2232" spans="1:66" hidden="1">
      <c r="A2232">
        <v>100700</v>
      </c>
      <c r="B2232" s="3" t="s">
        <v>228</v>
      </c>
      <c r="C2232" s="1">
        <v>43300101</v>
      </c>
      <c r="D2232" t="s">
        <v>67</v>
      </c>
      <c r="H2232" t="str">
        <f t="shared" si="219"/>
        <v>STFGPP58D22A783F</v>
      </c>
      <c r="I2232" t="str">
        <f t="shared" si="220"/>
        <v>00766740625</v>
      </c>
      <c r="K2232" t="str">
        <f>""</f>
        <v/>
      </c>
      <c r="M2232" t="s">
        <v>68</v>
      </c>
      <c r="N2232" t="str">
        <f t="shared" si="218"/>
        <v>FOR</v>
      </c>
      <c r="O2232" t="s">
        <v>69</v>
      </c>
      <c r="P2232" s="3" t="s">
        <v>70</v>
      </c>
      <c r="Q2232">
        <v>2015</v>
      </c>
      <c r="R2232" s="2">
        <v>42063</v>
      </c>
      <c r="S2232" s="2">
        <v>42067</v>
      </c>
      <c r="T2232" s="2">
        <v>42067</v>
      </c>
      <c r="U2232" s="2">
        <v>42127</v>
      </c>
      <c r="V2232" t="s">
        <v>71</v>
      </c>
      <c r="W2232" t="str">
        <f>"                  68"</f>
        <v xml:space="preserve">                  68</v>
      </c>
      <c r="X2232">
        <v>65.88</v>
      </c>
      <c r="Y2232">
        <v>0</v>
      </c>
      <c r="Z2232"/>
      <c r="AB2232"/>
      <c r="AC2232">
        <v>54</v>
      </c>
      <c r="AD2232">
        <v>281</v>
      </c>
      <c r="AE2232" s="1">
        <v>15174</v>
      </c>
      <c r="AF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 s="2">
        <v>42746</v>
      </c>
      <c r="AQ2232" t="s">
        <v>72</v>
      </c>
      <c r="AR2232" t="s">
        <v>72</v>
      </c>
      <c r="AS2232">
        <v>316</v>
      </c>
      <c r="AT2232" s="4">
        <v>42408</v>
      </c>
      <c r="AU2232" t="s">
        <v>73</v>
      </c>
      <c r="AV2232">
        <v>316</v>
      </c>
      <c r="AW2232" s="4">
        <v>42408</v>
      </c>
      <c r="BD2232">
        <v>0</v>
      </c>
      <c r="BN2232" t="s">
        <v>74</v>
      </c>
    </row>
    <row r="2233" spans="1:66" hidden="1">
      <c r="A2233">
        <v>100700</v>
      </c>
      <c r="B2233" s="3" t="s">
        <v>228</v>
      </c>
      <c r="C2233" s="1">
        <v>43300101</v>
      </c>
      <c r="D2233" t="s">
        <v>67</v>
      </c>
      <c r="H2233" t="str">
        <f t="shared" si="219"/>
        <v>STFGPP58D22A783F</v>
      </c>
      <c r="I2233" t="str">
        <f t="shared" si="220"/>
        <v>00766740625</v>
      </c>
      <c r="K2233" t="str">
        <f>""</f>
        <v/>
      </c>
      <c r="M2233" t="s">
        <v>68</v>
      </c>
      <c r="N2233" t="str">
        <f t="shared" si="218"/>
        <v>FOR</v>
      </c>
      <c r="O2233" t="s">
        <v>69</v>
      </c>
      <c r="P2233" s="3" t="s">
        <v>70</v>
      </c>
      <c r="Q2233">
        <v>2015</v>
      </c>
      <c r="R2233" s="2">
        <v>42063</v>
      </c>
      <c r="S2233" s="2">
        <v>42067</v>
      </c>
      <c r="T2233" s="2">
        <v>42067</v>
      </c>
      <c r="U2233" s="2">
        <v>42127</v>
      </c>
      <c r="V2233" t="s">
        <v>71</v>
      </c>
      <c r="W2233" t="str">
        <f>"                  69"</f>
        <v xml:space="preserve">                  69</v>
      </c>
      <c r="X2233">
        <v>259.45999999999998</v>
      </c>
      <c r="Y2233">
        <v>0</v>
      </c>
      <c r="Z2233"/>
      <c r="AB2233"/>
      <c r="AC2233">
        <v>249.48</v>
      </c>
      <c r="AD2233">
        <v>281</v>
      </c>
      <c r="AE2233" s="1">
        <v>70103.88</v>
      </c>
      <c r="AF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 s="2">
        <v>42746</v>
      </c>
      <c r="AQ2233" t="s">
        <v>72</v>
      </c>
      <c r="AR2233" t="s">
        <v>72</v>
      </c>
      <c r="AS2233">
        <v>316</v>
      </c>
      <c r="AT2233" s="4">
        <v>42408</v>
      </c>
      <c r="AU2233" t="s">
        <v>73</v>
      </c>
      <c r="AV2233">
        <v>316</v>
      </c>
      <c r="AW2233" s="4">
        <v>42408</v>
      </c>
      <c r="BD2233">
        <v>0</v>
      </c>
      <c r="BN2233" t="s">
        <v>74</v>
      </c>
    </row>
    <row r="2234" spans="1:66" hidden="1">
      <c r="A2234">
        <v>100700</v>
      </c>
      <c r="B2234" s="3" t="s">
        <v>228</v>
      </c>
      <c r="C2234" s="1">
        <v>43300101</v>
      </c>
      <c r="D2234" t="s">
        <v>67</v>
      </c>
      <c r="H2234" t="str">
        <f t="shared" si="219"/>
        <v>STFGPP58D22A783F</v>
      </c>
      <c r="I2234" t="str">
        <f t="shared" si="220"/>
        <v>00766740625</v>
      </c>
      <c r="K2234" t="str">
        <f>""</f>
        <v/>
      </c>
      <c r="M2234" t="s">
        <v>68</v>
      </c>
      <c r="N2234" t="str">
        <f t="shared" si="218"/>
        <v>FOR</v>
      </c>
      <c r="O2234" t="s">
        <v>69</v>
      </c>
      <c r="P2234" s="3" t="s">
        <v>70</v>
      </c>
      <c r="Q2234">
        <v>2015</v>
      </c>
      <c r="R2234" s="2">
        <v>42063</v>
      </c>
      <c r="S2234" s="2">
        <v>42067</v>
      </c>
      <c r="T2234" s="2">
        <v>42067</v>
      </c>
      <c r="U2234" s="2">
        <v>42127</v>
      </c>
      <c r="V2234" t="s">
        <v>71</v>
      </c>
      <c r="W2234" t="str">
        <f>"                  70"</f>
        <v xml:space="preserve">                  70</v>
      </c>
      <c r="X2234">
        <v>41.18</v>
      </c>
      <c r="Y2234">
        <v>0</v>
      </c>
      <c r="Z2234"/>
      <c r="AB2234"/>
      <c r="AC2234">
        <v>39.6</v>
      </c>
      <c r="AD2234">
        <v>281</v>
      </c>
      <c r="AE2234" s="1">
        <v>11127.6</v>
      </c>
      <c r="AF2234">
        <v>0</v>
      </c>
      <c r="AJ2234">
        <v>0</v>
      </c>
      <c r="AK2234">
        <v>0</v>
      </c>
      <c r="AL2234">
        <v>0</v>
      </c>
      <c r="AM2234">
        <v>0</v>
      </c>
      <c r="AN2234">
        <v>0</v>
      </c>
      <c r="AO2234">
        <v>0</v>
      </c>
      <c r="AP2234" s="2">
        <v>42746</v>
      </c>
      <c r="AQ2234" t="s">
        <v>72</v>
      </c>
      <c r="AR2234" t="s">
        <v>72</v>
      </c>
      <c r="AS2234">
        <v>316</v>
      </c>
      <c r="AT2234" s="4">
        <v>42408</v>
      </c>
      <c r="AU2234" t="s">
        <v>73</v>
      </c>
      <c r="AV2234">
        <v>316</v>
      </c>
      <c r="AW2234" s="4">
        <v>42408</v>
      </c>
      <c r="BD2234">
        <v>0</v>
      </c>
      <c r="BN2234" t="s">
        <v>74</v>
      </c>
    </row>
    <row r="2235" spans="1:66" hidden="1">
      <c r="A2235">
        <v>100700</v>
      </c>
      <c r="B2235" s="3" t="s">
        <v>228</v>
      </c>
      <c r="C2235" s="1">
        <v>43300101</v>
      </c>
      <c r="D2235" t="s">
        <v>67</v>
      </c>
      <c r="H2235" t="str">
        <f t="shared" si="219"/>
        <v>STFGPP58D22A783F</v>
      </c>
      <c r="I2235" t="str">
        <f t="shared" si="220"/>
        <v>00766740625</v>
      </c>
      <c r="K2235" t="str">
        <f>""</f>
        <v/>
      </c>
      <c r="M2235" t="s">
        <v>68</v>
      </c>
      <c r="N2235" t="str">
        <f t="shared" si="218"/>
        <v>FOR</v>
      </c>
      <c r="O2235" t="s">
        <v>69</v>
      </c>
      <c r="P2235" s="3" t="s">
        <v>70</v>
      </c>
      <c r="Q2235">
        <v>2015</v>
      </c>
      <c r="R2235" s="2">
        <v>42080</v>
      </c>
      <c r="S2235" s="2">
        <v>42081</v>
      </c>
      <c r="T2235" s="2">
        <v>42081</v>
      </c>
      <c r="U2235" s="2">
        <v>42141</v>
      </c>
      <c r="V2235" t="s">
        <v>71</v>
      </c>
      <c r="W2235" t="str">
        <f>"                  95"</f>
        <v xml:space="preserve">                  95</v>
      </c>
      <c r="X2235">
        <v>320.32</v>
      </c>
      <c r="Y2235">
        <v>0</v>
      </c>
      <c r="Z2235"/>
      <c r="AB2235"/>
      <c r="AC2235">
        <v>308</v>
      </c>
      <c r="AD2235">
        <v>274</v>
      </c>
      <c r="AE2235" s="1">
        <v>84392</v>
      </c>
      <c r="AF2235">
        <v>0</v>
      </c>
      <c r="AJ2235">
        <v>0</v>
      </c>
      <c r="AK2235">
        <v>0</v>
      </c>
      <c r="AL2235">
        <v>0</v>
      </c>
      <c r="AM2235">
        <v>0</v>
      </c>
      <c r="AN2235">
        <v>0</v>
      </c>
      <c r="AO2235">
        <v>0</v>
      </c>
      <c r="AP2235" s="2">
        <v>42746</v>
      </c>
      <c r="AQ2235" t="s">
        <v>72</v>
      </c>
      <c r="AR2235" t="s">
        <v>72</v>
      </c>
      <c r="AS2235">
        <v>383</v>
      </c>
      <c r="AT2235" s="4">
        <v>42415</v>
      </c>
      <c r="AU2235" t="s">
        <v>73</v>
      </c>
      <c r="AV2235">
        <v>383</v>
      </c>
      <c r="AW2235" s="4">
        <v>42415</v>
      </c>
      <c r="BD2235">
        <v>0</v>
      </c>
      <c r="BN2235" t="s">
        <v>74</v>
      </c>
    </row>
    <row r="2236" spans="1:66" hidden="1">
      <c r="A2236">
        <v>100700</v>
      </c>
      <c r="B2236" s="3" t="s">
        <v>228</v>
      </c>
      <c r="C2236" s="1">
        <v>43300101</v>
      </c>
      <c r="D2236" t="s">
        <v>67</v>
      </c>
      <c r="H2236" t="str">
        <f t="shared" si="219"/>
        <v>STFGPP58D22A783F</v>
      </c>
      <c r="I2236" t="str">
        <f t="shared" si="220"/>
        <v>00766740625</v>
      </c>
      <c r="K2236" t="str">
        <f>""</f>
        <v/>
      </c>
      <c r="M2236" t="s">
        <v>68</v>
      </c>
      <c r="N2236" t="str">
        <f t="shared" si="218"/>
        <v>FOR</v>
      </c>
      <c r="O2236" t="s">
        <v>69</v>
      </c>
      <c r="P2236" s="3" t="s">
        <v>70</v>
      </c>
      <c r="Q2236">
        <v>2015</v>
      </c>
      <c r="R2236" s="2">
        <v>42080</v>
      </c>
      <c r="S2236" s="2">
        <v>42081</v>
      </c>
      <c r="T2236" s="2">
        <v>42081</v>
      </c>
      <c r="U2236" s="2">
        <v>42141</v>
      </c>
      <c r="V2236" t="s">
        <v>71</v>
      </c>
      <c r="W2236" t="str">
        <f>"                  96"</f>
        <v xml:space="preserve">                  96</v>
      </c>
      <c r="X2236">
        <v>71.37</v>
      </c>
      <c r="Y2236">
        <v>0</v>
      </c>
      <c r="Z2236"/>
      <c r="AB2236"/>
      <c r="AC2236">
        <v>58.5</v>
      </c>
      <c r="AD2236">
        <v>274</v>
      </c>
      <c r="AE2236" s="1">
        <v>16029</v>
      </c>
      <c r="AF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0</v>
      </c>
      <c r="AP2236" s="2">
        <v>42746</v>
      </c>
      <c r="AQ2236" t="s">
        <v>72</v>
      </c>
      <c r="AR2236" t="s">
        <v>72</v>
      </c>
      <c r="AS2236">
        <v>383</v>
      </c>
      <c r="AT2236" s="4">
        <v>42415</v>
      </c>
      <c r="AU2236" t="s">
        <v>73</v>
      </c>
      <c r="AV2236">
        <v>383</v>
      </c>
      <c r="AW2236" s="4">
        <v>42415</v>
      </c>
      <c r="BD2236">
        <v>0</v>
      </c>
      <c r="BN2236" t="s">
        <v>74</v>
      </c>
    </row>
    <row r="2237" spans="1:66" hidden="1">
      <c r="A2237">
        <v>100700</v>
      </c>
      <c r="B2237" s="3" t="s">
        <v>228</v>
      </c>
      <c r="C2237" s="1">
        <v>43300101</v>
      </c>
      <c r="D2237" t="s">
        <v>67</v>
      </c>
      <c r="H2237" t="str">
        <f t="shared" si="219"/>
        <v>STFGPP58D22A783F</v>
      </c>
      <c r="I2237" t="str">
        <f t="shared" si="220"/>
        <v>00766740625</v>
      </c>
      <c r="K2237" t="str">
        <f>""</f>
        <v/>
      </c>
      <c r="M2237" t="s">
        <v>68</v>
      </c>
      <c r="N2237" t="str">
        <f t="shared" si="218"/>
        <v>FOR</v>
      </c>
      <c r="O2237" t="s">
        <v>69</v>
      </c>
      <c r="P2237" s="3" t="s">
        <v>70</v>
      </c>
      <c r="Q2237">
        <v>2015</v>
      </c>
      <c r="R2237" s="2">
        <v>42087</v>
      </c>
      <c r="S2237" s="2">
        <v>42089</v>
      </c>
      <c r="T2237" s="2">
        <v>42089</v>
      </c>
      <c r="U2237" s="2">
        <v>42149</v>
      </c>
      <c r="V2237" t="s">
        <v>71</v>
      </c>
      <c r="W2237" t="str">
        <f>"                 103"</f>
        <v xml:space="preserve">                 103</v>
      </c>
      <c r="X2237">
        <v>122</v>
      </c>
      <c r="Y2237">
        <v>0</v>
      </c>
      <c r="Z2237"/>
      <c r="AB2237"/>
      <c r="AC2237">
        <v>100</v>
      </c>
      <c r="AD2237">
        <v>259</v>
      </c>
      <c r="AE2237" s="1">
        <v>25900</v>
      </c>
      <c r="AF2237">
        <v>0</v>
      </c>
      <c r="AJ2237">
        <v>0</v>
      </c>
      <c r="AK2237">
        <v>0</v>
      </c>
      <c r="AL2237">
        <v>0</v>
      </c>
      <c r="AM2237">
        <v>0</v>
      </c>
      <c r="AN2237">
        <v>0</v>
      </c>
      <c r="AO2237">
        <v>0</v>
      </c>
      <c r="AP2237" s="2">
        <v>42746</v>
      </c>
      <c r="AQ2237" t="s">
        <v>72</v>
      </c>
      <c r="AR2237" t="s">
        <v>72</v>
      </c>
      <c r="AS2237">
        <v>316</v>
      </c>
      <c r="AT2237" s="4">
        <v>42408</v>
      </c>
      <c r="AU2237" t="s">
        <v>73</v>
      </c>
      <c r="AV2237">
        <v>316</v>
      </c>
      <c r="AW2237" s="4">
        <v>42408</v>
      </c>
      <c r="BD2237">
        <v>0</v>
      </c>
      <c r="BN2237" t="s">
        <v>74</v>
      </c>
    </row>
    <row r="2238" spans="1:66" hidden="1">
      <c r="A2238">
        <v>100700</v>
      </c>
      <c r="B2238" s="3" t="s">
        <v>228</v>
      </c>
      <c r="C2238" s="1">
        <v>43300101</v>
      </c>
      <c r="D2238" t="s">
        <v>67</v>
      </c>
      <c r="H2238" t="str">
        <f t="shared" si="219"/>
        <v>STFGPP58D22A783F</v>
      </c>
      <c r="I2238" t="str">
        <f t="shared" si="220"/>
        <v>00766740625</v>
      </c>
      <c r="K2238" t="str">
        <f>""</f>
        <v/>
      </c>
      <c r="M2238" t="s">
        <v>68</v>
      </c>
      <c r="N2238" t="str">
        <f t="shared" si="218"/>
        <v>FOR</v>
      </c>
      <c r="O2238" t="s">
        <v>69</v>
      </c>
      <c r="P2238" s="3" t="s">
        <v>70</v>
      </c>
      <c r="Q2238">
        <v>2015</v>
      </c>
      <c r="R2238" s="2">
        <v>42087</v>
      </c>
      <c r="S2238" s="2">
        <v>42089</v>
      </c>
      <c r="T2238" s="2">
        <v>42089</v>
      </c>
      <c r="U2238" s="2">
        <v>42149</v>
      </c>
      <c r="V2238" t="s">
        <v>71</v>
      </c>
      <c r="W2238" t="str">
        <f>"                 104"</f>
        <v xml:space="preserve">                 104</v>
      </c>
      <c r="X2238">
        <v>36.6</v>
      </c>
      <c r="Y2238">
        <v>0</v>
      </c>
      <c r="Z2238"/>
      <c r="AB2238"/>
      <c r="AC2238">
        <v>30</v>
      </c>
      <c r="AD2238">
        <v>259</v>
      </c>
      <c r="AE2238" s="1">
        <v>7770</v>
      </c>
      <c r="AF2238">
        <v>0</v>
      </c>
      <c r="AJ2238">
        <v>0</v>
      </c>
      <c r="AK2238">
        <v>0</v>
      </c>
      <c r="AL2238">
        <v>0</v>
      </c>
      <c r="AM2238">
        <v>0</v>
      </c>
      <c r="AN2238">
        <v>0</v>
      </c>
      <c r="AO2238">
        <v>0</v>
      </c>
      <c r="AP2238" s="2">
        <v>42746</v>
      </c>
      <c r="AQ2238" t="s">
        <v>72</v>
      </c>
      <c r="AR2238" t="s">
        <v>72</v>
      </c>
      <c r="AS2238">
        <v>316</v>
      </c>
      <c r="AT2238" s="4">
        <v>42408</v>
      </c>
      <c r="AU2238" t="s">
        <v>73</v>
      </c>
      <c r="AV2238">
        <v>316</v>
      </c>
      <c r="AW2238" s="4">
        <v>42408</v>
      </c>
      <c r="BD2238">
        <v>0</v>
      </c>
      <c r="BN2238" t="s">
        <v>74</v>
      </c>
    </row>
    <row r="2239" spans="1:66" hidden="1">
      <c r="A2239">
        <v>100700</v>
      </c>
      <c r="B2239" s="3" t="s">
        <v>228</v>
      </c>
      <c r="C2239" s="1">
        <v>43300101</v>
      </c>
      <c r="D2239" t="s">
        <v>67</v>
      </c>
      <c r="H2239" t="str">
        <f t="shared" si="219"/>
        <v>STFGPP58D22A783F</v>
      </c>
      <c r="I2239" t="str">
        <f t="shared" si="220"/>
        <v>00766740625</v>
      </c>
      <c r="K2239" t="str">
        <f>""</f>
        <v/>
      </c>
      <c r="M2239" t="s">
        <v>68</v>
      </c>
      <c r="N2239" t="str">
        <f t="shared" si="218"/>
        <v>FOR</v>
      </c>
      <c r="O2239" t="s">
        <v>69</v>
      </c>
      <c r="P2239" s="3" t="s">
        <v>70</v>
      </c>
      <c r="Q2239">
        <v>2015</v>
      </c>
      <c r="R2239" s="2">
        <v>42093</v>
      </c>
      <c r="S2239" s="2">
        <v>42094</v>
      </c>
      <c r="T2239" s="2">
        <v>42094</v>
      </c>
      <c r="U2239" s="2">
        <v>42154</v>
      </c>
      <c r="V2239" t="s">
        <v>71</v>
      </c>
      <c r="W2239" t="str">
        <f>"                 113"</f>
        <v xml:space="preserve">                 113</v>
      </c>
      <c r="X2239">
        <v>480.48</v>
      </c>
      <c r="Y2239">
        <v>0</v>
      </c>
      <c r="Z2239"/>
      <c r="AB2239"/>
      <c r="AC2239">
        <v>462</v>
      </c>
      <c r="AD2239">
        <v>261</v>
      </c>
      <c r="AE2239" s="1">
        <v>120582</v>
      </c>
      <c r="AF2239">
        <v>0</v>
      </c>
      <c r="AJ2239">
        <v>0</v>
      </c>
      <c r="AK2239">
        <v>0</v>
      </c>
      <c r="AL2239">
        <v>0</v>
      </c>
      <c r="AM2239">
        <v>0</v>
      </c>
      <c r="AN2239">
        <v>0</v>
      </c>
      <c r="AO2239">
        <v>0</v>
      </c>
      <c r="AP2239" s="2">
        <v>42746</v>
      </c>
      <c r="AQ2239" t="s">
        <v>72</v>
      </c>
      <c r="AR2239" t="s">
        <v>72</v>
      </c>
      <c r="AS2239">
        <v>383</v>
      </c>
      <c r="AT2239" s="4">
        <v>42415</v>
      </c>
      <c r="AU2239" t="s">
        <v>73</v>
      </c>
      <c r="AV2239">
        <v>383</v>
      </c>
      <c r="AW2239" s="4">
        <v>42415</v>
      </c>
      <c r="BD2239">
        <v>0</v>
      </c>
      <c r="BN2239" t="s">
        <v>74</v>
      </c>
    </row>
    <row r="2240" spans="1:66" hidden="1">
      <c r="A2240">
        <v>100700</v>
      </c>
      <c r="B2240" s="3" t="s">
        <v>228</v>
      </c>
      <c r="C2240" s="1">
        <v>43300101</v>
      </c>
      <c r="D2240" t="s">
        <v>67</v>
      </c>
      <c r="H2240" t="str">
        <f t="shared" si="219"/>
        <v>STFGPP58D22A783F</v>
      </c>
      <c r="I2240" t="str">
        <f t="shared" si="220"/>
        <v>00766740625</v>
      </c>
      <c r="K2240" t="str">
        <f>""</f>
        <v/>
      </c>
      <c r="M2240" t="s">
        <v>68</v>
      </c>
      <c r="N2240" t="str">
        <f t="shared" si="218"/>
        <v>FOR</v>
      </c>
      <c r="O2240" t="s">
        <v>69</v>
      </c>
      <c r="P2240" s="3" t="s">
        <v>70</v>
      </c>
      <c r="Q2240">
        <v>2015</v>
      </c>
      <c r="R2240" s="2">
        <v>42093</v>
      </c>
      <c r="S2240" s="2">
        <v>42094</v>
      </c>
      <c r="T2240" s="2">
        <v>42094</v>
      </c>
      <c r="U2240" s="2">
        <v>42154</v>
      </c>
      <c r="V2240" t="s">
        <v>71</v>
      </c>
      <c r="W2240" t="str">
        <f>"                 114"</f>
        <v xml:space="preserve">                 114</v>
      </c>
      <c r="X2240">
        <v>10.3</v>
      </c>
      <c r="Y2240">
        <v>0</v>
      </c>
      <c r="Z2240"/>
      <c r="AB2240"/>
      <c r="AC2240">
        <v>9.9</v>
      </c>
      <c r="AD2240">
        <v>261</v>
      </c>
      <c r="AE2240" s="1">
        <v>2583.9</v>
      </c>
      <c r="AF2240">
        <v>0</v>
      </c>
      <c r="AJ2240">
        <v>0</v>
      </c>
      <c r="AK2240">
        <v>0</v>
      </c>
      <c r="AL2240">
        <v>0</v>
      </c>
      <c r="AM2240">
        <v>0</v>
      </c>
      <c r="AN2240">
        <v>0</v>
      </c>
      <c r="AO2240">
        <v>0</v>
      </c>
      <c r="AP2240" s="2">
        <v>42746</v>
      </c>
      <c r="AQ2240" t="s">
        <v>72</v>
      </c>
      <c r="AR2240" t="s">
        <v>72</v>
      </c>
      <c r="AS2240">
        <v>383</v>
      </c>
      <c r="AT2240" s="4">
        <v>42415</v>
      </c>
      <c r="AU2240" t="s">
        <v>73</v>
      </c>
      <c r="AV2240">
        <v>383</v>
      </c>
      <c r="AW2240" s="4">
        <v>42415</v>
      </c>
      <c r="BD2240">
        <v>0</v>
      </c>
      <c r="BN2240" t="s">
        <v>74</v>
      </c>
    </row>
    <row r="2241" spans="1:66" hidden="1">
      <c r="A2241">
        <v>100700</v>
      </c>
      <c r="B2241" s="3" t="s">
        <v>228</v>
      </c>
      <c r="C2241" s="1">
        <v>43300101</v>
      </c>
      <c r="D2241" t="s">
        <v>67</v>
      </c>
      <c r="H2241" t="str">
        <f t="shared" si="219"/>
        <v>STFGPP58D22A783F</v>
      </c>
      <c r="I2241" t="str">
        <f t="shared" si="220"/>
        <v>00766740625</v>
      </c>
      <c r="K2241" t="str">
        <f>""</f>
        <v/>
      </c>
      <c r="M2241" t="s">
        <v>68</v>
      </c>
      <c r="N2241" t="str">
        <f t="shared" si="218"/>
        <v>FOR</v>
      </c>
      <c r="O2241" t="s">
        <v>69</v>
      </c>
      <c r="P2241" s="3" t="s">
        <v>70</v>
      </c>
      <c r="Q2241">
        <v>2015</v>
      </c>
      <c r="R2241" s="2">
        <v>42093</v>
      </c>
      <c r="S2241" s="2">
        <v>42094</v>
      </c>
      <c r="T2241" s="2">
        <v>42094</v>
      </c>
      <c r="U2241" s="2">
        <v>42154</v>
      </c>
      <c r="V2241" t="s">
        <v>71</v>
      </c>
      <c r="W2241" t="str">
        <f>"                 115"</f>
        <v xml:space="preserve">                 115</v>
      </c>
      <c r="X2241">
        <v>396.86</v>
      </c>
      <c r="Y2241">
        <v>0</v>
      </c>
      <c r="Z2241"/>
      <c r="AB2241"/>
      <c r="AC2241">
        <v>381.6</v>
      </c>
      <c r="AD2241">
        <v>261</v>
      </c>
      <c r="AE2241" s="1">
        <v>99597.6</v>
      </c>
      <c r="AF2241">
        <v>0</v>
      </c>
      <c r="AJ2241">
        <v>0</v>
      </c>
      <c r="AK2241">
        <v>0</v>
      </c>
      <c r="AL2241">
        <v>0</v>
      </c>
      <c r="AM2241">
        <v>0</v>
      </c>
      <c r="AN2241">
        <v>0</v>
      </c>
      <c r="AO2241">
        <v>0</v>
      </c>
      <c r="AP2241" s="2">
        <v>42746</v>
      </c>
      <c r="AQ2241" t="s">
        <v>72</v>
      </c>
      <c r="AR2241" t="s">
        <v>72</v>
      </c>
      <c r="AS2241">
        <v>383</v>
      </c>
      <c r="AT2241" s="4">
        <v>42415</v>
      </c>
      <c r="AU2241" t="s">
        <v>73</v>
      </c>
      <c r="AV2241">
        <v>383</v>
      </c>
      <c r="AW2241" s="4">
        <v>42415</v>
      </c>
      <c r="BD2241">
        <v>0</v>
      </c>
      <c r="BN2241" t="s">
        <v>74</v>
      </c>
    </row>
    <row r="2242" spans="1:66" hidden="1">
      <c r="A2242">
        <v>100700</v>
      </c>
      <c r="B2242" s="3" t="s">
        <v>228</v>
      </c>
      <c r="C2242" s="1">
        <v>43300101</v>
      </c>
      <c r="D2242" t="s">
        <v>67</v>
      </c>
      <c r="H2242" t="str">
        <f t="shared" si="219"/>
        <v>STFGPP58D22A783F</v>
      </c>
      <c r="I2242" t="str">
        <f t="shared" si="220"/>
        <v>00766740625</v>
      </c>
      <c r="K2242" t="str">
        <f>""</f>
        <v/>
      </c>
      <c r="M2242" t="s">
        <v>68</v>
      </c>
      <c r="N2242" t="str">
        <f t="shared" si="218"/>
        <v>FOR</v>
      </c>
      <c r="O2242" t="s">
        <v>69</v>
      </c>
      <c r="P2242" s="3" t="s">
        <v>70</v>
      </c>
      <c r="Q2242">
        <v>2015</v>
      </c>
      <c r="R2242" s="2">
        <v>42093</v>
      </c>
      <c r="S2242" s="2">
        <v>42094</v>
      </c>
      <c r="T2242" s="2">
        <v>42094</v>
      </c>
      <c r="U2242" s="2">
        <v>42154</v>
      </c>
      <c r="V2242" t="s">
        <v>71</v>
      </c>
      <c r="W2242" t="str">
        <f>"                 116"</f>
        <v xml:space="preserve">                 116</v>
      </c>
      <c r="X2242">
        <v>478.98</v>
      </c>
      <c r="Y2242">
        <v>0</v>
      </c>
      <c r="Z2242"/>
      <c r="AB2242"/>
      <c r="AC2242">
        <v>460.56</v>
      </c>
      <c r="AD2242">
        <v>261</v>
      </c>
      <c r="AE2242" s="1">
        <v>120206.16</v>
      </c>
      <c r="AF2242">
        <v>0</v>
      </c>
      <c r="AJ2242">
        <v>0</v>
      </c>
      <c r="AK2242">
        <v>0</v>
      </c>
      <c r="AL2242">
        <v>0</v>
      </c>
      <c r="AM2242">
        <v>0</v>
      </c>
      <c r="AN2242">
        <v>0</v>
      </c>
      <c r="AO2242">
        <v>0</v>
      </c>
      <c r="AP2242" s="2">
        <v>42746</v>
      </c>
      <c r="AQ2242" t="s">
        <v>72</v>
      </c>
      <c r="AR2242" t="s">
        <v>72</v>
      </c>
      <c r="AS2242">
        <v>383</v>
      </c>
      <c r="AT2242" s="4">
        <v>42415</v>
      </c>
      <c r="AU2242" t="s">
        <v>73</v>
      </c>
      <c r="AV2242">
        <v>383</v>
      </c>
      <c r="AW2242" s="4">
        <v>42415</v>
      </c>
      <c r="BD2242">
        <v>0</v>
      </c>
      <c r="BN2242" t="s">
        <v>74</v>
      </c>
    </row>
    <row r="2243" spans="1:66" hidden="1">
      <c r="A2243">
        <v>100700</v>
      </c>
      <c r="B2243" s="3" t="s">
        <v>228</v>
      </c>
      <c r="C2243" s="1">
        <v>43300101</v>
      </c>
      <c r="D2243" t="s">
        <v>67</v>
      </c>
      <c r="H2243" t="str">
        <f t="shared" si="219"/>
        <v>STFGPP58D22A783F</v>
      </c>
      <c r="I2243" t="str">
        <f t="shared" si="220"/>
        <v>00766740625</v>
      </c>
      <c r="K2243" t="str">
        <f>""</f>
        <v/>
      </c>
      <c r="M2243" t="s">
        <v>68</v>
      </c>
      <c r="N2243" t="str">
        <f t="shared" si="218"/>
        <v>FOR</v>
      </c>
      <c r="O2243" t="s">
        <v>69</v>
      </c>
      <c r="P2243" s="3" t="s">
        <v>75</v>
      </c>
      <c r="Q2243">
        <v>2015</v>
      </c>
      <c r="R2243" s="2">
        <v>42137</v>
      </c>
      <c r="S2243" s="2">
        <v>42158</v>
      </c>
      <c r="T2243" s="2">
        <v>42138</v>
      </c>
      <c r="U2243" s="2">
        <v>42198</v>
      </c>
      <c r="V2243" t="s">
        <v>71</v>
      </c>
      <c r="W2243" t="str">
        <f>"               138/E"</f>
        <v xml:space="preserve">               138/E</v>
      </c>
      <c r="X2243">
        <v>221.02</v>
      </c>
      <c r="Y2243">
        <v>0</v>
      </c>
      <c r="Z2243"/>
      <c r="AB2243"/>
      <c r="AC2243">
        <v>212.52</v>
      </c>
      <c r="AD2243">
        <v>378</v>
      </c>
      <c r="AE2243" s="1">
        <v>80332.56</v>
      </c>
      <c r="AF2243">
        <v>0</v>
      </c>
      <c r="AJ2243">
        <v>0</v>
      </c>
      <c r="AK2243">
        <v>0</v>
      </c>
      <c r="AL2243">
        <v>0</v>
      </c>
      <c r="AM2243">
        <v>0</v>
      </c>
      <c r="AN2243">
        <v>0</v>
      </c>
      <c r="AO2243">
        <v>0</v>
      </c>
      <c r="AP2243" s="2">
        <v>42746</v>
      </c>
      <c r="AQ2243" t="s">
        <v>72</v>
      </c>
      <c r="AR2243" t="s">
        <v>72</v>
      </c>
      <c r="AS2243">
        <v>1887</v>
      </c>
      <c r="AT2243" s="4">
        <v>42576</v>
      </c>
      <c r="AU2243" t="s">
        <v>73</v>
      </c>
      <c r="AV2243">
        <v>1887</v>
      </c>
      <c r="AW2243" s="4">
        <v>42576</v>
      </c>
      <c r="BD2243">
        <v>0</v>
      </c>
      <c r="BN2243" t="s">
        <v>74</v>
      </c>
    </row>
    <row r="2244" spans="1:66">
      <c r="A2244">
        <v>100700</v>
      </c>
      <c r="B2244" s="3" t="s">
        <v>228</v>
      </c>
      <c r="C2244" s="1">
        <v>43300101</v>
      </c>
      <c r="D2244" t="s">
        <v>67</v>
      </c>
      <c r="H2244" t="str">
        <f t="shared" si="219"/>
        <v>STFGPP58D22A783F</v>
      </c>
      <c r="I2244" t="str">
        <f t="shared" si="220"/>
        <v>00766740625</v>
      </c>
      <c r="K2244" t="str">
        <f>""</f>
        <v/>
      </c>
      <c r="M2244" t="s">
        <v>68</v>
      </c>
      <c r="N2244" t="str">
        <f t="shared" si="218"/>
        <v>FOR</v>
      </c>
      <c r="O2244" t="s">
        <v>69</v>
      </c>
      <c r="P2244" s="3" t="s">
        <v>75</v>
      </c>
      <c r="Q2244">
        <v>2015</v>
      </c>
      <c r="R2244" s="2">
        <v>42338</v>
      </c>
      <c r="S2244" s="2">
        <v>42353</v>
      </c>
      <c r="T2244" s="2">
        <v>42350</v>
      </c>
      <c r="U2244" s="2">
        <v>42410</v>
      </c>
      <c r="V2244" t="s">
        <v>71</v>
      </c>
      <c r="W2244" t="str">
        <f>"               474/E"</f>
        <v xml:space="preserve">               474/E</v>
      </c>
      <c r="X2244">
        <v>396.86</v>
      </c>
      <c r="Y2244">
        <v>0</v>
      </c>
      <c r="Z2244" s="3">
        <v>381.6</v>
      </c>
      <c r="AA2244">
        <v>274</v>
      </c>
      <c r="AB2244" s="5">
        <v>104558.39999999999</v>
      </c>
      <c r="AC2244">
        <v>381.6</v>
      </c>
      <c r="AD2244">
        <v>274</v>
      </c>
      <c r="AE2244" s="1">
        <v>104558.39999999999</v>
      </c>
      <c r="AF2244">
        <v>0</v>
      </c>
      <c r="AJ2244">
        <v>0</v>
      </c>
      <c r="AK2244">
        <v>0</v>
      </c>
      <c r="AL2244">
        <v>0</v>
      </c>
      <c r="AM2244">
        <v>0</v>
      </c>
      <c r="AN2244">
        <v>0</v>
      </c>
      <c r="AO2244">
        <v>0</v>
      </c>
      <c r="AP2244" s="2">
        <v>42746</v>
      </c>
      <c r="AQ2244" t="s">
        <v>72</v>
      </c>
      <c r="AR2244" t="s">
        <v>72</v>
      </c>
      <c r="AS2244">
        <v>3056</v>
      </c>
      <c r="AT2244" s="4">
        <v>42684</v>
      </c>
      <c r="AU2244" t="s">
        <v>73</v>
      </c>
      <c r="AV2244">
        <v>3056</v>
      </c>
      <c r="AW2244" s="4">
        <v>42684</v>
      </c>
      <c r="BD2244">
        <v>0</v>
      </c>
      <c r="BN2244" t="s">
        <v>74</v>
      </c>
    </row>
    <row r="2245" spans="1:66">
      <c r="A2245">
        <v>100700</v>
      </c>
      <c r="B2245" s="3" t="s">
        <v>228</v>
      </c>
      <c r="C2245" s="1">
        <v>43300101</v>
      </c>
      <c r="D2245" t="s">
        <v>67</v>
      </c>
      <c r="H2245" t="str">
        <f t="shared" si="219"/>
        <v>STFGPP58D22A783F</v>
      </c>
      <c r="I2245" t="str">
        <f t="shared" si="220"/>
        <v>00766740625</v>
      </c>
      <c r="K2245" t="str">
        <f>""</f>
        <v/>
      </c>
      <c r="M2245" t="s">
        <v>68</v>
      </c>
      <c r="N2245" t="str">
        <f t="shared" si="218"/>
        <v>FOR</v>
      </c>
      <c r="O2245" t="s">
        <v>69</v>
      </c>
      <c r="P2245" s="3" t="s">
        <v>75</v>
      </c>
      <c r="Q2245">
        <v>2015</v>
      </c>
      <c r="R2245" s="2">
        <v>42362</v>
      </c>
      <c r="S2245" s="2">
        <v>42444</v>
      </c>
      <c r="T2245" s="2">
        <v>42440</v>
      </c>
      <c r="U2245" s="2">
        <v>42500</v>
      </c>
      <c r="V2245" t="s">
        <v>71</v>
      </c>
      <c r="W2245" t="str">
        <f>"               515/E"</f>
        <v xml:space="preserve">               515/E</v>
      </c>
      <c r="X2245">
        <v>46.59</v>
      </c>
      <c r="Y2245">
        <v>0</v>
      </c>
      <c r="Z2245" s="3">
        <v>44.8</v>
      </c>
      <c r="AA2245">
        <v>184</v>
      </c>
      <c r="AB2245" s="5">
        <v>8243.2000000000007</v>
      </c>
      <c r="AC2245">
        <v>44.8</v>
      </c>
      <c r="AD2245">
        <v>184</v>
      </c>
      <c r="AE2245" s="1">
        <v>8243.2000000000007</v>
      </c>
      <c r="AF2245">
        <v>0</v>
      </c>
      <c r="AJ2245">
        <v>0</v>
      </c>
      <c r="AK2245">
        <v>0</v>
      </c>
      <c r="AL2245">
        <v>0</v>
      </c>
      <c r="AM2245">
        <v>0</v>
      </c>
      <c r="AN2245">
        <v>46.59</v>
      </c>
      <c r="AO2245">
        <v>0</v>
      </c>
      <c r="AP2245" s="2">
        <v>42746</v>
      </c>
      <c r="AQ2245" t="s">
        <v>72</v>
      </c>
      <c r="AR2245" t="s">
        <v>72</v>
      </c>
      <c r="AS2245">
        <v>3056</v>
      </c>
      <c r="AT2245" s="4">
        <v>42684</v>
      </c>
      <c r="AU2245" t="s">
        <v>73</v>
      </c>
      <c r="AV2245">
        <v>3056</v>
      </c>
      <c r="AW2245" s="4">
        <v>42684</v>
      </c>
      <c r="BD2245">
        <v>0</v>
      </c>
      <c r="BN2245" t="s">
        <v>74</v>
      </c>
    </row>
    <row r="2246" spans="1:66" hidden="1">
      <c r="A2246">
        <v>100700</v>
      </c>
      <c r="B2246" s="3" t="s">
        <v>228</v>
      </c>
      <c r="C2246" s="1">
        <v>43300101</v>
      </c>
      <c r="D2246" t="s">
        <v>67</v>
      </c>
      <c r="H2246" t="str">
        <f t="shared" si="219"/>
        <v>STFGPP58D22A783F</v>
      </c>
      <c r="I2246" t="str">
        <f t="shared" si="220"/>
        <v>00766740625</v>
      </c>
      <c r="K2246" t="str">
        <f>""</f>
        <v/>
      </c>
      <c r="M2246" t="s">
        <v>68</v>
      </c>
      <c r="N2246" t="str">
        <f t="shared" si="218"/>
        <v>FOR</v>
      </c>
      <c r="O2246" t="s">
        <v>69</v>
      </c>
      <c r="P2246" s="3" t="s">
        <v>75</v>
      </c>
      <c r="Q2246">
        <v>2015</v>
      </c>
      <c r="R2246" s="2">
        <v>42117</v>
      </c>
      <c r="S2246" s="2">
        <v>42142</v>
      </c>
      <c r="T2246" s="2">
        <v>42137</v>
      </c>
      <c r="U2246" s="2">
        <v>42197</v>
      </c>
      <c r="V2246" t="s">
        <v>71</v>
      </c>
      <c r="W2246" t="str">
        <f>"              135/EL"</f>
        <v xml:space="preserve">              135/EL</v>
      </c>
      <c r="X2246">
        <v>122</v>
      </c>
      <c r="Y2246">
        <v>0</v>
      </c>
      <c r="Z2246"/>
      <c r="AB2246"/>
      <c r="AC2246">
        <v>100</v>
      </c>
      <c r="AD2246">
        <v>219</v>
      </c>
      <c r="AE2246" s="1">
        <v>21900</v>
      </c>
      <c r="AF2246">
        <v>0</v>
      </c>
      <c r="AJ2246">
        <v>0</v>
      </c>
      <c r="AK2246">
        <v>0</v>
      </c>
      <c r="AL2246">
        <v>0</v>
      </c>
      <c r="AM2246">
        <v>0</v>
      </c>
      <c r="AN2246">
        <v>0</v>
      </c>
      <c r="AO2246">
        <v>0</v>
      </c>
      <c r="AP2246" s="2">
        <v>42746</v>
      </c>
      <c r="AQ2246" t="s">
        <v>72</v>
      </c>
      <c r="AR2246" t="s">
        <v>72</v>
      </c>
      <c r="AS2246">
        <v>428</v>
      </c>
      <c r="AT2246" s="4">
        <v>42416</v>
      </c>
      <c r="AU2246" t="s">
        <v>73</v>
      </c>
      <c r="AV2246">
        <v>428</v>
      </c>
      <c r="AW2246" s="4">
        <v>42416</v>
      </c>
      <c r="BD2246">
        <v>0</v>
      </c>
      <c r="BN2246" t="s">
        <v>74</v>
      </c>
    </row>
    <row r="2247" spans="1:66" hidden="1">
      <c r="A2247">
        <v>100700</v>
      </c>
      <c r="B2247" s="3" t="s">
        <v>228</v>
      </c>
      <c r="C2247" s="1">
        <v>43300101</v>
      </c>
      <c r="D2247" t="s">
        <v>67</v>
      </c>
      <c r="H2247" t="str">
        <f t="shared" si="219"/>
        <v>STFGPP58D22A783F</v>
      </c>
      <c r="I2247" t="str">
        <f t="shared" si="220"/>
        <v>00766740625</v>
      </c>
      <c r="K2247" t="str">
        <f>""</f>
        <v/>
      </c>
      <c r="M2247" t="s">
        <v>68</v>
      </c>
      <c r="N2247" t="str">
        <f t="shared" si="218"/>
        <v>FOR</v>
      </c>
      <c r="O2247" t="s">
        <v>69</v>
      </c>
      <c r="P2247" s="3" t="s">
        <v>75</v>
      </c>
      <c r="Q2247">
        <v>2015</v>
      </c>
      <c r="R2247" s="2">
        <v>42117</v>
      </c>
      <c r="S2247" s="2">
        <v>42123</v>
      </c>
      <c r="T2247" s="2">
        <v>42123</v>
      </c>
      <c r="U2247" s="2">
        <v>42183</v>
      </c>
      <c r="V2247" t="s">
        <v>71</v>
      </c>
      <c r="W2247" t="str">
        <f>"              136/EL"</f>
        <v xml:space="preserve">              136/EL</v>
      </c>
      <c r="X2247">
        <v>93.18</v>
      </c>
      <c r="Y2247">
        <v>0</v>
      </c>
      <c r="Z2247"/>
      <c r="AB2247"/>
      <c r="AC2247">
        <v>89.6</v>
      </c>
      <c r="AD2247">
        <v>248</v>
      </c>
      <c r="AE2247" s="1">
        <v>22220.799999999999</v>
      </c>
      <c r="AF2247">
        <v>0</v>
      </c>
      <c r="AJ2247">
        <v>0</v>
      </c>
      <c r="AK2247">
        <v>0</v>
      </c>
      <c r="AL2247">
        <v>0</v>
      </c>
      <c r="AM2247">
        <v>0</v>
      </c>
      <c r="AN2247">
        <v>0</v>
      </c>
      <c r="AO2247">
        <v>0</v>
      </c>
      <c r="AP2247" s="2">
        <v>42746</v>
      </c>
      <c r="AQ2247" t="s">
        <v>72</v>
      </c>
      <c r="AR2247" t="s">
        <v>72</v>
      </c>
      <c r="AS2247">
        <v>641</v>
      </c>
      <c r="AT2247" s="4">
        <v>42431</v>
      </c>
      <c r="AU2247" t="s">
        <v>73</v>
      </c>
      <c r="AV2247">
        <v>641</v>
      </c>
      <c r="AW2247" s="4">
        <v>42431</v>
      </c>
      <c r="BD2247">
        <v>0</v>
      </c>
      <c r="BN2247" t="s">
        <v>74</v>
      </c>
    </row>
    <row r="2248" spans="1:66" hidden="1">
      <c r="A2248">
        <v>100700</v>
      </c>
      <c r="B2248" s="3" t="s">
        <v>228</v>
      </c>
      <c r="C2248" s="1">
        <v>43300101</v>
      </c>
      <c r="D2248" t="s">
        <v>67</v>
      </c>
      <c r="H2248" t="str">
        <f t="shared" si="219"/>
        <v>STFGPP58D22A783F</v>
      </c>
      <c r="I2248" t="str">
        <f t="shared" si="220"/>
        <v>00766740625</v>
      </c>
      <c r="K2248" t="str">
        <f>""</f>
        <v/>
      </c>
      <c r="M2248" t="s">
        <v>68</v>
      </c>
      <c r="N2248" t="str">
        <f t="shared" si="218"/>
        <v>FOR</v>
      </c>
      <c r="O2248" t="s">
        <v>69</v>
      </c>
      <c r="P2248" s="3" t="s">
        <v>75</v>
      </c>
      <c r="Q2248">
        <v>2015</v>
      </c>
      <c r="R2248" s="2">
        <v>42117</v>
      </c>
      <c r="S2248" s="2">
        <v>42123</v>
      </c>
      <c r="T2248" s="2">
        <v>42123</v>
      </c>
      <c r="U2248" s="2">
        <v>42183</v>
      </c>
      <c r="V2248" t="s">
        <v>71</v>
      </c>
      <c r="W2248" t="str">
        <f>"              137/EL"</f>
        <v xml:space="preserve">              137/EL</v>
      </c>
      <c r="X2248">
        <v>109.8</v>
      </c>
      <c r="Y2248">
        <v>0</v>
      </c>
      <c r="Z2248"/>
      <c r="AB2248"/>
      <c r="AC2248">
        <v>90</v>
      </c>
      <c r="AD2248">
        <v>248</v>
      </c>
      <c r="AE2248" s="1">
        <v>22320</v>
      </c>
      <c r="AF2248">
        <v>0</v>
      </c>
      <c r="AJ2248">
        <v>0</v>
      </c>
      <c r="AK2248">
        <v>0</v>
      </c>
      <c r="AL2248">
        <v>0</v>
      </c>
      <c r="AM2248">
        <v>0</v>
      </c>
      <c r="AN2248">
        <v>0</v>
      </c>
      <c r="AO2248">
        <v>0</v>
      </c>
      <c r="AP2248" s="2">
        <v>42746</v>
      </c>
      <c r="AQ2248" t="s">
        <v>72</v>
      </c>
      <c r="AR2248" t="s">
        <v>72</v>
      </c>
      <c r="AS2248">
        <v>641</v>
      </c>
      <c r="AT2248" s="4">
        <v>42431</v>
      </c>
      <c r="AU2248" t="s">
        <v>73</v>
      </c>
      <c r="AV2248">
        <v>641</v>
      </c>
      <c r="AW2248" s="4">
        <v>42431</v>
      </c>
      <c r="BD2248">
        <v>0</v>
      </c>
      <c r="BN2248" t="s">
        <v>74</v>
      </c>
    </row>
    <row r="2249" spans="1:66" hidden="1">
      <c r="A2249">
        <v>100700</v>
      </c>
      <c r="B2249" s="3" t="s">
        <v>228</v>
      </c>
      <c r="C2249" s="1">
        <v>43300101</v>
      </c>
      <c r="D2249" t="s">
        <v>67</v>
      </c>
      <c r="H2249" t="str">
        <f t="shared" si="219"/>
        <v>STFGPP58D22A783F</v>
      </c>
      <c r="I2249" t="str">
        <f t="shared" si="220"/>
        <v>00766740625</v>
      </c>
      <c r="K2249" t="str">
        <f>""</f>
        <v/>
      </c>
      <c r="M2249" t="s">
        <v>68</v>
      </c>
      <c r="N2249" t="str">
        <f t="shared" si="218"/>
        <v>FOR</v>
      </c>
      <c r="O2249" t="s">
        <v>69</v>
      </c>
      <c r="P2249" s="3" t="s">
        <v>75</v>
      </c>
      <c r="Q2249">
        <v>2015</v>
      </c>
      <c r="R2249" s="2">
        <v>42137</v>
      </c>
      <c r="S2249" s="2">
        <v>42318</v>
      </c>
      <c r="T2249" s="2">
        <v>42317</v>
      </c>
      <c r="U2249" s="2">
        <v>42377</v>
      </c>
      <c r="V2249" t="s">
        <v>71</v>
      </c>
      <c r="W2249" t="str">
        <f>"              138/EL"</f>
        <v xml:space="preserve">              138/EL</v>
      </c>
      <c r="X2249">
        <v>221.02</v>
      </c>
      <c r="Y2249">
        <v>0</v>
      </c>
      <c r="Z2249"/>
      <c r="AB2249"/>
      <c r="AC2249">
        <v>212.52</v>
      </c>
      <c r="AD2249">
        <v>75</v>
      </c>
      <c r="AE2249" s="1">
        <v>15939</v>
      </c>
      <c r="AF2249">
        <v>0</v>
      </c>
      <c r="AJ2249">
        <v>0</v>
      </c>
      <c r="AK2249">
        <v>0</v>
      </c>
      <c r="AL2249">
        <v>0</v>
      </c>
      <c r="AM2249">
        <v>0</v>
      </c>
      <c r="AN2249">
        <v>0</v>
      </c>
      <c r="AO2249">
        <v>0</v>
      </c>
      <c r="AP2249" s="2">
        <v>42746</v>
      </c>
      <c r="AQ2249" t="s">
        <v>72</v>
      </c>
      <c r="AR2249" t="s">
        <v>72</v>
      </c>
      <c r="AS2249">
        <v>794</v>
      </c>
      <c r="AT2249" s="4">
        <v>42452</v>
      </c>
      <c r="AU2249" t="s">
        <v>73</v>
      </c>
      <c r="AV2249">
        <v>794</v>
      </c>
      <c r="AW2249" s="4">
        <v>42452</v>
      </c>
      <c r="BD2249">
        <v>0</v>
      </c>
      <c r="BN2249" t="s">
        <v>74</v>
      </c>
    </row>
    <row r="2250" spans="1:66" hidden="1">
      <c r="A2250">
        <v>100700</v>
      </c>
      <c r="B2250" s="3" t="s">
        <v>228</v>
      </c>
      <c r="C2250" s="1">
        <v>43300101</v>
      </c>
      <c r="D2250" t="s">
        <v>67</v>
      </c>
      <c r="H2250" t="str">
        <f t="shared" si="219"/>
        <v>STFGPP58D22A783F</v>
      </c>
      <c r="I2250" t="str">
        <f t="shared" si="220"/>
        <v>00766740625</v>
      </c>
      <c r="K2250" t="str">
        <f>""</f>
        <v/>
      </c>
      <c r="M2250" t="s">
        <v>68</v>
      </c>
      <c r="N2250" t="str">
        <f t="shared" si="218"/>
        <v>FOR</v>
      </c>
      <c r="O2250" t="s">
        <v>69</v>
      </c>
      <c r="P2250" s="3" t="s">
        <v>75</v>
      </c>
      <c r="Q2250">
        <v>2015</v>
      </c>
      <c r="R2250" s="2">
        <v>42124</v>
      </c>
      <c r="S2250" s="2">
        <v>42160</v>
      </c>
      <c r="T2250" s="2">
        <v>42149</v>
      </c>
      <c r="U2250" s="2">
        <v>42209</v>
      </c>
      <c r="V2250" t="s">
        <v>71</v>
      </c>
      <c r="W2250" t="str">
        <f>"              149/EL"</f>
        <v xml:space="preserve">              149/EL</v>
      </c>
      <c r="X2250">
        <v>317.12</v>
      </c>
      <c r="Y2250">
        <v>0</v>
      </c>
      <c r="Z2250"/>
      <c r="AB2250"/>
      <c r="AC2250">
        <v>304.92</v>
      </c>
      <c r="AD2250">
        <v>222</v>
      </c>
      <c r="AE2250" s="1">
        <v>67692.240000000005</v>
      </c>
      <c r="AF2250">
        <v>0</v>
      </c>
      <c r="AJ2250">
        <v>0</v>
      </c>
      <c r="AK2250">
        <v>0</v>
      </c>
      <c r="AL2250">
        <v>0</v>
      </c>
      <c r="AM2250">
        <v>0</v>
      </c>
      <c r="AN2250">
        <v>0</v>
      </c>
      <c r="AO2250">
        <v>0</v>
      </c>
      <c r="AP2250" s="2">
        <v>42746</v>
      </c>
      <c r="AQ2250" t="s">
        <v>72</v>
      </c>
      <c r="AR2250" t="s">
        <v>72</v>
      </c>
      <c r="AS2250">
        <v>641</v>
      </c>
      <c r="AT2250" s="4">
        <v>42431</v>
      </c>
      <c r="AU2250" t="s">
        <v>73</v>
      </c>
      <c r="AV2250">
        <v>641</v>
      </c>
      <c r="AW2250" s="4">
        <v>42431</v>
      </c>
      <c r="BD2250">
        <v>0</v>
      </c>
      <c r="BN2250" t="s">
        <v>74</v>
      </c>
    </row>
    <row r="2251" spans="1:66" hidden="1">
      <c r="A2251">
        <v>100700</v>
      </c>
      <c r="B2251" s="3" t="s">
        <v>228</v>
      </c>
      <c r="C2251" s="1">
        <v>43300101</v>
      </c>
      <c r="D2251" t="s">
        <v>67</v>
      </c>
      <c r="H2251" t="str">
        <f t="shared" si="219"/>
        <v>STFGPP58D22A783F</v>
      </c>
      <c r="I2251" t="str">
        <f t="shared" si="220"/>
        <v>00766740625</v>
      </c>
      <c r="K2251" t="str">
        <f>""</f>
        <v/>
      </c>
      <c r="M2251" t="s">
        <v>68</v>
      </c>
      <c r="N2251" t="str">
        <f t="shared" si="218"/>
        <v>FOR</v>
      </c>
      <c r="O2251" t="s">
        <v>69</v>
      </c>
      <c r="P2251" s="3" t="s">
        <v>75</v>
      </c>
      <c r="Q2251">
        <v>2015</v>
      </c>
      <c r="R2251" s="2">
        <v>42124</v>
      </c>
      <c r="S2251" s="2">
        <v>42164</v>
      </c>
      <c r="T2251" s="2">
        <v>42151</v>
      </c>
      <c r="U2251" s="2">
        <v>42211</v>
      </c>
      <c r="V2251" t="s">
        <v>71</v>
      </c>
      <c r="W2251" t="str">
        <f>"              150/EL"</f>
        <v xml:space="preserve">              150/EL</v>
      </c>
      <c r="X2251">
        <v>411.59</v>
      </c>
      <c r="Y2251">
        <v>0</v>
      </c>
      <c r="Z2251"/>
      <c r="AB2251"/>
      <c r="AC2251">
        <v>395.76</v>
      </c>
      <c r="AD2251">
        <v>220</v>
      </c>
      <c r="AE2251" s="1">
        <v>87067.199999999997</v>
      </c>
      <c r="AF2251">
        <v>0</v>
      </c>
      <c r="AJ2251">
        <v>0</v>
      </c>
      <c r="AK2251">
        <v>0</v>
      </c>
      <c r="AL2251">
        <v>0</v>
      </c>
      <c r="AM2251">
        <v>0</v>
      </c>
      <c r="AN2251">
        <v>0</v>
      </c>
      <c r="AO2251">
        <v>0</v>
      </c>
      <c r="AP2251" s="2">
        <v>42746</v>
      </c>
      <c r="AQ2251" t="s">
        <v>72</v>
      </c>
      <c r="AR2251" t="s">
        <v>72</v>
      </c>
      <c r="AS2251">
        <v>641</v>
      </c>
      <c r="AT2251" s="4">
        <v>42431</v>
      </c>
      <c r="AU2251" t="s">
        <v>73</v>
      </c>
      <c r="AV2251">
        <v>641</v>
      </c>
      <c r="AW2251" s="4">
        <v>42431</v>
      </c>
      <c r="BD2251">
        <v>0</v>
      </c>
      <c r="BN2251" t="s">
        <v>74</v>
      </c>
    </row>
    <row r="2252" spans="1:66" hidden="1">
      <c r="A2252">
        <v>100700</v>
      </c>
      <c r="B2252" s="3" t="s">
        <v>228</v>
      </c>
      <c r="C2252" s="1">
        <v>43300101</v>
      </c>
      <c r="D2252" t="s">
        <v>67</v>
      </c>
      <c r="H2252" t="str">
        <f t="shared" si="219"/>
        <v>STFGPP58D22A783F</v>
      </c>
      <c r="I2252" t="str">
        <f t="shared" si="220"/>
        <v>00766740625</v>
      </c>
      <c r="K2252" t="str">
        <f>""</f>
        <v/>
      </c>
      <c r="M2252" t="s">
        <v>68</v>
      </c>
      <c r="N2252" t="str">
        <f t="shared" si="218"/>
        <v>FOR</v>
      </c>
      <c r="O2252" t="s">
        <v>69</v>
      </c>
      <c r="P2252" s="3" t="s">
        <v>75</v>
      </c>
      <c r="Q2252">
        <v>2015</v>
      </c>
      <c r="R2252" s="2">
        <v>42124</v>
      </c>
      <c r="S2252" s="2">
        <v>42164</v>
      </c>
      <c r="T2252" s="2">
        <v>42151</v>
      </c>
      <c r="U2252" s="2">
        <v>42211</v>
      </c>
      <c r="V2252" t="s">
        <v>71</v>
      </c>
      <c r="W2252" t="str">
        <f>"              151/EL"</f>
        <v xml:space="preserve">              151/EL</v>
      </c>
      <c r="X2252">
        <v>297.64999999999998</v>
      </c>
      <c r="Y2252">
        <v>0</v>
      </c>
      <c r="Z2252"/>
      <c r="AB2252"/>
      <c r="AC2252">
        <v>286.2</v>
      </c>
      <c r="AD2252">
        <v>220</v>
      </c>
      <c r="AE2252" s="1">
        <v>62964</v>
      </c>
      <c r="AF2252">
        <v>0</v>
      </c>
      <c r="AJ2252">
        <v>0</v>
      </c>
      <c r="AK2252">
        <v>0</v>
      </c>
      <c r="AL2252">
        <v>0</v>
      </c>
      <c r="AM2252">
        <v>0</v>
      </c>
      <c r="AN2252">
        <v>0</v>
      </c>
      <c r="AO2252">
        <v>0</v>
      </c>
      <c r="AP2252" s="2">
        <v>42746</v>
      </c>
      <c r="AQ2252" t="s">
        <v>72</v>
      </c>
      <c r="AR2252" t="s">
        <v>72</v>
      </c>
      <c r="AS2252">
        <v>641</v>
      </c>
      <c r="AT2252" s="4">
        <v>42431</v>
      </c>
      <c r="AU2252" t="s">
        <v>73</v>
      </c>
      <c r="AV2252">
        <v>641</v>
      </c>
      <c r="AW2252" s="4">
        <v>42431</v>
      </c>
      <c r="BD2252">
        <v>0</v>
      </c>
      <c r="BN2252" t="s">
        <v>74</v>
      </c>
    </row>
    <row r="2253" spans="1:66">
      <c r="A2253">
        <v>100700</v>
      </c>
      <c r="B2253" s="3" t="s">
        <v>228</v>
      </c>
      <c r="C2253" s="1">
        <v>43300101</v>
      </c>
      <c r="D2253" t="s">
        <v>67</v>
      </c>
      <c r="H2253" t="str">
        <f t="shared" si="219"/>
        <v>STFGPP58D22A783F</v>
      </c>
      <c r="I2253" t="str">
        <f t="shared" si="220"/>
        <v>00766740625</v>
      </c>
      <c r="K2253" t="str">
        <f>""</f>
        <v/>
      </c>
      <c r="M2253" t="s">
        <v>68</v>
      </c>
      <c r="N2253" t="str">
        <f t="shared" si="218"/>
        <v>FOR</v>
      </c>
      <c r="O2253" t="s">
        <v>69</v>
      </c>
      <c r="P2253" s="3" t="s">
        <v>75</v>
      </c>
      <c r="Q2253">
        <v>2015</v>
      </c>
      <c r="R2253" s="2">
        <v>42153</v>
      </c>
      <c r="S2253" s="2">
        <v>42318</v>
      </c>
      <c r="T2253" s="2">
        <v>42317</v>
      </c>
      <c r="U2253" s="2">
        <v>42377</v>
      </c>
      <c r="V2253" t="s">
        <v>71</v>
      </c>
      <c r="W2253" t="str">
        <f>"              190/EL"</f>
        <v xml:space="preserve">              190/EL</v>
      </c>
      <c r="X2253">
        <v>378.2</v>
      </c>
      <c r="Y2253">
        <v>0</v>
      </c>
      <c r="Z2253" s="3">
        <v>310</v>
      </c>
      <c r="AA2253">
        <v>315</v>
      </c>
      <c r="AB2253" s="5">
        <v>97650</v>
      </c>
      <c r="AC2253">
        <v>310</v>
      </c>
      <c r="AD2253">
        <v>315</v>
      </c>
      <c r="AE2253" s="1">
        <v>97650</v>
      </c>
      <c r="AF2253">
        <v>0</v>
      </c>
      <c r="AJ2253">
        <v>0</v>
      </c>
      <c r="AK2253">
        <v>0</v>
      </c>
      <c r="AL2253">
        <v>0</v>
      </c>
      <c r="AM2253">
        <v>0</v>
      </c>
      <c r="AN2253">
        <v>0</v>
      </c>
      <c r="AO2253">
        <v>0</v>
      </c>
      <c r="AP2253" s="2">
        <v>42746</v>
      </c>
      <c r="AQ2253" t="s">
        <v>72</v>
      </c>
      <c r="AR2253" t="s">
        <v>72</v>
      </c>
      <c r="AS2253">
        <v>3163</v>
      </c>
      <c r="AT2253" s="4">
        <v>42692</v>
      </c>
      <c r="AU2253" t="s">
        <v>73</v>
      </c>
      <c r="AV2253">
        <v>3163</v>
      </c>
      <c r="AW2253" s="4">
        <v>42692</v>
      </c>
      <c r="BD2253">
        <v>0</v>
      </c>
      <c r="BN2253" t="s">
        <v>74</v>
      </c>
    </row>
    <row r="2254" spans="1:66">
      <c r="A2254">
        <v>100700</v>
      </c>
      <c r="B2254" s="3" t="s">
        <v>228</v>
      </c>
      <c r="C2254" s="1">
        <v>43300101</v>
      </c>
      <c r="D2254" t="s">
        <v>67</v>
      </c>
      <c r="H2254" t="str">
        <f t="shared" si="219"/>
        <v>STFGPP58D22A783F</v>
      </c>
      <c r="I2254" t="str">
        <f t="shared" si="220"/>
        <v>00766740625</v>
      </c>
      <c r="K2254" t="str">
        <f>""</f>
        <v/>
      </c>
      <c r="M2254" t="s">
        <v>68</v>
      </c>
      <c r="N2254" t="str">
        <f t="shared" si="218"/>
        <v>FOR</v>
      </c>
      <c r="O2254" t="s">
        <v>69</v>
      </c>
      <c r="P2254" s="3" t="s">
        <v>75</v>
      </c>
      <c r="Q2254">
        <v>2015</v>
      </c>
      <c r="R2254" s="2">
        <v>42153</v>
      </c>
      <c r="S2254" s="2">
        <v>42321</v>
      </c>
      <c r="T2254" s="2">
        <v>42321</v>
      </c>
      <c r="U2254" s="2">
        <v>42381</v>
      </c>
      <c r="V2254" t="s">
        <v>71</v>
      </c>
      <c r="W2254" t="str">
        <f>"              191/EL"</f>
        <v xml:space="preserve">              191/EL</v>
      </c>
      <c r="X2254">
        <v>36.6</v>
      </c>
      <c r="Y2254">
        <v>0</v>
      </c>
      <c r="Z2254" s="3">
        <v>30</v>
      </c>
      <c r="AA2254">
        <v>311</v>
      </c>
      <c r="AB2254" s="5">
        <v>9330</v>
      </c>
      <c r="AC2254">
        <v>30</v>
      </c>
      <c r="AD2254">
        <v>311</v>
      </c>
      <c r="AE2254" s="1">
        <v>9330</v>
      </c>
      <c r="AF2254">
        <v>0</v>
      </c>
      <c r="AJ2254">
        <v>0</v>
      </c>
      <c r="AK2254">
        <v>0</v>
      </c>
      <c r="AL2254">
        <v>0</v>
      </c>
      <c r="AM2254">
        <v>0</v>
      </c>
      <c r="AN2254">
        <v>0</v>
      </c>
      <c r="AO2254">
        <v>0</v>
      </c>
      <c r="AP2254" s="2">
        <v>42746</v>
      </c>
      <c r="AQ2254" t="s">
        <v>72</v>
      </c>
      <c r="AR2254" t="s">
        <v>72</v>
      </c>
      <c r="AS2254">
        <v>3163</v>
      </c>
      <c r="AT2254" s="4">
        <v>42692</v>
      </c>
      <c r="AU2254" t="s">
        <v>73</v>
      </c>
      <c r="AV2254">
        <v>3163</v>
      </c>
      <c r="AW2254" s="4">
        <v>42692</v>
      </c>
      <c r="BD2254">
        <v>0</v>
      </c>
      <c r="BN2254" t="s">
        <v>74</v>
      </c>
    </row>
    <row r="2255" spans="1:66">
      <c r="A2255">
        <v>100700</v>
      </c>
      <c r="B2255" s="3" t="s">
        <v>228</v>
      </c>
      <c r="C2255" s="1">
        <v>43300101</v>
      </c>
      <c r="D2255" t="s">
        <v>67</v>
      </c>
      <c r="H2255" t="str">
        <f t="shared" si="219"/>
        <v>STFGPP58D22A783F</v>
      </c>
      <c r="I2255" t="str">
        <f t="shared" si="220"/>
        <v>00766740625</v>
      </c>
      <c r="K2255" t="str">
        <f>""</f>
        <v/>
      </c>
      <c r="M2255" t="s">
        <v>68</v>
      </c>
      <c r="N2255" t="str">
        <f t="shared" si="218"/>
        <v>FOR</v>
      </c>
      <c r="O2255" t="s">
        <v>69</v>
      </c>
      <c r="P2255" s="3" t="s">
        <v>75</v>
      </c>
      <c r="Q2255">
        <v>2015</v>
      </c>
      <c r="R2255" s="2">
        <v>42153</v>
      </c>
      <c r="S2255" s="2">
        <v>42320</v>
      </c>
      <c r="T2255" s="2">
        <v>42320</v>
      </c>
      <c r="U2255" s="2">
        <v>42380</v>
      </c>
      <c r="V2255" t="s">
        <v>71</v>
      </c>
      <c r="W2255" t="str">
        <f>"              192/EL"</f>
        <v xml:space="preserve">              192/EL</v>
      </c>
      <c r="X2255">
        <v>36.6</v>
      </c>
      <c r="Y2255">
        <v>0</v>
      </c>
      <c r="Z2255" s="3">
        <v>30</v>
      </c>
      <c r="AA2255">
        <v>312</v>
      </c>
      <c r="AB2255" s="5">
        <v>9360</v>
      </c>
      <c r="AC2255">
        <v>30</v>
      </c>
      <c r="AD2255">
        <v>312</v>
      </c>
      <c r="AE2255" s="1">
        <v>9360</v>
      </c>
      <c r="AF2255">
        <v>0</v>
      </c>
      <c r="AJ2255">
        <v>0</v>
      </c>
      <c r="AK2255">
        <v>0</v>
      </c>
      <c r="AL2255">
        <v>0</v>
      </c>
      <c r="AM2255">
        <v>0</v>
      </c>
      <c r="AN2255">
        <v>0</v>
      </c>
      <c r="AO2255">
        <v>0</v>
      </c>
      <c r="AP2255" s="2">
        <v>42746</v>
      </c>
      <c r="AQ2255" t="s">
        <v>72</v>
      </c>
      <c r="AR2255" t="s">
        <v>72</v>
      </c>
      <c r="AS2255">
        <v>3163</v>
      </c>
      <c r="AT2255" s="4">
        <v>42692</v>
      </c>
      <c r="AU2255" t="s">
        <v>73</v>
      </c>
      <c r="AV2255">
        <v>3163</v>
      </c>
      <c r="AW2255" s="4">
        <v>42692</v>
      </c>
      <c r="BD2255">
        <v>0</v>
      </c>
      <c r="BN2255" t="s">
        <v>74</v>
      </c>
    </row>
    <row r="2256" spans="1:66" hidden="1">
      <c r="A2256">
        <v>100700</v>
      </c>
      <c r="B2256" s="3" t="s">
        <v>228</v>
      </c>
      <c r="C2256" s="1">
        <v>43300101</v>
      </c>
      <c r="D2256" t="s">
        <v>67</v>
      </c>
      <c r="H2256" t="str">
        <f t="shared" si="219"/>
        <v>STFGPP58D22A783F</v>
      </c>
      <c r="I2256" t="str">
        <f t="shared" si="220"/>
        <v>00766740625</v>
      </c>
      <c r="K2256" t="str">
        <f>""</f>
        <v/>
      </c>
      <c r="M2256" t="s">
        <v>68</v>
      </c>
      <c r="N2256" t="str">
        <f t="shared" si="218"/>
        <v>FOR</v>
      </c>
      <c r="O2256" t="s">
        <v>69</v>
      </c>
      <c r="P2256" s="3" t="s">
        <v>75</v>
      </c>
      <c r="Q2256">
        <v>2015</v>
      </c>
      <c r="R2256" s="2">
        <v>42153</v>
      </c>
      <c r="S2256" s="2">
        <v>42324</v>
      </c>
      <c r="T2256" s="2">
        <v>42321</v>
      </c>
      <c r="U2256" s="2">
        <v>42381</v>
      </c>
      <c r="V2256" t="s">
        <v>71</v>
      </c>
      <c r="W2256" t="str">
        <f>"              193/EL"</f>
        <v xml:space="preserve">              193/EL</v>
      </c>
      <c r="X2256">
        <v>116.48</v>
      </c>
      <c r="Y2256">
        <v>0</v>
      </c>
      <c r="Z2256"/>
      <c r="AB2256"/>
      <c r="AC2256">
        <v>112</v>
      </c>
      <c r="AD2256">
        <v>71</v>
      </c>
      <c r="AE2256" s="1">
        <v>7952</v>
      </c>
      <c r="AF2256">
        <v>0</v>
      </c>
      <c r="AJ2256">
        <v>0</v>
      </c>
      <c r="AK2256">
        <v>0</v>
      </c>
      <c r="AL2256">
        <v>0</v>
      </c>
      <c r="AM2256">
        <v>0</v>
      </c>
      <c r="AN2256">
        <v>0</v>
      </c>
      <c r="AO2256">
        <v>0</v>
      </c>
      <c r="AP2256" s="2">
        <v>42746</v>
      </c>
      <c r="AQ2256" t="s">
        <v>72</v>
      </c>
      <c r="AR2256" t="s">
        <v>72</v>
      </c>
      <c r="AS2256">
        <v>794</v>
      </c>
      <c r="AT2256" s="4">
        <v>42452</v>
      </c>
      <c r="AU2256" t="s">
        <v>73</v>
      </c>
      <c r="AV2256">
        <v>794</v>
      </c>
      <c r="AW2256" s="4">
        <v>42452</v>
      </c>
      <c r="BD2256">
        <v>0</v>
      </c>
      <c r="BN2256" t="s">
        <v>74</v>
      </c>
    </row>
    <row r="2257" spans="1:66" hidden="1">
      <c r="A2257">
        <v>100700</v>
      </c>
      <c r="B2257" s="3" t="s">
        <v>228</v>
      </c>
      <c r="C2257" s="1">
        <v>43300101</v>
      </c>
      <c r="D2257" t="s">
        <v>67</v>
      </c>
      <c r="H2257" t="str">
        <f t="shared" ref="H2257:H2288" si="221">"STFGPP58D22A783F"</f>
        <v>STFGPP58D22A783F</v>
      </c>
      <c r="I2257" t="str">
        <f t="shared" ref="I2257:I2288" si="222">"00766740625"</f>
        <v>00766740625</v>
      </c>
      <c r="K2257" t="str">
        <f>""</f>
        <v/>
      </c>
      <c r="M2257" t="s">
        <v>68</v>
      </c>
      <c r="N2257" t="str">
        <f t="shared" si="218"/>
        <v>FOR</v>
      </c>
      <c r="O2257" t="s">
        <v>69</v>
      </c>
      <c r="P2257" s="3" t="s">
        <v>75</v>
      </c>
      <c r="Q2257">
        <v>2015</v>
      </c>
      <c r="R2257" s="2">
        <v>42153</v>
      </c>
      <c r="S2257" s="2">
        <v>42324</v>
      </c>
      <c r="T2257" s="2">
        <v>42321</v>
      </c>
      <c r="U2257" s="2">
        <v>42381</v>
      </c>
      <c r="V2257" t="s">
        <v>71</v>
      </c>
      <c r="W2257" t="str">
        <f>"              194/EL"</f>
        <v xml:space="preserve">              194/EL</v>
      </c>
      <c r="X2257">
        <v>527.99</v>
      </c>
      <c r="Y2257">
        <v>0</v>
      </c>
      <c r="Z2257"/>
      <c r="AB2257"/>
      <c r="AC2257">
        <v>507.68</v>
      </c>
      <c r="AD2257">
        <v>71</v>
      </c>
      <c r="AE2257" s="1">
        <v>36045.279999999999</v>
      </c>
      <c r="AF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 s="2">
        <v>42746</v>
      </c>
      <c r="AQ2257" t="s">
        <v>72</v>
      </c>
      <c r="AR2257" t="s">
        <v>72</v>
      </c>
      <c r="AS2257">
        <v>794</v>
      </c>
      <c r="AT2257" s="4">
        <v>42452</v>
      </c>
      <c r="AU2257" t="s">
        <v>73</v>
      </c>
      <c r="AV2257">
        <v>794</v>
      </c>
      <c r="AW2257" s="4">
        <v>42452</v>
      </c>
      <c r="BD2257">
        <v>0</v>
      </c>
      <c r="BN2257" t="s">
        <v>74</v>
      </c>
    </row>
    <row r="2258" spans="1:66" hidden="1">
      <c r="A2258">
        <v>100700</v>
      </c>
      <c r="B2258" s="3" t="s">
        <v>228</v>
      </c>
      <c r="C2258" s="1">
        <v>43300101</v>
      </c>
      <c r="D2258" t="s">
        <v>67</v>
      </c>
      <c r="H2258" t="str">
        <f t="shared" si="221"/>
        <v>STFGPP58D22A783F</v>
      </c>
      <c r="I2258" t="str">
        <f t="shared" si="222"/>
        <v>00766740625</v>
      </c>
      <c r="K2258" t="str">
        <f>""</f>
        <v/>
      </c>
      <c r="M2258" t="s">
        <v>68</v>
      </c>
      <c r="N2258" t="str">
        <f t="shared" si="218"/>
        <v>FOR</v>
      </c>
      <c r="O2258" t="s">
        <v>69</v>
      </c>
      <c r="P2258" s="3" t="s">
        <v>75</v>
      </c>
      <c r="Q2258">
        <v>2015</v>
      </c>
      <c r="R2258" s="2">
        <v>42153</v>
      </c>
      <c r="S2258" s="2">
        <v>42324</v>
      </c>
      <c r="T2258" s="2">
        <v>42321</v>
      </c>
      <c r="U2258" s="2">
        <v>42381</v>
      </c>
      <c r="V2258" t="s">
        <v>71</v>
      </c>
      <c r="W2258" t="str">
        <f>"              195/EL"</f>
        <v xml:space="preserve">              195/EL</v>
      </c>
      <c r="X2258">
        <v>595.79999999999995</v>
      </c>
      <c r="Y2258">
        <v>0</v>
      </c>
      <c r="Z2258"/>
      <c r="AB2258"/>
      <c r="AC2258">
        <v>572.88</v>
      </c>
      <c r="AD2258">
        <v>71</v>
      </c>
      <c r="AE2258" s="1">
        <v>40674.480000000003</v>
      </c>
      <c r="AF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 s="2">
        <v>42746</v>
      </c>
      <c r="AQ2258" t="s">
        <v>72</v>
      </c>
      <c r="AR2258" t="s">
        <v>72</v>
      </c>
      <c r="AS2258">
        <v>794</v>
      </c>
      <c r="AT2258" s="4">
        <v>42452</v>
      </c>
      <c r="AU2258" t="s">
        <v>73</v>
      </c>
      <c r="AV2258">
        <v>794</v>
      </c>
      <c r="AW2258" s="4">
        <v>42452</v>
      </c>
      <c r="BD2258">
        <v>0</v>
      </c>
      <c r="BN2258" t="s">
        <v>74</v>
      </c>
    </row>
    <row r="2259" spans="1:66" hidden="1">
      <c r="A2259">
        <v>100700</v>
      </c>
      <c r="B2259" s="3" t="s">
        <v>228</v>
      </c>
      <c r="C2259" s="1">
        <v>43300101</v>
      </c>
      <c r="D2259" t="s">
        <v>67</v>
      </c>
      <c r="H2259" t="str">
        <f t="shared" si="221"/>
        <v>STFGPP58D22A783F</v>
      </c>
      <c r="I2259" t="str">
        <f t="shared" si="222"/>
        <v>00766740625</v>
      </c>
      <c r="K2259" t="str">
        <f>""</f>
        <v/>
      </c>
      <c r="M2259" t="s">
        <v>68</v>
      </c>
      <c r="N2259" t="str">
        <f t="shared" si="218"/>
        <v>FOR</v>
      </c>
      <c r="O2259" t="s">
        <v>69</v>
      </c>
      <c r="P2259" s="3" t="s">
        <v>75</v>
      </c>
      <c r="Q2259">
        <v>2015</v>
      </c>
      <c r="R2259" s="2">
        <v>42153</v>
      </c>
      <c r="S2259" s="2">
        <v>42324</v>
      </c>
      <c r="T2259" s="2">
        <v>42321</v>
      </c>
      <c r="U2259" s="2">
        <v>42381</v>
      </c>
      <c r="V2259" t="s">
        <v>71</v>
      </c>
      <c r="W2259" t="str">
        <f>"              196/EL"</f>
        <v xml:space="preserve">              196/EL</v>
      </c>
      <c r="X2259">
        <v>297.64999999999998</v>
      </c>
      <c r="Y2259">
        <v>0</v>
      </c>
      <c r="Z2259"/>
      <c r="AB2259"/>
      <c r="AC2259">
        <v>286.2</v>
      </c>
      <c r="AD2259">
        <v>71</v>
      </c>
      <c r="AE2259" s="1">
        <v>20320.2</v>
      </c>
      <c r="AF2259">
        <v>0</v>
      </c>
      <c r="AJ2259">
        <v>0</v>
      </c>
      <c r="AK2259">
        <v>0</v>
      </c>
      <c r="AL2259">
        <v>0</v>
      </c>
      <c r="AM2259">
        <v>0</v>
      </c>
      <c r="AN2259">
        <v>0</v>
      </c>
      <c r="AO2259">
        <v>0</v>
      </c>
      <c r="AP2259" s="2">
        <v>42746</v>
      </c>
      <c r="AQ2259" t="s">
        <v>72</v>
      </c>
      <c r="AR2259" t="s">
        <v>72</v>
      </c>
      <c r="AS2259">
        <v>794</v>
      </c>
      <c r="AT2259" s="4">
        <v>42452</v>
      </c>
      <c r="AU2259" t="s">
        <v>73</v>
      </c>
      <c r="AV2259">
        <v>794</v>
      </c>
      <c r="AW2259" s="4">
        <v>42452</v>
      </c>
      <c r="BD2259">
        <v>0</v>
      </c>
      <c r="BN2259" t="s">
        <v>74</v>
      </c>
    </row>
    <row r="2260" spans="1:66" hidden="1">
      <c r="A2260">
        <v>100700</v>
      </c>
      <c r="B2260" s="3" t="s">
        <v>228</v>
      </c>
      <c r="C2260" s="1">
        <v>43300101</v>
      </c>
      <c r="D2260" t="s">
        <v>67</v>
      </c>
      <c r="H2260" t="str">
        <f t="shared" si="221"/>
        <v>STFGPP58D22A783F</v>
      </c>
      <c r="I2260" t="str">
        <f t="shared" si="222"/>
        <v>00766740625</v>
      </c>
      <c r="K2260" t="str">
        <f>""</f>
        <v/>
      </c>
      <c r="M2260" t="s">
        <v>68</v>
      </c>
      <c r="N2260" t="str">
        <f t="shared" si="218"/>
        <v>FOR</v>
      </c>
      <c r="O2260" t="s">
        <v>69</v>
      </c>
      <c r="P2260" s="3" t="s">
        <v>75</v>
      </c>
      <c r="Q2260">
        <v>2015</v>
      </c>
      <c r="R2260" s="2">
        <v>42185</v>
      </c>
      <c r="S2260" s="2">
        <v>42283</v>
      </c>
      <c r="T2260" s="2">
        <v>42282</v>
      </c>
      <c r="U2260" s="2">
        <v>42342</v>
      </c>
      <c r="V2260" t="s">
        <v>71</v>
      </c>
      <c r="W2260" t="str">
        <f>"              244/EL"</f>
        <v xml:space="preserve">              244/EL</v>
      </c>
      <c r="X2260">
        <v>209.66</v>
      </c>
      <c r="Y2260">
        <v>0</v>
      </c>
      <c r="Z2260"/>
      <c r="AB2260"/>
      <c r="AC2260">
        <v>201.6</v>
      </c>
      <c r="AD2260">
        <v>234</v>
      </c>
      <c r="AE2260" s="1">
        <v>47174.400000000001</v>
      </c>
      <c r="AF2260">
        <v>0</v>
      </c>
      <c r="AJ2260">
        <v>0</v>
      </c>
      <c r="AK2260">
        <v>0</v>
      </c>
      <c r="AL2260">
        <v>0</v>
      </c>
      <c r="AM2260">
        <v>0</v>
      </c>
      <c r="AN2260">
        <v>0</v>
      </c>
      <c r="AO2260">
        <v>0</v>
      </c>
      <c r="AP2260" s="2">
        <v>42746</v>
      </c>
      <c r="AQ2260" t="s">
        <v>72</v>
      </c>
      <c r="AR2260" t="s">
        <v>72</v>
      </c>
      <c r="AS2260">
        <v>1887</v>
      </c>
      <c r="AT2260" s="4">
        <v>42576</v>
      </c>
      <c r="AU2260" t="s">
        <v>73</v>
      </c>
      <c r="AV2260">
        <v>1887</v>
      </c>
      <c r="AW2260" s="4">
        <v>42576</v>
      </c>
      <c r="BD2260">
        <v>0</v>
      </c>
      <c r="BN2260" t="s">
        <v>74</v>
      </c>
    </row>
    <row r="2261" spans="1:66" hidden="1">
      <c r="A2261">
        <v>100700</v>
      </c>
      <c r="B2261" s="3" t="s">
        <v>228</v>
      </c>
      <c r="C2261" s="1">
        <v>43300101</v>
      </c>
      <c r="D2261" t="s">
        <v>67</v>
      </c>
      <c r="H2261" t="str">
        <f t="shared" si="221"/>
        <v>STFGPP58D22A783F</v>
      </c>
      <c r="I2261" t="str">
        <f t="shared" si="222"/>
        <v>00766740625</v>
      </c>
      <c r="K2261" t="str">
        <f>""</f>
        <v/>
      </c>
      <c r="M2261" t="s">
        <v>68</v>
      </c>
      <c r="N2261" t="str">
        <f t="shared" si="218"/>
        <v>FOR</v>
      </c>
      <c r="O2261" t="s">
        <v>69</v>
      </c>
      <c r="P2261" s="3" t="s">
        <v>75</v>
      </c>
      <c r="Q2261">
        <v>2015</v>
      </c>
      <c r="R2261" s="2">
        <v>42185</v>
      </c>
      <c r="S2261" s="2">
        <v>42283</v>
      </c>
      <c r="T2261" s="2">
        <v>42282</v>
      </c>
      <c r="U2261" s="2">
        <v>42342</v>
      </c>
      <c r="V2261" t="s">
        <v>71</v>
      </c>
      <c r="W2261" t="str">
        <f>"              245/EL"</f>
        <v xml:space="preserve">              245/EL</v>
      </c>
      <c r="X2261">
        <v>48.05</v>
      </c>
      <c r="Y2261">
        <v>0</v>
      </c>
      <c r="Z2261"/>
      <c r="AB2261"/>
      <c r="AC2261">
        <v>46.2</v>
      </c>
      <c r="AD2261">
        <v>234</v>
      </c>
      <c r="AE2261" s="1">
        <v>10810.8</v>
      </c>
      <c r="AF2261">
        <v>0</v>
      </c>
      <c r="AJ2261">
        <v>0</v>
      </c>
      <c r="AK2261">
        <v>0</v>
      </c>
      <c r="AL2261">
        <v>0</v>
      </c>
      <c r="AM2261">
        <v>0</v>
      </c>
      <c r="AN2261">
        <v>0</v>
      </c>
      <c r="AO2261">
        <v>0</v>
      </c>
      <c r="AP2261" s="2">
        <v>42746</v>
      </c>
      <c r="AQ2261" t="s">
        <v>72</v>
      </c>
      <c r="AR2261" t="s">
        <v>72</v>
      </c>
      <c r="AS2261">
        <v>1887</v>
      </c>
      <c r="AT2261" s="4">
        <v>42576</v>
      </c>
      <c r="AU2261" t="s">
        <v>73</v>
      </c>
      <c r="AV2261">
        <v>1887</v>
      </c>
      <c r="AW2261" s="4">
        <v>42576</v>
      </c>
      <c r="BD2261">
        <v>0</v>
      </c>
      <c r="BN2261" t="s">
        <v>74</v>
      </c>
    </row>
    <row r="2262" spans="1:66" hidden="1">
      <c r="A2262">
        <v>100700</v>
      </c>
      <c r="B2262" s="3" t="s">
        <v>228</v>
      </c>
      <c r="C2262" s="1">
        <v>43300101</v>
      </c>
      <c r="D2262" t="s">
        <v>67</v>
      </c>
      <c r="H2262" t="str">
        <f t="shared" si="221"/>
        <v>STFGPP58D22A783F</v>
      </c>
      <c r="I2262" t="str">
        <f t="shared" si="222"/>
        <v>00766740625</v>
      </c>
      <c r="K2262" t="str">
        <f>""</f>
        <v/>
      </c>
      <c r="M2262" t="s">
        <v>68</v>
      </c>
      <c r="N2262" t="str">
        <f t="shared" si="218"/>
        <v>FOR</v>
      </c>
      <c r="O2262" t="s">
        <v>69</v>
      </c>
      <c r="P2262" s="3" t="s">
        <v>75</v>
      </c>
      <c r="Q2262">
        <v>2015</v>
      </c>
      <c r="R2262" s="2">
        <v>42185</v>
      </c>
      <c r="S2262" s="2">
        <v>42283</v>
      </c>
      <c r="T2262" s="2">
        <v>42282</v>
      </c>
      <c r="U2262" s="2">
        <v>42342</v>
      </c>
      <c r="V2262" t="s">
        <v>71</v>
      </c>
      <c r="W2262" t="str">
        <f>"              246/EL"</f>
        <v xml:space="preserve">              246/EL</v>
      </c>
      <c r="X2262">
        <v>116.48</v>
      </c>
      <c r="Y2262">
        <v>0</v>
      </c>
      <c r="Z2262"/>
      <c r="AB2262"/>
      <c r="AC2262">
        <v>112</v>
      </c>
      <c r="AD2262">
        <v>234</v>
      </c>
      <c r="AE2262" s="1">
        <v>26208</v>
      </c>
      <c r="AF2262">
        <v>0</v>
      </c>
      <c r="AJ2262">
        <v>0</v>
      </c>
      <c r="AK2262">
        <v>0</v>
      </c>
      <c r="AL2262">
        <v>0</v>
      </c>
      <c r="AM2262">
        <v>0</v>
      </c>
      <c r="AN2262">
        <v>0</v>
      </c>
      <c r="AO2262">
        <v>0</v>
      </c>
      <c r="AP2262" s="2">
        <v>42746</v>
      </c>
      <c r="AQ2262" t="s">
        <v>72</v>
      </c>
      <c r="AR2262" t="s">
        <v>72</v>
      </c>
      <c r="AS2262">
        <v>1887</v>
      </c>
      <c r="AT2262" s="4">
        <v>42576</v>
      </c>
      <c r="AU2262" t="s">
        <v>73</v>
      </c>
      <c r="AV2262">
        <v>1887</v>
      </c>
      <c r="AW2262" s="4">
        <v>42576</v>
      </c>
      <c r="BD2262">
        <v>0</v>
      </c>
      <c r="BN2262" t="s">
        <v>74</v>
      </c>
    </row>
    <row r="2263" spans="1:66" hidden="1">
      <c r="A2263">
        <v>100700</v>
      </c>
      <c r="B2263" s="3" t="s">
        <v>228</v>
      </c>
      <c r="C2263" s="1">
        <v>43300101</v>
      </c>
      <c r="D2263" t="s">
        <v>67</v>
      </c>
      <c r="H2263" t="str">
        <f t="shared" si="221"/>
        <v>STFGPP58D22A783F</v>
      </c>
      <c r="I2263" t="str">
        <f t="shared" si="222"/>
        <v>00766740625</v>
      </c>
      <c r="K2263" t="str">
        <f>""</f>
        <v/>
      </c>
      <c r="M2263" t="s">
        <v>68</v>
      </c>
      <c r="N2263" t="str">
        <f t="shared" si="218"/>
        <v>FOR</v>
      </c>
      <c r="O2263" t="s">
        <v>69</v>
      </c>
      <c r="P2263" s="3" t="s">
        <v>75</v>
      </c>
      <c r="Q2263">
        <v>2015</v>
      </c>
      <c r="R2263" s="2">
        <v>42185</v>
      </c>
      <c r="S2263" s="2">
        <v>42310</v>
      </c>
      <c r="T2263" s="2">
        <v>42307</v>
      </c>
      <c r="U2263" s="2">
        <v>42367</v>
      </c>
      <c r="V2263" t="s">
        <v>71</v>
      </c>
      <c r="W2263" t="str">
        <f>"              247/EL"</f>
        <v xml:space="preserve">              247/EL</v>
      </c>
      <c r="X2263">
        <v>413.21</v>
      </c>
      <c r="Y2263">
        <v>0</v>
      </c>
      <c r="Z2263"/>
      <c r="AB2263"/>
      <c r="AC2263">
        <v>397.32</v>
      </c>
      <c r="AD2263">
        <v>209</v>
      </c>
      <c r="AE2263" s="1">
        <v>83039.88</v>
      </c>
      <c r="AF2263">
        <v>0</v>
      </c>
      <c r="AJ2263">
        <v>0</v>
      </c>
      <c r="AK2263">
        <v>0</v>
      </c>
      <c r="AL2263">
        <v>0</v>
      </c>
      <c r="AM2263">
        <v>0</v>
      </c>
      <c r="AN2263">
        <v>0</v>
      </c>
      <c r="AO2263">
        <v>0</v>
      </c>
      <c r="AP2263" s="2">
        <v>42746</v>
      </c>
      <c r="AQ2263" t="s">
        <v>72</v>
      </c>
      <c r="AR2263" t="s">
        <v>72</v>
      </c>
      <c r="AS2263">
        <v>1887</v>
      </c>
      <c r="AT2263" s="4">
        <v>42576</v>
      </c>
      <c r="AU2263" t="s">
        <v>73</v>
      </c>
      <c r="AV2263">
        <v>1887</v>
      </c>
      <c r="AW2263" s="4">
        <v>42576</v>
      </c>
      <c r="BD2263">
        <v>0</v>
      </c>
      <c r="BN2263" t="s">
        <v>74</v>
      </c>
    </row>
    <row r="2264" spans="1:66" hidden="1">
      <c r="A2264">
        <v>100700</v>
      </c>
      <c r="B2264" s="3" t="s">
        <v>228</v>
      </c>
      <c r="C2264" s="1">
        <v>43300101</v>
      </c>
      <c r="D2264" t="s">
        <v>67</v>
      </c>
      <c r="H2264" t="str">
        <f t="shared" si="221"/>
        <v>STFGPP58D22A783F</v>
      </c>
      <c r="I2264" t="str">
        <f t="shared" si="222"/>
        <v>00766740625</v>
      </c>
      <c r="K2264" t="str">
        <f>""</f>
        <v/>
      </c>
      <c r="M2264" t="s">
        <v>68</v>
      </c>
      <c r="N2264" t="str">
        <f t="shared" si="218"/>
        <v>FOR</v>
      </c>
      <c r="O2264" t="s">
        <v>69</v>
      </c>
      <c r="P2264" s="3" t="s">
        <v>75</v>
      </c>
      <c r="Q2264">
        <v>2015</v>
      </c>
      <c r="R2264" s="2">
        <v>42185</v>
      </c>
      <c r="S2264" s="2">
        <v>42283</v>
      </c>
      <c r="T2264" s="2">
        <v>42282</v>
      </c>
      <c r="U2264" s="2">
        <v>42342</v>
      </c>
      <c r="V2264" t="s">
        <v>71</v>
      </c>
      <c r="W2264" t="str">
        <f>"              248/EL"</f>
        <v xml:space="preserve">              248/EL</v>
      </c>
      <c r="X2264">
        <v>411.38</v>
      </c>
      <c r="Y2264">
        <v>0</v>
      </c>
      <c r="Z2264"/>
      <c r="AB2264"/>
      <c r="AC2264">
        <v>395.56</v>
      </c>
      <c r="AD2264">
        <v>234</v>
      </c>
      <c r="AE2264" s="1">
        <v>92561.04</v>
      </c>
      <c r="AF2264">
        <v>0</v>
      </c>
      <c r="AJ2264">
        <v>0</v>
      </c>
      <c r="AK2264">
        <v>0</v>
      </c>
      <c r="AL2264">
        <v>0</v>
      </c>
      <c r="AM2264">
        <v>0</v>
      </c>
      <c r="AN2264">
        <v>0</v>
      </c>
      <c r="AO2264">
        <v>0</v>
      </c>
      <c r="AP2264" s="2">
        <v>42746</v>
      </c>
      <c r="AQ2264" t="s">
        <v>72</v>
      </c>
      <c r="AR2264" t="s">
        <v>72</v>
      </c>
      <c r="AS2264">
        <v>1887</v>
      </c>
      <c r="AT2264" s="4">
        <v>42576</v>
      </c>
      <c r="AU2264" t="s">
        <v>73</v>
      </c>
      <c r="AV2264">
        <v>1887</v>
      </c>
      <c r="AW2264" s="4">
        <v>42576</v>
      </c>
      <c r="BD2264">
        <v>0</v>
      </c>
      <c r="BN2264" t="s">
        <v>74</v>
      </c>
    </row>
    <row r="2265" spans="1:66" hidden="1">
      <c r="A2265">
        <v>100700</v>
      </c>
      <c r="B2265" s="3" t="s">
        <v>228</v>
      </c>
      <c r="C2265" s="1">
        <v>43300101</v>
      </c>
      <c r="D2265" t="s">
        <v>67</v>
      </c>
      <c r="H2265" t="str">
        <f t="shared" si="221"/>
        <v>STFGPP58D22A783F</v>
      </c>
      <c r="I2265" t="str">
        <f t="shared" si="222"/>
        <v>00766740625</v>
      </c>
      <c r="K2265" t="str">
        <f>""</f>
        <v/>
      </c>
      <c r="M2265" t="s">
        <v>68</v>
      </c>
      <c r="N2265" t="str">
        <f t="shared" si="218"/>
        <v>FOR</v>
      </c>
      <c r="O2265" t="s">
        <v>69</v>
      </c>
      <c r="P2265" s="3" t="s">
        <v>75</v>
      </c>
      <c r="Q2265">
        <v>2015</v>
      </c>
      <c r="R2265" s="2">
        <v>42185</v>
      </c>
      <c r="S2265" s="2">
        <v>42284</v>
      </c>
      <c r="T2265" s="2">
        <v>42283</v>
      </c>
      <c r="U2265" s="2">
        <v>42343</v>
      </c>
      <c r="V2265" t="s">
        <v>71</v>
      </c>
      <c r="W2265" t="str">
        <f>"              250/EL"</f>
        <v xml:space="preserve">              250/EL</v>
      </c>
      <c r="X2265">
        <v>297.64999999999998</v>
      </c>
      <c r="Y2265">
        <v>0</v>
      </c>
      <c r="Z2265"/>
      <c r="AB2265"/>
      <c r="AC2265">
        <v>286.2</v>
      </c>
      <c r="AD2265">
        <v>233</v>
      </c>
      <c r="AE2265" s="1">
        <v>66684.600000000006</v>
      </c>
      <c r="AF2265">
        <v>0</v>
      </c>
      <c r="AJ2265">
        <v>0</v>
      </c>
      <c r="AK2265">
        <v>0</v>
      </c>
      <c r="AL2265">
        <v>0</v>
      </c>
      <c r="AM2265">
        <v>0</v>
      </c>
      <c r="AN2265">
        <v>0</v>
      </c>
      <c r="AO2265">
        <v>0</v>
      </c>
      <c r="AP2265" s="2">
        <v>42746</v>
      </c>
      <c r="AQ2265" t="s">
        <v>72</v>
      </c>
      <c r="AR2265" t="s">
        <v>72</v>
      </c>
      <c r="AS2265">
        <v>1887</v>
      </c>
      <c r="AT2265" s="4">
        <v>42576</v>
      </c>
      <c r="AU2265" t="s">
        <v>73</v>
      </c>
      <c r="AV2265">
        <v>1887</v>
      </c>
      <c r="AW2265" s="4">
        <v>42576</v>
      </c>
      <c r="BD2265">
        <v>0</v>
      </c>
      <c r="BN2265" t="s">
        <v>74</v>
      </c>
    </row>
    <row r="2266" spans="1:66">
      <c r="A2266">
        <v>100700</v>
      </c>
      <c r="B2266" s="3" t="s">
        <v>228</v>
      </c>
      <c r="C2266" s="1">
        <v>43300101</v>
      </c>
      <c r="D2266" t="s">
        <v>67</v>
      </c>
      <c r="H2266" t="str">
        <f t="shared" si="221"/>
        <v>STFGPP58D22A783F</v>
      </c>
      <c r="I2266" t="str">
        <f t="shared" si="222"/>
        <v>00766740625</v>
      </c>
      <c r="K2266" t="str">
        <f>""</f>
        <v/>
      </c>
      <c r="M2266" t="s">
        <v>68</v>
      </c>
      <c r="N2266" t="str">
        <f t="shared" si="218"/>
        <v>FOR</v>
      </c>
      <c r="O2266" t="s">
        <v>69</v>
      </c>
      <c r="P2266" s="3" t="s">
        <v>75</v>
      </c>
      <c r="Q2266">
        <v>2015</v>
      </c>
      <c r="R2266" s="2">
        <v>42185</v>
      </c>
      <c r="S2266" s="2">
        <v>42286</v>
      </c>
      <c r="T2266" s="2">
        <v>42283</v>
      </c>
      <c r="U2266" s="2">
        <v>42343</v>
      </c>
      <c r="V2266" t="s">
        <v>71</v>
      </c>
      <c r="W2266" t="str">
        <f>"              251/EL"</f>
        <v xml:space="preserve">              251/EL</v>
      </c>
      <c r="X2266">
        <v>36.6</v>
      </c>
      <c r="Y2266">
        <v>0</v>
      </c>
      <c r="Z2266" s="3">
        <v>30</v>
      </c>
      <c r="AA2266">
        <v>349</v>
      </c>
      <c r="AB2266" s="5">
        <v>10470</v>
      </c>
      <c r="AC2266">
        <v>30</v>
      </c>
      <c r="AD2266">
        <v>349</v>
      </c>
      <c r="AE2266" s="1">
        <v>10470</v>
      </c>
      <c r="AF2266">
        <v>0</v>
      </c>
      <c r="AJ2266">
        <v>0</v>
      </c>
      <c r="AK2266">
        <v>0</v>
      </c>
      <c r="AL2266">
        <v>0</v>
      </c>
      <c r="AM2266">
        <v>0</v>
      </c>
      <c r="AN2266">
        <v>0</v>
      </c>
      <c r="AO2266">
        <v>0</v>
      </c>
      <c r="AP2266" s="2">
        <v>42746</v>
      </c>
      <c r="AQ2266" t="s">
        <v>72</v>
      </c>
      <c r="AR2266" t="s">
        <v>72</v>
      </c>
      <c r="AS2266">
        <v>3163</v>
      </c>
      <c r="AT2266" s="4">
        <v>42692</v>
      </c>
      <c r="AU2266" t="s">
        <v>73</v>
      </c>
      <c r="AV2266">
        <v>3163</v>
      </c>
      <c r="AW2266" s="4">
        <v>42692</v>
      </c>
      <c r="BD2266">
        <v>0</v>
      </c>
      <c r="BN2266" t="s">
        <v>74</v>
      </c>
    </row>
    <row r="2267" spans="1:66" hidden="1">
      <c r="A2267">
        <v>100700</v>
      </c>
      <c r="B2267" s="3" t="s">
        <v>228</v>
      </c>
      <c r="C2267" s="1">
        <v>43300101</v>
      </c>
      <c r="D2267" t="s">
        <v>67</v>
      </c>
      <c r="H2267" t="str">
        <f t="shared" si="221"/>
        <v>STFGPP58D22A783F</v>
      </c>
      <c r="I2267" t="str">
        <f t="shared" si="222"/>
        <v>00766740625</v>
      </c>
      <c r="K2267" t="str">
        <f>""</f>
        <v/>
      </c>
      <c r="M2267" t="s">
        <v>68</v>
      </c>
      <c r="N2267" t="str">
        <f t="shared" si="218"/>
        <v>FOR</v>
      </c>
      <c r="O2267" t="s">
        <v>69</v>
      </c>
      <c r="P2267" s="3" t="s">
        <v>75</v>
      </c>
      <c r="Q2267">
        <v>2015</v>
      </c>
      <c r="R2267" s="2">
        <v>42214</v>
      </c>
      <c r="S2267" s="2">
        <v>42286</v>
      </c>
      <c r="T2267" s="2">
        <v>42283</v>
      </c>
      <c r="U2267" s="2">
        <v>42343</v>
      </c>
      <c r="V2267" t="s">
        <v>71</v>
      </c>
      <c r="W2267" t="str">
        <f>"              288/EL"</f>
        <v xml:space="preserve">              288/EL</v>
      </c>
      <c r="X2267">
        <v>61</v>
      </c>
      <c r="Y2267">
        <v>0</v>
      </c>
      <c r="Z2267"/>
      <c r="AB2267"/>
      <c r="AC2267">
        <v>50</v>
      </c>
      <c r="AD2267">
        <v>233</v>
      </c>
      <c r="AE2267" s="1">
        <v>11650</v>
      </c>
      <c r="AF2267">
        <v>0</v>
      </c>
      <c r="AJ2267">
        <v>0</v>
      </c>
      <c r="AK2267">
        <v>0</v>
      </c>
      <c r="AL2267">
        <v>0</v>
      </c>
      <c r="AM2267">
        <v>0</v>
      </c>
      <c r="AN2267">
        <v>0</v>
      </c>
      <c r="AO2267">
        <v>0</v>
      </c>
      <c r="AP2267" s="2">
        <v>42746</v>
      </c>
      <c r="AQ2267" t="s">
        <v>72</v>
      </c>
      <c r="AR2267" t="s">
        <v>72</v>
      </c>
      <c r="AS2267">
        <v>1887</v>
      </c>
      <c r="AT2267" s="4">
        <v>42576</v>
      </c>
      <c r="AU2267" t="s">
        <v>73</v>
      </c>
      <c r="AV2267">
        <v>1887</v>
      </c>
      <c r="AW2267" s="4">
        <v>42576</v>
      </c>
      <c r="BD2267">
        <v>0</v>
      </c>
      <c r="BN2267" t="s">
        <v>74</v>
      </c>
    </row>
    <row r="2268" spans="1:66" hidden="1">
      <c r="A2268">
        <v>100700</v>
      </c>
      <c r="B2268" s="3" t="s">
        <v>228</v>
      </c>
      <c r="C2268" s="1">
        <v>43300101</v>
      </c>
      <c r="D2268" t="s">
        <v>67</v>
      </c>
      <c r="H2268" t="str">
        <f t="shared" si="221"/>
        <v>STFGPP58D22A783F</v>
      </c>
      <c r="I2268" t="str">
        <f t="shared" si="222"/>
        <v>00766740625</v>
      </c>
      <c r="K2268" t="str">
        <f>""</f>
        <v/>
      </c>
      <c r="M2268" t="s">
        <v>68</v>
      </c>
      <c r="N2268" t="str">
        <f t="shared" si="218"/>
        <v>FOR</v>
      </c>
      <c r="O2268" t="s">
        <v>69</v>
      </c>
      <c r="P2268" s="3" t="s">
        <v>75</v>
      </c>
      <c r="Q2268">
        <v>2015</v>
      </c>
      <c r="R2268" s="2">
        <v>42214</v>
      </c>
      <c r="S2268" s="2">
        <v>42284</v>
      </c>
      <c r="T2268" s="2">
        <v>42283</v>
      </c>
      <c r="U2268" s="2">
        <v>42343</v>
      </c>
      <c r="V2268" t="s">
        <v>71</v>
      </c>
      <c r="W2268" t="str">
        <f>"              289/EL"</f>
        <v xml:space="preserve">              289/EL</v>
      </c>
      <c r="X2268">
        <v>109.8</v>
      </c>
      <c r="Y2268">
        <v>0</v>
      </c>
      <c r="Z2268"/>
      <c r="AB2268"/>
      <c r="AC2268">
        <v>90</v>
      </c>
      <c r="AD2268">
        <v>233</v>
      </c>
      <c r="AE2268" s="1">
        <v>20970</v>
      </c>
      <c r="AF2268">
        <v>0</v>
      </c>
      <c r="AJ2268">
        <v>0</v>
      </c>
      <c r="AK2268">
        <v>0</v>
      </c>
      <c r="AL2268">
        <v>0</v>
      </c>
      <c r="AM2268">
        <v>0</v>
      </c>
      <c r="AN2268">
        <v>0</v>
      </c>
      <c r="AO2268">
        <v>0</v>
      </c>
      <c r="AP2268" s="2">
        <v>42746</v>
      </c>
      <c r="AQ2268" t="s">
        <v>72</v>
      </c>
      <c r="AR2268" t="s">
        <v>72</v>
      </c>
      <c r="AS2268">
        <v>1887</v>
      </c>
      <c r="AT2268" s="4">
        <v>42576</v>
      </c>
      <c r="AU2268" t="s">
        <v>73</v>
      </c>
      <c r="AV2268">
        <v>1887</v>
      </c>
      <c r="AW2268" s="4">
        <v>42576</v>
      </c>
      <c r="BD2268">
        <v>0</v>
      </c>
      <c r="BN2268" t="s">
        <v>74</v>
      </c>
    </row>
    <row r="2269" spans="1:66" hidden="1">
      <c r="A2269">
        <v>100700</v>
      </c>
      <c r="B2269" s="3" t="s">
        <v>228</v>
      </c>
      <c r="C2269" s="1">
        <v>43300101</v>
      </c>
      <c r="D2269" t="s">
        <v>67</v>
      </c>
      <c r="H2269" t="str">
        <f t="shared" si="221"/>
        <v>STFGPP58D22A783F</v>
      </c>
      <c r="I2269" t="str">
        <f t="shared" si="222"/>
        <v>00766740625</v>
      </c>
      <c r="K2269" t="str">
        <f>""</f>
        <v/>
      </c>
      <c r="M2269" t="s">
        <v>68</v>
      </c>
      <c r="N2269" t="str">
        <f t="shared" si="218"/>
        <v>FOR</v>
      </c>
      <c r="O2269" t="s">
        <v>69</v>
      </c>
      <c r="P2269" s="3" t="s">
        <v>75</v>
      </c>
      <c r="Q2269">
        <v>2015</v>
      </c>
      <c r="R2269" s="2">
        <v>42214</v>
      </c>
      <c r="S2269" s="2">
        <v>42284</v>
      </c>
      <c r="T2269" s="2">
        <v>42283</v>
      </c>
      <c r="U2269" s="2">
        <v>42343</v>
      </c>
      <c r="V2269" t="s">
        <v>71</v>
      </c>
      <c r="W2269" t="str">
        <f>"              290/EL"</f>
        <v xml:space="preserve">              290/EL</v>
      </c>
      <c r="X2269">
        <v>186.37</v>
      </c>
      <c r="Y2269">
        <v>0</v>
      </c>
      <c r="Z2269"/>
      <c r="AB2269"/>
      <c r="AC2269">
        <v>179.2</v>
      </c>
      <c r="AD2269">
        <v>233</v>
      </c>
      <c r="AE2269" s="1">
        <v>41753.599999999999</v>
      </c>
      <c r="AF2269">
        <v>0</v>
      </c>
      <c r="AJ2269">
        <v>0</v>
      </c>
      <c r="AK2269">
        <v>0</v>
      </c>
      <c r="AL2269">
        <v>0</v>
      </c>
      <c r="AM2269">
        <v>0</v>
      </c>
      <c r="AN2269">
        <v>0</v>
      </c>
      <c r="AO2269">
        <v>0</v>
      </c>
      <c r="AP2269" s="2">
        <v>42746</v>
      </c>
      <c r="AQ2269" t="s">
        <v>72</v>
      </c>
      <c r="AR2269" t="s">
        <v>72</v>
      </c>
      <c r="AS2269">
        <v>1887</v>
      </c>
      <c r="AT2269" s="4">
        <v>42576</v>
      </c>
      <c r="AU2269" t="s">
        <v>73</v>
      </c>
      <c r="AV2269">
        <v>1887</v>
      </c>
      <c r="AW2269" s="4">
        <v>42576</v>
      </c>
      <c r="BD2269">
        <v>0</v>
      </c>
      <c r="BN2269" t="s">
        <v>74</v>
      </c>
    </row>
    <row r="2270" spans="1:66" hidden="1">
      <c r="A2270">
        <v>100700</v>
      </c>
      <c r="B2270" s="3" t="s">
        <v>228</v>
      </c>
      <c r="C2270" s="1">
        <v>43300101</v>
      </c>
      <c r="D2270" t="s">
        <v>67</v>
      </c>
      <c r="H2270" t="str">
        <f t="shared" si="221"/>
        <v>STFGPP58D22A783F</v>
      </c>
      <c r="I2270" t="str">
        <f t="shared" si="222"/>
        <v>00766740625</v>
      </c>
      <c r="K2270" t="str">
        <f>""</f>
        <v/>
      </c>
      <c r="M2270" t="s">
        <v>68</v>
      </c>
      <c r="N2270" t="str">
        <f t="shared" si="218"/>
        <v>FOR</v>
      </c>
      <c r="O2270" t="s">
        <v>69</v>
      </c>
      <c r="P2270" s="3" t="s">
        <v>75</v>
      </c>
      <c r="Q2270">
        <v>2015</v>
      </c>
      <c r="R2270" s="2">
        <v>42214</v>
      </c>
      <c r="S2270" s="2">
        <v>42284</v>
      </c>
      <c r="T2270" s="2">
        <v>42283</v>
      </c>
      <c r="U2270" s="2">
        <v>42343</v>
      </c>
      <c r="V2270" t="s">
        <v>71</v>
      </c>
      <c r="W2270" t="str">
        <f>"              291/EL"</f>
        <v xml:space="preserve">              291/EL</v>
      </c>
      <c r="X2270">
        <v>547.75</v>
      </c>
      <c r="Y2270">
        <v>0</v>
      </c>
      <c r="Z2270"/>
      <c r="AB2270"/>
      <c r="AC2270">
        <v>526.67999999999995</v>
      </c>
      <c r="AD2270">
        <v>233</v>
      </c>
      <c r="AE2270" s="1">
        <v>122716.44</v>
      </c>
      <c r="AF2270">
        <v>0</v>
      </c>
      <c r="AJ2270">
        <v>0</v>
      </c>
      <c r="AK2270">
        <v>0</v>
      </c>
      <c r="AL2270">
        <v>0</v>
      </c>
      <c r="AM2270">
        <v>0</v>
      </c>
      <c r="AN2270">
        <v>0</v>
      </c>
      <c r="AO2270">
        <v>0</v>
      </c>
      <c r="AP2270" s="2">
        <v>42746</v>
      </c>
      <c r="AQ2270" t="s">
        <v>72</v>
      </c>
      <c r="AR2270" t="s">
        <v>72</v>
      </c>
      <c r="AS2270">
        <v>1887</v>
      </c>
      <c r="AT2270" s="4">
        <v>42576</v>
      </c>
      <c r="AU2270" t="s">
        <v>73</v>
      </c>
      <c r="AV2270">
        <v>1887</v>
      </c>
      <c r="AW2270" s="4">
        <v>42576</v>
      </c>
      <c r="BD2270">
        <v>0</v>
      </c>
      <c r="BN2270" t="s">
        <v>74</v>
      </c>
    </row>
    <row r="2271" spans="1:66" hidden="1">
      <c r="A2271">
        <v>100700</v>
      </c>
      <c r="B2271" s="3" t="s">
        <v>228</v>
      </c>
      <c r="C2271" s="1">
        <v>43300101</v>
      </c>
      <c r="D2271" t="s">
        <v>67</v>
      </c>
      <c r="H2271" t="str">
        <f t="shared" si="221"/>
        <v>STFGPP58D22A783F</v>
      </c>
      <c r="I2271" t="str">
        <f t="shared" si="222"/>
        <v>00766740625</v>
      </c>
      <c r="K2271" t="str">
        <f>""</f>
        <v/>
      </c>
      <c r="M2271" t="s">
        <v>68</v>
      </c>
      <c r="N2271" t="str">
        <f t="shared" si="218"/>
        <v>FOR</v>
      </c>
      <c r="O2271" t="s">
        <v>69</v>
      </c>
      <c r="P2271" s="3" t="s">
        <v>75</v>
      </c>
      <c r="Q2271">
        <v>2015</v>
      </c>
      <c r="R2271" s="2">
        <v>42216</v>
      </c>
      <c r="S2271" s="2">
        <v>42284</v>
      </c>
      <c r="T2271" s="2">
        <v>42284</v>
      </c>
      <c r="U2271" s="2">
        <v>42344</v>
      </c>
      <c r="V2271" t="s">
        <v>71</v>
      </c>
      <c r="W2271" t="str">
        <f>"              301/EL"</f>
        <v xml:space="preserve">              301/EL</v>
      </c>
      <c r="X2271">
        <v>99.22</v>
      </c>
      <c r="Y2271">
        <v>0</v>
      </c>
      <c r="Z2271"/>
      <c r="AB2271"/>
      <c r="AC2271">
        <v>95.4</v>
      </c>
      <c r="AD2271">
        <v>232</v>
      </c>
      <c r="AE2271" s="1">
        <v>22132.799999999999</v>
      </c>
      <c r="AF2271">
        <v>0</v>
      </c>
      <c r="AJ2271">
        <v>0</v>
      </c>
      <c r="AK2271">
        <v>0</v>
      </c>
      <c r="AL2271">
        <v>0</v>
      </c>
      <c r="AM2271">
        <v>0</v>
      </c>
      <c r="AN2271">
        <v>0</v>
      </c>
      <c r="AO2271">
        <v>0</v>
      </c>
      <c r="AP2271" s="2">
        <v>42746</v>
      </c>
      <c r="AQ2271" t="s">
        <v>72</v>
      </c>
      <c r="AR2271" t="s">
        <v>72</v>
      </c>
      <c r="AS2271">
        <v>1887</v>
      </c>
      <c r="AT2271" s="4">
        <v>42576</v>
      </c>
      <c r="AU2271" t="s">
        <v>73</v>
      </c>
      <c r="AV2271">
        <v>1887</v>
      </c>
      <c r="AW2271" s="4">
        <v>42576</v>
      </c>
      <c r="BD2271">
        <v>0</v>
      </c>
      <c r="BN2271" t="s">
        <v>74</v>
      </c>
    </row>
    <row r="2272" spans="1:66" hidden="1">
      <c r="A2272">
        <v>100700</v>
      </c>
      <c r="B2272" s="3" t="s">
        <v>228</v>
      </c>
      <c r="C2272" s="1">
        <v>43300101</v>
      </c>
      <c r="D2272" t="s">
        <v>67</v>
      </c>
      <c r="H2272" t="str">
        <f t="shared" si="221"/>
        <v>STFGPP58D22A783F</v>
      </c>
      <c r="I2272" t="str">
        <f t="shared" si="222"/>
        <v>00766740625</v>
      </c>
      <c r="K2272" t="str">
        <f>""</f>
        <v/>
      </c>
      <c r="M2272" t="s">
        <v>68</v>
      </c>
      <c r="N2272" t="str">
        <f t="shared" si="218"/>
        <v>FOR</v>
      </c>
      <c r="O2272" t="s">
        <v>69</v>
      </c>
      <c r="P2272" s="3" t="s">
        <v>75</v>
      </c>
      <c r="Q2272">
        <v>2015</v>
      </c>
      <c r="R2272" s="2">
        <v>42216</v>
      </c>
      <c r="S2272" s="2">
        <v>42284</v>
      </c>
      <c r="T2272" s="2">
        <v>42284</v>
      </c>
      <c r="U2272" s="2">
        <v>42344</v>
      </c>
      <c r="V2272" t="s">
        <v>71</v>
      </c>
      <c r="W2272" t="str">
        <f>"              302/EL"</f>
        <v xml:space="preserve">              302/EL</v>
      </c>
      <c r="X2272">
        <v>370.28</v>
      </c>
      <c r="Y2272">
        <v>0</v>
      </c>
      <c r="Z2272"/>
      <c r="AB2272"/>
      <c r="AC2272">
        <v>356.04</v>
      </c>
      <c r="AD2272">
        <v>232</v>
      </c>
      <c r="AE2272" s="1">
        <v>82601.279999999999</v>
      </c>
      <c r="AF2272">
        <v>0</v>
      </c>
      <c r="AJ2272">
        <v>0</v>
      </c>
      <c r="AK2272">
        <v>0</v>
      </c>
      <c r="AL2272">
        <v>0</v>
      </c>
      <c r="AM2272">
        <v>0</v>
      </c>
      <c r="AN2272">
        <v>0</v>
      </c>
      <c r="AO2272">
        <v>0</v>
      </c>
      <c r="AP2272" s="2">
        <v>42746</v>
      </c>
      <c r="AQ2272" t="s">
        <v>72</v>
      </c>
      <c r="AR2272" t="s">
        <v>72</v>
      </c>
      <c r="AS2272">
        <v>1887</v>
      </c>
      <c r="AT2272" s="4">
        <v>42576</v>
      </c>
      <c r="AU2272" t="s">
        <v>73</v>
      </c>
      <c r="AV2272">
        <v>1887</v>
      </c>
      <c r="AW2272" s="4">
        <v>42576</v>
      </c>
      <c r="BD2272">
        <v>0</v>
      </c>
      <c r="BN2272" t="s">
        <v>74</v>
      </c>
    </row>
    <row r="2273" spans="1:66" hidden="1">
      <c r="A2273">
        <v>100700</v>
      </c>
      <c r="B2273" s="3" t="s">
        <v>228</v>
      </c>
      <c r="C2273" s="1">
        <v>43300101</v>
      </c>
      <c r="D2273" t="s">
        <v>67</v>
      </c>
      <c r="H2273" t="str">
        <f t="shared" si="221"/>
        <v>STFGPP58D22A783F</v>
      </c>
      <c r="I2273" t="str">
        <f t="shared" si="222"/>
        <v>00766740625</v>
      </c>
      <c r="K2273" t="str">
        <f>""</f>
        <v/>
      </c>
      <c r="M2273" t="s">
        <v>68</v>
      </c>
      <c r="N2273" t="str">
        <f t="shared" ref="N2273:N2336" si="223">"FOR"</f>
        <v>FOR</v>
      </c>
      <c r="O2273" t="s">
        <v>69</v>
      </c>
      <c r="P2273" s="3" t="s">
        <v>75</v>
      </c>
      <c r="Q2273">
        <v>2015</v>
      </c>
      <c r="R2273" s="2">
        <v>42236</v>
      </c>
      <c r="S2273" s="2">
        <v>42284</v>
      </c>
      <c r="T2273" s="2">
        <v>42284</v>
      </c>
      <c r="U2273" s="2">
        <v>42344</v>
      </c>
      <c r="V2273" t="s">
        <v>71</v>
      </c>
      <c r="W2273" t="str">
        <f>"              327/EL"</f>
        <v xml:space="preserve">              327/EL</v>
      </c>
      <c r="X2273">
        <v>320.32</v>
      </c>
      <c r="Y2273">
        <v>0</v>
      </c>
      <c r="Z2273"/>
      <c r="AB2273"/>
      <c r="AC2273">
        <v>308</v>
      </c>
      <c r="AD2273">
        <v>232</v>
      </c>
      <c r="AE2273" s="1">
        <v>71456</v>
      </c>
      <c r="AF2273">
        <v>0</v>
      </c>
      <c r="AJ2273">
        <v>0</v>
      </c>
      <c r="AK2273">
        <v>0</v>
      </c>
      <c r="AL2273">
        <v>0</v>
      </c>
      <c r="AM2273">
        <v>0</v>
      </c>
      <c r="AN2273">
        <v>0</v>
      </c>
      <c r="AO2273">
        <v>0</v>
      </c>
      <c r="AP2273" s="2">
        <v>42746</v>
      </c>
      <c r="AQ2273" t="s">
        <v>72</v>
      </c>
      <c r="AR2273" t="s">
        <v>72</v>
      </c>
      <c r="AS2273">
        <v>1887</v>
      </c>
      <c r="AT2273" s="4">
        <v>42576</v>
      </c>
      <c r="AU2273" t="s">
        <v>73</v>
      </c>
      <c r="AV2273">
        <v>1887</v>
      </c>
      <c r="AW2273" s="4">
        <v>42576</v>
      </c>
      <c r="BD2273">
        <v>0</v>
      </c>
      <c r="BN2273" t="s">
        <v>74</v>
      </c>
    </row>
    <row r="2274" spans="1:66" hidden="1">
      <c r="A2274">
        <v>100700</v>
      </c>
      <c r="B2274" s="3" t="s">
        <v>228</v>
      </c>
      <c r="C2274" s="1">
        <v>43300101</v>
      </c>
      <c r="D2274" t="s">
        <v>67</v>
      </c>
      <c r="H2274" t="str">
        <f t="shared" si="221"/>
        <v>STFGPP58D22A783F</v>
      </c>
      <c r="I2274" t="str">
        <f t="shared" si="222"/>
        <v>00766740625</v>
      </c>
      <c r="K2274" t="str">
        <f>""</f>
        <v/>
      </c>
      <c r="M2274" t="s">
        <v>68</v>
      </c>
      <c r="N2274" t="str">
        <f t="shared" si="223"/>
        <v>FOR</v>
      </c>
      <c r="O2274" t="s">
        <v>69</v>
      </c>
      <c r="P2274" s="3" t="s">
        <v>75</v>
      </c>
      <c r="Q2274">
        <v>2015</v>
      </c>
      <c r="R2274" s="2">
        <v>42236</v>
      </c>
      <c r="S2274" s="2">
        <v>42286</v>
      </c>
      <c r="T2274" s="2">
        <v>42284</v>
      </c>
      <c r="U2274" s="2">
        <v>42344</v>
      </c>
      <c r="V2274" t="s">
        <v>71</v>
      </c>
      <c r="W2274" t="str">
        <f>"              328/EL"</f>
        <v xml:space="preserve">              328/EL</v>
      </c>
      <c r="X2274">
        <v>854</v>
      </c>
      <c r="Y2274">
        <v>0</v>
      </c>
      <c r="Z2274"/>
      <c r="AB2274"/>
      <c r="AC2274">
        <v>700</v>
      </c>
      <c r="AD2274">
        <v>59</v>
      </c>
      <c r="AE2274" s="1">
        <v>41300</v>
      </c>
      <c r="AF2274">
        <v>154</v>
      </c>
      <c r="AJ2274">
        <v>0</v>
      </c>
      <c r="AK2274">
        <v>0</v>
      </c>
      <c r="AL2274">
        <v>0</v>
      </c>
      <c r="AM2274">
        <v>0</v>
      </c>
      <c r="AN2274">
        <v>0</v>
      </c>
      <c r="AO2274">
        <v>0</v>
      </c>
      <c r="AP2274" s="2">
        <v>42746</v>
      </c>
      <c r="AQ2274" t="s">
        <v>72</v>
      </c>
      <c r="AR2274" t="s">
        <v>72</v>
      </c>
      <c r="AS2274">
        <v>212</v>
      </c>
      <c r="AT2274" s="4">
        <v>42403</v>
      </c>
      <c r="AU2274" t="s">
        <v>73</v>
      </c>
      <c r="AV2274">
        <v>212</v>
      </c>
      <c r="AW2274" s="4">
        <v>42403</v>
      </c>
      <c r="BD2274">
        <v>154</v>
      </c>
      <c r="BN2274" t="s">
        <v>74</v>
      </c>
    </row>
    <row r="2275" spans="1:66" hidden="1">
      <c r="A2275">
        <v>100700</v>
      </c>
      <c r="B2275" s="3" t="s">
        <v>228</v>
      </c>
      <c r="C2275" s="1">
        <v>43300101</v>
      </c>
      <c r="D2275" t="s">
        <v>67</v>
      </c>
      <c r="H2275" t="str">
        <f t="shared" si="221"/>
        <v>STFGPP58D22A783F</v>
      </c>
      <c r="I2275" t="str">
        <f t="shared" si="222"/>
        <v>00766740625</v>
      </c>
      <c r="K2275" t="str">
        <f>""</f>
        <v/>
      </c>
      <c r="M2275" t="s">
        <v>68</v>
      </c>
      <c r="N2275" t="str">
        <f t="shared" si="223"/>
        <v>FOR</v>
      </c>
      <c r="O2275" t="s">
        <v>69</v>
      </c>
      <c r="P2275" s="3" t="s">
        <v>75</v>
      </c>
      <c r="Q2275">
        <v>2015</v>
      </c>
      <c r="R2275" s="2">
        <v>42236</v>
      </c>
      <c r="S2275" s="2">
        <v>42326</v>
      </c>
      <c r="T2275" s="2">
        <v>42325</v>
      </c>
      <c r="U2275" s="2">
        <v>42385</v>
      </c>
      <c r="V2275" t="s">
        <v>71</v>
      </c>
      <c r="W2275" t="str">
        <f>"              329/EL"</f>
        <v xml:space="preserve">              329/EL</v>
      </c>
      <c r="X2275">
        <v>427</v>
      </c>
      <c r="Y2275">
        <v>0</v>
      </c>
      <c r="Z2275"/>
      <c r="AB2275"/>
      <c r="AC2275">
        <v>350</v>
      </c>
      <c r="AD2275">
        <v>18</v>
      </c>
      <c r="AE2275" s="1">
        <v>6300</v>
      </c>
      <c r="AF2275">
        <v>77</v>
      </c>
      <c r="AJ2275">
        <v>0</v>
      </c>
      <c r="AK2275">
        <v>0</v>
      </c>
      <c r="AL2275">
        <v>0</v>
      </c>
      <c r="AM2275">
        <v>0</v>
      </c>
      <c r="AN2275">
        <v>0</v>
      </c>
      <c r="AO2275">
        <v>0</v>
      </c>
      <c r="AP2275" s="2">
        <v>42746</v>
      </c>
      <c r="AQ2275" t="s">
        <v>72</v>
      </c>
      <c r="AR2275" t="s">
        <v>72</v>
      </c>
      <c r="AS2275">
        <v>212</v>
      </c>
      <c r="AT2275" s="4">
        <v>42403</v>
      </c>
      <c r="AU2275" t="s">
        <v>73</v>
      </c>
      <c r="AV2275">
        <v>212</v>
      </c>
      <c r="AW2275" s="4">
        <v>42403</v>
      </c>
      <c r="BD2275">
        <v>77</v>
      </c>
      <c r="BN2275" t="s">
        <v>74</v>
      </c>
    </row>
    <row r="2276" spans="1:66" hidden="1">
      <c r="A2276">
        <v>100700</v>
      </c>
      <c r="B2276" s="3" t="s">
        <v>228</v>
      </c>
      <c r="C2276" s="1">
        <v>43300101</v>
      </c>
      <c r="D2276" t="s">
        <v>67</v>
      </c>
      <c r="H2276" t="str">
        <f t="shared" si="221"/>
        <v>STFGPP58D22A783F</v>
      </c>
      <c r="I2276" t="str">
        <f t="shared" si="222"/>
        <v>00766740625</v>
      </c>
      <c r="K2276" t="str">
        <f>""</f>
        <v/>
      </c>
      <c r="M2276" t="s">
        <v>68</v>
      </c>
      <c r="N2276" t="str">
        <f t="shared" si="223"/>
        <v>FOR</v>
      </c>
      <c r="O2276" t="s">
        <v>69</v>
      </c>
      <c r="P2276" s="3" t="s">
        <v>75</v>
      </c>
      <c r="Q2276">
        <v>2015</v>
      </c>
      <c r="R2276" s="2">
        <v>42236</v>
      </c>
      <c r="S2276" s="2">
        <v>42326</v>
      </c>
      <c r="T2276" s="2">
        <v>42325</v>
      </c>
      <c r="U2276" s="2">
        <v>42385</v>
      </c>
      <c r="V2276" t="s">
        <v>71</v>
      </c>
      <c r="W2276" t="str">
        <f>"              330/EL"</f>
        <v xml:space="preserve">              330/EL</v>
      </c>
      <c r="X2276">
        <v>878.4</v>
      </c>
      <c r="Y2276">
        <v>0</v>
      </c>
      <c r="Z2276"/>
      <c r="AB2276"/>
      <c r="AC2276">
        <v>720</v>
      </c>
      <c r="AD2276">
        <v>18</v>
      </c>
      <c r="AE2276" s="1">
        <v>12960</v>
      </c>
      <c r="AF2276">
        <v>158.4</v>
      </c>
      <c r="AJ2276">
        <v>0</v>
      </c>
      <c r="AK2276">
        <v>0</v>
      </c>
      <c r="AL2276">
        <v>0</v>
      </c>
      <c r="AM2276">
        <v>0</v>
      </c>
      <c r="AN2276">
        <v>0</v>
      </c>
      <c r="AO2276">
        <v>0</v>
      </c>
      <c r="AP2276" s="2">
        <v>42746</v>
      </c>
      <c r="AQ2276" t="s">
        <v>72</v>
      </c>
      <c r="AR2276" t="s">
        <v>72</v>
      </c>
      <c r="AS2276">
        <v>212</v>
      </c>
      <c r="AT2276" s="4">
        <v>42403</v>
      </c>
      <c r="AU2276" t="s">
        <v>73</v>
      </c>
      <c r="AV2276">
        <v>212</v>
      </c>
      <c r="AW2276" s="4">
        <v>42403</v>
      </c>
      <c r="BD2276">
        <v>158.4</v>
      </c>
      <c r="BN2276" t="s">
        <v>74</v>
      </c>
    </row>
    <row r="2277" spans="1:66" hidden="1">
      <c r="A2277">
        <v>100700</v>
      </c>
      <c r="B2277" s="3" t="s">
        <v>228</v>
      </c>
      <c r="C2277" s="1">
        <v>43300101</v>
      </c>
      <c r="D2277" t="s">
        <v>67</v>
      </c>
      <c r="H2277" t="str">
        <f t="shared" si="221"/>
        <v>STFGPP58D22A783F</v>
      </c>
      <c r="I2277" t="str">
        <f t="shared" si="222"/>
        <v>00766740625</v>
      </c>
      <c r="K2277" t="str">
        <f>""</f>
        <v/>
      </c>
      <c r="M2277" t="s">
        <v>68</v>
      </c>
      <c r="N2277" t="str">
        <f t="shared" si="223"/>
        <v>FOR</v>
      </c>
      <c r="O2277" t="s">
        <v>69</v>
      </c>
      <c r="P2277" s="3" t="s">
        <v>75</v>
      </c>
      <c r="Q2277">
        <v>2015</v>
      </c>
      <c r="R2277" s="2">
        <v>42244</v>
      </c>
      <c r="S2277" s="2">
        <v>42326</v>
      </c>
      <c r="T2277" s="2">
        <v>42325</v>
      </c>
      <c r="U2277" s="2">
        <v>42385</v>
      </c>
      <c r="V2277" t="s">
        <v>71</v>
      </c>
      <c r="W2277" t="str">
        <f>"              333/EL"</f>
        <v xml:space="preserve">              333/EL</v>
      </c>
      <c r="X2277">
        <v>496.08</v>
      </c>
      <c r="Y2277">
        <v>0</v>
      </c>
      <c r="Z2277"/>
      <c r="AB2277"/>
      <c r="AC2277">
        <v>477</v>
      </c>
      <c r="AD2277">
        <v>194</v>
      </c>
      <c r="AE2277" s="1">
        <v>92538</v>
      </c>
      <c r="AF2277">
        <v>0</v>
      </c>
      <c r="AJ2277">
        <v>0</v>
      </c>
      <c r="AK2277">
        <v>0</v>
      </c>
      <c r="AL2277">
        <v>0</v>
      </c>
      <c r="AM2277">
        <v>0</v>
      </c>
      <c r="AN2277">
        <v>0</v>
      </c>
      <c r="AO2277">
        <v>0</v>
      </c>
      <c r="AP2277" s="2">
        <v>42746</v>
      </c>
      <c r="AQ2277" t="s">
        <v>72</v>
      </c>
      <c r="AR2277" t="s">
        <v>72</v>
      </c>
      <c r="AS2277">
        <v>2020</v>
      </c>
      <c r="AT2277" s="4">
        <v>42579</v>
      </c>
      <c r="AU2277" t="s">
        <v>73</v>
      </c>
      <c r="AV2277">
        <v>2020</v>
      </c>
      <c r="AW2277" s="4">
        <v>42579</v>
      </c>
      <c r="BD2277">
        <v>0</v>
      </c>
      <c r="BN2277" t="s">
        <v>74</v>
      </c>
    </row>
    <row r="2278" spans="1:66" hidden="1">
      <c r="A2278">
        <v>100700</v>
      </c>
      <c r="B2278" s="3" t="s">
        <v>228</v>
      </c>
      <c r="C2278" s="1">
        <v>43300101</v>
      </c>
      <c r="D2278" t="s">
        <v>67</v>
      </c>
      <c r="H2278" t="str">
        <f t="shared" si="221"/>
        <v>STFGPP58D22A783F</v>
      </c>
      <c r="I2278" t="str">
        <f t="shared" si="222"/>
        <v>00766740625</v>
      </c>
      <c r="K2278" t="str">
        <f>""</f>
        <v/>
      </c>
      <c r="M2278" t="s">
        <v>68</v>
      </c>
      <c r="N2278" t="str">
        <f t="shared" si="223"/>
        <v>FOR</v>
      </c>
      <c r="O2278" t="s">
        <v>69</v>
      </c>
      <c r="P2278" s="3" t="s">
        <v>75</v>
      </c>
      <c r="Q2278">
        <v>2015</v>
      </c>
      <c r="R2278" s="2">
        <v>42244</v>
      </c>
      <c r="S2278" s="2">
        <v>42326</v>
      </c>
      <c r="T2278" s="2">
        <v>42325</v>
      </c>
      <c r="U2278" s="2">
        <v>42385</v>
      </c>
      <c r="V2278" t="s">
        <v>71</v>
      </c>
      <c r="W2278" t="str">
        <f>"              334/EL"</f>
        <v xml:space="preserve">              334/EL</v>
      </c>
      <c r="X2278">
        <v>575.83000000000004</v>
      </c>
      <c r="Y2278">
        <v>0</v>
      </c>
      <c r="Z2278"/>
      <c r="AB2278"/>
      <c r="AC2278">
        <v>553.67999999999995</v>
      </c>
      <c r="AD2278">
        <v>194</v>
      </c>
      <c r="AE2278" s="1">
        <v>107413.92</v>
      </c>
      <c r="AF2278">
        <v>0</v>
      </c>
      <c r="AJ2278">
        <v>0</v>
      </c>
      <c r="AK2278">
        <v>0</v>
      </c>
      <c r="AL2278">
        <v>0</v>
      </c>
      <c r="AM2278">
        <v>0</v>
      </c>
      <c r="AN2278">
        <v>0</v>
      </c>
      <c r="AO2278">
        <v>0</v>
      </c>
      <c r="AP2278" s="2">
        <v>42746</v>
      </c>
      <c r="AQ2278" t="s">
        <v>72</v>
      </c>
      <c r="AR2278" t="s">
        <v>72</v>
      </c>
      <c r="AS2278">
        <v>2020</v>
      </c>
      <c r="AT2278" s="4">
        <v>42579</v>
      </c>
      <c r="AU2278" t="s">
        <v>73</v>
      </c>
      <c r="AV2278">
        <v>2020</v>
      </c>
      <c r="AW2278" s="4">
        <v>42579</v>
      </c>
      <c r="BD2278">
        <v>0</v>
      </c>
      <c r="BN2278" t="s">
        <v>74</v>
      </c>
    </row>
    <row r="2279" spans="1:66" hidden="1">
      <c r="A2279">
        <v>100700</v>
      </c>
      <c r="B2279" s="3" t="s">
        <v>228</v>
      </c>
      <c r="C2279" s="1">
        <v>43300101</v>
      </c>
      <c r="D2279" t="s">
        <v>67</v>
      </c>
      <c r="H2279" t="str">
        <f t="shared" si="221"/>
        <v>STFGPP58D22A783F</v>
      </c>
      <c r="I2279" t="str">
        <f t="shared" si="222"/>
        <v>00766740625</v>
      </c>
      <c r="K2279" t="str">
        <f>""</f>
        <v/>
      </c>
      <c r="M2279" t="s">
        <v>68</v>
      </c>
      <c r="N2279" t="str">
        <f t="shared" si="223"/>
        <v>FOR</v>
      </c>
      <c r="O2279" t="s">
        <v>69</v>
      </c>
      <c r="P2279" s="3" t="s">
        <v>75</v>
      </c>
      <c r="Q2279">
        <v>2015</v>
      </c>
      <c r="R2279" s="2">
        <v>42247</v>
      </c>
      <c r="S2279" s="2">
        <v>42326</v>
      </c>
      <c r="T2279" s="2">
        <v>42325</v>
      </c>
      <c r="U2279" s="2">
        <v>42385</v>
      </c>
      <c r="V2279" t="s">
        <v>71</v>
      </c>
      <c r="W2279" t="str">
        <f>"              337/EL"</f>
        <v xml:space="preserve">              337/EL</v>
      </c>
      <c r="X2279">
        <v>634.23</v>
      </c>
      <c r="Y2279">
        <v>0</v>
      </c>
      <c r="Z2279"/>
      <c r="AB2279"/>
      <c r="AC2279">
        <v>609.84</v>
      </c>
      <c r="AD2279">
        <v>194</v>
      </c>
      <c r="AE2279" s="1">
        <v>118308.96</v>
      </c>
      <c r="AF2279">
        <v>0</v>
      </c>
      <c r="AJ2279">
        <v>0</v>
      </c>
      <c r="AK2279">
        <v>0</v>
      </c>
      <c r="AL2279">
        <v>0</v>
      </c>
      <c r="AM2279">
        <v>0</v>
      </c>
      <c r="AN2279">
        <v>0</v>
      </c>
      <c r="AO2279">
        <v>0</v>
      </c>
      <c r="AP2279" s="2">
        <v>42746</v>
      </c>
      <c r="AQ2279" t="s">
        <v>72</v>
      </c>
      <c r="AR2279" t="s">
        <v>72</v>
      </c>
      <c r="AS2279">
        <v>2020</v>
      </c>
      <c r="AT2279" s="4">
        <v>42579</v>
      </c>
      <c r="AU2279" t="s">
        <v>73</v>
      </c>
      <c r="AV2279">
        <v>2020</v>
      </c>
      <c r="AW2279" s="4">
        <v>42579</v>
      </c>
      <c r="BD2279">
        <v>0</v>
      </c>
      <c r="BN2279" t="s">
        <v>74</v>
      </c>
    </row>
    <row r="2280" spans="1:66" hidden="1">
      <c r="A2280">
        <v>100700</v>
      </c>
      <c r="B2280" s="3" t="s">
        <v>228</v>
      </c>
      <c r="C2280" s="1">
        <v>43300101</v>
      </c>
      <c r="D2280" t="s">
        <v>67</v>
      </c>
      <c r="H2280" t="str">
        <f t="shared" si="221"/>
        <v>STFGPP58D22A783F</v>
      </c>
      <c r="I2280" t="str">
        <f t="shared" si="222"/>
        <v>00766740625</v>
      </c>
      <c r="K2280" t="str">
        <f>""</f>
        <v/>
      </c>
      <c r="M2280" t="s">
        <v>68</v>
      </c>
      <c r="N2280" t="str">
        <f t="shared" si="223"/>
        <v>FOR</v>
      </c>
      <c r="O2280" t="s">
        <v>69</v>
      </c>
      <c r="P2280" s="3" t="s">
        <v>75</v>
      </c>
      <c r="Q2280">
        <v>2015</v>
      </c>
      <c r="R2280" s="2">
        <v>42258</v>
      </c>
      <c r="S2280" s="2">
        <v>42326</v>
      </c>
      <c r="T2280" s="2">
        <v>42325</v>
      </c>
      <c r="U2280" s="2">
        <v>42385</v>
      </c>
      <c r="V2280" t="s">
        <v>71</v>
      </c>
      <c r="W2280" t="str">
        <f>"              350/EL"</f>
        <v xml:space="preserve">              350/EL</v>
      </c>
      <c r="X2280">
        <v>186.37</v>
      </c>
      <c r="Y2280">
        <v>0</v>
      </c>
      <c r="Z2280"/>
      <c r="AB2280"/>
      <c r="AC2280">
        <v>179.2</v>
      </c>
      <c r="AD2280">
        <v>235</v>
      </c>
      <c r="AE2280" s="1">
        <v>42112</v>
      </c>
      <c r="AF2280">
        <v>0</v>
      </c>
      <c r="AJ2280">
        <v>0</v>
      </c>
      <c r="AK2280">
        <v>0</v>
      </c>
      <c r="AL2280">
        <v>0</v>
      </c>
      <c r="AM2280">
        <v>0</v>
      </c>
      <c r="AN2280">
        <v>0</v>
      </c>
      <c r="AO2280">
        <v>0</v>
      </c>
      <c r="AP2280" s="2">
        <v>42746</v>
      </c>
      <c r="AQ2280" t="s">
        <v>72</v>
      </c>
      <c r="AR2280" t="s">
        <v>72</v>
      </c>
      <c r="AS2280">
        <v>2341</v>
      </c>
      <c r="AT2280" s="4">
        <v>42620</v>
      </c>
      <c r="AU2280" t="s">
        <v>73</v>
      </c>
      <c r="AV2280">
        <v>2341</v>
      </c>
      <c r="AW2280" s="4">
        <v>42620</v>
      </c>
      <c r="BD2280">
        <v>0</v>
      </c>
      <c r="BN2280" t="s">
        <v>74</v>
      </c>
    </row>
    <row r="2281" spans="1:66" hidden="1">
      <c r="A2281">
        <v>100700</v>
      </c>
      <c r="B2281" s="3" t="s">
        <v>228</v>
      </c>
      <c r="C2281" s="1">
        <v>43300101</v>
      </c>
      <c r="D2281" t="s">
        <v>67</v>
      </c>
      <c r="H2281" t="str">
        <f t="shared" si="221"/>
        <v>STFGPP58D22A783F</v>
      </c>
      <c r="I2281" t="str">
        <f t="shared" si="222"/>
        <v>00766740625</v>
      </c>
      <c r="K2281" t="str">
        <f>""</f>
        <v/>
      </c>
      <c r="M2281" t="s">
        <v>68</v>
      </c>
      <c r="N2281" t="str">
        <f t="shared" si="223"/>
        <v>FOR</v>
      </c>
      <c r="O2281" t="s">
        <v>69</v>
      </c>
      <c r="P2281" s="3" t="s">
        <v>75</v>
      </c>
      <c r="Q2281">
        <v>2015</v>
      </c>
      <c r="R2281" s="2">
        <v>42276</v>
      </c>
      <c r="S2281" s="2">
        <v>42326</v>
      </c>
      <c r="T2281" s="2">
        <v>42325</v>
      </c>
      <c r="U2281" s="2">
        <v>42385</v>
      </c>
      <c r="V2281" t="s">
        <v>71</v>
      </c>
      <c r="W2281" t="str">
        <f>"              376/EL"</f>
        <v xml:space="preserve">              376/EL</v>
      </c>
      <c r="X2281">
        <v>109.8</v>
      </c>
      <c r="Y2281">
        <v>0</v>
      </c>
      <c r="Z2281"/>
      <c r="AB2281"/>
      <c r="AC2281">
        <v>90</v>
      </c>
      <c r="AD2281">
        <v>235</v>
      </c>
      <c r="AE2281" s="1">
        <v>21150</v>
      </c>
      <c r="AF2281">
        <v>0</v>
      </c>
      <c r="AJ2281">
        <v>0</v>
      </c>
      <c r="AK2281">
        <v>0</v>
      </c>
      <c r="AL2281">
        <v>0</v>
      </c>
      <c r="AM2281">
        <v>0</v>
      </c>
      <c r="AN2281">
        <v>0</v>
      </c>
      <c r="AO2281">
        <v>0</v>
      </c>
      <c r="AP2281" s="2">
        <v>42746</v>
      </c>
      <c r="AQ2281" t="s">
        <v>72</v>
      </c>
      <c r="AR2281" t="s">
        <v>72</v>
      </c>
      <c r="AS2281">
        <v>2341</v>
      </c>
      <c r="AT2281" s="4">
        <v>42620</v>
      </c>
      <c r="AU2281" t="s">
        <v>73</v>
      </c>
      <c r="AV2281">
        <v>2341</v>
      </c>
      <c r="AW2281" s="4">
        <v>42620</v>
      </c>
      <c r="BD2281">
        <v>0</v>
      </c>
      <c r="BN2281" t="s">
        <v>74</v>
      </c>
    </row>
    <row r="2282" spans="1:66" hidden="1">
      <c r="A2282">
        <v>100700</v>
      </c>
      <c r="B2282" s="3" t="s">
        <v>228</v>
      </c>
      <c r="C2282" s="1">
        <v>43300101</v>
      </c>
      <c r="D2282" t="s">
        <v>67</v>
      </c>
      <c r="H2282" t="str">
        <f t="shared" si="221"/>
        <v>STFGPP58D22A783F</v>
      </c>
      <c r="I2282" t="str">
        <f t="shared" si="222"/>
        <v>00766740625</v>
      </c>
      <c r="K2282" t="str">
        <f>""</f>
        <v/>
      </c>
      <c r="M2282" t="s">
        <v>68</v>
      </c>
      <c r="N2282" t="str">
        <f t="shared" si="223"/>
        <v>FOR</v>
      </c>
      <c r="O2282" t="s">
        <v>69</v>
      </c>
      <c r="P2282" s="3" t="s">
        <v>75</v>
      </c>
      <c r="Q2282">
        <v>2015</v>
      </c>
      <c r="R2282" s="2">
        <v>42276</v>
      </c>
      <c r="S2282" s="2">
        <v>42326</v>
      </c>
      <c r="T2282" s="2">
        <v>42325</v>
      </c>
      <c r="U2282" s="2">
        <v>42385</v>
      </c>
      <c r="V2282" t="s">
        <v>71</v>
      </c>
      <c r="W2282" t="str">
        <f>"              377/EL"</f>
        <v xml:space="preserve">              377/EL</v>
      </c>
      <c r="X2282">
        <v>175.68</v>
      </c>
      <c r="Y2282">
        <v>0</v>
      </c>
      <c r="Z2282"/>
      <c r="AB2282"/>
      <c r="AC2282">
        <v>144</v>
      </c>
      <c r="AD2282">
        <v>235</v>
      </c>
      <c r="AE2282" s="1">
        <v>33840</v>
      </c>
      <c r="AF2282">
        <v>0</v>
      </c>
      <c r="AJ2282">
        <v>0</v>
      </c>
      <c r="AK2282">
        <v>0</v>
      </c>
      <c r="AL2282">
        <v>0</v>
      </c>
      <c r="AM2282">
        <v>0</v>
      </c>
      <c r="AN2282">
        <v>0</v>
      </c>
      <c r="AO2282">
        <v>0</v>
      </c>
      <c r="AP2282" s="2">
        <v>42746</v>
      </c>
      <c r="AQ2282" t="s">
        <v>72</v>
      </c>
      <c r="AR2282" t="s">
        <v>72</v>
      </c>
      <c r="AS2282">
        <v>2341</v>
      </c>
      <c r="AT2282" s="4">
        <v>42620</v>
      </c>
      <c r="AU2282" t="s">
        <v>73</v>
      </c>
      <c r="AV2282">
        <v>2341</v>
      </c>
      <c r="AW2282" s="4">
        <v>42620</v>
      </c>
      <c r="BD2282">
        <v>0</v>
      </c>
      <c r="BN2282" t="s">
        <v>74</v>
      </c>
    </row>
    <row r="2283" spans="1:66" hidden="1">
      <c r="A2283">
        <v>100700</v>
      </c>
      <c r="B2283" s="3" t="s">
        <v>228</v>
      </c>
      <c r="C2283" s="1">
        <v>43300101</v>
      </c>
      <c r="D2283" t="s">
        <v>67</v>
      </c>
      <c r="H2283" t="str">
        <f t="shared" si="221"/>
        <v>STFGPP58D22A783F</v>
      </c>
      <c r="I2283" t="str">
        <f t="shared" si="222"/>
        <v>00766740625</v>
      </c>
      <c r="K2283" t="str">
        <f>""</f>
        <v/>
      </c>
      <c r="M2283" t="s">
        <v>68</v>
      </c>
      <c r="N2283" t="str">
        <f t="shared" si="223"/>
        <v>FOR</v>
      </c>
      <c r="O2283" t="s">
        <v>69</v>
      </c>
      <c r="P2283" s="3" t="s">
        <v>75</v>
      </c>
      <c r="Q2283">
        <v>2015</v>
      </c>
      <c r="R2283" s="2">
        <v>42276</v>
      </c>
      <c r="S2283" s="2">
        <v>42326</v>
      </c>
      <c r="T2283" s="2">
        <v>42325</v>
      </c>
      <c r="U2283" s="2">
        <v>42385</v>
      </c>
      <c r="V2283" t="s">
        <v>71</v>
      </c>
      <c r="W2283" t="str">
        <f>"              378/EL"</f>
        <v xml:space="preserve">              378/EL</v>
      </c>
      <c r="X2283">
        <v>326.73</v>
      </c>
      <c r="Y2283">
        <v>0</v>
      </c>
      <c r="Z2283"/>
      <c r="AB2283"/>
      <c r="AC2283">
        <v>314.16000000000003</v>
      </c>
      <c r="AD2283">
        <v>235</v>
      </c>
      <c r="AE2283" s="1">
        <v>73827.600000000006</v>
      </c>
      <c r="AF2283">
        <v>0</v>
      </c>
      <c r="AJ2283">
        <v>0</v>
      </c>
      <c r="AK2283">
        <v>0</v>
      </c>
      <c r="AL2283">
        <v>0</v>
      </c>
      <c r="AM2283">
        <v>0</v>
      </c>
      <c r="AN2283">
        <v>0</v>
      </c>
      <c r="AO2283">
        <v>0</v>
      </c>
      <c r="AP2283" s="2">
        <v>42746</v>
      </c>
      <c r="AQ2283" t="s">
        <v>72</v>
      </c>
      <c r="AR2283" t="s">
        <v>72</v>
      </c>
      <c r="AS2283">
        <v>2341</v>
      </c>
      <c r="AT2283" s="4">
        <v>42620</v>
      </c>
      <c r="AU2283" t="s">
        <v>73</v>
      </c>
      <c r="AV2283">
        <v>2341</v>
      </c>
      <c r="AW2283" s="4">
        <v>42620</v>
      </c>
      <c r="BD2283">
        <v>0</v>
      </c>
      <c r="BN2283" t="s">
        <v>74</v>
      </c>
    </row>
    <row r="2284" spans="1:66" hidden="1">
      <c r="A2284">
        <v>100700</v>
      </c>
      <c r="B2284" s="3" t="s">
        <v>228</v>
      </c>
      <c r="C2284" s="1">
        <v>43300101</v>
      </c>
      <c r="D2284" t="s">
        <v>67</v>
      </c>
      <c r="H2284" t="str">
        <f t="shared" si="221"/>
        <v>STFGPP58D22A783F</v>
      </c>
      <c r="I2284" t="str">
        <f t="shared" si="222"/>
        <v>00766740625</v>
      </c>
      <c r="K2284" t="str">
        <f>""</f>
        <v/>
      </c>
      <c r="M2284" t="s">
        <v>68</v>
      </c>
      <c r="N2284" t="str">
        <f t="shared" si="223"/>
        <v>FOR</v>
      </c>
      <c r="O2284" t="s">
        <v>69</v>
      </c>
      <c r="P2284" s="3" t="s">
        <v>75</v>
      </c>
      <c r="Q2284">
        <v>2015</v>
      </c>
      <c r="R2284" s="2">
        <v>42276</v>
      </c>
      <c r="S2284" s="2">
        <v>42326</v>
      </c>
      <c r="T2284" s="2">
        <v>42325</v>
      </c>
      <c r="U2284" s="2">
        <v>42385</v>
      </c>
      <c r="V2284" t="s">
        <v>71</v>
      </c>
      <c r="W2284" t="str">
        <f>"              379/EL"</f>
        <v xml:space="preserve">              379/EL</v>
      </c>
      <c r="X2284">
        <v>120.78</v>
      </c>
      <c r="Y2284">
        <v>0</v>
      </c>
      <c r="Z2284"/>
      <c r="AB2284"/>
      <c r="AC2284">
        <v>99</v>
      </c>
      <c r="AD2284">
        <v>235</v>
      </c>
      <c r="AE2284" s="1">
        <v>23265</v>
      </c>
      <c r="AF2284">
        <v>0</v>
      </c>
      <c r="AJ2284">
        <v>0</v>
      </c>
      <c r="AK2284">
        <v>0</v>
      </c>
      <c r="AL2284">
        <v>0</v>
      </c>
      <c r="AM2284">
        <v>0</v>
      </c>
      <c r="AN2284">
        <v>0</v>
      </c>
      <c r="AO2284">
        <v>0</v>
      </c>
      <c r="AP2284" s="2">
        <v>42746</v>
      </c>
      <c r="AQ2284" t="s">
        <v>72</v>
      </c>
      <c r="AR2284" t="s">
        <v>72</v>
      </c>
      <c r="AS2284">
        <v>2341</v>
      </c>
      <c r="AT2284" s="4">
        <v>42620</v>
      </c>
      <c r="AU2284" t="s">
        <v>73</v>
      </c>
      <c r="AV2284">
        <v>2341</v>
      </c>
      <c r="AW2284" s="4">
        <v>42620</v>
      </c>
      <c r="BD2284">
        <v>0</v>
      </c>
      <c r="BN2284" t="s">
        <v>74</v>
      </c>
    </row>
    <row r="2285" spans="1:66" hidden="1">
      <c r="A2285">
        <v>100700</v>
      </c>
      <c r="B2285" s="3" t="s">
        <v>228</v>
      </c>
      <c r="C2285" s="1">
        <v>43300101</v>
      </c>
      <c r="D2285" t="s">
        <v>67</v>
      </c>
      <c r="H2285" t="str">
        <f t="shared" si="221"/>
        <v>STFGPP58D22A783F</v>
      </c>
      <c r="I2285" t="str">
        <f t="shared" si="222"/>
        <v>00766740625</v>
      </c>
      <c r="K2285" t="str">
        <f>""</f>
        <v/>
      </c>
      <c r="M2285" t="s">
        <v>68</v>
      </c>
      <c r="N2285" t="str">
        <f t="shared" si="223"/>
        <v>FOR</v>
      </c>
      <c r="O2285" t="s">
        <v>69</v>
      </c>
      <c r="P2285" s="3" t="s">
        <v>75</v>
      </c>
      <c r="Q2285">
        <v>2015</v>
      </c>
      <c r="R2285" s="2">
        <v>42276</v>
      </c>
      <c r="S2285" s="2">
        <v>42326</v>
      </c>
      <c r="T2285" s="2">
        <v>42325</v>
      </c>
      <c r="U2285" s="2">
        <v>42385</v>
      </c>
      <c r="V2285" t="s">
        <v>71</v>
      </c>
      <c r="W2285" t="str">
        <f>"              380/EL"</f>
        <v xml:space="preserve">              380/EL</v>
      </c>
      <c r="X2285">
        <v>355.56</v>
      </c>
      <c r="Y2285">
        <v>0</v>
      </c>
      <c r="Z2285"/>
      <c r="AB2285"/>
      <c r="AC2285">
        <v>341.88</v>
      </c>
      <c r="AD2285">
        <v>235</v>
      </c>
      <c r="AE2285" s="1">
        <v>80341.8</v>
      </c>
      <c r="AF2285">
        <v>0</v>
      </c>
      <c r="AJ2285">
        <v>0</v>
      </c>
      <c r="AK2285">
        <v>0</v>
      </c>
      <c r="AL2285">
        <v>0</v>
      </c>
      <c r="AM2285">
        <v>0</v>
      </c>
      <c r="AN2285">
        <v>0</v>
      </c>
      <c r="AO2285">
        <v>0</v>
      </c>
      <c r="AP2285" s="2">
        <v>42746</v>
      </c>
      <c r="AQ2285" t="s">
        <v>72</v>
      </c>
      <c r="AR2285" t="s">
        <v>72</v>
      </c>
      <c r="AS2285">
        <v>2341</v>
      </c>
      <c r="AT2285" s="4">
        <v>42620</v>
      </c>
      <c r="AU2285" t="s">
        <v>73</v>
      </c>
      <c r="AV2285">
        <v>2341</v>
      </c>
      <c r="AW2285" s="4">
        <v>42620</v>
      </c>
      <c r="BD2285">
        <v>0</v>
      </c>
      <c r="BN2285" t="s">
        <v>74</v>
      </c>
    </row>
    <row r="2286" spans="1:66" hidden="1">
      <c r="A2286">
        <v>100700</v>
      </c>
      <c r="B2286" s="3" t="s">
        <v>228</v>
      </c>
      <c r="C2286" s="1">
        <v>43300101</v>
      </c>
      <c r="D2286" t="s">
        <v>67</v>
      </c>
      <c r="H2286" t="str">
        <f t="shared" si="221"/>
        <v>STFGPP58D22A783F</v>
      </c>
      <c r="I2286" t="str">
        <f t="shared" si="222"/>
        <v>00766740625</v>
      </c>
      <c r="K2286" t="str">
        <f>""</f>
        <v/>
      </c>
      <c r="M2286" t="s">
        <v>68</v>
      </c>
      <c r="N2286" t="str">
        <f t="shared" si="223"/>
        <v>FOR</v>
      </c>
      <c r="O2286" t="s">
        <v>69</v>
      </c>
      <c r="P2286" s="3" t="s">
        <v>75</v>
      </c>
      <c r="Q2286">
        <v>2015</v>
      </c>
      <c r="R2286" s="2">
        <v>42276</v>
      </c>
      <c r="S2286" s="2">
        <v>42326</v>
      </c>
      <c r="T2286" s="2">
        <v>42325</v>
      </c>
      <c r="U2286" s="2">
        <v>42385</v>
      </c>
      <c r="V2286" t="s">
        <v>71</v>
      </c>
      <c r="W2286" t="str">
        <f>"              381/EL"</f>
        <v xml:space="preserve">              381/EL</v>
      </c>
      <c r="X2286">
        <v>139.78</v>
      </c>
      <c r="Y2286">
        <v>0</v>
      </c>
      <c r="Z2286"/>
      <c r="AB2286"/>
      <c r="AC2286">
        <v>134.4</v>
      </c>
      <c r="AD2286">
        <v>235</v>
      </c>
      <c r="AE2286" s="1">
        <v>31584</v>
      </c>
      <c r="AF2286">
        <v>0</v>
      </c>
      <c r="AJ2286">
        <v>0</v>
      </c>
      <c r="AK2286">
        <v>0</v>
      </c>
      <c r="AL2286">
        <v>0</v>
      </c>
      <c r="AM2286">
        <v>0</v>
      </c>
      <c r="AN2286">
        <v>0</v>
      </c>
      <c r="AO2286">
        <v>0</v>
      </c>
      <c r="AP2286" s="2">
        <v>42746</v>
      </c>
      <c r="AQ2286" t="s">
        <v>72</v>
      </c>
      <c r="AR2286" t="s">
        <v>72</v>
      </c>
      <c r="AS2286">
        <v>2341</v>
      </c>
      <c r="AT2286" s="4">
        <v>42620</v>
      </c>
      <c r="AU2286" t="s">
        <v>73</v>
      </c>
      <c r="AV2286">
        <v>2341</v>
      </c>
      <c r="AW2286" s="4">
        <v>42620</v>
      </c>
      <c r="BD2286">
        <v>0</v>
      </c>
      <c r="BN2286" t="s">
        <v>74</v>
      </c>
    </row>
    <row r="2287" spans="1:66" hidden="1">
      <c r="A2287">
        <v>100700</v>
      </c>
      <c r="B2287" s="3" t="s">
        <v>228</v>
      </c>
      <c r="C2287" s="1">
        <v>43300101</v>
      </c>
      <c r="D2287" t="s">
        <v>67</v>
      </c>
      <c r="H2287" t="str">
        <f t="shared" si="221"/>
        <v>STFGPP58D22A783F</v>
      </c>
      <c r="I2287" t="str">
        <f t="shared" si="222"/>
        <v>00766740625</v>
      </c>
      <c r="K2287" t="str">
        <f>""</f>
        <v/>
      </c>
      <c r="M2287" t="s">
        <v>68</v>
      </c>
      <c r="N2287" t="str">
        <f t="shared" si="223"/>
        <v>FOR</v>
      </c>
      <c r="O2287" t="s">
        <v>69</v>
      </c>
      <c r="P2287" s="3" t="s">
        <v>75</v>
      </c>
      <c r="Q2287">
        <v>2015</v>
      </c>
      <c r="R2287" s="2">
        <v>42276</v>
      </c>
      <c r="S2287" s="2">
        <v>42326</v>
      </c>
      <c r="T2287" s="2">
        <v>42325</v>
      </c>
      <c r="U2287" s="2">
        <v>42385</v>
      </c>
      <c r="V2287" t="s">
        <v>71</v>
      </c>
      <c r="W2287" t="str">
        <f>"              382/EL"</f>
        <v xml:space="preserve">              382/EL</v>
      </c>
      <c r="X2287">
        <v>496.08</v>
      </c>
      <c r="Y2287">
        <v>0</v>
      </c>
      <c r="Z2287"/>
      <c r="AB2287"/>
      <c r="AC2287">
        <v>477</v>
      </c>
      <c r="AD2287">
        <v>235</v>
      </c>
      <c r="AE2287" s="1">
        <v>112095</v>
      </c>
      <c r="AF2287">
        <v>0</v>
      </c>
      <c r="AJ2287">
        <v>0</v>
      </c>
      <c r="AK2287">
        <v>0</v>
      </c>
      <c r="AL2287">
        <v>0</v>
      </c>
      <c r="AM2287">
        <v>0</v>
      </c>
      <c r="AN2287">
        <v>0</v>
      </c>
      <c r="AO2287">
        <v>0</v>
      </c>
      <c r="AP2287" s="2">
        <v>42746</v>
      </c>
      <c r="AQ2287" t="s">
        <v>72</v>
      </c>
      <c r="AR2287" t="s">
        <v>72</v>
      </c>
      <c r="AS2287">
        <v>2341</v>
      </c>
      <c r="AT2287" s="4">
        <v>42620</v>
      </c>
      <c r="AU2287" t="s">
        <v>73</v>
      </c>
      <c r="AV2287">
        <v>2341</v>
      </c>
      <c r="AW2287" s="4">
        <v>42620</v>
      </c>
      <c r="BD2287">
        <v>0</v>
      </c>
      <c r="BN2287" t="s">
        <v>74</v>
      </c>
    </row>
    <row r="2288" spans="1:66" hidden="1">
      <c r="A2288">
        <v>100700</v>
      </c>
      <c r="B2288" s="3" t="s">
        <v>228</v>
      </c>
      <c r="C2288" s="1">
        <v>43300101</v>
      </c>
      <c r="D2288" t="s">
        <v>67</v>
      </c>
      <c r="H2288" t="str">
        <f t="shared" si="221"/>
        <v>STFGPP58D22A783F</v>
      </c>
      <c r="I2288" t="str">
        <f t="shared" si="222"/>
        <v>00766740625</v>
      </c>
      <c r="K2288" t="str">
        <f>""</f>
        <v/>
      </c>
      <c r="M2288" t="s">
        <v>68</v>
      </c>
      <c r="N2288" t="str">
        <f t="shared" si="223"/>
        <v>FOR</v>
      </c>
      <c r="O2288" t="s">
        <v>69</v>
      </c>
      <c r="P2288" s="3" t="s">
        <v>75</v>
      </c>
      <c r="Q2288">
        <v>2015</v>
      </c>
      <c r="R2288" s="2">
        <v>42276</v>
      </c>
      <c r="S2288" s="2">
        <v>42326</v>
      </c>
      <c r="T2288" s="2">
        <v>42325</v>
      </c>
      <c r="U2288" s="2">
        <v>42385</v>
      </c>
      <c r="V2288" t="s">
        <v>71</v>
      </c>
      <c r="W2288" t="str">
        <f>"              383/EL"</f>
        <v xml:space="preserve">              383/EL</v>
      </c>
      <c r="X2288">
        <v>418.91</v>
      </c>
      <c r="Y2288">
        <v>0</v>
      </c>
      <c r="Z2288"/>
      <c r="AB2288"/>
      <c r="AC2288">
        <v>402.8</v>
      </c>
      <c r="AD2288">
        <v>235</v>
      </c>
      <c r="AE2288" s="1">
        <v>94658</v>
      </c>
      <c r="AF2288">
        <v>0</v>
      </c>
      <c r="AJ2288">
        <v>0</v>
      </c>
      <c r="AK2288">
        <v>0</v>
      </c>
      <c r="AL2288">
        <v>0</v>
      </c>
      <c r="AM2288">
        <v>0</v>
      </c>
      <c r="AN2288">
        <v>0</v>
      </c>
      <c r="AO2288">
        <v>0</v>
      </c>
      <c r="AP2288" s="2">
        <v>42746</v>
      </c>
      <c r="AQ2288" t="s">
        <v>72</v>
      </c>
      <c r="AR2288" t="s">
        <v>72</v>
      </c>
      <c r="AS2288">
        <v>2341</v>
      </c>
      <c r="AT2288" s="4">
        <v>42620</v>
      </c>
      <c r="AU2288" t="s">
        <v>73</v>
      </c>
      <c r="AV2288">
        <v>2341</v>
      </c>
      <c r="AW2288" s="4">
        <v>42620</v>
      </c>
      <c r="BD2288">
        <v>0</v>
      </c>
      <c r="BN2288" t="s">
        <v>74</v>
      </c>
    </row>
    <row r="2289" spans="1:66">
      <c r="A2289">
        <v>100700</v>
      </c>
      <c r="B2289" s="3" t="s">
        <v>228</v>
      </c>
      <c r="C2289" s="1">
        <v>43300101</v>
      </c>
      <c r="D2289" t="s">
        <v>67</v>
      </c>
      <c r="H2289" t="str">
        <f t="shared" ref="H2289:H2307" si="224">"STFGPP58D22A783F"</f>
        <v>STFGPP58D22A783F</v>
      </c>
      <c r="I2289" t="str">
        <f t="shared" ref="I2289:I2307" si="225">"00766740625"</f>
        <v>00766740625</v>
      </c>
      <c r="K2289" t="str">
        <f>""</f>
        <v/>
      </c>
      <c r="M2289" t="s">
        <v>68</v>
      </c>
      <c r="N2289" t="str">
        <f t="shared" si="223"/>
        <v>FOR</v>
      </c>
      <c r="O2289" t="s">
        <v>69</v>
      </c>
      <c r="P2289" s="3" t="s">
        <v>75</v>
      </c>
      <c r="Q2289">
        <v>2015</v>
      </c>
      <c r="R2289" s="2">
        <v>42338</v>
      </c>
      <c r="S2289" s="2">
        <v>42354</v>
      </c>
      <c r="T2289" s="2">
        <v>42353</v>
      </c>
      <c r="U2289" s="2">
        <v>42413</v>
      </c>
      <c r="V2289" t="s">
        <v>71</v>
      </c>
      <c r="W2289" t="str">
        <f>"              471/EL"</f>
        <v xml:space="preserve">              471/EL</v>
      </c>
      <c r="X2289">
        <v>41.18</v>
      </c>
      <c r="Y2289">
        <v>0</v>
      </c>
      <c r="Z2289" s="3">
        <v>39.6</v>
      </c>
      <c r="AA2289">
        <v>271</v>
      </c>
      <c r="AB2289" s="5">
        <v>10731.6</v>
      </c>
      <c r="AC2289">
        <v>39.6</v>
      </c>
      <c r="AD2289">
        <v>271</v>
      </c>
      <c r="AE2289" s="1">
        <v>10731.6</v>
      </c>
      <c r="AF2289">
        <v>0</v>
      </c>
      <c r="AJ2289">
        <v>0</v>
      </c>
      <c r="AK2289">
        <v>0</v>
      </c>
      <c r="AL2289">
        <v>0</v>
      </c>
      <c r="AM2289">
        <v>0</v>
      </c>
      <c r="AN2289">
        <v>0</v>
      </c>
      <c r="AO2289">
        <v>0</v>
      </c>
      <c r="AP2289" s="2">
        <v>42746</v>
      </c>
      <c r="AQ2289" t="s">
        <v>72</v>
      </c>
      <c r="AR2289" t="s">
        <v>72</v>
      </c>
      <c r="AS2289">
        <v>3056</v>
      </c>
      <c r="AT2289" s="4">
        <v>42684</v>
      </c>
      <c r="AU2289" t="s">
        <v>73</v>
      </c>
      <c r="AV2289">
        <v>3056</v>
      </c>
      <c r="AW2289" s="4">
        <v>42684</v>
      </c>
      <c r="BD2289">
        <v>0</v>
      </c>
      <c r="BN2289" t="s">
        <v>74</v>
      </c>
    </row>
    <row r="2290" spans="1:66">
      <c r="A2290">
        <v>100700</v>
      </c>
      <c r="B2290" s="3" t="s">
        <v>228</v>
      </c>
      <c r="C2290" s="1">
        <v>43300101</v>
      </c>
      <c r="D2290" t="s">
        <v>67</v>
      </c>
      <c r="H2290" t="str">
        <f t="shared" si="224"/>
        <v>STFGPP58D22A783F</v>
      </c>
      <c r="I2290" t="str">
        <f t="shared" si="225"/>
        <v>00766740625</v>
      </c>
      <c r="K2290" t="str">
        <f>""</f>
        <v/>
      </c>
      <c r="M2290" t="s">
        <v>68</v>
      </c>
      <c r="N2290" t="str">
        <f t="shared" si="223"/>
        <v>FOR</v>
      </c>
      <c r="O2290" t="s">
        <v>69</v>
      </c>
      <c r="P2290" s="3" t="s">
        <v>75</v>
      </c>
      <c r="Q2290">
        <v>2015</v>
      </c>
      <c r="R2290" s="2">
        <v>42338</v>
      </c>
      <c r="S2290" s="2">
        <v>42353</v>
      </c>
      <c r="T2290" s="2">
        <v>42350</v>
      </c>
      <c r="U2290" s="2">
        <v>42410</v>
      </c>
      <c r="V2290" t="s">
        <v>71</v>
      </c>
      <c r="W2290" t="str">
        <f>"              472/EL"</f>
        <v xml:space="preserve">              472/EL</v>
      </c>
      <c r="X2290">
        <v>186.37</v>
      </c>
      <c r="Y2290">
        <v>0</v>
      </c>
      <c r="Z2290" s="3">
        <v>179.2</v>
      </c>
      <c r="AA2290">
        <v>274</v>
      </c>
      <c r="AB2290" s="5">
        <v>49100.800000000003</v>
      </c>
      <c r="AC2290">
        <v>179.2</v>
      </c>
      <c r="AD2290">
        <v>274</v>
      </c>
      <c r="AE2290" s="1">
        <v>49100.800000000003</v>
      </c>
      <c r="AF2290">
        <v>0</v>
      </c>
      <c r="AJ2290">
        <v>0</v>
      </c>
      <c r="AK2290">
        <v>0</v>
      </c>
      <c r="AL2290">
        <v>0</v>
      </c>
      <c r="AM2290">
        <v>0</v>
      </c>
      <c r="AN2290">
        <v>0</v>
      </c>
      <c r="AO2290">
        <v>0</v>
      </c>
      <c r="AP2290" s="2">
        <v>42746</v>
      </c>
      <c r="AQ2290" t="s">
        <v>72</v>
      </c>
      <c r="AR2290" t="s">
        <v>72</v>
      </c>
      <c r="AS2290">
        <v>3056</v>
      </c>
      <c r="AT2290" s="4">
        <v>42684</v>
      </c>
      <c r="AU2290" t="s">
        <v>73</v>
      </c>
      <c r="AV2290">
        <v>3056</v>
      </c>
      <c r="AW2290" s="4">
        <v>42684</v>
      </c>
      <c r="BD2290">
        <v>0</v>
      </c>
      <c r="BN2290" t="s">
        <v>74</v>
      </c>
    </row>
    <row r="2291" spans="1:66">
      <c r="A2291">
        <v>100700</v>
      </c>
      <c r="B2291" s="3" t="s">
        <v>228</v>
      </c>
      <c r="C2291" s="1">
        <v>43300101</v>
      </c>
      <c r="D2291" t="s">
        <v>67</v>
      </c>
      <c r="H2291" t="str">
        <f t="shared" si="224"/>
        <v>STFGPP58D22A783F</v>
      </c>
      <c r="I2291" t="str">
        <f t="shared" si="225"/>
        <v>00766740625</v>
      </c>
      <c r="K2291" t="str">
        <f>""</f>
        <v/>
      </c>
      <c r="M2291" t="s">
        <v>68</v>
      </c>
      <c r="N2291" t="str">
        <f t="shared" si="223"/>
        <v>FOR</v>
      </c>
      <c r="O2291" t="s">
        <v>69</v>
      </c>
      <c r="P2291" s="3" t="s">
        <v>75</v>
      </c>
      <c r="Q2291">
        <v>2015</v>
      </c>
      <c r="R2291" s="2">
        <v>42338</v>
      </c>
      <c r="S2291" s="2">
        <v>42353</v>
      </c>
      <c r="T2291" s="2">
        <v>42350</v>
      </c>
      <c r="U2291" s="2">
        <v>42410</v>
      </c>
      <c r="V2291" t="s">
        <v>71</v>
      </c>
      <c r="W2291" t="str">
        <f>"              473/EL"</f>
        <v xml:space="preserve">              473/EL</v>
      </c>
      <c r="X2291">
        <v>501.03</v>
      </c>
      <c r="Y2291">
        <v>0</v>
      </c>
      <c r="Z2291" s="3">
        <v>481.76</v>
      </c>
      <c r="AA2291">
        <v>274</v>
      </c>
      <c r="AB2291" s="5">
        <v>132002.23999999999</v>
      </c>
      <c r="AC2291">
        <v>481.76</v>
      </c>
      <c r="AD2291">
        <v>274</v>
      </c>
      <c r="AE2291" s="1">
        <v>132002.23999999999</v>
      </c>
      <c r="AF2291">
        <v>0</v>
      </c>
      <c r="AJ2291">
        <v>0</v>
      </c>
      <c r="AK2291">
        <v>0</v>
      </c>
      <c r="AL2291">
        <v>0</v>
      </c>
      <c r="AM2291">
        <v>0</v>
      </c>
      <c r="AN2291">
        <v>0</v>
      </c>
      <c r="AO2291">
        <v>0</v>
      </c>
      <c r="AP2291" s="2">
        <v>42746</v>
      </c>
      <c r="AQ2291" t="s">
        <v>72</v>
      </c>
      <c r="AR2291" t="s">
        <v>72</v>
      </c>
      <c r="AS2291">
        <v>3056</v>
      </c>
      <c r="AT2291" s="4">
        <v>42684</v>
      </c>
      <c r="AU2291" t="s">
        <v>73</v>
      </c>
      <c r="AV2291">
        <v>3056</v>
      </c>
      <c r="AW2291" s="4">
        <v>42684</v>
      </c>
      <c r="BD2291">
        <v>0</v>
      </c>
      <c r="BN2291" t="s">
        <v>74</v>
      </c>
    </row>
    <row r="2292" spans="1:66">
      <c r="A2292">
        <v>100700</v>
      </c>
      <c r="B2292" s="3" t="s">
        <v>228</v>
      </c>
      <c r="C2292" s="1">
        <v>43300101</v>
      </c>
      <c r="D2292" t="s">
        <v>67</v>
      </c>
      <c r="H2292" t="str">
        <f t="shared" si="224"/>
        <v>STFGPP58D22A783F</v>
      </c>
      <c r="I2292" t="str">
        <f t="shared" si="225"/>
        <v>00766740625</v>
      </c>
      <c r="K2292" t="str">
        <f>""</f>
        <v/>
      </c>
      <c r="M2292" t="s">
        <v>68</v>
      </c>
      <c r="N2292" t="str">
        <f t="shared" si="223"/>
        <v>FOR</v>
      </c>
      <c r="O2292" t="s">
        <v>69</v>
      </c>
      <c r="P2292" s="3" t="s">
        <v>75</v>
      </c>
      <c r="Q2292">
        <v>2015</v>
      </c>
      <c r="R2292" s="2">
        <v>42362</v>
      </c>
      <c r="S2292" s="2">
        <v>42443</v>
      </c>
      <c r="T2292" s="2">
        <v>42440</v>
      </c>
      <c r="U2292" s="2">
        <v>42500</v>
      </c>
      <c r="V2292" t="s">
        <v>71</v>
      </c>
      <c r="W2292" t="str">
        <f>"              514/EL"</f>
        <v xml:space="preserve">              514/EL</v>
      </c>
      <c r="X2292">
        <v>153.75</v>
      </c>
      <c r="Y2292">
        <v>0</v>
      </c>
      <c r="Z2292" s="3">
        <v>147.84</v>
      </c>
      <c r="AA2292">
        <v>184</v>
      </c>
      <c r="AB2292" s="5">
        <v>27202.560000000001</v>
      </c>
      <c r="AC2292">
        <v>147.84</v>
      </c>
      <c r="AD2292">
        <v>184</v>
      </c>
      <c r="AE2292" s="1">
        <v>27202.560000000001</v>
      </c>
      <c r="AF2292">
        <v>0</v>
      </c>
      <c r="AJ2292">
        <v>0</v>
      </c>
      <c r="AK2292">
        <v>0</v>
      </c>
      <c r="AL2292">
        <v>0</v>
      </c>
      <c r="AM2292">
        <v>0</v>
      </c>
      <c r="AN2292">
        <v>153.75</v>
      </c>
      <c r="AO2292">
        <v>0</v>
      </c>
      <c r="AP2292" s="2">
        <v>42746</v>
      </c>
      <c r="AQ2292" t="s">
        <v>72</v>
      </c>
      <c r="AR2292" t="s">
        <v>72</v>
      </c>
      <c r="AS2292">
        <v>3056</v>
      </c>
      <c r="AT2292" s="4">
        <v>42684</v>
      </c>
      <c r="AU2292" t="s">
        <v>73</v>
      </c>
      <c r="AV2292">
        <v>3056</v>
      </c>
      <c r="AW2292" s="4">
        <v>42684</v>
      </c>
      <c r="BD2292">
        <v>0</v>
      </c>
      <c r="BN2292" t="s">
        <v>74</v>
      </c>
    </row>
    <row r="2293" spans="1:66">
      <c r="A2293">
        <v>100700</v>
      </c>
      <c r="B2293" s="3" t="s">
        <v>228</v>
      </c>
      <c r="C2293" s="1">
        <v>43300101</v>
      </c>
      <c r="D2293" t="s">
        <v>67</v>
      </c>
      <c r="H2293" t="str">
        <f t="shared" si="224"/>
        <v>STFGPP58D22A783F</v>
      </c>
      <c r="I2293" t="str">
        <f t="shared" si="225"/>
        <v>00766740625</v>
      </c>
      <c r="K2293" t="str">
        <f>""</f>
        <v/>
      </c>
      <c r="M2293" t="s">
        <v>68</v>
      </c>
      <c r="N2293" t="str">
        <f t="shared" si="223"/>
        <v>FOR</v>
      </c>
      <c r="O2293" t="s">
        <v>69</v>
      </c>
      <c r="P2293" s="3" t="s">
        <v>75</v>
      </c>
      <c r="Q2293">
        <v>2015</v>
      </c>
      <c r="R2293" s="2">
        <v>42362</v>
      </c>
      <c r="S2293" s="2">
        <v>42443</v>
      </c>
      <c r="T2293" s="2">
        <v>42440</v>
      </c>
      <c r="U2293" s="2">
        <v>42500</v>
      </c>
      <c r="V2293" t="s">
        <v>71</v>
      </c>
      <c r="W2293" t="str">
        <f>"              516/EL"</f>
        <v xml:space="preserve">              516/EL</v>
      </c>
      <c r="X2293">
        <v>192.19</v>
      </c>
      <c r="Y2293">
        <v>0</v>
      </c>
      <c r="Z2293" s="3">
        <v>184.8</v>
      </c>
      <c r="AA2293">
        <v>184</v>
      </c>
      <c r="AB2293" s="5">
        <v>34003.199999999997</v>
      </c>
      <c r="AC2293">
        <v>184.8</v>
      </c>
      <c r="AD2293">
        <v>184</v>
      </c>
      <c r="AE2293" s="1">
        <v>34003.199999999997</v>
      </c>
      <c r="AF2293">
        <v>0</v>
      </c>
      <c r="AJ2293">
        <v>0</v>
      </c>
      <c r="AK2293">
        <v>0</v>
      </c>
      <c r="AL2293">
        <v>0</v>
      </c>
      <c r="AM2293">
        <v>0</v>
      </c>
      <c r="AN2293">
        <v>192.19</v>
      </c>
      <c r="AO2293">
        <v>0</v>
      </c>
      <c r="AP2293" s="2">
        <v>42746</v>
      </c>
      <c r="AQ2293" t="s">
        <v>72</v>
      </c>
      <c r="AR2293" t="s">
        <v>72</v>
      </c>
      <c r="AS2293">
        <v>3056</v>
      </c>
      <c r="AT2293" s="4">
        <v>42684</v>
      </c>
      <c r="AU2293" t="s">
        <v>73</v>
      </c>
      <c r="AV2293">
        <v>3056</v>
      </c>
      <c r="AW2293" s="4">
        <v>42684</v>
      </c>
      <c r="BD2293">
        <v>0</v>
      </c>
      <c r="BN2293" t="s">
        <v>74</v>
      </c>
    </row>
    <row r="2294" spans="1:66">
      <c r="A2294">
        <v>100700</v>
      </c>
      <c r="B2294" s="3" t="s">
        <v>228</v>
      </c>
      <c r="C2294" s="1">
        <v>43300101</v>
      </c>
      <c r="D2294" t="s">
        <v>67</v>
      </c>
      <c r="H2294" t="str">
        <f t="shared" si="224"/>
        <v>STFGPP58D22A783F</v>
      </c>
      <c r="I2294" t="str">
        <f t="shared" si="225"/>
        <v>00766740625</v>
      </c>
      <c r="K2294" t="str">
        <f>""</f>
        <v/>
      </c>
      <c r="M2294" t="s">
        <v>68</v>
      </c>
      <c r="N2294" t="str">
        <f t="shared" si="223"/>
        <v>FOR</v>
      </c>
      <c r="O2294" t="s">
        <v>69</v>
      </c>
      <c r="P2294" s="3" t="s">
        <v>75</v>
      </c>
      <c r="Q2294">
        <v>2015</v>
      </c>
      <c r="R2294" s="2">
        <v>42369</v>
      </c>
      <c r="S2294" s="2">
        <v>42444</v>
      </c>
      <c r="T2294" s="2">
        <v>42441</v>
      </c>
      <c r="U2294" s="2">
        <v>42501</v>
      </c>
      <c r="V2294" t="s">
        <v>71</v>
      </c>
      <c r="W2294" t="str">
        <f>"              525/EL"</f>
        <v xml:space="preserve">              525/EL</v>
      </c>
      <c r="X2294">
        <v>452.61</v>
      </c>
      <c r="Y2294">
        <v>0</v>
      </c>
      <c r="Z2294" s="3">
        <v>435.2</v>
      </c>
      <c r="AA2294">
        <v>183</v>
      </c>
      <c r="AB2294" s="5">
        <v>79641.600000000006</v>
      </c>
      <c r="AC2294">
        <v>435.2</v>
      </c>
      <c r="AD2294">
        <v>183</v>
      </c>
      <c r="AE2294" s="1">
        <v>79641.600000000006</v>
      </c>
      <c r="AF2294">
        <v>0</v>
      </c>
      <c r="AJ2294">
        <v>0</v>
      </c>
      <c r="AK2294">
        <v>0</v>
      </c>
      <c r="AL2294">
        <v>0</v>
      </c>
      <c r="AM2294">
        <v>0</v>
      </c>
      <c r="AN2294">
        <v>452.61</v>
      </c>
      <c r="AO2294">
        <v>0</v>
      </c>
      <c r="AP2294" s="2">
        <v>42746</v>
      </c>
      <c r="AQ2294" t="s">
        <v>72</v>
      </c>
      <c r="AR2294" t="s">
        <v>72</v>
      </c>
      <c r="AS2294">
        <v>3056</v>
      </c>
      <c r="AT2294" s="4">
        <v>42684</v>
      </c>
      <c r="AU2294" t="s">
        <v>73</v>
      </c>
      <c r="AV2294">
        <v>3056</v>
      </c>
      <c r="AW2294" s="4">
        <v>42684</v>
      </c>
      <c r="BD2294">
        <v>0</v>
      </c>
      <c r="BN2294" t="s">
        <v>74</v>
      </c>
    </row>
    <row r="2295" spans="1:66">
      <c r="A2295">
        <v>100700</v>
      </c>
      <c r="B2295" s="3" t="s">
        <v>228</v>
      </c>
      <c r="C2295" s="1">
        <v>43300101</v>
      </c>
      <c r="D2295" t="s">
        <v>67</v>
      </c>
      <c r="H2295" t="str">
        <f t="shared" si="224"/>
        <v>STFGPP58D22A783F</v>
      </c>
      <c r="I2295" t="str">
        <f t="shared" si="225"/>
        <v>00766740625</v>
      </c>
      <c r="K2295" t="str">
        <f>""</f>
        <v/>
      </c>
      <c r="M2295" t="s">
        <v>68</v>
      </c>
      <c r="N2295" t="str">
        <f t="shared" si="223"/>
        <v>FOR</v>
      </c>
      <c r="O2295" t="s">
        <v>69</v>
      </c>
      <c r="P2295" s="3" t="s">
        <v>75</v>
      </c>
      <c r="Q2295">
        <v>2015</v>
      </c>
      <c r="R2295" s="2">
        <v>42368</v>
      </c>
      <c r="S2295" s="2">
        <v>42444</v>
      </c>
      <c r="T2295" s="2">
        <v>42441</v>
      </c>
      <c r="U2295" s="2">
        <v>42501</v>
      </c>
      <c r="V2295" t="s">
        <v>71</v>
      </c>
      <c r="W2295" t="str">
        <f>"              527/EL"</f>
        <v xml:space="preserve">              527/EL</v>
      </c>
      <c r="X2295">
        <v>198.43</v>
      </c>
      <c r="Y2295">
        <v>0</v>
      </c>
      <c r="Z2295" s="3">
        <v>190.8</v>
      </c>
      <c r="AA2295">
        <v>183</v>
      </c>
      <c r="AB2295" s="5">
        <v>34916.400000000001</v>
      </c>
      <c r="AC2295">
        <v>190.8</v>
      </c>
      <c r="AD2295">
        <v>183</v>
      </c>
      <c r="AE2295" s="1">
        <v>34916.400000000001</v>
      </c>
      <c r="AF2295">
        <v>0</v>
      </c>
      <c r="AJ2295">
        <v>0</v>
      </c>
      <c r="AK2295">
        <v>0</v>
      </c>
      <c r="AL2295">
        <v>0</v>
      </c>
      <c r="AM2295">
        <v>0</v>
      </c>
      <c r="AN2295">
        <v>198.43</v>
      </c>
      <c r="AO2295">
        <v>0</v>
      </c>
      <c r="AP2295" s="2">
        <v>42746</v>
      </c>
      <c r="AQ2295" t="s">
        <v>72</v>
      </c>
      <c r="AR2295" t="s">
        <v>72</v>
      </c>
      <c r="AS2295">
        <v>3056</v>
      </c>
      <c r="AT2295" s="4">
        <v>42684</v>
      </c>
      <c r="AU2295" t="s">
        <v>73</v>
      </c>
      <c r="AV2295">
        <v>3056</v>
      </c>
      <c r="AW2295" s="4">
        <v>42684</v>
      </c>
      <c r="BD2295">
        <v>0</v>
      </c>
      <c r="BN2295" t="s">
        <v>74</v>
      </c>
    </row>
    <row r="2296" spans="1:66">
      <c r="A2296">
        <v>100700</v>
      </c>
      <c r="B2296" s="3" t="s">
        <v>228</v>
      </c>
      <c r="C2296" s="1">
        <v>43300101</v>
      </c>
      <c r="D2296" t="s">
        <v>67</v>
      </c>
      <c r="H2296" t="str">
        <f t="shared" si="224"/>
        <v>STFGPP58D22A783F</v>
      </c>
      <c r="I2296" t="str">
        <f t="shared" si="225"/>
        <v>00766740625</v>
      </c>
      <c r="K2296" t="str">
        <f>""</f>
        <v/>
      </c>
      <c r="M2296" t="s">
        <v>68</v>
      </c>
      <c r="N2296" t="str">
        <f t="shared" si="223"/>
        <v>FOR</v>
      </c>
      <c r="O2296" t="s">
        <v>69</v>
      </c>
      <c r="P2296" s="3" t="s">
        <v>75</v>
      </c>
      <c r="Q2296">
        <v>2015</v>
      </c>
      <c r="R2296" s="2">
        <v>42368</v>
      </c>
      <c r="S2296" s="2">
        <v>42444</v>
      </c>
      <c r="T2296" s="2">
        <v>42441</v>
      </c>
      <c r="U2296" s="2">
        <v>42501</v>
      </c>
      <c r="V2296" t="s">
        <v>71</v>
      </c>
      <c r="W2296" t="str">
        <f>"              530/EL"</f>
        <v xml:space="preserve">              530/EL</v>
      </c>
      <c r="X2296">
        <v>124.92</v>
      </c>
      <c r="Y2296">
        <v>0</v>
      </c>
      <c r="Z2296" s="3">
        <v>120.12</v>
      </c>
      <c r="AA2296">
        <v>183</v>
      </c>
      <c r="AB2296" s="5">
        <v>21981.96</v>
      </c>
      <c r="AC2296">
        <v>120.12</v>
      </c>
      <c r="AD2296">
        <v>183</v>
      </c>
      <c r="AE2296" s="1">
        <v>21981.96</v>
      </c>
      <c r="AF2296">
        <v>0</v>
      </c>
      <c r="AJ2296">
        <v>0</v>
      </c>
      <c r="AK2296">
        <v>0</v>
      </c>
      <c r="AL2296">
        <v>0</v>
      </c>
      <c r="AM2296">
        <v>0</v>
      </c>
      <c r="AN2296">
        <v>124.92</v>
      </c>
      <c r="AO2296">
        <v>0</v>
      </c>
      <c r="AP2296" s="2">
        <v>42746</v>
      </c>
      <c r="AQ2296" t="s">
        <v>72</v>
      </c>
      <c r="AR2296" t="s">
        <v>72</v>
      </c>
      <c r="AS2296">
        <v>3056</v>
      </c>
      <c r="AT2296" s="4">
        <v>42684</v>
      </c>
      <c r="AU2296" t="s">
        <v>73</v>
      </c>
      <c r="AV2296">
        <v>3056</v>
      </c>
      <c r="AW2296" s="4">
        <v>42684</v>
      </c>
      <c r="BD2296">
        <v>0</v>
      </c>
      <c r="BN2296" t="s">
        <v>74</v>
      </c>
    </row>
    <row r="2297" spans="1:66">
      <c r="A2297">
        <v>100700</v>
      </c>
      <c r="B2297" s="3" t="s">
        <v>228</v>
      </c>
      <c r="C2297" s="1">
        <v>43300101</v>
      </c>
      <c r="D2297" t="s">
        <v>67</v>
      </c>
      <c r="H2297" t="str">
        <f t="shared" si="224"/>
        <v>STFGPP58D22A783F</v>
      </c>
      <c r="I2297" t="str">
        <f t="shared" si="225"/>
        <v>00766740625</v>
      </c>
      <c r="K2297" t="str">
        <f>""</f>
        <v/>
      </c>
      <c r="M2297" t="s">
        <v>68</v>
      </c>
      <c r="N2297" t="str">
        <f t="shared" si="223"/>
        <v>FOR</v>
      </c>
      <c r="O2297" t="s">
        <v>69</v>
      </c>
      <c r="P2297" s="3" t="s">
        <v>75</v>
      </c>
      <c r="Q2297">
        <v>2016</v>
      </c>
      <c r="R2297" s="2">
        <v>42398</v>
      </c>
      <c r="S2297" s="2">
        <v>42529</v>
      </c>
      <c r="T2297" s="2">
        <v>42524</v>
      </c>
      <c r="U2297" s="2">
        <v>42584</v>
      </c>
      <c r="V2297" t="s">
        <v>71</v>
      </c>
      <c r="W2297" t="str">
        <f>"               40/EL"</f>
        <v xml:space="preserve">               40/EL</v>
      </c>
      <c r="X2297">
        <v>605.4</v>
      </c>
      <c r="Y2297">
        <v>0</v>
      </c>
      <c r="Z2297" s="3">
        <v>582.12</v>
      </c>
      <c r="AA2297">
        <v>108</v>
      </c>
      <c r="AB2297" s="5">
        <v>62868.959999999999</v>
      </c>
      <c r="AC2297">
        <v>582.12</v>
      </c>
      <c r="AD2297">
        <v>108</v>
      </c>
      <c r="AE2297" s="1">
        <v>62868.959999999999</v>
      </c>
      <c r="AF2297">
        <v>0</v>
      </c>
      <c r="AJ2297">
        <v>0</v>
      </c>
      <c r="AK2297">
        <v>0</v>
      </c>
      <c r="AL2297">
        <v>0</v>
      </c>
      <c r="AM2297">
        <v>605.4</v>
      </c>
      <c r="AN2297">
        <v>605.4</v>
      </c>
      <c r="AO2297">
        <v>605.4</v>
      </c>
      <c r="AP2297" s="2">
        <v>42746</v>
      </c>
      <c r="AQ2297" t="s">
        <v>72</v>
      </c>
      <c r="AR2297" t="s">
        <v>72</v>
      </c>
      <c r="AS2297">
        <v>3163</v>
      </c>
      <c r="AT2297" s="4">
        <v>42692</v>
      </c>
      <c r="AU2297" t="s">
        <v>73</v>
      </c>
      <c r="AV2297">
        <v>3163</v>
      </c>
      <c r="AW2297" s="4">
        <v>42692</v>
      </c>
      <c r="BD2297">
        <v>0</v>
      </c>
      <c r="BN2297" t="s">
        <v>74</v>
      </c>
    </row>
    <row r="2298" spans="1:66">
      <c r="A2298">
        <v>100700</v>
      </c>
      <c r="B2298" s="3" t="s">
        <v>228</v>
      </c>
      <c r="C2298" s="1">
        <v>43300101</v>
      </c>
      <c r="D2298" t="s">
        <v>67</v>
      </c>
      <c r="H2298" t="str">
        <f t="shared" si="224"/>
        <v>STFGPP58D22A783F</v>
      </c>
      <c r="I2298" t="str">
        <f t="shared" si="225"/>
        <v>00766740625</v>
      </c>
      <c r="K2298" t="str">
        <f>""</f>
        <v/>
      </c>
      <c r="M2298" t="s">
        <v>68</v>
      </c>
      <c r="N2298" t="str">
        <f t="shared" si="223"/>
        <v>FOR</v>
      </c>
      <c r="O2298" t="s">
        <v>69</v>
      </c>
      <c r="P2298" s="3" t="s">
        <v>75</v>
      </c>
      <c r="Q2298">
        <v>2016</v>
      </c>
      <c r="R2298" s="2">
        <v>42398</v>
      </c>
      <c r="S2298" s="2">
        <v>42529</v>
      </c>
      <c r="T2298" s="2">
        <v>42523</v>
      </c>
      <c r="U2298" s="2">
        <v>42583</v>
      </c>
      <c r="V2298" t="s">
        <v>71</v>
      </c>
      <c r="W2298" t="str">
        <f>"               41/EL"</f>
        <v xml:space="preserve">               41/EL</v>
      </c>
      <c r="X2298">
        <v>87.84</v>
      </c>
      <c r="Y2298">
        <v>0</v>
      </c>
      <c r="Z2298" s="3">
        <v>72</v>
      </c>
      <c r="AA2298">
        <v>109</v>
      </c>
      <c r="AB2298" s="5">
        <v>7848</v>
      </c>
      <c r="AC2298">
        <v>72</v>
      </c>
      <c r="AD2298">
        <v>109</v>
      </c>
      <c r="AE2298" s="1">
        <v>7848</v>
      </c>
      <c r="AF2298">
        <v>0</v>
      </c>
      <c r="AJ2298">
        <v>0</v>
      </c>
      <c r="AK2298">
        <v>0</v>
      </c>
      <c r="AL2298">
        <v>0</v>
      </c>
      <c r="AM2298">
        <v>87.84</v>
      </c>
      <c r="AN2298">
        <v>87.84</v>
      </c>
      <c r="AO2298">
        <v>87.84</v>
      </c>
      <c r="AP2298" s="2">
        <v>42746</v>
      </c>
      <c r="AQ2298" t="s">
        <v>72</v>
      </c>
      <c r="AR2298" t="s">
        <v>72</v>
      </c>
      <c r="AS2298">
        <v>3163</v>
      </c>
      <c r="AT2298" s="4">
        <v>42692</v>
      </c>
      <c r="AU2298" t="s">
        <v>73</v>
      </c>
      <c r="AV2298">
        <v>3163</v>
      </c>
      <c r="AW2298" s="4">
        <v>42692</v>
      </c>
      <c r="BD2298">
        <v>0</v>
      </c>
      <c r="BN2298" t="s">
        <v>74</v>
      </c>
    </row>
    <row r="2299" spans="1:66">
      <c r="A2299">
        <v>100700</v>
      </c>
      <c r="B2299" s="3" t="s">
        <v>228</v>
      </c>
      <c r="C2299" s="1">
        <v>43300101</v>
      </c>
      <c r="D2299" t="s">
        <v>67</v>
      </c>
      <c r="H2299" t="str">
        <f t="shared" si="224"/>
        <v>STFGPP58D22A783F</v>
      </c>
      <c r="I2299" t="str">
        <f t="shared" si="225"/>
        <v>00766740625</v>
      </c>
      <c r="K2299" t="str">
        <f>""</f>
        <v/>
      </c>
      <c r="M2299" t="s">
        <v>68</v>
      </c>
      <c r="N2299" t="str">
        <f t="shared" si="223"/>
        <v>FOR</v>
      </c>
      <c r="O2299" t="s">
        <v>69</v>
      </c>
      <c r="P2299" s="3" t="s">
        <v>75</v>
      </c>
      <c r="Q2299">
        <v>2016</v>
      </c>
      <c r="R2299" s="2">
        <v>42398</v>
      </c>
      <c r="S2299" s="2">
        <v>42529</v>
      </c>
      <c r="T2299" s="2">
        <v>42523</v>
      </c>
      <c r="U2299" s="2">
        <v>42583</v>
      </c>
      <c r="V2299" t="s">
        <v>71</v>
      </c>
      <c r="W2299" t="str">
        <f>"               42/EL"</f>
        <v xml:space="preserve">               42/EL</v>
      </c>
      <c r="X2299">
        <v>116.48</v>
      </c>
      <c r="Y2299">
        <v>0</v>
      </c>
      <c r="Z2299" s="3">
        <v>112</v>
      </c>
      <c r="AA2299">
        <v>109</v>
      </c>
      <c r="AB2299" s="5">
        <v>12208</v>
      </c>
      <c r="AC2299">
        <v>112</v>
      </c>
      <c r="AD2299">
        <v>109</v>
      </c>
      <c r="AE2299" s="1">
        <v>12208</v>
      </c>
      <c r="AF2299">
        <v>0</v>
      </c>
      <c r="AJ2299">
        <v>0</v>
      </c>
      <c r="AK2299">
        <v>0</v>
      </c>
      <c r="AL2299">
        <v>0</v>
      </c>
      <c r="AM2299">
        <v>116.48</v>
      </c>
      <c r="AN2299">
        <v>116.48</v>
      </c>
      <c r="AO2299">
        <v>116.48</v>
      </c>
      <c r="AP2299" s="2">
        <v>42746</v>
      </c>
      <c r="AQ2299" t="s">
        <v>72</v>
      </c>
      <c r="AR2299" t="s">
        <v>72</v>
      </c>
      <c r="AS2299">
        <v>3163</v>
      </c>
      <c r="AT2299" s="4">
        <v>42692</v>
      </c>
      <c r="AU2299" t="s">
        <v>73</v>
      </c>
      <c r="AV2299">
        <v>3163</v>
      </c>
      <c r="AW2299" s="4">
        <v>42692</v>
      </c>
      <c r="BD2299">
        <v>0</v>
      </c>
      <c r="BN2299" t="s">
        <v>74</v>
      </c>
    </row>
    <row r="2300" spans="1:66">
      <c r="A2300">
        <v>100700</v>
      </c>
      <c r="B2300" s="3" t="s">
        <v>228</v>
      </c>
      <c r="C2300" s="1">
        <v>43300101</v>
      </c>
      <c r="D2300" t="s">
        <v>67</v>
      </c>
      <c r="H2300" t="str">
        <f t="shared" si="224"/>
        <v>STFGPP58D22A783F</v>
      </c>
      <c r="I2300" t="str">
        <f t="shared" si="225"/>
        <v>00766740625</v>
      </c>
      <c r="K2300" t="str">
        <f>""</f>
        <v/>
      </c>
      <c r="M2300" t="s">
        <v>68</v>
      </c>
      <c r="N2300" t="str">
        <f t="shared" si="223"/>
        <v>FOR</v>
      </c>
      <c r="O2300" t="s">
        <v>69</v>
      </c>
      <c r="P2300" s="3" t="s">
        <v>75</v>
      </c>
      <c r="Q2300">
        <v>2016</v>
      </c>
      <c r="R2300" s="2">
        <v>42398</v>
      </c>
      <c r="S2300" s="2">
        <v>42529</v>
      </c>
      <c r="T2300" s="2">
        <v>42523</v>
      </c>
      <c r="U2300" s="2">
        <v>42583</v>
      </c>
      <c r="V2300" t="s">
        <v>71</v>
      </c>
      <c r="W2300" t="str">
        <f>"               43/EL"</f>
        <v xml:space="preserve">               43/EL</v>
      </c>
      <c r="X2300">
        <v>360.67</v>
      </c>
      <c r="Y2300">
        <v>0</v>
      </c>
      <c r="Z2300" s="3">
        <v>346.8</v>
      </c>
      <c r="AA2300">
        <v>109</v>
      </c>
      <c r="AB2300" s="5">
        <v>37801.199999999997</v>
      </c>
      <c r="AC2300">
        <v>346.8</v>
      </c>
      <c r="AD2300">
        <v>109</v>
      </c>
      <c r="AE2300" s="1">
        <v>37801.199999999997</v>
      </c>
      <c r="AF2300">
        <v>0</v>
      </c>
      <c r="AJ2300">
        <v>0</v>
      </c>
      <c r="AK2300">
        <v>0</v>
      </c>
      <c r="AL2300">
        <v>0</v>
      </c>
      <c r="AM2300">
        <v>360.67</v>
      </c>
      <c r="AN2300">
        <v>360.67</v>
      </c>
      <c r="AO2300">
        <v>360.67</v>
      </c>
      <c r="AP2300" s="2">
        <v>42746</v>
      </c>
      <c r="AQ2300" t="s">
        <v>72</v>
      </c>
      <c r="AR2300" t="s">
        <v>72</v>
      </c>
      <c r="AS2300">
        <v>3163</v>
      </c>
      <c r="AT2300" s="4">
        <v>42692</v>
      </c>
      <c r="AU2300" t="s">
        <v>73</v>
      </c>
      <c r="AV2300">
        <v>3163</v>
      </c>
      <c r="AW2300" s="4">
        <v>42692</v>
      </c>
      <c r="BD2300">
        <v>0</v>
      </c>
      <c r="BN2300" t="s">
        <v>74</v>
      </c>
    </row>
    <row r="2301" spans="1:66">
      <c r="A2301">
        <v>100700</v>
      </c>
      <c r="B2301" s="3" t="s">
        <v>228</v>
      </c>
      <c r="C2301" s="1">
        <v>43300101</v>
      </c>
      <c r="D2301" t="s">
        <v>67</v>
      </c>
      <c r="H2301" t="str">
        <f t="shared" si="224"/>
        <v>STFGPP58D22A783F</v>
      </c>
      <c r="I2301" t="str">
        <f t="shared" si="225"/>
        <v>00766740625</v>
      </c>
      <c r="K2301" t="str">
        <f>""</f>
        <v/>
      </c>
      <c r="M2301" t="s">
        <v>68</v>
      </c>
      <c r="N2301" t="str">
        <f t="shared" si="223"/>
        <v>FOR</v>
      </c>
      <c r="O2301" t="s">
        <v>69</v>
      </c>
      <c r="P2301" s="3" t="s">
        <v>75</v>
      </c>
      <c r="Q2301">
        <v>2016</v>
      </c>
      <c r="R2301" s="2">
        <v>42416</v>
      </c>
      <c r="S2301" s="2">
        <v>42529</v>
      </c>
      <c r="T2301" s="2">
        <v>42523</v>
      </c>
      <c r="U2301" s="2">
        <v>42583</v>
      </c>
      <c r="V2301" t="s">
        <v>71</v>
      </c>
      <c r="W2301" t="str">
        <f>"               64 EL"</f>
        <v xml:space="preserve">               64 EL</v>
      </c>
      <c r="X2301">
        <v>320.32</v>
      </c>
      <c r="Y2301">
        <v>0</v>
      </c>
      <c r="Z2301" s="3">
        <v>308</v>
      </c>
      <c r="AA2301">
        <v>140</v>
      </c>
      <c r="AB2301" s="5">
        <v>43120</v>
      </c>
      <c r="AC2301">
        <v>308</v>
      </c>
      <c r="AD2301">
        <v>140</v>
      </c>
      <c r="AE2301" s="1">
        <v>43120</v>
      </c>
      <c r="AF2301">
        <v>12.32</v>
      </c>
      <c r="AJ2301">
        <v>0</v>
      </c>
      <c r="AK2301">
        <v>0</v>
      </c>
      <c r="AL2301">
        <v>0</v>
      </c>
      <c r="AM2301">
        <v>320.32</v>
      </c>
      <c r="AN2301">
        <v>320.32</v>
      </c>
      <c r="AO2301">
        <v>320.32</v>
      </c>
      <c r="AP2301" s="2">
        <v>42746</v>
      </c>
      <c r="AQ2301" t="s">
        <v>72</v>
      </c>
      <c r="AR2301" t="s">
        <v>72</v>
      </c>
      <c r="AS2301">
        <v>3590</v>
      </c>
      <c r="AT2301" s="4">
        <v>42723</v>
      </c>
      <c r="AU2301" t="s">
        <v>73</v>
      </c>
      <c r="AV2301">
        <v>3590</v>
      </c>
      <c r="AW2301" s="4">
        <v>42723</v>
      </c>
      <c r="BB2301">
        <v>12.32</v>
      </c>
      <c r="BD2301">
        <v>0</v>
      </c>
      <c r="BN2301" t="s">
        <v>74</v>
      </c>
    </row>
    <row r="2302" spans="1:66">
      <c r="A2302">
        <v>100700</v>
      </c>
      <c r="B2302" s="3" t="s">
        <v>228</v>
      </c>
      <c r="C2302" s="1">
        <v>43300101</v>
      </c>
      <c r="D2302" t="s">
        <v>67</v>
      </c>
      <c r="H2302" t="str">
        <f t="shared" si="224"/>
        <v>STFGPP58D22A783F</v>
      </c>
      <c r="I2302" t="str">
        <f t="shared" si="225"/>
        <v>00766740625</v>
      </c>
      <c r="K2302" t="str">
        <f>""</f>
        <v/>
      </c>
      <c r="M2302" t="s">
        <v>68</v>
      </c>
      <c r="N2302" t="str">
        <f t="shared" si="223"/>
        <v>FOR</v>
      </c>
      <c r="O2302" t="s">
        <v>69</v>
      </c>
      <c r="P2302" s="3" t="s">
        <v>75</v>
      </c>
      <c r="Q2302">
        <v>2016</v>
      </c>
      <c r="R2302" s="2">
        <v>42429</v>
      </c>
      <c r="S2302" s="2">
        <v>42534</v>
      </c>
      <c r="T2302" s="2">
        <v>42532</v>
      </c>
      <c r="U2302" s="2">
        <v>42592</v>
      </c>
      <c r="V2302" t="s">
        <v>71</v>
      </c>
      <c r="W2302" t="str">
        <f>"               78/EL"</f>
        <v xml:space="preserve">               78/EL</v>
      </c>
      <c r="X2302">
        <v>355.56</v>
      </c>
      <c r="Y2302">
        <v>0</v>
      </c>
      <c r="Z2302" s="3">
        <v>341.88</v>
      </c>
      <c r="AA2302">
        <v>131</v>
      </c>
      <c r="AB2302" s="5">
        <v>44786.28</v>
      </c>
      <c r="AC2302">
        <v>341.88</v>
      </c>
      <c r="AD2302">
        <v>131</v>
      </c>
      <c r="AE2302" s="1">
        <v>44786.28</v>
      </c>
      <c r="AF2302">
        <v>13.68</v>
      </c>
      <c r="AJ2302">
        <v>0</v>
      </c>
      <c r="AK2302">
        <v>0</v>
      </c>
      <c r="AL2302">
        <v>0</v>
      </c>
      <c r="AM2302">
        <v>355.56</v>
      </c>
      <c r="AN2302">
        <v>355.56</v>
      </c>
      <c r="AO2302">
        <v>355.56</v>
      </c>
      <c r="AP2302" s="2">
        <v>42746</v>
      </c>
      <c r="AQ2302" t="s">
        <v>72</v>
      </c>
      <c r="AR2302" t="s">
        <v>72</v>
      </c>
      <c r="AS2302">
        <v>3590</v>
      </c>
      <c r="AT2302" s="4">
        <v>42723</v>
      </c>
      <c r="AU2302" t="s">
        <v>73</v>
      </c>
      <c r="AV2302">
        <v>3590</v>
      </c>
      <c r="AW2302" s="4">
        <v>42723</v>
      </c>
      <c r="BB2302">
        <v>13.68</v>
      </c>
      <c r="BD2302">
        <v>0</v>
      </c>
      <c r="BN2302" t="s">
        <v>74</v>
      </c>
    </row>
    <row r="2303" spans="1:66">
      <c r="A2303">
        <v>100700</v>
      </c>
      <c r="B2303" s="3" t="s">
        <v>228</v>
      </c>
      <c r="C2303" s="1">
        <v>43300101</v>
      </c>
      <c r="D2303" t="s">
        <v>67</v>
      </c>
      <c r="H2303" t="str">
        <f t="shared" si="224"/>
        <v>STFGPP58D22A783F</v>
      </c>
      <c r="I2303" t="str">
        <f t="shared" si="225"/>
        <v>00766740625</v>
      </c>
      <c r="K2303" t="str">
        <f>""</f>
        <v/>
      </c>
      <c r="M2303" t="s">
        <v>68</v>
      </c>
      <c r="N2303" t="str">
        <f t="shared" si="223"/>
        <v>FOR</v>
      </c>
      <c r="O2303" t="s">
        <v>69</v>
      </c>
      <c r="P2303" s="3" t="s">
        <v>75</v>
      </c>
      <c r="Q2303">
        <v>2016</v>
      </c>
      <c r="R2303" s="2">
        <v>42429</v>
      </c>
      <c r="S2303" s="2">
        <v>42543</v>
      </c>
      <c r="T2303" s="2">
        <v>42539</v>
      </c>
      <c r="U2303" s="2">
        <v>42599</v>
      </c>
      <c r="V2303" t="s">
        <v>71</v>
      </c>
      <c r="W2303" t="str">
        <f>"               79/EL"</f>
        <v xml:space="preserve">               79/EL</v>
      </c>
      <c r="X2303">
        <v>51.48</v>
      </c>
      <c r="Y2303">
        <v>0</v>
      </c>
      <c r="Z2303" s="3">
        <v>49.5</v>
      </c>
      <c r="AA2303">
        <v>124</v>
      </c>
      <c r="AB2303" s="5">
        <v>6138</v>
      </c>
      <c r="AC2303">
        <v>49.5</v>
      </c>
      <c r="AD2303">
        <v>124</v>
      </c>
      <c r="AE2303" s="1">
        <v>6138</v>
      </c>
      <c r="AF2303">
        <v>1.98</v>
      </c>
      <c r="AJ2303">
        <v>0</v>
      </c>
      <c r="AK2303">
        <v>0</v>
      </c>
      <c r="AL2303">
        <v>0</v>
      </c>
      <c r="AM2303">
        <v>51.48</v>
      </c>
      <c r="AN2303">
        <v>51.48</v>
      </c>
      <c r="AO2303">
        <v>51.48</v>
      </c>
      <c r="AP2303" s="2">
        <v>42746</v>
      </c>
      <c r="AQ2303" t="s">
        <v>72</v>
      </c>
      <c r="AR2303" t="s">
        <v>72</v>
      </c>
      <c r="AS2303">
        <v>3590</v>
      </c>
      <c r="AT2303" s="4">
        <v>42723</v>
      </c>
      <c r="AU2303" t="s">
        <v>73</v>
      </c>
      <c r="AV2303">
        <v>3590</v>
      </c>
      <c r="AW2303" s="4">
        <v>42723</v>
      </c>
      <c r="BB2303">
        <v>1.98</v>
      </c>
      <c r="BD2303">
        <v>0</v>
      </c>
      <c r="BN2303" t="s">
        <v>74</v>
      </c>
    </row>
    <row r="2304" spans="1:66">
      <c r="A2304">
        <v>100700</v>
      </c>
      <c r="B2304" s="3" t="s">
        <v>228</v>
      </c>
      <c r="C2304" s="1">
        <v>43300101</v>
      </c>
      <c r="D2304" t="s">
        <v>67</v>
      </c>
      <c r="H2304" t="str">
        <f t="shared" si="224"/>
        <v>STFGPP58D22A783F</v>
      </c>
      <c r="I2304" t="str">
        <f t="shared" si="225"/>
        <v>00766740625</v>
      </c>
      <c r="K2304" t="str">
        <f>""</f>
        <v/>
      </c>
      <c r="M2304" t="s">
        <v>68</v>
      </c>
      <c r="N2304" t="str">
        <f t="shared" si="223"/>
        <v>FOR</v>
      </c>
      <c r="O2304" t="s">
        <v>69</v>
      </c>
      <c r="P2304" s="3" t="s">
        <v>75</v>
      </c>
      <c r="Q2304">
        <v>2016</v>
      </c>
      <c r="R2304" s="2">
        <v>42429</v>
      </c>
      <c r="S2304" s="2">
        <v>42543</v>
      </c>
      <c r="T2304" s="2">
        <v>42539</v>
      </c>
      <c r="U2304" s="2">
        <v>42599</v>
      </c>
      <c r="V2304" t="s">
        <v>71</v>
      </c>
      <c r="W2304" t="str">
        <f>"               80/EL"</f>
        <v xml:space="preserve">               80/EL</v>
      </c>
      <c r="X2304">
        <v>201.8</v>
      </c>
      <c r="Y2304">
        <v>0</v>
      </c>
      <c r="Z2304" s="3">
        <v>194.04</v>
      </c>
      <c r="AA2304">
        <v>124</v>
      </c>
      <c r="AB2304" s="5">
        <v>24060.959999999999</v>
      </c>
      <c r="AC2304">
        <v>194.04</v>
      </c>
      <c r="AD2304">
        <v>124</v>
      </c>
      <c r="AE2304" s="1">
        <v>24060.959999999999</v>
      </c>
      <c r="AF2304">
        <v>7.76</v>
      </c>
      <c r="AJ2304">
        <v>0</v>
      </c>
      <c r="AK2304">
        <v>0</v>
      </c>
      <c r="AL2304">
        <v>0</v>
      </c>
      <c r="AM2304">
        <v>201.8</v>
      </c>
      <c r="AN2304">
        <v>201.8</v>
      </c>
      <c r="AO2304">
        <v>201.8</v>
      </c>
      <c r="AP2304" s="2">
        <v>42746</v>
      </c>
      <c r="AQ2304" t="s">
        <v>72</v>
      </c>
      <c r="AR2304" t="s">
        <v>72</v>
      </c>
      <c r="AS2304">
        <v>3590</v>
      </c>
      <c r="AT2304" s="4">
        <v>42723</v>
      </c>
      <c r="AU2304" t="s">
        <v>73</v>
      </c>
      <c r="AV2304">
        <v>3590</v>
      </c>
      <c r="AW2304" s="4">
        <v>42723</v>
      </c>
      <c r="BB2304">
        <v>7.76</v>
      </c>
      <c r="BD2304">
        <v>0</v>
      </c>
      <c r="BN2304" t="s">
        <v>74</v>
      </c>
    </row>
    <row r="2305" spans="1:66">
      <c r="A2305">
        <v>100700</v>
      </c>
      <c r="B2305" s="3" t="s">
        <v>228</v>
      </c>
      <c r="C2305" s="1">
        <v>43300101</v>
      </c>
      <c r="D2305" t="s">
        <v>67</v>
      </c>
      <c r="H2305" t="str">
        <f t="shared" si="224"/>
        <v>STFGPP58D22A783F</v>
      </c>
      <c r="I2305" t="str">
        <f t="shared" si="225"/>
        <v>00766740625</v>
      </c>
      <c r="K2305" t="str">
        <f>""</f>
        <v/>
      </c>
      <c r="M2305" t="s">
        <v>68</v>
      </c>
      <c r="N2305" t="str">
        <f t="shared" si="223"/>
        <v>FOR</v>
      </c>
      <c r="O2305" t="s">
        <v>69</v>
      </c>
      <c r="P2305" s="3" t="s">
        <v>75</v>
      </c>
      <c r="Q2305">
        <v>2016</v>
      </c>
      <c r="R2305" s="2">
        <v>42429</v>
      </c>
      <c r="S2305" s="2">
        <v>42543</v>
      </c>
      <c r="T2305" s="2">
        <v>42539</v>
      </c>
      <c r="U2305" s="2">
        <v>42599</v>
      </c>
      <c r="V2305" t="s">
        <v>71</v>
      </c>
      <c r="W2305" t="str">
        <f>"               81/EL"</f>
        <v xml:space="preserve">               81/EL</v>
      </c>
      <c r="X2305">
        <v>116.48</v>
      </c>
      <c r="Y2305">
        <v>0</v>
      </c>
      <c r="Z2305" s="3">
        <v>112</v>
      </c>
      <c r="AA2305">
        <v>124</v>
      </c>
      <c r="AB2305" s="5">
        <v>13888</v>
      </c>
      <c r="AC2305">
        <v>112</v>
      </c>
      <c r="AD2305">
        <v>124</v>
      </c>
      <c r="AE2305" s="1">
        <v>13888</v>
      </c>
      <c r="AF2305">
        <v>4.4800000000000004</v>
      </c>
      <c r="AJ2305">
        <v>0</v>
      </c>
      <c r="AK2305">
        <v>0</v>
      </c>
      <c r="AL2305">
        <v>0</v>
      </c>
      <c r="AM2305">
        <v>116.48</v>
      </c>
      <c r="AN2305">
        <v>116.48</v>
      </c>
      <c r="AO2305">
        <v>116.48</v>
      </c>
      <c r="AP2305" s="2">
        <v>42746</v>
      </c>
      <c r="AQ2305" t="s">
        <v>72</v>
      </c>
      <c r="AR2305" t="s">
        <v>72</v>
      </c>
      <c r="AS2305">
        <v>3590</v>
      </c>
      <c r="AT2305" s="4">
        <v>42723</v>
      </c>
      <c r="AU2305" t="s">
        <v>73</v>
      </c>
      <c r="AV2305">
        <v>3590</v>
      </c>
      <c r="AW2305" s="4">
        <v>42723</v>
      </c>
      <c r="BB2305">
        <v>4.4800000000000004</v>
      </c>
      <c r="BD2305">
        <v>0</v>
      </c>
      <c r="BN2305" t="s">
        <v>74</v>
      </c>
    </row>
    <row r="2306" spans="1:66">
      <c r="A2306">
        <v>100700</v>
      </c>
      <c r="B2306" s="3" t="s">
        <v>228</v>
      </c>
      <c r="C2306" s="1">
        <v>43300101</v>
      </c>
      <c r="D2306" t="s">
        <v>67</v>
      </c>
      <c r="H2306" t="str">
        <f t="shared" si="224"/>
        <v>STFGPP58D22A783F</v>
      </c>
      <c r="I2306" t="str">
        <f t="shared" si="225"/>
        <v>00766740625</v>
      </c>
      <c r="K2306" t="str">
        <f>""</f>
        <v/>
      </c>
      <c r="M2306" t="s">
        <v>68</v>
      </c>
      <c r="N2306" t="str">
        <f t="shared" si="223"/>
        <v>FOR</v>
      </c>
      <c r="O2306" t="s">
        <v>69</v>
      </c>
      <c r="P2306" s="3" t="s">
        <v>75</v>
      </c>
      <c r="Q2306">
        <v>2016</v>
      </c>
      <c r="R2306" s="2">
        <v>42429</v>
      </c>
      <c r="S2306" s="2">
        <v>42543</v>
      </c>
      <c r="T2306" s="2">
        <v>42539</v>
      </c>
      <c r="U2306" s="2">
        <v>42599</v>
      </c>
      <c r="V2306" t="s">
        <v>71</v>
      </c>
      <c r="W2306" t="str">
        <f>"               82/EL"</f>
        <v xml:space="preserve">               82/EL</v>
      </c>
      <c r="X2306">
        <v>409.01</v>
      </c>
      <c r="Y2306">
        <v>0</v>
      </c>
      <c r="Z2306" s="3">
        <v>393.28</v>
      </c>
      <c r="AA2306">
        <v>124</v>
      </c>
      <c r="AB2306" s="5">
        <v>48766.720000000001</v>
      </c>
      <c r="AC2306">
        <v>393.28</v>
      </c>
      <c r="AD2306">
        <v>124</v>
      </c>
      <c r="AE2306" s="1">
        <v>48766.720000000001</v>
      </c>
      <c r="AF2306">
        <v>15.73</v>
      </c>
      <c r="AJ2306">
        <v>0</v>
      </c>
      <c r="AK2306">
        <v>0</v>
      </c>
      <c r="AL2306">
        <v>0</v>
      </c>
      <c r="AM2306">
        <v>409.01</v>
      </c>
      <c r="AN2306">
        <v>409.01</v>
      </c>
      <c r="AO2306">
        <v>409.01</v>
      </c>
      <c r="AP2306" s="2">
        <v>42746</v>
      </c>
      <c r="AQ2306" t="s">
        <v>72</v>
      </c>
      <c r="AR2306" t="s">
        <v>72</v>
      </c>
      <c r="AS2306">
        <v>3590</v>
      </c>
      <c r="AT2306" s="4">
        <v>42723</v>
      </c>
      <c r="AU2306" t="s">
        <v>73</v>
      </c>
      <c r="AV2306">
        <v>3590</v>
      </c>
      <c r="AW2306" s="4">
        <v>42723</v>
      </c>
      <c r="BB2306">
        <v>15.73</v>
      </c>
      <c r="BD2306">
        <v>0</v>
      </c>
      <c r="BN2306" t="s">
        <v>74</v>
      </c>
    </row>
    <row r="2307" spans="1:66">
      <c r="A2307">
        <v>100700</v>
      </c>
      <c r="B2307" s="3" t="s">
        <v>228</v>
      </c>
      <c r="C2307" s="1">
        <v>43300101</v>
      </c>
      <c r="D2307" t="s">
        <v>67</v>
      </c>
      <c r="H2307" t="str">
        <f t="shared" si="224"/>
        <v>STFGPP58D22A783F</v>
      </c>
      <c r="I2307" t="str">
        <f t="shared" si="225"/>
        <v>00766740625</v>
      </c>
      <c r="K2307" t="str">
        <f>""</f>
        <v/>
      </c>
      <c r="M2307" t="s">
        <v>68</v>
      </c>
      <c r="N2307" t="str">
        <f t="shared" si="223"/>
        <v>FOR</v>
      </c>
      <c r="O2307" t="s">
        <v>69</v>
      </c>
      <c r="P2307" s="3" t="s">
        <v>75</v>
      </c>
      <c r="Q2307">
        <v>2016</v>
      </c>
      <c r="R2307" s="2">
        <v>42429</v>
      </c>
      <c r="S2307" s="2">
        <v>42543</v>
      </c>
      <c r="T2307" s="2">
        <v>42539</v>
      </c>
      <c r="U2307" s="2">
        <v>42599</v>
      </c>
      <c r="V2307" t="s">
        <v>71</v>
      </c>
      <c r="W2307" t="str">
        <f>"               83/EL"</f>
        <v xml:space="preserve">               83/EL</v>
      </c>
      <c r="X2307">
        <v>694.51</v>
      </c>
      <c r="Y2307">
        <v>0</v>
      </c>
      <c r="Z2307" s="3">
        <v>667.8</v>
      </c>
      <c r="AA2307">
        <v>124</v>
      </c>
      <c r="AB2307" s="5">
        <v>82807.199999999997</v>
      </c>
      <c r="AC2307">
        <v>667.8</v>
      </c>
      <c r="AD2307">
        <v>124</v>
      </c>
      <c r="AE2307" s="1">
        <v>82807.199999999997</v>
      </c>
      <c r="AF2307">
        <v>26.71</v>
      </c>
      <c r="AJ2307">
        <v>0</v>
      </c>
      <c r="AK2307">
        <v>0</v>
      </c>
      <c r="AL2307">
        <v>0</v>
      </c>
      <c r="AM2307">
        <v>694.51</v>
      </c>
      <c r="AN2307">
        <v>694.51</v>
      </c>
      <c r="AO2307">
        <v>694.51</v>
      </c>
      <c r="AP2307" s="2">
        <v>42746</v>
      </c>
      <c r="AQ2307" t="s">
        <v>72</v>
      </c>
      <c r="AR2307" t="s">
        <v>72</v>
      </c>
      <c r="AS2307">
        <v>3590</v>
      </c>
      <c r="AT2307" s="4">
        <v>42723</v>
      </c>
      <c r="AU2307" t="s">
        <v>73</v>
      </c>
      <c r="AV2307">
        <v>3590</v>
      </c>
      <c r="AW2307" s="4">
        <v>42723</v>
      </c>
      <c r="BB2307">
        <v>26.71</v>
      </c>
      <c r="BD2307">
        <v>0</v>
      </c>
      <c r="BN2307" t="s">
        <v>74</v>
      </c>
    </row>
    <row r="2308" spans="1:66" hidden="1">
      <c r="A2308">
        <v>100703</v>
      </c>
      <c r="B2308" s="3" t="s">
        <v>229</v>
      </c>
      <c r="C2308" s="1">
        <v>43300101</v>
      </c>
      <c r="D2308" t="s">
        <v>67</v>
      </c>
      <c r="H2308" t="str">
        <f t="shared" ref="H2308:I2321" si="226">"05501420961"</f>
        <v>05501420961</v>
      </c>
      <c r="I2308" t="str">
        <f t="shared" si="226"/>
        <v>05501420961</v>
      </c>
      <c r="K2308" t="str">
        <f>""</f>
        <v/>
      </c>
      <c r="M2308" t="s">
        <v>68</v>
      </c>
      <c r="N2308" t="str">
        <f t="shared" si="223"/>
        <v>FOR</v>
      </c>
      <c r="O2308" t="s">
        <v>69</v>
      </c>
      <c r="P2308" s="3" t="s">
        <v>70</v>
      </c>
      <c r="Q2308">
        <v>2014</v>
      </c>
      <c r="R2308" s="2">
        <v>41982</v>
      </c>
      <c r="S2308" s="2">
        <v>42080</v>
      </c>
      <c r="T2308" s="2">
        <v>42080</v>
      </c>
      <c r="U2308" s="2">
        <v>42140</v>
      </c>
      <c r="V2308" t="s">
        <v>71</v>
      </c>
      <c r="W2308" t="str">
        <f>"             8117977"</f>
        <v xml:space="preserve">             8117977</v>
      </c>
      <c r="X2308" s="1">
        <v>6063.75</v>
      </c>
      <c r="Y2308">
        <v>0</v>
      </c>
      <c r="Z2308"/>
      <c r="AB2308"/>
      <c r="AC2308" s="1">
        <v>6063.75</v>
      </c>
      <c r="AD2308">
        <v>263</v>
      </c>
      <c r="AE2308" s="1">
        <v>1594766.25</v>
      </c>
      <c r="AF2308">
        <v>0</v>
      </c>
      <c r="AJ2308">
        <v>0</v>
      </c>
      <c r="AK2308">
        <v>0</v>
      </c>
      <c r="AL2308">
        <v>0</v>
      </c>
      <c r="AM2308">
        <v>0</v>
      </c>
      <c r="AN2308">
        <v>0</v>
      </c>
      <c r="AO2308">
        <v>0</v>
      </c>
      <c r="AP2308" s="2">
        <v>42746</v>
      </c>
      <c r="AQ2308" t="s">
        <v>72</v>
      </c>
      <c r="AR2308" t="s">
        <v>72</v>
      </c>
      <c r="AS2308">
        <v>220</v>
      </c>
      <c r="AT2308" s="4">
        <v>42403</v>
      </c>
      <c r="AU2308" t="s">
        <v>73</v>
      </c>
      <c r="AV2308">
        <v>220</v>
      </c>
      <c r="AW2308" s="4">
        <v>42403</v>
      </c>
      <c r="BD2308">
        <v>0</v>
      </c>
      <c r="BN2308" t="s">
        <v>74</v>
      </c>
    </row>
    <row r="2309" spans="1:66" hidden="1">
      <c r="A2309">
        <v>100703</v>
      </c>
      <c r="B2309" s="3" t="s">
        <v>229</v>
      </c>
      <c r="C2309" s="1">
        <v>43300101</v>
      </c>
      <c r="D2309" t="s">
        <v>67</v>
      </c>
      <c r="H2309" t="str">
        <f t="shared" si="226"/>
        <v>05501420961</v>
      </c>
      <c r="I2309" t="str">
        <f t="shared" si="226"/>
        <v>05501420961</v>
      </c>
      <c r="K2309" t="str">
        <f>""</f>
        <v/>
      </c>
      <c r="M2309" t="s">
        <v>68</v>
      </c>
      <c r="N2309" t="str">
        <f t="shared" si="223"/>
        <v>FOR</v>
      </c>
      <c r="O2309" t="s">
        <v>69</v>
      </c>
      <c r="P2309" s="3" t="s">
        <v>70</v>
      </c>
      <c r="Q2309">
        <v>2015</v>
      </c>
      <c r="R2309" s="2">
        <v>42051</v>
      </c>
      <c r="S2309" s="2">
        <v>42073</v>
      </c>
      <c r="T2309" s="2">
        <v>42073</v>
      </c>
      <c r="U2309" s="2">
        <v>42133</v>
      </c>
      <c r="V2309" t="s">
        <v>71</v>
      </c>
      <c r="W2309" t="str">
        <f>"          1508102655"</f>
        <v xml:space="preserve">          1508102655</v>
      </c>
      <c r="X2309" s="1">
        <v>8605.2999999999993</v>
      </c>
      <c r="Y2309">
        <v>0</v>
      </c>
      <c r="Z2309"/>
      <c r="AB2309"/>
      <c r="AC2309" s="1">
        <v>7823</v>
      </c>
      <c r="AD2309">
        <v>270</v>
      </c>
      <c r="AE2309" s="1">
        <v>2112210</v>
      </c>
      <c r="AF2309">
        <v>0</v>
      </c>
      <c r="AJ2309">
        <v>0</v>
      </c>
      <c r="AK2309">
        <v>0</v>
      </c>
      <c r="AL2309">
        <v>0</v>
      </c>
      <c r="AM2309">
        <v>0</v>
      </c>
      <c r="AN2309">
        <v>0</v>
      </c>
      <c r="AO2309">
        <v>0</v>
      </c>
      <c r="AP2309" s="2">
        <v>42746</v>
      </c>
      <c r="AQ2309" t="s">
        <v>72</v>
      </c>
      <c r="AR2309" t="s">
        <v>72</v>
      </c>
      <c r="AS2309">
        <v>220</v>
      </c>
      <c r="AT2309" s="4">
        <v>42403</v>
      </c>
      <c r="AU2309" t="s">
        <v>73</v>
      </c>
      <c r="AV2309">
        <v>220</v>
      </c>
      <c r="AW2309" s="4">
        <v>42403</v>
      </c>
      <c r="BD2309">
        <v>0</v>
      </c>
      <c r="BN2309" t="s">
        <v>74</v>
      </c>
    </row>
    <row r="2310" spans="1:66" hidden="1">
      <c r="A2310">
        <v>100703</v>
      </c>
      <c r="B2310" s="3" t="s">
        <v>229</v>
      </c>
      <c r="C2310" s="1">
        <v>43300101</v>
      </c>
      <c r="D2310" t="s">
        <v>67</v>
      </c>
      <c r="H2310" t="str">
        <f t="shared" si="226"/>
        <v>05501420961</v>
      </c>
      <c r="I2310" t="str">
        <f t="shared" si="226"/>
        <v>05501420961</v>
      </c>
      <c r="K2310" t="str">
        <f>""</f>
        <v/>
      </c>
      <c r="M2310" t="s">
        <v>68</v>
      </c>
      <c r="N2310" t="str">
        <f t="shared" si="223"/>
        <v>FOR</v>
      </c>
      <c r="O2310" t="s">
        <v>69</v>
      </c>
      <c r="P2310" s="3" t="s">
        <v>70</v>
      </c>
      <c r="Q2310">
        <v>2015</v>
      </c>
      <c r="R2310" s="2">
        <v>42086</v>
      </c>
      <c r="S2310" s="2">
        <v>42097</v>
      </c>
      <c r="T2310" s="2">
        <v>42097</v>
      </c>
      <c r="U2310" s="2">
        <v>42157</v>
      </c>
      <c r="V2310" t="s">
        <v>71</v>
      </c>
      <c r="W2310" t="str">
        <f>"          1508104575"</f>
        <v xml:space="preserve">          1508104575</v>
      </c>
      <c r="X2310" s="1">
        <v>1617</v>
      </c>
      <c r="Y2310">
        <v>0</v>
      </c>
      <c r="Z2310"/>
      <c r="AB2310"/>
      <c r="AC2310" s="1">
        <v>1470</v>
      </c>
      <c r="AD2310">
        <v>246</v>
      </c>
      <c r="AE2310" s="1">
        <v>361620</v>
      </c>
      <c r="AF2310">
        <v>0</v>
      </c>
      <c r="AJ2310">
        <v>0</v>
      </c>
      <c r="AK2310">
        <v>0</v>
      </c>
      <c r="AL2310">
        <v>0</v>
      </c>
      <c r="AM2310">
        <v>0</v>
      </c>
      <c r="AN2310">
        <v>0</v>
      </c>
      <c r="AO2310">
        <v>0</v>
      </c>
      <c r="AP2310" s="2">
        <v>42746</v>
      </c>
      <c r="AQ2310" t="s">
        <v>72</v>
      </c>
      <c r="AR2310" t="s">
        <v>72</v>
      </c>
      <c r="AS2310">
        <v>220</v>
      </c>
      <c r="AT2310" s="4">
        <v>42403</v>
      </c>
      <c r="AU2310" t="s">
        <v>73</v>
      </c>
      <c r="AV2310">
        <v>220</v>
      </c>
      <c r="AW2310" s="4">
        <v>42403</v>
      </c>
      <c r="BD2310">
        <v>0</v>
      </c>
      <c r="BN2310" t="s">
        <v>74</v>
      </c>
    </row>
    <row r="2311" spans="1:66" hidden="1">
      <c r="A2311">
        <v>100703</v>
      </c>
      <c r="B2311" s="3" t="s">
        <v>229</v>
      </c>
      <c r="C2311" s="1">
        <v>43300101</v>
      </c>
      <c r="D2311" t="s">
        <v>67</v>
      </c>
      <c r="H2311" t="str">
        <f t="shared" si="226"/>
        <v>05501420961</v>
      </c>
      <c r="I2311" t="str">
        <f t="shared" si="226"/>
        <v>05501420961</v>
      </c>
      <c r="K2311" t="str">
        <f>""</f>
        <v/>
      </c>
      <c r="M2311" t="s">
        <v>68</v>
      </c>
      <c r="N2311" t="str">
        <f t="shared" si="223"/>
        <v>FOR</v>
      </c>
      <c r="O2311" t="s">
        <v>69</v>
      </c>
      <c r="P2311" s="3" t="s">
        <v>75</v>
      </c>
      <c r="Q2311">
        <v>2015</v>
      </c>
      <c r="R2311" s="2">
        <v>42131</v>
      </c>
      <c r="S2311" s="2">
        <v>42135</v>
      </c>
      <c r="T2311" s="2">
        <v>42133</v>
      </c>
      <c r="U2311" s="2">
        <v>42193</v>
      </c>
      <c r="V2311" t="s">
        <v>71</v>
      </c>
      <c r="W2311" t="str">
        <f>"          1508107002"</f>
        <v xml:space="preserve">          1508107002</v>
      </c>
      <c r="X2311" s="1">
        <v>4160.97</v>
      </c>
      <c r="Y2311">
        <v>0</v>
      </c>
      <c r="Z2311"/>
      <c r="AB2311"/>
      <c r="AC2311" s="1">
        <v>3782.7</v>
      </c>
      <c r="AD2311">
        <v>259</v>
      </c>
      <c r="AE2311" s="1">
        <v>979719.3</v>
      </c>
      <c r="AF2311">
        <v>0</v>
      </c>
      <c r="AJ2311">
        <v>0</v>
      </c>
      <c r="AK2311">
        <v>0</v>
      </c>
      <c r="AL2311">
        <v>0</v>
      </c>
      <c r="AM2311">
        <v>0</v>
      </c>
      <c r="AN2311">
        <v>0</v>
      </c>
      <c r="AO2311">
        <v>0</v>
      </c>
      <c r="AP2311" s="2">
        <v>42746</v>
      </c>
      <c r="AQ2311" t="s">
        <v>72</v>
      </c>
      <c r="AR2311" t="s">
        <v>72</v>
      </c>
      <c r="AS2311">
        <v>790</v>
      </c>
      <c r="AT2311" s="4">
        <v>42452</v>
      </c>
      <c r="AU2311" t="s">
        <v>73</v>
      </c>
      <c r="AV2311">
        <v>790</v>
      </c>
      <c r="AW2311" s="4">
        <v>42452</v>
      </c>
      <c r="BD2311">
        <v>0</v>
      </c>
      <c r="BN2311" t="s">
        <v>74</v>
      </c>
    </row>
    <row r="2312" spans="1:66" hidden="1">
      <c r="A2312">
        <v>100703</v>
      </c>
      <c r="B2312" s="3" t="s">
        <v>229</v>
      </c>
      <c r="C2312" s="1">
        <v>43300101</v>
      </c>
      <c r="D2312" t="s">
        <v>67</v>
      </c>
      <c r="H2312" t="str">
        <f t="shared" si="226"/>
        <v>05501420961</v>
      </c>
      <c r="I2312" t="str">
        <f t="shared" si="226"/>
        <v>05501420961</v>
      </c>
      <c r="K2312" t="str">
        <f>""</f>
        <v/>
      </c>
      <c r="M2312" t="s">
        <v>68</v>
      </c>
      <c r="N2312" t="str">
        <f t="shared" si="223"/>
        <v>FOR</v>
      </c>
      <c r="O2312" t="s">
        <v>69</v>
      </c>
      <c r="P2312" s="3" t="s">
        <v>75</v>
      </c>
      <c r="Q2312">
        <v>2015</v>
      </c>
      <c r="R2312" s="2">
        <v>42152</v>
      </c>
      <c r="S2312" s="2">
        <v>42163</v>
      </c>
      <c r="T2312" s="2">
        <v>42160</v>
      </c>
      <c r="U2312" s="2">
        <v>42220</v>
      </c>
      <c r="V2312" t="s">
        <v>71</v>
      </c>
      <c r="W2312" t="str">
        <f>"          1508108092"</f>
        <v xml:space="preserve">          1508108092</v>
      </c>
      <c r="X2312" s="1">
        <v>2695</v>
      </c>
      <c r="Y2312">
        <v>0</v>
      </c>
      <c r="Z2312"/>
      <c r="AB2312"/>
      <c r="AC2312" s="1">
        <v>2450</v>
      </c>
      <c r="AD2312">
        <v>232</v>
      </c>
      <c r="AE2312" s="1">
        <v>568400</v>
      </c>
      <c r="AF2312">
        <v>0</v>
      </c>
      <c r="AJ2312">
        <v>0</v>
      </c>
      <c r="AK2312">
        <v>0</v>
      </c>
      <c r="AL2312">
        <v>0</v>
      </c>
      <c r="AM2312">
        <v>0</v>
      </c>
      <c r="AN2312">
        <v>0</v>
      </c>
      <c r="AO2312">
        <v>0</v>
      </c>
      <c r="AP2312" s="2">
        <v>42746</v>
      </c>
      <c r="AQ2312" t="s">
        <v>72</v>
      </c>
      <c r="AR2312" t="s">
        <v>72</v>
      </c>
      <c r="AS2312">
        <v>790</v>
      </c>
      <c r="AT2312" s="4">
        <v>42452</v>
      </c>
      <c r="AU2312" t="s">
        <v>73</v>
      </c>
      <c r="AV2312">
        <v>790</v>
      </c>
      <c r="AW2312" s="4">
        <v>42452</v>
      </c>
      <c r="BD2312">
        <v>0</v>
      </c>
      <c r="BN2312" t="s">
        <v>74</v>
      </c>
    </row>
    <row r="2313" spans="1:66" hidden="1">
      <c r="A2313">
        <v>100703</v>
      </c>
      <c r="B2313" s="3" t="s">
        <v>229</v>
      </c>
      <c r="C2313" s="1">
        <v>43300101</v>
      </c>
      <c r="D2313" t="s">
        <v>67</v>
      </c>
      <c r="H2313" t="str">
        <f t="shared" si="226"/>
        <v>05501420961</v>
      </c>
      <c r="I2313" t="str">
        <f t="shared" si="226"/>
        <v>05501420961</v>
      </c>
      <c r="K2313" t="str">
        <f>""</f>
        <v/>
      </c>
      <c r="M2313" t="s">
        <v>68</v>
      </c>
      <c r="N2313" t="str">
        <f t="shared" si="223"/>
        <v>FOR</v>
      </c>
      <c r="O2313" t="s">
        <v>69</v>
      </c>
      <c r="P2313" s="3" t="s">
        <v>75</v>
      </c>
      <c r="Q2313">
        <v>2015</v>
      </c>
      <c r="R2313" s="2">
        <v>42178</v>
      </c>
      <c r="S2313" s="2">
        <v>42181</v>
      </c>
      <c r="T2313" s="2">
        <v>42181</v>
      </c>
      <c r="U2313" s="2">
        <v>42241</v>
      </c>
      <c r="V2313" t="s">
        <v>71</v>
      </c>
      <c r="W2313" t="str">
        <f>"          1508109394"</f>
        <v xml:space="preserve">          1508109394</v>
      </c>
      <c r="X2313" s="1">
        <v>1979.45</v>
      </c>
      <c r="Y2313">
        <v>0</v>
      </c>
      <c r="Z2313"/>
      <c r="AB2313"/>
      <c r="AC2313" s="1">
        <v>1799.5</v>
      </c>
      <c r="AD2313">
        <v>286</v>
      </c>
      <c r="AE2313" s="1">
        <v>514657</v>
      </c>
      <c r="AF2313">
        <v>0</v>
      </c>
      <c r="AJ2313">
        <v>0</v>
      </c>
      <c r="AK2313">
        <v>0</v>
      </c>
      <c r="AL2313">
        <v>0</v>
      </c>
      <c r="AM2313">
        <v>0</v>
      </c>
      <c r="AN2313">
        <v>0</v>
      </c>
      <c r="AO2313">
        <v>0</v>
      </c>
      <c r="AP2313" s="2">
        <v>42746</v>
      </c>
      <c r="AQ2313" t="s">
        <v>72</v>
      </c>
      <c r="AR2313" t="s">
        <v>72</v>
      </c>
      <c r="AS2313">
        <v>1521</v>
      </c>
      <c r="AT2313" s="4">
        <v>42527</v>
      </c>
      <c r="AU2313" t="s">
        <v>73</v>
      </c>
      <c r="AV2313">
        <v>1521</v>
      </c>
      <c r="AW2313" s="4">
        <v>42527</v>
      </c>
      <c r="BD2313">
        <v>0</v>
      </c>
      <c r="BN2313" t="s">
        <v>74</v>
      </c>
    </row>
    <row r="2314" spans="1:66" hidden="1">
      <c r="A2314">
        <v>100703</v>
      </c>
      <c r="B2314" s="3" t="s">
        <v>229</v>
      </c>
      <c r="C2314" s="1">
        <v>43300101</v>
      </c>
      <c r="D2314" t="s">
        <v>67</v>
      </c>
      <c r="H2314" t="str">
        <f t="shared" si="226"/>
        <v>05501420961</v>
      </c>
      <c r="I2314" t="str">
        <f t="shared" si="226"/>
        <v>05501420961</v>
      </c>
      <c r="K2314" t="str">
        <f>""</f>
        <v/>
      </c>
      <c r="M2314" t="s">
        <v>68</v>
      </c>
      <c r="N2314" t="str">
        <f t="shared" si="223"/>
        <v>FOR</v>
      </c>
      <c r="O2314" t="s">
        <v>69</v>
      </c>
      <c r="P2314" s="3" t="s">
        <v>75</v>
      </c>
      <c r="Q2314">
        <v>2015</v>
      </c>
      <c r="R2314" s="2">
        <v>42206</v>
      </c>
      <c r="S2314" s="2">
        <v>42215</v>
      </c>
      <c r="T2314" s="2">
        <v>42207</v>
      </c>
      <c r="U2314" s="2">
        <v>42267</v>
      </c>
      <c r="V2314" t="s">
        <v>71</v>
      </c>
      <c r="W2314" t="str">
        <f>"          1508111146"</f>
        <v xml:space="preserve">          1508111146</v>
      </c>
      <c r="X2314" s="1">
        <v>2561.63</v>
      </c>
      <c r="Y2314">
        <v>0</v>
      </c>
      <c r="Z2314"/>
      <c r="AB2314"/>
      <c r="AC2314" s="1">
        <v>2328.75</v>
      </c>
      <c r="AD2314">
        <v>299</v>
      </c>
      <c r="AE2314" s="1">
        <v>696296.25</v>
      </c>
      <c r="AF2314">
        <v>0</v>
      </c>
      <c r="AJ2314">
        <v>0</v>
      </c>
      <c r="AK2314">
        <v>0</v>
      </c>
      <c r="AL2314">
        <v>0</v>
      </c>
      <c r="AM2314">
        <v>0</v>
      </c>
      <c r="AN2314">
        <v>0</v>
      </c>
      <c r="AO2314">
        <v>0</v>
      </c>
      <c r="AP2314" s="2">
        <v>42746</v>
      </c>
      <c r="AQ2314" t="s">
        <v>72</v>
      </c>
      <c r="AR2314" t="s">
        <v>72</v>
      </c>
      <c r="AS2314">
        <v>1819</v>
      </c>
      <c r="AT2314" s="4">
        <v>42566</v>
      </c>
      <c r="AU2314" t="s">
        <v>73</v>
      </c>
      <c r="AV2314">
        <v>1819</v>
      </c>
      <c r="AW2314" s="4">
        <v>42566</v>
      </c>
      <c r="BD2314">
        <v>0</v>
      </c>
      <c r="BN2314" t="s">
        <v>74</v>
      </c>
    </row>
    <row r="2315" spans="1:66" hidden="1">
      <c r="A2315">
        <v>100703</v>
      </c>
      <c r="B2315" s="3" t="s">
        <v>229</v>
      </c>
      <c r="C2315" s="1">
        <v>43300101</v>
      </c>
      <c r="D2315" t="s">
        <v>67</v>
      </c>
      <c r="H2315" t="str">
        <f t="shared" si="226"/>
        <v>05501420961</v>
      </c>
      <c r="I2315" t="str">
        <f t="shared" si="226"/>
        <v>05501420961</v>
      </c>
      <c r="K2315" t="str">
        <f>""</f>
        <v/>
      </c>
      <c r="M2315" t="s">
        <v>68</v>
      </c>
      <c r="N2315" t="str">
        <f t="shared" si="223"/>
        <v>FOR</v>
      </c>
      <c r="O2315" t="s">
        <v>69</v>
      </c>
      <c r="P2315" s="3" t="s">
        <v>75</v>
      </c>
      <c r="Q2315">
        <v>2015</v>
      </c>
      <c r="R2315" s="2">
        <v>42215</v>
      </c>
      <c r="S2315" s="2">
        <v>42216</v>
      </c>
      <c r="T2315" s="2">
        <v>42216</v>
      </c>
      <c r="U2315" s="2">
        <v>42276</v>
      </c>
      <c r="V2315" t="s">
        <v>71</v>
      </c>
      <c r="W2315" t="str">
        <f>"          1508111589"</f>
        <v xml:space="preserve">          1508111589</v>
      </c>
      <c r="X2315" s="1">
        <v>7292.34</v>
      </c>
      <c r="Y2315">
        <v>0</v>
      </c>
      <c r="Z2315"/>
      <c r="AB2315"/>
      <c r="AC2315" s="1">
        <v>6629.4</v>
      </c>
      <c r="AD2315">
        <v>290</v>
      </c>
      <c r="AE2315" s="1">
        <v>1922526</v>
      </c>
      <c r="AF2315">
        <v>0</v>
      </c>
      <c r="AJ2315">
        <v>0</v>
      </c>
      <c r="AK2315">
        <v>0</v>
      </c>
      <c r="AL2315">
        <v>0</v>
      </c>
      <c r="AM2315">
        <v>0</v>
      </c>
      <c r="AN2315">
        <v>0</v>
      </c>
      <c r="AO2315">
        <v>0</v>
      </c>
      <c r="AP2315" s="2">
        <v>42746</v>
      </c>
      <c r="AQ2315" t="s">
        <v>72</v>
      </c>
      <c r="AR2315" t="s">
        <v>72</v>
      </c>
      <c r="AS2315">
        <v>1819</v>
      </c>
      <c r="AT2315" s="4">
        <v>42566</v>
      </c>
      <c r="AU2315" t="s">
        <v>73</v>
      </c>
      <c r="AV2315">
        <v>1819</v>
      </c>
      <c r="AW2315" s="4">
        <v>42566</v>
      </c>
      <c r="BD2315">
        <v>0</v>
      </c>
      <c r="BN2315" t="s">
        <v>74</v>
      </c>
    </row>
    <row r="2316" spans="1:66" hidden="1">
      <c r="A2316">
        <v>100703</v>
      </c>
      <c r="B2316" s="3" t="s">
        <v>229</v>
      </c>
      <c r="C2316" s="1">
        <v>43300101</v>
      </c>
      <c r="D2316" t="s">
        <v>67</v>
      </c>
      <c r="H2316" t="str">
        <f t="shared" si="226"/>
        <v>05501420961</v>
      </c>
      <c r="I2316" t="str">
        <f t="shared" si="226"/>
        <v>05501420961</v>
      </c>
      <c r="K2316" t="str">
        <f>""</f>
        <v/>
      </c>
      <c r="M2316" t="s">
        <v>68</v>
      </c>
      <c r="N2316" t="str">
        <f t="shared" si="223"/>
        <v>FOR</v>
      </c>
      <c r="O2316" t="s">
        <v>69</v>
      </c>
      <c r="P2316" s="3" t="s">
        <v>75</v>
      </c>
      <c r="Q2316">
        <v>2015</v>
      </c>
      <c r="R2316" s="2">
        <v>42261</v>
      </c>
      <c r="S2316" s="2">
        <v>42291</v>
      </c>
      <c r="T2316" s="2">
        <v>42282</v>
      </c>
      <c r="U2316" s="2">
        <v>42342</v>
      </c>
      <c r="V2316" t="s">
        <v>71</v>
      </c>
      <c r="W2316" t="str">
        <f>"          1508112981"</f>
        <v xml:space="preserve">          1508112981</v>
      </c>
      <c r="X2316" s="1">
        <v>2691.98</v>
      </c>
      <c r="Y2316">
        <v>0</v>
      </c>
      <c r="Z2316"/>
      <c r="AB2316"/>
      <c r="AC2316" s="1">
        <v>2447.25</v>
      </c>
      <c r="AD2316">
        <v>279</v>
      </c>
      <c r="AE2316" s="1">
        <v>682782.75</v>
      </c>
      <c r="AF2316">
        <v>0</v>
      </c>
      <c r="AJ2316">
        <v>0</v>
      </c>
      <c r="AK2316">
        <v>0</v>
      </c>
      <c r="AL2316">
        <v>0</v>
      </c>
      <c r="AM2316">
        <v>0</v>
      </c>
      <c r="AN2316">
        <v>0</v>
      </c>
      <c r="AO2316">
        <v>0</v>
      </c>
      <c r="AP2316" s="2">
        <v>42746</v>
      </c>
      <c r="AQ2316" t="s">
        <v>72</v>
      </c>
      <c r="AR2316" t="s">
        <v>72</v>
      </c>
      <c r="AS2316">
        <v>2391</v>
      </c>
      <c r="AT2316" s="4">
        <v>42621</v>
      </c>
      <c r="AU2316" t="s">
        <v>73</v>
      </c>
      <c r="AV2316">
        <v>2391</v>
      </c>
      <c r="AW2316" s="4">
        <v>42621</v>
      </c>
      <c r="BD2316">
        <v>0</v>
      </c>
      <c r="BN2316" t="s">
        <v>74</v>
      </c>
    </row>
    <row r="2317" spans="1:66" hidden="1">
      <c r="A2317">
        <v>100703</v>
      </c>
      <c r="B2317" s="3" t="s">
        <v>229</v>
      </c>
      <c r="C2317" s="1">
        <v>43300101</v>
      </c>
      <c r="D2317" t="s">
        <v>67</v>
      </c>
      <c r="H2317" t="str">
        <f t="shared" si="226"/>
        <v>05501420961</v>
      </c>
      <c r="I2317" t="str">
        <f t="shared" si="226"/>
        <v>05501420961</v>
      </c>
      <c r="K2317" t="str">
        <f>""</f>
        <v/>
      </c>
      <c r="M2317" t="s">
        <v>68</v>
      </c>
      <c r="N2317" t="str">
        <f t="shared" si="223"/>
        <v>FOR</v>
      </c>
      <c r="O2317" t="s">
        <v>69</v>
      </c>
      <c r="P2317" s="3" t="s">
        <v>75</v>
      </c>
      <c r="Q2317">
        <v>2015</v>
      </c>
      <c r="R2317" s="2">
        <v>42269</v>
      </c>
      <c r="S2317" s="2">
        <v>42291</v>
      </c>
      <c r="T2317" s="2">
        <v>42282</v>
      </c>
      <c r="U2317" s="2">
        <v>42342</v>
      </c>
      <c r="V2317" t="s">
        <v>71</v>
      </c>
      <c r="W2317" t="str">
        <f>"          1508113484"</f>
        <v xml:space="preserve">          1508113484</v>
      </c>
      <c r="X2317" s="1">
        <v>3012.9</v>
      </c>
      <c r="Y2317">
        <v>0</v>
      </c>
      <c r="Z2317"/>
      <c r="AB2317"/>
      <c r="AC2317" s="1">
        <v>2739</v>
      </c>
      <c r="AD2317">
        <v>279</v>
      </c>
      <c r="AE2317" s="1">
        <v>764181</v>
      </c>
      <c r="AF2317">
        <v>0</v>
      </c>
      <c r="AJ2317">
        <v>0</v>
      </c>
      <c r="AK2317">
        <v>0</v>
      </c>
      <c r="AL2317">
        <v>0</v>
      </c>
      <c r="AM2317">
        <v>0</v>
      </c>
      <c r="AN2317">
        <v>0</v>
      </c>
      <c r="AO2317">
        <v>0</v>
      </c>
      <c r="AP2317" s="2">
        <v>42746</v>
      </c>
      <c r="AQ2317" t="s">
        <v>72</v>
      </c>
      <c r="AR2317" t="s">
        <v>72</v>
      </c>
      <c r="AS2317">
        <v>2391</v>
      </c>
      <c r="AT2317" s="4">
        <v>42621</v>
      </c>
      <c r="AU2317" t="s">
        <v>73</v>
      </c>
      <c r="AV2317">
        <v>2391</v>
      </c>
      <c r="AW2317" s="4">
        <v>42621</v>
      </c>
      <c r="BD2317">
        <v>0</v>
      </c>
      <c r="BN2317" t="s">
        <v>74</v>
      </c>
    </row>
    <row r="2318" spans="1:66">
      <c r="A2318">
        <v>100703</v>
      </c>
      <c r="B2318" s="3" t="s">
        <v>229</v>
      </c>
      <c r="C2318" s="1">
        <v>43300101</v>
      </c>
      <c r="D2318" t="s">
        <v>67</v>
      </c>
      <c r="H2318" t="str">
        <f t="shared" si="226"/>
        <v>05501420961</v>
      </c>
      <c r="I2318" t="str">
        <f t="shared" si="226"/>
        <v>05501420961</v>
      </c>
      <c r="K2318" t="str">
        <f>""</f>
        <v/>
      </c>
      <c r="M2318" t="s">
        <v>68</v>
      </c>
      <c r="N2318" t="str">
        <f t="shared" si="223"/>
        <v>FOR</v>
      </c>
      <c r="O2318" t="s">
        <v>69</v>
      </c>
      <c r="P2318" s="3" t="s">
        <v>75</v>
      </c>
      <c r="Q2318">
        <v>2015</v>
      </c>
      <c r="R2318" s="2">
        <v>42305</v>
      </c>
      <c r="S2318" s="2">
        <v>42307</v>
      </c>
      <c r="T2318" s="2">
        <v>42306</v>
      </c>
      <c r="U2318" s="2">
        <v>42366</v>
      </c>
      <c r="V2318" t="s">
        <v>71</v>
      </c>
      <c r="W2318" t="str">
        <f>"          1508115349"</f>
        <v xml:space="preserve">          1508115349</v>
      </c>
      <c r="X2318" s="1">
        <v>5653.34</v>
      </c>
      <c r="Y2318">
        <v>0</v>
      </c>
      <c r="Z2318" s="5">
        <v>5139.3999999999996</v>
      </c>
      <c r="AA2318">
        <v>281</v>
      </c>
      <c r="AB2318" s="5">
        <v>1444171.4</v>
      </c>
      <c r="AC2318" s="1">
        <v>5139.3999999999996</v>
      </c>
      <c r="AD2318">
        <v>281</v>
      </c>
      <c r="AE2318" s="1">
        <v>1444171.4</v>
      </c>
      <c r="AF2318">
        <v>0</v>
      </c>
      <c r="AJ2318">
        <v>0</v>
      </c>
      <c r="AK2318">
        <v>0</v>
      </c>
      <c r="AL2318">
        <v>0</v>
      </c>
      <c r="AM2318">
        <v>0</v>
      </c>
      <c r="AN2318">
        <v>0</v>
      </c>
      <c r="AO2318">
        <v>0</v>
      </c>
      <c r="AP2318" s="2">
        <v>42746</v>
      </c>
      <c r="AQ2318" t="s">
        <v>72</v>
      </c>
      <c r="AR2318" t="s">
        <v>72</v>
      </c>
      <c r="AS2318">
        <v>2615</v>
      </c>
      <c r="AT2318" s="4">
        <v>42647</v>
      </c>
      <c r="AU2318" t="s">
        <v>73</v>
      </c>
      <c r="AV2318">
        <v>2615</v>
      </c>
      <c r="AW2318" s="4">
        <v>42647</v>
      </c>
      <c r="BD2318">
        <v>0</v>
      </c>
      <c r="BN2318" t="s">
        <v>74</v>
      </c>
    </row>
    <row r="2319" spans="1:66">
      <c r="A2319">
        <v>100703</v>
      </c>
      <c r="B2319" s="3" t="s">
        <v>229</v>
      </c>
      <c r="C2319" s="1">
        <v>43300101</v>
      </c>
      <c r="D2319" t="s">
        <v>67</v>
      </c>
      <c r="H2319" t="str">
        <f t="shared" si="226"/>
        <v>05501420961</v>
      </c>
      <c r="I2319" t="str">
        <f t="shared" si="226"/>
        <v>05501420961</v>
      </c>
      <c r="K2319" t="str">
        <f>""</f>
        <v/>
      </c>
      <c r="M2319" t="s">
        <v>68</v>
      </c>
      <c r="N2319" t="str">
        <f t="shared" si="223"/>
        <v>FOR</v>
      </c>
      <c r="O2319" t="s">
        <v>69</v>
      </c>
      <c r="P2319" s="3" t="s">
        <v>75</v>
      </c>
      <c r="Q2319">
        <v>2016</v>
      </c>
      <c r="R2319" s="2">
        <v>42394</v>
      </c>
      <c r="S2319" s="2">
        <v>42396</v>
      </c>
      <c r="T2319" s="2">
        <v>42395</v>
      </c>
      <c r="U2319" s="2">
        <v>42455</v>
      </c>
      <c r="V2319" t="s">
        <v>71</v>
      </c>
      <c r="W2319" t="str">
        <f>"          1608101138"</f>
        <v xml:space="preserve">          1608101138</v>
      </c>
      <c r="X2319" s="1">
        <v>1536.98</v>
      </c>
      <c r="Y2319">
        <v>0</v>
      </c>
      <c r="Z2319" s="5">
        <v>1397.25</v>
      </c>
      <c r="AA2319">
        <v>268</v>
      </c>
      <c r="AB2319" s="5">
        <v>374463</v>
      </c>
      <c r="AC2319" s="1">
        <v>1397.25</v>
      </c>
      <c r="AD2319">
        <v>268</v>
      </c>
      <c r="AE2319" s="1">
        <v>374463</v>
      </c>
      <c r="AF2319">
        <v>139.72999999999999</v>
      </c>
      <c r="AJ2319">
        <v>0</v>
      </c>
      <c r="AK2319">
        <v>0</v>
      </c>
      <c r="AL2319">
        <v>0</v>
      </c>
      <c r="AM2319" s="1">
        <v>1536.98</v>
      </c>
      <c r="AN2319" s="1">
        <v>1536.98</v>
      </c>
      <c r="AO2319" s="1">
        <v>1536.98</v>
      </c>
      <c r="AP2319" s="2">
        <v>42746</v>
      </c>
      <c r="AQ2319" t="s">
        <v>72</v>
      </c>
      <c r="AR2319" t="s">
        <v>72</v>
      </c>
      <c r="AS2319">
        <v>3591</v>
      </c>
      <c r="AT2319" s="4">
        <v>42723</v>
      </c>
      <c r="AU2319" t="s">
        <v>73</v>
      </c>
      <c r="AV2319">
        <v>3591</v>
      </c>
      <c r="AW2319" s="4">
        <v>42723</v>
      </c>
      <c r="BD2319">
        <v>139.72999999999999</v>
      </c>
      <c r="BN2319" t="s">
        <v>74</v>
      </c>
    </row>
    <row r="2320" spans="1:66">
      <c r="A2320">
        <v>100703</v>
      </c>
      <c r="B2320" s="3" t="s">
        <v>229</v>
      </c>
      <c r="C2320" s="1">
        <v>43300101</v>
      </c>
      <c r="D2320" t="s">
        <v>67</v>
      </c>
      <c r="H2320" t="str">
        <f t="shared" si="226"/>
        <v>05501420961</v>
      </c>
      <c r="I2320" t="str">
        <f t="shared" si="226"/>
        <v>05501420961</v>
      </c>
      <c r="K2320" t="str">
        <f>""</f>
        <v/>
      </c>
      <c r="M2320" t="s">
        <v>68</v>
      </c>
      <c r="N2320" t="str">
        <f t="shared" si="223"/>
        <v>FOR</v>
      </c>
      <c r="O2320" t="s">
        <v>69</v>
      </c>
      <c r="P2320" s="3" t="s">
        <v>75</v>
      </c>
      <c r="Q2320">
        <v>2016</v>
      </c>
      <c r="R2320" s="2">
        <v>42405</v>
      </c>
      <c r="S2320" s="2">
        <v>42410</v>
      </c>
      <c r="T2320" s="2">
        <v>42406</v>
      </c>
      <c r="U2320" s="2">
        <v>42466</v>
      </c>
      <c r="V2320" t="s">
        <v>71</v>
      </c>
      <c r="W2320" t="str">
        <f>"          1608101946"</f>
        <v xml:space="preserve">          1608101946</v>
      </c>
      <c r="X2320">
        <v>637.55999999999995</v>
      </c>
      <c r="Y2320">
        <v>0</v>
      </c>
      <c r="Z2320" s="3">
        <v>579.6</v>
      </c>
      <c r="AA2320">
        <v>257</v>
      </c>
      <c r="AB2320" s="5">
        <v>148957.20000000001</v>
      </c>
      <c r="AC2320">
        <v>579.6</v>
      </c>
      <c r="AD2320">
        <v>257</v>
      </c>
      <c r="AE2320" s="1">
        <v>148957.20000000001</v>
      </c>
      <c r="AF2320">
        <v>57.96</v>
      </c>
      <c r="AJ2320">
        <v>0</v>
      </c>
      <c r="AK2320">
        <v>0</v>
      </c>
      <c r="AL2320">
        <v>0</v>
      </c>
      <c r="AM2320">
        <v>637.55999999999995</v>
      </c>
      <c r="AN2320">
        <v>637.55999999999995</v>
      </c>
      <c r="AO2320">
        <v>637.55999999999995</v>
      </c>
      <c r="AP2320" s="2">
        <v>42746</v>
      </c>
      <c r="AQ2320" t="s">
        <v>72</v>
      </c>
      <c r="AR2320" t="s">
        <v>72</v>
      </c>
      <c r="AS2320">
        <v>3591</v>
      </c>
      <c r="AT2320" s="4">
        <v>42723</v>
      </c>
      <c r="AU2320" t="s">
        <v>73</v>
      </c>
      <c r="AV2320">
        <v>3591</v>
      </c>
      <c r="AW2320" s="4">
        <v>42723</v>
      </c>
      <c r="BD2320">
        <v>57.96</v>
      </c>
      <c r="BN2320" t="s">
        <v>74</v>
      </c>
    </row>
    <row r="2321" spans="1:66">
      <c r="A2321">
        <v>100703</v>
      </c>
      <c r="B2321" s="3" t="s">
        <v>229</v>
      </c>
      <c r="C2321" s="1">
        <v>43300101</v>
      </c>
      <c r="D2321" t="s">
        <v>67</v>
      </c>
      <c r="H2321" t="str">
        <f t="shared" si="226"/>
        <v>05501420961</v>
      </c>
      <c r="I2321" t="str">
        <f t="shared" si="226"/>
        <v>05501420961</v>
      </c>
      <c r="K2321" t="str">
        <f>""</f>
        <v/>
      </c>
      <c r="M2321" t="s">
        <v>68</v>
      </c>
      <c r="N2321" t="str">
        <f t="shared" si="223"/>
        <v>FOR</v>
      </c>
      <c r="O2321" t="s">
        <v>69</v>
      </c>
      <c r="P2321" s="3" t="s">
        <v>75</v>
      </c>
      <c r="Q2321">
        <v>2016</v>
      </c>
      <c r="R2321" s="2">
        <v>42423</v>
      </c>
      <c r="S2321" s="2">
        <v>42425</v>
      </c>
      <c r="T2321" s="2">
        <v>42424</v>
      </c>
      <c r="U2321" s="2">
        <v>42484</v>
      </c>
      <c r="V2321" t="s">
        <v>71</v>
      </c>
      <c r="W2321" t="str">
        <f>"          1608102950"</f>
        <v xml:space="preserve">          1608102950</v>
      </c>
      <c r="X2321" s="1">
        <v>1561.56</v>
      </c>
      <c r="Y2321">
        <v>0</v>
      </c>
      <c r="Z2321" s="5">
        <v>1419.6</v>
      </c>
      <c r="AA2321">
        <v>239</v>
      </c>
      <c r="AB2321" s="5">
        <v>339284.4</v>
      </c>
      <c r="AC2321" s="1">
        <v>1419.6</v>
      </c>
      <c r="AD2321">
        <v>239</v>
      </c>
      <c r="AE2321" s="1">
        <v>339284.4</v>
      </c>
      <c r="AF2321">
        <v>141.96</v>
      </c>
      <c r="AJ2321">
        <v>0</v>
      </c>
      <c r="AK2321">
        <v>0</v>
      </c>
      <c r="AL2321">
        <v>0</v>
      </c>
      <c r="AM2321" s="1">
        <v>1561.56</v>
      </c>
      <c r="AN2321" s="1">
        <v>1561.56</v>
      </c>
      <c r="AO2321" s="1">
        <v>1561.56</v>
      </c>
      <c r="AP2321" s="2">
        <v>42746</v>
      </c>
      <c r="AQ2321" t="s">
        <v>72</v>
      </c>
      <c r="AR2321" t="s">
        <v>72</v>
      </c>
      <c r="AS2321">
        <v>3591</v>
      </c>
      <c r="AT2321" s="4">
        <v>42723</v>
      </c>
      <c r="AU2321" t="s">
        <v>73</v>
      </c>
      <c r="AV2321">
        <v>3591</v>
      </c>
      <c r="AW2321" s="4">
        <v>42723</v>
      </c>
      <c r="BD2321">
        <v>141.96</v>
      </c>
      <c r="BN2321" t="s">
        <v>74</v>
      </c>
    </row>
    <row r="2322" spans="1:66">
      <c r="A2322">
        <v>100706</v>
      </c>
      <c r="B2322" s="3" t="s">
        <v>230</v>
      </c>
      <c r="C2322" s="1">
        <v>43300101</v>
      </c>
      <c r="D2322" t="s">
        <v>67</v>
      </c>
      <c r="H2322" t="str">
        <f>"01779530466"</f>
        <v>01779530466</v>
      </c>
      <c r="I2322" t="str">
        <f>"01779530466"</f>
        <v>01779530466</v>
      </c>
      <c r="K2322" t="str">
        <f>""</f>
        <v/>
      </c>
      <c r="M2322" t="s">
        <v>68</v>
      </c>
      <c r="N2322" t="str">
        <f t="shared" si="223"/>
        <v>FOR</v>
      </c>
      <c r="O2322" t="s">
        <v>69</v>
      </c>
      <c r="P2322" s="3" t="s">
        <v>75</v>
      </c>
      <c r="Q2322">
        <v>2015</v>
      </c>
      <c r="R2322" s="2">
        <v>42328</v>
      </c>
      <c r="S2322" s="2">
        <v>42333</v>
      </c>
      <c r="T2322" s="2">
        <v>42332</v>
      </c>
      <c r="U2322" s="2">
        <v>42392</v>
      </c>
      <c r="V2322" t="s">
        <v>71</v>
      </c>
      <c r="W2322" t="str">
        <f>"          9153007740"</f>
        <v xml:space="preserve">          9153007740</v>
      </c>
      <c r="X2322" s="1">
        <v>1540</v>
      </c>
      <c r="Y2322">
        <v>0</v>
      </c>
      <c r="Z2322" s="5">
        <v>1400</v>
      </c>
      <c r="AA2322">
        <v>292</v>
      </c>
      <c r="AB2322" s="5">
        <v>408800</v>
      </c>
      <c r="AC2322" s="1">
        <v>1400</v>
      </c>
      <c r="AD2322">
        <v>292</v>
      </c>
      <c r="AE2322" s="1">
        <v>408800</v>
      </c>
      <c r="AF2322">
        <v>0</v>
      </c>
      <c r="AJ2322">
        <v>0</v>
      </c>
      <c r="AK2322">
        <v>0</v>
      </c>
      <c r="AL2322">
        <v>0</v>
      </c>
      <c r="AM2322">
        <v>0</v>
      </c>
      <c r="AN2322">
        <v>0</v>
      </c>
      <c r="AO2322">
        <v>0</v>
      </c>
      <c r="AP2322" s="2">
        <v>42746</v>
      </c>
      <c r="AQ2322" t="s">
        <v>72</v>
      </c>
      <c r="AR2322" t="s">
        <v>72</v>
      </c>
      <c r="AS2322">
        <v>3060</v>
      </c>
      <c r="AT2322" s="4">
        <v>42684</v>
      </c>
      <c r="AU2322" t="s">
        <v>73</v>
      </c>
      <c r="AV2322">
        <v>3060</v>
      </c>
      <c r="AW2322" s="4">
        <v>42684</v>
      </c>
      <c r="BD2322">
        <v>0</v>
      </c>
      <c r="BN2322" t="s">
        <v>74</v>
      </c>
    </row>
    <row r="2323" spans="1:66" hidden="1">
      <c r="A2323">
        <v>100707</v>
      </c>
      <c r="B2323" s="3" t="s">
        <v>231</v>
      </c>
      <c r="C2323" s="1">
        <v>43300101</v>
      </c>
      <c r="D2323" t="s">
        <v>67</v>
      </c>
      <c r="H2323" t="str">
        <f t="shared" ref="H2323:I2340" si="227">"04553030638"</f>
        <v>04553030638</v>
      </c>
      <c r="I2323" t="str">
        <f t="shared" si="227"/>
        <v>04553030638</v>
      </c>
      <c r="K2323" t="str">
        <f>""</f>
        <v/>
      </c>
      <c r="M2323" t="s">
        <v>68</v>
      </c>
      <c r="N2323" t="str">
        <f t="shared" si="223"/>
        <v>FOR</v>
      </c>
      <c r="O2323" t="s">
        <v>69</v>
      </c>
      <c r="P2323" s="3" t="s">
        <v>75</v>
      </c>
      <c r="Q2323">
        <v>2015</v>
      </c>
      <c r="R2323" s="2">
        <v>42094</v>
      </c>
      <c r="S2323" s="2">
        <v>42165</v>
      </c>
      <c r="T2323" s="2">
        <v>42143</v>
      </c>
      <c r="U2323" s="2">
        <v>42203</v>
      </c>
      <c r="V2323" t="s">
        <v>71</v>
      </c>
      <c r="W2323" t="str">
        <f>"            084/2015"</f>
        <v xml:space="preserve">            084/2015</v>
      </c>
      <c r="X2323">
        <v>798.25</v>
      </c>
      <c r="Y2323">
        <v>0</v>
      </c>
      <c r="Z2323"/>
      <c r="AB2323"/>
      <c r="AC2323">
        <v>654.29999999999995</v>
      </c>
      <c r="AD2323">
        <v>200</v>
      </c>
      <c r="AE2323" s="1">
        <v>130860</v>
      </c>
      <c r="AF2323">
        <v>0</v>
      </c>
      <c r="AJ2323">
        <v>0</v>
      </c>
      <c r="AK2323">
        <v>0</v>
      </c>
      <c r="AL2323">
        <v>0</v>
      </c>
      <c r="AM2323">
        <v>0</v>
      </c>
      <c r="AN2323">
        <v>0</v>
      </c>
      <c r="AO2323">
        <v>0</v>
      </c>
      <c r="AP2323" s="2">
        <v>42746</v>
      </c>
      <c r="AQ2323" t="s">
        <v>72</v>
      </c>
      <c r="AR2323" t="s">
        <v>72</v>
      </c>
      <c r="AS2323">
        <v>227</v>
      </c>
      <c r="AT2323" s="4">
        <v>42403</v>
      </c>
      <c r="AU2323" t="s">
        <v>73</v>
      </c>
      <c r="AV2323">
        <v>227</v>
      </c>
      <c r="AW2323" s="4">
        <v>42403</v>
      </c>
      <c r="BD2323">
        <v>0</v>
      </c>
      <c r="BN2323" t="s">
        <v>74</v>
      </c>
    </row>
    <row r="2324" spans="1:66" hidden="1">
      <c r="A2324">
        <v>100707</v>
      </c>
      <c r="B2324" s="3" t="s">
        <v>231</v>
      </c>
      <c r="C2324" s="1">
        <v>43300101</v>
      </c>
      <c r="D2324" t="s">
        <v>67</v>
      </c>
      <c r="H2324" t="str">
        <f t="shared" si="227"/>
        <v>04553030638</v>
      </c>
      <c r="I2324" t="str">
        <f t="shared" si="227"/>
        <v>04553030638</v>
      </c>
      <c r="K2324" t="str">
        <f>""</f>
        <v/>
      </c>
      <c r="M2324" t="s">
        <v>68</v>
      </c>
      <c r="N2324" t="str">
        <f t="shared" si="223"/>
        <v>FOR</v>
      </c>
      <c r="O2324" t="s">
        <v>69</v>
      </c>
      <c r="P2324" s="3" t="s">
        <v>75</v>
      </c>
      <c r="Q2324">
        <v>2015</v>
      </c>
      <c r="R2324" s="2">
        <v>42094</v>
      </c>
      <c r="S2324" s="2">
        <v>42165</v>
      </c>
      <c r="T2324" s="2">
        <v>42143</v>
      </c>
      <c r="U2324" s="2">
        <v>42203</v>
      </c>
      <c r="V2324" t="s">
        <v>71</v>
      </c>
      <c r="W2324" t="str">
        <f>"            110/2015"</f>
        <v xml:space="preserve">            110/2015</v>
      </c>
      <c r="X2324" s="1">
        <v>15860</v>
      </c>
      <c r="Y2324">
        <v>0</v>
      </c>
      <c r="Z2324"/>
      <c r="AB2324"/>
      <c r="AC2324" s="1">
        <v>13000</v>
      </c>
      <c r="AD2324">
        <v>200</v>
      </c>
      <c r="AE2324" s="1">
        <v>2600000</v>
      </c>
      <c r="AF2324">
        <v>0</v>
      </c>
      <c r="AJ2324">
        <v>0</v>
      </c>
      <c r="AK2324">
        <v>0</v>
      </c>
      <c r="AL2324">
        <v>0</v>
      </c>
      <c r="AM2324">
        <v>0</v>
      </c>
      <c r="AN2324">
        <v>0</v>
      </c>
      <c r="AO2324">
        <v>0</v>
      </c>
      <c r="AP2324" s="2">
        <v>42746</v>
      </c>
      <c r="AQ2324" t="s">
        <v>72</v>
      </c>
      <c r="AR2324" t="s">
        <v>72</v>
      </c>
      <c r="AS2324">
        <v>227</v>
      </c>
      <c r="AT2324" s="4">
        <v>42403</v>
      </c>
      <c r="AU2324" t="s">
        <v>73</v>
      </c>
      <c r="AV2324">
        <v>227</v>
      </c>
      <c r="AW2324" s="4">
        <v>42403</v>
      </c>
      <c r="BD2324">
        <v>0</v>
      </c>
      <c r="BN2324" t="s">
        <v>74</v>
      </c>
    </row>
    <row r="2325" spans="1:66" hidden="1">
      <c r="A2325">
        <v>100707</v>
      </c>
      <c r="B2325" s="3" t="s">
        <v>231</v>
      </c>
      <c r="C2325" s="1">
        <v>43300101</v>
      </c>
      <c r="D2325" t="s">
        <v>67</v>
      </c>
      <c r="H2325" t="str">
        <f t="shared" si="227"/>
        <v>04553030638</v>
      </c>
      <c r="I2325" t="str">
        <f t="shared" si="227"/>
        <v>04553030638</v>
      </c>
      <c r="K2325" t="str">
        <f>""</f>
        <v/>
      </c>
      <c r="M2325" t="s">
        <v>68</v>
      </c>
      <c r="N2325" t="str">
        <f t="shared" si="223"/>
        <v>FOR</v>
      </c>
      <c r="O2325" t="s">
        <v>69</v>
      </c>
      <c r="P2325" s="3" t="s">
        <v>75</v>
      </c>
      <c r="Q2325">
        <v>2015</v>
      </c>
      <c r="R2325" s="2">
        <v>42123</v>
      </c>
      <c r="S2325" s="2">
        <v>42165</v>
      </c>
      <c r="T2325" s="2">
        <v>42145</v>
      </c>
      <c r="U2325" s="2">
        <v>42205</v>
      </c>
      <c r="V2325" t="s">
        <v>71</v>
      </c>
      <c r="W2325" t="str">
        <f>"            128/2015"</f>
        <v xml:space="preserve">            128/2015</v>
      </c>
      <c r="X2325" s="1">
        <v>1627.48</v>
      </c>
      <c r="Y2325">
        <v>0</v>
      </c>
      <c r="Z2325"/>
      <c r="AB2325"/>
      <c r="AC2325" s="1">
        <v>1334</v>
      </c>
      <c r="AD2325">
        <v>211</v>
      </c>
      <c r="AE2325" s="1">
        <v>281474</v>
      </c>
      <c r="AF2325">
        <v>0</v>
      </c>
      <c r="AJ2325">
        <v>0</v>
      </c>
      <c r="AK2325">
        <v>0</v>
      </c>
      <c r="AL2325">
        <v>0</v>
      </c>
      <c r="AM2325">
        <v>0</v>
      </c>
      <c r="AN2325">
        <v>0</v>
      </c>
      <c r="AO2325">
        <v>0</v>
      </c>
      <c r="AP2325" s="2">
        <v>42746</v>
      </c>
      <c r="AQ2325" t="s">
        <v>72</v>
      </c>
      <c r="AR2325" t="s">
        <v>72</v>
      </c>
      <c r="AS2325">
        <v>434</v>
      </c>
      <c r="AT2325" s="4">
        <v>42416</v>
      </c>
      <c r="AU2325" t="s">
        <v>73</v>
      </c>
      <c r="AV2325">
        <v>434</v>
      </c>
      <c r="AW2325" s="4">
        <v>42416</v>
      </c>
      <c r="BD2325">
        <v>0</v>
      </c>
      <c r="BN2325" t="s">
        <v>74</v>
      </c>
    </row>
    <row r="2326" spans="1:66" hidden="1">
      <c r="A2326">
        <v>100707</v>
      </c>
      <c r="B2326" s="3" t="s">
        <v>231</v>
      </c>
      <c r="C2326" s="1">
        <v>43300101</v>
      </c>
      <c r="D2326" t="s">
        <v>67</v>
      </c>
      <c r="H2326" t="str">
        <f t="shared" si="227"/>
        <v>04553030638</v>
      </c>
      <c r="I2326" t="str">
        <f t="shared" si="227"/>
        <v>04553030638</v>
      </c>
      <c r="K2326" t="str">
        <f>""</f>
        <v/>
      </c>
      <c r="M2326" t="s">
        <v>68</v>
      </c>
      <c r="N2326" t="str">
        <f t="shared" si="223"/>
        <v>FOR</v>
      </c>
      <c r="O2326" t="s">
        <v>69</v>
      </c>
      <c r="P2326" s="3" t="s">
        <v>75</v>
      </c>
      <c r="Q2326">
        <v>2015</v>
      </c>
      <c r="R2326" s="2">
        <v>42153</v>
      </c>
      <c r="S2326" s="2">
        <v>42202</v>
      </c>
      <c r="T2326" s="2">
        <v>42201</v>
      </c>
      <c r="U2326" s="2">
        <v>42261</v>
      </c>
      <c r="V2326" t="s">
        <v>71</v>
      </c>
      <c r="W2326" t="str">
        <f>"            165/2015"</f>
        <v xml:space="preserve">            165/2015</v>
      </c>
      <c r="X2326" s="1">
        <v>1577.46</v>
      </c>
      <c r="Y2326">
        <v>0</v>
      </c>
      <c r="Z2326"/>
      <c r="AB2326"/>
      <c r="AC2326" s="1">
        <v>1293</v>
      </c>
      <c r="AD2326">
        <v>192</v>
      </c>
      <c r="AE2326" s="1">
        <v>248256</v>
      </c>
      <c r="AF2326">
        <v>0</v>
      </c>
      <c r="AJ2326">
        <v>0</v>
      </c>
      <c r="AK2326">
        <v>0</v>
      </c>
      <c r="AL2326">
        <v>0</v>
      </c>
      <c r="AM2326">
        <v>0</v>
      </c>
      <c r="AN2326">
        <v>0</v>
      </c>
      <c r="AO2326">
        <v>0</v>
      </c>
      <c r="AP2326" s="2">
        <v>42746</v>
      </c>
      <c r="AQ2326" t="s">
        <v>72</v>
      </c>
      <c r="AR2326" t="s">
        <v>72</v>
      </c>
      <c r="AS2326">
        <v>840</v>
      </c>
      <c r="AT2326" s="4">
        <v>42453</v>
      </c>
      <c r="AU2326" t="s">
        <v>73</v>
      </c>
      <c r="AV2326">
        <v>840</v>
      </c>
      <c r="AW2326" s="4">
        <v>42453</v>
      </c>
      <c r="BD2326">
        <v>0</v>
      </c>
      <c r="BN2326" t="s">
        <v>74</v>
      </c>
    </row>
    <row r="2327" spans="1:66" hidden="1">
      <c r="A2327">
        <v>100707</v>
      </c>
      <c r="B2327" s="3" t="s">
        <v>231</v>
      </c>
      <c r="C2327" s="1">
        <v>43300101</v>
      </c>
      <c r="D2327" t="s">
        <v>67</v>
      </c>
      <c r="H2327" t="str">
        <f t="shared" si="227"/>
        <v>04553030638</v>
      </c>
      <c r="I2327" t="str">
        <f t="shared" si="227"/>
        <v>04553030638</v>
      </c>
      <c r="K2327" t="str">
        <f>""</f>
        <v/>
      </c>
      <c r="M2327" t="s">
        <v>68</v>
      </c>
      <c r="N2327" t="str">
        <f t="shared" si="223"/>
        <v>FOR</v>
      </c>
      <c r="O2327" t="s">
        <v>69</v>
      </c>
      <c r="P2327" s="3" t="s">
        <v>75</v>
      </c>
      <c r="Q2327">
        <v>2015</v>
      </c>
      <c r="R2327" s="2">
        <v>42153</v>
      </c>
      <c r="S2327" s="2">
        <v>42202</v>
      </c>
      <c r="T2327" s="2">
        <v>42201</v>
      </c>
      <c r="U2327" s="2">
        <v>42261</v>
      </c>
      <c r="V2327" t="s">
        <v>71</v>
      </c>
      <c r="W2327" t="str">
        <f>"            166/2015"</f>
        <v xml:space="preserve">            166/2015</v>
      </c>
      <c r="X2327" s="1">
        <v>5361.13</v>
      </c>
      <c r="Y2327">
        <v>0</v>
      </c>
      <c r="Z2327"/>
      <c r="AB2327"/>
      <c r="AC2327" s="1">
        <v>4394.37</v>
      </c>
      <c r="AD2327">
        <v>231</v>
      </c>
      <c r="AE2327" s="1">
        <v>1015099.47</v>
      </c>
      <c r="AF2327">
        <v>0</v>
      </c>
      <c r="AJ2327">
        <v>0</v>
      </c>
      <c r="AK2327">
        <v>0</v>
      </c>
      <c r="AL2327">
        <v>0</v>
      </c>
      <c r="AM2327">
        <v>0</v>
      </c>
      <c r="AN2327">
        <v>0</v>
      </c>
      <c r="AO2327">
        <v>0</v>
      </c>
      <c r="AP2327" s="2">
        <v>42746</v>
      </c>
      <c r="AQ2327" t="s">
        <v>72</v>
      </c>
      <c r="AR2327" t="s">
        <v>72</v>
      </c>
      <c r="AS2327">
        <v>1243</v>
      </c>
      <c r="AT2327" s="4">
        <v>42492</v>
      </c>
      <c r="AU2327" t="s">
        <v>73</v>
      </c>
      <c r="AV2327">
        <v>1243</v>
      </c>
      <c r="AW2327" s="4">
        <v>42492</v>
      </c>
      <c r="BD2327">
        <v>0</v>
      </c>
      <c r="BN2327" t="s">
        <v>74</v>
      </c>
    </row>
    <row r="2328" spans="1:66" hidden="1">
      <c r="A2328">
        <v>100707</v>
      </c>
      <c r="B2328" s="3" t="s">
        <v>231</v>
      </c>
      <c r="C2328" s="1">
        <v>43300101</v>
      </c>
      <c r="D2328" t="s">
        <v>67</v>
      </c>
      <c r="H2328" t="str">
        <f t="shared" si="227"/>
        <v>04553030638</v>
      </c>
      <c r="I2328" t="str">
        <f t="shared" si="227"/>
        <v>04553030638</v>
      </c>
      <c r="K2328" t="str">
        <f>""</f>
        <v/>
      </c>
      <c r="M2328" t="s">
        <v>68</v>
      </c>
      <c r="N2328" t="str">
        <f t="shared" si="223"/>
        <v>FOR</v>
      </c>
      <c r="O2328" t="s">
        <v>69</v>
      </c>
      <c r="P2328" s="3" t="s">
        <v>75</v>
      </c>
      <c r="Q2328">
        <v>2015</v>
      </c>
      <c r="R2328" s="2">
        <v>42179</v>
      </c>
      <c r="S2328" s="2">
        <v>42202</v>
      </c>
      <c r="T2328" s="2">
        <v>42200</v>
      </c>
      <c r="U2328" s="2">
        <v>42260</v>
      </c>
      <c r="V2328" t="s">
        <v>71</v>
      </c>
      <c r="W2328" t="str">
        <f>"            189/2015"</f>
        <v xml:space="preserve">            189/2015</v>
      </c>
      <c r="X2328">
        <v>557.54</v>
      </c>
      <c r="Y2328">
        <v>0</v>
      </c>
      <c r="Z2328"/>
      <c r="AB2328"/>
      <c r="AC2328">
        <v>457</v>
      </c>
      <c r="AD2328">
        <v>232</v>
      </c>
      <c r="AE2328" s="1">
        <v>106024</v>
      </c>
      <c r="AF2328">
        <v>0</v>
      </c>
      <c r="AJ2328">
        <v>0</v>
      </c>
      <c r="AK2328">
        <v>0</v>
      </c>
      <c r="AL2328">
        <v>0</v>
      </c>
      <c r="AM2328">
        <v>0</v>
      </c>
      <c r="AN2328">
        <v>0</v>
      </c>
      <c r="AO2328">
        <v>0</v>
      </c>
      <c r="AP2328" s="2">
        <v>42746</v>
      </c>
      <c r="AQ2328" t="s">
        <v>72</v>
      </c>
      <c r="AR2328" t="s">
        <v>72</v>
      </c>
      <c r="AS2328">
        <v>1243</v>
      </c>
      <c r="AT2328" s="4">
        <v>42492</v>
      </c>
      <c r="AU2328" t="s">
        <v>73</v>
      </c>
      <c r="AV2328">
        <v>1243</v>
      </c>
      <c r="AW2328" s="4">
        <v>42492</v>
      </c>
      <c r="BD2328">
        <v>0</v>
      </c>
      <c r="BN2328" t="s">
        <v>74</v>
      </c>
    </row>
    <row r="2329" spans="1:66" hidden="1">
      <c r="A2329">
        <v>100707</v>
      </c>
      <c r="B2329" s="3" t="s">
        <v>231</v>
      </c>
      <c r="C2329" s="1">
        <v>43300101</v>
      </c>
      <c r="D2329" t="s">
        <v>67</v>
      </c>
      <c r="H2329" t="str">
        <f t="shared" si="227"/>
        <v>04553030638</v>
      </c>
      <c r="I2329" t="str">
        <f t="shared" si="227"/>
        <v>04553030638</v>
      </c>
      <c r="K2329" t="str">
        <f>""</f>
        <v/>
      </c>
      <c r="M2329" t="s">
        <v>68</v>
      </c>
      <c r="N2329" t="str">
        <f t="shared" si="223"/>
        <v>FOR</v>
      </c>
      <c r="O2329" t="s">
        <v>69</v>
      </c>
      <c r="P2329" s="3" t="s">
        <v>75</v>
      </c>
      <c r="Q2329">
        <v>2015</v>
      </c>
      <c r="R2329" s="2">
        <v>42179</v>
      </c>
      <c r="S2329" s="2">
        <v>42202</v>
      </c>
      <c r="T2329" s="2">
        <v>42200</v>
      </c>
      <c r="U2329" s="2">
        <v>42260</v>
      </c>
      <c r="V2329" t="s">
        <v>71</v>
      </c>
      <c r="W2329" t="str">
        <f>"            190/2015"</f>
        <v xml:space="preserve">            190/2015</v>
      </c>
      <c r="X2329">
        <v>979.66</v>
      </c>
      <c r="Y2329">
        <v>0</v>
      </c>
      <c r="Z2329"/>
      <c r="AB2329"/>
      <c r="AC2329">
        <v>803</v>
      </c>
      <c r="AD2329">
        <v>232</v>
      </c>
      <c r="AE2329" s="1">
        <v>186296</v>
      </c>
      <c r="AF2329">
        <v>0</v>
      </c>
      <c r="AJ2329">
        <v>0</v>
      </c>
      <c r="AK2329">
        <v>0</v>
      </c>
      <c r="AL2329">
        <v>0</v>
      </c>
      <c r="AM2329">
        <v>0</v>
      </c>
      <c r="AN2329">
        <v>0</v>
      </c>
      <c r="AO2329">
        <v>0</v>
      </c>
      <c r="AP2329" s="2">
        <v>42746</v>
      </c>
      <c r="AQ2329" t="s">
        <v>72</v>
      </c>
      <c r="AR2329" t="s">
        <v>72</v>
      </c>
      <c r="AS2329">
        <v>1243</v>
      </c>
      <c r="AT2329" s="4">
        <v>42492</v>
      </c>
      <c r="AU2329" t="s">
        <v>73</v>
      </c>
      <c r="AV2329">
        <v>1243</v>
      </c>
      <c r="AW2329" s="4">
        <v>42492</v>
      </c>
      <c r="BD2329">
        <v>0</v>
      </c>
      <c r="BN2329" t="s">
        <v>74</v>
      </c>
    </row>
    <row r="2330" spans="1:66" hidden="1">
      <c r="A2330">
        <v>100707</v>
      </c>
      <c r="B2330" s="3" t="s">
        <v>231</v>
      </c>
      <c r="C2330" s="1">
        <v>43300101</v>
      </c>
      <c r="D2330" t="s">
        <v>67</v>
      </c>
      <c r="H2330" t="str">
        <f t="shared" si="227"/>
        <v>04553030638</v>
      </c>
      <c r="I2330" t="str">
        <f t="shared" si="227"/>
        <v>04553030638</v>
      </c>
      <c r="K2330" t="str">
        <f>""</f>
        <v/>
      </c>
      <c r="M2330" t="s">
        <v>68</v>
      </c>
      <c r="N2330" t="str">
        <f t="shared" si="223"/>
        <v>FOR</v>
      </c>
      <c r="O2330" t="s">
        <v>69</v>
      </c>
      <c r="P2330" s="3" t="s">
        <v>75</v>
      </c>
      <c r="Q2330">
        <v>2015</v>
      </c>
      <c r="R2330" s="2">
        <v>42185</v>
      </c>
      <c r="S2330" s="2">
        <v>42202</v>
      </c>
      <c r="T2330" s="2">
        <v>42200</v>
      </c>
      <c r="U2330" s="2">
        <v>42260</v>
      </c>
      <c r="V2330" t="s">
        <v>71</v>
      </c>
      <c r="W2330" t="str">
        <f>"            214/2015"</f>
        <v xml:space="preserve">            214/2015</v>
      </c>
      <c r="X2330" s="1">
        <v>15860</v>
      </c>
      <c r="Y2330">
        <v>0</v>
      </c>
      <c r="Z2330"/>
      <c r="AB2330"/>
      <c r="AC2330" s="1">
        <v>13000</v>
      </c>
      <c r="AD2330">
        <v>232</v>
      </c>
      <c r="AE2330" s="1">
        <v>3016000</v>
      </c>
      <c r="AF2330">
        <v>0</v>
      </c>
      <c r="AJ2330">
        <v>0</v>
      </c>
      <c r="AK2330">
        <v>0</v>
      </c>
      <c r="AL2330">
        <v>0</v>
      </c>
      <c r="AM2330">
        <v>0</v>
      </c>
      <c r="AN2330">
        <v>0</v>
      </c>
      <c r="AO2330">
        <v>0</v>
      </c>
      <c r="AP2330" s="2">
        <v>42746</v>
      </c>
      <c r="AQ2330" t="s">
        <v>72</v>
      </c>
      <c r="AR2330" t="s">
        <v>72</v>
      </c>
      <c r="AS2330">
        <v>1243</v>
      </c>
      <c r="AT2330" s="4">
        <v>42492</v>
      </c>
      <c r="AU2330" t="s">
        <v>73</v>
      </c>
      <c r="AV2330">
        <v>1243</v>
      </c>
      <c r="AW2330" s="4">
        <v>42492</v>
      </c>
      <c r="BD2330">
        <v>0</v>
      </c>
      <c r="BN2330" t="s">
        <v>74</v>
      </c>
    </row>
    <row r="2331" spans="1:66" hidden="1">
      <c r="A2331">
        <v>100707</v>
      </c>
      <c r="B2331" s="3" t="s">
        <v>231</v>
      </c>
      <c r="C2331" s="1">
        <v>43300101</v>
      </c>
      <c r="D2331" t="s">
        <v>67</v>
      </c>
      <c r="H2331" t="str">
        <f t="shared" si="227"/>
        <v>04553030638</v>
      </c>
      <c r="I2331" t="str">
        <f t="shared" si="227"/>
        <v>04553030638</v>
      </c>
      <c r="K2331" t="str">
        <f>""</f>
        <v/>
      </c>
      <c r="M2331" t="s">
        <v>68</v>
      </c>
      <c r="N2331" t="str">
        <f t="shared" si="223"/>
        <v>FOR</v>
      </c>
      <c r="O2331" t="s">
        <v>69</v>
      </c>
      <c r="P2331" s="3" t="s">
        <v>70</v>
      </c>
      <c r="Q2331">
        <v>2015</v>
      </c>
      <c r="R2331" s="2">
        <v>42216</v>
      </c>
      <c r="S2331" s="2">
        <v>42233</v>
      </c>
      <c r="T2331" s="2">
        <v>42233</v>
      </c>
      <c r="U2331" s="2">
        <v>42293</v>
      </c>
      <c r="V2331" t="s">
        <v>71</v>
      </c>
      <c r="W2331" t="str">
        <f>"        FATTPA 62_15"</f>
        <v xml:space="preserve">        FATTPA 62_15</v>
      </c>
      <c r="X2331" s="1">
        <v>3050</v>
      </c>
      <c r="Y2331">
        <v>0</v>
      </c>
      <c r="Z2331"/>
      <c r="AB2331"/>
      <c r="AC2331" s="1">
        <v>2500</v>
      </c>
      <c r="AD2331">
        <v>259</v>
      </c>
      <c r="AE2331" s="1">
        <v>647500</v>
      </c>
      <c r="AF2331">
        <v>0</v>
      </c>
      <c r="AJ2331">
        <v>0</v>
      </c>
      <c r="AK2331">
        <v>0</v>
      </c>
      <c r="AL2331">
        <v>0</v>
      </c>
      <c r="AM2331">
        <v>0</v>
      </c>
      <c r="AN2331">
        <v>0</v>
      </c>
      <c r="AO2331">
        <v>0</v>
      </c>
      <c r="AP2331" s="2">
        <v>42746</v>
      </c>
      <c r="AQ2331" t="s">
        <v>72</v>
      </c>
      <c r="AR2331" t="s">
        <v>72</v>
      </c>
      <c r="AS2331">
        <v>1661</v>
      </c>
      <c r="AT2331" s="4">
        <v>42552</v>
      </c>
      <c r="AU2331" t="s">
        <v>73</v>
      </c>
      <c r="AV2331">
        <v>1661</v>
      </c>
      <c r="AW2331" s="4">
        <v>42552</v>
      </c>
      <c r="BD2331">
        <v>0</v>
      </c>
      <c r="BN2331" t="s">
        <v>74</v>
      </c>
    </row>
    <row r="2332" spans="1:66" hidden="1">
      <c r="A2332">
        <v>100707</v>
      </c>
      <c r="B2332" s="3" t="s">
        <v>231</v>
      </c>
      <c r="C2332" s="1">
        <v>43300101</v>
      </c>
      <c r="D2332" t="s">
        <v>67</v>
      </c>
      <c r="H2332" t="str">
        <f t="shared" si="227"/>
        <v>04553030638</v>
      </c>
      <c r="I2332" t="str">
        <f t="shared" si="227"/>
        <v>04553030638</v>
      </c>
      <c r="K2332" t="str">
        <f>""</f>
        <v/>
      </c>
      <c r="M2332" t="s">
        <v>68</v>
      </c>
      <c r="N2332" t="str">
        <f t="shared" si="223"/>
        <v>FOR</v>
      </c>
      <c r="O2332" t="s">
        <v>69</v>
      </c>
      <c r="P2332" s="3" t="s">
        <v>70</v>
      </c>
      <c r="Q2332">
        <v>2015</v>
      </c>
      <c r="R2332" s="2">
        <v>42216</v>
      </c>
      <c r="S2332" s="2">
        <v>42233</v>
      </c>
      <c r="T2332" s="2">
        <v>42233</v>
      </c>
      <c r="U2332" s="2">
        <v>42293</v>
      </c>
      <c r="V2332" t="s">
        <v>71</v>
      </c>
      <c r="W2332" t="str">
        <f>"        FATTPA 63_15"</f>
        <v xml:space="preserve">        FATTPA 63_15</v>
      </c>
      <c r="X2332" s="1">
        <v>10980</v>
      </c>
      <c r="Y2332">
        <v>0</v>
      </c>
      <c r="Z2332"/>
      <c r="AB2332"/>
      <c r="AC2332" s="1">
        <v>9000</v>
      </c>
      <c r="AD2332">
        <v>259</v>
      </c>
      <c r="AE2332" s="1">
        <v>2331000</v>
      </c>
      <c r="AF2332">
        <v>0</v>
      </c>
      <c r="AJ2332">
        <v>0</v>
      </c>
      <c r="AK2332">
        <v>0</v>
      </c>
      <c r="AL2332">
        <v>0</v>
      </c>
      <c r="AM2332">
        <v>0</v>
      </c>
      <c r="AN2332">
        <v>0</v>
      </c>
      <c r="AO2332">
        <v>0</v>
      </c>
      <c r="AP2332" s="2">
        <v>42746</v>
      </c>
      <c r="AQ2332" t="s">
        <v>72</v>
      </c>
      <c r="AR2332" t="s">
        <v>72</v>
      </c>
      <c r="AS2332">
        <v>1661</v>
      </c>
      <c r="AT2332" s="4">
        <v>42552</v>
      </c>
      <c r="AU2332" t="s">
        <v>73</v>
      </c>
      <c r="AV2332">
        <v>1661</v>
      </c>
      <c r="AW2332" s="4">
        <v>42552</v>
      </c>
      <c r="BD2332">
        <v>0</v>
      </c>
      <c r="BN2332" t="s">
        <v>74</v>
      </c>
    </row>
    <row r="2333" spans="1:66" hidden="1">
      <c r="A2333">
        <v>100707</v>
      </c>
      <c r="B2333" s="3" t="s">
        <v>231</v>
      </c>
      <c r="C2333" s="1">
        <v>43300101</v>
      </c>
      <c r="D2333" t="s">
        <v>67</v>
      </c>
      <c r="H2333" t="str">
        <f t="shared" si="227"/>
        <v>04553030638</v>
      </c>
      <c r="I2333" t="str">
        <f t="shared" si="227"/>
        <v>04553030638</v>
      </c>
      <c r="K2333" t="str">
        <f>""</f>
        <v/>
      </c>
      <c r="M2333" t="s">
        <v>68</v>
      </c>
      <c r="N2333" t="str">
        <f t="shared" si="223"/>
        <v>FOR</v>
      </c>
      <c r="O2333" t="s">
        <v>69</v>
      </c>
      <c r="P2333" s="3" t="s">
        <v>75</v>
      </c>
      <c r="Q2333">
        <v>2015</v>
      </c>
      <c r="R2333" s="2">
        <v>42277</v>
      </c>
      <c r="S2333" s="2">
        <v>42293</v>
      </c>
      <c r="T2333" s="2">
        <v>42292</v>
      </c>
      <c r="U2333" s="2">
        <v>42352</v>
      </c>
      <c r="V2333" t="s">
        <v>71</v>
      </c>
      <c r="W2333" t="str">
        <f>"        FATTPA 91_15"</f>
        <v xml:space="preserve">        FATTPA 91_15</v>
      </c>
      <c r="X2333" s="1">
        <v>15860</v>
      </c>
      <c r="Y2333">
        <v>0</v>
      </c>
      <c r="Z2333"/>
      <c r="AB2333"/>
      <c r="AC2333" s="1">
        <v>13000</v>
      </c>
      <c r="AD2333">
        <v>267</v>
      </c>
      <c r="AE2333" s="1">
        <v>3471000</v>
      </c>
      <c r="AF2333">
        <v>0</v>
      </c>
      <c r="AJ2333">
        <v>0</v>
      </c>
      <c r="AK2333">
        <v>0</v>
      </c>
      <c r="AL2333">
        <v>0</v>
      </c>
      <c r="AM2333">
        <v>0</v>
      </c>
      <c r="AN2333">
        <v>0</v>
      </c>
      <c r="AO2333">
        <v>0</v>
      </c>
      <c r="AP2333" s="2">
        <v>42746</v>
      </c>
      <c r="AQ2333" t="s">
        <v>72</v>
      </c>
      <c r="AR2333" t="s">
        <v>72</v>
      </c>
      <c r="AS2333">
        <v>2292</v>
      </c>
      <c r="AT2333" s="4">
        <v>42619</v>
      </c>
      <c r="AU2333" t="s">
        <v>73</v>
      </c>
      <c r="AV2333">
        <v>2292</v>
      </c>
      <c r="AW2333" s="4">
        <v>42619</v>
      </c>
      <c r="BD2333">
        <v>0</v>
      </c>
      <c r="BN2333" t="s">
        <v>74</v>
      </c>
    </row>
    <row r="2334" spans="1:66">
      <c r="A2334">
        <v>100707</v>
      </c>
      <c r="B2334" s="3" t="s">
        <v>231</v>
      </c>
      <c r="C2334" s="1">
        <v>43300101</v>
      </c>
      <c r="D2334" t="s">
        <v>67</v>
      </c>
      <c r="H2334" t="str">
        <f t="shared" si="227"/>
        <v>04553030638</v>
      </c>
      <c r="I2334" t="str">
        <f t="shared" si="227"/>
        <v>04553030638</v>
      </c>
      <c r="K2334" t="str">
        <f>""</f>
        <v/>
      </c>
      <c r="M2334" t="s">
        <v>68</v>
      </c>
      <c r="N2334" t="str">
        <f t="shared" si="223"/>
        <v>FOR</v>
      </c>
      <c r="O2334" t="s">
        <v>69</v>
      </c>
      <c r="P2334" s="3" t="s">
        <v>75</v>
      </c>
      <c r="Q2334">
        <v>2015</v>
      </c>
      <c r="R2334" s="2">
        <v>42307</v>
      </c>
      <c r="S2334" s="2">
        <v>42327</v>
      </c>
      <c r="T2334" s="2">
        <v>42326</v>
      </c>
      <c r="U2334" s="2">
        <v>42386</v>
      </c>
      <c r="V2334" t="s">
        <v>71</v>
      </c>
      <c r="W2334" t="str">
        <f>"       FATTPA 103_15"</f>
        <v xml:space="preserve">       FATTPA 103_15</v>
      </c>
      <c r="X2334" s="1">
        <v>11590</v>
      </c>
      <c r="Y2334">
        <v>0</v>
      </c>
      <c r="Z2334" s="5">
        <v>9500</v>
      </c>
      <c r="AA2334">
        <v>261</v>
      </c>
      <c r="AB2334" s="5">
        <v>2479500</v>
      </c>
      <c r="AC2334" s="1">
        <v>9500</v>
      </c>
      <c r="AD2334">
        <v>261</v>
      </c>
      <c r="AE2334" s="1">
        <v>2479500</v>
      </c>
      <c r="AF2334">
        <v>0</v>
      </c>
      <c r="AJ2334">
        <v>0</v>
      </c>
      <c r="AK2334">
        <v>0</v>
      </c>
      <c r="AL2334">
        <v>0</v>
      </c>
      <c r="AM2334">
        <v>0</v>
      </c>
      <c r="AN2334">
        <v>0</v>
      </c>
      <c r="AO2334">
        <v>0</v>
      </c>
      <c r="AP2334" s="2">
        <v>42746</v>
      </c>
      <c r="AQ2334" t="s">
        <v>72</v>
      </c>
      <c r="AR2334" t="s">
        <v>72</v>
      </c>
      <c r="AS2334">
        <v>2638</v>
      </c>
      <c r="AT2334" s="4">
        <v>42647</v>
      </c>
      <c r="AU2334" t="s">
        <v>73</v>
      </c>
      <c r="AV2334">
        <v>2638</v>
      </c>
      <c r="AW2334" s="4">
        <v>42647</v>
      </c>
      <c r="BD2334">
        <v>0</v>
      </c>
      <c r="BN2334" t="s">
        <v>74</v>
      </c>
    </row>
    <row r="2335" spans="1:66">
      <c r="A2335">
        <v>100707</v>
      </c>
      <c r="B2335" s="3" t="s">
        <v>231</v>
      </c>
      <c r="C2335" s="1">
        <v>43300101</v>
      </c>
      <c r="D2335" t="s">
        <v>67</v>
      </c>
      <c r="H2335" t="str">
        <f t="shared" si="227"/>
        <v>04553030638</v>
      </c>
      <c r="I2335" t="str">
        <f t="shared" si="227"/>
        <v>04553030638</v>
      </c>
      <c r="K2335" t="str">
        <f>""</f>
        <v/>
      </c>
      <c r="M2335" t="s">
        <v>68</v>
      </c>
      <c r="N2335" t="str">
        <f t="shared" si="223"/>
        <v>FOR</v>
      </c>
      <c r="O2335" t="s">
        <v>69</v>
      </c>
      <c r="P2335" s="3" t="s">
        <v>75</v>
      </c>
      <c r="Q2335">
        <v>2015</v>
      </c>
      <c r="R2335" s="2">
        <v>42338</v>
      </c>
      <c r="S2335" s="2">
        <v>42356</v>
      </c>
      <c r="T2335" s="2">
        <v>42355</v>
      </c>
      <c r="U2335" s="2">
        <v>42415</v>
      </c>
      <c r="V2335" t="s">
        <v>71</v>
      </c>
      <c r="W2335" t="str">
        <f>"       FATTPA 118_15"</f>
        <v xml:space="preserve">       FATTPA 118_15</v>
      </c>
      <c r="X2335" s="1">
        <v>1840.98</v>
      </c>
      <c r="Y2335">
        <v>0</v>
      </c>
      <c r="Z2335" s="5">
        <v>1509</v>
      </c>
      <c r="AA2335">
        <v>232</v>
      </c>
      <c r="AB2335" s="5">
        <v>350088</v>
      </c>
      <c r="AC2335" s="1">
        <v>1509</v>
      </c>
      <c r="AD2335">
        <v>232</v>
      </c>
      <c r="AE2335" s="1">
        <v>350088</v>
      </c>
      <c r="AF2335">
        <v>0</v>
      </c>
      <c r="AJ2335">
        <v>0</v>
      </c>
      <c r="AK2335">
        <v>0</v>
      </c>
      <c r="AL2335">
        <v>0</v>
      </c>
      <c r="AM2335">
        <v>0</v>
      </c>
      <c r="AN2335">
        <v>0</v>
      </c>
      <c r="AO2335">
        <v>0</v>
      </c>
      <c r="AP2335" s="2">
        <v>42746</v>
      </c>
      <c r="AQ2335" t="s">
        <v>72</v>
      </c>
      <c r="AR2335" t="s">
        <v>72</v>
      </c>
      <c r="AS2335">
        <v>2638</v>
      </c>
      <c r="AT2335" s="4">
        <v>42647</v>
      </c>
      <c r="AU2335" t="s">
        <v>73</v>
      </c>
      <c r="AV2335">
        <v>2638</v>
      </c>
      <c r="AW2335" s="4">
        <v>42647</v>
      </c>
      <c r="BD2335">
        <v>0</v>
      </c>
      <c r="BN2335" t="s">
        <v>74</v>
      </c>
    </row>
    <row r="2336" spans="1:66">
      <c r="A2336">
        <v>100707</v>
      </c>
      <c r="B2336" s="3" t="s">
        <v>231</v>
      </c>
      <c r="C2336" s="1">
        <v>43300101</v>
      </c>
      <c r="D2336" t="s">
        <v>67</v>
      </c>
      <c r="H2336" t="str">
        <f t="shared" si="227"/>
        <v>04553030638</v>
      </c>
      <c r="I2336" t="str">
        <f t="shared" si="227"/>
        <v>04553030638</v>
      </c>
      <c r="K2336" t="str">
        <f>""</f>
        <v/>
      </c>
      <c r="M2336" t="s">
        <v>68</v>
      </c>
      <c r="N2336" t="str">
        <f t="shared" si="223"/>
        <v>FOR</v>
      </c>
      <c r="O2336" t="s">
        <v>69</v>
      </c>
      <c r="P2336" s="3" t="s">
        <v>75</v>
      </c>
      <c r="Q2336">
        <v>2015</v>
      </c>
      <c r="R2336" s="2">
        <v>42338</v>
      </c>
      <c r="S2336" s="2">
        <v>42356</v>
      </c>
      <c r="T2336" s="2">
        <v>42355</v>
      </c>
      <c r="U2336" s="2">
        <v>42415</v>
      </c>
      <c r="V2336" t="s">
        <v>71</v>
      </c>
      <c r="W2336" t="str">
        <f>"       FATTPA 119_15"</f>
        <v xml:space="preserve">       FATTPA 119_15</v>
      </c>
      <c r="X2336" s="1">
        <v>2161.84</v>
      </c>
      <c r="Y2336">
        <v>0</v>
      </c>
      <c r="Z2336" s="5">
        <v>1772</v>
      </c>
      <c r="AA2336">
        <v>232</v>
      </c>
      <c r="AB2336" s="5">
        <v>411104</v>
      </c>
      <c r="AC2336" s="1">
        <v>1772</v>
      </c>
      <c r="AD2336">
        <v>232</v>
      </c>
      <c r="AE2336" s="1">
        <v>411104</v>
      </c>
      <c r="AF2336">
        <v>0</v>
      </c>
      <c r="AJ2336">
        <v>0</v>
      </c>
      <c r="AK2336">
        <v>0</v>
      </c>
      <c r="AL2336">
        <v>0</v>
      </c>
      <c r="AM2336">
        <v>0</v>
      </c>
      <c r="AN2336">
        <v>0</v>
      </c>
      <c r="AO2336">
        <v>0</v>
      </c>
      <c r="AP2336" s="2">
        <v>42746</v>
      </c>
      <c r="AQ2336" t="s">
        <v>72</v>
      </c>
      <c r="AR2336" t="s">
        <v>72</v>
      </c>
      <c r="AS2336">
        <v>2638</v>
      </c>
      <c r="AT2336" s="4">
        <v>42647</v>
      </c>
      <c r="AU2336" t="s">
        <v>73</v>
      </c>
      <c r="AV2336">
        <v>2638</v>
      </c>
      <c r="AW2336" s="4">
        <v>42647</v>
      </c>
      <c r="BD2336">
        <v>0</v>
      </c>
      <c r="BN2336" t="s">
        <v>74</v>
      </c>
    </row>
    <row r="2337" spans="1:66">
      <c r="A2337">
        <v>100707</v>
      </c>
      <c r="B2337" s="3" t="s">
        <v>231</v>
      </c>
      <c r="C2337" s="1">
        <v>43300101</v>
      </c>
      <c r="D2337" t="s">
        <v>67</v>
      </c>
      <c r="H2337" t="str">
        <f t="shared" si="227"/>
        <v>04553030638</v>
      </c>
      <c r="I2337" t="str">
        <f t="shared" si="227"/>
        <v>04553030638</v>
      </c>
      <c r="K2337" t="str">
        <f>""</f>
        <v/>
      </c>
      <c r="M2337" t="s">
        <v>68</v>
      </c>
      <c r="N2337" t="str">
        <f t="shared" ref="N2337:N2355" si="228">"FOR"</f>
        <v>FOR</v>
      </c>
      <c r="O2337" t="s">
        <v>69</v>
      </c>
      <c r="P2337" s="3" t="s">
        <v>75</v>
      </c>
      <c r="Q2337">
        <v>2015</v>
      </c>
      <c r="R2337" s="2">
        <v>42361</v>
      </c>
      <c r="S2337" s="2">
        <v>42369</v>
      </c>
      <c r="T2337" s="2">
        <v>42369</v>
      </c>
      <c r="U2337" s="2">
        <v>42429</v>
      </c>
      <c r="V2337" t="s">
        <v>71</v>
      </c>
      <c r="W2337" t="str">
        <f>"       FATTPA 135_15"</f>
        <v xml:space="preserve">       FATTPA 135_15</v>
      </c>
      <c r="X2337" s="1">
        <v>1506.7</v>
      </c>
      <c r="Y2337">
        <v>0</v>
      </c>
      <c r="Z2337" s="5">
        <v>1235</v>
      </c>
      <c r="AA2337">
        <v>263</v>
      </c>
      <c r="AB2337" s="5">
        <v>324805</v>
      </c>
      <c r="AC2337" s="1">
        <v>1235</v>
      </c>
      <c r="AD2337">
        <v>263</v>
      </c>
      <c r="AE2337" s="1">
        <v>324805</v>
      </c>
      <c r="AF2337">
        <v>0</v>
      </c>
      <c r="AJ2337">
        <v>0</v>
      </c>
      <c r="AK2337">
        <v>0</v>
      </c>
      <c r="AL2337">
        <v>0</v>
      </c>
      <c r="AM2337">
        <v>0</v>
      </c>
      <c r="AN2337">
        <v>0</v>
      </c>
      <c r="AO2337">
        <v>0</v>
      </c>
      <c r="AP2337" s="2">
        <v>42746</v>
      </c>
      <c r="AQ2337" t="s">
        <v>72</v>
      </c>
      <c r="AR2337" t="s">
        <v>72</v>
      </c>
      <c r="AS2337">
        <v>3191</v>
      </c>
      <c r="AT2337" s="4">
        <v>42692</v>
      </c>
      <c r="AU2337" t="s">
        <v>73</v>
      </c>
      <c r="AV2337">
        <v>3191</v>
      </c>
      <c r="AW2337" s="4">
        <v>42692</v>
      </c>
      <c r="BD2337">
        <v>0</v>
      </c>
      <c r="BN2337" t="s">
        <v>74</v>
      </c>
    </row>
    <row r="2338" spans="1:66">
      <c r="A2338">
        <v>100707</v>
      </c>
      <c r="B2338" s="3" t="s">
        <v>231</v>
      </c>
      <c r="C2338" s="1">
        <v>43300101</v>
      </c>
      <c r="D2338" t="s">
        <v>67</v>
      </c>
      <c r="H2338" t="str">
        <f t="shared" si="227"/>
        <v>04553030638</v>
      </c>
      <c r="I2338" t="str">
        <f t="shared" si="227"/>
        <v>04553030638</v>
      </c>
      <c r="K2338" t="str">
        <f>""</f>
        <v/>
      </c>
      <c r="M2338" t="s">
        <v>68</v>
      </c>
      <c r="N2338" t="str">
        <f t="shared" si="228"/>
        <v>FOR</v>
      </c>
      <c r="O2338" t="s">
        <v>69</v>
      </c>
      <c r="P2338" s="3" t="s">
        <v>75</v>
      </c>
      <c r="Q2338">
        <v>2015</v>
      </c>
      <c r="R2338" s="2">
        <v>42361</v>
      </c>
      <c r="S2338" s="2">
        <v>42369</v>
      </c>
      <c r="T2338" s="2">
        <v>42369</v>
      </c>
      <c r="U2338" s="2">
        <v>42429</v>
      </c>
      <c r="V2338" t="s">
        <v>71</v>
      </c>
      <c r="W2338" t="str">
        <f>"       FATTPA 136_15"</f>
        <v xml:space="preserve">       FATTPA 136_15</v>
      </c>
      <c r="X2338" s="1">
        <v>4148</v>
      </c>
      <c r="Y2338">
        <v>0</v>
      </c>
      <c r="Z2338" s="5">
        <v>3400</v>
      </c>
      <c r="AA2338">
        <v>263</v>
      </c>
      <c r="AB2338" s="5">
        <v>894200</v>
      </c>
      <c r="AC2338" s="1">
        <v>3400</v>
      </c>
      <c r="AD2338">
        <v>263</v>
      </c>
      <c r="AE2338" s="1">
        <v>894200</v>
      </c>
      <c r="AF2338">
        <v>0</v>
      </c>
      <c r="AJ2338">
        <v>0</v>
      </c>
      <c r="AK2338">
        <v>0</v>
      </c>
      <c r="AL2338">
        <v>0</v>
      </c>
      <c r="AM2338">
        <v>0</v>
      </c>
      <c r="AN2338">
        <v>0</v>
      </c>
      <c r="AO2338">
        <v>0</v>
      </c>
      <c r="AP2338" s="2">
        <v>42746</v>
      </c>
      <c r="AQ2338" t="s">
        <v>72</v>
      </c>
      <c r="AR2338" t="s">
        <v>72</v>
      </c>
      <c r="AS2338">
        <v>3191</v>
      </c>
      <c r="AT2338" s="4">
        <v>42692</v>
      </c>
      <c r="AU2338" t="s">
        <v>73</v>
      </c>
      <c r="AV2338">
        <v>3191</v>
      </c>
      <c r="AW2338" s="4">
        <v>42692</v>
      </c>
      <c r="BD2338">
        <v>0</v>
      </c>
      <c r="BN2338" t="s">
        <v>74</v>
      </c>
    </row>
    <row r="2339" spans="1:66">
      <c r="A2339">
        <v>100707</v>
      </c>
      <c r="B2339" s="3" t="s">
        <v>231</v>
      </c>
      <c r="C2339" s="1">
        <v>43300101</v>
      </c>
      <c r="D2339" t="s">
        <v>67</v>
      </c>
      <c r="H2339" t="str">
        <f t="shared" si="227"/>
        <v>04553030638</v>
      </c>
      <c r="I2339" t="str">
        <f t="shared" si="227"/>
        <v>04553030638</v>
      </c>
      <c r="K2339" t="str">
        <f>""</f>
        <v/>
      </c>
      <c r="M2339" t="s">
        <v>68</v>
      </c>
      <c r="N2339" t="str">
        <f t="shared" si="228"/>
        <v>FOR</v>
      </c>
      <c r="O2339" t="s">
        <v>69</v>
      </c>
      <c r="P2339" s="3" t="s">
        <v>75</v>
      </c>
      <c r="Q2339">
        <v>2015</v>
      </c>
      <c r="R2339" s="2">
        <v>42369</v>
      </c>
      <c r="S2339" s="2">
        <v>42369</v>
      </c>
      <c r="T2339" s="2">
        <v>42369</v>
      </c>
      <c r="U2339" s="2">
        <v>42429</v>
      </c>
      <c r="V2339" t="s">
        <v>71</v>
      </c>
      <c r="W2339" t="str">
        <f>"       FATTPA 145_15"</f>
        <v xml:space="preserve">       FATTPA 145_15</v>
      </c>
      <c r="X2339" s="1">
        <v>15860</v>
      </c>
      <c r="Y2339">
        <v>0</v>
      </c>
      <c r="Z2339" s="5">
        <v>13000</v>
      </c>
      <c r="AA2339">
        <v>263</v>
      </c>
      <c r="AB2339" s="5">
        <v>3419000</v>
      </c>
      <c r="AC2339" s="1">
        <v>13000</v>
      </c>
      <c r="AD2339">
        <v>263</v>
      </c>
      <c r="AE2339" s="1">
        <v>3419000</v>
      </c>
      <c r="AF2339">
        <v>0</v>
      </c>
      <c r="AJ2339">
        <v>0</v>
      </c>
      <c r="AK2339">
        <v>0</v>
      </c>
      <c r="AL2339">
        <v>0</v>
      </c>
      <c r="AM2339">
        <v>0</v>
      </c>
      <c r="AN2339">
        <v>0</v>
      </c>
      <c r="AO2339">
        <v>0</v>
      </c>
      <c r="AP2339" s="2">
        <v>42746</v>
      </c>
      <c r="AQ2339" t="s">
        <v>72</v>
      </c>
      <c r="AR2339" t="s">
        <v>72</v>
      </c>
      <c r="AS2339">
        <v>3191</v>
      </c>
      <c r="AT2339" s="4">
        <v>42692</v>
      </c>
      <c r="AU2339" t="s">
        <v>73</v>
      </c>
      <c r="AV2339">
        <v>3191</v>
      </c>
      <c r="AW2339" s="4">
        <v>42692</v>
      </c>
      <c r="BD2339">
        <v>0</v>
      </c>
      <c r="BN2339" t="s">
        <v>74</v>
      </c>
    </row>
    <row r="2340" spans="1:66">
      <c r="A2340">
        <v>100707</v>
      </c>
      <c r="B2340" s="3" t="s">
        <v>231</v>
      </c>
      <c r="C2340" s="1">
        <v>43300101</v>
      </c>
      <c r="D2340" t="s">
        <v>67</v>
      </c>
      <c r="H2340" t="str">
        <f t="shared" si="227"/>
        <v>04553030638</v>
      </c>
      <c r="I2340" t="str">
        <f t="shared" si="227"/>
        <v>04553030638</v>
      </c>
      <c r="K2340" t="str">
        <f>""</f>
        <v/>
      </c>
      <c r="M2340" t="s">
        <v>68</v>
      </c>
      <c r="N2340" t="str">
        <f t="shared" si="228"/>
        <v>FOR</v>
      </c>
      <c r="O2340" t="s">
        <v>69</v>
      </c>
      <c r="P2340" s="3" t="s">
        <v>75</v>
      </c>
      <c r="Q2340">
        <v>2016</v>
      </c>
      <c r="R2340" s="2">
        <v>42429</v>
      </c>
      <c r="S2340" s="2">
        <v>42443</v>
      </c>
      <c r="T2340" s="2">
        <v>42440</v>
      </c>
      <c r="U2340" s="2">
        <v>42500</v>
      </c>
      <c r="V2340" t="s">
        <v>71</v>
      </c>
      <c r="W2340" t="str">
        <f>"        FATTPA 12_16"</f>
        <v xml:space="preserve">        FATTPA 12_16</v>
      </c>
      <c r="X2340" s="1">
        <v>3328.16</v>
      </c>
      <c r="Y2340">
        <v>0</v>
      </c>
      <c r="Z2340" s="5">
        <v>2728</v>
      </c>
      <c r="AA2340">
        <v>218</v>
      </c>
      <c r="AB2340" s="5">
        <v>594704</v>
      </c>
      <c r="AC2340" s="1">
        <v>2728</v>
      </c>
      <c r="AD2340">
        <v>218</v>
      </c>
      <c r="AE2340" s="1">
        <v>594704</v>
      </c>
      <c r="AF2340">
        <v>600.16</v>
      </c>
      <c r="AJ2340">
        <v>0</v>
      </c>
      <c r="AK2340">
        <v>0</v>
      </c>
      <c r="AL2340">
        <v>0</v>
      </c>
      <c r="AM2340" s="1">
        <v>3328.16</v>
      </c>
      <c r="AN2340" s="1">
        <v>3328.16</v>
      </c>
      <c r="AO2340" s="1">
        <v>3328.16</v>
      </c>
      <c r="AP2340" s="2">
        <v>42746</v>
      </c>
      <c r="AQ2340" t="s">
        <v>72</v>
      </c>
      <c r="AR2340" t="s">
        <v>72</v>
      </c>
      <c r="AS2340">
        <v>3484</v>
      </c>
      <c r="AT2340" s="4">
        <v>42718</v>
      </c>
      <c r="AU2340" t="s">
        <v>73</v>
      </c>
      <c r="AV2340">
        <v>3484</v>
      </c>
      <c r="AW2340" s="4">
        <v>42718</v>
      </c>
      <c r="BD2340">
        <v>600.16</v>
      </c>
      <c r="BN2340" t="s">
        <v>74</v>
      </c>
    </row>
    <row r="2341" spans="1:66" hidden="1">
      <c r="A2341">
        <v>100712</v>
      </c>
      <c r="B2341" s="3" t="s">
        <v>232</v>
      </c>
      <c r="C2341" s="1">
        <v>43300101</v>
      </c>
      <c r="D2341" t="s">
        <v>67</v>
      </c>
      <c r="H2341" t="str">
        <f t="shared" ref="H2341:H2349" si="229">"07149930583"</f>
        <v>07149930583</v>
      </c>
      <c r="I2341" t="str">
        <f t="shared" ref="I2341:I2349" si="230">"01698911003"</f>
        <v>01698911003</v>
      </c>
      <c r="K2341" t="str">
        <f>""</f>
        <v/>
      </c>
      <c r="M2341" t="s">
        <v>68</v>
      </c>
      <c r="N2341" t="str">
        <f t="shared" si="228"/>
        <v>FOR</v>
      </c>
      <c r="O2341" t="s">
        <v>69</v>
      </c>
      <c r="P2341" s="3" t="s">
        <v>78</v>
      </c>
      <c r="Q2341">
        <v>2013</v>
      </c>
      <c r="R2341" s="2">
        <v>41302</v>
      </c>
      <c r="S2341" s="2">
        <v>41306</v>
      </c>
      <c r="T2341" s="2">
        <v>41306</v>
      </c>
      <c r="U2341" s="2">
        <v>41396</v>
      </c>
      <c r="V2341" t="s">
        <v>71</v>
      </c>
      <c r="W2341" t="str">
        <f>"            13003015"</f>
        <v xml:space="preserve">            13003015</v>
      </c>
      <c r="X2341" s="1">
        <v>52073.26</v>
      </c>
      <c r="Y2341">
        <v>0</v>
      </c>
      <c r="Z2341"/>
      <c r="AB2341"/>
      <c r="AC2341" s="1">
        <v>52073.26</v>
      </c>
      <c r="AD2341">
        <v>1139</v>
      </c>
      <c r="AE2341" s="1">
        <v>59311443.140000001</v>
      </c>
      <c r="AF2341">
        <v>0</v>
      </c>
      <c r="AJ2341">
        <v>0</v>
      </c>
      <c r="AK2341">
        <v>0</v>
      </c>
      <c r="AL2341">
        <v>0</v>
      </c>
      <c r="AM2341">
        <v>0</v>
      </c>
      <c r="AN2341">
        <v>0</v>
      </c>
      <c r="AO2341">
        <v>0</v>
      </c>
      <c r="AP2341" s="2">
        <v>42746</v>
      </c>
      <c r="AQ2341" t="s">
        <v>72</v>
      </c>
      <c r="AR2341" t="s">
        <v>72</v>
      </c>
      <c r="AS2341">
        <v>1613</v>
      </c>
      <c r="AT2341" s="4">
        <v>42535</v>
      </c>
      <c r="AU2341" t="s">
        <v>73</v>
      </c>
      <c r="AV2341">
        <v>1613</v>
      </c>
      <c r="AW2341" s="4">
        <v>42535</v>
      </c>
      <c r="BD2341">
        <v>0</v>
      </c>
      <c r="BN2341" t="s">
        <v>74</v>
      </c>
    </row>
    <row r="2342" spans="1:66" hidden="1">
      <c r="A2342">
        <v>100712</v>
      </c>
      <c r="B2342" s="3" t="s">
        <v>232</v>
      </c>
      <c r="C2342" s="1">
        <v>43300101</v>
      </c>
      <c r="D2342" t="s">
        <v>67</v>
      </c>
      <c r="H2342" t="str">
        <f t="shared" si="229"/>
        <v>07149930583</v>
      </c>
      <c r="I2342" t="str">
        <f t="shared" si="230"/>
        <v>01698911003</v>
      </c>
      <c r="K2342" t="str">
        <f>""</f>
        <v/>
      </c>
      <c r="M2342" t="s">
        <v>68</v>
      </c>
      <c r="N2342" t="str">
        <f t="shared" si="228"/>
        <v>FOR</v>
      </c>
      <c r="O2342" t="s">
        <v>69</v>
      </c>
      <c r="P2342" s="3" t="s">
        <v>78</v>
      </c>
      <c r="Q2342">
        <v>2013</v>
      </c>
      <c r="R2342" s="2">
        <v>41302</v>
      </c>
      <c r="S2342" s="2">
        <v>41306</v>
      </c>
      <c r="T2342" s="2">
        <v>41306</v>
      </c>
      <c r="U2342" s="2">
        <v>41396</v>
      </c>
      <c r="V2342" t="s">
        <v>71</v>
      </c>
      <c r="W2342" t="str">
        <f>"            13003016"</f>
        <v xml:space="preserve">            13003016</v>
      </c>
      <c r="X2342" s="1">
        <v>10629.11</v>
      </c>
      <c r="Y2342">
        <v>0</v>
      </c>
      <c r="Z2342"/>
      <c r="AB2342"/>
      <c r="AC2342" s="1">
        <v>10629.11</v>
      </c>
      <c r="AD2342">
        <v>1139</v>
      </c>
      <c r="AE2342" s="1">
        <v>12106556.289999999</v>
      </c>
      <c r="AF2342">
        <v>0</v>
      </c>
      <c r="AJ2342">
        <v>0</v>
      </c>
      <c r="AK2342">
        <v>0</v>
      </c>
      <c r="AL2342">
        <v>0</v>
      </c>
      <c r="AM2342">
        <v>0</v>
      </c>
      <c r="AN2342">
        <v>0</v>
      </c>
      <c r="AO2342">
        <v>0</v>
      </c>
      <c r="AP2342" s="2">
        <v>42746</v>
      </c>
      <c r="AQ2342" t="s">
        <v>72</v>
      </c>
      <c r="AR2342" t="s">
        <v>72</v>
      </c>
      <c r="AS2342">
        <v>1613</v>
      </c>
      <c r="AT2342" s="4">
        <v>42535</v>
      </c>
      <c r="AU2342" t="s">
        <v>73</v>
      </c>
      <c r="AV2342">
        <v>1613</v>
      </c>
      <c r="AW2342" s="4">
        <v>42535</v>
      </c>
      <c r="BD2342">
        <v>0</v>
      </c>
      <c r="BN2342" t="s">
        <v>74</v>
      </c>
    </row>
    <row r="2343" spans="1:66" hidden="1">
      <c r="A2343">
        <v>100712</v>
      </c>
      <c r="B2343" s="3" t="s">
        <v>232</v>
      </c>
      <c r="C2343" s="1">
        <v>43300101</v>
      </c>
      <c r="D2343" t="s">
        <v>67</v>
      </c>
      <c r="H2343" t="str">
        <f t="shared" si="229"/>
        <v>07149930583</v>
      </c>
      <c r="I2343" t="str">
        <f t="shared" si="230"/>
        <v>01698911003</v>
      </c>
      <c r="K2343" t="str">
        <f>""</f>
        <v/>
      </c>
      <c r="M2343" t="s">
        <v>68</v>
      </c>
      <c r="N2343" t="str">
        <f t="shared" si="228"/>
        <v>FOR</v>
      </c>
      <c r="O2343" t="s">
        <v>69</v>
      </c>
      <c r="P2343" s="3" t="s">
        <v>78</v>
      </c>
      <c r="Q2343">
        <v>2013</v>
      </c>
      <c r="R2343" s="2">
        <v>41302</v>
      </c>
      <c r="S2343" s="2">
        <v>41306</v>
      </c>
      <c r="T2343" s="2">
        <v>41306</v>
      </c>
      <c r="U2343" s="2">
        <v>41396</v>
      </c>
      <c r="V2343" t="s">
        <v>71</v>
      </c>
      <c r="W2343" t="str">
        <f>"            13003017"</f>
        <v xml:space="preserve">            13003017</v>
      </c>
      <c r="X2343" s="1">
        <v>3558.54</v>
      </c>
      <c r="Y2343">
        <v>0</v>
      </c>
      <c r="Z2343"/>
      <c r="AB2343"/>
      <c r="AC2343" s="1">
        <v>3558.54</v>
      </c>
      <c r="AD2343">
        <v>1139</v>
      </c>
      <c r="AE2343" s="1">
        <v>4053177.06</v>
      </c>
      <c r="AF2343">
        <v>0</v>
      </c>
      <c r="AJ2343">
        <v>0</v>
      </c>
      <c r="AK2343">
        <v>0</v>
      </c>
      <c r="AL2343">
        <v>0</v>
      </c>
      <c r="AM2343">
        <v>0</v>
      </c>
      <c r="AN2343">
        <v>0</v>
      </c>
      <c r="AO2343">
        <v>0</v>
      </c>
      <c r="AP2343" s="2">
        <v>42746</v>
      </c>
      <c r="AQ2343" t="s">
        <v>72</v>
      </c>
      <c r="AR2343" t="s">
        <v>72</v>
      </c>
      <c r="AS2343">
        <v>1613</v>
      </c>
      <c r="AT2343" s="4">
        <v>42535</v>
      </c>
      <c r="AU2343" t="s">
        <v>73</v>
      </c>
      <c r="AV2343">
        <v>1613</v>
      </c>
      <c r="AW2343" s="4">
        <v>42535</v>
      </c>
      <c r="BD2343">
        <v>0</v>
      </c>
      <c r="BN2343" t="s">
        <v>74</v>
      </c>
    </row>
    <row r="2344" spans="1:66" hidden="1">
      <c r="A2344">
        <v>100712</v>
      </c>
      <c r="B2344" s="3" t="s">
        <v>232</v>
      </c>
      <c r="C2344" s="1">
        <v>43300101</v>
      </c>
      <c r="D2344" t="s">
        <v>67</v>
      </c>
      <c r="H2344" t="str">
        <f t="shared" si="229"/>
        <v>07149930583</v>
      </c>
      <c r="I2344" t="str">
        <f t="shared" si="230"/>
        <v>01698911003</v>
      </c>
      <c r="K2344" t="str">
        <f>""</f>
        <v/>
      </c>
      <c r="M2344" t="s">
        <v>68</v>
      </c>
      <c r="N2344" t="str">
        <f t="shared" si="228"/>
        <v>FOR</v>
      </c>
      <c r="O2344" t="s">
        <v>69</v>
      </c>
      <c r="P2344" s="3" t="s">
        <v>78</v>
      </c>
      <c r="Q2344">
        <v>2013</v>
      </c>
      <c r="R2344" s="2">
        <v>41337</v>
      </c>
      <c r="S2344" s="2">
        <v>41341</v>
      </c>
      <c r="T2344" s="2">
        <v>41341</v>
      </c>
      <c r="U2344" s="2">
        <v>41431</v>
      </c>
      <c r="V2344" t="s">
        <v>71</v>
      </c>
      <c r="W2344" t="str">
        <f>"            13008233"</f>
        <v xml:space="preserve">            13008233</v>
      </c>
      <c r="X2344" s="1">
        <v>5186.8100000000004</v>
      </c>
      <c r="Y2344">
        <v>0</v>
      </c>
      <c r="Z2344"/>
      <c r="AB2344"/>
      <c r="AC2344" s="1">
        <v>5186.8100000000004</v>
      </c>
      <c r="AD2344">
        <v>1104</v>
      </c>
      <c r="AE2344" s="1">
        <v>5726238.2400000002</v>
      </c>
      <c r="AF2344">
        <v>0</v>
      </c>
      <c r="AJ2344">
        <v>0</v>
      </c>
      <c r="AK2344">
        <v>0</v>
      </c>
      <c r="AL2344">
        <v>0</v>
      </c>
      <c r="AM2344">
        <v>0</v>
      </c>
      <c r="AN2344">
        <v>0</v>
      </c>
      <c r="AO2344">
        <v>0</v>
      </c>
      <c r="AP2344" s="2">
        <v>42746</v>
      </c>
      <c r="AQ2344" t="s">
        <v>72</v>
      </c>
      <c r="AR2344" t="s">
        <v>72</v>
      </c>
      <c r="AS2344">
        <v>1613</v>
      </c>
      <c r="AT2344" s="4">
        <v>42535</v>
      </c>
      <c r="AU2344" t="s">
        <v>73</v>
      </c>
      <c r="AV2344">
        <v>1613</v>
      </c>
      <c r="AW2344" s="4">
        <v>42535</v>
      </c>
      <c r="BD2344">
        <v>0</v>
      </c>
      <c r="BN2344" t="s">
        <v>74</v>
      </c>
    </row>
    <row r="2345" spans="1:66" hidden="1">
      <c r="A2345">
        <v>100712</v>
      </c>
      <c r="B2345" s="3" t="s">
        <v>232</v>
      </c>
      <c r="C2345" s="1">
        <v>43300101</v>
      </c>
      <c r="D2345" t="s">
        <v>67</v>
      </c>
      <c r="H2345" t="str">
        <f t="shared" si="229"/>
        <v>07149930583</v>
      </c>
      <c r="I2345" t="str">
        <f t="shared" si="230"/>
        <v>01698911003</v>
      </c>
      <c r="K2345" t="str">
        <f>""</f>
        <v/>
      </c>
      <c r="M2345" t="s">
        <v>68</v>
      </c>
      <c r="N2345" t="str">
        <f t="shared" si="228"/>
        <v>FOR</v>
      </c>
      <c r="O2345" t="s">
        <v>69</v>
      </c>
      <c r="P2345" s="3" t="s">
        <v>78</v>
      </c>
      <c r="Q2345">
        <v>2013</v>
      </c>
      <c r="R2345" s="2">
        <v>41345</v>
      </c>
      <c r="S2345" s="2">
        <v>41351</v>
      </c>
      <c r="T2345" s="2">
        <v>41351</v>
      </c>
      <c r="U2345" s="2">
        <v>41441</v>
      </c>
      <c r="V2345" t="s">
        <v>71</v>
      </c>
      <c r="W2345" t="str">
        <f>"            13009846"</f>
        <v xml:space="preserve">            13009846</v>
      </c>
      <c r="X2345" s="1">
        <v>34779.54</v>
      </c>
      <c r="Y2345">
        <v>0</v>
      </c>
      <c r="Z2345"/>
      <c r="AB2345"/>
      <c r="AC2345" s="1">
        <v>34779.54</v>
      </c>
      <c r="AD2345">
        <v>1094</v>
      </c>
      <c r="AE2345" s="1">
        <v>38048816.759999998</v>
      </c>
      <c r="AF2345">
        <v>0</v>
      </c>
      <c r="AJ2345">
        <v>0</v>
      </c>
      <c r="AK2345">
        <v>0</v>
      </c>
      <c r="AL2345">
        <v>0</v>
      </c>
      <c r="AM2345">
        <v>0</v>
      </c>
      <c r="AN2345">
        <v>0</v>
      </c>
      <c r="AO2345">
        <v>0</v>
      </c>
      <c r="AP2345" s="2">
        <v>42746</v>
      </c>
      <c r="AQ2345" t="s">
        <v>72</v>
      </c>
      <c r="AR2345" t="s">
        <v>72</v>
      </c>
      <c r="AS2345">
        <v>1613</v>
      </c>
      <c r="AT2345" s="4">
        <v>42535</v>
      </c>
      <c r="AU2345" t="s">
        <v>73</v>
      </c>
      <c r="AV2345">
        <v>1613</v>
      </c>
      <c r="AW2345" s="4">
        <v>42535</v>
      </c>
      <c r="BD2345">
        <v>0</v>
      </c>
      <c r="BN2345" t="s">
        <v>74</v>
      </c>
    </row>
    <row r="2346" spans="1:66" hidden="1">
      <c r="A2346">
        <v>100712</v>
      </c>
      <c r="B2346" s="3" t="s">
        <v>232</v>
      </c>
      <c r="C2346" s="1">
        <v>43300101</v>
      </c>
      <c r="D2346" t="s">
        <v>67</v>
      </c>
      <c r="H2346" t="str">
        <f t="shared" si="229"/>
        <v>07149930583</v>
      </c>
      <c r="I2346" t="str">
        <f t="shared" si="230"/>
        <v>01698911003</v>
      </c>
      <c r="K2346" t="str">
        <f>""</f>
        <v/>
      </c>
      <c r="M2346" t="s">
        <v>68</v>
      </c>
      <c r="N2346" t="str">
        <f t="shared" si="228"/>
        <v>FOR</v>
      </c>
      <c r="O2346" t="s">
        <v>69</v>
      </c>
      <c r="P2346" s="3" t="s">
        <v>78</v>
      </c>
      <c r="Q2346">
        <v>2013</v>
      </c>
      <c r="R2346" s="2">
        <v>41366</v>
      </c>
      <c r="S2346" s="2">
        <v>41373</v>
      </c>
      <c r="T2346" s="2">
        <v>41373</v>
      </c>
      <c r="U2346" s="2">
        <v>41463</v>
      </c>
      <c r="V2346" t="s">
        <v>71</v>
      </c>
      <c r="W2346" t="str">
        <f>"            13011709"</f>
        <v xml:space="preserve">            13011709</v>
      </c>
      <c r="X2346" s="1">
        <v>20154.7</v>
      </c>
      <c r="Y2346">
        <v>0</v>
      </c>
      <c r="Z2346"/>
      <c r="AB2346"/>
      <c r="AC2346" s="1">
        <v>20154.7</v>
      </c>
      <c r="AD2346">
        <v>1072</v>
      </c>
      <c r="AE2346" s="1">
        <v>21605838.399999999</v>
      </c>
      <c r="AF2346">
        <v>0</v>
      </c>
      <c r="AJ2346">
        <v>0</v>
      </c>
      <c r="AK2346">
        <v>0</v>
      </c>
      <c r="AL2346">
        <v>0</v>
      </c>
      <c r="AM2346">
        <v>0</v>
      </c>
      <c r="AN2346">
        <v>0</v>
      </c>
      <c r="AO2346">
        <v>0</v>
      </c>
      <c r="AP2346" s="2">
        <v>42746</v>
      </c>
      <c r="AQ2346" t="s">
        <v>72</v>
      </c>
      <c r="AR2346" t="s">
        <v>72</v>
      </c>
      <c r="AS2346">
        <v>1613</v>
      </c>
      <c r="AT2346" s="4">
        <v>42535</v>
      </c>
      <c r="AU2346" t="s">
        <v>73</v>
      </c>
      <c r="AV2346">
        <v>1613</v>
      </c>
      <c r="AW2346" s="4">
        <v>42535</v>
      </c>
      <c r="BD2346">
        <v>0</v>
      </c>
      <c r="BN2346" t="s">
        <v>74</v>
      </c>
    </row>
    <row r="2347" spans="1:66" hidden="1">
      <c r="A2347">
        <v>100712</v>
      </c>
      <c r="B2347" s="3" t="s">
        <v>232</v>
      </c>
      <c r="C2347" s="1">
        <v>43300101</v>
      </c>
      <c r="D2347" t="s">
        <v>67</v>
      </c>
      <c r="H2347" t="str">
        <f t="shared" si="229"/>
        <v>07149930583</v>
      </c>
      <c r="I2347" t="str">
        <f t="shared" si="230"/>
        <v>01698911003</v>
      </c>
      <c r="K2347" t="str">
        <f>""</f>
        <v/>
      </c>
      <c r="M2347" t="s">
        <v>68</v>
      </c>
      <c r="N2347" t="str">
        <f t="shared" si="228"/>
        <v>FOR</v>
      </c>
      <c r="O2347" t="s">
        <v>69</v>
      </c>
      <c r="P2347" s="3" t="s">
        <v>78</v>
      </c>
      <c r="Q2347">
        <v>2013</v>
      </c>
      <c r="R2347" s="2">
        <v>41375</v>
      </c>
      <c r="S2347" s="2">
        <v>41381</v>
      </c>
      <c r="T2347" s="2">
        <v>41381</v>
      </c>
      <c r="U2347" s="2">
        <v>41471</v>
      </c>
      <c r="V2347" t="s">
        <v>71</v>
      </c>
      <c r="W2347" t="str">
        <f>"            13013259"</f>
        <v xml:space="preserve">            13013259</v>
      </c>
      <c r="X2347" s="1">
        <v>29655.95</v>
      </c>
      <c r="Y2347">
        <v>0</v>
      </c>
      <c r="Z2347"/>
      <c r="AB2347"/>
      <c r="AC2347" s="1">
        <v>29655.95</v>
      </c>
      <c r="AD2347">
        <v>1064</v>
      </c>
      <c r="AE2347" s="1">
        <v>31553930.800000001</v>
      </c>
      <c r="AF2347">
        <v>0</v>
      </c>
      <c r="AJ2347">
        <v>0</v>
      </c>
      <c r="AK2347">
        <v>0</v>
      </c>
      <c r="AL2347">
        <v>0</v>
      </c>
      <c r="AM2347">
        <v>0</v>
      </c>
      <c r="AN2347">
        <v>0</v>
      </c>
      <c r="AO2347">
        <v>0</v>
      </c>
      <c r="AP2347" s="2">
        <v>42746</v>
      </c>
      <c r="AQ2347" t="s">
        <v>72</v>
      </c>
      <c r="AR2347" t="s">
        <v>72</v>
      </c>
      <c r="AS2347">
        <v>1613</v>
      </c>
      <c r="AT2347" s="4">
        <v>42535</v>
      </c>
      <c r="AU2347" t="s">
        <v>73</v>
      </c>
      <c r="AV2347">
        <v>1613</v>
      </c>
      <c r="AW2347" s="4">
        <v>42535</v>
      </c>
      <c r="BD2347">
        <v>0</v>
      </c>
      <c r="BN2347" t="s">
        <v>74</v>
      </c>
    </row>
    <row r="2348" spans="1:66" hidden="1">
      <c r="A2348">
        <v>100712</v>
      </c>
      <c r="B2348" s="3" t="s">
        <v>232</v>
      </c>
      <c r="C2348" s="1">
        <v>43300101</v>
      </c>
      <c r="D2348" t="s">
        <v>67</v>
      </c>
      <c r="H2348" t="str">
        <f t="shared" si="229"/>
        <v>07149930583</v>
      </c>
      <c r="I2348" t="str">
        <f t="shared" si="230"/>
        <v>01698911003</v>
      </c>
      <c r="K2348" t="str">
        <f>""</f>
        <v/>
      </c>
      <c r="M2348" t="s">
        <v>68</v>
      </c>
      <c r="N2348" t="str">
        <f t="shared" si="228"/>
        <v>FOR</v>
      </c>
      <c r="O2348" t="s">
        <v>69</v>
      </c>
      <c r="P2348" s="3" t="s">
        <v>78</v>
      </c>
      <c r="Q2348">
        <v>2013</v>
      </c>
      <c r="R2348" s="2">
        <v>41457</v>
      </c>
      <c r="S2348" s="2">
        <v>41466</v>
      </c>
      <c r="T2348" s="2">
        <v>41466</v>
      </c>
      <c r="U2348" s="2">
        <v>41556</v>
      </c>
      <c r="V2348" t="s">
        <v>71</v>
      </c>
      <c r="W2348" t="str">
        <f>"            13021610"</f>
        <v xml:space="preserve">            13021610</v>
      </c>
      <c r="X2348" s="1">
        <v>5932.1</v>
      </c>
      <c r="Y2348">
        <v>0</v>
      </c>
      <c r="Z2348"/>
      <c r="AB2348"/>
      <c r="AC2348" s="1">
        <v>5932.1</v>
      </c>
      <c r="AD2348">
        <v>979</v>
      </c>
      <c r="AE2348" s="1">
        <v>5807525.9000000004</v>
      </c>
      <c r="AF2348">
        <v>0</v>
      </c>
      <c r="AJ2348">
        <v>0</v>
      </c>
      <c r="AK2348">
        <v>0</v>
      </c>
      <c r="AL2348">
        <v>0</v>
      </c>
      <c r="AM2348">
        <v>0</v>
      </c>
      <c r="AN2348">
        <v>0</v>
      </c>
      <c r="AO2348">
        <v>0</v>
      </c>
      <c r="AP2348" s="2">
        <v>42746</v>
      </c>
      <c r="AQ2348" t="s">
        <v>72</v>
      </c>
      <c r="AR2348" t="s">
        <v>72</v>
      </c>
      <c r="AS2348">
        <v>1613</v>
      </c>
      <c r="AT2348" s="4">
        <v>42535</v>
      </c>
      <c r="AU2348" t="s">
        <v>73</v>
      </c>
      <c r="AV2348">
        <v>1613</v>
      </c>
      <c r="AW2348" s="4">
        <v>42535</v>
      </c>
      <c r="BD2348">
        <v>0</v>
      </c>
      <c r="BN2348" t="s">
        <v>74</v>
      </c>
    </row>
    <row r="2349" spans="1:66" hidden="1">
      <c r="A2349">
        <v>100712</v>
      </c>
      <c r="B2349" s="3" t="s">
        <v>232</v>
      </c>
      <c r="C2349" s="1">
        <v>43300101</v>
      </c>
      <c r="D2349" t="s">
        <v>67</v>
      </c>
      <c r="H2349" t="str">
        <f t="shared" si="229"/>
        <v>07149930583</v>
      </c>
      <c r="I2349" t="str">
        <f t="shared" si="230"/>
        <v>01698911003</v>
      </c>
      <c r="K2349" t="str">
        <f>""</f>
        <v/>
      </c>
      <c r="M2349" t="s">
        <v>68</v>
      </c>
      <c r="N2349" t="str">
        <f t="shared" si="228"/>
        <v>FOR</v>
      </c>
      <c r="O2349" t="s">
        <v>69</v>
      </c>
      <c r="P2349" s="3" t="s">
        <v>70</v>
      </c>
      <c r="Q2349">
        <v>2014</v>
      </c>
      <c r="R2349" s="2">
        <v>41740</v>
      </c>
      <c r="S2349" s="2">
        <v>42185</v>
      </c>
      <c r="T2349" s="2">
        <v>42185</v>
      </c>
      <c r="U2349" s="2">
        <v>42245</v>
      </c>
      <c r="V2349" t="s">
        <v>71</v>
      </c>
      <c r="W2349" t="str">
        <f>"            13013059"</f>
        <v xml:space="preserve">            13013059</v>
      </c>
      <c r="X2349" s="1">
        <v>88721.21</v>
      </c>
      <c r="Y2349">
        <v>0</v>
      </c>
      <c r="Z2349"/>
      <c r="AB2349"/>
      <c r="AC2349" s="1">
        <v>88721.21</v>
      </c>
      <c r="AD2349">
        <v>285</v>
      </c>
      <c r="AE2349" s="1">
        <v>25285544.850000001</v>
      </c>
      <c r="AF2349">
        <v>0</v>
      </c>
      <c r="AJ2349">
        <v>0</v>
      </c>
      <c r="AK2349">
        <v>0</v>
      </c>
      <c r="AL2349">
        <v>0</v>
      </c>
      <c r="AM2349">
        <v>0</v>
      </c>
      <c r="AN2349">
        <v>0</v>
      </c>
      <c r="AO2349">
        <v>0</v>
      </c>
      <c r="AP2349" s="2">
        <v>42746</v>
      </c>
      <c r="AQ2349" t="s">
        <v>72</v>
      </c>
      <c r="AR2349" t="s">
        <v>72</v>
      </c>
      <c r="AS2349">
        <v>1606</v>
      </c>
      <c r="AT2349" s="4">
        <v>42530</v>
      </c>
      <c r="AU2349" t="s">
        <v>73</v>
      </c>
      <c r="AV2349">
        <v>1606</v>
      </c>
      <c r="AW2349" s="4">
        <v>42530</v>
      </c>
      <c r="BD2349">
        <v>0</v>
      </c>
      <c r="BN2349" t="s">
        <v>74</v>
      </c>
    </row>
    <row r="2350" spans="1:66" hidden="1">
      <c r="A2350">
        <v>100714</v>
      </c>
      <c r="B2350" s="3" t="s">
        <v>233</v>
      </c>
      <c r="C2350" s="1">
        <v>43300101</v>
      </c>
      <c r="D2350" t="s">
        <v>67</v>
      </c>
      <c r="H2350" t="str">
        <f t="shared" ref="H2350:I2355" si="231">"05653560960"</f>
        <v>05653560960</v>
      </c>
      <c r="I2350" t="str">
        <f t="shared" si="231"/>
        <v>05653560960</v>
      </c>
      <c r="K2350" t="str">
        <f>""</f>
        <v/>
      </c>
      <c r="M2350" t="s">
        <v>68</v>
      </c>
      <c r="N2350" t="str">
        <f t="shared" si="228"/>
        <v>FOR</v>
      </c>
      <c r="O2350" t="s">
        <v>69</v>
      </c>
      <c r="P2350" s="3" t="s">
        <v>78</v>
      </c>
      <c r="Q2350">
        <v>2013</v>
      </c>
      <c r="R2350" s="2">
        <v>41305</v>
      </c>
      <c r="S2350" s="2">
        <v>41311</v>
      </c>
      <c r="T2350" s="2">
        <v>41311</v>
      </c>
      <c r="U2350" s="2">
        <v>41401</v>
      </c>
      <c r="V2350" t="s">
        <v>71</v>
      </c>
      <c r="W2350" t="str">
        <f>"            11320934"</f>
        <v xml:space="preserve">            11320934</v>
      </c>
      <c r="X2350" s="1">
        <v>8978.2000000000007</v>
      </c>
      <c r="Y2350">
        <v>0</v>
      </c>
      <c r="Z2350"/>
      <c r="AB2350"/>
      <c r="AC2350" s="1">
        <v>8978.2000000000007</v>
      </c>
      <c r="AD2350">
        <v>1134</v>
      </c>
      <c r="AE2350" s="1">
        <v>10181278.800000001</v>
      </c>
      <c r="AF2350">
        <v>0</v>
      </c>
      <c r="AJ2350">
        <v>0</v>
      </c>
      <c r="AK2350">
        <v>0</v>
      </c>
      <c r="AL2350">
        <v>0</v>
      </c>
      <c r="AM2350">
        <v>0</v>
      </c>
      <c r="AN2350">
        <v>0</v>
      </c>
      <c r="AO2350">
        <v>0</v>
      </c>
      <c r="AP2350" s="2">
        <v>42746</v>
      </c>
      <c r="AQ2350" t="s">
        <v>72</v>
      </c>
      <c r="AR2350" t="s">
        <v>72</v>
      </c>
      <c r="AS2350">
        <v>1611</v>
      </c>
      <c r="AT2350" s="4">
        <v>42535</v>
      </c>
      <c r="AU2350" t="s">
        <v>73</v>
      </c>
      <c r="AV2350">
        <v>1611</v>
      </c>
      <c r="AW2350" s="4">
        <v>42535</v>
      </c>
      <c r="BD2350">
        <v>0</v>
      </c>
      <c r="BN2350" t="s">
        <v>74</v>
      </c>
    </row>
    <row r="2351" spans="1:66" hidden="1">
      <c r="A2351">
        <v>100714</v>
      </c>
      <c r="B2351" s="3" t="s">
        <v>233</v>
      </c>
      <c r="C2351" s="1">
        <v>43300101</v>
      </c>
      <c r="D2351" t="s">
        <v>67</v>
      </c>
      <c r="H2351" t="str">
        <f t="shared" si="231"/>
        <v>05653560960</v>
      </c>
      <c r="I2351" t="str">
        <f t="shared" si="231"/>
        <v>05653560960</v>
      </c>
      <c r="K2351" t="str">
        <f>""</f>
        <v/>
      </c>
      <c r="M2351" t="s">
        <v>68</v>
      </c>
      <c r="N2351" t="str">
        <f t="shared" si="228"/>
        <v>FOR</v>
      </c>
      <c r="O2351" t="s">
        <v>69</v>
      </c>
      <c r="P2351" s="3" t="s">
        <v>78</v>
      </c>
      <c r="Q2351">
        <v>2014</v>
      </c>
      <c r="R2351" s="2">
        <v>41891</v>
      </c>
      <c r="S2351" s="2">
        <v>41897</v>
      </c>
      <c r="T2351" s="2">
        <v>41897</v>
      </c>
      <c r="U2351" s="2">
        <v>41987</v>
      </c>
      <c r="V2351" t="s">
        <v>71</v>
      </c>
      <c r="W2351" t="str">
        <f>"            11348046"</f>
        <v xml:space="preserve">            11348046</v>
      </c>
      <c r="X2351" s="1">
        <v>4574.3900000000003</v>
      </c>
      <c r="Y2351">
        <v>0</v>
      </c>
      <c r="Z2351"/>
      <c r="AB2351"/>
      <c r="AC2351" s="1">
        <v>4574.3900000000003</v>
      </c>
      <c r="AD2351">
        <v>543</v>
      </c>
      <c r="AE2351" s="1">
        <v>2483893.77</v>
      </c>
      <c r="AF2351">
        <v>0</v>
      </c>
      <c r="AJ2351">
        <v>0</v>
      </c>
      <c r="AK2351">
        <v>0</v>
      </c>
      <c r="AL2351">
        <v>0</v>
      </c>
      <c r="AM2351">
        <v>0</v>
      </c>
      <c r="AN2351">
        <v>0</v>
      </c>
      <c r="AO2351">
        <v>0</v>
      </c>
      <c r="AP2351" s="2">
        <v>42746</v>
      </c>
      <c r="AQ2351" t="s">
        <v>72</v>
      </c>
      <c r="AR2351" t="s">
        <v>72</v>
      </c>
      <c r="AS2351">
        <v>1608</v>
      </c>
      <c r="AT2351" s="4">
        <v>42530</v>
      </c>
      <c r="AU2351" t="s">
        <v>73</v>
      </c>
      <c r="AV2351">
        <v>1608</v>
      </c>
      <c r="AW2351" s="4">
        <v>42530</v>
      </c>
      <c r="BD2351">
        <v>0</v>
      </c>
      <c r="BN2351" t="s">
        <v>74</v>
      </c>
    </row>
    <row r="2352" spans="1:66" hidden="1">
      <c r="A2352">
        <v>100714</v>
      </c>
      <c r="B2352" s="3" t="s">
        <v>233</v>
      </c>
      <c r="C2352" s="1">
        <v>43300101</v>
      </c>
      <c r="D2352" t="s">
        <v>67</v>
      </c>
      <c r="H2352" t="str">
        <f t="shared" si="231"/>
        <v>05653560960</v>
      </c>
      <c r="I2352" t="str">
        <f t="shared" si="231"/>
        <v>05653560960</v>
      </c>
      <c r="K2352" t="str">
        <f>""</f>
        <v/>
      </c>
      <c r="M2352" t="s">
        <v>68</v>
      </c>
      <c r="N2352" t="str">
        <f t="shared" si="228"/>
        <v>FOR</v>
      </c>
      <c r="O2352" t="s">
        <v>69</v>
      </c>
      <c r="P2352" s="3" t="s">
        <v>70</v>
      </c>
      <c r="Q2352">
        <v>2015</v>
      </c>
      <c r="R2352" s="2">
        <v>42086</v>
      </c>
      <c r="S2352" s="2">
        <v>42095</v>
      </c>
      <c r="T2352" s="2">
        <v>42095</v>
      </c>
      <c r="U2352" s="2">
        <v>42155</v>
      </c>
      <c r="V2352" t="s">
        <v>71</v>
      </c>
      <c r="W2352" t="str">
        <f>"           111362501"</f>
        <v xml:space="preserve">           111362501</v>
      </c>
      <c r="X2352" s="1">
        <v>4574.3900000000003</v>
      </c>
      <c r="Y2352">
        <v>0</v>
      </c>
      <c r="Z2352"/>
      <c r="AB2352"/>
      <c r="AC2352" s="1">
        <v>3749.5</v>
      </c>
      <c r="AD2352">
        <v>249</v>
      </c>
      <c r="AE2352" s="1">
        <v>933625.5</v>
      </c>
      <c r="AF2352">
        <v>0</v>
      </c>
      <c r="AJ2352">
        <v>0</v>
      </c>
      <c r="AK2352">
        <v>0</v>
      </c>
      <c r="AL2352">
        <v>0</v>
      </c>
      <c r="AM2352">
        <v>0</v>
      </c>
      <c r="AN2352">
        <v>0</v>
      </c>
      <c r="AO2352">
        <v>0</v>
      </c>
      <c r="AP2352" s="2">
        <v>42746</v>
      </c>
      <c r="AQ2352" t="s">
        <v>72</v>
      </c>
      <c r="AR2352" t="s">
        <v>72</v>
      </c>
      <c r="AS2352">
        <v>264</v>
      </c>
      <c r="AT2352" s="4">
        <v>42404</v>
      </c>
      <c r="AU2352" t="s">
        <v>73</v>
      </c>
      <c r="AV2352">
        <v>264</v>
      </c>
      <c r="AW2352" s="4">
        <v>42404</v>
      </c>
      <c r="BD2352">
        <v>0</v>
      </c>
      <c r="BN2352" t="s">
        <v>74</v>
      </c>
    </row>
    <row r="2353" spans="1:66" hidden="1">
      <c r="A2353">
        <v>100714</v>
      </c>
      <c r="B2353" s="3" t="s">
        <v>233</v>
      </c>
      <c r="C2353" s="1">
        <v>43300101</v>
      </c>
      <c r="D2353" t="s">
        <v>67</v>
      </c>
      <c r="H2353" t="str">
        <f t="shared" si="231"/>
        <v>05653560960</v>
      </c>
      <c r="I2353" t="str">
        <f t="shared" si="231"/>
        <v>05653560960</v>
      </c>
      <c r="K2353" t="str">
        <f>""</f>
        <v/>
      </c>
      <c r="M2353" t="s">
        <v>68</v>
      </c>
      <c r="N2353" t="str">
        <f t="shared" si="228"/>
        <v>FOR</v>
      </c>
      <c r="O2353" t="s">
        <v>69</v>
      </c>
      <c r="P2353" s="3" t="s">
        <v>234</v>
      </c>
      <c r="Q2353">
        <v>2015</v>
      </c>
      <c r="R2353" s="2">
        <v>42185</v>
      </c>
      <c r="S2353" s="2">
        <v>42242</v>
      </c>
      <c r="T2353" s="2">
        <v>42241</v>
      </c>
      <c r="U2353" s="2">
        <v>42301</v>
      </c>
      <c r="V2353" t="s">
        <v>71</v>
      </c>
      <c r="W2353" t="str">
        <f>"          0111365937"</f>
        <v xml:space="preserve">          0111365937</v>
      </c>
      <c r="X2353" s="1">
        <v>4574.3900000000003</v>
      </c>
      <c r="Y2353">
        <v>0</v>
      </c>
      <c r="Z2353"/>
      <c r="AB2353"/>
      <c r="AC2353" s="1">
        <v>3749.5</v>
      </c>
      <c r="AD2353">
        <v>219</v>
      </c>
      <c r="AE2353" s="1">
        <v>821140.5</v>
      </c>
      <c r="AF2353">
        <v>0</v>
      </c>
      <c r="AJ2353">
        <v>0</v>
      </c>
      <c r="AK2353">
        <v>0</v>
      </c>
      <c r="AL2353">
        <v>0</v>
      </c>
      <c r="AM2353">
        <v>0</v>
      </c>
      <c r="AN2353">
        <v>0</v>
      </c>
      <c r="AO2353">
        <v>0</v>
      </c>
      <c r="AP2353" s="2">
        <v>42746</v>
      </c>
      <c r="AQ2353" t="s">
        <v>72</v>
      </c>
      <c r="AR2353" t="s">
        <v>72</v>
      </c>
      <c r="AS2353">
        <v>1426</v>
      </c>
      <c r="AT2353" s="4">
        <v>42520</v>
      </c>
      <c r="AU2353" t="s">
        <v>73</v>
      </c>
      <c r="AV2353">
        <v>1426</v>
      </c>
      <c r="AW2353" s="4">
        <v>42520</v>
      </c>
      <c r="BD2353">
        <v>0</v>
      </c>
      <c r="BN2353" t="s">
        <v>74</v>
      </c>
    </row>
    <row r="2354" spans="1:66" hidden="1">
      <c r="A2354">
        <v>100714</v>
      </c>
      <c r="B2354" s="3" t="s">
        <v>233</v>
      </c>
      <c r="C2354" s="1">
        <v>43300101</v>
      </c>
      <c r="D2354" t="s">
        <v>67</v>
      </c>
      <c r="H2354" t="str">
        <f t="shared" si="231"/>
        <v>05653560960</v>
      </c>
      <c r="I2354" t="str">
        <f t="shared" si="231"/>
        <v>05653560960</v>
      </c>
      <c r="K2354" t="str">
        <f>""</f>
        <v/>
      </c>
      <c r="M2354" t="s">
        <v>68</v>
      </c>
      <c r="N2354" t="str">
        <f t="shared" si="228"/>
        <v>FOR</v>
      </c>
      <c r="O2354" t="s">
        <v>69</v>
      </c>
      <c r="P2354" s="3" t="s">
        <v>75</v>
      </c>
      <c r="Q2354">
        <v>2015</v>
      </c>
      <c r="R2354" s="2">
        <v>42258</v>
      </c>
      <c r="S2354" s="2">
        <v>42261</v>
      </c>
      <c r="T2354" s="2">
        <v>42258</v>
      </c>
      <c r="U2354" s="2">
        <v>42318</v>
      </c>
      <c r="V2354" t="s">
        <v>71</v>
      </c>
      <c r="W2354" t="str">
        <f>"          0111367648"</f>
        <v xml:space="preserve">          0111367648</v>
      </c>
      <c r="X2354" s="1">
        <v>4574.3900000000003</v>
      </c>
      <c r="Y2354">
        <v>0</v>
      </c>
      <c r="Z2354"/>
      <c r="AB2354"/>
      <c r="AC2354" s="1">
        <v>3749.5</v>
      </c>
      <c r="AD2354">
        <v>303</v>
      </c>
      <c r="AE2354" s="1">
        <v>1136098.5</v>
      </c>
      <c r="AF2354">
        <v>0</v>
      </c>
      <c r="AJ2354">
        <v>0</v>
      </c>
      <c r="AK2354">
        <v>0</v>
      </c>
      <c r="AL2354">
        <v>0</v>
      </c>
      <c r="AM2354">
        <v>0</v>
      </c>
      <c r="AN2354">
        <v>0</v>
      </c>
      <c r="AO2354">
        <v>0</v>
      </c>
      <c r="AP2354" s="2">
        <v>42746</v>
      </c>
      <c r="AQ2354" t="s">
        <v>72</v>
      </c>
      <c r="AR2354" t="s">
        <v>72</v>
      </c>
      <c r="AS2354">
        <v>2378</v>
      </c>
      <c r="AT2354" s="4">
        <v>42621</v>
      </c>
      <c r="AU2354" t="s">
        <v>73</v>
      </c>
      <c r="AV2354">
        <v>2378</v>
      </c>
      <c r="AW2354" s="4">
        <v>42621</v>
      </c>
      <c r="BD2354">
        <v>0</v>
      </c>
      <c r="BN2354" t="s">
        <v>74</v>
      </c>
    </row>
    <row r="2355" spans="1:66" hidden="1">
      <c r="A2355">
        <v>100714</v>
      </c>
      <c r="B2355" s="3" t="s">
        <v>233</v>
      </c>
      <c r="C2355" s="1">
        <v>43300101</v>
      </c>
      <c r="D2355" t="s">
        <v>67</v>
      </c>
      <c r="H2355" t="str">
        <f t="shared" si="231"/>
        <v>05653560960</v>
      </c>
      <c r="I2355" t="str">
        <f t="shared" si="231"/>
        <v>05653560960</v>
      </c>
      <c r="K2355" t="str">
        <f>""</f>
        <v/>
      </c>
      <c r="M2355" t="s">
        <v>68</v>
      </c>
      <c r="N2355" t="str">
        <f t="shared" si="228"/>
        <v>FOR</v>
      </c>
      <c r="O2355" t="s">
        <v>69</v>
      </c>
      <c r="P2355" s="3" t="s">
        <v>75</v>
      </c>
      <c r="Q2355">
        <v>2015</v>
      </c>
      <c r="R2355" s="2">
        <v>42268</v>
      </c>
      <c r="S2355" s="2">
        <v>42277</v>
      </c>
      <c r="T2355" s="2">
        <v>42277</v>
      </c>
      <c r="U2355" s="2">
        <v>42337</v>
      </c>
      <c r="V2355" t="s">
        <v>71</v>
      </c>
      <c r="W2355" t="str">
        <f>"          0111368016"</f>
        <v xml:space="preserve">          0111368016</v>
      </c>
      <c r="X2355" s="1">
        <v>5117.8999999999996</v>
      </c>
      <c r="Y2355">
        <v>0</v>
      </c>
      <c r="Z2355"/>
      <c r="AB2355"/>
      <c r="AC2355" s="1">
        <v>4195</v>
      </c>
      <c r="AD2355">
        <v>284</v>
      </c>
      <c r="AE2355" s="1">
        <v>1191380</v>
      </c>
      <c r="AF2355">
        <v>0</v>
      </c>
      <c r="AJ2355">
        <v>0</v>
      </c>
      <c r="AK2355">
        <v>0</v>
      </c>
      <c r="AL2355">
        <v>0</v>
      </c>
      <c r="AM2355">
        <v>0</v>
      </c>
      <c r="AN2355">
        <v>0</v>
      </c>
      <c r="AO2355">
        <v>0</v>
      </c>
      <c r="AP2355" s="2">
        <v>42746</v>
      </c>
      <c r="AQ2355" t="s">
        <v>72</v>
      </c>
      <c r="AR2355" t="s">
        <v>72</v>
      </c>
      <c r="AS2355">
        <v>2378</v>
      </c>
      <c r="AT2355" s="4">
        <v>42621</v>
      </c>
      <c r="AU2355" t="s">
        <v>73</v>
      </c>
      <c r="AV2355">
        <v>2378</v>
      </c>
      <c r="AW2355" s="4">
        <v>42621</v>
      </c>
      <c r="BD2355">
        <v>0</v>
      </c>
      <c r="BN2355" t="s">
        <v>74</v>
      </c>
    </row>
    <row r="2356" spans="1:66" hidden="1">
      <c r="A2356">
        <v>100731</v>
      </c>
      <c r="B2356" s="3" t="s">
        <v>235</v>
      </c>
      <c r="C2356" s="1">
        <v>43500101</v>
      </c>
      <c r="D2356" t="s">
        <v>113</v>
      </c>
      <c r="H2356" t="str">
        <f t="shared" ref="H2356:H2362" si="232">"DLGSFN68E51A783Q"</f>
        <v>DLGSFN68E51A783Q</v>
      </c>
      <c r="I2356" t="str">
        <f t="shared" ref="I2356:I2362" si="233">"01120190622"</f>
        <v>01120190622</v>
      </c>
      <c r="K2356" t="str">
        <f>""</f>
        <v/>
      </c>
      <c r="M2356" t="s">
        <v>68</v>
      </c>
      <c r="N2356" t="str">
        <f t="shared" ref="N2356:N2362" si="234">"ALTPRO"</f>
        <v>ALTPRO</v>
      </c>
      <c r="O2356" t="s">
        <v>132</v>
      </c>
      <c r="P2356" s="3" t="s">
        <v>236</v>
      </c>
      <c r="Q2356">
        <v>2016</v>
      </c>
      <c r="R2356" s="2">
        <v>42387</v>
      </c>
      <c r="S2356" s="2">
        <v>42388</v>
      </c>
      <c r="T2356" s="2">
        <v>42387</v>
      </c>
      <c r="U2356" s="2">
        <v>42447</v>
      </c>
      <c r="V2356" t="s">
        <v>71</v>
      </c>
      <c r="W2356" t="str">
        <f>"              1\2016"</f>
        <v xml:space="preserve">              1\2016</v>
      </c>
      <c r="X2356" s="1">
        <v>2895.62</v>
      </c>
      <c r="Y2356">
        <v>-456.43</v>
      </c>
      <c r="Z2356"/>
      <c r="AB2356"/>
      <c r="AC2356" s="1">
        <v>2439.19</v>
      </c>
      <c r="AD2356">
        <v>-44</v>
      </c>
      <c r="AE2356" s="1">
        <v>-107324.36</v>
      </c>
      <c r="AF2356">
        <v>0</v>
      </c>
      <c r="AJ2356">
        <v>0</v>
      </c>
      <c r="AK2356">
        <v>0</v>
      </c>
      <c r="AL2356">
        <v>0</v>
      </c>
      <c r="AM2356" s="1">
        <v>2439.19</v>
      </c>
      <c r="AN2356" s="1">
        <v>2439.19</v>
      </c>
      <c r="AO2356" s="1">
        <v>2439.19</v>
      </c>
      <c r="AP2356" s="2">
        <v>42746</v>
      </c>
      <c r="AQ2356" t="s">
        <v>72</v>
      </c>
      <c r="AR2356" t="s">
        <v>72</v>
      </c>
      <c r="AS2356">
        <v>215</v>
      </c>
      <c r="AT2356" s="4">
        <v>42403</v>
      </c>
      <c r="AV2356">
        <v>215</v>
      </c>
      <c r="AW2356" s="4">
        <v>42403</v>
      </c>
      <c r="BD2356">
        <v>0</v>
      </c>
      <c r="BN2356" t="s">
        <v>74</v>
      </c>
    </row>
    <row r="2357" spans="1:66" hidden="1">
      <c r="A2357">
        <v>100731</v>
      </c>
      <c r="B2357" s="3" t="s">
        <v>235</v>
      </c>
      <c r="C2357" s="1">
        <v>43500101</v>
      </c>
      <c r="D2357" t="s">
        <v>113</v>
      </c>
      <c r="H2357" t="str">
        <f t="shared" si="232"/>
        <v>DLGSFN68E51A783Q</v>
      </c>
      <c r="I2357" t="str">
        <f t="shared" si="233"/>
        <v>01120190622</v>
      </c>
      <c r="K2357" t="str">
        <f>""</f>
        <v/>
      </c>
      <c r="M2357" t="s">
        <v>68</v>
      </c>
      <c r="N2357" t="str">
        <f t="shared" si="234"/>
        <v>ALTPRO</v>
      </c>
      <c r="O2357" t="s">
        <v>132</v>
      </c>
      <c r="P2357" s="3" t="s">
        <v>75</v>
      </c>
      <c r="Q2357">
        <v>2016</v>
      </c>
      <c r="R2357" s="2">
        <v>42394</v>
      </c>
      <c r="S2357" s="2">
        <v>42395</v>
      </c>
      <c r="T2357" s="2">
        <v>42394</v>
      </c>
      <c r="U2357" s="2">
        <v>42454</v>
      </c>
      <c r="V2357" t="s">
        <v>71</v>
      </c>
      <c r="W2357" t="str">
        <f>"              2\2016"</f>
        <v xml:space="preserve">              2\2016</v>
      </c>
      <c r="X2357" s="1">
        <v>2664.48</v>
      </c>
      <c r="Y2357">
        <v>-420</v>
      </c>
      <c r="Z2357"/>
      <c r="AB2357"/>
      <c r="AC2357" s="1">
        <v>2244.48</v>
      </c>
      <c r="AD2357">
        <v>-51</v>
      </c>
      <c r="AE2357" s="1">
        <v>-114468.48</v>
      </c>
      <c r="AF2357">
        <v>0</v>
      </c>
      <c r="AJ2357">
        <v>0</v>
      </c>
      <c r="AK2357">
        <v>0</v>
      </c>
      <c r="AL2357">
        <v>0</v>
      </c>
      <c r="AM2357" s="1">
        <v>2244.48</v>
      </c>
      <c r="AN2357" s="1">
        <v>2244.48</v>
      </c>
      <c r="AO2357" s="1">
        <v>2244.48</v>
      </c>
      <c r="AP2357" s="2">
        <v>42746</v>
      </c>
      <c r="AQ2357" t="s">
        <v>72</v>
      </c>
      <c r="AR2357" t="s">
        <v>72</v>
      </c>
      <c r="AS2357">
        <v>215</v>
      </c>
      <c r="AT2357" s="4">
        <v>42403</v>
      </c>
      <c r="AV2357">
        <v>215</v>
      </c>
      <c r="AW2357" s="4">
        <v>42403</v>
      </c>
      <c r="BD2357">
        <v>0</v>
      </c>
      <c r="BN2357" t="s">
        <v>74</v>
      </c>
    </row>
    <row r="2358" spans="1:66" hidden="1">
      <c r="A2358">
        <v>100731</v>
      </c>
      <c r="B2358" s="3" t="s">
        <v>235</v>
      </c>
      <c r="C2358" s="1">
        <v>43500101</v>
      </c>
      <c r="D2358" t="s">
        <v>113</v>
      </c>
      <c r="H2358" t="str">
        <f t="shared" si="232"/>
        <v>DLGSFN68E51A783Q</v>
      </c>
      <c r="I2358" t="str">
        <f t="shared" si="233"/>
        <v>01120190622</v>
      </c>
      <c r="K2358" t="str">
        <f>""</f>
        <v/>
      </c>
      <c r="M2358" t="s">
        <v>68</v>
      </c>
      <c r="N2358" t="str">
        <f t="shared" si="234"/>
        <v>ALTPRO</v>
      </c>
      <c r="O2358" t="s">
        <v>132</v>
      </c>
      <c r="P2358" s="3" t="s">
        <v>70</v>
      </c>
      <c r="Q2358">
        <v>2016</v>
      </c>
      <c r="R2358" s="2">
        <v>42423</v>
      </c>
      <c r="S2358" s="2">
        <v>42436</v>
      </c>
      <c r="T2358" s="2">
        <v>42436</v>
      </c>
      <c r="U2358" s="2">
        <v>42496</v>
      </c>
      <c r="V2358" t="s">
        <v>71</v>
      </c>
      <c r="W2358" t="str">
        <f>"              3\2016"</f>
        <v xml:space="preserve">              3\2016</v>
      </c>
      <c r="X2358">
        <v>294</v>
      </c>
      <c r="Y2358">
        <v>0</v>
      </c>
      <c r="Z2358"/>
      <c r="AB2358"/>
      <c r="AC2358">
        <v>294</v>
      </c>
      <c r="AD2358">
        <v>-45</v>
      </c>
      <c r="AE2358" s="1">
        <v>-13230</v>
      </c>
      <c r="AF2358">
        <v>0</v>
      </c>
      <c r="AJ2358">
        <v>0</v>
      </c>
      <c r="AK2358">
        <v>0</v>
      </c>
      <c r="AL2358">
        <v>0</v>
      </c>
      <c r="AM2358">
        <v>294</v>
      </c>
      <c r="AN2358">
        <v>294</v>
      </c>
      <c r="AO2358">
        <v>294</v>
      </c>
      <c r="AP2358" s="2">
        <v>42746</v>
      </c>
      <c r="AQ2358" t="s">
        <v>72</v>
      </c>
      <c r="AR2358" t="s">
        <v>72</v>
      </c>
      <c r="AS2358">
        <v>703</v>
      </c>
      <c r="AT2358" s="4">
        <v>42451</v>
      </c>
      <c r="AV2358">
        <v>703</v>
      </c>
      <c r="AW2358" s="4">
        <v>42451</v>
      </c>
      <c r="BD2358">
        <v>0</v>
      </c>
      <c r="BN2358" t="s">
        <v>74</v>
      </c>
    </row>
    <row r="2359" spans="1:66" hidden="1">
      <c r="A2359">
        <v>100731</v>
      </c>
      <c r="B2359" s="3" t="s">
        <v>235</v>
      </c>
      <c r="C2359" s="1">
        <v>43500101</v>
      </c>
      <c r="D2359" t="s">
        <v>113</v>
      </c>
      <c r="H2359" t="str">
        <f t="shared" si="232"/>
        <v>DLGSFN68E51A783Q</v>
      </c>
      <c r="I2359" t="str">
        <f t="shared" si="233"/>
        <v>01120190622</v>
      </c>
      <c r="K2359" t="str">
        <f>""</f>
        <v/>
      </c>
      <c r="M2359" t="s">
        <v>68</v>
      </c>
      <c r="N2359" t="str">
        <f t="shared" si="234"/>
        <v>ALTPRO</v>
      </c>
      <c r="O2359" t="s">
        <v>132</v>
      </c>
      <c r="P2359" s="3" t="s">
        <v>70</v>
      </c>
      <c r="Q2359">
        <v>2016</v>
      </c>
      <c r="R2359" s="2">
        <v>42423</v>
      </c>
      <c r="S2359" s="2">
        <v>42436</v>
      </c>
      <c r="T2359" s="2">
        <v>42436</v>
      </c>
      <c r="U2359" s="2">
        <v>42496</v>
      </c>
      <c r="V2359" t="s">
        <v>71</v>
      </c>
      <c r="W2359" t="str">
        <f>"              4\2016"</f>
        <v xml:space="preserve">              4\2016</v>
      </c>
      <c r="X2359">
        <v>569.25</v>
      </c>
      <c r="Y2359">
        <v>0</v>
      </c>
      <c r="Z2359"/>
      <c r="AB2359"/>
      <c r="AC2359">
        <v>569.25</v>
      </c>
      <c r="AD2359">
        <v>-45</v>
      </c>
      <c r="AE2359" s="1">
        <v>-25616.25</v>
      </c>
      <c r="AF2359">
        <v>0</v>
      </c>
      <c r="AJ2359">
        <v>0</v>
      </c>
      <c r="AK2359">
        <v>0</v>
      </c>
      <c r="AL2359">
        <v>0</v>
      </c>
      <c r="AM2359">
        <v>569.25</v>
      </c>
      <c r="AN2359">
        <v>569.25</v>
      </c>
      <c r="AO2359">
        <v>569.25</v>
      </c>
      <c r="AP2359" s="2">
        <v>42746</v>
      </c>
      <c r="AQ2359" t="s">
        <v>72</v>
      </c>
      <c r="AR2359" t="s">
        <v>72</v>
      </c>
      <c r="AS2359">
        <v>703</v>
      </c>
      <c r="AT2359" s="4">
        <v>42451</v>
      </c>
      <c r="AV2359">
        <v>703</v>
      </c>
      <c r="AW2359" s="4">
        <v>42451</v>
      </c>
      <c r="BD2359">
        <v>0</v>
      </c>
      <c r="BN2359" t="s">
        <v>74</v>
      </c>
    </row>
    <row r="2360" spans="1:66" hidden="1">
      <c r="A2360">
        <v>100731</v>
      </c>
      <c r="B2360" s="3" t="s">
        <v>235</v>
      </c>
      <c r="C2360" s="1">
        <v>43500101</v>
      </c>
      <c r="D2360" t="s">
        <v>113</v>
      </c>
      <c r="H2360" t="str">
        <f t="shared" si="232"/>
        <v>DLGSFN68E51A783Q</v>
      </c>
      <c r="I2360" t="str">
        <f t="shared" si="233"/>
        <v>01120190622</v>
      </c>
      <c r="K2360" t="str">
        <f>""</f>
        <v/>
      </c>
      <c r="M2360" t="s">
        <v>68</v>
      </c>
      <c r="N2360" t="str">
        <f t="shared" si="234"/>
        <v>ALTPRO</v>
      </c>
      <c r="O2360" t="s">
        <v>132</v>
      </c>
      <c r="P2360" s="3" t="s">
        <v>75</v>
      </c>
      <c r="Q2360">
        <v>2016</v>
      </c>
      <c r="R2360" s="2">
        <v>42450</v>
      </c>
      <c r="S2360" s="2">
        <v>42461</v>
      </c>
      <c r="T2360" s="2">
        <v>42450</v>
      </c>
      <c r="U2360" s="2">
        <v>42510</v>
      </c>
      <c r="V2360" t="s">
        <v>71</v>
      </c>
      <c r="W2360" t="str">
        <f>"              5\2016"</f>
        <v xml:space="preserve">              5\2016</v>
      </c>
      <c r="X2360" s="1">
        <v>9084.61</v>
      </c>
      <c r="Y2360" s="1">
        <v>-1432</v>
      </c>
      <c r="Z2360"/>
      <c r="AB2360"/>
      <c r="AC2360" s="1">
        <v>7652.61</v>
      </c>
      <c r="AD2360">
        <v>-23</v>
      </c>
      <c r="AE2360" s="1">
        <v>-176010.03</v>
      </c>
      <c r="AF2360">
        <v>0</v>
      </c>
      <c r="AJ2360">
        <v>0</v>
      </c>
      <c r="AK2360">
        <v>0</v>
      </c>
      <c r="AL2360">
        <v>0</v>
      </c>
      <c r="AM2360" s="1">
        <v>7652.61</v>
      </c>
      <c r="AN2360" s="1">
        <v>7652.61</v>
      </c>
      <c r="AO2360" s="1">
        <v>7652.61</v>
      </c>
      <c r="AP2360" s="2">
        <v>42746</v>
      </c>
      <c r="AQ2360" t="s">
        <v>72</v>
      </c>
      <c r="AR2360" t="s">
        <v>72</v>
      </c>
      <c r="AS2360">
        <v>1171</v>
      </c>
      <c r="AT2360" s="4">
        <v>42487</v>
      </c>
      <c r="AV2360">
        <v>1171</v>
      </c>
      <c r="AW2360" s="4">
        <v>42487</v>
      </c>
      <c r="BD2360">
        <v>0</v>
      </c>
      <c r="BN2360" t="s">
        <v>74</v>
      </c>
    </row>
    <row r="2361" spans="1:66" hidden="1">
      <c r="A2361">
        <v>100731</v>
      </c>
      <c r="B2361" s="3" t="s">
        <v>235</v>
      </c>
      <c r="C2361" s="1">
        <v>43500101</v>
      </c>
      <c r="D2361" t="s">
        <v>113</v>
      </c>
      <c r="H2361" t="str">
        <f t="shared" si="232"/>
        <v>DLGSFN68E51A783Q</v>
      </c>
      <c r="I2361" t="str">
        <f t="shared" si="233"/>
        <v>01120190622</v>
      </c>
      <c r="K2361" t="str">
        <f>""</f>
        <v/>
      </c>
      <c r="M2361" t="s">
        <v>68</v>
      </c>
      <c r="N2361" t="str">
        <f t="shared" si="234"/>
        <v>ALTPRO</v>
      </c>
      <c r="O2361" t="s">
        <v>132</v>
      </c>
      <c r="P2361" s="3" t="s">
        <v>75</v>
      </c>
      <c r="Q2361">
        <v>2016</v>
      </c>
      <c r="R2361" s="2">
        <v>42499</v>
      </c>
      <c r="S2361" s="2">
        <v>42499</v>
      </c>
      <c r="T2361" s="2">
        <v>42499</v>
      </c>
      <c r="U2361" s="2">
        <v>42559</v>
      </c>
      <c r="V2361" t="s">
        <v>71</v>
      </c>
      <c r="W2361" t="str">
        <f>"              6\2016"</f>
        <v xml:space="preserve">              6\2016</v>
      </c>
      <c r="X2361" s="1">
        <v>8183.27</v>
      </c>
      <c r="Y2361" s="1">
        <v>-1289.92</v>
      </c>
      <c r="Z2361"/>
      <c r="AB2361"/>
      <c r="AC2361" s="1">
        <v>6893.35</v>
      </c>
      <c r="AD2361">
        <v>-39</v>
      </c>
      <c r="AE2361" s="1">
        <v>-268840.65000000002</v>
      </c>
      <c r="AF2361">
        <v>0</v>
      </c>
      <c r="AJ2361">
        <v>0</v>
      </c>
      <c r="AK2361">
        <v>0</v>
      </c>
      <c r="AL2361">
        <v>0</v>
      </c>
      <c r="AM2361" s="1">
        <v>6893.35</v>
      </c>
      <c r="AN2361" s="1">
        <v>6893.35</v>
      </c>
      <c r="AO2361" s="1">
        <v>6893.35</v>
      </c>
      <c r="AP2361" s="2">
        <v>42746</v>
      </c>
      <c r="AQ2361" t="s">
        <v>72</v>
      </c>
      <c r="AR2361" t="s">
        <v>72</v>
      </c>
      <c r="AS2361">
        <v>1396</v>
      </c>
      <c r="AT2361" s="4">
        <v>42520</v>
      </c>
      <c r="AV2361">
        <v>1396</v>
      </c>
      <c r="AW2361" s="4">
        <v>42520</v>
      </c>
      <c r="BD2361">
        <v>0</v>
      </c>
      <c r="BN2361" t="s">
        <v>74</v>
      </c>
    </row>
    <row r="2362" spans="1:66" hidden="1">
      <c r="A2362">
        <v>100731</v>
      </c>
      <c r="B2362" s="3" t="s">
        <v>235</v>
      </c>
      <c r="C2362" s="1">
        <v>43500101</v>
      </c>
      <c r="D2362" t="s">
        <v>113</v>
      </c>
      <c r="H2362" t="str">
        <f t="shared" si="232"/>
        <v>DLGSFN68E51A783Q</v>
      </c>
      <c r="I2362" t="str">
        <f t="shared" si="233"/>
        <v>01120190622</v>
      </c>
      <c r="K2362" t="str">
        <f>""</f>
        <v/>
      </c>
      <c r="M2362" t="s">
        <v>68</v>
      </c>
      <c r="N2362" t="str">
        <f t="shared" si="234"/>
        <v>ALTPRO</v>
      </c>
      <c r="O2362" t="s">
        <v>132</v>
      </c>
      <c r="P2362" s="3" t="s">
        <v>75</v>
      </c>
      <c r="Q2362">
        <v>2016</v>
      </c>
      <c r="R2362" s="2">
        <v>42538</v>
      </c>
      <c r="S2362" s="2">
        <v>42542</v>
      </c>
      <c r="T2362" s="2">
        <v>42538</v>
      </c>
      <c r="U2362" s="2">
        <v>42598</v>
      </c>
      <c r="V2362" t="s">
        <v>71</v>
      </c>
      <c r="W2362" t="str">
        <f>"              7\2016"</f>
        <v xml:space="preserve">              7\2016</v>
      </c>
      <c r="X2362" s="1">
        <v>5328.96</v>
      </c>
      <c r="Y2362">
        <v>-840</v>
      </c>
      <c r="Z2362"/>
      <c r="AB2362"/>
      <c r="AC2362" s="1">
        <v>4488.96</v>
      </c>
      <c r="AD2362">
        <v>-32</v>
      </c>
      <c r="AE2362" s="1">
        <v>-143646.72</v>
      </c>
      <c r="AF2362">
        <v>0</v>
      </c>
      <c r="AJ2362">
        <v>0</v>
      </c>
      <c r="AK2362">
        <v>0</v>
      </c>
      <c r="AL2362">
        <v>0</v>
      </c>
      <c r="AM2362" s="1">
        <v>4488.96</v>
      </c>
      <c r="AN2362" s="1">
        <v>4488.96</v>
      </c>
      <c r="AO2362" s="1">
        <v>4488.96</v>
      </c>
      <c r="AP2362" s="2">
        <v>42746</v>
      </c>
      <c r="AQ2362" t="s">
        <v>72</v>
      </c>
      <c r="AR2362" t="s">
        <v>72</v>
      </c>
      <c r="AS2362">
        <v>1809</v>
      </c>
      <c r="AT2362" s="4">
        <v>42566</v>
      </c>
      <c r="AV2362">
        <v>1809</v>
      </c>
      <c r="AW2362" s="4">
        <v>42566</v>
      </c>
      <c r="BD2362">
        <v>0</v>
      </c>
      <c r="BN2362" t="s">
        <v>74</v>
      </c>
    </row>
    <row r="2363" spans="1:66" hidden="1">
      <c r="A2363">
        <v>100741</v>
      </c>
      <c r="B2363" s="3" t="s">
        <v>237</v>
      </c>
      <c r="C2363" s="1">
        <v>43300101</v>
      </c>
      <c r="D2363" t="s">
        <v>67</v>
      </c>
      <c r="H2363" t="str">
        <f t="shared" ref="H2363:I2365" si="235">"04676440631"</f>
        <v>04676440631</v>
      </c>
      <c r="I2363" t="str">
        <f t="shared" si="235"/>
        <v>04676440631</v>
      </c>
      <c r="K2363" t="str">
        <f>""</f>
        <v/>
      </c>
      <c r="M2363" t="s">
        <v>68</v>
      </c>
      <c r="N2363" t="str">
        <f t="shared" ref="N2363:N2369" si="236">"FOR"</f>
        <v>FOR</v>
      </c>
      <c r="O2363" t="s">
        <v>69</v>
      </c>
      <c r="P2363" s="3" t="s">
        <v>70</v>
      </c>
      <c r="Q2363">
        <v>2015</v>
      </c>
      <c r="R2363" s="2">
        <v>42067</v>
      </c>
      <c r="S2363" s="2">
        <v>42095</v>
      </c>
      <c r="T2363" s="2">
        <v>42095</v>
      </c>
      <c r="U2363" s="2">
        <v>42155</v>
      </c>
      <c r="V2363" t="s">
        <v>71</v>
      </c>
      <c r="W2363" t="str">
        <f>"                  22"</f>
        <v xml:space="preserve">                  22</v>
      </c>
      <c r="X2363" s="1">
        <v>23180</v>
      </c>
      <c r="Y2363">
        <v>0</v>
      </c>
      <c r="Z2363"/>
      <c r="AB2363"/>
      <c r="AC2363" s="1">
        <v>19000</v>
      </c>
      <c r="AD2363">
        <v>246</v>
      </c>
      <c r="AE2363" s="1">
        <v>4674000</v>
      </c>
      <c r="AF2363">
        <v>0</v>
      </c>
      <c r="AJ2363">
        <v>0</v>
      </c>
      <c r="AK2363">
        <v>0</v>
      </c>
      <c r="AL2363">
        <v>0</v>
      </c>
      <c r="AM2363">
        <v>0</v>
      </c>
      <c r="AN2363">
        <v>0</v>
      </c>
      <c r="AO2363">
        <v>0</v>
      </c>
      <c r="AP2363" s="2">
        <v>42746</v>
      </c>
      <c r="AQ2363" t="s">
        <v>72</v>
      </c>
      <c r="AR2363" t="s">
        <v>72</v>
      </c>
      <c r="AS2363">
        <v>169</v>
      </c>
      <c r="AT2363" s="4">
        <v>42401</v>
      </c>
      <c r="AU2363" t="s">
        <v>73</v>
      </c>
      <c r="AV2363">
        <v>169</v>
      </c>
      <c r="AW2363" s="4">
        <v>42401</v>
      </c>
      <c r="BD2363">
        <v>0</v>
      </c>
      <c r="BN2363" t="s">
        <v>74</v>
      </c>
    </row>
    <row r="2364" spans="1:66" hidden="1">
      <c r="A2364">
        <v>100741</v>
      </c>
      <c r="B2364" s="3" t="s">
        <v>237</v>
      </c>
      <c r="C2364" s="1">
        <v>43300101</v>
      </c>
      <c r="D2364" t="s">
        <v>67</v>
      </c>
      <c r="H2364" t="str">
        <f t="shared" si="235"/>
        <v>04676440631</v>
      </c>
      <c r="I2364" t="str">
        <f t="shared" si="235"/>
        <v>04676440631</v>
      </c>
      <c r="K2364" t="str">
        <f>""</f>
        <v/>
      </c>
      <c r="M2364" t="s">
        <v>68</v>
      </c>
      <c r="N2364" t="str">
        <f t="shared" si="236"/>
        <v>FOR</v>
      </c>
      <c r="O2364" t="s">
        <v>69</v>
      </c>
      <c r="P2364" s="3" t="s">
        <v>70</v>
      </c>
      <c r="Q2364">
        <v>2015</v>
      </c>
      <c r="R2364" s="2">
        <v>42067</v>
      </c>
      <c r="S2364" s="2">
        <v>42095</v>
      </c>
      <c r="T2364" s="2">
        <v>42095</v>
      </c>
      <c r="U2364" s="2">
        <v>42155</v>
      </c>
      <c r="V2364" t="s">
        <v>71</v>
      </c>
      <c r="W2364" t="str">
        <f>"                  23"</f>
        <v xml:space="preserve">                  23</v>
      </c>
      <c r="X2364" s="1">
        <v>14640</v>
      </c>
      <c r="Y2364">
        <v>0</v>
      </c>
      <c r="Z2364"/>
      <c r="AB2364"/>
      <c r="AC2364" s="1">
        <v>12000</v>
      </c>
      <c r="AD2364">
        <v>246</v>
      </c>
      <c r="AE2364" s="1">
        <v>2952000</v>
      </c>
      <c r="AF2364">
        <v>0</v>
      </c>
      <c r="AJ2364">
        <v>0</v>
      </c>
      <c r="AK2364">
        <v>0</v>
      </c>
      <c r="AL2364">
        <v>0</v>
      </c>
      <c r="AM2364">
        <v>0</v>
      </c>
      <c r="AN2364">
        <v>0</v>
      </c>
      <c r="AO2364">
        <v>0</v>
      </c>
      <c r="AP2364" s="2">
        <v>42746</v>
      </c>
      <c r="AQ2364" t="s">
        <v>72</v>
      </c>
      <c r="AR2364" t="s">
        <v>72</v>
      </c>
      <c r="AS2364">
        <v>169</v>
      </c>
      <c r="AT2364" s="4">
        <v>42401</v>
      </c>
      <c r="AU2364" t="s">
        <v>73</v>
      </c>
      <c r="AV2364">
        <v>169</v>
      </c>
      <c r="AW2364" s="4">
        <v>42401</v>
      </c>
      <c r="BD2364">
        <v>0</v>
      </c>
      <c r="BN2364" t="s">
        <v>74</v>
      </c>
    </row>
    <row r="2365" spans="1:66" hidden="1">
      <c r="A2365">
        <v>100741</v>
      </c>
      <c r="B2365" s="3" t="s">
        <v>237</v>
      </c>
      <c r="C2365" s="1">
        <v>43300101</v>
      </c>
      <c r="D2365" t="s">
        <v>67</v>
      </c>
      <c r="H2365" t="str">
        <f t="shared" si="235"/>
        <v>04676440631</v>
      </c>
      <c r="I2365" t="str">
        <f t="shared" si="235"/>
        <v>04676440631</v>
      </c>
      <c r="K2365" t="str">
        <f>""</f>
        <v/>
      </c>
      <c r="M2365" t="s">
        <v>68</v>
      </c>
      <c r="N2365" t="str">
        <f t="shared" si="236"/>
        <v>FOR</v>
      </c>
      <c r="O2365" t="s">
        <v>69</v>
      </c>
      <c r="P2365" s="3" t="s">
        <v>75</v>
      </c>
      <c r="Q2365">
        <v>2015</v>
      </c>
      <c r="R2365" s="2">
        <v>42126</v>
      </c>
      <c r="S2365" s="2">
        <v>42165</v>
      </c>
      <c r="T2365" s="2">
        <v>42143</v>
      </c>
      <c r="U2365" s="2">
        <v>42203</v>
      </c>
      <c r="V2365" t="s">
        <v>71</v>
      </c>
      <c r="W2365" t="str">
        <f>"                  43"</f>
        <v xml:space="preserve">                  43</v>
      </c>
      <c r="X2365" s="1">
        <v>29280</v>
      </c>
      <c r="Y2365">
        <v>0</v>
      </c>
      <c r="Z2365"/>
      <c r="AB2365"/>
      <c r="AC2365" s="1">
        <v>24000</v>
      </c>
      <c r="AD2365">
        <v>250</v>
      </c>
      <c r="AE2365" s="1">
        <v>6000000</v>
      </c>
      <c r="AF2365">
        <v>0</v>
      </c>
      <c r="AJ2365">
        <v>0</v>
      </c>
      <c r="AK2365">
        <v>0</v>
      </c>
      <c r="AL2365">
        <v>0</v>
      </c>
      <c r="AM2365">
        <v>0</v>
      </c>
      <c r="AN2365">
        <v>0</v>
      </c>
      <c r="AO2365">
        <v>0</v>
      </c>
      <c r="AP2365" s="2">
        <v>42746</v>
      </c>
      <c r="AQ2365" t="s">
        <v>72</v>
      </c>
      <c r="AR2365" t="s">
        <v>72</v>
      </c>
      <c r="AS2365">
        <v>863</v>
      </c>
      <c r="AT2365" s="4">
        <v>42453</v>
      </c>
      <c r="AU2365" t="s">
        <v>73</v>
      </c>
      <c r="AV2365">
        <v>863</v>
      </c>
      <c r="AW2365" s="4">
        <v>42453</v>
      </c>
      <c r="BD2365">
        <v>0</v>
      </c>
      <c r="BN2365" t="s">
        <v>74</v>
      </c>
    </row>
    <row r="2366" spans="1:66" hidden="1">
      <c r="A2366">
        <v>100752</v>
      </c>
      <c r="B2366" s="3" t="s">
        <v>238</v>
      </c>
      <c r="C2366" s="1">
        <v>43300101</v>
      </c>
      <c r="D2366" t="s">
        <v>67</v>
      </c>
      <c r="H2366" t="str">
        <f t="shared" ref="H2366:I2368" si="237">"02767640135"</f>
        <v>02767640135</v>
      </c>
      <c r="I2366" t="str">
        <f t="shared" si="237"/>
        <v>02767640135</v>
      </c>
      <c r="K2366" t="str">
        <f>""</f>
        <v/>
      </c>
      <c r="M2366" t="s">
        <v>68</v>
      </c>
      <c r="N2366" t="str">
        <f t="shared" si="236"/>
        <v>FOR</v>
      </c>
      <c r="O2366" t="s">
        <v>69</v>
      </c>
      <c r="P2366" s="3" t="s">
        <v>75</v>
      </c>
      <c r="Q2366">
        <v>2015</v>
      </c>
      <c r="R2366" s="2">
        <v>42158</v>
      </c>
      <c r="S2366" s="2">
        <v>42192</v>
      </c>
      <c r="T2366" s="2">
        <v>42191</v>
      </c>
      <c r="U2366" s="2">
        <v>42251</v>
      </c>
      <c r="V2366" t="s">
        <v>71</v>
      </c>
      <c r="W2366" t="str">
        <f>"             15.5211"</f>
        <v xml:space="preserve">             15.5211</v>
      </c>
      <c r="X2366">
        <v>102.52</v>
      </c>
      <c r="Y2366">
        <v>0</v>
      </c>
      <c r="Z2366"/>
      <c r="AB2366"/>
      <c r="AC2366">
        <v>93.2</v>
      </c>
      <c r="AD2366">
        <v>236</v>
      </c>
      <c r="AE2366" s="1">
        <v>21995.200000000001</v>
      </c>
      <c r="AF2366">
        <v>0</v>
      </c>
      <c r="AJ2366">
        <v>0</v>
      </c>
      <c r="AK2366">
        <v>0</v>
      </c>
      <c r="AL2366">
        <v>0</v>
      </c>
      <c r="AM2366">
        <v>0</v>
      </c>
      <c r="AN2366">
        <v>0</v>
      </c>
      <c r="AO2366">
        <v>0</v>
      </c>
      <c r="AP2366" s="2">
        <v>42746</v>
      </c>
      <c r="AQ2366" t="s">
        <v>72</v>
      </c>
      <c r="AR2366" t="s">
        <v>72</v>
      </c>
      <c r="AS2366">
        <v>1213</v>
      </c>
      <c r="AT2366" s="4">
        <v>42487</v>
      </c>
      <c r="AU2366" t="s">
        <v>73</v>
      </c>
      <c r="AV2366">
        <v>1213</v>
      </c>
      <c r="AW2366" s="4">
        <v>42487</v>
      </c>
      <c r="BD2366">
        <v>0</v>
      </c>
      <c r="BN2366" t="s">
        <v>74</v>
      </c>
    </row>
    <row r="2367" spans="1:66" hidden="1">
      <c r="A2367">
        <v>100752</v>
      </c>
      <c r="B2367" s="3" t="s">
        <v>238</v>
      </c>
      <c r="C2367" s="1">
        <v>43300101</v>
      </c>
      <c r="D2367" t="s">
        <v>67</v>
      </c>
      <c r="H2367" t="str">
        <f t="shared" si="237"/>
        <v>02767640135</v>
      </c>
      <c r="I2367" t="str">
        <f t="shared" si="237"/>
        <v>02767640135</v>
      </c>
      <c r="K2367" t="str">
        <f>""</f>
        <v/>
      </c>
      <c r="M2367" t="s">
        <v>68</v>
      </c>
      <c r="N2367" t="str">
        <f t="shared" si="236"/>
        <v>FOR</v>
      </c>
      <c r="O2367" t="s">
        <v>69</v>
      </c>
      <c r="P2367" s="3" t="s">
        <v>75</v>
      </c>
      <c r="Q2367">
        <v>2015</v>
      </c>
      <c r="R2367" s="2">
        <v>42353</v>
      </c>
      <c r="S2367" s="2">
        <v>42361</v>
      </c>
      <c r="T2367" s="2">
        <v>42359</v>
      </c>
      <c r="U2367" s="2">
        <v>42419</v>
      </c>
      <c r="V2367" t="s">
        <v>71</v>
      </c>
      <c r="W2367" t="str">
        <f>"             15.5387"</f>
        <v xml:space="preserve">             15.5387</v>
      </c>
      <c r="X2367">
        <v>102.52</v>
      </c>
      <c r="Y2367">
        <v>0</v>
      </c>
      <c r="Z2367"/>
      <c r="AB2367"/>
      <c r="AC2367">
        <v>93.2</v>
      </c>
      <c r="AD2367">
        <v>68</v>
      </c>
      <c r="AE2367" s="1">
        <v>6337.6</v>
      </c>
      <c r="AF2367">
        <v>0</v>
      </c>
      <c r="AJ2367">
        <v>0</v>
      </c>
      <c r="AK2367">
        <v>0</v>
      </c>
      <c r="AL2367">
        <v>0</v>
      </c>
      <c r="AM2367">
        <v>0</v>
      </c>
      <c r="AN2367">
        <v>0</v>
      </c>
      <c r="AO2367">
        <v>0</v>
      </c>
      <c r="AP2367" s="2">
        <v>42746</v>
      </c>
      <c r="AQ2367" t="s">
        <v>72</v>
      </c>
      <c r="AR2367" t="s">
        <v>72</v>
      </c>
      <c r="AS2367">
        <v>1213</v>
      </c>
      <c r="AT2367" s="4">
        <v>42487</v>
      </c>
      <c r="AU2367" t="s">
        <v>73</v>
      </c>
      <c r="AV2367">
        <v>1213</v>
      </c>
      <c r="AW2367" s="4">
        <v>42487</v>
      </c>
      <c r="BD2367">
        <v>0</v>
      </c>
      <c r="BN2367" t="s">
        <v>74</v>
      </c>
    </row>
    <row r="2368" spans="1:66" hidden="1">
      <c r="A2368">
        <v>100752</v>
      </c>
      <c r="B2368" s="3" t="s">
        <v>238</v>
      </c>
      <c r="C2368" s="1">
        <v>43300101</v>
      </c>
      <c r="D2368" t="s">
        <v>67</v>
      </c>
      <c r="H2368" t="str">
        <f t="shared" si="237"/>
        <v>02767640135</v>
      </c>
      <c r="I2368" t="str">
        <f t="shared" si="237"/>
        <v>02767640135</v>
      </c>
      <c r="K2368" t="str">
        <f>""</f>
        <v/>
      </c>
      <c r="M2368" t="s">
        <v>68</v>
      </c>
      <c r="N2368" t="str">
        <f t="shared" si="236"/>
        <v>FOR</v>
      </c>
      <c r="O2368" t="s">
        <v>69</v>
      </c>
      <c r="P2368" s="3" t="s">
        <v>75</v>
      </c>
      <c r="Q2368">
        <v>2016</v>
      </c>
      <c r="R2368" s="2">
        <v>42408</v>
      </c>
      <c r="S2368" s="2">
        <v>42436</v>
      </c>
      <c r="T2368" s="2">
        <v>42430</v>
      </c>
      <c r="U2368" s="2">
        <v>42490</v>
      </c>
      <c r="V2368" t="s">
        <v>71</v>
      </c>
      <c r="W2368" t="str">
        <f>"             16.5044"</f>
        <v xml:space="preserve">             16.5044</v>
      </c>
      <c r="X2368">
        <v>246.05</v>
      </c>
      <c r="Y2368">
        <v>0</v>
      </c>
      <c r="Z2368"/>
      <c r="AB2368"/>
      <c r="AC2368">
        <v>223.68</v>
      </c>
      <c r="AD2368">
        <v>-3</v>
      </c>
      <c r="AE2368">
        <v>-671.04</v>
      </c>
      <c r="AF2368">
        <v>0</v>
      </c>
      <c r="AJ2368">
        <v>0</v>
      </c>
      <c r="AK2368">
        <v>0</v>
      </c>
      <c r="AL2368">
        <v>0</v>
      </c>
      <c r="AM2368">
        <v>246.05</v>
      </c>
      <c r="AN2368">
        <v>246.05</v>
      </c>
      <c r="AO2368">
        <v>246.05</v>
      </c>
      <c r="AP2368" s="2">
        <v>42746</v>
      </c>
      <c r="AQ2368" t="s">
        <v>72</v>
      </c>
      <c r="AR2368" t="s">
        <v>72</v>
      </c>
      <c r="AS2368">
        <v>1213</v>
      </c>
      <c r="AT2368" s="4">
        <v>42487</v>
      </c>
      <c r="AV2368">
        <v>1213</v>
      </c>
      <c r="AW2368" s="4">
        <v>42487</v>
      </c>
      <c r="BD2368">
        <v>0</v>
      </c>
      <c r="BN2368" t="s">
        <v>74</v>
      </c>
    </row>
    <row r="2369" spans="1:66" hidden="1">
      <c r="A2369">
        <v>100758</v>
      </c>
      <c r="B2369" s="3" t="s">
        <v>239</v>
      </c>
      <c r="C2369" s="1">
        <v>43300101</v>
      </c>
      <c r="D2369" t="s">
        <v>67</v>
      </c>
      <c r="H2369" t="str">
        <f>"01169830336"</f>
        <v>01169830336</v>
      </c>
      <c r="I2369" t="str">
        <f>"01169830336"</f>
        <v>01169830336</v>
      </c>
      <c r="K2369" t="str">
        <f>""</f>
        <v/>
      </c>
      <c r="M2369" t="s">
        <v>68</v>
      </c>
      <c r="N2369" t="str">
        <f t="shared" si="236"/>
        <v>FOR</v>
      </c>
      <c r="O2369" t="s">
        <v>69</v>
      </c>
      <c r="P2369" s="3" t="s">
        <v>75</v>
      </c>
      <c r="Q2369">
        <v>2015</v>
      </c>
      <c r="R2369" s="2">
        <v>42124</v>
      </c>
      <c r="S2369" s="2">
        <v>42132</v>
      </c>
      <c r="T2369" s="2">
        <v>42130</v>
      </c>
      <c r="U2369" s="2">
        <v>42190</v>
      </c>
      <c r="V2369" t="s">
        <v>71</v>
      </c>
      <c r="W2369" t="str">
        <f>"                  52"</f>
        <v xml:space="preserve">                  52</v>
      </c>
      <c r="X2369" s="1">
        <v>1006.5</v>
      </c>
      <c r="Y2369">
        <v>0</v>
      </c>
      <c r="Z2369"/>
      <c r="AB2369"/>
      <c r="AC2369">
        <v>825</v>
      </c>
      <c r="AD2369">
        <v>226</v>
      </c>
      <c r="AE2369" s="1">
        <v>186450</v>
      </c>
      <c r="AF2369">
        <v>0</v>
      </c>
      <c r="AJ2369">
        <v>0</v>
      </c>
      <c r="AK2369">
        <v>0</v>
      </c>
      <c r="AL2369">
        <v>0</v>
      </c>
      <c r="AM2369">
        <v>0</v>
      </c>
      <c r="AN2369">
        <v>0</v>
      </c>
      <c r="AO2369">
        <v>0</v>
      </c>
      <c r="AP2369" s="2">
        <v>42746</v>
      </c>
      <c r="AQ2369" t="s">
        <v>72</v>
      </c>
      <c r="AR2369" t="s">
        <v>72</v>
      </c>
      <c r="AS2369">
        <v>426</v>
      </c>
      <c r="AT2369" s="4">
        <v>42416</v>
      </c>
      <c r="AU2369" t="s">
        <v>73</v>
      </c>
      <c r="AV2369">
        <v>426</v>
      </c>
      <c r="AW2369" s="4">
        <v>42416</v>
      </c>
      <c r="BD2369">
        <v>0</v>
      </c>
      <c r="BN2369" t="s">
        <v>74</v>
      </c>
    </row>
    <row r="2370" spans="1:66" hidden="1">
      <c r="A2370">
        <v>100761</v>
      </c>
      <c r="B2370" s="3" t="s">
        <v>240</v>
      </c>
      <c r="C2370" s="1">
        <v>43500101</v>
      </c>
      <c r="D2370" t="s">
        <v>113</v>
      </c>
      <c r="H2370" t="str">
        <f t="shared" ref="H2370:I2381" si="238">"00317760379"</f>
        <v>00317760379</v>
      </c>
      <c r="I2370" t="str">
        <f t="shared" si="238"/>
        <v>00317760379</v>
      </c>
      <c r="K2370" t="str">
        <f>""</f>
        <v/>
      </c>
      <c r="M2370" t="s">
        <v>68</v>
      </c>
      <c r="N2370" t="str">
        <f t="shared" ref="N2370:N2381" si="239">"ALTFIN"</f>
        <v>ALTFIN</v>
      </c>
      <c r="O2370" t="s">
        <v>123</v>
      </c>
      <c r="P2370" s="3" t="s">
        <v>84</v>
      </c>
      <c r="Q2370">
        <v>2016</v>
      </c>
      <c r="R2370" s="2">
        <v>42389</v>
      </c>
      <c r="S2370" s="2">
        <v>42390</v>
      </c>
      <c r="T2370" s="2">
        <v>42390</v>
      </c>
      <c r="U2370" s="2">
        <v>42450</v>
      </c>
      <c r="V2370" t="s">
        <v>71</v>
      </c>
      <c r="W2370" t="str">
        <f>"                0120"</f>
        <v xml:space="preserve">                0120</v>
      </c>
      <c r="X2370">
        <v>0</v>
      </c>
      <c r="Y2370" s="1">
        <v>3661</v>
      </c>
      <c r="Z2370"/>
      <c r="AB2370"/>
      <c r="AC2370" s="1">
        <v>3661</v>
      </c>
      <c r="AD2370">
        <v>-60</v>
      </c>
      <c r="AE2370" s="1">
        <v>-219660</v>
      </c>
      <c r="AF2370">
        <v>0</v>
      </c>
      <c r="AJ2370">
        <v>0</v>
      </c>
      <c r="AK2370">
        <v>0</v>
      </c>
      <c r="AL2370">
        <v>0</v>
      </c>
      <c r="AM2370" s="1">
        <v>3661</v>
      </c>
      <c r="AN2370" s="1">
        <v>3661</v>
      </c>
      <c r="AO2370" s="1">
        <v>3661</v>
      </c>
      <c r="AP2370" s="2">
        <v>42746</v>
      </c>
      <c r="AQ2370" t="s">
        <v>72</v>
      </c>
      <c r="AR2370" t="s">
        <v>72</v>
      </c>
      <c r="AS2370">
        <v>84</v>
      </c>
      <c r="AT2370" s="4">
        <v>42390</v>
      </c>
      <c r="AV2370">
        <v>84</v>
      </c>
      <c r="AW2370" s="4">
        <v>42390</v>
      </c>
      <c r="BD2370">
        <v>0</v>
      </c>
      <c r="BN2370" t="s">
        <v>74</v>
      </c>
    </row>
    <row r="2371" spans="1:66" hidden="1">
      <c r="A2371">
        <v>100761</v>
      </c>
      <c r="B2371" s="3" t="s">
        <v>240</v>
      </c>
      <c r="C2371" s="1">
        <v>43500101</v>
      </c>
      <c r="D2371" t="s">
        <v>113</v>
      </c>
      <c r="H2371" t="str">
        <f t="shared" si="238"/>
        <v>00317760379</v>
      </c>
      <c r="I2371" t="str">
        <f t="shared" si="238"/>
        <v>00317760379</v>
      </c>
      <c r="K2371" t="str">
        <f>""</f>
        <v/>
      </c>
      <c r="M2371" t="s">
        <v>68</v>
      </c>
      <c r="N2371" t="str">
        <f t="shared" si="239"/>
        <v>ALTFIN</v>
      </c>
      <c r="O2371" t="s">
        <v>123</v>
      </c>
      <c r="P2371" s="3" t="s">
        <v>85</v>
      </c>
      <c r="Q2371">
        <v>2016</v>
      </c>
      <c r="R2371" s="2">
        <v>42422</v>
      </c>
      <c r="S2371" s="2">
        <v>42422</v>
      </c>
      <c r="T2371" s="2">
        <v>42422</v>
      </c>
      <c r="U2371" s="2">
        <v>42482</v>
      </c>
      <c r="V2371" t="s">
        <v>71</v>
      </c>
      <c r="W2371" t="str">
        <f>"                0222"</f>
        <v xml:space="preserve">                0222</v>
      </c>
      <c r="X2371">
        <v>0</v>
      </c>
      <c r="Y2371" s="1">
        <v>3461</v>
      </c>
      <c r="Z2371"/>
      <c r="AB2371"/>
      <c r="AC2371" s="1">
        <v>3461</v>
      </c>
      <c r="AD2371">
        <v>-58</v>
      </c>
      <c r="AE2371" s="1">
        <v>-200738</v>
      </c>
      <c r="AF2371">
        <v>0</v>
      </c>
      <c r="AJ2371">
        <v>0</v>
      </c>
      <c r="AK2371">
        <v>0</v>
      </c>
      <c r="AL2371">
        <v>0</v>
      </c>
      <c r="AM2371" s="1">
        <v>3461</v>
      </c>
      <c r="AN2371" s="1">
        <v>3461</v>
      </c>
      <c r="AO2371" s="1">
        <v>3461</v>
      </c>
      <c r="AP2371" s="2">
        <v>42746</v>
      </c>
      <c r="AQ2371" t="s">
        <v>72</v>
      </c>
      <c r="AR2371" t="s">
        <v>72</v>
      </c>
      <c r="AS2371">
        <v>528</v>
      </c>
      <c r="AT2371" s="4">
        <v>42424</v>
      </c>
      <c r="AV2371">
        <v>528</v>
      </c>
      <c r="AW2371" s="4">
        <v>42424</v>
      </c>
      <c r="BD2371">
        <v>0</v>
      </c>
      <c r="BN2371" t="s">
        <v>74</v>
      </c>
    </row>
    <row r="2372" spans="1:66" hidden="1">
      <c r="A2372">
        <v>100761</v>
      </c>
      <c r="B2372" s="3" t="s">
        <v>240</v>
      </c>
      <c r="C2372" s="1">
        <v>43500101</v>
      </c>
      <c r="D2372" t="s">
        <v>113</v>
      </c>
      <c r="H2372" t="str">
        <f t="shared" si="238"/>
        <v>00317760379</v>
      </c>
      <c r="I2372" t="str">
        <f t="shared" si="238"/>
        <v>00317760379</v>
      </c>
      <c r="K2372" t="str">
        <f>""</f>
        <v/>
      </c>
      <c r="M2372" t="s">
        <v>68</v>
      </c>
      <c r="N2372" t="str">
        <f t="shared" si="239"/>
        <v>ALTFIN</v>
      </c>
      <c r="O2372" t="s">
        <v>123</v>
      </c>
      <c r="P2372" s="3" t="s">
        <v>86</v>
      </c>
      <c r="Q2372">
        <v>2016</v>
      </c>
      <c r="R2372" s="2">
        <v>42450</v>
      </c>
      <c r="S2372" s="2">
        <v>42450</v>
      </c>
      <c r="T2372" s="2">
        <v>42450</v>
      </c>
      <c r="U2372" s="2">
        <v>42510</v>
      </c>
      <c r="V2372" t="s">
        <v>71</v>
      </c>
      <c r="W2372" t="str">
        <f>"                0321"</f>
        <v xml:space="preserve">                0321</v>
      </c>
      <c r="X2372">
        <v>0</v>
      </c>
      <c r="Y2372" s="1">
        <v>3461</v>
      </c>
      <c r="Z2372"/>
      <c r="AB2372"/>
      <c r="AC2372" s="1">
        <v>3461</v>
      </c>
      <c r="AD2372">
        <v>-57</v>
      </c>
      <c r="AE2372" s="1">
        <v>-197277</v>
      </c>
      <c r="AF2372">
        <v>0</v>
      </c>
      <c r="AJ2372">
        <v>0</v>
      </c>
      <c r="AK2372">
        <v>0</v>
      </c>
      <c r="AL2372">
        <v>0</v>
      </c>
      <c r="AM2372" s="1">
        <v>3461</v>
      </c>
      <c r="AN2372" s="1">
        <v>3461</v>
      </c>
      <c r="AO2372" s="1">
        <v>3461</v>
      </c>
      <c r="AP2372" s="2">
        <v>42746</v>
      </c>
      <c r="AQ2372" t="s">
        <v>72</v>
      </c>
      <c r="AR2372" t="s">
        <v>72</v>
      </c>
      <c r="AS2372">
        <v>950</v>
      </c>
      <c r="AT2372" s="4">
        <v>42453</v>
      </c>
      <c r="AV2372">
        <v>950</v>
      </c>
      <c r="AW2372" s="4">
        <v>42453</v>
      </c>
      <c r="BD2372">
        <v>0</v>
      </c>
      <c r="BN2372" t="s">
        <v>74</v>
      </c>
    </row>
    <row r="2373" spans="1:66" hidden="1">
      <c r="A2373">
        <v>100761</v>
      </c>
      <c r="B2373" s="3" t="s">
        <v>240</v>
      </c>
      <c r="C2373" s="1">
        <v>43500101</v>
      </c>
      <c r="D2373" t="s">
        <v>113</v>
      </c>
      <c r="H2373" t="str">
        <f t="shared" si="238"/>
        <v>00317760379</v>
      </c>
      <c r="I2373" t="str">
        <f t="shared" si="238"/>
        <v>00317760379</v>
      </c>
      <c r="K2373" t="str">
        <f>""</f>
        <v/>
      </c>
      <c r="M2373" t="s">
        <v>68</v>
      </c>
      <c r="N2373" t="str">
        <f t="shared" si="239"/>
        <v>ALTFIN</v>
      </c>
      <c r="O2373" t="s">
        <v>123</v>
      </c>
      <c r="P2373" s="3" t="s">
        <v>87</v>
      </c>
      <c r="Q2373">
        <v>2016</v>
      </c>
      <c r="R2373" s="2">
        <v>42481</v>
      </c>
      <c r="S2373" s="2">
        <v>42481</v>
      </c>
      <c r="T2373" s="2">
        <v>42481</v>
      </c>
      <c r="U2373" s="2">
        <v>42541</v>
      </c>
      <c r="V2373" t="s">
        <v>71</v>
      </c>
      <c r="W2373" t="str">
        <f>"                0421"</f>
        <v xml:space="preserve">                0421</v>
      </c>
      <c r="X2373">
        <v>0</v>
      </c>
      <c r="Y2373" s="1">
        <v>3201</v>
      </c>
      <c r="Z2373"/>
      <c r="AB2373"/>
      <c r="AC2373" s="1">
        <v>3201</v>
      </c>
      <c r="AD2373">
        <v>-60</v>
      </c>
      <c r="AE2373" s="1">
        <v>-192060</v>
      </c>
      <c r="AF2373">
        <v>0</v>
      </c>
      <c r="AJ2373">
        <v>0</v>
      </c>
      <c r="AK2373">
        <v>0</v>
      </c>
      <c r="AL2373">
        <v>0</v>
      </c>
      <c r="AM2373" s="1">
        <v>3201</v>
      </c>
      <c r="AN2373" s="1">
        <v>3201</v>
      </c>
      <c r="AO2373" s="1">
        <v>3201</v>
      </c>
      <c r="AP2373" s="2">
        <v>42746</v>
      </c>
      <c r="AQ2373" t="s">
        <v>72</v>
      </c>
      <c r="AR2373" t="s">
        <v>72</v>
      </c>
      <c r="AS2373">
        <v>1115</v>
      </c>
      <c r="AT2373" s="4">
        <v>42481</v>
      </c>
      <c r="AV2373">
        <v>1115</v>
      </c>
      <c r="AW2373" s="4">
        <v>42481</v>
      </c>
      <c r="BD2373">
        <v>0</v>
      </c>
      <c r="BN2373" t="s">
        <v>74</v>
      </c>
    </row>
    <row r="2374" spans="1:66" hidden="1">
      <c r="A2374">
        <v>100761</v>
      </c>
      <c r="B2374" s="3" t="s">
        <v>240</v>
      </c>
      <c r="C2374" s="1">
        <v>43500101</v>
      </c>
      <c r="D2374" t="s">
        <v>113</v>
      </c>
      <c r="H2374" t="str">
        <f t="shared" si="238"/>
        <v>00317760379</v>
      </c>
      <c r="I2374" t="str">
        <f t="shared" si="238"/>
        <v>00317760379</v>
      </c>
      <c r="K2374" t="str">
        <f>""</f>
        <v/>
      </c>
      <c r="M2374" t="s">
        <v>68</v>
      </c>
      <c r="N2374" t="str">
        <f t="shared" si="239"/>
        <v>ALTFIN</v>
      </c>
      <c r="O2374" t="s">
        <v>123</v>
      </c>
      <c r="P2374" s="3" t="s">
        <v>88</v>
      </c>
      <c r="Q2374">
        <v>2016</v>
      </c>
      <c r="R2374" s="2">
        <v>42508</v>
      </c>
      <c r="S2374" s="2">
        <v>42510</v>
      </c>
      <c r="T2374" s="2">
        <v>42510</v>
      </c>
      <c r="U2374" s="2">
        <v>42570</v>
      </c>
      <c r="V2374" t="s">
        <v>71</v>
      </c>
      <c r="W2374" t="str">
        <f>"                0518"</f>
        <v xml:space="preserve">                0518</v>
      </c>
      <c r="X2374">
        <v>0</v>
      </c>
      <c r="Y2374" s="1">
        <v>3201</v>
      </c>
      <c r="Z2374"/>
      <c r="AB2374"/>
      <c r="AC2374" s="1">
        <v>3201</v>
      </c>
      <c r="AD2374">
        <v>-57</v>
      </c>
      <c r="AE2374" s="1">
        <v>-182457</v>
      </c>
      <c r="AF2374">
        <v>0</v>
      </c>
      <c r="AJ2374">
        <v>0</v>
      </c>
      <c r="AK2374">
        <v>0</v>
      </c>
      <c r="AL2374">
        <v>0</v>
      </c>
      <c r="AM2374" s="1">
        <v>3201</v>
      </c>
      <c r="AN2374" s="1">
        <v>3201</v>
      </c>
      <c r="AO2374" s="1">
        <v>3201</v>
      </c>
      <c r="AP2374" s="2">
        <v>42746</v>
      </c>
      <c r="AQ2374" t="s">
        <v>72</v>
      </c>
      <c r="AR2374" t="s">
        <v>72</v>
      </c>
      <c r="AS2374">
        <v>1353</v>
      </c>
      <c r="AT2374" s="4">
        <v>42513</v>
      </c>
      <c r="AV2374">
        <v>1353</v>
      </c>
      <c r="AW2374" s="4">
        <v>42513</v>
      </c>
      <c r="BD2374">
        <v>0</v>
      </c>
      <c r="BN2374" t="s">
        <v>74</v>
      </c>
    </row>
    <row r="2375" spans="1:66" hidden="1">
      <c r="A2375">
        <v>100761</v>
      </c>
      <c r="B2375" s="3" t="s">
        <v>240</v>
      </c>
      <c r="C2375" s="1">
        <v>43500101</v>
      </c>
      <c r="D2375" t="s">
        <v>113</v>
      </c>
      <c r="H2375" t="str">
        <f t="shared" si="238"/>
        <v>00317760379</v>
      </c>
      <c r="I2375" t="str">
        <f t="shared" si="238"/>
        <v>00317760379</v>
      </c>
      <c r="K2375" t="str">
        <f>""</f>
        <v/>
      </c>
      <c r="M2375" t="s">
        <v>68</v>
      </c>
      <c r="N2375" t="str">
        <f t="shared" si="239"/>
        <v>ALTFIN</v>
      </c>
      <c r="O2375" t="s">
        <v>123</v>
      </c>
      <c r="P2375" s="3" t="s">
        <v>89</v>
      </c>
      <c r="Q2375">
        <v>2016</v>
      </c>
      <c r="R2375" s="2">
        <v>42548</v>
      </c>
      <c r="S2375" s="2">
        <v>42543</v>
      </c>
      <c r="T2375" s="2">
        <v>42543</v>
      </c>
      <c r="U2375" s="2">
        <v>42603</v>
      </c>
      <c r="V2375" t="s">
        <v>71</v>
      </c>
      <c r="W2375" t="str">
        <f>"                0627"</f>
        <v xml:space="preserve">                0627</v>
      </c>
      <c r="X2375">
        <v>0</v>
      </c>
      <c r="Y2375" s="1">
        <v>3201</v>
      </c>
      <c r="Z2375"/>
      <c r="AB2375"/>
      <c r="AC2375" s="1">
        <v>3201</v>
      </c>
      <c r="AD2375">
        <v>-47</v>
      </c>
      <c r="AE2375" s="1">
        <v>-150447</v>
      </c>
      <c r="AF2375">
        <v>0</v>
      </c>
      <c r="AJ2375">
        <v>0</v>
      </c>
      <c r="AK2375">
        <v>0</v>
      </c>
      <c r="AL2375">
        <v>0</v>
      </c>
      <c r="AM2375" s="1">
        <v>3201</v>
      </c>
      <c r="AN2375" s="1">
        <v>3201</v>
      </c>
      <c r="AO2375" s="1">
        <v>3201</v>
      </c>
      <c r="AP2375" s="2">
        <v>42746</v>
      </c>
      <c r="AQ2375" t="s">
        <v>72</v>
      </c>
      <c r="AR2375" t="s">
        <v>72</v>
      </c>
      <c r="AS2375">
        <v>1736</v>
      </c>
      <c r="AT2375" s="4">
        <v>42556</v>
      </c>
      <c r="AV2375">
        <v>1736</v>
      </c>
      <c r="AW2375" s="4">
        <v>42556</v>
      </c>
      <c r="BD2375">
        <v>0</v>
      </c>
      <c r="BN2375" t="s">
        <v>74</v>
      </c>
    </row>
    <row r="2376" spans="1:66" hidden="1">
      <c r="A2376">
        <v>100761</v>
      </c>
      <c r="B2376" s="3" t="s">
        <v>240</v>
      </c>
      <c r="C2376" s="1">
        <v>43500101</v>
      </c>
      <c r="D2376" t="s">
        <v>113</v>
      </c>
      <c r="H2376" t="str">
        <f t="shared" si="238"/>
        <v>00317760379</v>
      </c>
      <c r="I2376" t="str">
        <f t="shared" si="238"/>
        <v>00317760379</v>
      </c>
      <c r="K2376" t="str">
        <f>""</f>
        <v/>
      </c>
      <c r="M2376" t="s">
        <v>68</v>
      </c>
      <c r="N2376" t="str">
        <f t="shared" si="239"/>
        <v>ALTFIN</v>
      </c>
      <c r="O2376" t="s">
        <v>123</v>
      </c>
      <c r="P2376" s="3" t="s">
        <v>90</v>
      </c>
      <c r="Q2376">
        <v>2016</v>
      </c>
      <c r="R2376" s="2">
        <v>42573</v>
      </c>
      <c r="S2376" s="2">
        <v>42573</v>
      </c>
      <c r="T2376" s="2">
        <v>42573</v>
      </c>
      <c r="U2376" s="2">
        <v>42633</v>
      </c>
      <c r="V2376" t="s">
        <v>71</v>
      </c>
      <c r="W2376" t="str">
        <f>"                0722"</f>
        <v xml:space="preserve">                0722</v>
      </c>
      <c r="X2376">
        <v>0</v>
      </c>
      <c r="Y2376" s="1">
        <v>3201</v>
      </c>
      <c r="Z2376"/>
      <c r="AB2376"/>
      <c r="AC2376" s="1">
        <v>3201</v>
      </c>
      <c r="AD2376">
        <v>-48</v>
      </c>
      <c r="AE2376" s="1">
        <v>-153648</v>
      </c>
      <c r="AF2376">
        <v>0</v>
      </c>
      <c r="AJ2376">
        <v>0</v>
      </c>
      <c r="AK2376">
        <v>0</v>
      </c>
      <c r="AL2376">
        <v>0</v>
      </c>
      <c r="AM2376" s="1">
        <v>3201</v>
      </c>
      <c r="AN2376" s="1">
        <v>3201</v>
      </c>
      <c r="AO2376" s="1">
        <v>3201</v>
      </c>
      <c r="AP2376" s="2">
        <v>42746</v>
      </c>
      <c r="AQ2376" t="s">
        <v>72</v>
      </c>
      <c r="AR2376" t="s">
        <v>72</v>
      </c>
      <c r="AS2376">
        <v>2134</v>
      </c>
      <c r="AT2376" s="4">
        <v>42585</v>
      </c>
      <c r="AV2376">
        <v>2134</v>
      </c>
      <c r="AW2376" s="4">
        <v>42585</v>
      </c>
      <c r="BD2376">
        <v>0</v>
      </c>
      <c r="BN2376" t="s">
        <v>74</v>
      </c>
    </row>
    <row r="2377" spans="1:66" hidden="1">
      <c r="A2377">
        <v>100761</v>
      </c>
      <c r="B2377" s="3" t="s">
        <v>240</v>
      </c>
      <c r="C2377" s="1">
        <v>43500101</v>
      </c>
      <c r="D2377" t="s">
        <v>113</v>
      </c>
      <c r="H2377" t="str">
        <f t="shared" si="238"/>
        <v>00317760379</v>
      </c>
      <c r="I2377" t="str">
        <f t="shared" si="238"/>
        <v>00317760379</v>
      </c>
      <c r="K2377" t="str">
        <f>""</f>
        <v/>
      </c>
      <c r="M2377" t="s">
        <v>68</v>
      </c>
      <c r="N2377" t="str">
        <f t="shared" si="239"/>
        <v>ALTFIN</v>
      </c>
      <c r="O2377" t="s">
        <v>123</v>
      </c>
      <c r="P2377" s="3" t="s">
        <v>91</v>
      </c>
      <c r="Q2377">
        <v>2016</v>
      </c>
      <c r="R2377" s="2">
        <v>42592</v>
      </c>
      <c r="S2377" s="2">
        <v>42598</v>
      </c>
      <c r="T2377" s="2">
        <v>42598</v>
      </c>
      <c r="U2377" s="2">
        <v>42658</v>
      </c>
      <c r="V2377" t="s">
        <v>71</v>
      </c>
      <c r="W2377" t="str">
        <f>"                0810"</f>
        <v xml:space="preserve">                0810</v>
      </c>
      <c r="X2377">
        <v>0</v>
      </c>
      <c r="Y2377" s="1">
        <v>3201</v>
      </c>
      <c r="Z2377"/>
      <c r="AB2377"/>
      <c r="AC2377" s="1">
        <v>3201</v>
      </c>
      <c r="AD2377">
        <v>-60</v>
      </c>
      <c r="AE2377" s="1">
        <v>-192060</v>
      </c>
      <c r="AF2377">
        <v>0</v>
      </c>
      <c r="AJ2377">
        <v>0</v>
      </c>
      <c r="AK2377">
        <v>0</v>
      </c>
      <c r="AL2377">
        <v>0</v>
      </c>
      <c r="AM2377" s="1">
        <v>3201</v>
      </c>
      <c r="AN2377" s="1">
        <v>3201</v>
      </c>
      <c r="AO2377" s="1">
        <v>3201</v>
      </c>
      <c r="AP2377" s="2">
        <v>42746</v>
      </c>
      <c r="AQ2377" t="s">
        <v>72</v>
      </c>
      <c r="AR2377" t="s">
        <v>72</v>
      </c>
      <c r="AS2377">
        <v>2217</v>
      </c>
      <c r="AT2377" s="4">
        <v>42598</v>
      </c>
      <c r="AV2377">
        <v>2217</v>
      </c>
      <c r="AW2377" s="4">
        <v>42598</v>
      </c>
      <c r="BD2377">
        <v>0</v>
      </c>
      <c r="BN2377" t="s">
        <v>74</v>
      </c>
    </row>
    <row r="2378" spans="1:66" hidden="1">
      <c r="A2378">
        <v>100761</v>
      </c>
      <c r="B2378" s="3" t="s">
        <v>240</v>
      </c>
      <c r="C2378" s="1">
        <v>43500101</v>
      </c>
      <c r="D2378" t="s">
        <v>113</v>
      </c>
      <c r="H2378" t="str">
        <f t="shared" si="238"/>
        <v>00317760379</v>
      </c>
      <c r="I2378" t="str">
        <f t="shared" si="238"/>
        <v>00317760379</v>
      </c>
      <c r="K2378" t="str">
        <f>""</f>
        <v/>
      </c>
      <c r="M2378" t="s">
        <v>68</v>
      </c>
      <c r="N2378" t="str">
        <f t="shared" si="239"/>
        <v>ALTFIN</v>
      </c>
      <c r="O2378" t="s">
        <v>123</v>
      </c>
      <c r="P2378" s="3" t="s">
        <v>92</v>
      </c>
      <c r="Q2378">
        <v>2016</v>
      </c>
      <c r="R2378" s="2">
        <v>42633</v>
      </c>
      <c r="S2378" s="2">
        <v>42634</v>
      </c>
      <c r="T2378" s="2">
        <v>42634</v>
      </c>
      <c r="U2378" s="2">
        <v>42694</v>
      </c>
      <c r="V2378" t="s">
        <v>71</v>
      </c>
      <c r="W2378" t="str">
        <f>"                0920"</f>
        <v xml:space="preserve">                0920</v>
      </c>
      <c r="X2378">
        <v>0</v>
      </c>
      <c r="Y2378" s="1">
        <v>3201</v>
      </c>
      <c r="Z2378"/>
      <c r="AB2378"/>
      <c r="AC2378" s="1">
        <v>3201</v>
      </c>
      <c r="AD2378">
        <v>-60</v>
      </c>
      <c r="AE2378" s="1">
        <v>-192060</v>
      </c>
      <c r="AF2378">
        <v>0</v>
      </c>
      <c r="AJ2378">
        <v>0</v>
      </c>
      <c r="AK2378">
        <v>0</v>
      </c>
      <c r="AL2378">
        <v>0</v>
      </c>
      <c r="AM2378" s="1">
        <v>3201</v>
      </c>
      <c r="AN2378" s="1">
        <v>3201</v>
      </c>
      <c r="AO2378" s="1">
        <v>3201</v>
      </c>
      <c r="AP2378" s="2">
        <v>42746</v>
      </c>
      <c r="AQ2378" t="s">
        <v>72</v>
      </c>
      <c r="AR2378" t="s">
        <v>72</v>
      </c>
      <c r="AS2378">
        <v>2490</v>
      </c>
      <c r="AT2378" s="4">
        <v>42634</v>
      </c>
      <c r="AV2378">
        <v>2490</v>
      </c>
      <c r="AW2378" s="4">
        <v>42634</v>
      </c>
      <c r="BD2378">
        <v>0</v>
      </c>
      <c r="BN2378" t="s">
        <v>74</v>
      </c>
    </row>
    <row r="2379" spans="1:66" hidden="1">
      <c r="A2379">
        <v>100761</v>
      </c>
      <c r="B2379" s="3" t="s">
        <v>240</v>
      </c>
      <c r="C2379" s="1">
        <v>43500101</v>
      </c>
      <c r="D2379" t="s">
        <v>113</v>
      </c>
      <c r="H2379" t="str">
        <f t="shared" si="238"/>
        <v>00317760379</v>
      </c>
      <c r="I2379" t="str">
        <f t="shared" si="238"/>
        <v>00317760379</v>
      </c>
      <c r="K2379" t="str">
        <f>""</f>
        <v/>
      </c>
      <c r="M2379" t="s">
        <v>68</v>
      </c>
      <c r="N2379" t="str">
        <f t="shared" si="239"/>
        <v>ALTFIN</v>
      </c>
      <c r="O2379" t="s">
        <v>123</v>
      </c>
      <c r="P2379" s="3" t="s">
        <v>93</v>
      </c>
      <c r="Q2379">
        <v>2016</v>
      </c>
      <c r="R2379" s="2">
        <v>42664</v>
      </c>
      <c r="S2379" s="2">
        <v>42667</v>
      </c>
      <c r="T2379" s="2">
        <v>42667</v>
      </c>
      <c r="U2379" s="2">
        <v>42727</v>
      </c>
      <c r="V2379" t="s">
        <v>71</v>
      </c>
      <c r="W2379" t="str">
        <f>"                1021"</f>
        <v xml:space="preserve">                1021</v>
      </c>
      <c r="X2379">
        <v>0</v>
      </c>
      <c r="Y2379" s="1">
        <v>3201</v>
      </c>
      <c r="Z2379" s="5">
        <v>3201</v>
      </c>
      <c r="AA2379">
        <v>-60</v>
      </c>
      <c r="AB2379" s="5">
        <v>-192060</v>
      </c>
      <c r="AC2379" s="1">
        <v>3201</v>
      </c>
      <c r="AD2379">
        <v>-60</v>
      </c>
      <c r="AE2379" s="1">
        <v>-192060</v>
      </c>
      <c r="AF2379">
        <v>0</v>
      </c>
      <c r="AJ2379" s="1">
        <v>3201</v>
      </c>
      <c r="AK2379" s="1">
        <v>3201</v>
      </c>
      <c r="AL2379" s="1">
        <v>3201</v>
      </c>
      <c r="AM2379" s="1">
        <v>3201</v>
      </c>
      <c r="AN2379" s="1">
        <v>3201</v>
      </c>
      <c r="AO2379" s="1">
        <v>3201</v>
      </c>
      <c r="AP2379" s="2">
        <v>42746</v>
      </c>
      <c r="AQ2379" t="s">
        <v>72</v>
      </c>
      <c r="AR2379" t="s">
        <v>72</v>
      </c>
      <c r="AS2379">
        <v>2838</v>
      </c>
      <c r="AT2379" s="4">
        <v>42667</v>
      </c>
      <c r="AV2379">
        <v>2838</v>
      </c>
      <c r="AW2379" s="4">
        <v>42667</v>
      </c>
      <c r="BD2379">
        <v>0</v>
      </c>
      <c r="BN2379" t="s">
        <v>74</v>
      </c>
    </row>
    <row r="2380" spans="1:66" hidden="1">
      <c r="A2380">
        <v>100761</v>
      </c>
      <c r="B2380" s="3" t="s">
        <v>240</v>
      </c>
      <c r="C2380" s="1">
        <v>43500101</v>
      </c>
      <c r="D2380" t="s">
        <v>113</v>
      </c>
      <c r="H2380" t="str">
        <f t="shared" si="238"/>
        <v>00317760379</v>
      </c>
      <c r="I2380" t="str">
        <f t="shared" si="238"/>
        <v>00317760379</v>
      </c>
      <c r="K2380" t="str">
        <f>""</f>
        <v/>
      </c>
      <c r="M2380" t="s">
        <v>68</v>
      </c>
      <c r="N2380" t="str">
        <f t="shared" si="239"/>
        <v>ALTFIN</v>
      </c>
      <c r="O2380" t="s">
        <v>123</v>
      </c>
      <c r="P2380" s="3" t="s">
        <v>94</v>
      </c>
      <c r="Q2380">
        <v>2016</v>
      </c>
      <c r="R2380" s="2">
        <v>42696</v>
      </c>
      <c r="S2380" s="2">
        <v>42696</v>
      </c>
      <c r="T2380" s="2">
        <v>42696</v>
      </c>
      <c r="U2380" s="2">
        <v>42756</v>
      </c>
      <c r="V2380" t="s">
        <v>71</v>
      </c>
      <c r="W2380" t="str">
        <f>"                1122"</f>
        <v xml:space="preserve">                1122</v>
      </c>
      <c r="X2380">
        <v>0</v>
      </c>
      <c r="Y2380" s="1">
        <v>3201</v>
      </c>
      <c r="Z2380" s="5">
        <v>3201</v>
      </c>
      <c r="AA2380">
        <v>-59</v>
      </c>
      <c r="AB2380" s="5">
        <v>-188859</v>
      </c>
      <c r="AC2380" s="1">
        <v>3201</v>
      </c>
      <c r="AD2380">
        <v>-59</v>
      </c>
      <c r="AE2380" s="1">
        <v>-188859</v>
      </c>
      <c r="AF2380">
        <v>0</v>
      </c>
      <c r="AJ2380" s="1">
        <v>3201</v>
      </c>
      <c r="AK2380" s="1">
        <v>3201</v>
      </c>
      <c r="AL2380" s="1">
        <v>3201</v>
      </c>
      <c r="AM2380" s="1">
        <v>3201</v>
      </c>
      <c r="AN2380" s="1">
        <v>3201</v>
      </c>
      <c r="AO2380" s="1">
        <v>3201</v>
      </c>
      <c r="AP2380" s="2">
        <v>42746</v>
      </c>
      <c r="AQ2380" t="s">
        <v>72</v>
      </c>
      <c r="AR2380" t="s">
        <v>72</v>
      </c>
      <c r="AS2380">
        <v>3276</v>
      </c>
      <c r="AT2380" s="4">
        <v>42697</v>
      </c>
      <c r="AV2380">
        <v>3276</v>
      </c>
      <c r="AW2380" s="4">
        <v>42697</v>
      </c>
      <c r="BD2380">
        <v>0</v>
      </c>
      <c r="BN2380" t="s">
        <v>74</v>
      </c>
    </row>
    <row r="2381" spans="1:66" hidden="1">
      <c r="A2381">
        <v>100761</v>
      </c>
      <c r="B2381" s="3" t="s">
        <v>240</v>
      </c>
      <c r="C2381" s="1">
        <v>43500101</v>
      </c>
      <c r="D2381" t="s">
        <v>113</v>
      </c>
      <c r="H2381" t="str">
        <f t="shared" si="238"/>
        <v>00317760379</v>
      </c>
      <c r="I2381" t="str">
        <f t="shared" si="238"/>
        <v>00317760379</v>
      </c>
      <c r="K2381" t="str">
        <f>""</f>
        <v/>
      </c>
      <c r="M2381" t="s">
        <v>68</v>
      </c>
      <c r="N2381" t="str">
        <f t="shared" si="239"/>
        <v>ALTFIN</v>
      </c>
      <c r="O2381" t="s">
        <v>123</v>
      </c>
      <c r="P2381" s="3" t="s">
        <v>95</v>
      </c>
      <c r="Q2381">
        <v>2016</v>
      </c>
      <c r="R2381" s="2">
        <v>42717</v>
      </c>
      <c r="S2381" s="2">
        <v>42717</v>
      </c>
      <c r="T2381" s="2">
        <v>42717</v>
      </c>
      <c r="U2381" s="2">
        <v>42777</v>
      </c>
      <c r="V2381" t="s">
        <v>71</v>
      </c>
      <c r="W2381" t="str">
        <f>"                1213"</f>
        <v xml:space="preserve">                1213</v>
      </c>
      <c r="X2381">
        <v>0</v>
      </c>
      <c r="Y2381" s="1">
        <v>3201</v>
      </c>
      <c r="Z2381" s="5">
        <v>3201</v>
      </c>
      <c r="AA2381">
        <v>-59</v>
      </c>
      <c r="AB2381" s="5">
        <v>-188859</v>
      </c>
      <c r="AC2381" s="1">
        <v>3201</v>
      </c>
      <c r="AD2381">
        <v>-59</v>
      </c>
      <c r="AE2381" s="1">
        <v>-188859</v>
      </c>
      <c r="AF2381">
        <v>0</v>
      </c>
      <c r="AJ2381" s="1">
        <v>3201</v>
      </c>
      <c r="AK2381" s="1">
        <v>3201</v>
      </c>
      <c r="AL2381" s="1">
        <v>3201</v>
      </c>
      <c r="AM2381" s="1">
        <v>3201</v>
      </c>
      <c r="AN2381" s="1">
        <v>3201</v>
      </c>
      <c r="AO2381" s="1">
        <v>3201</v>
      </c>
      <c r="AP2381" s="2">
        <v>42746</v>
      </c>
      <c r="AQ2381" t="s">
        <v>72</v>
      </c>
      <c r="AR2381" t="s">
        <v>72</v>
      </c>
      <c r="AS2381">
        <v>3433</v>
      </c>
      <c r="AT2381" s="4">
        <v>42718</v>
      </c>
      <c r="AV2381">
        <v>3433</v>
      </c>
      <c r="AW2381" s="4">
        <v>42718</v>
      </c>
      <c r="BD2381">
        <v>0</v>
      </c>
      <c r="BN2381" t="s">
        <v>74</v>
      </c>
    </row>
    <row r="2382" spans="1:66" hidden="1">
      <c r="A2382">
        <v>100771</v>
      </c>
      <c r="B2382" s="3" t="s">
        <v>241</v>
      </c>
      <c r="C2382" s="1">
        <v>43500101</v>
      </c>
      <c r="D2382" t="s">
        <v>113</v>
      </c>
      <c r="H2382" t="str">
        <f>"GRMVCN49E12F352O"</f>
        <v>GRMVCN49E12F352O</v>
      </c>
      <c r="I2382" t="str">
        <f>"04183450636"</f>
        <v>04183450636</v>
      </c>
      <c r="K2382" t="str">
        <f>""</f>
        <v/>
      </c>
      <c r="M2382" t="s">
        <v>68</v>
      </c>
      <c r="N2382" t="str">
        <f>"ALTPRO"</f>
        <v>ALTPRO</v>
      </c>
      <c r="O2382" t="s">
        <v>132</v>
      </c>
      <c r="P2382" s="3" t="s">
        <v>75</v>
      </c>
      <c r="Q2382">
        <v>2016</v>
      </c>
      <c r="R2382" s="2">
        <v>42401</v>
      </c>
      <c r="S2382" s="2">
        <v>42410</v>
      </c>
      <c r="T2382" s="2">
        <v>42401</v>
      </c>
      <c r="U2382" s="2">
        <v>42461</v>
      </c>
      <c r="V2382" t="s">
        <v>71</v>
      </c>
      <c r="W2382" t="str">
        <f>"         FATTPA 5_16"</f>
        <v xml:space="preserve">         FATTPA 5_16</v>
      </c>
      <c r="X2382" s="1">
        <v>13949.99</v>
      </c>
      <c r="Y2382" s="1">
        <v>-2198.9299999999998</v>
      </c>
      <c r="Z2382"/>
      <c r="AB2382"/>
      <c r="AC2382" s="1">
        <v>11751.06</v>
      </c>
      <c r="AD2382">
        <v>-10</v>
      </c>
      <c r="AE2382" s="1">
        <v>-117510.6</v>
      </c>
      <c r="AF2382">
        <v>0</v>
      </c>
      <c r="AJ2382">
        <v>0</v>
      </c>
      <c r="AK2382">
        <v>0</v>
      </c>
      <c r="AL2382">
        <v>0</v>
      </c>
      <c r="AM2382" s="1">
        <v>11751.06</v>
      </c>
      <c r="AN2382" s="1">
        <v>11751.06</v>
      </c>
      <c r="AO2382" s="1">
        <v>11751.06</v>
      </c>
      <c r="AP2382" s="2">
        <v>42746</v>
      </c>
      <c r="AQ2382" t="s">
        <v>72</v>
      </c>
      <c r="AR2382" t="s">
        <v>72</v>
      </c>
      <c r="AS2382">
        <v>753</v>
      </c>
      <c r="AT2382" s="4">
        <v>42451</v>
      </c>
      <c r="AV2382">
        <v>753</v>
      </c>
      <c r="AW2382" s="4">
        <v>42451</v>
      </c>
      <c r="BD2382">
        <v>0</v>
      </c>
      <c r="BN2382" t="s">
        <v>74</v>
      </c>
    </row>
    <row r="2383" spans="1:66" hidden="1">
      <c r="A2383">
        <v>100771</v>
      </c>
      <c r="B2383" s="3" t="s">
        <v>241</v>
      </c>
      <c r="C2383" s="1">
        <v>43500101</v>
      </c>
      <c r="D2383" t="s">
        <v>113</v>
      </c>
      <c r="H2383" t="str">
        <f>"GRMVCN49E12F352O"</f>
        <v>GRMVCN49E12F352O</v>
      </c>
      <c r="I2383" t="str">
        <f>"04183450636"</f>
        <v>04183450636</v>
      </c>
      <c r="K2383" t="str">
        <f>""</f>
        <v/>
      </c>
      <c r="M2383" t="s">
        <v>68</v>
      </c>
      <c r="N2383" t="str">
        <f>"ALTPRO"</f>
        <v>ALTPRO</v>
      </c>
      <c r="O2383" t="s">
        <v>132</v>
      </c>
      <c r="P2383" s="3" t="s">
        <v>75</v>
      </c>
      <c r="Q2383">
        <v>2016</v>
      </c>
      <c r="R2383" s="2">
        <v>42403</v>
      </c>
      <c r="S2383" s="2">
        <v>42404</v>
      </c>
      <c r="T2383" s="2">
        <v>42403</v>
      </c>
      <c r="U2383" s="2">
        <v>42463</v>
      </c>
      <c r="V2383" t="s">
        <v>71</v>
      </c>
      <c r="W2383" t="str">
        <f>"         FATTPA 6_16"</f>
        <v xml:space="preserve">         FATTPA 6_16</v>
      </c>
      <c r="X2383" s="1">
        <v>1334.9</v>
      </c>
      <c r="Y2383">
        <v>-199.12</v>
      </c>
      <c r="Z2383"/>
      <c r="AB2383"/>
      <c r="AC2383" s="1">
        <v>1135.78</v>
      </c>
      <c r="AD2383">
        <v>-30</v>
      </c>
      <c r="AE2383" s="1">
        <v>-34073.4</v>
      </c>
      <c r="AF2383">
        <v>0</v>
      </c>
      <c r="AJ2383">
        <v>0</v>
      </c>
      <c r="AK2383">
        <v>0</v>
      </c>
      <c r="AL2383">
        <v>0</v>
      </c>
      <c r="AM2383" s="1">
        <v>1135.78</v>
      </c>
      <c r="AN2383" s="1">
        <v>1135.78</v>
      </c>
      <c r="AO2383" s="1">
        <v>1135.78</v>
      </c>
      <c r="AP2383" s="2">
        <v>42746</v>
      </c>
      <c r="AQ2383" t="s">
        <v>72</v>
      </c>
      <c r="AR2383" t="s">
        <v>72</v>
      </c>
      <c r="AS2383">
        <v>664</v>
      </c>
      <c r="AT2383" s="4">
        <v>42433</v>
      </c>
      <c r="AV2383">
        <v>664</v>
      </c>
      <c r="AW2383" s="4">
        <v>42433</v>
      </c>
      <c r="BD2383">
        <v>0</v>
      </c>
      <c r="BN2383" t="s">
        <v>74</v>
      </c>
    </row>
    <row r="2384" spans="1:66">
      <c r="A2384">
        <v>100771</v>
      </c>
      <c r="B2384" s="3" t="s">
        <v>241</v>
      </c>
      <c r="C2384" s="1">
        <v>43500101</v>
      </c>
      <c r="D2384" t="s">
        <v>113</v>
      </c>
      <c r="H2384" t="str">
        <f>"GRMVCN49E12F352O"</f>
        <v>GRMVCN49E12F352O</v>
      </c>
      <c r="I2384" t="str">
        <f>"04183450636"</f>
        <v>04183450636</v>
      </c>
      <c r="K2384" t="str">
        <f>""</f>
        <v/>
      </c>
      <c r="M2384" t="s">
        <v>68</v>
      </c>
      <c r="N2384" t="str">
        <f>"ALTPRO"</f>
        <v>ALTPRO</v>
      </c>
      <c r="O2384" t="s">
        <v>132</v>
      </c>
      <c r="P2384" s="3" t="s">
        <v>75</v>
      </c>
      <c r="Q2384">
        <v>2016</v>
      </c>
      <c r="R2384" s="2">
        <v>42541</v>
      </c>
      <c r="S2384" s="2">
        <v>42542</v>
      </c>
      <c r="T2384" s="2">
        <v>42541</v>
      </c>
      <c r="U2384" s="2">
        <v>42601</v>
      </c>
      <c r="V2384" t="s">
        <v>71</v>
      </c>
      <c r="W2384" t="str">
        <f>"        FATTPA 26_16"</f>
        <v xml:space="preserve">        FATTPA 26_16</v>
      </c>
      <c r="X2384" s="1">
        <v>15916.08</v>
      </c>
      <c r="Y2384" s="1">
        <v>-2508.84</v>
      </c>
      <c r="Z2384" s="5">
        <v>13407.24</v>
      </c>
      <c r="AA2384">
        <v>45</v>
      </c>
      <c r="AB2384" s="5">
        <v>603325.80000000005</v>
      </c>
      <c r="AC2384" s="1">
        <v>13407.24</v>
      </c>
      <c r="AD2384">
        <v>45</v>
      </c>
      <c r="AE2384" s="1">
        <v>603325.80000000005</v>
      </c>
      <c r="AF2384">
        <v>0</v>
      </c>
      <c r="AJ2384">
        <v>0</v>
      </c>
      <c r="AK2384">
        <v>0</v>
      </c>
      <c r="AL2384">
        <v>0</v>
      </c>
      <c r="AM2384" s="1">
        <v>13407.24</v>
      </c>
      <c r="AN2384" s="1">
        <v>13407.24</v>
      </c>
      <c r="AO2384" s="1">
        <v>13407.24</v>
      </c>
      <c r="AP2384" s="2">
        <v>42746</v>
      </c>
      <c r="AQ2384" t="s">
        <v>72</v>
      </c>
      <c r="AR2384" t="s">
        <v>72</v>
      </c>
      <c r="AS2384">
        <v>2540</v>
      </c>
      <c r="AT2384" s="4">
        <v>42646</v>
      </c>
      <c r="AU2384" t="s">
        <v>73</v>
      </c>
      <c r="AV2384">
        <v>2540</v>
      </c>
      <c r="AW2384" s="4">
        <v>42646</v>
      </c>
      <c r="BD2384">
        <v>0</v>
      </c>
      <c r="BN2384" t="s">
        <v>74</v>
      </c>
    </row>
    <row r="2385" spans="1:66" hidden="1">
      <c r="A2385">
        <v>100774</v>
      </c>
      <c r="B2385" s="3" t="s">
        <v>242</v>
      </c>
      <c r="C2385" s="1">
        <v>43300101</v>
      </c>
      <c r="D2385" t="s">
        <v>67</v>
      </c>
      <c r="H2385" t="str">
        <f t="shared" ref="H2385:I2395" si="240">"04526141215"</f>
        <v>04526141215</v>
      </c>
      <c r="I2385" t="str">
        <f t="shared" si="240"/>
        <v>04526141215</v>
      </c>
      <c r="K2385" t="str">
        <f>""</f>
        <v/>
      </c>
      <c r="M2385" t="s">
        <v>68</v>
      </c>
      <c r="N2385" t="str">
        <f t="shared" ref="N2385:N2416" si="241">"FOR"</f>
        <v>FOR</v>
      </c>
      <c r="O2385" t="s">
        <v>69</v>
      </c>
      <c r="P2385" s="3" t="s">
        <v>75</v>
      </c>
      <c r="Q2385">
        <v>2015</v>
      </c>
      <c r="R2385" s="2">
        <v>42132</v>
      </c>
      <c r="S2385" s="2">
        <v>42165</v>
      </c>
      <c r="T2385" s="2">
        <v>42142</v>
      </c>
      <c r="U2385" s="2">
        <v>42202</v>
      </c>
      <c r="V2385" t="s">
        <v>71</v>
      </c>
      <c r="W2385" t="str">
        <f>"                 176"</f>
        <v xml:space="preserve">                 176</v>
      </c>
      <c r="X2385" s="1">
        <v>3279.36</v>
      </c>
      <c r="Y2385">
        <v>0</v>
      </c>
      <c r="Z2385"/>
      <c r="AB2385"/>
      <c r="AC2385" s="1">
        <v>2688</v>
      </c>
      <c r="AD2385">
        <v>213</v>
      </c>
      <c r="AE2385" s="1">
        <v>572544</v>
      </c>
      <c r="AF2385">
        <v>0</v>
      </c>
      <c r="AJ2385">
        <v>0</v>
      </c>
      <c r="AK2385">
        <v>0</v>
      </c>
      <c r="AL2385">
        <v>0</v>
      </c>
      <c r="AM2385">
        <v>0</v>
      </c>
      <c r="AN2385">
        <v>0</v>
      </c>
      <c r="AO2385">
        <v>0</v>
      </c>
      <c r="AP2385" s="2">
        <v>42746</v>
      </c>
      <c r="AQ2385" t="s">
        <v>72</v>
      </c>
      <c r="AR2385" t="s">
        <v>72</v>
      </c>
      <c r="AS2385">
        <v>376</v>
      </c>
      <c r="AT2385" s="4">
        <v>42415</v>
      </c>
      <c r="AU2385" t="s">
        <v>73</v>
      </c>
      <c r="AV2385">
        <v>376</v>
      </c>
      <c r="AW2385" s="4">
        <v>42415</v>
      </c>
      <c r="BD2385">
        <v>0</v>
      </c>
      <c r="BN2385" t="s">
        <v>74</v>
      </c>
    </row>
    <row r="2386" spans="1:66" hidden="1">
      <c r="A2386">
        <v>100774</v>
      </c>
      <c r="B2386" s="3" t="s">
        <v>242</v>
      </c>
      <c r="C2386" s="1">
        <v>43300101</v>
      </c>
      <c r="D2386" t="s">
        <v>67</v>
      </c>
      <c r="H2386" t="str">
        <f t="shared" si="240"/>
        <v>04526141215</v>
      </c>
      <c r="I2386" t="str">
        <f t="shared" si="240"/>
        <v>04526141215</v>
      </c>
      <c r="K2386" t="str">
        <f>""</f>
        <v/>
      </c>
      <c r="M2386" t="s">
        <v>68</v>
      </c>
      <c r="N2386" t="str">
        <f t="shared" si="241"/>
        <v>FOR</v>
      </c>
      <c r="O2386" t="s">
        <v>69</v>
      </c>
      <c r="P2386" s="3" t="s">
        <v>75</v>
      </c>
      <c r="Q2386">
        <v>2015</v>
      </c>
      <c r="R2386" s="2">
        <v>42163</v>
      </c>
      <c r="S2386" s="2">
        <v>42202</v>
      </c>
      <c r="T2386" s="2">
        <v>42201</v>
      </c>
      <c r="U2386" s="2">
        <v>42261</v>
      </c>
      <c r="V2386" t="s">
        <v>71</v>
      </c>
      <c r="W2386" t="str">
        <f>"                 246"</f>
        <v xml:space="preserve">                 246</v>
      </c>
      <c r="X2386">
        <v>985.44</v>
      </c>
      <c r="Y2386">
        <v>0</v>
      </c>
      <c r="Z2386"/>
      <c r="AB2386"/>
      <c r="AC2386">
        <v>807.74</v>
      </c>
      <c r="AD2386">
        <v>154</v>
      </c>
      <c r="AE2386" s="1">
        <v>124391.96</v>
      </c>
      <c r="AF2386">
        <v>0</v>
      </c>
      <c r="AJ2386">
        <v>0</v>
      </c>
      <c r="AK2386">
        <v>0</v>
      </c>
      <c r="AL2386">
        <v>0</v>
      </c>
      <c r="AM2386">
        <v>0</v>
      </c>
      <c r="AN2386">
        <v>0</v>
      </c>
      <c r="AO2386">
        <v>0</v>
      </c>
      <c r="AP2386" s="2">
        <v>42746</v>
      </c>
      <c r="AQ2386" t="s">
        <v>72</v>
      </c>
      <c r="AR2386" t="s">
        <v>72</v>
      </c>
      <c r="AS2386">
        <v>376</v>
      </c>
      <c r="AT2386" s="4">
        <v>42415</v>
      </c>
      <c r="AU2386" t="s">
        <v>73</v>
      </c>
      <c r="AV2386">
        <v>376</v>
      </c>
      <c r="AW2386" s="4">
        <v>42415</v>
      </c>
      <c r="BD2386">
        <v>0</v>
      </c>
      <c r="BN2386" t="s">
        <v>74</v>
      </c>
    </row>
    <row r="2387" spans="1:66" hidden="1">
      <c r="A2387">
        <v>100774</v>
      </c>
      <c r="B2387" s="3" t="s">
        <v>242</v>
      </c>
      <c r="C2387" s="1">
        <v>43300101</v>
      </c>
      <c r="D2387" t="s">
        <v>67</v>
      </c>
      <c r="H2387" t="str">
        <f t="shared" si="240"/>
        <v>04526141215</v>
      </c>
      <c r="I2387" t="str">
        <f t="shared" si="240"/>
        <v>04526141215</v>
      </c>
      <c r="K2387" t="str">
        <f>""</f>
        <v/>
      </c>
      <c r="M2387" t="s">
        <v>68</v>
      </c>
      <c r="N2387" t="str">
        <f t="shared" si="241"/>
        <v>FOR</v>
      </c>
      <c r="O2387" t="s">
        <v>69</v>
      </c>
      <c r="P2387" s="3" t="s">
        <v>75</v>
      </c>
      <c r="Q2387">
        <v>2015</v>
      </c>
      <c r="R2387" s="2">
        <v>42208</v>
      </c>
      <c r="S2387" s="2">
        <v>42216</v>
      </c>
      <c r="T2387" s="2">
        <v>42212</v>
      </c>
      <c r="U2387" s="2">
        <v>42272</v>
      </c>
      <c r="V2387" t="s">
        <v>71</v>
      </c>
      <c r="W2387" t="str">
        <f>"                 319"</f>
        <v xml:space="preserve">                 319</v>
      </c>
      <c r="X2387" s="1">
        <v>3202.5</v>
      </c>
      <c r="Y2387">
        <v>0</v>
      </c>
      <c r="Z2387"/>
      <c r="AB2387"/>
      <c r="AC2387" s="1">
        <v>2625</v>
      </c>
      <c r="AD2387">
        <v>143</v>
      </c>
      <c r="AE2387" s="1">
        <v>375375</v>
      </c>
      <c r="AF2387">
        <v>0</v>
      </c>
      <c r="AJ2387">
        <v>0</v>
      </c>
      <c r="AK2387">
        <v>0</v>
      </c>
      <c r="AL2387">
        <v>0</v>
      </c>
      <c r="AM2387">
        <v>0</v>
      </c>
      <c r="AN2387">
        <v>0</v>
      </c>
      <c r="AO2387">
        <v>0</v>
      </c>
      <c r="AP2387" s="2">
        <v>42746</v>
      </c>
      <c r="AQ2387" t="s">
        <v>72</v>
      </c>
      <c r="AR2387" t="s">
        <v>72</v>
      </c>
      <c r="AS2387">
        <v>376</v>
      </c>
      <c r="AT2387" s="4">
        <v>42415</v>
      </c>
      <c r="AU2387" t="s">
        <v>73</v>
      </c>
      <c r="AV2387">
        <v>376</v>
      </c>
      <c r="AW2387" s="4">
        <v>42415</v>
      </c>
      <c r="BD2387">
        <v>0</v>
      </c>
      <c r="BN2387" t="s">
        <v>74</v>
      </c>
    </row>
    <row r="2388" spans="1:66">
      <c r="A2388">
        <v>100774</v>
      </c>
      <c r="B2388" s="3" t="s">
        <v>242</v>
      </c>
      <c r="C2388" s="1">
        <v>43300101</v>
      </c>
      <c r="D2388" t="s">
        <v>67</v>
      </c>
      <c r="H2388" t="str">
        <f t="shared" si="240"/>
        <v>04526141215</v>
      </c>
      <c r="I2388" t="str">
        <f t="shared" si="240"/>
        <v>04526141215</v>
      </c>
      <c r="K2388" t="str">
        <f>""</f>
        <v/>
      </c>
      <c r="M2388" t="s">
        <v>68</v>
      </c>
      <c r="N2388" t="str">
        <f t="shared" si="241"/>
        <v>FOR</v>
      </c>
      <c r="O2388" t="s">
        <v>69</v>
      </c>
      <c r="P2388" s="3" t="s">
        <v>75</v>
      </c>
      <c r="Q2388">
        <v>2016</v>
      </c>
      <c r="R2388" s="2">
        <v>42433</v>
      </c>
      <c r="S2388" s="2">
        <v>42461</v>
      </c>
      <c r="T2388" s="2">
        <v>42452</v>
      </c>
      <c r="U2388" s="2">
        <v>42512</v>
      </c>
      <c r="V2388" t="s">
        <v>71</v>
      </c>
      <c r="W2388" t="str">
        <f>"                 104"</f>
        <v xml:space="preserve">                 104</v>
      </c>
      <c r="X2388" s="1">
        <v>7493.24</v>
      </c>
      <c r="Y2388">
        <v>0</v>
      </c>
      <c r="Z2388" s="5">
        <v>6142</v>
      </c>
      <c r="AA2388">
        <v>171</v>
      </c>
      <c r="AB2388" s="5">
        <v>1050282</v>
      </c>
      <c r="AC2388" s="1">
        <v>6142</v>
      </c>
      <c r="AD2388">
        <v>171</v>
      </c>
      <c r="AE2388" s="1">
        <v>1050282</v>
      </c>
      <c r="AF2388">
        <v>0</v>
      </c>
      <c r="AJ2388">
        <v>0</v>
      </c>
      <c r="AK2388">
        <v>0</v>
      </c>
      <c r="AL2388">
        <v>0</v>
      </c>
      <c r="AM2388" s="1">
        <v>7493.24</v>
      </c>
      <c r="AN2388" s="1">
        <v>7493.24</v>
      </c>
      <c r="AO2388" s="1">
        <v>7493.24</v>
      </c>
      <c r="AP2388" s="2">
        <v>42746</v>
      </c>
      <c r="AQ2388" t="s">
        <v>72</v>
      </c>
      <c r="AR2388" t="s">
        <v>72</v>
      </c>
      <c r="AS2388">
        <v>3003</v>
      </c>
      <c r="AT2388" s="4">
        <v>42683</v>
      </c>
      <c r="AU2388" t="s">
        <v>73</v>
      </c>
      <c r="AV2388">
        <v>3003</v>
      </c>
      <c r="AW2388" s="4">
        <v>42683</v>
      </c>
      <c r="BD2388">
        <v>0</v>
      </c>
      <c r="BN2388" t="s">
        <v>74</v>
      </c>
    </row>
    <row r="2389" spans="1:66">
      <c r="A2389">
        <v>100774</v>
      </c>
      <c r="B2389" s="3" t="s">
        <v>242</v>
      </c>
      <c r="C2389" s="1">
        <v>43300101</v>
      </c>
      <c r="D2389" t="s">
        <v>67</v>
      </c>
      <c r="H2389" t="str">
        <f t="shared" si="240"/>
        <v>04526141215</v>
      </c>
      <c r="I2389" t="str">
        <f t="shared" si="240"/>
        <v>04526141215</v>
      </c>
      <c r="K2389" t="str">
        <f>""</f>
        <v/>
      </c>
      <c r="M2389" t="s">
        <v>68</v>
      </c>
      <c r="N2389" t="str">
        <f t="shared" si="241"/>
        <v>FOR</v>
      </c>
      <c r="O2389" t="s">
        <v>69</v>
      </c>
      <c r="P2389" s="3" t="s">
        <v>75</v>
      </c>
      <c r="Q2389">
        <v>2016</v>
      </c>
      <c r="R2389" s="2">
        <v>42450</v>
      </c>
      <c r="S2389" s="2">
        <v>42464</v>
      </c>
      <c r="T2389" s="2">
        <v>42460</v>
      </c>
      <c r="U2389" s="2">
        <v>42520</v>
      </c>
      <c r="V2389" t="s">
        <v>71</v>
      </c>
      <c r="W2389" t="str">
        <f>"                 126"</f>
        <v xml:space="preserve">                 126</v>
      </c>
      <c r="X2389" s="1">
        <v>4557.92</v>
      </c>
      <c r="Y2389">
        <v>0</v>
      </c>
      <c r="Z2389" s="5">
        <v>3736</v>
      </c>
      <c r="AA2389">
        <v>163</v>
      </c>
      <c r="AB2389" s="5">
        <v>608968</v>
      </c>
      <c r="AC2389" s="1">
        <v>3736</v>
      </c>
      <c r="AD2389">
        <v>163</v>
      </c>
      <c r="AE2389" s="1">
        <v>608968</v>
      </c>
      <c r="AF2389">
        <v>0</v>
      </c>
      <c r="AJ2389">
        <v>0</v>
      </c>
      <c r="AK2389">
        <v>0</v>
      </c>
      <c r="AL2389">
        <v>0</v>
      </c>
      <c r="AM2389" s="1">
        <v>4557.92</v>
      </c>
      <c r="AN2389" s="1">
        <v>4557.92</v>
      </c>
      <c r="AO2389" s="1">
        <v>4557.92</v>
      </c>
      <c r="AP2389" s="2">
        <v>42746</v>
      </c>
      <c r="AQ2389" t="s">
        <v>72</v>
      </c>
      <c r="AR2389" t="s">
        <v>72</v>
      </c>
      <c r="AS2389">
        <v>3003</v>
      </c>
      <c r="AT2389" s="4">
        <v>42683</v>
      </c>
      <c r="AU2389" t="s">
        <v>73</v>
      </c>
      <c r="AV2389">
        <v>3003</v>
      </c>
      <c r="AW2389" s="4">
        <v>42683</v>
      </c>
      <c r="BD2389">
        <v>0</v>
      </c>
      <c r="BN2389" t="s">
        <v>74</v>
      </c>
    </row>
    <row r="2390" spans="1:66">
      <c r="A2390">
        <v>100774</v>
      </c>
      <c r="B2390" s="3" t="s">
        <v>242</v>
      </c>
      <c r="C2390" s="1">
        <v>43300101</v>
      </c>
      <c r="D2390" t="s">
        <v>67</v>
      </c>
      <c r="H2390" t="str">
        <f t="shared" si="240"/>
        <v>04526141215</v>
      </c>
      <c r="I2390" t="str">
        <f t="shared" si="240"/>
        <v>04526141215</v>
      </c>
      <c r="K2390" t="str">
        <f>""</f>
        <v/>
      </c>
      <c r="M2390" t="s">
        <v>68</v>
      </c>
      <c r="N2390" t="str">
        <f t="shared" si="241"/>
        <v>FOR</v>
      </c>
      <c r="O2390" t="s">
        <v>69</v>
      </c>
      <c r="P2390" s="3" t="s">
        <v>75</v>
      </c>
      <c r="Q2390">
        <v>2016</v>
      </c>
      <c r="R2390" s="2">
        <v>42453</v>
      </c>
      <c r="S2390" s="2">
        <v>42464</v>
      </c>
      <c r="T2390" s="2">
        <v>42460</v>
      </c>
      <c r="U2390" s="2">
        <v>42520</v>
      </c>
      <c r="V2390" t="s">
        <v>71</v>
      </c>
      <c r="W2390" t="str">
        <f>"                 132"</f>
        <v xml:space="preserve">                 132</v>
      </c>
      <c r="X2390">
        <v>821.3</v>
      </c>
      <c r="Y2390">
        <v>0</v>
      </c>
      <c r="Z2390" s="3">
        <v>673.2</v>
      </c>
      <c r="AA2390">
        <v>163</v>
      </c>
      <c r="AB2390" s="5">
        <v>109731.6</v>
      </c>
      <c r="AC2390">
        <v>673.2</v>
      </c>
      <c r="AD2390">
        <v>163</v>
      </c>
      <c r="AE2390" s="1">
        <v>109731.6</v>
      </c>
      <c r="AF2390">
        <v>0</v>
      </c>
      <c r="AJ2390">
        <v>0</v>
      </c>
      <c r="AK2390">
        <v>0</v>
      </c>
      <c r="AL2390">
        <v>0</v>
      </c>
      <c r="AM2390">
        <v>821.3</v>
      </c>
      <c r="AN2390">
        <v>821.3</v>
      </c>
      <c r="AO2390">
        <v>821.3</v>
      </c>
      <c r="AP2390" s="2">
        <v>42746</v>
      </c>
      <c r="AQ2390" t="s">
        <v>72</v>
      </c>
      <c r="AR2390" t="s">
        <v>72</v>
      </c>
      <c r="AS2390">
        <v>3003</v>
      </c>
      <c r="AT2390" s="4">
        <v>42683</v>
      </c>
      <c r="AU2390" t="s">
        <v>73</v>
      </c>
      <c r="AV2390">
        <v>3003</v>
      </c>
      <c r="AW2390" s="4">
        <v>42683</v>
      </c>
      <c r="BD2390">
        <v>0</v>
      </c>
      <c r="BN2390" t="s">
        <v>74</v>
      </c>
    </row>
    <row r="2391" spans="1:66">
      <c r="A2391">
        <v>100774</v>
      </c>
      <c r="B2391" s="3" t="s">
        <v>242</v>
      </c>
      <c r="C2391" s="1">
        <v>43300101</v>
      </c>
      <c r="D2391" t="s">
        <v>67</v>
      </c>
      <c r="H2391" t="str">
        <f t="shared" si="240"/>
        <v>04526141215</v>
      </c>
      <c r="I2391" t="str">
        <f t="shared" si="240"/>
        <v>04526141215</v>
      </c>
      <c r="K2391" t="str">
        <f>""</f>
        <v/>
      </c>
      <c r="M2391" t="s">
        <v>68</v>
      </c>
      <c r="N2391" t="str">
        <f t="shared" si="241"/>
        <v>FOR</v>
      </c>
      <c r="O2391" t="s">
        <v>69</v>
      </c>
      <c r="P2391" s="3" t="s">
        <v>75</v>
      </c>
      <c r="Q2391">
        <v>2016</v>
      </c>
      <c r="R2391" s="2">
        <v>42475</v>
      </c>
      <c r="S2391" s="2">
        <v>42481</v>
      </c>
      <c r="T2391" s="2">
        <v>42480</v>
      </c>
      <c r="U2391" s="2">
        <v>42540</v>
      </c>
      <c r="V2391" t="s">
        <v>71</v>
      </c>
      <c r="W2391" t="str">
        <f>"                 179"</f>
        <v xml:space="preserve">                 179</v>
      </c>
      <c r="X2391" s="1">
        <v>2745</v>
      </c>
      <c r="Y2391">
        <v>0</v>
      </c>
      <c r="Z2391" s="5">
        <v>2250</v>
      </c>
      <c r="AA2391">
        <v>143</v>
      </c>
      <c r="AB2391" s="5">
        <v>321750</v>
      </c>
      <c r="AC2391" s="1">
        <v>2250</v>
      </c>
      <c r="AD2391">
        <v>143</v>
      </c>
      <c r="AE2391" s="1">
        <v>321750</v>
      </c>
      <c r="AF2391">
        <v>0</v>
      </c>
      <c r="AJ2391">
        <v>0</v>
      </c>
      <c r="AK2391">
        <v>0</v>
      </c>
      <c r="AL2391">
        <v>0</v>
      </c>
      <c r="AM2391" s="1">
        <v>2745</v>
      </c>
      <c r="AN2391" s="1">
        <v>2745</v>
      </c>
      <c r="AO2391" s="1">
        <v>2745</v>
      </c>
      <c r="AP2391" s="2">
        <v>42746</v>
      </c>
      <c r="AQ2391" t="s">
        <v>72</v>
      </c>
      <c r="AR2391" t="s">
        <v>72</v>
      </c>
      <c r="AS2391">
        <v>3003</v>
      </c>
      <c r="AT2391" s="4">
        <v>42683</v>
      </c>
      <c r="AU2391" t="s">
        <v>73</v>
      </c>
      <c r="AV2391">
        <v>3003</v>
      </c>
      <c r="AW2391" s="4">
        <v>42683</v>
      </c>
      <c r="BD2391">
        <v>0</v>
      </c>
      <c r="BN2391" t="s">
        <v>74</v>
      </c>
    </row>
    <row r="2392" spans="1:66">
      <c r="A2392">
        <v>100774</v>
      </c>
      <c r="B2392" s="3" t="s">
        <v>242</v>
      </c>
      <c r="C2392" s="1">
        <v>43300101</v>
      </c>
      <c r="D2392" t="s">
        <v>67</v>
      </c>
      <c r="H2392" t="str">
        <f t="shared" si="240"/>
        <v>04526141215</v>
      </c>
      <c r="I2392" t="str">
        <f t="shared" si="240"/>
        <v>04526141215</v>
      </c>
      <c r="K2392" t="str">
        <f>""</f>
        <v/>
      </c>
      <c r="M2392" t="s">
        <v>68</v>
      </c>
      <c r="N2392" t="str">
        <f t="shared" si="241"/>
        <v>FOR</v>
      </c>
      <c r="O2392" t="s">
        <v>69</v>
      </c>
      <c r="P2392" s="3" t="s">
        <v>75</v>
      </c>
      <c r="Q2392">
        <v>2016</v>
      </c>
      <c r="R2392" s="2">
        <v>42513</v>
      </c>
      <c r="S2392" s="2">
        <v>42530</v>
      </c>
      <c r="T2392" s="2">
        <v>42527</v>
      </c>
      <c r="U2392" s="2">
        <v>42587</v>
      </c>
      <c r="V2392" t="s">
        <v>71</v>
      </c>
      <c r="W2392" t="str">
        <f>"                 237"</f>
        <v xml:space="preserve">                 237</v>
      </c>
      <c r="X2392">
        <v>854</v>
      </c>
      <c r="Y2392">
        <v>0</v>
      </c>
      <c r="Z2392" s="3">
        <v>700</v>
      </c>
      <c r="AA2392">
        <v>96</v>
      </c>
      <c r="AB2392" s="5">
        <v>67200</v>
      </c>
      <c r="AC2392">
        <v>700</v>
      </c>
      <c r="AD2392">
        <v>96</v>
      </c>
      <c r="AE2392" s="1">
        <v>67200</v>
      </c>
      <c r="AF2392">
        <v>0</v>
      </c>
      <c r="AJ2392">
        <v>0</v>
      </c>
      <c r="AK2392">
        <v>0</v>
      </c>
      <c r="AL2392">
        <v>0</v>
      </c>
      <c r="AM2392">
        <v>854</v>
      </c>
      <c r="AN2392">
        <v>854</v>
      </c>
      <c r="AO2392">
        <v>854</v>
      </c>
      <c r="AP2392" s="2">
        <v>42746</v>
      </c>
      <c r="AQ2392" t="s">
        <v>72</v>
      </c>
      <c r="AR2392" t="s">
        <v>72</v>
      </c>
      <c r="AS2392">
        <v>3003</v>
      </c>
      <c r="AT2392" s="4">
        <v>42683</v>
      </c>
      <c r="AU2392" t="s">
        <v>73</v>
      </c>
      <c r="AV2392">
        <v>3003</v>
      </c>
      <c r="AW2392" s="4">
        <v>42683</v>
      </c>
      <c r="BD2392">
        <v>0</v>
      </c>
      <c r="BN2392" t="s">
        <v>74</v>
      </c>
    </row>
    <row r="2393" spans="1:66">
      <c r="A2393">
        <v>100774</v>
      </c>
      <c r="B2393" s="3" t="s">
        <v>242</v>
      </c>
      <c r="C2393" s="1">
        <v>43300101</v>
      </c>
      <c r="D2393" t="s">
        <v>67</v>
      </c>
      <c r="H2393" t="str">
        <f t="shared" si="240"/>
        <v>04526141215</v>
      </c>
      <c r="I2393" t="str">
        <f t="shared" si="240"/>
        <v>04526141215</v>
      </c>
      <c r="K2393" t="str">
        <f>""</f>
        <v/>
      </c>
      <c r="M2393" t="s">
        <v>68</v>
      </c>
      <c r="N2393" t="str">
        <f t="shared" si="241"/>
        <v>FOR</v>
      </c>
      <c r="O2393" t="s">
        <v>69</v>
      </c>
      <c r="P2393" s="3" t="s">
        <v>75</v>
      </c>
      <c r="Q2393">
        <v>2016</v>
      </c>
      <c r="R2393" s="2">
        <v>42550</v>
      </c>
      <c r="S2393" s="2">
        <v>42583</v>
      </c>
      <c r="T2393" s="2">
        <v>42579</v>
      </c>
      <c r="U2393" s="2">
        <v>42639</v>
      </c>
      <c r="V2393" t="s">
        <v>71</v>
      </c>
      <c r="W2393" t="str">
        <f>"                 299"</f>
        <v xml:space="preserve">                 299</v>
      </c>
      <c r="X2393">
        <v>457.5</v>
      </c>
      <c r="Y2393">
        <v>0</v>
      </c>
      <c r="Z2393" s="3">
        <v>375</v>
      </c>
      <c r="AA2393">
        <v>79</v>
      </c>
      <c r="AB2393" s="5">
        <v>29625</v>
      </c>
      <c r="AC2393">
        <v>375</v>
      </c>
      <c r="AD2393">
        <v>79</v>
      </c>
      <c r="AE2393" s="1">
        <v>29625</v>
      </c>
      <c r="AF2393">
        <v>82.5</v>
      </c>
      <c r="AJ2393">
        <v>0</v>
      </c>
      <c r="AK2393">
        <v>0</v>
      </c>
      <c r="AL2393">
        <v>0</v>
      </c>
      <c r="AM2393">
        <v>457.5</v>
      </c>
      <c r="AN2393">
        <v>457.5</v>
      </c>
      <c r="AO2393">
        <v>457.5</v>
      </c>
      <c r="AP2393" s="2">
        <v>42746</v>
      </c>
      <c r="AQ2393" t="s">
        <v>72</v>
      </c>
      <c r="AR2393" t="s">
        <v>72</v>
      </c>
      <c r="AS2393">
        <v>3469</v>
      </c>
      <c r="AT2393" s="4">
        <v>42718</v>
      </c>
      <c r="AU2393" t="s">
        <v>73</v>
      </c>
      <c r="AV2393">
        <v>3469</v>
      </c>
      <c r="AW2393" s="4">
        <v>42718</v>
      </c>
      <c r="BA2393">
        <v>82.5</v>
      </c>
      <c r="BD2393">
        <v>0</v>
      </c>
      <c r="BN2393" t="s">
        <v>74</v>
      </c>
    </row>
    <row r="2394" spans="1:66">
      <c r="A2394">
        <v>100774</v>
      </c>
      <c r="B2394" s="3" t="s">
        <v>242</v>
      </c>
      <c r="C2394" s="1">
        <v>43300101</v>
      </c>
      <c r="D2394" t="s">
        <v>67</v>
      </c>
      <c r="H2394" t="str">
        <f t="shared" si="240"/>
        <v>04526141215</v>
      </c>
      <c r="I2394" t="str">
        <f t="shared" si="240"/>
        <v>04526141215</v>
      </c>
      <c r="K2394" t="str">
        <f>""</f>
        <v/>
      </c>
      <c r="M2394" t="s">
        <v>68</v>
      </c>
      <c r="N2394" t="str">
        <f t="shared" si="241"/>
        <v>FOR</v>
      </c>
      <c r="O2394" t="s">
        <v>69</v>
      </c>
      <c r="P2394" s="3" t="s">
        <v>75</v>
      </c>
      <c r="Q2394">
        <v>2016</v>
      </c>
      <c r="R2394" s="2">
        <v>42570</v>
      </c>
      <c r="S2394" s="2">
        <v>42584</v>
      </c>
      <c r="T2394" s="2">
        <v>42580</v>
      </c>
      <c r="U2394" s="2">
        <v>42640</v>
      </c>
      <c r="V2394" t="s">
        <v>71</v>
      </c>
      <c r="W2394" t="str">
        <f>"                 342"</f>
        <v xml:space="preserve">                 342</v>
      </c>
      <c r="X2394" s="1">
        <v>1642.61</v>
      </c>
      <c r="Y2394">
        <v>0</v>
      </c>
      <c r="Z2394" s="5">
        <v>1346.4</v>
      </c>
      <c r="AA2394">
        <v>78</v>
      </c>
      <c r="AB2394" s="5">
        <v>105019.2</v>
      </c>
      <c r="AC2394" s="1">
        <v>1346.4</v>
      </c>
      <c r="AD2394">
        <v>78</v>
      </c>
      <c r="AE2394" s="1">
        <v>105019.2</v>
      </c>
      <c r="AF2394">
        <v>296.20999999999998</v>
      </c>
      <c r="AJ2394">
        <v>0</v>
      </c>
      <c r="AK2394">
        <v>0</v>
      </c>
      <c r="AL2394">
        <v>0</v>
      </c>
      <c r="AM2394" s="1">
        <v>1642.61</v>
      </c>
      <c r="AN2394" s="1">
        <v>1642.61</v>
      </c>
      <c r="AO2394" s="1">
        <v>1642.61</v>
      </c>
      <c r="AP2394" s="2">
        <v>42746</v>
      </c>
      <c r="AQ2394" t="s">
        <v>72</v>
      </c>
      <c r="AR2394" t="s">
        <v>72</v>
      </c>
      <c r="AS2394">
        <v>3469</v>
      </c>
      <c r="AT2394" s="4">
        <v>42718</v>
      </c>
      <c r="AU2394" t="s">
        <v>73</v>
      </c>
      <c r="AV2394">
        <v>3469</v>
      </c>
      <c r="AW2394" s="4">
        <v>42718</v>
      </c>
      <c r="BA2394">
        <v>296.20999999999998</v>
      </c>
      <c r="BD2394">
        <v>0</v>
      </c>
      <c r="BN2394" t="s">
        <v>74</v>
      </c>
    </row>
    <row r="2395" spans="1:66">
      <c r="A2395">
        <v>100774</v>
      </c>
      <c r="B2395" s="3" t="s">
        <v>242</v>
      </c>
      <c r="C2395" s="1">
        <v>43300101</v>
      </c>
      <c r="D2395" t="s">
        <v>67</v>
      </c>
      <c r="H2395" t="str">
        <f t="shared" si="240"/>
        <v>04526141215</v>
      </c>
      <c r="I2395" t="str">
        <f t="shared" si="240"/>
        <v>04526141215</v>
      </c>
      <c r="K2395" t="str">
        <f>""</f>
        <v/>
      </c>
      <c r="M2395" t="s">
        <v>68</v>
      </c>
      <c r="N2395" t="str">
        <f t="shared" si="241"/>
        <v>FOR</v>
      </c>
      <c r="O2395" t="s">
        <v>69</v>
      </c>
      <c r="P2395" s="3" t="s">
        <v>75</v>
      </c>
      <c r="Q2395">
        <v>2016</v>
      </c>
      <c r="R2395" s="2">
        <v>42572</v>
      </c>
      <c r="S2395" s="2">
        <v>42584</v>
      </c>
      <c r="T2395" s="2">
        <v>42580</v>
      </c>
      <c r="U2395" s="2">
        <v>42640</v>
      </c>
      <c r="V2395" t="s">
        <v>71</v>
      </c>
      <c r="W2395" t="str">
        <f>"                 349"</f>
        <v xml:space="preserve">                 349</v>
      </c>
      <c r="X2395" s="1">
        <v>1198.04</v>
      </c>
      <c r="Y2395">
        <v>0</v>
      </c>
      <c r="Z2395" s="3">
        <v>982</v>
      </c>
      <c r="AA2395">
        <v>78</v>
      </c>
      <c r="AB2395" s="5">
        <v>76596</v>
      </c>
      <c r="AC2395">
        <v>982</v>
      </c>
      <c r="AD2395">
        <v>78</v>
      </c>
      <c r="AE2395" s="1">
        <v>76596</v>
      </c>
      <c r="AF2395">
        <v>216.04</v>
      </c>
      <c r="AJ2395">
        <v>0</v>
      </c>
      <c r="AK2395">
        <v>0</v>
      </c>
      <c r="AL2395">
        <v>0</v>
      </c>
      <c r="AM2395" s="1">
        <v>1198.04</v>
      </c>
      <c r="AN2395" s="1">
        <v>1198.04</v>
      </c>
      <c r="AO2395" s="1">
        <v>1198.04</v>
      </c>
      <c r="AP2395" s="2">
        <v>42746</v>
      </c>
      <c r="AQ2395" t="s">
        <v>72</v>
      </c>
      <c r="AR2395" t="s">
        <v>72</v>
      </c>
      <c r="AS2395">
        <v>3469</v>
      </c>
      <c r="AT2395" s="4">
        <v>42718</v>
      </c>
      <c r="AU2395" t="s">
        <v>73</v>
      </c>
      <c r="AV2395">
        <v>3469</v>
      </c>
      <c r="AW2395" s="4">
        <v>42718</v>
      </c>
      <c r="BA2395">
        <v>216.04</v>
      </c>
      <c r="BD2395">
        <v>0</v>
      </c>
      <c r="BN2395" t="s">
        <v>74</v>
      </c>
    </row>
    <row r="2396" spans="1:66" hidden="1">
      <c r="A2396">
        <v>100787</v>
      </c>
      <c r="B2396" s="3" t="s">
        <v>243</v>
      </c>
      <c r="C2396" s="1">
        <v>43300101</v>
      </c>
      <c r="D2396" t="s">
        <v>67</v>
      </c>
      <c r="H2396" t="str">
        <f t="shared" ref="H2396:H2419" si="242">"CRDPIA44R47A783H"</f>
        <v>CRDPIA44R47A783H</v>
      </c>
      <c r="I2396" t="str">
        <f t="shared" ref="I2396:I2419" si="243">"00157320623"</f>
        <v>00157320623</v>
      </c>
      <c r="K2396" t="str">
        <f>""</f>
        <v/>
      </c>
      <c r="M2396" t="s">
        <v>68</v>
      </c>
      <c r="N2396" t="str">
        <f t="shared" si="241"/>
        <v>FOR</v>
      </c>
      <c r="O2396" t="s">
        <v>69</v>
      </c>
      <c r="P2396" s="3" t="s">
        <v>75</v>
      </c>
      <c r="Q2396">
        <v>2015</v>
      </c>
      <c r="R2396" s="2">
        <v>42277</v>
      </c>
      <c r="S2396" s="2">
        <v>42278</v>
      </c>
      <c r="T2396" s="2">
        <v>42277</v>
      </c>
      <c r="U2396" s="2">
        <v>42337</v>
      </c>
      <c r="V2396" t="s">
        <v>71</v>
      </c>
      <c r="W2396" t="str">
        <f>"              148/PA"</f>
        <v xml:space="preserve">              148/PA</v>
      </c>
      <c r="X2396">
        <v>13.79</v>
      </c>
      <c r="Y2396">
        <v>0</v>
      </c>
      <c r="Z2396"/>
      <c r="AB2396"/>
      <c r="AC2396">
        <v>13.26</v>
      </c>
      <c r="AD2396">
        <v>66</v>
      </c>
      <c r="AE2396">
        <v>875.16</v>
      </c>
      <c r="AF2396">
        <v>0.53</v>
      </c>
      <c r="AJ2396">
        <v>0</v>
      </c>
      <c r="AK2396">
        <v>0</v>
      </c>
      <c r="AL2396">
        <v>0</v>
      </c>
      <c r="AM2396">
        <v>0</v>
      </c>
      <c r="AN2396">
        <v>0</v>
      </c>
      <c r="AO2396">
        <v>0</v>
      </c>
      <c r="AP2396" s="2">
        <v>42746</v>
      </c>
      <c r="AQ2396" t="s">
        <v>72</v>
      </c>
      <c r="AR2396" t="s">
        <v>72</v>
      </c>
      <c r="AS2396">
        <v>212</v>
      </c>
      <c r="AT2396" s="4">
        <v>42403</v>
      </c>
      <c r="AU2396" t="s">
        <v>73</v>
      </c>
      <c r="AV2396">
        <v>212</v>
      </c>
      <c r="AW2396" s="4">
        <v>42403</v>
      </c>
      <c r="BD2396">
        <v>0.53</v>
      </c>
      <c r="BN2396" t="s">
        <v>74</v>
      </c>
    </row>
    <row r="2397" spans="1:66" hidden="1">
      <c r="A2397">
        <v>100787</v>
      </c>
      <c r="B2397" s="3" t="s">
        <v>243</v>
      </c>
      <c r="C2397" s="1">
        <v>43300101</v>
      </c>
      <c r="D2397" t="s">
        <v>67</v>
      </c>
      <c r="H2397" t="str">
        <f t="shared" si="242"/>
        <v>CRDPIA44R47A783H</v>
      </c>
      <c r="I2397" t="str">
        <f t="shared" si="243"/>
        <v>00157320623</v>
      </c>
      <c r="K2397" t="str">
        <f>""</f>
        <v/>
      </c>
      <c r="M2397" t="s">
        <v>68</v>
      </c>
      <c r="N2397" t="str">
        <f t="shared" si="241"/>
        <v>FOR</v>
      </c>
      <c r="O2397" t="s">
        <v>69</v>
      </c>
      <c r="P2397" s="3" t="s">
        <v>75</v>
      </c>
      <c r="Q2397">
        <v>2015</v>
      </c>
      <c r="R2397" s="2">
        <v>42277</v>
      </c>
      <c r="S2397" s="2">
        <v>42278</v>
      </c>
      <c r="T2397" s="2">
        <v>42277</v>
      </c>
      <c r="U2397" s="2">
        <v>42337</v>
      </c>
      <c r="V2397" t="s">
        <v>71</v>
      </c>
      <c r="W2397" t="str">
        <f>"              149/PA"</f>
        <v xml:space="preserve">              149/PA</v>
      </c>
      <c r="X2397">
        <v>184.92</v>
      </c>
      <c r="Y2397">
        <v>0</v>
      </c>
      <c r="Z2397"/>
      <c r="AB2397"/>
      <c r="AC2397">
        <v>151.57</v>
      </c>
      <c r="AD2397">
        <v>66</v>
      </c>
      <c r="AE2397" s="1">
        <v>10003.620000000001</v>
      </c>
      <c r="AF2397">
        <v>33.35</v>
      </c>
      <c r="AJ2397">
        <v>0</v>
      </c>
      <c r="AK2397">
        <v>0</v>
      </c>
      <c r="AL2397">
        <v>0</v>
      </c>
      <c r="AM2397">
        <v>0</v>
      </c>
      <c r="AN2397">
        <v>0</v>
      </c>
      <c r="AO2397">
        <v>0</v>
      </c>
      <c r="AP2397" s="2">
        <v>42746</v>
      </c>
      <c r="AQ2397" t="s">
        <v>72</v>
      </c>
      <c r="AR2397" t="s">
        <v>72</v>
      </c>
      <c r="AS2397">
        <v>212</v>
      </c>
      <c r="AT2397" s="4">
        <v>42403</v>
      </c>
      <c r="AU2397" t="s">
        <v>73</v>
      </c>
      <c r="AV2397">
        <v>212</v>
      </c>
      <c r="AW2397" s="4">
        <v>42403</v>
      </c>
      <c r="BD2397">
        <v>33.35</v>
      </c>
      <c r="BN2397" t="s">
        <v>74</v>
      </c>
    </row>
    <row r="2398" spans="1:66" hidden="1">
      <c r="A2398">
        <v>100787</v>
      </c>
      <c r="B2398" s="3" t="s">
        <v>243</v>
      </c>
      <c r="C2398" s="1">
        <v>43300101</v>
      </c>
      <c r="D2398" t="s">
        <v>67</v>
      </c>
      <c r="H2398" t="str">
        <f t="shared" si="242"/>
        <v>CRDPIA44R47A783H</v>
      </c>
      <c r="I2398" t="str">
        <f t="shared" si="243"/>
        <v>00157320623</v>
      </c>
      <c r="K2398" t="str">
        <f>""</f>
        <v/>
      </c>
      <c r="M2398" t="s">
        <v>68</v>
      </c>
      <c r="N2398" t="str">
        <f t="shared" si="241"/>
        <v>FOR</v>
      </c>
      <c r="O2398" t="s">
        <v>69</v>
      </c>
      <c r="P2398" s="3" t="s">
        <v>75</v>
      </c>
      <c r="Q2398">
        <v>2015</v>
      </c>
      <c r="R2398" s="2">
        <v>42277</v>
      </c>
      <c r="S2398" s="2">
        <v>42278</v>
      </c>
      <c r="T2398" s="2">
        <v>42277</v>
      </c>
      <c r="U2398" s="2">
        <v>42337</v>
      </c>
      <c r="V2398" t="s">
        <v>71</v>
      </c>
      <c r="W2398" t="str">
        <f>"              150/PA"</f>
        <v xml:space="preserve">              150/PA</v>
      </c>
      <c r="X2398">
        <v>174</v>
      </c>
      <c r="Y2398">
        <v>0</v>
      </c>
      <c r="Z2398"/>
      <c r="AB2398"/>
      <c r="AC2398">
        <v>153.35</v>
      </c>
      <c r="AD2398">
        <v>66</v>
      </c>
      <c r="AE2398" s="1">
        <v>10121.1</v>
      </c>
      <c r="AF2398">
        <v>20.65</v>
      </c>
      <c r="AJ2398">
        <v>0</v>
      </c>
      <c r="AK2398">
        <v>0</v>
      </c>
      <c r="AL2398">
        <v>0</v>
      </c>
      <c r="AM2398">
        <v>0</v>
      </c>
      <c r="AN2398">
        <v>0</v>
      </c>
      <c r="AO2398">
        <v>0</v>
      </c>
      <c r="AP2398" s="2">
        <v>42746</v>
      </c>
      <c r="AQ2398" t="s">
        <v>72</v>
      </c>
      <c r="AR2398" t="s">
        <v>72</v>
      </c>
      <c r="AS2398">
        <v>212</v>
      </c>
      <c r="AT2398" s="4">
        <v>42403</v>
      </c>
      <c r="AU2398" t="s">
        <v>73</v>
      </c>
      <c r="AV2398">
        <v>212</v>
      </c>
      <c r="AW2398" s="4">
        <v>42403</v>
      </c>
      <c r="BD2398">
        <v>20.65</v>
      </c>
      <c r="BN2398" t="s">
        <v>74</v>
      </c>
    </row>
    <row r="2399" spans="1:66" hidden="1">
      <c r="A2399">
        <v>100787</v>
      </c>
      <c r="B2399" s="3" t="s">
        <v>243</v>
      </c>
      <c r="C2399" s="1">
        <v>43300101</v>
      </c>
      <c r="D2399" t="s">
        <v>67</v>
      </c>
      <c r="H2399" t="str">
        <f t="shared" si="242"/>
        <v>CRDPIA44R47A783H</v>
      </c>
      <c r="I2399" t="str">
        <f t="shared" si="243"/>
        <v>00157320623</v>
      </c>
      <c r="K2399" t="str">
        <f>""</f>
        <v/>
      </c>
      <c r="M2399" t="s">
        <v>68</v>
      </c>
      <c r="N2399" t="str">
        <f t="shared" si="241"/>
        <v>FOR</v>
      </c>
      <c r="O2399" t="s">
        <v>69</v>
      </c>
      <c r="P2399" s="3" t="s">
        <v>75</v>
      </c>
      <c r="Q2399">
        <v>2015</v>
      </c>
      <c r="R2399" s="2">
        <v>42324</v>
      </c>
      <c r="S2399" s="2">
        <v>42325</v>
      </c>
      <c r="T2399" s="2">
        <v>42324</v>
      </c>
      <c r="U2399" s="2">
        <v>42384</v>
      </c>
      <c r="V2399" t="s">
        <v>71</v>
      </c>
      <c r="W2399" t="str">
        <f>"              196/PA"</f>
        <v xml:space="preserve">              196/PA</v>
      </c>
      <c r="X2399">
        <v>471.01</v>
      </c>
      <c r="Y2399">
        <v>0</v>
      </c>
      <c r="Z2399"/>
      <c r="AB2399"/>
      <c r="AC2399">
        <v>386.07</v>
      </c>
      <c r="AD2399">
        <v>19</v>
      </c>
      <c r="AE2399" s="1">
        <v>7335.33</v>
      </c>
      <c r="AF2399">
        <v>84.94</v>
      </c>
      <c r="AJ2399">
        <v>0</v>
      </c>
      <c r="AK2399">
        <v>0</v>
      </c>
      <c r="AL2399">
        <v>0</v>
      </c>
      <c r="AM2399">
        <v>0</v>
      </c>
      <c r="AN2399">
        <v>0</v>
      </c>
      <c r="AO2399">
        <v>0</v>
      </c>
      <c r="AP2399" s="2">
        <v>42746</v>
      </c>
      <c r="AQ2399" t="s">
        <v>72</v>
      </c>
      <c r="AR2399" t="s">
        <v>72</v>
      </c>
      <c r="AS2399">
        <v>212</v>
      </c>
      <c r="AT2399" s="4">
        <v>42403</v>
      </c>
      <c r="AU2399" t="s">
        <v>73</v>
      </c>
      <c r="AV2399">
        <v>212</v>
      </c>
      <c r="AW2399" s="4">
        <v>42403</v>
      </c>
      <c r="BD2399">
        <v>84.94</v>
      </c>
      <c r="BN2399" t="s">
        <v>74</v>
      </c>
    </row>
    <row r="2400" spans="1:66" hidden="1">
      <c r="A2400">
        <v>100787</v>
      </c>
      <c r="B2400" s="3" t="s">
        <v>243</v>
      </c>
      <c r="C2400" s="1">
        <v>43300101</v>
      </c>
      <c r="D2400" t="s">
        <v>67</v>
      </c>
      <c r="H2400" t="str">
        <f t="shared" si="242"/>
        <v>CRDPIA44R47A783H</v>
      </c>
      <c r="I2400" t="str">
        <f t="shared" si="243"/>
        <v>00157320623</v>
      </c>
      <c r="K2400" t="str">
        <f>""</f>
        <v/>
      </c>
      <c r="M2400" t="s">
        <v>68</v>
      </c>
      <c r="N2400" t="str">
        <f t="shared" si="241"/>
        <v>FOR</v>
      </c>
      <c r="O2400" t="s">
        <v>69</v>
      </c>
      <c r="P2400" s="3" t="s">
        <v>75</v>
      </c>
      <c r="Q2400">
        <v>2015</v>
      </c>
      <c r="R2400" s="2">
        <v>42350</v>
      </c>
      <c r="S2400" s="2">
        <v>42352</v>
      </c>
      <c r="T2400" s="2">
        <v>42350</v>
      </c>
      <c r="U2400" s="2">
        <v>42410</v>
      </c>
      <c r="V2400" t="s">
        <v>71</v>
      </c>
      <c r="W2400" t="str">
        <f>"              225/PA"</f>
        <v xml:space="preserve">              225/PA</v>
      </c>
      <c r="X2400">
        <v>119</v>
      </c>
      <c r="Y2400">
        <v>0</v>
      </c>
      <c r="Z2400"/>
      <c r="AB2400"/>
      <c r="AC2400">
        <v>97.54</v>
      </c>
      <c r="AD2400">
        <v>-7</v>
      </c>
      <c r="AE2400">
        <v>-682.78</v>
      </c>
      <c r="AF2400">
        <v>21.46</v>
      </c>
      <c r="AJ2400">
        <v>0</v>
      </c>
      <c r="AK2400">
        <v>0</v>
      </c>
      <c r="AL2400">
        <v>0</v>
      </c>
      <c r="AM2400">
        <v>0</v>
      </c>
      <c r="AN2400">
        <v>0</v>
      </c>
      <c r="AO2400">
        <v>0</v>
      </c>
      <c r="AP2400" s="2">
        <v>42746</v>
      </c>
      <c r="AQ2400" t="s">
        <v>72</v>
      </c>
      <c r="AR2400" t="s">
        <v>72</v>
      </c>
      <c r="AS2400">
        <v>212</v>
      </c>
      <c r="AT2400" s="4">
        <v>42403</v>
      </c>
      <c r="AV2400">
        <v>212</v>
      </c>
      <c r="AW2400" s="4">
        <v>42403</v>
      </c>
      <c r="BD2400">
        <v>21.46</v>
      </c>
      <c r="BN2400" t="s">
        <v>74</v>
      </c>
    </row>
    <row r="2401" spans="1:66" hidden="1">
      <c r="A2401">
        <v>100787</v>
      </c>
      <c r="B2401" s="3" t="s">
        <v>243</v>
      </c>
      <c r="C2401" s="1">
        <v>43300101</v>
      </c>
      <c r="D2401" t="s">
        <v>67</v>
      </c>
      <c r="H2401" t="str">
        <f t="shared" si="242"/>
        <v>CRDPIA44R47A783H</v>
      </c>
      <c r="I2401" t="str">
        <f t="shared" si="243"/>
        <v>00157320623</v>
      </c>
      <c r="K2401" t="str">
        <f>""</f>
        <v/>
      </c>
      <c r="M2401" t="s">
        <v>68</v>
      </c>
      <c r="N2401" t="str">
        <f t="shared" si="241"/>
        <v>FOR</v>
      </c>
      <c r="O2401" t="s">
        <v>69</v>
      </c>
      <c r="P2401" s="3" t="s">
        <v>75</v>
      </c>
      <c r="Q2401">
        <v>2015</v>
      </c>
      <c r="R2401" s="2">
        <v>42350</v>
      </c>
      <c r="S2401" s="2">
        <v>42352</v>
      </c>
      <c r="T2401" s="2">
        <v>42350</v>
      </c>
      <c r="U2401" s="2">
        <v>42410</v>
      </c>
      <c r="V2401" t="s">
        <v>71</v>
      </c>
      <c r="W2401" t="str">
        <f>"              226/PA"</f>
        <v xml:space="preserve">              226/PA</v>
      </c>
      <c r="X2401">
        <v>167.99</v>
      </c>
      <c r="Y2401">
        <v>0</v>
      </c>
      <c r="Z2401"/>
      <c r="AB2401"/>
      <c r="AC2401">
        <v>137.69999999999999</v>
      </c>
      <c r="AD2401">
        <v>-7</v>
      </c>
      <c r="AE2401">
        <v>-963.9</v>
      </c>
      <c r="AF2401">
        <v>30.29</v>
      </c>
      <c r="AJ2401">
        <v>0</v>
      </c>
      <c r="AK2401">
        <v>0</v>
      </c>
      <c r="AL2401">
        <v>0</v>
      </c>
      <c r="AM2401">
        <v>0</v>
      </c>
      <c r="AN2401">
        <v>0</v>
      </c>
      <c r="AO2401">
        <v>0</v>
      </c>
      <c r="AP2401" s="2">
        <v>42746</v>
      </c>
      <c r="AQ2401" t="s">
        <v>72</v>
      </c>
      <c r="AR2401" t="s">
        <v>72</v>
      </c>
      <c r="AS2401">
        <v>212</v>
      </c>
      <c r="AT2401" s="4">
        <v>42403</v>
      </c>
      <c r="AV2401">
        <v>212</v>
      </c>
      <c r="AW2401" s="4">
        <v>42403</v>
      </c>
      <c r="BD2401">
        <v>30.29</v>
      </c>
      <c r="BN2401" t="s">
        <v>74</v>
      </c>
    </row>
    <row r="2402" spans="1:66" hidden="1">
      <c r="A2402">
        <v>100787</v>
      </c>
      <c r="B2402" s="3" t="s">
        <v>243</v>
      </c>
      <c r="C2402" s="1">
        <v>43300101</v>
      </c>
      <c r="D2402" t="s">
        <v>67</v>
      </c>
      <c r="H2402" t="str">
        <f t="shared" si="242"/>
        <v>CRDPIA44R47A783H</v>
      </c>
      <c r="I2402" t="str">
        <f t="shared" si="243"/>
        <v>00157320623</v>
      </c>
      <c r="K2402" t="str">
        <f>""</f>
        <v/>
      </c>
      <c r="M2402" t="s">
        <v>68</v>
      </c>
      <c r="N2402" t="str">
        <f t="shared" si="241"/>
        <v>FOR</v>
      </c>
      <c r="O2402" t="s">
        <v>69</v>
      </c>
      <c r="P2402" s="3" t="s">
        <v>75</v>
      </c>
      <c r="Q2402">
        <v>2015</v>
      </c>
      <c r="R2402" s="2">
        <v>42369</v>
      </c>
      <c r="S2402" s="2">
        <v>42369</v>
      </c>
      <c r="T2402" s="2">
        <v>42369</v>
      </c>
      <c r="U2402" s="2">
        <v>42429</v>
      </c>
      <c r="V2402" t="s">
        <v>71</v>
      </c>
      <c r="W2402" t="str">
        <f>"              249/PA"</f>
        <v xml:space="preserve">              249/PA</v>
      </c>
      <c r="X2402">
        <v>107.99</v>
      </c>
      <c r="Y2402">
        <v>0</v>
      </c>
      <c r="Z2402"/>
      <c r="AB2402"/>
      <c r="AC2402">
        <v>88.52</v>
      </c>
      <c r="AD2402">
        <v>137</v>
      </c>
      <c r="AE2402" s="1">
        <v>12127.24</v>
      </c>
      <c r="AF2402">
        <v>19.47</v>
      </c>
      <c r="AJ2402">
        <v>0</v>
      </c>
      <c r="AK2402">
        <v>0</v>
      </c>
      <c r="AL2402">
        <v>0</v>
      </c>
      <c r="AM2402">
        <v>0</v>
      </c>
      <c r="AN2402">
        <v>0</v>
      </c>
      <c r="AO2402">
        <v>0</v>
      </c>
      <c r="AP2402" s="2">
        <v>42746</v>
      </c>
      <c r="AQ2402" t="s">
        <v>72</v>
      </c>
      <c r="AR2402" t="s">
        <v>72</v>
      </c>
      <c r="AS2402">
        <v>1771</v>
      </c>
      <c r="AT2402" s="4">
        <v>42566</v>
      </c>
      <c r="AU2402" t="s">
        <v>73</v>
      </c>
      <c r="AV2402">
        <v>1771</v>
      </c>
      <c r="AW2402" s="4">
        <v>42566</v>
      </c>
      <c r="BD2402">
        <v>19.47</v>
      </c>
      <c r="BN2402" t="s">
        <v>74</v>
      </c>
    </row>
    <row r="2403" spans="1:66" hidden="1">
      <c r="A2403">
        <v>100787</v>
      </c>
      <c r="B2403" s="3" t="s">
        <v>243</v>
      </c>
      <c r="C2403" s="1">
        <v>43300101</v>
      </c>
      <c r="D2403" t="s">
        <v>67</v>
      </c>
      <c r="H2403" t="str">
        <f t="shared" si="242"/>
        <v>CRDPIA44R47A783H</v>
      </c>
      <c r="I2403" t="str">
        <f t="shared" si="243"/>
        <v>00157320623</v>
      </c>
      <c r="K2403" t="str">
        <f>""</f>
        <v/>
      </c>
      <c r="M2403" t="s">
        <v>68</v>
      </c>
      <c r="N2403" t="str">
        <f t="shared" si="241"/>
        <v>FOR</v>
      </c>
      <c r="O2403" t="s">
        <v>69</v>
      </c>
      <c r="P2403" s="3" t="s">
        <v>75</v>
      </c>
      <c r="Q2403">
        <v>2015</v>
      </c>
      <c r="R2403" s="2">
        <v>42369</v>
      </c>
      <c r="S2403" s="2">
        <v>42369</v>
      </c>
      <c r="T2403" s="2">
        <v>42369</v>
      </c>
      <c r="U2403" s="2">
        <v>42429</v>
      </c>
      <c r="V2403" t="s">
        <v>71</v>
      </c>
      <c r="W2403" t="str">
        <f>"              250/PA"</f>
        <v xml:space="preserve">              250/PA</v>
      </c>
      <c r="X2403">
        <v>400.16</v>
      </c>
      <c r="Y2403">
        <v>0</v>
      </c>
      <c r="Z2403"/>
      <c r="AB2403"/>
      <c r="AC2403">
        <v>328</v>
      </c>
      <c r="AD2403">
        <v>137</v>
      </c>
      <c r="AE2403" s="1">
        <v>44936</v>
      </c>
      <c r="AF2403">
        <v>72.16</v>
      </c>
      <c r="AJ2403">
        <v>0</v>
      </c>
      <c r="AK2403">
        <v>0</v>
      </c>
      <c r="AL2403">
        <v>0</v>
      </c>
      <c r="AM2403">
        <v>0</v>
      </c>
      <c r="AN2403">
        <v>0</v>
      </c>
      <c r="AO2403">
        <v>0</v>
      </c>
      <c r="AP2403" s="2">
        <v>42746</v>
      </c>
      <c r="AQ2403" t="s">
        <v>72</v>
      </c>
      <c r="AR2403" t="s">
        <v>72</v>
      </c>
      <c r="AS2403">
        <v>1771</v>
      </c>
      <c r="AT2403" s="4">
        <v>42566</v>
      </c>
      <c r="AU2403" t="s">
        <v>73</v>
      </c>
      <c r="AV2403">
        <v>1771</v>
      </c>
      <c r="AW2403" s="4">
        <v>42566</v>
      </c>
      <c r="BD2403">
        <v>72.16</v>
      </c>
      <c r="BN2403" t="s">
        <v>74</v>
      </c>
    </row>
    <row r="2404" spans="1:66" hidden="1">
      <c r="A2404">
        <v>100787</v>
      </c>
      <c r="B2404" s="3" t="s">
        <v>243</v>
      </c>
      <c r="C2404" s="1">
        <v>43300101</v>
      </c>
      <c r="D2404" t="s">
        <v>67</v>
      </c>
      <c r="H2404" t="str">
        <f t="shared" si="242"/>
        <v>CRDPIA44R47A783H</v>
      </c>
      <c r="I2404" t="str">
        <f t="shared" si="243"/>
        <v>00157320623</v>
      </c>
      <c r="K2404" t="str">
        <f>""</f>
        <v/>
      </c>
      <c r="M2404" t="s">
        <v>68</v>
      </c>
      <c r="N2404" t="str">
        <f t="shared" si="241"/>
        <v>FOR</v>
      </c>
      <c r="O2404" t="s">
        <v>69</v>
      </c>
      <c r="P2404" s="3" t="s">
        <v>75</v>
      </c>
      <c r="Q2404">
        <v>2016</v>
      </c>
      <c r="R2404" s="2">
        <v>42395</v>
      </c>
      <c r="S2404" s="2">
        <v>42396</v>
      </c>
      <c r="T2404" s="2">
        <v>42396</v>
      </c>
      <c r="U2404" s="2">
        <v>42456</v>
      </c>
      <c r="V2404" t="s">
        <v>71</v>
      </c>
      <c r="W2404" t="str">
        <f>"                9/PA"</f>
        <v xml:space="preserve">                9/PA</v>
      </c>
      <c r="X2404">
        <v>706.75</v>
      </c>
      <c r="Y2404">
        <v>0</v>
      </c>
      <c r="Z2404"/>
      <c r="AB2404"/>
      <c r="AC2404">
        <v>621.78</v>
      </c>
      <c r="AD2404">
        <v>110</v>
      </c>
      <c r="AE2404" s="1">
        <v>68395.8</v>
      </c>
      <c r="AF2404">
        <v>84.97</v>
      </c>
      <c r="AJ2404">
        <v>0</v>
      </c>
      <c r="AK2404">
        <v>0</v>
      </c>
      <c r="AL2404">
        <v>0</v>
      </c>
      <c r="AM2404">
        <v>706.75</v>
      </c>
      <c r="AN2404">
        <v>706.75</v>
      </c>
      <c r="AO2404">
        <v>706.75</v>
      </c>
      <c r="AP2404" s="2">
        <v>42746</v>
      </c>
      <c r="AQ2404" t="s">
        <v>72</v>
      </c>
      <c r="AR2404" t="s">
        <v>72</v>
      </c>
      <c r="AS2404">
        <v>1772</v>
      </c>
      <c r="AT2404" s="4">
        <v>42566</v>
      </c>
      <c r="AU2404" t="s">
        <v>73</v>
      </c>
      <c r="AV2404">
        <v>1772</v>
      </c>
      <c r="AW2404" s="4">
        <v>42566</v>
      </c>
      <c r="BD2404">
        <v>84.97</v>
      </c>
      <c r="BN2404" t="s">
        <v>74</v>
      </c>
    </row>
    <row r="2405" spans="1:66" hidden="1">
      <c r="A2405">
        <v>100787</v>
      </c>
      <c r="B2405" s="3" t="s">
        <v>243</v>
      </c>
      <c r="C2405" s="1">
        <v>43300101</v>
      </c>
      <c r="D2405" t="s">
        <v>67</v>
      </c>
      <c r="H2405" t="str">
        <f t="shared" si="242"/>
        <v>CRDPIA44R47A783H</v>
      </c>
      <c r="I2405" t="str">
        <f t="shared" si="243"/>
        <v>00157320623</v>
      </c>
      <c r="K2405" t="str">
        <f>""</f>
        <v/>
      </c>
      <c r="M2405" t="s">
        <v>68</v>
      </c>
      <c r="N2405" t="str">
        <f t="shared" si="241"/>
        <v>FOR</v>
      </c>
      <c r="O2405" t="s">
        <v>69</v>
      </c>
      <c r="P2405" s="3" t="s">
        <v>75</v>
      </c>
      <c r="Q2405">
        <v>2016</v>
      </c>
      <c r="R2405" s="2">
        <v>42420</v>
      </c>
      <c r="S2405" s="2">
        <v>42422</v>
      </c>
      <c r="T2405" s="2">
        <v>42422</v>
      </c>
      <c r="U2405" s="2">
        <v>42482</v>
      </c>
      <c r="V2405" t="s">
        <v>71</v>
      </c>
      <c r="W2405" t="str">
        <f>"               37/PA"</f>
        <v xml:space="preserve">               37/PA</v>
      </c>
      <c r="X2405">
        <v>50</v>
      </c>
      <c r="Y2405">
        <v>0</v>
      </c>
      <c r="Z2405"/>
      <c r="AB2405"/>
      <c r="AC2405">
        <v>40.98</v>
      </c>
      <c r="AD2405">
        <v>84</v>
      </c>
      <c r="AE2405" s="1">
        <v>3442.32</v>
      </c>
      <c r="AF2405">
        <v>9.02</v>
      </c>
      <c r="AJ2405">
        <v>0</v>
      </c>
      <c r="AK2405">
        <v>0</v>
      </c>
      <c r="AL2405">
        <v>0</v>
      </c>
      <c r="AM2405">
        <v>50</v>
      </c>
      <c r="AN2405">
        <v>50</v>
      </c>
      <c r="AO2405">
        <v>50</v>
      </c>
      <c r="AP2405" s="2">
        <v>42746</v>
      </c>
      <c r="AQ2405" t="s">
        <v>72</v>
      </c>
      <c r="AR2405" t="s">
        <v>72</v>
      </c>
      <c r="AS2405">
        <v>1771</v>
      </c>
      <c r="AT2405" s="4">
        <v>42566</v>
      </c>
      <c r="AU2405" t="s">
        <v>73</v>
      </c>
      <c r="AV2405">
        <v>1771</v>
      </c>
      <c r="AW2405" s="4">
        <v>42566</v>
      </c>
      <c r="BD2405">
        <v>9.02</v>
      </c>
      <c r="BN2405" t="s">
        <v>74</v>
      </c>
    </row>
    <row r="2406" spans="1:66" hidden="1">
      <c r="A2406">
        <v>100787</v>
      </c>
      <c r="B2406" s="3" t="s">
        <v>243</v>
      </c>
      <c r="C2406" s="1">
        <v>43300101</v>
      </c>
      <c r="D2406" t="s">
        <v>67</v>
      </c>
      <c r="H2406" t="str">
        <f t="shared" si="242"/>
        <v>CRDPIA44R47A783H</v>
      </c>
      <c r="I2406" t="str">
        <f t="shared" si="243"/>
        <v>00157320623</v>
      </c>
      <c r="K2406" t="str">
        <f>""</f>
        <v/>
      </c>
      <c r="M2406" t="s">
        <v>68</v>
      </c>
      <c r="N2406" t="str">
        <f t="shared" si="241"/>
        <v>FOR</v>
      </c>
      <c r="O2406" t="s">
        <v>69</v>
      </c>
      <c r="P2406" s="3" t="s">
        <v>75</v>
      </c>
      <c r="Q2406">
        <v>2016</v>
      </c>
      <c r="R2406" s="2">
        <v>42420</v>
      </c>
      <c r="S2406" s="2">
        <v>42422</v>
      </c>
      <c r="T2406" s="2">
        <v>42422</v>
      </c>
      <c r="U2406" s="2">
        <v>42482</v>
      </c>
      <c r="V2406" t="s">
        <v>71</v>
      </c>
      <c r="W2406" t="str">
        <f>"               38/PA"</f>
        <v xml:space="preserve">               38/PA</v>
      </c>
      <c r="X2406">
        <v>132.80000000000001</v>
      </c>
      <c r="Y2406">
        <v>0</v>
      </c>
      <c r="Z2406"/>
      <c r="AB2406"/>
      <c r="AC2406">
        <v>108.85</v>
      </c>
      <c r="AD2406">
        <v>84</v>
      </c>
      <c r="AE2406" s="1">
        <v>9143.4</v>
      </c>
      <c r="AF2406">
        <v>23.95</v>
      </c>
      <c r="AJ2406">
        <v>0</v>
      </c>
      <c r="AK2406">
        <v>0</v>
      </c>
      <c r="AL2406">
        <v>0</v>
      </c>
      <c r="AM2406">
        <v>132.80000000000001</v>
      </c>
      <c r="AN2406">
        <v>132.80000000000001</v>
      </c>
      <c r="AO2406">
        <v>132.80000000000001</v>
      </c>
      <c r="AP2406" s="2">
        <v>42746</v>
      </c>
      <c r="AQ2406" t="s">
        <v>72</v>
      </c>
      <c r="AR2406" t="s">
        <v>72</v>
      </c>
      <c r="AS2406">
        <v>1771</v>
      </c>
      <c r="AT2406" s="4">
        <v>42566</v>
      </c>
      <c r="AU2406" t="s">
        <v>73</v>
      </c>
      <c r="AV2406">
        <v>1771</v>
      </c>
      <c r="AW2406" s="4">
        <v>42566</v>
      </c>
      <c r="BD2406">
        <v>23.95</v>
      </c>
      <c r="BN2406" t="s">
        <v>74</v>
      </c>
    </row>
    <row r="2407" spans="1:66" hidden="1">
      <c r="A2407">
        <v>100787</v>
      </c>
      <c r="B2407" s="3" t="s">
        <v>243</v>
      </c>
      <c r="C2407" s="1">
        <v>43300101</v>
      </c>
      <c r="D2407" t="s">
        <v>67</v>
      </c>
      <c r="H2407" t="str">
        <f t="shared" si="242"/>
        <v>CRDPIA44R47A783H</v>
      </c>
      <c r="I2407" t="str">
        <f t="shared" si="243"/>
        <v>00157320623</v>
      </c>
      <c r="K2407" t="str">
        <f>""</f>
        <v/>
      </c>
      <c r="M2407" t="s">
        <v>68</v>
      </c>
      <c r="N2407" t="str">
        <f t="shared" si="241"/>
        <v>FOR</v>
      </c>
      <c r="O2407" t="s">
        <v>69</v>
      </c>
      <c r="P2407" s="3" t="s">
        <v>75</v>
      </c>
      <c r="Q2407">
        <v>2016</v>
      </c>
      <c r="R2407" s="2">
        <v>42420</v>
      </c>
      <c r="S2407" s="2">
        <v>42422</v>
      </c>
      <c r="T2407" s="2">
        <v>42422</v>
      </c>
      <c r="U2407" s="2">
        <v>42482</v>
      </c>
      <c r="V2407" t="s">
        <v>71</v>
      </c>
      <c r="W2407" t="str">
        <f>"               39/PA"</f>
        <v xml:space="preserve">               39/PA</v>
      </c>
      <c r="X2407">
        <v>68</v>
      </c>
      <c r="Y2407">
        <v>0</v>
      </c>
      <c r="Z2407"/>
      <c r="AB2407"/>
      <c r="AC2407">
        <v>55.74</v>
      </c>
      <c r="AD2407">
        <v>84</v>
      </c>
      <c r="AE2407" s="1">
        <v>4682.16</v>
      </c>
      <c r="AF2407">
        <v>12.26</v>
      </c>
      <c r="AJ2407">
        <v>0</v>
      </c>
      <c r="AK2407">
        <v>0</v>
      </c>
      <c r="AL2407">
        <v>0</v>
      </c>
      <c r="AM2407">
        <v>68</v>
      </c>
      <c r="AN2407">
        <v>68</v>
      </c>
      <c r="AO2407">
        <v>68</v>
      </c>
      <c r="AP2407" s="2">
        <v>42746</v>
      </c>
      <c r="AQ2407" t="s">
        <v>72</v>
      </c>
      <c r="AR2407" t="s">
        <v>72</v>
      </c>
      <c r="AS2407">
        <v>1771</v>
      </c>
      <c r="AT2407" s="4">
        <v>42566</v>
      </c>
      <c r="AU2407" t="s">
        <v>73</v>
      </c>
      <c r="AV2407">
        <v>1771</v>
      </c>
      <c r="AW2407" s="4">
        <v>42566</v>
      </c>
      <c r="BD2407">
        <v>12.26</v>
      </c>
      <c r="BN2407" t="s">
        <v>74</v>
      </c>
    </row>
    <row r="2408" spans="1:66" hidden="1">
      <c r="A2408">
        <v>100787</v>
      </c>
      <c r="B2408" s="3" t="s">
        <v>243</v>
      </c>
      <c r="C2408" s="1">
        <v>43300101</v>
      </c>
      <c r="D2408" t="s">
        <v>67</v>
      </c>
      <c r="H2408" t="str">
        <f t="shared" si="242"/>
        <v>CRDPIA44R47A783H</v>
      </c>
      <c r="I2408" t="str">
        <f t="shared" si="243"/>
        <v>00157320623</v>
      </c>
      <c r="K2408" t="str">
        <f>""</f>
        <v/>
      </c>
      <c r="M2408" t="s">
        <v>68</v>
      </c>
      <c r="N2408" t="str">
        <f t="shared" si="241"/>
        <v>FOR</v>
      </c>
      <c r="O2408" t="s">
        <v>69</v>
      </c>
      <c r="P2408" s="3" t="s">
        <v>75</v>
      </c>
      <c r="Q2408">
        <v>2016</v>
      </c>
      <c r="R2408" s="2">
        <v>42445</v>
      </c>
      <c r="S2408" s="2">
        <v>42446</v>
      </c>
      <c r="T2408" s="2">
        <v>42445</v>
      </c>
      <c r="U2408" s="2">
        <v>42505</v>
      </c>
      <c r="V2408" t="s">
        <v>71</v>
      </c>
      <c r="W2408" t="str">
        <f>"               57/PA"</f>
        <v xml:space="preserve">               57/PA</v>
      </c>
      <c r="X2408">
        <v>761.28</v>
      </c>
      <c r="Y2408">
        <v>0</v>
      </c>
      <c r="Z2408"/>
      <c r="AB2408"/>
      <c r="AC2408">
        <v>624</v>
      </c>
      <c r="AD2408">
        <v>61</v>
      </c>
      <c r="AE2408" s="1">
        <v>38064</v>
      </c>
      <c r="AF2408">
        <v>137.28</v>
      </c>
      <c r="AJ2408">
        <v>0</v>
      </c>
      <c r="AK2408">
        <v>0</v>
      </c>
      <c r="AL2408">
        <v>0</v>
      </c>
      <c r="AM2408">
        <v>761.28</v>
      </c>
      <c r="AN2408">
        <v>761.28</v>
      </c>
      <c r="AO2408">
        <v>761.28</v>
      </c>
      <c r="AP2408" s="2">
        <v>42746</v>
      </c>
      <c r="AQ2408" t="s">
        <v>72</v>
      </c>
      <c r="AR2408" t="s">
        <v>72</v>
      </c>
      <c r="AS2408">
        <v>1771</v>
      </c>
      <c r="AT2408" s="4">
        <v>42566</v>
      </c>
      <c r="AU2408" t="s">
        <v>73</v>
      </c>
      <c r="AV2408">
        <v>1771</v>
      </c>
      <c r="AW2408" s="4">
        <v>42566</v>
      </c>
      <c r="BD2408">
        <v>137.28</v>
      </c>
      <c r="BN2408" t="s">
        <v>74</v>
      </c>
    </row>
    <row r="2409" spans="1:66" hidden="1">
      <c r="A2409">
        <v>100787</v>
      </c>
      <c r="B2409" s="3" t="s">
        <v>243</v>
      </c>
      <c r="C2409" s="1">
        <v>43300101</v>
      </c>
      <c r="D2409" t="s">
        <v>67</v>
      </c>
      <c r="H2409" t="str">
        <f t="shared" si="242"/>
        <v>CRDPIA44R47A783H</v>
      </c>
      <c r="I2409" t="str">
        <f t="shared" si="243"/>
        <v>00157320623</v>
      </c>
      <c r="K2409" t="str">
        <f>""</f>
        <v/>
      </c>
      <c r="M2409" t="s">
        <v>68</v>
      </c>
      <c r="N2409" t="str">
        <f t="shared" si="241"/>
        <v>FOR</v>
      </c>
      <c r="O2409" t="s">
        <v>69</v>
      </c>
      <c r="P2409" s="3" t="s">
        <v>75</v>
      </c>
      <c r="Q2409">
        <v>2016</v>
      </c>
      <c r="R2409" s="2">
        <v>42445</v>
      </c>
      <c r="S2409" s="2">
        <v>42446</v>
      </c>
      <c r="T2409" s="2">
        <v>42445</v>
      </c>
      <c r="U2409" s="2">
        <v>42505</v>
      </c>
      <c r="V2409" t="s">
        <v>71</v>
      </c>
      <c r="W2409" t="str">
        <f>"               58/PA"</f>
        <v xml:space="preserve">               58/PA</v>
      </c>
      <c r="X2409">
        <v>69</v>
      </c>
      <c r="Y2409">
        <v>0</v>
      </c>
      <c r="Z2409"/>
      <c r="AB2409"/>
      <c r="AC2409">
        <v>56.56</v>
      </c>
      <c r="AD2409">
        <v>61</v>
      </c>
      <c r="AE2409" s="1">
        <v>3450.16</v>
      </c>
      <c r="AF2409">
        <v>12.44</v>
      </c>
      <c r="AJ2409">
        <v>0</v>
      </c>
      <c r="AK2409">
        <v>0</v>
      </c>
      <c r="AL2409">
        <v>0</v>
      </c>
      <c r="AM2409">
        <v>69</v>
      </c>
      <c r="AN2409">
        <v>69</v>
      </c>
      <c r="AO2409">
        <v>69</v>
      </c>
      <c r="AP2409" s="2">
        <v>42746</v>
      </c>
      <c r="AQ2409" t="s">
        <v>72</v>
      </c>
      <c r="AR2409" t="s">
        <v>72</v>
      </c>
      <c r="AS2409">
        <v>1771</v>
      </c>
      <c r="AT2409" s="4">
        <v>42566</v>
      </c>
      <c r="AU2409" t="s">
        <v>73</v>
      </c>
      <c r="AV2409">
        <v>1771</v>
      </c>
      <c r="AW2409" s="4">
        <v>42566</v>
      </c>
      <c r="BD2409">
        <v>12.44</v>
      </c>
      <c r="BN2409" t="s">
        <v>74</v>
      </c>
    </row>
    <row r="2410" spans="1:66">
      <c r="A2410">
        <v>100787</v>
      </c>
      <c r="B2410" s="3" t="s">
        <v>243</v>
      </c>
      <c r="C2410" s="1">
        <v>43300101</v>
      </c>
      <c r="D2410" t="s">
        <v>67</v>
      </c>
      <c r="H2410" t="str">
        <f t="shared" si="242"/>
        <v>CRDPIA44R47A783H</v>
      </c>
      <c r="I2410" t="str">
        <f t="shared" si="243"/>
        <v>00157320623</v>
      </c>
      <c r="K2410" t="str">
        <f>""</f>
        <v/>
      </c>
      <c r="M2410" t="s">
        <v>68</v>
      </c>
      <c r="N2410" t="str">
        <f t="shared" si="241"/>
        <v>FOR</v>
      </c>
      <c r="O2410" t="s">
        <v>69</v>
      </c>
      <c r="P2410" s="3" t="s">
        <v>75</v>
      </c>
      <c r="Q2410">
        <v>2016</v>
      </c>
      <c r="R2410" s="2">
        <v>42460</v>
      </c>
      <c r="S2410" s="2">
        <v>42461</v>
      </c>
      <c r="T2410" s="2">
        <v>42460</v>
      </c>
      <c r="U2410" s="2">
        <v>42520</v>
      </c>
      <c r="V2410" t="s">
        <v>71</v>
      </c>
      <c r="W2410" t="str">
        <f>"               67/PA"</f>
        <v xml:space="preserve">               67/PA</v>
      </c>
      <c r="X2410">
        <v>187.58</v>
      </c>
      <c r="Y2410">
        <v>0</v>
      </c>
      <c r="Z2410" s="3">
        <v>153.75</v>
      </c>
      <c r="AA2410">
        <v>161</v>
      </c>
      <c r="AB2410" s="5">
        <v>24753.75</v>
      </c>
      <c r="AC2410">
        <v>153.75</v>
      </c>
      <c r="AD2410">
        <v>161</v>
      </c>
      <c r="AE2410" s="1">
        <v>24753.75</v>
      </c>
      <c r="AF2410">
        <v>33.83</v>
      </c>
      <c r="AJ2410">
        <v>0</v>
      </c>
      <c r="AK2410">
        <v>0</v>
      </c>
      <c r="AL2410">
        <v>0</v>
      </c>
      <c r="AM2410">
        <v>187.58</v>
      </c>
      <c r="AN2410">
        <v>187.58</v>
      </c>
      <c r="AO2410">
        <v>187.58</v>
      </c>
      <c r="AP2410" s="2">
        <v>42746</v>
      </c>
      <c r="AQ2410" t="s">
        <v>72</v>
      </c>
      <c r="AR2410" t="s">
        <v>72</v>
      </c>
      <c r="AS2410">
        <v>2946</v>
      </c>
      <c r="AT2410" s="4">
        <v>42681</v>
      </c>
      <c r="AU2410" t="s">
        <v>73</v>
      </c>
      <c r="AV2410">
        <v>2946</v>
      </c>
      <c r="AW2410" s="4">
        <v>42681</v>
      </c>
      <c r="BD2410">
        <v>33.83</v>
      </c>
      <c r="BN2410" t="s">
        <v>74</v>
      </c>
    </row>
    <row r="2411" spans="1:66">
      <c r="A2411">
        <v>100787</v>
      </c>
      <c r="B2411" s="3" t="s">
        <v>243</v>
      </c>
      <c r="C2411" s="1">
        <v>43300101</v>
      </c>
      <c r="D2411" t="s">
        <v>67</v>
      </c>
      <c r="H2411" t="str">
        <f t="shared" si="242"/>
        <v>CRDPIA44R47A783H</v>
      </c>
      <c r="I2411" t="str">
        <f t="shared" si="243"/>
        <v>00157320623</v>
      </c>
      <c r="K2411" t="str">
        <f>""</f>
        <v/>
      </c>
      <c r="M2411" t="s">
        <v>68</v>
      </c>
      <c r="N2411" t="str">
        <f t="shared" si="241"/>
        <v>FOR</v>
      </c>
      <c r="O2411" t="s">
        <v>69</v>
      </c>
      <c r="P2411" s="3" t="s">
        <v>75</v>
      </c>
      <c r="Q2411">
        <v>2016</v>
      </c>
      <c r="R2411" s="2">
        <v>42460</v>
      </c>
      <c r="S2411" s="2">
        <v>42461</v>
      </c>
      <c r="T2411" s="2">
        <v>42460</v>
      </c>
      <c r="U2411" s="2">
        <v>42520</v>
      </c>
      <c r="V2411" t="s">
        <v>71</v>
      </c>
      <c r="W2411" t="str">
        <f>"               68/PA"</f>
        <v xml:space="preserve">               68/PA</v>
      </c>
      <c r="X2411">
        <v>186.66</v>
      </c>
      <c r="Y2411">
        <v>0</v>
      </c>
      <c r="Z2411" s="3">
        <v>153</v>
      </c>
      <c r="AA2411">
        <v>161</v>
      </c>
      <c r="AB2411" s="5">
        <v>24633</v>
      </c>
      <c r="AC2411">
        <v>153</v>
      </c>
      <c r="AD2411">
        <v>161</v>
      </c>
      <c r="AE2411" s="1">
        <v>24633</v>
      </c>
      <c r="AF2411">
        <v>33.659999999999997</v>
      </c>
      <c r="AJ2411">
        <v>0</v>
      </c>
      <c r="AK2411">
        <v>0</v>
      </c>
      <c r="AL2411">
        <v>0</v>
      </c>
      <c r="AM2411">
        <v>186.66</v>
      </c>
      <c r="AN2411">
        <v>186.66</v>
      </c>
      <c r="AO2411">
        <v>186.66</v>
      </c>
      <c r="AP2411" s="2">
        <v>42746</v>
      </c>
      <c r="AQ2411" t="s">
        <v>72</v>
      </c>
      <c r="AR2411" t="s">
        <v>72</v>
      </c>
      <c r="AS2411">
        <v>2946</v>
      </c>
      <c r="AT2411" s="4">
        <v>42681</v>
      </c>
      <c r="AU2411" t="s">
        <v>73</v>
      </c>
      <c r="AV2411">
        <v>2946</v>
      </c>
      <c r="AW2411" s="4">
        <v>42681</v>
      </c>
      <c r="BD2411">
        <v>33.659999999999997</v>
      </c>
      <c r="BN2411" t="s">
        <v>74</v>
      </c>
    </row>
    <row r="2412" spans="1:66">
      <c r="A2412">
        <v>100787</v>
      </c>
      <c r="B2412" s="3" t="s">
        <v>243</v>
      </c>
      <c r="C2412" s="1">
        <v>43300101</v>
      </c>
      <c r="D2412" t="s">
        <v>67</v>
      </c>
      <c r="H2412" t="str">
        <f t="shared" si="242"/>
        <v>CRDPIA44R47A783H</v>
      </c>
      <c r="I2412" t="str">
        <f t="shared" si="243"/>
        <v>00157320623</v>
      </c>
      <c r="K2412" t="str">
        <f>""</f>
        <v/>
      </c>
      <c r="M2412" t="s">
        <v>68</v>
      </c>
      <c r="N2412" t="str">
        <f t="shared" si="241"/>
        <v>FOR</v>
      </c>
      <c r="O2412" t="s">
        <v>69</v>
      </c>
      <c r="P2412" s="3" t="s">
        <v>75</v>
      </c>
      <c r="Q2412">
        <v>2016</v>
      </c>
      <c r="R2412" s="2">
        <v>42483</v>
      </c>
      <c r="S2412" s="2">
        <v>42486</v>
      </c>
      <c r="T2412" s="2">
        <v>42486</v>
      </c>
      <c r="U2412" s="2">
        <v>42546</v>
      </c>
      <c r="V2412" t="s">
        <v>71</v>
      </c>
      <c r="W2412" t="str">
        <f>"               87/PA"</f>
        <v xml:space="preserve">               87/PA</v>
      </c>
      <c r="X2412">
        <v>187</v>
      </c>
      <c r="Y2412">
        <v>0</v>
      </c>
      <c r="Z2412" s="3">
        <v>170</v>
      </c>
      <c r="AA2412">
        <v>135</v>
      </c>
      <c r="AB2412" s="5">
        <v>22950</v>
      </c>
      <c r="AC2412">
        <v>170</v>
      </c>
      <c r="AD2412">
        <v>135</v>
      </c>
      <c r="AE2412" s="1">
        <v>22950</v>
      </c>
      <c r="AF2412">
        <v>17</v>
      </c>
      <c r="AJ2412">
        <v>0</v>
      </c>
      <c r="AK2412">
        <v>0</v>
      </c>
      <c r="AL2412">
        <v>0</v>
      </c>
      <c r="AM2412">
        <v>187</v>
      </c>
      <c r="AN2412">
        <v>187</v>
      </c>
      <c r="AO2412">
        <v>187</v>
      </c>
      <c r="AP2412" s="2">
        <v>42746</v>
      </c>
      <c r="AQ2412" t="s">
        <v>72</v>
      </c>
      <c r="AR2412" t="s">
        <v>72</v>
      </c>
      <c r="AS2412">
        <v>2946</v>
      </c>
      <c r="AT2412" s="4">
        <v>42681</v>
      </c>
      <c r="AU2412" t="s">
        <v>73</v>
      </c>
      <c r="AV2412">
        <v>2946</v>
      </c>
      <c r="AW2412" s="4">
        <v>42681</v>
      </c>
      <c r="BD2412">
        <v>17</v>
      </c>
      <c r="BN2412" t="s">
        <v>74</v>
      </c>
    </row>
    <row r="2413" spans="1:66">
      <c r="A2413">
        <v>100787</v>
      </c>
      <c r="B2413" s="3" t="s">
        <v>243</v>
      </c>
      <c r="C2413" s="1">
        <v>43300101</v>
      </c>
      <c r="D2413" t="s">
        <v>67</v>
      </c>
      <c r="H2413" t="str">
        <f t="shared" si="242"/>
        <v>CRDPIA44R47A783H</v>
      </c>
      <c r="I2413" t="str">
        <f t="shared" si="243"/>
        <v>00157320623</v>
      </c>
      <c r="K2413" t="str">
        <f>""</f>
        <v/>
      </c>
      <c r="M2413" t="s">
        <v>68</v>
      </c>
      <c r="N2413" t="str">
        <f t="shared" si="241"/>
        <v>FOR</v>
      </c>
      <c r="O2413" t="s">
        <v>69</v>
      </c>
      <c r="P2413" s="3" t="s">
        <v>75</v>
      </c>
      <c r="Q2413">
        <v>2016</v>
      </c>
      <c r="R2413" s="2">
        <v>42514</v>
      </c>
      <c r="S2413" s="2">
        <v>42515</v>
      </c>
      <c r="T2413" s="2">
        <v>42514</v>
      </c>
      <c r="U2413" s="2">
        <v>42574</v>
      </c>
      <c r="V2413" t="s">
        <v>71</v>
      </c>
      <c r="W2413" t="str">
        <f>"              101/PA"</f>
        <v xml:space="preserve">              101/PA</v>
      </c>
      <c r="X2413">
        <v>544.01</v>
      </c>
      <c r="Y2413">
        <v>0</v>
      </c>
      <c r="Z2413" s="3">
        <v>445.91</v>
      </c>
      <c r="AA2413">
        <v>107</v>
      </c>
      <c r="AB2413" s="5">
        <v>47712.37</v>
      </c>
      <c r="AC2413">
        <v>445.91</v>
      </c>
      <c r="AD2413">
        <v>107</v>
      </c>
      <c r="AE2413" s="1">
        <v>47712.37</v>
      </c>
      <c r="AF2413">
        <v>98.1</v>
      </c>
      <c r="AJ2413">
        <v>0</v>
      </c>
      <c r="AK2413">
        <v>0</v>
      </c>
      <c r="AL2413">
        <v>0</v>
      </c>
      <c r="AM2413">
        <v>544.01</v>
      </c>
      <c r="AN2413">
        <v>544.01</v>
      </c>
      <c r="AO2413">
        <v>544.01</v>
      </c>
      <c r="AP2413" s="2">
        <v>42746</v>
      </c>
      <c r="AQ2413" t="s">
        <v>72</v>
      </c>
      <c r="AR2413" t="s">
        <v>72</v>
      </c>
      <c r="AS2413">
        <v>2946</v>
      </c>
      <c r="AT2413" s="4">
        <v>42681</v>
      </c>
      <c r="AU2413" t="s">
        <v>73</v>
      </c>
      <c r="AV2413">
        <v>2946</v>
      </c>
      <c r="AW2413" s="4">
        <v>42681</v>
      </c>
      <c r="BC2413">
        <v>98.1</v>
      </c>
      <c r="BD2413">
        <v>0</v>
      </c>
      <c r="BN2413" t="s">
        <v>74</v>
      </c>
    </row>
    <row r="2414" spans="1:66">
      <c r="A2414">
        <v>100787</v>
      </c>
      <c r="B2414" s="3" t="s">
        <v>243</v>
      </c>
      <c r="C2414" s="1">
        <v>43300101</v>
      </c>
      <c r="D2414" t="s">
        <v>67</v>
      </c>
      <c r="H2414" t="str">
        <f t="shared" si="242"/>
        <v>CRDPIA44R47A783H</v>
      </c>
      <c r="I2414" t="str">
        <f t="shared" si="243"/>
        <v>00157320623</v>
      </c>
      <c r="K2414" t="str">
        <f>""</f>
        <v/>
      </c>
      <c r="M2414" t="s">
        <v>68</v>
      </c>
      <c r="N2414" t="str">
        <f t="shared" si="241"/>
        <v>FOR</v>
      </c>
      <c r="O2414" t="s">
        <v>69</v>
      </c>
      <c r="P2414" s="3" t="s">
        <v>75</v>
      </c>
      <c r="Q2414">
        <v>2016</v>
      </c>
      <c r="R2414" s="2">
        <v>42514</v>
      </c>
      <c r="S2414" s="2">
        <v>42515</v>
      </c>
      <c r="T2414" s="2">
        <v>42514</v>
      </c>
      <c r="U2414" s="2">
        <v>42574</v>
      </c>
      <c r="V2414" t="s">
        <v>71</v>
      </c>
      <c r="W2414" t="str">
        <f>"              102/PA"</f>
        <v xml:space="preserve">              102/PA</v>
      </c>
      <c r="X2414">
        <v>108.01</v>
      </c>
      <c r="Y2414">
        <v>0</v>
      </c>
      <c r="Z2414" s="3">
        <v>88.53</v>
      </c>
      <c r="AA2414">
        <v>107</v>
      </c>
      <c r="AB2414" s="5">
        <v>9472.7099999999991</v>
      </c>
      <c r="AC2414">
        <v>88.53</v>
      </c>
      <c r="AD2414">
        <v>107</v>
      </c>
      <c r="AE2414" s="1">
        <v>9472.7099999999991</v>
      </c>
      <c r="AF2414">
        <v>19.48</v>
      </c>
      <c r="AJ2414">
        <v>0</v>
      </c>
      <c r="AK2414">
        <v>0</v>
      </c>
      <c r="AL2414">
        <v>0</v>
      </c>
      <c r="AM2414">
        <v>108.01</v>
      </c>
      <c r="AN2414">
        <v>108.01</v>
      </c>
      <c r="AO2414">
        <v>108.01</v>
      </c>
      <c r="AP2414" s="2">
        <v>42746</v>
      </c>
      <c r="AQ2414" t="s">
        <v>72</v>
      </c>
      <c r="AR2414" t="s">
        <v>72</v>
      </c>
      <c r="AS2414">
        <v>2946</v>
      </c>
      <c r="AT2414" s="4">
        <v>42681</v>
      </c>
      <c r="AU2414" t="s">
        <v>73</v>
      </c>
      <c r="AV2414">
        <v>2946</v>
      </c>
      <c r="AW2414" s="4">
        <v>42681</v>
      </c>
      <c r="BC2414">
        <v>19.48</v>
      </c>
      <c r="BD2414">
        <v>0</v>
      </c>
      <c r="BN2414" t="s">
        <v>74</v>
      </c>
    </row>
    <row r="2415" spans="1:66">
      <c r="A2415">
        <v>100787</v>
      </c>
      <c r="B2415" s="3" t="s">
        <v>243</v>
      </c>
      <c r="C2415" s="1">
        <v>43300101</v>
      </c>
      <c r="D2415" t="s">
        <v>67</v>
      </c>
      <c r="H2415" t="str">
        <f t="shared" si="242"/>
        <v>CRDPIA44R47A783H</v>
      </c>
      <c r="I2415" t="str">
        <f t="shared" si="243"/>
        <v>00157320623</v>
      </c>
      <c r="K2415" t="str">
        <f>""</f>
        <v/>
      </c>
      <c r="M2415" t="s">
        <v>68</v>
      </c>
      <c r="N2415" t="str">
        <f t="shared" si="241"/>
        <v>FOR</v>
      </c>
      <c r="O2415" t="s">
        <v>69</v>
      </c>
      <c r="P2415" s="3" t="s">
        <v>75</v>
      </c>
      <c r="Q2415">
        <v>2016</v>
      </c>
      <c r="R2415" s="2">
        <v>42514</v>
      </c>
      <c r="S2415" s="2">
        <v>42515</v>
      </c>
      <c r="T2415" s="2">
        <v>42514</v>
      </c>
      <c r="U2415" s="2">
        <v>42574</v>
      </c>
      <c r="V2415" t="s">
        <v>71</v>
      </c>
      <c r="W2415" t="str">
        <f>"              103/PA"</f>
        <v xml:space="preserve">              103/PA</v>
      </c>
      <c r="X2415">
        <v>215.5</v>
      </c>
      <c r="Y2415">
        <v>0</v>
      </c>
      <c r="Z2415" s="3">
        <v>176.64</v>
      </c>
      <c r="AA2415">
        <v>107</v>
      </c>
      <c r="AB2415" s="5">
        <v>18900.48</v>
      </c>
      <c r="AC2415">
        <v>176.64</v>
      </c>
      <c r="AD2415">
        <v>107</v>
      </c>
      <c r="AE2415" s="1">
        <v>18900.48</v>
      </c>
      <c r="AF2415">
        <v>38.86</v>
      </c>
      <c r="AJ2415">
        <v>0</v>
      </c>
      <c r="AK2415">
        <v>0</v>
      </c>
      <c r="AL2415">
        <v>0</v>
      </c>
      <c r="AM2415">
        <v>215.5</v>
      </c>
      <c r="AN2415">
        <v>215.5</v>
      </c>
      <c r="AO2415">
        <v>215.5</v>
      </c>
      <c r="AP2415" s="2">
        <v>42746</v>
      </c>
      <c r="AQ2415" t="s">
        <v>72</v>
      </c>
      <c r="AR2415" t="s">
        <v>72</v>
      </c>
      <c r="AS2415">
        <v>2946</v>
      </c>
      <c r="AT2415" s="4">
        <v>42681</v>
      </c>
      <c r="AU2415" t="s">
        <v>73</v>
      </c>
      <c r="AV2415">
        <v>2946</v>
      </c>
      <c r="AW2415" s="4">
        <v>42681</v>
      </c>
      <c r="BC2415">
        <v>38.86</v>
      </c>
      <c r="BD2415">
        <v>0</v>
      </c>
      <c r="BN2415" t="s">
        <v>74</v>
      </c>
    </row>
    <row r="2416" spans="1:66">
      <c r="A2416">
        <v>100787</v>
      </c>
      <c r="B2416" s="3" t="s">
        <v>243</v>
      </c>
      <c r="C2416" s="1">
        <v>43300101</v>
      </c>
      <c r="D2416" t="s">
        <v>67</v>
      </c>
      <c r="H2416" t="str">
        <f t="shared" si="242"/>
        <v>CRDPIA44R47A783H</v>
      </c>
      <c r="I2416" t="str">
        <f t="shared" si="243"/>
        <v>00157320623</v>
      </c>
      <c r="K2416" t="str">
        <f>""</f>
        <v/>
      </c>
      <c r="M2416" t="s">
        <v>68</v>
      </c>
      <c r="N2416" t="str">
        <f t="shared" si="241"/>
        <v>FOR</v>
      </c>
      <c r="O2416" t="s">
        <v>69</v>
      </c>
      <c r="P2416" s="3" t="s">
        <v>75</v>
      </c>
      <c r="Q2416">
        <v>2016</v>
      </c>
      <c r="R2416" s="2">
        <v>42514</v>
      </c>
      <c r="S2416" s="2">
        <v>42515</v>
      </c>
      <c r="T2416" s="2">
        <v>42514</v>
      </c>
      <c r="U2416" s="2">
        <v>42574</v>
      </c>
      <c r="V2416" t="s">
        <v>71</v>
      </c>
      <c r="W2416" t="str">
        <f>"              104/PA"</f>
        <v xml:space="preserve">              104/PA</v>
      </c>
      <c r="X2416">
        <v>30.01</v>
      </c>
      <c r="Y2416">
        <v>0</v>
      </c>
      <c r="Z2416" s="3">
        <v>24.6</v>
      </c>
      <c r="AA2416">
        <v>107</v>
      </c>
      <c r="AB2416" s="5">
        <v>2632.2</v>
      </c>
      <c r="AC2416">
        <v>24.6</v>
      </c>
      <c r="AD2416">
        <v>107</v>
      </c>
      <c r="AE2416" s="1">
        <v>2632.2</v>
      </c>
      <c r="AF2416">
        <v>5.41</v>
      </c>
      <c r="AJ2416">
        <v>0</v>
      </c>
      <c r="AK2416">
        <v>0</v>
      </c>
      <c r="AL2416">
        <v>0</v>
      </c>
      <c r="AM2416">
        <v>30.01</v>
      </c>
      <c r="AN2416">
        <v>30.01</v>
      </c>
      <c r="AO2416">
        <v>30.01</v>
      </c>
      <c r="AP2416" s="2">
        <v>42746</v>
      </c>
      <c r="AQ2416" t="s">
        <v>72</v>
      </c>
      <c r="AR2416" t="s">
        <v>72</v>
      </c>
      <c r="AS2416">
        <v>2946</v>
      </c>
      <c r="AT2416" s="4">
        <v>42681</v>
      </c>
      <c r="AU2416" t="s">
        <v>73</v>
      </c>
      <c r="AV2416">
        <v>2946</v>
      </c>
      <c r="AW2416" s="4">
        <v>42681</v>
      </c>
      <c r="BC2416">
        <v>5.41</v>
      </c>
      <c r="BD2416">
        <v>0</v>
      </c>
      <c r="BN2416" t="s">
        <v>74</v>
      </c>
    </row>
    <row r="2417" spans="1:66">
      <c r="A2417">
        <v>100787</v>
      </c>
      <c r="B2417" s="3" t="s">
        <v>243</v>
      </c>
      <c r="C2417" s="1">
        <v>43300101</v>
      </c>
      <c r="D2417" t="s">
        <v>67</v>
      </c>
      <c r="H2417" t="str">
        <f t="shared" si="242"/>
        <v>CRDPIA44R47A783H</v>
      </c>
      <c r="I2417" t="str">
        <f t="shared" si="243"/>
        <v>00157320623</v>
      </c>
      <c r="K2417" t="str">
        <f>""</f>
        <v/>
      </c>
      <c r="M2417" t="s">
        <v>68</v>
      </c>
      <c r="N2417" t="str">
        <f t="shared" ref="N2417:N2448" si="244">"FOR"</f>
        <v>FOR</v>
      </c>
      <c r="O2417" t="s">
        <v>69</v>
      </c>
      <c r="P2417" s="3" t="s">
        <v>75</v>
      </c>
      <c r="Q2417">
        <v>2016</v>
      </c>
      <c r="R2417" s="2">
        <v>42558</v>
      </c>
      <c r="S2417" s="2">
        <v>42562</v>
      </c>
      <c r="T2417" s="2">
        <v>42558</v>
      </c>
      <c r="U2417" s="2">
        <v>42618</v>
      </c>
      <c r="V2417" t="s">
        <v>71</v>
      </c>
      <c r="W2417" t="str">
        <f>"              144/PA"</f>
        <v xml:space="preserve">              144/PA</v>
      </c>
      <c r="X2417">
        <v>62.74</v>
      </c>
      <c r="Y2417">
        <v>0</v>
      </c>
      <c r="Z2417" s="3">
        <v>51.43</v>
      </c>
      <c r="AA2417">
        <v>63</v>
      </c>
      <c r="AB2417" s="5">
        <v>3240.09</v>
      </c>
      <c r="AC2417">
        <v>51.43</v>
      </c>
      <c r="AD2417">
        <v>63</v>
      </c>
      <c r="AE2417" s="1">
        <v>3240.09</v>
      </c>
      <c r="AF2417">
        <v>11.31</v>
      </c>
      <c r="AJ2417">
        <v>0</v>
      </c>
      <c r="AK2417">
        <v>0</v>
      </c>
      <c r="AL2417">
        <v>0</v>
      </c>
      <c r="AM2417">
        <v>62.74</v>
      </c>
      <c r="AN2417">
        <v>62.74</v>
      </c>
      <c r="AO2417">
        <v>62.74</v>
      </c>
      <c r="AP2417" s="2">
        <v>42746</v>
      </c>
      <c r="AQ2417" t="s">
        <v>72</v>
      </c>
      <c r="AR2417" t="s">
        <v>72</v>
      </c>
      <c r="AS2417">
        <v>2947</v>
      </c>
      <c r="AT2417" s="4">
        <v>42681</v>
      </c>
      <c r="AU2417" t="s">
        <v>73</v>
      </c>
      <c r="AV2417">
        <v>2947</v>
      </c>
      <c r="AW2417" s="4">
        <v>42681</v>
      </c>
      <c r="BA2417">
        <v>11.31</v>
      </c>
      <c r="BD2417">
        <v>0</v>
      </c>
      <c r="BN2417" t="s">
        <v>74</v>
      </c>
    </row>
    <row r="2418" spans="1:66">
      <c r="A2418">
        <v>100787</v>
      </c>
      <c r="B2418" s="3" t="s">
        <v>243</v>
      </c>
      <c r="C2418" s="1">
        <v>43300101</v>
      </c>
      <c r="D2418" t="s">
        <v>67</v>
      </c>
      <c r="H2418" t="str">
        <f t="shared" si="242"/>
        <v>CRDPIA44R47A783H</v>
      </c>
      <c r="I2418" t="str">
        <f t="shared" si="243"/>
        <v>00157320623</v>
      </c>
      <c r="K2418" t="str">
        <f>""</f>
        <v/>
      </c>
      <c r="M2418" t="s">
        <v>68</v>
      </c>
      <c r="N2418" t="str">
        <f t="shared" si="244"/>
        <v>FOR</v>
      </c>
      <c r="O2418" t="s">
        <v>69</v>
      </c>
      <c r="P2418" s="3" t="s">
        <v>75</v>
      </c>
      <c r="Q2418">
        <v>2016</v>
      </c>
      <c r="R2418" s="2">
        <v>42558</v>
      </c>
      <c r="S2418" s="2">
        <v>42562</v>
      </c>
      <c r="T2418" s="2">
        <v>42558</v>
      </c>
      <c r="U2418" s="2">
        <v>42618</v>
      </c>
      <c r="V2418" t="s">
        <v>71</v>
      </c>
      <c r="W2418" t="str">
        <f>"              145/PA"</f>
        <v xml:space="preserve">              145/PA</v>
      </c>
      <c r="X2418">
        <v>68.5</v>
      </c>
      <c r="Y2418">
        <v>0</v>
      </c>
      <c r="Z2418" s="3">
        <v>56.15</v>
      </c>
      <c r="AA2418">
        <v>63</v>
      </c>
      <c r="AB2418" s="5">
        <v>3537.45</v>
      </c>
      <c r="AC2418">
        <v>56.15</v>
      </c>
      <c r="AD2418">
        <v>63</v>
      </c>
      <c r="AE2418" s="1">
        <v>3537.45</v>
      </c>
      <c r="AF2418">
        <v>12.35</v>
      </c>
      <c r="AJ2418">
        <v>0</v>
      </c>
      <c r="AK2418">
        <v>0</v>
      </c>
      <c r="AL2418">
        <v>0</v>
      </c>
      <c r="AM2418">
        <v>68.5</v>
      </c>
      <c r="AN2418">
        <v>68.5</v>
      </c>
      <c r="AO2418">
        <v>68.5</v>
      </c>
      <c r="AP2418" s="2">
        <v>42746</v>
      </c>
      <c r="AQ2418" t="s">
        <v>72</v>
      </c>
      <c r="AR2418" t="s">
        <v>72</v>
      </c>
      <c r="AS2418">
        <v>2946</v>
      </c>
      <c r="AT2418" s="4">
        <v>42681</v>
      </c>
      <c r="AU2418" t="s">
        <v>73</v>
      </c>
      <c r="AV2418">
        <v>2946</v>
      </c>
      <c r="AW2418" s="4">
        <v>42681</v>
      </c>
      <c r="BA2418">
        <v>12.35</v>
      </c>
      <c r="BD2418">
        <v>0</v>
      </c>
      <c r="BN2418" t="s">
        <v>74</v>
      </c>
    </row>
    <row r="2419" spans="1:66">
      <c r="A2419">
        <v>100787</v>
      </c>
      <c r="B2419" s="3" t="s">
        <v>243</v>
      </c>
      <c r="C2419" s="1">
        <v>43300101</v>
      </c>
      <c r="D2419" t="s">
        <v>67</v>
      </c>
      <c r="H2419" t="str">
        <f t="shared" si="242"/>
        <v>CRDPIA44R47A783H</v>
      </c>
      <c r="I2419" t="str">
        <f t="shared" si="243"/>
        <v>00157320623</v>
      </c>
      <c r="K2419" t="str">
        <f>""</f>
        <v/>
      </c>
      <c r="M2419" t="s">
        <v>68</v>
      </c>
      <c r="N2419" t="str">
        <f t="shared" si="244"/>
        <v>FOR</v>
      </c>
      <c r="O2419" t="s">
        <v>69</v>
      </c>
      <c r="P2419" s="3" t="s">
        <v>75</v>
      </c>
      <c r="Q2419">
        <v>2016</v>
      </c>
      <c r="R2419" s="2">
        <v>42558</v>
      </c>
      <c r="S2419" s="2">
        <v>42562</v>
      </c>
      <c r="T2419" s="2">
        <v>42558</v>
      </c>
      <c r="U2419" s="2">
        <v>42618</v>
      </c>
      <c r="V2419" t="s">
        <v>71</v>
      </c>
      <c r="W2419" t="str">
        <f>"              146/PA"</f>
        <v xml:space="preserve">              146/PA</v>
      </c>
      <c r="X2419">
        <v>251.37</v>
      </c>
      <c r="Y2419">
        <v>0</v>
      </c>
      <c r="Z2419" s="3">
        <v>206.04</v>
      </c>
      <c r="AA2419">
        <v>63</v>
      </c>
      <c r="AB2419" s="5">
        <v>12980.52</v>
      </c>
      <c r="AC2419">
        <v>206.04</v>
      </c>
      <c r="AD2419">
        <v>63</v>
      </c>
      <c r="AE2419" s="1">
        <v>12980.52</v>
      </c>
      <c r="AF2419">
        <v>45.33</v>
      </c>
      <c r="AJ2419">
        <v>0</v>
      </c>
      <c r="AK2419">
        <v>0</v>
      </c>
      <c r="AL2419">
        <v>0</v>
      </c>
      <c r="AM2419">
        <v>251.37</v>
      </c>
      <c r="AN2419">
        <v>251.37</v>
      </c>
      <c r="AO2419">
        <v>251.37</v>
      </c>
      <c r="AP2419" s="2">
        <v>42746</v>
      </c>
      <c r="AQ2419" t="s">
        <v>72</v>
      </c>
      <c r="AR2419" t="s">
        <v>72</v>
      </c>
      <c r="AS2419">
        <v>2946</v>
      </c>
      <c r="AT2419" s="4">
        <v>42681</v>
      </c>
      <c r="AU2419" t="s">
        <v>73</v>
      </c>
      <c r="AV2419">
        <v>2946</v>
      </c>
      <c r="AW2419" s="4">
        <v>42681</v>
      </c>
      <c r="BA2419">
        <v>45.33</v>
      </c>
      <c r="BD2419">
        <v>0</v>
      </c>
      <c r="BN2419" t="s">
        <v>74</v>
      </c>
    </row>
    <row r="2420" spans="1:66" hidden="1">
      <c r="A2420">
        <v>100791</v>
      </c>
      <c r="B2420" s="3" t="s">
        <v>244</v>
      </c>
      <c r="C2420" s="1">
        <v>43300101</v>
      </c>
      <c r="D2420" t="s">
        <v>67</v>
      </c>
      <c r="H2420" t="str">
        <f>"08619670584"</f>
        <v>08619670584</v>
      </c>
      <c r="I2420" t="str">
        <f>"02102821002"</f>
        <v>02102821002</v>
      </c>
      <c r="K2420" t="str">
        <f>""</f>
        <v/>
      </c>
      <c r="M2420" t="s">
        <v>68</v>
      </c>
      <c r="N2420" t="str">
        <f t="shared" si="244"/>
        <v>FOR</v>
      </c>
      <c r="O2420" t="s">
        <v>69</v>
      </c>
      <c r="P2420" s="3" t="s">
        <v>75</v>
      </c>
      <c r="Q2420">
        <v>2015</v>
      </c>
      <c r="R2420" s="2">
        <v>42185</v>
      </c>
      <c r="S2420" s="2">
        <v>42198</v>
      </c>
      <c r="T2420" s="2">
        <v>42194</v>
      </c>
      <c r="U2420" s="2">
        <v>42254</v>
      </c>
      <c r="V2420" t="s">
        <v>71</v>
      </c>
      <c r="W2420" t="str">
        <f>"              526 PA"</f>
        <v xml:space="preserve">              526 PA</v>
      </c>
      <c r="X2420" s="1">
        <v>29109.439999999999</v>
      </c>
      <c r="Y2420">
        <v>0</v>
      </c>
      <c r="Z2420"/>
      <c r="AB2420"/>
      <c r="AC2420" s="1">
        <v>23860.2</v>
      </c>
      <c r="AD2420">
        <v>238</v>
      </c>
      <c r="AE2420" s="1">
        <v>5678727.5999999996</v>
      </c>
      <c r="AF2420">
        <v>0</v>
      </c>
      <c r="AJ2420">
        <v>0</v>
      </c>
      <c r="AK2420">
        <v>0</v>
      </c>
      <c r="AL2420">
        <v>0</v>
      </c>
      <c r="AM2420">
        <v>0</v>
      </c>
      <c r="AN2420">
        <v>0</v>
      </c>
      <c r="AO2420">
        <v>0</v>
      </c>
      <c r="AP2420" s="2">
        <v>42746</v>
      </c>
      <c r="AQ2420" t="s">
        <v>72</v>
      </c>
      <c r="AR2420" t="s">
        <v>72</v>
      </c>
      <c r="AS2420">
        <v>1223</v>
      </c>
      <c r="AT2420" s="4">
        <v>42492</v>
      </c>
      <c r="AU2420" t="s">
        <v>73</v>
      </c>
      <c r="AV2420">
        <v>1223</v>
      </c>
      <c r="AW2420" s="4">
        <v>42492</v>
      </c>
      <c r="BD2420">
        <v>0</v>
      </c>
      <c r="BN2420" t="s">
        <v>74</v>
      </c>
    </row>
    <row r="2421" spans="1:66" hidden="1">
      <c r="A2421">
        <v>100792</v>
      </c>
      <c r="B2421" s="3" t="s">
        <v>245</v>
      </c>
      <c r="C2421" s="1">
        <v>43300101</v>
      </c>
      <c r="D2421" t="s">
        <v>67</v>
      </c>
      <c r="H2421" t="str">
        <f t="shared" ref="H2421:I2436" si="245">"02144720790"</f>
        <v>02144720790</v>
      </c>
      <c r="I2421" t="str">
        <f t="shared" si="245"/>
        <v>02144720790</v>
      </c>
      <c r="K2421" t="str">
        <f>""</f>
        <v/>
      </c>
      <c r="M2421" t="s">
        <v>68</v>
      </c>
      <c r="N2421" t="str">
        <f t="shared" si="244"/>
        <v>FOR</v>
      </c>
      <c r="O2421" t="s">
        <v>69</v>
      </c>
      <c r="P2421" s="3" t="s">
        <v>75</v>
      </c>
      <c r="Q2421">
        <v>2015</v>
      </c>
      <c r="R2421" s="2">
        <v>42143</v>
      </c>
      <c r="S2421" s="2">
        <v>42165</v>
      </c>
      <c r="T2421" s="2">
        <v>42143</v>
      </c>
      <c r="U2421" s="2">
        <v>42203</v>
      </c>
      <c r="V2421" t="s">
        <v>71</v>
      </c>
      <c r="W2421" t="str">
        <f>"              123 PA"</f>
        <v xml:space="preserve">              123 PA</v>
      </c>
      <c r="X2421">
        <v>91.5</v>
      </c>
      <c r="Y2421">
        <v>0</v>
      </c>
      <c r="Z2421"/>
      <c r="AB2421"/>
      <c r="AC2421">
        <v>75</v>
      </c>
      <c r="AD2421">
        <v>249</v>
      </c>
      <c r="AE2421" s="1">
        <v>18675</v>
      </c>
      <c r="AF2421">
        <v>0</v>
      </c>
      <c r="AJ2421">
        <v>0</v>
      </c>
      <c r="AK2421">
        <v>0</v>
      </c>
      <c r="AL2421">
        <v>0</v>
      </c>
      <c r="AM2421">
        <v>0</v>
      </c>
      <c r="AN2421">
        <v>0</v>
      </c>
      <c r="AO2421">
        <v>0</v>
      </c>
      <c r="AP2421" s="2">
        <v>42746</v>
      </c>
      <c r="AQ2421" t="s">
        <v>72</v>
      </c>
      <c r="AR2421" t="s">
        <v>72</v>
      </c>
      <c r="AS2421">
        <v>815</v>
      </c>
      <c r="AT2421" s="4">
        <v>42452</v>
      </c>
      <c r="AU2421" t="s">
        <v>73</v>
      </c>
      <c r="AV2421">
        <v>815</v>
      </c>
      <c r="AW2421" s="4">
        <v>42452</v>
      </c>
      <c r="BD2421">
        <v>0</v>
      </c>
      <c r="BN2421" t="s">
        <v>74</v>
      </c>
    </row>
    <row r="2422" spans="1:66" hidden="1">
      <c r="A2422">
        <v>100792</v>
      </c>
      <c r="B2422" s="3" t="s">
        <v>245</v>
      </c>
      <c r="C2422" s="1">
        <v>43300101</v>
      </c>
      <c r="D2422" t="s">
        <v>67</v>
      </c>
      <c r="H2422" t="str">
        <f t="shared" si="245"/>
        <v>02144720790</v>
      </c>
      <c r="I2422" t="str">
        <f t="shared" si="245"/>
        <v>02144720790</v>
      </c>
      <c r="K2422" t="str">
        <f>""</f>
        <v/>
      </c>
      <c r="M2422" t="s">
        <v>68</v>
      </c>
      <c r="N2422" t="str">
        <f t="shared" si="244"/>
        <v>FOR</v>
      </c>
      <c r="O2422" t="s">
        <v>69</v>
      </c>
      <c r="P2422" s="3" t="s">
        <v>75</v>
      </c>
      <c r="Q2422">
        <v>2015</v>
      </c>
      <c r="R2422" s="2">
        <v>42143</v>
      </c>
      <c r="S2422" s="2">
        <v>42165</v>
      </c>
      <c r="T2422" s="2">
        <v>42143</v>
      </c>
      <c r="U2422" s="2">
        <v>42203</v>
      </c>
      <c r="V2422" t="s">
        <v>71</v>
      </c>
      <c r="W2422" t="str">
        <f>"              124 PA"</f>
        <v xml:space="preserve">              124 PA</v>
      </c>
      <c r="X2422">
        <v>22.57</v>
      </c>
      <c r="Y2422">
        <v>0</v>
      </c>
      <c r="Z2422"/>
      <c r="AB2422"/>
      <c r="AC2422">
        <v>18.5</v>
      </c>
      <c r="AD2422">
        <v>249</v>
      </c>
      <c r="AE2422" s="1">
        <v>4606.5</v>
      </c>
      <c r="AF2422">
        <v>0</v>
      </c>
      <c r="AJ2422">
        <v>0</v>
      </c>
      <c r="AK2422">
        <v>0</v>
      </c>
      <c r="AL2422">
        <v>0</v>
      </c>
      <c r="AM2422">
        <v>0</v>
      </c>
      <c r="AN2422">
        <v>0</v>
      </c>
      <c r="AO2422">
        <v>0</v>
      </c>
      <c r="AP2422" s="2">
        <v>42746</v>
      </c>
      <c r="AQ2422" t="s">
        <v>72</v>
      </c>
      <c r="AR2422" t="s">
        <v>72</v>
      </c>
      <c r="AS2422">
        <v>815</v>
      </c>
      <c r="AT2422" s="4">
        <v>42452</v>
      </c>
      <c r="AU2422" t="s">
        <v>73</v>
      </c>
      <c r="AV2422">
        <v>815</v>
      </c>
      <c r="AW2422" s="4">
        <v>42452</v>
      </c>
      <c r="BD2422">
        <v>0</v>
      </c>
      <c r="BN2422" t="s">
        <v>74</v>
      </c>
    </row>
    <row r="2423" spans="1:66" hidden="1">
      <c r="A2423">
        <v>100792</v>
      </c>
      <c r="B2423" s="3" t="s">
        <v>245</v>
      </c>
      <c r="C2423" s="1">
        <v>43300101</v>
      </c>
      <c r="D2423" t="s">
        <v>67</v>
      </c>
      <c r="H2423" t="str">
        <f t="shared" si="245"/>
        <v>02144720790</v>
      </c>
      <c r="I2423" t="str">
        <f t="shared" si="245"/>
        <v>02144720790</v>
      </c>
      <c r="K2423" t="str">
        <f>""</f>
        <v/>
      </c>
      <c r="M2423" t="s">
        <v>68</v>
      </c>
      <c r="N2423" t="str">
        <f t="shared" si="244"/>
        <v>FOR</v>
      </c>
      <c r="O2423" t="s">
        <v>69</v>
      </c>
      <c r="P2423" s="3" t="s">
        <v>75</v>
      </c>
      <c r="Q2423">
        <v>2015</v>
      </c>
      <c r="R2423" s="2">
        <v>42184</v>
      </c>
      <c r="S2423" s="2">
        <v>42186</v>
      </c>
      <c r="T2423" s="2">
        <v>42184</v>
      </c>
      <c r="U2423" s="2">
        <v>42244</v>
      </c>
      <c r="V2423" t="s">
        <v>71</v>
      </c>
      <c r="W2423" t="str">
        <f>"              229 PA"</f>
        <v xml:space="preserve">              229 PA</v>
      </c>
      <c r="X2423">
        <v>117.12</v>
      </c>
      <c r="Y2423">
        <v>0</v>
      </c>
      <c r="Z2423"/>
      <c r="AB2423"/>
      <c r="AC2423">
        <v>96</v>
      </c>
      <c r="AD2423">
        <v>208</v>
      </c>
      <c r="AE2423" s="1">
        <v>19968</v>
      </c>
      <c r="AF2423">
        <v>0</v>
      </c>
      <c r="AJ2423">
        <v>0</v>
      </c>
      <c r="AK2423">
        <v>0</v>
      </c>
      <c r="AL2423">
        <v>0</v>
      </c>
      <c r="AM2423">
        <v>0</v>
      </c>
      <c r="AN2423">
        <v>0</v>
      </c>
      <c r="AO2423">
        <v>0</v>
      </c>
      <c r="AP2423" s="2">
        <v>42746</v>
      </c>
      <c r="AQ2423" t="s">
        <v>72</v>
      </c>
      <c r="AR2423" t="s">
        <v>72</v>
      </c>
      <c r="AS2423">
        <v>815</v>
      </c>
      <c r="AT2423" s="4">
        <v>42452</v>
      </c>
      <c r="AU2423" t="s">
        <v>73</v>
      </c>
      <c r="AV2423">
        <v>815</v>
      </c>
      <c r="AW2423" s="4">
        <v>42452</v>
      </c>
      <c r="BD2423">
        <v>0</v>
      </c>
      <c r="BN2423" t="s">
        <v>74</v>
      </c>
    </row>
    <row r="2424" spans="1:66" hidden="1">
      <c r="A2424">
        <v>100792</v>
      </c>
      <c r="B2424" s="3" t="s">
        <v>245</v>
      </c>
      <c r="C2424" s="1">
        <v>43300101</v>
      </c>
      <c r="D2424" t="s">
        <v>67</v>
      </c>
      <c r="H2424" t="str">
        <f t="shared" si="245"/>
        <v>02144720790</v>
      </c>
      <c r="I2424" t="str">
        <f t="shared" si="245"/>
        <v>02144720790</v>
      </c>
      <c r="K2424" t="str">
        <f>""</f>
        <v/>
      </c>
      <c r="M2424" t="s">
        <v>68</v>
      </c>
      <c r="N2424" t="str">
        <f t="shared" si="244"/>
        <v>FOR</v>
      </c>
      <c r="O2424" t="s">
        <v>69</v>
      </c>
      <c r="P2424" s="3" t="s">
        <v>75</v>
      </c>
      <c r="Q2424">
        <v>2015</v>
      </c>
      <c r="R2424" s="2">
        <v>42184</v>
      </c>
      <c r="S2424" s="2">
        <v>42186</v>
      </c>
      <c r="T2424" s="2">
        <v>42184</v>
      </c>
      <c r="U2424" s="2">
        <v>42244</v>
      </c>
      <c r="V2424" t="s">
        <v>71</v>
      </c>
      <c r="W2424" t="str">
        <f>"              230 PA"</f>
        <v xml:space="preserve">              230 PA</v>
      </c>
      <c r="X2424">
        <v>165.92</v>
      </c>
      <c r="Y2424">
        <v>0</v>
      </c>
      <c r="Z2424"/>
      <c r="AB2424"/>
      <c r="AC2424">
        <v>136</v>
      </c>
      <c r="AD2424">
        <v>208</v>
      </c>
      <c r="AE2424" s="1">
        <v>28288</v>
      </c>
      <c r="AF2424">
        <v>0</v>
      </c>
      <c r="AJ2424">
        <v>0</v>
      </c>
      <c r="AK2424">
        <v>0</v>
      </c>
      <c r="AL2424">
        <v>0</v>
      </c>
      <c r="AM2424">
        <v>0</v>
      </c>
      <c r="AN2424">
        <v>0</v>
      </c>
      <c r="AO2424">
        <v>0</v>
      </c>
      <c r="AP2424" s="2">
        <v>42746</v>
      </c>
      <c r="AQ2424" t="s">
        <v>72</v>
      </c>
      <c r="AR2424" t="s">
        <v>72</v>
      </c>
      <c r="AS2424">
        <v>815</v>
      </c>
      <c r="AT2424" s="4">
        <v>42452</v>
      </c>
      <c r="AU2424" t="s">
        <v>73</v>
      </c>
      <c r="AV2424">
        <v>815</v>
      </c>
      <c r="AW2424" s="4">
        <v>42452</v>
      </c>
      <c r="BD2424">
        <v>0</v>
      </c>
      <c r="BN2424" t="s">
        <v>74</v>
      </c>
    </row>
    <row r="2425" spans="1:66" hidden="1">
      <c r="A2425">
        <v>100792</v>
      </c>
      <c r="B2425" s="3" t="s">
        <v>245</v>
      </c>
      <c r="C2425" s="1">
        <v>43300101</v>
      </c>
      <c r="D2425" t="s">
        <v>67</v>
      </c>
      <c r="H2425" t="str">
        <f t="shared" si="245"/>
        <v>02144720790</v>
      </c>
      <c r="I2425" t="str">
        <f t="shared" si="245"/>
        <v>02144720790</v>
      </c>
      <c r="K2425" t="str">
        <f>""</f>
        <v/>
      </c>
      <c r="M2425" t="s">
        <v>68</v>
      </c>
      <c r="N2425" t="str">
        <f t="shared" si="244"/>
        <v>FOR</v>
      </c>
      <c r="O2425" t="s">
        <v>69</v>
      </c>
      <c r="P2425" s="3" t="s">
        <v>75</v>
      </c>
      <c r="Q2425">
        <v>2015</v>
      </c>
      <c r="R2425" s="2">
        <v>42184</v>
      </c>
      <c r="S2425" s="2">
        <v>42186</v>
      </c>
      <c r="T2425" s="2">
        <v>42184</v>
      </c>
      <c r="U2425" s="2">
        <v>42244</v>
      </c>
      <c r="V2425" t="s">
        <v>71</v>
      </c>
      <c r="W2425" t="str">
        <f>"              231 PA"</f>
        <v xml:space="preserve">              231 PA</v>
      </c>
      <c r="X2425">
        <v>34.159999999999997</v>
      </c>
      <c r="Y2425">
        <v>0</v>
      </c>
      <c r="Z2425"/>
      <c r="AB2425"/>
      <c r="AC2425">
        <v>28</v>
      </c>
      <c r="AD2425">
        <v>208</v>
      </c>
      <c r="AE2425" s="1">
        <v>5824</v>
      </c>
      <c r="AF2425">
        <v>0</v>
      </c>
      <c r="AJ2425">
        <v>0</v>
      </c>
      <c r="AK2425">
        <v>0</v>
      </c>
      <c r="AL2425">
        <v>0</v>
      </c>
      <c r="AM2425">
        <v>0</v>
      </c>
      <c r="AN2425">
        <v>0</v>
      </c>
      <c r="AO2425">
        <v>0</v>
      </c>
      <c r="AP2425" s="2">
        <v>42746</v>
      </c>
      <c r="AQ2425" t="s">
        <v>72</v>
      </c>
      <c r="AR2425" t="s">
        <v>72</v>
      </c>
      <c r="AS2425">
        <v>815</v>
      </c>
      <c r="AT2425" s="4">
        <v>42452</v>
      </c>
      <c r="AU2425" t="s">
        <v>73</v>
      </c>
      <c r="AV2425">
        <v>815</v>
      </c>
      <c r="AW2425" s="4">
        <v>42452</v>
      </c>
      <c r="BD2425">
        <v>0</v>
      </c>
      <c r="BN2425" t="s">
        <v>74</v>
      </c>
    </row>
    <row r="2426" spans="1:66" hidden="1">
      <c r="A2426">
        <v>100792</v>
      </c>
      <c r="B2426" s="3" t="s">
        <v>245</v>
      </c>
      <c r="C2426" s="1">
        <v>43300101</v>
      </c>
      <c r="D2426" t="s">
        <v>67</v>
      </c>
      <c r="H2426" t="str">
        <f t="shared" si="245"/>
        <v>02144720790</v>
      </c>
      <c r="I2426" t="str">
        <f t="shared" si="245"/>
        <v>02144720790</v>
      </c>
      <c r="K2426" t="str">
        <f>""</f>
        <v/>
      </c>
      <c r="M2426" t="s">
        <v>68</v>
      </c>
      <c r="N2426" t="str">
        <f t="shared" si="244"/>
        <v>FOR</v>
      </c>
      <c r="O2426" t="s">
        <v>69</v>
      </c>
      <c r="P2426" s="3" t="s">
        <v>75</v>
      </c>
      <c r="Q2426">
        <v>2015</v>
      </c>
      <c r="R2426" s="2">
        <v>42248</v>
      </c>
      <c r="S2426" s="2">
        <v>42249</v>
      </c>
      <c r="T2426" s="2">
        <v>42248</v>
      </c>
      <c r="U2426" s="2">
        <v>42308</v>
      </c>
      <c r="V2426" t="s">
        <v>71</v>
      </c>
      <c r="W2426" t="str">
        <f>"              354 PA"</f>
        <v xml:space="preserve">              354 PA</v>
      </c>
      <c r="X2426">
        <v>18.3</v>
      </c>
      <c r="Y2426">
        <v>0</v>
      </c>
      <c r="Z2426"/>
      <c r="AB2426"/>
      <c r="AC2426">
        <v>15</v>
      </c>
      <c r="AD2426">
        <v>144</v>
      </c>
      <c r="AE2426" s="1">
        <v>2160</v>
      </c>
      <c r="AF2426">
        <v>0</v>
      </c>
      <c r="AJ2426">
        <v>0</v>
      </c>
      <c r="AK2426">
        <v>0</v>
      </c>
      <c r="AL2426">
        <v>0</v>
      </c>
      <c r="AM2426">
        <v>0</v>
      </c>
      <c r="AN2426">
        <v>0</v>
      </c>
      <c r="AO2426">
        <v>0</v>
      </c>
      <c r="AP2426" s="2">
        <v>42746</v>
      </c>
      <c r="AQ2426" t="s">
        <v>72</v>
      </c>
      <c r="AR2426" t="s">
        <v>72</v>
      </c>
      <c r="AS2426">
        <v>815</v>
      </c>
      <c r="AT2426" s="4">
        <v>42452</v>
      </c>
      <c r="AU2426" t="s">
        <v>73</v>
      </c>
      <c r="AV2426">
        <v>815</v>
      </c>
      <c r="AW2426" s="4">
        <v>42452</v>
      </c>
      <c r="BD2426">
        <v>0</v>
      </c>
      <c r="BN2426" t="s">
        <v>74</v>
      </c>
    </row>
    <row r="2427" spans="1:66" hidden="1">
      <c r="A2427">
        <v>100792</v>
      </c>
      <c r="B2427" s="3" t="s">
        <v>245</v>
      </c>
      <c r="C2427" s="1">
        <v>43300101</v>
      </c>
      <c r="D2427" t="s">
        <v>67</v>
      </c>
      <c r="H2427" t="str">
        <f t="shared" si="245"/>
        <v>02144720790</v>
      </c>
      <c r="I2427" t="str">
        <f t="shared" si="245"/>
        <v>02144720790</v>
      </c>
      <c r="K2427" t="str">
        <f>""</f>
        <v/>
      </c>
      <c r="M2427" t="s">
        <v>68</v>
      </c>
      <c r="N2427" t="str">
        <f t="shared" si="244"/>
        <v>FOR</v>
      </c>
      <c r="O2427" t="s">
        <v>69</v>
      </c>
      <c r="P2427" s="3" t="s">
        <v>75</v>
      </c>
      <c r="Q2427">
        <v>2015</v>
      </c>
      <c r="R2427" s="2">
        <v>42275</v>
      </c>
      <c r="S2427" s="2">
        <v>42275</v>
      </c>
      <c r="T2427" s="2">
        <v>42275</v>
      </c>
      <c r="U2427" s="2">
        <v>42335</v>
      </c>
      <c r="V2427" t="s">
        <v>71</v>
      </c>
      <c r="W2427" t="str">
        <f>"              386 PA"</f>
        <v xml:space="preserve">              386 PA</v>
      </c>
      <c r="X2427">
        <v>549</v>
      </c>
      <c r="Y2427">
        <v>0</v>
      </c>
      <c r="Z2427"/>
      <c r="AB2427"/>
      <c r="AC2427">
        <v>450</v>
      </c>
      <c r="AD2427">
        <v>117</v>
      </c>
      <c r="AE2427" s="1">
        <v>52650</v>
      </c>
      <c r="AF2427">
        <v>0</v>
      </c>
      <c r="AJ2427">
        <v>0</v>
      </c>
      <c r="AK2427">
        <v>0</v>
      </c>
      <c r="AL2427">
        <v>0</v>
      </c>
      <c r="AM2427">
        <v>0</v>
      </c>
      <c r="AN2427">
        <v>0</v>
      </c>
      <c r="AO2427">
        <v>0</v>
      </c>
      <c r="AP2427" s="2">
        <v>42746</v>
      </c>
      <c r="AQ2427" t="s">
        <v>72</v>
      </c>
      <c r="AR2427" t="s">
        <v>72</v>
      </c>
      <c r="AS2427">
        <v>815</v>
      </c>
      <c r="AT2427" s="4">
        <v>42452</v>
      </c>
      <c r="AU2427" t="s">
        <v>73</v>
      </c>
      <c r="AV2427">
        <v>815</v>
      </c>
      <c r="AW2427" s="4">
        <v>42452</v>
      </c>
      <c r="BD2427">
        <v>0</v>
      </c>
      <c r="BN2427" t="s">
        <v>74</v>
      </c>
    </row>
    <row r="2428" spans="1:66" hidden="1">
      <c r="A2428">
        <v>100792</v>
      </c>
      <c r="B2428" s="3" t="s">
        <v>245</v>
      </c>
      <c r="C2428" s="1">
        <v>43300101</v>
      </c>
      <c r="D2428" t="s">
        <v>67</v>
      </c>
      <c r="H2428" t="str">
        <f t="shared" si="245"/>
        <v>02144720790</v>
      </c>
      <c r="I2428" t="str">
        <f t="shared" si="245"/>
        <v>02144720790</v>
      </c>
      <c r="K2428" t="str">
        <f>""</f>
        <v/>
      </c>
      <c r="M2428" t="s">
        <v>68</v>
      </c>
      <c r="N2428" t="str">
        <f t="shared" si="244"/>
        <v>FOR</v>
      </c>
      <c r="O2428" t="s">
        <v>69</v>
      </c>
      <c r="P2428" s="3" t="s">
        <v>75</v>
      </c>
      <c r="Q2428">
        <v>2015</v>
      </c>
      <c r="R2428" s="2">
        <v>42275</v>
      </c>
      <c r="S2428" s="2">
        <v>42275</v>
      </c>
      <c r="T2428" s="2">
        <v>42275</v>
      </c>
      <c r="U2428" s="2">
        <v>42335</v>
      </c>
      <c r="V2428" t="s">
        <v>71</v>
      </c>
      <c r="W2428" t="str">
        <f>"              387 PA"</f>
        <v xml:space="preserve">              387 PA</v>
      </c>
      <c r="X2428">
        <v>68.319999999999993</v>
      </c>
      <c r="Y2428">
        <v>0</v>
      </c>
      <c r="Z2428"/>
      <c r="AB2428"/>
      <c r="AC2428">
        <v>56</v>
      </c>
      <c r="AD2428">
        <v>117</v>
      </c>
      <c r="AE2428" s="1">
        <v>6552</v>
      </c>
      <c r="AF2428">
        <v>0</v>
      </c>
      <c r="AJ2428">
        <v>0</v>
      </c>
      <c r="AK2428">
        <v>0</v>
      </c>
      <c r="AL2428">
        <v>0</v>
      </c>
      <c r="AM2428">
        <v>0</v>
      </c>
      <c r="AN2428">
        <v>0</v>
      </c>
      <c r="AO2428">
        <v>0</v>
      </c>
      <c r="AP2428" s="2">
        <v>42746</v>
      </c>
      <c r="AQ2428" t="s">
        <v>72</v>
      </c>
      <c r="AR2428" t="s">
        <v>72</v>
      </c>
      <c r="AS2428">
        <v>815</v>
      </c>
      <c r="AT2428" s="4">
        <v>42452</v>
      </c>
      <c r="AU2428" t="s">
        <v>73</v>
      </c>
      <c r="AV2428">
        <v>815</v>
      </c>
      <c r="AW2428" s="4">
        <v>42452</v>
      </c>
      <c r="BD2428">
        <v>0</v>
      </c>
      <c r="BN2428" t="s">
        <v>74</v>
      </c>
    </row>
    <row r="2429" spans="1:66" hidden="1">
      <c r="A2429">
        <v>100792</v>
      </c>
      <c r="B2429" s="3" t="s">
        <v>245</v>
      </c>
      <c r="C2429" s="1">
        <v>43300101</v>
      </c>
      <c r="D2429" t="s">
        <v>67</v>
      </c>
      <c r="H2429" t="str">
        <f t="shared" si="245"/>
        <v>02144720790</v>
      </c>
      <c r="I2429" t="str">
        <f t="shared" si="245"/>
        <v>02144720790</v>
      </c>
      <c r="K2429" t="str">
        <f>""</f>
        <v/>
      </c>
      <c r="M2429" t="s">
        <v>68</v>
      </c>
      <c r="N2429" t="str">
        <f t="shared" si="244"/>
        <v>FOR</v>
      </c>
      <c r="O2429" t="s">
        <v>69</v>
      </c>
      <c r="P2429" s="3" t="s">
        <v>75</v>
      </c>
      <c r="Q2429">
        <v>2015</v>
      </c>
      <c r="R2429" s="2">
        <v>42275</v>
      </c>
      <c r="S2429" s="2">
        <v>42275</v>
      </c>
      <c r="T2429" s="2">
        <v>42275</v>
      </c>
      <c r="U2429" s="2">
        <v>42335</v>
      </c>
      <c r="V2429" t="s">
        <v>71</v>
      </c>
      <c r="W2429" t="str">
        <f>"              388 PA"</f>
        <v xml:space="preserve">              388 PA</v>
      </c>
      <c r="X2429">
        <v>22.57</v>
      </c>
      <c r="Y2429">
        <v>0</v>
      </c>
      <c r="Z2429"/>
      <c r="AB2429"/>
      <c r="AC2429">
        <v>18.5</v>
      </c>
      <c r="AD2429">
        <v>117</v>
      </c>
      <c r="AE2429" s="1">
        <v>2164.5</v>
      </c>
      <c r="AF2429">
        <v>0</v>
      </c>
      <c r="AJ2429">
        <v>0</v>
      </c>
      <c r="AK2429">
        <v>0</v>
      </c>
      <c r="AL2429">
        <v>0</v>
      </c>
      <c r="AM2429">
        <v>0</v>
      </c>
      <c r="AN2429">
        <v>0</v>
      </c>
      <c r="AO2429">
        <v>0</v>
      </c>
      <c r="AP2429" s="2">
        <v>42746</v>
      </c>
      <c r="AQ2429" t="s">
        <v>72</v>
      </c>
      <c r="AR2429" t="s">
        <v>72</v>
      </c>
      <c r="AS2429">
        <v>815</v>
      </c>
      <c r="AT2429" s="4">
        <v>42452</v>
      </c>
      <c r="AU2429" t="s">
        <v>73</v>
      </c>
      <c r="AV2429">
        <v>815</v>
      </c>
      <c r="AW2429" s="4">
        <v>42452</v>
      </c>
      <c r="BD2429">
        <v>0</v>
      </c>
      <c r="BN2429" t="s">
        <v>74</v>
      </c>
    </row>
    <row r="2430" spans="1:66" hidden="1">
      <c r="A2430">
        <v>100792</v>
      </c>
      <c r="B2430" s="3" t="s">
        <v>245</v>
      </c>
      <c r="C2430" s="1">
        <v>43300101</v>
      </c>
      <c r="D2430" t="s">
        <v>67</v>
      </c>
      <c r="H2430" t="str">
        <f t="shared" si="245"/>
        <v>02144720790</v>
      </c>
      <c r="I2430" t="str">
        <f t="shared" si="245"/>
        <v>02144720790</v>
      </c>
      <c r="K2430" t="str">
        <f>""</f>
        <v/>
      </c>
      <c r="M2430" t="s">
        <v>68</v>
      </c>
      <c r="N2430" t="str">
        <f t="shared" si="244"/>
        <v>FOR</v>
      </c>
      <c r="O2430" t="s">
        <v>69</v>
      </c>
      <c r="P2430" s="3" t="s">
        <v>75</v>
      </c>
      <c r="Q2430">
        <v>2015</v>
      </c>
      <c r="R2430" s="2">
        <v>42275</v>
      </c>
      <c r="S2430" s="2">
        <v>42275</v>
      </c>
      <c r="T2430" s="2">
        <v>42275</v>
      </c>
      <c r="U2430" s="2">
        <v>42335</v>
      </c>
      <c r="V2430" t="s">
        <v>71</v>
      </c>
      <c r="W2430" t="str">
        <f>"              389 PA"</f>
        <v xml:space="preserve">              389 PA</v>
      </c>
      <c r="X2430">
        <v>36.6</v>
      </c>
      <c r="Y2430">
        <v>0</v>
      </c>
      <c r="Z2430"/>
      <c r="AB2430"/>
      <c r="AC2430">
        <v>30</v>
      </c>
      <c r="AD2430">
        <v>117</v>
      </c>
      <c r="AE2430" s="1">
        <v>3510</v>
      </c>
      <c r="AF2430">
        <v>0</v>
      </c>
      <c r="AJ2430">
        <v>0</v>
      </c>
      <c r="AK2430">
        <v>0</v>
      </c>
      <c r="AL2430">
        <v>0</v>
      </c>
      <c r="AM2430">
        <v>0</v>
      </c>
      <c r="AN2430">
        <v>0</v>
      </c>
      <c r="AO2430">
        <v>0</v>
      </c>
      <c r="AP2430" s="2">
        <v>42746</v>
      </c>
      <c r="AQ2430" t="s">
        <v>72</v>
      </c>
      <c r="AR2430" t="s">
        <v>72</v>
      </c>
      <c r="AS2430">
        <v>815</v>
      </c>
      <c r="AT2430" s="4">
        <v>42452</v>
      </c>
      <c r="AU2430" t="s">
        <v>73</v>
      </c>
      <c r="AV2430">
        <v>815</v>
      </c>
      <c r="AW2430" s="4">
        <v>42452</v>
      </c>
      <c r="BD2430">
        <v>0</v>
      </c>
      <c r="BN2430" t="s">
        <v>74</v>
      </c>
    </row>
    <row r="2431" spans="1:66" hidden="1">
      <c r="A2431">
        <v>100792</v>
      </c>
      <c r="B2431" s="3" t="s">
        <v>245</v>
      </c>
      <c r="C2431" s="1">
        <v>43300101</v>
      </c>
      <c r="D2431" t="s">
        <v>67</v>
      </c>
      <c r="H2431" t="str">
        <f t="shared" si="245"/>
        <v>02144720790</v>
      </c>
      <c r="I2431" t="str">
        <f t="shared" si="245"/>
        <v>02144720790</v>
      </c>
      <c r="K2431" t="str">
        <f>""</f>
        <v/>
      </c>
      <c r="M2431" t="s">
        <v>68</v>
      </c>
      <c r="N2431" t="str">
        <f t="shared" si="244"/>
        <v>FOR</v>
      </c>
      <c r="O2431" t="s">
        <v>69</v>
      </c>
      <c r="P2431" s="3" t="s">
        <v>75</v>
      </c>
      <c r="Q2431">
        <v>2015</v>
      </c>
      <c r="R2431" s="2">
        <v>42290</v>
      </c>
      <c r="S2431" s="2">
        <v>42290</v>
      </c>
      <c r="T2431" s="2">
        <v>42290</v>
      </c>
      <c r="U2431" s="2">
        <v>42350</v>
      </c>
      <c r="V2431" t="s">
        <v>71</v>
      </c>
      <c r="W2431" t="str">
        <f>"              465 PA"</f>
        <v xml:space="preserve">              465 PA</v>
      </c>
      <c r="X2431">
        <v>915</v>
      </c>
      <c r="Y2431">
        <v>0</v>
      </c>
      <c r="Z2431"/>
      <c r="AB2431"/>
      <c r="AC2431">
        <v>750</v>
      </c>
      <c r="AD2431">
        <v>102</v>
      </c>
      <c r="AE2431" s="1">
        <v>76500</v>
      </c>
      <c r="AF2431">
        <v>0</v>
      </c>
      <c r="AJ2431">
        <v>0</v>
      </c>
      <c r="AK2431">
        <v>0</v>
      </c>
      <c r="AL2431">
        <v>0</v>
      </c>
      <c r="AM2431">
        <v>0</v>
      </c>
      <c r="AN2431">
        <v>0</v>
      </c>
      <c r="AO2431">
        <v>0</v>
      </c>
      <c r="AP2431" s="2">
        <v>42746</v>
      </c>
      <c r="AQ2431" t="s">
        <v>72</v>
      </c>
      <c r="AR2431" t="s">
        <v>72</v>
      </c>
      <c r="AS2431">
        <v>815</v>
      </c>
      <c r="AT2431" s="4">
        <v>42452</v>
      </c>
      <c r="AU2431" t="s">
        <v>73</v>
      </c>
      <c r="AV2431">
        <v>815</v>
      </c>
      <c r="AW2431" s="4">
        <v>42452</v>
      </c>
      <c r="BD2431">
        <v>0</v>
      </c>
      <c r="BN2431" t="s">
        <v>74</v>
      </c>
    </row>
    <row r="2432" spans="1:66" hidden="1">
      <c r="A2432">
        <v>100792</v>
      </c>
      <c r="B2432" s="3" t="s">
        <v>245</v>
      </c>
      <c r="C2432" s="1">
        <v>43300101</v>
      </c>
      <c r="D2432" t="s">
        <v>67</v>
      </c>
      <c r="H2432" t="str">
        <f t="shared" si="245"/>
        <v>02144720790</v>
      </c>
      <c r="I2432" t="str">
        <f t="shared" si="245"/>
        <v>02144720790</v>
      </c>
      <c r="K2432" t="str">
        <f>""</f>
        <v/>
      </c>
      <c r="M2432" t="s">
        <v>68</v>
      </c>
      <c r="N2432" t="str">
        <f t="shared" si="244"/>
        <v>FOR</v>
      </c>
      <c r="O2432" t="s">
        <v>69</v>
      </c>
      <c r="P2432" s="3" t="s">
        <v>75</v>
      </c>
      <c r="Q2432">
        <v>2015</v>
      </c>
      <c r="R2432" s="2">
        <v>42338</v>
      </c>
      <c r="S2432" s="2">
        <v>42338</v>
      </c>
      <c r="T2432" s="2">
        <v>42338</v>
      </c>
      <c r="U2432" s="2">
        <v>42398</v>
      </c>
      <c r="V2432" t="s">
        <v>71</v>
      </c>
      <c r="W2432" t="str">
        <f>"              588 PA"</f>
        <v xml:space="preserve">              588 PA</v>
      </c>
      <c r="X2432">
        <v>18.3</v>
      </c>
      <c r="Y2432">
        <v>0</v>
      </c>
      <c r="Z2432"/>
      <c r="AB2432"/>
      <c r="AC2432">
        <v>15</v>
      </c>
      <c r="AD2432">
        <v>54</v>
      </c>
      <c r="AE2432">
        <v>810</v>
      </c>
      <c r="AF2432">
        <v>0</v>
      </c>
      <c r="AJ2432">
        <v>0</v>
      </c>
      <c r="AK2432">
        <v>0</v>
      </c>
      <c r="AL2432">
        <v>0</v>
      </c>
      <c r="AM2432">
        <v>0</v>
      </c>
      <c r="AN2432">
        <v>0</v>
      </c>
      <c r="AO2432">
        <v>0</v>
      </c>
      <c r="AP2432" s="2">
        <v>42746</v>
      </c>
      <c r="AQ2432" t="s">
        <v>72</v>
      </c>
      <c r="AR2432" t="s">
        <v>72</v>
      </c>
      <c r="AS2432">
        <v>815</v>
      </c>
      <c r="AT2432" s="4">
        <v>42452</v>
      </c>
      <c r="AU2432" t="s">
        <v>73</v>
      </c>
      <c r="AV2432">
        <v>815</v>
      </c>
      <c r="AW2432" s="4">
        <v>42452</v>
      </c>
      <c r="BD2432">
        <v>0</v>
      </c>
      <c r="BN2432" t="s">
        <v>74</v>
      </c>
    </row>
    <row r="2433" spans="1:66" hidden="1">
      <c r="A2433">
        <v>100792</v>
      </c>
      <c r="B2433" s="3" t="s">
        <v>245</v>
      </c>
      <c r="C2433" s="1">
        <v>43300101</v>
      </c>
      <c r="D2433" t="s">
        <v>67</v>
      </c>
      <c r="H2433" t="str">
        <f t="shared" si="245"/>
        <v>02144720790</v>
      </c>
      <c r="I2433" t="str">
        <f t="shared" si="245"/>
        <v>02144720790</v>
      </c>
      <c r="K2433" t="str">
        <f>""</f>
        <v/>
      </c>
      <c r="M2433" t="s">
        <v>68</v>
      </c>
      <c r="N2433" t="str">
        <f t="shared" si="244"/>
        <v>FOR</v>
      </c>
      <c r="O2433" t="s">
        <v>69</v>
      </c>
      <c r="P2433" s="3" t="s">
        <v>75</v>
      </c>
      <c r="Q2433">
        <v>2015</v>
      </c>
      <c r="R2433" s="2">
        <v>42338</v>
      </c>
      <c r="S2433" s="2">
        <v>42338</v>
      </c>
      <c r="T2433" s="2">
        <v>42338</v>
      </c>
      <c r="U2433" s="2">
        <v>42398</v>
      </c>
      <c r="V2433" t="s">
        <v>71</v>
      </c>
      <c r="W2433" t="str">
        <f>"              589 PA"</f>
        <v xml:space="preserve">              589 PA</v>
      </c>
      <c r="X2433">
        <v>97.6</v>
      </c>
      <c r="Y2433">
        <v>0</v>
      </c>
      <c r="Z2433"/>
      <c r="AB2433"/>
      <c r="AC2433">
        <v>80</v>
      </c>
      <c r="AD2433">
        <v>54</v>
      </c>
      <c r="AE2433" s="1">
        <v>4320</v>
      </c>
      <c r="AF2433">
        <v>0</v>
      </c>
      <c r="AJ2433">
        <v>0</v>
      </c>
      <c r="AK2433">
        <v>0</v>
      </c>
      <c r="AL2433">
        <v>0</v>
      </c>
      <c r="AM2433">
        <v>0</v>
      </c>
      <c r="AN2433">
        <v>0</v>
      </c>
      <c r="AO2433">
        <v>0</v>
      </c>
      <c r="AP2433" s="2">
        <v>42746</v>
      </c>
      <c r="AQ2433" t="s">
        <v>72</v>
      </c>
      <c r="AR2433" t="s">
        <v>72</v>
      </c>
      <c r="AS2433">
        <v>815</v>
      </c>
      <c r="AT2433" s="4">
        <v>42452</v>
      </c>
      <c r="AU2433" t="s">
        <v>73</v>
      </c>
      <c r="AV2433">
        <v>815</v>
      </c>
      <c r="AW2433" s="4">
        <v>42452</v>
      </c>
      <c r="BD2433">
        <v>0</v>
      </c>
      <c r="BN2433" t="s">
        <v>74</v>
      </c>
    </row>
    <row r="2434" spans="1:66" hidden="1">
      <c r="A2434">
        <v>100792</v>
      </c>
      <c r="B2434" s="3" t="s">
        <v>245</v>
      </c>
      <c r="C2434" s="1">
        <v>43300101</v>
      </c>
      <c r="D2434" t="s">
        <v>67</v>
      </c>
      <c r="H2434" t="str">
        <f t="shared" si="245"/>
        <v>02144720790</v>
      </c>
      <c r="I2434" t="str">
        <f t="shared" si="245"/>
        <v>02144720790</v>
      </c>
      <c r="K2434" t="str">
        <f>""</f>
        <v/>
      </c>
      <c r="M2434" t="s">
        <v>68</v>
      </c>
      <c r="N2434" t="str">
        <f t="shared" si="244"/>
        <v>FOR</v>
      </c>
      <c r="O2434" t="s">
        <v>69</v>
      </c>
      <c r="P2434" s="3" t="s">
        <v>75</v>
      </c>
      <c r="Q2434">
        <v>2015</v>
      </c>
      <c r="R2434" s="2">
        <v>42338</v>
      </c>
      <c r="S2434" s="2">
        <v>42338</v>
      </c>
      <c r="T2434" s="2">
        <v>42338</v>
      </c>
      <c r="U2434" s="2">
        <v>42398</v>
      </c>
      <c r="V2434" t="s">
        <v>71</v>
      </c>
      <c r="W2434" t="str">
        <f>"              590 PA"</f>
        <v xml:space="preserve">              590 PA</v>
      </c>
      <c r="X2434">
        <v>134.69</v>
      </c>
      <c r="Y2434">
        <v>0</v>
      </c>
      <c r="Z2434"/>
      <c r="AB2434"/>
      <c r="AC2434">
        <v>110.4</v>
      </c>
      <c r="AD2434">
        <v>54</v>
      </c>
      <c r="AE2434" s="1">
        <v>5961.6</v>
      </c>
      <c r="AF2434">
        <v>0</v>
      </c>
      <c r="AJ2434">
        <v>0</v>
      </c>
      <c r="AK2434">
        <v>0</v>
      </c>
      <c r="AL2434">
        <v>0</v>
      </c>
      <c r="AM2434">
        <v>0</v>
      </c>
      <c r="AN2434">
        <v>0</v>
      </c>
      <c r="AO2434">
        <v>0</v>
      </c>
      <c r="AP2434" s="2">
        <v>42746</v>
      </c>
      <c r="AQ2434" t="s">
        <v>72</v>
      </c>
      <c r="AR2434" t="s">
        <v>72</v>
      </c>
      <c r="AS2434">
        <v>815</v>
      </c>
      <c r="AT2434" s="4">
        <v>42452</v>
      </c>
      <c r="AU2434" t="s">
        <v>73</v>
      </c>
      <c r="AV2434">
        <v>815</v>
      </c>
      <c r="AW2434" s="4">
        <v>42452</v>
      </c>
      <c r="BD2434">
        <v>0</v>
      </c>
      <c r="BN2434" t="s">
        <v>74</v>
      </c>
    </row>
    <row r="2435" spans="1:66" hidden="1">
      <c r="A2435">
        <v>100792</v>
      </c>
      <c r="B2435" s="3" t="s">
        <v>245</v>
      </c>
      <c r="C2435" s="1">
        <v>43300101</v>
      </c>
      <c r="D2435" t="s">
        <v>67</v>
      </c>
      <c r="H2435" t="str">
        <f t="shared" si="245"/>
        <v>02144720790</v>
      </c>
      <c r="I2435" t="str">
        <f t="shared" si="245"/>
        <v>02144720790</v>
      </c>
      <c r="K2435" t="str">
        <f>""</f>
        <v/>
      </c>
      <c r="M2435" t="s">
        <v>68</v>
      </c>
      <c r="N2435" t="str">
        <f t="shared" si="244"/>
        <v>FOR</v>
      </c>
      <c r="O2435" t="s">
        <v>69</v>
      </c>
      <c r="P2435" s="3" t="s">
        <v>75</v>
      </c>
      <c r="Q2435">
        <v>2015</v>
      </c>
      <c r="R2435" s="2">
        <v>42338</v>
      </c>
      <c r="S2435" s="2">
        <v>42338</v>
      </c>
      <c r="T2435" s="2">
        <v>42338</v>
      </c>
      <c r="U2435" s="2">
        <v>42398</v>
      </c>
      <c r="V2435" t="s">
        <v>71</v>
      </c>
      <c r="W2435" t="str">
        <f>"              591 PA"</f>
        <v xml:space="preserve">              591 PA</v>
      </c>
      <c r="X2435">
        <v>134.69</v>
      </c>
      <c r="Y2435">
        <v>0</v>
      </c>
      <c r="Z2435"/>
      <c r="AB2435"/>
      <c r="AC2435">
        <v>110.4</v>
      </c>
      <c r="AD2435">
        <v>54</v>
      </c>
      <c r="AE2435" s="1">
        <v>5961.6</v>
      </c>
      <c r="AF2435">
        <v>0</v>
      </c>
      <c r="AJ2435">
        <v>0</v>
      </c>
      <c r="AK2435">
        <v>0</v>
      </c>
      <c r="AL2435">
        <v>0</v>
      </c>
      <c r="AM2435">
        <v>0</v>
      </c>
      <c r="AN2435">
        <v>0</v>
      </c>
      <c r="AO2435">
        <v>0</v>
      </c>
      <c r="AP2435" s="2">
        <v>42746</v>
      </c>
      <c r="AQ2435" t="s">
        <v>72</v>
      </c>
      <c r="AR2435" t="s">
        <v>72</v>
      </c>
      <c r="AS2435">
        <v>815</v>
      </c>
      <c r="AT2435" s="4">
        <v>42452</v>
      </c>
      <c r="AU2435" t="s">
        <v>73</v>
      </c>
      <c r="AV2435">
        <v>815</v>
      </c>
      <c r="AW2435" s="4">
        <v>42452</v>
      </c>
      <c r="BD2435">
        <v>0</v>
      </c>
      <c r="BN2435" t="s">
        <v>74</v>
      </c>
    </row>
    <row r="2436" spans="1:66" hidden="1">
      <c r="A2436">
        <v>100792</v>
      </c>
      <c r="B2436" s="3" t="s">
        <v>245</v>
      </c>
      <c r="C2436" s="1">
        <v>43300101</v>
      </c>
      <c r="D2436" t="s">
        <v>67</v>
      </c>
      <c r="H2436" t="str">
        <f t="shared" si="245"/>
        <v>02144720790</v>
      </c>
      <c r="I2436" t="str">
        <f t="shared" si="245"/>
        <v>02144720790</v>
      </c>
      <c r="K2436" t="str">
        <f>""</f>
        <v/>
      </c>
      <c r="M2436" t="s">
        <v>68</v>
      </c>
      <c r="N2436" t="str">
        <f t="shared" si="244"/>
        <v>FOR</v>
      </c>
      <c r="O2436" t="s">
        <v>69</v>
      </c>
      <c r="P2436" s="3" t="s">
        <v>75</v>
      </c>
      <c r="Q2436">
        <v>2015</v>
      </c>
      <c r="R2436" s="2">
        <v>42361</v>
      </c>
      <c r="S2436" s="2">
        <v>42368</v>
      </c>
      <c r="T2436" s="2">
        <v>42361</v>
      </c>
      <c r="U2436" s="2">
        <v>42421</v>
      </c>
      <c r="V2436" t="s">
        <v>71</v>
      </c>
      <c r="W2436" t="str">
        <f>"              716 PA"</f>
        <v xml:space="preserve">              716 PA</v>
      </c>
      <c r="X2436">
        <v>132.97999999999999</v>
      </c>
      <c r="Y2436">
        <v>0</v>
      </c>
      <c r="Z2436"/>
      <c r="AB2436"/>
      <c r="AC2436">
        <v>109</v>
      </c>
      <c r="AD2436">
        <v>31</v>
      </c>
      <c r="AE2436" s="1">
        <v>3379</v>
      </c>
      <c r="AF2436">
        <v>0</v>
      </c>
      <c r="AJ2436">
        <v>0</v>
      </c>
      <c r="AK2436">
        <v>0</v>
      </c>
      <c r="AL2436">
        <v>0</v>
      </c>
      <c r="AM2436">
        <v>0</v>
      </c>
      <c r="AN2436">
        <v>0</v>
      </c>
      <c r="AO2436">
        <v>0</v>
      </c>
      <c r="AP2436" s="2">
        <v>42746</v>
      </c>
      <c r="AQ2436" t="s">
        <v>72</v>
      </c>
      <c r="AR2436" t="s">
        <v>72</v>
      </c>
      <c r="AS2436">
        <v>815</v>
      </c>
      <c r="AT2436" s="4">
        <v>42452</v>
      </c>
      <c r="AU2436" t="s">
        <v>73</v>
      </c>
      <c r="AV2436">
        <v>815</v>
      </c>
      <c r="AW2436" s="4">
        <v>42452</v>
      </c>
      <c r="BD2436">
        <v>0</v>
      </c>
      <c r="BN2436" t="s">
        <v>74</v>
      </c>
    </row>
    <row r="2437" spans="1:66" hidden="1">
      <c r="A2437">
        <v>100796</v>
      </c>
      <c r="B2437" s="3" t="s">
        <v>246</v>
      </c>
      <c r="C2437" s="1">
        <v>43300101</v>
      </c>
      <c r="D2437" t="s">
        <v>67</v>
      </c>
      <c r="H2437" t="str">
        <f t="shared" ref="H2437:I2445" si="246">"02380550596"</f>
        <v>02380550596</v>
      </c>
      <c r="I2437" t="str">
        <f t="shared" si="246"/>
        <v>02380550596</v>
      </c>
      <c r="K2437" t="str">
        <f>""</f>
        <v/>
      </c>
      <c r="M2437" t="s">
        <v>68</v>
      </c>
      <c r="N2437" t="str">
        <f t="shared" si="244"/>
        <v>FOR</v>
      </c>
      <c r="O2437" t="s">
        <v>69</v>
      </c>
      <c r="P2437" s="3" t="s">
        <v>75</v>
      </c>
      <c r="Q2437">
        <v>2015</v>
      </c>
      <c r="R2437" s="2">
        <v>42134</v>
      </c>
      <c r="S2437" s="2">
        <v>42158</v>
      </c>
      <c r="T2437" s="2">
        <v>42144</v>
      </c>
      <c r="U2437" s="2">
        <v>42204</v>
      </c>
      <c r="V2437" t="s">
        <v>71</v>
      </c>
      <c r="W2437" t="str">
        <f>"             3312/P1"</f>
        <v xml:space="preserve">             3312/P1</v>
      </c>
      <c r="X2437" s="1">
        <v>1980</v>
      </c>
      <c r="Y2437">
        <v>0</v>
      </c>
      <c r="Z2437"/>
      <c r="AB2437"/>
      <c r="AC2437" s="1">
        <v>1800</v>
      </c>
      <c r="AD2437">
        <v>248</v>
      </c>
      <c r="AE2437" s="1">
        <v>446400</v>
      </c>
      <c r="AF2437">
        <v>0</v>
      </c>
      <c r="AJ2437">
        <v>0</v>
      </c>
      <c r="AK2437">
        <v>0</v>
      </c>
      <c r="AL2437">
        <v>0</v>
      </c>
      <c r="AM2437">
        <v>0</v>
      </c>
      <c r="AN2437">
        <v>0</v>
      </c>
      <c r="AO2437">
        <v>0</v>
      </c>
      <c r="AP2437" s="2">
        <v>42746</v>
      </c>
      <c r="AQ2437" t="s">
        <v>72</v>
      </c>
      <c r="AR2437" t="s">
        <v>72</v>
      </c>
      <c r="AS2437">
        <v>778</v>
      </c>
      <c r="AT2437" s="4">
        <v>42452</v>
      </c>
      <c r="AU2437" t="s">
        <v>73</v>
      </c>
      <c r="AV2437">
        <v>778</v>
      </c>
      <c r="AW2437" s="4">
        <v>42452</v>
      </c>
      <c r="BD2437">
        <v>0</v>
      </c>
      <c r="BN2437" t="s">
        <v>74</v>
      </c>
    </row>
    <row r="2438" spans="1:66" hidden="1">
      <c r="A2438">
        <v>100796</v>
      </c>
      <c r="B2438" s="3" t="s">
        <v>246</v>
      </c>
      <c r="C2438" s="1">
        <v>43300101</v>
      </c>
      <c r="D2438" t="s">
        <v>67</v>
      </c>
      <c r="H2438" t="str">
        <f t="shared" si="246"/>
        <v>02380550596</v>
      </c>
      <c r="I2438" t="str">
        <f t="shared" si="246"/>
        <v>02380550596</v>
      </c>
      <c r="K2438" t="str">
        <f>""</f>
        <v/>
      </c>
      <c r="M2438" t="s">
        <v>68</v>
      </c>
      <c r="N2438" t="str">
        <f t="shared" si="244"/>
        <v>FOR</v>
      </c>
      <c r="O2438" t="s">
        <v>69</v>
      </c>
      <c r="P2438" s="3" t="s">
        <v>75</v>
      </c>
      <c r="Q2438">
        <v>2015</v>
      </c>
      <c r="R2438" s="2">
        <v>42325</v>
      </c>
      <c r="S2438" s="2">
        <v>42328</v>
      </c>
      <c r="T2438" s="2">
        <v>42327</v>
      </c>
      <c r="U2438" s="2">
        <v>42387</v>
      </c>
      <c r="V2438" t="s">
        <v>71</v>
      </c>
      <c r="W2438" t="str">
        <f>"             7552/P1"</f>
        <v xml:space="preserve">             7552/P1</v>
      </c>
      <c r="X2438" s="1">
        <v>1963.5</v>
      </c>
      <c r="Y2438">
        <v>0</v>
      </c>
      <c r="Z2438"/>
      <c r="AB2438"/>
      <c r="AC2438" s="1">
        <v>1785</v>
      </c>
      <c r="AD2438">
        <v>133</v>
      </c>
      <c r="AE2438" s="1">
        <v>237405</v>
      </c>
      <c r="AF2438">
        <v>0</v>
      </c>
      <c r="AJ2438">
        <v>0</v>
      </c>
      <c r="AK2438">
        <v>0</v>
      </c>
      <c r="AL2438">
        <v>0</v>
      </c>
      <c r="AM2438">
        <v>0</v>
      </c>
      <c r="AN2438">
        <v>0</v>
      </c>
      <c r="AO2438">
        <v>0</v>
      </c>
      <c r="AP2438" s="2">
        <v>42746</v>
      </c>
      <c r="AQ2438" t="s">
        <v>72</v>
      </c>
      <c r="AR2438" t="s">
        <v>72</v>
      </c>
      <c r="AS2438">
        <v>1427</v>
      </c>
      <c r="AT2438" s="4">
        <v>42520</v>
      </c>
      <c r="AU2438" t="s">
        <v>73</v>
      </c>
      <c r="AV2438">
        <v>1427</v>
      </c>
      <c r="AW2438" s="4">
        <v>42520</v>
      </c>
      <c r="BD2438">
        <v>0</v>
      </c>
      <c r="BN2438" t="s">
        <v>74</v>
      </c>
    </row>
    <row r="2439" spans="1:66" hidden="1">
      <c r="A2439">
        <v>100796</v>
      </c>
      <c r="B2439" s="3" t="s">
        <v>246</v>
      </c>
      <c r="C2439" s="1">
        <v>43300101</v>
      </c>
      <c r="D2439" t="s">
        <v>67</v>
      </c>
      <c r="H2439" t="str">
        <f t="shared" si="246"/>
        <v>02380550596</v>
      </c>
      <c r="I2439" t="str">
        <f t="shared" si="246"/>
        <v>02380550596</v>
      </c>
      <c r="K2439" t="str">
        <f>""</f>
        <v/>
      </c>
      <c r="M2439" t="s">
        <v>68</v>
      </c>
      <c r="N2439" t="str">
        <f t="shared" si="244"/>
        <v>FOR</v>
      </c>
      <c r="O2439" t="s">
        <v>69</v>
      </c>
      <c r="P2439" s="3" t="s">
        <v>75</v>
      </c>
      <c r="Q2439">
        <v>2015</v>
      </c>
      <c r="R2439" s="2">
        <v>42338</v>
      </c>
      <c r="S2439" s="2">
        <v>42340</v>
      </c>
      <c r="T2439" s="2">
        <v>42339</v>
      </c>
      <c r="U2439" s="2">
        <v>42399</v>
      </c>
      <c r="V2439" t="s">
        <v>71</v>
      </c>
      <c r="W2439" t="str">
        <f>"             7854/P1"</f>
        <v xml:space="preserve">             7854/P1</v>
      </c>
      <c r="X2439" s="1">
        <v>1963.5</v>
      </c>
      <c r="Y2439">
        <v>0</v>
      </c>
      <c r="Z2439"/>
      <c r="AB2439"/>
      <c r="AC2439" s="1">
        <v>1785</v>
      </c>
      <c r="AD2439">
        <v>121</v>
      </c>
      <c r="AE2439" s="1">
        <v>215985</v>
      </c>
      <c r="AF2439">
        <v>0</v>
      </c>
      <c r="AJ2439">
        <v>0</v>
      </c>
      <c r="AK2439">
        <v>0</v>
      </c>
      <c r="AL2439">
        <v>0</v>
      </c>
      <c r="AM2439">
        <v>0</v>
      </c>
      <c r="AN2439">
        <v>0</v>
      </c>
      <c r="AO2439">
        <v>0</v>
      </c>
      <c r="AP2439" s="2">
        <v>42746</v>
      </c>
      <c r="AQ2439" t="s">
        <v>72</v>
      </c>
      <c r="AR2439" t="s">
        <v>72</v>
      </c>
      <c r="AS2439">
        <v>1427</v>
      </c>
      <c r="AT2439" s="4">
        <v>42520</v>
      </c>
      <c r="AU2439" t="s">
        <v>73</v>
      </c>
      <c r="AV2439">
        <v>1427</v>
      </c>
      <c r="AW2439" s="4">
        <v>42520</v>
      </c>
      <c r="BD2439">
        <v>0</v>
      </c>
      <c r="BN2439" t="s">
        <v>74</v>
      </c>
    </row>
    <row r="2440" spans="1:66" hidden="1">
      <c r="A2440">
        <v>100796</v>
      </c>
      <c r="B2440" s="3" t="s">
        <v>246</v>
      </c>
      <c r="C2440" s="1">
        <v>43300101</v>
      </c>
      <c r="D2440" t="s">
        <v>67</v>
      </c>
      <c r="H2440" t="str">
        <f t="shared" si="246"/>
        <v>02380550596</v>
      </c>
      <c r="I2440" t="str">
        <f t="shared" si="246"/>
        <v>02380550596</v>
      </c>
      <c r="K2440" t="str">
        <f>""</f>
        <v/>
      </c>
      <c r="M2440" t="s">
        <v>68</v>
      </c>
      <c r="N2440" t="str">
        <f t="shared" si="244"/>
        <v>FOR</v>
      </c>
      <c r="O2440" t="s">
        <v>69</v>
      </c>
      <c r="P2440" s="3" t="s">
        <v>75</v>
      </c>
      <c r="Q2440">
        <v>2015</v>
      </c>
      <c r="R2440" s="2">
        <v>42354</v>
      </c>
      <c r="S2440" s="2">
        <v>42354</v>
      </c>
      <c r="T2440" s="2">
        <v>42354</v>
      </c>
      <c r="U2440" s="2">
        <v>42414</v>
      </c>
      <c r="V2440" t="s">
        <v>71</v>
      </c>
      <c r="W2440" t="str">
        <f>"             8147/P1"</f>
        <v xml:space="preserve">             8147/P1</v>
      </c>
      <c r="X2440" s="1">
        <v>4136</v>
      </c>
      <c r="Y2440">
        <v>0</v>
      </c>
      <c r="Z2440"/>
      <c r="AB2440"/>
      <c r="AC2440" s="1">
        <v>3760</v>
      </c>
      <c r="AD2440">
        <v>106</v>
      </c>
      <c r="AE2440" s="1">
        <v>398560</v>
      </c>
      <c r="AF2440">
        <v>0</v>
      </c>
      <c r="AJ2440">
        <v>0</v>
      </c>
      <c r="AK2440">
        <v>0</v>
      </c>
      <c r="AL2440">
        <v>0</v>
      </c>
      <c r="AM2440">
        <v>0</v>
      </c>
      <c r="AN2440">
        <v>0</v>
      </c>
      <c r="AO2440">
        <v>0</v>
      </c>
      <c r="AP2440" s="2">
        <v>42746</v>
      </c>
      <c r="AQ2440" t="s">
        <v>72</v>
      </c>
      <c r="AR2440" t="s">
        <v>72</v>
      </c>
      <c r="AS2440">
        <v>1427</v>
      </c>
      <c r="AT2440" s="4">
        <v>42520</v>
      </c>
      <c r="AU2440" t="s">
        <v>73</v>
      </c>
      <c r="AV2440">
        <v>1427</v>
      </c>
      <c r="AW2440" s="4">
        <v>42520</v>
      </c>
      <c r="BD2440">
        <v>0</v>
      </c>
      <c r="BN2440" t="s">
        <v>74</v>
      </c>
    </row>
    <row r="2441" spans="1:66" hidden="1">
      <c r="A2441">
        <v>100796</v>
      </c>
      <c r="B2441" s="3" t="s">
        <v>246</v>
      </c>
      <c r="C2441" s="1">
        <v>43300101</v>
      </c>
      <c r="D2441" t="s">
        <v>67</v>
      </c>
      <c r="H2441" t="str">
        <f t="shared" si="246"/>
        <v>02380550596</v>
      </c>
      <c r="I2441" t="str">
        <f t="shared" si="246"/>
        <v>02380550596</v>
      </c>
      <c r="K2441" t="str">
        <f>""</f>
        <v/>
      </c>
      <c r="M2441" t="s">
        <v>68</v>
      </c>
      <c r="N2441" t="str">
        <f t="shared" si="244"/>
        <v>FOR</v>
      </c>
      <c r="O2441" t="s">
        <v>69</v>
      </c>
      <c r="P2441" s="3" t="s">
        <v>75</v>
      </c>
      <c r="Q2441">
        <v>2015</v>
      </c>
      <c r="R2441" s="2">
        <v>42360</v>
      </c>
      <c r="S2441" s="2">
        <v>42366</v>
      </c>
      <c r="T2441" s="2">
        <v>42361</v>
      </c>
      <c r="U2441" s="2">
        <v>42421</v>
      </c>
      <c r="V2441" t="s">
        <v>71</v>
      </c>
      <c r="W2441" t="str">
        <f>"             8348/P1"</f>
        <v xml:space="preserve">             8348/P1</v>
      </c>
      <c r="X2441" s="1">
        <v>2618</v>
      </c>
      <c r="Y2441">
        <v>0</v>
      </c>
      <c r="Z2441"/>
      <c r="AB2441"/>
      <c r="AC2441" s="1">
        <v>2380</v>
      </c>
      <c r="AD2441">
        <v>99</v>
      </c>
      <c r="AE2441" s="1">
        <v>235620</v>
      </c>
      <c r="AF2441">
        <v>0</v>
      </c>
      <c r="AJ2441">
        <v>0</v>
      </c>
      <c r="AK2441">
        <v>0</v>
      </c>
      <c r="AL2441">
        <v>0</v>
      </c>
      <c r="AM2441">
        <v>0</v>
      </c>
      <c r="AN2441">
        <v>0</v>
      </c>
      <c r="AO2441">
        <v>0</v>
      </c>
      <c r="AP2441" s="2">
        <v>42746</v>
      </c>
      <c r="AQ2441" t="s">
        <v>72</v>
      </c>
      <c r="AR2441" t="s">
        <v>72</v>
      </c>
      <c r="AS2441">
        <v>1427</v>
      </c>
      <c r="AT2441" s="4">
        <v>42520</v>
      </c>
      <c r="AU2441" t="s">
        <v>73</v>
      </c>
      <c r="AV2441">
        <v>1427</v>
      </c>
      <c r="AW2441" s="4">
        <v>42520</v>
      </c>
      <c r="BD2441">
        <v>0</v>
      </c>
      <c r="BN2441" t="s">
        <v>74</v>
      </c>
    </row>
    <row r="2442" spans="1:66">
      <c r="A2442">
        <v>100796</v>
      </c>
      <c r="B2442" s="3" t="s">
        <v>246</v>
      </c>
      <c r="C2442" s="1">
        <v>43300101</v>
      </c>
      <c r="D2442" t="s">
        <v>67</v>
      </c>
      <c r="H2442" t="str">
        <f t="shared" si="246"/>
        <v>02380550596</v>
      </c>
      <c r="I2442" t="str">
        <f t="shared" si="246"/>
        <v>02380550596</v>
      </c>
      <c r="K2442" t="str">
        <f>""</f>
        <v/>
      </c>
      <c r="M2442" t="s">
        <v>68</v>
      </c>
      <c r="N2442" t="str">
        <f t="shared" si="244"/>
        <v>FOR</v>
      </c>
      <c r="O2442" t="s">
        <v>69</v>
      </c>
      <c r="P2442" s="3" t="s">
        <v>75</v>
      </c>
      <c r="Q2442">
        <v>2016</v>
      </c>
      <c r="R2442" s="2">
        <v>42394</v>
      </c>
      <c r="S2442" s="2">
        <v>42395</v>
      </c>
      <c r="T2442" s="2">
        <v>42394</v>
      </c>
      <c r="U2442" s="2">
        <v>42454</v>
      </c>
      <c r="V2442" t="s">
        <v>71</v>
      </c>
      <c r="W2442" t="str">
        <f>"              434/P1"</f>
        <v xml:space="preserve">              434/P1</v>
      </c>
      <c r="X2442" s="1">
        <v>2618</v>
      </c>
      <c r="Y2442">
        <v>0</v>
      </c>
      <c r="Z2442" s="5">
        <v>2380</v>
      </c>
      <c r="AA2442">
        <v>269</v>
      </c>
      <c r="AB2442" s="5">
        <v>640220</v>
      </c>
      <c r="AC2442" s="1">
        <v>2380</v>
      </c>
      <c r="AD2442">
        <v>269</v>
      </c>
      <c r="AE2442" s="1">
        <v>640220</v>
      </c>
      <c r="AF2442">
        <v>238</v>
      </c>
      <c r="AJ2442">
        <v>0</v>
      </c>
      <c r="AK2442">
        <v>0</v>
      </c>
      <c r="AL2442">
        <v>0</v>
      </c>
      <c r="AM2442" s="1">
        <v>2618</v>
      </c>
      <c r="AN2442" s="1">
        <v>2618</v>
      </c>
      <c r="AO2442" s="1">
        <v>2618</v>
      </c>
      <c r="AP2442" s="2">
        <v>42746</v>
      </c>
      <c r="AQ2442" t="s">
        <v>72</v>
      </c>
      <c r="AR2442" t="s">
        <v>72</v>
      </c>
      <c r="AS2442">
        <v>3623</v>
      </c>
      <c r="AT2442" s="4">
        <v>42723</v>
      </c>
      <c r="AU2442" t="s">
        <v>73</v>
      </c>
      <c r="AV2442">
        <v>3623</v>
      </c>
      <c r="AW2442" s="4">
        <v>42723</v>
      </c>
      <c r="BD2442">
        <v>238</v>
      </c>
      <c r="BN2442" t="s">
        <v>74</v>
      </c>
    </row>
    <row r="2443" spans="1:66">
      <c r="A2443">
        <v>100796</v>
      </c>
      <c r="B2443" s="3" t="s">
        <v>246</v>
      </c>
      <c r="C2443" s="1">
        <v>43300101</v>
      </c>
      <c r="D2443" t="s">
        <v>67</v>
      </c>
      <c r="H2443" t="str">
        <f t="shared" si="246"/>
        <v>02380550596</v>
      </c>
      <c r="I2443" t="str">
        <f t="shared" si="246"/>
        <v>02380550596</v>
      </c>
      <c r="K2443" t="str">
        <f>""</f>
        <v/>
      </c>
      <c r="M2443" t="s">
        <v>68</v>
      </c>
      <c r="N2443" t="str">
        <f t="shared" si="244"/>
        <v>FOR</v>
      </c>
      <c r="O2443" t="s">
        <v>69</v>
      </c>
      <c r="P2443" s="3" t="s">
        <v>75</v>
      </c>
      <c r="Q2443">
        <v>2016</v>
      </c>
      <c r="R2443" s="2">
        <v>42416</v>
      </c>
      <c r="S2443" s="2">
        <v>42417</v>
      </c>
      <c r="T2443" s="2">
        <v>42416</v>
      </c>
      <c r="U2443" s="2">
        <v>42476</v>
      </c>
      <c r="V2443" t="s">
        <v>71</v>
      </c>
      <c r="W2443" t="str">
        <f>"              934/P1"</f>
        <v xml:space="preserve">              934/P1</v>
      </c>
      <c r="X2443" s="1">
        <v>2618</v>
      </c>
      <c r="Y2443">
        <v>0</v>
      </c>
      <c r="Z2443" s="5">
        <v>2380</v>
      </c>
      <c r="AA2443">
        <v>247</v>
      </c>
      <c r="AB2443" s="5">
        <v>587860</v>
      </c>
      <c r="AC2443" s="1">
        <v>2380</v>
      </c>
      <c r="AD2443">
        <v>247</v>
      </c>
      <c r="AE2443" s="1">
        <v>587860</v>
      </c>
      <c r="AF2443">
        <v>238</v>
      </c>
      <c r="AJ2443">
        <v>0</v>
      </c>
      <c r="AK2443">
        <v>0</v>
      </c>
      <c r="AL2443">
        <v>0</v>
      </c>
      <c r="AM2443" s="1">
        <v>2618</v>
      </c>
      <c r="AN2443" s="1">
        <v>2618</v>
      </c>
      <c r="AO2443" s="1">
        <v>2618</v>
      </c>
      <c r="AP2443" s="2">
        <v>42746</v>
      </c>
      <c r="AQ2443" t="s">
        <v>72</v>
      </c>
      <c r="AR2443" t="s">
        <v>72</v>
      </c>
      <c r="AS2443">
        <v>3623</v>
      </c>
      <c r="AT2443" s="4">
        <v>42723</v>
      </c>
      <c r="AU2443" t="s">
        <v>73</v>
      </c>
      <c r="AV2443">
        <v>3623</v>
      </c>
      <c r="AW2443" s="4">
        <v>42723</v>
      </c>
      <c r="BD2443">
        <v>238</v>
      </c>
      <c r="BN2443" t="s">
        <v>74</v>
      </c>
    </row>
    <row r="2444" spans="1:66">
      <c r="A2444">
        <v>100796</v>
      </c>
      <c r="B2444" s="3" t="s">
        <v>246</v>
      </c>
      <c r="C2444" s="1">
        <v>43300101</v>
      </c>
      <c r="D2444" t="s">
        <v>67</v>
      </c>
      <c r="H2444" t="str">
        <f t="shared" si="246"/>
        <v>02380550596</v>
      </c>
      <c r="I2444" t="str">
        <f t="shared" si="246"/>
        <v>02380550596</v>
      </c>
      <c r="K2444" t="str">
        <f>""</f>
        <v/>
      </c>
      <c r="M2444" t="s">
        <v>68</v>
      </c>
      <c r="N2444" t="str">
        <f t="shared" si="244"/>
        <v>FOR</v>
      </c>
      <c r="O2444" t="s">
        <v>69</v>
      </c>
      <c r="P2444" s="3" t="s">
        <v>75</v>
      </c>
      <c r="Q2444">
        <v>2016</v>
      </c>
      <c r="R2444" s="2">
        <v>42425</v>
      </c>
      <c r="S2444" s="2">
        <v>42436</v>
      </c>
      <c r="T2444" s="2">
        <v>42426</v>
      </c>
      <c r="U2444" s="2">
        <v>42486</v>
      </c>
      <c r="V2444" t="s">
        <v>71</v>
      </c>
      <c r="W2444" t="str">
        <f>"             1225/P1"</f>
        <v xml:space="preserve">             1225/P1</v>
      </c>
      <c r="X2444">
        <v>455.4</v>
      </c>
      <c r="Y2444">
        <v>0</v>
      </c>
      <c r="Z2444" s="3">
        <v>414</v>
      </c>
      <c r="AA2444">
        <v>237</v>
      </c>
      <c r="AB2444" s="5">
        <v>98118</v>
      </c>
      <c r="AC2444">
        <v>414</v>
      </c>
      <c r="AD2444">
        <v>237</v>
      </c>
      <c r="AE2444" s="1">
        <v>98118</v>
      </c>
      <c r="AF2444">
        <v>41.4</v>
      </c>
      <c r="AJ2444">
        <v>0</v>
      </c>
      <c r="AK2444">
        <v>0</v>
      </c>
      <c r="AL2444">
        <v>0</v>
      </c>
      <c r="AM2444">
        <v>455.4</v>
      </c>
      <c r="AN2444">
        <v>455.4</v>
      </c>
      <c r="AO2444">
        <v>455.4</v>
      </c>
      <c r="AP2444" s="2">
        <v>42746</v>
      </c>
      <c r="AQ2444" t="s">
        <v>72</v>
      </c>
      <c r="AR2444" t="s">
        <v>72</v>
      </c>
      <c r="AS2444">
        <v>3623</v>
      </c>
      <c r="AT2444" s="4">
        <v>42723</v>
      </c>
      <c r="AU2444" t="s">
        <v>73</v>
      </c>
      <c r="AV2444">
        <v>3623</v>
      </c>
      <c r="AW2444" s="4">
        <v>42723</v>
      </c>
      <c r="BD2444">
        <v>41.4</v>
      </c>
      <c r="BN2444" t="s">
        <v>74</v>
      </c>
    </row>
    <row r="2445" spans="1:66">
      <c r="A2445">
        <v>100796</v>
      </c>
      <c r="B2445" s="3" t="s">
        <v>246</v>
      </c>
      <c r="C2445" s="1">
        <v>43300101</v>
      </c>
      <c r="D2445" t="s">
        <v>67</v>
      </c>
      <c r="H2445" t="str">
        <f t="shared" si="246"/>
        <v>02380550596</v>
      </c>
      <c r="I2445" t="str">
        <f t="shared" si="246"/>
        <v>02380550596</v>
      </c>
      <c r="K2445" t="str">
        <f>""</f>
        <v/>
      </c>
      <c r="M2445" t="s">
        <v>68</v>
      </c>
      <c r="N2445" t="str">
        <f t="shared" si="244"/>
        <v>FOR</v>
      </c>
      <c r="O2445" t="s">
        <v>69</v>
      </c>
      <c r="P2445" s="3" t="s">
        <v>75</v>
      </c>
      <c r="Q2445">
        <v>2016</v>
      </c>
      <c r="R2445" s="2">
        <v>42429</v>
      </c>
      <c r="S2445" s="2">
        <v>42436</v>
      </c>
      <c r="T2445" s="2">
        <v>42429</v>
      </c>
      <c r="U2445" s="2">
        <v>42489</v>
      </c>
      <c r="V2445" t="s">
        <v>71</v>
      </c>
      <c r="W2445" t="str">
        <f>"             1332/P1"</f>
        <v xml:space="preserve">             1332/P1</v>
      </c>
      <c r="X2445" s="1">
        <v>1309</v>
      </c>
      <c r="Y2445">
        <v>0</v>
      </c>
      <c r="Z2445" s="5">
        <v>1190</v>
      </c>
      <c r="AA2445">
        <v>234</v>
      </c>
      <c r="AB2445" s="5">
        <v>278460</v>
      </c>
      <c r="AC2445" s="1">
        <v>1190</v>
      </c>
      <c r="AD2445">
        <v>234</v>
      </c>
      <c r="AE2445" s="1">
        <v>278460</v>
      </c>
      <c r="AF2445">
        <v>119</v>
      </c>
      <c r="AJ2445">
        <v>0</v>
      </c>
      <c r="AK2445">
        <v>0</v>
      </c>
      <c r="AL2445">
        <v>0</v>
      </c>
      <c r="AM2445" s="1">
        <v>1309</v>
      </c>
      <c r="AN2445" s="1">
        <v>1309</v>
      </c>
      <c r="AO2445" s="1">
        <v>1309</v>
      </c>
      <c r="AP2445" s="2">
        <v>42746</v>
      </c>
      <c r="AQ2445" t="s">
        <v>72</v>
      </c>
      <c r="AR2445" t="s">
        <v>72</v>
      </c>
      <c r="AS2445">
        <v>3623</v>
      </c>
      <c r="AT2445" s="4">
        <v>42723</v>
      </c>
      <c r="AU2445" t="s">
        <v>73</v>
      </c>
      <c r="AV2445">
        <v>3623</v>
      </c>
      <c r="AW2445" s="4">
        <v>42723</v>
      </c>
      <c r="BD2445">
        <v>119</v>
      </c>
      <c r="BN2445" t="s">
        <v>74</v>
      </c>
    </row>
    <row r="2446" spans="1:66" hidden="1">
      <c r="A2446">
        <v>100798</v>
      </c>
      <c r="B2446" s="3" t="s">
        <v>247</v>
      </c>
      <c r="C2446" s="1">
        <v>43300101</v>
      </c>
      <c r="D2446" t="s">
        <v>67</v>
      </c>
      <c r="H2446" t="str">
        <f t="shared" ref="H2446:H2481" si="247">"00492340583"</f>
        <v>00492340583</v>
      </c>
      <c r="I2446" t="str">
        <f t="shared" ref="I2446:I2481" si="248">"00907371009"</f>
        <v>00907371009</v>
      </c>
      <c r="K2446" t="str">
        <f>""</f>
        <v/>
      </c>
      <c r="M2446" t="s">
        <v>68</v>
      </c>
      <c r="N2446" t="str">
        <f t="shared" si="244"/>
        <v>FOR</v>
      </c>
      <c r="O2446" t="s">
        <v>69</v>
      </c>
      <c r="P2446" s="3" t="s">
        <v>70</v>
      </c>
      <c r="Q2446">
        <v>2014</v>
      </c>
      <c r="R2446" s="2">
        <v>41823</v>
      </c>
      <c r="S2446" s="2">
        <v>42054</v>
      </c>
      <c r="T2446" s="2">
        <v>42054</v>
      </c>
      <c r="U2446" s="2">
        <v>42114</v>
      </c>
      <c r="V2446" t="s">
        <v>71</v>
      </c>
      <c r="W2446" t="str">
        <f>"            14056779"</f>
        <v xml:space="preserve">            14056779</v>
      </c>
      <c r="X2446">
        <v>798.72</v>
      </c>
      <c r="Y2446">
        <v>0</v>
      </c>
      <c r="Z2446"/>
      <c r="AB2446"/>
      <c r="AC2446">
        <v>798.72</v>
      </c>
      <c r="AD2446">
        <v>416</v>
      </c>
      <c r="AE2446" s="1">
        <v>332267.52000000002</v>
      </c>
      <c r="AF2446">
        <v>0</v>
      </c>
      <c r="AJ2446">
        <v>0</v>
      </c>
      <c r="AK2446">
        <v>0</v>
      </c>
      <c r="AL2446">
        <v>0</v>
      </c>
      <c r="AM2446">
        <v>0</v>
      </c>
      <c r="AN2446">
        <v>0</v>
      </c>
      <c r="AO2446">
        <v>0</v>
      </c>
      <c r="AP2446" s="2">
        <v>42746</v>
      </c>
      <c r="AQ2446" t="s">
        <v>72</v>
      </c>
      <c r="AR2446" t="s">
        <v>72</v>
      </c>
      <c r="AS2446">
        <v>1596</v>
      </c>
      <c r="AT2446" s="4">
        <v>42530</v>
      </c>
      <c r="AU2446" t="s">
        <v>73</v>
      </c>
      <c r="AV2446">
        <v>1596</v>
      </c>
      <c r="AW2446" s="4">
        <v>42530</v>
      </c>
      <c r="BD2446">
        <v>0</v>
      </c>
      <c r="BN2446" t="s">
        <v>74</v>
      </c>
    </row>
    <row r="2447" spans="1:66" hidden="1">
      <c r="A2447">
        <v>100798</v>
      </c>
      <c r="B2447" s="3" t="s">
        <v>247</v>
      </c>
      <c r="C2447" s="1">
        <v>43300101</v>
      </c>
      <c r="D2447" t="s">
        <v>67</v>
      </c>
      <c r="H2447" t="str">
        <f t="shared" si="247"/>
        <v>00492340583</v>
      </c>
      <c r="I2447" t="str">
        <f t="shared" si="248"/>
        <v>00907371009</v>
      </c>
      <c r="K2447" t="str">
        <f>""</f>
        <v/>
      </c>
      <c r="M2447" t="s">
        <v>68</v>
      </c>
      <c r="N2447" t="str">
        <f t="shared" si="244"/>
        <v>FOR</v>
      </c>
      <c r="O2447" t="s">
        <v>69</v>
      </c>
      <c r="P2447" s="3" t="s">
        <v>70</v>
      </c>
      <c r="Q2447">
        <v>2014</v>
      </c>
      <c r="R2447" s="2">
        <v>41831</v>
      </c>
      <c r="S2447" s="2">
        <v>42054</v>
      </c>
      <c r="T2447" s="2">
        <v>42054</v>
      </c>
      <c r="U2447" s="2">
        <v>42114</v>
      </c>
      <c r="V2447" t="s">
        <v>71</v>
      </c>
      <c r="W2447" t="str">
        <f>"            14059570"</f>
        <v xml:space="preserve">            14059570</v>
      </c>
      <c r="X2447">
        <v>591.36</v>
      </c>
      <c r="Y2447">
        <v>0</v>
      </c>
      <c r="Z2447"/>
      <c r="AB2447"/>
      <c r="AC2447">
        <v>591.36</v>
      </c>
      <c r="AD2447">
        <v>416</v>
      </c>
      <c r="AE2447" s="1">
        <v>246005.76000000001</v>
      </c>
      <c r="AF2447">
        <v>0</v>
      </c>
      <c r="AJ2447">
        <v>0</v>
      </c>
      <c r="AK2447">
        <v>0</v>
      </c>
      <c r="AL2447">
        <v>0</v>
      </c>
      <c r="AM2447">
        <v>0</v>
      </c>
      <c r="AN2447">
        <v>0</v>
      </c>
      <c r="AO2447">
        <v>0</v>
      </c>
      <c r="AP2447" s="2">
        <v>42746</v>
      </c>
      <c r="AQ2447" t="s">
        <v>72</v>
      </c>
      <c r="AR2447" t="s">
        <v>72</v>
      </c>
      <c r="AS2447">
        <v>1596</v>
      </c>
      <c r="AT2447" s="4">
        <v>42530</v>
      </c>
      <c r="AU2447" t="s">
        <v>73</v>
      </c>
      <c r="AV2447">
        <v>1596</v>
      </c>
      <c r="AW2447" s="4">
        <v>42530</v>
      </c>
      <c r="BD2447">
        <v>0</v>
      </c>
      <c r="BN2447" t="s">
        <v>74</v>
      </c>
    </row>
    <row r="2448" spans="1:66" hidden="1">
      <c r="A2448">
        <v>100798</v>
      </c>
      <c r="B2448" s="3" t="s">
        <v>247</v>
      </c>
      <c r="C2448" s="1">
        <v>43300101</v>
      </c>
      <c r="D2448" t="s">
        <v>67</v>
      </c>
      <c r="H2448" t="str">
        <f t="shared" si="247"/>
        <v>00492340583</v>
      </c>
      <c r="I2448" t="str">
        <f t="shared" si="248"/>
        <v>00907371009</v>
      </c>
      <c r="K2448" t="str">
        <f>""</f>
        <v/>
      </c>
      <c r="M2448" t="s">
        <v>68</v>
      </c>
      <c r="N2448" t="str">
        <f t="shared" si="244"/>
        <v>FOR</v>
      </c>
      <c r="O2448" t="s">
        <v>69</v>
      </c>
      <c r="P2448" s="3" t="s">
        <v>70</v>
      </c>
      <c r="Q2448">
        <v>2014</v>
      </c>
      <c r="R2448" s="2">
        <v>41837</v>
      </c>
      <c r="S2448" s="2">
        <v>42054</v>
      </c>
      <c r="T2448" s="2">
        <v>42054</v>
      </c>
      <c r="U2448" s="2">
        <v>42114</v>
      </c>
      <c r="V2448" t="s">
        <v>71</v>
      </c>
      <c r="W2448" t="str">
        <f>"            14061405"</f>
        <v xml:space="preserve">            14061405</v>
      </c>
      <c r="X2448">
        <v>632.16999999999996</v>
      </c>
      <c r="Y2448">
        <v>0</v>
      </c>
      <c r="Z2448"/>
      <c r="AB2448"/>
      <c r="AC2448">
        <v>632.16999999999996</v>
      </c>
      <c r="AD2448">
        <v>416</v>
      </c>
      <c r="AE2448" s="1">
        <v>262982.71999999997</v>
      </c>
      <c r="AF2448">
        <v>0</v>
      </c>
      <c r="AJ2448">
        <v>0</v>
      </c>
      <c r="AK2448">
        <v>0</v>
      </c>
      <c r="AL2448">
        <v>0</v>
      </c>
      <c r="AM2448">
        <v>0</v>
      </c>
      <c r="AN2448">
        <v>0</v>
      </c>
      <c r="AO2448">
        <v>0</v>
      </c>
      <c r="AP2448" s="2">
        <v>42746</v>
      </c>
      <c r="AQ2448" t="s">
        <v>72</v>
      </c>
      <c r="AR2448" t="s">
        <v>72</v>
      </c>
      <c r="AS2448">
        <v>1596</v>
      </c>
      <c r="AT2448" s="4">
        <v>42530</v>
      </c>
      <c r="AU2448" t="s">
        <v>73</v>
      </c>
      <c r="AV2448">
        <v>1596</v>
      </c>
      <c r="AW2448" s="4">
        <v>42530</v>
      </c>
      <c r="BD2448">
        <v>0</v>
      </c>
      <c r="BN2448" t="s">
        <v>74</v>
      </c>
    </row>
    <row r="2449" spans="1:66" hidden="1">
      <c r="A2449">
        <v>100798</v>
      </c>
      <c r="B2449" s="3" t="s">
        <v>247</v>
      </c>
      <c r="C2449" s="1">
        <v>43300101</v>
      </c>
      <c r="D2449" t="s">
        <v>67</v>
      </c>
      <c r="H2449" t="str">
        <f t="shared" si="247"/>
        <v>00492340583</v>
      </c>
      <c r="I2449" t="str">
        <f t="shared" si="248"/>
        <v>00907371009</v>
      </c>
      <c r="K2449" t="str">
        <f>""</f>
        <v/>
      </c>
      <c r="M2449" t="s">
        <v>68</v>
      </c>
      <c r="N2449" t="str">
        <f t="shared" ref="N2449:N2480" si="249">"FOR"</f>
        <v>FOR</v>
      </c>
      <c r="O2449" t="s">
        <v>69</v>
      </c>
      <c r="P2449" s="3" t="s">
        <v>70</v>
      </c>
      <c r="Q2449">
        <v>2014</v>
      </c>
      <c r="R2449" s="2">
        <v>41838</v>
      </c>
      <c r="S2449" s="2">
        <v>42054</v>
      </c>
      <c r="T2449" s="2">
        <v>42054</v>
      </c>
      <c r="U2449" s="2">
        <v>42114</v>
      </c>
      <c r="V2449" t="s">
        <v>71</v>
      </c>
      <c r="W2449" t="str">
        <f>"            14061842"</f>
        <v xml:space="preserve">            14061842</v>
      </c>
      <c r="X2449">
        <v>464.64</v>
      </c>
      <c r="Y2449">
        <v>0</v>
      </c>
      <c r="Z2449"/>
      <c r="AB2449"/>
      <c r="AC2449">
        <v>464.64</v>
      </c>
      <c r="AD2449">
        <v>416</v>
      </c>
      <c r="AE2449" s="1">
        <v>193290.23999999999</v>
      </c>
      <c r="AF2449">
        <v>0</v>
      </c>
      <c r="AJ2449">
        <v>0</v>
      </c>
      <c r="AK2449">
        <v>0</v>
      </c>
      <c r="AL2449">
        <v>0</v>
      </c>
      <c r="AM2449">
        <v>0</v>
      </c>
      <c r="AN2449">
        <v>0</v>
      </c>
      <c r="AO2449">
        <v>0</v>
      </c>
      <c r="AP2449" s="2">
        <v>42746</v>
      </c>
      <c r="AQ2449" t="s">
        <v>72</v>
      </c>
      <c r="AR2449" t="s">
        <v>72</v>
      </c>
      <c r="AS2449">
        <v>1596</v>
      </c>
      <c r="AT2449" s="4">
        <v>42530</v>
      </c>
      <c r="AU2449" t="s">
        <v>73</v>
      </c>
      <c r="AV2449">
        <v>1596</v>
      </c>
      <c r="AW2449" s="4">
        <v>42530</v>
      </c>
      <c r="BD2449">
        <v>0</v>
      </c>
      <c r="BN2449" t="s">
        <v>74</v>
      </c>
    </row>
    <row r="2450" spans="1:66" hidden="1">
      <c r="A2450">
        <v>100798</v>
      </c>
      <c r="B2450" s="3" t="s">
        <v>247</v>
      </c>
      <c r="C2450" s="1">
        <v>43300101</v>
      </c>
      <c r="D2450" t="s">
        <v>67</v>
      </c>
      <c r="H2450" t="str">
        <f t="shared" si="247"/>
        <v>00492340583</v>
      </c>
      <c r="I2450" t="str">
        <f t="shared" si="248"/>
        <v>00907371009</v>
      </c>
      <c r="K2450" t="str">
        <f>""</f>
        <v/>
      </c>
      <c r="M2450" t="s">
        <v>68</v>
      </c>
      <c r="N2450" t="str">
        <f t="shared" si="249"/>
        <v>FOR</v>
      </c>
      <c r="O2450" t="s">
        <v>69</v>
      </c>
      <c r="P2450" s="3" t="s">
        <v>78</v>
      </c>
      <c r="Q2450">
        <v>2014</v>
      </c>
      <c r="R2450" s="2">
        <v>41887</v>
      </c>
      <c r="S2450" s="2">
        <v>41922</v>
      </c>
      <c r="T2450" s="2">
        <v>41922</v>
      </c>
      <c r="U2450" s="2">
        <v>42012</v>
      </c>
      <c r="V2450" t="s">
        <v>71</v>
      </c>
      <c r="W2450" t="str">
        <f>"            14076150"</f>
        <v xml:space="preserve">            14076150</v>
      </c>
      <c r="X2450">
        <v>399.36</v>
      </c>
      <c r="Y2450">
        <v>0</v>
      </c>
      <c r="Z2450"/>
      <c r="AB2450"/>
      <c r="AC2450">
        <v>399.36</v>
      </c>
      <c r="AD2450">
        <v>518</v>
      </c>
      <c r="AE2450" s="1">
        <v>206868.48000000001</v>
      </c>
      <c r="AF2450">
        <v>0</v>
      </c>
      <c r="AJ2450">
        <v>0</v>
      </c>
      <c r="AK2450">
        <v>0</v>
      </c>
      <c r="AL2450">
        <v>0</v>
      </c>
      <c r="AM2450">
        <v>0</v>
      </c>
      <c r="AN2450">
        <v>0</v>
      </c>
      <c r="AO2450">
        <v>0</v>
      </c>
      <c r="AP2450" s="2">
        <v>42746</v>
      </c>
      <c r="AQ2450" t="s">
        <v>72</v>
      </c>
      <c r="AR2450" t="s">
        <v>72</v>
      </c>
      <c r="AS2450">
        <v>1596</v>
      </c>
      <c r="AT2450" s="4">
        <v>42530</v>
      </c>
      <c r="AU2450" t="s">
        <v>73</v>
      </c>
      <c r="AV2450">
        <v>1596</v>
      </c>
      <c r="AW2450" s="4">
        <v>42530</v>
      </c>
      <c r="BD2450">
        <v>0</v>
      </c>
      <c r="BN2450" t="s">
        <v>74</v>
      </c>
    </row>
    <row r="2451" spans="1:66" hidden="1">
      <c r="A2451">
        <v>100798</v>
      </c>
      <c r="B2451" s="3" t="s">
        <v>247</v>
      </c>
      <c r="C2451" s="1">
        <v>43300101</v>
      </c>
      <c r="D2451" t="s">
        <v>67</v>
      </c>
      <c r="H2451" t="str">
        <f t="shared" si="247"/>
        <v>00492340583</v>
      </c>
      <c r="I2451" t="str">
        <f t="shared" si="248"/>
        <v>00907371009</v>
      </c>
      <c r="K2451" t="str">
        <f>""</f>
        <v/>
      </c>
      <c r="M2451" t="s">
        <v>68</v>
      </c>
      <c r="N2451" t="str">
        <f t="shared" si="249"/>
        <v>FOR</v>
      </c>
      <c r="O2451" t="s">
        <v>69</v>
      </c>
      <c r="P2451" s="3" t="s">
        <v>78</v>
      </c>
      <c r="Q2451">
        <v>2014</v>
      </c>
      <c r="R2451" s="2">
        <v>41901</v>
      </c>
      <c r="S2451" s="2">
        <v>41921</v>
      </c>
      <c r="T2451" s="2">
        <v>41921</v>
      </c>
      <c r="U2451" s="2">
        <v>42011</v>
      </c>
      <c r="V2451" t="s">
        <v>71</v>
      </c>
      <c r="W2451" t="str">
        <f>"            14079995"</f>
        <v xml:space="preserve">            14079995</v>
      </c>
      <c r="X2451">
        <v>399.36</v>
      </c>
      <c r="Y2451">
        <v>0</v>
      </c>
      <c r="Z2451"/>
      <c r="AB2451"/>
      <c r="AC2451">
        <v>399.36</v>
      </c>
      <c r="AD2451">
        <v>519</v>
      </c>
      <c r="AE2451" s="1">
        <v>207267.84</v>
      </c>
      <c r="AF2451">
        <v>0</v>
      </c>
      <c r="AJ2451">
        <v>0</v>
      </c>
      <c r="AK2451">
        <v>0</v>
      </c>
      <c r="AL2451">
        <v>0</v>
      </c>
      <c r="AM2451">
        <v>0</v>
      </c>
      <c r="AN2451">
        <v>0</v>
      </c>
      <c r="AO2451">
        <v>0</v>
      </c>
      <c r="AP2451" s="2">
        <v>42746</v>
      </c>
      <c r="AQ2451" t="s">
        <v>72</v>
      </c>
      <c r="AR2451" t="s">
        <v>72</v>
      </c>
      <c r="AS2451">
        <v>1596</v>
      </c>
      <c r="AT2451" s="4">
        <v>42530</v>
      </c>
      <c r="AU2451" t="s">
        <v>73</v>
      </c>
      <c r="AV2451">
        <v>1596</v>
      </c>
      <c r="AW2451" s="4">
        <v>42530</v>
      </c>
      <c r="BD2451">
        <v>0</v>
      </c>
      <c r="BN2451" t="s">
        <v>74</v>
      </c>
    </row>
    <row r="2452" spans="1:66" hidden="1">
      <c r="A2452">
        <v>100798</v>
      </c>
      <c r="B2452" s="3" t="s">
        <v>247</v>
      </c>
      <c r="C2452" s="1">
        <v>43300101</v>
      </c>
      <c r="D2452" t="s">
        <v>67</v>
      </c>
      <c r="H2452" t="str">
        <f t="shared" si="247"/>
        <v>00492340583</v>
      </c>
      <c r="I2452" t="str">
        <f t="shared" si="248"/>
        <v>00907371009</v>
      </c>
      <c r="K2452" t="str">
        <f>""</f>
        <v/>
      </c>
      <c r="M2452" t="s">
        <v>68</v>
      </c>
      <c r="N2452" t="str">
        <f t="shared" si="249"/>
        <v>FOR</v>
      </c>
      <c r="O2452" t="s">
        <v>69</v>
      </c>
      <c r="P2452" s="3" t="s">
        <v>78</v>
      </c>
      <c r="Q2452">
        <v>2014</v>
      </c>
      <c r="R2452" s="2">
        <v>41901</v>
      </c>
      <c r="S2452" s="2">
        <v>41921</v>
      </c>
      <c r="T2452" s="2">
        <v>41921</v>
      </c>
      <c r="U2452" s="2">
        <v>42011</v>
      </c>
      <c r="V2452" t="s">
        <v>71</v>
      </c>
      <c r="W2452" t="str">
        <f>"            14079996"</f>
        <v xml:space="preserve">            14079996</v>
      </c>
      <c r="X2452" s="1">
        <v>1056</v>
      </c>
      <c r="Y2452">
        <v>0</v>
      </c>
      <c r="Z2452"/>
      <c r="AB2452"/>
      <c r="AC2452" s="1">
        <v>1056</v>
      </c>
      <c r="AD2452">
        <v>519</v>
      </c>
      <c r="AE2452" s="1">
        <v>548064</v>
      </c>
      <c r="AF2452">
        <v>0</v>
      </c>
      <c r="AJ2452">
        <v>0</v>
      </c>
      <c r="AK2452">
        <v>0</v>
      </c>
      <c r="AL2452">
        <v>0</v>
      </c>
      <c r="AM2452">
        <v>0</v>
      </c>
      <c r="AN2452">
        <v>0</v>
      </c>
      <c r="AO2452">
        <v>0</v>
      </c>
      <c r="AP2452" s="2">
        <v>42746</v>
      </c>
      <c r="AQ2452" t="s">
        <v>72</v>
      </c>
      <c r="AR2452" t="s">
        <v>72</v>
      </c>
      <c r="AS2452">
        <v>1596</v>
      </c>
      <c r="AT2452" s="4">
        <v>42530</v>
      </c>
      <c r="AU2452" t="s">
        <v>73</v>
      </c>
      <c r="AV2452">
        <v>1596</v>
      </c>
      <c r="AW2452" s="4">
        <v>42530</v>
      </c>
      <c r="BD2452">
        <v>0</v>
      </c>
      <c r="BN2452" t="s">
        <v>74</v>
      </c>
    </row>
    <row r="2453" spans="1:66" hidden="1">
      <c r="A2453">
        <v>100798</v>
      </c>
      <c r="B2453" s="3" t="s">
        <v>247</v>
      </c>
      <c r="C2453" s="1">
        <v>43300101</v>
      </c>
      <c r="D2453" t="s">
        <v>67</v>
      </c>
      <c r="H2453" t="str">
        <f t="shared" si="247"/>
        <v>00492340583</v>
      </c>
      <c r="I2453" t="str">
        <f t="shared" si="248"/>
        <v>00907371009</v>
      </c>
      <c r="K2453" t="str">
        <f>""</f>
        <v/>
      </c>
      <c r="M2453" t="s">
        <v>68</v>
      </c>
      <c r="N2453" t="str">
        <f t="shared" si="249"/>
        <v>FOR</v>
      </c>
      <c r="O2453" t="s">
        <v>69</v>
      </c>
      <c r="P2453" s="3" t="s">
        <v>70</v>
      </c>
      <c r="Q2453">
        <v>2014</v>
      </c>
      <c r="R2453" s="2">
        <v>41925</v>
      </c>
      <c r="S2453" s="2">
        <v>41941</v>
      </c>
      <c r="T2453" s="2">
        <v>41941</v>
      </c>
      <c r="U2453" s="2">
        <v>42001</v>
      </c>
      <c r="V2453" t="s">
        <v>71</v>
      </c>
      <c r="W2453" t="str">
        <f>"            14087583"</f>
        <v xml:space="preserve">            14087583</v>
      </c>
      <c r="X2453">
        <v>277.2</v>
      </c>
      <c r="Y2453">
        <v>0</v>
      </c>
      <c r="Z2453"/>
      <c r="AB2453"/>
      <c r="AC2453">
        <v>277.2</v>
      </c>
      <c r="AD2453">
        <v>529</v>
      </c>
      <c r="AE2453" s="1">
        <v>146638.79999999999</v>
      </c>
      <c r="AF2453">
        <v>0</v>
      </c>
      <c r="AJ2453">
        <v>0</v>
      </c>
      <c r="AK2453">
        <v>0</v>
      </c>
      <c r="AL2453">
        <v>0</v>
      </c>
      <c r="AM2453">
        <v>0</v>
      </c>
      <c r="AN2453">
        <v>0</v>
      </c>
      <c r="AO2453">
        <v>0</v>
      </c>
      <c r="AP2453" s="2">
        <v>42746</v>
      </c>
      <c r="AQ2453" t="s">
        <v>72</v>
      </c>
      <c r="AR2453" t="s">
        <v>72</v>
      </c>
      <c r="AS2453">
        <v>1596</v>
      </c>
      <c r="AT2453" s="4">
        <v>42530</v>
      </c>
      <c r="AU2453" t="s">
        <v>73</v>
      </c>
      <c r="AV2453">
        <v>1596</v>
      </c>
      <c r="AW2453" s="4">
        <v>42530</v>
      </c>
      <c r="BD2453">
        <v>0</v>
      </c>
      <c r="BN2453" t="s">
        <v>74</v>
      </c>
    </row>
    <row r="2454" spans="1:66" hidden="1">
      <c r="A2454">
        <v>100798</v>
      </c>
      <c r="B2454" s="3" t="s">
        <v>247</v>
      </c>
      <c r="C2454" s="1">
        <v>43300101</v>
      </c>
      <c r="D2454" t="s">
        <v>67</v>
      </c>
      <c r="H2454" t="str">
        <f t="shared" si="247"/>
        <v>00492340583</v>
      </c>
      <c r="I2454" t="str">
        <f t="shared" si="248"/>
        <v>00907371009</v>
      </c>
      <c r="K2454" t="str">
        <f>""</f>
        <v/>
      </c>
      <c r="M2454" t="s">
        <v>68</v>
      </c>
      <c r="N2454" t="str">
        <f t="shared" si="249"/>
        <v>FOR</v>
      </c>
      <c r="O2454" t="s">
        <v>69</v>
      </c>
      <c r="P2454" s="3" t="s">
        <v>70</v>
      </c>
      <c r="Q2454">
        <v>2014</v>
      </c>
      <c r="R2454" s="2">
        <v>41925</v>
      </c>
      <c r="S2454" s="2">
        <v>41941</v>
      </c>
      <c r="T2454" s="2">
        <v>41941</v>
      </c>
      <c r="U2454" s="2">
        <v>42001</v>
      </c>
      <c r="V2454" t="s">
        <v>71</v>
      </c>
      <c r="W2454" t="str">
        <f>"            14087584"</f>
        <v xml:space="preserve">            14087584</v>
      </c>
      <c r="X2454">
        <v>798.72</v>
      </c>
      <c r="Y2454">
        <v>0</v>
      </c>
      <c r="Z2454"/>
      <c r="AB2454"/>
      <c r="AC2454">
        <v>798.72</v>
      </c>
      <c r="AD2454">
        <v>529</v>
      </c>
      <c r="AE2454" s="1">
        <v>422522.88</v>
      </c>
      <c r="AF2454">
        <v>0</v>
      </c>
      <c r="AJ2454">
        <v>0</v>
      </c>
      <c r="AK2454">
        <v>0</v>
      </c>
      <c r="AL2454">
        <v>0</v>
      </c>
      <c r="AM2454">
        <v>0</v>
      </c>
      <c r="AN2454">
        <v>0</v>
      </c>
      <c r="AO2454">
        <v>0</v>
      </c>
      <c r="AP2454" s="2">
        <v>42746</v>
      </c>
      <c r="AQ2454" t="s">
        <v>72</v>
      </c>
      <c r="AR2454" t="s">
        <v>72</v>
      </c>
      <c r="AS2454">
        <v>1596</v>
      </c>
      <c r="AT2454" s="4">
        <v>42530</v>
      </c>
      <c r="AU2454" t="s">
        <v>73</v>
      </c>
      <c r="AV2454">
        <v>1596</v>
      </c>
      <c r="AW2454" s="4">
        <v>42530</v>
      </c>
      <c r="BD2454">
        <v>0</v>
      </c>
      <c r="BN2454" t="s">
        <v>74</v>
      </c>
    </row>
    <row r="2455" spans="1:66" hidden="1">
      <c r="A2455">
        <v>100798</v>
      </c>
      <c r="B2455" s="3" t="s">
        <v>247</v>
      </c>
      <c r="C2455" s="1">
        <v>43300101</v>
      </c>
      <c r="D2455" t="s">
        <v>67</v>
      </c>
      <c r="H2455" t="str">
        <f t="shared" si="247"/>
        <v>00492340583</v>
      </c>
      <c r="I2455" t="str">
        <f t="shared" si="248"/>
        <v>00907371009</v>
      </c>
      <c r="K2455" t="str">
        <f>""</f>
        <v/>
      </c>
      <c r="M2455" t="s">
        <v>68</v>
      </c>
      <c r="N2455" t="str">
        <f t="shared" si="249"/>
        <v>FOR</v>
      </c>
      <c r="O2455" t="s">
        <v>69</v>
      </c>
      <c r="P2455" s="3" t="s">
        <v>70</v>
      </c>
      <c r="Q2455">
        <v>2014</v>
      </c>
      <c r="R2455" s="2">
        <v>41925</v>
      </c>
      <c r="S2455" s="2">
        <v>41941</v>
      </c>
      <c r="T2455" s="2">
        <v>41941</v>
      </c>
      <c r="U2455" s="2">
        <v>42001</v>
      </c>
      <c r="V2455" t="s">
        <v>71</v>
      </c>
      <c r="W2455" t="str">
        <f>"            14087585"</f>
        <v xml:space="preserve">            14087585</v>
      </c>
      <c r="X2455">
        <v>582.29999999999995</v>
      </c>
      <c r="Y2455">
        <v>0</v>
      </c>
      <c r="Z2455"/>
      <c r="AB2455"/>
      <c r="AC2455">
        <v>582.29999999999995</v>
      </c>
      <c r="AD2455">
        <v>529</v>
      </c>
      <c r="AE2455" s="1">
        <v>308036.7</v>
      </c>
      <c r="AF2455">
        <v>0</v>
      </c>
      <c r="AJ2455">
        <v>0</v>
      </c>
      <c r="AK2455">
        <v>0</v>
      </c>
      <c r="AL2455">
        <v>0</v>
      </c>
      <c r="AM2455">
        <v>0</v>
      </c>
      <c r="AN2455">
        <v>0</v>
      </c>
      <c r="AO2455">
        <v>0</v>
      </c>
      <c r="AP2455" s="2">
        <v>42746</v>
      </c>
      <c r="AQ2455" t="s">
        <v>72</v>
      </c>
      <c r="AR2455" t="s">
        <v>72</v>
      </c>
      <c r="AS2455">
        <v>1596</v>
      </c>
      <c r="AT2455" s="4">
        <v>42530</v>
      </c>
      <c r="AU2455" t="s">
        <v>73</v>
      </c>
      <c r="AV2455">
        <v>1596</v>
      </c>
      <c r="AW2455" s="4">
        <v>42530</v>
      </c>
      <c r="BD2455">
        <v>0</v>
      </c>
      <c r="BN2455" t="s">
        <v>74</v>
      </c>
    </row>
    <row r="2456" spans="1:66" hidden="1">
      <c r="A2456">
        <v>100798</v>
      </c>
      <c r="B2456" s="3" t="s">
        <v>247</v>
      </c>
      <c r="C2456" s="1">
        <v>43300101</v>
      </c>
      <c r="D2456" t="s">
        <v>67</v>
      </c>
      <c r="H2456" t="str">
        <f t="shared" si="247"/>
        <v>00492340583</v>
      </c>
      <c r="I2456" t="str">
        <f t="shared" si="248"/>
        <v>00907371009</v>
      </c>
      <c r="K2456" t="str">
        <f>""</f>
        <v/>
      </c>
      <c r="M2456" t="s">
        <v>68</v>
      </c>
      <c r="N2456" t="str">
        <f t="shared" si="249"/>
        <v>FOR</v>
      </c>
      <c r="O2456" t="s">
        <v>69</v>
      </c>
      <c r="P2456" s="3" t="s">
        <v>70</v>
      </c>
      <c r="Q2456">
        <v>2015</v>
      </c>
      <c r="R2456" s="2">
        <v>42037</v>
      </c>
      <c r="S2456" s="2">
        <v>42067</v>
      </c>
      <c r="T2456" s="2">
        <v>42067</v>
      </c>
      <c r="U2456" s="2">
        <v>42127</v>
      </c>
      <c r="V2456" t="s">
        <v>71</v>
      </c>
      <c r="W2456" t="str">
        <f>"            15009228"</f>
        <v xml:space="preserve">            15009228</v>
      </c>
      <c r="X2456">
        <v>798.72</v>
      </c>
      <c r="Y2456">
        <v>0</v>
      </c>
      <c r="Z2456"/>
      <c r="AB2456"/>
      <c r="AC2456">
        <v>768</v>
      </c>
      <c r="AD2456">
        <v>277</v>
      </c>
      <c r="AE2456" s="1">
        <v>212736</v>
      </c>
      <c r="AF2456">
        <v>0</v>
      </c>
      <c r="AJ2456">
        <v>0</v>
      </c>
      <c r="AK2456">
        <v>0</v>
      </c>
      <c r="AL2456">
        <v>0</v>
      </c>
      <c r="AM2456">
        <v>0</v>
      </c>
      <c r="AN2456">
        <v>0</v>
      </c>
      <c r="AO2456">
        <v>0</v>
      </c>
      <c r="AP2456" s="2">
        <v>42746</v>
      </c>
      <c r="AQ2456" t="s">
        <v>72</v>
      </c>
      <c r="AR2456" t="s">
        <v>72</v>
      </c>
      <c r="AS2456">
        <v>255</v>
      </c>
      <c r="AT2456" s="4">
        <v>42404</v>
      </c>
      <c r="AU2456" t="s">
        <v>73</v>
      </c>
      <c r="AV2456">
        <v>255</v>
      </c>
      <c r="AW2456" s="4">
        <v>42404</v>
      </c>
      <c r="BD2456">
        <v>0</v>
      </c>
      <c r="BN2456" t="s">
        <v>74</v>
      </c>
    </row>
    <row r="2457" spans="1:66" hidden="1">
      <c r="A2457">
        <v>100798</v>
      </c>
      <c r="B2457" s="3" t="s">
        <v>247</v>
      </c>
      <c r="C2457" s="1">
        <v>43300101</v>
      </c>
      <c r="D2457" t="s">
        <v>67</v>
      </c>
      <c r="H2457" t="str">
        <f t="shared" si="247"/>
        <v>00492340583</v>
      </c>
      <c r="I2457" t="str">
        <f t="shared" si="248"/>
        <v>00907371009</v>
      </c>
      <c r="K2457" t="str">
        <f>""</f>
        <v/>
      </c>
      <c r="M2457" t="s">
        <v>68</v>
      </c>
      <c r="N2457" t="str">
        <f t="shared" si="249"/>
        <v>FOR</v>
      </c>
      <c r="O2457" t="s">
        <v>69</v>
      </c>
      <c r="P2457" s="3" t="s">
        <v>70</v>
      </c>
      <c r="Q2457">
        <v>2015</v>
      </c>
      <c r="R2457" s="2">
        <v>42054</v>
      </c>
      <c r="S2457" s="2">
        <v>42305</v>
      </c>
      <c r="T2457" s="2">
        <v>42305</v>
      </c>
      <c r="U2457" s="2">
        <v>42365</v>
      </c>
      <c r="V2457" t="s">
        <v>71</v>
      </c>
      <c r="W2457" t="str">
        <f>"            15015654"</f>
        <v xml:space="preserve">            15015654</v>
      </c>
      <c r="X2457" s="1">
        <v>1182.72</v>
      </c>
      <c r="Y2457">
        <v>0</v>
      </c>
      <c r="Z2457"/>
      <c r="AB2457"/>
      <c r="AC2457" s="1">
        <v>1075.2</v>
      </c>
      <c r="AD2457">
        <v>39</v>
      </c>
      <c r="AE2457" s="1">
        <v>41932.800000000003</v>
      </c>
      <c r="AF2457">
        <v>0</v>
      </c>
      <c r="AJ2457">
        <v>0</v>
      </c>
      <c r="AK2457">
        <v>0</v>
      </c>
      <c r="AL2457">
        <v>0</v>
      </c>
      <c r="AM2457">
        <v>0</v>
      </c>
      <c r="AN2457">
        <v>0</v>
      </c>
      <c r="AO2457">
        <v>0</v>
      </c>
      <c r="AP2457" s="2">
        <v>42746</v>
      </c>
      <c r="AQ2457" t="s">
        <v>72</v>
      </c>
      <c r="AR2457" t="s">
        <v>72</v>
      </c>
      <c r="AS2457">
        <v>255</v>
      </c>
      <c r="AT2457" s="4">
        <v>42404</v>
      </c>
      <c r="AU2457" t="s">
        <v>73</v>
      </c>
      <c r="AV2457">
        <v>255</v>
      </c>
      <c r="AW2457" s="4">
        <v>42404</v>
      </c>
      <c r="BD2457">
        <v>0</v>
      </c>
      <c r="BN2457" t="s">
        <v>74</v>
      </c>
    </row>
    <row r="2458" spans="1:66">
      <c r="A2458">
        <v>100798</v>
      </c>
      <c r="B2458" s="3" t="s">
        <v>247</v>
      </c>
      <c r="C2458" s="1">
        <v>43300101</v>
      </c>
      <c r="D2458" t="s">
        <v>67</v>
      </c>
      <c r="H2458" t="str">
        <f t="shared" si="247"/>
        <v>00492340583</v>
      </c>
      <c r="I2458" t="str">
        <f t="shared" si="248"/>
        <v>00907371009</v>
      </c>
      <c r="K2458" t="str">
        <f>""</f>
        <v/>
      </c>
      <c r="M2458" t="s">
        <v>68</v>
      </c>
      <c r="N2458" t="str">
        <f t="shared" si="249"/>
        <v>FOR</v>
      </c>
      <c r="O2458" t="s">
        <v>69</v>
      </c>
      <c r="P2458" s="3" t="s">
        <v>75</v>
      </c>
      <c r="Q2458">
        <v>2015</v>
      </c>
      <c r="R2458" s="2">
        <v>42096</v>
      </c>
      <c r="S2458" s="2">
        <v>42328</v>
      </c>
      <c r="T2458" s="2">
        <v>42328</v>
      </c>
      <c r="U2458" s="2">
        <v>42388</v>
      </c>
      <c r="V2458" t="s">
        <v>71</v>
      </c>
      <c r="W2458" t="str">
        <f>"            15029776"</f>
        <v xml:space="preserve">            15029776</v>
      </c>
      <c r="X2458" s="1">
        <v>1477.3</v>
      </c>
      <c r="Y2458">
        <v>0</v>
      </c>
      <c r="Z2458" s="5">
        <v>1343</v>
      </c>
      <c r="AA2458">
        <v>301</v>
      </c>
      <c r="AB2458" s="5">
        <v>404243</v>
      </c>
      <c r="AC2458" s="1">
        <v>1343</v>
      </c>
      <c r="AD2458">
        <v>301</v>
      </c>
      <c r="AE2458" s="1">
        <v>404243</v>
      </c>
      <c r="AF2458">
        <v>0</v>
      </c>
      <c r="AJ2458">
        <v>0</v>
      </c>
      <c r="AK2458">
        <v>0</v>
      </c>
      <c r="AL2458">
        <v>0</v>
      </c>
      <c r="AM2458">
        <v>0</v>
      </c>
      <c r="AN2458">
        <v>0</v>
      </c>
      <c r="AO2458">
        <v>0</v>
      </c>
      <c r="AP2458" s="2">
        <v>42746</v>
      </c>
      <c r="AQ2458" t="s">
        <v>72</v>
      </c>
      <c r="AR2458" t="s">
        <v>72</v>
      </c>
      <c r="AS2458">
        <v>3089</v>
      </c>
      <c r="AT2458" s="4">
        <v>42689</v>
      </c>
      <c r="AU2458" t="s">
        <v>73</v>
      </c>
      <c r="AV2458">
        <v>3089</v>
      </c>
      <c r="AW2458" s="4">
        <v>42689</v>
      </c>
      <c r="BD2458">
        <v>0</v>
      </c>
      <c r="BN2458" t="s">
        <v>74</v>
      </c>
    </row>
    <row r="2459" spans="1:66" hidden="1">
      <c r="A2459">
        <v>100798</v>
      </c>
      <c r="B2459" s="3" t="s">
        <v>247</v>
      </c>
      <c r="C2459" s="1">
        <v>43300101</v>
      </c>
      <c r="D2459" t="s">
        <v>67</v>
      </c>
      <c r="H2459" t="str">
        <f t="shared" si="247"/>
        <v>00492340583</v>
      </c>
      <c r="I2459" t="str">
        <f t="shared" si="248"/>
        <v>00907371009</v>
      </c>
      <c r="K2459" t="str">
        <f>""</f>
        <v/>
      </c>
      <c r="M2459" t="s">
        <v>68</v>
      </c>
      <c r="N2459" t="str">
        <f t="shared" si="249"/>
        <v>FOR</v>
      </c>
      <c r="O2459" t="s">
        <v>69</v>
      </c>
      <c r="P2459" s="3" t="s">
        <v>75</v>
      </c>
      <c r="Q2459">
        <v>2015</v>
      </c>
      <c r="R2459" s="2">
        <v>42111</v>
      </c>
      <c r="S2459" s="2">
        <v>42116</v>
      </c>
      <c r="T2459" s="2">
        <v>42115</v>
      </c>
      <c r="U2459" s="2">
        <v>42175</v>
      </c>
      <c r="V2459" t="s">
        <v>71</v>
      </c>
      <c r="W2459" t="str">
        <f>"            15034027"</f>
        <v xml:space="preserve">            15034027</v>
      </c>
      <c r="X2459">
        <v>704</v>
      </c>
      <c r="Y2459">
        <v>0</v>
      </c>
      <c r="Z2459"/>
      <c r="AB2459"/>
      <c r="AC2459">
        <v>640</v>
      </c>
      <c r="AD2459">
        <v>277</v>
      </c>
      <c r="AE2459" s="1">
        <v>177280</v>
      </c>
      <c r="AF2459">
        <v>0</v>
      </c>
      <c r="AJ2459">
        <v>0</v>
      </c>
      <c r="AK2459">
        <v>0</v>
      </c>
      <c r="AL2459">
        <v>0</v>
      </c>
      <c r="AM2459">
        <v>0</v>
      </c>
      <c r="AN2459">
        <v>0</v>
      </c>
      <c r="AO2459">
        <v>0</v>
      </c>
      <c r="AP2459" s="2">
        <v>42746</v>
      </c>
      <c r="AQ2459" t="s">
        <v>72</v>
      </c>
      <c r="AR2459" t="s">
        <v>72</v>
      </c>
      <c r="AS2459">
        <v>761</v>
      </c>
      <c r="AT2459" s="4">
        <v>42452</v>
      </c>
      <c r="AU2459" t="s">
        <v>73</v>
      </c>
      <c r="AV2459">
        <v>761</v>
      </c>
      <c r="AW2459" s="4">
        <v>42452</v>
      </c>
      <c r="BD2459">
        <v>0</v>
      </c>
      <c r="BN2459" t="s">
        <v>74</v>
      </c>
    </row>
    <row r="2460" spans="1:66" hidden="1">
      <c r="A2460">
        <v>100798</v>
      </c>
      <c r="B2460" s="3" t="s">
        <v>247</v>
      </c>
      <c r="C2460" s="1">
        <v>43300101</v>
      </c>
      <c r="D2460" t="s">
        <v>67</v>
      </c>
      <c r="H2460" t="str">
        <f t="shared" si="247"/>
        <v>00492340583</v>
      </c>
      <c r="I2460" t="str">
        <f t="shared" si="248"/>
        <v>00907371009</v>
      </c>
      <c r="K2460" t="str">
        <f>""</f>
        <v/>
      </c>
      <c r="M2460" t="s">
        <v>68</v>
      </c>
      <c r="N2460" t="str">
        <f t="shared" si="249"/>
        <v>FOR</v>
      </c>
      <c r="O2460" t="s">
        <v>69</v>
      </c>
      <c r="P2460" s="3" t="s">
        <v>75</v>
      </c>
      <c r="Q2460">
        <v>2015</v>
      </c>
      <c r="R2460" s="2">
        <v>42117</v>
      </c>
      <c r="S2460" s="2">
        <v>42121</v>
      </c>
      <c r="T2460" s="2">
        <v>42120</v>
      </c>
      <c r="U2460" s="2">
        <v>42180</v>
      </c>
      <c r="V2460" t="s">
        <v>71</v>
      </c>
      <c r="W2460" t="str">
        <f>"            15035215"</f>
        <v xml:space="preserve">            15035215</v>
      </c>
      <c r="X2460">
        <v>138.6</v>
      </c>
      <c r="Y2460">
        <v>0</v>
      </c>
      <c r="Z2460"/>
      <c r="AB2460"/>
      <c r="AC2460">
        <v>126</v>
      </c>
      <c r="AD2460">
        <v>272</v>
      </c>
      <c r="AE2460" s="1">
        <v>34272</v>
      </c>
      <c r="AF2460">
        <v>0</v>
      </c>
      <c r="AJ2460">
        <v>0</v>
      </c>
      <c r="AK2460">
        <v>0</v>
      </c>
      <c r="AL2460">
        <v>0</v>
      </c>
      <c r="AM2460">
        <v>0</v>
      </c>
      <c r="AN2460">
        <v>0</v>
      </c>
      <c r="AO2460">
        <v>0</v>
      </c>
      <c r="AP2460" s="2">
        <v>42746</v>
      </c>
      <c r="AQ2460" t="s">
        <v>72</v>
      </c>
      <c r="AR2460" t="s">
        <v>72</v>
      </c>
      <c r="AS2460">
        <v>761</v>
      </c>
      <c r="AT2460" s="4">
        <v>42452</v>
      </c>
      <c r="AU2460" t="s">
        <v>73</v>
      </c>
      <c r="AV2460">
        <v>761</v>
      </c>
      <c r="AW2460" s="4">
        <v>42452</v>
      </c>
      <c r="BD2460">
        <v>0</v>
      </c>
      <c r="BN2460" t="s">
        <v>74</v>
      </c>
    </row>
    <row r="2461" spans="1:66" hidden="1">
      <c r="A2461">
        <v>100798</v>
      </c>
      <c r="B2461" s="3" t="s">
        <v>247</v>
      </c>
      <c r="C2461" s="1">
        <v>43300101</v>
      </c>
      <c r="D2461" t="s">
        <v>67</v>
      </c>
      <c r="H2461" t="str">
        <f t="shared" si="247"/>
        <v>00492340583</v>
      </c>
      <c r="I2461" t="str">
        <f t="shared" si="248"/>
        <v>00907371009</v>
      </c>
      <c r="K2461" t="str">
        <f>""</f>
        <v/>
      </c>
      <c r="M2461" t="s">
        <v>68</v>
      </c>
      <c r="N2461" t="str">
        <f t="shared" si="249"/>
        <v>FOR</v>
      </c>
      <c r="O2461" t="s">
        <v>69</v>
      </c>
      <c r="P2461" s="3" t="s">
        <v>75</v>
      </c>
      <c r="Q2461">
        <v>2015</v>
      </c>
      <c r="R2461" s="2">
        <v>42165</v>
      </c>
      <c r="S2461" s="2">
        <v>42166</v>
      </c>
      <c r="T2461" s="2">
        <v>42166</v>
      </c>
      <c r="U2461" s="2">
        <v>42226</v>
      </c>
      <c r="V2461" t="s">
        <v>71</v>
      </c>
      <c r="W2461" t="str">
        <f>"            15051558"</f>
        <v xml:space="preserve">            15051558</v>
      </c>
      <c r="X2461" s="1">
        <v>1408</v>
      </c>
      <c r="Y2461">
        <v>0</v>
      </c>
      <c r="Z2461"/>
      <c r="AB2461"/>
      <c r="AC2461" s="1">
        <v>1280</v>
      </c>
      <c r="AD2461">
        <v>261</v>
      </c>
      <c r="AE2461" s="1">
        <v>334080</v>
      </c>
      <c r="AF2461">
        <v>0</v>
      </c>
      <c r="AJ2461">
        <v>0</v>
      </c>
      <c r="AK2461">
        <v>0</v>
      </c>
      <c r="AL2461">
        <v>0</v>
      </c>
      <c r="AM2461">
        <v>0</v>
      </c>
      <c r="AN2461">
        <v>0</v>
      </c>
      <c r="AO2461">
        <v>0</v>
      </c>
      <c r="AP2461" s="2">
        <v>42746</v>
      </c>
      <c r="AQ2461" t="s">
        <v>72</v>
      </c>
      <c r="AR2461" t="s">
        <v>72</v>
      </c>
      <c r="AS2461">
        <v>1209</v>
      </c>
      <c r="AT2461" s="4">
        <v>42487</v>
      </c>
      <c r="AU2461" t="s">
        <v>73</v>
      </c>
      <c r="AV2461">
        <v>1209</v>
      </c>
      <c r="AW2461" s="4">
        <v>42487</v>
      </c>
      <c r="BD2461">
        <v>0</v>
      </c>
      <c r="BN2461" t="s">
        <v>74</v>
      </c>
    </row>
    <row r="2462" spans="1:66" hidden="1">
      <c r="A2462">
        <v>100798</v>
      </c>
      <c r="B2462" s="3" t="s">
        <v>247</v>
      </c>
      <c r="C2462" s="1">
        <v>43300101</v>
      </c>
      <c r="D2462" t="s">
        <v>67</v>
      </c>
      <c r="H2462" t="str">
        <f t="shared" si="247"/>
        <v>00492340583</v>
      </c>
      <c r="I2462" t="str">
        <f t="shared" si="248"/>
        <v>00907371009</v>
      </c>
      <c r="K2462" t="str">
        <f>""</f>
        <v/>
      </c>
      <c r="M2462" t="s">
        <v>68</v>
      </c>
      <c r="N2462" t="str">
        <f t="shared" si="249"/>
        <v>FOR</v>
      </c>
      <c r="O2462" t="s">
        <v>69</v>
      </c>
      <c r="P2462" s="3" t="s">
        <v>75</v>
      </c>
      <c r="Q2462">
        <v>2015</v>
      </c>
      <c r="R2462" s="2">
        <v>42177</v>
      </c>
      <c r="S2462" s="2">
        <v>42291</v>
      </c>
      <c r="T2462" s="2">
        <v>42286</v>
      </c>
      <c r="U2462" s="2">
        <v>42346</v>
      </c>
      <c r="V2462" t="s">
        <v>71</v>
      </c>
      <c r="W2462" t="str">
        <f>"            15055185"</f>
        <v xml:space="preserve">            15055185</v>
      </c>
      <c r="X2462">
        <v>256.08</v>
      </c>
      <c r="Y2462">
        <v>0</v>
      </c>
      <c r="Z2462"/>
      <c r="AB2462"/>
      <c r="AC2462">
        <v>232.8</v>
      </c>
      <c r="AD2462">
        <v>141</v>
      </c>
      <c r="AE2462" s="1">
        <v>32824.800000000003</v>
      </c>
      <c r="AF2462">
        <v>0</v>
      </c>
      <c r="AJ2462">
        <v>0</v>
      </c>
      <c r="AK2462">
        <v>0</v>
      </c>
      <c r="AL2462">
        <v>0</v>
      </c>
      <c r="AM2462">
        <v>0</v>
      </c>
      <c r="AN2462">
        <v>0</v>
      </c>
      <c r="AO2462">
        <v>0</v>
      </c>
      <c r="AP2462" s="2">
        <v>42746</v>
      </c>
      <c r="AQ2462" t="s">
        <v>72</v>
      </c>
      <c r="AR2462" t="s">
        <v>72</v>
      </c>
      <c r="AS2462">
        <v>1209</v>
      </c>
      <c r="AT2462" s="4">
        <v>42487</v>
      </c>
      <c r="AU2462" t="s">
        <v>73</v>
      </c>
      <c r="AV2462">
        <v>1209</v>
      </c>
      <c r="AW2462" s="4">
        <v>42487</v>
      </c>
      <c r="BD2462">
        <v>0</v>
      </c>
      <c r="BN2462" t="s">
        <v>74</v>
      </c>
    </row>
    <row r="2463" spans="1:66" hidden="1">
      <c r="A2463">
        <v>100798</v>
      </c>
      <c r="B2463" s="3" t="s">
        <v>247</v>
      </c>
      <c r="C2463" s="1">
        <v>43300101</v>
      </c>
      <c r="D2463" t="s">
        <v>67</v>
      </c>
      <c r="H2463" t="str">
        <f t="shared" si="247"/>
        <v>00492340583</v>
      </c>
      <c r="I2463" t="str">
        <f t="shared" si="248"/>
        <v>00907371009</v>
      </c>
      <c r="K2463" t="str">
        <f>""</f>
        <v/>
      </c>
      <c r="M2463" t="s">
        <v>68</v>
      </c>
      <c r="N2463" t="str">
        <f t="shared" si="249"/>
        <v>FOR</v>
      </c>
      <c r="O2463" t="s">
        <v>69</v>
      </c>
      <c r="P2463" s="3" t="s">
        <v>75</v>
      </c>
      <c r="Q2463">
        <v>2015</v>
      </c>
      <c r="R2463" s="2">
        <v>42179</v>
      </c>
      <c r="S2463" s="2">
        <v>42191</v>
      </c>
      <c r="T2463" s="2">
        <v>42185</v>
      </c>
      <c r="U2463" s="2">
        <v>42245</v>
      </c>
      <c r="V2463" t="s">
        <v>71</v>
      </c>
      <c r="W2463" t="str">
        <f>"            15056058"</f>
        <v xml:space="preserve">            15056058</v>
      </c>
      <c r="X2463">
        <v>466.4</v>
      </c>
      <c r="Y2463">
        <v>0</v>
      </c>
      <c r="Z2463"/>
      <c r="AB2463"/>
      <c r="AC2463">
        <v>424</v>
      </c>
      <c r="AD2463">
        <v>242</v>
      </c>
      <c r="AE2463" s="1">
        <v>102608</v>
      </c>
      <c r="AF2463">
        <v>0</v>
      </c>
      <c r="AJ2463">
        <v>0</v>
      </c>
      <c r="AK2463">
        <v>0</v>
      </c>
      <c r="AL2463">
        <v>0</v>
      </c>
      <c r="AM2463">
        <v>0</v>
      </c>
      <c r="AN2463">
        <v>0</v>
      </c>
      <c r="AO2463">
        <v>0</v>
      </c>
      <c r="AP2463" s="2">
        <v>42746</v>
      </c>
      <c r="AQ2463" t="s">
        <v>72</v>
      </c>
      <c r="AR2463" t="s">
        <v>72</v>
      </c>
      <c r="AS2463">
        <v>1209</v>
      </c>
      <c r="AT2463" s="4">
        <v>42487</v>
      </c>
      <c r="AU2463" t="s">
        <v>73</v>
      </c>
      <c r="AV2463">
        <v>1209</v>
      </c>
      <c r="AW2463" s="4">
        <v>42487</v>
      </c>
      <c r="BD2463">
        <v>0</v>
      </c>
      <c r="BN2463" t="s">
        <v>74</v>
      </c>
    </row>
    <row r="2464" spans="1:66" hidden="1">
      <c r="A2464">
        <v>100798</v>
      </c>
      <c r="B2464" s="3" t="s">
        <v>247</v>
      </c>
      <c r="C2464" s="1">
        <v>43300101</v>
      </c>
      <c r="D2464" t="s">
        <v>67</v>
      </c>
      <c r="H2464" t="str">
        <f t="shared" si="247"/>
        <v>00492340583</v>
      </c>
      <c r="I2464" t="str">
        <f t="shared" si="248"/>
        <v>00907371009</v>
      </c>
      <c r="K2464" t="str">
        <f>""</f>
        <v/>
      </c>
      <c r="M2464" t="s">
        <v>68</v>
      </c>
      <c r="N2464" t="str">
        <f t="shared" si="249"/>
        <v>FOR</v>
      </c>
      <c r="O2464" t="s">
        <v>69</v>
      </c>
      <c r="P2464" s="3" t="s">
        <v>75</v>
      </c>
      <c r="Q2464">
        <v>2015</v>
      </c>
      <c r="R2464" s="2">
        <v>42192</v>
      </c>
      <c r="S2464" s="2">
        <v>42193</v>
      </c>
      <c r="T2464" s="2">
        <v>42193</v>
      </c>
      <c r="U2464" s="2">
        <v>42253</v>
      </c>
      <c r="V2464" t="s">
        <v>71</v>
      </c>
      <c r="W2464" t="str">
        <f>"            15060062"</f>
        <v xml:space="preserve">            15060062</v>
      </c>
      <c r="X2464">
        <v>788.48</v>
      </c>
      <c r="Y2464">
        <v>0</v>
      </c>
      <c r="Z2464"/>
      <c r="AB2464"/>
      <c r="AC2464">
        <v>716.8</v>
      </c>
      <c r="AD2464">
        <v>234</v>
      </c>
      <c r="AE2464" s="1">
        <v>167731.20000000001</v>
      </c>
      <c r="AF2464">
        <v>0</v>
      </c>
      <c r="AJ2464">
        <v>0</v>
      </c>
      <c r="AK2464">
        <v>0</v>
      </c>
      <c r="AL2464">
        <v>0</v>
      </c>
      <c r="AM2464">
        <v>0</v>
      </c>
      <c r="AN2464">
        <v>0</v>
      </c>
      <c r="AO2464">
        <v>0</v>
      </c>
      <c r="AP2464" s="2">
        <v>42746</v>
      </c>
      <c r="AQ2464" t="s">
        <v>72</v>
      </c>
      <c r="AR2464" t="s">
        <v>72</v>
      </c>
      <c r="AS2464">
        <v>1209</v>
      </c>
      <c r="AT2464" s="4">
        <v>42487</v>
      </c>
      <c r="AU2464" t="s">
        <v>73</v>
      </c>
      <c r="AV2464">
        <v>1209</v>
      </c>
      <c r="AW2464" s="4">
        <v>42487</v>
      </c>
      <c r="BD2464">
        <v>0</v>
      </c>
      <c r="BN2464" t="s">
        <v>74</v>
      </c>
    </row>
    <row r="2465" spans="1:66" hidden="1">
      <c r="A2465">
        <v>100798</v>
      </c>
      <c r="B2465" s="3" t="s">
        <v>247</v>
      </c>
      <c r="C2465" s="1">
        <v>43300101</v>
      </c>
      <c r="D2465" t="s">
        <v>67</v>
      </c>
      <c r="H2465" t="str">
        <f t="shared" si="247"/>
        <v>00492340583</v>
      </c>
      <c r="I2465" t="str">
        <f t="shared" si="248"/>
        <v>00907371009</v>
      </c>
      <c r="K2465" t="str">
        <f>""</f>
        <v/>
      </c>
      <c r="M2465" t="s">
        <v>68</v>
      </c>
      <c r="N2465" t="str">
        <f t="shared" si="249"/>
        <v>FOR</v>
      </c>
      <c r="O2465" t="s">
        <v>69</v>
      </c>
      <c r="P2465" s="3" t="s">
        <v>75</v>
      </c>
      <c r="Q2465">
        <v>2015</v>
      </c>
      <c r="R2465" s="2">
        <v>42249</v>
      </c>
      <c r="S2465" s="2">
        <v>42251</v>
      </c>
      <c r="T2465" s="2">
        <v>42250</v>
      </c>
      <c r="U2465" s="2">
        <v>42310</v>
      </c>
      <c r="V2465" t="s">
        <v>71</v>
      </c>
      <c r="W2465" t="str">
        <f>"            15077237"</f>
        <v xml:space="preserve">            15077237</v>
      </c>
      <c r="X2465">
        <v>382.8</v>
      </c>
      <c r="Y2465">
        <v>0</v>
      </c>
      <c r="Z2465"/>
      <c r="AB2465"/>
      <c r="AC2465">
        <v>348</v>
      </c>
      <c r="AD2465">
        <v>177</v>
      </c>
      <c r="AE2465" s="1">
        <v>61596</v>
      </c>
      <c r="AF2465">
        <v>0</v>
      </c>
      <c r="AJ2465">
        <v>0</v>
      </c>
      <c r="AK2465">
        <v>0</v>
      </c>
      <c r="AL2465">
        <v>0</v>
      </c>
      <c r="AM2465">
        <v>0</v>
      </c>
      <c r="AN2465">
        <v>0</v>
      </c>
      <c r="AO2465">
        <v>0</v>
      </c>
      <c r="AP2465" s="2">
        <v>42746</v>
      </c>
      <c r="AQ2465" t="s">
        <v>72</v>
      </c>
      <c r="AR2465" t="s">
        <v>72</v>
      </c>
      <c r="AS2465">
        <v>1209</v>
      </c>
      <c r="AT2465" s="4">
        <v>42487</v>
      </c>
      <c r="AU2465" t="s">
        <v>73</v>
      </c>
      <c r="AV2465">
        <v>1209</v>
      </c>
      <c r="AW2465" s="4">
        <v>42487</v>
      </c>
      <c r="BD2465">
        <v>0</v>
      </c>
      <c r="BN2465" t="s">
        <v>74</v>
      </c>
    </row>
    <row r="2466" spans="1:66">
      <c r="A2466">
        <v>100798</v>
      </c>
      <c r="B2466" s="3" t="s">
        <v>247</v>
      </c>
      <c r="C2466" s="1">
        <v>43300101</v>
      </c>
      <c r="D2466" t="s">
        <v>67</v>
      </c>
      <c r="H2466" t="str">
        <f t="shared" si="247"/>
        <v>00492340583</v>
      </c>
      <c r="I2466" t="str">
        <f t="shared" si="248"/>
        <v>00907371009</v>
      </c>
      <c r="K2466" t="str">
        <f>""</f>
        <v/>
      </c>
      <c r="M2466" t="s">
        <v>68</v>
      </c>
      <c r="N2466" t="str">
        <f t="shared" si="249"/>
        <v>FOR</v>
      </c>
      <c r="O2466" t="s">
        <v>69</v>
      </c>
      <c r="P2466" s="3" t="s">
        <v>75</v>
      </c>
      <c r="Q2466">
        <v>2015</v>
      </c>
      <c r="R2466" s="2">
        <v>42310</v>
      </c>
      <c r="S2466" s="2">
        <v>42311</v>
      </c>
      <c r="T2466" s="2">
        <v>42311</v>
      </c>
      <c r="U2466" s="2">
        <v>42371</v>
      </c>
      <c r="V2466" t="s">
        <v>71</v>
      </c>
      <c r="W2466" t="str">
        <f>"            15095922"</f>
        <v xml:space="preserve">            15095922</v>
      </c>
      <c r="X2466">
        <v>457.6</v>
      </c>
      <c r="Y2466">
        <v>0</v>
      </c>
      <c r="Z2466" s="3">
        <v>416</v>
      </c>
      <c r="AA2466">
        <v>276</v>
      </c>
      <c r="AB2466" s="5">
        <v>114816</v>
      </c>
      <c r="AC2466">
        <v>416</v>
      </c>
      <c r="AD2466">
        <v>276</v>
      </c>
      <c r="AE2466" s="1">
        <v>114816</v>
      </c>
      <c r="AF2466">
        <v>0</v>
      </c>
      <c r="AJ2466">
        <v>0</v>
      </c>
      <c r="AK2466">
        <v>0</v>
      </c>
      <c r="AL2466">
        <v>0</v>
      </c>
      <c r="AM2466">
        <v>0</v>
      </c>
      <c r="AN2466">
        <v>0</v>
      </c>
      <c r="AO2466">
        <v>0</v>
      </c>
      <c r="AP2466" s="2">
        <v>42746</v>
      </c>
      <c r="AQ2466" t="s">
        <v>72</v>
      </c>
      <c r="AR2466" t="s">
        <v>72</v>
      </c>
      <c r="AS2466">
        <v>2626</v>
      </c>
      <c r="AT2466" s="4">
        <v>42647</v>
      </c>
      <c r="AU2466" t="s">
        <v>73</v>
      </c>
      <c r="AV2466">
        <v>2626</v>
      </c>
      <c r="AW2466" s="4">
        <v>42647</v>
      </c>
      <c r="BD2466">
        <v>0</v>
      </c>
      <c r="BN2466" t="s">
        <v>74</v>
      </c>
    </row>
    <row r="2467" spans="1:66">
      <c r="A2467">
        <v>100798</v>
      </c>
      <c r="B2467" s="3" t="s">
        <v>247</v>
      </c>
      <c r="C2467" s="1">
        <v>43300101</v>
      </c>
      <c r="D2467" t="s">
        <v>67</v>
      </c>
      <c r="H2467" t="str">
        <f t="shared" si="247"/>
        <v>00492340583</v>
      </c>
      <c r="I2467" t="str">
        <f t="shared" si="248"/>
        <v>00907371009</v>
      </c>
      <c r="K2467" t="str">
        <f>""</f>
        <v/>
      </c>
      <c r="M2467" t="s">
        <v>68</v>
      </c>
      <c r="N2467" t="str">
        <f t="shared" si="249"/>
        <v>FOR</v>
      </c>
      <c r="O2467" t="s">
        <v>69</v>
      </c>
      <c r="P2467" s="3" t="s">
        <v>75</v>
      </c>
      <c r="Q2467">
        <v>2015</v>
      </c>
      <c r="R2467" s="2">
        <v>42324</v>
      </c>
      <c r="S2467" s="2">
        <v>42326</v>
      </c>
      <c r="T2467" s="2">
        <v>42325</v>
      </c>
      <c r="U2467" s="2">
        <v>42385</v>
      </c>
      <c r="V2467" t="s">
        <v>71</v>
      </c>
      <c r="W2467" t="str">
        <f>"            15100752"</f>
        <v xml:space="preserve">            15100752</v>
      </c>
      <c r="X2467">
        <v>81.400000000000006</v>
      </c>
      <c r="Y2467">
        <v>0</v>
      </c>
      <c r="Z2467" s="3">
        <v>74</v>
      </c>
      <c r="AA2467">
        <v>262</v>
      </c>
      <c r="AB2467" s="5">
        <v>19388</v>
      </c>
      <c r="AC2467">
        <v>74</v>
      </c>
      <c r="AD2467">
        <v>262</v>
      </c>
      <c r="AE2467" s="1">
        <v>19388</v>
      </c>
      <c r="AF2467">
        <v>0</v>
      </c>
      <c r="AJ2467">
        <v>0</v>
      </c>
      <c r="AK2467">
        <v>0</v>
      </c>
      <c r="AL2467">
        <v>0</v>
      </c>
      <c r="AM2467">
        <v>0</v>
      </c>
      <c r="AN2467">
        <v>0</v>
      </c>
      <c r="AO2467">
        <v>0</v>
      </c>
      <c r="AP2467" s="2">
        <v>42746</v>
      </c>
      <c r="AQ2467" t="s">
        <v>72</v>
      </c>
      <c r="AR2467" t="s">
        <v>72</v>
      </c>
      <c r="AS2467">
        <v>2626</v>
      </c>
      <c r="AT2467" s="4">
        <v>42647</v>
      </c>
      <c r="AU2467" t="s">
        <v>73</v>
      </c>
      <c r="AV2467">
        <v>2626</v>
      </c>
      <c r="AW2467" s="4">
        <v>42647</v>
      </c>
      <c r="BD2467">
        <v>0</v>
      </c>
      <c r="BN2467" t="s">
        <v>74</v>
      </c>
    </row>
    <row r="2468" spans="1:66">
      <c r="A2468">
        <v>100798</v>
      </c>
      <c r="B2468" s="3" t="s">
        <v>247</v>
      </c>
      <c r="C2468" s="1">
        <v>43300101</v>
      </c>
      <c r="D2468" t="s">
        <v>67</v>
      </c>
      <c r="H2468" t="str">
        <f t="shared" si="247"/>
        <v>00492340583</v>
      </c>
      <c r="I2468" t="str">
        <f t="shared" si="248"/>
        <v>00907371009</v>
      </c>
      <c r="K2468" t="str">
        <f>""</f>
        <v/>
      </c>
      <c r="M2468" t="s">
        <v>68</v>
      </c>
      <c r="N2468" t="str">
        <f t="shared" si="249"/>
        <v>FOR</v>
      </c>
      <c r="O2468" t="s">
        <v>69</v>
      </c>
      <c r="P2468" s="3" t="s">
        <v>75</v>
      </c>
      <c r="Q2468">
        <v>2015</v>
      </c>
      <c r="R2468" s="2">
        <v>42333</v>
      </c>
      <c r="S2468" s="2">
        <v>42334</v>
      </c>
      <c r="T2468" s="2">
        <v>42334</v>
      </c>
      <c r="U2468" s="2">
        <v>42394</v>
      </c>
      <c r="V2468" t="s">
        <v>71</v>
      </c>
      <c r="W2468" t="str">
        <f>"            15104521"</f>
        <v xml:space="preserve">            15104521</v>
      </c>
      <c r="X2468">
        <v>59.4</v>
      </c>
      <c r="Y2468">
        <v>0</v>
      </c>
      <c r="Z2468" s="3">
        <v>54</v>
      </c>
      <c r="AA2468">
        <v>253</v>
      </c>
      <c r="AB2468" s="5">
        <v>13662</v>
      </c>
      <c r="AC2468">
        <v>54</v>
      </c>
      <c r="AD2468">
        <v>253</v>
      </c>
      <c r="AE2468" s="1">
        <v>13662</v>
      </c>
      <c r="AF2468">
        <v>0</v>
      </c>
      <c r="AJ2468">
        <v>0</v>
      </c>
      <c r="AK2468">
        <v>0</v>
      </c>
      <c r="AL2468">
        <v>0</v>
      </c>
      <c r="AM2468">
        <v>0</v>
      </c>
      <c r="AN2468">
        <v>0</v>
      </c>
      <c r="AO2468">
        <v>0</v>
      </c>
      <c r="AP2468" s="2">
        <v>42746</v>
      </c>
      <c r="AQ2468" t="s">
        <v>72</v>
      </c>
      <c r="AR2468" t="s">
        <v>72</v>
      </c>
      <c r="AS2468">
        <v>2626</v>
      </c>
      <c r="AT2468" s="4">
        <v>42647</v>
      </c>
      <c r="AU2468" t="s">
        <v>73</v>
      </c>
      <c r="AV2468">
        <v>2626</v>
      </c>
      <c r="AW2468" s="4">
        <v>42647</v>
      </c>
      <c r="BD2468">
        <v>0</v>
      </c>
      <c r="BN2468" t="s">
        <v>74</v>
      </c>
    </row>
    <row r="2469" spans="1:66">
      <c r="A2469">
        <v>100798</v>
      </c>
      <c r="B2469" s="3" t="s">
        <v>247</v>
      </c>
      <c r="C2469" s="1">
        <v>43300101</v>
      </c>
      <c r="D2469" t="s">
        <v>67</v>
      </c>
      <c r="H2469" t="str">
        <f t="shared" si="247"/>
        <v>00492340583</v>
      </c>
      <c r="I2469" t="str">
        <f t="shared" si="248"/>
        <v>00907371009</v>
      </c>
      <c r="K2469" t="str">
        <f>""</f>
        <v/>
      </c>
      <c r="M2469" t="s">
        <v>68</v>
      </c>
      <c r="N2469" t="str">
        <f t="shared" si="249"/>
        <v>FOR</v>
      </c>
      <c r="O2469" t="s">
        <v>69</v>
      </c>
      <c r="P2469" s="3" t="s">
        <v>75</v>
      </c>
      <c r="Q2469">
        <v>2015</v>
      </c>
      <c r="R2469" s="2">
        <v>42334</v>
      </c>
      <c r="S2469" s="2">
        <v>42338</v>
      </c>
      <c r="T2469" s="2">
        <v>42335</v>
      </c>
      <c r="U2469" s="2">
        <v>42395</v>
      </c>
      <c r="V2469" t="s">
        <v>71</v>
      </c>
      <c r="W2469" t="str">
        <f>"            15105050"</f>
        <v xml:space="preserve">            15105050</v>
      </c>
      <c r="X2469">
        <v>788.48</v>
      </c>
      <c r="Y2469">
        <v>0</v>
      </c>
      <c r="Z2469" s="3">
        <v>716.8</v>
      </c>
      <c r="AA2469">
        <v>252</v>
      </c>
      <c r="AB2469" s="5">
        <v>180633.60000000001</v>
      </c>
      <c r="AC2469">
        <v>716.8</v>
      </c>
      <c r="AD2469">
        <v>252</v>
      </c>
      <c r="AE2469" s="1">
        <v>180633.60000000001</v>
      </c>
      <c r="AF2469">
        <v>0</v>
      </c>
      <c r="AJ2469">
        <v>0</v>
      </c>
      <c r="AK2469">
        <v>0</v>
      </c>
      <c r="AL2469">
        <v>0</v>
      </c>
      <c r="AM2469">
        <v>0</v>
      </c>
      <c r="AN2469">
        <v>0</v>
      </c>
      <c r="AO2469">
        <v>0</v>
      </c>
      <c r="AP2469" s="2">
        <v>42746</v>
      </c>
      <c r="AQ2469" t="s">
        <v>72</v>
      </c>
      <c r="AR2469" t="s">
        <v>72</v>
      </c>
      <c r="AS2469">
        <v>2626</v>
      </c>
      <c r="AT2469" s="4">
        <v>42647</v>
      </c>
      <c r="AU2469" t="s">
        <v>73</v>
      </c>
      <c r="AV2469">
        <v>2626</v>
      </c>
      <c r="AW2469" s="4">
        <v>42647</v>
      </c>
      <c r="BD2469">
        <v>0</v>
      </c>
      <c r="BN2469" t="s">
        <v>74</v>
      </c>
    </row>
    <row r="2470" spans="1:66">
      <c r="A2470">
        <v>100798</v>
      </c>
      <c r="B2470" s="3" t="s">
        <v>247</v>
      </c>
      <c r="C2470" s="1">
        <v>43300101</v>
      </c>
      <c r="D2470" t="s">
        <v>67</v>
      </c>
      <c r="H2470" t="str">
        <f t="shared" si="247"/>
        <v>00492340583</v>
      </c>
      <c r="I2470" t="str">
        <f t="shared" si="248"/>
        <v>00907371009</v>
      </c>
      <c r="K2470" t="str">
        <f>""</f>
        <v/>
      </c>
      <c r="M2470" t="s">
        <v>68</v>
      </c>
      <c r="N2470" t="str">
        <f t="shared" si="249"/>
        <v>FOR</v>
      </c>
      <c r="O2470" t="s">
        <v>69</v>
      </c>
      <c r="P2470" s="3" t="s">
        <v>75</v>
      </c>
      <c r="Q2470">
        <v>2015</v>
      </c>
      <c r="R2470" s="2">
        <v>42345</v>
      </c>
      <c r="S2470" s="2">
        <v>42352</v>
      </c>
      <c r="T2470" s="2">
        <v>42346</v>
      </c>
      <c r="U2470" s="2">
        <v>42406</v>
      </c>
      <c r="V2470" t="s">
        <v>71</v>
      </c>
      <c r="W2470" t="str">
        <f>"            15109262"</f>
        <v xml:space="preserve">            15109262</v>
      </c>
      <c r="X2470">
        <v>434.5</v>
      </c>
      <c r="Y2470">
        <v>0</v>
      </c>
      <c r="Z2470" s="3">
        <v>395</v>
      </c>
      <c r="AA2470">
        <v>241</v>
      </c>
      <c r="AB2470" s="5">
        <v>95195</v>
      </c>
      <c r="AC2470">
        <v>395</v>
      </c>
      <c r="AD2470">
        <v>241</v>
      </c>
      <c r="AE2470" s="1">
        <v>95195</v>
      </c>
      <c r="AF2470">
        <v>0</v>
      </c>
      <c r="AJ2470">
        <v>0</v>
      </c>
      <c r="AK2470">
        <v>0</v>
      </c>
      <c r="AL2470">
        <v>0</v>
      </c>
      <c r="AM2470">
        <v>0</v>
      </c>
      <c r="AN2470">
        <v>0</v>
      </c>
      <c r="AO2470">
        <v>0</v>
      </c>
      <c r="AP2470" s="2">
        <v>42746</v>
      </c>
      <c r="AQ2470" t="s">
        <v>72</v>
      </c>
      <c r="AR2470" t="s">
        <v>72</v>
      </c>
      <c r="AS2470">
        <v>2626</v>
      </c>
      <c r="AT2470" s="4">
        <v>42647</v>
      </c>
      <c r="AU2470" t="s">
        <v>73</v>
      </c>
      <c r="AV2470">
        <v>2626</v>
      </c>
      <c r="AW2470" s="4">
        <v>42647</v>
      </c>
      <c r="BD2470">
        <v>0</v>
      </c>
      <c r="BN2470" t="s">
        <v>74</v>
      </c>
    </row>
    <row r="2471" spans="1:66">
      <c r="A2471">
        <v>100798</v>
      </c>
      <c r="B2471" s="3" t="s">
        <v>247</v>
      </c>
      <c r="C2471" s="1">
        <v>43300101</v>
      </c>
      <c r="D2471" t="s">
        <v>67</v>
      </c>
      <c r="H2471" t="str">
        <f t="shared" si="247"/>
        <v>00492340583</v>
      </c>
      <c r="I2471" t="str">
        <f t="shared" si="248"/>
        <v>00907371009</v>
      </c>
      <c r="K2471" t="str">
        <f>""</f>
        <v/>
      </c>
      <c r="M2471" t="s">
        <v>68</v>
      </c>
      <c r="N2471" t="str">
        <f t="shared" si="249"/>
        <v>FOR</v>
      </c>
      <c r="O2471" t="s">
        <v>69</v>
      </c>
      <c r="P2471" s="3" t="s">
        <v>75</v>
      </c>
      <c r="Q2471">
        <v>2015</v>
      </c>
      <c r="R2471" s="2">
        <v>42353</v>
      </c>
      <c r="S2471" s="2">
        <v>42354</v>
      </c>
      <c r="T2471" s="2">
        <v>42354</v>
      </c>
      <c r="U2471" s="2">
        <v>42414</v>
      </c>
      <c r="V2471" t="s">
        <v>71</v>
      </c>
      <c r="W2471" t="str">
        <f>"            15112743"</f>
        <v xml:space="preserve">            15112743</v>
      </c>
      <c r="X2471">
        <v>443.52</v>
      </c>
      <c r="Y2471">
        <v>0</v>
      </c>
      <c r="Z2471" s="3">
        <v>403.2</v>
      </c>
      <c r="AA2471">
        <v>233</v>
      </c>
      <c r="AB2471" s="5">
        <v>93945.600000000006</v>
      </c>
      <c r="AC2471">
        <v>403.2</v>
      </c>
      <c r="AD2471">
        <v>233</v>
      </c>
      <c r="AE2471" s="1">
        <v>93945.600000000006</v>
      </c>
      <c r="AF2471">
        <v>0</v>
      </c>
      <c r="AJ2471">
        <v>0</v>
      </c>
      <c r="AK2471">
        <v>0</v>
      </c>
      <c r="AL2471">
        <v>0</v>
      </c>
      <c r="AM2471">
        <v>0</v>
      </c>
      <c r="AN2471">
        <v>0</v>
      </c>
      <c r="AO2471">
        <v>0</v>
      </c>
      <c r="AP2471" s="2">
        <v>42746</v>
      </c>
      <c r="AQ2471" t="s">
        <v>72</v>
      </c>
      <c r="AR2471" t="s">
        <v>72</v>
      </c>
      <c r="AS2471">
        <v>2626</v>
      </c>
      <c r="AT2471" s="4">
        <v>42647</v>
      </c>
      <c r="AU2471" t="s">
        <v>73</v>
      </c>
      <c r="AV2471">
        <v>2626</v>
      </c>
      <c r="AW2471" s="4">
        <v>42647</v>
      </c>
      <c r="BD2471">
        <v>0</v>
      </c>
      <c r="BN2471" t="s">
        <v>74</v>
      </c>
    </row>
    <row r="2472" spans="1:66">
      <c r="A2472">
        <v>100798</v>
      </c>
      <c r="B2472" s="3" t="s">
        <v>247</v>
      </c>
      <c r="C2472" s="1">
        <v>43300101</v>
      </c>
      <c r="D2472" t="s">
        <v>67</v>
      </c>
      <c r="H2472" t="str">
        <f t="shared" si="247"/>
        <v>00492340583</v>
      </c>
      <c r="I2472" t="str">
        <f t="shared" si="248"/>
        <v>00907371009</v>
      </c>
      <c r="K2472" t="str">
        <f>""</f>
        <v/>
      </c>
      <c r="M2472" t="s">
        <v>68</v>
      </c>
      <c r="N2472" t="str">
        <f t="shared" si="249"/>
        <v>FOR</v>
      </c>
      <c r="O2472" t="s">
        <v>69</v>
      </c>
      <c r="P2472" s="3" t="s">
        <v>75</v>
      </c>
      <c r="Q2472">
        <v>2015</v>
      </c>
      <c r="R2472" s="2">
        <v>42353</v>
      </c>
      <c r="S2472" s="2">
        <v>42361</v>
      </c>
      <c r="T2472" s="2">
        <v>42354</v>
      </c>
      <c r="U2472" s="2">
        <v>42414</v>
      </c>
      <c r="V2472" t="s">
        <v>71</v>
      </c>
      <c r="W2472" t="str">
        <f>"            15112744"</f>
        <v xml:space="preserve">            15112744</v>
      </c>
      <c r="X2472" s="1">
        <v>6156.8</v>
      </c>
      <c r="Y2472">
        <v>0</v>
      </c>
      <c r="Z2472" s="5">
        <v>5920</v>
      </c>
      <c r="AA2472">
        <v>233</v>
      </c>
      <c r="AB2472" s="5">
        <v>1379360</v>
      </c>
      <c r="AC2472" s="1">
        <v>5920</v>
      </c>
      <c r="AD2472">
        <v>233</v>
      </c>
      <c r="AE2472" s="1">
        <v>1379360</v>
      </c>
      <c r="AF2472">
        <v>0</v>
      </c>
      <c r="AJ2472">
        <v>0</v>
      </c>
      <c r="AK2472">
        <v>0</v>
      </c>
      <c r="AL2472">
        <v>0</v>
      </c>
      <c r="AM2472">
        <v>0</v>
      </c>
      <c r="AN2472">
        <v>0</v>
      </c>
      <c r="AO2472">
        <v>0</v>
      </c>
      <c r="AP2472" s="2">
        <v>42746</v>
      </c>
      <c r="AQ2472" t="s">
        <v>72</v>
      </c>
      <c r="AR2472" t="s">
        <v>72</v>
      </c>
      <c r="AS2472">
        <v>2626</v>
      </c>
      <c r="AT2472" s="4">
        <v>42647</v>
      </c>
      <c r="AU2472" t="s">
        <v>73</v>
      </c>
      <c r="AV2472">
        <v>2626</v>
      </c>
      <c r="AW2472" s="4">
        <v>42647</v>
      </c>
      <c r="BD2472">
        <v>0</v>
      </c>
      <c r="BN2472" t="s">
        <v>74</v>
      </c>
    </row>
    <row r="2473" spans="1:66">
      <c r="A2473">
        <v>100798</v>
      </c>
      <c r="B2473" s="3" t="s">
        <v>247</v>
      </c>
      <c r="C2473" s="1">
        <v>43300101</v>
      </c>
      <c r="D2473" t="s">
        <v>67</v>
      </c>
      <c r="H2473" t="str">
        <f t="shared" si="247"/>
        <v>00492340583</v>
      </c>
      <c r="I2473" t="str">
        <f t="shared" si="248"/>
        <v>00907371009</v>
      </c>
      <c r="K2473" t="str">
        <f>""</f>
        <v/>
      </c>
      <c r="M2473" t="s">
        <v>68</v>
      </c>
      <c r="N2473" t="str">
        <f t="shared" si="249"/>
        <v>FOR</v>
      </c>
      <c r="O2473" t="s">
        <v>69</v>
      </c>
      <c r="P2473" s="3" t="s">
        <v>75</v>
      </c>
      <c r="Q2473">
        <v>2015</v>
      </c>
      <c r="R2473" s="2">
        <v>42360</v>
      </c>
      <c r="S2473" s="2">
        <v>42361</v>
      </c>
      <c r="T2473" s="2">
        <v>42361</v>
      </c>
      <c r="U2473" s="2">
        <v>42421</v>
      </c>
      <c r="V2473" t="s">
        <v>71</v>
      </c>
      <c r="W2473" t="str">
        <f>"            15116029"</f>
        <v xml:space="preserve">            15116029</v>
      </c>
      <c r="X2473">
        <v>788.48</v>
      </c>
      <c r="Y2473">
        <v>0</v>
      </c>
      <c r="Z2473" s="3">
        <v>716.8</v>
      </c>
      <c r="AA2473">
        <v>226</v>
      </c>
      <c r="AB2473" s="5">
        <v>161996.79999999999</v>
      </c>
      <c r="AC2473">
        <v>716.8</v>
      </c>
      <c r="AD2473">
        <v>226</v>
      </c>
      <c r="AE2473" s="1">
        <v>161996.79999999999</v>
      </c>
      <c r="AF2473">
        <v>0</v>
      </c>
      <c r="AJ2473">
        <v>0</v>
      </c>
      <c r="AK2473">
        <v>0</v>
      </c>
      <c r="AL2473">
        <v>0</v>
      </c>
      <c r="AM2473">
        <v>0</v>
      </c>
      <c r="AN2473">
        <v>0</v>
      </c>
      <c r="AO2473">
        <v>0</v>
      </c>
      <c r="AP2473" s="2">
        <v>42746</v>
      </c>
      <c r="AQ2473" t="s">
        <v>72</v>
      </c>
      <c r="AR2473" t="s">
        <v>72</v>
      </c>
      <c r="AS2473">
        <v>2626</v>
      </c>
      <c r="AT2473" s="4">
        <v>42647</v>
      </c>
      <c r="AU2473" t="s">
        <v>73</v>
      </c>
      <c r="AV2473">
        <v>2626</v>
      </c>
      <c r="AW2473" s="4">
        <v>42647</v>
      </c>
      <c r="BD2473">
        <v>0</v>
      </c>
      <c r="BN2473" t="s">
        <v>74</v>
      </c>
    </row>
    <row r="2474" spans="1:66">
      <c r="A2474">
        <v>100798</v>
      </c>
      <c r="B2474" s="3" t="s">
        <v>247</v>
      </c>
      <c r="C2474" s="1">
        <v>43300101</v>
      </c>
      <c r="D2474" t="s">
        <v>67</v>
      </c>
      <c r="H2474" t="str">
        <f t="shared" si="247"/>
        <v>00492340583</v>
      </c>
      <c r="I2474" t="str">
        <f t="shared" si="248"/>
        <v>00907371009</v>
      </c>
      <c r="K2474" t="str">
        <f>""</f>
        <v/>
      </c>
      <c r="M2474" t="s">
        <v>68</v>
      </c>
      <c r="N2474" t="str">
        <f t="shared" si="249"/>
        <v>FOR</v>
      </c>
      <c r="O2474" t="s">
        <v>69</v>
      </c>
      <c r="P2474" s="3" t="s">
        <v>75</v>
      </c>
      <c r="Q2474">
        <v>2015</v>
      </c>
      <c r="R2474" s="2">
        <v>42362</v>
      </c>
      <c r="S2474" s="2">
        <v>42369</v>
      </c>
      <c r="T2474" s="2">
        <v>42363</v>
      </c>
      <c r="U2474" s="2">
        <v>42423</v>
      </c>
      <c r="V2474" t="s">
        <v>71</v>
      </c>
      <c r="W2474" t="str">
        <f>"            15117345"</f>
        <v xml:space="preserve">            15117345</v>
      </c>
      <c r="X2474" s="1">
        <v>1638</v>
      </c>
      <c r="Y2474">
        <v>0</v>
      </c>
      <c r="Z2474" s="5">
        <v>1575</v>
      </c>
      <c r="AA2474">
        <v>224</v>
      </c>
      <c r="AB2474" s="5">
        <v>352800</v>
      </c>
      <c r="AC2474" s="1">
        <v>1575</v>
      </c>
      <c r="AD2474">
        <v>224</v>
      </c>
      <c r="AE2474" s="1">
        <v>352800</v>
      </c>
      <c r="AF2474">
        <v>0</v>
      </c>
      <c r="AJ2474">
        <v>0</v>
      </c>
      <c r="AK2474">
        <v>0</v>
      </c>
      <c r="AL2474">
        <v>0</v>
      </c>
      <c r="AM2474">
        <v>0</v>
      </c>
      <c r="AN2474">
        <v>0</v>
      </c>
      <c r="AO2474">
        <v>0</v>
      </c>
      <c r="AP2474" s="2">
        <v>42746</v>
      </c>
      <c r="AQ2474" t="s">
        <v>72</v>
      </c>
      <c r="AR2474" t="s">
        <v>72</v>
      </c>
      <c r="AS2474">
        <v>2626</v>
      </c>
      <c r="AT2474" s="4">
        <v>42647</v>
      </c>
      <c r="AU2474" t="s">
        <v>73</v>
      </c>
      <c r="AV2474">
        <v>2626</v>
      </c>
      <c r="AW2474" s="4">
        <v>42647</v>
      </c>
      <c r="BD2474">
        <v>0</v>
      </c>
      <c r="BN2474" t="s">
        <v>74</v>
      </c>
    </row>
    <row r="2475" spans="1:66">
      <c r="A2475">
        <v>100798</v>
      </c>
      <c r="B2475" s="3" t="s">
        <v>247</v>
      </c>
      <c r="C2475" s="1">
        <v>43300101</v>
      </c>
      <c r="D2475" t="s">
        <v>67</v>
      </c>
      <c r="H2475" t="str">
        <f t="shared" si="247"/>
        <v>00492340583</v>
      </c>
      <c r="I2475" t="str">
        <f t="shared" si="248"/>
        <v>00907371009</v>
      </c>
      <c r="K2475" t="str">
        <f>""</f>
        <v/>
      </c>
      <c r="M2475" t="s">
        <v>68</v>
      </c>
      <c r="N2475" t="str">
        <f t="shared" si="249"/>
        <v>FOR</v>
      </c>
      <c r="O2475" t="s">
        <v>69</v>
      </c>
      <c r="P2475" s="3" t="s">
        <v>234</v>
      </c>
      <c r="Q2475">
        <v>2015</v>
      </c>
      <c r="R2475" s="2">
        <v>42366</v>
      </c>
      <c r="S2475" s="2">
        <v>42368</v>
      </c>
      <c r="T2475" s="2">
        <v>42367</v>
      </c>
      <c r="U2475" s="2">
        <v>42427</v>
      </c>
      <c r="V2475" t="s">
        <v>71</v>
      </c>
      <c r="W2475" t="str">
        <f>"            15118045"</f>
        <v xml:space="preserve">            15118045</v>
      </c>
      <c r="X2475" s="1">
        <v>7765.3</v>
      </c>
      <c r="Y2475">
        <v>0</v>
      </c>
      <c r="Z2475" s="5">
        <v>6365</v>
      </c>
      <c r="AA2475">
        <v>220</v>
      </c>
      <c r="AB2475" s="5">
        <v>1400300</v>
      </c>
      <c r="AC2475" s="1">
        <v>6365</v>
      </c>
      <c r="AD2475">
        <v>220</v>
      </c>
      <c r="AE2475" s="1">
        <v>1400300</v>
      </c>
      <c r="AF2475">
        <v>0</v>
      </c>
      <c r="AJ2475">
        <v>0</v>
      </c>
      <c r="AK2475">
        <v>0</v>
      </c>
      <c r="AL2475">
        <v>0</v>
      </c>
      <c r="AM2475">
        <v>0</v>
      </c>
      <c r="AN2475">
        <v>0</v>
      </c>
      <c r="AO2475">
        <v>0</v>
      </c>
      <c r="AP2475" s="2">
        <v>42746</v>
      </c>
      <c r="AQ2475" t="s">
        <v>72</v>
      </c>
      <c r="AR2475" t="s">
        <v>72</v>
      </c>
      <c r="AS2475">
        <v>2626</v>
      </c>
      <c r="AT2475" s="4">
        <v>42647</v>
      </c>
      <c r="AU2475" t="s">
        <v>73</v>
      </c>
      <c r="AV2475">
        <v>2626</v>
      </c>
      <c r="AW2475" s="4">
        <v>42647</v>
      </c>
      <c r="BD2475">
        <v>0</v>
      </c>
      <c r="BN2475" t="s">
        <v>74</v>
      </c>
    </row>
    <row r="2476" spans="1:66">
      <c r="A2476">
        <v>100798</v>
      </c>
      <c r="B2476" s="3" t="s">
        <v>247</v>
      </c>
      <c r="C2476" s="1">
        <v>43300101</v>
      </c>
      <c r="D2476" t="s">
        <v>67</v>
      </c>
      <c r="H2476" t="str">
        <f t="shared" si="247"/>
        <v>00492340583</v>
      </c>
      <c r="I2476" t="str">
        <f t="shared" si="248"/>
        <v>00907371009</v>
      </c>
      <c r="K2476" t="str">
        <f>""</f>
        <v/>
      </c>
      <c r="M2476" t="s">
        <v>68</v>
      </c>
      <c r="N2476" t="str">
        <f t="shared" si="249"/>
        <v>FOR</v>
      </c>
      <c r="O2476" t="s">
        <v>69</v>
      </c>
      <c r="P2476" s="3" t="s">
        <v>75</v>
      </c>
      <c r="Q2476">
        <v>2016</v>
      </c>
      <c r="R2476" s="2">
        <v>42376</v>
      </c>
      <c r="S2476" s="2">
        <v>42389</v>
      </c>
      <c r="T2476" s="2">
        <v>42377</v>
      </c>
      <c r="U2476" s="2">
        <v>42437</v>
      </c>
      <c r="V2476" t="s">
        <v>71</v>
      </c>
      <c r="W2476" t="str">
        <f>"            16001393"</f>
        <v xml:space="preserve">            16001393</v>
      </c>
      <c r="X2476" s="1">
        <v>11018.8</v>
      </c>
      <c r="Y2476">
        <v>0</v>
      </c>
      <c r="Z2476" s="5">
        <v>10595</v>
      </c>
      <c r="AA2476">
        <v>283</v>
      </c>
      <c r="AB2476" s="5">
        <v>2998385</v>
      </c>
      <c r="AC2476" s="1">
        <v>10595</v>
      </c>
      <c r="AD2476">
        <v>283</v>
      </c>
      <c r="AE2476" s="1">
        <v>2998385</v>
      </c>
      <c r="AF2476">
        <v>423.8</v>
      </c>
      <c r="AJ2476">
        <v>0</v>
      </c>
      <c r="AK2476">
        <v>0</v>
      </c>
      <c r="AL2476">
        <v>0</v>
      </c>
      <c r="AM2476" s="1">
        <v>11018.8</v>
      </c>
      <c r="AN2476" s="1">
        <v>11018.8</v>
      </c>
      <c r="AO2476" s="1">
        <v>11018.8</v>
      </c>
      <c r="AP2476" s="2">
        <v>42746</v>
      </c>
      <c r="AQ2476" t="s">
        <v>72</v>
      </c>
      <c r="AR2476" t="s">
        <v>72</v>
      </c>
      <c r="AS2476">
        <v>3553</v>
      </c>
      <c r="AT2476" s="4">
        <v>42720</v>
      </c>
      <c r="AU2476" t="s">
        <v>73</v>
      </c>
      <c r="AV2476">
        <v>3553</v>
      </c>
      <c r="AW2476" s="4">
        <v>42720</v>
      </c>
      <c r="BD2476">
        <v>423.8</v>
      </c>
      <c r="BN2476" t="s">
        <v>74</v>
      </c>
    </row>
    <row r="2477" spans="1:66">
      <c r="A2477">
        <v>100798</v>
      </c>
      <c r="B2477" s="3" t="s">
        <v>247</v>
      </c>
      <c r="C2477" s="1">
        <v>43300101</v>
      </c>
      <c r="D2477" t="s">
        <v>67</v>
      </c>
      <c r="H2477" t="str">
        <f t="shared" si="247"/>
        <v>00492340583</v>
      </c>
      <c r="I2477" t="str">
        <f t="shared" si="248"/>
        <v>00907371009</v>
      </c>
      <c r="K2477" t="str">
        <f>""</f>
        <v/>
      </c>
      <c r="M2477" t="s">
        <v>68</v>
      </c>
      <c r="N2477" t="str">
        <f t="shared" si="249"/>
        <v>FOR</v>
      </c>
      <c r="O2477" t="s">
        <v>69</v>
      </c>
      <c r="P2477" s="3" t="s">
        <v>75</v>
      </c>
      <c r="Q2477">
        <v>2016</v>
      </c>
      <c r="R2477" s="2">
        <v>42380</v>
      </c>
      <c r="S2477" s="2">
        <v>42417</v>
      </c>
      <c r="T2477" s="2">
        <v>42381</v>
      </c>
      <c r="U2477" s="2">
        <v>42441</v>
      </c>
      <c r="V2477" t="s">
        <v>71</v>
      </c>
      <c r="W2477" t="str">
        <f>"            16002473"</f>
        <v xml:space="preserve">            16002473</v>
      </c>
      <c r="X2477" s="1">
        <v>6864</v>
      </c>
      <c r="Y2477">
        <v>0</v>
      </c>
      <c r="Z2477" s="5">
        <v>6600</v>
      </c>
      <c r="AA2477">
        <v>279</v>
      </c>
      <c r="AB2477" s="5">
        <v>1841400</v>
      </c>
      <c r="AC2477" s="1">
        <v>6600</v>
      </c>
      <c r="AD2477">
        <v>279</v>
      </c>
      <c r="AE2477" s="1">
        <v>1841400</v>
      </c>
      <c r="AF2477">
        <v>264</v>
      </c>
      <c r="AJ2477">
        <v>0</v>
      </c>
      <c r="AK2477">
        <v>0</v>
      </c>
      <c r="AL2477">
        <v>0</v>
      </c>
      <c r="AM2477" s="1">
        <v>6864</v>
      </c>
      <c r="AN2477" s="1">
        <v>6864</v>
      </c>
      <c r="AO2477" s="1">
        <v>6864</v>
      </c>
      <c r="AP2477" s="2">
        <v>42746</v>
      </c>
      <c r="AQ2477" t="s">
        <v>72</v>
      </c>
      <c r="AR2477" t="s">
        <v>72</v>
      </c>
      <c r="AS2477">
        <v>3553</v>
      </c>
      <c r="AT2477" s="4">
        <v>42720</v>
      </c>
      <c r="AU2477" t="s">
        <v>73</v>
      </c>
      <c r="AV2477">
        <v>3553</v>
      </c>
      <c r="AW2477" s="4">
        <v>42720</v>
      </c>
      <c r="BD2477">
        <v>264</v>
      </c>
      <c r="BN2477" t="s">
        <v>74</v>
      </c>
    </row>
    <row r="2478" spans="1:66">
      <c r="A2478">
        <v>100798</v>
      </c>
      <c r="B2478" s="3" t="s">
        <v>247</v>
      </c>
      <c r="C2478" s="1">
        <v>43300101</v>
      </c>
      <c r="D2478" t="s">
        <v>67</v>
      </c>
      <c r="H2478" t="str">
        <f t="shared" si="247"/>
        <v>00492340583</v>
      </c>
      <c r="I2478" t="str">
        <f t="shared" si="248"/>
        <v>00907371009</v>
      </c>
      <c r="K2478" t="str">
        <f>""</f>
        <v/>
      </c>
      <c r="M2478" t="s">
        <v>68</v>
      </c>
      <c r="N2478" t="str">
        <f t="shared" si="249"/>
        <v>FOR</v>
      </c>
      <c r="O2478" t="s">
        <v>69</v>
      </c>
      <c r="P2478" s="3" t="s">
        <v>75</v>
      </c>
      <c r="Q2478">
        <v>2016</v>
      </c>
      <c r="R2478" s="2">
        <v>42396</v>
      </c>
      <c r="S2478" s="2">
        <v>42401</v>
      </c>
      <c r="T2478" s="2">
        <v>42397</v>
      </c>
      <c r="U2478" s="2">
        <v>42457</v>
      </c>
      <c r="V2478" t="s">
        <v>71</v>
      </c>
      <c r="W2478" t="str">
        <f>"            16009525"</f>
        <v xml:space="preserve">            16009525</v>
      </c>
      <c r="X2478" s="1">
        <v>10030.799999999999</v>
      </c>
      <c r="Y2478">
        <v>0</v>
      </c>
      <c r="Z2478" s="5">
        <v>9645</v>
      </c>
      <c r="AA2478">
        <v>263</v>
      </c>
      <c r="AB2478" s="5">
        <v>2536635</v>
      </c>
      <c r="AC2478" s="1">
        <v>9645</v>
      </c>
      <c r="AD2478">
        <v>263</v>
      </c>
      <c r="AE2478" s="1">
        <v>2536635</v>
      </c>
      <c r="AF2478">
        <v>385.8</v>
      </c>
      <c r="AJ2478">
        <v>0</v>
      </c>
      <c r="AK2478">
        <v>0</v>
      </c>
      <c r="AL2478">
        <v>0</v>
      </c>
      <c r="AM2478" s="1">
        <v>10030.799999999999</v>
      </c>
      <c r="AN2478" s="1">
        <v>10030.799999999999</v>
      </c>
      <c r="AO2478" s="1">
        <v>10030.799999999999</v>
      </c>
      <c r="AP2478" s="2">
        <v>42746</v>
      </c>
      <c r="AQ2478" t="s">
        <v>72</v>
      </c>
      <c r="AR2478" t="s">
        <v>72</v>
      </c>
      <c r="AS2478">
        <v>3553</v>
      </c>
      <c r="AT2478" s="4">
        <v>42720</v>
      </c>
      <c r="AU2478" t="s">
        <v>73</v>
      </c>
      <c r="AV2478">
        <v>3553</v>
      </c>
      <c r="AW2478" s="4">
        <v>42720</v>
      </c>
      <c r="BD2478">
        <v>385.8</v>
      </c>
      <c r="BN2478" t="s">
        <v>74</v>
      </c>
    </row>
    <row r="2479" spans="1:66">
      <c r="A2479">
        <v>100798</v>
      </c>
      <c r="B2479" s="3" t="s">
        <v>247</v>
      </c>
      <c r="C2479" s="1">
        <v>43300101</v>
      </c>
      <c r="D2479" t="s">
        <v>67</v>
      </c>
      <c r="H2479" t="str">
        <f t="shared" si="247"/>
        <v>00492340583</v>
      </c>
      <c r="I2479" t="str">
        <f t="shared" si="248"/>
        <v>00907371009</v>
      </c>
      <c r="K2479" t="str">
        <f>""</f>
        <v/>
      </c>
      <c r="M2479" t="s">
        <v>68</v>
      </c>
      <c r="N2479" t="str">
        <f t="shared" si="249"/>
        <v>FOR</v>
      </c>
      <c r="O2479" t="s">
        <v>69</v>
      </c>
      <c r="P2479" s="3" t="s">
        <v>75</v>
      </c>
      <c r="Q2479">
        <v>2016</v>
      </c>
      <c r="R2479" s="2">
        <v>42402</v>
      </c>
      <c r="S2479" s="2">
        <v>42417</v>
      </c>
      <c r="T2479" s="2">
        <v>42403</v>
      </c>
      <c r="U2479" s="2">
        <v>42463</v>
      </c>
      <c r="V2479" t="s">
        <v>71</v>
      </c>
      <c r="W2479" t="str">
        <f>"            16011922"</f>
        <v xml:space="preserve">            16011922</v>
      </c>
      <c r="X2479" s="1">
        <v>4576</v>
      </c>
      <c r="Y2479">
        <v>0</v>
      </c>
      <c r="Z2479" s="5">
        <v>4400</v>
      </c>
      <c r="AA2479">
        <v>260</v>
      </c>
      <c r="AB2479" s="5">
        <v>1144000</v>
      </c>
      <c r="AC2479" s="1">
        <v>4400</v>
      </c>
      <c r="AD2479">
        <v>260</v>
      </c>
      <c r="AE2479" s="1">
        <v>1144000</v>
      </c>
      <c r="AF2479">
        <v>176</v>
      </c>
      <c r="AJ2479">
        <v>0</v>
      </c>
      <c r="AK2479">
        <v>0</v>
      </c>
      <c r="AL2479">
        <v>0</v>
      </c>
      <c r="AM2479" s="1">
        <v>4576</v>
      </c>
      <c r="AN2479" s="1">
        <v>4576</v>
      </c>
      <c r="AO2479" s="1">
        <v>4576</v>
      </c>
      <c r="AP2479" s="2">
        <v>42746</v>
      </c>
      <c r="AQ2479" t="s">
        <v>72</v>
      </c>
      <c r="AR2479" t="s">
        <v>72</v>
      </c>
      <c r="AS2479">
        <v>3595</v>
      </c>
      <c r="AT2479" s="4">
        <v>42723</v>
      </c>
      <c r="AU2479" t="s">
        <v>73</v>
      </c>
      <c r="AV2479">
        <v>3595</v>
      </c>
      <c r="AW2479" s="4">
        <v>42723</v>
      </c>
      <c r="BD2479">
        <v>176</v>
      </c>
      <c r="BN2479" t="s">
        <v>74</v>
      </c>
    </row>
    <row r="2480" spans="1:66">
      <c r="A2480">
        <v>100798</v>
      </c>
      <c r="B2480" s="3" t="s">
        <v>247</v>
      </c>
      <c r="C2480" s="1">
        <v>43300101</v>
      </c>
      <c r="D2480" t="s">
        <v>67</v>
      </c>
      <c r="H2480" t="str">
        <f t="shared" si="247"/>
        <v>00492340583</v>
      </c>
      <c r="I2480" t="str">
        <f t="shared" si="248"/>
        <v>00907371009</v>
      </c>
      <c r="K2480" t="str">
        <f>""</f>
        <v/>
      </c>
      <c r="M2480" t="s">
        <v>68</v>
      </c>
      <c r="N2480" t="str">
        <f t="shared" si="249"/>
        <v>FOR</v>
      </c>
      <c r="O2480" t="s">
        <v>69</v>
      </c>
      <c r="P2480" s="3" t="s">
        <v>75</v>
      </c>
      <c r="Q2480">
        <v>2016</v>
      </c>
      <c r="R2480" s="2">
        <v>42409</v>
      </c>
      <c r="S2480" s="2">
        <v>42410</v>
      </c>
      <c r="T2480" s="2">
        <v>42410</v>
      </c>
      <c r="U2480" s="2">
        <v>42470</v>
      </c>
      <c r="V2480" t="s">
        <v>71</v>
      </c>
      <c r="W2480" t="str">
        <f>"            16015406"</f>
        <v xml:space="preserve">            16015406</v>
      </c>
      <c r="X2480">
        <v>665.5</v>
      </c>
      <c r="Y2480">
        <v>0</v>
      </c>
      <c r="Z2480" s="3">
        <v>605</v>
      </c>
      <c r="AA2480">
        <v>253</v>
      </c>
      <c r="AB2480" s="5">
        <v>153065</v>
      </c>
      <c r="AC2480">
        <v>605</v>
      </c>
      <c r="AD2480">
        <v>253</v>
      </c>
      <c r="AE2480" s="1">
        <v>153065</v>
      </c>
      <c r="AF2480">
        <v>60.5</v>
      </c>
      <c r="AJ2480">
        <v>0</v>
      </c>
      <c r="AK2480">
        <v>0</v>
      </c>
      <c r="AL2480">
        <v>0</v>
      </c>
      <c r="AM2480">
        <v>665.5</v>
      </c>
      <c r="AN2480">
        <v>665.5</v>
      </c>
      <c r="AO2480">
        <v>665.5</v>
      </c>
      <c r="AP2480" s="2">
        <v>42746</v>
      </c>
      <c r="AQ2480" t="s">
        <v>72</v>
      </c>
      <c r="AR2480" t="s">
        <v>72</v>
      </c>
      <c r="AS2480">
        <v>3595</v>
      </c>
      <c r="AT2480" s="4">
        <v>42723</v>
      </c>
      <c r="AU2480" t="s">
        <v>73</v>
      </c>
      <c r="AV2480">
        <v>3595</v>
      </c>
      <c r="AW2480" s="4">
        <v>42723</v>
      </c>
      <c r="BD2480">
        <v>60.5</v>
      </c>
      <c r="BN2480" t="s">
        <v>74</v>
      </c>
    </row>
    <row r="2481" spans="1:66">
      <c r="A2481">
        <v>100798</v>
      </c>
      <c r="B2481" s="3" t="s">
        <v>247</v>
      </c>
      <c r="C2481" s="1">
        <v>43300101</v>
      </c>
      <c r="D2481" t="s">
        <v>67</v>
      </c>
      <c r="H2481" t="str">
        <f t="shared" si="247"/>
        <v>00492340583</v>
      </c>
      <c r="I2481" t="str">
        <f t="shared" si="248"/>
        <v>00907371009</v>
      </c>
      <c r="K2481" t="str">
        <f>""</f>
        <v/>
      </c>
      <c r="M2481" t="s">
        <v>68</v>
      </c>
      <c r="N2481" t="str">
        <f t="shared" ref="N2481:N2489" si="250">"FOR"</f>
        <v>FOR</v>
      </c>
      <c r="O2481" t="s">
        <v>69</v>
      </c>
      <c r="P2481" s="3" t="s">
        <v>75</v>
      </c>
      <c r="Q2481">
        <v>2016</v>
      </c>
      <c r="R2481" s="2">
        <v>42415</v>
      </c>
      <c r="S2481" s="2">
        <v>42417</v>
      </c>
      <c r="T2481" s="2">
        <v>42416</v>
      </c>
      <c r="U2481" s="2">
        <v>42476</v>
      </c>
      <c r="V2481" t="s">
        <v>71</v>
      </c>
      <c r="W2481" t="str">
        <f>"            16017644"</f>
        <v xml:space="preserve">            16017644</v>
      </c>
      <c r="X2481" s="1">
        <v>1612</v>
      </c>
      <c r="Y2481">
        <v>0</v>
      </c>
      <c r="Z2481" s="5">
        <v>1550</v>
      </c>
      <c r="AA2481">
        <v>247</v>
      </c>
      <c r="AB2481" s="5">
        <v>382850</v>
      </c>
      <c r="AC2481" s="1">
        <v>1550</v>
      </c>
      <c r="AD2481">
        <v>247</v>
      </c>
      <c r="AE2481" s="1">
        <v>382850</v>
      </c>
      <c r="AF2481">
        <v>62</v>
      </c>
      <c r="AJ2481">
        <v>0</v>
      </c>
      <c r="AK2481">
        <v>0</v>
      </c>
      <c r="AL2481">
        <v>0</v>
      </c>
      <c r="AM2481" s="1">
        <v>1612</v>
      </c>
      <c r="AN2481" s="1">
        <v>1612</v>
      </c>
      <c r="AO2481" s="1">
        <v>1612</v>
      </c>
      <c r="AP2481" s="2">
        <v>42746</v>
      </c>
      <c r="AQ2481" t="s">
        <v>72</v>
      </c>
      <c r="AR2481" t="s">
        <v>72</v>
      </c>
      <c r="AS2481">
        <v>3595</v>
      </c>
      <c r="AT2481" s="4">
        <v>42723</v>
      </c>
      <c r="AU2481" t="s">
        <v>73</v>
      </c>
      <c r="AV2481">
        <v>3595</v>
      </c>
      <c r="AW2481" s="4">
        <v>42723</v>
      </c>
      <c r="BD2481">
        <v>62</v>
      </c>
      <c r="BN2481" t="s">
        <v>74</v>
      </c>
    </row>
    <row r="2482" spans="1:66" hidden="1">
      <c r="A2482">
        <v>100799</v>
      </c>
      <c r="B2482" s="3" t="s">
        <v>248</v>
      </c>
      <c r="C2482" s="1">
        <v>43300101</v>
      </c>
      <c r="D2482" t="s">
        <v>67</v>
      </c>
      <c r="H2482" t="str">
        <f>"05835871210"</f>
        <v>05835871210</v>
      </c>
      <c r="I2482" t="str">
        <f>"05835871210"</f>
        <v>05835871210</v>
      </c>
      <c r="K2482" t="str">
        <f>""</f>
        <v/>
      </c>
      <c r="M2482" t="s">
        <v>68</v>
      </c>
      <c r="N2482" t="str">
        <f t="shared" si="250"/>
        <v>FOR</v>
      </c>
      <c r="O2482" t="s">
        <v>69</v>
      </c>
      <c r="P2482" s="3" t="s">
        <v>70</v>
      </c>
      <c r="Q2482">
        <v>2014</v>
      </c>
      <c r="R2482" s="2">
        <v>41967</v>
      </c>
      <c r="S2482" s="2">
        <v>41970</v>
      </c>
      <c r="T2482" s="2">
        <v>41970</v>
      </c>
      <c r="U2482" s="2">
        <v>42030</v>
      </c>
      <c r="V2482" t="s">
        <v>71</v>
      </c>
      <c r="W2482" t="str">
        <f>"                   8"</f>
        <v xml:space="preserve">                   8</v>
      </c>
      <c r="X2482" s="1">
        <v>698830</v>
      </c>
      <c r="Y2482">
        <v>0</v>
      </c>
      <c r="Z2482"/>
      <c r="AB2482"/>
      <c r="AC2482" s="1">
        <v>148830</v>
      </c>
      <c r="AD2482">
        <v>372</v>
      </c>
      <c r="AE2482" s="1">
        <v>55364760</v>
      </c>
      <c r="AF2482">
        <v>0</v>
      </c>
      <c r="AJ2482">
        <v>0</v>
      </c>
      <c r="AK2482">
        <v>0</v>
      </c>
      <c r="AL2482">
        <v>0</v>
      </c>
      <c r="AM2482">
        <v>0</v>
      </c>
      <c r="AN2482">
        <v>0</v>
      </c>
      <c r="AO2482">
        <v>0</v>
      </c>
      <c r="AP2482" s="2">
        <v>42746</v>
      </c>
      <c r="AQ2482" t="s">
        <v>72</v>
      </c>
      <c r="AR2482" t="s">
        <v>72</v>
      </c>
      <c r="AS2482">
        <v>1919</v>
      </c>
      <c r="AT2482" s="4">
        <v>42191</v>
      </c>
      <c r="AU2482" t="s">
        <v>73</v>
      </c>
      <c r="AV2482">
        <v>188</v>
      </c>
      <c r="AW2482" s="4">
        <v>42402</v>
      </c>
      <c r="BD2482">
        <v>0</v>
      </c>
      <c r="BN2482" t="s">
        <v>74</v>
      </c>
    </row>
    <row r="2483" spans="1:66">
      <c r="A2483">
        <v>100807</v>
      </c>
      <c r="B2483" s="3" t="s">
        <v>249</v>
      </c>
      <c r="C2483" s="1">
        <v>43300101</v>
      </c>
      <c r="D2483" t="s">
        <v>67</v>
      </c>
      <c r="H2483" t="str">
        <f>"12736110151"</f>
        <v>12736110151</v>
      </c>
      <c r="I2483" t="str">
        <f>"12736110151"</f>
        <v>12736110151</v>
      </c>
      <c r="K2483" t="str">
        <f>""</f>
        <v/>
      </c>
      <c r="M2483" t="s">
        <v>68</v>
      </c>
      <c r="N2483" t="str">
        <f t="shared" si="250"/>
        <v>FOR</v>
      </c>
      <c r="O2483" t="s">
        <v>69</v>
      </c>
      <c r="P2483" s="3" t="s">
        <v>75</v>
      </c>
      <c r="Q2483">
        <v>2015</v>
      </c>
      <c r="R2483" s="2">
        <v>42361</v>
      </c>
      <c r="S2483" s="2">
        <v>42366</v>
      </c>
      <c r="T2483" s="2">
        <v>42366</v>
      </c>
      <c r="U2483" s="2">
        <v>42426</v>
      </c>
      <c r="V2483" t="s">
        <v>71</v>
      </c>
      <c r="W2483" t="str">
        <f>"          5564003446"</f>
        <v xml:space="preserve">          5564003446</v>
      </c>
      <c r="X2483" s="1">
        <v>1760.26</v>
      </c>
      <c r="Y2483">
        <v>0</v>
      </c>
      <c r="Z2483" s="5">
        <v>1600.24</v>
      </c>
      <c r="AA2483">
        <v>252</v>
      </c>
      <c r="AB2483" s="5">
        <v>403260.48</v>
      </c>
      <c r="AC2483" s="1">
        <v>1600.24</v>
      </c>
      <c r="AD2483">
        <v>252</v>
      </c>
      <c r="AE2483" s="1">
        <v>403260.48</v>
      </c>
      <c r="AF2483">
        <v>0</v>
      </c>
      <c r="AJ2483">
        <v>0</v>
      </c>
      <c r="AK2483">
        <v>0</v>
      </c>
      <c r="AL2483">
        <v>0</v>
      </c>
      <c r="AM2483">
        <v>0</v>
      </c>
      <c r="AN2483">
        <v>0</v>
      </c>
      <c r="AO2483">
        <v>0</v>
      </c>
      <c r="AP2483" s="2">
        <v>42746</v>
      </c>
      <c r="AQ2483" t="s">
        <v>72</v>
      </c>
      <c r="AR2483" t="s">
        <v>72</v>
      </c>
      <c r="AS2483">
        <v>2914</v>
      </c>
      <c r="AT2483" s="4">
        <v>42678</v>
      </c>
      <c r="AU2483" t="s">
        <v>73</v>
      </c>
      <c r="AV2483">
        <v>2914</v>
      </c>
      <c r="AW2483" s="4">
        <v>42678</v>
      </c>
      <c r="BD2483">
        <v>0</v>
      </c>
      <c r="BN2483" t="s">
        <v>74</v>
      </c>
    </row>
    <row r="2484" spans="1:66" hidden="1">
      <c r="A2484">
        <v>100811</v>
      </c>
      <c r="B2484" s="3" t="s">
        <v>250</v>
      </c>
      <c r="C2484" s="1">
        <v>43300101</v>
      </c>
      <c r="D2484" t="s">
        <v>67</v>
      </c>
      <c r="H2484" t="str">
        <f t="shared" ref="H2484:I2489" si="251">"02583040643"</f>
        <v>02583040643</v>
      </c>
      <c r="I2484" t="str">
        <f t="shared" si="251"/>
        <v>02583040643</v>
      </c>
      <c r="K2484" t="str">
        <f>""</f>
        <v/>
      </c>
      <c r="M2484" t="s">
        <v>68</v>
      </c>
      <c r="N2484" t="str">
        <f t="shared" si="250"/>
        <v>FOR</v>
      </c>
      <c r="O2484" t="s">
        <v>69</v>
      </c>
      <c r="P2484" s="3" t="s">
        <v>70</v>
      </c>
      <c r="Q2484">
        <v>2015</v>
      </c>
      <c r="R2484" s="2">
        <v>42073</v>
      </c>
      <c r="S2484" s="2">
        <v>42095</v>
      </c>
      <c r="T2484" s="2">
        <v>42095</v>
      </c>
      <c r="U2484" s="2">
        <v>42155</v>
      </c>
      <c r="V2484" t="s">
        <v>71</v>
      </c>
      <c r="W2484" t="str">
        <f>"                  20"</f>
        <v xml:space="preserve">                  20</v>
      </c>
      <c r="X2484">
        <v>772.99</v>
      </c>
      <c r="Y2484">
        <v>0</v>
      </c>
      <c r="Z2484"/>
      <c r="AB2484"/>
      <c r="AC2484">
        <v>633.6</v>
      </c>
      <c r="AD2484">
        <v>249</v>
      </c>
      <c r="AE2484" s="1">
        <v>157766.39999999999</v>
      </c>
      <c r="AF2484">
        <v>0</v>
      </c>
      <c r="AJ2484">
        <v>0</v>
      </c>
      <c r="AK2484">
        <v>0</v>
      </c>
      <c r="AL2484">
        <v>0</v>
      </c>
      <c r="AM2484">
        <v>0</v>
      </c>
      <c r="AN2484">
        <v>0</v>
      </c>
      <c r="AO2484">
        <v>0</v>
      </c>
      <c r="AP2484" s="2">
        <v>42746</v>
      </c>
      <c r="AQ2484" t="s">
        <v>72</v>
      </c>
      <c r="AR2484" t="s">
        <v>72</v>
      </c>
      <c r="AS2484">
        <v>275</v>
      </c>
      <c r="AT2484" s="4">
        <v>42404</v>
      </c>
      <c r="AU2484" t="s">
        <v>73</v>
      </c>
      <c r="AV2484">
        <v>275</v>
      </c>
      <c r="AW2484" s="4">
        <v>42404</v>
      </c>
      <c r="BD2484">
        <v>0</v>
      </c>
      <c r="BN2484" t="s">
        <v>74</v>
      </c>
    </row>
    <row r="2485" spans="1:66" hidden="1">
      <c r="A2485">
        <v>100811</v>
      </c>
      <c r="B2485" s="3" t="s">
        <v>250</v>
      </c>
      <c r="C2485" s="1">
        <v>43300101</v>
      </c>
      <c r="D2485" t="s">
        <v>67</v>
      </c>
      <c r="H2485" t="str">
        <f t="shared" si="251"/>
        <v>02583040643</v>
      </c>
      <c r="I2485" t="str">
        <f t="shared" si="251"/>
        <v>02583040643</v>
      </c>
      <c r="K2485" t="str">
        <f>""</f>
        <v/>
      </c>
      <c r="M2485" t="s">
        <v>68</v>
      </c>
      <c r="N2485" t="str">
        <f t="shared" si="250"/>
        <v>FOR</v>
      </c>
      <c r="O2485" t="s">
        <v>69</v>
      </c>
      <c r="P2485" s="3" t="s">
        <v>75</v>
      </c>
      <c r="Q2485">
        <v>2015</v>
      </c>
      <c r="R2485" s="2">
        <v>42303</v>
      </c>
      <c r="S2485" s="2">
        <v>42305</v>
      </c>
      <c r="T2485" s="2">
        <v>42304</v>
      </c>
      <c r="U2485" s="2">
        <v>42364</v>
      </c>
      <c r="V2485" t="s">
        <v>71</v>
      </c>
      <c r="W2485" t="str">
        <f>"           4/PA/2015"</f>
        <v xml:space="preserve">           4/PA/2015</v>
      </c>
      <c r="X2485" s="1">
        <v>1295.03</v>
      </c>
      <c r="Y2485">
        <v>0</v>
      </c>
      <c r="Z2485"/>
      <c r="AB2485"/>
      <c r="AC2485" s="1">
        <v>1061.5</v>
      </c>
      <c r="AD2485">
        <v>213</v>
      </c>
      <c r="AE2485" s="1">
        <v>226099.5</v>
      </c>
      <c r="AF2485">
        <v>0</v>
      </c>
      <c r="AJ2485">
        <v>0</v>
      </c>
      <c r="AK2485">
        <v>0</v>
      </c>
      <c r="AL2485">
        <v>0</v>
      </c>
      <c r="AM2485">
        <v>0</v>
      </c>
      <c r="AN2485">
        <v>0</v>
      </c>
      <c r="AO2485">
        <v>0</v>
      </c>
      <c r="AP2485" s="2">
        <v>42746</v>
      </c>
      <c r="AQ2485" t="s">
        <v>72</v>
      </c>
      <c r="AR2485" t="s">
        <v>72</v>
      </c>
      <c r="AS2485">
        <v>1959</v>
      </c>
      <c r="AT2485" s="4">
        <v>42577</v>
      </c>
      <c r="AU2485" t="s">
        <v>73</v>
      </c>
      <c r="AV2485">
        <v>1959</v>
      </c>
      <c r="AW2485" s="4">
        <v>42577</v>
      </c>
      <c r="BD2485">
        <v>0</v>
      </c>
      <c r="BN2485" t="s">
        <v>74</v>
      </c>
    </row>
    <row r="2486" spans="1:66" hidden="1">
      <c r="A2486">
        <v>100811</v>
      </c>
      <c r="B2486" s="3" t="s">
        <v>250</v>
      </c>
      <c r="C2486" s="1">
        <v>43300101</v>
      </c>
      <c r="D2486" t="s">
        <v>67</v>
      </c>
      <c r="H2486" t="str">
        <f t="shared" si="251"/>
        <v>02583040643</v>
      </c>
      <c r="I2486" t="str">
        <f t="shared" si="251"/>
        <v>02583040643</v>
      </c>
      <c r="K2486" t="str">
        <f>""</f>
        <v/>
      </c>
      <c r="M2486" t="s">
        <v>68</v>
      </c>
      <c r="N2486" t="str">
        <f t="shared" si="250"/>
        <v>FOR</v>
      </c>
      <c r="O2486" t="s">
        <v>69</v>
      </c>
      <c r="P2486" s="3" t="s">
        <v>75</v>
      </c>
      <c r="Q2486">
        <v>2015</v>
      </c>
      <c r="R2486" s="2">
        <v>42359</v>
      </c>
      <c r="S2486" s="2">
        <v>42360</v>
      </c>
      <c r="T2486" s="2">
        <v>42359</v>
      </c>
      <c r="U2486" s="2">
        <v>42419</v>
      </c>
      <c r="V2486" t="s">
        <v>71</v>
      </c>
      <c r="W2486" t="str">
        <f>"         21A/PA/2015"</f>
        <v xml:space="preserve">         21A/PA/2015</v>
      </c>
      <c r="X2486">
        <v>550.22</v>
      </c>
      <c r="Y2486">
        <v>0</v>
      </c>
      <c r="Z2486"/>
      <c r="AB2486"/>
      <c r="AC2486">
        <v>451</v>
      </c>
      <c r="AD2486">
        <v>158</v>
      </c>
      <c r="AE2486" s="1">
        <v>71258</v>
      </c>
      <c r="AF2486">
        <v>0</v>
      </c>
      <c r="AJ2486">
        <v>0</v>
      </c>
      <c r="AK2486">
        <v>0</v>
      </c>
      <c r="AL2486">
        <v>0</v>
      </c>
      <c r="AM2486">
        <v>0</v>
      </c>
      <c r="AN2486">
        <v>0</v>
      </c>
      <c r="AO2486">
        <v>0</v>
      </c>
      <c r="AP2486" s="2">
        <v>42746</v>
      </c>
      <c r="AQ2486" t="s">
        <v>72</v>
      </c>
      <c r="AR2486" t="s">
        <v>72</v>
      </c>
      <c r="AS2486">
        <v>1959</v>
      </c>
      <c r="AT2486" s="4">
        <v>42577</v>
      </c>
      <c r="AU2486" t="s">
        <v>73</v>
      </c>
      <c r="AV2486">
        <v>1959</v>
      </c>
      <c r="AW2486" s="4">
        <v>42577</v>
      </c>
      <c r="BD2486">
        <v>0</v>
      </c>
      <c r="BN2486" t="s">
        <v>74</v>
      </c>
    </row>
    <row r="2487" spans="1:66" hidden="1">
      <c r="A2487">
        <v>100811</v>
      </c>
      <c r="B2487" s="3" t="s">
        <v>250</v>
      </c>
      <c r="C2487" s="1">
        <v>43300101</v>
      </c>
      <c r="D2487" t="s">
        <v>67</v>
      </c>
      <c r="H2487" t="str">
        <f t="shared" si="251"/>
        <v>02583040643</v>
      </c>
      <c r="I2487" t="str">
        <f t="shared" si="251"/>
        <v>02583040643</v>
      </c>
      <c r="K2487" t="str">
        <f>""</f>
        <v/>
      </c>
      <c r="M2487" t="s">
        <v>68</v>
      </c>
      <c r="N2487" t="str">
        <f t="shared" si="250"/>
        <v>FOR</v>
      </c>
      <c r="O2487" t="s">
        <v>69</v>
      </c>
      <c r="P2487" s="3" t="s">
        <v>75</v>
      </c>
      <c r="Q2487">
        <v>2016</v>
      </c>
      <c r="R2487" s="2">
        <v>42480</v>
      </c>
      <c r="S2487" s="2">
        <v>42481</v>
      </c>
      <c r="T2487" s="2">
        <v>42480</v>
      </c>
      <c r="U2487" s="2">
        <v>42540</v>
      </c>
      <c r="V2487" t="s">
        <v>71</v>
      </c>
      <c r="W2487" t="str">
        <f>"           29/A/2016"</f>
        <v xml:space="preserve">           29/A/2016</v>
      </c>
      <c r="X2487">
        <v>623.41999999999996</v>
      </c>
      <c r="Y2487">
        <v>0</v>
      </c>
      <c r="Z2487"/>
      <c r="AB2487"/>
      <c r="AC2487">
        <v>511</v>
      </c>
      <c r="AD2487">
        <v>80</v>
      </c>
      <c r="AE2487" s="1">
        <v>40880</v>
      </c>
      <c r="AF2487">
        <v>0</v>
      </c>
      <c r="AJ2487">
        <v>0</v>
      </c>
      <c r="AK2487">
        <v>0</v>
      </c>
      <c r="AL2487">
        <v>0</v>
      </c>
      <c r="AM2487">
        <v>623.41999999999996</v>
      </c>
      <c r="AN2487">
        <v>623.41999999999996</v>
      </c>
      <c r="AO2487">
        <v>623.41999999999996</v>
      </c>
      <c r="AP2487" s="2">
        <v>42746</v>
      </c>
      <c r="AQ2487" t="s">
        <v>72</v>
      </c>
      <c r="AR2487" t="s">
        <v>72</v>
      </c>
      <c r="AS2487">
        <v>2339</v>
      </c>
      <c r="AT2487" s="4">
        <v>42620</v>
      </c>
      <c r="AU2487" t="s">
        <v>73</v>
      </c>
      <c r="AV2487">
        <v>2339</v>
      </c>
      <c r="AW2487" s="4">
        <v>42620</v>
      </c>
      <c r="BD2487">
        <v>0</v>
      </c>
      <c r="BN2487" t="s">
        <v>74</v>
      </c>
    </row>
    <row r="2488" spans="1:66" hidden="1">
      <c r="A2488">
        <v>100811</v>
      </c>
      <c r="B2488" s="3" t="s">
        <v>250</v>
      </c>
      <c r="C2488" s="1">
        <v>43300101</v>
      </c>
      <c r="D2488" t="s">
        <v>67</v>
      </c>
      <c r="H2488" t="str">
        <f t="shared" si="251"/>
        <v>02583040643</v>
      </c>
      <c r="I2488" t="str">
        <f t="shared" si="251"/>
        <v>02583040643</v>
      </c>
      <c r="K2488" t="str">
        <f>""</f>
        <v/>
      </c>
      <c r="M2488" t="s">
        <v>68</v>
      </c>
      <c r="N2488" t="str">
        <f t="shared" si="250"/>
        <v>FOR</v>
      </c>
      <c r="O2488" t="s">
        <v>69</v>
      </c>
      <c r="P2488" s="3" t="s">
        <v>75</v>
      </c>
      <c r="Q2488">
        <v>2016</v>
      </c>
      <c r="R2488" s="2">
        <v>42400</v>
      </c>
      <c r="S2488" s="2">
        <v>42402</v>
      </c>
      <c r="T2488" s="2">
        <v>42401</v>
      </c>
      <c r="U2488" s="2">
        <v>42461</v>
      </c>
      <c r="V2488" t="s">
        <v>71</v>
      </c>
      <c r="W2488" t="str">
        <f>"          3A/PA/2016"</f>
        <v xml:space="preserve">          3A/PA/2016</v>
      </c>
      <c r="X2488">
        <v>268.39999999999998</v>
      </c>
      <c r="Y2488">
        <v>0</v>
      </c>
      <c r="Z2488"/>
      <c r="AB2488"/>
      <c r="AC2488">
        <v>220</v>
      </c>
      <c r="AD2488">
        <v>159</v>
      </c>
      <c r="AE2488" s="1">
        <v>34980</v>
      </c>
      <c r="AF2488">
        <v>0</v>
      </c>
      <c r="AJ2488">
        <v>0</v>
      </c>
      <c r="AK2488">
        <v>0</v>
      </c>
      <c r="AL2488">
        <v>0</v>
      </c>
      <c r="AM2488">
        <v>268.39999999999998</v>
      </c>
      <c r="AN2488">
        <v>268.39999999999998</v>
      </c>
      <c r="AO2488">
        <v>268.39999999999998</v>
      </c>
      <c r="AP2488" s="2">
        <v>42746</v>
      </c>
      <c r="AQ2488" t="s">
        <v>72</v>
      </c>
      <c r="AR2488" t="s">
        <v>72</v>
      </c>
      <c r="AS2488">
        <v>2339</v>
      </c>
      <c r="AT2488" s="4">
        <v>42620</v>
      </c>
      <c r="AU2488" t="s">
        <v>73</v>
      </c>
      <c r="AV2488">
        <v>2339</v>
      </c>
      <c r="AW2488" s="4">
        <v>42620</v>
      </c>
      <c r="BD2488">
        <v>0</v>
      </c>
      <c r="BN2488" t="s">
        <v>74</v>
      </c>
    </row>
    <row r="2489" spans="1:66" hidden="1">
      <c r="A2489">
        <v>100811</v>
      </c>
      <c r="B2489" s="3" t="s">
        <v>250</v>
      </c>
      <c r="C2489" s="1">
        <v>43300101</v>
      </c>
      <c r="D2489" t="s">
        <v>67</v>
      </c>
      <c r="H2489" t="str">
        <f t="shared" si="251"/>
        <v>02583040643</v>
      </c>
      <c r="I2489" t="str">
        <f t="shared" si="251"/>
        <v>02583040643</v>
      </c>
      <c r="K2489" t="str">
        <f>""</f>
        <v/>
      </c>
      <c r="M2489" t="s">
        <v>68</v>
      </c>
      <c r="N2489" t="str">
        <f t="shared" si="250"/>
        <v>FOR</v>
      </c>
      <c r="O2489" t="s">
        <v>69</v>
      </c>
      <c r="P2489" s="3" t="s">
        <v>75</v>
      </c>
      <c r="Q2489">
        <v>2016</v>
      </c>
      <c r="R2489" s="2">
        <v>42424</v>
      </c>
      <c r="S2489" s="2">
        <v>42426</v>
      </c>
      <c r="T2489" s="2">
        <v>42424</v>
      </c>
      <c r="U2489" s="2">
        <v>42484</v>
      </c>
      <c r="V2489" t="s">
        <v>71</v>
      </c>
      <c r="W2489" t="str">
        <f>"          4A/PA/2016"</f>
        <v xml:space="preserve">          4A/PA/2016</v>
      </c>
      <c r="X2489">
        <v>268.39999999999998</v>
      </c>
      <c r="Y2489">
        <v>0</v>
      </c>
      <c r="Z2489"/>
      <c r="AB2489"/>
      <c r="AC2489">
        <v>220</v>
      </c>
      <c r="AD2489">
        <v>136</v>
      </c>
      <c r="AE2489" s="1">
        <v>29920</v>
      </c>
      <c r="AF2489">
        <v>0</v>
      </c>
      <c r="AJ2489">
        <v>0</v>
      </c>
      <c r="AK2489">
        <v>0</v>
      </c>
      <c r="AL2489">
        <v>0</v>
      </c>
      <c r="AM2489">
        <v>268.39999999999998</v>
      </c>
      <c r="AN2489">
        <v>268.39999999999998</v>
      </c>
      <c r="AO2489">
        <v>268.39999999999998</v>
      </c>
      <c r="AP2489" s="2">
        <v>42746</v>
      </c>
      <c r="AQ2489" t="s">
        <v>72</v>
      </c>
      <c r="AR2489" t="s">
        <v>72</v>
      </c>
      <c r="AS2489">
        <v>2339</v>
      </c>
      <c r="AT2489" s="4">
        <v>42620</v>
      </c>
      <c r="AU2489" t="s">
        <v>73</v>
      </c>
      <c r="AV2489">
        <v>2339</v>
      </c>
      <c r="AW2489" s="4">
        <v>42620</v>
      </c>
      <c r="BD2489">
        <v>0</v>
      </c>
      <c r="BN2489" t="s">
        <v>74</v>
      </c>
    </row>
    <row r="2490" spans="1:66" hidden="1">
      <c r="A2490">
        <v>100823</v>
      </c>
      <c r="B2490" s="3" t="s">
        <v>251</v>
      </c>
      <c r="C2490" s="1">
        <v>43500101</v>
      </c>
      <c r="D2490" t="s">
        <v>113</v>
      </c>
      <c r="H2490" t="str">
        <f t="shared" ref="H2490:H2502" si="252">"CTLGPL72E22C476M"</f>
        <v>CTLGPL72E22C476M</v>
      </c>
      <c r="I2490" t="str">
        <f t="shared" ref="I2490:I2502" si="253">"01406970622"</f>
        <v>01406970622</v>
      </c>
      <c r="K2490" t="str">
        <f>""</f>
        <v/>
      </c>
      <c r="M2490" t="s">
        <v>68</v>
      </c>
      <c r="N2490" t="str">
        <f t="shared" ref="N2490:N2502" si="254">"ALTPRO"</f>
        <v>ALTPRO</v>
      </c>
      <c r="O2490" t="s">
        <v>132</v>
      </c>
      <c r="P2490" s="3" t="s">
        <v>146</v>
      </c>
      <c r="Q2490">
        <v>2016</v>
      </c>
      <c r="R2490" s="2">
        <v>42376</v>
      </c>
      <c r="S2490" s="2">
        <v>42377</v>
      </c>
      <c r="T2490" s="2">
        <v>42376</v>
      </c>
      <c r="U2490" s="2">
        <v>42436</v>
      </c>
      <c r="V2490" t="s">
        <v>71</v>
      </c>
      <c r="W2490" t="str">
        <f>"                1/PA"</f>
        <v xml:space="preserve">                1/PA</v>
      </c>
      <c r="X2490" s="1">
        <v>3393.43</v>
      </c>
      <c r="Y2490">
        <v>-534.9</v>
      </c>
      <c r="Z2490"/>
      <c r="AB2490"/>
      <c r="AC2490" s="1">
        <v>2858.53</v>
      </c>
      <c r="AD2490">
        <v>-39</v>
      </c>
      <c r="AE2490" s="1">
        <v>-111482.67</v>
      </c>
      <c r="AF2490">
        <v>0</v>
      </c>
      <c r="AJ2490">
        <v>0</v>
      </c>
      <c r="AK2490">
        <v>0</v>
      </c>
      <c r="AL2490">
        <v>0</v>
      </c>
      <c r="AM2490">
        <v>-534.9</v>
      </c>
      <c r="AN2490" s="1">
        <v>2858.53</v>
      </c>
      <c r="AO2490" s="1">
        <v>2858.53</v>
      </c>
      <c r="AP2490" s="2">
        <v>42746</v>
      </c>
      <c r="AQ2490" t="s">
        <v>72</v>
      </c>
      <c r="AR2490" t="s">
        <v>72</v>
      </c>
      <c r="AS2490">
        <v>114</v>
      </c>
      <c r="AT2490" s="4">
        <v>42397</v>
      </c>
      <c r="AV2490">
        <v>114</v>
      </c>
      <c r="AW2490" s="4">
        <v>42397</v>
      </c>
      <c r="BD2490">
        <v>0</v>
      </c>
      <c r="BN2490" t="s">
        <v>74</v>
      </c>
    </row>
    <row r="2491" spans="1:66" hidden="1">
      <c r="A2491">
        <v>100823</v>
      </c>
      <c r="B2491" s="3" t="s">
        <v>251</v>
      </c>
      <c r="C2491" s="1">
        <v>43500101</v>
      </c>
      <c r="D2491" t="s">
        <v>113</v>
      </c>
      <c r="H2491" t="str">
        <f t="shared" si="252"/>
        <v>CTLGPL72E22C476M</v>
      </c>
      <c r="I2491" t="str">
        <f t="shared" si="253"/>
        <v>01406970622</v>
      </c>
      <c r="K2491" t="str">
        <f>""</f>
        <v/>
      </c>
      <c r="M2491" t="s">
        <v>68</v>
      </c>
      <c r="N2491" t="str">
        <f t="shared" si="254"/>
        <v>ALTPRO</v>
      </c>
      <c r="O2491" t="s">
        <v>132</v>
      </c>
      <c r="P2491" s="3" t="s">
        <v>146</v>
      </c>
      <c r="Q2491">
        <v>2016</v>
      </c>
      <c r="R2491" s="2">
        <v>42376</v>
      </c>
      <c r="S2491" s="2">
        <v>42377</v>
      </c>
      <c r="T2491" s="2">
        <v>42376</v>
      </c>
      <c r="U2491" s="2">
        <v>42436</v>
      </c>
      <c r="V2491" t="s">
        <v>71</v>
      </c>
      <c r="W2491" t="str">
        <f>"                2/PA"</f>
        <v xml:space="preserve">                2/PA</v>
      </c>
      <c r="X2491" s="1">
        <v>3036.74</v>
      </c>
      <c r="Y2491">
        <v>-478.68</v>
      </c>
      <c r="Z2491"/>
      <c r="AB2491"/>
      <c r="AC2491" s="1">
        <v>2558.06</v>
      </c>
      <c r="AD2491">
        <v>-39</v>
      </c>
      <c r="AE2491" s="1">
        <v>-99764.34</v>
      </c>
      <c r="AF2491">
        <v>0</v>
      </c>
      <c r="AJ2491">
        <v>0</v>
      </c>
      <c r="AK2491">
        <v>0</v>
      </c>
      <c r="AL2491">
        <v>0</v>
      </c>
      <c r="AM2491">
        <v>-478.68</v>
      </c>
      <c r="AN2491" s="1">
        <v>2558.06</v>
      </c>
      <c r="AO2491" s="1">
        <v>2558.06</v>
      </c>
      <c r="AP2491" s="2">
        <v>42746</v>
      </c>
      <c r="AQ2491" t="s">
        <v>72</v>
      </c>
      <c r="AR2491" t="s">
        <v>72</v>
      </c>
      <c r="AS2491">
        <v>114</v>
      </c>
      <c r="AT2491" s="4">
        <v>42397</v>
      </c>
      <c r="AV2491">
        <v>114</v>
      </c>
      <c r="AW2491" s="4">
        <v>42397</v>
      </c>
      <c r="BD2491">
        <v>0</v>
      </c>
      <c r="BN2491" t="s">
        <v>74</v>
      </c>
    </row>
    <row r="2492" spans="1:66" hidden="1">
      <c r="A2492">
        <v>100823</v>
      </c>
      <c r="B2492" s="3" t="s">
        <v>251</v>
      </c>
      <c r="C2492" s="1">
        <v>43500101</v>
      </c>
      <c r="D2492" t="s">
        <v>113</v>
      </c>
      <c r="H2492" t="str">
        <f t="shared" si="252"/>
        <v>CTLGPL72E22C476M</v>
      </c>
      <c r="I2492" t="str">
        <f t="shared" si="253"/>
        <v>01406970622</v>
      </c>
      <c r="K2492" t="str">
        <f>""</f>
        <v/>
      </c>
      <c r="M2492" t="s">
        <v>68</v>
      </c>
      <c r="N2492" t="str">
        <f t="shared" si="254"/>
        <v>ALTPRO</v>
      </c>
      <c r="O2492" t="s">
        <v>132</v>
      </c>
      <c r="P2492" s="3" t="s">
        <v>146</v>
      </c>
      <c r="Q2492">
        <v>2016</v>
      </c>
      <c r="R2492" s="2">
        <v>42376</v>
      </c>
      <c r="S2492" s="2">
        <v>42377</v>
      </c>
      <c r="T2492" s="2">
        <v>42376</v>
      </c>
      <c r="U2492" s="2">
        <v>42436</v>
      </c>
      <c r="V2492" t="s">
        <v>71</v>
      </c>
      <c r="W2492" t="str">
        <f>"                6/PA"</f>
        <v xml:space="preserve">                6/PA</v>
      </c>
      <c r="X2492" s="1">
        <v>2997.81</v>
      </c>
      <c r="Y2492">
        <v>-472.54</v>
      </c>
      <c r="Z2492"/>
      <c r="AB2492"/>
      <c r="AC2492" s="1">
        <v>2525.27</v>
      </c>
      <c r="AD2492">
        <v>-39</v>
      </c>
      <c r="AE2492" s="1">
        <v>-98485.53</v>
      </c>
      <c r="AF2492">
        <v>0</v>
      </c>
      <c r="AJ2492">
        <v>0</v>
      </c>
      <c r="AK2492">
        <v>0</v>
      </c>
      <c r="AL2492">
        <v>0</v>
      </c>
      <c r="AM2492">
        <v>-472.54</v>
      </c>
      <c r="AN2492" s="1">
        <v>2525.27</v>
      </c>
      <c r="AO2492" s="1">
        <v>2525.27</v>
      </c>
      <c r="AP2492" s="2">
        <v>42746</v>
      </c>
      <c r="AQ2492" t="s">
        <v>72</v>
      </c>
      <c r="AR2492" t="s">
        <v>72</v>
      </c>
      <c r="AS2492">
        <v>114</v>
      </c>
      <c r="AT2492" s="4">
        <v>42397</v>
      </c>
      <c r="AV2492">
        <v>114</v>
      </c>
      <c r="AW2492" s="4">
        <v>42397</v>
      </c>
      <c r="BD2492">
        <v>0</v>
      </c>
      <c r="BN2492" t="s">
        <v>74</v>
      </c>
    </row>
    <row r="2493" spans="1:66" hidden="1">
      <c r="A2493">
        <v>100823</v>
      </c>
      <c r="B2493" s="3" t="s">
        <v>251</v>
      </c>
      <c r="C2493" s="1">
        <v>43500101</v>
      </c>
      <c r="D2493" t="s">
        <v>113</v>
      </c>
      <c r="H2493" t="str">
        <f t="shared" si="252"/>
        <v>CTLGPL72E22C476M</v>
      </c>
      <c r="I2493" t="str">
        <f t="shared" si="253"/>
        <v>01406970622</v>
      </c>
      <c r="K2493" t="str">
        <f>""</f>
        <v/>
      </c>
      <c r="M2493" t="s">
        <v>68</v>
      </c>
      <c r="N2493" t="str">
        <f t="shared" si="254"/>
        <v>ALTPRO</v>
      </c>
      <c r="O2493" t="s">
        <v>132</v>
      </c>
      <c r="P2493" s="3" t="s">
        <v>146</v>
      </c>
      <c r="Q2493">
        <v>2016</v>
      </c>
      <c r="R2493" s="2">
        <v>42405</v>
      </c>
      <c r="S2493" s="2">
        <v>42443</v>
      </c>
      <c r="T2493" s="2">
        <v>42440</v>
      </c>
      <c r="U2493" s="2">
        <v>42500</v>
      </c>
      <c r="V2493" t="s">
        <v>71</v>
      </c>
      <c r="W2493" t="str">
        <f>"                9/PA"</f>
        <v xml:space="preserve">                9/PA</v>
      </c>
      <c r="X2493" s="1">
        <v>2991.39</v>
      </c>
      <c r="Y2493">
        <v>-471.53</v>
      </c>
      <c r="Z2493"/>
      <c r="AB2493"/>
      <c r="AC2493" s="1">
        <v>2519.86</v>
      </c>
      <c r="AD2493">
        <v>-49</v>
      </c>
      <c r="AE2493" s="1">
        <v>-123473.14</v>
      </c>
      <c r="AF2493">
        <v>0</v>
      </c>
      <c r="AJ2493">
        <v>0</v>
      </c>
      <c r="AK2493">
        <v>0</v>
      </c>
      <c r="AL2493">
        <v>0</v>
      </c>
      <c r="AM2493" s="1">
        <v>2519.86</v>
      </c>
      <c r="AN2493" s="1">
        <v>2519.86</v>
      </c>
      <c r="AO2493" s="1">
        <v>2519.86</v>
      </c>
      <c r="AP2493" s="2">
        <v>42746</v>
      </c>
      <c r="AQ2493" t="s">
        <v>72</v>
      </c>
      <c r="AR2493" t="s">
        <v>72</v>
      </c>
      <c r="AS2493">
        <v>735</v>
      </c>
      <c r="AT2493" s="4">
        <v>42451</v>
      </c>
      <c r="AV2493">
        <v>735</v>
      </c>
      <c r="AW2493" s="4">
        <v>42451</v>
      </c>
      <c r="BD2493">
        <v>0</v>
      </c>
      <c r="BN2493" t="s">
        <v>74</v>
      </c>
    </row>
    <row r="2494" spans="1:66" hidden="1">
      <c r="A2494">
        <v>100823</v>
      </c>
      <c r="B2494" s="3" t="s">
        <v>251</v>
      </c>
      <c r="C2494" s="1">
        <v>43500101</v>
      </c>
      <c r="D2494" t="s">
        <v>113</v>
      </c>
      <c r="H2494" t="str">
        <f t="shared" si="252"/>
        <v>CTLGPL72E22C476M</v>
      </c>
      <c r="I2494" t="str">
        <f t="shared" si="253"/>
        <v>01406970622</v>
      </c>
      <c r="K2494" t="str">
        <f>""</f>
        <v/>
      </c>
      <c r="M2494" t="s">
        <v>68</v>
      </c>
      <c r="N2494" t="str">
        <f t="shared" si="254"/>
        <v>ALTPRO</v>
      </c>
      <c r="O2494" t="s">
        <v>132</v>
      </c>
      <c r="P2494" s="3" t="s">
        <v>146</v>
      </c>
      <c r="Q2494">
        <v>2016</v>
      </c>
      <c r="R2494" s="2">
        <v>42439</v>
      </c>
      <c r="S2494" s="2">
        <v>42443</v>
      </c>
      <c r="T2494" s="2">
        <v>42440</v>
      </c>
      <c r="U2494" s="2">
        <v>42500</v>
      </c>
      <c r="V2494" t="s">
        <v>71</v>
      </c>
      <c r="W2494" t="str">
        <f>"               10/PA"</f>
        <v xml:space="preserve">               10/PA</v>
      </c>
      <c r="X2494" s="1">
        <v>2753.02</v>
      </c>
      <c r="Y2494">
        <v>-433.76</v>
      </c>
      <c r="Z2494"/>
      <c r="AB2494"/>
      <c r="AC2494" s="1">
        <v>2319.2600000000002</v>
      </c>
      <c r="AD2494">
        <v>-49</v>
      </c>
      <c r="AE2494" s="1">
        <v>-113643.74</v>
      </c>
      <c r="AF2494">
        <v>0</v>
      </c>
      <c r="AJ2494">
        <v>0</v>
      </c>
      <c r="AK2494">
        <v>0</v>
      </c>
      <c r="AL2494">
        <v>0</v>
      </c>
      <c r="AM2494" s="1">
        <v>2319.2600000000002</v>
      </c>
      <c r="AN2494" s="1">
        <v>2319.2600000000002</v>
      </c>
      <c r="AO2494" s="1">
        <v>2319.2600000000002</v>
      </c>
      <c r="AP2494" s="2">
        <v>42746</v>
      </c>
      <c r="AQ2494" t="s">
        <v>72</v>
      </c>
      <c r="AR2494" t="s">
        <v>72</v>
      </c>
      <c r="AS2494">
        <v>735</v>
      </c>
      <c r="AT2494" s="4">
        <v>42451</v>
      </c>
      <c r="AV2494">
        <v>735</v>
      </c>
      <c r="AW2494" s="4">
        <v>42451</v>
      </c>
      <c r="BD2494">
        <v>0</v>
      </c>
      <c r="BN2494" t="s">
        <v>74</v>
      </c>
    </row>
    <row r="2495" spans="1:66" hidden="1">
      <c r="A2495">
        <v>100823</v>
      </c>
      <c r="B2495" s="3" t="s">
        <v>251</v>
      </c>
      <c r="C2495" s="1">
        <v>43500101</v>
      </c>
      <c r="D2495" t="s">
        <v>113</v>
      </c>
      <c r="H2495" t="str">
        <f t="shared" si="252"/>
        <v>CTLGPL72E22C476M</v>
      </c>
      <c r="I2495" t="str">
        <f t="shared" si="253"/>
        <v>01406970622</v>
      </c>
      <c r="K2495" t="str">
        <f>""</f>
        <v/>
      </c>
      <c r="M2495" t="s">
        <v>68</v>
      </c>
      <c r="N2495" t="str">
        <f t="shared" si="254"/>
        <v>ALTPRO</v>
      </c>
      <c r="O2495" t="s">
        <v>132</v>
      </c>
      <c r="P2495" s="3" t="s">
        <v>146</v>
      </c>
      <c r="Q2495">
        <v>2016</v>
      </c>
      <c r="R2495" s="2">
        <v>42478</v>
      </c>
      <c r="S2495" s="2">
        <v>42479</v>
      </c>
      <c r="T2495" s="2">
        <v>42478</v>
      </c>
      <c r="U2495" s="2">
        <v>42538</v>
      </c>
      <c r="V2495" t="s">
        <v>71</v>
      </c>
      <c r="W2495" t="str">
        <f>"               13/PA"</f>
        <v xml:space="preserve">               13/PA</v>
      </c>
      <c r="X2495" s="1">
        <v>2787.8</v>
      </c>
      <c r="Y2495">
        <v>-439.44</v>
      </c>
      <c r="Z2495"/>
      <c r="AB2495"/>
      <c r="AC2495" s="1">
        <v>2348.36</v>
      </c>
      <c r="AD2495">
        <v>-51</v>
      </c>
      <c r="AE2495" s="1">
        <v>-119766.36</v>
      </c>
      <c r="AF2495">
        <v>0</v>
      </c>
      <c r="AJ2495">
        <v>0</v>
      </c>
      <c r="AK2495">
        <v>0</v>
      </c>
      <c r="AL2495">
        <v>0</v>
      </c>
      <c r="AM2495" s="1">
        <v>2348.36</v>
      </c>
      <c r="AN2495" s="1">
        <v>2348.36</v>
      </c>
      <c r="AO2495" s="1">
        <v>2348.36</v>
      </c>
      <c r="AP2495" s="2">
        <v>42746</v>
      </c>
      <c r="AQ2495" t="s">
        <v>72</v>
      </c>
      <c r="AR2495" t="s">
        <v>72</v>
      </c>
      <c r="AS2495">
        <v>1129</v>
      </c>
      <c r="AT2495" s="4">
        <v>42487</v>
      </c>
      <c r="AV2495">
        <v>1129</v>
      </c>
      <c r="AW2495" s="4">
        <v>42487</v>
      </c>
      <c r="BD2495">
        <v>0</v>
      </c>
      <c r="BN2495" t="s">
        <v>74</v>
      </c>
    </row>
    <row r="2496" spans="1:66" hidden="1">
      <c r="A2496">
        <v>100823</v>
      </c>
      <c r="B2496" s="3" t="s">
        <v>251</v>
      </c>
      <c r="C2496" s="1">
        <v>43500101</v>
      </c>
      <c r="D2496" t="s">
        <v>113</v>
      </c>
      <c r="H2496" t="str">
        <f t="shared" si="252"/>
        <v>CTLGPL72E22C476M</v>
      </c>
      <c r="I2496" t="str">
        <f t="shared" si="253"/>
        <v>01406970622</v>
      </c>
      <c r="K2496" t="str">
        <f>""</f>
        <v/>
      </c>
      <c r="M2496" t="s">
        <v>68</v>
      </c>
      <c r="N2496" t="str">
        <f t="shared" si="254"/>
        <v>ALTPRO</v>
      </c>
      <c r="O2496" t="s">
        <v>132</v>
      </c>
      <c r="P2496" s="3" t="s">
        <v>146</v>
      </c>
      <c r="Q2496">
        <v>2016</v>
      </c>
      <c r="R2496" s="2">
        <v>42552</v>
      </c>
      <c r="S2496" s="2">
        <v>42556</v>
      </c>
      <c r="T2496" s="2">
        <v>42552</v>
      </c>
      <c r="U2496" s="2">
        <v>42612</v>
      </c>
      <c r="V2496" t="s">
        <v>71</v>
      </c>
      <c r="W2496" t="str">
        <f>"               14/PA"</f>
        <v xml:space="preserve">               14/PA</v>
      </c>
      <c r="X2496" s="1">
        <v>2441.9299999999998</v>
      </c>
      <c r="Y2496">
        <v>-384.92</v>
      </c>
      <c r="Z2496"/>
      <c r="AB2496"/>
      <c r="AC2496" s="1">
        <v>2057.0100000000002</v>
      </c>
      <c r="AD2496">
        <v>-46</v>
      </c>
      <c r="AE2496" s="1">
        <v>-94622.46</v>
      </c>
      <c r="AF2496">
        <v>0</v>
      </c>
      <c r="AJ2496">
        <v>0</v>
      </c>
      <c r="AK2496">
        <v>0</v>
      </c>
      <c r="AL2496">
        <v>0</v>
      </c>
      <c r="AM2496" s="1">
        <v>2057.0100000000002</v>
      </c>
      <c r="AN2496" s="1">
        <v>2057.0100000000002</v>
      </c>
      <c r="AO2496" s="1">
        <v>2057.0100000000002</v>
      </c>
      <c r="AP2496" s="2">
        <v>42746</v>
      </c>
      <c r="AQ2496" t="s">
        <v>72</v>
      </c>
      <c r="AR2496" t="s">
        <v>72</v>
      </c>
      <c r="AS2496">
        <v>1797</v>
      </c>
      <c r="AT2496" s="4">
        <v>42566</v>
      </c>
      <c r="AV2496">
        <v>1797</v>
      </c>
      <c r="AW2496" s="4">
        <v>42566</v>
      </c>
      <c r="BD2496">
        <v>0</v>
      </c>
      <c r="BN2496" t="s">
        <v>74</v>
      </c>
    </row>
    <row r="2497" spans="1:66" hidden="1">
      <c r="A2497">
        <v>100823</v>
      </c>
      <c r="B2497" s="3" t="s">
        <v>251</v>
      </c>
      <c r="C2497" s="1">
        <v>43500101</v>
      </c>
      <c r="D2497" t="s">
        <v>113</v>
      </c>
      <c r="H2497" t="str">
        <f t="shared" si="252"/>
        <v>CTLGPL72E22C476M</v>
      </c>
      <c r="I2497" t="str">
        <f t="shared" si="253"/>
        <v>01406970622</v>
      </c>
      <c r="K2497" t="str">
        <f>""</f>
        <v/>
      </c>
      <c r="M2497" t="s">
        <v>68</v>
      </c>
      <c r="N2497" t="str">
        <f t="shared" si="254"/>
        <v>ALTPRO</v>
      </c>
      <c r="O2497" t="s">
        <v>132</v>
      </c>
      <c r="P2497" s="3" t="s">
        <v>146</v>
      </c>
      <c r="Q2497">
        <v>2016</v>
      </c>
      <c r="R2497" s="2">
        <v>42552</v>
      </c>
      <c r="S2497" s="2">
        <v>42556</v>
      </c>
      <c r="T2497" s="2">
        <v>42552</v>
      </c>
      <c r="U2497" s="2">
        <v>42612</v>
      </c>
      <c r="V2497" t="s">
        <v>71</v>
      </c>
      <c r="W2497" t="str">
        <f>"               16/PA"</f>
        <v xml:space="preserve">               16/PA</v>
      </c>
      <c r="X2497" s="1">
        <v>3356.78</v>
      </c>
      <c r="Y2497">
        <v>-529.13</v>
      </c>
      <c r="Z2497"/>
      <c r="AB2497"/>
      <c r="AC2497" s="1">
        <v>2827.65</v>
      </c>
      <c r="AD2497">
        <v>-46</v>
      </c>
      <c r="AE2497" s="1">
        <v>-130071.9</v>
      </c>
      <c r="AF2497">
        <v>0</v>
      </c>
      <c r="AJ2497">
        <v>0</v>
      </c>
      <c r="AK2497">
        <v>0</v>
      </c>
      <c r="AL2497">
        <v>0</v>
      </c>
      <c r="AM2497" s="1">
        <v>2827.65</v>
      </c>
      <c r="AN2497" s="1">
        <v>2827.65</v>
      </c>
      <c r="AO2497" s="1">
        <v>2827.65</v>
      </c>
      <c r="AP2497" s="2">
        <v>42746</v>
      </c>
      <c r="AQ2497" t="s">
        <v>72</v>
      </c>
      <c r="AR2497" t="s">
        <v>72</v>
      </c>
      <c r="AS2497">
        <v>1797</v>
      </c>
      <c r="AT2497" s="4">
        <v>42566</v>
      </c>
      <c r="AV2497">
        <v>1797</v>
      </c>
      <c r="AW2497" s="4">
        <v>42566</v>
      </c>
      <c r="BD2497">
        <v>0</v>
      </c>
      <c r="BN2497" t="s">
        <v>74</v>
      </c>
    </row>
    <row r="2498" spans="1:66" hidden="1">
      <c r="A2498">
        <v>100823</v>
      </c>
      <c r="B2498" s="3" t="s">
        <v>251</v>
      </c>
      <c r="C2498" s="1">
        <v>43500101</v>
      </c>
      <c r="D2498" t="s">
        <v>113</v>
      </c>
      <c r="H2498" t="str">
        <f t="shared" si="252"/>
        <v>CTLGPL72E22C476M</v>
      </c>
      <c r="I2498" t="str">
        <f t="shared" si="253"/>
        <v>01406970622</v>
      </c>
      <c r="K2498" t="str">
        <f>""</f>
        <v/>
      </c>
      <c r="M2498" t="s">
        <v>68</v>
      </c>
      <c r="N2498" t="str">
        <f t="shared" si="254"/>
        <v>ALTPRO</v>
      </c>
      <c r="O2498" t="s">
        <v>132</v>
      </c>
      <c r="P2498" s="3" t="s">
        <v>146</v>
      </c>
      <c r="Q2498">
        <v>2016</v>
      </c>
      <c r="R2498" s="2">
        <v>42571</v>
      </c>
      <c r="S2498" s="2">
        <v>42577</v>
      </c>
      <c r="T2498" s="2">
        <v>42571</v>
      </c>
      <c r="U2498" s="2">
        <v>42631</v>
      </c>
      <c r="V2498" t="s">
        <v>71</v>
      </c>
      <c r="W2498" t="str">
        <f>"               19/PA"</f>
        <v xml:space="preserve">               19/PA</v>
      </c>
      <c r="X2498" s="1">
        <v>2822.08</v>
      </c>
      <c r="Y2498">
        <v>-444.84</v>
      </c>
      <c r="Z2498"/>
      <c r="AB2498"/>
      <c r="AC2498" s="1">
        <v>2377.2399999999998</v>
      </c>
      <c r="AD2498">
        <v>-53</v>
      </c>
      <c r="AE2498" s="1">
        <v>-125993.72</v>
      </c>
      <c r="AF2498">
        <v>0</v>
      </c>
      <c r="AJ2498">
        <v>0</v>
      </c>
      <c r="AK2498">
        <v>0</v>
      </c>
      <c r="AL2498">
        <v>0</v>
      </c>
      <c r="AM2498" s="1">
        <v>2377.2399999999998</v>
      </c>
      <c r="AN2498" s="1">
        <v>2377.2399999999998</v>
      </c>
      <c r="AO2498" s="1">
        <v>2377.2399999999998</v>
      </c>
      <c r="AP2498" s="2">
        <v>42746</v>
      </c>
      <c r="AQ2498" t="s">
        <v>72</v>
      </c>
      <c r="AR2498" t="s">
        <v>72</v>
      </c>
      <c r="AS2498">
        <v>1980</v>
      </c>
      <c r="AT2498" s="4">
        <v>42578</v>
      </c>
      <c r="AV2498">
        <v>1980</v>
      </c>
      <c r="AW2498" s="4">
        <v>42578</v>
      </c>
      <c r="BD2498">
        <v>0</v>
      </c>
      <c r="BN2498" t="s">
        <v>74</v>
      </c>
    </row>
    <row r="2499" spans="1:66">
      <c r="A2499">
        <v>100823</v>
      </c>
      <c r="B2499" s="3" t="s">
        <v>251</v>
      </c>
      <c r="C2499" s="1">
        <v>43500101</v>
      </c>
      <c r="D2499" t="s">
        <v>113</v>
      </c>
      <c r="H2499" t="str">
        <f t="shared" si="252"/>
        <v>CTLGPL72E22C476M</v>
      </c>
      <c r="I2499" t="str">
        <f t="shared" si="253"/>
        <v>01406970622</v>
      </c>
      <c r="K2499" t="str">
        <f>""</f>
        <v/>
      </c>
      <c r="M2499" t="s">
        <v>68</v>
      </c>
      <c r="N2499" t="str">
        <f t="shared" si="254"/>
        <v>ALTPRO</v>
      </c>
      <c r="O2499" t="s">
        <v>132</v>
      </c>
      <c r="P2499" s="3" t="s">
        <v>146</v>
      </c>
      <c r="Q2499">
        <v>2016</v>
      </c>
      <c r="R2499" s="2">
        <v>42626</v>
      </c>
      <c r="S2499" s="2">
        <v>42627</v>
      </c>
      <c r="T2499" s="2">
        <v>42626</v>
      </c>
      <c r="U2499" s="2">
        <v>42686</v>
      </c>
      <c r="V2499" t="s">
        <v>71</v>
      </c>
      <c r="W2499" t="str">
        <f>"               21/PA"</f>
        <v xml:space="preserve">               21/PA</v>
      </c>
      <c r="X2499" s="1">
        <v>3239.19</v>
      </c>
      <c r="Y2499">
        <v>-510.59</v>
      </c>
      <c r="Z2499" s="5">
        <v>2728.6</v>
      </c>
      <c r="AA2499">
        <v>-40</v>
      </c>
      <c r="AB2499" s="5">
        <v>-109144</v>
      </c>
      <c r="AC2499" s="1">
        <v>2728.6</v>
      </c>
      <c r="AD2499">
        <v>-40</v>
      </c>
      <c r="AE2499" s="1">
        <v>-109144</v>
      </c>
      <c r="AF2499">
        <v>0</v>
      </c>
      <c r="AJ2499">
        <v>0</v>
      </c>
      <c r="AK2499">
        <v>0</v>
      </c>
      <c r="AL2499">
        <v>0</v>
      </c>
      <c r="AM2499" s="1">
        <v>2728.6</v>
      </c>
      <c r="AN2499" s="1">
        <v>2728.6</v>
      </c>
      <c r="AO2499" s="1">
        <v>2728.6</v>
      </c>
      <c r="AP2499" s="2">
        <v>42746</v>
      </c>
      <c r="AQ2499" t="s">
        <v>72</v>
      </c>
      <c r="AR2499" t="s">
        <v>72</v>
      </c>
      <c r="AS2499">
        <v>2509</v>
      </c>
      <c r="AT2499" s="4">
        <v>42646</v>
      </c>
      <c r="AV2499">
        <v>2509</v>
      </c>
      <c r="AW2499" s="4">
        <v>42646</v>
      </c>
      <c r="BD2499">
        <v>0</v>
      </c>
      <c r="BN2499" t="s">
        <v>74</v>
      </c>
    </row>
    <row r="2500" spans="1:66">
      <c r="A2500">
        <v>100823</v>
      </c>
      <c r="B2500" s="3" t="s">
        <v>251</v>
      </c>
      <c r="C2500" s="1">
        <v>43500101</v>
      </c>
      <c r="D2500" t="s">
        <v>113</v>
      </c>
      <c r="H2500" t="str">
        <f t="shared" si="252"/>
        <v>CTLGPL72E22C476M</v>
      </c>
      <c r="I2500" t="str">
        <f t="shared" si="253"/>
        <v>01406970622</v>
      </c>
      <c r="K2500" t="str">
        <f>""</f>
        <v/>
      </c>
      <c r="M2500" t="s">
        <v>68</v>
      </c>
      <c r="N2500" t="str">
        <f t="shared" si="254"/>
        <v>ALTPRO</v>
      </c>
      <c r="O2500" t="s">
        <v>132</v>
      </c>
      <c r="P2500" s="3" t="s">
        <v>146</v>
      </c>
      <c r="Q2500">
        <v>2016</v>
      </c>
      <c r="R2500" s="2">
        <v>42626</v>
      </c>
      <c r="S2500" s="2">
        <v>42627</v>
      </c>
      <c r="T2500" s="2">
        <v>42626</v>
      </c>
      <c r="U2500" s="2">
        <v>42686</v>
      </c>
      <c r="V2500" t="s">
        <v>71</v>
      </c>
      <c r="W2500" t="str">
        <f>"               23/PA"</f>
        <v xml:space="preserve">               23/PA</v>
      </c>
      <c r="X2500" s="1">
        <v>3239.19</v>
      </c>
      <c r="Y2500">
        <v>-510.59</v>
      </c>
      <c r="Z2500" s="5">
        <v>2728.6</v>
      </c>
      <c r="AA2500">
        <v>-40</v>
      </c>
      <c r="AB2500" s="5">
        <v>-109144</v>
      </c>
      <c r="AC2500" s="1">
        <v>2728.6</v>
      </c>
      <c r="AD2500">
        <v>-40</v>
      </c>
      <c r="AE2500" s="1">
        <v>-109144</v>
      </c>
      <c r="AF2500">
        <v>0</v>
      </c>
      <c r="AJ2500">
        <v>0</v>
      </c>
      <c r="AK2500">
        <v>0</v>
      </c>
      <c r="AL2500">
        <v>0</v>
      </c>
      <c r="AM2500" s="1">
        <v>2728.6</v>
      </c>
      <c r="AN2500" s="1">
        <v>2728.6</v>
      </c>
      <c r="AO2500" s="1">
        <v>2728.6</v>
      </c>
      <c r="AP2500" s="2">
        <v>42746</v>
      </c>
      <c r="AQ2500" t="s">
        <v>72</v>
      </c>
      <c r="AR2500" t="s">
        <v>72</v>
      </c>
      <c r="AS2500">
        <v>2509</v>
      </c>
      <c r="AT2500" s="4">
        <v>42646</v>
      </c>
      <c r="AV2500">
        <v>2509</v>
      </c>
      <c r="AW2500" s="4">
        <v>42646</v>
      </c>
      <c r="BD2500">
        <v>0</v>
      </c>
      <c r="BN2500" t="s">
        <v>74</v>
      </c>
    </row>
    <row r="2501" spans="1:66">
      <c r="A2501">
        <v>100823</v>
      </c>
      <c r="B2501" s="3" t="s">
        <v>251</v>
      </c>
      <c r="C2501" s="1">
        <v>43500101</v>
      </c>
      <c r="D2501" t="s">
        <v>113</v>
      </c>
      <c r="H2501" t="str">
        <f t="shared" si="252"/>
        <v>CTLGPL72E22C476M</v>
      </c>
      <c r="I2501" t="str">
        <f t="shared" si="253"/>
        <v>01406970622</v>
      </c>
      <c r="K2501" t="str">
        <f>""</f>
        <v/>
      </c>
      <c r="M2501" t="s">
        <v>68</v>
      </c>
      <c r="N2501" t="str">
        <f t="shared" si="254"/>
        <v>ALTPRO</v>
      </c>
      <c r="O2501" t="s">
        <v>132</v>
      </c>
      <c r="P2501" s="3" t="s">
        <v>146</v>
      </c>
      <c r="Q2501">
        <v>2016</v>
      </c>
      <c r="R2501" s="2">
        <v>42689</v>
      </c>
      <c r="S2501" s="2">
        <v>42689</v>
      </c>
      <c r="T2501" s="2">
        <v>42689</v>
      </c>
      <c r="U2501" s="2">
        <v>42749</v>
      </c>
      <c r="V2501" t="s">
        <v>71</v>
      </c>
      <c r="W2501" t="str">
        <f>"               25/PA"</f>
        <v xml:space="preserve">               25/PA</v>
      </c>
      <c r="X2501" s="1">
        <v>3393.43</v>
      </c>
      <c r="Y2501">
        <v>-534.9</v>
      </c>
      <c r="Z2501" s="5">
        <v>2858.53</v>
      </c>
      <c r="AA2501">
        <v>-59</v>
      </c>
      <c r="AB2501" s="5">
        <v>-168653.27</v>
      </c>
      <c r="AC2501" s="1">
        <v>2858.53</v>
      </c>
      <c r="AD2501">
        <v>-59</v>
      </c>
      <c r="AE2501" s="1">
        <v>-168653.27</v>
      </c>
      <c r="AF2501">
        <v>0</v>
      </c>
      <c r="AJ2501">
        <v>-534.9</v>
      </c>
      <c r="AK2501" s="1">
        <v>2858.53</v>
      </c>
      <c r="AL2501" s="1">
        <v>2858.53</v>
      </c>
      <c r="AM2501" s="1">
        <v>2858.53</v>
      </c>
      <c r="AN2501" s="1">
        <v>2858.53</v>
      </c>
      <c r="AO2501" s="1">
        <v>2858.53</v>
      </c>
      <c r="AP2501" s="2">
        <v>42746</v>
      </c>
      <c r="AQ2501" t="s">
        <v>72</v>
      </c>
      <c r="AR2501" t="s">
        <v>72</v>
      </c>
      <c r="AS2501">
        <v>3126</v>
      </c>
      <c r="AT2501" s="4">
        <v>42690</v>
      </c>
      <c r="AV2501">
        <v>3126</v>
      </c>
      <c r="AW2501" s="4">
        <v>42690</v>
      </c>
      <c r="BD2501">
        <v>0</v>
      </c>
      <c r="BN2501" t="s">
        <v>74</v>
      </c>
    </row>
    <row r="2502" spans="1:66">
      <c r="A2502">
        <v>100823</v>
      </c>
      <c r="B2502" s="3" t="s">
        <v>251</v>
      </c>
      <c r="C2502" s="1">
        <v>43500101</v>
      </c>
      <c r="D2502" t="s">
        <v>113</v>
      </c>
      <c r="H2502" t="str">
        <f t="shared" si="252"/>
        <v>CTLGPL72E22C476M</v>
      </c>
      <c r="I2502" t="str">
        <f t="shared" si="253"/>
        <v>01406970622</v>
      </c>
      <c r="K2502" t="str">
        <f>""</f>
        <v/>
      </c>
      <c r="M2502" t="s">
        <v>68</v>
      </c>
      <c r="N2502" t="str">
        <f t="shared" si="254"/>
        <v>ALTPRO</v>
      </c>
      <c r="O2502" t="s">
        <v>132</v>
      </c>
      <c r="P2502" s="3" t="s">
        <v>146</v>
      </c>
      <c r="Q2502">
        <v>2016</v>
      </c>
      <c r="R2502" s="2">
        <v>42689</v>
      </c>
      <c r="S2502" s="2">
        <v>42689</v>
      </c>
      <c r="T2502" s="2">
        <v>42689</v>
      </c>
      <c r="U2502" s="2">
        <v>42749</v>
      </c>
      <c r="V2502" t="s">
        <v>71</v>
      </c>
      <c r="W2502" t="str">
        <f>"               26/PA"</f>
        <v xml:space="preserve">               26/PA</v>
      </c>
      <c r="X2502" s="1">
        <v>3239.19</v>
      </c>
      <c r="Y2502">
        <v>-510.59</v>
      </c>
      <c r="Z2502" s="5">
        <v>2728.6</v>
      </c>
      <c r="AA2502">
        <v>-59</v>
      </c>
      <c r="AB2502" s="5">
        <v>-160987.4</v>
      </c>
      <c r="AC2502" s="1">
        <v>2728.6</v>
      </c>
      <c r="AD2502">
        <v>-59</v>
      </c>
      <c r="AE2502" s="1">
        <v>-160987.4</v>
      </c>
      <c r="AF2502">
        <v>0</v>
      </c>
      <c r="AJ2502" s="1">
        <v>2728.6</v>
      </c>
      <c r="AK2502" s="1">
        <v>2728.6</v>
      </c>
      <c r="AL2502" s="1">
        <v>2728.6</v>
      </c>
      <c r="AM2502" s="1">
        <v>2728.6</v>
      </c>
      <c r="AN2502" s="1">
        <v>2728.6</v>
      </c>
      <c r="AO2502" s="1">
        <v>2728.6</v>
      </c>
      <c r="AP2502" s="2">
        <v>42746</v>
      </c>
      <c r="AQ2502" t="s">
        <v>72</v>
      </c>
      <c r="AR2502" t="s">
        <v>72</v>
      </c>
      <c r="AS2502">
        <v>3126</v>
      </c>
      <c r="AT2502" s="4">
        <v>42690</v>
      </c>
      <c r="AV2502">
        <v>3126</v>
      </c>
      <c r="AW2502" s="4">
        <v>42690</v>
      </c>
      <c r="BD2502">
        <v>0</v>
      </c>
      <c r="BN2502" t="s">
        <v>74</v>
      </c>
    </row>
    <row r="2503" spans="1:66" hidden="1">
      <c r="A2503">
        <v>100824</v>
      </c>
      <c r="B2503" s="3" t="s">
        <v>252</v>
      </c>
      <c r="C2503" s="1">
        <v>43300101</v>
      </c>
      <c r="D2503" t="s">
        <v>67</v>
      </c>
      <c r="H2503" t="str">
        <f t="shared" ref="H2503:I2522" si="255">"05750470634"</f>
        <v>05750470634</v>
      </c>
      <c r="I2503" t="str">
        <f t="shared" si="255"/>
        <v>05750470634</v>
      </c>
      <c r="K2503" t="str">
        <f>""</f>
        <v/>
      </c>
      <c r="M2503" t="s">
        <v>68</v>
      </c>
      <c r="N2503" t="str">
        <f t="shared" ref="N2503:N2566" si="256">"FOR"</f>
        <v>FOR</v>
      </c>
      <c r="O2503" t="s">
        <v>69</v>
      </c>
      <c r="P2503" s="3" t="s">
        <v>70</v>
      </c>
      <c r="Q2503">
        <v>2014</v>
      </c>
      <c r="R2503" s="2">
        <v>41960</v>
      </c>
      <c r="S2503" s="2">
        <v>42002</v>
      </c>
      <c r="T2503" s="2">
        <v>42002</v>
      </c>
      <c r="U2503" s="2">
        <v>42062</v>
      </c>
      <c r="V2503" t="s">
        <v>71</v>
      </c>
      <c r="W2503" t="str">
        <f>"                 372"</f>
        <v xml:space="preserve">                 372</v>
      </c>
      <c r="X2503" s="1">
        <v>11114.69</v>
      </c>
      <c r="Y2503">
        <v>0</v>
      </c>
      <c r="Z2503"/>
      <c r="AB2503"/>
      <c r="AC2503" s="1">
        <v>11114.69</v>
      </c>
      <c r="AD2503">
        <v>425</v>
      </c>
      <c r="AE2503" s="1">
        <v>4723743.25</v>
      </c>
      <c r="AF2503">
        <v>0</v>
      </c>
      <c r="AJ2503">
        <v>0</v>
      </c>
      <c r="AK2503">
        <v>0</v>
      </c>
      <c r="AL2503">
        <v>0</v>
      </c>
      <c r="AM2503">
        <v>0</v>
      </c>
      <c r="AN2503">
        <v>0</v>
      </c>
      <c r="AO2503">
        <v>0</v>
      </c>
      <c r="AP2503" s="2">
        <v>42746</v>
      </c>
      <c r="AQ2503" t="s">
        <v>72</v>
      </c>
      <c r="AR2503" t="s">
        <v>72</v>
      </c>
      <c r="AS2503">
        <v>1179</v>
      </c>
      <c r="AT2503" s="4">
        <v>42487</v>
      </c>
      <c r="AU2503" t="s">
        <v>73</v>
      </c>
      <c r="AV2503">
        <v>1179</v>
      </c>
      <c r="AW2503" s="4">
        <v>42487</v>
      </c>
      <c r="BD2503">
        <v>0</v>
      </c>
      <c r="BN2503" t="s">
        <v>74</v>
      </c>
    </row>
    <row r="2504" spans="1:66" hidden="1">
      <c r="A2504">
        <v>100824</v>
      </c>
      <c r="B2504" s="3" t="s">
        <v>252</v>
      </c>
      <c r="C2504" s="1">
        <v>43300101</v>
      </c>
      <c r="D2504" t="s">
        <v>67</v>
      </c>
      <c r="H2504" t="str">
        <f t="shared" si="255"/>
        <v>05750470634</v>
      </c>
      <c r="I2504" t="str">
        <f t="shared" si="255"/>
        <v>05750470634</v>
      </c>
      <c r="K2504" t="str">
        <f>""</f>
        <v/>
      </c>
      <c r="M2504" t="s">
        <v>68</v>
      </c>
      <c r="N2504" t="str">
        <f t="shared" si="256"/>
        <v>FOR</v>
      </c>
      <c r="O2504" t="s">
        <v>69</v>
      </c>
      <c r="P2504" s="3" t="s">
        <v>70</v>
      </c>
      <c r="Q2504">
        <v>2015</v>
      </c>
      <c r="R2504" s="2">
        <v>42013</v>
      </c>
      <c r="S2504" s="2">
        <v>42080</v>
      </c>
      <c r="T2504" s="2">
        <v>42080</v>
      </c>
      <c r="U2504" s="2">
        <v>42140</v>
      </c>
      <c r="V2504" t="s">
        <v>71</v>
      </c>
      <c r="W2504" t="str">
        <f>"                   2"</f>
        <v xml:space="preserve">                   2</v>
      </c>
      <c r="X2504" s="1">
        <v>1830.4</v>
      </c>
      <c r="Y2504">
        <v>0</v>
      </c>
      <c r="Z2504"/>
      <c r="AB2504"/>
      <c r="AC2504" s="1">
        <v>1760</v>
      </c>
      <c r="AD2504">
        <v>261</v>
      </c>
      <c r="AE2504" s="1">
        <v>459360</v>
      </c>
      <c r="AF2504">
        <v>0</v>
      </c>
      <c r="AJ2504">
        <v>0</v>
      </c>
      <c r="AK2504">
        <v>0</v>
      </c>
      <c r="AL2504">
        <v>0</v>
      </c>
      <c r="AM2504">
        <v>0</v>
      </c>
      <c r="AN2504">
        <v>0</v>
      </c>
      <c r="AO2504">
        <v>0</v>
      </c>
      <c r="AP2504" s="2">
        <v>42746</v>
      </c>
      <c r="AQ2504" t="s">
        <v>72</v>
      </c>
      <c r="AR2504" t="s">
        <v>72</v>
      </c>
      <c r="AS2504">
        <v>178</v>
      </c>
      <c r="AT2504" s="4">
        <v>42401</v>
      </c>
      <c r="AU2504" t="s">
        <v>73</v>
      </c>
      <c r="AV2504">
        <v>178</v>
      </c>
      <c r="AW2504" s="4">
        <v>42401</v>
      </c>
      <c r="BD2504">
        <v>0</v>
      </c>
      <c r="BN2504" t="s">
        <v>74</v>
      </c>
    </row>
    <row r="2505" spans="1:66" hidden="1">
      <c r="A2505">
        <v>100824</v>
      </c>
      <c r="B2505" s="3" t="s">
        <v>252</v>
      </c>
      <c r="C2505" s="1">
        <v>43300101</v>
      </c>
      <c r="D2505" t="s">
        <v>67</v>
      </c>
      <c r="H2505" t="str">
        <f t="shared" si="255"/>
        <v>05750470634</v>
      </c>
      <c r="I2505" t="str">
        <f t="shared" si="255"/>
        <v>05750470634</v>
      </c>
      <c r="K2505" t="str">
        <f>""</f>
        <v/>
      </c>
      <c r="M2505" t="s">
        <v>68</v>
      </c>
      <c r="N2505" t="str">
        <f t="shared" si="256"/>
        <v>FOR</v>
      </c>
      <c r="O2505" t="s">
        <v>69</v>
      </c>
      <c r="P2505" s="3" t="s">
        <v>70</v>
      </c>
      <c r="Q2505">
        <v>2015</v>
      </c>
      <c r="R2505" s="2">
        <v>42018</v>
      </c>
      <c r="S2505" s="2">
        <v>42080</v>
      </c>
      <c r="T2505" s="2">
        <v>42080</v>
      </c>
      <c r="U2505" s="2">
        <v>42140</v>
      </c>
      <c r="V2505" t="s">
        <v>71</v>
      </c>
      <c r="W2505" t="str">
        <f>"                   5"</f>
        <v xml:space="preserve">                   5</v>
      </c>
      <c r="X2505" s="1">
        <v>16008.1</v>
      </c>
      <c r="Y2505">
        <v>0</v>
      </c>
      <c r="Z2505"/>
      <c r="AB2505"/>
      <c r="AC2505" s="1">
        <v>15392.4</v>
      </c>
      <c r="AD2505">
        <v>261</v>
      </c>
      <c r="AE2505" s="1">
        <v>4017416.4</v>
      </c>
      <c r="AF2505">
        <v>0</v>
      </c>
      <c r="AJ2505">
        <v>0</v>
      </c>
      <c r="AK2505">
        <v>0</v>
      </c>
      <c r="AL2505">
        <v>0</v>
      </c>
      <c r="AM2505">
        <v>0</v>
      </c>
      <c r="AN2505">
        <v>0</v>
      </c>
      <c r="AO2505">
        <v>0</v>
      </c>
      <c r="AP2505" s="2">
        <v>42746</v>
      </c>
      <c r="AQ2505" t="s">
        <v>72</v>
      </c>
      <c r="AR2505" t="s">
        <v>72</v>
      </c>
      <c r="AS2505">
        <v>178</v>
      </c>
      <c r="AT2505" s="4">
        <v>42401</v>
      </c>
      <c r="AU2505" t="s">
        <v>73</v>
      </c>
      <c r="AV2505">
        <v>178</v>
      </c>
      <c r="AW2505" s="4">
        <v>42401</v>
      </c>
      <c r="BD2505">
        <v>0</v>
      </c>
      <c r="BN2505" t="s">
        <v>74</v>
      </c>
    </row>
    <row r="2506" spans="1:66" hidden="1">
      <c r="A2506">
        <v>100824</v>
      </c>
      <c r="B2506" s="3" t="s">
        <v>252</v>
      </c>
      <c r="C2506" s="1">
        <v>43300101</v>
      </c>
      <c r="D2506" t="s">
        <v>67</v>
      </c>
      <c r="H2506" t="str">
        <f t="shared" si="255"/>
        <v>05750470634</v>
      </c>
      <c r="I2506" t="str">
        <f t="shared" si="255"/>
        <v>05750470634</v>
      </c>
      <c r="K2506" t="str">
        <f>""</f>
        <v/>
      </c>
      <c r="M2506" t="s">
        <v>68</v>
      </c>
      <c r="N2506" t="str">
        <f t="shared" si="256"/>
        <v>FOR</v>
      </c>
      <c r="O2506" t="s">
        <v>69</v>
      </c>
      <c r="P2506" s="3" t="s">
        <v>70</v>
      </c>
      <c r="Q2506">
        <v>2015</v>
      </c>
      <c r="R2506" s="2">
        <v>42018</v>
      </c>
      <c r="S2506" s="2">
        <v>42080</v>
      </c>
      <c r="T2506" s="2">
        <v>42080</v>
      </c>
      <c r="U2506" s="2">
        <v>42140</v>
      </c>
      <c r="V2506" t="s">
        <v>71</v>
      </c>
      <c r="W2506" t="str">
        <f>"                   6"</f>
        <v xml:space="preserve">                   6</v>
      </c>
      <c r="X2506" s="1">
        <v>5769.92</v>
      </c>
      <c r="Y2506">
        <v>0</v>
      </c>
      <c r="Z2506"/>
      <c r="AB2506"/>
      <c r="AC2506" s="1">
        <v>5548</v>
      </c>
      <c r="AD2506">
        <v>347</v>
      </c>
      <c r="AE2506" s="1">
        <v>1925156</v>
      </c>
      <c r="AF2506">
        <v>0</v>
      </c>
      <c r="AJ2506">
        <v>0</v>
      </c>
      <c r="AK2506">
        <v>0</v>
      </c>
      <c r="AL2506">
        <v>0</v>
      </c>
      <c r="AM2506">
        <v>0</v>
      </c>
      <c r="AN2506">
        <v>0</v>
      </c>
      <c r="AO2506">
        <v>0</v>
      </c>
      <c r="AP2506" s="2">
        <v>42746</v>
      </c>
      <c r="AQ2506" t="s">
        <v>72</v>
      </c>
      <c r="AR2506" t="s">
        <v>72</v>
      </c>
      <c r="AS2506">
        <v>1179</v>
      </c>
      <c r="AT2506" s="4">
        <v>42487</v>
      </c>
      <c r="AU2506" t="s">
        <v>73</v>
      </c>
      <c r="AV2506">
        <v>1179</v>
      </c>
      <c r="AW2506" s="4">
        <v>42487</v>
      </c>
      <c r="BD2506">
        <v>0</v>
      </c>
      <c r="BN2506" t="s">
        <v>74</v>
      </c>
    </row>
    <row r="2507" spans="1:66" hidden="1">
      <c r="A2507">
        <v>100824</v>
      </c>
      <c r="B2507" s="3" t="s">
        <v>252</v>
      </c>
      <c r="C2507" s="1">
        <v>43300101</v>
      </c>
      <c r="D2507" t="s">
        <v>67</v>
      </c>
      <c r="H2507" t="str">
        <f t="shared" si="255"/>
        <v>05750470634</v>
      </c>
      <c r="I2507" t="str">
        <f t="shared" si="255"/>
        <v>05750470634</v>
      </c>
      <c r="K2507" t="str">
        <f>""</f>
        <v/>
      </c>
      <c r="M2507" t="s">
        <v>68</v>
      </c>
      <c r="N2507" t="str">
        <f t="shared" si="256"/>
        <v>FOR</v>
      </c>
      <c r="O2507" t="s">
        <v>69</v>
      </c>
      <c r="P2507" s="3" t="s">
        <v>70</v>
      </c>
      <c r="Q2507">
        <v>2015</v>
      </c>
      <c r="R2507" s="2">
        <v>42025</v>
      </c>
      <c r="S2507" s="2">
        <v>42080</v>
      </c>
      <c r="T2507" s="2">
        <v>42080</v>
      </c>
      <c r="U2507" s="2">
        <v>42140</v>
      </c>
      <c r="V2507" t="s">
        <v>71</v>
      </c>
      <c r="W2507" t="str">
        <f>"                  11"</f>
        <v xml:space="preserve">                  11</v>
      </c>
      <c r="X2507" s="1">
        <v>1996.8</v>
      </c>
      <c r="Y2507">
        <v>0</v>
      </c>
      <c r="Z2507"/>
      <c r="AB2507"/>
      <c r="AC2507" s="1">
        <v>1920</v>
      </c>
      <c r="AD2507">
        <v>261</v>
      </c>
      <c r="AE2507" s="1">
        <v>501120</v>
      </c>
      <c r="AF2507">
        <v>0</v>
      </c>
      <c r="AJ2507">
        <v>0</v>
      </c>
      <c r="AK2507">
        <v>0</v>
      </c>
      <c r="AL2507">
        <v>0</v>
      </c>
      <c r="AM2507">
        <v>0</v>
      </c>
      <c r="AN2507">
        <v>0</v>
      </c>
      <c r="AO2507">
        <v>0</v>
      </c>
      <c r="AP2507" s="2">
        <v>42746</v>
      </c>
      <c r="AQ2507" t="s">
        <v>72</v>
      </c>
      <c r="AR2507" t="s">
        <v>72</v>
      </c>
      <c r="AS2507">
        <v>178</v>
      </c>
      <c r="AT2507" s="4">
        <v>42401</v>
      </c>
      <c r="AU2507" t="s">
        <v>73</v>
      </c>
      <c r="AV2507">
        <v>178</v>
      </c>
      <c r="AW2507" s="4">
        <v>42401</v>
      </c>
      <c r="BD2507">
        <v>0</v>
      </c>
      <c r="BN2507" t="s">
        <v>74</v>
      </c>
    </row>
    <row r="2508" spans="1:66" hidden="1">
      <c r="A2508">
        <v>100824</v>
      </c>
      <c r="B2508" s="3" t="s">
        <v>252</v>
      </c>
      <c r="C2508" s="1">
        <v>43300101</v>
      </c>
      <c r="D2508" t="s">
        <v>67</v>
      </c>
      <c r="H2508" t="str">
        <f t="shared" si="255"/>
        <v>05750470634</v>
      </c>
      <c r="I2508" t="str">
        <f t="shared" si="255"/>
        <v>05750470634</v>
      </c>
      <c r="K2508" t="str">
        <f>""</f>
        <v/>
      </c>
      <c r="M2508" t="s">
        <v>68</v>
      </c>
      <c r="N2508" t="str">
        <f t="shared" si="256"/>
        <v>FOR</v>
      </c>
      <c r="O2508" t="s">
        <v>69</v>
      </c>
      <c r="P2508" s="3" t="s">
        <v>70</v>
      </c>
      <c r="Q2508">
        <v>2015</v>
      </c>
      <c r="R2508" s="2">
        <v>42035</v>
      </c>
      <c r="S2508" s="2">
        <v>42080</v>
      </c>
      <c r="T2508" s="2">
        <v>42080</v>
      </c>
      <c r="U2508" s="2">
        <v>42140</v>
      </c>
      <c r="V2508" t="s">
        <v>71</v>
      </c>
      <c r="W2508" t="str">
        <f>"                  16"</f>
        <v xml:space="preserve">                  16</v>
      </c>
      <c r="X2508" s="1">
        <v>1021.28</v>
      </c>
      <c r="Y2508">
        <v>0</v>
      </c>
      <c r="Z2508"/>
      <c r="AB2508"/>
      <c r="AC2508">
        <v>982</v>
      </c>
      <c r="AD2508">
        <v>261</v>
      </c>
      <c r="AE2508" s="1">
        <v>256302</v>
      </c>
      <c r="AF2508">
        <v>0</v>
      </c>
      <c r="AJ2508">
        <v>0</v>
      </c>
      <c r="AK2508">
        <v>0</v>
      </c>
      <c r="AL2508">
        <v>0</v>
      </c>
      <c r="AM2508">
        <v>0</v>
      </c>
      <c r="AN2508">
        <v>0</v>
      </c>
      <c r="AO2508">
        <v>0</v>
      </c>
      <c r="AP2508" s="2">
        <v>42746</v>
      </c>
      <c r="AQ2508" t="s">
        <v>72</v>
      </c>
      <c r="AR2508" t="s">
        <v>72</v>
      </c>
      <c r="AS2508">
        <v>178</v>
      </c>
      <c r="AT2508" s="4">
        <v>42401</v>
      </c>
      <c r="AU2508" t="s">
        <v>73</v>
      </c>
      <c r="AV2508">
        <v>178</v>
      </c>
      <c r="AW2508" s="4">
        <v>42401</v>
      </c>
      <c r="BD2508">
        <v>0</v>
      </c>
      <c r="BN2508" t="s">
        <v>74</v>
      </c>
    </row>
    <row r="2509" spans="1:66" hidden="1">
      <c r="A2509">
        <v>100824</v>
      </c>
      <c r="B2509" s="3" t="s">
        <v>252</v>
      </c>
      <c r="C2509" s="1">
        <v>43300101</v>
      </c>
      <c r="D2509" t="s">
        <v>67</v>
      </c>
      <c r="H2509" t="str">
        <f t="shared" si="255"/>
        <v>05750470634</v>
      </c>
      <c r="I2509" t="str">
        <f t="shared" si="255"/>
        <v>05750470634</v>
      </c>
      <c r="K2509" t="str">
        <f>""</f>
        <v/>
      </c>
      <c r="M2509" t="s">
        <v>68</v>
      </c>
      <c r="N2509" t="str">
        <f t="shared" si="256"/>
        <v>FOR</v>
      </c>
      <c r="O2509" t="s">
        <v>69</v>
      </c>
      <c r="P2509" s="3" t="s">
        <v>70</v>
      </c>
      <c r="Q2509">
        <v>2015</v>
      </c>
      <c r="R2509" s="2">
        <v>42046</v>
      </c>
      <c r="S2509" s="2">
        <v>42089</v>
      </c>
      <c r="T2509" s="2">
        <v>42089</v>
      </c>
      <c r="U2509" s="2">
        <v>42149</v>
      </c>
      <c r="V2509" t="s">
        <v>71</v>
      </c>
      <c r="W2509" t="str">
        <f>"                  36"</f>
        <v xml:space="preserve">                  36</v>
      </c>
      <c r="X2509" s="1">
        <v>14863.68</v>
      </c>
      <c r="Y2509">
        <v>0</v>
      </c>
      <c r="Z2509"/>
      <c r="AB2509"/>
      <c r="AC2509" s="1">
        <v>14292</v>
      </c>
      <c r="AD2509">
        <v>252</v>
      </c>
      <c r="AE2509" s="1">
        <v>3601584</v>
      </c>
      <c r="AF2509">
        <v>0</v>
      </c>
      <c r="AJ2509">
        <v>0</v>
      </c>
      <c r="AK2509">
        <v>0</v>
      </c>
      <c r="AL2509">
        <v>0</v>
      </c>
      <c r="AM2509">
        <v>0</v>
      </c>
      <c r="AN2509">
        <v>0</v>
      </c>
      <c r="AO2509">
        <v>0</v>
      </c>
      <c r="AP2509" s="2">
        <v>42746</v>
      </c>
      <c r="AQ2509" t="s">
        <v>72</v>
      </c>
      <c r="AR2509" t="s">
        <v>72</v>
      </c>
      <c r="AS2509">
        <v>178</v>
      </c>
      <c r="AT2509" s="4">
        <v>42401</v>
      </c>
      <c r="AU2509" t="s">
        <v>73</v>
      </c>
      <c r="AV2509">
        <v>178</v>
      </c>
      <c r="AW2509" s="4">
        <v>42401</v>
      </c>
      <c r="BD2509">
        <v>0</v>
      </c>
      <c r="BN2509" t="s">
        <v>74</v>
      </c>
    </row>
    <row r="2510" spans="1:66" hidden="1">
      <c r="A2510">
        <v>100824</v>
      </c>
      <c r="B2510" s="3" t="s">
        <v>252</v>
      </c>
      <c r="C2510" s="1">
        <v>43300101</v>
      </c>
      <c r="D2510" t="s">
        <v>67</v>
      </c>
      <c r="H2510" t="str">
        <f t="shared" si="255"/>
        <v>05750470634</v>
      </c>
      <c r="I2510" t="str">
        <f t="shared" si="255"/>
        <v>05750470634</v>
      </c>
      <c r="K2510" t="str">
        <f>""</f>
        <v/>
      </c>
      <c r="M2510" t="s">
        <v>68</v>
      </c>
      <c r="N2510" t="str">
        <f t="shared" si="256"/>
        <v>FOR</v>
      </c>
      <c r="O2510" t="s">
        <v>69</v>
      </c>
      <c r="P2510" s="3" t="s">
        <v>70</v>
      </c>
      <c r="Q2510">
        <v>2015</v>
      </c>
      <c r="R2510" s="2">
        <v>42046</v>
      </c>
      <c r="S2510" s="2">
        <v>42089</v>
      </c>
      <c r="T2510" s="2">
        <v>42089</v>
      </c>
      <c r="U2510" s="2">
        <v>42149</v>
      </c>
      <c r="V2510" t="s">
        <v>71</v>
      </c>
      <c r="W2510" t="str">
        <f>"                  37"</f>
        <v xml:space="preserve">                  37</v>
      </c>
      <c r="X2510" s="1">
        <v>5162.5600000000004</v>
      </c>
      <c r="Y2510">
        <v>0</v>
      </c>
      <c r="Z2510"/>
      <c r="AB2510"/>
      <c r="AC2510" s="1">
        <v>4964</v>
      </c>
      <c r="AD2510">
        <v>338</v>
      </c>
      <c r="AE2510" s="1">
        <v>1677832</v>
      </c>
      <c r="AF2510">
        <v>0</v>
      </c>
      <c r="AJ2510">
        <v>0</v>
      </c>
      <c r="AK2510">
        <v>0</v>
      </c>
      <c r="AL2510">
        <v>0</v>
      </c>
      <c r="AM2510">
        <v>0</v>
      </c>
      <c r="AN2510">
        <v>0</v>
      </c>
      <c r="AO2510">
        <v>0</v>
      </c>
      <c r="AP2510" s="2">
        <v>42746</v>
      </c>
      <c r="AQ2510" t="s">
        <v>72</v>
      </c>
      <c r="AR2510" t="s">
        <v>72</v>
      </c>
      <c r="AS2510">
        <v>1179</v>
      </c>
      <c r="AT2510" s="4">
        <v>42487</v>
      </c>
      <c r="AU2510" t="s">
        <v>73</v>
      </c>
      <c r="AV2510">
        <v>1179</v>
      </c>
      <c r="AW2510" s="4">
        <v>42487</v>
      </c>
      <c r="BD2510">
        <v>0</v>
      </c>
      <c r="BN2510" t="s">
        <v>74</v>
      </c>
    </row>
    <row r="2511" spans="1:66" hidden="1">
      <c r="A2511">
        <v>100824</v>
      </c>
      <c r="B2511" s="3" t="s">
        <v>252</v>
      </c>
      <c r="C2511" s="1">
        <v>43300101</v>
      </c>
      <c r="D2511" t="s">
        <v>67</v>
      </c>
      <c r="H2511" t="str">
        <f t="shared" si="255"/>
        <v>05750470634</v>
      </c>
      <c r="I2511" t="str">
        <f t="shared" si="255"/>
        <v>05750470634</v>
      </c>
      <c r="K2511" t="str">
        <f>""</f>
        <v/>
      </c>
      <c r="M2511" t="s">
        <v>68</v>
      </c>
      <c r="N2511" t="str">
        <f t="shared" si="256"/>
        <v>FOR</v>
      </c>
      <c r="O2511" t="s">
        <v>69</v>
      </c>
      <c r="P2511" s="3" t="s">
        <v>70</v>
      </c>
      <c r="Q2511">
        <v>2015</v>
      </c>
      <c r="R2511" s="2">
        <v>42058</v>
      </c>
      <c r="S2511" s="2">
        <v>42089</v>
      </c>
      <c r="T2511" s="2">
        <v>42089</v>
      </c>
      <c r="U2511" s="2">
        <v>42149</v>
      </c>
      <c r="V2511" t="s">
        <v>71</v>
      </c>
      <c r="W2511" t="str">
        <f>"                  51"</f>
        <v xml:space="preserve">                  51</v>
      </c>
      <c r="X2511">
        <v>915.2</v>
      </c>
      <c r="Y2511">
        <v>0</v>
      </c>
      <c r="Z2511"/>
      <c r="AB2511"/>
      <c r="AC2511">
        <v>880</v>
      </c>
      <c r="AD2511">
        <v>252</v>
      </c>
      <c r="AE2511" s="1">
        <v>221760</v>
      </c>
      <c r="AF2511">
        <v>0</v>
      </c>
      <c r="AJ2511">
        <v>0</v>
      </c>
      <c r="AK2511">
        <v>0</v>
      </c>
      <c r="AL2511">
        <v>0</v>
      </c>
      <c r="AM2511">
        <v>0</v>
      </c>
      <c r="AN2511">
        <v>0</v>
      </c>
      <c r="AO2511">
        <v>0</v>
      </c>
      <c r="AP2511" s="2">
        <v>42746</v>
      </c>
      <c r="AQ2511" t="s">
        <v>72</v>
      </c>
      <c r="AR2511" t="s">
        <v>72</v>
      </c>
      <c r="AS2511">
        <v>178</v>
      </c>
      <c r="AT2511" s="4">
        <v>42401</v>
      </c>
      <c r="AU2511" t="s">
        <v>73</v>
      </c>
      <c r="AV2511">
        <v>178</v>
      </c>
      <c r="AW2511" s="4">
        <v>42401</v>
      </c>
      <c r="BD2511">
        <v>0</v>
      </c>
      <c r="BN2511" t="s">
        <v>74</v>
      </c>
    </row>
    <row r="2512" spans="1:66" hidden="1">
      <c r="A2512">
        <v>100824</v>
      </c>
      <c r="B2512" s="3" t="s">
        <v>252</v>
      </c>
      <c r="C2512" s="1">
        <v>43300101</v>
      </c>
      <c r="D2512" t="s">
        <v>67</v>
      </c>
      <c r="H2512" t="str">
        <f t="shared" si="255"/>
        <v>05750470634</v>
      </c>
      <c r="I2512" t="str">
        <f t="shared" si="255"/>
        <v>05750470634</v>
      </c>
      <c r="K2512" t="str">
        <f>""</f>
        <v/>
      </c>
      <c r="M2512" t="s">
        <v>68</v>
      </c>
      <c r="N2512" t="str">
        <f t="shared" si="256"/>
        <v>FOR</v>
      </c>
      <c r="O2512" t="s">
        <v>69</v>
      </c>
      <c r="P2512" s="3" t="s">
        <v>70</v>
      </c>
      <c r="Q2512">
        <v>2015</v>
      </c>
      <c r="R2512" s="2">
        <v>42060</v>
      </c>
      <c r="S2512" s="2">
        <v>42089</v>
      </c>
      <c r="T2512" s="2">
        <v>42089</v>
      </c>
      <c r="U2512" s="2">
        <v>42149</v>
      </c>
      <c r="V2512" t="s">
        <v>71</v>
      </c>
      <c r="W2512" t="str">
        <f>"                  54"</f>
        <v xml:space="preserve">                  54</v>
      </c>
      <c r="X2512" s="1">
        <v>1996.8</v>
      </c>
      <c r="Y2512">
        <v>0</v>
      </c>
      <c r="Z2512"/>
      <c r="AB2512"/>
      <c r="AC2512" s="1">
        <v>1920</v>
      </c>
      <c r="AD2512">
        <v>252</v>
      </c>
      <c r="AE2512" s="1">
        <v>483840</v>
      </c>
      <c r="AF2512">
        <v>0</v>
      </c>
      <c r="AJ2512">
        <v>0</v>
      </c>
      <c r="AK2512">
        <v>0</v>
      </c>
      <c r="AL2512">
        <v>0</v>
      </c>
      <c r="AM2512">
        <v>0</v>
      </c>
      <c r="AN2512">
        <v>0</v>
      </c>
      <c r="AO2512">
        <v>0</v>
      </c>
      <c r="AP2512" s="2">
        <v>42746</v>
      </c>
      <c r="AQ2512" t="s">
        <v>72</v>
      </c>
      <c r="AR2512" t="s">
        <v>72</v>
      </c>
      <c r="AS2512">
        <v>178</v>
      </c>
      <c r="AT2512" s="4">
        <v>42401</v>
      </c>
      <c r="AU2512" t="s">
        <v>73</v>
      </c>
      <c r="AV2512">
        <v>178</v>
      </c>
      <c r="AW2512" s="4">
        <v>42401</v>
      </c>
      <c r="BD2512">
        <v>0</v>
      </c>
      <c r="BN2512" t="s">
        <v>74</v>
      </c>
    </row>
    <row r="2513" spans="1:66" hidden="1">
      <c r="A2513">
        <v>100824</v>
      </c>
      <c r="B2513" s="3" t="s">
        <v>252</v>
      </c>
      <c r="C2513" s="1">
        <v>43300101</v>
      </c>
      <c r="D2513" t="s">
        <v>67</v>
      </c>
      <c r="H2513" t="str">
        <f t="shared" si="255"/>
        <v>05750470634</v>
      </c>
      <c r="I2513" t="str">
        <f t="shared" si="255"/>
        <v>05750470634</v>
      </c>
      <c r="K2513" t="str">
        <f>""</f>
        <v/>
      </c>
      <c r="M2513" t="s">
        <v>68</v>
      </c>
      <c r="N2513" t="str">
        <f t="shared" si="256"/>
        <v>FOR</v>
      </c>
      <c r="O2513" t="s">
        <v>69</v>
      </c>
      <c r="P2513" s="3" t="s">
        <v>70</v>
      </c>
      <c r="Q2513">
        <v>2015</v>
      </c>
      <c r="R2513" s="2">
        <v>42063</v>
      </c>
      <c r="S2513" s="2">
        <v>42089</v>
      </c>
      <c r="T2513" s="2">
        <v>42089</v>
      </c>
      <c r="U2513" s="2">
        <v>42149</v>
      </c>
      <c r="V2513" t="s">
        <v>71</v>
      </c>
      <c r="W2513" t="str">
        <f>"                  56"</f>
        <v xml:space="preserve">                  56</v>
      </c>
      <c r="X2513">
        <v>91.52</v>
      </c>
      <c r="Y2513">
        <v>0</v>
      </c>
      <c r="Z2513"/>
      <c r="AB2513"/>
      <c r="AC2513">
        <v>88</v>
      </c>
      <c r="AD2513">
        <v>252</v>
      </c>
      <c r="AE2513" s="1">
        <v>22176</v>
      </c>
      <c r="AF2513">
        <v>0</v>
      </c>
      <c r="AJ2513">
        <v>0</v>
      </c>
      <c r="AK2513">
        <v>0</v>
      </c>
      <c r="AL2513">
        <v>0</v>
      </c>
      <c r="AM2513">
        <v>0</v>
      </c>
      <c r="AN2513">
        <v>0</v>
      </c>
      <c r="AO2513">
        <v>0</v>
      </c>
      <c r="AP2513" s="2">
        <v>42746</v>
      </c>
      <c r="AQ2513" t="s">
        <v>72</v>
      </c>
      <c r="AR2513" t="s">
        <v>72</v>
      </c>
      <c r="AS2513">
        <v>178</v>
      </c>
      <c r="AT2513" s="4">
        <v>42401</v>
      </c>
      <c r="AU2513" t="s">
        <v>73</v>
      </c>
      <c r="AV2513">
        <v>178</v>
      </c>
      <c r="AW2513" s="4">
        <v>42401</v>
      </c>
      <c r="BD2513">
        <v>0</v>
      </c>
      <c r="BN2513" t="s">
        <v>74</v>
      </c>
    </row>
    <row r="2514" spans="1:66" hidden="1">
      <c r="A2514">
        <v>100824</v>
      </c>
      <c r="B2514" s="3" t="s">
        <v>252</v>
      </c>
      <c r="C2514" s="1">
        <v>43300101</v>
      </c>
      <c r="D2514" t="s">
        <v>67</v>
      </c>
      <c r="H2514" t="str">
        <f t="shared" si="255"/>
        <v>05750470634</v>
      </c>
      <c r="I2514" t="str">
        <f t="shared" si="255"/>
        <v>05750470634</v>
      </c>
      <c r="K2514" t="str">
        <f>""</f>
        <v/>
      </c>
      <c r="M2514" t="s">
        <v>68</v>
      </c>
      <c r="N2514" t="str">
        <f t="shared" si="256"/>
        <v>FOR</v>
      </c>
      <c r="O2514" t="s">
        <v>69</v>
      </c>
      <c r="P2514" s="3" t="s">
        <v>70</v>
      </c>
      <c r="Q2514">
        <v>2015</v>
      </c>
      <c r="R2514" s="2">
        <v>42063</v>
      </c>
      <c r="S2514" s="2">
        <v>42264</v>
      </c>
      <c r="T2514" s="2">
        <v>42264</v>
      </c>
      <c r="U2514" s="2">
        <v>42324</v>
      </c>
      <c r="V2514" t="s">
        <v>71</v>
      </c>
      <c r="W2514" t="str">
        <f>"                  61"</f>
        <v xml:space="preserve">                  61</v>
      </c>
      <c r="X2514" s="1">
        <v>4289.6400000000003</v>
      </c>
      <c r="Y2514">
        <v>0</v>
      </c>
      <c r="Z2514"/>
      <c r="AB2514"/>
      <c r="AC2514" s="1">
        <v>3516.1</v>
      </c>
      <c r="AD2514">
        <v>77</v>
      </c>
      <c r="AE2514" s="1">
        <v>270739.7</v>
      </c>
      <c r="AF2514">
        <v>0</v>
      </c>
      <c r="AJ2514">
        <v>0</v>
      </c>
      <c r="AK2514">
        <v>0</v>
      </c>
      <c r="AL2514">
        <v>0</v>
      </c>
      <c r="AM2514">
        <v>0</v>
      </c>
      <c r="AN2514">
        <v>0</v>
      </c>
      <c r="AO2514">
        <v>0</v>
      </c>
      <c r="AP2514" s="2">
        <v>42746</v>
      </c>
      <c r="AQ2514" t="s">
        <v>72</v>
      </c>
      <c r="AR2514" t="s">
        <v>72</v>
      </c>
      <c r="AS2514">
        <v>178</v>
      </c>
      <c r="AT2514" s="4">
        <v>42401</v>
      </c>
      <c r="AU2514" t="s">
        <v>73</v>
      </c>
      <c r="AV2514">
        <v>178</v>
      </c>
      <c r="AW2514" s="4">
        <v>42401</v>
      </c>
      <c r="BD2514">
        <v>0</v>
      </c>
      <c r="BN2514" t="s">
        <v>74</v>
      </c>
    </row>
    <row r="2515" spans="1:66" hidden="1">
      <c r="A2515">
        <v>100824</v>
      </c>
      <c r="B2515" s="3" t="s">
        <v>252</v>
      </c>
      <c r="C2515" s="1">
        <v>43300101</v>
      </c>
      <c r="D2515" t="s">
        <v>67</v>
      </c>
      <c r="H2515" t="str">
        <f t="shared" si="255"/>
        <v>05750470634</v>
      </c>
      <c r="I2515" t="str">
        <f t="shared" si="255"/>
        <v>05750470634</v>
      </c>
      <c r="K2515" t="str">
        <f>""</f>
        <v/>
      </c>
      <c r="M2515" t="s">
        <v>68</v>
      </c>
      <c r="N2515" t="str">
        <f t="shared" si="256"/>
        <v>FOR</v>
      </c>
      <c r="O2515" t="s">
        <v>69</v>
      </c>
      <c r="P2515" s="3" t="s">
        <v>70</v>
      </c>
      <c r="Q2515">
        <v>2015</v>
      </c>
      <c r="R2515" s="2">
        <v>42074</v>
      </c>
      <c r="S2515" s="2">
        <v>42109</v>
      </c>
      <c r="T2515" s="2">
        <v>42109</v>
      </c>
      <c r="U2515" s="2">
        <v>42169</v>
      </c>
      <c r="V2515" t="s">
        <v>71</v>
      </c>
      <c r="W2515" t="str">
        <f>"                  65"</f>
        <v xml:space="preserve">                  65</v>
      </c>
      <c r="X2515" s="1">
        <v>5012.8</v>
      </c>
      <c r="Y2515">
        <v>0</v>
      </c>
      <c r="Z2515"/>
      <c r="AB2515"/>
      <c r="AC2515" s="1">
        <v>4820</v>
      </c>
      <c r="AD2515">
        <v>247</v>
      </c>
      <c r="AE2515" s="1">
        <v>1190540</v>
      </c>
      <c r="AF2515">
        <v>0</v>
      </c>
      <c r="AJ2515">
        <v>0</v>
      </c>
      <c r="AK2515">
        <v>0</v>
      </c>
      <c r="AL2515">
        <v>0</v>
      </c>
      <c r="AM2515">
        <v>0</v>
      </c>
      <c r="AN2515">
        <v>0</v>
      </c>
      <c r="AO2515">
        <v>0</v>
      </c>
      <c r="AP2515" s="2">
        <v>42746</v>
      </c>
      <c r="AQ2515" t="s">
        <v>72</v>
      </c>
      <c r="AR2515" t="s">
        <v>72</v>
      </c>
      <c r="AS2515">
        <v>406</v>
      </c>
      <c r="AT2515" s="4">
        <v>42416</v>
      </c>
      <c r="AU2515" t="s">
        <v>73</v>
      </c>
      <c r="AV2515">
        <v>406</v>
      </c>
      <c r="AW2515" s="4">
        <v>42416</v>
      </c>
      <c r="BD2515">
        <v>0</v>
      </c>
      <c r="BN2515" t="s">
        <v>74</v>
      </c>
    </row>
    <row r="2516" spans="1:66" hidden="1">
      <c r="A2516">
        <v>100824</v>
      </c>
      <c r="B2516" s="3" t="s">
        <v>252</v>
      </c>
      <c r="C2516" s="1">
        <v>43300101</v>
      </c>
      <c r="D2516" t="s">
        <v>67</v>
      </c>
      <c r="H2516" t="str">
        <f t="shared" si="255"/>
        <v>05750470634</v>
      </c>
      <c r="I2516" t="str">
        <f t="shared" si="255"/>
        <v>05750470634</v>
      </c>
      <c r="K2516" t="str">
        <f>""</f>
        <v/>
      </c>
      <c r="M2516" t="s">
        <v>68</v>
      </c>
      <c r="N2516" t="str">
        <f t="shared" si="256"/>
        <v>FOR</v>
      </c>
      <c r="O2516" t="s">
        <v>69</v>
      </c>
      <c r="P2516" s="3" t="s">
        <v>70</v>
      </c>
      <c r="Q2516">
        <v>2015</v>
      </c>
      <c r="R2516" s="2">
        <v>42074</v>
      </c>
      <c r="S2516" s="2">
        <v>42109</v>
      </c>
      <c r="T2516" s="2">
        <v>42109</v>
      </c>
      <c r="U2516" s="2">
        <v>42169</v>
      </c>
      <c r="V2516" t="s">
        <v>71</v>
      </c>
      <c r="W2516" t="str">
        <f>"                  66"</f>
        <v xml:space="preserve">                  66</v>
      </c>
      <c r="X2516" s="1">
        <v>1321.01</v>
      </c>
      <c r="Y2516">
        <v>0</v>
      </c>
      <c r="Z2516"/>
      <c r="AB2516"/>
      <c r="AC2516" s="1">
        <v>1270.2</v>
      </c>
      <c r="AD2516">
        <v>318</v>
      </c>
      <c r="AE2516" s="1">
        <v>403923.6</v>
      </c>
      <c r="AF2516">
        <v>0</v>
      </c>
      <c r="AJ2516">
        <v>0</v>
      </c>
      <c r="AK2516">
        <v>0</v>
      </c>
      <c r="AL2516">
        <v>0</v>
      </c>
      <c r="AM2516">
        <v>0</v>
      </c>
      <c r="AN2516">
        <v>0</v>
      </c>
      <c r="AO2516">
        <v>0</v>
      </c>
      <c r="AP2516" s="2">
        <v>42746</v>
      </c>
      <c r="AQ2516" t="s">
        <v>72</v>
      </c>
      <c r="AR2516" t="s">
        <v>72</v>
      </c>
      <c r="AS2516">
        <v>1179</v>
      </c>
      <c r="AT2516" s="4">
        <v>42487</v>
      </c>
      <c r="AU2516" t="s">
        <v>73</v>
      </c>
      <c r="AV2516">
        <v>1179</v>
      </c>
      <c r="AW2516" s="4">
        <v>42487</v>
      </c>
      <c r="BD2516">
        <v>0</v>
      </c>
      <c r="BN2516" t="s">
        <v>74</v>
      </c>
    </row>
    <row r="2517" spans="1:66" hidden="1">
      <c r="A2517">
        <v>100824</v>
      </c>
      <c r="B2517" s="3" t="s">
        <v>252</v>
      </c>
      <c r="C2517" s="1">
        <v>43300101</v>
      </c>
      <c r="D2517" t="s">
        <v>67</v>
      </c>
      <c r="H2517" t="str">
        <f t="shared" si="255"/>
        <v>05750470634</v>
      </c>
      <c r="I2517" t="str">
        <f t="shared" si="255"/>
        <v>05750470634</v>
      </c>
      <c r="K2517" t="str">
        <f>""</f>
        <v/>
      </c>
      <c r="M2517" t="s">
        <v>68</v>
      </c>
      <c r="N2517" t="str">
        <f t="shared" si="256"/>
        <v>FOR</v>
      </c>
      <c r="O2517" t="s">
        <v>69</v>
      </c>
      <c r="P2517" s="3" t="s">
        <v>70</v>
      </c>
      <c r="Q2517">
        <v>2015</v>
      </c>
      <c r="R2517" s="2">
        <v>42086</v>
      </c>
      <c r="S2517" s="2">
        <v>42109</v>
      </c>
      <c r="T2517" s="2">
        <v>42109</v>
      </c>
      <c r="U2517" s="2">
        <v>42169</v>
      </c>
      <c r="V2517" t="s">
        <v>71</v>
      </c>
      <c r="W2517" t="str">
        <f>"                  72"</f>
        <v xml:space="preserve">                  72</v>
      </c>
      <c r="X2517">
        <v>832</v>
      </c>
      <c r="Y2517">
        <v>0</v>
      </c>
      <c r="Z2517"/>
      <c r="AB2517"/>
      <c r="AC2517">
        <v>800</v>
      </c>
      <c r="AD2517">
        <v>247</v>
      </c>
      <c r="AE2517" s="1">
        <v>197600</v>
      </c>
      <c r="AF2517">
        <v>0</v>
      </c>
      <c r="AJ2517">
        <v>0</v>
      </c>
      <c r="AK2517">
        <v>0</v>
      </c>
      <c r="AL2517">
        <v>0</v>
      </c>
      <c r="AM2517">
        <v>0</v>
      </c>
      <c r="AN2517">
        <v>0</v>
      </c>
      <c r="AO2517">
        <v>0</v>
      </c>
      <c r="AP2517" s="2">
        <v>42746</v>
      </c>
      <c r="AQ2517" t="s">
        <v>72</v>
      </c>
      <c r="AR2517" t="s">
        <v>72</v>
      </c>
      <c r="AS2517">
        <v>406</v>
      </c>
      <c r="AT2517" s="4">
        <v>42416</v>
      </c>
      <c r="AU2517" t="s">
        <v>73</v>
      </c>
      <c r="AV2517">
        <v>406</v>
      </c>
      <c r="AW2517" s="4">
        <v>42416</v>
      </c>
      <c r="BD2517">
        <v>0</v>
      </c>
      <c r="BN2517" t="s">
        <v>74</v>
      </c>
    </row>
    <row r="2518" spans="1:66" hidden="1">
      <c r="A2518">
        <v>100824</v>
      </c>
      <c r="B2518" s="3" t="s">
        <v>252</v>
      </c>
      <c r="C2518" s="1">
        <v>43300101</v>
      </c>
      <c r="D2518" t="s">
        <v>67</v>
      </c>
      <c r="H2518" t="str">
        <f t="shared" si="255"/>
        <v>05750470634</v>
      </c>
      <c r="I2518" t="str">
        <f t="shared" si="255"/>
        <v>05750470634</v>
      </c>
      <c r="K2518" t="str">
        <f>""</f>
        <v/>
      </c>
      <c r="M2518" t="s">
        <v>68</v>
      </c>
      <c r="N2518" t="str">
        <f t="shared" si="256"/>
        <v>FOR</v>
      </c>
      <c r="O2518" t="s">
        <v>69</v>
      </c>
      <c r="P2518" s="3" t="s">
        <v>70</v>
      </c>
      <c r="Q2518">
        <v>2015</v>
      </c>
      <c r="R2518" s="2">
        <v>42089</v>
      </c>
      <c r="S2518" s="2">
        <v>42109</v>
      </c>
      <c r="T2518" s="2">
        <v>42109</v>
      </c>
      <c r="U2518" s="2">
        <v>42169</v>
      </c>
      <c r="V2518" t="s">
        <v>71</v>
      </c>
      <c r="W2518" t="str">
        <f>"                  75"</f>
        <v xml:space="preserve">                  75</v>
      </c>
      <c r="X2518">
        <v>574.08000000000004</v>
      </c>
      <c r="Y2518">
        <v>0</v>
      </c>
      <c r="Z2518"/>
      <c r="AB2518"/>
      <c r="AC2518">
        <v>552</v>
      </c>
      <c r="AD2518">
        <v>247</v>
      </c>
      <c r="AE2518" s="1">
        <v>136344</v>
      </c>
      <c r="AF2518">
        <v>0</v>
      </c>
      <c r="AJ2518">
        <v>0</v>
      </c>
      <c r="AK2518">
        <v>0</v>
      </c>
      <c r="AL2518">
        <v>0</v>
      </c>
      <c r="AM2518">
        <v>0</v>
      </c>
      <c r="AN2518">
        <v>0</v>
      </c>
      <c r="AO2518">
        <v>0</v>
      </c>
      <c r="AP2518" s="2">
        <v>42746</v>
      </c>
      <c r="AQ2518" t="s">
        <v>72</v>
      </c>
      <c r="AR2518" t="s">
        <v>72</v>
      </c>
      <c r="AS2518">
        <v>406</v>
      </c>
      <c r="AT2518" s="4">
        <v>42416</v>
      </c>
      <c r="AU2518" t="s">
        <v>73</v>
      </c>
      <c r="AV2518">
        <v>406</v>
      </c>
      <c r="AW2518" s="4">
        <v>42416</v>
      </c>
      <c r="BD2518">
        <v>0</v>
      </c>
      <c r="BN2518" t="s">
        <v>74</v>
      </c>
    </row>
    <row r="2519" spans="1:66" hidden="1">
      <c r="A2519">
        <v>100824</v>
      </c>
      <c r="B2519" s="3" t="s">
        <v>252</v>
      </c>
      <c r="C2519" s="1">
        <v>43300101</v>
      </c>
      <c r="D2519" t="s">
        <v>67</v>
      </c>
      <c r="H2519" t="str">
        <f t="shared" si="255"/>
        <v>05750470634</v>
      </c>
      <c r="I2519" t="str">
        <f t="shared" si="255"/>
        <v>05750470634</v>
      </c>
      <c r="K2519" t="str">
        <f>""</f>
        <v/>
      </c>
      <c r="M2519" t="s">
        <v>68</v>
      </c>
      <c r="N2519" t="str">
        <f t="shared" si="256"/>
        <v>FOR</v>
      </c>
      <c r="O2519" t="s">
        <v>69</v>
      </c>
      <c r="P2519" s="3" t="s">
        <v>70</v>
      </c>
      <c r="Q2519">
        <v>2015</v>
      </c>
      <c r="R2519" s="2">
        <v>42089</v>
      </c>
      <c r="S2519" s="2">
        <v>42109</v>
      </c>
      <c r="T2519" s="2">
        <v>42109</v>
      </c>
      <c r="U2519" s="2">
        <v>42169</v>
      </c>
      <c r="V2519" t="s">
        <v>71</v>
      </c>
      <c r="W2519" t="str">
        <f>"                  76"</f>
        <v xml:space="preserve">                  76</v>
      </c>
      <c r="X2519" s="1">
        <v>12474.8</v>
      </c>
      <c r="Y2519">
        <v>0</v>
      </c>
      <c r="Z2519"/>
      <c r="AB2519"/>
      <c r="AC2519" s="1">
        <v>11995</v>
      </c>
      <c r="AD2519">
        <v>247</v>
      </c>
      <c r="AE2519" s="1">
        <v>2962765</v>
      </c>
      <c r="AF2519">
        <v>0</v>
      </c>
      <c r="AJ2519">
        <v>0</v>
      </c>
      <c r="AK2519">
        <v>0</v>
      </c>
      <c r="AL2519">
        <v>0</v>
      </c>
      <c r="AM2519">
        <v>0</v>
      </c>
      <c r="AN2519">
        <v>0</v>
      </c>
      <c r="AO2519">
        <v>0</v>
      </c>
      <c r="AP2519" s="2">
        <v>42746</v>
      </c>
      <c r="AQ2519" t="s">
        <v>72</v>
      </c>
      <c r="AR2519" t="s">
        <v>72</v>
      </c>
      <c r="AS2519">
        <v>406</v>
      </c>
      <c r="AT2519" s="4">
        <v>42416</v>
      </c>
      <c r="AU2519" t="s">
        <v>73</v>
      </c>
      <c r="AV2519">
        <v>406</v>
      </c>
      <c r="AW2519" s="4">
        <v>42416</v>
      </c>
      <c r="BD2519">
        <v>0</v>
      </c>
      <c r="BN2519" t="s">
        <v>74</v>
      </c>
    </row>
    <row r="2520" spans="1:66" hidden="1">
      <c r="A2520">
        <v>100824</v>
      </c>
      <c r="B2520" s="3" t="s">
        <v>252</v>
      </c>
      <c r="C2520" s="1">
        <v>43300101</v>
      </c>
      <c r="D2520" t="s">
        <v>67</v>
      </c>
      <c r="H2520" t="str">
        <f t="shared" si="255"/>
        <v>05750470634</v>
      </c>
      <c r="I2520" t="str">
        <f t="shared" si="255"/>
        <v>05750470634</v>
      </c>
      <c r="K2520" t="str">
        <f>""</f>
        <v/>
      </c>
      <c r="M2520" t="s">
        <v>68</v>
      </c>
      <c r="N2520" t="str">
        <f t="shared" si="256"/>
        <v>FOR</v>
      </c>
      <c r="O2520" t="s">
        <v>69</v>
      </c>
      <c r="P2520" s="3" t="s">
        <v>70</v>
      </c>
      <c r="Q2520">
        <v>2015</v>
      </c>
      <c r="R2520" s="2">
        <v>42089</v>
      </c>
      <c r="S2520" s="2">
        <v>42109</v>
      </c>
      <c r="T2520" s="2">
        <v>42109</v>
      </c>
      <c r="U2520" s="2">
        <v>42169</v>
      </c>
      <c r="V2520" t="s">
        <v>71</v>
      </c>
      <c r="W2520" t="str">
        <f>"                  77"</f>
        <v xml:space="preserve">                  77</v>
      </c>
      <c r="X2520" s="1">
        <v>5299.22</v>
      </c>
      <c r="Y2520">
        <v>0</v>
      </c>
      <c r="Z2520"/>
      <c r="AB2520"/>
      <c r="AC2520" s="1">
        <v>5095.3999999999996</v>
      </c>
      <c r="AD2520">
        <v>318</v>
      </c>
      <c r="AE2520" s="1">
        <v>1620337.2</v>
      </c>
      <c r="AF2520">
        <v>0</v>
      </c>
      <c r="AJ2520">
        <v>0</v>
      </c>
      <c r="AK2520">
        <v>0</v>
      </c>
      <c r="AL2520">
        <v>0</v>
      </c>
      <c r="AM2520">
        <v>0</v>
      </c>
      <c r="AN2520">
        <v>0</v>
      </c>
      <c r="AO2520">
        <v>0</v>
      </c>
      <c r="AP2520" s="2">
        <v>42746</v>
      </c>
      <c r="AQ2520" t="s">
        <v>72</v>
      </c>
      <c r="AR2520" t="s">
        <v>72</v>
      </c>
      <c r="AS2520">
        <v>1179</v>
      </c>
      <c r="AT2520" s="4">
        <v>42487</v>
      </c>
      <c r="AU2520" t="s">
        <v>73</v>
      </c>
      <c r="AV2520">
        <v>1179</v>
      </c>
      <c r="AW2520" s="4">
        <v>42487</v>
      </c>
      <c r="BD2520">
        <v>0</v>
      </c>
      <c r="BN2520" t="s">
        <v>74</v>
      </c>
    </row>
    <row r="2521" spans="1:66" hidden="1">
      <c r="A2521">
        <v>100824</v>
      </c>
      <c r="B2521" s="3" t="s">
        <v>252</v>
      </c>
      <c r="C2521" s="1">
        <v>43300101</v>
      </c>
      <c r="D2521" t="s">
        <v>67</v>
      </c>
      <c r="H2521" t="str">
        <f t="shared" si="255"/>
        <v>05750470634</v>
      </c>
      <c r="I2521" t="str">
        <f t="shared" si="255"/>
        <v>05750470634</v>
      </c>
      <c r="K2521" t="str">
        <f>""</f>
        <v/>
      </c>
      <c r="M2521" t="s">
        <v>68</v>
      </c>
      <c r="N2521" t="str">
        <f t="shared" si="256"/>
        <v>FOR</v>
      </c>
      <c r="O2521" t="s">
        <v>69</v>
      </c>
      <c r="P2521" s="3" t="s">
        <v>70</v>
      </c>
      <c r="Q2521">
        <v>2015</v>
      </c>
      <c r="R2521" s="2">
        <v>42089</v>
      </c>
      <c r="S2521" s="2">
        <v>42109</v>
      </c>
      <c r="T2521" s="2">
        <v>42109</v>
      </c>
      <c r="U2521" s="2">
        <v>42169</v>
      </c>
      <c r="V2521" t="s">
        <v>71</v>
      </c>
      <c r="W2521" t="str">
        <f>"                  78"</f>
        <v xml:space="preserve">                  78</v>
      </c>
      <c r="X2521" s="1">
        <v>4193.28</v>
      </c>
      <c r="Y2521">
        <v>0</v>
      </c>
      <c r="Z2521"/>
      <c r="AB2521"/>
      <c r="AC2521" s="1">
        <v>4032</v>
      </c>
      <c r="AD2521">
        <v>247</v>
      </c>
      <c r="AE2521" s="1">
        <v>995904</v>
      </c>
      <c r="AF2521">
        <v>0</v>
      </c>
      <c r="AJ2521">
        <v>0</v>
      </c>
      <c r="AK2521">
        <v>0</v>
      </c>
      <c r="AL2521">
        <v>0</v>
      </c>
      <c r="AM2521">
        <v>0</v>
      </c>
      <c r="AN2521">
        <v>0</v>
      </c>
      <c r="AO2521">
        <v>0</v>
      </c>
      <c r="AP2521" s="2">
        <v>42746</v>
      </c>
      <c r="AQ2521" t="s">
        <v>72</v>
      </c>
      <c r="AR2521" t="s">
        <v>72</v>
      </c>
      <c r="AS2521">
        <v>406</v>
      </c>
      <c r="AT2521" s="4">
        <v>42416</v>
      </c>
      <c r="AU2521" t="s">
        <v>73</v>
      </c>
      <c r="AV2521">
        <v>406</v>
      </c>
      <c r="AW2521" s="4">
        <v>42416</v>
      </c>
      <c r="BD2521">
        <v>0</v>
      </c>
      <c r="BN2521" t="s">
        <v>74</v>
      </c>
    </row>
    <row r="2522" spans="1:66" hidden="1">
      <c r="A2522">
        <v>100824</v>
      </c>
      <c r="B2522" s="3" t="s">
        <v>252</v>
      </c>
      <c r="C2522" s="1">
        <v>43300101</v>
      </c>
      <c r="D2522" t="s">
        <v>67</v>
      </c>
      <c r="H2522" t="str">
        <f t="shared" si="255"/>
        <v>05750470634</v>
      </c>
      <c r="I2522" t="str">
        <f t="shared" si="255"/>
        <v>05750470634</v>
      </c>
      <c r="K2522" t="str">
        <f>""</f>
        <v/>
      </c>
      <c r="M2522" t="s">
        <v>68</v>
      </c>
      <c r="N2522" t="str">
        <f t="shared" si="256"/>
        <v>FOR</v>
      </c>
      <c r="O2522" t="s">
        <v>69</v>
      </c>
      <c r="P2522" s="3" t="s">
        <v>70</v>
      </c>
      <c r="Q2522">
        <v>2015</v>
      </c>
      <c r="R2522" s="2">
        <v>42093</v>
      </c>
      <c r="S2522" s="2">
        <v>42109</v>
      </c>
      <c r="T2522" s="2">
        <v>42109</v>
      </c>
      <c r="U2522" s="2">
        <v>42169</v>
      </c>
      <c r="V2522" t="s">
        <v>71</v>
      </c>
      <c r="W2522" t="str">
        <f>"                  89"</f>
        <v xml:space="preserve">                  89</v>
      </c>
      <c r="X2522" s="1">
        <v>1822.08</v>
      </c>
      <c r="Y2522">
        <v>0</v>
      </c>
      <c r="Z2522"/>
      <c r="AB2522"/>
      <c r="AC2522" s="1">
        <v>1752</v>
      </c>
      <c r="AD2522">
        <v>247</v>
      </c>
      <c r="AE2522" s="1">
        <v>432744</v>
      </c>
      <c r="AF2522">
        <v>0</v>
      </c>
      <c r="AJ2522">
        <v>0</v>
      </c>
      <c r="AK2522">
        <v>0</v>
      </c>
      <c r="AL2522">
        <v>0</v>
      </c>
      <c r="AM2522">
        <v>0</v>
      </c>
      <c r="AN2522">
        <v>0</v>
      </c>
      <c r="AO2522">
        <v>0</v>
      </c>
      <c r="AP2522" s="2">
        <v>42746</v>
      </c>
      <c r="AQ2522" t="s">
        <v>72</v>
      </c>
      <c r="AR2522" t="s">
        <v>72</v>
      </c>
      <c r="AS2522">
        <v>406</v>
      </c>
      <c r="AT2522" s="4">
        <v>42416</v>
      </c>
      <c r="AU2522" t="s">
        <v>73</v>
      </c>
      <c r="AV2522">
        <v>406</v>
      </c>
      <c r="AW2522" s="4">
        <v>42416</v>
      </c>
      <c r="BD2522">
        <v>0</v>
      </c>
      <c r="BN2522" t="s">
        <v>74</v>
      </c>
    </row>
    <row r="2523" spans="1:66" hidden="1">
      <c r="A2523">
        <v>100824</v>
      </c>
      <c r="B2523" s="3" t="s">
        <v>252</v>
      </c>
      <c r="C2523" s="1">
        <v>43300101</v>
      </c>
      <c r="D2523" t="s">
        <v>67</v>
      </c>
      <c r="H2523" t="str">
        <f t="shared" ref="H2523:I2542" si="257">"05750470634"</f>
        <v>05750470634</v>
      </c>
      <c r="I2523" t="str">
        <f t="shared" si="257"/>
        <v>05750470634</v>
      </c>
      <c r="K2523" t="str">
        <f>""</f>
        <v/>
      </c>
      <c r="M2523" t="s">
        <v>68</v>
      </c>
      <c r="N2523" t="str">
        <f t="shared" si="256"/>
        <v>FOR</v>
      </c>
      <c r="O2523" t="s">
        <v>69</v>
      </c>
      <c r="P2523" s="3" t="s">
        <v>70</v>
      </c>
      <c r="Q2523">
        <v>2015</v>
      </c>
      <c r="R2523" s="2">
        <v>42093</v>
      </c>
      <c r="S2523" s="2">
        <v>42118</v>
      </c>
      <c r="T2523" s="2">
        <v>42118</v>
      </c>
      <c r="U2523" s="2">
        <v>42178</v>
      </c>
      <c r="V2523" t="s">
        <v>71</v>
      </c>
      <c r="W2523" t="str">
        <f>"                  90"</f>
        <v xml:space="preserve">                  90</v>
      </c>
      <c r="X2523" s="1">
        <v>3591.68</v>
      </c>
      <c r="Y2523">
        <v>0</v>
      </c>
      <c r="Z2523"/>
      <c r="AB2523"/>
      <c r="AC2523" s="1">
        <v>2944</v>
      </c>
      <c r="AD2523">
        <v>223</v>
      </c>
      <c r="AE2523" s="1">
        <v>656512</v>
      </c>
      <c r="AF2523">
        <v>0</v>
      </c>
      <c r="AJ2523">
        <v>0</v>
      </c>
      <c r="AK2523">
        <v>0</v>
      </c>
      <c r="AL2523">
        <v>0</v>
      </c>
      <c r="AM2523">
        <v>0</v>
      </c>
      <c r="AN2523">
        <v>0</v>
      </c>
      <c r="AO2523">
        <v>0</v>
      </c>
      <c r="AP2523" s="2">
        <v>42746</v>
      </c>
      <c r="AQ2523" t="s">
        <v>72</v>
      </c>
      <c r="AR2523" t="s">
        <v>72</v>
      </c>
      <c r="AS2523">
        <v>178</v>
      </c>
      <c r="AT2523" s="4">
        <v>42401</v>
      </c>
      <c r="AU2523" t="s">
        <v>73</v>
      </c>
      <c r="AV2523">
        <v>178</v>
      </c>
      <c r="AW2523" s="4">
        <v>42401</v>
      </c>
      <c r="BD2523">
        <v>0</v>
      </c>
      <c r="BN2523" t="s">
        <v>74</v>
      </c>
    </row>
    <row r="2524" spans="1:66" hidden="1">
      <c r="A2524">
        <v>100824</v>
      </c>
      <c r="B2524" s="3" t="s">
        <v>252</v>
      </c>
      <c r="C2524" s="1">
        <v>43300101</v>
      </c>
      <c r="D2524" t="s">
        <v>67</v>
      </c>
      <c r="H2524" t="str">
        <f t="shared" si="257"/>
        <v>05750470634</v>
      </c>
      <c r="I2524" t="str">
        <f t="shared" si="257"/>
        <v>05750470634</v>
      </c>
      <c r="K2524" t="str">
        <f>""</f>
        <v/>
      </c>
      <c r="M2524" t="s">
        <v>68</v>
      </c>
      <c r="N2524" t="str">
        <f t="shared" si="256"/>
        <v>FOR</v>
      </c>
      <c r="O2524" t="s">
        <v>69</v>
      </c>
      <c r="P2524" s="3" t="s">
        <v>70</v>
      </c>
      <c r="Q2524">
        <v>2015</v>
      </c>
      <c r="R2524" s="2">
        <v>42093</v>
      </c>
      <c r="S2524" s="2">
        <v>42118</v>
      </c>
      <c r="T2524" s="2">
        <v>42118</v>
      </c>
      <c r="U2524" s="2">
        <v>42178</v>
      </c>
      <c r="V2524" t="s">
        <v>71</v>
      </c>
      <c r="W2524" t="str">
        <f>"                  91"</f>
        <v xml:space="preserve">                  91</v>
      </c>
      <c r="X2524" s="1">
        <v>5727.9</v>
      </c>
      <c r="Y2524">
        <v>0</v>
      </c>
      <c r="Z2524"/>
      <c r="AB2524"/>
      <c r="AC2524" s="1">
        <v>4695</v>
      </c>
      <c r="AD2524">
        <v>223</v>
      </c>
      <c r="AE2524" s="1">
        <v>1046985</v>
      </c>
      <c r="AF2524">
        <v>0</v>
      </c>
      <c r="AJ2524">
        <v>0</v>
      </c>
      <c r="AK2524">
        <v>0</v>
      </c>
      <c r="AL2524">
        <v>0</v>
      </c>
      <c r="AM2524">
        <v>0</v>
      </c>
      <c r="AN2524">
        <v>0</v>
      </c>
      <c r="AO2524">
        <v>0</v>
      </c>
      <c r="AP2524" s="2">
        <v>42746</v>
      </c>
      <c r="AQ2524" t="s">
        <v>72</v>
      </c>
      <c r="AR2524" t="s">
        <v>72</v>
      </c>
      <c r="AS2524">
        <v>178</v>
      </c>
      <c r="AT2524" s="4">
        <v>42401</v>
      </c>
      <c r="AU2524" t="s">
        <v>73</v>
      </c>
      <c r="AV2524">
        <v>178</v>
      </c>
      <c r="AW2524" s="4">
        <v>42401</v>
      </c>
      <c r="BD2524">
        <v>0</v>
      </c>
      <c r="BN2524" t="s">
        <v>74</v>
      </c>
    </row>
    <row r="2525" spans="1:66" hidden="1">
      <c r="A2525">
        <v>100824</v>
      </c>
      <c r="B2525" s="3" t="s">
        <v>252</v>
      </c>
      <c r="C2525" s="1">
        <v>43300101</v>
      </c>
      <c r="D2525" t="s">
        <v>67</v>
      </c>
      <c r="H2525" t="str">
        <f t="shared" si="257"/>
        <v>05750470634</v>
      </c>
      <c r="I2525" t="str">
        <f t="shared" si="257"/>
        <v>05750470634</v>
      </c>
      <c r="K2525" t="str">
        <f>""</f>
        <v/>
      </c>
      <c r="M2525" t="s">
        <v>68</v>
      </c>
      <c r="N2525" t="str">
        <f t="shared" si="256"/>
        <v>FOR</v>
      </c>
      <c r="O2525" t="s">
        <v>69</v>
      </c>
      <c r="P2525" s="3" t="s">
        <v>70</v>
      </c>
      <c r="Q2525">
        <v>2015</v>
      </c>
      <c r="R2525" s="2">
        <v>42093</v>
      </c>
      <c r="S2525" s="2">
        <v>42264</v>
      </c>
      <c r="T2525" s="2">
        <v>42264</v>
      </c>
      <c r="U2525" s="2">
        <v>42324</v>
      </c>
      <c r="V2525" t="s">
        <v>71</v>
      </c>
      <c r="W2525" t="str">
        <f>"                  92"</f>
        <v xml:space="preserve">                  92</v>
      </c>
      <c r="X2525" s="1">
        <v>3083</v>
      </c>
      <c r="Y2525">
        <v>0</v>
      </c>
      <c r="Z2525"/>
      <c r="AB2525"/>
      <c r="AC2525" s="1">
        <v>2527.0500000000002</v>
      </c>
      <c r="AD2525">
        <v>77</v>
      </c>
      <c r="AE2525" s="1">
        <v>194582.85</v>
      </c>
      <c r="AF2525">
        <v>0</v>
      </c>
      <c r="AJ2525">
        <v>0</v>
      </c>
      <c r="AK2525">
        <v>0</v>
      </c>
      <c r="AL2525">
        <v>0</v>
      </c>
      <c r="AM2525">
        <v>0</v>
      </c>
      <c r="AN2525">
        <v>0</v>
      </c>
      <c r="AO2525">
        <v>0</v>
      </c>
      <c r="AP2525" s="2">
        <v>42746</v>
      </c>
      <c r="AQ2525" t="s">
        <v>72</v>
      </c>
      <c r="AR2525" t="s">
        <v>72</v>
      </c>
      <c r="AS2525">
        <v>178</v>
      </c>
      <c r="AT2525" s="4">
        <v>42401</v>
      </c>
      <c r="AU2525" t="s">
        <v>73</v>
      </c>
      <c r="AV2525">
        <v>178</v>
      </c>
      <c r="AW2525" s="4">
        <v>42401</v>
      </c>
      <c r="BD2525">
        <v>0</v>
      </c>
      <c r="BN2525" t="s">
        <v>74</v>
      </c>
    </row>
    <row r="2526" spans="1:66" hidden="1">
      <c r="A2526">
        <v>100824</v>
      </c>
      <c r="B2526" s="3" t="s">
        <v>252</v>
      </c>
      <c r="C2526" s="1">
        <v>43300101</v>
      </c>
      <c r="D2526" t="s">
        <v>67</v>
      </c>
      <c r="H2526" t="str">
        <f t="shared" si="257"/>
        <v>05750470634</v>
      </c>
      <c r="I2526" t="str">
        <f t="shared" si="257"/>
        <v>05750470634</v>
      </c>
      <c r="K2526" t="str">
        <f>""</f>
        <v/>
      </c>
      <c r="M2526" t="s">
        <v>68</v>
      </c>
      <c r="N2526" t="str">
        <f t="shared" si="256"/>
        <v>FOR</v>
      </c>
      <c r="O2526" t="s">
        <v>69</v>
      </c>
      <c r="P2526" s="3" t="s">
        <v>75</v>
      </c>
      <c r="Q2526">
        <v>2015</v>
      </c>
      <c r="R2526" s="2">
        <v>42115</v>
      </c>
      <c r="S2526" s="2">
        <v>42283</v>
      </c>
      <c r="T2526" s="2">
        <v>42279</v>
      </c>
      <c r="U2526" s="2">
        <v>42339</v>
      </c>
      <c r="V2526" t="s">
        <v>71</v>
      </c>
      <c r="W2526" t="str">
        <f>"                3/97"</f>
        <v xml:space="preserve">                3/97</v>
      </c>
      <c r="X2526">
        <v>635.23</v>
      </c>
      <c r="Y2526">
        <v>0</v>
      </c>
      <c r="Z2526"/>
      <c r="AB2526"/>
      <c r="AC2526">
        <v>610.79999999999995</v>
      </c>
      <c r="AD2526">
        <v>113</v>
      </c>
      <c r="AE2526" s="1">
        <v>69020.399999999994</v>
      </c>
      <c r="AF2526">
        <v>0</v>
      </c>
      <c r="AJ2526">
        <v>0</v>
      </c>
      <c r="AK2526">
        <v>0</v>
      </c>
      <c r="AL2526">
        <v>0</v>
      </c>
      <c r="AM2526">
        <v>0</v>
      </c>
      <c r="AN2526">
        <v>0</v>
      </c>
      <c r="AO2526">
        <v>0</v>
      </c>
      <c r="AP2526" s="2">
        <v>42746</v>
      </c>
      <c r="AQ2526" t="s">
        <v>72</v>
      </c>
      <c r="AR2526" t="s">
        <v>72</v>
      </c>
      <c r="AS2526">
        <v>797</v>
      </c>
      <c r="AT2526" s="4">
        <v>42452</v>
      </c>
      <c r="AU2526" t="s">
        <v>73</v>
      </c>
      <c r="AV2526">
        <v>797</v>
      </c>
      <c r="AW2526" s="4">
        <v>42452</v>
      </c>
      <c r="BD2526">
        <v>0</v>
      </c>
      <c r="BN2526" t="s">
        <v>74</v>
      </c>
    </row>
    <row r="2527" spans="1:66" hidden="1">
      <c r="A2527">
        <v>100824</v>
      </c>
      <c r="B2527" s="3" t="s">
        <v>252</v>
      </c>
      <c r="C2527" s="1">
        <v>43300101</v>
      </c>
      <c r="D2527" t="s">
        <v>67</v>
      </c>
      <c r="H2527" t="str">
        <f t="shared" si="257"/>
        <v>05750470634</v>
      </c>
      <c r="I2527" t="str">
        <f t="shared" si="257"/>
        <v>05750470634</v>
      </c>
      <c r="K2527" t="str">
        <f>""</f>
        <v/>
      </c>
      <c r="M2527" t="s">
        <v>68</v>
      </c>
      <c r="N2527" t="str">
        <f t="shared" si="256"/>
        <v>FOR</v>
      </c>
      <c r="O2527" t="s">
        <v>69</v>
      </c>
      <c r="P2527" s="3" t="s">
        <v>75</v>
      </c>
      <c r="Q2527">
        <v>2015</v>
      </c>
      <c r="R2527" s="2">
        <v>42115</v>
      </c>
      <c r="S2527" s="2">
        <v>42282</v>
      </c>
      <c r="T2527" s="2">
        <v>42279</v>
      </c>
      <c r="U2527" s="2">
        <v>42339</v>
      </c>
      <c r="V2527" t="s">
        <v>71</v>
      </c>
      <c r="W2527" t="str">
        <f>"                3/98"</f>
        <v xml:space="preserve">                3/98</v>
      </c>
      <c r="X2527">
        <v>318.86</v>
      </c>
      <c r="Y2527">
        <v>0</v>
      </c>
      <c r="Z2527"/>
      <c r="AB2527"/>
      <c r="AC2527">
        <v>306.60000000000002</v>
      </c>
      <c r="AD2527">
        <v>148</v>
      </c>
      <c r="AE2527" s="1">
        <v>45376.800000000003</v>
      </c>
      <c r="AF2527">
        <v>0</v>
      </c>
      <c r="AJ2527">
        <v>0</v>
      </c>
      <c r="AK2527">
        <v>0</v>
      </c>
      <c r="AL2527">
        <v>0</v>
      </c>
      <c r="AM2527">
        <v>0</v>
      </c>
      <c r="AN2527">
        <v>0</v>
      </c>
      <c r="AO2527">
        <v>0</v>
      </c>
      <c r="AP2527" s="2">
        <v>42746</v>
      </c>
      <c r="AQ2527" t="s">
        <v>72</v>
      </c>
      <c r="AR2527" t="s">
        <v>72</v>
      </c>
      <c r="AS2527">
        <v>1179</v>
      </c>
      <c r="AT2527" s="4">
        <v>42487</v>
      </c>
      <c r="AU2527" t="s">
        <v>73</v>
      </c>
      <c r="AV2527">
        <v>1179</v>
      </c>
      <c r="AW2527" s="4">
        <v>42487</v>
      </c>
      <c r="BD2527">
        <v>0</v>
      </c>
      <c r="BN2527" t="s">
        <v>74</v>
      </c>
    </row>
    <row r="2528" spans="1:66" hidden="1">
      <c r="A2528">
        <v>100824</v>
      </c>
      <c r="B2528" s="3" t="s">
        <v>252</v>
      </c>
      <c r="C2528" s="1">
        <v>43300101</v>
      </c>
      <c r="D2528" t="s">
        <v>67</v>
      </c>
      <c r="H2528" t="str">
        <f t="shared" si="257"/>
        <v>05750470634</v>
      </c>
      <c r="I2528" t="str">
        <f t="shared" si="257"/>
        <v>05750470634</v>
      </c>
      <c r="K2528" t="str">
        <f>""</f>
        <v/>
      </c>
      <c r="M2528" t="s">
        <v>68</v>
      </c>
      <c r="N2528" t="str">
        <f t="shared" si="256"/>
        <v>FOR</v>
      </c>
      <c r="O2528" t="s">
        <v>69</v>
      </c>
      <c r="P2528" s="3" t="s">
        <v>75</v>
      </c>
      <c r="Q2528">
        <v>2015</v>
      </c>
      <c r="R2528" s="2">
        <v>42118</v>
      </c>
      <c r="S2528" s="2">
        <v>42283</v>
      </c>
      <c r="T2528" s="2">
        <v>42279</v>
      </c>
      <c r="U2528" s="2">
        <v>42339</v>
      </c>
      <c r="V2528" t="s">
        <v>71</v>
      </c>
      <c r="W2528" t="str">
        <f>"               3/155"</f>
        <v xml:space="preserve">               3/155</v>
      </c>
      <c r="X2528">
        <v>663.52</v>
      </c>
      <c r="Y2528">
        <v>0</v>
      </c>
      <c r="Z2528"/>
      <c r="AB2528"/>
      <c r="AC2528">
        <v>638</v>
      </c>
      <c r="AD2528">
        <v>113</v>
      </c>
      <c r="AE2528" s="1">
        <v>72094</v>
      </c>
      <c r="AF2528">
        <v>0</v>
      </c>
      <c r="AJ2528">
        <v>0</v>
      </c>
      <c r="AK2528">
        <v>0</v>
      </c>
      <c r="AL2528">
        <v>0</v>
      </c>
      <c r="AM2528">
        <v>0</v>
      </c>
      <c r="AN2528">
        <v>0</v>
      </c>
      <c r="AO2528">
        <v>0</v>
      </c>
      <c r="AP2528" s="2">
        <v>42746</v>
      </c>
      <c r="AQ2528" t="s">
        <v>72</v>
      </c>
      <c r="AR2528" t="s">
        <v>72</v>
      </c>
      <c r="AS2528">
        <v>797</v>
      </c>
      <c r="AT2528" s="4">
        <v>42452</v>
      </c>
      <c r="AU2528" t="s">
        <v>73</v>
      </c>
      <c r="AV2528">
        <v>797</v>
      </c>
      <c r="AW2528" s="4">
        <v>42452</v>
      </c>
      <c r="BD2528">
        <v>0</v>
      </c>
      <c r="BN2528" t="s">
        <v>74</v>
      </c>
    </row>
    <row r="2529" spans="1:66" hidden="1">
      <c r="A2529">
        <v>100824</v>
      </c>
      <c r="B2529" s="3" t="s">
        <v>252</v>
      </c>
      <c r="C2529" s="1">
        <v>43300101</v>
      </c>
      <c r="D2529" t="s">
        <v>67</v>
      </c>
      <c r="H2529" t="str">
        <f t="shared" si="257"/>
        <v>05750470634</v>
      </c>
      <c r="I2529" t="str">
        <f t="shared" si="257"/>
        <v>05750470634</v>
      </c>
      <c r="K2529" t="str">
        <f>""</f>
        <v/>
      </c>
      <c r="M2529" t="s">
        <v>68</v>
      </c>
      <c r="N2529" t="str">
        <f t="shared" si="256"/>
        <v>FOR</v>
      </c>
      <c r="O2529" t="s">
        <v>69</v>
      </c>
      <c r="P2529" s="3" t="s">
        <v>75</v>
      </c>
      <c r="Q2529">
        <v>2015</v>
      </c>
      <c r="R2529" s="2">
        <v>42118</v>
      </c>
      <c r="S2529" s="2">
        <v>42165</v>
      </c>
      <c r="T2529" s="2">
        <v>42138</v>
      </c>
      <c r="U2529" s="2">
        <v>42198</v>
      </c>
      <c r="V2529" t="s">
        <v>71</v>
      </c>
      <c r="W2529" t="str">
        <f>"               3/156"</f>
        <v xml:space="preserve">               3/156</v>
      </c>
      <c r="X2529">
        <v>835.12</v>
      </c>
      <c r="Y2529">
        <v>0</v>
      </c>
      <c r="Z2529"/>
      <c r="AB2529"/>
      <c r="AC2529">
        <v>803</v>
      </c>
      <c r="AD2529">
        <v>289</v>
      </c>
      <c r="AE2529" s="1">
        <v>232067</v>
      </c>
      <c r="AF2529">
        <v>0</v>
      </c>
      <c r="AJ2529">
        <v>0</v>
      </c>
      <c r="AK2529">
        <v>0</v>
      </c>
      <c r="AL2529">
        <v>0</v>
      </c>
      <c r="AM2529">
        <v>0</v>
      </c>
      <c r="AN2529">
        <v>0</v>
      </c>
      <c r="AO2529">
        <v>0</v>
      </c>
      <c r="AP2529" s="2">
        <v>42746</v>
      </c>
      <c r="AQ2529" t="s">
        <v>72</v>
      </c>
      <c r="AR2529" t="s">
        <v>72</v>
      </c>
      <c r="AS2529">
        <v>1179</v>
      </c>
      <c r="AT2529" s="4">
        <v>42487</v>
      </c>
      <c r="AU2529" t="s">
        <v>73</v>
      </c>
      <c r="AV2529">
        <v>1179</v>
      </c>
      <c r="AW2529" s="4">
        <v>42487</v>
      </c>
      <c r="BD2529">
        <v>0</v>
      </c>
      <c r="BN2529" t="s">
        <v>74</v>
      </c>
    </row>
    <row r="2530" spans="1:66" hidden="1">
      <c r="A2530">
        <v>100824</v>
      </c>
      <c r="B2530" s="3" t="s">
        <v>252</v>
      </c>
      <c r="C2530" s="1">
        <v>43300101</v>
      </c>
      <c r="D2530" t="s">
        <v>67</v>
      </c>
      <c r="H2530" t="str">
        <f t="shared" si="257"/>
        <v>05750470634</v>
      </c>
      <c r="I2530" t="str">
        <f t="shared" si="257"/>
        <v>05750470634</v>
      </c>
      <c r="K2530" t="str">
        <f>""</f>
        <v/>
      </c>
      <c r="M2530" t="s">
        <v>68</v>
      </c>
      <c r="N2530" t="str">
        <f t="shared" si="256"/>
        <v>FOR</v>
      </c>
      <c r="O2530" t="s">
        <v>69</v>
      </c>
      <c r="P2530" s="3" t="s">
        <v>75</v>
      </c>
      <c r="Q2530">
        <v>2015</v>
      </c>
      <c r="R2530" s="2">
        <v>42118</v>
      </c>
      <c r="S2530" s="2">
        <v>42158</v>
      </c>
      <c r="T2530" s="2">
        <v>42138</v>
      </c>
      <c r="U2530" s="2">
        <v>42198</v>
      </c>
      <c r="V2530" t="s">
        <v>71</v>
      </c>
      <c r="W2530" t="str">
        <f>"               3/164"</f>
        <v xml:space="preserve">               3/164</v>
      </c>
      <c r="X2530" s="1">
        <v>6489.6</v>
      </c>
      <c r="Y2530">
        <v>0</v>
      </c>
      <c r="Z2530"/>
      <c r="AB2530"/>
      <c r="AC2530" s="1">
        <v>6240</v>
      </c>
      <c r="AD2530">
        <v>254</v>
      </c>
      <c r="AE2530" s="1">
        <v>1584960</v>
      </c>
      <c r="AF2530">
        <v>0</v>
      </c>
      <c r="AJ2530">
        <v>0</v>
      </c>
      <c r="AK2530">
        <v>0</v>
      </c>
      <c r="AL2530">
        <v>0</v>
      </c>
      <c r="AM2530">
        <v>0</v>
      </c>
      <c r="AN2530">
        <v>0</v>
      </c>
      <c r="AO2530">
        <v>0</v>
      </c>
      <c r="AP2530" s="2">
        <v>42746</v>
      </c>
      <c r="AQ2530" t="s">
        <v>72</v>
      </c>
      <c r="AR2530" t="s">
        <v>72</v>
      </c>
      <c r="AS2530">
        <v>797</v>
      </c>
      <c r="AT2530" s="4">
        <v>42452</v>
      </c>
      <c r="AU2530" t="s">
        <v>73</v>
      </c>
      <c r="AV2530">
        <v>797</v>
      </c>
      <c r="AW2530" s="4">
        <v>42452</v>
      </c>
      <c r="BD2530">
        <v>0</v>
      </c>
      <c r="BN2530" t="s">
        <v>74</v>
      </c>
    </row>
    <row r="2531" spans="1:66" hidden="1">
      <c r="A2531">
        <v>100824</v>
      </c>
      <c r="B2531" s="3" t="s">
        <v>252</v>
      </c>
      <c r="C2531" s="1">
        <v>43300101</v>
      </c>
      <c r="D2531" t="s">
        <v>67</v>
      </c>
      <c r="H2531" t="str">
        <f t="shared" si="257"/>
        <v>05750470634</v>
      </c>
      <c r="I2531" t="str">
        <f t="shared" si="257"/>
        <v>05750470634</v>
      </c>
      <c r="K2531" t="str">
        <f>""</f>
        <v/>
      </c>
      <c r="M2531" t="s">
        <v>68</v>
      </c>
      <c r="N2531" t="str">
        <f t="shared" si="256"/>
        <v>FOR</v>
      </c>
      <c r="O2531" t="s">
        <v>69</v>
      </c>
      <c r="P2531" s="3" t="s">
        <v>75</v>
      </c>
      <c r="Q2531">
        <v>2015</v>
      </c>
      <c r="R2531" s="2">
        <v>42118</v>
      </c>
      <c r="S2531" s="2">
        <v>42158</v>
      </c>
      <c r="T2531" s="2">
        <v>42138</v>
      </c>
      <c r="U2531" s="2">
        <v>42198</v>
      </c>
      <c r="V2531" t="s">
        <v>71</v>
      </c>
      <c r="W2531" t="str">
        <f>"               3/165"</f>
        <v xml:space="preserve">               3/165</v>
      </c>
      <c r="X2531" s="1">
        <v>11397.15</v>
      </c>
      <c r="Y2531">
        <v>0</v>
      </c>
      <c r="Z2531"/>
      <c r="AB2531"/>
      <c r="AC2531" s="1">
        <v>10958.8</v>
      </c>
      <c r="AD2531">
        <v>254</v>
      </c>
      <c r="AE2531" s="1">
        <v>2783535.2</v>
      </c>
      <c r="AF2531">
        <v>0</v>
      </c>
      <c r="AJ2531">
        <v>0</v>
      </c>
      <c r="AK2531">
        <v>0</v>
      </c>
      <c r="AL2531">
        <v>0</v>
      </c>
      <c r="AM2531">
        <v>0</v>
      </c>
      <c r="AN2531">
        <v>0</v>
      </c>
      <c r="AO2531">
        <v>0</v>
      </c>
      <c r="AP2531" s="2">
        <v>42746</v>
      </c>
      <c r="AQ2531" t="s">
        <v>72</v>
      </c>
      <c r="AR2531" t="s">
        <v>72</v>
      </c>
      <c r="AS2531">
        <v>797</v>
      </c>
      <c r="AT2531" s="4">
        <v>42452</v>
      </c>
      <c r="AU2531" t="s">
        <v>73</v>
      </c>
      <c r="AV2531">
        <v>797</v>
      </c>
      <c r="AW2531" s="4">
        <v>42452</v>
      </c>
      <c r="BD2531">
        <v>0</v>
      </c>
      <c r="BN2531" t="s">
        <v>74</v>
      </c>
    </row>
    <row r="2532" spans="1:66">
      <c r="A2532">
        <v>100824</v>
      </c>
      <c r="B2532" s="3" t="s">
        <v>252</v>
      </c>
      <c r="C2532" s="1">
        <v>43300101</v>
      </c>
      <c r="D2532" t="s">
        <v>67</v>
      </c>
      <c r="H2532" t="str">
        <f t="shared" si="257"/>
        <v>05750470634</v>
      </c>
      <c r="I2532" t="str">
        <f t="shared" si="257"/>
        <v>05750470634</v>
      </c>
      <c r="K2532" t="str">
        <f>""</f>
        <v/>
      </c>
      <c r="M2532" t="s">
        <v>68</v>
      </c>
      <c r="N2532" t="str">
        <f t="shared" si="256"/>
        <v>FOR</v>
      </c>
      <c r="O2532" t="s">
        <v>69</v>
      </c>
      <c r="P2532" s="3" t="s">
        <v>75</v>
      </c>
      <c r="Q2532">
        <v>2015</v>
      </c>
      <c r="R2532" s="2">
        <v>42118</v>
      </c>
      <c r="S2532" s="2">
        <v>42177</v>
      </c>
      <c r="T2532" s="2">
        <v>42139</v>
      </c>
      <c r="U2532" s="2">
        <v>42199</v>
      </c>
      <c r="V2532" t="s">
        <v>71</v>
      </c>
      <c r="W2532" t="str">
        <f>"               3/166"</f>
        <v xml:space="preserve">               3/166</v>
      </c>
      <c r="X2532" s="1">
        <v>4722.22</v>
      </c>
      <c r="Y2532">
        <v>0</v>
      </c>
      <c r="Z2532" s="5">
        <v>4540.6000000000004</v>
      </c>
      <c r="AA2532">
        <v>483</v>
      </c>
      <c r="AB2532" s="5">
        <v>2193109.7999999998</v>
      </c>
      <c r="AC2532" s="1">
        <v>4540.6000000000004</v>
      </c>
      <c r="AD2532">
        <v>483</v>
      </c>
      <c r="AE2532" s="1">
        <v>2193109.7999999998</v>
      </c>
      <c r="AF2532">
        <v>0</v>
      </c>
      <c r="AJ2532">
        <v>0</v>
      </c>
      <c r="AK2532">
        <v>0</v>
      </c>
      <c r="AL2532">
        <v>0</v>
      </c>
      <c r="AM2532">
        <v>0</v>
      </c>
      <c r="AN2532">
        <v>0</v>
      </c>
      <c r="AO2532">
        <v>0</v>
      </c>
      <c r="AP2532" s="2">
        <v>42746</v>
      </c>
      <c r="AQ2532" t="s">
        <v>72</v>
      </c>
      <c r="AR2532" t="s">
        <v>72</v>
      </c>
      <c r="AS2532">
        <v>2962</v>
      </c>
      <c r="AT2532" s="4">
        <v>42682</v>
      </c>
      <c r="AU2532" t="s">
        <v>73</v>
      </c>
      <c r="AV2532">
        <v>2962</v>
      </c>
      <c r="AW2532" s="4">
        <v>42682</v>
      </c>
      <c r="BD2532">
        <v>0</v>
      </c>
      <c r="BN2532" t="s">
        <v>74</v>
      </c>
    </row>
    <row r="2533" spans="1:66" hidden="1">
      <c r="A2533">
        <v>100824</v>
      </c>
      <c r="B2533" s="3" t="s">
        <v>252</v>
      </c>
      <c r="C2533" s="1">
        <v>43300101</v>
      </c>
      <c r="D2533" t="s">
        <v>67</v>
      </c>
      <c r="H2533" t="str">
        <f t="shared" si="257"/>
        <v>05750470634</v>
      </c>
      <c r="I2533" t="str">
        <f t="shared" si="257"/>
        <v>05750470634</v>
      </c>
      <c r="K2533" t="str">
        <f>""</f>
        <v/>
      </c>
      <c r="M2533" t="s">
        <v>68</v>
      </c>
      <c r="N2533" t="str">
        <f t="shared" si="256"/>
        <v>FOR</v>
      </c>
      <c r="O2533" t="s">
        <v>69</v>
      </c>
      <c r="P2533" s="3" t="s">
        <v>75</v>
      </c>
      <c r="Q2533">
        <v>2015</v>
      </c>
      <c r="R2533" s="2">
        <v>42124</v>
      </c>
      <c r="S2533" s="2">
        <v>42158</v>
      </c>
      <c r="T2533" s="2">
        <v>42138</v>
      </c>
      <c r="U2533" s="2">
        <v>42198</v>
      </c>
      <c r="V2533" t="s">
        <v>71</v>
      </c>
      <c r="W2533" t="str">
        <f>"               3/201"</f>
        <v xml:space="preserve">               3/201</v>
      </c>
      <c r="X2533" s="1">
        <v>3689.3</v>
      </c>
      <c r="Y2533">
        <v>0</v>
      </c>
      <c r="Z2533"/>
      <c r="AB2533"/>
      <c r="AC2533" s="1">
        <v>3547.4</v>
      </c>
      <c r="AD2533">
        <v>254</v>
      </c>
      <c r="AE2533" s="1">
        <v>901039.6</v>
      </c>
      <c r="AF2533">
        <v>0</v>
      </c>
      <c r="AJ2533">
        <v>0</v>
      </c>
      <c r="AK2533">
        <v>0</v>
      </c>
      <c r="AL2533">
        <v>0</v>
      </c>
      <c r="AM2533">
        <v>0</v>
      </c>
      <c r="AN2533">
        <v>0</v>
      </c>
      <c r="AO2533">
        <v>0</v>
      </c>
      <c r="AP2533" s="2">
        <v>42746</v>
      </c>
      <c r="AQ2533" t="s">
        <v>72</v>
      </c>
      <c r="AR2533" t="s">
        <v>72</v>
      </c>
      <c r="AS2533">
        <v>797</v>
      </c>
      <c r="AT2533" s="4">
        <v>42452</v>
      </c>
      <c r="AU2533" t="s">
        <v>73</v>
      </c>
      <c r="AV2533">
        <v>797</v>
      </c>
      <c r="AW2533" s="4">
        <v>42452</v>
      </c>
      <c r="BD2533">
        <v>0</v>
      </c>
      <c r="BN2533" t="s">
        <v>74</v>
      </c>
    </row>
    <row r="2534" spans="1:66" hidden="1">
      <c r="A2534">
        <v>100824</v>
      </c>
      <c r="B2534" s="3" t="s">
        <v>252</v>
      </c>
      <c r="C2534" s="1">
        <v>43300101</v>
      </c>
      <c r="D2534" t="s">
        <v>67</v>
      </c>
      <c r="H2534" t="str">
        <f t="shared" si="257"/>
        <v>05750470634</v>
      </c>
      <c r="I2534" t="str">
        <f t="shared" si="257"/>
        <v>05750470634</v>
      </c>
      <c r="K2534" t="str">
        <f>""</f>
        <v/>
      </c>
      <c r="M2534" t="s">
        <v>68</v>
      </c>
      <c r="N2534" t="str">
        <f t="shared" si="256"/>
        <v>FOR</v>
      </c>
      <c r="O2534" t="s">
        <v>69</v>
      </c>
      <c r="P2534" s="3" t="s">
        <v>75</v>
      </c>
      <c r="Q2534">
        <v>2015</v>
      </c>
      <c r="R2534" s="2">
        <v>42124</v>
      </c>
      <c r="S2534" s="2">
        <v>42165</v>
      </c>
      <c r="T2534" s="2">
        <v>42138</v>
      </c>
      <c r="U2534" s="2">
        <v>42198</v>
      </c>
      <c r="V2534" t="s">
        <v>71</v>
      </c>
      <c r="W2534" t="str">
        <f>"               3/202"</f>
        <v xml:space="preserve">               3/202</v>
      </c>
      <c r="X2534" s="1">
        <v>1518.4</v>
      </c>
      <c r="Y2534">
        <v>0</v>
      </c>
      <c r="Z2534"/>
      <c r="AB2534"/>
      <c r="AC2534" s="1">
        <v>1460</v>
      </c>
      <c r="AD2534">
        <v>289</v>
      </c>
      <c r="AE2534" s="1">
        <v>421940</v>
      </c>
      <c r="AF2534">
        <v>0</v>
      </c>
      <c r="AJ2534">
        <v>0</v>
      </c>
      <c r="AK2534">
        <v>0</v>
      </c>
      <c r="AL2534">
        <v>0</v>
      </c>
      <c r="AM2534">
        <v>0</v>
      </c>
      <c r="AN2534">
        <v>0</v>
      </c>
      <c r="AO2534">
        <v>0</v>
      </c>
      <c r="AP2534" s="2">
        <v>42746</v>
      </c>
      <c r="AQ2534" t="s">
        <v>72</v>
      </c>
      <c r="AR2534" t="s">
        <v>72</v>
      </c>
      <c r="AS2534">
        <v>1179</v>
      </c>
      <c r="AT2534" s="4">
        <v>42487</v>
      </c>
      <c r="AU2534" t="s">
        <v>73</v>
      </c>
      <c r="AV2534">
        <v>1179</v>
      </c>
      <c r="AW2534" s="4">
        <v>42487</v>
      </c>
      <c r="BD2534">
        <v>0</v>
      </c>
      <c r="BN2534" t="s">
        <v>74</v>
      </c>
    </row>
    <row r="2535" spans="1:66" hidden="1">
      <c r="A2535">
        <v>100824</v>
      </c>
      <c r="B2535" s="3" t="s">
        <v>252</v>
      </c>
      <c r="C2535" s="1">
        <v>43300101</v>
      </c>
      <c r="D2535" t="s">
        <v>67</v>
      </c>
      <c r="H2535" t="str">
        <f t="shared" si="257"/>
        <v>05750470634</v>
      </c>
      <c r="I2535" t="str">
        <f t="shared" si="257"/>
        <v>05750470634</v>
      </c>
      <c r="K2535" t="str">
        <f>""</f>
        <v/>
      </c>
      <c r="M2535" t="s">
        <v>68</v>
      </c>
      <c r="N2535" t="str">
        <f t="shared" si="256"/>
        <v>FOR</v>
      </c>
      <c r="O2535" t="s">
        <v>69</v>
      </c>
      <c r="P2535" s="3" t="s">
        <v>75</v>
      </c>
      <c r="Q2535">
        <v>2015</v>
      </c>
      <c r="R2535" s="2">
        <v>42124</v>
      </c>
      <c r="S2535" s="2">
        <v>42158</v>
      </c>
      <c r="T2535" s="2">
        <v>42138</v>
      </c>
      <c r="U2535" s="2">
        <v>42198</v>
      </c>
      <c r="V2535" t="s">
        <v>71</v>
      </c>
      <c r="W2535" t="str">
        <f>"               3/203"</f>
        <v xml:space="preserve">               3/203</v>
      </c>
      <c r="X2535" s="1">
        <v>2795.52</v>
      </c>
      <c r="Y2535">
        <v>0</v>
      </c>
      <c r="Z2535"/>
      <c r="AB2535"/>
      <c r="AC2535" s="1">
        <v>2688</v>
      </c>
      <c r="AD2535">
        <v>254</v>
      </c>
      <c r="AE2535" s="1">
        <v>682752</v>
      </c>
      <c r="AF2535">
        <v>0</v>
      </c>
      <c r="AJ2535">
        <v>0</v>
      </c>
      <c r="AK2535">
        <v>0</v>
      </c>
      <c r="AL2535">
        <v>0</v>
      </c>
      <c r="AM2535">
        <v>0</v>
      </c>
      <c r="AN2535">
        <v>0</v>
      </c>
      <c r="AO2535">
        <v>0</v>
      </c>
      <c r="AP2535" s="2">
        <v>42746</v>
      </c>
      <c r="AQ2535" t="s">
        <v>72</v>
      </c>
      <c r="AR2535" t="s">
        <v>72</v>
      </c>
      <c r="AS2535">
        <v>797</v>
      </c>
      <c r="AT2535" s="4">
        <v>42452</v>
      </c>
      <c r="AU2535" t="s">
        <v>73</v>
      </c>
      <c r="AV2535">
        <v>797</v>
      </c>
      <c r="AW2535" s="4">
        <v>42452</v>
      </c>
      <c r="BD2535">
        <v>0</v>
      </c>
      <c r="BN2535" t="s">
        <v>74</v>
      </c>
    </row>
    <row r="2536" spans="1:66" hidden="1">
      <c r="A2536">
        <v>100824</v>
      </c>
      <c r="B2536" s="3" t="s">
        <v>252</v>
      </c>
      <c r="C2536" s="1">
        <v>43300101</v>
      </c>
      <c r="D2536" t="s">
        <v>67</v>
      </c>
      <c r="H2536" t="str">
        <f t="shared" si="257"/>
        <v>05750470634</v>
      </c>
      <c r="I2536" t="str">
        <f t="shared" si="257"/>
        <v>05750470634</v>
      </c>
      <c r="K2536" t="str">
        <f>""</f>
        <v/>
      </c>
      <c r="M2536" t="s">
        <v>68</v>
      </c>
      <c r="N2536" t="str">
        <f t="shared" si="256"/>
        <v>FOR</v>
      </c>
      <c r="O2536" t="s">
        <v>69</v>
      </c>
      <c r="P2536" s="3" t="s">
        <v>75</v>
      </c>
      <c r="Q2536">
        <v>2015</v>
      </c>
      <c r="R2536" s="2">
        <v>42144</v>
      </c>
      <c r="S2536" s="2">
        <v>42160</v>
      </c>
      <c r="T2536" s="2">
        <v>42145</v>
      </c>
      <c r="U2536" s="2">
        <v>42205</v>
      </c>
      <c r="V2536" t="s">
        <v>71</v>
      </c>
      <c r="W2536" t="str">
        <f>"               3/260"</f>
        <v xml:space="preserve">               3/260</v>
      </c>
      <c r="X2536" s="1">
        <v>14331.62</v>
      </c>
      <c r="Y2536">
        <v>0</v>
      </c>
      <c r="Z2536"/>
      <c r="AB2536"/>
      <c r="AC2536" s="1">
        <v>13780.4</v>
      </c>
      <c r="AD2536">
        <v>371</v>
      </c>
      <c r="AE2536" s="1">
        <v>5112528.4000000004</v>
      </c>
      <c r="AF2536">
        <v>0</v>
      </c>
      <c r="AJ2536">
        <v>0</v>
      </c>
      <c r="AK2536">
        <v>0</v>
      </c>
      <c r="AL2536">
        <v>0</v>
      </c>
      <c r="AM2536">
        <v>0</v>
      </c>
      <c r="AN2536">
        <v>0</v>
      </c>
      <c r="AO2536">
        <v>0</v>
      </c>
      <c r="AP2536" s="2">
        <v>42746</v>
      </c>
      <c r="AQ2536" t="s">
        <v>72</v>
      </c>
      <c r="AR2536" t="s">
        <v>72</v>
      </c>
      <c r="AS2536">
        <v>1910</v>
      </c>
      <c r="AT2536" s="4">
        <v>42576</v>
      </c>
      <c r="AU2536" t="s">
        <v>73</v>
      </c>
      <c r="AV2536">
        <v>1910</v>
      </c>
      <c r="AW2536" s="4">
        <v>42576</v>
      </c>
      <c r="BD2536">
        <v>0</v>
      </c>
      <c r="BN2536" t="s">
        <v>74</v>
      </c>
    </row>
    <row r="2537" spans="1:66">
      <c r="A2537">
        <v>100824</v>
      </c>
      <c r="B2537" s="3" t="s">
        <v>252</v>
      </c>
      <c r="C2537" s="1">
        <v>43300101</v>
      </c>
      <c r="D2537" t="s">
        <v>67</v>
      </c>
      <c r="H2537" t="str">
        <f t="shared" si="257"/>
        <v>05750470634</v>
      </c>
      <c r="I2537" t="str">
        <f t="shared" si="257"/>
        <v>05750470634</v>
      </c>
      <c r="K2537" t="str">
        <f>""</f>
        <v/>
      </c>
      <c r="M2537" t="s">
        <v>68</v>
      </c>
      <c r="N2537" t="str">
        <f t="shared" si="256"/>
        <v>FOR</v>
      </c>
      <c r="O2537" t="s">
        <v>69</v>
      </c>
      <c r="P2537" s="3" t="s">
        <v>75</v>
      </c>
      <c r="Q2537">
        <v>2015</v>
      </c>
      <c r="R2537" s="2">
        <v>42144</v>
      </c>
      <c r="S2537" s="2">
        <v>42165</v>
      </c>
      <c r="T2537" s="2">
        <v>42145</v>
      </c>
      <c r="U2537" s="2">
        <v>42205</v>
      </c>
      <c r="V2537" t="s">
        <v>71</v>
      </c>
      <c r="W2537" t="str">
        <f>"               3/261"</f>
        <v xml:space="preserve">               3/261</v>
      </c>
      <c r="X2537" s="1">
        <v>6984.64</v>
      </c>
      <c r="Y2537">
        <v>0</v>
      </c>
      <c r="Z2537" s="5">
        <v>6716</v>
      </c>
      <c r="AA2537">
        <v>477</v>
      </c>
      <c r="AB2537" s="5">
        <v>3203532</v>
      </c>
      <c r="AC2537" s="1">
        <v>6716</v>
      </c>
      <c r="AD2537">
        <v>477</v>
      </c>
      <c r="AE2537" s="1">
        <v>3203532</v>
      </c>
      <c r="AF2537">
        <v>0</v>
      </c>
      <c r="AJ2537">
        <v>0</v>
      </c>
      <c r="AK2537">
        <v>0</v>
      </c>
      <c r="AL2537">
        <v>0</v>
      </c>
      <c r="AM2537">
        <v>0</v>
      </c>
      <c r="AN2537">
        <v>0</v>
      </c>
      <c r="AO2537">
        <v>0</v>
      </c>
      <c r="AP2537" s="2">
        <v>42746</v>
      </c>
      <c r="AQ2537" t="s">
        <v>72</v>
      </c>
      <c r="AR2537" t="s">
        <v>72</v>
      </c>
      <c r="AS2537">
        <v>2962</v>
      </c>
      <c r="AT2537" s="4">
        <v>42682</v>
      </c>
      <c r="AU2537" t="s">
        <v>73</v>
      </c>
      <c r="AV2537">
        <v>2962</v>
      </c>
      <c r="AW2537" s="4">
        <v>42682</v>
      </c>
      <c r="BD2537">
        <v>0</v>
      </c>
      <c r="BN2537" t="s">
        <v>74</v>
      </c>
    </row>
    <row r="2538" spans="1:66" hidden="1">
      <c r="A2538">
        <v>100824</v>
      </c>
      <c r="B2538" s="3" t="s">
        <v>252</v>
      </c>
      <c r="C2538" s="1">
        <v>43300101</v>
      </c>
      <c r="D2538" t="s">
        <v>67</v>
      </c>
      <c r="H2538" t="str">
        <f t="shared" si="257"/>
        <v>05750470634</v>
      </c>
      <c r="I2538" t="str">
        <f t="shared" si="257"/>
        <v>05750470634</v>
      </c>
      <c r="K2538" t="str">
        <f>""</f>
        <v/>
      </c>
      <c r="M2538" t="s">
        <v>68</v>
      </c>
      <c r="N2538" t="str">
        <f t="shared" si="256"/>
        <v>FOR</v>
      </c>
      <c r="O2538" t="s">
        <v>69</v>
      </c>
      <c r="P2538" s="3" t="s">
        <v>75</v>
      </c>
      <c r="Q2538">
        <v>2015</v>
      </c>
      <c r="R2538" s="2">
        <v>42144</v>
      </c>
      <c r="S2538" s="2">
        <v>42160</v>
      </c>
      <c r="T2538" s="2">
        <v>42145</v>
      </c>
      <c r="U2538" s="2">
        <v>42205</v>
      </c>
      <c r="V2538" t="s">
        <v>71</v>
      </c>
      <c r="W2538" t="str">
        <f>"               3/262"</f>
        <v xml:space="preserve">               3/262</v>
      </c>
      <c r="X2538" s="1">
        <v>7787.52</v>
      </c>
      <c r="Y2538">
        <v>0</v>
      </c>
      <c r="Z2538"/>
      <c r="AB2538"/>
      <c r="AC2538" s="1">
        <v>7488</v>
      </c>
      <c r="AD2538">
        <v>247</v>
      </c>
      <c r="AE2538" s="1">
        <v>1849536</v>
      </c>
      <c r="AF2538">
        <v>0</v>
      </c>
      <c r="AJ2538">
        <v>0</v>
      </c>
      <c r="AK2538">
        <v>0</v>
      </c>
      <c r="AL2538">
        <v>0</v>
      </c>
      <c r="AM2538">
        <v>0</v>
      </c>
      <c r="AN2538">
        <v>0</v>
      </c>
      <c r="AO2538">
        <v>0</v>
      </c>
      <c r="AP2538" s="2">
        <v>42746</v>
      </c>
      <c r="AQ2538" t="s">
        <v>72</v>
      </c>
      <c r="AR2538" t="s">
        <v>72</v>
      </c>
      <c r="AS2538">
        <v>797</v>
      </c>
      <c r="AT2538" s="4">
        <v>42452</v>
      </c>
      <c r="AU2538" t="s">
        <v>73</v>
      </c>
      <c r="AV2538">
        <v>797</v>
      </c>
      <c r="AW2538" s="4">
        <v>42452</v>
      </c>
      <c r="BD2538">
        <v>0</v>
      </c>
      <c r="BN2538" t="s">
        <v>74</v>
      </c>
    </row>
    <row r="2539" spans="1:66" hidden="1">
      <c r="A2539">
        <v>100824</v>
      </c>
      <c r="B2539" s="3" t="s">
        <v>252</v>
      </c>
      <c r="C2539" s="1">
        <v>43300101</v>
      </c>
      <c r="D2539" t="s">
        <v>67</v>
      </c>
      <c r="H2539" t="str">
        <f t="shared" si="257"/>
        <v>05750470634</v>
      </c>
      <c r="I2539" t="str">
        <f t="shared" si="257"/>
        <v>05750470634</v>
      </c>
      <c r="K2539" t="str">
        <f>""</f>
        <v/>
      </c>
      <c r="M2539" t="s">
        <v>68</v>
      </c>
      <c r="N2539" t="str">
        <f t="shared" si="256"/>
        <v>FOR</v>
      </c>
      <c r="O2539" t="s">
        <v>69</v>
      </c>
      <c r="P2539" s="3" t="s">
        <v>75</v>
      </c>
      <c r="Q2539">
        <v>2015</v>
      </c>
      <c r="R2539" s="2">
        <v>42146</v>
      </c>
      <c r="S2539" s="2">
        <v>42165</v>
      </c>
      <c r="T2539" s="2">
        <v>42148</v>
      </c>
      <c r="U2539" s="2">
        <v>42208</v>
      </c>
      <c r="V2539" t="s">
        <v>71</v>
      </c>
      <c r="W2539" t="str">
        <f>"               3/271"</f>
        <v xml:space="preserve">               3/271</v>
      </c>
      <c r="X2539" s="1">
        <v>1198.08</v>
      </c>
      <c r="Y2539">
        <v>0</v>
      </c>
      <c r="Z2539"/>
      <c r="AB2539"/>
      <c r="AC2539" s="1">
        <v>1152</v>
      </c>
      <c r="AD2539">
        <v>244</v>
      </c>
      <c r="AE2539" s="1">
        <v>281088</v>
      </c>
      <c r="AF2539">
        <v>0</v>
      </c>
      <c r="AJ2539">
        <v>0</v>
      </c>
      <c r="AK2539">
        <v>0</v>
      </c>
      <c r="AL2539">
        <v>0</v>
      </c>
      <c r="AM2539">
        <v>0</v>
      </c>
      <c r="AN2539">
        <v>0</v>
      </c>
      <c r="AO2539">
        <v>0</v>
      </c>
      <c r="AP2539" s="2">
        <v>42746</v>
      </c>
      <c r="AQ2539" t="s">
        <v>72</v>
      </c>
      <c r="AR2539" t="s">
        <v>72</v>
      </c>
      <c r="AS2539">
        <v>797</v>
      </c>
      <c r="AT2539" s="4">
        <v>42452</v>
      </c>
      <c r="AU2539" t="s">
        <v>73</v>
      </c>
      <c r="AV2539">
        <v>797</v>
      </c>
      <c r="AW2539" s="4">
        <v>42452</v>
      </c>
      <c r="BD2539">
        <v>0</v>
      </c>
      <c r="BN2539" t="s">
        <v>74</v>
      </c>
    </row>
    <row r="2540" spans="1:66" hidden="1">
      <c r="A2540">
        <v>100824</v>
      </c>
      <c r="B2540" s="3" t="s">
        <v>252</v>
      </c>
      <c r="C2540" s="1">
        <v>43300101</v>
      </c>
      <c r="D2540" t="s">
        <v>67</v>
      </c>
      <c r="H2540" t="str">
        <f t="shared" si="257"/>
        <v>05750470634</v>
      </c>
      <c r="I2540" t="str">
        <f t="shared" si="257"/>
        <v>05750470634</v>
      </c>
      <c r="K2540" t="str">
        <f>""</f>
        <v/>
      </c>
      <c r="M2540" t="s">
        <v>68</v>
      </c>
      <c r="N2540" t="str">
        <f t="shared" si="256"/>
        <v>FOR</v>
      </c>
      <c r="O2540" t="s">
        <v>69</v>
      </c>
      <c r="P2540" s="3" t="s">
        <v>75</v>
      </c>
      <c r="Q2540">
        <v>2015</v>
      </c>
      <c r="R2540" s="2">
        <v>42146</v>
      </c>
      <c r="S2540" s="2">
        <v>42163</v>
      </c>
      <c r="T2540" s="2">
        <v>42148</v>
      </c>
      <c r="U2540" s="2">
        <v>42208</v>
      </c>
      <c r="V2540" t="s">
        <v>71</v>
      </c>
      <c r="W2540" t="str">
        <f>"               3/272"</f>
        <v xml:space="preserve">               3/272</v>
      </c>
      <c r="X2540" s="1">
        <v>2321.2800000000002</v>
      </c>
      <c r="Y2540">
        <v>0</v>
      </c>
      <c r="Z2540"/>
      <c r="AB2540"/>
      <c r="AC2540" s="1">
        <v>2232</v>
      </c>
      <c r="AD2540">
        <v>368</v>
      </c>
      <c r="AE2540" s="1">
        <v>821376</v>
      </c>
      <c r="AF2540">
        <v>0</v>
      </c>
      <c r="AJ2540">
        <v>0</v>
      </c>
      <c r="AK2540">
        <v>0</v>
      </c>
      <c r="AL2540">
        <v>0</v>
      </c>
      <c r="AM2540">
        <v>0</v>
      </c>
      <c r="AN2540">
        <v>0</v>
      </c>
      <c r="AO2540">
        <v>0</v>
      </c>
      <c r="AP2540" s="2">
        <v>42746</v>
      </c>
      <c r="AQ2540" t="s">
        <v>72</v>
      </c>
      <c r="AR2540" t="s">
        <v>72</v>
      </c>
      <c r="AS2540">
        <v>1910</v>
      </c>
      <c r="AT2540" s="4">
        <v>42576</v>
      </c>
      <c r="AU2540" t="s">
        <v>73</v>
      </c>
      <c r="AV2540">
        <v>1910</v>
      </c>
      <c r="AW2540" s="4">
        <v>42576</v>
      </c>
      <c r="BD2540">
        <v>0</v>
      </c>
      <c r="BN2540" t="s">
        <v>74</v>
      </c>
    </row>
    <row r="2541" spans="1:66" hidden="1">
      <c r="A2541">
        <v>100824</v>
      </c>
      <c r="B2541" s="3" t="s">
        <v>252</v>
      </c>
      <c r="C2541" s="1">
        <v>43300101</v>
      </c>
      <c r="D2541" t="s">
        <v>67</v>
      </c>
      <c r="H2541" t="str">
        <f t="shared" si="257"/>
        <v>05750470634</v>
      </c>
      <c r="I2541" t="str">
        <f t="shared" si="257"/>
        <v>05750470634</v>
      </c>
      <c r="K2541" t="str">
        <f>""</f>
        <v/>
      </c>
      <c r="M2541" t="s">
        <v>68</v>
      </c>
      <c r="N2541" t="str">
        <f t="shared" si="256"/>
        <v>FOR</v>
      </c>
      <c r="O2541" t="s">
        <v>69</v>
      </c>
      <c r="P2541" s="3" t="s">
        <v>75</v>
      </c>
      <c r="Q2541">
        <v>2015</v>
      </c>
      <c r="R2541" s="2">
        <v>42151</v>
      </c>
      <c r="S2541" s="2">
        <v>42160</v>
      </c>
      <c r="T2541" s="2">
        <v>42151</v>
      </c>
      <c r="U2541" s="2">
        <v>42211</v>
      </c>
      <c r="V2541" t="s">
        <v>71</v>
      </c>
      <c r="W2541" t="str">
        <f>"               3/285"</f>
        <v xml:space="preserve">               3/285</v>
      </c>
      <c r="X2541">
        <v>499.2</v>
      </c>
      <c r="Y2541">
        <v>0</v>
      </c>
      <c r="Z2541"/>
      <c r="AB2541"/>
      <c r="AC2541">
        <v>480</v>
      </c>
      <c r="AD2541">
        <v>241</v>
      </c>
      <c r="AE2541" s="1">
        <v>115680</v>
      </c>
      <c r="AF2541">
        <v>0</v>
      </c>
      <c r="AJ2541">
        <v>0</v>
      </c>
      <c r="AK2541">
        <v>0</v>
      </c>
      <c r="AL2541">
        <v>0</v>
      </c>
      <c r="AM2541">
        <v>0</v>
      </c>
      <c r="AN2541">
        <v>0</v>
      </c>
      <c r="AO2541">
        <v>0</v>
      </c>
      <c r="AP2541" s="2">
        <v>42746</v>
      </c>
      <c r="AQ2541" t="s">
        <v>72</v>
      </c>
      <c r="AR2541" t="s">
        <v>72</v>
      </c>
      <c r="AS2541">
        <v>797</v>
      </c>
      <c r="AT2541" s="4">
        <v>42452</v>
      </c>
      <c r="AU2541" t="s">
        <v>73</v>
      </c>
      <c r="AV2541">
        <v>797</v>
      </c>
      <c r="AW2541" s="4">
        <v>42452</v>
      </c>
      <c r="BD2541">
        <v>0</v>
      </c>
      <c r="BN2541" t="s">
        <v>74</v>
      </c>
    </row>
    <row r="2542" spans="1:66" hidden="1">
      <c r="A2542">
        <v>100824</v>
      </c>
      <c r="B2542" s="3" t="s">
        <v>252</v>
      </c>
      <c r="C2542" s="1">
        <v>43300101</v>
      </c>
      <c r="D2542" t="s">
        <v>67</v>
      </c>
      <c r="H2542" t="str">
        <f t="shared" si="257"/>
        <v>05750470634</v>
      </c>
      <c r="I2542" t="str">
        <f t="shared" si="257"/>
        <v>05750470634</v>
      </c>
      <c r="K2542" t="str">
        <f>""</f>
        <v/>
      </c>
      <c r="M2542" t="s">
        <v>68</v>
      </c>
      <c r="N2542" t="str">
        <f t="shared" si="256"/>
        <v>FOR</v>
      </c>
      <c r="O2542" t="s">
        <v>69</v>
      </c>
      <c r="P2542" s="3" t="s">
        <v>75</v>
      </c>
      <c r="Q2542">
        <v>2015</v>
      </c>
      <c r="R2542" s="2">
        <v>42151</v>
      </c>
      <c r="S2542" s="2">
        <v>42160</v>
      </c>
      <c r="T2542" s="2">
        <v>42151</v>
      </c>
      <c r="U2542" s="2">
        <v>42211</v>
      </c>
      <c r="V2542" t="s">
        <v>71</v>
      </c>
      <c r="W2542" t="str">
        <f>"               3/286"</f>
        <v xml:space="preserve">               3/286</v>
      </c>
      <c r="X2542">
        <v>416</v>
      </c>
      <c r="Y2542">
        <v>0</v>
      </c>
      <c r="Z2542"/>
      <c r="AB2542"/>
      <c r="AC2542">
        <v>400</v>
      </c>
      <c r="AD2542">
        <v>241</v>
      </c>
      <c r="AE2542" s="1">
        <v>96400</v>
      </c>
      <c r="AF2542">
        <v>0</v>
      </c>
      <c r="AJ2542">
        <v>0</v>
      </c>
      <c r="AK2542">
        <v>0</v>
      </c>
      <c r="AL2542">
        <v>0</v>
      </c>
      <c r="AM2542">
        <v>0</v>
      </c>
      <c r="AN2542">
        <v>0</v>
      </c>
      <c r="AO2542">
        <v>0</v>
      </c>
      <c r="AP2542" s="2">
        <v>42746</v>
      </c>
      <c r="AQ2542" t="s">
        <v>72</v>
      </c>
      <c r="AR2542" t="s">
        <v>72</v>
      </c>
      <c r="AS2542">
        <v>797</v>
      </c>
      <c r="AT2542" s="4">
        <v>42452</v>
      </c>
      <c r="AU2542" t="s">
        <v>73</v>
      </c>
      <c r="AV2542">
        <v>797</v>
      </c>
      <c r="AW2542" s="4">
        <v>42452</v>
      </c>
      <c r="BD2542">
        <v>0</v>
      </c>
      <c r="BN2542" t="s">
        <v>74</v>
      </c>
    </row>
    <row r="2543" spans="1:66" hidden="1">
      <c r="A2543">
        <v>100824</v>
      </c>
      <c r="B2543" s="3" t="s">
        <v>252</v>
      </c>
      <c r="C2543" s="1">
        <v>43300101</v>
      </c>
      <c r="D2543" t="s">
        <v>67</v>
      </c>
      <c r="H2543" t="str">
        <f t="shared" ref="H2543:I2562" si="258">"05750470634"</f>
        <v>05750470634</v>
      </c>
      <c r="I2543" t="str">
        <f t="shared" si="258"/>
        <v>05750470634</v>
      </c>
      <c r="K2543" t="str">
        <f>""</f>
        <v/>
      </c>
      <c r="M2543" t="s">
        <v>68</v>
      </c>
      <c r="N2543" t="str">
        <f t="shared" si="256"/>
        <v>FOR</v>
      </c>
      <c r="O2543" t="s">
        <v>69</v>
      </c>
      <c r="P2543" s="3" t="s">
        <v>75</v>
      </c>
      <c r="Q2543">
        <v>2015</v>
      </c>
      <c r="R2543" s="2">
        <v>42160</v>
      </c>
      <c r="S2543" s="2">
        <v>42163</v>
      </c>
      <c r="T2543" s="2">
        <v>42160</v>
      </c>
      <c r="U2543" s="2">
        <v>42220</v>
      </c>
      <c r="V2543" t="s">
        <v>71</v>
      </c>
      <c r="W2543" t="str">
        <f>"               3/310"</f>
        <v xml:space="preserve">               3/310</v>
      </c>
      <c r="X2543">
        <v>149.76</v>
      </c>
      <c r="Y2543">
        <v>0</v>
      </c>
      <c r="Z2543"/>
      <c r="AB2543"/>
      <c r="AC2543">
        <v>144</v>
      </c>
      <c r="AD2543">
        <v>267</v>
      </c>
      <c r="AE2543" s="1">
        <v>38448</v>
      </c>
      <c r="AF2543">
        <v>0</v>
      </c>
      <c r="AJ2543">
        <v>0</v>
      </c>
      <c r="AK2543">
        <v>0</v>
      </c>
      <c r="AL2543">
        <v>0</v>
      </c>
      <c r="AM2543">
        <v>0</v>
      </c>
      <c r="AN2543">
        <v>0</v>
      </c>
      <c r="AO2543">
        <v>0</v>
      </c>
      <c r="AP2543" s="2">
        <v>42746</v>
      </c>
      <c r="AQ2543" t="s">
        <v>72</v>
      </c>
      <c r="AR2543" t="s">
        <v>72</v>
      </c>
      <c r="AS2543">
        <v>1179</v>
      </c>
      <c r="AT2543" s="4">
        <v>42487</v>
      </c>
      <c r="AU2543" t="s">
        <v>73</v>
      </c>
      <c r="AV2543">
        <v>1179</v>
      </c>
      <c r="AW2543" s="4">
        <v>42487</v>
      </c>
      <c r="BD2543">
        <v>0</v>
      </c>
      <c r="BN2543" t="s">
        <v>74</v>
      </c>
    </row>
    <row r="2544" spans="1:66" hidden="1">
      <c r="A2544">
        <v>100824</v>
      </c>
      <c r="B2544" s="3" t="s">
        <v>252</v>
      </c>
      <c r="C2544" s="1">
        <v>43300101</v>
      </c>
      <c r="D2544" t="s">
        <v>67</v>
      </c>
      <c r="H2544" t="str">
        <f t="shared" si="258"/>
        <v>05750470634</v>
      </c>
      <c r="I2544" t="str">
        <f t="shared" si="258"/>
        <v>05750470634</v>
      </c>
      <c r="K2544" t="str">
        <f>""</f>
        <v/>
      </c>
      <c r="M2544" t="s">
        <v>68</v>
      </c>
      <c r="N2544" t="str">
        <f t="shared" si="256"/>
        <v>FOR</v>
      </c>
      <c r="O2544" t="s">
        <v>69</v>
      </c>
      <c r="P2544" s="3" t="s">
        <v>75</v>
      </c>
      <c r="Q2544">
        <v>2015</v>
      </c>
      <c r="R2544" s="2">
        <v>42173</v>
      </c>
      <c r="S2544" s="2">
        <v>42174</v>
      </c>
      <c r="T2544" s="2">
        <v>42173</v>
      </c>
      <c r="U2544" s="2">
        <v>42233</v>
      </c>
      <c r="V2544" t="s">
        <v>71</v>
      </c>
      <c r="W2544" t="str">
        <f>"               3/346"</f>
        <v xml:space="preserve">               3/346</v>
      </c>
      <c r="X2544" s="1">
        <v>11590.07</v>
      </c>
      <c r="Y2544">
        <v>0</v>
      </c>
      <c r="Z2544"/>
      <c r="AB2544"/>
      <c r="AC2544" s="1">
        <v>11144.3</v>
      </c>
      <c r="AD2544">
        <v>254</v>
      </c>
      <c r="AE2544" s="1">
        <v>2830652.2</v>
      </c>
      <c r="AF2544">
        <v>0</v>
      </c>
      <c r="AJ2544">
        <v>0</v>
      </c>
      <c r="AK2544">
        <v>0</v>
      </c>
      <c r="AL2544">
        <v>0</v>
      </c>
      <c r="AM2544">
        <v>0</v>
      </c>
      <c r="AN2544">
        <v>0</v>
      </c>
      <c r="AO2544">
        <v>0</v>
      </c>
      <c r="AP2544" s="2">
        <v>42746</v>
      </c>
      <c r="AQ2544" t="s">
        <v>72</v>
      </c>
      <c r="AR2544" t="s">
        <v>72</v>
      </c>
      <c r="AS2544">
        <v>1179</v>
      </c>
      <c r="AT2544" s="4">
        <v>42487</v>
      </c>
      <c r="AU2544" t="s">
        <v>73</v>
      </c>
      <c r="AV2544">
        <v>1179</v>
      </c>
      <c r="AW2544" s="4">
        <v>42487</v>
      </c>
      <c r="BD2544">
        <v>0</v>
      </c>
      <c r="BN2544" t="s">
        <v>74</v>
      </c>
    </row>
    <row r="2545" spans="1:66">
      <c r="A2545">
        <v>100824</v>
      </c>
      <c r="B2545" s="3" t="s">
        <v>252</v>
      </c>
      <c r="C2545" s="1">
        <v>43300101</v>
      </c>
      <c r="D2545" t="s">
        <v>67</v>
      </c>
      <c r="H2545" t="str">
        <f t="shared" si="258"/>
        <v>05750470634</v>
      </c>
      <c r="I2545" t="str">
        <f t="shared" si="258"/>
        <v>05750470634</v>
      </c>
      <c r="K2545" t="str">
        <f>""</f>
        <v/>
      </c>
      <c r="M2545" t="s">
        <v>68</v>
      </c>
      <c r="N2545" t="str">
        <f t="shared" si="256"/>
        <v>FOR</v>
      </c>
      <c r="O2545" t="s">
        <v>69</v>
      </c>
      <c r="P2545" s="3" t="s">
        <v>75</v>
      </c>
      <c r="Q2545">
        <v>2015</v>
      </c>
      <c r="R2545" s="2">
        <v>42173</v>
      </c>
      <c r="S2545" s="2">
        <v>42193</v>
      </c>
      <c r="T2545" s="2">
        <v>42192</v>
      </c>
      <c r="U2545" s="2">
        <v>42252</v>
      </c>
      <c r="V2545" t="s">
        <v>71</v>
      </c>
      <c r="W2545" t="str">
        <f>"               3/347"</f>
        <v xml:space="preserve">               3/347</v>
      </c>
      <c r="X2545" s="1">
        <v>9398.9</v>
      </c>
      <c r="Y2545">
        <v>0</v>
      </c>
      <c r="Z2545" s="5">
        <v>9037.4</v>
      </c>
      <c r="AA2545">
        <v>430</v>
      </c>
      <c r="AB2545" s="5">
        <v>3886082</v>
      </c>
      <c r="AC2545" s="1">
        <v>9037.4</v>
      </c>
      <c r="AD2545">
        <v>430</v>
      </c>
      <c r="AE2545" s="1">
        <v>3886082</v>
      </c>
      <c r="AF2545">
        <v>0</v>
      </c>
      <c r="AJ2545">
        <v>0</v>
      </c>
      <c r="AK2545">
        <v>0</v>
      </c>
      <c r="AL2545">
        <v>0</v>
      </c>
      <c r="AM2545">
        <v>0</v>
      </c>
      <c r="AN2545">
        <v>0</v>
      </c>
      <c r="AO2545">
        <v>0</v>
      </c>
      <c r="AP2545" s="2">
        <v>42746</v>
      </c>
      <c r="AQ2545" t="s">
        <v>72</v>
      </c>
      <c r="AR2545" t="s">
        <v>72</v>
      </c>
      <c r="AS2545">
        <v>2962</v>
      </c>
      <c r="AT2545" s="4">
        <v>42682</v>
      </c>
      <c r="AU2545" t="s">
        <v>73</v>
      </c>
      <c r="AV2545">
        <v>2962</v>
      </c>
      <c r="AW2545" s="4">
        <v>42682</v>
      </c>
      <c r="BD2545">
        <v>0</v>
      </c>
      <c r="BN2545" t="s">
        <v>74</v>
      </c>
    </row>
    <row r="2546" spans="1:66" hidden="1">
      <c r="A2546">
        <v>100824</v>
      </c>
      <c r="B2546" s="3" t="s">
        <v>252</v>
      </c>
      <c r="C2546" s="1">
        <v>43300101</v>
      </c>
      <c r="D2546" t="s">
        <v>67</v>
      </c>
      <c r="H2546" t="str">
        <f t="shared" si="258"/>
        <v>05750470634</v>
      </c>
      <c r="I2546" t="str">
        <f t="shared" si="258"/>
        <v>05750470634</v>
      </c>
      <c r="K2546" t="str">
        <f>""</f>
        <v/>
      </c>
      <c r="M2546" t="s">
        <v>68</v>
      </c>
      <c r="N2546" t="str">
        <f t="shared" si="256"/>
        <v>FOR</v>
      </c>
      <c r="O2546" t="s">
        <v>69</v>
      </c>
      <c r="P2546" s="3" t="s">
        <v>75</v>
      </c>
      <c r="Q2546">
        <v>2015</v>
      </c>
      <c r="R2546" s="2">
        <v>42173</v>
      </c>
      <c r="S2546" s="2">
        <v>42174</v>
      </c>
      <c r="T2546" s="2">
        <v>42173</v>
      </c>
      <c r="U2546" s="2">
        <v>42233</v>
      </c>
      <c r="V2546" t="s">
        <v>71</v>
      </c>
      <c r="W2546" t="str">
        <f>"               3/348"</f>
        <v xml:space="preserve">               3/348</v>
      </c>
      <c r="X2546" s="1">
        <v>2538.4299999999998</v>
      </c>
      <c r="Y2546">
        <v>0</v>
      </c>
      <c r="Z2546"/>
      <c r="AB2546"/>
      <c r="AC2546" s="1">
        <v>2440.8000000000002</v>
      </c>
      <c r="AD2546">
        <v>254</v>
      </c>
      <c r="AE2546" s="1">
        <v>619963.19999999995</v>
      </c>
      <c r="AF2546">
        <v>0</v>
      </c>
      <c r="AJ2546">
        <v>0</v>
      </c>
      <c r="AK2546">
        <v>0</v>
      </c>
      <c r="AL2546">
        <v>0</v>
      </c>
      <c r="AM2546">
        <v>0</v>
      </c>
      <c r="AN2546">
        <v>0</v>
      </c>
      <c r="AO2546">
        <v>0</v>
      </c>
      <c r="AP2546" s="2">
        <v>42746</v>
      </c>
      <c r="AQ2546" t="s">
        <v>72</v>
      </c>
      <c r="AR2546" t="s">
        <v>72</v>
      </c>
      <c r="AS2546">
        <v>1179</v>
      </c>
      <c r="AT2546" s="4">
        <v>42487</v>
      </c>
      <c r="AU2546" t="s">
        <v>73</v>
      </c>
      <c r="AV2546">
        <v>1179</v>
      </c>
      <c r="AW2546" s="4">
        <v>42487</v>
      </c>
      <c r="BD2546">
        <v>0</v>
      </c>
      <c r="BN2546" t="s">
        <v>74</v>
      </c>
    </row>
    <row r="2547" spans="1:66" hidden="1">
      <c r="A2547">
        <v>100824</v>
      </c>
      <c r="B2547" s="3" t="s">
        <v>252</v>
      </c>
      <c r="C2547" s="1">
        <v>43300101</v>
      </c>
      <c r="D2547" t="s">
        <v>67</v>
      </c>
      <c r="H2547" t="str">
        <f t="shared" si="258"/>
        <v>05750470634</v>
      </c>
      <c r="I2547" t="str">
        <f t="shared" si="258"/>
        <v>05750470634</v>
      </c>
      <c r="K2547" t="str">
        <f>""</f>
        <v/>
      </c>
      <c r="M2547" t="s">
        <v>68</v>
      </c>
      <c r="N2547" t="str">
        <f t="shared" si="256"/>
        <v>FOR</v>
      </c>
      <c r="O2547" t="s">
        <v>69</v>
      </c>
      <c r="P2547" s="3" t="s">
        <v>75</v>
      </c>
      <c r="Q2547">
        <v>2015</v>
      </c>
      <c r="R2547" s="2">
        <v>42173</v>
      </c>
      <c r="S2547" s="2">
        <v>42174</v>
      </c>
      <c r="T2547" s="2">
        <v>42173</v>
      </c>
      <c r="U2547" s="2">
        <v>42233</v>
      </c>
      <c r="V2547" t="s">
        <v>71</v>
      </c>
      <c r="W2547" t="str">
        <f>"               3/349"</f>
        <v xml:space="preserve">               3/349</v>
      </c>
      <c r="X2547" s="1">
        <v>6289.92</v>
      </c>
      <c r="Y2547">
        <v>0</v>
      </c>
      <c r="Z2547"/>
      <c r="AB2547"/>
      <c r="AC2547" s="1">
        <v>6048</v>
      </c>
      <c r="AD2547">
        <v>254</v>
      </c>
      <c r="AE2547" s="1">
        <v>1536192</v>
      </c>
      <c r="AF2547">
        <v>0</v>
      </c>
      <c r="AJ2547">
        <v>0</v>
      </c>
      <c r="AK2547">
        <v>0</v>
      </c>
      <c r="AL2547">
        <v>0</v>
      </c>
      <c r="AM2547">
        <v>0</v>
      </c>
      <c r="AN2547">
        <v>0</v>
      </c>
      <c r="AO2547">
        <v>0</v>
      </c>
      <c r="AP2547" s="2">
        <v>42746</v>
      </c>
      <c r="AQ2547" t="s">
        <v>72</v>
      </c>
      <c r="AR2547" t="s">
        <v>72</v>
      </c>
      <c r="AS2547">
        <v>1179</v>
      </c>
      <c r="AT2547" s="4">
        <v>42487</v>
      </c>
      <c r="AU2547" t="s">
        <v>73</v>
      </c>
      <c r="AV2547">
        <v>1179</v>
      </c>
      <c r="AW2547" s="4">
        <v>42487</v>
      </c>
      <c r="BD2547">
        <v>0</v>
      </c>
      <c r="BN2547" t="s">
        <v>74</v>
      </c>
    </row>
    <row r="2548" spans="1:66" hidden="1">
      <c r="A2548">
        <v>100824</v>
      </c>
      <c r="B2548" s="3" t="s">
        <v>252</v>
      </c>
      <c r="C2548" s="1">
        <v>43300101</v>
      </c>
      <c r="D2548" t="s">
        <v>67</v>
      </c>
      <c r="H2548" t="str">
        <f t="shared" si="258"/>
        <v>05750470634</v>
      </c>
      <c r="I2548" t="str">
        <f t="shared" si="258"/>
        <v>05750470634</v>
      </c>
      <c r="K2548" t="str">
        <f>""</f>
        <v/>
      </c>
      <c r="M2548" t="s">
        <v>68</v>
      </c>
      <c r="N2548" t="str">
        <f t="shared" si="256"/>
        <v>FOR</v>
      </c>
      <c r="O2548" t="s">
        <v>69</v>
      </c>
      <c r="P2548" s="3" t="s">
        <v>75</v>
      </c>
      <c r="Q2548">
        <v>2015</v>
      </c>
      <c r="R2548" s="2">
        <v>42173</v>
      </c>
      <c r="S2548" s="2">
        <v>42174</v>
      </c>
      <c r="T2548" s="2">
        <v>42173</v>
      </c>
      <c r="U2548" s="2">
        <v>42233</v>
      </c>
      <c r="V2548" t="s">
        <v>71</v>
      </c>
      <c r="W2548" t="str">
        <f>"               3/350"</f>
        <v xml:space="preserve">               3/350</v>
      </c>
      <c r="X2548">
        <v>499.2</v>
      </c>
      <c r="Y2548">
        <v>0</v>
      </c>
      <c r="Z2548"/>
      <c r="AB2548"/>
      <c r="AC2548">
        <v>480</v>
      </c>
      <c r="AD2548">
        <v>254</v>
      </c>
      <c r="AE2548" s="1">
        <v>121920</v>
      </c>
      <c r="AF2548">
        <v>0</v>
      </c>
      <c r="AJ2548">
        <v>0</v>
      </c>
      <c r="AK2548">
        <v>0</v>
      </c>
      <c r="AL2548">
        <v>0</v>
      </c>
      <c r="AM2548">
        <v>0</v>
      </c>
      <c r="AN2548">
        <v>0</v>
      </c>
      <c r="AO2548">
        <v>0</v>
      </c>
      <c r="AP2548" s="2">
        <v>42746</v>
      </c>
      <c r="AQ2548" t="s">
        <v>72</v>
      </c>
      <c r="AR2548" t="s">
        <v>72</v>
      </c>
      <c r="AS2548">
        <v>1179</v>
      </c>
      <c r="AT2548" s="4">
        <v>42487</v>
      </c>
      <c r="AU2548" t="s">
        <v>73</v>
      </c>
      <c r="AV2548">
        <v>1179</v>
      </c>
      <c r="AW2548" s="4">
        <v>42487</v>
      </c>
      <c r="BD2548">
        <v>0</v>
      </c>
      <c r="BN2548" t="s">
        <v>74</v>
      </c>
    </row>
    <row r="2549" spans="1:66" hidden="1">
      <c r="A2549">
        <v>100824</v>
      </c>
      <c r="B2549" s="3" t="s">
        <v>252</v>
      </c>
      <c r="C2549" s="1">
        <v>43300101</v>
      </c>
      <c r="D2549" t="s">
        <v>67</v>
      </c>
      <c r="H2549" t="str">
        <f t="shared" si="258"/>
        <v>05750470634</v>
      </c>
      <c r="I2549" t="str">
        <f t="shared" si="258"/>
        <v>05750470634</v>
      </c>
      <c r="K2549" t="str">
        <f>""</f>
        <v/>
      </c>
      <c r="M2549" t="s">
        <v>68</v>
      </c>
      <c r="N2549" t="str">
        <f t="shared" si="256"/>
        <v>FOR</v>
      </c>
      <c r="O2549" t="s">
        <v>69</v>
      </c>
      <c r="P2549" s="3" t="s">
        <v>75</v>
      </c>
      <c r="Q2549">
        <v>2015</v>
      </c>
      <c r="R2549" s="2">
        <v>42178</v>
      </c>
      <c r="S2549" s="2">
        <v>42181</v>
      </c>
      <c r="T2549" s="2">
        <v>42178</v>
      </c>
      <c r="U2549" s="2">
        <v>42238</v>
      </c>
      <c r="V2549" t="s">
        <v>71</v>
      </c>
      <c r="W2549" t="str">
        <f>"               3/362"</f>
        <v xml:space="preserve">               3/362</v>
      </c>
      <c r="X2549" s="1">
        <v>3818.88</v>
      </c>
      <c r="Y2549">
        <v>0</v>
      </c>
      <c r="Z2549"/>
      <c r="AB2549"/>
      <c r="AC2549" s="1">
        <v>3672</v>
      </c>
      <c r="AD2549">
        <v>249</v>
      </c>
      <c r="AE2549" s="1">
        <v>914328</v>
      </c>
      <c r="AF2549">
        <v>0</v>
      </c>
      <c r="AJ2549">
        <v>0</v>
      </c>
      <c r="AK2549">
        <v>0</v>
      </c>
      <c r="AL2549">
        <v>0</v>
      </c>
      <c r="AM2549">
        <v>0</v>
      </c>
      <c r="AN2549">
        <v>0</v>
      </c>
      <c r="AO2549">
        <v>0</v>
      </c>
      <c r="AP2549" s="2">
        <v>42746</v>
      </c>
      <c r="AQ2549" t="s">
        <v>72</v>
      </c>
      <c r="AR2549" t="s">
        <v>72</v>
      </c>
      <c r="AS2549">
        <v>1179</v>
      </c>
      <c r="AT2549" s="4">
        <v>42487</v>
      </c>
      <c r="AU2549" t="s">
        <v>73</v>
      </c>
      <c r="AV2549">
        <v>1179</v>
      </c>
      <c r="AW2549" s="4">
        <v>42487</v>
      </c>
      <c r="BD2549">
        <v>0</v>
      </c>
      <c r="BN2549" t="s">
        <v>74</v>
      </c>
    </row>
    <row r="2550" spans="1:66" hidden="1">
      <c r="A2550">
        <v>100824</v>
      </c>
      <c r="B2550" s="3" t="s">
        <v>252</v>
      </c>
      <c r="C2550" s="1">
        <v>43300101</v>
      </c>
      <c r="D2550" t="s">
        <v>67</v>
      </c>
      <c r="H2550" t="str">
        <f t="shared" si="258"/>
        <v>05750470634</v>
      </c>
      <c r="I2550" t="str">
        <f t="shared" si="258"/>
        <v>05750470634</v>
      </c>
      <c r="K2550" t="str">
        <f>""</f>
        <v/>
      </c>
      <c r="M2550" t="s">
        <v>68</v>
      </c>
      <c r="N2550" t="str">
        <f t="shared" si="256"/>
        <v>FOR</v>
      </c>
      <c r="O2550" t="s">
        <v>69</v>
      </c>
      <c r="P2550" s="3" t="s">
        <v>75</v>
      </c>
      <c r="Q2550">
        <v>2015</v>
      </c>
      <c r="R2550" s="2">
        <v>42181</v>
      </c>
      <c r="S2550" s="2">
        <v>42188</v>
      </c>
      <c r="T2550" s="2">
        <v>42181</v>
      </c>
      <c r="U2550" s="2">
        <v>42241</v>
      </c>
      <c r="V2550" t="s">
        <v>71</v>
      </c>
      <c r="W2550" t="str">
        <f>"               3/380"</f>
        <v xml:space="preserve">               3/380</v>
      </c>
      <c r="X2550" s="1">
        <v>3905.15</v>
      </c>
      <c r="Y2550">
        <v>0</v>
      </c>
      <c r="Z2550"/>
      <c r="AB2550"/>
      <c r="AC2550" s="1">
        <v>3200.94</v>
      </c>
      <c r="AD2550">
        <v>246</v>
      </c>
      <c r="AE2550" s="1">
        <v>787431.24</v>
      </c>
      <c r="AF2550">
        <v>0</v>
      </c>
      <c r="AJ2550">
        <v>0</v>
      </c>
      <c r="AK2550">
        <v>0</v>
      </c>
      <c r="AL2550">
        <v>0</v>
      </c>
      <c r="AM2550">
        <v>0</v>
      </c>
      <c r="AN2550">
        <v>0</v>
      </c>
      <c r="AO2550">
        <v>0</v>
      </c>
      <c r="AP2550" s="2">
        <v>42746</v>
      </c>
      <c r="AQ2550" t="s">
        <v>72</v>
      </c>
      <c r="AR2550" t="s">
        <v>72</v>
      </c>
      <c r="AS2550">
        <v>1179</v>
      </c>
      <c r="AT2550" s="4">
        <v>42487</v>
      </c>
      <c r="AU2550" t="s">
        <v>73</v>
      </c>
      <c r="AV2550">
        <v>1179</v>
      </c>
      <c r="AW2550" s="4">
        <v>42487</v>
      </c>
      <c r="BD2550">
        <v>0</v>
      </c>
      <c r="BN2550" t="s">
        <v>74</v>
      </c>
    </row>
    <row r="2551" spans="1:66" hidden="1">
      <c r="A2551">
        <v>100824</v>
      </c>
      <c r="B2551" s="3" t="s">
        <v>252</v>
      </c>
      <c r="C2551" s="1">
        <v>43300101</v>
      </c>
      <c r="D2551" t="s">
        <v>67</v>
      </c>
      <c r="H2551" t="str">
        <f t="shared" si="258"/>
        <v>05750470634</v>
      </c>
      <c r="I2551" t="str">
        <f t="shared" si="258"/>
        <v>05750470634</v>
      </c>
      <c r="K2551" t="str">
        <f>""</f>
        <v/>
      </c>
      <c r="M2551" t="s">
        <v>68</v>
      </c>
      <c r="N2551" t="str">
        <f t="shared" si="256"/>
        <v>FOR</v>
      </c>
      <c r="O2551" t="s">
        <v>69</v>
      </c>
      <c r="P2551" s="3" t="s">
        <v>75</v>
      </c>
      <c r="Q2551">
        <v>2015</v>
      </c>
      <c r="R2551" s="2">
        <v>42181</v>
      </c>
      <c r="S2551" s="2">
        <v>42187</v>
      </c>
      <c r="T2551" s="2">
        <v>42184</v>
      </c>
      <c r="U2551" s="2">
        <v>42244</v>
      </c>
      <c r="V2551" t="s">
        <v>71</v>
      </c>
      <c r="W2551" t="str">
        <f>"               3/381"</f>
        <v xml:space="preserve">               3/381</v>
      </c>
      <c r="X2551">
        <v>832</v>
      </c>
      <c r="Y2551">
        <v>0</v>
      </c>
      <c r="Z2551"/>
      <c r="AB2551"/>
      <c r="AC2551">
        <v>800</v>
      </c>
      <c r="AD2551">
        <v>243</v>
      </c>
      <c r="AE2551" s="1">
        <v>194400</v>
      </c>
      <c r="AF2551">
        <v>0</v>
      </c>
      <c r="AJ2551">
        <v>0</v>
      </c>
      <c r="AK2551">
        <v>0</v>
      </c>
      <c r="AL2551">
        <v>0</v>
      </c>
      <c r="AM2551">
        <v>0</v>
      </c>
      <c r="AN2551">
        <v>0</v>
      </c>
      <c r="AO2551">
        <v>0</v>
      </c>
      <c r="AP2551" s="2">
        <v>42746</v>
      </c>
      <c r="AQ2551" t="s">
        <v>72</v>
      </c>
      <c r="AR2551" t="s">
        <v>72</v>
      </c>
      <c r="AS2551">
        <v>1179</v>
      </c>
      <c r="AT2551" s="4">
        <v>42487</v>
      </c>
      <c r="AU2551" t="s">
        <v>73</v>
      </c>
      <c r="AV2551">
        <v>1179</v>
      </c>
      <c r="AW2551" s="4">
        <v>42487</v>
      </c>
      <c r="BD2551">
        <v>0</v>
      </c>
      <c r="BN2551" t="s">
        <v>74</v>
      </c>
    </row>
    <row r="2552" spans="1:66" hidden="1">
      <c r="A2552">
        <v>100824</v>
      </c>
      <c r="B2552" s="3" t="s">
        <v>252</v>
      </c>
      <c r="C2552" s="1">
        <v>43300101</v>
      </c>
      <c r="D2552" t="s">
        <v>67</v>
      </c>
      <c r="H2552" t="str">
        <f t="shared" si="258"/>
        <v>05750470634</v>
      </c>
      <c r="I2552" t="str">
        <f t="shared" si="258"/>
        <v>05750470634</v>
      </c>
      <c r="K2552" t="str">
        <f>""</f>
        <v/>
      </c>
      <c r="M2552" t="s">
        <v>68</v>
      </c>
      <c r="N2552" t="str">
        <f t="shared" si="256"/>
        <v>FOR</v>
      </c>
      <c r="O2552" t="s">
        <v>69</v>
      </c>
      <c r="P2552" s="3" t="s">
        <v>75</v>
      </c>
      <c r="Q2552">
        <v>2015</v>
      </c>
      <c r="R2552" s="2">
        <v>42181</v>
      </c>
      <c r="S2552" s="2">
        <v>42187</v>
      </c>
      <c r="T2552" s="2">
        <v>42184</v>
      </c>
      <c r="U2552" s="2">
        <v>42244</v>
      </c>
      <c r="V2552" t="s">
        <v>71</v>
      </c>
      <c r="W2552" t="str">
        <f>"               3/382"</f>
        <v xml:space="preserve">               3/382</v>
      </c>
      <c r="X2552">
        <v>406.64</v>
      </c>
      <c r="Y2552">
        <v>0</v>
      </c>
      <c r="Z2552"/>
      <c r="AB2552"/>
      <c r="AC2552">
        <v>391</v>
      </c>
      <c r="AD2552">
        <v>243</v>
      </c>
      <c r="AE2552" s="1">
        <v>95013</v>
      </c>
      <c r="AF2552">
        <v>0</v>
      </c>
      <c r="AJ2552">
        <v>0</v>
      </c>
      <c r="AK2552">
        <v>0</v>
      </c>
      <c r="AL2552">
        <v>0</v>
      </c>
      <c r="AM2552">
        <v>0</v>
      </c>
      <c r="AN2552">
        <v>0</v>
      </c>
      <c r="AO2552">
        <v>0</v>
      </c>
      <c r="AP2552" s="2">
        <v>42746</v>
      </c>
      <c r="AQ2552" t="s">
        <v>72</v>
      </c>
      <c r="AR2552" t="s">
        <v>72</v>
      </c>
      <c r="AS2552">
        <v>1179</v>
      </c>
      <c r="AT2552" s="4">
        <v>42487</v>
      </c>
      <c r="AU2552" t="s">
        <v>73</v>
      </c>
      <c r="AV2552">
        <v>1179</v>
      </c>
      <c r="AW2552" s="4">
        <v>42487</v>
      </c>
      <c r="BD2552">
        <v>0</v>
      </c>
      <c r="BN2552" t="s">
        <v>74</v>
      </c>
    </row>
    <row r="2553" spans="1:66">
      <c r="A2553">
        <v>100824</v>
      </c>
      <c r="B2553" s="3" t="s">
        <v>252</v>
      </c>
      <c r="C2553" s="1">
        <v>43300101</v>
      </c>
      <c r="D2553" t="s">
        <v>67</v>
      </c>
      <c r="H2553" t="str">
        <f t="shared" si="258"/>
        <v>05750470634</v>
      </c>
      <c r="I2553" t="str">
        <f t="shared" si="258"/>
        <v>05750470634</v>
      </c>
      <c r="K2553" t="str">
        <f>""</f>
        <v/>
      </c>
      <c r="M2553" t="s">
        <v>68</v>
      </c>
      <c r="N2553" t="str">
        <f t="shared" si="256"/>
        <v>FOR</v>
      </c>
      <c r="O2553" t="s">
        <v>69</v>
      </c>
      <c r="P2553" s="3" t="s">
        <v>75</v>
      </c>
      <c r="Q2553">
        <v>2015</v>
      </c>
      <c r="R2553" s="2">
        <v>42181</v>
      </c>
      <c r="S2553" s="2">
        <v>42193</v>
      </c>
      <c r="T2553" s="2">
        <v>42192</v>
      </c>
      <c r="U2553" s="2">
        <v>42252</v>
      </c>
      <c r="V2553" t="s">
        <v>71</v>
      </c>
      <c r="W2553" t="str">
        <f>"               3/383"</f>
        <v xml:space="preserve">               3/383</v>
      </c>
      <c r="X2553">
        <v>189.8</v>
      </c>
      <c r="Y2553">
        <v>0</v>
      </c>
      <c r="Z2553" s="3">
        <v>182.5</v>
      </c>
      <c r="AA2553">
        <v>430</v>
      </c>
      <c r="AB2553" s="5">
        <v>78475</v>
      </c>
      <c r="AC2553">
        <v>182.5</v>
      </c>
      <c r="AD2553">
        <v>430</v>
      </c>
      <c r="AE2553" s="1">
        <v>78475</v>
      </c>
      <c r="AF2553">
        <v>0</v>
      </c>
      <c r="AJ2553">
        <v>0</v>
      </c>
      <c r="AK2553">
        <v>0</v>
      </c>
      <c r="AL2553">
        <v>0</v>
      </c>
      <c r="AM2553">
        <v>0</v>
      </c>
      <c r="AN2553">
        <v>0</v>
      </c>
      <c r="AO2553">
        <v>0</v>
      </c>
      <c r="AP2553" s="2">
        <v>42746</v>
      </c>
      <c r="AQ2553" t="s">
        <v>72</v>
      </c>
      <c r="AR2553" t="s">
        <v>72</v>
      </c>
      <c r="AS2553">
        <v>2962</v>
      </c>
      <c r="AT2553" s="4">
        <v>42682</v>
      </c>
      <c r="AU2553" t="s">
        <v>73</v>
      </c>
      <c r="AV2553">
        <v>2962</v>
      </c>
      <c r="AW2553" s="4">
        <v>42682</v>
      </c>
      <c r="BD2553">
        <v>0</v>
      </c>
      <c r="BN2553" t="s">
        <v>74</v>
      </c>
    </row>
    <row r="2554" spans="1:66" hidden="1">
      <c r="A2554">
        <v>100824</v>
      </c>
      <c r="B2554" s="3" t="s">
        <v>252</v>
      </c>
      <c r="C2554" s="1">
        <v>43300101</v>
      </c>
      <c r="D2554" t="s">
        <v>67</v>
      </c>
      <c r="H2554" t="str">
        <f t="shared" si="258"/>
        <v>05750470634</v>
      </c>
      <c r="I2554" t="str">
        <f t="shared" si="258"/>
        <v>05750470634</v>
      </c>
      <c r="K2554" t="str">
        <f>""</f>
        <v/>
      </c>
      <c r="M2554" t="s">
        <v>68</v>
      </c>
      <c r="N2554" t="str">
        <f t="shared" si="256"/>
        <v>FOR</v>
      </c>
      <c r="O2554" t="s">
        <v>69</v>
      </c>
      <c r="P2554" s="3" t="s">
        <v>75</v>
      </c>
      <c r="Q2554">
        <v>2015</v>
      </c>
      <c r="R2554" s="2">
        <v>42202</v>
      </c>
      <c r="S2554" s="2">
        <v>42206</v>
      </c>
      <c r="T2554" s="2">
        <v>42205</v>
      </c>
      <c r="U2554" s="2">
        <v>42265</v>
      </c>
      <c r="V2554" t="s">
        <v>71</v>
      </c>
      <c r="W2554" t="str">
        <f>"               3/465"</f>
        <v xml:space="preserve">               3/465</v>
      </c>
      <c r="X2554" s="1">
        <v>2880.38</v>
      </c>
      <c r="Y2554">
        <v>0</v>
      </c>
      <c r="Z2554"/>
      <c r="AB2554"/>
      <c r="AC2554" s="1">
        <v>2769.6</v>
      </c>
      <c r="AD2554">
        <v>263</v>
      </c>
      <c r="AE2554" s="1">
        <v>728404.8</v>
      </c>
      <c r="AF2554">
        <v>0</v>
      </c>
      <c r="AJ2554">
        <v>0</v>
      </c>
      <c r="AK2554">
        <v>0</v>
      </c>
      <c r="AL2554">
        <v>0</v>
      </c>
      <c r="AM2554">
        <v>0</v>
      </c>
      <c r="AN2554">
        <v>0</v>
      </c>
      <c r="AO2554">
        <v>0</v>
      </c>
      <c r="AP2554" s="2">
        <v>42746</v>
      </c>
      <c r="AQ2554" t="s">
        <v>72</v>
      </c>
      <c r="AR2554" t="s">
        <v>72</v>
      </c>
      <c r="AS2554">
        <v>1552</v>
      </c>
      <c r="AT2554" s="4">
        <v>42528</v>
      </c>
      <c r="AU2554" t="s">
        <v>73</v>
      </c>
      <c r="AV2554">
        <v>1552</v>
      </c>
      <c r="AW2554" s="4">
        <v>42528</v>
      </c>
      <c r="BD2554">
        <v>0</v>
      </c>
      <c r="BN2554" t="s">
        <v>74</v>
      </c>
    </row>
    <row r="2555" spans="1:66" hidden="1">
      <c r="A2555">
        <v>100824</v>
      </c>
      <c r="B2555" s="3" t="s">
        <v>252</v>
      </c>
      <c r="C2555" s="1">
        <v>43300101</v>
      </c>
      <c r="D2555" t="s">
        <v>67</v>
      </c>
      <c r="H2555" t="str">
        <f t="shared" si="258"/>
        <v>05750470634</v>
      </c>
      <c r="I2555" t="str">
        <f t="shared" si="258"/>
        <v>05750470634</v>
      </c>
      <c r="K2555" t="str">
        <f>""</f>
        <v/>
      </c>
      <c r="M2555" t="s">
        <v>68</v>
      </c>
      <c r="N2555" t="str">
        <f t="shared" si="256"/>
        <v>FOR</v>
      </c>
      <c r="O2555" t="s">
        <v>69</v>
      </c>
      <c r="P2555" s="3" t="s">
        <v>75</v>
      </c>
      <c r="Q2555">
        <v>2015</v>
      </c>
      <c r="R2555" s="2">
        <v>42202</v>
      </c>
      <c r="S2555" s="2">
        <v>42206</v>
      </c>
      <c r="T2555" s="2">
        <v>42205</v>
      </c>
      <c r="U2555" s="2">
        <v>42265</v>
      </c>
      <c r="V2555" t="s">
        <v>71</v>
      </c>
      <c r="W2555" t="str">
        <f>"               3/466"</f>
        <v xml:space="preserve">               3/466</v>
      </c>
      <c r="X2555" s="1">
        <v>6289.92</v>
      </c>
      <c r="Y2555">
        <v>0</v>
      </c>
      <c r="Z2555"/>
      <c r="AB2555"/>
      <c r="AC2555" s="1">
        <v>6048</v>
      </c>
      <c r="AD2555">
        <v>263</v>
      </c>
      <c r="AE2555" s="1">
        <v>1590624</v>
      </c>
      <c r="AF2555">
        <v>0</v>
      </c>
      <c r="AJ2555">
        <v>0</v>
      </c>
      <c r="AK2555">
        <v>0</v>
      </c>
      <c r="AL2555">
        <v>0</v>
      </c>
      <c r="AM2555">
        <v>0</v>
      </c>
      <c r="AN2555">
        <v>0</v>
      </c>
      <c r="AO2555">
        <v>0</v>
      </c>
      <c r="AP2555" s="2">
        <v>42746</v>
      </c>
      <c r="AQ2555" t="s">
        <v>72</v>
      </c>
      <c r="AR2555" t="s">
        <v>72</v>
      </c>
      <c r="AS2555">
        <v>1552</v>
      </c>
      <c r="AT2555" s="4">
        <v>42528</v>
      </c>
      <c r="AU2555" t="s">
        <v>73</v>
      </c>
      <c r="AV2555">
        <v>1552</v>
      </c>
      <c r="AW2555" s="4">
        <v>42528</v>
      </c>
      <c r="BD2555">
        <v>0</v>
      </c>
      <c r="BN2555" t="s">
        <v>74</v>
      </c>
    </row>
    <row r="2556" spans="1:66" hidden="1">
      <c r="A2556">
        <v>100824</v>
      </c>
      <c r="B2556" s="3" t="s">
        <v>252</v>
      </c>
      <c r="C2556" s="1">
        <v>43300101</v>
      </c>
      <c r="D2556" t="s">
        <v>67</v>
      </c>
      <c r="H2556" t="str">
        <f t="shared" si="258"/>
        <v>05750470634</v>
      </c>
      <c r="I2556" t="str">
        <f t="shared" si="258"/>
        <v>05750470634</v>
      </c>
      <c r="K2556" t="str">
        <f>""</f>
        <v/>
      </c>
      <c r="M2556" t="s">
        <v>68</v>
      </c>
      <c r="N2556" t="str">
        <f t="shared" si="256"/>
        <v>FOR</v>
      </c>
      <c r="O2556" t="s">
        <v>69</v>
      </c>
      <c r="P2556" s="3" t="s">
        <v>75</v>
      </c>
      <c r="Q2556">
        <v>2015</v>
      </c>
      <c r="R2556" s="2">
        <v>42202</v>
      </c>
      <c r="S2556" s="2">
        <v>42206</v>
      </c>
      <c r="T2556" s="2">
        <v>42205</v>
      </c>
      <c r="U2556" s="2">
        <v>42265</v>
      </c>
      <c r="V2556" t="s">
        <v>71</v>
      </c>
      <c r="W2556" t="str">
        <f>"               3/467"</f>
        <v xml:space="preserve">               3/467</v>
      </c>
      <c r="X2556" s="1">
        <v>12414.58</v>
      </c>
      <c r="Y2556">
        <v>0</v>
      </c>
      <c r="Z2556"/>
      <c r="AB2556"/>
      <c r="AC2556" s="1">
        <v>11937.1</v>
      </c>
      <c r="AD2556">
        <v>263</v>
      </c>
      <c r="AE2556" s="1">
        <v>3139457.3</v>
      </c>
      <c r="AF2556">
        <v>0</v>
      </c>
      <c r="AJ2556">
        <v>0</v>
      </c>
      <c r="AK2556">
        <v>0</v>
      </c>
      <c r="AL2556">
        <v>0</v>
      </c>
      <c r="AM2556">
        <v>0</v>
      </c>
      <c r="AN2556">
        <v>0</v>
      </c>
      <c r="AO2556">
        <v>0</v>
      </c>
      <c r="AP2556" s="2">
        <v>42746</v>
      </c>
      <c r="AQ2556" t="s">
        <v>72</v>
      </c>
      <c r="AR2556" t="s">
        <v>72</v>
      </c>
      <c r="AS2556">
        <v>1552</v>
      </c>
      <c r="AT2556" s="4">
        <v>42528</v>
      </c>
      <c r="AU2556" t="s">
        <v>73</v>
      </c>
      <c r="AV2556">
        <v>1552</v>
      </c>
      <c r="AW2556" s="4">
        <v>42528</v>
      </c>
      <c r="BD2556">
        <v>0</v>
      </c>
      <c r="BN2556" t="s">
        <v>74</v>
      </c>
    </row>
    <row r="2557" spans="1:66">
      <c r="A2557">
        <v>100824</v>
      </c>
      <c r="B2557" s="3" t="s">
        <v>252</v>
      </c>
      <c r="C2557" s="1">
        <v>43300101</v>
      </c>
      <c r="D2557" t="s">
        <v>67</v>
      </c>
      <c r="H2557" t="str">
        <f t="shared" si="258"/>
        <v>05750470634</v>
      </c>
      <c r="I2557" t="str">
        <f t="shared" si="258"/>
        <v>05750470634</v>
      </c>
      <c r="K2557" t="str">
        <f>""</f>
        <v/>
      </c>
      <c r="M2557" t="s">
        <v>68</v>
      </c>
      <c r="N2557" t="str">
        <f t="shared" si="256"/>
        <v>FOR</v>
      </c>
      <c r="O2557" t="s">
        <v>69</v>
      </c>
      <c r="P2557" s="3" t="s">
        <v>75</v>
      </c>
      <c r="Q2557">
        <v>2015</v>
      </c>
      <c r="R2557" s="2">
        <v>42202</v>
      </c>
      <c r="S2557" s="2">
        <v>42205</v>
      </c>
      <c r="T2557" s="2">
        <v>42205</v>
      </c>
      <c r="U2557" s="2">
        <v>42265</v>
      </c>
      <c r="V2557" t="s">
        <v>71</v>
      </c>
      <c r="W2557" t="str">
        <f>"               3/468"</f>
        <v xml:space="preserve">               3/468</v>
      </c>
      <c r="X2557" s="1">
        <v>8381.57</v>
      </c>
      <c r="Y2557">
        <v>0</v>
      </c>
      <c r="Z2557" s="5">
        <v>8059.2</v>
      </c>
      <c r="AA2557">
        <v>454</v>
      </c>
      <c r="AB2557" s="5">
        <v>3658876.8</v>
      </c>
      <c r="AC2557" s="1">
        <v>8059.2</v>
      </c>
      <c r="AD2557">
        <v>454</v>
      </c>
      <c r="AE2557" s="1">
        <v>3658876.8</v>
      </c>
      <c r="AF2557">
        <v>322.37</v>
      </c>
      <c r="AJ2557">
        <v>0</v>
      </c>
      <c r="AK2557">
        <v>0</v>
      </c>
      <c r="AL2557">
        <v>0</v>
      </c>
      <c r="AM2557">
        <v>0</v>
      </c>
      <c r="AN2557">
        <v>0</v>
      </c>
      <c r="AO2557">
        <v>0</v>
      </c>
      <c r="AP2557" s="2">
        <v>42746</v>
      </c>
      <c r="AQ2557" t="s">
        <v>72</v>
      </c>
      <c r="AR2557" t="s">
        <v>72</v>
      </c>
      <c r="AS2557">
        <v>3512</v>
      </c>
      <c r="AT2557" s="4">
        <v>42719</v>
      </c>
      <c r="AU2557" t="s">
        <v>73</v>
      </c>
      <c r="AV2557">
        <v>3512</v>
      </c>
      <c r="AW2557" s="4">
        <v>42719</v>
      </c>
      <c r="BD2557">
        <v>322.37</v>
      </c>
      <c r="BN2557" t="s">
        <v>74</v>
      </c>
    </row>
    <row r="2558" spans="1:66" hidden="1">
      <c r="A2558">
        <v>100824</v>
      </c>
      <c r="B2558" s="3" t="s">
        <v>252</v>
      </c>
      <c r="C2558" s="1">
        <v>43300101</v>
      </c>
      <c r="D2558" t="s">
        <v>67</v>
      </c>
      <c r="H2558" t="str">
        <f t="shared" si="258"/>
        <v>05750470634</v>
      </c>
      <c r="I2558" t="str">
        <f t="shared" si="258"/>
        <v>05750470634</v>
      </c>
      <c r="K2558" t="str">
        <f>""</f>
        <v/>
      </c>
      <c r="M2558" t="s">
        <v>68</v>
      </c>
      <c r="N2558" t="str">
        <f t="shared" si="256"/>
        <v>FOR</v>
      </c>
      <c r="O2558" t="s">
        <v>69</v>
      </c>
      <c r="P2558" s="3" t="s">
        <v>75</v>
      </c>
      <c r="Q2558">
        <v>2015</v>
      </c>
      <c r="R2558" s="2">
        <v>42205</v>
      </c>
      <c r="S2558" s="2">
        <v>42206</v>
      </c>
      <c r="T2558" s="2">
        <v>42205</v>
      </c>
      <c r="U2558" s="2">
        <v>42265</v>
      </c>
      <c r="V2558" t="s">
        <v>71</v>
      </c>
      <c r="W2558" t="str">
        <f>"               3/472"</f>
        <v xml:space="preserve">               3/472</v>
      </c>
      <c r="X2558" s="1">
        <v>2995.2</v>
      </c>
      <c r="Y2558">
        <v>0</v>
      </c>
      <c r="Z2558"/>
      <c r="AB2558"/>
      <c r="AC2558" s="1">
        <v>2880</v>
      </c>
      <c r="AD2558">
        <v>263</v>
      </c>
      <c r="AE2558" s="1">
        <v>757440</v>
      </c>
      <c r="AF2558">
        <v>0</v>
      </c>
      <c r="AJ2558">
        <v>0</v>
      </c>
      <c r="AK2558">
        <v>0</v>
      </c>
      <c r="AL2558">
        <v>0</v>
      </c>
      <c r="AM2558">
        <v>0</v>
      </c>
      <c r="AN2558">
        <v>0</v>
      </c>
      <c r="AO2558">
        <v>0</v>
      </c>
      <c r="AP2558" s="2">
        <v>42746</v>
      </c>
      <c r="AQ2558" t="s">
        <v>72</v>
      </c>
      <c r="AR2558" t="s">
        <v>72</v>
      </c>
      <c r="AS2558">
        <v>1552</v>
      </c>
      <c r="AT2558" s="4">
        <v>42528</v>
      </c>
      <c r="AU2558" t="s">
        <v>73</v>
      </c>
      <c r="AV2558">
        <v>1552</v>
      </c>
      <c r="AW2558" s="4">
        <v>42528</v>
      </c>
      <c r="BD2558">
        <v>0</v>
      </c>
      <c r="BN2558" t="s">
        <v>74</v>
      </c>
    </row>
    <row r="2559" spans="1:66" hidden="1">
      <c r="A2559">
        <v>100824</v>
      </c>
      <c r="B2559" s="3" t="s">
        <v>252</v>
      </c>
      <c r="C2559" s="1">
        <v>43300101</v>
      </c>
      <c r="D2559" t="s">
        <v>67</v>
      </c>
      <c r="H2559" t="str">
        <f t="shared" si="258"/>
        <v>05750470634</v>
      </c>
      <c r="I2559" t="str">
        <f t="shared" si="258"/>
        <v>05750470634</v>
      </c>
      <c r="K2559" t="str">
        <f>""</f>
        <v/>
      </c>
      <c r="M2559" t="s">
        <v>68</v>
      </c>
      <c r="N2559" t="str">
        <f t="shared" si="256"/>
        <v>FOR</v>
      </c>
      <c r="O2559" t="s">
        <v>69</v>
      </c>
      <c r="P2559" s="3" t="s">
        <v>75</v>
      </c>
      <c r="Q2559">
        <v>2015</v>
      </c>
      <c r="R2559" s="2">
        <v>42223</v>
      </c>
      <c r="S2559" s="2">
        <v>42241</v>
      </c>
      <c r="T2559" s="2">
        <v>42240</v>
      </c>
      <c r="U2559" s="2">
        <v>42300</v>
      </c>
      <c r="V2559" t="s">
        <v>71</v>
      </c>
      <c r="W2559" t="str">
        <f>"               3/544"</f>
        <v xml:space="preserve">               3/544</v>
      </c>
      <c r="X2559">
        <v>832</v>
      </c>
      <c r="Y2559">
        <v>0</v>
      </c>
      <c r="Z2559"/>
      <c r="AB2559"/>
      <c r="AC2559">
        <v>800</v>
      </c>
      <c r="AD2559">
        <v>279</v>
      </c>
      <c r="AE2559" s="1">
        <v>223200</v>
      </c>
      <c r="AF2559">
        <v>0</v>
      </c>
      <c r="AJ2559">
        <v>0</v>
      </c>
      <c r="AK2559">
        <v>0</v>
      </c>
      <c r="AL2559">
        <v>0</v>
      </c>
      <c r="AM2559">
        <v>0</v>
      </c>
      <c r="AN2559">
        <v>0</v>
      </c>
      <c r="AO2559">
        <v>0</v>
      </c>
      <c r="AP2559" s="2">
        <v>42746</v>
      </c>
      <c r="AQ2559" t="s">
        <v>72</v>
      </c>
      <c r="AR2559" t="s">
        <v>72</v>
      </c>
      <c r="AS2559">
        <v>2030</v>
      </c>
      <c r="AT2559" s="4">
        <v>42579</v>
      </c>
      <c r="AU2559" t="s">
        <v>73</v>
      </c>
      <c r="AV2559">
        <v>2030</v>
      </c>
      <c r="AW2559" s="4">
        <v>42579</v>
      </c>
      <c r="BD2559">
        <v>0</v>
      </c>
      <c r="BN2559" t="s">
        <v>74</v>
      </c>
    </row>
    <row r="2560" spans="1:66" hidden="1">
      <c r="A2560">
        <v>100824</v>
      </c>
      <c r="B2560" s="3" t="s">
        <v>252</v>
      </c>
      <c r="C2560" s="1">
        <v>43300101</v>
      </c>
      <c r="D2560" t="s">
        <v>67</v>
      </c>
      <c r="H2560" t="str">
        <f t="shared" si="258"/>
        <v>05750470634</v>
      </c>
      <c r="I2560" t="str">
        <f t="shared" si="258"/>
        <v>05750470634</v>
      </c>
      <c r="K2560" t="str">
        <f>""</f>
        <v/>
      </c>
      <c r="M2560" t="s">
        <v>68</v>
      </c>
      <c r="N2560" t="str">
        <f t="shared" si="256"/>
        <v>FOR</v>
      </c>
      <c r="O2560" t="s">
        <v>69</v>
      </c>
      <c r="P2560" s="3" t="s">
        <v>75</v>
      </c>
      <c r="Q2560">
        <v>2015</v>
      </c>
      <c r="R2560" s="2">
        <v>42223</v>
      </c>
      <c r="S2560" s="2">
        <v>42241</v>
      </c>
      <c r="T2560" s="2">
        <v>42240</v>
      </c>
      <c r="U2560" s="2">
        <v>42300</v>
      </c>
      <c r="V2560" t="s">
        <v>71</v>
      </c>
      <c r="W2560" t="str">
        <f>"               3/545"</f>
        <v xml:space="preserve">               3/545</v>
      </c>
      <c r="X2560" s="1">
        <v>2947.78</v>
      </c>
      <c r="Y2560">
        <v>0</v>
      </c>
      <c r="Z2560"/>
      <c r="AB2560"/>
      <c r="AC2560" s="1">
        <v>2834.4</v>
      </c>
      <c r="AD2560">
        <v>279</v>
      </c>
      <c r="AE2560" s="1">
        <v>790797.6</v>
      </c>
      <c r="AF2560">
        <v>0</v>
      </c>
      <c r="AJ2560">
        <v>0</v>
      </c>
      <c r="AK2560">
        <v>0</v>
      </c>
      <c r="AL2560">
        <v>0</v>
      </c>
      <c r="AM2560">
        <v>0</v>
      </c>
      <c r="AN2560">
        <v>0</v>
      </c>
      <c r="AO2560">
        <v>0</v>
      </c>
      <c r="AP2560" s="2">
        <v>42746</v>
      </c>
      <c r="AQ2560" t="s">
        <v>72</v>
      </c>
      <c r="AR2560" t="s">
        <v>72</v>
      </c>
      <c r="AS2560">
        <v>2030</v>
      </c>
      <c r="AT2560" s="4">
        <v>42579</v>
      </c>
      <c r="AU2560" t="s">
        <v>73</v>
      </c>
      <c r="AV2560">
        <v>2030</v>
      </c>
      <c r="AW2560" s="4">
        <v>42579</v>
      </c>
      <c r="BD2560">
        <v>0</v>
      </c>
      <c r="BN2560" t="s">
        <v>74</v>
      </c>
    </row>
    <row r="2561" spans="1:66" hidden="1">
      <c r="A2561">
        <v>100824</v>
      </c>
      <c r="B2561" s="3" t="s">
        <v>252</v>
      </c>
      <c r="C2561" s="1">
        <v>43300101</v>
      </c>
      <c r="D2561" t="s">
        <v>67</v>
      </c>
      <c r="H2561" t="str">
        <f t="shared" si="258"/>
        <v>05750470634</v>
      </c>
      <c r="I2561" t="str">
        <f t="shared" si="258"/>
        <v>05750470634</v>
      </c>
      <c r="K2561" t="str">
        <f>""</f>
        <v/>
      </c>
      <c r="M2561" t="s">
        <v>68</v>
      </c>
      <c r="N2561" t="str">
        <f t="shared" si="256"/>
        <v>FOR</v>
      </c>
      <c r="O2561" t="s">
        <v>69</v>
      </c>
      <c r="P2561" s="3" t="s">
        <v>75</v>
      </c>
      <c r="Q2561">
        <v>2015</v>
      </c>
      <c r="R2561" s="2">
        <v>42223</v>
      </c>
      <c r="S2561" s="2">
        <v>42241</v>
      </c>
      <c r="T2561" s="2">
        <v>42240</v>
      </c>
      <c r="U2561" s="2">
        <v>42300</v>
      </c>
      <c r="V2561" t="s">
        <v>71</v>
      </c>
      <c r="W2561" t="str">
        <f>"               3/546"</f>
        <v xml:space="preserve">               3/546</v>
      </c>
      <c r="X2561" s="1">
        <v>8682.86</v>
      </c>
      <c r="Y2561">
        <v>0</v>
      </c>
      <c r="Z2561"/>
      <c r="AB2561"/>
      <c r="AC2561" s="1">
        <v>8348.9</v>
      </c>
      <c r="AD2561">
        <v>276</v>
      </c>
      <c r="AE2561" s="1">
        <v>2304296.4</v>
      </c>
      <c r="AF2561">
        <v>0</v>
      </c>
      <c r="AJ2561">
        <v>0</v>
      </c>
      <c r="AK2561">
        <v>0</v>
      </c>
      <c r="AL2561">
        <v>0</v>
      </c>
      <c r="AM2561">
        <v>0</v>
      </c>
      <c r="AN2561">
        <v>0</v>
      </c>
      <c r="AO2561">
        <v>0</v>
      </c>
      <c r="AP2561" s="2">
        <v>42746</v>
      </c>
      <c r="AQ2561" t="s">
        <v>72</v>
      </c>
      <c r="AR2561" t="s">
        <v>72</v>
      </c>
      <c r="AS2561">
        <v>1910</v>
      </c>
      <c r="AT2561" s="4">
        <v>42576</v>
      </c>
      <c r="AU2561" t="s">
        <v>73</v>
      </c>
      <c r="AV2561">
        <v>1910</v>
      </c>
      <c r="AW2561" s="4">
        <v>42576</v>
      </c>
      <c r="BD2561">
        <v>0</v>
      </c>
      <c r="BN2561" t="s">
        <v>74</v>
      </c>
    </row>
    <row r="2562" spans="1:66" hidden="1">
      <c r="A2562">
        <v>100824</v>
      </c>
      <c r="B2562" s="3" t="s">
        <v>252</v>
      </c>
      <c r="C2562" s="1">
        <v>43300101</v>
      </c>
      <c r="D2562" t="s">
        <v>67</v>
      </c>
      <c r="H2562" t="str">
        <f t="shared" si="258"/>
        <v>05750470634</v>
      </c>
      <c r="I2562" t="str">
        <f t="shared" si="258"/>
        <v>05750470634</v>
      </c>
      <c r="K2562" t="str">
        <f>""</f>
        <v/>
      </c>
      <c r="M2562" t="s">
        <v>68</v>
      </c>
      <c r="N2562" t="str">
        <f t="shared" si="256"/>
        <v>FOR</v>
      </c>
      <c r="O2562" t="s">
        <v>69</v>
      </c>
      <c r="P2562" s="3" t="s">
        <v>75</v>
      </c>
      <c r="Q2562">
        <v>2015</v>
      </c>
      <c r="R2562" s="2">
        <v>42223</v>
      </c>
      <c r="S2562" s="2">
        <v>42241</v>
      </c>
      <c r="T2562" s="2">
        <v>42240</v>
      </c>
      <c r="U2562" s="2">
        <v>42300</v>
      </c>
      <c r="V2562" t="s">
        <v>71</v>
      </c>
      <c r="W2562" t="str">
        <f>"               3/548"</f>
        <v xml:space="preserve">               3/548</v>
      </c>
      <c r="X2562" s="1">
        <v>4255.68</v>
      </c>
      <c r="Y2562">
        <v>0</v>
      </c>
      <c r="Z2562"/>
      <c r="AB2562"/>
      <c r="AC2562" s="1">
        <v>4092</v>
      </c>
      <c r="AD2562">
        <v>279</v>
      </c>
      <c r="AE2562" s="1">
        <v>1141668</v>
      </c>
      <c r="AF2562">
        <v>0</v>
      </c>
      <c r="AJ2562">
        <v>0</v>
      </c>
      <c r="AK2562">
        <v>0</v>
      </c>
      <c r="AL2562">
        <v>0</v>
      </c>
      <c r="AM2562">
        <v>0</v>
      </c>
      <c r="AN2562">
        <v>0</v>
      </c>
      <c r="AO2562">
        <v>0</v>
      </c>
      <c r="AP2562" s="2">
        <v>42746</v>
      </c>
      <c r="AQ2562" t="s">
        <v>72</v>
      </c>
      <c r="AR2562" t="s">
        <v>72</v>
      </c>
      <c r="AS2562">
        <v>2030</v>
      </c>
      <c r="AT2562" s="4">
        <v>42579</v>
      </c>
      <c r="AU2562" t="s">
        <v>73</v>
      </c>
      <c r="AV2562">
        <v>2030</v>
      </c>
      <c r="AW2562" s="4">
        <v>42579</v>
      </c>
      <c r="BD2562">
        <v>0</v>
      </c>
      <c r="BN2562" t="s">
        <v>74</v>
      </c>
    </row>
    <row r="2563" spans="1:66" hidden="1">
      <c r="A2563">
        <v>100824</v>
      </c>
      <c r="B2563" s="3" t="s">
        <v>252</v>
      </c>
      <c r="C2563" s="1">
        <v>43300101</v>
      </c>
      <c r="D2563" t="s">
        <v>67</v>
      </c>
      <c r="H2563" t="str">
        <f t="shared" ref="H2563:I2582" si="259">"05750470634"</f>
        <v>05750470634</v>
      </c>
      <c r="I2563" t="str">
        <f t="shared" si="259"/>
        <v>05750470634</v>
      </c>
      <c r="K2563" t="str">
        <f>""</f>
        <v/>
      </c>
      <c r="M2563" t="s">
        <v>68</v>
      </c>
      <c r="N2563" t="str">
        <f t="shared" si="256"/>
        <v>FOR</v>
      </c>
      <c r="O2563" t="s">
        <v>69</v>
      </c>
      <c r="P2563" s="3" t="s">
        <v>75</v>
      </c>
      <c r="Q2563">
        <v>2015</v>
      </c>
      <c r="R2563" s="2">
        <v>42243</v>
      </c>
      <c r="S2563" s="2">
        <v>42248</v>
      </c>
      <c r="T2563" s="2">
        <v>42247</v>
      </c>
      <c r="U2563" s="2">
        <v>42307</v>
      </c>
      <c r="V2563" t="s">
        <v>71</v>
      </c>
      <c r="W2563" t="str">
        <f>"               3/573"</f>
        <v xml:space="preserve">               3/573</v>
      </c>
      <c r="X2563" s="1">
        <v>10402.91</v>
      </c>
      <c r="Y2563">
        <v>0</v>
      </c>
      <c r="Z2563"/>
      <c r="AB2563"/>
      <c r="AC2563" s="1">
        <v>10002.799999999999</v>
      </c>
      <c r="AD2563">
        <v>269</v>
      </c>
      <c r="AE2563" s="1">
        <v>2690753.2</v>
      </c>
      <c r="AF2563">
        <v>0</v>
      </c>
      <c r="AJ2563">
        <v>0</v>
      </c>
      <c r="AK2563">
        <v>0</v>
      </c>
      <c r="AL2563">
        <v>0</v>
      </c>
      <c r="AM2563">
        <v>0</v>
      </c>
      <c r="AN2563">
        <v>0</v>
      </c>
      <c r="AO2563">
        <v>0</v>
      </c>
      <c r="AP2563" s="2">
        <v>42746</v>
      </c>
      <c r="AQ2563" t="s">
        <v>72</v>
      </c>
      <c r="AR2563" t="s">
        <v>72</v>
      </c>
      <c r="AS2563">
        <v>1910</v>
      </c>
      <c r="AT2563" s="4">
        <v>42576</v>
      </c>
      <c r="AU2563" t="s">
        <v>73</v>
      </c>
      <c r="AV2563">
        <v>1910</v>
      </c>
      <c r="AW2563" s="4">
        <v>42576</v>
      </c>
      <c r="BD2563">
        <v>0</v>
      </c>
      <c r="BN2563" t="s">
        <v>74</v>
      </c>
    </row>
    <row r="2564" spans="1:66" hidden="1">
      <c r="A2564">
        <v>100824</v>
      </c>
      <c r="B2564" s="3" t="s">
        <v>252</v>
      </c>
      <c r="C2564" s="1">
        <v>43300101</v>
      </c>
      <c r="D2564" t="s">
        <v>67</v>
      </c>
      <c r="H2564" t="str">
        <f t="shared" si="259"/>
        <v>05750470634</v>
      </c>
      <c r="I2564" t="str">
        <f t="shared" si="259"/>
        <v>05750470634</v>
      </c>
      <c r="K2564" t="str">
        <f>""</f>
        <v/>
      </c>
      <c r="M2564" t="s">
        <v>68</v>
      </c>
      <c r="N2564" t="str">
        <f t="shared" si="256"/>
        <v>FOR</v>
      </c>
      <c r="O2564" t="s">
        <v>69</v>
      </c>
      <c r="P2564" s="3" t="s">
        <v>75</v>
      </c>
      <c r="Q2564">
        <v>2015</v>
      </c>
      <c r="R2564" s="2">
        <v>42243</v>
      </c>
      <c r="S2564" s="2">
        <v>42248</v>
      </c>
      <c r="T2564" s="2">
        <v>42247</v>
      </c>
      <c r="U2564" s="2">
        <v>42307</v>
      </c>
      <c r="V2564" t="s">
        <v>71</v>
      </c>
      <c r="W2564" t="str">
        <f>"               3/575"</f>
        <v xml:space="preserve">               3/575</v>
      </c>
      <c r="X2564" s="1">
        <v>4717.4399999999996</v>
      </c>
      <c r="Y2564">
        <v>0</v>
      </c>
      <c r="Z2564"/>
      <c r="AB2564"/>
      <c r="AC2564" s="1">
        <v>4536</v>
      </c>
      <c r="AD2564">
        <v>272</v>
      </c>
      <c r="AE2564" s="1">
        <v>1233792</v>
      </c>
      <c r="AF2564">
        <v>0</v>
      </c>
      <c r="AJ2564">
        <v>0</v>
      </c>
      <c r="AK2564">
        <v>0</v>
      </c>
      <c r="AL2564">
        <v>0</v>
      </c>
      <c r="AM2564">
        <v>0</v>
      </c>
      <c r="AN2564">
        <v>0</v>
      </c>
      <c r="AO2564">
        <v>0</v>
      </c>
      <c r="AP2564" s="2">
        <v>42746</v>
      </c>
      <c r="AQ2564" t="s">
        <v>72</v>
      </c>
      <c r="AR2564" t="s">
        <v>72</v>
      </c>
      <c r="AS2564">
        <v>2030</v>
      </c>
      <c r="AT2564" s="4">
        <v>42579</v>
      </c>
      <c r="AU2564" t="s">
        <v>73</v>
      </c>
      <c r="AV2564">
        <v>2030</v>
      </c>
      <c r="AW2564" s="4">
        <v>42579</v>
      </c>
      <c r="BD2564">
        <v>0</v>
      </c>
      <c r="BN2564" t="s">
        <v>74</v>
      </c>
    </row>
    <row r="2565" spans="1:66" hidden="1">
      <c r="A2565">
        <v>100824</v>
      </c>
      <c r="B2565" s="3" t="s">
        <v>252</v>
      </c>
      <c r="C2565" s="1">
        <v>43300101</v>
      </c>
      <c r="D2565" t="s">
        <v>67</v>
      </c>
      <c r="H2565" t="str">
        <f t="shared" si="259"/>
        <v>05750470634</v>
      </c>
      <c r="I2565" t="str">
        <f t="shared" si="259"/>
        <v>05750470634</v>
      </c>
      <c r="K2565" t="str">
        <f>""</f>
        <v/>
      </c>
      <c r="M2565" t="s">
        <v>68</v>
      </c>
      <c r="N2565" t="str">
        <f t="shared" si="256"/>
        <v>FOR</v>
      </c>
      <c r="O2565" t="s">
        <v>69</v>
      </c>
      <c r="P2565" s="3" t="s">
        <v>75</v>
      </c>
      <c r="Q2565">
        <v>2015</v>
      </c>
      <c r="R2565" s="2">
        <v>42243</v>
      </c>
      <c r="S2565" s="2">
        <v>42248</v>
      </c>
      <c r="T2565" s="2">
        <v>42247</v>
      </c>
      <c r="U2565" s="2">
        <v>42307</v>
      </c>
      <c r="V2565" t="s">
        <v>71</v>
      </c>
      <c r="W2565" t="str">
        <f>"               3/576"</f>
        <v xml:space="preserve">               3/576</v>
      </c>
      <c r="X2565">
        <v>616.51</v>
      </c>
      <c r="Y2565">
        <v>0</v>
      </c>
      <c r="Z2565"/>
      <c r="AB2565"/>
      <c r="AC2565">
        <v>592.79999999999995</v>
      </c>
      <c r="AD2565">
        <v>272</v>
      </c>
      <c r="AE2565" s="1">
        <v>161241.60000000001</v>
      </c>
      <c r="AF2565">
        <v>0</v>
      </c>
      <c r="AJ2565">
        <v>0</v>
      </c>
      <c r="AK2565">
        <v>0</v>
      </c>
      <c r="AL2565">
        <v>0</v>
      </c>
      <c r="AM2565">
        <v>0</v>
      </c>
      <c r="AN2565">
        <v>0</v>
      </c>
      <c r="AO2565">
        <v>0</v>
      </c>
      <c r="AP2565" s="2">
        <v>42746</v>
      </c>
      <c r="AQ2565" t="s">
        <v>72</v>
      </c>
      <c r="AR2565" t="s">
        <v>72</v>
      </c>
      <c r="AS2565">
        <v>2030</v>
      </c>
      <c r="AT2565" s="4">
        <v>42579</v>
      </c>
      <c r="AU2565" t="s">
        <v>73</v>
      </c>
      <c r="AV2565">
        <v>2030</v>
      </c>
      <c r="AW2565" s="4">
        <v>42579</v>
      </c>
      <c r="BD2565">
        <v>0</v>
      </c>
      <c r="BN2565" t="s">
        <v>74</v>
      </c>
    </row>
    <row r="2566" spans="1:66" hidden="1">
      <c r="A2566">
        <v>100824</v>
      </c>
      <c r="B2566" s="3" t="s">
        <v>252</v>
      </c>
      <c r="C2566" s="1">
        <v>43300101</v>
      </c>
      <c r="D2566" t="s">
        <v>67</v>
      </c>
      <c r="H2566" t="str">
        <f t="shared" si="259"/>
        <v>05750470634</v>
      </c>
      <c r="I2566" t="str">
        <f t="shared" si="259"/>
        <v>05750470634</v>
      </c>
      <c r="K2566" t="str">
        <f>""</f>
        <v/>
      </c>
      <c r="M2566" t="s">
        <v>68</v>
      </c>
      <c r="N2566" t="str">
        <f t="shared" si="256"/>
        <v>FOR</v>
      </c>
      <c r="O2566" t="s">
        <v>69</v>
      </c>
      <c r="P2566" s="3" t="s">
        <v>75</v>
      </c>
      <c r="Q2566">
        <v>2015</v>
      </c>
      <c r="R2566" s="2">
        <v>42243</v>
      </c>
      <c r="S2566" s="2">
        <v>42248</v>
      </c>
      <c r="T2566" s="2">
        <v>42247</v>
      </c>
      <c r="U2566" s="2">
        <v>42307</v>
      </c>
      <c r="V2566" t="s">
        <v>71</v>
      </c>
      <c r="W2566" t="str">
        <f>"               3/577"</f>
        <v xml:space="preserve">               3/577</v>
      </c>
      <c r="X2566" s="1">
        <v>1497.6</v>
      </c>
      <c r="Y2566">
        <v>0</v>
      </c>
      <c r="Z2566"/>
      <c r="AB2566"/>
      <c r="AC2566" s="1">
        <v>1440</v>
      </c>
      <c r="AD2566">
        <v>269</v>
      </c>
      <c r="AE2566" s="1">
        <v>387360</v>
      </c>
      <c r="AF2566">
        <v>0</v>
      </c>
      <c r="AJ2566">
        <v>0</v>
      </c>
      <c r="AK2566">
        <v>0</v>
      </c>
      <c r="AL2566">
        <v>0</v>
      </c>
      <c r="AM2566">
        <v>0</v>
      </c>
      <c r="AN2566">
        <v>0</v>
      </c>
      <c r="AO2566">
        <v>0</v>
      </c>
      <c r="AP2566" s="2">
        <v>42746</v>
      </c>
      <c r="AQ2566" t="s">
        <v>72</v>
      </c>
      <c r="AR2566" t="s">
        <v>72</v>
      </c>
      <c r="AS2566">
        <v>1910</v>
      </c>
      <c r="AT2566" s="4">
        <v>42576</v>
      </c>
      <c r="AU2566" t="s">
        <v>73</v>
      </c>
      <c r="AV2566">
        <v>1910</v>
      </c>
      <c r="AW2566" s="4">
        <v>42576</v>
      </c>
      <c r="BD2566">
        <v>0</v>
      </c>
      <c r="BN2566" t="s">
        <v>74</v>
      </c>
    </row>
    <row r="2567" spans="1:66" hidden="1">
      <c r="A2567">
        <v>100824</v>
      </c>
      <c r="B2567" s="3" t="s">
        <v>252</v>
      </c>
      <c r="C2567" s="1">
        <v>43300101</v>
      </c>
      <c r="D2567" t="s">
        <v>67</v>
      </c>
      <c r="H2567" t="str">
        <f t="shared" si="259"/>
        <v>05750470634</v>
      </c>
      <c r="I2567" t="str">
        <f t="shared" si="259"/>
        <v>05750470634</v>
      </c>
      <c r="K2567" t="str">
        <f>""</f>
        <v/>
      </c>
      <c r="M2567" t="s">
        <v>68</v>
      </c>
      <c r="N2567" t="str">
        <f t="shared" ref="N2567:N2630" si="260">"FOR"</f>
        <v>FOR</v>
      </c>
      <c r="O2567" t="s">
        <v>69</v>
      </c>
      <c r="P2567" s="3" t="s">
        <v>75</v>
      </c>
      <c r="Q2567">
        <v>2015</v>
      </c>
      <c r="R2567" s="2">
        <v>42247</v>
      </c>
      <c r="S2567" s="2">
        <v>42248</v>
      </c>
      <c r="T2567" s="2">
        <v>42247</v>
      </c>
      <c r="U2567" s="2">
        <v>42307</v>
      </c>
      <c r="V2567" t="s">
        <v>71</v>
      </c>
      <c r="W2567" t="str">
        <f>"               3/580"</f>
        <v xml:space="preserve">               3/580</v>
      </c>
      <c r="X2567" s="1">
        <v>8560.34</v>
      </c>
      <c r="Y2567">
        <v>0</v>
      </c>
      <c r="Z2567"/>
      <c r="AB2567"/>
      <c r="AC2567" s="1">
        <v>7016.67</v>
      </c>
      <c r="AD2567">
        <v>272</v>
      </c>
      <c r="AE2567" s="1">
        <v>1908534.24</v>
      </c>
      <c r="AF2567">
        <v>0</v>
      </c>
      <c r="AJ2567">
        <v>0</v>
      </c>
      <c r="AK2567">
        <v>0</v>
      </c>
      <c r="AL2567">
        <v>0</v>
      </c>
      <c r="AM2567">
        <v>0</v>
      </c>
      <c r="AN2567">
        <v>0</v>
      </c>
      <c r="AO2567">
        <v>0</v>
      </c>
      <c r="AP2567" s="2">
        <v>42746</v>
      </c>
      <c r="AQ2567" t="s">
        <v>72</v>
      </c>
      <c r="AR2567" t="s">
        <v>72</v>
      </c>
      <c r="AS2567">
        <v>2030</v>
      </c>
      <c r="AT2567" s="4">
        <v>42579</v>
      </c>
      <c r="AU2567" t="s">
        <v>73</v>
      </c>
      <c r="AV2567">
        <v>2030</v>
      </c>
      <c r="AW2567" s="4">
        <v>42579</v>
      </c>
      <c r="BD2567">
        <v>0</v>
      </c>
      <c r="BN2567" t="s">
        <v>74</v>
      </c>
    </row>
    <row r="2568" spans="1:66" hidden="1">
      <c r="A2568">
        <v>100824</v>
      </c>
      <c r="B2568" s="3" t="s">
        <v>252</v>
      </c>
      <c r="C2568" s="1">
        <v>43300101</v>
      </c>
      <c r="D2568" t="s">
        <v>67</v>
      </c>
      <c r="H2568" t="str">
        <f t="shared" si="259"/>
        <v>05750470634</v>
      </c>
      <c r="I2568" t="str">
        <f t="shared" si="259"/>
        <v>05750470634</v>
      </c>
      <c r="K2568" t="str">
        <f>""</f>
        <v/>
      </c>
      <c r="M2568" t="s">
        <v>68</v>
      </c>
      <c r="N2568" t="str">
        <f t="shared" si="260"/>
        <v>FOR</v>
      </c>
      <c r="O2568" t="s">
        <v>69</v>
      </c>
      <c r="P2568" s="3" t="s">
        <v>75</v>
      </c>
      <c r="Q2568">
        <v>2015</v>
      </c>
      <c r="R2568" s="2">
        <v>42262</v>
      </c>
      <c r="S2568" s="2">
        <v>42263</v>
      </c>
      <c r="T2568" s="2">
        <v>42262</v>
      </c>
      <c r="U2568" s="2">
        <v>42322</v>
      </c>
      <c r="V2568" t="s">
        <v>71</v>
      </c>
      <c r="W2568" t="str">
        <f>"               3/638"</f>
        <v xml:space="preserve">               3/638</v>
      </c>
      <c r="X2568">
        <v>898.56</v>
      </c>
      <c r="Y2568">
        <v>0</v>
      </c>
      <c r="Z2568"/>
      <c r="AB2568"/>
      <c r="AC2568">
        <v>864</v>
      </c>
      <c r="AD2568">
        <v>297</v>
      </c>
      <c r="AE2568" s="1">
        <v>256608</v>
      </c>
      <c r="AF2568">
        <v>0</v>
      </c>
      <c r="AJ2568">
        <v>0</v>
      </c>
      <c r="AK2568">
        <v>0</v>
      </c>
      <c r="AL2568">
        <v>0</v>
      </c>
      <c r="AM2568">
        <v>0</v>
      </c>
      <c r="AN2568">
        <v>0</v>
      </c>
      <c r="AO2568">
        <v>0</v>
      </c>
      <c r="AP2568" s="2">
        <v>42746</v>
      </c>
      <c r="AQ2568" t="s">
        <v>72</v>
      </c>
      <c r="AR2568" t="s">
        <v>72</v>
      </c>
      <c r="AS2568">
        <v>2276</v>
      </c>
      <c r="AT2568" s="4">
        <v>42619</v>
      </c>
      <c r="AU2568" t="s">
        <v>73</v>
      </c>
      <c r="AV2568">
        <v>2276</v>
      </c>
      <c r="AW2568" s="4">
        <v>42619</v>
      </c>
      <c r="BD2568">
        <v>0</v>
      </c>
      <c r="BN2568" t="s">
        <v>74</v>
      </c>
    </row>
    <row r="2569" spans="1:66" hidden="1">
      <c r="A2569">
        <v>100824</v>
      </c>
      <c r="B2569" s="3" t="s">
        <v>252</v>
      </c>
      <c r="C2569" s="1">
        <v>43300101</v>
      </c>
      <c r="D2569" t="s">
        <v>67</v>
      </c>
      <c r="H2569" t="str">
        <f t="shared" si="259"/>
        <v>05750470634</v>
      </c>
      <c r="I2569" t="str">
        <f t="shared" si="259"/>
        <v>05750470634</v>
      </c>
      <c r="K2569" t="str">
        <f>""</f>
        <v/>
      </c>
      <c r="M2569" t="s">
        <v>68</v>
      </c>
      <c r="N2569" t="str">
        <f t="shared" si="260"/>
        <v>FOR</v>
      </c>
      <c r="O2569" t="s">
        <v>69</v>
      </c>
      <c r="P2569" s="3" t="s">
        <v>75</v>
      </c>
      <c r="Q2569">
        <v>2015</v>
      </c>
      <c r="R2569" s="2">
        <v>42262</v>
      </c>
      <c r="S2569" s="2">
        <v>42263</v>
      </c>
      <c r="T2569" s="2">
        <v>42262</v>
      </c>
      <c r="U2569" s="2">
        <v>42322</v>
      </c>
      <c r="V2569" t="s">
        <v>71</v>
      </c>
      <c r="W2569" t="str">
        <f>"               3/639"</f>
        <v xml:space="preserve">               3/639</v>
      </c>
      <c r="X2569" s="1">
        <v>1430.1</v>
      </c>
      <c r="Y2569">
        <v>0</v>
      </c>
      <c r="Z2569"/>
      <c r="AB2569"/>
      <c r="AC2569" s="1">
        <v>1375.1</v>
      </c>
      <c r="AD2569">
        <v>297</v>
      </c>
      <c r="AE2569" s="1">
        <v>408404.7</v>
      </c>
      <c r="AF2569">
        <v>0</v>
      </c>
      <c r="AJ2569">
        <v>0</v>
      </c>
      <c r="AK2569">
        <v>0</v>
      </c>
      <c r="AL2569">
        <v>0</v>
      </c>
      <c r="AM2569">
        <v>0</v>
      </c>
      <c r="AN2569">
        <v>0</v>
      </c>
      <c r="AO2569">
        <v>0</v>
      </c>
      <c r="AP2569" s="2">
        <v>42746</v>
      </c>
      <c r="AQ2569" t="s">
        <v>72</v>
      </c>
      <c r="AR2569" t="s">
        <v>72</v>
      </c>
      <c r="AS2569">
        <v>2276</v>
      </c>
      <c r="AT2569" s="4">
        <v>42619</v>
      </c>
      <c r="AU2569" t="s">
        <v>73</v>
      </c>
      <c r="AV2569">
        <v>2276</v>
      </c>
      <c r="AW2569" s="4">
        <v>42619</v>
      </c>
      <c r="BD2569">
        <v>0</v>
      </c>
      <c r="BN2569" t="s">
        <v>74</v>
      </c>
    </row>
    <row r="2570" spans="1:66" hidden="1">
      <c r="A2570">
        <v>100824</v>
      </c>
      <c r="B2570" s="3" t="s">
        <v>252</v>
      </c>
      <c r="C2570" s="1">
        <v>43300101</v>
      </c>
      <c r="D2570" t="s">
        <v>67</v>
      </c>
      <c r="H2570" t="str">
        <f t="shared" si="259"/>
        <v>05750470634</v>
      </c>
      <c r="I2570" t="str">
        <f t="shared" si="259"/>
        <v>05750470634</v>
      </c>
      <c r="K2570" t="str">
        <f>""</f>
        <v/>
      </c>
      <c r="M2570" t="s">
        <v>68</v>
      </c>
      <c r="N2570" t="str">
        <f t="shared" si="260"/>
        <v>FOR</v>
      </c>
      <c r="O2570" t="s">
        <v>69</v>
      </c>
      <c r="P2570" s="3" t="s">
        <v>75</v>
      </c>
      <c r="Q2570">
        <v>2015</v>
      </c>
      <c r="R2570" s="2">
        <v>42264</v>
      </c>
      <c r="S2570" s="2">
        <v>42265</v>
      </c>
      <c r="T2570" s="2">
        <v>42264</v>
      </c>
      <c r="U2570" s="2">
        <v>42324</v>
      </c>
      <c r="V2570" t="s">
        <v>71</v>
      </c>
      <c r="W2570" t="str">
        <f>"               3/656"</f>
        <v xml:space="preserve">               3/656</v>
      </c>
      <c r="X2570" s="1">
        <v>4087.74</v>
      </c>
      <c r="Y2570">
        <v>0</v>
      </c>
      <c r="Z2570"/>
      <c r="AB2570"/>
      <c r="AC2570" s="1">
        <v>3350.61</v>
      </c>
      <c r="AD2570">
        <v>295</v>
      </c>
      <c r="AE2570" s="1">
        <v>988429.95</v>
      </c>
      <c r="AF2570">
        <v>0</v>
      </c>
      <c r="AJ2570">
        <v>0</v>
      </c>
      <c r="AK2570">
        <v>0</v>
      </c>
      <c r="AL2570">
        <v>0</v>
      </c>
      <c r="AM2570">
        <v>0</v>
      </c>
      <c r="AN2570">
        <v>0</v>
      </c>
      <c r="AO2570">
        <v>0</v>
      </c>
      <c r="AP2570" s="2">
        <v>42746</v>
      </c>
      <c r="AQ2570" t="s">
        <v>72</v>
      </c>
      <c r="AR2570" t="s">
        <v>72</v>
      </c>
      <c r="AS2570">
        <v>2276</v>
      </c>
      <c r="AT2570" s="4">
        <v>42619</v>
      </c>
      <c r="AU2570" t="s">
        <v>73</v>
      </c>
      <c r="AV2570">
        <v>2276</v>
      </c>
      <c r="AW2570" s="4">
        <v>42619</v>
      </c>
      <c r="BD2570">
        <v>0</v>
      </c>
      <c r="BN2570" t="s">
        <v>74</v>
      </c>
    </row>
    <row r="2571" spans="1:66" hidden="1">
      <c r="A2571">
        <v>100824</v>
      </c>
      <c r="B2571" s="3" t="s">
        <v>252</v>
      </c>
      <c r="C2571" s="1">
        <v>43300101</v>
      </c>
      <c r="D2571" t="s">
        <v>67</v>
      </c>
      <c r="H2571" t="str">
        <f t="shared" si="259"/>
        <v>05750470634</v>
      </c>
      <c r="I2571" t="str">
        <f t="shared" si="259"/>
        <v>05750470634</v>
      </c>
      <c r="K2571" t="str">
        <f>""</f>
        <v/>
      </c>
      <c r="M2571" t="s">
        <v>68</v>
      </c>
      <c r="N2571" t="str">
        <f t="shared" si="260"/>
        <v>FOR</v>
      </c>
      <c r="O2571" t="s">
        <v>69</v>
      </c>
      <c r="P2571" s="3" t="s">
        <v>75</v>
      </c>
      <c r="Q2571">
        <v>2015</v>
      </c>
      <c r="R2571" s="2">
        <v>42264</v>
      </c>
      <c r="S2571" s="2">
        <v>42265</v>
      </c>
      <c r="T2571" s="2">
        <v>42264</v>
      </c>
      <c r="U2571" s="2">
        <v>42324</v>
      </c>
      <c r="V2571" t="s">
        <v>71</v>
      </c>
      <c r="W2571" t="str">
        <f>"               3/657"</f>
        <v xml:space="preserve">               3/657</v>
      </c>
      <c r="X2571" s="1">
        <v>4152.03</v>
      </c>
      <c r="Y2571">
        <v>0</v>
      </c>
      <c r="Z2571"/>
      <c r="AB2571"/>
      <c r="AC2571" s="1">
        <v>3403.3</v>
      </c>
      <c r="AD2571">
        <v>295</v>
      </c>
      <c r="AE2571" s="1">
        <v>1003973.5</v>
      </c>
      <c r="AF2571">
        <v>0</v>
      </c>
      <c r="AJ2571">
        <v>0</v>
      </c>
      <c r="AK2571">
        <v>0</v>
      </c>
      <c r="AL2571">
        <v>0</v>
      </c>
      <c r="AM2571">
        <v>0</v>
      </c>
      <c r="AN2571">
        <v>0</v>
      </c>
      <c r="AO2571">
        <v>0</v>
      </c>
      <c r="AP2571" s="2">
        <v>42746</v>
      </c>
      <c r="AQ2571" t="s">
        <v>72</v>
      </c>
      <c r="AR2571" t="s">
        <v>72</v>
      </c>
      <c r="AS2571">
        <v>2276</v>
      </c>
      <c r="AT2571" s="4">
        <v>42619</v>
      </c>
      <c r="AU2571" t="s">
        <v>73</v>
      </c>
      <c r="AV2571">
        <v>2276</v>
      </c>
      <c r="AW2571" s="4">
        <v>42619</v>
      </c>
      <c r="BD2571">
        <v>0</v>
      </c>
      <c r="BN2571" t="s">
        <v>74</v>
      </c>
    </row>
    <row r="2572" spans="1:66" hidden="1">
      <c r="A2572">
        <v>100824</v>
      </c>
      <c r="B2572" s="3" t="s">
        <v>252</v>
      </c>
      <c r="C2572" s="1">
        <v>43300101</v>
      </c>
      <c r="D2572" t="s">
        <v>67</v>
      </c>
      <c r="H2572" t="str">
        <f t="shared" si="259"/>
        <v>05750470634</v>
      </c>
      <c r="I2572" t="str">
        <f t="shared" si="259"/>
        <v>05750470634</v>
      </c>
      <c r="K2572" t="str">
        <f>""</f>
        <v/>
      </c>
      <c r="M2572" t="s">
        <v>68</v>
      </c>
      <c r="N2572" t="str">
        <f t="shared" si="260"/>
        <v>FOR</v>
      </c>
      <c r="O2572" t="s">
        <v>69</v>
      </c>
      <c r="P2572" s="3" t="s">
        <v>75</v>
      </c>
      <c r="Q2572">
        <v>2015</v>
      </c>
      <c r="R2572" s="2">
        <v>42264</v>
      </c>
      <c r="S2572" s="2">
        <v>42265</v>
      </c>
      <c r="T2572" s="2">
        <v>42264</v>
      </c>
      <c r="U2572" s="2">
        <v>42324</v>
      </c>
      <c r="V2572" t="s">
        <v>71</v>
      </c>
      <c r="W2572" t="str">
        <f>"               3/658"</f>
        <v xml:space="preserve">               3/658</v>
      </c>
      <c r="X2572" s="1">
        <v>3565.38</v>
      </c>
      <c r="Y2572">
        <v>0</v>
      </c>
      <c r="Z2572"/>
      <c r="AB2572"/>
      <c r="AC2572" s="1">
        <v>2922.44</v>
      </c>
      <c r="AD2572">
        <v>295</v>
      </c>
      <c r="AE2572" s="1">
        <v>862119.8</v>
      </c>
      <c r="AF2572">
        <v>0</v>
      </c>
      <c r="AJ2572">
        <v>0</v>
      </c>
      <c r="AK2572">
        <v>0</v>
      </c>
      <c r="AL2572">
        <v>0</v>
      </c>
      <c r="AM2572">
        <v>0</v>
      </c>
      <c r="AN2572">
        <v>0</v>
      </c>
      <c r="AO2572">
        <v>0</v>
      </c>
      <c r="AP2572" s="2">
        <v>42746</v>
      </c>
      <c r="AQ2572" t="s">
        <v>72</v>
      </c>
      <c r="AR2572" t="s">
        <v>72</v>
      </c>
      <c r="AS2572">
        <v>2276</v>
      </c>
      <c r="AT2572" s="4">
        <v>42619</v>
      </c>
      <c r="AU2572" t="s">
        <v>73</v>
      </c>
      <c r="AV2572">
        <v>2276</v>
      </c>
      <c r="AW2572" s="4">
        <v>42619</v>
      </c>
      <c r="BD2572">
        <v>0</v>
      </c>
      <c r="BN2572" t="s">
        <v>74</v>
      </c>
    </row>
    <row r="2573" spans="1:66" hidden="1">
      <c r="A2573">
        <v>100824</v>
      </c>
      <c r="B2573" s="3" t="s">
        <v>252</v>
      </c>
      <c r="C2573" s="1">
        <v>43300101</v>
      </c>
      <c r="D2573" t="s">
        <v>67</v>
      </c>
      <c r="H2573" t="str">
        <f t="shared" si="259"/>
        <v>05750470634</v>
      </c>
      <c r="I2573" t="str">
        <f t="shared" si="259"/>
        <v>05750470634</v>
      </c>
      <c r="K2573" t="str">
        <f>""</f>
        <v/>
      </c>
      <c r="M2573" t="s">
        <v>68</v>
      </c>
      <c r="N2573" t="str">
        <f t="shared" si="260"/>
        <v>FOR</v>
      </c>
      <c r="O2573" t="s">
        <v>69</v>
      </c>
      <c r="P2573" s="3" t="s">
        <v>75</v>
      </c>
      <c r="Q2573">
        <v>2015</v>
      </c>
      <c r="R2573" s="2">
        <v>42264</v>
      </c>
      <c r="S2573" s="2">
        <v>42265</v>
      </c>
      <c r="T2573" s="2">
        <v>42264</v>
      </c>
      <c r="U2573" s="2">
        <v>42324</v>
      </c>
      <c r="V2573" t="s">
        <v>71</v>
      </c>
      <c r="W2573" t="str">
        <f>"               3/659"</f>
        <v xml:space="preserve">               3/659</v>
      </c>
      <c r="X2573" s="1">
        <v>2743.56</v>
      </c>
      <c r="Y2573">
        <v>0</v>
      </c>
      <c r="Z2573"/>
      <c r="AB2573"/>
      <c r="AC2573" s="1">
        <v>2248.8200000000002</v>
      </c>
      <c r="AD2573">
        <v>295</v>
      </c>
      <c r="AE2573" s="1">
        <v>663401.9</v>
      </c>
      <c r="AF2573">
        <v>0</v>
      </c>
      <c r="AJ2573">
        <v>0</v>
      </c>
      <c r="AK2573">
        <v>0</v>
      </c>
      <c r="AL2573">
        <v>0</v>
      </c>
      <c r="AM2573">
        <v>0</v>
      </c>
      <c r="AN2573">
        <v>0</v>
      </c>
      <c r="AO2573">
        <v>0</v>
      </c>
      <c r="AP2573" s="2">
        <v>42746</v>
      </c>
      <c r="AQ2573" t="s">
        <v>72</v>
      </c>
      <c r="AR2573" t="s">
        <v>72</v>
      </c>
      <c r="AS2573">
        <v>2276</v>
      </c>
      <c r="AT2573" s="4">
        <v>42619</v>
      </c>
      <c r="AU2573" t="s">
        <v>73</v>
      </c>
      <c r="AV2573">
        <v>2276</v>
      </c>
      <c r="AW2573" s="4">
        <v>42619</v>
      </c>
      <c r="BD2573">
        <v>0</v>
      </c>
      <c r="BN2573" t="s">
        <v>74</v>
      </c>
    </row>
    <row r="2574" spans="1:66" hidden="1">
      <c r="A2574">
        <v>100824</v>
      </c>
      <c r="B2574" s="3" t="s">
        <v>252</v>
      </c>
      <c r="C2574" s="1">
        <v>43300101</v>
      </c>
      <c r="D2574" t="s">
        <v>67</v>
      </c>
      <c r="H2574" t="str">
        <f t="shared" si="259"/>
        <v>05750470634</v>
      </c>
      <c r="I2574" t="str">
        <f t="shared" si="259"/>
        <v>05750470634</v>
      </c>
      <c r="K2574" t="str">
        <f>""</f>
        <v/>
      </c>
      <c r="M2574" t="s">
        <v>68</v>
      </c>
      <c r="N2574" t="str">
        <f t="shared" si="260"/>
        <v>FOR</v>
      </c>
      <c r="O2574" t="s">
        <v>69</v>
      </c>
      <c r="P2574" s="3" t="s">
        <v>75</v>
      </c>
      <c r="Q2574">
        <v>2015</v>
      </c>
      <c r="R2574" s="2">
        <v>42264</v>
      </c>
      <c r="S2574" s="2">
        <v>42265</v>
      </c>
      <c r="T2574" s="2">
        <v>42264</v>
      </c>
      <c r="U2574" s="2">
        <v>42324</v>
      </c>
      <c r="V2574" t="s">
        <v>71</v>
      </c>
      <c r="W2574" t="str">
        <f>"               3/660"</f>
        <v xml:space="preserve">               3/660</v>
      </c>
      <c r="X2574" s="1">
        <v>1339.66</v>
      </c>
      <c r="Y2574">
        <v>0</v>
      </c>
      <c r="Z2574"/>
      <c r="AB2574"/>
      <c r="AC2574" s="1">
        <v>1098.08</v>
      </c>
      <c r="AD2574">
        <v>295</v>
      </c>
      <c r="AE2574" s="1">
        <v>323933.59999999998</v>
      </c>
      <c r="AF2574">
        <v>0</v>
      </c>
      <c r="AJ2574">
        <v>0</v>
      </c>
      <c r="AK2574">
        <v>0</v>
      </c>
      <c r="AL2574">
        <v>0</v>
      </c>
      <c r="AM2574">
        <v>0</v>
      </c>
      <c r="AN2574">
        <v>0</v>
      </c>
      <c r="AO2574">
        <v>0</v>
      </c>
      <c r="AP2574" s="2">
        <v>42746</v>
      </c>
      <c r="AQ2574" t="s">
        <v>72</v>
      </c>
      <c r="AR2574" t="s">
        <v>72</v>
      </c>
      <c r="AS2574">
        <v>2276</v>
      </c>
      <c r="AT2574" s="4">
        <v>42619</v>
      </c>
      <c r="AU2574" t="s">
        <v>73</v>
      </c>
      <c r="AV2574">
        <v>2276</v>
      </c>
      <c r="AW2574" s="4">
        <v>42619</v>
      </c>
      <c r="BD2574">
        <v>0</v>
      </c>
      <c r="BN2574" t="s">
        <v>74</v>
      </c>
    </row>
    <row r="2575" spans="1:66" hidden="1">
      <c r="A2575">
        <v>100824</v>
      </c>
      <c r="B2575" s="3" t="s">
        <v>252</v>
      </c>
      <c r="C2575" s="1">
        <v>43300101</v>
      </c>
      <c r="D2575" t="s">
        <v>67</v>
      </c>
      <c r="H2575" t="str">
        <f t="shared" si="259"/>
        <v>05750470634</v>
      </c>
      <c r="I2575" t="str">
        <f t="shared" si="259"/>
        <v>05750470634</v>
      </c>
      <c r="K2575" t="str">
        <f>""</f>
        <v/>
      </c>
      <c r="M2575" t="s">
        <v>68</v>
      </c>
      <c r="N2575" t="str">
        <f t="shared" si="260"/>
        <v>FOR</v>
      </c>
      <c r="O2575" t="s">
        <v>69</v>
      </c>
      <c r="P2575" s="3" t="s">
        <v>75</v>
      </c>
      <c r="Q2575">
        <v>2015</v>
      </c>
      <c r="R2575" s="2">
        <v>42277</v>
      </c>
      <c r="S2575" s="2">
        <v>42278</v>
      </c>
      <c r="T2575" s="2">
        <v>42277</v>
      </c>
      <c r="U2575" s="2">
        <v>42337</v>
      </c>
      <c r="V2575" t="s">
        <v>71</v>
      </c>
      <c r="W2575" t="str">
        <f>"               3/696"</f>
        <v xml:space="preserve">               3/696</v>
      </c>
      <c r="X2575" s="1">
        <v>4270</v>
      </c>
      <c r="Y2575">
        <v>0</v>
      </c>
      <c r="Z2575"/>
      <c r="AB2575"/>
      <c r="AC2575" s="1">
        <v>3500</v>
      </c>
      <c r="AD2575">
        <v>282</v>
      </c>
      <c r="AE2575" s="1">
        <v>987000</v>
      </c>
      <c r="AF2575">
        <v>0</v>
      </c>
      <c r="AJ2575">
        <v>0</v>
      </c>
      <c r="AK2575">
        <v>0</v>
      </c>
      <c r="AL2575">
        <v>0</v>
      </c>
      <c r="AM2575">
        <v>0</v>
      </c>
      <c r="AN2575">
        <v>0</v>
      </c>
      <c r="AO2575">
        <v>0</v>
      </c>
      <c r="AP2575" s="2">
        <v>42746</v>
      </c>
      <c r="AQ2575" t="s">
        <v>72</v>
      </c>
      <c r="AR2575" t="s">
        <v>72</v>
      </c>
      <c r="AS2575">
        <v>2276</v>
      </c>
      <c r="AT2575" s="4">
        <v>42619</v>
      </c>
      <c r="AU2575" t="s">
        <v>73</v>
      </c>
      <c r="AV2575">
        <v>2276</v>
      </c>
      <c r="AW2575" s="4">
        <v>42619</v>
      </c>
      <c r="BD2575">
        <v>0</v>
      </c>
      <c r="BN2575" t="s">
        <v>74</v>
      </c>
    </row>
    <row r="2576" spans="1:66" hidden="1">
      <c r="A2576">
        <v>100824</v>
      </c>
      <c r="B2576" s="3" t="s">
        <v>252</v>
      </c>
      <c r="C2576" s="1">
        <v>43300101</v>
      </c>
      <c r="D2576" t="s">
        <v>67</v>
      </c>
      <c r="H2576" t="str">
        <f t="shared" si="259"/>
        <v>05750470634</v>
      </c>
      <c r="I2576" t="str">
        <f t="shared" si="259"/>
        <v>05750470634</v>
      </c>
      <c r="K2576" t="str">
        <f>""</f>
        <v/>
      </c>
      <c r="M2576" t="s">
        <v>68</v>
      </c>
      <c r="N2576" t="str">
        <f t="shared" si="260"/>
        <v>FOR</v>
      </c>
      <c r="O2576" t="s">
        <v>69</v>
      </c>
      <c r="P2576" s="3" t="s">
        <v>75</v>
      </c>
      <c r="Q2576">
        <v>2015</v>
      </c>
      <c r="R2576" s="2">
        <v>42277</v>
      </c>
      <c r="S2576" s="2">
        <v>42278</v>
      </c>
      <c r="T2576" s="2">
        <v>42277</v>
      </c>
      <c r="U2576" s="2">
        <v>42337</v>
      </c>
      <c r="V2576" t="s">
        <v>71</v>
      </c>
      <c r="W2576" t="str">
        <f>"               3/701"</f>
        <v xml:space="preserve">               3/701</v>
      </c>
      <c r="X2576" s="1">
        <v>6420.23</v>
      </c>
      <c r="Y2576">
        <v>0</v>
      </c>
      <c r="Z2576"/>
      <c r="AB2576"/>
      <c r="AC2576" s="1">
        <v>5262.48</v>
      </c>
      <c r="AD2576">
        <v>282</v>
      </c>
      <c r="AE2576" s="1">
        <v>1484019.36</v>
      </c>
      <c r="AF2576">
        <v>0</v>
      </c>
      <c r="AJ2576">
        <v>0</v>
      </c>
      <c r="AK2576">
        <v>0</v>
      </c>
      <c r="AL2576">
        <v>0</v>
      </c>
      <c r="AM2576">
        <v>0</v>
      </c>
      <c r="AN2576">
        <v>0</v>
      </c>
      <c r="AO2576">
        <v>0</v>
      </c>
      <c r="AP2576" s="2">
        <v>42746</v>
      </c>
      <c r="AQ2576" t="s">
        <v>72</v>
      </c>
      <c r="AR2576" t="s">
        <v>72</v>
      </c>
      <c r="AS2576">
        <v>2276</v>
      </c>
      <c r="AT2576" s="4">
        <v>42619</v>
      </c>
      <c r="AU2576" t="s">
        <v>73</v>
      </c>
      <c r="AV2576">
        <v>2276</v>
      </c>
      <c r="AW2576" s="4">
        <v>42619</v>
      </c>
      <c r="BD2576">
        <v>0</v>
      </c>
      <c r="BN2576" t="s">
        <v>74</v>
      </c>
    </row>
    <row r="2577" spans="1:66" hidden="1">
      <c r="A2577">
        <v>100824</v>
      </c>
      <c r="B2577" s="3" t="s">
        <v>252</v>
      </c>
      <c r="C2577" s="1">
        <v>43300101</v>
      </c>
      <c r="D2577" t="s">
        <v>67</v>
      </c>
      <c r="H2577" t="str">
        <f t="shared" si="259"/>
        <v>05750470634</v>
      </c>
      <c r="I2577" t="str">
        <f t="shared" si="259"/>
        <v>05750470634</v>
      </c>
      <c r="K2577" t="str">
        <f>""</f>
        <v/>
      </c>
      <c r="M2577" t="s">
        <v>68</v>
      </c>
      <c r="N2577" t="str">
        <f t="shared" si="260"/>
        <v>FOR</v>
      </c>
      <c r="O2577" t="s">
        <v>69</v>
      </c>
      <c r="P2577" s="3" t="s">
        <v>75</v>
      </c>
      <c r="Q2577">
        <v>2015</v>
      </c>
      <c r="R2577" s="2">
        <v>42277</v>
      </c>
      <c r="S2577" s="2">
        <v>42279</v>
      </c>
      <c r="T2577" s="2">
        <v>42278</v>
      </c>
      <c r="U2577" s="2">
        <v>42338</v>
      </c>
      <c r="V2577" t="s">
        <v>71</v>
      </c>
      <c r="W2577" t="str">
        <f>"               3/712"</f>
        <v xml:space="preserve">               3/712</v>
      </c>
      <c r="X2577" s="1">
        <v>4092.34</v>
      </c>
      <c r="Y2577">
        <v>0</v>
      </c>
      <c r="Z2577"/>
      <c r="AB2577"/>
      <c r="AC2577" s="1">
        <v>3354.38</v>
      </c>
      <c r="AD2577">
        <v>281</v>
      </c>
      <c r="AE2577" s="1">
        <v>942580.78</v>
      </c>
      <c r="AF2577">
        <v>0</v>
      </c>
      <c r="AJ2577">
        <v>0</v>
      </c>
      <c r="AK2577">
        <v>0</v>
      </c>
      <c r="AL2577">
        <v>0</v>
      </c>
      <c r="AM2577">
        <v>0</v>
      </c>
      <c r="AN2577">
        <v>0</v>
      </c>
      <c r="AO2577">
        <v>0</v>
      </c>
      <c r="AP2577" s="2">
        <v>42746</v>
      </c>
      <c r="AQ2577" t="s">
        <v>72</v>
      </c>
      <c r="AR2577" t="s">
        <v>72</v>
      </c>
      <c r="AS2577">
        <v>2276</v>
      </c>
      <c r="AT2577" s="4">
        <v>42619</v>
      </c>
      <c r="AU2577" t="s">
        <v>73</v>
      </c>
      <c r="AV2577">
        <v>2276</v>
      </c>
      <c r="AW2577" s="4">
        <v>42619</v>
      </c>
      <c r="BD2577">
        <v>0</v>
      </c>
      <c r="BN2577" t="s">
        <v>74</v>
      </c>
    </row>
    <row r="2578" spans="1:66">
      <c r="A2578">
        <v>100824</v>
      </c>
      <c r="B2578" s="3" t="s">
        <v>252</v>
      </c>
      <c r="C2578" s="1">
        <v>43300101</v>
      </c>
      <c r="D2578" t="s">
        <v>67</v>
      </c>
      <c r="H2578" t="str">
        <f t="shared" si="259"/>
        <v>05750470634</v>
      </c>
      <c r="I2578" t="str">
        <f t="shared" si="259"/>
        <v>05750470634</v>
      </c>
      <c r="K2578" t="str">
        <f>""</f>
        <v/>
      </c>
      <c r="M2578" t="s">
        <v>68</v>
      </c>
      <c r="N2578" t="str">
        <f t="shared" si="260"/>
        <v>FOR</v>
      </c>
      <c r="O2578" t="s">
        <v>69</v>
      </c>
      <c r="P2578" s="3" t="s">
        <v>75</v>
      </c>
      <c r="Q2578">
        <v>2015</v>
      </c>
      <c r="R2578" s="2">
        <v>42289</v>
      </c>
      <c r="S2578" s="2">
        <v>42290</v>
      </c>
      <c r="T2578" s="2">
        <v>42289</v>
      </c>
      <c r="U2578" s="2">
        <v>42349</v>
      </c>
      <c r="V2578" t="s">
        <v>71</v>
      </c>
      <c r="W2578" t="str">
        <f>"               3/756"</f>
        <v xml:space="preserve">               3/756</v>
      </c>
      <c r="X2578" s="1">
        <v>4270</v>
      </c>
      <c r="Y2578">
        <v>0</v>
      </c>
      <c r="Z2578" s="5">
        <v>3500</v>
      </c>
      <c r="AA2578">
        <v>297</v>
      </c>
      <c r="AB2578" s="5">
        <v>1039500</v>
      </c>
      <c r="AC2578" s="1">
        <v>3500</v>
      </c>
      <c r="AD2578">
        <v>297</v>
      </c>
      <c r="AE2578" s="1">
        <v>1039500</v>
      </c>
      <c r="AF2578">
        <v>0</v>
      </c>
      <c r="AJ2578">
        <v>0</v>
      </c>
      <c r="AK2578">
        <v>0</v>
      </c>
      <c r="AL2578">
        <v>0</v>
      </c>
      <c r="AM2578">
        <v>0</v>
      </c>
      <c r="AN2578">
        <v>0</v>
      </c>
      <c r="AO2578">
        <v>0</v>
      </c>
      <c r="AP2578" s="2">
        <v>42746</v>
      </c>
      <c r="AQ2578" t="s">
        <v>72</v>
      </c>
      <c r="AR2578" t="s">
        <v>72</v>
      </c>
      <c r="AS2578">
        <v>2564</v>
      </c>
      <c r="AT2578" s="4">
        <v>42646</v>
      </c>
      <c r="AU2578" t="s">
        <v>73</v>
      </c>
      <c r="AV2578">
        <v>2564</v>
      </c>
      <c r="AW2578" s="4">
        <v>42646</v>
      </c>
      <c r="BD2578">
        <v>0</v>
      </c>
      <c r="BN2578" t="s">
        <v>74</v>
      </c>
    </row>
    <row r="2579" spans="1:66">
      <c r="A2579">
        <v>100824</v>
      </c>
      <c r="B2579" s="3" t="s">
        <v>252</v>
      </c>
      <c r="C2579" s="1">
        <v>43300101</v>
      </c>
      <c r="D2579" t="s">
        <v>67</v>
      </c>
      <c r="H2579" t="str">
        <f t="shared" si="259"/>
        <v>05750470634</v>
      </c>
      <c r="I2579" t="str">
        <f t="shared" si="259"/>
        <v>05750470634</v>
      </c>
      <c r="K2579" t="str">
        <f>""</f>
        <v/>
      </c>
      <c r="M2579" t="s">
        <v>68</v>
      </c>
      <c r="N2579" t="str">
        <f t="shared" si="260"/>
        <v>FOR</v>
      </c>
      <c r="O2579" t="s">
        <v>69</v>
      </c>
      <c r="P2579" s="3" t="s">
        <v>75</v>
      </c>
      <c r="Q2579">
        <v>2015</v>
      </c>
      <c r="R2579" s="2">
        <v>42292</v>
      </c>
      <c r="S2579" s="2">
        <v>42293</v>
      </c>
      <c r="T2579" s="2">
        <v>42292</v>
      </c>
      <c r="U2579" s="2">
        <v>42352</v>
      </c>
      <c r="V2579" t="s">
        <v>71</v>
      </c>
      <c r="W2579" t="str">
        <f>"               3/762"</f>
        <v xml:space="preserve">               3/762</v>
      </c>
      <c r="X2579" s="1">
        <v>2254.1999999999998</v>
      </c>
      <c r="Y2579">
        <v>0</v>
      </c>
      <c r="Z2579" s="5">
        <v>2167.5</v>
      </c>
      <c r="AA2579">
        <v>294</v>
      </c>
      <c r="AB2579" s="5">
        <v>637245</v>
      </c>
      <c r="AC2579" s="1">
        <v>2167.5</v>
      </c>
      <c r="AD2579">
        <v>294</v>
      </c>
      <c r="AE2579" s="1">
        <v>637245</v>
      </c>
      <c r="AF2579">
        <v>0</v>
      </c>
      <c r="AJ2579">
        <v>0</v>
      </c>
      <c r="AK2579">
        <v>0</v>
      </c>
      <c r="AL2579">
        <v>0</v>
      </c>
      <c r="AM2579">
        <v>0</v>
      </c>
      <c r="AN2579">
        <v>0</v>
      </c>
      <c r="AO2579">
        <v>0</v>
      </c>
      <c r="AP2579" s="2">
        <v>42746</v>
      </c>
      <c r="AQ2579" t="s">
        <v>72</v>
      </c>
      <c r="AR2579" t="s">
        <v>72</v>
      </c>
      <c r="AS2579">
        <v>2564</v>
      </c>
      <c r="AT2579" s="4">
        <v>42646</v>
      </c>
      <c r="AU2579" t="s">
        <v>73</v>
      </c>
      <c r="AV2579">
        <v>2564</v>
      </c>
      <c r="AW2579" s="4">
        <v>42646</v>
      </c>
      <c r="BD2579">
        <v>0</v>
      </c>
      <c r="BN2579" t="s">
        <v>74</v>
      </c>
    </row>
    <row r="2580" spans="1:66">
      <c r="A2580">
        <v>100824</v>
      </c>
      <c r="B2580" s="3" t="s">
        <v>252</v>
      </c>
      <c r="C2580" s="1">
        <v>43300101</v>
      </c>
      <c r="D2580" t="s">
        <v>67</v>
      </c>
      <c r="H2580" t="str">
        <f t="shared" si="259"/>
        <v>05750470634</v>
      </c>
      <c r="I2580" t="str">
        <f t="shared" si="259"/>
        <v>05750470634</v>
      </c>
      <c r="K2580" t="str">
        <f>""</f>
        <v/>
      </c>
      <c r="M2580" t="s">
        <v>68</v>
      </c>
      <c r="N2580" t="str">
        <f t="shared" si="260"/>
        <v>FOR</v>
      </c>
      <c r="O2580" t="s">
        <v>69</v>
      </c>
      <c r="P2580" s="3" t="s">
        <v>75</v>
      </c>
      <c r="Q2580">
        <v>2015</v>
      </c>
      <c r="R2580" s="2">
        <v>42292</v>
      </c>
      <c r="S2580" s="2">
        <v>42293</v>
      </c>
      <c r="T2580" s="2">
        <v>42292</v>
      </c>
      <c r="U2580" s="2">
        <v>42352</v>
      </c>
      <c r="V2580" t="s">
        <v>71</v>
      </c>
      <c r="W2580" t="str">
        <f>"               3/763"</f>
        <v xml:space="preserve">               3/763</v>
      </c>
      <c r="X2580">
        <v>865.49</v>
      </c>
      <c r="Y2580">
        <v>0</v>
      </c>
      <c r="Z2580" s="3">
        <v>832.2</v>
      </c>
      <c r="AA2580">
        <v>294</v>
      </c>
      <c r="AB2580" s="5">
        <v>244666.8</v>
      </c>
      <c r="AC2580">
        <v>832.2</v>
      </c>
      <c r="AD2580">
        <v>294</v>
      </c>
      <c r="AE2580" s="1">
        <v>244666.8</v>
      </c>
      <c r="AF2580">
        <v>0</v>
      </c>
      <c r="AJ2580">
        <v>0</v>
      </c>
      <c r="AK2580">
        <v>0</v>
      </c>
      <c r="AL2580">
        <v>0</v>
      </c>
      <c r="AM2580">
        <v>0</v>
      </c>
      <c r="AN2580">
        <v>0</v>
      </c>
      <c r="AO2580">
        <v>0</v>
      </c>
      <c r="AP2580" s="2">
        <v>42746</v>
      </c>
      <c r="AQ2580" t="s">
        <v>72</v>
      </c>
      <c r="AR2580" t="s">
        <v>72</v>
      </c>
      <c r="AS2580">
        <v>2564</v>
      </c>
      <c r="AT2580" s="4">
        <v>42646</v>
      </c>
      <c r="AU2580" t="s">
        <v>73</v>
      </c>
      <c r="AV2580">
        <v>2564</v>
      </c>
      <c r="AW2580" s="4">
        <v>42646</v>
      </c>
      <c r="BD2580">
        <v>0</v>
      </c>
      <c r="BN2580" t="s">
        <v>74</v>
      </c>
    </row>
    <row r="2581" spans="1:66">
      <c r="A2581">
        <v>100824</v>
      </c>
      <c r="B2581" s="3" t="s">
        <v>252</v>
      </c>
      <c r="C2581" s="1">
        <v>43300101</v>
      </c>
      <c r="D2581" t="s">
        <v>67</v>
      </c>
      <c r="H2581" t="str">
        <f t="shared" si="259"/>
        <v>05750470634</v>
      </c>
      <c r="I2581" t="str">
        <f t="shared" si="259"/>
        <v>05750470634</v>
      </c>
      <c r="K2581" t="str">
        <f>""</f>
        <v/>
      </c>
      <c r="M2581" t="s">
        <v>68</v>
      </c>
      <c r="N2581" t="str">
        <f t="shared" si="260"/>
        <v>FOR</v>
      </c>
      <c r="O2581" t="s">
        <v>69</v>
      </c>
      <c r="P2581" s="3" t="s">
        <v>75</v>
      </c>
      <c r="Q2581">
        <v>2015</v>
      </c>
      <c r="R2581" s="2">
        <v>42292</v>
      </c>
      <c r="S2581" s="2">
        <v>42293</v>
      </c>
      <c r="T2581" s="2">
        <v>42292</v>
      </c>
      <c r="U2581" s="2">
        <v>42352</v>
      </c>
      <c r="V2581" t="s">
        <v>71</v>
      </c>
      <c r="W2581" t="str">
        <f>"               3/764"</f>
        <v xml:space="preserve">               3/764</v>
      </c>
      <c r="X2581" s="1">
        <v>4580.16</v>
      </c>
      <c r="Y2581">
        <v>0</v>
      </c>
      <c r="Z2581" s="5">
        <v>4404</v>
      </c>
      <c r="AA2581">
        <v>294</v>
      </c>
      <c r="AB2581" s="5">
        <v>1294776</v>
      </c>
      <c r="AC2581" s="1">
        <v>4404</v>
      </c>
      <c r="AD2581">
        <v>294</v>
      </c>
      <c r="AE2581" s="1">
        <v>1294776</v>
      </c>
      <c r="AF2581">
        <v>0</v>
      </c>
      <c r="AJ2581">
        <v>0</v>
      </c>
      <c r="AK2581">
        <v>0</v>
      </c>
      <c r="AL2581">
        <v>0</v>
      </c>
      <c r="AM2581">
        <v>0</v>
      </c>
      <c r="AN2581">
        <v>0</v>
      </c>
      <c r="AO2581">
        <v>0</v>
      </c>
      <c r="AP2581" s="2">
        <v>42746</v>
      </c>
      <c r="AQ2581" t="s">
        <v>72</v>
      </c>
      <c r="AR2581" t="s">
        <v>72</v>
      </c>
      <c r="AS2581">
        <v>2564</v>
      </c>
      <c r="AT2581" s="4">
        <v>42646</v>
      </c>
      <c r="AU2581" t="s">
        <v>73</v>
      </c>
      <c r="AV2581">
        <v>2564</v>
      </c>
      <c r="AW2581" s="4">
        <v>42646</v>
      </c>
      <c r="BD2581">
        <v>0</v>
      </c>
      <c r="BN2581" t="s">
        <v>74</v>
      </c>
    </row>
    <row r="2582" spans="1:66">
      <c r="A2582">
        <v>100824</v>
      </c>
      <c r="B2582" s="3" t="s">
        <v>252</v>
      </c>
      <c r="C2582" s="1">
        <v>43300101</v>
      </c>
      <c r="D2582" t="s">
        <v>67</v>
      </c>
      <c r="H2582" t="str">
        <f t="shared" si="259"/>
        <v>05750470634</v>
      </c>
      <c r="I2582" t="str">
        <f t="shared" si="259"/>
        <v>05750470634</v>
      </c>
      <c r="K2582" t="str">
        <f>""</f>
        <v/>
      </c>
      <c r="M2582" t="s">
        <v>68</v>
      </c>
      <c r="N2582" t="str">
        <f t="shared" si="260"/>
        <v>FOR</v>
      </c>
      <c r="O2582" t="s">
        <v>69</v>
      </c>
      <c r="P2582" s="3" t="s">
        <v>75</v>
      </c>
      <c r="Q2582">
        <v>2015</v>
      </c>
      <c r="R2582" s="2">
        <v>42307</v>
      </c>
      <c r="S2582" s="2">
        <v>42314</v>
      </c>
      <c r="T2582" s="2">
        <v>42313</v>
      </c>
      <c r="U2582" s="2">
        <v>42373</v>
      </c>
      <c r="V2582" t="s">
        <v>71</v>
      </c>
      <c r="W2582" t="str">
        <f>"               3/818"</f>
        <v xml:space="preserve">               3/818</v>
      </c>
      <c r="X2582" s="1">
        <v>3761.99</v>
      </c>
      <c r="Y2582">
        <v>0</v>
      </c>
      <c r="Z2582" s="5">
        <v>3083.6</v>
      </c>
      <c r="AA2582">
        <v>273</v>
      </c>
      <c r="AB2582" s="5">
        <v>841822.8</v>
      </c>
      <c r="AC2582" s="1">
        <v>3083.6</v>
      </c>
      <c r="AD2582">
        <v>273</v>
      </c>
      <c r="AE2582" s="1">
        <v>841822.8</v>
      </c>
      <c r="AF2582">
        <v>0</v>
      </c>
      <c r="AJ2582">
        <v>0</v>
      </c>
      <c r="AK2582">
        <v>0</v>
      </c>
      <c r="AL2582">
        <v>0</v>
      </c>
      <c r="AM2582">
        <v>0</v>
      </c>
      <c r="AN2582">
        <v>0</v>
      </c>
      <c r="AO2582">
        <v>0</v>
      </c>
      <c r="AP2582" s="2">
        <v>42746</v>
      </c>
      <c r="AQ2582" t="s">
        <v>72</v>
      </c>
      <c r="AR2582" t="s">
        <v>72</v>
      </c>
      <c r="AS2582">
        <v>2564</v>
      </c>
      <c r="AT2582" s="4">
        <v>42646</v>
      </c>
      <c r="AU2582" t="s">
        <v>73</v>
      </c>
      <c r="AV2582">
        <v>2564</v>
      </c>
      <c r="AW2582" s="4">
        <v>42646</v>
      </c>
      <c r="BD2582">
        <v>0</v>
      </c>
      <c r="BN2582" t="s">
        <v>74</v>
      </c>
    </row>
    <row r="2583" spans="1:66">
      <c r="A2583">
        <v>100824</v>
      </c>
      <c r="B2583" s="3" t="s">
        <v>252</v>
      </c>
      <c r="C2583" s="1">
        <v>43300101</v>
      </c>
      <c r="D2583" t="s">
        <v>67</v>
      </c>
      <c r="H2583" t="str">
        <f t="shared" ref="H2583:I2602" si="261">"05750470634"</f>
        <v>05750470634</v>
      </c>
      <c r="I2583" t="str">
        <f t="shared" si="261"/>
        <v>05750470634</v>
      </c>
      <c r="K2583" t="str">
        <f>""</f>
        <v/>
      </c>
      <c r="M2583" t="s">
        <v>68</v>
      </c>
      <c r="N2583" t="str">
        <f t="shared" si="260"/>
        <v>FOR</v>
      </c>
      <c r="O2583" t="s">
        <v>69</v>
      </c>
      <c r="P2583" s="3" t="s">
        <v>75</v>
      </c>
      <c r="Q2583">
        <v>2015</v>
      </c>
      <c r="R2583" s="2">
        <v>42331</v>
      </c>
      <c r="S2583" s="2">
        <v>42333</v>
      </c>
      <c r="T2583" s="2">
        <v>42332</v>
      </c>
      <c r="U2583" s="2">
        <v>42392</v>
      </c>
      <c r="V2583" t="s">
        <v>71</v>
      </c>
      <c r="W2583" t="str">
        <f>"               3/868"</f>
        <v xml:space="preserve">               3/868</v>
      </c>
      <c r="X2583">
        <v>416</v>
      </c>
      <c r="Y2583">
        <v>0</v>
      </c>
      <c r="Z2583" s="3">
        <v>400</v>
      </c>
      <c r="AA2583">
        <v>290</v>
      </c>
      <c r="AB2583" s="5">
        <v>116000</v>
      </c>
      <c r="AC2583">
        <v>400</v>
      </c>
      <c r="AD2583">
        <v>290</v>
      </c>
      <c r="AE2583" s="1">
        <v>116000</v>
      </c>
      <c r="AF2583">
        <v>0</v>
      </c>
      <c r="AJ2583">
        <v>0</v>
      </c>
      <c r="AK2583">
        <v>0</v>
      </c>
      <c r="AL2583">
        <v>0</v>
      </c>
      <c r="AM2583">
        <v>0</v>
      </c>
      <c r="AN2583">
        <v>0</v>
      </c>
      <c r="AO2583">
        <v>0</v>
      </c>
      <c r="AP2583" s="2">
        <v>42746</v>
      </c>
      <c r="AQ2583" t="s">
        <v>72</v>
      </c>
      <c r="AR2583" t="s">
        <v>72</v>
      </c>
      <c r="AS2583">
        <v>2962</v>
      </c>
      <c r="AT2583" s="4">
        <v>42682</v>
      </c>
      <c r="AU2583" t="s">
        <v>73</v>
      </c>
      <c r="AV2583">
        <v>2962</v>
      </c>
      <c r="AW2583" s="4">
        <v>42682</v>
      </c>
      <c r="BD2583">
        <v>0</v>
      </c>
      <c r="BN2583" t="s">
        <v>74</v>
      </c>
    </row>
    <row r="2584" spans="1:66">
      <c r="A2584">
        <v>100824</v>
      </c>
      <c r="B2584" s="3" t="s">
        <v>252</v>
      </c>
      <c r="C2584" s="1">
        <v>43300101</v>
      </c>
      <c r="D2584" t="s">
        <v>67</v>
      </c>
      <c r="H2584" t="str">
        <f t="shared" si="261"/>
        <v>05750470634</v>
      </c>
      <c r="I2584" t="str">
        <f t="shared" si="261"/>
        <v>05750470634</v>
      </c>
      <c r="K2584" t="str">
        <f>""</f>
        <v/>
      </c>
      <c r="M2584" t="s">
        <v>68</v>
      </c>
      <c r="N2584" t="str">
        <f t="shared" si="260"/>
        <v>FOR</v>
      </c>
      <c r="O2584" t="s">
        <v>69</v>
      </c>
      <c r="P2584" s="3" t="s">
        <v>75</v>
      </c>
      <c r="Q2584">
        <v>2015</v>
      </c>
      <c r="R2584" s="2">
        <v>42332</v>
      </c>
      <c r="S2584" s="2">
        <v>42338</v>
      </c>
      <c r="T2584" s="2">
        <v>42332</v>
      </c>
      <c r="U2584" s="2">
        <v>42392</v>
      </c>
      <c r="V2584" t="s">
        <v>71</v>
      </c>
      <c r="W2584" t="str">
        <f>"               3/869"</f>
        <v xml:space="preserve">               3/869</v>
      </c>
      <c r="X2584" s="1">
        <v>3294.72</v>
      </c>
      <c r="Y2584">
        <v>0</v>
      </c>
      <c r="Z2584" s="5">
        <v>3168</v>
      </c>
      <c r="AA2584">
        <v>290</v>
      </c>
      <c r="AB2584" s="5">
        <v>918720</v>
      </c>
      <c r="AC2584" s="1">
        <v>3168</v>
      </c>
      <c r="AD2584">
        <v>290</v>
      </c>
      <c r="AE2584" s="1">
        <v>918720</v>
      </c>
      <c r="AF2584">
        <v>0</v>
      </c>
      <c r="AJ2584">
        <v>0</v>
      </c>
      <c r="AK2584">
        <v>0</v>
      </c>
      <c r="AL2584">
        <v>0</v>
      </c>
      <c r="AM2584">
        <v>0</v>
      </c>
      <c r="AN2584">
        <v>0</v>
      </c>
      <c r="AO2584">
        <v>0</v>
      </c>
      <c r="AP2584" s="2">
        <v>42746</v>
      </c>
      <c r="AQ2584" t="s">
        <v>72</v>
      </c>
      <c r="AR2584" t="s">
        <v>72</v>
      </c>
      <c r="AS2584">
        <v>2962</v>
      </c>
      <c r="AT2584" s="4">
        <v>42682</v>
      </c>
      <c r="AU2584" t="s">
        <v>73</v>
      </c>
      <c r="AV2584">
        <v>2962</v>
      </c>
      <c r="AW2584" s="4">
        <v>42682</v>
      </c>
      <c r="BD2584">
        <v>0</v>
      </c>
      <c r="BN2584" t="s">
        <v>74</v>
      </c>
    </row>
    <row r="2585" spans="1:66">
      <c r="A2585">
        <v>100824</v>
      </c>
      <c r="B2585" s="3" t="s">
        <v>252</v>
      </c>
      <c r="C2585" s="1">
        <v>43300101</v>
      </c>
      <c r="D2585" t="s">
        <v>67</v>
      </c>
      <c r="H2585" t="str">
        <f t="shared" si="261"/>
        <v>05750470634</v>
      </c>
      <c r="I2585" t="str">
        <f t="shared" si="261"/>
        <v>05750470634</v>
      </c>
      <c r="K2585" t="str">
        <f>""</f>
        <v/>
      </c>
      <c r="M2585" t="s">
        <v>68</v>
      </c>
      <c r="N2585" t="str">
        <f t="shared" si="260"/>
        <v>FOR</v>
      </c>
      <c r="O2585" t="s">
        <v>69</v>
      </c>
      <c r="P2585" s="3" t="s">
        <v>75</v>
      </c>
      <c r="Q2585">
        <v>2015</v>
      </c>
      <c r="R2585" s="2">
        <v>42332</v>
      </c>
      <c r="S2585" s="2">
        <v>42338</v>
      </c>
      <c r="T2585" s="2">
        <v>42333</v>
      </c>
      <c r="U2585" s="2">
        <v>42393</v>
      </c>
      <c r="V2585" t="s">
        <v>71</v>
      </c>
      <c r="W2585" t="str">
        <f>"               3/874"</f>
        <v xml:space="preserve">               3/874</v>
      </c>
      <c r="X2585" s="1">
        <v>4954.87</v>
      </c>
      <c r="Y2585">
        <v>0</v>
      </c>
      <c r="Z2585" s="5">
        <v>4764.3</v>
      </c>
      <c r="AA2585">
        <v>289</v>
      </c>
      <c r="AB2585" s="5">
        <v>1376882.7</v>
      </c>
      <c r="AC2585" s="1">
        <v>4764.3</v>
      </c>
      <c r="AD2585">
        <v>289</v>
      </c>
      <c r="AE2585" s="1">
        <v>1376882.7</v>
      </c>
      <c r="AF2585">
        <v>0</v>
      </c>
      <c r="AJ2585">
        <v>0</v>
      </c>
      <c r="AK2585">
        <v>0</v>
      </c>
      <c r="AL2585">
        <v>0</v>
      </c>
      <c r="AM2585">
        <v>0</v>
      </c>
      <c r="AN2585">
        <v>0</v>
      </c>
      <c r="AO2585">
        <v>0</v>
      </c>
      <c r="AP2585" s="2">
        <v>42746</v>
      </c>
      <c r="AQ2585" t="s">
        <v>72</v>
      </c>
      <c r="AR2585" t="s">
        <v>72</v>
      </c>
      <c r="AS2585">
        <v>2962</v>
      </c>
      <c r="AT2585" s="4">
        <v>42682</v>
      </c>
      <c r="AU2585" t="s">
        <v>73</v>
      </c>
      <c r="AV2585">
        <v>2962</v>
      </c>
      <c r="AW2585" s="4">
        <v>42682</v>
      </c>
      <c r="BD2585">
        <v>0</v>
      </c>
      <c r="BN2585" t="s">
        <v>74</v>
      </c>
    </row>
    <row r="2586" spans="1:66">
      <c r="A2586">
        <v>100824</v>
      </c>
      <c r="B2586" s="3" t="s">
        <v>252</v>
      </c>
      <c r="C2586" s="1">
        <v>43300101</v>
      </c>
      <c r="D2586" t="s">
        <v>67</v>
      </c>
      <c r="H2586" t="str">
        <f t="shared" si="261"/>
        <v>05750470634</v>
      </c>
      <c r="I2586" t="str">
        <f t="shared" si="261"/>
        <v>05750470634</v>
      </c>
      <c r="K2586" t="str">
        <f>""</f>
        <v/>
      </c>
      <c r="M2586" t="s">
        <v>68</v>
      </c>
      <c r="N2586" t="str">
        <f t="shared" si="260"/>
        <v>FOR</v>
      </c>
      <c r="O2586" t="s">
        <v>69</v>
      </c>
      <c r="P2586" s="3" t="s">
        <v>75</v>
      </c>
      <c r="Q2586">
        <v>2015</v>
      </c>
      <c r="R2586" s="2">
        <v>42332</v>
      </c>
      <c r="S2586" s="2">
        <v>42334</v>
      </c>
      <c r="T2586" s="2">
        <v>42333</v>
      </c>
      <c r="U2586" s="2">
        <v>42393</v>
      </c>
      <c r="V2586" t="s">
        <v>71</v>
      </c>
      <c r="W2586" t="str">
        <f>"               3/875"</f>
        <v xml:space="preserve">               3/875</v>
      </c>
      <c r="X2586" s="1">
        <v>1579.14</v>
      </c>
      <c r="Y2586">
        <v>0</v>
      </c>
      <c r="Z2586" s="5">
        <v>1518.4</v>
      </c>
      <c r="AA2586">
        <v>289</v>
      </c>
      <c r="AB2586" s="5">
        <v>438817.6</v>
      </c>
      <c r="AC2586" s="1">
        <v>1518.4</v>
      </c>
      <c r="AD2586">
        <v>289</v>
      </c>
      <c r="AE2586" s="1">
        <v>438817.6</v>
      </c>
      <c r="AF2586">
        <v>0</v>
      </c>
      <c r="AJ2586">
        <v>0</v>
      </c>
      <c r="AK2586">
        <v>0</v>
      </c>
      <c r="AL2586">
        <v>0</v>
      </c>
      <c r="AM2586">
        <v>0</v>
      </c>
      <c r="AN2586">
        <v>0</v>
      </c>
      <c r="AO2586">
        <v>0</v>
      </c>
      <c r="AP2586" s="2">
        <v>42746</v>
      </c>
      <c r="AQ2586" t="s">
        <v>72</v>
      </c>
      <c r="AR2586" t="s">
        <v>72</v>
      </c>
      <c r="AS2586">
        <v>2962</v>
      </c>
      <c r="AT2586" s="4">
        <v>42682</v>
      </c>
      <c r="AU2586" t="s">
        <v>73</v>
      </c>
      <c r="AV2586">
        <v>2962</v>
      </c>
      <c r="AW2586" s="4">
        <v>42682</v>
      </c>
      <c r="BD2586">
        <v>0</v>
      </c>
      <c r="BN2586" t="s">
        <v>74</v>
      </c>
    </row>
    <row r="2587" spans="1:66">
      <c r="A2587">
        <v>100824</v>
      </c>
      <c r="B2587" s="3" t="s">
        <v>252</v>
      </c>
      <c r="C2587" s="1">
        <v>43300101</v>
      </c>
      <c r="D2587" t="s">
        <v>67</v>
      </c>
      <c r="H2587" t="str">
        <f t="shared" si="261"/>
        <v>05750470634</v>
      </c>
      <c r="I2587" t="str">
        <f t="shared" si="261"/>
        <v>05750470634</v>
      </c>
      <c r="K2587" t="str">
        <f>""</f>
        <v/>
      </c>
      <c r="M2587" t="s">
        <v>68</v>
      </c>
      <c r="N2587" t="str">
        <f t="shared" si="260"/>
        <v>FOR</v>
      </c>
      <c r="O2587" t="s">
        <v>69</v>
      </c>
      <c r="P2587" s="3" t="s">
        <v>75</v>
      </c>
      <c r="Q2587">
        <v>2015</v>
      </c>
      <c r="R2587" s="2">
        <v>42338</v>
      </c>
      <c r="S2587" s="2">
        <v>42339</v>
      </c>
      <c r="T2587" s="2">
        <v>42339</v>
      </c>
      <c r="U2587" s="2">
        <v>42399</v>
      </c>
      <c r="V2587" t="s">
        <v>71</v>
      </c>
      <c r="W2587" t="str">
        <f>"               3/894"</f>
        <v xml:space="preserve">               3/894</v>
      </c>
      <c r="X2587" s="1">
        <v>2140.08</v>
      </c>
      <c r="Y2587">
        <v>0</v>
      </c>
      <c r="Z2587" s="5">
        <v>1754.16</v>
      </c>
      <c r="AA2587">
        <v>283</v>
      </c>
      <c r="AB2587" s="5">
        <v>496427.28</v>
      </c>
      <c r="AC2587" s="1">
        <v>1754.16</v>
      </c>
      <c r="AD2587">
        <v>283</v>
      </c>
      <c r="AE2587" s="1">
        <v>496427.28</v>
      </c>
      <c r="AF2587">
        <v>0</v>
      </c>
      <c r="AJ2587">
        <v>0</v>
      </c>
      <c r="AK2587">
        <v>0</v>
      </c>
      <c r="AL2587">
        <v>0</v>
      </c>
      <c r="AM2587">
        <v>0</v>
      </c>
      <c r="AN2587">
        <v>0</v>
      </c>
      <c r="AO2587">
        <v>0</v>
      </c>
      <c r="AP2587" s="2">
        <v>42746</v>
      </c>
      <c r="AQ2587" t="s">
        <v>72</v>
      </c>
      <c r="AR2587" t="s">
        <v>72</v>
      </c>
      <c r="AS2587">
        <v>2962</v>
      </c>
      <c r="AT2587" s="4">
        <v>42682</v>
      </c>
      <c r="AU2587" t="s">
        <v>73</v>
      </c>
      <c r="AV2587">
        <v>2962</v>
      </c>
      <c r="AW2587" s="4">
        <v>42682</v>
      </c>
      <c r="BD2587">
        <v>0</v>
      </c>
      <c r="BN2587" t="s">
        <v>74</v>
      </c>
    </row>
    <row r="2588" spans="1:66">
      <c r="A2588">
        <v>100824</v>
      </c>
      <c r="B2588" s="3" t="s">
        <v>252</v>
      </c>
      <c r="C2588" s="1">
        <v>43300101</v>
      </c>
      <c r="D2588" t="s">
        <v>67</v>
      </c>
      <c r="H2588" t="str">
        <f t="shared" si="261"/>
        <v>05750470634</v>
      </c>
      <c r="I2588" t="str">
        <f t="shared" si="261"/>
        <v>05750470634</v>
      </c>
      <c r="K2588" t="str">
        <f>""</f>
        <v/>
      </c>
      <c r="M2588" t="s">
        <v>68</v>
      </c>
      <c r="N2588" t="str">
        <f t="shared" si="260"/>
        <v>FOR</v>
      </c>
      <c r="O2588" t="s">
        <v>69</v>
      </c>
      <c r="P2588" s="3" t="s">
        <v>75</v>
      </c>
      <c r="Q2588">
        <v>2015</v>
      </c>
      <c r="R2588" s="2">
        <v>42338</v>
      </c>
      <c r="S2588" s="2">
        <v>42339</v>
      </c>
      <c r="T2588" s="2">
        <v>42339</v>
      </c>
      <c r="U2588" s="2">
        <v>42399</v>
      </c>
      <c r="V2588" t="s">
        <v>71</v>
      </c>
      <c r="W2588" t="str">
        <f>"               3/895"</f>
        <v xml:space="preserve">               3/895</v>
      </c>
      <c r="X2588" s="1">
        <v>3491.32</v>
      </c>
      <c r="Y2588">
        <v>0</v>
      </c>
      <c r="Z2588" s="5">
        <v>2861.74</v>
      </c>
      <c r="AA2588">
        <v>283</v>
      </c>
      <c r="AB2588" s="5">
        <v>809872.42</v>
      </c>
      <c r="AC2588" s="1">
        <v>2861.74</v>
      </c>
      <c r="AD2588">
        <v>283</v>
      </c>
      <c r="AE2588" s="1">
        <v>809872.42</v>
      </c>
      <c r="AF2588">
        <v>0</v>
      </c>
      <c r="AJ2588">
        <v>0</v>
      </c>
      <c r="AK2588">
        <v>0</v>
      </c>
      <c r="AL2588">
        <v>0</v>
      </c>
      <c r="AM2588">
        <v>0</v>
      </c>
      <c r="AN2588">
        <v>0</v>
      </c>
      <c r="AO2588">
        <v>0</v>
      </c>
      <c r="AP2588" s="2">
        <v>42746</v>
      </c>
      <c r="AQ2588" t="s">
        <v>72</v>
      </c>
      <c r="AR2588" t="s">
        <v>72</v>
      </c>
      <c r="AS2588">
        <v>2962</v>
      </c>
      <c r="AT2588" s="4">
        <v>42682</v>
      </c>
      <c r="AU2588" t="s">
        <v>73</v>
      </c>
      <c r="AV2588">
        <v>2962</v>
      </c>
      <c r="AW2588" s="4">
        <v>42682</v>
      </c>
      <c r="BD2588">
        <v>0</v>
      </c>
      <c r="BN2588" t="s">
        <v>74</v>
      </c>
    </row>
    <row r="2589" spans="1:66">
      <c r="A2589">
        <v>100824</v>
      </c>
      <c r="B2589" s="3" t="s">
        <v>252</v>
      </c>
      <c r="C2589" s="1">
        <v>43300101</v>
      </c>
      <c r="D2589" t="s">
        <v>67</v>
      </c>
      <c r="H2589" t="str">
        <f t="shared" si="261"/>
        <v>05750470634</v>
      </c>
      <c r="I2589" t="str">
        <f t="shared" si="261"/>
        <v>05750470634</v>
      </c>
      <c r="K2589" t="str">
        <f>""</f>
        <v/>
      </c>
      <c r="M2589" t="s">
        <v>68</v>
      </c>
      <c r="N2589" t="str">
        <f t="shared" si="260"/>
        <v>FOR</v>
      </c>
      <c r="O2589" t="s">
        <v>69</v>
      </c>
      <c r="P2589" s="3" t="s">
        <v>75</v>
      </c>
      <c r="Q2589">
        <v>2015</v>
      </c>
      <c r="R2589" s="2">
        <v>42368</v>
      </c>
      <c r="S2589" s="2">
        <v>42368</v>
      </c>
      <c r="T2589" s="2">
        <v>42368</v>
      </c>
      <c r="U2589" s="2">
        <v>42428</v>
      </c>
      <c r="V2589" t="s">
        <v>71</v>
      </c>
      <c r="W2589" t="str">
        <f>"               3/987"</f>
        <v xml:space="preserve">               3/987</v>
      </c>
      <c r="X2589" s="1">
        <v>3560.13</v>
      </c>
      <c r="Y2589">
        <v>0</v>
      </c>
      <c r="Z2589" s="5">
        <v>2918.14</v>
      </c>
      <c r="AA2589">
        <v>262</v>
      </c>
      <c r="AB2589" s="5">
        <v>764552.68</v>
      </c>
      <c r="AC2589" s="1">
        <v>2918.14</v>
      </c>
      <c r="AD2589">
        <v>262</v>
      </c>
      <c r="AE2589" s="1">
        <v>764552.68</v>
      </c>
      <c r="AF2589">
        <v>0</v>
      </c>
      <c r="AJ2589">
        <v>0</v>
      </c>
      <c r="AK2589">
        <v>0</v>
      </c>
      <c r="AL2589">
        <v>0</v>
      </c>
      <c r="AM2589">
        <v>0</v>
      </c>
      <c r="AN2589">
        <v>0</v>
      </c>
      <c r="AO2589">
        <v>0</v>
      </c>
      <c r="AP2589" s="2">
        <v>42746</v>
      </c>
      <c r="AQ2589" t="s">
        <v>72</v>
      </c>
      <c r="AR2589" t="s">
        <v>72</v>
      </c>
      <c r="AS2589">
        <v>3156</v>
      </c>
      <c r="AT2589" s="4">
        <v>42690</v>
      </c>
      <c r="AU2589" t="s">
        <v>73</v>
      </c>
      <c r="AV2589">
        <v>3156</v>
      </c>
      <c r="AW2589" s="4">
        <v>42690</v>
      </c>
      <c r="BD2589">
        <v>0</v>
      </c>
      <c r="BN2589" t="s">
        <v>74</v>
      </c>
    </row>
    <row r="2590" spans="1:66">
      <c r="A2590">
        <v>100824</v>
      </c>
      <c r="B2590" s="3" t="s">
        <v>252</v>
      </c>
      <c r="C2590" s="1">
        <v>43300101</v>
      </c>
      <c r="D2590" t="s">
        <v>67</v>
      </c>
      <c r="H2590" t="str">
        <f t="shared" si="261"/>
        <v>05750470634</v>
      </c>
      <c r="I2590" t="str">
        <f t="shared" si="261"/>
        <v>05750470634</v>
      </c>
      <c r="K2590" t="str">
        <f>""</f>
        <v/>
      </c>
      <c r="M2590" t="s">
        <v>68</v>
      </c>
      <c r="N2590" t="str">
        <f t="shared" si="260"/>
        <v>FOR</v>
      </c>
      <c r="O2590" t="s">
        <v>69</v>
      </c>
      <c r="P2590" s="3" t="s">
        <v>75</v>
      </c>
      <c r="Q2590">
        <v>2015</v>
      </c>
      <c r="R2590" s="2">
        <v>42369</v>
      </c>
      <c r="S2590" s="2">
        <v>42369</v>
      </c>
      <c r="T2590" s="2">
        <v>42369</v>
      </c>
      <c r="U2590" s="2">
        <v>42429</v>
      </c>
      <c r="V2590" t="s">
        <v>71</v>
      </c>
      <c r="W2590" t="str">
        <f>"               3/993"</f>
        <v xml:space="preserve">               3/993</v>
      </c>
      <c r="X2590" s="1">
        <v>2034.24</v>
      </c>
      <c r="Y2590">
        <v>0</v>
      </c>
      <c r="Z2590" s="5">
        <v>1956</v>
      </c>
      <c r="AA2590">
        <v>261</v>
      </c>
      <c r="AB2590" s="5">
        <v>510516</v>
      </c>
      <c r="AC2590" s="1">
        <v>1956</v>
      </c>
      <c r="AD2590">
        <v>261</v>
      </c>
      <c r="AE2590" s="1">
        <v>510516</v>
      </c>
      <c r="AF2590">
        <v>0</v>
      </c>
      <c r="AJ2590">
        <v>0</v>
      </c>
      <c r="AK2590">
        <v>0</v>
      </c>
      <c r="AL2590">
        <v>0</v>
      </c>
      <c r="AM2590">
        <v>0</v>
      </c>
      <c r="AN2590">
        <v>0</v>
      </c>
      <c r="AO2590">
        <v>0</v>
      </c>
      <c r="AP2590" s="2">
        <v>42746</v>
      </c>
      <c r="AQ2590" t="s">
        <v>72</v>
      </c>
      <c r="AR2590" t="s">
        <v>72</v>
      </c>
      <c r="AS2590">
        <v>3156</v>
      </c>
      <c r="AT2590" s="4">
        <v>42690</v>
      </c>
      <c r="AU2590" t="s">
        <v>73</v>
      </c>
      <c r="AV2590">
        <v>3156</v>
      </c>
      <c r="AW2590" s="4">
        <v>42690</v>
      </c>
      <c r="BD2590">
        <v>0</v>
      </c>
      <c r="BN2590" t="s">
        <v>74</v>
      </c>
    </row>
    <row r="2591" spans="1:66">
      <c r="A2591">
        <v>100824</v>
      </c>
      <c r="B2591" s="3" t="s">
        <v>252</v>
      </c>
      <c r="C2591" s="1">
        <v>43300101</v>
      </c>
      <c r="D2591" t="s">
        <v>67</v>
      </c>
      <c r="H2591" t="str">
        <f t="shared" si="261"/>
        <v>05750470634</v>
      </c>
      <c r="I2591" t="str">
        <f t="shared" si="261"/>
        <v>05750470634</v>
      </c>
      <c r="K2591" t="str">
        <f>""</f>
        <v/>
      </c>
      <c r="M2591" t="s">
        <v>68</v>
      </c>
      <c r="N2591" t="str">
        <f t="shared" si="260"/>
        <v>FOR</v>
      </c>
      <c r="O2591" t="s">
        <v>69</v>
      </c>
      <c r="P2591" s="3" t="s">
        <v>75</v>
      </c>
      <c r="Q2591">
        <v>2015</v>
      </c>
      <c r="R2591" s="2">
        <v>42369</v>
      </c>
      <c r="S2591" s="2">
        <v>42369</v>
      </c>
      <c r="T2591" s="2">
        <v>42369</v>
      </c>
      <c r="U2591" s="2">
        <v>42429</v>
      </c>
      <c r="V2591" t="s">
        <v>71</v>
      </c>
      <c r="W2591" t="str">
        <f>"               3/994"</f>
        <v xml:space="preserve">               3/994</v>
      </c>
      <c r="X2591" s="1">
        <v>4233.01</v>
      </c>
      <c r="Y2591">
        <v>0</v>
      </c>
      <c r="Z2591" s="5">
        <v>4070.2</v>
      </c>
      <c r="AA2591">
        <v>261</v>
      </c>
      <c r="AB2591" s="5">
        <v>1062322.2</v>
      </c>
      <c r="AC2591" s="1">
        <v>4070.2</v>
      </c>
      <c r="AD2591">
        <v>261</v>
      </c>
      <c r="AE2591" s="1">
        <v>1062322.2</v>
      </c>
      <c r="AF2591">
        <v>0</v>
      </c>
      <c r="AJ2591">
        <v>0</v>
      </c>
      <c r="AK2591">
        <v>0</v>
      </c>
      <c r="AL2591">
        <v>0</v>
      </c>
      <c r="AM2591">
        <v>0</v>
      </c>
      <c r="AN2591">
        <v>0</v>
      </c>
      <c r="AO2591">
        <v>0</v>
      </c>
      <c r="AP2591" s="2">
        <v>42746</v>
      </c>
      <c r="AQ2591" t="s">
        <v>72</v>
      </c>
      <c r="AR2591" t="s">
        <v>72</v>
      </c>
      <c r="AS2591">
        <v>3156</v>
      </c>
      <c r="AT2591" s="4">
        <v>42690</v>
      </c>
      <c r="AU2591" t="s">
        <v>73</v>
      </c>
      <c r="AV2591">
        <v>3156</v>
      </c>
      <c r="AW2591" s="4">
        <v>42690</v>
      </c>
      <c r="BD2591">
        <v>0</v>
      </c>
      <c r="BN2591" t="s">
        <v>74</v>
      </c>
    </row>
    <row r="2592" spans="1:66">
      <c r="A2592">
        <v>100824</v>
      </c>
      <c r="B2592" s="3" t="s">
        <v>252</v>
      </c>
      <c r="C2592" s="1">
        <v>43300101</v>
      </c>
      <c r="D2592" t="s">
        <v>67</v>
      </c>
      <c r="H2592" t="str">
        <f t="shared" si="261"/>
        <v>05750470634</v>
      </c>
      <c r="I2592" t="str">
        <f t="shared" si="261"/>
        <v>05750470634</v>
      </c>
      <c r="K2592" t="str">
        <f>""</f>
        <v/>
      </c>
      <c r="M2592" t="s">
        <v>68</v>
      </c>
      <c r="N2592" t="str">
        <f t="shared" si="260"/>
        <v>FOR</v>
      </c>
      <c r="O2592" t="s">
        <v>69</v>
      </c>
      <c r="P2592" s="3" t="s">
        <v>75</v>
      </c>
      <c r="Q2592">
        <v>2015</v>
      </c>
      <c r="R2592" s="2">
        <v>42369</v>
      </c>
      <c r="S2592" s="2">
        <v>42369</v>
      </c>
      <c r="T2592" s="2">
        <v>42369</v>
      </c>
      <c r="U2592" s="2">
        <v>42429</v>
      </c>
      <c r="V2592" t="s">
        <v>71</v>
      </c>
      <c r="W2592" t="str">
        <f>"               3/995"</f>
        <v xml:space="preserve">               3/995</v>
      </c>
      <c r="X2592" s="1">
        <v>2748.3</v>
      </c>
      <c r="Y2592">
        <v>0</v>
      </c>
      <c r="Z2592" s="5">
        <v>2642.6</v>
      </c>
      <c r="AA2592">
        <v>253</v>
      </c>
      <c r="AB2592" s="5">
        <v>668577.80000000005</v>
      </c>
      <c r="AC2592" s="1">
        <v>2642.6</v>
      </c>
      <c r="AD2592">
        <v>253</v>
      </c>
      <c r="AE2592" s="1">
        <v>668577.80000000005</v>
      </c>
      <c r="AF2592">
        <v>0</v>
      </c>
      <c r="AJ2592">
        <v>0</v>
      </c>
      <c r="AK2592">
        <v>0</v>
      </c>
      <c r="AL2592">
        <v>0</v>
      </c>
      <c r="AM2592">
        <v>0</v>
      </c>
      <c r="AN2592">
        <v>0</v>
      </c>
      <c r="AO2592">
        <v>0</v>
      </c>
      <c r="AP2592" s="2">
        <v>42746</v>
      </c>
      <c r="AQ2592" t="s">
        <v>72</v>
      </c>
      <c r="AR2592" t="s">
        <v>72</v>
      </c>
      <c r="AS2592">
        <v>2962</v>
      </c>
      <c r="AT2592" s="4">
        <v>42682</v>
      </c>
      <c r="AU2592" t="s">
        <v>73</v>
      </c>
      <c r="AV2592">
        <v>2962</v>
      </c>
      <c r="AW2592" s="4">
        <v>42682</v>
      </c>
      <c r="BD2592">
        <v>0</v>
      </c>
      <c r="BN2592" t="s">
        <v>74</v>
      </c>
    </row>
    <row r="2593" spans="1:66">
      <c r="A2593">
        <v>100824</v>
      </c>
      <c r="B2593" s="3" t="s">
        <v>252</v>
      </c>
      <c r="C2593" s="1">
        <v>43300101</v>
      </c>
      <c r="D2593" t="s">
        <v>67</v>
      </c>
      <c r="H2593" t="str">
        <f t="shared" si="261"/>
        <v>05750470634</v>
      </c>
      <c r="I2593" t="str">
        <f t="shared" si="261"/>
        <v>05750470634</v>
      </c>
      <c r="K2593" t="str">
        <f>""</f>
        <v/>
      </c>
      <c r="M2593" t="s">
        <v>68</v>
      </c>
      <c r="N2593" t="str">
        <f t="shared" si="260"/>
        <v>FOR</v>
      </c>
      <c r="O2593" t="s">
        <v>69</v>
      </c>
      <c r="P2593" s="3" t="s">
        <v>75</v>
      </c>
      <c r="Q2593">
        <v>2016</v>
      </c>
      <c r="R2593" s="2">
        <v>42396</v>
      </c>
      <c r="S2593" s="2">
        <v>42401</v>
      </c>
      <c r="T2593" s="2">
        <v>42398</v>
      </c>
      <c r="U2593" s="2">
        <v>42458</v>
      </c>
      <c r="V2593" t="s">
        <v>71</v>
      </c>
      <c r="W2593" t="str">
        <f>"                3/43"</f>
        <v xml:space="preserve">                3/43</v>
      </c>
      <c r="X2593" s="1">
        <v>2109.12</v>
      </c>
      <c r="Y2593">
        <v>0</v>
      </c>
      <c r="Z2593" s="5">
        <v>2028</v>
      </c>
      <c r="AA2593">
        <v>261</v>
      </c>
      <c r="AB2593" s="5">
        <v>529308</v>
      </c>
      <c r="AC2593" s="1">
        <v>2028</v>
      </c>
      <c r="AD2593">
        <v>261</v>
      </c>
      <c r="AE2593" s="1">
        <v>529308</v>
      </c>
      <c r="AF2593">
        <v>81.12</v>
      </c>
      <c r="AJ2593">
        <v>0</v>
      </c>
      <c r="AK2593">
        <v>0</v>
      </c>
      <c r="AL2593">
        <v>0</v>
      </c>
      <c r="AM2593" s="1">
        <v>2109.12</v>
      </c>
      <c r="AN2593" s="1">
        <v>2109.12</v>
      </c>
      <c r="AO2593" s="1">
        <v>2109.12</v>
      </c>
      <c r="AP2593" s="2">
        <v>42746</v>
      </c>
      <c r="AQ2593" t="s">
        <v>72</v>
      </c>
      <c r="AR2593" t="s">
        <v>72</v>
      </c>
      <c r="AS2593">
        <v>3512</v>
      </c>
      <c r="AT2593" s="4">
        <v>42719</v>
      </c>
      <c r="AU2593" t="s">
        <v>73</v>
      </c>
      <c r="AV2593">
        <v>3512</v>
      </c>
      <c r="AW2593" s="4">
        <v>42719</v>
      </c>
      <c r="BD2593">
        <v>81.12</v>
      </c>
      <c r="BN2593" t="s">
        <v>74</v>
      </c>
    </row>
    <row r="2594" spans="1:66">
      <c r="A2594">
        <v>100824</v>
      </c>
      <c r="B2594" s="3" t="s">
        <v>252</v>
      </c>
      <c r="C2594" s="1">
        <v>43300101</v>
      </c>
      <c r="D2594" t="s">
        <v>67</v>
      </c>
      <c r="H2594" t="str">
        <f t="shared" si="261"/>
        <v>05750470634</v>
      </c>
      <c r="I2594" t="str">
        <f t="shared" si="261"/>
        <v>05750470634</v>
      </c>
      <c r="K2594" t="str">
        <f>""</f>
        <v/>
      </c>
      <c r="M2594" t="s">
        <v>68</v>
      </c>
      <c r="N2594" t="str">
        <f t="shared" si="260"/>
        <v>FOR</v>
      </c>
      <c r="O2594" t="s">
        <v>69</v>
      </c>
      <c r="P2594" s="3" t="s">
        <v>75</v>
      </c>
      <c r="Q2594">
        <v>2016</v>
      </c>
      <c r="R2594" s="2">
        <v>42398</v>
      </c>
      <c r="S2594" s="2">
        <v>42401</v>
      </c>
      <c r="T2594" s="2">
        <v>42398</v>
      </c>
      <c r="U2594" s="2">
        <v>42458</v>
      </c>
      <c r="V2594" t="s">
        <v>71</v>
      </c>
      <c r="W2594" t="str">
        <f>"                3/53"</f>
        <v xml:space="preserve">                3/53</v>
      </c>
      <c r="X2594" s="1">
        <v>2680.7</v>
      </c>
      <c r="Y2594">
        <v>0</v>
      </c>
      <c r="Z2594" s="5">
        <v>2577.6</v>
      </c>
      <c r="AA2594">
        <v>261</v>
      </c>
      <c r="AB2594" s="5">
        <v>672753.6</v>
      </c>
      <c r="AC2594" s="1">
        <v>2577.6</v>
      </c>
      <c r="AD2594">
        <v>261</v>
      </c>
      <c r="AE2594" s="1">
        <v>672753.6</v>
      </c>
      <c r="AF2594">
        <v>103.1</v>
      </c>
      <c r="AJ2594">
        <v>0</v>
      </c>
      <c r="AK2594">
        <v>0</v>
      </c>
      <c r="AL2594">
        <v>0</v>
      </c>
      <c r="AM2594" s="1">
        <v>2680.7</v>
      </c>
      <c r="AN2594" s="1">
        <v>2680.7</v>
      </c>
      <c r="AO2594" s="1">
        <v>2680.7</v>
      </c>
      <c r="AP2594" s="2">
        <v>42746</v>
      </c>
      <c r="AQ2594" t="s">
        <v>72</v>
      </c>
      <c r="AR2594" t="s">
        <v>72</v>
      </c>
      <c r="AS2594">
        <v>3512</v>
      </c>
      <c r="AT2594" s="4">
        <v>42719</v>
      </c>
      <c r="AU2594" t="s">
        <v>73</v>
      </c>
      <c r="AV2594">
        <v>3512</v>
      </c>
      <c r="AW2594" s="4">
        <v>42719</v>
      </c>
      <c r="BD2594">
        <v>103.1</v>
      </c>
      <c r="BN2594" t="s">
        <v>74</v>
      </c>
    </row>
    <row r="2595" spans="1:66">
      <c r="A2595">
        <v>100824</v>
      </c>
      <c r="B2595" s="3" t="s">
        <v>252</v>
      </c>
      <c r="C2595" s="1">
        <v>43300101</v>
      </c>
      <c r="D2595" t="s">
        <v>67</v>
      </c>
      <c r="H2595" t="str">
        <f t="shared" si="261"/>
        <v>05750470634</v>
      </c>
      <c r="I2595" t="str">
        <f t="shared" si="261"/>
        <v>05750470634</v>
      </c>
      <c r="K2595" t="str">
        <f>""</f>
        <v/>
      </c>
      <c r="M2595" t="s">
        <v>68</v>
      </c>
      <c r="N2595" t="str">
        <f t="shared" si="260"/>
        <v>FOR</v>
      </c>
      <c r="O2595" t="s">
        <v>69</v>
      </c>
      <c r="P2595" s="3" t="s">
        <v>75</v>
      </c>
      <c r="Q2595">
        <v>2016</v>
      </c>
      <c r="R2595" s="2">
        <v>42398</v>
      </c>
      <c r="S2595" s="2">
        <v>42410</v>
      </c>
      <c r="T2595" s="2">
        <v>42401</v>
      </c>
      <c r="U2595" s="2">
        <v>42461</v>
      </c>
      <c r="V2595" t="s">
        <v>71</v>
      </c>
      <c r="W2595" t="str">
        <f>"                3/54"</f>
        <v xml:space="preserve">                3/54</v>
      </c>
      <c r="X2595">
        <v>416</v>
      </c>
      <c r="Y2595">
        <v>0</v>
      </c>
      <c r="Z2595" s="3">
        <v>400</v>
      </c>
      <c r="AA2595">
        <v>258</v>
      </c>
      <c r="AB2595" s="5">
        <v>103200</v>
      </c>
      <c r="AC2595">
        <v>400</v>
      </c>
      <c r="AD2595">
        <v>258</v>
      </c>
      <c r="AE2595" s="1">
        <v>103200</v>
      </c>
      <c r="AF2595">
        <v>16</v>
      </c>
      <c r="AJ2595">
        <v>0</v>
      </c>
      <c r="AK2595">
        <v>0</v>
      </c>
      <c r="AL2595">
        <v>0</v>
      </c>
      <c r="AM2595">
        <v>416</v>
      </c>
      <c r="AN2595">
        <v>416</v>
      </c>
      <c r="AO2595">
        <v>416</v>
      </c>
      <c r="AP2595" s="2">
        <v>42746</v>
      </c>
      <c r="AQ2595" t="s">
        <v>72</v>
      </c>
      <c r="AR2595" t="s">
        <v>72</v>
      </c>
      <c r="AS2595">
        <v>3512</v>
      </c>
      <c r="AT2595" s="4">
        <v>42719</v>
      </c>
      <c r="AU2595" t="s">
        <v>73</v>
      </c>
      <c r="AV2595">
        <v>3512</v>
      </c>
      <c r="AW2595" s="4">
        <v>42719</v>
      </c>
      <c r="BD2595">
        <v>16</v>
      </c>
      <c r="BN2595" t="s">
        <v>74</v>
      </c>
    </row>
    <row r="2596" spans="1:66">
      <c r="A2596">
        <v>100824</v>
      </c>
      <c r="B2596" s="3" t="s">
        <v>252</v>
      </c>
      <c r="C2596" s="1">
        <v>43300101</v>
      </c>
      <c r="D2596" t="s">
        <v>67</v>
      </c>
      <c r="H2596" t="str">
        <f t="shared" si="261"/>
        <v>05750470634</v>
      </c>
      <c r="I2596" t="str">
        <f t="shared" si="261"/>
        <v>05750470634</v>
      </c>
      <c r="K2596" t="str">
        <f>""</f>
        <v/>
      </c>
      <c r="M2596" t="s">
        <v>68</v>
      </c>
      <c r="N2596" t="str">
        <f t="shared" si="260"/>
        <v>FOR</v>
      </c>
      <c r="O2596" t="s">
        <v>69</v>
      </c>
      <c r="P2596" s="3" t="s">
        <v>75</v>
      </c>
      <c r="Q2596">
        <v>2016</v>
      </c>
      <c r="R2596" s="2">
        <v>42398</v>
      </c>
      <c r="S2596" s="2">
        <v>42410</v>
      </c>
      <c r="T2596" s="2">
        <v>42401</v>
      </c>
      <c r="U2596" s="2">
        <v>42461</v>
      </c>
      <c r="V2596" t="s">
        <v>71</v>
      </c>
      <c r="W2596" t="str">
        <f>"                3/55"</f>
        <v xml:space="preserve">                3/55</v>
      </c>
      <c r="X2596" s="1">
        <v>6058.94</v>
      </c>
      <c r="Y2596">
        <v>0</v>
      </c>
      <c r="Z2596" s="5">
        <v>5825.9</v>
      </c>
      <c r="AA2596">
        <v>258</v>
      </c>
      <c r="AB2596" s="5">
        <v>1503082.2</v>
      </c>
      <c r="AC2596" s="1">
        <v>5825.9</v>
      </c>
      <c r="AD2596">
        <v>258</v>
      </c>
      <c r="AE2596" s="1">
        <v>1503082.2</v>
      </c>
      <c r="AF2596">
        <v>233.04</v>
      </c>
      <c r="AJ2596">
        <v>0</v>
      </c>
      <c r="AK2596">
        <v>0</v>
      </c>
      <c r="AL2596">
        <v>0</v>
      </c>
      <c r="AM2596" s="1">
        <v>6058.94</v>
      </c>
      <c r="AN2596" s="1">
        <v>6058.94</v>
      </c>
      <c r="AO2596" s="1">
        <v>6058.94</v>
      </c>
      <c r="AP2596" s="2">
        <v>42746</v>
      </c>
      <c r="AQ2596" t="s">
        <v>72</v>
      </c>
      <c r="AR2596" t="s">
        <v>72</v>
      </c>
      <c r="AS2596">
        <v>3512</v>
      </c>
      <c r="AT2596" s="4">
        <v>42719</v>
      </c>
      <c r="AU2596" t="s">
        <v>73</v>
      </c>
      <c r="AV2596">
        <v>3512</v>
      </c>
      <c r="AW2596" s="4">
        <v>42719</v>
      </c>
      <c r="BD2596">
        <v>233.04</v>
      </c>
      <c r="BN2596" t="s">
        <v>74</v>
      </c>
    </row>
    <row r="2597" spans="1:66">
      <c r="A2597">
        <v>100824</v>
      </c>
      <c r="B2597" s="3" t="s">
        <v>252</v>
      </c>
      <c r="C2597" s="1">
        <v>43300101</v>
      </c>
      <c r="D2597" t="s">
        <v>67</v>
      </c>
      <c r="H2597" t="str">
        <f t="shared" si="261"/>
        <v>05750470634</v>
      </c>
      <c r="I2597" t="str">
        <f t="shared" si="261"/>
        <v>05750470634</v>
      </c>
      <c r="K2597" t="str">
        <f>""</f>
        <v/>
      </c>
      <c r="M2597" t="s">
        <v>68</v>
      </c>
      <c r="N2597" t="str">
        <f t="shared" si="260"/>
        <v>FOR</v>
      </c>
      <c r="O2597" t="s">
        <v>69</v>
      </c>
      <c r="P2597" s="3" t="s">
        <v>75</v>
      </c>
      <c r="Q2597">
        <v>2016</v>
      </c>
      <c r="R2597" s="2">
        <v>42412</v>
      </c>
      <c r="S2597" s="2">
        <v>42417</v>
      </c>
      <c r="T2597" s="2">
        <v>42416</v>
      </c>
      <c r="U2597" s="2">
        <v>42476</v>
      </c>
      <c r="V2597" t="s">
        <v>71</v>
      </c>
      <c r="W2597" t="str">
        <f>"               3/107"</f>
        <v xml:space="preserve">               3/107</v>
      </c>
      <c r="X2597">
        <v>184.29</v>
      </c>
      <c r="Y2597">
        <v>0</v>
      </c>
      <c r="Z2597" s="3">
        <v>177.2</v>
      </c>
      <c r="AA2597">
        <v>243</v>
      </c>
      <c r="AB2597" s="5">
        <v>43059.6</v>
      </c>
      <c r="AC2597">
        <v>177.2</v>
      </c>
      <c r="AD2597">
        <v>243</v>
      </c>
      <c r="AE2597" s="1">
        <v>43059.6</v>
      </c>
      <c r="AF2597">
        <v>7.09</v>
      </c>
      <c r="AJ2597">
        <v>0</v>
      </c>
      <c r="AK2597">
        <v>0</v>
      </c>
      <c r="AL2597">
        <v>0</v>
      </c>
      <c r="AM2597">
        <v>184.29</v>
      </c>
      <c r="AN2597">
        <v>184.29</v>
      </c>
      <c r="AO2597">
        <v>184.29</v>
      </c>
      <c r="AP2597" s="2">
        <v>42746</v>
      </c>
      <c r="AQ2597" t="s">
        <v>72</v>
      </c>
      <c r="AR2597" t="s">
        <v>72</v>
      </c>
      <c r="AS2597">
        <v>3512</v>
      </c>
      <c r="AT2597" s="4">
        <v>42719</v>
      </c>
      <c r="AU2597" t="s">
        <v>73</v>
      </c>
      <c r="AV2597">
        <v>3512</v>
      </c>
      <c r="AW2597" s="4">
        <v>42719</v>
      </c>
      <c r="BD2597">
        <v>7.09</v>
      </c>
      <c r="BN2597" t="s">
        <v>74</v>
      </c>
    </row>
    <row r="2598" spans="1:66">
      <c r="A2598">
        <v>100824</v>
      </c>
      <c r="B2598" s="3" t="s">
        <v>252</v>
      </c>
      <c r="C2598" s="1">
        <v>43300101</v>
      </c>
      <c r="D2598" t="s">
        <v>67</v>
      </c>
      <c r="H2598" t="str">
        <f t="shared" si="261"/>
        <v>05750470634</v>
      </c>
      <c r="I2598" t="str">
        <f t="shared" si="261"/>
        <v>05750470634</v>
      </c>
      <c r="K2598" t="str">
        <f>""</f>
        <v/>
      </c>
      <c r="M2598" t="s">
        <v>68</v>
      </c>
      <c r="N2598" t="str">
        <f t="shared" si="260"/>
        <v>FOR</v>
      </c>
      <c r="O2598" t="s">
        <v>69</v>
      </c>
      <c r="P2598" s="3" t="s">
        <v>75</v>
      </c>
      <c r="Q2598">
        <v>2016</v>
      </c>
      <c r="R2598" s="2">
        <v>42412</v>
      </c>
      <c r="S2598" s="2">
        <v>42417</v>
      </c>
      <c r="T2598" s="2">
        <v>42416</v>
      </c>
      <c r="U2598" s="2">
        <v>42476</v>
      </c>
      <c r="V2598" t="s">
        <v>71</v>
      </c>
      <c r="W2598" t="str">
        <f>"               3/109"</f>
        <v xml:space="preserve">               3/109</v>
      </c>
      <c r="X2598" s="1">
        <v>3282.24</v>
      </c>
      <c r="Y2598">
        <v>0</v>
      </c>
      <c r="Z2598" s="5">
        <v>3156</v>
      </c>
      <c r="AA2598">
        <v>243</v>
      </c>
      <c r="AB2598" s="5">
        <v>766908</v>
      </c>
      <c r="AC2598" s="1">
        <v>3156</v>
      </c>
      <c r="AD2598">
        <v>243</v>
      </c>
      <c r="AE2598" s="1">
        <v>766908</v>
      </c>
      <c r="AF2598">
        <v>126.24</v>
      </c>
      <c r="AJ2598">
        <v>0</v>
      </c>
      <c r="AK2598">
        <v>0</v>
      </c>
      <c r="AL2598">
        <v>0</v>
      </c>
      <c r="AM2598" s="1">
        <v>3282.24</v>
      </c>
      <c r="AN2598" s="1">
        <v>3282.24</v>
      </c>
      <c r="AO2598" s="1">
        <v>3282.24</v>
      </c>
      <c r="AP2598" s="2">
        <v>42746</v>
      </c>
      <c r="AQ2598" t="s">
        <v>72</v>
      </c>
      <c r="AR2598" t="s">
        <v>72</v>
      </c>
      <c r="AS2598">
        <v>3512</v>
      </c>
      <c r="AT2598" s="4">
        <v>42719</v>
      </c>
      <c r="AU2598" t="s">
        <v>73</v>
      </c>
      <c r="AV2598">
        <v>3512</v>
      </c>
      <c r="AW2598" s="4">
        <v>42719</v>
      </c>
      <c r="BD2598">
        <v>126.24</v>
      </c>
      <c r="BN2598" t="s">
        <v>74</v>
      </c>
    </row>
    <row r="2599" spans="1:66">
      <c r="A2599">
        <v>100824</v>
      </c>
      <c r="B2599" s="3" t="s">
        <v>252</v>
      </c>
      <c r="C2599" s="1">
        <v>43300101</v>
      </c>
      <c r="D2599" t="s">
        <v>67</v>
      </c>
      <c r="H2599" t="str">
        <f t="shared" si="261"/>
        <v>05750470634</v>
      </c>
      <c r="I2599" t="str">
        <f t="shared" si="261"/>
        <v>05750470634</v>
      </c>
      <c r="K2599" t="str">
        <f>""</f>
        <v/>
      </c>
      <c r="M2599" t="s">
        <v>68</v>
      </c>
      <c r="N2599" t="str">
        <f t="shared" si="260"/>
        <v>FOR</v>
      </c>
      <c r="O2599" t="s">
        <v>69</v>
      </c>
      <c r="P2599" s="3" t="s">
        <v>75</v>
      </c>
      <c r="Q2599">
        <v>2016</v>
      </c>
      <c r="R2599" s="2">
        <v>42412</v>
      </c>
      <c r="S2599" s="2">
        <v>42417</v>
      </c>
      <c r="T2599" s="2">
        <v>42416</v>
      </c>
      <c r="U2599" s="2">
        <v>42476</v>
      </c>
      <c r="V2599" t="s">
        <v>71</v>
      </c>
      <c r="W2599" t="str">
        <f>"               3/110"</f>
        <v xml:space="preserve">               3/110</v>
      </c>
      <c r="X2599">
        <v>361.92</v>
      </c>
      <c r="Y2599">
        <v>0</v>
      </c>
      <c r="Z2599" s="3">
        <v>348</v>
      </c>
      <c r="AA2599">
        <v>243</v>
      </c>
      <c r="AB2599" s="5">
        <v>84564</v>
      </c>
      <c r="AC2599">
        <v>348</v>
      </c>
      <c r="AD2599">
        <v>243</v>
      </c>
      <c r="AE2599" s="1">
        <v>84564</v>
      </c>
      <c r="AF2599">
        <v>13.92</v>
      </c>
      <c r="AJ2599">
        <v>0</v>
      </c>
      <c r="AK2599">
        <v>0</v>
      </c>
      <c r="AL2599">
        <v>0</v>
      </c>
      <c r="AM2599">
        <v>361.92</v>
      </c>
      <c r="AN2599">
        <v>361.92</v>
      </c>
      <c r="AO2599">
        <v>361.92</v>
      </c>
      <c r="AP2599" s="2">
        <v>42746</v>
      </c>
      <c r="AQ2599" t="s">
        <v>72</v>
      </c>
      <c r="AR2599" t="s">
        <v>72</v>
      </c>
      <c r="AS2599">
        <v>3512</v>
      </c>
      <c r="AT2599" s="4">
        <v>42719</v>
      </c>
      <c r="AU2599" t="s">
        <v>73</v>
      </c>
      <c r="AV2599">
        <v>3512</v>
      </c>
      <c r="AW2599" s="4">
        <v>42719</v>
      </c>
      <c r="BD2599">
        <v>13.92</v>
      </c>
      <c r="BN2599" t="s">
        <v>74</v>
      </c>
    </row>
    <row r="2600" spans="1:66">
      <c r="A2600">
        <v>100824</v>
      </c>
      <c r="B2600" s="3" t="s">
        <v>252</v>
      </c>
      <c r="C2600" s="1">
        <v>43300101</v>
      </c>
      <c r="D2600" t="s">
        <v>67</v>
      </c>
      <c r="H2600" t="str">
        <f t="shared" si="261"/>
        <v>05750470634</v>
      </c>
      <c r="I2600" t="str">
        <f t="shared" si="261"/>
        <v>05750470634</v>
      </c>
      <c r="K2600" t="str">
        <f>""</f>
        <v/>
      </c>
      <c r="M2600" t="s">
        <v>68</v>
      </c>
      <c r="N2600" t="str">
        <f t="shared" si="260"/>
        <v>FOR</v>
      </c>
      <c r="O2600" t="s">
        <v>69</v>
      </c>
      <c r="P2600" s="3" t="s">
        <v>75</v>
      </c>
      <c r="Q2600">
        <v>2016</v>
      </c>
      <c r="R2600" s="2">
        <v>42416</v>
      </c>
      <c r="S2600" s="2">
        <v>42418</v>
      </c>
      <c r="T2600" s="2">
        <v>42416</v>
      </c>
      <c r="U2600" s="2">
        <v>42476</v>
      </c>
      <c r="V2600" t="s">
        <v>71</v>
      </c>
      <c r="W2600" t="str">
        <f>"               3/124"</f>
        <v xml:space="preserve">               3/124</v>
      </c>
      <c r="X2600" s="1">
        <v>8560.2999999999993</v>
      </c>
      <c r="Y2600">
        <v>0</v>
      </c>
      <c r="Z2600" s="5">
        <v>7016.64</v>
      </c>
      <c r="AA2600">
        <v>243</v>
      </c>
      <c r="AB2600" s="5">
        <v>1705043.52</v>
      </c>
      <c r="AC2600" s="1">
        <v>7016.64</v>
      </c>
      <c r="AD2600">
        <v>243</v>
      </c>
      <c r="AE2600" s="1">
        <v>1705043.52</v>
      </c>
      <c r="AF2600" s="1">
        <v>1543.66</v>
      </c>
      <c r="AJ2600">
        <v>0</v>
      </c>
      <c r="AK2600">
        <v>0</v>
      </c>
      <c r="AL2600">
        <v>0</v>
      </c>
      <c r="AM2600" s="1">
        <v>8560.2999999999993</v>
      </c>
      <c r="AN2600" s="1">
        <v>8560.2999999999993</v>
      </c>
      <c r="AO2600" s="1">
        <v>8560.2999999999993</v>
      </c>
      <c r="AP2600" s="2">
        <v>42746</v>
      </c>
      <c r="AQ2600" t="s">
        <v>72</v>
      </c>
      <c r="AR2600" t="s">
        <v>72</v>
      </c>
      <c r="AS2600">
        <v>3512</v>
      </c>
      <c r="AT2600" s="4">
        <v>42719</v>
      </c>
      <c r="AU2600" t="s">
        <v>73</v>
      </c>
      <c r="AV2600">
        <v>3512</v>
      </c>
      <c r="AW2600" s="4">
        <v>42719</v>
      </c>
      <c r="BD2600" s="1">
        <v>1543.66</v>
      </c>
      <c r="BN2600" t="s">
        <v>74</v>
      </c>
    </row>
    <row r="2601" spans="1:66">
      <c r="A2601">
        <v>100824</v>
      </c>
      <c r="B2601" s="3" t="s">
        <v>252</v>
      </c>
      <c r="C2601" s="1">
        <v>43300101</v>
      </c>
      <c r="D2601" t="s">
        <v>67</v>
      </c>
      <c r="H2601" t="str">
        <f t="shared" si="261"/>
        <v>05750470634</v>
      </c>
      <c r="I2601" t="str">
        <f t="shared" si="261"/>
        <v>05750470634</v>
      </c>
      <c r="K2601" t="str">
        <f>""</f>
        <v/>
      </c>
      <c r="M2601" t="s">
        <v>68</v>
      </c>
      <c r="N2601" t="str">
        <f t="shared" si="260"/>
        <v>FOR</v>
      </c>
      <c r="O2601" t="s">
        <v>69</v>
      </c>
      <c r="P2601" s="3" t="s">
        <v>75</v>
      </c>
      <c r="Q2601">
        <v>2016</v>
      </c>
      <c r="R2601" s="2">
        <v>42426</v>
      </c>
      <c r="S2601" s="2">
        <v>42436</v>
      </c>
      <c r="T2601" s="2">
        <v>42426</v>
      </c>
      <c r="U2601" s="2">
        <v>42486</v>
      </c>
      <c r="V2601" t="s">
        <v>71</v>
      </c>
      <c r="W2601" t="str">
        <f>"               3/155"</f>
        <v xml:space="preserve">               3/155</v>
      </c>
      <c r="X2601">
        <v>56.16</v>
      </c>
      <c r="Y2601">
        <v>0</v>
      </c>
      <c r="Z2601" s="3">
        <v>54</v>
      </c>
      <c r="AA2601">
        <v>233</v>
      </c>
      <c r="AB2601" s="5">
        <v>12582</v>
      </c>
      <c r="AC2601">
        <v>54</v>
      </c>
      <c r="AD2601">
        <v>233</v>
      </c>
      <c r="AE2601" s="1">
        <v>12582</v>
      </c>
      <c r="AF2601">
        <v>2.16</v>
      </c>
      <c r="AJ2601">
        <v>0</v>
      </c>
      <c r="AK2601">
        <v>0</v>
      </c>
      <c r="AL2601">
        <v>0</v>
      </c>
      <c r="AM2601">
        <v>56.16</v>
      </c>
      <c r="AN2601">
        <v>56.16</v>
      </c>
      <c r="AO2601">
        <v>56.16</v>
      </c>
      <c r="AP2601" s="2">
        <v>42746</v>
      </c>
      <c r="AQ2601" t="s">
        <v>72</v>
      </c>
      <c r="AR2601" t="s">
        <v>72</v>
      </c>
      <c r="AS2601">
        <v>3512</v>
      </c>
      <c r="AT2601" s="4">
        <v>42719</v>
      </c>
      <c r="AU2601" t="s">
        <v>73</v>
      </c>
      <c r="AV2601">
        <v>3512</v>
      </c>
      <c r="AW2601" s="4">
        <v>42719</v>
      </c>
      <c r="BD2601">
        <v>2.16</v>
      </c>
      <c r="BN2601" t="s">
        <v>74</v>
      </c>
    </row>
    <row r="2602" spans="1:66">
      <c r="A2602">
        <v>100824</v>
      </c>
      <c r="B2602" s="3" t="s">
        <v>252</v>
      </c>
      <c r="C2602" s="1">
        <v>43300101</v>
      </c>
      <c r="D2602" t="s">
        <v>67</v>
      </c>
      <c r="H2602" t="str">
        <f t="shared" si="261"/>
        <v>05750470634</v>
      </c>
      <c r="I2602" t="str">
        <f t="shared" si="261"/>
        <v>05750470634</v>
      </c>
      <c r="K2602" t="str">
        <f>""</f>
        <v/>
      </c>
      <c r="M2602" t="s">
        <v>68</v>
      </c>
      <c r="N2602" t="str">
        <f t="shared" si="260"/>
        <v>FOR</v>
      </c>
      <c r="O2602" t="s">
        <v>69</v>
      </c>
      <c r="P2602" s="3" t="s">
        <v>75</v>
      </c>
      <c r="Q2602">
        <v>2016</v>
      </c>
      <c r="R2602" s="2">
        <v>42426</v>
      </c>
      <c r="S2602" s="2">
        <v>42436</v>
      </c>
      <c r="T2602" s="2">
        <v>42426</v>
      </c>
      <c r="U2602" s="2">
        <v>42486</v>
      </c>
      <c r="V2602" t="s">
        <v>71</v>
      </c>
      <c r="W2602" t="str">
        <f>"               3/156"</f>
        <v xml:space="preserve">               3/156</v>
      </c>
      <c r="X2602">
        <v>124.8</v>
      </c>
      <c r="Y2602">
        <v>0</v>
      </c>
      <c r="Z2602" s="3">
        <v>120</v>
      </c>
      <c r="AA2602">
        <v>233</v>
      </c>
      <c r="AB2602" s="5">
        <v>27960</v>
      </c>
      <c r="AC2602">
        <v>120</v>
      </c>
      <c r="AD2602">
        <v>233</v>
      </c>
      <c r="AE2602" s="1">
        <v>27960</v>
      </c>
      <c r="AF2602">
        <v>4.8</v>
      </c>
      <c r="AJ2602">
        <v>0</v>
      </c>
      <c r="AK2602">
        <v>0</v>
      </c>
      <c r="AL2602">
        <v>0</v>
      </c>
      <c r="AM2602">
        <v>124.8</v>
      </c>
      <c r="AN2602">
        <v>124.8</v>
      </c>
      <c r="AO2602">
        <v>124.8</v>
      </c>
      <c r="AP2602" s="2">
        <v>42746</v>
      </c>
      <c r="AQ2602" t="s">
        <v>72</v>
      </c>
      <c r="AR2602" t="s">
        <v>72</v>
      </c>
      <c r="AS2602">
        <v>3512</v>
      </c>
      <c r="AT2602" s="4">
        <v>42719</v>
      </c>
      <c r="AU2602" t="s">
        <v>73</v>
      </c>
      <c r="AV2602">
        <v>3512</v>
      </c>
      <c r="AW2602" s="4">
        <v>42719</v>
      </c>
      <c r="BD2602">
        <v>4.8</v>
      </c>
      <c r="BN2602" t="s">
        <v>74</v>
      </c>
    </row>
    <row r="2603" spans="1:66">
      <c r="A2603">
        <v>100824</v>
      </c>
      <c r="B2603" s="3" t="s">
        <v>252</v>
      </c>
      <c r="C2603" s="1">
        <v>43300101</v>
      </c>
      <c r="D2603" t="s">
        <v>67</v>
      </c>
      <c r="H2603" t="str">
        <f t="shared" ref="H2603:I2611" si="262">"05750470634"</f>
        <v>05750470634</v>
      </c>
      <c r="I2603" t="str">
        <f t="shared" si="262"/>
        <v>05750470634</v>
      </c>
      <c r="K2603" t="str">
        <f>""</f>
        <v/>
      </c>
      <c r="M2603" t="s">
        <v>68</v>
      </c>
      <c r="N2603" t="str">
        <f t="shared" si="260"/>
        <v>FOR</v>
      </c>
      <c r="O2603" t="s">
        <v>69</v>
      </c>
      <c r="P2603" s="3" t="s">
        <v>75</v>
      </c>
      <c r="Q2603">
        <v>2016</v>
      </c>
      <c r="R2603" s="2">
        <v>42426</v>
      </c>
      <c r="S2603" s="2">
        <v>42436</v>
      </c>
      <c r="T2603" s="2">
        <v>42426</v>
      </c>
      <c r="U2603" s="2">
        <v>42486</v>
      </c>
      <c r="V2603" t="s">
        <v>71</v>
      </c>
      <c r="W2603" t="str">
        <f>"               3/157"</f>
        <v xml:space="preserve">               3/157</v>
      </c>
      <c r="X2603">
        <v>166.4</v>
      </c>
      <c r="Y2603">
        <v>0</v>
      </c>
      <c r="Z2603" s="3">
        <v>160</v>
      </c>
      <c r="AA2603">
        <v>233</v>
      </c>
      <c r="AB2603" s="5">
        <v>37280</v>
      </c>
      <c r="AC2603">
        <v>160</v>
      </c>
      <c r="AD2603">
        <v>233</v>
      </c>
      <c r="AE2603" s="1">
        <v>37280</v>
      </c>
      <c r="AF2603">
        <v>6.4</v>
      </c>
      <c r="AJ2603">
        <v>0</v>
      </c>
      <c r="AK2603">
        <v>0</v>
      </c>
      <c r="AL2603">
        <v>0</v>
      </c>
      <c r="AM2603">
        <v>166.4</v>
      </c>
      <c r="AN2603">
        <v>166.4</v>
      </c>
      <c r="AO2603">
        <v>166.4</v>
      </c>
      <c r="AP2603" s="2">
        <v>42746</v>
      </c>
      <c r="AQ2603" t="s">
        <v>72</v>
      </c>
      <c r="AR2603" t="s">
        <v>72</v>
      </c>
      <c r="AS2603">
        <v>3512</v>
      </c>
      <c r="AT2603" s="4">
        <v>42719</v>
      </c>
      <c r="AU2603" t="s">
        <v>73</v>
      </c>
      <c r="AV2603">
        <v>3512</v>
      </c>
      <c r="AW2603" s="4">
        <v>42719</v>
      </c>
      <c r="BD2603">
        <v>6.4</v>
      </c>
      <c r="BN2603" t="s">
        <v>74</v>
      </c>
    </row>
    <row r="2604" spans="1:66">
      <c r="A2604">
        <v>100824</v>
      </c>
      <c r="B2604" s="3" t="s">
        <v>252</v>
      </c>
      <c r="C2604" s="1">
        <v>43300101</v>
      </c>
      <c r="D2604" t="s">
        <v>67</v>
      </c>
      <c r="H2604" t="str">
        <f t="shared" si="262"/>
        <v>05750470634</v>
      </c>
      <c r="I2604" t="str">
        <f t="shared" si="262"/>
        <v>05750470634</v>
      </c>
      <c r="K2604" t="str">
        <f>""</f>
        <v/>
      </c>
      <c r="M2604" t="s">
        <v>68</v>
      </c>
      <c r="N2604" t="str">
        <f t="shared" si="260"/>
        <v>FOR</v>
      </c>
      <c r="O2604" t="s">
        <v>69</v>
      </c>
      <c r="P2604" s="3" t="s">
        <v>75</v>
      </c>
      <c r="Q2604">
        <v>2016</v>
      </c>
      <c r="R2604" s="2">
        <v>42426</v>
      </c>
      <c r="S2604" s="2">
        <v>42429</v>
      </c>
      <c r="T2604" s="2">
        <v>42426</v>
      </c>
      <c r="U2604" s="2">
        <v>42486</v>
      </c>
      <c r="V2604" t="s">
        <v>71</v>
      </c>
      <c r="W2604" t="str">
        <f>"               3/158"</f>
        <v xml:space="preserve">               3/158</v>
      </c>
      <c r="X2604">
        <v>75.92</v>
      </c>
      <c r="Y2604">
        <v>0</v>
      </c>
      <c r="Z2604" s="3">
        <v>73</v>
      </c>
      <c r="AA2604">
        <v>233</v>
      </c>
      <c r="AB2604" s="5">
        <v>17009</v>
      </c>
      <c r="AC2604">
        <v>73</v>
      </c>
      <c r="AD2604">
        <v>233</v>
      </c>
      <c r="AE2604" s="1">
        <v>17009</v>
      </c>
      <c r="AF2604">
        <v>2.92</v>
      </c>
      <c r="AJ2604">
        <v>0</v>
      </c>
      <c r="AK2604">
        <v>0</v>
      </c>
      <c r="AL2604">
        <v>0</v>
      </c>
      <c r="AM2604">
        <v>75.92</v>
      </c>
      <c r="AN2604">
        <v>75.92</v>
      </c>
      <c r="AO2604">
        <v>75.92</v>
      </c>
      <c r="AP2604" s="2">
        <v>42746</v>
      </c>
      <c r="AQ2604" t="s">
        <v>72</v>
      </c>
      <c r="AR2604" t="s">
        <v>72</v>
      </c>
      <c r="AS2604">
        <v>3512</v>
      </c>
      <c r="AT2604" s="4">
        <v>42719</v>
      </c>
      <c r="AU2604" t="s">
        <v>73</v>
      </c>
      <c r="AV2604">
        <v>3512</v>
      </c>
      <c r="AW2604" s="4">
        <v>42719</v>
      </c>
      <c r="BD2604">
        <v>2.92</v>
      </c>
      <c r="BN2604" t="s">
        <v>74</v>
      </c>
    </row>
    <row r="2605" spans="1:66">
      <c r="A2605">
        <v>100824</v>
      </c>
      <c r="B2605" s="3" t="s">
        <v>252</v>
      </c>
      <c r="C2605" s="1">
        <v>43300101</v>
      </c>
      <c r="D2605" t="s">
        <v>67</v>
      </c>
      <c r="H2605" t="str">
        <f t="shared" si="262"/>
        <v>05750470634</v>
      </c>
      <c r="I2605" t="str">
        <f t="shared" si="262"/>
        <v>05750470634</v>
      </c>
      <c r="K2605" t="str">
        <f>""</f>
        <v/>
      </c>
      <c r="M2605" t="s">
        <v>68</v>
      </c>
      <c r="N2605" t="str">
        <f t="shared" si="260"/>
        <v>FOR</v>
      </c>
      <c r="O2605" t="s">
        <v>69</v>
      </c>
      <c r="P2605" s="3" t="s">
        <v>75</v>
      </c>
      <c r="Q2605">
        <v>2016</v>
      </c>
      <c r="R2605" s="2">
        <v>42426</v>
      </c>
      <c r="S2605" s="2">
        <v>42436</v>
      </c>
      <c r="T2605" s="2">
        <v>42426</v>
      </c>
      <c r="U2605" s="2">
        <v>42486</v>
      </c>
      <c r="V2605" t="s">
        <v>71</v>
      </c>
      <c r="W2605" t="str">
        <f>"               3/159"</f>
        <v xml:space="preserve">               3/159</v>
      </c>
      <c r="X2605" s="1">
        <v>2096.64</v>
      </c>
      <c r="Y2605">
        <v>0</v>
      </c>
      <c r="Z2605" s="5">
        <v>2016</v>
      </c>
      <c r="AA2605">
        <v>233</v>
      </c>
      <c r="AB2605" s="5">
        <v>469728</v>
      </c>
      <c r="AC2605" s="1">
        <v>2016</v>
      </c>
      <c r="AD2605">
        <v>233</v>
      </c>
      <c r="AE2605" s="1">
        <v>469728</v>
      </c>
      <c r="AF2605">
        <v>80.64</v>
      </c>
      <c r="AJ2605">
        <v>0</v>
      </c>
      <c r="AK2605">
        <v>0</v>
      </c>
      <c r="AL2605">
        <v>0</v>
      </c>
      <c r="AM2605" s="1">
        <v>2096.64</v>
      </c>
      <c r="AN2605" s="1">
        <v>2096.64</v>
      </c>
      <c r="AO2605" s="1">
        <v>2096.64</v>
      </c>
      <c r="AP2605" s="2">
        <v>42746</v>
      </c>
      <c r="AQ2605" t="s">
        <v>72</v>
      </c>
      <c r="AR2605" t="s">
        <v>72</v>
      </c>
      <c r="AS2605">
        <v>3512</v>
      </c>
      <c r="AT2605" s="4">
        <v>42719</v>
      </c>
      <c r="AU2605" t="s">
        <v>73</v>
      </c>
      <c r="AV2605">
        <v>3512</v>
      </c>
      <c r="AW2605" s="4">
        <v>42719</v>
      </c>
      <c r="BD2605">
        <v>80.64</v>
      </c>
      <c r="BN2605" t="s">
        <v>74</v>
      </c>
    </row>
    <row r="2606" spans="1:66">
      <c r="A2606">
        <v>100824</v>
      </c>
      <c r="B2606" s="3" t="s">
        <v>252</v>
      </c>
      <c r="C2606" s="1">
        <v>43300101</v>
      </c>
      <c r="D2606" t="s">
        <v>67</v>
      </c>
      <c r="H2606" t="str">
        <f t="shared" si="262"/>
        <v>05750470634</v>
      </c>
      <c r="I2606" t="str">
        <f t="shared" si="262"/>
        <v>05750470634</v>
      </c>
      <c r="K2606" t="str">
        <f>""</f>
        <v/>
      </c>
      <c r="M2606" t="s">
        <v>68</v>
      </c>
      <c r="N2606" t="str">
        <f t="shared" si="260"/>
        <v>FOR</v>
      </c>
      <c r="O2606" t="s">
        <v>69</v>
      </c>
      <c r="P2606" s="3" t="s">
        <v>75</v>
      </c>
      <c r="Q2606">
        <v>2016</v>
      </c>
      <c r="R2606" s="2">
        <v>42426</v>
      </c>
      <c r="S2606" s="2">
        <v>42436</v>
      </c>
      <c r="T2606" s="2">
        <v>42426</v>
      </c>
      <c r="U2606" s="2">
        <v>42486</v>
      </c>
      <c r="V2606" t="s">
        <v>71</v>
      </c>
      <c r="W2606" t="str">
        <f>"               3/160"</f>
        <v xml:space="preserve">               3/160</v>
      </c>
      <c r="X2606" s="1">
        <v>5402.49</v>
      </c>
      <c r="Y2606">
        <v>0</v>
      </c>
      <c r="Z2606" s="5">
        <v>5194.7</v>
      </c>
      <c r="AA2606">
        <v>233</v>
      </c>
      <c r="AB2606" s="5">
        <v>1210365.1000000001</v>
      </c>
      <c r="AC2606" s="1">
        <v>5194.7</v>
      </c>
      <c r="AD2606">
        <v>233</v>
      </c>
      <c r="AE2606" s="1">
        <v>1210365.1000000001</v>
      </c>
      <c r="AF2606">
        <v>207.79</v>
      </c>
      <c r="AJ2606">
        <v>0</v>
      </c>
      <c r="AK2606">
        <v>0</v>
      </c>
      <c r="AL2606">
        <v>0</v>
      </c>
      <c r="AM2606" s="1">
        <v>5402.49</v>
      </c>
      <c r="AN2606" s="1">
        <v>5402.49</v>
      </c>
      <c r="AO2606" s="1">
        <v>5402.49</v>
      </c>
      <c r="AP2606" s="2">
        <v>42746</v>
      </c>
      <c r="AQ2606" t="s">
        <v>72</v>
      </c>
      <c r="AR2606" t="s">
        <v>72</v>
      </c>
      <c r="AS2606">
        <v>3512</v>
      </c>
      <c r="AT2606" s="4">
        <v>42719</v>
      </c>
      <c r="AU2606" t="s">
        <v>73</v>
      </c>
      <c r="AV2606">
        <v>3512</v>
      </c>
      <c r="AW2606" s="4">
        <v>42719</v>
      </c>
      <c r="BD2606">
        <v>207.79</v>
      </c>
      <c r="BN2606" t="s">
        <v>74</v>
      </c>
    </row>
    <row r="2607" spans="1:66">
      <c r="A2607">
        <v>100824</v>
      </c>
      <c r="B2607" s="3" t="s">
        <v>252</v>
      </c>
      <c r="C2607" s="1">
        <v>43300101</v>
      </c>
      <c r="D2607" t="s">
        <v>67</v>
      </c>
      <c r="H2607" t="str">
        <f t="shared" si="262"/>
        <v>05750470634</v>
      </c>
      <c r="I2607" t="str">
        <f t="shared" si="262"/>
        <v>05750470634</v>
      </c>
      <c r="K2607" t="str">
        <f>""</f>
        <v/>
      </c>
      <c r="M2607" t="s">
        <v>68</v>
      </c>
      <c r="N2607" t="str">
        <f t="shared" si="260"/>
        <v>FOR</v>
      </c>
      <c r="O2607" t="s">
        <v>69</v>
      </c>
      <c r="P2607" s="3" t="s">
        <v>75</v>
      </c>
      <c r="Q2607">
        <v>2016</v>
      </c>
      <c r="R2607" s="2">
        <v>42426</v>
      </c>
      <c r="S2607" s="2">
        <v>42429</v>
      </c>
      <c r="T2607" s="2">
        <v>42426</v>
      </c>
      <c r="U2607" s="2">
        <v>42486</v>
      </c>
      <c r="V2607" t="s">
        <v>71</v>
      </c>
      <c r="W2607" t="str">
        <f>"               3/161"</f>
        <v xml:space="preserve">               3/161</v>
      </c>
      <c r="X2607" s="1">
        <v>1822.08</v>
      </c>
      <c r="Y2607">
        <v>0</v>
      </c>
      <c r="Z2607" s="5">
        <v>1752</v>
      </c>
      <c r="AA2607">
        <v>233</v>
      </c>
      <c r="AB2607" s="5">
        <v>408216</v>
      </c>
      <c r="AC2607" s="1">
        <v>1752</v>
      </c>
      <c r="AD2607">
        <v>233</v>
      </c>
      <c r="AE2607" s="1">
        <v>408216</v>
      </c>
      <c r="AF2607">
        <v>70.08</v>
      </c>
      <c r="AJ2607">
        <v>0</v>
      </c>
      <c r="AK2607">
        <v>0</v>
      </c>
      <c r="AL2607">
        <v>0</v>
      </c>
      <c r="AM2607" s="1">
        <v>1822.08</v>
      </c>
      <c r="AN2607" s="1">
        <v>1822.08</v>
      </c>
      <c r="AO2607" s="1">
        <v>1822.08</v>
      </c>
      <c r="AP2607" s="2">
        <v>42746</v>
      </c>
      <c r="AQ2607" t="s">
        <v>72</v>
      </c>
      <c r="AR2607" t="s">
        <v>72</v>
      </c>
      <c r="AS2607">
        <v>3512</v>
      </c>
      <c r="AT2607" s="4">
        <v>42719</v>
      </c>
      <c r="AU2607" t="s">
        <v>73</v>
      </c>
      <c r="AV2607">
        <v>3512</v>
      </c>
      <c r="AW2607" s="4">
        <v>42719</v>
      </c>
      <c r="BD2607">
        <v>70.08</v>
      </c>
      <c r="BN2607" t="s">
        <v>74</v>
      </c>
    </row>
    <row r="2608" spans="1:66">
      <c r="A2608">
        <v>100824</v>
      </c>
      <c r="B2608" s="3" t="s">
        <v>252</v>
      </c>
      <c r="C2608" s="1">
        <v>43300101</v>
      </c>
      <c r="D2608" t="s">
        <v>67</v>
      </c>
      <c r="H2608" t="str">
        <f t="shared" si="262"/>
        <v>05750470634</v>
      </c>
      <c r="I2608" t="str">
        <f t="shared" si="262"/>
        <v>05750470634</v>
      </c>
      <c r="K2608" t="str">
        <f>""</f>
        <v/>
      </c>
      <c r="M2608" t="s">
        <v>68</v>
      </c>
      <c r="N2608" t="str">
        <f t="shared" si="260"/>
        <v>FOR</v>
      </c>
      <c r="O2608" t="s">
        <v>69</v>
      </c>
      <c r="P2608" s="3" t="s">
        <v>75</v>
      </c>
      <c r="Q2608">
        <v>2016</v>
      </c>
      <c r="R2608" s="2">
        <v>42429</v>
      </c>
      <c r="S2608" s="2">
        <v>42436</v>
      </c>
      <c r="T2608" s="2">
        <v>42431</v>
      </c>
      <c r="U2608" s="2">
        <v>42491</v>
      </c>
      <c r="V2608" t="s">
        <v>71</v>
      </c>
      <c r="W2608" t="str">
        <f>"               3/170"</f>
        <v xml:space="preserve">               3/170</v>
      </c>
      <c r="X2608">
        <v>707.2</v>
      </c>
      <c r="Y2608">
        <v>0</v>
      </c>
      <c r="Z2608" s="3">
        <v>680</v>
      </c>
      <c r="AA2608">
        <v>228</v>
      </c>
      <c r="AB2608" s="5">
        <v>155040</v>
      </c>
      <c r="AC2608">
        <v>680</v>
      </c>
      <c r="AD2608">
        <v>228</v>
      </c>
      <c r="AE2608" s="1">
        <v>155040</v>
      </c>
      <c r="AF2608">
        <v>27.2</v>
      </c>
      <c r="AJ2608">
        <v>0</v>
      </c>
      <c r="AK2608">
        <v>0</v>
      </c>
      <c r="AL2608">
        <v>0</v>
      </c>
      <c r="AM2608">
        <v>707.2</v>
      </c>
      <c r="AN2608">
        <v>707.2</v>
      </c>
      <c r="AO2608">
        <v>707.2</v>
      </c>
      <c r="AP2608" s="2">
        <v>42746</v>
      </c>
      <c r="AQ2608" t="s">
        <v>72</v>
      </c>
      <c r="AR2608" t="s">
        <v>72</v>
      </c>
      <c r="AS2608">
        <v>3512</v>
      </c>
      <c r="AT2608" s="4">
        <v>42719</v>
      </c>
      <c r="AU2608" t="s">
        <v>73</v>
      </c>
      <c r="AV2608">
        <v>3512</v>
      </c>
      <c r="AW2608" s="4">
        <v>42719</v>
      </c>
      <c r="BD2608">
        <v>27.2</v>
      </c>
      <c r="BN2608" t="s">
        <v>74</v>
      </c>
    </row>
    <row r="2609" spans="1:66">
      <c r="A2609">
        <v>100824</v>
      </c>
      <c r="B2609" s="3" t="s">
        <v>252</v>
      </c>
      <c r="C2609" s="1">
        <v>43300101</v>
      </c>
      <c r="D2609" t="s">
        <v>67</v>
      </c>
      <c r="H2609" t="str">
        <f t="shared" si="262"/>
        <v>05750470634</v>
      </c>
      <c r="I2609" t="str">
        <f t="shared" si="262"/>
        <v>05750470634</v>
      </c>
      <c r="K2609" t="str">
        <f>""</f>
        <v/>
      </c>
      <c r="M2609" t="s">
        <v>68</v>
      </c>
      <c r="N2609" t="str">
        <f t="shared" si="260"/>
        <v>FOR</v>
      </c>
      <c r="O2609" t="s">
        <v>69</v>
      </c>
      <c r="P2609" s="3" t="s">
        <v>75</v>
      </c>
      <c r="Q2609">
        <v>2016</v>
      </c>
      <c r="R2609" s="2">
        <v>42429</v>
      </c>
      <c r="S2609" s="2">
        <v>42436</v>
      </c>
      <c r="T2609" s="2">
        <v>42431</v>
      </c>
      <c r="U2609" s="2">
        <v>42491</v>
      </c>
      <c r="V2609" t="s">
        <v>71</v>
      </c>
      <c r="W2609" t="str">
        <f>"               3/171"</f>
        <v xml:space="preserve">               3/171</v>
      </c>
      <c r="X2609">
        <v>74.88</v>
      </c>
      <c r="Y2609">
        <v>0</v>
      </c>
      <c r="Z2609" s="3">
        <v>72</v>
      </c>
      <c r="AA2609">
        <v>228</v>
      </c>
      <c r="AB2609" s="5">
        <v>16416</v>
      </c>
      <c r="AC2609">
        <v>72</v>
      </c>
      <c r="AD2609">
        <v>228</v>
      </c>
      <c r="AE2609" s="1">
        <v>16416</v>
      </c>
      <c r="AF2609">
        <v>2.88</v>
      </c>
      <c r="AJ2609">
        <v>0</v>
      </c>
      <c r="AK2609">
        <v>0</v>
      </c>
      <c r="AL2609">
        <v>0</v>
      </c>
      <c r="AM2609">
        <v>74.88</v>
      </c>
      <c r="AN2609">
        <v>74.88</v>
      </c>
      <c r="AO2609">
        <v>74.88</v>
      </c>
      <c r="AP2609" s="2">
        <v>42746</v>
      </c>
      <c r="AQ2609" t="s">
        <v>72</v>
      </c>
      <c r="AR2609" t="s">
        <v>72</v>
      </c>
      <c r="AS2609">
        <v>3512</v>
      </c>
      <c r="AT2609" s="4">
        <v>42719</v>
      </c>
      <c r="AU2609" t="s">
        <v>73</v>
      </c>
      <c r="AV2609">
        <v>3512</v>
      </c>
      <c r="AW2609" s="4">
        <v>42719</v>
      </c>
      <c r="BD2609">
        <v>2.88</v>
      </c>
      <c r="BN2609" t="s">
        <v>74</v>
      </c>
    </row>
    <row r="2610" spans="1:66">
      <c r="A2610">
        <v>100824</v>
      </c>
      <c r="B2610" s="3" t="s">
        <v>252</v>
      </c>
      <c r="C2610" s="1">
        <v>43300101</v>
      </c>
      <c r="D2610" t="s">
        <v>67</v>
      </c>
      <c r="H2610" t="str">
        <f t="shared" si="262"/>
        <v>05750470634</v>
      </c>
      <c r="I2610" t="str">
        <f t="shared" si="262"/>
        <v>05750470634</v>
      </c>
      <c r="K2610" t="str">
        <f>""</f>
        <v/>
      </c>
      <c r="M2610" t="s">
        <v>68</v>
      </c>
      <c r="N2610" t="str">
        <f t="shared" si="260"/>
        <v>FOR</v>
      </c>
      <c r="O2610" t="s">
        <v>69</v>
      </c>
      <c r="P2610" s="3" t="s">
        <v>75</v>
      </c>
      <c r="Q2610">
        <v>2016</v>
      </c>
      <c r="R2610" s="2">
        <v>42429</v>
      </c>
      <c r="S2610" s="2">
        <v>42436</v>
      </c>
      <c r="T2610" s="2">
        <v>42431</v>
      </c>
      <c r="U2610" s="2">
        <v>42491</v>
      </c>
      <c r="V2610" t="s">
        <v>71</v>
      </c>
      <c r="W2610" t="str">
        <f>"               3/172"</f>
        <v xml:space="preserve">               3/172</v>
      </c>
      <c r="X2610">
        <v>394.37</v>
      </c>
      <c r="Y2610">
        <v>0</v>
      </c>
      <c r="Z2610" s="3">
        <v>379.2</v>
      </c>
      <c r="AA2610">
        <v>228</v>
      </c>
      <c r="AB2610" s="5">
        <v>86457.600000000006</v>
      </c>
      <c r="AC2610">
        <v>379.2</v>
      </c>
      <c r="AD2610">
        <v>228</v>
      </c>
      <c r="AE2610" s="1">
        <v>86457.600000000006</v>
      </c>
      <c r="AF2610">
        <v>15.17</v>
      </c>
      <c r="AJ2610">
        <v>0</v>
      </c>
      <c r="AK2610">
        <v>0</v>
      </c>
      <c r="AL2610">
        <v>0</v>
      </c>
      <c r="AM2610">
        <v>394.37</v>
      </c>
      <c r="AN2610">
        <v>394.37</v>
      </c>
      <c r="AO2610">
        <v>394.37</v>
      </c>
      <c r="AP2610" s="2">
        <v>42746</v>
      </c>
      <c r="AQ2610" t="s">
        <v>72</v>
      </c>
      <c r="AR2610" t="s">
        <v>72</v>
      </c>
      <c r="AS2610">
        <v>3512</v>
      </c>
      <c r="AT2610" s="4">
        <v>42719</v>
      </c>
      <c r="AU2610" t="s">
        <v>73</v>
      </c>
      <c r="AV2610">
        <v>3512</v>
      </c>
      <c r="AW2610" s="4">
        <v>42719</v>
      </c>
      <c r="BD2610">
        <v>15.17</v>
      </c>
      <c r="BN2610" t="s">
        <v>74</v>
      </c>
    </row>
    <row r="2611" spans="1:66">
      <c r="A2611">
        <v>100824</v>
      </c>
      <c r="B2611" s="3" t="s">
        <v>252</v>
      </c>
      <c r="C2611" s="1">
        <v>43300101</v>
      </c>
      <c r="D2611" t="s">
        <v>67</v>
      </c>
      <c r="H2611" t="str">
        <f t="shared" si="262"/>
        <v>05750470634</v>
      </c>
      <c r="I2611" t="str">
        <f t="shared" si="262"/>
        <v>05750470634</v>
      </c>
      <c r="K2611" t="str">
        <f>""</f>
        <v/>
      </c>
      <c r="M2611" t="s">
        <v>68</v>
      </c>
      <c r="N2611" t="str">
        <f t="shared" si="260"/>
        <v>FOR</v>
      </c>
      <c r="O2611" t="s">
        <v>69</v>
      </c>
      <c r="P2611" s="3" t="s">
        <v>75</v>
      </c>
      <c r="Q2611">
        <v>2016</v>
      </c>
      <c r="R2611" s="2">
        <v>42429</v>
      </c>
      <c r="S2611" s="2">
        <v>42436</v>
      </c>
      <c r="T2611" s="2">
        <v>42431</v>
      </c>
      <c r="U2611" s="2">
        <v>42491</v>
      </c>
      <c r="V2611" t="s">
        <v>71</v>
      </c>
      <c r="W2611" t="str">
        <f>"               3/173"</f>
        <v xml:space="preserve">               3/173</v>
      </c>
      <c r="X2611">
        <v>106.29</v>
      </c>
      <c r="Y2611">
        <v>0</v>
      </c>
      <c r="Z2611" s="3">
        <v>102.2</v>
      </c>
      <c r="AA2611">
        <v>228</v>
      </c>
      <c r="AB2611" s="5">
        <v>23301.599999999999</v>
      </c>
      <c r="AC2611">
        <v>102.2</v>
      </c>
      <c r="AD2611">
        <v>228</v>
      </c>
      <c r="AE2611" s="1">
        <v>23301.599999999999</v>
      </c>
      <c r="AF2611">
        <v>4.09</v>
      </c>
      <c r="AJ2611">
        <v>0</v>
      </c>
      <c r="AK2611">
        <v>0</v>
      </c>
      <c r="AL2611">
        <v>0</v>
      </c>
      <c r="AM2611">
        <v>106.29</v>
      </c>
      <c r="AN2611">
        <v>106.29</v>
      </c>
      <c r="AO2611">
        <v>106.29</v>
      </c>
      <c r="AP2611" s="2">
        <v>42746</v>
      </c>
      <c r="AQ2611" t="s">
        <v>72</v>
      </c>
      <c r="AR2611" t="s">
        <v>72</v>
      </c>
      <c r="AS2611">
        <v>3512</v>
      </c>
      <c r="AT2611" s="4">
        <v>42719</v>
      </c>
      <c r="AU2611" t="s">
        <v>73</v>
      </c>
      <c r="AV2611">
        <v>3512</v>
      </c>
      <c r="AW2611" s="4">
        <v>42719</v>
      </c>
      <c r="BD2611">
        <v>4.09</v>
      </c>
      <c r="BN2611" t="s">
        <v>74</v>
      </c>
    </row>
    <row r="2612" spans="1:66" hidden="1">
      <c r="A2612">
        <v>100860</v>
      </c>
      <c r="B2612" s="3" t="s">
        <v>253</v>
      </c>
      <c r="C2612" s="1">
        <v>43300101</v>
      </c>
      <c r="D2612" t="s">
        <v>67</v>
      </c>
      <c r="H2612" t="str">
        <f>"03906850262"</f>
        <v>03906850262</v>
      </c>
      <c r="I2612" t="str">
        <f>"03906850262"</f>
        <v>03906850262</v>
      </c>
      <c r="K2612" t="str">
        <f>""</f>
        <v/>
      </c>
      <c r="M2612" t="s">
        <v>68</v>
      </c>
      <c r="N2612" t="str">
        <f t="shared" si="260"/>
        <v>FOR</v>
      </c>
      <c r="O2612" t="s">
        <v>69</v>
      </c>
      <c r="P2612" s="3" t="s">
        <v>75</v>
      </c>
      <c r="Q2612">
        <v>2015</v>
      </c>
      <c r="R2612" s="2">
        <v>42185</v>
      </c>
      <c r="S2612" s="2">
        <v>42198</v>
      </c>
      <c r="T2612" s="2">
        <v>42193</v>
      </c>
      <c r="U2612" s="2">
        <v>42253</v>
      </c>
      <c r="V2612" t="s">
        <v>71</v>
      </c>
      <c r="W2612" t="str">
        <f>"                  59"</f>
        <v xml:space="preserve">                  59</v>
      </c>
      <c r="X2612">
        <v>510.62</v>
      </c>
      <c r="Y2612">
        <v>0</v>
      </c>
      <c r="Z2612"/>
      <c r="AB2612"/>
      <c r="AC2612">
        <v>418.54</v>
      </c>
      <c r="AD2612">
        <v>234</v>
      </c>
      <c r="AE2612" s="1">
        <v>97938.36</v>
      </c>
      <c r="AF2612">
        <v>0</v>
      </c>
      <c r="AJ2612">
        <v>0</v>
      </c>
      <c r="AK2612">
        <v>0</v>
      </c>
      <c r="AL2612">
        <v>0</v>
      </c>
      <c r="AM2612">
        <v>0</v>
      </c>
      <c r="AN2612">
        <v>0</v>
      </c>
      <c r="AO2612">
        <v>0</v>
      </c>
      <c r="AP2612" s="2">
        <v>42746</v>
      </c>
      <c r="AQ2612" t="s">
        <v>72</v>
      </c>
      <c r="AR2612" t="s">
        <v>72</v>
      </c>
      <c r="AS2612">
        <v>1202</v>
      </c>
      <c r="AT2612" s="4">
        <v>42487</v>
      </c>
      <c r="AU2612" t="s">
        <v>73</v>
      </c>
      <c r="AV2612">
        <v>1202</v>
      </c>
      <c r="AW2612" s="4">
        <v>42487</v>
      </c>
      <c r="BD2612">
        <v>0</v>
      </c>
      <c r="BN2612" t="s">
        <v>74</v>
      </c>
    </row>
    <row r="2613" spans="1:66" hidden="1">
      <c r="A2613">
        <v>100866</v>
      </c>
      <c r="B2613" s="3" t="s">
        <v>254</v>
      </c>
      <c r="C2613" s="1">
        <v>43300101</v>
      </c>
      <c r="D2613" t="s">
        <v>67</v>
      </c>
      <c r="H2613" t="str">
        <f t="shared" ref="H2613:I2621" si="263">"00753720879"</f>
        <v>00753720879</v>
      </c>
      <c r="I2613" t="str">
        <f t="shared" si="263"/>
        <v>00753720879</v>
      </c>
      <c r="K2613" t="str">
        <f>""</f>
        <v/>
      </c>
      <c r="M2613" t="s">
        <v>68</v>
      </c>
      <c r="N2613" t="str">
        <f t="shared" si="260"/>
        <v>FOR</v>
      </c>
      <c r="O2613" t="s">
        <v>69</v>
      </c>
      <c r="P2613" s="3" t="s">
        <v>70</v>
      </c>
      <c r="Q2613">
        <v>2015</v>
      </c>
      <c r="R2613" s="2">
        <v>42047</v>
      </c>
      <c r="S2613" s="2">
        <v>42053</v>
      </c>
      <c r="T2613" s="2">
        <v>42053</v>
      </c>
      <c r="U2613" s="2">
        <v>42113</v>
      </c>
      <c r="V2613" t="s">
        <v>71</v>
      </c>
      <c r="W2613" t="str">
        <f>"                 121"</f>
        <v xml:space="preserve">                 121</v>
      </c>
      <c r="X2613" s="1">
        <v>1914.18</v>
      </c>
      <c r="Y2613">
        <v>0</v>
      </c>
      <c r="Z2613"/>
      <c r="AB2613"/>
      <c r="AC2613" s="1">
        <v>1569</v>
      </c>
      <c r="AD2613">
        <v>295</v>
      </c>
      <c r="AE2613" s="1">
        <v>462855</v>
      </c>
      <c r="AF2613">
        <v>0</v>
      </c>
      <c r="AJ2613">
        <v>0</v>
      </c>
      <c r="AK2613">
        <v>0</v>
      </c>
      <c r="AL2613">
        <v>0</v>
      </c>
      <c r="AM2613">
        <v>0</v>
      </c>
      <c r="AN2613">
        <v>0</v>
      </c>
      <c r="AO2613">
        <v>0</v>
      </c>
      <c r="AP2613" s="2">
        <v>42746</v>
      </c>
      <c r="AQ2613" t="s">
        <v>72</v>
      </c>
      <c r="AR2613" t="s">
        <v>72</v>
      </c>
      <c r="AS2613">
        <v>304</v>
      </c>
      <c r="AT2613" s="4">
        <v>42408</v>
      </c>
      <c r="AU2613" t="s">
        <v>73</v>
      </c>
      <c r="AV2613">
        <v>304</v>
      </c>
      <c r="AW2613" s="4">
        <v>42408</v>
      </c>
      <c r="BD2613">
        <v>0</v>
      </c>
      <c r="BN2613" t="s">
        <v>74</v>
      </c>
    </row>
    <row r="2614" spans="1:66" hidden="1">
      <c r="A2614">
        <v>100866</v>
      </c>
      <c r="B2614" s="3" t="s">
        <v>254</v>
      </c>
      <c r="C2614" s="1">
        <v>43300101</v>
      </c>
      <c r="D2614" t="s">
        <v>67</v>
      </c>
      <c r="H2614" t="str">
        <f t="shared" si="263"/>
        <v>00753720879</v>
      </c>
      <c r="I2614" t="str">
        <f t="shared" si="263"/>
        <v>00753720879</v>
      </c>
      <c r="K2614" t="str">
        <f>""</f>
        <v/>
      </c>
      <c r="M2614" t="s">
        <v>68</v>
      </c>
      <c r="N2614" t="str">
        <f t="shared" si="260"/>
        <v>FOR</v>
      </c>
      <c r="O2614" t="s">
        <v>69</v>
      </c>
      <c r="P2614" s="3" t="s">
        <v>70</v>
      </c>
      <c r="Q2614">
        <v>2015</v>
      </c>
      <c r="R2614" s="2">
        <v>42074</v>
      </c>
      <c r="S2614" s="2">
        <v>42527</v>
      </c>
      <c r="T2614" s="2">
        <v>42527</v>
      </c>
      <c r="U2614" s="2">
        <v>42587</v>
      </c>
      <c r="V2614" t="s">
        <v>71</v>
      </c>
      <c r="W2614" t="str">
        <f>"             234/P15"</f>
        <v xml:space="preserve">             234/P15</v>
      </c>
      <c r="X2614" s="1">
        <v>1627.48</v>
      </c>
      <c r="Y2614">
        <v>0</v>
      </c>
      <c r="Z2614"/>
      <c r="AB2614"/>
      <c r="AC2614" s="1">
        <v>1334</v>
      </c>
      <c r="AD2614">
        <v>-18</v>
      </c>
      <c r="AE2614" s="1">
        <v>-24012</v>
      </c>
      <c r="AF2614">
        <v>0</v>
      </c>
      <c r="AJ2614">
        <v>0</v>
      </c>
      <c r="AK2614">
        <v>0</v>
      </c>
      <c r="AL2614">
        <v>0</v>
      </c>
      <c r="AM2614">
        <v>0</v>
      </c>
      <c r="AN2614" s="1">
        <v>1627.48</v>
      </c>
      <c r="AO2614">
        <v>0</v>
      </c>
      <c r="AP2614" s="2">
        <v>42746</v>
      </c>
      <c r="AQ2614" t="s">
        <v>72</v>
      </c>
      <c r="AR2614" t="s">
        <v>72</v>
      </c>
      <c r="AS2614">
        <v>1862</v>
      </c>
      <c r="AT2614" s="4">
        <v>42569</v>
      </c>
      <c r="AV2614">
        <v>1862</v>
      </c>
      <c r="AW2614" s="4">
        <v>42569</v>
      </c>
      <c r="BD2614">
        <v>0</v>
      </c>
      <c r="BN2614" t="s">
        <v>74</v>
      </c>
    </row>
    <row r="2615" spans="1:66" hidden="1">
      <c r="A2615">
        <v>100866</v>
      </c>
      <c r="B2615" s="3" t="s">
        <v>254</v>
      </c>
      <c r="C2615" s="1">
        <v>43300101</v>
      </c>
      <c r="D2615" t="s">
        <v>67</v>
      </c>
      <c r="H2615" t="str">
        <f t="shared" si="263"/>
        <v>00753720879</v>
      </c>
      <c r="I2615" t="str">
        <f t="shared" si="263"/>
        <v>00753720879</v>
      </c>
      <c r="K2615" t="str">
        <f>""</f>
        <v/>
      </c>
      <c r="M2615" t="s">
        <v>68</v>
      </c>
      <c r="N2615" t="str">
        <f t="shared" si="260"/>
        <v>FOR</v>
      </c>
      <c r="O2615" t="s">
        <v>69</v>
      </c>
      <c r="P2615" s="3" t="s">
        <v>75</v>
      </c>
      <c r="Q2615">
        <v>2015</v>
      </c>
      <c r="R2615" s="2">
        <v>42116</v>
      </c>
      <c r="S2615" s="2">
        <v>42320</v>
      </c>
      <c r="T2615" s="2">
        <v>42320</v>
      </c>
      <c r="U2615" s="2">
        <v>42380</v>
      </c>
      <c r="V2615" t="s">
        <v>71</v>
      </c>
      <c r="W2615" t="str">
        <f>"          000383/P15"</f>
        <v xml:space="preserve">          000383/P15</v>
      </c>
      <c r="X2615">
        <v>430.05</v>
      </c>
      <c r="Y2615">
        <v>0</v>
      </c>
      <c r="Z2615"/>
      <c r="AB2615"/>
      <c r="AC2615">
        <v>352.5</v>
      </c>
      <c r="AD2615">
        <v>72</v>
      </c>
      <c r="AE2615" s="1">
        <v>25380</v>
      </c>
      <c r="AF2615">
        <v>0</v>
      </c>
      <c r="AJ2615">
        <v>0</v>
      </c>
      <c r="AK2615">
        <v>0</v>
      </c>
      <c r="AL2615">
        <v>0</v>
      </c>
      <c r="AM2615">
        <v>0</v>
      </c>
      <c r="AN2615">
        <v>0</v>
      </c>
      <c r="AO2615">
        <v>0</v>
      </c>
      <c r="AP2615" s="2">
        <v>42746</v>
      </c>
      <c r="AQ2615" t="s">
        <v>72</v>
      </c>
      <c r="AR2615" t="s">
        <v>72</v>
      </c>
      <c r="AS2615">
        <v>766</v>
      </c>
      <c r="AT2615" s="4">
        <v>42452</v>
      </c>
      <c r="AU2615" t="s">
        <v>73</v>
      </c>
      <c r="AV2615">
        <v>766</v>
      </c>
      <c r="AW2615" s="4">
        <v>42452</v>
      </c>
      <c r="BD2615">
        <v>0</v>
      </c>
      <c r="BN2615" t="s">
        <v>74</v>
      </c>
    </row>
    <row r="2616" spans="1:66" hidden="1">
      <c r="A2616">
        <v>100866</v>
      </c>
      <c r="B2616" s="3" t="s">
        <v>254</v>
      </c>
      <c r="C2616" s="1">
        <v>43300101</v>
      </c>
      <c r="D2616" t="s">
        <v>67</v>
      </c>
      <c r="H2616" t="str">
        <f t="shared" si="263"/>
        <v>00753720879</v>
      </c>
      <c r="I2616" t="str">
        <f t="shared" si="263"/>
        <v>00753720879</v>
      </c>
      <c r="K2616" t="str">
        <f>""</f>
        <v/>
      </c>
      <c r="M2616" t="s">
        <v>68</v>
      </c>
      <c r="N2616" t="str">
        <f t="shared" si="260"/>
        <v>FOR</v>
      </c>
      <c r="O2616" t="s">
        <v>69</v>
      </c>
      <c r="P2616" s="3" t="s">
        <v>75</v>
      </c>
      <c r="Q2616">
        <v>2015</v>
      </c>
      <c r="R2616" s="2">
        <v>42153</v>
      </c>
      <c r="S2616" s="2">
        <v>42282</v>
      </c>
      <c r="T2616" s="2">
        <v>42278</v>
      </c>
      <c r="U2616" s="2">
        <v>42338</v>
      </c>
      <c r="V2616" t="s">
        <v>71</v>
      </c>
      <c r="W2616" t="str">
        <f>"          000563/P15"</f>
        <v xml:space="preserve">          000563/P15</v>
      </c>
      <c r="X2616" s="1">
        <v>1100.44</v>
      </c>
      <c r="Y2616">
        <v>0</v>
      </c>
      <c r="Z2616"/>
      <c r="AB2616"/>
      <c r="AC2616">
        <v>902</v>
      </c>
      <c r="AD2616">
        <v>114</v>
      </c>
      <c r="AE2616" s="1">
        <v>102828</v>
      </c>
      <c r="AF2616">
        <v>0</v>
      </c>
      <c r="AJ2616">
        <v>0</v>
      </c>
      <c r="AK2616">
        <v>0</v>
      </c>
      <c r="AL2616">
        <v>0</v>
      </c>
      <c r="AM2616">
        <v>0</v>
      </c>
      <c r="AN2616">
        <v>0</v>
      </c>
      <c r="AO2616">
        <v>0</v>
      </c>
      <c r="AP2616" s="2">
        <v>42746</v>
      </c>
      <c r="AQ2616" t="s">
        <v>72</v>
      </c>
      <c r="AR2616" t="s">
        <v>72</v>
      </c>
      <c r="AS2616">
        <v>766</v>
      </c>
      <c r="AT2616" s="4">
        <v>42452</v>
      </c>
      <c r="AU2616" t="s">
        <v>73</v>
      </c>
      <c r="AV2616">
        <v>766</v>
      </c>
      <c r="AW2616" s="4">
        <v>42452</v>
      </c>
      <c r="BD2616">
        <v>0</v>
      </c>
      <c r="BN2616" t="s">
        <v>74</v>
      </c>
    </row>
    <row r="2617" spans="1:66" hidden="1">
      <c r="A2617">
        <v>100866</v>
      </c>
      <c r="B2617" s="3" t="s">
        <v>254</v>
      </c>
      <c r="C2617" s="1">
        <v>43300101</v>
      </c>
      <c r="D2617" t="s">
        <v>67</v>
      </c>
      <c r="H2617" t="str">
        <f t="shared" si="263"/>
        <v>00753720879</v>
      </c>
      <c r="I2617" t="str">
        <f t="shared" si="263"/>
        <v>00753720879</v>
      </c>
      <c r="K2617" t="str">
        <f>""</f>
        <v/>
      </c>
      <c r="M2617" t="s">
        <v>68</v>
      </c>
      <c r="N2617" t="str">
        <f t="shared" si="260"/>
        <v>FOR</v>
      </c>
      <c r="O2617" t="s">
        <v>69</v>
      </c>
      <c r="P2617" s="3" t="s">
        <v>75</v>
      </c>
      <c r="Q2617">
        <v>2015</v>
      </c>
      <c r="R2617" s="2">
        <v>42185</v>
      </c>
      <c r="S2617" s="2">
        <v>42282</v>
      </c>
      <c r="T2617" s="2">
        <v>42278</v>
      </c>
      <c r="U2617" s="2">
        <v>42338</v>
      </c>
      <c r="V2617" t="s">
        <v>71</v>
      </c>
      <c r="W2617" t="str">
        <f>"          000671/P15"</f>
        <v xml:space="preserve">          000671/P15</v>
      </c>
      <c r="X2617" s="1">
        <v>2727.92</v>
      </c>
      <c r="Y2617">
        <v>0</v>
      </c>
      <c r="Z2617"/>
      <c r="AB2617"/>
      <c r="AC2617" s="1">
        <v>2236</v>
      </c>
      <c r="AD2617">
        <v>182</v>
      </c>
      <c r="AE2617" s="1">
        <v>406952</v>
      </c>
      <c r="AF2617">
        <v>0</v>
      </c>
      <c r="AJ2617">
        <v>0</v>
      </c>
      <c r="AK2617">
        <v>0</v>
      </c>
      <c r="AL2617">
        <v>0</v>
      </c>
      <c r="AM2617">
        <v>0</v>
      </c>
      <c r="AN2617">
        <v>0</v>
      </c>
      <c r="AO2617">
        <v>0</v>
      </c>
      <c r="AP2617" s="2">
        <v>42746</v>
      </c>
      <c r="AQ2617" t="s">
        <v>72</v>
      </c>
      <c r="AR2617" t="s">
        <v>72</v>
      </c>
      <c r="AS2617">
        <v>1441</v>
      </c>
      <c r="AT2617" s="4">
        <v>42520</v>
      </c>
      <c r="AU2617" t="s">
        <v>73</v>
      </c>
      <c r="AV2617">
        <v>1441</v>
      </c>
      <c r="AW2617" s="4">
        <v>42520</v>
      </c>
      <c r="BD2617">
        <v>0</v>
      </c>
      <c r="BN2617" t="s">
        <v>74</v>
      </c>
    </row>
    <row r="2618" spans="1:66" hidden="1">
      <c r="A2618">
        <v>100866</v>
      </c>
      <c r="B2618" s="3" t="s">
        <v>254</v>
      </c>
      <c r="C2618" s="1">
        <v>43300101</v>
      </c>
      <c r="D2618" t="s">
        <v>67</v>
      </c>
      <c r="H2618" t="str">
        <f t="shared" si="263"/>
        <v>00753720879</v>
      </c>
      <c r="I2618" t="str">
        <f t="shared" si="263"/>
        <v>00753720879</v>
      </c>
      <c r="K2618" t="str">
        <f>""</f>
        <v/>
      </c>
      <c r="M2618" t="s">
        <v>68</v>
      </c>
      <c r="N2618" t="str">
        <f t="shared" si="260"/>
        <v>FOR</v>
      </c>
      <c r="O2618" t="s">
        <v>69</v>
      </c>
      <c r="P2618" s="3" t="s">
        <v>75</v>
      </c>
      <c r="Q2618">
        <v>2015</v>
      </c>
      <c r="R2618" s="2">
        <v>42269</v>
      </c>
      <c r="S2618" s="2">
        <v>42296</v>
      </c>
      <c r="T2618" s="2">
        <v>42293</v>
      </c>
      <c r="U2618" s="2">
        <v>42353</v>
      </c>
      <c r="V2618" t="s">
        <v>71</v>
      </c>
      <c r="W2618" t="str">
        <f>"          001031/P15"</f>
        <v xml:space="preserve">          001031/P15</v>
      </c>
      <c r="X2618" s="1">
        <v>1914.18</v>
      </c>
      <c r="Y2618">
        <v>0</v>
      </c>
      <c r="Z2618"/>
      <c r="AB2618"/>
      <c r="AC2618" s="1">
        <v>1569</v>
      </c>
      <c r="AD2618">
        <v>167</v>
      </c>
      <c r="AE2618" s="1">
        <v>262023</v>
      </c>
      <c r="AF2618">
        <v>0</v>
      </c>
      <c r="AJ2618">
        <v>0</v>
      </c>
      <c r="AK2618">
        <v>0</v>
      </c>
      <c r="AL2618">
        <v>0</v>
      </c>
      <c r="AM2618">
        <v>0</v>
      </c>
      <c r="AN2618">
        <v>0</v>
      </c>
      <c r="AO2618">
        <v>0</v>
      </c>
      <c r="AP2618" s="2">
        <v>42746</v>
      </c>
      <c r="AQ2618" t="s">
        <v>72</v>
      </c>
      <c r="AR2618" t="s">
        <v>72</v>
      </c>
      <c r="AS2618">
        <v>1455</v>
      </c>
      <c r="AT2618" s="4">
        <v>42520</v>
      </c>
      <c r="AU2618" t="s">
        <v>73</v>
      </c>
      <c r="AV2618">
        <v>1455</v>
      </c>
      <c r="AW2618" s="4">
        <v>42520</v>
      </c>
      <c r="BD2618">
        <v>0</v>
      </c>
      <c r="BN2618" t="s">
        <v>74</v>
      </c>
    </row>
    <row r="2619" spans="1:66" hidden="1">
      <c r="A2619">
        <v>100866</v>
      </c>
      <c r="B2619" s="3" t="s">
        <v>254</v>
      </c>
      <c r="C2619" s="1">
        <v>43300101</v>
      </c>
      <c r="D2619" t="s">
        <v>67</v>
      </c>
      <c r="H2619" t="str">
        <f t="shared" si="263"/>
        <v>00753720879</v>
      </c>
      <c r="I2619" t="str">
        <f t="shared" si="263"/>
        <v>00753720879</v>
      </c>
      <c r="K2619" t="str">
        <f>""</f>
        <v/>
      </c>
      <c r="M2619" t="s">
        <v>68</v>
      </c>
      <c r="N2619" t="str">
        <f t="shared" si="260"/>
        <v>FOR</v>
      </c>
      <c r="O2619" t="s">
        <v>69</v>
      </c>
      <c r="P2619" s="3" t="s">
        <v>75</v>
      </c>
      <c r="Q2619">
        <v>2015</v>
      </c>
      <c r="R2619" s="2">
        <v>42305</v>
      </c>
      <c r="S2619" s="2">
        <v>42320</v>
      </c>
      <c r="T2619" s="2">
        <v>42319</v>
      </c>
      <c r="U2619" s="2">
        <v>42379</v>
      </c>
      <c r="V2619" t="s">
        <v>71</v>
      </c>
      <c r="W2619" t="str">
        <f>"          001206/P15"</f>
        <v xml:space="preserve">          001206/P15</v>
      </c>
      <c r="X2619">
        <v>573.4</v>
      </c>
      <c r="Y2619">
        <v>0</v>
      </c>
      <c r="Z2619"/>
      <c r="AB2619"/>
      <c r="AC2619">
        <v>470</v>
      </c>
      <c r="AD2619">
        <v>141</v>
      </c>
      <c r="AE2619" s="1">
        <v>66270</v>
      </c>
      <c r="AF2619">
        <v>0</v>
      </c>
      <c r="AJ2619">
        <v>0</v>
      </c>
      <c r="AK2619">
        <v>0</v>
      </c>
      <c r="AL2619">
        <v>0</v>
      </c>
      <c r="AM2619">
        <v>0</v>
      </c>
      <c r="AN2619">
        <v>0</v>
      </c>
      <c r="AO2619">
        <v>0</v>
      </c>
      <c r="AP2619" s="2">
        <v>42746</v>
      </c>
      <c r="AQ2619" t="s">
        <v>72</v>
      </c>
      <c r="AR2619" t="s">
        <v>72</v>
      </c>
      <c r="AS2619">
        <v>1455</v>
      </c>
      <c r="AT2619" s="4">
        <v>42520</v>
      </c>
      <c r="AU2619" t="s">
        <v>73</v>
      </c>
      <c r="AV2619">
        <v>1455</v>
      </c>
      <c r="AW2619" s="4">
        <v>42520</v>
      </c>
      <c r="BD2619">
        <v>0</v>
      </c>
      <c r="BN2619" t="s">
        <v>74</v>
      </c>
    </row>
    <row r="2620" spans="1:66" hidden="1">
      <c r="A2620">
        <v>100866</v>
      </c>
      <c r="B2620" s="3" t="s">
        <v>254</v>
      </c>
      <c r="C2620" s="1">
        <v>43300101</v>
      </c>
      <c r="D2620" t="s">
        <v>67</v>
      </c>
      <c r="H2620" t="str">
        <f t="shared" si="263"/>
        <v>00753720879</v>
      </c>
      <c r="I2620" t="str">
        <f t="shared" si="263"/>
        <v>00753720879</v>
      </c>
      <c r="K2620" t="str">
        <f>""</f>
        <v/>
      </c>
      <c r="M2620" t="s">
        <v>68</v>
      </c>
      <c r="N2620" t="str">
        <f t="shared" si="260"/>
        <v>FOR</v>
      </c>
      <c r="O2620" t="s">
        <v>69</v>
      </c>
      <c r="P2620" s="3" t="s">
        <v>75</v>
      </c>
      <c r="Q2620">
        <v>2015</v>
      </c>
      <c r="R2620" s="2">
        <v>42349</v>
      </c>
      <c r="S2620" s="2">
        <v>42366</v>
      </c>
      <c r="T2620" s="2">
        <v>42362</v>
      </c>
      <c r="U2620" s="2">
        <v>42422</v>
      </c>
      <c r="V2620" t="s">
        <v>71</v>
      </c>
      <c r="W2620" t="str">
        <f>"          001328/P15"</f>
        <v xml:space="preserve">          001328/P15</v>
      </c>
      <c r="X2620" s="1">
        <v>1650.66</v>
      </c>
      <c r="Y2620">
        <v>0</v>
      </c>
      <c r="Z2620"/>
      <c r="AB2620"/>
      <c r="AC2620" s="1">
        <v>1353</v>
      </c>
      <c r="AD2620">
        <v>98</v>
      </c>
      <c r="AE2620" s="1">
        <v>132594</v>
      </c>
      <c r="AF2620">
        <v>0</v>
      </c>
      <c r="AJ2620">
        <v>0</v>
      </c>
      <c r="AK2620">
        <v>0</v>
      </c>
      <c r="AL2620">
        <v>0</v>
      </c>
      <c r="AM2620">
        <v>0</v>
      </c>
      <c r="AN2620">
        <v>0</v>
      </c>
      <c r="AO2620">
        <v>0</v>
      </c>
      <c r="AP2620" s="2">
        <v>42746</v>
      </c>
      <c r="AQ2620" t="s">
        <v>72</v>
      </c>
      <c r="AR2620" t="s">
        <v>72</v>
      </c>
      <c r="AS2620">
        <v>1455</v>
      </c>
      <c r="AT2620" s="4">
        <v>42520</v>
      </c>
      <c r="AU2620" t="s">
        <v>73</v>
      </c>
      <c r="AV2620">
        <v>1455</v>
      </c>
      <c r="AW2620" s="4">
        <v>42520</v>
      </c>
      <c r="BD2620">
        <v>0</v>
      </c>
      <c r="BN2620" t="s">
        <v>74</v>
      </c>
    </row>
    <row r="2621" spans="1:66">
      <c r="A2621">
        <v>100866</v>
      </c>
      <c r="B2621" s="3" t="s">
        <v>254</v>
      </c>
      <c r="C2621" s="1">
        <v>43300101</v>
      </c>
      <c r="D2621" t="s">
        <v>67</v>
      </c>
      <c r="H2621" t="str">
        <f t="shared" si="263"/>
        <v>00753720879</v>
      </c>
      <c r="I2621" t="str">
        <f t="shared" si="263"/>
        <v>00753720879</v>
      </c>
      <c r="K2621" t="str">
        <f>""</f>
        <v/>
      </c>
      <c r="M2621" t="s">
        <v>68</v>
      </c>
      <c r="N2621" t="str">
        <f t="shared" si="260"/>
        <v>FOR</v>
      </c>
      <c r="O2621" t="s">
        <v>69</v>
      </c>
      <c r="P2621" s="3" t="s">
        <v>75</v>
      </c>
      <c r="Q2621">
        <v>2016</v>
      </c>
      <c r="R2621" s="2">
        <v>42410</v>
      </c>
      <c r="S2621" s="2">
        <v>42444</v>
      </c>
      <c r="T2621" s="2">
        <v>42433</v>
      </c>
      <c r="U2621" s="2">
        <v>42493</v>
      </c>
      <c r="V2621" t="s">
        <v>71</v>
      </c>
      <c r="W2621" t="str">
        <f>"          000150/P16"</f>
        <v xml:space="preserve">          000150/P16</v>
      </c>
      <c r="X2621" s="1">
        <v>1387.14</v>
      </c>
      <c r="Y2621">
        <v>0</v>
      </c>
      <c r="Z2621" s="5">
        <v>1137</v>
      </c>
      <c r="AA2621">
        <v>230</v>
      </c>
      <c r="AB2621" s="5">
        <v>261510</v>
      </c>
      <c r="AC2621" s="1">
        <v>1137</v>
      </c>
      <c r="AD2621">
        <v>230</v>
      </c>
      <c r="AE2621" s="1">
        <v>261510</v>
      </c>
      <c r="AF2621">
        <v>250.14</v>
      </c>
      <c r="AJ2621">
        <v>0</v>
      </c>
      <c r="AK2621">
        <v>0</v>
      </c>
      <c r="AL2621">
        <v>0</v>
      </c>
      <c r="AM2621" s="1">
        <v>1387.14</v>
      </c>
      <c r="AN2621" s="1">
        <v>1387.14</v>
      </c>
      <c r="AO2621" s="1">
        <v>1387.14</v>
      </c>
      <c r="AP2621" s="2">
        <v>42746</v>
      </c>
      <c r="AQ2621" t="s">
        <v>72</v>
      </c>
      <c r="AR2621" t="s">
        <v>72</v>
      </c>
      <c r="AS2621">
        <v>3609</v>
      </c>
      <c r="AT2621" s="4">
        <v>42723</v>
      </c>
      <c r="AU2621" t="s">
        <v>73</v>
      </c>
      <c r="AV2621">
        <v>3609</v>
      </c>
      <c r="AW2621" s="4">
        <v>42723</v>
      </c>
      <c r="BD2621">
        <v>250.14</v>
      </c>
      <c r="BN2621" t="s">
        <v>74</v>
      </c>
    </row>
    <row r="2622" spans="1:66" hidden="1">
      <c r="A2622">
        <v>100879</v>
      </c>
      <c r="B2622" s="3" t="s">
        <v>255</v>
      </c>
      <c r="C2622" s="1">
        <v>43300101</v>
      </c>
      <c r="D2622" t="s">
        <v>67</v>
      </c>
      <c r="H2622" t="str">
        <f t="shared" ref="H2622:H2653" si="264">"04720630633"</f>
        <v>04720630633</v>
      </c>
      <c r="I2622" t="str">
        <f t="shared" ref="I2622:I2653" si="265">"01354901215"</f>
        <v>01354901215</v>
      </c>
      <c r="K2622" t="str">
        <f>""</f>
        <v/>
      </c>
      <c r="M2622" t="s">
        <v>68</v>
      </c>
      <c r="N2622" t="str">
        <f t="shared" si="260"/>
        <v>FOR</v>
      </c>
      <c r="O2622" t="s">
        <v>69</v>
      </c>
      <c r="P2622" s="3" t="s">
        <v>70</v>
      </c>
      <c r="Q2622">
        <v>2015</v>
      </c>
      <c r="R2622" s="2">
        <v>42054</v>
      </c>
      <c r="S2622" s="2">
        <v>42296</v>
      </c>
      <c r="T2622" s="2">
        <v>42296</v>
      </c>
      <c r="U2622" s="2">
        <v>42356</v>
      </c>
      <c r="V2622" t="s">
        <v>71</v>
      </c>
      <c r="W2622" t="str">
        <f>"                2590"</f>
        <v xml:space="preserve">                2590</v>
      </c>
      <c r="X2622" s="1">
        <v>8235</v>
      </c>
      <c r="Y2622">
        <v>0</v>
      </c>
      <c r="Z2622"/>
      <c r="AB2622"/>
      <c r="AC2622" s="1">
        <v>6750</v>
      </c>
      <c r="AD2622">
        <v>48</v>
      </c>
      <c r="AE2622" s="1">
        <v>324000</v>
      </c>
      <c r="AF2622">
        <v>0</v>
      </c>
      <c r="AJ2622">
        <v>0</v>
      </c>
      <c r="AK2622">
        <v>0</v>
      </c>
      <c r="AL2622">
        <v>0</v>
      </c>
      <c r="AM2622">
        <v>0</v>
      </c>
      <c r="AN2622">
        <v>0</v>
      </c>
      <c r="AO2622">
        <v>0</v>
      </c>
      <c r="AP2622" s="2">
        <v>42746</v>
      </c>
      <c r="AQ2622" t="s">
        <v>72</v>
      </c>
      <c r="AR2622" t="s">
        <v>72</v>
      </c>
      <c r="AS2622">
        <v>256</v>
      </c>
      <c r="AT2622" s="4">
        <v>42404</v>
      </c>
      <c r="AU2622" t="s">
        <v>73</v>
      </c>
      <c r="AV2622">
        <v>256</v>
      </c>
      <c r="AW2622" s="4">
        <v>42404</v>
      </c>
      <c r="BD2622">
        <v>0</v>
      </c>
      <c r="BN2622" t="s">
        <v>74</v>
      </c>
    </row>
    <row r="2623" spans="1:66" hidden="1">
      <c r="A2623">
        <v>100879</v>
      </c>
      <c r="B2623" s="3" t="s">
        <v>255</v>
      </c>
      <c r="C2623" s="1">
        <v>43300101</v>
      </c>
      <c r="D2623" t="s">
        <v>67</v>
      </c>
      <c r="H2623" t="str">
        <f t="shared" si="264"/>
        <v>04720630633</v>
      </c>
      <c r="I2623" t="str">
        <f t="shared" si="265"/>
        <v>01354901215</v>
      </c>
      <c r="K2623" t="str">
        <f>""</f>
        <v/>
      </c>
      <c r="M2623" t="s">
        <v>68</v>
      </c>
      <c r="N2623" t="str">
        <f t="shared" si="260"/>
        <v>FOR</v>
      </c>
      <c r="O2623" t="s">
        <v>69</v>
      </c>
      <c r="P2623" s="3" t="s">
        <v>75</v>
      </c>
      <c r="Q2623">
        <v>2015</v>
      </c>
      <c r="R2623" s="2">
        <v>42101</v>
      </c>
      <c r="S2623" s="2">
        <v>42104</v>
      </c>
      <c r="T2623" s="2">
        <v>42103</v>
      </c>
      <c r="U2623" s="2">
        <v>42163</v>
      </c>
      <c r="V2623" t="s">
        <v>71</v>
      </c>
      <c r="W2623" t="str">
        <f>"               133/W"</f>
        <v xml:space="preserve">               133/W</v>
      </c>
      <c r="X2623">
        <v>469.7</v>
      </c>
      <c r="Y2623">
        <v>0</v>
      </c>
      <c r="Z2623"/>
      <c r="AB2623"/>
      <c r="AC2623">
        <v>385</v>
      </c>
      <c r="AD2623">
        <v>289</v>
      </c>
      <c r="AE2623" s="1">
        <v>111265</v>
      </c>
      <c r="AF2623">
        <v>0</v>
      </c>
      <c r="AJ2623">
        <v>0</v>
      </c>
      <c r="AK2623">
        <v>0</v>
      </c>
      <c r="AL2623">
        <v>0</v>
      </c>
      <c r="AM2623">
        <v>0</v>
      </c>
      <c r="AN2623">
        <v>0</v>
      </c>
      <c r="AO2623">
        <v>0</v>
      </c>
      <c r="AP2623" s="2">
        <v>42746</v>
      </c>
      <c r="AQ2623" t="s">
        <v>72</v>
      </c>
      <c r="AR2623" t="s">
        <v>72</v>
      </c>
      <c r="AS2623">
        <v>785</v>
      </c>
      <c r="AT2623" s="4">
        <v>42452</v>
      </c>
      <c r="AU2623" t="s">
        <v>73</v>
      </c>
      <c r="AV2623">
        <v>785</v>
      </c>
      <c r="AW2623" s="4">
        <v>42452</v>
      </c>
      <c r="BD2623">
        <v>0</v>
      </c>
      <c r="BN2623" t="s">
        <v>74</v>
      </c>
    </row>
    <row r="2624" spans="1:66" hidden="1">
      <c r="A2624">
        <v>100879</v>
      </c>
      <c r="B2624" s="3" t="s">
        <v>255</v>
      </c>
      <c r="C2624" s="1">
        <v>43300101</v>
      </c>
      <c r="D2624" t="s">
        <v>67</v>
      </c>
      <c r="H2624" t="str">
        <f t="shared" si="264"/>
        <v>04720630633</v>
      </c>
      <c r="I2624" t="str">
        <f t="shared" si="265"/>
        <v>01354901215</v>
      </c>
      <c r="K2624" t="str">
        <f>""</f>
        <v/>
      </c>
      <c r="M2624" t="s">
        <v>68</v>
      </c>
      <c r="N2624" t="str">
        <f t="shared" si="260"/>
        <v>FOR</v>
      </c>
      <c r="O2624" t="s">
        <v>69</v>
      </c>
      <c r="P2624" s="3" t="s">
        <v>75</v>
      </c>
      <c r="Q2624">
        <v>2015</v>
      </c>
      <c r="R2624" s="2">
        <v>42270</v>
      </c>
      <c r="S2624" s="2">
        <v>42272</v>
      </c>
      <c r="T2624" s="2">
        <v>42271</v>
      </c>
      <c r="U2624" s="2">
        <v>42331</v>
      </c>
      <c r="V2624" t="s">
        <v>71</v>
      </c>
      <c r="W2624" t="str">
        <f>"              6120/W"</f>
        <v xml:space="preserve">              6120/W</v>
      </c>
      <c r="X2624">
        <v>320.25</v>
      </c>
      <c r="Y2624">
        <v>0</v>
      </c>
      <c r="Z2624"/>
      <c r="AB2624"/>
      <c r="AC2624">
        <v>262.5</v>
      </c>
      <c r="AD2624">
        <v>156</v>
      </c>
      <c r="AE2624" s="1">
        <v>40950</v>
      </c>
      <c r="AF2624">
        <v>0</v>
      </c>
      <c r="AJ2624">
        <v>0</v>
      </c>
      <c r="AK2624">
        <v>0</v>
      </c>
      <c r="AL2624">
        <v>0</v>
      </c>
      <c r="AM2624">
        <v>0</v>
      </c>
      <c r="AN2624">
        <v>0</v>
      </c>
      <c r="AO2624">
        <v>0</v>
      </c>
      <c r="AP2624" s="2">
        <v>42746</v>
      </c>
      <c r="AQ2624" t="s">
        <v>72</v>
      </c>
      <c r="AR2624" t="s">
        <v>72</v>
      </c>
      <c r="AS2624">
        <v>1181</v>
      </c>
      <c r="AT2624" s="4">
        <v>42487</v>
      </c>
      <c r="AU2624" t="s">
        <v>73</v>
      </c>
      <c r="AV2624">
        <v>1181</v>
      </c>
      <c r="AW2624" s="4">
        <v>42487</v>
      </c>
      <c r="BD2624">
        <v>0</v>
      </c>
      <c r="BN2624" t="s">
        <v>74</v>
      </c>
    </row>
    <row r="2625" spans="1:66" hidden="1">
      <c r="A2625">
        <v>100879</v>
      </c>
      <c r="B2625" s="3" t="s">
        <v>255</v>
      </c>
      <c r="C2625" s="1">
        <v>43300101</v>
      </c>
      <c r="D2625" t="s">
        <v>67</v>
      </c>
      <c r="H2625" t="str">
        <f t="shared" si="264"/>
        <v>04720630633</v>
      </c>
      <c r="I2625" t="str">
        <f t="shared" si="265"/>
        <v>01354901215</v>
      </c>
      <c r="K2625" t="str">
        <f>""</f>
        <v/>
      </c>
      <c r="M2625" t="s">
        <v>68</v>
      </c>
      <c r="N2625" t="str">
        <f t="shared" si="260"/>
        <v>FOR</v>
      </c>
      <c r="O2625" t="s">
        <v>69</v>
      </c>
      <c r="P2625" s="3" t="s">
        <v>75</v>
      </c>
      <c r="Q2625">
        <v>2015</v>
      </c>
      <c r="R2625" s="2">
        <v>42270</v>
      </c>
      <c r="S2625" s="2">
        <v>42272</v>
      </c>
      <c r="T2625" s="2">
        <v>42271</v>
      </c>
      <c r="U2625" s="2">
        <v>42331</v>
      </c>
      <c r="V2625" t="s">
        <v>71</v>
      </c>
      <c r="W2625" t="str">
        <f>"              6121/W"</f>
        <v xml:space="preserve">              6121/W</v>
      </c>
      <c r="X2625" s="1">
        <v>1667.31</v>
      </c>
      <c r="Y2625">
        <v>0</v>
      </c>
      <c r="Z2625"/>
      <c r="AB2625"/>
      <c r="AC2625" s="1">
        <v>1366.65</v>
      </c>
      <c r="AD2625">
        <v>238</v>
      </c>
      <c r="AE2625" s="1">
        <v>325262.7</v>
      </c>
      <c r="AF2625">
        <v>0</v>
      </c>
      <c r="AJ2625">
        <v>0</v>
      </c>
      <c r="AK2625">
        <v>0</v>
      </c>
      <c r="AL2625">
        <v>0</v>
      </c>
      <c r="AM2625">
        <v>0</v>
      </c>
      <c r="AN2625">
        <v>0</v>
      </c>
      <c r="AO2625">
        <v>0</v>
      </c>
      <c r="AP2625" s="2">
        <v>42746</v>
      </c>
      <c r="AQ2625" t="s">
        <v>72</v>
      </c>
      <c r="AR2625" t="s">
        <v>72</v>
      </c>
      <c r="AS2625">
        <v>1867</v>
      </c>
      <c r="AT2625" s="4">
        <v>42569</v>
      </c>
      <c r="AU2625" t="s">
        <v>73</v>
      </c>
      <c r="AV2625">
        <v>1867</v>
      </c>
      <c r="AW2625" s="4">
        <v>42569</v>
      </c>
      <c r="BD2625">
        <v>0</v>
      </c>
      <c r="BN2625" t="s">
        <v>74</v>
      </c>
    </row>
    <row r="2626" spans="1:66" hidden="1">
      <c r="A2626">
        <v>100879</v>
      </c>
      <c r="B2626" s="3" t="s">
        <v>255</v>
      </c>
      <c r="C2626" s="1">
        <v>43300101</v>
      </c>
      <c r="D2626" t="s">
        <v>67</v>
      </c>
      <c r="H2626" t="str">
        <f t="shared" si="264"/>
        <v>04720630633</v>
      </c>
      <c r="I2626" t="str">
        <f t="shared" si="265"/>
        <v>01354901215</v>
      </c>
      <c r="K2626" t="str">
        <f>""</f>
        <v/>
      </c>
      <c r="M2626" t="s">
        <v>68</v>
      </c>
      <c r="N2626" t="str">
        <f t="shared" si="260"/>
        <v>FOR</v>
      </c>
      <c r="O2626" t="s">
        <v>69</v>
      </c>
      <c r="P2626" s="3" t="s">
        <v>75</v>
      </c>
      <c r="Q2626">
        <v>2015</v>
      </c>
      <c r="R2626" s="2">
        <v>42283</v>
      </c>
      <c r="S2626" s="2">
        <v>42289</v>
      </c>
      <c r="T2626" s="2">
        <v>42284</v>
      </c>
      <c r="U2626" s="2">
        <v>42344</v>
      </c>
      <c r="V2626" t="s">
        <v>71</v>
      </c>
      <c r="W2626" t="str">
        <f>"              6509/W"</f>
        <v xml:space="preserve">              6509/W</v>
      </c>
      <c r="X2626">
        <v>829.6</v>
      </c>
      <c r="Y2626">
        <v>0</v>
      </c>
      <c r="Z2626"/>
      <c r="AB2626"/>
      <c r="AC2626">
        <v>680</v>
      </c>
      <c r="AD2626">
        <v>143</v>
      </c>
      <c r="AE2626" s="1">
        <v>97240</v>
      </c>
      <c r="AF2626">
        <v>0</v>
      </c>
      <c r="AJ2626">
        <v>0</v>
      </c>
      <c r="AK2626">
        <v>0</v>
      </c>
      <c r="AL2626">
        <v>0</v>
      </c>
      <c r="AM2626">
        <v>0</v>
      </c>
      <c r="AN2626">
        <v>0</v>
      </c>
      <c r="AO2626">
        <v>0</v>
      </c>
      <c r="AP2626" s="2">
        <v>42746</v>
      </c>
      <c r="AQ2626" t="s">
        <v>72</v>
      </c>
      <c r="AR2626" t="s">
        <v>72</v>
      </c>
      <c r="AS2626">
        <v>1181</v>
      </c>
      <c r="AT2626" s="4">
        <v>42487</v>
      </c>
      <c r="AU2626" t="s">
        <v>73</v>
      </c>
      <c r="AV2626">
        <v>1181</v>
      </c>
      <c r="AW2626" s="4">
        <v>42487</v>
      </c>
      <c r="BD2626">
        <v>0</v>
      </c>
      <c r="BN2626" t="s">
        <v>74</v>
      </c>
    </row>
    <row r="2627" spans="1:66" hidden="1">
      <c r="A2627">
        <v>100879</v>
      </c>
      <c r="B2627" s="3" t="s">
        <v>255</v>
      </c>
      <c r="C2627" s="1">
        <v>43300101</v>
      </c>
      <c r="D2627" t="s">
        <v>67</v>
      </c>
      <c r="H2627" t="str">
        <f t="shared" si="264"/>
        <v>04720630633</v>
      </c>
      <c r="I2627" t="str">
        <f t="shared" si="265"/>
        <v>01354901215</v>
      </c>
      <c r="K2627" t="str">
        <f>""</f>
        <v/>
      </c>
      <c r="M2627" t="s">
        <v>68</v>
      </c>
      <c r="N2627" t="str">
        <f t="shared" si="260"/>
        <v>FOR</v>
      </c>
      <c r="O2627" t="s">
        <v>69</v>
      </c>
      <c r="P2627" s="3" t="s">
        <v>75</v>
      </c>
      <c r="Q2627">
        <v>2015</v>
      </c>
      <c r="R2627" s="2">
        <v>42283</v>
      </c>
      <c r="S2627" s="2">
        <v>42289</v>
      </c>
      <c r="T2627" s="2">
        <v>42284</v>
      </c>
      <c r="U2627" s="2">
        <v>42344</v>
      </c>
      <c r="V2627" t="s">
        <v>71</v>
      </c>
      <c r="W2627" t="str">
        <f>"              6510/W"</f>
        <v xml:space="preserve">              6510/W</v>
      </c>
      <c r="X2627">
        <v>271.08</v>
      </c>
      <c r="Y2627">
        <v>0</v>
      </c>
      <c r="Z2627"/>
      <c r="AB2627"/>
      <c r="AC2627">
        <v>222.2</v>
      </c>
      <c r="AD2627">
        <v>143</v>
      </c>
      <c r="AE2627" s="1">
        <v>31774.6</v>
      </c>
      <c r="AF2627">
        <v>0</v>
      </c>
      <c r="AJ2627">
        <v>0</v>
      </c>
      <c r="AK2627">
        <v>0</v>
      </c>
      <c r="AL2627">
        <v>0</v>
      </c>
      <c r="AM2627">
        <v>0</v>
      </c>
      <c r="AN2627">
        <v>0</v>
      </c>
      <c r="AO2627">
        <v>0</v>
      </c>
      <c r="AP2627" s="2">
        <v>42746</v>
      </c>
      <c r="AQ2627" t="s">
        <v>72</v>
      </c>
      <c r="AR2627" t="s">
        <v>72</v>
      </c>
      <c r="AS2627">
        <v>1181</v>
      </c>
      <c r="AT2627" s="4">
        <v>42487</v>
      </c>
      <c r="AU2627" t="s">
        <v>73</v>
      </c>
      <c r="AV2627">
        <v>1181</v>
      </c>
      <c r="AW2627" s="4">
        <v>42487</v>
      </c>
      <c r="BD2627">
        <v>0</v>
      </c>
      <c r="BN2627" t="s">
        <v>74</v>
      </c>
    </row>
    <row r="2628" spans="1:66" hidden="1">
      <c r="A2628">
        <v>100879</v>
      </c>
      <c r="B2628" s="3" t="s">
        <v>255</v>
      </c>
      <c r="C2628" s="1">
        <v>43300101</v>
      </c>
      <c r="D2628" t="s">
        <v>67</v>
      </c>
      <c r="H2628" t="str">
        <f t="shared" si="264"/>
        <v>04720630633</v>
      </c>
      <c r="I2628" t="str">
        <f t="shared" si="265"/>
        <v>01354901215</v>
      </c>
      <c r="K2628" t="str">
        <f>""</f>
        <v/>
      </c>
      <c r="M2628" t="s">
        <v>68</v>
      </c>
      <c r="N2628" t="str">
        <f t="shared" si="260"/>
        <v>FOR</v>
      </c>
      <c r="O2628" t="s">
        <v>69</v>
      </c>
      <c r="P2628" s="3" t="s">
        <v>75</v>
      </c>
      <c r="Q2628">
        <v>2015</v>
      </c>
      <c r="R2628" s="2">
        <v>42286</v>
      </c>
      <c r="S2628" s="2">
        <v>42291</v>
      </c>
      <c r="T2628" s="2">
        <v>42289</v>
      </c>
      <c r="U2628" s="2">
        <v>42349</v>
      </c>
      <c r="V2628" t="s">
        <v>71</v>
      </c>
      <c r="W2628" t="str">
        <f>"              6633/W"</f>
        <v xml:space="preserve">              6633/W</v>
      </c>
      <c r="X2628">
        <v>173.24</v>
      </c>
      <c r="Y2628">
        <v>0</v>
      </c>
      <c r="Z2628"/>
      <c r="AB2628"/>
      <c r="AC2628">
        <v>142</v>
      </c>
      <c r="AD2628">
        <v>138</v>
      </c>
      <c r="AE2628" s="1">
        <v>19596</v>
      </c>
      <c r="AF2628">
        <v>0</v>
      </c>
      <c r="AJ2628">
        <v>0</v>
      </c>
      <c r="AK2628">
        <v>0</v>
      </c>
      <c r="AL2628">
        <v>0</v>
      </c>
      <c r="AM2628">
        <v>0</v>
      </c>
      <c r="AN2628">
        <v>0</v>
      </c>
      <c r="AO2628">
        <v>0</v>
      </c>
      <c r="AP2628" s="2">
        <v>42746</v>
      </c>
      <c r="AQ2628" t="s">
        <v>72</v>
      </c>
      <c r="AR2628" t="s">
        <v>72</v>
      </c>
      <c r="AS2628">
        <v>1181</v>
      </c>
      <c r="AT2628" s="4">
        <v>42487</v>
      </c>
      <c r="AU2628" t="s">
        <v>73</v>
      </c>
      <c r="AV2628">
        <v>1181</v>
      </c>
      <c r="AW2628" s="4">
        <v>42487</v>
      </c>
      <c r="BD2628">
        <v>0</v>
      </c>
      <c r="BN2628" t="s">
        <v>74</v>
      </c>
    </row>
    <row r="2629" spans="1:66" hidden="1">
      <c r="A2629">
        <v>100879</v>
      </c>
      <c r="B2629" s="3" t="s">
        <v>255</v>
      </c>
      <c r="C2629" s="1">
        <v>43300101</v>
      </c>
      <c r="D2629" t="s">
        <v>67</v>
      </c>
      <c r="H2629" t="str">
        <f t="shared" si="264"/>
        <v>04720630633</v>
      </c>
      <c r="I2629" t="str">
        <f t="shared" si="265"/>
        <v>01354901215</v>
      </c>
      <c r="K2629" t="str">
        <f>""</f>
        <v/>
      </c>
      <c r="M2629" t="s">
        <v>68</v>
      </c>
      <c r="N2629" t="str">
        <f t="shared" si="260"/>
        <v>FOR</v>
      </c>
      <c r="O2629" t="s">
        <v>69</v>
      </c>
      <c r="P2629" s="3" t="s">
        <v>75</v>
      </c>
      <c r="Q2629">
        <v>2015</v>
      </c>
      <c r="R2629" s="2">
        <v>42296</v>
      </c>
      <c r="S2629" s="2">
        <v>42300</v>
      </c>
      <c r="T2629" s="2">
        <v>42299</v>
      </c>
      <c r="U2629" s="2">
        <v>42359</v>
      </c>
      <c r="V2629" t="s">
        <v>71</v>
      </c>
      <c r="W2629" t="str">
        <f>"              6888/W"</f>
        <v xml:space="preserve">              6888/W</v>
      </c>
      <c r="X2629">
        <v>101.26</v>
      </c>
      <c r="Y2629">
        <v>0</v>
      </c>
      <c r="Z2629"/>
      <c r="AB2629"/>
      <c r="AC2629">
        <v>83</v>
      </c>
      <c r="AD2629">
        <v>128</v>
      </c>
      <c r="AE2629" s="1">
        <v>10624</v>
      </c>
      <c r="AF2629">
        <v>0</v>
      </c>
      <c r="AJ2629">
        <v>0</v>
      </c>
      <c r="AK2629">
        <v>0</v>
      </c>
      <c r="AL2629">
        <v>0</v>
      </c>
      <c r="AM2629">
        <v>0</v>
      </c>
      <c r="AN2629">
        <v>0</v>
      </c>
      <c r="AO2629">
        <v>0</v>
      </c>
      <c r="AP2629" s="2">
        <v>42746</v>
      </c>
      <c r="AQ2629" t="s">
        <v>72</v>
      </c>
      <c r="AR2629" t="s">
        <v>72</v>
      </c>
      <c r="AS2629">
        <v>1181</v>
      </c>
      <c r="AT2629" s="4">
        <v>42487</v>
      </c>
      <c r="AU2629" t="s">
        <v>73</v>
      </c>
      <c r="AV2629">
        <v>1181</v>
      </c>
      <c r="AW2629" s="4">
        <v>42487</v>
      </c>
      <c r="BD2629">
        <v>0</v>
      </c>
      <c r="BN2629" t="s">
        <v>74</v>
      </c>
    </row>
    <row r="2630" spans="1:66" hidden="1">
      <c r="A2630">
        <v>100879</v>
      </c>
      <c r="B2630" s="3" t="s">
        <v>255</v>
      </c>
      <c r="C2630" s="1">
        <v>43300101</v>
      </c>
      <c r="D2630" t="s">
        <v>67</v>
      </c>
      <c r="H2630" t="str">
        <f t="shared" si="264"/>
        <v>04720630633</v>
      </c>
      <c r="I2630" t="str">
        <f t="shared" si="265"/>
        <v>01354901215</v>
      </c>
      <c r="K2630" t="str">
        <f>""</f>
        <v/>
      </c>
      <c r="M2630" t="s">
        <v>68</v>
      </c>
      <c r="N2630" t="str">
        <f t="shared" si="260"/>
        <v>FOR</v>
      </c>
      <c r="O2630" t="s">
        <v>69</v>
      </c>
      <c r="P2630" s="3" t="s">
        <v>75</v>
      </c>
      <c r="Q2630">
        <v>2015</v>
      </c>
      <c r="R2630" s="2">
        <v>42296</v>
      </c>
      <c r="S2630" s="2">
        <v>42300</v>
      </c>
      <c r="T2630" s="2">
        <v>42299</v>
      </c>
      <c r="U2630" s="2">
        <v>42359</v>
      </c>
      <c r="V2630" t="s">
        <v>71</v>
      </c>
      <c r="W2630" t="str">
        <f>"              6889/W"</f>
        <v xml:space="preserve">              6889/W</v>
      </c>
      <c r="X2630" s="1">
        <v>1698</v>
      </c>
      <c r="Y2630">
        <v>0</v>
      </c>
      <c r="Z2630"/>
      <c r="AB2630"/>
      <c r="AC2630" s="1">
        <v>1391.8</v>
      </c>
      <c r="AD2630">
        <v>128</v>
      </c>
      <c r="AE2630" s="1">
        <v>178150.39999999999</v>
      </c>
      <c r="AF2630">
        <v>0</v>
      </c>
      <c r="AJ2630">
        <v>0</v>
      </c>
      <c r="AK2630">
        <v>0</v>
      </c>
      <c r="AL2630">
        <v>0</v>
      </c>
      <c r="AM2630">
        <v>0</v>
      </c>
      <c r="AN2630">
        <v>0</v>
      </c>
      <c r="AO2630">
        <v>0</v>
      </c>
      <c r="AP2630" s="2">
        <v>42746</v>
      </c>
      <c r="AQ2630" t="s">
        <v>72</v>
      </c>
      <c r="AR2630" t="s">
        <v>72</v>
      </c>
      <c r="AS2630">
        <v>1181</v>
      </c>
      <c r="AT2630" s="4">
        <v>42487</v>
      </c>
      <c r="AU2630" t="s">
        <v>73</v>
      </c>
      <c r="AV2630">
        <v>1181</v>
      </c>
      <c r="AW2630" s="4">
        <v>42487</v>
      </c>
      <c r="BD2630">
        <v>0</v>
      </c>
      <c r="BN2630" t="s">
        <v>74</v>
      </c>
    </row>
    <row r="2631" spans="1:66" hidden="1">
      <c r="A2631">
        <v>100879</v>
      </c>
      <c r="B2631" s="3" t="s">
        <v>255</v>
      </c>
      <c r="C2631" s="1">
        <v>43300101</v>
      </c>
      <c r="D2631" t="s">
        <v>67</v>
      </c>
      <c r="H2631" t="str">
        <f t="shared" si="264"/>
        <v>04720630633</v>
      </c>
      <c r="I2631" t="str">
        <f t="shared" si="265"/>
        <v>01354901215</v>
      </c>
      <c r="K2631" t="str">
        <f>""</f>
        <v/>
      </c>
      <c r="M2631" t="s">
        <v>68</v>
      </c>
      <c r="N2631" t="str">
        <f t="shared" ref="N2631:N2694" si="266">"FOR"</f>
        <v>FOR</v>
      </c>
      <c r="O2631" t="s">
        <v>69</v>
      </c>
      <c r="P2631" s="3" t="s">
        <v>75</v>
      </c>
      <c r="Q2631">
        <v>2015</v>
      </c>
      <c r="R2631" s="2">
        <v>42296</v>
      </c>
      <c r="S2631" s="2">
        <v>42300</v>
      </c>
      <c r="T2631" s="2">
        <v>42299</v>
      </c>
      <c r="U2631" s="2">
        <v>42359</v>
      </c>
      <c r="V2631" t="s">
        <v>71</v>
      </c>
      <c r="W2631" t="str">
        <f>"              6890/W"</f>
        <v xml:space="preserve">              6890/W</v>
      </c>
      <c r="X2631" s="1">
        <v>1091.9000000000001</v>
      </c>
      <c r="Y2631">
        <v>0</v>
      </c>
      <c r="Z2631"/>
      <c r="AB2631"/>
      <c r="AC2631">
        <v>895</v>
      </c>
      <c r="AD2631">
        <v>128</v>
      </c>
      <c r="AE2631" s="1">
        <v>114560</v>
      </c>
      <c r="AF2631">
        <v>0</v>
      </c>
      <c r="AJ2631">
        <v>0</v>
      </c>
      <c r="AK2631">
        <v>0</v>
      </c>
      <c r="AL2631">
        <v>0</v>
      </c>
      <c r="AM2631">
        <v>0</v>
      </c>
      <c r="AN2631">
        <v>0</v>
      </c>
      <c r="AO2631">
        <v>0</v>
      </c>
      <c r="AP2631" s="2">
        <v>42746</v>
      </c>
      <c r="AQ2631" t="s">
        <v>72</v>
      </c>
      <c r="AR2631" t="s">
        <v>72</v>
      </c>
      <c r="AS2631">
        <v>1181</v>
      </c>
      <c r="AT2631" s="4">
        <v>42487</v>
      </c>
      <c r="AU2631" t="s">
        <v>73</v>
      </c>
      <c r="AV2631">
        <v>1181</v>
      </c>
      <c r="AW2631" s="4">
        <v>42487</v>
      </c>
      <c r="BD2631">
        <v>0</v>
      </c>
      <c r="BN2631" t="s">
        <v>74</v>
      </c>
    </row>
    <row r="2632" spans="1:66" hidden="1">
      <c r="A2632">
        <v>100879</v>
      </c>
      <c r="B2632" s="3" t="s">
        <v>255</v>
      </c>
      <c r="C2632" s="1">
        <v>43300101</v>
      </c>
      <c r="D2632" t="s">
        <v>67</v>
      </c>
      <c r="H2632" t="str">
        <f t="shared" si="264"/>
        <v>04720630633</v>
      </c>
      <c r="I2632" t="str">
        <f t="shared" si="265"/>
        <v>01354901215</v>
      </c>
      <c r="K2632" t="str">
        <f>""</f>
        <v/>
      </c>
      <c r="M2632" t="s">
        <v>68</v>
      </c>
      <c r="N2632" t="str">
        <f t="shared" si="266"/>
        <v>FOR</v>
      </c>
      <c r="O2632" t="s">
        <v>69</v>
      </c>
      <c r="P2632" s="3" t="s">
        <v>75</v>
      </c>
      <c r="Q2632">
        <v>2015</v>
      </c>
      <c r="R2632" s="2">
        <v>42304</v>
      </c>
      <c r="S2632" s="2">
        <v>42307</v>
      </c>
      <c r="T2632" s="2">
        <v>42306</v>
      </c>
      <c r="U2632" s="2">
        <v>42366</v>
      </c>
      <c r="V2632" t="s">
        <v>71</v>
      </c>
      <c r="W2632" t="str">
        <f>"              7203/W"</f>
        <v xml:space="preserve">              7203/W</v>
      </c>
      <c r="X2632">
        <v>241.56</v>
      </c>
      <c r="Y2632">
        <v>0</v>
      </c>
      <c r="Z2632"/>
      <c r="AB2632"/>
      <c r="AC2632">
        <v>198</v>
      </c>
      <c r="AD2632">
        <v>121</v>
      </c>
      <c r="AE2632" s="1">
        <v>23958</v>
      </c>
      <c r="AF2632">
        <v>0</v>
      </c>
      <c r="AJ2632">
        <v>0</v>
      </c>
      <c r="AK2632">
        <v>0</v>
      </c>
      <c r="AL2632">
        <v>0</v>
      </c>
      <c r="AM2632">
        <v>0</v>
      </c>
      <c r="AN2632">
        <v>0</v>
      </c>
      <c r="AO2632">
        <v>0</v>
      </c>
      <c r="AP2632" s="2">
        <v>42746</v>
      </c>
      <c r="AQ2632" t="s">
        <v>72</v>
      </c>
      <c r="AR2632" t="s">
        <v>72</v>
      </c>
      <c r="AS2632">
        <v>1181</v>
      </c>
      <c r="AT2632" s="4">
        <v>42487</v>
      </c>
      <c r="AU2632" t="s">
        <v>73</v>
      </c>
      <c r="AV2632">
        <v>1181</v>
      </c>
      <c r="AW2632" s="4">
        <v>42487</v>
      </c>
      <c r="BD2632">
        <v>0</v>
      </c>
      <c r="BN2632" t="s">
        <v>74</v>
      </c>
    </row>
    <row r="2633" spans="1:66" hidden="1">
      <c r="A2633">
        <v>100879</v>
      </c>
      <c r="B2633" s="3" t="s">
        <v>255</v>
      </c>
      <c r="C2633" s="1">
        <v>43300101</v>
      </c>
      <c r="D2633" t="s">
        <v>67</v>
      </c>
      <c r="H2633" t="str">
        <f t="shared" si="264"/>
        <v>04720630633</v>
      </c>
      <c r="I2633" t="str">
        <f t="shared" si="265"/>
        <v>01354901215</v>
      </c>
      <c r="K2633" t="str">
        <f>""</f>
        <v/>
      </c>
      <c r="M2633" t="s">
        <v>68</v>
      </c>
      <c r="N2633" t="str">
        <f t="shared" si="266"/>
        <v>FOR</v>
      </c>
      <c r="O2633" t="s">
        <v>69</v>
      </c>
      <c r="P2633" s="3" t="s">
        <v>75</v>
      </c>
      <c r="Q2633">
        <v>2015</v>
      </c>
      <c r="R2633" s="2">
        <v>42304</v>
      </c>
      <c r="S2633" s="2">
        <v>42307</v>
      </c>
      <c r="T2633" s="2">
        <v>42306</v>
      </c>
      <c r="U2633" s="2">
        <v>42366</v>
      </c>
      <c r="V2633" t="s">
        <v>71</v>
      </c>
      <c r="W2633" t="str">
        <f>"              7204/W"</f>
        <v xml:space="preserve">              7204/W</v>
      </c>
      <c r="X2633">
        <v>268.39999999999998</v>
      </c>
      <c r="Y2633">
        <v>0</v>
      </c>
      <c r="Z2633"/>
      <c r="AB2633"/>
      <c r="AC2633">
        <v>220</v>
      </c>
      <c r="AD2633">
        <v>121</v>
      </c>
      <c r="AE2633" s="1">
        <v>26620</v>
      </c>
      <c r="AF2633">
        <v>0</v>
      </c>
      <c r="AJ2633">
        <v>0</v>
      </c>
      <c r="AK2633">
        <v>0</v>
      </c>
      <c r="AL2633">
        <v>0</v>
      </c>
      <c r="AM2633">
        <v>0</v>
      </c>
      <c r="AN2633">
        <v>0</v>
      </c>
      <c r="AO2633">
        <v>0</v>
      </c>
      <c r="AP2633" s="2">
        <v>42746</v>
      </c>
      <c r="AQ2633" t="s">
        <v>72</v>
      </c>
      <c r="AR2633" t="s">
        <v>72</v>
      </c>
      <c r="AS2633">
        <v>1181</v>
      </c>
      <c r="AT2633" s="4">
        <v>42487</v>
      </c>
      <c r="AU2633" t="s">
        <v>73</v>
      </c>
      <c r="AV2633">
        <v>1181</v>
      </c>
      <c r="AW2633" s="4">
        <v>42487</v>
      </c>
      <c r="BD2633">
        <v>0</v>
      </c>
      <c r="BN2633" t="s">
        <v>74</v>
      </c>
    </row>
    <row r="2634" spans="1:66" hidden="1">
      <c r="A2634">
        <v>100879</v>
      </c>
      <c r="B2634" s="3" t="s">
        <v>255</v>
      </c>
      <c r="C2634" s="1">
        <v>43300101</v>
      </c>
      <c r="D2634" t="s">
        <v>67</v>
      </c>
      <c r="H2634" t="str">
        <f t="shared" si="264"/>
        <v>04720630633</v>
      </c>
      <c r="I2634" t="str">
        <f t="shared" si="265"/>
        <v>01354901215</v>
      </c>
      <c r="K2634" t="str">
        <f>""</f>
        <v/>
      </c>
      <c r="M2634" t="s">
        <v>68</v>
      </c>
      <c r="N2634" t="str">
        <f t="shared" si="266"/>
        <v>FOR</v>
      </c>
      <c r="O2634" t="s">
        <v>69</v>
      </c>
      <c r="P2634" s="3" t="s">
        <v>75</v>
      </c>
      <c r="Q2634">
        <v>2015</v>
      </c>
      <c r="R2634" s="2">
        <v>42312</v>
      </c>
      <c r="S2634" s="2">
        <v>42318</v>
      </c>
      <c r="T2634" s="2">
        <v>42317</v>
      </c>
      <c r="U2634" s="2">
        <v>42377</v>
      </c>
      <c r="V2634" t="s">
        <v>71</v>
      </c>
      <c r="W2634" t="str">
        <f>"              7492/W"</f>
        <v xml:space="preserve">              7492/W</v>
      </c>
      <c r="X2634" s="1">
        <v>4941</v>
      </c>
      <c r="Y2634">
        <v>0</v>
      </c>
      <c r="Z2634"/>
      <c r="AB2634"/>
      <c r="AC2634" s="1">
        <v>4050</v>
      </c>
      <c r="AD2634">
        <v>110</v>
      </c>
      <c r="AE2634" s="1">
        <v>445500</v>
      </c>
      <c r="AF2634">
        <v>0</v>
      </c>
      <c r="AJ2634">
        <v>0</v>
      </c>
      <c r="AK2634">
        <v>0</v>
      </c>
      <c r="AL2634">
        <v>0</v>
      </c>
      <c r="AM2634">
        <v>0</v>
      </c>
      <c r="AN2634">
        <v>0</v>
      </c>
      <c r="AO2634">
        <v>0</v>
      </c>
      <c r="AP2634" s="2">
        <v>42746</v>
      </c>
      <c r="AQ2634" t="s">
        <v>72</v>
      </c>
      <c r="AR2634" t="s">
        <v>72</v>
      </c>
      <c r="AS2634">
        <v>1181</v>
      </c>
      <c r="AT2634" s="4">
        <v>42487</v>
      </c>
      <c r="AU2634" t="s">
        <v>73</v>
      </c>
      <c r="AV2634">
        <v>1181</v>
      </c>
      <c r="AW2634" s="4">
        <v>42487</v>
      </c>
      <c r="BD2634">
        <v>0</v>
      </c>
      <c r="BN2634" t="s">
        <v>74</v>
      </c>
    </row>
    <row r="2635" spans="1:66" hidden="1">
      <c r="A2635">
        <v>100879</v>
      </c>
      <c r="B2635" s="3" t="s">
        <v>255</v>
      </c>
      <c r="C2635" s="1">
        <v>43300101</v>
      </c>
      <c r="D2635" t="s">
        <v>67</v>
      </c>
      <c r="H2635" t="str">
        <f t="shared" si="264"/>
        <v>04720630633</v>
      </c>
      <c r="I2635" t="str">
        <f t="shared" si="265"/>
        <v>01354901215</v>
      </c>
      <c r="K2635" t="str">
        <f>""</f>
        <v/>
      </c>
      <c r="M2635" t="s">
        <v>68</v>
      </c>
      <c r="N2635" t="str">
        <f t="shared" si="266"/>
        <v>FOR</v>
      </c>
      <c r="O2635" t="s">
        <v>69</v>
      </c>
      <c r="P2635" s="3" t="s">
        <v>75</v>
      </c>
      <c r="Q2635">
        <v>2015</v>
      </c>
      <c r="R2635" s="2">
        <v>42312</v>
      </c>
      <c r="S2635" s="2">
        <v>42318</v>
      </c>
      <c r="T2635" s="2">
        <v>42317</v>
      </c>
      <c r="U2635" s="2">
        <v>42377</v>
      </c>
      <c r="V2635" t="s">
        <v>71</v>
      </c>
      <c r="W2635" t="str">
        <f>"              7493/W"</f>
        <v xml:space="preserve">              7493/W</v>
      </c>
      <c r="X2635" s="1">
        <v>2366.8000000000002</v>
      </c>
      <c r="Y2635">
        <v>0</v>
      </c>
      <c r="Z2635"/>
      <c r="AB2635"/>
      <c r="AC2635" s="1">
        <v>1940</v>
      </c>
      <c r="AD2635">
        <v>110</v>
      </c>
      <c r="AE2635" s="1">
        <v>213400</v>
      </c>
      <c r="AF2635">
        <v>0</v>
      </c>
      <c r="AJ2635">
        <v>0</v>
      </c>
      <c r="AK2635">
        <v>0</v>
      </c>
      <c r="AL2635">
        <v>0</v>
      </c>
      <c r="AM2635">
        <v>0</v>
      </c>
      <c r="AN2635">
        <v>0</v>
      </c>
      <c r="AO2635">
        <v>0</v>
      </c>
      <c r="AP2635" s="2">
        <v>42746</v>
      </c>
      <c r="AQ2635" t="s">
        <v>72</v>
      </c>
      <c r="AR2635" t="s">
        <v>72</v>
      </c>
      <c r="AS2635">
        <v>1181</v>
      </c>
      <c r="AT2635" s="4">
        <v>42487</v>
      </c>
      <c r="AU2635" t="s">
        <v>73</v>
      </c>
      <c r="AV2635">
        <v>1181</v>
      </c>
      <c r="AW2635" s="4">
        <v>42487</v>
      </c>
      <c r="BD2635">
        <v>0</v>
      </c>
      <c r="BN2635" t="s">
        <v>74</v>
      </c>
    </row>
    <row r="2636" spans="1:66" hidden="1">
      <c r="A2636">
        <v>100879</v>
      </c>
      <c r="B2636" s="3" t="s">
        <v>255</v>
      </c>
      <c r="C2636" s="1">
        <v>43300101</v>
      </c>
      <c r="D2636" t="s">
        <v>67</v>
      </c>
      <c r="H2636" t="str">
        <f t="shared" si="264"/>
        <v>04720630633</v>
      </c>
      <c r="I2636" t="str">
        <f t="shared" si="265"/>
        <v>01354901215</v>
      </c>
      <c r="K2636" t="str">
        <f>""</f>
        <v/>
      </c>
      <c r="M2636" t="s">
        <v>68</v>
      </c>
      <c r="N2636" t="str">
        <f t="shared" si="266"/>
        <v>FOR</v>
      </c>
      <c r="O2636" t="s">
        <v>69</v>
      </c>
      <c r="P2636" s="3" t="s">
        <v>75</v>
      </c>
      <c r="Q2636">
        <v>2015</v>
      </c>
      <c r="R2636" s="2">
        <v>42317</v>
      </c>
      <c r="S2636" s="2">
        <v>42318</v>
      </c>
      <c r="T2636" s="2">
        <v>42318</v>
      </c>
      <c r="U2636" s="2">
        <v>42378</v>
      </c>
      <c r="V2636" t="s">
        <v>71</v>
      </c>
      <c r="W2636" t="str">
        <f>"              7617/W"</f>
        <v xml:space="preserve">              7617/W</v>
      </c>
      <c r="X2636">
        <v>396.5</v>
      </c>
      <c r="Y2636">
        <v>0</v>
      </c>
      <c r="Z2636"/>
      <c r="AB2636"/>
      <c r="AC2636">
        <v>325</v>
      </c>
      <c r="AD2636">
        <v>109</v>
      </c>
      <c r="AE2636" s="1">
        <v>35425</v>
      </c>
      <c r="AF2636">
        <v>0</v>
      </c>
      <c r="AJ2636">
        <v>0</v>
      </c>
      <c r="AK2636">
        <v>0</v>
      </c>
      <c r="AL2636">
        <v>0</v>
      </c>
      <c r="AM2636">
        <v>0</v>
      </c>
      <c r="AN2636">
        <v>0</v>
      </c>
      <c r="AO2636">
        <v>0</v>
      </c>
      <c r="AP2636" s="2">
        <v>42746</v>
      </c>
      <c r="AQ2636" t="s">
        <v>72</v>
      </c>
      <c r="AR2636" t="s">
        <v>72</v>
      </c>
      <c r="AS2636">
        <v>1181</v>
      </c>
      <c r="AT2636" s="4">
        <v>42487</v>
      </c>
      <c r="AU2636" t="s">
        <v>73</v>
      </c>
      <c r="AV2636">
        <v>1181</v>
      </c>
      <c r="AW2636" s="4">
        <v>42487</v>
      </c>
      <c r="BD2636">
        <v>0</v>
      </c>
      <c r="BN2636" t="s">
        <v>74</v>
      </c>
    </row>
    <row r="2637" spans="1:66" hidden="1">
      <c r="A2637">
        <v>100879</v>
      </c>
      <c r="B2637" s="3" t="s">
        <v>255</v>
      </c>
      <c r="C2637" s="1">
        <v>43300101</v>
      </c>
      <c r="D2637" t="s">
        <v>67</v>
      </c>
      <c r="H2637" t="str">
        <f t="shared" si="264"/>
        <v>04720630633</v>
      </c>
      <c r="I2637" t="str">
        <f t="shared" si="265"/>
        <v>01354901215</v>
      </c>
      <c r="K2637" t="str">
        <f>""</f>
        <v/>
      </c>
      <c r="M2637" t="s">
        <v>68</v>
      </c>
      <c r="N2637" t="str">
        <f t="shared" si="266"/>
        <v>FOR</v>
      </c>
      <c r="O2637" t="s">
        <v>69</v>
      </c>
      <c r="P2637" s="3" t="s">
        <v>75</v>
      </c>
      <c r="Q2637">
        <v>2015</v>
      </c>
      <c r="R2637" s="2">
        <v>42320</v>
      </c>
      <c r="S2637" s="2">
        <v>42326</v>
      </c>
      <c r="T2637" s="2">
        <v>42324</v>
      </c>
      <c r="U2637" s="2">
        <v>42384</v>
      </c>
      <c r="V2637" t="s">
        <v>71</v>
      </c>
      <c r="W2637" t="str">
        <f>"              7787/W"</f>
        <v xml:space="preserve">              7787/W</v>
      </c>
      <c r="X2637">
        <v>814.96</v>
      </c>
      <c r="Y2637">
        <v>0</v>
      </c>
      <c r="Z2637"/>
      <c r="AB2637"/>
      <c r="AC2637">
        <v>668</v>
      </c>
      <c r="AD2637">
        <v>103</v>
      </c>
      <c r="AE2637" s="1">
        <v>68804</v>
      </c>
      <c r="AF2637">
        <v>0</v>
      </c>
      <c r="AJ2637">
        <v>0</v>
      </c>
      <c r="AK2637">
        <v>0</v>
      </c>
      <c r="AL2637">
        <v>0</v>
      </c>
      <c r="AM2637">
        <v>0</v>
      </c>
      <c r="AN2637">
        <v>0</v>
      </c>
      <c r="AO2637">
        <v>0</v>
      </c>
      <c r="AP2637" s="2">
        <v>42746</v>
      </c>
      <c r="AQ2637" t="s">
        <v>72</v>
      </c>
      <c r="AR2637" t="s">
        <v>72</v>
      </c>
      <c r="AS2637">
        <v>1181</v>
      </c>
      <c r="AT2637" s="4">
        <v>42487</v>
      </c>
      <c r="AU2637" t="s">
        <v>73</v>
      </c>
      <c r="AV2637">
        <v>1181</v>
      </c>
      <c r="AW2637" s="4">
        <v>42487</v>
      </c>
      <c r="BD2637">
        <v>0</v>
      </c>
      <c r="BN2637" t="s">
        <v>74</v>
      </c>
    </row>
    <row r="2638" spans="1:66" hidden="1">
      <c r="A2638">
        <v>100879</v>
      </c>
      <c r="B2638" s="3" t="s">
        <v>255</v>
      </c>
      <c r="C2638" s="1">
        <v>43300101</v>
      </c>
      <c r="D2638" t="s">
        <v>67</v>
      </c>
      <c r="H2638" t="str">
        <f t="shared" si="264"/>
        <v>04720630633</v>
      </c>
      <c r="I2638" t="str">
        <f t="shared" si="265"/>
        <v>01354901215</v>
      </c>
      <c r="K2638" t="str">
        <f>""</f>
        <v/>
      </c>
      <c r="M2638" t="s">
        <v>68</v>
      </c>
      <c r="N2638" t="str">
        <f t="shared" si="266"/>
        <v>FOR</v>
      </c>
      <c r="O2638" t="s">
        <v>69</v>
      </c>
      <c r="P2638" s="3" t="s">
        <v>75</v>
      </c>
      <c r="Q2638">
        <v>2015</v>
      </c>
      <c r="R2638" s="2">
        <v>42324</v>
      </c>
      <c r="S2638" s="2">
        <v>42327</v>
      </c>
      <c r="T2638" s="2">
        <v>42326</v>
      </c>
      <c r="U2638" s="2">
        <v>42386</v>
      </c>
      <c r="V2638" t="s">
        <v>71</v>
      </c>
      <c r="W2638" t="str">
        <f>"              7884/W"</f>
        <v xml:space="preserve">              7884/W</v>
      </c>
      <c r="X2638">
        <v>939.4</v>
      </c>
      <c r="Y2638">
        <v>0</v>
      </c>
      <c r="Z2638"/>
      <c r="AB2638"/>
      <c r="AC2638">
        <v>770</v>
      </c>
      <c r="AD2638">
        <v>101</v>
      </c>
      <c r="AE2638" s="1">
        <v>77770</v>
      </c>
      <c r="AF2638">
        <v>0</v>
      </c>
      <c r="AJ2638">
        <v>0</v>
      </c>
      <c r="AK2638">
        <v>0</v>
      </c>
      <c r="AL2638">
        <v>0</v>
      </c>
      <c r="AM2638">
        <v>0</v>
      </c>
      <c r="AN2638">
        <v>0</v>
      </c>
      <c r="AO2638">
        <v>0</v>
      </c>
      <c r="AP2638" s="2">
        <v>42746</v>
      </c>
      <c r="AQ2638" t="s">
        <v>72</v>
      </c>
      <c r="AR2638" t="s">
        <v>72</v>
      </c>
      <c r="AS2638">
        <v>1181</v>
      </c>
      <c r="AT2638" s="4">
        <v>42487</v>
      </c>
      <c r="AU2638" t="s">
        <v>73</v>
      </c>
      <c r="AV2638">
        <v>1181</v>
      </c>
      <c r="AW2638" s="4">
        <v>42487</v>
      </c>
      <c r="BD2638">
        <v>0</v>
      </c>
      <c r="BN2638" t="s">
        <v>74</v>
      </c>
    </row>
    <row r="2639" spans="1:66" hidden="1">
      <c r="A2639">
        <v>100879</v>
      </c>
      <c r="B2639" s="3" t="s">
        <v>255</v>
      </c>
      <c r="C2639" s="1">
        <v>43300101</v>
      </c>
      <c r="D2639" t="s">
        <v>67</v>
      </c>
      <c r="H2639" t="str">
        <f t="shared" si="264"/>
        <v>04720630633</v>
      </c>
      <c r="I2639" t="str">
        <f t="shared" si="265"/>
        <v>01354901215</v>
      </c>
      <c r="K2639" t="str">
        <f>""</f>
        <v/>
      </c>
      <c r="M2639" t="s">
        <v>68</v>
      </c>
      <c r="N2639" t="str">
        <f t="shared" si="266"/>
        <v>FOR</v>
      </c>
      <c r="O2639" t="s">
        <v>69</v>
      </c>
      <c r="P2639" s="3" t="s">
        <v>75</v>
      </c>
      <c r="Q2639">
        <v>2015</v>
      </c>
      <c r="R2639" s="2">
        <v>42324</v>
      </c>
      <c r="S2639" s="2">
        <v>42327</v>
      </c>
      <c r="T2639" s="2">
        <v>42326</v>
      </c>
      <c r="U2639" s="2">
        <v>42386</v>
      </c>
      <c r="V2639" t="s">
        <v>71</v>
      </c>
      <c r="W2639" t="str">
        <f>"              7885/W"</f>
        <v xml:space="preserve">              7885/W</v>
      </c>
      <c r="X2639">
        <v>490.44</v>
      </c>
      <c r="Y2639">
        <v>0</v>
      </c>
      <c r="Z2639"/>
      <c r="AB2639"/>
      <c r="AC2639">
        <v>402</v>
      </c>
      <c r="AD2639">
        <v>134</v>
      </c>
      <c r="AE2639" s="1">
        <v>53868</v>
      </c>
      <c r="AF2639">
        <v>0</v>
      </c>
      <c r="AJ2639">
        <v>0</v>
      </c>
      <c r="AK2639">
        <v>0</v>
      </c>
      <c r="AL2639">
        <v>0</v>
      </c>
      <c r="AM2639">
        <v>0</v>
      </c>
      <c r="AN2639">
        <v>0</v>
      </c>
      <c r="AO2639">
        <v>0</v>
      </c>
      <c r="AP2639" s="2">
        <v>42746</v>
      </c>
      <c r="AQ2639" t="s">
        <v>72</v>
      </c>
      <c r="AR2639" t="s">
        <v>72</v>
      </c>
      <c r="AS2639">
        <v>1425</v>
      </c>
      <c r="AT2639" s="4">
        <v>42520</v>
      </c>
      <c r="AU2639" t="s">
        <v>73</v>
      </c>
      <c r="AV2639">
        <v>1425</v>
      </c>
      <c r="AW2639" s="4">
        <v>42520</v>
      </c>
      <c r="BD2639">
        <v>0</v>
      </c>
      <c r="BN2639" t="s">
        <v>74</v>
      </c>
    </row>
    <row r="2640" spans="1:66" hidden="1">
      <c r="A2640">
        <v>100879</v>
      </c>
      <c r="B2640" s="3" t="s">
        <v>255</v>
      </c>
      <c r="C2640" s="1">
        <v>43300101</v>
      </c>
      <c r="D2640" t="s">
        <v>67</v>
      </c>
      <c r="H2640" t="str">
        <f t="shared" si="264"/>
        <v>04720630633</v>
      </c>
      <c r="I2640" t="str">
        <f t="shared" si="265"/>
        <v>01354901215</v>
      </c>
      <c r="K2640" t="str">
        <f>""</f>
        <v/>
      </c>
      <c r="M2640" t="s">
        <v>68</v>
      </c>
      <c r="N2640" t="str">
        <f t="shared" si="266"/>
        <v>FOR</v>
      </c>
      <c r="O2640" t="s">
        <v>69</v>
      </c>
      <c r="P2640" s="3" t="s">
        <v>75</v>
      </c>
      <c r="Q2640">
        <v>2015</v>
      </c>
      <c r="R2640" s="2">
        <v>42331</v>
      </c>
      <c r="S2640" s="2">
        <v>42333</v>
      </c>
      <c r="T2640" s="2">
        <v>42332</v>
      </c>
      <c r="U2640" s="2">
        <v>42392</v>
      </c>
      <c r="V2640" t="s">
        <v>71</v>
      </c>
      <c r="W2640" t="str">
        <f>"              8162/W"</f>
        <v xml:space="preserve">              8162/W</v>
      </c>
      <c r="X2640">
        <v>147.62</v>
      </c>
      <c r="Y2640">
        <v>0</v>
      </c>
      <c r="Z2640"/>
      <c r="AB2640"/>
      <c r="AC2640">
        <v>121</v>
      </c>
      <c r="AD2640">
        <v>128</v>
      </c>
      <c r="AE2640" s="1">
        <v>15488</v>
      </c>
      <c r="AF2640">
        <v>0</v>
      </c>
      <c r="AJ2640">
        <v>0</v>
      </c>
      <c r="AK2640">
        <v>0</v>
      </c>
      <c r="AL2640">
        <v>0</v>
      </c>
      <c r="AM2640">
        <v>0</v>
      </c>
      <c r="AN2640">
        <v>0</v>
      </c>
      <c r="AO2640">
        <v>0</v>
      </c>
      <c r="AP2640" s="2">
        <v>42746</v>
      </c>
      <c r="AQ2640" t="s">
        <v>72</v>
      </c>
      <c r="AR2640" t="s">
        <v>72</v>
      </c>
      <c r="AS2640">
        <v>1425</v>
      </c>
      <c r="AT2640" s="4">
        <v>42520</v>
      </c>
      <c r="AU2640" t="s">
        <v>73</v>
      </c>
      <c r="AV2640">
        <v>1425</v>
      </c>
      <c r="AW2640" s="4">
        <v>42520</v>
      </c>
      <c r="BD2640">
        <v>0</v>
      </c>
      <c r="BN2640" t="s">
        <v>74</v>
      </c>
    </row>
    <row r="2641" spans="1:66" hidden="1">
      <c r="A2641">
        <v>100879</v>
      </c>
      <c r="B2641" s="3" t="s">
        <v>255</v>
      </c>
      <c r="C2641" s="1">
        <v>43300101</v>
      </c>
      <c r="D2641" t="s">
        <v>67</v>
      </c>
      <c r="H2641" t="str">
        <f t="shared" si="264"/>
        <v>04720630633</v>
      </c>
      <c r="I2641" t="str">
        <f t="shared" si="265"/>
        <v>01354901215</v>
      </c>
      <c r="K2641" t="str">
        <f>""</f>
        <v/>
      </c>
      <c r="M2641" t="s">
        <v>68</v>
      </c>
      <c r="N2641" t="str">
        <f t="shared" si="266"/>
        <v>FOR</v>
      </c>
      <c r="O2641" t="s">
        <v>69</v>
      </c>
      <c r="P2641" s="3" t="s">
        <v>75</v>
      </c>
      <c r="Q2641">
        <v>2015</v>
      </c>
      <c r="R2641" s="2">
        <v>42331</v>
      </c>
      <c r="S2641" s="2">
        <v>42333</v>
      </c>
      <c r="T2641" s="2">
        <v>42332</v>
      </c>
      <c r="U2641" s="2">
        <v>42392</v>
      </c>
      <c r="V2641" t="s">
        <v>71</v>
      </c>
      <c r="W2641" t="str">
        <f>"              8163/W"</f>
        <v xml:space="preserve">              8163/W</v>
      </c>
      <c r="X2641">
        <v>31.51</v>
      </c>
      <c r="Y2641">
        <v>0</v>
      </c>
      <c r="Z2641"/>
      <c r="AB2641"/>
      <c r="AC2641">
        <v>25.83</v>
      </c>
      <c r="AD2641">
        <v>128</v>
      </c>
      <c r="AE2641" s="1">
        <v>3306.24</v>
      </c>
      <c r="AF2641">
        <v>0</v>
      </c>
      <c r="AJ2641">
        <v>0</v>
      </c>
      <c r="AK2641">
        <v>0</v>
      </c>
      <c r="AL2641">
        <v>0</v>
      </c>
      <c r="AM2641">
        <v>0</v>
      </c>
      <c r="AN2641">
        <v>0</v>
      </c>
      <c r="AO2641">
        <v>0</v>
      </c>
      <c r="AP2641" s="2">
        <v>42746</v>
      </c>
      <c r="AQ2641" t="s">
        <v>72</v>
      </c>
      <c r="AR2641" t="s">
        <v>72</v>
      </c>
      <c r="AS2641">
        <v>1425</v>
      </c>
      <c r="AT2641" s="4">
        <v>42520</v>
      </c>
      <c r="AU2641" t="s">
        <v>73</v>
      </c>
      <c r="AV2641">
        <v>1425</v>
      </c>
      <c r="AW2641" s="4">
        <v>42520</v>
      </c>
      <c r="BD2641">
        <v>0</v>
      </c>
      <c r="BN2641" t="s">
        <v>74</v>
      </c>
    </row>
    <row r="2642" spans="1:66" hidden="1">
      <c r="A2642">
        <v>100879</v>
      </c>
      <c r="B2642" s="3" t="s">
        <v>255</v>
      </c>
      <c r="C2642" s="1">
        <v>43300101</v>
      </c>
      <c r="D2642" t="s">
        <v>67</v>
      </c>
      <c r="H2642" t="str">
        <f t="shared" si="264"/>
        <v>04720630633</v>
      </c>
      <c r="I2642" t="str">
        <f t="shared" si="265"/>
        <v>01354901215</v>
      </c>
      <c r="K2642" t="str">
        <f>""</f>
        <v/>
      </c>
      <c r="M2642" t="s">
        <v>68</v>
      </c>
      <c r="N2642" t="str">
        <f t="shared" si="266"/>
        <v>FOR</v>
      </c>
      <c r="O2642" t="s">
        <v>69</v>
      </c>
      <c r="P2642" s="3" t="s">
        <v>75</v>
      </c>
      <c r="Q2642">
        <v>2015</v>
      </c>
      <c r="R2642" s="2">
        <v>42331</v>
      </c>
      <c r="S2642" s="2">
        <v>42333</v>
      </c>
      <c r="T2642" s="2">
        <v>42332</v>
      </c>
      <c r="U2642" s="2">
        <v>42392</v>
      </c>
      <c r="V2642" t="s">
        <v>71</v>
      </c>
      <c r="W2642" t="str">
        <f>"              8164/W"</f>
        <v xml:space="preserve">              8164/W</v>
      </c>
      <c r="X2642">
        <v>405.04</v>
      </c>
      <c r="Y2642">
        <v>0</v>
      </c>
      <c r="Z2642"/>
      <c r="AB2642"/>
      <c r="AC2642">
        <v>332</v>
      </c>
      <c r="AD2642">
        <v>128</v>
      </c>
      <c r="AE2642" s="1">
        <v>42496</v>
      </c>
      <c r="AF2642">
        <v>0</v>
      </c>
      <c r="AJ2642">
        <v>0</v>
      </c>
      <c r="AK2642">
        <v>0</v>
      </c>
      <c r="AL2642">
        <v>0</v>
      </c>
      <c r="AM2642">
        <v>0</v>
      </c>
      <c r="AN2642">
        <v>0</v>
      </c>
      <c r="AO2642">
        <v>0</v>
      </c>
      <c r="AP2642" s="2">
        <v>42746</v>
      </c>
      <c r="AQ2642" t="s">
        <v>72</v>
      </c>
      <c r="AR2642" t="s">
        <v>72</v>
      </c>
      <c r="AS2642">
        <v>1425</v>
      </c>
      <c r="AT2642" s="4">
        <v>42520</v>
      </c>
      <c r="AU2642" t="s">
        <v>73</v>
      </c>
      <c r="AV2642">
        <v>1425</v>
      </c>
      <c r="AW2642" s="4">
        <v>42520</v>
      </c>
      <c r="BD2642">
        <v>0</v>
      </c>
      <c r="BN2642" t="s">
        <v>74</v>
      </c>
    </row>
    <row r="2643" spans="1:66" hidden="1">
      <c r="A2643">
        <v>100879</v>
      </c>
      <c r="B2643" s="3" t="s">
        <v>255</v>
      </c>
      <c r="C2643" s="1">
        <v>43300101</v>
      </c>
      <c r="D2643" t="s">
        <v>67</v>
      </c>
      <c r="H2643" t="str">
        <f t="shared" si="264"/>
        <v>04720630633</v>
      </c>
      <c r="I2643" t="str">
        <f t="shared" si="265"/>
        <v>01354901215</v>
      </c>
      <c r="K2643" t="str">
        <f>""</f>
        <v/>
      </c>
      <c r="M2643" t="s">
        <v>68</v>
      </c>
      <c r="N2643" t="str">
        <f t="shared" si="266"/>
        <v>FOR</v>
      </c>
      <c r="O2643" t="s">
        <v>69</v>
      </c>
      <c r="P2643" s="3" t="s">
        <v>75</v>
      </c>
      <c r="Q2643">
        <v>2015</v>
      </c>
      <c r="R2643" s="2">
        <v>42331</v>
      </c>
      <c r="S2643" s="2">
        <v>42333</v>
      </c>
      <c r="T2643" s="2">
        <v>42332</v>
      </c>
      <c r="U2643" s="2">
        <v>42392</v>
      </c>
      <c r="V2643" t="s">
        <v>71</v>
      </c>
      <c r="W2643" t="str">
        <f>"              8165/W"</f>
        <v xml:space="preserve">              8165/W</v>
      </c>
      <c r="X2643">
        <v>101.26</v>
      </c>
      <c r="Y2643">
        <v>0</v>
      </c>
      <c r="Z2643"/>
      <c r="AB2643"/>
      <c r="AC2643">
        <v>83</v>
      </c>
      <c r="AD2643">
        <v>128</v>
      </c>
      <c r="AE2643" s="1">
        <v>10624</v>
      </c>
      <c r="AF2643">
        <v>0</v>
      </c>
      <c r="AJ2643">
        <v>0</v>
      </c>
      <c r="AK2643">
        <v>0</v>
      </c>
      <c r="AL2643">
        <v>0</v>
      </c>
      <c r="AM2643">
        <v>0</v>
      </c>
      <c r="AN2643">
        <v>0</v>
      </c>
      <c r="AO2643">
        <v>0</v>
      </c>
      <c r="AP2643" s="2">
        <v>42746</v>
      </c>
      <c r="AQ2643" t="s">
        <v>72</v>
      </c>
      <c r="AR2643" t="s">
        <v>72</v>
      </c>
      <c r="AS2643">
        <v>1425</v>
      </c>
      <c r="AT2643" s="4">
        <v>42520</v>
      </c>
      <c r="AU2643" t="s">
        <v>73</v>
      </c>
      <c r="AV2643">
        <v>1425</v>
      </c>
      <c r="AW2643" s="4">
        <v>42520</v>
      </c>
      <c r="BD2643">
        <v>0</v>
      </c>
      <c r="BN2643" t="s">
        <v>74</v>
      </c>
    </row>
    <row r="2644" spans="1:66" hidden="1">
      <c r="A2644">
        <v>100879</v>
      </c>
      <c r="B2644" s="3" t="s">
        <v>255</v>
      </c>
      <c r="C2644" s="1">
        <v>43300101</v>
      </c>
      <c r="D2644" t="s">
        <v>67</v>
      </c>
      <c r="H2644" t="str">
        <f t="shared" si="264"/>
        <v>04720630633</v>
      </c>
      <c r="I2644" t="str">
        <f t="shared" si="265"/>
        <v>01354901215</v>
      </c>
      <c r="K2644" t="str">
        <f>""</f>
        <v/>
      </c>
      <c r="M2644" t="s">
        <v>68</v>
      </c>
      <c r="N2644" t="str">
        <f t="shared" si="266"/>
        <v>FOR</v>
      </c>
      <c r="O2644" t="s">
        <v>69</v>
      </c>
      <c r="P2644" s="3" t="s">
        <v>75</v>
      </c>
      <c r="Q2644">
        <v>2015</v>
      </c>
      <c r="R2644" s="2">
        <v>42338</v>
      </c>
      <c r="S2644" s="2">
        <v>42341</v>
      </c>
      <c r="T2644" s="2">
        <v>42340</v>
      </c>
      <c r="U2644" s="2">
        <v>42400</v>
      </c>
      <c r="V2644" t="s">
        <v>71</v>
      </c>
      <c r="W2644" t="str">
        <f>"              8496/W"</f>
        <v xml:space="preserve">              8496/W</v>
      </c>
      <c r="X2644" s="1">
        <v>2242.6</v>
      </c>
      <c r="Y2644">
        <v>0</v>
      </c>
      <c r="Z2644"/>
      <c r="AB2644"/>
      <c r="AC2644" s="1">
        <v>1838.2</v>
      </c>
      <c r="AD2644">
        <v>120</v>
      </c>
      <c r="AE2644" s="1">
        <v>220584</v>
      </c>
      <c r="AF2644">
        <v>0</v>
      </c>
      <c r="AJ2644">
        <v>0</v>
      </c>
      <c r="AK2644">
        <v>0</v>
      </c>
      <c r="AL2644">
        <v>0</v>
      </c>
      <c r="AM2644">
        <v>0</v>
      </c>
      <c r="AN2644">
        <v>0</v>
      </c>
      <c r="AO2644">
        <v>0</v>
      </c>
      <c r="AP2644" s="2">
        <v>42746</v>
      </c>
      <c r="AQ2644" t="s">
        <v>72</v>
      </c>
      <c r="AR2644" t="s">
        <v>72</v>
      </c>
      <c r="AS2644">
        <v>1425</v>
      </c>
      <c r="AT2644" s="4">
        <v>42520</v>
      </c>
      <c r="AU2644" t="s">
        <v>73</v>
      </c>
      <c r="AV2644">
        <v>1425</v>
      </c>
      <c r="AW2644" s="4">
        <v>42520</v>
      </c>
      <c r="BD2644">
        <v>0</v>
      </c>
      <c r="BN2644" t="s">
        <v>74</v>
      </c>
    </row>
    <row r="2645" spans="1:66" hidden="1">
      <c r="A2645">
        <v>100879</v>
      </c>
      <c r="B2645" s="3" t="s">
        <v>255</v>
      </c>
      <c r="C2645" s="1">
        <v>43300101</v>
      </c>
      <c r="D2645" t="s">
        <v>67</v>
      </c>
      <c r="H2645" t="str">
        <f t="shared" si="264"/>
        <v>04720630633</v>
      </c>
      <c r="I2645" t="str">
        <f t="shared" si="265"/>
        <v>01354901215</v>
      </c>
      <c r="K2645" t="str">
        <f>""</f>
        <v/>
      </c>
      <c r="M2645" t="s">
        <v>68</v>
      </c>
      <c r="N2645" t="str">
        <f t="shared" si="266"/>
        <v>FOR</v>
      </c>
      <c r="O2645" t="s">
        <v>69</v>
      </c>
      <c r="P2645" s="3" t="s">
        <v>75</v>
      </c>
      <c r="Q2645">
        <v>2015</v>
      </c>
      <c r="R2645" s="2">
        <v>42338</v>
      </c>
      <c r="S2645" s="2">
        <v>42341</v>
      </c>
      <c r="T2645" s="2">
        <v>42340</v>
      </c>
      <c r="U2645" s="2">
        <v>42400</v>
      </c>
      <c r="V2645" t="s">
        <v>71</v>
      </c>
      <c r="W2645" t="str">
        <f>"              8497/W"</f>
        <v xml:space="preserve">              8497/W</v>
      </c>
      <c r="X2645">
        <v>221.8</v>
      </c>
      <c r="Y2645">
        <v>0</v>
      </c>
      <c r="Z2645"/>
      <c r="AB2645"/>
      <c r="AC2645">
        <v>181.8</v>
      </c>
      <c r="AD2645">
        <v>120</v>
      </c>
      <c r="AE2645" s="1">
        <v>21816</v>
      </c>
      <c r="AF2645">
        <v>0</v>
      </c>
      <c r="AJ2645">
        <v>0</v>
      </c>
      <c r="AK2645">
        <v>0</v>
      </c>
      <c r="AL2645">
        <v>0</v>
      </c>
      <c r="AM2645">
        <v>0</v>
      </c>
      <c r="AN2645">
        <v>0</v>
      </c>
      <c r="AO2645">
        <v>0</v>
      </c>
      <c r="AP2645" s="2">
        <v>42746</v>
      </c>
      <c r="AQ2645" t="s">
        <v>72</v>
      </c>
      <c r="AR2645" t="s">
        <v>72</v>
      </c>
      <c r="AS2645">
        <v>1425</v>
      </c>
      <c r="AT2645" s="4">
        <v>42520</v>
      </c>
      <c r="AU2645" t="s">
        <v>73</v>
      </c>
      <c r="AV2645">
        <v>1425</v>
      </c>
      <c r="AW2645" s="4">
        <v>42520</v>
      </c>
      <c r="BD2645">
        <v>0</v>
      </c>
      <c r="BN2645" t="s">
        <v>74</v>
      </c>
    </row>
    <row r="2646" spans="1:66" hidden="1">
      <c r="A2646">
        <v>100879</v>
      </c>
      <c r="B2646" s="3" t="s">
        <v>255</v>
      </c>
      <c r="C2646" s="1">
        <v>43300101</v>
      </c>
      <c r="D2646" t="s">
        <v>67</v>
      </c>
      <c r="H2646" t="str">
        <f t="shared" si="264"/>
        <v>04720630633</v>
      </c>
      <c r="I2646" t="str">
        <f t="shared" si="265"/>
        <v>01354901215</v>
      </c>
      <c r="K2646" t="str">
        <f>""</f>
        <v/>
      </c>
      <c r="M2646" t="s">
        <v>68</v>
      </c>
      <c r="N2646" t="str">
        <f t="shared" si="266"/>
        <v>FOR</v>
      </c>
      <c r="O2646" t="s">
        <v>69</v>
      </c>
      <c r="P2646" s="3" t="s">
        <v>75</v>
      </c>
      <c r="Q2646">
        <v>2015</v>
      </c>
      <c r="R2646" s="2">
        <v>42341</v>
      </c>
      <c r="S2646" s="2">
        <v>42353</v>
      </c>
      <c r="T2646" s="2">
        <v>42349</v>
      </c>
      <c r="U2646" s="2">
        <v>42409</v>
      </c>
      <c r="V2646" t="s">
        <v>71</v>
      </c>
      <c r="W2646" t="str">
        <f>"              8629/W"</f>
        <v xml:space="preserve">              8629/W</v>
      </c>
      <c r="X2646" s="1">
        <v>3294</v>
      </c>
      <c r="Y2646">
        <v>0</v>
      </c>
      <c r="Z2646"/>
      <c r="AB2646"/>
      <c r="AC2646" s="1">
        <v>2700</v>
      </c>
      <c r="AD2646">
        <v>160</v>
      </c>
      <c r="AE2646" s="1">
        <v>432000</v>
      </c>
      <c r="AF2646">
        <v>0</v>
      </c>
      <c r="AJ2646">
        <v>0</v>
      </c>
      <c r="AK2646">
        <v>0</v>
      </c>
      <c r="AL2646">
        <v>0</v>
      </c>
      <c r="AM2646">
        <v>0</v>
      </c>
      <c r="AN2646">
        <v>0</v>
      </c>
      <c r="AO2646">
        <v>0</v>
      </c>
      <c r="AP2646" s="2">
        <v>42746</v>
      </c>
      <c r="AQ2646" t="s">
        <v>72</v>
      </c>
      <c r="AR2646" t="s">
        <v>72</v>
      </c>
      <c r="AS2646">
        <v>1867</v>
      </c>
      <c r="AT2646" s="4">
        <v>42569</v>
      </c>
      <c r="AU2646" t="s">
        <v>73</v>
      </c>
      <c r="AV2646">
        <v>1867</v>
      </c>
      <c r="AW2646" s="4">
        <v>42569</v>
      </c>
      <c r="BD2646">
        <v>0</v>
      </c>
      <c r="BN2646" t="s">
        <v>74</v>
      </c>
    </row>
    <row r="2647" spans="1:66" hidden="1">
      <c r="A2647">
        <v>100879</v>
      </c>
      <c r="B2647" s="3" t="s">
        <v>255</v>
      </c>
      <c r="C2647" s="1">
        <v>43300101</v>
      </c>
      <c r="D2647" t="s">
        <v>67</v>
      </c>
      <c r="H2647" t="str">
        <f t="shared" si="264"/>
        <v>04720630633</v>
      </c>
      <c r="I2647" t="str">
        <f t="shared" si="265"/>
        <v>01354901215</v>
      </c>
      <c r="K2647" t="str">
        <f>""</f>
        <v/>
      </c>
      <c r="M2647" t="s">
        <v>68</v>
      </c>
      <c r="N2647" t="str">
        <f t="shared" si="266"/>
        <v>FOR</v>
      </c>
      <c r="O2647" t="s">
        <v>69</v>
      </c>
      <c r="P2647" s="3" t="s">
        <v>70</v>
      </c>
      <c r="Q2647">
        <v>2015</v>
      </c>
      <c r="R2647" s="2">
        <v>42341</v>
      </c>
      <c r="S2647" s="2">
        <v>42410</v>
      </c>
      <c r="T2647" s="2">
        <v>42410</v>
      </c>
      <c r="U2647" s="2">
        <v>42470</v>
      </c>
      <c r="V2647" t="s">
        <v>71</v>
      </c>
      <c r="W2647" t="str">
        <f>"              8630/W"</f>
        <v xml:space="preserve">              8630/W</v>
      </c>
      <c r="X2647">
        <v>805.2</v>
      </c>
      <c r="Y2647">
        <v>0</v>
      </c>
      <c r="Z2647"/>
      <c r="AB2647"/>
      <c r="AC2647">
        <v>660</v>
      </c>
      <c r="AD2647">
        <v>99</v>
      </c>
      <c r="AE2647" s="1">
        <v>65340</v>
      </c>
      <c r="AF2647">
        <v>0</v>
      </c>
      <c r="AJ2647">
        <v>0</v>
      </c>
      <c r="AK2647">
        <v>0</v>
      </c>
      <c r="AL2647">
        <v>0</v>
      </c>
      <c r="AM2647">
        <v>0</v>
      </c>
      <c r="AN2647">
        <v>805.2</v>
      </c>
      <c r="AO2647">
        <v>0</v>
      </c>
      <c r="AP2647" s="2">
        <v>42746</v>
      </c>
      <c r="AQ2647" t="s">
        <v>72</v>
      </c>
      <c r="AR2647" t="s">
        <v>72</v>
      </c>
      <c r="AS2647">
        <v>1867</v>
      </c>
      <c r="AT2647" s="4">
        <v>42569</v>
      </c>
      <c r="AU2647" t="s">
        <v>73</v>
      </c>
      <c r="AV2647">
        <v>1867</v>
      </c>
      <c r="AW2647" s="4">
        <v>42569</v>
      </c>
      <c r="BD2647">
        <v>0</v>
      </c>
      <c r="BN2647" t="s">
        <v>74</v>
      </c>
    </row>
    <row r="2648" spans="1:66" hidden="1">
      <c r="A2648">
        <v>100879</v>
      </c>
      <c r="B2648" s="3" t="s">
        <v>255</v>
      </c>
      <c r="C2648" s="1">
        <v>43300101</v>
      </c>
      <c r="D2648" t="s">
        <v>67</v>
      </c>
      <c r="H2648" t="str">
        <f t="shared" si="264"/>
        <v>04720630633</v>
      </c>
      <c r="I2648" t="str">
        <f t="shared" si="265"/>
        <v>01354901215</v>
      </c>
      <c r="K2648" t="str">
        <f>""</f>
        <v/>
      </c>
      <c r="M2648" t="s">
        <v>68</v>
      </c>
      <c r="N2648" t="str">
        <f t="shared" si="266"/>
        <v>FOR</v>
      </c>
      <c r="O2648" t="s">
        <v>69</v>
      </c>
      <c r="P2648" s="3" t="s">
        <v>75</v>
      </c>
      <c r="Q2648">
        <v>2015</v>
      </c>
      <c r="R2648" s="2">
        <v>42347</v>
      </c>
      <c r="S2648" s="2">
        <v>42353</v>
      </c>
      <c r="T2648" s="2">
        <v>42349</v>
      </c>
      <c r="U2648" s="2">
        <v>42409</v>
      </c>
      <c r="V2648" t="s">
        <v>71</v>
      </c>
      <c r="W2648" t="str">
        <f>"              8723/W"</f>
        <v xml:space="preserve">              8723/W</v>
      </c>
      <c r="X2648" s="1">
        <v>2183.8000000000002</v>
      </c>
      <c r="Y2648">
        <v>0</v>
      </c>
      <c r="Z2648"/>
      <c r="AB2648"/>
      <c r="AC2648" s="1">
        <v>1790</v>
      </c>
      <c r="AD2648">
        <v>160</v>
      </c>
      <c r="AE2648" s="1">
        <v>286400</v>
      </c>
      <c r="AF2648">
        <v>0</v>
      </c>
      <c r="AJ2648">
        <v>0</v>
      </c>
      <c r="AK2648">
        <v>0</v>
      </c>
      <c r="AL2648">
        <v>0</v>
      </c>
      <c r="AM2648">
        <v>0</v>
      </c>
      <c r="AN2648">
        <v>0</v>
      </c>
      <c r="AO2648">
        <v>0</v>
      </c>
      <c r="AP2648" s="2">
        <v>42746</v>
      </c>
      <c r="AQ2648" t="s">
        <v>72</v>
      </c>
      <c r="AR2648" t="s">
        <v>72</v>
      </c>
      <c r="AS2648">
        <v>1867</v>
      </c>
      <c r="AT2648" s="4">
        <v>42569</v>
      </c>
      <c r="AU2648" t="s">
        <v>73</v>
      </c>
      <c r="AV2648">
        <v>1867</v>
      </c>
      <c r="AW2648" s="4">
        <v>42569</v>
      </c>
      <c r="BD2648">
        <v>0</v>
      </c>
      <c r="BN2648" t="s">
        <v>74</v>
      </c>
    </row>
    <row r="2649" spans="1:66" hidden="1">
      <c r="A2649">
        <v>100879</v>
      </c>
      <c r="B2649" s="3" t="s">
        <v>255</v>
      </c>
      <c r="C2649" s="1">
        <v>43300101</v>
      </c>
      <c r="D2649" t="s">
        <v>67</v>
      </c>
      <c r="H2649" t="str">
        <f t="shared" si="264"/>
        <v>04720630633</v>
      </c>
      <c r="I2649" t="str">
        <f t="shared" si="265"/>
        <v>01354901215</v>
      </c>
      <c r="K2649" t="str">
        <f>""</f>
        <v/>
      </c>
      <c r="M2649" t="s">
        <v>68</v>
      </c>
      <c r="N2649" t="str">
        <f t="shared" si="266"/>
        <v>FOR</v>
      </c>
      <c r="O2649" t="s">
        <v>69</v>
      </c>
      <c r="P2649" s="3" t="s">
        <v>75</v>
      </c>
      <c r="Q2649">
        <v>2015</v>
      </c>
      <c r="R2649" s="2">
        <v>42352</v>
      </c>
      <c r="S2649" s="2">
        <v>42355</v>
      </c>
      <c r="T2649" s="2">
        <v>42354</v>
      </c>
      <c r="U2649" s="2">
        <v>42414</v>
      </c>
      <c r="V2649" t="s">
        <v>71</v>
      </c>
      <c r="W2649" t="str">
        <f>"              8901/W"</f>
        <v xml:space="preserve">              8901/W</v>
      </c>
      <c r="X2649">
        <v>405.04</v>
      </c>
      <c r="Y2649">
        <v>0</v>
      </c>
      <c r="Z2649"/>
      <c r="AB2649"/>
      <c r="AC2649">
        <v>332</v>
      </c>
      <c r="AD2649">
        <v>155</v>
      </c>
      <c r="AE2649" s="1">
        <v>51460</v>
      </c>
      <c r="AF2649">
        <v>0</v>
      </c>
      <c r="AJ2649">
        <v>0</v>
      </c>
      <c r="AK2649">
        <v>0</v>
      </c>
      <c r="AL2649">
        <v>0</v>
      </c>
      <c r="AM2649">
        <v>0</v>
      </c>
      <c r="AN2649">
        <v>0</v>
      </c>
      <c r="AO2649">
        <v>0</v>
      </c>
      <c r="AP2649" s="2">
        <v>42746</v>
      </c>
      <c r="AQ2649" t="s">
        <v>72</v>
      </c>
      <c r="AR2649" t="s">
        <v>72</v>
      </c>
      <c r="AS2649">
        <v>1867</v>
      </c>
      <c r="AT2649" s="4">
        <v>42569</v>
      </c>
      <c r="AU2649" t="s">
        <v>73</v>
      </c>
      <c r="AV2649">
        <v>1867</v>
      </c>
      <c r="AW2649" s="4">
        <v>42569</v>
      </c>
      <c r="BD2649">
        <v>0</v>
      </c>
      <c r="BN2649" t="s">
        <v>74</v>
      </c>
    </row>
    <row r="2650" spans="1:66" hidden="1">
      <c r="A2650">
        <v>100879</v>
      </c>
      <c r="B2650" s="3" t="s">
        <v>255</v>
      </c>
      <c r="C2650" s="1">
        <v>43300101</v>
      </c>
      <c r="D2650" t="s">
        <v>67</v>
      </c>
      <c r="H2650" t="str">
        <f t="shared" si="264"/>
        <v>04720630633</v>
      </c>
      <c r="I2650" t="str">
        <f t="shared" si="265"/>
        <v>01354901215</v>
      </c>
      <c r="K2650" t="str">
        <f>""</f>
        <v/>
      </c>
      <c r="M2650" t="s">
        <v>68</v>
      </c>
      <c r="N2650" t="str">
        <f t="shared" si="266"/>
        <v>FOR</v>
      </c>
      <c r="O2650" t="s">
        <v>69</v>
      </c>
      <c r="P2650" s="3" t="s">
        <v>75</v>
      </c>
      <c r="Q2650">
        <v>2015</v>
      </c>
      <c r="R2650" s="2">
        <v>42361</v>
      </c>
      <c r="S2650" s="2">
        <v>42367</v>
      </c>
      <c r="T2650" s="2">
        <v>42366</v>
      </c>
      <c r="U2650" s="2">
        <v>42426</v>
      </c>
      <c r="V2650" t="s">
        <v>71</v>
      </c>
      <c r="W2650" t="str">
        <f>"              9303/W"</f>
        <v xml:space="preserve">              9303/W</v>
      </c>
      <c r="X2650" s="1">
        <v>1586</v>
      </c>
      <c r="Y2650">
        <v>0</v>
      </c>
      <c r="Z2650"/>
      <c r="AB2650"/>
      <c r="AC2650" s="1">
        <v>1300</v>
      </c>
      <c r="AD2650">
        <v>143</v>
      </c>
      <c r="AE2650" s="1">
        <v>185900</v>
      </c>
      <c r="AF2650">
        <v>0</v>
      </c>
      <c r="AJ2650">
        <v>0</v>
      </c>
      <c r="AK2650">
        <v>0</v>
      </c>
      <c r="AL2650">
        <v>0</v>
      </c>
      <c r="AM2650">
        <v>0</v>
      </c>
      <c r="AN2650">
        <v>0</v>
      </c>
      <c r="AO2650">
        <v>0</v>
      </c>
      <c r="AP2650" s="2">
        <v>42746</v>
      </c>
      <c r="AQ2650" t="s">
        <v>72</v>
      </c>
      <c r="AR2650" t="s">
        <v>72</v>
      </c>
      <c r="AS2650">
        <v>1867</v>
      </c>
      <c r="AT2650" s="4">
        <v>42569</v>
      </c>
      <c r="AU2650" t="s">
        <v>73</v>
      </c>
      <c r="AV2650">
        <v>1867</v>
      </c>
      <c r="AW2650" s="4">
        <v>42569</v>
      </c>
      <c r="BD2650">
        <v>0</v>
      </c>
      <c r="BN2650" t="s">
        <v>74</v>
      </c>
    </row>
    <row r="2651" spans="1:66" hidden="1">
      <c r="A2651">
        <v>100879</v>
      </c>
      <c r="B2651" s="3" t="s">
        <v>255</v>
      </c>
      <c r="C2651" s="1">
        <v>43300101</v>
      </c>
      <c r="D2651" t="s">
        <v>67</v>
      </c>
      <c r="H2651" t="str">
        <f t="shared" si="264"/>
        <v>04720630633</v>
      </c>
      <c r="I2651" t="str">
        <f t="shared" si="265"/>
        <v>01354901215</v>
      </c>
      <c r="K2651" t="str">
        <f>""</f>
        <v/>
      </c>
      <c r="M2651" t="s">
        <v>68</v>
      </c>
      <c r="N2651" t="str">
        <f t="shared" si="266"/>
        <v>FOR</v>
      </c>
      <c r="O2651" t="s">
        <v>69</v>
      </c>
      <c r="P2651" s="3" t="s">
        <v>75</v>
      </c>
      <c r="Q2651">
        <v>2016</v>
      </c>
      <c r="R2651" s="2">
        <v>42451</v>
      </c>
      <c r="S2651" s="2">
        <v>42460</v>
      </c>
      <c r="T2651" s="2">
        <v>42451</v>
      </c>
      <c r="U2651" s="2">
        <v>42511</v>
      </c>
      <c r="V2651" t="s">
        <v>71</v>
      </c>
      <c r="W2651" t="str">
        <f>"                31/J"</f>
        <v xml:space="preserve">                31/J</v>
      </c>
      <c r="X2651">
        <v>878.52</v>
      </c>
      <c r="Y2651">
        <v>0</v>
      </c>
      <c r="Z2651"/>
      <c r="AB2651"/>
      <c r="AC2651">
        <v>878.52</v>
      </c>
      <c r="AD2651">
        <v>-46</v>
      </c>
      <c r="AE2651" s="1">
        <v>-40411.919999999998</v>
      </c>
      <c r="AF2651">
        <v>0</v>
      </c>
      <c r="AJ2651">
        <v>0</v>
      </c>
      <c r="AK2651">
        <v>0</v>
      </c>
      <c r="AL2651">
        <v>0</v>
      </c>
      <c r="AM2651">
        <v>878.52</v>
      </c>
      <c r="AN2651">
        <v>878.52</v>
      </c>
      <c r="AO2651">
        <v>878.52</v>
      </c>
      <c r="AP2651" s="2">
        <v>42746</v>
      </c>
      <c r="AQ2651" t="s">
        <v>72</v>
      </c>
      <c r="AR2651" t="s">
        <v>72</v>
      </c>
      <c r="AS2651">
        <v>1009</v>
      </c>
      <c r="AT2651" s="4">
        <v>42465</v>
      </c>
      <c r="AV2651">
        <v>1009</v>
      </c>
      <c r="AW2651" s="4">
        <v>42465</v>
      </c>
      <c r="BD2651">
        <v>0</v>
      </c>
      <c r="BN2651" t="s">
        <v>74</v>
      </c>
    </row>
    <row r="2652" spans="1:66" hidden="1">
      <c r="A2652">
        <v>100879</v>
      </c>
      <c r="B2652" s="3" t="s">
        <v>255</v>
      </c>
      <c r="C2652" s="1">
        <v>43300101</v>
      </c>
      <c r="D2652" t="s">
        <v>67</v>
      </c>
      <c r="H2652" t="str">
        <f t="shared" si="264"/>
        <v>04720630633</v>
      </c>
      <c r="I2652" t="str">
        <f t="shared" si="265"/>
        <v>01354901215</v>
      </c>
      <c r="K2652" t="str">
        <f>""</f>
        <v/>
      </c>
      <c r="M2652" t="s">
        <v>68</v>
      </c>
      <c r="N2652" t="str">
        <f t="shared" si="266"/>
        <v>FOR</v>
      </c>
      <c r="O2652" t="s">
        <v>69</v>
      </c>
      <c r="P2652" s="3" t="s">
        <v>75</v>
      </c>
      <c r="Q2652">
        <v>2016</v>
      </c>
      <c r="R2652" s="2">
        <v>42388</v>
      </c>
      <c r="S2652" s="2">
        <v>42391</v>
      </c>
      <c r="T2652" s="2">
        <v>42390</v>
      </c>
      <c r="U2652" s="2">
        <v>42450</v>
      </c>
      <c r="V2652" t="s">
        <v>71</v>
      </c>
      <c r="W2652" t="str">
        <f>"               463/W"</f>
        <v xml:space="preserve">               463/W</v>
      </c>
      <c r="X2652">
        <v>265.35000000000002</v>
      </c>
      <c r="Y2652">
        <v>0</v>
      </c>
      <c r="Z2652"/>
      <c r="AB2652"/>
      <c r="AC2652">
        <v>217.5</v>
      </c>
      <c r="AD2652">
        <v>127</v>
      </c>
      <c r="AE2652" s="1">
        <v>27622.5</v>
      </c>
      <c r="AF2652">
        <v>0</v>
      </c>
      <c r="AJ2652">
        <v>0</v>
      </c>
      <c r="AK2652">
        <v>0</v>
      </c>
      <c r="AL2652">
        <v>0</v>
      </c>
      <c r="AM2652">
        <v>265.35000000000002</v>
      </c>
      <c r="AN2652">
        <v>265.35000000000002</v>
      </c>
      <c r="AO2652">
        <v>265.35000000000002</v>
      </c>
      <c r="AP2652" s="2">
        <v>42746</v>
      </c>
      <c r="AQ2652" t="s">
        <v>72</v>
      </c>
      <c r="AR2652" t="s">
        <v>72</v>
      </c>
      <c r="AS2652">
        <v>1947</v>
      </c>
      <c r="AT2652" s="4">
        <v>42577</v>
      </c>
      <c r="AU2652" t="s">
        <v>73</v>
      </c>
      <c r="AV2652">
        <v>1947</v>
      </c>
      <c r="AW2652" s="4">
        <v>42577</v>
      </c>
      <c r="BD2652">
        <v>0</v>
      </c>
      <c r="BN2652" t="s">
        <v>74</v>
      </c>
    </row>
    <row r="2653" spans="1:66" hidden="1">
      <c r="A2653">
        <v>100879</v>
      </c>
      <c r="B2653" s="3" t="s">
        <v>255</v>
      </c>
      <c r="C2653" s="1">
        <v>43300101</v>
      </c>
      <c r="D2653" t="s">
        <v>67</v>
      </c>
      <c r="H2653" t="str">
        <f t="shared" si="264"/>
        <v>04720630633</v>
      </c>
      <c r="I2653" t="str">
        <f t="shared" si="265"/>
        <v>01354901215</v>
      </c>
      <c r="K2653" t="str">
        <f>""</f>
        <v/>
      </c>
      <c r="M2653" t="s">
        <v>68</v>
      </c>
      <c r="N2653" t="str">
        <f t="shared" si="266"/>
        <v>FOR</v>
      </c>
      <c r="O2653" t="s">
        <v>69</v>
      </c>
      <c r="P2653" s="3" t="s">
        <v>75</v>
      </c>
      <c r="Q2653">
        <v>2016</v>
      </c>
      <c r="R2653" s="2">
        <v>42390</v>
      </c>
      <c r="S2653" s="2">
        <v>42395</v>
      </c>
      <c r="T2653" s="2">
        <v>42391</v>
      </c>
      <c r="U2653" s="2">
        <v>42451</v>
      </c>
      <c r="V2653" t="s">
        <v>71</v>
      </c>
      <c r="W2653" t="str">
        <f>"               538/W"</f>
        <v xml:space="preserve">               538/W</v>
      </c>
      <c r="X2653">
        <v>316.95999999999998</v>
      </c>
      <c r="Y2653">
        <v>0</v>
      </c>
      <c r="Z2653"/>
      <c r="AB2653"/>
      <c r="AC2653">
        <v>259.8</v>
      </c>
      <c r="AD2653">
        <v>126</v>
      </c>
      <c r="AE2653" s="1">
        <v>32734.799999999999</v>
      </c>
      <c r="AF2653">
        <v>0</v>
      </c>
      <c r="AJ2653">
        <v>0</v>
      </c>
      <c r="AK2653">
        <v>0</v>
      </c>
      <c r="AL2653">
        <v>0</v>
      </c>
      <c r="AM2653">
        <v>316.95999999999998</v>
      </c>
      <c r="AN2653">
        <v>316.95999999999998</v>
      </c>
      <c r="AO2653">
        <v>316.95999999999998</v>
      </c>
      <c r="AP2653" s="2">
        <v>42746</v>
      </c>
      <c r="AQ2653" t="s">
        <v>72</v>
      </c>
      <c r="AR2653" t="s">
        <v>72</v>
      </c>
      <c r="AS2653">
        <v>1947</v>
      </c>
      <c r="AT2653" s="4">
        <v>42577</v>
      </c>
      <c r="AU2653" t="s">
        <v>73</v>
      </c>
      <c r="AV2653">
        <v>1947</v>
      </c>
      <c r="AW2653" s="4">
        <v>42577</v>
      </c>
      <c r="BD2653">
        <v>0</v>
      </c>
      <c r="BN2653" t="s">
        <v>74</v>
      </c>
    </row>
    <row r="2654" spans="1:66" hidden="1">
      <c r="A2654">
        <v>100879</v>
      </c>
      <c r="B2654" s="3" t="s">
        <v>255</v>
      </c>
      <c r="C2654" s="1">
        <v>43300101</v>
      </c>
      <c r="D2654" t="s">
        <v>67</v>
      </c>
      <c r="H2654" t="str">
        <f t="shared" ref="H2654:H2685" si="267">"04720630633"</f>
        <v>04720630633</v>
      </c>
      <c r="I2654" t="str">
        <f t="shared" ref="I2654:I2685" si="268">"01354901215"</f>
        <v>01354901215</v>
      </c>
      <c r="K2654" t="str">
        <f>""</f>
        <v/>
      </c>
      <c r="M2654" t="s">
        <v>68</v>
      </c>
      <c r="N2654" t="str">
        <f t="shared" si="266"/>
        <v>FOR</v>
      </c>
      <c r="O2654" t="s">
        <v>69</v>
      </c>
      <c r="P2654" s="3" t="s">
        <v>75</v>
      </c>
      <c r="Q2654">
        <v>2016</v>
      </c>
      <c r="R2654" s="2">
        <v>42395</v>
      </c>
      <c r="S2654" s="2">
        <v>42401</v>
      </c>
      <c r="T2654" s="2">
        <v>42396</v>
      </c>
      <c r="U2654" s="2">
        <v>42456</v>
      </c>
      <c r="V2654" t="s">
        <v>71</v>
      </c>
      <c r="W2654" t="str">
        <f>"               677/W"</f>
        <v xml:space="preserve">               677/W</v>
      </c>
      <c r="X2654">
        <v>213.5</v>
      </c>
      <c r="Y2654">
        <v>0</v>
      </c>
      <c r="Z2654"/>
      <c r="AB2654"/>
      <c r="AC2654">
        <v>175</v>
      </c>
      <c r="AD2654">
        <v>121</v>
      </c>
      <c r="AE2654" s="1">
        <v>21175</v>
      </c>
      <c r="AF2654">
        <v>0</v>
      </c>
      <c r="AJ2654">
        <v>0</v>
      </c>
      <c r="AK2654">
        <v>0</v>
      </c>
      <c r="AL2654">
        <v>0</v>
      </c>
      <c r="AM2654">
        <v>213.5</v>
      </c>
      <c r="AN2654">
        <v>213.5</v>
      </c>
      <c r="AO2654">
        <v>213.5</v>
      </c>
      <c r="AP2654" s="2">
        <v>42746</v>
      </c>
      <c r="AQ2654" t="s">
        <v>72</v>
      </c>
      <c r="AR2654" t="s">
        <v>72</v>
      </c>
      <c r="AS2654">
        <v>1947</v>
      </c>
      <c r="AT2654" s="4">
        <v>42577</v>
      </c>
      <c r="AU2654" t="s">
        <v>73</v>
      </c>
      <c r="AV2654">
        <v>1947</v>
      </c>
      <c r="AW2654" s="4">
        <v>42577</v>
      </c>
      <c r="BD2654">
        <v>0</v>
      </c>
      <c r="BN2654" t="s">
        <v>74</v>
      </c>
    </row>
    <row r="2655" spans="1:66" hidden="1">
      <c r="A2655">
        <v>100879</v>
      </c>
      <c r="B2655" s="3" t="s">
        <v>255</v>
      </c>
      <c r="C2655" s="1">
        <v>43300101</v>
      </c>
      <c r="D2655" t="s">
        <v>67</v>
      </c>
      <c r="H2655" t="str">
        <f t="shared" si="267"/>
        <v>04720630633</v>
      </c>
      <c r="I2655" t="str">
        <f t="shared" si="268"/>
        <v>01354901215</v>
      </c>
      <c r="K2655" t="str">
        <f>""</f>
        <v/>
      </c>
      <c r="M2655" t="s">
        <v>68</v>
      </c>
      <c r="N2655" t="str">
        <f t="shared" si="266"/>
        <v>FOR</v>
      </c>
      <c r="O2655" t="s">
        <v>69</v>
      </c>
      <c r="P2655" s="3" t="s">
        <v>75</v>
      </c>
      <c r="Q2655">
        <v>2016</v>
      </c>
      <c r="R2655" s="2">
        <v>42401</v>
      </c>
      <c r="S2655" s="2">
        <v>42410</v>
      </c>
      <c r="T2655" s="2">
        <v>42403</v>
      </c>
      <c r="U2655" s="2">
        <v>42463</v>
      </c>
      <c r="V2655" t="s">
        <v>71</v>
      </c>
      <c r="W2655" t="str">
        <f>"               902/W"</f>
        <v xml:space="preserve">               902/W</v>
      </c>
      <c r="X2655" s="1">
        <v>1878.8</v>
      </c>
      <c r="Y2655">
        <v>0</v>
      </c>
      <c r="Z2655"/>
      <c r="AB2655"/>
      <c r="AC2655" s="1">
        <v>1540</v>
      </c>
      <c r="AD2655">
        <v>114</v>
      </c>
      <c r="AE2655" s="1">
        <v>175560</v>
      </c>
      <c r="AF2655">
        <v>0</v>
      </c>
      <c r="AJ2655">
        <v>0</v>
      </c>
      <c r="AK2655">
        <v>0</v>
      </c>
      <c r="AL2655">
        <v>0</v>
      </c>
      <c r="AM2655" s="1">
        <v>1878.8</v>
      </c>
      <c r="AN2655" s="1">
        <v>1878.8</v>
      </c>
      <c r="AO2655" s="1">
        <v>1878.8</v>
      </c>
      <c r="AP2655" s="2">
        <v>42746</v>
      </c>
      <c r="AQ2655" t="s">
        <v>72</v>
      </c>
      <c r="AR2655" t="s">
        <v>72</v>
      </c>
      <c r="AS2655">
        <v>1947</v>
      </c>
      <c r="AT2655" s="4">
        <v>42577</v>
      </c>
      <c r="AU2655" t="s">
        <v>73</v>
      </c>
      <c r="AV2655">
        <v>1947</v>
      </c>
      <c r="AW2655" s="4">
        <v>42577</v>
      </c>
      <c r="BD2655">
        <v>0</v>
      </c>
      <c r="BN2655" t="s">
        <v>74</v>
      </c>
    </row>
    <row r="2656" spans="1:66" hidden="1">
      <c r="A2656">
        <v>100879</v>
      </c>
      <c r="B2656" s="3" t="s">
        <v>255</v>
      </c>
      <c r="C2656" s="1">
        <v>43300101</v>
      </c>
      <c r="D2656" t="s">
        <v>67</v>
      </c>
      <c r="H2656" t="str">
        <f t="shared" si="267"/>
        <v>04720630633</v>
      </c>
      <c r="I2656" t="str">
        <f t="shared" si="268"/>
        <v>01354901215</v>
      </c>
      <c r="K2656" t="str">
        <f>""</f>
        <v/>
      </c>
      <c r="M2656" t="s">
        <v>68</v>
      </c>
      <c r="N2656" t="str">
        <f t="shared" si="266"/>
        <v>FOR</v>
      </c>
      <c r="O2656" t="s">
        <v>69</v>
      </c>
      <c r="P2656" s="3" t="s">
        <v>75</v>
      </c>
      <c r="Q2656">
        <v>2016</v>
      </c>
      <c r="R2656" s="2">
        <v>42401</v>
      </c>
      <c r="S2656" s="2">
        <v>42410</v>
      </c>
      <c r="T2656" s="2">
        <v>42403</v>
      </c>
      <c r="U2656" s="2">
        <v>42463</v>
      </c>
      <c r="V2656" t="s">
        <v>71</v>
      </c>
      <c r="W2656" t="str">
        <f>"               903/W"</f>
        <v xml:space="preserve">               903/W</v>
      </c>
      <c r="X2656">
        <v>101.26</v>
      </c>
      <c r="Y2656">
        <v>0</v>
      </c>
      <c r="Z2656"/>
      <c r="AB2656"/>
      <c r="AC2656">
        <v>83</v>
      </c>
      <c r="AD2656">
        <v>114</v>
      </c>
      <c r="AE2656" s="1">
        <v>9462</v>
      </c>
      <c r="AF2656">
        <v>0</v>
      </c>
      <c r="AJ2656">
        <v>0</v>
      </c>
      <c r="AK2656">
        <v>0</v>
      </c>
      <c r="AL2656">
        <v>0</v>
      </c>
      <c r="AM2656">
        <v>101.26</v>
      </c>
      <c r="AN2656">
        <v>101.26</v>
      </c>
      <c r="AO2656">
        <v>101.26</v>
      </c>
      <c r="AP2656" s="2">
        <v>42746</v>
      </c>
      <c r="AQ2656" t="s">
        <v>72</v>
      </c>
      <c r="AR2656" t="s">
        <v>72</v>
      </c>
      <c r="AS2656">
        <v>1947</v>
      </c>
      <c r="AT2656" s="4">
        <v>42577</v>
      </c>
      <c r="AU2656" t="s">
        <v>73</v>
      </c>
      <c r="AV2656">
        <v>1947</v>
      </c>
      <c r="AW2656" s="4">
        <v>42577</v>
      </c>
      <c r="BD2656">
        <v>0</v>
      </c>
      <c r="BN2656" t="s">
        <v>74</v>
      </c>
    </row>
    <row r="2657" spans="1:66" hidden="1">
      <c r="A2657">
        <v>100879</v>
      </c>
      <c r="B2657" s="3" t="s">
        <v>255</v>
      </c>
      <c r="C2657" s="1">
        <v>43300101</v>
      </c>
      <c r="D2657" t="s">
        <v>67</v>
      </c>
      <c r="H2657" t="str">
        <f t="shared" si="267"/>
        <v>04720630633</v>
      </c>
      <c r="I2657" t="str">
        <f t="shared" si="268"/>
        <v>01354901215</v>
      </c>
      <c r="K2657" t="str">
        <f>""</f>
        <v/>
      </c>
      <c r="M2657" t="s">
        <v>68</v>
      </c>
      <c r="N2657" t="str">
        <f t="shared" si="266"/>
        <v>FOR</v>
      </c>
      <c r="O2657" t="s">
        <v>69</v>
      </c>
      <c r="P2657" s="3" t="s">
        <v>75</v>
      </c>
      <c r="Q2657">
        <v>2016</v>
      </c>
      <c r="R2657" s="2">
        <v>42426</v>
      </c>
      <c r="S2657" s="2">
        <v>42436</v>
      </c>
      <c r="T2657" s="2">
        <v>42429</v>
      </c>
      <c r="U2657" s="2">
        <v>42489</v>
      </c>
      <c r="V2657" t="s">
        <v>71</v>
      </c>
      <c r="W2657" t="str">
        <f>"              1921/W"</f>
        <v xml:space="preserve">              1921/W</v>
      </c>
      <c r="X2657">
        <v>462</v>
      </c>
      <c r="Y2657">
        <v>0</v>
      </c>
      <c r="Z2657"/>
      <c r="AB2657"/>
      <c r="AC2657">
        <v>420</v>
      </c>
      <c r="AD2657">
        <v>88</v>
      </c>
      <c r="AE2657" s="1">
        <v>36960</v>
      </c>
      <c r="AF2657">
        <v>0</v>
      </c>
      <c r="AJ2657">
        <v>0</v>
      </c>
      <c r="AK2657">
        <v>0</v>
      </c>
      <c r="AL2657">
        <v>0</v>
      </c>
      <c r="AM2657">
        <v>462</v>
      </c>
      <c r="AN2657">
        <v>462</v>
      </c>
      <c r="AO2657">
        <v>462</v>
      </c>
      <c r="AP2657" s="2">
        <v>42746</v>
      </c>
      <c r="AQ2657" t="s">
        <v>72</v>
      </c>
      <c r="AR2657" t="s">
        <v>72</v>
      </c>
      <c r="AS2657">
        <v>1947</v>
      </c>
      <c r="AT2657" s="4">
        <v>42577</v>
      </c>
      <c r="AU2657" t="s">
        <v>73</v>
      </c>
      <c r="AV2657">
        <v>1947</v>
      </c>
      <c r="AW2657" s="4">
        <v>42577</v>
      </c>
      <c r="BD2657">
        <v>0</v>
      </c>
      <c r="BN2657" t="s">
        <v>74</v>
      </c>
    </row>
    <row r="2658" spans="1:66" hidden="1">
      <c r="A2658">
        <v>100879</v>
      </c>
      <c r="B2658" s="3" t="s">
        <v>255</v>
      </c>
      <c r="C2658" s="1">
        <v>43300101</v>
      </c>
      <c r="D2658" t="s">
        <v>67</v>
      </c>
      <c r="H2658" t="str">
        <f t="shared" si="267"/>
        <v>04720630633</v>
      </c>
      <c r="I2658" t="str">
        <f t="shared" si="268"/>
        <v>01354901215</v>
      </c>
      <c r="K2658" t="str">
        <f>""</f>
        <v/>
      </c>
      <c r="M2658" t="s">
        <v>68</v>
      </c>
      <c r="N2658" t="str">
        <f t="shared" si="266"/>
        <v>FOR</v>
      </c>
      <c r="O2658" t="s">
        <v>69</v>
      </c>
      <c r="P2658" s="3" t="s">
        <v>75</v>
      </c>
      <c r="Q2658">
        <v>2016</v>
      </c>
      <c r="R2658" s="2">
        <v>42426</v>
      </c>
      <c r="S2658" s="2">
        <v>42436</v>
      </c>
      <c r="T2658" s="2">
        <v>42429</v>
      </c>
      <c r="U2658" s="2">
        <v>42489</v>
      </c>
      <c r="V2658" t="s">
        <v>71</v>
      </c>
      <c r="W2658" t="str">
        <f>"              1922/W"</f>
        <v xml:space="preserve">              1922/W</v>
      </c>
      <c r="X2658">
        <v>194.22</v>
      </c>
      <c r="Y2658">
        <v>0</v>
      </c>
      <c r="Z2658"/>
      <c r="AB2658"/>
      <c r="AC2658">
        <v>159.19999999999999</v>
      </c>
      <c r="AD2658">
        <v>88</v>
      </c>
      <c r="AE2658" s="1">
        <v>14009.6</v>
      </c>
      <c r="AF2658">
        <v>0</v>
      </c>
      <c r="AJ2658">
        <v>0</v>
      </c>
      <c r="AK2658">
        <v>0</v>
      </c>
      <c r="AL2658">
        <v>0</v>
      </c>
      <c r="AM2658">
        <v>194.22</v>
      </c>
      <c r="AN2658">
        <v>194.22</v>
      </c>
      <c r="AO2658">
        <v>194.22</v>
      </c>
      <c r="AP2658" s="2">
        <v>42746</v>
      </c>
      <c r="AQ2658" t="s">
        <v>72</v>
      </c>
      <c r="AR2658" t="s">
        <v>72</v>
      </c>
      <c r="AS2658">
        <v>1947</v>
      </c>
      <c r="AT2658" s="4">
        <v>42577</v>
      </c>
      <c r="AU2658" t="s">
        <v>73</v>
      </c>
      <c r="AV2658">
        <v>1947</v>
      </c>
      <c r="AW2658" s="4">
        <v>42577</v>
      </c>
      <c r="BD2658">
        <v>0</v>
      </c>
      <c r="BN2658" t="s">
        <v>74</v>
      </c>
    </row>
    <row r="2659" spans="1:66" hidden="1">
      <c r="A2659">
        <v>100879</v>
      </c>
      <c r="B2659" s="3" t="s">
        <v>255</v>
      </c>
      <c r="C2659" s="1">
        <v>43300101</v>
      </c>
      <c r="D2659" t="s">
        <v>67</v>
      </c>
      <c r="H2659" t="str">
        <f t="shared" si="267"/>
        <v>04720630633</v>
      </c>
      <c r="I2659" t="str">
        <f t="shared" si="268"/>
        <v>01354901215</v>
      </c>
      <c r="K2659" t="str">
        <f>""</f>
        <v/>
      </c>
      <c r="M2659" t="s">
        <v>68</v>
      </c>
      <c r="N2659" t="str">
        <f t="shared" si="266"/>
        <v>FOR</v>
      </c>
      <c r="O2659" t="s">
        <v>69</v>
      </c>
      <c r="P2659" s="3" t="s">
        <v>75</v>
      </c>
      <c r="Q2659">
        <v>2016</v>
      </c>
      <c r="R2659" s="2">
        <v>42426</v>
      </c>
      <c r="S2659" s="2">
        <v>42436</v>
      </c>
      <c r="T2659" s="2">
        <v>42429</v>
      </c>
      <c r="U2659" s="2">
        <v>42489</v>
      </c>
      <c r="V2659" t="s">
        <v>71</v>
      </c>
      <c r="W2659" t="str">
        <f>"              1923/W"</f>
        <v xml:space="preserve">              1923/W</v>
      </c>
      <c r="X2659" s="1">
        <v>4941</v>
      </c>
      <c r="Y2659">
        <v>0</v>
      </c>
      <c r="Z2659"/>
      <c r="AB2659"/>
      <c r="AC2659" s="1">
        <v>4050</v>
      </c>
      <c r="AD2659">
        <v>88</v>
      </c>
      <c r="AE2659" s="1">
        <v>356400</v>
      </c>
      <c r="AF2659">
        <v>0</v>
      </c>
      <c r="AJ2659">
        <v>0</v>
      </c>
      <c r="AK2659">
        <v>0</v>
      </c>
      <c r="AL2659">
        <v>0</v>
      </c>
      <c r="AM2659" s="1">
        <v>4941</v>
      </c>
      <c r="AN2659" s="1">
        <v>4941</v>
      </c>
      <c r="AO2659" s="1">
        <v>4941</v>
      </c>
      <c r="AP2659" s="2">
        <v>42746</v>
      </c>
      <c r="AQ2659" t="s">
        <v>72</v>
      </c>
      <c r="AR2659" t="s">
        <v>72</v>
      </c>
      <c r="AS2659">
        <v>1947</v>
      </c>
      <c r="AT2659" s="4">
        <v>42577</v>
      </c>
      <c r="AU2659" t="s">
        <v>73</v>
      </c>
      <c r="AV2659">
        <v>1947</v>
      </c>
      <c r="AW2659" s="4">
        <v>42577</v>
      </c>
      <c r="BD2659">
        <v>0</v>
      </c>
      <c r="BN2659" t="s">
        <v>74</v>
      </c>
    </row>
    <row r="2660" spans="1:66" hidden="1">
      <c r="A2660">
        <v>100879</v>
      </c>
      <c r="B2660" s="3" t="s">
        <v>255</v>
      </c>
      <c r="C2660" s="1">
        <v>43300101</v>
      </c>
      <c r="D2660" t="s">
        <v>67</v>
      </c>
      <c r="H2660" t="str">
        <f t="shared" si="267"/>
        <v>04720630633</v>
      </c>
      <c r="I2660" t="str">
        <f t="shared" si="268"/>
        <v>01354901215</v>
      </c>
      <c r="K2660" t="str">
        <f>""</f>
        <v/>
      </c>
      <c r="M2660" t="s">
        <v>68</v>
      </c>
      <c r="N2660" t="str">
        <f t="shared" si="266"/>
        <v>FOR</v>
      </c>
      <c r="O2660" t="s">
        <v>69</v>
      </c>
      <c r="P2660" s="3" t="s">
        <v>75</v>
      </c>
      <c r="Q2660">
        <v>2016</v>
      </c>
      <c r="R2660" s="2">
        <v>42429</v>
      </c>
      <c r="S2660" s="2">
        <v>42436</v>
      </c>
      <c r="T2660" s="2">
        <v>42430</v>
      </c>
      <c r="U2660" s="2">
        <v>42490</v>
      </c>
      <c r="V2660" t="s">
        <v>71</v>
      </c>
      <c r="W2660" t="str">
        <f>"              2020/W"</f>
        <v xml:space="preserve">              2020/W</v>
      </c>
      <c r="X2660">
        <v>202.52</v>
      </c>
      <c r="Y2660">
        <v>0</v>
      </c>
      <c r="Z2660"/>
      <c r="AB2660"/>
      <c r="AC2660">
        <v>166</v>
      </c>
      <c r="AD2660">
        <v>87</v>
      </c>
      <c r="AE2660" s="1">
        <v>14442</v>
      </c>
      <c r="AF2660">
        <v>0</v>
      </c>
      <c r="AJ2660">
        <v>0</v>
      </c>
      <c r="AK2660">
        <v>0</v>
      </c>
      <c r="AL2660">
        <v>0</v>
      </c>
      <c r="AM2660">
        <v>202.52</v>
      </c>
      <c r="AN2660">
        <v>202.52</v>
      </c>
      <c r="AO2660">
        <v>202.52</v>
      </c>
      <c r="AP2660" s="2">
        <v>42746</v>
      </c>
      <c r="AQ2660" t="s">
        <v>72</v>
      </c>
      <c r="AR2660" t="s">
        <v>72</v>
      </c>
      <c r="AS2660">
        <v>1947</v>
      </c>
      <c r="AT2660" s="4">
        <v>42577</v>
      </c>
      <c r="AU2660" t="s">
        <v>73</v>
      </c>
      <c r="AV2660">
        <v>1947</v>
      </c>
      <c r="AW2660" s="4">
        <v>42577</v>
      </c>
      <c r="BD2660">
        <v>0</v>
      </c>
      <c r="BN2660" t="s">
        <v>74</v>
      </c>
    </row>
    <row r="2661" spans="1:66" hidden="1">
      <c r="A2661">
        <v>100879</v>
      </c>
      <c r="B2661" s="3" t="s">
        <v>255</v>
      </c>
      <c r="C2661" s="1">
        <v>43300101</v>
      </c>
      <c r="D2661" t="s">
        <v>67</v>
      </c>
      <c r="H2661" t="str">
        <f t="shared" si="267"/>
        <v>04720630633</v>
      </c>
      <c r="I2661" t="str">
        <f t="shared" si="268"/>
        <v>01354901215</v>
      </c>
      <c r="K2661" t="str">
        <f>""</f>
        <v/>
      </c>
      <c r="M2661" t="s">
        <v>68</v>
      </c>
      <c r="N2661" t="str">
        <f t="shared" si="266"/>
        <v>FOR</v>
      </c>
      <c r="O2661" t="s">
        <v>69</v>
      </c>
      <c r="P2661" s="3" t="s">
        <v>75</v>
      </c>
      <c r="Q2661">
        <v>2016</v>
      </c>
      <c r="R2661" s="2">
        <v>42429</v>
      </c>
      <c r="S2661" s="2">
        <v>42436</v>
      </c>
      <c r="T2661" s="2">
        <v>42430</v>
      </c>
      <c r="U2661" s="2">
        <v>42490</v>
      </c>
      <c r="V2661" t="s">
        <v>71</v>
      </c>
      <c r="W2661" t="str">
        <f>"              2021/W"</f>
        <v xml:space="preserve">              2021/W</v>
      </c>
      <c r="X2661" s="1">
        <v>1773.88</v>
      </c>
      <c r="Y2661">
        <v>0</v>
      </c>
      <c r="Z2661"/>
      <c r="AB2661"/>
      <c r="AC2661" s="1">
        <v>1454</v>
      </c>
      <c r="AD2661">
        <v>87</v>
      </c>
      <c r="AE2661" s="1">
        <v>126498</v>
      </c>
      <c r="AF2661">
        <v>0</v>
      </c>
      <c r="AJ2661">
        <v>0</v>
      </c>
      <c r="AK2661">
        <v>0</v>
      </c>
      <c r="AL2661">
        <v>0</v>
      </c>
      <c r="AM2661" s="1">
        <v>1773.88</v>
      </c>
      <c r="AN2661" s="1">
        <v>1773.88</v>
      </c>
      <c r="AO2661" s="1">
        <v>1773.88</v>
      </c>
      <c r="AP2661" s="2">
        <v>42746</v>
      </c>
      <c r="AQ2661" t="s">
        <v>72</v>
      </c>
      <c r="AR2661" t="s">
        <v>72</v>
      </c>
      <c r="AS2661">
        <v>1947</v>
      </c>
      <c r="AT2661" s="4">
        <v>42577</v>
      </c>
      <c r="AU2661" t="s">
        <v>73</v>
      </c>
      <c r="AV2661">
        <v>1947</v>
      </c>
      <c r="AW2661" s="4">
        <v>42577</v>
      </c>
      <c r="BD2661">
        <v>0</v>
      </c>
      <c r="BN2661" t="s">
        <v>74</v>
      </c>
    </row>
    <row r="2662" spans="1:66" hidden="1">
      <c r="A2662">
        <v>100879</v>
      </c>
      <c r="B2662" s="3" t="s">
        <v>255</v>
      </c>
      <c r="C2662" s="1">
        <v>43300101</v>
      </c>
      <c r="D2662" t="s">
        <v>67</v>
      </c>
      <c r="H2662" t="str">
        <f t="shared" si="267"/>
        <v>04720630633</v>
      </c>
      <c r="I2662" t="str">
        <f t="shared" si="268"/>
        <v>01354901215</v>
      </c>
      <c r="K2662" t="str">
        <f>""</f>
        <v/>
      </c>
      <c r="M2662" t="s">
        <v>68</v>
      </c>
      <c r="N2662" t="str">
        <f t="shared" si="266"/>
        <v>FOR</v>
      </c>
      <c r="O2662" t="s">
        <v>69</v>
      </c>
      <c r="P2662" s="3" t="s">
        <v>75</v>
      </c>
      <c r="Q2662">
        <v>2016</v>
      </c>
      <c r="R2662" s="2">
        <v>42429</v>
      </c>
      <c r="S2662" s="2">
        <v>42436</v>
      </c>
      <c r="T2662" s="2">
        <v>42430</v>
      </c>
      <c r="U2662" s="2">
        <v>42490</v>
      </c>
      <c r="V2662" t="s">
        <v>71</v>
      </c>
      <c r="W2662" t="str">
        <f>"              2022/W"</f>
        <v xml:space="preserve">              2022/W</v>
      </c>
      <c r="X2662">
        <v>268.39999999999998</v>
      </c>
      <c r="Y2662">
        <v>0</v>
      </c>
      <c r="Z2662"/>
      <c r="AB2662"/>
      <c r="AC2662">
        <v>220</v>
      </c>
      <c r="AD2662">
        <v>87</v>
      </c>
      <c r="AE2662" s="1">
        <v>19140</v>
      </c>
      <c r="AF2662">
        <v>0</v>
      </c>
      <c r="AJ2662">
        <v>0</v>
      </c>
      <c r="AK2662">
        <v>0</v>
      </c>
      <c r="AL2662">
        <v>0</v>
      </c>
      <c r="AM2662">
        <v>268.39999999999998</v>
      </c>
      <c r="AN2662">
        <v>268.39999999999998</v>
      </c>
      <c r="AO2662">
        <v>268.39999999999998</v>
      </c>
      <c r="AP2662" s="2">
        <v>42746</v>
      </c>
      <c r="AQ2662" t="s">
        <v>72</v>
      </c>
      <c r="AR2662" t="s">
        <v>72</v>
      </c>
      <c r="AS2662">
        <v>1947</v>
      </c>
      <c r="AT2662" s="4">
        <v>42577</v>
      </c>
      <c r="AU2662" t="s">
        <v>73</v>
      </c>
      <c r="AV2662">
        <v>1947</v>
      </c>
      <c r="AW2662" s="4">
        <v>42577</v>
      </c>
      <c r="BD2662">
        <v>0</v>
      </c>
      <c r="BN2662" t="s">
        <v>74</v>
      </c>
    </row>
    <row r="2663" spans="1:66" hidden="1">
      <c r="A2663">
        <v>100879</v>
      </c>
      <c r="B2663" s="3" t="s">
        <v>255</v>
      </c>
      <c r="C2663" s="1">
        <v>43300101</v>
      </c>
      <c r="D2663" t="s">
        <v>67</v>
      </c>
      <c r="H2663" t="str">
        <f t="shared" si="267"/>
        <v>04720630633</v>
      </c>
      <c r="I2663" t="str">
        <f t="shared" si="268"/>
        <v>01354901215</v>
      </c>
      <c r="K2663" t="str">
        <f>""</f>
        <v/>
      </c>
      <c r="M2663" t="s">
        <v>68</v>
      </c>
      <c r="N2663" t="str">
        <f t="shared" si="266"/>
        <v>FOR</v>
      </c>
      <c r="O2663" t="s">
        <v>69</v>
      </c>
      <c r="P2663" s="3" t="s">
        <v>75</v>
      </c>
      <c r="Q2663">
        <v>2016</v>
      </c>
      <c r="R2663" s="2">
        <v>42453</v>
      </c>
      <c r="S2663" s="2">
        <v>42454</v>
      </c>
      <c r="T2663" s="2">
        <v>42454</v>
      </c>
      <c r="U2663" s="2">
        <v>42514</v>
      </c>
      <c r="V2663" t="s">
        <v>71</v>
      </c>
      <c r="W2663" t="str">
        <f>"              2980/W"</f>
        <v xml:space="preserve">              2980/W</v>
      </c>
      <c r="X2663">
        <v>735.66</v>
      </c>
      <c r="Y2663">
        <v>0</v>
      </c>
      <c r="Z2663"/>
      <c r="AB2663"/>
      <c r="AC2663">
        <v>603</v>
      </c>
      <c r="AD2663">
        <v>106</v>
      </c>
      <c r="AE2663" s="1">
        <v>63918</v>
      </c>
      <c r="AF2663">
        <v>0</v>
      </c>
      <c r="AJ2663">
        <v>0</v>
      </c>
      <c r="AK2663">
        <v>0</v>
      </c>
      <c r="AL2663">
        <v>0</v>
      </c>
      <c r="AM2663">
        <v>735.66</v>
      </c>
      <c r="AN2663">
        <v>735.66</v>
      </c>
      <c r="AO2663">
        <v>735.66</v>
      </c>
      <c r="AP2663" s="2">
        <v>42746</v>
      </c>
      <c r="AQ2663" t="s">
        <v>72</v>
      </c>
      <c r="AR2663" t="s">
        <v>72</v>
      </c>
      <c r="AS2663">
        <v>2309</v>
      </c>
      <c r="AT2663" s="4">
        <v>42620</v>
      </c>
      <c r="AU2663" t="s">
        <v>73</v>
      </c>
      <c r="AV2663">
        <v>2309</v>
      </c>
      <c r="AW2663" s="4">
        <v>42620</v>
      </c>
      <c r="BD2663">
        <v>0</v>
      </c>
      <c r="BN2663" t="s">
        <v>74</v>
      </c>
    </row>
    <row r="2664" spans="1:66" hidden="1">
      <c r="A2664">
        <v>100879</v>
      </c>
      <c r="B2664" s="3" t="s">
        <v>255</v>
      </c>
      <c r="C2664" s="1">
        <v>43300101</v>
      </c>
      <c r="D2664" t="s">
        <v>67</v>
      </c>
      <c r="H2664" t="str">
        <f t="shared" si="267"/>
        <v>04720630633</v>
      </c>
      <c r="I2664" t="str">
        <f t="shared" si="268"/>
        <v>01354901215</v>
      </c>
      <c r="K2664" t="str">
        <f>""</f>
        <v/>
      </c>
      <c r="M2664" t="s">
        <v>68</v>
      </c>
      <c r="N2664" t="str">
        <f t="shared" si="266"/>
        <v>FOR</v>
      </c>
      <c r="O2664" t="s">
        <v>69</v>
      </c>
      <c r="P2664" s="3" t="s">
        <v>75</v>
      </c>
      <c r="Q2664">
        <v>2016</v>
      </c>
      <c r="R2664" s="2">
        <v>42460</v>
      </c>
      <c r="S2664" s="2">
        <v>42464</v>
      </c>
      <c r="T2664" s="2">
        <v>42461</v>
      </c>
      <c r="U2664" s="2">
        <v>42521</v>
      </c>
      <c r="V2664" t="s">
        <v>71</v>
      </c>
      <c r="W2664" t="str">
        <f>"              3207/W"</f>
        <v xml:space="preserve">              3207/W</v>
      </c>
      <c r="X2664">
        <v>183</v>
      </c>
      <c r="Y2664">
        <v>0</v>
      </c>
      <c r="Z2664"/>
      <c r="AB2664"/>
      <c r="AC2664">
        <v>150</v>
      </c>
      <c r="AD2664">
        <v>99</v>
      </c>
      <c r="AE2664" s="1">
        <v>14850</v>
      </c>
      <c r="AF2664">
        <v>0</v>
      </c>
      <c r="AJ2664">
        <v>0</v>
      </c>
      <c r="AK2664">
        <v>0</v>
      </c>
      <c r="AL2664">
        <v>0</v>
      </c>
      <c r="AM2664">
        <v>183</v>
      </c>
      <c r="AN2664">
        <v>183</v>
      </c>
      <c r="AO2664">
        <v>183</v>
      </c>
      <c r="AP2664" s="2">
        <v>42746</v>
      </c>
      <c r="AQ2664" t="s">
        <v>72</v>
      </c>
      <c r="AR2664" t="s">
        <v>72</v>
      </c>
      <c r="AS2664">
        <v>2309</v>
      </c>
      <c r="AT2664" s="4">
        <v>42620</v>
      </c>
      <c r="AU2664" t="s">
        <v>73</v>
      </c>
      <c r="AV2664">
        <v>2309</v>
      </c>
      <c r="AW2664" s="4">
        <v>42620</v>
      </c>
      <c r="BD2664">
        <v>0</v>
      </c>
      <c r="BN2664" t="s">
        <v>74</v>
      </c>
    </row>
    <row r="2665" spans="1:66" hidden="1">
      <c r="A2665">
        <v>100879</v>
      </c>
      <c r="B2665" s="3" t="s">
        <v>255</v>
      </c>
      <c r="C2665" s="1">
        <v>43300101</v>
      </c>
      <c r="D2665" t="s">
        <v>67</v>
      </c>
      <c r="H2665" t="str">
        <f t="shared" si="267"/>
        <v>04720630633</v>
      </c>
      <c r="I2665" t="str">
        <f t="shared" si="268"/>
        <v>01354901215</v>
      </c>
      <c r="K2665" t="str">
        <f>""</f>
        <v/>
      </c>
      <c r="M2665" t="s">
        <v>68</v>
      </c>
      <c r="N2665" t="str">
        <f t="shared" si="266"/>
        <v>FOR</v>
      </c>
      <c r="O2665" t="s">
        <v>69</v>
      </c>
      <c r="P2665" s="3" t="s">
        <v>75</v>
      </c>
      <c r="Q2665">
        <v>2016</v>
      </c>
      <c r="R2665" s="2">
        <v>42460</v>
      </c>
      <c r="S2665" s="2">
        <v>42464</v>
      </c>
      <c r="T2665" s="2">
        <v>42461</v>
      </c>
      <c r="U2665" s="2">
        <v>42521</v>
      </c>
      <c r="V2665" t="s">
        <v>71</v>
      </c>
      <c r="W2665" t="str">
        <f>"              3208/W"</f>
        <v xml:space="preserve">              3208/W</v>
      </c>
      <c r="X2665" s="1">
        <v>2183.8000000000002</v>
      </c>
      <c r="Y2665">
        <v>0</v>
      </c>
      <c r="Z2665"/>
      <c r="AB2665"/>
      <c r="AC2665" s="1">
        <v>1790</v>
      </c>
      <c r="AD2665">
        <v>99</v>
      </c>
      <c r="AE2665" s="1">
        <v>177210</v>
      </c>
      <c r="AF2665">
        <v>0</v>
      </c>
      <c r="AJ2665">
        <v>0</v>
      </c>
      <c r="AK2665">
        <v>0</v>
      </c>
      <c r="AL2665">
        <v>0</v>
      </c>
      <c r="AM2665" s="1">
        <v>2183.8000000000002</v>
      </c>
      <c r="AN2665" s="1">
        <v>2183.8000000000002</v>
      </c>
      <c r="AO2665" s="1">
        <v>2183.8000000000002</v>
      </c>
      <c r="AP2665" s="2">
        <v>42746</v>
      </c>
      <c r="AQ2665" t="s">
        <v>72</v>
      </c>
      <c r="AR2665" t="s">
        <v>72</v>
      </c>
      <c r="AS2665">
        <v>2309</v>
      </c>
      <c r="AT2665" s="4">
        <v>42620</v>
      </c>
      <c r="AU2665" t="s">
        <v>73</v>
      </c>
      <c r="AV2665">
        <v>2309</v>
      </c>
      <c r="AW2665" s="4">
        <v>42620</v>
      </c>
      <c r="BD2665">
        <v>0</v>
      </c>
      <c r="BN2665" t="s">
        <v>74</v>
      </c>
    </row>
    <row r="2666" spans="1:66">
      <c r="A2666">
        <v>100879</v>
      </c>
      <c r="B2666" s="3" t="s">
        <v>255</v>
      </c>
      <c r="C2666" s="1">
        <v>43300101</v>
      </c>
      <c r="D2666" t="s">
        <v>67</v>
      </c>
      <c r="H2666" t="str">
        <f t="shared" si="267"/>
        <v>04720630633</v>
      </c>
      <c r="I2666" t="str">
        <f t="shared" si="268"/>
        <v>01354901215</v>
      </c>
      <c r="K2666" t="str">
        <f>""</f>
        <v/>
      </c>
      <c r="M2666" t="s">
        <v>68</v>
      </c>
      <c r="N2666" t="str">
        <f t="shared" si="266"/>
        <v>FOR</v>
      </c>
      <c r="O2666" t="s">
        <v>69</v>
      </c>
      <c r="P2666" s="3" t="s">
        <v>75</v>
      </c>
      <c r="Q2666">
        <v>2016</v>
      </c>
      <c r="R2666" s="2">
        <v>42475</v>
      </c>
      <c r="S2666" s="2">
        <v>42481</v>
      </c>
      <c r="T2666" s="2">
        <v>42478</v>
      </c>
      <c r="U2666" s="2">
        <v>42538</v>
      </c>
      <c r="V2666" t="s">
        <v>71</v>
      </c>
      <c r="W2666" t="str">
        <f>"              3826/W"</f>
        <v xml:space="preserve">              3826/W</v>
      </c>
      <c r="X2666">
        <v>590.48</v>
      </c>
      <c r="Y2666">
        <v>0</v>
      </c>
      <c r="Z2666" s="3">
        <v>484</v>
      </c>
      <c r="AA2666">
        <v>108</v>
      </c>
      <c r="AB2666" s="5">
        <v>52272</v>
      </c>
      <c r="AC2666">
        <v>484</v>
      </c>
      <c r="AD2666">
        <v>108</v>
      </c>
      <c r="AE2666" s="1">
        <v>52272</v>
      </c>
      <c r="AF2666">
        <v>0</v>
      </c>
      <c r="AJ2666">
        <v>0</v>
      </c>
      <c r="AK2666">
        <v>0</v>
      </c>
      <c r="AL2666">
        <v>0</v>
      </c>
      <c r="AM2666">
        <v>590.48</v>
      </c>
      <c r="AN2666">
        <v>590.48</v>
      </c>
      <c r="AO2666">
        <v>590.48</v>
      </c>
      <c r="AP2666" s="2">
        <v>42746</v>
      </c>
      <c r="AQ2666" t="s">
        <v>72</v>
      </c>
      <c r="AR2666" t="s">
        <v>72</v>
      </c>
      <c r="AS2666">
        <v>2568</v>
      </c>
      <c r="AT2666" s="4">
        <v>42646</v>
      </c>
      <c r="AU2666" t="s">
        <v>73</v>
      </c>
      <c r="AV2666">
        <v>2568</v>
      </c>
      <c r="AW2666" s="4">
        <v>42646</v>
      </c>
      <c r="BD2666">
        <v>0</v>
      </c>
      <c r="BN2666" t="s">
        <v>74</v>
      </c>
    </row>
    <row r="2667" spans="1:66">
      <c r="A2667">
        <v>100879</v>
      </c>
      <c r="B2667" s="3" t="s">
        <v>255</v>
      </c>
      <c r="C2667" s="1">
        <v>43300101</v>
      </c>
      <c r="D2667" t="s">
        <v>67</v>
      </c>
      <c r="H2667" t="str">
        <f t="shared" si="267"/>
        <v>04720630633</v>
      </c>
      <c r="I2667" t="str">
        <f t="shared" si="268"/>
        <v>01354901215</v>
      </c>
      <c r="K2667" t="str">
        <f>""</f>
        <v/>
      </c>
      <c r="M2667" t="s">
        <v>68</v>
      </c>
      <c r="N2667" t="str">
        <f t="shared" si="266"/>
        <v>FOR</v>
      </c>
      <c r="O2667" t="s">
        <v>69</v>
      </c>
      <c r="P2667" s="3" t="s">
        <v>75</v>
      </c>
      <c r="Q2667">
        <v>2016</v>
      </c>
      <c r="R2667" s="2">
        <v>42475</v>
      </c>
      <c r="S2667" s="2">
        <v>42481</v>
      </c>
      <c r="T2667" s="2">
        <v>42478</v>
      </c>
      <c r="U2667" s="2">
        <v>42538</v>
      </c>
      <c r="V2667" t="s">
        <v>71</v>
      </c>
      <c r="W2667" t="str">
        <f>"              3827/W"</f>
        <v xml:space="preserve">              3827/W</v>
      </c>
      <c r="X2667">
        <v>268.39999999999998</v>
      </c>
      <c r="Y2667">
        <v>0</v>
      </c>
      <c r="Z2667" s="3">
        <v>220</v>
      </c>
      <c r="AA2667">
        <v>108</v>
      </c>
      <c r="AB2667" s="5">
        <v>23760</v>
      </c>
      <c r="AC2667">
        <v>220</v>
      </c>
      <c r="AD2667">
        <v>108</v>
      </c>
      <c r="AE2667" s="1">
        <v>23760</v>
      </c>
      <c r="AF2667">
        <v>0</v>
      </c>
      <c r="AJ2667">
        <v>0</v>
      </c>
      <c r="AK2667">
        <v>0</v>
      </c>
      <c r="AL2667">
        <v>0</v>
      </c>
      <c r="AM2667">
        <v>268.39999999999998</v>
      </c>
      <c r="AN2667">
        <v>268.39999999999998</v>
      </c>
      <c r="AO2667">
        <v>268.39999999999998</v>
      </c>
      <c r="AP2667" s="2">
        <v>42746</v>
      </c>
      <c r="AQ2667" t="s">
        <v>72</v>
      </c>
      <c r="AR2667" t="s">
        <v>72</v>
      </c>
      <c r="AS2667">
        <v>2568</v>
      </c>
      <c r="AT2667" s="4">
        <v>42646</v>
      </c>
      <c r="AU2667" t="s">
        <v>73</v>
      </c>
      <c r="AV2667">
        <v>2568</v>
      </c>
      <c r="AW2667" s="4">
        <v>42646</v>
      </c>
      <c r="BD2667">
        <v>0</v>
      </c>
      <c r="BN2667" t="s">
        <v>74</v>
      </c>
    </row>
    <row r="2668" spans="1:66">
      <c r="A2668">
        <v>100879</v>
      </c>
      <c r="B2668" s="3" t="s">
        <v>255</v>
      </c>
      <c r="C2668" s="1">
        <v>43300101</v>
      </c>
      <c r="D2668" t="s">
        <v>67</v>
      </c>
      <c r="H2668" t="str">
        <f t="shared" si="267"/>
        <v>04720630633</v>
      </c>
      <c r="I2668" t="str">
        <f t="shared" si="268"/>
        <v>01354901215</v>
      </c>
      <c r="K2668" t="str">
        <f>""</f>
        <v/>
      </c>
      <c r="M2668" t="s">
        <v>68</v>
      </c>
      <c r="N2668" t="str">
        <f t="shared" si="266"/>
        <v>FOR</v>
      </c>
      <c r="O2668" t="s">
        <v>69</v>
      </c>
      <c r="P2668" s="3" t="s">
        <v>75</v>
      </c>
      <c r="Q2668">
        <v>2016</v>
      </c>
      <c r="R2668" s="2">
        <v>42482</v>
      </c>
      <c r="S2668" s="2">
        <v>42487</v>
      </c>
      <c r="T2668" s="2">
        <v>42486</v>
      </c>
      <c r="U2668" s="2">
        <v>42546</v>
      </c>
      <c r="V2668" t="s">
        <v>71</v>
      </c>
      <c r="W2668" t="str">
        <f>"              4112/W"</f>
        <v xml:space="preserve">              4112/W</v>
      </c>
      <c r="X2668">
        <v>462</v>
      </c>
      <c r="Y2668">
        <v>0</v>
      </c>
      <c r="Z2668" s="3">
        <v>420</v>
      </c>
      <c r="AA2668">
        <v>100</v>
      </c>
      <c r="AB2668" s="5">
        <v>42000</v>
      </c>
      <c r="AC2668">
        <v>420</v>
      </c>
      <c r="AD2668">
        <v>100</v>
      </c>
      <c r="AE2668" s="1">
        <v>42000</v>
      </c>
      <c r="AF2668">
        <v>0</v>
      </c>
      <c r="AJ2668">
        <v>0</v>
      </c>
      <c r="AK2668">
        <v>0</v>
      </c>
      <c r="AL2668">
        <v>0</v>
      </c>
      <c r="AM2668">
        <v>462</v>
      </c>
      <c r="AN2668">
        <v>462</v>
      </c>
      <c r="AO2668">
        <v>462</v>
      </c>
      <c r="AP2668" s="2">
        <v>42746</v>
      </c>
      <c r="AQ2668" t="s">
        <v>72</v>
      </c>
      <c r="AR2668" t="s">
        <v>72</v>
      </c>
      <c r="AS2668">
        <v>2568</v>
      </c>
      <c r="AT2668" s="4">
        <v>42646</v>
      </c>
      <c r="AU2668" t="s">
        <v>73</v>
      </c>
      <c r="AV2668">
        <v>2568</v>
      </c>
      <c r="AW2668" s="4">
        <v>42646</v>
      </c>
      <c r="BD2668">
        <v>0</v>
      </c>
      <c r="BN2668" t="s">
        <v>74</v>
      </c>
    </row>
    <row r="2669" spans="1:66">
      <c r="A2669">
        <v>100879</v>
      </c>
      <c r="B2669" s="3" t="s">
        <v>255</v>
      </c>
      <c r="C2669" s="1">
        <v>43300101</v>
      </c>
      <c r="D2669" t="s">
        <v>67</v>
      </c>
      <c r="H2669" t="str">
        <f t="shared" si="267"/>
        <v>04720630633</v>
      </c>
      <c r="I2669" t="str">
        <f t="shared" si="268"/>
        <v>01354901215</v>
      </c>
      <c r="K2669" t="str">
        <f>""</f>
        <v/>
      </c>
      <c r="M2669" t="s">
        <v>68</v>
      </c>
      <c r="N2669" t="str">
        <f t="shared" si="266"/>
        <v>FOR</v>
      </c>
      <c r="O2669" t="s">
        <v>69</v>
      </c>
      <c r="P2669" s="3" t="s">
        <v>75</v>
      </c>
      <c r="Q2669">
        <v>2016</v>
      </c>
      <c r="R2669" s="2">
        <v>42489</v>
      </c>
      <c r="S2669" s="2">
        <v>42493</v>
      </c>
      <c r="T2669" s="2">
        <v>42492</v>
      </c>
      <c r="U2669" s="2">
        <v>42552</v>
      </c>
      <c r="V2669" t="s">
        <v>71</v>
      </c>
      <c r="W2669" t="str">
        <f>"              4368/W"</f>
        <v xml:space="preserve">              4368/W</v>
      </c>
      <c r="X2669">
        <v>829.6</v>
      </c>
      <c r="Y2669">
        <v>0</v>
      </c>
      <c r="Z2669" s="3">
        <v>680</v>
      </c>
      <c r="AA2669">
        <v>94</v>
      </c>
      <c r="AB2669" s="5">
        <v>63920</v>
      </c>
      <c r="AC2669">
        <v>680</v>
      </c>
      <c r="AD2669">
        <v>94</v>
      </c>
      <c r="AE2669" s="1">
        <v>63920</v>
      </c>
      <c r="AF2669">
        <v>0</v>
      </c>
      <c r="AJ2669">
        <v>0</v>
      </c>
      <c r="AK2669">
        <v>0</v>
      </c>
      <c r="AL2669">
        <v>0</v>
      </c>
      <c r="AM2669">
        <v>829.6</v>
      </c>
      <c r="AN2669">
        <v>829.6</v>
      </c>
      <c r="AO2669">
        <v>829.6</v>
      </c>
      <c r="AP2669" s="2">
        <v>42746</v>
      </c>
      <c r="AQ2669" t="s">
        <v>72</v>
      </c>
      <c r="AR2669" t="s">
        <v>72</v>
      </c>
      <c r="AS2669">
        <v>2568</v>
      </c>
      <c r="AT2669" s="4">
        <v>42646</v>
      </c>
      <c r="AU2669" t="s">
        <v>73</v>
      </c>
      <c r="AV2669">
        <v>2568</v>
      </c>
      <c r="AW2669" s="4">
        <v>42646</v>
      </c>
      <c r="BD2669">
        <v>0</v>
      </c>
      <c r="BN2669" t="s">
        <v>74</v>
      </c>
    </row>
    <row r="2670" spans="1:66">
      <c r="A2670">
        <v>100879</v>
      </c>
      <c r="B2670" s="3" t="s">
        <v>255</v>
      </c>
      <c r="C2670" s="1">
        <v>43300101</v>
      </c>
      <c r="D2670" t="s">
        <v>67</v>
      </c>
      <c r="H2670" t="str">
        <f t="shared" si="267"/>
        <v>04720630633</v>
      </c>
      <c r="I2670" t="str">
        <f t="shared" si="268"/>
        <v>01354901215</v>
      </c>
      <c r="K2670" t="str">
        <f>""</f>
        <v/>
      </c>
      <c r="M2670" t="s">
        <v>68</v>
      </c>
      <c r="N2670" t="str">
        <f t="shared" si="266"/>
        <v>FOR</v>
      </c>
      <c r="O2670" t="s">
        <v>69</v>
      </c>
      <c r="P2670" s="3" t="s">
        <v>75</v>
      </c>
      <c r="Q2670">
        <v>2016</v>
      </c>
      <c r="R2670" s="2">
        <v>42489</v>
      </c>
      <c r="S2670" s="2">
        <v>42493</v>
      </c>
      <c r="T2670" s="2">
        <v>42492</v>
      </c>
      <c r="U2670" s="2">
        <v>42552</v>
      </c>
      <c r="V2670" t="s">
        <v>71</v>
      </c>
      <c r="W2670" t="str">
        <f>"              4369/W"</f>
        <v xml:space="preserve">              4369/W</v>
      </c>
      <c r="X2670">
        <v>985.76</v>
      </c>
      <c r="Y2670">
        <v>0</v>
      </c>
      <c r="Z2670" s="3">
        <v>808</v>
      </c>
      <c r="AA2670">
        <v>94</v>
      </c>
      <c r="AB2670" s="5">
        <v>75952</v>
      </c>
      <c r="AC2670">
        <v>808</v>
      </c>
      <c r="AD2670">
        <v>94</v>
      </c>
      <c r="AE2670" s="1">
        <v>75952</v>
      </c>
      <c r="AF2670">
        <v>0</v>
      </c>
      <c r="AJ2670">
        <v>0</v>
      </c>
      <c r="AK2670">
        <v>0</v>
      </c>
      <c r="AL2670">
        <v>0</v>
      </c>
      <c r="AM2670">
        <v>985.76</v>
      </c>
      <c r="AN2670">
        <v>985.76</v>
      </c>
      <c r="AO2670">
        <v>985.76</v>
      </c>
      <c r="AP2670" s="2">
        <v>42746</v>
      </c>
      <c r="AQ2670" t="s">
        <v>72</v>
      </c>
      <c r="AR2670" t="s">
        <v>72</v>
      </c>
      <c r="AS2670">
        <v>2568</v>
      </c>
      <c r="AT2670" s="4">
        <v>42646</v>
      </c>
      <c r="AU2670" t="s">
        <v>73</v>
      </c>
      <c r="AV2670">
        <v>2568</v>
      </c>
      <c r="AW2670" s="4">
        <v>42646</v>
      </c>
      <c r="BD2670">
        <v>0</v>
      </c>
      <c r="BN2670" t="s">
        <v>74</v>
      </c>
    </row>
    <row r="2671" spans="1:66">
      <c r="A2671">
        <v>100879</v>
      </c>
      <c r="B2671" s="3" t="s">
        <v>255</v>
      </c>
      <c r="C2671" s="1">
        <v>43300101</v>
      </c>
      <c r="D2671" t="s">
        <v>67</v>
      </c>
      <c r="H2671" t="str">
        <f t="shared" si="267"/>
        <v>04720630633</v>
      </c>
      <c r="I2671" t="str">
        <f t="shared" si="268"/>
        <v>01354901215</v>
      </c>
      <c r="K2671" t="str">
        <f>""</f>
        <v/>
      </c>
      <c r="M2671" t="s">
        <v>68</v>
      </c>
      <c r="N2671" t="str">
        <f t="shared" si="266"/>
        <v>FOR</v>
      </c>
      <c r="O2671" t="s">
        <v>69</v>
      </c>
      <c r="P2671" s="3" t="s">
        <v>75</v>
      </c>
      <c r="Q2671">
        <v>2016</v>
      </c>
      <c r="R2671" s="2">
        <v>42496</v>
      </c>
      <c r="S2671" s="2">
        <v>42501</v>
      </c>
      <c r="T2671" s="2">
        <v>42499</v>
      </c>
      <c r="U2671" s="2">
        <v>42559</v>
      </c>
      <c r="V2671" t="s">
        <v>71</v>
      </c>
      <c r="W2671" t="str">
        <f>"              4645/W"</f>
        <v xml:space="preserve">              4645/W</v>
      </c>
      <c r="X2671" s="1">
        <v>1449.36</v>
      </c>
      <c r="Y2671">
        <v>0</v>
      </c>
      <c r="Z2671" s="5">
        <v>1188</v>
      </c>
      <c r="AA2671">
        <v>87</v>
      </c>
      <c r="AB2671" s="5">
        <v>103356</v>
      </c>
      <c r="AC2671" s="1">
        <v>1188</v>
      </c>
      <c r="AD2671">
        <v>87</v>
      </c>
      <c r="AE2671" s="1">
        <v>103356</v>
      </c>
      <c r="AF2671">
        <v>0</v>
      </c>
      <c r="AJ2671">
        <v>0</v>
      </c>
      <c r="AK2671">
        <v>0</v>
      </c>
      <c r="AL2671">
        <v>0</v>
      </c>
      <c r="AM2671" s="1">
        <v>1449.36</v>
      </c>
      <c r="AN2671" s="1">
        <v>1449.36</v>
      </c>
      <c r="AO2671" s="1">
        <v>1449.36</v>
      </c>
      <c r="AP2671" s="2">
        <v>42746</v>
      </c>
      <c r="AQ2671" t="s">
        <v>72</v>
      </c>
      <c r="AR2671" t="s">
        <v>72</v>
      </c>
      <c r="AS2671">
        <v>2568</v>
      </c>
      <c r="AT2671" s="4">
        <v>42646</v>
      </c>
      <c r="AU2671" t="s">
        <v>73</v>
      </c>
      <c r="AV2671">
        <v>2568</v>
      </c>
      <c r="AW2671" s="4">
        <v>42646</v>
      </c>
      <c r="BD2671">
        <v>0</v>
      </c>
      <c r="BN2671" t="s">
        <v>74</v>
      </c>
    </row>
    <row r="2672" spans="1:66">
      <c r="A2672">
        <v>100879</v>
      </c>
      <c r="B2672" s="3" t="s">
        <v>255</v>
      </c>
      <c r="C2672" s="1">
        <v>43300101</v>
      </c>
      <c r="D2672" t="s">
        <v>67</v>
      </c>
      <c r="H2672" t="str">
        <f t="shared" si="267"/>
        <v>04720630633</v>
      </c>
      <c r="I2672" t="str">
        <f t="shared" si="268"/>
        <v>01354901215</v>
      </c>
      <c r="K2672" t="str">
        <f>""</f>
        <v/>
      </c>
      <c r="M2672" t="s">
        <v>68</v>
      </c>
      <c r="N2672" t="str">
        <f t="shared" si="266"/>
        <v>FOR</v>
      </c>
      <c r="O2672" t="s">
        <v>69</v>
      </c>
      <c r="P2672" s="3" t="s">
        <v>75</v>
      </c>
      <c r="Q2672">
        <v>2016</v>
      </c>
      <c r="R2672" s="2">
        <v>42496</v>
      </c>
      <c r="S2672" s="2">
        <v>42501</v>
      </c>
      <c r="T2672" s="2">
        <v>42499</v>
      </c>
      <c r="U2672" s="2">
        <v>42559</v>
      </c>
      <c r="V2672" t="s">
        <v>71</v>
      </c>
      <c r="W2672" t="str">
        <f>"              4646/W"</f>
        <v xml:space="preserve">              4646/W</v>
      </c>
      <c r="X2672">
        <v>231</v>
      </c>
      <c r="Y2672">
        <v>0</v>
      </c>
      <c r="Z2672" s="3">
        <v>210</v>
      </c>
      <c r="AA2672">
        <v>87</v>
      </c>
      <c r="AB2672" s="5">
        <v>18270</v>
      </c>
      <c r="AC2672">
        <v>210</v>
      </c>
      <c r="AD2672">
        <v>87</v>
      </c>
      <c r="AE2672" s="1">
        <v>18270</v>
      </c>
      <c r="AF2672">
        <v>0</v>
      </c>
      <c r="AJ2672">
        <v>0</v>
      </c>
      <c r="AK2672">
        <v>0</v>
      </c>
      <c r="AL2672">
        <v>0</v>
      </c>
      <c r="AM2672">
        <v>231</v>
      </c>
      <c r="AN2672">
        <v>231</v>
      </c>
      <c r="AO2672">
        <v>231</v>
      </c>
      <c r="AP2672" s="2">
        <v>42746</v>
      </c>
      <c r="AQ2672" t="s">
        <v>72</v>
      </c>
      <c r="AR2672" t="s">
        <v>72</v>
      </c>
      <c r="AS2672">
        <v>2568</v>
      </c>
      <c r="AT2672" s="4">
        <v>42646</v>
      </c>
      <c r="AU2672" t="s">
        <v>73</v>
      </c>
      <c r="AV2672">
        <v>2568</v>
      </c>
      <c r="AW2672" s="4">
        <v>42646</v>
      </c>
      <c r="BD2672">
        <v>0</v>
      </c>
      <c r="BN2672" t="s">
        <v>74</v>
      </c>
    </row>
    <row r="2673" spans="1:66">
      <c r="A2673">
        <v>100879</v>
      </c>
      <c r="B2673" s="3" t="s">
        <v>255</v>
      </c>
      <c r="C2673" s="1">
        <v>43300101</v>
      </c>
      <c r="D2673" t="s">
        <v>67</v>
      </c>
      <c r="H2673" t="str">
        <f t="shared" si="267"/>
        <v>04720630633</v>
      </c>
      <c r="I2673" t="str">
        <f t="shared" si="268"/>
        <v>01354901215</v>
      </c>
      <c r="K2673" t="str">
        <f>""</f>
        <v/>
      </c>
      <c r="M2673" t="s">
        <v>68</v>
      </c>
      <c r="N2673" t="str">
        <f t="shared" si="266"/>
        <v>FOR</v>
      </c>
      <c r="O2673" t="s">
        <v>69</v>
      </c>
      <c r="P2673" s="3" t="s">
        <v>75</v>
      </c>
      <c r="Q2673">
        <v>2016</v>
      </c>
      <c r="R2673" s="2">
        <v>42503</v>
      </c>
      <c r="S2673" s="2">
        <v>42507</v>
      </c>
      <c r="T2673" s="2">
        <v>42507</v>
      </c>
      <c r="U2673" s="2">
        <v>42567</v>
      </c>
      <c r="V2673" t="s">
        <v>71</v>
      </c>
      <c r="W2673" t="str">
        <f>"              4922/W"</f>
        <v xml:space="preserve">              4922/W</v>
      </c>
      <c r="X2673" s="1">
        <v>1174.25</v>
      </c>
      <c r="Y2673">
        <v>0</v>
      </c>
      <c r="Z2673" s="3">
        <v>962.5</v>
      </c>
      <c r="AA2673">
        <v>79</v>
      </c>
      <c r="AB2673" s="5">
        <v>76037.5</v>
      </c>
      <c r="AC2673">
        <v>962.5</v>
      </c>
      <c r="AD2673">
        <v>79</v>
      </c>
      <c r="AE2673" s="1">
        <v>76037.5</v>
      </c>
      <c r="AF2673">
        <v>0</v>
      </c>
      <c r="AJ2673">
        <v>0</v>
      </c>
      <c r="AK2673">
        <v>0</v>
      </c>
      <c r="AL2673">
        <v>0</v>
      </c>
      <c r="AM2673" s="1">
        <v>1174.25</v>
      </c>
      <c r="AN2673" s="1">
        <v>1174.25</v>
      </c>
      <c r="AO2673" s="1">
        <v>1174.25</v>
      </c>
      <c r="AP2673" s="2">
        <v>42746</v>
      </c>
      <c r="AQ2673" t="s">
        <v>72</v>
      </c>
      <c r="AR2673" t="s">
        <v>72</v>
      </c>
      <c r="AS2673">
        <v>2568</v>
      </c>
      <c r="AT2673" s="4">
        <v>42646</v>
      </c>
      <c r="AU2673" t="s">
        <v>73</v>
      </c>
      <c r="AV2673">
        <v>2568</v>
      </c>
      <c r="AW2673" s="4">
        <v>42646</v>
      </c>
      <c r="BD2673">
        <v>0</v>
      </c>
      <c r="BN2673" t="s">
        <v>74</v>
      </c>
    </row>
    <row r="2674" spans="1:66">
      <c r="A2674">
        <v>100879</v>
      </c>
      <c r="B2674" s="3" t="s">
        <v>255</v>
      </c>
      <c r="C2674" s="1">
        <v>43300101</v>
      </c>
      <c r="D2674" t="s">
        <v>67</v>
      </c>
      <c r="H2674" t="str">
        <f t="shared" si="267"/>
        <v>04720630633</v>
      </c>
      <c r="I2674" t="str">
        <f t="shared" si="268"/>
        <v>01354901215</v>
      </c>
      <c r="K2674" t="str">
        <f>""</f>
        <v/>
      </c>
      <c r="M2674" t="s">
        <v>68</v>
      </c>
      <c r="N2674" t="str">
        <f t="shared" si="266"/>
        <v>FOR</v>
      </c>
      <c r="O2674" t="s">
        <v>69</v>
      </c>
      <c r="P2674" s="3" t="s">
        <v>75</v>
      </c>
      <c r="Q2674">
        <v>2016</v>
      </c>
      <c r="R2674" s="2">
        <v>42510</v>
      </c>
      <c r="S2674" s="2">
        <v>42515</v>
      </c>
      <c r="T2674" s="2">
        <v>42513</v>
      </c>
      <c r="U2674" s="2">
        <v>42573</v>
      </c>
      <c r="V2674" t="s">
        <v>71</v>
      </c>
      <c r="W2674" t="str">
        <f>"              5189/W"</f>
        <v xml:space="preserve">              5189/W</v>
      </c>
      <c r="X2674">
        <v>126.03</v>
      </c>
      <c r="Y2674">
        <v>0</v>
      </c>
      <c r="Z2674" s="3">
        <v>103.3</v>
      </c>
      <c r="AA2674">
        <v>73</v>
      </c>
      <c r="AB2674" s="5">
        <v>7540.9</v>
      </c>
      <c r="AC2674">
        <v>103.3</v>
      </c>
      <c r="AD2674">
        <v>73</v>
      </c>
      <c r="AE2674" s="1">
        <v>7540.9</v>
      </c>
      <c r="AF2674">
        <v>0</v>
      </c>
      <c r="AJ2674">
        <v>0</v>
      </c>
      <c r="AK2674">
        <v>0</v>
      </c>
      <c r="AL2674">
        <v>0</v>
      </c>
      <c r="AM2674">
        <v>126.03</v>
      </c>
      <c r="AN2674">
        <v>126.03</v>
      </c>
      <c r="AO2674">
        <v>126.03</v>
      </c>
      <c r="AP2674" s="2">
        <v>42746</v>
      </c>
      <c r="AQ2674" t="s">
        <v>72</v>
      </c>
      <c r="AR2674" t="s">
        <v>72</v>
      </c>
      <c r="AS2674">
        <v>2568</v>
      </c>
      <c r="AT2674" s="4">
        <v>42646</v>
      </c>
      <c r="AU2674" t="s">
        <v>73</v>
      </c>
      <c r="AV2674">
        <v>2568</v>
      </c>
      <c r="AW2674" s="4">
        <v>42646</v>
      </c>
      <c r="BD2674">
        <v>0</v>
      </c>
      <c r="BN2674" t="s">
        <v>74</v>
      </c>
    </row>
    <row r="2675" spans="1:66">
      <c r="A2675">
        <v>100879</v>
      </c>
      <c r="B2675" s="3" t="s">
        <v>255</v>
      </c>
      <c r="C2675" s="1">
        <v>43300101</v>
      </c>
      <c r="D2675" t="s">
        <v>67</v>
      </c>
      <c r="H2675" t="str">
        <f t="shared" si="267"/>
        <v>04720630633</v>
      </c>
      <c r="I2675" t="str">
        <f t="shared" si="268"/>
        <v>01354901215</v>
      </c>
      <c r="K2675" t="str">
        <f>""</f>
        <v/>
      </c>
      <c r="M2675" t="s">
        <v>68</v>
      </c>
      <c r="N2675" t="str">
        <f t="shared" si="266"/>
        <v>FOR</v>
      </c>
      <c r="O2675" t="s">
        <v>69</v>
      </c>
      <c r="P2675" s="3" t="s">
        <v>75</v>
      </c>
      <c r="Q2675">
        <v>2016</v>
      </c>
      <c r="R2675" s="2">
        <v>42517</v>
      </c>
      <c r="S2675" s="2">
        <v>42522</v>
      </c>
      <c r="T2675" s="2">
        <v>42520</v>
      </c>
      <c r="U2675" s="2">
        <v>42580</v>
      </c>
      <c r="V2675" t="s">
        <v>71</v>
      </c>
      <c r="W2675" t="str">
        <f>"              5459/W"</f>
        <v xml:space="preserve">              5459/W</v>
      </c>
      <c r="X2675" s="1">
        <v>1310.28</v>
      </c>
      <c r="Y2675">
        <v>0</v>
      </c>
      <c r="Z2675" s="5">
        <v>1074</v>
      </c>
      <c r="AA2675">
        <v>66</v>
      </c>
      <c r="AB2675" s="5">
        <v>70884</v>
      </c>
      <c r="AC2675" s="1">
        <v>1074</v>
      </c>
      <c r="AD2675">
        <v>66</v>
      </c>
      <c r="AE2675" s="1">
        <v>70884</v>
      </c>
      <c r="AF2675">
        <v>0</v>
      </c>
      <c r="AJ2675">
        <v>0</v>
      </c>
      <c r="AK2675">
        <v>0</v>
      </c>
      <c r="AL2675">
        <v>0</v>
      </c>
      <c r="AM2675" s="1">
        <v>1310.28</v>
      </c>
      <c r="AN2675" s="1">
        <v>1310.28</v>
      </c>
      <c r="AO2675" s="1">
        <v>1310.28</v>
      </c>
      <c r="AP2675" s="2">
        <v>42746</v>
      </c>
      <c r="AQ2675" t="s">
        <v>72</v>
      </c>
      <c r="AR2675" t="s">
        <v>72</v>
      </c>
      <c r="AS2675">
        <v>2568</v>
      </c>
      <c r="AT2675" s="4">
        <v>42646</v>
      </c>
      <c r="AU2675" t="s">
        <v>73</v>
      </c>
      <c r="AV2675">
        <v>2568</v>
      </c>
      <c r="AW2675" s="4">
        <v>42646</v>
      </c>
      <c r="BD2675">
        <v>0</v>
      </c>
      <c r="BN2675" t="s">
        <v>74</v>
      </c>
    </row>
    <row r="2676" spans="1:66">
      <c r="A2676">
        <v>100879</v>
      </c>
      <c r="B2676" s="3" t="s">
        <v>255</v>
      </c>
      <c r="C2676" s="1">
        <v>43300101</v>
      </c>
      <c r="D2676" t="s">
        <v>67</v>
      </c>
      <c r="H2676" t="str">
        <f t="shared" si="267"/>
        <v>04720630633</v>
      </c>
      <c r="I2676" t="str">
        <f t="shared" si="268"/>
        <v>01354901215</v>
      </c>
      <c r="K2676" t="str">
        <f>""</f>
        <v/>
      </c>
      <c r="M2676" t="s">
        <v>68</v>
      </c>
      <c r="N2676" t="str">
        <f t="shared" si="266"/>
        <v>FOR</v>
      </c>
      <c r="O2676" t="s">
        <v>69</v>
      </c>
      <c r="P2676" s="3" t="s">
        <v>75</v>
      </c>
      <c r="Q2676">
        <v>2016</v>
      </c>
      <c r="R2676" s="2">
        <v>42521</v>
      </c>
      <c r="S2676" s="2">
        <v>42529</v>
      </c>
      <c r="T2676" s="2">
        <v>42522</v>
      </c>
      <c r="U2676" s="2">
        <v>42582</v>
      </c>
      <c r="V2676" t="s">
        <v>71</v>
      </c>
      <c r="W2676" t="str">
        <f>"              5598/W"</f>
        <v xml:space="preserve">              5598/W</v>
      </c>
      <c r="X2676" s="1">
        <v>1449.36</v>
      </c>
      <c r="Y2676">
        <v>0</v>
      </c>
      <c r="Z2676" s="5">
        <v>1188</v>
      </c>
      <c r="AA2676">
        <v>64</v>
      </c>
      <c r="AB2676" s="5">
        <v>76032</v>
      </c>
      <c r="AC2676" s="1">
        <v>1188</v>
      </c>
      <c r="AD2676">
        <v>64</v>
      </c>
      <c r="AE2676" s="1">
        <v>76032</v>
      </c>
      <c r="AF2676">
        <v>0</v>
      </c>
      <c r="AJ2676">
        <v>0</v>
      </c>
      <c r="AK2676">
        <v>0</v>
      </c>
      <c r="AL2676">
        <v>0</v>
      </c>
      <c r="AM2676" s="1">
        <v>1449.36</v>
      </c>
      <c r="AN2676" s="1">
        <v>1449.36</v>
      </c>
      <c r="AO2676" s="1">
        <v>1449.36</v>
      </c>
      <c r="AP2676" s="2">
        <v>42746</v>
      </c>
      <c r="AQ2676" t="s">
        <v>72</v>
      </c>
      <c r="AR2676" t="s">
        <v>72</v>
      </c>
      <c r="AS2676">
        <v>2568</v>
      </c>
      <c r="AT2676" s="4">
        <v>42646</v>
      </c>
      <c r="AU2676" t="s">
        <v>73</v>
      </c>
      <c r="AV2676">
        <v>2568</v>
      </c>
      <c r="AW2676" s="4">
        <v>42646</v>
      </c>
      <c r="BD2676">
        <v>0</v>
      </c>
      <c r="BN2676" t="s">
        <v>74</v>
      </c>
    </row>
    <row r="2677" spans="1:66">
      <c r="A2677">
        <v>100879</v>
      </c>
      <c r="B2677" s="3" t="s">
        <v>255</v>
      </c>
      <c r="C2677" s="1">
        <v>43300101</v>
      </c>
      <c r="D2677" t="s">
        <v>67</v>
      </c>
      <c r="H2677" t="str">
        <f t="shared" si="267"/>
        <v>04720630633</v>
      </c>
      <c r="I2677" t="str">
        <f t="shared" si="268"/>
        <v>01354901215</v>
      </c>
      <c r="K2677" t="str">
        <f>""</f>
        <v/>
      </c>
      <c r="M2677" t="s">
        <v>68</v>
      </c>
      <c r="N2677" t="str">
        <f t="shared" si="266"/>
        <v>FOR</v>
      </c>
      <c r="O2677" t="s">
        <v>69</v>
      </c>
      <c r="P2677" s="3" t="s">
        <v>75</v>
      </c>
      <c r="Q2677">
        <v>2016</v>
      </c>
      <c r="R2677" s="2">
        <v>42521</v>
      </c>
      <c r="S2677" s="2">
        <v>42529</v>
      </c>
      <c r="T2677" s="2">
        <v>42522</v>
      </c>
      <c r="U2677" s="2">
        <v>42582</v>
      </c>
      <c r="V2677" t="s">
        <v>71</v>
      </c>
      <c r="W2677" t="str">
        <f>"              5599/W"</f>
        <v xml:space="preserve">              5599/W</v>
      </c>
      <c r="X2677">
        <v>403.82</v>
      </c>
      <c r="Y2677">
        <v>0</v>
      </c>
      <c r="Z2677" s="3">
        <v>331</v>
      </c>
      <c r="AA2677">
        <v>64</v>
      </c>
      <c r="AB2677" s="5">
        <v>21184</v>
      </c>
      <c r="AC2677">
        <v>331</v>
      </c>
      <c r="AD2677">
        <v>64</v>
      </c>
      <c r="AE2677" s="1">
        <v>21184</v>
      </c>
      <c r="AF2677">
        <v>0</v>
      </c>
      <c r="AJ2677">
        <v>0</v>
      </c>
      <c r="AK2677">
        <v>0</v>
      </c>
      <c r="AL2677">
        <v>0</v>
      </c>
      <c r="AM2677">
        <v>403.82</v>
      </c>
      <c r="AN2677">
        <v>403.82</v>
      </c>
      <c r="AO2677">
        <v>403.82</v>
      </c>
      <c r="AP2677" s="2">
        <v>42746</v>
      </c>
      <c r="AQ2677" t="s">
        <v>72</v>
      </c>
      <c r="AR2677" t="s">
        <v>72</v>
      </c>
      <c r="AS2677">
        <v>2568</v>
      </c>
      <c r="AT2677" s="4">
        <v>42646</v>
      </c>
      <c r="AU2677" t="s">
        <v>73</v>
      </c>
      <c r="AV2677">
        <v>2568</v>
      </c>
      <c r="AW2677" s="4">
        <v>42646</v>
      </c>
      <c r="BD2677">
        <v>0</v>
      </c>
      <c r="BN2677" t="s">
        <v>74</v>
      </c>
    </row>
    <row r="2678" spans="1:66">
      <c r="A2678">
        <v>100879</v>
      </c>
      <c r="B2678" s="3" t="s">
        <v>255</v>
      </c>
      <c r="C2678" s="1">
        <v>43300101</v>
      </c>
      <c r="D2678" t="s">
        <v>67</v>
      </c>
      <c r="H2678" t="str">
        <f t="shared" si="267"/>
        <v>04720630633</v>
      </c>
      <c r="I2678" t="str">
        <f t="shared" si="268"/>
        <v>01354901215</v>
      </c>
      <c r="K2678" t="str">
        <f>""</f>
        <v/>
      </c>
      <c r="M2678" t="s">
        <v>68</v>
      </c>
      <c r="N2678" t="str">
        <f t="shared" si="266"/>
        <v>FOR</v>
      </c>
      <c r="O2678" t="s">
        <v>69</v>
      </c>
      <c r="P2678" s="3" t="s">
        <v>75</v>
      </c>
      <c r="Q2678">
        <v>2016</v>
      </c>
      <c r="R2678" s="2">
        <v>42521</v>
      </c>
      <c r="S2678" s="2">
        <v>42529</v>
      </c>
      <c r="T2678" s="2">
        <v>42522</v>
      </c>
      <c r="U2678" s="2">
        <v>42582</v>
      </c>
      <c r="V2678" t="s">
        <v>71</v>
      </c>
      <c r="W2678" t="str">
        <f>"              5600/W"</f>
        <v xml:space="preserve">              5600/W</v>
      </c>
      <c r="X2678">
        <v>536.79999999999995</v>
      </c>
      <c r="Y2678">
        <v>0</v>
      </c>
      <c r="Z2678" s="3">
        <v>440</v>
      </c>
      <c r="AA2678">
        <v>64</v>
      </c>
      <c r="AB2678" s="5">
        <v>28160</v>
      </c>
      <c r="AC2678">
        <v>440</v>
      </c>
      <c r="AD2678">
        <v>64</v>
      </c>
      <c r="AE2678" s="1">
        <v>28160</v>
      </c>
      <c r="AF2678">
        <v>0</v>
      </c>
      <c r="AJ2678">
        <v>0</v>
      </c>
      <c r="AK2678">
        <v>0</v>
      </c>
      <c r="AL2678">
        <v>0</v>
      </c>
      <c r="AM2678">
        <v>536.79999999999995</v>
      </c>
      <c r="AN2678">
        <v>536.79999999999995</v>
      </c>
      <c r="AO2678">
        <v>536.79999999999995</v>
      </c>
      <c r="AP2678" s="2">
        <v>42746</v>
      </c>
      <c r="AQ2678" t="s">
        <v>72</v>
      </c>
      <c r="AR2678" t="s">
        <v>72</v>
      </c>
      <c r="AS2678">
        <v>2568</v>
      </c>
      <c r="AT2678" s="4">
        <v>42646</v>
      </c>
      <c r="AU2678" t="s">
        <v>73</v>
      </c>
      <c r="AV2678">
        <v>2568</v>
      </c>
      <c r="AW2678" s="4">
        <v>42646</v>
      </c>
      <c r="BD2678">
        <v>0</v>
      </c>
      <c r="BN2678" t="s">
        <v>74</v>
      </c>
    </row>
    <row r="2679" spans="1:66">
      <c r="A2679">
        <v>100879</v>
      </c>
      <c r="B2679" s="3" t="s">
        <v>255</v>
      </c>
      <c r="C2679" s="1">
        <v>43300101</v>
      </c>
      <c r="D2679" t="s">
        <v>67</v>
      </c>
      <c r="H2679" t="str">
        <f t="shared" si="267"/>
        <v>04720630633</v>
      </c>
      <c r="I2679" t="str">
        <f t="shared" si="268"/>
        <v>01354901215</v>
      </c>
      <c r="K2679" t="str">
        <f>""</f>
        <v/>
      </c>
      <c r="M2679" t="s">
        <v>68</v>
      </c>
      <c r="N2679" t="str">
        <f t="shared" si="266"/>
        <v>FOR</v>
      </c>
      <c r="O2679" t="s">
        <v>69</v>
      </c>
      <c r="P2679" s="3" t="s">
        <v>75</v>
      </c>
      <c r="Q2679">
        <v>2016</v>
      </c>
      <c r="R2679" s="2">
        <v>42521</v>
      </c>
      <c r="S2679" s="2">
        <v>42530</v>
      </c>
      <c r="T2679" s="2">
        <v>42522</v>
      </c>
      <c r="U2679" s="2">
        <v>42582</v>
      </c>
      <c r="V2679" t="s">
        <v>71</v>
      </c>
      <c r="W2679" t="str">
        <f>"              5601/W"</f>
        <v xml:space="preserve">              5601/W</v>
      </c>
      <c r="X2679" s="1">
        <v>1328.58</v>
      </c>
      <c r="Y2679">
        <v>0</v>
      </c>
      <c r="Z2679" s="5">
        <v>1089</v>
      </c>
      <c r="AA2679">
        <v>64</v>
      </c>
      <c r="AB2679" s="5">
        <v>69696</v>
      </c>
      <c r="AC2679" s="1">
        <v>1089</v>
      </c>
      <c r="AD2679">
        <v>64</v>
      </c>
      <c r="AE2679" s="1">
        <v>69696</v>
      </c>
      <c r="AF2679">
        <v>0</v>
      </c>
      <c r="AJ2679">
        <v>0</v>
      </c>
      <c r="AK2679">
        <v>0</v>
      </c>
      <c r="AL2679">
        <v>0</v>
      </c>
      <c r="AM2679" s="1">
        <v>1328.58</v>
      </c>
      <c r="AN2679" s="1">
        <v>1328.58</v>
      </c>
      <c r="AO2679" s="1">
        <v>1328.58</v>
      </c>
      <c r="AP2679" s="2">
        <v>42746</v>
      </c>
      <c r="AQ2679" t="s">
        <v>72</v>
      </c>
      <c r="AR2679" t="s">
        <v>72</v>
      </c>
      <c r="AS2679">
        <v>2568</v>
      </c>
      <c r="AT2679" s="4">
        <v>42646</v>
      </c>
      <c r="AU2679" t="s">
        <v>73</v>
      </c>
      <c r="AV2679">
        <v>2568</v>
      </c>
      <c r="AW2679" s="4">
        <v>42646</v>
      </c>
      <c r="BD2679">
        <v>0</v>
      </c>
      <c r="BN2679" t="s">
        <v>74</v>
      </c>
    </row>
    <row r="2680" spans="1:66">
      <c r="A2680">
        <v>100879</v>
      </c>
      <c r="B2680" s="3" t="s">
        <v>255</v>
      </c>
      <c r="C2680" s="1">
        <v>43300101</v>
      </c>
      <c r="D2680" t="s">
        <v>67</v>
      </c>
      <c r="H2680" t="str">
        <f t="shared" si="267"/>
        <v>04720630633</v>
      </c>
      <c r="I2680" t="str">
        <f t="shared" si="268"/>
        <v>01354901215</v>
      </c>
      <c r="K2680" t="str">
        <f>""</f>
        <v/>
      </c>
      <c r="M2680" t="s">
        <v>68</v>
      </c>
      <c r="N2680" t="str">
        <f t="shared" si="266"/>
        <v>FOR</v>
      </c>
      <c r="O2680" t="s">
        <v>69</v>
      </c>
      <c r="P2680" s="3" t="s">
        <v>75</v>
      </c>
      <c r="Q2680">
        <v>2016</v>
      </c>
      <c r="R2680" s="2">
        <v>42531</v>
      </c>
      <c r="S2680" s="2">
        <v>42534</v>
      </c>
      <c r="T2680" s="2">
        <v>42534</v>
      </c>
      <c r="U2680" s="2">
        <v>42594</v>
      </c>
      <c r="V2680" t="s">
        <v>71</v>
      </c>
      <c r="W2680" t="str">
        <f>"              5963/W"</f>
        <v xml:space="preserve">              5963/W</v>
      </c>
      <c r="X2680">
        <v>231</v>
      </c>
      <c r="Y2680">
        <v>0</v>
      </c>
      <c r="Z2680" s="3">
        <v>210</v>
      </c>
      <c r="AA2680">
        <v>88</v>
      </c>
      <c r="AB2680" s="5">
        <v>18480</v>
      </c>
      <c r="AC2680">
        <v>210</v>
      </c>
      <c r="AD2680">
        <v>88</v>
      </c>
      <c r="AE2680" s="1">
        <v>18480</v>
      </c>
      <c r="AF2680">
        <v>0</v>
      </c>
      <c r="AJ2680">
        <v>0</v>
      </c>
      <c r="AK2680">
        <v>0</v>
      </c>
      <c r="AL2680">
        <v>0</v>
      </c>
      <c r="AM2680">
        <v>231</v>
      </c>
      <c r="AN2680">
        <v>231</v>
      </c>
      <c r="AO2680">
        <v>231</v>
      </c>
      <c r="AP2680" s="2">
        <v>42746</v>
      </c>
      <c r="AQ2680" t="s">
        <v>72</v>
      </c>
      <c r="AR2680" t="s">
        <v>72</v>
      </c>
      <c r="AS2680">
        <v>2982</v>
      </c>
      <c r="AT2680" s="4">
        <v>42682</v>
      </c>
      <c r="AU2680" t="s">
        <v>73</v>
      </c>
      <c r="AV2680">
        <v>2982</v>
      </c>
      <c r="AW2680" s="4">
        <v>42682</v>
      </c>
      <c r="BD2680">
        <v>0</v>
      </c>
      <c r="BN2680" t="s">
        <v>74</v>
      </c>
    </row>
    <row r="2681" spans="1:66">
      <c r="A2681">
        <v>100879</v>
      </c>
      <c r="B2681" s="3" t="s">
        <v>255</v>
      </c>
      <c r="C2681" s="1">
        <v>43300101</v>
      </c>
      <c r="D2681" t="s">
        <v>67</v>
      </c>
      <c r="H2681" t="str">
        <f t="shared" si="267"/>
        <v>04720630633</v>
      </c>
      <c r="I2681" t="str">
        <f t="shared" si="268"/>
        <v>01354901215</v>
      </c>
      <c r="K2681" t="str">
        <f>""</f>
        <v/>
      </c>
      <c r="M2681" t="s">
        <v>68</v>
      </c>
      <c r="N2681" t="str">
        <f t="shared" si="266"/>
        <v>FOR</v>
      </c>
      <c r="O2681" t="s">
        <v>69</v>
      </c>
      <c r="P2681" s="3" t="s">
        <v>75</v>
      </c>
      <c r="Q2681">
        <v>2016</v>
      </c>
      <c r="R2681" s="2">
        <v>42545</v>
      </c>
      <c r="S2681" s="2">
        <v>42550</v>
      </c>
      <c r="T2681" s="2">
        <v>42548</v>
      </c>
      <c r="U2681" s="2">
        <v>42608</v>
      </c>
      <c r="V2681" t="s">
        <v>71</v>
      </c>
      <c r="W2681" t="str">
        <f>"              6595/W"</f>
        <v xml:space="preserve">              6595/W</v>
      </c>
      <c r="X2681">
        <v>483.12</v>
      </c>
      <c r="Y2681">
        <v>0</v>
      </c>
      <c r="Z2681" s="3">
        <v>396</v>
      </c>
      <c r="AA2681">
        <v>74</v>
      </c>
      <c r="AB2681" s="5">
        <v>29304</v>
      </c>
      <c r="AC2681">
        <v>396</v>
      </c>
      <c r="AD2681">
        <v>74</v>
      </c>
      <c r="AE2681" s="1">
        <v>29304</v>
      </c>
      <c r="AF2681">
        <v>0</v>
      </c>
      <c r="AJ2681">
        <v>0</v>
      </c>
      <c r="AK2681">
        <v>0</v>
      </c>
      <c r="AL2681">
        <v>0</v>
      </c>
      <c r="AM2681">
        <v>483.12</v>
      </c>
      <c r="AN2681">
        <v>483.12</v>
      </c>
      <c r="AO2681">
        <v>483.12</v>
      </c>
      <c r="AP2681" s="2">
        <v>42746</v>
      </c>
      <c r="AQ2681" t="s">
        <v>72</v>
      </c>
      <c r="AR2681" t="s">
        <v>72</v>
      </c>
      <c r="AS2681">
        <v>2982</v>
      </c>
      <c r="AT2681" s="4">
        <v>42682</v>
      </c>
      <c r="AU2681" t="s">
        <v>73</v>
      </c>
      <c r="AV2681">
        <v>2982</v>
      </c>
      <c r="AW2681" s="4">
        <v>42682</v>
      </c>
      <c r="BD2681">
        <v>0</v>
      </c>
      <c r="BN2681" t="s">
        <v>74</v>
      </c>
    </row>
    <row r="2682" spans="1:66">
      <c r="A2682">
        <v>100879</v>
      </c>
      <c r="B2682" s="3" t="s">
        <v>255</v>
      </c>
      <c r="C2682" s="1">
        <v>43300101</v>
      </c>
      <c r="D2682" t="s">
        <v>67</v>
      </c>
      <c r="H2682" t="str">
        <f t="shared" si="267"/>
        <v>04720630633</v>
      </c>
      <c r="I2682" t="str">
        <f t="shared" si="268"/>
        <v>01354901215</v>
      </c>
      <c r="K2682" t="str">
        <f>""</f>
        <v/>
      </c>
      <c r="M2682" t="s">
        <v>68</v>
      </c>
      <c r="N2682" t="str">
        <f t="shared" si="266"/>
        <v>FOR</v>
      </c>
      <c r="O2682" t="s">
        <v>69</v>
      </c>
      <c r="P2682" s="3" t="s">
        <v>75</v>
      </c>
      <c r="Q2682">
        <v>2016</v>
      </c>
      <c r="R2682" s="2">
        <v>42545</v>
      </c>
      <c r="S2682" s="2">
        <v>42550</v>
      </c>
      <c r="T2682" s="2">
        <v>42548</v>
      </c>
      <c r="U2682" s="2">
        <v>42608</v>
      </c>
      <c r="V2682" t="s">
        <v>71</v>
      </c>
      <c r="W2682" t="str">
        <f>"              6596/W"</f>
        <v xml:space="preserve">              6596/W</v>
      </c>
      <c r="X2682">
        <v>492.88</v>
      </c>
      <c r="Y2682">
        <v>0</v>
      </c>
      <c r="Z2682" s="3">
        <v>404</v>
      </c>
      <c r="AA2682">
        <v>74</v>
      </c>
      <c r="AB2682" s="5">
        <v>29896</v>
      </c>
      <c r="AC2682">
        <v>404</v>
      </c>
      <c r="AD2682">
        <v>74</v>
      </c>
      <c r="AE2682" s="1">
        <v>29896</v>
      </c>
      <c r="AF2682">
        <v>0</v>
      </c>
      <c r="AJ2682">
        <v>0</v>
      </c>
      <c r="AK2682">
        <v>0</v>
      </c>
      <c r="AL2682">
        <v>0</v>
      </c>
      <c r="AM2682">
        <v>492.88</v>
      </c>
      <c r="AN2682">
        <v>492.88</v>
      </c>
      <c r="AO2682">
        <v>492.88</v>
      </c>
      <c r="AP2682" s="2">
        <v>42746</v>
      </c>
      <c r="AQ2682" t="s">
        <v>72</v>
      </c>
      <c r="AR2682" t="s">
        <v>72</v>
      </c>
      <c r="AS2682">
        <v>2982</v>
      </c>
      <c r="AT2682" s="4">
        <v>42682</v>
      </c>
      <c r="AU2682" t="s">
        <v>73</v>
      </c>
      <c r="AV2682">
        <v>2982</v>
      </c>
      <c r="AW2682" s="4">
        <v>42682</v>
      </c>
      <c r="BD2682">
        <v>0</v>
      </c>
      <c r="BN2682" t="s">
        <v>74</v>
      </c>
    </row>
    <row r="2683" spans="1:66">
      <c r="A2683">
        <v>100879</v>
      </c>
      <c r="B2683" s="3" t="s">
        <v>255</v>
      </c>
      <c r="C2683" s="1">
        <v>43300101</v>
      </c>
      <c r="D2683" t="s">
        <v>67</v>
      </c>
      <c r="H2683" t="str">
        <f t="shared" si="267"/>
        <v>04720630633</v>
      </c>
      <c r="I2683" t="str">
        <f t="shared" si="268"/>
        <v>01354901215</v>
      </c>
      <c r="K2683" t="str">
        <f>""</f>
        <v/>
      </c>
      <c r="M2683" t="s">
        <v>68</v>
      </c>
      <c r="N2683" t="str">
        <f t="shared" si="266"/>
        <v>FOR</v>
      </c>
      <c r="O2683" t="s">
        <v>69</v>
      </c>
      <c r="P2683" s="3" t="s">
        <v>75</v>
      </c>
      <c r="Q2683">
        <v>2016</v>
      </c>
      <c r="R2683" s="2">
        <v>42545</v>
      </c>
      <c r="S2683" s="2">
        <v>42550</v>
      </c>
      <c r="T2683" s="2">
        <v>42548</v>
      </c>
      <c r="U2683" s="2">
        <v>42608</v>
      </c>
      <c r="V2683" t="s">
        <v>71</v>
      </c>
      <c r="W2683" t="str">
        <f>"              6597/W"</f>
        <v xml:space="preserve">              6597/W</v>
      </c>
      <c r="X2683">
        <v>213.5</v>
      </c>
      <c r="Y2683">
        <v>0</v>
      </c>
      <c r="Z2683" s="3">
        <v>175</v>
      </c>
      <c r="AA2683">
        <v>74</v>
      </c>
      <c r="AB2683" s="5">
        <v>12950</v>
      </c>
      <c r="AC2683">
        <v>175</v>
      </c>
      <c r="AD2683">
        <v>74</v>
      </c>
      <c r="AE2683" s="1">
        <v>12950</v>
      </c>
      <c r="AF2683">
        <v>0</v>
      </c>
      <c r="AJ2683">
        <v>0</v>
      </c>
      <c r="AK2683">
        <v>0</v>
      </c>
      <c r="AL2683">
        <v>0</v>
      </c>
      <c r="AM2683">
        <v>213.5</v>
      </c>
      <c r="AN2683">
        <v>213.5</v>
      </c>
      <c r="AO2683">
        <v>213.5</v>
      </c>
      <c r="AP2683" s="2">
        <v>42746</v>
      </c>
      <c r="AQ2683" t="s">
        <v>72</v>
      </c>
      <c r="AR2683" t="s">
        <v>72</v>
      </c>
      <c r="AS2683">
        <v>2982</v>
      </c>
      <c r="AT2683" s="4">
        <v>42682</v>
      </c>
      <c r="AU2683" t="s">
        <v>73</v>
      </c>
      <c r="AV2683">
        <v>2982</v>
      </c>
      <c r="AW2683" s="4">
        <v>42682</v>
      </c>
      <c r="BD2683">
        <v>0</v>
      </c>
      <c r="BN2683" t="s">
        <v>74</v>
      </c>
    </row>
    <row r="2684" spans="1:66">
      <c r="A2684">
        <v>100879</v>
      </c>
      <c r="B2684" s="3" t="s">
        <v>255</v>
      </c>
      <c r="C2684" s="1">
        <v>43300101</v>
      </c>
      <c r="D2684" t="s">
        <v>67</v>
      </c>
      <c r="H2684" t="str">
        <f t="shared" si="267"/>
        <v>04720630633</v>
      </c>
      <c r="I2684" t="str">
        <f t="shared" si="268"/>
        <v>01354901215</v>
      </c>
      <c r="K2684" t="str">
        <f>""</f>
        <v/>
      </c>
      <c r="M2684" t="s">
        <v>68</v>
      </c>
      <c r="N2684" t="str">
        <f t="shared" si="266"/>
        <v>FOR</v>
      </c>
      <c r="O2684" t="s">
        <v>69</v>
      </c>
      <c r="P2684" s="3" t="s">
        <v>75</v>
      </c>
      <c r="Q2684">
        <v>2016</v>
      </c>
      <c r="R2684" s="2">
        <v>42551</v>
      </c>
      <c r="S2684" s="2">
        <v>42556</v>
      </c>
      <c r="T2684" s="2">
        <v>42552</v>
      </c>
      <c r="U2684" s="2">
        <v>42612</v>
      </c>
      <c r="V2684" t="s">
        <v>71</v>
      </c>
      <c r="W2684" t="str">
        <f>"              6811/W"</f>
        <v xml:space="preserve">              6811/W</v>
      </c>
      <c r="X2684">
        <v>966.24</v>
      </c>
      <c r="Y2684">
        <v>0</v>
      </c>
      <c r="Z2684" s="3">
        <v>792</v>
      </c>
      <c r="AA2684">
        <v>70</v>
      </c>
      <c r="AB2684" s="5">
        <v>55440</v>
      </c>
      <c r="AC2684">
        <v>792</v>
      </c>
      <c r="AD2684">
        <v>70</v>
      </c>
      <c r="AE2684" s="1">
        <v>55440</v>
      </c>
      <c r="AF2684">
        <v>0</v>
      </c>
      <c r="AJ2684">
        <v>0</v>
      </c>
      <c r="AK2684">
        <v>0</v>
      </c>
      <c r="AL2684">
        <v>0</v>
      </c>
      <c r="AM2684">
        <v>966.24</v>
      </c>
      <c r="AN2684">
        <v>966.24</v>
      </c>
      <c r="AO2684">
        <v>966.24</v>
      </c>
      <c r="AP2684" s="2">
        <v>42746</v>
      </c>
      <c r="AQ2684" t="s">
        <v>72</v>
      </c>
      <c r="AR2684" t="s">
        <v>72</v>
      </c>
      <c r="AS2684">
        <v>2982</v>
      </c>
      <c r="AT2684" s="4">
        <v>42682</v>
      </c>
      <c r="AU2684" t="s">
        <v>73</v>
      </c>
      <c r="AV2684">
        <v>2982</v>
      </c>
      <c r="AW2684" s="4">
        <v>42682</v>
      </c>
      <c r="BD2684">
        <v>0</v>
      </c>
      <c r="BN2684" t="s">
        <v>74</v>
      </c>
    </row>
    <row r="2685" spans="1:66">
      <c r="A2685">
        <v>100879</v>
      </c>
      <c r="B2685" s="3" t="s">
        <v>255</v>
      </c>
      <c r="C2685" s="1">
        <v>43300101</v>
      </c>
      <c r="D2685" t="s">
        <v>67</v>
      </c>
      <c r="H2685" t="str">
        <f t="shared" si="267"/>
        <v>04720630633</v>
      </c>
      <c r="I2685" t="str">
        <f t="shared" si="268"/>
        <v>01354901215</v>
      </c>
      <c r="K2685" t="str">
        <f>""</f>
        <v/>
      </c>
      <c r="M2685" t="s">
        <v>68</v>
      </c>
      <c r="N2685" t="str">
        <f t="shared" si="266"/>
        <v>FOR</v>
      </c>
      <c r="O2685" t="s">
        <v>69</v>
      </c>
      <c r="P2685" s="3" t="s">
        <v>75</v>
      </c>
      <c r="Q2685">
        <v>2016</v>
      </c>
      <c r="R2685" s="2">
        <v>42559</v>
      </c>
      <c r="S2685" s="2">
        <v>42563</v>
      </c>
      <c r="T2685" s="2">
        <v>42562</v>
      </c>
      <c r="U2685" s="2">
        <v>42622</v>
      </c>
      <c r="V2685" t="s">
        <v>71</v>
      </c>
      <c r="W2685" t="str">
        <f>"              7168/W"</f>
        <v xml:space="preserve">              7168/W</v>
      </c>
      <c r="X2685">
        <v>475.8</v>
      </c>
      <c r="Y2685">
        <v>0</v>
      </c>
      <c r="Z2685" s="3">
        <v>390</v>
      </c>
      <c r="AA2685">
        <v>60</v>
      </c>
      <c r="AB2685" s="5">
        <v>23400</v>
      </c>
      <c r="AC2685">
        <v>390</v>
      </c>
      <c r="AD2685">
        <v>60</v>
      </c>
      <c r="AE2685" s="1">
        <v>23400</v>
      </c>
      <c r="AF2685">
        <v>0</v>
      </c>
      <c r="AJ2685">
        <v>0</v>
      </c>
      <c r="AK2685">
        <v>0</v>
      </c>
      <c r="AL2685">
        <v>0</v>
      </c>
      <c r="AM2685">
        <v>475.8</v>
      </c>
      <c r="AN2685">
        <v>475.8</v>
      </c>
      <c r="AO2685">
        <v>475.8</v>
      </c>
      <c r="AP2685" s="2">
        <v>42746</v>
      </c>
      <c r="AQ2685" t="s">
        <v>72</v>
      </c>
      <c r="AR2685" t="s">
        <v>72</v>
      </c>
      <c r="AS2685">
        <v>2982</v>
      </c>
      <c r="AT2685" s="4">
        <v>42682</v>
      </c>
      <c r="AU2685" t="s">
        <v>73</v>
      </c>
      <c r="AV2685">
        <v>2982</v>
      </c>
      <c r="AW2685" s="4">
        <v>42682</v>
      </c>
      <c r="BD2685">
        <v>0</v>
      </c>
      <c r="BN2685" t="s">
        <v>74</v>
      </c>
    </row>
    <row r="2686" spans="1:66">
      <c r="A2686">
        <v>100879</v>
      </c>
      <c r="B2686" s="3" t="s">
        <v>255</v>
      </c>
      <c r="C2686" s="1">
        <v>43300101</v>
      </c>
      <c r="D2686" t="s">
        <v>67</v>
      </c>
      <c r="H2686" t="str">
        <f t="shared" ref="H2686:H2699" si="269">"04720630633"</f>
        <v>04720630633</v>
      </c>
      <c r="I2686" t="str">
        <f t="shared" ref="I2686:I2699" si="270">"01354901215"</f>
        <v>01354901215</v>
      </c>
      <c r="K2686" t="str">
        <f>""</f>
        <v/>
      </c>
      <c r="M2686" t="s">
        <v>68</v>
      </c>
      <c r="N2686" t="str">
        <f t="shared" si="266"/>
        <v>FOR</v>
      </c>
      <c r="O2686" t="s">
        <v>69</v>
      </c>
      <c r="P2686" s="3" t="s">
        <v>75</v>
      </c>
      <c r="Q2686">
        <v>2016</v>
      </c>
      <c r="R2686" s="2">
        <v>42565</v>
      </c>
      <c r="S2686" s="2">
        <v>42571</v>
      </c>
      <c r="T2686" s="2">
        <v>42568</v>
      </c>
      <c r="U2686" s="2">
        <v>42628</v>
      </c>
      <c r="V2686" t="s">
        <v>71</v>
      </c>
      <c r="W2686" t="str">
        <f>"              7513/W"</f>
        <v xml:space="preserve">              7513/W</v>
      </c>
      <c r="X2686" s="1">
        <v>9882</v>
      </c>
      <c r="Y2686">
        <v>0</v>
      </c>
      <c r="Z2686" s="5">
        <v>8100</v>
      </c>
      <c r="AA2686">
        <v>54</v>
      </c>
      <c r="AB2686" s="5">
        <v>437400</v>
      </c>
      <c r="AC2686" s="1">
        <v>8100</v>
      </c>
      <c r="AD2686">
        <v>54</v>
      </c>
      <c r="AE2686" s="1">
        <v>437400</v>
      </c>
      <c r="AF2686">
        <v>0</v>
      </c>
      <c r="AJ2686">
        <v>0</v>
      </c>
      <c r="AK2686">
        <v>0</v>
      </c>
      <c r="AL2686">
        <v>0</v>
      </c>
      <c r="AM2686" s="1">
        <v>9882</v>
      </c>
      <c r="AN2686" s="1">
        <v>9882</v>
      </c>
      <c r="AO2686" s="1">
        <v>9882</v>
      </c>
      <c r="AP2686" s="2">
        <v>42746</v>
      </c>
      <c r="AQ2686" t="s">
        <v>72</v>
      </c>
      <c r="AR2686" t="s">
        <v>72</v>
      </c>
      <c r="AS2686">
        <v>2982</v>
      </c>
      <c r="AT2686" s="4">
        <v>42682</v>
      </c>
      <c r="AU2686" t="s">
        <v>73</v>
      </c>
      <c r="AV2686">
        <v>2982</v>
      </c>
      <c r="AW2686" s="4">
        <v>42682</v>
      </c>
      <c r="BD2686">
        <v>0</v>
      </c>
      <c r="BN2686" t="s">
        <v>74</v>
      </c>
    </row>
    <row r="2687" spans="1:66">
      <c r="A2687">
        <v>100879</v>
      </c>
      <c r="B2687" s="3" t="s">
        <v>255</v>
      </c>
      <c r="C2687" s="1">
        <v>43300101</v>
      </c>
      <c r="D2687" t="s">
        <v>67</v>
      </c>
      <c r="H2687" t="str">
        <f t="shared" si="269"/>
        <v>04720630633</v>
      </c>
      <c r="I2687" t="str">
        <f t="shared" si="270"/>
        <v>01354901215</v>
      </c>
      <c r="K2687" t="str">
        <f>""</f>
        <v/>
      </c>
      <c r="M2687" t="s">
        <v>68</v>
      </c>
      <c r="N2687" t="str">
        <f t="shared" si="266"/>
        <v>FOR</v>
      </c>
      <c r="O2687" t="s">
        <v>69</v>
      </c>
      <c r="P2687" s="3" t="s">
        <v>75</v>
      </c>
      <c r="Q2687">
        <v>2016</v>
      </c>
      <c r="R2687" s="2">
        <v>42565</v>
      </c>
      <c r="S2687" s="2">
        <v>42571</v>
      </c>
      <c r="T2687" s="2">
        <v>42568</v>
      </c>
      <c r="U2687" s="2">
        <v>42628</v>
      </c>
      <c r="V2687" t="s">
        <v>71</v>
      </c>
      <c r="W2687" t="str">
        <f>"              7514/W"</f>
        <v xml:space="preserve">              7514/W</v>
      </c>
      <c r="X2687">
        <v>242.78</v>
      </c>
      <c r="Y2687">
        <v>0</v>
      </c>
      <c r="Z2687" s="3">
        <v>199</v>
      </c>
      <c r="AA2687">
        <v>54</v>
      </c>
      <c r="AB2687" s="5">
        <v>10746</v>
      </c>
      <c r="AC2687">
        <v>199</v>
      </c>
      <c r="AD2687">
        <v>54</v>
      </c>
      <c r="AE2687" s="1">
        <v>10746</v>
      </c>
      <c r="AF2687">
        <v>0</v>
      </c>
      <c r="AJ2687">
        <v>0</v>
      </c>
      <c r="AK2687">
        <v>0</v>
      </c>
      <c r="AL2687">
        <v>0</v>
      </c>
      <c r="AM2687">
        <v>242.78</v>
      </c>
      <c r="AN2687">
        <v>242.78</v>
      </c>
      <c r="AO2687">
        <v>242.78</v>
      </c>
      <c r="AP2687" s="2">
        <v>42746</v>
      </c>
      <c r="AQ2687" t="s">
        <v>72</v>
      </c>
      <c r="AR2687" t="s">
        <v>72</v>
      </c>
      <c r="AS2687">
        <v>2982</v>
      </c>
      <c r="AT2687" s="4">
        <v>42682</v>
      </c>
      <c r="AU2687" t="s">
        <v>73</v>
      </c>
      <c r="AV2687">
        <v>2982</v>
      </c>
      <c r="AW2687" s="4">
        <v>42682</v>
      </c>
      <c r="BD2687">
        <v>0</v>
      </c>
      <c r="BN2687" t="s">
        <v>74</v>
      </c>
    </row>
    <row r="2688" spans="1:66">
      <c r="A2688">
        <v>100879</v>
      </c>
      <c r="B2688" s="3" t="s">
        <v>255</v>
      </c>
      <c r="C2688" s="1">
        <v>43300101</v>
      </c>
      <c r="D2688" t="s">
        <v>67</v>
      </c>
      <c r="H2688" t="str">
        <f t="shared" si="269"/>
        <v>04720630633</v>
      </c>
      <c r="I2688" t="str">
        <f t="shared" si="270"/>
        <v>01354901215</v>
      </c>
      <c r="K2688" t="str">
        <f>""</f>
        <v/>
      </c>
      <c r="M2688" t="s">
        <v>68</v>
      </c>
      <c r="N2688" t="str">
        <f t="shared" si="266"/>
        <v>FOR</v>
      </c>
      <c r="O2688" t="s">
        <v>69</v>
      </c>
      <c r="P2688" s="3" t="s">
        <v>75</v>
      </c>
      <c r="Q2688">
        <v>2016</v>
      </c>
      <c r="R2688" s="2">
        <v>42565</v>
      </c>
      <c r="S2688" s="2">
        <v>42571</v>
      </c>
      <c r="T2688" s="2">
        <v>42568</v>
      </c>
      <c r="U2688" s="2">
        <v>42628</v>
      </c>
      <c r="V2688" t="s">
        <v>71</v>
      </c>
      <c r="W2688" t="str">
        <f>"              7515/W"</f>
        <v xml:space="preserve">              7515/W</v>
      </c>
      <c r="X2688">
        <v>805.2</v>
      </c>
      <c r="Y2688">
        <v>0</v>
      </c>
      <c r="Z2688" s="3">
        <v>660</v>
      </c>
      <c r="AA2688">
        <v>54</v>
      </c>
      <c r="AB2688" s="5">
        <v>35640</v>
      </c>
      <c r="AC2688">
        <v>660</v>
      </c>
      <c r="AD2688">
        <v>54</v>
      </c>
      <c r="AE2688" s="1">
        <v>35640</v>
      </c>
      <c r="AF2688">
        <v>0</v>
      </c>
      <c r="AJ2688">
        <v>0</v>
      </c>
      <c r="AK2688">
        <v>0</v>
      </c>
      <c r="AL2688">
        <v>0</v>
      </c>
      <c r="AM2688">
        <v>805.2</v>
      </c>
      <c r="AN2688">
        <v>805.2</v>
      </c>
      <c r="AO2688">
        <v>805.2</v>
      </c>
      <c r="AP2688" s="2">
        <v>42746</v>
      </c>
      <c r="AQ2688" t="s">
        <v>72</v>
      </c>
      <c r="AR2688" t="s">
        <v>72</v>
      </c>
      <c r="AS2688">
        <v>2982</v>
      </c>
      <c r="AT2688" s="4">
        <v>42682</v>
      </c>
      <c r="AU2688" t="s">
        <v>73</v>
      </c>
      <c r="AV2688">
        <v>2982</v>
      </c>
      <c r="AW2688" s="4">
        <v>42682</v>
      </c>
      <c r="BD2688">
        <v>0</v>
      </c>
      <c r="BN2688" t="s">
        <v>74</v>
      </c>
    </row>
    <row r="2689" spans="1:66">
      <c r="A2689">
        <v>100879</v>
      </c>
      <c r="B2689" s="3" t="s">
        <v>255</v>
      </c>
      <c r="C2689" s="1">
        <v>43300101</v>
      </c>
      <c r="D2689" t="s">
        <v>67</v>
      </c>
      <c r="H2689" t="str">
        <f t="shared" si="269"/>
        <v>04720630633</v>
      </c>
      <c r="I2689" t="str">
        <f t="shared" si="270"/>
        <v>01354901215</v>
      </c>
      <c r="K2689" t="str">
        <f>""</f>
        <v/>
      </c>
      <c r="M2689" t="s">
        <v>68</v>
      </c>
      <c r="N2689" t="str">
        <f t="shared" si="266"/>
        <v>FOR</v>
      </c>
      <c r="O2689" t="s">
        <v>69</v>
      </c>
      <c r="P2689" s="3" t="s">
        <v>75</v>
      </c>
      <c r="Q2689">
        <v>2016</v>
      </c>
      <c r="R2689" s="2">
        <v>42576</v>
      </c>
      <c r="S2689" s="2">
        <v>42577</v>
      </c>
      <c r="T2689" s="2">
        <v>42577</v>
      </c>
      <c r="U2689" s="2">
        <v>42637</v>
      </c>
      <c r="V2689" t="s">
        <v>71</v>
      </c>
      <c r="W2689" t="str">
        <f>"              7941/W"</f>
        <v xml:space="preserve">              7941/W</v>
      </c>
      <c r="X2689">
        <v>738.1</v>
      </c>
      <c r="Y2689">
        <v>0</v>
      </c>
      <c r="Z2689" s="3">
        <v>605</v>
      </c>
      <c r="AA2689">
        <v>45</v>
      </c>
      <c r="AB2689" s="5">
        <v>27225</v>
      </c>
      <c r="AC2689">
        <v>605</v>
      </c>
      <c r="AD2689">
        <v>45</v>
      </c>
      <c r="AE2689" s="1">
        <v>27225</v>
      </c>
      <c r="AF2689">
        <v>0</v>
      </c>
      <c r="AJ2689">
        <v>0</v>
      </c>
      <c r="AK2689">
        <v>0</v>
      </c>
      <c r="AL2689">
        <v>0</v>
      </c>
      <c r="AM2689">
        <v>738.1</v>
      </c>
      <c r="AN2689">
        <v>738.1</v>
      </c>
      <c r="AO2689">
        <v>738.1</v>
      </c>
      <c r="AP2689" s="2">
        <v>42746</v>
      </c>
      <c r="AQ2689" t="s">
        <v>72</v>
      </c>
      <c r="AR2689" t="s">
        <v>72</v>
      </c>
      <c r="AS2689">
        <v>2982</v>
      </c>
      <c r="AT2689" s="4">
        <v>42682</v>
      </c>
      <c r="AU2689" t="s">
        <v>73</v>
      </c>
      <c r="AV2689">
        <v>2982</v>
      </c>
      <c r="AW2689" s="4">
        <v>42682</v>
      </c>
      <c r="BD2689">
        <v>0</v>
      </c>
      <c r="BN2689" t="s">
        <v>74</v>
      </c>
    </row>
    <row r="2690" spans="1:66">
      <c r="A2690">
        <v>100879</v>
      </c>
      <c r="B2690" s="3" t="s">
        <v>255</v>
      </c>
      <c r="C2690" s="1">
        <v>43300101</v>
      </c>
      <c r="D2690" t="s">
        <v>67</v>
      </c>
      <c r="H2690" t="str">
        <f t="shared" si="269"/>
        <v>04720630633</v>
      </c>
      <c r="I2690" t="str">
        <f t="shared" si="270"/>
        <v>01354901215</v>
      </c>
      <c r="K2690" t="str">
        <f>""</f>
        <v/>
      </c>
      <c r="M2690" t="s">
        <v>68</v>
      </c>
      <c r="N2690" t="str">
        <f t="shared" si="266"/>
        <v>FOR</v>
      </c>
      <c r="O2690" t="s">
        <v>69</v>
      </c>
      <c r="P2690" s="3" t="s">
        <v>75</v>
      </c>
      <c r="Q2690">
        <v>2016</v>
      </c>
      <c r="R2690" s="2">
        <v>42576</v>
      </c>
      <c r="S2690" s="2">
        <v>42577</v>
      </c>
      <c r="T2690" s="2">
        <v>42577</v>
      </c>
      <c r="U2690" s="2">
        <v>42637</v>
      </c>
      <c r="V2690" t="s">
        <v>71</v>
      </c>
      <c r="W2690" t="str">
        <f>"              7942/W"</f>
        <v xml:space="preserve">              7942/W</v>
      </c>
      <c r="X2690" s="1">
        <v>2366.8000000000002</v>
      </c>
      <c r="Y2690">
        <v>0</v>
      </c>
      <c r="Z2690" s="5">
        <v>1940</v>
      </c>
      <c r="AA2690">
        <v>45</v>
      </c>
      <c r="AB2690" s="5">
        <v>87300</v>
      </c>
      <c r="AC2690" s="1">
        <v>1940</v>
      </c>
      <c r="AD2690">
        <v>45</v>
      </c>
      <c r="AE2690" s="1">
        <v>87300</v>
      </c>
      <c r="AF2690">
        <v>0</v>
      </c>
      <c r="AJ2690">
        <v>0</v>
      </c>
      <c r="AK2690">
        <v>0</v>
      </c>
      <c r="AL2690">
        <v>0</v>
      </c>
      <c r="AM2690" s="1">
        <v>2366.8000000000002</v>
      </c>
      <c r="AN2690" s="1">
        <v>2366.8000000000002</v>
      </c>
      <c r="AO2690" s="1">
        <v>2366.8000000000002</v>
      </c>
      <c r="AP2690" s="2">
        <v>42746</v>
      </c>
      <c r="AQ2690" t="s">
        <v>72</v>
      </c>
      <c r="AR2690" t="s">
        <v>72</v>
      </c>
      <c r="AS2690">
        <v>2982</v>
      </c>
      <c r="AT2690" s="4">
        <v>42682</v>
      </c>
      <c r="AU2690" t="s">
        <v>73</v>
      </c>
      <c r="AV2690">
        <v>2982</v>
      </c>
      <c r="AW2690" s="4">
        <v>42682</v>
      </c>
      <c r="BD2690">
        <v>0</v>
      </c>
      <c r="BN2690" t="s">
        <v>74</v>
      </c>
    </row>
    <row r="2691" spans="1:66">
      <c r="A2691">
        <v>100879</v>
      </c>
      <c r="B2691" s="3" t="s">
        <v>255</v>
      </c>
      <c r="C2691" s="1">
        <v>43300101</v>
      </c>
      <c r="D2691" t="s">
        <v>67</v>
      </c>
      <c r="H2691" t="str">
        <f t="shared" si="269"/>
        <v>04720630633</v>
      </c>
      <c r="I2691" t="str">
        <f t="shared" si="270"/>
        <v>01354901215</v>
      </c>
      <c r="K2691" t="str">
        <f>""</f>
        <v/>
      </c>
      <c r="M2691" t="s">
        <v>68</v>
      </c>
      <c r="N2691" t="str">
        <f t="shared" si="266"/>
        <v>FOR</v>
      </c>
      <c r="O2691" t="s">
        <v>69</v>
      </c>
      <c r="P2691" s="3" t="s">
        <v>75</v>
      </c>
      <c r="Q2691">
        <v>2016</v>
      </c>
      <c r="R2691" s="2">
        <v>42576</v>
      </c>
      <c r="S2691" s="2">
        <v>42577</v>
      </c>
      <c r="T2691" s="2">
        <v>42577</v>
      </c>
      <c r="U2691" s="2">
        <v>42637</v>
      </c>
      <c r="V2691" t="s">
        <v>71</v>
      </c>
      <c r="W2691" t="str">
        <f>"              7943/W"</f>
        <v xml:space="preserve">              7943/W</v>
      </c>
      <c r="X2691">
        <v>739.32</v>
      </c>
      <c r="Y2691">
        <v>0</v>
      </c>
      <c r="Z2691" s="3">
        <v>606</v>
      </c>
      <c r="AA2691">
        <v>45</v>
      </c>
      <c r="AB2691" s="5">
        <v>27270</v>
      </c>
      <c r="AC2691">
        <v>606</v>
      </c>
      <c r="AD2691">
        <v>45</v>
      </c>
      <c r="AE2691" s="1">
        <v>27270</v>
      </c>
      <c r="AF2691">
        <v>0</v>
      </c>
      <c r="AJ2691">
        <v>0</v>
      </c>
      <c r="AK2691">
        <v>0</v>
      </c>
      <c r="AL2691">
        <v>0</v>
      </c>
      <c r="AM2691">
        <v>739.32</v>
      </c>
      <c r="AN2691">
        <v>739.32</v>
      </c>
      <c r="AO2691">
        <v>739.32</v>
      </c>
      <c r="AP2691" s="2">
        <v>42746</v>
      </c>
      <c r="AQ2691" t="s">
        <v>72</v>
      </c>
      <c r="AR2691" t="s">
        <v>72</v>
      </c>
      <c r="AS2691">
        <v>2982</v>
      </c>
      <c r="AT2691" s="4">
        <v>42682</v>
      </c>
      <c r="AU2691" t="s">
        <v>73</v>
      </c>
      <c r="AV2691">
        <v>2982</v>
      </c>
      <c r="AW2691" s="4">
        <v>42682</v>
      </c>
      <c r="BD2691">
        <v>0</v>
      </c>
      <c r="BN2691" t="s">
        <v>74</v>
      </c>
    </row>
    <row r="2692" spans="1:66">
      <c r="A2692">
        <v>100879</v>
      </c>
      <c r="B2692" s="3" t="s">
        <v>255</v>
      </c>
      <c r="C2692" s="1">
        <v>43300101</v>
      </c>
      <c r="D2692" t="s">
        <v>67</v>
      </c>
      <c r="H2692" t="str">
        <f t="shared" si="269"/>
        <v>04720630633</v>
      </c>
      <c r="I2692" t="str">
        <f t="shared" si="270"/>
        <v>01354901215</v>
      </c>
      <c r="K2692" t="str">
        <f>""</f>
        <v/>
      </c>
      <c r="M2692" t="s">
        <v>68</v>
      </c>
      <c r="N2692" t="str">
        <f t="shared" si="266"/>
        <v>FOR</v>
      </c>
      <c r="O2692" t="s">
        <v>69</v>
      </c>
      <c r="P2692" s="3" t="s">
        <v>75</v>
      </c>
      <c r="Q2692">
        <v>2016</v>
      </c>
      <c r="R2692" s="2">
        <v>42576</v>
      </c>
      <c r="S2692" s="2">
        <v>42577</v>
      </c>
      <c r="T2692" s="2">
        <v>42577</v>
      </c>
      <c r="U2692" s="2">
        <v>42637</v>
      </c>
      <c r="V2692" t="s">
        <v>71</v>
      </c>
      <c r="W2692" t="str">
        <f>"              7944/W"</f>
        <v xml:space="preserve">              7944/W</v>
      </c>
      <c r="X2692" s="1">
        <v>1232.2</v>
      </c>
      <c r="Y2692">
        <v>0</v>
      </c>
      <c r="Z2692" s="5">
        <v>1010</v>
      </c>
      <c r="AA2692">
        <v>45</v>
      </c>
      <c r="AB2692" s="5">
        <v>45450</v>
      </c>
      <c r="AC2692" s="1">
        <v>1010</v>
      </c>
      <c r="AD2692">
        <v>45</v>
      </c>
      <c r="AE2692" s="1">
        <v>45450</v>
      </c>
      <c r="AF2692">
        <v>0</v>
      </c>
      <c r="AJ2692">
        <v>0</v>
      </c>
      <c r="AK2692">
        <v>0</v>
      </c>
      <c r="AL2692">
        <v>0</v>
      </c>
      <c r="AM2692" s="1">
        <v>1232.2</v>
      </c>
      <c r="AN2692" s="1">
        <v>1232.2</v>
      </c>
      <c r="AO2692" s="1">
        <v>1232.2</v>
      </c>
      <c r="AP2692" s="2">
        <v>42746</v>
      </c>
      <c r="AQ2692" t="s">
        <v>72</v>
      </c>
      <c r="AR2692" t="s">
        <v>72</v>
      </c>
      <c r="AS2692">
        <v>2982</v>
      </c>
      <c r="AT2692" s="4">
        <v>42682</v>
      </c>
      <c r="AU2692" t="s">
        <v>73</v>
      </c>
      <c r="AV2692">
        <v>2982</v>
      </c>
      <c r="AW2692" s="4">
        <v>42682</v>
      </c>
      <c r="BD2692">
        <v>0</v>
      </c>
      <c r="BN2692" t="s">
        <v>74</v>
      </c>
    </row>
    <row r="2693" spans="1:66">
      <c r="A2693">
        <v>100879</v>
      </c>
      <c r="B2693" s="3" t="s">
        <v>255</v>
      </c>
      <c r="C2693" s="1">
        <v>43300101</v>
      </c>
      <c r="D2693" t="s">
        <v>67</v>
      </c>
      <c r="H2693" t="str">
        <f t="shared" si="269"/>
        <v>04720630633</v>
      </c>
      <c r="I2693" t="str">
        <f t="shared" si="270"/>
        <v>01354901215</v>
      </c>
      <c r="K2693" t="str">
        <f>""</f>
        <v/>
      </c>
      <c r="M2693" t="s">
        <v>68</v>
      </c>
      <c r="N2693" t="str">
        <f t="shared" si="266"/>
        <v>FOR</v>
      </c>
      <c r="O2693" t="s">
        <v>69</v>
      </c>
      <c r="P2693" s="3" t="s">
        <v>75</v>
      </c>
      <c r="Q2693">
        <v>2016</v>
      </c>
      <c r="R2693" s="2">
        <v>42580</v>
      </c>
      <c r="S2693" s="2">
        <v>42584</v>
      </c>
      <c r="T2693" s="2">
        <v>42583</v>
      </c>
      <c r="U2693" s="2">
        <v>42643</v>
      </c>
      <c r="V2693" t="s">
        <v>71</v>
      </c>
      <c r="W2693" t="str">
        <f>"              8217/W"</f>
        <v xml:space="preserve">              8217/W</v>
      </c>
      <c r="X2693" s="1">
        <v>16470</v>
      </c>
      <c r="Y2693">
        <v>0</v>
      </c>
      <c r="Z2693" s="5">
        <v>13500</v>
      </c>
      <c r="AA2693">
        <v>39</v>
      </c>
      <c r="AB2693" s="5">
        <v>526500</v>
      </c>
      <c r="AC2693" s="1">
        <v>13500</v>
      </c>
      <c r="AD2693">
        <v>39</v>
      </c>
      <c r="AE2693" s="1">
        <v>526500</v>
      </c>
      <c r="AF2693">
        <v>0</v>
      </c>
      <c r="AJ2693">
        <v>0</v>
      </c>
      <c r="AK2693">
        <v>0</v>
      </c>
      <c r="AL2693">
        <v>0</v>
      </c>
      <c r="AM2693" s="1">
        <v>16470</v>
      </c>
      <c r="AN2693" s="1">
        <v>16470</v>
      </c>
      <c r="AO2693" s="1">
        <v>16470</v>
      </c>
      <c r="AP2693" s="2">
        <v>42746</v>
      </c>
      <c r="AQ2693" t="s">
        <v>72</v>
      </c>
      <c r="AR2693" t="s">
        <v>72</v>
      </c>
      <c r="AS2693">
        <v>2982</v>
      </c>
      <c r="AT2693" s="4">
        <v>42682</v>
      </c>
      <c r="AU2693" t="s">
        <v>73</v>
      </c>
      <c r="AV2693">
        <v>2982</v>
      </c>
      <c r="AW2693" s="4">
        <v>42682</v>
      </c>
      <c r="BD2693">
        <v>0</v>
      </c>
      <c r="BN2693" t="s">
        <v>74</v>
      </c>
    </row>
    <row r="2694" spans="1:66">
      <c r="A2694">
        <v>100879</v>
      </c>
      <c r="B2694" s="3" t="s">
        <v>255</v>
      </c>
      <c r="C2694" s="1">
        <v>43300101</v>
      </c>
      <c r="D2694" t="s">
        <v>67</v>
      </c>
      <c r="H2694" t="str">
        <f t="shared" si="269"/>
        <v>04720630633</v>
      </c>
      <c r="I2694" t="str">
        <f t="shared" si="270"/>
        <v>01354901215</v>
      </c>
      <c r="K2694" t="str">
        <f>""</f>
        <v/>
      </c>
      <c r="M2694" t="s">
        <v>68</v>
      </c>
      <c r="N2694" t="str">
        <f t="shared" si="266"/>
        <v>FOR</v>
      </c>
      <c r="O2694" t="s">
        <v>69</v>
      </c>
      <c r="P2694" s="3" t="s">
        <v>75</v>
      </c>
      <c r="Q2694">
        <v>2016</v>
      </c>
      <c r="R2694" s="2">
        <v>42587</v>
      </c>
      <c r="S2694" s="2">
        <v>42591</v>
      </c>
      <c r="T2694" s="2">
        <v>42590</v>
      </c>
      <c r="U2694" s="2">
        <v>42650</v>
      </c>
      <c r="V2694" t="s">
        <v>71</v>
      </c>
      <c r="W2694" t="str">
        <f>"              8447/W"</f>
        <v xml:space="preserve">              8447/W</v>
      </c>
      <c r="X2694">
        <v>244</v>
      </c>
      <c r="Y2694">
        <v>0</v>
      </c>
      <c r="Z2694" s="3">
        <v>200</v>
      </c>
      <c r="AA2694">
        <v>32</v>
      </c>
      <c r="AB2694" s="5">
        <v>6400</v>
      </c>
      <c r="AC2694">
        <v>200</v>
      </c>
      <c r="AD2694">
        <v>32</v>
      </c>
      <c r="AE2694" s="1">
        <v>6400</v>
      </c>
      <c r="AF2694">
        <v>0</v>
      </c>
      <c r="AJ2694">
        <v>0</v>
      </c>
      <c r="AK2694">
        <v>0</v>
      </c>
      <c r="AL2694">
        <v>0</v>
      </c>
      <c r="AM2694">
        <v>244</v>
      </c>
      <c r="AN2694">
        <v>244</v>
      </c>
      <c r="AO2694">
        <v>244</v>
      </c>
      <c r="AP2694" s="2">
        <v>42746</v>
      </c>
      <c r="AQ2694" t="s">
        <v>72</v>
      </c>
      <c r="AR2694" t="s">
        <v>72</v>
      </c>
      <c r="AS2694">
        <v>2982</v>
      </c>
      <c r="AT2694" s="4">
        <v>42682</v>
      </c>
      <c r="AU2694" t="s">
        <v>73</v>
      </c>
      <c r="AV2694">
        <v>2982</v>
      </c>
      <c r="AW2694" s="4">
        <v>42682</v>
      </c>
      <c r="BD2694">
        <v>0</v>
      </c>
      <c r="BN2694" t="s">
        <v>74</v>
      </c>
    </row>
    <row r="2695" spans="1:66">
      <c r="A2695">
        <v>100879</v>
      </c>
      <c r="B2695" s="3" t="s">
        <v>255</v>
      </c>
      <c r="C2695" s="1">
        <v>43300101</v>
      </c>
      <c r="D2695" t="s">
        <v>67</v>
      </c>
      <c r="H2695" t="str">
        <f t="shared" si="269"/>
        <v>04720630633</v>
      </c>
      <c r="I2695" t="str">
        <f t="shared" si="270"/>
        <v>01354901215</v>
      </c>
      <c r="K2695" t="str">
        <f>""</f>
        <v/>
      </c>
      <c r="M2695" t="s">
        <v>68</v>
      </c>
      <c r="N2695" t="str">
        <f t="shared" ref="N2695:N2758" si="271">"FOR"</f>
        <v>FOR</v>
      </c>
      <c r="O2695" t="s">
        <v>69</v>
      </c>
      <c r="P2695" s="3" t="s">
        <v>75</v>
      </c>
      <c r="Q2695">
        <v>2016</v>
      </c>
      <c r="R2695" s="2">
        <v>42622</v>
      </c>
      <c r="S2695" s="2">
        <v>42628</v>
      </c>
      <c r="T2695" s="2">
        <v>42625</v>
      </c>
      <c r="U2695" s="2">
        <v>42685</v>
      </c>
      <c r="V2695" t="s">
        <v>71</v>
      </c>
      <c r="W2695" t="str">
        <f>"              9253/W"</f>
        <v xml:space="preserve">              9253/W</v>
      </c>
      <c r="X2695">
        <v>120.78</v>
      </c>
      <c r="Y2695">
        <v>0</v>
      </c>
      <c r="Z2695" s="3">
        <v>99</v>
      </c>
      <c r="AA2695">
        <v>33</v>
      </c>
      <c r="AB2695" s="5">
        <v>3267</v>
      </c>
      <c r="AC2695">
        <v>99</v>
      </c>
      <c r="AD2695">
        <v>33</v>
      </c>
      <c r="AE2695" s="1">
        <v>3267</v>
      </c>
      <c r="AF2695">
        <v>21.78</v>
      </c>
      <c r="AJ2695">
        <v>0</v>
      </c>
      <c r="AK2695">
        <v>0</v>
      </c>
      <c r="AL2695">
        <v>0</v>
      </c>
      <c r="AM2695">
        <v>120.78</v>
      </c>
      <c r="AN2695">
        <v>120.78</v>
      </c>
      <c r="AO2695">
        <v>120.78</v>
      </c>
      <c r="AP2695" s="2">
        <v>42746</v>
      </c>
      <c r="AQ2695" t="s">
        <v>72</v>
      </c>
      <c r="AR2695" t="s">
        <v>72</v>
      </c>
      <c r="AS2695">
        <v>3467</v>
      </c>
      <c r="AT2695" s="4">
        <v>42718</v>
      </c>
      <c r="AU2695" t="s">
        <v>73</v>
      </c>
      <c r="AV2695">
        <v>3467</v>
      </c>
      <c r="AW2695" s="4">
        <v>42718</v>
      </c>
      <c r="AY2695">
        <v>21.78</v>
      </c>
      <c r="BD2695">
        <v>0</v>
      </c>
      <c r="BN2695" t="s">
        <v>74</v>
      </c>
    </row>
    <row r="2696" spans="1:66">
      <c r="A2696">
        <v>100879</v>
      </c>
      <c r="B2696" s="3" t="s">
        <v>255</v>
      </c>
      <c r="C2696" s="1">
        <v>43300101</v>
      </c>
      <c r="D2696" t="s">
        <v>67</v>
      </c>
      <c r="H2696" t="str">
        <f t="shared" si="269"/>
        <v>04720630633</v>
      </c>
      <c r="I2696" t="str">
        <f t="shared" si="270"/>
        <v>01354901215</v>
      </c>
      <c r="K2696" t="str">
        <f>""</f>
        <v/>
      </c>
      <c r="M2696" t="s">
        <v>68</v>
      </c>
      <c r="N2696" t="str">
        <f t="shared" si="271"/>
        <v>FOR</v>
      </c>
      <c r="O2696" t="s">
        <v>69</v>
      </c>
      <c r="P2696" s="3" t="s">
        <v>75</v>
      </c>
      <c r="Q2696">
        <v>2016</v>
      </c>
      <c r="R2696" s="2">
        <v>42636</v>
      </c>
      <c r="S2696" s="2">
        <v>42642</v>
      </c>
      <c r="T2696" s="2">
        <v>42639</v>
      </c>
      <c r="U2696" s="2">
        <v>42699</v>
      </c>
      <c r="V2696" t="s">
        <v>71</v>
      </c>
      <c r="W2696" t="str">
        <f>"              9708/W"</f>
        <v xml:space="preserve">              9708/W</v>
      </c>
      <c r="X2696">
        <v>939.4</v>
      </c>
      <c r="Y2696">
        <v>0</v>
      </c>
      <c r="Z2696" s="3">
        <v>770</v>
      </c>
      <c r="AA2696">
        <v>19</v>
      </c>
      <c r="AB2696" s="5">
        <v>14630</v>
      </c>
      <c r="AC2696">
        <v>770</v>
      </c>
      <c r="AD2696">
        <v>19</v>
      </c>
      <c r="AE2696" s="1">
        <v>14630</v>
      </c>
      <c r="AF2696">
        <v>169.4</v>
      </c>
      <c r="AJ2696">
        <v>0</v>
      </c>
      <c r="AK2696">
        <v>0</v>
      </c>
      <c r="AL2696">
        <v>0</v>
      </c>
      <c r="AM2696">
        <v>939.4</v>
      </c>
      <c r="AN2696">
        <v>939.4</v>
      </c>
      <c r="AO2696">
        <v>939.4</v>
      </c>
      <c r="AP2696" s="2">
        <v>42746</v>
      </c>
      <c r="AQ2696" t="s">
        <v>72</v>
      </c>
      <c r="AR2696" t="s">
        <v>72</v>
      </c>
      <c r="AS2696">
        <v>3467</v>
      </c>
      <c r="AT2696" s="4">
        <v>42718</v>
      </c>
      <c r="AU2696" t="s">
        <v>73</v>
      </c>
      <c r="AV2696">
        <v>3467</v>
      </c>
      <c r="AW2696" s="4">
        <v>42718</v>
      </c>
      <c r="AY2696">
        <v>169.4</v>
      </c>
      <c r="BD2696">
        <v>0</v>
      </c>
      <c r="BN2696" t="s">
        <v>74</v>
      </c>
    </row>
    <row r="2697" spans="1:66">
      <c r="A2697">
        <v>100879</v>
      </c>
      <c r="B2697" s="3" t="s">
        <v>255</v>
      </c>
      <c r="C2697" s="1">
        <v>43300101</v>
      </c>
      <c r="D2697" t="s">
        <v>67</v>
      </c>
      <c r="H2697" t="str">
        <f t="shared" si="269"/>
        <v>04720630633</v>
      </c>
      <c r="I2697" t="str">
        <f t="shared" si="270"/>
        <v>01354901215</v>
      </c>
      <c r="K2697" t="str">
        <f>""</f>
        <v/>
      </c>
      <c r="M2697" t="s">
        <v>68</v>
      </c>
      <c r="N2697" t="str">
        <f t="shared" si="271"/>
        <v>FOR</v>
      </c>
      <c r="O2697" t="s">
        <v>69</v>
      </c>
      <c r="P2697" s="3" t="s">
        <v>75</v>
      </c>
      <c r="Q2697">
        <v>2016</v>
      </c>
      <c r="R2697" s="2">
        <v>42636</v>
      </c>
      <c r="S2697" s="2">
        <v>42642</v>
      </c>
      <c r="T2697" s="2">
        <v>42639</v>
      </c>
      <c r="U2697" s="2">
        <v>42699</v>
      </c>
      <c r="V2697" t="s">
        <v>71</v>
      </c>
      <c r="W2697" t="str">
        <f>"              9709/W"</f>
        <v xml:space="preserve">              9709/W</v>
      </c>
      <c r="X2697">
        <v>492.88</v>
      </c>
      <c r="Y2697">
        <v>0</v>
      </c>
      <c r="Z2697" s="3">
        <v>404</v>
      </c>
      <c r="AA2697">
        <v>19</v>
      </c>
      <c r="AB2697" s="5">
        <v>7676</v>
      </c>
      <c r="AC2697">
        <v>404</v>
      </c>
      <c r="AD2697">
        <v>19</v>
      </c>
      <c r="AE2697" s="1">
        <v>7676</v>
      </c>
      <c r="AF2697">
        <v>88.88</v>
      </c>
      <c r="AJ2697">
        <v>0</v>
      </c>
      <c r="AK2697">
        <v>0</v>
      </c>
      <c r="AL2697">
        <v>0</v>
      </c>
      <c r="AM2697">
        <v>492.88</v>
      </c>
      <c r="AN2697">
        <v>492.88</v>
      </c>
      <c r="AO2697">
        <v>492.88</v>
      </c>
      <c r="AP2697" s="2">
        <v>42746</v>
      </c>
      <c r="AQ2697" t="s">
        <v>72</v>
      </c>
      <c r="AR2697" t="s">
        <v>72</v>
      </c>
      <c r="AS2697">
        <v>3467</v>
      </c>
      <c r="AT2697" s="4">
        <v>42718</v>
      </c>
      <c r="AU2697" t="s">
        <v>73</v>
      </c>
      <c r="AV2697">
        <v>3467</v>
      </c>
      <c r="AW2697" s="4">
        <v>42718</v>
      </c>
      <c r="AY2697">
        <v>88.88</v>
      </c>
      <c r="BD2697">
        <v>0</v>
      </c>
      <c r="BN2697" t="s">
        <v>74</v>
      </c>
    </row>
    <row r="2698" spans="1:66">
      <c r="A2698">
        <v>100879</v>
      </c>
      <c r="B2698" s="3" t="s">
        <v>255</v>
      </c>
      <c r="C2698" s="1">
        <v>43300101</v>
      </c>
      <c r="D2698" t="s">
        <v>67</v>
      </c>
      <c r="H2698" t="str">
        <f t="shared" si="269"/>
        <v>04720630633</v>
      </c>
      <c r="I2698" t="str">
        <f t="shared" si="270"/>
        <v>01354901215</v>
      </c>
      <c r="K2698" t="str">
        <f>""</f>
        <v/>
      </c>
      <c r="M2698" t="s">
        <v>68</v>
      </c>
      <c r="N2698" t="str">
        <f t="shared" si="271"/>
        <v>FOR</v>
      </c>
      <c r="O2698" t="s">
        <v>69</v>
      </c>
      <c r="P2698" s="3" t="s">
        <v>75</v>
      </c>
      <c r="Q2698">
        <v>2016</v>
      </c>
      <c r="R2698" s="2">
        <v>42643</v>
      </c>
      <c r="S2698" s="2">
        <v>42654</v>
      </c>
      <c r="T2698" s="2">
        <v>42649</v>
      </c>
      <c r="U2698" s="2">
        <v>42709</v>
      </c>
      <c r="V2698" t="s">
        <v>71</v>
      </c>
      <c r="W2698" t="str">
        <f>"              9979/W"</f>
        <v xml:space="preserve">              9979/W</v>
      </c>
      <c r="X2698">
        <v>13.42</v>
      </c>
      <c r="Y2698">
        <v>0</v>
      </c>
      <c r="Z2698" s="3">
        <v>11</v>
      </c>
      <c r="AA2698">
        <v>9</v>
      </c>
      <c r="AB2698" s="3">
        <v>99</v>
      </c>
      <c r="AC2698">
        <v>11</v>
      </c>
      <c r="AD2698">
        <v>9</v>
      </c>
      <c r="AE2698">
        <v>99</v>
      </c>
      <c r="AF2698">
        <v>2.42</v>
      </c>
      <c r="AJ2698">
        <v>13.42</v>
      </c>
      <c r="AK2698">
        <v>13.42</v>
      </c>
      <c r="AL2698">
        <v>0</v>
      </c>
      <c r="AM2698">
        <v>13.42</v>
      </c>
      <c r="AN2698">
        <v>13.42</v>
      </c>
      <c r="AO2698">
        <v>13.42</v>
      </c>
      <c r="AP2698" s="2">
        <v>42746</v>
      </c>
      <c r="AQ2698" t="s">
        <v>72</v>
      </c>
      <c r="AR2698" t="s">
        <v>72</v>
      </c>
      <c r="AS2698">
        <v>3467</v>
      </c>
      <c r="AT2698" s="4">
        <v>42718</v>
      </c>
      <c r="AU2698" t="s">
        <v>73</v>
      </c>
      <c r="AV2698">
        <v>3467</v>
      </c>
      <c r="AW2698" s="4">
        <v>42718</v>
      </c>
      <c r="AX2698">
        <v>2.42</v>
      </c>
      <c r="BD2698">
        <v>0</v>
      </c>
      <c r="BN2698" t="s">
        <v>74</v>
      </c>
    </row>
    <row r="2699" spans="1:66">
      <c r="A2699">
        <v>100879</v>
      </c>
      <c r="B2699" s="3" t="s">
        <v>255</v>
      </c>
      <c r="C2699" s="1">
        <v>43300101</v>
      </c>
      <c r="D2699" t="s">
        <v>67</v>
      </c>
      <c r="H2699" t="str">
        <f t="shared" si="269"/>
        <v>04720630633</v>
      </c>
      <c r="I2699" t="str">
        <f t="shared" si="270"/>
        <v>01354901215</v>
      </c>
      <c r="K2699" t="str">
        <f>""</f>
        <v/>
      </c>
      <c r="M2699" t="s">
        <v>68</v>
      </c>
      <c r="N2699" t="str">
        <f t="shared" si="271"/>
        <v>FOR</v>
      </c>
      <c r="O2699" t="s">
        <v>69</v>
      </c>
      <c r="P2699" s="3" t="s">
        <v>75</v>
      </c>
      <c r="Q2699">
        <v>2016</v>
      </c>
      <c r="R2699" s="2">
        <v>42643</v>
      </c>
      <c r="S2699" s="2">
        <v>42654</v>
      </c>
      <c r="T2699" s="2">
        <v>42649</v>
      </c>
      <c r="U2699" s="2">
        <v>42709</v>
      </c>
      <c r="V2699" t="s">
        <v>71</v>
      </c>
      <c r="W2699" t="str">
        <f>"              9980/W"</f>
        <v xml:space="preserve">              9980/W</v>
      </c>
      <c r="X2699">
        <v>303.77999999999997</v>
      </c>
      <c r="Y2699">
        <v>0</v>
      </c>
      <c r="Z2699" s="3">
        <v>249</v>
      </c>
      <c r="AA2699">
        <v>9</v>
      </c>
      <c r="AB2699" s="5">
        <v>2241</v>
      </c>
      <c r="AC2699">
        <v>249</v>
      </c>
      <c r="AD2699">
        <v>9</v>
      </c>
      <c r="AE2699" s="1">
        <v>2241</v>
      </c>
      <c r="AF2699">
        <v>54.78</v>
      </c>
      <c r="AJ2699">
        <v>0</v>
      </c>
      <c r="AK2699">
        <v>303.77999999999997</v>
      </c>
      <c r="AL2699">
        <v>0</v>
      </c>
      <c r="AM2699">
        <v>303.77999999999997</v>
      </c>
      <c r="AN2699">
        <v>303.77999999999997</v>
      </c>
      <c r="AO2699">
        <v>303.77999999999997</v>
      </c>
      <c r="AP2699" s="2">
        <v>42746</v>
      </c>
      <c r="AQ2699" t="s">
        <v>72</v>
      </c>
      <c r="AR2699" t="s">
        <v>72</v>
      </c>
      <c r="AS2699">
        <v>3467</v>
      </c>
      <c r="AT2699" s="4">
        <v>42718</v>
      </c>
      <c r="AU2699" t="s">
        <v>73</v>
      </c>
      <c r="AV2699">
        <v>3467</v>
      </c>
      <c r="AW2699" s="4">
        <v>42718</v>
      </c>
      <c r="AX2699">
        <v>54.78</v>
      </c>
      <c r="BD2699">
        <v>0</v>
      </c>
      <c r="BN2699" t="s">
        <v>74</v>
      </c>
    </row>
    <row r="2700" spans="1:66" hidden="1">
      <c r="A2700">
        <v>100905</v>
      </c>
      <c r="B2700" s="3" t="s">
        <v>256</v>
      </c>
      <c r="C2700" s="1">
        <v>43300101</v>
      </c>
      <c r="D2700" t="s">
        <v>67</v>
      </c>
      <c r="H2700" t="str">
        <f t="shared" ref="H2700:H2707" si="272">"06614040159"</f>
        <v>06614040159</v>
      </c>
      <c r="I2700" t="str">
        <f t="shared" ref="I2700:I2707" si="273">"09279340153"</f>
        <v>09279340153</v>
      </c>
      <c r="K2700" t="str">
        <f>""</f>
        <v/>
      </c>
      <c r="M2700" t="s">
        <v>68</v>
      </c>
      <c r="N2700" t="str">
        <f t="shared" si="271"/>
        <v>FOR</v>
      </c>
      <c r="O2700" t="s">
        <v>69</v>
      </c>
      <c r="P2700" s="3" t="s">
        <v>75</v>
      </c>
      <c r="Q2700">
        <v>2015</v>
      </c>
      <c r="R2700" s="2">
        <v>42149</v>
      </c>
      <c r="S2700" s="2">
        <v>42172</v>
      </c>
      <c r="T2700" s="2">
        <v>42171</v>
      </c>
      <c r="U2700" s="2">
        <v>42231</v>
      </c>
      <c r="V2700" t="s">
        <v>71</v>
      </c>
      <c r="W2700" t="str">
        <f>"            15103050"</f>
        <v xml:space="preserve">            15103050</v>
      </c>
      <c r="X2700" s="1">
        <v>7808</v>
      </c>
      <c r="Y2700">
        <v>0</v>
      </c>
      <c r="Z2700"/>
      <c r="AB2700"/>
      <c r="AC2700" s="1">
        <v>6400</v>
      </c>
      <c r="AD2700">
        <v>221</v>
      </c>
      <c r="AE2700" s="1">
        <v>1414400</v>
      </c>
      <c r="AF2700">
        <v>0</v>
      </c>
      <c r="AJ2700">
        <v>0</v>
      </c>
      <c r="AK2700">
        <v>0</v>
      </c>
      <c r="AL2700">
        <v>0</v>
      </c>
      <c r="AM2700">
        <v>0</v>
      </c>
      <c r="AN2700">
        <v>0</v>
      </c>
      <c r="AO2700">
        <v>0</v>
      </c>
      <c r="AP2700" s="2">
        <v>42746</v>
      </c>
      <c r="AQ2700" t="s">
        <v>72</v>
      </c>
      <c r="AR2700" t="s">
        <v>72</v>
      </c>
      <c r="AS2700">
        <v>780</v>
      </c>
      <c r="AT2700" s="4">
        <v>42452</v>
      </c>
      <c r="AU2700" t="s">
        <v>73</v>
      </c>
      <c r="AV2700">
        <v>780</v>
      </c>
      <c r="AW2700" s="4">
        <v>42452</v>
      </c>
      <c r="BD2700">
        <v>0</v>
      </c>
      <c r="BN2700" t="s">
        <v>74</v>
      </c>
    </row>
    <row r="2701" spans="1:66" hidden="1">
      <c r="A2701">
        <v>100905</v>
      </c>
      <c r="B2701" s="3" t="s">
        <v>256</v>
      </c>
      <c r="C2701" s="1">
        <v>43300101</v>
      </c>
      <c r="D2701" t="s">
        <v>67</v>
      </c>
      <c r="H2701" t="str">
        <f t="shared" si="272"/>
        <v>06614040159</v>
      </c>
      <c r="I2701" t="str">
        <f t="shared" si="273"/>
        <v>09279340153</v>
      </c>
      <c r="K2701" t="str">
        <f>""</f>
        <v/>
      </c>
      <c r="M2701" t="s">
        <v>68</v>
      </c>
      <c r="N2701" t="str">
        <f t="shared" si="271"/>
        <v>FOR</v>
      </c>
      <c r="O2701" t="s">
        <v>69</v>
      </c>
      <c r="P2701" s="3" t="s">
        <v>75</v>
      </c>
      <c r="Q2701">
        <v>2015</v>
      </c>
      <c r="R2701" s="2">
        <v>42180</v>
      </c>
      <c r="S2701" s="2">
        <v>42195</v>
      </c>
      <c r="T2701" s="2">
        <v>42193</v>
      </c>
      <c r="U2701" s="2">
        <v>42253</v>
      </c>
      <c r="V2701" t="s">
        <v>71</v>
      </c>
      <c r="W2701" t="str">
        <f>"            15103649"</f>
        <v xml:space="preserve">            15103649</v>
      </c>
      <c r="X2701" s="1">
        <v>1146.8</v>
      </c>
      <c r="Y2701">
        <v>0</v>
      </c>
      <c r="Z2701"/>
      <c r="AB2701"/>
      <c r="AC2701">
        <v>940</v>
      </c>
      <c r="AD2701">
        <v>199</v>
      </c>
      <c r="AE2701" s="1">
        <v>187060</v>
      </c>
      <c r="AF2701">
        <v>0</v>
      </c>
      <c r="AJ2701">
        <v>0</v>
      </c>
      <c r="AK2701">
        <v>0</v>
      </c>
      <c r="AL2701">
        <v>0</v>
      </c>
      <c r="AM2701">
        <v>0</v>
      </c>
      <c r="AN2701">
        <v>0</v>
      </c>
      <c r="AO2701">
        <v>0</v>
      </c>
      <c r="AP2701" s="2">
        <v>42746</v>
      </c>
      <c r="AQ2701" t="s">
        <v>72</v>
      </c>
      <c r="AR2701" t="s">
        <v>72</v>
      </c>
      <c r="AS2701">
        <v>780</v>
      </c>
      <c r="AT2701" s="4">
        <v>42452</v>
      </c>
      <c r="AU2701" t="s">
        <v>73</v>
      </c>
      <c r="AV2701">
        <v>780</v>
      </c>
      <c r="AW2701" s="4">
        <v>42452</v>
      </c>
      <c r="BD2701">
        <v>0</v>
      </c>
      <c r="BN2701" t="s">
        <v>74</v>
      </c>
    </row>
    <row r="2702" spans="1:66" hidden="1">
      <c r="A2702">
        <v>100905</v>
      </c>
      <c r="B2702" s="3" t="s">
        <v>256</v>
      </c>
      <c r="C2702" s="1">
        <v>43300101</v>
      </c>
      <c r="D2702" t="s">
        <v>67</v>
      </c>
      <c r="H2702" t="str">
        <f t="shared" si="272"/>
        <v>06614040159</v>
      </c>
      <c r="I2702" t="str">
        <f t="shared" si="273"/>
        <v>09279340153</v>
      </c>
      <c r="K2702" t="str">
        <f>""</f>
        <v/>
      </c>
      <c r="M2702" t="s">
        <v>68</v>
      </c>
      <c r="N2702" t="str">
        <f t="shared" si="271"/>
        <v>FOR</v>
      </c>
      <c r="O2702" t="s">
        <v>69</v>
      </c>
      <c r="P2702" s="3" t="s">
        <v>75</v>
      </c>
      <c r="Q2702">
        <v>2015</v>
      </c>
      <c r="R2702" s="2">
        <v>42191</v>
      </c>
      <c r="S2702" s="2">
        <v>42207</v>
      </c>
      <c r="T2702" s="2">
        <v>42207</v>
      </c>
      <c r="U2702" s="2">
        <v>42267</v>
      </c>
      <c r="V2702" t="s">
        <v>71</v>
      </c>
      <c r="W2702" t="str">
        <f>"            15103907"</f>
        <v xml:space="preserve">            15103907</v>
      </c>
      <c r="X2702" s="1">
        <v>7808</v>
      </c>
      <c r="Y2702">
        <v>0</v>
      </c>
      <c r="Z2702"/>
      <c r="AB2702"/>
      <c r="AC2702" s="1">
        <v>6400</v>
      </c>
      <c r="AD2702">
        <v>260</v>
      </c>
      <c r="AE2702" s="1">
        <v>1664000</v>
      </c>
      <c r="AF2702">
        <v>0</v>
      </c>
      <c r="AJ2702">
        <v>0</v>
      </c>
      <c r="AK2702">
        <v>0</v>
      </c>
      <c r="AL2702">
        <v>0</v>
      </c>
      <c r="AM2702">
        <v>0</v>
      </c>
      <c r="AN2702">
        <v>0</v>
      </c>
      <c r="AO2702">
        <v>0</v>
      </c>
      <c r="AP2702" s="2">
        <v>42746</v>
      </c>
      <c r="AQ2702" t="s">
        <v>72</v>
      </c>
      <c r="AR2702" t="s">
        <v>72</v>
      </c>
      <c r="AS2702">
        <v>1511</v>
      </c>
      <c r="AT2702" s="4">
        <v>42527</v>
      </c>
      <c r="AU2702" t="s">
        <v>73</v>
      </c>
      <c r="AV2702">
        <v>1511</v>
      </c>
      <c r="AW2702" s="4">
        <v>42527</v>
      </c>
      <c r="BD2702">
        <v>0</v>
      </c>
      <c r="BN2702" t="s">
        <v>74</v>
      </c>
    </row>
    <row r="2703" spans="1:66" hidden="1">
      <c r="A2703">
        <v>100905</v>
      </c>
      <c r="B2703" s="3" t="s">
        <v>256</v>
      </c>
      <c r="C2703" s="1">
        <v>43300101</v>
      </c>
      <c r="D2703" t="s">
        <v>67</v>
      </c>
      <c r="H2703" t="str">
        <f t="shared" si="272"/>
        <v>06614040159</v>
      </c>
      <c r="I2703" t="str">
        <f t="shared" si="273"/>
        <v>09279340153</v>
      </c>
      <c r="K2703" t="str">
        <f>""</f>
        <v/>
      </c>
      <c r="M2703" t="s">
        <v>68</v>
      </c>
      <c r="N2703" t="str">
        <f t="shared" si="271"/>
        <v>FOR</v>
      </c>
      <c r="O2703" t="s">
        <v>69</v>
      </c>
      <c r="P2703" s="3" t="s">
        <v>75</v>
      </c>
      <c r="Q2703">
        <v>2015</v>
      </c>
      <c r="R2703" s="2">
        <v>42307</v>
      </c>
      <c r="S2703" s="2">
        <v>42320</v>
      </c>
      <c r="T2703" s="2">
        <v>42320</v>
      </c>
      <c r="U2703" s="2">
        <v>42380</v>
      </c>
      <c r="V2703" t="s">
        <v>71</v>
      </c>
      <c r="W2703" t="str">
        <f>"            15106118"</f>
        <v xml:space="preserve">            15106118</v>
      </c>
      <c r="X2703" s="1">
        <v>7808</v>
      </c>
      <c r="Y2703">
        <v>0</v>
      </c>
      <c r="Z2703"/>
      <c r="AB2703"/>
      <c r="AC2703" s="1">
        <v>6400</v>
      </c>
      <c r="AD2703">
        <v>197</v>
      </c>
      <c r="AE2703" s="1">
        <v>1260800</v>
      </c>
      <c r="AF2703">
        <v>0</v>
      </c>
      <c r="AJ2703">
        <v>0</v>
      </c>
      <c r="AK2703">
        <v>0</v>
      </c>
      <c r="AL2703">
        <v>0</v>
      </c>
      <c r="AM2703">
        <v>0</v>
      </c>
      <c r="AN2703">
        <v>0</v>
      </c>
      <c r="AO2703">
        <v>0</v>
      </c>
      <c r="AP2703" s="2">
        <v>42746</v>
      </c>
      <c r="AQ2703" t="s">
        <v>72</v>
      </c>
      <c r="AR2703" t="s">
        <v>72</v>
      </c>
      <c r="AS2703">
        <v>1961</v>
      </c>
      <c r="AT2703" s="4">
        <v>42577</v>
      </c>
      <c r="AU2703" t="s">
        <v>73</v>
      </c>
      <c r="AV2703">
        <v>1961</v>
      </c>
      <c r="AW2703" s="4">
        <v>42577</v>
      </c>
      <c r="BD2703">
        <v>0</v>
      </c>
      <c r="BN2703" t="s">
        <v>74</v>
      </c>
    </row>
    <row r="2704" spans="1:66" hidden="1">
      <c r="A2704">
        <v>100905</v>
      </c>
      <c r="B2704" s="3" t="s">
        <v>256</v>
      </c>
      <c r="C2704" s="1">
        <v>43300101</v>
      </c>
      <c r="D2704" t="s">
        <v>67</v>
      </c>
      <c r="H2704" t="str">
        <f t="shared" si="272"/>
        <v>06614040159</v>
      </c>
      <c r="I2704" t="str">
        <f t="shared" si="273"/>
        <v>09279340153</v>
      </c>
      <c r="K2704" t="str">
        <f>""</f>
        <v/>
      </c>
      <c r="M2704" t="s">
        <v>68</v>
      </c>
      <c r="N2704" t="str">
        <f t="shared" si="271"/>
        <v>FOR</v>
      </c>
      <c r="O2704" t="s">
        <v>69</v>
      </c>
      <c r="P2704" s="3" t="s">
        <v>75</v>
      </c>
      <c r="Q2704">
        <v>2015</v>
      </c>
      <c r="R2704" s="2">
        <v>42340</v>
      </c>
      <c r="S2704" s="2">
        <v>42361</v>
      </c>
      <c r="T2704" s="2">
        <v>42361</v>
      </c>
      <c r="U2704" s="2">
        <v>42421</v>
      </c>
      <c r="V2704" t="s">
        <v>71</v>
      </c>
      <c r="W2704" t="str">
        <f>"            15106719"</f>
        <v xml:space="preserve">            15106719</v>
      </c>
      <c r="X2704">
        <v>573.4</v>
      </c>
      <c r="Y2704">
        <v>0</v>
      </c>
      <c r="Z2704"/>
      <c r="AB2704"/>
      <c r="AC2704">
        <v>470</v>
      </c>
      <c r="AD2704">
        <v>156</v>
      </c>
      <c r="AE2704" s="1">
        <v>73320</v>
      </c>
      <c r="AF2704">
        <v>0</v>
      </c>
      <c r="AJ2704">
        <v>0</v>
      </c>
      <c r="AK2704">
        <v>0</v>
      </c>
      <c r="AL2704">
        <v>0</v>
      </c>
      <c r="AM2704">
        <v>0</v>
      </c>
      <c r="AN2704">
        <v>0</v>
      </c>
      <c r="AO2704">
        <v>0</v>
      </c>
      <c r="AP2704" s="2">
        <v>42746</v>
      </c>
      <c r="AQ2704" t="s">
        <v>72</v>
      </c>
      <c r="AR2704" t="s">
        <v>72</v>
      </c>
      <c r="AS2704">
        <v>1961</v>
      </c>
      <c r="AT2704" s="4">
        <v>42577</v>
      </c>
      <c r="AU2704" t="s">
        <v>73</v>
      </c>
      <c r="AV2704">
        <v>1961</v>
      </c>
      <c r="AW2704" s="4">
        <v>42577</v>
      </c>
      <c r="BD2704">
        <v>0</v>
      </c>
      <c r="BN2704" t="s">
        <v>74</v>
      </c>
    </row>
    <row r="2705" spans="1:66" hidden="1">
      <c r="A2705">
        <v>100905</v>
      </c>
      <c r="B2705" s="3" t="s">
        <v>256</v>
      </c>
      <c r="C2705" s="1">
        <v>43300101</v>
      </c>
      <c r="D2705" t="s">
        <v>67</v>
      </c>
      <c r="H2705" t="str">
        <f t="shared" si="272"/>
        <v>06614040159</v>
      </c>
      <c r="I2705" t="str">
        <f t="shared" si="273"/>
        <v>09279340153</v>
      </c>
      <c r="K2705" t="str">
        <f>""</f>
        <v/>
      </c>
      <c r="M2705" t="s">
        <v>68</v>
      </c>
      <c r="N2705" t="str">
        <f t="shared" si="271"/>
        <v>FOR</v>
      </c>
      <c r="O2705" t="s">
        <v>69</v>
      </c>
      <c r="P2705" s="3" t="s">
        <v>75</v>
      </c>
      <c r="Q2705">
        <v>2015</v>
      </c>
      <c r="R2705" s="2">
        <v>42352</v>
      </c>
      <c r="S2705" s="2">
        <v>42369</v>
      </c>
      <c r="T2705" s="2">
        <v>42369</v>
      </c>
      <c r="U2705" s="2">
        <v>42429</v>
      </c>
      <c r="V2705" t="s">
        <v>71</v>
      </c>
      <c r="W2705" t="str">
        <f>"            15106918"</f>
        <v xml:space="preserve">            15106918</v>
      </c>
      <c r="X2705">
        <v>573.4</v>
      </c>
      <c r="Y2705">
        <v>0</v>
      </c>
      <c r="Z2705"/>
      <c r="AB2705"/>
      <c r="AC2705">
        <v>470</v>
      </c>
      <c r="AD2705">
        <v>148</v>
      </c>
      <c r="AE2705" s="1">
        <v>69560</v>
      </c>
      <c r="AF2705">
        <v>0</v>
      </c>
      <c r="AJ2705">
        <v>0</v>
      </c>
      <c r="AK2705">
        <v>0</v>
      </c>
      <c r="AL2705">
        <v>0</v>
      </c>
      <c r="AM2705">
        <v>0</v>
      </c>
      <c r="AN2705">
        <v>0</v>
      </c>
      <c r="AO2705">
        <v>0</v>
      </c>
      <c r="AP2705" s="2">
        <v>42746</v>
      </c>
      <c r="AQ2705" t="s">
        <v>72</v>
      </c>
      <c r="AR2705" t="s">
        <v>72</v>
      </c>
      <c r="AS2705">
        <v>1961</v>
      </c>
      <c r="AT2705" s="4">
        <v>42577</v>
      </c>
      <c r="AU2705" t="s">
        <v>73</v>
      </c>
      <c r="AV2705">
        <v>1961</v>
      </c>
      <c r="AW2705" s="4">
        <v>42577</v>
      </c>
      <c r="BD2705">
        <v>0</v>
      </c>
      <c r="BN2705" t="s">
        <v>74</v>
      </c>
    </row>
    <row r="2706" spans="1:66">
      <c r="A2706">
        <v>100905</v>
      </c>
      <c r="B2706" s="3" t="s">
        <v>256</v>
      </c>
      <c r="C2706" s="1">
        <v>43300101</v>
      </c>
      <c r="D2706" t="s">
        <v>67</v>
      </c>
      <c r="H2706" t="str">
        <f t="shared" si="272"/>
        <v>06614040159</v>
      </c>
      <c r="I2706" t="str">
        <f t="shared" si="273"/>
        <v>09279340153</v>
      </c>
      <c r="K2706" t="str">
        <f>""</f>
        <v/>
      </c>
      <c r="M2706" t="s">
        <v>68</v>
      </c>
      <c r="N2706" t="str">
        <f t="shared" si="271"/>
        <v>FOR</v>
      </c>
      <c r="O2706" t="s">
        <v>69</v>
      </c>
      <c r="P2706" s="3" t="s">
        <v>75</v>
      </c>
      <c r="Q2706">
        <v>2016</v>
      </c>
      <c r="R2706" s="2">
        <v>42520</v>
      </c>
      <c r="S2706" s="2">
        <v>42530</v>
      </c>
      <c r="T2706" s="2">
        <v>42527</v>
      </c>
      <c r="U2706" s="2">
        <v>42587</v>
      </c>
      <c r="V2706" t="s">
        <v>71</v>
      </c>
      <c r="W2706" t="str">
        <f>"            16102951"</f>
        <v xml:space="preserve">            16102951</v>
      </c>
      <c r="X2706" s="1">
        <v>12685.56</v>
      </c>
      <c r="Y2706">
        <v>0</v>
      </c>
      <c r="Z2706" s="5">
        <v>10398</v>
      </c>
      <c r="AA2706">
        <v>95</v>
      </c>
      <c r="AB2706" s="5">
        <v>987810</v>
      </c>
      <c r="AC2706" s="1">
        <v>10398</v>
      </c>
      <c r="AD2706">
        <v>95</v>
      </c>
      <c r="AE2706" s="1">
        <v>987810</v>
      </c>
      <c r="AF2706">
        <v>0</v>
      </c>
      <c r="AJ2706">
        <v>0</v>
      </c>
      <c r="AK2706">
        <v>0</v>
      </c>
      <c r="AL2706">
        <v>0</v>
      </c>
      <c r="AM2706" s="1">
        <v>12685.56</v>
      </c>
      <c r="AN2706" s="1">
        <v>12685.56</v>
      </c>
      <c r="AO2706" s="1">
        <v>12685.56</v>
      </c>
      <c r="AP2706" s="2">
        <v>42746</v>
      </c>
      <c r="AQ2706" t="s">
        <v>72</v>
      </c>
      <c r="AR2706" t="s">
        <v>72</v>
      </c>
      <c r="AS2706">
        <v>2977</v>
      </c>
      <c r="AT2706" s="4">
        <v>42682</v>
      </c>
      <c r="AU2706" t="s">
        <v>73</v>
      </c>
      <c r="AV2706">
        <v>2977</v>
      </c>
      <c r="AW2706" s="4">
        <v>42682</v>
      </c>
      <c r="BD2706">
        <v>0</v>
      </c>
      <c r="BN2706" t="s">
        <v>74</v>
      </c>
    </row>
    <row r="2707" spans="1:66">
      <c r="A2707">
        <v>100905</v>
      </c>
      <c r="B2707" s="3" t="s">
        <v>256</v>
      </c>
      <c r="C2707" s="1">
        <v>43300101</v>
      </c>
      <c r="D2707" t="s">
        <v>67</v>
      </c>
      <c r="H2707" t="str">
        <f t="shared" si="272"/>
        <v>06614040159</v>
      </c>
      <c r="I2707" t="str">
        <f t="shared" si="273"/>
        <v>09279340153</v>
      </c>
      <c r="K2707" t="str">
        <f>""</f>
        <v/>
      </c>
      <c r="M2707" t="s">
        <v>68</v>
      </c>
      <c r="N2707" t="str">
        <f t="shared" si="271"/>
        <v>FOR</v>
      </c>
      <c r="O2707" t="s">
        <v>69</v>
      </c>
      <c r="P2707" s="3" t="s">
        <v>75</v>
      </c>
      <c r="Q2707">
        <v>2016</v>
      </c>
      <c r="R2707" s="2">
        <v>42521</v>
      </c>
      <c r="S2707" s="2">
        <v>42534</v>
      </c>
      <c r="T2707" s="2">
        <v>42531</v>
      </c>
      <c r="U2707" s="2">
        <v>42591</v>
      </c>
      <c r="V2707" t="s">
        <v>71</v>
      </c>
      <c r="W2707" t="str">
        <f>"            16103008"</f>
        <v xml:space="preserve">            16103008</v>
      </c>
      <c r="X2707">
        <v>845.46</v>
      </c>
      <c r="Y2707">
        <v>0</v>
      </c>
      <c r="Z2707" s="3">
        <v>693</v>
      </c>
      <c r="AA2707">
        <v>91</v>
      </c>
      <c r="AB2707" s="5">
        <v>63063</v>
      </c>
      <c r="AC2707">
        <v>693</v>
      </c>
      <c r="AD2707">
        <v>91</v>
      </c>
      <c r="AE2707" s="1">
        <v>63063</v>
      </c>
      <c r="AF2707">
        <v>0</v>
      </c>
      <c r="AJ2707">
        <v>0</v>
      </c>
      <c r="AK2707">
        <v>0</v>
      </c>
      <c r="AL2707">
        <v>0</v>
      </c>
      <c r="AM2707">
        <v>845.46</v>
      </c>
      <c r="AN2707">
        <v>845.46</v>
      </c>
      <c r="AO2707">
        <v>845.46</v>
      </c>
      <c r="AP2707" s="2">
        <v>42746</v>
      </c>
      <c r="AQ2707" t="s">
        <v>72</v>
      </c>
      <c r="AR2707" t="s">
        <v>72</v>
      </c>
      <c r="AS2707">
        <v>2977</v>
      </c>
      <c r="AT2707" s="4">
        <v>42682</v>
      </c>
      <c r="AU2707" t="s">
        <v>73</v>
      </c>
      <c r="AV2707">
        <v>2977</v>
      </c>
      <c r="AW2707" s="4">
        <v>42682</v>
      </c>
      <c r="BD2707">
        <v>0</v>
      </c>
      <c r="BN2707" t="s">
        <v>74</v>
      </c>
    </row>
    <row r="2708" spans="1:66" hidden="1">
      <c r="A2708">
        <v>100906</v>
      </c>
      <c r="B2708" s="3" t="s">
        <v>257</v>
      </c>
      <c r="C2708" s="1">
        <v>43300101</v>
      </c>
      <c r="D2708" t="s">
        <v>67</v>
      </c>
      <c r="H2708" t="str">
        <f t="shared" ref="H2708:I2727" si="274">"06978161005"</f>
        <v>06978161005</v>
      </c>
      <c r="I2708" t="str">
        <f t="shared" si="274"/>
        <v>06978161005</v>
      </c>
      <c r="K2708" t="str">
        <f>""</f>
        <v/>
      </c>
      <c r="M2708" t="s">
        <v>68</v>
      </c>
      <c r="N2708" t="str">
        <f t="shared" si="271"/>
        <v>FOR</v>
      </c>
      <c r="O2708" t="s">
        <v>69</v>
      </c>
      <c r="P2708" s="3" t="s">
        <v>258</v>
      </c>
      <c r="Q2708">
        <v>2016</v>
      </c>
      <c r="R2708" s="2">
        <v>42431</v>
      </c>
      <c r="S2708" s="2">
        <v>42431</v>
      </c>
      <c r="T2708" s="2">
        <v>42431</v>
      </c>
      <c r="U2708" s="2">
        <v>42491</v>
      </c>
      <c r="V2708" t="s">
        <v>71</v>
      </c>
      <c r="W2708" t="str">
        <f>"                  40"</f>
        <v xml:space="preserve">                  40</v>
      </c>
      <c r="X2708">
        <v>0</v>
      </c>
      <c r="Y2708" s="1">
        <v>14959.69</v>
      </c>
      <c r="Z2708"/>
      <c r="AB2708"/>
      <c r="AC2708" s="1">
        <v>14959.69</v>
      </c>
      <c r="AD2708">
        <v>-55</v>
      </c>
      <c r="AE2708" s="1">
        <v>-822782.95</v>
      </c>
      <c r="AF2708">
        <v>0</v>
      </c>
      <c r="AJ2708">
        <v>0</v>
      </c>
      <c r="AK2708">
        <v>0</v>
      </c>
      <c r="AL2708">
        <v>0</v>
      </c>
      <c r="AM2708" s="1">
        <v>14959.69</v>
      </c>
      <c r="AN2708" s="1">
        <v>14959.69</v>
      </c>
      <c r="AO2708" s="1">
        <v>14959.69</v>
      </c>
      <c r="AP2708" s="2">
        <v>42746</v>
      </c>
      <c r="AQ2708" t="s">
        <v>72</v>
      </c>
      <c r="AR2708" t="s">
        <v>72</v>
      </c>
      <c r="AS2708">
        <v>674</v>
      </c>
      <c r="AT2708" s="4">
        <v>42436</v>
      </c>
      <c r="AV2708">
        <v>674</v>
      </c>
      <c r="AW2708" s="4">
        <v>42436</v>
      </c>
      <c r="BD2708">
        <v>0</v>
      </c>
      <c r="BN2708" t="s">
        <v>74</v>
      </c>
    </row>
    <row r="2709" spans="1:66" hidden="1">
      <c r="A2709">
        <v>100906</v>
      </c>
      <c r="B2709" s="3" t="s">
        <v>257</v>
      </c>
      <c r="C2709" s="1">
        <v>43300101</v>
      </c>
      <c r="D2709" t="s">
        <v>67</v>
      </c>
      <c r="H2709" t="str">
        <f t="shared" si="274"/>
        <v>06978161005</v>
      </c>
      <c r="I2709" t="str">
        <f t="shared" si="274"/>
        <v>06978161005</v>
      </c>
      <c r="K2709" t="str">
        <f>""</f>
        <v/>
      </c>
      <c r="M2709" t="s">
        <v>68</v>
      </c>
      <c r="N2709" t="str">
        <f t="shared" si="271"/>
        <v>FOR</v>
      </c>
      <c r="O2709" t="s">
        <v>69</v>
      </c>
      <c r="P2709" s="3" t="s">
        <v>259</v>
      </c>
      <c r="Q2709">
        <v>2016</v>
      </c>
      <c r="R2709" s="2">
        <v>42431</v>
      </c>
      <c r="S2709" s="2">
        <v>42431</v>
      </c>
      <c r="T2709" s="2">
        <v>42431</v>
      </c>
      <c r="U2709" s="2">
        <v>42491</v>
      </c>
      <c r="V2709" t="s">
        <v>71</v>
      </c>
      <c r="W2709" t="str">
        <f>"                  41"</f>
        <v xml:space="preserve">                  41</v>
      </c>
      <c r="X2709">
        <v>0</v>
      </c>
      <c r="Y2709" s="1">
        <v>14959.69</v>
      </c>
      <c r="Z2709"/>
      <c r="AB2709"/>
      <c r="AC2709" s="1">
        <v>14959.69</v>
      </c>
      <c r="AD2709">
        <v>-55</v>
      </c>
      <c r="AE2709" s="1">
        <v>-822782.95</v>
      </c>
      <c r="AF2709">
        <v>0</v>
      </c>
      <c r="AJ2709">
        <v>0</v>
      </c>
      <c r="AK2709">
        <v>0</v>
      </c>
      <c r="AL2709">
        <v>0</v>
      </c>
      <c r="AM2709" s="1">
        <v>14959.69</v>
      </c>
      <c r="AN2709" s="1">
        <v>14959.69</v>
      </c>
      <c r="AO2709" s="1">
        <v>14959.69</v>
      </c>
      <c r="AP2709" s="2">
        <v>42746</v>
      </c>
      <c r="AQ2709" t="s">
        <v>72</v>
      </c>
      <c r="AR2709" t="s">
        <v>72</v>
      </c>
      <c r="AS2709">
        <v>675</v>
      </c>
      <c r="AT2709" s="4">
        <v>42436</v>
      </c>
      <c r="AV2709">
        <v>675</v>
      </c>
      <c r="AW2709" s="4">
        <v>42436</v>
      </c>
      <c r="BD2709">
        <v>0</v>
      </c>
      <c r="BN2709" t="s">
        <v>74</v>
      </c>
    </row>
    <row r="2710" spans="1:66" hidden="1">
      <c r="A2710">
        <v>100906</v>
      </c>
      <c r="B2710" s="3" t="s">
        <v>257</v>
      </c>
      <c r="C2710" s="1">
        <v>43300101</v>
      </c>
      <c r="D2710" t="s">
        <v>67</v>
      </c>
      <c r="H2710" t="str">
        <f t="shared" si="274"/>
        <v>06978161005</v>
      </c>
      <c r="I2710" t="str">
        <f t="shared" si="274"/>
        <v>06978161005</v>
      </c>
      <c r="K2710" t="str">
        <f>""</f>
        <v/>
      </c>
      <c r="M2710" t="s">
        <v>68</v>
      </c>
      <c r="N2710" t="str">
        <f t="shared" si="271"/>
        <v>FOR</v>
      </c>
      <c r="O2710" t="s">
        <v>69</v>
      </c>
      <c r="P2710" s="3" t="s">
        <v>260</v>
      </c>
      <c r="Q2710">
        <v>2016</v>
      </c>
      <c r="R2710" s="2">
        <v>42431</v>
      </c>
      <c r="S2710" s="2">
        <v>42431</v>
      </c>
      <c r="T2710" s="2">
        <v>42431</v>
      </c>
      <c r="U2710" s="2">
        <v>42491</v>
      </c>
      <c r="V2710" t="s">
        <v>71</v>
      </c>
      <c r="W2710" t="str">
        <f>"                  42"</f>
        <v xml:space="preserve">                  42</v>
      </c>
      <c r="X2710">
        <v>0</v>
      </c>
      <c r="Y2710" s="1">
        <v>14959</v>
      </c>
      <c r="Z2710"/>
      <c r="AB2710"/>
      <c r="AC2710" s="1">
        <v>14959</v>
      </c>
      <c r="AD2710">
        <v>-55</v>
      </c>
      <c r="AE2710" s="1">
        <v>-822745</v>
      </c>
      <c r="AF2710">
        <v>0</v>
      </c>
      <c r="AJ2710">
        <v>0</v>
      </c>
      <c r="AK2710">
        <v>0</v>
      </c>
      <c r="AL2710">
        <v>0</v>
      </c>
      <c r="AM2710" s="1">
        <v>14959</v>
      </c>
      <c r="AN2710" s="1">
        <v>14959</v>
      </c>
      <c r="AO2710" s="1">
        <v>14959</v>
      </c>
      <c r="AP2710" s="2">
        <v>42746</v>
      </c>
      <c r="AQ2710" t="s">
        <v>72</v>
      </c>
      <c r="AR2710" t="s">
        <v>72</v>
      </c>
      <c r="AS2710">
        <v>672</v>
      </c>
      <c r="AT2710" s="4">
        <v>42436</v>
      </c>
      <c r="AV2710">
        <v>672</v>
      </c>
      <c r="AW2710" s="4">
        <v>42436</v>
      </c>
      <c r="BD2710">
        <v>0</v>
      </c>
      <c r="BN2710" t="s">
        <v>74</v>
      </c>
    </row>
    <row r="2711" spans="1:66" hidden="1">
      <c r="A2711">
        <v>100906</v>
      </c>
      <c r="B2711" s="3" t="s">
        <v>257</v>
      </c>
      <c r="C2711" s="1">
        <v>43300101</v>
      </c>
      <c r="D2711" t="s">
        <v>67</v>
      </c>
      <c r="H2711" t="str">
        <f t="shared" si="274"/>
        <v>06978161005</v>
      </c>
      <c r="I2711" t="str">
        <f t="shared" si="274"/>
        <v>06978161005</v>
      </c>
      <c r="K2711" t="str">
        <f>""</f>
        <v/>
      </c>
      <c r="M2711" t="s">
        <v>68</v>
      </c>
      <c r="N2711" t="str">
        <f t="shared" si="271"/>
        <v>FOR</v>
      </c>
      <c r="O2711" t="s">
        <v>69</v>
      </c>
      <c r="P2711" s="3" t="s">
        <v>261</v>
      </c>
      <c r="Q2711">
        <v>2016</v>
      </c>
      <c r="R2711" s="2">
        <v>42431</v>
      </c>
      <c r="S2711" s="2">
        <v>42431</v>
      </c>
      <c r="T2711" s="2">
        <v>42431</v>
      </c>
      <c r="U2711" s="2">
        <v>42491</v>
      </c>
      <c r="V2711" t="s">
        <v>71</v>
      </c>
      <c r="W2711" t="str">
        <f>"                  43"</f>
        <v xml:space="preserve">                  43</v>
      </c>
      <c r="X2711">
        <v>0</v>
      </c>
      <c r="Y2711" s="1">
        <v>14959</v>
      </c>
      <c r="Z2711"/>
      <c r="AB2711"/>
      <c r="AC2711" s="1">
        <v>14959</v>
      </c>
      <c r="AD2711">
        <v>-55</v>
      </c>
      <c r="AE2711" s="1">
        <v>-822745</v>
      </c>
      <c r="AF2711">
        <v>0</v>
      </c>
      <c r="AJ2711">
        <v>0</v>
      </c>
      <c r="AK2711">
        <v>0</v>
      </c>
      <c r="AL2711">
        <v>0</v>
      </c>
      <c r="AM2711" s="1">
        <v>14959</v>
      </c>
      <c r="AN2711" s="1">
        <v>14959</v>
      </c>
      <c r="AO2711" s="1">
        <v>14959</v>
      </c>
      <c r="AP2711" s="2">
        <v>42746</v>
      </c>
      <c r="AQ2711" t="s">
        <v>72</v>
      </c>
      <c r="AR2711" t="s">
        <v>72</v>
      </c>
      <c r="AS2711">
        <v>673</v>
      </c>
      <c r="AT2711" s="4">
        <v>42436</v>
      </c>
      <c r="AV2711">
        <v>673</v>
      </c>
      <c r="AW2711" s="4">
        <v>42436</v>
      </c>
      <c r="BD2711">
        <v>0</v>
      </c>
      <c r="BN2711" t="s">
        <v>74</v>
      </c>
    </row>
    <row r="2712" spans="1:66" hidden="1">
      <c r="A2712">
        <v>100906</v>
      </c>
      <c r="B2712" s="3" t="s">
        <v>257</v>
      </c>
      <c r="C2712" s="1">
        <v>43300101</v>
      </c>
      <c r="D2712" t="s">
        <v>67</v>
      </c>
      <c r="H2712" t="str">
        <f t="shared" si="274"/>
        <v>06978161005</v>
      </c>
      <c r="I2712" t="str">
        <f t="shared" si="274"/>
        <v>06978161005</v>
      </c>
      <c r="K2712" t="str">
        <f>""</f>
        <v/>
      </c>
      <c r="M2712" t="s">
        <v>68</v>
      </c>
      <c r="N2712" t="str">
        <f t="shared" si="271"/>
        <v>FOR</v>
      </c>
      <c r="O2712" t="s">
        <v>69</v>
      </c>
      <c r="P2712" s="3" t="s">
        <v>262</v>
      </c>
      <c r="Q2712">
        <v>2016</v>
      </c>
      <c r="R2712" s="2">
        <v>42431</v>
      </c>
      <c r="S2712" s="2">
        <v>42431</v>
      </c>
      <c r="T2712" s="2">
        <v>42431</v>
      </c>
      <c r="U2712" s="2">
        <v>42491</v>
      </c>
      <c r="V2712" t="s">
        <v>71</v>
      </c>
      <c r="W2712" t="str">
        <f>"                  44"</f>
        <v xml:space="preserve">                  44</v>
      </c>
      <c r="X2712">
        <v>0</v>
      </c>
      <c r="Y2712">
        <v>75.319999999999993</v>
      </c>
      <c r="Z2712"/>
      <c r="AB2712"/>
      <c r="AC2712">
        <v>75.319999999999993</v>
      </c>
      <c r="AD2712">
        <v>-55</v>
      </c>
      <c r="AE2712" s="1">
        <v>-4142.6000000000004</v>
      </c>
      <c r="AF2712">
        <v>0</v>
      </c>
      <c r="AJ2712">
        <v>0</v>
      </c>
      <c r="AK2712">
        <v>0</v>
      </c>
      <c r="AL2712">
        <v>0</v>
      </c>
      <c r="AM2712">
        <v>75.319999999999993</v>
      </c>
      <c r="AN2712">
        <v>75.319999999999993</v>
      </c>
      <c r="AO2712">
        <v>75.319999999999993</v>
      </c>
      <c r="AP2712" s="2">
        <v>42746</v>
      </c>
      <c r="AQ2712" t="s">
        <v>72</v>
      </c>
      <c r="AR2712" t="s">
        <v>72</v>
      </c>
      <c r="AS2712">
        <v>676</v>
      </c>
      <c r="AT2712" s="4">
        <v>42436</v>
      </c>
      <c r="AV2712">
        <v>676</v>
      </c>
      <c r="AW2712" s="4">
        <v>42436</v>
      </c>
      <c r="BD2712">
        <v>0</v>
      </c>
      <c r="BN2712" t="s">
        <v>74</v>
      </c>
    </row>
    <row r="2713" spans="1:66" hidden="1">
      <c r="A2713">
        <v>100906</v>
      </c>
      <c r="B2713" s="3" t="s">
        <v>257</v>
      </c>
      <c r="C2713" s="1">
        <v>43300101</v>
      </c>
      <c r="D2713" t="s">
        <v>67</v>
      </c>
      <c r="H2713" t="str">
        <f t="shared" si="274"/>
        <v>06978161005</v>
      </c>
      <c r="I2713" t="str">
        <f t="shared" si="274"/>
        <v>06978161005</v>
      </c>
      <c r="K2713" t="str">
        <f>""</f>
        <v/>
      </c>
      <c r="M2713" t="s">
        <v>68</v>
      </c>
      <c r="N2713" t="str">
        <f t="shared" si="271"/>
        <v>FOR</v>
      </c>
      <c r="O2713" t="s">
        <v>69</v>
      </c>
      <c r="P2713" s="3" t="s">
        <v>263</v>
      </c>
      <c r="Q2713">
        <v>2016</v>
      </c>
      <c r="R2713" s="2">
        <v>42431</v>
      </c>
      <c r="S2713" s="2">
        <v>42431</v>
      </c>
      <c r="T2713" s="2">
        <v>42431</v>
      </c>
      <c r="U2713" s="2">
        <v>42491</v>
      </c>
      <c r="V2713" t="s">
        <v>71</v>
      </c>
      <c r="W2713" t="str">
        <f>"                  45"</f>
        <v xml:space="preserve">                  45</v>
      </c>
      <c r="X2713">
        <v>0</v>
      </c>
      <c r="Y2713">
        <v>90</v>
      </c>
      <c r="Z2713"/>
      <c r="AB2713"/>
      <c r="AC2713">
        <v>90</v>
      </c>
      <c r="AD2713">
        <v>-55</v>
      </c>
      <c r="AE2713" s="1">
        <v>-4950</v>
      </c>
      <c r="AF2713">
        <v>0</v>
      </c>
      <c r="AJ2713">
        <v>0</v>
      </c>
      <c r="AK2713">
        <v>0</v>
      </c>
      <c r="AL2713">
        <v>0</v>
      </c>
      <c r="AM2713">
        <v>90</v>
      </c>
      <c r="AN2713">
        <v>90</v>
      </c>
      <c r="AO2713">
        <v>90</v>
      </c>
      <c r="AP2713" s="2">
        <v>42746</v>
      </c>
      <c r="AQ2713" t="s">
        <v>72</v>
      </c>
      <c r="AR2713" t="s">
        <v>72</v>
      </c>
      <c r="AS2713">
        <v>677</v>
      </c>
      <c r="AT2713" s="4">
        <v>42436</v>
      </c>
      <c r="AV2713">
        <v>677</v>
      </c>
      <c r="AW2713" s="4">
        <v>42436</v>
      </c>
      <c r="BD2713">
        <v>0</v>
      </c>
      <c r="BN2713" t="s">
        <v>74</v>
      </c>
    </row>
    <row r="2714" spans="1:66" hidden="1">
      <c r="A2714">
        <v>100906</v>
      </c>
      <c r="B2714" s="3" t="s">
        <v>257</v>
      </c>
      <c r="C2714" s="1">
        <v>43300101</v>
      </c>
      <c r="D2714" t="s">
        <v>67</v>
      </c>
      <c r="H2714" t="str">
        <f t="shared" si="274"/>
        <v>06978161005</v>
      </c>
      <c r="I2714" t="str">
        <f t="shared" si="274"/>
        <v>06978161005</v>
      </c>
      <c r="K2714" t="str">
        <f>""</f>
        <v/>
      </c>
      <c r="M2714" t="s">
        <v>68</v>
      </c>
      <c r="N2714" t="str">
        <f t="shared" si="271"/>
        <v>FOR</v>
      </c>
      <c r="O2714" t="s">
        <v>69</v>
      </c>
      <c r="P2714" s="3" t="s">
        <v>264</v>
      </c>
      <c r="Q2714">
        <v>2016</v>
      </c>
      <c r="R2714" s="2">
        <v>42431</v>
      </c>
      <c r="S2714" s="2">
        <v>42431</v>
      </c>
      <c r="T2714" s="2">
        <v>42431</v>
      </c>
      <c r="U2714" s="2">
        <v>42491</v>
      </c>
      <c r="V2714" t="s">
        <v>71</v>
      </c>
      <c r="W2714" t="str">
        <f>"                  46"</f>
        <v xml:space="preserve">                  46</v>
      </c>
      <c r="X2714">
        <v>0</v>
      </c>
      <c r="Y2714">
        <v>120.66</v>
      </c>
      <c r="Z2714"/>
      <c r="AB2714"/>
      <c r="AC2714">
        <v>120.66</v>
      </c>
      <c r="AD2714">
        <v>-55</v>
      </c>
      <c r="AE2714" s="1">
        <v>-6636.3</v>
      </c>
      <c r="AF2714">
        <v>0</v>
      </c>
      <c r="AJ2714">
        <v>0</v>
      </c>
      <c r="AK2714">
        <v>0</v>
      </c>
      <c r="AL2714">
        <v>0</v>
      </c>
      <c r="AM2714">
        <v>120.66</v>
      </c>
      <c r="AN2714">
        <v>120.66</v>
      </c>
      <c r="AO2714">
        <v>120.66</v>
      </c>
      <c r="AP2714" s="2">
        <v>42746</v>
      </c>
      <c r="AQ2714" t="s">
        <v>72</v>
      </c>
      <c r="AR2714" t="s">
        <v>72</v>
      </c>
      <c r="AS2714">
        <v>678</v>
      </c>
      <c r="AT2714" s="4">
        <v>42436</v>
      </c>
      <c r="AV2714">
        <v>678</v>
      </c>
      <c r="AW2714" s="4">
        <v>42436</v>
      </c>
      <c r="BD2714">
        <v>0</v>
      </c>
      <c r="BN2714" t="s">
        <v>74</v>
      </c>
    </row>
    <row r="2715" spans="1:66" hidden="1">
      <c r="A2715">
        <v>100906</v>
      </c>
      <c r="B2715" s="3" t="s">
        <v>257</v>
      </c>
      <c r="C2715" s="1">
        <v>43300101</v>
      </c>
      <c r="D2715" t="s">
        <v>67</v>
      </c>
      <c r="H2715" t="str">
        <f t="shared" si="274"/>
        <v>06978161005</v>
      </c>
      <c r="I2715" t="str">
        <f t="shared" si="274"/>
        <v>06978161005</v>
      </c>
      <c r="K2715" t="str">
        <f>""</f>
        <v/>
      </c>
      <c r="M2715" t="s">
        <v>68</v>
      </c>
      <c r="N2715" t="str">
        <f t="shared" si="271"/>
        <v>FOR</v>
      </c>
      <c r="O2715" t="s">
        <v>69</v>
      </c>
      <c r="P2715" s="3" t="s">
        <v>265</v>
      </c>
      <c r="Q2715">
        <v>2016</v>
      </c>
      <c r="R2715" s="2">
        <v>42431</v>
      </c>
      <c r="S2715" s="2">
        <v>42431</v>
      </c>
      <c r="T2715" s="2">
        <v>42431</v>
      </c>
      <c r="U2715" s="2">
        <v>42491</v>
      </c>
      <c r="V2715" t="s">
        <v>71</v>
      </c>
      <c r="W2715" t="str">
        <f>"                  47"</f>
        <v xml:space="preserve">                  47</v>
      </c>
      <c r="X2715">
        <v>0</v>
      </c>
      <c r="Y2715">
        <v>447.99</v>
      </c>
      <c r="Z2715"/>
      <c r="AB2715"/>
      <c r="AC2715">
        <v>447.99</v>
      </c>
      <c r="AD2715">
        <v>-55</v>
      </c>
      <c r="AE2715" s="1">
        <v>-24639.45</v>
      </c>
      <c r="AF2715">
        <v>0</v>
      </c>
      <c r="AJ2715">
        <v>0</v>
      </c>
      <c r="AK2715">
        <v>0</v>
      </c>
      <c r="AL2715">
        <v>0</v>
      </c>
      <c r="AM2715">
        <v>447.99</v>
      </c>
      <c r="AN2715">
        <v>447.99</v>
      </c>
      <c r="AO2715">
        <v>447.99</v>
      </c>
      <c r="AP2715" s="2">
        <v>42746</v>
      </c>
      <c r="AQ2715" t="s">
        <v>72</v>
      </c>
      <c r="AR2715" t="s">
        <v>72</v>
      </c>
      <c r="AS2715">
        <v>679</v>
      </c>
      <c r="AT2715" s="4">
        <v>42436</v>
      </c>
      <c r="AV2715">
        <v>679</v>
      </c>
      <c r="AW2715" s="4">
        <v>42436</v>
      </c>
      <c r="BD2715">
        <v>0</v>
      </c>
      <c r="BN2715" t="s">
        <v>74</v>
      </c>
    </row>
    <row r="2716" spans="1:66" hidden="1">
      <c r="A2716">
        <v>100906</v>
      </c>
      <c r="B2716" s="3" t="s">
        <v>257</v>
      </c>
      <c r="C2716" s="1">
        <v>43300101</v>
      </c>
      <c r="D2716" t="s">
        <v>67</v>
      </c>
      <c r="H2716" t="str">
        <f t="shared" si="274"/>
        <v>06978161005</v>
      </c>
      <c r="I2716" t="str">
        <f t="shared" si="274"/>
        <v>06978161005</v>
      </c>
      <c r="K2716" t="str">
        <f>""</f>
        <v/>
      </c>
      <c r="M2716" t="s">
        <v>68</v>
      </c>
      <c r="N2716" t="str">
        <f t="shared" si="271"/>
        <v>FOR</v>
      </c>
      <c r="O2716" t="s">
        <v>69</v>
      </c>
      <c r="P2716" s="3" t="s">
        <v>266</v>
      </c>
      <c r="Q2716">
        <v>2016</v>
      </c>
      <c r="R2716" s="2">
        <v>42431</v>
      </c>
      <c r="S2716" s="2">
        <v>42431</v>
      </c>
      <c r="T2716" s="2">
        <v>42431</v>
      </c>
      <c r="U2716" s="2">
        <v>42491</v>
      </c>
      <c r="V2716" t="s">
        <v>71</v>
      </c>
      <c r="W2716" t="str">
        <f>"                  48"</f>
        <v xml:space="preserve">                  48</v>
      </c>
      <c r="X2716">
        <v>0</v>
      </c>
      <c r="Y2716">
        <v>128.35</v>
      </c>
      <c r="Z2716"/>
      <c r="AB2716"/>
      <c r="AC2716">
        <v>128.35</v>
      </c>
      <c r="AD2716">
        <v>-55</v>
      </c>
      <c r="AE2716" s="1">
        <v>-7059.25</v>
      </c>
      <c r="AF2716">
        <v>0</v>
      </c>
      <c r="AJ2716">
        <v>0</v>
      </c>
      <c r="AK2716">
        <v>0</v>
      </c>
      <c r="AL2716">
        <v>0</v>
      </c>
      <c r="AM2716">
        <v>128.35</v>
      </c>
      <c r="AN2716">
        <v>128.35</v>
      </c>
      <c r="AO2716">
        <v>128.35</v>
      </c>
      <c r="AP2716" s="2">
        <v>42746</v>
      </c>
      <c r="AQ2716" t="s">
        <v>72</v>
      </c>
      <c r="AR2716" t="s">
        <v>72</v>
      </c>
      <c r="AS2716">
        <v>681</v>
      </c>
      <c r="AT2716" s="4">
        <v>42436</v>
      </c>
      <c r="AV2716">
        <v>681</v>
      </c>
      <c r="AW2716" s="4">
        <v>42436</v>
      </c>
      <c r="BD2716">
        <v>0</v>
      </c>
      <c r="BN2716" t="s">
        <v>74</v>
      </c>
    </row>
    <row r="2717" spans="1:66" hidden="1">
      <c r="A2717">
        <v>100906</v>
      </c>
      <c r="B2717" s="3" t="s">
        <v>257</v>
      </c>
      <c r="C2717" s="1">
        <v>43300101</v>
      </c>
      <c r="D2717" t="s">
        <v>67</v>
      </c>
      <c r="H2717" t="str">
        <f t="shared" si="274"/>
        <v>06978161005</v>
      </c>
      <c r="I2717" t="str">
        <f t="shared" si="274"/>
        <v>06978161005</v>
      </c>
      <c r="K2717" t="str">
        <f>""</f>
        <v/>
      </c>
      <c r="M2717" t="s">
        <v>68</v>
      </c>
      <c r="N2717" t="str">
        <f t="shared" si="271"/>
        <v>FOR</v>
      </c>
      <c r="O2717" t="s">
        <v>69</v>
      </c>
      <c r="P2717" s="3" t="s">
        <v>266</v>
      </c>
      <c r="Q2717">
        <v>2016</v>
      </c>
      <c r="R2717" s="2">
        <v>42431</v>
      </c>
      <c r="S2717" s="2">
        <v>42431</v>
      </c>
      <c r="T2717" s="2">
        <v>42431</v>
      </c>
      <c r="U2717" s="2">
        <v>42491</v>
      </c>
      <c r="V2717" t="s">
        <v>71</v>
      </c>
      <c r="W2717" t="str">
        <f>"                  49"</f>
        <v xml:space="preserve">                  49</v>
      </c>
      <c r="X2717">
        <v>0</v>
      </c>
      <c r="Y2717">
        <v>408.56</v>
      </c>
      <c r="Z2717"/>
      <c r="AB2717"/>
      <c r="AC2717">
        <v>408.56</v>
      </c>
      <c r="AD2717">
        <v>-55</v>
      </c>
      <c r="AE2717" s="1">
        <v>-22470.799999999999</v>
      </c>
      <c r="AF2717">
        <v>0</v>
      </c>
      <c r="AJ2717">
        <v>0</v>
      </c>
      <c r="AK2717">
        <v>0</v>
      </c>
      <c r="AL2717">
        <v>0</v>
      </c>
      <c r="AM2717">
        <v>0</v>
      </c>
      <c r="AN2717">
        <v>408.56</v>
      </c>
      <c r="AO2717">
        <v>408.56</v>
      </c>
      <c r="AP2717" s="2">
        <v>42746</v>
      </c>
      <c r="AQ2717" t="s">
        <v>72</v>
      </c>
      <c r="AR2717" t="s">
        <v>72</v>
      </c>
      <c r="AS2717">
        <v>680</v>
      </c>
      <c r="AT2717" s="4">
        <v>42436</v>
      </c>
      <c r="AV2717">
        <v>680</v>
      </c>
      <c r="AW2717" s="4">
        <v>42436</v>
      </c>
      <c r="BD2717">
        <v>0</v>
      </c>
      <c r="BN2717" t="s">
        <v>74</v>
      </c>
    </row>
    <row r="2718" spans="1:66" hidden="1">
      <c r="A2718">
        <v>100906</v>
      </c>
      <c r="B2718" s="3" t="s">
        <v>257</v>
      </c>
      <c r="C2718" s="1">
        <v>43300101</v>
      </c>
      <c r="D2718" t="s">
        <v>67</v>
      </c>
      <c r="H2718" t="str">
        <f t="shared" si="274"/>
        <v>06978161005</v>
      </c>
      <c r="I2718" t="str">
        <f t="shared" si="274"/>
        <v>06978161005</v>
      </c>
      <c r="K2718" t="str">
        <f>""</f>
        <v/>
      </c>
      <c r="M2718" t="s">
        <v>68</v>
      </c>
      <c r="N2718" t="str">
        <f t="shared" si="271"/>
        <v>FOR</v>
      </c>
      <c r="O2718" t="s">
        <v>69</v>
      </c>
      <c r="P2718" s="3" t="s">
        <v>267</v>
      </c>
      <c r="Q2718">
        <v>2016</v>
      </c>
      <c r="R2718" s="2">
        <v>42431</v>
      </c>
      <c r="S2718" s="2">
        <v>42431</v>
      </c>
      <c r="T2718" s="2">
        <v>42431</v>
      </c>
      <c r="U2718" s="2">
        <v>42491</v>
      </c>
      <c r="V2718" t="s">
        <v>71</v>
      </c>
      <c r="W2718" t="str">
        <f>"                  50"</f>
        <v xml:space="preserve">                  50</v>
      </c>
      <c r="X2718">
        <v>0</v>
      </c>
      <c r="Y2718">
        <v>105.37</v>
      </c>
      <c r="Z2718"/>
      <c r="AB2718"/>
      <c r="AC2718">
        <v>105.37</v>
      </c>
      <c r="AD2718">
        <v>-55</v>
      </c>
      <c r="AE2718" s="1">
        <v>-5795.35</v>
      </c>
      <c r="AF2718">
        <v>0</v>
      </c>
      <c r="AJ2718">
        <v>0</v>
      </c>
      <c r="AK2718">
        <v>0</v>
      </c>
      <c r="AL2718">
        <v>0</v>
      </c>
      <c r="AM2718">
        <v>0</v>
      </c>
      <c r="AN2718">
        <v>105.37</v>
      </c>
      <c r="AO2718">
        <v>105.37</v>
      </c>
      <c r="AP2718" s="2">
        <v>42746</v>
      </c>
      <c r="AQ2718" t="s">
        <v>72</v>
      </c>
      <c r="AR2718" t="s">
        <v>72</v>
      </c>
      <c r="AS2718">
        <v>682</v>
      </c>
      <c r="AT2718" s="4">
        <v>42436</v>
      </c>
      <c r="AV2718">
        <v>682</v>
      </c>
      <c r="AW2718" s="4">
        <v>42436</v>
      </c>
      <c r="BD2718">
        <v>0</v>
      </c>
      <c r="BN2718" t="s">
        <v>74</v>
      </c>
    </row>
    <row r="2719" spans="1:66" hidden="1">
      <c r="A2719">
        <v>100906</v>
      </c>
      <c r="B2719" s="3" t="s">
        <v>257</v>
      </c>
      <c r="C2719" s="1">
        <v>43300101</v>
      </c>
      <c r="D2719" t="s">
        <v>67</v>
      </c>
      <c r="H2719" t="str">
        <f t="shared" si="274"/>
        <v>06978161005</v>
      </c>
      <c r="I2719" t="str">
        <f t="shared" si="274"/>
        <v>06978161005</v>
      </c>
      <c r="K2719" t="str">
        <f>""</f>
        <v/>
      </c>
      <c r="M2719" t="s">
        <v>68</v>
      </c>
      <c r="N2719" t="str">
        <f t="shared" si="271"/>
        <v>FOR</v>
      </c>
      <c r="O2719" t="s">
        <v>69</v>
      </c>
      <c r="P2719" s="3" t="s">
        <v>268</v>
      </c>
      <c r="Q2719">
        <v>2016</v>
      </c>
      <c r="R2719" s="2">
        <v>42431</v>
      </c>
      <c r="S2719" s="2">
        <v>42431</v>
      </c>
      <c r="T2719" s="2">
        <v>42431</v>
      </c>
      <c r="U2719" s="2">
        <v>42491</v>
      </c>
      <c r="V2719" t="s">
        <v>71</v>
      </c>
      <c r="W2719" t="str">
        <f>"                  51"</f>
        <v xml:space="preserve">                  51</v>
      </c>
      <c r="X2719">
        <v>0</v>
      </c>
      <c r="Y2719">
        <v>131.76</v>
      </c>
      <c r="Z2719"/>
      <c r="AB2719"/>
      <c r="AC2719">
        <v>131.76</v>
      </c>
      <c r="AD2719">
        <v>-55</v>
      </c>
      <c r="AE2719" s="1">
        <v>-7246.8</v>
      </c>
      <c r="AF2719">
        <v>0</v>
      </c>
      <c r="AJ2719">
        <v>0</v>
      </c>
      <c r="AK2719">
        <v>0</v>
      </c>
      <c r="AL2719">
        <v>0</v>
      </c>
      <c r="AM2719">
        <v>0</v>
      </c>
      <c r="AN2719">
        <v>131.76</v>
      </c>
      <c r="AO2719">
        <v>131.76</v>
      </c>
      <c r="AP2719" s="2">
        <v>42746</v>
      </c>
      <c r="AQ2719" t="s">
        <v>72</v>
      </c>
      <c r="AR2719" t="s">
        <v>72</v>
      </c>
      <c r="AS2719">
        <v>683</v>
      </c>
      <c r="AT2719" s="4">
        <v>42436</v>
      </c>
      <c r="AV2719">
        <v>683</v>
      </c>
      <c r="AW2719" s="4">
        <v>42436</v>
      </c>
      <c r="BD2719">
        <v>0</v>
      </c>
      <c r="BN2719" t="s">
        <v>74</v>
      </c>
    </row>
    <row r="2720" spans="1:66" hidden="1">
      <c r="A2720">
        <v>100906</v>
      </c>
      <c r="B2720" s="3" t="s">
        <v>257</v>
      </c>
      <c r="C2720" s="1">
        <v>43300101</v>
      </c>
      <c r="D2720" t="s">
        <v>67</v>
      </c>
      <c r="H2720" t="str">
        <f t="shared" si="274"/>
        <v>06978161005</v>
      </c>
      <c r="I2720" t="str">
        <f t="shared" si="274"/>
        <v>06978161005</v>
      </c>
      <c r="K2720" t="str">
        <f>""</f>
        <v/>
      </c>
      <c r="M2720" t="s">
        <v>68</v>
      </c>
      <c r="N2720" t="str">
        <f t="shared" si="271"/>
        <v>FOR</v>
      </c>
      <c r="O2720" t="s">
        <v>69</v>
      </c>
      <c r="P2720" s="3" t="s">
        <v>269</v>
      </c>
      <c r="Q2720">
        <v>2016</v>
      </c>
      <c r="R2720" s="2">
        <v>42431</v>
      </c>
      <c r="S2720" s="2">
        <v>42431</v>
      </c>
      <c r="T2720" s="2">
        <v>42431</v>
      </c>
      <c r="U2720" s="2">
        <v>42491</v>
      </c>
      <c r="V2720" t="s">
        <v>71</v>
      </c>
      <c r="W2720" t="str">
        <f>"                  52"</f>
        <v xml:space="preserve">                  52</v>
      </c>
      <c r="X2720">
        <v>0</v>
      </c>
      <c r="Y2720">
        <v>2</v>
      </c>
      <c r="Z2720"/>
      <c r="AB2720"/>
      <c r="AC2720">
        <v>2</v>
      </c>
      <c r="AD2720">
        <v>-55</v>
      </c>
      <c r="AE2720">
        <v>-110</v>
      </c>
      <c r="AF2720">
        <v>0</v>
      </c>
      <c r="AJ2720">
        <v>0</v>
      </c>
      <c r="AK2720">
        <v>0</v>
      </c>
      <c r="AL2720">
        <v>0</v>
      </c>
      <c r="AM2720">
        <v>2</v>
      </c>
      <c r="AN2720">
        <v>2</v>
      </c>
      <c r="AO2720">
        <v>2</v>
      </c>
      <c r="AP2720" s="2">
        <v>42746</v>
      </c>
      <c r="AQ2720" t="s">
        <v>72</v>
      </c>
      <c r="AR2720" t="s">
        <v>72</v>
      </c>
      <c r="AS2720">
        <v>684</v>
      </c>
      <c r="AT2720" s="4">
        <v>42436</v>
      </c>
      <c r="AV2720">
        <v>684</v>
      </c>
      <c r="AW2720" s="4">
        <v>42436</v>
      </c>
      <c r="BD2720">
        <v>0</v>
      </c>
      <c r="BN2720" t="s">
        <v>74</v>
      </c>
    </row>
    <row r="2721" spans="1:66" hidden="1">
      <c r="A2721">
        <v>100906</v>
      </c>
      <c r="B2721" s="3" t="s">
        <v>257</v>
      </c>
      <c r="C2721" s="1">
        <v>43300101</v>
      </c>
      <c r="D2721" t="s">
        <v>67</v>
      </c>
      <c r="H2721" t="str">
        <f t="shared" si="274"/>
        <v>06978161005</v>
      </c>
      <c r="I2721" t="str">
        <f t="shared" si="274"/>
        <v>06978161005</v>
      </c>
      <c r="K2721" t="str">
        <f>""</f>
        <v/>
      </c>
      <c r="M2721" t="s">
        <v>68</v>
      </c>
      <c r="N2721" t="str">
        <f t="shared" si="271"/>
        <v>FOR</v>
      </c>
      <c r="O2721" t="s">
        <v>69</v>
      </c>
      <c r="P2721" s="3" t="s">
        <v>262</v>
      </c>
      <c r="Q2721">
        <v>2016</v>
      </c>
      <c r="R2721" s="2">
        <v>42431</v>
      </c>
      <c r="S2721" s="2">
        <v>42431</v>
      </c>
      <c r="T2721" s="2">
        <v>42431</v>
      </c>
      <c r="U2721" s="2">
        <v>42491</v>
      </c>
      <c r="V2721" t="s">
        <v>71</v>
      </c>
      <c r="W2721" t="str">
        <f>"                  53"</f>
        <v xml:space="preserve">                  53</v>
      </c>
      <c r="X2721">
        <v>0</v>
      </c>
      <c r="Y2721">
        <v>74.89</v>
      </c>
      <c r="Z2721"/>
      <c r="AB2721"/>
      <c r="AC2721">
        <v>74.89</v>
      </c>
      <c r="AD2721">
        <v>-55</v>
      </c>
      <c r="AE2721" s="1">
        <v>-4118.95</v>
      </c>
      <c r="AF2721">
        <v>0</v>
      </c>
      <c r="AJ2721">
        <v>0</v>
      </c>
      <c r="AK2721">
        <v>0</v>
      </c>
      <c r="AL2721">
        <v>0</v>
      </c>
      <c r="AM2721">
        <v>0</v>
      </c>
      <c r="AN2721">
        <v>74.89</v>
      </c>
      <c r="AO2721">
        <v>74.89</v>
      </c>
      <c r="AP2721" s="2">
        <v>42746</v>
      </c>
      <c r="AQ2721" t="s">
        <v>72</v>
      </c>
      <c r="AR2721" t="s">
        <v>72</v>
      </c>
      <c r="AS2721">
        <v>685</v>
      </c>
      <c r="AT2721" s="4">
        <v>42436</v>
      </c>
      <c r="AV2721">
        <v>685</v>
      </c>
      <c r="AW2721" s="4">
        <v>42436</v>
      </c>
      <c r="BD2721">
        <v>0</v>
      </c>
      <c r="BN2721" t="s">
        <v>74</v>
      </c>
    </row>
    <row r="2722" spans="1:66" hidden="1">
      <c r="A2722">
        <v>100906</v>
      </c>
      <c r="B2722" s="3" t="s">
        <v>257</v>
      </c>
      <c r="C2722" s="1">
        <v>43300101</v>
      </c>
      <c r="D2722" t="s">
        <v>67</v>
      </c>
      <c r="H2722" t="str">
        <f t="shared" si="274"/>
        <v>06978161005</v>
      </c>
      <c r="I2722" t="str">
        <f t="shared" si="274"/>
        <v>06978161005</v>
      </c>
      <c r="K2722" t="str">
        <f>""</f>
        <v/>
      </c>
      <c r="M2722" t="s">
        <v>68</v>
      </c>
      <c r="N2722" t="str">
        <f t="shared" si="271"/>
        <v>FOR</v>
      </c>
      <c r="O2722" t="s">
        <v>69</v>
      </c>
      <c r="P2722" s="3" t="s">
        <v>270</v>
      </c>
      <c r="Q2722">
        <v>2016</v>
      </c>
      <c r="R2722" s="2">
        <v>42431</v>
      </c>
      <c r="S2722" s="2">
        <v>42431</v>
      </c>
      <c r="T2722" s="2">
        <v>42431</v>
      </c>
      <c r="U2722" s="2">
        <v>42491</v>
      </c>
      <c r="V2722" t="s">
        <v>71</v>
      </c>
      <c r="W2722" t="str">
        <f>"                  54"</f>
        <v xml:space="preserve">                  54</v>
      </c>
      <c r="X2722">
        <v>0</v>
      </c>
      <c r="Y2722">
        <v>782.05</v>
      </c>
      <c r="Z2722"/>
      <c r="AB2722"/>
      <c r="AC2722">
        <v>782.05</v>
      </c>
      <c r="AD2722">
        <v>-55</v>
      </c>
      <c r="AE2722" s="1">
        <v>-43012.75</v>
      </c>
      <c r="AF2722">
        <v>0</v>
      </c>
      <c r="AJ2722">
        <v>0</v>
      </c>
      <c r="AK2722">
        <v>0</v>
      </c>
      <c r="AL2722">
        <v>0</v>
      </c>
      <c r="AM2722">
        <v>0</v>
      </c>
      <c r="AN2722">
        <v>782.05</v>
      </c>
      <c r="AO2722">
        <v>782.05</v>
      </c>
      <c r="AP2722" s="2">
        <v>42746</v>
      </c>
      <c r="AQ2722" t="s">
        <v>72</v>
      </c>
      <c r="AR2722" t="s">
        <v>72</v>
      </c>
      <c r="AS2722">
        <v>686</v>
      </c>
      <c r="AT2722" s="4">
        <v>42436</v>
      </c>
      <c r="AV2722">
        <v>686</v>
      </c>
      <c r="AW2722" s="4">
        <v>42436</v>
      </c>
      <c r="BD2722">
        <v>0</v>
      </c>
      <c r="BN2722" t="s">
        <v>74</v>
      </c>
    </row>
    <row r="2723" spans="1:66" hidden="1">
      <c r="A2723">
        <v>100906</v>
      </c>
      <c r="B2723" s="3" t="s">
        <v>257</v>
      </c>
      <c r="C2723" s="1">
        <v>43300101</v>
      </c>
      <c r="D2723" t="s">
        <v>67</v>
      </c>
      <c r="H2723" t="str">
        <f t="shared" si="274"/>
        <v>06978161005</v>
      </c>
      <c r="I2723" t="str">
        <f t="shared" si="274"/>
        <v>06978161005</v>
      </c>
      <c r="K2723" t="str">
        <f>""</f>
        <v/>
      </c>
      <c r="M2723" t="s">
        <v>68</v>
      </c>
      <c r="N2723" t="str">
        <f t="shared" si="271"/>
        <v>FOR</v>
      </c>
      <c r="O2723" t="s">
        <v>69</v>
      </c>
      <c r="P2723" s="3" t="s">
        <v>271</v>
      </c>
      <c r="Q2723">
        <v>2016</v>
      </c>
      <c r="R2723" s="2">
        <v>42431</v>
      </c>
      <c r="S2723" s="2">
        <v>42431</v>
      </c>
      <c r="T2723" s="2">
        <v>42431</v>
      </c>
      <c r="U2723" s="2">
        <v>42491</v>
      </c>
      <c r="V2723" t="s">
        <v>71</v>
      </c>
      <c r="W2723" t="str">
        <f>"                  55"</f>
        <v xml:space="preserve">                  55</v>
      </c>
      <c r="X2723">
        <v>0</v>
      </c>
      <c r="Y2723">
        <v>174.59</v>
      </c>
      <c r="Z2723"/>
      <c r="AB2723"/>
      <c r="AC2723">
        <v>174.59</v>
      </c>
      <c r="AD2723">
        <v>-55</v>
      </c>
      <c r="AE2723" s="1">
        <v>-9602.4500000000007</v>
      </c>
      <c r="AF2723">
        <v>0</v>
      </c>
      <c r="AJ2723">
        <v>0</v>
      </c>
      <c r="AK2723">
        <v>0</v>
      </c>
      <c r="AL2723">
        <v>0</v>
      </c>
      <c r="AM2723">
        <v>0</v>
      </c>
      <c r="AN2723">
        <v>174.59</v>
      </c>
      <c r="AO2723">
        <v>174.59</v>
      </c>
      <c r="AP2723" s="2">
        <v>42746</v>
      </c>
      <c r="AQ2723" t="s">
        <v>72</v>
      </c>
      <c r="AR2723" t="s">
        <v>72</v>
      </c>
      <c r="AS2723">
        <v>687</v>
      </c>
      <c r="AT2723" s="4">
        <v>42436</v>
      </c>
      <c r="AV2723">
        <v>687</v>
      </c>
      <c r="AW2723" s="4">
        <v>42436</v>
      </c>
      <c r="BD2723">
        <v>0</v>
      </c>
      <c r="BN2723" t="s">
        <v>74</v>
      </c>
    </row>
    <row r="2724" spans="1:66" hidden="1">
      <c r="A2724">
        <v>100906</v>
      </c>
      <c r="B2724" s="3" t="s">
        <v>257</v>
      </c>
      <c r="C2724" s="1">
        <v>43300101</v>
      </c>
      <c r="D2724" t="s">
        <v>67</v>
      </c>
      <c r="H2724" t="str">
        <f t="shared" si="274"/>
        <v>06978161005</v>
      </c>
      <c r="I2724" t="str">
        <f t="shared" si="274"/>
        <v>06978161005</v>
      </c>
      <c r="K2724" t="str">
        <f>""</f>
        <v/>
      </c>
      <c r="M2724" t="s">
        <v>68</v>
      </c>
      <c r="N2724" t="str">
        <f t="shared" si="271"/>
        <v>FOR</v>
      </c>
      <c r="O2724" t="s">
        <v>69</v>
      </c>
      <c r="P2724" s="3" t="s">
        <v>272</v>
      </c>
      <c r="Q2724">
        <v>2016</v>
      </c>
      <c r="R2724" s="2">
        <v>42431</v>
      </c>
      <c r="S2724" s="2">
        <v>42431</v>
      </c>
      <c r="T2724" s="2">
        <v>42431</v>
      </c>
      <c r="U2724" s="2">
        <v>42491</v>
      </c>
      <c r="V2724" t="s">
        <v>71</v>
      </c>
      <c r="W2724" t="str">
        <f>"                  56"</f>
        <v xml:space="preserve">                  56</v>
      </c>
      <c r="X2724">
        <v>0</v>
      </c>
      <c r="Y2724">
        <v>90</v>
      </c>
      <c r="Z2724"/>
      <c r="AB2724"/>
      <c r="AC2724">
        <v>90</v>
      </c>
      <c r="AD2724">
        <v>-55</v>
      </c>
      <c r="AE2724" s="1">
        <v>-4950</v>
      </c>
      <c r="AF2724">
        <v>0</v>
      </c>
      <c r="AJ2724">
        <v>0</v>
      </c>
      <c r="AK2724">
        <v>0</v>
      </c>
      <c r="AL2724">
        <v>0</v>
      </c>
      <c r="AM2724">
        <v>0</v>
      </c>
      <c r="AN2724">
        <v>90</v>
      </c>
      <c r="AO2724">
        <v>90</v>
      </c>
      <c r="AP2724" s="2">
        <v>42746</v>
      </c>
      <c r="AQ2724" t="s">
        <v>72</v>
      </c>
      <c r="AR2724" t="s">
        <v>72</v>
      </c>
      <c r="AS2724">
        <v>688</v>
      </c>
      <c r="AT2724" s="4">
        <v>42436</v>
      </c>
      <c r="AV2724">
        <v>688</v>
      </c>
      <c r="AW2724" s="4">
        <v>42436</v>
      </c>
      <c r="BD2724">
        <v>0</v>
      </c>
      <c r="BN2724" t="s">
        <v>74</v>
      </c>
    </row>
    <row r="2725" spans="1:66" hidden="1">
      <c r="A2725">
        <v>100906</v>
      </c>
      <c r="B2725" s="3" t="s">
        <v>257</v>
      </c>
      <c r="C2725" s="1">
        <v>43300101</v>
      </c>
      <c r="D2725" t="s">
        <v>67</v>
      </c>
      <c r="H2725" t="str">
        <f t="shared" si="274"/>
        <v>06978161005</v>
      </c>
      <c r="I2725" t="str">
        <f t="shared" si="274"/>
        <v>06978161005</v>
      </c>
      <c r="K2725" t="str">
        <f>""</f>
        <v/>
      </c>
      <c r="M2725" t="s">
        <v>68</v>
      </c>
      <c r="N2725" t="str">
        <f t="shared" si="271"/>
        <v>FOR</v>
      </c>
      <c r="O2725" t="s">
        <v>69</v>
      </c>
      <c r="P2725" s="3" t="s">
        <v>273</v>
      </c>
      <c r="Q2725">
        <v>2016</v>
      </c>
      <c r="R2725" s="2">
        <v>42443</v>
      </c>
      <c r="S2725" s="2">
        <v>42443</v>
      </c>
      <c r="T2725" s="2">
        <v>42443</v>
      </c>
      <c r="U2725" s="2">
        <v>42503</v>
      </c>
      <c r="V2725" t="s">
        <v>71</v>
      </c>
      <c r="W2725" t="str">
        <f>"                  60"</f>
        <v xml:space="preserve">                  60</v>
      </c>
      <c r="X2725">
        <v>0</v>
      </c>
      <c r="Y2725">
        <v>2</v>
      </c>
      <c r="Z2725"/>
      <c r="AB2725"/>
      <c r="AC2725">
        <v>2</v>
      </c>
      <c r="AD2725">
        <v>-60</v>
      </c>
      <c r="AE2725">
        <v>-120</v>
      </c>
      <c r="AF2725">
        <v>0</v>
      </c>
      <c r="AJ2725">
        <v>0</v>
      </c>
      <c r="AK2725">
        <v>0</v>
      </c>
      <c r="AL2725">
        <v>0</v>
      </c>
      <c r="AM2725">
        <v>2</v>
      </c>
      <c r="AN2725">
        <v>2</v>
      </c>
      <c r="AO2725">
        <v>2</v>
      </c>
      <c r="AP2725" s="2">
        <v>42746</v>
      </c>
      <c r="AQ2725" t="s">
        <v>72</v>
      </c>
      <c r="AR2725" t="s">
        <v>72</v>
      </c>
      <c r="AS2725">
        <v>692</v>
      </c>
      <c r="AT2725" s="4">
        <v>42443</v>
      </c>
      <c r="AV2725">
        <v>692</v>
      </c>
      <c r="AW2725" s="4">
        <v>42443</v>
      </c>
      <c r="BD2725">
        <v>0</v>
      </c>
      <c r="BN2725" t="s">
        <v>74</v>
      </c>
    </row>
    <row r="2726" spans="1:66" hidden="1">
      <c r="A2726">
        <v>100906</v>
      </c>
      <c r="B2726" s="3" t="s">
        <v>257</v>
      </c>
      <c r="C2726" s="1">
        <v>43300101</v>
      </c>
      <c r="D2726" t="s">
        <v>67</v>
      </c>
      <c r="H2726" t="str">
        <f t="shared" si="274"/>
        <v>06978161005</v>
      </c>
      <c r="I2726" t="str">
        <f t="shared" si="274"/>
        <v>06978161005</v>
      </c>
      <c r="K2726" t="str">
        <f>""</f>
        <v/>
      </c>
      <c r="M2726" t="s">
        <v>68</v>
      </c>
      <c r="N2726" t="str">
        <f t="shared" si="271"/>
        <v>FOR</v>
      </c>
      <c r="O2726" t="s">
        <v>69</v>
      </c>
      <c r="P2726" s="3" t="s">
        <v>274</v>
      </c>
      <c r="Q2726">
        <v>2016</v>
      </c>
      <c r="R2726" s="2">
        <v>42443</v>
      </c>
      <c r="S2726" s="2">
        <v>42443</v>
      </c>
      <c r="T2726" s="2">
        <v>42443</v>
      </c>
      <c r="U2726" s="2">
        <v>42503</v>
      </c>
      <c r="V2726" t="s">
        <v>71</v>
      </c>
      <c r="W2726" t="str">
        <f>"                  61"</f>
        <v xml:space="preserve">                  61</v>
      </c>
      <c r="X2726">
        <v>0</v>
      </c>
      <c r="Y2726" s="1">
        <v>14959.69</v>
      </c>
      <c r="Z2726"/>
      <c r="AB2726"/>
      <c r="AC2726" s="1">
        <v>14959.69</v>
      </c>
      <c r="AD2726">
        <v>-60</v>
      </c>
      <c r="AE2726" s="1">
        <v>-897581.4</v>
      </c>
      <c r="AF2726">
        <v>0</v>
      </c>
      <c r="AJ2726">
        <v>0</v>
      </c>
      <c r="AK2726">
        <v>0</v>
      </c>
      <c r="AL2726">
        <v>0</v>
      </c>
      <c r="AM2726" s="1">
        <v>14959.69</v>
      </c>
      <c r="AN2726" s="1">
        <v>14959.69</v>
      </c>
      <c r="AO2726" s="1">
        <v>14959.69</v>
      </c>
      <c r="AP2726" s="2">
        <v>42746</v>
      </c>
      <c r="AQ2726" t="s">
        <v>72</v>
      </c>
      <c r="AR2726" t="s">
        <v>72</v>
      </c>
      <c r="AS2726">
        <v>691</v>
      </c>
      <c r="AT2726" s="4">
        <v>42443</v>
      </c>
      <c r="AV2726">
        <v>691</v>
      </c>
      <c r="AW2726" s="4">
        <v>42443</v>
      </c>
      <c r="BD2726">
        <v>0</v>
      </c>
      <c r="BN2726" t="s">
        <v>74</v>
      </c>
    </row>
    <row r="2727" spans="1:66" hidden="1">
      <c r="A2727">
        <v>100906</v>
      </c>
      <c r="B2727" s="3" t="s">
        <v>257</v>
      </c>
      <c r="C2727" s="1">
        <v>43300101</v>
      </c>
      <c r="D2727" t="s">
        <v>67</v>
      </c>
      <c r="H2727" t="str">
        <f t="shared" si="274"/>
        <v>06978161005</v>
      </c>
      <c r="I2727" t="str">
        <f t="shared" si="274"/>
        <v>06978161005</v>
      </c>
      <c r="K2727" t="str">
        <f>""</f>
        <v/>
      </c>
      <c r="M2727" t="s">
        <v>68</v>
      </c>
      <c r="N2727" t="str">
        <f t="shared" si="271"/>
        <v>FOR</v>
      </c>
      <c r="O2727" t="s">
        <v>69</v>
      </c>
      <c r="P2727" s="3" t="s">
        <v>275</v>
      </c>
      <c r="Q2727">
        <v>2016</v>
      </c>
      <c r="R2727" s="2">
        <v>42464</v>
      </c>
      <c r="S2727" s="2">
        <v>42464</v>
      </c>
      <c r="T2727" s="2">
        <v>42464</v>
      </c>
      <c r="U2727" s="2">
        <v>42524</v>
      </c>
      <c r="V2727" t="s">
        <v>71</v>
      </c>
      <c r="W2727" t="str">
        <f>"                  66"</f>
        <v xml:space="preserve">                  66</v>
      </c>
      <c r="X2727">
        <v>0</v>
      </c>
      <c r="Y2727" s="1">
        <v>8749.07</v>
      </c>
      <c r="Z2727"/>
      <c r="AB2727"/>
      <c r="AC2727" s="1">
        <v>8749.07</v>
      </c>
      <c r="AD2727">
        <v>-60</v>
      </c>
      <c r="AE2727" s="1">
        <v>-524944.19999999995</v>
      </c>
      <c r="AF2727">
        <v>0</v>
      </c>
      <c r="AJ2727">
        <v>0</v>
      </c>
      <c r="AK2727">
        <v>0</v>
      </c>
      <c r="AL2727">
        <v>0</v>
      </c>
      <c r="AM2727" s="1">
        <v>8749.07</v>
      </c>
      <c r="AN2727" s="1">
        <v>8749.07</v>
      </c>
      <c r="AO2727" s="1">
        <v>8749.07</v>
      </c>
      <c r="AP2727" s="2">
        <v>42746</v>
      </c>
      <c r="AQ2727" t="s">
        <v>72</v>
      </c>
      <c r="AR2727" t="s">
        <v>72</v>
      </c>
      <c r="AS2727">
        <v>1008</v>
      </c>
      <c r="AT2727" s="4">
        <v>42464</v>
      </c>
      <c r="AV2727">
        <v>1008</v>
      </c>
      <c r="AW2727" s="4">
        <v>42464</v>
      </c>
      <c r="BD2727">
        <v>0</v>
      </c>
      <c r="BN2727" t="s">
        <v>74</v>
      </c>
    </row>
    <row r="2728" spans="1:66" hidden="1">
      <c r="A2728">
        <v>100906</v>
      </c>
      <c r="B2728" s="3" t="s">
        <v>257</v>
      </c>
      <c r="C2728" s="1">
        <v>43300101</v>
      </c>
      <c r="D2728" t="s">
        <v>67</v>
      </c>
      <c r="H2728" t="str">
        <f t="shared" ref="H2728:I2747" si="275">"06978161005"</f>
        <v>06978161005</v>
      </c>
      <c r="I2728" t="str">
        <f t="shared" si="275"/>
        <v>06978161005</v>
      </c>
      <c r="K2728" t="str">
        <f>""</f>
        <v/>
      </c>
      <c r="M2728" t="s">
        <v>68</v>
      </c>
      <c r="N2728" t="str">
        <f t="shared" si="271"/>
        <v>FOR</v>
      </c>
      <c r="O2728" t="s">
        <v>69</v>
      </c>
      <c r="P2728" s="3" t="s">
        <v>276</v>
      </c>
      <c r="Q2728">
        <v>2016</v>
      </c>
      <c r="R2728" s="2">
        <v>42464</v>
      </c>
      <c r="S2728" s="2">
        <v>42464</v>
      </c>
      <c r="T2728" s="2">
        <v>42464</v>
      </c>
      <c r="U2728" s="2">
        <v>42524</v>
      </c>
      <c r="V2728" t="s">
        <v>71</v>
      </c>
      <c r="W2728" t="str">
        <f>"                  67"</f>
        <v xml:space="preserve">                  67</v>
      </c>
      <c r="X2728">
        <v>0</v>
      </c>
      <c r="Y2728" s="1">
        <v>14959</v>
      </c>
      <c r="Z2728"/>
      <c r="AB2728"/>
      <c r="AC2728" s="1">
        <v>14959</v>
      </c>
      <c r="AD2728">
        <v>-60</v>
      </c>
      <c r="AE2728" s="1">
        <v>-897540</v>
      </c>
      <c r="AF2728">
        <v>0</v>
      </c>
      <c r="AJ2728">
        <v>0</v>
      </c>
      <c r="AK2728">
        <v>0</v>
      </c>
      <c r="AL2728">
        <v>0</v>
      </c>
      <c r="AM2728" s="1">
        <v>14959</v>
      </c>
      <c r="AN2728" s="1">
        <v>14959</v>
      </c>
      <c r="AO2728" s="1">
        <v>14959</v>
      </c>
      <c r="AP2728" s="2">
        <v>42746</v>
      </c>
      <c r="AQ2728" t="s">
        <v>72</v>
      </c>
      <c r="AR2728" t="s">
        <v>72</v>
      </c>
      <c r="AS2728">
        <v>1007</v>
      </c>
      <c r="AT2728" s="4">
        <v>42464</v>
      </c>
      <c r="AV2728">
        <v>1007</v>
      </c>
      <c r="AW2728" s="4">
        <v>42464</v>
      </c>
      <c r="BD2728">
        <v>0</v>
      </c>
      <c r="BN2728" t="s">
        <v>74</v>
      </c>
    </row>
    <row r="2729" spans="1:66" hidden="1">
      <c r="A2729">
        <v>100906</v>
      </c>
      <c r="B2729" s="3" t="s">
        <v>257</v>
      </c>
      <c r="C2729" s="1">
        <v>43300101</v>
      </c>
      <c r="D2729" t="s">
        <v>67</v>
      </c>
      <c r="H2729" t="str">
        <f t="shared" si="275"/>
        <v>06978161005</v>
      </c>
      <c r="I2729" t="str">
        <f t="shared" si="275"/>
        <v>06978161005</v>
      </c>
      <c r="K2729" t="str">
        <f>""</f>
        <v/>
      </c>
      <c r="M2729" t="s">
        <v>68</v>
      </c>
      <c r="N2729" t="str">
        <f t="shared" si="271"/>
        <v>FOR</v>
      </c>
      <c r="O2729" t="s">
        <v>69</v>
      </c>
      <c r="P2729" s="3" t="s">
        <v>266</v>
      </c>
      <c r="Q2729">
        <v>2016</v>
      </c>
      <c r="R2729" s="2">
        <v>42464</v>
      </c>
      <c r="S2729" s="2">
        <v>42464</v>
      </c>
      <c r="T2729" s="2">
        <v>42464</v>
      </c>
      <c r="U2729" s="2">
        <v>42524</v>
      </c>
      <c r="V2729" t="s">
        <v>71</v>
      </c>
      <c r="W2729" t="str">
        <f>"                  68"</f>
        <v xml:space="preserve">                  68</v>
      </c>
      <c r="X2729">
        <v>0</v>
      </c>
      <c r="Y2729">
        <v>441.97</v>
      </c>
      <c r="Z2729"/>
      <c r="AB2729"/>
      <c r="AC2729">
        <v>441.97</v>
      </c>
      <c r="AD2729">
        <v>-60</v>
      </c>
      <c r="AE2729" s="1">
        <v>-26518.2</v>
      </c>
      <c r="AF2729">
        <v>0</v>
      </c>
      <c r="AJ2729">
        <v>0</v>
      </c>
      <c r="AK2729">
        <v>0</v>
      </c>
      <c r="AL2729">
        <v>0</v>
      </c>
      <c r="AM2729">
        <v>441.97</v>
      </c>
      <c r="AN2729">
        <v>441.97</v>
      </c>
      <c r="AO2729">
        <v>441.97</v>
      </c>
      <c r="AP2729" s="2">
        <v>42746</v>
      </c>
      <c r="AQ2729" t="s">
        <v>72</v>
      </c>
      <c r="AR2729" t="s">
        <v>72</v>
      </c>
      <c r="AS2729">
        <v>1005</v>
      </c>
      <c r="AT2729" s="4">
        <v>42464</v>
      </c>
      <c r="AV2729">
        <v>1005</v>
      </c>
      <c r="AW2729" s="4">
        <v>42464</v>
      </c>
      <c r="BD2729">
        <v>0</v>
      </c>
      <c r="BN2729" t="s">
        <v>74</v>
      </c>
    </row>
    <row r="2730" spans="1:66" hidden="1">
      <c r="A2730">
        <v>100906</v>
      </c>
      <c r="B2730" s="3" t="s">
        <v>257</v>
      </c>
      <c r="C2730" s="1">
        <v>43300101</v>
      </c>
      <c r="D2730" t="s">
        <v>67</v>
      </c>
      <c r="H2730" t="str">
        <f t="shared" si="275"/>
        <v>06978161005</v>
      </c>
      <c r="I2730" t="str">
        <f t="shared" si="275"/>
        <v>06978161005</v>
      </c>
      <c r="K2730" t="str">
        <f>""</f>
        <v/>
      </c>
      <c r="M2730" t="s">
        <v>68</v>
      </c>
      <c r="N2730" t="str">
        <f t="shared" si="271"/>
        <v>FOR</v>
      </c>
      <c r="O2730" t="s">
        <v>69</v>
      </c>
      <c r="P2730" s="3" t="s">
        <v>262</v>
      </c>
      <c r="Q2730">
        <v>2016</v>
      </c>
      <c r="R2730" s="2">
        <v>42464</v>
      </c>
      <c r="S2730" s="2">
        <v>42464</v>
      </c>
      <c r="T2730" s="2">
        <v>42464</v>
      </c>
      <c r="U2730" s="2">
        <v>42524</v>
      </c>
      <c r="V2730" t="s">
        <v>71</v>
      </c>
      <c r="W2730" t="str">
        <f>"                  69"</f>
        <v xml:space="preserve">                  69</v>
      </c>
      <c r="X2730">
        <v>0</v>
      </c>
      <c r="Y2730">
        <v>112.82</v>
      </c>
      <c r="Z2730"/>
      <c r="AB2730"/>
      <c r="AC2730">
        <v>112.82</v>
      </c>
      <c r="AD2730">
        <v>-60</v>
      </c>
      <c r="AE2730" s="1">
        <v>-6769.2</v>
      </c>
      <c r="AF2730">
        <v>0</v>
      </c>
      <c r="AJ2730">
        <v>0</v>
      </c>
      <c r="AK2730">
        <v>0</v>
      </c>
      <c r="AL2730">
        <v>0</v>
      </c>
      <c r="AM2730">
        <v>112.82</v>
      </c>
      <c r="AN2730">
        <v>112.82</v>
      </c>
      <c r="AO2730">
        <v>112.82</v>
      </c>
      <c r="AP2730" s="2">
        <v>42746</v>
      </c>
      <c r="AQ2730" t="s">
        <v>72</v>
      </c>
      <c r="AR2730" t="s">
        <v>72</v>
      </c>
      <c r="AS2730">
        <v>1006</v>
      </c>
      <c r="AT2730" s="4">
        <v>42464</v>
      </c>
      <c r="AV2730">
        <v>1006</v>
      </c>
      <c r="AW2730" s="4">
        <v>42464</v>
      </c>
      <c r="BD2730">
        <v>0</v>
      </c>
      <c r="BN2730" t="s">
        <v>74</v>
      </c>
    </row>
    <row r="2731" spans="1:66" hidden="1">
      <c r="A2731">
        <v>100906</v>
      </c>
      <c r="B2731" s="3" t="s">
        <v>257</v>
      </c>
      <c r="C2731" s="1">
        <v>43300101</v>
      </c>
      <c r="D2731" t="s">
        <v>67</v>
      </c>
      <c r="H2731" t="str">
        <f t="shared" si="275"/>
        <v>06978161005</v>
      </c>
      <c r="I2731" t="str">
        <f t="shared" si="275"/>
        <v>06978161005</v>
      </c>
      <c r="K2731" t="str">
        <f>""</f>
        <v/>
      </c>
      <c r="M2731" t="s">
        <v>68</v>
      </c>
      <c r="N2731" t="str">
        <f t="shared" si="271"/>
        <v>FOR</v>
      </c>
      <c r="O2731" t="s">
        <v>69</v>
      </c>
      <c r="P2731" s="3" t="s">
        <v>277</v>
      </c>
      <c r="Q2731">
        <v>2016</v>
      </c>
      <c r="R2731" s="2">
        <v>42464</v>
      </c>
      <c r="S2731" s="2">
        <v>42464</v>
      </c>
      <c r="T2731" s="2">
        <v>42464</v>
      </c>
      <c r="U2731" s="2">
        <v>42524</v>
      </c>
      <c r="V2731" t="s">
        <v>71</v>
      </c>
      <c r="W2731" t="str">
        <f>"                  70"</f>
        <v xml:space="preserve">                  70</v>
      </c>
      <c r="X2731">
        <v>0</v>
      </c>
      <c r="Y2731">
        <v>90</v>
      </c>
      <c r="Z2731"/>
      <c r="AB2731"/>
      <c r="AC2731">
        <v>90</v>
      </c>
      <c r="AD2731">
        <v>-60</v>
      </c>
      <c r="AE2731" s="1">
        <v>-5400</v>
      </c>
      <c r="AF2731">
        <v>0</v>
      </c>
      <c r="AJ2731">
        <v>0</v>
      </c>
      <c r="AK2731">
        <v>0</v>
      </c>
      <c r="AL2731">
        <v>0</v>
      </c>
      <c r="AM2731">
        <v>90</v>
      </c>
      <c r="AN2731">
        <v>90</v>
      </c>
      <c r="AO2731">
        <v>90</v>
      </c>
      <c r="AP2731" s="2">
        <v>42746</v>
      </c>
      <c r="AQ2731" t="s">
        <v>72</v>
      </c>
      <c r="AR2731" t="s">
        <v>72</v>
      </c>
      <c r="AS2731">
        <v>1003</v>
      </c>
      <c r="AT2731" s="4">
        <v>42464</v>
      </c>
      <c r="AV2731">
        <v>1003</v>
      </c>
      <c r="AW2731" s="4">
        <v>42464</v>
      </c>
      <c r="BD2731">
        <v>0</v>
      </c>
      <c r="BN2731" t="s">
        <v>74</v>
      </c>
    </row>
    <row r="2732" spans="1:66" hidden="1">
      <c r="A2732">
        <v>100906</v>
      </c>
      <c r="B2732" s="3" t="s">
        <v>257</v>
      </c>
      <c r="C2732" s="1">
        <v>43300101</v>
      </c>
      <c r="D2732" t="s">
        <v>67</v>
      </c>
      <c r="H2732" t="str">
        <f t="shared" si="275"/>
        <v>06978161005</v>
      </c>
      <c r="I2732" t="str">
        <f t="shared" si="275"/>
        <v>06978161005</v>
      </c>
      <c r="K2732" t="str">
        <f>""</f>
        <v/>
      </c>
      <c r="M2732" t="s">
        <v>68</v>
      </c>
      <c r="N2732" t="str">
        <f t="shared" si="271"/>
        <v>FOR</v>
      </c>
      <c r="O2732" t="s">
        <v>69</v>
      </c>
      <c r="P2732" s="3" t="s">
        <v>264</v>
      </c>
      <c r="Q2732">
        <v>2016</v>
      </c>
      <c r="R2732" s="2">
        <v>42464</v>
      </c>
      <c r="S2732" s="2">
        <v>42464</v>
      </c>
      <c r="T2732" s="2">
        <v>42464</v>
      </c>
      <c r="U2732" s="2">
        <v>42524</v>
      </c>
      <c r="V2732" t="s">
        <v>71</v>
      </c>
      <c r="W2732" t="str">
        <f>"                  71"</f>
        <v xml:space="preserve">                  71</v>
      </c>
      <c r="X2732">
        <v>0</v>
      </c>
      <c r="Y2732">
        <v>134.72</v>
      </c>
      <c r="Z2732"/>
      <c r="AB2732"/>
      <c r="AC2732">
        <v>134.72</v>
      </c>
      <c r="AD2732">
        <v>-60</v>
      </c>
      <c r="AE2732" s="1">
        <v>-8083.2</v>
      </c>
      <c r="AF2732">
        <v>0</v>
      </c>
      <c r="AJ2732">
        <v>0</v>
      </c>
      <c r="AK2732">
        <v>0</v>
      </c>
      <c r="AL2732">
        <v>0</v>
      </c>
      <c r="AM2732">
        <v>134.72</v>
      </c>
      <c r="AN2732">
        <v>134.72</v>
      </c>
      <c r="AO2732">
        <v>134.72</v>
      </c>
      <c r="AP2732" s="2">
        <v>42746</v>
      </c>
      <c r="AQ2732" t="s">
        <v>72</v>
      </c>
      <c r="AR2732" t="s">
        <v>72</v>
      </c>
      <c r="AS2732">
        <v>1004</v>
      </c>
      <c r="AT2732" s="4">
        <v>42464</v>
      </c>
      <c r="AV2732">
        <v>1004</v>
      </c>
      <c r="AW2732" s="4">
        <v>42464</v>
      </c>
      <c r="BD2732">
        <v>0</v>
      </c>
      <c r="BN2732" t="s">
        <v>74</v>
      </c>
    </row>
    <row r="2733" spans="1:66" hidden="1">
      <c r="A2733">
        <v>100906</v>
      </c>
      <c r="B2733" s="3" t="s">
        <v>257</v>
      </c>
      <c r="C2733" s="1">
        <v>43300101</v>
      </c>
      <c r="D2733" t="s">
        <v>67</v>
      </c>
      <c r="H2733" t="str">
        <f t="shared" si="275"/>
        <v>06978161005</v>
      </c>
      <c r="I2733" t="str">
        <f t="shared" si="275"/>
        <v>06978161005</v>
      </c>
      <c r="K2733" t="str">
        <f>""</f>
        <v/>
      </c>
      <c r="M2733" t="s">
        <v>68</v>
      </c>
      <c r="N2733" t="str">
        <f t="shared" si="271"/>
        <v>FOR</v>
      </c>
      <c r="O2733" t="s">
        <v>69</v>
      </c>
      <c r="P2733" s="3" t="s">
        <v>264</v>
      </c>
      <c r="Q2733">
        <v>2016</v>
      </c>
      <c r="R2733" s="2">
        <v>42464</v>
      </c>
      <c r="S2733" s="2">
        <v>42464</v>
      </c>
      <c r="T2733" s="2">
        <v>42464</v>
      </c>
      <c r="U2733" s="2">
        <v>42524</v>
      </c>
      <c r="V2733" t="s">
        <v>71</v>
      </c>
      <c r="W2733" t="str">
        <f>"                  72"</f>
        <v xml:space="preserve">                  72</v>
      </c>
      <c r="X2733">
        <v>0</v>
      </c>
      <c r="Y2733">
        <v>162.43</v>
      </c>
      <c r="Z2733"/>
      <c r="AB2733"/>
      <c r="AC2733">
        <v>162.43</v>
      </c>
      <c r="AD2733">
        <v>-60</v>
      </c>
      <c r="AE2733" s="1">
        <v>-9745.7999999999993</v>
      </c>
      <c r="AF2733">
        <v>0</v>
      </c>
      <c r="AJ2733">
        <v>0</v>
      </c>
      <c r="AK2733">
        <v>0</v>
      </c>
      <c r="AL2733">
        <v>0</v>
      </c>
      <c r="AM2733">
        <v>162.43</v>
      </c>
      <c r="AN2733">
        <v>162.43</v>
      </c>
      <c r="AO2733">
        <v>162.43</v>
      </c>
      <c r="AP2733" s="2">
        <v>42746</v>
      </c>
      <c r="AQ2733" t="s">
        <v>72</v>
      </c>
      <c r="AR2733" t="s">
        <v>72</v>
      </c>
      <c r="AS2733">
        <v>1001</v>
      </c>
      <c r="AT2733" s="4">
        <v>42464</v>
      </c>
      <c r="AV2733">
        <v>1001</v>
      </c>
      <c r="AW2733" s="4">
        <v>42464</v>
      </c>
      <c r="BD2733">
        <v>0</v>
      </c>
      <c r="BN2733" t="s">
        <v>74</v>
      </c>
    </row>
    <row r="2734" spans="1:66" hidden="1">
      <c r="A2734">
        <v>100906</v>
      </c>
      <c r="B2734" s="3" t="s">
        <v>257</v>
      </c>
      <c r="C2734" s="1">
        <v>43300101</v>
      </c>
      <c r="D2734" t="s">
        <v>67</v>
      </c>
      <c r="H2734" t="str">
        <f t="shared" si="275"/>
        <v>06978161005</v>
      </c>
      <c r="I2734" t="str">
        <f t="shared" si="275"/>
        <v>06978161005</v>
      </c>
      <c r="K2734" t="str">
        <f>""</f>
        <v/>
      </c>
      <c r="M2734" t="s">
        <v>68</v>
      </c>
      <c r="N2734" t="str">
        <f t="shared" si="271"/>
        <v>FOR</v>
      </c>
      <c r="O2734" t="s">
        <v>69</v>
      </c>
      <c r="P2734" s="3" t="s">
        <v>278</v>
      </c>
      <c r="Q2734">
        <v>2016</v>
      </c>
      <c r="R2734" s="2">
        <v>42464</v>
      </c>
      <c r="S2734" s="2">
        <v>42464</v>
      </c>
      <c r="T2734" s="2">
        <v>42464</v>
      </c>
      <c r="U2734" s="2">
        <v>42524</v>
      </c>
      <c r="V2734" t="s">
        <v>71</v>
      </c>
      <c r="W2734" t="str">
        <f>"                  73"</f>
        <v xml:space="preserve">                  73</v>
      </c>
      <c r="X2734">
        <v>0</v>
      </c>
      <c r="Y2734">
        <v>83.75</v>
      </c>
      <c r="Z2734"/>
      <c r="AB2734"/>
      <c r="AC2734">
        <v>83.75</v>
      </c>
      <c r="AD2734">
        <v>-60</v>
      </c>
      <c r="AE2734" s="1">
        <v>-5025</v>
      </c>
      <c r="AF2734">
        <v>0</v>
      </c>
      <c r="AJ2734">
        <v>0</v>
      </c>
      <c r="AK2734">
        <v>0</v>
      </c>
      <c r="AL2734">
        <v>0</v>
      </c>
      <c r="AM2734">
        <v>83.75</v>
      </c>
      <c r="AN2734">
        <v>83.75</v>
      </c>
      <c r="AO2734">
        <v>83.75</v>
      </c>
      <c r="AP2734" s="2">
        <v>42746</v>
      </c>
      <c r="AQ2734" t="s">
        <v>72</v>
      </c>
      <c r="AR2734" t="s">
        <v>72</v>
      </c>
      <c r="AS2734">
        <v>1002</v>
      </c>
      <c r="AT2734" s="4">
        <v>42464</v>
      </c>
      <c r="AV2734">
        <v>1002</v>
      </c>
      <c r="AW2734" s="4">
        <v>42464</v>
      </c>
      <c r="BD2734">
        <v>0</v>
      </c>
      <c r="BN2734" t="s">
        <v>74</v>
      </c>
    </row>
    <row r="2735" spans="1:66" hidden="1">
      <c r="A2735">
        <v>100906</v>
      </c>
      <c r="B2735" s="3" t="s">
        <v>257</v>
      </c>
      <c r="C2735" s="1">
        <v>43300101</v>
      </c>
      <c r="D2735" t="s">
        <v>67</v>
      </c>
      <c r="H2735" t="str">
        <f t="shared" si="275"/>
        <v>06978161005</v>
      </c>
      <c r="I2735" t="str">
        <f t="shared" si="275"/>
        <v>06978161005</v>
      </c>
      <c r="K2735" t="str">
        <f>""</f>
        <v/>
      </c>
      <c r="M2735" t="s">
        <v>68</v>
      </c>
      <c r="N2735" t="str">
        <f t="shared" si="271"/>
        <v>FOR</v>
      </c>
      <c r="O2735" t="s">
        <v>69</v>
      </c>
      <c r="P2735" s="3" t="s">
        <v>279</v>
      </c>
      <c r="Q2735">
        <v>2016</v>
      </c>
      <c r="R2735" s="2">
        <v>42480</v>
      </c>
      <c r="S2735" s="2">
        <v>42480</v>
      </c>
      <c r="T2735" s="2">
        <v>42480</v>
      </c>
      <c r="U2735" s="2">
        <v>42540</v>
      </c>
      <c r="V2735" t="s">
        <v>71</v>
      </c>
      <c r="W2735" t="str">
        <f>"                  94"</f>
        <v xml:space="preserve">                  94</v>
      </c>
      <c r="X2735">
        <v>0</v>
      </c>
      <c r="Y2735">
        <v>155.81</v>
      </c>
      <c r="Z2735"/>
      <c r="AB2735"/>
      <c r="AC2735">
        <v>155.81</v>
      </c>
      <c r="AD2735">
        <v>-60</v>
      </c>
      <c r="AE2735" s="1">
        <v>-9348.6</v>
      </c>
      <c r="AF2735">
        <v>0</v>
      </c>
      <c r="AJ2735">
        <v>0</v>
      </c>
      <c r="AK2735">
        <v>0</v>
      </c>
      <c r="AL2735">
        <v>0</v>
      </c>
      <c r="AM2735">
        <v>155.81</v>
      </c>
      <c r="AN2735">
        <v>155.81</v>
      </c>
      <c r="AO2735">
        <v>155.81</v>
      </c>
      <c r="AP2735" s="2">
        <v>42746</v>
      </c>
      <c r="AQ2735" t="s">
        <v>72</v>
      </c>
      <c r="AR2735" t="s">
        <v>72</v>
      </c>
      <c r="AS2735">
        <v>1031</v>
      </c>
      <c r="AT2735" s="4">
        <v>42480</v>
      </c>
      <c r="AV2735">
        <v>1031</v>
      </c>
      <c r="AW2735" s="4">
        <v>42480</v>
      </c>
      <c r="BD2735">
        <v>0</v>
      </c>
      <c r="BN2735" t="s">
        <v>74</v>
      </c>
    </row>
    <row r="2736" spans="1:66" hidden="1">
      <c r="A2736">
        <v>100906</v>
      </c>
      <c r="B2736" s="3" t="s">
        <v>257</v>
      </c>
      <c r="C2736" s="1">
        <v>43300101</v>
      </c>
      <c r="D2736" t="s">
        <v>67</v>
      </c>
      <c r="H2736" t="str">
        <f t="shared" si="275"/>
        <v>06978161005</v>
      </c>
      <c r="I2736" t="str">
        <f t="shared" si="275"/>
        <v>06978161005</v>
      </c>
      <c r="K2736" t="str">
        <f>""</f>
        <v/>
      </c>
      <c r="M2736" t="s">
        <v>68</v>
      </c>
      <c r="N2736" t="str">
        <f t="shared" si="271"/>
        <v>FOR</v>
      </c>
      <c r="O2736" t="s">
        <v>69</v>
      </c>
      <c r="P2736" s="3" t="s">
        <v>280</v>
      </c>
      <c r="Q2736">
        <v>2016</v>
      </c>
      <c r="R2736" s="2">
        <v>42480</v>
      </c>
      <c r="S2736" s="2">
        <v>42480</v>
      </c>
      <c r="T2736" s="2">
        <v>42480</v>
      </c>
      <c r="U2736" s="2">
        <v>42540</v>
      </c>
      <c r="V2736" t="s">
        <v>71</v>
      </c>
      <c r="W2736" t="str">
        <f>"                  95"</f>
        <v xml:space="preserve">                  95</v>
      </c>
      <c r="X2736">
        <v>0</v>
      </c>
      <c r="Y2736">
        <v>155.75</v>
      </c>
      <c r="Z2736"/>
      <c r="AB2736"/>
      <c r="AC2736">
        <v>155.75</v>
      </c>
      <c r="AD2736">
        <v>-60</v>
      </c>
      <c r="AE2736" s="1">
        <v>-9345</v>
      </c>
      <c r="AF2736">
        <v>0</v>
      </c>
      <c r="AJ2736">
        <v>0</v>
      </c>
      <c r="AK2736">
        <v>0</v>
      </c>
      <c r="AL2736">
        <v>0</v>
      </c>
      <c r="AM2736">
        <v>155.75</v>
      </c>
      <c r="AN2736">
        <v>155.75</v>
      </c>
      <c r="AO2736">
        <v>155.75</v>
      </c>
      <c r="AP2736" s="2">
        <v>42746</v>
      </c>
      <c r="AQ2736" t="s">
        <v>72</v>
      </c>
      <c r="AR2736" t="s">
        <v>72</v>
      </c>
      <c r="AS2736">
        <v>1032</v>
      </c>
      <c r="AT2736" s="4">
        <v>42480</v>
      </c>
      <c r="AV2736">
        <v>1032</v>
      </c>
      <c r="AW2736" s="4">
        <v>42480</v>
      </c>
      <c r="BD2736">
        <v>0</v>
      </c>
      <c r="BN2736" t="s">
        <v>74</v>
      </c>
    </row>
    <row r="2737" spans="1:66" hidden="1">
      <c r="A2737">
        <v>100906</v>
      </c>
      <c r="B2737" s="3" t="s">
        <v>257</v>
      </c>
      <c r="C2737" s="1">
        <v>43300101</v>
      </c>
      <c r="D2737" t="s">
        <v>67</v>
      </c>
      <c r="H2737" t="str">
        <f t="shared" si="275"/>
        <v>06978161005</v>
      </c>
      <c r="I2737" t="str">
        <f t="shared" si="275"/>
        <v>06978161005</v>
      </c>
      <c r="K2737" t="str">
        <f>""</f>
        <v/>
      </c>
      <c r="M2737" t="s">
        <v>68</v>
      </c>
      <c r="N2737" t="str">
        <f t="shared" si="271"/>
        <v>FOR</v>
      </c>
      <c r="O2737" t="s">
        <v>69</v>
      </c>
      <c r="P2737" s="3" t="s">
        <v>269</v>
      </c>
      <c r="Q2737">
        <v>2016</v>
      </c>
      <c r="R2737" s="2">
        <v>42480</v>
      </c>
      <c r="S2737" s="2">
        <v>42480</v>
      </c>
      <c r="T2737" s="2">
        <v>42480</v>
      </c>
      <c r="U2737" s="2">
        <v>42540</v>
      </c>
      <c r="V2737" t="s">
        <v>71</v>
      </c>
      <c r="W2737" t="str">
        <f>"                  96"</f>
        <v xml:space="preserve">                  96</v>
      </c>
      <c r="X2737">
        <v>0</v>
      </c>
      <c r="Y2737">
        <v>2</v>
      </c>
      <c r="Z2737"/>
      <c r="AB2737"/>
      <c r="AC2737">
        <v>2</v>
      </c>
      <c r="AD2737">
        <v>-60</v>
      </c>
      <c r="AE2737">
        <v>-120</v>
      </c>
      <c r="AF2737">
        <v>0</v>
      </c>
      <c r="AJ2737">
        <v>0</v>
      </c>
      <c r="AK2737">
        <v>0</v>
      </c>
      <c r="AL2737">
        <v>0</v>
      </c>
      <c r="AM2737">
        <v>2</v>
      </c>
      <c r="AN2737">
        <v>2</v>
      </c>
      <c r="AO2737">
        <v>2</v>
      </c>
      <c r="AP2737" s="2">
        <v>42746</v>
      </c>
      <c r="AQ2737" t="s">
        <v>72</v>
      </c>
      <c r="AR2737" t="s">
        <v>72</v>
      </c>
      <c r="AS2737">
        <v>1029</v>
      </c>
      <c r="AT2737" s="4">
        <v>42480</v>
      </c>
      <c r="AV2737">
        <v>1029</v>
      </c>
      <c r="AW2737" s="4">
        <v>42480</v>
      </c>
      <c r="BD2737">
        <v>0</v>
      </c>
      <c r="BN2737" t="s">
        <v>74</v>
      </c>
    </row>
    <row r="2738" spans="1:66" hidden="1">
      <c r="A2738">
        <v>100906</v>
      </c>
      <c r="B2738" s="3" t="s">
        <v>257</v>
      </c>
      <c r="C2738" s="1">
        <v>43300101</v>
      </c>
      <c r="D2738" t="s">
        <v>67</v>
      </c>
      <c r="H2738" t="str">
        <f t="shared" si="275"/>
        <v>06978161005</v>
      </c>
      <c r="I2738" t="str">
        <f t="shared" si="275"/>
        <v>06978161005</v>
      </c>
      <c r="K2738" t="str">
        <f>""</f>
        <v/>
      </c>
      <c r="M2738" t="s">
        <v>68</v>
      </c>
      <c r="N2738" t="str">
        <f t="shared" si="271"/>
        <v>FOR</v>
      </c>
      <c r="O2738" t="s">
        <v>69</v>
      </c>
      <c r="P2738" s="3" t="s">
        <v>281</v>
      </c>
      <c r="Q2738">
        <v>2016</v>
      </c>
      <c r="R2738" s="2">
        <v>42480</v>
      </c>
      <c r="S2738" s="2">
        <v>42480</v>
      </c>
      <c r="T2738" s="2">
        <v>42480</v>
      </c>
      <c r="U2738" s="2">
        <v>42540</v>
      </c>
      <c r="V2738" t="s">
        <v>71</v>
      </c>
      <c r="W2738" t="str">
        <f>"                  97"</f>
        <v xml:space="preserve">                  97</v>
      </c>
      <c r="X2738">
        <v>0</v>
      </c>
      <c r="Y2738">
        <v>446.5</v>
      </c>
      <c r="Z2738"/>
      <c r="AB2738"/>
      <c r="AC2738">
        <v>446.5</v>
      </c>
      <c r="AD2738">
        <v>-60</v>
      </c>
      <c r="AE2738" s="1">
        <v>-26790</v>
      </c>
      <c r="AF2738">
        <v>0</v>
      </c>
      <c r="AJ2738">
        <v>0</v>
      </c>
      <c r="AK2738">
        <v>0</v>
      </c>
      <c r="AL2738">
        <v>0</v>
      </c>
      <c r="AM2738">
        <v>446.5</v>
      </c>
      <c r="AN2738">
        <v>446.5</v>
      </c>
      <c r="AO2738">
        <v>446.5</v>
      </c>
      <c r="AP2738" s="2">
        <v>42746</v>
      </c>
      <c r="AQ2738" t="s">
        <v>72</v>
      </c>
      <c r="AR2738" t="s">
        <v>72</v>
      </c>
      <c r="AS2738">
        <v>1030</v>
      </c>
      <c r="AT2738" s="4">
        <v>42480</v>
      </c>
      <c r="AV2738">
        <v>1030</v>
      </c>
      <c r="AW2738" s="4">
        <v>42480</v>
      </c>
      <c r="BD2738">
        <v>0</v>
      </c>
      <c r="BN2738" t="s">
        <v>74</v>
      </c>
    </row>
    <row r="2739" spans="1:66" hidden="1">
      <c r="A2739">
        <v>100906</v>
      </c>
      <c r="B2739" s="3" t="s">
        <v>257</v>
      </c>
      <c r="C2739" s="1">
        <v>43300101</v>
      </c>
      <c r="D2739" t="s">
        <v>67</v>
      </c>
      <c r="H2739" t="str">
        <f t="shared" si="275"/>
        <v>06978161005</v>
      </c>
      <c r="I2739" t="str">
        <f t="shared" si="275"/>
        <v>06978161005</v>
      </c>
      <c r="K2739" t="str">
        <f>""</f>
        <v/>
      </c>
      <c r="M2739" t="s">
        <v>68</v>
      </c>
      <c r="N2739" t="str">
        <f t="shared" si="271"/>
        <v>FOR</v>
      </c>
      <c r="O2739" t="s">
        <v>69</v>
      </c>
      <c r="P2739" s="3" t="s">
        <v>282</v>
      </c>
      <c r="Q2739">
        <v>2016</v>
      </c>
      <c r="R2739" s="2">
        <v>42480</v>
      </c>
      <c r="S2739" s="2">
        <v>42480</v>
      </c>
      <c r="T2739" s="2">
        <v>42480</v>
      </c>
      <c r="U2739" s="2">
        <v>42540</v>
      </c>
      <c r="V2739" t="s">
        <v>71</v>
      </c>
      <c r="W2739" t="str">
        <f>"                  98"</f>
        <v xml:space="preserve">                  98</v>
      </c>
      <c r="X2739">
        <v>0</v>
      </c>
      <c r="Y2739">
        <v>105.7</v>
      </c>
      <c r="Z2739"/>
      <c r="AB2739"/>
      <c r="AC2739">
        <v>105.7</v>
      </c>
      <c r="AD2739">
        <v>-60</v>
      </c>
      <c r="AE2739" s="1">
        <v>-6342</v>
      </c>
      <c r="AF2739">
        <v>0</v>
      </c>
      <c r="AJ2739">
        <v>0</v>
      </c>
      <c r="AK2739">
        <v>0</v>
      </c>
      <c r="AL2739">
        <v>0</v>
      </c>
      <c r="AM2739">
        <v>105.7</v>
      </c>
      <c r="AN2739">
        <v>105.7</v>
      </c>
      <c r="AO2739">
        <v>105.7</v>
      </c>
      <c r="AP2739" s="2">
        <v>42746</v>
      </c>
      <c r="AQ2739" t="s">
        <v>72</v>
      </c>
      <c r="AR2739" t="s">
        <v>72</v>
      </c>
      <c r="AS2739">
        <v>1027</v>
      </c>
      <c r="AT2739" s="4">
        <v>42480</v>
      </c>
      <c r="AV2739">
        <v>1027</v>
      </c>
      <c r="AW2739" s="4">
        <v>42480</v>
      </c>
      <c r="BD2739">
        <v>0</v>
      </c>
      <c r="BN2739" t="s">
        <v>74</v>
      </c>
    </row>
    <row r="2740" spans="1:66" hidden="1">
      <c r="A2740">
        <v>100906</v>
      </c>
      <c r="B2740" s="3" t="s">
        <v>257</v>
      </c>
      <c r="C2740" s="1">
        <v>43300101</v>
      </c>
      <c r="D2740" t="s">
        <v>67</v>
      </c>
      <c r="H2740" t="str">
        <f t="shared" si="275"/>
        <v>06978161005</v>
      </c>
      <c r="I2740" t="str">
        <f t="shared" si="275"/>
        <v>06978161005</v>
      </c>
      <c r="K2740" t="str">
        <f>""</f>
        <v/>
      </c>
      <c r="M2740" t="s">
        <v>68</v>
      </c>
      <c r="N2740" t="str">
        <f t="shared" si="271"/>
        <v>FOR</v>
      </c>
      <c r="O2740" t="s">
        <v>69</v>
      </c>
      <c r="P2740" s="3" t="s">
        <v>283</v>
      </c>
      <c r="Q2740">
        <v>2016</v>
      </c>
      <c r="R2740" s="2">
        <v>42480</v>
      </c>
      <c r="S2740" s="2">
        <v>42480</v>
      </c>
      <c r="T2740" s="2">
        <v>42480</v>
      </c>
      <c r="U2740" s="2">
        <v>42540</v>
      </c>
      <c r="V2740" t="s">
        <v>71</v>
      </c>
      <c r="W2740" t="str">
        <f>"                  99"</f>
        <v xml:space="preserve">                  99</v>
      </c>
      <c r="X2740">
        <v>0</v>
      </c>
      <c r="Y2740">
        <v>90</v>
      </c>
      <c r="Z2740"/>
      <c r="AB2740"/>
      <c r="AC2740">
        <v>90</v>
      </c>
      <c r="AD2740">
        <v>-60</v>
      </c>
      <c r="AE2740" s="1">
        <v>-5400</v>
      </c>
      <c r="AF2740">
        <v>0</v>
      </c>
      <c r="AJ2740">
        <v>0</v>
      </c>
      <c r="AK2740">
        <v>0</v>
      </c>
      <c r="AL2740">
        <v>0</v>
      </c>
      <c r="AM2740">
        <v>90</v>
      </c>
      <c r="AN2740">
        <v>90</v>
      </c>
      <c r="AO2740">
        <v>90</v>
      </c>
      <c r="AP2740" s="2">
        <v>42746</v>
      </c>
      <c r="AQ2740" t="s">
        <v>72</v>
      </c>
      <c r="AR2740" t="s">
        <v>72</v>
      </c>
      <c r="AS2740">
        <v>1028</v>
      </c>
      <c r="AT2740" s="4">
        <v>42480</v>
      </c>
      <c r="AV2740">
        <v>1028</v>
      </c>
      <c r="AW2740" s="4">
        <v>42480</v>
      </c>
      <c r="BD2740">
        <v>0</v>
      </c>
      <c r="BN2740" t="s">
        <v>74</v>
      </c>
    </row>
    <row r="2741" spans="1:66" hidden="1">
      <c r="A2741">
        <v>100906</v>
      </c>
      <c r="B2741" s="3" t="s">
        <v>257</v>
      </c>
      <c r="C2741" s="1">
        <v>43300101</v>
      </c>
      <c r="D2741" t="s">
        <v>67</v>
      </c>
      <c r="H2741" t="str">
        <f t="shared" si="275"/>
        <v>06978161005</v>
      </c>
      <c r="I2741" t="str">
        <f t="shared" si="275"/>
        <v>06978161005</v>
      </c>
      <c r="K2741" t="str">
        <f>""</f>
        <v/>
      </c>
      <c r="M2741" t="s">
        <v>68</v>
      </c>
      <c r="N2741" t="str">
        <f t="shared" si="271"/>
        <v>FOR</v>
      </c>
      <c r="O2741" t="s">
        <v>69</v>
      </c>
      <c r="P2741" s="3" t="s">
        <v>284</v>
      </c>
      <c r="Q2741">
        <v>2016</v>
      </c>
      <c r="R2741" s="2">
        <v>42480</v>
      </c>
      <c r="S2741" s="2">
        <v>42480</v>
      </c>
      <c r="T2741" s="2">
        <v>42480</v>
      </c>
      <c r="U2741" s="2">
        <v>42540</v>
      </c>
      <c r="V2741" t="s">
        <v>71</v>
      </c>
      <c r="W2741" t="str">
        <f>"                 100"</f>
        <v xml:space="preserve">                 100</v>
      </c>
      <c r="X2741">
        <v>0</v>
      </c>
      <c r="Y2741" s="1">
        <v>14959.69</v>
      </c>
      <c r="Z2741"/>
      <c r="AB2741"/>
      <c r="AC2741" s="1">
        <v>14959.69</v>
      </c>
      <c r="AD2741">
        <v>-60</v>
      </c>
      <c r="AE2741" s="1">
        <v>-897581.4</v>
      </c>
      <c r="AF2741">
        <v>0</v>
      </c>
      <c r="AJ2741">
        <v>0</v>
      </c>
      <c r="AK2741">
        <v>0</v>
      </c>
      <c r="AL2741">
        <v>0</v>
      </c>
      <c r="AM2741" s="1">
        <v>14959.69</v>
      </c>
      <c r="AN2741" s="1">
        <v>14959.69</v>
      </c>
      <c r="AO2741" s="1">
        <v>14959.69</v>
      </c>
      <c r="AP2741" s="2">
        <v>42746</v>
      </c>
      <c r="AQ2741" t="s">
        <v>72</v>
      </c>
      <c r="AR2741" t="s">
        <v>72</v>
      </c>
      <c r="AS2741">
        <v>1026</v>
      </c>
      <c r="AT2741" s="4">
        <v>42480</v>
      </c>
      <c r="AV2741">
        <v>1026</v>
      </c>
      <c r="AW2741" s="4">
        <v>42480</v>
      </c>
      <c r="BD2741">
        <v>0</v>
      </c>
      <c r="BN2741" t="s">
        <v>74</v>
      </c>
    </row>
    <row r="2742" spans="1:66" hidden="1">
      <c r="A2742">
        <v>100906</v>
      </c>
      <c r="B2742" s="3" t="s">
        <v>257</v>
      </c>
      <c r="C2742" s="1">
        <v>43300101</v>
      </c>
      <c r="D2742" t="s">
        <v>67</v>
      </c>
      <c r="H2742" t="str">
        <f t="shared" si="275"/>
        <v>06978161005</v>
      </c>
      <c r="I2742" t="str">
        <f t="shared" si="275"/>
        <v>06978161005</v>
      </c>
      <c r="K2742" t="str">
        <f>""</f>
        <v/>
      </c>
      <c r="M2742" t="s">
        <v>68</v>
      </c>
      <c r="N2742" t="str">
        <f t="shared" si="271"/>
        <v>FOR</v>
      </c>
      <c r="O2742" t="s">
        <v>69</v>
      </c>
      <c r="P2742" s="3" t="s">
        <v>285</v>
      </c>
      <c r="Q2742">
        <v>2016</v>
      </c>
      <c r="R2742" s="2">
        <v>42494</v>
      </c>
      <c r="S2742" s="2">
        <v>42494</v>
      </c>
      <c r="T2742" s="2">
        <v>42494</v>
      </c>
      <c r="U2742" s="2">
        <v>42554</v>
      </c>
      <c r="V2742" t="s">
        <v>71</v>
      </c>
      <c r="W2742" t="str">
        <f>"                 107"</f>
        <v xml:space="preserve">                 107</v>
      </c>
      <c r="X2742">
        <v>0</v>
      </c>
      <c r="Y2742" s="1">
        <v>14959</v>
      </c>
      <c r="Z2742"/>
      <c r="AB2742"/>
      <c r="AC2742" s="1">
        <v>14959</v>
      </c>
      <c r="AD2742">
        <v>-60</v>
      </c>
      <c r="AE2742" s="1">
        <v>-897540</v>
      </c>
      <c r="AF2742">
        <v>0</v>
      </c>
      <c r="AJ2742">
        <v>0</v>
      </c>
      <c r="AK2742">
        <v>0</v>
      </c>
      <c r="AL2742">
        <v>0</v>
      </c>
      <c r="AM2742" s="1">
        <v>14959</v>
      </c>
      <c r="AN2742" s="1">
        <v>14959</v>
      </c>
      <c r="AO2742" s="1">
        <v>14959</v>
      </c>
      <c r="AP2742" s="2">
        <v>42746</v>
      </c>
      <c r="AQ2742" t="s">
        <v>72</v>
      </c>
      <c r="AR2742" t="s">
        <v>72</v>
      </c>
      <c r="AS2742">
        <v>1258</v>
      </c>
      <c r="AT2742" s="4">
        <v>42494</v>
      </c>
      <c r="AV2742">
        <v>1258</v>
      </c>
      <c r="AW2742" s="4">
        <v>42494</v>
      </c>
      <c r="BD2742">
        <v>0</v>
      </c>
      <c r="BN2742" t="s">
        <v>74</v>
      </c>
    </row>
    <row r="2743" spans="1:66" hidden="1">
      <c r="A2743">
        <v>100906</v>
      </c>
      <c r="B2743" s="3" t="s">
        <v>257</v>
      </c>
      <c r="C2743" s="1">
        <v>43300101</v>
      </c>
      <c r="D2743" t="s">
        <v>67</v>
      </c>
      <c r="H2743" t="str">
        <f t="shared" si="275"/>
        <v>06978161005</v>
      </c>
      <c r="I2743" t="str">
        <f t="shared" si="275"/>
        <v>06978161005</v>
      </c>
      <c r="K2743" t="str">
        <f>""</f>
        <v/>
      </c>
      <c r="M2743" t="s">
        <v>68</v>
      </c>
      <c r="N2743" t="str">
        <f t="shared" si="271"/>
        <v>FOR</v>
      </c>
      <c r="O2743" t="s">
        <v>69</v>
      </c>
      <c r="P2743" s="3" t="s">
        <v>286</v>
      </c>
      <c r="Q2743">
        <v>2016</v>
      </c>
      <c r="R2743" s="2">
        <v>42499</v>
      </c>
      <c r="S2743" s="2">
        <v>42499</v>
      </c>
      <c r="T2743" s="2">
        <v>42499</v>
      </c>
      <c r="U2743" s="2">
        <v>42559</v>
      </c>
      <c r="V2743" t="s">
        <v>71</v>
      </c>
      <c r="W2743" t="str">
        <f>"                 110"</f>
        <v xml:space="preserve">                 110</v>
      </c>
      <c r="X2743">
        <v>0</v>
      </c>
      <c r="Y2743" s="1">
        <v>14959.69</v>
      </c>
      <c r="Z2743"/>
      <c r="AB2743"/>
      <c r="AC2743" s="1">
        <v>14959.69</v>
      </c>
      <c r="AD2743">
        <v>-52</v>
      </c>
      <c r="AE2743" s="1">
        <v>-777903.88</v>
      </c>
      <c r="AF2743">
        <v>0</v>
      </c>
      <c r="AJ2743">
        <v>0</v>
      </c>
      <c r="AK2743">
        <v>0</v>
      </c>
      <c r="AL2743">
        <v>0</v>
      </c>
      <c r="AM2743" s="1">
        <v>14959.69</v>
      </c>
      <c r="AN2743" s="1">
        <v>14959.69</v>
      </c>
      <c r="AO2743" s="1">
        <v>14959.69</v>
      </c>
      <c r="AP2743" s="2">
        <v>42746</v>
      </c>
      <c r="AQ2743" t="s">
        <v>72</v>
      </c>
      <c r="AR2743" t="s">
        <v>72</v>
      </c>
      <c r="AS2743">
        <v>1278</v>
      </c>
      <c r="AT2743" s="4">
        <v>42507</v>
      </c>
      <c r="AV2743">
        <v>1278</v>
      </c>
      <c r="AW2743" s="4">
        <v>42507</v>
      </c>
      <c r="BD2743">
        <v>0</v>
      </c>
      <c r="BN2743" t="s">
        <v>74</v>
      </c>
    </row>
    <row r="2744" spans="1:66" hidden="1">
      <c r="A2744">
        <v>100906</v>
      </c>
      <c r="B2744" s="3" t="s">
        <v>257</v>
      </c>
      <c r="C2744" s="1">
        <v>43300101</v>
      </c>
      <c r="D2744" t="s">
        <v>67</v>
      </c>
      <c r="H2744" t="str">
        <f t="shared" si="275"/>
        <v>06978161005</v>
      </c>
      <c r="I2744" t="str">
        <f t="shared" si="275"/>
        <v>06978161005</v>
      </c>
      <c r="K2744" t="str">
        <f>""</f>
        <v/>
      </c>
      <c r="M2744" t="s">
        <v>68</v>
      </c>
      <c r="N2744" t="str">
        <f t="shared" si="271"/>
        <v>FOR</v>
      </c>
      <c r="O2744" t="s">
        <v>69</v>
      </c>
      <c r="P2744" s="3" t="s">
        <v>287</v>
      </c>
      <c r="Q2744">
        <v>2016</v>
      </c>
      <c r="R2744" s="2">
        <v>42507</v>
      </c>
      <c r="S2744" s="2">
        <v>42507</v>
      </c>
      <c r="T2744" s="2">
        <v>42507</v>
      </c>
      <c r="U2744" s="2">
        <v>42567</v>
      </c>
      <c r="V2744" t="s">
        <v>71</v>
      </c>
      <c r="W2744" t="str">
        <f>"                 114"</f>
        <v xml:space="preserve">                 114</v>
      </c>
      <c r="X2744">
        <v>0</v>
      </c>
      <c r="Y2744">
        <v>172.75</v>
      </c>
      <c r="Z2744"/>
      <c r="AB2744"/>
      <c r="AC2744">
        <v>172.75</v>
      </c>
      <c r="AD2744">
        <v>-60</v>
      </c>
      <c r="AE2744" s="1">
        <v>-10365</v>
      </c>
      <c r="AF2744">
        <v>0</v>
      </c>
      <c r="AJ2744">
        <v>0</v>
      </c>
      <c r="AK2744">
        <v>0</v>
      </c>
      <c r="AL2744">
        <v>0</v>
      </c>
      <c r="AM2744">
        <v>172.75</v>
      </c>
      <c r="AN2744">
        <v>172.75</v>
      </c>
      <c r="AO2744">
        <v>172.75</v>
      </c>
      <c r="AP2744" s="2">
        <v>42746</v>
      </c>
      <c r="AQ2744" t="s">
        <v>72</v>
      </c>
      <c r="AR2744" t="s">
        <v>72</v>
      </c>
      <c r="AS2744">
        <v>1279</v>
      </c>
      <c r="AT2744" s="4">
        <v>42507</v>
      </c>
      <c r="AV2744">
        <v>1279</v>
      </c>
      <c r="AW2744" s="4">
        <v>42507</v>
      </c>
      <c r="BD2744">
        <v>0</v>
      </c>
      <c r="BN2744" t="s">
        <v>74</v>
      </c>
    </row>
    <row r="2745" spans="1:66" hidden="1">
      <c r="A2745">
        <v>100906</v>
      </c>
      <c r="B2745" s="3" t="s">
        <v>257</v>
      </c>
      <c r="C2745" s="1">
        <v>43300101</v>
      </c>
      <c r="D2745" t="s">
        <v>67</v>
      </c>
      <c r="H2745" t="str">
        <f t="shared" si="275"/>
        <v>06978161005</v>
      </c>
      <c r="I2745" t="str">
        <f t="shared" si="275"/>
        <v>06978161005</v>
      </c>
      <c r="K2745" t="str">
        <f>""</f>
        <v/>
      </c>
      <c r="M2745" t="s">
        <v>68</v>
      </c>
      <c r="N2745" t="str">
        <f t="shared" si="271"/>
        <v>FOR</v>
      </c>
      <c r="O2745" t="s">
        <v>69</v>
      </c>
      <c r="P2745" s="3" t="s">
        <v>288</v>
      </c>
      <c r="Q2745">
        <v>2016</v>
      </c>
      <c r="R2745" s="2">
        <v>42507</v>
      </c>
      <c r="S2745" s="2">
        <v>42507</v>
      </c>
      <c r="T2745" s="2">
        <v>42507</v>
      </c>
      <c r="U2745" s="2">
        <v>42567</v>
      </c>
      <c r="V2745" t="s">
        <v>71</v>
      </c>
      <c r="W2745" t="str">
        <f>"                 115"</f>
        <v xml:space="preserve">                 115</v>
      </c>
      <c r="X2745">
        <v>0</v>
      </c>
      <c r="Y2745">
        <v>234.03</v>
      </c>
      <c r="Z2745"/>
      <c r="AB2745"/>
      <c r="AC2745">
        <v>234.03</v>
      </c>
      <c r="AD2745">
        <v>-60</v>
      </c>
      <c r="AE2745" s="1">
        <v>-14041.8</v>
      </c>
      <c r="AF2745">
        <v>0</v>
      </c>
      <c r="AJ2745">
        <v>0</v>
      </c>
      <c r="AK2745">
        <v>0</v>
      </c>
      <c r="AL2745">
        <v>0</v>
      </c>
      <c r="AM2745">
        <v>234.03</v>
      </c>
      <c r="AN2745">
        <v>234.03</v>
      </c>
      <c r="AO2745">
        <v>234.03</v>
      </c>
      <c r="AP2745" s="2">
        <v>42746</v>
      </c>
      <c r="AQ2745" t="s">
        <v>72</v>
      </c>
      <c r="AR2745" t="s">
        <v>72</v>
      </c>
      <c r="AS2745">
        <v>1282</v>
      </c>
      <c r="AT2745" s="4">
        <v>42507</v>
      </c>
      <c r="AV2745">
        <v>1282</v>
      </c>
      <c r="AW2745" s="4">
        <v>42507</v>
      </c>
      <c r="BD2745">
        <v>0</v>
      </c>
      <c r="BN2745" t="s">
        <v>74</v>
      </c>
    </row>
    <row r="2746" spans="1:66" hidden="1">
      <c r="A2746">
        <v>100906</v>
      </c>
      <c r="B2746" s="3" t="s">
        <v>257</v>
      </c>
      <c r="C2746" s="1">
        <v>43300101</v>
      </c>
      <c r="D2746" t="s">
        <v>67</v>
      </c>
      <c r="H2746" t="str">
        <f t="shared" si="275"/>
        <v>06978161005</v>
      </c>
      <c r="I2746" t="str">
        <f t="shared" si="275"/>
        <v>06978161005</v>
      </c>
      <c r="K2746" t="str">
        <f>""</f>
        <v/>
      </c>
      <c r="M2746" t="s">
        <v>68</v>
      </c>
      <c r="N2746" t="str">
        <f t="shared" si="271"/>
        <v>FOR</v>
      </c>
      <c r="O2746" t="s">
        <v>69</v>
      </c>
      <c r="P2746" s="3" t="s">
        <v>289</v>
      </c>
      <c r="Q2746">
        <v>2016</v>
      </c>
      <c r="R2746" s="2">
        <v>42507</v>
      </c>
      <c r="S2746" s="2">
        <v>42507</v>
      </c>
      <c r="T2746" s="2">
        <v>42507</v>
      </c>
      <c r="U2746" s="2">
        <v>42567</v>
      </c>
      <c r="V2746" t="s">
        <v>71</v>
      </c>
      <c r="W2746" t="str">
        <f>"                 116"</f>
        <v xml:space="preserve">                 116</v>
      </c>
      <c r="X2746">
        <v>0</v>
      </c>
      <c r="Y2746">
        <v>100.41</v>
      </c>
      <c r="Z2746"/>
      <c r="AB2746"/>
      <c r="AC2746">
        <v>100.41</v>
      </c>
      <c r="AD2746">
        <v>-60</v>
      </c>
      <c r="AE2746" s="1">
        <v>-6024.6</v>
      </c>
      <c r="AF2746">
        <v>0</v>
      </c>
      <c r="AJ2746">
        <v>0</v>
      </c>
      <c r="AK2746">
        <v>0</v>
      </c>
      <c r="AL2746">
        <v>0</v>
      </c>
      <c r="AM2746">
        <v>100.41</v>
      </c>
      <c r="AN2746">
        <v>100.41</v>
      </c>
      <c r="AO2746">
        <v>100.41</v>
      </c>
      <c r="AP2746" s="2">
        <v>42746</v>
      </c>
      <c r="AQ2746" t="s">
        <v>72</v>
      </c>
      <c r="AR2746" t="s">
        <v>72</v>
      </c>
      <c r="AS2746">
        <v>1283</v>
      </c>
      <c r="AT2746" s="4">
        <v>42507</v>
      </c>
      <c r="AV2746">
        <v>1283</v>
      </c>
      <c r="AW2746" s="4">
        <v>42507</v>
      </c>
      <c r="BD2746">
        <v>0</v>
      </c>
      <c r="BN2746" t="s">
        <v>74</v>
      </c>
    </row>
    <row r="2747" spans="1:66" hidden="1">
      <c r="A2747">
        <v>100906</v>
      </c>
      <c r="B2747" s="3" t="s">
        <v>257</v>
      </c>
      <c r="C2747" s="1">
        <v>43300101</v>
      </c>
      <c r="D2747" t="s">
        <v>67</v>
      </c>
      <c r="H2747" t="str">
        <f t="shared" si="275"/>
        <v>06978161005</v>
      </c>
      <c r="I2747" t="str">
        <f t="shared" si="275"/>
        <v>06978161005</v>
      </c>
      <c r="K2747" t="str">
        <f>""</f>
        <v/>
      </c>
      <c r="M2747" t="s">
        <v>68</v>
      </c>
      <c r="N2747" t="str">
        <f t="shared" si="271"/>
        <v>FOR</v>
      </c>
      <c r="O2747" t="s">
        <v>69</v>
      </c>
      <c r="P2747" s="3" t="s">
        <v>281</v>
      </c>
      <c r="Q2747">
        <v>2016</v>
      </c>
      <c r="R2747" s="2">
        <v>42507</v>
      </c>
      <c r="S2747" s="2">
        <v>42507</v>
      </c>
      <c r="T2747" s="2">
        <v>42507</v>
      </c>
      <c r="U2747" s="2">
        <v>42567</v>
      </c>
      <c r="V2747" t="s">
        <v>71</v>
      </c>
      <c r="W2747" t="str">
        <f>"                 117"</f>
        <v xml:space="preserve">                 117</v>
      </c>
      <c r="X2747">
        <v>0</v>
      </c>
      <c r="Y2747">
        <v>440.24</v>
      </c>
      <c r="Z2747"/>
      <c r="AB2747"/>
      <c r="AC2747">
        <v>440.24</v>
      </c>
      <c r="AD2747">
        <v>-60</v>
      </c>
      <c r="AE2747" s="1">
        <v>-26414.400000000001</v>
      </c>
      <c r="AF2747">
        <v>0</v>
      </c>
      <c r="AJ2747">
        <v>0</v>
      </c>
      <c r="AK2747">
        <v>0</v>
      </c>
      <c r="AL2747">
        <v>0</v>
      </c>
      <c r="AM2747">
        <v>440.24</v>
      </c>
      <c r="AN2747">
        <v>440.24</v>
      </c>
      <c r="AO2747">
        <v>440.24</v>
      </c>
      <c r="AP2747" s="2">
        <v>42746</v>
      </c>
      <c r="AQ2747" t="s">
        <v>72</v>
      </c>
      <c r="AR2747" t="s">
        <v>72</v>
      </c>
      <c r="AS2747">
        <v>1280</v>
      </c>
      <c r="AT2747" s="4">
        <v>42507</v>
      </c>
      <c r="AV2747">
        <v>1280</v>
      </c>
      <c r="AW2747" s="4">
        <v>42507</v>
      </c>
      <c r="BD2747">
        <v>0</v>
      </c>
      <c r="BN2747" t="s">
        <v>74</v>
      </c>
    </row>
    <row r="2748" spans="1:66" hidden="1">
      <c r="A2748">
        <v>100906</v>
      </c>
      <c r="B2748" s="3" t="s">
        <v>257</v>
      </c>
      <c r="C2748" s="1">
        <v>43300101</v>
      </c>
      <c r="D2748" t="s">
        <v>67</v>
      </c>
      <c r="H2748" t="str">
        <f t="shared" ref="H2748:I2767" si="276">"06978161005"</f>
        <v>06978161005</v>
      </c>
      <c r="I2748" t="str">
        <f t="shared" si="276"/>
        <v>06978161005</v>
      </c>
      <c r="K2748" t="str">
        <f>""</f>
        <v/>
      </c>
      <c r="M2748" t="s">
        <v>68</v>
      </c>
      <c r="N2748" t="str">
        <f t="shared" si="271"/>
        <v>FOR</v>
      </c>
      <c r="O2748" t="s">
        <v>69</v>
      </c>
      <c r="P2748" s="3" t="s">
        <v>290</v>
      </c>
      <c r="Q2748">
        <v>2016</v>
      </c>
      <c r="R2748" s="2">
        <v>42507</v>
      </c>
      <c r="S2748" s="2">
        <v>42507</v>
      </c>
      <c r="T2748" s="2">
        <v>42507</v>
      </c>
      <c r="U2748" s="2">
        <v>42567</v>
      </c>
      <c r="V2748" t="s">
        <v>71</v>
      </c>
      <c r="W2748" t="str">
        <f>"                 118"</f>
        <v xml:space="preserve">                 118</v>
      </c>
      <c r="X2748">
        <v>0</v>
      </c>
      <c r="Y2748">
        <v>90</v>
      </c>
      <c r="Z2748"/>
      <c r="AB2748"/>
      <c r="AC2748">
        <v>90</v>
      </c>
      <c r="AD2748">
        <v>-60</v>
      </c>
      <c r="AE2748" s="1">
        <v>-5400</v>
      </c>
      <c r="AF2748">
        <v>0</v>
      </c>
      <c r="AJ2748">
        <v>0</v>
      </c>
      <c r="AK2748">
        <v>0</v>
      </c>
      <c r="AL2748">
        <v>0</v>
      </c>
      <c r="AM2748">
        <v>90</v>
      </c>
      <c r="AN2748">
        <v>90</v>
      </c>
      <c r="AO2748">
        <v>90</v>
      </c>
      <c r="AP2748" s="2">
        <v>42746</v>
      </c>
      <c r="AQ2748" t="s">
        <v>72</v>
      </c>
      <c r="AR2748" t="s">
        <v>72</v>
      </c>
      <c r="AS2748">
        <v>1281</v>
      </c>
      <c r="AT2748" s="4">
        <v>42507</v>
      </c>
      <c r="AV2748">
        <v>1281</v>
      </c>
      <c r="AW2748" s="4">
        <v>42507</v>
      </c>
      <c r="BD2748">
        <v>0</v>
      </c>
      <c r="BN2748" t="s">
        <v>74</v>
      </c>
    </row>
    <row r="2749" spans="1:66" hidden="1">
      <c r="A2749">
        <v>100906</v>
      </c>
      <c r="B2749" s="3" t="s">
        <v>257</v>
      </c>
      <c r="C2749" s="1">
        <v>43300101</v>
      </c>
      <c r="D2749" t="s">
        <v>67</v>
      </c>
      <c r="H2749" t="str">
        <f t="shared" si="276"/>
        <v>06978161005</v>
      </c>
      <c r="I2749" t="str">
        <f t="shared" si="276"/>
        <v>06978161005</v>
      </c>
      <c r="K2749" t="str">
        <f>""</f>
        <v/>
      </c>
      <c r="M2749" t="s">
        <v>68</v>
      </c>
      <c r="N2749" t="str">
        <f t="shared" si="271"/>
        <v>FOR</v>
      </c>
      <c r="O2749" t="s">
        <v>69</v>
      </c>
      <c r="P2749" s="3" t="s">
        <v>291</v>
      </c>
      <c r="Q2749">
        <v>2016</v>
      </c>
      <c r="R2749" s="2">
        <v>42516</v>
      </c>
      <c r="S2749" s="2">
        <v>42516</v>
      </c>
      <c r="T2749" s="2">
        <v>42516</v>
      </c>
      <c r="U2749" s="2">
        <v>42576</v>
      </c>
      <c r="V2749" t="s">
        <v>71</v>
      </c>
      <c r="W2749" t="str">
        <f>"                 121"</f>
        <v xml:space="preserve">                 121</v>
      </c>
      <c r="X2749">
        <v>0</v>
      </c>
      <c r="Y2749" s="1">
        <v>14959</v>
      </c>
      <c r="Z2749"/>
      <c r="AB2749"/>
      <c r="AC2749" s="1">
        <v>14959</v>
      </c>
      <c r="AD2749">
        <v>-32</v>
      </c>
      <c r="AE2749" s="1">
        <v>-478688</v>
      </c>
      <c r="AF2749">
        <v>0</v>
      </c>
      <c r="AJ2749">
        <v>0</v>
      </c>
      <c r="AK2749">
        <v>0</v>
      </c>
      <c r="AL2749">
        <v>0</v>
      </c>
      <c r="AM2749" s="1">
        <v>14959</v>
      </c>
      <c r="AN2749" s="1">
        <v>14959</v>
      </c>
      <c r="AO2749" s="1">
        <v>14959</v>
      </c>
      <c r="AP2749" s="2">
        <v>42746</v>
      </c>
      <c r="AQ2749" t="s">
        <v>72</v>
      </c>
      <c r="AR2749" t="s">
        <v>72</v>
      </c>
      <c r="AS2749">
        <v>1631</v>
      </c>
      <c r="AT2749" s="4">
        <v>42544</v>
      </c>
      <c r="AV2749">
        <v>1631</v>
      </c>
      <c r="AW2749" s="4">
        <v>42544</v>
      </c>
      <c r="BD2749">
        <v>0</v>
      </c>
      <c r="BN2749" t="s">
        <v>74</v>
      </c>
    </row>
    <row r="2750" spans="1:66" hidden="1">
      <c r="A2750">
        <v>100906</v>
      </c>
      <c r="B2750" s="3" t="s">
        <v>257</v>
      </c>
      <c r="C2750" s="1">
        <v>43300101</v>
      </c>
      <c r="D2750" t="s">
        <v>67</v>
      </c>
      <c r="H2750" t="str">
        <f t="shared" si="276"/>
        <v>06978161005</v>
      </c>
      <c r="I2750" t="str">
        <f t="shared" si="276"/>
        <v>06978161005</v>
      </c>
      <c r="K2750" t="str">
        <f>""</f>
        <v/>
      </c>
      <c r="M2750" t="s">
        <v>68</v>
      </c>
      <c r="N2750" t="str">
        <f t="shared" si="271"/>
        <v>FOR</v>
      </c>
      <c r="O2750" t="s">
        <v>69</v>
      </c>
      <c r="P2750" s="3" t="s">
        <v>292</v>
      </c>
      <c r="Q2750">
        <v>2016</v>
      </c>
      <c r="R2750" s="2">
        <v>42542</v>
      </c>
      <c r="S2750" s="2">
        <v>42542</v>
      </c>
      <c r="T2750" s="2">
        <v>42542</v>
      </c>
      <c r="U2750" s="2">
        <v>42602</v>
      </c>
      <c r="V2750" t="s">
        <v>71</v>
      </c>
      <c r="W2750" t="str">
        <f>"                 150"</f>
        <v xml:space="preserve">                 150</v>
      </c>
      <c r="X2750">
        <v>0</v>
      </c>
      <c r="Y2750" s="1">
        <v>14959</v>
      </c>
      <c r="Z2750"/>
      <c r="AB2750"/>
      <c r="AC2750" s="1">
        <v>14959</v>
      </c>
      <c r="AD2750">
        <v>-58</v>
      </c>
      <c r="AE2750" s="1">
        <v>-867622</v>
      </c>
      <c r="AF2750">
        <v>0</v>
      </c>
      <c r="AJ2750">
        <v>0</v>
      </c>
      <c r="AK2750">
        <v>0</v>
      </c>
      <c r="AL2750">
        <v>0</v>
      </c>
      <c r="AM2750" s="1">
        <v>14959</v>
      </c>
      <c r="AN2750" s="1">
        <v>14959</v>
      </c>
      <c r="AO2750" s="1">
        <v>14959</v>
      </c>
      <c r="AP2750" s="2">
        <v>42746</v>
      </c>
      <c r="AQ2750" t="s">
        <v>72</v>
      </c>
      <c r="AR2750" t="s">
        <v>72</v>
      </c>
      <c r="AS2750">
        <v>1632</v>
      </c>
      <c r="AT2750" s="4">
        <v>42544</v>
      </c>
      <c r="AV2750">
        <v>1632</v>
      </c>
      <c r="AW2750" s="4">
        <v>42544</v>
      </c>
      <c r="BD2750">
        <v>0</v>
      </c>
      <c r="BN2750" t="s">
        <v>74</v>
      </c>
    </row>
    <row r="2751" spans="1:66" hidden="1">
      <c r="A2751">
        <v>100906</v>
      </c>
      <c r="B2751" s="3" t="s">
        <v>257</v>
      </c>
      <c r="C2751" s="1">
        <v>43300101</v>
      </c>
      <c r="D2751" t="s">
        <v>67</v>
      </c>
      <c r="H2751" t="str">
        <f t="shared" si="276"/>
        <v>06978161005</v>
      </c>
      <c r="I2751" t="str">
        <f t="shared" si="276"/>
        <v>06978161005</v>
      </c>
      <c r="K2751" t="str">
        <f>""</f>
        <v/>
      </c>
      <c r="M2751" t="s">
        <v>68</v>
      </c>
      <c r="N2751" t="str">
        <f t="shared" si="271"/>
        <v>FOR</v>
      </c>
      <c r="O2751" t="s">
        <v>69</v>
      </c>
      <c r="P2751" s="3" t="s">
        <v>293</v>
      </c>
      <c r="Q2751">
        <v>2016</v>
      </c>
      <c r="R2751" s="2">
        <v>42542</v>
      </c>
      <c r="S2751" s="2">
        <v>42542</v>
      </c>
      <c r="T2751" s="2">
        <v>42542</v>
      </c>
      <c r="U2751" s="2">
        <v>42602</v>
      </c>
      <c r="V2751" t="s">
        <v>71</v>
      </c>
      <c r="W2751" t="str">
        <f>"                 151"</f>
        <v xml:space="preserve">                 151</v>
      </c>
      <c r="X2751">
        <v>0</v>
      </c>
      <c r="Y2751" s="1">
        <v>14959.69</v>
      </c>
      <c r="Z2751"/>
      <c r="AB2751"/>
      <c r="AC2751" s="1">
        <v>14959.69</v>
      </c>
      <c r="AD2751">
        <v>-58</v>
      </c>
      <c r="AE2751" s="1">
        <v>-867662.02</v>
      </c>
      <c r="AF2751">
        <v>0</v>
      </c>
      <c r="AJ2751">
        <v>0</v>
      </c>
      <c r="AK2751">
        <v>0</v>
      </c>
      <c r="AL2751">
        <v>0</v>
      </c>
      <c r="AM2751" s="1">
        <v>14959.69</v>
      </c>
      <c r="AN2751" s="1">
        <v>14959.69</v>
      </c>
      <c r="AO2751" s="1">
        <v>14959.69</v>
      </c>
      <c r="AP2751" s="2">
        <v>42746</v>
      </c>
      <c r="AQ2751" t="s">
        <v>72</v>
      </c>
      <c r="AR2751" t="s">
        <v>72</v>
      </c>
      <c r="AS2751">
        <v>1630</v>
      </c>
      <c r="AT2751" s="4">
        <v>42544</v>
      </c>
      <c r="AV2751">
        <v>1630</v>
      </c>
      <c r="AW2751" s="4">
        <v>42544</v>
      </c>
      <c r="BD2751">
        <v>0</v>
      </c>
      <c r="BN2751" t="s">
        <v>74</v>
      </c>
    </row>
    <row r="2752" spans="1:66" hidden="1">
      <c r="A2752">
        <v>100906</v>
      </c>
      <c r="B2752" s="3" t="s">
        <v>257</v>
      </c>
      <c r="C2752" s="1">
        <v>43300101</v>
      </c>
      <c r="D2752" t="s">
        <v>67</v>
      </c>
      <c r="H2752" t="str">
        <f t="shared" si="276"/>
        <v>06978161005</v>
      </c>
      <c r="I2752" t="str">
        <f t="shared" si="276"/>
        <v>06978161005</v>
      </c>
      <c r="K2752" t="str">
        <f>""</f>
        <v/>
      </c>
      <c r="M2752" t="s">
        <v>68</v>
      </c>
      <c r="N2752" t="str">
        <f t="shared" si="271"/>
        <v>FOR</v>
      </c>
      <c r="O2752" t="s">
        <v>69</v>
      </c>
      <c r="P2752" s="3" t="s">
        <v>264</v>
      </c>
      <c r="Q2752">
        <v>2016</v>
      </c>
      <c r="R2752" s="2">
        <v>42542</v>
      </c>
      <c r="S2752" s="2">
        <v>42542</v>
      </c>
      <c r="T2752" s="2">
        <v>42542</v>
      </c>
      <c r="U2752" s="2">
        <v>42602</v>
      </c>
      <c r="V2752" t="s">
        <v>71</v>
      </c>
      <c r="W2752" t="str">
        <f>"                 152"</f>
        <v xml:space="preserve">                 152</v>
      </c>
      <c r="X2752">
        <v>0</v>
      </c>
      <c r="Y2752">
        <v>168.38</v>
      </c>
      <c r="Z2752"/>
      <c r="AB2752"/>
      <c r="AC2752">
        <v>168.38</v>
      </c>
      <c r="AD2752">
        <v>-58</v>
      </c>
      <c r="AE2752" s="1">
        <v>-9766.0400000000009</v>
      </c>
      <c r="AF2752">
        <v>0</v>
      </c>
      <c r="AJ2752">
        <v>0</v>
      </c>
      <c r="AK2752">
        <v>0</v>
      </c>
      <c r="AL2752">
        <v>0</v>
      </c>
      <c r="AM2752">
        <v>168.38</v>
      </c>
      <c r="AN2752">
        <v>168.38</v>
      </c>
      <c r="AO2752">
        <v>168.38</v>
      </c>
      <c r="AP2752" s="2">
        <v>42746</v>
      </c>
      <c r="AQ2752" t="s">
        <v>72</v>
      </c>
      <c r="AR2752" t="s">
        <v>72</v>
      </c>
      <c r="AS2752">
        <v>1629</v>
      </c>
      <c r="AT2752" s="4">
        <v>42544</v>
      </c>
      <c r="AV2752">
        <v>1629</v>
      </c>
      <c r="AW2752" s="4">
        <v>42544</v>
      </c>
      <c r="BD2752">
        <v>0</v>
      </c>
      <c r="BN2752" t="s">
        <v>74</v>
      </c>
    </row>
    <row r="2753" spans="1:66" hidden="1">
      <c r="A2753">
        <v>100906</v>
      </c>
      <c r="B2753" s="3" t="s">
        <v>257</v>
      </c>
      <c r="C2753" s="1">
        <v>43300101</v>
      </c>
      <c r="D2753" t="s">
        <v>67</v>
      </c>
      <c r="H2753" t="str">
        <f t="shared" si="276"/>
        <v>06978161005</v>
      </c>
      <c r="I2753" t="str">
        <f t="shared" si="276"/>
        <v>06978161005</v>
      </c>
      <c r="K2753" t="str">
        <f>""</f>
        <v/>
      </c>
      <c r="M2753" t="s">
        <v>68</v>
      </c>
      <c r="N2753" t="str">
        <f t="shared" si="271"/>
        <v>FOR</v>
      </c>
      <c r="O2753" t="s">
        <v>69</v>
      </c>
      <c r="P2753" s="3" t="s">
        <v>264</v>
      </c>
      <c r="Q2753">
        <v>2016</v>
      </c>
      <c r="R2753" s="2">
        <v>42542</v>
      </c>
      <c r="S2753" s="2">
        <v>42542</v>
      </c>
      <c r="T2753" s="2">
        <v>42542</v>
      </c>
      <c r="U2753" s="2">
        <v>42602</v>
      </c>
      <c r="V2753" t="s">
        <v>71</v>
      </c>
      <c r="W2753" t="str">
        <f>"                 153"</f>
        <v xml:space="preserve">                 153</v>
      </c>
      <c r="X2753">
        <v>0</v>
      </c>
      <c r="Y2753">
        <v>152.84</v>
      </c>
      <c r="Z2753"/>
      <c r="AB2753"/>
      <c r="AC2753">
        <v>152.84</v>
      </c>
      <c r="AD2753">
        <v>-58</v>
      </c>
      <c r="AE2753" s="1">
        <v>-8864.7199999999993</v>
      </c>
      <c r="AF2753">
        <v>0</v>
      </c>
      <c r="AJ2753">
        <v>0</v>
      </c>
      <c r="AK2753">
        <v>0</v>
      </c>
      <c r="AL2753">
        <v>0</v>
      </c>
      <c r="AM2753">
        <v>152.84</v>
      </c>
      <c r="AN2753">
        <v>152.84</v>
      </c>
      <c r="AO2753">
        <v>152.84</v>
      </c>
      <c r="AP2753" s="2">
        <v>42746</v>
      </c>
      <c r="AQ2753" t="s">
        <v>72</v>
      </c>
      <c r="AR2753" t="s">
        <v>72</v>
      </c>
      <c r="AS2753">
        <v>1629</v>
      </c>
      <c r="AT2753" s="4">
        <v>42544</v>
      </c>
      <c r="AV2753">
        <v>1629</v>
      </c>
      <c r="AW2753" s="4">
        <v>42544</v>
      </c>
      <c r="BD2753">
        <v>0</v>
      </c>
      <c r="BN2753" t="s">
        <v>74</v>
      </c>
    </row>
    <row r="2754" spans="1:66" hidden="1">
      <c r="A2754">
        <v>100906</v>
      </c>
      <c r="B2754" s="3" t="s">
        <v>257</v>
      </c>
      <c r="C2754" s="1">
        <v>43300101</v>
      </c>
      <c r="D2754" t="s">
        <v>67</v>
      </c>
      <c r="H2754" t="str">
        <f t="shared" si="276"/>
        <v>06978161005</v>
      </c>
      <c r="I2754" t="str">
        <f t="shared" si="276"/>
        <v>06978161005</v>
      </c>
      <c r="K2754" t="str">
        <f>""</f>
        <v/>
      </c>
      <c r="M2754" t="s">
        <v>68</v>
      </c>
      <c r="N2754" t="str">
        <f t="shared" si="271"/>
        <v>FOR</v>
      </c>
      <c r="O2754" t="s">
        <v>69</v>
      </c>
      <c r="P2754" s="3" t="s">
        <v>266</v>
      </c>
      <c r="Q2754">
        <v>2016</v>
      </c>
      <c r="R2754" s="2">
        <v>42542</v>
      </c>
      <c r="S2754" s="2">
        <v>42542</v>
      </c>
      <c r="T2754" s="2">
        <v>42542</v>
      </c>
      <c r="U2754" s="2">
        <v>42602</v>
      </c>
      <c r="V2754" t="s">
        <v>71</v>
      </c>
      <c r="W2754" t="str">
        <f>"                 154"</f>
        <v xml:space="preserve">                 154</v>
      </c>
      <c r="X2754">
        <v>0</v>
      </c>
      <c r="Y2754">
        <v>477.94</v>
      </c>
      <c r="Z2754"/>
      <c r="AB2754"/>
      <c r="AC2754">
        <v>477.94</v>
      </c>
      <c r="AD2754">
        <v>-58</v>
      </c>
      <c r="AE2754" s="1">
        <v>-27720.52</v>
      </c>
      <c r="AF2754">
        <v>0</v>
      </c>
      <c r="AJ2754">
        <v>0</v>
      </c>
      <c r="AK2754">
        <v>0</v>
      </c>
      <c r="AL2754">
        <v>0</v>
      </c>
      <c r="AM2754">
        <v>477.94</v>
      </c>
      <c r="AN2754">
        <v>477.94</v>
      </c>
      <c r="AO2754">
        <v>477.94</v>
      </c>
      <c r="AP2754" s="2">
        <v>42746</v>
      </c>
      <c r="AQ2754" t="s">
        <v>72</v>
      </c>
      <c r="AR2754" t="s">
        <v>72</v>
      </c>
      <c r="AS2754">
        <v>1629</v>
      </c>
      <c r="AT2754" s="4">
        <v>42544</v>
      </c>
      <c r="AV2754">
        <v>1629</v>
      </c>
      <c r="AW2754" s="4">
        <v>42544</v>
      </c>
      <c r="BD2754">
        <v>0</v>
      </c>
      <c r="BN2754" t="s">
        <v>74</v>
      </c>
    </row>
    <row r="2755" spans="1:66" hidden="1">
      <c r="A2755">
        <v>100906</v>
      </c>
      <c r="B2755" s="3" t="s">
        <v>257</v>
      </c>
      <c r="C2755" s="1">
        <v>43300101</v>
      </c>
      <c r="D2755" t="s">
        <v>67</v>
      </c>
      <c r="H2755" t="str">
        <f t="shared" si="276"/>
        <v>06978161005</v>
      </c>
      <c r="I2755" t="str">
        <f t="shared" si="276"/>
        <v>06978161005</v>
      </c>
      <c r="K2755" t="str">
        <f>""</f>
        <v/>
      </c>
      <c r="M2755" t="s">
        <v>68</v>
      </c>
      <c r="N2755" t="str">
        <f t="shared" si="271"/>
        <v>FOR</v>
      </c>
      <c r="O2755" t="s">
        <v>69</v>
      </c>
      <c r="P2755" s="3" t="s">
        <v>294</v>
      </c>
      <c r="Q2755">
        <v>2016</v>
      </c>
      <c r="R2755" s="2">
        <v>42542</v>
      </c>
      <c r="S2755" s="2">
        <v>42542</v>
      </c>
      <c r="T2755" s="2">
        <v>42542</v>
      </c>
      <c r="U2755" s="2">
        <v>42602</v>
      </c>
      <c r="V2755" t="s">
        <v>71</v>
      </c>
      <c r="W2755" t="str">
        <f>"                 155"</f>
        <v xml:space="preserve">                 155</v>
      </c>
      <c r="X2755">
        <v>0</v>
      </c>
      <c r="Y2755">
        <v>108.81</v>
      </c>
      <c r="Z2755"/>
      <c r="AB2755"/>
      <c r="AC2755">
        <v>108.81</v>
      </c>
      <c r="AD2755">
        <v>-58</v>
      </c>
      <c r="AE2755" s="1">
        <v>-6310.98</v>
      </c>
      <c r="AF2755">
        <v>0</v>
      </c>
      <c r="AJ2755">
        <v>0</v>
      </c>
      <c r="AK2755">
        <v>0</v>
      </c>
      <c r="AL2755">
        <v>0</v>
      </c>
      <c r="AM2755">
        <v>108.81</v>
      </c>
      <c r="AN2755">
        <v>108.81</v>
      </c>
      <c r="AO2755">
        <v>108.81</v>
      </c>
      <c r="AP2755" s="2">
        <v>42746</v>
      </c>
      <c r="AQ2755" t="s">
        <v>72</v>
      </c>
      <c r="AR2755" t="s">
        <v>72</v>
      </c>
      <c r="AS2755">
        <v>1629</v>
      </c>
      <c r="AT2755" s="4">
        <v>42544</v>
      </c>
      <c r="AV2755">
        <v>1629</v>
      </c>
      <c r="AW2755" s="4">
        <v>42544</v>
      </c>
      <c r="BD2755">
        <v>0</v>
      </c>
      <c r="BN2755" t="s">
        <v>74</v>
      </c>
    </row>
    <row r="2756" spans="1:66" hidden="1">
      <c r="A2756">
        <v>100906</v>
      </c>
      <c r="B2756" s="3" t="s">
        <v>257</v>
      </c>
      <c r="C2756" s="1">
        <v>43300101</v>
      </c>
      <c r="D2756" t="s">
        <v>67</v>
      </c>
      <c r="H2756" t="str">
        <f t="shared" si="276"/>
        <v>06978161005</v>
      </c>
      <c r="I2756" t="str">
        <f t="shared" si="276"/>
        <v>06978161005</v>
      </c>
      <c r="K2756" t="str">
        <f>""</f>
        <v/>
      </c>
      <c r="M2756" t="s">
        <v>68</v>
      </c>
      <c r="N2756" t="str">
        <f t="shared" si="271"/>
        <v>FOR</v>
      </c>
      <c r="O2756" t="s">
        <v>69</v>
      </c>
      <c r="P2756" s="3" t="s">
        <v>295</v>
      </c>
      <c r="Q2756">
        <v>2016</v>
      </c>
      <c r="R2756" s="2">
        <v>42542</v>
      </c>
      <c r="S2756" s="2">
        <v>42542</v>
      </c>
      <c r="T2756" s="2">
        <v>42542</v>
      </c>
      <c r="U2756" s="2">
        <v>42602</v>
      </c>
      <c r="V2756" t="s">
        <v>71</v>
      </c>
      <c r="W2756" t="str">
        <f>"                 156"</f>
        <v xml:space="preserve">                 156</v>
      </c>
      <c r="X2756">
        <v>0</v>
      </c>
      <c r="Y2756">
        <v>90</v>
      </c>
      <c r="Z2756"/>
      <c r="AB2756"/>
      <c r="AC2756">
        <v>90</v>
      </c>
      <c r="AD2756">
        <v>-58</v>
      </c>
      <c r="AE2756" s="1">
        <v>-5220</v>
      </c>
      <c r="AF2756">
        <v>0</v>
      </c>
      <c r="AJ2756">
        <v>0</v>
      </c>
      <c r="AK2756">
        <v>0</v>
      </c>
      <c r="AL2756">
        <v>0</v>
      </c>
      <c r="AM2756">
        <v>90</v>
      </c>
      <c r="AN2756">
        <v>90</v>
      </c>
      <c r="AO2756">
        <v>90</v>
      </c>
      <c r="AP2756" s="2">
        <v>42746</v>
      </c>
      <c r="AQ2756" t="s">
        <v>72</v>
      </c>
      <c r="AR2756" t="s">
        <v>72</v>
      </c>
      <c r="AS2756">
        <v>1629</v>
      </c>
      <c r="AT2756" s="4">
        <v>42544</v>
      </c>
      <c r="AV2756">
        <v>1629</v>
      </c>
      <c r="AW2756" s="4">
        <v>42544</v>
      </c>
      <c r="BD2756">
        <v>0</v>
      </c>
      <c r="BN2756" t="s">
        <v>74</v>
      </c>
    </row>
    <row r="2757" spans="1:66" hidden="1">
      <c r="A2757">
        <v>100906</v>
      </c>
      <c r="B2757" s="3" t="s">
        <v>257</v>
      </c>
      <c r="C2757" s="1">
        <v>43300101</v>
      </c>
      <c r="D2757" t="s">
        <v>67</v>
      </c>
      <c r="H2757" t="str">
        <f t="shared" si="276"/>
        <v>06978161005</v>
      </c>
      <c r="I2757" t="str">
        <f t="shared" si="276"/>
        <v>06978161005</v>
      </c>
      <c r="K2757" t="str">
        <f>""</f>
        <v/>
      </c>
      <c r="M2757" t="s">
        <v>68</v>
      </c>
      <c r="N2757" t="str">
        <f t="shared" si="271"/>
        <v>FOR</v>
      </c>
      <c r="O2757" t="s">
        <v>69</v>
      </c>
      <c r="P2757" s="3" t="s">
        <v>296</v>
      </c>
      <c r="Q2757">
        <v>2016</v>
      </c>
      <c r="R2757" s="2">
        <v>42564</v>
      </c>
      <c r="S2757" s="2">
        <v>42564</v>
      </c>
      <c r="T2757" s="2">
        <v>42564</v>
      </c>
      <c r="U2757" s="2">
        <v>42624</v>
      </c>
      <c r="V2757" t="s">
        <v>71</v>
      </c>
      <c r="W2757" t="str">
        <f>"                 164"</f>
        <v xml:space="preserve">                 164</v>
      </c>
      <c r="X2757">
        <v>0</v>
      </c>
      <c r="Y2757" s="1">
        <v>14959.69</v>
      </c>
      <c r="Z2757"/>
      <c r="AB2757"/>
      <c r="AC2757" s="1">
        <v>14959.69</v>
      </c>
      <c r="AD2757">
        <v>-44</v>
      </c>
      <c r="AE2757" s="1">
        <v>-658226.36</v>
      </c>
      <c r="AF2757">
        <v>0</v>
      </c>
      <c r="AJ2757">
        <v>0</v>
      </c>
      <c r="AK2757">
        <v>0</v>
      </c>
      <c r="AL2757">
        <v>0</v>
      </c>
      <c r="AM2757" s="1">
        <v>14959.69</v>
      </c>
      <c r="AN2757" s="1">
        <v>14959.69</v>
      </c>
      <c r="AO2757" s="1">
        <v>14959.69</v>
      </c>
      <c r="AP2757" s="2">
        <v>42746</v>
      </c>
      <c r="AQ2757" t="s">
        <v>72</v>
      </c>
      <c r="AR2757" t="s">
        <v>72</v>
      </c>
      <c r="AS2757">
        <v>2042</v>
      </c>
      <c r="AT2757" s="4">
        <v>42580</v>
      </c>
      <c r="AV2757">
        <v>2042</v>
      </c>
      <c r="AW2757" s="4">
        <v>42580</v>
      </c>
      <c r="BD2757">
        <v>0</v>
      </c>
      <c r="BN2757" t="s">
        <v>74</v>
      </c>
    </row>
    <row r="2758" spans="1:66" hidden="1">
      <c r="A2758">
        <v>100906</v>
      </c>
      <c r="B2758" s="3" t="s">
        <v>257</v>
      </c>
      <c r="C2758" s="1">
        <v>43300101</v>
      </c>
      <c r="D2758" t="s">
        <v>67</v>
      </c>
      <c r="H2758" t="str">
        <f t="shared" si="276"/>
        <v>06978161005</v>
      </c>
      <c r="I2758" t="str">
        <f t="shared" si="276"/>
        <v>06978161005</v>
      </c>
      <c r="K2758" t="str">
        <f>""</f>
        <v/>
      </c>
      <c r="M2758" t="s">
        <v>68</v>
      </c>
      <c r="N2758" t="str">
        <f t="shared" si="271"/>
        <v>FOR</v>
      </c>
      <c r="O2758" t="s">
        <v>69</v>
      </c>
      <c r="P2758" s="3" t="s">
        <v>269</v>
      </c>
      <c r="Q2758">
        <v>2016</v>
      </c>
      <c r="R2758" s="2">
        <v>42564</v>
      </c>
      <c r="S2758" s="2">
        <v>42564</v>
      </c>
      <c r="T2758" s="2">
        <v>42564</v>
      </c>
      <c r="U2758" s="2">
        <v>42624</v>
      </c>
      <c r="V2758" t="s">
        <v>71</v>
      </c>
      <c r="W2758" t="str">
        <f>"                 165"</f>
        <v xml:space="preserve">                 165</v>
      </c>
      <c r="X2758">
        <v>0</v>
      </c>
      <c r="Y2758">
        <v>2</v>
      </c>
      <c r="Z2758"/>
      <c r="AB2758"/>
      <c r="AC2758">
        <v>2</v>
      </c>
      <c r="AD2758">
        <v>-44</v>
      </c>
      <c r="AE2758">
        <v>-88</v>
      </c>
      <c r="AF2758">
        <v>0</v>
      </c>
      <c r="AJ2758">
        <v>0</v>
      </c>
      <c r="AK2758">
        <v>0</v>
      </c>
      <c r="AL2758">
        <v>0</v>
      </c>
      <c r="AM2758">
        <v>2</v>
      </c>
      <c r="AN2758">
        <v>2</v>
      </c>
      <c r="AO2758">
        <v>2</v>
      </c>
      <c r="AP2758" s="2">
        <v>42746</v>
      </c>
      <c r="AQ2758" t="s">
        <v>72</v>
      </c>
      <c r="AR2758" t="s">
        <v>72</v>
      </c>
      <c r="AS2758">
        <v>2044</v>
      </c>
      <c r="AT2758" s="4">
        <v>42580</v>
      </c>
      <c r="AV2758">
        <v>2044</v>
      </c>
      <c r="AW2758" s="4">
        <v>42580</v>
      </c>
      <c r="BD2758">
        <v>0</v>
      </c>
      <c r="BN2758" t="s">
        <v>74</v>
      </c>
    </row>
    <row r="2759" spans="1:66" hidden="1">
      <c r="A2759">
        <v>100906</v>
      </c>
      <c r="B2759" s="3" t="s">
        <v>257</v>
      </c>
      <c r="C2759" s="1">
        <v>43300101</v>
      </c>
      <c r="D2759" t="s">
        <v>67</v>
      </c>
      <c r="H2759" t="str">
        <f t="shared" si="276"/>
        <v>06978161005</v>
      </c>
      <c r="I2759" t="str">
        <f t="shared" si="276"/>
        <v>06978161005</v>
      </c>
      <c r="K2759" t="str">
        <f>""</f>
        <v/>
      </c>
      <c r="M2759" t="s">
        <v>68</v>
      </c>
      <c r="N2759" t="str">
        <f t="shared" ref="N2759:N2822" si="277">"FOR"</f>
        <v>FOR</v>
      </c>
      <c r="O2759" t="s">
        <v>69</v>
      </c>
      <c r="P2759" s="3" t="s">
        <v>297</v>
      </c>
      <c r="Q2759">
        <v>2016</v>
      </c>
      <c r="R2759" s="2">
        <v>42564</v>
      </c>
      <c r="S2759" s="2">
        <v>42564</v>
      </c>
      <c r="T2759" s="2">
        <v>42564</v>
      </c>
      <c r="U2759" s="2">
        <v>42624</v>
      </c>
      <c r="V2759" t="s">
        <v>71</v>
      </c>
      <c r="W2759" t="str">
        <f>"                 166"</f>
        <v xml:space="preserve">                 166</v>
      </c>
      <c r="X2759">
        <v>0</v>
      </c>
      <c r="Y2759">
        <v>195.25</v>
      </c>
      <c r="Z2759"/>
      <c r="AB2759"/>
      <c r="AC2759">
        <v>195.25</v>
      </c>
      <c r="AD2759">
        <v>-44</v>
      </c>
      <c r="AE2759" s="1">
        <v>-8591</v>
      </c>
      <c r="AF2759">
        <v>0</v>
      </c>
      <c r="AJ2759">
        <v>0</v>
      </c>
      <c r="AK2759">
        <v>0</v>
      </c>
      <c r="AL2759">
        <v>0</v>
      </c>
      <c r="AM2759">
        <v>195.25</v>
      </c>
      <c r="AN2759">
        <v>195.25</v>
      </c>
      <c r="AO2759">
        <v>195.25</v>
      </c>
      <c r="AP2759" s="2">
        <v>42746</v>
      </c>
      <c r="AQ2759" t="s">
        <v>72</v>
      </c>
      <c r="AR2759" t="s">
        <v>72</v>
      </c>
      <c r="AS2759">
        <v>2043</v>
      </c>
      <c r="AT2759" s="4">
        <v>42580</v>
      </c>
      <c r="AV2759">
        <v>2043</v>
      </c>
      <c r="AW2759" s="4">
        <v>42580</v>
      </c>
      <c r="BD2759">
        <v>0</v>
      </c>
      <c r="BN2759" t="s">
        <v>74</v>
      </c>
    </row>
    <row r="2760" spans="1:66" hidden="1">
      <c r="A2760">
        <v>100906</v>
      </c>
      <c r="B2760" s="3" t="s">
        <v>257</v>
      </c>
      <c r="C2760" s="1">
        <v>43300101</v>
      </c>
      <c r="D2760" t="s">
        <v>67</v>
      </c>
      <c r="H2760" t="str">
        <f t="shared" si="276"/>
        <v>06978161005</v>
      </c>
      <c r="I2760" t="str">
        <f t="shared" si="276"/>
        <v>06978161005</v>
      </c>
      <c r="K2760" t="str">
        <f>""</f>
        <v/>
      </c>
      <c r="M2760" t="s">
        <v>68</v>
      </c>
      <c r="N2760" t="str">
        <f t="shared" si="277"/>
        <v>FOR</v>
      </c>
      <c r="O2760" t="s">
        <v>69</v>
      </c>
      <c r="P2760" s="3" t="s">
        <v>298</v>
      </c>
      <c r="Q2760">
        <v>2016</v>
      </c>
      <c r="R2760" s="2">
        <v>42580</v>
      </c>
      <c r="S2760" s="2">
        <v>42580</v>
      </c>
      <c r="T2760" s="2">
        <v>42580</v>
      </c>
      <c r="U2760" s="2">
        <v>42640</v>
      </c>
      <c r="V2760" t="s">
        <v>71</v>
      </c>
      <c r="W2760" t="str">
        <f>"                 170"</f>
        <v xml:space="preserve">                 170</v>
      </c>
      <c r="X2760">
        <v>0</v>
      </c>
      <c r="Y2760" s="1">
        <v>14959</v>
      </c>
      <c r="Z2760"/>
      <c r="AB2760"/>
      <c r="AC2760" s="1">
        <v>14959</v>
      </c>
      <c r="AD2760">
        <v>-60</v>
      </c>
      <c r="AE2760" s="1">
        <v>-897540</v>
      </c>
      <c r="AF2760">
        <v>0</v>
      </c>
      <c r="AJ2760">
        <v>0</v>
      </c>
      <c r="AK2760">
        <v>0</v>
      </c>
      <c r="AL2760">
        <v>0</v>
      </c>
      <c r="AM2760" s="1">
        <v>14959</v>
      </c>
      <c r="AN2760" s="1">
        <v>14959</v>
      </c>
      <c r="AO2760" s="1">
        <v>14959</v>
      </c>
      <c r="AP2760" s="2">
        <v>42746</v>
      </c>
      <c r="AQ2760" t="s">
        <v>72</v>
      </c>
      <c r="AR2760" t="s">
        <v>72</v>
      </c>
      <c r="AS2760">
        <v>2045</v>
      </c>
      <c r="AT2760" s="4">
        <v>42580</v>
      </c>
      <c r="AV2760">
        <v>2045</v>
      </c>
      <c r="AW2760" s="4">
        <v>42580</v>
      </c>
      <c r="BD2760">
        <v>0</v>
      </c>
      <c r="BN2760" t="s">
        <v>74</v>
      </c>
    </row>
    <row r="2761" spans="1:66" hidden="1">
      <c r="A2761">
        <v>100906</v>
      </c>
      <c r="B2761" s="3" t="s">
        <v>257</v>
      </c>
      <c r="C2761" s="1">
        <v>43300101</v>
      </c>
      <c r="D2761" t="s">
        <v>67</v>
      </c>
      <c r="H2761" t="str">
        <f t="shared" si="276"/>
        <v>06978161005</v>
      </c>
      <c r="I2761" t="str">
        <f t="shared" si="276"/>
        <v>06978161005</v>
      </c>
      <c r="K2761" t="str">
        <f>""</f>
        <v/>
      </c>
      <c r="M2761" t="s">
        <v>68</v>
      </c>
      <c r="N2761" t="str">
        <f t="shared" si="277"/>
        <v>FOR</v>
      </c>
      <c r="O2761" t="s">
        <v>69</v>
      </c>
      <c r="P2761" s="3" t="s">
        <v>299</v>
      </c>
      <c r="Q2761">
        <v>2016</v>
      </c>
      <c r="R2761" s="2">
        <v>42580</v>
      </c>
      <c r="S2761" s="2">
        <v>42580</v>
      </c>
      <c r="T2761" s="2">
        <v>42580</v>
      </c>
      <c r="U2761" s="2">
        <v>42640</v>
      </c>
      <c r="V2761" t="s">
        <v>71</v>
      </c>
      <c r="W2761" t="str">
        <f>"                 171"</f>
        <v xml:space="preserve">                 171</v>
      </c>
      <c r="X2761">
        <v>0</v>
      </c>
      <c r="Y2761" s="1">
        <v>9398.68</v>
      </c>
      <c r="Z2761"/>
      <c r="AB2761"/>
      <c r="AC2761" s="1">
        <v>9398.68</v>
      </c>
      <c r="AD2761">
        <v>-60</v>
      </c>
      <c r="AE2761" s="1">
        <v>-563920.80000000005</v>
      </c>
      <c r="AF2761">
        <v>0</v>
      </c>
      <c r="AJ2761">
        <v>0</v>
      </c>
      <c r="AK2761">
        <v>0</v>
      </c>
      <c r="AL2761">
        <v>0</v>
      </c>
      <c r="AM2761" s="1">
        <v>9398.68</v>
      </c>
      <c r="AN2761" s="1">
        <v>9398.68</v>
      </c>
      <c r="AO2761" s="1">
        <v>9398.68</v>
      </c>
      <c r="AP2761" s="2">
        <v>42746</v>
      </c>
      <c r="AQ2761" t="s">
        <v>72</v>
      </c>
      <c r="AR2761" t="s">
        <v>72</v>
      </c>
      <c r="AS2761">
        <v>2046</v>
      </c>
      <c r="AT2761" s="4">
        <v>42580</v>
      </c>
      <c r="AV2761">
        <v>2046</v>
      </c>
      <c r="AW2761" s="4">
        <v>42580</v>
      </c>
      <c r="BD2761">
        <v>0</v>
      </c>
      <c r="BN2761" t="s">
        <v>74</v>
      </c>
    </row>
    <row r="2762" spans="1:66" hidden="1">
      <c r="A2762">
        <v>100906</v>
      </c>
      <c r="B2762" s="3" t="s">
        <v>257</v>
      </c>
      <c r="C2762" s="1">
        <v>43300101</v>
      </c>
      <c r="D2762" t="s">
        <v>67</v>
      </c>
      <c r="H2762" t="str">
        <f t="shared" si="276"/>
        <v>06978161005</v>
      </c>
      <c r="I2762" t="str">
        <f t="shared" si="276"/>
        <v>06978161005</v>
      </c>
      <c r="K2762" t="str">
        <f>""</f>
        <v/>
      </c>
      <c r="M2762" t="s">
        <v>68</v>
      </c>
      <c r="N2762" t="str">
        <f t="shared" si="277"/>
        <v>FOR</v>
      </c>
      <c r="O2762" t="s">
        <v>69</v>
      </c>
      <c r="P2762" s="3" t="s">
        <v>300</v>
      </c>
      <c r="Q2762">
        <v>2016</v>
      </c>
      <c r="R2762" s="2">
        <v>42580</v>
      </c>
      <c r="S2762" s="2">
        <v>42580</v>
      </c>
      <c r="T2762" s="2">
        <v>42580</v>
      </c>
      <c r="U2762" s="2">
        <v>42640</v>
      </c>
      <c r="V2762" t="s">
        <v>71</v>
      </c>
      <c r="W2762" t="str">
        <f>"                 172"</f>
        <v xml:space="preserve">                 172</v>
      </c>
      <c r="X2762">
        <v>0</v>
      </c>
      <c r="Y2762">
        <v>3.8</v>
      </c>
      <c r="Z2762"/>
      <c r="AB2762"/>
      <c r="AC2762">
        <v>3.8</v>
      </c>
      <c r="AD2762">
        <v>-60</v>
      </c>
      <c r="AE2762">
        <v>-228</v>
      </c>
      <c r="AF2762">
        <v>0</v>
      </c>
      <c r="AJ2762">
        <v>0</v>
      </c>
      <c r="AK2762">
        <v>0</v>
      </c>
      <c r="AL2762">
        <v>0</v>
      </c>
      <c r="AM2762">
        <v>3.8</v>
      </c>
      <c r="AN2762">
        <v>3.8</v>
      </c>
      <c r="AO2762">
        <v>3.8</v>
      </c>
      <c r="AP2762" s="2">
        <v>42746</v>
      </c>
      <c r="AQ2762" t="s">
        <v>72</v>
      </c>
      <c r="AR2762" t="s">
        <v>72</v>
      </c>
      <c r="AS2762">
        <v>2047</v>
      </c>
      <c r="AT2762" s="4">
        <v>42580</v>
      </c>
      <c r="AV2762">
        <v>2047</v>
      </c>
      <c r="AW2762" s="4">
        <v>42580</v>
      </c>
      <c r="BD2762">
        <v>0</v>
      </c>
      <c r="BN2762" t="s">
        <v>74</v>
      </c>
    </row>
    <row r="2763" spans="1:66" hidden="1">
      <c r="A2763">
        <v>100906</v>
      </c>
      <c r="B2763" s="3" t="s">
        <v>257</v>
      </c>
      <c r="C2763" s="1">
        <v>43300101</v>
      </c>
      <c r="D2763" t="s">
        <v>67</v>
      </c>
      <c r="H2763" t="str">
        <f t="shared" si="276"/>
        <v>06978161005</v>
      </c>
      <c r="I2763" t="str">
        <f t="shared" si="276"/>
        <v>06978161005</v>
      </c>
      <c r="K2763" t="str">
        <f>""</f>
        <v/>
      </c>
      <c r="M2763" t="s">
        <v>68</v>
      </c>
      <c r="N2763" t="str">
        <f t="shared" si="277"/>
        <v>FOR</v>
      </c>
      <c r="O2763" t="s">
        <v>69</v>
      </c>
      <c r="P2763" s="3" t="s">
        <v>301</v>
      </c>
      <c r="Q2763">
        <v>2016</v>
      </c>
      <c r="R2763" s="2">
        <v>42580</v>
      </c>
      <c r="S2763" s="2">
        <v>42580</v>
      </c>
      <c r="T2763" s="2">
        <v>42580</v>
      </c>
      <c r="U2763" s="2">
        <v>42640</v>
      </c>
      <c r="V2763" t="s">
        <v>71</v>
      </c>
      <c r="W2763" t="str">
        <f>"                 173"</f>
        <v xml:space="preserve">                 173</v>
      </c>
      <c r="X2763">
        <v>0</v>
      </c>
      <c r="Y2763" s="1">
        <v>23813.58</v>
      </c>
      <c r="Z2763"/>
      <c r="AB2763"/>
      <c r="AC2763" s="1">
        <v>23813.58</v>
      </c>
      <c r="AD2763">
        <v>-60</v>
      </c>
      <c r="AE2763" s="1">
        <v>-1428814.8</v>
      </c>
      <c r="AF2763">
        <v>0</v>
      </c>
      <c r="AJ2763">
        <v>0</v>
      </c>
      <c r="AK2763">
        <v>0</v>
      </c>
      <c r="AL2763">
        <v>0</v>
      </c>
      <c r="AM2763" s="1">
        <v>23813.58</v>
      </c>
      <c r="AN2763" s="1">
        <v>23813.58</v>
      </c>
      <c r="AO2763" s="1">
        <v>23813.58</v>
      </c>
      <c r="AP2763" s="2">
        <v>42746</v>
      </c>
      <c r="AQ2763" t="s">
        <v>72</v>
      </c>
      <c r="AR2763" t="s">
        <v>72</v>
      </c>
      <c r="AS2763">
        <v>2048</v>
      </c>
      <c r="AT2763" s="4">
        <v>42580</v>
      </c>
      <c r="AV2763">
        <v>2048</v>
      </c>
      <c r="AW2763" s="4">
        <v>42580</v>
      </c>
      <c r="BD2763">
        <v>0</v>
      </c>
      <c r="BN2763" t="s">
        <v>74</v>
      </c>
    </row>
    <row r="2764" spans="1:66" hidden="1">
      <c r="A2764">
        <v>100906</v>
      </c>
      <c r="B2764" s="3" t="s">
        <v>257</v>
      </c>
      <c r="C2764" s="1">
        <v>43300101</v>
      </c>
      <c r="D2764" t="s">
        <v>67</v>
      </c>
      <c r="H2764" t="str">
        <f t="shared" si="276"/>
        <v>06978161005</v>
      </c>
      <c r="I2764" t="str">
        <f t="shared" si="276"/>
        <v>06978161005</v>
      </c>
      <c r="K2764" t="str">
        <f>""</f>
        <v/>
      </c>
      <c r="M2764" t="s">
        <v>68</v>
      </c>
      <c r="N2764" t="str">
        <f t="shared" si="277"/>
        <v>FOR</v>
      </c>
      <c r="O2764" t="s">
        <v>69</v>
      </c>
      <c r="P2764" s="3" t="s">
        <v>302</v>
      </c>
      <c r="Q2764">
        <v>2016</v>
      </c>
      <c r="R2764" s="2">
        <v>42580</v>
      </c>
      <c r="S2764" s="2">
        <v>42580</v>
      </c>
      <c r="T2764" s="2">
        <v>42580</v>
      </c>
      <c r="U2764" s="2">
        <v>42640</v>
      </c>
      <c r="V2764" t="s">
        <v>71</v>
      </c>
      <c r="W2764" t="str">
        <f>"                 174"</f>
        <v xml:space="preserve">                 174</v>
      </c>
      <c r="X2764">
        <v>0</v>
      </c>
      <c r="Y2764" s="1">
        <v>23813.58</v>
      </c>
      <c r="Z2764"/>
      <c r="AB2764"/>
      <c r="AC2764" s="1">
        <v>23813.58</v>
      </c>
      <c r="AD2764">
        <v>-60</v>
      </c>
      <c r="AE2764" s="1">
        <v>-1428814.8</v>
      </c>
      <c r="AF2764">
        <v>0</v>
      </c>
      <c r="AJ2764">
        <v>0</v>
      </c>
      <c r="AK2764">
        <v>0</v>
      </c>
      <c r="AL2764">
        <v>0</v>
      </c>
      <c r="AM2764" s="1">
        <v>23813.58</v>
      </c>
      <c r="AN2764" s="1">
        <v>23813.58</v>
      </c>
      <c r="AO2764" s="1">
        <v>23813.58</v>
      </c>
      <c r="AP2764" s="2">
        <v>42746</v>
      </c>
      <c r="AQ2764" t="s">
        <v>72</v>
      </c>
      <c r="AR2764" t="s">
        <v>72</v>
      </c>
      <c r="AS2764">
        <v>2049</v>
      </c>
      <c r="AT2764" s="4">
        <v>42580</v>
      </c>
      <c r="AV2764">
        <v>2049</v>
      </c>
      <c r="AW2764" s="4">
        <v>42580</v>
      </c>
      <c r="BD2764">
        <v>0</v>
      </c>
      <c r="BN2764" t="s">
        <v>74</v>
      </c>
    </row>
    <row r="2765" spans="1:66" hidden="1">
      <c r="A2765">
        <v>100906</v>
      </c>
      <c r="B2765" s="3" t="s">
        <v>257</v>
      </c>
      <c r="C2765" s="1">
        <v>43300101</v>
      </c>
      <c r="D2765" t="s">
        <v>67</v>
      </c>
      <c r="H2765" t="str">
        <f t="shared" si="276"/>
        <v>06978161005</v>
      </c>
      <c r="I2765" t="str">
        <f t="shared" si="276"/>
        <v>06978161005</v>
      </c>
      <c r="K2765" t="str">
        <f>""</f>
        <v/>
      </c>
      <c r="M2765" t="s">
        <v>68</v>
      </c>
      <c r="N2765" t="str">
        <f t="shared" si="277"/>
        <v>FOR</v>
      </c>
      <c r="O2765" t="s">
        <v>69</v>
      </c>
      <c r="P2765" s="3" t="s">
        <v>303</v>
      </c>
      <c r="Q2765">
        <v>2016</v>
      </c>
      <c r="R2765" s="2">
        <v>42580</v>
      </c>
      <c r="S2765" s="2">
        <v>42580</v>
      </c>
      <c r="T2765" s="2">
        <v>42580</v>
      </c>
      <c r="U2765" s="2">
        <v>42640</v>
      </c>
      <c r="V2765" t="s">
        <v>71</v>
      </c>
      <c r="W2765" t="str">
        <f>"                 175"</f>
        <v xml:space="preserve">                 175</v>
      </c>
      <c r="X2765">
        <v>0</v>
      </c>
      <c r="Y2765" s="1">
        <v>2441.06</v>
      </c>
      <c r="Z2765"/>
      <c r="AB2765"/>
      <c r="AC2765" s="1">
        <v>2441.06</v>
      </c>
      <c r="AD2765">
        <v>-60</v>
      </c>
      <c r="AE2765" s="1">
        <v>-146463.6</v>
      </c>
      <c r="AF2765">
        <v>0</v>
      </c>
      <c r="AJ2765">
        <v>0</v>
      </c>
      <c r="AK2765">
        <v>0</v>
      </c>
      <c r="AL2765">
        <v>0</v>
      </c>
      <c r="AM2765" s="1">
        <v>2441.06</v>
      </c>
      <c r="AN2765" s="1">
        <v>2441.06</v>
      </c>
      <c r="AO2765" s="1">
        <v>2441.06</v>
      </c>
      <c r="AP2765" s="2">
        <v>42746</v>
      </c>
      <c r="AQ2765" t="s">
        <v>72</v>
      </c>
      <c r="AR2765" t="s">
        <v>72</v>
      </c>
      <c r="AS2765">
        <v>2050</v>
      </c>
      <c r="AT2765" s="4">
        <v>42580</v>
      </c>
      <c r="AV2765">
        <v>2050</v>
      </c>
      <c r="AW2765" s="4">
        <v>42580</v>
      </c>
      <c r="BD2765">
        <v>0</v>
      </c>
      <c r="BN2765" t="s">
        <v>74</v>
      </c>
    </row>
    <row r="2766" spans="1:66" hidden="1">
      <c r="A2766">
        <v>100906</v>
      </c>
      <c r="B2766" s="3" t="s">
        <v>257</v>
      </c>
      <c r="C2766" s="1">
        <v>43300101</v>
      </c>
      <c r="D2766" t="s">
        <v>67</v>
      </c>
      <c r="H2766" t="str">
        <f t="shared" si="276"/>
        <v>06978161005</v>
      </c>
      <c r="I2766" t="str">
        <f t="shared" si="276"/>
        <v>06978161005</v>
      </c>
      <c r="K2766" t="str">
        <f>""</f>
        <v/>
      </c>
      <c r="M2766" t="s">
        <v>68</v>
      </c>
      <c r="N2766" t="str">
        <f t="shared" si="277"/>
        <v>FOR</v>
      </c>
      <c r="O2766" t="s">
        <v>69</v>
      </c>
      <c r="P2766" s="3" t="s">
        <v>281</v>
      </c>
      <c r="Q2766">
        <v>2016</v>
      </c>
      <c r="R2766" s="2">
        <v>42584</v>
      </c>
      <c r="S2766" s="2">
        <v>42584</v>
      </c>
      <c r="T2766" s="2">
        <v>42584</v>
      </c>
      <c r="U2766" s="2">
        <v>42644</v>
      </c>
      <c r="V2766" t="s">
        <v>71</v>
      </c>
      <c r="W2766" t="str">
        <f>"                 179"</f>
        <v xml:space="preserve">                 179</v>
      </c>
      <c r="X2766">
        <v>0</v>
      </c>
      <c r="Y2766">
        <v>532.39</v>
      </c>
      <c r="Z2766"/>
      <c r="AB2766"/>
      <c r="AC2766">
        <v>532.39</v>
      </c>
      <c r="AD2766">
        <v>-59</v>
      </c>
      <c r="AE2766" s="1">
        <v>-31411.01</v>
      </c>
      <c r="AF2766">
        <v>0</v>
      </c>
      <c r="AJ2766">
        <v>0</v>
      </c>
      <c r="AK2766">
        <v>0</v>
      </c>
      <c r="AL2766">
        <v>0</v>
      </c>
      <c r="AM2766">
        <v>532.39</v>
      </c>
      <c r="AN2766">
        <v>532.39</v>
      </c>
      <c r="AO2766">
        <v>532.39</v>
      </c>
      <c r="AP2766" s="2">
        <v>42746</v>
      </c>
      <c r="AQ2766" t="s">
        <v>72</v>
      </c>
      <c r="AR2766" t="s">
        <v>72</v>
      </c>
      <c r="AS2766">
        <v>2058</v>
      </c>
      <c r="AT2766" s="4">
        <v>42585</v>
      </c>
      <c r="AV2766">
        <v>2058</v>
      </c>
      <c r="AW2766" s="4">
        <v>42585</v>
      </c>
      <c r="BD2766">
        <v>0</v>
      </c>
      <c r="BN2766" t="s">
        <v>74</v>
      </c>
    </row>
    <row r="2767" spans="1:66" hidden="1">
      <c r="A2767">
        <v>100906</v>
      </c>
      <c r="B2767" s="3" t="s">
        <v>257</v>
      </c>
      <c r="C2767" s="1">
        <v>43300101</v>
      </c>
      <c r="D2767" t="s">
        <v>67</v>
      </c>
      <c r="H2767" t="str">
        <f t="shared" si="276"/>
        <v>06978161005</v>
      </c>
      <c r="I2767" t="str">
        <f t="shared" si="276"/>
        <v>06978161005</v>
      </c>
      <c r="K2767" t="str">
        <f>""</f>
        <v/>
      </c>
      <c r="M2767" t="s">
        <v>68</v>
      </c>
      <c r="N2767" t="str">
        <f t="shared" si="277"/>
        <v>FOR</v>
      </c>
      <c r="O2767" t="s">
        <v>69</v>
      </c>
      <c r="P2767" s="3" t="s">
        <v>264</v>
      </c>
      <c r="Q2767">
        <v>2016</v>
      </c>
      <c r="R2767" s="2">
        <v>42584</v>
      </c>
      <c r="S2767" s="2">
        <v>42584</v>
      </c>
      <c r="T2767" s="2">
        <v>42584</v>
      </c>
      <c r="U2767" s="2">
        <v>42644</v>
      </c>
      <c r="V2767" t="s">
        <v>71</v>
      </c>
      <c r="W2767" t="str">
        <f>"                 180"</f>
        <v xml:space="preserve">                 180</v>
      </c>
      <c r="X2767">
        <v>0</v>
      </c>
      <c r="Y2767">
        <v>233.62</v>
      </c>
      <c r="Z2767"/>
      <c r="AB2767"/>
      <c r="AC2767">
        <v>233.62</v>
      </c>
      <c r="AD2767">
        <v>-59</v>
      </c>
      <c r="AE2767" s="1">
        <v>-13783.58</v>
      </c>
      <c r="AF2767">
        <v>0</v>
      </c>
      <c r="AJ2767">
        <v>0</v>
      </c>
      <c r="AK2767">
        <v>0</v>
      </c>
      <c r="AL2767">
        <v>0</v>
      </c>
      <c r="AM2767">
        <v>233.62</v>
      </c>
      <c r="AN2767">
        <v>233.62</v>
      </c>
      <c r="AO2767">
        <v>233.62</v>
      </c>
      <c r="AP2767" s="2">
        <v>42746</v>
      </c>
      <c r="AQ2767" t="s">
        <v>72</v>
      </c>
      <c r="AR2767" t="s">
        <v>72</v>
      </c>
      <c r="AS2767">
        <v>2058</v>
      </c>
      <c r="AT2767" s="4">
        <v>42585</v>
      </c>
      <c r="AV2767">
        <v>2058</v>
      </c>
      <c r="AW2767" s="4">
        <v>42585</v>
      </c>
      <c r="BD2767">
        <v>0</v>
      </c>
      <c r="BN2767" t="s">
        <v>74</v>
      </c>
    </row>
    <row r="2768" spans="1:66" hidden="1">
      <c r="A2768">
        <v>100906</v>
      </c>
      <c r="B2768" s="3" t="s">
        <v>257</v>
      </c>
      <c r="C2768" s="1">
        <v>43300101</v>
      </c>
      <c r="D2768" t="s">
        <v>67</v>
      </c>
      <c r="H2768" t="str">
        <f t="shared" ref="H2768:I2787" si="278">"06978161005"</f>
        <v>06978161005</v>
      </c>
      <c r="I2768" t="str">
        <f t="shared" si="278"/>
        <v>06978161005</v>
      </c>
      <c r="K2768" t="str">
        <f>""</f>
        <v/>
      </c>
      <c r="M2768" t="s">
        <v>68</v>
      </c>
      <c r="N2768" t="str">
        <f t="shared" si="277"/>
        <v>FOR</v>
      </c>
      <c r="O2768" t="s">
        <v>69</v>
      </c>
      <c r="P2768" s="3" t="s">
        <v>264</v>
      </c>
      <c r="Q2768">
        <v>2016</v>
      </c>
      <c r="R2768" s="2">
        <v>42584</v>
      </c>
      <c r="S2768" s="2">
        <v>42584</v>
      </c>
      <c r="T2768" s="2">
        <v>42584</v>
      </c>
      <c r="U2768" s="2">
        <v>42644</v>
      </c>
      <c r="V2768" t="s">
        <v>71</v>
      </c>
      <c r="W2768" t="str">
        <f>"                 181"</f>
        <v xml:space="preserve">                 181</v>
      </c>
      <c r="X2768">
        <v>0</v>
      </c>
      <c r="Y2768">
        <v>161.81</v>
      </c>
      <c r="Z2768"/>
      <c r="AB2768"/>
      <c r="AC2768">
        <v>161.81</v>
      </c>
      <c r="AD2768">
        <v>-59</v>
      </c>
      <c r="AE2768" s="1">
        <v>-9546.7900000000009</v>
      </c>
      <c r="AF2768">
        <v>0</v>
      </c>
      <c r="AJ2768">
        <v>0</v>
      </c>
      <c r="AK2768">
        <v>0</v>
      </c>
      <c r="AL2768">
        <v>0</v>
      </c>
      <c r="AM2768">
        <v>161.81</v>
      </c>
      <c r="AN2768">
        <v>161.81</v>
      </c>
      <c r="AO2768">
        <v>161.81</v>
      </c>
      <c r="AP2768" s="2">
        <v>42746</v>
      </c>
      <c r="AQ2768" t="s">
        <v>72</v>
      </c>
      <c r="AR2768" t="s">
        <v>72</v>
      </c>
      <c r="AS2768">
        <v>2058</v>
      </c>
      <c r="AT2768" s="4">
        <v>42585</v>
      </c>
      <c r="AV2768">
        <v>2058</v>
      </c>
      <c r="AW2768" s="4">
        <v>42585</v>
      </c>
      <c r="BD2768">
        <v>0</v>
      </c>
      <c r="BN2768" t="s">
        <v>74</v>
      </c>
    </row>
    <row r="2769" spans="1:66" hidden="1">
      <c r="A2769">
        <v>100906</v>
      </c>
      <c r="B2769" s="3" t="s">
        <v>257</v>
      </c>
      <c r="C2769" s="1">
        <v>43300101</v>
      </c>
      <c r="D2769" t="s">
        <v>67</v>
      </c>
      <c r="H2769" t="str">
        <f t="shared" si="278"/>
        <v>06978161005</v>
      </c>
      <c r="I2769" t="str">
        <f t="shared" si="278"/>
        <v>06978161005</v>
      </c>
      <c r="K2769" t="str">
        <f>""</f>
        <v/>
      </c>
      <c r="M2769" t="s">
        <v>68</v>
      </c>
      <c r="N2769" t="str">
        <f t="shared" si="277"/>
        <v>FOR</v>
      </c>
      <c r="O2769" t="s">
        <v>69</v>
      </c>
      <c r="P2769" s="3" t="s">
        <v>262</v>
      </c>
      <c r="Q2769">
        <v>2016</v>
      </c>
      <c r="R2769" s="2">
        <v>42584</v>
      </c>
      <c r="S2769" s="2">
        <v>42584</v>
      </c>
      <c r="T2769" s="2">
        <v>42584</v>
      </c>
      <c r="U2769" s="2">
        <v>42644</v>
      </c>
      <c r="V2769" t="s">
        <v>71</v>
      </c>
      <c r="W2769" t="str">
        <f>"                 182"</f>
        <v xml:space="preserve">                 182</v>
      </c>
      <c r="X2769">
        <v>0</v>
      </c>
      <c r="Y2769">
        <v>98.42</v>
      </c>
      <c r="Z2769"/>
      <c r="AB2769"/>
      <c r="AC2769">
        <v>98.42</v>
      </c>
      <c r="AD2769">
        <v>-59</v>
      </c>
      <c r="AE2769" s="1">
        <v>-5806.78</v>
      </c>
      <c r="AF2769">
        <v>0</v>
      </c>
      <c r="AJ2769">
        <v>0</v>
      </c>
      <c r="AK2769">
        <v>0</v>
      </c>
      <c r="AL2769">
        <v>0</v>
      </c>
      <c r="AM2769">
        <v>98.42</v>
      </c>
      <c r="AN2769">
        <v>98.42</v>
      </c>
      <c r="AO2769">
        <v>98.42</v>
      </c>
      <c r="AP2769" s="2">
        <v>42746</v>
      </c>
      <c r="AQ2769" t="s">
        <v>72</v>
      </c>
      <c r="AR2769" t="s">
        <v>72</v>
      </c>
      <c r="AS2769">
        <v>2058</v>
      </c>
      <c r="AT2769" s="4">
        <v>42585</v>
      </c>
      <c r="AV2769">
        <v>2058</v>
      </c>
      <c r="AW2769" s="4">
        <v>42585</v>
      </c>
      <c r="BD2769">
        <v>0</v>
      </c>
      <c r="BN2769" t="s">
        <v>74</v>
      </c>
    </row>
    <row r="2770" spans="1:66" hidden="1">
      <c r="A2770">
        <v>100906</v>
      </c>
      <c r="B2770" s="3" t="s">
        <v>257</v>
      </c>
      <c r="C2770" s="1">
        <v>43300101</v>
      </c>
      <c r="D2770" t="s">
        <v>67</v>
      </c>
      <c r="H2770" t="str">
        <f t="shared" si="278"/>
        <v>06978161005</v>
      </c>
      <c r="I2770" t="str">
        <f t="shared" si="278"/>
        <v>06978161005</v>
      </c>
      <c r="K2770" t="str">
        <f>""</f>
        <v/>
      </c>
      <c r="M2770" t="s">
        <v>68</v>
      </c>
      <c r="N2770" t="str">
        <f t="shared" si="277"/>
        <v>FOR</v>
      </c>
      <c r="O2770" t="s">
        <v>69</v>
      </c>
      <c r="P2770" s="3" t="s">
        <v>304</v>
      </c>
      <c r="Q2770">
        <v>2016</v>
      </c>
      <c r="R2770" s="2">
        <v>42584</v>
      </c>
      <c r="S2770" s="2">
        <v>42584</v>
      </c>
      <c r="T2770" s="2">
        <v>42584</v>
      </c>
      <c r="U2770" s="2">
        <v>42644</v>
      </c>
      <c r="V2770" t="s">
        <v>71</v>
      </c>
      <c r="W2770" t="str">
        <f>"                 183"</f>
        <v xml:space="preserve">                 183</v>
      </c>
      <c r="X2770">
        <v>0</v>
      </c>
      <c r="Y2770">
        <v>90</v>
      </c>
      <c r="Z2770"/>
      <c r="AB2770"/>
      <c r="AC2770">
        <v>90</v>
      </c>
      <c r="AD2770">
        <v>-59</v>
      </c>
      <c r="AE2770" s="1">
        <v>-5310</v>
      </c>
      <c r="AF2770">
        <v>0</v>
      </c>
      <c r="AJ2770">
        <v>0</v>
      </c>
      <c r="AK2770">
        <v>0</v>
      </c>
      <c r="AL2770">
        <v>0</v>
      </c>
      <c r="AM2770">
        <v>90</v>
      </c>
      <c r="AN2770">
        <v>90</v>
      </c>
      <c r="AO2770">
        <v>90</v>
      </c>
      <c r="AP2770" s="2">
        <v>42746</v>
      </c>
      <c r="AQ2770" t="s">
        <v>72</v>
      </c>
      <c r="AR2770" t="s">
        <v>72</v>
      </c>
      <c r="AS2770">
        <v>2058</v>
      </c>
      <c r="AT2770" s="4">
        <v>42585</v>
      </c>
      <c r="AV2770">
        <v>2058</v>
      </c>
      <c r="AW2770" s="4">
        <v>42585</v>
      </c>
      <c r="BD2770">
        <v>0</v>
      </c>
      <c r="BN2770" t="s">
        <v>74</v>
      </c>
    </row>
    <row r="2771" spans="1:66" hidden="1">
      <c r="A2771">
        <v>100906</v>
      </c>
      <c r="B2771" s="3" t="s">
        <v>257</v>
      </c>
      <c r="C2771" s="1">
        <v>43300101</v>
      </c>
      <c r="D2771" t="s">
        <v>67</v>
      </c>
      <c r="H2771" t="str">
        <f t="shared" si="278"/>
        <v>06978161005</v>
      </c>
      <c r="I2771" t="str">
        <f t="shared" si="278"/>
        <v>06978161005</v>
      </c>
      <c r="K2771" t="str">
        <f>""</f>
        <v/>
      </c>
      <c r="M2771" t="s">
        <v>68</v>
      </c>
      <c r="N2771" t="str">
        <f t="shared" si="277"/>
        <v>FOR</v>
      </c>
      <c r="O2771" t="s">
        <v>69</v>
      </c>
      <c r="P2771" s="3" t="s">
        <v>300</v>
      </c>
      <c r="Q2771">
        <v>2016</v>
      </c>
      <c r="R2771" s="2">
        <v>42593</v>
      </c>
      <c r="S2771" s="2">
        <v>42593</v>
      </c>
      <c r="T2771" s="2">
        <v>42593</v>
      </c>
      <c r="U2771" s="2">
        <v>42653</v>
      </c>
      <c r="V2771" t="s">
        <v>71</v>
      </c>
      <c r="W2771" t="str">
        <f>"                 190"</f>
        <v xml:space="preserve">                 190</v>
      </c>
      <c r="X2771">
        <v>0</v>
      </c>
      <c r="Y2771">
        <v>2.5</v>
      </c>
      <c r="Z2771" s="3">
        <v>2.5</v>
      </c>
      <c r="AA2771">
        <v>-4</v>
      </c>
      <c r="AB2771" s="3">
        <v>-10</v>
      </c>
      <c r="AC2771">
        <v>2.5</v>
      </c>
      <c r="AD2771">
        <v>-4</v>
      </c>
      <c r="AE2771">
        <v>-10</v>
      </c>
      <c r="AF2771">
        <v>0</v>
      </c>
      <c r="AJ2771">
        <v>0</v>
      </c>
      <c r="AK2771">
        <v>0</v>
      </c>
      <c r="AL2771">
        <v>0</v>
      </c>
      <c r="AM2771">
        <v>2.5</v>
      </c>
      <c r="AN2771">
        <v>2.5</v>
      </c>
      <c r="AO2771">
        <v>2.5</v>
      </c>
      <c r="AP2771" s="2">
        <v>42746</v>
      </c>
      <c r="AQ2771" t="s">
        <v>72</v>
      </c>
      <c r="AR2771" t="s">
        <v>72</v>
      </c>
      <c r="AS2771">
        <v>2705</v>
      </c>
      <c r="AT2771" s="4">
        <v>42649</v>
      </c>
      <c r="AV2771">
        <v>2705</v>
      </c>
      <c r="AW2771" s="4">
        <v>42649</v>
      </c>
      <c r="BD2771">
        <v>0</v>
      </c>
      <c r="BN2771" t="s">
        <v>74</v>
      </c>
    </row>
    <row r="2772" spans="1:66" hidden="1">
      <c r="A2772">
        <v>100906</v>
      </c>
      <c r="B2772" s="3" t="s">
        <v>257</v>
      </c>
      <c r="C2772" s="1">
        <v>43300101</v>
      </c>
      <c r="D2772" t="s">
        <v>67</v>
      </c>
      <c r="H2772" t="str">
        <f t="shared" si="278"/>
        <v>06978161005</v>
      </c>
      <c r="I2772" t="str">
        <f t="shared" si="278"/>
        <v>06978161005</v>
      </c>
      <c r="K2772" t="str">
        <f>""</f>
        <v/>
      </c>
      <c r="M2772" t="s">
        <v>68</v>
      </c>
      <c r="N2772" t="str">
        <f t="shared" si="277"/>
        <v>FOR</v>
      </c>
      <c r="O2772" t="s">
        <v>69</v>
      </c>
      <c r="P2772" s="3" t="s">
        <v>300</v>
      </c>
      <c r="Q2772">
        <v>2016</v>
      </c>
      <c r="R2772" s="2">
        <v>42594</v>
      </c>
      <c r="S2772" s="2">
        <v>42594</v>
      </c>
      <c r="T2772" s="2">
        <v>42594</v>
      </c>
      <c r="U2772" s="2">
        <v>42654</v>
      </c>
      <c r="V2772" t="s">
        <v>71</v>
      </c>
      <c r="W2772" t="str">
        <f>"                 191"</f>
        <v xml:space="preserve">                 191</v>
      </c>
      <c r="X2772">
        <v>0</v>
      </c>
      <c r="Y2772">
        <v>1.29</v>
      </c>
      <c r="Z2772" s="3">
        <v>1.29</v>
      </c>
      <c r="AA2772">
        <v>-5</v>
      </c>
      <c r="AB2772" s="3">
        <v>-6.45</v>
      </c>
      <c r="AC2772">
        <v>1.29</v>
      </c>
      <c r="AD2772">
        <v>-5</v>
      </c>
      <c r="AE2772">
        <v>-6.45</v>
      </c>
      <c r="AF2772">
        <v>0</v>
      </c>
      <c r="AJ2772">
        <v>0</v>
      </c>
      <c r="AK2772">
        <v>0</v>
      </c>
      <c r="AL2772">
        <v>0</v>
      </c>
      <c r="AM2772">
        <v>1.29</v>
      </c>
      <c r="AN2772">
        <v>1.29</v>
      </c>
      <c r="AO2772">
        <v>1.29</v>
      </c>
      <c r="AP2772" s="2">
        <v>42746</v>
      </c>
      <c r="AQ2772" t="s">
        <v>72</v>
      </c>
      <c r="AR2772" t="s">
        <v>72</v>
      </c>
      <c r="AS2772">
        <v>2705</v>
      </c>
      <c r="AT2772" s="4">
        <v>42649</v>
      </c>
      <c r="AV2772">
        <v>2705</v>
      </c>
      <c r="AW2772" s="4">
        <v>42649</v>
      </c>
      <c r="BD2772">
        <v>0</v>
      </c>
      <c r="BN2772" t="s">
        <v>74</v>
      </c>
    </row>
    <row r="2773" spans="1:66" hidden="1">
      <c r="A2773">
        <v>100906</v>
      </c>
      <c r="B2773" s="3" t="s">
        <v>257</v>
      </c>
      <c r="C2773" s="1">
        <v>43300101</v>
      </c>
      <c r="D2773" t="s">
        <v>67</v>
      </c>
      <c r="H2773" t="str">
        <f t="shared" si="278"/>
        <v>06978161005</v>
      </c>
      <c r="I2773" t="str">
        <f t="shared" si="278"/>
        <v>06978161005</v>
      </c>
      <c r="K2773" t="str">
        <f>""</f>
        <v/>
      </c>
      <c r="M2773" t="s">
        <v>68</v>
      </c>
      <c r="N2773" t="str">
        <f t="shared" si="277"/>
        <v>FOR</v>
      </c>
      <c r="O2773" t="s">
        <v>69</v>
      </c>
      <c r="P2773" s="3" t="s">
        <v>305</v>
      </c>
      <c r="Q2773">
        <v>2016</v>
      </c>
      <c r="R2773" s="2">
        <v>42632</v>
      </c>
      <c r="S2773" s="2">
        <v>42632</v>
      </c>
      <c r="T2773" s="2">
        <v>42632</v>
      </c>
      <c r="U2773" s="2">
        <v>42692</v>
      </c>
      <c r="V2773" t="s">
        <v>71</v>
      </c>
      <c r="W2773" t="str">
        <f>"                 198"</f>
        <v xml:space="preserve">                 198</v>
      </c>
      <c r="X2773">
        <v>0</v>
      </c>
      <c r="Y2773" s="1">
        <v>14959.69</v>
      </c>
      <c r="Z2773" s="5">
        <v>14959.69</v>
      </c>
      <c r="AA2773">
        <v>-45</v>
      </c>
      <c r="AB2773" s="5">
        <v>-673186.05</v>
      </c>
      <c r="AC2773" s="1">
        <v>14959.69</v>
      </c>
      <c r="AD2773">
        <v>-45</v>
      </c>
      <c r="AE2773" s="1">
        <v>-673186.05</v>
      </c>
      <c r="AF2773">
        <v>0</v>
      </c>
      <c r="AJ2773">
        <v>0</v>
      </c>
      <c r="AK2773">
        <v>0</v>
      </c>
      <c r="AL2773">
        <v>0</v>
      </c>
      <c r="AM2773" s="1">
        <v>14959.69</v>
      </c>
      <c r="AN2773" s="1">
        <v>14959.69</v>
      </c>
      <c r="AO2773" s="1">
        <v>14959.69</v>
      </c>
      <c r="AP2773" s="2">
        <v>42746</v>
      </c>
      <c r="AQ2773" t="s">
        <v>72</v>
      </c>
      <c r="AR2773" t="s">
        <v>72</v>
      </c>
      <c r="AS2773">
        <v>2584</v>
      </c>
      <c r="AT2773" s="4">
        <v>42647</v>
      </c>
      <c r="AV2773">
        <v>2584</v>
      </c>
      <c r="AW2773" s="4">
        <v>42647</v>
      </c>
      <c r="BD2773">
        <v>0</v>
      </c>
      <c r="BN2773" t="s">
        <v>74</v>
      </c>
    </row>
    <row r="2774" spans="1:66" hidden="1">
      <c r="A2774">
        <v>100906</v>
      </c>
      <c r="B2774" s="3" t="s">
        <v>257</v>
      </c>
      <c r="C2774" s="1">
        <v>43300101</v>
      </c>
      <c r="D2774" t="s">
        <v>67</v>
      </c>
      <c r="H2774" t="str">
        <f t="shared" si="278"/>
        <v>06978161005</v>
      </c>
      <c r="I2774" t="str">
        <f t="shared" si="278"/>
        <v>06978161005</v>
      </c>
      <c r="K2774" t="str">
        <f>""</f>
        <v/>
      </c>
      <c r="M2774" t="s">
        <v>68</v>
      </c>
      <c r="N2774" t="str">
        <f t="shared" si="277"/>
        <v>FOR</v>
      </c>
      <c r="O2774" t="s">
        <v>69</v>
      </c>
      <c r="P2774" s="3" t="s">
        <v>306</v>
      </c>
      <c r="Q2774">
        <v>2016</v>
      </c>
      <c r="R2774" s="2">
        <v>42635</v>
      </c>
      <c r="S2774" s="2">
        <v>42635</v>
      </c>
      <c r="T2774" s="2">
        <v>42635</v>
      </c>
      <c r="U2774" s="2">
        <v>42695</v>
      </c>
      <c r="V2774" t="s">
        <v>71</v>
      </c>
      <c r="W2774" t="str">
        <f>"                 202"</f>
        <v xml:space="preserve">                 202</v>
      </c>
      <c r="X2774">
        <v>0</v>
      </c>
      <c r="Y2774" s="1">
        <v>14959.69</v>
      </c>
      <c r="Z2774" s="5">
        <v>14959.69</v>
      </c>
      <c r="AA2774">
        <v>-48</v>
      </c>
      <c r="AB2774" s="5">
        <v>-718065.12</v>
      </c>
      <c r="AC2774" s="1">
        <v>14959.69</v>
      </c>
      <c r="AD2774">
        <v>-48</v>
      </c>
      <c r="AE2774" s="1">
        <v>-718065.12</v>
      </c>
      <c r="AF2774">
        <v>0</v>
      </c>
      <c r="AJ2774">
        <v>0</v>
      </c>
      <c r="AK2774">
        <v>0</v>
      </c>
      <c r="AL2774">
        <v>0</v>
      </c>
      <c r="AM2774" s="1">
        <v>14959.69</v>
      </c>
      <c r="AN2774" s="1">
        <v>14959.69</v>
      </c>
      <c r="AO2774" s="1">
        <v>14959.69</v>
      </c>
      <c r="AP2774" s="2">
        <v>42746</v>
      </c>
      <c r="AQ2774" t="s">
        <v>72</v>
      </c>
      <c r="AR2774" t="s">
        <v>72</v>
      </c>
      <c r="AS2774">
        <v>2585</v>
      </c>
      <c r="AT2774" s="4">
        <v>42647</v>
      </c>
      <c r="AV2774">
        <v>2585</v>
      </c>
      <c r="AW2774" s="4">
        <v>42647</v>
      </c>
      <c r="BD2774">
        <v>0</v>
      </c>
      <c r="BN2774" t="s">
        <v>74</v>
      </c>
    </row>
    <row r="2775" spans="1:66" hidden="1">
      <c r="A2775">
        <v>100906</v>
      </c>
      <c r="B2775" s="3" t="s">
        <v>257</v>
      </c>
      <c r="C2775" s="1">
        <v>43300101</v>
      </c>
      <c r="D2775" t="s">
        <v>67</v>
      </c>
      <c r="H2775" t="str">
        <f t="shared" si="278"/>
        <v>06978161005</v>
      </c>
      <c r="I2775" t="str">
        <f t="shared" si="278"/>
        <v>06978161005</v>
      </c>
      <c r="K2775" t="str">
        <f>""</f>
        <v/>
      </c>
      <c r="M2775" t="s">
        <v>68</v>
      </c>
      <c r="N2775" t="str">
        <f t="shared" si="277"/>
        <v>FOR</v>
      </c>
      <c r="O2775" t="s">
        <v>69</v>
      </c>
      <c r="P2775" s="3" t="s">
        <v>282</v>
      </c>
      <c r="Q2775">
        <v>2016</v>
      </c>
      <c r="R2775" s="2">
        <v>42635</v>
      </c>
      <c r="S2775" s="2">
        <v>42635</v>
      </c>
      <c r="T2775" s="2">
        <v>42635</v>
      </c>
      <c r="U2775" s="2">
        <v>42695</v>
      </c>
      <c r="V2775" t="s">
        <v>71</v>
      </c>
      <c r="W2775" t="str">
        <f>"                 203"</f>
        <v xml:space="preserve">                 203</v>
      </c>
      <c r="X2775">
        <v>0</v>
      </c>
      <c r="Y2775">
        <v>87.42</v>
      </c>
      <c r="Z2775" s="3">
        <v>87.42</v>
      </c>
      <c r="AA2775">
        <v>-46</v>
      </c>
      <c r="AB2775" s="5">
        <v>-4021.32</v>
      </c>
      <c r="AC2775">
        <v>87.42</v>
      </c>
      <c r="AD2775">
        <v>-46</v>
      </c>
      <c r="AE2775" s="1">
        <v>-4021.32</v>
      </c>
      <c r="AF2775">
        <v>0</v>
      </c>
      <c r="AJ2775">
        <v>0</v>
      </c>
      <c r="AK2775">
        <v>0</v>
      </c>
      <c r="AL2775">
        <v>0</v>
      </c>
      <c r="AM2775">
        <v>87.42</v>
      </c>
      <c r="AN2775">
        <v>87.42</v>
      </c>
      <c r="AO2775">
        <v>87.42</v>
      </c>
      <c r="AP2775" s="2">
        <v>42746</v>
      </c>
      <c r="AQ2775" t="s">
        <v>72</v>
      </c>
      <c r="AR2775" t="s">
        <v>72</v>
      </c>
      <c r="AS2775">
        <v>2705</v>
      </c>
      <c r="AT2775" s="4">
        <v>42649</v>
      </c>
      <c r="AV2775">
        <v>2705</v>
      </c>
      <c r="AW2775" s="4">
        <v>42649</v>
      </c>
      <c r="BD2775">
        <v>0</v>
      </c>
      <c r="BN2775" t="s">
        <v>74</v>
      </c>
    </row>
    <row r="2776" spans="1:66" hidden="1">
      <c r="A2776">
        <v>100906</v>
      </c>
      <c r="B2776" s="3" t="s">
        <v>257</v>
      </c>
      <c r="C2776" s="1">
        <v>43300101</v>
      </c>
      <c r="D2776" t="s">
        <v>67</v>
      </c>
      <c r="H2776" t="str">
        <f t="shared" si="278"/>
        <v>06978161005</v>
      </c>
      <c r="I2776" t="str">
        <f t="shared" si="278"/>
        <v>06978161005</v>
      </c>
      <c r="K2776" t="str">
        <f>""</f>
        <v/>
      </c>
      <c r="M2776" t="s">
        <v>68</v>
      </c>
      <c r="N2776" t="str">
        <f t="shared" si="277"/>
        <v>FOR</v>
      </c>
      <c r="O2776" t="s">
        <v>69</v>
      </c>
      <c r="P2776" s="3" t="s">
        <v>307</v>
      </c>
      <c r="Q2776">
        <v>2016</v>
      </c>
      <c r="R2776" s="2">
        <v>42635</v>
      </c>
      <c r="S2776" s="2">
        <v>42635</v>
      </c>
      <c r="T2776" s="2">
        <v>42635</v>
      </c>
      <c r="U2776" s="2">
        <v>42695</v>
      </c>
      <c r="V2776" t="s">
        <v>71</v>
      </c>
      <c r="W2776" t="str">
        <f>"                 204"</f>
        <v xml:space="preserve">                 204</v>
      </c>
      <c r="X2776">
        <v>0</v>
      </c>
      <c r="Y2776">
        <v>171.85</v>
      </c>
      <c r="Z2776" s="3">
        <v>171.85</v>
      </c>
      <c r="AA2776">
        <v>-46</v>
      </c>
      <c r="AB2776" s="5">
        <v>-7905.1</v>
      </c>
      <c r="AC2776">
        <v>171.85</v>
      </c>
      <c r="AD2776">
        <v>-46</v>
      </c>
      <c r="AE2776" s="1">
        <v>-7905.1</v>
      </c>
      <c r="AF2776">
        <v>0</v>
      </c>
      <c r="AJ2776">
        <v>0</v>
      </c>
      <c r="AK2776">
        <v>0</v>
      </c>
      <c r="AL2776">
        <v>0</v>
      </c>
      <c r="AM2776">
        <v>171.85</v>
      </c>
      <c r="AN2776">
        <v>171.85</v>
      </c>
      <c r="AO2776">
        <v>171.85</v>
      </c>
      <c r="AP2776" s="2">
        <v>42746</v>
      </c>
      <c r="AQ2776" t="s">
        <v>72</v>
      </c>
      <c r="AR2776" t="s">
        <v>72</v>
      </c>
      <c r="AS2776">
        <v>2705</v>
      </c>
      <c r="AT2776" s="4">
        <v>42649</v>
      </c>
      <c r="AV2776">
        <v>2705</v>
      </c>
      <c r="AW2776" s="4">
        <v>42649</v>
      </c>
      <c r="BD2776">
        <v>0</v>
      </c>
      <c r="BN2776" t="s">
        <v>74</v>
      </c>
    </row>
    <row r="2777" spans="1:66" hidden="1">
      <c r="A2777">
        <v>100906</v>
      </c>
      <c r="B2777" s="3" t="s">
        <v>257</v>
      </c>
      <c r="C2777" s="1">
        <v>43300101</v>
      </c>
      <c r="D2777" t="s">
        <v>67</v>
      </c>
      <c r="H2777" t="str">
        <f t="shared" si="278"/>
        <v>06978161005</v>
      </c>
      <c r="I2777" t="str">
        <f t="shared" si="278"/>
        <v>06978161005</v>
      </c>
      <c r="K2777" t="str">
        <f>""</f>
        <v/>
      </c>
      <c r="M2777" t="s">
        <v>68</v>
      </c>
      <c r="N2777" t="str">
        <f t="shared" si="277"/>
        <v>FOR</v>
      </c>
      <c r="O2777" t="s">
        <v>69</v>
      </c>
      <c r="P2777" s="3" t="s">
        <v>281</v>
      </c>
      <c r="Q2777">
        <v>2016</v>
      </c>
      <c r="R2777" s="2">
        <v>42635</v>
      </c>
      <c r="S2777" s="2">
        <v>42635</v>
      </c>
      <c r="T2777" s="2">
        <v>42635</v>
      </c>
      <c r="U2777" s="2">
        <v>42695</v>
      </c>
      <c r="V2777" t="s">
        <v>71</v>
      </c>
      <c r="W2777" t="str">
        <f>"                 205"</f>
        <v xml:space="preserve">                 205</v>
      </c>
      <c r="X2777">
        <v>0</v>
      </c>
      <c r="Y2777">
        <v>384.52</v>
      </c>
      <c r="Z2777" s="3">
        <v>384.52</v>
      </c>
      <c r="AA2777">
        <v>-46</v>
      </c>
      <c r="AB2777" s="5">
        <v>-17687.919999999998</v>
      </c>
      <c r="AC2777">
        <v>384.52</v>
      </c>
      <c r="AD2777">
        <v>-46</v>
      </c>
      <c r="AE2777" s="1">
        <v>-17687.919999999998</v>
      </c>
      <c r="AF2777">
        <v>0</v>
      </c>
      <c r="AJ2777">
        <v>0</v>
      </c>
      <c r="AK2777">
        <v>0</v>
      </c>
      <c r="AL2777">
        <v>0</v>
      </c>
      <c r="AM2777">
        <v>384.52</v>
      </c>
      <c r="AN2777">
        <v>384.52</v>
      </c>
      <c r="AO2777">
        <v>384.52</v>
      </c>
      <c r="AP2777" s="2">
        <v>42746</v>
      </c>
      <c r="AQ2777" t="s">
        <v>72</v>
      </c>
      <c r="AR2777" t="s">
        <v>72</v>
      </c>
      <c r="AS2777">
        <v>2705</v>
      </c>
      <c r="AT2777" s="4">
        <v>42649</v>
      </c>
      <c r="AV2777">
        <v>2705</v>
      </c>
      <c r="AW2777" s="4">
        <v>42649</v>
      </c>
      <c r="BD2777">
        <v>0</v>
      </c>
      <c r="BN2777" t="s">
        <v>74</v>
      </c>
    </row>
    <row r="2778" spans="1:66" hidden="1">
      <c r="A2778">
        <v>100906</v>
      </c>
      <c r="B2778" s="3" t="s">
        <v>257</v>
      </c>
      <c r="C2778" s="1">
        <v>43300101</v>
      </c>
      <c r="D2778" t="s">
        <v>67</v>
      </c>
      <c r="H2778" t="str">
        <f t="shared" si="278"/>
        <v>06978161005</v>
      </c>
      <c r="I2778" t="str">
        <f t="shared" si="278"/>
        <v>06978161005</v>
      </c>
      <c r="K2778" t="str">
        <f>""</f>
        <v/>
      </c>
      <c r="M2778" t="s">
        <v>68</v>
      </c>
      <c r="N2778" t="str">
        <f t="shared" si="277"/>
        <v>FOR</v>
      </c>
      <c r="O2778" t="s">
        <v>69</v>
      </c>
      <c r="P2778" s="3" t="s">
        <v>308</v>
      </c>
      <c r="Q2778">
        <v>2016</v>
      </c>
      <c r="R2778" s="2">
        <v>42635</v>
      </c>
      <c r="S2778" s="2">
        <v>42635</v>
      </c>
      <c r="T2778" s="2">
        <v>42635</v>
      </c>
      <c r="U2778" s="2">
        <v>42695</v>
      </c>
      <c r="V2778" t="s">
        <v>71</v>
      </c>
      <c r="W2778" t="str">
        <f>"                 206"</f>
        <v xml:space="preserve">                 206</v>
      </c>
      <c r="X2778">
        <v>0</v>
      </c>
      <c r="Y2778">
        <v>152.16</v>
      </c>
      <c r="Z2778" s="3">
        <v>152.16</v>
      </c>
      <c r="AA2778">
        <v>-46</v>
      </c>
      <c r="AB2778" s="5">
        <v>-6999.36</v>
      </c>
      <c r="AC2778">
        <v>152.16</v>
      </c>
      <c r="AD2778">
        <v>-46</v>
      </c>
      <c r="AE2778" s="1">
        <v>-6999.36</v>
      </c>
      <c r="AF2778">
        <v>0</v>
      </c>
      <c r="AJ2778">
        <v>0</v>
      </c>
      <c r="AK2778">
        <v>0</v>
      </c>
      <c r="AL2778">
        <v>0</v>
      </c>
      <c r="AM2778">
        <v>152.16</v>
      </c>
      <c r="AN2778">
        <v>152.16</v>
      </c>
      <c r="AO2778">
        <v>152.16</v>
      </c>
      <c r="AP2778" s="2">
        <v>42746</v>
      </c>
      <c r="AQ2778" t="s">
        <v>72</v>
      </c>
      <c r="AR2778" t="s">
        <v>72</v>
      </c>
      <c r="AS2778">
        <v>2705</v>
      </c>
      <c r="AT2778" s="4">
        <v>42649</v>
      </c>
      <c r="AV2778">
        <v>2705</v>
      </c>
      <c r="AW2778" s="4">
        <v>42649</v>
      </c>
      <c r="BD2778">
        <v>0</v>
      </c>
      <c r="BN2778" t="s">
        <v>74</v>
      </c>
    </row>
    <row r="2779" spans="1:66" hidden="1">
      <c r="A2779">
        <v>100906</v>
      </c>
      <c r="B2779" s="3" t="s">
        <v>257</v>
      </c>
      <c r="C2779" s="1">
        <v>43300101</v>
      </c>
      <c r="D2779" t="s">
        <v>67</v>
      </c>
      <c r="H2779" t="str">
        <f t="shared" si="278"/>
        <v>06978161005</v>
      </c>
      <c r="I2779" t="str">
        <f t="shared" si="278"/>
        <v>06978161005</v>
      </c>
      <c r="K2779" t="str">
        <f>""</f>
        <v/>
      </c>
      <c r="M2779" t="s">
        <v>68</v>
      </c>
      <c r="N2779" t="str">
        <f t="shared" si="277"/>
        <v>FOR</v>
      </c>
      <c r="O2779" t="s">
        <v>69</v>
      </c>
      <c r="P2779" s="3" t="s">
        <v>309</v>
      </c>
      <c r="Q2779">
        <v>2016</v>
      </c>
      <c r="R2779" s="2">
        <v>42635</v>
      </c>
      <c r="S2779" s="2">
        <v>42635</v>
      </c>
      <c r="T2779" s="2">
        <v>42635</v>
      </c>
      <c r="U2779" s="2">
        <v>42695</v>
      </c>
      <c r="V2779" t="s">
        <v>71</v>
      </c>
      <c r="W2779" t="str">
        <f>"                 207"</f>
        <v xml:space="preserve">                 207</v>
      </c>
      <c r="X2779">
        <v>0</v>
      </c>
      <c r="Y2779">
        <v>90</v>
      </c>
      <c r="Z2779" s="3">
        <v>90</v>
      </c>
      <c r="AA2779">
        <v>-46</v>
      </c>
      <c r="AB2779" s="5">
        <v>-4140</v>
      </c>
      <c r="AC2779">
        <v>90</v>
      </c>
      <c r="AD2779">
        <v>-46</v>
      </c>
      <c r="AE2779" s="1">
        <v>-4140</v>
      </c>
      <c r="AF2779">
        <v>0</v>
      </c>
      <c r="AJ2779">
        <v>0</v>
      </c>
      <c r="AK2779">
        <v>0</v>
      </c>
      <c r="AL2779">
        <v>0</v>
      </c>
      <c r="AM2779">
        <v>90</v>
      </c>
      <c r="AN2779">
        <v>90</v>
      </c>
      <c r="AO2779">
        <v>90</v>
      </c>
      <c r="AP2779" s="2">
        <v>42746</v>
      </c>
      <c r="AQ2779" t="s">
        <v>72</v>
      </c>
      <c r="AR2779" t="s">
        <v>72</v>
      </c>
      <c r="AS2779">
        <v>2705</v>
      </c>
      <c r="AT2779" s="4">
        <v>42649</v>
      </c>
      <c r="AV2779">
        <v>2705</v>
      </c>
      <c r="AW2779" s="4">
        <v>42649</v>
      </c>
      <c r="BD2779">
        <v>0</v>
      </c>
      <c r="BN2779" t="s">
        <v>74</v>
      </c>
    </row>
    <row r="2780" spans="1:66" hidden="1">
      <c r="A2780">
        <v>100906</v>
      </c>
      <c r="B2780" s="3" t="s">
        <v>257</v>
      </c>
      <c r="C2780" s="1">
        <v>43300101</v>
      </c>
      <c r="D2780" t="s">
        <v>67</v>
      </c>
      <c r="H2780" t="str">
        <f t="shared" si="278"/>
        <v>06978161005</v>
      </c>
      <c r="I2780" t="str">
        <f t="shared" si="278"/>
        <v>06978161005</v>
      </c>
      <c r="K2780" t="str">
        <f>""</f>
        <v/>
      </c>
      <c r="M2780" t="s">
        <v>68</v>
      </c>
      <c r="N2780" t="str">
        <f t="shared" si="277"/>
        <v>FOR</v>
      </c>
      <c r="O2780" t="s">
        <v>69</v>
      </c>
      <c r="P2780" s="3" t="s">
        <v>310</v>
      </c>
      <c r="Q2780">
        <v>2016</v>
      </c>
      <c r="R2780" s="2">
        <v>42635</v>
      </c>
      <c r="S2780" s="2">
        <v>42635</v>
      </c>
      <c r="T2780" s="2">
        <v>42635</v>
      </c>
      <c r="U2780" s="2">
        <v>42695</v>
      </c>
      <c r="V2780" t="s">
        <v>71</v>
      </c>
      <c r="W2780" t="str">
        <f>"                 208"</f>
        <v xml:space="preserve">                 208</v>
      </c>
      <c r="X2780">
        <v>0</v>
      </c>
      <c r="Y2780" s="1">
        <v>14959</v>
      </c>
      <c r="Z2780" s="5">
        <v>14959</v>
      </c>
      <c r="AA2780">
        <v>-48</v>
      </c>
      <c r="AB2780" s="5">
        <v>-718032</v>
      </c>
      <c r="AC2780" s="1">
        <v>14959</v>
      </c>
      <c r="AD2780">
        <v>-48</v>
      </c>
      <c r="AE2780" s="1">
        <v>-718032</v>
      </c>
      <c r="AF2780">
        <v>0</v>
      </c>
      <c r="AJ2780">
        <v>0</v>
      </c>
      <c r="AK2780">
        <v>0</v>
      </c>
      <c r="AL2780">
        <v>0</v>
      </c>
      <c r="AM2780" s="1">
        <v>14959</v>
      </c>
      <c r="AN2780" s="1">
        <v>14959</v>
      </c>
      <c r="AO2780" s="1">
        <v>14959</v>
      </c>
      <c r="AP2780" s="2">
        <v>42746</v>
      </c>
      <c r="AQ2780" t="s">
        <v>72</v>
      </c>
      <c r="AR2780" t="s">
        <v>72</v>
      </c>
      <c r="AS2780">
        <v>2582</v>
      </c>
      <c r="AT2780" s="4">
        <v>42647</v>
      </c>
      <c r="AV2780">
        <v>2582</v>
      </c>
      <c r="AW2780" s="4">
        <v>42647</v>
      </c>
      <c r="BD2780">
        <v>0</v>
      </c>
      <c r="BN2780" t="s">
        <v>74</v>
      </c>
    </row>
    <row r="2781" spans="1:66" hidden="1">
      <c r="A2781">
        <v>100906</v>
      </c>
      <c r="B2781" s="3" t="s">
        <v>257</v>
      </c>
      <c r="C2781" s="1">
        <v>43300101</v>
      </c>
      <c r="D2781" t="s">
        <v>67</v>
      </c>
      <c r="H2781" t="str">
        <f t="shared" si="278"/>
        <v>06978161005</v>
      </c>
      <c r="I2781" t="str">
        <f t="shared" si="278"/>
        <v>06978161005</v>
      </c>
      <c r="K2781" t="str">
        <f>""</f>
        <v/>
      </c>
      <c r="M2781" t="s">
        <v>68</v>
      </c>
      <c r="N2781" t="str">
        <f t="shared" si="277"/>
        <v>FOR</v>
      </c>
      <c r="O2781" t="s">
        <v>69</v>
      </c>
      <c r="P2781" s="3" t="s">
        <v>311</v>
      </c>
      <c r="Q2781">
        <v>2016</v>
      </c>
      <c r="R2781" s="2">
        <v>42639</v>
      </c>
      <c r="S2781" s="2">
        <v>42639</v>
      </c>
      <c r="T2781" s="2">
        <v>42639</v>
      </c>
      <c r="U2781" s="2">
        <v>42699</v>
      </c>
      <c r="V2781" t="s">
        <v>71</v>
      </c>
      <c r="W2781" t="str">
        <f>"                 210"</f>
        <v xml:space="preserve">                 210</v>
      </c>
      <c r="X2781">
        <v>0</v>
      </c>
      <c r="Y2781" s="1">
        <v>14959</v>
      </c>
      <c r="Z2781" s="5">
        <v>14959</v>
      </c>
      <c r="AA2781">
        <v>-52</v>
      </c>
      <c r="AB2781" s="5">
        <v>-777868</v>
      </c>
      <c r="AC2781" s="1">
        <v>14959</v>
      </c>
      <c r="AD2781">
        <v>-52</v>
      </c>
      <c r="AE2781" s="1">
        <v>-777868</v>
      </c>
      <c r="AF2781">
        <v>0</v>
      </c>
      <c r="AJ2781">
        <v>0</v>
      </c>
      <c r="AK2781">
        <v>0</v>
      </c>
      <c r="AL2781">
        <v>0</v>
      </c>
      <c r="AM2781" s="1">
        <v>14959</v>
      </c>
      <c r="AN2781" s="1">
        <v>14959</v>
      </c>
      <c r="AO2781" s="1">
        <v>14959</v>
      </c>
      <c r="AP2781" s="2">
        <v>42746</v>
      </c>
      <c r="AQ2781" t="s">
        <v>72</v>
      </c>
      <c r="AR2781" t="s">
        <v>72</v>
      </c>
      <c r="AS2781">
        <v>2583</v>
      </c>
      <c r="AT2781" s="4">
        <v>42647</v>
      </c>
      <c r="AV2781">
        <v>2583</v>
      </c>
      <c r="AW2781" s="4">
        <v>42647</v>
      </c>
      <c r="BD2781">
        <v>0</v>
      </c>
      <c r="BN2781" t="s">
        <v>74</v>
      </c>
    </row>
    <row r="2782" spans="1:66" hidden="1">
      <c r="A2782">
        <v>100906</v>
      </c>
      <c r="B2782" s="3" t="s">
        <v>257</v>
      </c>
      <c r="C2782" s="1">
        <v>43300101</v>
      </c>
      <c r="D2782" t="s">
        <v>67</v>
      </c>
      <c r="H2782" t="str">
        <f t="shared" si="278"/>
        <v>06978161005</v>
      </c>
      <c r="I2782" t="str">
        <f t="shared" si="278"/>
        <v>06978161005</v>
      </c>
      <c r="K2782" t="str">
        <f>""</f>
        <v/>
      </c>
      <c r="M2782" t="s">
        <v>68</v>
      </c>
      <c r="N2782" t="str">
        <f t="shared" si="277"/>
        <v>FOR</v>
      </c>
      <c r="O2782" t="s">
        <v>69</v>
      </c>
      <c r="P2782" s="3" t="s">
        <v>307</v>
      </c>
      <c r="Q2782">
        <v>2016</v>
      </c>
      <c r="R2782" s="2">
        <v>42639</v>
      </c>
      <c r="S2782" s="2">
        <v>42639</v>
      </c>
      <c r="T2782" s="2">
        <v>42639</v>
      </c>
      <c r="U2782" s="2">
        <v>42699</v>
      </c>
      <c r="V2782" t="s">
        <v>71</v>
      </c>
      <c r="W2782" t="str">
        <f>"                 211"</f>
        <v xml:space="preserve">                 211</v>
      </c>
      <c r="X2782">
        <v>0</v>
      </c>
      <c r="Y2782">
        <v>118.48</v>
      </c>
      <c r="Z2782" s="3">
        <v>118.48</v>
      </c>
      <c r="AA2782">
        <v>-50</v>
      </c>
      <c r="AB2782" s="5">
        <v>-5924</v>
      </c>
      <c r="AC2782">
        <v>118.48</v>
      </c>
      <c r="AD2782">
        <v>-50</v>
      </c>
      <c r="AE2782" s="1">
        <v>-5924</v>
      </c>
      <c r="AF2782">
        <v>0</v>
      </c>
      <c r="AJ2782">
        <v>0</v>
      </c>
      <c r="AK2782">
        <v>0</v>
      </c>
      <c r="AL2782">
        <v>0</v>
      </c>
      <c r="AM2782">
        <v>118.48</v>
      </c>
      <c r="AN2782">
        <v>118.48</v>
      </c>
      <c r="AO2782">
        <v>118.48</v>
      </c>
      <c r="AP2782" s="2">
        <v>42746</v>
      </c>
      <c r="AQ2782" t="s">
        <v>72</v>
      </c>
      <c r="AR2782" t="s">
        <v>72</v>
      </c>
      <c r="AS2782">
        <v>2705</v>
      </c>
      <c r="AT2782" s="4">
        <v>42649</v>
      </c>
      <c r="AV2782">
        <v>2705</v>
      </c>
      <c r="AW2782" s="4">
        <v>42649</v>
      </c>
      <c r="BD2782">
        <v>0</v>
      </c>
      <c r="BN2782" t="s">
        <v>74</v>
      </c>
    </row>
    <row r="2783" spans="1:66" hidden="1">
      <c r="A2783">
        <v>100906</v>
      </c>
      <c r="B2783" s="3" t="s">
        <v>257</v>
      </c>
      <c r="C2783" s="1">
        <v>43300101</v>
      </c>
      <c r="D2783" t="s">
        <v>67</v>
      </c>
      <c r="H2783" t="str">
        <f t="shared" si="278"/>
        <v>06978161005</v>
      </c>
      <c r="I2783" t="str">
        <f t="shared" si="278"/>
        <v>06978161005</v>
      </c>
      <c r="K2783" t="str">
        <f>""</f>
        <v/>
      </c>
      <c r="M2783" t="s">
        <v>68</v>
      </c>
      <c r="N2783" t="str">
        <f t="shared" si="277"/>
        <v>FOR</v>
      </c>
      <c r="O2783" t="s">
        <v>69</v>
      </c>
      <c r="P2783" s="3" t="s">
        <v>312</v>
      </c>
      <c r="Q2783">
        <v>2016</v>
      </c>
      <c r="R2783" s="2">
        <v>42639</v>
      </c>
      <c r="S2783" s="2">
        <v>42639</v>
      </c>
      <c r="T2783" s="2">
        <v>42639</v>
      </c>
      <c r="U2783" s="2">
        <v>42699</v>
      </c>
      <c r="V2783" t="s">
        <v>71</v>
      </c>
      <c r="W2783" t="str">
        <f>"                 212"</f>
        <v xml:space="preserve">                 212</v>
      </c>
      <c r="X2783">
        <v>0</v>
      </c>
      <c r="Y2783">
        <v>84.17</v>
      </c>
      <c r="Z2783" s="3">
        <v>84.17</v>
      </c>
      <c r="AA2783">
        <v>-50</v>
      </c>
      <c r="AB2783" s="5">
        <v>-4208.5</v>
      </c>
      <c r="AC2783">
        <v>84.17</v>
      </c>
      <c r="AD2783">
        <v>-50</v>
      </c>
      <c r="AE2783" s="1">
        <v>-4208.5</v>
      </c>
      <c r="AF2783">
        <v>0</v>
      </c>
      <c r="AJ2783">
        <v>0</v>
      </c>
      <c r="AK2783">
        <v>0</v>
      </c>
      <c r="AL2783">
        <v>0</v>
      </c>
      <c r="AM2783">
        <v>84.17</v>
      </c>
      <c r="AN2783">
        <v>84.17</v>
      </c>
      <c r="AO2783">
        <v>84.17</v>
      </c>
      <c r="AP2783" s="2">
        <v>42746</v>
      </c>
      <c r="AQ2783" t="s">
        <v>72</v>
      </c>
      <c r="AR2783" t="s">
        <v>72</v>
      </c>
      <c r="AS2783">
        <v>2705</v>
      </c>
      <c r="AT2783" s="4">
        <v>42649</v>
      </c>
      <c r="AV2783">
        <v>2705</v>
      </c>
      <c r="AW2783" s="4">
        <v>42649</v>
      </c>
      <c r="BD2783">
        <v>0</v>
      </c>
      <c r="BN2783" t="s">
        <v>74</v>
      </c>
    </row>
    <row r="2784" spans="1:66" hidden="1">
      <c r="A2784">
        <v>100906</v>
      </c>
      <c r="B2784" s="3" t="s">
        <v>257</v>
      </c>
      <c r="C2784" s="1">
        <v>43300101</v>
      </c>
      <c r="D2784" t="s">
        <v>67</v>
      </c>
      <c r="H2784" t="str">
        <f t="shared" si="278"/>
        <v>06978161005</v>
      </c>
      <c r="I2784" t="str">
        <f t="shared" si="278"/>
        <v>06978161005</v>
      </c>
      <c r="K2784" t="str">
        <f>""</f>
        <v/>
      </c>
      <c r="M2784" t="s">
        <v>68</v>
      </c>
      <c r="N2784" t="str">
        <f t="shared" si="277"/>
        <v>FOR</v>
      </c>
      <c r="O2784" t="s">
        <v>69</v>
      </c>
      <c r="P2784" s="3" t="s">
        <v>313</v>
      </c>
      <c r="Q2784">
        <v>2016</v>
      </c>
      <c r="R2784" s="2">
        <v>42639</v>
      </c>
      <c r="S2784" s="2">
        <v>42639</v>
      </c>
      <c r="T2784" s="2">
        <v>42639</v>
      </c>
      <c r="U2784" s="2">
        <v>42699</v>
      </c>
      <c r="V2784" t="s">
        <v>71</v>
      </c>
      <c r="W2784" t="str">
        <f>"                 213"</f>
        <v xml:space="preserve">                 213</v>
      </c>
      <c r="X2784">
        <v>0</v>
      </c>
      <c r="Y2784">
        <v>90</v>
      </c>
      <c r="Z2784" s="3">
        <v>90</v>
      </c>
      <c r="AA2784">
        <v>-50</v>
      </c>
      <c r="AB2784" s="5">
        <v>-4500</v>
      </c>
      <c r="AC2784">
        <v>90</v>
      </c>
      <c r="AD2784">
        <v>-50</v>
      </c>
      <c r="AE2784" s="1">
        <v>-4500</v>
      </c>
      <c r="AF2784">
        <v>0</v>
      </c>
      <c r="AJ2784">
        <v>0</v>
      </c>
      <c r="AK2784">
        <v>0</v>
      </c>
      <c r="AL2784">
        <v>0</v>
      </c>
      <c r="AM2784">
        <v>90</v>
      </c>
      <c r="AN2784">
        <v>90</v>
      </c>
      <c r="AO2784">
        <v>90</v>
      </c>
      <c r="AP2784" s="2">
        <v>42746</v>
      </c>
      <c r="AQ2784" t="s">
        <v>72</v>
      </c>
      <c r="AR2784" t="s">
        <v>72</v>
      </c>
      <c r="AS2784">
        <v>2705</v>
      </c>
      <c r="AT2784" s="4">
        <v>42649</v>
      </c>
      <c r="AV2784">
        <v>2705</v>
      </c>
      <c r="AW2784" s="4">
        <v>42649</v>
      </c>
      <c r="BD2784">
        <v>0</v>
      </c>
      <c r="BN2784" t="s">
        <v>74</v>
      </c>
    </row>
    <row r="2785" spans="1:66" hidden="1">
      <c r="A2785">
        <v>100906</v>
      </c>
      <c r="B2785" s="3" t="s">
        <v>257</v>
      </c>
      <c r="C2785" s="1">
        <v>43300101</v>
      </c>
      <c r="D2785" t="s">
        <v>67</v>
      </c>
      <c r="H2785" t="str">
        <f t="shared" si="278"/>
        <v>06978161005</v>
      </c>
      <c r="I2785" t="str">
        <f t="shared" si="278"/>
        <v>06978161005</v>
      </c>
      <c r="K2785" t="str">
        <f>""</f>
        <v/>
      </c>
      <c r="M2785" t="s">
        <v>68</v>
      </c>
      <c r="N2785" t="str">
        <f t="shared" si="277"/>
        <v>FOR</v>
      </c>
      <c r="O2785" t="s">
        <v>69</v>
      </c>
      <c r="P2785" s="3" t="s">
        <v>314</v>
      </c>
      <c r="Q2785">
        <v>2016</v>
      </c>
      <c r="R2785" s="2">
        <v>42639</v>
      </c>
      <c r="S2785" s="2">
        <v>42639</v>
      </c>
      <c r="T2785" s="2">
        <v>42639</v>
      </c>
      <c r="U2785" s="2">
        <v>42699</v>
      </c>
      <c r="V2785" t="s">
        <v>71</v>
      </c>
      <c r="W2785" t="str">
        <f>"                 214"</f>
        <v xml:space="preserve">                 214</v>
      </c>
      <c r="X2785">
        <v>0</v>
      </c>
      <c r="Y2785">
        <v>78.11</v>
      </c>
      <c r="Z2785" s="3">
        <v>78.11</v>
      </c>
      <c r="AA2785">
        <v>-50</v>
      </c>
      <c r="AB2785" s="5">
        <v>-3905.5</v>
      </c>
      <c r="AC2785">
        <v>78.11</v>
      </c>
      <c r="AD2785">
        <v>-50</v>
      </c>
      <c r="AE2785" s="1">
        <v>-3905.5</v>
      </c>
      <c r="AF2785">
        <v>0</v>
      </c>
      <c r="AJ2785">
        <v>0</v>
      </c>
      <c r="AK2785">
        <v>0</v>
      </c>
      <c r="AL2785">
        <v>0</v>
      </c>
      <c r="AM2785">
        <v>78.11</v>
      </c>
      <c r="AN2785">
        <v>78.11</v>
      </c>
      <c r="AO2785">
        <v>78.11</v>
      </c>
      <c r="AP2785" s="2">
        <v>42746</v>
      </c>
      <c r="AQ2785" t="s">
        <v>72</v>
      </c>
      <c r="AR2785" t="s">
        <v>72</v>
      </c>
      <c r="AS2785">
        <v>2705</v>
      </c>
      <c r="AT2785" s="4">
        <v>42649</v>
      </c>
      <c r="AV2785">
        <v>2705</v>
      </c>
      <c r="AW2785" s="4">
        <v>42649</v>
      </c>
      <c r="BD2785">
        <v>0</v>
      </c>
      <c r="BN2785" t="s">
        <v>74</v>
      </c>
    </row>
    <row r="2786" spans="1:66" hidden="1">
      <c r="A2786">
        <v>100906</v>
      </c>
      <c r="B2786" s="3" t="s">
        <v>257</v>
      </c>
      <c r="C2786" s="1">
        <v>43300101</v>
      </c>
      <c r="D2786" t="s">
        <v>67</v>
      </c>
      <c r="H2786" t="str">
        <f t="shared" si="278"/>
        <v>06978161005</v>
      </c>
      <c r="I2786" t="str">
        <f t="shared" si="278"/>
        <v>06978161005</v>
      </c>
      <c r="K2786" t="str">
        <f>""</f>
        <v/>
      </c>
      <c r="M2786" t="s">
        <v>68</v>
      </c>
      <c r="N2786" t="str">
        <f t="shared" si="277"/>
        <v>FOR</v>
      </c>
      <c r="O2786" t="s">
        <v>69</v>
      </c>
      <c r="P2786" s="3" t="s">
        <v>281</v>
      </c>
      <c r="Q2786">
        <v>2016</v>
      </c>
      <c r="R2786" s="2">
        <v>42639</v>
      </c>
      <c r="S2786" s="2">
        <v>42639</v>
      </c>
      <c r="T2786" s="2">
        <v>42639</v>
      </c>
      <c r="U2786" s="2">
        <v>42699</v>
      </c>
      <c r="V2786" t="s">
        <v>71</v>
      </c>
      <c r="W2786" t="str">
        <f>"                 215"</f>
        <v xml:space="preserve">                 215</v>
      </c>
      <c r="X2786">
        <v>0</v>
      </c>
      <c r="Y2786">
        <v>290.43</v>
      </c>
      <c r="Z2786" s="3">
        <v>290.43</v>
      </c>
      <c r="AA2786">
        <v>-50</v>
      </c>
      <c r="AB2786" s="5">
        <v>-14521.5</v>
      </c>
      <c r="AC2786">
        <v>290.43</v>
      </c>
      <c r="AD2786">
        <v>-50</v>
      </c>
      <c r="AE2786" s="1">
        <v>-14521.5</v>
      </c>
      <c r="AF2786">
        <v>0</v>
      </c>
      <c r="AJ2786">
        <v>0</v>
      </c>
      <c r="AK2786">
        <v>0</v>
      </c>
      <c r="AL2786">
        <v>0</v>
      </c>
      <c r="AM2786">
        <v>290.43</v>
      </c>
      <c r="AN2786">
        <v>290.43</v>
      </c>
      <c r="AO2786">
        <v>290.43</v>
      </c>
      <c r="AP2786" s="2">
        <v>42746</v>
      </c>
      <c r="AQ2786" t="s">
        <v>72</v>
      </c>
      <c r="AR2786" t="s">
        <v>72</v>
      </c>
      <c r="AS2786">
        <v>2705</v>
      </c>
      <c r="AT2786" s="4">
        <v>42649</v>
      </c>
      <c r="AV2786">
        <v>2705</v>
      </c>
      <c r="AW2786" s="4">
        <v>42649</v>
      </c>
      <c r="BD2786">
        <v>0</v>
      </c>
      <c r="BN2786" t="s">
        <v>74</v>
      </c>
    </row>
    <row r="2787" spans="1:66" hidden="1">
      <c r="A2787">
        <v>100906</v>
      </c>
      <c r="B2787" s="3" t="s">
        <v>257</v>
      </c>
      <c r="C2787" s="1">
        <v>43300101</v>
      </c>
      <c r="D2787" t="s">
        <v>67</v>
      </c>
      <c r="H2787" t="str">
        <f t="shared" si="278"/>
        <v>06978161005</v>
      </c>
      <c r="I2787" t="str">
        <f t="shared" si="278"/>
        <v>06978161005</v>
      </c>
      <c r="K2787" t="str">
        <f>""</f>
        <v/>
      </c>
      <c r="M2787" t="s">
        <v>68</v>
      </c>
      <c r="N2787" t="str">
        <f t="shared" si="277"/>
        <v>FOR</v>
      </c>
      <c r="O2787" t="s">
        <v>69</v>
      </c>
      <c r="P2787" s="3" t="s">
        <v>299</v>
      </c>
      <c r="Q2787">
        <v>2016</v>
      </c>
      <c r="R2787" s="2">
        <v>42649</v>
      </c>
      <c r="S2787" s="2">
        <v>42649</v>
      </c>
      <c r="T2787" s="2">
        <v>42649</v>
      </c>
      <c r="U2787" s="2">
        <v>42709</v>
      </c>
      <c r="V2787" t="s">
        <v>71</v>
      </c>
      <c r="W2787" t="str">
        <f>"                 219"</f>
        <v xml:space="preserve">                 219</v>
      </c>
      <c r="X2787">
        <v>0</v>
      </c>
      <c r="Y2787">
        <v>948.86</v>
      </c>
      <c r="Z2787" s="3">
        <v>948.86</v>
      </c>
      <c r="AA2787">
        <v>-60</v>
      </c>
      <c r="AB2787" s="5">
        <v>-56931.6</v>
      </c>
      <c r="AC2787">
        <v>948.86</v>
      </c>
      <c r="AD2787">
        <v>-60</v>
      </c>
      <c r="AE2787" s="1">
        <v>-56931.6</v>
      </c>
      <c r="AF2787">
        <v>0</v>
      </c>
      <c r="AJ2787">
        <v>948.86</v>
      </c>
      <c r="AK2787">
        <v>948.86</v>
      </c>
      <c r="AL2787">
        <v>948.86</v>
      </c>
      <c r="AM2787">
        <v>948.86</v>
      </c>
      <c r="AN2787">
        <v>948.86</v>
      </c>
      <c r="AO2787">
        <v>948.86</v>
      </c>
      <c r="AP2787" s="2">
        <v>42746</v>
      </c>
      <c r="AQ2787" t="s">
        <v>72</v>
      </c>
      <c r="AR2787" t="s">
        <v>72</v>
      </c>
      <c r="AS2787">
        <v>2706</v>
      </c>
      <c r="AT2787" s="4">
        <v>42649</v>
      </c>
      <c r="AV2787">
        <v>2706</v>
      </c>
      <c r="AW2787" s="4">
        <v>42649</v>
      </c>
      <c r="BD2787">
        <v>0</v>
      </c>
      <c r="BN2787" t="s">
        <v>74</v>
      </c>
    </row>
    <row r="2788" spans="1:66" hidden="1">
      <c r="A2788">
        <v>100906</v>
      </c>
      <c r="B2788" s="3" t="s">
        <v>257</v>
      </c>
      <c r="C2788" s="1">
        <v>43300101</v>
      </c>
      <c r="D2788" t="s">
        <v>67</v>
      </c>
      <c r="H2788" t="str">
        <f t="shared" ref="H2788:I2810" si="279">"06978161005"</f>
        <v>06978161005</v>
      </c>
      <c r="I2788" t="str">
        <f t="shared" si="279"/>
        <v>06978161005</v>
      </c>
      <c r="K2788" t="str">
        <f>""</f>
        <v/>
      </c>
      <c r="M2788" t="s">
        <v>68</v>
      </c>
      <c r="N2788" t="str">
        <f t="shared" si="277"/>
        <v>FOR</v>
      </c>
      <c r="O2788" t="s">
        <v>69</v>
      </c>
      <c r="P2788" s="3" t="s">
        <v>315</v>
      </c>
      <c r="Q2788">
        <v>2016</v>
      </c>
      <c r="R2788" s="2">
        <v>42649</v>
      </c>
      <c r="S2788" s="2">
        <v>42649</v>
      </c>
      <c r="T2788" s="2">
        <v>42649</v>
      </c>
      <c r="U2788" s="2">
        <v>42709</v>
      </c>
      <c r="V2788" t="s">
        <v>71</v>
      </c>
      <c r="W2788" t="str">
        <f>"                 220"</f>
        <v xml:space="preserve">                 220</v>
      </c>
      <c r="X2788">
        <v>0</v>
      </c>
      <c r="Y2788">
        <v>99</v>
      </c>
      <c r="Z2788" s="3">
        <v>99</v>
      </c>
      <c r="AA2788">
        <v>-60</v>
      </c>
      <c r="AB2788" s="5">
        <v>-5940</v>
      </c>
      <c r="AC2788">
        <v>99</v>
      </c>
      <c r="AD2788">
        <v>-60</v>
      </c>
      <c r="AE2788" s="1">
        <v>-5940</v>
      </c>
      <c r="AF2788">
        <v>0</v>
      </c>
      <c r="AJ2788">
        <v>99</v>
      </c>
      <c r="AK2788">
        <v>99</v>
      </c>
      <c r="AL2788">
        <v>99</v>
      </c>
      <c r="AM2788">
        <v>99</v>
      </c>
      <c r="AN2788">
        <v>99</v>
      </c>
      <c r="AO2788">
        <v>99</v>
      </c>
      <c r="AP2788" s="2">
        <v>42746</v>
      </c>
      <c r="AQ2788" t="s">
        <v>72</v>
      </c>
      <c r="AR2788" t="s">
        <v>72</v>
      </c>
      <c r="AS2788">
        <v>2705</v>
      </c>
      <c r="AT2788" s="4">
        <v>42649</v>
      </c>
      <c r="AV2788">
        <v>2705</v>
      </c>
      <c r="AW2788" s="4">
        <v>42649</v>
      </c>
      <c r="BD2788">
        <v>0</v>
      </c>
      <c r="BN2788" t="s">
        <v>74</v>
      </c>
    </row>
    <row r="2789" spans="1:66" hidden="1">
      <c r="A2789">
        <v>100906</v>
      </c>
      <c r="B2789" s="3" t="s">
        <v>257</v>
      </c>
      <c r="C2789" s="1">
        <v>43300101</v>
      </c>
      <c r="D2789" t="s">
        <v>67</v>
      </c>
      <c r="H2789" t="str">
        <f t="shared" si="279"/>
        <v>06978161005</v>
      </c>
      <c r="I2789" t="str">
        <f t="shared" si="279"/>
        <v>06978161005</v>
      </c>
      <c r="K2789" t="str">
        <f>""</f>
        <v/>
      </c>
      <c r="M2789" t="s">
        <v>68</v>
      </c>
      <c r="N2789" t="str">
        <f t="shared" si="277"/>
        <v>FOR</v>
      </c>
      <c r="O2789" t="s">
        <v>69</v>
      </c>
      <c r="P2789" s="3" t="s">
        <v>316</v>
      </c>
      <c r="Q2789">
        <v>2016</v>
      </c>
      <c r="R2789" s="2">
        <v>42649</v>
      </c>
      <c r="S2789" s="2">
        <v>42649</v>
      </c>
      <c r="T2789" s="2">
        <v>42649</v>
      </c>
      <c r="U2789" s="2">
        <v>42709</v>
      </c>
      <c r="V2789" t="s">
        <v>71</v>
      </c>
      <c r="W2789" t="str">
        <f>"                 221"</f>
        <v xml:space="preserve">                 221</v>
      </c>
      <c r="X2789">
        <v>0</v>
      </c>
      <c r="Y2789">
        <v>2</v>
      </c>
      <c r="Z2789" s="3">
        <v>2</v>
      </c>
      <c r="AA2789">
        <v>-60</v>
      </c>
      <c r="AB2789" s="3">
        <v>-120</v>
      </c>
      <c r="AC2789">
        <v>2</v>
      </c>
      <c r="AD2789">
        <v>-60</v>
      </c>
      <c r="AE2789">
        <v>-120</v>
      </c>
      <c r="AF2789">
        <v>0</v>
      </c>
      <c r="AJ2789">
        <v>2</v>
      </c>
      <c r="AK2789">
        <v>2</v>
      </c>
      <c r="AL2789">
        <v>2</v>
      </c>
      <c r="AM2789">
        <v>2</v>
      </c>
      <c r="AN2789">
        <v>2</v>
      </c>
      <c r="AO2789">
        <v>2</v>
      </c>
      <c r="AP2789" s="2">
        <v>42746</v>
      </c>
      <c r="AQ2789" t="s">
        <v>72</v>
      </c>
      <c r="AR2789" t="s">
        <v>72</v>
      </c>
      <c r="AS2789">
        <v>2705</v>
      </c>
      <c r="AT2789" s="4">
        <v>42649</v>
      </c>
      <c r="AV2789">
        <v>2705</v>
      </c>
      <c r="AW2789" s="4">
        <v>42649</v>
      </c>
      <c r="BD2789">
        <v>0</v>
      </c>
      <c r="BN2789" t="s">
        <v>74</v>
      </c>
    </row>
    <row r="2790" spans="1:66" hidden="1">
      <c r="A2790">
        <v>100906</v>
      </c>
      <c r="B2790" s="3" t="s">
        <v>257</v>
      </c>
      <c r="C2790" s="1">
        <v>43300101</v>
      </c>
      <c r="D2790" t="s">
        <v>67</v>
      </c>
      <c r="H2790" t="str">
        <f t="shared" si="279"/>
        <v>06978161005</v>
      </c>
      <c r="I2790" t="str">
        <f t="shared" si="279"/>
        <v>06978161005</v>
      </c>
      <c r="K2790" t="str">
        <f>""</f>
        <v/>
      </c>
      <c r="M2790" t="s">
        <v>68</v>
      </c>
      <c r="N2790" t="str">
        <f t="shared" si="277"/>
        <v>FOR</v>
      </c>
      <c r="O2790" t="s">
        <v>69</v>
      </c>
      <c r="P2790" s="3" t="s">
        <v>317</v>
      </c>
      <c r="Q2790">
        <v>2016</v>
      </c>
      <c r="R2790" s="2">
        <v>42649</v>
      </c>
      <c r="S2790" s="2">
        <v>42649</v>
      </c>
      <c r="T2790" s="2">
        <v>42649</v>
      </c>
      <c r="U2790" s="2">
        <v>42709</v>
      </c>
      <c r="V2790" t="s">
        <v>71</v>
      </c>
      <c r="W2790" t="str">
        <f>"                 222"</f>
        <v xml:space="preserve">                 222</v>
      </c>
      <c r="X2790">
        <v>0</v>
      </c>
      <c r="Y2790" s="1">
        <v>14959.69</v>
      </c>
      <c r="Z2790" s="5">
        <v>14959.69</v>
      </c>
      <c r="AA2790">
        <v>-60</v>
      </c>
      <c r="AB2790" s="5">
        <v>-897581.4</v>
      </c>
      <c r="AC2790" s="1">
        <v>14959.69</v>
      </c>
      <c r="AD2790">
        <v>-60</v>
      </c>
      <c r="AE2790" s="1">
        <v>-897581.4</v>
      </c>
      <c r="AF2790">
        <v>0</v>
      </c>
      <c r="AJ2790" s="1">
        <v>14959.69</v>
      </c>
      <c r="AK2790" s="1">
        <v>14959.69</v>
      </c>
      <c r="AL2790" s="1">
        <v>14959.69</v>
      </c>
      <c r="AM2790" s="1">
        <v>14959.69</v>
      </c>
      <c r="AN2790" s="1">
        <v>14959.69</v>
      </c>
      <c r="AO2790" s="1">
        <v>14959.69</v>
      </c>
      <c r="AP2790" s="2">
        <v>42746</v>
      </c>
      <c r="AQ2790" t="s">
        <v>72</v>
      </c>
      <c r="AR2790" t="s">
        <v>72</v>
      </c>
      <c r="AS2790">
        <v>2704</v>
      </c>
      <c r="AT2790" s="4">
        <v>42649</v>
      </c>
      <c r="AV2790">
        <v>2704</v>
      </c>
      <c r="AW2790" s="4">
        <v>42649</v>
      </c>
      <c r="BD2790">
        <v>0</v>
      </c>
      <c r="BN2790" t="s">
        <v>74</v>
      </c>
    </row>
    <row r="2791" spans="1:66" hidden="1">
      <c r="A2791">
        <v>100906</v>
      </c>
      <c r="B2791" s="3" t="s">
        <v>257</v>
      </c>
      <c r="C2791" s="1">
        <v>43300101</v>
      </c>
      <c r="D2791" t="s">
        <v>67</v>
      </c>
      <c r="H2791" t="str">
        <f t="shared" si="279"/>
        <v>06978161005</v>
      </c>
      <c r="I2791" t="str">
        <f t="shared" si="279"/>
        <v>06978161005</v>
      </c>
      <c r="K2791" t="str">
        <f>""</f>
        <v/>
      </c>
      <c r="M2791" t="s">
        <v>68</v>
      </c>
      <c r="N2791" t="str">
        <f t="shared" si="277"/>
        <v>FOR</v>
      </c>
      <c r="O2791" t="s">
        <v>69</v>
      </c>
      <c r="P2791" s="3" t="s">
        <v>318</v>
      </c>
      <c r="Q2791">
        <v>2016</v>
      </c>
      <c r="R2791" s="2">
        <v>42662</v>
      </c>
      <c r="S2791" s="2">
        <v>42662</v>
      </c>
      <c r="T2791" s="2">
        <v>42662</v>
      </c>
      <c r="U2791" s="2">
        <v>42722</v>
      </c>
      <c r="V2791" t="s">
        <v>71</v>
      </c>
      <c r="W2791" t="str">
        <f>"                 244"</f>
        <v xml:space="preserve">                 244</v>
      </c>
      <c r="X2791">
        <v>0</v>
      </c>
      <c r="Y2791">
        <v>90</v>
      </c>
      <c r="Z2791" s="3">
        <v>90</v>
      </c>
      <c r="AA2791">
        <v>-60</v>
      </c>
      <c r="AB2791" s="5">
        <v>-5400</v>
      </c>
      <c r="AC2791">
        <v>90</v>
      </c>
      <c r="AD2791">
        <v>-60</v>
      </c>
      <c r="AE2791" s="1">
        <v>-5400</v>
      </c>
      <c r="AF2791">
        <v>0</v>
      </c>
      <c r="AJ2791">
        <v>90</v>
      </c>
      <c r="AK2791">
        <v>90</v>
      </c>
      <c r="AL2791">
        <v>90</v>
      </c>
      <c r="AM2791">
        <v>90</v>
      </c>
      <c r="AN2791">
        <v>90</v>
      </c>
      <c r="AO2791">
        <v>90</v>
      </c>
      <c r="AP2791" s="2">
        <v>42746</v>
      </c>
      <c r="AQ2791" t="s">
        <v>72</v>
      </c>
      <c r="AR2791" t="s">
        <v>72</v>
      </c>
      <c r="AS2791">
        <v>2755</v>
      </c>
      <c r="AT2791" s="4">
        <v>42662</v>
      </c>
      <c r="AV2791">
        <v>2755</v>
      </c>
      <c r="AW2791" s="4">
        <v>42662</v>
      </c>
      <c r="BD2791">
        <v>0</v>
      </c>
      <c r="BN2791" t="s">
        <v>74</v>
      </c>
    </row>
    <row r="2792" spans="1:66" hidden="1">
      <c r="A2792">
        <v>100906</v>
      </c>
      <c r="B2792" s="3" t="s">
        <v>257</v>
      </c>
      <c r="C2792" s="1">
        <v>43300101</v>
      </c>
      <c r="D2792" t="s">
        <v>67</v>
      </c>
      <c r="H2792" t="str">
        <f t="shared" si="279"/>
        <v>06978161005</v>
      </c>
      <c r="I2792" t="str">
        <f t="shared" si="279"/>
        <v>06978161005</v>
      </c>
      <c r="K2792" t="str">
        <f>""</f>
        <v/>
      </c>
      <c r="M2792" t="s">
        <v>68</v>
      </c>
      <c r="N2792" t="str">
        <f t="shared" si="277"/>
        <v>FOR</v>
      </c>
      <c r="O2792" t="s">
        <v>69</v>
      </c>
      <c r="P2792" s="3" t="s">
        <v>281</v>
      </c>
      <c r="Q2792">
        <v>2016</v>
      </c>
      <c r="R2792" s="2">
        <v>42662</v>
      </c>
      <c r="S2792" s="2">
        <v>42662</v>
      </c>
      <c r="T2792" s="2">
        <v>42662</v>
      </c>
      <c r="U2792" s="2">
        <v>42722</v>
      </c>
      <c r="V2792" t="s">
        <v>71</v>
      </c>
      <c r="W2792" t="str">
        <f>"                 245"</f>
        <v xml:space="preserve">                 245</v>
      </c>
      <c r="X2792">
        <v>0</v>
      </c>
      <c r="Y2792">
        <v>410.45</v>
      </c>
      <c r="Z2792" s="3">
        <v>410.45</v>
      </c>
      <c r="AA2792">
        <v>-60</v>
      </c>
      <c r="AB2792" s="5">
        <v>-24627</v>
      </c>
      <c r="AC2792">
        <v>410.45</v>
      </c>
      <c r="AD2792">
        <v>-60</v>
      </c>
      <c r="AE2792" s="1">
        <v>-24627</v>
      </c>
      <c r="AF2792">
        <v>0</v>
      </c>
      <c r="AJ2792">
        <v>410.45</v>
      </c>
      <c r="AK2792">
        <v>410.45</v>
      </c>
      <c r="AL2792">
        <v>410.45</v>
      </c>
      <c r="AM2792">
        <v>410.45</v>
      </c>
      <c r="AN2792">
        <v>410.45</v>
      </c>
      <c r="AO2792">
        <v>410.45</v>
      </c>
      <c r="AP2792" s="2">
        <v>42746</v>
      </c>
      <c r="AQ2792" t="s">
        <v>72</v>
      </c>
      <c r="AR2792" t="s">
        <v>72</v>
      </c>
      <c r="AS2792">
        <v>2755</v>
      </c>
      <c r="AT2792" s="4">
        <v>42662</v>
      </c>
      <c r="AV2792">
        <v>2755</v>
      </c>
      <c r="AW2792" s="4">
        <v>42662</v>
      </c>
      <c r="BD2792">
        <v>0</v>
      </c>
      <c r="BN2792" t="s">
        <v>74</v>
      </c>
    </row>
    <row r="2793" spans="1:66" hidden="1">
      <c r="A2793">
        <v>100906</v>
      </c>
      <c r="B2793" s="3" t="s">
        <v>257</v>
      </c>
      <c r="C2793" s="1">
        <v>43300101</v>
      </c>
      <c r="D2793" t="s">
        <v>67</v>
      </c>
      <c r="H2793" t="str">
        <f t="shared" si="279"/>
        <v>06978161005</v>
      </c>
      <c r="I2793" t="str">
        <f t="shared" si="279"/>
        <v>06978161005</v>
      </c>
      <c r="K2793" t="str">
        <f>""</f>
        <v/>
      </c>
      <c r="M2793" t="s">
        <v>68</v>
      </c>
      <c r="N2793" t="str">
        <f t="shared" si="277"/>
        <v>FOR</v>
      </c>
      <c r="O2793" t="s">
        <v>69</v>
      </c>
      <c r="P2793" s="3" t="s">
        <v>289</v>
      </c>
      <c r="Q2793">
        <v>2016</v>
      </c>
      <c r="R2793" s="2">
        <v>42662</v>
      </c>
      <c r="S2793" s="2">
        <v>42662</v>
      </c>
      <c r="T2793" s="2">
        <v>42662</v>
      </c>
      <c r="U2793" s="2">
        <v>42722</v>
      </c>
      <c r="V2793" t="s">
        <v>71</v>
      </c>
      <c r="W2793" t="str">
        <f>"                 246"</f>
        <v xml:space="preserve">                 246</v>
      </c>
      <c r="X2793">
        <v>0</v>
      </c>
      <c r="Y2793">
        <v>197.88</v>
      </c>
      <c r="Z2793" s="3">
        <v>197.88</v>
      </c>
      <c r="AA2793">
        <v>-60</v>
      </c>
      <c r="AB2793" s="5">
        <v>-11872.8</v>
      </c>
      <c r="AC2793">
        <v>197.88</v>
      </c>
      <c r="AD2793">
        <v>-60</v>
      </c>
      <c r="AE2793" s="1">
        <v>-11872.8</v>
      </c>
      <c r="AF2793">
        <v>0</v>
      </c>
      <c r="AJ2793">
        <v>197.88</v>
      </c>
      <c r="AK2793">
        <v>197.88</v>
      </c>
      <c r="AL2793">
        <v>197.88</v>
      </c>
      <c r="AM2793">
        <v>197.88</v>
      </c>
      <c r="AN2793">
        <v>197.88</v>
      </c>
      <c r="AO2793">
        <v>197.88</v>
      </c>
      <c r="AP2793" s="2">
        <v>42746</v>
      </c>
      <c r="AQ2793" t="s">
        <v>72</v>
      </c>
      <c r="AR2793" t="s">
        <v>72</v>
      </c>
      <c r="AS2793">
        <v>2755</v>
      </c>
      <c r="AT2793" s="4">
        <v>42662</v>
      </c>
      <c r="AV2793">
        <v>2755</v>
      </c>
      <c r="AW2793" s="4">
        <v>42662</v>
      </c>
      <c r="BD2793">
        <v>0</v>
      </c>
      <c r="BN2793" t="s">
        <v>74</v>
      </c>
    </row>
    <row r="2794" spans="1:66" hidden="1">
      <c r="A2794">
        <v>100906</v>
      </c>
      <c r="B2794" s="3" t="s">
        <v>257</v>
      </c>
      <c r="C2794" s="1">
        <v>43300101</v>
      </c>
      <c r="D2794" t="s">
        <v>67</v>
      </c>
      <c r="H2794" t="str">
        <f t="shared" si="279"/>
        <v>06978161005</v>
      </c>
      <c r="I2794" t="str">
        <f t="shared" si="279"/>
        <v>06978161005</v>
      </c>
      <c r="K2794" t="str">
        <f>""</f>
        <v/>
      </c>
      <c r="M2794" t="s">
        <v>68</v>
      </c>
      <c r="N2794" t="str">
        <f t="shared" si="277"/>
        <v>FOR</v>
      </c>
      <c r="O2794" t="s">
        <v>69</v>
      </c>
      <c r="P2794" s="3" t="s">
        <v>319</v>
      </c>
      <c r="Q2794">
        <v>2016</v>
      </c>
      <c r="R2794" s="2">
        <v>42662</v>
      </c>
      <c r="S2794" s="2">
        <v>42662</v>
      </c>
      <c r="T2794" s="2">
        <v>42662</v>
      </c>
      <c r="U2794" s="2">
        <v>42722</v>
      </c>
      <c r="V2794" t="s">
        <v>71</v>
      </c>
      <c r="W2794" t="str">
        <f>"                 247"</f>
        <v xml:space="preserve">                 247</v>
      </c>
      <c r="X2794">
        <v>0</v>
      </c>
      <c r="Y2794">
        <v>96.58</v>
      </c>
      <c r="Z2794" s="3">
        <v>96.58</v>
      </c>
      <c r="AA2794">
        <v>-60</v>
      </c>
      <c r="AB2794" s="5">
        <v>-5794.8</v>
      </c>
      <c r="AC2794">
        <v>96.58</v>
      </c>
      <c r="AD2794">
        <v>-60</v>
      </c>
      <c r="AE2794" s="1">
        <v>-5794.8</v>
      </c>
      <c r="AF2794">
        <v>0</v>
      </c>
      <c r="AJ2794">
        <v>96.58</v>
      </c>
      <c r="AK2794">
        <v>96.58</v>
      </c>
      <c r="AL2794">
        <v>96.58</v>
      </c>
      <c r="AM2794">
        <v>96.58</v>
      </c>
      <c r="AN2794">
        <v>96.58</v>
      </c>
      <c r="AO2794">
        <v>96.58</v>
      </c>
      <c r="AP2794" s="2">
        <v>42746</v>
      </c>
      <c r="AQ2794" t="s">
        <v>72</v>
      </c>
      <c r="AR2794" t="s">
        <v>72</v>
      </c>
      <c r="AS2794">
        <v>2755</v>
      </c>
      <c r="AT2794" s="4">
        <v>42662</v>
      </c>
      <c r="AV2794">
        <v>2755</v>
      </c>
      <c r="AW2794" s="4">
        <v>42662</v>
      </c>
      <c r="BD2794">
        <v>0</v>
      </c>
      <c r="BN2794" t="s">
        <v>74</v>
      </c>
    </row>
    <row r="2795" spans="1:66" hidden="1">
      <c r="A2795">
        <v>100906</v>
      </c>
      <c r="B2795" s="3" t="s">
        <v>257</v>
      </c>
      <c r="C2795" s="1">
        <v>43300101</v>
      </c>
      <c r="D2795" t="s">
        <v>67</v>
      </c>
      <c r="H2795" t="str">
        <f t="shared" si="279"/>
        <v>06978161005</v>
      </c>
      <c r="I2795" t="str">
        <f t="shared" si="279"/>
        <v>06978161005</v>
      </c>
      <c r="K2795" t="str">
        <f>""</f>
        <v/>
      </c>
      <c r="M2795" t="s">
        <v>68</v>
      </c>
      <c r="N2795" t="str">
        <f t="shared" si="277"/>
        <v>FOR</v>
      </c>
      <c r="O2795" t="s">
        <v>69</v>
      </c>
      <c r="P2795" s="3" t="s">
        <v>320</v>
      </c>
      <c r="Q2795">
        <v>2016</v>
      </c>
      <c r="R2795" s="2">
        <v>42662</v>
      </c>
      <c r="S2795" s="2">
        <v>42662</v>
      </c>
      <c r="T2795" s="2">
        <v>42662</v>
      </c>
      <c r="U2795" s="2">
        <v>42722</v>
      </c>
      <c r="V2795" t="s">
        <v>71</v>
      </c>
      <c r="W2795" t="str">
        <f>"                 248"</f>
        <v xml:space="preserve">                 248</v>
      </c>
      <c r="X2795">
        <v>0</v>
      </c>
      <c r="Y2795">
        <v>173.07</v>
      </c>
      <c r="Z2795" s="3">
        <v>173.07</v>
      </c>
      <c r="AA2795">
        <v>-60</v>
      </c>
      <c r="AB2795" s="5">
        <v>-10384.200000000001</v>
      </c>
      <c r="AC2795">
        <v>173.07</v>
      </c>
      <c r="AD2795">
        <v>-60</v>
      </c>
      <c r="AE2795" s="1">
        <v>-10384.200000000001</v>
      </c>
      <c r="AF2795">
        <v>0</v>
      </c>
      <c r="AJ2795">
        <v>173.07</v>
      </c>
      <c r="AK2795">
        <v>173.07</v>
      </c>
      <c r="AL2795">
        <v>173.07</v>
      </c>
      <c r="AM2795">
        <v>173.07</v>
      </c>
      <c r="AN2795">
        <v>173.07</v>
      </c>
      <c r="AO2795">
        <v>173.07</v>
      </c>
      <c r="AP2795" s="2">
        <v>42746</v>
      </c>
      <c r="AQ2795" t="s">
        <v>72</v>
      </c>
      <c r="AR2795" t="s">
        <v>72</v>
      </c>
      <c r="AS2795">
        <v>2755</v>
      </c>
      <c r="AT2795" s="4">
        <v>42662</v>
      </c>
      <c r="AV2795">
        <v>2755</v>
      </c>
      <c r="AW2795" s="4">
        <v>42662</v>
      </c>
      <c r="BD2795">
        <v>0</v>
      </c>
      <c r="BN2795" t="s">
        <v>74</v>
      </c>
    </row>
    <row r="2796" spans="1:66" hidden="1">
      <c r="A2796">
        <v>100906</v>
      </c>
      <c r="B2796" s="3" t="s">
        <v>257</v>
      </c>
      <c r="C2796" s="1">
        <v>43300101</v>
      </c>
      <c r="D2796" t="s">
        <v>67</v>
      </c>
      <c r="H2796" t="str">
        <f t="shared" si="279"/>
        <v>06978161005</v>
      </c>
      <c r="I2796" t="str">
        <f t="shared" si="279"/>
        <v>06978161005</v>
      </c>
      <c r="K2796" t="str">
        <f>""</f>
        <v/>
      </c>
      <c r="M2796" t="s">
        <v>68</v>
      </c>
      <c r="N2796" t="str">
        <f t="shared" si="277"/>
        <v>FOR</v>
      </c>
      <c r="O2796" t="s">
        <v>69</v>
      </c>
      <c r="P2796" s="3" t="s">
        <v>321</v>
      </c>
      <c r="Q2796">
        <v>2016</v>
      </c>
      <c r="R2796" s="2">
        <v>42685</v>
      </c>
      <c r="S2796" s="2">
        <v>42685</v>
      </c>
      <c r="T2796" s="2">
        <v>42685</v>
      </c>
      <c r="U2796" s="2">
        <v>42745</v>
      </c>
      <c r="V2796" t="s">
        <v>71</v>
      </c>
      <c r="W2796" t="str">
        <f>"                 260"</f>
        <v xml:space="preserve">                 260</v>
      </c>
      <c r="X2796">
        <v>0</v>
      </c>
      <c r="Y2796" s="1">
        <v>14959</v>
      </c>
      <c r="Z2796" s="5">
        <v>14959</v>
      </c>
      <c r="AA2796">
        <v>-53</v>
      </c>
      <c r="AB2796" s="5">
        <v>-792827</v>
      </c>
      <c r="AC2796" s="1">
        <v>14959</v>
      </c>
      <c r="AD2796">
        <v>-53</v>
      </c>
      <c r="AE2796" s="1">
        <v>-792827</v>
      </c>
      <c r="AF2796">
        <v>0</v>
      </c>
      <c r="AJ2796" s="1">
        <v>14959</v>
      </c>
      <c r="AK2796" s="1">
        <v>14959</v>
      </c>
      <c r="AL2796" s="1">
        <v>14959</v>
      </c>
      <c r="AM2796" s="1">
        <v>14959</v>
      </c>
      <c r="AN2796" s="1">
        <v>14959</v>
      </c>
      <c r="AO2796" s="1">
        <v>14959</v>
      </c>
      <c r="AP2796" s="2">
        <v>42746</v>
      </c>
      <c r="AQ2796" t="s">
        <v>72</v>
      </c>
      <c r="AR2796" t="s">
        <v>72</v>
      </c>
      <c r="AS2796">
        <v>3160</v>
      </c>
      <c r="AT2796" s="4">
        <v>42692</v>
      </c>
      <c r="AV2796">
        <v>3160</v>
      </c>
      <c r="AW2796" s="4">
        <v>42692</v>
      </c>
      <c r="BD2796">
        <v>0</v>
      </c>
      <c r="BN2796" t="s">
        <v>74</v>
      </c>
    </row>
    <row r="2797" spans="1:66" hidden="1">
      <c r="A2797">
        <v>100906</v>
      </c>
      <c r="B2797" s="3" t="s">
        <v>257</v>
      </c>
      <c r="C2797" s="1">
        <v>43300101</v>
      </c>
      <c r="D2797" t="s">
        <v>67</v>
      </c>
      <c r="H2797" t="str">
        <f t="shared" si="279"/>
        <v>06978161005</v>
      </c>
      <c r="I2797" t="str">
        <f t="shared" si="279"/>
        <v>06978161005</v>
      </c>
      <c r="K2797" t="str">
        <f>""</f>
        <v/>
      </c>
      <c r="M2797" t="s">
        <v>68</v>
      </c>
      <c r="N2797" t="str">
        <f t="shared" si="277"/>
        <v>FOR</v>
      </c>
      <c r="O2797" t="s">
        <v>69</v>
      </c>
      <c r="P2797" s="3" t="s">
        <v>322</v>
      </c>
      <c r="Q2797">
        <v>2016</v>
      </c>
      <c r="R2797" s="2">
        <v>42685</v>
      </c>
      <c r="S2797" s="2">
        <v>42685</v>
      </c>
      <c r="T2797" s="2">
        <v>42685</v>
      </c>
      <c r="U2797" s="2">
        <v>42745</v>
      </c>
      <c r="V2797" t="s">
        <v>71</v>
      </c>
      <c r="W2797" t="str">
        <f>"                 261"</f>
        <v xml:space="preserve">                 261</v>
      </c>
      <c r="X2797">
        <v>0</v>
      </c>
      <c r="Y2797" s="1">
        <v>14959.69</v>
      </c>
      <c r="Z2797" s="5">
        <v>14959.69</v>
      </c>
      <c r="AA2797">
        <v>-53</v>
      </c>
      <c r="AB2797" s="5">
        <v>-792863.57</v>
      </c>
      <c r="AC2797" s="1">
        <v>14959.69</v>
      </c>
      <c r="AD2797">
        <v>-53</v>
      </c>
      <c r="AE2797" s="1">
        <v>-792863.57</v>
      </c>
      <c r="AF2797">
        <v>0</v>
      </c>
      <c r="AJ2797" s="1">
        <v>14959.69</v>
      </c>
      <c r="AK2797" s="1">
        <v>14959.69</v>
      </c>
      <c r="AL2797" s="1">
        <v>14959.69</v>
      </c>
      <c r="AM2797" s="1">
        <v>14959.69</v>
      </c>
      <c r="AN2797" s="1">
        <v>14959.69</v>
      </c>
      <c r="AO2797" s="1">
        <v>14959.69</v>
      </c>
      <c r="AP2797" s="2">
        <v>42746</v>
      </c>
      <c r="AQ2797" t="s">
        <v>72</v>
      </c>
      <c r="AR2797" t="s">
        <v>72</v>
      </c>
      <c r="AS2797">
        <v>3161</v>
      </c>
      <c r="AT2797" s="4">
        <v>42692</v>
      </c>
      <c r="AV2797">
        <v>3161</v>
      </c>
      <c r="AW2797" s="4">
        <v>42692</v>
      </c>
      <c r="BD2797">
        <v>0</v>
      </c>
      <c r="BN2797" t="s">
        <v>74</v>
      </c>
    </row>
    <row r="2798" spans="1:66" hidden="1">
      <c r="A2798">
        <v>100906</v>
      </c>
      <c r="B2798" s="3" t="s">
        <v>257</v>
      </c>
      <c r="C2798" s="1">
        <v>43300101</v>
      </c>
      <c r="D2798" t="s">
        <v>67</v>
      </c>
      <c r="H2798" t="str">
        <f t="shared" si="279"/>
        <v>06978161005</v>
      </c>
      <c r="I2798" t="str">
        <f t="shared" si="279"/>
        <v>06978161005</v>
      </c>
      <c r="K2798" t="str">
        <f>""</f>
        <v/>
      </c>
      <c r="M2798" t="s">
        <v>68</v>
      </c>
      <c r="N2798" t="str">
        <f t="shared" si="277"/>
        <v>FOR</v>
      </c>
      <c r="O2798" t="s">
        <v>69</v>
      </c>
      <c r="P2798" s="3" t="s">
        <v>323</v>
      </c>
      <c r="Q2798">
        <v>2016</v>
      </c>
      <c r="R2798" s="2">
        <v>42692</v>
      </c>
      <c r="S2798" s="2">
        <v>42692</v>
      </c>
      <c r="T2798" s="2">
        <v>42692</v>
      </c>
      <c r="U2798" s="2">
        <v>42752</v>
      </c>
      <c r="V2798" t="s">
        <v>71</v>
      </c>
      <c r="W2798" t="str">
        <f>"                 264"</f>
        <v xml:space="preserve">                 264</v>
      </c>
      <c r="X2798">
        <v>0</v>
      </c>
      <c r="Y2798">
        <v>395.67</v>
      </c>
      <c r="Z2798" s="3">
        <v>395.67</v>
      </c>
      <c r="AA2798">
        <v>-60</v>
      </c>
      <c r="AB2798" s="5">
        <v>-23740.2</v>
      </c>
      <c r="AC2798">
        <v>395.67</v>
      </c>
      <c r="AD2798">
        <v>-60</v>
      </c>
      <c r="AE2798" s="1">
        <v>-23740.2</v>
      </c>
      <c r="AF2798">
        <v>0</v>
      </c>
      <c r="AJ2798">
        <v>395.67</v>
      </c>
      <c r="AK2798">
        <v>395.67</v>
      </c>
      <c r="AL2798">
        <v>395.67</v>
      </c>
      <c r="AM2798">
        <v>395.67</v>
      </c>
      <c r="AN2798">
        <v>395.67</v>
      </c>
      <c r="AO2798">
        <v>395.67</v>
      </c>
      <c r="AP2798" s="2">
        <v>42746</v>
      </c>
      <c r="AQ2798" t="s">
        <v>72</v>
      </c>
      <c r="AR2798" t="s">
        <v>72</v>
      </c>
      <c r="AS2798">
        <v>3162</v>
      </c>
      <c r="AT2798" s="4">
        <v>42692</v>
      </c>
      <c r="AV2798">
        <v>3162</v>
      </c>
      <c r="AW2798" s="4">
        <v>42692</v>
      </c>
      <c r="BD2798">
        <v>0</v>
      </c>
      <c r="BN2798" t="s">
        <v>74</v>
      </c>
    </row>
    <row r="2799" spans="1:66" hidden="1">
      <c r="A2799">
        <v>100906</v>
      </c>
      <c r="B2799" s="3" t="s">
        <v>257</v>
      </c>
      <c r="C2799" s="1">
        <v>43300101</v>
      </c>
      <c r="D2799" t="s">
        <v>67</v>
      </c>
      <c r="H2799" t="str">
        <f t="shared" si="279"/>
        <v>06978161005</v>
      </c>
      <c r="I2799" t="str">
        <f t="shared" si="279"/>
        <v>06978161005</v>
      </c>
      <c r="K2799" t="str">
        <f>""</f>
        <v/>
      </c>
      <c r="M2799" t="s">
        <v>68</v>
      </c>
      <c r="N2799" t="str">
        <f t="shared" si="277"/>
        <v>FOR</v>
      </c>
      <c r="O2799" t="s">
        <v>69</v>
      </c>
      <c r="P2799" s="3" t="s">
        <v>319</v>
      </c>
      <c r="Q2799">
        <v>2016</v>
      </c>
      <c r="R2799" s="2">
        <v>42692</v>
      </c>
      <c r="S2799" s="2">
        <v>42692</v>
      </c>
      <c r="T2799" s="2">
        <v>42692</v>
      </c>
      <c r="U2799" s="2">
        <v>42752</v>
      </c>
      <c r="V2799" t="s">
        <v>71</v>
      </c>
      <c r="W2799" t="str">
        <f>"                 265"</f>
        <v xml:space="preserve">                 265</v>
      </c>
      <c r="X2799">
        <v>0</v>
      </c>
      <c r="Y2799">
        <v>165.99</v>
      </c>
      <c r="Z2799" s="3">
        <v>165.99</v>
      </c>
      <c r="AA2799">
        <v>-60</v>
      </c>
      <c r="AB2799" s="5">
        <v>-9959.4</v>
      </c>
      <c r="AC2799">
        <v>165.99</v>
      </c>
      <c r="AD2799">
        <v>-60</v>
      </c>
      <c r="AE2799" s="1">
        <v>-9959.4</v>
      </c>
      <c r="AF2799">
        <v>0</v>
      </c>
      <c r="AJ2799">
        <v>165.99</v>
      </c>
      <c r="AK2799">
        <v>165.99</v>
      </c>
      <c r="AL2799">
        <v>165.99</v>
      </c>
      <c r="AM2799">
        <v>165.99</v>
      </c>
      <c r="AN2799">
        <v>165.99</v>
      </c>
      <c r="AO2799">
        <v>165.99</v>
      </c>
      <c r="AP2799" s="2">
        <v>42746</v>
      </c>
      <c r="AQ2799" t="s">
        <v>72</v>
      </c>
      <c r="AR2799" t="s">
        <v>72</v>
      </c>
      <c r="AS2799">
        <v>3162</v>
      </c>
      <c r="AT2799" s="4">
        <v>42692</v>
      </c>
      <c r="AV2799">
        <v>3162</v>
      </c>
      <c r="AW2799" s="4">
        <v>42692</v>
      </c>
      <c r="BD2799">
        <v>0</v>
      </c>
      <c r="BN2799" t="s">
        <v>74</v>
      </c>
    </row>
    <row r="2800" spans="1:66" hidden="1">
      <c r="A2800">
        <v>100906</v>
      </c>
      <c r="B2800" s="3" t="s">
        <v>257</v>
      </c>
      <c r="C2800" s="1">
        <v>43300101</v>
      </c>
      <c r="D2800" t="s">
        <v>67</v>
      </c>
      <c r="H2800" t="str">
        <f t="shared" si="279"/>
        <v>06978161005</v>
      </c>
      <c r="I2800" t="str">
        <f t="shared" si="279"/>
        <v>06978161005</v>
      </c>
      <c r="K2800" t="str">
        <f>""</f>
        <v/>
      </c>
      <c r="M2800" t="s">
        <v>68</v>
      </c>
      <c r="N2800" t="str">
        <f t="shared" si="277"/>
        <v>FOR</v>
      </c>
      <c r="O2800" t="s">
        <v>69</v>
      </c>
      <c r="P2800" s="3" t="s">
        <v>324</v>
      </c>
      <c r="Q2800">
        <v>2016</v>
      </c>
      <c r="R2800" s="2">
        <v>42692</v>
      </c>
      <c r="S2800" s="2">
        <v>42692</v>
      </c>
      <c r="T2800" s="2">
        <v>42692</v>
      </c>
      <c r="U2800" s="2">
        <v>42752</v>
      </c>
      <c r="V2800" t="s">
        <v>71</v>
      </c>
      <c r="W2800" t="str">
        <f>"                 266"</f>
        <v xml:space="preserve">                 266</v>
      </c>
      <c r="X2800">
        <v>0</v>
      </c>
      <c r="Y2800">
        <v>202.56</v>
      </c>
      <c r="Z2800" s="3">
        <v>202.56</v>
      </c>
      <c r="AA2800">
        <v>-60</v>
      </c>
      <c r="AB2800" s="5">
        <v>-12153.6</v>
      </c>
      <c r="AC2800">
        <v>202.56</v>
      </c>
      <c r="AD2800">
        <v>-60</v>
      </c>
      <c r="AE2800" s="1">
        <v>-12153.6</v>
      </c>
      <c r="AF2800">
        <v>0</v>
      </c>
      <c r="AJ2800">
        <v>202.56</v>
      </c>
      <c r="AK2800">
        <v>202.56</v>
      </c>
      <c r="AL2800">
        <v>202.56</v>
      </c>
      <c r="AM2800">
        <v>202.56</v>
      </c>
      <c r="AN2800">
        <v>202.56</v>
      </c>
      <c r="AO2800">
        <v>202.56</v>
      </c>
      <c r="AP2800" s="2">
        <v>42746</v>
      </c>
      <c r="AQ2800" t="s">
        <v>72</v>
      </c>
      <c r="AR2800" t="s">
        <v>72</v>
      </c>
      <c r="AS2800">
        <v>3162</v>
      </c>
      <c r="AT2800" s="4">
        <v>42692</v>
      </c>
      <c r="AV2800">
        <v>3162</v>
      </c>
      <c r="AW2800" s="4">
        <v>42692</v>
      </c>
      <c r="BD2800">
        <v>0</v>
      </c>
      <c r="BN2800" t="s">
        <v>74</v>
      </c>
    </row>
    <row r="2801" spans="1:66" hidden="1">
      <c r="A2801">
        <v>100906</v>
      </c>
      <c r="B2801" s="3" t="s">
        <v>257</v>
      </c>
      <c r="C2801" s="1">
        <v>43300101</v>
      </c>
      <c r="D2801" t="s">
        <v>67</v>
      </c>
      <c r="H2801" t="str">
        <f t="shared" si="279"/>
        <v>06978161005</v>
      </c>
      <c r="I2801" t="str">
        <f t="shared" si="279"/>
        <v>06978161005</v>
      </c>
      <c r="K2801" t="str">
        <f>""</f>
        <v/>
      </c>
      <c r="M2801" t="s">
        <v>68</v>
      </c>
      <c r="N2801" t="str">
        <f t="shared" si="277"/>
        <v>FOR</v>
      </c>
      <c r="O2801" t="s">
        <v>69</v>
      </c>
      <c r="P2801" s="3" t="s">
        <v>320</v>
      </c>
      <c r="Q2801">
        <v>2016</v>
      </c>
      <c r="R2801" s="2">
        <v>42692</v>
      </c>
      <c r="S2801" s="2">
        <v>42692</v>
      </c>
      <c r="T2801" s="2">
        <v>42692</v>
      </c>
      <c r="U2801" s="2">
        <v>42752</v>
      </c>
      <c r="V2801" t="s">
        <v>71</v>
      </c>
      <c r="W2801" t="str">
        <f>"                 267"</f>
        <v xml:space="preserve">                 267</v>
      </c>
      <c r="X2801">
        <v>0</v>
      </c>
      <c r="Y2801">
        <v>130.13999999999999</v>
      </c>
      <c r="Z2801" s="3">
        <v>130.13999999999999</v>
      </c>
      <c r="AA2801">
        <v>-60</v>
      </c>
      <c r="AB2801" s="5">
        <v>-7808.4</v>
      </c>
      <c r="AC2801">
        <v>130.13999999999999</v>
      </c>
      <c r="AD2801">
        <v>-60</v>
      </c>
      <c r="AE2801" s="1">
        <v>-7808.4</v>
      </c>
      <c r="AF2801">
        <v>0</v>
      </c>
      <c r="AJ2801">
        <v>130.13999999999999</v>
      </c>
      <c r="AK2801">
        <v>130.13999999999999</v>
      </c>
      <c r="AL2801">
        <v>130.13999999999999</v>
      </c>
      <c r="AM2801">
        <v>130.13999999999999</v>
      </c>
      <c r="AN2801">
        <v>130.13999999999999</v>
      </c>
      <c r="AO2801">
        <v>130.13999999999999</v>
      </c>
      <c r="AP2801" s="2">
        <v>42746</v>
      </c>
      <c r="AQ2801" t="s">
        <v>72</v>
      </c>
      <c r="AR2801" t="s">
        <v>72</v>
      </c>
      <c r="AS2801">
        <v>3162</v>
      </c>
      <c r="AT2801" s="4">
        <v>42692</v>
      </c>
      <c r="AV2801">
        <v>3162</v>
      </c>
      <c r="AW2801" s="4">
        <v>42692</v>
      </c>
      <c r="BD2801">
        <v>0</v>
      </c>
      <c r="BN2801" t="s">
        <v>74</v>
      </c>
    </row>
    <row r="2802" spans="1:66" hidden="1">
      <c r="A2802">
        <v>100906</v>
      </c>
      <c r="B2802" s="3" t="s">
        <v>257</v>
      </c>
      <c r="C2802" s="1">
        <v>43300101</v>
      </c>
      <c r="D2802" t="s">
        <v>67</v>
      </c>
      <c r="H2802" t="str">
        <f t="shared" si="279"/>
        <v>06978161005</v>
      </c>
      <c r="I2802" t="str">
        <f t="shared" si="279"/>
        <v>06978161005</v>
      </c>
      <c r="K2802" t="str">
        <f>""</f>
        <v/>
      </c>
      <c r="M2802" t="s">
        <v>68</v>
      </c>
      <c r="N2802" t="str">
        <f t="shared" si="277"/>
        <v>FOR</v>
      </c>
      <c r="O2802" t="s">
        <v>69</v>
      </c>
      <c r="P2802" s="3" t="s">
        <v>325</v>
      </c>
      <c r="Q2802">
        <v>2016</v>
      </c>
      <c r="R2802" s="2">
        <v>42692</v>
      </c>
      <c r="S2802" s="2">
        <v>42692</v>
      </c>
      <c r="T2802" s="2">
        <v>42692</v>
      </c>
      <c r="U2802" s="2">
        <v>42752</v>
      </c>
      <c r="V2802" t="s">
        <v>71</v>
      </c>
      <c r="W2802" t="str">
        <f>"                 268"</f>
        <v xml:space="preserve">                 268</v>
      </c>
      <c r="X2802">
        <v>0</v>
      </c>
      <c r="Y2802">
        <v>90</v>
      </c>
      <c r="Z2802" s="3">
        <v>90</v>
      </c>
      <c r="AA2802">
        <v>-60</v>
      </c>
      <c r="AB2802" s="5">
        <v>-5400</v>
      </c>
      <c r="AC2802">
        <v>90</v>
      </c>
      <c r="AD2802">
        <v>-60</v>
      </c>
      <c r="AE2802" s="1">
        <v>-5400</v>
      </c>
      <c r="AF2802">
        <v>0</v>
      </c>
      <c r="AJ2802">
        <v>90</v>
      </c>
      <c r="AK2802">
        <v>90</v>
      </c>
      <c r="AL2802">
        <v>90</v>
      </c>
      <c r="AM2802">
        <v>90</v>
      </c>
      <c r="AN2802">
        <v>90</v>
      </c>
      <c r="AO2802">
        <v>90</v>
      </c>
      <c r="AP2802" s="2">
        <v>42746</v>
      </c>
      <c r="AQ2802" t="s">
        <v>72</v>
      </c>
      <c r="AR2802" t="s">
        <v>72</v>
      </c>
      <c r="AS2802">
        <v>3162</v>
      </c>
      <c r="AT2802" s="4">
        <v>42692</v>
      </c>
      <c r="AV2802">
        <v>3162</v>
      </c>
      <c r="AW2802" s="4">
        <v>42692</v>
      </c>
      <c r="BD2802">
        <v>0</v>
      </c>
      <c r="BN2802" t="s">
        <v>74</v>
      </c>
    </row>
    <row r="2803" spans="1:66" hidden="1">
      <c r="A2803">
        <v>100906</v>
      </c>
      <c r="B2803" s="3" t="s">
        <v>257</v>
      </c>
      <c r="C2803" s="1">
        <v>43300101</v>
      </c>
      <c r="D2803" t="s">
        <v>67</v>
      </c>
      <c r="H2803" t="str">
        <f t="shared" si="279"/>
        <v>06978161005</v>
      </c>
      <c r="I2803" t="str">
        <f t="shared" si="279"/>
        <v>06978161005</v>
      </c>
      <c r="K2803" t="str">
        <f>""</f>
        <v/>
      </c>
      <c r="M2803" t="s">
        <v>68</v>
      </c>
      <c r="N2803" t="str">
        <f t="shared" si="277"/>
        <v>FOR</v>
      </c>
      <c r="O2803" t="s">
        <v>69</v>
      </c>
      <c r="P2803" s="3" t="s">
        <v>326</v>
      </c>
      <c r="Q2803">
        <v>2016</v>
      </c>
      <c r="R2803" s="2">
        <v>42706</v>
      </c>
      <c r="S2803" s="2">
        <v>42706</v>
      </c>
      <c r="T2803" s="2">
        <v>42706</v>
      </c>
      <c r="U2803" s="2">
        <v>42766</v>
      </c>
      <c r="V2803" t="s">
        <v>71</v>
      </c>
      <c r="W2803" t="str">
        <f>"                 282"</f>
        <v xml:space="preserve">                 282</v>
      </c>
      <c r="X2803">
        <v>0</v>
      </c>
      <c r="Y2803" s="1">
        <v>14959</v>
      </c>
      <c r="Z2803" s="5">
        <v>14959</v>
      </c>
      <c r="AA2803">
        <v>-57</v>
      </c>
      <c r="AB2803" s="5">
        <v>-852663</v>
      </c>
      <c r="AC2803" s="1">
        <v>14959</v>
      </c>
      <c r="AD2803">
        <v>-57</v>
      </c>
      <c r="AE2803" s="1">
        <v>-852663</v>
      </c>
      <c r="AF2803">
        <v>0</v>
      </c>
      <c r="AJ2803" s="1">
        <v>14959</v>
      </c>
      <c r="AK2803" s="1">
        <v>14959</v>
      </c>
      <c r="AL2803" s="1">
        <v>14959</v>
      </c>
      <c r="AM2803" s="1">
        <v>14959</v>
      </c>
      <c r="AN2803" s="1">
        <v>14959</v>
      </c>
      <c r="AO2803" s="1">
        <v>14959</v>
      </c>
      <c r="AP2803" s="2">
        <v>42746</v>
      </c>
      <c r="AQ2803" t="s">
        <v>72</v>
      </c>
      <c r="AR2803" t="s">
        <v>72</v>
      </c>
      <c r="AS2803">
        <v>3313</v>
      </c>
      <c r="AT2803" s="4">
        <v>42709</v>
      </c>
      <c r="AV2803">
        <v>3313</v>
      </c>
      <c r="AW2803" s="4">
        <v>42709</v>
      </c>
      <c r="BD2803">
        <v>0</v>
      </c>
      <c r="BN2803" t="s">
        <v>74</v>
      </c>
    </row>
    <row r="2804" spans="1:66" hidden="1">
      <c r="A2804">
        <v>100906</v>
      </c>
      <c r="B2804" s="3" t="s">
        <v>257</v>
      </c>
      <c r="C2804" s="1">
        <v>43300101</v>
      </c>
      <c r="D2804" t="s">
        <v>67</v>
      </c>
      <c r="H2804" t="str">
        <f t="shared" si="279"/>
        <v>06978161005</v>
      </c>
      <c r="I2804" t="str">
        <f t="shared" si="279"/>
        <v>06978161005</v>
      </c>
      <c r="K2804" t="str">
        <f>""</f>
        <v/>
      </c>
      <c r="M2804" t="s">
        <v>68</v>
      </c>
      <c r="N2804" t="str">
        <f t="shared" si="277"/>
        <v>FOR</v>
      </c>
      <c r="O2804" t="s">
        <v>69</v>
      </c>
      <c r="P2804" s="3" t="s">
        <v>327</v>
      </c>
      <c r="Q2804">
        <v>2016</v>
      </c>
      <c r="R2804" s="2">
        <v>42710</v>
      </c>
      <c r="S2804" s="2">
        <v>42710</v>
      </c>
      <c r="T2804" s="2">
        <v>42710</v>
      </c>
      <c r="U2804" s="2">
        <v>42770</v>
      </c>
      <c r="V2804" t="s">
        <v>71</v>
      </c>
      <c r="W2804" t="str">
        <f>"                 284"</f>
        <v xml:space="preserve">                 284</v>
      </c>
      <c r="X2804">
        <v>0</v>
      </c>
      <c r="Y2804" s="1">
        <v>14959.69</v>
      </c>
      <c r="Z2804" s="5">
        <v>14959.69</v>
      </c>
      <c r="AA2804">
        <v>-60</v>
      </c>
      <c r="AB2804" s="5">
        <v>-897581.4</v>
      </c>
      <c r="AC2804" s="1">
        <v>14959.69</v>
      </c>
      <c r="AD2804">
        <v>-60</v>
      </c>
      <c r="AE2804" s="1">
        <v>-897581.4</v>
      </c>
      <c r="AF2804">
        <v>0</v>
      </c>
      <c r="AJ2804" s="1">
        <v>14959.69</v>
      </c>
      <c r="AK2804" s="1">
        <v>14959.69</v>
      </c>
      <c r="AL2804" s="1">
        <v>14959.69</v>
      </c>
      <c r="AM2804" s="1">
        <v>14959.69</v>
      </c>
      <c r="AN2804" s="1">
        <v>14959.69</v>
      </c>
      <c r="AO2804" s="1">
        <v>14959.69</v>
      </c>
      <c r="AP2804" s="2">
        <v>42746</v>
      </c>
      <c r="AQ2804" t="s">
        <v>72</v>
      </c>
      <c r="AR2804" t="s">
        <v>72</v>
      </c>
      <c r="AS2804">
        <v>3345</v>
      </c>
      <c r="AT2804" s="4">
        <v>42710</v>
      </c>
      <c r="AV2804">
        <v>3345</v>
      </c>
      <c r="AW2804" s="4">
        <v>42710</v>
      </c>
      <c r="BD2804">
        <v>0</v>
      </c>
      <c r="BN2804" t="s">
        <v>74</v>
      </c>
    </row>
    <row r="2805" spans="1:66" hidden="1">
      <c r="A2805">
        <v>100906</v>
      </c>
      <c r="B2805" s="3" t="s">
        <v>257</v>
      </c>
      <c r="C2805" s="1">
        <v>43300101</v>
      </c>
      <c r="D2805" t="s">
        <v>67</v>
      </c>
      <c r="H2805" t="str">
        <f t="shared" si="279"/>
        <v>06978161005</v>
      </c>
      <c r="I2805" t="str">
        <f t="shared" si="279"/>
        <v>06978161005</v>
      </c>
      <c r="K2805" t="str">
        <f>""</f>
        <v/>
      </c>
      <c r="M2805" t="s">
        <v>68</v>
      </c>
      <c r="N2805" t="str">
        <f t="shared" si="277"/>
        <v>FOR</v>
      </c>
      <c r="O2805" t="s">
        <v>69</v>
      </c>
      <c r="P2805" s="3" t="s">
        <v>328</v>
      </c>
      <c r="Q2805">
        <v>2016</v>
      </c>
      <c r="R2805" s="2">
        <v>42723</v>
      </c>
      <c r="S2805" s="2">
        <v>42723</v>
      </c>
      <c r="T2805" s="2">
        <v>42723</v>
      </c>
      <c r="U2805" s="2">
        <v>42783</v>
      </c>
      <c r="V2805" t="s">
        <v>71</v>
      </c>
      <c r="W2805" t="str">
        <f>"                 293"</f>
        <v xml:space="preserve">                 293</v>
      </c>
      <c r="X2805">
        <v>0</v>
      </c>
      <c r="Y2805">
        <v>147.31</v>
      </c>
      <c r="Z2805" s="3">
        <v>147.31</v>
      </c>
      <c r="AA2805">
        <v>-60</v>
      </c>
      <c r="AB2805" s="5">
        <v>-8838.6</v>
      </c>
      <c r="AC2805">
        <v>147.31</v>
      </c>
      <c r="AD2805">
        <v>-60</v>
      </c>
      <c r="AE2805" s="1">
        <v>-8838.6</v>
      </c>
      <c r="AF2805">
        <v>0</v>
      </c>
      <c r="AJ2805">
        <v>147.31</v>
      </c>
      <c r="AK2805">
        <v>147.31</v>
      </c>
      <c r="AL2805">
        <v>147.31</v>
      </c>
      <c r="AM2805">
        <v>147.31</v>
      </c>
      <c r="AN2805">
        <v>147.31</v>
      </c>
      <c r="AO2805">
        <v>147.31</v>
      </c>
      <c r="AP2805" s="2">
        <v>42746</v>
      </c>
      <c r="AQ2805" t="s">
        <v>72</v>
      </c>
      <c r="AR2805" t="s">
        <v>72</v>
      </c>
      <c r="AS2805">
        <v>3573</v>
      </c>
      <c r="AT2805" s="4">
        <v>42723</v>
      </c>
      <c r="AV2805">
        <v>3573</v>
      </c>
      <c r="AW2805" s="4">
        <v>42723</v>
      </c>
      <c r="BD2805">
        <v>0</v>
      </c>
      <c r="BN2805" t="s">
        <v>74</v>
      </c>
    </row>
    <row r="2806" spans="1:66" hidden="1">
      <c r="A2806">
        <v>100906</v>
      </c>
      <c r="B2806" s="3" t="s">
        <v>257</v>
      </c>
      <c r="C2806" s="1">
        <v>43300101</v>
      </c>
      <c r="D2806" t="s">
        <v>67</v>
      </c>
      <c r="H2806" t="str">
        <f t="shared" si="279"/>
        <v>06978161005</v>
      </c>
      <c r="I2806" t="str">
        <f t="shared" si="279"/>
        <v>06978161005</v>
      </c>
      <c r="K2806" t="str">
        <f>""</f>
        <v/>
      </c>
      <c r="M2806" t="s">
        <v>68</v>
      </c>
      <c r="N2806" t="str">
        <f t="shared" si="277"/>
        <v>FOR</v>
      </c>
      <c r="O2806" t="s">
        <v>69</v>
      </c>
      <c r="P2806" s="3" t="s">
        <v>289</v>
      </c>
      <c r="Q2806">
        <v>2016</v>
      </c>
      <c r="R2806" s="2">
        <v>42723</v>
      </c>
      <c r="S2806" s="2">
        <v>42723</v>
      </c>
      <c r="T2806" s="2">
        <v>42723</v>
      </c>
      <c r="U2806" s="2">
        <v>42783</v>
      </c>
      <c r="V2806" t="s">
        <v>71</v>
      </c>
      <c r="W2806" t="str">
        <f>"                 294"</f>
        <v xml:space="preserve">                 294</v>
      </c>
      <c r="X2806">
        <v>0</v>
      </c>
      <c r="Y2806">
        <v>170.97</v>
      </c>
      <c r="Z2806" s="3">
        <v>170.97</v>
      </c>
      <c r="AA2806">
        <v>-60</v>
      </c>
      <c r="AB2806" s="5">
        <v>-10258.200000000001</v>
      </c>
      <c r="AC2806">
        <v>170.97</v>
      </c>
      <c r="AD2806">
        <v>-60</v>
      </c>
      <c r="AE2806" s="1">
        <v>-10258.200000000001</v>
      </c>
      <c r="AF2806">
        <v>0</v>
      </c>
      <c r="AJ2806">
        <v>170.97</v>
      </c>
      <c r="AK2806">
        <v>170.97</v>
      </c>
      <c r="AL2806">
        <v>170.97</v>
      </c>
      <c r="AM2806">
        <v>170.97</v>
      </c>
      <c r="AN2806">
        <v>170.97</v>
      </c>
      <c r="AO2806">
        <v>170.97</v>
      </c>
      <c r="AP2806" s="2">
        <v>42746</v>
      </c>
      <c r="AQ2806" t="s">
        <v>72</v>
      </c>
      <c r="AR2806" t="s">
        <v>72</v>
      </c>
      <c r="AS2806">
        <v>3573</v>
      </c>
      <c r="AT2806" s="4">
        <v>42723</v>
      </c>
      <c r="AV2806">
        <v>3573</v>
      </c>
      <c r="AW2806" s="4">
        <v>42723</v>
      </c>
      <c r="BD2806">
        <v>0</v>
      </c>
      <c r="BN2806" t="s">
        <v>74</v>
      </c>
    </row>
    <row r="2807" spans="1:66" hidden="1">
      <c r="A2807">
        <v>100906</v>
      </c>
      <c r="B2807" s="3" t="s">
        <v>257</v>
      </c>
      <c r="C2807" s="1">
        <v>43300101</v>
      </c>
      <c r="D2807" t="s">
        <v>67</v>
      </c>
      <c r="H2807" t="str">
        <f t="shared" si="279"/>
        <v>06978161005</v>
      </c>
      <c r="I2807" t="str">
        <f t="shared" si="279"/>
        <v>06978161005</v>
      </c>
      <c r="K2807" t="str">
        <f>""</f>
        <v/>
      </c>
      <c r="M2807" t="s">
        <v>68</v>
      </c>
      <c r="N2807" t="str">
        <f t="shared" si="277"/>
        <v>FOR</v>
      </c>
      <c r="O2807" t="s">
        <v>69</v>
      </c>
      <c r="P2807" s="3" t="s">
        <v>281</v>
      </c>
      <c r="Q2807">
        <v>2016</v>
      </c>
      <c r="R2807" s="2">
        <v>42723</v>
      </c>
      <c r="S2807" s="2">
        <v>42723</v>
      </c>
      <c r="T2807" s="2">
        <v>42723</v>
      </c>
      <c r="U2807" s="2">
        <v>42783</v>
      </c>
      <c r="V2807" t="s">
        <v>71</v>
      </c>
      <c r="W2807" t="str">
        <f>"                 295"</f>
        <v xml:space="preserve">                 295</v>
      </c>
      <c r="X2807">
        <v>0</v>
      </c>
      <c r="Y2807">
        <v>385.84</v>
      </c>
      <c r="Z2807" s="3">
        <v>385.84</v>
      </c>
      <c r="AA2807">
        <v>-60</v>
      </c>
      <c r="AB2807" s="5">
        <v>-23150.400000000001</v>
      </c>
      <c r="AC2807">
        <v>385.84</v>
      </c>
      <c r="AD2807">
        <v>-60</v>
      </c>
      <c r="AE2807" s="1">
        <v>-23150.400000000001</v>
      </c>
      <c r="AF2807">
        <v>0</v>
      </c>
      <c r="AJ2807">
        <v>385.84</v>
      </c>
      <c r="AK2807">
        <v>385.84</v>
      </c>
      <c r="AL2807">
        <v>385.84</v>
      </c>
      <c r="AM2807">
        <v>385.84</v>
      </c>
      <c r="AN2807">
        <v>385.84</v>
      </c>
      <c r="AO2807">
        <v>385.84</v>
      </c>
      <c r="AP2807" s="2">
        <v>42746</v>
      </c>
      <c r="AQ2807" t="s">
        <v>72</v>
      </c>
      <c r="AR2807" t="s">
        <v>72</v>
      </c>
      <c r="AS2807">
        <v>3573</v>
      </c>
      <c r="AT2807" s="4">
        <v>42723</v>
      </c>
      <c r="AV2807">
        <v>3573</v>
      </c>
      <c r="AW2807" s="4">
        <v>42723</v>
      </c>
      <c r="BD2807">
        <v>0</v>
      </c>
      <c r="BN2807" t="s">
        <v>74</v>
      </c>
    </row>
    <row r="2808" spans="1:66" hidden="1">
      <c r="A2808">
        <v>100906</v>
      </c>
      <c r="B2808" s="3" t="s">
        <v>257</v>
      </c>
      <c r="C2808" s="1">
        <v>43300101</v>
      </c>
      <c r="D2808" t="s">
        <v>67</v>
      </c>
      <c r="H2808" t="str">
        <f t="shared" si="279"/>
        <v>06978161005</v>
      </c>
      <c r="I2808" t="str">
        <f t="shared" si="279"/>
        <v>06978161005</v>
      </c>
      <c r="K2808" t="str">
        <f>""</f>
        <v/>
      </c>
      <c r="M2808" t="s">
        <v>68</v>
      </c>
      <c r="N2808" t="str">
        <f t="shared" si="277"/>
        <v>FOR</v>
      </c>
      <c r="O2808" t="s">
        <v>69</v>
      </c>
      <c r="P2808" s="3" t="s">
        <v>289</v>
      </c>
      <c r="Q2808">
        <v>2016</v>
      </c>
      <c r="R2808" s="2">
        <v>42723</v>
      </c>
      <c r="S2808" s="2">
        <v>42723</v>
      </c>
      <c r="T2808" s="2">
        <v>42723</v>
      </c>
      <c r="U2808" s="2">
        <v>42783</v>
      </c>
      <c r="V2808" t="s">
        <v>71</v>
      </c>
      <c r="W2808" t="str">
        <f>"                 296"</f>
        <v xml:space="preserve">                 296</v>
      </c>
      <c r="X2808">
        <v>0</v>
      </c>
      <c r="Y2808">
        <v>145.76</v>
      </c>
      <c r="Z2808" s="3">
        <v>145.76</v>
      </c>
      <c r="AA2808">
        <v>-60</v>
      </c>
      <c r="AB2808" s="5">
        <v>-8745.6</v>
      </c>
      <c r="AC2808">
        <v>145.76</v>
      </c>
      <c r="AD2808">
        <v>-60</v>
      </c>
      <c r="AE2808" s="1">
        <v>-8745.6</v>
      </c>
      <c r="AF2808">
        <v>0</v>
      </c>
      <c r="AJ2808">
        <v>145.76</v>
      </c>
      <c r="AK2808">
        <v>145.76</v>
      </c>
      <c r="AL2808">
        <v>145.76</v>
      </c>
      <c r="AM2808">
        <v>145.76</v>
      </c>
      <c r="AN2808">
        <v>145.76</v>
      </c>
      <c r="AO2808">
        <v>145.76</v>
      </c>
      <c r="AP2808" s="2">
        <v>42746</v>
      </c>
      <c r="AQ2808" t="s">
        <v>72</v>
      </c>
      <c r="AR2808" t="s">
        <v>72</v>
      </c>
      <c r="AS2808">
        <v>3573</v>
      </c>
      <c r="AT2808" s="4">
        <v>42723</v>
      </c>
      <c r="AV2808">
        <v>3573</v>
      </c>
      <c r="AW2808" s="4">
        <v>42723</v>
      </c>
      <c r="BD2808">
        <v>0</v>
      </c>
      <c r="BN2808" t="s">
        <v>74</v>
      </c>
    </row>
    <row r="2809" spans="1:66" hidden="1">
      <c r="A2809">
        <v>100906</v>
      </c>
      <c r="B2809" s="3" t="s">
        <v>257</v>
      </c>
      <c r="C2809" s="1">
        <v>43300101</v>
      </c>
      <c r="D2809" t="s">
        <v>67</v>
      </c>
      <c r="H2809" t="str">
        <f t="shared" si="279"/>
        <v>06978161005</v>
      </c>
      <c r="I2809" t="str">
        <f t="shared" si="279"/>
        <v>06978161005</v>
      </c>
      <c r="K2809" t="str">
        <f>""</f>
        <v/>
      </c>
      <c r="M2809" t="s">
        <v>68</v>
      </c>
      <c r="N2809" t="str">
        <f t="shared" si="277"/>
        <v>FOR</v>
      </c>
      <c r="O2809" t="s">
        <v>69</v>
      </c>
      <c r="P2809" s="3" t="s">
        <v>329</v>
      </c>
      <c r="Q2809">
        <v>2016</v>
      </c>
      <c r="R2809" s="2">
        <v>42723</v>
      </c>
      <c r="S2809" s="2">
        <v>42723</v>
      </c>
      <c r="T2809" s="2">
        <v>42723</v>
      </c>
      <c r="U2809" s="2">
        <v>42783</v>
      </c>
      <c r="V2809" t="s">
        <v>71</v>
      </c>
      <c r="W2809" t="str">
        <f>"                 297"</f>
        <v xml:space="preserve">                 297</v>
      </c>
      <c r="X2809">
        <v>0</v>
      </c>
      <c r="Y2809">
        <v>90</v>
      </c>
      <c r="Z2809" s="3">
        <v>90</v>
      </c>
      <c r="AA2809">
        <v>-60</v>
      </c>
      <c r="AB2809" s="5">
        <v>-5400</v>
      </c>
      <c r="AC2809">
        <v>90</v>
      </c>
      <c r="AD2809">
        <v>-60</v>
      </c>
      <c r="AE2809" s="1">
        <v>-5400</v>
      </c>
      <c r="AF2809">
        <v>0</v>
      </c>
      <c r="AJ2809">
        <v>90</v>
      </c>
      <c r="AK2809">
        <v>90</v>
      </c>
      <c r="AL2809">
        <v>90</v>
      </c>
      <c r="AM2809">
        <v>90</v>
      </c>
      <c r="AN2809">
        <v>90</v>
      </c>
      <c r="AO2809">
        <v>90</v>
      </c>
      <c r="AP2809" s="2">
        <v>42746</v>
      </c>
      <c r="AQ2809" t="s">
        <v>72</v>
      </c>
      <c r="AR2809" t="s">
        <v>72</v>
      </c>
      <c r="AS2809">
        <v>3573</v>
      </c>
      <c r="AT2809" s="4">
        <v>42723</v>
      </c>
      <c r="AV2809">
        <v>3573</v>
      </c>
      <c r="AW2809" s="4">
        <v>42723</v>
      </c>
      <c r="BD2809">
        <v>0</v>
      </c>
      <c r="BN2809" t="s">
        <v>74</v>
      </c>
    </row>
    <row r="2810" spans="1:66" hidden="1">
      <c r="A2810">
        <v>100906</v>
      </c>
      <c r="B2810" s="3" t="s">
        <v>257</v>
      </c>
      <c r="C2810" s="1">
        <v>43300101</v>
      </c>
      <c r="D2810" t="s">
        <v>67</v>
      </c>
      <c r="H2810" t="str">
        <f t="shared" si="279"/>
        <v>06978161005</v>
      </c>
      <c r="I2810" t="str">
        <f t="shared" si="279"/>
        <v>06978161005</v>
      </c>
      <c r="K2810" t="str">
        <f>""</f>
        <v/>
      </c>
      <c r="M2810" t="s">
        <v>68</v>
      </c>
      <c r="N2810" t="str">
        <f t="shared" si="277"/>
        <v>FOR</v>
      </c>
      <c r="O2810" t="s">
        <v>69</v>
      </c>
      <c r="P2810" s="3" t="s">
        <v>330</v>
      </c>
      <c r="Q2810">
        <v>2016</v>
      </c>
      <c r="R2810" s="2">
        <v>42725</v>
      </c>
      <c r="S2810" s="2">
        <v>42725</v>
      </c>
      <c r="T2810" s="2">
        <v>42725</v>
      </c>
      <c r="U2810" s="2">
        <v>42784</v>
      </c>
      <c r="V2810" t="s">
        <v>71</v>
      </c>
      <c r="W2810" t="str">
        <f>"                 301"</f>
        <v xml:space="preserve">                 301</v>
      </c>
      <c r="X2810">
        <v>0</v>
      </c>
      <c r="Y2810" s="1">
        <v>14959.06</v>
      </c>
      <c r="Z2810" s="5">
        <v>14959.06</v>
      </c>
      <c r="AA2810">
        <v>-59</v>
      </c>
      <c r="AB2810" s="5">
        <v>-882584.54</v>
      </c>
      <c r="AC2810" s="1">
        <v>14959.06</v>
      </c>
      <c r="AD2810">
        <v>-59</v>
      </c>
      <c r="AE2810" s="1">
        <v>-882584.54</v>
      </c>
      <c r="AF2810">
        <v>0</v>
      </c>
      <c r="AJ2810" s="1">
        <v>14959.06</v>
      </c>
      <c r="AK2810" s="1">
        <v>14959.06</v>
      </c>
      <c r="AL2810" s="1">
        <v>14959.06</v>
      </c>
      <c r="AM2810" s="1">
        <v>14959.06</v>
      </c>
      <c r="AN2810" s="1">
        <v>14959.06</v>
      </c>
      <c r="AO2810" s="1">
        <v>14959.06</v>
      </c>
      <c r="AP2810" s="2">
        <v>42746</v>
      </c>
      <c r="AQ2810" t="s">
        <v>72</v>
      </c>
      <c r="AR2810" t="s">
        <v>72</v>
      </c>
      <c r="AS2810">
        <v>3651</v>
      </c>
      <c r="AT2810" s="4">
        <v>42725</v>
      </c>
      <c r="AV2810">
        <v>3651</v>
      </c>
      <c r="AW2810" s="4">
        <v>42725</v>
      </c>
      <c r="BD2810">
        <v>0</v>
      </c>
      <c r="BN2810" t="s">
        <v>74</v>
      </c>
    </row>
    <row r="2811" spans="1:66" hidden="1">
      <c r="A2811">
        <v>100916</v>
      </c>
      <c r="B2811" s="3" t="s">
        <v>331</v>
      </c>
      <c r="C2811" s="1">
        <v>43300101</v>
      </c>
      <c r="D2811" t="s">
        <v>67</v>
      </c>
      <c r="H2811" t="str">
        <f t="shared" ref="H2811:I2838" si="280">"06117251212"</f>
        <v>06117251212</v>
      </c>
      <c r="I2811" t="str">
        <f t="shared" si="280"/>
        <v>06117251212</v>
      </c>
      <c r="K2811" t="str">
        <f>""</f>
        <v/>
      </c>
      <c r="M2811" t="s">
        <v>68</v>
      </c>
      <c r="N2811" t="str">
        <f t="shared" si="277"/>
        <v>FOR</v>
      </c>
      <c r="O2811" t="s">
        <v>69</v>
      </c>
      <c r="P2811" s="3" t="s">
        <v>70</v>
      </c>
      <c r="Q2811">
        <v>2015</v>
      </c>
      <c r="R2811" s="2">
        <v>42039</v>
      </c>
      <c r="S2811" s="2">
        <v>42045</v>
      </c>
      <c r="T2811" s="2">
        <v>42045</v>
      </c>
      <c r="U2811" s="2">
        <v>42105</v>
      </c>
      <c r="V2811" t="s">
        <v>71</v>
      </c>
      <c r="W2811" t="str">
        <f>"                   9"</f>
        <v xml:space="preserve">                   9</v>
      </c>
      <c r="X2811" s="1">
        <v>36600</v>
      </c>
      <c r="Y2811">
        <v>0</v>
      </c>
      <c r="Z2811"/>
      <c r="AB2811"/>
      <c r="AC2811" s="1">
        <v>30000</v>
      </c>
      <c r="AD2811">
        <v>298</v>
      </c>
      <c r="AE2811" s="1">
        <v>8940000</v>
      </c>
      <c r="AF2811">
        <v>0</v>
      </c>
      <c r="AJ2811">
        <v>0</v>
      </c>
      <c r="AK2811">
        <v>0</v>
      </c>
      <c r="AL2811">
        <v>0</v>
      </c>
      <c r="AM2811">
        <v>0</v>
      </c>
      <c r="AN2811">
        <v>0</v>
      </c>
      <c r="AO2811">
        <v>0</v>
      </c>
      <c r="AP2811" s="2">
        <v>42746</v>
      </c>
      <c r="AQ2811" t="s">
        <v>72</v>
      </c>
      <c r="AR2811" t="s">
        <v>72</v>
      </c>
      <c r="AS2811">
        <v>225</v>
      </c>
      <c r="AT2811" s="4">
        <v>42403</v>
      </c>
      <c r="AU2811" t="s">
        <v>73</v>
      </c>
      <c r="AV2811">
        <v>225</v>
      </c>
      <c r="AW2811" s="4">
        <v>42403</v>
      </c>
      <c r="BD2811">
        <v>0</v>
      </c>
      <c r="BN2811" t="s">
        <v>74</v>
      </c>
    </row>
    <row r="2812" spans="1:66" hidden="1">
      <c r="A2812">
        <v>100916</v>
      </c>
      <c r="B2812" s="3" t="s">
        <v>331</v>
      </c>
      <c r="C2812" s="1">
        <v>43300101</v>
      </c>
      <c r="D2812" t="s">
        <v>67</v>
      </c>
      <c r="H2812" t="str">
        <f t="shared" si="280"/>
        <v>06117251212</v>
      </c>
      <c r="I2812" t="str">
        <f t="shared" si="280"/>
        <v>06117251212</v>
      </c>
      <c r="K2812" t="str">
        <f>""</f>
        <v/>
      </c>
      <c r="M2812" t="s">
        <v>68</v>
      </c>
      <c r="N2812" t="str">
        <f t="shared" si="277"/>
        <v>FOR</v>
      </c>
      <c r="O2812" t="s">
        <v>69</v>
      </c>
      <c r="P2812" s="3" t="s">
        <v>70</v>
      </c>
      <c r="Q2812">
        <v>2015</v>
      </c>
      <c r="R2812" s="2">
        <v>42040</v>
      </c>
      <c r="S2812" s="2">
        <v>42045</v>
      </c>
      <c r="T2812" s="2">
        <v>42045</v>
      </c>
      <c r="U2812" s="2">
        <v>42105</v>
      </c>
      <c r="V2812" t="s">
        <v>71</v>
      </c>
      <c r="W2812" t="str">
        <f>"                  10"</f>
        <v xml:space="preserve">                  10</v>
      </c>
      <c r="X2812" s="1">
        <v>12844</v>
      </c>
      <c r="Y2812">
        <v>0</v>
      </c>
      <c r="Z2812"/>
      <c r="AB2812"/>
      <c r="AC2812" s="1">
        <v>12350</v>
      </c>
      <c r="AD2812">
        <v>298</v>
      </c>
      <c r="AE2812" s="1">
        <v>3680300</v>
      </c>
      <c r="AF2812">
        <v>0</v>
      </c>
      <c r="AJ2812">
        <v>0</v>
      </c>
      <c r="AK2812">
        <v>0</v>
      </c>
      <c r="AL2812">
        <v>0</v>
      </c>
      <c r="AM2812">
        <v>0</v>
      </c>
      <c r="AN2812">
        <v>0</v>
      </c>
      <c r="AO2812">
        <v>0</v>
      </c>
      <c r="AP2812" s="2">
        <v>42746</v>
      </c>
      <c r="AQ2812" t="s">
        <v>72</v>
      </c>
      <c r="AR2812" t="s">
        <v>72</v>
      </c>
      <c r="AS2812">
        <v>225</v>
      </c>
      <c r="AT2812" s="4">
        <v>42403</v>
      </c>
      <c r="AU2812" t="s">
        <v>73</v>
      </c>
      <c r="AV2812">
        <v>225</v>
      </c>
      <c r="AW2812" s="4">
        <v>42403</v>
      </c>
      <c r="BD2812">
        <v>0</v>
      </c>
      <c r="BN2812" t="s">
        <v>74</v>
      </c>
    </row>
    <row r="2813" spans="1:66" hidden="1">
      <c r="A2813">
        <v>100916</v>
      </c>
      <c r="B2813" s="3" t="s">
        <v>331</v>
      </c>
      <c r="C2813" s="1">
        <v>43300101</v>
      </c>
      <c r="D2813" t="s">
        <v>67</v>
      </c>
      <c r="H2813" t="str">
        <f t="shared" si="280"/>
        <v>06117251212</v>
      </c>
      <c r="I2813" t="str">
        <f t="shared" si="280"/>
        <v>06117251212</v>
      </c>
      <c r="K2813" t="str">
        <f>""</f>
        <v/>
      </c>
      <c r="M2813" t="s">
        <v>68</v>
      </c>
      <c r="N2813" t="str">
        <f t="shared" si="277"/>
        <v>FOR</v>
      </c>
      <c r="O2813" t="s">
        <v>69</v>
      </c>
      <c r="P2813" s="3" t="s">
        <v>70</v>
      </c>
      <c r="Q2813">
        <v>2015</v>
      </c>
      <c r="R2813" s="2">
        <v>42066</v>
      </c>
      <c r="S2813" s="2">
        <v>42080</v>
      </c>
      <c r="T2813" s="2">
        <v>42080</v>
      </c>
      <c r="U2813" s="2">
        <v>42140</v>
      </c>
      <c r="V2813" t="s">
        <v>71</v>
      </c>
      <c r="W2813" t="str">
        <f>"                  15"</f>
        <v xml:space="preserve">                  15</v>
      </c>
      <c r="X2813" s="1">
        <v>36600</v>
      </c>
      <c r="Y2813">
        <v>0</v>
      </c>
      <c r="Z2813"/>
      <c r="AB2813"/>
      <c r="AC2813" s="1">
        <v>30000</v>
      </c>
      <c r="AD2813">
        <v>276</v>
      </c>
      <c r="AE2813" s="1">
        <v>8280000</v>
      </c>
      <c r="AF2813">
        <v>0</v>
      </c>
      <c r="AJ2813">
        <v>0</v>
      </c>
      <c r="AK2813">
        <v>0</v>
      </c>
      <c r="AL2813">
        <v>0</v>
      </c>
      <c r="AM2813">
        <v>0</v>
      </c>
      <c r="AN2813">
        <v>0</v>
      </c>
      <c r="AO2813">
        <v>0</v>
      </c>
      <c r="AP2813" s="2">
        <v>42746</v>
      </c>
      <c r="AQ2813" t="s">
        <v>72</v>
      </c>
      <c r="AR2813" t="s">
        <v>72</v>
      </c>
      <c r="AS2813">
        <v>405</v>
      </c>
      <c r="AT2813" s="4">
        <v>42416</v>
      </c>
      <c r="AU2813" t="s">
        <v>73</v>
      </c>
      <c r="AV2813">
        <v>405</v>
      </c>
      <c r="AW2813" s="4">
        <v>42416</v>
      </c>
      <c r="BD2813">
        <v>0</v>
      </c>
      <c r="BN2813" t="s">
        <v>74</v>
      </c>
    </row>
    <row r="2814" spans="1:66" hidden="1">
      <c r="A2814">
        <v>100916</v>
      </c>
      <c r="B2814" s="3" t="s">
        <v>331</v>
      </c>
      <c r="C2814" s="1">
        <v>43300101</v>
      </c>
      <c r="D2814" t="s">
        <v>67</v>
      </c>
      <c r="H2814" t="str">
        <f t="shared" si="280"/>
        <v>06117251212</v>
      </c>
      <c r="I2814" t="str">
        <f t="shared" si="280"/>
        <v>06117251212</v>
      </c>
      <c r="K2814" t="str">
        <f>""</f>
        <v/>
      </c>
      <c r="M2814" t="s">
        <v>68</v>
      </c>
      <c r="N2814" t="str">
        <f t="shared" si="277"/>
        <v>FOR</v>
      </c>
      <c r="O2814" t="s">
        <v>69</v>
      </c>
      <c r="P2814" s="3" t="s">
        <v>70</v>
      </c>
      <c r="Q2814">
        <v>2015</v>
      </c>
      <c r="R2814" s="2">
        <v>42075</v>
      </c>
      <c r="S2814" s="2">
        <v>42086</v>
      </c>
      <c r="T2814" s="2">
        <v>42086</v>
      </c>
      <c r="U2814" s="2">
        <v>42146</v>
      </c>
      <c r="V2814" t="s">
        <v>71</v>
      </c>
      <c r="W2814" t="str">
        <f>"                  18"</f>
        <v xml:space="preserve">                  18</v>
      </c>
      <c r="X2814" s="1">
        <v>22069.52</v>
      </c>
      <c r="Y2814">
        <v>0</v>
      </c>
      <c r="Z2814"/>
      <c r="AB2814"/>
      <c r="AC2814" s="1">
        <v>21166</v>
      </c>
      <c r="AD2814">
        <v>270</v>
      </c>
      <c r="AE2814" s="1">
        <v>5714820</v>
      </c>
      <c r="AF2814">
        <v>0</v>
      </c>
      <c r="AJ2814">
        <v>0</v>
      </c>
      <c r="AK2814">
        <v>0</v>
      </c>
      <c r="AL2814">
        <v>0</v>
      </c>
      <c r="AM2814">
        <v>0</v>
      </c>
      <c r="AN2814">
        <v>0</v>
      </c>
      <c r="AO2814">
        <v>0</v>
      </c>
      <c r="AP2814" s="2">
        <v>42746</v>
      </c>
      <c r="AQ2814" t="s">
        <v>72</v>
      </c>
      <c r="AR2814" t="s">
        <v>72</v>
      </c>
      <c r="AS2814">
        <v>405</v>
      </c>
      <c r="AT2814" s="4">
        <v>42416</v>
      </c>
      <c r="AU2814" t="s">
        <v>73</v>
      </c>
      <c r="AV2814">
        <v>405</v>
      </c>
      <c r="AW2814" s="4">
        <v>42416</v>
      </c>
      <c r="BD2814">
        <v>0</v>
      </c>
      <c r="BN2814" t="s">
        <v>74</v>
      </c>
    </row>
    <row r="2815" spans="1:66" hidden="1">
      <c r="A2815">
        <v>100916</v>
      </c>
      <c r="B2815" s="3" t="s">
        <v>331</v>
      </c>
      <c r="C2815" s="1">
        <v>43300101</v>
      </c>
      <c r="D2815" t="s">
        <v>67</v>
      </c>
      <c r="H2815" t="str">
        <f t="shared" si="280"/>
        <v>06117251212</v>
      </c>
      <c r="I2815" t="str">
        <f t="shared" si="280"/>
        <v>06117251212</v>
      </c>
      <c r="K2815" t="str">
        <f>""</f>
        <v/>
      </c>
      <c r="M2815" t="s">
        <v>68</v>
      </c>
      <c r="N2815" t="str">
        <f t="shared" si="277"/>
        <v>FOR</v>
      </c>
      <c r="O2815" t="s">
        <v>69</v>
      </c>
      <c r="P2815" s="3" t="s">
        <v>75</v>
      </c>
      <c r="Q2815">
        <v>2015</v>
      </c>
      <c r="R2815" s="2">
        <v>42101</v>
      </c>
      <c r="S2815" s="2">
        <v>42116</v>
      </c>
      <c r="T2815" s="2">
        <v>42115</v>
      </c>
      <c r="U2815" s="2">
        <v>42175</v>
      </c>
      <c r="V2815" t="s">
        <v>71</v>
      </c>
      <c r="W2815" t="str">
        <f>"          000029/0C0"</f>
        <v xml:space="preserve">          000029/0C0</v>
      </c>
      <c r="X2815" s="1">
        <v>36600</v>
      </c>
      <c r="Y2815">
        <v>0</v>
      </c>
      <c r="Z2815"/>
      <c r="AB2815"/>
      <c r="AC2815" s="1">
        <v>30000</v>
      </c>
      <c r="AD2815">
        <v>258</v>
      </c>
      <c r="AE2815" s="1">
        <v>7740000</v>
      </c>
      <c r="AF2815">
        <v>0</v>
      </c>
      <c r="AJ2815">
        <v>0</v>
      </c>
      <c r="AK2815">
        <v>0</v>
      </c>
      <c r="AL2815">
        <v>0</v>
      </c>
      <c r="AM2815">
        <v>0</v>
      </c>
      <c r="AN2815">
        <v>0</v>
      </c>
      <c r="AO2815">
        <v>0</v>
      </c>
      <c r="AP2815" s="2">
        <v>42746</v>
      </c>
      <c r="AQ2815" t="s">
        <v>72</v>
      </c>
      <c r="AR2815" t="s">
        <v>72</v>
      </c>
      <c r="AS2815">
        <v>651</v>
      </c>
      <c r="AT2815" s="4">
        <v>42433</v>
      </c>
      <c r="AU2815" t="s">
        <v>73</v>
      </c>
      <c r="AV2815">
        <v>651</v>
      </c>
      <c r="AW2815" s="4">
        <v>42433</v>
      </c>
      <c r="BD2815">
        <v>0</v>
      </c>
      <c r="BN2815" t="s">
        <v>74</v>
      </c>
    </row>
    <row r="2816" spans="1:66" hidden="1">
      <c r="A2816">
        <v>100916</v>
      </c>
      <c r="B2816" s="3" t="s">
        <v>331</v>
      </c>
      <c r="C2816" s="1">
        <v>43300101</v>
      </c>
      <c r="D2816" t="s">
        <v>67</v>
      </c>
      <c r="H2816" t="str">
        <f t="shared" si="280"/>
        <v>06117251212</v>
      </c>
      <c r="I2816" t="str">
        <f t="shared" si="280"/>
        <v>06117251212</v>
      </c>
      <c r="K2816" t="str">
        <f>""</f>
        <v/>
      </c>
      <c r="M2816" t="s">
        <v>68</v>
      </c>
      <c r="N2816" t="str">
        <f t="shared" si="277"/>
        <v>FOR</v>
      </c>
      <c r="O2816" t="s">
        <v>69</v>
      </c>
      <c r="P2816" s="3" t="s">
        <v>75</v>
      </c>
      <c r="Q2816">
        <v>2015</v>
      </c>
      <c r="R2816" s="2">
        <v>42121</v>
      </c>
      <c r="S2816" s="2">
        <v>42142</v>
      </c>
      <c r="T2816" s="2">
        <v>42137</v>
      </c>
      <c r="U2816" s="2">
        <v>42197</v>
      </c>
      <c r="V2816" t="s">
        <v>71</v>
      </c>
      <c r="W2816" t="str">
        <f>"          000034/0C0"</f>
        <v xml:space="preserve">          000034/0C0</v>
      </c>
      <c r="X2816" s="1">
        <v>3016</v>
      </c>
      <c r="Y2816">
        <v>0</v>
      </c>
      <c r="Z2816"/>
      <c r="AB2816"/>
      <c r="AC2816" s="1">
        <v>2900</v>
      </c>
      <c r="AD2816">
        <v>236</v>
      </c>
      <c r="AE2816" s="1">
        <v>684400</v>
      </c>
      <c r="AF2816">
        <v>0</v>
      </c>
      <c r="AJ2816">
        <v>0</v>
      </c>
      <c r="AK2816">
        <v>0</v>
      </c>
      <c r="AL2816">
        <v>0</v>
      </c>
      <c r="AM2816">
        <v>0</v>
      </c>
      <c r="AN2816">
        <v>0</v>
      </c>
      <c r="AO2816">
        <v>0</v>
      </c>
      <c r="AP2816" s="2">
        <v>42746</v>
      </c>
      <c r="AQ2816" t="s">
        <v>72</v>
      </c>
      <c r="AR2816" t="s">
        <v>72</v>
      </c>
      <c r="AS2816">
        <v>651</v>
      </c>
      <c r="AT2816" s="4">
        <v>42433</v>
      </c>
      <c r="AU2816" t="s">
        <v>73</v>
      </c>
      <c r="AV2816">
        <v>651</v>
      </c>
      <c r="AW2816" s="4">
        <v>42433</v>
      </c>
      <c r="BD2816">
        <v>0</v>
      </c>
      <c r="BN2816" t="s">
        <v>74</v>
      </c>
    </row>
    <row r="2817" spans="1:66" hidden="1">
      <c r="A2817">
        <v>100916</v>
      </c>
      <c r="B2817" s="3" t="s">
        <v>331</v>
      </c>
      <c r="C2817" s="1">
        <v>43300101</v>
      </c>
      <c r="D2817" t="s">
        <v>67</v>
      </c>
      <c r="H2817" t="str">
        <f t="shared" si="280"/>
        <v>06117251212</v>
      </c>
      <c r="I2817" t="str">
        <f t="shared" si="280"/>
        <v>06117251212</v>
      </c>
      <c r="K2817" t="str">
        <f>""</f>
        <v/>
      </c>
      <c r="M2817" t="s">
        <v>68</v>
      </c>
      <c r="N2817" t="str">
        <f t="shared" si="277"/>
        <v>FOR</v>
      </c>
      <c r="O2817" t="s">
        <v>69</v>
      </c>
      <c r="P2817" s="3" t="s">
        <v>75</v>
      </c>
      <c r="Q2817">
        <v>2015</v>
      </c>
      <c r="R2817" s="2">
        <v>42122</v>
      </c>
      <c r="S2817" s="2">
        <v>42131</v>
      </c>
      <c r="T2817" s="2">
        <v>42130</v>
      </c>
      <c r="U2817" s="2">
        <v>42190</v>
      </c>
      <c r="V2817" t="s">
        <v>71</v>
      </c>
      <c r="W2817" t="str">
        <f>"          000035/0C0"</f>
        <v xml:space="preserve">          000035/0C0</v>
      </c>
      <c r="X2817" s="1">
        <v>36600</v>
      </c>
      <c r="Y2817">
        <v>0</v>
      </c>
      <c r="Z2817"/>
      <c r="AB2817"/>
      <c r="AC2817" s="1">
        <v>30000</v>
      </c>
      <c r="AD2817">
        <v>243</v>
      </c>
      <c r="AE2817" s="1">
        <v>7290000</v>
      </c>
      <c r="AF2817">
        <v>0</v>
      </c>
      <c r="AJ2817">
        <v>0</v>
      </c>
      <c r="AK2817">
        <v>0</v>
      </c>
      <c r="AL2817">
        <v>0</v>
      </c>
      <c r="AM2817">
        <v>0</v>
      </c>
      <c r="AN2817">
        <v>0</v>
      </c>
      <c r="AO2817">
        <v>0</v>
      </c>
      <c r="AP2817" s="2">
        <v>42746</v>
      </c>
      <c r="AQ2817" t="s">
        <v>72</v>
      </c>
      <c r="AR2817" t="s">
        <v>72</v>
      </c>
      <c r="AS2817">
        <v>651</v>
      </c>
      <c r="AT2817" s="4">
        <v>42433</v>
      </c>
      <c r="AU2817" t="s">
        <v>73</v>
      </c>
      <c r="AV2817">
        <v>651</v>
      </c>
      <c r="AW2817" s="4">
        <v>42433</v>
      </c>
      <c r="BD2817">
        <v>0</v>
      </c>
      <c r="BN2817" t="s">
        <v>74</v>
      </c>
    </row>
    <row r="2818" spans="1:66">
      <c r="A2818">
        <v>100916</v>
      </c>
      <c r="B2818" s="3" t="s">
        <v>331</v>
      </c>
      <c r="C2818" s="1">
        <v>43300101</v>
      </c>
      <c r="D2818" t="s">
        <v>67</v>
      </c>
      <c r="H2818" t="str">
        <f t="shared" si="280"/>
        <v>06117251212</v>
      </c>
      <c r="I2818" t="str">
        <f t="shared" si="280"/>
        <v>06117251212</v>
      </c>
      <c r="K2818" t="str">
        <f>""</f>
        <v/>
      </c>
      <c r="M2818" t="s">
        <v>68</v>
      </c>
      <c r="N2818" t="str">
        <f t="shared" si="277"/>
        <v>FOR</v>
      </c>
      <c r="O2818" t="s">
        <v>69</v>
      </c>
      <c r="P2818" s="3" t="s">
        <v>75</v>
      </c>
      <c r="Q2818">
        <v>2015</v>
      </c>
      <c r="R2818" s="2">
        <v>42145</v>
      </c>
      <c r="S2818" s="2">
        <v>42163</v>
      </c>
      <c r="T2818" s="2">
        <v>42151</v>
      </c>
      <c r="U2818" s="2">
        <v>42211</v>
      </c>
      <c r="V2818" t="s">
        <v>71</v>
      </c>
      <c r="W2818" t="str">
        <f>"          000040/0C0"</f>
        <v xml:space="preserve">          000040/0C0</v>
      </c>
      <c r="X2818" s="1">
        <v>2086.1999999999998</v>
      </c>
      <c r="Y2818">
        <v>0</v>
      </c>
      <c r="Z2818" s="5">
        <v>1710</v>
      </c>
      <c r="AA2818">
        <v>477</v>
      </c>
      <c r="AB2818" s="5">
        <v>815670</v>
      </c>
      <c r="AC2818" s="1">
        <v>1710</v>
      </c>
      <c r="AD2818">
        <v>477</v>
      </c>
      <c r="AE2818" s="1">
        <v>815670</v>
      </c>
      <c r="AF2818">
        <v>0</v>
      </c>
      <c r="AJ2818">
        <v>0</v>
      </c>
      <c r="AK2818">
        <v>0</v>
      </c>
      <c r="AL2818">
        <v>0</v>
      </c>
      <c r="AM2818">
        <v>0</v>
      </c>
      <c r="AN2818">
        <v>0</v>
      </c>
      <c r="AO2818">
        <v>0</v>
      </c>
      <c r="AP2818" s="2">
        <v>42746</v>
      </c>
      <c r="AQ2818" t="s">
        <v>72</v>
      </c>
      <c r="AR2818" t="s">
        <v>72</v>
      </c>
      <c r="AS2818">
        <v>3073</v>
      </c>
      <c r="AT2818" s="4">
        <v>42688</v>
      </c>
      <c r="AU2818" t="s">
        <v>73</v>
      </c>
      <c r="AV2818">
        <v>3073</v>
      </c>
      <c r="AW2818" s="4">
        <v>42688</v>
      </c>
      <c r="BD2818">
        <v>0</v>
      </c>
      <c r="BN2818" t="s">
        <v>74</v>
      </c>
    </row>
    <row r="2819" spans="1:66">
      <c r="A2819">
        <v>100916</v>
      </c>
      <c r="B2819" s="3" t="s">
        <v>331</v>
      </c>
      <c r="C2819" s="1">
        <v>43300101</v>
      </c>
      <c r="D2819" t="s">
        <v>67</v>
      </c>
      <c r="H2819" t="str">
        <f t="shared" si="280"/>
        <v>06117251212</v>
      </c>
      <c r="I2819" t="str">
        <f t="shared" si="280"/>
        <v>06117251212</v>
      </c>
      <c r="K2819" t="str">
        <f>""</f>
        <v/>
      </c>
      <c r="M2819" t="s">
        <v>68</v>
      </c>
      <c r="N2819" t="str">
        <f t="shared" si="277"/>
        <v>FOR</v>
      </c>
      <c r="O2819" t="s">
        <v>69</v>
      </c>
      <c r="P2819" s="3" t="s">
        <v>75</v>
      </c>
      <c r="Q2819">
        <v>2015</v>
      </c>
      <c r="R2819" s="2">
        <v>42170</v>
      </c>
      <c r="S2819" s="2">
        <v>42180</v>
      </c>
      <c r="T2819" s="2">
        <v>42177</v>
      </c>
      <c r="U2819" s="2">
        <v>42237</v>
      </c>
      <c r="V2819" t="s">
        <v>71</v>
      </c>
      <c r="W2819" t="str">
        <f>"          000043/0C0"</f>
        <v xml:space="preserve">          000043/0C0</v>
      </c>
      <c r="X2819" s="1">
        <v>7148.96</v>
      </c>
      <c r="Y2819">
        <v>0</v>
      </c>
      <c r="Z2819" s="5">
        <v>5859.8</v>
      </c>
      <c r="AA2819">
        <v>451</v>
      </c>
      <c r="AB2819" s="5">
        <v>2642769.7999999998</v>
      </c>
      <c r="AC2819" s="1">
        <v>5859.8</v>
      </c>
      <c r="AD2819">
        <v>451</v>
      </c>
      <c r="AE2819" s="1">
        <v>2642769.7999999998</v>
      </c>
      <c r="AF2819">
        <v>0</v>
      </c>
      <c r="AJ2819">
        <v>0</v>
      </c>
      <c r="AK2819">
        <v>0</v>
      </c>
      <c r="AL2819">
        <v>0</v>
      </c>
      <c r="AM2819">
        <v>0</v>
      </c>
      <c r="AN2819">
        <v>0</v>
      </c>
      <c r="AO2819">
        <v>0</v>
      </c>
      <c r="AP2819" s="2">
        <v>42746</v>
      </c>
      <c r="AQ2819" t="s">
        <v>72</v>
      </c>
      <c r="AR2819" t="s">
        <v>72</v>
      </c>
      <c r="AS2819">
        <v>3073</v>
      </c>
      <c r="AT2819" s="4">
        <v>42688</v>
      </c>
      <c r="AU2819" t="s">
        <v>73</v>
      </c>
      <c r="AV2819">
        <v>3073</v>
      </c>
      <c r="AW2819" s="4">
        <v>42688</v>
      </c>
      <c r="BD2819">
        <v>0</v>
      </c>
      <c r="BN2819" t="s">
        <v>74</v>
      </c>
    </row>
    <row r="2820" spans="1:66" hidden="1">
      <c r="A2820">
        <v>100916</v>
      </c>
      <c r="B2820" s="3" t="s">
        <v>331</v>
      </c>
      <c r="C2820" s="1">
        <v>43300101</v>
      </c>
      <c r="D2820" t="s">
        <v>67</v>
      </c>
      <c r="H2820" t="str">
        <f t="shared" si="280"/>
        <v>06117251212</v>
      </c>
      <c r="I2820" t="str">
        <f t="shared" si="280"/>
        <v>06117251212</v>
      </c>
      <c r="K2820" t="str">
        <f>""</f>
        <v/>
      </c>
      <c r="M2820" t="s">
        <v>68</v>
      </c>
      <c r="N2820" t="str">
        <f t="shared" si="277"/>
        <v>FOR</v>
      </c>
      <c r="O2820" t="s">
        <v>69</v>
      </c>
      <c r="P2820" s="3" t="s">
        <v>75</v>
      </c>
      <c r="Q2820">
        <v>2015</v>
      </c>
      <c r="R2820" s="2">
        <v>42173</v>
      </c>
      <c r="S2820" s="2">
        <v>42185</v>
      </c>
      <c r="T2820" s="2">
        <v>42181</v>
      </c>
      <c r="U2820" s="2">
        <v>42241</v>
      </c>
      <c r="V2820" t="s">
        <v>71</v>
      </c>
      <c r="W2820" t="str">
        <f>"          000044/0C0"</f>
        <v xml:space="preserve">          000044/0C0</v>
      </c>
      <c r="X2820" s="1">
        <v>36600</v>
      </c>
      <c r="Y2820">
        <v>0</v>
      </c>
      <c r="Z2820"/>
      <c r="AB2820"/>
      <c r="AC2820" s="1">
        <v>30000</v>
      </c>
      <c r="AD2820">
        <v>279</v>
      </c>
      <c r="AE2820" s="1">
        <v>8370000</v>
      </c>
      <c r="AF2820">
        <v>0</v>
      </c>
      <c r="AJ2820">
        <v>0</v>
      </c>
      <c r="AK2820">
        <v>0</v>
      </c>
      <c r="AL2820">
        <v>0</v>
      </c>
      <c r="AM2820">
        <v>0</v>
      </c>
      <c r="AN2820">
        <v>0</v>
      </c>
      <c r="AO2820">
        <v>0</v>
      </c>
      <c r="AP2820" s="2">
        <v>42746</v>
      </c>
      <c r="AQ2820" t="s">
        <v>72</v>
      </c>
      <c r="AR2820" t="s">
        <v>72</v>
      </c>
      <c r="AS2820">
        <v>1470</v>
      </c>
      <c r="AT2820" s="4">
        <v>42520</v>
      </c>
      <c r="AU2820" t="s">
        <v>73</v>
      </c>
      <c r="AV2820">
        <v>1470</v>
      </c>
      <c r="AW2820" s="4">
        <v>42520</v>
      </c>
      <c r="BD2820">
        <v>0</v>
      </c>
      <c r="BN2820" t="s">
        <v>74</v>
      </c>
    </row>
    <row r="2821" spans="1:66" hidden="1">
      <c r="A2821">
        <v>100916</v>
      </c>
      <c r="B2821" s="3" t="s">
        <v>331</v>
      </c>
      <c r="C2821" s="1">
        <v>43300101</v>
      </c>
      <c r="D2821" t="s">
        <v>67</v>
      </c>
      <c r="H2821" t="str">
        <f t="shared" si="280"/>
        <v>06117251212</v>
      </c>
      <c r="I2821" t="str">
        <f t="shared" si="280"/>
        <v>06117251212</v>
      </c>
      <c r="K2821" t="str">
        <f>""</f>
        <v/>
      </c>
      <c r="M2821" t="s">
        <v>68</v>
      </c>
      <c r="N2821" t="str">
        <f t="shared" si="277"/>
        <v>FOR</v>
      </c>
      <c r="O2821" t="s">
        <v>69</v>
      </c>
      <c r="P2821" s="3" t="s">
        <v>75</v>
      </c>
      <c r="Q2821">
        <v>2015</v>
      </c>
      <c r="R2821" s="2">
        <v>42194</v>
      </c>
      <c r="S2821" s="2">
        <v>42202</v>
      </c>
      <c r="T2821" s="2">
        <v>42200</v>
      </c>
      <c r="U2821" s="2">
        <v>42260</v>
      </c>
      <c r="V2821" t="s">
        <v>71</v>
      </c>
      <c r="W2821" t="str">
        <f>"          000049/0C0"</f>
        <v xml:space="preserve">          000049/0C0</v>
      </c>
      <c r="X2821" s="1">
        <v>36600</v>
      </c>
      <c r="Y2821">
        <v>0</v>
      </c>
      <c r="Z2821"/>
      <c r="AB2821"/>
      <c r="AC2821" s="1">
        <v>30000</v>
      </c>
      <c r="AD2821">
        <v>317</v>
      </c>
      <c r="AE2821" s="1">
        <v>9510000</v>
      </c>
      <c r="AF2821">
        <v>0</v>
      </c>
      <c r="AJ2821">
        <v>0</v>
      </c>
      <c r="AK2821">
        <v>0</v>
      </c>
      <c r="AL2821">
        <v>0</v>
      </c>
      <c r="AM2821">
        <v>0</v>
      </c>
      <c r="AN2821">
        <v>0</v>
      </c>
      <c r="AO2821">
        <v>0</v>
      </c>
      <c r="AP2821" s="2">
        <v>42746</v>
      </c>
      <c r="AQ2821" t="s">
        <v>72</v>
      </c>
      <c r="AR2821" t="s">
        <v>72</v>
      </c>
      <c r="AS2821">
        <v>1940</v>
      </c>
      <c r="AT2821" s="4">
        <v>42577</v>
      </c>
      <c r="AU2821" t="s">
        <v>73</v>
      </c>
      <c r="AV2821">
        <v>1940</v>
      </c>
      <c r="AW2821" s="4">
        <v>42577</v>
      </c>
      <c r="BD2821">
        <v>0</v>
      </c>
      <c r="BN2821" t="s">
        <v>74</v>
      </c>
    </row>
    <row r="2822" spans="1:66" hidden="1">
      <c r="A2822">
        <v>100916</v>
      </c>
      <c r="B2822" s="3" t="s">
        <v>331</v>
      </c>
      <c r="C2822" s="1">
        <v>43300101</v>
      </c>
      <c r="D2822" t="s">
        <v>67</v>
      </c>
      <c r="H2822" t="str">
        <f t="shared" si="280"/>
        <v>06117251212</v>
      </c>
      <c r="I2822" t="str">
        <f t="shared" si="280"/>
        <v>06117251212</v>
      </c>
      <c r="K2822" t="str">
        <f>""</f>
        <v/>
      </c>
      <c r="M2822" t="s">
        <v>68</v>
      </c>
      <c r="N2822" t="str">
        <f t="shared" si="277"/>
        <v>FOR</v>
      </c>
      <c r="O2822" t="s">
        <v>69</v>
      </c>
      <c r="P2822" s="3" t="s">
        <v>75</v>
      </c>
      <c r="Q2822">
        <v>2015</v>
      </c>
      <c r="R2822" s="2">
        <v>42205</v>
      </c>
      <c r="S2822" s="2">
        <v>42215</v>
      </c>
      <c r="T2822" s="2">
        <v>42212</v>
      </c>
      <c r="U2822" s="2">
        <v>42272</v>
      </c>
      <c r="V2822" t="s">
        <v>71</v>
      </c>
      <c r="W2822" t="str">
        <f>"          000052/0C0"</f>
        <v xml:space="preserve">          000052/0C0</v>
      </c>
      <c r="X2822" s="1">
        <v>15412.8</v>
      </c>
      <c r="Y2822">
        <v>0</v>
      </c>
      <c r="Z2822"/>
      <c r="AB2822"/>
      <c r="AC2822" s="1">
        <v>14820</v>
      </c>
      <c r="AD2822">
        <v>305</v>
      </c>
      <c r="AE2822" s="1">
        <v>4520100</v>
      </c>
      <c r="AF2822">
        <v>0</v>
      </c>
      <c r="AJ2822">
        <v>0</v>
      </c>
      <c r="AK2822">
        <v>0</v>
      </c>
      <c r="AL2822">
        <v>0</v>
      </c>
      <c r="AM2822">
        <v>0</v>
      </c>
      <c r="AN2822">
        <v>0</v>
      </c>
      <c r="AO2822">
        <v>0</v>
      </c>
      <c r="AP2822" s="2">
        <v>42746</v>
      </c>
      <c r="AQ2822" t="s">
        <v>72</v>
      </c>
      <c r="AR2822" t="s">
        <v>72</v>
      </c>
      <c r="AS2822">
        <v>1940</v>
      </c>
      <c r="AT2822" s="4">
        <v>42577</v>
      </c>
      <c r="AU2822" t="s">
        <v>73</v>
      </c>
      <c r="AV2822">
        <v>1940</v>
      </c>
      <c r="AW2822" s="4">
        <v>42577</v>
      </c>
      <c r="BD2822">
        <v>0</v>
      </c>
      <c r="BN2822" t="s">
        <v>74</v>
      </c>
    </row>
    <row r="2823" spans="1:66" hidden="1">
      <c r="A2823">
        <v>100916</v>
      </c>
      <c r="B2823" s="3" t="s">
        <v>331</v>
      </c>
      <c r="C2823" s="1">
        <v>43300101</v>
      </c>
      <c r="D2823" t="s">
        <v>67</v>
      </c>
      <c r="H2823" t="str">
        <f t="shared" si="280"/>
        <v>06117251212</v>
      </c>
      <c r="I2823" t="str">
        <f t="shared" si="280"/>
        <v>06117251212</v>
      </c>
      <c r="K2823" t="str">
        <f>""</f>
        <v/>
      </c>
      <c r="M2823" t="s">
        <v>68</v>
      </c>
      <c r="N2823" t="str">
        <f t="shared" ref="N2823:N2862" si="281">"FOR"</f>
        <v>FOR</v>
      </c>
      <c r="O2823" t="s">
        <v>69</v>
      </c>
      <c r="P2823" s="3" t="s">
        <v>75</v>
      </c>
      <c r="Q2823">
        <v>2015</v>
      </c>
      <c r="R2823" s="2">
        <v>42205</v>
      </c>
      <c r="S2823" s="2">
        <v>42215</v>
      </c>
      <c r="T2823" s="2">
        <v>42212</v>
      </c>
      <c r="U2823" s="2">
        <v>42272</v>
      </c>
      <c r="V2823" t="s">
        <v>71</v>
      </c>
      <c r="W2823" t="str">
        <f>"          000053/0C0"</f>
        <v xml:space="preserve">          000053/0C0</v>
      </c>
      <c r="X2823" s="1">
        <v>36600</v>
      </c>
      <c r="Y2823">
        <v>0</v>
      </c>
      <c r="Z2823"/>
      <c r="AB2823"/>
      <c r="AC2823" s="1">
        <v>30000</v>
      </c>
      <c r="AD2823">
        <v>305</v>
      </c>
      <c r="AE2823" s="1">
        <v>9150000</v>
      </c>
      <c r="AF2823">
        <v>0</v>
      </c>
      <c r="AJ2823">
        <v>0</v>
      </c>
      <c r="AK2823">
        <v>0</v>
      </c>
      <c r="AL2823">
        <v>0</v>
      </c>
      <c r="AM2823">
        <v>0</v>
      </c>
      <c r="AN2823">
        <v>0</v>
      </c>
      <c r="AO2823">
        <v>0</v>
      </c>
      <c r="AP2823" s="2">
        <v>42746</v>
      </c>
      <c r="AQ2823" t="s">
        <v>72</v>
      </c>
      <c r="AR2823" t="s">
        <v>72</v>
      </c>
      <c r="AS2823">
        <v>1940</v>
      </c>
      <c r="AT2823" s="4">
        <v>42577</v>
      </c>
      <c r="AU2823" t="s">
        <v>73</v>
      </c>
      <c r="AV2823">
        <v>1940</v>
      </c>
      <c r="AW2823" s="4">
        <v>42577</v>
      </c>
      <c r="BD2823">
        <v>0</v>
      </c>
      <c r="BN2823" t="s">
        <v>74</v>
      </c>
    </row>
    <row r="2824" spans="1:66" hidden="1">
      <c r="A2824">
        <v>100916</v>
      </c>
      <c r="B2824" s="3" t="s">
        <v>331</v>
      </c>
      <c r="C2824" s="1">
        <v>43300101</v>
      </c>
      <c r="D2824" t="s">
        <v>67</v>
      </c>
      <c r="H2824" t="str">
        <f t="shared" si="280"/>
        <v>06117251212</v>
      </c>
      <c r="I2824" t="str">
        <f t="shared" si="280"/>
        <v>06117251212</v>
      </c>
      <c r="K2824" t="str">
        <f>""</f>
        <v/>
      </c>
      <c r="M2824" t="s">
        <v>68</v>
      </c>
      <c r="N2824" t="str">
        <f t="shared" si="281"/>
        <v>FOR</v>
      </c>
      <c r="O2824" t="s">
        <v>69</v>
      </c>
      <c r="P2824" s="3" t="s">
        <v>75</v>
      </c>
      <c r="Q2824">
        <v>2015</v>
      </c>
      <c r="R2824" s="2">
        <v>42206</v>
      </c>
      <c r="S2824" s="2">
        <v>42215</v>
      </c>
      <c r="T2824" s="2">
        <v>42212</v>
      </c>
      <c r="U2824" s="2">
        <v>42272</v>
      </c>
      <c r="V2824" t="s">
        <v>71</v>
      </c>
      <c r="W2824" t="str">
        <f>"          000055/0C0"</f>
        <v xml:space="preserve">          000055/0C0</v>
      </c>
      <c r="X2824" s="1">
        <v>13925.6</v>
      </c>
      <c r="Y2824">
        <v>0</v>
      </c>
      <c r="Z2824"/>
      <c r="AB2824"/>
      <c r="AC2824" s="1">
        <v>13390</v>
      </c>
      <c r="AD2824">
        <v>305</v>
      </c>
      <c r="AE2824" s="1">
        <v>4083950</v>
      </c>
      <c r="AF2824">
        <v>0</v>
      </c>
      <c r="AJ2824">
        <v>0</v>
      </c>
      <c r="AK2824">
        <v>0</v>
      </c>
      <c r="AL2824">
        <v>0</v>
      </c>
      <c r="AM2824">
        <v>0</v>
      </c>
      <c r="AN2824">
        <v>0</v>
      </c>
      <c r="AO2824">
        <v>0</v>
      </c>
      <c r="AP2824" s="2">
        <v>42746</v>
      </c>
      <c r="AQ2824" t="s">
        <v>72</v>
      </c>
      <c r="AR2824" t="s">
        <v>72</v>
      </c>
      <c r="AS2824">
        <v>1940</v>
      </c>
      <c r="AT2824" s="4">
        <v>42577</v>
      </c>
      <c r="AU2824" t="s">
        <v>73</v>
      </c>
      <c r="AV2824">
        <v>1940</v>
      </c>
      <c r="AW2824" s="4">
        <v>42577</v>
      </c>
      <c r="BD2824">
        <v>0</v>
      </c>
      <c r="BN2824" t="s">
        <v>74</v>
      </c>
    </row>
    <row r="2825" spans="1:66" hidden="1">
      <c r="A2825">
        <v>100916</v>
      </c>
      <c r="B2825" s="3" t="s">
        <v>331</v>
      </c>
      <c r="C2825" s="1">
        <v>43300101</v>
      </c>
      <c r="D2825" t="s">
        <v>67</v>
      </c>
      <c r="H2825" t="str">
        <f t="shared" si="280"/>
        <v>06117251212</v>
      </c>
      <c r="I2825" t="str">
        <f t="shared" si="280"/>
        <v>06117251212</v>
      </c>
      <c r="K2825" t="str">
        <f>""</f>
        <v/>
      </c>
      <c r="M2825" t="s">
        <v>68</v>
      </c>
      <c r="N2825" t="str">
        <f t="shared" si="281"/>
        <v>FOR</v>
      </c>
      <c r="O2825" t="s">
        <v>69</v>
      </c>
      <c r="P2825" s="3" t="s">
        <v>75</v>
      </c>
      <c r="Q2825">
        <v>2015</v>
      </c>
      <c r="R2825" s="2">
        <v>42250</v>
      </c>
      <c r="S2825" s="2">
        <v>42258</v>
      </c>
      <c r="T2825" s="2">
        <v>42257</v>
      </c>
      <c r="U2825" s="2">
        <v>42317</v>
      </c>
      <c r="V2825" t="s">
        <v>71</v>
      </c>
      <c r="W2825" t="str">
        <f>"          000066/0C0"</f>
        <v xml:space="preserve">          000066/0C0</v>
      </c>
      <c r="X2825" s="1">
        <v>36600</v>
      </c>
      <c r="Y2825">
        <v>0</v>
      </c>
      <c r="Z2825"/>
      <c r="AB2825"/>
      <c r="AC2825" s="1">
        <v>30000</v>
      </c>
      <c r="AD2825">
        <v>302</v>
      </c>
      <c r="AE2825" s="1">
        <v>9060000</v>
      </c>
      <c r="AF2825">
        <v>0</v>
      </c>
      <c r="AJ2825">
        <v>0</v>
      </c>
      <c r="AK2825">
        <v>0</v>
      </c>
      <c r="AL2825">
        <v>0</v>
      </c>
      <c r="AM2825">
        <v>0</v>
      </c>
      <c r="AN2825">
        <v>0</v>
      </c>
      <c r="AO2825">
        <v>0</v>
      </c>
      <c r="AP2825" s="2">
        <v>42746</v>
      </c>
      <c r="AQ2825" t="s">
        <v>72</v>
      </c>
      <c r="AR2825" t="s">
        <v>72</v>
      </c>
      <c r="AS2825">
        <v>2281</v>
      </c>
      <c r="AT2825" s="4">
        <v>42619</v>
      </c>
      <c r="AU2825" t="s">
        <v>73</v>
      </c>
      <c r="AV2825">
        <v>2281</v>
      </c>
      <c r="AW2825" s="4">
        <v>42619</v>
      </c>
      <c r="BD2825">
        <v>0</v>
      </c>
      <c r="BN2825" t="s">
        <v>74</v>
      </c>
    </row>
    <row r="2826" spans="1:66" hidden="1">
      <c r="A2826">
        <v>100916</v>
      </c>
      <c r="B2826" s="3" t="s">
        <v>331</v>
      </c>
      <c r="C2826" s="1">
        <v>43300101</v>
      </c>
      <c r="D2826" t="s">
        <v>67</v>
      </c>
      <c r="H2826" t="str">
        <f t="shared" si="280"/>
        <v>06117251212</v>
      </c>
      <c r="I2826" t="str">
        <f t="shared" si="280"/>
        <v>06117251212</v>
      </c>
      <c r="K2826" t="str">
        <f>""</f>
        <v/>
      </c>
      <c r="M2826" t="s">
        <v>68</v>
      </c>
      <c r="N2826" t="str">
        <f t="shared" si="281"/>
        <v>FOR</v>
      </c>
      <c r="O2826" t="s">
        <v>69</v>
      </c>
      <c r="P2826" s="3" t="s">
        <v>75</v>
      </c>
      <c r="Q2826">
        <v>2015</v>
      </c>
      <c r="R2826" s="2">
        <v>42275</v>
      </c>
      <c r="S2826" s="2">
        <v>42282</v>
      </c>
      <c r="T2826" s="2">
        <v>42278</v>
      </c>
      <c r="U2826" s="2">
        <v>42338</v>
      </c>
      <c r="V2826" t="s">
        <v>71</v>
      </c>
      <c r="W2826" t="str">
        <f>"          000074/0C0"</f>
        <v xml:space="preserve">          000074/0C0</v>
      </c>
      <c r="X2826" s="1">
        <v>3220.8</v>
      </c>
      <c r="Y2826">
        <v>0</v>
      </c>
      <c r="Z2826"/>
      <c r="AB2826"/>
      <c r="AC2826" s="1">
        <v>2640</v>
      </c>
      <c r="AD2826">
        <v>281</v>
      </c>
      <c r="AE2826" s="1">
        <v>741840</v>
      </c>
      <c r="AF2826">
        <v>0</v>
      </c>
      <c r="AJ2826">
        <v>0</v>
      </c>
      <c r="AK2826">
        <v>0</v>
      </c>
      <c r="AL2826">
        <v>0</v>
      </c>
      <c r="AM2826">
        <v>0</v>
      </c>
      <c r="AN2826">
        <v>0</v>
      </c>
      <c r="AO2826">
        <v>0</v>
      </c>
      <c r="AP2826" s="2">
        <v>42746</v>
      </c>
      <c r="AQ2826" t="s">
        <v>72</v>
      </c>
      <c r="AR2826" t="s">
        <v>72</v>
      </c>
      <c r="AS2826">
        <v>2281</v>
      </c>
      <c r="AT2826" s="4">
        <v>42619</v>
      </c>
      <c r="AU2826" t="s">
        <v>73</v>
      </c>
      <c r="AV2826">
        <v>2281</v>
      </c>
      <c r="AW2826" s="4">
        <v>42619</v>
      </c>
      <c r="BD2826">
        <v>0</v>
      </c>
      <c r="BN2826" t="s">
        <v>74</v>
      </c>
    </row>
    <row r="2827" spans="1:66">
      <c r="A2827">
        <v>100916</v>
      </c>
      <c r="B2827" s="3" t="s">
        <v>331</v>
      </c>
      <c r="C2827" s="1">
        <v>43300101</v>
      </c>
      <c r="D2827" t="s">
        <v>67</v>
      </c>
      <c r="H2827" t="str">
        <f t="shared" si="280"/>
        <v>06117251212</v>
      </c>
      <c r="I2827" t="str">
        <f t="shared" si="280"/>
        <v>06117251212</v>
      </c>
      <c r="K2827" t="str">
        <f>""</f>
        <v/>
      </c>
      <c r="M2827" t="s">
        <v>68</v>
      </c>
      <c r="N2827" t="str">
        <f t="shared" si="281"/>
        <v>FOR</v>
      </c>
      <c r="O2827" t="s">
        <v>69</v>
      </c>
      <c r="P2827" s="3" t="s">
        <v>75</v>
      </c>
      <c r="Q2827">
        <v>2015</v>
      </c>
      <c r="R2827" s="2">
        <v>42282</v>
      </c>
      <c r="S2827" s="2">
        <v>42291</v>
      </c>
      <c r="T2827" s="2">
        <v>42289</v>
      </c>
      <c r="U2827" s="2">
        <v>42349</v>
      </c>
      <c r="V2827" t="s">
        <v>71</v>
      </c>
      <c r="W2827" t="str">
        <f>"          000077/0C0"</f>
        <v xml:space="preserve">          000077/0C0</v>
      </c>
      <c r="X2827" s="1">
        <v>36600</v>
      </c>
      <c r="Y2827">
        <v>0</v>
      </c>
      <c r="Z2827" s="5">
        <v>30000</v>
      </c>
      <c r="AA2827">
        <v>298</v>
      </c>
      <c r="AB2827" s="5">
        <v>8940000</v>
      </c>
      <c r="AC2827" s="1">
        <v>30000</v>
      </c>
      <c r="AD2827">
        <v>298</v>
      </c>
      <c r="AE2827" s="1">
        <v>8940000</v>
      </c>
      <c r="AF2827">
        <v>0</v>
      </c>
      <c r="AJ2827">
        <v>0</v>
      </c>
      <c r="AK2827">
        <v>0</v>
      </c>
      <c r="AL2827">
        <v>0</v>
      </c>
      <c r="AM2827">
        <v>0</v>
      </c>
      <c r="AN2827">
        <v>0</v>
      </c>
      <c r="AO2827">
        <v>0</v>
      </c>
      <c r="AP2827" s="2">
        <v>42746</v>
      </c>
      <c r="AQ2827" t="s">
        <v>72</v>
      </c>
      <c r="AR2827" t="s">
        <v>72</v>
      </c>
      <c r="AS2827">
        <v>2630</v>
      </c>
      <c r="AT2827" s="4">
        <v>42647</v>
      </c>
      <c r="AU2827" t="s">
        <v>73</v>
      </c>
      <c r="AV2827">
        <v>2630</v>
      </c>
      <c r="AW2827" s="4">
        <v>42647</v>
      </c>
      <c r="BD2827">
        <v>0</v>
      </c>
      <c r="BN2827" t="s">
        <v>74</v>
      </c>
    </row>
    <row r="2828" spans="1:66">
      <c r="A2828">
        <v>100916</v>
      </c>
      <c r="B2828" s="3" t="s">
        <v>331</v>
      </c>
      <c r="C2828" s="1">
        <v>43300101</v>
      </c>
      <c r="D2828" t="s">
        <v>67</v>
      </c>
      <c r="H2828" t="str">
        <f t="shared" si="280"/>
        <v>06117251212</v>
      </c>
      <c r="I2828" t="str">
        <f t="shared" si="280"/>
        <v>06117251212</v>
      </c>
      <c r="K2828" t="str">
        <f>""</f>
        <v/>
      </c>
      <c r="M2828" t="s">
        <v>68</v>
      </c>
      <c r="N2828" t="str">
        <f t="shared" si="281"/>
        <v>FOR</v>
      </c>
      <c r="O2828" t="s">
        <v>69</v>
      </c>
      <c r="P2828" s="3" t="s">
        <v>75</v>
      </c>
      <c r="Q2828">
        <v>2015</v>
      </c>
      <c r="R2828" s="2">
        <v>42299</v>
      </c>
      <c r="S2828" s="2">
        <v>42307</v>
      </c>
      <c r="T2828" s="2">
        <v>42306</v>
      </c>
      <c r="U2828" s="2">
        <v>42366</v>
      </c>
      <c r="V2828" t="s">
        <v>71</v>
      </c>
      <c r="W2828" t="str">
        <f>"          000084/0C0"</f>
        <v xml:space="preserve">          000084/0C0</v>
      </c>
      <c r="X2828" s="1">
        <v>2332.37</v>
      </c>
      <c r="Y2828">
        <v>0</v>
      </c>
      <c r="Z2828" s="5">
        <v>1911.78</v>
      </c>
      <c r="AA2828">
        <v>281</v>
      </c>
      <c r="AB2828" s="5">
        <v>537210.18000000005</v>
      </c>
      <c r="AC2828" s="1">
        <v>1911.78</v>
      </c>
      <c r="AD2828">
        <v>281</v>
      </c>
      <c r="AE2828" s="1">
        <v>537210.18000000005</v>
      </c>
      <c r="AF2828">
        <v>0</v>
      </c>
      <c r="AJ2828">
        <v>0</v>
      </c>
      <c r="AK2828">
        <v>0</v>
      </c>
      <c r="AL2828">
        <v>0</v>
      </c>
      <c r="AM2828">
        <v>0</v>
      </c>
      <c r="AN2828">
        <v>0</v>
      </c>
      <c r="AO2828">
        <v>0</v>
      </c>
      <c r="AP2828" s="2">
        <v>42746</v>
      </c>
      <c r="AQ2828" t="s">
        <v>72</v>
      </c>
      <c r="AR2828" t="s">
        <v>72</v>
      </c>
      <c r="AS2828">
        <v>2630</v>
      </c>
      <c r="AT2828" s="4">
        <v>42647</v>
      </c>
      <c r="AU2828" t="s">
        <v>73</v>
      </c>
      <c r="AV2828">
        <v>2630</v>
      </c>
      <c r="AW2828" s="4">
        <v>42647</v>
      </c>
      <c r="BD2828">
        <v>0</v>
      </c>
      <c r="BN2828" t="s">
        <v>74</v>
      </c>
    </row>
    <row r="2829" spans="1:66">
      <c r="A2829">
        <v>100916</v>
      </c>
      <c r="B2829" s="3" t="s">
        <v>331</v>
      </c>
      <c r="C2829" s="1">
        <v>43300101</v>
      </c>
      <c r="D2829" t="s">
        <v>67</v>
      </c>
      <c r="H2829" t="str">
        <f t="shared" si="280"/>
        <v>06117251212</v>
      </c>
      <c r="I2829" t="str">
        <f t="shared" si="280"/>
        <v>06117251212</v>
      </c>
      <c r="K2829" t="str">
        <f>""</f>
        <v/>
      </c>
      <c r="M2829" t="s">
        <v>68</v>
      </c>
      <c r="N2829" t="str">
        <f t="shared" si="281"/>
        <v>FOR</v>
      </c>
      <c r="O2829" t="s">
        <v>69</v>
      </c>
      <c r="P2829" s="3" t="s">
        <v>75</v>
      </c>
      <c r="Q2829">
        <v>2015</v>
      </c>
      <c r="R2829" s="2">
        <v>42305</v>
      </c>
      <c r="S2829" s="2">
        <v>42312</v>
      </c>
      <c r="T2829" s="2">
        <v>42311</v>
      </c>
      <c r="U2829" s="2">
        <v>42371</v>
      </c>
      <c r="V2829" t="s">
        <v>71</v>
      </c>
      <c r="W2829" t="str">
        <f>"          000087/0C0"</f>
        <v xml:space="preserve">          000087/0C0</v>
      </c>
      <c r="X2829" s="1">
        <v>36600</v>
      </c>
      <c r="Y2829">
        <v>0</v>
      </c>
      <c r="Z2829" s="5">
        <v>30000</v>
      </c>
      <c r="AA2829">
        <v>276</v>
      </c>
      <c r="AB2829" s="5">
        <v>8280000</v>
      </c>
      <c r="AC2829" s="1">
        <v>30000</v>
      </c>
      <c r="AD2829">
        <v>276</v>
      </c>
      <c r="AE2829" s="1">
        <v>8280000</v>
      </c>
      <c r="AF2829">
        <v>0</v>
      </c>
      <c r="AJ2829">
        <v>0</v>
      </c>
      <c r="AK2829">
        <v>0</v>
      </c>
      <c r="AL2829">
        <v>0</v>
      </c>
      <c r="AM2829">
        <v>0</v>
      </c>
      <c r="AN2829">
        <v>0</v>
      </c>
      <c r="AO2829">
        <v>0</v>
      </c>
      <c r="AP2829" s="2">
        <v>42746</v>
      </c>
      <c r="AQ2829" t="s">
        <v>72</v>
      </c>
      <c r="AR2829" t="s">
        <v>72</v>
      </c>
      <c r="AS2829">
        <v>2630</v>
      </c>
      <c r="AT2829" s="4">
        <v>42647</v>
      </c>
      <c r="AU2829" t="s">
        <v>73</v>
      </c>
      <c r="AV2829">
        <v>2630</v>
      </c>
      <c r="AW2829" s="4">
        <v>42647</v>
      </c>
      <c r="BD2829">
        <v>0</v>
      </c>
      <c r="BN2829" t="s">
        <v>74</v>
      </c>
    </row>
    <row r="2830" spans="1:66">
      <c r="A2830">
        <v>100916</v>
      </c>
      <c r="B2830" s="3" t="s">
        <v>331</v>
      </c>
      <c r="C2830" s="1">
        <v>43300101</v>
      </c>
      <c r="D2830" t="s">
        <v>67</v>
      </c>
      <c r="H2830" t="str">
        <f t="shared" si="280"/>
        <v>06117251212</v>
      </c>
      <c r="I2830" t="str">
        <f t="shared" si="280"/>
        <v>06117251212</v>
      </c>
      <c r="K2830" t="str">
        <f>""</f>
        <v/>
      </c>
      <c r="M2830" t="s">
        <v>68</v>
      </c>
      <c r="N2830" t="str">
        <f t="shared" si="281"/>
        <v>FOR</v>
      </c>
      <c r="O2830" t="s">
        <v>69</v>
      </c>
      <c r="P2830" s="3" t="s">
        <v>75</v>
      </c>
      <c r="Q2830">
        <v>2015</v>
      </c>
      <c r="R2830" s="2">
        <v>42307</v>
      </c>
      <c r="S2830" s="2">
        <v>42317</v>
      </c>
      <c r="T2830" s="2">
        <v>42313</v>
      </c>
      <c r="U2830" s="2">
        <v>42373</v>
      </c>
      <c r="V2830" t="s">
        <v>71</v>
      </c>
      <c r="W2830" t="str">
        <f>"          000089/0C0"</f>
        <v xml:space="preserve">          000089/0C0</v>
      </c>
      <c r="X2830" s="1">
        <v>15412.8</v>
      </c>
      <c r="Y2830">
        <v>0</v>
      </c>
      <c r="Z2830" s="5">
        <v>14820</v>
      </c>
      <c r="AA2830">
        <v>274</v>
      </c>
      <c r="AB2830" s="5">
        <v>4060680</v>
      </c>
      <c r="AC2830" s="1">
        <v>14820</v>
      </c>
      <c r="AD2830">
        <v>274</v>
      </c>
      <c r="AE2830" s="1">
        <v>4060680</v>
      </c>
      <c r="AF2830">
        <v>0</v>
      </c>
      <c r="AJ2830">
        <v>0</v>
      </c>
      <c r="AK2830">
        <v>0</v>
      </c>
      <c r="AL2830">
        <v>0</v>
      </c>
      <c r="AM2830">
        <v>0</v>
      </c>
      <c r="AN2830">
        <v>0</v>
      </c>
      <c r="AO2830">
        <v>0</v>
      </c>
      <c r="AP2830" s="2">
        <v>42746</v>
      </c>
      <c r="AQ2830" t="s">
        <v>72</v>
      </c>
      <c r="AR2830" t="s">
        <v>72</v>
      </c>
      <c r="AS2830">
        <v>2630</v>
      </c>
      <c r="AT2830" s="4">
        <v>42647</v>
      </c>
      <c r="AU2830" t="s">
        <v>73</v>
      </c>
      <c r="AV2830">
        <v>2630</v>
      </c>
      <c r="AW2830" s="4">
        <v>42647</v>
      </c>
      <c r="BD2830">
        <v>0</v>
      </c>
      <c r="BN2830" t="s">
        <v>74</v>
      </c>
    </row>
    <row r="2831" spans="1:66">
      <c r="A2831">
        <v>100916</v>
      </c>
      <c r="B2831" s="3" t="s">
        <v>331</v>
      </c>
      <c r="C2831" s="1">
        <v>43300101</v>
      </c>
      <c r="D2831" t="s">
        <v>67</v>
      </c>
      <c r="H2831" t="str">
        <f t="shared" si="280"/>
        <v>06117251212</v>
      </c>
      <c r="I2831" t="str">
        <f t="shared" si="280"/>
        <v>06117251212</v>
      </c>
      <c r="K2831" t="str">
        <f>""</f>
        <v/>
      </c>
      <c r="M2831" t="s">
        <v>68</v>
      </c>
      <c r="N2831" t="str">
        <f t="shared" si="281"/>
        <v>FOR</v>
      </c>
      <c r="O2831" t="s">
        <v>69</v>
      </c>
      <c r="P2831" s="3" t="s">
        <v>75</v>
      </c>
      <c r="Q2831">
        <v>2015</v>
      </c>
      <c r="R2831" s="2">
        <v>42312</v>
      </c>
      <c r="S2831" s="2">
        <v>42326</v>
      </c>
      <c r="T2831" s="2">
        <v>42324</v>
      </c>
      <c r="U2831" s="2">
        <v>42384</v>
      </c>
      <c r="V2831" t="s">
        <v>71</v>
      </c>
      <c r="W2831" t="str">
        <f>"          000091/0C0"</f>
        <v xml:space="preserve">          000091/0C0</v>
      </c>
      <c r="X2831" s="1">
        <v>9984</v>
      </c>
      <c r="Y2831">
        <v>0</v>
      </c>
      <c r="Z2831" s="5">
        <v>9600</v>
      </c>
      <c r="AA2831">
        <v>294</v>
      </c>
      <c r="AB2831" s="5">
        <v>2822400</v>
      </c>
      <c r="AC2831" s="1">
        <v>9600</v>
      </c>
      <c r="AD2831">
        <v>294</v>
      </c>
      <c r="AE2831" s="1">
        <v>2822400</v>
      </c>
      <c r="AF2831">
        <v>0</v>
      </c>
      <c r="AJ2831">
        <v>0</v>
      </c>
      <c r="AK2831">
        <v>0</v>
      </c>
      <c r="AL2831">
        <v>0</v>
      </c>
      <c r="AM2831">
        <v>0</v>
      </c>
      <c r="AN2831">
        <v>0</v>
      </c>
      <c r="AO2831">
        <v>0</v>
      </c>
      <c r="AP2831" s="2">
        <v>42746</v>
      </c>
      <c r="AQ2831" t="s">
        <v>72</v>
      </c>
      <c r="AR2831" t="s">
        <v>72</v>
      </c>
      <c r="AS2831">
        <v>2925</v>
      </c>
      <c r="AT2831" s="4">
        <v>42678</v>
      </c>
      <c r="AU2831" t="s">
        <v>73</v>
      </c>
      <c r="AV2831">
        <v>2925</v>
      </c>
      <c r="AW2831" s="4">
        <v>42678</v>
      </c>
      <c r="BD2831">
        <v>0</v>
      </c>
      <c r="BN2831" t="s">
        <v>74</v>
      </c>
    </row>
    <row r="2832" spans="1:66">
      <c r="A2832">
        <v>100916</v>
      </c>
      <c r="B2832" s="3" t="s">
        <v>331</v>
      </c>
      <c r="C2832" s="1">
        <v>43300101</v>
      </c>
      <c r="D2832" t="s">
        <v>67</v>
      </c>
      <c r="H2832" t="str">
        <f t="shared" si="280"/>
        <v>06117251212</v>
      </c>
      <c r="I2832" t="str">
        <f t="shared" si="280"/>
        <v>06117251212</v>
      </c>
      <c r="K2832" t="str">
        <f>""</f>
        <v/>
      </c>
      <c r="M2832" t="s">
        <v>68</v>
      </c>
      <c r="N2832" t="str">
        <f t="shared" si="281"/>
        <v>FOR</v>
      </c>
      <c r="O2832" t="s">
        <v>69</v>
      </c>
      <c r="P2832" s="3" t="s">
        <v>75</v>
      </c>
      <c r="Q2832">
        <v>2015</v>
      </c>
      <c r="R2832" s="2">
        <v>42342</v>
      </c>
      <c r="S2832" s="2">
        <v>42353</v>
      </c>
      <c r="T2832" s="2">
        <v>42348</v>
      </c>
      <c r="U2832" s="2">
        <v>42408</v>
      </c>
      <c r="V2832" t="s">
        <v>71</v>
      </c>
      <c r="W2832" t="str">
        <f>"          000097/0C0"</f>
        <v xml:space="preserve">          000097/0C0</v>
      </c>
      <c r="X2832" s="1">
        <v>73200</v>
      </c>
      <c r="Y2832">
        <v>0</v>
      </c>
      <c r="Z2832" s="5">
        <v>60000</v>
      </c>
      <c r="AA2832">
        <v>270</v>
      </c>
      <c r="AB2832" s="5">
        <v>16200000</v>
      </c>
      <c r="AC2832" s="1">
        <v>60000</v>
      </c>
      <c r="AD2832">
        <v>270</v>
      </c>
      <c r="AE2832" s="1">
        <v>16200000</v>
      </c>
      <c r="AF2832">
        <v>0</v>
      </c>
      <c r="AJ2832">
        <v>0</v>
      </c>
      <c r="AK2832">
        <v>0</v>
      </c>
      <c r="AL2832">
        <v>0</v>
      </c>
      <c r="AM2832">
        <v>0</v>
      </c>
      <c r="AN2832">
        <v>0</v>
      </c>
      <c r="AO2832">
        <v>0</v>
      </c>
      <c r="AP2832" s="2">
        <v>42746</v>
      </c>
      <c r="AQ2832" t="s">
        <v>72</v>
      </c>
      <c r="AR2832" t="s">
        <v>72</v>
      </c>
      <c r="AS2832">
        <v>2925</v>
      </c>
      <c r="AT2832" s="4">
        <v>42678</v>
      </c>
      <c r="AU2832" t="s">
        <v>73</v>
      </c>
      <c r="AV2832">
        <v>2925</v>
      </c>
      <c r="AW2832" s="4">
        <v>42678</v>
      </c>
      <c r="BD2832">
        <v>0</v>
      </c>
      <c r="BN2832" t="s">
        <v>74</v>
      </c>
    </row>
    <row r="2833" spans="1:66">
      <c r="A2833">
        <v>100916</v>
      </c>
      <c r="B2833" s="3" t="s">
        <v>331</v>
      </c>
      <c r="C2833" s="1">
        <v>43300101</v>
      </c>
      <c r="D2833" t="s">
        <v>67</v>
      </c>
      <c r="H2833" t="str">
        <f t="shared" si="280"/>
        <v>06117251212</v>
      </c>
      <c r="I2833" t="str">
        <f t="shared" si="280"/>
        <v>06117251212</v>
      </c>
      <c r="K2833" t="str">
        <f>""</f>
        <v/>
      </c>
      <c r="M2833" t="s">
        <v>68</v>
      </c>
      <c r="N2833" t="str">
        <f t="shared" si="281"/>
        <v>FOR</v>
      </c>
      <c r="O2833" t="s">
        <v>69</v>
      </c>
      <c r="P2833" s="3" t="s">
        <v>75</v>
      </c>
      <c r="Q2833">
        <v>2016</v>
      </c>
      <c r="R2833" s="2">
        <v>42396</v>
      </c>
      <c r="S2833" s="2">
        <v>42411</v>
      </c>
      <c r="T2833" s="2">
        <v>42398</v>
      </c>
      <c r="U2833" s="2">
        <v>42458</v>
      </c>
      <c r="V2833" t="s">
        <v>71</v>
      </c>
      <c r="W2833" t="str">
        <f>"          000007/0C0"</f>
        <v xml:space="preserve">          000007/0C0</v>
      </c>
      <c r="X2833" s="1">
        <v>36600</v>
      </c>
      <c r="Y2833">
        <v>0</v>
      </c>
      <c r="Z2833" s="5">
        <v>30000</v>
      </c>
      <c r="AA2833">
        <v>262</v>
      </c>
      <c r="AB2833" s="5">
        <v>7860000</v>
      </c>
      <c r="AC2833" s="1">
        <v>30000</v>
      </c>
      <c r="AD2833">
        <v>262</v>
      </c>
      <c r="AE2833" s="1">
        <v>7860000</v>
      </c>
      <c r="AF2833" s="1">
        <v>6600</v>
      </c>
      <c r="AJ2833">
        <v>0</v>
      </c>
      <c r="AK2833">
        <v>0</v>
      </c>
      <c r="AL2833">
        <v>0</v>
      </c>
      <c r="AM2833" s="1">
        <v>36600</v>
      </c>
      <c r="AN2833" s="1">
        <v>36600</v>
      </c>
      <c r="AO2833" s="1">
        <v>36600</v>
      </c>
      <c r="AP2833" s="2">
        <v>42746</v>
      </c>
      <c r="AQ2833" t="s">
        <v>72</v>
      </c>
      <c r="AR2833" t="s">
        <v>72</v>
      </c>
      <c r="AS2833">
        <v>3552</v>
      </c>
      <c r="AT2833" s="4">
        <v>42720</v>
      </c>
      <c r="AU2833" t="s">
        <v>73</v>
      </c>
      <c r="AV2833">
        <v>3552</v>
      </c>
      <c r="AW2833" s="4">
        <v>42720</v>
      </c>
      <c r="BD2833" s="1">
        <v>6600</v>
      </c>
      <c r="BN2833" t="s">
        <v>74</v>
      </c>
    </row>
    <row r="2834" spans="1:66">
      <c r="A2834">
        <v>100916</v>
      </c>
      <c r="B2834" s="3" t="s">
        <v>331</v>
      </c>
      <c r="C2834" s="1">
        <v>43300101</v>
      </c>
      <c r="D2834" t="s">
        <v>67</v>
      </c>
      <c r="H2834" t="str">
        <f t="shared" si="280"/>
        <v>06117251212</v>
      </c>
      <c r="I2834" t="str">
        <f t="shared" si="280"/>
        <v>06117251212</v>
      </c>
      <c r="K2834" t="str">
        <f>""</f>
        <v/>
      </c>
      <c r="M2834" t="s">
        <v>68</v>
      </c>
      <c r="N2834" t="str">
        <f t="shared" si="281"/>
        <v>FOR</v>
      </c>
      <c r="O2834" t="s">
        <v>69</v>
      </c>
      <c r="P2834" s="3" t="s">
        <v>75</v>
      </c>
      <c r="Q2834">
        <v>2016</v>
      </c>
      <c r="R2834" s="2">
        <v>42396</v>
      </c>
      <c r="S2834" s="2">
        <v>42411</v>
      </c>
      <c r="T2834" s="2">
        <v>42398</v>
      </c>
      <c r="U2834" s="2">
        <v>42458</v>
      </c>
      <c r="V2834" t="s">
        <v>71</v>
      </c>
      <c r="W2834" t="str">
        <f>"          000008/0C0"</f>
        <v xml:space="preserve">          000008/0C0</v>
      </c>
      <c r="X2834" s="1">
        <v>10275.200000000001</v>
      </c>
      <c r="Y2834">
        <v>0</v>
      </c>
      <c r="Z2834" s="5">
        <v>9880</v>
      </c>
      <c r="AA2834">
        <v>262</v>
      </c>
      <c r="AB2834" s="5">
        <v>2588560</v>
      </c>
      <c r="AC2834" s="1">
        <v>9880</v>
      </c>
      <c r="AD2834">
        <v>262</v>
      </c>
      <c r="AE2834" s="1">
        <v>2588560</v>
      </c>
      <c r="AF2834">
        <v>395.2</v>
      </c>
      <c r="AJ2834">
        <v>0</v>
      </c>
      <c r="AK2834">
        <v>0</v>
      </c>
      <c r="AL2834">
        <v>0</v>
      </c>
      <c r="AM2834" s="1">
        <v>10275.200000000001</v>
      </c>
      <c r="AN2834" s="1">
        <v>10275.200000000001</v>
      </c>
      <c r="AO2834" s="1">
        <v>10275.200000000001</v>
      </c>
      <c r="AP2834" s="2">
        <v>42746</v>
      </c>
      <c r="AQ2834" t="s">
        <v>72</v>
      </c>
      <c r="AR2834" t="s">
        <v>72</v>
      </c>
      <c r="AS2834">
        <v>3552</v>
      </c>
      <c r="AT2834" s="4">
        <v>42720</v>
      </c>
      <c r="AU2834" t="s">
        <v>73</v>
      </c>
      <c r="AV2834">
        <v>3552</v>
      </c>
      <c r="AW2834" s="4">
        <v>42720</v>
      </c>
      <c r="BD2834">
        <v>395.2</v>
      </c>
      <c r="BN2834" t="s">
        <v>74</v>
      </c>
    </row>
    <row r="2835" spans="1:66">
      <c r="A2835">
        <v>100916</v>
      </c>
      <c r="B2835" s="3" t="s">
        <v>331</v>
      </c>
      <c r="C2835" s="1">
        <v>43300101</v>
      </c>
      <c r="D2835" t="s">
        <v>67</v>
      </c>
      <c r="H2835" t="str">
        <f t="shared" si="280"/>
        <v>06117251212</v>
      </c>
      <c r="I2835" t="str">
        <f t="shared" si="280"/>
        <v>06117251212</v>
      </c>
      <c r="K2835" t="str">
        <f>""</f>
        <v/>
      </c>
      <c r="M2835" t="s">
        <v>68</v>
      </c>
      <c r="N2835" t="str">
        <f t="shared" si="281"/>
        <v>FOR</v>
      </c>
      <c r="O2835" t="s">
        <v>69</v>
      </c>
      <c r="P2835" s="3" t="s">
        <v>75</v>
      </c>
      <c r="Q2835">
        <v>2016</v>
      </c>
      <c r="R2835" s="2">
        <v>42411</v>
      </c>
      <c r="S2835" s="2">
        <v>42417</v>
      </c>
      <c r="T2835" s="2">
        <v>42416</v>
      </c>
      <c r="U2835" s="2">
        <v>42476</v>
      </c>
      <c r="V2835" t="s">
        <v>71</v>
      </c>
      <c r="W2835" t="str">
        <f>"          000014/0C0"</f>
        <v xml:space="preserve">          000014/0C0</v>
      </c>
      <c r="X2835" s="1">
        <v>3498.56</v>
      </c>
      <c r="Y2835">
        <v>0</v>
      </c>
      <c r="Z2835" s="5">
        <v>2867.67</v>
      </c>
      <c r="AA2835">
        <v>242</v>
      </c>
      <c r="AB2835" s="5">
        <v>693976.14</v>
      </c>
      <c r="AC2835" s="1">
        <v>2867.67</v>
      </c>
      <c r="AD2835">
        <v>242</v>
      </c>
      <c r="AE2835" s="1">
        <v>693976.14</v>
      </c>
      <c r="AF2835">
        <v>630.89</v>
      </c>
      <c r="AJ2835">
        <v>0</v>
      </c>
      <c r="AK2835">
        <v>0</v>
      </c>
      <c r="AL2835">
        <v>0</v>
      </c>
      <c r="AM2835" s="1">
        <v>3498.56</v>
      </c>
      <c r="AN2835" s="1">
        <v>3498.56</v>
      </c>
      <c r="AO2835" s="1">
        <v>3498.56</v>
      </c>
      <c r="AP2835" s="2">
        <v>42746</v>
      </c>
      <c r="AQ2835" t="s">
        <v>72</v>
      </c>
      <c r="AR2835" t="s">
        <v>72</v>
      </c>
      <c r="AS2835">
        <v>3483</v>
      </c>
      <c r="AT2835" s="4">
        <v>42718</v>
      </c>
      <c r="AU2835" t="s">
        <v>73</v>
      </c>
      <c r="AV2835">
        <v>3483</v>
      </c>
      <c r="AW2835" s="4">
        <v>42718</v>
      </c>
      <c r="BD2835">
        <v>630.89</v>
      </c>
      <c r="BN2835" t="s">
        <v>74</v>
      </c>
    </row>
    <row r="2836" spans="1:66">
      <c r="A2836">
        <v>100916</v>
      </c>
      <c r="B2836" s="3" t="s">
        <v>331</v>
      </c>
      <c r="C2836" s="1">
        <v>43300101</v>
      </c>
      <c r="D2836" t="s">
        <v>67</v>
      </c>
      <c r="H2836" t="str">
        <f t="shared" si="280"/>
        <v>06117251212</v>
      </c>
      <c r="I2836" t="str">
        <f t="shared" si="280"/>
        <v>06117251212</v>
      </c>
      <c r="K2836" t="str">
        <f>""</f>
        <v/>
      </c>
      <c r="M2836" t="s">
        <v>68</v>
      </c>
      <c r="N2836" t="str">
        <f t="shared" si="281"/>
        <v>FOR</v>
      </c>
      <c r="O2836" t="s">
        <v>69</v>
      </c>
      <c r="P2836" s="3" t="s">
        <v>75</v>
      </c>
      <c r="Q2836">
        <v>2016</v>
      </c>
      <c r="R2836" s="2">
        <v>42425</v>
      </c>
      <c r="S2836" s="2">
        <v>42438</v>
      </c>
      <c r="T2836" s="2">
        <v>42429</v>
      </c>
      <c r="U2836" s="2">
        <v>42489</v>
      </c>
      <c r="V2836" t="s">
        <v>71</v>
      </c>
      <c r="W2836" t="str">
        <f>"          000018/0C0"</f>
        <v xml:space="preserve">          000018/0C0</v>
      </c>
      <c r="X2836" s="1">
        <v>10275.200000000001</v>
      </c>
      <c r="Y2836">
        <v>0</v>
      </c>
      <c r="Z2836" s="5">
        <v>9880</v>
      </c>
      <c r="AA2836">
        <v>234</v>
      </c>
      <c r="AB2836" s="5">
        <v>2311920</v>
      </c>
      <c r="AC2836" s="1">
        <v>9880</v>
      </c>
      <c r="AD2836">
        <v>234</v>
      </c>
      <c r="AE2836" s="1">
        <v>2311920</v>
      </c>
      <c r="AF2836">
        <v>395.2</v>
      </c>
      <c r="AJ2836">
        <v>0</v>
      </c>
      <c r="AK2836">
        <v>0</v>
      </c>
      <c r="AL2836">
        <v>0</v>
      </c>
      <c r="AM2836" s="1">
        <v>10275.200000000001</v>
      </c>
      <c r="AN2836" s="1">
        <v>10275.200000000001</v>
      </c>
      <c r="AO2836" s="1">
        <v>10275.200000000001</v>
      </c>
      <c r="AP2836" s="2">
        <v>42746</v>
      </c>
      <c r="AQ2836" t="s">
        <v>72</v>
      </c>
      <c r="AR2836" t="s">
        <v>72</v>
      </c>
      <c r="AS2836">
        <v>3581</v>
      </c>
      <c r="AT2836" s="4">
        <v>42723</v>
      </c>
      <c r="AU2836" t="s">
        <v>73</v>
      </c>
      <c r="AV2836">
        <v>3581</v>
      </c>
      <c r="AW2836" s="4">
        <v>42723</v>
      </c>
      <c r="BD2836">
        <v>395.2</v>
      </c>
      <c r="BN2836" t="s">
        <v>74</v>
      </c>
    </row>
    <row r="2837" spans="1:66">
      <c r="A2837">
        <v>100916</v>
      </c>
      <c r="B2837" s="3" t="s">
        <v>331</v>
      </c>
      <c r="C2837" s="1">
        <v>43300101</v>
      </c>
      <c r="D2837" t="s">
        <v>67</v>
      </c>
      <c r="H2837" t="str">
        <f t="shared" si="280"/>
        <v>06117251212</v>
      </c>
      <c r="I2837" t="str">
        <f t="shared" si="280"/>
        <v>06117251212</v>
      </c>
      <c r="K2837" t="str">
        <f>""</f>
        <v/>
      </c>
      <c r="M2837" t="s">
        <v>68</v>
      </c>
      <c r="N2837" t="str">
        <f t="shared" si="281"/>
        <v>FOR</v>
      </c>
      <c r="O2837" t="s">
        <v>69</v>
      </c>
      <c r="P2837" s="3" t="s">
        <v>75</v>
      </c>
      <c r="Q2837">
        <v>2016</v>
      </c>
      <c r="R2837" s="2">
        <v>42425</v>
      </c>
      <c r="S2837" s="2">
        <v>42438</v>
      </c>
      <c r="T2837" s="2">
        <v>42429</v>
      </c>
      <c r="U2837" s="2">
        <v>42489</v>
      </c>
      <c r="V2837" t="s">
        <v>71</v>
      </c>
      <c r="W2837" t="str">
        <f>"          000019/0C0"</f>
        <v xml:space="preserve">          000019/0C0</v>
      </c>
      <c r="X2837" s="1">
        <v>36600</v>
      </c>
      <c r="Y2837">
        <v>0</v>
      </c>
      <c r="Z2837" s="5">
        <v>30000</v>
      </c>
      <c r="AA2837">
        <v>234</v>
      </c>
      <c r="AB2837" s="5">
        <v>7020000</v>
      </c>
      <c r="AC2837" s="1">
        <v>30000</v>
      </c>
      <c r="AD2837">
        <v>234</v>
      </c>
      <c r="AE2837" s="1">
        <v>7020000</v>
      </c>
      <c r="AF2837" s="1">
        <v>6600</v>
      </c>
      <c r="AJ2837">
        <v>0</v>
      </c>
      <c r="AK2837">
        <v>0</v>
      </c>
      <c r="AL2837">
        <v>0</v>
      </c>
      <c r="AM2837" s="1">
        <v>36600</v>
      </c>
      <c r="AN2837" s="1">
        <v>36600</v>
      </c>
      <c r="AO2837" s="1">
        <v>36600</v>
      </c>
      <c r="AP2837" s="2">
        <v>42746</v>
      </c>
      <c r="AQ2837" t="s">
        <v>72</v>
      </c>
      <c r="AR2837" t="s">
        <v>72</v>
      </c>
      <c r="AS2837">
        <v>3581</v>
      </c>
      <c r="AT2837" s="4">
        <v>42723</v>
      </c>
      <c r="AU2837" t="s">
        <v>73</v>
      </c>
      <c r="AV2837">
        <v>3581</v>
      </c>
      <c r="AW2837" s="4">
        <v>42723</v>
      </c>
      <c r="BD2837" s="1">
        <v>6600</v>
      </c>
      <c r="BN2837" t="s">
        <v>74</v>
      </c>
    </row>
    <row r="2838" spans="1:66">
      <c r="A2838">
        <v>100916</v>
      </c>
      <c r="B2838" s="3" t="s">
        <v>331</v>
      </c>
      <c r="C2838" s="1">
        <v>43300101</v>
      </c>
      <c r="D2838" t="s">
        <v>67</v>
      </c>
      <c r="H2838" t="str">
        <f t="shared" si="280"/>
        <v>06117251212</v>
      </c>
      <c r="I2838" t="str">
        <f t="shared" si="280"/>
        <v>06117251212</v>
      </c>
      <c r="K2838" t="str">
        <f>""</f>
        <v/>
      </c>
      <c r="M2838" t="s">
        <v>68</v>
      </c>
      <c r="N2838" t="str">
        <f t="shared" si="281"/>
        <v>FOR</v>
      </c>
      <c r="O2838" t="s">
        <v>69</v>
      </c>
      <c r="P2838" s="3" t="s">
        <v>75</v>
      </c>
      <c r="Q2838">
        <v>2016</v>
      </c>
      <c r="R2838" s="2">
        <v>42429</v>
      </c>
      <c r="S2838" s="2">
        <v>42545</v>
      </c>
      <c r="T2838" s="2">
        <v>42436</v>
      </c>
      <c r="U2838" s="2">
        <v>42496</v>
      </c>
      <c r="V2838" t="s">
        <v>71</v>
      </c>
      <c r="W2838" t="str">
        <f>"          000021/0C0"</f>
        <v xml:space="preserve">          000021/0C0</v>
      </c>
      <c r="X2838" s="1">
        <v>2415.6</v>
      </c>
      <c r="Y2838">
        <v>0</v>
      </c>
      <c r="Z2838" s="5">
        <v>1980</v>
      </c>
      <c r="AA2838">
        <v>227</v>
      </c>
      <c r="AB2838" s="5">
        <v>449460</v>
      </c>
      <c r="AC2838" s="1">
        <v>1980</v>
      </c>
      <c r="AD2838">
        <v>227</v>
      </c>
      <c r="AE2838" s="1">
        <v>449460</v>
      </c>
      <c r="AF2838">
        <v>435.6</v>
      </c>
      <c r="AJ2838">
        <v>0</v>
      </c>
      <c r="AK2838">
        <v>0</v>
      </c>
      <c r="AL2838">
        <v>0</v>
      </c>
      <c r="AM2838" s="1">
        <v>2415.6</v>
      </c>
      <c r="AN2838" s="1">
        <v>2415.6</v>
      </c>
      <c r="AO2838" s="1">
        <v>2415.6</v>
      </c>
      <c r="AP2838" s="2">
        <v>42746</v>
      </c>
      <c r="AQ2838" t="s">
        <v>72</v>
      </c>
      <c r="AR2838" t="s">
        <v>72</v>
      </c>
      <c r="AS2838">
        <v>3581</v>
      </c>
      <c r="AT2838" s="4">
        <v>42723</v>
      </c>
      <c r="AU2838" t="s">
        <v>73</v>
      </c>
      <c r="AV2838">
        <v>3581</v>
      </c>
      <c r="AW2838" s="4">
        <v>42723</v>
      </c>
      <c r="BD2838">
        <v>435.6</v>
      </c>
      <c r="BN2838" t="s">
        <v>74</v>
      </c>
    </row>
    <row r="2839" spans="1:66" hidden="1">
      <c r="A2839">
        <v>100917</v>
      </c>
      <c r="B2839" s="3" t="s">
        <v>332</v>
      </c>
      <c r="C2839" s="1">
        <v>43300101</v>
      </c>
      <c r="D2839" t="s">
        <v>67</v>
      </c>
      <c r="H2839" t="str">
        <f t="shared" ref="H2839:I2850" si="282">"12400990151"</f>
        <v>12400990151</v>
      </c>
      <c r="I2839" t="str">
        <f t="shared" si="282"/>
        <v>12400990151</v>
      </c>
      <c r="K2839" t="str">
        <f>""</f>
        <v/>
      </c>
      <c r="M2839" t="s">
        <v>68</v>
      </c>
      <c r="N2839" t="str">
        <f t="shared" si="281"/>
        <v>FOR</v>
      </c>
      <c r="O2839" t="s">
        <v>69</v>
      </c>
      <c r="P2839" s="3" t="s">
        <v>78</v>
      </c>
      <c r="Q2839">
        <v>2013</v>
      </c>
      <c r="R2839" s="2">
        <v>41340</v>
      </c>
      <c r="S2839" s="2">
        <v>41346</v>
      </c>
      <c r="T2839" s="2">
        <v>41346</v>
      </c>
      <c r="U2839" s="2">
        <v>41436</v>
      </c>
      <c r="V2839" t="s">
        <v>71</v>
      </c>
      <c r="W2839" t="str">
        <f>"             1310392"</f>
        <v xml:space="preserve">             1310392</v>
      </c>
      <c r="X2839">
        <v>786.5</v>
      </c>
      <c r="Y2839">
        <v>0</v>
      </c>
      <c r="Z2839"/>
      <c r="AB2839"/>
      <c r="AC2839">
        <v>786.5</v>
      </c>
      <c r="AD2839">
        <v>1094</v>
      </c>
      <c r="AE2839" s="1">
        <v>860431</v>
      </c>
      <c r="AF2839">
        <v>0</v>
      </c>
      <c r="AJ2839">
        <v>0</v>
      </c>
      <c r="AK2839">
        <v>0</v>
      </c>
      <c r="AL2839">
        <v>0</v>
      </c>
      <c r="AM2839">
        <v>0</v>
      </c>
      <c r="AN2839">
        <v>0</v>
      </c>
      <c r="AO2839">
        <v>0</v>
      </c>
      <c r="AP2839" s="2">
        <v>42746</v>
      </c>
      <c r="AQ2839" t="s">
        <v>72</v>
      </c>
      <c r="AR2839" t="s">
        <v>72</v>
      </c>
      <c r="AS2839">
        <v>1598</v>
      </c>
      <c r="AT2839" s="4">
        <v>42530</v>
      </c>
      <c r="AU2839" t="s">
        <v>73</v>
      </c>
      <c r="AV2839">
        <v>1598</v>
      </c>
      <c r="AW2839" s="4">
        <v>42530</v>
      </c>
      <c r="BD2839">
        <v>0</v>
      </c>
      <c r="BN2839" t="s">
        <v>74</v>
      </c>
    </row>
    <row r="2840" spans="1:66">
      <c r="A2840">
        <v>100917</v>
      </c>
      <c r="B2840" s="3" t="s">
        <v>332</v>
      </c>
      <c r="C2840" s="1">
        <v>43300101</v>
      </c>
      <c r="D2840" t="s">
        <v>67</v>
      </c>
      <c r="H2840" t="str">
        <f t="shared" si="282"/>
        <v>12400990151</v>
      </c>
      <c r="I2840" t="str">
        <f t="shared" si="282"/>
        <v>12400990151</v>
      </c>
      <c r="K2840" t="str">
        <f>""</f>
        <v/>
      </c>
      <c r="M2840" t="s">
        <v>68</v>
      </c>
      <c r="N2840" t="str">
        <f t="shared" si="281"/>
        <v>FOR</v>
      </c>
      <c r="O2840" t="s">
        <v>69</v>
      </c>
      <c r="P2840" s="3" t="s">
        <v>70</v>
      </c>
      <c r="Q2840">
        <v>2014</v>
      </c>
      <c r="R2840" s="2">
        <v>41947</v>
      </c>
      <c r="S2840" s="2">
        <v>42047</v>
      </c>
      <c r="T2840" s="2">
        <v>42047</v>
      </c>
      <c r="U2840" s="2">
        <v>42107</v>
      </c>
      <c r="V2840" t="s">
        <v>71</v>
      </c>
      <c r="W2840" t="str">
        <f>"             1412030"</f>
        <v xml:space="preserve">             1412030</v>
      </c>
      <c r="X2840">
        <v>793</v>
      </c>
      <c r="Y2840">
        <v>0</v>
      </c>
      <c r="Z2840" s="3">
        <v>793</v>
      </c>
      <c r="AA2840">
        <v>577</v>
      </c>
      <c r="AB2840" s="5">
        <v>457561</v>
      </c>
      <c r="AC2840">
        <v>793</v>
      </c>
      <c r="AD2840">
        <v>577</v>
      </c>
      <c r="AE2840" s="1">
        <v>457561</v>
      </c>
      <c r="AF2840">
        <v>0</v>
      </c>
      <c r="AJ2840">
        <v>0</v>
      </c>
      <c r="AK2840">
        <v>0</v>
      </c>
      <c r="AL2840">
        <v>0</v>
      </c>
      <c r="AM2840">
        <v>0</v>
      </c>
      <c r="AN2840">
        <v>0</v>
      </c>
      <c r="AO2840">
        <v>0</v>
      </c>
      <c r="AP2840" s="2">
        <v>42746</v>
      </c>
      <c r="AQ2840" t="s">
        <v>72</v>
      </c>
      <c r="AR2840" t="s">
        <v>72</v>
      </c>
      <c r="AS2840">
        <v>3061</v>
      </c>
      <c r="AT2840" s="4">
        <v>42684</v>
      </c>
      <c r="AU2840" t="s">
        <v>73</v>
      </c>
      <c r="AV2840">
        <v>3061</v>
      </c>
      <c r="AW2840" s="4">
        <v>42684</v>
      </c>
      <c r="BD2840">
        <v>0</v>
      </c>
      <c r="BN2840" t="s">
        <v>74</v>
      </c>
    </row>
    <row r="2841" spans="1:66" hidden="1">
      <c r="A2841">
        <v>100917</v>
      </c>
      <c r="B2841" s="3" t="s">
        <v>332</v>
      </c>
      <c r="C2841" s="1">
        <v>43300101</v>
      </c>
      <c r="D2841" t="s">
        <v>67</v>
      </c>
      <c r="H2841" t="str">
        <f t="shared" si="282"/>
        <v>12400990151</v>
      </c>
      <c r="I2841" t="str">
        <f t="shared" si="282"/>
        <v>12400990151</v>
      </c>
      <c r="K2841" t="str">
        <f>""</f>
        <v/>
      </c>
      <c r="M2841" t="s">
        <v>68</v>
      </c>
      <c r="N2841" t="str">
        <f t="shared" si="281"/>
        <v>FOR</v>
      </c>
      <c r="O2841" t="s">
        <v>69</v>
      </c>
      <c r="P2841" s="3" t="s">
        <v>75</v>
      </c>
      <c r="Q2841">
        <v>2015</v>
      </c>
      <c r="R2841" s="2">
        <v>42117</v>
      </c>
      <c r="S2841" s="2">
        <v>42163</v>
      </c>
      <c r="T2841" s="2">
        <v>42153</v>
      </c>
      <c r="U2841" s="2">
        <v>42213</v>
      </c>
      <c r="V2841" t="s">
        <v>71</v>
      </c>
      <c r="W2841" t="str">
        <f>"           201550050"</f>
        <v xml:space="preserve">           201550050</v>
      </c>
      <c r="X2841" s="1">
        <v>10384.64</v>
      </c>
      <c r="Y2841">
        <v>0</v>
      </c>
      <c r="Z2841"/>
      <c r="AB2841"/>
      <c r="AC2841" s="1">
        <v>8512</v>
      </c>
      <c r="AD2841">
        <v>218</v>
      </c>
      <c r="AE2841" s="1">
        <v>1855616</v>
      </c>
      <c r="AF2841">
        <v>0</v>
      </c>
      <c r="AJ2841">
        <v>0</v>
      </c>
      <c r="AK2841">
        <v>0</v>
      </c>
      <c r="AL2841">
        <v>0</v>
      </c>
      <c r="AM2841">
        <v>0</v>
      </c>
      <c r="AN2841">
        <v>0</v>
      </c>
      <c r="AO2841">
        <v>0</v>
      </c>
      <c r="AP2841" s="2">
        <v>42746</v>
      </c>
      <c r="AQ2841" t="s">
        <v>72</v>
      </c>
      <c r="AR2841" t="s">
        <v>72</v>
      </c>
      <c r="AS2841">
        <v>638</v>
      </c>
      <c r="AT2841" s="4">
        <v>42431</v>
      </c>
      <c r="AU2841" t="s">
        <v>73</v>
      </c>
      <c r="AV2841">
        <v>638</v>
      </c>
      <c r="AW2841" s="4">
        <v>42431</v>
      </c>
      <c r="BD2841">
        <v>0</v>
      </c>
      <c r="BN2841" t="s">
        <v>74</v>
      </c>
    </row>
    <row r="2842" spans="1:66">
      <c r="A2842">
        <v>100917</v>
      </c>
      <c r="B2842" s="3" t="s">
        <v>332</v>
      </c>
      <c r="C2842" s="1">
        <v>43300101</v>
      </c>
      <c r="D2842" t="s">
        <v>67</v>
      </c>
      <c r="H2842" t="str">
        <f t="shared" si="282"/>
        <v>12400990151</v>
      </c>
      <c r="I2842" t="str">
        <f t="shared" si="282"/>
        <v>12400990151</v>
      </c>
      <c r="K2842" t="str">
        <f>""</f>
        <v/>
      </c>
      <c r="M2842" t="s">
        <v>68</v>
      </c>
      <c r="N2842" t="str">
        <f t="shared" si="281"/>
        <v>FOR</v>
      </c>
      <c r="O2842" t="s">
        <v>69</v>
      </c>
      <c r="P2842" s="3" t="s">
        <v>75</v>
      </c>
      <c r="Q2842">
        <v>2015</v>
      </c>
      <c r="R2842" s="2">
        <v>42158</v>
      </c>
      <c r="S2842" s="2">
        <v>42307</v>
      </c>
      <c r="T2842" s="2">
        <v>42306</v>
      </c>
      <c r="U2842" s="2">
        <v>42366</v>
      </c>
      <c r="V2842" t="s">
        <v>71</v>
      </c>
      <c r="W2842" t="str">
        <f>"           201550372"</f>
        <v xml:space="preserve">           201550372</v>
      </c>
      <c r="X2842">
        <v>793</v>
      </c>
      <c r="Y2842">
        <v>0</v>
      </c>
      <c r="Z2842" s="3">
        <v>650</v>
      </c>
      <c r="AA2842">
        <v>318</v>
      </c>
      <c r="AB2842" s="5">
        <v>206700</v>
      </c>
      <c r="AC2842">
        <v>650</v>
      </c>
      <c r="AD2842">
        <v>318</v>
      </c>
      <c r="AE2842" s="1">
        <v>206700</v>
      </c>
      <c r="AF2842">
        <v>0</v>
      </c>
      <c r="AJ2842">
        <v>0</v>
      </c>
      <c r="AK2842">
        <v>0</v>
      </c>
      <c r="AL2842">
        <v>0</v>
      </c>
      <c r="AM2842">
        <v>0</v>
      </c>
      <c r="AN2842">
        <v>0</v>
      </c>
      <c r="AO2842">
        <v>0</v>
      </c>
      <c r="AP2842" s="2">
        <v>42746</v>
      </c>
      <c r="AQ2842" t="s">
        <v>72</v>
      </c>
      <c r="AR2842" t="s">
        <v>72</v>
      </c>
      <c r="AS2842">
        <v>3061</v>
      </c>
      <c r="AT2842" s="4">
        <v>42684</v>
      </c>
      <c r="AU2842" t="s">
        <v>73</v>
      </c>
      <c r="AV2842">
        <v>3061</v>
      </c>
      <c r="AW2842" s="4">
        <v>42684</v>
      </c>
      <c r="BD2842">
        <v>0</v>
      </c>
      <c r="BN2842" t="s">
        <v>74</v>
      </c>
    </row>
    <row r="2843" spans="1:66">
      <c r="A2843">
        <v>100917</v>
      </c>
      <c r="B2843" s="3" t="s">
        <v>332</v>
      </c>
      <c r="C2843" s="1">
        <v>43300101</v>
      </c>
      <c r="D2843" t="s">
        <v>67</v>
      </c>
      <c r="H2843" t="str">
        <f t="shared" si="282"/>
        <v>12400990151</v>
      </c>
      <c r="I2843" t="str">
        <f t="shared" si="282"/>
        <v>12400990151</v>
      </c>
      <c r="K2843" t="str">
        <f>""</f>
        <v/>
      </c>
      <c r="M2843" t="s">
        <v>68</v>
      </c>
      <c r="N2843" t="str">
        <f t="shared" si="281"/>
        <v>FOR</v>
      </c>
      <c r="O2843" t="s">
        <v>69</v>
      </c>
      <c r="P2843" s="3" t="s">
        <v>75</v>
      </c>
      <c r="Q2843">
        <v>2015</v>
      </c>
      <c r="R2843" s="2">
        <v>42186</v>
      </c>
      <c r="S2843" s="2">
        <v>42228</v>
      </c>
      <c r="T2843" s="2">
        <v>42223</v>
      </c>
      <c r="U2843" s="2">
        <v>42283</v>
      </c>
      <c r="V2843" t="s">
        <v>71</v>
      </c>
      <c r="W2843" t="str">
        <f>"           201550496"</f>
        <v xml:space="preserve">           201550496</v>
      </c>
      <c r="X2843">
        <v>793</v>
      </c>
      <c r="Y2843">
        <v>0</v>
      </c>
      <c r="Z2843" s="3">
        <v>650</v>
      </c>
      <c r="AA2843">
        <v>401</v>
      </c>
      <c r="AB2843" s="5">
        <v>260650</v>
      </c>
      <c r="AC2843">
        <v>650</v>
      </c>
      <c r="AD2843">
        <v>401</v>
      </c>
      <c r="AE2843" s="1">
        <v>260650</v>
      </c>
      <c r="AF2843">
        <v>0</v>
      </c>
      <c r="AJ2843">
        <v>0</v>
      </c>
      <c r="AK2843">
        <v>0</v>
      </c>
      <c r="AL2843">
        <v>0</v>
      </c>
      <c r="AM2843">
        <v>0</v>
      </c>
      <c r="AN2843">
        <v>0</v>
      </c>
      <c r="AO2843">
        <v>0</v>
      </c>
      <c r="AP2843" s="2">
        <v>42746</v>
      </c>
      <c r="AQ2843" t="s">
        <v>72</v>
      </c>
      <c r="AR2843" t="s">
        <v>72</v>
      </c>
      <c r="AS2843">
        <v>3061</v>
      </c>
      <c r="AT2843" s="4">
        <v>42684</v>
      </c>
      <c r="AU2843" t="s">
        <v>73</v>
      </c>
      <c r="AV2843">
        <v>3061</v>
      </c>
      <c r="AW2843" s="4">
        <v>42684</v>
      </c>
      <c r="BD2843">
        <v>0</v>
      </c>
      <c r="BN2843" t="s">
        <v>74</v>
      </c>
    </row>
    <row r="2844" spans="1:66">
      <c r="A2844">
        <v>100917</v>
      </c>
      <c r="B2844" s="3" t="s">
        <v>332</v>
      </c>
      <c r="C2844" s="1">
        <v>43300101</v>
      </c>
      <c r="D2844" t="s">
        <v>67</v>
      </c>
      <c r="H2844" t="str">
        <f t="shared" si="282"/>
        <v>12400990151</v>
      </c>
      <c r="I2844" t="str">
        <f t="shared" si="282"/>
        <v>12400990151</v>
      </c>
      <c r="K2844" t="str">
        <f>""</f>
        <v/>
      </c>
      <c r="M2844" t="s">
        <v>68</v>
      </c>
      <c r="N2844" t="str">
        <f t="shared" si="281"/>
        <v>FOR</v>
      </c>
      <c r="O2844" t="s">
        <v>69</v>
      </c>
      <c r="P2844" s="3" t="s">
        <v>75</v>
      </c>
      <c r="Q2844">
        <v>2015</v>
      </c>
      <c r="R2844" s="2">
        <v>42219</v>
      </c>
      <c r="S2844" s="2">
        <v>42233</v>
      </c>
      <c r="T2844" s="2">
        <v>42230</v>
      </c>
      <c r="U2844" s="2">
        <v>42290</v>
      </c>
      <c r="V2844" t="s">
        <v>71</v>
      </c>
      <c r="W2844" t="str">
        <f>"           201550639"</f>
        <v xml:space="preserve">           201550639</v>
      </c>
      <c r="X2844">
        <v>793</v>
      </c>
      <c r="Y2844">
        <v>0</v>
      </c>
      <c r="Z2844" s="3">
        <v>650</v>
      </c>
      <c r="AA2844">
        <v>394</v>
      </c>
      <c r="AB2844" s="5">
        <v>256100</v>
      </c>
      <c r="AC2844">
        <v>650</v>
      </c>
      <c r="AD2844">
        <v>394</v>
      </c>
      <c r="AE2844" s="1">
        <v>256100</v>
      </c>
      <c r="AF2844">
        <v>0</v>
      </c>
      <c r="AJ2844">
        <v>0</v>
      </c>
      <c r="AK2844">
        <v>0</v>
      </c>
      <c r="AL2844">
        <v>0</v>
      </c>
      <c r="AM2844">
        <v>0</v>
      </c>
      <c r="AN2844">
        <v>0</v>
      </c>
      <c r="AO2844">
        <v>0</v>
      </c>
      <c r="AP2844" s="2">
        <v>42746</v>
      </c>
      <c r="AQ2844" t="s">
        <v>72</v>
      </c>
      <c r="AR2844" t="s">
        <v>72</v>
      </c>
      <c r="AS2844">
        <v>3061</v>
      </c>
      <c r="AT2844" s="4">
        <v>42684</v>
      </c>
      <c r="AU2844" t="s">
        <v>73</v>
      </c>
      <c r="AV2844">
        <v>3061</v>
      </c>
      <c r="AW2844" s="4">
        <v>42684</v>
      </c>
      <c r="BD2844">
        <v>0</v>
      </c>
      <c r="BN2844" t="s">
        <v>74</v>
      </c>
    </row>
    <row r="2845" spans="1:66">
      <c r="A2845">
        <v>100917</v>
      </c>
      <c r="B2845" s="3" t="s">
        <v>332</v>
      </c>
      <c r="C2845" s="1">
        <v>43300101</v>
      </c>
      <c r="D2845" t="s">
        <v>67</v>
      </c>
      <c r="H2845" t="str">
        <f t="shared" si="282"/>
        <v>12400990151</v>
      </c>
      <c r="I2845" t="str">
        <f t="shared" si="282"/>
        <v>12400990151</v>
      </c>
      <c r="K2845" t="str">
        <f>""</f>
        <v/>
      </c>
      <c r="M2845" t="s">
        <v>68</v>
      </c>
      <c r="N2845" t="str">
        <f t="shared" si="281"/>
        <v>FOR</v>
      </c>
      <c r="O2845" t="s">
        <v>69</v>
      </c>
      <c r="P2845" s="3" t="s">
        <v>75</v>
      </c>
      <c r="Q2845">
        <v>2015</v>
      </c>
      <c r="R2845" s="2">
        <v>42249</v>
      </c>
      <c r="S2845" s="2">
        <v>42272</v>
      </c>
      <c r="T2845" s="2">
        <v>42272</v>
      </c>
      <c r="U2845" s="2">
        <v>42332</v>
      </c>
      <c r="V2845" t="s">
        <v>71</v>
      </c>
      <c r="W2845" t="str">
        <f>"           201550749"</f>
        <v xml:space="preserve">           201550749</v>
      </c>
      <c r="X2845">
        <v>793</v>
      </c>
      <c r="Y2845">
        <v>0</v>
      </c>
      <c r="Z2845" s="3">
        <v>650</v>
      </c>
      <c r="AA2845">
        <v>352</v>
      </c>
      <c r="AB2845" s="5">
        <v>228800</v>
      </c>
      <c r="AC2845">
        <v>650</v>
      </c>
      <c r="AD2845">
        <v>352</v>
      </c>
      <c r="AE2845" s="1">
        <v>228800</v>
      </c>
      <c r="AF2845">
        <v>0</v>
      </c>
      <c r="AJ2845">
        <v>0</v>
      </c>
      <c r="AK2845">
        <v>0</v>
      </c>
      <c r="AL2845">
        <v>0</v>
      </c>
      <c r="AM2845">
        <v>0</v>
      </c>
      <c r="AN2845">
        <v>0</v>
      </c>
      <c r="AO2845">
        <v>0</v>
      </c>
      <c r="AP2845" s="2">
        <v>42746</v>
      </c>
      <c r="AQ2845" t="s">
        <v>72</v>
      </c>
      <c r="AR2845" t="s">
        <v>72</v>
      </c>
      <c r="AS2845">
        <v>3061</v>
      </c>
      <c r="AT2845" s="4">
        <v>42684</v>
      </c>
      <c r="AU2845" t="s">
        <v>73</v>
      </c>
      <c r="AV2845">
        <v>3061</v>
      </c>
      <c r="AW2845" s="4">
        <v>42684</v>
      </c>
      <c r="BD2845">
        <v>0</v>
      </c>
      <c r="BN2845" t="s">
        <v>74</v>
      </c>
    </row>
    <row r="2846" spans="1:66">
      <c r="A2846">
        <v>100917</v>
      </c>
      <c r="B2846" s="3" t="s">
        <v>332</v>
      </c>
      <c r="C2846" s="1">
        <v>43300101</v>
      </c>
      <c r="D2846" t="s">
        <v>67</v>
      </c>
      <c r="H2846" t="str">
        <f t="shared" si="282"/>
        <v>12400990151</v>
      </c>
      <c r="I2846" t="str">
        <f t="shared" si="282"/>
        <v>12400990151</v>
      </c>
      <c r="K2846" t="str">
        <f>""</f>
        <v/>
      </c>
      <c r="M2846" t="s">
        <v>68</v>
      </c>
      <c r="N2846" t="str">
        <f t="shared" si="281"/>
        <v>FOR</v>
      </c>
      <c r="O2846" t="s">
        <v>69</v>
      </c>
      <c r="P2846" s="3" t="s">
        <v>75</v>
      </c>
      <c r="Q2846">
        <v>2015</v>
      </c>
      <c r="R2846" s="2">
        <v>42296</v>
      </c>
      <c r="S2846" s="2">
        <v>42299</v>
      </c>
      <c r="T2846" s="2">
        <v>42297</v>
      </c>
      <c r="U2846" s="2">
        <v>42357</v>
      </c>
      <c r="V2846" t="s">
        <v>71</v>
      </c>
      <c r="W2846" t="str">
        <f>"           201550957"</f>
        <v xml:space="preserve">           201550957</v>
      </c>
      <c r="X2846">
        <v>793</v>
      </c>
      <c r="Y2846">
        <v>0</v>
      </c>
      <c r="Z2846" s="3">
        <v>650</v>
      </c>
      <c r="AA2846">
        <v>327</v>
      </c>
      <c r="AB2846" s="5">
        <v>212550</v>
      </c>
      <c r="AC2846">
        <v>650</v>
      </c>
      <c r="AD2846">
        <v>327</v>
      </c>
      <c r="AE2846" s="1">
        <v>212550</v>
      </c>
      <c r="AF2846">
        <v>0</v>
      </c>
      <c r="AJ2846">
        <v>0</v>
      </c>
      <c r="AK2846">
        <v>0</v>
      </c>
      <c r="AL2846">
        <v>0</v>
      </c>
      <c r="AM2846">
        <v>0</v>
      </c>
      <c r="AN2846">
        <v>0</v>
      </c>
      <c r="AO2846">
        <v>0</v>
      </c>
      <c r="AP2846" s="2">
        <v>42746</v>
      </c>
      <c r="AQ2846" t="s">
        <v>72</v>
      </c>
      <c r="AR2846" t="s">
        <v>72</v>
      </c>
      <c r="AS2846">
        <v>3061</v>
      </c>
      <c r="AT2846" s="4">
        <v>42684</v>
      </c>
      <c r="AU2846" t="s">
        <v>73</v>
      </c>
      <c r="AV2846">
        <v>3061</v>
      </c>
      <c r="AW2846" s="4">
        <v>42684</v>
      </c>
      <c r="BD2846">
        <v>0</v>
      </c>
      <c r="BN2846" t="s">
        <v>74</v>
      </c>
    </row>
    <row r="2847" spans="1:66">
      <c r="A2847">
        <v>100917</v>
      </c>
      <c r="B2847" s="3" t="s">
        <v>332</v>
      </c>
      <c r="C2847" s="1">
        <v>43300101</v>
      </c>
      <c r="D2847" t="s">
        <v>67</v>
      </c>
      <c r="H2847" t="str">
        <f t="shared" si="282"/>
        <v>12400990151</v>
      </c>
      <c r="I2847" t="str">
        <f t="shared" si="282"/>
        <v>12400990151</v>
      </c>
      <c r="K2847" t="str">
        <f>""</f>
        <v/>
      </c>
      <c r="M2847" t="s">
        <v>68</v>
      </c>
      <c r="N2847" t="str">
        <f t="shared" si="281"/>
        <v>FOR</v>
      </c>
      <c r="O2847" t="s">
        <v>69</v>
      </c>
      <c r="P2847" s="3" t="s">
        <v>75</v>
      </c>
      <c r="Q2847">
        <v>2015</v>
      </c>
      <c r="R2847" s="2">
        <v>42310</v>
      </c>
      <c r="S2847" s="2">
        <v>42313</v>
      </c>
      <c r="T2847" s="2">
        <v>42312</v>
      </c>
      <c r="U2847" s="2">
        <v>42372</v>
      </c>
      <c r="V2847" t="s">
        <v>71</v>
      </c>
      <c r="W2847" t="str">
        <f>"           201551043"</f>
        <v xml:space="preserve">           201551043</v>
      </c>
      <c r="X2847">
        <v>793</v>
      </c>
      <c r="Y2847">
        <v>0</v>
      </c>
      <c r="Z2847" s="3">
        <v>650</v>
      </c>
      <c r="AA2847">
        <v>312</v>
      </c>
      <c r="AB2847" s="5">
        <v>202800</v>
      </c>
      <c r="AC2847">
        <v>650</v>
      </c>
      <c r="AD2847">
        <v>312</v>
      </c>
      <c r="AE2847" s="1">
        <v>202800</v>
      </c>
      <c r="AF2847">
        <v>0</v>
      </c>
      <c r="AJ2847">
        <v>0</v>
      </c>
      <c r="AK2847">
        <v>0</v>
      </c>
      <c r="AL2847">
        <v>0</v>
      </c>
      <c r="AM2847">
        <v>0</v>
      </c>
      <c r="AN2847">
        <v>0</v>
      </c>
      <c r="AO2847">
        <v>0</v>
      </c>
      <c r="AP2847" s="2">
        <v>42746</v>
      </c>
      <c r="AQ2847" t="s">
        <v>72</v>
      </c>
      <c r="AR2847" t="s">
        <v>72</v>
      </c>
      <c r="AS2847">
        <v>3061</v>
      </c>
      <c r="AT2847" s="4">
        <v>42684</v>
      </c>
      <c r="AU2847" t="s">
        <v>73</v>
      </c>
      <c r="AV2847">
        <v>3061</v>
      </c>
      <c r="AW2847" s="4">
        <v>42684</v>
      </c>
      <c r="BD2847">
        <v>0</v>
      </c>
      <c r="BN2847" t="s">
        <v>74</v>
      </c>
    </row>
    <row r="2848" spans="1:66">
      <c r="A2848">
        <v>100917</v>
      </c>
      <c r="B2848" s="3" t="s">
        <v>332</v>
      </c>
      <c r="C2848" s="1">
        <v>43300101</v>
      </c>
      <c r="D2848" t="s">
        <v>67</v>
      </c>
      <c r="H2848" t="str">
        <f t="shared" si="282"/>
        <v>12400990151</v>
      </c>
      <c r="I2848" t="str">
        <f t="shared" si="282"/>
        <v>12400990151</v>
      </c>
      <c r="K2848" t="str">
        <f>""</f>
        <v/>
      </c>
      <c r="M2848" t="s">
        <v>68</v>
      </c>
      <c r="N2848" t="str">
        <f t="shared" si="281"/>
        <v>FOR</v>
      </c>
      <c r="O2848" t="s">
        <v>69</v>
      </c>
      <c r="P2848" s="3" t="s">
        <v>75</v>
      </c>
      <c r="Q2848">
        <v>2015</v>
      </c>
      <c r="R2848" s="2">
        <v>42314</v>
      </c>
      <c r="S2848" s="2">
        <v>42318</v>
      </c>
      <c r="T2848" s="2">
        <v>42317</v>
      </c>
      <c r="U2848" s="2">
        <v>42377</v>
      </c>
      <c r="V2848" t="s">
        <v>71</v>
      </c>
      <c r="W2848" t="str">
        <f>"           201551071"</f>
        <v xml:space="preserve">           201551071</v>
      </c>
      <c r="X2848" s="1">
        <v>5192.32</v>
      </c>
      <c r="Y2848">
        <v>0</v>
      </c>
      <c r="Z2848" s="5">
        <v>4256</v>
      </c>
      <c r="AA2848">
        <v>271</v>
      </c>
      <c r="AB2848" s="5">
        <v>1153376</v>
      </c>
      <c r="AC2848" s="1">
        <v>4256</v>
      </c>
      <c r="AD2848">
        <v>271</v>
      </c>
      <c r="AE2848" s="1">
        <v>1153376</v>
      </c>
      <c r="AF2848">
        <v>0</v>
      </c>
      <c r="AJ2848">
        <v>0</v>
      </c>
      <c r="AK2848">
        <v>0</v>
      </c>
      <c r="AL2848">
        <v>0</v>
      </c>
      <c r="AM2848">
        <v>0</v>
      </c>
      <c r="AN2848">
        <v>0</v>
      </c>
      <c r="AO2848">
        <v>0</v>
      </c>
      <c r="AP2848" s="2">
        <v>42746</v>
      </c>
      <c r="AQ2848" t="s">
        <v>72</v>
      </c>
      <c r="AR2848" t="s">
        <v>72</v>
      </c>
      <c r="AS2848">
        <v>2688</v>
      </c>
      <c r="AT2848" s="4">
        <v>42648</v>
      </c>
      <c r="AU2848" t="s">
        <v>73</v>
      </c>
      <c r="AV2848">
        <v>2688</v>
      </c>
      <c r="AW2848" s="4">
        <v>42648</v>
      </c>
      <c r="BD2848">
        <v>0</v>
      </c>
      <c r="BN2848" t="s">
        <v>74</v>
      </c>
    </row>
    <row r="2849" spans="1:66">
      <c r="A2849">
        <v>100917</v>
      </c>
      <c r="B2849" s="3" t="s">
        <v>332</v>
      </c>
      <c r="C2849" s="1">
        <v>43300101</v>
      </c>
      <c r="D2849" t="s">
        <v>67</v>
      </c>
      <c r="H2849" t="str">
        <f t="shared" si="282"/>
        <v>12400990151</v>
      </c>
      <c r="I2849" t="str">
        <f t="shared" si="282"/>
        <v>12400990151</v>
      </c>
      <c r="K2849" t="str">
        <f>""</f>
        <v/>
      </c>
      <c r="M2849" t="s">
        <v>68</v>
      </c>
      <c r="N2849" t="str">
        <f t="shared" si="281"/>
        <v>FOR</v>
      </c>
      <c r="O2849" t="s">
        <v>69</v>
      </c>
      <c r="P2849" s="3" t="s">
        <v>75</v>
      </c>
      <c r="Q2849">
        <v>2015</v>
      </c>
      <c r="R2849" s="2">
        <v>42340</v>
      </c>
      <c r="S2849" s="2">
        <v>42342</v>
      </c>
      <c r="T2849" s="2">
        <v>42341</v>
      </c>
      <c r="U2849" s="2">
        <v>42401</v>
      </c>
      <c r="V2849" t="s">
        <v>71</v>
      </c>
      <c r="W2849" t="str">
        <f>"           201551216"</f>
        <v xml:space="preserve">           201551216</v>
      </c>
      <c r="X2849">
        <v>793</v>
      </c>
      <c r="Y2849">
        <v>0</v>
      </c>
      <c r="Z2849" s="3">
        <v>650</v>
      </c>
      <c r="AA2849">
        <v>283</v>
      </c>
      <c r="AB2849" s="5">
        <v>183950</v>
      </c>
      <c r="AC2849">
        <v>650</v>
      </c>
      <c r="AD2849">
        <v>283</v>
      </c>
      <c r="AE2849" s="1">
        <v>183950</v>
      </c>
      <c r="AF2849">
        <v>0</v>
      </c>
      <c r="AJ2849">
        <v>0</v>
      </c>
      <c r="AK2849">
        <v>0</v>
      </c>
      <c r="AL2849">
        <v>0</v>
      </c>
      <c r="AM2849">
        <v>0</v>
      </c>
      <c r="AN2849">
        <v>0</v>
      </c>
      <c r="AO2849">
        <v>0</v>
      </c>
      <c r="AP2849" s="2">
        <v>42746</v>
      </c>
      <c r="AQ2849" t="s">
        <v>72</v>
      </c>
      <c r="AR2849" t="s">
        <v>72</v>
      </c>
      <c r="AS2849">
        <v>3061</v>
      </c>
      <c r="AT2849" s="4">
        <v>42684</v>
      </c>
      <c r="AU2849" t="s">
        <v>73</v>
      </c>
      <c r="AV2849">
        <v>3061</v>
      </c>
      <c r="AW2849" s="4">
        <v>42684</v>
      </c>
      <c r="BD2849">
        <v>0</v>
      </c>
      <c r="BN2849" t="s">
        <v>74</v>
      </c>
    </row>
    <row r="2850" spans="1:66">
      <c r="A2850">
        <v>100917</v>
      </c>
      <c r="B2850" s="3" t="s">
        <v>332</v>
      </c>
      <c r="C2850" s="1">
        <v>43300101</v>
      </c>
      <c r="D2850" t="s">
        <v>67</v>
      </c>
      <c r="H2850" t="str">
        <f t="shared" si="282"/>
        <v>12400990151</v>
      </c>
      <c r="I2850" t="str">
        <f t="shared" si="282"/>
        <v>12400990151</v>
      </c>
      <c r="K2850" t="str">
        <f>""</f>
        <v/>
      </c>
      <c r="M2850" t="s">
        <v>68</v>
      </c>
      <c r="N2850" t="str">
        <f t="shared" si="281"/>
        <v>FOR</v>
      </c>
      <c r="O2850" t="s">
        <v>69</v>
      </c>
      <c r="P2850" s="3" t="s">
        <v>75</v>
      </c>
      <c r="Q2850">
        <v>2016</v>
      </c>
      <c r="R2850" s="2">
        <v>42544</v>
      </c>
      <c r="S2850" s="2">
        <v>42556</v>
      </c>
      <c r="T2850" s="2">
        <v>42551</v>
      </c>
      <c r="U2850" s="2">
        <v>42611</v>
      </c>
      <c r="V2850" t="s">
        <v>71</v>
      </c>
      <c r="W2850" t="str">
        <f>"           201651155"</f>
        <v xml:space="preserve">           201651155</v>
      </c>
      <c r="X2850" s="1">
        <v>5192.32</v>
      </c>
      <c r="Y2850">
        <v>0</v>
      </c>
      <c r="Z2850" s="5">
        <v>4256</v>
      </c>
      <c r="AA2850">
        <v>37</v>
      </c>
      <c r="AB2850" s="5">
        <v>157472</v>
      </c>
      <c r="AC2850" s="1">
        <v>4256</v>
      </c>
      <c r="AD2850">
        <v>37</v>
      </c>
      <c r="AE2850" s="1">
        <v>157472</v>
      </c>
      <c r="AF2850">
        <v>0</v>
      </c>
      <c r="AJ2850">
        <v>0</v>
      </c>
      <c r="AK2850">
        <v>0</v>
      </c>
      <c r="AL2850">
        <v>0</v>
      </c>
      <c r="AM2850" s="1">
        <v>5192.32</v>
      </c>
      <c r="AN2850" s="1">
        <v>5192.32</v>
      </c>
      <c r="AO2850" s="1">
        <v>5192.32</v>
      </c>
      <c r="AP2850" s="2">
        <v>42746</v>
      </c>
      <c r="AQ2850" t="s">
        <v>72</v>
      </c>
      <c r="AR2850" t="s">
        <v>72</v>
      </c>
      <c r="AS2850">
        <v>2688</v>
      </c>
      <c r="AT2850" s="4">
        <v>42648</v>
      </c>
      <c r="AU2850" t="s">
        <v>73</v>
      </c>
      <c r="AV2850">
        <v>2688</v>
      </c>
      <c r="AW2850" s="4">
        <v>42648</v>
      </c>
      <c r="BD2850">
        <v>0</v>
      </c>
      <c r="BN2850" t="s">
        <v>74</v>
      </c>
    </row>
    <row r="2851" spans="1:66" hidden="1">
      <c r="A2851">
        <v>100930</v>
      </c>
      <c r="B2851" s="3" t="s">
        <v>333</v>
      </c>
      <c r="C2851" s="1">
        <v>43300101</v>
      </c>
      <c r="D2851" t="s">
        <v>67</v>
      </c>
      <c r="H2851" t="str">
        <f t="shared" ref="H2851:I2862" si="283">"06111530637"</f>
        <v>06111530637</v>
      </c>
      <c r="I2851" t="str">
        <f t="shared" si="283"/>
        <v>06111530637</v>
      </c>
      <c r="K2851" t="str">
        <f>""</f>
        <v/>
      </c>
      <c r="M2851" t="s">
        <v>68</v>
      </c>
      <c r="N2851" t="str">
        <f t="shared" si="281"/>
        <v>FOR</v>
      </c>
      <c r="O2851" t="s">
        <v>69</v>
      </c>
      <c r="P2851" s="3" t="s">
        <v>75</v>
      </c>
      <c r="Q2851">
        <v>2015</v>
      </c>
      <c r="R2851" s="2">
        <v>42203</v>
      </c>
      <c r="S2851" s="2">
        <v>42331</v>
      </c>
      <c r="T2851" s="2">
        <v>42328</v>
      </c>
      <c r="U2851" s="2">
        <v>42388</v>
      </c>
      <c r="V2851" t="s">
        <v>71</v>
      </c>
      <c r="W2851" t="str">
        <f>"                4954"</f>
        <v xml:space="preserve">                4954</v>
      </c>
      <c r="X2851">
        <v>29.28</v>
      </c>
      <c r="Y2851">
        <v>0</v>
      </c>
      <c r="Z2851"/>
      <c r="AB2851"/>
      <c r="AC2851">
        <v>24</v>
      </c>
      <c r="AD2851">
        <v>27</v>
      </c>
      <c r="AE2851">
        <v>648</v>
      </c>
      <c r="AF2851">
        <v>0</v>
      </c>
      <c r="AJ2851">
        <v>0</v>
      </c>
      <c r="AK2851">
        <v>0</v>
      </c>
      <c r="AL2851">
        <v>0</v>
      </c>
      <c r="AM2851">
        <v>0</v>
      </c>
      <c r="AN2851">
        <v>0</v>
      </c>
      <c r="AO2851">
        <v>0</v>
      </c>
      <c r="AP2851" s="2">
        <v>42746</v>
      </c>
      <c r="AQ2851" t="s">
        <v>72</v>
      </c>
      <c r="AR2851" t="s">
        <v>72</v>
      </c>
      <c r="AS2851">
        <v>375</v>
      </c>
      <c r="AT2851" s="4">
        <v>42415</v>
      </c>
      <c r="AU2851" t="s">
        <v>73</v>
      </c>
      <c r="AV2851">
        <v>375</v>
      </c>
      <c r="AW2851" s="4">
        <v>42415</v>
      </c>
      <c r="BD2851">
        <v>0</v>
      </c>
      <c r="BN2851" t="s">
        <v>74</v>
      </c>
    </row>
    <row r="2852" spans="1:66" hidden="1">
      <c r="A2852">
        <v>100930</v>
      </c>
      <c r="B2852" s="3" t="s">
        <v>333</v>
      </c>
      <c r="C2852" s="1">
        <v>43300101</v>
      </c>
      <c r="D2852" t="s">
        <v>67</v>
      </c>
      <c r="H2852" t="str">
        <f t="shared" si="283"/>
        <v>06111530637</v>
      </c>
      <c r="I2852" t="str">
        <f t="shared" si="283"/>
        <v>06111530637</v>
      </c>
      <c r="K2852" t="str">
        <f>""</f>
        <v/>
      </c>
      <c r="M2852" t="s">
        <v>68</v>
      </c>
      <c r="N2852" t="str">
        <f t="shared" si="281"/>
        <v>FOR</v>
      </c>
      <c r="O2852" t="s">
        <v>69</v>
      </c>
      <c r="P2852" s="3" t="s">
        <v>75</v>
      </c>
      <c r="Q2852">
        <v>2015</v>
      </c>
      <c r="R2852" s="2">
        <v>42215</v>
      </c>
      <c r="S2852" s="2">
        <v>42229</v>
      </c>
      <c r="T2852" s="2">
        <v>42220</v>
      </c>
      <c r="U2852" s="2">
        <v>42280</v>
      </c>
      <c r="V2852" t="s">
        <v>71</v>
      </c>
      <c r="W2852" t="str">
        <f>"                5227"</f>
        <v xml:space="preserve">                5227</v>
      </c>
      <c r="X2852">
        <v>43.92</v>
      </c>
      <c r="Y2852">
        <v>0</v>
      </c>
      <c r="Z2852"/>
      <c r="AB2852"/>
      <c r="AC2852">
        <v>36</v>
      </c>
      <c r="AD2852">
        <v>135</v>
      </c>
      <c r="AE2852" s="1">
        <v>4860</v>
      </c>
      <c r="AF2852">
        <v>0</v>
      </c>
      <c r="AJ2852">
        <v>0</v>
      </c>
      <c r="AK2852">
        <v>0</v>
      </c>
      <c r="AL2852">
        <v>0</v>
      </c>
      <c r="AM2852">
        <v>0</v>
      </c>
      <c r="AN2852">
        <v>0</v>
      </c>
      <c r="AO2852">
        <v>0</v>
      </c>
      <c r="AP2852" s="2">
        <v>42746</v>
      </c>
      <c r="AQ2852" t="s">
        <v>72</v>
      </c>
      <c r="AR2852" t="s">
        <v>72</v>
      </c>
      <c r="AS2852">
        <v>375</v>
      </c>
      <c r="AT2852" s="4">
        <v>42415</v>
      </c>
      <c r="AU2852" t="s">
        <v>73</v>
      </c>
      <c r="AV2852">
        <v>375</v>
      </c>
      <c r="AW2852" s="4">
        <v>42415</v>
      </c>
      <c r="BD2852">
        <v>0</v>
      </c>
      <c r="BN2852" t="s">
        <v>74</v>
      </c>
    </row>
    <row r="2853" spans="1:66" hidden="1">
      <c r="A2853">
        <v>100930</v>
      </c>
      <c r="B2853" s="3" t="s">
        <v>333</v>
      </c>
      <c r="C2853" s="1">
        <v>43300101</v>
      </c>
      <c r="D2853" t="s">
        <v>67</v>
      </c>
      <c r="H2853" t="str">
        <f t="shared" si="283"/>
        <v>06111530637</v>
      </c>
      <c r="I2853" t="str">
        <f t="shared" si="283"/>
        <v>06111530637</v>
      </c>
      <c r="K2853" t="str">
        <f>""</f>
        <v/>
      </c>
      <c r="M2853" t="s">
        <v>68</v>
      </c>
      <c r="N2853" t="str">
        <f t="shared" si="281"/>
        <v>FOR</v>
      </c>
      <c r="O2853" t="s">
        <v>69</v>
      </c>
      <c r="P2853" s="3" t="s">
        <v>75</v>
      </c>
      <c r="Q2853">
        <v>2015</v>
      </c>
      <c r="R2853" s="2">
        <v>42271</v>
      </c>
      <c r="S2853" s="2">
        <v>42320</v>
      </c>
      <c r="T2853" s="2">
        <v>42319</v>
      </c>
      <c r="U2853" s="2">
        <v>42379</v>
      </c>
      <c r="V2853" t="s">
        <v>71</v>
      </c>
      <c r="W2853" t="str">
        <f>"                6126"</f>
        <v xml:space="preserve">                6126</v>
      </c>
      <c r="X2853">
        <v>273.27999999999997</v>
      </c>
      <c r="Y2853">
        <v>0</v>
      </c>
      <c r="Z2853"/>
      <c r="AB2853"/>
      <c r="AC2853">
        <v>224</v>
      </c>
      <c r="AD2853">
        <v>36</v>
      </c>
      <c r="AE2853" s="1">
        <v>8064</v>
      </c>
      <c r="AF2853">
        <v>0</v>
      </c>
      <c r="AJ2853">
        <v>0</v>
      </c>
      <c r="AK2853">
        <v>0</v>
      </c>
      <c r="AL2853">
        <v>0</v>
      </c>
      <c r="AM2853">
        <v>0</v>
      </c>
      <c r="AN2853">
        <v>0</v>
      </c>
      <c r="AO2853">
        <v>0</v>
      </c>
      <c r="AP2853" s="2">
        <v>42746</v>
      </c>
      <c r="AQ2853" t="s">
        <v>72</v>
      </c>
      <c r="AR2853" t="s">
        <v>72</v>
      </c>
      <c r="AS2853">
        <v>375</v>
      </c>
      <c r="AT2853" s="4">
        <v>42415</v>
      </c>
      <c r="AU2853" t="s">
        <v>73</v>
      </c>
      <c r="AV2853">
        <v>375</v>
      </c>
      <c r="AW2853" s="4">
        <v>42415</v>
      </c>
      <c r="BD2853">
        <v>0</v>
      </c>
      <c r="BN2853" t="s">
        <v>74</v>
      </c>
    </row>
    <row r="2854" spans="1:66" hidden="1">
      <c r="A2854">
        <v>100930</v>
      </c>
      <c r="B2854" s="3" t="s">
        <v>333</v>
      </c>
      <c r="C2854" s="1">
        <v>43300101</v>
      </c>
      <c r="D2854" t="s">
        <v>67</v>
      </c>
      <c r="H2854" t="str">
        <f t="shared" si="283"/>
        <v>06111530637</v>
      </c>
      <c r="I2854" t="str">
        <f t="shared" si="283"/>
        <v>06111530637</v>
      </c>
      <c r="K2854" t="str">
        <f>""</f>
        <v/>
      </c>
      <c r="M2854" t="s">
        <v>68</v>
      </c>
      <c r="N2854" t="str">
        <f t="shared" si="281"/>
        <v>FOR</v>
      </c>
      <c r="O2854" t="s">
        <v>69</v>
      </c>
      <c r="P2854" s="3" t="s">
        <v>75</v>
      </c>
      <c r="Q2854">
        <v>2015</v>
      </c>
      <c r="R2854" s="2">
        <v>42308</v>
      </c>
      <c r="S2854" s="2">
        <v>42320</v>
      </c>
      <c r="T2854" s="2">
        <v>42319</v>
      </c>
      <c r="U2854" s="2">
        <v>42379</v>
      </c>
      <c r="V2854" t="s">
        <v>71</v>
      </c>
      <c r="W2854" t="str">
        <f>"                7025"</f>
        <v xml:space="preserve">                7025</v>
      </c>
      <c r="X2854">
        <v>341.6</v>
      </c>
      <c r="Y2854">
        <v>0</v>
      </c>
      <c r="Z2854"/>
      <c r="AB2854"/>
      <c r="AC2854">
        <v>280</v>
      </c>
      <c r="AD2854">
        <v>36</v>
      </c>
      <c r="AE2854" s="1">
        <v>10080</v>
      </c>
      <c r="AF2854">
        <v>0</v>
      </c>
      <c r="AJ2854">
        <v>0</v>
      </c>
      <c r="AK2854">
        <v>0</v>
      </c>
      <c r="AL2854">
        <v>0</v>
      </c>
      <c r="AM2854">
        <v>0</v>
      </c>
      <c r="AN2854">
        <v>0</v>
      </c>
      <c r="AO2854">
        <v>0</v>
      </c>
      <c r="AP2854" s="2">
        <v>42746</v>
      </c>
      <c r="AQ2854" t="s">
        <v>72</v>
      </c>
      <c r="AR2854" t="s">
        <v>72</v>
      </c>
      <c r="AS2854">
        <v>375</v>
      </c>
      <c r="AT2854" s="4">
        <v>42415</v>
      </c>
      <c r="AU2854" t="s">
        <v>73</v>
      </c>
      <c r="AV2854">
        <v>375</v>
      </c>
      <c r="AW2854" s="4">
        <v>42415</v>
      </c>
      <c r="BD2854">
        <v>0</v>
      </c>
      <c r="BN2854" t="s">
        <v>74</v>
      </c>
    </row>
    <row r="2855" spans="1:66">
      <c r="A2855">
        <v>100930</v>
      </c>
      <c r="B2855" s="3" t="s">
        <v>333</v>
      </c>
      <c r="C2855" s="1">
        <v>43300101</v>
      </c>
      <c r="D2855" t="s">
        <v>67</v>
      </c>
      <c r="H2855" t="str">
        <f t="shared" si="283"/>
        <v>06111530637</v>
      </c>
      <c r="I2855" t="str">
        <f t="shared" si="283"/>
        <v>06111530637</v>
      </c>
      <c r="K2855" t="str">
        <f>""</f>
        <v/>
      </c>
      <c r="M2855" t="s">
        <v>68</v>
      </c>
      <c r="N2855" t="str">
        <f t="shared" si="281"/>
        <v>FOR</v>
      </c>
      <c r="O2855" t="s">
        <v>69</v>
      </c>
      <c r="P2855" s="3" t="s">
        <v>75</v>
      </c>
      <c r="Q2855">
        <v>2015</v>
      </c>
      <c r="R2855" s="2">
        <v>42308</v>
      </c>
      <c r="S2855" s="2">
        <v>42320</v>
      </c>
      <c r="T2855" s="2">
        <v>42319</v>
      </c>
      <c r="U2855" s="2">
        <v>42379</v>
      </c>
      <c r="V2855" t="s">
        <v>71</v>
      </c>
      <c r="W2855" t="str">
        <f>"                7052"</f>
        <v xml:space="preserve">                7052</v>
      </c>
      <c r="X2855" s="1">
        <v>1183.4000000000001</v>
      </c>
      <c r="Y2855">
        <v>0</v>
      </c>
      <c r="Z2855" s="3">
        <v>970</v>
      </c>
      <c r="AA2855">
        <v>269</v>
      </c>
      <c r="AB2855" s="5">
        <v>260930</v>
      </c>
      <c r="AC2855">
        <v>970</v>
      </c>
      <c r="AD2855">
        <v>269</v>
      </c>
      <c r="AE2855" s="1">
        <v>260930</v>
      </c>
      <c r="AF2855">
        <v>0</v>
      </c>
      <c r="AJ2855">
        <v>0</v>
      </c>
      <c r="AK2855">
        <v>0</v>
      </c>
      <c r="AL2855">
        <v>0</v>
      </c>
      <c r="AM2855">
        <v>0</v>
      </c>
      <c r="AN2855">
        <v>0</v>
      </c>
      <c r="AO2855">
        <v>0</v>
      </c>
      <c r="AP2855" s="2">
        <v>42746</v>
      </c>
      <c r="AQ2855" t="s">
        <v>72</v>
      </c>
      <c r="AR2855" t="s">
        <v>72</v>
      </c>
      <c r="AS2855">
        <v>2692</v>
      </c>
      <c r="AT2855" s="4">
        <v>42648</v>
      </c>
      <c r="AU2855" t="s">
        <v>73</v>
      </c>
      <c r="AV2855">
        <v>2692</v>
      </c>
      <c r="AW2855" s="4">
        <v>42648</v>
      </c>
      <c r="BD2855">
        <v>0</v>
      </c>
      <c r="BN2855" t="s">
        <v>74</v>
      </c>
    </row>
    <row r="2856" spans="1:66">
      <c r="A2856">
        <v>100930</v>
      </c>
      <c r="B2856" s="3" t="s">
        <v>333</v>
      </c>
      <c r="C2856" s="1">
        <v>43300101</v>
      </c>
      <c r="D2856" t="s">
        <v>67</v>
      </c>
      <c r="H2856" t="str">
        <f t="shared" si="283"/>
        <v>06111530637</v>
      </c>
      <c r="I2856" t="str">
        <f t="shared" si="283"/>
        <v>06111530637</v>
      </c>
      <c r="K2856" t="str">
        <f>""</f>
        <v/>
      </c>
      <c r="M2856" t="s">
        <v>68</v>
      </c>
      <c r="N2856" t="str">
        <f t="shared" si="281"/>
        <v>FOR</v>
      </c>
      <c r="O2856" t="s">
        <v>69</v>
      </c>
      <c r="P2856" s="3" t="s">
        <v>75</v>
      </c>
      <c r="Q2856">
        <v>2015</v>
      </c>
      <c r="R2856" s="2">
        <v>42308</v>
      </c>
      <c r="S2856" s="2">
        <v>42320</v>
      </c>
      <c r="T2856" s="2">
        <v>42319</v>
      </c>
      <c r="U2856" s="2">
        <v>42379</v>
      </c>
      <c r="V2856" t="s">
        <v>71</v>
      </c>
      <c r="W2856" t="str">
        <f>"                7172"</f>
        <v xml:space="preserve">                7172</v>
      </c>
      <c r="X2856">
        <v>414.8</v>
      </c>
      <c r="Y2856">
        <v>0</v>
      </c>
      <c r="Z2856" s="3">
        <v>340</v>
      </c>
      <c r="AA2856">
        <v>269</v>
      </c>
      <c r="AB2856" s="5">
        <v>91460</v>
      </c>
      <c r="AC2856">
        <v>340</v>
      </c>
      <c r="AD2856">
        <v>269</v>
      </c>
      <c r="AE2856" s="1">
        <v>91460</v>
      </c>
      <c r="AF2856">
        <v>0</v>
      </c>
      <c r="AJ2856">
        <v>0</v>
      </c>
      <c r="AK2856">
        <v>0</v>
      </c>
      <c r="AL2856">
        <v>0</v>
      </c>
      <c r="AM2856">
        <v>0</v>
      </c>
      <c r="AN2856">
        <v>0</v>
      </c>
      <c r="AO2856">
        <v>0</v>
      </c>
      <c r="AP2856" s="2">
        <v>42746</v>
      </c>
      <c r="AQ2856" t="s">
        <v>72</v>
      </c>
      <c r="AR2856" t="s">
        <v>72</v>
      </c>
      <c r="AS2856">
        <v>2692</v>
      </c>
      <c r="AT2856" s="4">
        <v>42648</v>
      </c>
      <c r="AU2856" t="s">
        <v>73</v>
      </c>
      <c r="AV2856">
        <v>2692</v>
      </c>
      <c r="AW2856" s="4">
        <v>42648</v>
      </c>
      <c r="BD2856">
        <v>0</v>
      </c>
      <c r="BN2856" t="s">
        <v>74</v>
      </c>
    </row>
    <row r="2857" spans="1:66">
      <c r="A2857">
        <v>100930</v>
      </c>
      <c r="B2857" s="3" t="s">
        <v>333</v>
      </c>
      <c r="C2857" s="1">
        <v>43300101</v>
      </c>
      <c r="D2857" t="s">
        <v>67</v>
      </c>
      <c r="H2857" t="str">
        <f t="shared" si="283"/>
        <v>06111530637</v>
      </c>
      <c r="I2857" t="str">
        <f t="shared" si="283"/>
        <v>06111530637</v>
      </c>
      <c r="K2857" t="str">
        <f>""</f>
        <v/>
      </c>
      <c r="M2857" t="s">
        <v>68</v>
      </c>
      <c r="N2857" t="str">
        <f t="shared" si="281"/>
        <v>FOR</v>
      </c>
      <c r="O2857" t="s">
        <v>69</v>
      </c>
      <c r="P2857" s="3" t="s">
        <v>75</v>
      </c>
      <c r="Q2857">
        <v>2015</v>
      </c>
      <c r="R2857" s="2">
        <v>42360</v>
      </c>
      <c r="S2857" s="2">
        <v>42369</v>
      </c>
      <c r="T2857" s="2">
        <v>42369</v>
      </c>
      <c r="U2857" s="2">
        <v>42429</v>
      </c>
      <c r="V2857" t="s">
        <v>71</v>
      </c>
      <c r="W2857" t="str">
        <f>"                8648"</f>
        <v xml:space="preserve">                8648</v>
      </c>
      <c r="X2857">
        <v>692.47</v>
      </c>
      <c r="Y2857">
        <v>0</v>
      </c>
      <c r="Z2857" s="3">
        <v>567.6</v>
      </c>
      <c r="AA2857">
        <v>290</v>
      </c>
      <c r="AB2857" s="5">
        <v>164604</v>
      </c>
      <c r="AC2857">
        <v>567.6</v>
      </c>
      <c r="AD2857">
        <v>290</v>
      </c>
      <c r="AE2857" s="1">
        <v>164604</v>
      </c>
      <c r="AF2857">
        <v>124.87</v>
      </c>
      <c r="AJ2857">
        <v>0</v>
      </c>
      <c r="AK2857">
        <v>0</v>
      </c>
      <c r="AL2857">
        <v>0</v>
      </c>
      <c r="AM2857">
        <v>0</v>
      </c>
      <c r="AN2857">
        <v>0</v>
      </c>
      <c r="AO2857">
        <v>0</v>
      </c>
      <c r="AP2857" s="2">
        <v>42746</v>
      </c>
      <c r="AQ2857" t="s">
        <v>72</v>
      </c>
      <c r="AR2857" t="s">
        <v>72</v>
      </c>
      <c r="AS2857">
        <v>3502</v>
      </c>
      <c r="AT2857" s="4">
        <v>42719</v>
      </c>
      <c r="AU2857" t="s">
        <v>73</v>
      </c>
      <c r="AV2857">
        <v>3502</v>
      </c>
      <c r="AW2857" s="4">
        <v>42719</v>
      </c>
      <c r="BD2857">
        <v>124.87</v>
      </c>
      <c r="BN2857" t="s">
        <v>74</v>
      </c>
    </row>
    <row r="2858" spans="1:66" hidden="1">
      <c r="A2858">
        <v>100930</v>
      </c>
      <c r="B2858" s="3" t="s">
        <v>333</v>
      </c>
      <c r="C2858" s="1">
        <v>43300101</v>
      </c>
      <c r="D2858" t="s">
        <v>67</v>
      </c>
      <c r="H2858" t="str">
        <f t="shared" si="283"/>
        <v>06111530637</v>
      </c>
      <c r="I2858" t="str">
        <f t="shared" si="283"/>
        <v>06111530637</v>
      </c>
      <c r="K2858" t="str">
        <f>""</f>
        <v/>
      </c>
      <c r="M2858" t="s">
        <v>68</v>
      </c>
      <c r="N2858" t="str">
        <f t="shared" si="281"/>
        <v>FOR</v>
      </c>
      <c r="O2858" t="s">
        <v>69</v>
      </c>
      <c r="P2858" s="3" t="s">
        <v>75</v>
      </c>
      <c r="Q2858">
        <v>2015</v>
      </c>
      <c r="R2858" s="2">
        <v>42361</v>
      </c>
      <c r="S2858" s="2">
        <v>42369</v>
      </c>
      <c r="T2858" s="2">
        <v>42369</v>
      </c>
      <c r="U2858" s="2">
        <v>42429</v>
      </c>
      <c r="V2858" t="s">
        <v>71</v>
      </c>
      <c r="W2858" t="str">
        <f>"                8709"</f>
        <v xml:space="preserve">                8709</v>
      </c>
      <c r="X2858">
        <v>409.92</v>
      </c>
      <c r="Y2858">
        <v>0</v>
      </c>
      <c r="Z2858"/>
      <c r="AB2858"/>
      <c r="AC2858">
        <v>336</v>
      </c>
      <c r="AD2858">
        <v>-14</v>
      </c>
      <c r="AE2858" s="1">
        <v>-4704</v>
      </c>
      <c r="AF2858">
        <v>0</v>
      </c>
      <c r="AJ2858">
        <v>0</v>
      </c>
      <c r="AK2858">
        <v>0</v>
      </c>
      <c r="AL2858">
        <v>0</v>
      </c>
      <c r="AM2858">
        <v>0</v>
      </c>
      <c r="AN2858">
        <v>0</v>
      </c>
      <c r="AO2858">
        <v>0</v>
      </c>
      <c r="AP2858" s="2">
        <v>42746</v>
      </c>
      <c r="AQ2858" t="s">
        <v>72</v>
      </c>
      <c r="AR2858" t="s">
        <v>72</v>
      </c>
      <c r="AS2858">
        <v>375</v>
      </c>
      <c r="AT2858" s="4">
        <v>42415</v>
      </c>
      <c r="AV2858">
        <v>375</v>
      </c>
      <c r="AW2858" s="4">
        <v>42415</v>
      </c>
      <c r="BD2858">
        <v>0</v>
      </c>
      <c r="BN2858" t="s">
        <v>74</v>
      </c>
    </row>
    <row r="2859" spans="1:66" hidden="1">
      <c r="A2859">
        <v>100930</v>
      </c>
      <c r="B2859" s="3" t="s">
        <v>333</v>
      </c>
      <c r="C2859" s="1">
        <v>43300101</v>
      </c>
      <c r="D2859" t="s">
        <v>67</v>
      </c>
      <c r="H2859" t="str">
        <f t="shared" si="283"/>
        <v>06111530637</v>
      </c>
      <c r="I2859" t="str">
        <f t="shared" si="283"/>
        <v>06111530637</v>
      </c>
      <c r="K2859" t="str">
        <f>""</f>
        <v/>
      </c>
      <c r="M2859" t="s">
        <v>68</v>
      </c>
      <c r="N2859" t="str">
        <f t="shared" si="281"/>
        <v>FOR</v>
      </c>
      <c r="O2859" t="s">
        <v>69</v>
      </c>
      <c r="P2859" s="3" t="s">
        <v>75</v>
      </c>
      <c r="Q2859">
        <v>2016</v>
      </c>
      <c r="R2859" s="2">
        <v>42400</v>
      </c>
      <c r="S2859" s="2">
        <v>42410</v>
      </c>
      <c r="T2859" s="2">
        <v>42409</v>
      </c>
      <c r="U2859" s="2">
        <v>42469</v>
      </c>
      <c r="V2859" t="s">
        <v>71</v>
      </c>
      <c r="W2859" t="str">
        <f>"                9/PA"</f>
        <v xml:space="preserve">                9/PA</v>
      </c>
      <c r="X2859">
        <v>146.4</v>
      </c>
      <c r="Y2859">
        <v>0</v>
      </c>
      <c r="Z2859"/>
      <c r="AB2859"/>
      <c r="AC2859">
        <v>120</v>
      </c>
      <c r="AD2859">
        <v>97</v>
      </c>
      <c r="AE2859" s="1">
        <v>11640</v>
      </c>
      <c r="AF2859">
        <v>26.4</v>
      </c>
      <c r="AJ2859">
        <v>0</v>
      </c>
      <c r="AK2859">
        <v>0</v>
      </c>
      <c r="AL2859">
        <v>0</v>
      </c>
      <c r="AM2859">
        <v>146.4</v>
      </c>
      <c r="AN2859">
        <v>146.4</v>
      </c>
      <c r="AO2859">
        <v>146.4</v>
      </c>
      <c r="AP2859" s="2">
        <v>42746</v>
      </c>
      <c r="AQ2859" t="s">
        <v>72</v>
      </c>
      <c r="AR2859" t="s">
        <v>72</v>
      </c>
      <c r="AS2859">
        <v>1772</v>
      </c>
      <c r="AT2859" s="4">
        <v>42566</v>
      </c>
      <c r="AU2859" t="s">
        <v>73</v>
      </c>
      <c r="AV2859">
        <v>1772</v>
      </c>
      <c r="AW2859" s="4">
        <v>42566</v>
      </c>
      <c r="BD2859">
        <v>26.4</v>
      </c>
      <c r="BN2859" t="s">
        <v>74</v>
      </c>
    </row>
    <row r="2860" spans="1:66">
      <c r="A2860">
        <v>100930</v>
      </c>
      <c r="B2860" s="3" t="s">
        <v>333</v>
      </c>
      <c r="C2860" s="1">
        <v>43300101</v>
      </c>
      <c r="D2860" t="s">
        <v>67</v>
      </c>
      <c r="H2860" t="str">
        <f t="shared" si="283"/>
        <v>06111530637</v>
      </c>
      <c r="I2860" t="str">
        <f t="shared" si="283"/>
        <v>06111530637</v>
      </c>
      <c r="K2860" t="str">
        <f>""</f>
        <v/>
      </c>
      <c r="M2860" t="s">
        <v>68</v>
      </c>
      <c r="N2860" t="str">
        <f t="shared" si="281"/>
        <v>FOR</v>
      </c>
      <c r="O2860" t="s">
        <v>69</v>
      </c>
      <c r="P2860" s="3" t="s">
        <v>75</v>
      </c>
      <c r="Q2860">
        <v>2016</v>
      </c>
      <c r="R2860" s="2">
        <v>42429</v>
      </c>
      <c r="S2860" s="2">
        <v>42436</v>
      </c>
      <c r="T2860" s="2">
        <v>42431</v>
      </c>
      <c r="U2860" s="2">
        <v>42491</v>
      </c>
      <c r="V2860" t="s">
        <v>71</v>
      </c>
      <c r="W2860" t="str">
        <f>"              370/PA"</f>
        <v xml:space="preserve">              370/PA</v>
      </c>
      <c r="X2860">
        <v>409.92</v>
      </c>
      <c r="Y2860">
        <v>0</v>
      </c>
      <c r="Z2860" s="3">
        <v>336</v>
      </c>
      <c r="AA2860">
        <v>232</v>
      </c>
      <c r="AB2860" s="5">
        <v>77952</v>
      </c>
      <c r="AC2860">
        <v>336</v>
      </c>
      <c r="AD2860">
        <v>232</v>
      </c>
      <c r="AE2860" s="1">
        <v>77952</v>
      </c>
      <c r="AF2860">
        <v>73.92</v>
      </c>
      <c r="AJ2860">
        <v>0</v>
      </c>
      <c r="AK2860">
        <v>0</v>
      </c>
      <c r="AL2860">
        <v>0</v>
      </c>
      <c r="AM2860">
        <v>409.92</v>
      </c>
      <c r="AN2860">
        <v>409.92</v>
      </c>
      <c r="AO2860">
        <v>409.92</v>
      </c>
      <c r="AP2860" s="2">
        <v>42746</v>
      </c>
      <c r="AQ2860" t="s">
        <v>72</v>
      </c>
      <c r="AR2860" t="s">
        <v>72</v>
      </c>
      <c r="AS2860">
        <v>3597</v>
      </c>
      <c r="AT2860" s="4">
        <v>42723</v>
      </c>
      <c r="AU2860" t="s">
        <v>73</v>
      </c>
      <c r="AV2860">
        <v>3597</v>
      </c>
      <c r="AW2860" s="4">
        <v>42723</v>
      </c>
      <c r="BD2860">
        <v>73.92</v>
      </c>
      <c r="BN2860" t="s">
        <v>74</v>
      </c>
    </row>
    <row r="2861" spans="1:66" hidden="1">
      <c r="A2861">
        <v>100930</v>
      </c>
      <c r="B2861" s="3" t="s">
        <v>333</v>
      </c>
      <c r="C2861" s="1">
        <v>43300101</v>
      </c>
      <c r="D2861" t="s">
        <v>67</v>
      </c>
      <c r="H2861" t="str">
        <f t="shared" si="283"/>
        <v>06111530637</v>
      </c>
      <c r="I2861" t="str">
        <f t="shared" si="283"/>
        <v>06111530637</v>
      </c>
      <c r="K2861" t="str">
        <f>""</f>
        <v/>
      </c>
      <c r="M2861" t="s">
        <v>68</v>
      </c>
      <c r="N2861" t="str">
        <f t="shared" si="281"/>
        <v>FOR</v>
      </c>
      <c r="O2861" t="s">
        <v>69</v>
      </c>
      <c r="P2861" s="3" t="s">
        <v>75</v>
      </c>
      <c r="Q2861">
        <v>2016</v>
      </c>
      <c r="R2861" s="2">
        <v>42429</v>
      </c>
      <c r="S2861" s="2">
        <v>42436</v>
      </c>
      <c r="T2861" s="2">
        <v>42431</v>
      </c>
      <c r="U2861" s="2">
        <v>42491</v>
      </c>
      <c r="V2861" t="s">
        <v>71</v>
      </c>
      <c r="W2861" t="str">
        <f>"              371/PA"</f>
        <v xml:space="preserve">              371/PA</v>
      </c>
      <c r="X2861">
        <v>165.92</v>
      </c>
      <c r="Y2861">
        <v>0</v>
      </c>
      <c r="Z2861"/>
      <c r="AB2861"/>
      <c r="AC2861">
        <v>136</v>
      </c>
      <c r="AD2861">
        <v>75</v>
      </c>
      <c r="AE2861" s="1">
        <v>10200</v>
      </c>
      <c r="AF2861">
        <v>29.92</v>
      </c>
      <c r="AJ2861">
        <v>0</v>
      </c>
      <c r="AK2861">
        <v>0</v>
      </c>
      <c r="AL2861">
        <v>0</v>
      </c>
      <c r="AM2861">
        <v>165.92</v>
      </c>
      <c r="AN2861">
        <v>165.92</v>
      </c>
      <c r="AO2861">
        <v>165.92</v>
      </c>
      <c r="AP2861" s="2">
        <v>42746</v>
      </c>
      <c r="AQ2861" t="s">
        <v>72</v>
      </c>
      <c r="AR2861" t="s">
        <v>72</v>
      </c>
      <c r="AS2861">
        <v>1771</v>
      </c>
      <c r="AT2861" s="4">
        <v>42566</v>
      </c>
      <c r="AU2861" t="s">
        <v>73</v>
      </c>
      <c r="AV2861">
        <v>1771</v>
      </c>
      <c r="AW2861" s="4">
        <v>42566</v>
      </c>
      <c r="BD2861">
        <v>29.92</v>
      </c>
      <c r="BN2861" t="s">
        <v>74</v>
      </c>
    </row>
    <row r="2862" spans="1:66">
      <c r="A2862">
        <v>100930</v>
      </c>
      <c r="B2862" s="3" t="s">
        <v>333</v>
      </c>
      <c r="C2862" s="1">
        <v>43300101</v>
      </c>
      <c r="D2862" t="s">
        <v>67</v>
      </c>
      <c r="H2862" t="str">
        <f t="shared" si="283"/>
        <v>06111530637</v>
      </c>
      <c r="I2862" t="str">
        <f t="shared" si="283"/>
        <v>06111530637</v>
      </c>
      <c r="K2862" t="str">
        <f>""</f>
        <v/>
      </c>
      <c r="M2862" t="s">
        <v>68</v>
      </c>
      <c r="N2862" t="str">
        <f t="shared" si="281"/>
        <v>FOR</v>
      </c>
      <c r="O2862" t="s">
        <v>69</v>
      </c>
      <c r="P2862" s="3" t="s">
        <v>75</v>
      </c>
      <c r="Q2862">
        <v>2016</v>
      </c>
      <c r="R2862" s="2">
        <v>42495</v>
      </c>
      <c r="S2862" s="2">
        <v>42496</v>
      </c>
      <c r="T2862" s="2">
        <v>42495</v>
      </c>
      <c r="U2862" s="2">
        <v>42555</v>
      </c>
      <c r="V2862" t="s">
        <v>71</v>
      </c>
      <c r="W2862" t="str">
        <f>"             1745/PA"</f>
        <v xml:space="preserve">             1745/PA</v>
      </c>
      <c r="X2862">
        <v>829.6</v>
      </c>
      <c r="Y2862">
        <v>0</v>
      </c>
      <c r="Z2862" s="3">
        <v>680</v>
      </c>
      <c r="AA2862">
        <v>126</v>
      </c>
      <c r="AB2862" s="5">
        <v>85680</v>
      </c>
      <c r="AC2862">
        <v>680</v>
      </c>
      <c r="AD2862">
        <v>126</v>
      </c>
      <c r="AE2862" s="1">
        <v>85680</v>
      </c>
      <c r="AF2862">
        <v>149.6</v>
      </c>
      <c r="AJ2862">
        <v>0</v>
      </c>
      <c r="AK2862">
        <v>0</v>
      </c>
      <c r="AL2862">
        <v>0</v>
      </c>
      <c r="AM2862">
        <v>829.6</v>
      </c>
      <c r="AN2862">
        <v>829.6</v>
      </c>
      <c r="AO2862">
        <v>829.6</v>
      </c>
      <c r="AP2862" s="2">
        <v>42746</v>
      </c>
      <c r="AQ2862" t="s">
        <v>72</v>
      </c>
      <c r="AR2862" t="s">
        <v>72</v>
      </c>
      <c r="AS2862">
        <v>2946</v>
      </c>
      <c r="AT2862" s="4">
        <v>42681</v>
      </c>
      <c r="AU2862" t="s">
        <v>73</v>
      </c>
      <c r="AV2862">
        <v>2946</v>
      </c>
      <c r="AW2862" s="4">
        <v>42681</v>
      </c>
      <c r="BC2862">
        <v>149.6</v>
      </c>
      <c r="BD2862">
        <v>0</v>
      </c>
      <c r="BN2862" t="s">
        <v>74</v>
      </c>
    </row>
    <row r="2863" spans="1:66" hidden="1">
      <c r="A2863">
        <v>100942</v>
      </c>
      <c r="B2863" s="3" t="s">
        <v>334</v>
      </c>
      <c r="C2863" s="1">
        <v>43500101</v>
      </c>
      <c r="D2863" t="s">
        <v>113</v>
      </c>
      <c r="H2863" t="str">
        <f>"MLFLGU70M09C129N"</f>
        <v>MLFLGU70M09C129N</v>
      </c>
      <c r="I2863" t="str">
        <f>"05922061212"</f>
        <v>05922061212</v>
      </c>
      <c r="K2863" t="str">
        <f>""</f>
        <v/>
      </c>
      <c r="M2863" t="s">
        <v>68</v>
      </c>
      <c r="N2863" t="str">
        <f t="shared" ref="N2863:N2888" si="284">"ALTPRO"</f>
        <v>ALTPRO</v>
      </c>
      <c r="O2863" t="s">
        <v>132</v>
      </c>
      <c r="P2863" s="3" t="s">
        <v>216</v>
      </c>
      <c r="Q2863">
        <v>2016</v>
      </c>
      <c r="R2863" s="2">
        <v>42583</v>
      </c>
      <c r="S2863" s="2">
        <v>42583</v>
      </c>
      <c r="T2863" s="2">
        <v>42583</v>
      </c>
      <c r="U2863" s="2">
        <v>42643</v>
      </c>
      <c r="V2863" t="s">
        <v>71</v>
      </c>
      <c r="W2863" t="str">
        <f>"                 177"</f>
        <v xml:space="preserve">                 177</v>
      </c>
      <c r="X2863">
        <v>0</v>
      </c>
      <c r="Y2863" s="1">
        <v>5698.64</v>
      </c>
      <c r="Z2863"/>
      <c r="AB2863"/>
      <c r="AC2863" s="1">
        <v>5698.64</v>
      </c>
      <c r="AD2863">
        <v>-60</v>
      </c>
      <c r="AE2863" s="1">
        <v>-341918.4</v>
      </c>
      <c r="AF2863">
        <v>0</v>
      </c>
      <c r="AJ2863">
        <v>0</v>
      </c>
      <c r="AK2863">
        <v>0</v>
      </c>
      <c r="AL2863">
        <v>0</v>
      </c>
      <c r="AM2863" s="1">
        <v>5698.64</v>
      </c>
      <c r="AN2863" s="1">
        <v>5698.64</v>
      </c>
      <c r="AO2863" s="1">
        <v>5698.64</v>
      </c>
      <c r="AP2863" s="2">
        <v>42746</v>
      </c>
      <c r="AQ2863" t="s">
        <v>72</v>
      </c>
      <c r="AR2863" t="s">
        <v>72</v>
      </c>
      <c r="AS2863">
        <v>2052</v>
      </c>
      <c r="AT2863" s="4">
        <v>42583</v>
      </c>
      <c r="AV2863">
        <v>2052</v>
      </c>
      <c r="AW2863" s="4">
        <v>42583</v>
      </c>
      <c r="BD2863">
        <v>0</v>
      </c>
      <c r="BN2863" t="s">
        <v>74</v>
      </c>
    </row>
    <row r="2864" spans="1:66" hidden="1">
      <c r="A2864">
        <v>100951</v>
      </c>
      <c r="B2864" s="3" t="s">
        <v>335</v>
      </c>
      <c r="C2864" s="1">
        <v>43500101</v>
      </c>
      <c r="D2864" t="s">
        <v>113</v>
      </c>
      <c r="H2864" t="str">
        <f t="shared" ref="H2864:H2876" si="285">"FRMDRA78C19F205E"</f>
        <v>FRMDRA78C19F205E</v>
      </c>
      <c r="I2864" t="str">
        <f t="shared" ref="I2864:I2876" si="286">"01397290550"</f>
        <v>01397290550</v>
      </c>
      <c r="K2864" t="str">
        <f>""</f>
        <v/>
      </c>
      <c r="M2864" t="s">
        <v>68</v>
      </c>
      <c r="N2864" t="str">
        <f t="shared" si="284"/>
        <v>ALTPRO</v>
      </c>
      <c r="O2864" t="s">
        <v>132</v>
      </c>
      <c r="P2864" s="3" t="s">
        <v>75</v>
      </c>
      <c r="Q2864">
        <v>2016</v>
      </c>
      <c r="R2864" s="2">
        <v>42373</v>
      </c>
      <c r="S2864" s="2">
        <v>42374</v>
      </c>
      <c r="T2864" s="2">
        <v>42373</v>
      </c>
      <c r="U2864" s="2">
        <v>42433</v>
      </c>
      <c r="V2864" t="s">
        <v>71</v>
      </c>
      <c r="W2864" t="str">
        <f>"         FATTPA 1_16"</f>
        <v xml:space="preserve">         FATTPA 1_16</v>
      </c>
      <c r="X2864" s="1">
        <v>2636</v>
      </c>
      <c r="Y2864">
        <v>-526.79999999999995</v>
      </c>
      <c r="Z2864"/>
      <c r="AB2864"/>
      <c r="AC2864" s="1">
        <v>2109.1999999999998</v>
      </c>
      <c r="AD2864">
        <v>-36</v>
      </c>
      <c r="AE2864" s="1">
        <v>-75931.199999999997</v>
      </c>
      <c r="AF2864">
        <v>0</v>
      </c>
      <c r="AJ2864">
        <v>0</v>
      </c>
      <c r="AK2864">
        <v>0</v>
      </c>
      <c r="AL2864">
        <v>0</v>
      </c>
      <c r="AM2864">
        <v>-526.79999999999995</v>
      </c>
      <c r="AN2864" s="1">
        <v>2109.1999999999998</v>
      </c>
      <c r="AO2864" s="1">
        <v>2109.1999999999998</v>
      </c>
      <c r="AP2864" s="2">
        <v>42746</v>
      </c>
      <c r="AQ2864" t="s">
        <v>72</v>
      </c>
      <c r="AR2864" t="s">
        <v>72</v>
      </c>
      <c r="AS2864">
        <v>115</v>
      </c>
      <c r="AT2864" s="4">
        <v>42397</v>
      </c>
      <c r="AV2864">
        <v>115</v>
      </c>
      <c r="AW2864" s="4">
        <v>42397</v>
      </c>
      <c r="BD2864">
        <v>0</v>
      </c>
      <c r="BN2864" t="s">
        <v>74</v>
      </c>
    </row>
    <row r="2865" spans="1:66" hidden="1">
      <c r="A2865">
        <v>100951</v>
      </c>
      <c r="B2865" s="3" t="s">
        <v>335</v>
      </c>
      <c r="C2865" s="1">
        <v>43500101</v>
      </c>
      <c r="D2865" t="s">
        <v>113</v>
      </c>
      <c r="H2865" t="str">
        <f t="shared" si="285"/>
        <v>FRMDRA78C19F205E</v>
      </c>
      <c r="I2865" t="str">
        <f t="shared" si="286"/>
        <v>01397290550</v>
      </c>
      <c r="K2865" t="str">
        <f>""</f>
        <v/>
      </c>
      <c r="M2865" t="s">
        <v>68</v>
      </c>
      <c r="N2865" t="str">
        <f t="shared" si="284"/>
        <v>ALTPRO</v>
      </c>
      <c r="O2865" t="s">
        <v>132</v>
      </c>
      <c r="P2865" s="3" t="s">
        <v>75</v>
      </c>
      <c r="Q2865">
        <v>2016</v>
      </c>
      <c r="R2865" s="2">
        <v>42373</v>
      </c>
      <c r="S2865" s="2">
        <v>42376</v>
      </c>
      <c r="T2865" s="2">
        <v>42373</v>
      </c>
      <c r="U2865" s="2">
        <v>42433</v>
      </c>
      <c r="V2865" t="s">
        <v>71</v>
      </c>
      <c r="W2865" t="str">
        <f>"         FATTPA 2_16"</f>
        <v xml:space="preserve">         FATTPA 2_16</v>
      </c>
      <c r="X2865" s="1">
        <v>2530.64</v>
      </c>
      <c r="Y2865">
        <v>-505.73</v>
      </c>
      <c r="Z2865"/>
      <c r="AB2865"/>
      <c r="AC2865" s="1">
        <v>2024.91</v>
      </c>
      <c r="AD2865">
        <v>-36</v>
      </c>
      <c r="AE2865" s="1">
        <v>-72896.759999999995</v>
      </c>
      <c r="AF2865">
        <v>0</v>
      </c>
      <c r="AJ2865">
        <v>0</v>
      </c>
      <c r="AK2865">
        <v>0</v>
      </c>
      <c r="AL2865">
        <v>0</v>
      </c>
      <c r="AM2865">
        <v>-505.73</v>
      </c>
      <c r="AN2865" s="1">
        <v>2024.91</v>
      </c>
      <c r="AO2865" s="1">
        <v>2024.91</v>
      </c>
      <c r="AP2865" s="2">
        <v>42746</v>
      </c>
      <c r="AQ2865" t="s">
        <v>72</v>
      </c>
      <c r="AR2865" t="s">
        <v>72</v>
      </c>
      <c r="AS2865">
        <v>115</v>
      </c>
      <c r="AT2865" s="4">
        <v>42397</v>
      </c>
      <c r="AV2865">
        <v>115</v>
      </c>
      <c r="AW2865" s="4">
        <v>42397</v>
      </c>
      <c r="BD2865">
        <v>0</v>
      </c>
      <c r="BN2865" t="s">
        <v>74</v>
      </c>
    </row>
    <row r="2866" spans="1:66" hidden="1">
      <c r="A2866">
        <v>100951</v>
      </c>
      <c r="B2866" s="3" t="s">
        <v>335</v>
      </c>
      <c r="C2866" s="1">
        <v>43500101</v>
      </c>
      <c r="D2866" t="s">
        <v>113</v>
      </c>
      <c r="H2866" t="str">
        <f t="shared" si="285"/>
        <v>FRMDRA78C19F205E</v>
      </c>
      <c r="I2866" t="str">
        <f t="shared" si="286"/>
        <v>01397290550</v>
      </c>
      <c r="K2866" t="str">
        <f>""</f>
        <v/>
      </c>
      <c r="M2866" t="s">
        <v>68</v>
      </c>
      <c r="N2866" t="str">
        <f t="shared" si="284"/>
        <v>ALTPRO</v>
      </c>
      <c r="O2866" t="s">
        <v>132</v>
      </c>
      <c r="P2866" s="3" t="s">
        <v>75</v>
      </c>
      <c r="Q2866">
        <v>2016</v>
      </c>
      <c r="R2866" s="2">
        <v>42403</v>
      </c>
      <c r="S2866" s="2">
        <v>42404</v>
      </c>
      <c r="T2866" s="2">
        <v>42403</v>
      </c>
      <c r="U2866" s="2">
        <v>42463</v>
      </c>
      <c r="V2866" t="s">
        <v>71</v>
      </c>
      <c r="W2866" t="str">
        <f>"         FATTPA 3_16"</f>
        <v xml:space="preserve">         FATTPA 3_16</v>
      </c>
      <c r="X2866" s="1">
        <v>2530.64</v>
      </c>
      <c r="Y2866">
        <v>-505.73</v>
      </c>
      <c r="Z2866"/>
      <c r="AB2866"/>
      <c r="AC2866" s="1">
        <v>2024.91</v>
      </c>
      <c r="AD2866">
        <v>-37</v>
      </c>
      <c r="AE2866" s="1">
        <v>-74921.67</v>
      </c>
      <c r="AF2866">
        <v>0</v>
      </c>
      <c r="AJ2866">
        <v>0</v>
      </c>
      <c r="AK2866">
        <v>0</v>
      </c>
      <c r="AL2866">
        <v>0</v>
      </c>
      <c r="AM2866" s="1">
        <v>2024.91</v>
      </c>
      <c r="AN2866" s="1">
        <v>2024.91</v>
      </c>
      <c r="AO2866" s="1">
        <v>2024.91</v>
      </c>
      <c r="AP2866" s="2">
        <v>42746</v>
      </c>
      <c r="AQ2866" t="s">
        <v>72</v>
      </c>
      <c r="AR2866" t="s">
        <v>72</v>
      </c>
      <c r="AS2866">
        <v>578</v>
      </c>
      <c r="AT2866" s="4">
        <v>42426</v>
      </c>
      <c r="AV2866">
        <v>578</v>
      </c>
      <c r="AW2866" s="4">
        <v>42426</v>
      </c>
      <c r="BD2866">
        <v>0</v>
      </c>
      <c r="BN2866" t="s">
        <v>74</v>
      </c>
    </row>
    <row r="2867" spans="1:66" hidden="1">
      <c r="A2867">
        <v>100951</v>
      </c>
      <c r="B2867" s="3" t="s">
        <v>335</v>
      </c>
      <c r="C2867" s="1">
        <v>43500101</v>
      </c>
      <c r="D2867" t="s">
        <v>113</v>
      </c>
      <c r="H2867" t="str">
        <f t="shared" si="285"/>
        <v>FRMDRA78C19F205E</v>
      </c>
      <c r="I2867" t="str">
        <f t="shared" si="286"/>
        <v>01397290550</v>
      </c>
      <c r="K2867" t="str">
        <f>""</f>
        <v/>
      </c>
      <c r="M2867" t="s">
        <v>68</v>
      </c>
      <c r="N2867" t="str">
        <f t="shared" si="284"/>
        <v>ALTPRO</v>
      </c>
      <c r="O2867" t="s">
        <v>132</v>
      </c>
      <c r="P2867" s="3" t="s">
        <v>75</v>
      </c>
      <c r="Q2867">
        <v>2016</v>
      </c>
      <c r="R2867" s="2">
        <v>42432</v>
      </c>
      <c r="S2867" s="2">
        <v>42433</v>
      </c>
      <c r="T2867" s="2">
        <v>42432</v>
      </c>
      <c r="U2867" s="2">
        <v>42492</v>
      </c>
      <c r="V2867" t="s">
        <v>71</v>
      </c>
      <c r="W2867" t="str">
        <f>"         FATTPA 4_16"</f>
        <v xml:space="preserve">         FATTPA 4_16</v>
      </c>
      <c r="X2867" s="1">
        <v>2636</v>
      </c>
      <c r="Y2867">
        <v>-526.79999999999995</v>
      </c>
      <c r="Z2867"/>
      <c r="AB2867"/>
      <c r="AC2867" s="1">
        <v>2109.1999999999998</v>
      </c>
      <c r="AD2867">
        <v>-41</v>
      </c>
      <c r="AE2867" s="1">
        <v>-86477.2</v>
      </c>
      <c r="AF2867">
        <v>0</v>
      </c>
      <c r="AJ2867">
        <v>0</v>
      </c>
      <c r="AK2867">
        <v>0</v>
      </c>
      <c r="AL2867">
        <v>0</v>
      </c>
      <c r="AM2867" s="1">
        <v>2109.1999999999998</v>
      </c>
      <c r="AN2867" s="1">
        <v>2109.1999999999998</v>
      </c>
      <c r="AO2867" s="1">
        <v>2109.1999999999998</v>
      </c>
      <c r="AP2867" s="2">
        <v>42746</v>
      </c>
      <c r="AQ2867" t="s">
        <v>72</v>
      </c>
      <c r="AR2867" t="s">
        <v>72</v>
      </c>
      <c r="AS2867">
        <v>749</v>
      </c>
      <c r="AT2867" s="4">
        <v>42451</v>
      </c>
      <c r="AV2867">
        <v>749</v>
      </c>
      <c r="AW2867" s="4">
        <v>42451</v>
      </c>
      <c r="BD2867">
        <v>0</v>
      </c>
      <c r="BN2867" t="s">
        <v>74</v>
      </c>
    </row>
    <row r="2868" spans="1:66" hidden="1">
      <c r="A2868">
        <v>100951</v>
      </c>
      <c r="B2868" s="3" t="s">
        <v>335</v>
      </c>
      <c r="C2868" s="1">
        <v>43500101</v>
      </c>
      <c r="D2868" t="s">
        <v>113</v>
      </c>
      <c r="H2868" t="str">
        <f t="shared" si="285"/>
        <v>FRMDRA78C19F205E</v>
      </c>
      <c r="I2868" t="str">
        <f t="shared" si="286"/>
        <v>01397290550</v>
      </c>
      <c r="K2868" t="str">
        <f>""</f>
        <v/>
      </c>
      <c r="M2868" t="s">
        <v>68</v>
      </c>
      <c r="N2868" t="str">
        <f t="shared" si="284"/>
        <v>ALTPRO</v>
      </c>
      <c r="O2868" t="s">
        <v>132</v>
      </c>
      <c r="P2868" s="3" t="s">
        <v>75</v>
      </c>
      <c r="Q2868">
        <v>2016</v>
      </c>
      <c r="R2868" s="2">
        <v>42475</v>
      </c>
      <c r="S2868" s="2">
        <v>42475</v>
      </c>
      <c r="T2868" s="2">
        <v>42475</v>
      </c>
      <c r="U2868" s="2">
        <v>42535</v>
      </c>
      <c r="V2868" t="s">
        <v>71</v>
      </c>
      <c r="W2868" t="str">
        <f>"         FATTPA 5_16"</f>
        <v xml:space="preserve">         FATTPA 5_16</v>
      </c>
      <c r="X2868" s="1">
        <v>2741.36</v>
      </c>
      <c r="Y2868">
        <v>-547.87</v>
      </c>
      <c r="Z2868"/>
      <c r="AB2868"/>
      <c r="AC2868" s="1">
        <v>2193.4899999999998</v>
      </c>
      <c r="AD2868">
        <v>-48</v>
      </c>
      <c r="AE2868" s="1">
        <v>-105287.52</v>
      </c>
      <c r="AF2868">
        <v>0</v>
      </c>
      <c r="AJ2868">
        <v>0</v>
      </c>
      <c r="AK2868">
        <v>0</v>
      </c>
      <c r="AL2868">
        <v>0</v>
      </c>
      <c r="AM2868" s="1">
        <v>2193.4899999999998</v>
      </c>
      <c r="AN2868" s="1">
        <v>2193.4899999999998</v>
      </c>
      <c r="AO2868" s="1">
        <v>2193.4899999999998</v>
      </c>
      <c r="AP2868" s="2">
        <v>42746</v>
      </c>
      <c r="AQ2868" t="s">
        <v>72</v>
      </c>
      <c r="AR2868" t="s">
        <v>72</v>
      </c>
      <c r="AS2868">
        <v>1137</v>
      </c>
      <c r="AT2868" s="4">
        <v>42487</v>
      </c>
      <c r="AV2868">
        <v>1137</v>
      </c>
      <c r="AW2868" s="4">
        <v>42487</v>
      </c>
      <c r="BD2868">
        <v>0</v>
      </c>
      <c r="BN2868" t="s">
        <v>74</v>
      </c>
    </row>
    <row r="2869" spans="1:66" hidden="1">
      <c r="A2869">
        <v>100951</v>
      </c>
      <c r="B2869" s="3" t="s">
        <v>335</v>
      </c>
      <c r="C2869" s="1">
        <v>43500101</v>
      </c>
      <c r="D2869" t="s">
        <v>113</v>
      </c>
      <c r="H2869" t="str">
        <f t="shared" si="285"/>
        <v>FRMDRA78C19F205E</v>
      </c>
      <c r="I2869" t="str">
        <f t="shared" si="286"/>
        <v>01397290550</v>
      </c>
      <c r="K2869" t="str">
        <f>""</f>
        <v/>
      </c>
      <c r="M2869" t="s">
        <v>68</v>
      </c>
      <c r="N2869" t="str">
        <f t="shared" si="284"/>
        <v>ALTPRO</v>
      </c>
      <c r="O2869" t="s">
        <v>132</v>
      </c>
      <c r="P2869" s="3" t="s">
        <v>75</v>
      </c>
      <c r="Q2869">
        <v>2016</v>
      </c>
      <c r="R2869" s="2">
        <v>42502</v>
      </c>
      <c r="S2869" s="2">
        <v>42502</v>
      </c>
      <c r="T2869" s="2">
        <v>42502</v>
      </c>
      <c r="U2869" s="2">
        <v>42562</v>
      </c>
      <c r="V2869" t="s">
        <v>71</v>
      </c>
      <c r="W2869" t="str">
        <f>"         FATTPA 6_16"</f>
        <v xml:space="preserve">         FATTPA 6_16</v>
      </c>
      <c r="X2869" s="1">
        <v>2394.0300000000002</v>
      </c>
      <c r="Y2869">
        <v>-478.41</v>
      </c>
      <c r="Z2869"/>
      <c r="AB2869"/>
      <c r="AC2869" s="1">
        <v>1915.62</v>
      </c>
      <c r="AD2869">
        <v>-46</v>
      </c>
      <c r="AE2869" s="1">
        <v>-88118.52</v>
      </c>
      <c r="AF2869">
        <v>0</v>
      </c>
      <c r="AJ2869">
        <v>0</v>
      </c>
      <c r="AK2869">
        <v>0</v>
      </c>
      <c r="AL2869">
        <v>0</v>
      </c>
      <c r="AM2869" s="1">
        <v>1915.62</v>
      </c>
      <c r="AN2869" s="1">
        <v>1915.62</v>
      </c>
      <c r="AO2869" s="1">
        <v>1915.62</v>
      </c>
      <c r="AP2869" s="2">
        <v>42746</v>
      </c>
      <c r="AQ2869" t="s">
        <v>72</v>
      </c>
      <c r="AR2869" t="s">
        <v>72</v>
      </c>
      <c r="AS2869">
        <v>1369</v>
      </c>
      <c r="AT2869" s="4">
        <v>42516</v>
      </c>
      <c r="AV2869">
        <v>1369</v>
      </c>
      <c r="AW2869" s="4">
        <v>42516</v>
      </c>
      <c r="BD2869">
        <v>0</v>
      </c>
      <c r="BN2869" t="s">
        <v>74</v>
      </c>
    </row>
    <row r="2870" spans="1:66" hidden="1">
      <c r="A2870">
        <v>100951</v>
      </c>
      <c r="B2870" s="3" t="s">
        <v>335</v>
      </c>
      <c r="C2870" s="1">
        <v>43500101</v>
      </c>
      <c r="D2870" t="s">
        <v>113</v>
      </c>
      <c r="H2870" t="str">
        <f t="shared" si="285"/>
        <v>FRMDRA78C19F205E</v>
      </c>
      <c r="I2870" t="str">
        <f t="shared" si="286"/>
        <v>01397290550</v>
      </c>
      <c r="K2870" t="str">
        <f>""</f>
        <v/>
      </c>
      <c r="M2870" t="s">
        <v>68</v>
      </c>
      <c r="N2870" t="str">
        <f t="shared" si="284"/>
        <v>ALTPRO</v>
      </c>
      <c r="O2870" t="s">
        <v>132</v>
      </c>
      <c r="P2870" s="3" t="s">
        <v>75</v>
      </c>
      <c r="Q2870">
        <v>2016</v>
      </c>
      <c r="R2870" s="2">
        <v>42528</v>
      </c>
      <c r="S2870" s="2">
        <v>42528</v>
      </c>
      <c r="T2870" s="2">
        <v>42528</v>
      </c>
      <c r="U2870" s="2">
        <v>42588</v>
      </c>
      <c r="V2870" t="s">
        <v>71</v>
      </c>
      <c r="W2870" t="str">
        <f>"         FATTPA 7_16"</f>
        <v xml:space="preserve">         FATTPA 7_16</v>
      </c>
      <c r="X2870" s="1">
        <v>2628.1</v>
      </c>
      <c r="Y2870">
        <v>-525.22</v>
      </c>
      <c r="Z2870"/>
      <c r="AB2870"/>
      <c r="AC2870" s="1">
        <v>2102.88</v>
      </c>
      <c r="AD2870">
        <v>-36</v>
      </c>
      <c r="AE2870" s="1">
        <v>-75703.679999999993</v>
      </c>
      <c r="AF2870">
        <v>0</v>
      </c>
      <c r="AJ2870">
        <v>0</v>
      </c>
      <c r="AK2870">
        <v>0</v>
      </c>
      <c r="AL2870">
        <v>0</v>
      </c>
      <c r="AM2870" s="1">
        <v>2102.88</v>
      </c>
      <c r="AN2870" s="1">
        <v>2102.88</v>
      </c>
      <c r="AO2870" s="1">
        <v>2102.88</v>
      </c>
      <c r="AP2870" s="2">
        <v>42746</v>
      </c>
      <c r="AQ2870" t="s">
        <v>72</v>
      </c>
      <c r="AR2870" t="s">
        <v>72</v>
      </c>
      <c r="AS2870">
        <v>1641</v>
      </c>
      <c r="AT2870" s="4">
        <v>42552</v>
      </c>
      <c r="AV2870">
        <v>1641</v>
      </c>
      <c r="AW2870" s="4">
        <v>42552</v>
      </c>
      <c r="BD2870">
        <v>0</v>
      </c>
      <c r="BN2870" t="s">
        <v>74</v>
      </c>
    </row>
    <row r="2871" spans="1:66" hidden="1">
      <c r="A2871">
        <v>100951</v>
      </c>
      <c r="B2871" s="3" t="s">
        <v>335</v>
      </c>
      <c r="C2871" s="1">
        <v>43500101</v>
      </c>
      <c r="D2871" t="s">
        <v>113</v>
      </c>
      <c r="H2871" t="str">
        <f t="shared" si="285"/>
        <v>FRMDRA78C19F205E</v>
      </c>
      <c r="I2871" t="str">
        <f t="shared" si="286"/>
        <v>01397290550</v>
      </c>
      <c r="K2871" t="str">
        <f>""</f>
        <v/>
      </c>
      <c r="M2871" t="s">
        <v>68</v>
      </c>
      <c r="N2871" t="str">
        <f t="shared" si="284"/>
        <v>ALTPRO</v>
      </c>
      <c r="O2871" t="s">
        <v>132</v>
      </c>
      <c r="P2871" s="3" t="s">
        <v>75</v>
      </c>
      <c r="Q2871">
        <v>2016</v>
      </c>
      <c r="R2871" s="2">
        <v>42562</v>
      </c>
      <c r="S2871" s="2">
        <v>42563</v>
      </c>
      <c r="T2871" s="2">
        <v>42562</v>
      </c>
      <c r="U2871" s="2">
        <v>42622</v>
      </c>
      <c r="V2871" t="s">
        <v>71</v>
      </c>
      <c r="W2871" t="str">
        <f>"         FATTPA 8_16"</f>
        <v xml:space="preserve">         FATTPA 8_16</v>
      </c>
      <c r="X2871" s="1">
        <v>2281.8000000000002</v>
      </c>
      <c r="Y2871">
        <v>-455.96</v>
      </c>
      <c r="Z2871"/>
      <c r="AB2871"/>
      <c r="AC2871" s="1">
        <v>1825.84</v>
      </c>
      <c r="AD2871">
        <v>-56</v>
      </c>
      <c r="AE2871" s="1">
        <v>-102247.03999999999</v>
      </c>
      <c r="AF2871">
        <v>0</v>
      </c>
      <c r="AJ2871">
        <v>0</v>
      </c>
      <c r="AK2871">
        <v>0</v>
      </c>
      <c r="AL2871">
        <v>0</v>
      </c>
      <c r="AM2871" s="1">
        <v>1825.84</v>
      </c>
      <c r="AN2871" s="1">
        <v>1825.84</v>
      </c>
      <c r="AO2871" s="1">
        <v>1825.84</v>
      </c>
      <c r="AP2871" s="2">
        <v>42746</v>
      </c>
      <c r="AQ2871" t="s">
        <v>72</v>
      </c>
      <c r="AR2871" t="s">
        <v>72</v>
      </c>
      <c r="AS2871">
        <v>1780</v>
      </c>
      <c r="AT2871" s="4">
        <v>42566</v>
      </c>
      <c r="AV2871">
        <v>1780</v>
      </c>
      <c r="AW2871" s="4">
        <v>42566</v>
      </c>
      <c r="BD2871">
        <v>0</v>
      </c>
      <c r="BN2871" t="s">
        <v>74</v>
      </c>
    </row>
    <row r="2872" spans="1:66" hidden="1">
      <c r="A2872">
        <v>100951</v>
      </c>
      <c r="B2872" s="3" t="s">
        <v>335</v>
      </c>
      <c r="C2872" s="1">
        <v>43500101</v>
      </c>
      <c r="D2872" t="s">
        <v>113</v>
      </c>
      <c r="H2872" t="str">
        <f t="shared" si="285"/>
        <v>FRMDRA78C19F205E</v>
      </c>
      <c r="I2872" t="str">
        <f t="shared" si="286"/>
        <v>01397290550</v>
      </c>
      <c r="K2872" t="str">
        <f>""</f>
        <v/>
      </c>
      <c r="M2872" t="s">
        <v>68</v>
      </c>
      <c r="N2872" t="str">
        <f t="shared" si="284"/>
        <v>ALTPRO</v>
      </c>
      <c r="O2872" t="s">
        <v>132</v>
      </c>
      <c r="P2872" s="3" t="s">
        <v>75</v>
      </c>
      <c r="Q2872">
        <v>2016</v>
      </c>
      <c r="R2872" s="2">
        <v>42578</v>
      </c>
      <c r="S2872" s="2">
        <v>42583</v>
      </c>
      <c r="T2872" s="2">
        <v>42578</v>
      </c>
      <c r="U2872" s="2">
        <v>42638</v>
      </c>
      <c r="V2872" t="s">
        <v>71</v>
      </c>
      <c r="W2872" t="str">
        <f>"         FATTPA 9_16"</f>
        <v xml:space="preserve">         FATTPA 9_16</v>
      </c>
      <c r="X2872" s="1">
        <v>4145.79</v>
      </c>
      <c r="Y2872">
        <v>-828.76</v>
      </c>
      <c r="Z2872"/>
      <c r="AB2872"/>
      <c r="AC2872" s="1">
        <v>3317.03</v>
      </c>
      <c r="AD2872">
        <v>-53</v>
      </c>
      <c r="AE2872" s="1">
        <v>-175802.59</v>
      </c>
      <c r="AF2872">
        <v>0</v>
      </c>
      <c r="AJ2872">
        <v>0</v>
      </c>
      <c r="AK2872">
        <v>0</v>
      </c>
      <c r="AL2872">
        <v>0</v>
      </c>
      <c r="AM2872" s="1">
        <v>3317.03</v>
      </c>
      <c r="AN2872" s="1">
        <v>3317.03</v>
      </c>
      <c r="AO2872" s="1">
        <v>3317.03</v>
      </c>
      <c r="AP2872" s="2">
        <v>42746</v>
      </c>
      <c r="AQ2872" t="s">
        <v>72</v>
      </c>
      <c r="AR2872" t="s">
        <v>72</v>
      </c>
      <c r="AS2872">
        <v>2071</v>
      </c>
      <c r="AT2872" s="4">
        <v>42585</v>
      </c>
      <c r="AV2872">
        <v>2071</v>
      </c>
      <c r="AW2872" s="4">
        <v>42585</v>
      </c>
      <c r="BD2872">
        <v>0</v>
      </c>
      <c r="BN2872" t="s">
        <v>74</v>
      </c>
    </row>
    <row r="2873" spans="1:66" hidden="1">
      <c r="A2873">
        <v>100951</v>
      </c>
      <c r="B2873" s="3" t="s">
        <v>335</v>
      </c>
      <c r="C2873" s="1">
        <v>43500101</v>
      </c>
      <c r="D2873" t="s">
        <v>113</v>
      </c>
      <c r="H2873" t="str">
        <f t="shared" si="285"/>
        <v>FRMDRA78C19F205E</v>
      </c>
      <c r="I2873" t="str">
        <f t="shared" si="286"/>
        <v>01397290550</v>
      </c>
      <c r="K2873" t="str">
        <f>""</f>
        <v/>
      </c>
      <c r="M2873" t="s">
        <v>68</v>
      </c>
      <c r="N2873" t="str">
        <f t="shared" si="284"/>
        <v>ALTPRO</v>
      </c>
      <c r="O2873" t="s">
        <v>132</v>
      </c>
      <c r="P2873" s="3" t="s">
        <v>75</v>
      </c>
      <c r="Q2873">
        <v>2016</v>
      </c>
      <c r="R2873" s="2">
        <v>42606</v>
      </c>
      <c r="S2873" s="2">
        <v>42612</v>
      </c>
      <c r="T2873" s="2">
        <v>42606</v>
      </c>
      <c r="U2873" s="2">
        <v>42666</v>
      </c>
      <c r="V2873" t="s">
        <v>71</v>
      </c>
      <c r="W2873" t="str">
        <f>"        FATTPA 10_16"</f>
        <v xml:space="preserve">        FATTPA 10_16</v>
      </c>
      <c r="X2873" s="1">
        <v>2683.42</v>
      </c>
      <c r="Y2873">
        <v>-536.28</v>
      </c>
      <c r="Z2873"/>
      <c r="AB2873"/>
      <c r="AC2873" s="1">
        <v>2147.14</v>
      </c>
      <c r="AD2873">
        <v>-48</v>
      </c>
      <c r="AE2873" s="1">
        <v>-103062.72</v>
      </c>
      <c r="AF2873">
        <v>0</v>
      </c>
      <c r="AJ2873">
        <v>0</v>
      </c>
      <c r="AK2873">
        <v>0</v>
      </c>
      <c r="AL2873">
        <v>0</v>
      </c>
      <c r="AM2873" s="1">
        <v>2147.14</v>
      </c>
      <c r="AN2873" s="1">
        <v>2147.14</v>
      </c>
      <c r="AO2873" s="1">
        <v>2147.14</v>
      </c>
      <c r="AP2873" s="2">
        <v>42746</v>
      </c>
      <c r="AQ2873" t="s">
        <v>72</v>
      </c>
      <c r="AR2873" t="s">
        <v>72</v>
      </c>
      <c r="AS2873">
        <v>2235</v>
      </c>
      <c r="AT2873" s="4">
        <v>42618</v>
      </c>
      <c r="AV2873">
        <v>2235</v>
      </c>
      <c r="AW2873" s="4">
        <v>42618</v>
      </c>
      <c r="BD2873">
        <v>0</v>
      </c>
      <c r="BN2873" t="s">
        <v>74</v>
      </c>
    </row>
    <row r="2874" spans="1:66">
      <c r="A2874">
        <v>100951</v>
      </c>
      <c r="B2874" s="3" t="s">
        <v>335</v>
      </c>
      <c r="C2874" s="1">
        <v>43500101</v>
      </c>
      <c r="D2874" t="s">
        <v>113</v>
      </c>
      <c r="H2874" t="str">
        <f t="shared" si="285"/>
        <v>FRMDRA78C19F205E</v>
      </c>
      <c r="I2874" t="str">
        <f t="shared" si="286"/>
        <v>01397290550</v>
      </c>
      <c r="K2874" t="str">
        <f>""</f>
        <v/>
      </c>
      <c r="M2874" t="s">
        <v>68</v>
      </c>
      <c r="N2874" t="str">
        <f t="shared" si="284"/>
        <v>ALTPRO</v>
      </c>
      <c r="O2874" t="s">
        <v>132</v>
      </c>
      <c r="P2874" s="3" t="s">
        <v>75</v>
      </c>
      <c r="Q2874">
        <v>2016</v>
      </c>
      <c r="R2874" s="2">
        <v>42618</v>
      </c>
      <c r="S2874" s="2">
        <v>42625</v>
      </c>
      <c r="T2874" s="2">
        <v>42622</v>
      </c>
      <c r="U2874" s="2">
        <v>42682</v>
      </c>
      <c r="V2874" t="s">
        <v>71</v>
      </c>
      <c r="W2874" t="str">
        <f>"        FATTPA 11_16"</f>
        <v xml:space="preserve">        FATTPA 11_16</v>
      </c>
      <c r="X2874" s="1">
        <v>2634</v>
      </c>
      <c r="Y2874">
        <v>-526.79999999999995</v>
      </c>
      <c r="Z2874" s="5">
        <v>2107.1999999999998</v>
      </c>
      <c r="AA2874">
        <v>-36</v>
      </c>
      <c r="AB2874" s="5">
        <v>-75859.199999999997</v>
      </c>
      <c r="AC2874" s="1">
        <v>2107.1999999999998</v>
      </c>
      <c r="AD2874">
        <v>-36</v>
      </c>
      <c r="AE2874" s="1">
        <v>-75859.199999999997</v>
      </c>
      <c r="AF2874">
        <v>0</v>
      </c>
      <c r="AJ2874">
        <v>0</v>
      </c>
      <c r="AK2874">
        <v>0</v>
      </c>
      <c r="AL2874">
        <v>0</v>
      </c>
      <c r="AM2874" s="1">
        <v>2107.1999999999998</v>
      </c>
      <c r="AN2874" s="1">
        <v>2107.1999999999998</v>
      </c>
      <c r="AO2874" s="1">
        <v>2107.1999999999998</v>
      </c>
      <c r="AP2874" s="2">
        <v>42746</v>
      </c>
      <c r="AQ2874" t="s">
        <v>72</v>
      </c>
      <c r="AR2874" t="s">
        <v>72</v>
      </c>
      <c r="AS2874">
        <v>2526</v>
      </c>
      <c r="AT2874" s="4">
        <v>42646</v>
      </c>
      <c r="AV2874">
        <v>2526</v>
      </c>
      <c r="AW2874" s="4">
        <v>42646</v>
      </c>
      <c r="BD2874">
        <v>0</v>
      </c>
      <c r="BN2874" t="s">
        <v>74</v>
      </c>
    </row>
    <row r="2875" spans="1:66">
      <c r="A2875">
        <v>100951</v>
      </c>
      <c r="B2875" s="3" t="s">
        <v>335</v>
      </c>
      <c r="C2875" s="1">
        <v>43500101</v>
      </c>
      <c r="D2875" t="s">
        <v>113</v>
      </c>
      <c r="H2875" t="str">
        <f t="shared" si="285"/>
        <v>FRMDRA78C19F205E</v>
      </c>
      <c r="I2875" t="str">
        <f t="shared" si="286"/>
        <v>01397290550</v>
      </c>
      <c r="K2875" t="str">
        <f>""</f>
        <v/>
      </c>
      <c r="M2875" t="s">
        <v>68</v>
      </c>
      <c r="N2875" t="str">
        <f t="shared" si="284"/>
        <v>ALTPRO</v>
      </c>
      <c r="O2875" t="s">
        <v>132</v>
      </c>
      <c r="P2875" s="3" t="s">
        <v>75</v>
      </c>
      <c r="Q2875">
        <v>2016</v>
      </c>
      <c r="R2875" s="2">
        <v>42652</v>
      </c>
      <c r="S2875" s="2">
        <v>42654</v>
      </c>
      <c r="T2875" s="2">
        <v>42653</v>
      </c>
      <c r="U2875" s="2">
        <v>42713</v>
      </c>
      <c r="V2875" t="s">
        <v>71</v>
      </c>
      <c r="W2875" t="str">
        <f>"        FATTPA 12_16"</f>
        <v xml:space="preserve">        FATTPA 12_16</v>
      </c>
      <c r="X2875" s="1">
        <v>2655.08</v>
      </c>
      <c r="Y2875">
        <v>-531.02</v>
      </c>
      <c r="Z2875" s="5">
        <v>2124.06</v>
      </c>
      <c r="AA2875">
        <v>-45</v>
      </c>
      <c r="AB2875" s="5">
        <v>-95582.7</v>
      </c>
      <c r="AC2875" s="1">
        <v>2124.06</v>
      </c>
      <c r="AD2875">
        <v>-45</v>
      </c>
      <c r="AE2875" s="1">
        <v>-95582.7</v>
      </c>
      <c r="AF2875">
        <v>0</v>
      </c>
      <c r="AJ2875">
        <v>-531.02</v>
      </c>
      <c r="AK2875" s="1">
        <v>2124.06</v>
      </c>
      <c r="AL2875" s="1">
        <v>2124.06</v>
      </c>
      <c r="AM2875" s="1">
        <v>2124.06</v>
      </c>
      <c r="AN2875" s="1">
        <v>2124.06</v>
      </c>
      <c r="AO2875" s="1">
        <v>2124.06</v>
      </c>
      <c r="AP2875" s="2">
        <v>42746</v>
      </c>
      <c r="AQ2875" t="s">
        <v>72</v>
      </c>
      <c r="AR2875" t="s">
        <v>72</v>
      </c>
      <c r="AS2875">
        <v>2869</v>
      </c>
      <c r="AT2875" s="4">
        <v>42668</v>
      </c>
      <c r="AV2875">
        <v>2869</v>
      </c>
      <c r="AW2875" s="4">
        <v>42668</v>
      </c>
      <c r="BD2875">
        <v>0</v>
      </c>
      <c r="BN2875" t="s">
        <v>74</v>
      </c>
    </row>
    <row r="2876" spans="1:66">
      <c r="A2876">
        <v>100951</v>
      </c>
      <c r="B2876" s="3" t="s">
        <v>335</v>
      </c>
      <c r="C2876" s="1">
        <v>43500101</v>
      </c>
      <c r="D2876" t="s">
        <v>113</v>
      </c>
      <c r="H2876" t="str">
        <f t="shared" si="285"/>
        <v>FRMDRA78C19F205E</v>
      </c>
      <c r="I2876" t="str">
        <f t="shared" si="286"/>
        <v>01397290550</v>
      </c>
      <c r="K2876" t="str">
        <f>""</f>
        <v/>
      </c>
      <c r="M2876" t="s">
        <v>68</v>
      </c>
      <c r="N2876" t="str">
        <f t="shared" si="284"/>
        <v>ALTPRO</v>
      </c>
      <c r="O2876" t="s">
        <v>132</v>
      </c>
      <c r="P2876" s="3" t="s">
        <v>75</v>
      </c>
      <c r="Q2876">
        <v>2016</v>
      </c>
      <c r="R2876" s="2">
        <v>42681</v>
      </c>
      <c r="S2876" s="2">
        <v>42682</v>
      </c>
      <c r="T2876" s="2">
        <v>42682</v>
      </c>
      <c r="U2876" s="2">
        <v>42742</v>
      </c>
      <c r="V2876" t="s">
        <v>71</v>
      </c>
      <c r="W2876" t="str">
        <f>"        FATTPA 13_16"</f>
        <v xml:space="preserve">        FATTPA 13_16</v>
      </c>
      <c r="X2876" s="1">
        <v>2739.36</v>
      </c>
      <c r="Y2876">
        <v>-547.87</v>
      </c>
      <c r="Z2876" s="5">
        <v>2191.4899999999998</v>
      </c>
      <c r="AA2876">
        <v>-59</v>
      </c>
      <c r="AB2876" s="5">
        <v>-129297.91</v>
      </c>
      <c r="AC2876" s="1">
        <v>2191.4899999999998</v>
      </c>
      <c r="AD2876">
        <v>-59</v>
      </c>
      <c r="AE2876" s="1">
        <v>-129297.91</v>
      </c>
      <c r="AF2876">
        <v>0</v>
      </c>
      <c r="AJ2876" s="1">
        <v>2191.4899999999998</v>
      </c>
      <c r="AK2876" s="1">
        <v>2191.4899999999998</v>
      </c>
      <c r="AL2876" s="1">
        <v>2191.4899999999998</v>
      </c>
      <c r="AM2876" s="1">
        <v>2191.4899999999998</v>
      </c>
      <c r="AN2876" s="1">
        <v>2191.4899999999998</v>
      </c>
      <c r="AO2876" s="1">
        <v>2191.4899999999998</v>
      </c>
      <c r="AP2876" s="2">
        <v>42746</v>
      </c>
      <c r="AQ2876" t="s">
        <v>72</v>
      </c>
      <c r="AR2876" t="s">
        <v>72</v>
      </c>
      <c r="AS2876">
        <v>3032</v>
      </c>
      <c r="AT2876" s="4">
        <v>42683</v>
      </c>
      <c r="AV2876">
        <v>3032</v>
      </c>
      <c r="AW2876" s="4">
        <v>42683</v>
      </c>
      <c r="BD2876">
        <v>0</v>
      </c>
      <c r="BN2876" t="s">
        <v>74</v>
      </c>
    </row>
    <row r="2877" spans="1:66" hidden="1">
      <c r="A2877">
        <v>100952</v>
      </c>
      <c r="B2877" s="3" t="s">
        <v>336</v>
      </c>
      <c r="C2877" s="1">
        <v>43500101</v>
      </c>
      <c r="D2877" t="s">
        <v>113</v>
      </c>
      <c r="H2877" t="str">
        <f t="shared" ref="H2877:H2888" si="287">"DGLFNC77D18F839N"</f>
        <v>DGLFNC77D18F839N</v>
      </c>
      <c r="I2877" t="str">
        <f t="shared" ref="I2877:I2888" si="288">"03524111212"</f>
        <v>03524111212</v>
      </c>
      <c r="K2877" t="str">
        <f>""</f>
        <v/>
      </c>
      <c r="M2877" t="s">
        <v>68</v>
      </c>
      <c r="N2877" t="str">
        <f t="shared" si="284"/>
        <v>ALTPRO</v>
      </c>
      <c r="O2877" t="s">
        <v>132</v>
      </c>
      <c r="P2877" s="3" t="s">
        <v>75</v>
      </c>
      <c r="Q2877">
        <v>2016</v>
      </c>
      <c r="R2877" s="2">
        <v>42377</v>
      </c>
      <c r="S2877" s="2">
        <v>42382</v>
      </c>
      <c r="T2877" s="2">
        <v>42379</v>
      </c>
      <c r="U2877" s="2">
        <v>42439</v>
      </c>
      <c r="V2877" t="s">
        <v>71</v>
      </c>
      <c r="W2877" t="str">
        <f>"         FATTPA 1_16"</f>
        <v xml:space="preserve">         FATTPA 1_16</v>
      </c>
      <c r="X2877" s="1">
        <v>2530.64</v>
      </c>
      <c r="Y2877">
        <v>0</v>
      </c>
      <c r="Z2877"/>
      <c r="AB2877"/>
      <c r="AC2877" s="1">
        <v>2530.64</v>
      </c>
      <c r="AD2877">
        <v>-42</v>
      </c>
      <c r="AE2877" s="1">
        <v>-106286.88</v>
      </c>
      <c r="AF2877">
        <v>0</v>
      </c>
      <c r="AJ2877">
        <v>0</v>
      </c>
      <c r="AK2877">
        <v>0</v>
      </c>
      <c r="AL2877">
        <v>0</v>
      </c>
      <c r="AM2877">
        <v>0</v>
      </c>
      <c r="AN2877" s="1">
        <v>2530.64</v>
      </c>
      <c r="AO2877" s="1">
        <v>2530.64</v>
      </c>
      <c r="AP2877" s="2">
        <v>42746</v>
      </c>
      <c r="AQ2877" t="s">
        <v>72</v>
      </c>
      <c r="AR2877" t="s">
        <v>72</v>
      </c>
      <c r="AS2877">
        <v>133</v>
      </c>
      <c r="AT2877" s="4">
        <v>42397</v>
      </c>
      <c r="AV2877">
        <v>133</v>
      </c>
      <c r="AW2877" s="4">
        <v>42397</v>
      </c>
      <c r="BD2877">
        <v>0</v>
      </c>
      <c r="BN2877" t="s">
        <v>74</v>
      </c>
    </row>
    <row r="2878" spans="1:66" hidden="1">
      <c r="A2878">
        <v>100952</v>
      </c>
      <c r="B2878" s="3" t="s">
        <v>336</v>
      </c>
      <c r="C2878" s="1">
        <v>43500101</v>
      </c>
      <c r="D2878" t="s">
        <v>113</v>
      </c>
      <c r="H2878" t="str">
        <f t="shared" si="287"/>
        <v>DGLFNC77D18F839N</v>
      </c>
      <c r="I2878" t="str">
        <f t="shared" si="288"/>
        <v>03524111212</v>
      </c>
      <c r="K2878" t="str">
        <f>""</f>
        <v/>
      </c>
      <c r="M2878" t="s">
        <v>68</v>
      </c>
      <c r="N2878" t="str">
        <f t="shared" si="284"/>
        <v>ALTPRO</v>
      </c>
      <c r="O2878" t="s">
        <v>132</v>
      </c>
      <c r="P2878" s="3" t="s">
        <v>75</v>
      </c>
      <c r="Q2878">
        <v>2016</v>
      </c>
      <c r="R2878" s="2">
        <v>42403</v>
      </c>
      <c r="S2878" s="2">
        <v>42404</v>
      </c>
      <c r="T2878" s="2">
        <v>42403</v>
      </c>
      <c r="U2878" s="2">
        <v>42463</v>
      </c>
      <c r="V2878" t="s">
        <v>71</v>
      </c>
      <c r="W2878" t="str">
        <f>"         FATTPA 2_16"</f>
        <v xml:space="preserve">         FATTPA 2_16</v>
      </c>
      <c r="X2878" s="1">
        <v>2499.04</v>
      </c>
      <c r="Y2878">
        <v>0</v>
      </c>
      <c r="Z2878"/>
      <c r="AB2878"/>
      <c r="AC2878" s="1">
        <v>2499.04</v>
      </c>
      <c r="AD2878">
        <v>-37</v>
      </c>
      <c r="AE2878" s="1">
        <v>-92464.48</v>
      </c>
      <c r="AF2878">
        <v>0</v>
      </c>
      <c r="AJ2878">
        <v>0</v>
      </c>
      <c r="AK2878">
        <v>0</v>
      </c>
      <c r="AL2878">
        <v>0</v>
      </c>
      <c r="AM2878" s="1">
        <v>2499.04</v>
      </c>
      <c r="AN2878" s="1">
        <v>2499.04</v>
      </c>
      <c r="AO2878" s="1">
        <v>2499.04</v>
      </c>
      <c r="AP2878" s="2">
        <v>42746</v>
      </c>
      <c r="AQ2878" t="s">
        <v>72</v>
      </c>
      <c r="AR2878" t="s">
        <v>72</v>
      </c>
      <c r="AS2878">
        <v>577</v>
      </c>
      <c r="AT2878" s="4">
        <v>42426</v>
      </c>
      <c r="AV2878">
        <v>577</v>
      </c>
      <c r="AW2878" s="4">
        <v>42426</v>
      </c>
      <c r="BD2878">
        <v>0</v>
      </c>
      <c r="BN2878" t="s">
        <v>74</v>
      </c>
    </row>
    <row r="2879" spans="1:66" hidden="1">
      <c r="A2879">
        <v>100952</v>
      </c>
      <c r="B2879" s="3" t="s">
        <v>336</v>
      </c>
      <c r="C2879" s="1">
        <v>43500101</v>
      </c>
      <c r="D2879" t="s">
        <v>113</v>
      </c>
      <c r="H2879" t="str">
        <f t="shared" si="287"/>
        <v>DGLFNC77D18F839N</v>
      </c>
      <c r="I2879" t="str">
        <f t="shared" si="288"/>
        <v>03524111212</v>
      </c>
      <c r="K2879" t="str">
        <f>""</f>
        <v/>
      </c>
      <c r="M2879" t="s">
        <v>68</v>
      </c>
      <c r="N2879" t="str">
        <f t="shared" si="284"/>
        <v>ALTPRO</v>
      </c>
      <c r="O2879" t="s">
        <v>132</v>
      </c>
      <c r="P2879" s="3" t="s">
        <v>75</v>
      </c>
      <c r="Q2879">
        <v>2016</v>
      </c>
      <c r="R2879" s="2">
        <v>42433</v>
      </c>
      <c r="S2879" s="2">
        <v>42436</v>
      </c>
      <c r="T2879" s="2">
        <v>42433</v>
      </c>
      <c r="U2879" s="2">
        <v>42493</v>
      </c>
      <c r="V2879" t="s">
        <v>71</v>
      </c>
      <c r="W2879" t="str">
        <f>"         FATTPA 3_16"</f>
        <v xml:space="preserve">         FATTPA 3_16</v>
      </c>
      <c r="X2879" s="1">
        <v>2557.86</v>
      </c>
      <c r="Y2879">
        <v>0</v>
      </c>
      <c r="Z2879"/>
      <c r="AB2879"/>
      <c r="AC2879" s="1">
        <v>2557.86</v>
      </c>
      <c r="AD2879">
        <v>-42</v>
      </c>
      <c r="AE2879" s="1">
        <v>-107430.12</v>
      </c>
      <c r="AF2879">
        <v>0</v>
      </c>
      <c r="AJ2879">
        <v>0</v>
      </c>
      <c r="AK2879">
        <v>0</v>
      </c>
      <c r="AL2879">
        <v>0</v>
      </c>
      <c r="AM2879" s="1">
        <v>2557.86</v>
      </c>
      <c r="AN2879" s="1">
        <v>2557.86</v>
      </c>
      <c r="AO2879" s="1">
        <v>2557.86</v>
      </c>
      <c r="AP2879" s="2">
        <v>42746</v>
      </c>
      <c r="AQ2879" t="s">
        <v>72</v>
      </c>
      <c r="AR2879" t="s">
        <v>72</v>
      </c>
      <c r="AS2879">
        <v>723</v>
      </c>
      <c r="AT2879" s="4">
        <v>42451</v>
      </c>
      <c r="AV2879">
        <v>723</v>
      </c>
      <c r="AW2879" s="4">
        <v>42451</v>
      </c>
      <c r="BD2879">
        <v>0</v>
      </c>
      <c r="BN2879" t="s">
        <v>74</v>
      </c>
    </row>
    <row r="2880" spans="1:66" hidden="1">
      <c r="A2880">
        <v>100952</v>
      </c>
      <c r="B2880" s="3" t="s">
        <v>336</v>
      </c>
      <c r="C2880" s="1">
        <v>43500101</v>
      </c>
      <c r="D2880" t="s">
        <v>113</v>
      </c>
      <c r="H2880" t="str">
        <f t="shared" si="287"/>
        <v>DGLFNC77D18F839N</v>
      </c>
      <c r="I2880" t="str">
        <f t="shared" si="288"/>
        <v>03524111212</v>
      </c>
      <c r="K2880" t="str">
        <f>""</f>
        <v/>
      </c>
      <c r="M2880" t="s">
        <v>68</v>
      </c>
      <c r="N2880" t="str">
        <f t="shared" si="284"/>
        <v>ALTPRO</v>
      </c>
      <c r="O2880" t="s">
        <v>132</v>
      </c>
      <c r="P2880" s="3" t="s">
        <v>75</v>
      </c>
      <c r="Q2880">
        <v>2016</v>
      </c>
      <c r="R2880" s="2">
        <v>42461</v>
      </c>
      <c r="S2880" s="2">
        <v>42464</v>
      </c>
      <c r="T2880" s="2">
        <v>42461</v>
      </c>
      <c r="U2880" s="2">
        <v>42521</v>
      </c>
      <c r="V2880" t="s">
        <v>71</v>
      </c>
      <c r="W2880" t="str">
        <f>"         FATTPA 4_16"</f>
        <v xml:space="preserve">         FATTPA 4_16</v>
      </c>
      <c r="X2880" s="1">
        <v>2633.2</v>
      </c>
      <c r="Y2880">
        <v>0</v>
      </c>
      <c r="Z2880"/>
      <c r="AB2880"/>
      <c r="AC2880" s="1">
        <v>2633.2</v>
      </c>
      <c r="AD2880">
        <v>-34</v>
      </c>
      <c r="AE2880" s="1">
        <v>-89528.8</v>
      </c>
      <c r="AF2880">
        <v>0</v>
      </c>
      <c r="AJ2880">
        <v>0</v>
      </c>
      <c r="AK2880">
        <v>0</v>
      </c>
      <c r="AL2880">
        <v>0</v>
      </c>
      <c r="AM2880" s="1">
        <v>2633.2</v>
      </c>
      <c r="AN2880" s="1">
        <v>2633.2</v>
      </c>
      <c r="AO2880" s="1">
        <v>2633.2</v>
      </c>
      <c r="AP2880" s="2">
        <v>42746</v>
      </c>
      <c r="AQ2880" t="s">
        <v>72</v>
      </c>
      <c r="AR2880" t="s">
        <v>72</v>
      </c>
      <c r="AS2880">
        <v>1163</v>
      </c>
      <c r="AT2880" s="4">
        <v>42487</v>
      </c>
      <c r="AV2880">
        <v>1163</v>
      </c>
      <c r="AW2880" s="4">
        <v>42487</v>
      </c>
      <c r="BD2880">
        <v>0</v>
      </c>
      <c r="BN2880" t="s">
        <v>74</v>
      </c>
    </row>
    <row r="2881" spans="1:66" hidden="1">
      <c r="A2881">
        <v>100952</v>
      </c>
      <c r="B2881" s="3" t="s">
        <v>336</v>
      </c>
      <c r="C2881" s="1">
        <v>43500101</v>
      </c>
      <c r="D2881" t="s">
        <v>113</v>
      </c>
      <c r="H2881" t="str">
        <f t="shared" si="287"/>
        <v>DGLFNC77D18F839N</v>
      </c>
      <c r="I2881" t="str">
        <f t="shared" si="288"/>
        <v>03524111212</v>
      </c>
      <c r="K2881" t="str">
        <f>""</f>
        <v/>
      </c>
      <c r="M2881" t="s">
        <v>68</v>
      </c>
      <c r="N2881" t="str">
        <f t="shared" si="284"/>
        <v>ALTPRO</v>
      </c>
      <c r="O2881" t="s">
        <v>132</v>
      </c>
      <c r="P2881" s="3" t="s">
        <v>75</v>
      </c>
      <c r="Q2881">
        <v>2016</v>
      </c>
      <c r="R2881" s="2">
        <v>42492</v>
      </c>
      <c r="S2881" s="2">
        <v>42493</v>
      </c>
      <c r="T2881" s="2">
        <v>42493</v>
      </c>
      <c r="U2881" s="2">
        <v>42553</v>
      </c>
      <c r="V2881" t="s">
        <v>71</v>
      </c>
      <c r="W2881" t="str">
        <f>"         FATTPA 5_16"</f>
        <v xml:space="preserve">         FATTPA 5_16</v>
      </c>
      <c r="X2881" s="1">
        <v>2504.13</v>
      </c>
      <c r="Y2881">
        <v>0</v>
      </c>
      <c r="Z2881"/>
      <c r="AB2881"/>
      <c r="AC2881" s="1">
        <v>2504.13</v>
      </c>
      <c r="AD2881">
        <v>-37</v>
      </c>
      <c r="AE2881" s="1">
        <v>-92652.81</v>
      </c>
      <c r="AF2881">
        <v>0</v>
      </c>
      <c r="AJ2881">
        <v>0</v>
      </c>
      <c r="AK2881">
        <v>0</v>
      </c>
      <c r="AL2881">
        <v>0</v>
      </c>
      <c r="AM2881" s="1">
        <v>2504.13</v>
      </c>
      <c r="AN2881" s="1">
        <v>2504.13</v>
      </c>
      <c r="AO2881" s="1">
        <v>2504.13</v>
      </c>
      <c r="AP2881" s="2">
        <v>42746</v>
      </c>
      <c r="AQ2881" t="s">
        <v>72</v>
      </c>
      <c r="AR2881" t="s">
        <v>72</v>
      </c>
      <c r="AS2881">
        <v>1378</v>
      </c>
      <c r="AT2881" s="4">
        <v>42516</v>
      </c>
      <c r="AV2881">
        <v>1378</v>
      </c>
      <c r="AW2881" s="4">
        <v>42516</v>
      </c>
      <c r="BD2881">
        <v>0</v>
      </c>
      <c r="BN2881" t="s">
        <v>74</v>
      </c>
    </row>
    <row r="2882" spans="1:66" hidden="1">
      <c r="A2882">
        <v>100952</v>
      </c>
      <c r="B2882" s="3" t="s">
        <v>336</v>
      </c>
      <c r="C2882" s="1">
        <v>43500101</v>
      </c>
      <c r="D2882" t="s">
        <v>113</v>
      </c>
      <c r="H2882" t="str">
        <f t="shared" si="287"/>
        <v>DGLFNC77D18F839N</v>
      </c>
      <c r="I2882" t="str">
        <f t="shared" si="288"/>
        <v>03524111212</v>
      </c>
      <c r="K2882" t="str">
        <f>""</f>
        <v/>
      </c>
      <c r="M2882" t="s">
        <v>68</v>
      </c>
      <c r="N2882" t="str">
        <f t="shared" si="284"/>
        <v>ALTPRO</v>
      </c>
      <c r="O2882" t="s">
        <v>132</v>
      </c>
      <c r="P2882" s="3" t="s">
        <v>75</v>
      </c>
      <c r="Q2882">
        <v>2016</v>
      </c>
      <c r="R2882" s="2">
        <v>42522</v>
      </c>
      <c r="S2882" s="2">
        <v>42527</v>
      </c>
      <c r="T2882" s="2">
        <v>42522</v>
      </c>
      <c r="U2882" s="2">
        <v>42582</v>
      </c>
      <c r="V2882" t="s">
        <v>71</v>
      </c>
      <c r="W2882" t="str">
        <f>"         FATTPA 6_16"</f>
        <v xml:space="preserve">         FATTPA 6_16</v>
      </c>
      <c r="X2882" s="1">
        <v>2741.36</v>
      </c>
      <c r="Y2882">
        <v>0</v>
      </c>
      <c r="Z2882"/>
      <c r="AB2882"/>
      <c r="AC2882" s="1">
        <v>2741.36</v>
      </c>
      <c r="AD2882">
        <v>-54</v>
      </c>
      <c r="AE2882" s="1">
        <v>-148033.44</v>
      </c>
      <c r="AF2882">
        <v>0</v>
      </c>
      <c r="AJ2882">
        <v>0</v>
      </c>
      <c r="AK2882">
        <v>0</v>
      </c>
      <c r="AL2882">
        <v>0</v>
      </c>
      <c r="AM2882" s="1">
        <v>2741.36</v>
      </c>
      <c r="AN2882" s="1">
        <v>2741.36</v>
      </c>
      <c r="AO2882" s="1">
        <v>2741.36</v>
      </c>
      <c r="AP2882" s="2">
        <v>42746</v>
      </c>
      <c r="AQ2882" t="s">
        <v>72</v>
      </c>
      <c r="AR2882" t="s">
        <v>72</v>
      </c>
      <c r="AS2882">
        <v>1567</v>
      </c>
      <c r="AT2882" s="4">
        <v>42528</v>
      </c>
      <c r="AV2882">
        <v>1567</v>
      </c>
      <c r="AW2882" s="4">
        <v>42528</v>
      </c>
      <c r="BD2882">
        <v>0</v>
      </c>
      <c r="BN2882" t="s">
        <v>74</v>
      </c>
    </row>
    <row r="2883" spans="1:66" hidden="1">
      <c r="A2883">
        <v>100952</v>
      </c>
      <c r="B2883" s="3" t="s">
        <v>336</v>
      </c>
      <c r="C2883" s="1">
        <v>43500101</v>
      </c>
      <c r="D2883" t="s">
        <v>113</v>
      </c>
      <c r="H2883" t="str">
        <f t="shared" si="287"/>
        <v>DGLFNC77D18F839N</v>
      </c>
      <c r="I2883" t="str">
        <f t="shared" si="288"/>
        <v>03524111212</v>
      </c>
      <c r="K2883" t="str">
        <f>""</f>
        <v/>
      </c>
      <c r="M2883" t="s">
        <v>68</v>
      </c>
      <c r="N2883" t="str">
        <f t="shared" si="284"/>
        <v>ALTPRO</v>
      </c>
      <c r="O2883" t="s">
        <v>132</v>
      </c>
      <c r="P2883" s="3" t="s">
        <v>75</v>
      </c>
      <c r="Q2883">
        <v>2016</v>
      </c>
      <c r="R2883" s="2">
        <v>42562</v>
      </c>
      <c r="S2883" s="2">
        <v>42562</v>
      </c>
      <c r="T2883" s="2">
        <v>42562</v>
      </c>
      <c r="U2883" s="2">
        <v>42622</v>
      </c>
      <c r="V2883" t="s">
        <v>71</v>
      </c>
      <c r="W2883" t="str">
        <f>"         FATTPA 7_16"</f>
        <v xml:space="preserve">         FATTPA 7_16</v>
      </c>
      <c r="X2883" s="1">
        <v>2591.0500000000002</v>
      </c>
      <c r="Y2883">
        <v>0</v>
      </c>
      <c r="Z2883"/>
      <c r="AB2883"/>
      <c r="AC2883" s="1">
        <v>2591.0500000000002</v>
      </c>
      <c r="AD2883">
        <v>-56</v>
      </c>
      <c r="AE2883" s="1">
        <v>-145098.79999999999</v>
      </c>
      <c r="AF2883">
        <v>0</v>
      </c>
      <c r="AJ2883">
        <v>0</v>
      </c>
      <c r="AK2883">
        <v>0</v>
      </c>
      <c r="AL2883">
        <v>0</v>
      </c>
      <c r="AM2883" s="1">
        <v>2591.0500000000002</v>
      </c>
      <c r="AN2883" s="1">
        <v>2591.0500000000002</v>
      </c>
      <c r="AO2883" s="1">
        <v>2591.0500000000002</v>
      </c>
      <c r="AP2883" s="2">
        <v>42746</v>
      </c>
      <c r="AQ2883" t="s">
        <v>72</v>
      </c>
      <c r="AR2883" t="s">
        <v>72</v>
      </c>
      <c r="AS2883">
        <v>1788</v>
      </c>
      <c r="AT2883" s="4">
        <v>42566</v>
      </c>
      <c r="AV2883">
        <v>1788</v>
      </c>
      <c r="AW2883" s="4">
        <v>42566</v>
      </c>
      <c r="BD2883">
        <v>0</v>
      </c>
      <c r="BN2883" t="s">
        <v>74</v>
      </c>
    </row>
    <row r="2884" spans="1:66" hidden="1">
      <c r="A2884">
        <v>100952</v>
      </c>
      <c r="B2884" s="3" t="s">
        <v>336</v>
      </c>
      <c r="C2884" s="1">
        <v>43500101</v>
      </c>
      <c r="D2884" t="s">
        <v>113</v>
      </c>
      <c r="H2884" t="str">
        <f t="shared" si="287"/>
        <v>DGLFNC77D18F839N</v>
      </c>
      <c r="I2884" t="str">
        <f t="shared" si="288"/>
        <v>03524111212</v>
      </c>
      <c r="K2884" t="str">
        <f>""</f>
        <v/>
      </c>
      <c r="M2884" t="s">
        <v>68</v>
      </c>
      <c r="N2884" t="str">
        <f t="shared" si="284"/>
        <v>ALTPRO</v>
      </c>
      <c r="O2884" t="s">
        <v>132</v>
      </c>
      <c r="P2884" s="3" t="s">
        <v>75</v>
      </c>
      <c r="Q2884">
        <v>2016</v>
      </c>
      <c r="R2884" s="2">
        <v>42583</v>
      </c>
      <c r="S2884" s="2">
        <v>42583</v>
      </c>
      <c r="T2884" s="2">
        <v>42583</v>
      </c>
      <c r="U2884" s="2">
        <v>42643</v>
      </c>
      <c r="V2884" t="s">
        <v>71</v>
      </c>
      <c r="W2884" t="str">
        <f>"         FATTPA 8_16"</f>
        <v xml:space="preserve">         FATTPA 8_16</v>
      </c>
      <c r="X2884" s="1">
        <v>2634.07</v>
      </c>
      <c r="Y2884">
        <v>0</v>
      </c>
      <c r="Z2884"/>
      <c r="AB2884"/>
      <c r="AC2884" s="1">
        <v>2634.07</v>
      </c>
      <c r="AD2884">
        <v>-58</v>
      </c>
      <c r="AE2884" s="1">
        <v>-152776.06</v>
      </c>
      <c r="AF2884">
        <v>0</v>
      </c>
      <c r="AJ2884">
        <v>0</v>
      </c>
      <c r="AK2884">
        <v>0</v>
      </c>
      <c r="AL2884">
        <v>0</v>
      </c>
      <c r="AM2884" s="1">
        <v>2634.07</v>
      </c>
      <c r="AN2884" s="1">
        <v>2634.07</v>
      </c>
      <c r="AO2884" s="1">
        <v>2634.07</v>
      </c>
      <c r="AP2884" s="2">
        <v>42746</v>
      </c>
      <c r="AQ2884" t="s">
        <v>72</v>
      </c>
      <c r="AR2884" t="s">
        <v>72</v>
      </c>
      <c r="AS2884">
        <v>2069</v>
      </c>
      <c r="AT2884" s="4">
        <v>42585</v>
      </c>
      <c r="AV2884">
        <v>2069</v>
      </c>
      <c r="AW2884" s="4">
        <v>42585</v>
      </c>
      <c r="BD2884">
        <v>0</v>
      </c>
      <c r="BN2884" t="s">
        <v>74</v>
      </c>
    </row>
    <row r="2885" spans="1:66">
      <c r="A2885">
        <v>100952</v>
      </c>
      <c r="B2885" s="3" t="s">
        <v>336</v>
      </c>
      <c r="C2885" s="1">
        <v>43500101</v>
      </c>
      <c r="D2885" t="s">
        <v>113</v>
      </c>
      <c r="H2885" t="str">
        <f t="shared" si="287"/>
        <v>DGLFNC77D18F839N</v>
      </c>
      <c r="I2885" t="str">
        <f t="shared" si="288"/>
        <v>03524111212</v>
      </c>
      <c r="K2885" t="str">
        <f>""</f>
        <v/>
      </c>
      <c r="M2885" t="s">
        <v>68</v>
      </c>
      <c r="N2885" t="str">
        <f t="shared" si="284"/>
        <v>ALTPRO</v>
      </c>
      <c r="O2885" t="s">
        <v>132</v>
      </c>
      <c r="P2885" s="3" t="s">
        <v>75</v>
      </c>
      <c r="Q2885">
        <v>2016</v>
      </c>
      <c r="R2885" s="2">
        <v>42618</v>
      </c>
      <c r="S2885" s="2">
        <v>42620</v>
      </c>
      <c r="T2885" s="2">
        <v>42620</v>
      </c>
      <c r="U2885" s="2">
        <v>42680</v>
      </c>
      <c r="V2885" t="s">
        <v>71</v>
      </c>
      <c r="W2885" t="str">
        <f>"         FATTPA 9_16"</f>
        <v xml:space="preserve">         FATTPA 9_16</v>
      </c>
      <c r="X2885" s="1">
        <v>2598.88</v>
      </c>
      <c r="Y2885">
        <v>0</v>
      </c>
      <c r="Z2885" s="5">
        <v>2598.88</v>
      </c>
      <c r="AA2885">
        <v>-34</v>
      </c>
      <c r="AB2885" s="5">
        <v>-88361.919999999998</v>
      </c>
      <c r="AC2885" s="1">
        <v>2598.88</v>
      </c>
      <c r="AD2885">
        <v>-34</v>
      </c>
      <c r="AE2885" s="1">
        <v>-88361.919999999998</v>
      </c>
      <c r="AF2885">
        <v>0</v>
      </c>
      <c r="AJ2885">
        <v>0</v>
      </c>
      <c r="AK2885">
        <v>0</v>
      </c>
      <c r="AL2885">
        <v>0</v>
      </c>
      <c r="AM2885" s="1">
        <v>2598.88</v>
      </c>
      <c r="AN2885" s="1">
        <v>2598.88</v>
      </c>
      <c r="AO2885" s="1">
        <v>2598.88</v>
      </c>
      <c r="AP2885" s="2">
        <v>42746</v>
      </c>
      <c r="AQ2885" t="s">
        <v>72</v>
      </c>
      <c r="AR2885" t="s">
        <v>72</v>
      </c>
      <c r="AS2885">
        <v>2521</v>
      </c>
      <c r="AT2885" s="4">
        <v>42646</v>
      </c>
      <c r="AV2885">
        <v>2521</v>
      </c>
      <c r="AW2885" s="4">
        <v>42646</v>
      </c>
      <c r="BD2885">
        <v>0</v>
      </c>
      <c r="BN2885" t="s">
        <v>74</v>
      </c>
    </row>
    <row r="2886" spans="1:66">
      <c r="A2886">
        <v>100952</v>
      </c>
      <c r="B2886" s="3" t="s">
        <v>336</v>
      </c>
      <c r="C2886" s="1">
        <v>43500101</v>
      </c>
      <c r="D2886" t="s">
        <v>113</v>
      </c>
      <c r="H2886" t="str">
        <f t="shared" si="287"/>
        <v>DGLFNC77D18F839N</v>
      </c>
      <c r="I2886" t="str">
        <f t="shared" si="288"/>
        <v>03524111212</v>
      </c>
      <c r="K2886" t="str">
        <f>""</f>
        <v/>
      </c>
      <c r="M2886" t="s">
        <v>68</v>
      </c>
      <c r="N2886" t="str">
        <f t="shared" si="284"/>
        <v>ALTPRO</v>
      </c>
      <c r="O2886" t="s">
        <v>132</v>
      </c>
      <c r="P2886" s="3" t="s">
        <v>75</v>
      </c>
      <c r="Q2886">
        <v>2016</v>
      </c>
      <c r="R2886" s="2">
        <v>42646</v>
      </c>
      <c r="S2886" s="2">
        <v>42647</v>
      </c>
      <c r="T2886" s="2">
        <v>42646</v>
      </c>
      <c r="U2886" s="2">
        <v>42706</v>
      </c>
      <c r="V2886" t="s">
        <v>71</v>
      </c>
      <c r="W2886" t="str">
        <f>"        FATTPA 10_16"</f>
        <v xml:space="preserve">        FATTPA 10_16</v>
      </c>
      <c r="X2886" s="1">
        <v>2555.6999999999998</v>
      </c>
      <c r="Y2886">
        <v>0</v>
      </c>
      <c r="Z2886" s="5">
        <v>2555.6999999999998</v>
      </c>
      <c r="AA2886">
        <v>-38</v>
      </c>
      <c r="AB2886" s="5">
        <v>-97116.6</v>
      </c>
      <c r="AC2886" s="1">
        <v>2555.6999999999998</v>
      </c>
      <c r="AD2886">
        <v>-38</v>
      </c>
      <c r="AE2886" s="1">
        <v>-97116.6</v>
      </c>
      <c r="AF2886">
        <v>0</v>
      </c>
      <c r="AJ2886">
        <v>0</v>
      </c>
      <c r="AK2886" s="1">
        <v>2555.6999999999998</v>
      </c>
      <c r="AL2886" s="1">
        <v>2555.6999999999998</v>
      </c>
      <c r="AM2886" s="1">
        <v>2555.6999999999998</v>
      </c>
      <c r="AN2886" s="1">
        <v>2555.6999999999998</v>
      </c>
      <c r="AO2886" s="1">
        <v>2555.6999999999998</v>
      </c>
      <c r="AP2886" s="2">
        <v>42746</v>
      </c>
      <c r="AQ2886" t="s">
        <v>72</v>
      </c>
      <c r="AR2886" t="s">
        <v>72</v>
      </c>
      <c r="AS2886">
        <v>2854</v>
      </c>
      <c r="AT2886" s="4">
        <v>42668</v>
      </c>
      <c r="AV2886">
        <v>2854</v>
      </c>
      <c r="AW2886" s="4">
        <v>42668</v>
      </c>
      <c r="BD2886">
        <v>0</v>
      </c>
      <c r="BN2886" t="s">
        <v>74</v>
      </c>
    </row>
    <row r="2887" spans="1:66">
      <c r="A2887">
        <v>100952</v>
      </c>
      <c r="B2887" s="3" t="s">
        <v>336</v>
      </c>
      <c r="C2887" s="1">
        <v>43500101</v>
      </c>
      <c r="D2887" t="s">
        <v>113</v>
      </c>
      <c r="H2887" t="str">
        <f t="shared" si="287"/>
        <v>DGLFNC77D18F839N</v>
      </c>
      <c r="I2887" t="str">
        <f t="shared" si="288"/>
        <v>03524111212</v>
      </c>
      <c r="K2887" t="str">
        <f>""</f>
        <v/>
      </c>
      <c r="M2887" t="s">
        <v>68</v>
      </c>
      <c r="N2887" t="str">
        <f t="shared" si="284"/>
        <v>ALTPRO</v>
      </c>
      <c r="O2887" t="s">
        <v>132</v>
      </c>
      <c r="P2887" s="3" t="s">
        <v>75</v>
      </c>
      <c r="Q2887">
        <v>2016</v>
      </c>
      <c r="R2887" s="2">
        <v>42676</v>
      </c>
      <c r="S2887" s="2">
        <v>42677</v>
      </c>
      <c r="T2887" s="2">
        <v>42677</v>
      </c>
      <c r="U2887" s="2">
        <v>42737</v>
      </c>
      <c r="V2887" t="s">
        <v>71</v>
      </c>
      <c r="W2887" t="str">
        <f>"        FATTPA 11_16"</f>
        <v xml:space="preserve">        FATTPA 11_16</v>
      </c>
      <c r="X2887" s="1">
        <v>2894.05</v>
      </c>
      <c r="Y2887">
        <v>0</v>
      </c>
      <c r="Z2887" s="5">
        <v>2894.05</v>
      </c>
      <c r="AA2887">
        <v>-59</v>
      </c>
      <c r="AB2887" s="5">
        <v>-170748.95</v>
      </c>
      <c r="AC2887" s="1">
        <v>2894.05</v>
      </c>
      <c r="AD2887">
        <v>-59</v>
      </c>
      <c r="AE2887" s="1">
        <v>-170748.95</v>
      </c>
      <c r="AF2887">
        <v>0</v>
      </c>
      <c r="AJ2887" s="1">
        <v>2894.05</v>
      </c>
      <c r="AK2887" s="1">
        <v>2894.05</v>
      </c>
      <c r="AL2887" s="1">
        <v>2894.05</v>
      </c>
      <c r="AM2887" s="1">
        <v>2894.05</v>
      </c>
      <c r="AN2887" s="1">
        <v>2894.05</v>
      </c>
      <c r="AO2887" s="1">
        <v>2894.05</v>
      </c>
      <c r="AP2887" s="2">
        <v>42746</v>
      </c>
      <c r="AQ2887" t="s">
        <v>72</v>
      </c>
      <c r="AR2887" t="s">
        <v>72</v>
      </c>
      <c r="AS2887">
        <v>2903</v>
      </c>
      <c r="AT2887" s="4">
        <v>42678</v>
      </c>
      <c r="AV2887">
        <v>2903</v>
      </c>
      <c r="AW2887" s="4">
        <v>42678</v>
      </c>
      <c r="BD2887">
        <v>0</v>
      </c>
      <c r="BN2887" t="s">
        <v>74</v>
      </c>
    </row>
    <row r="2888" spans="1:66">
      <c r="A2888">
        <v>100952</v>
      </c>
      <c r="B2888" s="3" t="s">
        <v>336</v>
      </c>
      <c r="C2888" s="1">
        <v>43500101</v>
      </c>
      <c r="D2888" t="s">
        <v>113</v>
      </c>
      <c r="H2888" t="str">
        <f t="shared" si="287"/>
        <v>DGLFNC77D18F839N</v>
      </c>
      <c r="I2888" t="str">
        <f t="shared" si="288"/>
        <v>03524111212</v>
      </c>
      <c r="K2888" t="str">
        <f>""</f>
        <v/>
      </c>
      <c r="M2888" t="s">
        <v>68</v>
      </c>
      <c r="N2888" t="str">
        <f t="shared" si="284"/>
        <v>ALTPRO</v>
      </c>
      <c r="O2888" t="s">
        <v>132</v>
      </c>
      <c r="P2888" s="3" t="s">
        <v>75</v>
      </c>
      <c r="Q2888">
        <v>2016</v>
      </c>
      <c r="R2888" s="2">
        <v>42706</v>
      </c>
      <c r="S2888" s="2">
        <v>42709</v>
      </c>
      <c r="T2888" s="2">
        <v>42706</v>
      </c>
      <c r="U2888" s="2">
        <v>42766</v>
      </c>
      <c r="V2888" t="s">
        <v>71</v>
      </c>
      <c r="W2888" t="str">
        <f>"        FATTPA 12_16"</f>
        <v xml:space="preserve">        FATTPA 12_16</v>
      </c>
      <c r="X2888" s="1">
        <v>2528.64</v>
      </c>
      <c r="Y2888">
        <v>0</v>
      </c>
      <c r="Z2888" s="5">
        <v>2528.64</v>
      </c>
      <c r="AA2888">
        <v>-55</v>
      </c>
      <c r="AB2888" s="5">
        <v>-139075.20000000001</v>
      </c>
      <c r="AC2888" s="1">
        <v>2528.64</v>
      </c>
      <c r="AD2888">
        <v>-55</v>
      </c>
      <c r="AE2888" s="1">
        <v>-139075.20000000001</v>
      </c>
      <c r="AF2888">
        <v>0</v>
      </c>
      <c r="AJ2888" s="1">
        <v>2528.64</v>
      </c>
      <c r="AK2888" s="1">
        <v>2528.64</v>
      </c>
      <c r="AL2888" s="1">
        <v>2528.64</v>
      </c>
      <c r="AM2888" s="1">
        <v>2528.64</v>
      </c>
      <c r="AN2888" s="1">
        <v>2528.64</v>
      </c>
      <c r="AO2888" s="1">
        <v>2528.64</v>
      </c>
      <c r="AP2888" s="2">
        <v>42746</v>
      </c>
      <c r="AQ2888" t="s">
        <v>72</v>
      </c>
      <c r="AR2888" t="s">
        <v>72</v>
      </c>
      <c r="AS2888">
        <v>3358</v>
      </c>
      <c r="AT2888" s="4">
        <v>42711</v>
      </c>
      <c r="AV2888">
        <v>3358</v>
      </c>
      <c r="AW2888" s="4">
        <v>42711</v>
      </c>
      <c r="BD2888">
        <v>0</v>
      </c>
      <c r="BN2888" t="s">
        <v>74</v>
      </c>
    </row>
    <row r="2889" spans="1:66">
      <c r="A2889">
        <v>100965</v>
      </c>
      <c r="B2889" s="3" t="s">
        <v>337</v>
      </c>
      <c r="C2889" s="1">
        <v>43300101</v>
      </c>
      <c r="D2889" t="s">
        <v>67</v>
      </c>
      <c r="H2889" t="str">
        <f>"00167110626"</f>
        <v>00167110626</v>
      </c>
      <c r="I2889" t="str">
        <f>"00167110626"</f>
        <v>00167110626</v>
      </c>
      <c r="K2889" t="str">
        <f>""</f>
        <v/>
      </c>
      <c r="M2889" t="s">
        <v>68</v>
      </c>
      <c r="N2889" t="str">
        <f>"FOR"</f>
        <v>FOR</v>
      </c>
      <c r="O2889" t="s">
        <v>69</v>
      </c>
      <c r="P2889" s="3" t="s">
        <v>75</v>
      </c>
      <c r="Q2889">
        <v>2015</v>
      </c>
      <c r="R2889" s="2">
        <v>42368</v>
      </c>
      <c r="S2889" s="2">
        <v>42369</v>
      </c>
      <c r="T2889" s="2">
        <v>42369</v>
      </c>
      <c r="U2889" s="2">
        <v>42429</v>
      </c>
      <c r="V2889" t="s">
        <v>71</v>
      </c>
      <c r="W2889" t="str">
        <f>"                37FE"</f>
        <v xml:space="preserve">                37FE</v>
      </c>
      <c r="X2889" s="1">
        <v>1287.9000000000001</v>
      </c>
      <c r="Y2889">
        <v>0</v>
      </c>
      <c r="Z2889" s="5">
        <v>1287.9000000000001</v>
      </c>
      <c r="AA2889">
        <v>218</v>
      </c>
      <c r="AB2889" s="5">
        <v>280762.2</v>
      </c>
      <c r="AC2889" s="1">
        <v>1287.9000000000001</v>
      </c>
      <c r="AD2889">
        <v>218</v>
      </c>
      <c r="AE2889" s="1">
        <v>280762.2</v>
      </c>
      <c r="AF2889">
        <v>0</v>
      </c>
      <c r="AJ2889">
        <v>0</v>
      </c>
      <c r="AK2889">
        <v>0</v>
      </c>
      <c r="AL2889">
        <v>0</v>
      </c>
      <c r="AM2889">
        <v>0</v>
      </c>
      <c r="AN2889">
        <v>0</v>
      </c>
      <c r="AO2889">
        <v>0</v>
      </c>
      <c r="AP2889" s="2">
        <v>42746</v>
      </c>
      <c r="AQ2889" t="s">
        <v>72</v>
      </c>
      <c r="AR2889" t="s">
        <v>72</v>
      </c>
      <c r="AS2889">
        <v>2592</v>
      </c>
      <c r="AT2889" s="4">
        <v>42647</v>
      </c>
      <c r="AU2889" t="s">
        <v>73</v>
      </c>
      <c r="AV2889">
        <v>2592</v>
      </c>
      <c r="AW2889" s="4">
        <v>42647</v>
      </c>
      <c r="BD2889">
        <v>0</v>
      </c>
      <c r="BN2889" t="s">
        <v>74</v>
      </c>
    </row>
    <row r="2890" spans="1:66">
      <c r="A2890">
        <v>100965</v>
      </c>
      <c r="B2890" s="3" t="s">
        <v>337</v>
      </c>
      <c r="C2890" s="1">
        <v>43300101</v>
      </c>
      <c r="D2890" t="s">
        <v>67</v>
      </c>
      <c r="H2890" t="str">
        <f>"00167110626"</f>
        <v>00167110626</v>
      </c>
      <c r="I2890" t="str">
        <f>"00167110626"</f>
        <v>00167110626</v>
      </c>
      <c r="K2890" t="str">
        <f>""</f>
        <v/>
      </c>
      <c r="M2890" t="s">
        <v>68</v>
      </c>
      <c r="N2890" t="str">
        <f>"FOR"</f>
        <v>FOR</v>
      </c>
      <c r="O2890" t="s">
        <v>69</v>
      </c>
      <c r="P2890" s="3" t="s">
        <v>75</v>
      </c>
      <c r="Q2890">
        <v>2016</v>
      </c>
      <c r="R2890" s="2">
        <v>42546</v>
      </c>
      <c r="S2890" s="2">
        <v>42548</v>
      </c>
      <c r="T2890" s="2">
        <v>42548</v>
      </c>
      <c r="U2890" s="2">
        <v>42608</v>
      </c>
      <c r="V2890" t="s">
        <v>71</v>
      </c>
      <c r="W2890" t="str">
        <f>"                6022"</f>
        <v xml:space="preserve">                6022</v>
      </c>
      <c r="X2890">
        <v>230</v>
      </c>
      <c r="Y2890">
        <v>0</v>
      </c>
      <c r="Z2890" s="3">
        <v>230</v>
      </c>
      <c r="AA2890">
        <v>39</v>
      </c>
      <c r="AB2890" s="5">
        <v>8970</v>
      </c>
      <c r="AC2890">
        <v>230</v>
      </c>
      <c r="AD2890">
        <v>39</v>
      </c>
      <c r="AE2890" s="1">
        <v>8970</v>
      </c>
      <c r="AF2890">
        <v>0</v>
      </c>
      <c r="AJ2890">
        <v>0</v>
      </c>
      <c r="AK2890">
        <v>0</v>
      </c>
      <c r="AL2890">
        <v>0</v>
      </c>
      <c r="AM2890">
        <v>230</v>
      </c>
      <c r="AN2890">
        <v>230</v>
      </c>
      <c r="AO2890">
        <v>230</v>
      </c>
      <c r="AP2890" s="2">
        <v>42746</v>
      </c>
      <c r="AQ2890" t="s">
        <v>72</v>
      </c>
      <c r="AR2890" t="s">
        <v>72</v>
      </c>
      <c r="AS2890">
        <v>2592</v>
      </c>
      <c r="AT2890" s="4">
        <v>42647</v>
      </c>
      <c r="AU2890" t="s">
        <v>73</v>
      </c>
      <c r="AV2890">
        <v>2592</v>
      </c>
      <c r="AW2890" s="4">
        <v>42647</v>
      </c>
      <c r="BD2890">
        <v>0</v>
      </c>
      <c r="BN2890" t="s">
        <v>74</v>
      </c>
    </row>
    <row r="2891" spans="1:66" hidden="1">
      <c r="A2891">
        <v>100967</v>
      </c>
      <c r="B2891" s="3" t="s">
        <v>338</v>
      </c>
      <c r="C2891" s="1">
        <v>43500101</v>
      </c>
      <c r="D2891" t="s">
        <v>113</v>
      </c>
      <c r="H2891" t="str">
        <f>"PLLSGS77E01F839U"</f>
        <v>PLLSGS77E01F839U</v>
      </c>
      <c r="I2891" t="str">
        <f>"06065751213"</f>
        <v>06065751213</v>
      </c>
      <c r="K2891" t="str">
        <f>""</f>
        <v/>
      </c>
      <c r="M2891" t="s">
        <v>68</v>
      </c>
      <c r="N2891" t="str">
        <f>"ALTPRO"</f>
        <v>ALTPRO</v>
      </c>
      <c r="O2891" t="s">
        <v>132</v>
      </c>
      <c r="P2891" s="3" t="s">
        <v>75</v>
      </c>
      <c r="Q2891">
        <v>2016</v>
      </c>
      <c r="R2891" s="2">
        <v>42387</v>
      </c>
      <c r="S2891" s="2">
        <v>42388</v>
      </c>
      <c r="T2891" s="2">
        <v>42387</v>
      </c>
      <c r="U2891" s="2">
        <v>42447</v>
      </c>
      <c r="V2891" t="s">
        <v>71</v>
      </c>
      <c r="W2891" t="str">
        <f>"         FATTPA 1_16"</f>
        <v xml:space="preserve">         FATTPA 1_16</v>
      </c>
      <c r="X2891" s="1">
        <v>1337.44</v>
      </c>
      <c r="Y2891">
        <v>-267.08999999999997</v>
      </c>
      <c r="Z2891"/>
      <c r="AB2891"/>
      <c r="AC2891" s="1">
        <v>1070.3499999999999</v>
      </c>
      <c r="AD2891">
        <v>-50</v>
      </c>
      <c r="AE2891" s="1">
        <v>-53517.5</v>
      </c>
      <c r="AF2891">
        <v>0</v>
      </c>
      <c r="AJ2891">
        <v>0</v>
      </c>
      <c r="AK2891">
        <v>0</v>
      </c>
      <c r="AL2891">
        <v>0</v>
      </c>
      <c r="AM2891">
        <v>-267.08999999999997</v>
      </c>
      <c r="AN2891" s="1">
        <v>1070.3499999999999</v>
      </c>
      <c r="AO2891" s="1">
        <v>1070.3499999999999</v>
      </c>
      <c r="AP2891" s="2">
        <v>42746</v>
      </c>
      <c r="AQ2891" t="s">
        <v>72</v>
      </c>
      <c r="AR2891" t="s">
        <v>72</v>
      </c>
      <c r="AS2891">
        <v>144</v>
      </c>
      <c r="AT2891" s="4">
        <v>42397</v>
      </c>
      <c r="AV2891">
        <v>144</v>
      </c>
      <c r="AW2891" s="4">
        <v>42397</v>
      </c>
      <c r="BD2891">
        <v>0</v>
      </c>
      <c r="BN2891" t="s">
        <v>74</v>
      </c>
    </row>
    <row r="2892" spans="1:66" hidden="1">
      <c r="A2892">
        <v>100967</v>
      </c>
      <c r="B2892" s="3" t="s">
        <v>338</v>
      </c>
      <c r="C2892" s="1">
        <v>43500101</v>
      </c>
      <c r="D2892" t="s">
        <v>113</v>
      </c>
      <c r="H2892" t="str">
        <f>"PLLSGS77E01F839U"</f>
        <v>PLLSGS77E01F839U</v>
      </c>
      <c r="I2892" t="str">
        <f>"06065751213"</f>
        <v>06065751213</v>
      </c>
      <c r="K2892" t="str">
        <f>""</f>
        <v/>
      </c>
      <c r="M2892" t="s">
        <v>68</v>
      </c>
      <c r="N2892" t="str">
        <f>"ALTPRO"</f>
        <v>ALTPRO</v>
      </c>
      <c r="O2892" t="s">
        <v>132</v>
      </c>
      <c r="P2892" s="3" t="s">
        <v>75</v>
      </c>
      <c r="Q2892">
        <v>2016</v>
      </c>
      <c r="R2892" s="2">
        <v>42433</v>
      </c>
      <c r="S2892" s="2">
        <v>42436</v>
      </c>
      <c r="T2892" s="2">
        <v>42433</v>
      </c>
      <c r="U2892" s="2">
        <v>42493</v>
      </c>
      <c r="V2892" t="s">
        <v>71</v>
      </c>
      <c r="W2892" t="str">
        <f>"         FATTPA 3_16"</f>
        <v xml:space="preserve">         FATTPA 3_16</v>
      </c>
      <c r="X2892" s="1">
        <v>1856.69</v>
      </c>
      <c r="Y2892">
        <v>-370.94</v>
      </c>
      <c r="Z2892"/>
      <c r="AB2892"/>
      <c r="AC2892" s="1">
        <v>1485.75</v>
      </c>
      <c r="AD2892">
        <v>-42</v>
      </c>
      <c r="AE2892" s="1">
        <v>-62401.5</v>
      </c>
      <c r="AF2892">
        <v>0</v>
      </c>
      <c r="AJ2892">
        <v>0</v>
      </c>
      <c r="AK2892">
        <v>0</v>
      </c>
      <c r="AL2892">
        <v>0</v>
      </c>
      <c r="AM2892" s="1">
        <v>1485.75</v>
      </c>
      <c r="AN2892" s="1">
        <v>1485.75</v>
      </c>
      <c r="AO2892" s="1">
        <v>1485.75</v>
      </c>
      <c r="AP2892" s="2">
        <v>42746</v>
      </c>
      <c r="AQ2892" t="s">
        <v>72</v>
      </c>
      <c r="AR2892" t="s">
        <v>72</v>
      </c>
      <c r="AS2892">
        <v>724</v>
      </c>
      <c r="AT2892" s="4">
        <v>42451</v>
      </c>
      <c r="AV2892">
        <v>724</v>
      </c>
      <c r="AW2892" s="4">
        <v>42451</v>
      </c>
      <c r="BD2892">
        <v>0</v>
      </c>
      <c r="BN2892" t="s">
        <v>74</v>
      </c>
    </row>
    <row r="2893" spans="1:66" hidden="1">
      <c r="A2893">
        <v>100967</v>
      </c>
      <c r="B2893" s="3" t="s">
        <v>338</v>
      </c>
      <c r="C2893" s="1">
        <v>43500101</v>
      </c>
      <c r="D2893" t="s">
        <v>113</v>
      </c>
      <c r="H2893" t="str">
        <f>"PLLSGS77E01F839U"</f>
        <v>PLLSGS77E01F839U</v>
      </c>
      <c r="I2893" t="str">
        <f>"06065751213"</f>
        <v>06065751213</v>
      </c>
      <c r="K2893" t="str">
        <f>""</f>
        <v/>
      </c>
      <c r="M2893" t="s">
        <v>68</v>
      </c>
      <c r="N2893" t="str">
        <f>"ALTPRO"</f>
        <v>ALTPRO</v>
      </c>
      <c r="O2893" t="s">
        <v>132</v>
      </c>
      <c r="P2893" s="3" t="s">
        <v>75</v>
      </c>
      <c r="Q2893">
        <v>2016</v>
      </c>
      <c r="R2893" s="2">
        <v>42433</v>
      </c>
      <c r="S2893" s="2">
        <v>42436</v>
      </c>
      <c r="T2893" s="2">
        <v>42433</v>
      </c>
      <c r="U2893" s="2">
        <v>42493</v>
      </c>
      <c r="V2893" t="s">
        <v>71</v>
      </c>
      <c r="W2893" t="str">
        <f>"         FATTPA 4_16"</f>
        <v xml:space="preserve">         FATTPA 4_16</v>
      </c>
      <c r="X2893" s="1">
        <v>1872.5</v>
      </c>
      <c r="Y2893">
        <v>-374.1</v>
      </c>
      <c r="Z2893"/>
      <c r="AB2893"/>
      <c r="AC2893" s="1">
        <v>1498.4</v>
      </c>
      <c r="AD2893">
        <v>-42</v>
      </c>
      <c r="AE2893" s="1">
        <v>-62932.800000000003</v>
      </c>
      <c r="AF2893">
        <v>0</v>
      </c>
      <c r="AJ2893">
        <v>0</v>
      </c>
      <c r="AK2893">
        <v>0</v>
      </c>
      <c r="AL2893">
        <v>0</v>
      </c>
      <c r="AM2893" s="1">
        <v>1498.4</v>
      </c>
      <c r="AN2893" s="1">
        <v>1498.4</v>
      </c>
      <c r="AO2893" s="1">
        <v>1498.4</v>
      </c>
      <c r="AP2893" s="2">
        <v>42746</v>
      </c>
      <c r="AQ2893" t="s">
        <v>72</v>
      </c>
      <c r="AR2893" t="s">
        <v>72</v>
      </c>
      <c r="AS2893">
        <v>724</v>
      </c>
      <c r="AT2893" s="4">
        <v>42451</v>
      </c>
      <c r="AV2893">
        <v>724</v>
      </c>
      <c r="AW2893" s="4">
        <v>42451</v>
      </c>
      <c r="BD2893">
        <v>0</v>
      </c>
      <c r="BN2893" t="s">
        <v>74</v>
      </c>
    </row>
    <row r="2894" spans="1:66" hidden="1">
      <c r="A2894">
        <v>100967</v>
      </c>
      <c r="B2894" s="3" t="s">
        <v>338</v>
      </c>
      <c r="C2894" s="1">
        <v>43500101</v>
      </c>
      <c r="D2894" t="s">
        <v>113</v>
      </c>
      <c r="H2894" t="str">
        <f>"PLLSGS77E01F839U"</f>
        <v>PLLSGS77E01F839U</v>
      </c>
      <c r="I2894" t="str">
        <f>"06065751213"</f>
        <v>06065751213</v>
      </c>
      <c r="K2894" t="str">
        <f>""</f>
        <v/>
      </c>
      <c r="M2894" t="s">
        <v>68</v>
      </c>
      <c r="N2894" t="str">
        <f>"ALTPRO"</f>
        <v>ALTPRO</v>
      </c>
      <c r="O2894" t="s">
        <v>132</v>
      </c>
      <c r="P2894" s="3" t="s">
        <v>75</v>
      </c>
      <c r="Q2894">
        <v>2016</v>
      </c>
      <c r="R2894" s="2">
        <v>42473</v>
      </c>
      <c r="S2894" s="2">
        <v>42475</v>
      </c>
      <c r="T2894" s="2">
        <v>42473</v>
      </c>
      <c r="U2894" s="2">
        <v>42533</v>
      </c>
      <c r="V2894" t="s">
        <v>71</v>
      </c>
      <c r="W2894" t="str">
        <f>"         FATTPA 5_16"</f>
        <v xml:space="preserve">         FATTPA 5_16</v>
      </c>
      <c r="X2894" s="1">
        <v>1851.42</v>
      </c>
      <c r="Y2894">
        <v>-369.88</v>
      </c>
      <c r="Z2894"/>
      <c r="AB2894"/>
      <c r="AC2894" s="1">
        <v>1481.54</v>
      </c>
      <c r="AD2894">
        <v>-46</v>
      </c>
      <c r="AE2894" s="1">
        <v>-68150.84</v>
      </c>
      <c r="AF2894">
        <v>0</v>
      </c>
      <c r="AJ2894">
        <v>0</v>
      </c>
      <c r="AK2894">
        <v>0</v>
      </c>
      <c r="AL2894">
        <v>0</v>
      </c>
      <c r="AM2894" s="1">
        <v>1481.54</v>
      </c>
      <c r="AN2894" s="1">
        <v>1481.54</v>
      </c>
      <c r="AO2894" s="1">
        <v>1481.54</v>
      </c>
      <c r="AP2894" s="2">
        <v>42746</v>
      </c>
      <c r="AQ2894" t="s">
        <v>72</v>
      </c>
      <c r="AR2894" t="s">
        <v>72</v>
      </c>
      <c r="AS2894">
        <v>1136</v>
      </c>
      <c r="AT2894" s="4">
        <v>42487</v>
      </c>
      <c r="AV2894">
        <v>1136</v>
      </c>
      <c r="AW2894" s="4">
        <v>42487</v>
      </c>
      <c r="BD2894">
        <v>0</v>
      </c>
      <c r="BN2894" t="s">
        <v>74</v>
      </c>
    </row>
    <row r="2895" spans="1:66" hidden="1">
      <c r="A2895">
        <v>100979</v>
      </c>
      <c r="B2895" s="3" t="s">
        <v>339</v>
      </c>
      <c r="C2895" s="1">
        <v>43300101</v>
      </c>
      <c r="D2895" t="s">
        <v>67</v>
      </c>
      <c r="H2895" t="str">
        <f>"11281120151"</f>
        <v>11281120151</v>
      </c>
      <c r="I2895" t="str">
        <f>"11281120151"</f>
        <v>11281120151</v>
      </c>
      <c r="K2895" t="str">
        <f>""</f>
        <v/>
      </c>
      <c r="M2895" t="s">
        <v>68</v>
      </c>
      <c r="N2895" t="str">
        <f t="shared" ref="N2895:N2926" si="289">"FOR"</f>
        <v>FOR</v>
      </c>
      <c r="O2895" t="s">
        <v>69</v>
      </c>
      <c r="P2895" s="3" t="s">
        <v>75</v>
      </c>
      <c r="Q2895">
        <v>2015</v>
      </c>
      <c r="R2895" s="2">
        <v>42124</v>
      </c>
      <c r="S2895" s="2">
        <v>42129</v>
      </c>
      <c r="T2895" s="2">
        <v>42129</v>
      </c>
      <c r="U2895" s="2">
        <v>42189</v>
      </c>
      <c r="V2895" t="s">
        <v>71</v>
      </c>
      <c r="W2895" t="str">
        <f>"               PA/44"</f>
        <v xml:space="preserve">               PA/44</v>
      </c>
      <c r="X2895" s="1">
        <v>21350</v>
      </c>
      <c r="Y2895">
        <v>0</v>
      </c>
      <c r="Z2895"/>
      <c r="AB2895"/>
      <c r="AC2895" s="1">
        <v>17500</v>
      </c>
      <c r="AD2895">
        <v>227</v>
      </c>
      <c r="AE2895" s="1">
        <v>3972500</v>
      </c>
      <c r="AF2895">
        <v>0</v>
      </c>
      <c r="AJ2895">
        <v>0</v>
      </c>
      <c r="AK2895">
        <v>0</v>
      </c>
      <c r="AL2895">
        <v>0</v>
      </c>
      <c r="AM2895">
        <v>0</v>
      </c>
      <c r="AN2895">
        <v>0</v>
      </c>
      <c r="AO2895">
        <v>0</v>
      </c>
      <c r="AP2895" s="2">
        <v>42746</v>
      </c>
      <c r="AQ2895" t="s">
        <v>72</v>
      </c>
      <c r="AR2895" t="s">
        <v>72</v>
      </c>
      <c r="AS2895">
        <v>448</v>
      </c>
      <c r="AT2895" s="4">
        <v>42416</v>
      </c>
      <c r="AU2895" t="s">
        <v>73</v>
      </c>
      <c r="AV2895">
        <v>448</v>
      </c>
      <c r="AW2895" s="4">
        <v>42416</v>
      </c>
      <c r="BD2895">
        <v>0</v>
      </c>
      <c r="BN2895" t="s">
        <v>74</v>
      </c>
    </row>
    <row r="2896" spans="1:66">
      <c r="A2896">
        <v>100979</v>
      </c>
      <c r="B2896" s="3" t="s">
        <v>339</v>
      </c>
      <c r="C2896" s="1">
        <v>43300101</v>
      </c>
      <c r="D2896" t="s">
        <v>67</v>
      </c>
      <c r="H2896" t="str">
        <f>"11281120151"</f>
        <v>11281120151</v>
      </c>
      <c r="I2896" t="str">
        <f>"11281120151"</f>
        <v>11281120151</v>
      </c>
      <c r="K2896" t="str">
        <f>""</f>
        <v/>
      </c>
      <c r="M2896" t="s">
        <v>68</v>
      </c>
      <c r="N2896" t="str">
        <f t="shared" si="289"/>
        <v>FOR</v>
      </c>
      <c r="O2896" t="s">
        <v>69</v>
      </c>
      <c r="P2896" s="3" t="s">
        <v>75</v>
      </c>
      <c r="Q2896">
        <v>2016</v>
      </c>
      <c r="R2896" s="2">
        <v>42458</v>
      </c>
      <c r="S2896" s="2">
        <v>42461</v>
      </c>
      <c r="T2896" s="2">
        <v>42459</v>
      </c>
      <c r="U2896" s="2">
        <v>42519</v>
      </c>
      <c r="V2896" t="s">
        <v>71</v>
      </c>
      <c r="W2896" t="str">
        <f>"               PA/23"</f>
        <v xml:space="preserve">               PA/23</v>
      </c>
      <c r="X2896" s="1">
        <v>21350</v>
      </c>
      <c r="Y2896">
        <v>0</v>
      </c>
      <c r="Z2896" s="5">
        <v>17500</v>
      </c>
      <c r="AA2896">
        <v>170</v>
      </c>
      <c r="AB2896" s="5">
        <v>2975000</v>
      </c>
      <c r="AC2896" s="1">
        <v>17500</v>
      </c>
      <c r="AD2896">
        <v>170</v>
      </c>
      <c r="AE2896" s="1">
        <v>2975000</v>
      </c>
      <c r="AF2896">
        <v>0</v>
      </c>
      <c r="AJ2896">
        <v>0</v>
      </c>
      <c r="AK2896">
        <v>0</v>
      </c>
      <c r="AL2896">
        <v>0</v>
      </c>
      <c r="AM2896" s="1">
        <v>21350</v>
      </c>
      <c r="AN2896" s="1">
        <v>21350</v>
      </c>
      <c r="AO2896" s="1">
        <v>21350</v>
      </c>
      <c r="AP2896" s="2">
        <v>42746</v>
      </c>
      <c r="AQ2896" t="s">
        <v>72</v>
      </c>
      <c r="AR2896" t="s">
        <v>72</v>
      </c>
      <c r="AS2896">
        <v>3095</v>
      </c>
      <c r="AT2896" s="4">
        <v>42689</v>
      </c>
      <c r="AU2896" t="s">
        <v>73</v>
      </c>
      <c r="AV2896">
        <v>3095</v>
      </c>
      <c r="AW2896" s="4">
        <v>42689</v>
      </c>
      <c r="BD2896">
        <v>0</v>
      </c>
      <c r="BN2896" t="s">
        <v>74</v>
      </c>
    </row>
    <row r="2897" spans="1:66" hidden="1">
      <c r="A2897">
        <v>100980</v>
      </c>
      <c r="B2897" s="3" t="s">
        <v>340</v>
      </c>
      <c r="C2897" s="1">
        <v>43300101</v>
      </c>
      <c r="D2897" t="s">
        <v>67</v>
      </c>
      <c r="H2897" t="str">
        <f t="shared" ref="H2897:I2907" si="290">"05501461213"</f>
        <v>05501461213</v>
      </c>
      <c r="I2897" t="str">
        <f t="shared" si="290"/>
        <v>05501461213</v>
      </c>
      <c r="K2897" t="str">
        <f>""</f>
        <v/>
      </c>
      <c r="M2897" t="s">
        <v>68</v>
      </c>
      <c r="N2897" t="str">
        <f t="shared" si="289"/>
        <v>FOR</v>
      </c>
      <c r="O2897" t="s">
        <v>69</v>
      </c>
      <c r="P2897" s="3" t="s">
        <v>75</v>
      </c>
      <c r="Q2897">
        <v>2015</v>
      </c>
      <c r="R2897" s="2">
        <v>42124</v>
      </c>
      <c r="S2897" s="2">
        <v>42131</v>
      </c>
      <c r="T2897" s="2">
        <v>42130</v>
      </c>
      <c r="U2897" s="2">
        <v>42190</v>
      </c>
      <c r="V2897" t="s">
        <v>71</v>
      </c>
      <c r="W2897" t="str">
        <f>"               13/PA"</f>
        <v xml:space="preserve">               13/PA</v>
      </c>
      <c r="X2897" s="1">
        <v>12015.78</v>
      </c>
      <c r="Y2897">
        <v>0</v>
      </c>
      <c r="Z2897"/>
      <c r="AB2897"/>
      <c r="AC2897" s="1">
        <v>9849</v>
      </c>
      <c r="AD2897">
        <v>263</v>
      </c>
      <c r="AE2897" s="1">
        <v>2590287</v>
      </c>
      <c r="AF2897">
        <v>0</v>
      </c>
      <c r="AJ2897">
        <v>0</v>
      </c>
      <c r="AK2897">
        <v>0</v>
      </c>
      <c r="AL2897">
        <v>0</v>
      </c>
      <c r="AM2897">
        <v>0</v>
      </c>
      <c r="AN2897">
        <v>0</v>
      </c>
      <c r="AO2897">
        <v>0</v>
      </c>
      <c r="AP2897" s="2">
        <v>42746</v>
      </c>
      <c r="AQ2897" t="s">
        <v>72</v>
      </c>
      <c r="AR2897" t="s">
        <v>72</v>
      </c>
      <c r="AS2897">
        <v>870</v>
      </c>
      <c r="AT2897" s="4">
        <v>42453</v>
      </c>
      <c r="AU2897" t="s">
        <v>73</v>
      </c>
      <c r="AV2897">
        <v>870</v>
      </c>
      <c r="AW2897" s="4">
        <v>42453</v>
      </c>
      <c r="BD2897">
        <v>0</v>
      </c>
      <c r="BN2897" t="s">
        <v>74</v>
      </c>
    </row>
    <row r="2898" spans="1:66" hidden="1">
      <c r="A2898">
        <v>100980</v>
      </c>
      <c r="B2898" s="3" t="s">
        <v>340</v>
      </c>
      <c r="C2898" s="1">
        <v>43300101</v>
      </c>
      <c r="D2898" t="s">
        <v>67</v>
      </c>
      <c r="H2898" t="str">
        <f t="shared" si="290"/>
        <v>05501461213</v>
      </c>
      <c r="I2898" t="str">
        <f t="shared" si="290"/>
        <v>05501461213</v>
      </c>
      <c r="K2898" t="str">
        <f>""</f>
        <v/>
      </c>
      <c r="M2898" t="s">
        <v>68</v>
      </c>
      <c r="N2898" t="str">
        <f t="shared" si="289"/>
        <v>FOR</v>
      </c>
      <c r="O2898" t="s">
        <v>69</v>
      </c>
      <c r="P2898" s="3" t="s">
        <v>75</v>
      </c>
      <c r="Q2898">
        <v>2015</v>
      </c>
      <c r="R2898" s="2">
        <v>42131</v>
      </c>
      <c r="S2898" s="2">
        <v>42177</v>
      </c>
      <c r="T2898" s="2">
        <v>42138</v>
      </c>
      <c r="U2898" s="2">
        <v>42198</v>
      </c>
      <c r="V2898" t="s">
        <v>71</v>
      </c>
      <c r="W2898" t="str">
        <f>"               19/PA"</f>
        <v xml:space="preserve">               19/PA</v>
      </c>
      <c r="X2898" s="1">
        <v>11785.2</v>
      </c>
      <c r="Y2898">
        <v>0</v>
      </c>
      <c r="Z2898"/>
      <c r="AB2898"/>
      <c r="AC2898" s="1">
        <v>9660</v>
      </c>
      <c r="AD2898">
        <v>255</v>
      </c>
      <c r="AE2898" s="1">
        <v>2463300</v>
      </c>
      <c r="AF2898">
        <v>0</v>
      </c>
      <c r="AJ2898">
        <v>0</v>
      </c>
      <c r="AK2898">
        <v>0</v>
      </c>
      <c r="AL2898">
        <v>0</v>
      </c>
      <c r="AM2898">
        <v>0</v>
      </c>
      <c r="AN2898">
        <v>0</v>
      </c>
      <c r="AO2898">
        <v>0</v>
      </c>
      <c r="AP2898" s="2">
        <v>42746</v>
      </c>
      <c r="AQ2898" t="s">
        <v>72</v>
      </c>
      <c r="AR2898" t="s">
        <v>72</v>
      </c>
      <c r="AS2898">
        <v>870</v>
      </c>
      <c r="AT2898" s="4">
        <v>42453</v>
      </c>
      <c r="AU2898" t="s">
        <v>73</v>
      </c>
      <c r="AV2898">
        <v>870</v>
      </c>
      <c r="AW2898" s="4">
        <v>42453</v>
      </c>
      <c r="BD2898">
        <v>0</v>
      </c>
      <c r="BN2898" t="s">
        <v>74</v>
      </c>
    </row>
    <row r="2899" spans="1:66">
      <c r="A2899">
        <v>100980</v>
      </c>
      <c r="B2899" s="3" t="s">
        <v>340</v>
      </c>
      <c r="C2899" s="1">
        <v>43300101</v>
      </c>
      <c r="D2899" t="s">
        <v>67</v>
      </c>
      <c r="H2899" t="str">
        <f t="shared" si="290"/>
        <v>05501461213</v>
      </c>
      <c r="I2899" t="str">
        <f t="shared" si="290"/>
        <v>05501461213</v>
      </c>
      <c r="K2899" t="str">
        <f>""</f>
        <v/>
      </c>
      <c r="M2899" t="s">
        <v>68</v>
      </c>
      <c r="N2899" t="str">
        <f t="shared" si="289"/>
        <v>FOR</v>
      </c>
      <c r="O2899" t="s">
        <v>69</v>
      </c>
      <c r="P2899" s="3" t="s">
        <v>75</v>
      </c>
      <c r="Q2899">
        <v>2015</v>
      </c>
      <c r="R2899" s="2">
        <v>42284</v>
      </c>
      <c r="S2899" s="2">
        <v>42289</v>
      </c>
      <c r="T2899" s="2">
        <v>42286</v>
      </c>
      <c r="U2899" s="2">
        <v>42346</v>
      </c>
      <c r="V2899" t="s">
        <v>71</v>
      </c>
      <c r="W2899" t="str">
        <f>"               96/PA"</f>
        <v xml:space="preserve">               96/PA</v>
      </c>
      <c r="X2899" s="1">
        <v>4026</v>
      </c>
      <c r="Y2899">
        <v>0</v>
      </c>
      <c r="Z2899" s="5">
        <v>3300</v>
      </c>
      <c r="AA2899">
        <v>302</v>
      </c>
      <c r="AB2899" s="5">
        <v>996600</v>
      </c>
      <c r="AC2899" s="1">
        <v>3300</v>
      </c>
      <c r="AD2899">
        <v>302</v>
      </c>
      <c r="AE2899" s="1">
        <v>996600</v>
      </c>
      <c r="AF2899">
        <v>0</v>
      </c>
      <c r="AJ2899">
        <v>0</v>
      </c>
      <c r="AK2899">
        <v>0</v>
      </c>
      <c r="AL2899">
        <v>0</v>
      </c>
      <c r="AM2899">
        <v>0</v>
      </c>
      <c r="AN2899">
        <v>0</v>
      </c>
      <c r="AO2899">
        <v>0</v>
      </c>
      <c r="AP2899" s="2">
        <v>42746</v>
      </c>
      <c r="AQ2899" t="s">
        <v>72</v>
      </c>
      <c r="AR2899" t="s">
        <v>72</v>
      </c>
      <c r="AS2899">
        <v>2656</v>
      </c>
      <c r="AT2899" s="4">
        <v>42648</v>
      </c>
      <c r="AU2899" t="s">
        <v>73</v>
      </c>
      <c r="AV2899">
        <v>2656</v>
      </c>
      <c r="AW2899" s="4">
        <v>42648</v>
      </c>
      <c r="BD2899">
        <v>0</v>
      </c>
      <c r="BN2899" t="s">
        <v>74</v>
      </c>
    </row>
    <row r="2900" spans="1:66">
      <c r="A2900">
        <v>100980</v>
      </c>
      <c r="B2900" s="3" t="s">
        <v>340</v>
      </c>
      <c r="C2900" s="1">
        <v>43300101</v>
      </c>
      <c r="D2900" t="s">
        <v>67</v>
      </c>
      <c r="H2900" t="str">
        <f t="shared" si="290"/>
        <v>05501461213</v>
      </c>
      <c r="I2900" t="str">
        <f t="shared" si="290"/>
        <v>05501461213</v>
      </c>
      <c r="K2900" t="str">
        <f>""</f>
        <v/>
      </c>
      <c r="M2900" t="s">
        <v>68</v>
      </c>
      <c r="N2900" t="str">
        <f t="shared" si="289"/>
        <v>FOR</v>
      </c>
      <c r="O2900" t="s">
        <v>69</v>
      </c>
      <c r="P2900" s="3" t="s">
        <v>75</v>
      </c>
      <c r="Q2900">
        <v>2015</v>
      </c>
      <c r="R2900" s="2">
        <v>42312</v>
      </c>
      <c r="S2900" s="2">
        <v>42318</v>
      </c>
      <c r="T2900" s="2">
        <v>42314</v>
      </c>
      <c r="U2900" s="2">
        <v>42374</v>
      </c>
      <c r="V2900" t="s">
        <v>71</v>
      </c>
      <c r="W2900" t="str">
        <f>"              110/PA"</f>
        <v xml:space="preserve">              110/PA</v>
      </c>
      <c r="X2900">
        <v>922.32</v>
      </c>
      <c r="Y2900">
        <v>0</v>
      </c>
      <c r="Z2900" s="3">
        <v>756</v>
      </c>
      <c r="AA2900">
        <v>274</v>
      </c>
      <c r="AB2900" s="5">
        <v>207144</v>
      </c>
      <c r="AC2900">
        <v>756</v>
      </c>
      <c r="AD2900">
        <v>274</v>
      </c>
      <c r="AE2900" s="1">
        <v>207144</v>
      </c>
      <c r="AF2900">
        <v>0</v>
      </c>
      <c r="AJ2900">
        <v>0</v>
      </c>
      <c r="AK2900">
        <v>0</v>
      </c>
      <c r="AL2900">
        <v>0</v>
      </c>
      <c r="AM2900">
        <v>0</v>
      </c>
      <c r="AN2900">
        <v>0</v>
      </c>
      <c r="AO2900">
        <v>0</v>
      </c>
      <c r="AP2900" s="2">
        <v>42746</v>
      </c>
      <c r="AQ2900" t="s">
        <v>72</v>
      </c>
      <c r="AR2900" t="s">
        <v>72</v>
      </c>
      <c r="AS2900">
        <v>2656</v>
      </c>
      <c r="AT2900" s="4">
        <v>42648</v>
      </c>
      <c r="AU2900" t="s">
        <v>73</v>
      </c>
      <c r="AV2900">
        <v>2656</v>
      </c>
      <c r="AW2900" s="4">
        <v>42648</v>
      </c>
      <c r="BD2900">
        <v>0</v>
      </c>
      <c r="BN2900" t="s">
        <v>74</v>
      </c>
    </row>
    <row r="2901" spans="1:66">
      <c r="A2901">
        <v>100980</v>
      </c>
      <c r="B2901" s="3" t="s">
        <v>340</v>
      </c>
      <c r="C2901" s="1">
        <v>43300101</v>
      </c>
      <c r="D2901" t="s">
        <v>67</v>
      </c>
      <c r="H2901" t="str">
        <f t="shared" si="290"/>
        <v>05501461213</v>
      </c>
      <c r="I2901" t="str">
        <f t="shared" si="290"/>
        <v>05501461213</v>
      </c>
      <c r="K2901" t="str">
        <f>""</f>
        <v/>
      </c>
      <c r="M2901" t="s">
        <v>68</v>
      </c>
      <c r="N2901" t="str">
        <f t="shared" si="289"/>
        <v>FOR</v>
      </c>
      <c r="O2901" t="s">
        <v>69</v>
      </c>
      <c r="P2901" s="3" t="s">
        <v>75</v>
      </c>
      <c r="Q2901">
        <v>2015</v>
      </c>
      <c r="R2901" s="2">
        <v>42338</v>
      </c>
      <c r="S2901" s="2">
        <v>42345</v>
      </c>
      <c r="T2901" s="2">
        <v>42342</v>
      </c>
      <c r="U2901" s="2">
        <v>42402</v>
      </c>
      <c r="V2901" t="s">
        <v>71</v>
      </c>
      <c r="W2901" t="str">
        <f>"              127/PA"</f>
        <v xml:space="preserve">              127/PA</v>
      </c>
      <c r="X2901" s="1">
        <v>2013</v>
      </c>
      <c r="Y2901">
        <v>0</v>
      </c>
      <c r="Z2901" s="5">
        <v>1650</v>
      </c>
      <c r="AA2901">
        <v>246</v>
      </c>
      <c r="AB2901" s="5">
        <v>405900</v>
      </c>
      <c r="AC2901" s="1">
        <v>1650</v>
      </c>
      <c r="AD2901">
        <v>246</v>
      </c>
      <c r="AE2901" s="1">
        <v>405900</v>
      </c>
      <c r="AF2901">
        <v>0</v>
      </c>
      <c r="AJ2901">
        <v>0</v>
      </c>
      <c r="AK2901">
        <v>0</v>
      </c>
      <c r="AL2901">
        <v>0</v>
      </c>
      <c r="AM2901">
        <v>0</v>
      </c>
      <c r="AN2901">
        <v>0</v>
      </c>
      <c r="AO2901">
        <v>0</v>
      </c>
      <c r="AP2901" s="2">
        <v>42746</v>
      </c>
      <c r="AQ2901" t="s">
        <v>72</v>
      </c>
      <c r="AR2901" t="s">
        <v>72</v>
      </c>
      <c r="AS2901">
        <v>2656</v>
      </c>
      <c r="AT2901" s="4">
        <v>42648</v>
      </c>
      <c r="AU2901" t="s">
        <v>73</v>
      </c>
      <c r="AV2901">
        <v>2656</v>
      </c>
      <c r="AW2901" s="4">
        <v>42648</v>
      </c>
      <c r="BD2901">
        <v>0</v>
      </c>
      <c r="BN2901" t="s">
        <v>74</v>
      </c>
    </row>
    <row r="2902" spans="1:66">
      <c r="A2902">
        <v>100980</v>
      </c>
      <c r="B2902" s="3" t="s">
        <v>340</v>
      </c>
      <c r="C2902" s="1">
        <v>43300101</v>
      </c>
      <c r="D2902" t="s">
        <v>67</v>
      </c>
      <c r="H2902" t="str">
        <f t="shared" si="290"/>
        <v>05501461213</v>
      </c>
      <c r="I2902" t="str">
        <f t="shared" si="290"/>
        <v>05501461213</v>
      </c>
      <c r="K2902" t="str">
        <f>""</f>
        <v/>
      </c>
      <c r="M2902" t="s">
        <v>68</v>
      </c>
      <c r="N2902" t="str">
        <f t="shared" si="289"/>
        <v>FOR</v>
      </c>
      <c r="O2902" t="s">
        <v>69</v>
      </c>
      <c r="P2902" s="3" t="s">
        <v>75</v>
      </c>
      <c r="Q2902">
        <v>2015</v>
      </c>
      <c r="R2902" s="2">
        <v>42366</v>
      </c>
      <c r="S2902" s="2">
        <v>42369</v>
      </c>
      <c r="T2902" s="2">
        <v>42369</v>
      </c>
      <c r="U2902" s="2">
        <v>42429</v>
      </c>
      <c r="V2902" t="s">
        <v>71</v>
      </c>
      <c r="W2902" t="str">
        <f>"              140/PA"</f>
        <v xml:space="preserve">              140/PA</v>
      </c>
      <c r="X2902" s="1">
        <v>2013</v>
      </c>
      <c r="Y2902">
        <v>0</v>
      </c>
      <c r="Z2902" s="5">
        <v>1650</v>
      </c>
      <c r="AA2902">
        <v>219</v>
      </c>
      <c r="AB2902" s="5">
        <v>361350</v>
      </c>
      <c r="AC2902" s="1">
        <v>1650</v>
      </c>
      <c r="AD2902">
        <v>219</v>
      </c>
      <c r="AE2902" s="1">
        <v>361350</v>
      </c>
      <c r="AF2902">
        <v>0</v>
      </c>
      <c r="AJ2902">
        <v>0</v>
      </c>
      <c r="AK2902">
        <v>0</v>
      </c>
      <c r="AL2902">
        <v>0</v>
      </c>
      <c r="AM2902">
        <v>0</v>
      </c>
      <c r="AN2902">
        <v>0</v>
      </c>
      <c r="AO2902">
        <v>0</v>
      </c>
      <c r="AP2902" s="2">
        <v>42746</v>
      </c>
      <c r="AQ2902" t="s">
        <v>72</v>
      </c>
      <c r="AR2902" t="s">
        <v>72</v>
      </c>
      <c r="AS2902">
        <v>2656</v>
      </c>
      <c r="AT2902" s="4">
        <v>42648</v>
      </c>
      <c r="AU2902" t="s">
        <v>73</v>
      </c>
      <c r="AV2902">
        <v>2656</v>
      </c>
      <c r="AW2902" s="4">
        <v>42648</v>
      </c>
      <c r="BD2902">
        <v>0</v>
      </c>
      <c r="BN2902" t="s">
        <v>74</v>
      </c>
    </row>
    <row r="2903" spans="1:66">
      <c r="A2903">
        <v>100980</v>
      </c>
      <c r="B2903" s="3" t="s">
        <v>340</v>
      </c>
      <c r="C2903" s="1">
        <v>43300101</v>
      </c>
      <c r="D2903" t="s">
        <v>67</v>
      </c>
      <c r="H2903" t="str">
        <f t="shared" si="290"/>
        <v>05501461213</v>
      </c>
      <c r="I2903" t="str">
        <f t="shared" si="290"/>
        <v>05501461213</v>
      </c>
      <c r="K2903" t="str">
        <f>""</f>
        <v/>
      </c>
      <c r="M2903" t="s">
        <v>68</v>
      </c>
      <c r="N2903" t="str">
        <f t="shared" si="289"/>
        <v>FOR</v>
      </c>
      <c r="O2903" t="s">
        <v>69</v>
      </c>
      <c r="P2903" s="3" t="s">
        <v>75</v>
      </c>
      <c r="Q2903">
        <v>2016</v>
      </c>
      <c r="R2903" s="2">
        <v>42425</v>
      </c>
      <c r="S2903" s="2">
        <v>42436</v>
      </c>
      <c r="T2903" s="2">
        <v>42430</v>
      </c>
      <c r="U2903" s="2">
        <v>42490</v>
      </c>
      <c r="V2903" t="s">
        <v>71</v>
      </c>
      <c r="W2903" t="str">
        <f>"               21/PA"</f>
        <v xml:space="preserve">               21/PA</v>
      </c>
      <c r="X2903" s="1">
        <v>3681.96</v>
      </c>
      <c r="Y2903">
        <v>0</v>
      </c>
      <c r="Z2903" s="5">
        <v>3018</v>
      </c>
      <c r="AA2903">
        <v>193</v>
      </c>
      <c r="AB2903" s="5">
        <v>582474</v>
      </c>
      <c r="AC2903" s="1">
        <v>3018</v>
      </c>
      <c r="AD2903">
        <v>193</v>
      </c>
      <c r="AE2903" s="1">
        <v>582474</v>
      </c>
      <c r="AF2903">
        <v>0</v>
      </c>
      <c r="AJ2903">
        <v>0</v>
      </c>
      <c r="AK2903">
        <v>0</v>
      </c>
      <c r="AL2903">
        <v>0</v>
      </c>
      <c r="AM2903" s="1">
        <v>3681.96</v>
      </c>
      <c r="AN2903" s="1">
        <v>3681.96</v>
      </c>
      <c r="AO2903" s="1">
        <v>3681.96</v>
      </c>
      <c r="AP2903" s="2">
        <v>42746</v>
      </c>
      <c r="AQ2903" t="s">
        <v>72</v>
      </c>
      <c r="AR2903" t="s">
        <v>72</v>
      </c>
      <c r="AS2903">
        <v>3006</v>
      </c>
      <c r="AT2903" s="4">
        <v>42683</v>
      </c>
      <c r="AU2903" t="s">
        <v>73</v>
      </c>
      <c r="AV2903">
        <v>3006</v>
      </c>
      <c r="AW2903" s="4">
        <v>42683</v>
      </c>
      <c r="BD2903">
        <v>0</v>
      </c>
      <c r="BN2903" t="s">
        <v>74</v>
      </c>
    </row>
    <row r="2904" spans="1:66">
      <c r="A2904">
        <v>100980</v>
      </c>
      <c r="B2904" s="3" t="s">
        <v>340</v>
      </c>
      <c r="C2904" s="1">
        <v>43300101</v>
      </c>
      <c r="D2904" t="s">
        <v>67</v>
      </c>
      <c r="H2904" t="str">
        <f t="shared" si="290"/>
        <v>05501461213</v>
      </c>
      <c r="I2904" t="str">
        <f t="shared" si="290"/>
        <v>05501461213</v>
      </c>
      <c r="K2904" t="str">
        <f>""</f>
        <v/>
      </c>
      <c r="M2904" t="s">
        <v>68</v>
      </c>
      <c r="N2904" t="str">
        <f t="shared" si="289"/>
        <v>FOR</v>
      </c>
      <c r="O2904" t="s">
        <v>69</v>
      </c>
      <c r="P2904" s="3" t="s">
        <v>75</v>
      </c>
      <c r="Q2904">
        <v>2016</v>
      </c>
      <c r="R2904" s="2">
        <v>42436</v>
      </c>
      <c r="S2904" s="2">
        <v>42438</v>
      </c>
      <c r="T2904" s="2">
        <v>42437</v>
      </c>
      <c r="U2904" s="2">
        <v>42497</v>
      </c>
      <c r="V2904" t="s">
        <v>71</v>
      </c>
      <c r="W2904" t="str">
        <f>"               36/PA"</f>
        <v xml:space="preserve">               36/PA</v>
      </c>
      <c r="X2904" s="1">
        <v>1035.78</v>
      </c>
      <c r="Y2904">
        <v>0</v>
      </c>
      <c r="Z2904" s="3">
        <v>849</v>
      </c>
      <c r="AA2904">
        <v>186</v>
      </c>
      <c r="AB2904" s="5">
        <v>157914</v>
      </c>
      <c r="AC2904">
        <v>849</v>
      </c>
      <c r="AD2904">
        <v>186</v>
      </c>
      <c r="AE2904" s="1">
        <v>157914</v>
      </c>
      <c r="AF2904">
        <v>0</v>
      </c>
      <c r="AJ2904">
        <v>0</v>
      </c>
      <c r="AK2904">
        <v>0</v>
      </c>
      <c r="AL2904">
        <v>0</v>
      </c>
      <c r="AM2904" s="1">
        <v>1035.78</v>
      </c>
      <c r="AN2904" s="1">
        <v>1035.78</v>
      </c>
      <c r="AO2904" s="1">
        <v>1035.78</v>
      </c>
      <c r="AP2904" s="2">
        <v>42746</v>
      </c>
      <c r="AQ2904" t="s">
        <v>72</v>
      </c>
      <c r="AR2904" t="s">
        <v>72</v>
      </c>
      <c r="AS2904">
        <v>3006</v>
      </c>
      <c r="AT2904" s="4">
        <v>42683</v>
      </c>
      <c r="AU2904" t="s">
        <v>73</v>
      </c>
      <c r="AV2904">
        <v>3006</v>
      </c>
      <c r="AW2904" s="4">
        <v>42683</v>
      </c>
      <c r="BD2904">
        <v>0</v>
      </c>
      <c r="BN2904" t="s">
        <v>74</v>
      </c>
    </row>
    <row r="2905" spans="1:66">
      <c r="A2905">
        <v>100980</v>
      </c>
      <c r="B2905" s="3" t="s">
        <v>340</v>
      </c>
      <c r="C2905" s="1">
        <v>43300101</v>
      </c>
      <c r="D2905" t="s">
        <v>67</v>
      </c>
      <c r="H2905" t="str">
        <f t="shared" si="290"/>
        <v>05501461213</v>
      </c>
      <c r="I2905" t="str">
        <f t="shared" si="290"/>
        <v>05501461213</v>
      </c>
      <c r="K2905" t="str">
        <f>""</f>
        <v/>
      </c>
      <c r="M2905" t="s">
        <v>68</v>
      </c>
      <c r="N2905" t="str">
        <f t="shared" si="289"/>
        <v>FOR</v>
      </c>
      <c r="O2905" t="s">
        <v>69</v>
      </c>
      <c r="P2905" s="3" t="s">
        <v>75</v>
      </c>
      <c r="Q2905">
        <v>2016</v>
      </c>
      <c r="R2905" s="2">
        <v>42489</v>
      </c>
      <c r="S2905" s="2">
        <v>42492</v>
      </c>
      <c r="T2905" s="2">
        <v>42489</v>
      </c>
      <c r="U2905" s="2">
        <v>42549</v>
      </c>
      <c r="V2905" t="s">
        <v>71</v>
      </c>
      <c r="W2905" t="str">
        <f>"               65/PA"</f>
        <v xml:space="preserve">               65/PA</v>
      </c>
      <c r="X2905" s="1">
        <v>5522.94</v>
      </c>
      <c r="Y2905">
        <v>0</v>
      </c>
      <c r="Z2905" s="5">
        <v>4527</v>
      </c>
      <c r="AA2905">
        <v>134</v>
      </c>
      <c r="AB2905" s="5">
        <v>606618</v>
      </c>
      <c r="AC2905" s="1">
        <v>4527</v>
      </c>
      <c r="AD2905">
        <v>134</v>
      </c>
      <c r="AE2905" s="1">
        <v>606618</v>
      </c>
      <c r="AF2905">
        <v>0</v>
      </c>
      <c r="AJ2905">
        <v>0</v>
      </c>
      <c r="AK2905">
        <v>0</v>
      </c>
      <c r="AL2905">
        <v>0</v>
      </c>
      <c r="AM2905" s="1">
        <v>5522.94</v>
      </c>
      <c r="AN2905" s="1">
        <v>5522.94</v>
      </c>
      <c r="AO2905" s="1">
        <v>5522.94</v>
      </c>
      <c r="AP2905" s="2">
        <v>42746</v>
      </c>
      <c r="AQ2905" t="s">
        <v>72</v>
      </c>
      <c r="AR2905" t="s">
        <v>72</v>
      </c>
      <c r="AS2905">
        <v>3006</v>
      </c>
      <c r="AT2905" s="4">
        <v>42683</v>
      </c>
      <c r="AU2905" t="s">
        <v>73</v>
      </c>
      <c r="AV2905">
        <v>3006</v>
      </c>
      <c r="AW2905" s="4">
        <v>42683</v>
      </c>
      <c r="BD2905">
        <v>0</v>
      </c>
      <c r="BN2905" t="s">
        <v>74</v>
      </c>
    </row>
    <row r="2906" spans="1:66">
      <c r="A2906">
        <v>100980</v>
      </c>
      <c r="B2906" s="3" t="s">
        <v>340</v>
      </c>
      <c r="C2906" s="1">
        <v>43300101</v>
      </c>
      <c r="D2906" t="s">
        <v>67</v>
      </c>
      <c r="H2906" t="str">
        <f t="shared" si="290"/>
        <v>05501461213</v>
      </c>
      <c r="I2906" t="str">
        <f t="shared" si="290"/>
        <v>05501461213</v>
      </c>
      <c r="K2906" t="str">
        <f>""</f>
        <v/>
      </c>
      <c r="M2906" t="s">
        <v>68</v>
      </c>
      <c r="N2906" t="str">
        <f t="shared" si="289"/>
        <v>FOR</v>
      </c>
      <c r="O2906" t="s">
        <v>69</v>
      </c>
      <c r="P2906" s="3" t="s">
        <v>75</v>
      </c>
      <c r="Q2906">
        <v>2016</v>
      </c>
      <c r="R2906" s="2">
        <v>42503</v>
      </c>
      <c r="S2906" s="2">
        <v>42507</v>
      </c>
      <c r="T2906" s="2">
        <v>42506</v>
      </c>
      <c r="U2906" s="2">
        <v>42566</v>
      </c>
      <c r="V2906" t="s">
        <v>71</v>
      </c>
      <c r="W2906" t="str">
        <f>"               73/PA"</f>
        <v xml:space="preserve">               73/PA</v>
      </c>
      <c r="X2906" s="1">
        <v>10123.56</v>
      </c>
      <c r="Y2906">
        <v>0</v>
      </c>
      <c r="Z2906" s="5">
        <v>8298</v>
      </c>
      <c r="AA2906">
        <v>153</v>
      </c>
      <c r="AB2906" s="5">
        <v>1269594</v>
      </c>
      <c r="AC2906" s="1">
        <v>8298</v>
      </c>
      <c r="AD2906">
        <v>153</v>
      </c>
      <c r="AE2906" s="1">
        <v>1269594</v>
      </c>
      <c r="AF2906" s="1">
        <v>1825.56</v>
      </c>
      <c r="AJ2906">
        <v>0</v>
      </c>
      <c r="AK2906">
        <v>0</v>
      </c>
      <c r="AL2906">
        <v>0</v>
      </c>
      <c r="AM2906" s="1">
        <v>10123.56</v>
      </c>
      <c r="AN2906" s="1">
        <v>10123.56</v>
      </c>
      <c r="AO2906" s="1">
        <v>10123.56</v>
      </c>
      <c r="AP2906" s="2">
        <v>42746</v>
      </c>
      <c r="AQ2906" t="s">
        <v>72</v>
      </c>
      <c r="AR2906" t="s">
        <v>72</v>
      </c>
      <c r="AS2906">
        <v>3526</v>
      </c>
      <c r="AT2906" s="4">
        <v>42719</v>
      </c>
      <c r="AU2906" t="s">
        <v>73</v>
      </c>
      <c r="AV2906">
        <v>3526</v>
      </c>
      <c r="AW2906" s="4">
        <v>42719</v>
      </c>
      <c r="BC2906" s="1">
        <v>1825.56</v>
      </c>
      <c r="BD2906">
        <v>0</v>
      </c>
      <c r="BN2906" t="s">
        <v>74</v>
      </c>
    </row>
    <row r="2907" spans="1:66">
      <c r="A2907">
        <v>100980</v>
      </c>
      <c r="B2907" s="3" t="s">
        <v>340</v>
      </c>
      <c r="C2907" s="1">
        <v>43300101</v>
      </c>
      <c r="D2907" t="s">
        <v>67</v>
      </c>
      <c r="H2907" t="str">
        <f t="shared" si="290"/>
        <v>05501461213</v>
      </c>
      <c r="I2907" t="str">
        <f t="shared" si="290"/>
        <v>05501461213</v>
      </c>
      <c r="K2907" t="str">
        <f>""</f>
        <v/>
      </c>
      <c r="M2907" t="s">
        <v>68</v>
      </c>
      <c r="N2907" t="str">
        <f t="shared" si="289"/>
        <v>FOR</v>
      </c>
      <c r="O2907" t="s">
        <v>69</v>
      </c>
      <c r="P2907" s="3" t="s">
        <v>75</v>
      </c>
      <c r="Q2907">
        <v>2016</v>
      </c>
      <c r="R2907" s="2">
        <v>42521</v>
      </c>
      <c r="S2907" s="2">
        <v>42527</v>
      </c>
      <c r="T2907" s="2">
        <v>42522</v>
      </c>
      <c r="U2907" s="2">
        <v>42582</v>
      </c>
      <c r="V2907" t="s">
        <v>71</v>
      </c>
      <c r="W2907" t="str">
        <f>"               83/PA"</f>
        <v xml:space="preserve">               83/PA</v>
      </c>
      <c r="X2907" s="1">
        <v>16282.41</v>
      </c>
      <c r="Y2907">
        <v>0</v>
      </c>
      <c r="Z2907" s="5">
        <v>13346.24</v>
      </c>
      <c r="AA2907">
        <v>137</v>
      </c>
      <c r="AB2907" s="5">
        <v>1828434.88</v>
      </c>
      <c r="AC2907" s="1">
        <v>13346.24</v>
      </c>
      <c r="AD2907">
        <v>137</v>
      </c>
      <c r="AE2907" s="1">
        <v>1828434.88</v>
      </c>
      <c r="AF2907" s="1">
        <v>2936.17</v>
      </c>
      <c r="AJ2907">
        <v>0</v>
      </c>
      <c r="AK2907">
        <v>0</v>
      </c>
      <c r="AL2907">
        <v>0</v>
      </c>
      <c r="AM2907" s="1">
        <v>16282.41</v>
      </c>
      <c r="AN2907" s="1">
        <v>16282.41</v>
      </c>
      <c r="AO2907" s="1">
        <v>16282.41</v>
      </c>
      <c r="AP2907" s="2">
        <v>42746</v>
      </c>
      <c r="AQ2907" t="s">
        <v>72</v>
      </c>
      <c r="AR2907" t="s">
        <v>72</v>
      </c>
      <c r="AS2907">
        <v>3526</v>
      </c>
      <c r="AT2907" s="4">
        <v>42719</v>
      </c>
      <c r="AU2907" t="s">
        <v>73</v>
      </c>
      <c r="AV2907">
        <v>3526</v>
      </c>
      <c r="AW2907" s="4">
        <v>42719</v>
      </c>
      <c r="BC2907" s="1">
        <v>2936.17</v>
      </c>
      <c r="BD2907">
        <v>0</v>
      </c>
      <c r="BN2907" t="s">
        <v>74</v>
      </c>
    </row>
    <row r="2908" spans="1:66" hidden="1">
      <c r="A2908">
        <v>100982</v>
      </c>
      <c r="B2908" s="3" t="s">
        <v>341</v>
      </c>
      <c r="C2908" s="1">
        <v>43300101</v>
      </c>
      <c r="D2908" t="s">
        <v>67</v>
      </c>
      <c r="H2908" t="str">
        <f>"01650860545"</f>
        <v>01650860545</v>
      </c>
      <c r="I2908" t="str">
        <f>"01650860545"</f>
        <v>01650860545</v>
      </c>
      <c r="K2908" t="str">
        <f>""</f>
        <v/>
      </c>
      <c r="M2908" t="s">
        <v>68</v>
      </c>
      <c r="N2908" t="str">
        <f t="shared" si="289"/>
        <v>FOR</v>
      </c>
      <c r="O2908" t="s">
        <v>69</v>
      </c>
      <c r="P2908" s="3" t="s">
        <v>75</v>
      </c>
      <c r="Q2908">
        <v>2015</v>
      </c>
      <c r="R2908" s="2">
        <v>42179</v>
      </c>
      <c r="S2908" s="2">
        <v>42202</v>
      </c>
      <c r="T2908" s="2">
        <v>42201</v>
      </c>
      <c r="U2908" s="2">
        <v>42261</v>
      </c>
      <c r="V2908" t="s">
        <v>71</v>
      </c>
      <c r="W2908" t="str">
        <f>"            15001370"</f>
        <v xml:space="preserve">            15001370</v>
      </c>
      <c r="X2908" s="1">
        <v>29206.799999999999</v>
      </c>
      <c r="Y2908">
        <v>0</v>
      </c>
      <c r="Z2908"/>
      <c r="AB2908"/>
      <c r="AC2908" s="1">
        <v>23940</v>
      </c>
      <c r="AD2908">
        <v>172</v>
      </c>
      <c r="AE2908" s="1">
        <v>4117680</v>
      </c>
      <c r="AF2908">
        <v>0</v>
      </c>
      <c r="AJ2908">
        <v>0</v>
      </c>
      <c r="AK2908">
        <v>0</v>
      </c>
      <c r="AL2908">
        <v>0</v>
      </c>
      <c r="AM2908">
        <v>0</v>
      </c>
      <c r="AN2908">
        <v>0</v>
      </c>
      <c r="AO2908">
        <v>0</v>
      </c>
      <c r="AP2908" s="2">
        <v>42746</v>
      </c>
      <c r="AQ2908" t="s">
        <v>72</v>
      </c>
      <c r="AR2908" t="s">
        <v>72</v>
      </c>
      <c r="AS2908">
        <v>656</v>
      </c>
      <c r="AT2908" s="4">
        <v>42433</v>
      </c>
      <c r="AU2908" t="s">
        <v>73</v>
      </c>
      <c r="AV2908">
        <v>656</v>
      </c>
      <c r="AW2908" s="4">
        <v>42433</v>
      </c>
      <c r="BD2908">
        <v>0</v>
      </c>
      <c r="BN2908" t="s">
        <v>74</v>
      </c>
    </row>
    <row r="2909" spans="1:66">
      <c r="A2909">
        <v>100982</v>
      </c>
      <c r="B2909" s="3" t="s">
        <v>341</v>
      </c>
      <c r="C2909" s="1">
        <v>43300101</v>
      </c>
      <c r="D2909" t="s">
        <v>67</v>
      </c>
      <c r="H2909" t="str">
        <f>"01650860545"</f>
        <v>01650860545</v>
      </c>
      <c r="I2909" t="str">
        <f>"01650860545"</f>
        <v>01650860545</v>
      </c>
      <c r="K2909" t="str">
        <f>""</f>
        <v/>
      </c>
      <c r="M2909" t="s">
        <v>68</v>
      </c>
      <c r="N2909" t="str">
        <f t="shared" si="289"/>
        <v>FOR</v>
      </c>
      <c r="O2909" t="s">
        <v>69</v>
      </c>
      <c r="P2909" s="3" t="s">
        <v>75</v>
      </c>
      <c r="Q2909">
        <v>2015</v>
      </c>
      <c r="R2909" s="2">
        <v>42305</v>
      </c>
      <c r="S2909" s="2">
        <v>42312</v>
      </c>
      <c r="T2909" s="2">
        <v>42311</v>
      </c>
      <c r="U2909" s="2">
        <v>42371</v>
      </c>
      <c r="V2909" t="s">
        <v>71</v>
      </c>
      <c r="W2909" t="str">
        <f>"            15002332"</f>
        <v xml:space="preserve">            15002332</v>
      </c>
      <c r="X2909">
        <v>275.72000000000003</v>
      </c>
      <c r="Y2909">
        <v>0</v>
      </c>
      <c r="Z2909" s="3">
        <v>226</v>
      </c>
      <c r="AA2909">
        <v>277</v>
      </c>
      <c r="AB2909" s="5">
        <v>62602</v>
      </c>
      <c r="AC2909">
        <v>226</v>
      </c>
      <c r="AD2909">
        <v>277</v>
      </c>
      <c r="AE2909" s="1">
        <v>62602</v>
      </c>
      <c r="AF2909">
        <v>0</v>
      </c>
      <c r="AJ2909">
        <v>0</v>
      </c>
      <c r="AK2909">
        <v>0</v>
      </c>
      <c r="AL2909">
        <v>0</v>
      </c>
      <c r="AM2909">
        <v>0</v>
      </c>
      <c r="AN2909">
        <v>0</v>
      </c>
      <c r="AO2909">
        <v>0</v>
      </c>
      <c r="AP2909" s="2">
        <v>42746</v>
      </c>
      <c r="AQ2909" t="s">
        <v>72</v>
      </c>
      <c r="AR2909" t="s">
        <v>72</v>
      </c>
      <c r="AS2909">
        <v>2690</v>
      </c>
      <c r="AT2909" s="4">
        <v>42648</v>
      </c>
      <c r="AU2909" t="s">
        <v>73</v>
      </c>
      <c r="AV2909">
        <v>2690</v>
      </c>
      <c r="AW2909" s="4">
        <v>42648</v>
      </c>
      <c r="BD2909">
        <v>0</v>
      </c>
      <c r="BN2909" t="s">
        <v>74</v>
      </c>
    </row>
    <row r="2910" spans="1:66" hidden="1">
      <c r="A2910">
        <v>100984</v>
      </c>
      <c r="B2910" s="3" t="s">
        <v>342</v>
      </c>
      <c r="C2910" s="1">
        <v>43300101</v>
      </c>
      <c r="D2910" t="s">
        <v>67</v>
      </c>
      <c r="H2910" t="str">
        <f t="shared" ref="H2910:I2915" si="291">"01402120628"</f>
        <v>01402120628</v>
      </c>
      <c r="I2910" t="str">
        <f t="shared" si="291"/>
        <v>01402120628</v>
      </c>
      <c r="K2910" t="str">
        <f>""</f>
        <v/>
      </c>
      <c r="M2910" t="s">
        <v>68</v>
      </c>
      <c r="N2910" t="str">
        <f t="shared" si="289"/>
        <v>FOR</v>
      </c>
      <c r="O2910" t="s">
        <v>69</v>
      </c>
      <c r="P2910" s="3" t="s">
        <v>75</v>
      </c>
      <c r="Q2910">
        <v>2015</v>
      </c>
      <c r="R2910" s="2">
        <v>42151</v>
      </c>
      <c r="S2910" s="2">
        <v>42163</v>
      </c>
      <c r="T2910" s="2">
        <v>42152</v>
      </c>
      <c r="U2910" s="2">
        <v>42212</v>
      </c>
      <c r="V2910" t="s">
        <v>71</v>
      </c>
      <c r="W2910" t="str">
        <f>"                 1/A"</f>
        <v xml:space="preserve">                 1/A</v>
      </c>
      <c r="X2910">
        <v>411.75</v>
      </c>
      <c r="Y2910">
        <v>0</v>
      </c>
      <c r="Z2910"/>
      <c r="AB2910"/>
      <c r="AC2910">
        <v>337.5</v>
      </c>
      <c r="AD2910">
        <v>191</v>
      </c>
      <c r="AE2910" s="1">
        <v>64462.5</v>
      </c>
      <c r="AF2910">
        <v>74.25</v>
      </c>
      <c r="AJ2910">
        <v>0</v>
      </c>
      <c r="AK2910">
        <v>0</v>
      </c>
      <c r="AL2910">
        <v>0</v>
      </c>
      <c r="AM2910">
        <v>0</v>
      </c>
      <c r="AN2910">
        <v>0</v>
      </c>
      <c r="AO2910">
        <v>0</v>
      </c>
      <c r="AP2910" s="2">
        <v>42746</v>
      </c>
      <c r="AQ2910" t="s">
        <v>72</v>
      </c>
      <c r="AR2910" t="s">
        <v>72</v>
      </c>
      <c r="AS2910">
        <v>212</v>
      </c>
      <c r="AT2910" s="4">
        <v>42403</v>
      </c>
      <c r="AU2910" t="s">
        <v>73</v>
      </c>
      <c r="AV2910">
        <v>212</v>
      </c>
      <c r="AW2910" s="4">
        <v>42403</v>
      </c>
      <c r="BD2910">
        <v>74.25</v>
      </c>
      <c r="BN2910" t="s">
        <v>74</v>
      </c>
    </row>
    <row r="2911" spans="1:66" hidden="1">
      <c r="A2911">
        <v>100984</v>
      </c>
      <c r="B2911" s="3" t="s">
        <v>342</v>
      </c>
      <c r="C2911" s="1">
        <v>43300101</v>
      </c>
      <c r="D2911" t="s">
        <v>67</v>
      </c>
      <c r="H2911" t="str">
        <f t="shared" si="291"/>
        <v>01402120628</v>
      </c>
      <c r="I2911" t="str">
        <f t="shared" si="291"/>
        <v>01402120628</v>
      </c>
      <c r="K2911" t="str">
        <f>""</f>
        <v/>
      </c>
      <c r="M2911" t="s">
        <v>68</v>
      </c>
      <c r="N2911" t="str">
        <f t="shared" si="289"/>
        <v>FOR</v>
      </c>
      <c r="O2911" t="s">
        <v>69</v>
      </c>
      <c r="P2911" s="3" t="s">
        <v>75</v>
      </c>
      <c r="Q2911">
        <v>2015</v>
      </c>
      <c r="R2911" s="2">
        <v>42277</v>
      </c>
      <c r="S2911" s="2">
        <v>42278</v>
      </c>
      <c r="T2911" s="2">
        <v>42277</v>
      </c>
      <c r="U2911" s="2">
        <v>42337</v>
      </c>
      <c r="V2911" t="s">
        <v>71</v>
      </c>
      <c r="W2911" t="str">
        <f>"                 4/A"</f>
        <v xml:space="preserve">                 4/A</v>
      </c>
      <c r="X2911">
        <v>869.25</v>
      </c>
      <c r="Y2911">
        <v>0</v>
      </c>
      <c r="Z2911"/>
      <c r="AB2911"/>
      <c r="AC2911">
        <v>712.5</v>
      </c>
      <c r="AD2911">
        <v>66</v>
      </c>
      <c r="AE2911" s="1">
        <v>47025</v>
      </c>
      <c r="AF2911">
        <v>156.75</v>
      </c>
      <c r="AJ2911">
        <v>0</v>
      </c>
      <c r="AK2911">
        <v>0</v>
      </c>
      <c r="AL2911">
        <v>0</v>
      </c>
      <c r="AM2911">
        <v>0</v>
      </c>
      <c r="AN2911">
        <v>0</v>
      </c>
      <c r="AO2911">
        <v>0</v>
      </c>
      <c r="AP2911" s="2">
        <v>42746</v>
      </c>
      <c r="AQ2911" t="s">
        <v>72</v>
      </c>
      <c r="AR2911" t="s">
        <v>72</v>
      </c>
      <c r="AS2911">
        <v>212</v>
      </c>
      <c r="AT2911" s="4">
        <v>42403</v>
      </c>
      <c r="AU2911" t="s">
        <v>73</v>
      </c>
      <c r="AV2911">
        <v>212</v>
      </c>
      <c r="AW2911" s="4">
        <v>42403</v>
      </c>
      <c r="BD2911">
        <v>156.75</v>
      </c>
      <c r="BN2911" t="s">
        <v>74</v>
      </c>
    </row>
    <row r="2912" spans="1:66" hidden="1">
      <c r="A2912">
        <v>100984</v>
      </c>
      <c r="B2912" s="3" t="s">
        <v>342</v>
      </c>
      <c r="C2912" s="1">
        <v>43300101</v>
      </c>
      <c r="D2912" t="s">
        <v>67</v>
      </c>
      <c r="H2912" t="str">
        <f t="shared" si="291"/>
        <v>01402120628</v>
      </c>
      <c r="I2912" t="str">
        <f t="shared" si="291"/>
        <v>01402120628</v>
      </c>
      <c r="K2912" t="str">
        <f>""</f>
        <v/>
      </c>
      <c r="M2912" t="s">
        <v>68</v>
      </c>
      <c r="N2912" t="str">
        <f t="shared" si="289"/>
        <v>FOR</v>
      </c>
      <c r="O2912" t="s">
        <v>69</v>
      </c>
      <c r="P2912" s="3" t="s">
        <v>75</v>
      </c>
      <c r="Q2912">
        <v>2015</v>
      </c>
      <c r="R2912" s="2">
        <v>42335</v>
      </c>
      <c r="S2912" s="2">
        <v>42338</v>
      </c>
      <c r="T2912" s="2">
        <v>42335</v>
      </c>
      <c r="U2912" s="2">
        <v>42395</v>
      </c>
      <c r="V2912" t="s">
        <v>71</v>
      </c>
      <c r="W2912" t="str">
        <f>"                 5/A"</f>
        <v xml:space="preserve">                 5/A</v>
      </c>
      <c r="X2912">
        <v>411.75</v>
      </c>
      <c r="Y2912">
        <v>0</v>
      </c>
      <c r="Z2912"/>
      <c r="AB2912"/>
      <c r="AC2912">
        <v>337.5</v>
      </c>
      <c r="AD2912">
        <v>8</v>
      </c>
      <c r="AE2912" s="1">
        <v>2700</v>
      </c>
      <c r="AF2912">
        <v>74.25</v>
      </c>
      <c r="AJ2912">
        <v>0</v>
      </c>
      <c r="AK2912">
        <v>0</v>
      </c>
      <c r="AL2912">
        <v>0</v>
      </c>
      <c r="AM2912">
        <v>0</v>
      </c>
      <c r="AN2912">
        <v>0</v>
      </c>
      <c r="AO2912">
        <v>0</v>
      </c>
      <c r="AP2912" s="2">
        <v>42746</v>
      </c>
      <c r="AQ2912" t="s">
        <v>72</v>
      </c>
      <c r="AR2912" t="s">
        <v>72</v>
      </c>
      <c r="AS2912">
        <v>212</v>
      </c>
      <c r="AT2912" s="4">
        <v>42403</v>
      </c>
      <c r="AU2912" t="s">
        <v>73</v>
      </c>
      <c r="AV2912">
        <v>212</v>
      </c>
      <c r="AW2912" s="4">
        <v>42403</v>
      </c>
      <c r="BD2912">
        <v>74.25</v>
      </c>
      <c r="BN2912" t="s">
        <v>74</v>
      </c>
    </row>
    <row r="2913" spans="1:66" hidden="1">
      <c r="A2913">
        <v>100984</v>
      </c>
      <c r="B2913" s="3" t="s">
        <v>342</v>
      </c>
      <c r="C2913" s="1">
        <v>43300101</v>
      </c>
      <c r="D2913" t="s">
        <v>67</v>
      </c>
      <c r="H2913" t="str">
        <f t="shared" si="291"/>
        <v>01402120628</v>
      </c>
      <c r="I2913" t="str">
        <f t="shared" si="291"/>
        <v>01402120628</v>
      </c>
      <c r="K2913" t="str">
        <f>""</f>
        <v/>
      </c>
      <c r="M2913" t="s">
        <v>68</v>
      </c>
      <c r="N2913" t="str">
        <f t="shared" si="289"/>
        <v>FOR</v>
      </c>
      <c r="O2913" t="s">
        <v>69</v>
      </c>
      <c r="P2913" s="3" t="s">
        <v>75</v>
      </c>
      <c r="Q2913">
        <v>2015</v>
      </c>
      <c r="R2913" s="2">
        <v>42368</v>
      </c>
      <c r="S2913" s="2">
        <v>42369</v>
      </c>
      <c r="T2913" s="2">
        <v>42368</v>
      </c>
      <c r="U2913" s="2">
        <v>42428</v>
      </c>
      <c r="V2913" t="s">
        <v>71</v>
      </c>
      <c r="W2913" t="str">
        <f>"                17/A"</f>
        <v xml:space="preserve">                17/A</v>
      </c>
      <c r="X2913">
        <v>411.75</v>
      </c>
      <c r="Y2913">
        <v>0</v>
      </c>
      <c r="Z2913"/>
      <c r="AB2913"/>
      <c r="AC2913">
        <v>337.5</v>
      </c>
      <c r="AD2913">
        <v>138</v>
      </c>
      <c r="AE2913" s="1">
        <v>46575</v>
      </c>
      <c r="AF2913">
        <v>74.25</v>
      </c>
      <c r="AJ2913">
        <v>0</v>
      </c>
      <c r="AK2913">
        <v>0</v>
      </c>
      <c r="AL2913">
        <v>0</v>
      </c>
      <c r="AM2913">
        <v>0</v>
      </c>
      <c r="AN2913">
        <v>0</v>
      </c>
      <c r="AO2913">
        <v>0</v>
      </c>
      <c r="AP2913" s="2">
        <v>42746</v>
      </c>
      <c r="AQ2913" t="s">
        <v>72</v>
      </c>
      <c r="AR2913" t="s">
        <v>72</v>
      </c>
      <c r="AS2913">
        <v>1771</v>
      </c>
      <c r="AT2913" s="4">
        <v>42566</v>
      </c>
      <c r="AU2913" t="s">
        <v>73</v>
      </c>
      <c r="AV2913">
        <v>1771</v>
      </c>
      <c r="AW2913" s="4">
        <v>42566</v>
      </c>
      <c r="BD2913">
        <v>74.25</v>
      </c>
      <c r="BN2913" t="s">
        <v>74</v>
      </c>
    </row>
    <row r="2914" spans="1:66">
      <c r="A2914">
        <v>100984</v>
      </c>
      <c r="B2914" s="3" t="s">
        <v>342</v>
      </c>
      <c r="C2914" s="1">
        <v>43300101</v>
      </c>
      <c r="D2914" t="s">
        <v>67</v>
      </c>
      <c r="H2914" t="str">
        <f t="shared" si="291"/>
        <v>01402120628</v>
      </c>
      <c r="I2914" t="str">
        <f t="shared" si="291"/>
        <v>01402120628</v>
      </c>
      <c r="K2914" t="str">
        <f>""</f>
        <v/>
      </c>
      <c r="M2914" t="s">
        <v>68</v>
      </c>
      <c r="N2914" t="str">
        <f t="shared" si="289"/>
        <v>FOR</v>
      </c>
      <c r="O2914" t="s">
        <v>69</v>
      </c>
      <c r="P2914" s="3" t="s">
        <v>75</v>
      </c>
      <c r="Q2914">
        <v>2016</v>
      </c>
      <c r="R2914" s="2">
        <v>42501</v>
      </c>
      <c r="S2914" s="2">
        <v>42502</v>
      </c>
      <c r="T2914" s="2">
        <v>42501</v>
      </c>
      <c r="U2914" s="2">
        <v>42561</v>
      </c>
      <c r="V2914" t="s">
        <v>71</v>
      </c>
      <c r="W2914" t="str">
        <f>"                27/A"</f>
        <v xml:space="preserve">                27/A</v>
      </c>
      <c r="X2914">
        <v>411.75</v>
      </c>
      <c r="Y2914">
        <v>0</v>
      </c>
      <c r="Z2914" s="3">
        <v>337.5</v>
      </c>
      <c r="AA2914">
        <v>120</v>
      </c>
      <c r="AB2914" s="5">
        <v>40500</v>
      </c>
      <c r="AC2914">
        <v>337.5</v>
      </c>
      <c r="AD2914">
        <v>120</v>
      </c>
      <c r="AE2914" s="1">
        <v>40500</v>
      </c>
      <c r="AF2914">
        <v>74.25</v>
      </c>
      <c r="AJ2914">
        <v>0</v>
      </c>
      <c r="AK2914">
        <v>0</v>
      </c>
      <c r="AL2914">
        <v>0</v>
      </c>
      <c r="AM2914">
        <v>411.75</v>
      </c>
      <c r="AN2914">
        <v>411.75</v>
      </c>
      <c r="AO2914">
        <v>411.75</v>
      </c>
      <c r="AP2914" s="2">
        <v>42746</v>
      </c>
      <c r="AQ2914" t="s">
        <v>72</v>
      </c>
      <c r="AR2914" t="s">
        <v>72</v>
      </c>
      <c r="AS2914">
        <v>2946</v>
      </c>
      <c r="AT2914" s="4">
        <v>42681</v>
      </c>
      <c r="AU2914" t="s">
        <v>73</v>
      </c>
      <c r="AV2914">
        <v>2946</v>
      </c>
      <c r="AW2914" s="4">
        <v>42681</v>
      </c>
      <c r="BC2914">
        <v>74.25</v>
      </c>
      <c r="BD2914">
        <v>0</v>
      </c>
      <c r="BN2914" t="s">
        <v>74</v>
      </c>
    </row>
    <row r="2915" spans="1:66">
      <c r="A2915">
        <v>100984</v>
      </c>
      <c r="B2915" s="3" t="s">
        <v>342</v>
      </c>
      <c r="C2915" s="1">
        <v>43300101</v>
      </c>
      <c r="D2915" t="s">
        <v>67</v>
      </c>
      <c r="H2915" t="str">
        <f t="shared" si="291"/>
        <v>01402120628</v>
      </c>
      <c r="I2915" t="str">
        <f t="shared" si="291"/>
        <v>01402120628</v>
      </c>
      <c r="K2915" t="str">
        <f>""</f>
        <v/>
      </c>
      <c r="M2915" t="s">
        <v>68</v>
      </c>
      <c r="N2915" t="str">
        <f t="shared" si="289"/>
        <v>FOR</v>
      </c>
      <c r="O2915" t="s">
        <v>69</v>
      </c>
      <c r="P2915" s="3" t="s">
        <v>75</v>
      </c>
      <c r="Q2915">
        <v>2016</v>
      </c>
      <c r="R2915" s="2">
        <v>42563</v>
      </c>
      <c r="S2915" s="2">
        <v>42563</v>
      </c>
      <c r="T2915" s="2">
        <v>42563</v>
      </c>
      <c r="U2915" s="2">
        <v>42623</v>
      </c>
      <c r="V2915" t="s">
        <v>71</v>
      </c>
      <c r="W2915" t="str">
        <f>"                29/A"</f>
        <v xml:space="preserve">                29/A</v>
      </c>
      <c r="X2915">
        <v>205.87</v>
      </c>
      <c r="Y2915">
        <v>0</v>
      </c>
      <c r="Z2915" s="3">
        <v>168.75</v>
      </c>
      <c r="AA2915">
        <v>58</v>
      </c>
      <c r="AB2915" s="5">
        <v>9787.5</v>
      </c>
      <c r="AC2915">
        <v>168.75</v>
      </c>
      <c r="AD2915">
        <v>58</v>
      </c>
      <c r="AE2915" s="1">
        <v>9787.5</v>
      </c>
      <c r="AF2915">
        <v>37.119999999999997</v>
      </c>
      <c r="AJ2915">
        <v>0</v>
      </c>
      <c r="AK2915">
        <v>0</v>
      </c>
      <c r="AL2915">
        <v>0</v>
      </c>
      <c r="AM2915">
        <v>205.87</v>
      </c>
      <c r="AN2915">
        <v>205.87</v>
      </c>
      <c r="AO2915">
        <v>205.87</v>
      </c>
      <c r="AP2915" s="2">
        <v>42746</v>
      </c>
      <c r="AQ2915" t="s">
        <v>72</v>
      </c>
      <c r="AR2915" t="s">
        <v>72</v>
      </c>
      <c r="AS2915">
        <v>2946</v>
      </c>
      <c r="AT2915" s="4">
        <v>42681</v>
      </c>
      <c r="AU2915" t="s">
        <v>73</v>
      </c>
      <c r="AV2915">
        <v>2946</v>
      </c>
      <c r="AW2915" s="4">
        <v>42681</v>
      </c>
      <c r="BA2915">
        <v>37.119999999999997</v>
      </c>
      <c r="BD2915">
        <v>0</v>
      </c>
      <c r="BN2915" t="s">
        <v>74</v>
      </c>
    </row>
    <row r="2916" spans="1:66" hidden="1">
      <c r="A2916">
        <v>100985</v>
      </c>
      <c r="B2916" s="3" t="s">
        <v>343</v>
      </c>
      <c r="C2916" s="1">
        <v>43300101</v>
      </c>
      <c r="D2916" t="s">
        <v>67</v>
      </c>
      <c r="H2916" t="str">
        <f>"01155360322"</f>
        <v>01155360322</v>
      </c>
      <c r="I2916" t="str">
        <f>"01155360322"</f>
        <v>01155360322</v>
      </c>
      <c r="K2916" t="str">
        <f>""</f>
        <v/>
      </c>
      <c r="M2916" t="s">
        <v>68</v>
      </c>
      <c r="N2916" t="str">
        <f t="shared" si="289"/>
        <v>FOR</v>
      </c>
      <c r="O2916" t="s">
        <v>69</v>
      </c>
      <c r="P2916" s="3" t="s">
        <v>75</v>
      </c>
      <c r="Q2916">
        <v>2016</v>
      </c>
      <c r="R2916" s="2">
        <v>42416</v>
      </c>
      <c r="S2916" s="2">
        <v>42419</v>
      </c>
      <c r="T2916" s="2">
        <v>42419</v>
      </c>
      <c r="U2916" s="2">
        <v>42479</v>
      </c>
      <c r="V2916" t="s">
        <v>71</v>
      </c>
      <c r="W2916" t="str">
        <f>"             2000057"</f>
        <v xml:space="preserve">             2000057</v>
      </c>
      <c r="X2916" s="1">
        <v>9369.6</v>
      </c>
      <c r="Y2916">
        <v>0</v>
      </c>
      <c r="Z2916"/>
      <c r="AB2916"/>
      <c r="AC2916" s="1">
        <v>7680</v>
      </c>
      <c r="AD2916">
        <v>-15</v>
      </c>
      <c r="AE2916" s="1">
        <v>-115200</v>
      </c>
      <c r="AF2916">
        <v>0</v>
      </c>
      <c r="AJ2916">
        <v>0</v>
      </c>
      <c r="AK2916">
        <v>0</v>
      </c>
      <c r="AL2916">
        <v>0</v>
      </c>
      <c r="AM2916" s="1">
        <v>9369.6</v>
      </c>
      <c r="AN2916" s="1">
        <v>9369.6</v>
      </c>
      <c r="AO2916" s="1">
        <v>9369.6</v>
      </c>
      <c r="AP2916" s="2">
        <v>42746</v>
      </c>
      <c r="AQ2916" t="s">
        <v>72</v>
      </c>
      <c r="AR2916" t="s">
        <v>72</v>
      </c>
      <c r="AS2916">
        <v>985</v>
      </c>
      <c r="AT2916" s="4">
        <v>42464</v>
      </c>
      <c r="AV2916">
        <v>985</v>
      </c>
      <c r="AW2916" s="4">
        <v>42464</v>
      </c>
      <c r="BD2916">
        <v>0</v>
      </c>
      <c r="BN2916" t="s">
        <v>74</v>
      </c>
    </row>
    <row r="2917" spans="1:66" hidden="1">
      <c r="A2917">
        <v>100987</v>
      </c>
      <c r="B2917" s="3" t="s">
        <v>344</v>
      </c>
      <c r="C2917" s="1">
        <v>43300101</v>
      </c>
      <c r="D2917" t="s">
        <v>67</v>
      </c>
      <c r="H2917" t="str">
        <f t="shared" ref="H2917:I2933" si="292">"01147640625"</f>
        <v>01147640625</v>
      </c>
      <c r="I2917" t="str">
        <f t="shared" si="292"/>
        <v>01147640625</v>
      </c>
      <c r="K2917" t="str">
        <f>""</f>
        <v/>
      </c>
      <c r="M2917" t="s">
        <v>68</v>
      </c>
      <c r="N2917" t="str">
        <f t="shared" si="289"/>
        <v>FOR</v>
      </c>
      <c r="O2917" t="s">
        <v>69</v>
      </c>
      <c r="P2917" s="3" t="s">
        <v>75</v>
      </c>
      <c r="Q2917">
        <v>2015</v>
      </c>
      <c r="R2917" s="2">
        <v>42289</v>
      </c>
      <c r="S2917" s="2">
        <v>42289</v>
      </c>
      <c r="T2917" s="2">
        <v>42289</v>
      </c>
      <c r="U2917" s="2">
        <v>42349</v>
      </c>
      <c r="V2917" t="s">
        <v>71</v>
      </c>
      <c r="W2917" t="str">
        <f>"          PA  000014"</f>
        <v xml:space="preserve">          PA  000014</v>
      </c>
      <c r="X2917">
        <v>72.5</v>
      </c>
      <c r="Y2917">
        <v>0</v>
      </c>
      <c r="Z2917"/>
      <c r="AB2917"/>
      <c r="AC2917">
        <v>59.43</v>
      </c>
      <c r="AD2917">
        <v>54</v>
      </c>
      <c r="AE2917" s="1">
        <v>3209.22</v>
      </c>
      <c r="AF2917">
        <v>13.07</v>
      </c>
      <c r="AJ2917">
        <v>0</v>
      </c>
      <c r="AK2917">
        <v>0</v>
      </c>
      <c r="AL2917">
        <v>0</v>
      </c>
      <c r="AM2917">
        <v>0</v>
      </c>
      <c r="AN2917">
        <v>0</v>
      </c>
      <c r="AO2917">
        <v>0</v>
      </c>
      <c r="AP2917" s="2">
        <v>42746</v>
      </c>
      <c r="AQ2917" t="s">
        <v>72</v>
      </c>
      <c r="AR2917" t="s">
        <v>72</v>
      </c>
      <c r="AS2917">
        <v>212</v>
      </c>
      <c r="AT2917" s="4">
        <v>42403</v>
      </c>
      <c r="AU2917" t="s">
        <v>73</v>
      </c>
      <c r="AV2917">
        <v>212</v>
      </c>
      <c r="AW2917" s="4">
        <v>42403</v>
      </c>
      <c r="BD2917">
        <v>13.07</v>
      </c>
      <c r="BN2917" t="s">
        <v>74</v>
      </c>
    </row>
    <row r="2918" spans="1:66" hidden="1">
      <c r="A2918">
        <v>100987</v>
      </c>
      <c r="B2918" s="3" t="s">
        <v>344</v>
      </c>
      <c r="C2918" s="1">
        <v>43300101</v>
      </c>
      <c r="D2918" t="s">
        <v>67</v>
      </c>
      <c r="H2918" t="str">
        <f t="shared" si="292"/>
        <v>01147640625</v>
      </c>
      <c r="I2918" t="str">
        <f t="shared" si="292"/>
        <v>01147640625</v>
      </c>
      <c r="K2918" t="str">
        <f>""</f>
        <v/>
      </c>
      <c r="M2918" t="s">
        <v>68</v>
      </c>
      <c r="N2918" t="str">
        <f t="shared" si="289"/>
        <v>FOR</v>
      </c>
      <c r="O2918" t="s">
        <v>69</v>
      </c>
      <c r="P2918" s="3" t="s">
        <v>75</v>
      </c>
      <c r="Q2918">
        <v>2015</v>
      </c>
      <c r="R2918" s="2">
        <v>42314</v>
      </c>
      <c r="S2918" s="2">
        <v>42317</v>
      </c>
      <c r="T2918" s="2">
        <v>42314</v>
      </c>
      <c r="U2918" s="2">
        <v>42374</v>
      </c>
      <c r="V2918" t="s">
        <v>71</v>
      </c>
      <c r="W2918" t="str">
        <f>"          PA  000015"</f>
        <v xml:space="preserve">          PA  000015</v>
      </c>
      <c r="X2918">
        <v>390</v>
      </c>
      <c r="Y2918">
        <v>0</v>
      </c>
      <c r="Z2918"/>
      <c r="AB2918"/>
      <c r="AC2918">
        <v>319.67</v>
      </c>
      <c r="AD2918">
        <v>29</v>
      </c>
      <c r="AE2918" s="1">
        <v>9270.43</v>
      </c>
      <c r="AF2918">
        <v>70.33</v>
      </c>
      <c r="AJ2918">
        <v>0</v>
      </c>
      <c r="AK2918">
        <v>0</v>
      </c>
      <c r="AL2918">
        <v>0</v>
      </c>
      <c r="AM2918">
        <v>0</v>
      </c>
      <c r="AN2918">
        <v>0</v>
      </c>
      <c r="AO2918">
        <v>0</v>
      </c>
      <c r="AP2918" s="2">
        <v>42746</v>
      </c>
      <c r="AQ2918" t="s">
        <v>72</v>
      </c>
      <c r="AR2918" t="s">
        <v>72</v>
      </c>
      <c r="AS2918">
        <v>212</v>
      </c>
      <c r="AT2918" s="4">
        <v>42403</v>
      </c>
      <c r="AU2918" t="s">
        <v>73</v>
      </c>
      <c r="AV2918">
        <v>212</v>
      </c>
      <c r="AW2918" s="4">
        <v>42403</v>
      </c>
      <c r="BD2918">
        <v>70.33</v>
      </c>
      <c r="BN2918" t="s">
        <v>74</v>
      </c>
    </row>
    <row r="2919" spans="1:66" hidden="1">
      <c r="A2919">
        <v>100987</v>
      </c>
      <c r="B2919" s="3" t="s">
        <v>344</v>
      </c>
      <c r="C2919" s="1">
        <v>43300101</v>
      </c>
      <c r="D2919" t="s">
        <v>67</v>
      </c>
      <c r="H2919" t="str">
        <f t="shared" si="292"/>
        <v>01147640625</v>
      </c>
      <c r="I2919" t="str">
        <f t="shared" si="292"/>
        <v>01147640625</v>
      </c>
      <c r="K2919" t="str">
        <f>""</f>
        <v/>
      </c>
      <c r="M2919" t="s">
        <v>68</v>
      </c>
      <c r="N2919" t="str">
        <f t="shared" si="289"/>
        <v>FOR</v>
      </c>
      <c r="O2919" t="s">
        <v>69</v>
      </c>
      <c r="P2919" s="3" t="s">
        <v>75</v>
      </c>
      <c r="Q2919">
        <v>2015</v>
      </c>
      <c r="R2919" s="2">
        <v>42369</v>
      </c>
      <c r="S2919" s="2">
        <v>42369</v>
      </c>
      <c r="T2919" s="2">
        <v>42369</v>
      </c>
      <c r="U2919" s="2">
        <v>42429</v>
      </c>
      <c r="V2919" t="s">
        <v>71</v>
      </c>
      <c r="W2919" t="str">
        <f>"          PA  000017"</f>
        <v xml:space="preserve">          PA  000017</v>
      </c>
      <c r="X2919">
        <v>590</v>
      </c>
      <c r="Y2919">
        <v>0</v>
      </c>
      <c r="Z2919"/>
      <c r="AB2919"/>
      <c r="AC2919">
        <v>483.61</v>
      </c>
      <c r="AD2919">
        <v>137</v>
      </c>
      <c r="AE2919" s="1">
        <v>66254.570000000007</v>
      </c>
      <c r="AF2919">
        <v>106.39</v>
      </c>
      <c r="AJ2919">
        <v>0</v>
      </c>
      <c r="AK2919">
        <v>0</v>
      </c>
      <c r="AL2919">
        <v>0</v>
      </c>
      <c r="AM2919">
        <v>0</v>
      </c>
      <c r="AN2919">
        <v>0</v>
      </c>
      <c r="AO2919">
        <v>0</v>
      </c>
      <c r="AP2919" s="2">
        <v>42746</v>
      </c>
      <c r="AQ2919" t="s">
        <v>72</v>
      </c>
      <c r="AR2919" t="s">
        <v>72</v>
      </c>
      <c r="AS2919">
        <v>1771</v>
      </c>
      <c r="AT2919" s="4">
        <v>42566</v>
      </c>
      <c r="AU2919" t="s">
        <v>73</v>
      </c>
      <c r="AV2919">
        <v>1771</v>
      </c>
      <c r="AW2919" s="4">
        <v>42566</v>
      </c>
      <c r="BD2919">
        <v>106.39</v>
      </c>
      <c r="BN2919" t="s">
        <v>74</v>
      </c>
    </row>
    <row r="2920" spans="1:66" hidden="1">
      <c r="A2920">
        <v>100987</v>
      </c>
      <c r="B2920" s="3" t="s">
        <v>344</v>
      </c>
      <c r="C2920" s="1">
        <v>43300101</v>
      </c>
      <c r="D2920" t="s">
        <v>67</v>
      </c>
      <c r="H2920" t="str">
        <f t="shared" si="292"/>
        <v>01147640625</v>
      </c>
      <c r="I2920" t="str">
        <f t="shared" si="292"/>
        <v>01147640625</v>
      </c>
      <c r="K2920" t="str">
        <f>""</f>
        <v/>
      </c>
      <c r="M2920" t="s">
        <v>68</v>
      </c>
      <c r="N2920" t="str">
        <f t="shared" si="289"/>
        <v>FOR</v>
      </c>
      <c r="O2920" t="s">
        <v>69</v>
      </c>
      <c r="P2920" s="3" t="s">
        <v>75</v>
      </c>
      <c r="Q2920">
        <v>2015</v>
      </c>
      <c r="R2920" s="2">
        <v>42369</v>
      </c>
      <c r="S2920" s="2">
        <v>42369</v>
      </c>
      <c r="T2920" s="2">
        <v>42369</v>
      </c>
      <c r="U2920" s="2">
        <v>42429</v>
      </c>
      <c r="V2920" t="s">
        <v>71</v>
      </c>
      <c r="W2920" t="str">
        <f>"          PA  000018"</f>
        <v xml:space="preserve">          PA  000018</v>
      </c>
      <c r="X2920">
        <v>164.52</v>
      </c>
      <c r="Y2920">
        <v>0</v>
      </c>
      <c r="Z2920"/>
      <c r="AB2920"/>
      <c r="AC2920">
        <v>134.85</v>
      </c>
      <c r="AD2920">
        <v>137</v>
      </c>
      <c r="AE2920" s="1">
        <v>18474.45</v>
      </c>
      <c r="AF2920">
        <v>29.67</v>
      </c>
      <c r="AJ2920">
        <v>0</v>
      </c>
      <c r="AK2920">
        <v>0</v>
      </c>
      <c r="AL2920">
        <v>0</v>
      </c>
      <c r="AM2920">
        <v>0</v>
      </c>
      <c r="AN2920">
        <v>0</v>
      </c>
      <c r="AO2920">
        <v>0</v>
      </c>
      <c r="AP2920" s="2">
        <v>42746</v>
      </c>
      <c r="AQ2920" t="s">
        <v>72</v>
      </c>
      <c r="AR2920" t="s">
        <v>72</v>
      </c>
      <c r="AS2920">
        <v>1771</v>
      </c>
      <c r="AT2920" s="4">
        <v>42566</v>
      </c>
      <c r="AU2920" t="s">
        <v>73</v>
      </c>
      <c r="AV2920">
        <v>1771</v>
      </c>
      <c r="AW2920" s="4">
        <v>42566</v>
      </c>
      <c r="BD2920">
        <v>29.67</v>
      </c>
      <c r="BN2920" t="s">
        <v>74</v>
      </c>
    </row>
    <row r="2921" spans="1:66" hidden="1">
      <c r="A2921">
        <v>100987</v>
      </c>
      <c r="B2921" s="3" t="s">
        <v>344</v>
      </c>
      <c r="C2921" s="1">
        <v>43300101</v>
      </c>
      <c r="D2921" t="s">
        <v>67</v>
      </c>
      <c r="H2921" t="str">
        <f t="shared" si="292"/>
        <v>01147640625</v>
      </c>
      <c r="I2921" t="str">
        <f t="shared" si="292"/>
        <v>01147640625</v>
      </c>
      <c r="K2921" t="str">
        <f>""</f>
        <v/>
      </c>
      <c r="M2921" t="s">
        <v>68</v>
      </c>
      <c r="N2921" t="str">
        <f t="shared" si="289"/>
        <v>FOR</v>
      </c>
      <c r="O2921" t="s">
        <v>69</v>
      </c>
      <c r="P2921" s="3" t="s">
        <v>75</v>
      </c>
      <c r="Q2921">
        <v>2015</v>
      </c>
      <c r="R2921" s="2">
        <v>42369</v>
      </c>
      <c r="S2921" s="2">
        <v>42369</v>
      </c>
      <c r="T2921" s="2">
        <v>42369</v>
      </c>
      <c r="U2921" s="2">
        <v>42429</v>
      </c>
      <c r="V2921" t="s">
        <v>71</v>
      </c>
      <c r="W2921" t="str">
        <f>"          PA  000019"</f>
        <v xml:space="preserve">          PA  000019</v>
      </c>
      <c r="X2921">
        <v>737.5</v>
      </c>
      <c r="Y2921">
        <v>0</v>
      </c>
      <c r="Z2921"/>
      <c r="AB2921"/>
      <c r="AC2921">
        <v>604.51</v>
      </c>
      <c r="AD2921">
        <v>137</v>
      </c>
      <c r="AE2921" s="1">
        <v>82817.87</v>
      </c>
      <c r="AF2921">
        <v>132.99</v>
      </c>
      <c r="AJ2921">
        <v>0</v>
      </c>
      <c r="AK2921">
        <v>0</v>
      </c>
      <c r="AL2921">
        <v>0</v>
      </c>
      <c r="AM2921">
        <v>0</v>
      </c>
      <c r="AN2921">
        <v>0</v>
      </c>
      <c r="AO2921">
        <v>0</v>
      </c>
      <c r="AP2921" s="2">
        <v>42746</v>
      </c>
      <c r="AQ2921" t="s">
        <v>72</v>
      </c>
      <c r="AR2921" t="s">
        <v>72</v>
      </c>
      <c r="AS2921">
        <v>1771</v>
      </c>
      <c r="AT2921" s="4">
        <v>42566</v>
      </c>
      <c r="AU2921" t="s">
        <v>73</v>
      </c>
      <c r="AV2921">
        <v>1771</v>
      </c>
      <c r="AW2921" s="4">
        <v>42566</v>
      </c>
      <c r="BD2921">
        <v>132.99</v>
      </c>
      <c r="BN2921" t="s">
        <v>74</v>
      </c>
    </row>
    <row r="2922" spans="1:66" hidden="1">
      <c r="A2922">
        <v>100987</v>
      </c>
      <c r="B2922" s="3" t="s">
        <v>344</v>
      </c>
      <c r="C2922" s="1">
        <v>43300101</v>
      </c>
      <c r="D2922" t="s">
        <v>67</v>
      </c>
      <c r="H2922" t="str">
        <f t="shared" si="292"/>
        <v>01147640625</v>
      </c>
      <c r="I2922" t="str">
        <f t="shared" si="292"/>
        <v>01147640625</v>
      </c>
      <c r="K2922" t="str">
        <f>""</f>
        <v/>
      </c>
      <c r="M2922" t="s">
        <v>68</v>
      </c>
      <c r="N2922" t="str">
        <f t="shared" si="289"/>
        <v>FOR</v>
      </c>
      <c r="O2922" t="s">
        <v>69</v>
      </c>
      <c r="P2922" s="3" t="s">
        <v>75</v>
      </c>
      <c r="Q2922">
        <v>2015</v>
      </c>
      <c r="R2922" s="2">
        <v>42369</v>
      </c>
      <c r="S2922" s="2">
        <v>42369</v>
      </c>
      <c r="T2922" s="2">
        <v>42369</v>
      </c>
      <c r="U2922" s="2">
        <v>42429</v>
      </c>
      <c r="V2922" t="s">
        <v>71</v>
      </c>
      <c r="W2922" t="str">
        <f>"          PA  000020"</f>
        <v xml:space="preserve">          PA  000020</v>
      </c>
      <c r="X2922">
        <v>737.5</v>
      </c>
      <c r="Y2922">
        <v>0</v>
      </c>
      <c r="Z2922"/>
      <c r="AB2922"/>
      <c r="AC2922">
        <v>604.51</v>
      </c>
      <c r="AD2922">
        <v>137</v>
      </c>
      <c r="AE2922" s="1">
        <v>82817.87</v>
      </c>
      <c r="AF2922">
        <v>132.99</v>
      </c>
      <c r="AJ2922">
        <v>0</v>
      </c>
      <c r="AK2922">
        <v>0</v>
      </c>
      <c r="AL2922">
        <v>0</v>
      </c>
      <c r="AM2922">
        <v>0</v>
      </c>
      <c r="AN2922">
        <v>0</v>
      </c>
      <c r="AO2922">
        <v>0</v>
      </c>
      <c r="AP2922" s="2">
        <v>42746</v>
      </c>
      <c r="AQ2922" t="s">
        <v>72</v>
      </c>
      <c r="AR2922" t="s">
        <v>72</v>
      </c>
      <c r="AS2922">
        <v>1771</v>
      </c>
      <c r="AT2922" s="4">
        <v>42566</v>
      </c>
      <c r="AU2922" t="s">
        <v>73</v>
      </c>
      <c r="AV2922">
        <v>1771</v>
      </c>
      <c r="AW2922" s="4">
        <v>42566</v>
      </c>
      <c r="BD2922">
        <v>132.99</v>
      </c>
      <c r="BN2922" t="s">
        <v>74</v>
      </c>
    </row>
    <row r="2923" spans="1:66" hidden="1">
      <c r="A2923">
        <v>100987</v>
      </c>
      <c r="B2923" s="3" t="s">
        <v>344</v>
      </c>
      <c r="C2923" s="1">
        <v>43300101</v>
      </c>
      <c r="D2923" t="s">
        <v>67</v>
      </c>
      <c r="H2923" t="str">
        <f t="shared" si="292"/>
        <v>01147640625</v>
      </c>
      <c r="I2923" t="str">
        <f t="shared" si="292"/>
        <v>01147640625</v>
      </c>
      <c r="K2923" t="str">
        <f>""</f>
        <v/>
      </c>
      <c r="M2923" t="s">
        <v>68</v>
      </c>
      <c r="N2923" t="str">
        <f t="shared" si="289"/>
        <v>FOR</v>
      </c>
      <c r="O2923" t="s">
        <v>69</v>
      </c>
      <c r="P2923" s="3" t="s">
        <v>75</v>
      </c>
      <c r="Q2923">
        <v>2016</v>
      </c>
      <c r="R2923" s="2">
        <v>42388</v>
      </c>
      <c r="S2923" s="2">
        <v>42388</v>
      </c>
      <c r="T2923" s="2">
        <v>42388</v>
      </c>
      <c r="U2923" s="2">
        <v>42448</v>
      </c>
      <c r="V2923" t="s">
        <v>71</v>
      </c>
      <c r="W2923" t="str">
        <f>"          PA  000002"</f>
        <v xml:space="preserve">          PA  000002</v>
      </c>
      <c r="X2923" s="1">
        <v>1076.75</v>
      </c>
      <c r="Y2923">
        <v>0</v>
      </c>
      <c r="Z2923"/>
      <c r="AB2923"/>
      <c r="AC2923">
        <v>882.58</v>
      </c>
      <c r="AD2923">
        <v>118</v>
      </c>
      <c r="AE2923" s="1">
        <v>104144.44</v>
      </c>
      <c r="AF2923">
        <v>194.17</v>
      </c>
      <c r="AJ2923">
        <v>0</v>
      </c>
      <c r="AK2923">
        <v>0</v>
      </c>
      <c r="AL2923">
        <v>0</v>
      </c>
      <c r="AM2923" s="1">
        <v>1076.75</v>
      </c>
      <c r="AN2923" s="1">
        <v>1076.75</v>
      </c>
      <c r="AO2923" s="1">
        <v>1076.75</v>
      </c>
      <c r="AP2923" s="2">
        <v>42746</v>
      </c>
      <c r="AQ2923" t="s">
        <v>72</v>
      </c>
      <c r="AR2923" t="s">
        <v>72</v>
      </c>
      <c r="AS2923">
        <v>1771</v>
      </c>
      <c r="AT2923" s="4">
        <v>42566</v>
      </c>
      <c r="AU2923" t="s">
        <v>73</v>
      </c>
      <c r="AV2923">
        <v>1771</v>
      </c>
      <c r="AW2923" s="4">
        <v>42566</v>
      </c>
      <c r="BD2923">
        <v>194.17</v>
      </c>
      <c r="BN2923" t="s">
        <v>74</v>
      </c>
    </row>
    <row r="2924" spans="1:66" hidden="1">
      <c r="A2924">
        <v>100987</v>
      </c>
      <c r="B2924" s="3" t="s">
        <v>344</v>
      </c>
      <c r="C2924" s="1">
        <v>43300101</v>
      </c>
      <c r="D2924" t="s">
        <v>67</v>
      </c>
      <c r="H2924" t="str">
        <f t="shared" si="292"/>
        <v>01147640625</v>
      </c>
      <c r="I2924" t="str">
        <f t="shared" si="292"/>
        <v>01147640625</v>
      </c>
      <c r="K2924" t="str">
        <f>""</f>
        <v/>
      </c>
      <c r="M2924" t="s">
        <v>68</v>
      </c>
      <c r="N2924" t="str">
        <f t="shared" si="289"/>
        <v>FOR</v>
      </c>
      <c r="O2924" t="s">
        <v>69</v>
      </c>
      <c r="P2924" s="3" t="s">
        <v>75</v>
      </c>
      <c r="Q2924">
        <v>2016</v>
      </c>
      <c r="R2924" s="2">
        <v>42388</v>
      </c>
      <c r="S2924" s="2">
        <v>42388</v>
      </c>
      <c r="T2924" s="2">
        <v>42388</v>
      </c>
      <c r="U2924" s="2">
        <v>42448</v>
      </c>
      <c r="V2924" t="s">
        <v>71</v>
      </c>
      <c r="W2924" t="str">
        <f>"          PA  000003"</f>
        <v xml:space="preserve">          PA  000003</v>
      </c>
      <c r="X2924">
        <v>167</v>
      </c>
      <c r="Y2924">
        <v>0</v>
      </c>
      <c r="Z2924"/>
      <c r="AB2924"/>
      <c r="AC2924">
        <v>136.88999999999999</v>
      </c>
      <c r="AD2924">
        <v>118</v>
      </c>
      <c r="AE2924" s="1">
        <v>16153.02</v>
      </c>
      <c r="AF2924">
        <v>30.11</v>
      </c>
      <c r="AJ2924">
        <v>0</v>
      </c>
      <c r="AK2924">
        <v>0</v>
      </c>
      <c r="AL2924">
        <v>0</v>
      </c>
      <c r="AM2924">
        <v>167</v>
      </c>
      <c r="AN2924">
        <v>167</v>
      </c>
      <c r="AO2924">
        <v>167</v>
      </c>
      <c r="AP2924" s="2">
        <v>42746</v>
      </c>
      <c r="AQ2924" t="s">
        <v>72</v>
      </c>
      <c r="AR2924" t="s">
        <v>72</v>
      </c>
      <c r="AS2924">
        <v>1771</v>
      </c>
      <c r="AT2924" s="4">
        <v>42566</v>
      </c>
      <c r="AU2924" t="s">
        <v>73</v>
      </c>
      <c r="AV2924">
        <v>1771</v>
      </c>
      <c r="AW2924" s="4">
        <v>42566</v>
      </c>
      <c r="BD2924">
        <v>30.11</v>
      </c>
      <c r="BN2924" t="s">
        <v>74</v>
      </c>
    </row>
    <row r="2925" spans="1:66" hidden="1">
      <c r="A2925">
        <v>100987</v>
      </c>
      <c r="B2925" s="3" t="s">
        <v>344</v>
      </c>
      <c r="C2925" s="1">
        <v>43300101</v>
      </c>
      <c r="D2925" t="s">
        <v>67</v>
      </c>
      <c r="H2925" t="str">
        <f t="shared" si="292"/>
        <v>01147640625</v>
      </c>
      <c r="I2925" t="str">
        <f t="shared" si="292"/>
        <v>01147640625</v>
      </c>
      <c r="K2925" t="str">
        <f>""</f>
        <v/>
      </c>
      <c r="M2925" t="s">
        <v>68</v>
      </c>
      <c r="N2925" t="str">
        <f t="shared" si="289"/>
        <v>FOR</v>
      </c>
      <c r="O2925" t="s">
        <v>69</v>
      </c>
      <c r="P2925" s="3" t="s">
        <v>75</v>
      </c>
      <c r="Q2925">
        <v>2016</v>
      </c>
      <c r="R2925" s="2">
        <v>42397</v>
      </c>
      <c r="S2925" s="2">
        <v>42402</v>
      </c>
      <c r="T2925" s="2">
        <v>42397</v>
      </c>
      <c r="U2925" s="2">
        <v>42457</v>
      </c>
      <c r="V2925" t="s">
        <v>71</v>
      </c>
      <c r="W2925" t="str">
        <f>"          PA  000006"</f>
        <v xml:space="preserve">          PA  000006</v>
      </c>
      <c r="X2925">
        <v>180</v>
      </c>
      <c r="Y2925">
        <v>0</v>
      </c>
      <c r="Z2925"/>
      <c r="AB2925"/>
      <c r="AC2925">
        <v>147.54</v>
      </c>
      <c r="AD2925">
        <v>109</v>
      </c>
      <c r="AE2925" s="1">
        <v>16081.86</v>
      </c>
      <c r="AF2925">
        <v>32.46</v>
      </c>
      <c r="AJ2925">
        <v>0</v>
      </c>
      <c r="AK2925">
        <v>0</v>
      </c>
      <c r="AL2925">
        <v>0</v>
      </c>
      <c r="AM2925">
        <v>180</v>
      </c>
      <c r="AN2925">
        <v>180</v>
      </c>
      <c r="AO2925">
        <v>180</v>
      </c>
      <c r="AP2925" s="2">
        <v>42746</v>
      </c>
      <c r="AQ2925" t="s">
        <v>72</v>
      </c>
      <c r="AR2925" t="s">
        <v>72</v>
      </c>
      <c r="AS2925">
        <v>1771</v>
      </c>
      <c r="AT2925" s="4">
        <v>42566</v>
      </c>
      <c r="AU2925" t="s">
        <v>73</v>
      </c>
      <c r="AV2925">
        <v>1771</v>
      </c>
      <c r="AW2925" s="4">
        <v>42566</v>
      </c>
      <c r="BD2925">
        <v>32.46</v>
      </c>
      <c r="BN2925" t="s">
        <v>74</v>
      </c>
    </row>
    <row r="2926" spans="1:66" hidden="1">
      <c r="A2926">
        <v>100987</v>
      </c>
      <c r="B2926" s="3" t="s">
        <v>344</v>
      </c>
      <c r="C2926" s="1">
        <v>43300101</v>
      </c>
      <c r="D2926" t="s">
        <v>67</v>
      </c>
      <c r="H2926" t="str">
        <f t="shared" si="292"/>
        <v>01147640625</v>
      </c>
      <c r="I2926" t="str">
        <f t="shared" si="292"/>
        <v>01147640625</v>
      </c>
      <c r="K2926" t="str">
        <f>""</f>
        <v/>
      </c>
      <c r="M2926" t="s">
        <v>68</v>
      </c>
      <c r="N2926" t="str">
        <f t="shared" si="289"/>
        <v>FOR</v>
      </c>
      <c r="O2926" t="s">
        <v>69</v>
      </c>
      <c r="P2926" s="3" t="s">
        <v>75</v>
      </c>
      <c r="Q2926">
        <v>2016</v>
      </c>
      <c r="R2926" s="2">
        <v>42402</v>
      </c>
      <c r="S2926" s="2">
        <v>42403</v>
      </c>
      <c r="T2926" s="2">
        <v>42402</v>
      </c>
      <c r="U2926" s="2">
        <v>42462</v>
      </c>
      <c r="V2926" t="s">
        <v>71</v>
      </c>
      <c r="W2926" t="str">
        <f>"          PA  000007"</f>
        <v xml:space="preserve">          PA  000007</v>
      </c>
      <c r="X2926" s="1">
        <v>1003</v>
      </c>
      <c r="Y2926">
        <v>0</v>
      </c>
      <c r="Z2926"/>
      <c r="AB2926"/>
      <c r="AC2926">
        <v>822.13</v>
      </c>
      <c r="AD2926">
        <v>104</v>
      </c>
      <c r="AE2926" s="1">
        <v>85501.52</v>
      </c>
      <c r="AF2926">
        <v>180.87</v>
      </c>
      <c r="AJ2926">
        <v>0</v>
      </c>
      <c r="AK2926">
        <v>0</v>
      </c>
      <c r="AL2926">
        <v>0</v>
      </c>
      <c r="AM2926" s="1">
        <v>1003</v>
      </c>
      <c r="AN2926" s="1">
        <v>1003</v>
      </c>
      <c r="AO2926" s="1">
        <v>1003</v>
      </c>
      <c r="AP2926" s="2">
        <v>42746</v>
      </c>
      <c r="AQ2926" t="s">
        <v>72</v>
      </c>
      <c r="AR2926" t="s">
        <v>72</v>
      </c>
      <c r="AS2926">
        <v>1771</v>
      </c>
      <c r="AT2926" s="4">
        <v>42566</v>
      </c>
      <c r="AU2926" t="s">
        <v>73</v>
      </c>
      <c r="AV2926">
        <v>1771</v>
      </c>
      <c r="AW2926" s="4">
        <v>42566</v>
      </c>
      <c r="BD2926">
        <v>180.87</v>
      </c>
      <c r="BN2926" t="s">
        <v>74</v>
      </c>
    </row>
    <row r="2927" spans="1:66" hidden="1">
      <c r="A2927">
        <v>100987</v>
      </c>
      <c r="B2927" s="3" t="s">
        <v>344</v>
      </c>
      <c r="C2927" s="1">
        <v>43300101</v>
      </c>
      <c r="D2927" t="s">
        <v>67</v>
      </c>
      <c r="H2927" t="str">
        <f t="shared" si="292"/>
        <v>01147640625</v>
      </c>
      <c r="I2927" t="str">
        <f t="shared" si="292"/>
        <v>01147640625</v>
      </c>
      <c r="K2927" t="str">
        <f>""</f>
        <v/>
      </c>
      <c r="M2927" t="s">
        <v>68</v>
      </c>
      <c r="N2927" t="str">
        <f t="shared" ref="N2927:N2958" si="293">"FOR"</f>
        <v>FOR</v>
      </c>
      <c r="O2927" t="s">
        <v>69</v>
      </c>
      <c r="P2927" s="3" t="s">
        <v>75</v>
      </c>
      <c r="Q2927">
        <v>2016</v>
      </c>
      <c r="R2927" s="2">
        <v>42402</v>
      </c>
      <c r="S2927" s="2">
        <v>42403</v>
      </c>
      <c r="T2927" s="2">
        <v>42402</v>
      </c>
      <c r="U2927" s="2">
        <v>42462</v>
      </c>
      <c r="V2927" t="s">
        <v>71</v>
      </c>
      <c r="W2927" t="str">
        <f>"          PA  000008"</f>
        <v xml:space="preserve">          PA  000008</v>
      </c>
      <c r="X2927">
        <v>238</v>
      </c>
      <c r="Y2927">
        <v>0</v>
      </c>
      <c r="Z2927"/>
      <c r="AB2927"/>
      <c r="AC2927">
        <v>195.08</v>
      </c>
      <c r="AD2927">
        <v>104</v>
      </c>
      <c r="AE2927" s="1">
        <v>20288.32</v>
      </c>
      <c r="AF2927">
        <v>42.92</v>
      </c>
      <c r="AJ2927">
        <v>0</v>
      </c>
      <c r="AK2927">
        <v>0</v>
      </c>
      <c r="AL2927">
        <v>0</v>
      </c>
      <c r="AM2927">
        <v>238</v>
      </c>
      <c r="AN2927">
        <v>238</v>
      </c>
      <c r="AO2927">
        <v>238</v>
      </c>
      <c r="AP2927" s="2">
        <v>42746</v>
      </c>
      <c r="AQ2927" t="s">
        <v>72</v>
      </c>
      <c r="AR2927" t="s">
        <v>72</v>
      </c>
      <c r="AS2927">
        <v>1771</v>
      </c>
      <c r="AT2927" s="4">
        <v>42566</v>
      </c>
      <c r="AU2927" t="s">
        <v>73</v>
      </c>
      <c r="AV2927">
        <v>1771</v>
      </c>
      <c r="AW2927" s="4">
        <v>42566</v>
      </c>
      <c r="BD2927">
        <v>42.92</v>
      </c>
      <c r="BN2927" t="s">
        <v>74</v>
      </c>
    </row>
    <row r="2928" spans="1:66" hidden="1">
      <c r="A2928">
        <v>100987</v>
      </c>
      <c r="B2928" s="3" t="s">
        <v>344</v>
      </c>
      <c r="C2928" s="1">
        <v>43300101</v>
      </c>
      <c r="D2928" t="s">
        <v>67</v>
      </c>
      <c r="H2928" t="str">
        <f t="shared" si="292"/>
        <v>01147640625</v>
      </c>
      <c r="I2928" t="str">
        <f t="shared" si="292"/>
        <v>01147640625</v>
      </c>
      <c r="K2928" t="str">
        <f>""</f>
        <v/>
      </c>
      <c r="M2928" t="s">
        <v>68</v>
      </c>
      <c r="N2928" t="str">
        <f t="shared" si="293"/>
        <v>FOR</v>
      </c>
      <c r="O2928" t="s">
        <v>69</v>
      </c>
      <c r="P2928" s="3" t="s">
        <v>75</v>
      </c>
      <c r="Q2928">
        <v>2016</v>
      </c>
      <c r="R2928" s="2">
        <v>42409</v>
      </c>
      <c r="S2928" s="2">
        <v>42410</v>
      </c>
      <c r="T2928" s="2">
        <v>42409</v>
      </c>
      <c r="U2928" s="2">
        <v>42469</v>
      </c>
      <c r="V2928" t="s">
        <v>71</v>
      </c>
      <c r="W2928" t="str">
        <f>"          PA  000009"</f>
        <v xml:space="preserve">          PA  000009</v>
      </c>
      <c r="X2928">
        <v>304</v>
      </c>
      <c r="Y2928">
        <v>0</v>
      </c>
      <c r="Z2928"/>
      <c r="AB2928"/>
      <c r="AC2928">
        <v>249.18</v>
      </c>
      <c r="AD2928">
        <v>97</v>
      </c>
      <c r="AE2928" s="1">
        <v>24170.46</v>
      </c>
      <c r="AF2928">
        <v>54.82</v>
      </c>
      <c r="AJ2928">
        <v>0</v>
      </c>
      <c r="AK2928">
        <v>0</v>
      </c>
      <c r="AL2928">
        <v>0</v>
      </c>
      <c r="AM2928">
        <v>304</v>
      </c>
      <c r="AN2928">
        <v>304</v>
      </c>
      <c r="AO2928">
        <v>304</v>
      </c>
      <c r="AP2928" s="2">
        <v>42746</v>
      </c>
      <c r="AQ2928" t="s">
        <v>72</v>
      </c>
      <c r="AR2928" t="s">
        <v>72</v>
      </c>
      <c r="AS2928">
        <v>1771</v>
      </c>
      <c r="AT2928" s="4">
        <v>42566</v>
      </c>
      <c r="AU2928" t="s">
        <v>73</v>
      </c>
      <c r="AV2928">
        <v>1771</v>
      </c>
      <c r="AW2928" s="4">
        <v>42566</v>
      </c>
      <c r="BD2928">
        <v>54.82</v>
      </c>
      <c r="BN2928" t="s">
        <v>74</v>
      </c>
    </row>
    <row r="2929" spans="1:66" hidden="1">
      <c r="A2929">
        <v>100987</v>
      </c>
      <c r="B2929" s="3" t="s">
        <v>344</v>
      </c>
      <c r="C2929" s="1">
        <v>43300101</v>
      </c>
      <c r="D2929" t="s">
        <v>67</v>
      </c>
      <c r="H2929" t="str">
        <f t="shared" si="292"/>
        <v>01147640625</v>
      </c>
      <c r="I2929" t="str">
        <f t="shared" si="292"/>
        <v>01147640625</v>
      </c>
      <c r="K2929" t="str">
        <f>""</f>
        <v/>
      </c>
      <c r="M2929" t="s">
        <v>68</v>
      </c>
      <c r="N2929" t="str">
        <f t="shared" si="293"/>
        <v>FOR</v>
      </c>
      <c r="O2929" t="s">
        <v>69</v>
      </c>
      <c r="P2929" s="3" t="s">
        <v>75</v>
      </c>
      <c r="Q2929">
        <v>2016</v>
      </c>
      <c r="R2929" s="2">
        <v>42410</v>
      </c>
      <c r="S2929" s="2">
        <v>42410</v>
      </c>
      <c r="T2929" s="2">
        <v>42410</v>
      </c>
      <c r="U2929" s="2">
        <v>42470</v>
      </c>
      <c r="V2929" t="s">
        <v>71</v>
      </c>
      <c r="W2929" t="str">
        <f>"          PA  000010"</f>
        <v xml:space="preserve">          PA  000010</v>
      </c>
      <c r="X2929">
        <v>708</v>
      </c>
      <c r="Y2929">
        <v>0</v>
      </c>
      <c r="Z2929"/>
      <c r="AB2929"/>
      <c r="AC2929">
        <v>580.33000000000004</v>
      </c>
      <c r="AD2929">
        <v>96</v>
      </c>
      <c r="AE2929" s="1">
        <v>55711.68</v>
      </c>
      <c r="AF2929">
        <v>127.67</v>
      </c>
      <c r="AJ2929">
        <v>0</v>
      </c>
      <c r="AK2929">
        <v>0</v>
      </c>
      <c r="AL2929">
        <v>0</v>
      </c>
      <c r="AM2929">
        <v>708</v>
      </c>
      <c r="AN2929">
        <v>708</v>
      </c>
      <c r="AO2929">
        <v>708</v>
      </c>
      <c r="AP2929" s="2">
        <v>42746</v>
      </c>
      <c r="AQ2929" t="s">
        <v>72</v>
      </c>
      <c r="AR2929" t="s">
        <v>72</v>
      </c>
      <c r="AS2929">
        <v>1771</v>
      </c>
      <c r="AT2929" s="4">
        <v>42566</v>
      </c>
      <c r="AU2929" t="s">
        <v>73</v>
      </c>
      <c r="AV2929">
        <v>1771</v>
      </c>
      <c r="AW2929" s="4">
        <v>42566</v>
      </c>
      <c r="BD2929">
        <v>127.67</v>
      </c>
      <c r="BN2929" t="s">
        <v>74</v>
      </c>
    </row>
    <row r="2930" spans="1:66" hidden="1">
      <c r="A2930">
        <v>100987</v>
      </c>
      <c r="B2930" s="3" t="s">
        <v>344</v>
      </c>
      <c r="C2930" s="1">
        <v>43300101</v>
      </c>
      <c r="D2930" t="s">
        <v>67</v>
      </c>
      <c r="H2930" t="str">
        <f t="shared" si="292"/>
        <v>01147640625</v>
      </c>
      <c r="I2930" t="str">
        <f t="shared" si="292"/>
        <v>01147640625</v>
      </c>
      <c r="K2930" t="str">
        <f>""</f>
        <v/>
      </c>
      <c r="M2930" t="s">
        <v>68</v>
      </c>
      <c r="N2930" t="str">
        <f t="shared" si="293"/>
        <v>FOR</v>
      </c>
      <c r="O2930" t="s">
        <v>69</v>
      </c>
      <c r="P2930" s="3" t="s">
        <v>75</v>
      </c>
      <c r="Q2930">
        <v>2016</v>
      </c>
      <c r="R2930" s="2">
        <v>42410</v>
      </c>
      <c r="S2930" s="2">
        <v>42410</v>
      </c>
      <c r="T2930" s="2">
        <v>42410</v>
      </c>
      <c r="U2930" s="2">
        <v>42470</v>
      </c>
      <c r="V2930" t="s">
        <v>71</v>
      </c>
      <c r="W2930" t="str">
        <f>"          PA  000011"</f>
        <v xml:space="preserve">          PA  000011</v>
      </c>
      <c r="X2930">
        <v>561</v>
      </c>
      <c r="Y2930">
        <v>0</v>
      </c>
      <c r="Z2930"/>
      <c r="AB2930"/>
      <c r="AC2930">
        <v>459.84</v>
      </c>
      <c r="AD2930">
        <v>96</v>
      </c>
      <c r="AE2930" s="1">
        <v>44144.639999999999</v>
      </c>
      <c r="AF2930">
        <v>101.16</v>
      </c>
      <c r="AJ2930">
        <v>0</v>
      </c>
      <c r="AK2930">
        <v>0</v>
      </c>
      <c r="AL2930">
        <v>0</v>
      </c>
      <c r="AM2930">
        <v>561</v>
      </c>
      <c r="AN2930">
        <v>561</v>
      </c>
      <c r="AO2930">
        <v>561</v>
      </c>
      <c r="AP2930" s="2">
        <v>42746</v>
      </c>
      <c r="AQ2930" t="s">
        <v>72</v>
      </c>
      <c r="AR2930" t="s">
        <v>72</v>
      </c>
      <c r="AS2930">
        <v>1771</v>
      </c>
      <c r="AT2930" s="4">
        <v>42566</v>
      </c>
      <c r="AU2930" t="s">
        <v>73</v>
      </c>
      <c r="AV2930">
        <v>1771</v>
      </c>
      <c r="AW2930" s="4">
        <v>42566</v>
      </c>
      <c r="BD2930">
        <v>101.16</v>
      </c>
      <c r="BN2930" t="s">
        <v>74</v>
      </c>
    </row>
    <row r="2931" spans="1:66" hidden="1">
      <c r="A2931">
        <v>100987</v>
      </c>
      <c r="B2931" s="3" t="s">
        <v>344</v>
      </c>
      <c r="C2931" s="1">
        <v>43300101</v>
      </c>
      <c r="D2931" t="s">
        <v>67</v>
      </c>
      <c r="H2931" t="str">
        <f t="shared" si="292"/>
        <v>01147640625</v>
      </c>
      <c r="I2931" t="str">
        <f t="shared" si="292"/>
        <v>01147640625</v>
      </c>
      <c r="K2931" t="str">
        <f>""</f>
        <v/>
      </c>
      <c r="M2931" t="s">
        <v>68</v>
      </c>
      <c r="N2931" t="str">
        <f t="shared" si="293"/>
        <v>FOR</v>
      </c>
      <c r="O2931" t="s">
        <v>69</v>
      </c>
      <c r="P2931" s="3" t="s">
        <v>70</v>
      </c>
      <c r="Q2931">
        <v>2016</v>
      </c>
      <c r="R2931" s="2">
        <v>42424</v>
      </c>
      <c r="S2931" s="2">
        <v>42424</v>
      </c>
      <c r="T2931" s="2">
        <v>42424</v>
      </c>
      <c r="U2931" s="2">
        <v>42484</v>
      </c>
      <c r="V2931" t="s">
        <v>71</v>
      </c>
      <c r="W2931" t="str">
        <f>"          PA  000012"</f>
        <v xml:space="preserve">          PA  000012</v>
      </c>
      <c r="X2931">
        <v>70.400000000000006</v>
      </c>
      <c r="Y2931">
        <v>0</v>
      </c>
      <c r="Z2931"/>
      <c r="AB2931"/>
      <c r="AC2931">
        <v>66.72</v>
      </c>
      <c r="AD2931">
        <v>82</v>
      </c>
      <c r="AE2931" s="1">
        <v>5471.04</v>
      </c>
      <c r="AF2931">
        <v>3.68</v>
      </c>
      <c r="AJ2931">
        <v>0</v>
      </c>
      <c r="AK2931">
        <v>0</v>
      </c>
      <c r="AL2931">
        <v>0</v>
      </c>
      <c r="AM2931">
        <v>70.400000000000006</v>
      </c>
      <c r="AN2931">
        <v>70.400000000000006</v>
      </c>
      <c r="AO2931">
        <v>70.400000000000006</v>
      </c>
      <c r="AP2931" s="2">
        <v>42746</v>
      </c>
      <c r="AQ2931" t="s">
        <v>72</v>
      </c>
      <c r="AR2931" t="s">
        <v>72</v>
      </c>
      <c r="AS2931">
        <v>1771</v>
      </c>
      <c r="AT2931" s="4">
        <v>42566</v>
      </c>
      <c r="AU2931" t="s">
        <v>73</v>
      </c>
      <c r="AV2931">
        <v>1771</v>
      </c>
      <c r="AW2931" s="4">
        <v>42566</v>
      </c>
      <c r="BD2931">
        <v>3.68</v>
      </c>
      <c r="BN2931" t="s">
        <v>74</v>
      </c>
    </row>
    <row r="2932" spans="1:66">
      <c r="A2932">
        <v>100987</v>
      </c>
      <c r="B2932" s="3" t="s">
        <v>344</v>
      </c>
      <c r="C2932" s="1">
        <v>43300101</v>
      </c>
      <c r="D2932" t="s">
        <v>67</v>
      </c>
      <c r="H2932" t="str">
        <f t="shared" si="292"/>
        <v>01147640625</v>
      </c>
      <c r="I2932" t="str">
        <f t="shared" si="292"/>
        <v>01147640625</v>
      </c>
      <c r="K2932" t="str">
        <f>""</f>
        <v/>
      </c>
      <c r="M2932" t="s">
        <v>68</v>
      </c>
      <c r="N2932" t="str">
        <f t="shared" si="293"/>
        <v>FOR</v>
      </c>
      <c r="O2932" t="s">
        <v>69</v>
      </c>
      <c r="P2932" s="3" t="s">
        <v>75</v>
      </c>
      <c r="Q2932">
        <v>2016</v>
      </c>
      <c r="R2932" s="2">
        <v>42489</v>
      </c>
      <c r="S2932" s="2">
        <v>42492</v>
      </c>
      <c r="T2932" s="2">
        <v>42489</v>
      </c>
      <c r="U2932" s="2">
        <v>42549</v>
      </c>
      <c r="V2932" t="s">
        <v>71</v>
      </c>
      <c r="W2932" t="str">
        <f>"          PA  000013"</f>
        <v xml:space="preserve">          PA  000013</v>
      </c>
      <c r="X2932">
        <v>590.70000000000005</v>
      </c>
      <c r="Y2932">
        <v>0</v>
      </c>
      <c r="Z2932" s="3">
        <v>484.18</v>
      </c>
      <c r="AA2932">
        <v>132</v>
      </c>
      <c r="AB2932" s="5">
        <v>63911.76</v>
      </c>
      <c r="AC2932">
        <v>484.18</v>
      </c>
      <c r="AD2932">
        <v>132</v>
      </c>
      <c r="AE2932" s="1">
        <v>63911.76</v>
      </c>
      <c r="AF2932">
        <v>106.52</v>
      </c>
      <c r="AJ2932">
        <v>0</v>
      </c>
      <c r="AK2932">
        <v>0</v>
      </c>
      <c r="AL2932">
        <v>0</v>
      </c>
      <c r="AM2932">
        <v>590.70000000000005</v>
      </c>
      <c r="AN2932">
        <v>590.70000000000005</v>
      </c>
      <c r="AO2932">
        <v>590.70000000000005</v>
      </c>
      <c r="AP2932" s="2">
        <v>42746</v>
      </c>
      <c r="AQ2932" t="s">
        <v>72</v>
      </c>
      <c r="AR2932" t="s">
        <v>72</v>
      </c>
      <c r="AS2932">
        <v>2946</v>
      </c>
      <c r="AT2932" s="4">
        <v>42681</v>
      </c>
      <c r="AU2932" t="s">
        <v>73</v>
      </c>
      <c r="AV2932">
        <v>2946</v>
      </c>
      <c r="AW2932" s="4">
        <v>42681</v>
      </c>
      <c r="BD2932">
        <v>106.52</v>
      </c>
      <c r="BN2932" t="s">
        <v>74</v>
      </c>
    </row>
    <row r="2933" spans="1:66">
      <c r="A2933">
        <v>100987</v>
      </c>
      <c r="B2933" s="3" t="s">
        <v>344</v>
      </c>
      <c r="C2933" s="1">
        <v>43300101</v>
      </c>
      <c r="D2933" t="s">
        <v>67</v>
      </c>
      <c r="H2933" t="str">
        <f t="shared" si="292"/>
        <v>01147640625</v>
      </c>
      <c r="I2933" t="str">
        <f t="shared" si="292"/>
        <v>01147640625</v>
      </c>
      <c r="K2933" t="str">
        <f>""</f>
        <v/>
      </c>
      <c r="M2933" t="s">
        <v>68</v>
      </c>
      <c r="N2933" t="str">
        <f t="shared" si="293"/>
        <v>FOR</v>
      </c>
      <c r="O2933" t="s">
        <v>69</v>
      </c>
      <c r="P2933" s="3" t="s">
        <v>75</v>
      </c>
      <c r="Q2933">
        <v>2016</v>
      </c>
      <c r="R2933" s="2">
        <v>42528</v>
      </c>
      <c r="S2933" s="2">
        <v>42528</v>
      </c>
      <c r="T2933" s="2">
        <v>42528</v>
      </c>
      <c r="U2933" s="2">
        <v>42588</v>
      </c>
      <c r="V2933" t="s">
        <v>71</v>
      </c>
      <c r="W2933" t="str">
        <f>"          PA  000016"</f>
        <v xml:space="preserve">          PA  000016</v>
      </c>
      <c r="X2933">
        <v>88</v>
      </c>
      <c r="Y2933">
        <v>0</v>
      </c>
      <c r="Z2933" s="3">
        <v>72.13</v>
      </c>
      <c r="AA2933">
        <v>93</v>
      </c>
      <c r="AB2933" s="5">
        <v>6708.09</v>
      </c>
      <c r="AC2933">
        <v>72.13</v>
      </c>
      <c r="AD2933">
        <v>93</v>
      </c>
      <c r="AE2933" s="1">
        <v>6708.09</v>
      </c>
      <c r="AF2933">
        <v>15.87</v>
      </c>
      <c r="AJ2933">
        <v>0</v>
      </c>
      <c r="AK2933">
        <v>0</v>
      </c>
      <c r="AL2933">
        <v>0</v>
      </c>
      <c r="AM2933">
        <v>88</v>
      </c>
      <c r="AN2933">
        <v>88</v>
      </c>
      <c r="AO2933">
        <v>88</v>
      </c>
      <c r="AP2933" s="2">
        <v>42746</v>
      </c>
      <c r="AQ2933" t="s">
        <v>72</v>
      </c>
      <c r="AR2933" t="s">
        <v>72</v>
      </c>
      <c r="AS2933">
        <v>2946</v>
      </c>
      <c r="AT2933" s="4">
        <v>42681</v>
      </c>
      <c r="AU2933" t="s">
        <v>73</v>
      </c>
      <c r="AV2933">
        <v>2946</v>
      </c>
      <c r="AW2933" s="4">
        <v>42681</v>
      </c>
      <c r="BB2933">
        <v>15.87</v>
      </c>
      <c r="BD2933">
        <v>0</v>
      </c>
      <c r="BN2933" t="s">
        <v>74</v>
      </c>
    </row>
    <row r="2934" spans="1:66">
      <c r="A2934">
        <v>100989</v>
      </c>
      <c r="B2934" s="3" t="s">
        <v>345</v>
      </c>
      <c r="C2934" s="1">
        <v>43300101</v>
      </c>
      <c r="D2934" t="s">
        <v>67</v>
      </c>
      <c r="H2934" t="str">
        <f t="shared" ref="H2934:I2938" si="294">"01409480637"</f>
        <v>01409480637</v>
      </c>
      <c r="I2934" t="str">
        <f t="shared" si="294"/>
        <v>01409480637</v>
      </c>
      <c r="K2934" t="str">
        <f>""</f>
        <v/>
      </c>
      <c r="M2934" t="s">
        <v>68</v>
      </c>
      <c r="N2934" t="str">
        <f t="shared" si="293"/>
        <v>FOR</v>
      </c>
      <c r="O2934" t="s">
        <v>69</v>
      </c>
      <c r="P2934" s="3" t="s">
        <v>75</v>
      </c>
      <c r="Q2934">
        <v>2015</v>
      </c>
      <c r="R2934" s="2">
        <v>42357</v>
      </c>
      <c r="S2934" s="2">
        <v>42359</v>
      </c>
      <c r="T2934" s="2">
        <v>42359</v>
      </c>
      <c r="U2934" s="2">
        <v>42419</v>
      </c>
      <c r="V2934" t="s">
        <v>71</v>
      </c>
      <c r="W2934" t="str">
        <f>"                 589"</f>
        <v xml:space="preserve">                 589</v>
      </c>
      <c r="X2934">
        <v>76.13</v>
      </c>
      <c r="Y2934">
        <v>0</v>
      </c>
      <c r="Z2934" s="3">
        <v>62.4</v>
      </c>
      <c r="AA2934">
        <v>265</v>
      </c>
      <c r="AB2934" s="5">
        <v>16536</v>
      </c>
      <c r="AC2934">
        <v>62.4</v>
      </c>
      <c r="AD2934">
        <v>265</v>
      </c>
      <c r="AE2934" s="1">
        <v>16536</v>
      </c>
      <c r="AF2934">
        <v>0</v>
      </c>
      <c r="AJ2934">
        <v>0</v>
      </c>
      <c r="AK2934">
        <v>0</v>
      </c>
      <c r="AL2934">
        <v>0</v>
      </c>
      <c r="AM2934">
        <v>0</v>
      </c>
      <c r="AN2934">
        <v>0</v>
      </c>
      <c r="AO2934">
        <v>0</v>
      </c>
      <c r="AP2934" s="2">
        <v>42746</v>
      </c>
      <c r="AQ2934" t="s">
        <v>72</v>
      </c>
      <c r="AR2934" t="s">
        <v>72</v>
      </c>
      <c r="AS2934">
        <v>3045</v>
      </c>
      <c r="AT2934" s="4">
        <v>42684</v>
      </c>
      <c r="AU2934" t="s">
        <v>73</v>
      </c>
      <c r="AV2934">
        <v>3045</v>
      </c>
      <c r="AW2934" s="4">
        <v>42684</v>
      </c>
      <c r="BD2934">
        <v>0</v>
      </c>
      <c r="BN2934" t="s">
        <v>74</v>
      </c>
    </row>
    <row r="2935" spans="1:66">
      <c r="A2935">
        <v>100989</v>
      </c>
      <c r="B2935" s="3" t="s">
        <v>345</v>
      </c>
      <c r="C2935" s="1">
        <v>43300101</v>
      </c>
      <c r="D2935" t="s">
        <v>67</v>
      </c>
      <c r="H2935" t="str">
        <f t="shared" si="294"/>
        <v>01409480637</v>
      </c>
      <c r="I2935" t="str">
        <f t="shared" si="294"/>
        <v>01409480637</v>
      </c>
      <c r="K2935" t="str">
        <f>""</f>
        <v/>
      </c>
      <c r="M2935" t="s">
        <v>68</v>
      </c>
      <c r="N2935" t="str">
        <f t="shared" si="293"/>
        <v>FOR</v>
      </c>
      <c r="O2935" t="s">
        <v>69</v>
      </c>
      <c r="P2935" s="3" t="s">
        <v>75</v>
      </c>
      <c r="Q2935">
        <v>2016</v>
      </c>
      <c r="R2935" s="2">
        <v>42398</v>
      </c>
      <c r="S2935" s="2">
        <v>42417</v>
      </c>
      <c r="T2935" s="2">
        <v>42398</v>
      </c>
      <c r="U2935" s="2">
        <v>42458</v>
      </c>
      <c r="V2935" t="s">
        <v>71</v>
      </c>
      <c r="W2935" t="str">
        <f>"                  34"</f>
        <v xml:space="preserve">                  34</v>
      </c>
      <c r="X2935">
        <v>76.13</v>
      </c>
      <c r="Y2935">
        <v>0</v>
      </c>
      <c r="Z2935" s="3">
        <v>62.4</v>
      </c>
      <c r="AA2935">
        <v>226</v>
      </c>
      <c r="AB2935" s="5">
        <v>14102.4</v>
      </c>
      <c r="AC2935">
        <v>62.4</v>
      </c>
      <c r="AD2935">
        <v>226</v>
      </c>
      <c r="AE2935" s="1">
        <v>14102.4</v>
      </c>
      <c r="AF2935">
        <v>0</v>
      </c>
      <c r="AJ2935">
        <v>0</v>
      </c>
      <c r="AK2935">
        <v>0</v>
      </c>
      <c r="AL2935">
        <v>0</v>
      </c>
      <c r="AM2935">
        <v>76.13</v>
      </c>
      <c r="AN2935">
        <v>76.13</v>
      </c>
      <c r="AO2935">
        <v>76.13</v>
      </c>
      <c r="AP2935" s="2">
        <v>42746</v>
      </c>
      <c r="AQ2935" t="s">
        <v>72</v>
      </c>
      <c r="AR2935" t="s">
        <v>72</v>
      </c>
      <c r="AS2935">
        <v>3045</v>
      </c>
      <c r="AT2935" s="4">
        <v>42684</v>
      </c>
      <c r="AU2935" t="s">
        <v>73</v>
      </c>
      <c r="AV2935">
        <v>3045</v>
      </c>
      <c r="AW2935" s="4">
        <v>42684</v>
      </c>
      <c r="BD2935">
        <v>0</v>
      </c>
      <c r="BN2935" t="s">
        <v>74</v>
      </c>
    </row>
    <row r="2936" spans="1:66">
      <c r="A2936">
        <v>100989</v>
      </c>
      <c r="B2936" s="3" t="s">
        <v>345</v>
      </c>
      <c r="C2936" s="1">
        <v>43300101</v>
      </c>
      <c r="D2936" t="s">
        <v>67</v>
      </c>
      <c r="H2936" t="str">
        <f t="shared" si="294"/>
        <v>01409480637</v>
      </c>
      <c r="I2936" t="str">
        <f t="shared" si="294"/>
        <v>01409480637</v>
      </c>
      <c r="K2936" t="str">
        <f>""</f>
        <v/>
      </c>
      <c r="M2936" t="s">
        <v>68</v>
      </c>
      <c r="N2936" t="str">
        <f t="shared" si="293"/>
        <v>FOR</v>
      </c>
      <c r="O2936" t="s">
        <v>69</v>
      </c>
      <c r="P2936" s="3" t="s">
        <v>75</v>
      </c>
      <c r="Q2936">
        <v>2016</v>
      </c>
      <c r="R2936" s="2">
        <v>42427</v>
      </c>
      <c r="S2936" s="2">
        <v>42436</v>
      </c>
      <c r="T2936" s="2">
        <v>42427</v>
      </c>
      <c r="U2936" s="2">
        <v>42487</v>
      </c>
      <c r="V2936" t="s">
        <v>71</v>
      </c>
      <c r="W2936" t="str">
        <f>"                  93"</f>
        <v xml:space="preserve">                  93</v>
      </c>
      <c r="X2936">
        <v>380.64</v>
      </c>
      <c r="Y2936">
        <v>0</v>
      </c>
      <c r="Z2936" s="3">
        <v>312</v>
      </c>
      <c r="AA2936">
        <v>197</v>
      </c>
      <c r="AB2936" s="5">
        <v>61464</v>
      </c>
      <c r="AC2936">
        <v>312</v>
      </c>
      <c r="AD2936">
        <v>197</v>
      </c>
      <c r="AE2936" s="1">
        <v>61464</v>
      </c>
      <c r="AF2936">
        <v>0</v>
      </c>
      <c r="AJ2936">
        <v>0</v>
      </c>
      <c r="AK2936">
        <v>0</v>
      </c>
      <c r="AL2936">
        <v>0</v>
      </c>
      <c r="AM2936">
        <v>380.64</v>
      </c>
      <c r="AN2936">
        <v>380.64</v>
      </c>
      <c r="AO2936">
        <v>380.64</v>
      </c>
      <c r="AP2936" s="2">
        <v>42746</v>
      </c>
      <c r="AQ2936" t="s">
        <v>72</v>
      </c>
      <c r="AR2936" t="s">
        <v>72</v>
      </c>
      <c r="AS2936">
        <v>3045</v>
      </c>
      <c r="AT2936" s="4">
        <v>42684</v>
      </c>
      <c r="AU2936" t="s">
        <v>73</v>
      </c>
      <c r="AV2936">
        <v>3045</v>
      </c>
      <c r="AW2936" s="4">
        <v>42684</v>
      </c>
      <c r="BD2936">
        <v>0</v>
      </c>
      <c r="BN2936" t="s">
        <v>74</v>
      </c>
    </row>
    <row r="2937" spans="1:66">
      <c r="A2937">
        <v>100989</v>
      </c>
      <c r="B2937" s="3" t="s">
        <v>345</v>
      </c>
      <c r="C2937" s="1">
        <v>43300101</v>
      </c>
      <c r="D2937" t="s">
        <v>67</v>
      </c>
      <c r="H2937" t="str">
        <f t="shared" si="294"/>
        <v>01409480637</v>
      </c>
      <c r="I2937" t="str">
        <f t="shared" si="294"/>
        <v>01409480637</v>
      </c>
      <c r="K2937" t="str">
        <f>""</f>
        <v/>
      </c>
      <c r="M2937" t="s">
        <v>68</v>
      </c>
      <c r="N2937" t="str">
        <f t="shared" si="293"/>
        <v>FOR</v>
      </c>
      <c r="O2937" t="s">
        <v>69</v>
      </c>
      <c r="P2937" s="3" t="s">
        <v>75</v>
      </c>
      <c r="Q2937">
        <v>2016</v>
      </c>
      <c r="R2937" s="2">
        <v>42510</v>
      </c>
      <c r="S2937" s="2">
        <v>42515</v>
      </c>
      <c r="T2937" s="2">
        <v>42510</v>
      </c>
      <c r="U2937" s="2">
        <v>42570</v>
      </c>
      <c r="V2937" t="s">
        <v>71</v>
      </c>
      <c r="W2937" t="str">
        <f>"                 272"</f>
        <v xml:space="preserve">                 272</v>
      </c>
      <c r="X2937">
        <v>761.28</v>
      </c>
      <c r="Y2937">
        <v>0</v>
      </c>
      <c r="Z2937" s="3">
        <v>624</v>
      </c>
      <c r="AA2937">
        <v>114</v>
      </c>
      <c r="AB2937" s="5">
        <v>71136</v>
      </c>
      <c r="AC2937">
        <v>624</v>
      </c>
      <c r="AD2937">
        <v>114</v>
      </c>
      <c r="AE2937" s="1">
        <v>71136</v>
      </c>
      <c r="AF2937">
        <v>0</v>
      </c>
      <c r="AJ2937">
        <v>0</v>
      </c>
      <c r="AK2937">
        <v>0</v>
      </c>
      <c r="AL2937">
        <v>0</v>
      </c>
      <c r="AM2937">
        <v>761.28</v>
      </c>
      <c r="AN2937">
        <v>761.28</v>
      </c>
      <c r="AO2937">
        <v>761.28</v>
      </c>
      <c r="AP2937" s="2">
        <v>42746</v>
      </c>
      <c r="AQ2937" t="s">
        <v>72</v>
      </c>
      <c r="AR2937" t="s">
        <v>72</v>
      </c>
      <c r="AS2937">
        <v>3045</v>
      </c>
      <c r="AT2937" s="4">
        <v>42684</v>
      </c>
      <c r="AU2937" t="s">
        <v>73</v>
      </c>
      <c r="AV2937">
        <v>3045</v>
      </c>
      <c r="AW2937" s="4">
        <v>42684</v>
      </c>
      <c r="BD2937">
        <v>0</v>
      </c>
      <c r="BN2937" t="s">
        <v>74</v>
      </c>
    </row>
    <row r="2938" spans="1:66">
      <c r="A2938">
        <v>100989</v>
      </c>
      <c r="B2938" s="3" t="s">
        <v>345</v>
      </c>
      <c r="C2938" s="1">
        <v>43300101</v>
      </c>
      <c r="D2938" t="s">
        <v>67</v>
      </c>
      <c r="H2938" t="str">
        <f t="shared" si="294"/>
        <v>01409480637</v>
      </c>
      <c r="I2938" t="str">
        <f t="shared" si="294"/>
        <v>01409480637</v>
      </c>
      <c r="K2938" t="str">
        <f>""</f>
        <v/>
      </c>
      <c r="M2938" t="s">
        <v>68</v>
      </c>
      <c r="N2938" t="str">
        <f t="shared" si="293"/>
        <v>FOR</v>
      </c>
      <c r="O2938" t="s">
        <v>69</v>
      </c>
      <c r="P2938" s="3" t="s">
        <v>75</v>
      </c>
      <c r="Q2938">
        <v>2016</v>
      </c>
      <c r="R2938" s="2">
        <v>42660</v>
      </c>
      <c r="S2938" s="2">
        <v>42670</v>
      </c>
      <c r="T2938" s="2">
        <v>42660</v>
      </c>
      <c r="U2938" s="2">
        <v>42720</v>
      </c>
      <c r="V2938" t="s">
        <v>71</v>
      </c>
      <c r="W2938" t="str">
        <f>"                 491"</f>
        <v xml:space="preserve">                 491</v>
      </c>
      <c r="X2938">
        <v>279.14</v>
      </c>
      <c r="Y2938">
        <v>0</v>
      </c>
      <c r="Z2938" s="3">
        <v>228.8</v>
      </c>
      <c r="AA2938">
        <v>-36</v>
      </c>
      <c r="AB2938" s="5">
        <v>-8236.7999999999993</v>
      </c>
      <c r="AC2938">
        <v>228.8</v>
      </c>
      <c r="AD2938">
        <v>-36</v>
      </c>
      <c r="AE2938" s="1">
        <v>-8236.7999999999993</v>
      </c>
      <c r="AF2938">
        <v>0</v>
      </c>
      <c r="AJ2938">
        <v>279.14</v>
      </c>
      <c r="AK2938">
        <v>279.14</v>
      </c>
      <c r="AL2938">
        <v>279.14</v>
      </c>
      <c r="AM2938">
        <v>279.14</v>
      </c>
      <c r="AN2938">
        <v>279.14</v>
      </c>
      <c r="AO2938">
        <v>279.14</v>
      </c>
      <c r="AP2938" s="2">
        <v>42746</v>
      </c>
      <c r="AQ2938" t="s">
        <v>72</v>
      </c>
      <c r="AR2938" t="s">
        <v>72</v>
      </c>
      <c r="AS2938">
        <v>3045</v>
      </c>
      <c r="AT2938" s="4">
        <v>42684</v>
      </c>
      <c r="AV2938">
        <v>3045</v>
      </c>
      <c r="AW2938" s="4">
        <v>42684</v>
      </c>
      <c r="BD2938">
        <v>0</v>
      </c>
      <c r="BN2938" t="s">
        <v>74</v>
      </c>
    </row>
    <row r="2939" spans="1:66">
      <c r="A2939">
        <v>100993</v>
      </c>
      <c r="B2939" s="3" t="s">
        <v>346</v>
      </c>
      <c r="C2939" s="1">
        <v>43300101</v>
      </c>
      <c r="D2939" t="s">
        <v>67</v>
      </c>
      <c r="H2939" t="str">
        <f t="shared" ref="H2939:I2942" si="295">"00119740629"</f>
        <v>00119740629</v>
      </c>
      <c r="I2939" t="str">
        <f t="shared" si="295"/>
        <v>00119740629</v>
      </c>
      <c r="K2939" t="str">
        <f>""</f>
        <v/>
      </c>
      <c r="M2939" t="s">
        <v>68</v>
      </c>
      <c r="N2939" t="str">
        <f t="shared" si="293"/>
        <v>FOR</v>
      </c>
      <c r="O2939" t="s">
        <v>69</v>
      </c>
      <c r="P2939" s="3" t="s">
        <v>75</v>
      </c>
      <c r="Q2939">
        <v>2016</v>
      </c>
      <c r="R2939" s="2">
        <v>42385</v>
      </c>
      <c r="S2939" s="2">
        <v>42500</v>
      </c>
      <c r="T2939" s="2">
        <v>42499</v>
      </c>
      <c r="U2939" s="2">
        <v>42559</v>
      </c>
      <c r="V2939" t="s">
        <v>71</v>
      </c>
      <c r="W2939" t="str">
        <f>"                1/PA"</f>
        <v xml:space="preserve">                1/PA</v>
      </c>
      <c r="X2939">
        <v>164.7</v>
      </c>
      <c r="Y2939">
        <v>0</v>
      </c>
      <c r="Z2939" s="3">
        <v>135</v>
      </c>
      <c r="AA2939">
        <v>122</v>
      </c>
      <c r="AB2939" s="5">
        <v>16470</v>
      </c>
      <c r="AC2939">
        <v>135</v>
      </c>
      <c r="AD2939">
        <v>122</v>
      </c>
      <c r="AE2939" s="1">
        <v>16470</v>
      </c>
      <c r="AF2939">
        <v>29.7</v>
      </c>
      <c r="AJ2939">
        <v>0</v>
      </c>
      <c r="AK2939">
        <v>0</v>
      </c>
      <c r="AL2939">
        <v>0</v>
      </c>
      <c r="AM2939">
        <v>164.7</v>
      </c>
      <c r="AN2939">
        <v>164.7</v>
      </c>
      <c r="AO2939">
        <v>164.7</v>
      </c>
      <c r="AP2939" s="2">
        <v>42746</v>
      </c>
      <c r="AQ2939" t="s">
        <v>72</v>
      </c>
      <c r="AR2939" t="s">
        <v>72</v>
      </c>
      <c r="AS2939">
        <v>2946</v>
      </c>
      <c r="AT2939" s="4">
        <v>42681</v>
      </c>
      <c r="AU2939" t="s">
        <v>73</v>
      </c>
      <c r="AV2939">
        <v>2946</v>
      </c>
      <c r="AW2939" s="4">
        <v>42681</v>
      </c>
      <c r="BC2939">
        <v>29.7</v>
      </c>
      <c r="BD2939">
        <v>0</v>
      </c>
      <c r="BN2939" t="s">
        <v>74</v>
      </c>
    </row>
    <row r="2940" spans="1:66">
      <c r="A2940">
        <v>100993</v>
      </c>
      <c r="B2940" s="3" t="s">
        <v>346</v>
      </c>
      <c r="C2940" s="1">
        <v>43300101</v>
      </c>
      <c r="D2940" t="s">
        <v>67</v>
      </c>
      <c r="H2940" t="str">
        <f t="shared" si="295"/>
        <v>00119740629</v>
      </c>
      <c r="I2940" t="str">
        <f t="shared" si="295"/>
        <v>00119740629</v>
      </c>
      <c r="K2940" t="str">
        <f>""</f>
        <v/>
      </c>
      <c r="M2940" t="s">
        <v>68</v>
      </c>
      <c r="N2940" t="str">
        <f t="shared" si="293"/>
        <v>FOR</v>
      </c>
      <c r="O2940" t="s">
        <v>69</v>
      </c>
      <c r="P2940" s="3" t="s">
        <v>75</v>
      </c>
      <c r="Q2940">
        <v>2016</v>
      </c>
      <c r="R2940" s="2">
        <v>42410</v>
      </c>
      <c r="S2940" s="2">
        <v>42500</v>
      </c>
      <c r="T2940" s="2">
        <v>42499</v>
      </c>
      <c r="U2940" s="2">
        <v>42559</v>
      </c>
      <c r="V2940" t="s">
        <v>71</v>
      </c>
      <c r="W2940" t="str">
        <f>"                2/PA"</f>
        <v xml:space="preserve">                2/PA</v>
      </c>
      <c r="X2940">
        <v>183</v>
      </c>
      <c r="Y2940">
        <v>0</v>
      </c>
      <c r="Z2940" s="3">
        <v>150</v>
      </c>
      <c r="AA2940">
        <v>122</v>
      </c>
      <c r="AB2940" s="5">
        <v>18300</v>
      </c>
      <c r="AC2940">
        <v>150</v>
      </c>
      <c r="AD2940">
        <v>122</v>
      </c>
      <c r="AE2940" s="1">
        <v>18300</v>
      </c>
      <c r="AF2940">
        <v>33</v>
      </c>
      <c r="AJ2940">
        <v>0</v>
      </c>
      <c r="AK2940">
        <v>0</v>
      </c>
      <c r="AL2940">
        <v>0</v>
      </c>
      <c r="AM2940">
        <v>183</v>
      </c>
      <c r="AN2940">
        <v>183</v>
      </c>
      <c r="AO2940">
        <v>183</v>
      </c>
      <c r="AP2940" s="2">
        <v>42746</v>
      </c>
      <c r="AQ2940" t="s">
        <v>72</v>
      </c>
      <c r="AR2940" t="s">
        <v>72</v>
      </c>
      <c r="AS2940">
        <v>2946</v>
      </c>
      <c r="AT2940" s="4">
        <v>42681</v>
      </c>
      <c r="AU2940" t="s">
        <v>73</v>
      </c>
      <c r="AV2940">
        <v>2946</v>
      </c>
      <c r="AW2940" s="4">
        <v>42681</v>
      </c>
      <c r="BC2940">
        <v>33</v>
      </c>
      <c r="BD2940">
        <v>0</v>
      </c>
      <c r="BN2940" t="s">
        <v>74</v>
      </c>
    </row>
    <row r="2941" spans="1:66">
      <c r="A2941">
        <v>100993</v>
      </c>
      <c r="B2941" s="3" t="s">
        <v>346</v>
      </c>
      <c r="C2941" s="1">
        <v>43300101</v>
      </c>
      <c r="D2941" t="s">
        <v>67</v>
      </c>
      <c r="H2941" t="str">
        <f t="shared" si="295"/>
        <v>00119740629</v>
      </c>
      <c r="I2941" t="str">
        <f t="shared" si="295"/>
        <v>00119740629</v>
      </c>
      <c r="K2941" t="str">
        <f>""</f>
        <v/>
      </c>
      <c r="M2941" t="s">
        <v>68</v>
      </c>
      <c r="N2941" t="str">
        <f t="shared" si="293"/>
        <v>FOR</v>
      </c>
      <c r="O2941" t="s">
        <v>69</v>
      </c>
      <c r="P2941" s="3" t="s">
        <v>75</v>
      </c>
      <c r="Q2941">
        <v>2016</v>
      </c>
      <c r="R2941" s="2">
        <v>42437</v>
      </c>
      <c r="S2941" s="2">
        <v>42500</v>
      </c>
      <c r="T2941" s="2">
        <v>42499</v>
      </c>
      <c r="U2941" s="2">
        <v>42559</v>
      </c>
      <c r="V2941" t="s">
        <v>71</v>
      </c>
      <c r="W2941" t="str">
        <f>"                3/PA"</f>
        <v xml:space="preserve">                3/PA</v>
      </c>
      <c r="X2941">
        <v>195.2</v>
      </c>
      <c r="Y2941">
        <v>0</v>
      </c>
      <c r="Z2941" s="3">
        <v>160</v>
      </c>
      <c r="AA2941">
        <v>122</v>
      </c>
      <c r="AB2941" s="5">
        <v>19520</v>
      </c>
      <c r="AC2941">
        <v>160</v>
      </c>
      <c r="AD2941">
        <v>122</v>
      </c>
      <c r="AE2941" s="1">
        <v>19520</v>
      </c>
      <c r="AF2941">
        <v>35.200000000000003</v>
      </c>
      <c r="AJ2941">
        <v>0</v>
      </c>
      <c r="AK2941">
        <v>0</v>
      </c>
      <c r="AL2941">
        <v>0</v>
      </c>
      <c r="AM2941">
        <v>195.2</v>
      </c>
      <c r="AN2941">
        <v>195.2</v>
      </c>
      <c r="AO2941">
        <v>195.2</v>
      </c>
      <c r="AP2941" s="2">
        <v>42746</v>
      </c>
      <c r="AQ2941" t="s">
        <v>72</v>
      </c>
      <c r="AR2941" t="s">
        <v>72</v>
      </c>
      <c r="AS2941">
        <v>2946</v>
      </c>
      <c r="AT2941" s="4">
        <v>42681</v>
      </c>
      <c r="AU2941" t="s">
        <v>73</v>
      </c>
      <c r="AV2941">
        <v>2946</v>
      </c>
      <c r="AW2941" s="4">
        <v>42681</v>
      </c>
      <c r="BC2941">
        <v>35.200000000000003</v>
      </c>
      <c r="BD2941">
        <v>0</v>
      </c>
      <c r="BN2941" t="s">
        <v>74</v>
      </c>
    </row>
    <row r="2942" spans="1:66">
      <c r="A2942">
        <v>100993</v>
      </c>
      <c r="B2942" s="3" t="s">
        <v>346</v>
      </c>
      <c r="C2942" s="1">
        <v>43300101</v>
      </c>
      <c r="D2942" t="s">
        <v>67</v>
      </c>
      <c r="H2942" t="str">
        <f t="shared" si="295"/>
        <v>00119740629</v>
      </c>
      <c r="I2942" t="str">
        <f t="shared" si="295"/>
        <v>00119740629</v>
      </c>
      <c r="K2942" t="str">
        <f>""</f>
        <v/>
      </c>
      <c r="M2942" t="s">
        <v>68</v>
      </c>
      <c r="N2942" t="str">
        <f t="shared" si="293"/>
        <v>FOR</v>
      </c>
      <c r="O2942" t="s">
        <v>69</v>
      </c>
      <c r="P2942" s="3" t="s">
        <v>75</v>
      </c>
      <c r="Q2942">
        <v>2016</v>
      </c>
      <c r="R2942" s="2">
        <v>42460</v>
      </c>
      <c r="S2942" s="2">
        <v>42500</v>
      </c>
      <c r="T2942" s="2">
        <v>42499</v>
      </c>
      <c r="U2942" s="2">
        <v>42559</v>
      </c>
      <c r="V2942" t="s">
        <v>71</v>
      </c>
      <c r="W2942" t="str">
        <f>"                4/PA"</f>
        <v xml:space="preserve">                4/PA</v>
      </c>
      <c r="X2942">
        <v>103.26</v>
      </c>
      <c r="Y2942">
        <v>0</v>
      </c>
      <c r="Z2942" s="3">
        <v>84.64</v>
      </c>
      <c r="AA2942">
        <v>122</v>
      </c>
      <c r="AB2942" s="5">
        <v>10326.08</v>
      </c>
      <c r="AC2942">
        <v>84.64</v>
      </c>
      <c r="AD2942">
        <v>122</v>
      </c>
      <c r="AE2942" s="1">
        <v>10326.08</v>
      </c>
      <c r="AF2942">
        <v>18.62</v>
      </c>
      <c r="AJ2942">
        <v>0</v>
      </c>
      <c r="AK2942">
        <v>0</v>
      </c>
      <c r="AL2942">
        <v>0</v>
      </c>
      <c r="AM2942">
        <v>103.26</v>
      </c>
      <c r="AN2942">
        <v>103.26</v>
      </c>
      <c r="AO2942">
        <v>103.26</v>
      </c>
      <c r="AP2942" s="2">
        <v>42746</v>
      </c>
      <c r="AQ2942" t="s">
        <v>72</v>
      </c>
      <c r="AR2942" t="s">
        <v>72</v>
      </c>
      <c r="AS2942">
        <v>2946</v>
      </c>
      <c r="AT2942" s="4">
        <v>42681</v>
      </c>
      <c r="AU2942" t="s">
        <v>73</v>
      </c>
      <c r="AV2942">
        <v>2946</v>
      </c>
      <c r="AW2942" s="4">
        <v>42681</v>
      </c>
      <c r="BC2942">
        <v>18.62</v>
      </c>
      <c r="BD2942">
        <v>0</v>
      </c>
      <c r="BN2942" t="s">
        <v>74</v>
      </c>
    </row>
    <row r="2943" spans="1:66" hidden="1">
      <c r="A2943">
        <v>100996</v>
      </c>
      <c r="B2943" s="3" t="s">
        <v>347</v>
      </c>
      <c r="C2943" s="1">
        <v>43300101</v>
      </c>
      <c r="D2943" t="s">
        <v>67</v>
      </c>
      <c r="H2943" t="str">
        <f t="shared" ref="H2943:H2977" si="296">"RRORCR53R19A783X"</f>
        <v>RRORCR53R19A783X</v>
      </c>
      <c r="I2943" t="str">
        <f t="shared" ref="I2943:I2977" si="297">"00610690620"</f>
        <v>00610690620</v>
      </c>
      <c r="K2943" t="str">
        <f>""</f>
        <v/>
      </c>
      <c r="M2943" t="s">
        <v>68</v>
      </c>
      <c r="N2943" t="str">
        <f t="shared" si="293"/>
        <v>FOR</v>
      </c>
      <c r="O2943" t="s">
        <v>69</v>
      </c>
      <c r="P2943" s="3" t="s">
        <v>75</v>
      </c>
      <c r="Q2943">
        <v>2015</v>
      </c>
      <c r="R2943" s="2">
        <v>42233</v>
      </c>
      <c r="S2943" s="2">
        <v>42243</v>
      </c>
      <c r="T2943" s="2">
        <v>42243</v>
      </c>
      <c r="U2943" s="2">
        <v>42303</v>
      </c>
      <c r="V2943" t="s">
        <v>71</v>
      </c>
      <c r="W2943" t="str">
        <f>"     018-2015-ELETTR"</f>
        <v xml:space="preserve">     018-2015-ELETTR</v>
      </c>
      <c r="X2943">
        <v>384.29</v>
      </c>
      <c r="Y2943">
        <v>0</v>
      </c>
      <c r="Z2943"/>
      <c r="AB2943"/>
      <c r="AC2943">
        <v>325.2</v>
      </c>
      <c r="AD2943">
        <v>100</v>
      </c>
      <c r="AE2943" s="1">
        <v>32520</v>
      </c>
      <c r="AF2943">
        <v>59.09</v>
      </c>
      <c r="AJ2943">
        <v>0</v>
      </c>
      <c r="AK2943">
        <v>0</v>
      </c>
      <c r="AL2943">
        <v>0</v>
      </c>
      <c r="AM2943">
        <v>0</v>
      </c>
      <c r="AN2943">
        <v>0</v>
      </c>
      <c r="AO2943">
        <v>0</v>
      </c>
      <c r="AP2943" s="2">
        <v>42746</v>
      </c>
      <c r="AQ2943" t="s">
        <v>72</v>
      </c>
      <c r="AR2943" t="s">
        <v>72</v>
      </c>
      <c r="AS2943">
        <v>212</v>
      </c>
      <c r="AT2943" s="4">
        <v>42403</v>
      </c>
      <c r="AU2943" t="s">
        <v>73</v>
      </c>
      <c r="AV2943">
        <v>212</v>
      </c>
      <c r="AW2943" s="4">
        <v>42403</v>
      </c>
      <c r="BD2943">
        <v>59.09</v>
      </c>
      <c r="BN2943" t="s">
        <v>74</v>
      </c>
    </row>
    <row r="2944" spans="1:66" hidden="1">
      <c r="A2944">
        <v>100996</v>
      </c>
      <c r="B2944" s="3" t="s">
        <v>347</v>
      </c>
      <c r="C2944" s="1">
        <v>43300101</v>
      </c>
      <c r="D2944" t="s">
        <v>67</v>
      </c>
      <c r="H2944" t="str">
        <f t="shared" si="296"/>
        <v>RRORCR53R19A783X</v>
      </c>
      <c r="I2944" t="str">
        <f t="shared" si="297"/>
        <v>00610690620</v>
      </c>
      <c r="K2944" t="str">
        <f>""</f>
        <v/>
      </c>
      <c r="M2944" t="s">
        <v>68</v>
      </c>
      <c r="N2944" t="str">
        <f t="shared" si="293"/>
        <v>FOR</v>
      </c>
      <c r="O2944" t="s">
        <v>69</v>
      </c>
      <c r="P2944" s="3" t="s">
        <v>75</v>
      </c>
      <c r="Q2944">
        <v>2015</v>
      </c>
      <c r="R2944" s="2">
        <v>42237</v>
      </c>
      <c r="S2944" s="2">
        <v>42243</v>
      </c>
      <c r="T2944" s="2">
        <v>42243</v>
      </c>
      <c r="U2944" s="2">
        <v>42303</v>
      </c>
      <c r="V2944" t="s">
        <v>71</v>
      </c>
      <c r="W2944" t="str">
        <f>"     019-2015-ELETTR"</f>
        <v xml:space="preserve">     019-2015-ELETTR</v>
      </c>
      <c r="X2944">
        <v>204.33</v>
      </c>
      <c r="Y2944">
        <v>0</v>
      </c>
      <c r="Z2944"/>
      <c r="AB2944"/>
      <c r="AC2944">
        <v>172.44</v>
      </c>
      <c r="AD2944">
        <v>100</v>
      </c>
      <c r="AE2944" s="1">
        <v>17244</v>
      </c>
      <c r="AF2944">
        <v>31.89</v>
      </c>
      <c r="AJ2944">
        <v>0</v>
      </c>
      <c r="AK2944">
        <v>0</v>
      </c>
      <c r="AL2944">
        <v>0</v>
      </c>
      <c r="AM2944">
        <v>0</v>
      </c>
      <c r="AN2944">
        <v>0</v>
      </c>
      <c r="AO2944">
        <v>0</v>
      </c>
      <c r="AP2944" s="2">
        <v>42746</v>
      </c>
      <c r="AQ2944" t="s">
        <v>72</v>
      </c>
      <c r="AR2944" t="s">
        <v>72</v>
      </c>
      <c r="AS2944">
        <v>212</v>
      </c>
      <c r="AT2944" s="4">
        <v>42403</v>
      </c>
      <c r="AU2944" t="s">
        <v>73</v>
      </c>
      <c r="AV2944">
        <v>212</v>
      </c>
      <c r="AW2944" s="4">
        <v>42403</v>
      </c>
      <c r="BD2944">
        <v>31.89</v>
      </c>
      <c r="BN2944" t="s">
        <v>74</v>
      </c>
    </row>
    <row r="2945" spans="1:66" hidden="1">
      <c r="A2945">
        <v>100996</v>
      </c>
      <c r="B2945" s="3" t="s">
        <v>347</v>
      </c>
      <c r="C2945" s="1">
        <v>43300101</v>
      </c>
      <c r="D2945" t="s">
        <v>67</v>
      </c>
      <c r="H2945" t="str">
        <f t="shared" si="296"/>
        <v>RRORCR53R19A783X</v>
      </c>
      <c r="I2945" t="str">
        <f t="shared" si="297"/>
        <v>00610690620</v>
      </c>
      <c r="K2945" t="str">
        <f>""</f>
        <v/>
      </c>
      <c r="M2945" t="s">
        <v>68</v>
      </c>
      <c r="N2945" t="str">
        <f t="shared" si="293"/>
        <v>FOR</v>
      </c>
      <c r="O2945" t="s">
        <v>69</v>
      </c>
      <c r="P2945" s="3" t="s">
        <v>75</v>
      </c>
      <c r="Q2945">
        <v>2015</v>
      </c>
      <c r="R2945" s="2">
        <v>42270</v>
      </c>
      <c r="S2945" s="2">
        <v>42272</v>
      </c>
      <c r="T2945" s="2">
        <v>42271</v>
      </c>
      <c r="U2945" s="2">
        <v>42331</v>
      </c>
      <c r="V2945" t="s">
        <v>71</v>
      </c>
      <c r="W2945" t="str">
        <f>"     024-2015-ELETTR"</f>
        <v xml:space="preserve">     024-2015-ELETTR</v>
      </c>
      <c r="X2945">
        <v>258.73</v>
      </c>
      <c r="Y2945">
        <v>0</v>
      </c>
      <c r="Z2945"/>
      <c r="AB2945"/>
      <c r="AC2945">
        <v>218.7</v>
      </c>
      <c r="AD2945">
        <v>72</v>
      </c>
      <c r="AE2945" s="1">
        <v>15746.4</v>
      </c>
      <c r="AF2945">
        <v>40.03</v>
      </c>
      <c r="AJ2945">
        <v>0</v>
      </c>
      <c r="AK2945">
        <v>0</v>
      </c>
      <c r="AL2945">
        <v>0</v>
      </c>
      <c r="AM2945">
        <v>0</v>
      </c>
      <c r="AN2945">
        <v>0</v>
      </c>
      <c r="AO2945">
        <v>0</v>
      </c>
      <c r="AP2945" s="2">
        <v>42746</v>
      </c>
      <c r="AQ2945" t="s">
        <v>72</v>
      </c>
      <c r="AR2945" t="s">
        <v>72</v>
      </c>
      <c r="AS2945">
        <v>212</v>
      </c>
      <c r="AT2945" s="4">
        <v>42403</v>
      </c>
      <c r="AU2945" t="s">
        <v>73</v>
      </c>
      <c r="AV2945">
        <v>212</v>
      </c>
      <c r="AW2945" s="4">
        <v>42403</v>
      </c>
      <c r="BD2945">
        <v>40.03</v>
      </c>
      <c r="BN2945" t="s">
        <v>74</v>
      </c>
    </row>
    <row r="2946" spans="1:66" hidden="1">
      <c r="A2946">
        <v>100996</v>
      </c>
      <c r="B2946" s="3" t="s">
        <v>347</v>
      </c>
      <c r="C2946" s="1">
        <v>43300101</v>
      </c>
      <c r="D2946" t="s">
        <v>67</v>
      </c>
      <c r="H2946" t="str">
        <f t="shared" si="296"/>
        <v>RRORCR53R19A783X</v>
      </c>
      <c r="I2946" t="str">
        <f t="shared" si="297"/>
        <v>00610690620</v>
      </c>
      <c r="K2946" t="str">
        <f>""</f>
        <v/>
      </c>
      <c r="M2946" t="s">
        <v>68</v>
      </c>
      <c r="N2946" t="str">
        <f t="shared" si="293"/>
        <v>FOR</v>
      </c>
      <c r="O2946" t="s">
        <v>69</v>
      </c>
      <c r="P2946" s="3" t="s">
        <v>75</v>
      </c>
      <c r="Q2946">
        <v>2015</v>
      </c>
      <c r="R2946" s="2">
        <v>42278</v>
      </c>
      <c r="S2946" s="2">
        <v>42279</v>
      </c>
      <c r="T2946" s="2">
        <v>42278</v>
      </c>
      <c r="U2946" s="2">
        <v>42338</v>
      </c>
      <c r="V2946" t="s">
        <v>71</v>
      </c>
      <c r="W2946" t="str">
        <f>"     025-2015-ELETTR"</f>
        <v xml:space="preserve">     025-2015-ELETTR</v>
      </c>
      <c r="X2946">
        <v>613.01</v>
      </c>
      <c r="Y2946">
        <v>0</v>
      </c>
      <c r="Z2946"/>
      <c r="AB2946"/>
      <c r="AC2946">
        <v>525.6</v>
      </c>
      <c r="AD2946">
        <v>65</v>
      </c>
      <c r="AE2946" s="1">
        <v>34164</v>
      </c>
      <c r="AF2946">
        <v>87.41</v>
      </c>
      <c r="AJ2946">
        <v>0</v>
      </c>
      <c r="AK2946">
        <v>0</v>
      </c>
      <c r="AL2946">
        <v>0</v>
      </c>
      <c r="AM2946">
        <v>0</v>
      </c>
      <c r="AN2946">
        <v>0</v>
      </c>
      <c r="AO2946">
        <v>0</v>
      </c>
      <c r="AP2946" s="2">
        <v>42746</v>
      </c>
      <c r="AQ2946" t="s">
        <v>72</v>
      </c>
      <c r="AR2946" t="s">
        <v>72</v>
      </c>
      <c r="AS2946">
        <v>212</v>
      </c>
      <c r="AT2946" s="4">
        <v>42403</v>
      </c>
      <c r="AU2946" t="s">
        <v>73</v>
      </c>
      <c r="AV2946">
        <v>212</v>
      </c>
      <c r="AW2946" s="4">
        <v>42403</v>
      </c>
      <c r="BD2946">
        <v>87.41</v>
      </c>
      <c r="BN2946" t="s">
        <v>74</v>
      </c>
    </row>
    <row r="2947" spans="1:66" hidden="1">
      <c r="A2947">
        <v>100996</v>
      </c>
      <c r="B2947" s="3" t="s">
        <v>347</v>
      </c>
      <c r="C2947" s="1">
        <v>43300101</v>
      </c>
      <c r="D2947" t="s">
        <v>67</v>
      </c>
      <c r="H2947" t="str">
        <f t="shared" si="296"/>
        <v>RRORCR53R19A783X</v>
      </c>
      <c r="I2947" t="str">
        <f t="shared" si="297"/>
        <v>00610690620</v>
      </c>
      <c r="K2947" t="str">
        <f>""</f>
        <v/>
      </c>
      <c r="M2947" t="s">
        <v>68</v>
      </c>
      <c r="N2947" t="str">
        <f t="shared" si="293"/>
        <v>FOR</v>
      </c>
      <c r="O2947" t="s">
        <v>69</v>
      </c>
      <c r="P2947" s="3" t="s">
        <v>75</v>
      </c>
      <c r="Q2947">
        <v>2015</v>
      </c>
      <c r="R2947" s="2">
        <v>42285</v>
      </c>
      <c r="S2947" s="2">
        <v>42286</v>
      </c>
      <c r="T2947" s="2">
        <v>42285</v>
      </c>
      <c r="U2947" s="2">
        <v>42345</v>
      </c>
      <c r="V2947" t="s">
        <v>71</v>
      </c>
      <c r="W2947" t="str">
        <f>"     026-2015-ELETTR"</f>
        <v xml:space="preserve">     026-2015-ELETTR</v>
      </c>
      <c r="X2947">
        <v>490.25</v>
      </c>
      <c r="Y2947">
        <v>0</v>
      </c>
      <c r="Z2947"/>
      <c r="AB2947"/>
      <c r="AC2947">
        <v>411.76</v>
      </c>
      <c r="AD2947">
        <v>58</v>
      </c>
      <c r="AE2947" s="1">
        <v>23882.080000000002</v>
      </c>
      <c r="AF2947">
        <v>78.489999999999995</v>
      </c>
      <c r="AJ2947">
        <v>0</v>
      </c>
      <c r="AK2947">
        <v>0</v>
      </c>
      <c r="AL2947">
        <v>0</v>
      </c>
      <c r="AM2947">
        <v>0</v>
      </c>
      <c r="AN2947">
        <v>0</v>
      </c>
      <c r="AO2947">
        <v>0</v>
      </c>
      <c r="AP2947" s="2">
        <v>42746</v>
      </c>
      <c r="AQ2947" t="s">
        <v>72</v>
      </c>
      <c r="AR2947" t="s">
        <v>72</v>
      </c>
      <c r="AS2947">
        <v>212</v>
      </c>
      <c r="AT2947" s="4">
        <v>42403</v>
      </c>
      <c r="AU2947" t="s">
        <v>73</v>
      </c>
      <c r="AV2947">
        <v>212</v>
      </c>
      <c r="AW2947" s="4">
        <v>42403</v>
      </c>
      <c r="BD2947">
        <v>78.489999999999995</v>
      </c>
      <c r="BN2947" t="s">
        <v>74</v>
      </c>
    </row>
    <row r="2948" spans="1:66" hidden="1">
      <c r="A2948">
        <v>100996</v>
      </c>
      <c r="B2948" s="3" t="s">
        <v>347</v>
      </c>
      <c r="C2948" s="1">
        <v>43300101</v>
      </c>
      <c r="D2948" t="s">
        <v>67</v>
      </c>
      <c r="H2948" t="str">
        <f t="shared" si="296"/>
        <v>RRORCR53R19A783X</v>
      </c>
      <c r="I2948" t="str">
        <f t="shared" si="297"/>
        <v>00610690620</v>
      </c>
      <c r="K2948" t="str">
        <f>""</f>
        <v/>
      </c>
      <c r="M2948" t="s">
        <v>68</v>
      </c>
      <c r="N2948" t="str">
        <f t="shared" si="293"/>
        <v>FOR</v>
      </c>
      <c r="O2948" t="s">
        <v>69</v>
      </c>
      <c r="P2948" s="3" t="s">
        <v>75</v>
      </c>
      <c r="Q2948">
        <v>2015</v>
      </c>
      <c r="R2948" s="2">
        <v>42292</v>
      </c>
      <c r="S2948" s="2">
        <v>42303</v>
      </c>
      <c r="T2948" s="2">
        <v>42303</v>
      </c>
      <c r="U2948" s="2">
        <v>42363</v>
      </c>
      <c r="V2948" t="s">
        <v>71</v>
      </c>
      <c r="W2948" t="str">
        <f>"     027-2015-ELETTR"</f>
        <v xml:space="preserve">     027-2015-ELETTR</v>
      </c>
      <c r="X2948">
        <v>582.21</v>
      </c>
      <c r="Y2948">
        <v>0</v>
      </c>
      <c r="Z2948"/>
      <c r="AB2948"/>
      <c r="AC2948">
        <v>502.44</v>
      </c>
      <c r="AD2948">
        <v>40</v>
      </c>
      <c r="AE2948" s="1">
        <v>20097.599999999999</v>
      </c>
      <c r="AF2948">
        <v>79.77</v>
      </c>
      <c r="AJ2948">
        <v>0</v>
      </c>
      <c r="AK2948">
        <v>0</v>
      </c>
      <c r="AL2948">
        <v>0</v>
      </c>
      <c r="AM2948">
        <v>0</v>
      </c>
      <c r="AN2948">
        <v>0</v>
      </c>
      <c r="AO2948">
        <v>0</v>
      </c>
      <c r="AP2948" s="2">
        <v>42746</v>
      </c>
      <c r="AQ2948" t="s">
        <v>72</v>
      </c>
      <c r="AR2948" t="s">
        <v>72</v>
      </c>
      <c r="AS2948">
        <v>212</v>
      </c>
      <c r="AT2948" s="4">
        <v>42403</v>
      </c>
      <c r="AU2948" t="s">
        <v>73</v>
      </c>
      <c r="AV2948">
        <v>212</v>
      </c>
      <c r="AW2948" s="4">
        <v>42403</v>
      </c>
      <c r="BD2948">
        <v>79.77</v>
      </c>
      <c r="BN2948" t="s">
        <v>74</v>
      </c>
    </row>
    <row r="2949" spans="1:66" hidden="1">
      <c r="A2949">
        <v>100996</v>
      </c>
      <c r="B2949" s="3" t="s">
        <v>347</v>
      </c>
      <c r="C2949" s="1">
        <v>43300101</v>
      </c>
      <c r="D2949" t="s">
        <v>67</v>
      </c>
      <c r="H2949" t="str">
        <f t="shared" si="296"/>
        <v>RRORCR53R19A783X</v>
      </c>
      <c r="I2949" t="str">
        <f t="shared" si="297"/>
        <v>00610690620</v>
      </c>
      <c r="K2949" t="str">
        <f>""</f>
        <v/>
      </c>
      <c r="M2949" t="s">
        <v>68</v>
      </c>
      <c r="N2949" t="str">
        <f t="shared" si="293"/>
        <v>FOR</v>
      </c>
      <c r="O2949" t="s">
        <v>69</v>
      </c>
      <c r="P2949" s="3" t="s">
        <v>75</v>
      </c>
      <c r="Q2949">
        <v>2015</v>
      </c>
      <c r="R2949" s="2">
        <v>42299</v>
      </c>
      <c r="S2949" s="2">
        <v>42303</v>
      </c>
      <c r="T2949" s="2">
        <v>42303</v>
      </c>
      <c r="U2949" s="2">
        <v>42363</v>
      </c>
      <c r="V2949" t="s">
        <v>71</v>
      </c>
      <c r="W2949" t="str">
        <f>"     028-2015-ELETTR"</f>
        <v xml:space="preserve">     028-2015-ELETTR</v>
      </c>
      <c r="X2949">
        <v>504.06</v>
      </c>
      <c r="Y2949">
        <v>0</v>
      </c>
      <c r="Z2949"/>
      <c r="AB2949"/>
      <c r="AC2949">
        <v>425.56</v>
      </c>
      <c r="AD2949">
        <v>40</v>
      </c>
      <c r="AE2949" s="1">
        <v>17022.400000000001</v>
      </c>
      <c r="AF2949">
        <v>78.5</v>
      </c>
      <c r="AJ2949">
        <v>0</v>
      </c>
      <c r="AK2949">
        <v>0</v>
      </c>
      <c r="AL2949">
        <v>0</v>
      </c>
      <c r="AM2949">
        <v>0</v>
      </c>
      <c r="AN2949">
        <v>0</v>
      </c>
      <c r="AO2949">
        <v>0</v>
      </c>
      <c r="AP2949" s="2">
        <v>42746</v>
      </c>
      <c r="AQ2949" t="s">
        <v>72</v>
      </c>
      <c r="AR2949" t="s">
        <v>72</v>
      </c>
      <c r="AS2949">
        <v>212</v>
      </c>
      <c r="AT2949" s="4">
        <v>42403</v>
      </c>
      <c r="AU2949" t="s">
        <v>73</v>
      </c>
      <c r="AV2949">
        <v>212</v>
      </c>
      <c r="AW2949" s="4">
        <v>42403</v>
      </c>
      <c r="BD2949">
        <v>78.5</v>
      </c>
      <c r="BN2949" t="s">
        <v>74</v>
      </c>
    </row>
    <row r="2950" spans="1:66" hidden="1">
      <c r="A2950">
        <v>100996</v>
      </c>
      <c r="B2950" s="3" t="s">
        <v>347</v>
      </c>
      <c r="C2950" s="1">
        <v>43300101</v>
      </c>
      <c r="D2950" t="s">
        <v>67</v>
      </c>
      <c r="H2950" t="str">
        <f t="shared" si="296"/>
        <v>RRORCR53R19A783X</v>
      </c>
      <c r="I2950" t="str">
        <f t="shared" si="297"/>
        <v>00610690620</v>
      </c>
      <c r="K2950" t="str">
        <f>""</f>
        <v/>
      </c>
      <c r="M2950" t="s">
        <v>68</v>
      </c>
      <c r="N2950" t="str">
        <f t="shared" si="293"/>
        <v>FOR</v>
      </c>
      <c r="O2950" t="s">
        <v>69</v>
      </c>
      <c r="P2950" s="3" t="s">
        <v>75</v>
      </c>
      <c r="Q2950">
        <v>2015</v>
      </c>
      <c r="R2950" s="2">
        <v>42307</v>
      </c>
      <c r="S2950" s="2">
        <v>42310</v>
      </c>
      <c r="T2950" s="2">
        <v>42310</v>
      </c>
      <c r="U2950" s="2">
        <v>42370</v>
      </c>
      <c r="V2950" t="s">
        <v>71</v>
      </c>
      <c r="W2950" t="str">
        <f>"     029-2015-ELETTR"</f>
        <v xml:space="preserve">     029-2015-ELETTR</v>
      </c>
      <c r="X2950">
        <v>323.11</v>
      </c>
      <c r="Y2950">
        <v>0</v>
      </c>
      <c r="Z2950"/>
      <c r="AB2950"/>
      <c r="AC2950">
        <v>272.27999999999997</v>
      </c>
      <c r="AD2950">
        <v>33</v>
      </c>
      <c r="AE2950" s="1">
        <v>8985.24</v>
      </c>
      <c r="AF2950">
        <v>50.83</v>
      </c>
      <c r="AJ2950">
        <v>0</v>
      </c>
      <c r="AK2950">
        <v>0</v>
      </c>
      <c r="AL2950">
        <v>0</v>
      </c>
      <c r="AM2950">
        <v>0</v>
      </c>
      <c r="AN2950">
        <v>0</v>
      </c>
      <c r="AO2950">
        <v>0</v>
      </c>
      <c r="AP2950" s="2">
        <v>42746</v>
      </c>
      <c r="AQ2950" t="s">
        <v>72</v>
      </c>
      <c r="AR2950" t="s">
        <v>72</v>
      </c>
      <c r="AS2950">
        <v>212</v>
      </c>
      <c r="AT2950" s="4">
        <v>42403</v>
      </c>
      <c r="AU2950" t="s">
        <v>73</v>
      </c>
      <c r="AV2950">
        <v>212</v>
      </c>
      <c r="AW2950" s="4">
        <v>42403</v>
      </c>
      <c r="BD2950">
        <v>50.83</v>
      </c>
      <c r="BN2950" t="s">
        <v>74</v>
      </c>
    </row>
    <row r="2951" spans="1:66" hidden="1">
      <c r="A2951">
        <v>100996</v>
      </c>
      <c r="B2951" s="3" t="s">
        <v>347</v>
      </c>
      <c r="C2951" s="1">
        <v>43300101</v>
      </c>
      <c r="D2951" t="s">
        <v>67</v>
      </c>
      <c r="H2951" t="str">
        <f t="shared" si="296"/>
        <v>RRORCR53R19A783X</v>
      </c>
      <c r="I2951" t="str">
        <f t="shared" si="297"/>
        <v>00610690620</v>
      </c>
      <c r="K2951" t="str">
        <f>""</f>
        <v/>
      </c>
      <c r="M2951" t="s">
        <v>68</v>
      </c>
      <c r="N2951" t="str">
        <f t="shared" si="293"/>
        <v>FOR</v>
      </c>
      <c r="O2951" t="s">
        <v>69</v>
      </c>
      <c r="P2951" s="3" t="s">
        <v>75</v>
      </c>
      <c r="Q2951">
        <v>2015</v>
      </c>
      <c r="R2951" s="2">
        <v>42319</v>
      </c>
      <c r="S2951" s="2">
        <v>42320</v>
      </c>
      <c r="T2951" s="2">
        <v>42319</v>
      </c>
      <c r="U2951" s="2">
        <v>42379</v>
      </c>
      <c r="V2951" t="s">
        <v>71</v>
      </c>
      <c r="W2951" t="str">
        <f>"     030-2015-ELETTR"</f>
        <v xml:space="preserve">     030-2015-ELETTR</v>
      </c>
      <c r="X2951">
        <v>611.62</v>
      </c>
      <c r="Y2951">
        <v>0</v>
      </c>
      <c r="Z2951"/>
      <c r="AB2951"/>
      <c r="AC2951">
        <v>509.06</v>
      </c>
      <c r="AD2951">
        <v>24</v>
      </c>
      <c r="AE2951" s="1">
        <v>12217.44</v>
      </c>
      <c r="AF2951">
        <v>102.56</v>
      </c>
      <c r="AJ2951">
        <v>0</v>
      </c>
      <c r="AK2951">
        <v>0</v>
      </c>
      <c r="AL2951">
        <v>0</v>
      </c>
      <c r="AM2951">
        <v>0</v>
      </c>
      <c r="AN2951">
        <v>0</v>
      </c>
      <c r="AO2951">
        <v>0</v>
      </c>
      <c r="AP2951" s="2">
        <v>42746</v>
      </c>
      <c r="AQ2951" t="s">
        <v>72</v>
      </c>
      <c r="AR2951" t="s">
        <v>72</v>
      </c>
      <c r="AS2951">
        <v>212</v>
      </c>
      <c r="AT2951" s="4">
        <v>42403</v>
      </c>
      <c r="AU2951" t="s">
        <v>73</v>
      </c>
      <c r="AV2951">
        <v>212</v>
      </c>
      <c r="AW2951" s="4">
        <v>42403</v>
      </c>
      <c r="BD2951">
        <v>102.56</v>
      </c>
      <c r="BN2951" t="s">
        <v>74</v>
      </c>
    </row>
    <row r="2952" spans="1:66" hidden="1">
      <c r="A2952">
        <v>100996</v>
      </c>
      <c r="B2952" s="3" t="s">
        <v>347</v>
      </c>
      <c r="C2952" s="1">
        <v>43300101</v>
      </c>
      <c r="D2952" t="s">
        <v>67</v>
      </c>
      <c r="H2952" t="str">
        <f t="shared" si="296"/>
        <v>RRORCR53R19A783X</v>
      </c>
      <c r="I2952" t="str">
        <f t="shared" si="297"/>
        <v>00610690620</v>
      </c>
      <c r="K2952" t="str">
        <f>""</f>
        <v/>
      </c>
      <c r="M2952" t="s">
        <v>68</v>
      </c>
      <c r="N2952" t="str">
        <f t="shared" si="293"/>
        <v>FOR</v>
      </c>
      <c r="O2952" t="s">
        <v>69</v>
      </c>
      <c r="P2952" s="3" t="s">
        <v>75</v>
      </c>
      <c r="Q2952">
        <v>2015</v>
      </c>
      <c r="R2952" s="2">
        <v>42329</v>
      </c>
      <c r="S2952" s="2">
        <v>42331</v>
      </c>
      <c r="T2952" s="2">
        <v>42331</v>
      </c>
      <c r="U2952" s="2">
        <v>42391</v>
      </c>
      <c r="V2952" t="s">
        <v>71</v>
      </c>
      <c r="W2952" t="str">
        <f>"     031-2015-ELETTR"</f>
        <v xml:space="preserve">     031-2015-ELETTR</v>
      </c>
      <c r="X2952">
        <v>334.61</v>
      </c>
      <c r="Y2952">
        <v>0</v>
      </c>
      <c r="Z2952"/>
      <c r="AB2952"/>
      <c r="AC2952">
        <v>282</v>
      </c>
      <c r="AD2952">
        <v>12</v>
      </c>
      <c r="AE2952" s="1">
        <v>3384</v>
      </c>
      <c r="AF2952">
        <v>52.61</v>
      </c>
      <c r="AJ2952">
        <v>0</v>
      </c>
      <c r="AK2952">
        <v>0</v>
      </c>
      <c r="AL2952">
        <v>0</v>
      </c>
      <c r="AM2952">
        <v>0</v>
      </c>
      <c r="AN2952">
        <v>0</v>
      </c>
      <c r="AO2952">
        <v>0</v>
      </c>
      <c r="AP2952" s="2">
        <v>42746</v>
      </c>
      <c r="AQ2952" t="s">
        <v>72</v>
      </c>
      <c r="AR2952" t="s">
        <v>72</v>
      </c>
      <c r="AS2952">
        <v>212</v>
      </c>
      <c r="AT2952" s="4">
        <v>42403</v>
      </c>
      <c r="AU2952" t="s">
        <v>73</v>
      </c>
      <c r="AV2952">
        <v>212</v>
      </c>
      <c r="AW2952" s="4">
        <v>42403</v>
      </c>
      <c r="BD2952">
        <v>52.61</v>
      </c>
      <c r="BN2952" t="s">
        <v>74</v>
      </c>
    </row>
    <row r="2953" spans="1:66" hidden="1">
      <c r="A2953">
        <v>100996</v>
      </c>
      <c r="B2953" s="3" t="s">
        <v>347</v>
      </c>
      <c r="C2953" s="1">
        <v>43300101</v>
      </c>
      <c r="D2953" t="s">
        <v>67</v>
      </c>
      <c r="H2953" t="str">
        <f t="shared" si="296"/>
        <v>RRORCR53R19A783X</v>
      </c>
      <c r="I2953" t="str">
        <f t="shared" si="297"/>
        <v>00610690620</v>
      </c>
      <c r="K2953" t="str">
        <f>""</f>
        <v/>
      </c>
      <c r="M2953" t="s">
        <v>68</v>
      </c>
      <c r="N2953" t="str">
        <f t="shared" si="293"/>
        <v>FOR</v>
      </c>
      <c r="O2953" t="s">
        <v>69</v>
      </c>
      <c r="P2953" s="3" t="s">
        <v>75</v>
      </c>
      <c r="Q2953">
        <v>2015</v>
      </c>
      <c r="R2953" s="2">
        <v>42336</v>
      </c>
      <c r="S2953" s="2">
        <v>42338</v>
      </c>
      <c r="T2953" s="2">
        <v>42338</v>
      </c>
      <c r="U2953" s="2">
        <v>42398</v>
      </c>
      <c r="V2953" t="s">
        <v>71</v>
      </c>
      <c r="W2953" t="str">
        <f>"     032-2015-ELETTR"</f>
        <v xml:space="preserve">     032-2015-ELETTR</v>
      </c>
      <c r="X2953">
        <v>214.89</v>
      </c>
      <c r="Y2953">
        <v>0</v>
      </c>
      <c r="Z2953"/>
      <c r="AB2953"/>
      <c r="AC2953">
        <v>181.1</v>
      </c>
      <c r="AD2953">
        <v>5</v>
      </c>
      <c r="AE2953">
        <v>905.5</v>
      </c>
      <c r="AF2953">
        <v>33.79</v>
      </c>
      <c r="AJ2953">
        <v>0</v>
      </c>
      <c r="AK2953">
        <v>0</v>
      </c>
      <c r="AL2953">
        <v>0</v>
      </c>
      <c r="AM2953">
        <v>0</v>
      </c>
      <c r="AN2953">
        <v>0</v>
      </c>
      <c r="AO2953">
        <v>0</v>
      </c>
      <c r="AP2953" s="2">
        <v>42746</v>
      </c>
      <c r="AQ2953" t="s">
        <v>72</v>
      </c>
      <c r="AR2953" t="s">
        <v>72</v>
      </c>
      <c r="AS2953">
        <v>212</v>
      </c>
      <c r="AT2953" s="4">
        <v>42403</v>
      </c>
      <c r="AU2953" t="s">
        <v>73</v>
      </c>
      <c r="AV2953">
        <v>212</v>
      </c>
      <c r="AW2953" s="4">
        <v>42403</v>
      </c>
      <c r="BD2953">
        <v>33.79</v>
      </c>
      <c r="BN2953" t="s">
        <v>74</v>
      </c>
    </row>
    <row r="2954" spans="1:66" hidden="1">
      <c r="A2954">
        <v>100996</v>
      </c>
      <c r="B2954" s="3" t="s">
        <v>347</v>
      </c>
      <c r="C2954" s="1">
        <v>43300101</v>
      </c>
      <c r="D2954" t="s">
        <v>67</v>
      </c>
      <c r="H2954" t="str">
        <f t="shared" si="296"/>
        <v>RRORCR53R19A783X</v>
      </c>
      <c r="I2954" t="str">
        <f t="shared" si="297"/>
        <v>00610690620</v>
      </c>
      <c r="K2954" t="str">
        <f>""</f>
        <v/>
      </c>
      <c r="M2954" t="s">
        <v>68</v>
      </c>
      <c r="N2954" t="str">
        <f t="shared" si="293"/>
        <v>FOR</v>
      </c>
      <c r="O2954" t="s">
        <v>69</v>
      </c>
      <c r="P2954" s="3" t="s">
        <v>75</v>
      </c>
      <c r="Q2954">
        <v>2015</v>
      </c>
      <c r="R2954" s="2">
        <v>42351</v>
      </c>
      <c r="S2954" s="2">
        <v>42352</v>
      </c>
      <c r="T2954" s="2">
        <v>42352</v>
      </c>
      <c r="U2954" s="2">
        <v>42412</v>
      </c>
      <c r="V2954" t="s">
        <v>71</v>
      </c>
      <c r="W2954" t="str">
        <f>"     033-2015-ELETTR"</f>
        <v xml:space="preserve">     033-2015-ELETTR</v>
      </c>
      <c r="X2954">
        <v>351.82</v>
      </c>
      <c r="Y2954">
        <v>0</v>
      </c>
      <c r="Z2954"/>
      <c r="AB2954"/>
      <c r="AC2954">
        <v>298.72000000000003</v>
      </c>
      <c r="AD2954">
        <v>-9</v>
      </c>
      <c r="AE2954" s="1">
        <v>-2688.48</v>
      </c>
      <c r="AF2954">
        <v>53.1</v>
      </c>
      <c r="AJ2954">
        <v>0</v>
      </c>
      <c r="AK2954">
        <v>0</v>
      </c>
      <c r="AL2954">
        <v>0</v>
      </c>
      <c r="AM2954">
        <v>0</v>
      </c>
      <c r="AN2954">
        <v>0</v>
      </c>
      <c r="AO2954">
        <v>0</v>
      </c>
      <c r="AP2954" s="2">
        <v>42746</v>
      </c>
      <c r="AQ2954" t="s">
        <v>72</v>
      </c>
      <c r="AR2954" t="s">
        <v>72</v>
      </c>
      <c r="AS2954">
        <v>212</v>
      </c>
      <c r="AT2954" s="4">
        <v>42403</v>
      </c>
      <c r="AV2954">
        <v>212</v>
      </c>
      <c r="AW2954" s="4">
        <v>42403</v>
      </c>
      <c r="BD2954">
        <v>53.1</v>
      </c>
      <c r="BN2954" t="s">
        <v>74</v>
      </c>
    </row>
    <row r="2955" spans="1:66" hidden="1">
      <c r="A2955">
        <v>100996</v>
      </c>
      <c r="B2955" s="3" t="s">
        <v>347</v>
      </c>
      <c r="C2955" s="1">
        <v>43300101</v>
      </c>
      <c r="D2955" t="s">
        <v>67</v>
      </c>
      <c r="H2955" t="str">
        <f t="shared" si="296"/>
        <v>RRORCR53R19A783X</v>
      </c>
      <c r="I2955" t="str">
        <f t="shared" si="297"/>
        <v>00610690620</v>
      </c>
      <c r="K2955" t="str">
        <f>""</f>
        <v/>
      </c>
      <c r="M2955" t="s">
        <v>68</v>
      </c>
      <c r="N2955" t="str">
        <f t="shared" si="293"/>
        <v>FOR</v>
      </c>
      <c r="O2955" t="s">
        <v>69</v>
      </c>
      <c r="P2955" s="3" t="s">
        <v>75</v>
      </c>
      <c r="Q2955">
        <v>2015</v>
      </c>
      <c r="R2955" s="2">
        <v>42357</v>
      </c>
      <c r="S2955" s="2">
        <v>42360</v>
      </c>
      <c r="T2955" s="2">
        <v>42359</v>
      </c>
      <c r="U2955" s="2">
        <v>42419</v>
      </c>
      <c r="V2955" t="s">
        <v>71</v>
      </c>
      <c r="W2955" t="str">
        <f>"     034-2015-ELETTR"</f>
        <v xml:space="preserve">     034-2015-ELETTR</v>
      </c>
      <c r="X2955">
        <v>264.39999999999998</v>
      </c>
      <c r="Y2955">
        <v>0</v>
      </c>
      <c r="Z2955"/>
      <c r="AB2955"/>
      <c r="AC2955">
        <v>216.72</v>
      </c>
      <c r="AD2955">
        <v>-16</v>
      </c>
      <c r="AE2955" s="1">
        <v>-3467.52</v>
      </c>
      <c r="AF2955">
        <v>47.68</v>
      </c>
      <c r="AJ2955">
        <v>0</v>
      </c>
      <c r="AK2955">
        <v>0</v>
      </c>
      <c r="AL2955">
        <v>0</v>
      </c>
      <c r="AM2955">
        <v>0</v>
      </c>
      <c r="AN2955">
        <v>0</v>
      </c>
      <c r="AO2955">
        <v>0</v>
      </c>
      <c r="AP2955" s="2">
        <v>42746</v>
      </c>
      <c r="AQ2955" t="s">
        <v>72</v>
      </c>
      <c r="AR2955" t="s">
        <v>72</v>
      </c>
      <c r="AS2955">
        <v>212</v>
      </c>
      <c r="AT2955" s="4">
        <v>42403</v>
      </c>
      <c r="AV2955">
        <v>212</v>
      </c>
      <c r="AW2955" s="4">
        <v>42403</v>
      </c>
      <c r="BD2955">
        <v>47.68</v>
      </c>
      <c r="BN2955" t="s">
        <v>74</v>
      </c>
    </row>
    <row r="2956" spans="1:66" hidden="1">
      <c r="A2956">
        <v>100996</v>
      </c>
      <c r="B2956" s="3" t="s">
        <v>347</v>
      </c>
      <c r="C2956" s="1">
        <v>43300101</v>
      </c>
      <c r="D2956" t="s">
        <v>67</v>
      </c>
      <c r="H2956" t="str">
        <f t="shared" si="296"/>
        <v>RRORCR53R19A783X</v>
      </c>
      <c r="I2956" t="str">
        <f t="shared" si="297"/>
        <v>00610690620</v>
      </c>
      <c r="K2956" t="str">
        <f>""</f>
        <v/>
      </c>
      <c r="M2956" t="s">
        <v>68</v>
      </c>
      <c r="N2956" t="str">
        <f t="shared" si="293"/>
        <v>FOR</v>
      </c>
      <c r="O2956" t="s">
        <v>69</v>
      </c>
      <c r="P2956" s="3" t="s">
        <v>75</v>
      </c>
      <c r="Q2956">
        <v>2015</v>
      </c>
      <c r="R2956" s="2">
        <v>42362</v>
      </c>
      <c r="S2956" s="2">
        <v>42368</v>
      </c>
      <c r="T2956" s="2">
        <v>42366</v>
      </c>
      <c r="U2956" s="2">
        <v>42426</v>
      </c>
      <c r="V2956" t="s">
        <v>71</v>
      </c>
      <c r="W2956" t="str">
        <f>"     035-2015-ELETTR"</f>
        <v xml:space="preserve">     035-2015-ELETTR</v>
      </c>
      <c r="X2956">
        <v>293.89</v>
      </c>
      <c r="Y2956">
        <v>0</v>
      </c>
      <c r="Z2956"/>
      <c r="AB2956"/>
      <c r="AC2956">
        <v>246.72</v>
      </c>
      <c r="AD2956">
        <v>140</v>
      </c>
      <c r="AE2956" s="1">
        <v>34540.800000000003</v>
      </c>
      <c r="AF2956">
        <v>47.17</v>
      </c>
      <c r="AJ2956">
        <v>0</v>
      </c>
      <c r="AK2956">
        <v>0</v>
      </c>
      <c r="AL2956">
        <v>0</v>
      </c>
      <c r="AM2956">
        <v>0</v>
      </c>
      <c r="AN2956">
        <v>0</v>
      </c>
      <c r="AO2956">
        <v>0</v>
      </c>
      <c r="AP2956" s="2">
        <v>42746</v>
      </c>
      <c r="AQ2956" t="s">
        <v>72</v>
      </c>
      <c r="AR2956" t="s">
        <v>72</v>
      </c>
      <c r="AS2956">
        <v>1771</v>
      </c>
      <c r="AT2956" s="4">
        <v>42566</v>
      </c>
      <c r="AU2956" t="s">
        <v>73</v>
      </c>
      <c r="AV2956">
        <v>1771</v>
      </c>
      <c r="AW2956" s="4">
        <v>42566</v>
      </c>
      <c r="BD2956">
        <v>47.17</v>
      </c>
      <c r="BN2956" t="s">
        <v>74</v>
      </c>
    </row>
    <row r="2957" spans="1:66" hidden="1">
      <c r="A2957">
        <v>100996</v>
      </c>
      <c r="B2957" s="3" t="s">
        <v>347</v>
      </c>
      <c r="C2957" s="1">
        <v>43300101</v>
      </c>
      <c r="D2957" t="s">
        <v>67</v>
      </c>
      <c r="H2957" t="str">
        <f t="shared" si="296"/>
        <v>RRORCR53R19A783X</v>
      </c>
      <c r="I2957" t="str">
        <f t="shared" si="297"/>
        <v>00610690620</v>
      </c>
      <c r="K2957" t="str">
        <f>""</f>
        <v/>
      </c>
      <c r="M2957" t="s">
        <v>68</v>
      </c>
      <c r="N2957" t="str">
        <f t="shared" si="293"/>
        <v>FOR</v>
      </c>
      <c r="O2957" t="s">
        <v>69</v>
      </c>
      <c r="P2957" s="3" t="s">
        <v>75</v>
      </c>
      <c r="Q2957">
        <v>2016</v>
      </c>
      <c r="R2957" s="2">
        <v>42376</v>
      </c>
      <c r="S2957" s="2">
        <v>42377</v>
      </c>
      <c r="T2957" s="2">
        <v>42377</v>
      </c>
      <c r="U2957" s="2">
        <v>42437</v>
      </c>
      <c r="V2957" t="s">
        <v>71</v>
      </c>
      <c r="W2957" t="str">
        <f>"     001-2016-ELETTR"</f>
        <v xml:space="preserve">     001-2016-ELETTR</v>
      </c>
      <c r="X2957">
        <v>458.71</v>
      </c>
      <c r="Y2957">
        <v>0</v>
      </c>
      <c r="Z2957"/>
      <c r="AB2957"/>
      <c r="AC2957">
        <v>387.56</v>
      </c>
      <c r="AD2957">
        <v>129</v>
      </c>
      <c r="AE2957" s="1">
        <v>49995.24</v>
      </c>
      <c r="AF2957">
        <v>71.150000000000006</v>
      </c>
      <c r="AJ2957">
        <v>0</v>
      </c>
      <c r="AK2957">
        <v>0</v>
      </c>
      <c r="AL2957">
        <v>0</v>
      </c>
      <c r="AM2957">
        <v>458.71</v>
      </c>
      <c r="AN2957">
        <v>458.71</v>
      </c>
      <c r="AO2957">
        <v>458.71</v>
      </c>
      <c r="AP2957" s="2">
        <v>42746</v>
      </c>
      <c r="AQ2957" t="s">
        <v>72</v>
      </c>
      <c r="AR2957" t="s">
        <v>72</v>
      </c>
      <c r="AS2957">
        <v>1771</v>
      </c>
      <c r="AT2957" s="4">
        <v>42566</v>
      </c>
      <c r="AU2957" t="s">
        <v>73</v>
      </c>
      <c r="AV2957">
        <v>1771</v>
      </c>
      <c r="AW2957" s="4">
        <v>42566</v>
      </c>
      <c r="BD2957">
        <v>71.150000000000006</v>
      </c>
      <c r="BN2957" t="s">
        <v>74</v>
      </c>
    </row>
    <row r="2958" spans="1:66" hidden="1">
      <c r="A2958">
        <v>100996</v>
      </c>
      <c r="B2958" s="3" t="s">
        <v>347</v>
      </c>
      <c r="C2958" s="1">
        <v>43300101</v>
      </c>
      <c r="D2958" t="s">
        <v>67</v>
      </c>
      <c r="H2958" t="str">
        <f t="shared" si="296"/>
        <v>RRORCR53R19A783X</v>
      </c>
      <c r="I2958" t="str">
        <f t="shared" si="297"/>
        <v>00610690620</v>
      </c>
      <c r="K2958" t="str">
        <f>""</f>
        <v/>
      </c>
      <c r="M2958" t="s">
        <v>68</v>
      </c>
      <c r="N2958" t="str">
        <f t="shared" si="293"/>
        <v>FOR</v>
      </c>
      <c r="O2958" t="s">
        <v>69</v>
      </c>
      <c r="P2958" s="3" t="s">
        <v>75</v>
      </c>
      <c r="Q2958">
        <v>2016</v>
      </c>
      <c r="R2958" s="2">
        <v>42391</v>
      </c>
      <c r="S2958" s="2">
        <v>42394</v>
      </c>
      <c r="T2958" s="2">
        <v>42391</v>
      </c>
      <c r="U2958" s="2">
        <v>42451</v>
      </c>
      <c r="V2958" t="s">
        <v>71</v>
      </c>
      <c r="W2958" t="str">
        <f>"     003-2016-ELETTR"</f>
        <v xml:space="preserve">     003-2016-ELETTR</v>
      </c>
      <c r="X2958">
        <v>483.3</v>
      </c>
      <c r="Y2958">
        <v>0</v>
      </c>
      <c r="Z2958"/>
      <c r="AB2958"/>
      <c r="AC2958">
        <v>414.56</v>
      </c>
      <c r="AD2958">
        <v>115</v>
      </c>
      <c r="AE2958" s="1">
        <v>47674.400000000001</v>
      </c>
      <c r="AF2958">
        <v>68.739999999999995</v>
      </c>
      <c r="AJ2958">
        <v>0</v>
      </c>
      <c r="AK2958">
        <v>0</v>
      </c>
      <c r="AL2958">
        <v>0</v>
      </c>
      <c r="AM2958">
        <v>483.3</v>
      </c>
      <c r="AN2958">
        <v>483.3</v>
      </c>
      <c r="AO2958">
        <v>483.3</v>
      </c>
      <c r="AP2958" s="2">
        <v>42746</v>
      </c>
      <c r="AQ2958" t="s">
        <v>72</v>
      </c>
      <c r="AR2958" t="s">
        <v>72</v>
      </c>
      <c r="AS2958">
        <v>1771</v>
      </c>
      <c r="AT2958" s="4">
        <v>42566</v>
      </c>
      <c r="AU2958" t="s">
        <v>73</v>
      </c>
      <c r="AV2958">
        <v>1771</v>
      </c>
      <c r="AW2958" s="4">
        <v>42566</v>
      </c>
      <c r="BD2958">
        <v>68.739999999999995</v>
      </c>
      <c r="BN2958" t="s">
        <v>74</v>
      </c>
    </row>
    <row r="2959" spans="1:66" hidden="1">
      <c r="A2959">
        <v>100996</v>
      </c>
      <c r="B2959" s="3" t="s">
        <v>347</v>
      </c>
      <c r="C2959" s="1">
        <v>43300101</v>
      </c>
      <c r="D2959" t="s">
        <v>67</v>
      </c>
      <c r="H2959" t="str">
        <f t="shared" si="296"/>
        <v>RRORCR53R19A783X</v>
      </c>
      <c r="I2959" t="str">
        <f t="shared" si="297"/>
        <v>00610690620</v>
      </c>
      <c r="K2959" t="str">
        <f>""</f>
        <v/>
      </c>
      <c r="M2959" t="s">
        <v>68</v>
      </c>
      <c r="N2959" t="str">
        <f t="shared" ref="N2959:N2977" si="298">"FOR"</f>
        <v>FOR</v>
      </c>
      <c r="O2959" t="s">
        <v>69</v>
      </c>
      <c r="P2959" s="3" t="s">
        <v>75</v>
      </c>
      <c r="Q2959">
        <v>2016</v>
      </c>
      <c r="R2959" s="2">
        <v>42397</v>
      </c>
      <c r="S2959" s="2">
        <v>42402</v>
      </c>
      <c r="T2959" s="2">
        <v>42397</v>
      </c>
      <c r="U2959" s="2">
        <v>42457</v>
      </c>
      <c r="V2959" t="s">
        <v>71</v>
      </c>
      <c r="W2959" t="str">
        <f>"     004-2016-ELETTR"</f>
        <v xml:space="preserve">     004-2016-ELETTR</v>
      </c>
      <c r="X2959">
        <v>225.26</v>
      </c>
      <c r="Y2959">
        <v>0</v>
      </c>
      <c r="Z2959"/>
      <c r="AB2959"/>
      <c r="AC2959">
        <v>189.6</v>
      </c>
      <c r="AD2959">
        <v>109</v>
      </c>
      <c r="AE2959" s="1">
        <v>20666.400000000001</v>
      </c>
      <c r="AF2959">
        <v>35.659999999999997</v>
      </c>
      <c r="AJ2959">
        <v>0</v>
      </c>
      <c r="AK2959">
        <v>0</v>
      </c>
      <c r="AL2959">
        <v>0</v>
      </c>
      <c r="AM2959">
        <v>225.26</v>
      </c>
      <c r="AN2959">
        <v>225.26</v>
      </c>
      <c r="AO2959">
        <v>225.26</v>
      </c>
      <c r="AP2959" s="2">
        <v>42746</v>
      </c>
      <c r="AQ2959" t="s">
        <v>72</v>
      </c>
      <c r="AR2959" t="s">
        <v>72</v>
      </c>
      <c r="AS2959">
        <v>1771</v>
      </c>
      <c r="AT2959" s="4">
        <v>42566</v>
      </c>
      <c r="AU2959" t="s">
        <v>73</v>
      </c>
      <c r="AV2959">
        <v>1771</v>
      </c>
      <c r="AW2959" s="4">
        <v>42566</v>
      </c>
      <c r="BD2959">
        <v>35.659999999999997</v>
      </c>
      <c r="BN2959" t="s">
        <v>74</v>
      </c>
    </row>
    <row r="2960" spans="1:66" hidden="1">
      <c r="A2960">
        <v>100996</v>
      </c>
      <c r="B2960" s="3" t="s">
        <v>347</v>
      </c>
      <c r="C2960" s="1">
        <v>43300101</v>
      </c>
      <c r="D2960" t="s">
        <v>67</v>
      </c>
      <c r="H2960" t="str">
        <f t="shared" si="296"/>
        <v>RRORCR53R19A783X</v>
      </c>
      <c r="I2960" t="str">
        <f t="shared" si="297"/>
        <v>00610690620</v>
      </c>
      <c r="K2960" t="str">
        <f>""</f>
        <v/>
      </c>
      <c r="M2960" t="s">
        <v>68</v>
      </c>
      <c r="N2960" t="str">
        <f t="shared" si="298"/>
        <v>FOR</v>
      </c>
      <c r="O2960" t="s">
        <v>69</v>
      </c>
      <c r="P2960" s="3" t="s">
        <v>75</v>
      </c>
      <c r="Q2960">
        <v>2016</v>
      </c>
      <c r="R2960" s="2">
        <v>42404</v>
      </c>
      <c r="S2960" s="2">
        <v>42405</v>
      </c>
      <c r="T2960" s="2">
        <v>42404</v>
      </c>
      <c r="U2960" s="2">
        <v>42464</v>
      </c>
      <c r="V2960" t="s">
        <v>71</v>
      </c>
      <c r="W2960" t="str">
        <f>"     005-2016-ELETTR"</f>
        <v xml:space="preserve">     005-2016-ELETTR</v>
      </c>
      <c r="X2960">
        <v>391.65</v>
      </c>
      <c r="Y2960">
        <v>0</v>
      </c>
      <c r="Z2960"/>
      <c r="AB2960"/>
      <c r="AC2960">
        <v>328.46</v>
      </c>
      <c r="AD2960">
        <v>102</v>
      </c>
      <c r="AE2960" s="1">
        <v>33502.92</v>
      </c>
      <c r="AF2960">
        <v>63.19</v>
      </c>
      <c r="AJ2960">
        <v>0</v>
      </c>
      <c r="AK2960">
        <v>0</v>
      </c>
      <c r="AL2960">
        <v>0</v>
      </c>
      <c r="AM2960">
        <v>391.65</v>
      </c>
      <c r="AN2960">
        <v>391.65</v>
      </c>
      <c r="AO2960">
        <v>391.65</v>
      </c>
      <c r="AP2960" s="2">
        <v>42746</v>
      </c>
      <c r="AQ2960" t="s">
        <v>72</v>
      </c>
      <c r="AR2960" t="s">
        <v>72</v>
      </c>
      <c r="AS2960">
        <v>1771</v>
      </c>
      <c r="AT2960" s="4">
        <v>42566</v>
      </c>
      <c r="AU2960" t="s">
        <v>73</v>
      </c>
      <c r="AV2960">
        <v>1771</v>
      </c>
      <c r="AW2960" s="4">
        <v>42566</v>
      </c>
      <c r="BD2960">
        <v>63.19</v>
      </c>
      <c r="BN2960" t="s">
        <v>74</v>
      </c>
    </row>
    <row r="2961" spans="1:66" hidden="1">
      <c r="A2961">
        <v>100996</v>
      </c>
      <c r="B2961" s="3" t="s">
        <v>347</v>
      </c>
      <c r="C2961" s="1">
        <v>43300101</v>
      </c>
      <c r="D2961" t="s">
        <v>67</v>
      </c>
      <c r="H2961" t="str">
        <f t="shared" si="296"/>
        <v>RRORCR53R19A783X</v>
      </c>
      <c r="I2961" t="str">
        <f t="shared" si="297"/>
        <v>00610690620</v>
      </c>
      <c r="K2961" t="str">
        <f>""</f>
        <v/>
      </c>
      <c r="M2961" t="s">
        <v>68</v>
      </c>
      <c r="N2961" t="str">
        <f t="shared" si="298"/>
        <v>FOR</v>
      </c>
      <c r="O2961" t="s">
        <v>69</v>
      </c>
      <c r="P2961" s="3" t="s">
        <v>75</v>
      </c>
      <c r="Q2961">
        <v>2016</v>
      </c>
      <c r="R2961" s="2">
        <v>42411</v>
      </c>
      <c r="S2961" s="2">
        <v>42412</v>
      </c>
      <c r="T2961" s="2">
        <v>42411</v>
      </c>
      <c r="U2961" s="2">
        <v>42471</v>
      </c>
      <c r="V2961" t="s">
        <v>71</v>
      </c>
      <c r="W2961" t="str">
        <f>"     006-2016-ELETTR"</f>
        <v xml:space="preserve">     006-2016-ELETTR</v>
      </c>
      <c r="X2961">
        <v>456.76</v>
      </c>
      <c r="Y2961">
        <v>0</v>
      </c>
      <c r="Z2961"/>
      <c r="AB2961"/>
      <c r="AC2961">
        <v>387.2</v>
      </c>
      <c r="AD2961">
        <v>95</v>
      </c>
      <c r="AE2961" s="1">
        <v>36784</v>
      </c>
      <c r="AF2961">
        <v>69.56</v>
      </c>
      <c r="AJ2961">
        <v>0</v>
      </c>
      <c r="AK2961">
        <v>0</v>
      </c>
      <c r="AL2961">
        <v>0</v>
      </c>
      <c r="AM2961">
        <v>456.76</v>
      </c>
      <c r="AN2961">
        <v>456.76</v>
      </c>
      <c r="AO2961">
        <v>456.76</v>
      </c>
      <c r="AP2961" s="2">
        <v>42746</v>
      </c>
      <c r="AQ2961" t="s">
        <v>72</v>
      </c>
      <c r="AR2961" t="s">
        <v>72</v>
      </c>
      <c r="AS2961">
        <v>1771</v>
      </c>
      <c r="AT2961" s="4">
        <v>42566</v>
      </c>
      <c r="AU2961" t="s">
        <v>73</v>
      </c>
      <c r="AV2961">
        <v>1771</v>
      </c>
      <c r="AW2961" s="4">
        <v>42566</v>
      </c>
      <c r="BD2961">
        <v>69.56</v>
      </c>
      <c r="BN2961" t="s">
        <v>74</v>
      </c>
    </row>
    <row r="2962" spans="1:66" hidden="1">
      <c r="A2962">
        <v>100996</v>
      </c>
      <c r="B2962" s="3" t="s">
        <v>347</v>
      </c>
      <c r="C2962" s="1">
        <v>43300101</v>
      </c>
      <c r="D2962" t="s">
        <v>67</v>
      </c>
      <c r="H2962" t="str">
        <f t="shared" si="296"/>
        <v>RRORCR53R19A783X</v>
      </c>
      <c r="I2962" t="str">
        <f t="shared" si="297"/>
        <v>00610690620</v>
      </c>
      <c r="K2962" t="str">
        <f>""</f>
        <v/>
      </c>
      <c r="M2962" t="s">
        <v>68</v>
      </c>
      <c r="N2962" t="str">
        <f t="shared" si="298"/>
        <v>FOR</v>
      </c>
      <c r="O2962" t="s">
        <v>69</v>
      </c>
      <c r="P2962" s="3" t="s">
        <v>75</v>
      </c>
      <c r="Q2962">
        <v>2016</v>
      </c>
      <c r="R2962" s="2">
        <v>42418</v>
      </c>
      <c r="S2962" s="2">
        <v>42419</v>
      </c>
      <c r="T2962" s="2">
        <v>42418</v>
      </c>
      <c r="U2962" s="2">
        <v>42478</v>
      </c>
      <c r="V2962" t="s">
        <v>71</v>
      </c>
      <c r="W2962" t="str">
        <f>"     007-2016-ELETTR"</f>
        <v xml:space="preserve">     007-2016-ELETTR</v>
      </c>
      <c r="X2962">
        <v>414.19</v>
      </c>
      <c r="Y2962">
        <v>0</v>
      </c>
      <c r="Z2962"/>
      <c r="AB2962"/>
      <c r="AC2962">
        <v>352.48</v>
      </c>
      <c r="AD2962">
        <v>88</v>
      </c>
      <c r="AE2962" s="1">
        <v>31018.240000000002</v>
      </c>
      <c r="AF2962">
        <v>61.71</v>
      </c>
      <c r="AJ2962">
        <v>0</v>
      </c>
      <c r="AK2962">
        <v>0</v>
      </c>
      <c r="AL2962">
        <v>0</v>
      </c>
      <c r="AM2962">
        <v>414.19</v>
      </c>
      <c r="AN2962">
        <v>414.19</v>
      </c>
      <c r="AO2962">
        <v>414.19</v>
      </c>
      <c r="AP2962" s="2">
        <v>42746</v>
      </c>
      <c r="AQ2962" t="s">
        <v>72</v>
      </c>
      <c r="AR2962" t="s">
        <v>72</v>
      </c>
      <c r="AS2962">
        <v>1771</v>
      </c>
      <c r="AT2962" s="4">
        <v>42566</v>
      </c>
      <c r="AU2962" t="s">
        <v>73</v>
      </c>
      <c r="AV2962">
        <v>1771</v>
      </c>
      <c r="AW2962" s="4">
        <v>42566</v>
      </c>
      <c r="BD2962">
        <v>61.71</v>
      </c>
      <c r="BN2962" t="s">
        <v>74</v>
      </c>
    </row>
    <row r="2963" spans="1:66" hidden="1">
      <c r="A2963">
        <v>100996</v>
      </c>
      <c r="B2963" s="3" t="s">
        <v>347</v>
      </c>
      <c r="C2963" s="1">
        <v>43300101</v>
      </c>
      <c r="D2963" t="s">
        <v>67</v>
      </c>
      <c r="H2963" t="str">
        <f t="shared" si="296"/>
        <v>RRORCR53R19A783X</v>
      </c>
      <c r="I2963" t="str">
        <f t="shared" si="297"/>
        <v>00610690620</v>
      </c>
      <c r="K2963" t="str">
        <f>""</f>
        <v/>
      </c>
      <c r="M2963" t="s">
        <v>68</v>
      </c>
      <c r="N2963" t="str">
        <f t="shared" si="298"/>
        <v>FOR</v>
      </c>
      <c r="O2963" t="s">
        <v>69</v>
      </c>
      <c r="P2963" s="3" t="s">
        <v>75</v>
      </c>
      <c r="Q2963">
        <v>2016</v>
      </c>
      <c r="R2963" s="2">
        <v>42425</v>
      </c>
      <c r="S2963" s="2">
        <v>42426</v>
      </c>
      <c r="T2963" s="2">
        <v>42425</v>
      </c>
      <c r="U2963" s="2">
        <v>42485</v>
      </c>
      <c r="V2963" t="s">
        <v>71</v>
      </c>
      <c r="W2963" t="str">
        <f>"     008-2016-ELETTR"</f>
        <v xml:space="preserve">     008-2016-ELETTR</v>
      </c>
      <c r="X2963">
        <v>486.6</v>
      </c>
      <c r="Y2963">
        <v>0</v>
      </c>
      <c r="Z2963"/>
      <c r="AB2963"/>
      <c r="AC2963">
        <v>411.84</v>
      </c>
      <c r="AD2963">
        <v>81</v>
      </c>
      <c r="AE2963" s="1">
        <v>33359.040000000001</v>
      </c>
      <c r="AF2963">
        <v>74.760000000000005</v>
      </c>
      <c r="AJ2963">
        <v>0</v>
      </c>
      <c r="AK2963">
        <v>0</v>
      </c>
      <c r="AL2963">
        <v>0</v>
      </c>
      <c r="AM2963">
        <v>486.6</v>
      </c>
      <c r="AN2963">
        <v>486.6</v>
      </c>
      <c r="AO2963">
        <v>486.6</v>
      </c>
      <c r="AP2963" s="2">
        <v>42746</v>
      </c>
      <c r="AQ2963" t="s">
        <v>72</v>
      </c>
      <c r="AR2963" t="s">
        <v>72</v>
      </c>
      <c r="AS2963">
        <v>1771</v>
      </c>
      <c r="AT2963" s="4">
        <v>42566</v>
      </c>
      <c r="AU2963" t="s">
        <v>73</v>
      </c>
      <c r="AV2963">
        <v>1771</v>
      </c>
      <c r="AW2963" s="4">
        <v>42566</v>
      </c>
      <c r="BD2963">
        <v>74.760000000000005</v>
      </c>
      <c r="BN2963" t="s">
        <v>74</v>
      </c>
    </row>
    <row r="2964" spans="1:66" hidden="1">
      <c r="A2964">
        <v>100996</v>
      </c>
      <c r="B2964" s="3" t="s">
        <v>347</v>
      </c>
      <c r="C2964" s="1">
        <v>43300101</v>
      </c>
      <c r="D2964" t="s">
        <v>67</v>
      </c>
      <c r="H2964" t="str">
        <f t="shared" si="296"/>
        <v>RRORCR53R19A783X</v>
      </c>
      <c r="I2964" t="str">
        <f t="shared" si="297"/>
        <v>00610690620</v>
      </c>
      <c r="K2964" t="str">
        <f>""</f>
        <v/>
      </c>
      <c r="M2964" t="s">
        <v>68</v>
      </c>
      <c r="N2964" t="str">
        <f t="shared" si="298"/>
        <v>FOR</v>
      </c>
      <c r="O2964" t="s">
        <v>69</v>
      </c>
      <c r="P2964" s="3" t="s">
        <v>75</v>
      </c>
      <c r="Q2964">
        <v>2016</v>
      </c>
      <c r="R2964" s="2">
        <v>42432</v>
      </c>
      <c r="S2964" s="2">
        <v>42436</v>
      </c>
      <c r="T2964" s="2">
        <v>42432</v>
      </c>
      <c r="U2964" s="2">
        <v>42492</v>
      </c>
      <c r="V2964" t="s">
        <v>71</v>
      </c>
      <c r="W2964" t="str">
        <f>"     009-2016-ELETTR"</f>
        <v xml:space="preserve">     009-2016-ELETTR</v>
      </c>
      <c r="X2964">
        <v>286.95</v>
      </c>
      <c r="Y2964">
        <v>0</v>
      </c>
      <c r="Z2964"/>
      <c r="AB2964"/>
      <c r="AC2964">
        <v>242.64</v>
      </c>
      <c r="AD2964">
        <v>74</v>
      </c>
      <c r="AE2964" s="1">
        <v>17955.36</v>
      </c>
      <c r="AF2964">
        <v>44.31</v>
      </c>
      <c r="AJ2964">
        <v>0</v>
      </c>
      <c r="AK2964">
        <v>0</v>
      </c>
      <c r="AL2964">
        <v>0</v>
      </c>
      <c r="AM2964">
        <v>286.95</v>
      </c>
      <c r="AN2964">
        <v>286.95</v>
      </c>
      <c r="AO2964">
        <v>286.95</v>
      </c>
      <c r="AP2964" s="2">
        <v>42746</v>
      </c>
      <c r="AQ2964" t="s">
        <v>72</v>
      </c>
      <c r="AR2964" t="s">
        <v>72</v>
      </c>
      <c r="AS2964">
        <v>1771</v>
      </c>
      <c r="AT2964" s="4">
        <v>42566</v>
      </c>
      <c r="AU2964" t="s">
        <v>73</v>
      </c>
      <c r="AV2964">
        <v>1771</v>
      </c>
      <c r="AW2964" s="4">
        <v>42566</v>
      </c>
      <c r="BD2964">
        <v>44.31</v>
      </c>
      <c r="BN2964" t="s">
        <v>74</v>
      </c>
    </row>
    <row r="2965" spans="1:66" hidden="1">
      <c r="A2965">
        <v>100996</v>
      </c>
      <c r="B2965" s="3" t="s">
        <v>347</v>
      </c>
      <c r="C2965" s="1">
        <v>43300101</v>
      </c>
      <c r="D2965" t="s">
        <v>67</v>
      </c>
      <c r="H2965" t="str">
        <f t="shared" si="296"/>
        <v>RRORCR53R19A783X</v>
      </c>
      <c r="I2965" t="str">
        <f t="shared" si="297"/>
        <v>00610690620</v>
      </c>
      <c r="K2965" t="str">
        <f>""</f>
        <v/>
      </c>
      <c r="M2965" t="s">
        <v>68</v>
      </c>
      <c r="N2965" t="str">
        <f t="shared" si="298"/>
        <v>FOR</v>
      </c>
      <c r="O2965" t="s">
        <v>69</v>
      </c>
      <c r="P2965" s="3" t="s">
        <v>75</v>
      </c>
      <c r="Q2965">
        <v>2016</v>
      </c>
      <c r="R2965" s="2">
        <v>42443</v>
      </c>
      <c r="S2965" s="2">
        <v>42444</v>
      </c>
      <c r="T2965" s="2">
        <v>42443</v>
      </c>
      <c r="U2965" s="2">
        <v>42503</v>
      </c>
      <c r="V2965" t="s">
        <v>71</v>
      </c>
      <c r="W2965" t="str">
        <f>"  000010-2016-ELETTR"</f>
        <v xml:space="preserve">  000010-2016-ELETTR</v>
      </c>
      <c r="X2965">
        <v>464.21</v>
      </c>
      <c r="Y2965">
        <v>0</v>
      </c>
      <c r="Z2965"/>
      <c r="AB2965"/>
      <c r="AC2965">
        <v>387.94</v>
      </c>
      <c r="AD2965">
        <v>63</v>
      </c>
      <c r="AE2965" s="1">
        <v>24440.22</v>
      </c>
      <c r="AF2965">
        <v>76.27</v>
      </c>
      <c r="AJ2965">
        <v>0</v>
      </c>
      <c r="AK2965">
        <v>0</v>
      </c>
      <c r="AL2965">
        <v>0</v>
      </c>
      <c r="AM2965">
        <v>464.21</v>
      </c>
      <c r="AN2965">
        <v>464.21</v>
      </c>
      <c r="AO2965">
        <v>464.21</v>
      </c>
      <c r="AP2965" s="2">
        <v>42746</v>
      </c>
      <c r="AQ2965" t="s">
        <v>72</v>
      </c>
      <c r="AR2965" t="s">
        <v>72</v>
      </c>
      <c r="AS2965">
        <v>1771</v>
      </c>
      <c r="AT2965" s="4">
        <v>42566</v>
      </c>
      <c r="AU2965" t="s">
        <v>73</v>
      </c>
      <c r="AV2965">
        <v>1771</v>
      </c>
      <c r="AW2965" s="4">
        <v>42566</v>
      </c>
      <c r="BD2965">
        <v>76.27</v>
      </c>
      <c r="BN2965" t="s">
        <v>74</v>
      </c>
    </row>
    <row r="2966" spans="1:66">
      <c r="A2966">
        <v>100996</v>
      </c>
      <c r="B2966" s="3" t="s">
        <v>347</v>
      </c>
      <c r="C2966" s="1">
        <v>43300101</v>
      </c>
      <c r="D2966" t="s">
        <v>67</v>
      </c>
      <c r="H2966" t="str">
        <f t="shared" si="296"/>
        <v>RRORCR53R19A783X</v>
      </c>
      <c r="I2966" t="str">
        <f t="shared" si="297"/>
        <v>00610690620</v>
      </c>
      <c r="K2966" t="str">
        <f>""</f>
        <v/>
      </c>
      <c r="M2966" t="s">
        <v>68</v>
      </c>
      <c r="N2966" t="str">
        <f t="shared" si="298"/>
        <v>FOR</v>
      </c>
      <c r="O2966" t="s">
        <v>69</v>
      </c>
      <c r="P2966" s="3" t="s">
        <v>75</v>
      </c>
      <c r="Q2966">
        <v>2016</v>
      </c>
      <c r="R2966" s="2">
        <v>42454</v>
      </c>
      <c r="S2966" s="2">
        <v>42461</v>
      </c>
      <c r="T2966" s="2">
        <v>42454</v>
      </c>
      <c r="U2966" s="2">
        <v>42514</v>
      </c>
      <c r="V2966" t="s">
        <v>71</v>
      </c>
      <c r="W2966" t="str">
        <f>"  000012-2016-ELETTR"</f>
        <v xml:space="preserve">  000012-2016-ELETTR</v>
      </c>
      <c r="X2966">
        <v>339.81</v>
      </c>
      <c r="Y2966">
        <v>0</v>
      </c>
      <c r="Z2966" s="3">
        <v>281.01</v>
      </c>
      <c r="AA2966">
        <v>167</v>
      </c>
      <c r="AB2966" s="5">
        <v>46928.67</v>
      </c>
      <c r="AC2966">
        <v>281.01</v>
      </c>
      <c r="AD2966">
        <v>167</v>
      </c>
      <c r="AE2966" s="1">
        <v>46928.67</v>
      </c>
      <c r="AF2966">
        <v>58.8</v>
      </c>
      <c r="AJ2966">
        <v>0</v>
      </c>
      <c r="AK2966">
        <v>0</v>
      </c>
      <c r="AL2966">
        <v>0</v>
      </c>
      <c r="AM2966">
        <v>339.81</v>
      </c>
      <c r="AN2966">
        <v>339.81</v>
      </c>
      <c r="AO2966">
        <v>339.81</v>
      </c>
      <c r="AP2966" s="2">
        <v>42746</v>
      </c>
      <c r="AQ2966" t="s">
        <v>72</v>
      </c>
      <c r="AR2966" t="s">
        <v>72</v>
      </c>
      <c r="AS2966">
        <v>2946</v>
      </c>
      <c r="AT2966" s="4">
        <v>42681</v>
      </c>
      <c r="AU2966" t="s">
        <v>73</v>
      </c>
      <c r="AV2966">
        <v>2946</v>
      </c>
      <c r="AW2966" s="4">
        <v>42681</v>
      </c>
      <c r="BD2966">
        <v>58.8</v>
      </c>
      <c r="BN2966" t="s">
        <v>74</v>
      </c>
    </row>
    <row r="2967" spans="1:66">
      <c r="A2967">
        <v>100996</v>
      </c>
      <c r="B2967" s="3" t="s">
        <v>347</v>
      </c>
      <c r="C2967" s="1">
        <v>43300101</v>
      </c>
      <c r="D2967" t="s">
        <v>67</v>
      </c>
      <c r="H2967" t="str">
        <f t="shared" si="296"/>
        <v>RRORCR53R19A783X</v>
      </c>
      <c r="I2967" t="str">
        <f t="shared" si="297"/>
        <v>00610690620</v>
      </c>
      <c r="K2967" t="str">
        <f>""</f>
        <v/>
      </c>
      <c r="M2967" t="s">
        <v>68</v>
      </c>
      <c r="N2967" t="str">
        <f t="shared" si="298"/>
        <v>FOR</v>
      </c>
      <c r="O2967" t="s">
        <v>69</v>
      </c>
      <c r="P2967" s="3" t="s">
        <v>75</v>
      </c>
      <c r="Q2967">
        <v>2016</v>
      </c>
      <c r="R2967" s="2">
        <v>42464</v>
      </c>
      <c r="S2967" s="2">
        <v>42465</v>
      </c>
      <c r="T2967" s="2">
        <v>42464</v>
      </c>
      <c r="U2967" s="2">
        <v>42524</v>
      </c>
      <c r="V2967" t="s">
        <v>71</v>
      </c>
      <c r="W2967" t="str">
        <f>"  000013-2016-ELETTR"</f>
        <v xml:space="preserve">  000013-2016-ELETTR</v>
      </c>
      <c r="X2967">
        <v>300.48</v>
      </c>
      <c r="Y2967">
        <v>0</v>
      </c>
      <c r="Z2967" s="3">
        <v>248.18</v>
      </c>
      <c r="AA2967">
        <v>157</v>
      </c>
      <c r="AB2967" s="5">
        <v>38964.26</v>
      </c>
      <c r="AC2967">
        <v>248.18</v>
      </c>
      <c r="AD2967">
        <v>157</v>
      </c>
      <c r="AE2967" s="1">
        <v>38964.26</v>
      </c>
      <c r="AF2967">
        <v>52.3</v>
      </c>
      <c r="AJ2967">
        <v>0</v>
      </c>
      <c r="AK2967">
        <v>0</v>
      </c>
      <c r="AL2967">
        <v>0</v>
      </c>
      <c r="AM2967">
        <v>300.48</v>
      </c>
      <c r="AN2967">
        <v>300.48</v>
      </c>
      <c r="AO2967">
        <v>300.48</v>
      </c>
      <c r="AP2967" s="2">
        <v>42746</v>
      </c>
      <c r="AQ2967" t="s">
        <v>72</v>
      </c>
      <c r="AR2967" t="s">
        <v>72</v>
      </c>
      <c r="AS2967">
        <v>2946</v>
      </c>
      <c r="AT2967" s="4">
        <v>42681</v>
      </c>
      <c r="AU2967" t="s">
        <v>73</v>
      </c>
      <c r="AV2967">
        <v>2946</v>
      </c>
      <c r="AW2967" s="4">
        <v>42681</v>
      </c>
      <c r="BD2967">
        <v>52.3</v>
      </c>
      <c r="BN2967" t="s">
        <v>74</v>
      </c>
    </row>
    <row r="2968" spans="1:66">
      <c r="A2968">
        <v>100996</v>
      </c>
      <c r="B2968" s="3" t="s">
        <v>347</v>
      </c>
      <c r="C2968" s="1">
        <v>43300101</v>
      </c>
      <c r="D2968" t="s">
        <v>67</v>
      </c>
      <c r="H2968" t="str">
        <f t="shared" si="296"/>
        <v>RRORCR53R19A783X</v>
      </c>
      <c r="I2968" t="str">
        <f t="shared" si="297"/>
        <v>00610690620</v>
      </c>
      <c r="K2968" t="str">
        <f>""</f>
        <v/>
      </c>
      <c r="M2968" t="s">
        <v>68</v>
      </c>
      <c r="N2968" t="str">
        <f t="shared" si="298"/>
        <v>FOR</v>
      </c>
      <c r="O2968" t="s">
        <v>69</v>
      </c>
      <c r="P2968" s="3" t="s">
        <v>75</v>
      </c>
      <c r="Q2968">
        <v>2016</v>
      </c>
      <c r="R2968" s="2">
        <v>42475</v>
      </c>
      <c r="S2968" s="2">
        <v>42478</v>
      </c>
      <c r="T2968" s="2">
        <v>42475</v>
      </c>
      <c r="U2968" s="2">
        <v>42535</v>
      </c>
      <c r="V2968" t="s">
        <v>71</v>
      </c>
      <c r="W2968" t="str">
        <f>"  000015-2016-ELETTR"</f>
        <v xml:space="preserve">  000015-2016-ELETTR</v>
      </c>
      <c r="X2968">
        <v>385.71</v>
      </c>
      <c r="Y2968">
        <v>0</v>
      </c>
      <c r="Z2968" s="3">
        <v>326.07</v>
      </c>
      <c r="AA2968">
        <v>146</v>
      </c>
      <c r="AB2968" s="5">
        <v>47606.22</v>
      </c>
      <c r="AC2968">
        <v>326.07</v>
      </c>
      <c r="AD2968">
        <v>146</v>
      </c>
      <c r="AE2968" s="1">
        <v>47606.22</v>
      </c>
      <c r="AF2968">
        <v>59.64</v>
      </c>
      <c r="AJ2968">
        <v>0</v>
      </c>
      <c r="AK2968">
        <v>0</v>
      </c>
      <c r="AL2968">
        <v>0</v>
      </c>
      <c r="AM2968">
        <v>385.71</v>
      </c>
      <c r="AN2968">
        <v>385.71</v>
      </c>
      <c r="AO2968">
        <v>385.71</v>
      </c>
      <c r="AP2968" s="2">
        <v>42746</v>
      </c>
      <c r="AQ2968" t="s">
        <v>72</v>
      </c>
      <c r="AR2968" t="s">
        <v>72</v>
      </c>
      <c r="AS2968">
        <v>2946</v>
      </c>
      <c r="AT2968" s="4">
        <v>42681</v>
      </c>
      <c r="AU2968" t="s">
        <v>73</v>
      </c>
      <c r="AV2968">
        <v>2946</v>
      </c>
      <c r="AW2968" s="4">
        <v>42681</v>
      </c>
      <c r="BD2968">
        <v>59.64</v>
      </c>
      <c r="BN2968" t="s">
        <v>74</v>
      </c>
    </row>
    <row r="2969" spans="1:66">
      <c r="A2969">
        <v>100996</v>
      </c>
      <c r="B2969" s="3" t="s">
        <v>347</v>
      </c>
      <c r="C2969" s="1">
        <v>43300101</v>
      </c>
      <c r="D2969" t="s">
        <v>67</v>
      </c>
      <c r="H2969" t="str">
        <f t="shared" si="296"/>
        <v>RRORCR53R19A783X</v>
      </c>
      <c r="I2969" t="str">
        <f t="shared" si="297"/>
        <v>00610690620</v>
      </c>
      <c r="K2969" t="str">
        <f>""</f>
        <v/>
      </c>
      <c r="M2969" t="s">
        <v>68</v>
      </c>
      <c r="N2969" t="str">
        <f t="shared" si="298"/>
        <v>FOR</v>
      </c>
      <c r="O2969" t="s">
        <v>69</v>
      </c>
      <c r="P2969" s="3" t="s">
        <v>75</v>
      </c>
      <c r="Q2969">
        <v>2016</v>
      </c>
      <c r="R2969" s="2">
        <v>42481</v>
      </c>
      <c r="S2969" s="2">
        <v>42486</v>
      </c>
      <c r="T2969" s="2">
        <v>42481</v>
      </c>
      <c r="U2969" s="2">
        <v>42541</v>
      </c>
      <c r="V2969" t="s">
        <v>71</v>
      </c>
      <c r="W2969" t="str">
        <f>"  000016-2016-ELETTR"</f>
        <v xml:space="preserve">  000016-2016-ELETTR</v>
      </c>
      <c r="X2969">
        <v>388.6</v>
      </c>
      <c r="Y2969">
        <v>0</v>
      </c>
      <c r="Z2969" s="3">
        <v>323.48</v>
      </c>
      <c r="AA2969">
        <v>140</v>
      </c>
      <c r="AB2969" s="5">
        <v>45287.199999999997</v>
      </c>
      <c r="AC2969">
        <v>323.48</v>
      </c>
      <c r="AD2969">
        <v>140</v>
      </c>
      <c r="AE2969" s="1">
        <v>45287.199999999997</v>
      </c>
      <c r="AF2969">
        <v>65.12</v>
      </c>
      <c r="AJ2969">
        <v>0</v>
      </c>
      <c r="AK2969">
        <v>0</v>
      </c>
      <c r="AL2969">
        <v>0</v>
      </c>
      <c r="AM2969">
        <v>388.6</v>
      </c>
      <c r="AN2969">
        <v>388.6</v>
      </c>
      <c r="AO2969">
        <v>388.6</v>
      </c>
      <c r="AP2969" s="2">
        <v>42746</v>
      </c>
      <c r="AQ2969" t="s">
        <v>72</v>
      </c>
      <c r="AR2969" t="s">
        <v>72</v>
      </c>
      <c r="AS2969">
        <v>2946</v>
      </c>
      <c r="AT2969" s="4">
        <v>42681</v>
      </c>
      <c r="AU2969" t="s">
        <v>73</v>
      </c>
      <c r="AV2969">
        <v>2946</v>
      </c>
      <c r="AW2969" s="4">
        <v>42681</v>
      </c>
      <c r="BD2969">
        <v>65.12</v>
      </c>
      <c r="BN2969" t="s">
        <v>74</v>
      </c>
    </row>
    <row r="2970" spans="1:66">
      <c r="A2970">
        <v>100996</v>
      </c>
      <c r="B2970" s="3" t="s">
        <v>347</v>
      </c>
      <c r="C2970" s="1">
        <v>43300101</v>
      </c>
      <c r="D2970" t="s">
        <v>67</v>
      </c>
      <c r="H2970" t="str">
        <f t="shared" si="296"/>
        <v>RRORCR53R19A783X</v>
      </c>
      <c r="I2970" t="str">
        <f t="shared" si="297"/>
        <v>00610690620</v>
      </c>
      <c r="K2970" t="str">
        <f>""</f>
        <v/>
      </c>
      <c r="M2970" t="s">
        <v>68</v>
      </c>
      <c r="N2970" t="str">
        <f t="shared" si="298"/>
        <v>FOR</v>
      </c>
      <c r="O2970" t="s">
        <v>69</v>
      </c>
      <c r="P2970" s="3" t="s">
        <v>75</v>
      </c>
      <c r="Q2970">
        <v>2016</v>
      </c>
      <c r="R2970" s="2">
        <v>42489</v>
      </c>
      <c r="S2970" s="2">
        <v>42492</v>
      </c>
      <c r="T2970" s="2">
        <v>42489</v>
      </c>
      <c r="U2970" s="2">
        <v>42549</v>
      </c>
      <c r="V2970" t="s">
        <v>71</v>
      </c>
      <c r="W2970" t="str">
        <f>"  000017-2016-ELETTR"</f>
        <v xml:space="preserve">  000017-2016-ELETTR</v>
      </c>
      <c r="X2970">
        <v>301</v>
      </c>
      <c r="Y2970">
        <v>0</v>
      </c>
      <c r="Z2970" s="3">
        <v>249.2</v>
      </c>
      <c r="AA2970">
        <v>132</v>
      </c>
      <c r="AB2970" s="5">
        <v>32894.400000000001</v>
      </c>
      <c r="AC2970">
        <v>249.2</v>
      </c>
      <c r="AD2970">
        <v>132</v>
      </c>
      <c r="AE2970" s="1">
        <v>32894.400000000001</v>
      </c>
      <c r="AF2970">
        <v>51.8</v>
      </c>
      <c r="AJ2970">
        <v>0</v>
      </c>
      <c r="AK2970">
        <v>0</v>
      </c>
      <c r="AL2970">
        <v>0</v>
      </c>
      <c r="AM2970">
        <v>301</v>
      </c>
      <c r="AN2970">
        <v>301</v>
      </c>
      <c r="AO2970">
        <v>301</v>
      </c>
      <c r="AP2970" s="2">
        <v>42746</v>
      </c>
      <c r="AQ2970" t="s">
        <v>72</v>
      </c>
      <c r="AR2970" t="s">
        <v>72</v>
      </c>
      <c r="AS2970">
        <v>2946</v>
      </c>
      <c r="AT2970" s="4">
        <v>42681</v>
      </c>
      <c r="AU2970" t="s">
        <v>73</v>
      </c>
      <c r="AV2970">
        <v>2946</v>
      </c>
      <c r="AW2970" s="4">
        <v>42681</v>
      </c>
      <c r="BD2970">
        <v>51.8</v>
      </c>
      <c r="BN2970" t="s">
        <v>74</v>
      </c>
    </row>
    <row r="2971" spans="1:66">
      <c r="A2971">
        <v>100996</v>
      </c>
      <c r="B2971" s="3" t="s">
        <v>347</v>
      </c>
      <c r="C2971" s="1">
        <v>43300101</v>
      </c>
      <c r="D2971" t="s">
        <v>67</v>
      </c>
      <c r="H2971" t="str">
        <f t="shared" si="296"/>
        <v>RRORCR53R19A783X</v>
      </c>
      <c r="I2971" t="str">
        <f t="shared" si="297"/>
        <v>00610690620</v>
      </c>
      <c r="K2971" t="str">
        <f>""</f>
        <v/>
      </c>
      <c r="M2971" t="s">
        <v>68</v>
      </c>
      <c r="N2971" t="str">
        <f t="shared" si="298"/>
        <v>FOR</v>
      </c>
      <c r="O2971" t="s">
        <v>69</v>
      </c>
      <c r="P2971" s="3" t="s">
        <v>75</v>
      </c>
      <c r="Q2971">
        <v>2016</v>
      </c>
      <c r="R2971" s="2">
        <v>42496</v>
      </c>
      <c r="S2971" s="2">
        <v>42499</v>
      </c>
      <c r="T2971" s="2">
        <v>42496</v>
      </c>
      <c r="U2971" s="2">
        <v>42556</v>
      </c>
      <c r="V2971" t="s">
        <v>71</v>
      </c>
      <c r="W2971" t="str">
        <f>"  000018-2016-ELETTR"</f>
        <v xml:space="preserve">  000018-2016-ELETTR</v>
      </c>
      <c r="X2971">
        <v>158.21</v>
      </c>
      <c r="Y2971">
        <v>0</v>
      </c>
      <c r="Z2971" s="3">
        <v>129.68</v>
      </c>
      <c r="AA2971">
        <v>125</v>
      </c>
      <c r="AB2971" s="5">
        <v>16210</v>
      </c>
      <c r="AC2971">
        <v>129.68</v>
      </c>
      <c r="AD2971">
        <v>125</v>
      </c>
      <c r="AE2971" s="1">
        <v>16210</v>
      </c>
      <c r="AF2971">
        <v>28.53</v>
      </c>
      <c r="AJ2971">
        <v>0</v>
      </c>
      <c r="AK2971">
        <v>0</v>
      </c>
      <c r="AL2971">
        <v>0</v>
      </c>
      <c r="AM2971">
        <v>158.21</v>
      </c>
      <c r="AN2971">
        <v>158.21</v>
      </c>
      <c r="AO2971">
        <v>158.21</v>
      </c>
      <c r="AP2971" s="2">
        <v>42746</v>
      </c>
      <c r="AQ2971" t="s">
        <v>72</v>
      </c>
      <c r="AR2971" t="s">
        <v>72</v>
      </c>
      <c r="AS2971">
        <v>2946</v>
      </c>
      <c r="AT2971" s="4">
        <v>42681</v>
      </c>
      <c r="AU2971" t="s">
        <v>73</v>
      </c>
      <c r="AV2971">
        <v>2946</v>
      </c>
      <c r="AW2971" s="4">
        <v>42681</v>
      </c>
      <c r="BC2971">
        <v>28.53</v>
      </c>
      <c r="BD2971">
        <v>0</v>
      </c>
      <c r="BN2971" t="s">
        <v>74</v>
      </c>
    </row>
    <row r="2972" spans="1:66">
      <c r="A2972">
        <v>100996</v>
      </c>
      <c r="B2972" s="3" t="s">
        <v>347</v>
      </c>
      <c r="C2972" s="1">
        <v>43300101</v>
      </c>
      <c r="D2972" t="s">
        <v>67</v>
      </c>
      <c r="H2972" t="str">
        <f t="shared" si="296"/>
        <v>RRORCR53R19A783X</v>
      </c>
      <c r="I2972" t="str">
        <f t="shared" si="297"/>
        <v>00610690620</v>
      </c>
      <c r="K2972" t="str">
        <f>""</f>
        <v/>
      </c>
      <c r="M2972" t="s">
        <v>68</v>
      </c>
      <c r="N2972" t="str">
        <f t="shared" si="298"/>
        <v>FOR</v>
      </c>
      <c r="O2972" t="s">
        <v>69</v>
      </c>
      <c r="P2972" s="3" t="s">
        <v>75</v>
      </c>
      <c r="Q2972">
        <v>2016</v>
      </c>
      <c r="R2972" s="2">
        <v>42509</v>
      </c>
      <c r="S2972" s="2">
        <v>42513</v>
      </c>
      <c r="T2972" s="2">
        <v>42509</v>
      </c>
      <c r="U2972" s="2">
        <v>42569</v>
      </c>
      <c r="V2972" t="s">
        <v>71</v>
      </c>
      <c r="W2972" t="str">
        <f>"  000020-2016-ELETTR"</f>
        <v xml:space="preserve">  000020-2016-ELETTR</v>
      </c>
      <c r="X2972">
        <v>471.4</v>
      </c>
      <c r="Y2972">
        <v>0</v>
      </c>
      <c r="Z2972" s="3">
        <v>400.44</v>
      </c>
      <c r="AA2972">
        <v>112</v>
      </c>
      <c r="AB2972" s="5">
        <v>44849.279999999999</v>
      </c>
      <c r="AC2972">
        <v>400.44</v>
      </c>
      <c r="AD2972">
        <v>112</v>
      </c>
      <c r="AE2972" s="1">
        <v>44849.279999999999</v>
      </c>
      <c r="AF2972">
        <v>70.959999999999994</v>
      </c>
      <c r="AJ2972">
        <v>0</v>
      </c>
      <c r="AK2972">
        <v>0</v>
      </c>
      <c r="AL2972">
        <v>0</v>
      </c>
      <c r="AM2972">
        <v>471.4</v>
      </c>
      <c r="AN2972">
        <v>471.4</v>
      </c>
      <c r="AO2972">
        <v>471.4</v>
      </c>
      <c r="AP2972" s="2">
        <v>42746</v>
      </c>
      <c r="AQ2972" t="s">
        <v>72</v>
      </c>
      <c r="AR2972" t="s">
        <v>72</v>
      </c>
      <c r="AS2972">
        <v>2946</v>
      </c>
      <c r="AT2972" s="4">
        <v>42681</v>
      </c>
      <c r="AU2972" t="s">
        <v>73</v>
      </c>
      <c r="AV2972">
        <v>2946</v>
      </c>
      <c r="AW2972" s="4">
        <v>42681</v>
      </c>
      <c r="BC2972">
        <v>70.959999999999994</v>
      </c>
      <c r="BD2972">
        <v>0</v>
      </c>
      <c r="BN2972" t="s">
        <v>74</v>
      </c>
    </row>
    <row r="2973" spans="1:66">
      <c r="A2973">
        <v>100996</v>
      </c>
      <c r="B2973" s="3" t="s">
        <v>347</v>
      </c>
      <c r="C2973" s="1">
        <v>43300101</v>
      </c>
      <c r="D2973" t="s">
        <v>67</v>
      </c>
      <c r="H2973" t="str">
        <f t="shared" si="296"/>
        <v>RRORCR53R19A783X</v>
      </c>
      <c r="I2973" t="str">
        <f t="shared" si="297"/>
        <v>00610690620</v>
      </c>
      <c r="K2973" t="str">
        <f>""</f>
        <v/>
      </c>
      <c r="M2973" t="s">
        <v>68</v>
      </c>
      <c r="N2973" t="str">
        <f t="shared" si="298"/>
        <v>FOR</v>
      </c>
      <c r="O2973" t="s">
        <v>69</v>
      </c>
      <c r="P2973" s="3" t="s">
        <v>75</v>
      </c>
      <c r="Q2973">
        <v>2016</v>
      </c>
      <c r="R2973" s="2">
        <v>42516</v>
      </c>
      <c r="S2973" s="2">
        <v>42520</v>
      </c>
      <c r="T2973" s="2">
        <v>42516</v>
      </c>
      <c r="U2973" s="2">
        <v>42576</v>
      </c>
      <c r="V2973" t="s">
        <v>71</v>
      </c>
      <c r="W2973" t="str">
        <f>"  000021-2016-ELETTR"</f>
        <v xml:space="preserve">  000021-2016-ELETTR</v>
      </c>
      <c r="X2973">
        <v>346.34</v>
      </c>
      <c r="Y2973">
        <v>0</v>
      </c>
      <c r="Z2973" s="3">
        <v>286.36</v>
      </c>
      <c r="AA2973">
        <v>105</v>
      </c>
      <c r="AB2973" s="5">
        <v>30067.8</v>
      </c>
      <c r="AC2973">
        <v>286.36</v>
      </c>
      <c r="AD2973">
        <v>105</v>
      </c>
      <c r="AE2973" s="1">
        <v>30067.8</v>
      </c>
      <c r="AF2973">
        <v>59.98</v>
      </c>
      <c r="AJ2973">
        <v>0</v>
      </c>
      <c r="AK2973">
        <v>0</v>
      </c>
      <c r="AL2973">
        <v>0</v>
      </c>
      <c r="AM2973">
        <v>346.34</v>
      </c>
      <c r="AN2973">
        <v>346.34</v>
      </c>
      <c r="AO2973">
        <v>346.34</v>
      </c>
      <c r="AP2973" s="2">
        <v>42746</v>
      </c>
      <c r="AQ2973" t="s">
        <v>72</v>
      </c>
      <c r="AR2973" t="s">
        <v>72</v>
      </c>
      <c r="AS2973">
        <v>2946</v>
      </c>
      <c r="AT2973" s="4">
        <v>42681</v>
      </c>
      <c r="AU2973" t="s">
        <v>73</v>
      </c>
      <c r="AV2973">
        <v>2946</v>
      </c>
      <c r="AW2973" s="4">
        <v>42681</v>
      </c>
      <c r="BC2973">
        <v>59.98</v>
      </c>
      <c r="BD2973">
        <v>0</v>
      </c>
      <c r="BN2973" t="s">
        <v>74</v>
      </c>
    </row>
    <row r="2974" spans="1:66">
      <c r="A2974">
        <v>100996</v>
      </c>
      <c r="B2974" s="3" t="s">
        <v>347</v>
      </c>
      <c r="C2974" s="1">
        <v>43300101</v>
      </c>
      <c r="D2974" t="s">
        <v>67</v>
      </c>
      <c r="H2974" t="str">
        <f t="shared" si="296"/>
        <v>RRORCR53R19A783X</v>
      </c>
      <c r="I2974" t="str">
        <f t="shared" si="297"/>
        <v>00610690620</v>
      </c>
      <c r="K2974" t="str">
        <f>""</f>
        <v/>
      </c>
      <c r="M2974" t="s">
        <v>68</v>
      </c>
      <c r="N2974" t="str">
        <f t="shared" si="298"/>
        <v>FOR</v>
      </c>
      <c r="O2974" t="s">
        <v>69</v>
      </c>
      <c r="P2974" s="3" t="s">
        <v>75</v>
      </c>
      <c r="Q2974">
        <v>2016</v>
      </c>
      <c r="R2974" s="2">
        <v>42522</v>
      </c>
      <c r="S2974" s="2">
        <v>42527</v>
      </c>
      <c r="T2974" s="2">
        <v>42522</v>
      </c>
      <c r="U2974" s="2">
        <v>42582</v>
      </c>
      <c r="V2974" t="s">
        <v>71</v>
      </c>
      <c r="W2974" t="str">
        <f>"  000022-2016-ELETTR"</f>
        <v xml:space="preserve">  000022-2016-ELETTR</v>
      </c>
      <c r="X2974">
        <v>606.74</v>
      </c>
      <c r="Y2974">
        <v>0</v>
      </c>
      <c r="Z2974" s="3">
        <v>507.24</v>
      </c>
      <c r="AA2974">
        <v>99</v>
      </c>
      <c r="AB2974" s="5">
        <v>50216.76</v>
      </c>
      <c r="AC2974">
        <v>507.24</v>
      </c>
      <c r="AD2974">
        <v>99</v>
      </c>
      <c r="AE2974" s="1">
        <v>50216.76</v>
      </c>
      <c r="AF2974">
        <v>99.5</v>
      </c>
      <c r="AJ2974">
        <v>0</v>
      </c>
      <c r="AK2974">
        <v>0</v>
      </c>
      <c r="AL2974">
        <v>0</v>
      </c>
      <c r="AM2974">
        <v>606.74</v>
      </c>
      <c r="AN2974">
        <v>606.74</v>
      </c>
      <c r="AO2974">
        <v>606.74</v>
      </c>
      <c r="AP2974" s="2">
        <v>42746</v>
      </c>
      <c r="AQ2974" t="s">
        <v>72</v>
      </c>
      <c r="AR2974" t="s">
        <v>72</v>
      </c>
      <c r="AS2974">
        <v>2946</v>
      </c>
      <c r="AT2974" s="4">
        <v>42681</v>
      </c>
      <c r="AU2974" t="s">
        <v>73</v>
      </c>
      <c r="AV2974">
        <v>2946</v>
      </c>
      <c r="AW2974" s="4">
        <v>42681</v>
      </c>
      <c r="BC2974">
        <v>99.5</v>
      </c>
      <c r="BD2974">
        <v>0</v>
      </c>
      <c r="BN2974" t="s">
        <v>74</v>
      </c>
    </row>
    <row r="2975" spans="1:66">
      <c r="A2975">
        <v>100996</v>
      </c>
      <c r="B2975" s="3" t="s">
        <v>347</v>
      </c>
      <c r="C2975" s="1">
        <v>43300101</v>
      </c>
      <c r="D2975" t="s">
        <v>67</v>
      </c>
      <c r="H2975" t="str">
        <f t="shared" si="296"/>
        <v>RRORCR53R19A783X</v>
      </c>
      <c r="I2975" t="str">
        <f t="shared" si="297"/>
        <v>00610690620</v>
      </c>
      <c r="K2975" t="str">
        <f>""</f>
        <v/>
      </c>
      <c r="M2975" t="s">
        <v>68</v>
      </c>
      <c r="N2975" t="str">
        <f t="shared" si="298"/>
        <v>FOR</v>
      </c>
      <c r="O2975" t="s">
        <v>69</v>
      </c>
      <c r="P2975" s="3" t="s">
        <v>75</v>
      </c>
      <c r="Q2975">
        <v>2016</v>
      </c>
      <c r="R2975" s="2">
        <v>42531</v>
      </c>
      <c r="S2975" s="2">
        <v>42534</v>
      </c>
      <c r="T2975" s="2">
        <v>42531</v>
      </c>
      <c r="U2975" s="2">
        <v>42591</v>
      </c>
      <c r="V2975" t="s">
        <v>71</v>
      </c>
      <c r="W2975" t="str">
        <f>"  000023-2016-ELETTR"</f>
        <v xml:space="preserve">  000023-2016-ELETTR</v>
      </c>
      <c r="X2975">
        <v>628.95000000000005</v>
      </c>
      <c r="Y2975">
        <v>0</v>
      </c>
      <c r="Z2975" s="3">
        <v>522.14</v>
      </c>
      <c r="AA2975">
        <v>90</v>
      </c>
      <c r="AB2975" s="5">
        <v>46992.6</v>
      </c>
      <c r="AC2975">
        <v>522.14</v>
      </c>
      <c r="AD2975">
        <v>90</v>
      </c>
      <c r="AE2975" s="1">
        <v>46992.6</v>
      </c>
      <c r="AF2975">
        <v>106.81</v>
      </c>
      <c r="AJ2975">
        <v>0</v>
      </c>
      <c r="AK2975">
        <v>0</v>
      </c>
      <c r="AL2975">
        <v>0</v>
      </c>
      <c r="AM2975">
        <v>628.95000000000005</v>
      </c>
      <c r="AN2975">
        <v>628.95000000000005</v>
      </c>
      <c r="AO2975">
        <v>628.95000000000005</v>
      </c>
      <c r="AP2975" s="2">
        <v>42746</v>
      </c>
      <c r="AQ2975" t="s">
        <v>72</v>
      </c>
      <c r="AR2975" t="s">
        <v>72</v>
      </c>
      <c r="AS2975">
        <v>2946</v>
      </c>
      <c r="AT2975" s="4">
        <v>42681</v>
      </c>
      <c r="AU2975" t="s">
        <v>73</v>
      </c>
      <c r="AV2975">
        <v>2946</v>
      </c>
      <c r="AW2975" s="4">
        <v>42681</v>
      </c>
      <c r="BB2975">
        <v>106.81</v>
      </c>
      <c r="BD2975">
        <v>0</v>
      </c>
      <c r="BN2975" t="s">
        <v>74</v>
      </c>
    </row>
    <row r="2976" spans="1:66">
      <c r="A2976">
        <v>100996</v>
      </c>
      <c r="B2976" s="3" t="s">
        <v>347</v>
      </c>
      <c r="C2976" s="1">
        <v>43300101</v>
      </c>
      <c r="D2976" t="s">
        <v>67</v>
      </c>
      <c r="H2976" t="str">
        <f t="shared" si="296"/>
        <v>RRORCR53R19A783X</v>
      </c>
      <c r="I2976" t="str">
        <f t="shared" si="297"/>
        <v>00610690620</v>
      </c>
      <c r="K2976" t="str">
        <f>""</f>
        <v/>
      </c>
      <c r="M2976" t="s">
        <v>68</v>
      </c>
      <c r="N2976" t="str">
        <f t="shared" si="298"/>
        <v>FOR</v>
      </c>
      <c r="O2976" t="s">
        <v>69</v>
      </c>
      <c r="P2976" s="3" t="s">
        <v>75</v>
      </c>
      <c r="Q2976">
        <v>2016</v>
      </c>
      <c r="R2976" s="2">
        <v>42559</v>
      </c>
      <c r="S2976" s="2">
        <v>42562</v>
      </c>
      <c r="T2976" s="2">
        <v>42559</v>
      </c>
      <c r="U2976" s="2">
        <v>42619</v>
      </c>
      <c r="V2976" t="s">
        <v>71</v>
      </c>
      <c r="W2976" t="str">
        <f>"  000026-2016-ELETTR"</f>
        <v xml:space="preserve">  000026-2016-ELETTR</v>
      </c>
      <c r="X2976">
        <v>276.16000000000003</v>
      </c>
      <c r="Y2976">
        <v>0</v>
      </c>
      <c r="Z2976" s="3">
        <v>226.36</v>
      </c>
      <c r="AA2976">
        <v>62</v>
      </c>
      <c r="AB2976" s="5">
        <v>14034.32</v>
      </c>
      <c r="AC2976">
        <v>226.36</v>
      </c>
      <c r="AD2976">
        <v>62</v>
      </c>
      <c r="AE2976" s="1">
        <v>14034.32</v>
      </c>
      <c r="AF2976">
        <v>49.8</v>
      </c>
      <c r="AJ2976">
        <v>0</v>
      </c>
      <c r="AK2976">
        <v>0</v>
      </c>
      <c r="AL2976">
        <v>0</v>
      </c>
      <c r="AM2976">
        <v>276.16000000000003</v>
      </c>
      <c r="AN2976">
        <v>276.16000000000003</v>
      </c>
      <c r="AO2976">
        <v>276.16000000000003</v>
      </c>
      <c r="AP2976" s="2">
        <v>42746</v>
      </c>
      <c r="AQ2976" t="s">
        <v>72</v>
      </c>
      <c r="AR2976" t="s">
        <v>72</v>
      </c>
      <c r="AS2976">
        <v>2946</v>
      </c>
      <c r="AT2976" s="4">
        <v>42681</v>
      </c>
      <c r="AU2976" t="s">
        <v>73</v>
      </c>
      <c r="AV2976">
        <v>2946</v>
      </c>
      <c r="AW2976" s="4">
        <v>42681</v>
      </c>
      <c r="BA2976">
        <v>49.8</v>
      </c>
      <c r="BD2976">
        <v>0</v>
      </c>
      <c r="BN2976" t="s">
        <v>74</v>
      </c>
    </row>
    <row r="2977" spans="1:66">
      <c r="A2977">
        <v>100996</v>
      </c>
      <c r="B2977" s="3" t="s">
        <v>347</v>
      </c>
      <c r="C2977" s="1">
        <v>43300101</v>
      </c>
      <c r="D2977" t="s">
        <v>67</v>
      </c>
      <c r="H2977" t="str">
        <f t="shared" si="296"/>
        <v>RRORCR53R19A783X</v>
      </c>
      <c r="I2977" t="str">
        <f t="shared" si="297"/>
        <v>00610690620</v>
      </c>
      <c r="K2977" t="str">
        <f>""</f>
        <v/>
      </c>
      <c r="M2977" t="s">
        <v>68</v>
      </c>
      <c r="N2977" t="str">
        <f t="shared" si="298"/>
        <v>FOR</v>
      </c>
      <c r="O2977" t="s">
        <v>69</v>
      </c>
      <c r="P2977" s="3" t="s">
        <v>75</v>
      </c>
      <c r="Q2977">
        <v>2016</v>
      </c>
      <c r="R2977" s="2">
        <v>42562</v>
      </c>
      <c r="S2977" s="2">
        <v>42562</v>
      </c>
      <c r="T2977" s="2">
        <v>42562</v>
      </c>
      <c r="U2977" s="2">
        <v>42622</v>
      </c>
      <c r="V2977" t="s">
        <v>71</v>
      </c>
      <c r="W2977" t="str">
        <f>"  000027-2016-ELETTR"</f>
        <v xml:space="preserve">  000027-2016-ELETTR</v>
      </c>
      <c r="X2977">
        <v>57.75</v>
      </c>
      <c r="Y2977">
        <v>0</v>
      </c>
      <c r="Z2977" s="3">
        <v>52.5</v>
      </c>
      <c r="AA2977">
        <v>59</v>
      </c>
      <c r="AB2977" s="5">
        <v>3097.5</v>
      </c>
      <c r="AC2977">
        <v>52.5</v>
      </c>
      <c r="AD2977">
        <v>59</v>
      </c>
      <c r="AE2977" s="1">
        <v>3097.5</v>
      </c>
      <c r="AF2977">
        <v>5.25</v>
      </c>
      <c r="AJ2977">
        <v>0</v>
      </c>
      <c r="AK2977">
        <v>0</v>
      </c>
      <c r="AL2977">
        <v>0</v>
      </c>
      <c r="AM2977">
        <v>57.75</v>
      </c>
      <c r="AN2977">
        <v>57.75</v>
      </c>
      <c r="AO2977">
        <v>57.75</v>
      </c>
      <c r="AP2977" s="2">
        <v>42746</v>
      </c>
      <c r="AQ2977" t="s">
        <v>72</v>
      </c>
      <c r="AR2977" t="s">
        <v>72</v>
      </c>
      <c r="AS2977">
        <v>2946</v>
      </c>
      <c r="AT2977" s="4">
        <v>42681</v>
      </c>
      <c r="AU2977" t="s">
        <v>73</v>
      </c>
      <c r="AV2977">
        <v>2946</v>
      </c>
      <c r="AW2977" s="4">
        <v>42681</v>
      </c>
      <c r="BA2977">
        <v>5.25</v>
      </c>
      <c r="BD2977">
        <v>0</v>
      </c>
      <c r="BN2977" t="s">
        <v>74</v>
      </c>
    </row>
    <row r="2978" spans="1:66" hidden="1">
      <c r="A2978">
        <v>100999</v>
      </c>
      <c r="B2978" s="3" t="s">
        <v>348</v>
      </c>
      <c r="C2978" s="1">
        <v>43500101</v>
      </c>
      <c r="D2978" t="s">
        <v>113</v>
      </c>
      <c r="H2978" t="str">
        <f t="shared" ref="H2978:I2989" si="299">"05694110486"</f>
        <v>05694110486</v>
      </c>
      <c r="I2978" t="str">
        <f t="shared" si="299"/>
        <v>05694110486</v>
      </c>
      <c r="K2978" t="str">
        <f>""</f>
        <v/>
      </c>
      <c r="M2978" t="s">
        <v>68</v>
      </c>
      <c r="N2978" t="str">
        <f t="shared" ref="N2978:N2989" si="300">"ALTFIN"</f>
        <v>ALTFIN</v>
      </c>
      <c r="O2978" t="s">
        <v>123</v>
      </c>
      <c r="P2978" s="3" t="s">
        <v>84</v>
      </c>
      <c r="Q2978">
        <v>2016</v>
      </c>
      <c r="R2978" s="2">
        <v>42389</v>
      </c>
      <c r="S2978" s="2">
        <v>42390</v>
      </c>
      <c r="T2978" s="2">
        <v>42390</v>
      </c>
      <c r="U2978" s="2">
        <v>42450</v>
      </c>
      <c r="V2978" t="s">
        <v>71</v>
      </c>
      <c r="W2978" t="str">
        <f>"                0120"</f>
        <v xml:space="preserve">                0120</v>
      </c>
      <c r="X2978">
        <v>0</v>
      </c>
      <c r="Y2978" s="1">
        <v>1683</v>
      </c>
      <c r="Z2978"/>
      <c r="AB2978"/>
      <c r="AC2978" s="1">
        <v>1683</v>
      </c>
      <c r="AD2978">
        <v>-60</v>
      </c>
      <c r="AE2978" s="1">
        <v>-100980</v>
      </c>
      <c r="AF2978">
        <v>0</v>
      </c>
      <c r="AJ2978">
        <v>0</v>
      </c>
      <c r="AK2978">
        <v>0</v>
      </c>
      <c r="AL2978">
        <v>0</v>
      </c>
      <c r="AM2978" s="1">
        <v>1683</v>
      </c>
      <c r="AN2978" s="1">
        <v>1683</v>
      </c>
      <c r="AO2978" s="1">
        <v>1683</v>
      </c>
      <c r="AP2978" s="2">
        <v>42746</v>
      </c>
      <c r="AQ2978" t="s">
        <v>72</v>
      </c>
      <c r="AR2978" t="s">
        <v>72</v>
      </c>
      <c r="AS2978">
        <v>33</v>
      </c>
      <c r="AT2978" s="4">
        <v>42390</v>
      </c>
      <c r="AV2978">
        <v>33</v>
      </c>
      <c r="AW2978" s="4">
        <v>42390</v>
      </c>
      <c r="BD2978">
        <v>0</v>
      </c>
      <c r="BN2978" t="s">
        <v>74</v>
      </c>
    </row>
    <row r="2979" spans="1:66" hidden="1">
      <c r="A2979">
        <v>100999</v>
      </c>
      <c r="B2979" s="3" t="s">
        <v>348</v>
      </c>
      <c r="C2979" s="1">
        <v>43500101</v>
      </c>
      <c r="D2979" t="s">
        <v>113</v>
      </c>
      <c r="H2979" t="str">
        <f t="shared" si="299"/>
        <v>05694110486</v>
      </c>
      <c r="I2979" t="str">
        <f t="shared" si="299"/>
        <v>05694110486</v>
      </c>
      <c r="K2979" t="str">
        <f>""</f>
        <v/>
      </c>
      <c r="M2979" t="s">
        <v>68</v>
      </c>
      <c r="N2979" t="str">
        <f t="shared" si="300"/>
        <v>ALTFIN</v>
      </c>
      <c r="O2979" t="s">
        <v>123</v>
      </c>
      <c r="P2979" s="3" t="s">
        <v>85</v>
      </c>
      <c r="Q2979">
        <v>2016</v>
      </c>
      <c r="R2979" s="2">
        <v>42422</v>
      </c>
      <c r="S2979" s="2">
        <v>42422</v>
      </c>
      <c r="T2979" s="2">
        <v>42422</v>
      </c>
      <c r="U2979" s="2">
        <v>42482</v>
      </c>
      <c r="V2979" t="s">
        <v>71</v>
      </c>
      <c r="W2979" t="str">
        <f>"                0222"</f>
        <v xml:space="preserve">                0222</v>
      </c>
      <c r="X2979">
        <v>0</v>
      </c>
      <c r="Y2979" s="1">
        <v>1683</v>
      </c>
      <c r="Z2979"/>
      <c r="AB2979"/>
      <c r="AC2979" s="1">
        <v>1683</v>
      </c>
      <c r="AD2979">
        <v>-58</v>
      </c>
      <c r="AE2979" s="1">
        <v>-97614</v>
      </c>
      <c r="AF2979">
        <v>0</v>
      </c>
      <c r="AJ2979">
        <v>0</v>
      </c>
      <c r="AK2979">
        <v>0</v>
      </c>
      <c r="AL2979">
        <v>0</v>
      </c>
      <c r="AM2979" s="1">
        <v>1683</v>
      </c>
      <c r="AN2979" s="1">
        <v>1683</v>
      </c>
      <c r="AO2979" s="1">
        <v>1683</v>
      </c>
      <c r="AP2979" s="2">
        <v>42746</v>
      </c>
      <c r="AQ2979" t="s">
        <v>72</v>
      </c>
      <c r="AR2979" t="s">
        <v>72</v>
      </c>
      <c r="AS2979">
        <v>478</v>
      </c>
      <c r="AT2979" s="4">
        <v>42424</v>
      </c>
      <c r="AV2979">
        <v>478</v>
      </c>
      <c r="AW2979" s="4">
        <v>42424</v>
      </c>
      <c r="BD2979">
        <v>0</v>
      </c>
      <c r="BN2979" t="s">
        <v>74</v>
      </c>
    </row>
    <row r="2980" spans="1:66" hidden="1">
      <c r="A2980">
        <v>100999</v>
      </c>
      <c r="B2980" s="3" t="s">
        <v>348</v>
      </c>
      <c r="C2980" s="1">
        <v>43500101</v>
      </c>
      <c r="D2980" t="s">
        <v>113</v>
      </c>
      <c r="H2980" t="str">
        <f t="shared" si="299"/>
        <v>05694110486</v>
      </c>
      <c r="I2980" t="str">
        <f t="shared" si="299"/>
        <v>05694110486</v>
      </c>
      <c r="K2980" t="str">
        <f>""</f>
        <v/>
      </c>
      <c r="M2980" t="s">
        <v>68</v>
      </c>
      <c r="N2980" t="str">
        <f t="shared" si="300"/>
        <v>ALTFIN</v>
      </c>
      <c r="O2980" t="s">
        <v>123</v>
      </c>
      <c r="P2980" s="3" t="s">
        <v>86</v>
      </c>
      <c r="Q2980">
        <v>2016</v>
      </c>
      <c r="R2980" s="2">
        <v>42450</v>
      </c>
      <c r="S2980" s="2">
        <v>42450</v>
      </c>
      <c r="T2980" s="2">
        <v>42450</v>
      </c>
      <c r="U2980" s="2">
        <v>42510</v>
      </c>
      <c r="V2980" t="s">
        <v>71</v>
      </c>
      <c r="W2980" t="str">
        <f>"                0321"</f>
        <v xml:space="preserve">                0321</v>
      </c>
      <c r="X2980">
        <v>0</v>
      </c>
      <c r="Y2980" s="1">
        <v>1683</v>
      </c>
      <c r="Z2980"/>
      <c r="AB2980"/>
      <c r="AC2980" s="1">
        <v>1683</v>
      </c>
      <c r="AD2980">
        <v>-57</v>
      </c>
      <c r="AE2980" s="1">
        <v>-95931</v>
      </c>
      <c r="AF2980">
        <v>0</v>
      </c>
      <c r="AJ2980">
        <v>0</v>
      </c>
      <c r="AK2980">
        <v>0</v>
      </c>
      <c r="AL2980">
        <v>0</v>
      </c>
      <c r="AM2980" s="1">
        <v>1683</v>
      </c>
      <c r="AN2980" s="1">
        <v>1683</v>
      </c>
      <c r="AO2980" s="1">
        <v>1683</v>
      </c>
      <c r="AP2980" s="2">
        <v>42746</v>
      </c>
      <c r="AQ2980" t="s">
        <v>72</v>
      </c>
      <c r="AR2980" t="s">
        <v>72</v>
      </c>
      <c r="AS2980">
        <v>900</v>
      </c>
      <c r="AT2980" s="4">
        <v>42453</v>
      </c>
      <c r="AV2980">
        <v>900</v>
      </c>
      <c r="AW2980" s="4">
        <v>42453</v>
      </c>
      <c r="BD2980">
        <v>0</v>
      </c>
      <c r="BN2980" t="s">
        <v>74</v>
      </c>
    </row>
    <row r="2981" spans="1:66" hidden="1">
      <c r="A2981">
        <v>100999</v>
      </c>
      <c r="B2981" s="3" t="s">
        <v>348</v>
      </c>
      <c r="C2981" s="1">
        <v>43500101</v>
      </c>
      <c r="D2981" t="s">
        <v>113</v>
      </c>
      <c r="H2981" t="str">
        <f t="shared" si="299"/>
        <v>05694110486</v>
      </c>
      <c r="I2981" t="str">
        <f t="shared" si="299"/>
        <v>05694110486</v>
      </c>
      <c r="K2981" t="str">
        <f>""</f>
        <v/>
      </c>
      <c r="M2981" t="s">
        <v>68</v>
      </c>
      <c r="N2981" t="str">
        <f t="shared" si="300"/>
        <v>ALTFIN</v>
      </c>
      <c r="O2981" t="s">
        <v>123</v>
      </c>
      <c r="P2981" s="3" t="s">
        <v>87</v>
      </c>
      <c r="Q2981">
        <v>2016</v>
      </c>
      <c r="R2981" s="2">
        <v>42481</v>
      </c>
      <c r="S2981" s="2">
        <v>42481</v>
      </c>
      <c r="T2981" s="2">
        <v>42481</v>
      </c>
      <c r="U2981" s="2">
        <v>42541</v>
      </c>
      <c r="V2981" t="s">
        <v>71</v>
      </c>
      <c r="W2981" t="str">
        <f>"                0421"</f>
        <v xml:space="preserve">                0421</v>
      </c>
      <c r="X2981">
        <v>0</v>
      </c>
      <c r="Y2981" s="1">
        <v>1683</v>
      </c>
      <c r="Z2981"/>
      <c r="AB2981"/>
      <c r="AC2981" s="1">
        <v>1683</v>
      </c>
      <c r="AD2981">
        <v>-60</v>
      </c>
      <c r="AE2981" s="1">
        <v>-100980</v>
      </c>
      <c r="AF2981">
        <v>0</v>
      </c>
      <c r="AJ2981">
        <v>0</v>
      </c>
      <c r="AK2981">
        <v>0</v>
      </c>
      <c r="AL2981">
        <v>0</v>
      </c>
      <c r="AM2981" s="1">
        <v>1683</v>
      </c>
      <c r="AN2981" s="1">
        <v>1683</v>
      </c>
      <c r="AO2981" s="1">
        <v>1683</v>
      </c>
      <c r="AP2981" s="2">
        <v>42746</v>
      </c>
      <c r="AQ2981" t="s">
        <v>72</v>
      </c>
      <c r="AR2981" t="s">
        <v>72</v>
      </c>
      <c r="AS2981">
        <v>1066</v>
      </c>
      <c r="AT2981" s="4">
        <v>42481</v>
      </c>
      <c r="AV2981">
        <v>1066</v>
      </c>
      <c r="AW2981" s="4">
        <v>42481</v>
      </c>
      <c r="BD2981">
        <v>0</v>
      </c>
      <c r="BN2981" t="s">
        <v>74</v>
      </c>
    </row>
    <row r="2982" spans="1:66" hidden="1">
      <c r="A2982">
        <v>100999</v>
      </c>
      <c r="B2982" s="3" t="s">
        <v>348</v>
      </c>
      <c r="C2982" s="1">
        <v>43500101</v>
      </c>
      <c r="D2982" t="s">
        <v>113</v>
      </c>
      <c r="H2982" t="str">
        <f t="shared" si="299"/>
        <v>05694110486</v>
      </c>
      <c r="I2982" t="str">
        <f t="shared" si="299"/>
        <v>05694110486</v>
      </c>
      <c r="K2982" t="str">
        <f>""</f>
        <v/>
      </c>
      <c r="M2982" t="s">
        <v>68</v>
      </c>
      <c r="N2982" t="str">
        <f t="shared" si="300"/>
        <v>ALTFIN</v>
      </c>
      <c r="O2982" t="s">
        <v>123</v>
      </c>
      <c r="P2982" s="3" t="s">
        <v>88</v>
      </c>
      <c r="Q2982">
        <v>2016</v>
      </c>
      <c r="R2982" s="2">
        <v>42508</v>
      </c>
      <c r="S2982" s="2">
        <v>42510</v>
      </c>
      <c r="T2982" s="2">
        <v>42510</v>
      </c>
      <c r="U2982" s="2">
        <v>42570</v>
      </c>
      <c r="V2982" t="s">
        <v>71</v>
      </c>
      <c r="W2982" t="str">
        <f>"                0518"</f>
        <v xml:space="preserve">                0518</v>
      </c>
      <c r="X2982">
        <v>0</v>
      </c>
      <c r="Y2982" s="1">
        <v>1683</v>
      </c>
      <c r="Z2982"/>
      <c r="AB2982"/>
      <c r="AC2982" s="1">
        <v>1683</v>
      </c>
      <c r="AD2982">
        <v>-57</v>
      </c>
      <c r="AE2982" s="1">
        <v>-95931</v>
      </c>
      <c r="AF2982">
        <v>0</v>
      </c>
      <c r="AJ2982">
        <v>0</v>
      </c>
      <c r="AK2982">
        <v>0</v>
      </c>
      <c r="AL2982">
        <v>0</v>
      </c>
      <c r="AM2982" s="1">
        <v>1683</v>
      </c>
      <c r="AN2982" s="1">
        <v>1683</v>
      </c>
      <c r="AO2982" s="1">
        <v>1683</v>
      </c>
      <c r="AP2982" s="2">
        <v>42746</v>
      </c>
      <c r="AQ2982" t="s">
        <v>72</v>
      </c>
      <c r="AR2982" t="s">
        <v>72</v>
      </c>
      <c r="AS2982">
        <v>1304</v>
      </c>
      <c r="AT2982" s="4">
        <v>42513</v>
      </c>
      <c r="AV2982">
        <v>1304</v>
      </c>
      <c r="AW2982" s="4">
        <v>42513</v>
      </c>
      <c r="BD2982">
        <v>0</v>
      </c>
      <c r="BN2982" t="s">
        <v>74</v>
      </c>
    </row>
    <row r="2983" spans="1:66" hidden="1">
      <c r="A2983">
        <v>100999</v>
      </c>
      <c r="B2983" s="3" t="s">
        <v>348</v>
      </c>
      <c r="C2983" s="1">
        <v>43500101</v>
      </c>
      <c r="D2983" t="s">
        <v>113</v>
      </c>
      <c r="H2983" t="str">
        <f t="shared" si="299"/>
        <v>05694110486</v>
      </c>
      <c r="I2983" t="str">
        <f t="shared" si="299"/>
        <v>05694110486</v>
      </c>
      <c r="K2983" t="str">
        <f>""</f>
        <v/>
      </c>
      <c r="M2983" t="s">
        <v>68</v>
      </c>
      <c r="N2983" t="str">
        <f t="shared" si="300"/>
        <v>ALTFIN</v>
      </c>
      <c r="O2983" t="s">
        <v>123</v>
      </c>
      <c r="P2983" s="3" t="s">
        <v>89</v>
      </c>
      <c r="Q2983">
        <v>2016</v>
      </c>
      <c r="R2983" s="2">
        <v>42548</v>
      </c>
      <c r="S2983" s="2">
        <v>42543</v>
      </c>
      <c r="T2983" s="2">
        <v>42543</v>
      </c>
      <c r="U2983" s="2">
        <v>42603</v>
      </c>
      <c r="V2983" t="s">
        <v>71</v>
      </c>
      <c r="W2983" t="str">
        <f>"                0627"</f>
        <v xml:space="preserve">                0627</v>
      </c>
      <c r="X2983">
        <v>0</v>
      </c>
      <c r="Y2983" s="1">
        <v>1683</v>
      </c>
      <c r="Z2983"/>
      <c r="AB2983"/>
      <c r="AC2983" s="1">
        <v>1683</v>
      </c>
      <c r="AD2983">
        <v>-47</v>
      </c>
      <c r="AE2983" s="1">
        <v>-79101</v>
      </c>
      <c r="AF2983">
        <v>0</v>
      </c>
      <c r="AJ2983">
        <v>0</v>
      </c>
      <c r="AK2983">
        <v>0</v>
      </c>
      <c r="AL2983">
        <v>0</v>
      </c>
      <c r="AM2983" s="1">
        <v>1683</v>
      </c>
      <c r="AN2983" s="1">
        <v>1683</v>
      </c>
      <c r="AO2983" s="1">
        <v>1683</v>
      </c>
      <c r="AP2983" s="2">
        <v>42746</v>
      </c>
      <c r="AQ2983" t="s">
        <v>72</v>
      </c>
      <c r="AR2983" t="s">
        <v>72</v>
      </c>
      <c r="AS2983">
        <v>1687</v>
      </c>
      <c r="AT2983" s="4">
        <v>42556</v>
      </c>
      <c r="AV2983">
        <v>1687</v>
      </c>
      <c r="AW2983" s="4">
        <v>42556</v>
      </c>
      <c r="BD2983">
        <v>0</v>
      </c>
      <c r="BN2983" t="s">
        <v>74</v>
      </c>
    </row>
    <row r="2984" spans="1:66" hidden="1">
      <c r="A2984">
        <v>100999</v>
      </c>
      <c r="B2984" s="3" t="s">
        <v>348</v>
      </c>
      <c r="C2984" s="1">
        <v>43500101</v>
      </c>
      <c r="D2984" t="s">
        <v>113</v>
      </c>
      <c r="H2984" t="str">
        <f t="shared" si="299"/>
        <v>05694110486</v>
      </c>
      <c r="I2984" t="str">
        <f t="shared" si="299"/>
        <v>05694110486</v>
      </c>
      <c r="K2984" t="str">
        <f>""</f>
        <v/>
      </c>
      <c r="M2984" t="s">
        <v>68</v>
      </c>
      <c r="N2984" t="str">
        <f t="shared" si="300"/>
        <v>ALTFIN</v>
      </c>
      <c r="O2984" t="s">
        <v>123</v>
      </c>
      <c r="P2984" s="3" t="s">
        <v>90</v>
      </c>
      <c r="Q2984">
        <v>2016</v>
      </c>
      <c r="R2984" s="2">
        <v>42573</v>
      </c>
      <c r="S2984" s="2">
        <v>42573</v>
      </c>
      <c r="T2984" s="2">
        <v>42573</v>
      </c>
      <c r="U2984" s="2">
        <v>42633</v>
      </c>
      <c r="V2984" t="s">
        <v>71</v>
      </c>
      <c r="W2984" t="str">
        <f>"                0722"</f>
        <v xml:space="preserve">                0722</v>
      </c>
      <c r="X2984">
        <v>0</v>
      </c>
      <c r="Y2984" s="1">
        <v>1018</v>
      </c>
      <c r="Z2984"/>
      <c r="AB2984"/>
      <c r="AC2984" s="1">
        <v>1018</v>
      </c>
      <c r="AD2984">
        <v>-48</v>
      </c>
      <c r="AE2984" s="1">
        <v>-48864</v>
      </c>
      <c r="AF2984">
        <v>0</v>
      </c>
      <c r="AJ2984">
        <v>0</v>
      </c>
      <c r="AK2984">
        <v>0</v>
      </c>
      <c r="AL2984">
        <v>0</v>
      </c>
      <c r="AM2984" s="1">
        <v>1018</v>
      </c>
      <c r="AN2984" s="1">
        <v>1018</v>
      </c>
      <c r="AO2984" s="1">
        <v>1018</v>
      </c>
      <c r="AP2984" s="2">
        <v>42746</v>
      </c>
      <c r="AQ2984" t="s">
        <v>72</v>
      </c>
      <c r="AR2984" t="s">
        <v>72</v>
      </c>
      <c r="AS2984">
        <v>2087</v>
      </c>
      <c r="AT2984" s="4">
        <v>42585</v>
      </c>
      <c r="AV2984">
        <v>2087</v>
      </c>
      <c r="AW2984" s="4">
        <v>42585</v>
      </c>
      <c r="BD2984">
        <v>0</v>
      </c>
      <c r="BN2984" t="s">
        <v>74</v>
      </c>
    </row>
    <row r="2985" spans="1:66" hidden="1">
      <c r="A2985">
        <v>100999</v>
      </c>
      <c r="B2985" s="3" t="s">
        <v>348</v>
      </c>
      <c r="C2985" s="1">
        <v>43500101</v>
      </c>
      <c r="D2985" t="s">
        <v>113</v>
      </c>
      <c r="H2985" t="str">
        <f t="shared" si="299"/>
        <v>05694110486</v>
      </c>
      <c r="I2985" t="str">
        <f t="shared" si="299"/>
        <v>05694110486</v>
      </c>
      <c r="K2985" t="str">
        <f>""</f>
        <v/>
      </c>
      <c r="M2985" t="s">
        <v>68</v>
      </c>
      <c r="N2985" t="str">
        <f t="shared" si="300"/>
        <v>ALTFIN</v>
      </c>
      <c r="O2985" t="s">
        <v>123</v>
      </c>
      <c r="P2985" s="3" t="s">
        <v>91</v>
      </c>
      <c r="Q2985">
        <v>2016</v>
      </c>
      <c r="R2985" s="2">
        <v>42592</v>
      </c>
      <c r="S2985" s="2">
        <v>42598</v>
      </c>
      <c r="T2985" s="2">
        <v>42598</v>
      </c>
      <c r="U2985" s="2">
        <v>42658</v>
      </c>
      <c r="V2985" t="s">
        <v>71</v>
      </c>
      <c r="W2985" t="str">
        <f>"                0810"</f>
        <v xml:space="preserve">                0810</v>
      </c>
      <c r="X2985">
        <v>0</v>
      </c>
      <c r="Y2985" s="1">
        <v>1018</v>
      </c>
      <c r="Z2985"/>
      <c r="AB2985"/>
      <c r="AC2985" s="1">
        <v>1018</v>
      </c>
      <c r="AD2985">
        <v>-60</v>
      </c>
      <c r="AE2985" s="1">
        <v>-61080</v>
      </c>
      <c r="AF2985">
        <v>0</v>
      </c>
      <c r="AJ2985">
        <v>0</v>
      </c>
      <c r="AK2985">
        <v>0</v>
      </c>
      <c r="AL2985">
        <v>0</v>
      </c>
      <c r="AM2985" s="1">
        <v>1018</v>
      </c>
      <c r="AN2985" s="1">
        <v>1018</v>
      </c>
      <c r="AO2985" s="1">
        <v>1018</v>
      </c>
      <c r="AP2985" s="2">
        <v>42746</v>
      </c>
      <c r="AQ2985" t="s">
        <v>72</v>
      </c>
      <c r="AR2985" t="s">
        <v>72</v>
      </c>
      <c r="AS2985">
        <v>2169</v>
      </c>
      <c r="AT2985" s="4">
        <v>42598</v>
      </c>
      <c r="AV2985">
        <v>2169</v>
      </c>
      <c r="AW2985" s="4">
        <v>42598</v>
      </c>
      <c r="BD2985">
        <v>0</v>
      </c>
      <c r="BN2985" t="s">
        <v>74</v>
      </c>
    </row>
    <row r="2986" spans="1:66" hidden="1">
      <c r="A2986">
        <v>100999</v>
      </c>
      <c r="B2986" s="3" t="s">
        <v>348</v>
      </c>
      <c r="C2986" s="1">
        <v>43500101</v>
      </c>
      <c r="D2986" t="s">
        <v>113</v>
      </c>
      <c r="H2986" t="str">
        <f t="shared" si="299"/>
        <v>05694110486</v>
      </c>
      <c r="I2986" t="str">
        <f t="shared" si="299"/>
        <v>05694110486</v>
      </c>
      <c r="K2986" t="str">
        <f>""</f>
        <v/>
      </c>
      <c r="M2986" t="s">
        <v>68</v>
      </c>
      <c r="N2986" t="str">
        <f t="shared" si="300"/>
        <v>ALTFIN</v>
      </c>
      <c r="O2986" t="s">
        <v>123</v>
      </c>
      <c r="P2986" s="3" t="s">
        <v>92</v>
      </c>
      <c r="Q2986">
        <v>2016</v>
      </c>
      <c r="R2986" s="2">
        <v>42633</v>
      </c>
      <c r="S2986" s="2">
        <v>42634</v>
      </c>
      <c r="T2986" s="2">
        <v>42634</v>
      </c>
      <c r="U2986" s="2">
        <v>42694</v>
      </c>
      <c r="V2986" t="s">
        <v>71</v>
      </c>
      <c r="W2986" t="str">
        <f>"                0920"</f>
        <v xml:space="preserve">                0920</v>
      </c>
      <c r="X2986">
        <v>0</v>
      </c>
      <c r="Y2986" s="1">
        <v>1018</v>
      </c>
      <c r="Z2986"/>
      <c r="AB2986"/>
      <c r="AC2986" s="1">
        <v>1018</v>
      </c>
      <c r="AD2986">
        <v>-60</v>
      </c>
      <c r="AE2986" s="1">
        <v>-61080</v>
      </c>
      <c r="AF2986">
        <v>0</v>
      </c>
      <c r="AJ2986">
        <v>0</v>
      </c>
      <c r="AK2986">
        <v>0</v>
      </c>
      <c r="AL2986">
        <v>0</v>
      </c>
      <c r="AM2986" s="1">
        <v>1018</v>
      </c>
      <c r="AN2986" s="1">
        <v>1018</v>
      </c>
      <c r="AO2986" s="1">
        <v>1018</v>
      </c>
      <c r="AP2986" s="2">
        <v>42746</v>
      </c>
      <c r="AQ2986" t="s">
        <v>72</v>
      </c>
      <c r="AR2986" t="s">
        <v>72</v>
      </c>
      <c r="AS2986">
        <v>2442</v>
      </c>
      <c r="AT2986" s="4">
        <v>42634</v>
      </c>
      <c r="AV2986">
        <v>2442</v>
      </c>
      <c r="AW2986" s="4">
        <v>42634</v>
      </c>
      <c r="BD2986">
        <v>0</v>
      </c>
      <c r="BN2986" t="s">
        <v>74</v>
      </c>
    </row>
    <row r="2987" spans="1:66" hidden="1">
      <c r="A2987">
        <v>100999</v>
      </c>
      <c r="B2987" s="3" t="s">
        <v>348</v>
      </c>
      <c r="C2987" s="1">
        <v>43500101</v>
      </c>
      <c r="D2987" t="s">
        <v>113</v>
      </c>
      <c r="H2987" t="str">
        <f t="shared" si="299"/>
        <v>05694110486</v>
      </c>
      <c r="I2987" t="str">
        <f t="shared" si="299"/>
        <v>05694110486</v>
      </c>
      <c r="K2987" t="str">
        <f>""</f>
        <v/>
      </c>
      <c r="M2987" t="s">
        <v>68</v>
      </c>
      <c r="N2987" t="str">
        <f t="shared" si="300"/>
        <v>ALTFIN</v>
      </c>
      <c r="O2987" t="s">
        <v>123</v>
      </c>
      <c r="P2987" s="3" t="s">
        <v>93</v>
      </c>
      <c r="Q2987">
        <v>2016</v>
      </c>
      <c r="R2987" s="2">
        <v>42664</v>
      </c>
      <c r="S2987" s="2">
        <v>42667</v>
      </c>
      <c r="T2987" s="2">
        <v>42667</v>
      </c>
      <c r="U2987" s="2">
        <v>42727</v>
      </c>
      <c r="V2987" t="s">
        <v>71</v>
      </c>
      <c r="W2987" t="str">
        <f>"                1021"</f>
        <v xml:space="preserve">                1021</v>
      </c>
      <c r="X2987">
        <v>0</v>
      </c>
      <c r="Y2987" s="1">
        <v>1018</v>
      </c>
      <c r="Z2987" s="5">
        <v>1018</v>
      </c>
      <c r="AA2987">
        <v>-60</v>
      </c>
      <c r="AB2987" s="5">
        <v>-61080</v>
      </c>
      <c r="AC2987" s="1">
        <v>1018</v>
      </c>
      <c r="AD2987">
        <v>-60</v>
      </c>
      <c r="AE2987" s="1">
        <v>-61080</v>
      </c>
      <c r="AF2987">
        <v>0</v>
      </c>
      <c r="AJ2987" s="1">
        <v>1018</v>
      </c>
      <c r="AK2987" s="1">
        <v>1018</v>
      </c>
      <c r="AL2987" s="1">
        <v>1018</v>
      </c>
      <c r="AM2987" s="1">
        <v>1018</v>
      </c>
      <c r="AN2987" s="1">
        <v>1018</v>
      </c>
      <c r="AO2987" s="1">
        <v>1018</v>
      </c>
      <c r="AP2987" s="2">
        <v>42746</v>
      </c>
      <c r="AQ2987" t="s">
        <v>72</v>
      </c>
      <c r="AR2987" t="s">
        <v>72</v>
      </c>
      <c r="AS2987">
        <v>2789</v>
      </c>
      <c r="AT2987" s="4">
        <v>42667</v>
      </c>
      <c r="AV2987">
        <v>2789</v>
      </c>
      <c r="AW2987" s="4">
        <v>42667</v>
      </c>
      <c r="BD2987">
        <v>0</v>
      </c>
      <c r="BN2987" t="s">
        <v>74</v>
      </c>
    </row>
    <row r="2988" spans="1:66" hidden="1">
      <c r="A2988">
        <v>100999</v>
      </c>
      <c r="B2988" s="3" t="s">
        <v>348</v>
      </c>
      <c r="C2988" s="1">
        <v>43500101</v>
      </c>
      <c r="D2988" t="s">
        <v>113</v>
      </c>
      <c r="H2988" t="str">
        <f t="shared" si="299"/>
        <v>05694110486</v>
      </c>
      <c r="I2988" t="str">
        <f t="shared" si="299"/>
        <v>05694110486</v>
      </c>
      <c r="K2988" t="str">
        <f>""</f>
        <v/>
      </c>
      <c r="M2988" t="s">
        <v>68</v>
      </c>
      <c r="N2988" t="str">
        <f t="shared" si="300"/>
        <v>ALTFIN</v>
      </c>
      <c r="O2988" t="s">
        <v>123</v>
      </c>
      <c r="P2988" s="3" t="s">
        <v>94</v>
      </c>
      <c r="Q2988">
        <v>2016</v>
      </c>
      <c r="R2988" s="2">
        <v>42696</v>
      </c>
      <c r="S2988" s="2">
        <v>42696</v>
      </c>
      <c r="T2988" s="2">
        <v>42696</v>
      </c>
      <c r="U2988" s="2">
        <v>42756</v>
      </c>
      <c r="V2988" t="s">
        <v>71</v>
      </c>
      <c r="W2988" t="str">
        <f>"                1122"</f>
        <v xml:space="preserve">                1122</v>
      </c>
      <c r="X2988">
        <v>0</v>
      </c>
      <c r="Y2988" s="1">
        <v>1018</v>
      </c>
      <c r="Z2988" s="5">
        <v>1018</v>
      </c>
      <c r="AA2988">
        <v>-59</v>
      </c>
      <c r="AB2988" s="5">
        <v>-60062</v>
      </c>
      <c r="AC2988" s="1">
        <v>1018</v>
      </c>
      <c r="AD2988">
        <v>-59</v>
      </c>
      <c r="AE2988" s="1">
        <v>-60062</v>
      </c>
      <c r="AF2988">
        <v>0</v>
      </c>
      <c r="AJ2988" s="1">
        <v>1018</v>
      </c>
      <c r="AK2988" s="1">
        <v>1018</v>
      </c>
      <c r="AL2988" s="1">
        <v>1018</v>
      </c>
      <c r="AM2988" s="1">
        <v>1018</v>
      </c>
      <c r="AN2988" s="1">
        <v>1018</v>
      </c>
      <c r="AO2988" s="1">
        <v>1018</v>
      </c>
      <c r="AP2988" s="2">
        <v>42746</v>
      </c>
      <c r="AQ2988" t="s">
        <v>72</v>
      </c>
      <c r="AR2988" t="s">
        <v>72</v>
      </c>
      <c r="AS2988">
        <v>3227</v>
      </c>
      <c r="AT2988" s="4">
        <v>42697</v>
      </c>
      <c r="AV2988">
        <v>3227</v>
      </c>
      <c r="AW2988" s="4">
        <v>42697</v>
      </c>
      <c r="BD2988">
        <v>0</v>
      </c>
      <c r="BN2988" t="s">
        <v>74</v>
      </c>
    </row>
    <row r="2989" spans="1:66" hidden="1">
      <c r="A2989">
        <v>100999</v>
      </c>
      <c r="B2989" s="3" t="s">
        <v>348</v>
      </c>
      <c r="C2989" s="1">
        <v>43500101</v>
      </c>
      <c r="D2989" t="s">
        <v>113</v>
      </c>
      <c r="H2989" t="str">
        <f t="shared" si="299"/>
        <v>05694110486</v>
      </c>
      <c r="I2989" t="str">
        <f t="shared" si="299"/>
        <v>05694110486</v>
      </c>
      <c r="K2989" t="str">
        <f>""</f>
        <v/>
      </c>
      <c r="M2989" t="s">
        <v>68</v>
      </c>
      <c r="N2989" t="str">
        <f t="shared" si="300"/>
        <v>ALTFIN</v>
      </c>
      <c r="O2989" t="s">
        <v>123</v>
      </c>
      <c r="P2989" s="3" t="s">
        <v>95</v>
      </c>
      <c r="Q2989">
        <v>2016</v>
      </c>
      <c r="R2989" s="2">
        <v>42717</v>
      </c>
      <c r="S2989" s="2">
        <v>42717</v>
      </c>
      <c r="T2989" s="2">
        <v>42717</v>
      </c>
      <c r="U2989" s="2">
        <v>42777</v>
      </c>
      <c r="V2989" t="s">
        <v>71</v>
      </c>
      <c r="W2989" t="str">
        <f>"                1213"</f>
        <v xml:space="preserve">                1213</v>
      </c>
      <c r="X2989">
        <v>0</v>
      </c>
      <c r="Y2989" s="1">
        <v>1018</v>
      </c>
      <c r="Z2989" s="5">
        <v>1018</v>
      </c>
      <c r="AA2989">
        <v>-59</v>
      </c>
      <c r="AB2989" s="5">
        <v>-60062</v>
      </c>
      <c r="AC2989" s="1">
        <v>1018</v>
      </c>
      <c r="AD2989">
        <v>-59</v>
      </c>
      <c r="AE2989" s="1">
        <v>-60062</v>
      </c>
      <c r="AF2989">
        <v>0</v>
      </c>
      <c r="AJ2989" s="1">
        <v>1018</v>
      </c>
      <c r="AK2989" s="1">
        <v>1018</v>
      </c>
      <c r="AL2989" s="1">
        <v>1018</v>
      </c>
      <c r="AM2989" s="1">
        <v>1018</v>
      </c>
      <c r="AN2989" s="1">
        <v>1018</v>
      </c>
      <c r="AO2989" s="1">
        <v>1018</v>
      </c>
      <c r="AP2989" s="2">
        <v>42746</v>
      </c>
      <c r="AQ2989" t="s">
        <v>72</v>
      </c>
      <c r="AR2989" t="s">
        <v>72</v>
      </c>
      <c r="AS2989">
        <v>3386</v>
      </c>
      <c r="AT2989" s="4">
        <v>42718</v>
      </c>
      <c r="AV2989">
        <v>3386</v>
      </c>
      <c r="AW2989" s="4">
        <v>42718</v>
      </c>
      <c r="BD2989">
        <v>0</v>
      </c>
      <c r="BN2989" t="s">
        <v>74</v>
      </c>
    </row>
    <row r="2990" spans="1:66">
      <c r="A2990">
        <v>101004</v>
      </c>
      <c r="B2990" s="3" t="s">
        <v>349</v>
      </c>
      <c r="C2990" s="1">
        <v>43300101</v>
      </c>
      <c r="D2990" t="s">
        <v>67</v>
      </c>
      <c r="H2990" t="str">
        <f t="shared" ref="H2990:I3007" si="301">"06356990967"</f>
        <v>06356990967</v>
      </c>
      <c r="I2990" t="str">
        <f t="shared" si="301"/>
        <v>06356990967</v>
      </c>
      <c r="K2990" t="str">
        <f>""</f>
        <v/>
      </c>
      <c r="M2990" t="s">
        <v>68</v>
      </c>
      <c r="N2990" t="str">
        <f t="shared" ref="N2990:N3024" si="302">"FOR"</f>
        <v>FOR</v>
      </c>
      <c r="O2990" t="s">
        <v>69</v>
      </c>
      <c r="P2990" s="3" t="s">
        <v>75</v>
      </c>
      <c r="Q2990">
        <v>2016</v>
      </c>
      <c r="R2990" s="2">
        <v>42573</v>
      </c>
      <c r="S2990" s="2">
        <v>42587</v>
      </c>
      <c r="T2990" s="2">
        <v>42586</v>
      </c>
      <c r="U2990" s="2">
        <v>42646</v>
      </c>
      <c r="V2990" t="s">
        <v>71</v>
      </c>
      <c r="W2990" t="str">
        <f>"          0036000673"</f>
        <v xml:space="preserve">          0036000673</v>
      </c>
      <c r="X2990">
        <v>485.68</v>
      </c>
      <c r="Y2990">
        <v>0</v>
      </c>
      <c r="Z2990" s="3">
        <v>467</v>
      </c>
      <c r="AA2990">
        <v>1</v>
      </c>
      <c r="AB2990" s="3">
        <v>467</v>
      </c>
      <c r="AC2990">
        <v>467</v>
      </c>
      <c r="AD2990">
        <v>1</v>
      </c>
      <c r="AE2990">
        <v>467</v>
      </c>
      <c r="AF2990">
        <v>0</v>
      </c>
      <c r="AJ2990">
        <v>0</v>
      </c>
      <c r="AK2990">
        <v>0</v>
      </c>
      <c r="AL2990">
        <v>0</v>
      </c>
      <c r="AM2990">
        <v>485.68</v>
      </c>
      <c r="AN2990">
        <v>485.68</v>
      </c>
      <c r="AO2990">
        <v>485.68</v>
      </c>
      <c r="AP2990" s="2">
        <v>42746</v>
      </c>
      <c r="AQ2990" t="s">
        <v>72</v>
      </c>
      <c r="AR2990" t="s">
        <v>72</v>
      </c>
      <c r="AS2990">
        <v>2602</v>
      </c>
      <c r="AT2990" s="4">
        <v>42647</v>
      </c>
      <c r="AU2990" t="s">
        <v>73</v>
      </c>
      <c r="AV2990">
        <v>2602</v>
      </c>
      <c r="AW2990" s="4">
        <v>42647</v>
      </c>
      <c r="BD2990">
        <v>0</v>
      </c>
      <c r="BN2990" t="s">
        <v>74</v>
      </c>
    </row>
    <row r="2991" spans="1:66">
      <c r="A2991">
        <v>101004</v>
      </c>
      <c r="B2991" s="3" t="s">
        <v>349</v>
      </c>
      <c r="C2991" s="1">
        <v>43300101</v>
      </c>
      <c r="D2991" t="s">
        <v>67</v>
      </c>
      <c r="H2991" t="str">
        <f t="shared" si="301"/>
        <v>06356990967</v>
      </c>
      <c r="I2991" t="str">
        <f t="shared" si="301"/>
        <v>06356990967</v>
      </c>
      <c r="K2991" t="str">
        <f>""</f>
        <v/>
      </c>
      <c r="M2991" t="s">
        <v>68</v>
      </c>
      <c r="N2991" t="str">
        <f t="shared" si="302"/>
        <v>FOR</v>
      </c>
      <c r="O2991" t="s">
        <v>69</v>
      </c>
      <c r="P2991" s="3" t="s">
        <v>75</v>
      </c>
      <c r="Q2991">
        <v>2016</v>
      </c>
      <c r="R2991" s="2">
        <v>42576</v>
      </c>
      <c r="S2991" s="2">
        <v>42598</v>
      </c>
      <c r="T2991" s="2">
        <v>42593</v>
      </c>
      <c r="U2991" s="2">
        <v>42653</v>
      </c>
      <c r="V2991" t="s">
        <v>71</v>
      </c>
      <c r="W2991" t="str">
        <f>"          0036000678"</f>
        <v xml:space="preserve">          0036000678</v>
      </c>
      <c r="X2991">
        <v>485.68</v>
      </c>
      <c r="Y2991">
        <v>0</v>
      </c>
      <c r="Z2991" s="3">
        <v>467</v>
      </c>
      <c r="AA2991">
        <v>-6</v>
      </c>
      <c r="AB2991" s="5">
        <v>-2802</v>
      </c>
      <c r="AC2991">
        <v>467</v>
      </c>
      <c r="AD2991">
        <v>-6</v>
      </c>
      <c r="AE2991" s="1">
        <v>-2802</v>
      </c>
      <c r="AF2991">
        <v>0</v>
      </c>
      <c r="AJ2991">
        <v>0</v>
      </c>
      <c r="AK2991">
        <v>0</v>
      </c>
      <c r="AL2991">
        <v>0</v>
      </c>
      <c r="AM2991">
        <v>485.68</v>
      </c>
      <c r="AN2991">
        <v>485.68</v>
      </c>
      <c r="AO2991">
        <v>485.68</v>
      </c>
      <c r="AP2991" s="2">
        <v>42746</v>
      </c>
      <c r="AQ2991" t="s">
        <v>72</v>
      </c>
      <c r="AR2991" t="s">
        <v>72</v>
      </c>
      <c r="AS2991">
        <v>2602</v>
      </c>
      <c r="AT2991" s="4">
        <v>42647</v>
      </c>
      <c r="AV2991">
        <v>2602</v>
      </c>
      <c r="AW2991" s="4">
        <v>42647</v>
      </c>
      <c r="BD2991">
        <v>0</v>
      </c>
      <c r="BN2991" t="s">
        <v>74</v>
      </c>
    </row>
    <row r="2992" spans="1:66">
      <c r="A2992">
        <v>101004</v>
      </c>
      <c r="B2992" s="3" t="s">
        <v>349</v>
      </c>
      <c r="C2992" s="1">
        <v>43300101</v>
      </c>
      <c r="D2992" t="s">
        <v>67</v>
      </c>
      <c r="H2992" t="str">
        <f t="shared" si="301"/>
        <v>06356990967</v>
      </c>
      <c r="I2992" t="str">
        <f t="shared" si="301"/>
        <v>06356990967</v>
      </c>
      <c r="K2992" t="str">
        <f>""</f>
        <v/>
      </c>
      <c r="M2992" t="s">
        <v>68</v>
      </c>
      <c r="N2992" t="str">
        <f t="shared" si="302"/>
        <v>FOR</v>
      </c>
      <c r="O2992" t="s">
        <v>69</v>
      </c>
      <c r="P2992" s="3" t="s">
        <v>75</v>
      </c>
      <c r="Q2992">
        <v>2016</v>
      </c>
      <c r="R2992" s="2">
        <v>42576</v>
      </c>
      <c r="S2992" s="2">
        <v>42598</v>
      </c>
      <c r="T2992" s="2">
        <v>42593</v>
      </c>
      <c r="U2992" s="2">
        <v>42653</v>
      </c>
      <c r="V2992" t="s">
        <v>71</v>
      </c>
      <c r="W2992" t="str">
        <f>"          0036000679"</f>
        <v xml:space="preserve">          0036000679</v>
      </c>
      <c r="X2992">
        <v>485.68</v>
      </c>
      <c r="Y2992">
        <v>0</v>
      </c>
      <c r="Z2992" s="3">
        <v>467</v>
      </c>
      <c r="AA2992">
        <v>-6</v>
      </c>
      <c r="AB2992" s="5">
        <v>-2802</v>
      </c>
      <c r="AC2992">
        <v>467</v>
      </c>
      <c r="AD2992">
        <v>-6</v>
      </c>
      <c r="AE2992" s="1">
        <v>-2802</v>
      </c>
      <c r="AF2992">
        <v>0</v>
      </c>
      <c r="AJ2992">
        <v>0</v>
      </c>
      <c r="AK2992">
        <v>0</v>
      </c>
      <c r="AL2992">
        <v>0</v>
      </c>
      <c r="AM2992">
        <v>485.68</v>
      </c>
      <c r="AN2992">
        <v>485.68</v>
      </c>
      <c r="AO2992">
        <v>485.68</v>
      </c>
      <c r="AP2992" s="2">
        <v>42746</v>
      </c>
      <c r="AQ2992" t="s">
        <v>72</v>
      </c>
      <c r="AR2992" t="s">
        <v>72</v>
      </c>
      <c r="AS2992">
        <v>2602</v>
      </c>
      <c r="AT2992" s="4">
        <v>42647</v>
      </c>
      <c r="AV2992">
        <v>2602</v>
      </c>
      <c r="AW2992" s="4">
        <v>42647</v>
      </c>
      <c r="BD2992">
        <v>0</v>
      </c>
      <c r="BN2992" t="s">
        <v>74</v>
      </c>
    </row>
    <row r="2993" spans="1:66">
      <c r="A2993">
        <v>101004</v>
      </c>
      <c r="B2993" s="3" t="s">
        <v>349</v>
      </c>
      <c r="C2993" s="1">
        <v>43300101</v>
      </c>
      <c r="D2993" t="s">
        <v>67</v>
      </c>
      <c r="H2993" t="str">
        <f t="shared" si="301"/>
        <v>06356990967</v>
      </c>
      <c r="I2993" t="str">
        <f t="shared" si="301"/>
        <v>06356990967</v>
      </c>
      <c r="K2993" t="str">
        <f>""</f>
        <v/>
      </c>
      <c r="M2993" t="s">
        <v>68</v>
      </c>
      <c r="N2993" t="str">
        <f t="shared" si="302"/>
        <v>FOR</v>
      </c>
      <c r="O2993" t="s">
        <v>69</v>
      </c>
      <c r="P2993" s="3" t="s">
        <v>75</v>
      </c>
      <c r="Q2993">
        <v>2016</v>
      </c>
      <c r="R2993" s="2">
        <v>42576</v>
      </c>
      <c r="S2993" s="2">
        <v>42598</v>
      </c>
      <c r="T2993" s="2">
        <v>42593</v>
      </c>
      <c r="U2993" s="2">
        <v>42653</v>
      </c>
      <c r="V2993" t="s">
        <v>71</v>
      </c>
      <c r="W2993" t="str">
        <f>"          0036000680"</f>
        <v xml:space="preserve">          0036000680</v>
      </c>
      <c r="X2993">
        <v>485.68</v>
      </c>
      <c r="Y2993">
        <v>0</v>
      </c>
      <c r="Z2993" s="3">
        <v>467</v>
      </c>
      <c r="AA2993">
        <v>-6</v>
      </c>
      <c r="AB2993" s="5">
        <v>-2802</v>
      </c>
      <c r="AC2993">
        <v>467</v>
      </c>
      <c r="AD2993">
        <v>-6</v>
      </c>
      <c r="AE2993" s="1">
        <v>-2802</v>
      </c>
      <c r="AF2993">
        <v>0</v>
      </c>
      <c r="AJ2993">
        <v>0</v>
      </c>
      <c r="AK2993">
        <v>0</v>
      </c>
      <c r="AL2993">
        <v>0</v>
      </c>
      <c r="AM2993">
        <v>485.68</v>
      </c>
      <c r="AN2993">
        <v>485.68</v>
      </c>
      <c r="AO2993">
        <v>485.68</v>
      </c>
      <c r="AP2993" s="2">
        <v>42746</v>
      </c>
      <c r="AQ2993" t="s">
        <v>72</v>
      </c>
      <c r="AR2993" t="s">
        <v>72</v>
      </c>
      <c r="AS2993">
        <v>2602</v>
      </c>
      <c r="AT2993" s="4">
        <v>42647</v>
      </c>
      <c r="AV2993">
        <v>2602</v>
      </c>
      <c r="AW2993" s="4">
        <v>42647</v>
      </c>
      <c r="BD2993">
        <v>0</v>
      </c>
      <c r="BN2993" t="s">
        <v>74</v>
      </c>
    </row>
    <row r="2994" spans="1:66">
      <c r="A2994">
        <v>101004</v>
      </c>
      <c r="B2994" s="3" t="s">
        <v>349</v>
      </c>
      <c r="C2994" s="1">
        <v>43300101</v>
      </c>
      <c r="D2994" t="s">
        <v>67</v>
      </c>
      <c r="H2994" t="str">
        <f t="shared" si="301"/>
        <v>06356990967</v>
      </c>
      <c r="I2994" t="str">
        <f t="shared" si="301"/>
        <v>06356990967</v>
      </c>
      <c r="K2994" t="str">
        <f>""</f>
        <v/>
      </c>
      <c r="M2994" t="s">
        <v>68</v>
      </c>
      <c r="N2994" t="str">
        <f t="shared" si="302"/>
        <v>FOR</v>
      </c>
      <c r="O2994" t="s">
        <v>69</v>
      </c>
      <c r="P2994" s="3" t="s">
        <v>75</v>
      </c>
      <c r="Q2994">
        <v>2016</v>
      </c>
      <c r="R2994" s="2">
        <v>42590</v>
      </c>
      <c r="S2994" s="2">
        <v>42593</v>
      </c>
      <c r="T2994" s="2">
        <v>42592</v>
      </c>
      <c r="U2994" s="2">
        <v>42652</v>
      </c>
      <c r="V2994" t="s">
        <v>71</v>
      </c>
      <c r="W2994" t="str">
        <f>"          0036000721"</f>
        <v xml:space="preserve">          0036000721</v>
      </c>
      <c r="X2994">
        <v>485.68</v>
      </c>
      <c r="Y2994">
        <v>0</v>
      </c>
      <c r="Z2994" s="3">
        <v>467</v>
      </c>
      <c r="AA2994">
        <v>-5</v>
      </c>
      <c r="AB2994" s="5">
        <v>-2335</v>
      </c>
      <c r="AC2994">
        <v>467</v>
      </c>
      <c r="AD2994">
        <v>-5</v>
      </c>
      <c r="AE2994" s="1">
        <v>-2335</v>
      </c>
      <c r="AF2994">
        <v>0</v>
      </c>
      <c r="AJ2994">
        <v>0</v>
      </c>
      <c r="AK2994">
        <v>0</v>
      </c>
      <c r="AL2994">
        <v>0</v>
      </c>
      <c r="AM2994">
        <v>485.68</v>
      </c>
      <c r="AN2994">
        <v>485.68</v>
      </c>
      <c r="AO2994">
        <v>485.68</v>
      </c>
      <c r="AP2994" s="2">
        <v>42746</v>
      </c>
      <c r="AQ2994" t="s">
        <v>72</v>
      </c>
      <c r="AR2994" t="s">
        <v>72</v>
      </c>
      <c r="AS2994">
        <v>2602</v>
      </c>
      <c r="AT2994" s="4">
        <v>42647</v>
      </c>
      <c r="AV2994">
        <v>2602</v>
      </c>
      <c r="AW2994" s="4">
        <v>42647</v>
      </c>
      <c r="BD2994">
        <v>0</v>
      </c>
      <c r="BN2994" t="s">
        <v>74</v>
      </c>
    </row>
    <row r="2995" spans="1:66">
      <c r="A2995">
        <v>101004</v>
      </c>
      <c r="B2995" s="3" t="s">
        <v>349</v>
      </c>
      <c r="C2995" s="1">
        <v>43300101</v>
      </c>
      <c r="D2995" t="s">
        <v>67</v>
      </c>
      <c r="H2995" t="str">
        <f t="shared" si="301"/>
        <v>06356990967</v>
      </c>
      <c r="I2995" t="str">
        <f t="shared" si="301"/>
        <v>06356990967</v>
      </c>
      <c r="K2995" t="str">
        <f>""</f>
        <v/>
      </c>
      <c r="M2995" t="s">
        <v>68</v>
      </c>
      <c r="N2995" t="str">
        <f t="shared" si="302"/>
        <v>FOR</v>
      </c>
      <c r="O2995" t="s">
        <v>69</v>
      </c>
      <c r="P2995" s="3" t="s">
        <v>75</v>
      </c>
      <c r="Q2995">
        <v>2016</v>
      </c>
      <c r="R2995" s="2">
        <v>42590</v>
      </c>
      <c r="S2995" s="2">
        <v>42593</v>
      </c>
      <c r="T2995" s="2">
        <v>42592</v>
      </c>
      <c r="U2995" s="2">
        <v>42652</v>
      </c>
      <c r="V2995" t="s">
        <v>71</v>
      </c>
      <c r="W2995" t="str">
        <f>"          0036000722"</f>
        <v xml:space="preserve">          0036000722</v>
      </c>
      <c r="X2995">
        <v>485.68</v>
      </c>
      <c r="Y2995">
        <v>0</v>
      </c>
      <c r="Z2995" s="3">
        <v>467</v>
      </c>
      <c r="AA2995">
        <v>-5</v>
      </c>
      <c r="AB2995" s="5">
        <v>-2335</v>
      </c>
      <c r="AC2995">
        <v>467</v>
      </c>
      <c r="AD2995">
        <v>-5</v>
      </c>
      <c r="AE2995" s="1">
        <v>-2335</v>
      </c>
      <c r="AF2995">
        <v>0</v>
      </c>
      <c r="AJ2995">
        <v>0</v>
      </c>
      <c r="AK2995">
        <v>0</v>
      </c>
      <c r="AL2995">
        <v>0</v>
      </c>
      <c r="AM2995">
        <v>485.68</v>
      </c>
      <c r="AN2995">
        <v>485.68</v>
      </c>
      <c r="AO2995">
        <v>485.68</v>
      </c>
      <c r="AP2995" s="2">
        <v>42746</v>
      </c>
      <c r="AQ2995" t="s">
        <v>72</v>
      </c>
      <c r="AR2995" t="s">
        <v>72</v>
      </c>
      <c r="AS2995">
        <v>2602</v>
      </c>
      <c r="AT2995" s="4">
        <v>42647</v>
      </c>
      <c r="AV2995">
        <v>2602</v>
      </c>
      <c r="AW2995" s="4">
        <v>42647</v>
      </c>
      <c r="BD2995">
        <v>0</v>
      </c>
      <c r="BN2995" t="s">
        <v>74</v>
      </c>
    </row>
    <row r="2996" spans="1:66">
      <c r="A2996">
        <v>101004</v>
      </c>
      <c r="B2996" s="3" t="s">
        <v>349</v>
      </c>
      <c r="C2996" s="1">
        <v>43300101</v>
      </c>
      <c r="D2996" t="s">
        <v>67</v>
      </c>
      <c r="H2996" t="str">
        <f t="shared" si="301"/>
        <v>06356990967</v>
      </c>
      <c r="I2996" t="str">
        <f t="shared" si="301"/>
        <v>06356990967</v>
      </c>
      <c r="K2996" t="str">
        <f>""</f>
        <v/>
      </c>
      <c r="M2996" t="s">
        <v>68</v>
      </c>
      <c r="N2996" t="str">
        <f t="shared" si="302"/>
        <v>FOR</v>
      </c>
      <c r="O2996" t="s">
        <v>69</v>
      </c>
      <c r="P2996" s="3" t="s">
        <v>75</v>
      </c>
      <c r="Q2996">
        <v>2016</v>
      </c>
      <c r="R2996" s="2">
        <v>42592</v>
      </c>
      <c r="S2996" s="2">
        <v>42598</v>
      </c>
      <c r="T2996" s="2">
        <v>42593</v>
      </c>
      <c r="U2996" s="2">
        <v>42653</v>
      </c>
      <c r="V2996" t="s">
        <v>71</v>
      </c>
      <c r="W2996" t="str">
        <f>"          0036000743"</f>
        <v xml:space="preserve">          0036000743</v>
      </c>
      <c r="X2996">
        <v>485.68</v>
      </c>
      <c r="Y2996">
        <v>0</v>
      </c>
      <c r="Z2996" s="3">
        <v>467</v>
      </c>
      <c r="AA2996">
        <v>-6</v>
      </c>
      <c r="AB2996" s="5">
        <v>-2802</v>
      </c>
      <c r="AC2996">
        <v>467</v>
      </c>
      <c r="AD2996">
        <v>-6</v>
      </c>
      <c r="AE2996" s="1">
        <v>-2802</v>
      </c>
      <c r="AF2996">
        <v>0</v>
      </c>
      <c r="AJ2996">
        <v>0</v>
      </c>
      <c r="AK2996">
        <v>0</v>
      </c>
      <c r="AL2996">
        <v>0</v>
      </c>
      <c r="AM2996">
        <v>485.68</v>
      </c>
      <c r="AN2996">
        <v>485.68</v>
      </c>
      <c r="AO2996">
        <v>485.68</v>
      </c>
      <c r="AP2996" s="2">
        <v>42746</v>
      </c>
      <c r="AQ2996" t="s">
        <v>72</v>
      </c>
      <c r="AR2996" t="s">
        <v>72</v>
      </c>
      <c r="AS2996">
        <v>2602</v>
      </c>
      <c r="AT2996" s="4">
        <v>42647</v>
      </c>
      <c r="AV2996">
        <v>2602</v>
      </c>
      <c r="AW2996" s="4">
        <v>42647</v>
      </c>
      <c r="BD2996">
        <v>0</v>
      </c>
      <c r="BN2996" t="s">
        <v>74</v>
      </c>
    </row>
    <row r="2997" spans="1:66">
      <c r="A2997">
        <v>101004</v>
      </c>
      <c r="B2997" s="3" t="s">
        <v>349</v>
      </c>
      <c r="C2997" s="1">
        <v>43300101</v>
      </c>
      <c r="D2997" t="s">
        <v>67</v>
      </c>
      <c r="H2997" t="str">
        <f t="shared" si="301"/>
        <v>06356990967</v>
      </c>
      <c r="I2997" t="str">
        <f t="shared" si="301"/>
        <v>06356990967</v>
      </c>
      <c r="K2997" t="str">
        <f>""</f>
        <v/>
      </c>
      <c r="M2997" t="s">
        <v>68</v>
      </c>
      <c r="N2997" t="str">
        <f t="shared" si="302"/>
        <v>FOR</v>
      </c>
      <c r="O2997" t="s">
        <v>69</v>
      </c>
      <c r="P2997" s="3" t="s">
        <v>75</v>
      </c>
      <c r="Q2997">
        <v>2016</v>
      </c>
      <c r="R2997" s="2">
        <v>42600</v>
      </c>
      <c r="S2997" s="2">
        <v>42612</v>
      </c>
      <c r="T2997" s="2">
        <v>42609</v>
      </c>
      <c r="U2997" s="2">
        <v>42669</v>
      </c>
      <c r="V2997" t="s">
        <v>71</v>
      </c>
      <c r="W2997" t="str">
        <f>"          0036000760"</f>
        <v xml:space="preserve">          0036000760</v>
      </c>
      <c r="X2997">
        <v>485.68</v>
      </c>
      <c r="Y2997">
        <v>0</v>
      </c>
      <c r="Z2997" s="3">
        <v>467</v>
      </c>
      <c r="AA2997">
        <v>-22</v>
      </c>
      <c r="AB2997" s="5">
        <v>-10274</v>
      </c>
      <c r="AC2997">
        <v>467</v>
      </c>
      <c r="AD2997">
        <v>-22</v>
      </c>
      <c r="AE2997" s="1">
        <v>-10274</v>
      </c>
      <c r="AF2997">
        <v>0</v>
      </c>
      <c r="AJ2997">
        <v>0</v>
      </c>
      <c r="AK2997">
        <v>0</v>
      </c>
      <c r="AL2997">
        <v>0</v>
      </c>
      <c r="AM2997">
        <v>485.68</v>
      </c>
      <c r="AN2997">
        <v>485.68</v>
      </c>
      <c r="AO2997">
        <v>485.68</v>
      </c>
      <c r="AP2997" s="2">
        <v>42746</v>
      </c>
      <c r="AQ2997" t="s">
        <v>72</v>
      </c>
      <c r="AR2997" t="s">
        <v>72</v>
      </c>
      <c r="AS2997">
        <v>2602</v>
      </c>
      <c r="AT2997" s="4">
        <v>42647</v>
      </c>
      <c r="AV2997">
        <v>2602</v>
      </c>
      <c r="AW2997" s="4">
        <v>42647</v>
      </c>
      <c r="BD2997">
        <v>0</v>
      </c>
      <c r="BN2997" t="s">
        <v>74</v>
      </c>
    </row>
    <row r="2998" spans="1:66">
      <c r="A2998">
        <v>101004</v>
      </c>
      <c r="B2998" s="3" t="s">
        <v>349</v>
      </c>
      <c r="C2998" s="1">
        <v>43300101</v>
      </c>
      <c r="D2998" t="s">
        <v>67</v>
      </c>
      <c r="H2998" t="str">
        <f t="shared" si="301"/>
        <v>06356990967</v>
      </c>
      <c r="I2998" t="str">
        <f t="shared" si="301"/>
        <v>06356990967</v>
      </c>
      <c r="K2998" t="str">
        <f>""</f>
        <v/>
      </c>
      <c r="M2998" t="s">
        <v>68</v>
      </c>
      <c r="N2998" t="str">
        <f t="shared" si="302"/>
        <v>FOR</v>
      </c>
      <c r="O2998" t="s">
        <v>69</v>
      </c>
      <c r="P2998" s="3" t="s">
        <v>75</v>
      </c>
      <c r="Q2998">
        <v>2016</v>
      </c>
      <c r="R2998" s="2">
        <v>42614</v>
      </c>
      <c r="S2998" s="2">
        <v>42654</v>
      </c>
      <c r="T2998" s="2">
        <v>42649</v>
      </c>
      <c r="U2998" s="2">
        <v>42709</v>
      </c>
      <c r="V2998" t="s">
        <v>71</v>
      </c>
      <c r="W2998" t="str">
        <f>"          0036000796"</f>
        <v xml:space="preserve">          0036000796</v>
      </c>
      <c r="X2998">
        <v>485.68</v>
      </c>
      <c r="Y2998">
        <v>0</v>
      </c>
      <c r="Z2998" s="3">
        <v>467</v>
      </c>
      <c r="AA2998">
        <v>-19</v>
      </c>
      <c r="AB2998" s="5">
        <v>-8873</v>
      </c>
      <c r="AC2998">
        <v>467</v>
      </c>
      <c r="AD2998">
        <v>-19</v>
      </c>
      <c r="AE2998" s="1">
        <v>-8873</v>
      </c>
      <c r="AF2998">
        <v>0</v>
      </c>
      <c r="AJ2998">
        <v>0</v>
      </c>
      <c r="AK2998">
        <v>485.68</v>
      </c>
      <c r="AL2998">
        <v>0</v>
      </c>
      <c r="AM2998">
        <v>485.68</v>
      </c>
      <c r="AN2998">
        <v>485.68</v>
      </c>
      <c r="AO2998">
        <v>485.68</v>
      </c>
      <c r="AP2998" s="2">
        <v>42746</v>
      </c>
      <c r="AQ2998" t="s">
        <v>72</v>
      </c>
      <c r="AR2998" t="s">
        <v>72</v>
      </c>
      <c r="AS2998">
        <v>3131</v>
      </c>
      <c r="AT2998" s="4">
        <v>42690</v>
      </c>
      <c r="AV2998">
        <v>3131</v>
      </c>
      <c r="AW2998" s="4">
        <v>42690</v>
      </c>
      <c r="BD2998">
        <v>0</v>
      </c>
      <c r="BN2998" t="s">
        <v>74</v>
      </c>
    </row>
    <row r="2999" spans="1:66">
      <c r="A2999">
        <v>101004</v>
      </c>
      <c r="B2999" s="3" t="s">
        <v>349</v>
      </c>
      <c r="C2999" s="1">
        <v>43300101</v>
      </c>
      <c r="D2999" t="s">
        <v>67</v>
      </c>
      <c r="H2999" t="str">
        <f t="shared" si="301"/>
        <v>06356990967</v>
      </c>
      <c r="I2999" t="str">
        <f t="shared" si="301"/>
        <v>06356990967</v>
      </c>
      <c r="K2999" t="str">
        <f>""</f>
        <v/>
      </c>
      <c r="M2999" t="s">
        <v>68</v>
      </c>
      <c r="N2999" t="str">
        <f t="shared" si="302"/>
        <v>FOR</v>
      </c>
      <c r="O2999" t="s">
        <v>69</v>
      </c>
      <c r="P2999" s="3" t="s">
        <v>75</v>
      </c>
      <c r="Q2999">
        <v>2016</v>
      </c>
      <c r="R2999" s="2">
        <v>42614</v>
      </c>
      <c r="S2999" s="2">
        <v>42654</v>
      </c>
      <c r="T2999" s="2">
        <v>42649</v>
      </c>
      <c r="U2999" s="2">
        <v>42709</v>
      </c>
      <c r="V2999" t="s">
        <v>71</v>
      </c>
      <c r="W2999" t="str">
        <f>"          0036000797"</f>
        <v xml:space="preserve">          0036000797</v>
      </c>
      <c r="X2999">
        <v>485.68</v>
      </c>
      <c r="Y2999">
        <v>0</v>
      </c>
      <c r="Z2999" s="3">
        <v>467</v>
      </c>
      <c r="AA2999">
        <v>-19</v>
      </c>
      <c r="AB2999" s="5">
        <v>-8873</v>
      </c>
      <c r="AC2999">
        <v>467</v>
      </c>
      <c r="AD2999">
        <v>-19</v>
      </c>
      <c r="AE2999" s="1">
        <v>-8873</v>
      </c>
      <c r="AF2999">
        <v>0</v>
      </c>
      <c r="AJ2999">
        <v>0</v>
      </c>
      <c r="AK2999">
        <v>485.68</v>
      </c>
      <c r="AL2999">
        <v>0</v>
      </c>
      <c r="AM2999">
        <v>485.68</v>
      </c>
      <c r="AN2999">
        <v>485.68</v>
      </c>
      <c r="AO2999">
        <v>485.68</v>
      </c>
      <c r="AP2999" s="2">
        <v>42746</v>
      </c>
      <c r="AQ2999" t="s">
        <v>72</v>
      </c>
      <c r="AR2999" t="s">
        <v>72</v>
      </c>
      <c r="AS2999">
        <v>3131</v>
      </c>
      <c r="AT2999" s="4">
        <v>42690</v>
      </c>
      <c r="AV2999">
        <v>3131</v>
      </c>
      <c r="AW2999" s="4">
        <v>42690</v>
      </c>
      <c r="BD2999">
        <v>0</v>
      </c>
      <c r="BN2999" t="s">
        <v>74</v>
      </c>
    </row>
    <row r="3000" spans="1:66">
      <c r="A3000">
        <v>101004</v>
      </c>
      <c r="B3000" s="3" t="s">
        <v>349</v>
      </c>
      <c r="C3000" s="1">
        <v>43300101</v>
      </c>
      <c r="D3000" t="s">
        <v>67</v>
      </c>
      <c r="H3000" t="str">
        <f t="shared" si="301"/>
        <v>06356990967</v>
      </c>
      <c r="I3000" t="str">
        <f t="shared" si="301"/>
        <v>06356990967</v>
      </c>
      <c r="K3000" t="str">
        <f>""</f>
        <v/>
      </c>
      <c r="M3000" t="s">
        <v>68</v>
      </c>
      <c r="N3000" t="str">
        <f t="shared" si="302"/>
        <v>FOR</v>
      </c>
      <c r="O3000" t="s">
        <v>69</v>
      </c>
      <c r="P3000" s="3" t="s">
        <v>75</v>
      </c>
      <c r="Q3000">
        <v>2016</v>
      </c>
      <c r="R3000" s="2">
        <v>42622</v>
      </c>
      <c r="S3000" s="2">
        <v>42627</v>
      </c>
      <c r="T3000" s="2">
        <v>42626</v>
      </c>
      <c r="U3000" s="2">
        <v>42686</v>
      </c>
      <c r="V3000" t="s">
        <v>71</v>
      </c>
      <c r="W3000" t="str">
        <f>"          0036000816"</f>
        <v xml:space="preserve">          0036000816</v>
      </c>
      <c r="X3000">
        <v>485.68</v>
      </c>
      <c r="Y3000">
        <v>0</v>
      </c>
      <c r="Z3000" s="3">
        <v>467</v>
      </c>
      <c r="AA3000">
        <v>4</v>
      </c>
      <c r="AB3000" s="5">
        <v>1868</v>
      </c>
      <c r="AC3000">
        <v>467</v>
      </c>
      <c r="AD3000">
        <v>4</v>
      </c>
      <c r="AE3000" s="1">
        <v>1868</v>
      </c>
      <c r="AF3000">
        <v>0</v>
      </c>
      <c r="AJ3000">
        <v>0</v>
      </c>
      <c r="AK3000">
        <v>0</v>
      </c>
      <c r="AL3000">
        <v>0</v>
      </c>
      <c r="AM3000">
        <v>485.68</v>
      </c>
      <c r="AN3000">
        <v>485.68</v>
      </c>
      <c r="AO3000">
        <v>485.68</v>
      </c>
      <c r="AP3000" s="2">
        <v>42746</v>
      </c>
      <c r="AQ3000" t="s">
        <v>72</v>
      </c>
      <c r="AR3000" t="s">
        <v>72</v>
      </c>
      <c r="AS3000">
        <v>3131</v>
      </c>
      <c r="AT3000" s="4">
        <v>42690</v>
      </c>
      <c r="AU3000" t="s">
        <v>73</v>
      </c>
      <c r="AV3000">
        <v>3131</v>
      </c>
      <c r="AW3000" s="4">
        <v>42690</v>
      </c>
      <c r="BD3000">
        <v>0</v>
      </c>
      <c r="BN3000" t="s">
        <v>74</v>
      </c>
    </row>
    <row r="3001" spans="1:66">
      <c r="A3001">
        <v>101004</v>
      </c>
      <c r="B3001" s="3" t="s">
        <v>349</v>
      </c>
      <c r="C3001" s="1">
        <v>43300101</v>
      </c>
      <c r="D3001" t="s">
        <v>67</v>
      </c>
      <c r="H3001" t="str">
        <f t="shared" si="301"/>
        <v>06356990967</v>
      </c>
      <c r="I3001" t="str">
        <f t="shared" si="301"/>
        <v>06356990967</v>
      </c>
      <c r="K3001" t="str">
        <f>""</f>
        <v/>
      </c>
      <c r="M3001" t="s">
        <v>68</v>
      </c>
      <c r="N3001" t="str">
        <f t="shared" si="302"/>
        <v>FOR</v>
      </c>
      <c r="O3001" t="s">
        <v>69</v>
      </c>
      <c r="P3001" s="3" t="s">
        <v>75</v>
      </c>
      <c r="Q3001">
        <v>2016</v>
      </c>
      <c r="R3001" s="2">
        <v>42625</v>
      </c>
      <c r="S3001" s="2">
        <v>42634</v>
      </c>
      <c r="T3001" s="2">
        <v>42629</v>
      </c>
      <c r="U3001" s="2">
        <v>42689</v>
      </c>
      <c r="V3001" t="s">
        <v>71</v>
      </c>
      <c r="W3001" t="str">
        <f>"          0036000819"</f>
        <v xml:space="preserve">          0036000819</v>
      </c>
      <c r="X3001">
        <v>485.68</v>
      </c>
      <c r="Y3001">
        <v>0</v>
      </c>
      <c r="Z3001" s="3">
        <v>467</v>
      </c>
      <c r="AA3001">
        <v>1</v>
      </c>
      <c r="AB3001" s="3">
        <v>467</v>
      </c>
      <c r="AC3001">
        <v>467</v>
      </c>
      <c r="AD3001">
        <v>1</v>
      </c>
      <c r="AE3001">
        <v>467</v>
      </c>
      <c r="AF3001">
        <v>0</v>
      </c>
      <c r="AJ3001">
        <v>0</v>
      </c>
      <c r="AK3001">
        <v>0</v>
      </c>
      <c r="AL3001">
        <v>0</v>
      </c>
      <c r="AM3001">
        <v>485.68</v>
      </c>
      <c r="AN3001">
        <v>485.68</v>
      </c>
      <c r="AO3001">
        <v>485.68</v>
      </c>
      <c r="AP3001" s="2">
        <v>42746</v>
      </c>
      <c r="AQ3001" t="s">
        <v>72</v>
      </c>
      <c r="AR3001" t="s">
        <v>72</v>
      </c>
      <c r="AS3001">
        <v>3131</v>
      </c>
      <c r="AT3001" s="4">
        <v>42690</v>
      </c>
      <c r="AU3001" t="s">
        <v>73</v>
      </c>
      <c r="AV3001">
        <v>3131</v>
      </c>
      <c r="AW3001" s="4">
        <v>42690</v>
      </c>
      <c r="BD3001">
        <v>0</v>
      </c>
      <c r="BN3001" t="s">
        <v>74</v>
      </c>
    </row>
    <row r="3002" spans="1:66">
      <c r="A3002">
        <v>101004</v>
      </c>
      <c r="B3002" s="3" t="s">
        <v>349</v>
      </c>
      <c r="C3002" s="1">
        <v>43300101</v>
      </c>
      <c r="D3002" t="s">
        <v>67</v>
      </c>
      <c r="H3002" t="str">
        <f t="shared" si="301"/>
        <v>06356990967</v>
      </c>
      <c r="I3002" t="str">
        <f t="shared" si="301"/>
        <v>06356990967</v>
      </c>
      <c r="K3002" t="str">
        <f>""</f>
        <v/>
      </c>
      <c r="M3002" t="s">
        <v>68</v>
      </c>
      <c r="N3002" t="str">
        <f t="shared" si="302"/>
        <v>FOR</v>
      </c>
      <c r="O3002" t="s">
        <v>69</v>
      </c>
      <c r="P3002" s="3" t="s">
        <v>75</v>
      </c>
      <c r="Q3002">
        <v>2016</v>
      </c>
      <c r="R3002" s="2">
        <v>42629</v>
      </c>
      <c r="S3002" s="2">
        <v>42646</v>
      </c>
      <c r="T3002" s="2">
        <v>42642</v>
      </c>
      <c r="U3002" s="2">
        <v>42702</v>
      </c>
      <c r="V3002" t="s">
        <v>71</v>
      </c>
      <c r="W3002" t="str">
        <f>"          0036000843"</f>
        <v xml:space="preserve">          0036000843</v>
      </c>
      <c r="X3002">
        <v>485.68</v>
      </c>
      <c r="Y3002">
        <v>0</v>
      </c>
      <c r="Z3002" s="3">
        <v>467</v>
      </c>
      <c r="AA3002">
        <v>-12</v>
      </c>
      <c r="AB3002" s="5">
        <v>-5604</v>
      </c>
      <c r="AC3002">
        <v>467</v>
      </c>
      <c r="AD3002">
        <v>-12</v>
      </c>
      <c r="AE3002" s="1">
        <v>-5604</v>
      </c>
      <c r="AF3002">
        <v>0</v>
      </c>
      <c r="AJ3002">
        <v>0</v>
      </c>
      <c r="AK3002">
        <v>485.68</v>
      </c>
      <c r="AL3002">
        <v>0</v>
      </c>
      <c r="AM3002">
        <v>485.68</v>
      </c>
      <c r="AN3002">
        <v>485.68</v>
      </c>
      <c r="AO3002">
        <v>485.68</v>
      </c>
      <c r="AP3002" s="2">
        <v>42746</v>
      </c>
      <c r="AQ3002" t="s">
        <v>72</v>
      </c>
      <c r="AR3002" t="s">
        <v>72</v>
      </c>
      <c r="AS3002">
        <v>3131</v>
      </c>
      <c r="AT3002" s="4">
        <v>42690</v>
      </c>
      <c r="AV3002">
        <v>3131</v>
      </c>
      <c r="AW3002" s="4">
        <v>42690</v>
      </c>
      <c r="BD3002">
        <v>0</v>
      </c>
      <c r="BN3002" t="s">
        <v>74</v>
      </c>
    </row>
    <row r="3003" spans="1:66">
      <c r="A3003">
        <v>101004</v>
      </c>
      <c r="B3003" s="3" t="s">
        <v>349</v>
      </c>
      <c r="C3003" s="1">
        <v>43300101</v>
      </c>
      <c r="D3003" t="s">
        <v>67</v>
      </c>
      <c r="H3003" t="str">
        <f t="shared" si="301"/>
        <v>06356990967</v>
      </c>
      <c r="I3003" t="str">
        <f t="shared" si="301"/>
        <v>06356990967</v>
      </c>
      <c r="K3003" t="str">
        <f>""</f>
        <v/>
      </c>
      <c r="M3003" t="s">
        <v>68</v>
      </c>
      <c r="N3003" t="str">
        <f t="shared" si="302"/>
        <v>FOR</v>
      </c>
      <c r="O3003" t="s">
        <v>69</v>
      </c>
      <c r="P3003" s="3" t="s">
        <v>75</v>
      </c>
      <c r="Q3003">
        <v>2016</v>
      </c>
      <c r="R3003" s="2">
        <v>42629</v>
      </c>
      <c r="S3003" s="2">
        <v>42646</v>
      </c>
      <c r="T3003" s="2">
        <v>42642</v>
      </c>
      <c r="U3003" s="2">
        <v>42702</v>
      </c>
      <c r="V3003" t="s">
        <v>71</v>
      </c>
      <c r="W3003" t="str">
        <f>"          0036000844"</f>
        <v xml:space="preserve">          0036000844</v>
      </c>
      <c r="X3003">
        <v>485.68</v>
      </c>
      <c r="Y3003">
        <v>0</v>
      </c>
      <c r="Z3003" s="3">
        <v>467</v>
      </c>
      <c r="AA3003">
        <v>-12</v>
      </c>
      <c r="AB3003" s="5">
        <v>-5604</v>
      </c>
      <c r="AC3003">
        <v>467</v>
      </c>
      <c r="AD3003">
        <v>-12</v>
      </c>
      <c r="AE3003" s="1">
        <v>-5604</v>
      </c>
      <c r="AF3003">
        <v>0</v>
      </c>
      <c r="AJ3003">
        <v>0</v>
      </c>
      <c r="AK3003">
        <v>485.68</v>
      </c>
      <c r="AL3003">
        <v>0</v>
      </c>
      <c r="AM3003">
        <v>485.68</v>
      </c>
      <c r="AN3003">
        <v>485.68</v>
      </c>
      <c r="AO3003">
        <v>485.68</v>
      </c>
      <c r="AP3003" s="2">
        <v>42746</v>
      </c>
      <c r="AQ3003" t="s">
        <v>72</v>
      </c>
      <c r="AR3003" t="s">
        <v>72</v>
      </c>
      <c r="AS3003">
        <v>3131</v>
      </c>
      <c r="AT3003" s="4">
        <v>42690</v>
      </c>
      <c r="AV3003">
        <v>3131</v>
      </c>
      <c r="AW3003" s="4">
        <v>42690</v>
      </c>
      <c r="BD3003">
        <v>0</v>
      </c>
      <c r="BN3003" t="s">
        <v>74</v>
      </c>
    </row>
    <row r="3004" spans="1:66">
      <c r="A3004">
        <v>101004</v>
      </c>
      <c r="B3004" s="3" t="s">
        <v>349</v>
      </c>
      <c r="C3004" s="1">
        <v>43300101</v>
      </c>
      <c r="D3004" t="s">
        <v>67</v>
      </c>
      <c r="H3004" t="str">
        <f t="shared" si="301"/>
        <v>06356990967</v>
      </c>
      <c r="I3004" t="str">
        <f t="shared" si="301"/>
        <v>06356990967</v>
      </c>
      <c r="K3004" t="str">
        <f>""</f>
        <v/>
      </c>
      <c r="M3004" t="s">
        <v>68</v>
      </c>
      <c r="N3004" t="str">
        <f t="shared" si="302"/>
        <v>FOR</v>
      </c>
      <c r="O3004" t="s">
        <v>69</v>
      </c>
      <c r="P3004" s="3" t="s">
        <v>75</v>
      </c>
      <c r="Q3004">
        <v>2016</v>
      </c>
      <c r="R3004" s="2">
        <v>42629</v>
      </c>
      <c r="S3004" s="2">
        <v>42646</v>
      </c>
      <c r="T3004" s="2">
        <v>42642</v>
      </c>
      <c r="U3004" s="2">
        <v>42702</v>
      </c>
      <c r="V3004" t="s">
        <v>71</v>
      </c>
      <c r="W3004" t="str">
        <f>"          0036000845"</f>
        <v xml:space="preserve">          0036000845</v>
      </c>
      <c r="X3004">
        <v>485.68</v>
      </c>
      <c r="Y3004">
        <v>0</v>
      </c>
      <c r="Z3004" s="3">
        <v>467</v>
      </c>
      <c r="AA3004">
        <v>-12</v>
      </c>
      <c r="AB3004" s="5">
        <v>-5604</v>
      </c>
      <c r="AC3004">
        <v>467</v>
      </c>
      <c r="AD3004">
        <v>-12</v>
      </c>
      <c r="AE3004" s="1">
        <v>-5604</v>
      </c>
      <c r="AF3004">
        <v>0</v>
      </c>
      <c r="AJ3004">
        <v>0</v>
      </c>
      <c r="AK3004">
        <v>485.68</v>
      </c>
      <c r="AL3004">
        <v>0</v>
      </c>
      <c r="AM3004">
        <v>485.68</v>
      </c>
      <c r="AN3004">
        <v>485.68</v>
      </c>
      <c r="AO3004">
        <v>485.68</v>
      </c>
      <c r="AP3004" s="2">
        <v>42746</v>
      </c>
      <c r="AQ3004" t="s">
        <v>72</v>
      </c>
      <c r="AR3004" t="s">
        <v>72</v>
      </c>
      <c r="AS3004">
        <v>3131</v>
      </c>
      <c r="AT3004" s="4">
        <v>42690</v>
      </c>
      <c r="AV3004">
        <v>3131</v>
      </c>
      <c r="AW3004" s="4">
        <v>42690</v>
      </c>
      <c r="BD3004">
        <v>0</v>
      </c>
      <c r="BN3004" t="s">
        <v>74</v>
      </c>
    </row>
    <row r="3005" spans="1:66">
      <c r="A3005">
        <v>101004</v>
      </c>
      <c r="B3005" s="3" t="s">
        <v>349</v>
      </c>
      <c r="C3005" s="1">
        <v>43300101</v>
      </c>
      <c r="D3005" t="s">
        <v>67</v>
      </c>
      <c r="H3005" t="str">
        <f t="shared" si="301"/>
        <v>06356990967</v>
      </c>
      <c r="I3005" t="str">
        <f t="shared" si="301"/>
        <v>06356990967</v>
      </c>
      <c r="K3005" t="str">
        <f>""</f>
        <v/>
      </c>
      <c r="M3005" t="s">
        <v>68</v>
      </c>
      <c r="N3005" t="str">
        <f t="shared" si="302"/>
        <v>FOR</v>
      </c>
      <c r="O3005" t="s">
        <v>69</v>
      </c>
      <c r="P3005" s="3" t="s">
        <v>75</v>
      </c>
      <c r="Q3005">
        <v>2016</v>
      </c>
      <c r="R3005" s="2">
        <v>42636</v>
      </c>
      <c r="S3005" s="2">
        <v>42646</v>
      </c>
      <c r="T3005" s="2">
        <v>42642</v>
      </c>
      <c r="U3005" s="2">
        <v>42702</v>
      </c>
      <c r="V3005" t="s">
        <v>71</v>
      </c>
      <c r="W3005" t="str">
        <f>"          0036000870"</f>
        <v xml:space="preserve">          0036000870</v>
      </c>
      <c r="X3005">
        <v>485.68</v>
      </c>
      <c r="Y3005">
        <v>0</v>
      </c>
      <c r="Z3005" s="3">
        <v>467</v>
      </c>
      <c r="AA3005">
        <v>-12</v>
      </c>
      <c r="AB3005" s="5">
        <v>-5604</v>
      </c>
      <c r="AC3005">
        <v>467</v>
      </c>
      <c r="AD3005">
        <v>-12</v>
      </c>
      <c r="AE3005" s="1">
        <v>-5604</v>
      </c>
      <c r="AF3005">
        <v>0</v>
      </c>
      <c r="AJ3005">
        <v>0</v>
      </c>
      <c r="AK3005">
        <v>485.68</v>
      </c>
      <c r="AL3005">
        <v>0</v>
      </c>
      <c r="AM3005">
        <v>485.68</v>
      </c>
      <c r="AN3005">
        <v>485.68</v>
      </c>
      <c r="AO3005">
        <v>485.68</v>
      </c>
      <c r="AP3005" s="2">
        <v>42746</v>
      </c>
      <c r="AQ3005" t="s">
        <v>72</v>
      </c>
      <c r="AR3005" t="s">
        <v>72</v>
      </c>
      <c r="AS3005">
        <v>3131</v>
      </c>
      <c r="AT3005" s="4">
        <v>42690</v>
      </c>
      <c r="AV3005">
        <v>3131</v>
      </c>
      <c r="AW3005" s="4">
        <v>42690</v>
      </c>
      <c r="BD3005">
        <v>0</v>
      </c>
      <c r="BN3005" t="s">
        <v>74</v>
      </c>
    </row>
    <row r="3006" spans="1:66">
      <c r="A3006">
        <v>101004</v>
      </c>
      <c r="B3006" s="3" t="s">
        <v>349</v>
      </c>
      <c r="C3006" s="1">
        <v>43300101</v>
      </c>
      <c r="D3006" t="s">
        <v>67</v>
      </c>
      <c r="H3006" t="str">
        <f t="shared" si="301"/>
        <v>06356990967</v>
      </c>
      <c r="I3006" t="str">
        <f t="shared" si="301"/>
        <v>06356990967</v>
      </c>
      <c r="K3006" t="str">
        <f>""</f>
        <v/>
      </c>
      <c r="M3006" t="s">
        <v>68</v>
      </c>
      <c r="N3006" t="str">
        <f t="shared" si="302"/>
        <v>FOR</v>
      </c>
      <c r="O3006" t="s">
        <v>69</v>
      </c>
      <c r="P3006" s="3" t="s">
        <v>75</v>
      </c>
      <c r="Q3006">
        <v>2016</v>
      </c>
      <c r="R3006" s="2">
        <v>42636</v>
      </c>
      <c r="S3006" s="2">
        <v>42646</v>
      </c>
      <c r="T3006" s="2">
        <v>42642</v>
      </c>
      <c r="U3006" s="2">
        <v>42702</v>
      </c>
      <c r="V3006" t="s">
        <v>71</v>
      </c>
      <c r="W3006" t="str">
        <f>"          0036000871"</f>
        <v xml:space="preserve">          0036000871</v>
      </c>
      <c r="X3006">
        <v>485.68</v>
      </c>
      <c r="Y3006">
        <v>0</v>
      </c>
      <c r="Z3006" s="3">
        <v>467</v>
      </c>
      <c r="AA3006">
        <v>-12</v>
      </c>
      <c r="AB3006" s="5">
        <v>-5604</v>
      </c>
      <c r="AC3006">
        <v>467</v>
      </c>
      <c r="AD3006">
        <v>-12</v>
      </c>
      <c r="AE3006" s="1">
        <v>-5604</v>
      </c>
      <c r="AF3006">
        <v>0</v>
      </c>
      <c r="AJ3006">
        <v>0</v>
      </c>
      <c r="AK3006">
        <v>485.68</v>
      </c>
      <c r="AL3006">
        <v>0</v>
      </c>
      <c r="AM3006">
        <v>485.68</v>
      </c>
      <c r="AN3006">
        <v>485.68</v>
      </c>
      <c r="AO3006">
        <v>485.68</v>
      </c>
      <c r="AP3006" s="2">
        <v>42746</v>
      </c>
      <c r="AQ3006" t="s">
        <v>72</v>
      </c>
      <c r="AR3006" t="s">
        <v>72</v>
      </c>
      <c r="AS3006">
        <v>3131</v>
      </c>
      <c r="AT3006" s="4">
        <v>42690</v>
      </c>
      <c r="AV3006">
        <v>3131</v>
      </c>
      <c r="AW3006" s="4">
        <v>42690</v>
      </c>
      <c r="BD3006">
        <v>0</v>
      </c>
      <c r="BN3006" t="s">
        <v>74</v>
      </c>
    </row>
    <row r="3007" spans="1:66">
      <c r="A3007">
        <v>101004</v>
      </c>
      <c r="B3007" s="3" t="s">
        <v>349</v>
      </c>
      <c r="C3007" s="1">
        <v>43300101</v>
      </c>
      <c r="D3007" t="s">
        <v>67</v>
      </c>
      <c r="H3007" t="str">
        <f t="shared" si="301"/>
        <v>06356990967</v>
      </c>
      <c r="I3007" t="str">
        <f t="shared" si="301"/>
        <v>06356990967</v>
      </c>
      <c r="K3007" t="str">
        <f>""</f>
        <v/>
      </c>
      <c r="M3007" t="s">
        <v>68</v>
      </c>
      <c r="N3007" t="str">
        <f t="shared" si="302"/>
        <v>FOR</v>
      </c>
      <c r="O3007" t="s">
        <v>69</v>
      </c>
      <c r="P3007" s="3" t="s">
        <v>75</v>
      </c>
      <c r="Q3007">
        <v>2016</v>
      </c>
      <c r="R3007" s="2">
        <v>42643</v>
      </c>
      <c r="S3007" s="2">
        <v>42646</v>
      </c>
      <c r="T3007" s="2">
        <v>42646</v>
      </c>
      <c r="U3007" s="2">
        <v>42706</v>
      </c>
      <c r="V3007" t="s">
        <v>71</v>
      </c>
      <c r="W3007" t="str">
        <f>"          0036000912"</f>
        <v xml:space="preserve">          0036000912</v>
      </c>
      <c r="X3007">
        <v>485.68</v>
      </c>
      <c r="Y3007">
        <v>0</v>
      </c>
      <c r="Z3007" s="3">
        <v>467</v>
      </c>
      <c r="AA3007">
        <v>-16</v>
      </c>
      <c r="AB3007" s="5">
        <v>-7472</v>
      </c>
      <c r="AC3007">
        <v>467</v>
      </c>
      <c r="AD3007">
        <v>-16</v>
      </c>
      <c r="AE3007" s="1">
        <v>-7472</v>
      </c>
      <c r="AF3007">
        <v>0</v>
      </c>
      <c r="AJ3007">
        <v>0</v>
      </c>
      <c r="AK3007">
        <v>485.68</v>
      </c>
      <c r="AL3007">
        <v>0</v>
      </c>
      <c r="AM3007">
        <v>485.68</v>
      </c>
      <c r="AN3007">
        <v>485.68</v>
      </c>
      <c r="AO3007">
        <v>485.68</v>
      </c>
      <c r="AP3007" s="2">
        <v>42746</v>
      </c>
      <c r="AQ3007" t="s">
        <v>72</v>
      </c>
      <c r="AR3007" t="s">
        <v>72</v>
      </c>
      <c r="AS3007">
        <v>3131</v>
      </c>
      <c r="AT3007" s="4">
        <v>42690</v>
      </c>
      <c r="AV3007">
        <v>3131</v>
      </c>
      <c r="AW3007" s="4">
        <v>42690</v>
      </c>
      <c r="BD3007">
        <v>0</v>
      </c>
      <c r="BN3007" t="s">
        <v>74</v>
      </c>
    </row>
    <row r="3008" spans="1:66" hidden="1">
      <c r="A3008">
        <v>101005</v>
      </c>
      <c r="B3008" s="3" t="s">
        <v>350</v>
      </c>
      <c r="C3008" s="1">
        <v>43300101</v>
      </c>
      <c r="D3008" t="s">
        <v>67</v>
      </c>
      <c r="H3008" t="str">
        <f>"09331210154"</f>
        <v>09331210154</v>
      </c>
      <c r="I3008" t="str">
        <f>"00953780962"</f>
        <v>00953780962</v>
      </c>
      <c r="K3008" t="str">
        <f>""</f>
        <v/>
      </c>
      <c r="M3008" t="s">
        <v>68</v>
      </c>
      <c r="N3008" t="str">
        <f t="shared" si="302"/>
        <v>FOR</v>
      </c>
      <c r="O3008" t="s">
        <v>69</v>
      </c>
      <c r="P3008" s="3" t="s">
        <v>75</v>
      </c>
      <c r="Q3008">
        <v>2015</v>
      </c>
      <c r="R3008" s="2">
        <v>42103</v>
      </c>
      <c r="S3008" s="2">
        <v>42193</v>
      </c>
      <c r="T3008" s="2">
        <v>42192</v>
      </c>
      <c r="U3008" s="2">
        <v>42252</v>
      </c>
      <c r="V3008" t="s">
        <v>71</v>
      </c>
      <c r="W3008" t="str">
        <f>"            35108851"</f>
        <v xml:space="preserve">            35108851</v>
      </c>
      <c r="X3008" s="1">
        <v>4209</v>
      </c>
      <c r="Y3008">
        <v>0</v>
      </c>
      <c r="Z3008"/>
      <c r="AB3008"/>
      <c r="AC3008" s="1">
        <v>3450</v>
      </c>
      <c r="AD3008">
        <v>156</v>
      </c>
      <c r="AE3008" s="1">
        <v>538200</v>
      </c>
      <c r="AF3008">
        <v>0</v>
      </c>
      <c r="AJ3008">
        <v>0</v>
      </c>
      <c r="AK3008">
        <v>0</v>
      </c>
      <c r="AL3008">
        <v>0</v>
      </c>
      <c r="AM3008">
        <v>0</v>
      </c>
      <c r="AN3008">
        <v>0</v>
      </c>
      <c r="AO3008">
        <v>0</v>
      </c>
      <c r="AP3008" s="2">
        <v>42746</v>
      </c>
      <c r="AQ3008" t="s">
        <v>72</v>
      </c>
      <c r="AR3008" t="s">
        <v>72</v>
      </c>
      <c r="AS3008">
        <v>296</v>
      </c>
      <c r="AT3008" s="4">
        <v>42408</v>
      </c>
      <c r="AU3008" t="s">
        <v>73</v>
      </c>
      <c r="AV3008">
        <v>296</v>
      </c>
      <c r="AW3008" s="4">
        <v>42408</v>
      </c>
      <c r="BD3008">
        <v>0</v>
      </c>
      <c r="BN3008" t="s">
        <v>74</v>
      </c>
    </row>
    <row r="3009" spans="1:66">
      <c r="A3009">
        <v>101012</v>
      </c>
      <c r="B3009" s="3" t="s">
        <v>351</v>
      </c>
      <c r="C3009" s="1">
        <v>43300101</v>
      </c>
      <c r="D3009" t="s">
        <v>67</v>
      </c>
      <c r="H3009" t="str">
        <f>"09693591001"</f>
        <v>09693591001</v>
      </c>
      <c r="I3009" t="str">
        <f>"09693591001"</f>
        <v>09693591001</v>
      </c>
      <c r="K3009" t="str">
        <f>""</f>
        <v/>
      </c>
      <c r="M3009" t="s">
        <v>68</v>
      </c>
      <c r="N3009" t="str">
        <f t="shared" si="302"/>
        <v>FOR</v>
      </c>
      <c r="O3009" t="s">
        <v>69</v>
      </c>
      <c r="P3009" s="3" t="s">
        <v>75</v>
      </c>
      <c r="Q3009">
        <v>2015</v>
      </c>
      <c r="R3009" s="2">
        <v>42321</v>
      </c>
      <c r="S3009" s="2">
        <v>42331</v>
      </c>
      <c r="T3009" s="2">
        <v>42328</v>
      </c>
      <c r="U3009" s="2">
        <v>42388</v>
      </c>
      <c r="V3009" t="s">
        <v>71</v>
      </c>
      <c r="W3009" t="str">
        <f>"             I152084"</f>
        <v xml:space="preserve">             I152084</v>
      </c>
      <c r="X3009" s="1">
        <v>1317.6</v>
      </c>
      <c r="Y3009">
        <v>0</v>
      </c>
      <c r="Z3009" s="5">
        <v>1080</v>
      </c>
      <c r="AA3009">
        <v>295</v>
      </c>
      <c r="AB3009" s="5">
        <v>318600</v>
      </c>
      <c r="AC3009" s="1">
        <v>1080</v>
      </c>
      <c r="AD3009">
        <v>295</v>
      </c>
      <c r="AE3009" s="1">
        <v>318600</v>
      </c>
      <c r="AF3009">
        <v>0</v>
      </c>
      <c r="AJ3009">
        <v>0</v>
      </c>
      <c r="AK3009">
        <v>0</v>
      </c>
      <c r="AL3009">
        <v>0</v>
      </c>
      <c r="AM3009">
        <v>0</v>
      </c>
      <c r="AN3009">
        <v>0</v>
      </c>
      <c r="AO3009">
        <v>0</v>
      </c>
      <c r="AP3009" s="2">
        <v>42746</v>
      </c>
      <c r="AQ3009" t="s">
        <v>72</v>
      </c>
      <c r="AR3009" t="s">
        <v>72</v>
      </c>
      <c r="AS3009">
        <v>3004</v>
      </c>
      <c r="AT3009" s="4">
        <v>42683</v>
      </c>
      <c r="AU3009" t="s">
        <v>73</v>
      </c>
      <c r="AV3009">
        <v>3004</v>
      </c>
      <c r="AW3009" s="4">
        <v>42683</v>
      </c>
      <c r="BD3009">
        <v>0</v>
      </c>
      <c r="BN3009" t="s">
        <v>74</v>
      </c>
    </row>
    <row r="3010" spans="1:66" hidden="1">
      <c r="A3010">
        <v>101019</v>
      </c>
      <c r="B3010" s="3" t="s">
        <v>352</v>
      </c>
      <c r="C3010" s="1">
        <v>43300101</v>
      </c>
      <c r="D3010" t="s">
        <v>67</v>
      </c>
      <c r="H3010" t="str">
        <f t="shared" ref="H3010:I3024" si="303">"09771701001"</f>
        <v>09771701001</v>
      </c>
      <c r="I3010" t="str">
        <f t="shared" si="303"/>
        <v>09771701001</v>
      </c>
      <c r="K3010" t="str">
        <f>""</f>
        <v/>
      </c>
      <c r="M3010" t="s">
        <v>68</v>
      </c>
      <c r="N3010" t="str">
        <f t="shared" si="302"/>
        <v>FOR</v>
      </c>
      <c r="O3010" t="s">
        <v>69</v>
      </c>
      <c r="P3010" s="3" t="s">
        <v>75</v>
      </c>
      <c r="Q3010">
        <v>2015</v>
      </c>
      <c r="R3010" s="2">
        <v>42361</v>
      </c>
      <c r="S3010" s="2">
        <v>42369</v>
      </c>
      <c r="T3010" s="2">
        <v>42363</v>
      </c>
      <c r="U3010" s="2">
        <v>42423</v>
      </c>
      <c r="V3010" t="s">
        <v>71</v>
      </c>
      <c r="W3010" t="str">
        <f>"          900017019T"</f>
        <v xml:space="preserve">          900017019T</v>
      </c>
      <c r="X3010">
        <v>5.04</v>
      </c>
      <c r="Y3010">
        <v>0</v>
      </c>
      <c r="Z3010"/>
      <c r="AB3010"/>
      <c r="AC3010">
        <v>4.13</v>
      </c>
      <c r="AD3010">
        <v>-21</v>
      </c>
      <c r="AE3010">
        <v>-86.73</v>
      </c>
      <c r="AF3010">
        <v>0</v>
      </c>
      <c r="AJ3010">
        <v>0</v>
      </c>
      <c r="AK3010">
        <v>0</v>
      </c>
      <c r="AL3010">
        <v>0</v>
      </c>
      <c r="AM3010">
        <v>0</v>
      </c>
      <c r="AN3010">
        <v>0</v>
      </c>
      <c r="AO3010">
        <v>0</v>
      </c>
      <c r="AP3010" s="2">
        <v>42746</v>
      </c>
      <c r="AQ3010" t="s">
        <v>72</v>
      </c>
      <c r="AR3010" t="s">
        <v>72</v>
      </c>
      <c r="AS3010">
        <v>203</v>
      </c>
      <c r="AT3010" s="4">
        <v>42402</v>
      </c>
      <c r="AV3010">
        <v>203</v>
      </c>
      <c r="AW3010" s="4">
        <v>42402</v>
      </c>
      <c r="BD3010">
        <v>0</v>
      </c>
      <c r="BN3010" t="s">
        <v>74</v>
      </c>
    </row>
    <row r="3011" spans="1:66" hidden="1">
      <c r="A3011">
        <v>101019</v>
      </c>
      <c r="B3011" s="3" t="s">
        <v>352</v>
      </c>
      <c r="C3011" s="1">
        <v>43300101</v>
      </c>
      <c r="D3011" t="s">
        <v>67</v>
      </c>
      <c r="H3011" t="str">
        <f t="shared" si="303"/>
        <v>09771701001</v>
      </c>
      <c r="I3011" t="str">
        <f t="shared" si="303"/>
        <v>09771701001</v>
      </c>
      <c r="K3011" t="str">
        <f>""</f>
        <v/>
      </c>
      <c r="M3011" t="s">
        <v>68</v>
      </c>
      <c r="N3011" t="str">
        <f t="shared" si="302"/>
        <v>FOR</v>
      </c>
      <c r="O3011" t="s">
        <v>69</v>
      </c>
      <c r="P3011" s="3" t="s">
        <v>75</v>
      </c>
      <c r="Q3011">
        <v>2015</v>
      </c>
      <c r="R3011" s="2">
        <v>42361</v>
      </c>
      <c r="S3011" s="2">
        <v>42369</v>
      </c>
      <c r="T3011" s="2">
        <v>42361</v>
      </c>
      <c r="U3011" s="2">
        <v>42421</v>
      </c>
      <c r="V3011" t="s">
        <v>71</v>
      </c>
      <c r="W3011" t="str">
        <f>"          900017346T"</f>
        <v xml:space="preserve">          900017346T</v>
      </c>
      <c r="X3011">
        <v>2.52</v>
      </c>
      <c r="Y3011">
        <v>0</v>
      </c>
      <c r="Z3011"/>
      <c r="AB3011"/>
      <c r="AC3011">
        <v>2.0699999999999998</v>
      </c>
      <c r="AD3011">
        <v>-19</v>
      </c>
      <c r="AE3011">
        <v>-39.33</v>
      </c>
      <c r="AF3011">
        <v>0</v>
      </c>
      <c r="AJ3011">
        <v>0</v>
      </c>
      <c r="AK3011">
        <v>0</v>
      </c>
      <c r="AL3011">
        <v>0</v>
      </c>
      <c r="AM3011">
        <v>0</v>
      </c>
      <c r="AN3011">
        <v>0</v>
      </c>
      <c r="AO3011">
        <v>0</v>
      </c>
      <c r="AP3011" s="2">
        <v>42746</v>
      </c>
      <c r="AQ3011" t="s">
        <v>72</v>
      </c>
      <c r="AR3011" t="s">
        <v>72</v>
      </c>
      <c r="AS3011">
        <v>203</v>
      </c>
      <c r="AT3011" s="4">
        <v>42402</v>
      </c>
      <c r="AV3011">
        <v>203</v>
      </c>
      <c r="AW3011" s="4">
        <v>42402</v>
      </c>
      <c r="BD3011">
        <v>0</v>
      </c>
      <c r="BN3011" t="s">
        <v>74</v>
      </c>
    </row>
    <row r="3012" spans="1:66" hidden="1">
      <c r="A3012">
        <v>101019</v>
      </c>
      <c r="B3012" s="3" t="s">
        <v>352</v>
      </c>
      <c r="C3012" s="1">
        <v>43300101</v>
      </c>
      <c r="D3012" t="s">
        <v>67</v>
      </c>
      <c r="H3012" t="str">
        <f t="shared" si="303"/>
        <v>09771701001</v>
      </c>
      <c r="I3012" t="str">
        <f t="shared" si="303"/>
        <v>09771701001</v>
      </c>
      <c r="K3012" t="str">
        <f>""</f>
        <v/>
      </c>
      <c r="M3012" t="s">
        <v>68</v>
      </c>
      <c r="N3012" t="str">
        <f t="shared" si="302"/>
        <v>FOR</v>
      </c>
      <c r="O3012" t="s">
        <v>69</v>
      </c>
      <c r="P3012" s="3" t="s">
        <v>75</v>
      </c>
      <c r="Q3012">
        <v>2016</v>
      </c>
      <c r="R3012" s="2">
        <v>42392</v>
      </c>
      <c r="S3012" s="2">
        <v>42395</v>
      </c>
      <c r="T3012" s="2">
        <v>42395</v>
      </c>
      <c r="U3012" s="2">
        <v>42455</v>
      </c>
      <c r="V3012" t="s">
        <v>71</v>
      </c>
      <c r="W3012" t="str">
        <f>"          900000540T"</f>
        <v xml:space="preserve">          900000540T</v>
      </c>
      <c r="X3012">
        <v>5.04</v>
      </c>
      <c r="Y3012">
        <v>0</v>
      </c>
      <c r="Z3012"/>
      <c r="AB3012"/>
      <c r="AC3012">
        <v>4.13</v>
      </c>
      <c r="AD3012">
        <v>-53</v>
      </c>
      <c r="AE3012">
        <v>-218.89</v>
      </c>
      <c r="AF3012">
        <v>0</v>
      </c>
      <c r="AJ3012">
        <v>0</v>
      </c>
      <c r="AK3012">
        <v>0</v>
      </c>
      <c r="AL3012">
        <v>0</v>
      </c>
      <c r="AM3012">
        <v>0</v>
      </c>
      <c r="AN3012">
        <v>5.04</v>
      </c>
      <c r="AO3012">
        <v>5.04</v>
      </c>
      <c r="AP3012" s="2">
        <v>42746</v>
      </c>
      <c r="AQ3012" t="s">
        <v>72</v>
      </c>
      <c r="AR3012" t="s">
        <v>72</v>
      </c>
      <c r="AS3012">
        <v>203</v>
      </c>
      <c r="AT3012" s="4">
        <v>42402</v>
      </c>
      <c r="AV3012">
        <v>203</v>
      </c>
      <c r="AW3012" s="4">
        <v>42402</v>
      </c>
      <c r="BD3012">
        <v>0</v>
      </c>
      <c r="BN3012" t="s">
        <v>74</v>
      </c>
    </row>
    <row r="3013" spans="1:66" hidden="1">
      <c r="A3013">
        <v>101019</v>
      </c>
      <c r="B3013" s="3" t="s">
        <v>352</v>
      </c>
      <c r="C3013" s="1">
        <v>43300101</v>
      </c>
      <c r="D3013" t="s">
        <v>67</v>
      </c>
      <c r="H3013" t="str">
        <f t="shared" si="303"/>
        <v>09771701001</v>
      </c>
      <c r="I3013" t="str">
        <f t="shared" si="303"/>
        <v>09771701001</v>
      </c>
      <c r="K3013" t="str">
        <f>""</f>
        <v/>
      </c>
      <c r="M3013" t="s">
        <v>68</v>
      </c>
      <c r="N3013" t="str">
        <f t="shared" si="302"/>
        <v>FOR</v>
      </c>
      <c r="O3013" t="s">
        <v>69</v>
      </c>
      <c r="P3013" s="3" t="s">
        <v>75</v>
      </c>
      <c r="Q3013">
        <v>2016</v>
      </c>
      <c r="R3013" s="2">
        <v>42423</v>
      </c>
      <c r="S3013" s="2">
        <v>42426</v>
      </c>
      <c r="T3013" s="2">
        <v>42425</v>
      </c>
      <c r="U3013" s="2">
        <v>42485</v>
      </c>
      <c r="V3013" t="s">
        <v>71</v>
      </c>
      <c r="W3013" t="str">
        <f>"          900002844T"</f>
        <v xml:space="preserve">          900002844T</v>
      </c>
      <c r="X3013">
        <v>29.83</v>
      </c>
      <c r="Y3013">
        <v>0</v>
      </c>
      <c r="Z3013"/>
      <c r="AB3013"/>
      <c r="AC3013">
        <v>28.92</v>
      </c>
      <c r="AD3013">
        <v>-54</v>
      </c>
      <c r="AE3013" s="1">
        <v>-1561.68</v>
      </c>
      <c r="AF3013">
        <v>0</v>
      </c>
      <c r="AJ3013">
        <v>0</v>
      </c>
      <c r="AK3013">
        <v>0</v>
      </c>
      <c r="AL3013">
        <v>0</v>
      </c>
      <c r="AM3013">
        <v>29.83</v>
      </c>
      <c r="AN3013">
        <v>29.83</v>
      </c>
      <c r="AO3013">
        <v>29.83</v>
      </c>
      <c r="AP3013" s="2">
        <v>42746</v>
      </c>
      <c r="AQ3013" t="s">
        <v>72</v>
      </c>
      <c r="AR3013" t="s">
        <v>72</v>
      </c>
      <c r="AS3013">
        <v>632</v>
      </c>
      <c r="AT3013" s="4">
        <v>42431</v>
      </c>
      <c r="AV3013">
        <v>632</v>
      </c>
      <c r="AW3013" s="4">
        <v>42431</v>
      </c>
      <c r="BD3013">
        <v>0</v>
      </c>
      <c r="BN3013" t="s">
        <v>74</v>
      </c>
    </row>
    <row r="3014" spans="1:66" hidden="1">
      <c r="A3014">
        <v>101019</v>
      </c>
      <c r="B3014" s="3" t="s">
        <v>352</v>
      </c>
      <c r="C3014" s="1">
        <v>43300101</v>
      </c>
      <c r="D3014" t="s">
        <v>67</v>
      </c>
      <c r="H3014" t="str">
        <f t="shared" si="303"/>
        <v>09771701001</v>
      </c>
      <c r="I3014" t="str">
        <f t="shared" si="303"/>
        <v>09771701001</v>
      </c>
      <c r="K3014" t="str">
        <f>""</f>
        <v/>
      </c>
      <c r="M3014" t="s">
        <v>68</v>
      </c>
      <c r="N3014" t="str">
        <f t="shared" si="302"/>
        <v>FOR</v>
      </c>
      <c r="O3014" t="s">
        <v>69</v>
      </c>
      <c r="P3014" s="3" t="s">
        <v>75</v>
      </c>
      <c r="Q3014">
        <v>2016</v>
      </c>
      <c r="R3014" s="2">
        <v>42423</v>
      </c>
      <c r="S3014" s="2">
        <v>42426</v>
      </c>
      <c r="T3014" s="2">
        <v>42424</v>
      </c>
      <c r="U3014" s="2">
        <v>42484</v>
      </c>
      <c r="V3014" t="s">
        <v>71</v>
      </c>
      <c r="W3014" t="str">
        <f>"          900003154T"</f>
        <v xml:space="preserve">          900003154T</v>
      </c>
      <c r="X3014">
        <v>18.010000000000002</v>
      </c>
      <c r="Y3014">
        <v>0</v>
      </c>
      <c r="Z3014"/>
      <c r="AB3014"/>
      <c r="AC3014">
        <v>17.559999999999999</v>
      </c>
      <c r="AD3014">
        <v>-53</v>
      </c>
      <c r="AE3014">
        <v>-930.68</v>
      </c>
      <c r="AF3014">
        <v>0</v>
      </c>
      <c r="AJ3014">
        <v>0</v>
      </c>
      <c r="AK3014">
        <v>0</v>
      </c>
      <c r="AL3014">
        <v>0</v>
      </c>
      <c r="AM3014">
        <v>0</v>
      </c>
      <c r="AN3014">
        <v>18.010000000000002</v>
      </c>
      <c r="AO3014">
        <v>18.010000000000002</v>
      </c>
      <c r="AP3014" s="2">
        <v>42746</v>
      </c>
      <c r="AQ3014" t="s">
        <v>72</v>
      </c>
      <c r="AR3014" t="s">
        <v>72</v>
      </c>
      <c r="AS3014">
        <v>632</v>
      </c>
      <c r="AT3014" s="4">
        <v>42431</v>
      </c>
      <c r="AV3014">
        <v>632</v>
      </c>
      <c r="AW3014" s="4">
        <v>42431</v>
      </c>
      <c r="BD3014">
        <v>0</v>
      </c>
      <c r="BN3014" t="s">
        <v>74</v>
      </c>
    </row>
    <row r="3015" spans="1:66" hidden="1">
      <c r="A3015">
        <v>101019</v>
      </c>
      <c r="B3015" s="3" t="s">
        <v>352</v>
      </c>
      <c r="C3015" s="1">
        <v>43300101</v>
      </c>
      <c r="D3015" t="s">
        <v>67</v>
      </c>
      <c r="H3015" t="str">
        <f t="shared" si="303"/>
        <v>09771701001</v>
      </c>
      <c r="I3015" t="str">
        <f t="shared" si="303"/>
        <v>09771701001</v>
      </c>
      <c r="K3015" t="str">
        <f>""</f>
        <v/>
      </c>
      <c r="M3015" t="s">
        <v>68</v>
      </c>
      <c r="N3015" t="str">
        <f t="shared" si="302"/>
        <v>FOR</v>
      </c>
      <c r="O3015" t="s">
        <v>69</v>
      </c>
      <c r="P3015" s="3" t="s">
        <v>75</v>
      </c>
      <c r="Q3015">
        <v>2016</v>
      </c>
      <c r="R3015" s="2">
        <v>42452</v>
      </c>
      <c r="S3015" s="2">
        <v>42461</v>
      </c>
      <c r="T3015" s="2">
        <v>42454</v>
      </c>
      <c r="U3015" s="2">
        <v>42514</v>
      </c>
      <c r="V3015" t="s">
        <v>71</v>
      </c>
      <c r="W3015" t="str">
        <f>"          900005697T"</f>
        <v xml:space="preserve">          900005697T</v>
      </c>
      <c r="X3015">
        <v>5.04</v>
      </c>
      <c r="Y3015">
        <v>0</v>
      </c>
      <c r="Z3015"/>
      <c r="AB3015"/>
      <c r="AC3015">
        <v>4.13</v>
      </c>
      <c r="AD3015">
        <v>-22</v>
      </c>
      <c r="AE3015">
        <v>-90.86</v>
      </c>
      <c r="AF3015">
        <v>0</v>
      </c>
      <c r="AJ3015">
        <v>0</v>
      </c>
      <c r="AK3015">
        <v>0</v>
      </c>
      <c r="AL3015">
        <v>0</v>
      </c>
      <c r="AM3015">
        <v>5.04</v>
      </c>
      <c r="AN3015">
        <v>5.04</v>
      </c>
      <c r="AO3015">
        <v>5.04</v>
      </c>
      <c r="AP3015" s="2">
        <v>42746</v>
      </c>
      <c r="AQ3015" t="s">
        <v>72</v>
      </c>
      <c r="AR3015" t="s">
        <v>72</v>
      </c>
      <c r="AS3015">
        <v>1249</v>
      </c>
      <c r="AT3015" s="4">
        <v>42492</v>
      </c>
      <c r="AV3015">
        <v>1249</v>
      </c>
      <c r="AW3015" s="4">
        <v>42492</v>
      </c>
      <c r="BD3015">
        <v>0</v>
      </c>
      <c r="BN3015" t="s">
        <v>74</v>
      </c>
    </row>
    <row r="3016" spans="1:66" hidden="1">
      <c r="A3016">
        <v>101019</v>
      </c>
      <c r="B3016" s="3" t="s">
        <v>352</v>
      </c>
      <c r="C3016" s="1">
        <v>43300101</v>
      </c>
      <c r="D3016" t="s">
        <v>67</v>
      </c>
      <c r="H3016" t="str">
        <f t="shared" si="303"/>
        <v>09771701001</v>
      </c>
      <c r="I3016" t="str">
        <f t="shared" si="303"/>
        <v>09771701001</v>
      </c>
      <c r="K3016" t="str">
        <f>""</f>
        <v/>
      </c>
      <c r="M3016" t="s">
        <v>68</v>
      </c>
      <c r="N3016" t="str">
        <f t="shared" si="302"/>
        <v>FOR</v>
      </c>
      <c r="O3016" t="s">
        <v>69</v>
      </c>
      <c r="P3016" s="3" t="s">
        <v>75</v>
      </c>
      <c r="Q3016">
        <v>2016</v>
      </c>
      <c r="R3016" s="2">
        <v>42483</v>
      </c>
      <c r="S3016" s="2">
        <v>42487</v>
      </c>
      <c r="T3016" s="2">
        <v>42487</v>
      </c>
      <c r="U3016" s="2">
        <v>42547</v>
      </c>
      <c r="V3016" t="s">
        <v>71</v>
      </c>
      <c r="W3016" t="str">
        <f>"          900007983T"</f>
        <v xml:space="preserve">          900007983T</v>
      </c>
      <c r="X3016">
        <v>5.04</v>
      </c>
      <c r="Y3016">
        <v>0</v>
      </c>
      <c r="Z3016"/>
      <c r="AB3016"/>
      <c r="AC3016">
        <v>4.13</v>
      </c>
      <c r="AD3016">
        <v>-55</v>
      </c>
      <c r="AE3016">
        <v>-227.15</v>
      </c>
      <c r="AF3016">
        <v>0</v>
      </c>
      <c r="AJ3016">
        <v>0</v>
      </c>
      <c r="AK3016">
        <v>0</v>
      </c>
      <c r="AL3016">
        <v>0</v>
      </c>
      <c r="AM3016">
        <v>5.04</v>
      </c>
      <c r="AN3016">
        <v>5.04</v>
      </c>
      <c r="AO3016">
        <v>5.04</v>
      </c>
      <c r="AP3016" s="2">
        <v>42746</v>
      </c>
      <c r="AQ3016" t="s">
        <v>72</v>
      </c>
      <c r="AR3016" t="s">
        <v>72</v>
      </c>
      <c r="AS3016">
        <v>1249</v>
      </c>
      <c r="AT3016" s="4">
        <v>42492</v>
      </c>
      <c r="AV3016">
        <v>1249</v>
      </c>
      <c r="AW3016" s="4">
        <v>42492</v>
      </c>
      <c r="BD3016">
        <v>0</v>
      </c>
      <c r="BN3016" t="s">
        <v>74</v>
      </c>
    </row>
    <row r="3017" spans="1:66" hidden="1">
      <c r="A3017">
        <v>101019</v>
      </c>
      <c r="B3017" s="3" t="s">
        <v>352</v>
      </c>
      <c r="C3017" s="1">
        <v>43300101</v>
      </c>
      <c r="D3017" t="s">
        <v>67</v>
      </c>
      <c r="H3017" t="str">
        <f t="shared" si="303"/>
        <v>09771701001</v>
      </c>
      <c r="I3017" t="str">
        <f t="shared" si="303"/>
        <v>09771701001</v>
      </c>
      <c r="K3017" t="str">
        <f>""</f>
        <v/>
      </c>
      <c r="M3017" t="s">
        <v>68</v>
      </c>
      <c r="N3017" t="str">
        <f t="shared" si="302"/>
        <v>FOR</v>
      </c>
      <c r="O3017" t="s">
        <v>69</v>
      </c>
      <c r="P3017" s="3" t="s">
        <v>75</v>
      </c>
      <c r="Q3017">
        <v>2016</v>
      </c>
      <c r="R3017" s="2">
        <v>42513</v>
      </c>
      <c r="S3017" s="2">
        <v>42513</v>
      </c>
      <c r="T3017" s="2">
        <v>42513</v>
      </c>
      <c r="U3017" s="2">
        <v>42573</v>
      </c>
      <c r="V3017" t="s">
        <v>71</v>
      </c>
      <c r="W3017" t="str">
        <f>"          900010291T"</f>
        <v xml:space="preserve">          900010291T</v>
      </c>
      <c r="X3017">
        <v>5.04</v>
      </c>
      <c r="Y3017">
        <v>0</v>
      </c>
      <c r="Z3017"/>
      <c r="AB3017"/>
      <c r="AC3017">
        <v>4.13</v>
      </c>
      <c r="AD3017">
        <v>-53</v>
      </c>
      <c r="AE3017">
        <v>-218.89</v>
      </c>
      <c r="AF3017">
        <v>0</v>
      </c>
      <c r="AJ3017">
        <v>0</v>
      </c>
      <c r="AK3017">
        <v>0</v>
      </c>
      <c r="AL3017">
        <v>0</v>
      </c>
      <c r="AM3017">
        <v>5.04</v>
      </c>
      <c r="AN3017">
        <v>5.04</v>
      </c>
      <c r="AO3017">
        <v>5.04</v>
      </c>
      <c r="AP3017" s="2">
        <v>42746</v>
      </c>
      <c r="AQ3017" t="s">
        <v>72</v>
      </c>
      <c r="AR3017" t="s">
        <v>72</v>
      </c>
      <c r="AS3017">
        <v>1433</v>
      </c>
      <c r="AT3017" s="4">
        <v>42520</v>
      </c>
      <c r="AV3017">
        <v>1433</v>
      </c>
      <c r="AW3017" s="4">
        <v>42520</v>
      </c>
      <c r="BD3017">
        <v>0</v>
      </c>
      <c r="BN3017" t="s">
        <v>74</v>
      </c>
    </row>
    <row r="3018" spans="1:66" hidden="1">
      <c r="A3018">
        <v>101019</v>
      </c>
      <c r="B3018" s="3" t="s">
        <v>352</v>
      </c>
      <c r="C3018" s="1">
        <v>43300101</v>
      </c>
      <c r="D3018" t="s">
        <v>67</v>
      </c>
      <c r="H3018" t="str">
        <f t="shared" si="303"/>
        <v>09771701001</v>
      </c>
      <c r="I3018" t="str">
        <f t="shared" si="303"/>
        <v>09771701001</v>
      </c>
      <c r="K3018" t="str">
        <f>""</f>
        <v/>
      </c>
      <c r="M3018" t="s">
        <v>68</v>
      </c>
      <c r="N3018" t="str">
        <f t="shared" si="302"/>
        <v>FOR</v>
      </c>
      <c r="O3018" t="s">
        <v>69</v>
      </c>
      <c r="P3018" s="3" t="s">
        <v>75</v>
      </c>
      <c r="Q3018">
        <v>2016</v>
      </c>
      <c r="R3018" s="2">
        <v>42544</v>
      </c>
      <c r="S3018" s="2">
        <v>42557</v>
      </c>
      <c r="T3018" s="2">
        <v>42549</v>
      </c>
      <c r="U3018" s="2">
        <v>42609</v>
      </c>
      <c r="V3018" t="s">
        <v>71</v>
      </c>
      <c r="W3018" t="str">
        <f>"          900012877T"</f>
        <v xml:space="preserve">          900012877T</v>
      </c>
      <c r="X3018">
        <v>5.04</v>
      </c>
      <c r="Y3018">
        <v>0</v>
      </c>
      <c r="Z3018"/>
      <c r="AB3018"/>
      <c r="AC3018">
        <v>4.13</v>
      </c>
      <c r="AD3018">
        <v>-43</v>
      </c>
      <c r="AE3018">
        <v>-177.59</v>
      </c>
      <c r="AF3018">
        <v>0</v>
      </c>
      <c r="AJ3018">
        <v>0</v>
      </c>
      <c r="AK3018">
        <v>0</v>
      </c>
      <c r="AL3018">
        <v>0</v>
      </c>
      <c r="AM3018">
        <v>5.04</v>
      </c>
      <c r="AN3018">
        <v>5.04</v>
      </c>
      <c r="AO3018">
        <v>5.04</v>
      </c>
      <c r="AP3018" s="2">
        <v>42746</v>
      </c>
      <c r="AQ3018" t="s">
        <v>72</v>
      </c>
      <c r="AR3018" t="s">
        <v>72</v>
      </c>
      <c r="AS3018">
        <v>1810</v>
      </c>
      <c r="AT3018" s="4">
        <v>42566</v>
      </c>
      <c r="AV3018">
        <v>1810</v>
      </c>
      <c r="AW3018" s="4">
        <v>42566</v>
      </c>
      <c r="BD3018">
        <v>0</v>
      </c>
      <c r="BN3018" t="s">
        <v>74</v>
      </c>
    </row>
    <row r="3019" spans="1:66" hidden="1">
      <c r="A3019">
        <v>101019</v>
      </c>
      <c r="B3019" s="3" t="s">
        <v>352</v>
      </c>
      <c r="C3019" s="1">
        <v>43300101</v>
      </c>
      <c r="D3019" t="s">
        <v>67</v>
      </c>
      <c r="H3019" t="str">
        <f t="shared" si="303"/>
        <v>09771701001</v>
      </c>
      <c r="I3019" t="str">
        <f t="shared" si="303"/>
        <v>09771701001</v>
      </c>
      <c r="K3019" t="str">
        <f>""</f>
        <v/>
      </c>
      <c r="M3019" t="s">
        <v>68</v>
      </c>
      <c r="N3019" t="str">
        <f t="shared" si="302"/>
        <v>FOR</v>
      </c>
      <c r="O3019" t="s">
        <v>69</v>
      </c>
      <c r="P3019" s="3" t="s">
        <v>75</v>
      </c>
      <c r="Q3019">
        <v>2016</v>
      </c>
      <c r="R3019" s="2">
        <v>42574</v>
      </c>
      <c r="S3019" s="2">
        <v>42578</v>
      </c>
      <c r="T3019" s="2">
        <v>42577</v>
      </c>
      <c r="U3019" s="2">
        <v>42637</v>
      </c>
      <c r="V3019" t="s">
        <v>71</v>
      </c>
      <c r="W3019" t="str">
        <f>"          900015313T"</f>
        <v xml:space="preserve">          900015313T</v>
      </c>
      <c r="X3019">
        <v>5.04</v>
      </c>
      <c r="Y3019">
        <v>0</v>
      </c>
      <c r="Z3019"/>
      <c r="AB3019"/>
      <c r="AC3019">
        <v>4.13</v>
      </c>
      <c r="AD3019">
        <v>-59</v>
      </c>
      <c r="AE3019">
        <v>-243.67</v>
      </c>
      <c r="AF3019">
        <v>0</v>
      </c>
      <c r="AJ3019">
        <v>0</v>
      </c>
      <c r="AK3019">
        <v>0</v>
      </c>
      <c r="AL3019">
        <v>0</v>
      </c>
      <c r="AM3019">
        <v>5.04</v>
      </c>
      <c r="AN3019">
        <v>5.04</v>
      </c>
      <c r="AO3019">
        <v>5.04</v>
      </c>
      <c r="AP3019" s="2">
        <v>42746</v>
      </c>
      <c r="AQ3019" t="s">
        <v>72</v>
      </c>
      <c r="AR3019" t="s">
        <v>72</v>
      </c>
      <c r="AS3019">
        <v>1989</v>
      </c>
      <c r="AT3019" s="4">
        <v>42578</v>
      </c>
      <c r="AV3019">
        <v>1989</v>
      </c>
      <c r="AW3019" s="4">
        <v>42578</v>
      </c>
      <c r="BD3019">
        <v>0</v>
      </c>
      <c r="BN3019" t="s">
        <v>74</v>
      </c>
    </row>
    <row r="3020" spans="1:66" hidden="1">
      <c r="A3020">
        <v>101019</v>
      </c>
      <c r="B3020" s="3" t="s">
        <v>352</v>
      </c>
      <c r="C3020" s="1">
        <v>43300101</v>
      </c>
      <c r="D3020" t="s">
        <v>67</v>
      </c>
      <c r="H3020" t="str">
        <f t="shared" si="303"/>
        <v>09771701001</v>
      </c>
      <c r="I3020" t="str">
        <f t="shared" si="303"/>
        <v>09771701001</v>
      </c>
      <c r="K3020" t="str">
        <f>""</f>
        <v/>
      </c>
      <c r="M3020" t="s">
        <v>68</v>
      </c>
      <c r="N3020" t="str">
        <f t="shared" si="302"/>
        <v>FOR</v>
      </c>
      <c r="O3020" t="s">
        <v>69</v>
      </c>
      <c r="P3020" s="3" t="s">
        <v>75</v>
      </c>
      <c r="Q3020">
        <v>2016</v>
      </c>
      <c r="R3020" s="2">
        <v>42574</v>
      </c>
      <c r="S3020" s="2">
        <v>42578</v>
      </c>
      <c r="T3020" s="2">
        <v>42575</v>
      </c>
      <c r="U3020" s="2">
        <v>42635</v>
      </c>
      <c r="V3020" t="s">
        <v>71</v>
      </c>
      <c r="W3020" t="str">
        <f>"          900015576T"</f>
        <v xml:space="preserve">          900015576T</v>
      </c>
      <c r="X3020">
        <v>6.3</v>
      </c>
      <c r="Y3020">
        <v>0</v>
      </c>
      <c r="Z3020"/>
      <c r="AB3020"/>
      <c r="AC3020">
        <v>5.16</v>
      </c>
      <c r="AD3020">
        <v>-57</v>
      </c>
      <c r="AE3020">
        <v>-294.12</v>
      </c>
      <c r="AF3020">
        <v>0</v>
      </c>
      <c r="AJ3020">
        <v>0</v>
      </c>
      <c r="AK3020">
        <v>0</v>
      </c>
      <c r="AL3020">
        <v>0</v>
      </c>
      <c r="AM3020">
        <v>6.3</v>
      </c>
      <c r="AN3020">
        <v>6.3</v>
      </c>
      <c r="AO3020">
        <v>6.3</v>
      </c>
      <c r="AP3020" s="2">
        <v>42746</v>
      </c>
      <c r="AQ3020" t="s">
        <v>72</v>
      </c>
      <c r="AR3020" t="s">
        <v>72</v>
      </c>
      <c r="AS3020">
        <v>1989</v>
      </c>
      <c r="AT3020" s="4">
        <v>42578</v>
      </c>
      <c r="AV3020">
        <v>1989</v>
      </c>
      <c r="AW3020" s="4">
        <v>42578</v>
      </c>
      <c r="BD3020">
        <v>0</v>
      </c>
      <c r="BN3020" t="s">
        <v>74</v>
      </c>
    </row>
    <row r="3021" spans="1:66" hidden="1">
      <c r="A3021">
        <v>101019</v>
      </c>
      <c r="B3021" s="3" t="s">
        <v>352</v>
      </c>
      <c r="C3021" s="1">
        <v>43300101</v>
      </c>
      <c r="D3021" t="s">
        <v>67</v>
      </c>
      <c r="H3021" t="str">
        <f t="shared" si="303"/>
        <v>09771701001</v>
      </c>
      <c r="I3021" t="str">
        <f t="shared" si="303"/>
        <v>09771701001</v>
      </c>
      <c r="K3021" t="str">
        <f>""</f>
        <v/>
      </c>
      <c r="M3021" t="s">
        <v>68</v>
      </c>
      <c r="N3021" t="str">
        <f t="shared" si="302"/>
        <v>FOR</v>
      </c>
      <c r="O3021" t="s">
        <v>69</v>
      </c>
      <c r="P3021" s="3" t="s">
        <v>75</v>
      </c>
      <c r="Q3021">
        <v>2016</v>
      </c>
      <c r="R3021" s="2">
        <v>42605</v>
      </c>
      <c r="S3021" s="2">
        <v>42618</v>
      </c>
      <c r="T3021" s="2">
        <v>42616</v>
      </c>
      <c r="U3021" s="2">
        <v>42676</v>
      </c>
      <c r="V3021" t="s">
        <v>71</v>
      </c>
      <c r="W3021" t="str">
        <f>"          900017596T"</f>
        <v xml:space="preserve">          900017596T</v>
      </c>
      <c r="X3021">
        <v>5.04</v>
      </c>
      <c r="Y3021">
        <v>0</v>
      </c>
      <c r="Z3021"/>
      <c r="AB3021"/>
      <c r="AC3021">
        <v>4.13</v>
      </c>
      <c r="AD3021">
        <v>-57</v>
      </c>
      <c r="AE3021">
        <v>-235.41</v>
      </c>
      <c r="AF3021">
        <v>0</v>
      </c>
      <c r="AJ3021">
        <v>0</v>
      </c>
      <c r="AK3021">
        <v>0</v>
      </c>
      <c r="AL3021">
        <v>0</v>
      </c>
      <c r="AM3021">
        <v>5.04</v>
      </c>
      <c r="AN3021">
        <v>5.04</v>
      </c>
      <c r="AO3021">
        <v>5.04</v>
      </c>
      <c r="AP3021" s="2">
        <v>42746</v>
      </c>
      <c r="AQ3021" t="s">
        <v>72</v>
      </c>
      <c r="AR3021" t="s">
        <v>72</v>
      </c>
      <c r="AS3021">
        <v>2261</v>
      </c>
      <c r="AT3021" s="4">
        <v>42619</v>
      </c>
      <c r="AV3021">
        <v>2261</v>
      </c>
      <c r="AW3021" s="4">
        <v>42619</v>
      </c>
      <c r="BD3021">
        <v>0</v>
      </c>
      <c r="BN3021" t="s">
        <v>74</v>
      </c>
    </row>
    <row r="3022" spans="1:66">
      <c r="A3022">
        <v>101019</v>
      </c>
      <c r="B3022" s="3" t="s">
        <v>352</v>
      </c>
      <c r="C3022" s="1">
        <v>43300101</v>
      </c>
      <c r="D3022" t="s">
        <v>67</v>
      </c>
      <c r="H3022" t="str">
        <f t="shared" si="303"/>
        <v>09771701001</v>
      </c>
      <c r="I3022" t="str">
        <f t="shared" si="303"/>
        <v>09771701001</v>
      </c>
      <c r="K3022" t="str">
        <f>""</f>
        <v/>
      </c>
      <c r="M3022" t="s">
        <v>68</v>
      </c>
      <c r="N3022" t="str">
        <f t="shared" si="302"/>
        <v>FOR</v>
      </c>
      <c r="O3022" t="s">
        <v>69</v>
      </c>
      <c r="P3022" s="3" t="s">
        <v>75</v>
      </c>
      <c r="Q3022">
        <v>2016</v>
      </c>
      <c r="R3022" s="2">
        <v>42636</v>
      </c>
      <c r="S3022" s="2">
        <v>42639</v>
      </c>
      <c r="T3022" s="2">
        <v>42638</v>
      </c>
      <c r="U3022" s="2">
        <v>42698</v>
      </c>
      <c r="V3022" t="s">
        <v>71</v>
      </c>
      <c r="W3022" t="str">
        <f>"          900019738T"</f>
        <v xml:space="preserve">          900019738T</v>
      </c>
      <c r="X3022">
        <v>5.04</v>
      </c>
      <c r="Y3022">
        <v>0</v>
      </c>
      <c r="Z3022" s="3">
        <v>4.13</v>
      </c>
      <c r="AA3022">
        <v>-52</v>
      </c>
      <c r="AB3022" s="3">
        <v>-214.76</v>
      </c>
      <c r="AC3022">
        <v>4.13</v>
      </c>
      <c r="AD3022">
        <v>-52</v>
      </c>
      <c r="AE3022">
        <v>-214.76</v>
      </c>
      <c r="AF3022">
        <v>0</v>
      </c>
      <c r="AJ3022">
        <v>0</v>
      </c>
      <c r="AK3022">
        <v>0</v>
      </c>
      <c r="AL3022">
        <v>0</v>
      </c>
      <c r="AM3022">
        <v>5.04</v>
      </c>
      <c r="AN3022">
        <v>5.04</v>
      </c>
      <c r="AO3022">
        <v>5.04</v>
      </c>
      <c r="AP3022" s="2">
        <v>42746</v>
      </c>
      <c r="AQ3022" t="s">
        <v>72</v>
      </c>
      <c r="AR3022" t="s">
        <v>72</v>
      </c>
      <c r="AS3022">
        <v>2504</v>
      </c>
      <c r="AT3022" s="4">
        <v>42646</v>
      </c>
      <c r="AV3022">
        <v>2504</v>
      </c>
      <c r="AW3022" s="4">
        <v>42646</v>
      </c>
      <c r="BD3022">
        <v>0</v>
      </c>
      <c r="BN3022" t="s">
        <v>74</v>
      </c>
    </row>
    <row r="3023" spans="1:66">
      <c r="A3023">
        <v>101019</v>
      </c>
      <c r="B3023" s="3" t="s">
        <v>352</v>
      </c>
      <c r="C3023" s="1">
        <v>43300101</v>
      </c>
      <c r="D3023" t="s">
        <v>67</v>
      </c>
      <c r="H3023" t="str">
        <f t="shared" si="303"/>
        <v>09771701001</v>
      </c>
      <c r="I3023" t="str">
        <f t="shared" si="303"/>
        <v>09771701001</v>
      </c>
      <c r="K3023" t="str">
        <f>""</f>
        <v/>
      </c>
      <c r="M3023" t="s">
        <v>68</v>
      </c>
      <c r="N3023" t="str">
        <f t="shared" si="302"/>
        <v>FOR</v>
      </c>
      <c r="O3023" t="s">
        <v>69</v>
      </c>
      <c r="P3023" s="3" t="s">
        <v>75</v>
      </c>
      <c r="Q3023">
        <v>2016</v>
      </c>
      <c r="R3023" s="2">
        <v>42666</v>
      </c>
      <c r="S3023" s="2">
        <v>42670</v>
      </c>
      <c r="T3023" s="2">
        <v>42669</v>
      </c>
      <c r="U3023" s="2">
        <v>42729</v>
      </c>
      <c r="V3023" t="s">
        <v>71</v>
      </c>
      <c r="W3023" t="str">
        <f>"          900021976T"</f>
        <v xml:space="preserve">          900021976T</v>
      </c>
      <c r="X3023">
        <v>5.04</v>
      </c>
      <c r="Y3023">
        <v>0</v>
      </c>
      <c r="Z3023" s="3">
        <v>4.13</v>
      </c>
      <c r="AA3023">
        <v>-51</v>
      </c>
      <c r="AB3023" s="3">
        <v>-210.63</v>
      </c>
      <c r="AC3023">
        <v>4.13</v>
      </c>
      <c r="AD3023">
        <v>-51</v>
      </c>
      <c r="AE3023">
        <v>-210.63</v>
      </c>
      <c r="AF3023">
        <v>0</v>
      </c>
      <c r="AJ3023">
        <v>5.04</v>
      </c>
      <c r="AK3023">
        <v>5.04</v>
      </c>
      <c r="AL3023">
        <v>5.04</v>
      </c>
      <c r="AM3023">
        <v>5.04</v>
      </c>
      <c r="AN3023">
        <v>5.04</v>
      </c>
      <c r="AO3023">
        <v>5.04</v>
      </c>
      <c r="AP3023" s="2">
        <v>42746</v>
      </c>
      <c r="AQ3023" t="s">
        <v>72</v>
      </c>
      <c r="AR3023" t="s">
        <v>72</v>
      </c>
      <c r="AS3023">
        <v>2924</v>
      </c>
      <c r="AT3023" s="4">
        <v>42678</v>
      </c>
      <c r="AV3023">
        <v>2924</v>
      </c>
      <c r="AW3023" s="4">
        <v>42678</v>
      </c>
      <c r="BD3023">
        <v>0</v>
      </c>
      <c r="BN3023" t="s">
        <v>74</v>
      </c>
    </row>
    <row r="3024" spans="1:66">
      <c r="A3024">
        <v>101019</v>
      </c>
      <c r="B3024" s="3" t="s">
        <v>352</v>
      </c>
      <c r="C3024" s="1">
        <v>43300101</v>
      </c>
      <c r="D3024" t="s">
        <v>67</v>
      </c>
      <c r="H3024" t="str">
        <f t="shared" si="303"/>
        <v>09771701001</v>
      </c>
      <c r="I3024" t="str">
        <f t="shared" si="303"/>
        <v>09771701001</v>
      </c>
      <c r="K3024" t="str">
        <f>""</f>
        <v/>
      </c>
      <c r="M3024" t="s">
        <v>68</v>
      </c>
      <c r="N3024" t="str">
        <f t="shared" si="302"/>
        <v>FOR</v>
      </c>
      <c r="O3024" t="s">
        <v>69</v>
      </c>
      <c r="P3024" s="3" t="s">
        <v>75</v>
      </c>
      <c r="Q3024">
        <v>2016</v>
      </c>
      <c r="R3024" s="2">
        <v>42697</v>
      </c>
      <c r="S3024" s="2">
        <v>42702</v>
      </c>
      <c r="T3024" s="2">
        <v>42698</v>
      </c>
      <c r="U3024" s="2">
        <v>42758</v>
      </c>
      <c r="V3024" t="s">
        <v>71</v>
      </c>
      <c r="W3024" t="str">
        <f>"          900024277T"</f>
        <v xml:space="preserve">          900024277T</v>
      </c>
      <c r="X3024">
        <v>5.04</v>
      </c>
      <c r="Y3024">
        <v>0</v>
      </c>
      <c r="Z3024" s="3">
        <v>4.13</v>
      </c>
      <c r="AA3024">
        <v>-49</v>
      </c>
      <c r="AB3024" s="3">
        <v>-202.37</v>
      </c>
      <c r="AC3024">
        <v>4.13</v>
      </c>
      <c r="AD3024">
        <v>-49</v>
      </c>
      <c r="AE3024">
        <v>-202.37</v>
      </c>
      <c r="AF3024">
        <v>0.91</v>
      </c>
      <c r="AJ3024">
        <v>5.04</v>
      </c>
      <c r="AK3024">
        <v>5.04</v>
      </c>
      <c r="AL3024">
        <v>5.04</v>
      </c>
      <c r="AM3024">
        <v>5.04</v>
      </c>
      <c r="AN3024">
        <v>5.04</v>
      </c>
      <c r="AO3024">
        <v>5.04</v>
      </c>
      <c r="AP3024" s="2">
        <v>42746</v>
      </c>
      <c r="AQ3024" t="s">
        <v>72</v>
      </c>
      <c r="AR3024" t="s">
        <v>72</v>
      </c>
      <c r="AS3024">
        <v>3325</v>
      </c>
      <c r="AT3024" s="4">
        <v>42709</v>
      </c>
      <c r="AV3024">
        <v>3325</v>
      </c>
      <c r="AW3024" s="4">
        <v>42709</v>
      </c>
      <c r="BD3024">
        <v>0</v>
      </c>
      <c r="BF3024">
        <v>0.91</v>
      </c>
      <c r="BN3024" t="s">
        <v>74</v>
      </c>
    </row>
    <row r="3025" spans="1:66" hidden="1">
      <c r="A3025">
        <v>101029</v>
      </c>
      <c r="B3025" s="3" t="s">
        <v>353</v>
      </c>
      <c r="C3025" s="1">
        <v>43500101</v>
      </c>
      <c r="D3025" t="s">
        <v>113</v>
      </c>
      <c r="H3025" t="str">
        <f>"01189210626"</f>
        <v>01189210626</v>
      </c>
      <c r="I3025" t="str">
        <f>"01189210626"</f>
        <v>01189210626</v>
      </c>
      <c r="K3025" t="str">
        <f>""</f>
        <v/>
      </c>
      <c r="M3025" t="s">
        <v>68</v>
      </c>
      <c r="N3025" t="str">
        <f>"ALTPRO"</f>
        <v>ALTPRO</v>
      </c>
      <c r="O3025" t="s">
        <v>132</v>
      </c>
      <c r="P3025" s="3" t="s">
        <v>75</v>
      </c>
      <c r="Q3025">
        <v>2015</v>
      </c>
      <c r="R3025" s="2">
        <v>42317</v>
      </c>
      <c r="S3025" s="2">
        <v>42318</v>
      </c>
      <c r="T3025" s="2">
        <v>42317</v>
      </c>
      <c r="U3025" s="2">
        <v>42377</v>
      </c>
      <c r="V3025" t="s">
        <v>71</v>
      </c>
      <c r="W3025" t="str">
        <f>"                  1E"</f>
        <v xml:space="preserve">                  1E</v>
      </c>
      <c r="X3025" s="1">
        <v>6344</v>
      </c>
      <c r="Y3025" s="1">
        <v>-1000</v>
      </c>
      <c r="Z3025"/>
      <c r="AB3025"/>
      <c r="AC3025" s="1">
        <v>5344</v>
      </c>
      <c r="AD3025">
        <v>87</v>
      </c>
      <c r="AE3025" s="1">
        <v>464928</v>
      </c>
      <c r="AF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 s="2">
        <v>42746</v>
      </c>
      <c r="AQ3025" t="s">
        <v>72</v>
      </c>
      <c r="AR3025" t="s">
        <v>72</v>
      </c>
      <c r="AS3025">
        <v>982</v>
      </c>
      <c r="AT3025" s="4">
        <v>42464</v>
      </c>
      <c r="AU3025" t="s">
        <v>73</v>
      </c>
      <c r="AV3025">
        <v>982</v>
      </c>
      <c r="AW3025" s="4">
        <v>42464</v>
      </c>
      <c r="BD3025">
        <v>0</v>
      </c>
      <c r="BN3025" t="s">
        <v>74</v>
      </c>
    </row>
    <row r="3026" spans="1:66" hidden="1">
      <c r="A3026">
        <v>101035</v>
      </c>
      <c r="B3026" s="3" t="s">
        <v>354</v>
      </c>
      <c r="C3026" s="1">
        <v>43300101</v>
      </c>
      <c r="D3026" t="s">
        <v>67</v>
      </c>
      <c r="H3026" t="str">
        <f t="shared" ref="H3026:H3034" si="304">"00133360081"</f>
        <v>00133360081</v>
      </c>
      <c r="I3026" t="str">
        <f t="shared" ref="I3026:I3034" si="305">"01737830230"</f>
        <v>01737830230</v>
      </c>
      <c r="K3026" t="str">
        <f>""</f>
        <v/>
      </c>
      <c r="M3026" t="s">
        <v>68</v>
      </c>
      <c r="N3026" t="str">
        <f t="shared" ref="N3026:N3034" si="306">"FOR"</f>
        <v>FOR</v>
      </c>
      <c r="O3026" t="s">
        <v>69</v>
      </c>
      <c r="P3026" s="3" t="s">
        <v>75</v>
      </c>
      <c r="Q3026">
        <v>2015</v>
      </c>
      <c r="R3026" s="2">
        <v>42131</v>
      </c>
      <c r="S3026" s="2">
        <v>42135</v>
      </c>
      <c r="T3026" s="2">
        <v>42133</v>
      </c>
      <c r="U3026" s="2">
        <v>42193</v>
      </c>
      <c r="V3026" t="s">
        <v>71</v>
      </c>
      <c r="W3026" t="str">
        <f>"           S1/004924"</f>
        <v xml:space="preserve">           S1/004924</v>
      </c>
      <c r="X3026">
        <v>858</v>
      </c>
      <c r="Y3026">
        <v>0</v>
      </c>
      <c r="Z3026"/>
      <c r="AB3026"/>
      <c r="AC3026">
        <v>780</v>
      </c>
      <c r="AD3026">
        <v>222</v>
      </c>
      <c r="AE3026" s="1">
        <v>173160</v>
      </c>
      <c r="AF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 s="2">
        <v>42746</v>
      </c>
      <c r="AQ3026" t="s">
        <v>72</v>
      </c>
      <c r="AR3026" t="s">
        <v>72</v>
      </c>
      <c r="AS3026">
        <v>397</v>
      </c>
      <c r="AT3026" s="4">
        <v>42415</v>
      </c>
      <c r="AU3026" t="s">
        <v>73</v>
      </c>
      <c r="AV3026">
        <v>397</v>
      </c>
      <c r="AW3026" s="4">
        <v>42415</v>
      </c>
      <c r="BD3026">
        <v>0</v>
      </c>
      <c r="BN3026" t="s">
        <v>74</v>
      </c>
    </row>
    <row r="3027" spans="1:66" hidden="1">
      <c r="A3027">
        <v>101035</v>
      </c>
      <c r="B3027" s="3" t="s">
        <v>354</v>
      </c>
      <c r="C3027" s="1">
        <v>43300101</v>
      </c>
      <c r="D3027" t="s">
        <v>67</v>
      </c>
      <c r="H3027" t="str">
        <f t="shared" si="304"/>
        <v>00133360081</v>
      </c>
      <c r="I3027" t="str">
        <f t="shared" si="305"/>
        <v>01737830230</v>
      </c>
      <c r="K3027" t="str">
        <f>""</f>
        <v/>
      </c>
      <c r="M3027" t="s">
        <v>68</v>
      </c>
      <c r="N3027" t="str">
        <f t="shared" si="306"/>
        <v>FOR</v>
      </c>
      <c r="O3027" t="s">
        <v>69</v>
      </c>
      <c r="P3027" s="3" t="s">
        <v>75</v>
      </c>
      <c r="Q3027">
        <v>2015</v>
      </c>
      <c r="R3027" s="2">
        <v>42159</v>
      </c>
      <c r="S3027" s="2">
        <v>42163</v>
      </c>
      <c r="T3027" s="2">
        <v>42159</v>
      </c>
      <c r="U3027" s="2">
        <v>42219</v>
      </c>
      <c r="V3027" t="s">
        <v>71</v>
      </c>
      <c r="W3027" t="str">
        <f>"           S1/005968"</f>
        <v xml:space="preserve">           S1/005968</v>
      </c>
      <c r="X3027">
        <v>858</v>
      </c>
      <c r="Y3027">
        <v>0</v>
      </c>
      <c r="Z3027"/>
      <c r="AB3027"/>
      <c r="AC3027">
        <v>780</v>
      </c>
      <c r="AD3027">
        <v>196</v>
      </c>
      <c r="AE3027" s="1">
        <v>152880</v>
      </c>
      <c r="AF3027">
        <v>0</v>
      </c>
      <c r="AJ3027">
        <v>0</v>
      </c>
      <c r="AK3027">
        <v>0</v>
      </c>
      <c r="AL3027">
        <v>0</v>
      </c>
      <c r="AM3027">
        <v>0</v>
      </c>
      <c r="AN3027">
        <v>0</v>
      </c>
      <c r="AO3027">
        <v>0</v>
      </c>
      <c r="AP3027" s="2">
        <v>42746</v>
      </c>
      <c r="AQ3027" t="s">
        <v>72</v>
      </c>
      <c r="AR3027" t="s">
        <v>72</v>
      </c>
      <c r="AS3027">
        <v>397</v>
      </c>
      <c r="AT3027" s="4">
        <v>42415</v>
      </c>
      <c r="AU3027" t="s">
        <v>73</v>
      </c>
      <c r="AV3027">
        <v>397</v>
      </c>
      <c r="AW3027" s="4">
        <v>42415</v>
      </c>
      <c r="BD3027">
        <v>0</v>
      </c>
      <c r="BN3027" t="s">
        <v>74</v>
      </c>
    </row>
    <row r="3028" spans="1:66" hidden="1">
      <c r="A3028">
        <v>101035</v>
      </c>
      <c r="B3028" s="3" t="s">
        <v>354</v>
      </c>
      <c r="C3028" s="1">
        <v>43300101</v>
      </c>
      <c r="D3028" t="s">
        <v>67</v>
      </c>
      <c r="H3028" t="str">
        <f t="shared" si="304"/>
        <v>00133360081</v>
      </c>
      <c r="I3028" t="str">
        <f t="shared" si="305"/>
        <v>01737830230</v>
      </c>
      <c r="K3028" t="str">
        <f>""</f>
        <v/>
      </c>
      <c r="M3028" t="s">
        <v>68</v>
      </c>
      <c r="N3028" t="str">
        <f t="shared" si="306"/>
        <v>FOR</v>
      </c>
      <c r="O3028" t="s">
        <v>69</v>
      </c>
      <c r="P3028" s="3" t="s">
        <v>75</v>
      </c>
      <c r="Q3028">
        <v>2015</v>
      </c>
      <c r="R3028" s="2">
        <v>42194</v>
      </c>
      <c r="S3028" s="2">
        <v>42195</v>
      </c>
      <c r="T3028" s="2">
        <v>42195</v>
      </c>
      <c r="U3028" s="2">
        <v>42255</v>
      </c>
      <c r="V3028" t="s">
        <v>71</v>
      </c>
      <c r="W3028" t="str">
        <f>"           S1/007384"</f>
        <v xml:space="preserve">           S1/007384</v>
      </c>
      <c r="X3028">
        <v>858</v>
      </c>
      <c r="Y3028">
        <v>0</v>
      </c>
      <c r="Z3028"/>
      <c r="AB3028"/>
      <c r="AC3028">
        <v>780</v>
      </c>
      <c r="AD3028">
        <v>160</v>
      </c>
      <c r="AE3028" s="1">
        <v>124800</v>
      </c>
      <c r="AF3028">
        <v>0</v>
      </c>
      <c r="AJ3028">
        <v>0</v>
      </c>
      <c r="AK3028">
        <v>0</v>
      </c>
      <c r="AL3028">
        <v>0</v>
      </c>
      <c r="AM3028">
        <v>0</v>
      </c>
      <c r="AN3028">
        <v>0</v>
      </c>
      <c r="AO3028">
        <v>0</v>
      </c>
      <c r="AP3028" s="2">
        <v>42746</v>
      </c>
      <c r="AQ3028" t="s">
        <v>72</v>
      </c>
      <c r="AR3028" t="s">
        <v>72</v>
      </c>
      <c r="AS3028">
        <v>397</v>
      </c>
      <c r="AT3028" s="4">
        <v>42415</v>
      </c>
      <c r="AU3028" t="s">
        <v>73</v>
      </c>
      <c r="AV3028">
        <v>397</v>
      </c>
      <c r="AW3028" s="4">
        <v>42415</v>
      </c>
      <c r="BD3028">
        <v>0</v>
      </c>
      <c r="BN3028" t="s">
        <v>74</v>
      </c>
    </row>
    <row r="3029" spans="1:66" hidden="1">
      <c r="A3029">
        <v>101035</v>
      </c>
      <c r="B3029" s="3" t="s">
        <v>354</v>
      </c>
      <c r="C3029" s="1">
        <v>43300101</v>
      </c>
      <c r="D3029" t="s">
        <v>67</v>
      </c>
      <c r="H3029" t="str">
        <f t="shared" si="304"/>
        <v>00133360081</v>
      </c>
      <c r="I3029" t="str">
        <f t="shared" si="305"/>
        <v>01737830230</v>
      </c>
      <c r="K3029" t="str">
        <f>""</f>
        <v/>
      </c>
      <c r="M3029" t="s">
        <v>68</v>
      </c>
      <c r="N3029" t="str">
        <f t="shared" si="306"/>
        <v>FOR</v>
      </c>
      <c r="O3029" t="s">
        <v>69</v>
      </c>
      <c r="P3029" s="3" t="s">
        <v>75</v>
      </c>
      <c r="Q3029">
        <v>2015</v>
      </c>
      <c r="R3029" s="2">
        <v>42283</v>
      </c>
      <c r="S3029" s="2">
        <v>42284</v>
      </c>
      <c r="T3029" s="2">
        <v>42283</v>
      </c>
      <c r="U3029" s="2">
        <v>42343</v>
      </c>
      <c r="V3029" t="s">
        <v>71</v>
      </c>
      <c r="W3029" t="str">
        <f>"           S1/010188"</f>
        <v xml:space="preserve">           S1/010188</v>
      </c>
      <c r="X3029" s="1">
        <v>1029.5999999999999</v>
      </c>
      <c r="Y3029">
        <v>0</v>
      </c>
      <c r="Z3029"/>
      <c r="AB3029"/>
      <c r="AC3029">
        <v>936</v>
      </c>
      <c r="AD3029">
        <v>72</v>
      </c>
      <c r="AE3029" s="1">
        <v>67392</v>
      </c>
      <c r="AF3029">
        <v>0</v>
      </c>
      <c r="AJ3029">
        <v>0</v>
      </c>
      <c r="AK3029">
        <v>0</v>
      </c>
      <c r="AL3029">
        <v>0</v>
      </c>
      <c r="AM3029">
        <v>0</v>
      </c>
      <c r="AN3029">
        <v>0</v>
      </c>
      <c r="AO3029">
        <v>0</v>
      </c>
      <c r="AP3029" s="2">
        <v>42746</v>
      </c>
      <c r="AQ3029" t="s">
        <v>72</v>
      </c>
      <c r="AR3029" t="s">
        <v>72</v>
      </c>
      <c r="AS3029">
        <v>397</v>
      </c>
      <c r="AT3029" s="4">
        <v>42415</v>
      </c>
      <c r="AU3029" t="s">
        <v>73</v>
      </c>
      <c r="AV3029">
        <v>397</v>
      </c>
      <c r="AW3029" s="4">
        <v>42415</v>
      </c>
      <c r="BD3029">
        <v>0</v>
      </c>
      <c r="BN3029" t="s">
        <v>74</v>
      </c>
    </row>
    <row r="3030" spans="1:66" hidden="1">
      <c r="A3030">
        <v>101035</v>
      </c>
      <c r="B3030" s="3" t="s">
        <v>354</v>
      </c>
      <c r="C3030" s="1">
        <v>43300101</v>
      </c>
      <c r="D3030" t="s">
        <v>67</v>
      </c>
      <c r="H3030" t="str">
        <f t="shared" si="304"/>
        <v>00133360081</v>
      </c>
      <c r="I3030" t="str">
        <f t="shared" si="305"/>
        <v>01737830230</v>
      </c>
      <c r="K3030" t="str">
        <f>""</f>
        <v/>
      </c>
      <c r="M3030" t="s">
        <v>68</v>
      </c>
      <c r="N3030" t="str">
        <f t="shared" si="306"/>
        <v>FOR</v>
      </c>
      <c r="O3030" t="s">
        <v>69</v>
      </c>
      <c r="P3030" s="3" t="s">
        <v>75</v>
      </c>
      <c r="Q3030">
        <v>2015</v>
      </c>
      <c r="R3030" s="2">
        <v>42326</v>
      </c>
      <c r="S3030" s="2">
        <v>42327</v>
      </c>
      <c r="T3030" s="2">
        <v>42326</v>
      </c>
      <c r="U3030" s="2">
        <v>42386</v>
      </c>
      <c r="V3030" t="s">
        <v>71</v>
      </c>
      <c r="W3030" t="str">
        <f>"           S1/011642"</f>
        <v xml:space="preserve">           S1/011642</v>
      </c>
      <c r="X3030">
        <v>737.88</v>
      </c>
      <c r="Y3030">
        <v>0</v>
      </c>
      <c r="Z3030"/>
      <c r="AB3030"/>
      <c r="AC3030">
        <v>670.8</v>
      </c>
      <c r="AD3030">
        <v>29</v>
      </c>
      <c r="AE3030" s="1">
        <v>19453.2</v>
      </c>
      <c r="AF3030">
        <v>0</v>
      </c>
      <c r="AJ3030">
        <v>0</v>
      </c>
      <c r="AK3030">
        <v>0</v>
      </c>
      <c r="AL3030">
        <v>0</v>
      </c>
      <c r="AM3030">
        <v>0</v>
      </c>
      <c r="AN3030">
        <v>0</v>
      </c>
      <c r="AO3030">
        <v>0</v>
      </c>
      <c r="AP3030" s="2">
        <v>42746</v>
      </c>
      <c r="AQ3030" t="s">
        <v>72</v>
      </c>
      <c r="AR3030" t="s">
        <v>72</v>
      </c>
      <c r="AS3030">
        <v>397</v>
      </c>
      <c r="AT3030" s="4">
        <v>42415</v>
      </c>
      <c r="AU3030" t="s">
        <v>73</v>
      </c>
      <c r="AV3030">
        <v>397</v>
      </c>
      <c r="AW3030" s="4">
        <v>42415</v>
      </c>
      <c r="BD3030">
        <v>0</v>
      </c>
      <c r="BN3030" t="s">
        <v>74</v>
      </c>
    </row>
    <row r="3031" spans="1:66" hidden="1">
      <c r="A3031">
        <v>101035</v>
      </c>
      <c r="B3031" s="3" t="s">
        <v>354</v>
      </c>
      <c r="C3031" s="1">
        <v>43300101</v>
      </c>
      <c r="D3031" t="s">
        <v>67</v>
      </c>
      <c r="H3031" t="str">
        <f t="shared" si="304"/>
        <v>00133360081</v>
      </c>
      <c r="I3031" t="str">
        <f t="shared" si="305"/>
        <v>01737830230</v>
      </c>
      <c r="K3031" t="str">
        <f>""</f>
        <v/>
      </c>
      <c r="M3031" t="s">
        <v>68</v>
      </c>
      <c r="N3031" t="str">
        <f t="shared" si="306"/>
        <v>FOR</v>
      </c>
      <c r="O3031" t="s">
        <v>69</v>
      </c>
      <c r="P3031" s="3" t="s">
        <v>75</v>
      </c>
      <c r="Q3031">
        <v>2016</v>
      </c>
      <c r="R3031" s="2">
        <v>42432</v>
      </c>
      <c r="S3031" s="2">
        <v>42436</v>
      </c>
      <c r="T3031" s="2">
        <v>42432</v>
      </c>
      <c r="U3031" s="2">
        <v>42492</v>
      </c>
      <c r="V3031" t="s">
        <v>71</v>
      </c>
      <c r="W3031" t="str">
        <f>"           S1/002050"</f>
        <v xml:space="preserve">           S1/002050</v>
      </c>
      <c r="X3031" s="1">
        <v>1029.5999999999999</v>
      </c>
      <c r="Y3031">
        <v>0</v>
      </c>
      <c r="Z3031"/>
      <c r="AB3031"/>
      <c r="AC3031">
        <v>936</v>
      </c>
      <c r="AD3031">
        <v>128</v>
      </c>
      <c r="AE3031" s="1">
        <v>119808</v>
      </c>
      <c r="AF3031">
        <v>0</v>
      </c>
      <c r="AJ3031">
        <v>0</v>
      </c>
      <c r="AK3031">
        <v>0</v>
      </c>
      <c r="AL3031">
        <v>0</v>
      </c>
      <c r="AM3031" s="1">
        <v>1029.5999999999999</v>
      </c>
      <c r="AN3031" s="1">
        <v>1029.5999999999999</v>
      </c>
      <c r="AO3031" s="1">
        <v>1029.5999999999999</v>
      </c>
      <c r="AP3031" s="2">
        <v>42746</v>
      </c>
      <c r="AQ3031" t="s">
        <v>72</v>
      </c>
      <c r="AR3031" t="s">
        <v>72</v>
      </c>
      <c r="AS3031">
        <v>2321</v>
      </c>
      <c r="AT3031" s="4">
        <v>42620</v>
      </c>
      <c r="AU3031" t="s">
        <v>73</v>
      </c>
      <c r="AV3031">
        <v>2321</v>
      </c>
      <c r="AW3031" s="4">
        <v>42620</v>
      </c>
      <c r="BD3031">
        <v>0</v>
      </c>
      <c r="BN3031" t="s">
        <v>74</v>
      </c>
    </row>
    <row r="3032" spans="1:66" hidden="1">
      <c r="A3032">
        <v>101035</v>
      </c>
      <c r="B3032" s="3" t="s">
        <v>354</v>
      </c>
      <c r="C3032" s="1">
        <v>43300101</v>
      </c>
      <c r="D3032" t="s">
        <v>67</v>
      </c>
      <c r="H3032" t="str">
        <f t="shared" si="304"/>
        <v>00133360081</v>
      </c>
      <c r="I3032" t="str">
        <f t="shared" si="305"/>
        <v>01737830230</v>
      </c>
      <c r="K3032" t="str">
        <f>""</f>
        <v/>
      </c>
      <c r="M3032" t="s">
        <v>68</v>
      </c>
      <c r="N3032" t="str">
        <f t="shared" si="306"/>
        <v>FOR</v>
      </c>
      <c r="O3032" t="s">
        <v>69</v>
      </c>
      <c r="P3032" s="3" t="s">
        <v>75</v>
      </c>
      <c r="Q3032">
        <v>2016</v>
      </c>
      <c r="R3032" s="2">
        <v>42481</v>
      </c>
      <c r="S3032" s="2">
        <v>42487</v>
      </c>
      <c r="T3032" s="2">
        <v>42482</v>
      </c>
      <c r="U3032" s="2">
        <v>42542</v>
      </c>
      <c r="V3032" t="s">
        <v>71</v>
      </c>
      <c r="W3032" t="str">
        <f>"           S1/003847"</f>
        <v xml:space="preserve">           S1/003847</v>
      </c>
      <c r="X3032">
        <v>858</v>
      </c>
      <c r="Y3032">
        <v>0</v>
      </c>
      <c r="Z3032"/>
      <c r="AB3032"/>
      <c r="AC3032">
        <v>780</v>
      </c>
      <c r="AD3032">
        <v>78</v>
      </c>
      <c r="AE3032" s="1">
        <v>60840</v>
      </c>
      <c r="AF3032">
        <v>0</v>
      </c>
      <c r="AJ3032">
        <v>0</v>
      </c>
      <c r="AK3032">
        <v>0</v>
      </c>
      <c r="AL3032">
        <v>0</v>
      </c>
      <c r="AM3032">
        <v>858</v>
      </c>
      <c r="AN3032">
        <v>858</v>
      </c>
      <c r="AO3032">
        <v>858</v>
      </c>
      <c r="AP3032" s="2">
        <v>42746</v>
      </c>
      <c r="AQ3032" t="s">
        <v>72</v>
      </c>
      <c r="AR3032" t="s">
        <v>72</v>
      </c>
      <c r="AS3032">
        <v>2321</v>
      </c>
      <c r="AT3032" s="4">
        <v>42620</v>
      </c>
      <c r="AU3032" t="s">
        <v>73</v>
      </c>
      <c r="AV3032">
        <v>2321</v>
      </c>
      <c r="AW3032" s="4">
        <v>42620</v>
      </c>
      <c r="BD3032">
        <v>0</v>
      </c>
      <c r="BN3032" t="s">
        <v>74</v>
      </c>
    </row>
    <row r="3033" spans="1:66" hidden="1">
      <c r="A3033">
        <v>101035</v>
      </c>
      <c r="B3033" s="3" t="s">
        <v>354</v>
      </c>
      <c r="C3033" s="1">
        <v>43300101</v>
      </c>
      <c r="D3033" t="s">
        <v>67</v>
      </c>
      <c r="H3033" t="str">
        <f t="shared" si="304"/>
        <v>00133360081</v>
      </c>
      <c r="I3033" t="str">
        <f t="shared" si="305"/>
        <v>01737830230</v>
      </c>
      <c r="K3033" t="str">
        <f>""</f>
        <v/>
      </c>
      <c r="M3033" t="s">
        <v>68</v>
      </c>
      <c r="N3033" t="str">
        <f t="shared" si="306"/>
        <v>FOR</v>
      </c>
      <c r="O3033" t="s">
        <v>69</v>
      </c>
      <c r="P3033" s="3" t="s">
        <v>75</v>
      </c>
      <c r="Q3033">
        <v>2016</v>
      </c>
      <c r="R3033" s="2">
        <v>42549</v>
      </c>
      <c r="S3033" s="2">
        <v>42550</v>
      </c>
      <c r="T3033" s="2">
        <v>42549</v>
      </c>
      <c r="U3033" s="2">
        <v>42609</v>
      </c>
      <c r="V3033" t="s">
        <v>71</v>
      </c>
      <c r="W3033" t="str">
        <f>"           S1/006284"</f>
        <v xml:space="preserve">           S1/006284</v>
      </c>
      <c r="X3033" s="1">
        <v>1029.5999999999999</v>
      </c>
      <c r="Y3033">
        <v>0</v>
      </c>
      <c r="Z3033"/>
      <c r="AB3033"/>
      <c r="AC3033">
        <v>936</v>
      </c>
      <c r="AD3033">
        <v>11</v>
      </c>
      <c r="AE3033" s="1">
        <v>10296</v>
      </c>
      <c r="AF3033">
        <v>0</v>
      </c>
      <c r="AJ3033">
        <v>0</v>
      </c>
      <c r="AK3033">
        <v>0</v>
      </c>
      <c r="AL3033">
        <v>0</v>
      </c>
      <c r="AM3033" s="1">
        <v>1029.5999999999999</v>
      </c>
      <c r="AN3033" s="1">
        <v>1029.5999999999999</v>
      </c>
      <c r="AO3033" s="1">
        <v>1029.5999999999999</v>
      </c>
      <c r="AP3033" s="2">
        <v>42746</v>
      </c>
      <c r="AQ3033" t="s">
        <v>72</v>
      </c>
      <c r="AR3033" t="s">
        <v>72</v>
      </c>
      <c r="AS3033">
        <v>2321</v>
      </c>
      <c r="AT3033" s="4">
        <v>42620</v>
      </c>
      <c r="AU3033" t="s">
        <v>73</v>
      </c>
      <c r="AV3033">
        <v>2321</v>
      </c>
      <c r="AW3033" s="4">
        <v>42620</v>
      </c>
      <c r="BD3033">
        <v>0</v>
      </c>
      <c r="BN3033" t="s">
        <v>74</v>
      </c>
    </row>
    <row r="3034" spans="1:66">
      <c r="A3034">
        <v>101035</v>
      </c>
      <c r="B3034" s="3" t="s">
        <v>354</v>
      </c>
      <c r="C3034" s="1">
        <v>43300101</v>
      </c>
      <c r="D3034" t="s">
        <v>67</v>
      </c>
      <c r="H3034" t="str">
        <f t="shared" si="304"/>
        <v>00133360081</v>
      </c>
      <c r="I3034" t="str">
        <f t="shared" si="305"/>
        <v>01737830230</v>
      </c>
      <c r="K3034" t="str">
        <f>""</f>
        <v/>
      </c>
      <c r="M3034" t="s">
        <v>68</v>
      </c>
      <c r="N3034" t="str">
        <f t="shared" si="306"/>
        <v>FOR</v>
      </c>
      <c r="O3034" t="s">
        <v>69</v>
      </c>
      <c r="P3034" s="3" t="s">
        <v>75</v>
      </c>
      <c r="Q3034">
        <v>2016</v>
      </c>
      <c r="R3034" s="2">
        <v>42618</v>
      </c>
      <c r="S3034" s="2">
        <v>42620</v>
      </c>
      <c r="T3034" s="2">
        <v>42618</v>
      </c>
      <c r="U3034" s="2">
        <v>42678</v>
      </c>
      <c r="V3034" t="s">
        <v>71</v>
      </c>
      <c r="W3034" t="str">
        <f>"           S1/008641"</f>
        <v xml:space="preserve">           S1/008641</v>
      </c>
      <c r="X3034">
        <v>858</v>
      </c>
      <c r="Y3034">
        <v>0</v>
      </c>
      <c r="Z3034" s="3">
        <v>780</v>
      </c>
      <c r="AB3034" s="3">
        <v>0</v>
      </c>
      <c r="AC3034">
        <v>780</v>
      </c>
      <c r="AE3034">
        <v>0</v>
      </c>
      <c r="AF3034">
        <v>0</v>
      </c>
      <c r="AJ3034">
        <v>0</v>
      </c>
      <c r="AK3034">
        <v>0</v>
      </c>
      <c r="AL3034">
        <v>0</v>
      </c>
      <c r="AM3034">
        <v>858</v>
      </c>
      <c r="AN3034">
        <v>858</v>
      </c>
      <c r="AO3034">
        <v>858</v>
      </c>
      <c r="AP3034" s="2">
        <v>42746</v>
      </c>
      <c r="AQ3034" t="s">
        <v>72</v>
      </c>
      <c r="AR3034" t="s">
        <v>72</v>
      </c>
      <c r="AS3034">
        <v>2915</v>
      </c>
      <c r="AT3034" s="4">
        <v>42678</v>
      </c>
      <c r="AV3034">
        <v>2915</v>
      </c>
      <c r="AW3034" s="4">
        <v>42678</v>
      </c>
      <c r="BD3034">
        <v>0</v>
      </c>
      <c r="BN3034" t="s">
        <v>74</v>
      </c>
    </row>
    <row r="3035" spans="1:66" hidden="1">
      <c r="A3035">
        <v>101046</v>
      </c>
      <c r="B3035" s="3" t="s">
        <v>355</v>
      </c>
      <c r="C3035" s="1">
        <v>43500101</v>
      </c>
      <c r="D3035" t="s">
        <v>113</v>
      </c>
      <c r="H3035" t="str">
        <f t="shared" ref="H3035:I3046" si="307">"01546900703"</f>
        <v>01546900703</v>
      </c>
      <c r="I3035" t="str">
        <f t="shared" si="307"/>
        <v>01546900703</v>
      </c>
      <c r="K3035" t="str">
        <f>""</f>
        <v/>
      </c>
      <c r="M3035" t="s">
        <v>68</v>
      </c>
      <c r="N3035" t="str">
        <f t="shared" ref="N3035:N3046" si="308">"ALT"</f>
        <v>ALT</v>
      </c>
      <c r="O3035" t="s">
        <v>114</v>
      </c>
      <c r="P3035" s="3" t="s">
        <v>84</v>
      </c>
      <c r="Q3035">
        <v>2016</v>
      </c>
      <c r="R3035" s="2">
        <v>42389</v>
      </c>
      <c r="S3035" s="2">
        <v>42390</v>
      </c>
      <c r="T3035" s="2">
        <v>42390</v>
      </c>
      <c r="U3035" s="2">
        <v>42450</v>
      </c>
      <c r="V3035" t="s">
        <v>71</v>
      </c>
      <c r="W3035" t="str">
        <f>"                0120"</f>
        <v xml:space="preserve">                0120</v>
      </c>
      <c r="X3035">
        <v>0</v>
      </c>
      <c r="Y3035">
        <v>93.66</v>
      </c>
      <c r="Z3035"/>
      <c r="AB3035"/>
      <c r="AC3035">
        <v>93.66</v>
      </c>
      <c r="AD3035">
        <v>-60</v>
      </c>
      <c r="AE3035" s="1">
        <v>-5619.6</v>
      </c>
      <c r="AF3035">
        <v>0</v>
      </c>
      <c r="AJ3035">
        <v>0</v>
      </c>
      <c r="AK3035">
        <v>0</v>
      </c>
      <c r="AL3035">
        <v>0</v>
      </c>
      <c r="AM3035">
        <v>93.66</v>
      </c>
      <c r="AN3035">
        <v>93.66</v>
      </c>
      <c r="AO3035">
        <v>93.66</v>
      </c>
      <c r="AP3035" s="2">
        <v>42746</v>
      </c>
      <c r="AQ3035" t="s">
        <v>72</v>
      </c>
      <c r="AR3035" t="s">
        <v>72</v>
      </c>
      <c r="AS3035">
        <v>94</v>
      </c>
      <c r="AT3035" s="4">
        <v>42390</v>
      </c>
      <c r="AV3035">
        <v>94</v>
      </c>
      <c r="AW3035" s="4">
        <v>42390</v>
      </c>
      <c r="BD3035">
        <v>0</v>
      </c>
      <c r="BN3035" t="s">
        <v>74</v>
      </c>
    </row>
    <row r="3036" spans="1:66" hidden="1">
      <c r="A3036">
        <v>101046</v>
      </c>
      <c r="B3036" s="3" t="s">
        <v>355</v>
      </c>
      <c r="C3036" s="1">
        <v>43500101</v>
      </c>
      <c r="D3036" t="s">
        <v>113</v>
      </c>
      <c r="H3036" t="str">
        <f t="shared" si="307"/>
        <v>01546900703</v>
      </c>
      <c r="I3036" t="str">
        <f t="shared" si="307"/>
        <v>01546900703</v>
      </c>
      <c r="K3036" t="str">
        <f>""</f>
        <v/>
      </c>
      <c r="M3036" t="s">
        <v>68</v>
      </c>
      <c r="N3036" t="str">
        <f t="shared" si="308"/>
        <v>ALT</v>
      </c>
      <c r="O3036" t="s">
        <v>114</v>
      </c>
      <c r="P3036" s="3" t="s">
        <v>85</v>
      </c>
      <c r="Q3036">
        <v>2016</v>
      </c>
      <c r="R3036" s="2">
        <v>42422</v>
      </c>
      <c r="S3036" s="2">
        <v>42422</v>
      </c>
      <c r="T3036" s="2">
        <v>42422</v>
      </c>
      <c r="U3036" s="2">
        <v>42482</v>
      </c>
      <c r="V3036" t="s">
        <v>71</v>
      </c>
      <c r="W3036" t="str">
        <f>"                0222"</f>
        <v xml:space="preserve">                0222</v>
      </c>
      <c r="X3036">
        <v>0</v>
      </c>
      <c r="Y3036">
        <v>93.66</v>
      </c>
      <c r="Z3036"/>
      <c r="AB3036"/>
      <c r="AC3036">
        <v>93.66</v>
      </c>
      <c r="AD3036">
        <v>-58</v>
      </c>
      <c r="AE3036" s="1">
        <v>-5432.28</v>
      </c>
      <c r="AF3036">
        <v>0</v>
      </c>
      <c r="AJ3036">
        <v>0</v>
      </c>
      <c r="AK3036">
        <v>0</v>
      </c>
      <c r="AL3036">
        <v>0</v>
      </c>
      <c r="AM3036">
        <v>93.66</v>
      </c>
      <c r="AN3036">
        <v>93.66</v>
      </c>
      <c r="AO3036">
        <v>93.66</v>
      </c>
      <c r="AP3036" s="2">
        <v>42746</v>
      </c>
      <c r="AQ3036" t="s">
        <v>72</v>
      </c>
      <c r="AR3036" t="s">
        <v>72</v>
      </c>
      <c r="AS3036">
        <v>538</v>
      </c>
      <c r="AT3036" s="4">
        <v>42424</v>
      </c>
      <c r="AV3036">
        <v>538</v>
      </c>
      <c r="AW3036" s="4">
        <v>42424</v>
      </c>
      <c r="BD3036">
        <v>0</v>
      </c>
      <c r="BN3036" t="s">
        <v>74</v>
      </c>
    </row>
    <row r="3037" spans="1:66" hidden="1">
      <c r="A3037">
        <v>101046</v>
      </c>
      <c r="B3037" s="3" t="s">
        <v>355</v>
      </c>
      <c r="C3037" s="1">
        <v>43500101</v>
      </c>
      <c r="D3037" t="s">
        <v>113</v>
      </c>
      <c r="H3037" t="str">
        <f t="shared" si="307"/>
        <v>01546900703</v>
      </c>
      <c r="I3037" t="str">
        <f t="shared" si="307"/>
        <v>01546900703</v>
      </c>
      <c r="K3037" t="str">
        <f>""</f>
        <v/>
      </c>
      <c r="M3037" t="s">
        <v>68</v>
      </c>
      <c r="N3037" t="str">
        <f t="shared" si="308"/>
        <v>ALT</v>
      </c>
      <c r="O3037" t="s">
        <v>114</v>
      </c>
      <c r="P3037" s="3" t="s">
        <v>86</v>
      </c>
      <c r="Q3037">
        <v>2016</v>
      </c>
      <c r="R3037" s="2">
        <v>42450</v>
      </c>
      <c r="S3037" s="2">
        <v>42450</v>
      </c>
      <c r="T3037" s="2">
        <v>42450</v>
      </c>
      <c r="U3037" s="2">
        <v>42510</v>
      </c>
      <c r="V3037" t="s">
        <v>71</v>
      </c>
      <c r="W3037" t="str">
        <f>"                0321"</f>
        <v xml:space="preserve">                0321</v>
      </c>
      <c r="X3037">
        <v>0</v>
      </c>
      <c r="Y3037">
        <v>182.74</v>
      </c>
      <c r="Z3037"/>
      <c r="AB3037"/>
      <c r="AC3037">
        <v>182.74</v>
      </c>
      <c r="AD3037">
        <v>-57</v>
      </c>
      <c r="AE3037" s="1">
        <v>-10416.18</v>
      </c>
      <c r="AF3037">
        <v>0</v>
      </c>
      <c r="AJ3037">
        <v>0</v>
      </c>
      <c r="AK3037">
        <v>0</v>
      </c>
      <c r="AL3037">
        <v>0</v>
      </c>
      <c r="AM3037">
        <v>182.74</v>
      </c>
      <c r="AN3037">
        <v>182.74</v>
      </c>
      <c r="AO3037">
        <v>182.74</v>
      </c>
      <c r="AP3037" s="2">
        <v>42746</v>
      </c>
      <c r="AQ3037" t="s">
        <v>72</v>
      </c>
      <c r="AR3037" t="s">
        <v>72</v>
      </c>
      <c r="AS3037">
        <v>960</v>
      </c>
      <c r="AT3037" s="4">
        <v>42453</v>
      </c>
      <c r="AV3037">
        <v>960</v>
      </c>
      <c r="AW3037" s="4">
        <v>42453</v>
      </c>
      <c r="BD3037">
        <v>0</v>
      </c>
      <c r="BN3037" t="s">
        <v>74</v>
      </c>
    </row>
    <row r="3038" spans="1:66" hidden="1">
      <c r="A3038">
        <v>101046</v>
      </c>
      <c r="B3038" s="3" t="s">
        <v>355</v>
      </c>
      <c r="C3038" s="1">
        <v>43500101</v>
      </c>
      <c r="D3038" t="s">
        <v>113</v>
      </c>
      <c r="H3038" t="str">
        <f t="shared" si="307"/>
        <v>01546900703</v>
      </c>
      <c r="I3038" t="str">
        <f t="shared" si="307"/>
        <v>01546900703</v>
      </c>
      <c r="K3038" t="str">
        <f>""</f>
        <v/>
      </c>
      <c r="M3038" t="s">
        <v>68</v>
      </c>
      <c r="N3038" t="str">
        <f t="shared" si="308"/>
        <v>ALT</v>
      </c>
      <c r="O3038" t="s">
        <v>114</v>
      </c>
      <c r="P3038" s="3" t="s">
        <v>87</v>
      </c>
      <c r="Q3038">
        <v>2016</v>
      </c>
      <c r="R3038" s="2">
        <v>42481</v>
      </c>
      <c r="S3038" s="2">
        <v>42481</v>
      </c>
      <c r="T3038" s="2">
        <v>42481</v>
      </c>
      <c r="U3038" s="2">
        <v>42541</v>
      </c>
      <c r="V3038" t="s">
        <v>71</v>
      </c>
      <c r="W3038" t="str">
        <f>"                0421"</f>
        <v xml:space="preserve">                0421</v>
      </c>
      <c r="X3038">
        <v>0</v>
      </c>
      <c r="Y3038">
        <v>138.19999999999999</v>
      </c>
      <c r="Z3038"/>
      <c r="AB3038"/>
      <c r="AC3038">
        <v>138.19999999999999</v>
      </c>
      <c r="AD3038">
        <v>-60</v>
      </c>
      <c r="AE3038" s="1">
        <v>-8292</v>
      </c>
      <c r="AF3038">
        <v>0</v>
      </c>
      <c r="AJ3038">
        <v>0</v>
      </c>
      <c r="AK3038">
        <v>0</v>
      </c>
      <c r="AL3038">
        <v>0</v>
      </c>
      <c r="AM3038">
        <v>138.19999999999999</v>
      </c>
      <c r="AN3038">
        <v>138.19999999999999</v>
      </c>
      <c r="AO3038">
        <v>138.19999999999999</v>
      </c>
      <c r="AP3038" s="2">
        <v>42746</v>
      </c>
      <c r="AQ3038" t="s">
        <v>72</v>
      </c>
      <c r="AR3038" t="s">
        <v>72</v>
      </c>
      <c r="AS3038">
        <v>1125</v>
      </c>
      <c r="AT3038" s="4">
        <v>42481</v>
      </c>
      <c r="AV3038">
        <v>1125</v>
      </c>
      <c r="AW3038" s="4">
        <v>42481</v>
      </c>
      <c r="BD3038">
        <v>0</v>
      </c>
      <c r="BN3038" t="s">
        <v>74</v>
      </c>
    </row>
    <row r="3039" spans="1:66" hidden="1">
      <c r="A3039">
        <v>101046</v>
      </c>
      <c r="B3039" s="3" t="s">
        <v>355</v>
      </c>
      <c r="C3039" s="1">
        <v>43500101</v>
      </c>
      <c r="D3039" t="s">
        <v>113</v>
      </c>
      <c r="H3039" t="str">
        <f t="shared" si="307"/>
        <v>01546900703</v>
      </c>
      <c r="I3039" t="str">
        <f t="shared" si="307"/>
        <v>01546900703</v>
      </c>
      <c r="K3039" t="str">
        <f>""</f>
        <v/>
      </c>
      <c r="M3039" t="s">
        <v>68</v>
      </c>
      <c r="N3039" t="str">
        <f t="shared" si="308"/>
        <v>ALT</v>
      </c>
      <c r="O3039" t="s">
        <v>114</v>
      </c>
      <c r="P3039" s="3" t="s">
        <v>88</v>
      </c>
      <c r="Q3039">
        <v>2016</v>
      </c>
      <c r="R3039" s="2">
        <v>42508</v>
      </c>
      <c r="S3039" s="2">
        <v>42510</v>
      </c>
      <c r="T3039" s="2">
        <v>42510</v>
      </c>
      <c r="U3039" s="2">
        <v>42570</v>
      </c>
      <c r="V3039" t="s">
        <v>71</v>
      </c>
      <c r="W3039" t="str">
        <f>"                0518"</f>
        <v xml:space="preserve">                0518</v>
      </c>
      <c r="X3039">
        <v>0</v>
      </c>
      <c r="Y3039">
        <v>138.19999999999999</v>
      </c>
      <c r="Z3039"/>
      <c r="AB3039"/>
      <c r="AC3039">
        <v>138.19999999999999</v>
      </c>
      <c r="AD3039">
        <v>-57</v>
      </c>
      <c r="AE3039" s="1">
        <v>-7877.4</v>
      </c>
      <c r="AF3039">
        <v>0</v>
      </c>
      <c r="AJ3039">
        <v>0</v>
      </c>
      <c r="AK3039">
        <v>0</v>
      </c>
      <c r="AL3039">
        <v>0</v>
      </c>
      <c r="AM3039">
        <v>138.19999999999999</v>
      </c>
      <c r="AN3039">
        <v>138.19999999999999</v>
      </c>
      <c r="AO3039">
        <v>138.19999999999999</v>
      </c>
      <c r="AP3039" s="2">
        <v>42746</v>
      </c>
      <c r="AQ3039" t="s">
        <v>72</v>
      </c>
      <c r="AR3039" t="s">
        <v>72</v>
      </c>
      <c r="AS3039">
        <v>1363</v>
      </c>
      <c r="AT3039" s="4">
        <v>42513</v>
      </c>
      <c r="AV3039">
        <v>1363</v>
      </c>
      <c r="AW3039" s="4">
        <v>42513</v>
      </c>
      <c r="BD3039">
        <v>0</v>
      </c>
      <c r="BN3039" t="s">
        <v>74</v>
      </c>
    </row>
    <row r="3040" spans="1:66" hidden="1">
      <c r="A3040">
        <v>101046</v>
      </c>
      <c r="B3040" s="3" t="s">
        <v>355</v>
      </c>
      <c r="C3040" s="1">
        <v>43500101</v>
      </c>
      <c r="D3040" t="s">
        <v>113</v>
      </c>
      <c r="H3040" t="str">
        <f t="shared" si="307"/>
        <v>01546900703</v>
      </c>
      <c r="I3040" t="str">
        <f t="shared" si="307"/>
        <v>01546900703</v>
      </c>
      <c r="K3040" t="str">
        <f>""</f>
        <v/>
      </c>
      <c r="M3040" t="s">
        <v>68</v>
      </c>
      <c r="N3040" t="str">
        <f t="shared" si="308"/>
        <v>ALT</v>
      </c>
      <c r="O3040" t="s">
        <v>114</v>
      </c>
      <c r="P3040" s="3" t="s">
        <v>89</v>
      </c>
      <c r="Q3040">
        <v>2016</v>
      </c>
      <c r="R3040" s="2">
        <v>42548</v>
      </c>
      <c r="S3040" s="2">
        <v>42543</v>
      </c>
      <c r="T3040" s="2">
        <v>42543</v>
      </c>
      <c r="U3040" s="2">
        <v>42603</v>
      </c>
      <c r="V3040" t="s">
        <v>71</v>
      </c>
      <c r="W3040" t="str">
        <f>"                0627"</f>
        <v xml:space="preserve">                0627</v>
      </c>
      <c r="X3040">
        <v>0</v>
      </c>
      <c r="Y3040">
        <v>138.19999999999999</v>
      </c>
      <c r="Z3040"/>
      <c r="AB3040"/>
      <c r="AC3040">
        <v>138.19999999999999</v>
      </c>
      <c r="AD3040">
        <v>-47</v>
      </c>
      <c r="AE3040" s="1">
        <v>-6495.4</v>
      </c>
      <c r="AF3040">
        <v>0</v>
      </c>
      <c r="AJ3040">
        <v>0</v>
      </c>
      <c r="AK3040">
        <v>0</v>
      </c>
      <c r="AL3040">
        <v>0</v>
      </c>
      <c r="AM3040">
        <v>138.19999999999999</v>
      </c>
      <c r="AN3040">
        <v>138.19999999999999</v>
      </c>
      <c r="AO3040">
        <v>138.19999999999999</v>
      </c>
      <c r="AP3040" s="2">
        <v>42746</v>
      </c>
      <c r="AQ3040" t="s">
        <v>72</v>
      </c>
      <c r="AR3040" t="s">
        <v>72</v>
      </c>
      <c r="AS3040">
        <v>1746</v>
      </c>
      <c r="AT3040" s="4">
        <v>42556</v>
      </c>
      <c r="AV3040">
        <v>1746</v>
      </c>
      <c r="AW3040" s="4">
        <v>42556</v>
      </c>
      <c r="BD3040">
        <v>0</v>
      </c>
      <c r="BN3040" t="s">
        <v>74</v>
      </c>
    </row>
    <row r="3041" spans="1:66" hidden="1">
      <c r="A3041">
        <v>101046</v>
      </c>
      <c r="B3041" s="3" t="s">
        <v>355</v>
      </c>
      <c r="C3041" s="1">
        <v>43500101</v>
      </c>
      <c r="D3041" t="s">
        <v>113</v>
      </c>
      <c r="H3041" t="str">
        <f t="shared" si="307"/>
        <v>01546900703</v>
      </c>
      <c r="I3041" t="str">
        <f t="shared" si="307"/>
        <v>01546900703</v>
      </c>
      <c r="K3041" t="str">
        <f>""</f>
        <v/>
      </c>
      <c r="M3041" t="s">
        <v>68</v>
      </c>
      <c r="N3041" t="str">
        <f t="shared" si="308"/>
        <v>ALT</v>
      </c>
      <c r="O3041" t="s">
        <v>114</v>
      </c>
      <c r="P3041" s="3" t="s">
        <v>90</v>
      </c>
      <c r="Q3041">
        <v>2016</v>
      </c>
      <c r="R3041" s="2">
        <v>42573</v>
      </c>
      <c r="S3041" s="2">
        <v>42573</v>
      </c>
      <c r="T3041" s="2">
        <v>42573</v>
      </c>
      <c r="U3041" s="2">
        <v>42633</v>
      </c>
      <c r="V3041" t="s">
        <v>71</v>
      </c>
      <c r="W3041" t="str">
        <f>"                0722"</f>
        <v xml:space="preserve">                0722</v>
      </c>
      <c r="X3041">
        <v>0</v>
      </c>
      <c r="Y3041">
        <v>138.19999999999999</v>
      </c>
      <c r="Z3041"/>
      <c r="AB3041"/>
      <c r="AC3041">
        <v>138.19999999999999</v>
      </c>
      <c r="AD3041">
        <v>-48</v>
      </c>
      <c r="AE3041" s="1">
        <v>-6633.6</v>
      </c>
      <c r="AF3041">
        <v>0</v>
      </c>
      <c r="AJ3041">
        <v>0</v>
      </c>
      <c r="AK3041">
        <v>0</v>
      </c>
      <c r="AL3041">
        <v>0</v>
      </c>
      <c r="AM3041">
        <v>138.19999999999999</v>
      </c>
      <c r="AN3041">
        <v>138.19999999999999</v>
      </c>
      <c r="AO3041">
        <v>138.19999999999999</v>
      </c>
      <c r="AP3041" s="2">
        <v>42746</v>
      </c>
      <c r="AQ3041" t="s">
        <v>72</v>
      </c>
      <c r="AR3041" t="s">
        <v>72</v>
      </c>
      <c r="AS3041">
        <v>2144</v>
      </c>
      <c r="AT3041" s="4">
        <v>42585</v>
      </c>
      <c r="AV3041">
        <v>2144</v>
      </c>
      <c r="AW3041" s="4">
        <v>42585</v>
      </c>
      <c r="BD3041">
        <v>0</v>
      </c>
      <c r="BN3041" t="s">
        <v>74</v>
      </c>
    </row>
    <row r="3042" spans="1:66" hidden="1">
      <c r="A3042">
        <v>101046</v>
      </c>
      <c r="B3042" s="3" t="s">
        <v>355</v>
      </c>
      <c r="C3042" s="1">
        <v>43500101</v>
      </c>
      <c r="D3042" t="s">
        <v>113</v>
      </c>
      <c r="H3042" t="str">
        <f t="shared" si="307"/>
        <v>01546900703</v>
      </c>
      <c r="I3042" t="str">
        <f t="shared" si="307"/>
        <v>01546900703</v>
      </c>
      <c r="K3042" t="str">
        <f>""</f>
        <v/>
      </c>
      <c r="M3042" t="s">
        <v>68</v>
      </c>
      <c r="N3042" t="str">
        <f t="shared" si="308"/>
        <v>ALT</v>
      </c>
      <c r="O3042" t="s">
        <v>114</v>
      </c>
      <c r="P3042" s="3" t="s">
        <v>91</v>
      </c>
      <c r="Q3042">
        <v>2016</v>
      </c>
      <c r="R3042" s="2">
        <v>42592</v>
      </c>
      <c r="S3042" s="2">
        <v>42598</v>
      </c>
      <c r="T3042" s="2">
        <v>42598</v>
      </c>
      <c r="U3042" s="2">
        <v>42658</v>
      </c>
      <c r="V3042" t="s">
        <v>71</v>
      </c>
      <c r="W3042" t="str">
        <f>"                0810"</f>
        <v xml:space="preserve">                0810</v>
      </c>
      <c r="X3042">
        <v>0</v>
      </c>
      <c r="Y3042">
        <v>138.19999999999999</v>
      </c>
      <c r="Z3042"/>
      <c r="AB3042"/>
      <c r="AC3042">
        <v>138.19999999999999</v>
      </c>
      <c r="AD3042">
        <v>-60</v>
      </c>
      <c r="AE3042" s="1">
        <v>-8292</v>
      </c>
      <c r="AF3042">
        <v>0</v>
      </c>
      <c r="AJ3042">
        <v>0</v>
      </c>
      <c r="AK3042">
        <v>0</v>
      </c>
      <c r="AL3042">
        <v>0</v>
      </c>
      <c r="AM3042">
        <v>138.19999999999999</v>
      </c>
      <c r="AN3042">
        <v>138.19999999999999</v>
      </c>
      <c r="AO3042">
        <v>138.19999999999999</v>
      </c>
      <c r="AP3042" s="2">
        <v>42746</v>
      </c>
      <c r="AQ3042" t="s">
        <v>72</v>
      </c>
      <c r="AR3042" t="s">
        <v>72</v>
      </c>
      <c r="AS3042">
        <v>2227</v>
      </c>
      <c r="AT3042" s="4">
        <v>42598</v>
      </c>
      <c r="AV3042">
        <v>2227</v>
      </c>
      <c r="AW3042" s="4">
        <v>42598</v>
      </c>
      <c r="BD3042">
        <v>0</v>
      </c>
      <c r="BN3042" t="s">
        <v>74</v>
      </c>
    </row>
    <row r="3043" spans="1:66" hidden="1">
      <c r="A3043">
        <v>101046</v>
      </c>
      <c r="B3043" s="3" t="s">
        <v>355</v>
      </c>
      <c r="C3043" s="1">
        <v>43500101</v>
      </c>
      <c r="D3043" t="s">
        <v>113</v>
      </c>
      <c r="H3043" t="str">
        <f t="shared" si="307"/>
        <v>01546900703</v>
      </c>
      <c r="I3043" t="str">
        <f t="shared" si="307"/>
        <v>01546900703</v>
      </c>
      <c r="K3043" t="str">
        <f>""</f>
        <v/>
      </c>
      <c r="M3043" t="s">
        <v>68</v>
      </c>
      <c r="N3043" t="str">
        <f t="shared" si="308"/>
        <v>ALT</v>
      </c>
      <c r="O3043" t="s">
        <v>114</v>
      </c>
      <c r="P3043" s="3" t="s">
        <v>92</v>
      </c>
      <c r="Q3043">
        <v>2016</v>
      </c>
      <c r="R3043" s="2">
        <v>42633</v>
      </c>
      <c r="S3043" s="2">
        <v>42634</v>
      </c>
      <c r="T3043" s="2">
        <v>42634</v>
      </c>
      <c r="U3043" s="2">
        <v>42694</v>
      </c>
      <c r="V3043" t="s">
        <v>71</v>
      </c>
      <c r="W3043" t="str">
        <f>"                0920"</f>
        <v xml:space="preserve">                0920</v>
      </c>
      <c r="X3043">
        <v>0</v>
      </c>
      <c r="Y3043">
        <v>138.19999999999999</v>
      </c>
      <c r="Z3043"/>
      <c r="AB3043"/>
      <c r="AC3043">
        <v>138.19999999999999</v>
      </c>
      <c r="AD3043">
        <v>-60</v>
      </c>
      <c r="AE3043" s="1">
        <v>-8292</v>
      </c>
      <c r="AF3043">
        <v>0</v>
      </c>
      <c r="AJ3043">
        <v>0</v>
      </c>
      <c r="AK3043">
        <v>0</v>
      </c>
      <c r="AL3043">
        <v>0</v>
      </c>
      <c r="AM3043">
        <v>138.19999999999999</v>
      </c>
      <c r="AN3043">
        <v>138.19999999999999</v>
      </c>
      <c r="AO3043">
        <v>138.19999999999999</v>
      </c>
      <c r="AP3043" s="2">
        <v>42746</v>
      </c>
      <c r="AQ3043" t="s">
        <v>72</v>
      </c>
      <c r="AR3043" t="s">
        <v>72</v>
      </c>
      <c r="AS3043">
        <v>2500</v>
      </c>
      <c r="AT3043" s="4">
        <v>42634</v>
      </c>
      <c r="AV3043">
        <v>2500</v>
      </c>
      <c r="AW3043" s="4">
        <v>42634</v>
      </c>
      <c r="BD3043">
        <v>0</v>
      </c>
      <c r="BN3043" t="s">
        <v>74</v>
      </c>
    </row>
    <row r="3044" spans="1:66" hidden="1">
      <c r="A3044">
        <v>101046</v>
      </c>
      <c r="B3044" s="3" t="s">
        <v>355</v>
      </c>
      <c r="C3044" s="1">
        <v>43500101</v>
      </c>
      <c r="D3044" t="s">
        <v>113</v>
      </c>
      <c r="H3044" t="str">
        <f t="shared" si="307"/>
        <v>01546900703</v>
      </c>
      <c r="I3044" t="str">
        <f t="shared" si="307"/>
        <v>01546900703</v>
      </c>
      <c r="K3044" t="str">
        <f>""</f>
        <v/>
      </c>
      <c r="M3044" t="s">
        <v>68</v>
      </c>
      <c r="N3044" t="str">
        <f t="shared" si="308"/>
        <v>ALT</v>
      </c>
      <c r="O3044" t="s">
        <v>114</v>
      </c>
      <c r="P3044" s="3" t="s">
        <v>93</v>
      </c>
      <c r="Q3044">
        <v>2016</v>
      </c>
      <c r="R3044" s="2">
        <v>42664</v>
      </c>
      <c r="S3044" s="2">
        <v>42667</v>
      </c>
      <c r="T3044" s="2">
        <v>42667</v>
      </c>
      <c r="U3044" s="2">
        <v>42727</v>
      </c>
      <c r="V3044" t="s">
        <v>71</v>
      </c>
      <c r="W3044" t="str">
        <f>"                1021"</f>
        <v xml:space="preserve">                1021</v>
      </c>
      <c r="X3044">
        <v>0</v>
      </c>
      <c r="Y3044">
        <v>138.19999999999999</v>
      </c>
      <c r="Z3044" s="3">
        <v>138.19999999999999</v>
      </c>
      <c r="AA3044">
        <v>-60</v>
      </c>
      <c r="AB3044" s="5">
        <v>-8292</v>
      </c>
      <c r="AC3044">
        <v>138.19999999999999</v>
      </c>
      <c r="AD3044">
        <v>-60</v>
      </c>
      <c r="AE3044" s="1">
        <v>-8292</v>
      </c>
      <c r="AF3044">
        <v>0</v>
      </c>
      <c r="AJ3044">
        <v>138.19999999999999</v>
      </c>
      <c r="AK3044">
        <v>138.19999999999999</v>
      </c>
      <c r="AL3044">
        <v>138.19999999999999</v>
      </c>
      <c r="AM3044">
        <v>138.19999999999999</v>
      </c>
      <c r="AN3044">
        <v>138.19999999999999</v>
      </c>
      <c r="AO3044">
        <v>138.19999999999999</v>
      </c>
      <c r="AP3044" s="2">
        <v>42746</v>
      </c>
      <c r="AQ3044" t="s">
        <v>72</v>
      </c>
      <c r="AR3044" t="s">
        <v>72</v>
      </c>
      <c r="AS3044">
        <v>2848</v>
      </c>
      <c r="AT3044" s="4">
        <v>42667</v>
      </c>
      <c r="AV3044">
        <v>2848</v>
      </c>
      <c r="AW3044" s="4">
        <v>42667</v>
      </c>
      <c r="BD3044">
        <v>0</v>
      </c>
      <c r="BN3044" t="s">
        <v>74</v>
      </c>
    </row>
    <row r="3045" spans="1:66" hidden="1">
      <c r="A3045">
        <v>101046</v>
      </c>
      <c r="B3045" s="3" t="s">
        <v>355</v>
      </c>
      <c r="C3045" s="1">
        <v>43500101</v>
      </c>
      <c r="D3045" t="s">
        <v>113</v>
      </c>
      <c r="H3045" t="str">
        <f t="shared" si="307"/>
        <v>01546900703</v>
      </c>
      <c r="I3045" t="str">
        <f t="shared" si="307"/>
        <v>01546900703</v>
      </c>
      <c r="K3045" t="str">
        <f>""</f>
        <v/>
      </c>
      <c r="M3045" t="s">
        <v>68</v>
      </c>
      <c r="N3045" t="str">
        <f t="shared" si="308"/>
        <v>ALT</v>
      </c>
      <c r="O3045" t="s">
        <v>114</v>
      </c>
      <c r="P3045" s="3" t="s">
        <v>94</v>
      </c>
      <c r="Q3045">
        <v>2016</v>
      </c>
      <c r="R3045" s="2">
        <v>42696</v>
      </c>
      <c r="S3045" s="2">
        <v>42696</v>
      </c>
      <c r="T3045" s="2">
        <v>42696</v>
      </c>
      <c r="U3045" s="2">
        <v>42756</v>
      </c>
      <c r="V3045" t="s">
        <v>71</v>
      </c>
      <c r="W3045" t="str">
        <f>"                1122"</f>
        <v xml:space="preserve">                1122</v>
      </c>
      <c r="X3045">
        <v>0</v>
      </c>
      <c r="Y3045">
        <v>138.19999999999999</v>
      </c>
      <c r="Z3045" s="3">
        <v>138.19999999999999</v>
      </c>
      <c r="AA3045">
        <v>-59</v>
      </c>
      <c r="AB3045" s="5">
        <v>-8153.8</v>
      </c>
      <c r="AC3045">
        <v>138.19999999999999</v>
      </c>
      <c r="AD3045">
        <v>-59</v>
      </c>
      <c r="AE3045" s="1">
        <v>-8153.8</v>
      </c>
      <c r="AF3045">
        <v>0</v>
      </c>
      <c r="AJ3045">
        <v>138.19999999999999</v>
      </c>
      <c r="AK3045">
        <v>138.19999999999999</v>
      </c>
      <c r="AL3045">
        <v>138.19999999999999</v>
      </c>
      <c r="AM3045">
        <v>138.19999999999999</v>
      </c>
      <c r="AN3045">
        <v>138.19999999999999</v>
      </c>
      <c r="AO3045">
        <v>138.19999999999999</v>
      </c>
      <c r="AP3045" s="2">
        <v>42746</v>
      </c>
      <c r="AQ3045" t="s">
        <v>72</v>
      </c>
      <c r="AR3045" t="s">
        <v>72</v>
      </c>
      <c r="AS3045">
        <v>3286</v>
      </c>
      <c r="AT3045" s="4">
        <v>42697</v>
      </c>
      <c r="AV3045">
        <v>3286</v>
      </c>
      <c r="AW3045" s="4">
        <v>42697</v>
      </c>
      <c r="BD3045">
        <v>0</v>
      </c>
      <c r="BN3045" t="s">
        <v>74</v>
      </c>
    </row>
    <row r="3046" spans="1:66" hidden="1">
      <c r="A3046">
        <v>101046</v>
      </c>
      <c r="B3046" s="3" t="s">
        <v>355</v>
      </c>
      <c r="C3046" s="1">
        <v>43500101</v>
      </c>
      <c r="D3046" t="s">
        <v>113</v>
      </c>
      <c r="H3046" t="str">
        <f t="shared" si="307"/>
        <v>01546900703</v>
      </c>
      <c r="I3046" t="str">
        <f t="shared" si="307"/>
        <v>01546900703</v>
      </c>
      <c r="K3046" t="str">
        <f>""</f>
        <v/>
      </c>
      <c r="M3046" t="s">
        <v>68</v>
      </c>
      <c r="N3046" t="str">
        <f t="shared" si="308"/>
        <v>ALT</v>
      </c>
      <c r="O3046" t="s">
        <v>114</v>
      </c>
      <c r="P3046" s="3" t="s">
        <v>95</v>
      </c>
      <c r="Q3046">
        <v>2016</v>
      </c>
      <c r="R3046" s="2">
        <v>42717</v>
      </c>
      <c r="S3046" s="2">
        <v>42717</v>
      </c>
      <c r="T3046" s="2">
        <v>42717</v>
      </c>
      <c r="U3046" s="2">
        <v>42777</v>
      </c>
      <c r="V3046" t="s">
        <v>71</v>
      </c>
      <c r="W3046" t="str">
        <f>"                1213"</f>
        <v xml:space="preserve">                1213</v>
      </c>
      <c r="X3046">
        <v>0</v>
      </c>
      <c r="Y3046">
        <v>138.19999999999999</v>
      </c>
      <c r="Z3046" s="3">
        <v>138.19999999999999</v>
      </c>
      <c r="AA3046">
        <v>-59</v>
      </c>
      <c r="AB3046" s="5">
        <v>-8153.8</v>
      </c>
      <c r="AC3046">
        <v>138.19999999999999</v>
      </c>
      <c r="AD3046">
        <v>-59</v>
      </c>
      <c r="AE3046" s="1">
        <v>-8153.8</v>
      </c>
      <c r="AF3046">
        <v>0</v>
      </c>
      <c r="AJ3046">
        <v>138.19999999999999</v>
      </c>
      <c r="AK3046">
        <v>138.19999999999999</v>
      </c>
      <c r="AL3046">
        <v>138.19999999999999</v>
      </c>
      <c r="AM3046">
        <v>138.19999999999999</v>
      </c>
      <c r="AN3046">
        <v>138.19999999999999</v>
      </c>
      <c r="AO3046">
        <v>138.19999999999999</v>
      </c>
      <c r="AP3046" s="2">
        <v>42746</v>
      </c>
      <c r="AQ3046" t="s">
        <v>72</v>
      </c>
      <c r="AR3046" t="s">
        <v>72</v>
      </c>
      <c r="AS3046">
        <v>3443</v>
      </c>
      <c r="AT3046" s="4">
        <v>42718</v>
      </c>
      <c r="AV3046">
        <v>3443</v>
      </c>
      <c r="AW3046" s="4">
        <v>42718</v>
      </c>
      <c r="BD3046">
        <v>0</v>
      </c>
      <c r="BN3046" t="s">
        <v>74</v>
      </c>
    </row>
    <row r="3047" spans="1:66" hidden="1">
      <c r="A3047">
        <v>101058</v>
      </c>
      <c r="B3047" s="3" t="s">
        <v>356</v>
      </c>
      <c r="C3047" s="1">
        <v>43300101</v>
      </c>
      <c r="D3047" t="s">
        <v>67</v>
      </c>
      <c r="H3047" t="str">
        <f>"TTEGNN65H03L086E"</f>
        <v>TTEGNN65H03L086E</v>
      </c>
      <c r="I3047" t="str">
        <f>"01100510625"</f>
        <v>01100510625</v>
      </c>
      <c r="K3047" t="str">
        <f>""</f>
        <v/>
      </c>
      <c r="M3047" t="s">
        <v>68</v>
      </c>
      <c r="N3047" t="str">
        <f t="shared" ref="N3047:N3078" si="309">"FOR"</f>
        <v>FOR</v>
      </c>
      <c r="O3047" t="s">
        <v>69</v>
      </c>
      <c r="P3047" s="3" t="s">
        <v>75</v>
      </c>
      <c r="Q3047">
        <v>2016</v>
      </c>
      <c r="R3047" s="2">
        <v>42395</v>
      </c>
      <c r="S3047" s="2">
        <v>42402</v>
      </c>
      <c r="T3047" s="2">
        <v>42397</v>
      </c>
      <c r="U3047" s="2">
        <v>42457</v>
      </c>
      <c r="V3047" t="s">
        <v>71</v>
      </c>
      <c r="W3047" t="str">
        <f>"                  68"</f>
        <v xml:space="preserve">                  68</v>
      </c>
      <c r="X3047">
        <v>269.01</v>
      </c>
      <c r="Y3047">
        <v>0</v>
      </c>
      <c r="Z3047"/>
      <c r="AB3047"/>
      <c r="AC3047">
        <v>220.5</v>
      </c>
      <c r="AD3047">
        <v>109</v>
      </c>
      <c r="AE3047" s="1">
        <v>24034.5</v>
      </c>
      <c r="AF3047">
        <v>48.51</v>
      </c>
      <c r="AJ3047">
        <v>0</v>
      </c>
      <c r="AK3047">
        <v>0</v>
      </c>
      <c r="AL3047">
        <v>0</v>
      </c>
      <c r="AM3047">
        <v>269.01</v>
      </c>
      <c r="AN3047">
        <v>269.01</v>
      </c>
      <c r="AO3047">
        <v>269.01</v>
      </c>
      <c r="AP3047" s="2">
        <v>42746</v>
      </c>
      <c r="AQ3047" t="s">
        <v>72</v>
      </c>
      <c r="AR3047" t="s">
        <v>72</v>
      </c>
      <c r="AS3047">
        <v>1771</v>
      </c>
      <c r="AT3047" s="4">
        <v>42566</v>
      </c>
      <c r="AU3047" t="s">
        <v>73</v>
      </c>
      <c r="AV3047">
        <v>1771</v>
      </c>
      <c r="AW3047" s="4">
        <v>42566</v>
      </c>
      <c r="BD3047">
        <v>48.51</v>
      </c>
      <c r="BN3047" t="s">
        <v>74</v>
      </c>
    </row>
    <row r="3048" spans="1:66" hidden="1">
      <c r="A3048">
        <v>101059</v>
      </c>
      <c r="B3048" s="3" t="s">
        <v>357</v>
      </c>
      <c r="C3048" s="1">
        <v>43300101</v>
      </c>
      <c r="D3048" t="s">
        <v>67</v>
      </c>
      <c r="H3048" t="str">
        <f>"09012850153"</f>
        <v>09012850153</v>
      </c>
      <c r="I3048" t="str">
        <f>"09012850153"</f>
        <v>09012850153</v>
      </c>
      <c r="K3048" t="str">
        <f>""</f>
        <v/>
      </c>
      <c r="M3048" t="s">
        <v>68</v>
      </c>
      <c r="N3048" t="str">
        <f t="shared" si="309"/>
        <v>FOR</v>
      </c>
      <c r="O3048" t="s">
        <v>69</v>
      </c>
      <c r="P3048" s="3" t="s">
        <v>70</v>
      </c>
      <c r="Q3048">
        <v>2015</v>
      </c>
      <c r="R3048" s="2">
        <v>42060</v>
      </c>
      <c r="S3048" s="2">
        <v>42069</v>
      </c>
      <c r="T3048" s="2">
        <v>42069</v>
      </c>
      <c r="U3048" s="2">
        <v>42129</v>
      </c>
      <c r="V3048" t="s">
        <v>71</v>
      </c>
      <c r="W3048" t="str">
        <f>"          1616810061"</f>
        <v xml:space="preserve">          1616810061</v>
      </c>
      <c r="X3048" s="1">
        <v>2496</v>
      </c>
      <c r="Y3048">
        <v>0</v>
      </c>
      <c r="Z3048"/>
      <c r="AB3048"/>
      <c r="AC3048" s="1">
        <v>2400</v>
      </c>
      <c r="AD3048">
        <v>279</v>
      </c>
      <c r="AE3048" s="1">
        <v>669600</v>
      </c>
      <c r="AF3048">
        <v>0</v>
      </c>
      <c r="AJ3048">
        <v>0</v>
      </c>
      <c r="AK3048">
        <v>0</v>
      </c>
      <c r="AL3048">
        <v>0</v>
      </c>
      <c r="AM3048">
        <v>0</v>
      </c>
      <c r="AN3048">
        <v>0</v>
      </c>
      <c r="AO3048">
        <v>0</v>
      </c>
      <c r="AP3048" s="2">
        <v>42746</v>
      </c>
      <c r="AQ3048" t="s">
        <v>72</v>
      </c>
      <c r="AR3048" t="s">
        <v>72</v>
      </c>
      <c r="AS3048">
        <v>332</v>
      </c>
      <c r="AT3048" s="4">
        <v>42408</v>
      </c>
      <c r="AU3048" t="s">
        <v>73</v>
      </c>
      <c r="AV3048">
        <v>332</v>
      </c>
      <c r="AW3048" s="4">
        <v>42408</v>
      </c>
      <c r="BD3048">
        <v>0</v>
      </c>
      <c r="BN3048" t="s">
        <v>74</v>
      </c>
    </row>
    <row r="3049" spans="1:66" hidden="1">
      <c r="A3049">
        <v>101059</v>
      </c>
      <c r="B3049" s="3" t="s">
        <v>357</v>
      </c>
      <c r="C3049" s="1">
        <v>43300101</v>
      </c>
      <c r="D3049" t="s">
        <v>67</v>
      </c>
      <c r="H3049" t="str">
        <f>"09012850153"</f>
        <v>09012850153</v>
      </c>
      <c r="I3049" t="str">
        <f>"09012850153"</f>
        <v>09012850153</v>
      </c>
      <c r="K3049" t="str">
        <f>""</f>
        <v/>
      </c>
      <c r="M3049" t="s">
        <v>68</v>
      </c>
      <c r="N3049" t="str">
        <f t="shared" si="309"/>
        <v>FOR</v>
      </c>
      <c r="O3049" t="s">
        <v>69</v>
      </c>
      <c r="P3049" s="3" t="s">
        <v>75</v>
      </c>
      <c r="Q3049">
        <v>2015</v>
      </c>
      <c r="R3049" s="2">
        <v>42180</v>
      </c>
      <c r="S3049" s="2">
        <v>42209</v>
      </c>
      <c r="T3049" s="2">
        <v>42207</v>
      </c>
      <c r="U3049" s="2">
        <v>42267</v>
      </c>
      <c r="V3049" t="s">
        <v>71</v>
      </c>
      <c r="W3049" t="str">
        <f>"          1616832858"</f>
        <v xml:space="preserve">          1616832858</v>
      </c>
      <c r="X3049" s="1">
        <v>16770</v>
      </c>
      <c r="Y3049">
        <v>0</v>
      </c>
      <c r="Z3049"/>
      <c r="AB3049"/>
      <c r="AC3049" s="1">
        <v>16125</v>
      </c>
      <c r="AD3049">
        <v>225</v>
      </c>
      <c r="AE3049" s="1">
        <v>3628125</v>
      </c>
      <c r="AF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 s="2">
        <v>42746</v>
      </c>
      <c r="AQ3049" t="s">
        <v>72</v>
      </c>
      <c r="AR3049" t="s">
        <v>72</v>
      </c>
      <c r="AS3049">
        <v>1246</v>
      </c>
      <c r="AT3049" s="4">
        <v>42492</v>
      </c>
      <c r="AU3049" t="s">
        <v>73</v>
      </c>
      <c r="AV3049">
        <v>1246</v>
      </c>
      <c r="AW3049" s="4">
        <v>42492</v>
      </c>
      <c r="BD3049">
        <v>0</v>
      </c>
      <c r="BN3049" t="s">
        <v>74</v>
      </c>
    </row>
    <row r="3050" spans="1:66">
      <c r="A3050">
        <v>101070</v>
      </c>
      <c r="B3050" s="3" t="s">
        <v>358</v>
      </c>
      <c r="C3050" s="1">
        <v>43300101</v>
      </c>
      <c r="D3050" t="s">
        <v>67</v>
      </c>
      <c r="H3050" t="str">
        <f>"04947170967"</f>
        <v>04947170967</v>
      </c>
      <c r="I3050" t="str">
        <f>"04947170967"</f>
        <v>04947170967</v>
      </c>
      <c r="K3050" t="str">
        <f>""</f>
        <v/>
      </c>
      <c r="M3050" t="s">
        <v>68</v>
      </c>
      <c r="N3050" t="str">
        <f t="shared" si="309"/>
        <v>FOR</v>
      </c>
      <c r="O3050" t="s">
        <v>69</v>
      </c>
      <c r="P3050" s="3" t="s">
        <v>75</v>
      </c>
      <c r="Q3050">
        <v>2016</v>
      </c>
      <c r="R3050" s="2">
        <v>42408</v>
      </c>
      <c r="S3050" s="2">
        <v>42410</v>
      </c>
      <c r="T3050" s="2">
        <v>42409</v>
      </c>
      <c r="U3050" s="2">
        <v>42469</v>
      </c>
      <c r="V3050" t="s">
        <v>71</v>
      </c>
      <c r="W3050" t="str">
        <f>"          1602004162"</f>
        <v xml:space="preserve">          1602004162</v>
      </c>
      <c r="X3050" s="1">
        <v>8600.7900000000009</v>
      </c>
      <c r="Y3050">
        <v>0</v>
      </c>
      <c r="Z3050" s="5">
        <v>7818.9</v>
      </c>
      <c r="AA3050">
        <v>249</v>
      </c>
      <c r="AB3050" s="5">
        <v>1946906.1</v>
      </c>
      <c r="AC3050" s="1">
        <v>7818.9</v>
      </c>
      <c r="AD3050">
        <v>249</v>
      </c>
      <c r="AE3050" s="1">
        <v>1946906.1</v>
      </c>
      <c r="AF3050">
        <v>781.89</v>
      </c>
      <c r="AJ3050">
        <v>0</v>
      </c>
      <c r="AK3050">
        <v>0</v>
      </c>
      <c r="AL3050">
        <v>0</v>
      </c>
      <c r="AM3050">
        <v>0</v>
      </c>
      <c r="AN3050" s="1">
        <v>8600.7900000000009</v>
      </c>
      <c r="AO3050" s="1">
        <v>8600.7900000000009</v>
      </c>
      <c r="AP3050" s="2">
        <v>42746</v>
      </c>
      <c r="AQ3050" t="s">
        <v>72</v>
      </c>
      <c r="AR3050" t="s">
        <v>72</v>
      </c>
      <c r="AS3050">
        <v>3473</v>
      </c>
      <c r="AT3050" s="4">
        <v>42718</v>
      </c>
      <c r="AU3050" t="s">
        <v>73</v>
      </c>
      <c r="AV3050">
        <v>3473</v>
      </c>
      <c r="AW3050" s="4">
        <v>42718</v>
      </c>
      <c r="BD3050">
        <v>781.89</v>
      </c>
      <c r="BN3050" t="s">
        <v>74</v>
      </c>
    </row>
    <row r="3051" spans="1:66">
      <c r="A3051">
        <v>101070</v>
      </c>
      <c r="B3051" s="3" t="s">
        <v>358</v>
      </c>
      <c r="C3051" s="1">
        <v>43300101</v>
      </c>
      <c r="D3051" t="s">
        <v>67</v>
      </c>
      <c r="H3051" t="str">
        <f>"04947170967"</f>
        <v>04947170967</v>
      </c>
      <c r="I3051" t="str">
        <f>"04947170967"</f>
        <v>04947170967</v>
      </c>
      <c r="K3051" t="str">
        <f>""</f>
        <v/>
      </c>
      <c r="M3051" t="s">
        <v>68</v>
      </c>
      <c r="N3051" t="str">
        <f t="shared" si="309"/>
        <v>FOR</v>
      </c>
      <c r="O3051" t="s">
        <v>69</v>
      </c>
      <c r="P3051" s="3" t="s">
        <v>75</v>
      </c>
      <c r="Q3051">
        <v>2016</v>
      </c>
      <c r="R3051" s="2">
        <v>42426</v>
      </c>
      <c r="S3051" s="2">
        <v>42436</v>
      </c>
      <c r="T3051" s="2">
        <v>42430</v>
      </c>
      <c r="U3051" s="2">
        <v>42490</v>
      </c>
      <c r="V3051" t="s">
        <v>71</v>
      </c>
      <c r="W3051" t="str">
        <f>"          1602006535"</f>
        <v xml:space="preserve">          1602006535</v>
      </c>
      <c r="X3051" s="1">
        <v>8600.7900000000009</v>
      </c>
      <c r="Y3051">
        <v>0</v>
      </c>
      <c r="Z3051" s="5">
        <v>7818.9</v>
      </c>
      <c r="AA3051">
        <v>233</v>
      </c>
      <c r="AB3051" s="5">
        <v>1821803.7</v>
      </c>
      <c r="AC3051" s="1">
        <v>7818.9</v>
      </c>
      <c r="AD3051">
        <v>233</v>
      </c>
      <c r="AE3051" s="1">
        <v>1821803.7</v>
      </c>
      <c r="AF3051">
        <v>781.89</v>
      </c>
      <c r="AJ3051">
        <v>0</v>
      </c>
      <c r="AK3051">
        <v>0</v>
      </c>
      <c r="AL3051">
        <v>0</v>
      </c>
      <c r="AM3051">
        <v>0</v>
      </c>
      <c r="AN3051" s="1">
        <v>8600.7900000000009</v>
      </c>
      <c r="AO3051" s="1">
        <v>8600.7900000000009</v>
      </c>
      <c r="AP3051" s="2">
        <v>42746</v>
      </c>
      <c r="AQ3051" t="s">
        <v>72</v>
      </c>
      <c r="AR3051" t="s">
        <v>72</v>
      </c>
      <c r="AS3051">
        <v>3606</v>
      </c>
      <c r="AT3051" s="4">
        <v>42723</v>
      </c>
      <c r="AU3051" t="s">
        <v>73</v>
      </c>
      <c r="AV3051">
        <v>3606</v>
      </c>
      <c r="AW3051" s="4">
        <v>42723</v>
      </c>
      <c r="BD3051">
        <v>781.89</v>
      </c>
      <c r="BN3051" t="s">
        <v>74</v>
      </c>
    </row>
    <row r="3052" spans="1:66" hidden="1">
      <c r="A3052">
        <v>101074</v>
      </c>
      <c r="B3052" s="3" t="s">
        <v>359</v>
      </c>
      <c r="C3052" s="1">
        <v>43300101</v>
      </c>
      <c r="D3052" t="s">
        <v>67</v>
      </c>
      <c r="H3052" t="str">
        <f t="shared" ref="H3052:I3061" si="310">"01313240424"</f>
        <v>01313240424</v>
      </c>
      <c r="I3052" t="str">
        <f t="shared" si="310"/>
        <v>01313240424</v>
      </c>
      <c r="K3052" t="str">
        <f>""</f>
        <v/>
      </c>
      <c r="M3052" t="s">
        <v>68</v>
      </c>
      <c r="N3052" t="str">
        <f t="shared" si="309"/>
        <v>FOR</v>
      </c>
      <c r="O3052" t="s">
        <v>69</v>
      </c>
      <c r="P3052" s="3" t="s">
        <v>70</v>
      </c>
      <c r="Q3052">
        <v>2015</v>
      </c>
      <c r="R3052" s="2">
        <v>42093</v>
      </c>
      <c r="S3052" s="2">
        <v>42115</v>
      </c>
      <c r="T3052" s="2">
        <v>42115</v>
      </c>
      <c r="U3052" s="2">
        <v>42175</v>
      </c>
      <c r="V3052" t="s">
        <v>71</v>
      </c>
      <c r="W3052" t="str">
        <f>"                1914"</f>
        <v xml:space="preserve">                1914</v>
      </c>
      <c r="X3052">
        <v>390.4</v>
      </c>
      <c r="Y3052">
        <v>0</v>
      </c>
      <c r="Z3052"/>
      <c r="AB3052"/>
      <c r="AC3052">
        <v>320</v>
      </c>
      <c r="AD3052">
        <v>240</v>
      </c>
      <c r="AE3052" s="1">
        <v>76800</v>
      </c>
      <c r="AF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0</v>
      </c>
      <c r="AP3052" s="2">
        <v>42746</v>
      </c>
      <c r="AQ3052" t="s">
        <v>72</v>
      </c>
      <c r="AR3052" t="s">
        <v>72</v>
      </c>
      <c r="AS3052">
        <v>370</v>
      </c>
      <c r="AT3052" s="4">
        <v>42415</v>
      </c>
      <c r="AU3052" t="s">
        <v>73</v>
      </c>
      <c r="AV3052">
        <v>370</v>
      </c>
      <c r="AW3052" s="4">
        <v>42415</v>
      </c>
      <c r="BD3052">
        <v>0</v>
      </c>
      <c r="BN3052" t="s">
        <v>74</v>
      </c>
    </row>
    <row r="3053" spans="1:66" hidden="1">
      <c r="A3053">
        <v>101074</v>
      </c>
      <c r="B3053" s="3" t="s">
        <v>359</v>
      </c>
      <c r="C3053" s="1">
        <v>43300101</v>
      </c>
      <c r="D3053" t="s">
        <v>67</v>
      </c>
      <c r="H3053" t="str">
        <f t="shared" si="310"/>
        <v>01313240424</v>
      </c>
      <c r="I3053" t="str">
        <f t="shared" si="310"/>
        <v>01313240424</v>
      </c>
      <c r="K3053" t="str">
        <f>""</f>
        <v/>
      </c>
      <c r="M3053" t="s">
        <v>68</v>
      </c>
      <c r="N3053" t="str">
        <f t="shared" si="309"/>
        <v>FOR</v>
      </c>
      <c r="O3053" t="s">
        <v>69</v>
      </c>
      <c r="P3053" s="3" t="s">
        <v>75</v>
      </c>
      <c r="Q3053">
        <v>2015</v>
      </c>
      <c r="R3053" s="2">
        <v>42135</v>
      </c>
      <c r="S3053" s="2">
        <v>42163</v>
      </c>
      <c r="T3053" s="2">
        <v>42159</v>
      </c>
      <c r="U3053" s="2">
        <v>42219</v>
      </c>
      <c r="V3053" t="s">
        <v>71</v>
      </c>
      <c r="W3053" t="str">
        <f>"              939/PA"</f>
        <v xml:space="preserve">              939/PA</v>
      </c>
      <c r="X3053">
        <v>244</v>
      </c>
      <c r="Y3053">
        <v>0</v>
      </c>
      <c r="Z3053"/>
      <c r="AB3053"/>
      <c r="AC3053">
        <v>200</v>
      </c>
      <c r="AD3053">
        <v>196</v>
      </c>
      <c r="AE3053" s="1">
        <v>39200</v>
      </c>
      <c r="AF3053">
        <v>0</v>
      </c>
      <c r="AJ3053">
        <v>0</v>
      </c>
      <c r="AK3053">
        <v>0</v>
      </c>
      <c r="AL3053">
        <v>0</v>
      </c>
      <c r="AM3053">
        <v>0</v>
      </c>
      <c r="AN3053">
        <v>0</v>
      </c>
      <c r="AO3053">
        <v>0</v>
      </c>
      <c r="AP3053" s="2">
        <v>42746</v>
      </c>
      <c r="AQ3053" t="s">
        <v>72</v>
      </c>
      <c r="AR3053" t="s">
        <v>72</v>
      </c>
      <c r="AS3053">
        <v>370</v>
      </c>
      <c r="AT3053" s="4">
        <v>42415</v>
      </c>
      <c r="AU3053" t="s">
        <v>73</v>
      </c>
      <c r="AV3053">
        <v>370</v>
      </c>
      <c r="AW3053" s="4">
        <v>42415</v>
      </c>
      <c r="BD3053">
        <v>0</v>
      </c>
      <c r="BN3053" t="s">
        <v>74</v>
      </c>
    </row>
    <row r="3054" spans="1:66" hidden="1">
      <c r="A3054">
        <v>101074</v>
      </c>
      <c r="B3054" s="3" t="s">
        <v>359</v>
      </c>
      <c r="C3054" s="1">
        <v>43300101</v>
      </c>
      <c r="D3054" t="s">
        <v>67</v>
      </c>
      <c r="H3054" t="str">
        <f t="shared" si="310"/>
        <v>01313240424</v>
      </c>
      <c r="I3054" t="str">
        <f t="shared" si="310"/>
        <v>01313240424</v>
      </c>
      <c r="K3054" t="str">
        <f>""</f>
        <v/>
      </c>
      <c r="M3054" t="s">
        <v>68</v>
      </c>
      <c r="N3054" t="str">
        <f t="shared" si="309"/>
        <v>FOR</v>
      </c>
      <c r="O3054" t="s">
        <v>69</v>
      </c>
      <c r="P3054" s="3" t="s">
        <v>75</v>
      </c>
      <c r="Q3054">
        <v>2015</v>
      </c>
      <c r="R3054" s="2">
        <v>42180</v>
      </c>
      <c r="S3054" s="2">
        <v>42202</v>
      </c>
      <c r="T3054" s="2">
        <v>42199</v>
      </c>
      <c r="U3054" s="2">
        <v>42259</v>
      </c>
      <c r="V3054" t="s">
        <v>71</v>
      </c>
      <c r="W3054" t="str">
        <f>"             1988/PA"</f>
        <v xml:space="preserve">             1988/PA</v>
      </c>
      <c r="X3054">
        <v>73.2</v>
      </c>
      <c r="Y3054">
        <v>0</v>
      </c>
      <c r="Z3054"/>
      <c r="AB3054"/>
      <c r="AC3054">
        <v>60</v>
      </c>
      <c r="AD3054">
        <v>268</v>
      </c>
      <c r="AE3054" s="1">
        <v>16080</v>
      </c>
      <c r="AF3054">
        <v>0</v>
      </c>
      <c r="AJ3054">
        <v>0</v>
      </c>
      <c r="AK3054">
        <v>0</v>
      </c>
      <c r="AL3054">
        <v>0</v>
      </c>
      <c r="AM3054">
        <v>0</v>
      </c>
      <c r="AN3054">
        <v>0</v>
      </c>
      <c r="AO3054">
        <v>0</v>
      </c>
      <c r="AP3054" s="2">
        <v>42746</v>
      </c>
      <c r="AQ3054" t="s">
        <v>72</v>
      </c>
      <c r="AR3054" t="s">
        <v>72</v>
      </c>
      <c r="AS3054">
        <v>1519</v>
      </c>
      <c r="AT3054" s="4">
        <v>42527</v>
      </c>
      <c r="AU3054" t="s">
        <v>73</v>
      </c>
      <c r="AV3054">
        <v>1519</v>
      </c>
      <c r="AW3054" s="4">
        <v>42527</v>
      </c>
      <c r="BD3054">
        <v>0</v>
      </c>
      <c r="BN3054" t="s">
        <v>74</v>
      </c>
    </row>
    <row r="3055" spans="1:66" hidden="1">
      <c r="A3055">
        <v>101074</v>
      </c>
      <c r="B3055" s="3" t="s">
        <v>359</v>
      </c>
      <c r="C3055" s="1">
        <v>43300101</v>
      </c>
      <c r="D3055" t="s">
        <v>67</v>
      </c>
      <c r="H3055" t="str">
        <f t="shared" si="310"/>
        <v>01313240424</v>
      </c>
      <c r="I3055" t="str">
        <f t="shared" si="310"/>
        <v>01313240424</v>
      </c>
      <c r="K3055" t="str">
        <f>""</f>
        <v/>
      </c>
      <c r="M3055" t="s">
        <v>68</v>
      </c>
      <c r="N3055" t="str">
        <f t="shared" si="309"/>
        <v>FOR</v>
      </c>
      <c r="O3055" t="s">
        <v>69</v>
      </c>
      <c r="P3055" s="3" t="s">
        <v>75</v>
      </c>
      <c r="Q3055">
        <v>2015</v>
      </c>
      <c r="R3055" s="2">
        <v>42185</v>
      </c>
      <c r="S3055" s="2">
        <v>42202</v>
      </c>
      <c r="T3055" s="2">
        <v>42199</v>
      </c>
      <c r="U3055" s="2">
        <v>42259</v>
      </c>
      <c r="V3055" t="s">
        <v>71</v>
      </c>
      <c r="W3055" t="str">
        <f>"             2268/PA"</f>
        <v xml:space="preserve">             2268/PA</v>
      </c>
      <c r="X3055">
        <v>414.8</v>
      </c>
      <c r="Y3055">
        <v>0</v>
      </c>
      <c r="Z3055"/>
      <c r="AB3055"/>
      <c r="AC3055">
        <v>340</v>
      </c>
      <c r="AD3055">
        <v>268</v>
      </c>
      <c r="AE3055" s="1">
        <v>91120</v>
      </c>
      <c r="AF3055">
        <v>0</v>
      </c>
      <c r="AJ3055">
        <v>0</v>
      </c>
      <c r="AK3055">
        <v>0</v>
      </c>
      <c r="AL3055">
        <v>0</v>
      </c>
      <c r="AM3055">
        <v>0</v>
      </c>
      <c r="AN3055">
        <v>0</v>
      </c>
      <c r="AO3055">
        <v>0</v>
      </c>
      <c r="AP3055" s="2">
        <v>42746</v>
      </c>
      <c r="AQ3055" t="s">
        <v>72</v>
      </c>
      <c r="AR3055" t="s">
        <v>72</v>
      </c>
      <c r="AS3055">
        <v>1519</v>
      </c>
      <c r="AT3055" s="4">
        <v>42527</v>
      </c>
      <c r="AU3055" t="s">
        <v>73</v>
      </c>
      <c r="AV3055">
        <v>1519</v>
      </c>
      <c r="AW3055" s="4">
        <v>42527</v>
      </c>
      <c r="BD3055">
        <v>0</v>
      </c>
      <c r="BN3055" t="s">
        <v>74</v>
      </c>
    </row>
    <row r="3056" spans="1:66" hidden="1">
      <c r="A3056">
        <v>101074</v>
      </c>
      <c r="B3056" s="3" t="s">
        <v>359</v>
      </c>
      <c r="C3056" s="1">
        <v>43300101</v>
      </c>
      <c r="D3056" t="s">
        <v>67</v>
      </c>
      <c r="H3056" t="str">
        <f t="shared" si="310"/>
        <v>01313240424</v>
      </c>
      <c r="I3056" t="str">
        <f t="shared" si="310"/>
        <v>01313240424</v>
      </c>
      <c r="K3056" t="str">
        <f>""</f>
        <v/>
      </c>
      <c r="M3056" t="s">
        <v>68</v>
      </c>
      <c r="N3056" t="str">
        <f t="shared" si="309"/>
        <v>FOR</v>
      </c>
      <c r="O3056" t="s">
        <v>69</v>
      </c>
      <c r="P3056" s="3" t="s">
        <v>75</v>
      </c>
      <c r="Q3056">
        <v>2015</v>
      </c>
      <c r="R3056" s="2">
        <v>42194</v>
      </c>
      <c r="S3056" s="2">
        <v>42215</v>
      </c>
      <c r="T3056" s="2">
        <v>42213</v>
      </c>
      <c r="U3056" s="2">
        <v>42273</v>
      </c>
      <c r="V3056" t="s">
        <v>71</v>
      </c>
      <c r="W3056" t="str">
        <f>"             2436/PA"</f>
        <v xml:space="preserve">             2436/PA</v>
      </c>
      <c r="X3056" s="1">
        <v>1098</v>
      </c>
      <c r="Y3056">
        <v>0</v>
      </c>
      <c r="Z3056"/>
      <c r="AB3056"/>
      <c r="AC3056">
        <v>900</v>
      </c>
      <c r="AD3056">
        <v>296</v>
      </c>
      <c r="AE3056" s="1">
        <v>266400</v>
      </c>
      <c r="AF3056">
        <v>0</v>
      </c>
      <c r="AJ3056">
        <v>0</v>
      </c>
      <c r="AK3056">
        <v>0</v>
      </c>
      <c r="AL3056">
        <v>0</v>
      </c>
      <c r="AM3056">
        <v>0</v>
      </c>
      <c r="AN3056">
        <v>0</v>
      </c>
      <c r="AO3056">
        <v>0</v>
      </c>
      <c r="AP3056" s="2">
        <v>42746</v>
      </c>
      <c r="AQ3056" t="s">
        <v>72</v>
      </c>
      <c r="AR3056" t="s">
        <v>72</v>
      </c>
      <c r="AS3056">
        <v>1852</v>
      </c>
      <c r="AT3056" s="4">
        <v>42569</v>
      </c>
      <c r="AU3056" t="s">
        <v>73</v>
      </c>
      <c r="AV3056">
        <v>1852</v>
      </c>
      <c r="AW3056" s="4">
        <v>42569</v>
      </c>
      <c r="BD3056">
        <v>0</v>
      </c>
      <c r="BN3056" t="s">
        <v>74</v>
      </c>
    </row>
    <row r="3057" spans="1:66" hidden="1">
      <c r="A3057">
        <v>101074</v>
      </c>
      <c r="B3057" s="3" t="s">
        <v>359</v>
      </c>
      <c r="C3057" s="1">
        <v>43300101</v>
      </c>
      <c r="D3057" t="s">
        <v>67</v>
      </c>
      <c r="H3057" t="str">
        <f t="shared" si="310"/>
        <v>01313240424</v>
      </c>
      <c r="I3057" t="str">
        <f t="shared" si="310"/>
        <v>01313240424</v>
      </c>
      <c r="K3057" t="str">
        <f>""</f>
        <v/>
      </c>
      <c r="M3057" t="s">
        <v>68</v>
      </c>
      <c r="N3057" t="str">
        <f t="shared" si="309"/>
        <v>FOR</v>
      </c>
      <c r="O3057" t="s">
        <v>69</v>
      </c>
      <c r="P3057" s="3" t="s">
        <v>75</v>
      </c>
      <c r="Q3057">
        <v>2015</v>
      </c>
      <c r="R3057" s="2">
        <v>42212</v>
      </c>
      <c r="S3057" s="2">
        <v>42223</v>
      </c>
      <c r="T3057" s="2">
        <v>42222</v>
      </c>
      <c r="U3057" s="2">
        <v>42282</v>
      </c>
      <c r="V3057" t="s">
        <v>71</v>
      </c>
      <c r="W3057" t="str">
        <f>"             2898/PA"</f>
        <v xml:space="preserve">             2898/PA</v>
      </c>
      <c r="X3057">
        <v>512.4</v>
      </c>
      <c r="Y3057">
        <v>0</v>
      </c>
      <c r="Z3057"/>
      <c r="AB3057"/>
      <c r="AC3057">
        <v>420</v>
      </c>
      <c r="AD3057">
        <v>287</v>
      </c>
      <c r="AE3057" s="1">
        <v>120540</v>
      </c>
      <c r="AF3057">
        <v>0</v>
      </c>
      <c r="AJ3057">
        <v>0</v>
      </c>
      <c r="AK3057">
        <v>0</v>
      </c>
      <c r="AL3057">
        <v>0</v>
      </c>
      <c r="AM3057">
        <v>0</v>
      </c>
      <c r="AN3057">
        <v>0</v>
      </c>
      <c r="AO3057">
        <v>0</v>
      </c>
      <c r="AP3057" s="2">
        <v>42746</v>
      </c>
      <c r="AQ3057" t="s">
        <v>72</v>
      </c>
      <c r="AR3057" t="s">
        <v>72</v>
      </c>
      <c r="AS3057">
        <v>1852</v>
      </c>
      <c r="AT3057" s="4">
        <v>42569</v>
      </c>
      <c r="AU3057" t="s">
        <v>73</v>
      </c>
      <c r="AV3057">
        <v>1852</v>
      </c>
      <c r="AW3057" s="4">
        <v>42569</v>
      </c>
      <c r="BD3057">
        <v>0</v>
      </c>
      <c r="BN3057" t="s">
        <v>74</v>
      </c>
    </row>
    <row r="3058" spans="1:66" hidden="1">
      <c r="A3058">
        <v>101074</v>
      </c>
      <c r="B3058" s="3" t="s">
        <v>359</v>
      </c>
      <c r="C3058" s="1">
        <v>43300101</v>
      </c>
      <c r="D3058" t="s">
        <v>67</v>
      </c>
      <c r="H3058" t="str">
        <f t="shared" si="310"/>
        <v>01313240424</v>
      </c>
      <c r="I3058" t="str">
        <f t="shared" si="310"/>
        <v>01313240424</v>
      </c>
      <c r="K3058" t="str">
        <f>""</f>
        <v/>
      </c>
      <c r="M3058" t="s">
        <v>68</v>
      </c>
      <c r="N3058" t="str">
        <f t="shared" si="309"/>
        <v>FOR</v>
      </c>
      <c r="O3058" t="s">
        <v>69</v>
      </c>
      <c r="P3058" s="3" t="s">
        <v>75</v>
      </c>
      <c r="Q3058">
        <v>2015</v>
      </c>
      <c r="R3058" s="2">
        <v>42275</v>
      </c>
      <c r="S3058" s="2">
        <v>42286</v>
      </c>
      <c r="T3058" s="2">
        <v>42284</v>
      </c>
      <c r="U3058" s="2">
        <v>42344</v>
      </c>
      <c r="V3058" t="s">
        <v>71</v>
      </c>
      <c r="W3058" t="str">
        <f>"             3926/PA"</f>
        <v xml:space="preserve">             3926/PA</v>
      </c>
      <c r="X3058">
        <v>707.6</v>
      </c>
      <c r="Y3058">
        <v>0</v>
      </c>
      <c r="Z3058"/>
      <c r="AB3058"/>
      <c r="AC3058">
        <v>580</v>
      </c>
      <c r="AD3058">
        <v>277</v>
      </c>
      <c r="AE3058" s="1">
        <v>160660</v>
      </c>
      <c r="AF3058">
        <v>0</v>
      </c>
      <c r="AJ3058">
        <v>0</v>
      </c>
      <c r="AK3058">
        <v>0</v>
      </c>
      <c r="AL3058">
        <v>0</v>
      </c>
      <c r="AM3058">
        <v>0</v>
      </c>
      <c r="AN3058">
        <v>0</v>
      </c>
      <c r="AO3058">
        <v>0</v>
      </c>
      <c r="AP3058" s="2">
        <v>42746</v>
      </c>
      <c r="AQ3058" t="s">
        <v>72</v>
      </c>
      <c r="AR3058" t="s">
        <v>72</v>
      </c>
      <c r="AS3058">
        <v>2372</v>
      </c>
      <c r="AT3058" s="4">
        <v>42621</v>
      </c>
      <c r="AU3058" t="s">
        <v>73</v>
      </c>
      <c r="AV3058">
        <v>2372</v>
      </c>
      <c r="AW3058" s="4">
        <v>42621</v>
      </c>
      <c r="BD3058">
        <v>0</v>
      </c>
      <c r="BN3058" t="s">
        <v>74</v>
      </c>
    </row>
    <row r="3059" spans="1:66" hidden="1">
      <c r="A3059">
        <v>101074</v>
      </c>
      <c r="B3059" s="3" t="s">
        <v>359</v>
      </c>
      <c r="C3059" s="1">
        <v>43300101</v>
      </c>
      <c r="D3059" t="s">
        <v>67</v>
      </c>
      <c r="H3059" t="str">
        <f t="shared" si="310"/>
        <v>01313240424</v>
      </c>
      <c r="I3059" t="str">
        <f t="shared" si="310"/>
        <v>01313240424</v>
      </c>
      <c r="K3059" t="str">
        <f>""</f>
        <v/>
      </c>
      <c r="M3059" t="s">
        <v>68</v>
      </c>
      <c r="N3059" t="str">
        <f t="shared" si="309"/>
        <v>FOR</v>
      </c>
      <c r="O3059" t="s">
        <v>69</v>
      </c>
      <c r="P3059" s="3" t="s">
        <v>75</v>
      </c>
      <c r="Q3059">
        <v>2015</v>
      </c>
      <c r="R3059" s="2">
        <v>42327</v>
      </c>
      <c r="S3059" s="2">
        <v>42341</v>
      </c>
      <c r="T3059" s="2">
        <v>42340</v>
      </c>
      <c r="U3059" s="2">
        <v>42400</v>
      </c>
      <c r="V3059" t="s">
        <v>71</v>
      </c>
      <c r="W3059" t="str">
        <f>"             5143/PA"</f>
        <v xml:space="preserve">             5143/PA</v>
      </c>
      <c r="X3059">
        <v>683.2</v>
      </c>
      <c r="Y3059">
        <v>0</v>
      </c>
      <c r="Z3059"/>
      <c r="AB3059"/>
      <c r="AC3059">
        <v>560</v>
      </c>
      <c r="AD3059">
        <v>221</v>
      </c>
      <c r="AE3059" s="1">
        <v>123760</v>
      </c>
      <c r="AF3059">
        <v>0</v>
      </c>
      <c r="AJ3059">
        <v>0</v>
      </c>
      <c r="AK3059">
        <v>0</v>
      </c>
      <c r="AL3059">
        <v>0</v>
      </c>
      <c r="AM3059">
        <v>0</v>
      </c>
      <c r="AN3059">
        <v>0</v>
      </c>
      <c r="AO3059">
        <v>0</v>
      </c>
      <c r="AP3059" s="2">
        <v>42746</v>
      </c>
      <c r="AQ3059" t="s">
        <v>72</v>
      </c>
      <c r="AR3059" t="s">
        <v>72</v>
      </c>
      <c r="AS3059">
        <v>2372</v>
      </c>
      <c r="AT3059" s="4">
        <v>42621</v>
      </c>
      <c r="AU3059" t="s">
        <v>73</v>
      </c>
      <c r="AV3059">
        <v>2372</v>
      </c>
      <c r="AW3059" s="4">
        <v>42621</v>
      </c>
      <c r="BD3059">
        <v>0</v>
      </c>
      <c r="BN3059" t="s">
        <v>74</v>
      </c>
    </row>
    <row r="3060" spans="1:66" hidden="1">
      <c r="A3060">
        <v>101074</v>
      </c>
      <c r="B3060" s="3" t="s">
        <v>359</v>
      </c>
      <c r="C3060" s="1">
        <v>43300101</v>
      </c>
      <c r="D3060" t="s">
        <v>67</v>
      </c>
      <c r="H3060" t="str">
        <f t="shared" si="310"/>
        <v>01313240424</v>
      </c>
      <c r="I3060" t="str">
        <f t="shared" si="310"/>
        <v>01313240424</v>
      </c>
      <c r="K3060" t="str">
        <f>""</f>
        <v/>
      </c>
      <c r="M3060" t="s">
        <v>68</v>
      </c>
      <c r="N3060" t="str">
        <f t="shared" si="309"/>
        <v>FOR</v>
      </c>
      <c r="O3060" t="s">
        <v>69</v>
      </c>
      <c r="P3060" s="3" t="s">
        <v>75</v>
      </c>
      <c r="Q3060">
        <v>2015</v>
      </c>
      <c r="R3060" s="2">
        <v>42327</v>
      </c>
      <c r="S3060" s="2">
        <v>42341</v>
      </c>
      <c r="T3060" s="2">
        <v>42340</v>
      </c>
      <c r="U3060" s="2">
        <v>42400</v>
      </c>
      <c r="V3060" t="s">
        <v>71</v>
      </c>
      <c r="W3060" t="str">
        <f>"             5144/PA"</f>
        <v xml:space="preserve">             5144/PA</v>
      </c>
      <c r="X3060">
        <v>585.6</v>
      </c>
      <c r="Y3060">
        <v>0</v>
      </c>
      <c r="Z3060"/>
      <c r="AB3060"/>
      <c r="AC3060">
        <v>480</v>
      </c>
      <c r="AD3060">
        <v>221</v>
      </c>
      <c r="AE3060" s="1">
        <v>106080</v>
      </c>
      <c r="AF3060">
        <v>0</v>
      </c>
      <c r="AJ3060">
        <v>0</v>
      </c>
      <c r="AK3060">
        <v>0</v>
      </c>
      <c r="AL3060">
        <v>0</v>
      </c>
      <c r="AM3060">
        <v>0</v>
      </c>
      <c r="AN3060">
        <v>0</v>
      </c>
      <c r="AO3060">
        <v>0</v>
      </c>
      <c r="AP3060" s="2">
        <v>42746</v>
      </c>
      <c r="AQ3060" t="s">
        <v>72</v>
      </c>
      <c r="AR3060" t="s">
        <v>72</v>
      </c>
      <c r="AS3060">
        <v>2372</v>
      </c>
      <c r="AT3060" s="4">
        <v>42621</v>
      </c>
      <c r="AU3060" t="s">
        <v>73</v>
      </c>
      <c r="AV3060">
        <v>2372</v>
      </c>
      <c r="AW3060" s="4">
        <v>42621</v>
      </c>
      <c r="BD3060">
        <v>0</v>
      </c>
      <c r="BN3060" t="s">
        <v>74</v>
      </c>
    </row>
    <row r="3061" spans="1:66">
      <c r="A3061">
        <v>101074</v>
      </c>
      <c r="B3061" s="3" t="s">
        <v>359</v>
      </c>
      <c r="C3061" s="1">
        <v>43300101</v>
      </c>
      <c r="D3061" t="s">
        <v>67</v>
      </c>
      <c r="H3061" t="str">
        <f t="shared" si="310"/>
        <v>01313240424</v>
      </c>
      <c r="I3061" t="str">
        <f t="shared" si="310"/>
        <v>01313240424</v>
      </c>
      <c r="K3061" t="str">
        <f>""</f>
        <v/>
      </c>
      <c r="M3061" t="s">
        <v>68</v>
      </c>
      <c r="N3061" t="str">
        <f t="shared" si="309"/>
        <v>FOR</v>
      </c>
      <c r="O3061" t="s">
        <v>69</v>
      </c>
      <c r="P3061" s="3" t="s">
        <v>75</v>
      </c>
      <c r="Q3061">
        <v>2016</v>
      </c>
      <c r="R3061" s="2">
        <v>42390</v>
      </c>
      <c r="S3061" s="2">
        <v>42410</v>
      </c>
      <c r="T3061" s="2">
        <v>42402</v>
      </c>
      <c r="U3061" s="2">
        <v>42462</v>
      </c>
      <c r="V3061" t="s">
        <v>71</v>
      </c>
      <c r="W3061" t="str">
        <f>"              387/PA"</f>
        <v xml:space="preserve">              387/PA</v>
      </c>
      <c r="X3061" s="1">
        <v>1781.2</v>
      </c>
      <c r="Y3061">
        <v>0</v>
      </c>
      <c r="Z3061" s="5">
        <v>1460</v>
      </c>
      <c r="AA3061">
        <v>261</v>
      </c>
      <c r="AB3061" s="5">
        <v>381060</v>
      </c>
      <c r="AC3061" s="1">
        <v>1460</v>
      </c>
      <c r="AD3061">
        <v>261</v>
      </c>
      <c r="AE3061" s="1">
        <v>381060</v>
      </c>
      <c r="AF3061">
        <v>321.2</v>
      </c>
      <c r="AJ3061">
        <v>0</v>
      </c>
      <c r="AK3061">
        <v>0</v>
      </c>
      <c r="AL3061">
        <v>0</v>
      </c>
      <c r="AM3061" s="1">
        <v>1781.2</v>
      </c>
      <c r="AN3061" s="1">
        <v>1781.2</v>
      </c>
      <c r="AO3061" s="1">
        <v>1781.2</v>
      </c>
      <c r="AP3061" s="2">
        <v>42746</v>
      </c>
      <c r="AQ3061" t="s">
        <v>72</v>
      </c>
      <c r="AR3061" t="s">
        <v>72</v>
      </c>
      <c r="AS3061">
        <v>3630</v>
      </c>
      <c r="AT3061" s="4">
        <v>42723</v>
      </c>
      <c r="AU3061" t="s">
        <v>73</v>
      </c>
      <c r="AV3061">
        <v>3630</v>
      </c>
      <c r="AW3061" s="4">
        <v>42723</v>
      </c>
      <c r="BD3061">
        <v>321.2</v>
      </c>
      <c r="BN3061" t="s">
        <v>74</v>
      </c>
    </row>
    <row r="3062" spans="1:66" hidden="1">
      <c r="A3062">
        <v>101077</v>
      </c>
      <c r="B3062" s="3" t="s">
        <v>360</v>
      </c>
      <c r="C3062" s="1">
        <v>43300101</v>
      </c>
      <c r="D3062" t="s">
        <v>67</v>
      </c>
      <c r="H3062" t="str">
        <f t="shared" ref="H3062:I3065" si="311">"01396940627"</f>
        <v>01396940627</v>
      </c>
      <c r="I3062" t="str">
        <f t="shared" si="311"/>
        <v>01396940627</v>
      </c>
      <c r="K3062" t="str">
        <f>""</f>
        <v/>
      </c>
      <c r="M3062" t="s">
        <v>68</v>
      </c>
      <c r="N3062" t="str">
        <f t="shared" si="309"/>
        <v>FOR</v>
      </c>
      <c r="O3062" t="s">
        <v>69</v>
      </c>
      <c r="P3062" s="3" t="s">
        <v>70</v>
      </c>
      <c r="Q3062">
        <v>2015</v>
      </c>
      <c r="R3062" s="2">
        <v>42030</v>
      </c>
      <c r="S3062" s="2">
        <v>42369</v>
      </c>
      <c r="T3062" s="2">
        <v>42369</v>
      </c>
      <c r="U3062" s="2">
        <v>42429</v>
      </c>
      <c r="V3062" t="s">
        <v>71</v>
      </c>
      <c r="W3062" t="str">
        <f>"                   4"</f>
        <v xml:space="preserve">                   4</v>
      </c>
      <c r="X3062" s="1">
        <v>9760</v>
      </c>
      <c r="Y3062">
        <v>0</v>
      </c>
      <c r="Z3062"/>
      <c r="AB3062"/>
      <c r="AC3062" s="1">
        <v>8000</v>
      </c>
      <c r="AD3062">
        <v>-19</v>
      </c>
      <c r="AE3062" s="1">
        <v>-152000</v>
      </c>
      <c r="AF3062">
        <v>0</v>
      </c>
      <c r="AJ3062">
        <v>0</v>
      </c>
      <c r="AK3062">
        <v>0</v>
      </c>
      <c r="AL3062">
        <v>0</v>
      </c>
      <c r="AM3062">
        <v>0</v>
      </c>
      <c r="AN3062">
        <v>0</v>
      </c>
      <c r="AO3062">
        <v>0</v>
      </c>
      <c r="AP3062" s="2">
        <v>42746</v>
      </c>
      <c r="AQ3062" t="s">
        <v>72</v>
      </c>
      <c r="AR3062" t="s">
        <v>72</v>
      </c>
      <c r="AS3062">
        <v>340</v>
      </c>
      <c r="AT3062" s="4">
        <v>42410</v>
      </c>
      <c r="AV3062">
        <v>340</v>
      </c>
      <c r="AW3062" s="4">
        <v>42410</v>
      </c>
      <c r="BD3062">
        <v>0</v>
      </c>
      <c r="BN3062" t="s">
        <v>74</v>
      </c>
    </row>
    <row r="3063" spans="1:66" hidden="1">
      <c r="A3063">
        <v>101077</v>
      </c>
      <c r="B3063" s="3" t="s">
        <v>360</v>
      </c>
      <c r="C3063" s="1">
        <v>43300101</v>
      </c>
      <c r="D3063" t="s">
        <v>67</v>
      </c>
      <c r="H3063" t="str">
        <f t="shared" si="311"/>
        <v>01396940627</v>
      </c>
      <c r="I3063" t="str">
        <f t="shared" si="311"/>
        <v>01396940627</v>
      </c>
      <c r="K3063" t="str">
        <f>""</f>
        <v/>
      </c>
      <c r="M3063" t="s">
        <v>68</v>
      </c>
      <c r="N3063" t="str">
        <f t="shared" si="309"/>
        <v>FOR</v>
      </c>
      <c r="O3063" t="s">
        <v>69</v>
      </c>
      <c r="P3063" s="3" t="s">
        <v>70</v>
      </c>
      <c r="Q3063">
        <v>2015</v>
      </c>
      <c r="R3063" s="2">
        <v>42060</v>
      </c>
      <c r="S3063" s="2">
        <v>42369</v>
      </c>
      <c r="T3063" s="2">
        <v>42369</v>
      </c>
      <c r="U3063" s="2">
        <v>42429</v>
      </c>
      <c r="V3063" t="s">
        <v>71</v>
      </c>
      <c r="W3063" t="str">
        <f>"                   8"</f>
        <v xml:space="preserve">                   8</v>
      </c>
      <c r="X3063" s="1">
        <v>9760</v>
      </c>
      <c r="Y3063">
        <v>0</v>
      </c>
      <c r="Z3063"/>
      <c r="AB3063"/>
      <c r="AC3063" s="1">
        <v>8000</v>
      </c>
      <c r="AD3063">
        <v>-19</v>
      </c>
      <c r="AE3063" s="1">
        <v>-152000</v>
      </c>
      <c r="AF3063">
        <v>0</v>
      </c>
      <c r="AJ3063">
        <v>0</v>
      </c>
      <c r="AK3063">
        <v>0</v>
      </c>
      <c r="AL3063">
        <v>0</v>
      </c>
      <c r="AM3063">
        <v>0</v>
      </c>
      <c r="AN3063">
        <v>0</v>
      </c>
      <c r="AO3063">
        <v>0</v>
      </c>
      <c r="AP3063" s="2">
        <v>42746</v>
      </c>
      <c r="AQ3063" t="s">
        <v>72</v>
      </c>
      <c r="AR3063" t="s">
        <v>72</v>
      </c>
      <c r="AS3063">
        <v>340</v>
      </c>
      <c r="AT3063" s="4">
        <v>42410</v>
      </c>
      <c r="AV3063">
        <v>340</v>
      </c>
      <c r="AW3063" s="4">
        <v>42410</v>
      </c>
      <c r="BD3063">
        <v>0</v>
      </c>
      <c r="BN3063" t="s">
        <v>74</v>
      </c>
    </row>
    <row r="3064" spans="1:66" hidden="1">
      <c r="A3064">
        <v>101077</v>
      </c>
      <c r="B3064" s="3" t="s">
        <v>360</v>
      </c>
      <c r="C3064" s="1">
        <v>43300101</v>
      </c>
      <c r="D3064" t="s">
        <v>67</v>
      </c>
      <c r="H3064" t="str">
        <f t="shared" si="311"/>
        <v>01396940627</v>
      </c>
      <c r="I3064" t="str">
        <f t="shared" si="311"/>
        <v>01396940627</v>
      </c>
      <c r="K3064" t="str">
        <f>""</f>
        <v/>
      </c>
      <c r="M3064" t="s">
        <v>68</v>
      </c>
      <c r="N3064" t="str">
        <f t="shared" si="309"/>
        <v>FOR</v>
      </c>
      <c r="O3064" t="s">
        <v>69</v>
      </c>
      <c r="P3064" s="3" t="s">
        <v>70</v>
      </c>
      <c r="Q3064">
        <v>2015</v>
      </c>
      <c r="R3064" s="2">
        <v>42082</v>
      </c>
      <c r="S3064" s="2">
        <v>42369</v>
      </c>
      <c r="T3064" s="2">
        <v>42369</v>
      </c>
      <c r="U3064" s="2">
        <v>42429</v>
      </c>
      <c r="V3064" t="s">
        <v>71</v>
      </c>
      <c r="W3064" t="str">
        <f>"                  10"</f>
        <v xml:space="preserve">                  10</v>
      </c>
      <c r="X3064" s="1">
        <v>9760</v>
      </c>
      <c r="Y3064">
        <v>0</v>
      </c>
      <c r="Z3064"/>
      <c r="AB3064"/>
      <c r="AC3064" s="1">
        <v>8000</v>
      </c>
      <c r="AD3064">
        <v>-19</v>
      </c>
      <c r="AE3064" s="1">
        <v>-152000</v>
      </c>
      <c r="AF3064">
        <v>0</v>
      </c>
      <c r="AJ3064">
        <v>0</v>
      </c>
      <c r="AK3064">
        <v>0</v>
      </c>
      <c r="AL3064">
        <v>0</v>
      </c>
      <c r="AM3064">
        <v>0</v>
      </c>
      <c r="AN3064">
        <v>0</v>
      </c>
      <c r="AO3064">
        <v>0</v>
      </c>
      <c r="AP3064" s="2">
        <v>42746</v>
      </c>
      <c r="AQ3064" t="s">
        <v>72</v>
      </c>
      <c r="AR3064" t="s">
        <v>72</v>
      </c>
      <c r="AS3064">
        <v>340</v>
      </c>
      <c r="AT3064" s="4">
        <v>42410</v>
      </c>
      <c r="AV3064">
        <v>340</v>
      </c>
      <c r="AW3064" s="4">
        <v>42410</v>
      </c>
      <c r="BD3064">
        <v>0</v>
      </c>
      <c r="BN3064" t="s">
        <v>74</v>
      </c>
    </row>
    <row r="3065" spans="1:66" hidden="1">
      <c r="A3065">
        <v>101077</v>
      </c>
      <c r="B3065" s="3" t="s">
        <v>360</v>
      </c>
      <c r="C3065" s="1">
        <v>43300101</v>
      </c>
      <c r="D3065" t="s">
        <v>67</v>
      </c>
      <c r="H3065" t="str">
        <f t="shared" si="311"/>
        <v>01396940627</v>
      </c>
      <c r="I3065" t="str">
        <f t="shared" si="311"/>
        <v>01396940627</v>
      </c>
      <c r="K3065" t="str">
        <f>""</f>
        <v/>
      </c>
      <c r="M3065" t="s">
        <v>68</v>
      </c>
      <c r="N3065" t="str">
        <f t="shared" si="309"/>
        <v>FOR</v>
      </c>
      <c r="O3065" t="s">
        <v>69</v>
      </c>
      <c r="P3065" s="3" t="s">
        <v>75</v>
      </c>
      <c r="Q3065">
        <v>2015</v>
      </c>
      <c r="R3065" s="2">
        <v>42318</v>
      </c>
      <c r="S3065" s="2">
        <v>42326</v>
      </c>
      <c r="T3065" s="2">
        <v>42324</v>
      </c>
      <c r="U3065" s="2">
        <v>42384</v>
      </c>
      <c r="V3065" t="s">
        <v>71</v>
      </c>
      <c r="W3065" t="str">
        <f>"                1/PA"</f>
        <v xml:space="preserve">                1/PA</v>
      </c>
      <c r="X3065" s="1">
        <v>87840</v>
      </c>
      <c r="Y3065">
        <v>0</v>
      </c>
      <c r="Z3065"/>
      <c r="AB3065"/>
      <c r="AC3065" s="1">
        <v>72000</v>
      </c>
      <c r="AD3065">
        <v>80</v>
      </c>
      <c r="AE3065" s="1">
        <v>5760000</v>
      </c>
      <c r="AF3065">
        <v>0</v>
      </c>
      <c r="AJ3065">
        <v>0</v>
      </c>
      <c r="AK3065">
        <v>0</v>
      </c>
      <c r="AL3065">
        <v>0</v>
      </c>
      <c r="AM3065">
        <v>0</v>
      </c>
      <c r="AN3065">
        <v>0</v>
      </c>
      <c r="AO3065">
        <v>0</v>
      </c>
      <c r="AP3065" s="2">
        <v>42746</v>
      </c>
      <c r="AQ3065" t="s">
        <v>72</v>
      </c>
      <c r="AR3065" t="s">
        <v>72</v>
      </c>
      <c r="AS3065">
        <v>998</v>
      </c>
      <c r="AT3065" s="4">
        <v>42464</v>
      </c>
      <c r="AU3065" t="s">
        <v>73</v>
      </c>
      <c r="AV3065">
        <v>998</v>
      </c>
      <c r="AW3065" s="4">
        <v>42464</v>
      </c>
      <c r="BD3065">
        <v>0</v>
      </c>
      <c r="BN3065" t="s">
        <v>74</v>
      </c>
    </row>
    <row r="3066" spans="1:66" hidden="1">
      <c r="A3066">
        <v>101082</v>
      </c>
      <c r="B3066" s="3" t="s">
        <v>361</v>
      </c>
      <c r="C3066" s="1">
        <v>43300101</v>
      </c>
      <c r="D3066" t="s">
        <v>67</v>
      </c>
      <c r="H3066" t="str">
        <f>"02451350611"</f>
        <v>02451350611</v>
      </c>
      <c r="I3066" t="str">
        <f>"02451350611"</f>
        <v>02451350611</v>
      </c>
      <c r="K3066" t="str">
        <f>""</f>
        <v/>
      </c>
      <c r="M3066" t="s">
        <v>68</v>
      </c>
      <c r="N3066" t="str">
        <f t="shared" si="309"/>
        <v>FOR</v>
      </c>
      <c r="O3066" t="s">
        <v>69</v>
      </c>
      <c r="P3066" s="3" t="s">
        <v>75</v>
      </c>
      <c r="Q3066">
        <v>2016</v>
      </c>
      <c r="R3066" s="2">
        <v>42460</v>
      </c>
      <c r="S3066" s="2">
        <v>42507</v>
      </c>
      <c r="T3066" s="2">
        <v>42506</v>
      </c>
      <c r="U3066" s="2">
        <v>42566</v>
      </c>
      <c r="V3066" t="s">
        <v>71</v>
      </c>
      <c r="W3066" t="str">
        <f>"                 107"</f>
        <v xml:space="preserve">                 107</v>
      </c>
      <c r="X3066">
        <v>433.1</v>
      </c>
      <c r="Y3066">
        <v>0</v>
      </c>
      <c r="Z3066"/>
      <c r="AB3066"/>
      <c r="AC3066">
        <v>355</v>
      </c>
      <c r="AD3066">
        <v>-37</v>
      </c>
      <c r="AE3066" s="1">
        <v>-13135</v>
      </c>
      <c r="AF3066">
        <v>0</v>
      </c>
      <c r="AJ3066">
        <v>0</v>
      </c>
      <c r="AK3066">
        <v>0</v>
      </c>
      <c r="AL3066">
        <v>0</v>
      </c>
      <c r="AM3066">
        <v>433.1</v>
      </c>
      <c r="AN3066">
        <v>433.1</v>
      </c>
      <c r="AO3066">
        <v>433.1</v>
      </c>
      <c r="AP3066" s="2">
        <v>42746</v>
      </c>
      <c r="AQ3066" t="s">
        <v>72</v>
      </c>
      <c r="AR3066" t="s">
        <v>72</v>
      </c>
      <c r="AS3066">
        <v>1591</v>
      </c>
      <c r="AT3066" s="4">
        <v>42529</v>
      </c>
      <c r="AV3066">
        <v>1591</v>
      </c>
      <c r="AW3066" s="4">
        <v>42529</v>
      </c>
      <c r="BD3066">
        <v>0</v>
      </c>
      <c r="BN3066" t="s">
        <v>74</v>
      </c>
    </row>
    <row r="3067" spans="1:66" hidden="1">
      <c r="A3067">
        <v>101091</v>
      </c>
      <c r="B3067" s="3" t="s">
        <v>362</v>
      </c>
      <c r="C3067" s="1">
        <v>43300101</v>
      </c>
      <c r="D3067" t="s">
        <v>67</v>
      </c>
      <c r="H3067" t="str">
        <f>""</f>
        <v/>
      </c>
      <c r="I3067" t="str">
        <f>"05155791212"</f>
        <v>05155791212</v>
      </c>
      <c r="K3067" t="str">
        <f>""</f>
        <v/>
      </c>
      <c r="M3067" t="s">
        <v>68</v>
      </c>
      <c r="N3067" t="str">
        <f t="shared" si="309"/>
        <v>FOR</v>
      </c>
      <c r="O3067" t="s">
        <v>69</v>
      </c>
      <c r="P3067" s="3" t="s">
        <v>75</v>
      </c>
      <c r="Q3067">
        <v>2015</v>
      </c>
      <c r="R3067" s="2">
        <v>42094</v>
      </c>
      <c r="S3067" s="2">
        <v>42165</v>
      </c>
      <c r="T3067" s="2">
        <v>42138</v>
      </c>
      <c r="U3067" s="2">
        <v>42198</v>
      </c>
      <c r="V3067" t="s">
        <v>71</v>
      </c>
      <c r="W3067" t="str">
        <f>"           000006/PA"</f>
        <v xml:space="preserve">           000006/PA</v>
      </c>
      <c r="X3067" s="1">
        <v>5902.97</v>
      </c>
      <c r="Y3067">
        <v>0</v>
      </c>
      <c r="Z3067"/>
      <c r="AB3067"/>
      <c r="AC3067" s="1">
        <v>4838.5</v>
      </c>
      <c r="AD3067">
        <v>206</v>
      </c>
      <c r="AE3067" s="1">
        <v>996731</v>
      </c>
      <c r="AF3067">
        <v>0</v>
      </c>
      <c r="AJ3067">
        <v>0</v>
      </c>
      <c r="AK3067">
        <v>0</v>
      </c>
      <c r="AL3067">
        <v>0</v>
      </c>
      <c r="AM3067">
        <v>0</v>
      </c>
      <c r="AN3067">
        <v>0</v>
      </c>
      <c r="AO3067">
        <v>0</v>
      </c>
      <c r="AP3067" s="2">
        <v>42746</v>
      </c>
      <c r="AQ3067" t="s">
        <v>72</v>
      </c>
      <c r="AR3067" t="s">
        <v>72</v>
      </c>
      <c r="AS3067">
        <v>279</v>
      </c>
      <c r="AT3067" s="4">
        <v>42404</v>
      </c>
      <c r="AU3067" t="s">
        <v>73</v>
      </c>
      <c r="AV3067">
        <v>279</v>
      </c>
      <c r="AW3067" s="4">
        <v>42404</v>
      </c>
      <c r="BD3067">
        <v>0</v>
      </c>
      <c r="BN3067" t="s">
        <v>74</v>
      </c>
    </row>
    <row r="3068" spans="1:66" hidden="1">
      <c r="A3068">
        <v>101091</v>
      </c>
      <c r="B3068" s="3" t="s">
        <v>362</v>
      </c>
      <c r="C3068" s="1">
        <v>43300101</v>
      </c>
      <c r="D3068" t="s">
        <v>67</v>
      </c>
      <c r="H3068" t="str">
        <f>""</f>
        <v/>
      </c>
      <c r="I3068" t="str">
        <f>"05155791212"</f>
        <v>05155791212</v>
      </c>
      <c r="K3068" t="str">
        <f>""</f>
        <v/>
      </c>
      <c r="M3068" t="s">
        <v>68</v>
      </c>
      <c r="N3068" t="str">
        <f t="shared" si="309"/>
        <v>FOR</v>
      </c>
      <c r="O3068" t="s">
        <v>69</v>
      </c>
      <c r="P3068" s="3" t="s">
        <v>75</v>
      </c>
      <c r="Q3068">
        <v>2015</v>
      </c>
      <c r="R3068" s="2">
        <v>42153</v>
      </c>
      <c r="S3068" s="2">
        <v>42165</v>
      </c>
      <c r="T3068" s="2">
        <v>42160</v>
      </c>
      <c r="U3068" s="2">
        <v>42220</v>
      </c>
      <c r="V3068" t="s">
        <v>71</v>
      </c>
      <c r="W3068" t="str">
        <f>"           000060/PA"</f>
        <v xml:space="preserve">           000060/PA</v>
      </c>
      <c r="X3068" s="1">
        <v>2635.2</v>
      </c>
      <c r="Y3068">
        <v>0</v>
      </c>
      <c r="Z3068"/>
      <c r="AB3068"/>
      <c r="AC3068" s="1">
        <v>2160</v>
      </c>
      <c r="AD3068">
        <v>233</v>
      </c>
      <c r="AE3068" s="1">
        <v>503280</v>
      </c>
      <c r="AF3068">
        <v>0</v>
      </c>
      <c r="AJ3068">
        <v>0</v>
      </c>
      <c r="AK3068">
        <v>0</v>
      </c>
      <c r="AL3068">
        <v>0</v>
      </c>
      <c r="AM3068">
        <v>0</v>
      </c>
      <c r="AN3068">
        <v>0</v>
      </c>
      <c r="AO3068">
        <v>0</v>
      </c>
      <c r="AP3068" s="2">
        <v>42746</v>
      </c>
      <c r="AQ3068" t="s">
        <v>72</v>
      </c>
      <c r="AR3068" t="s">
        <v>72</v>
      </c>
      <c r="AS3068">
        <v>846</v>
      </c>
      <c r="AT3068" s="4">
        <v>42453</v>
      </c>
      <c r="AU3068" t="s">
        <v>73</v>
      </c>
      <c r="AV3068">
        <v>846</v>
      </c>
      <c r="AW3068" s="4">
        <v>42453</v>
      </c>
      <c r="BD3068">
        <v>0</v>
      </c>
      <c r="BN3068" t="s">
        <v>74</v>
      </c>
    </row>
    <row r="3069" spans="1:66" hidden="1">
      <c r="A3069">
        <v>101092</v>
      </c>
      <c r="B3069" s="3" t="s">
        <v>363</v>
      </c>
      <c r="C3069" s="1">
        <v>43300101</v>
      </c>
      <c r="D3069" t="s">
        <v>67</v>
      </c>
      <c r="H3069" t="str">
        <f>"09577370019"</f>
        <v>09577370019</v>
      </c>
      <c r="I3069" t="str">
        <f>"09577370019"</f>
        <v>09577370019</v>
      </c>
      <c r="K3069" t="str">
        <f>""</f>
        <v/>
      </c>
      <c r="M3069" t="s">
        <v>68</v>
      </c>
      <c r="N3069" t="str">
        <f t="shared" si="309"/>
        <v>FOR</v>
      </c>
      <c r="O3069" t="s">
        <v>69</v>
      </c>
      <c r="P3069" s="3" t="s">
        <v>75</v>
      </c>
      <c r="Q3069">
        <v>2015</v>
      </c>
      <c r="R3069" s="2">
        <v>42213</v>
      </c>
      <c r="S3069" s="2">
        <v>42223</v>
      </c>
      <c r="T3069" s="2">
        <v>42216</v>
      </c>
      <c r="U3069" s="2">
        <v>42276</v>
      </c>
      <c r="V3069" t="s">
        <v>71</v>
      </c>
      <c r="W3069" t="str">
        <f>"                2066"</f>
        <v xml:space="preserve">                2066</v>
      </c>
      <c r="X3069">
        <v>528</v>
      </c>
      <c r="Y3069">
        <v>0</v>
      </c>
      <c r="Z3069"/>
      <c r="AB3069"/>
      <c r="AC3069">
        <v>480</v>
      </c>
      <c r="AD3069">
        <v>128</v>
      </c>
      <c r="AE3069" s="1">
        <v>61440</v>
      </c>
      <c r="AF3069">
        <v>0</v>
      </c>
      <c r="AJ3069">
        <v>0</v>
      </c>
      <c r="AK3069">
        <v>0</v>
      </c>
      <c r="AL3069">
        <v>0</v>
      </c>
      <c r="AM3069">
        <v>0</v>
      </c>
      <c r="AN3069">
        <v>0</v>
      </c>
      <c r="AO3069">
        <v>0</v>
      </c>
      <c r="AP3069" s="2">
        <v>42746</v>
      </c>
      <c r="AQ3069" t="s">
        <v>72</v>
      </c>
      <c r="AR3069" t="s">
        <v>72</v>
      </c>
      <c r="AS3069">
        <v>272</v>
      </c>
      <c r="AT3069" s="4">
        <v>42404</v>
      </c>
      <c r="AU3069" t="s">
        <v>73</v>
      </c>
      <c r="AV3069">
        <v>272</v>
      </c>
      <c r="AW3069" s="4">
        <v>42404</v>
      </c>
      <c r="BD3069">
        <v>0</v>
      </c>
      <c r="BN3069" t="s">
        <v>74</v>
      </c>
    </row>
    <row r="3070" spans="1:66" hidden="1">
      <c r="A3070">
        <v>101092</v>
      </c>
      <c r="B3070" s="3" t="s">
        <v>363</v>
      </c>
      <c r="C3070" s="1">
        <v>43300101</v>
      </c>
      <c r="D3070" t="s">
        <v>67</v>
      </c>
      <c r="H3070" t="str">
        <f>"09577370019"</f>
        <v>09577370019</v>
      </c>
      <c r="I3070" t="str">
        <f>"09577370019"</f>
        <v>09577370019</v>
      </c>
      <c r="K3070" t="str">
        <f>""</f>
        <v/>
      </c>
      <c r="M3070" t="s">
        <v>68</v>
      </c>
      <c r="N3070" t="str">
        <f t="shared" si="309"/>
        <v>FOR</v>
      </c>
      <c r="O3070" t="s">
        <v>69</v>
      </c>
      <c r="P3070" s="3" t="s">
        <v>75</v>
      </c>
      <c r="Q3070">
        <v>2015</v>
      </c>
      <c r="R3070" s="2">
        <v>42254</v>
      </c>
      <c r="S3070" s="2">
        <v>42269</v>
      </c>
      <c r="T3070" s="2">
        <v>42268</v>
      </c>
      <c r="U3070" s="2">
        <v>42328</v>
      </c>
      <c r="V3070" t="s">
        <v>71</v>
      </c>
      <c r="W3070" t="str">
        <f>"                2436"</f>
        <v xml:space="preserve">                2436</v>
      </c>
      <c r="X3070" s="1">
        <v>2948</v>
      </c>
      <c r="Y3070">
        <v>0</v>
      </c>
      <c r="Z3070"/>
      <c r="AB3070"/>
      <c r="AC3070" s="1">
        <v>2680</v>
      </c>
      <c r="AD3070">
        <v>76</v>
      </c>
      <c r="AE3070" s="1">
        <v>203680</v>
      </c>
      <c r="AF3070">
        <v>0</v>
      </c>
      <c r="AJ3070">
        <v>0</v>
      </c>
      <c r="AK3070">
        <v>0</v>
      </c>
      <c r="AL3070">
        <v>0</v>
      </c>
      <c r="AM3070">
        <v>0</v>
      </c>
      <c r="AN3070">
        <v>0</v>
      </c>
      <c r="AO3070">
        <v>0</v>
      </c>
      <c r="AP3070" s="2">
        <v>42746</v>
      </c>
      <c r="AQ3070" t="s">
        <v>72</v>
      </c>
      <c r="AR3070" t="s">
        <v>72</v>
      </c>
      <c r="AS3070">
        <v>272</v>
      </c>
      <c r="AT3070" s="4">
        <v>42404</v>
      </c>
      <c r="AU3070" t="s">
        <v>73</v>
      </c>
      <c r="AV3070">
        <v>272</v>
      </c>
      <c r="AW3070" s="4">
        <v>42404</v>
      </c>
      <c r="BD3070">
        <v>0</v>
      </c>
      <c r="BN3070" t="s">
        <v>74</v>
      </c>
    </row>
    <row r="3071" spans="1:66" hidden="1">
      <c r="A3071">
        <v>101095</v>
      </c>
      <c r="B3071" s="3" t="s">
        <v>364</v>
      </c>
      <c r="C3071" s="1">
        <v>43300101</v>
      </c>
      <c r="D3071" t="s">
        <v>67</v>
      </c>
      <c r="H3071" t="str">
        <f t="shared" ref="H3071:I3075" si="312">"02173550282"</f>
        <v>02173550282</v>
      </c>
      <c r="I3071" t="str">
        <f t="shared" si="312"/>
        <v>02173550282</v>
      </c>
      <c r="K3071" t="str">
        <f>""</f>
        <v/>
      </c>
      <c r="M3071" t="s">
        <v>68</v>
      </c>
      <c r="N3071" t="str">
        <f t="shared" si="309"/>
        <v>FOR</v>
      </c>
      <c r="O3071" t="s">
        <v>69</v>
      </c>
      <c r="P3071" s="3" t="s">
        <v>75</v>
      </c>
      <c r="Q3071">
        <v>2015</v>
      </c>
      <c r="R3071" s="2">
        <v>42138</v>
      </c>
      <c r="S3071" s="2">
        <v>42160</v>
      </c>
      <c r="T3071" s="2">
        <v>42146</v>
      </c>
      <c r="U3071" s="2">
        <v>42206</v>
      </c>
      <c r="V3071" t="s">
        <v>71</v>
      </c>
      <c r="W3071" t="str">
        <f>"              1839/3"</f>
        <v xml:space="preserve">              1839/3</v>
      </c>
      <c r="X3071">
        <v>585.6</v>
      </c>
      <c r="Y3071">
        <v>0</v>
      </c>
      <c r="Z3071"/>
      <c r="AB3071"/>
      <c r="AC3071">
        <v>480</v>
      </c>
      <c r="AD3071">
        <v>246</v>
      </c>
      <c r="AE3071" s="1">
        <v>118080</v>
      </c>
      <c r="AF3071">
        <v>0</v>
      </c>
      <c r="AJ3071">
        <v>0</v>
      </c>
      <c r="AK3071">
        <v>0</v>
      </c>
      <c r="AL3071">
        <v>0</v>
      </c>
      <c r="AM3071">
        <v>0</v>
      </c>
      <c r="AN3071">
        <v>0</v>
      </c>
      <c r="AO3071">
        <v>0</v>
      </c>
      <c r="AP3071" s="2">
        <v>42746</v>
      </c>
      <c r="AQ3071" t="s">
        <v>72</v>
      </c>
      <c r="AR3071" t="s">
        <v>72</v>
      </c>
      <c r="AS3071">
        <v>811</v>
      </c>
      <c r="AT3071" s="4">
        <v>42452</v>
      </c>
      <c r="AU3071" t="s">
        <v>73</v>
      </c>
      <c r="AV3071">
        <v>811</v>
      </c>
      <c r="AW3071" s="4">
        <v>42452</v>
      </c>
      <c r="BD3071">
        <v>0</v>
      </c>
      <c r="BN3071" t="s">
        <v>74</v>
      </c>
    </row>
    <row r="3072" spans="1:66" hidden="1">
      <c r="A3072">
        <v>101095</v>
      </c>
      <c r="B3072" s="3" t="s">
        <v>364</v>
      </c>
      <c r="C3072" s="1">
        <v>43300101</v>
      </c>
      <c r="D3072" t="s">
        <v>67</v>
      </c>
      <c r="H3072" t="str">
        <f t="shared" si="312"/>
        <v>02173550282</v>
      </c>
      <c r="I3072" t="str">
        <f t="shared" si="312"/>
        <v>02173550282</v>
      </c>
      <c r="K3072" t="str">
        <f>""</f>
        <v/>
      </c>
      <c r="M3072" t="s">
        <v>68</v>
      </c>
      <c r="N3072" t="str">
        <f t="shared" si="309"/>
        <v>FOR</v>
      </c>
      <c r="O3072" t="s">
        <v>69</v>
      </c>
      <c r="P3072" s="3" t="s">
        <v>75</v>
      </c>
      <c r="Q3072">
        <v>2015</v>
      </c>
      <c r="R3072" s="2">
        <v>42179</v>
      </c>
      <c r="S3072" s="2">
        <v>42186</v>
      </c>
      <c r="T3072" s="2">
        <v>42182</v>
      </c>
      <c r="U3072" s="2">
        <v>42242</v>
      </c>
      <c r="V3072" t="s">
        <v>71</v>
      </c>
      <c r="W3072" t="str">
        <f>"              3382/3"</f>
        <v xml:space="preserve">              3382/3</v>
      </c>
      <c r="X3072" s="1">
        <v>1171.2</v>
      </c>
      <c r="Y3072">
        <v>0</v>
      </c>
      <c r="Z3072"/>
      <c r="AB3072"/>
      <c r="AC3072">
        <v>960</v>
      </c>
      <c r="AD3072">
        <v>285</v>
      </c>
      <c r="AE3072" s="1">
        <v>273600</v>
      </c>
      <c r="AF3072">
        <v>0</v>
      </c>
      <c r="AJ3072">
        <v>0</v>
      </c>
      <c r="AK3072">
        <v>0</v>
      </c>
      <c r="AL3072">
        <v>0</v>
      </c>
      <c r="AM3072">
        <v>0</v>
      </c>
      <c r="AN3072">
        <v>0</v>
      </c>
      <c r="AO3072">
        <v>0</v>
      </c>
      <c r="AP3072" s="2">
        <v>42746</v>
      </c>
      <c r="AQ3072" t="s">
        <v>72</v>
      </c>
      <c r="AR3072" t="s">
        <v>72</v>
      </c>
      <c r="AS3072">
        <v>1505</v>
      </c>
      <c r="AT3072" s="4">
        <v>42527</v>
      </c>
      <c r="AU3072" t="s">
        <v>73</v>
      </c>
      <c r="AV3072">
        <v>1505</v>
      </c>
      <c r="AW3072" s="4">
        <v>42527</v>
      </c>
      <c r="BD3072">
        <v>0</v>
      </c>
      <c r="BN3072" t="s">
        <v>74</v>
      </c>
    </row>
    <row r="3073" spans="1:66">
      <c r="A3073">
        <v>101095</v>
      </c>
      <c r="B3073" s="3" t="s">
        <v>364</v>
      </c>
      <c r="C3073" s="1">
        <v>43300101</v>
      </c>
      <c r="D3073" t="s">
        <v>67</v>
      </c>
      <c r="H3073" t="str">
        <f t="shared" si="312"/>
        <v>02173550282</v>
      </c>
      <c r="I3073" t="str">
        <f t="shared" si="312"/>
        <v>02173550282</v>
      </c>
      <c r="K3073" t="str">
        <f>""</f>
        <v/>
      </c>
      <c r="M3073" t="s">
        <v>68</v>
      </c>
      <c r="N3073" t="str">
        <f t="shared" si="309"/>
        <v>FOR</v>
      </c>
      <c r="O3073" t="s">
        <v>69</v>
      </c>
      <c r="P3073" s="3" t="s">
        <v>75</v>
      </c>
      <c r="Q3073">
        <v>2015</v>
      </c>
      <c r="R3073" s="2">
        <v>42291</v>
      </c>
      <c r="S3073" s="2">
        <v>42292</v>
      </c>
      <c r="T3073" s="2">
        <v>42291</v>
      </c>
      <c r="U3073" s="2">
        <v>42351</v>
      </c>
      <c r="V3073" t="s">
        <v>71</v>
      </c>
      <c r="W3073" t="str">
        <f>"              6851/3"</f>
        <v xml:space="preserve">              6851/3</v>
      </c>
      <c r="X3073" s="1">
        <v>1756.8</v>
      </c>
      <c r="Y3073">
        <v>0</v>
      </c>
      <c r="Z3073" s="5">
        <v>1440</v>
      </c>
      <c r="AA3073">
        <v>297</v>
      </c>
      <c r="AB3073" s="5">
        <v>427680</v>
      </c>
      <c r="AC3073" s="1">
        <v>1440</v>
      </c>
      <c r="AD3073">
        <v>297</v>
      </c>
      <c r="AE3073" s="1">
        <v>427680</v>
      </c>
      <c r="AF3073">
        <v>0</v>
      </c>
      <c r="AJ3073">
        <v>0</v>
      </c>
      <c r="AK3073">
        <v>0</v>
      </c>
      <c r="AL3073">
        <v>0</v>
      </c>
      <c r="AM3073">
        <v>0</v>
      </c>
      <c r="AN3073">
        <v>0</v>
      </c>
      <c r="AO3073">
        <v>0</v>
      </c>
      <c r="AP3073" s="2">
        <v>42746</v>
      </c>
      <c r="AQ3073" t="s">
        <v>72</v>
      </c>
      <c r="AR3073" t="s">
        <v>72</v>
      </c>
      <c r="AS3073">
        <v>2676</v>
      </c>
      <c r="AT3073" s="4">
        <v>42648</v>
      </c>
      <c r="AU3073" t="s">
        <v>73</v>
      </c>
      <c r="AV3073">
        <v>2676</v>
      </c>
      <c r="AW3073" s="4">
        <v>42648</v>
      </c>
      <c r="BD3073">
        <v>0</v>
      </c>
      <c r="BN3073" t="s">
        <v>74</v>
      </c>
    </row>
    <row r="3074" spans="1:66">
      <c r="A3074">
        <v>101095</v>
      </c>
      <c r="B3074" s="3" t="s">
        <v>364</v>
      </c>
      <c r="C3074" s="1">
        <v>43300101</v>
      </c>
      <c r="D3074" t="s">
        <v>67</v>
      </c>
      <c r="H3074" t="str">
        <f t="shared" si="312"/>
        <v>02173550282</v>
      </c>
      <c r="I3074" t="str">
        <f t="shared" si="312"/>
        <v>02173550282</v>
      </c>
      <c r="K3074" t="str">
        <f>""</f>
        <v/>
      </c>
      <c r="M3074" t="s">
        <v>68</v>
      </c>
      <c r="N3074" t="str">
        <f t="shared" si="309"/>
        <v>FOR</v>
      </c>
      <c r="O3074" t="s">
        <v>69</v>
      </c>
      <c r="P3074" s="3" t="s">
        <v>75</v>
      </c>
      <c r="Q3074">
        <v>2016</v>
      </c>
      <c r="R3074" s="2">
        <v>42398</v>
      </c>
      <c r="S3074" s="2">
        <v>42410</v>
      </c>
      <c r="T3074" s="2">
        <v>42408</v>
      </c>
      <c r="U3074" s="2">
        <v>42468</v>
      </c>
      <c r="V3074" t="s">
        <v>71</v>
      </c>
      <c r="W3074" t="str">
        <f>"               676/3"</f>
        <v xml:space="preserve">               676/3</v>
      </c>
      <c r="X3074" s="1">
        <v>1171.2</v>
      </c>
      <c r="Y3074">
        <v>0</v>
      </c>
      <c r="Z3074" s="3">
        <v>960</v>
      </c>
      <c r="AA3074">
        <v>180</v>
      </c>
      <c r="AB3074" s="5">
        <v>172800</v>
      </c>
      <c r="AC3074">
        <v>960</v>
      </c>
      <c r="AD3074">
        <v>180</v>
      </c>
      <c r="AE3074" s="1">
        <v>172800</v>
      </c>
      <c r="AF3074">
        <v>0</v>
      </c>
      <c r="AJ3074">
        <v>0</v>
      </c>
      <c r="AK3074">
        <v>0</v>
      </c>
      <c r="AL3074">
        <v>0</v>
      </c>
      <c r="AM3074" s="1">
        <v>1171.2</v>
      </c>
      <c r="AN3074" s="1">
        <v>1171.2</v>
      </c>
      <c r="AO3074" s="1">
        <v>1171.2</v>
      </c>
      <c r="AP3074" s="2">
        <v>42746</v>
      </c>
      <c r="AQ3074" t="s">
        <v>72</v>
      </c>
      <c r="AR3074" t="s">
        <v>72</v>
      </c>
      <c r="AS3074">
        <v>2676</v>
      </c>
      <c r="AT3074" s="4">
        <v>42648</v>
      </c>
      <c r="AU3074" t="s">
        <v>73</v>
      </c>
      <c r="AV3074">
        <v>2676</v>
      </c>
      <c r="AW3074" s="4">
        <v>42648</v>
      </c>
      <c r="BD3074">
        <v>0</v>
      </c>
      <c r="BN3074" t="s">
        <v>74</v>
      </c>
    </row>
    <row r="3075" spans="1:66">
      <c r="A3075">
        <v>101095</v>
      </c>
      <c r="B3075" s="3" t="s">
        <v>364</v>
      </c>
      <c r="C3075" s="1">
        <v>43300101</v>
      </c>
      <c r="D3075" t="s">
        <v>67</v>
      </c>
      <c r="H3075" t="str">
        <f t="shared" si="312"/>
        <v>02173550282</v>
      </c>
      <c r="I3075" t="str">
        <f t="shared" si="312"/>
        <v>02173550282</v>
      </c>
      <c r="K3075" t="str">
        <f>""</f>
        <v/>
      </c>
      <c r="M3075" t="s">
        <v>68</v>
      </c>
      <c r="N3075" t="str">
        <f t="shared" si="309"/>
        <v>FOR</v>
      </c>
      <c r="O3075" t="s">
        <v>69</v>
      </c>
      <c r="P3075" s="3" t="s">
        <v>75</v>
      </c>
      <c r="Q3075">
        <v>2016</v>
      </c>
      <c r="R3075" s="2">
        <v>42506</v>
      </c>
      <c r="S3075" s="2">
        <v>42509</v>
      </c>
      <c r="T3075" s="2">
        <v>42508</v>
      </c>
      <c r="U3075" s="2">
        <v>42568</v>
      </c>
      <c r="V3075" t="s">
        <v>71</v>
      </c>
      <c r="W3075" t="str">
        <f>"              4530/3"</f>
        <v xml:space="preserve">              4530/3</v>
      </c>
      <c r="X3075" s="1">
        <v>1171.2</v>
      </c>
      <c r="Y3075">
        <v>0</v>
      </c>
      <c r="Z3075" s="3">
        <v>960</v>
      </c>
      <c r="AA3075">
        <v>80</v>
      </c>
      <c r="AB3075" s="5">
        <v>76800</v>
      </c>
      <c r="AC3075">
        <v>960</v>
      </c>
      <c r="AD3075">
        <v>80</v>
      </c>
      <c r="AE3075" s="1">
        <v>76800</v>
      </c>
      <c r="AF3075">
        <v>0</v>
      </c>
      <c r="AJ3075">
        <v>0</v>
      </c>
      <c r="AK3075">
        <v>0</v>
      </c>
      <c r="AL3075">
        <v>0</v>
      </c>
      <c r="AM3075" s="1">
        <v>1171.2</v>
      </c>
      <c r="AN3075" s="1">
        <v>1171.2</v>
      </c>
      <c r="AO3075" s="1">
        <v>1171.2</v>
      </c>
      <c r="AP3075" s="2">
        <v>42746</v>
      </c>
      <c r="AQ3075" t="s">
        <v>72</v>
      </c>
      <c r="AR3075" t="s">
        <v>72</v>
      </c>
      <c r="AS3075">
        <v>2676</v>
      </c>
      <c r="AT3075" s="4">
        <v>42648</v>
      </c>
      <c r="AU3075" t="s">
        <v>73</v>
      </c>
      <c r="AV3075">
        <v>2676</v>
      </c>
      <c r="AW3075" s="4">
        <v>42648</v>
      </c>
      <c r="BD3075">
        <v>0</v>
      </c>
      <c r="BN3075" t="s">
        <v>74</v>
      </c>
    </row>
    <row r="3076" spans="1:66" hidden="1">
      <c r="A3076">
        <v>101096</v>
      </c>
      <c r="B3076" s="3" t="s">
        <v>365</v>
      </c>
      <c r="C3076" s="1">
        <v>43300101</v>
      </c>
      <c r="D3076" t="s">
        <v>67</v>
      </c>
      <c r="H3076" t="str">
        <f t="shared" ref="H3076:I3084" si="313">"04832360632"</f>
        <v>04832360632</v>
      </c>
      <c r="I3076" t="str">
        <f t="shared" si="313"/>
        <v>04832360632</v>
      </c>
      <c r="K3076" t="str">
        <f>""</f>
        <v/>
      </c>
      <c r="M3076" t="s">
        <v>68</v>
      </c>
      <c r="N3076" t="str">
        <f t="shared" si="309"/>
        <v>FOR</v>
      </c>
      <c r="O3076" t="s">
        <v>69</v>
      </c>
      <c r="P3076" s="3" t="s">
        <v>75</v>
      </c>
      <c r="Q3076">
        <v>2015</v>
      </c>
      <c r="R3076" s="2">
        <v>42268</v>
      </c>
      <c r="S3076" s="2">
        <v>42272</v>
      </c>
      <c r="T3076" s="2">
        <v>42270</v>
      </c>
      <c r="U3076" s="2">
        <v>42330</v>
      </c>
      <c r="V3076" t="s">
        <v>71</v>
      </c>
      <c r="W3076" t="str">
        <f>"            2015/135"</f>
        <v xml:space="preserve">            2015/135</v>
      </c>
      <c r="X3076" s="1">
        <v>4806.8</v>
      </c>
      <c r="Y3076">
        <v>0</v>
      </c>
      <c r="Z3076"/>
      <c r="AB3076"/>
      <c r="AC3076" s="1">
        <v>3940</v>
      </c>
      <c r="AD3076">
        <v>122</v>
      </c>
      <c r="AE3076" s="1">
        <v>480680</v>
      </c>
      <c r="AF3076">
        <v>0</v>
      </c>
      <c r="AJ3076">
        <v>0</v>
      </c>
      <c r="AK3076">
        <v>0</v>
      </c>
      <c r="AL3076">
        <v>0</v>
      </c>
      <c r="AM3076">
        <v>0</v>
      </c>
      <c r="AN3076">
        <v>0</v>
      </c>
      <c r="AO3076">
        <v>0</v>
      </c>
      <c r="AP3076" s="2">
        <v>42746</v>
      </c>
      <c r="AQ3076" t="s">
        <v>72</v>
      </c>
      <c r="AR3076" t="s">
        <v>72</v>
      </c>
      <c r="AS3076">
        <v>796</v>
      </c>
      <c r="AT3076" s="4">
        <v>42452</v>
      </c>
      <c r="AU3076" t="s">
        <v>73</v>
      </c>
      <c r="AV3076">
        <v>796</v>
      </c>
      <c r="AW3076" s="4">
        <v>42452</v>
      </c>
      <c r="BD3076">
        <v>0</v>
      </c>
      <c r="BN3076" t="s">
        <v>74</v>
      </c>
    </row>
    <row r="3077" spans="1:66" hidden="1">
      <c r="A3077">
        <v>101096</v>
      </c>
      <c r="B3077" s="3" t="s">
        <v>365</v>
      </c>
      <c r="C3077" s="1">
        <v>43300101</v>
      </c>
      <c r="D3077" t="s">
        <v>67</v>
      </c>
      <c r="H3077" t="str">
        <f t="shared" si="313"/>
        <v>04832360632</v>
      </c>
      <c r="I3077" t="str">
        <f t="shared" si="313"/>
        <v>04832360632</v>
      </c>
      <c r="K3077" t="str">
        <f>""</f>
        <v/>
      </c>
      <c r="M3077" t="s">
        <v>68</v>
      </c>
      <c r="N3077" t="str">
        <f t="shared" si="309"/>
        <v>FOR</v>
      </c>
      <c r="O3077" t="s">
        <v>69</v>
      </c>
      <c r="P3077" s="3" t="s">
        <v>75</v>
      </c>
      <c r="Q3077">
        <v>2015</v>
      </c>
      <c r="R3077" s="2">
        <v>42268</v>
      </c>
      <c r="S3077" s="2">
        <v>42272</v>
      </c>
      <c r="T3077" s="2">
        <v>42270</v>
      </c>
      <c r="U3077" s="2">
        <v>42330</v>
      </c>
      <c r="V3077" t="s">
        <v>71</v>
      </c>
      <c r="W3077" t="str">
        <f>"            2015/136"</f>
        <v xml:space="preserve">            2015/136</v>
      </c>
      <c r="X3077" s="1">
        <v>4981.26</v>
      </c>
      <c r="Y3077">
        <v>0</v>
      </c>
      <c r="Z3077"/>
      <c r="AB3077"/>
      <c r="AC3077" s="1">
        <v>4083</v>
      </c>
      <c r="AD3077">
        <v>122</v>
      </c>
      <c r="AE3077" s="1">
        <v>498126</v>
      </c>
      <c r="AF3077">
        <v>0</v>
      </c>
      <c r="AJ3077">
        <v>0</v>
      </c>
      <c r="AK3077">
        <v>0</v>
      </c>
      <c r="AL3077">
        <v>0</v>
      </c>
      <c r="AM3077">
        <v>0</v>
      </c>
      <c r="AN3077">
        <v>0</v>
      </c>
      <c r="AO3077">
        <v>0</v>
      </c>
      <c r="AP3077" s="2">
        <v>42746</v>
      </c>
      <c r="AQ3077" t="s">
        <v>72</v>
      </c>
      <c r="AR3077" t="s">
        <v>72</v>
      </c>
      <c r="AS3077">
        <v>796</v>
      </c>
      <c r="AT3077" s="4">
        <v>42452</v>
      </c>
      <c r="AU3077" t="s">
        <v>73</v>
      </c>
      <c r="AV3077">
        <v>796</v>
      </c>
      <c r="AW3077" s="4">
        <v>42452</v>
      </c>
      <c r="BD3077">
        <v>0</v>
      </c>
      <c r="BN3077" t="s">
        <v>74</v>
      </c>
    </row>
    <row r="3078" spans="1:66" hidden="1">
      <c r="A3078">
        <v>101096</v>
      </c>
      <c r="B3078" s="3" t="s">
        <v>365</v>
      </c>
      <c r="C3078" s="1">
        <v>43300101</v>
      </c>
      <c r="D3078" t="s">
        <v>67</v>
      </c>
      <c r="H3078" t="str">
        <f t="shared" si="313"/>
        <v>04832360632</v>
      </c>
      <c r="I3078" t="str">
        <f t="shared" si="313"/>
        <v>04832360632</v>
      </c>
      <c r="K3078" t="str">
        <f>""</f>
        <v/>
      </c>
      <c r="M3078" t="s">
        <v>68</v>
      </c>
      <c r="N3078" t="str">
        <f t="shared" si="309"/>
        <v>FOR</v>
      </c>
      <c r="O3078" t="s">
        <v>69</v>
      </c>
      <c r="P3078" s="3" t="s">
        <v>75</v>
      </c>
      <c r="Q3078">
        <v>2015</v>
      </c>
      <c r="R3078" s="2">
        <v>42268</v>
      </c>
      <c r="S3078" s="2">
        <v>42277</v>
      </c>
      <c r="T3078" s="2">
        <v>42276</v>
      </c>
      <c r="U3078" s="2">
        <v>42336</v>
      </c>
      <c r="V3078" t="s">
        <v>71</v>
      </c>
      <c r="W3078" t="str">
        <f>"            2015/137"</f>
        <v xml:space="preserve">            2015/137</v>
      </c>
      <c r="X3078">
        <v>267.18</v>
      </c>
      <c r="Y3078">
        <v>0</v>
      </c>
      <c r="Z3078"/>
      <c r="AB3078"/>
      <c r="AC3078">
        <v>219</v>
      </c>
      <c r="AD3078">
        <v>117</v>
      </c>
      <c r="AE3078" s="1">
        <v>25623</v>
      </c>
      <c r="AF3078">
        <v>0</v>
      </c>
      <c r="AJ3078">
        <v>0</v>
      </c>
      <c r="AK3078">
        <v>0</v>
      </c>
      <c r="AL3078">
        <v>0</v>
      </c>
      <c r="AM3078">
        <v>0</v>
      </c>
      <c r="AN3078">
        <v>0</v>
      </c>
      <c r="AO3078">
        <v>0</v>
      </c>
      <c r="AP3078" s="2">
        <v>42746</v>
      </c>
      <c r="AQ3078" t="s">
        <v>72</v>
      </c>
      <c r="AR3078" t="s">
        <v>72</v>
      </c>
      <c r="AS3078">
        <v>855</v>
      </c>
      <c r="AT3078" s="4">
        <v>42453</v>
      </c>
      <c r="AU3078" t="s">
        <v>73</v>
      </c>
      <c r="AV3078">
        <v>855</v>
      </c>
      <c r="AW3078" s="4">
        <v>42453</v>
      </c>
      <c r="BD3078">
        <v>0</v>
      </c>
      <c r="BN3078" t="s">
        <v>74</v>
      </c>
    </row>
    <row r="3079" spans="1:66" hidden="1">
      <c r="A3079">
        <v>101096</v>
      </c>
      <c r="B3079" s="3" t="s">
        <v>365</v>
      </c>
      <c r="C3079" s="1">
        <v>43300101</v>
      </c>
      <c r="D3079" t="s">
        <v>67</v>
      </c>
      <c r="H3079" t="str">
        <f t="shared" si="313"/>
        <v>04832360632</v>
      </c>
      <c r="I3079" t="str">
        <f t="shared" si="313"/>
        <v>04832360632</v>
      </c>
      <c r="K3079" t="str">
        <f>""</f>
        <v/>
      </c>
      <c r="M3079" t="s">
        <v>68</v>
      </c>
      <c r="N3079" t="str">
        <f t="shared" ref="N3079:N3110" si="314">"FOR"</f>
        <v>FOR</v>
      </c>
      <c r="O3079" t="s">
        <v>69</v>
      </c>
      <c r="P3079" s="3" t="s">
        <v>75</v>
      </c>
      <c r="Q3079">
        <v>2015</v>
      </c>
      <c r="R3079" s="2">
        <v>42268</v>
      </c>
      <c r="S3079" s="2">
        <v>42286</v>
      </c>
      <c r="T3079" s="2">
        <v>42285</v>
      </c>
      <c r="U3079" s="2">
        <v>42345</v>
      </c>
      <c r="V3079" t="s">
        <v>71</v>
      </c>
      <c r="W3079" t="str">
        <f>"            2015/140"</f>
        <v xml:space="preserve">            2015/140</v>
      </c>
      <c r="X3079" s="1">
        <v>9363.5</v>
      </c>
      <c r="Y3079">
        <v>0</v>
      </c>
      <c r="Z3079"/>
      <c r="AB3079"/>
      <c r="AC3079" s="1">
        <v>7675</v>
      </c>
      <c r="AD3079">
        <v>107</v>
      </c>
      <c r="AE3079" s="1">
        <v>821225</v>
      </c>
      <c r="AF3079">
        <v>0</v>
      </c>
      <c r="AJ3079">
        <v>0</v>
      </c>
      <c r="AK3079">
        <v>0</v>
      </c>
      <c r="AL3079">
        <v>0</v>
      </c>
      <c r="AM3079">
        <v>0</v>
      </c>
      <c r="AN3079">
        <v>0</v>
      </c>
      <c r="AO3079">
        <v>0</v>
      </c>
      <c r="AP3079" s="2">
        <v>42746</v>
      </c>
      <c r="AQ3079" t="s">
        <v>72</v>
      </c>
      <c r="AR3079" t="s">
        <v>72</v>
      </c>
      <c r="AS3079">
        <v>796</v>
      </c>
      <c r="AT3079" s="4">
        <v>42452</v>
      </c>
      <c r="AU3079" t="s">
        <v>73</v>
      </c>
      <c r="AV3079">
        <v>796</v>
      </c>
      <c r="AW3079" s="4">
        <v>42452</v>
      </c>
      <c r="BD3079">
        <v>0</v>
      </c>
      <c r="BN3079" t="s">
        <v>74</v>
      </c>
    </row>
    <row r="3080" spans="1:66" hidden="1">
      <c r="A3080">
        <v>101096</v>
      </c>
      <c r="B3080" s="3" t="s">
        <v>365</v>
      </c>
      <c r="C3080" s="1">
        <v>43300101</v>
      </c>
      <c r="D3080" t="s">
        <v>67</v>
      </c>
      <c r="H3080" t="str">
        <f t="shared" si="313"/>
        <v>04832360632</v>
      </c>
      <c r="I3080" t="str">
        <f t="shared" si="313"/>
        <v>04832360632</v>
      </c>
      <c r="K3080" t="str">
        <f>""</f>
        <v/>
      </c>
      <c r="M3080" t="s">
        <v>68</v>
      </c>
      <c r="N3080" t="str">
        <f t="shared" si="314"/>
        <v>FOR</v>
      </c>
      <c r="O3080" t="s">
        <v>69</v>
      </c>
      <c r="P3080" s="3" t="s">
        <v>75</v>
      </c>
      <c r="Q3080">
        <v>2015</v>
      </c>
      <c r="R3080" s="2">
        <v>42286</v>
      </c>
      <c r="S3080" s="2">
        <v>42305</v>
      </c>
      <c r="T3080" s="2">
        <v>42304</v>
      </c>
      <c r="U3080" s="2">
        <v>42364</v>
      </c>
      <c r="V3080" t="s">
        <v>71</v>
      </c>
      <c r="W3080" t="str">
        <f>"            2015/149"</f>
        <v xml:space="preserve">            2015/149</v>
      </c>
      <c r="X3080" s="1">
        <v>1506.7</v>
      </c>
      <c r="Y3080">
        <v>0</v>
      </c>
      <c r="Z3080"/>
      <c r="AB3080"/>
      <c r="AC3080" s="1">
        <v>1235</v>
      </c>
      <c r="AD3080">
        <v>89</v>
      </c>
      <c r="AE3080" s="1">
        <v>109915</v>
      </c>
      <c r="AF3080">
        <v>0</v>
      </c>
      <c r="AJ3080">
        <v>0</v>
      </c>
      <c r="AK3080">
        <v>0</v>
      </c>
      <c r="AL3080">
        <v>0</v>
      </c>
      <c r="AM3080">
        <v>0</v>
      </c>
      <c r="AN3080">
        <v>0</v>
      </c>
      <c r="AO3080">
        <v>0</v>
      </c>
      <c r="AP3080" s="2">
        <v>42746</v>
      </c>
      <c r="AQ3080" t="s">
        <v>72</v>
      </c>
      <c r="AR3080" t="s">
        <v>72</v>
      </c>
      <c r="AS3080">
        <v>855</v>
      </c>
      <c r="AT3080" s="4">
        <v>42453</v>
      </c>
      <c r="AU3080" t="s">
        <v>73</v>
      </c>
      <c r="AV3080">
        <v>855</v>
      </c>
      <c r="AW3080" s="4">
        <v>42453</v>
      </c>
      <c r="BD3080">
        <v>0</v>
      </c>
      <c r="BN3080" t="s">
        <v>74</v>
      </c>
    </row>
    <row r="3081" spans="1:66" hidden="1">
      <c r="A3081">
        <v>101096</v>
      </c>
      <c r="B3081" s="3" t="s">
        <v>365</v>
      </c>
      <c r="C3081" s="1">
        <v>43300101</v>
      </c>
      <c r="D3081" t="s">
        <v>67</v>
      </c>
      <c r="H3081" t="str">
        <f t="shared" si="313"/>
        <v>04832360632</v>
      </c>
      <c r="I3081" t="str">
        <f t="shared" si="313"/>
        <v>04832360632</v>
      </c>
      <c r="K3081" t="str">
        <f>""</f>
        <v/>
      </c>
      <c r="M3081" t="s">
        <v>68</v>
      </c>
      <c r="N3081" t="str">
        <f t="shared" si="314"/>
        <v>FOR</v>
      </c>
      <c r="O3081" t="s">
        <v>69</v>
      </c>
      <c r="P3081" s="3" t="s">
        <v>75</v>
      </c>
      <c r="Q3081">
        <v>2015</v>
      </c>
      <c r="R3081" s="2">
        <v>42353</v>
      </c>
      <c r="S3081" s="2">
        <v>42353</v>
      </c>
      <c r="T3081" s="2">
        <v>42353</v>
      </c>
      <c r="U3081" s="2">
        <v>42413</v>
      </c>
      <c r="V3081" t="s">
        <v>71</v>
      </c>
      <c r="W3081" t="str">
        <f>"            2015/198"</f>
        <v xml:space="preserve">            2015/198</v>
      </c>
      <c r="X3081" s="1">
        <v>1010.16</v>
      </c>
      <c r="Y3081">
        <v>0</v>
      </c>
      <c r="Z3081"/>
      <c r="AB3081"/>
      <c r="AC3081">
        <v>828</v>
      </c>
      <c r="AD3081">
        <v>-10</v>
      </c>
      <c r="AE3081" s="1">
        <v>-8280</v>
      </c>
      <c r="AF3081">
        <v>182.16</v>
      </c>
      <c r="AJ3081">
        <v>0</v>
      </c>
      <c r="AK3081">
        <v>0</v>
      </c>
      <c r="AL3081">
        <v>0</v>
      </c>
      <c r="AM3081">
        <v>0</v>
      </c>
      <c r="AN3081">
        <v>0</v>
      </c>
      <c r="AO3081">
        <v>0</v>
      </c>
      <c r="AP3081" s="2">
        <v>42746</v>
      </c>
      <c r="AQ3081" t="s">
        <v>72</v>
      </c>
      <c r="AR3081" t="s">
        <v>72</v>
      </c>
      <c r="AS3081">
        <v>212</v>
      </c>
      <c r="AT3081" s="4">
        <v>42403</v>
      </c>
      <c r="AV3081">
        <v>212</v>
      </c>
      <c r="AW3081" s="4">
        <v>42403</v>
      </c>
      <c r="BD3081">
        <v>182.16</v>
      </c>
      <c r="BN3081" t="s">
        <v>74</v>
      </c>
    </row>
    <row r="3082" spans="1:66">
      <c r="A3082">
        <v>101096</v>
      </c>
      <c r="B3082" s="3" t="s">
        <v>365</v>
      </c>
      <c r="C3082" s="1">
        <v>43300101</v>
      </c>
      <c r="D3082" t="s">
        <v>67</v>
      </c>
      <c r="H3082" t="str">
        <f t="shared" si="313"/>
        <v>04832360632</v>
      </c>
      <c r="I3082" t="str">
        <f t="shared" si="313"/>
        <v>04832360632</v>
      </c>
      <c r="K3082" t="str">
        <f>""</f>
        <v/>
      </c>
      <c r="M3082" t="s">
        <v>68</v>
      </c>
      <c r="N3082" t="str">
        <f t="shared" si="314"/>
        <v>FOR</v>
      </c>
      <c r="O3082" t="s">
        <v>69</v>
      </c>
      <c r="P3082" s="3" t="s">
        <v>75</v>
      </c>
      <c r="Q3082">
        <v>2016</v>
      </c>
      <c r="R3082" s="2">
        <v>42502</v>
      </c>
      <c r="S3082" s="2">
        <v>42507</v>
      </c>
      <c r="T3082" s="2">
        <v>42503</v>
      </c>
      <c r="U3082" s="2">
        <v>42563</v>
      </c>
      <c r="V3082" t="s">
        <v>71</v>
      </c>
      <c r="W3082" t="str">
        <f>"             2016/69"</f>
        <v xml:space="preserve">             2016/69</v>
      </c>
      <c r="X3082">
        <v>439.2</v>
      </c>
      <c r="Y3082">
        <v>0</v>
      </c>
      <c r="Z3082" s="3">
        <v>360</v>
      </c>
      <c r="AA3082">
        <v>156</v>
      </c>
      <c r="AB3082" s="5">
        <v>56160</v>
      </c>
      <c r="AC3082">
        <v>360</v>
      </c>
      <c r="AD3082">
        <v>156</v>
      </c>
      <c r="AE3082" s="1">
        <v>56160</v>
      </c>
      <c r="AF3082">
        <v>79.2</v>
      </c>
      <c r="AJ3082">
        <v>0</v>
      </c>
      <c r="AK3082">
        <v>0</v>
      </c>
      <c r="AL3082">
        <v>0</v>
      </c>
      <c r="AM3082">
        <v>439.2</v>
      </c>
      <c r="AN3082">
        <v>439.2</v>
      </c>
      <c r="AO3082">
        <v>439.2</v>
      </c>
      <c r="AP3082" s="2">
        <v>42746</v>
      </c>
      <c r="AQ3082" t="s">
        <v>72</v>
      </c>
      <c r="AR3082" t="s">
        <v>72</v>
      </c>
      <c r="AS3082">
        <v>3532</v>
      </c>
      <c r="AT3082" s="4">
        <v>42719</v>
      </c>
      <c r="AU3082" t="s">
        <v>73</v>
      </c>
      <c r="AV3082">
        <v>3532</v>
      </c>
      <c r="AW3082" s="4">
        <v>42719</v>
      </c>
      <c r="BC3082">
        <v>79.2</v>
      </c>
      <c r="BD3082">
        <v>0</v>
      </c>
      <c r="BN3082" t="s">
        <v>74</v>
      </c>
    </row>
    <row r="3083" spans="1:66">
      <c r="A3083">
        <v>101096</v>
      </c>
      <c r="B3083" s="3" t="s">
        <v>365</v>
      </c>
      <c r="C3083" s="1">
        <v>43300101</v>
      </c>
      <c r="D3083" t="s">
        <v>67</v>
      </c>
      <c r="H3083" t="str">
        <f t="shared" si="313"/>
        <v>04832360632</v>
      </c>
      <c r="I3083" t="str">
        <f t="shared" si="313"/>
        <v>04832360632</v>
      </c>
      <c r="K3083" t="str">
        <f>""</f>
        <v/>
      </c>
      <c r="M3083" t="s">
        <v>68</v>
      </c>
      <c r="N3083" t="str">
        <f t="shared" si="314"/>
        <v>FOR</v>
      </c>
      <c r="O3083" t="s">
        <v>69</v>
      </c>
      <c r="P3083" s="3" t="s">
        <v>75</v>
      </c>
      <c r="Q3083">
        <v>2016</v>
      </c>
      <c r="R3083" s="2">
        <v>42517</v>
      </c>
      <c r="S3083" s="2">
        <v>42521</v>
      </c>
      <c r="T3083" s="2">
        <v>42521</v>
      </c>
      <c r="U3083" s="2">
        <v>42581</v>
      </c>
      <c r="V3083" t="s">
        <v>71</v>
      </c>
      <c r="W3083" t="str">
        <f>"             2016/76"</f>
        <v xml:space="preserve">             2016/76</v>
      </c>
      <c r="X3083" s="1">
        <v>17781.5</v>
      </c>
      <c r="Y3083">
        <v>0</v>
      </c>
      <c r="Z3083" s="5">
        <v>14575</v>
      </c>
      <c r="AA3083">
        <v>138</v>
      </c>
      <c r="AB3083" s="5">
        <v>2011350</v>
      </c>
      <c r="AC3083" s="1">
        <v>14575</v>
      </c>
      <c r="AD3083">
        <v>138</v>
      </c>
      <c r="AE3083" s="1">
        <v>2011350</v>
      </c>
      <c r="AF3083" s="1">
        <v>3206.5</v>
      </c>
      <c r="AJ3083">
        <v>0</v>
      </c>
      <c r="AK3083">
        <v>0</v>
      </c>
      <c r="AL3083">
        <v>0</v>
      </c>
      <c r="AM3083" s="1">
        <v>17781.5</v>
      </c>
      <c r="AN3083" s="1">
        <v>17781.5</v>
      </c>
      <c r="AO3083" s="1">
        <v>17781.5</v>
      </c>
      <c r="AP3083" s="2">
        <v>42746</v>
      </c>
      <c r="AQ3083" t="s">
        <v>72</v>
      </c>
      <c r="AR3083" t="s">
        <v>72</v>
      </c>
      <c r="AS3083">
        <v>3532</v>
      </c>
      <c r="AT3083" s="4">
        <v>42719</v>
      </c>
      <c r="AU3083" t="s">
        <v>73</v>
      </c>
      <c r="AV3083">
        <v>3532</v>
      </c>
      <c r="AW3083" s="4">
        <v>42719</v>
      </c>
      <c r="BC3083" s="1">
        <v>3206.5</v>
      </c>
      <c r="BD3083">
        <v>0</v>
      </c>
      <c r="BN3083" t="s">
        <v>74</v>
      </c>
    </row>
    <row r="3084" spans="1:66">
      <c r="A3084">
        <v>101096</v>
      </c>
      <c r="B3084" s="3" t="s">
        <v>365</v>
      </c>
      <c r="C3084" s="1">
        <v>43300101</v>
      </c>
      <c r="D3084" t="s">
        <v>67</v>
      </c>
      <c r="H3084" t="str">
        <f t="shared" si="313"/>
        <v>04832360632</v>
      </c>
      <c r="I3084" t="str">
        <f t="shared" si="313"/>
        <v>04832360632</v>
      </c>
      <c r="K3084" t="str">
        <f>""</f>
        <v/>
      </c>
      <c r="M3084" t="s">
        <v>68</v>
      </c>
      <c r="N3084" t="str">
        <f t="shared" si="314"/>
        <v>FOR</v>
      </c>
      <c r="O3084" t="s">
        <v>69</v>
      </c>
      <c r="P3084" s="3" t="s">
        <v>75</v>
      </c>
      <c r="Q3084">
        <v>2016</v>
      </c>
      <c r="R3084" s="2">
        <v>42579</v>
      </c>
      <c r="S3084" s="2">
        <v>42580</v>
      </c>
      <c r="T3084" s="2">
        <v>42579</v>
      </c>
      <c r="U3084" s="2">
        <v>42639</v>
      </c>
      <c r="V3084" t="s">
        <v>71</v>
      </c>
      <c r="W3084" t="str">
        <f>"            2016/107"</f>
        <v xml:space="preserve">            2016/107</v>
      </c>
      <c r="X3084">
        <v>947.94</v>
      </c>
      <c r="Y3084">
        <v>0</v>
      </c>
      <c r="Z3084" s="3">
        <v>777</v>
      </c>
      <c r="AA3084">
        <v>42</v>
      </c>
      <c r="AB3084" s="5">
        <v>32634</v>
      </c>
      <c r="AC3084">
        <v>777</v>
      </c>
      <c r="AD3084">
        <v>42</v>
      </c>
      <c r="AE3084" s="1">
        <v>32634</v>
      </c>
      <c r="AF3084">
        <v>170.94</v>
      </c>
      <c r="AJ3084">
        <v>0</v>
      </c>
      <c r="AK3084">
        <v>0</v>
      </c>
      <c r="AL3084">
        <v>0</v>
      </c>
      <c r="AM3084">
        <v>947.94</v>
      </c>
      <c r="AN3084">
        <v>947.94</v>
      </c>
      <c r="AO3084">
        <v>947.94</v>
      </c>
      <c r="AP3084" s="2">
        <v>42746</v>
      </c>
      <c r="AQ3084" t="s">
        <v>72</v>
      </c>
      <c r="AR3084" t="s">
        <v>72</v>
      </c>
      <c r="AS3084">
        <v>2946</v>
      </c>
      <c r="AT3084" s="4">
        <v>42681</v>
      </c>
      <c r="AU3084" t="s">
        <v>73</v>
      </c>
      <c r="AV3084">
        <v>2946</v>
      </c>
      <c r="AW3084" s="4">
        <v>42681</v>
      </c>
      <c r="BA3084">
        <v>170.94</v>
      </c>
      <c r="BD3084">
        <v>0</v>
      </c>
      <c r="BN3084" t="s">
        <v>74</v>
      </c>
    </row>
    <row r="3085" spans="1:66" hidden="1">
      <c r="A3085">
        <v>101101</v>
      </c>
      <c r="B3085" s="3" t="s">
        <v>366</v>
      </c>
      <c r="C3085" s="1">
        <v>43300101</v>
      </c>
      <c r="D3085" t="s">
        <v>67</v>
      </c>
      <c r="H3085" t="str">
        <f>"00746550409"</f>
        <v>00746550409</v>
      </c>
      <c r="I3085" t="str">
        <f>"00746550409"</f>
        <v>00746550409</v>
      </c>
      <c r="K3085" t="str">
        <f>""</f>
        <v/>
      </c>
      <c r="M3085" t="s">
        <v>68</v>
      </c>
      <c r="N3085" t="str">
        <f t="shared" si="314"/>
        <v>FOR</v>
      </c>
      <c r="O3085" t="s">
        <v>69</v>
      </c>
      <c r="P3085" s="3" t="s">
        <v>75</v>
      </c>
      <c r="Q3085">
        <v>2015</v>
      </c>
      <c r="R3085" s="2">
        <v>42185</v>
      </c>
      <c r="S3085" s="2">
        <v>42233</v>
      </c>
      <c r="T3085" s="2">
        <v>42205</v>
      </c>
      <c r="U3085" s="2">
        <v>42265</v>
      </c>
      <c r="V3085" t="s">
        <v>71</v>
      </c>
      <c r="W3085" t="str">
        <f>"               41/PA"</f>
        <v xml:space="preserve">               41/PA</v>
      </c>
      <c r="X3085" s="1">
        <v>2898.72</v>
      </c>
      <c r="Y3085">
        <v>0</v>
      </c>
      <c r="Z3085"/>
      <c r="AB3085"/>
      <c r="AC3085" s="1">
        <v>2376</v>
      </c>
      <c r="AD3085">
        <v>187</v>
      </c>
      <c r="AE3085" s="1">
        <v>444312</v>
      </c>
      <c r="AF3085">
        <v>0</v>
      </c>
      <c r="AJ3085">
        <v>0</v>
      </c>
      <c r="AK3085">
        <v>0</v>
      </c>
      <c r="AL3085">
        <v>0</v>
      </c>
      <c r="AM3085">
        <v>0</v>
      </c>
      <c r="AN3085">
        <v>0</v>
      </c>
      <c r="AO3085">
        <v>0</v>
      </c>
      <c r="AP3085" s="2">
        <v>42746</v>
      </c>
      <c r="AQ3085" t="s">
        <v>72</v>
      </c>
      <c r="AR3085" t="s">
        <v>72</v>
      </c>
      <c r="AS3085">
        <v>804</v>
      </c>
      <c r="AT3085" s="4">
        <v>42452</v>
      </c>
      <c r="AU3085" t="s">
        <v>73</v>
      </c>
      <c r="AV3085">
        <v>804</v>
      </c>
      <c r="AW3085" s="4">
        <v>42452</v>
      </c>
      <c r="BD3085">
        <v>0</v>
      </c>
      <c r="BN3085" t="s">
        <v>74</v>
      </c>
    </row>
    <row r="3086" spans="1:66">
      <c r="A3086">
        <v>101113</v>
      </c>
      <c r="B3086" s="3" t="s">
        <v>367</v>
      </c>
      <c r="C3086" s="1">
        <v>43300101</v>
      </c>
      <c r="D3086" t="s">
        <v>67</v>
      </c>
      <c r="H3086" t="str">
        <f t="shared" ref="H3086:I3089" si="315">"04732240967"</f>
        <v>04732240967</v>
      </c>
      <c r="I3086" t="str">
        <f t="shared" si="315"/>
        <v>04732240967</v>
      </c>
      <c r="K3086" t="str">
        <f>""</f>
        <v/>
      </c>
      <c r="M3086" t="s">
        <v>68</v>
      </c>
      <c r="N3086" t="str">
        <f t="shared" si="314"/>
        <v>FOR</v>
      </c>
      <c r="O3086" t="s">
        <v>69</v>
      </c>
      <c r="P3086" s="3" t="s">
        <v>75</v>
      </c>
      <c r="Q3086">
        <v>2015</v>
      </c>
      <c r="R3086" s="2">
        <v>42306</v>
      </c>
      <c r="S3086" s="2">
        <v>42333</v>
      </c>
      <c r="T3086" s="2">
        <v>42332</v>
      </c>
      <c r="U3086" s="2">
        <v>42392</v>
      </c>
      <c r="V3086" t="s">
        <v>71</v>
      </c>
      <c r="W3086" t="str">
        <f>"          0087026187"</f>
        <v xml:space="preserve">          0087026187</v>
      </c>
      <c r="X3086" s="1">
        <v>3065.66</v>
      </c>
      <c r="Y3086">
        <v>0</v>
      </c>
      <c r="Z3086" s="5">
        <v>2786.96</v>
      </c>
      <c r="AA3086">
        <v>256</v>
      </c>
      <c r="AB3086" s="5">
        <v>713461.76000000001</v>
      </c>
      <c r="AC3086" s="1">
        <v>2786.96</v>
      </c>
      <c r="AD3086">
        <v>256</v>
      </c>
      <c r="AE3086" s="1">
        <v>713461.76000000001</v>
      </c>
      <c r="AF3086">
        <v>0</v>
      </c>
      <c r="AJ3086">
        <v>0</v>
      </c>
      <c r="AK3086">
        <v>0</v>
      </c>
      <c r="AL3086">
        <v>0</v>
      </c>
      <c r="AM3086">
        <v>0</v>
      </c>
      <c r="AN3086">
        <v>0</v>
      </c>
      <c r="AO3086">
        <v>0</v>
      </c>
      <c r="AP3086" s="2">
        <v>42746</v>
      </c>
      <c r="AQ3086" t="s">
        <v>72</v>
      </c>
      <c r="AR3086" t="s">
        <v>72</v>
      </c>
      <c r="AS3086">
        <v>2694</v>
      </c>
      <c r="AT3086" s="4">
        <v>42648</v>
      </c>
      <c r="AU3086" t="s">
        <v>73</v>
      </c>
      <c r="AV3086">
        <v>2694</v>
      </c>
      <c r="AW3086" s="4">
        <v>42648</v>
      </c>
      <c r="BD3086">
        <v>0</v>
      </c>
      <c r="BN3086" t="s">
        <v>74</v>
      </c>
    </row>
    <row r="3087" spans="1:66">
      <c r="A3087">
        <v>101113</v>
      </c>
      <c r="B3087" s="3" t="s">
        <v>367</v>
      </c>
      <c r="C3087" s="1">
        <v>43300101</v>
      </c>
      <c r="D3087" t="s">
        <v>67</v>
      </c>
      <c r="H3087" t="str">
        <f t="shared" si="315"/>
        <v>04732240967</v>
      </c>
      <c r="I3087" t="str">
        <f t="shared" si="315"/>
        <v>04732240967</v>
      </c>
      <c r="K3087" t="str">
        <f>""</f>
        <v/>
      </c>
      <c r="M3087" t="s">
        <v>68</v>
      </c>
      <c r="N3087" t="str">
        <f t="shared" si="314"/>
        <v>FOR</v>
      </c>
      <c r="O3087" t="s">
        <v>69</v>
      </c>
      <c r="P3087" s="3" t="s">
        <v>75</v>
      </c>
      <c r="Q3087">
        <v>2015</v>
      </c>
      <c r="R3087" s="2">
        <v>42321</v>
      </c>
      <c r="S3087" s="2">
        <v>42333</v>
      </c>
      <c r="T3087" s="2">
        <v>42332</v>
      </c>
      <c r="U3087" s="2">
        <v>42392</v>
      </c>
      <c r="V3087" t="s">
        <v>71</v>
      </c>
      <c r="W3087" t="str">
        <f>"          0087026733"</f>
        <v xml:space="preserve">          0087026733</v>
      </c>
      <c r="X3087" s="1">
        <v>5748.11</v>
      </c>
      <c r="Y3087">
        <v>0</v>
      </c>
      <c r="Z3087" s="5">
        <v>5225.55</v>
      </c>
      <c r="AA3087">
        <v>256</v>
      </c>
      <c r="AB3087" s="5">
        <v>1337740.8</v>
      </c>
      <c r="AC3087" s="1">
        <v>5225.55</v>
      </c>
      <c r="AD3087">
        <v>256</v>
      </c>
      <c r="AE3087" s="1">
        <v>1337740.8</v>
      </c>
      <c r="AF3087">
        <v>0</v>
      </c>
      <c r="AJ3087">
        <v>0</v>
      </c>
      <c r="AK3087">
        <v>0</v>
      </c>
      <c r="AL3087">
        <v>0</v>
      </c>
      <c r="AM3087">
        <v>0</v>
      </c>
      <c r="AN3087">
        <v>0</v>
      </c>
      <c r="AO3087">
        <v>0</v>
      </c>
      <c r="AP3087" s="2">
        <v>42746</v>
      </c>
      <c r="AQ3087" t="s">
        <v>72</v>
      </c>
      <c r="AR3087" t="s">
        <v>72</v>
      </c>
      <c r="AS3087">
        <v>2694</v>
      </c>
      <c r="AT3087" s="4">
        <v>42648</v>
      </c>
      <c r="AU3087" t="s">
        <v>73</v>
      </c>
      <c r="AV3087">
        <v>2694</v>
      </c>
      <c r="AW3087" s="4">
        <v>42648</v>
      </c>
      <c r="BD3087">
        <v>0</v>
      </c>
      <c r="BN3087" t="s">
        <v>74</v>
      </c>
    </row>
    <row r="3088" spans="1:66">
      <c r="A3088">
        <v>101113</v>
      </c>
      <c r="B3088" s="3" t="s">
        <v>367</v>
      </c>
      <c r="C3088" s="1">
        <v>43300101</v>
      </c>
      <c r="D3088" t="s">
        <v>67</v>
      </c>
      <c r="H3088" t="str">
        <f t="shared" si="315"/>
        <v>04732240967</v>
      </c>
      <c r="I3088" t="str">
        <f t="shared" si="315"/>
        <v>04732240967</v>
      </c>
      <c r="K3088" t="str">
        <f>""</f>
        <v/>
      </c>
      <c r="M3088" t="s">
        <v>68</v>
      </c>
      <c r="N3088" t="str">
        <f t="shared" si="314"/>
        <v>FOR</v>
      </c>
      <c r="O3088" t="s">
        <v>69</v>
      </c>
      <c r="P3088" s="3" t="s">
        <v>75</v>
      </c>
      <c r="Q3088">
        <v>2015</v>
      </c>
      <c r="R3088" s="2">
        <v>42341</v>
      </c>
      <c r="S3088" s="2">
        <v>42342</v>
      </c>
      <c r="T3088" s="2">
        <v>42341</v>
      </c>
      <c r="U3088" s="2">
        <v>42401</v>
      </c>
      <c r="V3088" t="s">
        <v>71</v>
      </c>
      <c r="W3088" t="str">
        <f>"          0087027305"</f>
        <v xml:space="preserve">          0087027305</v>
      </c>
      <c r="X3088" s="1">
        <v>5748.11</v>
      </c>
      <c r="Y3088">
        <v>0</v>
      </c>
      <c r="Z3088" s="5">
        <v>5225.55</v>
      </c>
      <c r="AA3088">
        <v>291</v>
      </c>
      <c r="AB3088" s="5">
        <v>1520635.05</v>
      </c>
      <c r="AC3088" s="1">
        <v>5225.55</v>
      </c>
      <c r="AD3088">
        <v>291</v>
      </c>
      <c r="AE3088" s="1">
        <v>1520635.05</v>
      </c>
      <c r="AF3088">
        <v>0</v>
      </c>
      <c r="AJ3088">
        <v>0</v>
      </c>
      <c r="AK3088">
        <v>0</v>
      </c>
      <c r="AL3088">
        <v>0</v>
      </c>
      <c r="AM3088">
        <v>0</v>
      </c>
      <c r="AN3088">
        <v>0</v>
      </c>
      <c r="AO3088">
        <v>0</v>
      </c>
      <c r="AP3088" s="2">
        <v>42746</v>
      </c>
      <c r="AQ3088" t="s">
        <v>72</v>
      </c>
      <c r="AR3088" t="s">
        <v>72</v>
      </c>
      <c r="AS3088">
        <v>3173</v>
      </c>
      <c r="AT3088" s="4">
        <v>42692</v>
      </c>
      <c r="AU3088" t="s">
        <v>73</v>
      </c>
      <c r="AV3088">
        <v>3173</v>
      </c>
      <c r="AW3088" s="4">
        <v>42692</v>
      </c>
      <c r="BD3088">
        <v>0</v>
      </c>
      <c r="BN3088" t="s">
        <v>74</v>
      </c>
    </row>
    <row r="3089" spans="1:66">
      <c r="A3089">
        <v>101113</v>
      </c>
      <c r="B3089" s="3" t="s">
        <v>367</v>
      </c>
      <c r="C3089" s="1">
        <v>43300101</v>
      </c>
      <c r="D3089" t="s">
        <v>67</v>
      </c>
      <c r="H3089" t="str">
        <f t="shared" si="315"/>
        <v>04732240967</v>
      </c>
      <c r="I3089" t="str">
        <f t="shared" si="315"/>
        <v>04732240967</v>
      </c>
      <c r="K3089" t="str">
        <f>""</f>
        <v/>
      </c>
      <c r="M3089" t="s">
        <v>68</v>
      </c>
      <c r="N3089" t="str">
        <f t="shared" si="314"/>
        <v>FOR</v>
      </c>
      <c r="O3089" t="s">
        <v>69</v>
      </c>
      <c r="P3089" s="3" t="s">
        <v>75</v>
      </c>
      <c r="Q3089">
        <v>2015</v>
      </c>
      <c r="R3089" s="2">
        <v>42353</v>
      </c>
      <c r="S3089" s="2">
        <v>42354</v>
      </c>
      <c r="T3089" s="2">
        <v>42354</v>
      </c>
      <c r="U3089" s="2">
        <v>42414</v>
      </c>
      <c r="V3089" t="s">
        <v>71</v>
      </c>
      <c r="W3089" t="str">
        <f>"          0087027731"</f>
        <v xml:space="preserve">          0087027731</v>
      </c>
      <c r="X3089" s="1">
        <v>3065.65</v>
      </c>
      <c r="Y3089">
        <v>0</v>
      </c>
      <c r="Z3089" s="5">
        <v>2786.96</v>
      </c>
      <c r="AA3089">
        <v>278</v>
      </c>
      <c r="AB3089" s="5">
        <v>774774.88</v>
      </c>
      <c r="AC3089" s="1">
        <v>2786.96</v>
      </c>
      <c r="AD3089">
        <v>278</v>
      </c>
      <c r="AE3089" s="1">
        <v>774774.88</v>
      </c>
      <c r="AF3089">
        <v>0</v>
      </c>
      <c r="AJ3089">
        <v>0</v>
      </c>
      <c r="AK3089">
        <v>0</v>
      </c>
      <c r="AL3089">
        <v>0</v>
      </c>
      <c r="AM3089">
        <v>0</v>
      </c>
      <c r="AN3089">
        <v>0</v>
      </c>
      <c r="AO3089">
        <v>0</v>
      </c>
      <c r="AP3089" s="2">
        <v>42746</v>
      </c>
      <c r="AQ3089" t="s">
        <v>72</v>
      </c>
      <c r="AR3089" t="s">
        <v>72</v>
      </c>
      <c r="AS3089">
        <v>3173</v>
      </c>
      <c r="AT3089" s="4">
        <v>42692</v>
      </c>
      <c r="AU3089" t="s">
        <v>73</v>
      </c>
      <c r="AV3089">
        <v>3173</v>
      </c>
      <c r="AW3089" s="4">
        <v>42692</v>
      </c>
      <c r="BD3089">
        <v>0</v>
      </c>
      <c r="BN3089" t="s">
        <v>74</v>
      </c>
    </row>
    <row r="3090" spans="1:66" hidden="1">
      <c r="A3090">
        <v>101116</v>
      </c>
      <c r="B3090" s="3" t="s">
        <v>368</v>
      </c>
      <c r="C3090" s="1">
        <v>43300101</v>
      </c>
      <c r="D3090" t="s">
        <v>67</v>
      </c>
      <c r="H3090" t="str">
        <f>"01192310124"</f>
        <v>01192310124</v>
      </c>
      <c r="I3090" t="str">
        <f>"01192310124"</f>
        <v>01192310124</v>
      </c>
      <c r="K3090" t="str">
        <f>""</f>
        <v/>
      </c>
      <c r="M3090" t="s">
        <v>68</v>
      </c>
      <c r="N3090" t="str">
        <f t="shared" si="314"/>
        <v>FOR</v>
      </c>
      <c r="O3090" t="s">
        <v>69</v>
      </c>
      <c r="P3090" s="3" t="s">
        <v>75</v>
      </c>
      <c r="Q3090">
        <v>2015</v>
      </c>
      <c r="R3090" s="2">
        <v>42170</v>
      </c>
      <c r="S3090" s="2">
        <v>42298</v>
      </c>
      <c r="T3090" s="2">
        <v>42297</v>
      </c>
      <c r="U3090" s="2">
        <v>42357</v>
      </c>
      <c r="V3090" t="s">
        <v>71</v>
      </c>
      <c r="W3090" t="str">
        <f>"                2887"</f>
        <v xml:space="preserve">                2887</v>
      </c>
      <c r="X3090">
        <v>875.52</v>
      </c>
      <c r="Y3090">
        <v>0</v>
      </c>
      <c r="Z3090"/>
      <c r="AB3090"/>
      <c r="AC3090">
        <v>795.93</v>
      </c>
      <c r="AD3090">
        <v>163</v>
      </c>
      <c r="AE3090" s="1">
        <v>129736.59</v>
      </c>
      <c r="AF3090">
        <v>0</v>
      </c>
      <c r="AJ3090">
        <v>0</v>
      </c>
      <c r="AK3090">
        <v>0</v>
      </c>
      <c r="AL3090">
        <v>0</v>
      </c>
      <c r="AM3090">
        <v>0</v>
      </c>
      <c r="AN3090">
        <v>0</v>
      </c>
      <c r="AO3090">
        <v>0</v>
      </c>
      <c r="AP3090" s="2">
        <v>42746</v>
      </c>
      <c r="AQ3090" t="s">
        <v>72</v>
      </c>
      <c r="AR3090" t="s">
        <v>72</v>
      </c>
      <c r="AS3090">
        <v>1439</v>
      </c>
      <c r="AT3090" s="4">
        <v>42520</v>
      </c>
      <c r="AU3090" t="s">
        <v>73</v>
      </c>
      <c r="AV3090">
        <v>1439</v>
      </c>
      <c r="AW3090" s="4">
        <v>42520</v>
      </c>
      <c r="BD3090">
        <v>0</v>
      </c>
      <c r="BN3090" t="s">
        <v>74</v>
      </c>
    </row>
    <row r="3091" spans="1:66" hidden="1">
      <c r="A3091">
        <v>101116</v>
      </c>
      <c r="B3091" s="3" t="s">
        <v>368</v>
      </c>
      <c r="C3091" s="1">
        <v>43300101</v>
      </c>
      <c r="D3091" t="s">
        <v>67</v>
      </c>
      <c r="H3091" t="str">
        <f>"01192310124"</f>
        <v>01192310124</v>
      </c>
      <c r="I3091" t="str">
        <f>"01192310124"</f>
        <v>01192310124</v>
      </c>
      <c r="K3091" t="str">
        <f>""</f>
        <v/>
      </c>
      <c r="M3091" t="s">
        <v>68</v>
      </c>
      <c r="N3091" t="str">
        <f t="shared" si="314"/>
        <v>FOR</v>
      </c>
      <c r="O3091" t="s">
        <v>69</v>
      </c>
      <c r="P3091" s="3" t="s">
        <v>75</v>
      </c>
      <c r="Q3091">
        <v>2015</v>
      </c>
      <c r="R3091" s="2">
        <v>42277</v>
      </c>
      <c r="S3091" s="2">
        <v>42298</v>
      </c>
      <c r="T3091" s="2">
        <v>42297</v>
      </c>
      <c r="U3091" s="2">
        <v>42357</v>
      </c>
      <c r="V3091" t="s">
        <v>71</v>
      </c>
      <c r="W3091" t="str">
        <f>"                4649"</f>
        <v xml:space="preserve">                4649</v>
      </c>
      <c r="X3091">
        <v>875.52</v>
      </c>
      <c r="Y3091">
        <v>0</v>
      </c>
      <c r="Z3091"/>
      <c r="AB3091"/>
      <c r="AC3091">
        <v>795.93</v>
      </c>
      <c r="AD3091">
        <v>163</v>
      </c>
      <c r="AE3091" s="1">
        <v>129736.59</v>
      </c>
      <c r="AF3091">
        <v>0</v>
      </c>
      <c r="AJ3091">
        <v>0</v>
      </c>
      <c r="AK3091">
        <v>0</v>
      </c>
      <c r="AL3091">
        <v>0</v>
      </c>
      <c r="AM3091">
        <v>0</v>
      </c>
      <c r="AN3091">
        <v>0</v>
      </c>
      <c r="AO3091">
        <v>0</v>
      </c>
      <c r="AP3091" s="2">
        <v>42746</v>
      </c>
      <c r="AQ3091" t="s">
        <v>72</v>
      </c>
      <c r="AR3091" t="s">
        <v>72</v>
      </c>
      <c r="AS3091">
        <v>1439</v>
      </c>
      <c r="AT3091" s="4">
        <v>42520</v>
      </c>
      <c r="AU3091" t="s">
        <v>73</v>
      </c>
      <c r="AV3091">
        <v>1439</v>
      </c>
      <c r="AW3091" s="4">
        <v>42520</v>
      </c>
      <c r="BD3091">
        <v>0</v>
      </c>
      <c r="BN3091" t="s">
        <v>74</v>
      </c>
    </row>
    <row r="3092" spans="1:66" hidden="1">
      <c r="A3092">
        <v>101130</v>
      </c>
      <c r="B3092" s="3" t="s">
        <v>369</v>
      </c>
      <c r="C3092" s="1">
        <v>43300101</v>
      </c>
      <c r="D3092" t="s">
        <v>67</v>
      </c>
      <c r="H3092" t="str">
        <f t="shared" ref="H3092:I3111" si="316">"09238800156"</f>
        <v>09238800156</v>
      </c>
      <c r="I3092" t="str">
        <f t="shared" si="316"/>
        <v>09238800156</v>
      </c>
      <c r="K3092" t="str">
        <f>""</f>
        <v/>
      </c>
      <c r="M3092" t="s">
        <v>68</v>
      </c>
      <c r="N3092" t="str">
        <f t="shared" si="314"/>
        <v>FOR</v>
      </c>
      <c r="O3092" t="s">
        <v>69</v>
      </c>
      <c r="P3092" s="3" t="s">
        <v>70</v>
      </c>
      <c r="Q3092">
        <v>2014</v>
      </c>
      <c r="R3092" s="2">
        <v>41886</v>
      </c>
      <c r="S3092" s="2">
        <v>42369</v>
      </c>
      <c r="T3092" s="2">
        <v>42369</v>
      </c>
      <c r="U3092" s="2">
        <v>42429</v>
      </c>
      <c r="V3092" t="s">
        <v>71</v>
      </c>
      <c r="W3092" t="str">
        <f>"          1023495388"</f>
        <v xml:space="preserve">          1023495388</v>
      </c>
      <c r="X3092">
        <v>241.8</v>
      </c>
      <c r="Y3092">
        <v>0</v>
      </c>
      <c r="Z3092"/>
      <c r="AB3092"/>
      <c r="AC3092">
        <v>241.8</v>
      </c>
      <c r="AE3092">
        <v>0</v>
      </c>
      <c r="AF3092">
        <v>0</v>
      </c>
      <c r="AJ3092">
        <v>0</v>
      </c>
      <c r="AK3092">
        <v>0</v>
      </c>
      <c r="AL3092">
        <v>0</v>
      </c>
      <c r="AM3092">
        <v>0</v>
      </c>
      <c r="AN3092">
        <v>0</v>
      </c>
      <c r="AO3092">
        <v>0</v>
      </c>
      <c r="AP3092" s="2">
        <v>42746</v>
      </c>
      <c r="AQ3092" t="s">
        <v>72</v>
      </c>
      <c r="AR3092" t="s">
        <v>72</v>
      </c>
      <c r="AS3092">
        <v>592</v>
      </c>
      <c r="AT3092" s="4">
        <v>42429</v>
      </c>
      <c r="AV3092">
        <v>592</v>
      </c>
      <c r="AW3092" s="4">
        <v>42429</v>
      </c>
      <c r="BD3092">
        <v>0</v>
      </c>
      <c r="BN3092" t="s">
        <v>74</v>
      </c>
    </row>
    <row r="3093" spans="1:66" hidden="1">
      <c r="A3093">
        <v>101130</v>
      </c>
      <c r="B3093" s="3" t="s">
        <v>369</v>
      </c>
      <c r="C3093" s="1">
        <v>43300101</v>
      </c>
      <c r="D3093" t="s">
        <v>67</v>
      </c>
      <c r="H3093" t="str">
        <f t="shared" si="316"/>
        <v>09238800156</v>
      </c>
      <c r="I3093" t="str">
        <f t="shared" si="316"/>
        <v>09238800156</v>
      </c>
      <c r="K3093" t="str">
        <f>""</f>
        <v/>
      </c>
      <c r="M3093" t="s">
        <v>68</v>
      </c>
      <c r="N3093" t="str">
        <f t="shared" si="314"/>
        <v>FOR</v>
      </c>
      <c r="O3093" t="s">
        <v>69</v>
      </c>
      <c r="P3093" s="3" t="s">
        <v>70</v>
      </c>
      <c r="Q3093">
        <v>2014</v>
      </c>
      <c r="R3093" s="2">
        <v>41886</v>
      </c>
      <c r="S3093" s="2">
        <v>42369</v>
      </c>
      <c r="T3093" s="2">
        <v>42369</v>
      </c>
      <c r="U3093" s="2">
        <v>42429</v>
      </c>
      <c r="V3093" t="s">
        <v>71</v>
      </c>
      <c r="W3093" t="str">
        <f>"          1023495389"</f>
        <v xml:space="preserve">          1023495389</v>
      </c>
      <c r="X3093">
        <v>183</v>
      </c>
      <c r="Y3093">
        <v>0</v>
      </c>
      <c r="Z3093"/>
      <c r="AB3093"/>
      <c r="AC3093">
        <v>183</v>
      </c>
      <c r="AE3093">
        <v>0</v>
      </c>
      <c r="AF3093">
        <v>0</v>
      </c>
      <c r="AJ3093">
        <v>0</v>
      </c>
      <c r="AK3093">
        <v>0</v>
      </c>
      <c r="AL3093">
        <v>0</v>
      </c>
      <c r="AM3093">
        <v>0</v>
      </c>
      <c r="AN3093">
        <v>0</v>
      </c>
      <c r="AO3093">
        <v>0</v>
      </c>
      <c r="AP3093" s="2">
        <v>42746</v>
      </c>
      <c r="AQ3093" t="s">
        <v>72</v>
      </c>
      <c r="AR3093" t="s">
        <v>72</v>
      </c>
      <c r="AS3093">
        <v>592</v>
      </c>
      <c r="AT3093" s="4">
        <v>42429</v>
      </c>
      <c r="AV3093">
        <v>592</v>
      </c>
      <c r="AW3093" s="4">
        <v>42429</v>
      </c>
      <c r="BD3093">
        <v>0</v>
      </c>
      <c r="BN3093" t="s">
        <v>74</v>
      </c>
    </row>
    <row r="3094" spans="1:66" hidden="1">
      <c r="A3094">
        <v>101130</v>
      </c>
      <c r="B3094" s="3" t="s">
        <v>369</v>
      </c>
      <c r="C3094" s="1">
        <v>43300101</v>
      </c>
      <c r="D3094" t="s">
        <v>67</v>
      </c>
      <c r="H3094" t="str">
        <f t="shared" si="316"/>
        <v>09238800156</v>
      </c>
      <c r="I3094" t="str">
        <f t="shared" si="316"/>
        <v>09238800156</v>
      </c>
      <c r="K3094" t="str">
        <f>""</f>
        <v/>
      </c>
      <c r="M3094" t="s">
        <v>68</v>
      </c>
      <c r="N3094" t="str">
        <f t="shared" si="314"/>
        <v>FOR</v>
      </c>
      <c r="O3094" t="s">
        <v>69</v>
      </c>
      <c r="P3094" s="3" t="s">
        <v>70</v>
      </c>
      <c r="Q3094">
        <v>2015</v>
      </c>
      <c r="R3094" s="2">
        <v>42069</v>
      </c>
      <c r="S3094" s="2">
        <v>42081</v>
      </c>
      <c r="T3094" s="2">
        <v>42081</v>
      </c>
      <c r="U3094" s="2">
        <v>42141</v>
      </c>
      <c r="V3094" t="s">
        <v>71</v>
      </c>
      <c r="W3094" t="str">
        <f>"          1023626799"</f>
        <v xml:space="preserve">          1023626799</v>
      </c>
      <c r="X3094" s="1">
        <v>6954</v>
      </c>
      <c r="Y3094">
        <v>0</v>
      </c>
      <c r="Z3094"/>
      <c r="AB3094"/>
      <c r="AC3094" s="1">
        <v>5700</v>
      </c>
      <c r="AD3094">
        <v>261</v>
      </c>
      <c r="AE3094" s="1">
        <v>1487700</v>
      </c>
      <c r="AF3094">
        <v>0</v>
      </c>
      <c r="AJ3094">
        <v>0</v>
      </c>
      <c r="AK3094">
        <v>0</v>
      </c>
      <c r="AL3094">
        <v>0</v>
      </c>
      <c r="AM3094">
        <v>0</v>
      </c>
      <c r="AN3094">
        <v>0</v>
      </c>
      <c r="AO3094">
        <v>0</v>
      </c>
      <c r="AP3094" s="2">
        <v>42746</v>
      </c>
      <c r="AQ3094" t="s">
        <v>72</v>
      </c>
      <c r="AR3094" t="s">
        <v>72</v>
      </c>
      <c r="AS3094">
        <v>209</v>
      </c>
      <c r="AT3094" s="4">
        <v>42402</v>
      </c>
      <c r="AU3094" t="s">
        <v>73</v>
      </c>
      <c r="AV3094">
        <v>209</v>
      </c>
      <c r="AW3094" s="4">
        <v>42402</v>
      </c>
      <c r="BD3094">
        <v>0</v>
      </c>
      <c r="BN3094" t="s">
        <v>74</v>
      </c>
    </row>
    <row r="3095" spans="1:66" hidden="1">
      <c r="A3095">
        <v>101130</v>
      </c>
      <c r="B3095" s="3" t="s">
        <v>369</v>
      </c>
      <c r="C3095" s="1">
        <v>43300101</v>
      </c>
      <c r="D3095" t="s">
        <v>67</v>
      </c>
      <c r="H3095" t="str">
        <f t="shared" si="316"/>
        <v>09238800156</v>
      </c>
      <c r="I3095" t="str">
        <f t="shared" si="316"/>
        <v>09238800156</v>
      </c>
      <c r="K3095" t="str">
        <f>""</f>
        <v/>
      </c>
      <c r="M3095" t="s">
        <v>68</v>
      </c>
      <c r="N3095" t="str">
        <f t="shared" si="314"/>
        <v>FOR</v>
      </c>
      <c r="O3095" t="s">
        <v>69</v>
      </c>
      <c r="P3095" s="3" t="s">
        <v>70</v>
      </c>
      <c r="Q3095">
        <v>2015</v>
      </c>
      <c r="R3095" s="2">
        <v>42072</v>
      </c>
      <c r="S3095" s="2">
        <v>42081</v>
      </c>
      <c r="T3095" s="2">
        <v>42081</v>
      </c>
      <c r="U3095" s="2">
        <v>42141</v>
      </c>
      <c r="V3095" t="s">
        <v>71</v>
      </c>
      <c r="W3095" t="str">
        <f>"          1023627416"</f>
        <v xml:space="preserve">          1023627416</v>
      </c>
      <c r="X3095" s="1">
        <v>3105.11</v>
      </c>
      <c r="Y3095">
        <v>0</v>
      </c>
      <c r="Z3095"/>
      <c r="AB3095"/>
      <c r="AC3095" s="1">
        <v>2985.68</v>
      </c>
      <c r="AD3095">
        <v>261</v>
      </c>
      <c r="AE3095" s="1">
        <v>779262.48</v>
      </c>
      <c r="AF3095">
        <v>0</v>
      </c>
      <c r="AJ3095">
        <v>0</v>
      </c>
      <c r="AK3095">
        <v>0</v>
      </c>
      <c r="AL3095">
        <v>0</v>
      </c>
      <c r="AM3095">
        <v>0</v>
      </c>
      <c r="AN3095">
        <v>0</v>
      </c>
      <c r="AO3095">
        <v>0</v>
      </c>
      <c r="AP3095" s="2">
        <v>42746</v>
      </c>
      <c r="AQ3095" t="s">
        <v>72</v>
      </c>
      <c r="AR3095" t="s">
        <v>72</v>
      </c>
      <c r="AS3095">
        <v>209</v>
      </c>
      <c r="AT3095" s="4">
        <v>42402</v>
      </c>
      <c r="AU3095" t="s">
        <v>73</v>
      </c>
      <c r="AV3095">
        <v>209</v>
      </c>
      <c r="AW3095" s="4">
        <v>42402</v>
      </c>
      <c r="BD3095">
        <v>0</v>
      </c>
      <c r="BN3095" t="s">
        <v>74</v>
      </c>
    </row>
    <row r="3096" spans="1:66" hidden="1">
      <c r="A3096">
        <v>101130</v>
      </c>
      <c r="B3096" s="3" t="s">
        <v>369</v>
      </c>
      <c r="C3096" s="1">
        <v>43300101</v>
      </c>
      <c r="D3096" t="s">
        <v>67</v>
      </c>
      <c r="H3096" t="str">
        <f t="shared" si="316"/>
        <v>09238800156</v>
      </c>
      <c r="I3096" t="str">
        <f t="shared" si="316"/>
        <v>09238800156</v>
      </c>
      <c r="K3096" t="str">
        <f>""</f>
        <v/>
      </c>
      <c r="M3096" t="s">
        <v>68</v>
      </c>
      <c r="N3096" t="str">
        <f t="shared" si="314"/>
        <v>FOR</v>
      </c>
      <c r="O3096" t="s">
        <v>69</v>
      </c>
      <c r="P3096" s="3" t="s">
        <v>70</v>
      </c>
      <c r="Q3096">
        <v>2015</v>
      </c>
      <c r="R3096" s="2">
        <v>42073</v>
      </c>
      <c r="S3096" s="2">
        <v>42088</v>
      </c>
      <c r="T3096" s="2">
        <v>42088</v>
      </c>
      <c r="U3096" s="2">
        <v>42148</v>
      </c>
      <c r="V3096" t="s">
        <v>71</v>
      </c>
      <c r="W3096" t="str">
        <f>"          1023627943"</f>
        <v xml:space="preserve">          1023627943</v>
      </c>
      <c r="X3096" s="1">
        <v>5200.38</v>
      </c>
      <c r="Y3096">
        <v>0</v>
      </c>
      <c r="Z3096"/>
      <c r="AB3096"/>
      <c r="AC3096" s="1">
        <v>4262.6099999999997</v>
      </c>
      <c r="AD3096">
        <v>254</v>
      </c>
      <c r="AE3096" s="1">
        <v>1082702.94</v>
      </c>
      <c r="AF3096">
        <v>0</v>
      </c>
      <c r="AJ3096">
        <v>0</v>
      </c>
      <c r="AK3096">
        <v>0</v>
      </c>
      <c r="AL3096">
        <v>0</v>
      </c>
      <c r="AM3096">
        <v>0</v>
      </c>
      <c r="AN3096">
        <v>0</v>
      </c>
      <c r="AO3096">
        <v>0</v>
      </c>
      <c r="AP3096" s="2">
        <v>42746</v>
      </c>
      <c r="AQ3096" t="s">
        <v>72</v>
      </c>
      <c r="AR3096" t="s">
        <v>72</v>
      </c>
      <c r="AS3096">
        <v>209</v>
      </c>
      <c r="AT3096" s="4">
        <v>42402</v>
      </c>
      <c r="AU3096" t="s">
        <v>73</v>
      </c>
      <c r="AV3096">
        <v>209</v>
      </c>
      <c r="AW3096" s="4">
        <v>42402</v>
      </c>
      <c r="BD3096">
        <v>0</v>
      </c>
      <c r="BN3096" t="s">
        <v>74</v>
      </c>
    </row>
    <row r="3097" spans="1:66" hidden="1">
      <c r="A3097">
        <v>101130</v>
      </c>
      <c r="B3097" s="3" t="s">
        <v>369</v>
      </c>
      <c r="C3097" s="1">
        <v>43300101</v>
      </c>
      <c r="D3097" t="s">
        <v>67</v>
      </c>
      <c r="H3097" t="str">
        <f t="shared" si="316"/>
        <v>09238800156</v>
      </c>
      <c r="I3097" t="str">
        <f t="shared" si="316"/>
        <v>09238800156</v>
      </c>
      <c r="K3097" t="str">
        <f>""</f>
        <v/>
      </c>
      <c r="M3097" t="s">
        <v>68</v>
      </c>
      <c r="N3097" t="str">
        <f t="shared" si="314"/>
        <v>FOR</v>
      </c>
      <c r="O3097" t="s">
        <v>69</v>
      </c>
      <c r="P3097" s="3" t="s">
        <v>75</v>
      </c>
      <c r="Q3097">
        <v>2015</v>
      </c>
      <c r="R3097" s="2">
        <v>42095</v>
      </c>
      <c r="S3097" s="2">
        <v>42160</v>
      </c>
      <c r="T3097" s="2">
        <v>42151</v>
      </c>
      <c r="U3097" s="2">
        <v>42211</v>
      </c>
      <c r="V3097" t="s">
        <v>71</v>
      </c>
      <c r="W3097" t="str">
        <f>"          1023639126"</f>
        <v xml:space="preserve">          1023639126</v>
      </c>
      <c r="X3097" s="1">
        <v>5951.65</v>
      </c>
      <c r="Y3097">
        <v>0</v>
      </c>
      <c r="Z3097"/>
      <c r="AB3097"/>
      <c r="AC3097" s="1">
        <v>4878.3999999999996</v>
      </c>
      <c r="AD3097">
        <v>205</v>
      </c>
      <c r="AE3097" s="1">
        <v>1000072</v>
      </c>
      <c r="AF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 s="2">
        <v>42746</v>
      </c>
      <c r="AQ3097" t="s">
        <v>72</v>
      </c>
      <c r="AR3097" t="s">
        <v>72</v>
      </c>
      <c r="AS3097">
        <v>401</v>
      </c>
      <c r="AT3097" s="4">
        <v>42416</v>
      </c>
      <c r="AU3097" t="s">
        <v>73</v>
      </c>
      <c r="AV3097">
        <v>401</v>
      </c>
      <c r="AW3097" s="4">
        <v>42416</v>
      </c>
      <c r="BD3097">
        <v>0</v>
      </c>
      <c r="BN3097" t="s">
        <v>74</v>
      </c>
    </row>
    <row r="3098" spans="1:66" hidden="1">
      <c r="A3098">
        <v>101130</v>
      </c>
      <c r="B3098" s="3" t="s">
        <v>369</v>
      </c>
      <c r="C3098" s="1">
        <v>43300101</v>
      </c>
      <c r="D3098" t="s">
        <v>67</v>
      </c>
      <c r="H3098" t="str">
        <f t="shared" si="316"/>
        <v>09238800156</v>
      </c>
      <c r="I3098" t="str">
        <f t="shared" si="316"/>
        <v>09238800156</v>
      </c>
      <c r="K3098" t="str">
        <f>""</f>
        <v/>
      </c>
      <c r="M3098" t="s">
        <v>68</v>
      </c>
      <c r="N3098" t="str">
        <f t="shared" si="314"/>
        <v>FOR</v>
      </c>
      <c r="O3098" t="s">
        <v>69</v>
      </c>
      <c r="P3098" s="3" t="s">
        <v>75</v>
      </c>
      <c r="Q3098">
        <v>2015</v>
      </c>
      <c r="R3098" s="2">
        <v>42102</v>
      </c>
      <c r="S3098" s="2">
        <v>42160</v>
      </c>
      <c r="T3098" s="2">
        <v>42151</v>
      </c>
      <c r="U3098" s="2">
        <v>42211</v>
      </c>
      <c r="V3098" t="s">
        <v>71</v>
      </c>
      <c r="W3098" t="str">
        <f>"          1023641250"</f>
        <v xml:space="preserve">          1023641250</v>
      </c>
      <c r="X3098" s="1">
        <v>3510</v>
      </c>
      <c r="Y3098">
        <v>0</v>
      </c>
      <c r="Z3098"/>
      <c r="AB3098"/>
      <c r="AC3098" s="1">
        <v>3375</v>
      </c>
      <c r="AD3098">
        <v>205</v>
      </c>
      <c r="AE3098" s="1">
        <v>691875</v>
      </c>
      <c r="AF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 s="2">
        <v>42746</v>
      </c>
      <c r="AQ3098" t="s">
        <v>72</v>
      </c>
      <c r="AR3098" t="s">
        <v>72</v>
      </c>
      <c r="AS3098">
        <v>401</v>
      </c>
      <c r="AT3098" s="4">
        <v>42416</v>
      </c>
      <c r="AU3098" t="s">
        <v>73</v>
      </c>
      <c r="AV3098">
        <v>401</v>
      </c>
      <c r="AW3098" s="4">
        <v>42416</v>
      </c>
      <c r="BD3098">
        <v>0</v>
      </c>
      <c r="BN3098" t="s">
        <v>74</v>
      </c>
    </row>
    <row r="3099" spans="1:66" hidden="1">
      <c r="A3099">
        <v>101130</v>
      </c>
      <c r="B3099" s="3" t="s">
        <v>369</v>
      </c>
      <c r="C3099" s="1">
        <v>43300101</v>
      </c>
      <c r="D3099" t="s">
        <v>67</v>
      </c>
      <c r="H3099" t="str">
        <f t="shared" si="316"/>
        <v>09238800156</v>
      </c>
      <c r="I3099" t="str">
        <f t="shared" si="316"/>
        <v>09238800156</v>
      </c>
      <c r="K3099" t="str">
        <f>""</f>
        <v/>
      </c>
      <c r="M3099" t="s">
        <v>68</v>
      </c>
      <c r="N3099" t="str">
        <f t="shared" si="314"/>
        <v>FOR</v>
      </c>
      <c r="O3099" t="s">
        <v>69</v>
      </c>
      <c r="P3099" s="3" t="s">
        <v>75</v>
      </c>
      <c r="Q3099">
        <v>2015</v>
      </c>
      <c r="R3099" s="2">
        <v>42102</v>
      </c>
      <c r="S3099" s="2">
        <v>42160</v>
      </c>
      <c r="T3099" s="2">
        <v>42151</v>
      </c>
      <c r="U3099" s="2">
        <v>42211</v>
      </c>
      <c r="V3099" t="s">
        <v>71</v>
      </c>
      <c r="W3099" t="str">
        <f>"          1023641566"</f>
        <v xml:space="preserve">          1023641566</v>
      </c>
      <c r="X3099" s="1">
        <v>7228</v>
      </c>
      <c r="Y3099">
        <v>0</v>
      </c>
      <c r="Z3099"/>
      <c r="AB3099"/>
      <c r="AC3099" s="1">
        <v>6950</v>
      </c>
      <c r="AD3099">
        <v>205</v>
      </c>
      <c r="AE3099" s="1">
        <v>1424750</v>
      </c>
      <c r="AF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 s="2">
        <v>42746</v>
      </c>
      <c r="AQ3099" t="s">
        <v>72</v>
      </c>
      <c r="AR3099" t="s">
        <v>72</v>
      </c>
      <c r="AS3099">
        <v>401</v>
      </c>
      <c r="AT3099" s="4">
        <v>42416</v>
      </c>
      <c r="AU3099" t="s">
        <v>73</v>
      </c>
      <c r="AV3099">
        <v>401</v>
      </c>
      <c r="AW3099" s="4">
        <v>42416</v>
      </c>
      <c r="BD3099">
        <v>0</v>
      </c>
      <c r="BN3099" t="s">
        <v>74</v>
      </c>
    </row>
    <row r="3100" spans="1:66" hidden="1">
      <c r="A3100">
        <v>101130</v>
      </c>
      <c r="B3100" s="3" t="s">
        <v>369</v>
      </c>
      <c r="C3100" s="1">
        <v>43300101</v>
      </c>
      <c r="D3100" t="s">
        <v>67</v>
      </c>
      <c r="H3100" t="str">
        <f t="shared" si="316"/>
        <v>09238800156</v>
      </c>
      <c r="I3100" t="str">
        <f t="shared" si="316"/>
        <v>09238800156</v>
      </c>
      <c r="K3100" t="str">
        <f>""</f>
        <v/>
      </c>
      <c r="M3100" t="s">
        <v>68</v>
      </c>
      <c r="N3100" t="str">
        <f t="shared" si="314"/>
        <v>FOR</v>
      </c>
      <c r="O3100" t="s">
        <v>69</v>
      </c>
      <c r="P3100" s="3" t="s">
        <v>75</v>
      </c>
      <c r="Q3100">
        <v>2015</v>
      </c>
      <c r="R3100" s="2">
        <v>42107</v>
      </c>
      <c r="S3100" s="2">
        <v>42160</v>
      </c>
      <c r="T3100" s="2">
        <v>42151</v>
      </c>
      <c r="U3100" s="2">
        <v>42211</v>
      </c>
      <c r="V3100" t="s">
        <v>71</v>
      </c>
      <c r="W3100" t="str">
        <f>"          1023643535"</f>
        <v xml:space="preserve">          1023643535</v>
      </c>
      <c r="X3100">
        <v>603.9</v>
      </c>
      <c r="Y3100">
        <v>0</v>
      </c>
      <c r="Z3100"/>
      <c r="AB3100"/>
      <c r="AC3100">
        <v>495</v>
      </c>
      <c r="AD3100">
        <v>205</v>
      </c>
      <c r="AE3100" s="1">
        <v>101475</v>
      </c>
      <c r="AF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0</v>
      </c>
      <c r="AP3100" s="2">
        <v>42746</v>
      </c>
      <c r="AQ3100" t="s">
        <v>72</v>
      </c>
      <c r="AR3100" t="s">
        <v>72</v>
      </c>
      <c r="AS3100">
        <v>401</v>
      </c>
      <c r="AT3100" s="4">
        <v>42416</v>
      </c>
      <c r="AU3100" t="s">
        <v>73</v>
      </c>
      <c r="AV3100">
        <v>401</v>
      </c>
      <c r="AW3100" s="4">
        <v>42416</v>
      </c>
      <c r="BD3100">
        <v>0</v>
      </c>
      <c r="BN3100" t="s">
        <v>74</v>
      </c>
    </row>
    <row r="3101" spans="1:66" hidden="1">
      <c r="A3101">
        <v>101130</v>
      </c>
      <c r="B3101" s="3" t="s">
        <v>369</v>
      </c>
      <c r="C3101" s="1">
        <v>43300101</v>
      </c>
      <c r="D3101" t="s">
        <v>67</v>
      </c>
      <c r="H3101" t="str">
        <f t="shared" si="316"/>
        <v>09238800156</v>
      </c>
      <c r="I3101" t="str">
        <f t="shared" si="316"/>
        <v>09238800156</v>
      </c>
      <c r="K3101" t="str">
        <f>""</f>
        <v/>
      </c>
      <c r="M3101" t="s">
        <v>68</v>
      </c>
      <c r="N3101" t="str">
        <f t="shared" si="314"/>
        <v>FOR</v>
      </c>
      <c r="O3101" t="s">
        <v>69</v>
      </c>
      <c r="P3101" s="3" t="s">
        <v>75</v>
      </c>
      <c r="Q3101">
        <v>2015</v>
      </c>
      <c r="R3101" s="2">
        <v>42110</v>
      </c>
      <c r="S3101" s="2">
        <v>42160</v>
      </c>
      <c r="T3101" s="2">
        <v>42151</v>
      </c>
      <c r="U3101" s="2">
        <v>42211</v>
      </c>
      <c r="V3101" t="s">
        <v>71</v>
      </c>
      <c r="W3101" t="str">
        <f>"          1023645680"</f>
        <v xml:space="preserve">          1023645680</v>
      </c>
      <c r="X3101" s="1">
        <v>7671.71</v>
      </c>
      <c r="Y3101">
        <v>0</v>
      </c>
      <c r="Z3101"/>
      <c r="AB3101"/>
      <c r="AC3101" s="1">
        <v>7376.64</v>
      </c>
      <c r="AD3101">
        <v>205</v>
      </c>
      <c r="AE3101" s="1">
        <v>1512211.2</v>
      </c>
      <c r="AF3101">
        <v>0</v>
      </c>
      <c r="AJ3101">
        <v>0</v>
      </c>
      <c r="AK3101">
        <v>0</v>
      </c>
      <c r="AL3101">
        <v>0</v>
      </c>
      <c r="AM3101">
        <v>0</v>
      </c>
      <c r="AN3101">
        <v>0</v>
      </c>
      <c r="AO3101">
        <v>0</v>
      </c>
      <c r="AP3101" s="2">
        <v>42746</v>
      </c>
      <c r="AQ3101" t="s">
        <v>72</v>
      </c>
      <c r="AR3101" t="s">
        <v>72</v>
      </c>
      <c r="AS3101">
        <v>401</v>
      </c>
      <c r="AT3101" s="4">
        <v>42416</v>
      </c>
      <c r="AU3101" t="s">
        <v>73</v>
      </c>
      <c r="AV3101">
        <v>401</v>
      </c>
      <c r="AW3101" s="4">
        <v>42416</v>
      </c>
      <c r="BD3101">
        <v>0</v>
      </c>
      <c r="BN3101" t="s">
        <v>74</v>
      </c>
    </row>
    <row r="3102" spans="1:66" hidden="1">
      <c r="A3102">
        <v>101130</v>
      </c>
      <c r="B3102" s="3" t="s">
        <v>369</v>
      </c>
      <c r="C3102" s="1">
        <v>43300101</v>
      </c>
      <c r="D3102" t="s">
        <v>67</v>
      </c>
      <c r="H3102" t="str">
        <f t="shared" si="316"/>
        <v>09238800156</v>
      </c>
      <c r="I3102" t="str">
        <f t="shared" si="316"/>
        <v>09238800156</v>
      </c>
      <c r="K3102" t="str">
        <f>""</f>
        <v/>
      </c>
      <c r="M3102" t="s">
        <v>68</v>
      </c>
      <c r="N3102" t="str">
        <f t="shared" si="314"/>
        <v>FOR</v>
      </c>
      <c r="O3102" t="s">
        <v>69</v>
      </c>
      <c r="P3102" s="3" t="s">
        <v>75</v>
      </c>
      <c r="Q3102">
        <v>2015</v>
      </c>
      <c r="R3102" s="2">
        <v>42117</v>
      </c>
      <c r="S3102" s="2">
        <v>42160</v>
      </c>
      <c r="T3102" s="2">
        <v>42151</v>
      </c>
      <c r="U3102" s="2">
        <v>42211</v>
      </c>
      <c r="V3102" t="s">
        <v>71</v>
      </c>
      <c r="W3102" t="str">
        <f>"          1023648955"</f>
        <v xml:space="preserve">          1023648955</v>
      </c>
      <c r="X3102" s="1">
        <v>3510</v>
      </c>
      <c r="Y3102">
        <v>0</v>
      </c>
      <c r="Z3102"/>
      <c r="AB3102"/>
      <c r="AC3102" s="1">
        <v>3375</v>
      </c>
      <c r="AD3102">
        <v>205</v>
      </c>
      <c r="AE3102" s="1">
        <v>691875</v>
      </c>
      <c r="AF3102">
        <v>0</v>
      </c>
      <c r="AJ3102">
        <v>0</v>
      </c>
      <c r="AK3102">
        <v>0</v>
      </c>
      <c r="AL3102">
        <v>0</v>
      </c>
      <c r="AM3102">
        <v>0</v>
      </c>
      <c r="AN3102">
        <v>0</v>
      </c>
      <c r="AO3102">
        <v>0</v>
      </c>
      <c r="AP3102" s="2">
        <v>42746</v>
      </c>
      <c r="AQ3102" t="s">
        <v>72</v>
      </c>
      <c r="AR3102" t="s">
        <v>72</v>
      </c>
      <c r="AS3102">
        <v>401</v>
      </c>
      <c r="AT3102" s="4">
        <v>42416</v>
      </c>
      <c r="AU3102" t="s">
        <v>73</v>
      </c>
      <c r="AV3102">
        <v>401</v>
      </c>
      <c r="AW3102" s="4">
        <v>42416</v>
      </c>
      <c r="BD3102">
        <v>0</v>
      </c>
      <c r="BN3102" t="s">
        <v>74</v>
      </c>
    </row>
    <row r="3103" spans="1:66" hidden="1">
      <c r="A3103">
        <v>101130</v>
      </c>
      <c r="B3103" s="3" t="s">
        <v>369</v>
      </c>
      <c r="C3103" s="1">
        <v>43300101</v>
      </c>
      <c r="D3103" t="s">
        <v>67</v>
      </c>
      <c r="H3103" t="str">
        <f t="shared" si="316"/>
        <v>09238800156</v>
      </c>
      <c r="I3103" t="str">
        <f t="shared" si="316"/>
        <v>09238800156</v>
      </c>
      <c r="K3103" t="str">
        <f>""</f>
        <v/>
      </c>
      <c r="M3103" t="s">
        <v>68</v>
      </c>
      <c r="N3103" t="str">
        <f t="shared" si="314"/>
        <v>FOR</v>
      </c>
      <c r="O3103" t="s">
        <v>69</v>
      </c>
      <c r="P3103" s="3" t="s">
        <v>75</v>
      </c>
      <c r="Q3103">
        <v>2015</v>
      </c>
      <c r="R3103" s="2">
        <v>42149</v>
      </c>
      <c r="S3103" s="2">
        <v>42160</v>
      </c>
      <c r="T3103" s="2">
        <v>42151</v>
      </c>
      <c r="U3103" s="2">
        <v>42211</v>
      </c>
      <c r="V3103" t="s">
        <v>71</v>
      </c>
      <c r="W3103" t="str">
        <f>"          1023660990"</f>
        <v xml:space="preserve">          1023660990</v>
      </c>
      <c r="X3103" s="1">
        <v>2242.48</v>
      </c>
      <c r="Y3103">
        <v>0</v>
      </c>
      <c r="Z3103"/>
      <c r="AB3103"/>
      <c r="AC3103" s="1">
        <v>1838.1</v>
      </c>
      <c r="AD3103">
        <v>205</v>
      </c>
      <c r="AE3103" s="1">
        <v>376810.5</v>
      </c>
      <c r="AF3103">
        <v>0</v>
      </c>
      <c r="AJ3103">
        <v>0</v>
      </c>
      <c r="AK3103">
        <v>0</v>
      </c>
      <c r="AL3103">
        <v>0</v>
      </c>
      <c r="AM3103">
        <v>0</v>
      </c>
      <c r="AN3103">
        <v>0</v>
      </c>
      <c r="AO3103">
        <v>0</v>
      </c>
      <c r="AP3103" s="2">
        <v>42746</v>
      </c>
      <c r="AQ3103" t="s">
        <v>72</v>
      </c>
      <c r="AR3103" t="s">
        <v>72</v>
      </c>
      <c r="AS3103">
        <v>401</v>
      </c>
      <c r="AT3103" s="4">
        <v>42416</v>
      </c>
      <c r="AU3103" t="s">
        <v>73</v>
      </c>
      <c r="AV3103">
        <v>401</v>
      </c>
      <c r="AW3103" s="4">
        <v>42416</v>
      </c>
      <c r="BD3103">
        <v>0</v>
      </c>
      <c r="BN3103" t="s">
        <v>74</v>
      </c>
    </row>
    <row r="3104" spans="1:66" hidden="1">
      <c r="A3104">
        <v>101130</v>
      </c>
      <c r="B3104" s="3" t="s">
        <v>369</v>
      </c>
      <c r="C3104" s="1">
        <v>43300101</v>
      </c>
      <c r="D3104" t="s">
        <v>67</v>
      </c>
      <c r="H3104" t="str">
        <f t="shared" si="316"/>
        <v>09238800156</v>
      </c>
      <c r="I3104" t="str">
        <f t="shared" si="316"/>
        <v>09238800156</v>
      </c>
      <c r="K3104" t="str">
        <f>""</f>
        <v/>
      </c>
      <c r="M3104" t="s">
        <v>68</v>
      </c>
      <c r="N3104" t="str">
        <f t="shared" si="314"/>
        <v>FOR</v>
      </c>
      <c r="O3104" t="s">
        <v>69</v>
      </c>
      <c r="P3104" s="3" t="s">
        <v>75</v>
      </c>
      <c r="Q3104">
        <v>2015</v>
      </c>
      <c r="R3104" s="2">
        <v>42149</v>
      </c>
      <c r="S3104" s="2">
        <v>42160</v>
      </c>
      <c r="T3104" s="2">
        <v>42151</v>
      </c>
      <c r="U3104" s="2">
        <v>42211</v>
      </c>
      <c r="V3104" t="s">
        <v>71</v>
      </c>
      <c r="W3104" t="str">
        <f>"          1023660991"</f>
        <v xml:space="preserve">          1023660991</v>
      </c>
      <c r="X3104" s="1">
        <v>2990.17</v>
      </c>
      <c r="Y3104">
        <v>0</v>
      </c>
      <c r="Z3104"/>
      <c r="AB3104"/>
      <c r="AC3104" s="1">
        <v>2875.16</v>
      </c>
      <c r="AD3104">
        <v>205</v>
      </c>
      <c r="AE3104" s="1">
        <v>589407.80000000005</v>
      </c>
      <c r="AF3104">
        <v>0</v>
      </c>
      <c r="AJ3104">
        <v>0</v>
      </c>
      <c r="AK3104">
        <v>0</v>
      </c>
      <c r="AL3104">
        <v>0</v>
      </c>
      <c r="AM3104">
        <v>0</v>
      </c>
      <c r="AN3104">
        <v>0</v>
      </c>
      <c r="AO3104">
        <v>0</v>
      </c>
      <c r="AP3104" s="2">
        <v>42746</v>
      </c>
      <c r="AQ3104" t="s">
        <v>72</v>
      </c>
      <c r="AR3104" t="s">
        <v>72</v>
      </c>
      <c r="AS3104">
        <v>401</v>
      </c>
      <c r="AT3104" s="4">
        <v>42416</v>
      </c>
      <c r="AU3104" t="s">
        <v>73</v>
      </c>
      <c r="AV3104">
        <v>401</v>
      </c>
      <c r="AW3104" s="4">
        <v>42416</v>
      </c>
      <c r="BD3104">
        <v>0</v>
      </c>
      <c r="BN3104" t="s">
        <v>74</v>
      </c>
    </row>
    <row r="3105" spans="1:66" hidden="1">
      <c r="A3105">
        <v>101130</v>
      </c>
      <c r="B3105" s="3" t="s">
        <v>369</v>
      </c>
      <c r="C3105" s="1">
        <v>43300101</v>
      </c>
      <c r="D3105" t="s">
        <v>67</v>
      </c>
      <c r="H3105" t="str">
        <f t="shared" si="316"/>
        <v>09238800156</v>
      </c>
      <c r="I3105" t="str">
        <f t="shared" si="316"/>
        <v>09238800156</v>
      </c>
      <c r="K3105" t="str">
        <f>""</f>
        <v/>
      </c>
      <c r="M3105" t="s">
        <v>68</v>
      </c>
      <c r="N3105" t="str">
        <f t="shared" si="314"/>
        <v>FOR</v>
      </c>
      <c r="O3105" t="s">
        <v>69</v>
      </c>
      <c r="P3105" s="3" t="s">
        <v>75</v>
      </c>
      <c r="Q3105">
        <v>2015</v>
      </c>
      <c r="R3105" s="2">
        <v>42158</v>
      </c>
      <c r="S3105" s="2">
        <v>42163</v>
      </c>
      <c r="T3105" s="2">
        <v>42160</v>
      </c>
      <c r="U3105" s="2">
        <v>42220</v>
      </c>
      <c r="V3105" t="s">
        <v>71</v>
      </c>
      <c r="W3105" t="str">
        <f>"          1023664841"</f>
        <v xml:space="preserve">          1023664841</v>
      </c>
      <c r="X3105">
        <v>760.3</v>
      </c>
      <c r="Y3105">
        <v>0</v>
      </c>
      <c r="Z3105"/>
      <c r="AB3105"/>
      <c r="AC3105">
        <v>623.20000000000005</v>
      </c>
      <c r="AD3105">
        <v>209</v>
      </c>
      <c r="AE3105" s="1">
        <v>130248.8</v>
      </c>
      <c r="AF3105">
        <v>0</v>
      </c>
      <c r="AJ3105">
        <v>0</v>
      </c>
      <c r="AK3105">
        <v>0</v>
      </c>
      <c r="AL3105">
        <v>0</v>
      </c>
      <c r="AM3105">
        <v>0</v>
      </c>
      <c r="AN3105">
        <v>0</v>
      </c>
      <c r="AO3105">
        <v>0</v>
      </c>
      <c r="AP3105" s="2">
        <v>42746</v>
      </c>
      <c r="AQ3105" t="s">
        <v>72</v>
      </c>
      <c r="AR3105" t="s">
        <v>72</v>
      </c>
      <c r="AS3105">
        <v>592</v>
      </c>
      <c r="AT3105" s="4">
        <v>42429</v>
      </c>
      <c r="AU3105" t="s">
        <v>73</v>
      </c>
      <c r="AV3105">
        <v>592</v>
      </c>
      <c r="AW3105" s="4">
        <v>42429</v>
      </c>
      <c r="BD3105">
        <v>0</v>
      </c>
      <c r="BN3105" t="s">
        <v>74</v>
      </c>
    </row>
    <row r="3106" spans="1:66" hidden="1">
      <c r="A3106">
        <v>101130</v>
      </c>
      <c r="B3106" s="3" t="s">
        <v>369</v>
      </c>
      <c r="C3106" s="1">
        <v>43300101</v>
      </c>
      <c r="D3106" t="s">
        <v>67</v>
      </c>
      <c r="H3106" t="str">
        <f t="shared" si="316"/>
        <v>09238800156</v>
      </c>
      <c r="I3106" t="str">
        <f t="shared" si="316"/>
        <v>09238800156</v>
      </c>
      <c r="K3106" t="str">
        <f>""</f>
        <v/>
      </c>
      <c r="M3106" t="s">
        <v>68</v>
      </c>
      <c r="N3106" t="str">
        <f t="shared" si="314"/>
        <v>FOR</v>
      </c>
      <c r="O3106" t="s">
        <v>69</v>
      </c>
      <c r="P3106" s="3" t="s">
        <v>75</v>
      </c>
      <c r="Q3106">
        <v>2015</v>
      </c>
      <c r="R3106" s="2">
        <v>42159</v>
      </c>
      <c r="S3106" s="2">
        <v>42164</v>
      </c>
      <c r="T3106" s="2">
        <v>42163</v>
      </c>
      <c r="U3106" s="2">
        <v>42223</v>
      </c>
      <c r="V3106" t="s">
        <v>71</v>
      </c>
      <c r="W3106" t="str">
        <f>"          1023665352"</f>
        <v xml:space="preserve">          1023665352</v>
      </c>
      <c r="X3106" s="1">
        <v>4765.32</v>
      </c>
      <c r="Y3106">
        <v>0</v>
      </c>
      <c r="Z3106"/>
      <c r="AB3106"/>
      <c r="AC3106" s="1">
        <v>3906</v>
      </c>
      <c r="AD3106">
        <v>206</v>
      </c>
      <c r="AE3106" s="1">
        <v>804636</v>
      </c>
      <c r="AF3106">
        <v>0</v>
      </c>
      <c r="AJ3106">
        <v>0</v>
      </c>
      <c r="AK3106">
        <v>0</v>
      </c>
      <c r="AL3106">
        <v>0</v>
      </c>
      <c r="AM3106">
        <v>0</v>
      </c>
      <c r="AN3106">
        <v>0</v>
      </c>
      <c r="AO3106">
        <v>0</v>
      </c>
      <c r="AP3106" s="2">
        <v>42746</v>
      </c>
      <c r="AQ3106" t="s">
        <v>72</v>
      </c>
      <c r="AR3106" t="s">
        <v>72</v>
      </c>
      <c r="AS3106">
        <v>592</v>
      </c>
      <c r="AT3106" s="4">
        <v>42429</v>
      </c>
      <c r="AU3106" t="s">
        <v>73</v>
      </c>
      <c r="AV3106">
        <v>592</v>
      </c>
      <c r="AW3106" s="4">
        <v>42429</v>
      </c>
      <c r="BD3106">
        <v>0</v>
      </c>
      <c r="BN3106" t="s">
        <v>74</v>
      </c>
    </row>
    <row r="3107" spans="1:66" hidden="1">
      <c r="A3107">
        <v>101130</v>
      </c>
      <c r="B3107" s="3" t="s">
        <v>369</v>
      </c>
      <c r="C3107" s="1">
        <v>43300101</v>
      </c>
      <c r="D3107" t="s">
        <v>67</v>
      </c>
      <c r="H3107" t="str">
        <f t="shared" si="316"/>
        <v>09238800156</v>
      </c>
      <c r="I3107" t="str">
        <f t="shared" si="316"/>
        <v>09238800156</v>
      </c>
      <c r="K3107" t="str">
        <f>""</f>
        <v/>
      </c>
      <c r="M3107" t="s">
        <v>68</v>
      </c>
      <c r="N3107" t="str">
        <f t="shared" si="314"/>
        <v>FOR</v>
      </c>
      <c r="O3107" t="s">
        <v>69</v>
      </c>
      <c r="P3107" s="3" t="s">
        <v>75</v>
      </c>
      <c r="Q3107">
        <v>2015</v>
      </c>
      <c r="R3107" s="2">
        <v>42164</v>
      </c>
      <c r="S3107" s="2">
        <v>42167</v>
      </c>
      <c r="T3107" s="2">
        <v>42166</v>
      </c>
      <c r="U3107" s="2">
        <v>42226</v>
      </c>
      <c r="V3107" t="s">
        <v>71</v>
      </c>
      <c r="W3107" t="str">
        <f>"          1023666893"</f>
        <v xml:space="preserve">          1023666893</v>
      </c>
      <c r="X3107" s="1">
        <v>13908</v>
      </c>
      <c r="Y3107">
        <v>0</v>
      </c>
      <c r="Z3107"/>
      <c r="AB3107"/>
      <c r="AC3107" s="1">
        <v>11400</v>
      </c>
      <c r="AD3107">
        <v>203</v>
      </c>
      <c r="AE3107" s="1">
        <v>2314200</v>
      </c>
      <c r="AF3107">
        <v>0</v>
      </c>
      <c r="AJ3107">
        <v>0</v>
      </c>
      <c r="AK3107">
        <v>0</v>
      </c>
      <c r="AL3107">
        <v>0</v>
      </c>
      <c r="AM3107">
        <v>0</v>
      </c>
      <c r="AN3107">
        <v>0</v>
      </c>
      <c r="AO3107">
        <v>0</v>
      </c>
      <c r="AP3107" s="2">
        <v>42746</v>
      </c>
      <c r="AQ3107" t="s">
        <v>72</v>
      </c>
      <c r="AR3107" t="s">
        <v>72</v>
      </c>
      <c r="AS3107">
        <v>592</v>
      </c>
      <c r="AT3107" s="4">
        <v>42429</v>
      </c>
      <c r="AU3107" t="s">
        <v>73</v>
      </c>
      <c r="AV3107">
        <v>592</v>
      </c>
      <c r="AW3107" s="4">
        <v>42429</v>
      </c>
      <c r="BD3107">
        <v>0</v>
      </c>
      <c r="BN3107" t="s">
        <v>74</v>
      </c>
    </row>
    <row r="3108" spans="1:66" hidden="1">
      <c r="A3108">
        <v>101130</v>
      </c>
      <c r="B3108" s="3" t="s">
        <v>369</v>
      </c>
      <c r="C3108" s="1">
        <v>43300101</v>
      </c>
      <c r="D3108" t="s">
        <v>67</v>
      </c>
      <c r="H3108" t="str">
        <f t="shared" si="316"/>
        <v>09238800156</v>
      </c>
      <c r="I3108" t="str">
        <f t="shared" si="316"/>
        <v>09238800156</v>
      </c>
      <c r="K3108" t="str">
        <f>""</f>
        <v/>
      </c>
      <c r="M3108" t="s">
        <v>68</v>
      </c>
      <c r="N3108" t="str">
        <f t="shared" si="314"/>
        <v>FOR</v>
      </c>
      <c r="O3108" t="s">
        <v>69</v>
      </c>
      <c r="P3108" s="3" t="s">
        <v>75</v>
      </c>
      <c r="Q3108">
        <v>2015</v>
      </c>
      <c r="R3108" s="2">
        <v>42165</v>
      </c>
      <c r="S3108" s="2">
        <v>42167</v>
      </c>
      <c r="T3108" s="2">
        <v>42166</v>
      </c>
      <c r="U3108" s="2">
        <v>42226</v>
      </c>
      <c r="V3108" t="s">
        <v>71</v>
      </c>
      <c r="W3108" t="str">
        <f>"          1023667561"</f>
        <v xml:space="preserve">          1023667561</v>
      </c>
      <c r="X3108">
        <v>488</v>
      </c>
      <c r="Y3108">
        <v>0</v>
      </c>
      <c r="Z3108"/>
      <c r="AB3108"/>
      <c r="AC3108">
        <v>400</v>
      </c>
      <c r="AD3108">
        <v>203</v>
      </c>
      <c r="AE3108" s="1">
        <v>81200</v>
      </c>
      <c r="AF3108">
        <v>0</v>
      </c>
      <c r="AJ3108">
        <v>0</v>
      </c>
      <c r="AK3108">
        <v>0</v>
      </c>
      <c r="AL3108">
        <v>0</v>
      </c>
      <c r="AM3108">
        <v>0</v>
      </c>
      <c r="AN3108">
        <v>0</v>
      </c>
      <c r="AO3108">
        <v>0</v>
      </c>
      <c r="AP3108" s="2">
        <v>42746</v>
      </c>
      <c r="AQ3108" t="s">
        <v>72</v>
      </c>
      <c r="AR3108" t="s">
        <v>72</v>
      </c>
      <c r="AS3108">
        <v>592</v>
      </c>
      <c r="AT3108" s="4">
        <v>42429</v>
      </c>
      <c r="AU3108" t="s">
        <v>73</v>
      </c>
      <c r="AV3108">
        <v>592</v>
      </c>
      <c r="AW3108" s="4">
        <v>42429</v>
      </c>
      <c r="BD3108">
        <v>0</v>
      </c>
      <c r="BN3108" t="s">
        <v>74</v>
      </c>
    </row>
    <row r="3109" spans="1:66" hidden="1">
      <c r="A3109">
        <v>101130</v>
      </c>
      <c r="B3109" s="3" t="s">
        <v>369</v>
      </c>
      <c r="C3109" s="1">
        <v>43300101</v>
      </c>
      <c r="D3109" t="s">
        <v>67</v>
      </c>
      <c r="H3109" t="str">
        <f t="shared" si="316"/>
        <v>09238800156</v>
      </c>
      <c r="I3109" t="str">
        <f t="shared" si="316"/>
        <v>09238800156</v>
      </c>
      <c r="K3109" t="str">
        <f>""</f>
        <v/>
      </c>
      <c r="M3109" t="s">
        <v>68</v>
      </c>
      <c r="N3109" t="str">
        <f t="shared" si="314"/>
        <v>FOR</v>
      </c>
      <c r="O3109" t="s">
        <v>69</v>
      </c>
      <c r="P3109" s="3" t="s">
        <v>75</v>
      </c>
      <c r="Q3109">
        <v>2015</v>
      </c>
      <c r="R3109" s="2">
        <v>42165</v>
      </c>
      <c r="S3109" s="2">
        <v>42167</v>
      </c>
      <c r="T3109" s="2">
        <v>42166</v>
      </c>
      <c r="U3109" s="2">
        <v>42226</v>
      </c>
      <c r="V3109" t="s">
        <v>71</v>
      </c>
      <c r="W3109" t="str">
        <f>"          1023667562"</f>
        <v xml:space="preserve">          1023667562</v>
      </c>
      <c r="X3109">
        <v>603.9</v>
      </c>
      <c r="Y3109">
        <v>0</v>
      </c>
      <c r="Z3109"/>
      <c r="AB3109"/>
      <c r="AC3109">
        <v>495</v>
      </c>
      <c r="AD3109">
        <v>203</v>
      </c>
      <c r="AE3109" s="1">
        <v>100485</v>
      </c>
      <c r="AF3109">
        <v>0</v>
      </c>
      <c r="AJ3109">
        <v>0</v>
      </c>
      <c r="AK3109">
        <v>0</v>
      </c>
      <c r="AL3109">
        <v>0</v>
      </c>
      <c r="AM3109">
        <v>0</v>
      </c>
      <c r="AN3109">
        <v>0</v>
      </c>
      <c r="AO3109">
        <v>0</v>
      </c>
      <c r="AP3109" s="2">
        <v>42746</v>
      </c>
      <c r="AQ3109" t="s">
        <v>72</v>
      </c>
      <c r="AR3109" t="s">
        <v>72</v>
      </c>
      <c r="AS3109">
        <v>592</v>
      </c>
      <c r="AT3109" s="4">
        <v>42429</v>
      </c>
      <c r="AU3109" t="s">
        <v>73</v>
      </c>
      <c r="AV3109">
        <v>592</v>
      </c>
      <c r="AW3109" s="4">
        <v>42429</v>
      </c>
      <c r="BD3109">
        <v>0</v>
      </c>
      <c r="BN3109" t="s">
        <v>74</v>
      </c>
    </row>
    <row r="3110" spans="1:66" hidden="1">
      <c r="A3110">
        <v>101130</v>
      </c>
      <c r="B3110" s="3" t="s">
        <v>369</v>
      </c>
      <c r="C3110" s="1">
        <v>43300101</v>
      </c>
      <c r="D3110" t="s">
        <v>67</v>
      </c>
      <c r="H3110" t="str">
        <f t="shared" si="316"/>
        <v>09238800156</v>
      </c>
      <c r="I3110" t="str">
        <f t="shared" si="316"/>
        <v>09238800156</v>
      </c>
      <c r="K3110" t="str">
        <f>""</f>
        <v/>
      </c>
      <c r="M3110" t="s">
        <v>68</v>
      </c>
      <c r="N3110" t="str">
        <f t="shared" si="314"/>
        <v>FOR</v>
      </c>
      <c r="O3110" t="s">
        <v>69</v>
      </c>
      <c r="P3110" s="3" t="s">
        <v>75</v>
      </c>
      <c r="Q3110">
        <v>2015</v>
      </c>
      <c r="R3110" s="2">
        <v>42166</v>
      </c>
      <c r="S3110" s="2">
        <v>42167</v>
      </c>
      <c r="T3110" s="2">
        <v>42167</v>
      </c>
      <c r="U3110" s="2">
        <v>42227</v>
      </c>
      <c r="V3110" t="s">
        <v>71</v>
      </c>
      <c r="W3110" t="str">
        <f>"          1023668202"</f>
        <v xml:space="preserve">          1023668202</v>
      </c>
      <c r="X3110">
        <v>732</v>
      </c>
      <c r="Y3110">
        <v>0</v>
      </c>
      <c r="Z3110"/>
      <c r="AB3110"/>
      <c r="AC3110">
        <v>600</v>
      </c>
      <c r="AD3110">
        <v>202</v>
      </c>
      <c r="AE3110" s="1">
        <v>121200</v>
      </c>
      <c r="AF3110">
        <v>0</v>
      </c>
      <c r="AJ3110">
        <v>0</v>
      </c>
      <c r="AK3110">
        <v>0</v>
      </c>
      <c r="AL3110">
        <v>0</v>
      </c>
      <c r="AM3110">
        <v>0</v>
      </c>
      <c r="AN3110">
        <v>0</v>
      </c>
      <c r="AO3110">
        <v>0</v>
      </c>
      <c r="AP3110" s="2">
        <v>42746</v>
      </c>
      <c r="AQ3110" t="s">
        <v>72</v>
      </c>
      <c r="AR3110" t="s">
        <v>72</v>
      </c>
      <c r="AS3110">
        <v>592</v>
      </c>
      <c r="AT3110" s="4">
        <v>42429</v>
      </c>
      <c r="AU3110" t="s">
        <v>73</v>
      </c>
      <c r="AV3110">
        <v>592</v>
      </c>
      <c r="AW3110" s="4">
        <v>42429</v>
      </c>
      <c r="BD3110">
        <v>0</v>
      </c>
      <c r="BN3110" t="s">
        <v>74</v>
      </c>
    </row>
    <row r="3111" spans="1:66" hidden="1">
      <c r="A3111">
        <v>101130</v>
      </c>
      <c r="B3111" s="3" t="s">
        <v>369</v>
      </c>
      <c r="C3111" s="1">
        <v>43300101</v>
      </c>
      <c r="D3111" t="s">
        <v>67</v>
      </c>
      <c r="H3111" t="str">
        <f t="shared" si="316"/>
        <v>09238800156</v>
      </c>
      <c r="I3111" t="str">
        <f t="shared" si="316"/>
        <v>09238800156</v>
      </c>
      <c r="K3111" t="str">
        <f>""</f>
        <v/>
      </c>
      <c r="M3111" t="s">
        <v>68</v>
      </c>
      <c r="N3111" t="str">
        <f t="shared" ref="N3111:N3142" si="317">"FOR"</f>
        <v>FOR</v>
      </c>
      <c r="O3111" t="s">
        <v>69</v>
      </c>
      <c r="P3111" s="3" t="s">
        <v>75</v>
      </c>
      <c r="Q3111">
        <v>2015</v>
      </c>
      <c r="R3111" s="2">
        <v>42167</v>
      </c>
      <c r="S3111" s="2">
        <v>42171</v>
      </c>
      <c r="T3111" s="2">
        <v>42170</v>
      </c>
      <c r="U3111" s="2">
        <v>42230</v>
      </c>
      <c r="V3111" t="s">
        <v>71</v>
      </c>
      <c r="W3111" t="str">
        <f>"          1023668656"</f>
        <v xml:space="preserve">          1023668656</v>
      </c>
      <c r="X3111">
        <v>592.91999999999996</v>
      </c>
      <c r="Y3111">
        <v>0</v>
      </c>
      <c r="Z3111"/>
      <c r="AB3111"/>
      <c r="AC3111">
        <v>486</v>
      </c>
      <c r="AD3111">
        <v>199</v>
      </c>
      <c r="AE3111" s="1">
        <v>96714</v>
      </c>
      <c r="AF3111">
        <v>0</v>
      </c>
      <c r="AJ3111">
        <v>0</v>
      </c>
      <c r="AK3111">
        <v>0</v>
      </c>
      <c r="AL3111">
        <v>0</v>
      </c>
      <c r="AM3111">
        <v>0</v>
      </c>
      <c r="AN3111">
        <v>0</v>
      </c>
      <c r="AO3111">
        <v>0</v>
      </c>
      <c r="AP3111" s="2">
        <v>42746</v>
      </c>
      <c r="AQ3111" t="s">
        <v>72</v>
      </c>
      <c r="AR3111" t="s">
        <v>72</v>
      </c>
      <c r="AS3111">
        <v>592</v>
      </c>
      <c r="AT3111" s="4">
        <v>42429</v>
      </c>
      <c r="AU3111" t="s">
        <v>73</v>
      </c>
      <c r="AV3111">
        <v>592</v>
      </c>
      <c r="AW3111" s="4">
        <v>42429</v>
      </c>
      <c r="BD3111">
        <v>0</v>
      </c>
      <c r="BN3111" t="s">
        <v>74</v>
      </c>
    </row>
    <row r="3112" spans="1:66" hidden="1">
      <c r="A3112">
        <v>101130</v>
      </c>
      <c r="B3112" s="3" t="s">
        <v>369</v>
      </c>
      <c r="C3112" s="1">
        <v>43300101</v>
      </c>
      <c r="D3112" t="s">
        <v>67</v>
      </c>
      <c r="H3112" t="str">
        <f t="shared" ref="H3112:I3131" si="318">"09238800156"</f>
        <v>09238800156</v>
      </c>
      <c r="I3112" t="str">
        <f t="shared" si="318"/>
        <v>09238800156</v>
      </c>
      <c r="K3112" t="str">
        <f>""</f>
        <v/>
      </c>
      <c r="M3112" t="s">
        <v>68</v>
      </c>
      <c r="N3112" t="str">
        <f t="shared" si="317"/>
        <v>FOR</v>
      </c>
      <c r="O3112" t="s">
        <v>69</v>
      </c>
      <c r="P3112" s="3" t="s">
        <v>75</v>
      </c>
      <c r="Q3112">
        <v>2015</v>
      </c>
      <c r="R3112" s="2">
        <v>42178</v>
      </c>
      <c r="S3112" s="2">
        <v>42186</v>
      </c>
      <c r="T3112" s="2">
        <v>42182</v>
      </c>
      <c r="U3112" s="2">
        <v>42242</v>
      </c>
      <c r="V3112" t="s">
        <v>71</v>
      </c>
      <c r="W3112" t="str">
        <f>"          1023672889"</f>
        <v xml:space="preserve">          1023672889</v>
      </c>
      <c r="X3112" s="1">
        <v>24169.66</v>
      </c>
      <c r="Y3112">
        <v>0</v>
      </c>
      <c r="Z3112"/>
      <c r="AB3112"/>
      <c r="AC3112" s="1">
        <v>19811.2</v>
      </c>
      <c r="AD3112">
        <v>187</v>
      </c>
      <c r="AE3112" s="1">
        <v>3704694.4</v>
      </c>
      <c r="AF3112">
        <v>0</v>
      </c>
      <c r="AJ3112">
        <v>0</v>
      </c>
      <c r="AK3112">
        <v>0</v>
      </c>
      <c r="AL3112">
        <v>0</v>
      </c>
      <c r="AM3112">
        <v>0</v>
      </c>
      <c r="AN3112">
        <v>0</v>
      </c>
      <c r="AO3112">
        <v>0</v>
      </c>
      <c r="AP3112" s="2">
        <v>42746</v>
      </c>
      <c r="AQ3112" t="s">
        <v>72</v>
      </c>
      <c r="AR3112" t="s">
        <v>72</v>
      </c>
      <c r="AS3112">
        <v>592</v>
      </c>
      <c r="AT3112" s="4">
        <v>42429</v>
      </c>
      <c r="AU3112" t="s">
        <v>73</v>
      </c>
      <c r="AV3112">
        <v>592</v>
      </c>
      <c r="AW3112" s="4">
        <v>42429</v>
      </c>
      <c r="BD3112">
        <v>0</v>
      </c>
      <c r="BN3112" t="s">
        <v>74</v>
      </c>
    </row>
    <row r="3113" spans="1:66">
      <c r="A3113">
        <v>101130</v>
      </c>
      <c r="B3113" s="3" t="s">
        <v>369</v>
      </c>
      <c r="C3113" s="1">
        <v>43300101</v>
      </c>
      <c r="D3113" t="s">
        <v>67</v>
      </c>
      <c r="H3113" t="str">
        <f t="shared" si="318"/>
        <v>09238800156</v>
      </c>
      <c r="I3113" t="str">
        <f t="shared" si="318"/>
        <v>09238800156</v>
      </c>
      <c r="K3113" t="str">
        <f>""</f>
        <v/>
      </c>
      <c r="M3113" t="s">
        <v>68</v>
      </c>
      <c r="N3113" t="str">
        <f t="shared" si="317"/>
        <v>FOR</v>
      </c>
      <c r="O3113" t="s">
        <v>69</v>
      </c>
      <c r="P3113" s="3" t="s">
        <v>70</v>
      </c>
      <c r="Q3113">
        <v>2015</v>
      </c>
      <c r="R3113" s="2">
        <v>42186</v>
      </c>
      <c r="S3113" s="2">
        <v>42601</v>
      </c>
      <c r="T3113" s="2">
        <v>42601</v>
      </c>
      <c r="U3113" s="2">
        <v>42661</v>
      </c>
      <c r="V3113" t="s">
        <v>71</v>
      </c>
      <c r="W3113" t="str">
        <f>"          1023676086"</f>
        <v xml:space="preserve">          1023676086</v>
      </c>
      <c r="X3113" s="1">
        <v>1625.04</v>
      </c>
      <c r="Y3113">
        <v>0</v>
      </c>
      <c r="Z3113" s="5">
        <v>1332</v>
      </c>
      <c r="AA3113">
        <v>-15</v>
      </c>
      <c r="AB3113" s="5">
        <v>-19980</v>
      </c>
      <c r="AC3113" s="1">
        <v>1332</v>
      </c>
      <c r="AD3113">
        <v>-15</v>
      </c>
      <c r="AE3113" s="1">
        <v>-19980</v>
      </c>
      <c r="AF3113">
        <v>0</v>
      </c>
      <c r="AJ3113">
        <v>0</v>
      </c>
      <c r="AK3113">
        <v>0</v>
      </c>
      <c r="AL3113">
        <v>0</v>
      </c>
      <c r="AM3113">
        <v>0</v>
      </c>
      <c r="AN3113" s="1">
        <v>1625.04</v>
      </c>
      <c r="AO3113">
        <v>0</v>
      </c>
      <c r="AP3113" s="2">
        <v>42746</v>
      </c>
      <c r="AQ3113" t="s">
        <v>72</v>
      </c>
      <c r="AR3113" t="s">
        <v>72</v>
      </c>
      <c r="AS3113">
        <v>2566</v>
      </c>
      <c r="AT3113" s="4">
        <v>42646</v>
      </c>
      <c r="AV3113">
        <v>2566</v>
      </c>
      <c r="AW3113" s="4">
        <v>42646</v>
      </c>
      <c r="BD3113">
        <v>0</v>
      </c>
      <c r="BN3113" t="s">
        <v>74</v>
      </c>
    </row>
    <row r="3114" spans="1:66" hidden="1">
      <c r="A3114">
        <v>101130</v>
      </c>
      <c r="B3114" s="3" t="s">
        <v>369</v>
      </c>
      <c r="C3114" s="1">
        <v>43300101</v>
      </c>
      <c r="D3114" t="s">
        <v>67</v>
      </c>
      <c r="H3114" t="str">
        <f t="shared" si="318"/>
        <v>09238800156</v>
      </c>
      <c r="I3114" t="str">
        <f t="shared" si="318"/>
        <v>09238800156</v>
      </c>
      <c r="K3114" t="str">
        <f>""</f>
        <v/>
      </c>
      <c r="M3114" t="s">
        <v>68</v>
      </c>
      <c r="N3114" t="str">
        <f t="shared" si="317"/>
        <v>FOR</v>
      </c>
      <c r="O3114" t="s">
        <v>69</v>
      </c>
      <c r="P3114" s="3" t="s">
        <v>75</v>
      </c>
      <c r="Q3114">
        <v>2015</v>
      </c>
      <c r="R3114" s="2">
        <v>42202</v>
      </c>
      <c r="S3114" s="2">
        <v>42229</v>
      </c>
      <c r="T3114" s="2">
        <v>42220</v>
      </c>
      <c r="U3114" s="2">
        <v>42280</v>
      </c>
      <c r="V3114" t="s">
        <v>71</v>
      </c>
      <c r="W3114" t="str">
        <f>"          1023683569"</f>
        <v xml:space="preserve">          1023683569</v>
      </c>
      <c r="X3114">
        <v>274.5</v>
      </c>
      <c r="Y3114">
        <v>0</v>
      </c>
      <c r="Z3114"/>
      <c r="AB3114"/>
      <c r="AC3114">
        <v>225</v>
      </c>
      <c r="AD3114">
        <v>240</v>
      </c>
      <c r="AE3114" s="1">
        <v>54000</v>
      </c>
      <c r="AF3114">
        <v>0</v>
      </c>
      <c r="AJ3114">
        <v>0</v>
      </c>
      <c r="AK3114">
        <v>0</v>
      </c>
      <c r="AL3114">
        <v>0</v>
      </c>
      <c r="AM3114">
        <v>0</v>
      </c>
      <c r="AN3114">
        <v>0</v>
      </c>
      <c r="AO3114">
        <v>0</v>
      </c>
      <c r="AP3114" s="2">
        <v>42746</v>
      </c>
      <c r="AQ3114" t="s">
        <v>72</v>
      </c>
      <c r="AR3114" t="s">
        <v>72</v>
      </c>
      <c r="AS3114">
        <v>1457</v>
      </c>
      <c r="AT3114" s="4">
        <v>42520</v>
      </c>
      <c r="AU3114" t="s">
        <v>73</v>
      </c>
      <c r="AV3114">
        <v>1457</v>
      </c>
      <c r="AW3114" s="4">
        <v>42520</v>
      </c>
      <c r="BD3114">
        <v>0</v>
      </c>
      <c r="BN3114" t="s">
        <v>74</v>
      </c>
    </row>
    <row r="3115" spans="1:66">
      <c r="A3115">
        <v>101130</v>
      </c>
      <c r="B3115" s="3" t="s">
        <v>369</v>
      </c>
      <c r="C3115" s="1">
        <v>43300101</v>
      </c>
      <c r="D3115" t="s">
        <v>67</v>
      </c>
      <c r="H3115" t="str">
        <f t="shared" si="318"/>
        <v>09238800156</v>
      </c>
      <c r="I3115" t="str">
        <f t="shared" si="318"/>
        <v>09238800156</v>
      </c>
      <c r="K3115" t="str">
        <f>""</f>
        <v/>
      </c>
      <c r="M3115" t="s">
        <v>68</v>
      </c>
      <c r="N3115" t="str">
        <f t="shared" si="317"/>
        <v>FOR</v>
      </c>
      <c r="O3115" t="s">
        <v>69</v>
      </c>
      <c r="P3115" s="3" t="s">
        <v>75</v>
      </c>
      <c r="Q3115">
        <v>2015</v>
      </c>
      <c r="R3115" s="2">
        <v>42202</v>
      </c>
      <c r="S3115" s="2">
        <v>42229</v>
      </c>
      <c r="T3115" s="2">
        <v>42220</v>
      </c>
      <c r="U3115" s="2">
        <v>42280</v>
      </c>
      <c r="V3115" t="s">
        <v>71</v>
      </c>
      <c r="W3115" t="str">
        <f>"          1023683570"</f>
        <v xml:space="preserve">          1023683570</v>
      </c>
      <c r="X3115" s="1">
        <v>11384.1</v>
      </c>
      <c r="Y3115">
        <v>0</v>
      </c>
      <c r="Z3115" s="5">
        <v>10946.25</v>
      </c>
      <c r="AA3115">
        <v>366</v>
      </c>
      <c r="AB3115" s="5">
        <v>4006327.5</v>
      </c>
      <c r="AC3115" s="1">
        <v>10946.25</v>
      </c>
      <c r="AD3115">
        <v>366</v>
      </c>
      <c r="AE3115" s="1">
        <v>4006327.5</v>
      </c>
      <c r="AF3115">
        <v>0</v>
      </c>
      <c r="AJ3115">
        <v>0</v>
      </c>
      <c r="AK3115">
        <v>0</v>
      </c>
      <c r="AL3115">
        <v>0</v>
      </c>
      <c r="AM3115">
        <v>0</v>
      </c>
      <c r="AN3115">
        <v>0</v>
      </c>
      <c r="AO3115">
        <v>0</v>
      </c>
      <c r="AP3115" s="2">
        <v>42746</v>
      </c>
      <c r="AQ3115" t="s">
        <v>72</v>
      </c>
      <c r="AR3115" t="s">
        <v>72</v>
      </c>
      <c r="AS3115">
        <v>2566</v>
      </c>
      <c r="AT3115" s="4">
        <v>42646</v>
      </c>
      <c r="AU3115" t="s">
        <v>73</v>
      </c>
      <c r="AV3115">
        <v>2566</v>
      </c>
      <c r="AW3115" s="4">
        <v>42646</v>
      </c>
      <c r="BD3115">
        <v>0</v>
      </c>
      <c r="BN3115" t="s">
        <v>74</v>
      </c>
    </row>
    <row r="3116" spans="1:66" hidden="1">
      <c r="A3116">
        <v>101130</v>
      </c>
      <c r="B3116" s="3" t="s">
        <v>369</v>
      </c>
      <c r="C3116" s="1">
        <v>43300101</v>
      </c>
      <c r="D3116" t="s">
        <v>67</v>
      </c>
      <c r="H3116" t="str">
        <f t="shared" si="318"/>
        <v>09238800156</v>
      </c>
      <c r="I3116" t="str">
        <f t="shared" si="318"/>
        <v>09238800156</v>
      </c>
      <c r="K3116" t="str">
        <f>""</f>
        <v/>
      </c>
      <c r="M3116" t="s">
        <v>68</v>
      </c>
      <c r="N3116" t="str">
        <f t="shared" si="317"/>
        <v>FOR</v>
      </c>
      <c r="O3116" t="s">
        <v>69</v>
      </c>
      <c r="P3116" s="3" t="s">
        <v>75</v>
      </c>
      <c r="Q3116">
        <v>2015</v>
      </c>
      <c r="R3116" s="2">
        <v>42205</v>
      </c>
      <c r="S3116" s="2">
        <v>42229</v>
      </c>
      <c r="T3116" s="2">
        <v>42220</v>
      </c>
      <c r="U3116" s="2">
        <v>42280</v>
      </c>
      <c r="V3116" t="s">
        <v>71</v>
      </c>
      <c r="W3116" t="str">
        <f>"          1023683970"</f>
        <v xml:space="preserve">          1023683970</v>
      </c>
      <c r="X3116">
        <v>100.65</v>
      </c>
      <c r="Y3116">
        <v>0</v>
      </c>
      <c r="Z3116"/>
      <c r="AB3116"/>
      <c r="AC3116">
        <v>82.5</v>
      </c>
      <c r="AD3116">
        <v>240</v>
      </c>
      <c r="AE3116" s="1">
        <v>19800</v>
      </c>
      <c r="AF3116">
        <v>0</v>
      </c>
      <c r="AJ3116">
        <v>0</v>
      </c>
      <c r="AK3116">
        <v>0</v>
      </c>
      <c r="AL3116">
        <v>0</v>
      </c>
      <c r="AM3116">
        <v>0</v>
      </c>
      <c r="AN3116">
        <v>0</v>
      </c>
      <c r="AO3116">
        <v>0</v>
      </c>
      <c r="AP3116" s="2">
        <v>42746</v>
      </c>
      <c r="AQ3116" t="s">
        <v>72</v>
      </c>
      <c r="AR3116" t="s">
        <v>72</v>
      </c>
      <c r="AS3116">
        <v>1457</v>
      </c>
      <c r="AT3116" s="4">
        <v>42520</v>
      </c>
      <c r="AU3116" t="s">
        <v>73</v>
      </c>
      <c r="AV3116">
        <v>1457</v>
      </c>
      <c r="AW3116" s="4">
        <v>42520</v>
      </c>
      <c r="BD3116">
        <v>0</v>
      </c>
      <c r="BN3116" t="s">
        <v>74</v>
      </c>
    </row>
    <row r="3117" spans="1:66" hidden="1">
      <c r="A3117">
        <v>101130</v>
      </c>
      <c r="B3117" s="3" t="s">
        <v>369</v>
      </c>
      <c r="C3117" s="1">
        <v>43300101</v>
      </c>
      <c r="D3117" t="s">
        <v>67</v>
      </c>
      <c r="H3117" t="str">
        <f t="shared" si="318"/>
        <v>09238800156</v>
      </c>
      <c r="I3117" t="str">
        <f t="shared" si="318"/>
        <v>09238800156</v>
      </c>
      <c r="K3117" t="str">
        <f>""</f>
        <v/>
      </c>
      <c r="M3117" t="s">
        <v>68</v>
      </c>
      <c r="N3117" t="str">
        <f t="shared" si="317"/>
        <v>FOR</v>
      </c>
      <c r="O3117" t="s">
        <v>69</v>
      </c>
      <c r="P3117" s="3" t="s">
        <v>75</v>
      </c>
      <c r="Q3117">
        <v>2015</v>
      </c>
      <c r="R3117" s="2">
        <v>42208</v>
      </c>
      <c r="S3117" s="2">
        <v>42229</v>
      </c>
      <c r="T3117" s="2">
        <v>42220</v>
      </c>
      <c r="U3117" s="2">
        <v>42280</v>
      </c>
      <c r="V3117" t="s">
        <v>71</v>
      </c>
      <c r="W3117" t="str">
        <f>"          1023685726"</f>
        <v xml:space="preserve">          1023685726</v>
      </c>
      <c r="X3117">
        <v>503.25</v>
      </c>
      <c r="Y3117">
        <v>0</v>
      </c>
      <c r="Z3117"/>
      <c r="AB3117"/>
      <c r="AC3117">
        <v>412.5</v>
      </c>
      <c r="AD3117">
        <v>240</v>
      </c>
      <c r="AE3117" s="1">
        <v>99000</v>
      </c>
      <c r="AF3117">
        <v>0</v>
      </c>
      <c r="AJ3117">
        <v>0</v>
      </c>
      <c r="AK3117">
        <v>0</v>
      </c>
      <c r="AL3117">
        <v>0</v>
      </c>
      <c r="AM3117">
        <v>0</v>
      </c>
      <c r="AN3117">
        <v>0</v>
      </c>
      <c r="AO3117">
        <v>0</v>
      </c>
      <c r="AP3117" s="2">
        <v>42746</v>
      </c>
      <c r="AQ3117" t="s">
        <v>72</v>
      </c>
      <c r="AR3117" t="s">
        <v>72</v>
      </c>
      <c r="AS3117">
        <v>1457</v>
      </c>
      <c r="AT3117" s="4">
        <v>42520</v>
      </c>
      <c r="AU3117" t="s">
        <v>73</v>
      </c>
      <c r="AV3117">
        <v>1457</v>
      </c>
      <c r="AW3117" s="4">
        <v>42520</v>
      </c>
      <c r="BD3117">
        <v>0</v>
      </c>
      <c r="BN3117" t="s">
        <v>74</v>
      </c>
    </row>
    <row r="3118" spans="1:66" hidden="1">
      <c r="A3118">
        <v>101130</v>
      </c>
      <c r="B3118" s="3" t="s">
        <v>369</v>
      </c>
      <c r="C3118" s="1">
        <v>43300101</v>
      </c>
      <c r="D3118" t="s">
        <v>67</v>
      </c>
      <c r="H3118" t="str">
        <f t="shared" si="318"/>
        <v>09238800156</v>
      </c>
      <c r="I3118" t="str">
        <f t="shared" si="318"/>
        <v>09238800156</v>
      </c>
      <c r="K3118" t="str">
        <f>""</f>
        <v/>
      </c>
      <c r="M3118" t="s">
        <v>68</v>
      </c>
      <c r="N3118" t="str">
        <f t="shared" si="317"/>
        <v>FOR</v>
      </c>
      <c r="O3118" t="s">
        <v>69</v>
      </c>
      <c r="P3118" s="3" t="s">
        <v>75</v>
      </c>
      <c r="Q3118">
        <v>2015</v>
      </c>
      <c r="R3118" s="2">
        <v>42209</v>
      </c>
      <c r="S3118" s="2">
        <v>42251</v>
      </c>
      <c r="T3118" s="2">
        <v>42249</v>
      </c>
      <c r="U3118" s="2">
        <v>42309</v>
      </c>
      <c r="V3118" t="s">
        <v>71</v>
      </c>
      <c r="W3118" t="str">
        <f>"          1023686851"</f>
        <v xml:space="preserve">          1023686851</v>
      </c>
      <c r="X3118">
        <v>494.1</v>
      </c>
      <c r="Y3118">
        <v>0</v>
      </c>
      <c r="Z3118"/>
      <c r="AB3118"/>
      <c r="AC3118">
        <v>405</v>
      </c>
      <c r="AD3118">
        <v>211</v>
      </c>
      <c r="AE3118" s="1">
        <v>85455</v>
      </c>
      <c r="AF3118">
        <v>0</v>
      </c>
      <c r="AJ3118">
        <v>0</v>
      </c>
      <c r="AK3118">
        <v>0</v>
      </c>
      <c r="AL3118">
        <v>0</v>
      </c>
      <c r="AM3118">
        <v>0</v>
      </c>
      <c r="AN3118">
        <v>0</v>
      </c>
      <c r="AO3118">
        <v>0</v>
      </c>
      <c r="AP3118" s="2">
        <v>42746</v>
      </c>
      <c r="AQ3118" t="s">
        <v>72</v>
      </c>
      <c r="AR3118" t="s">
        <v>72</v>
      </c>
      <c r="AS3118">
        <v>1457</v>
      </c>
      <c r="AT3118" s="4">
        <v>42520</v>
      </c>
      <c r="AU3118" t="s">
        <v>73</v>
      </c>
      <c r="AV3118">
        <v>1457</v>
      </c>
      <c r="AW3118" s="4">
        <v>42520</v>
      </c>
      <c r="BD3118">
        <v>0</v>
      </c>
      <c r="BN3118" t="s">
        <v>74</v>
      </c>
    </row>
    <row r="3119" spans="1:66" hidden="1">
      <c r="A3119">
        <v>101130</v>
      </c>
      <c r="B3119" s="3" t="s">
        <v>369</v>
      </c>
      <c r="C3119" s="1">
        <v>43300101</v>
      </c>
      <c r="D3119" t="s">
        <v>67</v>
      </c>
      <c r="H3119" t="str">
        <f t="shared" si="318"/>
        <v>09238800156</v>
      </c>
      <c r="I3119" t="str">
        <f t="shared" si="318"/>
        <v>09238800156</v>
      </c>
      <c r="K3119" t="str">
        <f>""</f>
        <v/>
      </c>
      <c r="M3119" t="s">
        <v>68</v>
      </c>
      <c r="N3119" t="str">
        <f t="shared" si="317"/>
        <v>FOR</v>
      </c>
      <c r="O3119" t="s">
        <v>69</v>
      </c>
      <c r="P3119" s="3" t="s">
        <v>75</v>
      </c>
      <c r="Q3119">
        <v>2015</v>
      </c>
      <c r="R3119" s="2">
        <v>42212</v>
      </c>
      <c r="S3119" s="2">
        <v>42251</v>
      </c>
      <c r="T3119" s="2">
        <v>42249</v>
      </c>
      <c r="U3119" s="2">
        <v>42309</v>
      </c>
      <c r="V3119" t="s">
        <v>71</v>
      </c>
      <c r="W3119" t="str">
        <f>"          1023687176"</f>
        <v xml:space="preserve">          1023687176</v>
      </c>
      <c r="X3119" s="1">
        <v>1560</v>
      </c>
      <c r="Y3119">
        <v>0</v>
      </c>
      <c r="Z3119"/>
      <c r="AB3119"/>
      <c r="AC3119" s="1">
        <v>1500</v>
      </c>
      <c r="AD3119">
        <v>211</v>
      </c>
      <c r="AE3119" s="1">
        <v>316500</v>
      </c>
      <c r="AF3119">
        <v>0</v>
      </c>
      <c r="AJ3119">
        <v>0</v>
      </c>
      <c r="AK3119">
        <v>0</v>
      </c>
      <c r="AL3119">
        <v>0</v>
      </c>
      <c r="AM3119">
        <v>0</v>
      </c>
      <c r="AN3119">
        <v>0</v>
      </c>
      <c r="AO3119">
        <v>0</v>
      </c>
      <c r="AP3119" s="2">
        <v>42746</v>
      </c>
      <c r="AQ3119" t="s">
        <v>72</v>
      </c>
      <c r="AR3119" t="s">
        <v>72</v>
      </c>
      <c r="AS3119">
        <v>1457</v>
      </c>
      <c r="AT3119" s="4">
        <v>42520</v>
      </c>
      <c r="AU3119" t="s">
        <v>73</v>
      </c>
      <c r="AV3119">
        <v>1457</v>
      </c>
      <c r="AW3119" s="4">
        <v>42520</v>
      </c>
      <c r="BD3119">
        <v>0</v>
      </c>
      <c r="BN3119" t="s">
        <v>74</v>
      </c>
    </row>
    <row r="3120" spans="1:66" hidden="1">
      <c r="A3120">
        <v>101130</v>
      </c>
      <c r="B3120" s="3" t="s">
        <v>369</v>
      </c>
      <c r="C3120" s="1">
        <v>43300101</v>
      </c>
      <c r="D3120" t="s">
        <v>67</v>
      </c>
      <c r="H3120" t="str">
        <f t="shared" si="318"/>
        <v>09238800156</v>
      </c>
      <c r="I3120" t="str">
        <f t="shared" si="318"/>
        <v>09238800156</v>
      </c>
      <c r="K3120" t="str">
        <f>""</f>
        <v/>
      </c>
      <c r="M3120" t="s">
        <v>68</v>
      </c>
      <c r="N3120" t="str">
        <f t="shared" si="317"/>
        <v>FOR</v>
      </c>
      <c r="O3120" t="s">
        <v>69</v>
      </c>
      <c r="P3120" s="3" t="s">
        <v>75</v>
      </c>
      <c r="Q3120">
        <v>2015</v>
      </c>
      <c r="R3120" s="2">
        <v>42213</v>
      </c>
      <c r="S3120" s="2">
        <v>42251</v>
      </c>
      <c r="T3120" s="2">
        <v>42249</v>
      </c>
      <c r="U3120" s="2">
        <v>42309</v>
      </c>
      <c r="V3120" t="s">
        <v>71</v>
      </c>
      <c r="W3120" t="str">
        <f>"          1023688516"</f>
        <v xml:space="preserve">          1023688516</v>
      </c>
      <c r="X3120">
        <v>317.2</v>
      </c>
      <c r="Y3120">
        <v>0</v>
      </c>
      <c r="Z3120"/>
      <c r="AB3120"/>
      <c r="AC3120">
        <v>260</v>
      </c>
      <c r="AD3120">
        <v>211</v>
      </c>
      <c r="AE3120" s="1">
        <v>54860</v>
      </c>
      <c r="AF3120">
        <v>0</v>
      </c>
      <c r="AJ3120">
        <v>0</v>
      </c>
      <c r="AK3120">
        <v>0</v>
      </c>
      <c r="AL3120">
        <v>0</v>
      </c>
      <c r="AM3120">
        <v>0</v>
      </c>
      <c r="AN3120">
        <v>0</v>
      </c>
      <c r="AO3120">
        <v>0</v>
      </c>
      <c r="AP3120" s="2">
        <v>42746</v>
      </c>
      <c r="AQ3120" t="s">
        <v>72</v>
      </c>
      <c r="AR3120" t="s">
        <v>72</v>
      </c>
      <c r="AS3120">
        <v>1457</v>
      </c>
      <c r="AT3120" s="4">
        <v>42520</v>
      </c>
      <c r="AU3120" t="s">
        <v>73</v>
      </c>
      <c r="AV3120">
        <v>1457</v>
      </c>
      <c r="AW3120" s="4">
        <v>42520</v>
      </c>
      <c r="BD3120">
        <v>0</v>
      </c>
      <c r="BN3120" t="s">
        <v>74</v>
      </c>
    </row>
    <row r="3121" spans="1:66" hidden="1">
      <c r="A3121">
        <v>101130</v>
      </c>
      <c r="B3121" s="3" t="s">
        <v>369</v>
      </c>
      <c r="C3121" s="1">
        <v>43300101</v>
      </c>
      <c r="D3121" t="s">
        <v>67</v>
      </c>
      <c r="H3121" t="str">
        <f t="shared" si="318"/>
        <v>09238800156</v>
      </c>
      <c r="I3121" t="str">
        <f t="shared" si="318"/>
        <v>09238800156</v>
      </c>
      <c r="K3121" t="str">
        <f>""</f>
        <v/>
      </c>
      <c r="M3121" t="s">
        <v>68</v>
      </c>
      <c r="N3121" t="str">
        <f t="shared" si="317"/>
        <v>FOR</v>
      </c>
      <c r="O3121" t="s">
        <v>69</v>
      </c>
      <c r="P3121" s="3" t="s">
        <v>75</v>
      </c>
      <c r="Q3121">
        <v>2015</v>
      </c>
      <c r="R3121" s="2">
        <v>42255</v>
      </c>
      <c r="S3121" s="2">
        <v>42282</v>
      </c>
      <c r="T3121" s="2">
        <v>42277</v>
      </c>
      <c r="U3121" s="2">
        <v>42337</v>
      </c>
      <c r="V3121" t="s">
        <v>71</v>
      </c>
      <c r="W3121" t="str">
        <f>"          1023700809"</f>
        <v xml:space="preserve">          1023700809</v>
      </c>
      <c r="X3121" s="1">
        <v>7592.06</v>
      </c>
      <c r="Y3121">
        <v>0</v>
      </c>
      <c r="Z3121"/>
      <c r="AB3121"/>
      <c r="AC3121" s="1">
        <v>6223</v>
      </c>
      <c r="AD3121">
        <v>183</v>
      </c>
      <c r="AE3121" s="1">
        <v>1138809</v>
      </c>
      <c r="AF3121">
        <v>0</v>
      </c>
      <c r="AJ3121">
        <v>0</v>
      </c>
      <c r="AK3121">
        <v>0</v>
      </c>
      <c r="AL3121">
        <v>0</v>
      </c>
      <c r="AM3121">
        <v>0</v>
      </c>
      <c r="AN3121">
        <v>0</v>
      </c>
      <c r="AO3121">
        <v>0</v>
      </c>
      <c r="AP3121" s="2">
        <v>42746</v>
      </c>
      <c r="AQ3121" t="s">
        <v>72</v>
      </c>
      <c r="AR3121" t="s">
        <v>72</v>
      </c>
      <c r="AS3121">
        <v>1457</v>
      </c>
      <c r="AT3121" s="4">
        <v>42520</v>
      </c>
      <c r="AU3121" t="s">
        <v>73</v>
      </c>
      <c r="AV3121">
        <v>1457</v>
      </c>
      <c r="AW3121" s="4">
        <v>42520</v>
      </c>
      <c r="BD3121">
        <v>0</v>
      </c>
      <c r="BN3121" t="s">
        <v>74</v>
      </c>
    </row>
    <row r="3122" spans="1:66" hidden="1">
      <c r="A3122">
        <v>101130</v>
      </c>
      <c r="B3122" s="3" t="s">
        <v>369</v>
      </c>
      <c r="C3122" s="1">
        <v>43300101</v>
      </c>
      <c r="D3122" t="s">
        <v>67</v>
      </c>
      <c r="H3122" t="str">
        <f t="shared" si="318"/>
        <v>09238800156</v>
      </c>
      <c r="I3122" t="str">
        <f t="shared" si="318"/>
        <v>09238800156</v>
      </c>
      <c r="K3122" t="str">
        <f>""</f>
        <v/>
      </c>
      <c r="M3122" t="s">
        <v>68</v>
      </c>
      <c r="N3122" t="str">
        <f t="shared" si="317"/>
        <v>FOR</v>
      </c>
      <c r="O3122" t="s">
        <v>69</v>
      </c>
      <c r="P3122" s="3" t="s">
        <v>75</v>
      </c>
      <c r="Q3122">
        <v>2015</v>
      </c>
      <c r="R3122" s="2">
        <v>42261</v>
      </c>
      <c r="S3122" s="2">
        <v>42283</v>
      </c>
      <c r="T3122" s="2">
        <v>42282</v>
      </c>
      <c r="U3122" s="2">
        <v>42342</v>
      </c>
      <c r="V3122" t="s">
        <v>71</v>
      </c>
      <c r="W3122" t="str">
        <f>"          1023702747"</f>
        <v xml:space="preserve">          1023702747</v>
      </c>
      <c r="X3122">
        <v>757.62</v>
      </c>
      <c r="Y3122">
        <v>0</v>
      </c>
      <c r="Z3122"/>
      <c r="AB3122"/>
      <c r="AC3122">
        <v>621</v>
      </c>
      <c r="AD3122">
        <v>178</v>
      </c>
      <c r="AE3122" s="1">
        <v>110538</v>
      </c>
      <c r="AF3122">
        <v>0</v>
      </c>
      <c r="AJ3122">
        <v>0</v>
      </c>
      <c r="AK3122">
        <v>0</v>
      </c>
      <c r="AL3122">
        <v>0</v>
      </c>
      <c r="AM3122">
        <v>0</v>
      </c>
      <c r="AN3122">
        <v>0</v>
      </c>
      <c r="AO3122">
        <v>0</v>
      </c>
      <c r="AP3122" s="2">
        <v>42746</v>
      </c>
      <c r="AQ3122" t="s">
        <v>72</v>
      </c>
      <c r="AR3122" t="s">
        <v>72</v>
      </c>
      <c r="AS3122">
        <v>1457</v>
      </c>
      <c r="AT3122" s="4">
        <v>42520</v>
      </c>
      <c r="AU3122" t="s">
        <v>73</v>
      </c>
      <c r="AV3122">
        <v>1457</v>
      </c>
      <c r="AW3122" s="4">
        <v>42520</v>
      </c>
      <c r="BD3122">
        <v>0</v>
      </c>
      <c r="BN3122" t="s">
        <v>74</v>
      </c>
    </row>
    <row r="3123" spans="1:66" hidden="1">
      <c r="A3123">
        <v>101130</v>
      </c>
      <c r="B3123" s="3" t="s">
        <v>369</v>
      </c>
      <c r="C3123" s="1">
        <v>43300101</v>
      </c>
      <c r="D3123" t="s">
        <v>67</v>
      </c>
      <c r="H3123" t="str">
        <f t="shared" si="318"/>
        <v>09238800156</v>
      </c>
      <c r="I3123" t="str">
        <f t="shared" si="318"/>
        <v>09238800156</v>
      </c>
      <c r="K3123" t="str">
        <f>""</f>
        <v/>
      </c>
      <c r="M3123" t="s">
        <v>68</v>
      </c>
      <c r="N3123" t="str">
        <f t="shared" si="317"/>
        <v>FOR</v>
      </c>
      <c r="O3123" t="s">
        <v>69</v>
      </c>
      <c r="P3123" s="3" t="s">
        <v>75</v>
      </c>
      <c r="Q3123">
        <v>2015</v>
      </c>
      <c r="R3123" s="2">
        <v>42263</v>
      </c>
      <c r="S3123" s="2">
        <v>42284</v>
      </c>
      <c r="T3123" s="2">
        <v>42283</v>
      </c>
      <c r="U3123" s="2">
        <v>42343</v>
      </c>
      <c r="V3123" t="s">
        <v>71</v>
      </c>
      <c r="W3123" t="str">
        <f>"          1023703731"</f>
        <v xml:space="preserve">          1023703731</v>
      </c>
      <c r="X3123">
        <v>366</v>
      </c>
      <c r="Y3123">
        <v>0</v>
      </c>
      <c r="Z3123"/>
      <c r="AB3123"/>
      <c r="AC3123">
        <v>300</v>
      </c>
      <c r="AD3123">
        <v>177</v>
      </c>
      <c r="AE3123" s="1">
        <v>53100</v>
      </c>
      <c r="AF3123">
        <v>0</v>
      </c>
      <c r="AJ3123">
        <v>0</v>
      </c>
      <c r="AK3123">
        <v>0</v>
      </c>
      <c r="AL3123">
        <v>0</v>
      </c>
      <c r="AM3123">
        <v>0</v>
      </c>
      <c r="AN3123">
        <v>0</v>
      </c>
      <c r="AO3123">
        <v>0</v>
      </c>
      <c r="AP3123" s="2">
        <v>42746</v>
      </c>
      <c r="AQ3123" t="s">
        <v>72</v>
      </c>
      <c r="AR3123" t="s">
        <v>72</v>
      </c>
      <c r="AS3123">
        <v>1457</v>
      </c>
      <c r="AT3123" s="4">
        <v>42520</v>
      </c>
      <c r="AU3123" t="s">
        <v>73</v>
      </c>
      <c r="AV3123">
        <v>1457</v>
      </c>
      <c r="AW3123" s="4">
        <v>42520</v>
      </c>
      <c r="BD3123">
        <v>0</v>
      </c>
      <c r="BN3123" t="s">
        <v>74</v>
      </c>
    </row>
    <row r="3124" spans="1:66" hidden="1">
      <c r="A3124">
        <v>101130</v>
      </c>
      <c r="B3124" s="3" t="s">
        <v>369</v>
      </c>
      <c r="C3124" s="1">
        <v>43300101</v>
      </c>
      <c r="D3124" t="s">
        <v>67</v>
      </c>
      <c r="H3124" t="str">
        <f t="shared" si="318"/>
        <v>09238800156</v>
      </c>
      <c r="I3124" t="str">
        <f t="shared" si="318"/>
        <v>09238800156</v>
      </c>
      <c r="K3124" t="str">
        <f>""</f>
        <v/>
      </c>
      <c r="M3124" t="s">
        <v>68</v>
      </c>
      <c r="N3124" t="str">
        <f t="shared" si="317"/>
        <v>FOR</v>
      </c>
      <c r="O3124" t="s">
        <v>69</v>
      </c>
      <c r="P3124" s="3" t="s">
        <v>75</v>
      </c>
      <c r="Q3124">
        <v>2015</v>
      </c>
      <c r="R3124" s="2">
        <v>42285</v>
      </c>
      <c r="S3124" s="2">
        <v>42291</v>
      </c>
      <c r="T3124" s="2">
        <v>42285</v>
      </c>
      <c r="U3124" s="2">
        <v>42345</v>
      </c>
      <c r="V3124" t="s">
        <v>71</v>
      </c>
      <c r="W3124" t="str">
        <f>"          1023712521"</f>
        <v xml:space="preserve">          1023712521</v>
      </c>
      <c r="X3124">
        <v>402.6</v>
      </c>
      <c r="Y3124">
        <v>0</v>
      </c>
      <c r="Z3124"/>
      <c r="AB3124"/>
      <c r="AC3124">
        <v>330</v>
      </c>
      <c r="AD3124">
        <v>232</v>
      </c>
      <c r="AE3124" s="1">
        <v>76560</v>
      </c>
      <c r="AF3124">
        <v>0</v>
      </c>
      <c r="AJ3124">
        <v>0</v>
      </c>
      <c r="AK3124">
        <v>0</v>
      </c>
      <c r="AL3124">
        <v>0</v>
      </c>
      <c r="AM3124">
        <v>0</v>
      </c>
      <c r="AN3124">
        <v>0</v>
      </c>
      <c r="AO3124">
        <v>0</v>
      </c>
      <c r="AP3124" s="2">
        <v>42746</v>
      </c>
      <c r="AQ3124" t="s">
        <v>72</v>
      </c>
      <c r="AR3124" t="s">
        <v>72</v>
      </c>
      <c r="AS3124">
        <v>1933</v>
      </c>
      <c r="AT3124" s="4">
        <v>42577</v>
      </c>
      <c r="AU3124" t="s">
        <v>73</v>
      </c>
      <c r="AV3124">
        <v>1933</v>
      </c>
      <c r="AW3124" s="4">
        <v>42577</v>
      </c>
      <c r="BD3124">
        <v>0</v>
      </c>
      <c r="BN3124" t="s">
        <v>74</v>
      </c>
    </row>
    <row r="3125" spans="1:66" hidden="1">
      <c r="A3125">
        <v>101130</v>
      </c>
      <c r="B3125" s="3" t="s">
        <v>369</v>
      </c>
      <c r="C3125" s="1">
        <v>43300101</v>
      </c>
      <c r="D3125" t="s">
        <v>67</v>
      </c>
      <c r="H3125" t="str">
        <f t="shared" si="318"/>
        <v>09238800156</v>
      </c>
      <c r="I3125" t="str">
        <f t="shared" si="318"/>
        <v>09238800156</v>
      </c>
      <c r="K3125" t="str">
        <f>""</f>
        <v/>
      </c>
      <c r="M3125" t="s">
        <v>68</v>
      </c>
      <c r="N3125" t="str">
        <f t="shared" si="317"/>
        <v>FOR</v>
      </c>
      <c r="O3125" t="s">
        <v>69</v>
      </c>
      <c r="P3125" s="3" t="s">
        <v>75</v>
      </c>
      <c r="Q3125">
        <v>2015</v>
      </c>
      <c r="R3125" s="2">
        <v>42286</v>
      </c>
      <c r="S3125" s="2">
        <v>42291</v>
      </c>
      <c r="T3125" s="2">
        <v>42287</v>
      </c>
      <c r="U3125" s="2">
        <v>42347</v>
      </c>
      <c r="V3125" t="s">
        <v>71</v>
      </c>
      <c r="W3125" t="str">
        <f>"          1023712997"</f>
        <v xml:space="preserve">          1023712997</v>
      </c>
      <c r="X3125">
        <v>301.95</v>
      </c>
      <c r="Y3125">
        <v>0</v>
      </c>
      <c r="Z3125"/>
      <c r="AB3125"/>
      <c r="AC3125">
        <v>247.5</v>
      </c>
      <c r="AD3125">
        <v>230</v>
      </c>
      <c r="AE3125" s="1">
        <v>56925</v>
      </c>
      <c r="AF3125">
        <v>0</v>
      </c>
      <c r="AJ3125">
        <v>0</v>
      </c>
      <c r="AK3125">
        <v>0</v>
      </c>
      <c r="AL3125">
        <v>0</v>
      </c>
      <c r="AM3125">
        <v>0</v>
      </c>
      <c r="AN3125">
        <v>0</v>
      </c>
      <c r="AO3125">
        <v>0</v>
      </c>
      <c r="AP3125" s="2">
        <v>42746</v>
      </c>
      <c r="AQ3125" t="s">
        <v>72</v>
      </c>
      <c r="AR3125" t="s">
        <v>72</v>
      </c>
      <c r="AS3125">
        <v>1933</v>
      </c>
      <c r="AT3125" s="4">
        <v>42577</v>
      </c>
      <c r="AU3125" t="s">
        <v>73</v>
      </c>
      <c r="AV3125">
        <v>1933</v>
      </c>
      <c r="AW3125" s="4">
        <v>42577</v>
      </c>
      <c r="BD3125">
        <v>0</v>
      </c>
      <c r="BN3125" t="s">
        <v>74</v>
      </c>
    </row>
    <row r="3126" spans="1:66" hidden="1">
      <c r="A3126">
        <v>101130</v>
      </c>
      <c r="B3126" s="3" t="s">
        <v>369</v>
      </c>
      <c r="C3126" s="1">
        <v>43300101</v>
      </c>
      <c r="D3126" t="s">
        <v>67</v>
      </c>
      <c r="H3126" t="str">
        <f t="shared" si="318"/>
        <v>09238800156</v>
      </c>
      <c r="I3126" t="str">
        <f t="shared" si="318"/>
        <v>09238800156</v>
      </c>
      <c r="K3126" t="str">
        <f>""</f>
        <v/>
      </c>
      <c r="M3126" t="s">
        <v>68</v>
      </c>
      <c r="N3126" t="str">
        <f t="shared" si="317"/>
        <v>FOR</v>
      </c>
      <c r="O3126" t="s">
        <v>69</v>
      </c>
      <c r="P3126" s="3" t="s">
        <v>75</v>
      </c>
      <c r="Q3126">
        <v>2015</v>
      </c>
      <c r="R3126" s="2">
        <v>42289</v>
      </c>
      <c r="S3126" s="2">
        <v>42293</v>
      </c>
      <c r="T3126" s="2">
        <v>42292</v>
      </c>
      <c r="U3126" s="2">
        <v>42352</v>
      </c>
      <c r="V3126" t="s">
        <v>71</v>
      </c>
      <c r="W3126" t="str">
        <f>"          1023713673"</f>
        <v xml:space="preserve">          1023713673</v>
      </c>
      <c r="X3126" s="1">
        <v>1083.3599999999999</v>
      </c>
      <c r="Y3126">
        <v>0</v>
      </c>
      <c r="Z3126"/>
      <c r="AB3126"/>
      <c r="AC3126">
        <v>888</v>
      </c>
      <c r="AD3126">
        <v>225</v>
      </c>
      <c r="AE3126" s="1">
        <v>199800</v>
      </c>
      <c r="AF3126">
        <v>0</v>
      </c>
      <c r="AJ3126">
        <v>0</v>
      </c>
      <c r="AK3126">
        <v>0</v>
      </c>
      <c r="AL3126">
        <v>0</v>
      </c>
      <c r="AM3126">
        <v>0</v>
      </c>
      <c r="AN3126">
        <v>0</v>
      </c>
      <c r="AO3126">
        <v>0</v>
      </c>
      <c r="AP3126" s="2">
        <v>42746</v>
      </c>
      <c r="AQ3126" t="s">
        <v>72</v>
      </c>
      <c r="AR3126" t="s">
        <v>72</v>
      </c>
      <c r="AS3126">
        <v>1933</v>
      </c>
      <c r="AT3126" s="4">
        <v>42577</v>
      </c>
      <c r="AU3126" t="s">
        <v>73</v>
      </c>
      <c r="AV3126">
        <v>1933</v>
      </c>
      <c r="AW3126" s="4">
        <v>42577</v>
      </c>
      <c r="BD3126">
        <v>0</v>
      </c>
      <c r="BN3126" t="s">
        <v>74</v>
      </c>
    </row>
    <row r="3127" spans="1:66" hidden="1">
      <c r="A3127">
        <v>101130</v>
      </c>
      <c r="B3127" s="3" t="s">
        <v>369</v>
      </c>
      <c r="C3127" s="1">
        <v>43300101</v>
      </c>
      <c r="D3127" t="s">
        <v>67</v>
      </c>
      <c r="H3127" t="str">
        <f t="shared" si="318"/>
        <v>09238800156</v>
      </c>
      <c r="I3127" t="str">
        <f t="shared" si="318"/>
        <v>09238800156</v>
      </c>
      <c r="K3127" t="str">
        <f>""</f>
        <v/>
      </c>
      <c r="M3127" t="s">
        <v>68</v>
      </c>
      <c r="N3127" t="str">
        <f t="shared" si="317"/>
        <v>FOR</v>
      </c>
      <c r="O3127" t="s">
        <v>69</v>
      </c>
      <c r="P3127" s="3" t="s">
        <v>75</v>
      </c>
      <c r="Q3127">
        <v>2015</v>
      </c>
      <c r="R3127" s="2">
        <v>42293</v>
      </c>
      <c r="S3127" s="2">
        <v>42296</v>
      </c>
      <c r="T3127" s="2">
        <v>42293</v>
      </c>
      <c r="U3127" s="2">
        <v>42353</v>
      </c>
      <c r="V3127" t="s">
        <v>71</v>
      </c>
      <c r="W3127" t="str">
        <f>"          1023715965"</f>
        <v xml:space="preserve">          1023715965</v>
      </c>
      <c r="X3127">
        <v>520</v>
      </c>
      <c r="Y3127">
        <v>0</v>
      </c>
      <c r="Z3127"/>
      <c r="AB3127"/>
      <c r="AC3127">
        <v>500</v>
      </c>
      <c r="AD3127">
        <v>224</v>
      </c>
      <c r="AE3127" s="1">
        <v>112000</v>
      </c>
      <c r="AF3127">
        <v>0</v>
      </c>
      <c r="AJ3127">
        <v>0</v>
      </c>
      <c r="AK3127">
        <v>0</v>
      </c>
      <c r="AL3127">
        <v>0</v>
      </c>
      <c r="AM3127">
        <v>0</v>
      </c>
      <c r="AN3127">
        <v>0</v>
      </c>
      <c r="AO3127">
        <v>0</v>
      </c>
      <c r="AP3127" s="2">
        <v>42746</v>
      </c>
      <c r="AQ3127" t="s">
        <v>72</v>
      </c>
      <c r="AR3127" t="s">
        <v>72</v>
      </c>
      <c r="AS3127">
        <v>1933</v>
      </c>
      <c r="AT3127" s="4">
        <v>42577</v>
      </c>
      <c r="AU3127" t="s">
        <v>73</v>
      </c>
      <c r="AV3127">
        <v>1933</v>
      </c>
      <c r="AW3127" s="4">
        <v>42577</v>
      </c>
      <c r="BD3127">
        <v>0</v>
      </c>
      <c r="BN3127" t="s">
        <v>74</v>
      </c>
    </row>
    <row r="3128" spans="1:66" hidden="1">
      <c r="A3128">
        <v>101130</v>
      </c>
      <c r="B3128" s="3" t="s">
        <v>369</v>
      </c>
      <c r="C3128" s="1">
        <v>43300101</v>
      </c>
      <c r="D3128" t="s">
        <v>67</v>
      </c>
      <c r="H3128" t="str">
        <f t="shared" si="318"/>
        <v>09238800156</v>
      </c>
      <c r="I3128" t="str">
        <f t="shared" si="318"/>
        <v>09238800156</v>
      </c>
      <c r="K3128" t="str">
        <f>""</f>
        <v/>
      </c>
      <c r="M3128" t="s">
        <v>68</v>
      </c>
      <c r="N3128" t="str">
        <f t="shared" si="317"/>
        <v>FOR</v>
      </c>
      <c r="O3128" t="s">
        <v>69</v>
      </c>
      <c r="P3128" s="3" t="s">
        <v>75</v>
      </c>
      <c r="Q3128">
        <v>2015</v>
      </c>
      <c r="R3128" s="2">
        <v>42293</v>
      </c>
      <c r="S3128" s="2">
        <v>42298</v>
      </c>
      <c r="T3128" s="2">
        <v>42296</v>
      </c>
      <c r="U3128" s="2">
        <v>42356</v>
      </c>
      <c r="V3128" t="s">
        <v>71</v>
      </c>
      <c r="W3128" t="str">
        <f>"          1023715966"</f>
        <v xml:space="preserve">          1023715966</v>
      </c>
      <c r="X3128" s="1">
        <v>13908</v>
      </c>
      <c r="Y3128">
        <v>0</v>
      </c>
      <c r="Z3128"/>
      <c r="AB3128"/>
      <c r="AC3128" s="1">
        <v>11400</v>
      </c>
      <c r="AD3128">
        <v>221</v>
      </c>
      <c r="AE3128" s="1">
        <v>2519400</v>
      </c>
      <c r="AF3128">
        <v>0</v>
      </c>
      <c r="AJ3128">
        <v>0</v>
      </c>
      <c r="AK3128">
        <v>0</v>
      </c>
      <c r="AL3128">
        <v>0</v>
      </c>
      <c r="AM3128">
        <v>0</v>
      </c>
      <c r="AN3128">
        <v>0</v>
      </c>
      <c r="AO3128">
        <v>0</v>
      </c>
      <c r="AP3128" s="2">
        <v>42746</v>
      </c>
      <c r="AQ3128" t="s">
        <v>72</v>
      </c>
      <c r="AR3128" t="s">
        <v>72</v>
      </c>
      <c r="AS3128">
        <v>1933</v>
      </c>
      <c r="AT3128" s="4">
        <v>42577</v>
      </c>
      <c r="AU3128" t="s">
        <v>73</v>
      </c>
      <c r="AV3128">
        <v>1933</v>
      </c>
      <c r="AW3128" s="4">
        <v>42577</v>
      </c>
      <c r="BD3128">
        <v>0</v>
      </c>
      <c r="BN3128" t="s">
        <v>74</v>
      </c>
    </row>
    <row r="3129" spans="1:66" hidden="1">
      <c r="A3129">
        <v>101130</v>
      </c>
      <c r="B3129" s="3" t="s">
        <v>369</v>
      </c>
      <c r="C3129" s="1">
        <v>43300101</v>
      </c>
      <c r="D3129" t="s">
        <v>67</v>
      </c>
      <c r="H3129" t="str">
        <f t="shared" si="318"/>
        <v>09238800156</v>
      </c>
      <c r="I3129" t="str">
        <f t="shared" si="318"/>
        <v>09238800156</v>
      </c>
      <c r="K3129" t="str">
        <f>""</f>
        <v/>
      </c>
      <c r="M3129" t="s">
        <v>68</v>
      </c>
      <c r="N3129" t="str">
        <f t="shared" si="317"/>
        <v>FOR</v>
      </c>
      <c r="O3129" t="s">
        <v>69</v>
      </c>
      <c r="P3129" s="3" t="s">
        <v>75</v>
      </c>
      <c r="Q3129">
        <v>2015</v>
      </c>
      <c r="R3129" s="2">
        <v>42305</v>
      </c>
      <c r="S3129" s="2">
        <v>42307</v>
      </c>
      <c r="T3129" s="2">
        <v>42305</v>
      </c>
      <c r="U3129" s="2">
        <v>42365</v>
      </c>
      <c r="V3129" t="s">
        <v>71</v>
      </c>
      <c r="W3129" t="str">
        <f>"          1023721272"</f>
        <v xml:space="preserve">          1023721272</v>
      </c>
      <c r="X3129" s="1">
        <v>7671.71</v>
      </c>
      <c r="Y3129">
        <v>0</v>
      </c>
      <c r="Z3129"/>
      <c r="AB3129"/>
      <c r="AC3129" s="1">
        <v>7376.64</v>
      </c>
      <c r="AD3129">
        <v>212</v>
      </c>
      <c r="AE3129" s="1">
        <v>1563847.6799999999</v>
      </c>
      <c r="AF3129">
        <v>0</v>
      </c>
      <c r="AJ3129">
        <v>0</v>
      </c>
      <c r="AK3129">
        <v>0</v>
      </c>
      <c r="AL3129">
        <v>0</v>
      </c>
      <c r="AM3129">
        <v>0</v>
      </c>
      <c r="AN3129">
        <v>0</v>
      </c>
      <c r="AO3129">
        <v>0</v>
      </c>
      <c r="AP3129" s="2">
        <v>42746</v>
      </c>
      <c r="AQ3129" t="s">
        <v>72</v>
      </c>
      <c r="AR3129" t="s">
        <v>72</v>
      </c>
      <c r="AS3129">
        <v>1933</v>
      </c>
      <c r="AT3129" s="4">
        <v>42577</v>
      </c>
      <c r="AU3129" t="s">
        <v>73</v>
      </c>
      <c r="AV3129">
        <v>1933</v>
      </c>
      <c r="AW3129" s="4">
        <v>42577</v>
      </c>
      <c r="BD3129">
        <v>0</v>
      </c>
      <c r="BN3129" t="s">
        <v>74</v>
      </c>
    </row>
    <row r="3130" spans="1:66" hidden="1">
      <c r="A3130">
        <v>101130</v>
      </c>
      <c r="B3130" s="3" t="s">
        <v>369</v>
      </c>
      <c r="C3130" s="1">
        <v>43300101</v>
      </c>
      <c r="D3130" t="s">
        <v>67</v>
      </c>
      <c r="H3130" t="str">
        <f t="shared" si="318"/>
        <v>09238800156</v>
      </c>
      <c r="I3130" t="str">
        <f t="shared" si="318"/>
        <v>09238800156</v>
      </c>
      <c r="K3130" t="str">
        <f>""</f>
        <v/>
      </c>
      <c r="M3130" t="s">
        <v>68</v>
      </c>
      <c r="N3130" t="str">
        <f t="shared" si="317"/>
        <v>FOR</v>
      </c>
      <c r="O3130" t="s">
        <v>69</v>
      </c>
      <c r="P3130" s="3" t="s">
        <v>75</v>
      </c>
      <c r="Q3130">
        <v>2015</v>
      </c>
      <c r="R3130" s="2">
        <v>42305</v>
      </c>
      <c r="S3130" s="2">
        <v>42307</v>
      </c>
      <c r="T3130" s="2">
        <v>42305</v>
      </c>
      <c r="U3130" s="2">
        <v>42365</v>
      </c>
      <c r="V3130" t="s">
        <v>71</v>
      </c>
      <c r="W3130" t="str">
        <f>"          1023721273"</f>
        <v xml:space="preserve">          1023721273</v>
      </c>
      <c r="X3130" s="1">
        <v>7671.71</v>
      </c>
      <c r="Y3130">
        <v>0</v>
      </c>
      <c r="Z3130"/>
      <c r="AB3130"/>
      <c r="AC3130" s="1">
        <v>7376.64</v>
      </c>
      <c r="AD3130">
        <v>212</v>
      </c>
      <c r="AE3130" s="1">
        <v>1563847.6799999999</v>
      </c>
      <c r="AF3130">
        <v>0</v>
      </c>
      <c r="AJ3130">
        <v>0</v>
      </c>
      <c r="AK3130">
        <v>0</v>
      </c>
      <c r="AL3130">
        <v>0</v>
      </c>
      <c r="AM3130">
        <v>0</v>
      </c>
      <c r="AN3130">
        <v>0</v>
      </c>
      <c r="AO3130">
        <v>0</v>
      </c>
      <c r="AP3130" s="2">
        <v>42746</v>
      </c>
      <c r="AQ3130" t="s">
        <v>72</v>
      </c>
      <c r="AR3130" t="s">
        <v>72</v>
      </c>
      <c r="AS3130">
        <v>1933</v>
      </c>
      <c r="AT3130" s="4">
        <v>42577</v>
      </c>
      <c r="AU3130" t="s">
        <v>73</v>
      </c>
      <c r="AV3130">
        <v>1933</v>
      </c>
      <c r="AW3130" s="4">
        <v>42577</v>
      </c>
      <c r="BD3130">
        <v>0</v>
      </c>
      <c r="BN3130" t="s">
        <v>74</v>
      </c>
    </row>
    <row r="3131" spans="1:66" hidden="1">
      <c r="A3131">
        <v>101130</v>
      </c>
      <c r="B3131" s="3" t="s">
        <v>369</v>
      </c>
      <c r="C3131" s="1">
        <v>43300101</v>
      </c>
      <c r="D3131" t="s">
        <v>67</v>
      </c>
      <c r="H3131" t="str">
        <f t="shared" si="318"/>
        <v>09238800156</v>
      </c>
      <c r="I3131" t="str">
        <f t="shared" si="318"/>
        <v>09238800156</v>
      </c>
      <c r="K3131" t="str">
        <f>""</f>
        <v/>
      </c>
      <c r="M3131" t="s">
        <v>68</v>
      </c>
      <c r="N3131" t="str">
        <f t="shared" si="317"/>
        <v>FOR</v>
      </c>
      <c r="O3131" t="s">
        <v>69</v>
      </c>
      <c r="P3131" s="3" t="s">
        <v>75</v>
      </c>
      <c r="Q3131">
        <v>2015</v>
      </c>
      <c r="R3131" s="2">
        <v>42305</v>
      </c>
      <c r="S3131" s="2">
        <v>42307</v>
      </c>
      <c r="T3131" s="2">
        <v>42305</v>
      </c>
      <c r="U3131" s="2">
        <v>42365</v>
      </c>
      <c r="V3131" t="s">
        <v>71</v>
      </c>
      <c r="W3131" t="str">
        <f>"          1023721274"</f>
        <v xml:space="preserve">          1023721274</v>
      </c>
      <c r="X3131" s="1">
        <v>7671.71</v>
      </c>
      <c r="Y3131">
        <v>0</v>
      </c>
      <c r="Z3131"/>
      <c r="AB3131"/>
      <c r="AC3131" s="1">
        <v>7376.64</v>
      </c>
      <c r="AD3131">
        <v>212</v>
      </c>
      <c r="AE3131" s="1">
        <v>1563847.6799999999</v>
      </c>
      <c r="AF3131">
        <v>0</v>
      </c>
      <c r="AJ3131">
        <v>0</v>
      </c>
      <c r="AK3131">
        <v>0</v>
      </c>
      <c r="AL3131">
        <v>0</v>
      </c>
      <c r="AM3131">
        <v>0</v>
      </c>
      <c r="AN3131">
        <v>0</v>
      </c>
      <c r="AO3131">
        <v>0</v>
      </c>
      <c r="AP3131" s="2">
        <v>42746</v>
      </c>
      <c r="AQ3131" t="s">
        <v>72</v>
      </c>
      <c r="AR3131" t="s">
        <v>72</v>
      </c>
      <c r="AS3131">
        <v>1933</v>
      </c>
      <c r="AT3131" s="4">
        <v>42577</v>
      </c>
      <c r="AU3131" t="s">
        <v>73</v>
      </c>
      <c r="AV3131">
        <v>1933</v>
      </c>
      <c r="AW3131" s="4">
        <v>42577</v>
      </c>
      <c r="BD3131">
        <v>0</v>
      </c>
      <c r="BN3131" t="s">
        <v>74</v>
      </c>
    </row>
    <row r="3132" spans="1:66" hidden="1">
      <c r="A3132">
        <v>101130</v>
      </c>
      <c r="B3132" s="3" t="s">
        <v>369</v>
      </c>
      <c r="C3132" s="1">
        <v>43300101</v>
      </c>
      <c r="D3132" t="s">
        <v>67</v>
      </c>
      <c r="H3132" t="str">
        <f t="shared" ref="H3132:I3151" si="319">"09238800156"</f>
        <v>09238800156</v>
      </c>
      <c r="I3132" t="str">
        <f t="shared" si="319"/>
        <v>09238800156</v>
      </c>
      <c r="K3132" t="str">
        <f>""</f>
        <v/>
      </c>
      <c r="M3132" t="s">
        <v>68</v>
      </c>
      <c r="N3132" t="str">
        <f t="shared" si="317"/>
        <v>FOR</v>
      </c>
      <c r="O3132" t="s">
        <v>69</v>
      </c>
      <c r="P3132" s="3" t="s">
        <v>75</v>
      </c>
      <c r="Q3132">
        <v>2015</v>
      </c>
      <c r="R3132" s="2">
        <v>42307</v>
      </c>
      <c r="S3132" s="2">
        <v>42310</v>
      </c>
      <c r="T3132" s="2">
        <v>42307</v>
      </c>
      <c r="U3132" s="2">
        <v>42367</v>
      </c>
      <c r="V3132" t="s">
        <v>71</v>
      </c>
      <c r="W3132" t="str">
        <f>"          1023722953"</f>
        <v xml:space="preserve">          1023722953</v>
      </c>
      <c r="X3132">
        <v>100.65</v>
      </c>
      <c r="Y3132">
        <v>0</v>
      </c>
      <c r="Z3132"/>
      <c r="AB3132"/>
      <c r="AC3132">
        <v>82.5</v>
      </c>
      <c r="AD3132">
        <v>210</v>
      </c>
      <c r="AE3132" s="1">
        <v>17325</v>
      </c>
      <c r="AF3132">
        <v>0</v>
      </c>
      <c r="AJ3132">
        <v>0</v>
      </c>
      <c r="AK3132">
        <v>0</v>
      </c>
      <c r="AL3132">
        <v>0</v>
      </c>
      <c r="AM3132">
        <v>0</v>
      </c>
      <c r="AN3132">
        <v>0</v>
      </c>
      <c r="AO3132">
        <v>0</v>
      </c>
      <c r="AP3132" s="2">
        <v>42746</v>
      </c>
      <c r="AQ3132" t="s">
        <v>72</v>
      </c>
      <c r="AR3132" t="s">
        <v>72</v>
      </c>
      <c r="AS3132">
        <v>1933</v>
      </c>
      <c r="AT3132" s="4">
        <v>42577</v>
      </c>
      <c r="AU3132" t="s">
        <v>73</v>
      </c>
      <c r="AV3132">
        <v>1933</v>
      </c>
      <c r="AW3132" s="4">
        <v>42577</v>
      </c>
      <c r="BD3132">
        <v>0</v>
      </c>
      <c r="BN3132" t="s">
        <v>74</v>
      </c>
    </row>
    <row r="3133" spans="1:66" hidden="1">
      <c r="A3133">
        <v>101130</v>
      </c>
      <c r="B3133" s="3" t="s">
        <v>369</v>
      </c>
      <c r="C3133" s="1">
        <v>43300101</v>
      </c>
      <c r="D3133" t="s">
        <v>67</v>
      </c>
      <c r="H3133" t="str">
        <f t="shared" si="319"/>
        <v>09238800156</v>
      </c>
      <c r="I3133" t="str">
        <f t="shared" si="319"/>
        <v>09238800156</v>
      </c>
      <c r="K3133" t="str">
        <f>""</f>
        <v/>
      </c>
      <c r="M3133" t="s">
        <v>68</v>
      </c>
      <c r="N3133" t="str">
        <f t="shared" si="317"/>
        <v>FOR</v>
      </c>
      <c r="O3133" t="s">
        <v>69</v>
      </c>
      <c r="P3133" s="3" t="s">
        <v>75</v>
      </c>
      <c r="Q3133">
        <v>2015</v>
      </c>
      <c r="R3133" s="2">
        <v>42314</v>
      </c>
      <c r="S3133" s="2">
        <v>42318</v>
      </c>
      <c r="T3133" s="2">
        <v>42314</v>
      </c>
      <c r="U3133" s="2">
        <v>42374</v>
      </c>
      <c r="V3133" t="s">
        <v>71</v>
      </c>
      <c r="W3133" t="str">
        <f>"          1023725588"</f>
        <v xml:space="preserve">          1023725588</v>
      </c>
      <c r="X3133">
        <v>704.55</v>
      </c>
      <c r="Y3133">
        <v>0</v>
      </c>
      <c r="Z3133"/>
      <c r="AB3133"/>
      <c r="AC3133">
        <v>577.5</v>
      </c>
      <c r="AD3133">
        <v>203</v>
      </c>
      <c r="AE3133" s="1">
        <v>117232.5</v>
      </c>
      <c r="AF3133">
        <v>0</v>
      </c>
      <c r="AJ3133">
        <v>0</v>
      </c>
      <c r="AK3133">
        <v>0</v>
      </c>
      <c r="AL3133">
        <v>0</v>
      </c>
      <c r="AM3133">
        <v>0</v>
      </c>
      <c r="AN3133">
        <v>0</v>
      </c>
      <c r="AO3133">
        <v>0</v>
      </c>
      <c r="AP3133" s="2">
        <v>42746</v>
      </c>
      <c r="AQ3133" t="s">
        <v>72</v>
      </c>
      <c r="AR3133" t="s">
        <v>72</v>
      </c>
      <c r="AS3133">
        <v>1933</v>
      </c>
      <c r="AT3133" s="4">
        <v>42577</v>
      </c>
      <c r="AU3133" t="s">
        <v>73</v>
      </c>
      <c r="AV3133">
        <v>1933</v>
      </c>
      <c r="AW3133" s="4">
        <v>42577</v>
      </c>
      <c r="BD3133">
        <v>0</v>
      </c>
      <c r="BN3133" t="s">
        <v>74</v>
      </c>
    </row>
    <row r="3134" spans="1:66" hidden="1">
      <c r="A3134">
        <v>101130</v>
      </c>
      <c r="B3134" s="3" t="s">
        <v>369</v>
      </c>
      <c r="C3134" s="1">
        <v>43300101</v>
      </c>
      <c r="D3134" t="s">
        <v>67</v>
      </c>
      <c r="H3134" t="str">
        <f t="shared" si="319"/>
        <v>09238800156</v>
      </c>
      <c r="I3134" t="str">
        <f t="shared" si="319"/>
        <v>09238800156</v>
      </c>
      <c r="K3134" t="str">
        <f>""</f>
        <v/>
      </c>
      <c r="M3134" t="s">
        <v>68</v>
      </c>
      <c r="N3134" t="str">
        <f t="shared" si="317"/>
        <v>FOR</v>
      </c>
      <c r="O3134" t="s">
        <v>69</v>
      </c>
      <c r="P3134" s="3" t="s">
        <v>75</v>
      </c>
      <c r="Q3134">
        <v>2015</v>
      </c>
      <c r="R3134" s="2">
        <v>42321</v>
      </c>
      <c r="S3134" s="2">
        <v>42324</v>
      </c>
      <c r="T3134" s="2">
        <v>42321</v>
      </c>
      <c r="U3134" s="2">
        <v>42381</v>
      </c>
      <c r="V3134" t="s">
        <v>71</v>
      </c>
      <c r="W3134" t="str">
        <f>"          1023727843"</f>
        <v xml:space="preserve">          1023727843</v>
      </c>
      <c r="X3134" s="1">
        <v>8846.2199999999993</v>
      </c>
      <c r="Y3134">
        <v>0</v>
      </c>
      <c r="Z3134"/>
      <c r="AB3134"/>
      <c r="AC3134" s="1">
        <v>7251</v>
      </c>
      <c r="AD3134">
        <v>196</v>
      </c>
      <c r="AE3134" s="1">
        <v>1421196</v>
      </c>
      <c r="AF3134">
        <v>0</v>
      </c>
      <c r="AJ3134">
        <v>0</v>
      </c>
      <c r="AK3134">
        <v>0</v>
      </c>
      <c r="AL3134">
        <v>0</v>
      </c>
      <c r="AM3134">
        <v>0</v>
      </c>
      <c r="AN3134">
        <v>0</v>
      </c>
      <c r="AO3134">
        <v>0</v>
      </c>
      <c r="AP3134" s="2">
        <v>42746</v>
      </c>
      <c r="AQ3134" t="s">
        <v>72</v>
      </c>
      <c r="AR3134" t="s">
        <v>72</v>
      </c>
      <c r="AS3134">
        <v>1933</v>
      </c>
      <c r="AT3134" s="4">
        <v>42577</v>
      </c>
      <c r="AU3134" t="s">
        <v>73</v>
      </c>
      <c r="AV3134">
        <v>1933</v>
      </c>
      <c r="AW3134" s="4">
        <v>42577</v>
      </c>
      <c r="BD3134">
        <v>0</v>
      </c>
      <c r="BN3134" t="s">
        <v>74</v>
      </c>
    </row>
    <row r="3135" spans="1:66" hidden="1">
      <c r="A3135">
        <v>101130</v>
      </c>
      <c r="B3135" s="3" t="s">
        <v>369</v>
      </c>
      <c r="C3135" s="1">
        <v>43300101</v>
      </c>
      <c r="D3135" t="s">
        <v>67</v>
      </c>
      <c r="H3135" t="str">
        <f t="shared" si="319"/>
        <v>09238800156</v>
      </c>
      <c r="I3135" t="str">
        <f t="shared" si="319"/>
        <v>09238800156</v>
      </c>
      <c r="K3135" t="str">
        <f>""</f>
        <v/>
      </c>
      <c r="M3135" t="s">
        <v>68</v>
      </c>
      <c r="N3135" t="str">
        <f t="shared" si="317"/>
        <v>FOR</v>
      </c>
      <c r="O3135" t="s">
        <v>69</v>
      </c>
      <c r="P3135" s="3" t="s">
        <v>75</v>
      </c>
      <c r="Q3135">
        <v>2015</v>
      </c>
      <c r="R3135" s="2">
        <v>42327</v>
      </c>
      <c r="S3135" s="2">
        <v>42328</v>
      </c>
      <c r="T3135" s="2">
        <v>42327</v>
      </c>
      <c r="U3135" s="2">
        <v>42387</v>
      </c>
      <c r="V3135" t="s">
        <v>71</v>
      </c>
      <c r="W3135" t="str">
        <f>"          1023730250"</f>
        <v xml:space="preserve">          1023730250</v>
      </c>
      <c r="X3135">
        <v>100.65</v>
      </c>
      <c r="Y3135">
        <v>0</v>
      </c>
      <c r="Z3135"/>
      <c r="AB3135"/>
      <c r="AC3135">
        <v>82.5</v>
      </c>
      <c r="AD3135">
        <v>190</v>
      </c>
      <c r="AE3135" s="1">
        <v>15675</v>
      </c>
      <c r="AF3135">
        <v>0</v>
      </c>
      <c r="AJ3135">
        <v>0</v>
      </c>
      <c r="AK3135">
        <v>0</v>
      </c>
      <c r="AL3135">
        <v>0</v>
      </c>
      <c r="AM3135">
        <v>0</v>
      </c>
      <c r="AN3135">
        <v>0</v>
      </c>
      <c r="AO3135">
        <v>0</v>
      </c>
      <c r="AP3135" s="2">
        <v>42746</v>
      </c>
      <c r="AQ3135" t="s">
        <v>72</v>
      </c>
      <c r="AR3135" t="s">
        <v>72</v>
      </c>
      <c r="AS3135">
        <v>1933</v>
      </c>
      <c r="AT3135" s="4">
        <v>42577</v>
      </c>
      <c r="AU3135" t="s">
        <v>73</v>
      </c>
      <c r="AV3135">
        <v>1933</v>
      </c>
      <c r="AW3135" s="4">
        <v>42577</v>
      </c>
      <c r="BD3135">
        <v>0</v>
      </c>
      <c r="BN3135" t="s">
        <v>74</v>
      </c>
    </row>
    <row r="3136" spans="1:66" hidden="1">
      <c r="A3136">
        <v>101130</v>
      </c>
      <c r="B3136" s="3" t="s">
        <v>369</v>
      </c>
      <c r="C3136" s="1">
        <v>43300101</v>
      </c>
      <c r="D3136" t="s">
        <v>67</v>
      </c>
      <c r="H3136" t="str">
        <f t="shared" si="319"/>
        <v>09238800156</v>
      </c>
      <c r="I3136" t="str">
        <f t="shared" si="319"/>
        <v>09238800156</v>
      </c>
      <c r="K3136" t="str">
        <f>""</f>
        <v/>
      </c>
      <c r="M3136" t="s">
        <v>68</v>
      </c>
      <c r="N3136" t="str">
        <f t="shared" si="317"/>
        <v>FOR</v>
      </c>
      <c r="O3136" t="s">
        <v>69</v>
      </c>
      <c r="P3136" s="3" t="s">
        <v>75</v>
      </c>
      <c r="Q3136">
        <v>2015</v>
      </c>
      <c r="R3136" s="2">
        <v>42331</v>
      </c>
      <c r="S3136" s="2">
        <v>42333</v>
      </c>
      <c r="T3136" s="2">
        <v>42332</v>
      </c>
      <c r="U3136" s="2">
        <v>42392</v>
      </c>
      <c r="V3136" t="s">
        <v>71</v>
      </c>
      <c r="W3136" t="str">
        <f>"          1023731512"</f>
        <v xml:space="preserve">          1023731512</v>
      </c>
      <c r="X3136" s="1">
        <v>34164</v>
      </c>
      <c r="Y3136">
        <v>0</v>
      </c>
      <c r="Z3136"/>
      <c r="AB3136"/>
      <c r="AC3136" s="1">
        <v>32850</v>
      </c>
      <c r="AD3136">
        <v>185</v>
      </c>
      <c r="AE3136" s="1">
        <v>6077250</v>
      </c>
      <c r="AF3136">
        <v>0</v>
      </c>
      <c r="AJ3136">
        <v>0</v>
      </c>
      <c r="AK3136">
        <v>0</v>
      </c>
      <c r="AL3136">
        <v>0</v>
      </c>
      <c r="AM3136">
        <v>0</v>
      </c>
      <c r="AN3136">
        <v>0</v>
      </c>
      <c r="AO3136">
        <v>0</v>
      </c>
      <c r="AP3136" s="2">
        <v>42746</v>
      </c>
      <c r="AQ3136" t="s">
        <v>72</v>
      </c>
      <c r="AR3136" t="s">
        <v>72</v>
      </c>
      <c r="AS3136">
        <v>1933</v>
      </c>
      <c r="AT3136" s="4">
        <v>42577</v>
      </c>
      <c r="AU3136" t="s">
        <v>73</v>
      </c>
      <c r="AV3136">
        <v>1933</v>
      </c>
      <c r="AW3136" s="4">
        <v>42577</v>
      </c>
      <c r="BD3136">
        <v>0</v>
      </c>
      <c r="BN3136" t="s">
        <v>74</v>
      </c>
    </row>
    <row r="3137" spans="1:66" hidden="1">
      <c r="A3137">
        <v>101130</v>
      </c>
      <c r="B3137" s="3" t="s">
        <v>369</v>
      </c>
      <c r="C3137" s="1">
        <v>43300101</v>
      </c>
      <c r="D3137" t="s">
        <v>67</v>
      </c>
      <c r="H3137" t="str">
        <f t="shared" si="319"/>
        <v>09238800156</v>
      </c>
      <c r="I3137" t="str">
        <f t="shared" si="319"/>
        <v>09238800156</v>
      </c>
      <c r="K3137" t="str">
        <f>""</f>
        <v/>
      </c>
      <c r="M3137" t="s">
        <v>68</v>
      </c>
      <c r="N3137" t="str">
        <f t="shared" si="317"/>
        <v>FOR</v>
      </c>
      <c r="O3137" t="s">
        <v>69</v>
      </c>
      <c r="P3137" s="3" t="s">
        <v>75</v>
      </c>
      <c r="Q3137">
        <v>2015</v>
      </c>
      <c r="R3137" s="2">
        <v>42342</v>
      </c>
      <c r="S3137" s="2">
        <v>42345</v>
      </c>
      <c r="T3137" s="2">
        <v>42342</v>
      </c>
      <c r="U3137" s="2">
        <v>42402</v>
      </c>
      <c r="V3137" t="s">
        <v>71</v>
      </c>
      <c r="W3137" t="str">
        <f>"          1023736983"</f>
        <v xml:space="preserve">          1023736983</v>
      </c>
      <c r="X3137">
        <v>201.3</v>
      </c>
      <c r="Y3137">
        <v>0</v>
      </c>
      <c r="Z3137"/>
      <c r="AB3137"/>
      <c r="AC3137">
        <v>165</v>
      </c>
      <c r="AD3137">
        <v>217</v>
      </c>
      <c r="AE3137" s="1">
        <v>35805</v>
      </c>
      <c r="AF3137">
        <v>0</v>
      </c>
      <c r="AJ3137">
        <v>0</v>
      </c>
      <c r="AK3137">
        <v>0</v>
      </c>
      <c r="AL3137">
        <v>0</v>
      </c>
      <c r="AM3137">
        <v>0</v>
      </c>
      <c r="AN3137">
        <v>0</v>
      </c>
      <c r="AO3137">
        <v>0</v>
      </c>
      <c r="AP3137" s="2">
        <v>42746</v>
      </c>
      <c r="AQ3137" t="s">
        <v>72</v>
      </c>
      <c r="AR3137" t="s">
        <v>72</v>
      </c>
      <c r="AS3137">
        <v>2278</v>
      </c>
      <c r="AT3137" s="4">
        <v>42619</v>
      </c>
      <c r="AU3137" t="s">
        <v>73</v>
      </c>
      <c r="AV3137">
        <v>2278</v>
      </c>
      <c r="AW3137" s="4">
        <v>42619</v>
      </c>
      <c r="BD3137">
        <v>0</v>
      </c>
      <c r="BN3137" t="s">
        <v>74</v>
      </c>
    </row>
    <row r="3138" spans="1:66" hidden="1">
      <c r="A3138">
        <v>101130</v>
      </c>
      <c r="B3138" s="3" t="s">
        <v>369</v>
      </c>
      <c r="C3138" s="1">
        <v>43300101</v>
      </c>
      <c r="D3138" t="s">
        <v>67</v>
      </c>
      <c r="H3138" t="str">
        <f t="shared" si="319"/>
        <v>09238800156</v>
      </c>
      <c r="I3138" t="str">
        <f t="shared" si="319"/>
        <v>09238800156</v>
      </c>
      <c r="K3138" t="str">
        <f>""</f>
        <v/>
      </c>
      <c r="M3138" t="s">
        <v>68</v>
      </c>
      <c r="N3138" t="str">
        <f t="shared" si="317"/>
        <v>FOR</v>
      </c>
      <c r="O3138" t="s">
        <v>69</v>
      </c>
      <c r="P3138" s="3" t="s">
        <v>75</v>
      </c>
      <c r="Q3138">
        <v>2015</v>
      </c>
      <c r="R3138" s="2">
        <v>42345</v>
      </c>
      <c r="S3138" s="2">
        <v>42347</v>
      </c>
      <c r="T3138" s="2">
        <v>42345</v>
      </c>
      <c r="U3138" s="2">
        <v>42405</v>
      </c>
      <c r="V3138" t="s">
        <v>71</v>
      </c>
      <c r="W3138" t="str">
        <f>"          1023737254"</f>
        <v xml:space="preserve">          1023737254</v>
      </c>
      <c r="X3138">
        <v>100.65</v>
      </c>
      <c r="Y3138">
        <v>0</v>
      </c>
      <c r="Z3138"/>
      <c r="AB3138"/>
      <c r="AC3138">
        <v>82.5</v>
      </c>
      <c r="AD3138">
        <v>214</v>
      </c>
      <c r="AE3138" s="1">
        <v>17655</v>
      </c>
      <c r="AF3138">
        <v>0</v>
      </c>
      <c r="AJ3138">
        <v>0</v>
      </c>
      <c r="AK3138">
        <v>0</v>
      </c>
      <c r="AL3138">
        <v>0</v>
      </c>
      <c r="AM3138">
        <v>0</v>
      </c>
      <c r="AN3138">
        <v>0</v>
      </c>
      <c r="AO3138">
        <v>0</v>
      </c>
      <c r="AP3138" s="2">
        <v>42746</v>
      </c>
      <c r="AQ3138" t="s">
        <v>72</v>
      </c>
      <c r="AR3138" t="s">
        <v>72</v>
      </c>
      <c r="AS3138">
        <v>2278</v>
      </c>
      <c r="AT3138" s="4">
        <v>42619</v>
      </c>
      <c r="AU3138" t="s">
        <v>73</v>
      </c>
      <c r="AV3138">
        <v>2278</v>
      </c>
      <c r="AW3138" s="4">
        <v>42619</v>
      </c>
      <c r="BD3138">
        <v>0</v>
      </c>
      <c r="BN3138" t="s">
        <v>74</v>
      </c>
    </row>
    <row r="3139" spans="1:66" hidden="1">
      <c r="A3139">
        <v>101130</v>
      </c>
      <c r="B3139" s="3" t="s">
        <v>369</v>
      </c>
      <c r="C3139" s="1">
        <v>43300101</v>
      </c>
      <c r="D3139" t="s">
        <v>67</v>
      </c>
      <c r="H3139" t="str">
        <f t="shared" si="319"/>
        <v>09238800156</v>
      </c>
      <c r="I3139" t="str">
        <f t="shared" si="319"/>
        <v>09238800156</v>
      </c>
      <c r="K3139" t="str">
        <f>""</f>
        <v/>
      </c>
      <c r="M3139" t="s">
        <v>68</v>
      </c>
      <c r="N3139" t="str">
        <f t="shared" si="317"/>
        <v>FOR</v>
      </c>
      <c r="O3139" t="s">
        <v>69</v>
      </c>
      <c r="P3139" s="3" t="s">
        <v>75</v>
      </c>
      <c r="Q3139">
        <v>2015</v>
      </c>
      <c r="R3139" s="2">
        <v>42345</v>
      </c>
      <c r="S3139" s="2">
        <v>42347</v>
      </c>
      <c r="T3139" s="2">
        <v>42345</v>
      </c>
      <c r="U3139" s="2">
        <v>42405</v>
      </c>
      <c r="V3139" t="s">
        <v>71</v>
      </c>
      <c r="W3139" t="str">
        <f>"          1023737255"</f>
        <v xml:space="preserve">          1023737255</v>
      </c>
      <c r="X3139">
        <v>100.65</v>
      </c>
      <c r="Y3139">
        <v>0</v>
      </c>
      <c r="Z3139"/>
      <c r="AB3139"/>
      <c r="AC3139">
        <v>82.5</v>
      </c>
      <c r="AD3139">
        <v>214</v>
      </c>
      <c r="AE3139" s="1">
        <v>17655</v>
      </c>
      <c r="AF3139">
        <v>0</v>
      </c>
      <c r="AJ3139">
        <v>0</v>
      </c>
      <c r="AK3139">
        <v>0</v>
      </c>
      <c r="AL3139">
        <v>0</v>
      </c>
      <c r="AM3139">
        <v>0</v>
      </c>
      <c r="AN3139">
        <v>0</v>
      </c>
      <c r="AO3139">
        <v>0</v>
      </c>
      <c r="AP3139" s="2">
        <v>42746</v>
      </c>
      <c r="AQ3139" t="s">
        <v>72</v>
      </c>
      <c r="AR3139" t="s">
        <v>72</v>
      </c>
      <c r="AS3139">
        <v>2278</v>
      </c>
      <c r="AT3139" s="4">
        <v>42619</v>
      </c>
      <c r="AU3139" t="s">
        <v>73</v>
      </c>
      <c r="AV3139">
        <v>2278</v>
      </c>
      <c r="AW3139" s="4">
        <v>42619</v>
      </c>
      <c r="BD3139">
        <v>0</v>
      </c>
      <c r="BN3139" t="s">
        <v>74</v>
      </c>
    </row>
    <row r="3140" spans="1:66" hidden="1">
      <c r="A3140">
        <v>101130</v>
      </c>
      <c r="B3140" s="3" t="s">
        <v>369</v>
      </c>
      <c r="C3140" s="1">
        <v>43300101</v>
      </c>
      <c r="D3140" t="s">
        <v>67</v>
      </c>
      <c r="H3140" t="str">
        <f t="shared" si="319"/>
        <v>09238800156</v>
      </c>
      <c r="I3140" t="str">
        <f t="shared" si="319"/>
        <v>09238800156</v>
      </c>
      <c r="K3140" t="str">
        <f>""</f>
        <v/>
      </c>
      <c r="M3140" t="s">
        <v>68</v>
      </c>
      <c r="N3140" t="str">
        <f t="shared" si="317"/>
        <v>FOR</v>
      </c>
      <c r="O3140" t="s">
        <v>69</v>
      </c>
      <c r="P3140" s="3" t="s">
        <v>75</v>
      </c>
      <c r="Q3140">
        <v>2015</v>
      </c>
      <c r="R3140" s="2">
        <v>42348</v>
      </c>
      <c r="S3140" s="2">
        <v>42353</v>
      </c>
      <c r="T3140" s="2">
        <v>42348</v>
      </c>
      <c r="U3140" s="2">
        <v>42408</v>
      </c>
      <c r="V3140" t="s">
        <v>71</v>
      </c>
      <c r="W3140" t="str">
        <f>"          1023738322"</f>
        <v xml:space="preserve">          1023738322</v>
      </c>
      <c r="X3140" s="1">
        <v>24599.84</v>
      </c>
      <c r="Y3140">
        <v>0</v>
      </c>
      <c r="Z3140"/>
      <c r="AB3140"/>
      <c r="AC3140" s="1">
        <v>20163.8</v>
      </c>
      <c r="AD3140">
        <v>211</v>
      </c>
      <c r="AE3140" s="1">
        <v>4254561.8</v>
      </c>
      <c r="AF3140">
        <v>0</v>
      </c>
      <c r="AJ3140">
        <v>0</v>
      </c>
      <c r="AK3140">
        <v>0</v>
      </c>
      <c r="AL3140">
        <v>0</v>
      </c>
      <c r="AM3140">
        <v>0</v>
      </c>
      <c r="AN3140">
        <v>0</v>
      </c>
      <c r="AO3140">
        <v>0</v>
      </c>
      <c r="AP3140" s="2">
        <v>42746</v>
      </c>
      <c r="AQ3140" t="s">
        <v>72</v>
      </c>
      <c r="AR3140" t="s">
        <v>72</v>
      </c>
      <c r="AS3140">
        <v>2278</v>
      </c>
      <c r="AT3140" s="4">
        <v>42619</v>
      </c>
      <c r="AU3140" t="s">
        <v>73</v>
      </c>
      <c r="AV3140">
        <v>2278</v>
      </c>
      <c r="AW3140" s="4">
        <v>42619</v>
      </c>
      <c r="BD3140">
        <v>0</v>
      </c>
      <c r="BN3140" t="s">
        <v>74</v>
      </c>
    </row>
    <row r="3141" spans="1:66" hidden="1">
      <c r="A3141">
        <v>101130</v>
      </c>
      <c r="B3141" s="3" t="s">
        <v>369</v>
      </c>
      <c r="C3141" s="1">
        <v>43300101</v>
      </c>
      <c r="D3141" t="s">
        <v>67</v>
      </c>
      <c r="H3141" t="str">
        <f t="shared" si="319"/>
        <v>09238800156</v>
      </c>
      <c r="I3141" t="str">
        <f t="shared" si="319"/>
        <v>09238800156</v>
      </c>
      <c r="K3141" t="str">
        <f>""</f>
        <v/>
      </c>
      <c r="M3141" t="s">
        <v>68</v>
      </c>
      <c r="N3141" t="str">
        <f t="shared" si="317"/>
        <v>FOR</v>
      </c>
      <c r="O3141" t="s">
        <v>69</v>
      </c>
      <c r="P3141" s="3" t="s">
        <v>75</v>
      </c>
      <c r="Q3141">
        <v>2015</v>
      </c>
      <c r="R3141" s="2">
        <v>42349</v>
      </c>
      <c r="S3141" s="2">
        <v>42354</v>
      </c>
      <c r="T3141" s="2">
        <v>42352</v>
      </c>
      <c r="U3141" s="2">
        <v>42412</v>
      </c>
      <c r="V3141" t="s">
        <v>71</v>
      </c>
      <c r="W3141" t="str">
        <f>"          1023739195"</f>
        <v xml:space="preserve">          1023739195</v>
      </c>
      <c r="X3141" s="1">
        <v>13936</v>
      </c>
      <c r="Y3141">
        <v>0</v>
      </c>
      <c r="Z3141"/>
      <c r="AB3141"/>
      <c r="AC3141" s="1">
        <v>13400</v>
      </c>
      <c r="AD3141">
        <v>207</v>
      </c>
      <c r="AE3141" s="1">
        <v>2773800</v>
      </c>
      <c r="AF3141">
        <v>0</v>
      </c>
      <c r="AJ3141">
        <v>0</v>
      </c>
      <c r="AK3141">
        <v>0</v>
      </c>
      <c r="AL3141">
        <v>0</v>
      </c>
      <c r="AM3141">
        <v>0</v>
      </c>
      <c r="AN3141">
        <v>0</v>
      </c>
      <c r="AO3141">
        <v>0</v>
      </c>
      <c r="AP3141" s="2">
        <v>42746</v>
      </c>
      <c r="AQ3141" t="s">
        <v>72</v>
      </c>
      <c r="AR3141" t="s">
        <v>72</v>
      </c>
      <c r="AS3141">
        <v>2278</v>
      </c>
      <c r="AT3141" s="4">
        <v>42619</v>
      </c>
      <c r="AU3141" t="s">
        <v>73</v>
      </c>
      <c r="AV3141">
        <v>2278</v>
      </c>
      <c r="AW3141" s="4">
        <v>42619</v>
      </c>
      <c r="BD3141">
        <v>0</v>
      </c>
      <c r="BN3141" t="s">
        <v>74</v>
      </c>
    </row>
    <row r="3142" spans="1:66" hidden="1">
      <c r="A3142">
        <v>101130</v>
      </c>
      <c r="B3142" s="3" t="s">
        <v>369</v>
      </c>
      <c r="C3142" s="1">
        <v>43300101</v>
      </c>
      <c r="D3142" t="s">
        <v>67</v>
      </c>
      <c r="H3142" t="str">
        <f t="shared" si="319"/>
        <v>09238800156</v>
      </c>
      <c r="I3142" t="str">
        <f t="shared" si="319"/>
        <v>09238800156</v>
      </c>
      <c r="K3142" t="str">
        <f>""</f>
        <v/>
      </c>
      <c r="M3142" t="s">
        <v>68</v>
      </c>
      <c r="N3142" t="str">
        <f t="shared" si="317"/>
        <v>FOR</v>
      </c>
      <c r="O3142" t="s">
        <v>69</v>
      </c>
      <c r="P3142" s="3" t="s">
        <v>75</v>
      </c>
      <c r="Q3142">
        <v>2015</v>
      </c>
      <c r="R3142" s="2">
        <v>42349</v>
      </c>
      <c r="S3142" s="2">
        <v>42369</v>
      </c>
      <c r="T3142" s="2">
        <v>42352</v>
      </c>
      <c r="U3142" s="2">
        <v>42412</v>
      </c>
      <c r="V3142" t="s">
        <v>71</v>
      </c>
      <c r="W3142" t="str">
        <f>"          1023739196"</f>
        <v xml:space="preserve">          1023739196</v>
      </c>
      <c r="X3142" s="1">
        <v>2080</v>
      </c>
      <c r="Y3142">
        <v>0</v>
      </c>
      <c r="Z3142"/>
      <c r="AB3142"/>
      <c r="AC3142" s="1">
        <v>2000</v>
      </c>
      <c r="AD3142">
        <v>207</v>
      </c>
      <c r="AE3142" s="1">
        <v>414000</v>
      </c>
      <c r="AF3142">
        <v>0</v>
      </c>
      <c r="AJ3142">
        <v>0</v>
      </c>
      <c r="AK3142">
        <v>0</v>
      </c>
      <c r="AL3142">
        <v>0</v>
      </c>
      <c r="AM3142">
        <v>0</v>
      </c>
      <c r="AN3142">
        <v>0</v>
      </c>
      <c r="AO3142">
        <v>0</v>
      </c>
      <c r="AP3142" s="2">
        <v>42746</v>
      </c>
      <c r="AQ3142" t="s">
        <v>72</v>
      </c>
      <c r="AR3142" t="s">
        <v>72</v>
      </c>
      <c r="AS3142">
        <v>2278</v>
      </c>
      <c r="AT3142" s="4">
        <v>42619</v>
      </c>
      <c r="AU3142" t="s">
        <v>73</v>
      </c>
      <c r="AV3142">
        <v>2278</v>
      </c>
      <c r="AW3142" s="4">
        <v>42619</v>
      </c>
      <c r="BD3142">
        <v>0</v>
      </c>
      <c r="BN3142" t="s">
        <v>74</v>
      </c>
    </row>
    <row r="3143" spans="1:66" hidden="1">
      <c r="A3143">
        <v>101130</v>
      </c>
      <c r="B3143" s="3" t="s">
        <v>369</v>
      </c>
      <c r="C3143" s="1">
        <v>43300101</v>
      </c>
      <c r="D3143" t="s">
        <v>67</v>
      </c>
      <c r="H3143" t="str">
        <f t="shared" si="319"/>
        <v>09238800156</v>
      </c>
      <c r="I3143" t="str">
        <f t="shared" si="319"/>
        <v>09238800156</v>
      </c>
      <c r="K3143" t="str">
        <f>""</f>
        <v/>
      </c>
      <c r="M3143" t="s">
        <v>68</v>
      </c>
      <c r="N3143" t="str">
        <f t="shared" ref="N3143:N3174" si="320">"FOR"</f>
        <v>FOR</v>
      </c>
      <c r="O3143" t="s">
        <v>69</v>
      </c>
      <c r="P3143" s="3" t="s">
        <v>75</v>
      </c>
      <c r="Q3143">
        <v>2015</v>
      </c>
      <c r="R3143" s="2">
        <v>42356</v>
      </c>
      <c r="S3143" s="2">
        <v>42359</v>
      </c>
      <c r="T3143" s="2">
        <v>42356</v>
      </c>
      <c r="U3143" s="2">
        <v>42416</v>
      </c>
      <c r="V3143" t="s">
        <v>71</v>
      </c>
      <c r="W3143" t="str">
        <f>"          1023742737"</f>
        <v xml:space="preserve">          1023742737</v>
      </c>
      <c r="X3143">
        <v>950.38</v>
      </c>
      <c r="Y3143">
        <v>0</v>
      </c>
      <c r="Z3143"/>
      <c r="AB3143"/>
      <c r="AC3143">
        <v>779</v>
      </c>
      <c r="AD3143">
        <v>203</v>
      </c>
      <c r="AE3143" s="1">
        <v>158137</v>
      </c>
      <c r="AF3143">
        <v>0</v>
      </c>
      <c r="AJ3143">
        <v>0</v>
      </c>
      <c r="AK3143">
        <v>0</v>
      </c>
      <c r="AL3143">
        <v>0</v>
      </c>
      <c r="AM3143">
        <v>0</v>
      </c>
      <c r="AN3143">
        <v>0</v>
      </c>
      <c r="AO3143">
        <v>0</v>
      </c>
      <c r="AP3143" s="2">
        <v>42746</v>
      </c>
      <c r="AQ3143" t="s">
        <v>72</v>
      </c>
      <c r="AR3143" t="s">
        <v>72</v>
      </c>
      <c r="AS3143">
        <v>2278</v>
      </c>
      <c r="AT3143" s="4">
        <v>42619</v>
      </c>
      <c r="AU3143" t="s">
        <v>73</v>
      </c>
      <c r="AV3143">
        <v>2278</v>
      </c>
      <c r="AW3143" s="4">
        <v>42619</v>
      </c>
      <c r="BD3143">
        <v>0</v>
      </c>
      <c r="BN3143" t="s">
        <v>74</v>
      </c>
    </row>
    <row r="3144" spans="1:66" hidden="1">
      <c r="A3144">
        <v>101130</v>
      </c>
      <c r="B3144" s="3" t="s">
        <v>369</v>
      </c>
      <c r="C3144" s="1">
        <v>43300101</v>
      </c>
      <c r="D3144" t="s">
        <v>67</v>
      </c>
      <c r="H3144" t="str">
        <f t="shared" si="319"/>
        <v>09238800156</v>
      </c>
      <c r="I3144" t="str">
        <f t="shared" si="319"/>
        <v>09238800156</v>
      </c>
      <c r="K3144" t="str">
        <f>""</f>
        <v/>
      </c>
      <c r="M3144" t="s">
        <v>68</v>
      </c>
      <c r="N3144" t="str">
        <f t="shared" si="320"/>
        <v>FOR</v>
      </c>
      <c r="O3144" t="s">
        <v>69</v>
      </c>
      <c r="P3144" s="3" t="s">
        <v>75</v>
      </c>
      <c r="Q3144">
        <v>2015</v>
      </c>
      <c r="R3144" s="2">
        <v>42361</v>
      </c>
      <c r="S3144" s="2">
        <v>42366</v>
      </c>
      <c r="T3144" s="2">
        <v>42362</v>
      </c>
      <c r="U3144" s="2">
        <v>42422</v>
      </c>
      <c r="V3144" t="s">
        <v>71</v>
      </c>
      <c r="W3144" t="str">
        <f>"          1023744700"</f>
        <v xml:space="preserve">          1023744700</v>
      </c>
      <c r="X3144" s="1">
        <v>10431</v>
      </c>
      <c r="Y3144">
        <v>0</v>
      </c>
      <c r="Z3144"/>
      <c r="AB3144"/>
      <c r="AC3144" s="1">
        <v>8550</v>
      </c>
      <c r="AD3144">
        <v>197</v>
      </c>
      <c r="AE3144" s="1">
        <v>1684350</v>
      </c>
      <c r="AF3144">
        <v>0</v>
      </c>
      <c r="AJ3144">
        <v>0</v>
      </c>
      <c r="AK3144">
        <v>0</v>
      </c>
      <c r="AL3144">
        <v>0</v>
      </c>
      <c r="AM3144">
        <v>0</v>
      </c>
      <c r="AN3144">
        <v>0</v>
      </c>
      <c r="AO3144">
        <v>0</v>
      </c>
      <c r="AP3144" s="2">
        <v>42746</v>
      </c>
      <c r="AQ3144" t="s">
        <v>72</v>
      </c>
      <c r="AR3144" t="s">
        <v>72</v>
      </c>
      <c r="AS3144">
        <v>2278</v>
      </c>
      <c r="AT3144" s="4">
        <v>42619</v>
      </c>
      <c r="AU3144" t="s">
        <v>73</v>
      </c>
      <c r="AV3144">
        <v>2278</v>
      </c>
      <c r="AW3144" s="4">
        <v>42619</v>
      </c>
      <c r="BD3144">
        <v>0</v>
      </c>
      <c r="BN3144" t="s">
        <v>74</v>
      </c>
    </row>
    <row r="3145" spans="1:66" hidden="1">
      <c r="A3145">
        <v>101130</v>
      </c>
      <c r="B3145" s="3" t="s">
        <v>369</v>
      </c>
      <c r="C3145" s="1">
        <v>43300101</v>
      </c>
      <c r="D3145" t="s">
        <v>67</v>
      </c>
      <c r="H3145" t="str">
        <f t="shared" si="319"/>
        <v>09238800156</v>
      </c>
      <c r="I3145" t="str">
        <f t="shared" si="319"/>
        <v>09238800156</v>
      </c>
      <c r="K3145" t="str">
        <f>""</f>
        <v/>
      </c>
      <c r="M3145" t="s">
        <v>68</v>
      </c>
      <c r="N3145" t="str">
        <f t="shared" si="320"/>
        <v>FOR</v>
      </c>
      <c r="O3145" t="s">
        <v>69</v>
      </c>
      <c r="P3145" s="3" t="s">
        <v>75</v>
      </c>
      <c r="Q3145">
        <v>2015</v>
      </c>
      <c r="R3145" s="2">
        <v>42362</v>
      </c>
      <c r="S3145" s="2">
        <v>42366</v>
      </c>
      <c r="T3145" s="2">
        <v>42362</v>
      </c>
      <c r="U3145" s="2">
        <v>42422</v>
      </c>
      <c r="V3145" t="s">
        <v>71</v>
      </c>
      <c r="W3145" t="str">
        <f>"          1023745035"</f>
        <v xml:space="preserve">          1023745035</v>
      </c>
      <c r="X3145">
        <v>570.23</v>
      </c>
      <c r="Y3145">
        <v>0</v>
      </c>
      <c r="Z3145"/>
      <c r="AB3145"/>
      <c r="AC3145">
        <v>467.4</v>
      </c>
      <c r="AD3145">
        <v>197</v>
      </c>
      <c r="AE3145" s="1">
        <v>92077.8</v>
      </c>
      <c r="AF3145">
        <v>0</v>
      </c>
      <c r="AJ3145">
        <v>0</v>
      </c>
      <c r="AK3145">
        <v>0</v>
      </c>
      <c r="AL3145">
        <v>0</v>
      </c>
      <c r="AM3145">
        <v>0</v>
      </c>
      <c r="AN3145">
        <v>0</v>
      </c>
      <c r="AO3145">
        <v>0</v>
      </c>
      <c r="AP3145" s="2">
        <v>42746</v>
      </c>
      <c r="AQ3145" t="s">
        <v>72</v>
      </c>
      <c r="AR3145" t="s">
        <v>72</v>
      </c>
      <c r="AS3145">
        <v>2278</v>
      </c>
      <c r="AT3145" s="4">
        <v>42619</v>
      </c>
      <c r="AU3145" t="s">
        <v>73</v>
      </c>
      <c r="AV3145">
        <v>2278</v>
      </c>
      <c r="AW3145" s="4">
        <v>42619</v>
      </c>
      <c r="BD3145">
        <v>0</v>
      </c>
      <c r="BN3145" t="s">
        <v>74</v>
      </c>
    </row>
    <row r="3146" spans="1:66" hidden="1">
      <c r="A3146">
        <v>101130</v>
      </c>
      <c r="B3146" s="3" t="s">
        <v>369</v>
      </c>
      <c r="C3146" s="1">
        <v>43300101</v>
      </c>
      <c r="D3146" t="s">
        <v>67</v>
      </c>
      <c r="H3146" t="str">
        <f t="shared" si="319"/>
        <v>09238800156</v>
      </c>
      <c r="I3146" t="str">
        <f t="shared" si="319"/>
        <v>09238800156</v>
      </c>
      <c r="K3146" t="str">
        <f>""</f>
        <v/>
      </c>
      <c r="M3146" t="s">
        <v>68</v>
      </c>
      <c r="N3146" t="str">
        <f t="shared" si="320"/>
        <v>FOR</v>
      </c>
      <c r="O3146" t="s">
        <v>69</v>
      </c>
      <c r="P3146" s="3" t="s">
        <v>75</v>
      </c>
      <c r="Q3146">
        <v>2015</v>
      </c>
      <c r="R3146" s="2">
        <v>42366</v>
      </c>
      <c r="S3146" s="2">
        <v>42367</v>
      </c>
      <c r="T3146" s="2">
        <v>42366</v>
      </c>
      <c r="U3146" s="2">
        <v>42426</v>
      </c>
      <c r="V3146" t="s">
        <v>71</v>
      </c>
      <c r="W3146" t="str">
        <f>"          1023745470"</f>
        <v xml:space="preserve">          1023745470</v>
      </c>
      <c r="X3146" s="1">
        <v>4192.12</v>
      </c>
      <c r="Y3146">
        <v>0</v>
      </c>
      <c r="Z3146"/>
      <c r="AB3146"/>
      <c r="AC3146" s="1">
        <v>4030.88</v>
      </c>
      <c r="AD3146">
        <v>193</v>
      </c>
      <c r="AE3146" s="1">
        <v>777959.84</v>
      </c>
      <c r="AF3146">
        <v>0</v>
      </c>
      <c r="AJ3146">
        <v>0</v>
      </c>
      <c r="AK3146">
        <v>0</v>
      </c>
      <c r="AL3146">
        <v>0</v>
      </c>
      <c r="AM3146">
        <v>0</v>
      </c>
      <c r="AN3146">
        <v>0</v>
      </c>
      <c r="AO3146">
        <v>0</v>
      </c>
      <c r="AP3146" s="2">
        <v>42746</v>
      </c>
      <c r="AQ3146" t="s">
        <v>72</v>
      </c>
      <c r="AR3146" t="s">
        <v>72</v>
      </c>
      <c r="AS3146">
        <v>2278</v>
      </c>
      <c r="AT3146" s="4">
        <v>42619</v>
      </c>
      <c r="AU3146" t="s">
        <v>73</v>
      </c>
      <c r="AV3146">
        <v>2278</v>
      </c>
      <c r="AW3146" s="4">
        <v>42619</v>
      </c>
      <c r="BD3146">
        <v>0</v>
      </c>
      <c r="BN3146" t="s">
        <v>74</v>
      </c>
    </row>
    <row r="3147" spans="1:66" hidden="1">
      <c r="A3147">
        <v>101130</v>
      </c>
      <c r="B3147" s="3" t="s">
        <v>369</v>
      </c>
      <c r="C3147" s="1">
        <v>43300101</v>
      </c>
      <c r="D3147" t="s">
        <v>67</v>
      </c>
      <c r="H3147" t="str">
        <f t="shared" si="319"/>
        <v>09238800156</v>
      </c>
      <c r="I3147" t="str">
        <f t="shared" si="319"/>
        <v>09238800156</v>
      </c>
      <c r="K3147" t="str">
        <f>""</f>
        <v/>
      </c>
      <c r="M3147" t="s">
        <v>68</v>
      </c>
      <c r="N3147" t="str">
        <f t="shared" si="320"/>
        <v>FOR</v>
      </c>
      <c r="O3147" t="s">
        <v>69</v>
      </c>
      <c r="P3147" s="3" t="s">
        <v>75</v>
      </c>
      <c r="Q3147">
        <v>2015</v>
      </c>
      <c r="R3147" s="2">
        <v>42367</v>
      </c>
      <c r="S3147" s="2">
        <v>42367</v>
      </c>
      <c r="T3147" s="2">
        <v>42367</v>
      </c>
      <c r="U3147" s="2">
        <v>42427</v>
      </c>
      <c r="V3147" t="s">
        <v>71</v>
      </c>
      <c r="W3147" t="str">
        <f>"          1023745717"</f>
        <v xml:space="preserve">          1023745717</v>
      </c>
      <c r="X3147" s="1">
        <v>9787.32</v>
      </c>
      <c r="Y3147">
        <v>0</v>
      </c>
      <c r="Z3147"/>
      <c r="AB3147"/>
      <c r="AC3147" s="1">
        <v>9410.8799999999992</v>
      </c>
      <c r="AD3147">
        <v>192</v>
      </c>
      <c r="AE3147" s="1">
        <v>1806888.96</v>
      </c>
      <c r="AF3147">
        <v>0</v>
      </c>
      <c r="AJ3147">
        <v>0</v>
      </c>
      <c r="AK3147">
        <v>0</v>
      </c>
      <c r="AL3147">
        <v>0</v>
      </c>
      <c r="AM3147">
        <v>0</v>
      </c>
      <c r="AN3147">
        <v>0</v>
      </c>
      <c r="AO3147">
        <v>0</v>
      </c>
      <c r="AP3147" s="2">
        <v>42746</v>
      </c>
      <c r="AQ3147" t="s">
        <v>72</v>
      </c>
      <c r="AR3147" t="s">
        <v>72</v>
      </c>
      <c r="AS3147">
        <v>2278</v>
      </c>
      <c r="AT3147" s="4">
        <v>42619</v>
      </c>
      <c r="AU3147" t="s">
        <v>73</v>
      </c>
      <c r="AV3147">
        <v>2278</v>
      </c>
      <c r="AW3147" s="4">
        <v>42619</v>
      </c>
      <c r="BD3147">
        <v>0</v>
      </c>
      <c r="BN3147" t="s">
        <v>74</v>
      </c>
    </row>
    <row r="3148" spans="1:66" hidden="1">
      <c r="A3148">
        <v>101130</v>
      </c>
      <c r="B3148" s="3" t="s">
        <v>369</v>
      </c>
      <c r="C3148" s="1">
        <v>43300101</v>
      </c>
      <c r="D3148" t="s">
        <v>67</v>
      </c>
      <c r="H3148" t="str">
        <f t="shared" si="319"/>
        <v>09238800156</v>
      </c>
      <c r="I3148" t="str">
        <f t="shared" si="319"/>
        <v>09238800156</v>
      </c>
      <c r="K3148" t="str">
        <f>""</f>
        <v/>
      </c>
      <c r="M3148" t="s">
        <v>68</v>
      </c>
      <c r="N3148" t="str">
        <f t="shared" si="320"/>
        <v>FOR</v>
      </c>
      <c r="O3148" t="s">
        <v>69</v>
      </c>
      <c r="P3148" s="3" t="s">
        <v>75</v>
      </c>
      <c r="Q3148">
        <v>2015</v>
      </c>
      <c r="R3148" s="2">
        <v>42367</v>
      </c>
      <c r="S3148" s="2">
        <v>42368</v>
      </c>
      <c r="T3148" s="2">
        <v>42367</v>
      </c>
      <c r="U3148" s="2">
        <v>42427</v>
      </c>
      <c r="V3148" t="s">
        <v>71</v>
      </c>
      <c r="W3148" t="str">
        <f>"          1023746124"</f>
        <v xml:space="preserve">          1023746124</v>
      </c>
      <c r="X3148">
        <v>750.3</v>
      </c>
      <c r="Y3148">
        <v>0</v>
      </c>
      <c r="Z3148"/>
      <c r="AB3148"/>
      <c r="AC3148">
        <v>615</v>
      </c>
      <c r="AD3148">
        <v>192</v>
      </c>
      <c r="AE3148" s="1">
        <v>118080</v>
      </c>
      <c r="AF3148">
        <v>0</v>
      </c>
      <c r="AJ3148">
        <v>0</v>
      </c>
      <c r="AK3148">
        <v>0</v>
      </c>
      <c r="AL3148">
        <v>0</v>
      </c>
      <c r="AM3148">
        <v>0</v>
      </c>
      <c r="AN3148">
        <v>0</v>
      </c>
      <c r="AO3148">
        <v>0</v>
      </c>
      <c r="AP3148" s="2">
        <v>42746</v>
      </c>
      <c r="AQ3148" t="s">
        <v>72</v>
      </c>
      <c r="AR3148" t="s">
        <v>72</v>
      </c>
      <c r="AS3148">
        <v>2278</v>
      </c>
      <c r="AT3148" s="4">
        <v>42619</v>
      </c>
      <c r="AU3148" t="s">
        <v>73</v>
      </c>
      <c r="AV3148">
        <v>2278</v>
      </c>
      <c r="AW3148" s="4">
        <v>42619</v>
      </c>
      <c r="BD3148">
        <v>0</v>
      </c>
      <c r="BN3148" t="s">
        <v>74</v>
      </c>
    </row>
    <row r="3149" spans="1:66" hidden="1">
      <c r="A3149">
        <v>101130</v>
      </c>
      <c r="B3149" s="3" t="s">
        <v>369</v>
      </c>
      <c r="C3149" s="1">
        <v>43300101</v>
      </c>
      <c r="D3149" t="s">
        <v>67</v>
      </c>
      <c r="H3149" t="str">
        <f t="shared" si="319"/>
        <v>09238800156</v>
      </c>
      <c r="I3149" t="str">
        <f t="shared" si="319"/>
        <v>09238800156</v>
      </c>
      <c r="K3149" t="str">
        <f>""</f>
        <v/>
      </c>
      <c r="M3149" t="s">
        <v>68</v>
      </c>
      <c r="N3149" t="str">
        <f t="shared" si="320"/>
        <v>FOR</v>
      </c>
      <c r="O3149" t="s">
        <v>69</v>
      </c>
      <c r="P3149" s="3" t="s">
        <v>234</v>
      </c>
      <c r="Q3149">
        <v>2015</v>
      </c>
      <c r="R3149" s="2">
        <v>42271</v>
      </c>
      <c r="S3149" s="2">
        <v>42296</v>
      </c>
      <c r="T3149" s="2">
        <v>42293</v>
      </c>
      <c r="U3149" s="2">
        <v>42353</v>
      </c>
      <c r="V3149" t="s">
        <v>71</v>
      </c>
      <c r="W3149" t="str">
        <f>"          1027493363"</f>
        <v xml:space="preserve">          1027493363</v>
      </c>
      <c r="X3149" s="1">
        <v>1722.75</v>
      </c>
      <c r="Y3149">
        <v>0</v>
      </c>
      <c r="Z3149"/>
      <c r="AB3149"/>
      <c r="AC3149" s="1">
        <v>1412.09</v>
      </c>
      <c r="AD3149">
        <v>167</v>
      </c>
      <c r="AE3149" s="1">
        <v>235819.03</v>
      </c>
      <c r="AF3149">
        <v>0</v>
      </c>
      <c r="AJ3149">
        <v>0</v>
      </c>
      <c r="AK3149">
        <v>0</v>
      </c>
      <c r="AL3149">
        <v>0</v>
      </c>
      <c r="AM3149">
        <v>0</v>
      </c>
      <c r="AN3149">
        <v>0</v>
      </c>
      <c r="AO3149">
        <v>0</v>
      </c>
      <c r="AP3149" s="2">
        <v>42746</v>
      </c>
      <c r="AQ3149" t="s">
        <v>72</v>
      </c>
      <c r="AR3149" t="s">
        <v>72</v>
      </c>
      <c r="AS3149">
        <v>1457</v>
      </c>
      <c r="AT3149" s="4">
        <v>42520</v>
      </c>
      <c r="AU3149" t="s">
        <v>73</v>
      </c>
      <c r="AV3149">
        <v>1457</v>
      </c>
      <c r="AW3149" s="4">
        <v>42520</v>
      </c>
      <c r="BD3149">
        <v>0</v>
      </c>
      <c r="BN3149" t="s">
        <v>74</v>
      </c>
    </row>
    <row r="3150" spans="1:66">
      <c r="A3150">
        <v>101130</v>
      </c>
      <c r="B3150" s="3" t="s">
        <v>369</v>
      </c>
      <c r="C3150" s="1">
        <v>43300101</v>
      </c>
      <c r="D3150" t="s">
        <v>67</v>
      </c>
      <c r="H3150" t="str">
        <f t="shared" si="319"/>
        <v>09238800156</v>
      </c>
      <c r="I3150" t="str">
        <f t="shared" si="319"/>
        <v>09238800156</v>
      </c>
      <c r="K3150" t="str">
        <f>""</f>
        <v/>
      </c>
      <c r="M3150" t="s">
        <v>68</v>
      </c>
      <c r="N3150" t="str">
        <f t="shared" si="320"/>
        <v>FOR</v>
      </c>
      <c r="O3150" t="s">
        <v>69</v>
      </c>
      <c r="P3150" s="3" t="s">
        <v>75</v>
      </c>
      <c r="Q3150">
        <v>2016</v>
      </c>
      <c r="R3150" s="2">
        <v>42398</v>
      </c>
      <c r="S3150" s="2">
        <v>42401</v>
      </c>
      <c r="T3150" s="2">
        <v>42398</v>
      </c>
      <c r="U3150" s="2">
        <v>42458</v>
      </c>
      <c r="V3150" t="s">
        <v>71</v>
      </c>
      <c r="W3150" t="str">
        <f>"          1023812253"</f>
        <v xml:space="preserve">          1023812253</v>
      </c>
      <c r="X3150" s="1">
        <v>1176.08</v>
      </c>
      <c r="Y3150">
        <v>0</v>
      </c>
      <c r="Z3150" s="3">
        <v>964</v>
      </c>
      <c r="AA3150">
        <v>188</v>
      </c>
      <c r="AB3150" s="5">
        <v>181232</v>
      </c>
      <c r="AC3150">
        <v>964</v>
      </c>
      <c r="AD3150">
        <v>188</v>
      </c>
      <c r="AE3150" s="1">
        <v>181232</v>
      </c>
      <c r="AF3150">
        <v>0</v>
      </c>
      <c r="AJ3150">
        <v>0</v>
      </c>
      <c r="AK3150">
        <v>0</v>
      </c>
      <c r="AL3150">
        <v>0</v>
      </c>
      <c r="AM3150" s="1">
        <v>1176.08</v>
      </c>
      <c r="AN3150" s="1">
        <v>1176.08</v>
      </c>
      <c r="AO3150" s="1">
        <v>1176.08</v>
      </c>
      <c r="AP3150" s="2">
        <v>42746</v>
      </c>
      <c r="AQ3150" t="s">
        <v>72</v>
      </c>
      <c r="AR3150" t="s">
        <v>72</v>
      </c>
      <c r="AS3150">
        <v>2566</v>
      </c>
      <c r="AT3150" s="4">
        <v>42646</v>
      </c>
      <c r="AU3150" t="s">
        <v>73</v>
      </c>
      <c r="AV3150">
        <v>2566</v>
      </c>
      <c r="AW3150" s="4">
        <v>42646</v>
      </c>
      <c r="BD3150">
        <v>0</v>
      </c>
      <c r="BN3150" t="s">
        <v>74</v>
      </c>
    </row>
    <row r="3151" spans="1:66">
      <c r="A3151">
        <v>101130</v>
      </c>
      <c r="B3151" s="3" t="s">
        <v>369</v>
      </c>
      <c r="C3151" s="1">
        <v>43300101</v>
      </c>
      <c r="D3151" t="s">
        <v>67</v>
      </c>
      <c r="H3151" t="str">
        <f t="shared" si="319"/>
        <v>09238800156</v>
      </c>
      <c r="I3151" t="str">
        <f t="shared" si="319"/>
        <v>09238800156</v>
      </c>
      <c r="K3151" t="str">
        <f>""</f>
        <v/>
      </c>
      <c r="M3151" t="s">
        <v>68</v>
      </c>
      <c r="N3151" t="str">
        <f t="shared" si="320"/>
        <v>FOR</v>
      </c>
      <c r="O3151" t="s">
        <v>69</v>
      </c>
      <c r="P3151" s="3" t="s">
        <v>75</v>
      </c>
      <c r="Q3151">
        <v>2016</v>
      </c>
      <c r="R3151" s="2">
        <v>42409</v>
      </c>
      <c r="S3151" s="2">
        <v>42410</v>
      </c>
      <c r="T3151" s="2">
        <v>42409</v>
      </c>
      <c r="U3151" s="2">
        <v>42469</v>
      </c>
      <c r="V3151" t="s">
        <v>71</v>
      </c>
      <c r="W3151" t="str">
        <f>"          1023816548"</f>
        <v xml:space="preserve">          1023816548</v>
      </c>
      <c r="X3151" s="1">
        <v>1176.08</v>
      </c>
      <c r="Y3151">
        <v>0</v>
      </c>
      <c r="Z3151" s="3">
        <v>964</v>
      </c>
      <c r="AA3151">
        <v>177</v>
      </c>
      <c r="AB3151" s="5">
        <v>170628</v>
      </c>
      <c r="AC3151">
        <v>964</v>
      </c>
      <c r="AD3151">
        <v>177</v>
      </c>
      <c r="AE3151" s="1">
        <v>170628</v>
      </c>
      <c r="AF3151">
        <v>0</v>
      </c>
      <c r="AJ3151">
        <v>0</v>
      </c>
      <c r="AK3151">
        <v>0</v>
      </c>
      <c r="AL3151">
        <v>0</v>
      </c>
      <c r="AM3151" s="1">
        <v>1176.08</v>
      </c>
      <c r="AN3151" s="1">
        <v>1176.08</v>
      </c>
      <c r="AO3151" s="1">
        <v>1176.08</v>
      </c>
      <c r="AP3151" s="2">
        <v>42746</v>
      </c>
      <c r="AQ3151" t="s">
        <v>72</v>
      </c>
      <c r="AR3151" t="s">
        <v>72</v>
      </c>
      <c r="AS3151">
        <v>2566</v>
      </c>
      <c r="AT3151" s="4">
        <v>42646</v>
      </c>
      <c r="AU3151" t="s">
        <v>73</v>
      </c>
      <c r="AV3151">
        <v>2566</v>
      </c>
      <c r="AW3151" s="4">
        <v>42646</v>
      </c>
      <c r="BD3151">
        <v>0</v>
      </c>
      <c r="BN3151" t="s">
        <v>74</v>
      </c>
    </row>
    <row r="3152" spans="1:66">
      <c r="A3152">
        <v>101130</v>
      </c>
      <c r="B3152" s="3" t="s">
        <v>369</v>
      </c>
      <c r="C3152" s="1">
        <v>43300101</v>
      </c>
      <c r="D3152" t="s">
        <v>67</v>
      </c>
      <c r="H3152" t="str">
        <f t="shared" ref="H3152:I3171" si="321">"09238800156"</f>
        <v>09238800156</v>
      </c>
      <c r="I3152" t="str">
        <f t="shared" si="321"/>
        <v>09238800156</v>
      </c>
      <c r="K3152" t="str">
        <f>""</f>
        <v/>
      </c>
      <c r="M3152" t="s">
        <v>68</v>
      </c>
      <c r="N3152" t="str">
        <f t="shared" si="320"/>
        <v>FOR</v>
      </c>
      <c r="O3152" t="s">
        <v>69</v>
      </c>
      <c r="P3152" s="3" t="s">
        <v>75</v>
      </c>
      <c r="Q3152">
        <v>2016</v>
      </c>
      <c r="R3152" s="2">
        <v>42411</v>
      </c>
      <c r="S3152" s="2">
        <v>42417</v>
      </c>
      <c r="T3152" s="2">
        <v>42411</v>
      </c>
      <c r="U3152" s="2">
        <v>42471</v>
      </c>
      <c r="V3152" t="s">
        <v>71</v>
      </c>
      <c r="W3152" t="str">
        <f>"          1023817891"</f>
        <v xml:space="preserve">          1023817891</v>
      </c>
      <c r="X3152">
        <v>235.39</v>
      </c>
      <c r="Y3152">
        <v>0</v>
      </c>
      <c r="Z3152" s="3">
        <v>192.94</v>
      </c>
      <c r="AA3152">
        <v>175</v>
      </c>
      <c r="AB3152" s="5">
        <v>33764.5</v>
      </c>
      <c r="AC3152">
        <v>192.94</v>
      </c>
      <c r="AD3152">
        <v>175</v>
      </c>
      <c r="AE3152" s="1">
        <v>33764.5</v>
      </c>
      <c r="AF3152">
        <v>0</v>
      </c>
      <c r="AJ3152">
        <v>0</v>
      </c>
      <c r="AK3152">
        <v>0</v>
      </c>
      <c r="AL3152">
        <v>0</v>
      </c>
      <c r="AM3152">
        <v>235.39</v>
      </c>
      <c r="AN3152">
        <v>235.39</v>
      </c>
      <c r="AO3152">
        <v>235.39</v>
      </c>
      <c r="AP3152" s="2">
        <v>42746</v>
      </c>
      <c r="AQ3152" t="s">
        <v>72</v>
      </c>
      <c r="AR3152" t="s">
        <v>72</v>
      </c>
      <c r="AS3152">
        <v>2566</v>
      </c>
      <c r="AT3152" s="4">
        <v>42646</v>
      </c>
      <c r="AU3152" t="s">
        <v>73</v>
      </c>
      <c r="AV3152">
        <v>2566</v>
      </c>
      <c r="AW3152" s="4">
        <v>42646</v>
      </c>
      <c r="BD3152">
        <v>0</v>
      </c>
      <c r="BN3152" t="s">
        <v>74</v>
      </c>
    </row>
    <row r="3153" spans="1:66">
      <c r="A3153">
        <v>101130</v>
      </c>
      <c r="B3153" s="3" t="s">
        <v>369</v>
      </c>
      <c r="C3153" s="1">
        <v>43300101</v>
      </c>
      <c r="D3153" t="s">
        <v>67</v>
      </c>
      <c r="H3153" t="str">
        <f t="shared" si="321"/>
        <v>09238800156</v>
      </c>
      <c r="I3153" t="str">
        <f t="shared" si="321"/>
        <v>09238800156</v>
      </c>
      <c r="K3153" t="str">
        <f>""</f>
        <v/>
      </c>
      <c r="M3153" t="s">
        <v>68</v>
      </c>
      <c r="N3153" t="str">
        <f t="shared" si="320"/>
        <v>FOR</v>
      </c>
      <c r="O3153" t="s">
        <v>69</v>
      </c>
      <c r="P3153" s="3" t="s">
        <v>75</v>
      </c>
      <c r="Q3153">
        <v>2016</v>
      </c>
      <c r="R3153" s="2">
        <v>42422</v>
      </c>
      <c r="S3153" s="2">
        <v>42425</v>
      </c>
      <c r="T3153" s="2">
        <v>42423</v>
      </c>
      <c r="U3153" s="2">
        <v>42483</v>
      </c>
      <c r="V3153" t="s">
        <v>71</v>
      </c>
      <c r="W3153" t="str">
        <f>"          1023822694"</f>
        <v xml:space="preserve">          1023822694</v>
      </c>
      <c r="X3153" s="1">
        <v>1040</v>
      </c>
      <c r="Y3153">
        <v>0</v>
      </c>
      <c r="Z3153" s="5">
        <v>1000</v>
      </c>
      <c r="AA3153">
        <v>163</v>
      </c>
      <c r="AB3153" s="5">
        <v>163000</v>
      </c>
      <c r="AC3153" s="1">
        <v>1000</v>
      </c>
      <c r="AD3153">
        <v>163</v>
      </c>
      <c r="AE3153" s="1">
        <v>163000</v>
      </c>
      <c r="AF3153">
        <v>0</v>
      </c>
      <c r="AJ3153">
        <v>0</v>
      </c>
      <c r="AK3153">
        <v>0</v>
      </c>
      <c r="AL3153">
        <v>0</v>
      </c>
      <c r="AM3153" s="1">
        <v>1040</v>
      </c>
      <c r="AN3153" s="1">
        <v>1040</v>
      </c>
      <c r="AO3153" s="1">
        <v>1040</v>
      </c>
      <c r="AP3153" s="2">
        <v>42746</v>
      </c>
      <c r="AQ3153" t="s">
        <v>72</v>
      </c>
      <c r="AR3153" t="s">
        <v>72</v>
      </c>
      <c r="AS3153">
        <v>2566</v>
      </c>
      <c r="AT3153" s="4">
        <v>42646</v>
      </c>
      <c r="AU3153" t="s">
        <v>73</v>
      </c>
      <c r="AV3153">
        <v>2566</v>
      </c>
      <c r="AW3153" s="4">
        <v>42646</v>
      </c>
      <c r="BD3153">
        <v>0</v>
      </c>
      <c r="BN3153" t="s">
        <v>74</v>
      </c>
    </row>
    <row r="3154" spans="1:66">
      <c r="A3154">
        <v>101130</v>
      </c>
      <c r="B3154" s="3" t="s">
        <v>369</v>
      </c>
      <c r="C3154" s="1">
        <v>43300101</v>
      </c>
      <c r="D3154" t="s">
        <v>67</v>
      </c>
      <c r="H3154" t="str">
        <f t="shared" si="321"/>
        <v>09238800156</v>
      </c>
      <c r="I3154" t="str">
        <f t="shared" si="321"/>
        <v>09238800156</v>
      </c>
      <c r="K3154" t="str">
        <f>""</f>
        <v/>
      </c>
      <c r="M3154" t="s">
        <v>68</v>
      </c>
      <c r="N3154" t="str">
        <f t="shared" si="320"/>
        <v>FOR</v>
      </c>
      <c r="O3154" t="s">
        <v>69</v>
      </c>
      <c r="P3154" s="3" t="s">
        <v>75</v>
      </c>
      <c r="Q3154">
        <v>2016</v>
      </c>
      <c r="R3154" s="2">
        <v>42426</v>
      </c>
      <c r="S3154" s="2">
        <v>42436</v>
      </c>
      <c r="T3154" s="2">
        <v>42426</v>
      </c>
      <c r="U3154" s="2">
        <v>42486</v>
      </c>
      <c r="V3154" t="s">
        <v>71</v>
      </c>
      <c r="W3154" t="str">
        <f>"          1023825524"</f>
        <v xml:space="preserve">          1023825524</v>
      </c>
      <c r="X3154" s="1">
        <v>2575.37</v>
      </c>
      <c r="Y3154">
        <v>0</v>
      </c>
      <c r="Z3154" s="5">
        <v>2476.3200000000002</v>
      </c>
      <c r="AA3154">
        <v>160</v>
      </c>
      <c r="AB3154" s="5">
        <v>396211.20000000001</v>
      </c>
      <c r="AC3154" s="1">
        <v>2476.3200000000002</v>
      </c>
      <c r="AD3154">
        <v>160</v>
      </c>
      <c r="AE3154" s="1">
        <v>396211.20000000001</v>
      </c>
      <c r="AF3154">
        <v>0</v>
      </c>
      <c r="AJ3154">
        <v>0</v>
      </c>
      <c r="AK3154">
        <v>0</v>
      </c>
      <c r="AL3154">
        <v>0</v>
      </c>
      <c r="AM3154" s="1">
        <v>2575.37</v>
      </c>
      <c r="AN3154" s="1">
        <v>2575.37</v>
      </c>
      <c r="AO3154" s="1">
        <v>2575.37</v>
      </c>
      <c r="AP3154" s="2">
        <v>42746</v>
      </c>
      <c r="AQ3154" t="s">
        <v>72</v>
      </c>
      <c r="AR3154" t="s">
        <v>72</v>
      </c>
      <c r="AS3154">
        <v>2566</v>
      </c>
      <c r="AT3154" s="4">
        <v>42646</v>
      </c>
      <c r="AU3154" t="s">
        <v>73</v>
      </c>
      <c r="AV3154">
        <v>2566</v>
      </c>
      <c r="AW3154" s="4">
        <v>42646</v>
      </c>
      <c r="BD3154">
        <v>0</v>
      </c>
      <c r="BN3154" t="s">
        <v>74</v>
      </c>
    </row>
    <row r="3155" spans="1:66">
      <c r="A3155">
        <v>101130</v>
      </c>
      <c r="B3155" s="3" t="s">
        <v>369</v>
      </c>
      <c r="C3155" s="1">
        <v>43300101</v>
      </c>
      <c r="D3155" t="s">
        <v>67</v>
      </c>
      <c r="H3155" t="str">
        <f t="shared" si="321"/>
        <v>09238800156</v>
      </c>
      <c r="I3155" t="str">
        <f t="shared" si="321"/>
        <v>09238800156</v>
      </c>
      <c r="K3155" t="str">
        <f>""</f>
        <v/>
      </c>
      <c r="M3155" t="s">
        <v>68</v>
      </c>
      <c r="N3155" t="str">
        <f t="shared" si="320"/>
        <v>FOR</v>
      </c>
      <c r="O3155" t="s">
        <v>69</v>
      </c>
      <c r="P3155" s="3" t="s">
        <v>75</v>
      </c>
      <c r="Q3155">
        <v>2016</v>
      </c>
      <c r="R3155" s="2">
        <v>42431</v>
      </c>
      <c r="S3155" s="2">
        <v>42436</v>
      </c>
      <c r="T3155" s="2">
        <v>42432</v>
      </c>
      <c r="U3155" s="2">
        <v>42492</v>
      </c>
      <c r="V3155" t="s">
        <v>71</v>
      </c>
      <c r="W3155" t="str">
        <f>"          1023827473"</f>
        <v xml:space="preserve">          1023827473</v>
      </c>
      <c r="X3155" s="1">
        <v>1107.1500000000001</v>
      </c>
      <c r="Y3155">
        <v>0</v>
      </c>
      <c r="Z3155" s="3">
        <v>907.5</v>
      </c>
      <c r="AA3155">
        <v>154</v>
      </c>
      <c r="AB3155" s="5">
        <v>139755</v>
      </c>
      <c r="AC3155">
        <v>907.5</v>
      </c>
      <c r="AD3155">
        <v>154</v>
      </c>
      <c r="AE3155" s="1">
        <v>139755</v>
      </c>
      <c r="AF3155">
        <v>0</v>
      </c>
      <c r="AJ3155">
        <v>0</v>
      </c>
      <c r="AK3155">
        <v>0</v>
      </c>
      <c r="AL3155">
        <v>0</v>
      </c>
      <c r="AM3155" s="1">
        <v>1107.1500000000001</v>
      </c>
      <c r="AN3155" s="1">
        <v>1107.1500000000001</v>
      </c>
      <c r="AO3155" s="1">
        <v>1107.1500000000001</v>
      </c>
      <c r="AP3155" s="2">
        <v>42746</v>
      </c>
      <c r="AQ3155" t="s">
        <v>72</v>
      </c>
      <c r="AR3155" t="s">
        <v>72</v>
      </c>
      <c r="AS3155">
        <v>2566</v>
      </c>
      <c r="AT3155" s="4">
        <v>42646</v>
      </c>
      <c r="AU3155" t="s">
        <v>73</v>
      </c>
      <c r="AV3155">
        <v>2566</v>
      </c>
      <c r="AW3155" s="4">
        <v>42646</v>
      </c>
      <c r="BD3155">
        <v>0</v>
      </c>
      <c r="BN3155" t="s">
        <v>74</v>
      </c>
    </row>
    <row r="3156" spans="1:66">
      <c r="A3156">
        <v>101130</v>
      </c>
      <c r="B3156" s="3" t="s">
        <v>369</v>
      </c>
      <c r="C3156" s="1">
        <v>43300101</v>
      </c>
      <c r="D3156" t="s">
        <v>67</v>
      </c>
      <c r="H3156" t="str">
        <f t="shared" si="321"/>
        <v>09238800156</v>
      </c>
      <c r="I3156" t="str">
        <f t="shared" si="321"/>
        <v>09238800156</v>
      </c>
      <c r="K3156" t="str">
        <f>""</f>
        <v/>
      </c>
      <c r="M3156" t="s">
        <v>68</v>
      </c>
      <c r="N3156" t="str">
        <f t="shared" si="320"/>
        <v>FOR</v>
      </c>
      <c r="O3156" t="s">
        <v>69</v>
      </c>
      <c r="P3156" s="3" t="s">
        <v>75</v>
      </c>
      <c r="Q3156">
        <v>2016</v>
      </c>
      <c r="R3156" s="2">
        <v>42432</v>
      </c>
      <c r="S3156" s="2">
        <v>42436</v>
      </c>
      <c r="T3156" s="2">
        <v>42433</v>
      </c>
      <c r="U3156" s="2">
        <v>42493</v>
      </c>
      <c r="V3156" t="s">
        <v>71</v>
      </c>
      <c r="W3156" t="str">
        <f>"          1023828618"</f>
        <v xml:space="preserve">          1023828618</v>
      </c>
      <c r="X3156" s="1">
        <v>13676</v>
      </c>
      <c r="Y3156">
        <v>0</v>
      </c>
      <c r="Z3156" s="5">
        <v>13150</v>
      </c>
      <c r="AA3156">
        <v>153</v>
      </c>
      <c r="AB3156" s="5">
        <v>2011950</v>
      </c>
      <c r="AC3156" s="1">
        <v>13150</v>
      </c>
      <c r="AD3156">
        <v>153</v>
      </c>
      <c r="AE3156" s="1">
        <v>2011950</v>
      </c>
      <c r="AF3156">
        <v>0</v>
      </c>
      <c r="AJ3156">
        <v>0</v>
      </c>
      <c r="AK3156">
        <v>0</v>
      </c>
      <c r="AL3156">
        <v>0</v>
      </c>
      <c r="AM3156">
        <v>0</v>
      </c>
      <c r="AN3156" s="1">
        <v>13676</v>
      </c>
      <c r="AO3156" s="1">
        <v>13676</v>
      </c>
      <c r="AP3156" s="2">
        <v>42746</v>
      </c>
      <c r="AQ3156" t="s">
        <v>72</v>
      </c>
      <c r="AR3156" t="s">
        <v>72</v>
      </c>
      <c r="AS3156">
        <v>2566</v>
      </c>
      <c r="AT3156" s="4">
        <v>42646</v>
      </c>
      <c r="AU3156" t="s">
        <v>73</v>
      </c>
      <c r="AV3156">
        <v>2566</v>
      </c>
      <c r="AW3156" s="4">
        <v>42646</v>
      </c>
      <c r="BD3156">
        <v>0</v>
      </c>
      <c r="BN3156" t="s">
        <v>74</v>
      </c>
    </row>
    <row r="3157" spans="1:66">
      <c r="A3157">
        <v>101130</v>
      </c>
      <c r="B3157" s="3" t="s">
        <v>369</v>
      </c>
      <c r="C3157" s="1">
        <v>43300101</v>
      </c>
      <c r="D3157" t="s">
        <v>67</v>
      </c>
      <c r="H3157" t="str">
        <f t="shared" si="321"/>
        <v>09238800156</v>
      </c>
      <c r="I3157" t="str">
        <f t="shared" si="321"/>
        <v>09238800156</v>
      </c>
      <c r="K3157" t="str">
        <f>""</f>
        <v/>
      </c>
      <c r="M3157" t="s">
        <v>68</v>
      </c>
      <c r="N3157" t="str">
        <f t="shared" si="320"/>
        <v>FOR</v>
      </c>
      <c r="O3157" t="s">
        <v>69</v>
      </c>
      <c r="P3157" s="3" t="s">
        <v>75</v>
      </c>
      <c r="Q3157">
        <v>2016</v>
      </c>
      <c r="R3157" s="2">
        <v>42433</v>
      </c>
      <c r="S3157" s="2">
        <v>42436</v>
      </c>
      <c r="T3157" s="2">
        <v>42433</v>
      </c>
      <c r="U3157" s="2">
        <v>42493</v>
      </c>
      <c r="V3157" t="s">
        <v>71</v>
      </c>
      <c r="W3157" t="str">
        <f>"          1023829121"</f>
        <v xml:space="preserve">          1023829121</v>
      </c>
      <c r="X3157">
        <v>100.65</v>
      </c>
      <c r="Y3157">
        <v>0</v>
      </c>
      <c r="Z3157" s="3">
        <v>82.5</v>
      </c>
      <c r="AA3157">
        <v>153</v>
      </c>
      <c r="AB3157" s="5">
        <v>12622.5</v>
      </c>
      <c r="AC3157">
        <v>82.5</v>
      </c>
      <c r="AD3157">
        <v>153</v>
      </c>
      <c r="AE3157" s="1">
        <v>12622.5</v>
      </c>
      <c r="AF3157">
        <v>0</v>
      </c>
      <c r="AJ3157">
        <v>0</v>
      </c>
      <c r="AK3157">
        <v>0</v>
      </c>
      <c r="AL3157">
        <v>0</v>
      </c>
      <c r="AM3157">
        <v>100.65</v>
      </c>
      <c r="AN3157">
        <v>100.65</v>
      </c>
      <c r="AO3157">
        <v>100.65</v>
      </c>
      <c r="AP3157" s="2">
        <v>42746</v>
      </c>
      <c r="AQ3157" t="s">
        <v>72</v>
      </c>
      <c r="AR3157" t="s">
        <v>72</v>
      </c>
      <c r="AS3157">
        <v>2566</v>
      </c>
      <c r="AT3157" s="4">
        <v>42646</v>
      </c>
      <c r="AU3157" t="s">
        <v>73</v>
      </c>
      <c r="AV3157">
        <v>2566</v>
      </c>
      <c r="AW3157" s="4">
        <v>42646</v>
      </c>
      <c r="BD3157">
        <v>0</v>
      </c>
      <c r="BN3157" t="s">
        <v>74</v>
      </c>
    </row>
    <row r="3158" spans="1:66">
      <c r="A3158">
        <v>101130</v>
      </c>
      <c r="B3158" s="3" t="s">
        <v>369</v>
      </c>
      <c r="C3158" s="1">
        <v>43300101</v>
      </c>
      <c r="D3158" t="s">
        <v>67</v>
      </c>
      <c r="H3158" t="str">
        <f t="shared" si="321"/>
        <v>09238800156</v>
      </c>
      <c r="I3158" t="str">
        <f t="shared" si="321"/>
        <v>09238800156</v>
      </c>
      <c r="K3158" t="str">
        <f>""</f>
        <v/>
      </c>
      <c r="M3158" t="s">
        <v>68</v>
      </c>
      <c r="N3158" t="str">
        <f t="shared" si="320"/>
        <v>FOR</v>
      </c>
      <c r="O3158" t="s">
        <v>69</v>
      </c>
      <c r="P3158" s="3" t="s">
        <v>75</v>
      </c>
      <c r="Q3158">
        <v>2016</v>
      </c>
      <c r="R3158" s="2">
        <v>42437</v>
      </c>
      <c r="S3158" s="2">
        <v>42438</v>
      </c>
      <c r="T3158" s="2">
        <v>42437</v>
      </c>
      <c r="U3158" s="2">
        <v>42497</v>
      </c>
      <c r="V3158" t="s">
        <v>71</v>
      </c>
      <c r="W3158" t="str">
        <f>"          1023830124"</f>
        <v xml:space="preserve">          1023830124</v>
      </c>
      <c r="X3158">
        <v>100.65</v>
      </c>
      <c r="Y3158">
        <v>0</v>
      </c>
      <c r="Z3158" s="3">
        <v>82.5</v>
      </c>
      <c r="AA3158">
        <v>149</v>
      </c>
      <c r="AB3158" s="5">
        <v>12292.5</v>
      </c>
      <c r="AC3158">
        <v>82.5</v>
      </c>
      <c r="AD3158">
        <v>149</v>
      </c>
      <c r="AE3158" s="1">
        <v>12292.5</v>
      </c>
      <c r="AF3158">
        <v>0</v>
      </c>
      <c r="AJ3158">
        <v>0</v>
      </c>
      <c r="AK3158">
        <v>0</v>
      </c>
      <c r="AL3158">
        <v>0</v>
      </c>
      <c r="AM3158">
        <v>100.65</v>
      </c>
      <c r="AN3158">
        <v>100.65</v>
      </c>
      <c r="AO3158">
        <v>100.65</v>
      </c>
      <c r="AP3158" s="2">
        <v>42746</v>
      </c>
      <c r="AQ3158" t="s">
        <v>72</v>
      </c>
      <c r="AR3158" t="s">
        <v>72</v>
      </c>
      <c r="AS3158">
        <v>2566</v>
      </c>
      <c r="AT3158" s="4">
        <v>42646</v>
      </c>
      <c r="AU3158" t="s">
        <v>73</v>
      </c>
      <c r="AV3158">
        <v>2566</v>
      </c>
      <c r="AW3158" s="4">
        <v>42646</v>
      </c>
      <c r="BD3158">
        <v>0</v>
      </c>
      <c r="BN3158" t="s">
        <v>74</v>
      </c>
    </row>
    <row r="3159" spans="1:66">
      <c r="A3159">
        <v>101130</v>
      </c>
      <c r="B3159" s="3" t="s">
        <v>369</v>
      </c>
      <c r="C3159" s="1">
        <v>43300101</v>
      </c>
      <c r="D3159" t="s">
        <v>67</v>
      </c>
      <c r="H3159" t="str">
        <f t="shared" si="321"/>
        <v>09238800156</v>
      </c>
      <c r="I3159" t="str">
        <f t="shared" si="321"/>
        <v>09238800156</v>
      </c>
      <c r="K3159" t="str">
        <f>""</f>
        <v/>
      </c>
      <c r="M3159" t="s">
        <v>68</v>
      </c>
      <c r="N3159" t="str">
        <f t="shared" si="320"/>
        <v>FOR</v>
      </c>
      <c r="O3159" t="s">
        <v>69</v>
      </c>
      <c r="P3159" s="3" t="s">
        <v>75</v>
      </c>
      <c r="Q3159">
        <v>2016</v>
      </c>
      <c r="R3159" s="2">
        <v>42439</v>
      </c>
      <c r="S3159" s="2">
        <v>42443</v>
      </c>
      <c r="T3159" s="2">
        <v>42441</v>
      </c>
      <c r="U3159" s="2">
        <v>42501</v>
      </c>
      <c r="V3159" t="s">
        <v>71</v>
      </c>
      <c r="W3159" t="str">
        <f>"          1023831518"</f>
        <v xml:space="preserve">          1023831518</v>
      </c>
      <c r="X3159">
        <v>100.65</v>
      </c>
      <c r="Y3159">
        <v>0</v>
      </c>
      <c r="Z3159" s="3">
        <v>82.5</v>
      </c>
      <c r="AA3159">
        <v>145</v>
      </c>
      <c r="AB3159" s="5">
        <v>11962.5</v>
      </c>
      <c r="AC3159">
        <v>82.5</v>
      </c>
      <c r="AD3159">
        <v>145</v>
      </c>
      <c r="AE3159" s="1">
        <v>11962.5</v>
      </c>
      <c r="AF3159">
        <v>0</v>
      </c>
      <c r="AJ3159">
        <v>0</v>
      </c>
      <c r="AK3159">
        <v>0</v>
      </c>
      <c r="AL3159">
        <v>0</v>
      </c>
      <c r="AM3159">
        <v>100.65</v>
      </c>
      <c r="AN3159">
        <v>100.65</v>
      </c>
      <c r="AO3159">
        <v>100.65</v>
      </c>
      <c r="AP3159" s="2">
        <v>42746</v>
      </c>
      <c r="AQ3159" t="s">
        <v>72</v>
      </c>
      <c r="AR3159" t="s">
        <v>72</v>
      </c>
      <c r="AS3159">
        <v>2566</v>
      </c>
      <c r="AT3159" s="4">
        <v>42646</v>
      </c>
      <c r="AU3159" t="s">
        <v>73</v>
      </c>
      <c r="AV3159">
        <v>2566</v>
      </c>
      <c r="AW3159" s="4">
        <v>42646</v>
      </c>
      <c r="BD3159">
        <v>0</v>
      </c>
      <c r="BN3159" t="s">
        <v>74</v>
      </c>
    </row>
    <row r="3160" spans="1:66">
      <c r="A3160">
        <v>101130</v>
      </c>
      <c r="B3160" s="3" t="s">
        <v>369</v>
      </c>
      <c r="C3160" s="1">
        <v>43300101</v>
      </c>
      <c r="D3160" t="s">
        <v>67</v>
      </c>
      <c r="H3160" t="str">
        <f t="shared" si="321"/>
        <v>09238800156</v>
      </c>
      <c r="I3160" t="str">
        <f t="shared" si="321"/>
        <v>09238800156</v>
      </c>
      <c r="K3160" t="str">
        <f>""</f>
        <v/>
      </c>
      <c r="M3160" t="s">
        <v>68</v>
      </c>
      <c r="N3160" t="str">
        <f t="shared" si="320"/>
        <v>FOR</v>
      </c>
      <c r="O3160" t="s">
        <v>69</v>
      </c>
      <c r="P3160" s="3" t="s">
        <v>75</v>
      </c>
      <c r="Q3160">
        <v>2016</v>
      </c>
      <c r="R3160" s="2">
        <v>42447</v>
      </c>
      <c r="S3160" s="2">
        <v>42452</v>
      </c>
      <c r="T3160" s="2">
        <v>42450</v>
      </c>
      <c r="U3160" s="2">
        <v>42510</v>
      </c>
      <c r="V3160" t="s">
        <v>71</v>
      </c>
      <c r="W3160" t="str">
        <f>"          1023835316"</f>
        <v xml:space="preserve">          1023835316</v>
      </c>
      <c r="X3160" s="1">
        <v>9802.7000000000007</v>
      </c>
      <c r="Y3160">
        <v>0</v>
      </c>
      <c r="Z3160" s="5">
        <v>8035</v>
      </c>
      <c r="AA3160">
        <v>136</v>
      </c>
      <c r="AB3160" s="5">
        <v>1092760</v>
      </c>
      <c r="AC3160" s="1">
        <v>8035</v>
      </c>
      <c r="AD3160">
        <v>136</v>
      </c>
      <c r="AE3160" s="1">
        <v>1092760</v>
      </c>
      <c r="AF3160">
        <v>0</v>
      </c>
      <c r="AJ3160">
        <v>0</v>
      </c>
      <c r="AK3160">
        <v>0</v>
      </c>
      <c r="AL3160">
        <v>0</v>
      </c>
      <c r="AM3160" s="1">
        <v>9802.7000000000007</v>
      </c>
      <c r="AN3160" s="1">
        <v>9802.7000000000007</v>
      </c>
      <c r="AO3160" s="1">
        <v>9802.7000000000007</v>
      </c>
      <c r="AP3160" s="2">
        <v>42746</v>
      </c>
      <c r="AQ3160" t="s">
        <v>72</v>
      </c>
      <c r="AR3160" t="s">
        <v>72</v>
      </c>
      <c r="AS3160">
        <v>2566</v>
      </c>
      <c r="AT3160" s="4">
        <v>42646</v>
      </c>
      <c r="AU3160" t="s">
        <v>73</v>
      </c>
      <c r="AV3160">
        <v>2566</v>
      </c>
      <c r="AW3160" s="4">
        <v>42646</v>
      </c>
      <c r="BD3160">
        <v>0</v>
      </c>
      <c r="BN3160" t="s">
        <v>74</v>
      </c>
    </row>
    <row r="3161" spans="1:66">
      <c r="A3161">
        <v>101130</v>
      </c>
      <c r="B3161" s="3" t="s">
        <v>369</v>
      </c>
      <c r="C3161" s="1">
        <v>43300101</v>
      </c>
      <c r="D3161" t="s">
        <v>67</v>
      </c>
      <c r="H3161" t="str">
        <f t="shared" si="321"/>
        <v>09238800156</v>
      </c>
      <c r="I3161" t="str">
        <f t="shared" si="321"/>
        <v>09238800156</v>
      </c>
      <c r="K3161" t="str">
        <f>""</f>
        <v/>
      </c>
      <c r="M3161" t="s">
        <v>68</v>
      </c>
      <c r="N3161" t="str">
        <f t="shared" si="320"/>
        <v>FOR</v>
      </c>
      <c r="O3161" t="s">
        <v>69</v>
      </c>
      <c r="P3161" s="3" t="s">
        <v>75</v>
      </c>
      <c r="Q3161">
        <v>2016</v>
      </c>
      <c r="R3161" s="2">
        <v>42447</v>
      </c>
      <c r="S3161" s="2">
        <v>42460</v>
      </c>
      <c r="T3161" s="2">
        <v>42447</v>
      </c>
      <c r="U3161" s="2">
        <v>42507</v>
      </c>
      <c r="V3161" t="s">
        <v>71</v>
      </c>
      <c r="W3161" t="str">
        <f>"          1023835317"</f>
        <v xml:space="preserve">          1023835317</v>
      </c>
      <c r="X3161" s="1">
        <v>11835.53</v>
      </c>
      <c r="Y3161">
        <v>0</v>
      </c>
      <c r="Z3161" s="5">
        <v>9701.25</v>
      </c>
      <c r="AA3161">
        <v>181</v>
      </c>
      <c r="AB3161" s="5">
        <v>1755926.25</v>
      </c>
      <c r="AC3161" s="1">
        <v>9701.25</v>
      </c>
      <c r="AD3161">
        <v>181</v>
      </c>
      <c r="AE3161" s="1">
        <v>1755926.25</v>
      </c>
      <c r="AF3161">
        <v>0</v>
      </c>
      <c r="AJ3161">
        <v>0</v>
      </c>
      <c r="AK3161">
        <v>0</v>
      </c>
      <c r="AL3161">
        <v>0</v>
      </c>
      <c r="AM3161" s="1">
        <v>11835.53</v>
      </c>
      <c r="AN3161" s="1">
        <v>11835.53</v>
      </c>
      <c r="AO3161" s="1">
        <v>11835.53</v>
      </c>
      <c r="AP3161" s="2">
        <v>42746</v>
      </c>
      <c r="AQ3161" t="s">
        <v>72</v>
      </c>
      <c r="AR3161" t="s">
        <v>72</v>
      </c>
      <c r="AS3161">
        <v>3081</v>
      </c>
      <c r="AT3161" s="4">
        <v>42688</v>
      </c>
      <c r="AU3161" t="s">
        <v>73</v>
      </c>
      <c r="AV3161">
        <v>3081</v>
      </c>
      <c r="AW3161" s="4">
        <v>42688</v>
      </c>
      <c r="BD3161">
        <v>0</v>
      </c>
      <c r="BN3161" t="s">
        <v>74</v>
      </c>
    </row>
    <row r="3162" spans="1:66">
      <c r="A3162">
        <v>101130</v>
      </c>
      <c r="B3162" s="3" t="s">
        <v>369</v>
      </c>
      <c r="C3162" s="1">
        <v>43300101</v>
      </c>
      <c r="D3162" t="s">
        <v>67</v>
      </c>
      <c r="H3162" t="str">
        <f t="shared" si="321"/>
        <v>09238800156</v>
      </c>
      <c r="I3162" t="str">
        <f t="shared" si="321"/>
        <v>09238800156</v>
      </c>
      <c r="K3162" t="str">
        <f>""</f>
        <v/>
      </c>
      <c r="M3162" t="s">
        <v>68</v>
      </c>
      <c r="N3162" t="str">
        <f t="shared" si="320"/>
        <v>FOR</v>
      </c>
      <c r="O3162" t="s">
        <v>69</v>
      </c>
      <c r="P3162" s="3" t="s">
        <v>75</v>
      </c>
      <c r="Q3162">
        <v>2016</v>
      </c>
      <c r="R3162" s="2">
        <v>42450</v>
      </c>
      <c r="S3162" s="2">
        <v>42478</v>
      </c>
      <c r="T3162" s="2">
        <v>42473</v>
      </c>
      <c r="U3162" s="2">
        <v>42533</v>
      </c>
      <c r="V3162" t="s">
        <v>71</v>
      </c>
      <c r="W3162" t="str">
        <f>"          1023835869"</f>
        <v xml:space="preserve">          1023835869</v>
      </c>
      <c r="X3162" s="1">
        <v>1586</v>
      </c>
      <c r="Y3162">
        <v>0</v>
      </c>
      <c r="Z3162" s="5">
        <v>1300</v>
      </c>
      <c r="AA3162">
        <v>155</v>
      </c>
      <c r="AB3162" s="5">
        <v>201500</v>
      </c>
      <c r="AC3162" s="1">
        <v>1300</v>
      </c>
      <c r="AD3162">
        <v>155</v>
      </c>
      <c r="AE3162" s="1">
        <v>201500</v>
      </c>
      <c r="AF3162">
        <v>0</v>
      </c>
      <c r="AJ3162">
        <v>0</v>
      </c>
      <c r="AK3162">
        <v>0</v>
      </c>
      <c r="AL3162">
        <v>0</v>
      </c>
      <c r="AM3162" s="1">
        <v>1586</v>
      </c>
      <c r="AN3162" s="1">
        <v>1586</v>
      </c>
      <c r="AO3162" s="1">
        <v>1586</v>
      </c>
      <c r="AP3162" s="2">
        <v>42746</v>
      </c>
      <c r="AQ3162" t="s">
        <v>72</v>
      </c>
      <c r="AR3162" t="s">
        <v>72</v>
      </c>
      <c r="AS3162">
        <v>3081</v>
      </c>
      <c r="AT3162" s="4">
        <v>42688</v>
      </c>
      <c r="AU3162" t="s">
        <v>73</v>
      </c>
      <c r="AV3162">
        <v>3081</v>
      </c>
      <c r="AW3162" s="4">
        <v>42688</v>
      </c>
      <c r="BD3162">
        <v>0</v>
      </c>
      <c r="BN3162" t="s">
        <v>74</v>
      </c>
    </row>
    <row r="3163" spans="1:66">
      <c r="A3163">
        <v>101130</v>
      </c>
      <c r="B3163" s="3" t="s">
        <v>369</v>
      </c>
      <c r="C3163" s="1">
        <v>43300101</v>
      </c>
      <c r="D3163" t="s">
        <v>67</v>
      </c>
      <c r="H3163" t="str">
        <f t="shared" si="321"/>
        <v>09238800156</v>
      </c>
      <c r="I3163" t="str">
        <f t="shared" si="321"/>
        <v>09238800156</v>
      </c>
      <c r="K3163" t="str">
        <f>""</f>
        <v/>
      </c>
      <c r="M3163" t="s">
        <v>68</v>
      </c>
      <c r="N3163" t="str">
        <f t="shared" si="320"/>
        <v>FOR</v>
      </c>
      <c r="O3163" t="s">
        <v>69</v>
      </c>
      <c r="P3163" s="3" t="s">
        <v>75</v>
      </c>
      <c r="Q3163">
        <v>2016</v>
      </c>
      <c r="R3163" s="2">
        <v>42453</v>
      </c>
      <c r="S3163" s="2">
        <v>42454</v>
      </c>
      <c r="T3163" s="2">
        <v>42453</v>
      </c>
      <c r="U3163" s="2">
        <v>42513</v>
      </c>
      <c r="V3163" t="s">
        <v>71</v>
      </c>
      <c r="W3163" t="str">
        <f>"          1023838093"</f>
        <v xml:space="preserve">          1023838093</v>
      </c>
      <c r="X3163" s="1">
        <v>13908</v>
      </c>
      <c r="Y3163">
        <v>0</v>
      </c>
      <c r="Z3163" s="5">
        <v>11400</v>
      </c>
      <c r="AA3163">
        <v>133</v>
      </c>
      <c r="AB3163" s="5">
        <v>1516200</v>
      </c>
      <c r="AC3163" s="1">
        <v>11400</v>
      </c>
      <c r="AD3163">
        <v>133</v>
      </c>
      <c r="AE3163" s="1">
        <v>1516200</v>
      </c>
      <c r="AF3163">
        <v>0</v>
      </c>
      <c r="AJ3163">
        <v>0</v>
      </c>
      <c r="AK3163">
        <v>0</v>
      </c>
      <c r="AL3163">
        <v>0</v>
      </c>
      <c r="AM3163" s="1">
        <v>13908</v>
      </c>
      <c r="AN3163" s="1">
        <v>13908</v>
      </c>
      <c r="AO3163" s="1">
        <v>13908</v>
      </c>
      <c r="AP3163" s="2">
        <v>42746</v>
      </c>
      <c r="AQ3163" t="s">
        <v>72</v>
      </c>
      <c r="AR3163" t="s">
        <v>72</v>
      </c>
      <c r="AS3163">
        <v>2566</v>
      </c>
      <c r="AT3163" s="4">
        <v>42646</v>
      </c>
      <c r="AU3163" t="s">
        <v>73</v>
      </c>
      <c r="AV3163">
        <v>2566</v>
      </c>
      <c r="AW3163" s="4">
        <v>42646</v>
      </c>
      <c r="BD3163">
        <v>0</v>
      </c>
      <c r="BN3163" t="s">
        <v>74</v>
      </c>
    </row>
    <row r="3164" spans="1:66">
      <c r="A3164">
        <v>101130</v>
      </c>
      <c r="B3164" s="3" t="s">
        <v>369</v>
      </c>
      <c r="C3164" s="1">
        <v>43300101</v>
      </c>
      <c r="D3164" t="s">
        <v>67</v>
      </c>
      <c r="H3164" t="str">
        <f t="shared" si="321"/>
        <v>09238800156</v>
      </c>
      <c r="I3164" t="str">
        <f t="shared" si="321"/>
        <v>09238800156</v>
      </c>
      <c r="K3164" t="str">
        <f>""</f>
        <v/>
      </c>
      <c r="M3164" t="s">
        <v>68</v>
      </c>
      <c r="N3164" t="str">
        <f t="shared" si="320"/>
        <v>FOR</v>
      </c>
      <c r="O3164" t="s">
        <v>69</v>
      </c>
      <c r="P3164" s="3" t="s">
        <v>75</v>
      </c>
      <c r="Q3164">
        <v>2016</v>
      </c>
      <c r="R3164" s="2">
        <v>42460</v>
      </c>
      <c r="S3164" s="2">
        <v>42464</v>
      </c>
      <c r="T3164" s="2">
        <v>42461</v>
      </c>
      <c r="U3164" s="2">
        <v>42521</v>
      </c>
      <c r="V3164" t="s">
        <v>71</v>
      </c>
      <c r="W3164" t="str">
        <f>"          1023840909"</f>
        <v xml:space="preserve">          1023840909</v>
      </c>
      <c r="X3164" s="1">
        <v>11440</v>
      </c>
      <c r="Y3164">
        <v>0</v>
      </c>
      <c r="Z3164" s="5">
        <v>11000</v>
      </c>
      <c r="AA3164">
        <v>125</v>
      </c>
      <c r="AB3164" s="5">
        <v>1375000</v>
      </c>
      <c r="AC3164" s="1">
        <v>11000</v>
      </c>
      <c r="AD3164">
        <v>125</v>
      </c>
      <c r="AE3164" s="1">
        <v>1375000</v>
      </c>
      <c r="AF3164">
        <v>0</v>
      </c>
      <c r="AJ3164">
        <v>0</v>
      </c>
      <c r="AK3164">
        <v>0</v>
      </c>
      <c r="AL3164">
        <v>0</v>
      </c>
      <c r="AM3164" s="1">
        <v>11440</v>
      </c>
      <c r="AN3164" s="1">
        <v>11440</v>
      </c>
      <c r="AO3164" s="1">
        <v>11440</v>
      </c>
      <c r="AP3164" s="2">
        <v>42746</v>
      </c>
      <c r="AQ3164" t="s">
        <v>72</v>
      </c>
      <c r="AR3164" t="s">
        <v>72</v>
      </c>
      <c r="AS3164">
        <v>2566</v>
      </c>
      <c r="AT3164" s="4">
        <v>42646</v>
      </c>
      <c r="AU3164" t="s">
        <v>73</v>
      </c>
      <c r="AV3164">
        <v>2566</v>
      </c>
      <c r="AW3164" s="4">
        <v>42646</v>
      </c>
      <c r="BD3164">
        <v>0</v>
      </c>
      <c r="BN3164" t="s">
        <v>74</v>
      </c>
    </row>
    <row r="3165" spans="1:66">
      <c r="A3165">
        <v>101130</v>
      </c>
      <c r="B3165" s="3" t="s">
        <v>369</v>
      </c>
      <c r="C3165" s="1">
        <v>43300101</v>
      </c>
      <c r="D3165" t="s">
        <v>67</v>
      </c>
      <c r="H3165" t="str">
        <f t="shared" si="321"/>
        <v>09238800156</v>
      </c>
      <c r="I3165" t="str">
        <f t="shared" si="321"/>
        <v>09238800156</v>
      </c>
      <c r="K3165" t="str">
        <f>""</f>
        <v/>
      </c>
      <c r="M3165" t="s">
        <v>68</v>
      </c>
      <c r="N3165" t="str">
        <f t="shared" si="320"/>
        <v>FOR</v>
      </c>
      <c r="O3165" t="s">
        <v>69</v>
      </c>
      <c r="P3165" s="3" t="s">
        <v>75</v>
      </c>
      <c r="Q3165">
        <v>2016</v>
      </c>
      <c r="R3165" s="2">
        <v>42460</v>
      </c>
      <c r="S3165" s="2">
        <v>42464</v>
      </c>
      <c r="T3165" s="2">
        <v>42461</v>
      </c>
      <c r="U3165" s="2">
        <v>42521</v>
      </c>
      <c r="V3165" t="s">
        <v>71</v>
      </c>
      <c r="W3165" t="str">
        <f>"          1023840910"</f>
        <v xml:space="preserve">          1023840910</v>
      </c>
      <c r="X3165" s="1">
        <v>1040</v>
      </c>
      <c r="Y3165">
        <v>0</v>
      </c>
      <c r="Z3165" s="5">
        <v>1000</v>
      </c>
      <c r="AA3165">
        <v>125</v>
      </c>
      <c r="AB3165" s="5">
        <v>125000</v>
      </c>
      <c r="AC3165" s="1">
        <v>1000</v>
      </c>
      <c r="AD3165">
        <v>125</v>
      </c>
      <c r="AE3165" s="1">
        <v>125000</v>
      </c>
      <c r="AF3165">
        <v>0</v>
      </c>
      <c r="AJ3165">
        <v>0</v>
      </c>
      <c r="AK3165">
        <v>0</v>
      </c>
      <c r="AL3165">
        <v>0</v>
      </c>
      <c r="AM3165" s="1">
        <v>1040</v>
      </c>
      <c r="AN3165" s="1">
        <v>1040</v>
      </c>
      <c r="AO3165" s="1">
        <v>1040</v>
      </c>
      <c r="AP3165" s="2">
        <v>42746</v>
      </c>
      <c r="AQ3165" t="s">
        <v>72</v>
      </c>
      <c r="AR3165" t="s">
        <v>72</v>
      </c>
      <c r="AS3165">
        <v>2566</v>
      </c>
      <c r="AT3165" s="4">
        <v>42646</v>
      </c>
      <c r="AU3165" t="s">
        <v>73</v>
      </c>
      <c r="AV3165">
        <v>2566</v>
      </c>
      <c r="AW3165" s="4">
        <v>42646</v>
      </c>
      <c r="BD3165">
        <v>0</v>
      </c>
      <c r="BN3165" t="s">
        <v>74</v>
      </c>
    </row>
    <row r="3166" spans="1:66">
      <c r="A3166">
        <v>101130</v>
      </c>
      <c r="B3166" s="3" t="s">
        <v>369</v>
      </c>
      <c r="C3166" s="1">
        <v>43300101</v>
      </c>
      <c r="D3166" t="s">
        <v>67</v>
      </c>
      <c r="H3166" t="str">
        <f t="shared" si="321"/>
        <v>09238800156</v>
      </c>
      <c r="I3166" t="str">
        <f t="shared" si="321"/>
        <v>09238800156</v>
      </c>
      <c r="K3166" t="str">
        <f>""</f>
        <v/>
      </c>
      <c r="M3166" t="s">
        <v>68</v>
      </c>
      <c r="N3166" t="str">
        <f t="shared" si="320"/>
        <v>FOR</v>
      </c>
      <c r="O3166" t="s">
        <v>69</v>
      </c>
      <c r="P3166" s="3" t="s">
        <v>75</v>
      </c>
      <c r="Q3166">
        <v>2016</v>
      </c>
      <c r="R3166" s="2">
        <v>42478</v>
      </c>
      <c r="S3166" s="2">
        <v>42488</v>
      </c>
      <c r="T3166" s="2">
        <v>42486</v>
      </c>
      <c r="U3166" s="2">
        <v>42546</v>
      </c>
      <c r="V3166" t="s">
        <v>71</v>
      </c>
      <c r="W3166" t="str">
        <f>"          1023848920"</f>
        <v xml:space="preserve">          1023848920</v>
      </c>
      <c r="X3166" s="1">
        <v>13520</v>
      </c>
      <c r="Y3166">
        <v>0</v>
      </c>
      <c r="Z3166" s="5">
        <v>13000</v>
      </c>
      <c r="AA3166">
        <v>142</v>
      </c>
      <c r="AB3166" s="5">
        <v>1846000</v>
      </c>
      <c r="AC3166" s="1">
        <v>13000</v>
      </c>
      <c r="AD3166">
        <v>142</v>
      </c>
      <c r="AE3166" s="1">
        <v>1846000</v>
      </c>
      <c r="AF3166">
        <v>0</v>
      </c>
      <c r="AJ3166">
        <v>0</v>
      </c>
      <c r="AK3166">
        <v>0</v>
      </c>
      <c r="AL3166">
        <v>0</v>
      </c>
      <c r="AM3166" s="1">
        <v>13520</v>
      </c>
      <c r="AN3166" s="1">
        <v>13520</v>
      </c>
      <c r="AO3166" s="1">
        <v>13520</v>
      </c>
      <c r="AP3166" s="2">
        <v>42746</v>
      </c>
      <c r="AQ3166" t="s">
        <v>72</v>
      </c>
      <c r="AR3166" t="s">
        <v>72</v>
      </c>
      <c r="AS3166">
        <v>3081</v>
      </c>
      <c r="AT3166" s="4">
        <v>42688</v>
      </c>
      <c r="AU3166" t="s">
        <v>73</v>
      </c>
      <c r="AV3166">
        <v>3081</v>
      </c>
      <c r="AW3166" s="4">
        <v>42688</v>
      </c>
      <c r="BD3166">
        <v>0</v>
      </c>
      <c r="BN3166" t="s">
        <v>74</v>
      </c>
    </row>
    <row r="3167" spans="1:66">
      <c r="A3167">
        <v>101130</v>
      </c>
      <c r="B3167" s="3" t="s">
        <v>369</v>
      </c>
      <c r="C3167" s="1">
        <v>43300101</v>
      </c>
      <c r="D3167" t="s">
        <v>67</v>
      </c>
      <c r="H3167" t="str">
        <f t="shared" si="321"/>
        <v>09238800156</v>
      </c>
      <c r="I3167" t="str">
        <f t="shared" si="321"/>
        <v>09238800156</v>
      </c>
      <c r="K3167" t="str">
        <f>""</f>
        <v/>
      </c>
      <c r="M3167" t="s">
        <v>68</v>
      </c>
      <c r="N3167" t="str">
        <f t="shared" si="320"/>
        <v>FOR</v>
      </c>
      <c r="O3167" t="s">
        <v>69</v>
      </c>
      <c r="P3167" s="3" t="s">
        <v>75</v>
      </c>
      <c r="Q3167">
        <v>2016</v>
      </c>
      <c r="R3167" s="2">
        <v>42480</v>
      </c>
      <c r="S3167" s="2">
        <v>42481</v>
      </c>
      <c r="T3167" s="2">
        <v>42480</v>
      </c>
      <c r="U3167" s="2">
        <v>42540</v>
      </c>
      <c r="V3167" t="s">
        <v>71</v>
      </c>
      <c r="W3167" t="str">
        <f>"          1023850921"</f>
        <v xml:space="preserve">          1023850921</v>
      </c>
      <c r="X3167" s="1">
        <v>1586</v>
      </c>
      <c r="Y3167">
        <v>0</v>
      </c>
      <c r="Z3167" s="5">
        <v>1300</v>
      </c>
      <c r="AA3167">
        <v>179</v>
      </c>
      <c r="AB3167" s="5">
        <v>232700</v>
      </c>
      <c r="AC3167" s="1">
        <v>1300</v>
      </c>
      <c r="AD3167">
        <v>179</v>
      </c>
      <c r="AE3167" s="1">
        <v>232700</v>
      </c>
      <c r="AF3167">
        <v>286</v>
      </c>
      <c r="AJ3167">
        <v>0</v>
      </c>
      <c r="AK3167">
        <v>0</v>
      </c>
      <c r="AL3167">
        <v>0</v>
      </c>
      <c r="AM3167" s="1">
        <v>1586</v>
      </c>
      <c r="AN3167" s="1">
        <v>1586</v>
      </c>
      <c r="AO3167" s="1">
        <v>1586</v>
      </c>
      <c r="AP3167" s="2">
        <v>42746</v>
      </c>
      <c r="AQ3167" t="s">
        <v>72</v>
      </c>
      <c r="AR3167" t="s">
        <v>72</v>
      </c>
      <c r="AS3167">
        <v>3516</v>
      </c>
      <c r="AT3167" s="4">
        <v>42719</v>
      </c>
      <c r="AU3167" t="s">
        <v>73</v>
      </c>
      <c r="AV3167">
        <v>3516</v>
      </c>
      <c r="AW3167" s="4">
        <v>42719</v>
      </c>
      <c r="BD3167">
        <v>286</v>
      </c>
      <c r="BN3167" t="s">
        <v>74</v>
      </c>
    </row>
    <row r="3168" spans="1:66">
      <c r="A3168">
        <v>101130</v>
      </c>
      <c r="B3168" s="3" t="s">
        <v>369</v>
      </c>
      <c r="C3168" s="1">
        <v>43300101</v>
      </c>
      <c r="D3168" t="s">
        <v>67</v>
      </c>
      <c r="H3168" t="str">
        <f t="shared" si="321"/>
        <v>09238800156</v>
      </c>
      <c r="I3168" t="str">
        <f t="shared" si="321"/>
        <v>09238800156</v>
      </c>
      <c r="K3168" t="str">
        <f>""</f>
        <v/>
      </c>
      <c r="M3168" t="s">
        <v>68</v>
      </c>
      <c r="N3168" t="str">
        <f t="shared" si="320"/>
        <v>FOR</v>
      </c>
      <c r="O3168" t="s">
        <v>69</v>
      </c>
      <c r="P3168" s="3" t="s">
        <v>75</v>
      </c>
      <c r="Q3168">
        <v>2016</v>
      </c>
      <c r="R3168" s="2">
        <v>42488</v>
      </c>
      <c r="S3168" s="2">
        <v>42492</v>
      </c>
      <c r="T3168" s="2">
        <v>42489</v>
      </c>
      <c r="U3168" s="2">
        <v>42549</v>
      </c>
      <c r="V3168" t="s">
        <v>71</v>
      </c>
      <c r="W3168" t="str">
        <f>"          1023856012"</f>
        <v xml:space="preserve">          1023856012</v>
      </c>
      <c r="X3168">
        <v>561.20000000000005</v>
      </c>
      <c r="Y3168">
        <v>0</v>
      </c>
      <c r="Z3168" s="3">
        <v>460</v>
      </c>
      <c r="AA3168">
        <v>139</v>
      </c>
      <c r="AB3168" s="5">
        <v>63940</v>
      </c>
      <c r="AC3168">
        <v>460</v>
      </c>
      <c r="AD3168">
        <v>139</v>
      </c>
      <c r="AE3168" s="1">
        <v>63940</v>
      </c>
      <c r="AF3168">
        <v>0</v>
      </c>
      <c r="AJ3168">
        <v>0</v>
      </c>
      <c r="AK3168">
        <v>0</v>
      </c>
      <c r="AL3168">
        <v>0</v>
      </c>
      <c r="AM3168">
        <v>561.20000000000005</v>
      </c>
      <c r="AN3168">
        <v>561.20000000000005</v>
      </c>
      <c r="AO3168">
        <v>561.20000000000005</v>
      </c>
      <c r="AP3168" s="2">
        <v>42746</v>
      </c>
      <c r="AQ3168" t="s">
        <v>72</v>
      </c>
      <c r="AR3168" t="s">
        <v>72</v>
      </c>
      <c r="AS3168">
        <v>3081</v>
      </c>
      <c r="AT3168" s="4">
        <v>42688</v>
      </c>
      <c r="AU3168" t="s">
        <v>73</v>
      </c>
      <c r="AV3168">
        <v>3081</v>
      </c>
      <c r="AW3168" s="4">
        <v>42688</v>
      </c>
      <c r="BD3168">
        <v>0</v>
      </c>
      <c r="BN3168" t="s">
        <v>74</v>
      </c>
    </row>
    <row r="3169" spans="1:66">
      <c r="A3169">
        <v>101130</v>
      </c>
      <c r="B3169" s="3" t="s">
        <v>369</v>
      </c>
      <c r="C3169" s="1">
        <v>43300101</v>
      </c>
      <c r="D3169" t="s">
        <v>67</v>
      </c>
      <c r="H3169" t="str">
        <f t="shared" si="321"/>
        <v>09238800156</v>
      </c>
      <c r="I3169" t="str">
        <f t="shared" si="321"/>
        <v>09238800156</v>
      </c>
      <c r="K3169" t="str">
        <f>""</f>
        <v/>
      </c>
      <c r="M3169" t="s">
        <v>68</v>
      </c>
      <c r="N3169" t="str">
        <f t="shared" si="320"/>
        <v>FOR</v>
      </c>
      <c r="O3169" t="s">
        <v>69</v>
      </c>
      <c r="P3169" s="3" t="s">
        <v>75</v>
      </c>
      <c r="Q3169">
        <v>2016</v>
      </c>
      <c r="R3169" s="2">
        <v>42499</v>
      </c>
      <c r="S3169" s="2">
        <v>42501</v>
      </c>
      <c r="T3169" s="2">
        <v>42499</v>
      </c>
      <c r="U3169" s="2">
        <v>42559</v>
      </c>
      <c r="V3169" t="s">
        <v>71</v>
      </c>
      <c r="W3169" t="str">
        <f>"          1023860226"</f>
        <v xml:space="preserve">          1023860226</v>
      </c>
      <c r="X3169">
        <v>610</v>
      </c>
      <c r="Y3169">
        <v>0</v>
      </c>
      <c r="Z3169" s="3">
        <v>500</v>
      </c>
      <c r="AA3169">
        <v>160</v>
      </c>
      <c r="AB3169" s="5">
        <v>80000</v>
      </c>
      <c r="AC3169">
        <v>500</v>
      </c>
      <c r="AD3169">
        <v>160</v>
      </c>
      <c r="AE3169" s="1">
        <v>80000</v>
      </c>
      <c r="AF3169">
        <v>110</v>
      </c>
      <c r="AJ3169">
        <v>0</v>
      </c>
      <c r="AK3169">
        <v>0</v>
      </c>
      <c r="AL3169">
        <v>0</v>
      </c>
      <c r="AM3169">
        <v>610</v>
      </c>
      <c r="AN3169">
        <v>610</v>
      </c>
      <c r="AO3169">
        <v>610</v>
      </c>
      <c r="AP3169" s="2">
        <v>42746</v>
      </c>
      <c r="AQ3169" t="s">
        <v>72</v>
      </c>
      <c r="AR3169" t="s">
        <v>72</v>
      </c>
      <c r="AS3169">
        <v>3516</v>
      </c>
      <c r="AT3169" s="4">
        <v>42719</v>
      </c>
      <c r="AU3169" t="s">
        <v>73</v>
      </c>
      <c r="AV3169">
        <v>3516</v>
      </c>
      <c r="AW3169" s="4">
        <v>42719</v>
      </c>
      <c r="BC3169">
        <v>110</v>
      </c>
      <c r="BD3169">
        <v>0</v>
      </c>
      <c r="BN3169" t="s">
        <v>74</v>
      </c>
    </row>
    <row r="3170" spans="1:66">
      <c r="A3170">
        <v>101130</v>
      </c>
      <c r="B3170" s="3" t="s">
        <v>369</v>
      </c>
      <c r="C3170" s="1">
        <v>43300101</v>
      </c>
      <c r="D3170" t="s">
        <v>67</v>
      </c>
      <c r="H3170" t="str">
        <f t="shared" si="321"/>
        <v>09238800156</v>
      </c>
      <c r="I3170" t="str">
        <f t="shared" si="321"/>
        <v>09238800156</v>
      </c>
      <c r="K3170" t="str">
        <f>""</f>
        <v/>
      </c>
      <c r="M3170" t="s">
        <v>68</v>
      </c>
      <c r="N3170" t="str">
        <f t="shared" si="320"/>
        <v>FOR</v>
      </c>
      <c r="O3170" t="s">
        <v>69</v>
      </c>
      <c r="P3170" s="3" t="s">
        <v>75</v>
      </c>
      <c r="Q3170">
        <v>2016</v>
      </c>
      <c r="R3170" s="2">
        <v>42499</v>
      </c>
      <c r="S3170" s="2">
        <v>42501</v>
      </c>
      <c r="T3170" s="2">
        <v>42500</v>
      </c>
      <c r="U3170" s="2">
        <v>42560</v>
      </c>
      <c r="V3170" t="s">
        <v>71</v>
      </c>
      <c r="W3170" t="str">
        <f>"          1023860227"</f>
        <v xml:space="preserve">          1023860227</v>
      </c>
      <c r="X3170" s="1">
        <v>14456</v>
      </c>
      <c r="Y3170">
        <v>0</v>
      </c>
      <c r="Z3170" s="5">
        <v>13900</v>
      </c>
      <c r="AA3170">
        <v>159</v>
      </c>
      <c r="AB3170" s="5">
        <v>2210100</v>
      </c>
      <c r="AC3170" s="1">
        <v>13900</v>
      </c>
      <c r="AD3170">
        <v>159</v>
      </c>
      <c r="AE3170" s="1">
        <v>2210100</v>
      </c>
      <c r="AF3170">
        <v>556</v>
      </c>
      <c r="AJ3170">
        <v>0</v>
      </c>
      <c r="AK3170">
        <v>0</v>
      </c>
      <c r="AL3170">
        <v>0</v>
      </c>
      <c r="AM3170" s="1">
        <v>14456</v>
      </c>
      <c r="AN3170" s="1">
        <v>14456</v>
      </c>
      <c r="AO3170" s="1">
        <v>14456</v>
      </c>
      <c r="AP3170" s="2">
        <v>42746</v>
      </c>
      <c r="AQ3170" t="s">
        <v>72</v>
      </c>
      <c r="AR3170" t="s">
        <v>72</v>
      </c>
      <c r="AS3170">
        <v>3516</v>
      </c>
      <c r="AT3170" s="4">
        <v>42719</v>
      </c>
      <c r="AU3170" t="s">
        <v>73</v>
      </c>
      <c r="AV3170">
        <v>3516</v>
      </c>
      <c r="AW3170" s="4">
        <v>42719</v>
      </c>
      <c r="BC3170">
        <v>556</v>
      </c>
      <c r="BD3170">
        <v>0</v>
      </c>
      <c r="BN3170" t="s">
        <v>74</v>
      </c>
    </row>
    <row r="3171" spans="1:66">
      <c r="A3171">
        <v>101130</v>
      </c>
      <c r="B3171" s="3" t="s">
        <v>369</v>
      </c>
      <c r="C3171" s="1">
        <v>43300101</v>
      </c>
      <c r="D3171" t="s">
        <v>67</v>
      </c>
      <c r="H3171" t="str">
        <f t="shared" si="321"/>
        <v>09238800156</v>
      </c>
      <c r="I3171" t="str">
        <f t="shared" si="321"/>
        <v>09238800156</v>
      </c>
      <c r="K3171" t="str">
        <f>""</f>
        <v/>
      </c>
      <c r="M3171" t="s">
        <v>68</v>
      </c>
      <c r="N3171" t="str">
        <f t="shared" si="320"/>
        <v>FOR</v>
      </c>
      <c r="O3171" t="s">
        <v>69</v>
      </c>
      <c r="P3171" s="3" t="s">
        <v>75</v>
      </c>
      <c r="Q3171">
        <v>2016</v>
      </c>
      <c r="R3171" s="2">
        <v>42502</v>
      </c>
      <c r="S3171" s="2">
        <v>42506</v>
      </c>
      <c r="T3171" s="2">
        <v>42502</v>
      </c>
      <c r="U3171" s="2">
        <v>42562</v>
      </c>
      <c r="V3171" t="s">
        <v>71</v>
      </c>
      <c r="W3171" t="str">
        <f>"          1023862230"</f>
        <v xml:space="preserve">          1023862230</v>
      </c>
      <c r="X3171" s="1">
        <v>4172.3999999999996</v>
      </c>
      <c r="Y3171">
        <v>0</v>
      </c>
      <c r="Z3171" s="5">
        <v>3420</v>
      </c>
      <c r="AA3171">
        <v>157</v>
      </c>
      <c r="AB3171" s="5">
        <v>536940</v>
      </c>
      <c r="AC3171" s="1">
        <v>3420</v>
      </c>
      <c r="AD3171">
        <v>157</v>
      </c>
      <c r="AE3171" s="1">
        <v>536940</v>
      </c>
      <c r="AF3171">
        <v>752.4</v>
      </c>
      <c r="AJ3171">
        <v>0</v>
      </c>
      <c r="AK3171">
        <v>0</v>
      </c>
      <c r="AL3171">
        <v>0</v>
      </c>
      <c r="AM3171" s="1">
        <v>4172.3999999999996</v>
      </c>
      <c r="AN3171" s="1">
        <v>4172.3999999999996</v>
      </c>
      <c r="AO3171" s="1">
        <v>4172.3999999999996</v>
      </c>
      <c r="AP3171" s="2">
        <v>42746</v>
      </c>
      <c r="AQ3171" t="s">
        <v>72</v>
      </c>
      <c r="AR3171" t="s">
        <v>72</v>
      </c>
      <c r="AS3171">
        <v>3516</v>
      </c>
      <c r="AT3171" s="4">
        <v>42719</v>
      </c>
      <c r="AU3171" t="s">
        <v>73</v>
      </c>
      <c r="AV3171">
        <v>3516</v>
      </c>
      <c r="AW3171" s="4">
        <v>42719</v>
      </c>
      <c r="BC3171">
        <v>752.4</v>
      </c>
      <c r="BD3171">
        <v>0</v>
      </c>
      <c r="BN3171" t="s">
        <v>74</v>
      </c>
    </row>
    <row r="3172" spans="1:66">
      <c r="A3172">
        <v>101130</v>
      </c>
      <c r="B3172" s="3" t="s">
        <v>369</v>
      </c>
      <c r="C3172" s="1">
        <v>43300101</v>
      </c>
      <c r="D3172" t="s">
        <v>67</v>
      </c>
      <c r="H3172" t="str">
        <f t="shared" ref="H3172:I3191" si="322">"09238800156"</f>
        <v>09238800156</v>
      </c>
      <c r="I3172" t="str">
        <f t="shared" si="322"/>
        <v>09238800156</v>
      </c>
      <c r="K3172" t="str">
        <f>""</f>
        <v/>
      </c>
      <c r="M3172" t="s">
        <v>68</v>
      </c>
      <c r="N3172" t="str">
        <f t="shared" si="320"/>
        <v>FOR</v>
      </c>
      <c r="O3172" t="s">
        <v>69</v>
      </c>
      <c r="P3172" s="3" t="s">
        <v>75</v>
      </c>
      <c r="Q3172">
        <v>2016</v>
      </c>
      <c r="R3172" s="2">
        <v>42521</v>
      </c>
      <c r="S3172" s="2">
        <v>42529</v>
      </c>
      <c r="T3172" s="2">
        <v>42521</v>
      </c>
      <c r="U3172" s="2">
        <v>42581</v>
      </c>
      <c r="V3172" t="s">
        <v>71</v>
      </c>
      <c r="W3172" t="str">
        <f>"          1023871178"</f>
        <v xml:space="preserve">          1023871178</v>
      </c>
      <c r="X3172" s="1">
        <v>1405.44</v>
      </c>
      <c r="Y3172">
        <v>0</v>
      </c>
      <c r="Z3172" s="5">
        <v>1152</v>
      </c>
      <c r="AA3172">
        <v>138</v>
      </c>
      <c r="AB3172" s="5">
        <v>158976</v>
      </c>
      <c r="AC3172" s="1">
        <v>1152</v>
      </c>
      <c r="AD3172">
        <v>138</v>
      </c>
      <c r="AE3172" s="1">
        <v>158976</v>
      </c>
      <c r="AF3172">
        <v>253.44</v>
      </c>
      <c r="AJ3172">
        <v>0</v>
      </c>
      <c r="AK3172">
        <v>0</v>
      </c>
      <c r="AL3172">
        <v>0</v>
      </c>
      <c r="AM3172" s="1">
        <v>1405.44</v>
      </c>
      <c r="AN3172" s="1">
        <v>1405.44</v>
      </c>
      <c r="AO3172" s="1">
        <v>1405.44</v>
      </c>
      <c r="AP3172" s="2">
        <v>42746</v>
      </c>
      <c r="AQ3172" t="s">
        <v>72</v>
      </c>
      <c r="AR3172" t="s">
        <v>72</v>
      </c>
      <c r="AS3172">
        <v>3516</v>
      </c>
      <c r="AT3172" s="4">
        <v>42719</v>
      </c>
      <c r="AU3172" t="s">
        <v>73</v>
      </c>
      <c r="AV3172">
        <v>3516</v>
      </c>
      <c r="AW3172" s="4">
        <v>42719</v>
      </c>
      <c r="BC3172">
        <v>253.44</v>
      </c>
      <c r="BD3172">
        <v>0</v>
      </c>
      <c r="BN3172" t="s">
        <v>74</v>
      </c>
    </row>
    <row r="3173" spans="1:66">
      <c r="A3173">
        <v>101130</v>
      </c>
      <c r="B3173" s="3" t="s">
        <v>369</v>
      </c>
      <c r="C3173" s="1">
        <v>43300101</v>
      </c>
      <c r="D3173" t="s">
        <v>67</v>
      </c>
      <c r="H3173" t="str">
        <f t="shared" si="322"/>
        <v>09238800156</v>
      </c>
      <c r="I3173" t="str">
        <f t="shared" si="322"/>
        <v>09238800156</v>
      </c>
      <c r="K3173" t="str">
        <f>""</f>
        <v/>
      </c>
      <c r="M3173" t="s">
        <v>68</v>
      </c>
      <c r="N3173" t="str">
        <f t="shared" si="320"/>
        <v>FOR</v>
      </c>
      <c r="O3173" t="s">
        <v>69</v>
      </c>
      <c r="P3173" s="3" t="s">
        <v>75</v>
      </c>
      <c r="Q3173">
        <v>2016</v>
      </c>
      <c r="R3173" s="2">
        <v>42521</v>
      </c>
      <c r="S3173" s="2">
        <v>42529</v>
      </c>
      <c r="T3173" s="2">
        <v>42521</v>
      </c>
      <c r="U3173" s="2">
        <v>42581</v>
      </c>
      <c r="V3173" t="s">
        <v>71</v>
      </c>
      <c r="W3173" t="str">
        <f>"          1023871179"</f>
        <v xml:space="preserve">          1023871179</v>
      </c>
      <c r="X3173">
        <v>680.76</v>
      </c>
      <c r="Y3173">
        <v>0</v>
      </c>
      <c r="Z3173" s="3">
        <v>558</v>
      </c>
      <c r="AA3173">
        <v>138</v>
      </c>
      <c r="AB3173" s="5">
        <v>77004</v>
      </c>
      <c r="AC3173">
        <v>558</v>
      </c>
      <c r="AD3173">
        <v>138</v>
      </c>
      <c r="AE3173" s="1">
        <v>77004</v>
      </c>
      <c r="AF3173">
        <v>122.76</v>
      </c>
      <c r="AJ3173">
        <v>0</v>
      </c>
      <c r="AK3173">
        <v>0</v>
      </c>
      <c r="AL3173">
        <v>0</v>
      </c>
      <c r="AM3173">
        <v>680.76</v>
      </c>
      <c r="AN3173">
        <v>680.76</v>
      </c>
      <c r="AO3173">
        <v>680.76</v>
      </c>
      <c r="AP3173" s="2">
        <v>42746</v>
      </c>
      <c r="AQ3173" t="s">
        <v>72</v>
      </c>
      <c r="AR3173" t="s">
        <v>72</v>
      </c>
      <c r="AS3173">
        <v>3516</v>
      </c>
      <c r="AT3173" s="4">
        <v>42719</v>
      </c>
      <c r="AU3173" t="s">
        <v>73</v>
      </c>
      <c r="AV3173">
        <v>3516</v>
      </c>
      <c r="AW3173" s="4">
        <v>42719</v>
      </c>
      <c r="BC3173">
        <v>122.76</v>
      </c>
      <c r="BD3173">
        <v>0</v>
      </c>
      <c r="BN3173" t="s">
        <v>74</v>
      </c>
    </row>
    <row r="3174" spans="1:66">
      <c r="A3174">
        <v>101130</v>
      </c>
      <c r="B3174" s="3" t="s">
        <v>369</v>
      </c>
      <c r="C3174" s="1">
        <v>43300101</v>
      </c>
      <c r="D3174" t="s">
        <v>67</v>
      </c>
      <c r="H3174" t="str">
        <f t="shared" si="322"/>
        <v>09238800156</v>
      </c>
      <c r="I3174" t="str">
        <f t="shared" si="322"/>
        <v>09238800156</v>
      </c>
      <c r="K3174" t="str">
        <f>""</f>
        <v/>
      </c>
      <c r="M3174" t="s">
        <v>68</v>
      </c>
      <c r="N3174" t="str">
        <f t="shared" si="320"/>
        <v>FOR</v>
      </c>
      <c r="O3174" t="s">
        <v>69</v>
      </c>
      <c r="P3174" s="3" t="s">
        <v>75</v>
      </c>
      <c r="Q3174">
        <v>2016</v>
      </c>
      <c r="R3174" s="2">
        <v>42521</v>
      </c>
      <c r="S3174" s="2">
        <v>42530</v>
      </c>
      <c r="T3174" s="2">
        <v>42521</v>
      </c>
      <c r="U3174" s="2">
        <v>42581</v>
      </c>
      <c r="V3174" t="s">
        <v>71</v>
      </c>
      <c r="W3174" t="str">
        <f>"          1023871180"</f>
        <v xml:space="preserve">          1023871180</v>
      </c>
      <c r="X3174" s="1">
        <v>7362.7</v>
      </c>
      <c r="Y3174">
        <v>0</v>
      </c>
      <c r="Z3174" s="5">
        <v>6035</v>
      </c>
      <c r="AA3174">
        <v>138</v>
      </c>
      <c r="AB3174" s="5">
        <v>832830</v>
      </c>
      <c r="AC3174" s="1">
        <v>6035</v>
      </c>
      <c r="AD3174">
        <v>138</v>
      </c>
      <c r="AE3174" s="1">
        <v>832830</v>
      </c>
      <c r="AF3174" s="1">
        <v>1327.7</v>
      </c>
      <c r="AJ3174">
        <v>0</v>
      </c>
      <c r="AK3174">
        <v>0</v>
      </c>
      <c r="AL3174">
        <v>0</v>
      </c>
      <c r="AM3174" s="1">
        <v>7362.7</v>
      </c>
      <c r="AN3174" s="1">
        <v>7362.7</v>
      </c>
      <c r="AO3174" s="1">
        <v>7362.7</v>
      </c>
      <c r="AP3174" s="2">
        <v>42746</v>
      </c>
      <c r="AQ3174" t="s">
        <v>72</v>
      </c>
      <c r="AR3174" t="s">
        <v>72</v>
      </c>
      <c r="AS3174">
        <v>3516</v>
      </c>
      <c r="AT3174" s="4">
        <v>42719</v>
      </c>
      <c r="AU3174" t="s">
        <v>73</v>
      </c>
      <c r="AV3174">
        <v>3516</v>
      </c>
      <c r="AW3174" s="4">
        <v>42719</v>
      </c>
      <c r="BC3174" s="1">
        <v>1327.7</v>
      </c>
      <c r="BD3174">
        <v>0</v>
      </c>
      <c r="BN3174" t="s">
        <v>74</v>
      </c>
    </row>
    <row r="3175" spans="1:66">
      <c r="A3175">
        <v>101130</v>
      </c>
      <c r="B3175" s="3" t="s">
        <v>369</v>
      </c>
      <c r="C3175" s="1">
        <v>43300101</v>
      </c>
      <c r="D3175" t="s">
        <v>67</v>
      </c>
      <c r="H3175" t="str">
        <f t="shared" si="322"/>
        <v>09238800156</v>
      </c>
      <c r="I3175" t="str">
        <f t="shared" si="322"/>
        <v>09238800156</v>
      </c>
      <c r="K3175" t="str">
        <f>""</f>
        <v/>
      </c>
      <c r="M3175" t="s">
        <v>68</v>
      </c>
      <c r="N3175" t="str">
        <f t="shared" ref="N3175:N3201" si="323">"FOR"</f>
        <v>FOR</v>
      </c>
      <c r="O3175" t="s">
        <v>69</v>
      </c>
      <c r="P3175" s="3" t="s">
        <v>75</v>
      </c>
      <c r="Q3175">
        <v>2016</v>
      </c>
      <c r="R3175" s="2">
        <v>42521</v>
      </c>
      <c r="S3175" s="2">
        <v>42529</v>
      </c>
      <c r="T3175" s="2">
        <v>42521</v>
      </c>
      <c r="U3175" s="2">
        <v>42581</v>
      </c>
      <c r="V3175" t="s">
        <v>71</v>
      </c>
      <c r="W3175" t="str">
        <f>"          1023871181"</f>
        <v xml:space="preserve">          1023871181</v>
      </c>
      <c r="X3175" s="1">
        <v>2064.2399999999998</v>
      </c>
      <c r="Y3175">
        <v>0</v>
      </c>
      <c r="Z3175" s="5">
        <v>1692</v>
      </c>
      <c r="AA3175">
        <v>138</v>
      </c>
      <c r="AB3175" s="5">
        <v>233496</v>
      </c>
      <c r="AC3175" s="1">
        <v>1692</v>
      </c>
      <c r="AD3175">
        <v>138</v>
      </c>
      <c r="AE3175" s="1">
        <v>233496</v>
      </c>
      <c r="AF3175">
        <v>372.24</v>
      </c>
      <c r="AJ3175">
        <v>0</v>
      </c>
      <c r="AK3175">
        <v>0</v>
      </c>
      <c r="AL3175">
        <v>0</v>
      </c>
      <c r="AM3175" s="1">
        <v>2064.2399999999998</v>
      </c>
      <c r="AN3175" s="1">
        <v>2064.2399999999998</v>
      </c>
      <c r="AO3175" s="1">
        <v>2064.2399999999998</v>
      </c>
      <c r="AP3175" s="2">
        <v>42746</v>
      </c>
      <c r="AQ3175" t="s">
        <v>72</v>
      </c>
      <c r="AR3175" t="s">
        <v>72</v>
      </c>
      <c r="AS3175">
        <v>3516</v>
      </c>
      <c r="AT3175" s="4">
        <v>42719</v>
      </c>
      <c r="AU3175" t="s">
        <v>73</v>
      </c>
      <c r="AV3175">
        <v>3516</v>
      </c>
      <c r="AW3175" s="4">
        <v>42719</v>
      </c>
      <c r="BC3175">
        <v>372.24</v>
      </c>
      <c r="BD3175">
        <v>0</v>
      </c>
      <c r="BN3175" t="s">
        <v>74</v>
      </c>
    </row>
    <row r="3176" spans="1:66">
      <c r="A3176">
        <v>101130</v>
      </c>
      <c r="B3176" s="3" t="s">
        <v>369</v>
      </c>
      <c r="C3176" s="1">
        <v>43300101</v>
      </c>
      <c r="D3176" t="s">
        <v>67</v>
      </c>
      <c r="H3176" t="str">
        <f t="shared" si="322"/>
        <v>09238800156</v>
      </c>
      <c r="I3176" t="str">
        <f t="shared" si="322"/>
        <v>09238800156</v>
      </c>
      <c r="K3176" t="str">
        <f>""</f>
        <v/>
      </c>
      <c r="M3176" t="s">
        <v>68</v>
      </c>
      <c r="N3176" t="str">
        <f t="shared" si="323"/>
        <v>FOR</v>
      </c>
      <c r="O3176" t="s">
        <v>69</v>
      </c>
      <c r="P3176" s="3" t="s">
        <v>75</v>
      </c>
      <c r="Q3176">
        <v>2016</v>
      </c>
      <c r="R3176" s="2">
        <v>42521</v>
      </c>
      <c r="S3176" s="2">
        <v>42522</v>
      </c>
      <c r="T3176" s="2">
        <v>42521</v>
      </c>
      <c r="U3176" s="2">
        <v>42581</v>
      </c>
      <c r="V3176" t="s">
        <v>71</v>
      </c>
      <c r="W3176" t="str">
        <f>"          1023871182"</f>
        <v xml:space="preserve">          1023871182</v>
      </c>
      <c r="X3176" s="1">
        <v>25360.14</v>
      </c>
      <c r="Y3176">
        <v>0</v>
      </c>
      <c r="Z3176" s="5">
        <v>20787</v>
      </c>
      <c r="AA3176">
        <v>138</v>
      </c>
      <c r="AB3176" s="5">
        <v>2868606</v>
      </c>
      <c r="AC3176" s="1">
        <v>20787</v>
      </c>
      <c r="AD3176">
        <v>138</v>
      </c>
      <c r="AE3176" s="1">
        <v>2868606</v>
      </c>
      <c r="AF3176" s="1">
        <v>4573.1400000000003</v>
      </c>
      <c r="AJ3176">
        <v>0</v>
      </c>
      <c r="AK3176">
        <v>0</v>
      </c>
      <c r="AL3176">
        <v>0</v>
      </c>
      <c r="AM3176" s="1">
        <v>25360.14</v>
      </c>
      <c r="AN3176" s="1">
        <v>25360.14</v>
      </c>
      <c r="AO3176" s="1">
        <v>25360.14</v>
      </c>
      <c r="AP3176" s="2">
        <v>42746</v>
      </c>
      <c r="AQ3176" t="s">
        <v>72</v>
      </c>
      <c r="AR3176" t="s">
        <v>72</v>
      </c>
      <c r="AS3176">
        <v>3516</v>
      </c>
      <c r="AT3176" s="4">
        <v>42719</v>
      </c>
      <c r="AU3176" t="s">
        <v>73</v>
      </c>
      <c r="AV3176">
        <v>3516</v>
      </c>
      <c r="AW3176" s="4">
        <v>42719</v>
      </c>
      <c r="BC3176" s="1">
        <v>4573.1400000000003</v>
      </c>
      <c r="BD3176">
        <v>0</v>
      </c>
      <c r="BN3176" t="s">
        <v>74</v>
      </c>
    </row>
    <row r="3177" spans="1:66">
      <c r="A3177">
        <v>101130</v>
      </c>
      <c r="B3177" s="3" t="s">
        <v>369</v>
      </c>
      <c r="C3177" s="1">
        <v>43300101</v>
      </c>
      <c r="D3177" t="s">
        <v>67</v>
      </c>
      <c r="H3177" t="str">
        <f t="shared" si="322"/>
        <v>09238800156</v>
      </c>
      <c r="I3177" t="str">
        <f t="shared" si="322"/>
        <v>09238800156</v>
      </c>
      <c r="K3177" t="str">
        <f>""</f>
        <v/>
      </c>
      <c r="M3177" t="s">
        <v>68</v>
      </c>
      <c r="N3177" t="str">
        <f t="shared" si="323"/>
        <v>FOR</v>
      </c>
      <c r="O3177" t="s">
        <v>69</v>
      </c>
      <c r="P3177" s="3" t="s">
        <v>75</v>
      </c>
      <c r="Q3177">
        <v>2016</v>
      </c>
      <c r="R3177" s="2">
        <v>42521</v>
      </c>
      <c r="S3177" s="2">
        <v>42522</v>
      </c>
      <c r="T3177" s="2">
        <v>42521</v>
      </c>
      <c r="U3177" s="2">
        <v>42581</v>
      </c>
      <c r="V3177" t="s">
        <v>71</v>
      </c>
      <c r="W3177" t="str">
        <f>"          1023871183"</f>
        <v xml:space="preserve">          1023871183</v>
      </c>
      <c r="X3177" s="1">
        <v>13908</v>
      </c>
      <c r="Y3177">
        <v>0</v>
      </c>
      <c r="Z3177" s="5">
        <v>11400</v>
      </c>
      <c r="AA3177">
        <v>138</v>
      </c>
      <c r="AB3177" s="5">
        <v>1573200</v>
      </c>
      <c r="AC3177" s="1">
        <v>11400</v>
      </c>
      <c r="AD3177">
        <v>138</v>
      </c>
      <c r="AE3177" s="1">
        <v>1573200</v>
      </c>
      <c r="AF3177" s="1">
        <v>2508</v>
      </c>
      <c r="AJ3177">
        <v>0</v>
      </c>
      <c r="AK3177">
        <v>0</v>
      </c>
      <c r="AL3177">
        <v>0</v>
      </c>
      <c r="AM3177" s="1">
        <v>13908</v>
      </c>
      <c r="AN3177" s="1">
        <v>13908</v>
      </c>
      <c r="AO3177" s="1">
        <v>13908</v>
      </c>
      <c r="AP3177" s="2">
        <v>42746</v>
      </c>
      <c r="AQ3177" t="s">
        <v>72</v>
      </c>
      <c r="AR3177" t="s">
        <v>72</v>
      </c>
      <c r="AS3177">
        <v>3516</v>
      </c>
      <c r="AT3177" s="4">
        <v>42719</v>
      </c>
      <c r="AU3177" t="s">
        <v>73</v>
      </c>
      <c r="AV3177">
        <v>3516</v>
      </c>
      <c r="AW3177" s="4">
        <v>42719</v>
      </c>
      <c r="BC3177" s="1">
        <v>2508</v>
      </c>
      <c r="BD3177">
        <v>0</v>
      </c>
      <c r="BN3177" t="s">
        <v>74</v>
      </c>
    </row>
    <row r="3178" spans="1:66">
      <c r="A3178">
        <v>101130</v>
      </c>
      <c r="B3178" s="3" t="s">
        <v>369</v>
      </c>
      <c r="C3178" s="1">
        <v>43300101</v>
      </c>
      <c r="D3178" t="s">
        <v>67</v>
      </c>
      <c r="H3178" t="str">
        <f t="shared" si="322"/>
        <v>09238800156</v>
      </c>
      <c r="I3178" t="str">
        <f t="shared" si="322"/>
        <v>09238800156</v>
      </c>
      <c r="K3178" t="str">
        <f>""</f>
        <v/>
      </c>
      <c r="M3178" t="s">
        <v>68</v>
      </c>
      <c r="N3178" t="str">
        <f t="shared" si="323"/>
        <v>FOR</v>
      </c>
      <c r="O3178" t="s">
        <v>69</v>
      </c>
      <c r="P3178" s="3" t="s">
        <v>75</v>
      </c>
      <c r="Q3178">
        <v>2016</v>
      </c>
      <c r="R3178" s="2">
        <v>42523</v>
      </c>
      <c r="S3178" s="2">
        <v>42530</v>
      </c>
      <c r="T3178" s="2">
        <v>42523</v>
      </c>
      <c r="U3178" s="2">
        <v>42583</v>
      </c>
      <c r="V3178" t="s">
        <v>71</v>
      </c>
      <c r="W3178" t="str">
        <f>"          1023873040"</f>
        <v xml:space="preserve">          1023873040</v>
      </c>
      <c r="X3178" s="1">
        <v>1560.62</v>
      </c>
      <c r="Y3178">
        <v>0</v>
      </c>
      <c r="Z3178" s="5">
        <v>1279.2</v>
      </c>
      <c r="AA3178">
        <v>141</v>
      </c>
      <c r="AB3178" s="5">
        <v>180367.2</v>
      </c>
      <c r="AC3178" s="1">
        <v>1279.2</v>
      </c>
      <c r="AD3178">
        <v>141</v>
      </c>
      <c r="AE3178" s="1">
        <v>180367.2</v>
      </c>
      <c r="AF3178">
        <v>281.42</v>
      </c>
      <c r="AJ3178">
        <v>0</v>
      </c>
      <c r="AK3178">
        <v>0</v>
      </c>
      <c r="AL3178">
        <v>0</v>
      </c>
      <c r="AM3178" s="1">
        <v>1560.62</v>
      </c>
      <c r="AN3178" s="1">
        <v>1560.62</v>
      </c>
      <c r="AO3178" s="1">
        <v>1560.62</v>
      </c>
      <c r="AP3178" s="2">
        <v>42746</v>
      </c>
      <c r="AQ3178" t="s">
        <v>72</v>
      </c>
      <c r="AR3178" t="s">
        <v>72</v>
      </c>
      <c r="AS3178">
        <v>3646</v>
      </c>
      <c r="AT3178" s="4">
        <v>42724</v>
      </c>
      <c r="AU3178" t="s">
        <v>73</v>
      </c>
      <c r="AV3178">
        <v>3646</v>
      </c>
      <c r="AW3178" s="4">
        <v>42724</v>
      </c>
      <c r="BB3178">
        <v>281.42</v>
      </c>
      <c r="BD3178">
        <v>0</v>
      </c>
      <c r="BN3178" t="s">
        <v>74</v>
      </c>
    </row>
    <row r="3179" spans="1:66">
      <c r="A3179">
        <v>101130</v>
      </c>
      <c r="B3179" s="3" t="s">
        <v>369</v>
      </c>
      <c r="C3179" s="1">
        <v>43300101</v>
      </c>
      <c r="D3179" t="s">
        <v>67</v>
      </c>
      <c r="H3179" t="str">
        <f t="shared" si="322"/>
        <v>09238800156</v>
      </c>
      <c r="I3179" t="str">
        <f t="shared" si="322"/>
        <v>09238800156</v>
      </c>
      <c r="K3179" t="str">
        <f>""</f>
        <v/>
      </c>
      <c r="M3179" t="s">
        <v>68</v>
      </c>
      <c r="N3179" t="str">
        <f t="shared" si="323"/>
        <v>FOR</v>
      </c>
      <c r="O3179" t="s">
        <v>69</v>
      </c>
      <c r="P3179" s="3" t="s">
        <v>75</v>
      </c>
      <c r="Q3179">
        <v>2016</v>
      </c>
      <c r="R3179" s="2">
        <v>42523</v>
      </c>
      <c r="S3179" s="2">
        <v>42530</v>
      </c>
      <c r="T3179" s="2">
        <v>42523</v>
      </c>
      <c r="U3179" s="2">
        <v>42583</v>
      </c>
      <c r="V3179" t="s">
        <v>71</v>
      </c>
      <c r="W3179" t="str">
        <f>"          1023873041"</f>
        <v xml:space="preserve">          1023873041</v>
      </c>
      <c r="X3179" s="1">
        <v>1737.04</v>
      </c>
      <c r="Y3179">
        <v>0</v>
      </c>
      <c r="Z3179" s="5">
        <v>1423.8</v>
      </c>
      <c r="AA3179">
        <v>141</v>
      </c>
      <c r="AB3179" s="5">
        <v>200755.8</v>
      </c>
      <c r="AC3179" s="1">
        <v>1423.8</v>
      </c>
      <c r="AD3179">
        <v>141</v>
      </c>
      <c r="AE3179" s="1">
        <v>200755.8</v>
      </c>
      <c r="AF3179">
        <v>313.24</v>
      </c>
      <c r="AJ3179">
        <v>0</v>
      </c>
      <c r="AK3179">
        <v>0</v>
      </c>
      <c r="AL3179">
        <v>0</v>
      </c>
      <c r="AM3179" s="1">
        <v>1737.04</v>
      </c>
      <c r="AN3179" s="1">
        <v>1737.04</v>
      </c>
      <c r="AO3179" s="1">
        <v>1737.04</v>
      </c>
      <c r="AP3179" s="2">
        <v>42746</v>
      </c>
      <c r="AQ3179" t="s">
        <v>72</v>
      </c>
      <c r="AR3179" t="s">
        <v>72</v>
      </c>
      <c r="AS3179">
        <v>3646</v>
      </c>
      <c r="AT3179" s="4">
        <v>42724</v>
      </c>
      <c r="AU3179" t="s">
        <v>73</v>
      </c>
      <c r="AV3179">
        <v>3646</v>
      </c>
      <c r="AW3179" s="4">
        <v>42724</v>
      </c>
      <c r="BB3179">
        <v>313.24</v>
      </c>
      <c r="BD3179">
        <v>0</v>
      </c>
      <c r="BN3179" t="s">
        <v>74</v>
      </c>
    </row>
    <row r="3180" spans="1:66">
      <c r="A3180">
        <v>101130</v>
      </c>
      <c r="B3180" s="3" t="s">
        <v>369</v>
      </c>
      <c r="C3180" s="1">
        <v>43300101</v>
      </c>
      <c r="D3180" t="s">
        <v>67</v>
      </c>
      <c r="H3180" t="str">
        <f t="shared" si="322"/>
        <v>09238800156</v>
      </c>
      <c r="I3180" t="str">
        <f t="shared" si="322"/>
        <v>09238800156</v>
      </c>
      <c r="K3180" t="str">
        <f>""</f>
        <v/>
      </c>
      <c r="M3180" t="s">
        <v>68</v>
      </c>
      <c r="N3180" t="str">
        <f t="shared" si="323"/>
        <v>FOR</v>
      </c>
      <c r="O3180" t="s">
        <v>69</v>
      </c>
      <c r="P3180" s="3" t="s">
        <v>75</v>
      </c>
      <c r="Q3180">
        <v>2016</v>
      </c>
      <c r="R3180" s="2">
        <v>42524</v>
      </c>
      <c r="S3180" s="2">
        <v>42530</v>
      </c>
      <c r="T3180" s="2">
        <v>42524</v>
      </c>
      <c r="U3180" s="2">
        <v>42584</v>
      </c>
      <c r="V3180" t="s">
        <v>71</v>
      </c>
      <c r="W3180" t="str">
        <f>"          1023873526"</f>
        <v xml:space="preserve">          1023873526</v>
      </c>
      <c r="X3180" s="1">
        <v>3991.6</v>
      </c>
      <c r="Y3180">
        <v>0</v>
      </c>
      <c r="Z3180" s="5">
        <v>3271.8</v>
      </c>
      <c r="AA3180">
        <v>140</v>
      </c>
      <c r="AB3180" s="5">
        <v>458052</v>
      </c>
      <c r="AC3180" s="1">
        <v>3271.8</v>
      </c>
      <c r="AD3180">
        <v>140</v>
      </c>
      <c r="AE3180" s="1">
        <v>458052</v>
      </c>
      <c r="AF3180">
        <v>719.8</v>
      </c>
      <c r="AJ3180">
        <v>0</v>
      </c>
      <c r="AK3180">
        <v>0</v>
      </c>
      <c r="AL3180">
        <v>0</v>
      </c>
      <c r="AM3180" s="1">
        <v>3991.6</v>
      </c>
      <c r="AN3180" s="1">
        <v>3991.6</v>
      </c>
      <c r="AO3180" s="1">
        <v>3991.6</v>
      </c>
      <c r="AP3180" s="2">
        <v>42746</v>
      </c>
      <c r="AQ3180" t="s">
        <v>72</v>
      </c>
      <c r="AR3180" t="s">
        <v>72</v>
      </c>
      <c r="AS3180">
        <v>3646</v>
      </c>
      <c r="AT3180" s="4">
        <v>42724</v>
      </c>
      <c r="AU3180" t="s">
        <v>73</v>
      </c>
      <c r="AV3180">
        <v>3646</v>
      </c>
      <c r="AW3180" s="4">
        <v>42724</v>
      </c>
      <c r="BB3180">
        <v>719.8</v>
      </c>
      <c r="BD3180">
        <v>0</v>
      </c>
      <c r="BN3180" t="s">
        <v>74</v>
      </c>
    </row>
    <row r="3181" spans="1:66">
      <c r="A3181">
        <v>101130</v>
      </c>
      <c r="B3181" s="3" t="s">
        <v>369</v>
      </c>
      <c r="C3181" s="1">
        <v>43300101</v>
      </c>
      <c r="D3181" t="s">
        <v>67</v>
      </c>
      <c r="H3181" t="str">
        <f t="shared" si="322"/>
        <v>09238800156</v>
      </c>
      <c r="I3181" t="str">
        <f t="shared" si="322"/>
        <v>09238800156</v>
      </c>
      <c r="K3181" t="str">
        <f>""</f>
        <v/>
      </c>
      <c r="M3181" t="s">
        <v>68</v>
      </c>
      <c r="N3181" t="str">
        <f t="shared" si="323"/>
        <v>FOR</v>
      </c>
      <c r="O3181" t="s">
        <v>69</v>
      </c>
      <c r="P3181" s="3" t="s">
        <v>75</v>
      </c>
      <c r="Q3181">
        <v>2016</v>
      </c>
      <c r="R3181" s="2">
        <v>42527</v>
      </c>
      <c r="S3181" s="2">
        <v>42530</v>
      </c>
      <c r="T3181" s="2">
        <v>42527</v>
      </c>
      <c r="U3181" s="2">
        <v>42587</v>
      </c>
      <c r="V3181" t="s">
        <v>71</v>
      </c>
      <c r="W3181" t="str">
        <f>"          1023874406"</f>
        <v xml:space="preserve">          1023874406</v>
      </c>
      <c r="X3181" s="1">
        <v>12914.16</v>
      </c>
      <c r="Y3181">
        <v>0</v>
      </c>
      <c r="Z3181" s="5">
        <v>12417.46</v>
      </c>
      <c r="AA3181">
        <v>137</v>
      </c>
      <c r="AB3181" s="5">
        <v>1701192.02</v>
      </c>
      <c r="AC3181" s="1">
        <v>12417.46</v>
      </c>
      <c r="AD3181">
        <v>137</v>
      </c>
      <c r="AE3181" s="1">
        <v>1701192.02</v>
      </c>
      <c r="AF3181">
        <v>496.7</v>
      </c>
      <c r="AJ3181">
        <v>0</v>
      </c>
      <c r="AK3181">
        <v>0</v>
      </c>
      <c r="AL3181">
        <v>0</v>
      </c>
      <c r="AM3181" s="1">
        <v>12914.16</v>
      </c>
      <c r="AN3181" s="1">
        <v>12914.16</v>
      </c>
      <c r="AO3181" s="1">
        <v>12914.16</v>
      </c>
      <c r="AP3181" s="2">
        <v>42746</v>
      </c>
      <c r="AQ3181" t="s">
        <v>72</v>
      </c>
      <c r="AR3181" t="s">
        <v>72</v>
      </c>
      <c r="AS3181">
        <v>3646</v>
      </c>
      <c r="AT3181" s="4">
        <v>42724</v>
      </c>
      <c r="AU3181" t="s">
        <v>73</v>
      </c>
      <c r="AV3181">
        <v>3646</v>
      </c>
      <c r="AW3181" s="4">
        <v>42724</v>
      </c>
      <c r="BB3181">
        <v>496.7</v>
      </c>
      <c r="BD3181">
        <v>0</v>
      </c>
      <c r="BN3181" t="s">
        <v>74</v>
      </c>
    </row>
    <row r="3182" spans="1:66">
      <c r="A3182">
        <v>101130</v>
      </c>
      <c r="B3182" s="3" t="s">
        <v>369</v>
      </c>
      <c r="C3182" s="1">
        <v>43300101</v>
      </c>
      <c r="D3182" t="s">
        <v>67</v>
      </c>
      <c r="H3182" t="str">
        <f t="shared" si="322"/>
        <v>09238800156</v>
      </c>
      <c r="I3182" t="str">
        <f t="shared" si="322"/>
        <v>09238800156</v>
      </c>
      <c r="K3182" t="str">
        <f>""</f>
        <v/>
      </c>
      <c r="M3182" t="s">
        <v>68</v>
      </c>
      <c r="N3182" t="str">
        <f t="shared" si="323"/>
        <v>FOR</v>
      </c>
      <c r="O3182" t="s">
        <v>69</v>
      </c>
      <c r="P3182" s="3" t="s">
        <v>75</v>
      </c>
      <c r="Q3182">
        <v>2016</v>
      </c>
      <c r="R3182" s="2">
        <v>42527</v>
      </c>
      <c r="S3182" s="2">
        <v>42530</v>
      </c>
      <c r="T3182" s="2">
        <v>42527</v>
      </c>
      <c r="U3182" s="2">
        <v>42587</v>
      </c>
      <c r="V3182" t="s">
        <v>71</v>
      </c>
      <c r="W3182" t="str">
        <f>"          1023874407"</f>
        <v xml:space="preserve">          1023874407</v>
      </c>
      <c r="X3182">
        <v>761.28</v>
      </c>
      <c r="Y3182">
        <v>0</v>
      </c>
      <c r="Z3182" s="3">
        <v>624</v>
      </c>
      <c r="AA3182">
        <v>137</v>
      </c>
      <c r="AB3182" s="5">
        <v>85488</v>
      </c>
      <c r="AC3182">
        <v>624</v>
      </c>
      <c r="AD3182">
        <v>137</v>
      </c>
      <c r="AE3182" s="1">
        <v>85488</v>
      </c>
      <c r="AF3182">
        <v>137.28</v>
      </c>
      <c r="AJ3182">
        <v>0</v>
      </c>
      <c r="AK3182">
        <v>0</v>
      </c>
      <c r="AL3182">
        <v>0</v>
      </c>
      <c r="AM3182">
        <v>761.28</v>
      </c>
      <c r="AN3182">
        <v>761.28</v>
      </c>
      <c r="AO3182">
        <v>761.28</v>
      </c>
      <c r="AP3182" s="2">
        <v>42746</v>
      </c>
      <c r="AQ3182" t="s">
        <v>72</v>
      </c>
      <c r="AR3182" t="s">
        <v>72</v>
      </c>
      <c r="AS3182">
        <v>3646</v>
      </c>
      <c r="AT3182" s="4">
        <v>42724</v>
      </c>
      <c r="AU3182" t="s">
        <v>73</v>
      </c>
      <c r="AV3182">
        <v>3646</v>
      </c>
      <c r="AW3182" s="4">
        <v>42724</v>
      </c>
      <c r="BB3182">
        <v>137.28</v>
      </c>
      <c r="BD3182">
        <v>0</v>
      </c>
      <c r="BN3182" t="s">
        <v>74</v>
      </c>
    </row>
    <row r="3183" spans="1:66">
      <c r="A3183">
        <v>101130</v>
      </c>
      <c r="B3183" s="3" t="s">
        <v>369</v>
      </c>
      <c r="C3183" s="1">
        <v>43300101</v>
      </c>
      <c r="D3183" t="s">
        <v>67</v>
      </c>
      <c r="H3183" t="str">
        <f t="shared" si="322"/>
        <v>09238800156</v>
      </c>
      <c r="I3183" t="str">
        <f t="shared" si="322"/>
        <v>09238800156</v>
      </c>
      <c r="K3183" t="str">
        <f>""</f>
        <v/>
      </c>
      <c r="M3183" t="s">
        <v>68</v>
      </c>
      <c r="N3183" t="str">
        <f t="shared" si="323"/>
        <v>FOR</v>
      </c>
      <c r="O3183" t="s">
        <v>69</v>
      </c>
      <c r="P3183" s="3" t="s">
        <v>75</v>
      </c>
      <c r="Q3183">
        <v>2016</v>
      </c>
      <c r="R3183" s="2">
        <v>42527</v>
      </c>
      <c r="S3183" s="2">
        <v>42530</v>
      </c>
      <c r="T3183" s="2">
        <v>42528</v>
      </c>
      <c r="U3183" s="2">
        <v>42588</v>
      </c>
      <c r="V3183" t="s">
        <v>71</v>
      </c>
      <c r="W3183" t="str">
        <f>"          1023874408"</f>
        <v xml:space="preserve">          1023874408</v>
      </c>
      <c r="X3183" s="1">
        <v>1169.49</v>
      </c>
      <c r="Y3183">
        <v>0</v>
      </c>
      <c r="Z3183" s="3">
        <v>958.6</v>
      </c>
      <c r="AA3183">
        <v>136</v>
      </c>
      <c r="AB3183" s="5">
        <v>130369.60000000001</v>
      </c>
      <c r="AC3183">
        <v>958.6</v>
      </c>
      <c r="AD3183">
        <v>136</v>
      </c>
      <c r="AE3183" s="1">
        <v>130369.60000000001</v>
      </c>
      <c r="AF3183">
        <v>210.89</v>
      </c>
      <c r="AJ3183">
        <v>0</v>
      </c>
      <c r="AK3183">
        <v>0</v>
      </c>
      <c r="AL3183">
        <v>0</v>
      </c>
      <c r="AM3183" s="1">
        <v>1169.49</v>
      </c>
      <c r="AN3183" s="1">
        <v>1169.49</v>
      </c>
      <c r="AO3183" s="1">
        <v>1169.49</v>
      </c>
      <c r="AP3183" s="2">
        <v>42746</v>
      </c>
      <c r="AQ3183" t="s">
        <v>72</v>
      </c>
      <c r="AR3183" t="s">
        <v>72</v>
      </c>
      <c r="AS3183">
        <v>3646</v>
      </c>
      <c r="AT3183" s="4">
        <v>42724</v>
      </c>
      <c r="AU3183" t="s">
        <v>73</v>
      </c>
      <c r="AV3183">
        <v>3646</v>
      </c>
      <c r="AW3183" s="4">
        <v>42724</v>
      </c>
      <c r="BB3183">
        <v>210.89</v>
      </c>
      <c r="BD3183">
        <v>0</v>
      </c>
      <c r="BN3183" t="s">
        <v>74</v>
      </c>
    </row>
    <row r="3184" spans="1:66">
      <c r="A3184">
        <v>101130</v>
      </c>
      <c r="B3184" s="3" t="s">
        <v>369</v>
      </c>
      <c r="C3184" s="1">
        <v>43300101</v>
      </c>
      <c r="D3184" t="s">
        <v>67</v>
      </c>
      <c r="H3184" t="str">
        <f t="shared" si="322"/>
        <v>09238800156</v>
      </c>
      <c r="I3184" t="str">
        <f t="shared" si="322"/>
        <v>09238800156</v>
      </c>
      <c r="K3184" t="str">
        <f>""</f>
        <v/>
      </c>
      <c r="M3184" t="s">
        <v>68</v>
      </c>
      <c r="N3184" t="str">
        <f t="shared" si="323"/>
        <v>FOR</v>
      </c>
      <c r="O3184" t="s">
        <v>69</v>
      </c>
      <c r="P3184" s="3" t="s">
        <v>75</v>
      </c>
      <c r="Q3184">
        <v>2016</v>
      </c>
      <c r="R3184" s="2">
        <v>42528</v>
      </c>
      <c r="S3184" s="2">
        <v>42530</v>
      </c>
      <c r="T3184" s="2">
        <v>42528</v>
      </c>
      <c r="U3184" s="2">
        <v>42588</v>
      </c>
      <c r="V3184" t="s">
        <v>71</v>
      </c>
      <c r="W3184" t="str">
        <f>"          1023875338"</f>
        <v xml:space="preserve">          1023875338</v>
      </c>
      <c r="X3184" s="1">
        <v>3111</v>
      </c>
      <c r="Y3184">
        <v>0</v>
      </c>
      <c r="Z3184" s="5">
        <v>2550</v>
      </c>
      <c r="AA3184">
        <v>136</v>
      </c>
      <c r="AB3184" s="5">
        <v>346800</v>
      </c>
      <c r="AC3184" s="1">
        <v>2550</v>
      </c>
      <c r="AD3184">
        <v>136</v>
      </c>
      <c r="AE3184" s="1">
        <v>346800</v>
      </c>
      <c r="AF3184">
        <v>561</v>
      </c>
      <c r="AJ3184">
        <v>0</v>
      </c>
      <c r="AK3184">
        <v>0</v>
      </c>
      <c r="AL3184">
        <v>0</v>
      </c>
      <c r="AM3184" s="1">
        <v>3111</v>
      </c>
      <c r="AN3184" s="1">
        <v>3111</v>
      </c>
      <c r="AO3184" s="1">
        <v>3111</v>
      </c>
      <c r="AP3184" s="2">
        <v>42746</v>
      </c>
      <c r="AQ3184" t="s">
        <v>72</v>
      </c>
      <c r="AR3184" t="s">
        <v>72</v>
      </c>
      <c r="AS3184">
        <v>3646</v>
      </c>
      <c r="AT3184" s="4">
        <v>42724</v>
      </c>
      <c r="AU3184" t="s">
        <v>73</v>
      </c>
      <c r="AV3184">
        <v>3646</v>
      </c>
      <c r="AW3184" s="4">
        <v>42724</v>
      </c>
      <c r="BB3184">
        <v>561</v>
      </c>
      <c r="BD3184">
        <v>0</v>
      </c>
      <c r="BN3184" t="s">
        <v>74</v>
      </c>
    </row>
    <row r="3185" spans="1:66">
      <c r="A3185">
        <v>101130</v>
      </c>
      <c r="B3185" s="3" t="s">
        <v>369</v>
      </c>
      <c r="C3185" s="1">
        <v>43300101</v>
      </c>
      <c r="D3185" t="s">
        <v>67</v>
      </c>
      <c r="H3185" t="str">
        <f t="shared" si="322"/>
        <v>09238800156</v>
      </c>
      <c r="I3185" t="str">
        <f t="shared" si="322"/>
        <v>09238800156</v>
      </c>
      <c r="K3185" t="str">
        <f>""</f>
        <v/>
      </c>
      <c r="M3185" t="s">
        <v>68</v>
      </c>
      <c r="N3185" t="str">
        <f t="shared" si="323"/>
        <v>FOR</v>
      </c>
      <c r="O3185" t="s">
        <v>69</v>
      </c>
      <c r="P3185" s="3" t="s">
        <v>75</v>
      </c>
      <c r="Q3185">
        <v>2016</v>
      </c>
      <c r="R3185" s="2">
        <v>42529</v>
      </c>
      <c r="S3185" s="2">
        <v>42530</v>
      </c>
      <c r="T3185" s="2">
        <v>42529</v>
      </c>
      <c r="U3185" s="2">
        <v>42589</v>
      </c>
      <c r="V3185" t="s">
        <v>71</v>
      </c>
      <c r="W3185" t="str">
        <f>"          1023876576"</f>
        <v xml:space="preserve">          1023876576</v>
      </c>
      <c r="X3185" s="1">
        <v>1913.6</v>
      </c>
      <c r="Y3185">
        <v>0</v>
      </c>
      <c r="Z3185" s="5">
        <v>1840</v>
      </c>
      <c r="AA3185">
        <v>135</v>
      </c>
      <c r="AB3185" s="5">
        <v>248400</v>
      </c>
      <c r="AC3185" s="1">
        <v>1840</v>
      </c>
      <c r="AD3185">
        <v>135</v>
      </c>
      <c r="AE3185" s="1">
        <v>248400</v>
      </c>
      <c r="AF3185">
        <v>73.599999999999994</v>
      </c>
      <c r="AJ3185">
        <v>0</v>
      </c>
      <c r="AK3185">
        <v>0</v>
      </c>
      <c r="AL3185">
        <v>0</v>
      </c>
      <c r="AM3185" s="1">
        <v>1913.6</v>
      </c>
      <c r="AN3185" s="1">
        <v>1913.6</v>
      </c>
      <c r="AO3185" s="1">
        <v>1913.6</v>
      </c>
      <c r="AP3185" s="2">
        <v>42746</v>
      </c>
      <c r="AQ3185" t="s">
        <v>72</v>
      </c>
      <c r="AR3185" t="s">
        <v>72</v>
      </c>
      <c r="AS3185">
        <v>3646</v>
      </c>
      <c r="AT3185" s="4">
        <v>42724</v>
      </c>
      <c r="AU3185" t="s">
        <v>73</v>
      </c>
      <c r="AV3185">
        <v>3646</v>
      </c>
      <c r="AW3185" s="4">
        <v>42724</v>
      </c>
      <c r="BB3185">
        <v>73.599999999999994</v>
      </c>
      <c r="BD3185">
        <v>0</v>
      </c>
      <c r="BN3185" t="s">
        <v>74</v>
      </c>
    </row>
    <row r="3186" spans="1:66">
      <c r="A3186">
        <v>101130</v>
      </c>
      <c r="B3186" s="3" t="s">
        <v>369</v>
      </c>
      <c r="C3186" s="1">
        <v>43300101</v>
      </c>
      <c r="D3186" t="s">
        <v>67</v>
      </c>
      <c r="H3186" t="str">
        <f t="shared" si="322"/>
        <v>09238800156</v>
      </c>
      <c r="I3186" t="str">
        <f t="shared" si="322"/>
        <v>09238800156</v>
      </c>
      <c r="K3186" t="str">
        <f>""</f>
        <v/>
      </c>
      <c r="M3186" t="s">
        <v>68</v>
      </c>
      <c r="N3186" t="str">
        <f t="shared" si="323"/>
        <v>FOR</v>
      </c>
      <c r="O3186" t="s">
        <v>69</v>
      </c>
      <c r="P3186" s="3" t="s">
        <v>75</v>
      </c>
      <c r="Q3186">
        <v>2016</v>
      </c>
      <c r="R3186" s="2">
        <v>42534</v>
      </c>
      <c r="S3186" s="2">
        <v>42535</v>
      </c>
      <c r="T3186" s="2">
        <v>42534</v>
      </c>
      <c r="U3186" s="2">
        <v>42594</v>
      </c>
      <c r="V3186" t="s">
        <v>71</v>
      </c>
      <c r="W3186" t="str">
        <f>"          1023880014"</f>
        <v xml:space="preserve">          1023880014</v>
      </c>
      <c r="X3186" s="1">
        <v>3479.44</v>
      </c>
      <c r="Y3186">
        <v>0</v>
      </c>
      <c r="Z3186" s="5">
        <v>2852</v>
      </c>
      <c r="AA3186">
        <v>130</v>
      </c>
      <c r="AB3186" s="5">
        <v>370760</v>
      </c>
      <c r="AC3186" s="1">
        <v>2852</v>
      </c>
      <c r="AD3186">
        <v>130</v>
      </c>
      <c r="AE3186" s="1">
        <v>370760</v>
      </c>
      <c r="AF3186">
        <v>627.44000000000005</v>
      </c>
      <c r="AJ3186">
        <v>0</v>
      </c>
      <c r="AK3186">
        <v>0</v>
      </c>
      <c r="AL3186">
        <v>0</v>
      </c>
      <c r="AM3186" s="1">
        <v>3479.44</v>
      </c>
      <c r="AN3186" s="1">
        <v>3479.44</v>
      </c>
      <c r="AO3186" s="1">
        <v>3479.44</v>
      </c>
      <c r="AP3186" s="2">
        <v>42746</v>
      </c>
      <c r="AQ3186" t="s">
        <v>72</v>
      </c>
      <c r="AR3186" t="s">
        <v>72</v>
      </c>
      <c r="AS3186">
        <v>3646</v>
      </c>
      <c r="AT3186" s="4">
        <v>42724</v>
      </c>
      <c r="AU3186" t="s">
        <v>73</v>
      </c>
      <c r="AV3186">
        <v>3646</v>
      </c>
      <c r="AW3186" s="4">
        <v>42724</v>
      </c>
      <c r="BB3186">
        <v>627.44000000000005</v>
      </c>
      <c r="BD3186">
        <v>0</v>
      </c>
      <c r="BN3186" t="s">
        <v>74</v>
      </c>
    </row>
    <row r="3187" spans="1:66">
      <c r="A3187">
        <v>101130</v>
      </c>
      <c r="B3187" s="3" t="s">
        <v>369</v>
      </c>
      <c r="C3187" s="1">
        <v>43300101</v>
      </c>
      <c r="D3187" t="s">
        <v>67</v>
      </c>
      <c r="H3187" t="str">
        <f t="shared" si="322"/>
        <v>09238800156</v>
      </c>
      <c r="I3187" t="str">
        <f t="shared" si="322"/>
        <v>09238800156</v>
      </c>
      <c r="K3187" t="str">
        <f>""</f>
        <v/>
      </c>
      <c r="M3187" t="s">
        <v>68</v>
      </c>
      <c r="N3187" t="str">
        <f t="shared" si="323"/>
        <v>FOR</v>
      </c>
      <c r="O3187" t="s">
        <v>69</v>
      </c>
      <c r="P3187" s="3" t="s">
        <v>75</v>
      </c>
      <c r="Q3187">
        <v>2016</v>
      </c>
      <c r="R3187" s="2">
        <v>42534</v>
      </c>
      <c r="S3187" s="2">
        <v>42535</v>
      </c>
      <c r="T3187" s="2">
        <v>42534</v>
      </c>
      <c r="U3187" s="2">
        <v>42594</v>
      </c>
      <c r="V3187" t="s">
        <v>71</v>
      </c>
      <c r="W3187" t="str">
        <f>"          1023880015"</f>
        <v xml:space="preserve">          1023880015</v>
      </c>
      <c r="X3187" s="1">
        <v>3047.56</v>
      </c>
      <c r="Y3187">
        <v>0</v>
      </c>
      <c r="Z3187" s="5">
        <v>2498</v>
      </c>
      <c r="AA3187">
        <v>130</v>
      </c>
      <c r="AB3187" s="5">
        <v>324740</v>
      </c>
      <c r="AC3187" s="1">
        <v>2498</v>
      </c>
      <c r="AD3187">
        <v>130</v>
      </c>
      <c r="AE3187" s="1">
        <v>324740</v>
      </c>
      <c r="AF3187">
        <v>549.55999999999995</v>
      </c>
      <c r="AJ3187">
        <v>0</v>
      </c>
      <c r="AK3187">
        <v>0</v>
      </c>
      <c r="AL3187">
        <v>0</v>
      </c>
      <c r="AM3187" s="1">
        <v>3047.56</v>
      </c>
      <c r="AN3187" s="1">
        <v>3047.56</v>
      </c>
      <c r="AO3187" s="1">
        <v>3047.56</v>
      </c>
      <c r="AP3187" s="2">
        <v>42746</v>
      </c>
      <c r="AQ3187" t="s">
        <v>72</v>
      </c>
      <c r="AR3187" t="s">
        <v>72</v>
      </c>
      <c r="AS3187">
        <v>3646</v>
      </c>
      <c r="AT3187" s="4">
        <v>42724</v>
      </c>
      <c r="AU3187" t="s">
        <v>73</v>
      </c>
      <c r="AV3187">
        <v>3646</v>
      </c>
      <c r="AW3187" s="4">
        <v>42724</v>
      </c>
      <c r="BB3187">
        <v>549.55999999999995</v>
      </c>
      <c r="BD3187">
        <v>0</v>
      </c>
      <c r="BN3187" t="s">
        <v>74</v>
      </c>
    </row>
    <row r="3188" spans="1:66">
      <c r="A3188">
        <v>101130</v>
      </c>
      <c r="B3188" s="3" t="s">
        <v>369</v>
      </c>
      <c r="C3188" s="1">
        <v>43300101</v>
      </c>
      <c r="D3188" t="s">
        <v>67</v>
      </c>
      <c r="H3188" t="str">
        <f t="shared" si="322"/>
        <v>09238800156</v>
      </c>
      <c r="I3188" t="str">
        <f t="shared" si="322"/>
        <v>09238800156</v>
      </c>
      <c r="K3188" t="str">
        <f>""</f>
        <v/>
      </c>
      <c r="M3188" t="s">
        <v>68</v>
      </c>
      <c r="N3188" t="str">
        <f t="shared" si="323"/>
        <v>FOR</v>
      </c>
      <c r="O3188" t="s">
        <v>69</v>
      </c>
      <c r="P3188" s="3" t="s">
        <v>75</v>
      </c>
      <c r="Q3188">
        <v>2016</v>
      </c>
      <c r="R3188" s="2">
        <v>42536</v>
      </c>
      <c r="S3188" s="2">
        <v>42543</v>
      </c>
      <c r="T3188" s="2">
        <v>42537</v>
      </c>
      <c r="U3188" s="2">
        <v>42597</v>
      </c>
      <c r="V3188" t="s">
        <v>71</v>
      </c>
      <c r="W3188" t="str">
        <f>"          1023882598"</f>
        <v xml:space="preserve">          1023882598</v>
      </c>
      <c r="X3188" s="1">
        <v>2600</v>
      </c>
      <c r="Y3188">
        <v>0</v>
      </c>
      <c r="Z3188" s="5">
        <v>2500</v>
      </c>
      <c r="AA3188">
        <v>127</v>
      </c>
      <c r="AB3188" s="5">
        <v>317500</v>
      </c>
      <c r="AC3188" s="1">
        <v>2500</v>
      </c>
      <c r="AD3188">
        <v>127</v>
      </c>
      <c r="AE3188" s="1">
        <v>317500</v>
      </c>
      <c r="AF3188">
        <v>100</v>
      </c>
      <c r="AJ3188">
        <v>0</v>
      </c>
      <c r="AK3188">
        <v>0</v>
      </c>
      <c r="AL3188">
        <v>0</v>
      </c>
      <c r="AM3188" s="1">
        <v>2600</v>
      </c>
      <c r="AN3188" s="1">
        <v>2600</v>
      </c>
      <c r="AO3188" s="1">
        <v>2600</v>
      </c>
      <c r="AP3188" s="2">
        <v>42746</v>
      </c>
      <c r="AQ3188" t="s">
        <v>72</v>
      </c>
      <c r="AR3188" t="s">
        <v>72</v>
      </c>
      <c r="AS3188">
        <v>3646</v>
      </c>
      <c r="AT3188" s="4">
        <v>42724</v>
      </c>
      <c r="AU3188" t="s">
        <v>73</v>
      </c>
      <c r="AV3188">
        <v>3646</v>
      </c>
      <c r="AW3188" s="4">
        <v>42724</v>
      </c>
      <c r="BB3188">
        <v>100</v>
      </c>
      <c r="BD3188">
        <v>0</v>
      </c>
      <c r="BN3188" t="s">
        <v>74</v>
      </c>
    </row>
    <row r="3189" spans="1:66">
      <c r="A3189">
        <v>101130</v>
      </c>
      <c r="B3189" s="3" t="s">
        <v>369</v>
      </c>
      <c r="C3189" s="1">
        <v>43300101</v>
      </c>
      <c r="D3189" t="s">
        <v>67</v>
      </c>
      <c r="H3189" t="str">
        <f t="shared" si="322"/>
        <v>09238800156</v>
      </c>
      <c r="I3189" t="str">
        <f t="shared" si="322"/>
        <v>09238800156</v>
      </c>
      <c r="K3189" t="str">
        <f>""</f>
        <v/>
      </c>
      <c r="M3189" t="s">
        <v>68</v>
      </c>
      <c r="N3189" t="str">
        <f t="shared" si="323"/>
        <v>FOR</v>
      </c>
      <c r="O3189" t="s">
        <v>69</v>
      </c>
      <c r="P3189" s="3" t="s">
        <v>75</v>
      </c>
      <c r="Q3189">
        <v>2016</v>
      </c>
      <c r="R3189" s="2">
        <v>42537</v>
      </c>
      <c r="S3189" s="2">
        <v>42542</v>
      </c>
      <c r="T3189" s="2">
        <v>42538</v>
      </c>
      <c r="U3189" s="2">
        <v>42598</v>
      </c>
      <c r="V3189" t="s">
        <v>71</v>
      </c>
      <c r="W3189" t="str">
        <f>"          1023883910"</f>
        <v xml:space="preserve">          1023883910</v>
      </c>
      <c r="X3189" s="1">
        <v>1176.08</v>
      </c>
      <c r="Y3189">
        <v>0</v>
      </c>
      <c r="Z3189" s="3">
        <v>964</v>
      </c>
      <c r="AA3189">
        <v>126</v>
      </c>
      <c r="AB3189" s="5">
        <v>121464</v>
      </c>
      <c r="AC3189">
        <v>964</v>
      </c>
      <c r="AD3189">
        <v>126</v>
      </c>
      <c r="AE3189" s="1">
        <v>121464</v>
      </c>
      <c r="AF3189">
        <v>212.08</v>
      </c>
      <c r="AJ3189">
        <v>0</v>
      </c>
      <c r="AK3189">
        <v>0</v>
      </c>
      <c r="AL3189">
        <v>0</v>
      </c>
      <c r="AM3189" s="1">
        <v>1176.08</v>
      </c>
      <c r="AN3189" s="1">
        <v>1176.08</v>
      </c>
      <c r="AO3189" s="1">
        <v>1176.08</v>
      </c>
      <c r="AP3189" s="2">
        <v>42746</v>
      </c>
      <c r="AQ3189" t="s">
        <v>72</v>
      </c>
      <c r="AR3189" t="s">
        <v>72</v>
      </c>
      <c r="AS3189">
        <v>3646</v>
      </c>
      <c r="AT3189" s="4">
        <v>42724</v>
      </c>
      <c r="AU3189" t="s">
        <v>73</v>
      </c>
      <c r="AV3189">
        <v>3646</v>
      </c>
      <c r="AW3189" s="4">
        <v>42724</v>
      </c>
      <c r="BB3189">
        <v>212.08</v>
      </c>
      <c r="BD3189">
        <v>0</v>
      </c>
      <c r="BN3189" t="s">
        <v>74</v>
      </c>
    </row>
    <row r="3190" spans="1:66">
      <c r="A3190">
        <v>101130</v>
      </c>
      <c r="B3190" s="3" t="s">
        <v>369</v>
      </c>
      <c r="C3190" s="1">
        <v>43300101</v>
      </c>
      <c r="D3190" t="s">
        <v>67</v>
      </c>
      <c r="H3190" t="str">
        <f t="shared" si="322"/>
        <v>09238800156</v>
      </c>
      <c r="I3190" t="str">
        <f t="shared" si="322"/>
        <v>09238800156</v>
      </c>
      <c r="K3190" t="str">
        <f>""</f>
        <v/>
      </c>
      <c r="M3190" t="s">
        <v>68</v>
      </c>
      <c r="N3190" t="str">
        <f t="shared" si="323"/>
        <v>FOR</v>
      </c>
      <c r="O3190" t="s">
        <v>69</v>
      </c>
      <c r="P3190" s="3" t="s">
        <v>75</v>
      </c>
      <c r="Q3190">
        <v>2016</v>
      </c>
      <c r="R3190" s="2">
        <v>42537</v>
      </c>
      <c r="S3190" s="2">
        <v>42542</v>
      </c>
      <c r="T3190" s="2">
        <v>42538</v>
      </c>
      <c r="U3190" s="2">
        <v>42598</v>
      </c>
      <c r="V3190" t="s">
        <v>71</v>
      </c>
      <c r="W3190" t="str">
        <f>"          1023883911"</f>
        <v xml:space="preserve">          1023883911</v>
      </c>
      <c r="X3190" s="1">
        <v>1903.2</v>
      </c>
      <c r="Y3190">
        <v>0</v>
      </c>
      <c r="Z3190" s="5">
        <v>1560</v>
      </c>
      <c r="AA3190">
        <v>126</v>
      </c>
      <c r="AB3190" s="5">
        <v>196560</v>
      </c>
      <c r="AC3190" s="1">
        <v>1560</v>
      </c>
      <c r="AD3190">
        <v>126</v>
      </c>
      <c r="AE3190" s="1">
        <v>196560</v>
      </c>
      <c r="AF3190">
        <v>343.2</v>
      </c>
      <c r="AJ3190">
        <v>0</v>
      </c>
      <c r="AK3190">
        <v>0</v>
      </c>
      <c r="AL3190">
        <v>0</v>
      </c>
      <c r="AM3190" s="1">
        <v>1903.2</v>
      </c>
      <c r="AN3190" s="1">
        <v>1903.2</v>
      </c>
      <c r="AO3190" s="1">
        <v>1903.2</v>
      </c>
      <c r="AP3190" s="2">
        <v>42746</v>
      </c>
      <c r="AQ3190" t="s">
        <v>72</v>
      </c>
      <c r="AR3190" t="s">
        <v>72</v>
      </c>
      <c r="AS3190">
        <v>3646</v>
      </c>
      <c r="AT3190" s="4">
        <v>42724</v>
      </c>
      <c r="AU3190" t="s">
        <v>73</v>
      </c>
      <c r="AV3190">
        <v>3646</v>
      </c>
      <c r="AW3190" s="4">
        <v>42724</v>
      </c>
      <c r="BB3190">
        <v>343.2</v>
      </c>
      <c r="BD3190">
        <v>0</v>
      </c>
      <c r="BN3190" t="s">
        <v>74</v>
      </c>
    </row>
    <row r="3191" spans="1:66">
      <c r="A3191">
        <v>101130</v>
      </c>
      <c r="B3191" s="3" t="s">
        <v>369</v>
      </c>
      <c r="C3191" s="1">
        <v>43300101</v>
      </c>
      <c r="D3191" t="s">
        <v>67</v>
      </c>
      <c r="H3191" t="str">
        <f t="shared" si="322"/>
        <v>09238800156</v>
      </c>
      <c r="I3191" t="str">
        <f t="shared" si="322"/>
        <v>09238800156</v>
      </c>
      <c r="K3191" t="str">
        <f>""</f>
        <v/>
      </c>
      <c r="M3191" t="s">
        <v>68</v>
      </c>
      <c r="N3191" t="str">
        <f t="shared" si="323"/>
        <v>FOR</v>
      </c>
      <c r="O3191" t="s">
        <v>69</v>
      </c>
      <c r="P3191" s="3" t="s">
        <v>75</v>
      </c>
      <c r="Q3191">
        <v>2016</v>
      </c>
      <c r="R3191" s="2">
        <v>42538</v>
      </c>
      <c r="S3191" s="2">
        <v>42543</v>
      </c>
      <c r="T3191" s="2">
        <v>42538</v>
      </c>
      <c r="U3191" s="2">
        <v>42598</v>
      </c>
      <c r="V3191" t="s">
        <v>71</v>
      </c>
      <c r="W3191" t="str">
        <f>"          1023885081"</f>
        <v xml:space="preserve">          1023885081</v>
      </c>
      <c r="X3191">
        <v>388.02</v>
      </c>
      <c r="Y3191">
        <v>0</v>
      </c>
      <c r="Z3191" s="3">
        <v>318.05</v>
      </c>
      <c r="AA3191">
        <v>126</v>
      </c>
      <c r="AB3191" s="5">
        <v>40074.300000000003</v>
      </c>
      <c r="AC3191">
        <v>318.05</v>
      </c>
      <c r="AD3191">
        <v>126</v>
      </c>
      <c r="AE3191" s="1">
        <v>40074.300000000003</v>
      </c>
      <c r="AF3191">
        <v>69.97</v>
      </c>
      <c r="AJ3191">
        <v>0</v>
      </c>
      <c r="AK3191">
        <v>0</v>
      </c>
      <c r="AL3191">
        <v>0</v>
      </c>
      <c r="AM3191">
        <v>388.02</v>
      </c>
      <c r="AN3191">
        <v>388.02</v>
      </c>
      <c r="AO3191">
        <v>388.02</v>
      </c>
      <c r="AP3191" s="2">
        <v>42746</v>
      </c>
      <c r="AQ3191" t="s">
        <v>72</v>
      </c>
      <c r="AR3191" t="s">
        <v>72</v>
      </c>
      <c r="AS3191">
        <v>3646</v>
      </c>
      <c r="AT3191" s="4">
        <v>42724</v>
      </c>
      <c r="AU3191" t="s">
        <v>73</v>
      </c>
      <c r="AV3191">
        <v>3646</v>
      </c>
      <c r="AW3191" s="4">
        <v>42724</v>
      </c>
      <c r="BB3191">
        <v>69.97</v>
      </c>
      <c r="BD3191">
        <v>0</v>
      </c>
      <c r="BN3191" t="s">
        <v>74</v>
      </c>
    </row>
    <row r="3192" spans="1:66">
      <c r="A3192">
        <v>101130</v>
      </c>
      <c r="B3192" s="3" t="s">
        <v>369</v>
      </c>
      <c r="C3192" s="1">
        <v>43300101</v>
      </c>
      <c r="D3192" t="s">
        <v>67</v>
      </c>
      <c r="H3192" t="str">
        <f t="shared" ref="H3192:I3200" si="324">"09238800156"</f>
        <v>09238800156</v>
      </c>
      <c r="I3192" t="str">
        <f t="shared" si="324"/>
        <v>09238800156</v>
      </c>
      <c r="K3192" t="str">
        <f>""</f>
        <v/>
      </c>
      <c r="M3192" t="s">
        <v>68</v>
      </c>
      <c r="N3192" t="str">
        <f t="shared" si="323"/>
        <v>FOR</v>
      </c>
      <c r="O3192" t="s">
        <v>69</v>
      </c>
      <c r="P3192" s="3" t="s">
        <v>75</v>
      </c>
      <c r="Q3192">
        <v>2016</v>
      </c>
      <c r="R3192" s="2">
        <v>42541</v>
      </c>
      <c r="S3192" s="2">
        <v>42543</v>
      </c>
      <c r="T3192" s="2">
        <v>42542</v>
      </c>
      <c r="U3192" s="2">
        <v>42602</v>
      </c>
      <c r="V3192" t="s">
        <v>71</v>
      </c>
      <c r="W3192" t="str">
        <f>"          1023886468"</f>
        <v xml:space="preserve">          1023886468</v>
      </c>
      <c r="X3192">
        <v>866.2</v>
      </c>
      <c r="Y3192">
        <v>0</v>
      </c>
      <c r="Z3192" s="3">
        <v>710</v>
      </c>
      <c r="AA3192">
        <v>122</v>
      </c>
      <c r="AB3192" s="5">
        <v>86620</v>
      </c>
      <c r="AC3192">
        <v>710</v>
      </c>
      <c r="AD3192">
        <v>122</v>
      </c>
      <c r="AE3192" s="1">
        <v>86620</v>
      </c>
      <c r="AF3192">
        <v>156.19999999999999</v>
      </c>
      <c r="AJ3192">
        <v>0</v>
      </c>
      <c r="AK3192">
        <v>0</v>
      </c>
      <c r="AL3192">
        <v>0</v>
      </c>
      <c r="AM3192">
        <v>866.2</v>
      </c>
      <c r="AN3192">
        <v>866.2</v>
      </c>
      <c r="AO3192">
        <v>866.2</v>
      </c>
      <c r="AP3192" s="2">
        <v>42746</v>
      </c>
      <c r="AQ3192" t="s">
        <v>72</v>
      </c>
      <c r="AR3192" t="s">
        <v>72</v>
      </c>
      <c r="AS3192">
        <v>3646</v>
      </c>
      <c r="AT3192" s="4">
        <v>42724</v>
      </c>
      <c r="AU3192" t="s">
        <v>73</v>
      </c>
      <c r="AV3192">
        <v>3646</v>
      </c>
      <c r="AW3192" s="4">
        <v>42724</v>
      </c>
      <c r="BB3192">
        <v>156.19999999999999</v>
      </c>
      <c r="BD3192">
        <v>0</v>
      </c>
      <c r="BN3192" t="s">
        <v>74</v>
      </c>
    </row>
    <row r="3193" spans="1:66">
      <c r="A3193">
        <v>101130</v>
      </c>
      <c r="B3193" s="3" t="s">
        <v>369</v>
      </c>
      <c r="C3193" s="1">
        <v>43300101</v>
      </c>
      <c r="D3193" t="s">
        <v>67</v>
      </c>
      <c r="H3193" t="str">
        <f t="shared" si="324"/>
        <v>09238800156</v>
      </c>
      <c r="I3193" t="str">
        <f t="shared" si="324"/>
        <v>09238800156</v>
      </c>
      <c r="K3193" t="str">
        <f>""</f>
        <v/>
      </c>
      <c r="M3193" t="s">
        <v>68</v>
      </c>
      <c r="N3193" t="str">
        <f t="shared" si="323"/>
        <v>FOR</v>
      </c>
      <c r="O3193" t="s">
        <v>69</v>
      </c>
      <c r="P3193" s="3" t="s">
        <v>75</v>
      </c>
      <c r="Q3193">
        <v>2016</v>
      </c>
      <c r="R3193" s="2">
        <v>42544</v>
      </c>
      <c r="S3193" s="2">
        <v>42550</v>
      </c>
      <c r="T3193" s="2">
        <v>42545</v>
      </c>
      <c r="U3193" s="2">
        <v>42605</v>
      </c>
      <c r="V3193" t="s">
        <v>71</v>
      </c>
      <c r="W3193" t="str">
        <f>"          1023889889"</f>
        <v xml:space="preserve">          1023889889</v>
      </c>
      <c r="X3193">
        <v>902.8</v>
      </c>
      <c r="Y3193">
        <v>0</v>
      </c>
      <c r="Z3193" s="3">
        <v>740</v>
      </c>
      <c r="AA3193">
        <v>119</v>
      </c>
      <c r="AB3193" s="5">
        <v>88060</v>
      </c>
      <c r="AC3193">
        <v>740</v>
      </c>
      <c r="AD3193">
        <v>119</v>
      </c>
      <c r="AE3193" s="1">
        <v>88060</v>
      </c>
      <c r="AF3193">
        <v>162.80000000000001</v>
      </c>
      <c r="AJ3193">
        <v>0</v>
      </c>
      <c r="AK3193">
        <v>0</v>
      </c>
      <c r="AL3193">
        <v>0</v>
      </c>
      <c r="AM3193">
        <v>902.8</v>
      </c>
      <c r="AN3193">
        <v>902.8</v>
      </c>
      <c r="AO3193">
        <v>902.8</v>
      </c>
      <c r="AP3193" s="2">
        <v>42746</v>
      </c>
      <c r="AQ3193" t="s">
        <v>72</v>
      </c>
      <c r="AR3193" t="s">
        <v>72</v>
      </c>
      <c r="AS3193">
        <v>3646</v>
      </c>
      <c r="AT3193" s="4">
        <v>42724</v>
      </c>
      <c r="AU3193" t="s">
        <v>73</v>
      </c>
      <c r="AV3193">
        <v>3646</v>
      </c>
      <c r="AW3193" s="4">
        <v>42724</v>
      </c>
      <c r="BB3193">
        <v>162.80000000000001</v>
      </c>
      <c r="BD3193">
        <v>0</v>
      </c>
      <c r="BN3193" t="s">
        <v>74</v>
      </c>
    </row>
    <row r="3194" spans="1:66">
      <c r="A3194">
        <v>101130</v>
      </c>
      <c r="B3194" s="3" t="s">
        <v>369</v>
      </c>
      <c r="C3194" s="1">
        <v>43300101</v>
      </c>
      <c r="D3194" t="s">
        <v>67</v>
      </c>
      <c r="H3194" t="str">
        <f t="shared" si="324"/>
        <v>09238800156</v>
      </c>
      <c r="I3194" t="str">
        <f t="shared" si="324"/>
        <v>09238800156</v>
      </c>
      <c r="K3194" t="str">
        <f>""</f>
        <v/>
      </c>
      <c r="M3194" t="s">
        <v>68</v>
      </c>
      <c r="N3194" t="str">
        <f t="shared" si="323"/>
        <v>FOR</v>
      </c>
      <c r="O3194" t="s">
        <v>69</v>
      </c>
      <c r="P3194" s="3" t="s">
        <v>75</v>
      </c>
      <c r="Q3194">
        <v>2016</v>
      </c>
      <c r="R3194" s="2">
        <v>42545</v>
      </c>
      <c r="S3194" s="2">
        <v>42550</v>
      </c>
      <c r="T3194" s="2">
        <v>42545</v>
      </c>
      <c r="U3194" s="2">
        <v>42605</v>
      </c>
      <c r="V3194" t="s">
        <v>71</v>
      </c>
      <c r="W3194" t="str">
        <f>"          1023891132"</f>
        <v xml:space="preserve">          1023891132</v>
      </c>
      <c r="X3194">
        <v>270.83999999999997</v>
      </c>
      <c r="Y3194">
        <v>0</v>
      </c>
      <c r="Z3194" s="3">
        <v>222</v>
      </c>
      <c r="AA3194">
        <v>119</v>
      </c>
      <c r="AB3194" s="5">
        <v>26418</v>
      </c>
      <c r="AC3194">
        <v>222</v>
      </c>
      <c r="AD3194">
        <v>119</v>
      </c>
      <c r="AE3194" s="1">
        <v>26418</v>
      </c>
      <c r="AF3194">
        <v>48.84</v>
      </c>
      <c r="AJ3194">
        <v>0</v>
      </c>
      <c r="AK3194">
        <v>0</v>
      </c>
      <c r="AL3194">
        <v>0</v>
      </c>
      <c r="AM3194">
        <v>270.83999999999997</v>
      </c>
      <c r="AN3194">
        <v>270.83999999999997</v>
      </c>
      <c r="AO3194">
        <v>270.83999999999997</v>
      </c>
      <c r="AP3194" s="2">
        <v>42746</v>
      </c>
      <c r="AQ3194" t="s">
        <v>72</v>
      </c>
      <c r="AR3194" t="s">
        <v>72</v>
      </c>
      <c r="AS3194">
        <v>3646</v>
      </c>
      <c r="AT3194" s="4">
        <v>42724</v>
      </c>
      <c r="AU3194" t="s">
        <v>73</v>
      </c>
      <c r="AV3194">
        <v>3646</v>
      </c>
      <c r="AW3194" s="4">
        <v>42724</v>
      </c>
      <c r="BB3194">
        <v>48.84</v>
      </c>
      <c r="BD3194">
        <v>0</v>
      </c>
      <c r="BN3194" t="s">
        <v>74</v>
      </c>
    </row>
    <row r="3195" spans="1:66">
      <c r="A3195">
        <v>101130</v>
      </c>
      <c r="B3195" s="3" t="s">
        <v>369</v>
      </c>
      <c r="C3195" s="1">
        <v>43300101</v>
      </c>
      <c r="D3195" t="s">
        <v>67</v>
      </c>
      <c r="H3195" t="str">
        <f t="shared" si="324"/>
        <v>09238800156</v>
      </c>
      <c r="I3195" t="str">
        <f t="shared" si="324"/>
        <v>09238800156</v>
      </c>
      <c r="K3195" t="str">
        <f>""</f>
        <v/>
      </c>
      <c r="M3195" t="s">
        <v>68</v>
      </c>
      <c r="N3195" t="str">
        <f t="shared" si="323"/>
        <v>FOR</v>
      </c>
      <c r="O3195" t="s">
        <v>69</v>
      </c>
      <c r="P3195" s="3" t="s">
        <v>75</v>
      </c>
      <c r="Q3195">
        <v>2016</v>
      </c>
      <c r="R3195" s="2">
        <v>42548</v>
      </c>
      <c r="S3195" s="2">
        <v>42563</v>
      </c>
      <c r="T3195" s="2">
        <v>42549</v>
      </c>
      <c r="U3195" s="2">
        <v>42609</v>
      </c>
      <c r="V3195" t="s">
        <v>71</v>
      </c>
      <c r="W3195" t="str">
        <f>"          1023892705"</f>
        <v xml:space="preserve">          1023892705</v>
      </c>
      <c r="X3195" s="1">
        <v>1801.7</v>
      </c>
      <c r="Y3195">
        <v>0</v>
      </c>
      <c r="Z3195" s="5">
        <v>1476.8</v>
      </c>
      <c r="AA3195">
        <v>115</v>
      </c>
      <c r="AB3195" s="5">
        <v>169832</v>
      </c>
      <c r="AC3195" s="1">
        <v>1476.8</v>
      </c>
      <c r="AD3195">
        <v>115</v>
      </c>
      <c r="AE3195" s="1">
        <v>169832</v>
      </c>
      <c r="AF3195">
        <v>324.89999999999998</v>
      </c>
      <c r="AJ3195">
        <v>0</v>
      </c>
      <c r="AK3195">
        <v>0</v>
      </c>
      <c r="AL3195">
        <v>0</v>
      </c>
      <c r="AM3195" s="1">
        <v>1801.7</v>
      </c>
      <c r="AN3195" s="1">
        <v>1801.7</v>
      </c>
      <c r="AO3195" s="1">
        <v>1801.7</v>
      </c>
      <c r="AP3195" s="2">
        <v>42746</v>
      </c>
      <c r="AQ3195" t="s">
        <v>72</v>
      </c>
      <c r="AR3195" t="s">
        <v>72</v>
      </c>
      <c r="AS3195">
        <v>3646</v>
      </c>
      <c r="AT3195" s="4">
        <v>42724</v>
      </c>
      <c r="AU3195" t="s">
        <v>73</v>
      </c>
      <c r="AV3195">
        <v>3646</v>
      </c>
      <c r="AW3195" s="4">
        <v>42724</v>
      </c>
      <c r="BB3195">
        <v>324.89999999999998</v>
      </c>
      <c r="BD3195">
        <v>0</v>
      </c>
      <c r="BN3195" t="s">
        <v>74</v>
      </c>
    </row>
    <row r="3196" spans="1:66">
      <c r="A3196">
        <v>101130</v>
      </c>
      <c r="B3196" s="3" t="s">
        <v>369</v>
      </c>
      <c r="C3196" s="1">
        <v>43300101</v>
      </c>
      <c r="D3196" t="s">
        <v>67</v>
      </c>
      <c r="H3196" t="str">
        <f t="shared" si="324"/>
        <v>09238800156</v>
      </c>
      <c r="I3196" t="str">
        <f t="shared" si="324"/>
        <v>09238800156</v>
      </c>
      <c r="K3196" t="str">
        <f>""</f>
        <v/>
      </c>
      <c r="M3196" t="s">
        <v>68</v>
      </c>
      <c r="N3196" t="str">
        <f t="shared" si="323"/>
        <v>FOR</v>
      </c>
      <c r="O3196" t="s">
        <v>69</v>
      </c>
      <c r="P3196" s="3" t="s">
        <v>75</v>
      </c>
      <c r="Q3196">
        <v>2016</v>
      </c>
      <c r="R3196" s="2">
        <v>42548</v>
      </c>
      <c r="S3196" s="2">
        <v>42550</v>
      </c>
      <c r="T3196" s="2">
        <v>42549</v>
      </c>
      <c r="U3196" s="2">
        <v>42609</v>
      </c>
      <c r="V3196" t="s">
        <v>71</v>
      </c>
      <c r="W3196" t="str">
        <f>"          1023892706"</f>
        <v xml:space="preserve">          1023892706</v>
      </c>
      <c r="X3196" s="1">
        <v>4148</v>
      </c>
      <c r="Y3196">
        <v>0</v>
      </c>
      <c r="Z3196" s="5">
        <v>3400</v>
      </c>
      <c r="AA3196">
        <v>115</v>
      </c>
      <c r="AB3196" s="5">
        <v>391000</v>
      </c>
      <c r="AC3196" s="1">
        <v>3400</v>
      </c>
      <c r="AD3196">
        <v>115</v>
      </c>
      <c r="AE3196" s="1">
        <v>391000</v>
      </c>
      <c r="AF3196">
        <v>748</v>
      </c>
      <c r="AJ3196">
        <v>0</v>
      </c>
      <c r="AK3196">
        <v>0</v>
      </c>
      <c r="AL3196">
        <v>0</v>
      </c>
      <c r="AM3196" s="1">
        <v>4148</v>
      </c>
      <c r="AN3196" s="1">
        <v>4148</v>
      </c>
      <c r="AO3196" s="1">
        <v>4148</v>
      </c>
      <c r="AP3196" s="2">
        <v>42746</v>
      </c>
      <c r="AQ3196" t="s">
        <v>72</v>
      </c>
      <c r="AR3196" t="s">
        <v>72</v>
      </c>
      <c r="AS3196">
        <v>3646</v>
      </c>
      <c r="AT3196" s="4">
        <v>42724</v>
      </c>
      <c r="AU3196" t="s">
        <v>73</v>
      </c>
      <c r="AV3196">
        <v>3646</v>
      </c>
      <c r="AW3196" s="4">
        <v>42724</v>
      </c>
      <c r="BB3196">
        <v>748</v>
      </c>
      <c r="BD3196">
        <v>0</v>
      </c>
      <c r="BN3196" t="s">
        <v>74</v>
      </c>
    </row>
    <row r="3197" spans="1:66">
      <c r="A3197">
        <v>101130</v>
      </c>
      <c r="B3197" s="3" t="s">
        <v>369</v>
      </c>
      <c r="C3197" s="1">
        <v>43300101</v>
      </c>
      <c r="D3197" t="s">
        <v>67</v>
      </c>
      <c r="H3197" t="str">
        <f t="shared" si="324"/>
        <v>09238800156</v>
      </c>
      <c r="I3197" t="str">
        <f t="shared" si="324"/>
        <v>09238800156</v>
      </c>
      <c r="K3197" t="str">
        <f>""</f>
        <v/>
      </c>
      <c r="M3197" t="s">
        <v>68</v>
      </c>
      <c r="N3197" t="str">
        <f t="shared" si="323"/>
        <v>FOR</v>
      </c>
      <c r="O3197" t="s">
        <v>69</v>
      </c>
      <c r="P3197" s="3" t="s">
        <v>75</v>
      </c>
      <c r="Q3197">
        <v>2016</v>
      </c>
      <c r="R3197" s="2">
        <v>42548</v>
      </c>
      <c r="S3197" s="2">
        <v>42550</v>
      </c>
      <c r="T3197" s="2">
        <v>42549</v>
      </c>
      <c r="U3197" s="2">
        <v>42609</v>
      </c>
      <c r="V3197" t="s">
        <v>71</v>
      </c>
      <c r="W3197" t="str">
        <f>"          1023892708"</f>
        <v xml:space="preserve">          1023892708</v>
      </c>
      <c r="X3197" s="1">
        <v>11063.58</v>
      </c>
      <c r="Y3197">
        <v>0</v>
      </c>
      <c r="Z3197" s="5">
        <v>10638.05</v>
      </c>
      <c r="AA3197">
        <v>115</v>
      </c>
      <c r="AB3197" s="5">
        <v>1223375.75</v>
      </c>
      <c r="AC3197" s="1">
        <v>10638.05</v>
      </c>
      <c r="AD3197">
        <v>115</v>
      </c>
      <c r="AE3197" s="1">
        <v>1223375.75</v>
      </c>
      <c r="AF3197">
        <v>425.53</v>
      </c>
      <c r="AJ3197">
        <v>0</v>
      </c>
      <c r="AK3197">
        <v>0</v>
      </c>
      <c r="AL3197">
        <v>0</v>
      </c>
      <c r="AM3197" s="1">
        <v>11063.58</v>
      </c>
      <c r="AN3197" s="1">
        <v>11063.58</v>
      </c>
      <c r="AO3197" s="1">
        <v>11063.58</v>
      </c>
      <c r="AP3197" s="2">
        <v>42746</v>
      </c>
      <c r="AQ3197" t="s">
        <v>72</v>
      </c>
      <c r="AR3197" t="s">
        <v>72</v>
      </c>
      <c r="AS3197">
        <v>3646</v>
      </c>
      <c r="AT3197" s="4">
        <v>42724</v>
      </c>
      <c r="AU3197" t="s">
        <v>73</v>
      </c>
      <c r="AV3197">
        <v>3646</v>
      </c>
      <c r="AW3197" s="4">
        <v>42724</v>
      </c>
      <c r="BB3197">
        <v>425.53</v>
      </c>
      <c r="BD3197">
        <v>0</v>
      </c>
      <c r="BN3197" t="s">
        <v>74</v>
      </c>
    </row>
    <row r="3198" spans="1:66">
      <c r="A3198">
        <v>101130</v>
      </c>
      <c r="B3198" s="3" t="s">
        <v>369</v>
      </c>
      <c r="C3198" s="1">
        <v>43300101</v>
      </c>
      <c r="D3198" t="s">
        <v>67</v>
      </c>
      <c r="H3198" t="str">
        <f t="shared" si="324"/>
        <v>09238800156</v>
      </c>
      <c r="I3198" t="str">
        <f t="shared" si="324"/>
        <v>09238800156</v>
      </c>
      <c r="K3198" t="str">
        <f>""</f>
        <v/>
      </c>
      <c r="M3198" t="s">
        <v>68</v>
      </c>
      <c r="N3198" t="str">
        <f t="shared" si="323"/>
        <v>FOR</v>
      </c>
      <c r="O3198" t="s">
        <v>69</v>
      </c>
      <c r="P3198" s="3" t="s">
        <v>75</v>
      </c>
      <c r="Q3198">
        <v>2016</v>
      </c>
      <c r="R3198" s="2">
        <v>42549</v>
      </c>
      <c r="S3198" s="2">
        <v>42550</v>
      </c>
      <c r="T3198" s="2">
        <v>42549</v>
      </c>
      <c r="U3198" s="2">
        <v>42609</v>
      </c>
      <c r="V3198" t="s">
        <v>71</v>
      </c>
      <c r="W3198" t="str">
        <f>"          1023893473"</f>
        <v xml:space="preserve">          1023893473</v>
      </c>
      <c r="X3198">
        <v>46.36</v>
      </c>
      <c r="Y3198">
        <v>0</v>
      </c>
      <c r="Z3198" s="3">
        <v>38</v>
      </c>
      <c r="AA3198">
        <v>115</v>
      </c>
      <c r="AB3198" s="5">
        <v>4370</v>
      </c>
      <c r="AC3198">
        <v>38</v>
      </c>
      <c r="AD3198">
        <v>115</v>
      </c>
      <c r="AE3198" s="1">
        <v>4370</v>
      </c>
      <c r="AF3198">
        <v>8.36</v>
      </c>
      <c r="AJ3198">
        <v>0</v>
      </c>
      <c r="AK3198">
        <v>0</v>
      </c>
      <c r="AL3198">
        <v>0</v>
      </c>
      <c r="AM3198">
        <v>46.36</v>
      </c>
      <c r="AN3198">
        <v>46.36</v>
      </c>
      <c r="AO3198">
        <v>46.36</v>
      </c>
      <c r="AP3198" s="2">
        <v>42746</v>
      </c>
      <c r="AQ3198" t="s">
        <v>72</v>
      </c>
      <c r="AR3198" t="s">
        <v>72</v>
      </c>
      <c r="AS3198">
        <v>3646</v>
      </c>
      <c r="AT3198" s="4">
        <v>42724</v>
      </c>
      <c r="AU3198" t="s">
        <v>73</v>
      </c>
      <c r="AV3198">
        <v>3646</v>
      </c>
      <c r="AW3198" s="4">
        <v>42724</v>
      </c>
      <c r="BB3198">
        <v>8.36</v>
      </c>
      <c r="BD3198">
        <v>0</v>
      </c>
      <c r="BN3198" t="s">
        <v>74</v>
      </c>
    </row>
    <row r="3199" spans="1:66">
      <c r="A3199">
        <v>101130</v>
      </c>
      <c r="B3199" s="3" t="s">
        <v>369</v>
      </c>
      <c r="C3199" s="1">
        <v>43300101</v>
      </c>
      <c r="D3199" t="s">
        <v>67</v>
      </c>
      <c r="H3199" t="str">
        <f t="shared" si="324"/>
        <v>09238800156</v>
      </c>
      <c r="I3199" t="str">
        <f t="shared" si="324"/>
        <v>09238800156</v>
      </c>
      <c r="K3199" t="str">
        <f>""</f>
        <v/>
      </c>
      <c r="M3199" t="s">
        <v>68</v>
      </c>
      <c r="N3199" t="str">
        <f t="shared" si="323"/>
        <v>FOR</v>
      </c>
      <c r="O3199" t="s">
        <v>69</v>
      </c>
      <c r="P3199" s="3" t="s">
        <v>75</v>
      </c>
      <c r="Q3199">
        <v>2016</v>
      </c>
      <c r="R3199" s="2">
        <v>42551</v>
      </c>
      <c r="S3199" s="2">
        <v>42563</v>
      </c>
      <c r="T3199" s="2">
        <v>42552</v>
      </c>
      <c r="U3199" s="2">
        <v>42612</v>
      </c>
      <c r="V3199" t="s">
        <v>71</v>
      </c>
      <c r="W3199" t="str">
        <f>"          1023895828"</f>
        <v xml:space="preserve">          1023895828</v>
      </c>
      <c r="X3199" s="1">
        <v>1073.5999999999999</v>
      </c>
      <c r="Y3199">
        <v>0</v>
      </c>
      <c r="Z3199" s="3">
        <v>880</v>
      </c>
      <c r="AA3199">
        <v>112</v>
      </c>
      <c r="AB3199" s="5">
        <v>98560</v>
      </c>
      <c r="AC3199">
        <v>880</v>
      </c>
      <c r="AD3199">
        <v>112</v>
      </c>
      <c r="AE3199" s="1">
        <v>98560</v>
      </c>
      <c r="AF3199">
        <v>193.6</v>
      </c>
      <c r="AJ3199">
        <v>0</v>
      </c>
      <c r="AK3199">
        <v>0</v>
      </c>
      <c r="AL3199">
        <v>0</v>
      </c>
      <c r="AM3199" s="1">
        <v>1073.5999999999999</v>
      </c>
      <c r="AN3199" s="1">
        <v>1073.5999999999999</v>
      </c>
      <c r="AO3199" s="1">
        <v>1073.5999999999999</v>
      </c>
      <c r="AP3199" s="2">
        <v>42746</v>
      </c>
      <c r="AQ3199" t="s">
        <v>72</v>
      </c>
      <c r="AR3199" t="s">
        <v>72</v>
      </c>
      <c r="AS3199">
        <v>3646</v>
      </c>
      <c r="AT3199" s="4">
        <v>42724</v>
      </c>
      <c r="AU3199" t="s">
        <v>73</v>
      </c>
      <c r="AV3199">
        <v>3646</v>
      </c>
      <c r="AW3199" s="4">
        <v>42724</v>
      </c>
      <c r="BB3199">
        <v>193.6</v>
      </c>
      <c r="BD3199">
        <v>0</v>
      </c>
      <c r="BN3199" t="s">
        <v>74</v>
      </c>
    </row>
    <row r="3200" spans="1:66">
      <c r="A3200">
        <v>101130</v>
      </c>
      <c r="B3200" s="3" t="s">
        <v>369</v>
      </c>
      <c r="C3200" s="1">
        <v>43300101</v>
      </c>
      <c r="D3200" t="s">
        <v>67</v>
      </c>
      <c r="H3200" t="str">
        <f t="shared" si="324"/>
        <v>09238800156</v>
      </c>
      <c r="I3200" t="str">
        <f t="shared" si="324"/>
        <v>09238800156</v>
      </c>
      <c r="K3200" t="str">
        <f>""</f>
        <v/>
      </c>
      <c r="M3200" t="s">
        <v>68</v>
      </c>
      <c r="N3200" t="str">
        <f t="shared" si="323"/>
        <v>FOR</v>
      </c>
      <c r="O3200" t="s">
        <v>69</v>
      </c>
      <c r="P3200" s="3" t="s">
        <v>75</v>
      </c>
      <c r="Q3200">
        <v>2016</v>
      </c>
      <c r="R3200" s="2">
        <v>42551</v>
      </c>
      <c r="S3200" s="2">
        <v>42556</v>
      </c>
      <c r="T3200" s="2">
        <v>42551</v>
      </c>
      <c r="U3200" s="2">
        <v>42611</v>
      </c>
      <c r="V3200" t="s">
        <v>71</v>
      </c>
      <c r="W3200" t="str">
        <f>"          1023895829"</f>
        <v xml:space="preserve">          1023895829</v>
      </c>
      <c r="X3200" s="1">
        <v>1405.44</v>
      </c>
      <c r="Y3200">
        <v>0</v>
      </c>
      <c r="Z3200" s="5">
        <v>1152</v>
      </c>
      <c r="AA3200">
        <v>113</v>
      </c>
      <c r="AB3200" s="5">
        <v>130176</v>
      </c>
      <c r="AC3200" s="1">
        <v>1152</v>
      </c>
      <c r="AD3200">
        <v>113</v>
      </c>
      <c r="AE3200" s="1">
        <v>130176</v>
      </c>
      <c r="AF3200">
        <v>253.44</v>
      </c>
      <c r="AJ3200">
        <v>0</v>
      </c>
      <c r="AK3200">
        <v>0</v>
      </c>
      <c r="AL3200">
        <v>0</v>
      </c>
      <c r="AM3200" s="1">
        <v>1405.44</v>
      </c>
      <c r="AN3200" s="1">
        <v>1405.44</v>
      </c>
      <c r="AO3200" s="1">
        <v>1405.44</v>
      </c>
      <c r="AP3200" s="2">
        <v>42746</v>
      </c>
      <c r="AQ3200" t="s">
        <v>72</v>
      </c>
      <c r="AR3200" t="s">
        <v>72</v>
      </c>
      <c r="AS3200">
        <v>3646</v>
      </c>
      <c r="AT3200" s="4">
        <v>42724</v>
      </c>
      <c r="AU3200" t="s">
        <v>73</v>
      </c>
      <c r="AV3200">
        <v>3646</v>
      </c>
      <c r="AW3200" s="4">
        <v>42724</v>
      </c>
      <c r="BB3200">
        <v>253.44</v>
      </c>
      <c r="BD3200">
        <v>0</v>
      </c>
      <c r="BN3200" t="s">
        <v>74</v>
      </c>
    </row>
    <row r="3201" spans="1:66" hidden="1">
      <c r="A3201">
        <v>101136</v>
      </c>
      <c r="B3201" s="3" t="s">
        <v>370</v>
      </c>
      <c r="C3201" s="1">
        <v>43300101</v>
      </c>
      <c r="D3201" t="s">
        <v>67</v>
      </c>
      <c r="H3201" t="str">
        <f>"00226250165"</f>
        <v>00226250165</v>
      </c>
      <c r="I3201" t="str">
        <f>"00226250165"</f>
        <v>00226250165</v>
      </c>
      <c r="K3201" t="str">
        <f>""</f>
        <v/>
      </c>
      <c r="M3201" t="s">
        <v>68</v>
      </c>
      <c r="N3201" t="str">
        <f t="shared" si="323"/>
        <v>FOR</v>
      </c>
      <c r="O3201" t="s">
        <v>69</v>
      </c>
      <c r="P3201" s="3" t="s">
        <v>75</v>
      </c>
      <c r="Q3201">
        <v>2015</v>
      </c>
      <c r="R3201" s="2">
        <v>42296</v>
      </c>
      <c r="S3201" s="2">
        <v>42331</v>
      </c>
      <c r="T3201" s="2">
        <v>42331</v>
      </c>
      <c r="U3201" s="2">
        <v>42391</v>
      </c>
      <c r="V3201" t="s">
        <v>71</v>
      </c>
      <c r="W3201" t="str">
        <f>"                7970"</f>
        <v xml:space="preserve">                7970</v>
      </c>
      <c r="X3201">
        <v>366</v>
      </c>
      <c r="Y3201">
        <v>0</v>
      </c>
      <c r="Z3201"/>
      <c r="AB3201"/>
      <c r="AC3201">
        <v>300</v>
      </c>
      <c r="AD3201">
        <v>129</v>
      </c>
      <c r="AE3201" s="1">
        <v>38700</v>
      </c>
      <c r="AF3201">
        <v>0</v>
      </c>
      <c r="AJ3201">
        <v>0</v>
      </c>
      <c r="AK3201">
        <v>0</v>
      </c>
      <c r="AL3201">
        <v>0</v>
      </c>
      <c r="AM3201">
        <v>0</v>
      </c>
      <c r="AN3201">
        <v>0</v>
      </c>
      <c r="AO3201">
        <v>0</v>
      </c>
      <c r="AP3201" s="2">
        <v>42746</v>
      </c>
      <c r="AQ3201" t="s">
        <v>72</v>
      </c>
      <c r="AR3201" t="s">
        <v>72</v>
      </c>
      <c r="AS3201">
        <v>1473</v>
      </c>
      <c r="AT3201" s="4">
        <v>42520</v>
      </c>
      <c r="AU3201" t="s">
        <v>73</v>
      </c>
      <c r="AV3201">
        <v>1473</v>
      </c>
      <c r="AW3201" s="4">
        <v>42520</v>
      </c>
      <c r="BD3201">
        <v>0</v>
      </c>
      <c r="BN3201" t="s">
        <v>74</v>
      </c>
    </row>
    <row r="3202" spans="1:66" hidden="1">
      <c r="A3202">
        <v>101138</v>
      </c>
      <c r="B3202" s="3" t="s">
        <v>371</v>
      </c>
      <c r="C3202" s="1">
        <v>43500101</v>
      </c>
      <c r="D3202" t="s">
        <v>113</v>
      </c>
      <c r="H3202" t="str">
        <f t="shared" ref="H3202:H3213" si="325">"80123490155"</f>
        <v>80123490155</v>
      </c>
      <c r="I3202" t="str">
        <f>""</f>
        <v/>
      </c>
      <c r="K3202" t="str">
        <f>""</f>
        <v/>
      </c>
      <c r="M3202" t="s">
        <v>68</v>
      </c>
      <c r="N3202" t="str">
        <f t="shared" ref="N3202:N3225" si="326">"ALTFIN"</f>
        <v>ALTFIN</v>
      </c>
      <c r="O3202" t="s">
        <v>123</v>
      </c>
      <c r="P3202" s="3" t="s">
        <v>84</v>
      </c>
      <c r="Q3202">
        <v>2016</v>
      </c>
      <c r="R3202" s="2">
        <v>42389</v>
      </c>
      <c r="S3202" s="2">
        <v>42390</v>
      </c>
      <c r="T3202" s="2">
        <v>42390</v>
      </c>
      <c r="U3202" s="2">
        <v>42450</v>
      </c>
      <c r="V3202" t="s">
        <v>71</v>
      </c>
      <c r="W3202" t="str">
        <f>"                0120"</f>
        <v xml:space="preserve">                0120</v>
      </c>
      <c r="X3202">
        <v>0</v>
      </c>
      <c r="Y3202" s="1">
        <v>1200</v>
      </c>
      <c r="Z3202"/>
      <c r="AB3202"/>
      <c r="AC3202" s="1">
        <v>1200</v>
      </c>
      <c r="AD3202">
        <v>-60</v>
      </c>
      <c r="AE3202" s="1">
        <v>-72000</v>
      </c>
      <c r="AF3202">
        <v>0</v>
      </c>
      <c r="AJ3202">
        <v>0</v>
      </c>
      <c r="AK3202">
        <v>0</v>
      </c>
      <c r="AL3202">
        <v>0</v>
      </c>
      <c r="AM3202" s="1">
        <v>1200</v>
      </c>
      <c r="AN3202" s="1">
        <v>1200</v>
      </c>
      <c r="AO3202" s="1">
        <v>1200</v>
      </c>
      <c r="AP3202" s="2">
        <v>42746</v>
      </c>
      <c r="AQ3202" t="s">
        <v>72</v>
      </c>
      <c r="AR3202" t="s">
        <v>72</v>
      </c>
      <c r="AS3202">
        <v>32</v>
      </c>
      <c r="AT3202" s="4">
        <v>42390</v>
      </c>
      <c r="AV3202">
        <v>32</v>
      </c>
      <c r="AW3202" s="4">
        <v>42390</v>
      </c>
      <c r="BD3202">
        <v>0</v>
      </c>
      <c r="BN3202" t="s">
        <v>74</v>
      </c>
    </row>
    <row r="3203" spans="1:66" hidden="1">
      <c r="A3203">
        <v>101138</v>
      </c>
      <c r="B3203" s="3" t="s">
        <v>371</v>
      </c>
      <c r="C3203" s="1">
        <v>43500101</v>
      </c>
      <c r="D3203" t="s">
        <v>113</v>
      </c>
      <c r="H3203" t="str">
        <f t="shared" si="325"/>
        <v>80123490155</v>
      </c>
      <c r="I3203" t="str">
        <f>""</f>
        <v/>
      </c>
      <c r="K3203" t="str">
        <f>""</f>
        <v/>
      </c>
      <c r="M3203" t="s">
        <v>68</v>
      </c>
      <c r="N3203" t="str">
        <f t="shared" si="326"/>
        <v>ALTFIN</v>
      </c>
      <c r="O3203" t="s">
        <v>123</v>
      </c>
      <c r="P3203" s="3" t="s">
        <v>85</v>
      </c>
      <c r="Q3203">
        <v>2016</v>
      </c>
      <c r="R3203" s="2">
        <v>42422</v>
      </c>
      <c r="S3203" s="2">
        <v>42422</v>
      </c>
      <c r="T3203" s="2">
        <v>42422</v>
      </c>
      <c r="U3203" s="2">
        <v>42482</v>
      </c>
      <c r="V3203" t="s">
        <v>71</v>
      </c>
      <c r="W3203" t="str">
        <f>"                0222"</f>
        <v xml:space="preserve">                0222</v>
      </c>
      <c r="X3203">
        <v>0</v>
      </c>
      <c r="Y3203" s="1">
        <v>1200</v>
      </c>
      <c r="Z3203"/>
      <c r="AB3203"/>
      <c r="AC3203" s="1">
        <v>1200</v>
      </c>
      <c r="AD3203">
        <v>-58</v>
      </c>
      <c r="AE3203" s="1">
        <v>-69600</v>
      </c>
      <c r="AF3203">
        <v>0</v>
      </c>
      <c r="AJ3203">
        <v>0</v>
      </c>
      <c r="AK3203">
        <v>0</v>
      </c>
      <c r="AL3203">
        <v>0</v>
      </c>
      <c r="AM3203" s="1">
        <v>1200</v>
      </c>
      <c r="AN3203" s="1">
        <v>1200</v>
      </c>
      <c r="AO3203" s="1">
        <v>1200</v>
      </c>
      <c r="AP3203" s="2">
        <v>42746</v>
      </c>
      <c r="AQ3203" t="s">
        <v>72</v>
      </c>
      <c r="AR3203" t="s">
        <v>72</v>
      </c>
      <c r="AS3203">
        <v>477</v>
      </c>
      <c r="AT3203" s="4">
        <v>42424</v>
      </c>
      <c r="AV3203">
        <v>477</v>
      </c>
      <c r="AW3203" s="4">
        <v>42424</v>
      </c>
      <c r="BD3203">
        <v>0</v>
      </c>
      <c r="BN3203" t="s">
        <v>74</v>
      </c>
    </row>
    <row r="3204" spans="1:66" hidden="1">
      <c r="A3204">
        <v>101138</v>
      </c>
      <c r="B3204" s="3" t="s">
        <v>371</v>
      </c>
      <c r="C3204" s="1">
        <v>43500101</v>
      </c>
      <c r="D3204" t="s">
        <v>113</v>
      </c>
      <c r="H3204" t="str">
        <f t="shared" si="325"/>
        <v>80123490155</v>
      </c>
      <c r="I3204" t="str">
        <f>""</f>
        <v/>
      </c>
      <c r="K3204" t="str">
        <f>""</f>
        <v/>
      </c>
      <c r="M3204" t="s">
        <v>68</v>
      </c>
      <c r="N3204" t="str">
        <f t="shared" si="326"/>
        <v>ALTFIN</v>
      </c>
      <c r="O3204" t="s">
        <v>123</v>
      </c>
      <c r="P3204" s="3" t="s">
        <v>86</v>
      </c>
      <c r="Q3204">
        <v>2016</v>
      </c>
      <c r="R3204" s="2">
        <v>42450</v>
      </c>
      <c r="S3204" s="2">
        <v>42450</v>
      </c>
      <c r="T3204" s="2">
        <v>42450</v>
      </c>
      <c r="U3204" s="2">
        <v>42510</v>
      </c>
      <c r="V3204" t="s">
        <v>71</v>
      </c>
      <c r="W3204" t="str">
        <f>"                0321"</f>
        <v xml:space="preserve">                0321</v>
      </c>
      <c r="X3204">
        <v>0</v>
      </c>
      <c r="Y3204" s="1">
        <v>1200</v>
      </c>
      <c r="Z3204"/>
      <c r="AB3204"/>
      <c r="AC3204" s="1">
        <v>1200</v>
      </c>
      <c r="AD3204">
        <v>-57</v>
      </c>
      <c r="AE3204" s="1">
        <v>-68400</v>
      </c>
      <c r="AF3204">
        <v>0</v>
      </c>
      <c r="AJ3204">
        <v>0</v>
      </c>
      <c r="AK3204">
        <v>0</v>
      </c>
      <c r="AL3204">
        <v>0</v>
      </c>
      <c r="AM3204" s="1">
        <v>1200</v>
      </c>
      <c r="AN3204" s="1">
        <v>1200</v>
      </c>
      <c r="AO3204" s="1">
        <v>1200</v>
      </c>
      <c r="AP3204" s="2">
        <v>42746</v>
      </c>
      <c r="AQ3204" t="s">
        <v>72</v>
      </c>
      <c r="AR3204" t="s">
        <v>72</v>
      </c>
      <c r="AS3204">
        <v>899</v>
      </c>
      <c r="AT3204" s="4">
        <v>42453</v>
      </c>
      <c r="AV3204">
        <v>899</v>
      </c>
      <c r="AW3204" s="4">
        <v>42453</v>
      </c>
      <c r="BD3204">
        <v>0</v>
      </c>
      <c r="BN3204" t="s">
        <v>74</v>
      </c>
    </row>
    <row r="3205" spans="1:66" hidden="1">
      <c r="A3205">
        <v>101138</v>
      </c>
      <c r="B3205" s="3" t="s">
        <v>371</v>
      </c>
      <c r="C3205" s="1">
        <v>43500101</v>
      </c>
      <c r="D3205" t="s">
        <v>113</v>
      </c>
      <c r="H3205" t="str">
        <f t="shared" si="325"/>
        <v>80123490155</v>
      </c>
      <c r="I3205" t="str">
        <f>""</f>
        <v/>
      </c>
      <c r="K3205" t="str">
        <f>""</f>
        <v/>
      </c>
      <c r="M3205" t="s">
        <v>68</v>
      </c>
      <c r="N3205" t="str">
        <f t="shared" si="326"/>
        <v>ALTFIN</v>
      </c>
      <c r="O3205" t="s">
        <v>123</v>
      </c>
      <c r="P3205" s="3" t="s">
        <v>87</v>
      </c>
      <c r="Q3205">
        <v>2016</v>
      </c>
      <c r="R3205" s="2">
        <v>42481</v>
      </c>
      <c r="S3205" s="2">
        <v>42481</v>
      </c>
      <c r="T3205" s="2">
        <v>42481</v>
      </c>
      <c r="U3205" s="2">
        <v>42541</v>
      </c>
      <c r="V3205" t="s">
        <v>71</v>
      </c>
      <c r="W3205" t="str">
        <f>"                0421"</f>
        <v xml:space="preserve">                0421</v>
      </c>
      <c r="X3205">
        <v>0</v>
      </c>
      <c r="Y3205" s="1">
        <v>1010</v>
      </c>
      <c r="Z3205"/>
      <c r="AB3205"/>
      <c r="AC3205" s="1">
        <v>1010</v>
      </c>
      <c r="AD3205">
        <v>-60</v>
      </c>
      <c r="AE3205" s="1">
        <v>-60600</v>
      </c>
      <c r="AF3205">
        <v>0</v>
      </c>
      <c r="AJ3205">
        <v>0</v>
      </c>
      <c r="AK3205">
        <v>0</v>
      </c>
      <c r="AL3205">
        <v>0</v>
      </c>
      <c r="AM3205" s="1">
        <v>1010</v>
      </c>
      <c r="AN3205" s="1">
        <v>1010</v>
      </c>
      <c r="AO3205" s="1">
        <v>1010</v>
      </c>
      <c r="AP3205" s="2">
        <v>42746</v>
      </c>
      <c r="AQ3205" t="s">
        <v>72</v>
      </c>
      <c r="AR3205" t="s">
        <v>72</v>
      </c>
      <c r="AS3205">
        <v>1065</v>
      </c>
      <c r="AT3205" s="4">
        <v>42481</v>
      </c>
      <c r="AV3205">
        <v>1065</v>
      </c>
      <c r="AW3205" s="4">
        <v>42481</v>
      </c>
      <c r="BD3205">
        <v>0</v>
      </c>
      <c r="BN3205" t="s">
        <v>74</v>
      </c>
    </row>
    <row r="3206" spans="1:66" hidden="1">
      <c r="A3206">
        <v>101138</v>
      </c>
      <c r="B3206" s="3" t="s">
        <v>371</v>
      </c>
      <c r="C3206" s="1">
        <v>43500101</v>
      </c>
      <c r="D3206" t="s">
        <v>113</v>
      </c>
      <c r="H3206" t="str">
        <f t="shared" si="325"/>
        <v>80123490155</v>
      </c>
      <c r="I3206" t="str">
        <f>""</f>
        <v/>
      </c>
      <c r="K3206" t="str">
        <f>""</f>
        <v/>
      </c>
      <c r="M3206" t="s">
        <v>68</v>
      </c>
      <c r="N3206" t="str">
        <f t="shared" si="326"/>
        <v>ALTFIN</v>
      </c>
      <c r="O3206" t="s">
        <v>123</v>
      </c>
      <c r="P3206" s="3" t="s">
        <v>88</v>
      </c>
      <c r="Q3206">
        <v>2016</v>
      </c>
      <c r="R3206" s="2">
        <v>42508</v>
      </c>
      <c r="S3206" s="2">
        <v>42510</v>
      </c>
      <c r="T3206" s="2">
        <v>42510</v>
      </c>
      <c r="U3206" s="2">
        <v>42570</v>
      </c>
      <c r="V3206" t="s">
        <v>71</v>
      </c>
      <c r="W3206" t="str">
        <f>"                0518"</f>
        <v xml:space="preserve">                0518</v>
      </c>
      <c r="X3206">
        <v>0</v>
      </c>
      <c r="Y3206" s="1">
        <v>1010</v>
      </c>
      <c r="Z3206"/>
      <c r="AB3206"/>
      <c r="AC3206" s="1">
        <v>1010</v>
      </c>
      <c r="AD3206">
        <v>-57</v>
      </c>
      <c r="AE3206" s="1">
        <v>-57570</v>
      </c>
      <c r="AF3206">
        <v>0</v>
      </c>
      <c r="AJ3206">
        <v>0</v>
      </c>
      <c r="AK3206">
        <v>0</v>
      </c>
      <c r="AL3206">
        <v>0</v>
      </c>
      <c r="AM3206" s="1">
        <v>1010</v>
      </c>
      <c r="AN3206" s="1">
        <v>1010</v>
      </c>
      <c r="AO3206" s="1">
        <v>1010</v>
      </c>
      <c r="AP3206" s="2">
        <v>42746</v>
      </c>
      <c r="AQ3206" t="s">
        <v>72</v>
      </c>
      <c r="AR3206" t="s">
        <v>72</v>
      </c>
      <c r="AS3206">
        <v>1303</v>
      </c>
      <c r="AT3206" s="4">
        <v>42513</v>
      </c>
      <c r="AV3206">
        <v>1303</v>
      </c>
      <c r="AW3206" s="4">
        <v>42513</v>
      </c>
      <c r="BD3206">
        <v>0</v>
      </c>
      <c r="BN3206" t="s">
        <v>74</v>
      </c>
    </row>
    <row r="3207" spans="1:66" hidden="1">
      <c r="A3207">
        <v>101138</v>
      </c>
      <c r="B3207" s="3" t="s">
        <v>371</v>
      </c>
      <c r="C3207" s="1">
        <v>43500101</v>
      </c>
      <c r="D3207" t="s">
        <v>113</v>
      </c>
      <c r="H3207" t="str">
        <f t="shared" si="325"/>
        <v>80123490155</v>
      </c>
      <c r="I3207" t="str">
        <f>""</f>
        <v/>
      </c>
      <c r="K3207" t="str">
        <f>""</f>
        <v/>
      </c>
      <c r="M3207" t="s">
        <v>68</v>
      </c>
      <c r="N3207" t="str">
        <f t="shared" si="326"/>
        <v>ALTFIN</v>
      </c>
      <c r="O3207" t="s">
        <v>123</v>
      </c>
      <c r="P3207" s="3" t="s">
        <v>89</v>
      </c>
      <c r="Q3207">
        <v>2016</v>
      </c>
      <c r="R3207" s="2">
        <v>42548</v>
      </c>
      <c r="S3207" s="2">
        <v>42543</v>
      </c>
      <c r="T3207" s="2">
        <v>42543</v>
      </c>
      <c r="U3207" s="2">
        <v>42603</v>
      </c>
      <c r="V3207" t="s">
        <v>71</v>
      </c>
      <c r="W3207" t="str">
        <f>"                0627"</f>
        <v xml:space="preserve">                0627</v>
      </c>
      <c r="X3207">
        <v>0</v>
      </c>
      <c r="Y3207" s="1">
        <v>1010</v>
      </c>
      <c r="Z3207"/>
      <c r="AB3207"/>
      <c r="AC3207" s="1">
        <v>1010</v>
      </c>
      <c r="AD3207">
        <v>-47</v>
      </c>
      <c r="AE3207" s="1">
        <v>-47470</v>
      </c>
      <c r="AF3207">
        <v>0</v>
      </c>
      <c r="AJ3207">
        <v>0</v>
      </c>
      <c r="AK3207">
        <v>0</v>
      </c>
      <c r="AL3207">
        <v>0</v>
      </c>
      <c r="AM3207" s="1">
        <v>1010</v>
      </c>
      <c r="AN3207" s="1">
        <v>1010</v>
      </c>
      <c r="AO3207" s="1">
        <v>1010</v>
      </c>
      <c r="AP3207" s="2">
        <v>42746</v>
      </c>
      <c r="AQ3207" t="s">
        <v>72</v>
      </c>
      <c r="AR3207" t="s">
        <v>72</v>
      </c>
      <c r="AS3207">
        <v>1686</v>
      </c>
      <c r="AT3207" s="4">
        <v>42556</v>
      </c>
      <c r="AV3207">
        <v>1686</v>
      </c>
      <c r="AW3207" s="4">
        <v>42556</v>
      </c>
      <c r="BD3207">
        <v>0</v>
      </c>
      <c r="BN3207" t="s">
        <v>74</v>
      </c>
    </row>
    <row r="3208" spans="1:66" hidden="1">
      <c r="A3208">
        <v>101138</v>
      </c>
      <c r="B3208" s="3" t="s">
        <v>371</v>
      </c>
      <c r="C3208" s="1">
        <v>43500101</v>
      </c>
      <c r="D3208" t="s">
        <v>113</v>
      </c>
      <c r="H3208" t="str">
        <f t="shared" si="325"/>
        <v>80123490155</v>
      </c>
      <c r="I3208" t="str">
        <f>""</f>
        <v/>
      </c>
      <c r="K3208" t="str">
        <f>""</f>
        <v/>
      </c>
      <c r="M3208" t="s">
        <v>68</v>
      </c>
      <c r="N3208" t="str">
        <f t="shared" si="326"/>
        <v>ALTFIN</v>
      </c>
      <c r="O3208" t="s">
        <v>123</v>
      </c>
      <c r="P3208" s="3" t="s">
        <v>90</v>
      </c>
      <c r="Q3208">
        <v>2016</v>
      </c>
      <c r="R3208" s="2">
        <v>42573</v>
      </c>
      <c r="S3208" s="2">
        <v>42573</v>
      </c>
      <c r="T3208" s="2">
        <v>42573</v>
      </c>
      <c r="U3208" s="2">
        <v>42633</v>
      </c>
      <c r="V3208" t="s">
        <v>71</v>
      </c>
      <c r="W3208" t="str">
        <f>"                0722"</f>
        <v xml:space="preserve">                0722</v>
      </c>
      <c r="X3208">
        <v>0</v>
      </c>
      <c r="Y3208" s="1">
        <v>1010</v>
      </c>
      <c r="Z3208"/>
      <c r="AB3208"/>
      <c r="AC3208" s="1">
        <v>1010</v>
      </c>
      <c r="AD3208">
        <v>-48</v>
      </c>
      <c r="AE3208" s="1">
        <v>-48480</v>
      </c>
      <c r="AF3208">
        <v>0</v>
      </c>
      <c r="AJ3208">
        <v>0</v>
      </c>
      <c r="AK3208">
        <v>0</v>
      </c>
      <c r="AL3208">
        <v>0</v>
      </c>
      <c r="AM3208" s="1">
        <v>1010</v>
      </c>
      <c r="AN3208" s="1">
        <v>1010</v>
      </c>
      <c r="AO3208" s="1">
        <v>1010</v>
      </c>
      <c r="AP3208" s="2">
        <v>42746</v>
      </c>
      <c r="AQ3208" t="s">
        <v>72</v>
      </c>
      <c r="AR3208" t="s">
        <v>72</v>
      </c>
      <c r="AS3208">
        <v>2086</v>
      </c>
      <c r="AT3208" s="4">
        <v>42585</v>
      </c>
      <c r="AV3208">
        <v>2086</v>
      </c>
      <c r="AW3208" s="4">
        <v>42585</v>
      </c>
      <c r="BD3208">
        <v>0</v>
      </c>
      <c r="BN3208" t="s">
        <v>74</v>
      </c>
    </row>
    <row r="3209" spans="1:66" hidden="1">
      <c r="A3209">
        <v>101138</v>
      </c>
      <c r="B3209" s="3" t="s">
        <v>371</v>
      </c>
      <c r="C3209" s="1">
        <v>43500101</v>
      </c>
      <c r="D3209" t="s">
        <v>113</v>
      </c>
      <c r="H3209" t="str">
        <f t="shared" si="325"/>
        <v>80123490155</v>
      </c>
      <c r="I3209" t="str">
        <f>""</f>
        <v/>
      </c>
      <c r="K3209" t="str">
        <f>""</f>
        <v/>
      </c>
      <c r="M3209" t="s">
        <v>68</v>
      </c>
      <c r="N3209" t="str">
        <f t="shared" si="326"/>
        <v>ALTFIN</v>
      </c>
      <c r="O3209" t="s">
        <v>123</v>
      </c>
      <c r="P3209" s="3" t="s">
        <v>91</v>
      </c>
      <c r="Q3209">
        <v>2016</v>
      </c>
      <c r="R3209" s="2">
        <v>42592</v>
      </c>
      <c r="S3209" s="2">
        <v>42598</v>
      </c>
      <c r="T3209" s="2">
        <v>42598</v>
      </c>
      <c r="U3209" s="2">
        <v>42658</v>
      </c>
      <c r="V3209" t="s">
        <v>71</v>
      </c>
      <c r="W3209" t="str">
        <f>"                0810"</f>
        <v xml:space="preserve">                0810</v>
      </c>
      <c r="X3209">
        <v>0</v>
      </c>
      <c r="Y3209" s="1">
        <v>1010</v>
      </c>
      <c r="Z3209"/>
      <c r="AB3209"/>
      <c r="AC3209" s="1">
        <v>1010</v>
      </c>
      <c r="AD3209">
        <v>-60</v>
      </c>
      <c r="AE3209" s="1">
        <v>-60600</v>
      </c>
      <c r="AF3209">
        <v>0</v>
      </c>
      <c r="AJ3209">
        <v>0</v>
      </c>
      <c r="AK3209">
        <v>0</v>
      </c>
      <c r="AL3209">
        <v>0</v>
      </c>
      <c r="AM3209" s="1">
        <v>1010</v>
      </c>
      <c r="AN3209" s="1">
        <v>1010</v>
      </c>
      <c r="AO3209" s="1">
        <v>1010</v>
      </c>
      <c r="AP3209" s="2">
        <v>42746</v>
      </c>
      <c r="AQ3209" t="s">
        <v>72</v>
      </c>
      <c r="AR3209" t="s">
        <v>72</v>
      </c>
      <c r="AS3209">
        <v>2168</v>
      </c>
      <c r="AT3209" s="4">
        <v>42598</v>
      </c>
      <c r="AV3209">
        <v>2168</v>
      </c>
      <c r="AW3209" s="4">
        <v>42598</v>
      </c>
      <c r="BD3209">
        <v>0</v>
      </c>
      <c r="BN3209" t="s">
        <v>74</v>
      </c>
    </row>
    <row r="3210" spans="1:66" hidden="1">
      <c r="A3210">
        <v>101138</v>
      </c>
      <c r="B3210" s="3" t="s">
        <v>371</v>
      </c>
      <c r="C3210" s="1">
        <v>43500101</v>
      </c>
      <c r="D3210" t="s">
        <v>113</v>
      </c>
      <c r="H3210" t="str">
        <f t="shared" si="325"/>
        <v>80123490155</v>
      </c>
      <c r="I3210" t="str">
        <f>""</f>
        <v/>
      </c>
      <c r="K3210" t="str">
        <f>""</f>
        <v/>
      </c>
      <c r="M3210" t="s">
        <v>68</v>
      </c>
      <c r="N3210" t="str">
        <f t="shared" si="326"/>
        <v>ALTFIN</v>
      </c>
      <c r="O3210" t="s">
        <v>123</v>
      </c>
      <c r="P3210" s="3" t="s">
        <v>92</v>
      </c>
      <c r="Q3210">
        <v>2016</v>
      </c>
      <c r="R3210" s="2">
        <v>42633</v>
      </c>
      <c r="S3210" s="2">
        <v>42634</v>
      </c>
      <c r="T3210" s="2">
        <v>42634</v>
      </c>
      <c r="U3210" s="2">
        <v>42694</v>
      </c>
      <c r="V3210" t="s">
        <v>71</v>
      </c>
      <c r="W3210" t="str">
        <f>"                0920"</f>
        <v xml:space="preserve">                0920</v>
      </c>
      <c r="X3210">
        <v>0</v>
      </c>
      <c r="Y3210" s="1">
        <v>1010</v>
      </c>
      <c r="Z3210"/>
      <c r="AB3210"/>
      <c r="AC3210" s="1">
        <v>1010</v>
      </c>
      <c r="AD3210">
        <v>-60</v>
      </c>
      <c r="AE3210" s="1">
        <v>-60600</v>
      </c>
      <c r="AF3210">
        <v>0</v>
      </c>
      <c r="AJ3210">
        <v>0</v>
      </c>
      <c r="AK3210">
        <v>0</v>
      </c>
      <c r="AL3210">
        <v>0</v>
      </c>
      <c r="AM3210" s="1">
        <v>1010</v>
      </c>
      <c r="AN3210" s="1">
        <v>1010</v>
      </c>
      <c r="AO3210" s="1">
        <v>1010</v>
      </c>
      <c r="AP3210" s="2">
        <v>42746</v>
      </c>
      <c r="AQ3210" t="s">
        <v>72</v>
      </c>
      <c r="AR3210" t="s">
        <v>72</v>
      </c>
      <c r="AS3210">
        <v>2441</v>
      </c>
      <c r="AT3210" s="4">
        <v>42634</v>
      </c>
      <c r="AV3210">
        <v>2441</v>
      </c>
      <c r="AW3210" s="4">
        <v>42634</v>
      </c>
      <c r="BD3210">
        <v>0</v>
      </c>
      <c r="BN3210" t="s">
        <v>74</v>
      </c>
    </row>
    <row r="3211" spans="1:66" hidden="1">
      <c r="A3211">
        <v>101138</v>
      </c>
      <c r="B3211" s="3" t="s">
        <v>371</v>
      </c>
      <c r="C3211" s="1">
        <v>43500101</v>
      </c>
      <c r="D3211" t="s">
        <v>113</v>
      </c>
      <c r="H3211" t="str">
        <f t="shared" si="325"/>
        <v>80123490155</v>
      </c>
      <c r="I3211" t="str">
        <f>""</f>
        <v/>
      </c>
      <c r="K3211" t="str">
        <f>""</f>
        <v/>
      </c>
      <c r="M3211" t="s">
        <v>68</v>
      </c>
      <c r="N3211" t="str">
        <f t="shared" si="326"/>
        <v>ALTFIN</v>
      </c>
      <c r="O3211" t="s">
        <v>123</v>
      </c>
      <c r="P3211" s="3" t="s">
        <v>93</v>
      </c>
      <c r="Q3211">
        <v>2016</v>
      </c>
      <c r="R3211" s="2">
        <v>42664</v>
      </c>
      <c r="S3211" s="2">
        <v>42667</v>
      </c>
      <c r="T3211" s="2">
        <v>42667</v>
      </c>
      <c r="U3211" s="2">
        <v>42727</v>
      </c>
      <c r="V3211" t="s">
        <v>71</v>
      </c>
      <c r="W3211" t="str">
        <f>"                1021"</f>
        <v xml:space="preserve">                1021</v>
      </c>
      <c r="X3211">
        <v>0</v>
      </c>
      <c r="Y3211" s="1">
        <v>1010</v>
      </c>
      <c r="Z3211" s="5">
        <v>1010</v>
      </c>
      <c r="AA3211">
        <v>-60</v>
      </c>
      <c r="AB3211" s="5">
        <v>-60600</v>
      </c>
      <c r="AC3211" s="1">
        <v>1010</v>
      </c>
      <c r="AD3211">
        <v>-60</v>
      </c>
      <c r="AE3211" s="1">
        <v>-60600</v>
      </c>
      <c r="AF3211">
        <v>0</v>
      </c>
      <c r="AJ3211" s="1">
        <v>1010</v>
      </c>
      <c r="AK3211" s="1">
        <v>1010</v>
      </c>
      <c r="AL3211" s="1">
        <v>1010</v>
      </c>
      <c r="AM3211" s="1">
        <v>1010</v>
      </c>
      <c r="AN3211" s="1">
        <v>1010</v>
      </c>
      <c r="AO3211" s="1">
        <v>1010</v>
      </c>
      <c r="AP3211" s="2">
        <v>42746</v>
      </c>
      <c r="AQ3211" t="s">
        <v>72</v>
      </c>
      <c r="AR3211" t="s">
        <v>72</v>
      </c>
      <c r="AS3211">
        <v>2788</v>
      </c>
      <c r="AT3211" s="4">
        <v>42667</v>
      </c>
      <c r="AV3211">
        <v>2788</v>
      </c>
      <c r="AW3211" s="4">
        <v>42667</v>
      </c>
      <c r="BD3211">
        <v>0</v>
      </c>
      <c r="BN3211" t="s">
        <v>74</v>
      </c>
    </row>
    <row r="3212" spans="1:66" hidden="1">
      <c r="A3212">
        <v>101138</v>
      </c>
      <c r="B3212" s="3" t="s">
        <v>371</v>
      </c>
      <c r="C3212" s="1">
        <v>43500101</v>
      </c>
      <c r="D3212" t="s">
        <v>113</v>
      </c>
      <c r="H3212" t="str">
        <f t="shared" si="325"/>
        <v>80123490155</v>
      </c>
      <c r="I3212" t="str">
        <f>""</f>
        <v/>
      </c>
      <c r="K3212" t="str">
        <f>""</f>
        <v/>
      </c>
      <c r="M3212" t="s">
        <v>68</v>
      </c>
      <c r="N3212" t="str">
        <f t="shared" si="326"/>
        <v>ALTFIN</v>
      </c>
      <c r="O3212" t="s">
        <v>123</v>
      </c>
      <c r="P3212" s="3" t="s">
        <v>94</v>
      </c>
      <c r="Q3212">
        <v>2016</v>
      </c>
      <c r="R3212" s="2">
        <v>42696</v>
      </c>
      <c r="S3212" s="2">
        <v>42696</v>
      </c>
      <c r="T3212" s="2">
        <v>42696</v>
      </c>
      <c r="U3212" s="2">
        <v>42756</v>
      </c>
      <c r="V3212" t="s">
        <v>71</v>
      </c>
      <c r="W3212" t="str">
        <f>"                1122"</f>
        <v xml:space="preserve">                1122</v>
      </c>
      <c r="X3212">
        <v>0</v>
      </c>
      <c r="Y3212" s="1">
        <v>1010</v>
      </c>
      <c r="Z3212" s="5">
        <v>1010</v>
      </c>
      <c r="AA3212">
        <v>-59</v>
      </c>
      <c r="AB3212" s="5">
        <v>-59590</v>
      </c>
      <c r="AC3212" s="1">
        <v>1010</v>
      </c>
      <c r="AD3212">
        <v>-59</v>
      </c>
      <c r="AE3212" s="1">
        <v>-59590</v>
      </c>
      <c r="AF3212">
        <v>0</v>
      </c>
      <c r="AJ3212" s="1">
        <v>1010</v>
      </c>
      <c r="AK3212" s="1">
        <v>1010</v>
      </c>
      <c r="AL3212" s="1">
        <v>1010</v>
      </c>
      <c r="AM3212" s="1">
        <v>1010</v>
      </c>
      <c r="AN3212" s="1">
        <v>1010</v>
      </c>
      <c r="AO3212" s="1">
        <v>1010</v>
      </c>
      <c r="AP3212" s="2">
        <v>42746</v>
      </c>
      <c r="AQ3212" t="s">
        <v>72</v>
      </c>
      <c r="AR3212" t="s">
        <v>72</v>
      </c>
      <c r="AS3212">
        <v>3226</v>
      </c>
      <c r="AT3212" s="4">
        <v>42697</v>
      </c>
      <c r="AV3212">
        <v>3226</v>
      </c>
      <c r="AW3212" s="4">
        <v>42697</v>
      </c>
      <c r="BD3212">
        <v>0</v>
      </c>
      <c r="BN3212" t="s">
        <v>74</v>
      </c>
    </row>
    <row r="3213" spans="1:66" hidden="1">
      <c r="A3213">
        <v>101138</v>
      </c>
      <c r="B3213" s="3" t="s">
        <v>371</v>
      </c>
      <c r="C3213" s="1">
        <v>43500101</v>
      </c>
      <c r="D3213" t="s">
        <v>113</v>
      </c>
      <c r="H3213" t="str">
        <f t="shared" si="325"/>
        <v>80123490155</v>
      </c>
      <c r="I3213" t="str">
        <f>""</f>
        <v/>
      </c>
      <c r="K3213" t="str">
        <f>""</f>
        <v/>
      </c>
      <c r="M3213" t="s">
        <v>68</v>
      </c>
      <c r="N3213" t="str">
        <f t="shared" si="326"/>
        <v>ALTFIN</v>
      </c>
      <c r="O3213" t="s">
        <v>123</v>
      </c>
      <c r="P3213" s="3" t="s">
        <v>95</v>
      </c>
      <c r="Q3213">
        <v>2016</v>
      </c>
      <c r="R3213" s="2">
        <v>42717</v>
      </c>
      <c r="S3213" s="2">
        <v>42717</v>
      </c>
      <c r="T3213" s="2">
        <v>42717</v>
      </c>
      <c r="U3213" s="2">
        <v>42777</v>
      </c>
      <c r="V3213" t="s">
        <v>71</v>
      </c>
      <c r="W3213" t="str">
        <f>"                1213"</f>
        <v xml:space="preserve">                1213</v>
      </c>
      <c r="X3213">
        <v>0</v>
      </c>
      <c r="Y3213" s="1">
        <v>1010</v>
      </c>
      <c r="Z3213" s="5">
        <v>1010</v>
      </c>
      <c r="AA3213">
        <v>-59</v>
      </c>
      <c r="AB3213" s="5">
        <v>-59590</v>
      </c>
      <c r="AC3213" s="1">
        <v>1010</v>
      </c>
      <c r="AD3213">
        <v>-59</v>
      </c>
      <c r="AE3213" s="1">
        <v>-59590</v>
      </c>
      <c r="AF3213">
        <v>0</v>
      </c>
      <c r="AJ3213" s="1">
        <v>1010</v>
      </c>
      <c r="AK3213" s="1">
        <v>1010</v>
      </c>
      <c r="AL3213" s="1">
        <v>1010</v>
      </c>
      <c r="AM3213" s="1">
        <v>1010</v>
      </c>
      <c r="AN3213" s="1">
        <v>1010</v>
      </c>
      <c r="AO3213" s="1">
        <v>1010</v>
      </c>
      <c r="AP3213" s="2">
        <v>42746</v>
      </c>
      <c r="AQ3213" t="s">
        <v>72</v>
      </c>
      <c r="AR3213" t="s">
        <v>72</v>
      </c>
      <c r="AS3213">
        <v>3385</v>
      </c>
      <c r="AT3213" s="4">
        <v>42718</v>
      </c>
      <c r="AV3213">
        <v>3385</v>
      </c>
      <c r="AW3213" s="4">
        <v>42718</v>
      </c>
      <c r="BD3213">
        <v>0</v>
      </c>
      <c r="BN3213" t="s">
        <v>74</v>
      </c>
    </row>
    <row r="3214" spans="1:66" hidden="1">
      <c r="A3214">
        <v>101149</v>
      </c>
      <c r="B3214" s="3" t="s">
        <v>372</v>
      </c>
      <c r="C3214" s="1">
        <v>43500101</v>
      </c>
      <c r="D3214" t="s">
        <v>113</v>
      </c>
      <c r="H3214" t="str">
        <f t="shared" ref="H3214:I3225" si="327">"01277730030"</f>
        <v>01277730030</v>
      </c>
      <c r="I3214" t="str">
        <f t="shared" si="327"/>
        <v>01277730030</v>
      </c>
      <c r="K3214" t="str">
        <f>""</f>
        <v/>
      </c>
      <c r="M3214" t="s">
        <v>68</v>
      </c>
      <c r="N3214" t="str">
        <f t="shared" si="326"/>
        <v>ALTFIN</v>
      </c>
      <c r="O3214" t="s">
        <v>123</v>
      </c>
      <c r="P3214" s="3" t="s">
        <v>84</v>
      </c>
      <c r="Q3214">
        <v>2016</v>
      </c>
      <c r="R3214" s="2">
        <v>42389</v>
      </c>
      <c r="S3214" s="2">
        <v>42390</v>
      </c>
      <c r="T3214" s="2">
        <v>42390</v>
      </c>
      <c r="U3214" s="2">
        <v>42450</v>
      </c>
      <c r="V3214" t="s">
        <v>71</v>
      </c>
      <c r="W3214" t="str">
        <f>"                0120"</f>
        <v xml:space="preserve">                0120</v>
      </c>
      <c r="X3214">
        <v>0</v>
      </c>
      <c r="Y3214" s="1">
        <v>1012</v>
      </c>
      <c r="Z3214"/>
      <c r="AB3214"/>
      <c r="AC3214" s="1">
        <v>1012</v>
      </c>
      <c r="AD3214">
        <v>-60</v>
      </c>
      <c r="AE3214" s="1">
        <v>-60720</v>
      </c>
      <c r="AF3214">
        <v>0</v>
      </c>
      <c r="AJ3214">
        <v>0</v>
      </c>
      <c r="AK3214">
        <v>0</v>
      </c>
      <c r="AL3214">
        <v>0</v>
      </c>
      <c r="AM3214" s="1">
        <v>1012</v>
      </c>
      <c r="AN3214" s="1">
        <v>1012</v>
      </c>
      <c r="AO3214" s="1">
        <v>1012</v>
      </c>
      <c r="AP3214" s="2">
        <v>42746</v>
      </c>
      <c r="AQ3214" t="s">
        <v>72</v>
      </c>
      <c r="AR3214" t="s">
        <v>72</v>
      </c>
      <c r="AS3214">
        <v>64</v>
      </c>
      <c r="AT3214" s="4">
        <v>42390</v>
      </c>
      <c r="AV3214">
        <v>64</v>
      </c>
      <c r="AW3214" s="4">
        <v>42390</v>
      </c>
      <c r="BD3214">
        <v>0</v>
      </c>
      <c r="BN3214" t="s">
        <v>74</v>
      </c>
    </row>
    <row r="3215" spans="1:66" hidden="1">
      <c r="A3215">
        <v>101149</v>
      </c>
      <c r="B3215" s="3" t="s">
        <v>372</v>
      </c>
      <c r="C3215" s="1">
        <v>43500101</v>
      </c>
      <c r="D3215" t="s">
        <v>113</v>
      </c>
      <c r="H3215" t="str">
        <f t="shared" si="327"/>
        <v>01277730030</v>
      </c>
      <c r="I3215" t="str">
        <f t="shared" si="327"/>
        <v>01277730030</v>
      </c>
      <c r="K3215" t="str">
        <f>""</f>
        <v/>
      </c>
      <c r="M3215" t="s">
        <v>68</v>
      </c>
      <c r="N3215" t="str">
        <f t="shared" si="326"/>
        <v>ALTFIN</v>
      </c>
      <c r="O3215" t="s">
        <v>123</v>
      </c>
      <c r="P3215" s="3" t="s">
        <v>85</v>
      </c>
      <c r="Q3215">
        <v>2016</v>
      </c>
      <c r="R3215" s="2">
        <v>42422</v>
      </c>
      <c r="S3215" s="2">
        <v>42422</v>
      </c>
      <c r="T3215" s="2">
        <v>42422</v>
      </c>
      <c r="U3215" s="2">
        <v>42482</v>
      </c>
      <c r="V3215" t="s">
        <v>71</v>
      </c>
      <c r="W3215" t="str">
        <f>"                0222"</f>
        <v xml:space="preserve">                0222</v>
      </c>
      <c r="X3215">
        <v>0</v>
      </c>
      <c r="Y3215" s="1">
        <v>1012</v>
      </c>
      <c r="Z3215"/>
      <c r="AB3215"/>
      <c r="AC3215" s="1">
        <v>1012</v>
      </c>
      <c r="AD3215">
        <v>-58</v>
      </c>
      <c r="AE3215" s="1">
        <v>-58696</v>
      </c>
      <c r="AF3215">
        <v>0</v>
      </c>
      <c r="AJ3215">
        <v>0</v>
      </c>
      <c r="AK3215">
        <v>0</v>
      </c>
      <c r="AL3215">
        <v>0</v>
      </c>
      <c r="AM3215" s="1">
        <v>1012</v>
      </c>
      <c r="AN3215" s="1">
        <v>1012</v>
      </c>
      <c r="AO3215" s="1">
        <v>1012</v>
      </c>
      <c r="AP3215" s="2">
        <v>42746</v>
      </c>
      <c r="AQ3215" t="s">
        <v>72</v>
      </c>
      <c r="AR3215" t="s">
        <v>72</v>
      </c>
      <c r="AS3215">
        <v>508</v>
      </c>
      <c r="AT3215" s="4">
        <v>42424</v>
      </c>
      <c r="AV3215">
        <v>508</v>
      </c>
      <c r="AW3215" s="4">
        <v>42424</v>
      </c>
      <c r="BD3215">
        <v>0</v>
      </c>
      <c r="BN3215" t="s">
        <v>74</v>
      </c>
    </row>
    <row r="3216" spans="1:66" hidden="1">
      <c r="A3216">
        <v>101149</v>
      </c>
      <c r="B3216" s="3" t="s">
        <v>372</v>
      </c>
      <c r="C3216" s="1">
        <v>43500101</v>
      </c>
      <c r="D3216" t="s">
        <v>113</v>
      </c>
      <c r="H3216" t="str">
        <f t="shared" si="327"/>
        <v>01277730030</v>
      </c>
      <c r="I3216" t="str">
        <f t="shared" si="327"/>
        <v>01277730030</v>
      </c>
      <c r="K3216" t="str">
        <f>""</f>
        <v/>
      </c>
      <c r="M3216" t="s">
        <v>68</v>
      </c>
      <c r="N3216" t="str">
        <f t="shared" si="326"/>
        <v>ALTFIN</v>
      </c>
      <c r="O3216" t="s">
        <v>123</v>
      </c>
      <c r="P3216" s="3" t="s">
        <v>86</v>
      </c>
      <c r="Q3216">
        <v>2016</v>
      </c>
      <c r="R3216" s="2">
        <v>42450</v>
      </c>
      <c r="S3216" s="2">
        <v>42450</v>
      </c>
      <c r="T3216" s="2">
        <v>42450</v>
      </c>
      <c r="U3216" s="2">
        <v>42510</v>
      </c>
      <c r="V3216" t="s">
        <v>71</v>
      </c>
      <c r="W3216" t="str">
        <f>"                0321"</f>
        <v xml:space="preserve">                0321</v>
      </c>
      <c r="X3216">
        <v>0</v>
      </c>
      <c r="Y3216" s="1">
        <v>1012</v>
      </c>
      <c r="Z3216"/>
      <c r="AB3216"/>
      <c r="AC3216" s="1">
        <v>1012</v>
      </c>
      <c r="AD3216">
        <v>-57</v>
      </c>
      <c r="AE3216" s="1">
        <v>-57684</v>
      </c>
      <c r="AF3216">
        <v>0</v>
      </c>
      <c r="AJ3216">
        <v>0</v>
      </c>
      <c r="AK3216">
        <v>0</v>
      </c>
      <c r="AL3216">
        <v>0</v>
      </c>
      <c r="AM3216" s="1">
        <v>1012</v>
      </c>
      <c r="AN3216" s="1">
        <v>1012</v>
      </c>
      <c r="AO3216" s="1">
        <v>1012</v>
      </c>
      <c r="AP3216" s="2">
        <v>42746</v>
      </c>
      <c r="AQ3216" t="s">
        <v>72</v>
      </c>
      <c r="AR3216" t="s">
        <v>72</v>
      </c>
      <c r="AS3216">
        <v>930</v>
      </c>
      <c r="AT3216" s="4">
        <v>42453</v>
      </c>
      <c r="AV3216">
        <v>930</v>
      </c>
      <c r="AW3216" s="4">
        <v>42453</v>
      </c>
      <c r="BD3216">
        <v>0</v>
      </c>
      <c r="BN3216" t="s">
        <v>74</v>
      </c>
    </row>
    <row r="3217" spans="1:66" hidden="1">
      <c r="A3217">
        <v>101149</v>
      </c>
      <c r="B3217" s="3" t="s">
        <v>372</v>
      </c>
      <c r="C3217" s="1">
        <v>43500101</v>
      </c>
      <c r="D3217" t="s">
        <v>113</v>
      </c>
      <c r="H3217" t="str">
        <f t="shared" si="327"/>
        <v>01277730030</v>
      </c>
      <c r="I3217" t="str">
        <f t="shared" si="327"/>
        <v>01277730030</v>
      </c>
      <c r="K3217" t="str">
        <f>""</f>
        <v/>
      </c>
      <c r="M3217" t="s">
        <v>68</v>
      </c>
      <c r="N3217" t="str">
        <f t="shared" si="326"/>
        <v>ALTFIN</v>
      </c>
      <c r="O3217" t="s">
        <v>123</v>
      </c>
      <c r="P3217" s="3" t="s">
        <v>87</v>
      </c>
      <c r="Q3217">
        <v>2016</v>
      </c>
      <c r="R3217" s="2">
        <v>42481</v>
      </c>
      <c r="S3217" s="2">
        <v>42481</v>
      </c>
      <c r="T3217" s="2">
        <v>42481</v>
      </c>
      <c r="U3217" s="2">
        <v>42541</v>
      </c>
      <c r="V3217" t="s">
        <v>71</v>
      </c>
      <c r="W3217" t="str">
        <f>"                0421"</f>
        <v xml:space="preserve">                0421</v>
      </c>
      <c r="X3217">
        <v>0</v>
      </c>
      <c r="Y3217" s="1">
        <v>1012</v>
      </c>
      <c r="Z3217"/>
      <c r="AB3217"/>
      <c r="AC3217" s="1">
        <v>1012</v>
      </c>
      <c r="AD3217">
        <v>-60</v>
      </c>
      <c r="AE3217" s="1">
        <v>-60720</v>
      </c>
      <c r="AF3217">
        <v>0</v>
      </c>
      <c r="AJ3217">
        <v>0</v>
      </c>
      <c r="AK3217">
        <v>0</v>
      </c>
      <c r="AL3217">
        <v>0</v>
      </c>
      <c r="AM3217" s="1">
        <v>1012</v>
      </c>
      <c r="AN3217" s="1">
        <v>1012</v>
      </c>
      <c r="AO3217" s="1">
        <v>1012</v>
      </c>
      <c r="AP3217" s="2">
        <v>42746</v>
      </c>
      <c r="AQ3217" t="s">
        <v>72</v>
      </c>
      <c r="AR3217" t="s">
        <v>72</v>
      </c>
      <c r="AS3217">
        <v>1096</v>
      </c>
      <c r="AT3217" s="4">
        <v>42481</v>
      </c>
      <c r="AV3217">
        <v>1096</v>
      </c>
      <c r="AW3217" s="4">
        <v>42481</v>
      </c>
      <c r="BD3217">
        <v>0</v>
      </c>
      <c r="BN3217" t="s">
        <v>74</v>
      </c>
    </row>
    <row r="3218" spans="1:66" hidden="1">
      <c r="A3218">
        <v>101149</v>
      </c>
      <c r="B3218" s="3" t="s">
        <v>372</v>
      </c>
      <c r="C3218" s="1">
        <v>43500101</v>
      </c>
      <c r="D3218" t="s">
        <v>113</v>
      </c>
      <c r="H3218" t="str">
        <f t="shared" si="327"/>
        <v>01277730030</v>
      </c>
      <c r="I3218" t="str">
        <f t="shared" si="327"/>
        <v>01277730030</v>
      </c>
      <c r="K3218" t="str">
        <f>""</f>
        <v/>
      </c>
      <c r="M3218" t="s">
        <v>68</v>
      </c>
      <c r="N3218" t="str">
        <f t="shared" si="326"/>
        <v>ALTFIN</v>
      </c>
      <c r="O3218" t="s">
        <v>123</v>
      </c>
      <c r="P3218" s="3" t="s">
        <v>88</v>
      </c>
      <c r="Q3218">
        <v>2016</v>
      </c>
      <c r="R3218" s="2">
        <v>42508</v>
      </c>
      <c r="S3218" s="2">
        <v>42510</v>
      </c>
      <c r="T3218" s="2">
        <v>42510</v>
      </c>
      <c r="U3218" s="2">
        <v>42570</v>
      </c>
      <c r="V3218" t="s">
        <v>71</v>
      </c>
      <c r="W3218" t="str">
        <f>"                0518"</f>
        <v xml:space="preserve">                0518</v>
      </c>
      <c r="X3218">
        <v>0</v>
      </c>
      <c r="Y3218" s="1">
        <v>1012</v>
      </c>
      <c r="Z3218"/>
      <c r="AB3218"/>
      <c r="AC3218" s="1">
        <v>1012</v>
      </c>
      <c r="AD3218">
        <v>-57</v>
      </c>
      <c r="AE3218" s="1">
        <v>-57684</v>
      </c>
      <c r="AF3218">
        <v>0</v>
      </c>
      <c r="AJ3218">
        <v>0</v>
      </c>
      <c r="AK3218">
        <v>0</v>
      </c>
      <c r="AL3218">
        <v>0</v>
      </c>
      <c r="AM3218" s="1">
        <v>1012</v>
      </c>
      <c r="AN3218" s="1">
        <v>1012</v>
      </c>
      <c r="AO3218" s="1">
        <v>1012</v>
      </c>
      <c r="AP3218" s="2">
        <v>42746</v>
      </c>
      <c r="AQ3218" t="s">
        <v>72</v>
      </c>
      <c r="AR3218" t="s">
        <v>72</v>
      </c>
      <c r="AS3218">
        <v>1334</v>
      </c>
      <c r="AT3218" s="4">
        <v>42513</v>
      </c>
      <c r="AV3218">
        <v>1334</v>
      </c>
      <c r="AW3218" s="4">
        <v>42513</v>
      </c>
      <c r="BD3218">
        <v>0</v>
      </c>
      <c r="BN3218" t="s">
        <v>74</v>
      </c>
    </row>
    <row r="3219" spans="1:66" hidden="1">
      <c r="A3219">
        <v>101149</v>
      </c>
      <c r="B3219" s="3" t="s">
        <v>372</v>
      </c>
      <c r="C3219" s="1">
        <v>43500101</v>
      </c>
      <c r="D3219" t="s">
        <v>113</v>
      </c>
      <c r="H3219" t="str">
        <f t="shared" si="327"/>
        <v>01277730030</v>
      </c>
      <c r="I3219" t="str">
        <f t="shared" si="327"/>
        <v>01277730030</v>
      </c>
      <c r="K3219" t="str">
        <f>""</f>
        <v/>
      </c>
      <c r="M3219" t="s">
        <v>68</v>
      </c>
      <c r="N3219" t="str">
        <f t="shared" si="326"/>
        <v>ALTFIN</v>
      </c>
      <c r="O3219" t="s">
        <v>123</v>
      </c>
      <c r="P3219" s="3" t="s">
        <v>89</v>
      </c>
      <c r="Q3219">
        <v>2016</v>
      </c>
      <c r="R3219" s="2">
        <v>42548</v>
      </c>
      <c r="S3219" s="2">
        <v>42543</v>
      </c>
      <c r="T3219" s="2">
        <v>42543</v>
      </c>
      <c r="U3219" s="2">
        <v>42603</v>
      </c>
      <c r="V3219" t="s">
        <v>71</v>
      </c>
      <c r="W3219" t="str">
        <f>"                0627"</f>
        <v xml:space="preserve">                0627</v>
      </c>
      <c r="X3219">
        <v>0</v>
      </c>
      <c r="Y3219" s="1">
        <v>1012</v>
      </c>
      <c r="Z3219"/>
      <c r="AB3219"/>
      <c r="AC3219" s="1">
        <v>1012</v>
      </c>
      <c r="AD3219">
        <v>-47</v>
      </c>
      <c r="AE3219" s="1">
        <v>-47564</v>
      </c>
      <c r="AF3219">
        <v>0</v>
      </c>
      <c r="AJ3219">
        <v>0</v>
      </c>
      <c r="AK3219">
        <v>0</v>
      </c>
      <c r="AL3219">
        <v>0</v>
      </c>
      <c r="AM3219" s="1">
        <v>1012</v>
      </c>
      <c r="AN3219" s="1">
        <v>1012</v>
      </c>
      <c r="AO3219" s="1">
        <v>1012</v>
      </c>
      <c r="AP3219" s="2">
        <v>42746</v>
      </c>
      <c r="AQ3219" t="s">
        <v>72</v>
      </c>
      <c r="AR3219" t="s">
        <v>72</v>
      </c>
      <c r="AS3219">
        <v>1716</v>
      </c>
      <c r="AT3219" s="4">
        <v>42556</v>
      </c>
      <c r="AV3219">
        <v>1716</v>
      </c>
      <c r="AW3219" s="4">
        <v>42556</v>
      </c>
      <c r="BD3219">
        <v>0</v>
      </c>
      <c r="BN3219" t="s">
        <v>74</v>
      </c>
    </row>
    <row r="3220" spans="1:66" hidden="1">
      <c r="A3220">
        <v>101149</v>
      </c>
      <c r="B3220" s="3" t="s">
        <v>372</v>
      </c>
      <c r="C3220" s="1">
        <v>43500101</v>
      </c>
      <c r="D3220" t="s">
        <v>113</v>
      </c>
      <c r="H3220" t="str">
        <f t="shared" si="327"/>
        <v>01277730030</v>
      </c>
      <c r="I3220" t="str">
        <f t="shared" si="327"/>
        <v>01277730030</v>
      </c>
      <c r="K3220" t="str">
        <f>""</f>
        <v/>
      </c>
      <c r="M3220" t="s">
        <v>68</v>
      </c>
      <c r="N3220" t="str">
        <f t="shared" si="326"/>
        <v>ALTFIN</v>
      </c>
      <c r="O3220" t="s">
        <v>123</v>
      </c>
      <c r="P3220" s="3" t="s">
        <v>90</v>
      </c>
      <c r="Q3220">
        <v>2016</v>
      </c>
      <c r="R3220" s="2">
        <v>42573</v>
      </c>
      <c r="S3220" s="2">
        <v>42573</v>
      </c>
      <c r="T3220" s="2">
        <v>42573</v>
      </c>
      <c r="U3220" s="2">
        <v>42633</v>
      </c>
      <c r="V3220" t="s">
        <v>71</v>
      </c>
      <c r="W3220" t="str">
        <f>"                0722"</f>
        <v xml:space="preserve">                0722</v>
      </c>
      <c r="X3220">
        <v>0</v>
      </c>
      <c r="Y3220" s="1">
        <v>1012</v>
      </c>
      <c r="Z3220"/>
      <c r="AB3220"/>
      <c r="AC3220" s="1">
        <v>1012</v>
      </c>
      <c r="AD3220">
        <v>-48</v>
      </c>
      <c r="AE3220" s="1">
        <v>-48576</v>
      </c>
      <c r="AF3220">
        <v>0</v>
      </c>
      <c r="AJ3220">
        <v>0</v>
      </c>
      <c r="AK3220">
        <v>0</v>
      </c>
      <c r="AL3220">
        <v>0</v>
      </c>
      <c r="AM3220" s="1">
        <v>1012</v>
      </c>
      <c r="AN3220" s="1">
        <v>1012</v>
      </c>
      <c r="AO3220" s="1">
        <v>1012</v>
      </c>
      <c r="AP3220" s="2">
        <v>42746</v>
      </c>
      <c r="AQ3220" t="s">
        <v>72</v>
      </c>
      <c r="AR3220" t="s">
        <v>72</v>
      </c>
      <c r="AS3220">
        <v>2116</v>
      </c>
      <c r="AT3220" s="4">
        <v>42585</v>
      </c>
      <c r="AV3220">
        <v>2116</v>
      </c>
      <c r="AW3220" s="4">
        <v>42585</v>
      </c>
      <c r="BD3220">
        <v>0</v>
      </c>
      <c r="BN3220" t="s">
        <v>74</v>
      </c>
    </row>
    <row r="3221" spans="1:66" hidden="1">
      <c r="A3221">
        <v>101149</v>
      </c>
      <c r="B3221" s="3" t="s">
        <v>372</v>
      </c>
      <c r="C3221" s="1">
        <v>43500101</v>
      </c>
      <c r="D3221" t="s">
        <v>113</v>
      </c>
      <c r="H3221" t="str">
        <f t="shared" si="327"/>
        <v>01277730030</v>
      </c>
      <c r="I3221" t="str">
        <f t="shared" si="327"/>
        <v>01277730030</v>
      </c>
      <c r="K3221" t="str">
        <f>""</f>
        <v/>
      </c>
      <c r="M3221" t="s">
        <v>68</v>
      </c>
      <c r="N3221" t="str">
        <f t="shared" si="326"/>
        <v>ALTFIN</v>
      </c>
      <c r="O3221" t="s">
        <v>123</v>
      </c>
      <c r="P3221" s="3" t="s">
        <v>91</v>
      </c>
      <c r="Q3221">
        <v>2016</v>
      </c>
      <c r="R3221" s="2">
        <v>42592</v>
      </c>
      <c r="S3221" s="2">
        <v>42598</v>
      </c>
      <c r="T3221" s="2">
        <v>42598</v>
      </c>
      <c r="U3221" s="2">
        <v>42658</v>
      </c>
      <c r="V3221" t="s">
        <v>71</v>
      </c>
      <c r="W3221" t="str">
        <f>"                0810"</f>
        <v xml:space="preserve">                0810</v>
      </c>
      <c r="X3221">
        <v>0</v>
      </c>
      <c r="Y3221" s="1">
        <v>1012</v>
      </c>
      <c r="Z3221"/>
      <c r="AB3221"/>
      <c r="AC3221" s="1">
        <v>1012</v>
      </c>
      <c r="AD3221">
        <v>-60</v>
      </c>
      <c r="AE3221" s="1">
        <v>-60720</v>
      </c>
      <c r="AF3221">
        <v>0</v>
      </c>
      <c r="AJ3221">
        <v>0</v>
      </c>
      <c r="AK3221">
        <v>0</v>
      </c>
      <c r="AL3221">
        <v>0</v>
      </c>
      <c r="AM3221" s="1">
        <v>1012</v>
      </c>
      <c r="AN3221" s="1">
        <v>1012</v>
      </c>
      <c r="AO3221" s="1">
        <v>1012</v>
      </c>
      <c r="AP3221" s="2">
        <v>42746</v>
      </c>
      <c r="AQ3221" t="s">
        <v>72</v>
      </c>
      <c r="AR3221" t="s">
        <v>72</v>
      </c>
      <c r="AS3221">
        <v>2198</v>
      </c>
      <c r="AT3221" s="4">
        <v>42598</v>
      </c>
      <c r="AV3221">
        <v>2198</v>
      </c>
      <c r="AW3221" s="4">
        <v>42598</v>
      </c>
      <c r="BD3221">
        <v>0</v>
      </c>
      <c r="BN3221" t="s">
        <v>74</v>
      </c>
    </row>
    <row r="3222" spans="1:66" hidden="1">
      <c r="A3222">
        <v>101149</v>
      </c>
      <c r="B3222" s="3" t="s">
        <v>372</v>
      </c>
      <c r="C3222" s="1">
        <v>43500101</v>
      </c>
      <c r="D3222" t="s">
        <v>113</v>
      </c>
      <c r="H3222" t="str">
        <f t="shared" si="327"/>
        <v>01277730030</v>
      </c>
      <c r="I3222" t="str">
        <f t="shared" si="327"/>
        <v>01277730030</v>
      </c>
      <c r="K3222" t="str">
        <f>""</f>
        <v/>
      </c>
      <c r="M3222" t="s">
        <v>68</v>
      </c>
      <c r="N3222" t="str">
        <f t="shared" si="326"/>
        <v>ALTFIN</v>
      </c>
      <c r="O3222" t="s">
        <v>123</v>
      </c>
      <c r="P3222" s="3" t="s">
        <v>92</v>
      </c>
      <c r="Q3222">
        <v>2016</v>
      </c>
      <c r="R3222" s="2">
        <v>42633</v>
      </c>
      <c r="S3222" s="2">
        <v>42634</v>
      </c>
      <c r="T3222" s="2">
        <v>42634</v>
      </c>
      <c r="U3222" s="2">
        <v>42694</v>
      </c>
      <c r="V3222" t="s">
        <v>71</v>
      </c>
      <c r="W3222" t="str">
        <f>"                0920"</f>
        <v xml:space="preserve">                0920</v>
      </c>
      <c r="X3222">
        <v>0</v>
      </c>
      <c r="Y3222" s="1">
        <v>1012</v>
      </c>
      <c r="Z3222"/>
      <c r="AB3222"/>
      <c r="AC3222" s="1">
        <v>1012</v>
      </c>
      <c r="AD3222">
        <v>-60</v>
      </c>
      <c r="AE3222" s="1">
        <v>-60720</v>
      </c>
      <c r="AF3222">
        <v>0</v>
      </c>
      <c r="AJ3222">
        <v>0</v>
      </c>
      <c r="AK3222">
        <v>0</v>
      </c>
      <c r="AL3222">
        <v>0</v>
      </c>
      <c r="AM3222" s="1">
        <v>1012</v>
      </c>
      <c r="AN3222" s="1">
        <v>1012</v>
      </c>
      <c r="AO3222" s="1">
        <v>1012</v>
      </c>
      <c r="AP3222" s="2">
        <v>42746</v>
      </c>
      <c r="AQ3222" t="s">
        <v>72</v>
      </c>
      <c r="AR3222" t="s">
        <v>72</v>
      </c>
      <c r="AS3222">
        <v>2472</v>
      </c>
      <c r="AT3222" s="4">
        <v>42634</v>
      </c>
      <c r="AV3222">
        <v>2472</v>
      </c>
      <c r="AW3222" s="4">
        <v>42634</v>
      </c>
      <c r="BD3222">
        <v>0</v>
      </c>
      <c r="BN3222" t="s">
        <v>74</v>
      </c>
    </row>
    <row r="3223" spans="1:66" hidden="1">
      <c r="A3223">
        <v>101149</v>
      </c>
      <c r="B3223" s="3" t="s">
        <v>372</v>
      </c>
      <c r="C3223" s="1">
        <v>43500101</v>
      </c>
      <c r="D3223" t="s">
        <v>113</v>
      </c>
      <c r="H3223" t="str">
        <f t="shared" si="327"/>
        <v>01277730030</v>
      </c>
      <c r="I3223" t="str">
        <f t="shared" si="327"/>
        <v>01277730030</v>
      </c>
      <c r="K3223" t="str">
        <f>""</f>
        <v/>
      </c>
      <c r="M3223" t="s">
        <v>68</v>
      </c>
      <c r="N3223" t="str">
        <f t="shared" si="326"/>
        <v>ALTFIN</v>
      </c>
      <c r="O3223" t="s">
        <v>123</v>
      </c>
      <c r="P3223" s="3" t="s">
        <v>93</v>
      </c>
      <c r="Q3223">
        <v>2016</v>
      </c>
      <c r="R3223" s="2">
        <v>42664</v>
      </c>
      <c r="S3223" s="2">
        <v>42667</v>
      </c>
      <c r="T3223" s="2">
        <v>42667</v>
      </c>
      <c r="U3223" s="2">
        <v>42727</v>
      </c>
      <c r="V3223" t="s">
        <v>71</v>
      </c>
      <c r="W3223" t="str">
        <f>"                1021"</f>
        <v xml:space="preserve">                1021</v>
      </c>
      <c r="X3223">
        <v>0</v>
      </c>
      <c r="Y3223">
        <v>754</v>
      </c>
      <c r="Z3223" s="3">
        <v>754</v>
      </c>
      <c r="AA3223">
        <v>-60</v>
      </c>
      <c r="AB3223" s="5">
        <v>-45240</v>
      </c>
      <c r="AC3223">
        <v>754</v>
      </c>
      <c r="AD3223">
        <v>-60</v>
      </c>
      <c r="AE3223" s="1">
        <v>-45240</v>
      </c>
      <c r="AF3223">
        <v>0</v>
      </c>
      <c r="AJ3223">
        <v>754</v>
      </c>
      <c r="AK3223">
        <v>754</v>
      </c>
      <c r="AL3223">
        <v>754</v>
      </c>
      <c r="AM3223">
        <v>754</v>
      </c>
      <c r="AN3223">
        <v>754</v>
      </c>
      <c r="AO3223">
        <v>754</v>
      </c>
      <c r="AP3223" s="2">
        <v>42746</v>
      </c>
      <c r="AQ3223" t="s">
        <v>72</v>
      </c>
      <c r="AR3223" t="s">
        <v>72</v>
      </c>
      <c r="AS3223">
        <v>2819</v>
      </c>
      <c r="AT3223" s="4">
        <v>42667</v>
      </c>
      <c r="AV3223">
        <v>2819</v>
      </c>
      <c r="AW3223" s="4">
        <v>42667</v>
      </c>
      <c r="BD3223">
        <v>0</v>
      </c>
      <c r="BN3223" t="s">
        <v>74</v>
      </c>
    </row>
    <row r="3224" spans="1:66" hidden="1">
      <c r="A3224">
        <v>101149</v>
      </c>
      <c r="B3224" s="3" t="s">
        <v>372</v>
      </c>
      <c r="C3224" s="1">
        <v>43500101</v>
      </c>
      <c r="D3224" t="s">
        <v>113</v>
      </c>
      <c r="H3224" t="str">
        <f t="shared" si="327"/>
        <v>01277730030</v>
      </c>
      <c r="I3224" t="str">
        <f t="shared" si="327"/>
        <v>01277730030</v>
      </c>
      <c r="K3224" t="str">
        <f>""</f>
        <v/>
      </c>
      <c r="M3224" t="s">
        <v>68</v>
      </c>
      <c r="N3224" t="str">
        <f t="shared" si="326"/>
        <v>ALTFIN</v>
      </c>
      <c r="O3224" t="s">
        <v>123</v>
      </c>
      <c r="P3224" s="3" t="s">
        <v>94</v>
      </c>
      <c r="Q3224">
        <v>2016</v>
      </c>
      <c r="R3224" s="2">
        <v>42696</v>
      </c>
      <c r="S3224" s="2">
        <v>42696</v>
      </c>
      <c r="T3224" s="2">
        <v>42696</v>
      </c>
      <c r="U3224" s="2">
        <v>42756</v>
      </c>
      <c r="V3224" t="s">
        <v>71</v>
      </c>
      <c r="W3224" t="str">
        <f>"                1122"</f>
        <v xml:space="preserve">                1122</v>
      </c>
      <c r="X3224">
        <v>0</v>
      </c>
      <c r="Y3224">
        <v>754</v>
      </c>
      <c r="Z3224" s="3">
        <v>754</v>
      </c>
      <c r="AA3224">
        <v>-59</v>
      </c>
      <c r="AB3224" s="5">
        <v>-44486</v>
      </c>
      <c r="AC3224">
        <v>754</v>
      </c>
      <c r="AD3224">
        <v>-59</v>
      </c>
      <c r="AE3224" s="1">
        <v>-44486</v>
      </c>
      <c r="AF3224">
        <v>0</v>
      </c>
      <c r="AJ3224">
        <v>754</v>
      </c>
      <c r="AK3224">
        <v>754</v>
      </c>
      <c r="AL3224">
        <v>754</v>
      </c>
      <c r="AM3224">
        <v>754</v>
      </c>
      <c r="AN3224">
        <v>754</v>
      </c>
      <c r="AO3224">
        <v>754</v>
      </c>
      <c r="AP3224" s="2">
        <v>42746</v>
      </c>
      <c r="AQ3224" t="s">
        <v>72</v>
      </c>
      <c r="AR3224" t="s">
        <v>72</v>
      </c>
      <c r="AS3224">
        <v>3256</v>
      </c>
      <c r="AT3224" s="4">
        <v>42697</v>
      </c>
      <c r="AV3224">
        <v>3256</v>
      </c>
      <c r="AW3224" s="4">
        <v>42697</v>
      </c>
      <c r="BD3224">
        <v>0</v>
      </c>
      <c r="BN3224" t="s">
        <v>74</v>
      </c>
    </row>
    <row r="3225" spans="1:66" hidden="1">
      <c r="A3225">
        <v>101149</v>
      </c>
      <c r="B3225" s="3" t="s">
        <v>372</v>
      </c>
      <c r="C3225" s="1">
        <v>43500101</v>
      </c>
      <c r="D3225" t="s">
        <v>113</v>
      </c>
      <c r="H3225" t="str">
        <f t="shared" si="327"/>
        <v>01277730030</v>
      </c>
      <c r="I3225" t="str">
        <f t="shared" si="327"/>
        <v>01277730030</v>
      </c>
      <c r="K3225" t="str">
        <f>""</f>
        <v/>
      </c>
      <c r="M3225" t="s">
        <v>68</v>
      </c>
      <c r="N3225" t="str">
        <f t="shared" si="326"/>
        <v>ALTFIN</v>
      </c>
      <c r="O3225" t="s">
        <v>123</v>
      </c>
      <c r="P3225" s="3" t="s">
        <v>95</v>
      </c>
      <c r="Q3225">
        <v>2016</v>
      </c>
      <c r="R3225" s="2">
        <v>42717</v>
      </c>
      <c r="S3225" s="2">
        <v>42717</v>
      </c>
      <c r="T3225" s="2">
        <v>42717</v>
      </c>
      <c r="U3225" s="2">
        <v>42777</v>
      </c>
      <c r="V3225" t="s">
        <v>71</v>
      </c>
      <c r="W3225" t="str">
        <f>"                1213"</f>
        <v xml:space="preserve">                1213</v>
      </c>
      <c r="X3225">
        <v>0</v>
      </c>
      <c r="Y3225">
        <v>754</v>
      </c>
      <c r="Z3225" s="3">
        <v>754</v>
      </c>
      <c r="AA3225">
        <v>-59</v>
      </c>
      <c r="AB3225" s="5">
        <v>-44486</v>
      </c>
      <c r="AC3225">
        <v>754</v>
      </c>
      <c r="AD3225">
        <v>-59</v>
      </c>
      <c r="AE3225" s="1">
        <v>-44486</v>
      </c>
      <c r="AF3225">
        <v>0</v>
      </c>
      <c r="AJ3225">
        <v>754</v>
      </c>
      <c r="AK3225">
        <v>754</v>
      </c>
      <c r="AL3225">
        <v>754</v>
      </c>
      <c r="AM3225">
        <v>754</v>
      </c>
      <c r="AN3225">
        <v>754</v>
      </c>
      <c r="AO3225">
        <v>754</v>
      </c>
      <c r="AP3225" s="2">
        <v>42746</v>
      </c>
      <c r="AQ3225" t="s">
        <v>72</v>
      </c>
      <c r="AR3225" t="s">
        <v>72</v>
      </c>
      <c r="AS3225">
        <v>3415</v>
      </c>
      <c r="AT3225" s="4">
        <v>42718</v>
      </c>
      <c r="AV3225">
        <v>3415</v>
      </c>
      <c r="AW3225" s="4">
        <v>42718</v>
      </c>
      <c r="BD3225">
        <v>0</v>
      </c>
      <c r="BN3225" t="s">
        <v>74</v>
      </c>
    </row>
    <row r="3226" spans="1:66" hidden="1">
      <c r="A3226">
        <v>101150</v>
      </c>
      <c r="B3226" s="3" t="s">
        <v>373</v>
      </c>
      <c r="C3226" s="1">
        <v>43300101</v>
      </c>
      <c r="D3226" t="s">
        <v>67</v>
      </c>
      <c r="H3226" t="str">
        <f t="shared" ref="H3226:H3246" si="328">"07146020586"</f>
        <v>07146020586</v>
      </c>
      <c r="I3226" t="str">
        <f t="shared" ref="I3226:I3246" si="329">"01696821006"</f>
        <v>01696821006</v>
      </c>
      <c r="K3226" t="str">
        <f>""</f>
        <v/>
      </c>
      <c r="M3226" t="s">
        <v>68</v>
      </c>
      <c r="N3226" t="str">
        <f t="shared" ref="N3226:N3257" si="330">"FOR"</f>
        <v>FOR</v>
      </c>
      <c r="O3226" t="s">
        <v>69</v>
      </c>
      <c r="P3226" s="3" t="s">
        <v>70</v>
      </c>
      <c r="Q3226">
        <v>2015</v>
      </c>
      <c r="R3226" s="2">
        <v>42058</v>
      </c>
      <c r="S3226" s="2">
        <v>42081</v>
      </c>
      <c r="T3226" s="2">
        <v>42081</v>
      </c>
      <c r="U3226" s="2">
        <v>42141</v>
      </c>
      <c r="V3226" t="s">
        <v>71</v>
      </c>
      <c r="W3226" t="str">
        <f>"          1020021757"</f>
        <v xml:space="preserve">          1020021757</v>
      </c>
      <c r="X3226">
        <v>255.19</v>
      </c>
      <c r="Y3226">
        <v>0</v>
      </c>
      <c r="Z3226"/>
      <c r="AB3226"/>
      <c r="AC3226">
        <v>209.17</v>
      </c>
      <c r="AD3226">
        <v>267</v>
      </c>
      <c r="AE3226" s="1">
        <v>55848.39</v>
      </c>
      <c r="AF3226">
        <v>0</v>
      </c>
      <c r="AJ3226">
        <v>0</v>
      </c>
      <c r="AK3226">
        <v>0</v>
      </c>
      <c r="AL3226">
        <v>0</v>
      </c>
      <c r="AM3226">
        <v>0</v>
      </c>
      <c r="AN3226">
        <v>0</v>
      </c>
      <c r="AO3226">
        <v>0</v>
      </c>
      <c r="AP3226" s="2">
        <v>42746</v>
      </c>
      <c r="AQ3226" t="s">
        <v>72</v>
      </c>
      <c r="AR3226" t="s">
        <v>72</v>
      </c>
      <c r="AS3226">
        <v>323</v>
      </c>
      <c r="AT3226" s="4">
        <v>42408</v>
      </c>
      <c r="AU3226" t="s">
        <v>73</v>
      </c>
      <c r="AV3226">
        <v>323</v>
      </c>
      <c r="AW3226" s="4">
        <v>42408</v>
      </c>
      <c r="BD3226">
        <v>0</v>
      </c>
      <c r="BN3226" t="s">
        <v>74</v>
      </c>
    </row>
    <row r="3227" spans="1:66" hidden="1">
      <c r="A3227">
        <v>101150</v>
      </c>
      <c r="B3227" s="3" t="s">
        <v>373</v>
      </c>
      <c r="C3227" s="1">
        <v>43300101</v>
      </c>
      <c r="D3227" t="s">
        <v>67</v>
      </c>
      <c r="H3227" t="str">
        <f t="shared" si="328"/>
        <v>07146020586</v>
      </c>
      <c r="I3227" t="str">
        <f t="shared" si="329"/>
        <v>01696821006</v>
      </c>
      <c r="K3227" t="str">
        <f>""</f>
        <v/>
      </c>
      <c r="M3227" t="s">
        <v>68</v>
      </c>
      <c r="N3227" t="str">
        <f t="shared" si="330"/>
        <v>FOR</v>
      </c>
      <c r="O3227" t="s">
        <v>69</v>
      </c>
      <c r="P3227" s="3" t="s">
        <v>70</v>
      </c>
      <c r="Q3227">
        <v>2015</v>
      </c>
      <c r="R3227" s="2">
        <v>42058</v>
      </c>
      <c r="S3227" s="2">
        <v>42080</v>
      </c>
      <c r="T3227" s="2">
        <v>42080</v>
      </c>
      <c r="U3227" s="2">
        <v>42140</v>
      </c>
      <c r="V3227" t="s">
        <v>71</v>
      </c>
      <c r="W3227" t="str">
        <f>"          1020021758"</f>
        <v xml:space="preserve">          1020021758</v>
      </c>
      <c r="X3227">
        <v>122</v>
      </c>
      <c r="Y3227">
        <v>0</v>
      </c>
      <c r="Z3227"/>
      <c r="AB3227"/>
      <c r="AC3227">
        <v>100</v>
      </c>
      <c r="AD3227">
        <v>268</v>
      </c>
      <c r="AE3227" s="1">
        <v>26800</v>
      </c>
      <c r="AF3227">
        <v>0</v>
      </c>
      <c r="AJ3227">
        <v>0</v>
      </c>
      <c r="AK3227">
        <v>0</v>
      </c>
      <c r="AL3227">
        <v>0</v>
      </c>
      <c r="AM3227">
        <v>0</v>
      </c>
      <c r="AN3227">
        <v>0</v>
      </c>
      <c r="AO3227">
        <v>0</v>
      </c>
      <c r="AP3227" s="2">
        <v>42746</v>
      </c>
      <c r="AQ3227" t="s">
        <v>72</v>
      </c>
      <c r="AR3227" t="s">
        <v>72</v>
      </c>
      <c r="AS3227">
        <v>323</v>
      </c>
      <c r="AT3227" s="4">
        <v>42408</v>
      </c>
      <c r="AU3227" t="s">
        <v>73</v>
      </c>
      <c r="AV3227">
        <v>323</v>
      </c>
      <c r="AW3227" s="4">
        <v>42408</v>
      </c>
      <c r="BD3227">
        <v>0</v>
      </c>
      <c r="BN3227" t="s">
        <v>74</v>
      </c>
    </row>
    <row r="3228" spans="1:66" hidden="1">
      <c r="A3228">
        <v>101150</v>
      </c>
      <c r="B3228" s="3" t="s">
        <v>373</v>
      </c>
      <c r="C3228" s="1">
        <v>43300101</v>
      </c>
      <c r="D3228" t="s">
        <v>67</v>
      </c>
      <c r="H3228" t="str">
        <f t="shared" si="328"/>
        <v>07146020586</v>
      </c>
      <c r="I3228" t="str">
        <f t="shared" si="329"/>
        <v>01696821006</v>
      </c>
      <c r="K3228" t="str">
        <f>""</f>
        <v/>
      </c>
      <c r="M3228" t="s">
        <v>68</v>
      </c>
      <c r="N3228" t="str">
        <f t="shared" si="330"/>
        <v>FOR</v>
      </c>
      <c r="O3228" t="s">
        <v>69</v>
      </c>
      <c r="P3228" s="3" t="s">
        <v>70</v>
      </c>
      <c r="Q3228">
        <v>2015</v>
      </c>
      <c r="R3228" s="2">
        <v>42060</v>
      </c>
      <c r="S3228" s="2">
        <v>42080</v>
      </c>
      <c r="T3228" s="2">
        <v>42080</v>
      </c>
      <c r="U3228" s="2">
        <v>42140</v>
      </c>
      <c r="V3228" t="s">
        <v>71</v>
      </c>
      <c r="W3228" t="str">
        <f>"          1020027392"</f>
        <v xml:space="preserve">          1020027392</v>
      </c>
      <c r="X3228">
        <v>671</v>
      </c>
      <c r="Y3228">
        <v>0</v>
      </c>
      <c r="Z3228"/>
      <c r="AB3228"/>
      <c r="AC3228">
        <v>550</v>
      </c>
      <c r="AD3228">
        <v>268</v>
      </c>
      <c r="AE3228" s="1">
        <v>147400</v>
      </c>
      <c r="AF3228">
        <v>0</v>
      </c>
      <c r="AJ3228">
        <v>0</v>
      </c>
      <c r="AK3228">
        <v>0</v>
      </c>
      <c r="AL3228">
        <v>0</v>
      </c>
      <c r="AM3228">
        <v>0</v>
      </c>
      <c r="AN3228">
        <v>0</v>
      </c>
      <c r="AO3228">
        <v>0</v>
      </c>
      <c r="AP3228" s="2">
        <v>42746</v>
      </c>
      <c r="AQ3228" t="s">
        <v>72</v>
      </c>
      <c r="AR3228" t="s">
        <v>72</v>
      </c>
      <c r="AS3228">
        <v>323</v>
      </c>
      <c r="AT3228" s="4">
        <v>42408</v>
      </c>
      <c r="AU3228" t="s">
        <v>73</v>
      </c>
      <c r="AV3228">
        <v>323</v>
      </c>
      <c r="AW3228" s="4">
        <v>42408</v>
      </c>
      <c r="BD3228">
        <v>0</v>
      </c>
      <c r="BN3228" t="s">
        <v>74</v>
      </c>
    </row>
    <row r="3229" spans="1:66" hidden="1">
      <c r="A3229">
        <v>101150</v>
      </c>
      <c r="B3229" s="3" t="s">
        <v>373</v>
      </c>
      <c r="C3229" s="1">
        <v>43300101</v>
      </c>
      <c r="D3229" t="s">
        <v>67</v>
      </c>
      <c r="H3229" t="str">
        <f t="shared" si="328"/>
        <v>07146020586</v>
      </c>
      <c r="I3229" t="str">
        <f t="shared" si="329"/>
        <v>01696821006</v>
      </c>
      <c r="K3229" t="str">
        <f>""</f>
        <v/>
      </c>
      <c r="M3229" t="s">
        <v>68</v>
      </c>
      <c r="N3229" t="str">
        <f t="shared" si="330"/>
        <v>FOR</v>
      </c>
      <c r="O3229" t="s">
        <v>69</v>
      </c>
      <c r="P3229" s="3" t="s">
        <v>70</v>
      </c>
      <c r="Q3229">
        <v>2015</v>
      </c>
      <c r="R3229" s="2">
        <v>42063</v>
      </c>
      <c r="S3229" s="2">
        <v>42086</v>
      </c>
      <c r="T3229" s="2">
        <v>42086</v>
      </c>
      <c r="U3229" s="2">
        <v>42146</v>
      </c>
      <c r="V3229" t="s">
        <v>71</v>
      </c>
      <c r="W3229" t="str">
        <f>"          1020028557"</f>
        <v xml:space="preserve">          1020028557</v>
      </c>
      <c r="X3229">
        <v>671</v>
      </c>
      <c r="Y3229">
        <v>0</v>
      </c>
      <c r="Z3229"/>
      <c r="AB3229"/>
      <c r="AC3229">
        <v>550</v>
      </c>
      <c r="AD3229">
        <v>262</v>
      </c>
      <c r="AE3229" s="1">
        <v>144100</v>
      </c>
      <c r="AF3229">
        <v>0</v>
      </c>
      <c r="AJ3229">
        <v>0</v>
      </c>
      <c r="AK3229">
        <v>0</v>
      </c>
      <c r="AL3229">
        <v>0</v>
      </c>
      <c r="AM3229">
        <v>0</v>
      </c>
      <c r="AN3229">
        <v>0</v>
      </c>
      <c r="AO3229">
        <v>0</v>
      </c>
      <c r="AP3229" s="2">
        <v>42746</v>
      </c>
      <c r="AQ3229" t="s">
        <v>72</v>
      </c>
      <c r="AR3229" t="s">
        <v>72</v>
      </c>
      <c r="AS3229">
        <v>323</v>
      </c>
      <c r="AT3229" s="4">
        <v>42408</v>
      </c>
      <c r="AU3229" t="s">
        <v>73</v>
      </c>
      <c r="AV3229">
        <v>323</v>
      </c>
      <c r="AW3229" s="4">
        <v>42408</v>
      </c>
      <c r="BD3229">
        <v>0</v>
      </c>
      <c r="BN3229" t="s">
        <v>74</v>
      </c>
    </row>
    <row r="3230" spans="1:66" hidden="1">
      <c r="A3230">
        <v>101150</v>
      </c>
      <c r="B3230" s="3" t="s">
        <v>373</v>
      </c>
      <c r="C3230" s="1">
        <v>43300101</v>
      </c>
      <c r="D3230" t="s">
        <v>67</v>
      </c>
      <c r="H3230" t="str">
        <f t="shared" si="328"/>
        <v>07146020586</v>
      </c>
      <c r="I3230" t="str">
        <f t="shared" si="329"/>
        <v>01696821006</v>
      </c>
      <c r="K3230" t="str">
        <f>""</f>
        <v/>
      </c>
      <c r="M3230" t="s">
        <v>68</v>
      </c>
      <c r="N3230" t="str">
        <f t="shared" si="330"/>
        <v>FOR</v>
      </c>
      <c r="O3230" t="s">
        <v>69</v>
      </c>
      <c r="P3230" s="3" t="s">
        <v>70</v>
      </c>
      <c r="Q3230">
        <v>2015</v>
      </c>
      <c r="R3230" s="2">
        <v>42063</v>
      </c>
      <c r="S3230" s="2">
        <v>42086</v>
      </c>
      <c r="T3230" s="2">
        <v>42086</v>
      </c>
      <c r="U3230" s="2">
        <v>42146</v>
      </c>
      <c r="V3230" t="s">
        <v>71</v>
      </c>
      <c r="W3230" t="str">
        <f>"          1020028558"</f>
        <v xml:space="preserve">          1020028558</v>
      </c>
      <c r="X3230">
        <v>122</v>
      </c>
      <c r="Y3230">
        <v>0</v>
      </c>
      <c r="Z3230"/>
      <c r="AB3230"/>
      <c r="AC3230">
        <v>100</v>
      </c>
      <c r="AD3230">
        <v>262</v>
      </c>
      <c r="AE3230" s="1">
        <v>26200</v>
      </c>
      <c r="AF3230">
        <v>0</v>
      </c>
      <c r="AJ3230">
        <v>0</v>
      </c>
      <c r="AK3230">
        <v>0</v>
      </c>
      <c r="AL3230">
        <v>0</v>
      </c>
      <c r="AM3230">
        <v>0</v>
      </c>
      <c r="AN3230">
        <v>0</v>
      </c>
      <c r="AO3230">
        <v>0</v>
      </c>
      <c r="AP3230" s="2">
        <v>42746</v>
      </c>
      <c r="AQ3230" t="s">
        <v>72</v>
      </c>
      <c r="AR3230" t="s">
        <v>72</v>
      </c>
      <c r="AS3230">
        <v>323</v>
      </c>
      <c r="AT3230" s="4">
        <v>42408</v>
      </c>
      <c r="AU3230" t="s">
        <v>73</v>
      </c>
      <c r="AV3230">
        <v>323</v>
      </c>
      <c r="AW3230" s="4">
        <v>42408</v>
      </c>
      <c r="BD3230">
        <v>0</v>
      </c>
      <c r="BN3230" t="s">
        <v>74</v>
      </c>
    </row>
    <row r="3231" spans="1:66">
      <c r="A3231">
        <v>101150</v>
      </c>
      <c r="B3231" s="3" t="s">
        <v>373</v>
      </c>
      <c r="C3231" s="1">
        <v>43300101</v>
      </c>
      <c r="D3231" t="s">
        <v>67</v>
      </c>
      <c r="H3231" t="str">
        <f t="shared" si="328"/>
        <v>07146020586</v>
      </c>
      <c r="I3231" t="str">
        <f t="shared" si="329"/>
        <v>01696821006</v>
      </c>
      <c r="K3231" t="str">
        <f>""</f>
        <v/>
      </c>
      <c r="M3231" t="s">
        <v>68</v>
      </c>
      <c r="N3231" t="str">
        <f t="shared" si="330"/>
        <v>FOR</v>
      </c>
      <c r="O3231" t="s">
        <v>69</v>
      </c>
      <c r="P3231" s="3" t="s">
        <v>75</v>
      </c>
      <c r="Q3231">
        <v>2015</v>
      </c>
      <c r="R3231" s="2">
        <v>42185</v>
      </c>
      <c r="S3231" s="2">
        <v>42187</v>
      </c>
      <c r="T3231" s="2">
        <v>42186</v>
      </c>
      <c r="U3231" s="2">
        <v>42246</v>
      </c>
      <c r="V3231" t="s">
        <v>71</v>
      </c>
      <c r="W3231" t="str">
        <f>"          1020056777"</f>
        <v xml:space="preserve">          1020056777</v>
      </c>
      <c r="X3231">
        <v>122</v>
      </c>
      <c r="Y3231">
        <v>0</v>
      </c>
      <c r="Z3231" s="3">
        <v>100</v>
      </c>
      <c r="AA3231">
        <v>443</v>
      </c>
      <c r="AB3231" s="5">
        <v>44300</v>
      </c>
      <c r="AC3231">
        <v>100</v>
      </c>
      <c r="AD3231">
        <v>443</v>
      </c>
      <c r="AE3231" s="1">
        <v>44300</v>
      </c>
      <c r="AF3231">
        <v>0</v>
      </c>
      <c r="AJ3231">
        <v>0</v>
      </c>
      <c r="AK3231">
        <v>0</v>
      </c>
      <c r="AL3231">
        <v>0</v>
      </c>
      <c r="AM3231">
        <v>0</v>
      </c>
      <c r="AN3231">
        <v>0</v>
      </c>
      <c r="AO3231">
        <v>0</v>
      </c>
      <c r="AP3231" s="2">
        <v>42746</v>
      </c>
      <c r="AQ3231" t="s">
        <v>72</v>
      </c>
      <c r="AR3231" t="s">
        <v>72</v>
      </c>
      <c r="AS3231">
        <v>3113</v>
      </c>
      <c r="AT3231" s="4">
        <v>42689</v>
      </c>
      <c r="AU3231" t="s">
        <v>73</v>
      </c>
      <c r="AV3231">
        <v>3113</v>
      </c>
      <c r="AW3231" s="4">
        <v>42689</v>
      </c>
      <c r="BD3231">
        <v>0</v>
      </c>
      <c r="BN3231" t="s">
        <v>74</v>
      </c>
    </row>
    <row r="3232" spans="1:66" hidden="1">
      <c r="A3232">
        <v>101150</v>
      </c>
      <c r="B3232" s="3" t="s">
        <v>373</v>
      </c>
      <c r="C3232" s="1">
        <v>43300101</v>
      </c>
      <c r="D3232" t="s">
        <v>67</v>
      </c>
      <c r="H3232" t="str">
        <f t="shared" si="328"/>
        <v>07146020586</v>
      </c>
      <c r="I3232" t="str">
        <f t="shared" si="329"/>
        <v>01696821006</v>
      </c>
      <c r="K3232" t="str">
        <f>""</f>
        <v/>
      </c>
      <c r="M3232" t="s">
        <v>68</v>
      </c>
      <c r="N3232" t="str">
        <f t="shared" si="330"/>
        <v>FOR</v>
      </c>
      <c r="O3232" t="s">
        <v>69</v>
      </c>
      <c r="P3232" s="3" t="s">
        <v>75</v>
      </c>
      <c r="Q3232">
        <v>2015</v>
      </c>
      <c r="R3232" s="2">
        <v>42188</v>
      </c>
      <c r="S3232" s="2">
        <v>42193</v>
      </c>
      <c r="T3232" s="2">
        <v>42192</v>
      </c>
      <c r="U3232" s="2">
        <v>42252</v>
      </c>
      <c r="V3232" t="s">
        <v>71</v>
      </c>
      <c r="W3232" t="str">
        <f>"          1020059027"</f>
        <v xml:space="preserve">          1020059027</v>
      </c>
      <c r="X3232">
        <v>434.56</v>
      </c>
      <c r="Y3232">
        <v>0</v>
      </c>
      <c r="Z3232"/>
      <c r="AB3232"/>
      <c r="AC3232">
        <v>356.2</v>
      </c>
      <c r="AD3232">
        <v>314</v>
      </c>
      <c r="AE3232" s="1">
        <v>111846.8</v>
      </c>
      <c r="AF3232">
        <v>0</v>
      </c>
      <c r="AJ3232">
        <v>0</v>
      </c>
      <c r="AK3232">
        <v>0</v>
      </c>
      <c r="AL3232">
        <v>0</v>
      </c>
      <c r="AM3232">
        <v>0</v>
      </c>
      <c r="AN3232">
        <v>0</v>
      </c>
      <c r="AO3232">
        <v>0</v>
      </c>
      <c r="AP3232" s="2">
        <v>42746</v>
      </c>
      <c r="AQ3232" t="s">
        <v>72</v>
      </c>
      <c r="AR3232" t="s">
        <v>72</v>
      </c>
      <c r="AS3232">
        <v>1817</v>
      </c>
      <c r="AT3232" s="4">
        <v>42566</v>
      </c>
      <c r="AU3232" t="s">
        <v>73</v>
      </c>
      <c r="AV3232">
        <v>1817</v>
      </c>
      <c r="AW3232" s="4">
        <v>42566</v>
      </c>
      <c r="BD3232">
        <v>0</v>
      </c>
      <c r="BN3232" t="s">
        <v>74</v>
      </c>
    </row>
    <row r="3233" spans="1:66">
      <c r="A3233">
        <v>101150</v>
      </c>
      <c r="B3233" s="3" t="s">
        <v>373</v>
      </c>
      <c r="C3233" s="1">
        <v>43300101</v>
      </c>
      <c r="D3233" t="s">
        <v>67</v>
      </c>
      <c r="H3233" t="str">
        <f t="shared" si="328"/>
        <v>07146020586</v>
      </c>
      <c r="I3233" t="str">
        <f t="shared" si="329"/>
        <v>01696821006</v>
      </c>
      <c r="K3233" t="str">
        <f>""</f>
        <v/>
      </c>
      <c r="M3233" t="s">
        <v>68</v>
      </c>
      <c r="N3233" t="str">
        <f t="shared" si="330"/>
        <v>FOR</v>
      </c>
      <c r="O3233" t="s">
        <v>69</v>
      </c>
      <c r="P3233" s="3" t="s">
        <v>75</v>
      </c>
      <c r="Q3233">
        <v>2015</v>
      </c>
      <c r="R3233" s="2">
        <v>42207</v>
      </c>
      <c r="S3233" s="2">
        <v>42233</v>
      </c>
      <c r="T3233" s="2">
        <v>42207</v>
      </c>
      <c r="U3233" s="2">
        <v>42267</v>
      </c>
      <c r="V3233" t="s">
        <v>71</v>
      </c>
      <c r="W3233" t="str">
        <f>"          1020062688"</f>
        <v xml:space="preserve">          1020062688</v>
      </c>
      <c r="X3233">
        <v>122</v>
      </c>
      <c r="Y3233">
        <v>0</v>
      </c>
      <c r="Z3233" s="3">
        <v>100</v>
      </c>
      <c r="AA3233">
        <v>422</v>
      </c>
      <c r="AB3233" s="5">
        <v>42200</v>
      </c>
      <c r="AC3233">
        <v>100</v>
      </c>
      <c r="AD3233">
        <v>422</v>
      </c>
      <c r="AE3233" s="1">
        <v>42200</v>
      </c>
      <c r="AF3233">
        <v>0</v>
      </c>
      <c r="AJ3233">
        <v>0</v>
      </c>
      <c r="AK3233">
        <v>0</v>
      </c>
      <c r="AL3233">
        <v>0</v>
      </c>
      <c r="AM3233">
        <v>0</v>
      </c>
      <c r="AN3233">
        <v>0</v>
      </c>
      <c r="AO3233">
        <v>0</v>
      </c>
      <c r="AP3233" s="2">
        <v>42746</v>
      </c>
      <c r="AQ3233" t="s">
        <v>72</v>
      </c>
      <c r="AR3233" t="s">
        <v>72</v>
      </c>
      <c r="AS3233">
        <v>3113</v>
      </c>
      <c r="AT3233" s="4">
        <v>42689</v>
      </c>
      <c r="AU3233" t="s">
        <v>73</v>
      </c>
      <c r="AV3233">
        <v>3113</v>
      </c>
      <c r="AW3233" s="4">
        <v>42689</v>
      </c>
      <c r="BD3233">
        <v>0</v>
      </c>
      <c r="BN3233" t="s">
        <v>74</v>
      </c>
    </row>
    <row r="3234" spans="1:66">
      <c r="A3234">
        <v>101150</v>
      </c>
      <c r="B3234" s="3" t="s">
        <v>373</v>
      </c>
      <c r="C3234" s="1">
        <v>43300101</v>
      </c>
      <c r="D3234" t="s">
        <v>67</v>
      </c>
      <c r="H3234" t="str">
        <f t="shared" si="328"/>
        <v>07146020586</v>
      </c>
      <c r="I3234" t="str">
        <f t="shared" si="329"/>
        <v>01696821006</v>
      </c>
      <c r="K3234" t="str">
        <f>""</f>
        <v/>
      </c>
      <c r="M3234" t="s">
        <v>68</v>
      </c>
      <c r="N3234" t="str">
        <f t="shared" si="330"/>
        <v>FOR</v>
      </c>
      <c r="O3234" t="s">
        <v>69</v>
      </c>
      <c r="P3234" s="3" t="s">
        <v>75</v>
      </c>
      <c r="Q3234">
        <v>2015</v>
      </c>
      <c r="R3234" s="2">
        <v>42216</v>
      </c>
      <c r="S3234" s="2">
        <v>42228</v>
      </c>
      <c r="T3234" s="2">
        <v>42219</v>
      </c>
      <c r="U3234" s="2">
        <v>42279</v>
      </c>
      <c r="V3234" t="s">
        <v>71</v>
      </c>
      <c r="W3234" t="str">
        <f>"          1020065022"</f>
        <v xml:space="preserve">          1020065022</v>
      </c>
      <c r="X3234">
        <v>671</v>
      </c>
      <c r="Y3234">
        <v>0</v>
      </c>
      <c r="Z3234" s="3">
        <v>550</v>
      </c>
      <c r="AA3234">
        <v>418</v>
      </c>
      <c r="AB3234" s="5">
        <v>229900</v>
      </c>
      <c r="AC3234">
        <v>550</v>
      </c>
      <c r="AD3234">
        <v>418</v>
      </c>
      <c r="AE3234" s="1">
        <v>229900</v>
      </c>
      <c r="AF3234">
        <v>0</v>
      </c>
      <c r="AJ3234">
        <v>0</v>
      </c>
      <c r="AK3234">
        <v>0</v>
      </c>
      <c r="AL3234">
        <v>0</v>
      </c>
      <c r="AM3234">
        <v>0</v>
      </c>
      <c r="AN3234">
        <v>0</v>
      </c>
      <c r="AO3234">
        <v>0</v>
      </c>
      <c r="AP3234" s="2">
        <v>42746</v>
      </c>
      <c r="AQ3234" t="s">
        <v>72</v>
      </c>
      <c r="AR3234" t="s">
        <v>72</v>
      </c>
      <c r="AS3234">
        <v>3297</v>
      </c>
      <c r="AT3234" s="4">
        <v>42697</v>
      </c>
      <c r="AU3234" t="s">
        <v>73</v>
      </c>
      <c r="AV3234">
        <v>3297</v>
      </c>
      <c r="AW3234" s="4">
        <v>42697</v>
      </c>
      <c r="BD3234">
        <v>0</v>
      </c>
      <c r="BN3234" t="s">
        <v>74</v>
      </c>
    </row>
    <row r="3235" spans="1:66">
      <c r="A3235">
        <v>101150</v>
      </c>
      <c r="B3235" s="3" t="s">
        <v>373</v>
      </c>
      <c r="C3235" s="1">
        <v>43300101</v>
      </c>
      <c r="D3235" t="s">
        <v>67</v>
      </c>
      <c r="H3235" t="str">
        <f t="shared" si="328"/>
        <v>07146020586</v>
      </c>
      <c r="I3235" t="str">
        <f t="shared" si="329"/>
        <v>01696821006</v>
      </c>
      <c r="K3235" t="str">
        <f>""</f>
        <v/>
      </c>
      <c r="M3235" t="s">
        <v>68</v>
      </c>
      <c r="N3235" t="str">
        <f t="shared" si="330"/>
        <v>FOR</v>
      </c>
      <c r="O3235" t="s">
        <v>69</v>
      </c>
      <c r="P3235" s="3" t="s">
        <v>75</v>
      </c>
      <c r="Q3235">
        <v>2015</v>
      </c>
      <c r="R3235" s="2">
        <v>42220</v>
      </c>
      <c r="S3235" s="2">
        <v>42229</v>
      </c>
      <c r="T3235" s="2">
        <v>42220</v>
      </c>
      <c r="U3235" s="2">
        <v>42280</v>
      </c>
      <c r="V3235" t="s">
        <v>71</v>
      </c>
      <c r="W3235" t="str">
        <f>"          1020065982"</f>
        <v xml:space="preserve">          1020065982</v>
      </c>
      <c r="X3235">
        <v>122</v>
      </c>
      <c r="Y3235">
        <v>0</v>
      </c>
      <c r="Z3235" s="3">
        <v>100</v>
      </c>
      <c r="AA3235">
        <v>409</v>
      </c>
      <c r="AB3235" s="5">
        <v>40900</v>
      </c>
      <c r="AC3235">
        <v>100</v>
      </c>
      <c r="AD3235">
        <v>409</v>
      </c>
      <c r="AE3235" s="1">
        <v>40900</v>
      </c>
      <c r="AF3235">
        <v>0</v>
      </c>
      <c r="AJ3235">
        <v>0</v>
      </c>
      <c r="AK3235">
        <v>0</v>
      </c>
      <c r="AL3235">
        <v>0</v>
      </c>
      <c r="AM3235">
        <v>0</v>
      </c>
      <c r="AN3235">
        <v>0</v>
      </c>
      <c r="AO3235">
        <v>0</v>
      </c>
      <c r="AP3235" s="2">
        <v>42746</v>
      </c>
      <c r="AQ3235" t="s">
        <v>72</v>
      </c>
      <c r="AR3235" t="s">
        <v>72</v>
      </c>
      <c r="AS3235">
        <v>3113</v>
      </c>
      <c r="AT3235" s="4">
        <v>42689</v>
      </c>
      <c r="AU3235" t="s">
        <v>73</v>
      </c>
      <c r="AV3235">
        <v>3113</v>
      </c>
      <c r="AW3235" s="4">
        <v>42689</v>
      </c>
      <c r="BD3235">
        <v>0</v>
      </c>
      <c r="BN3235" t="s">
        <v>74</v>
      </c>
    </row>
    <row r="3236" spans="1:66">
      <c r="A3236">
        <v>101150</v>
      </c>
      <c r="B3236" s="3" t="s">
        <v>373</v>
      </c>
      <c r="C3236" s="1">
        <v>43300101</v>
      </c>
      <c r="D3236" t="s">
        <v>67</v>
      </c>
      <c r="H3236" t="str">
        <f t="shared" si="328"/>
        <v>07146020586</v>
      </c>
      <c r="I3236" t="str">
        <f t="shared" si="329"/>
        <v>01696821006</v>
      </c>
      <c r="K3236" t="str">
        <f>""</f>
        <v/>
      </c>
      <c r="M3236" t="s">
        <v>68</v>
      </c>
      <c r="N3236" t="str">
        <f t="shared" si="330"/>
        <v>FOR</v>
      </c>
      <c r="O3236" t="s">
        <v>69</v>
      </c>
      <c r="P3236" s="3" t="s">
        <v>75</v>
      </c>
      <c r="Q3236">
        <v>2015</v>
      </c>
      <c r="R3236" s="2">
        <v>42227</v>
      </c>
      <c r="S3236" s="2">
        <v>42230</v>
      </c>
      <c r="T3236" s="2">
        <v>42228</v>
      </c>
      <c r="U3236" s="2">
        <v>42288</v>
      </c>
      <c r="V3236" t="s">
        <v>71</v>
      </c>
      <c r="W3236" t="str">
        <f>"          1020066642"</f>
        <v xml:space="preserve">          1020066642</v>
      </c>
      <c r="X3236">
        <v>671</v>
      </c>
      <c r="Y3236">
        <v>0</v>
      </c>
      <c r="Z3236" s="3">
        <v>550</v>
      </c>
      <c r="AA3236">
        <v>409</v>
      </c>
      <c r="AB3236" s="5">
        <v>224950</v>
      </c>
      <c r="AC3236">
        <v>550</v>
      </c>
      <c r="AD3236">
        <v>409</v>
      </c>
      <c r="AE3236" s="1">
        <v>224950</v>
      </c>
      <c r="AF3236">
        <v>0</v>
      </c>
      <c r="AJ3236">
        <v>0</v>
      </c>
      <c r="AK3236">
        <v>0</v>
      </c>
      <c r="AL3236">
        <v>0</v>
      </c>
      <c r="AM3236">
        <v>0</v>
      </c>
      <c r="AN3236">
        <v>0</v>
      </c>
      <c r="AO3236">
        <v>0</v>
      </c>
      <c r="AP3236" s="2">
        <v>42746</v>
      </c>
      <c r="AQ3236" t="s">
        <v>72</v>
      </c>
      <c r="AR3236" t="s">
        <v>72</v>
      </c>
      <c r="AS3236">
        <v>3297</v>
      </c>
      <c r="AT3236" s="4">
        <v>42697</v>
      </c>
      <c r="AU3236" t="s">
        <v>73</v>
      </c>
      <c r="AV3236">
        <v>3297</v>
      </c>
      <c r="AW3236" s="4">
        <v>42697</v>
      </c>
      <c r="BD3236">
        <v>0</v>
      </c>
      <c r="BN3236" t="s">
        <v>74</v>
      </c>
    </row>
    <row r="3237" spans="1:66">
      <c r="A3237">
        <v>101150</v>
      </c>
      <c r="B3237" s="3" t="s">
        <v>373</v>
      </c>
      <c r="C3237" s="1">
        <v>43300101</v>
      </c>
      <c r="D3237" t="s">
        <v>67</v>
      </c>
      <c r="H3237" t="str">
        <f t="shared" si="328"/>
        <v>07146020586</v>
      </c>
      <c r="I3237" t="str">
        <f t="shared" si="329"/>
        <v>01696821006</v>
      </c>
      <c r="K3237" t="str">
        <f>""</f>
        <v/>
      </c>
      <c r="M3237" t="s">
        <v>68</v>
      </c>
      <c r="N3237" t="str">
        <f t="shared" si="330"/>
        <v>FOR</v>
      </c>
      <c r="O3237" t="s">
        <v>69</v>
      </c>
      <c r="P3237" s="3" t="s">
        <v>75</v>
      </c>
      <c r="Q3237">
        <v>2015</v>
      </c>
      <c r="R3237" s="2">
        <v>42247</v>
      </c>
      <c r="S3237" s="2">
        <v>42249</v>
      </c>
      <c r="T3237" s="2">
        <v>42248</v>
      </c>
      <c r="U3237" s="2">
        <v>42308</v>
      </c>
      <c r="V3237" t="s">
        <v>71</v>
      </c>
      <c r="W3237" t="str">
        <f>"          1020069504"</f>
        <v xml:space="preserve">          1020069504</v>
      </c>
      <c r="X3237">
        <v>122</v>
      </c>
      <c r="Y3237">
        <v>0</v>
      </c>
      <c r="Z3237" s="3">
        <v>100</v>
      </c>
      <c r="AA3237">
        <v>381</v>
      </c>
      <c r="AB3237" s="5">
        <v>38100</v>
      </c>
      <c r="AC3237">
        <v>100</v>
      </c>
      <c r="AD3237">
        <v>381</v>
      </c>
      <c r="AE3237" s="1">
        <v>38100</v>
      </c>
      <c r="AF3237">
        <v>0</v>
      </c>
      <c r="AJ3237">
        <v>0</v>
      </c>
      <c r="AK3237">
        <v>0</v>
      </c>
      <c r="AL3237">
        <v>0</v>
      </c>
      <c r="AM3237">
        <v>0</v>
      </c>
      <c r="AN3237">
        <v>0</v>
      </c>
      <c r="AO3237">
        <v>0</v>
      </c>
      <c r="AP3237" s="2">
        <v>42746</v>
      </c>
      <c r="AQ3237" t="s">
        <v>72</v>
      </c>
      <c r="AR3237" t="s">
        <v>72</v>
      </c>
      <c r="AS3237">
        <v>3113</v>
      </c>
      <c r="AT3237" s="4">
        <v>42689</v>
      </c>
      <c r="AU3237" t="s">
        <v>73</v>
      </c>
      <c r="AV3237">
        <v>3113</v>
      </c>
      <c r="AW3237" s="4">
        <v>42689</v>
      </c>
      <c r="BD3237">
        <v>0</v>
      </c>
      <c r="BN3237" t="s">
        <v>74</v>
      </c>
    </row>
    <row r="3238" spans="1:66">
      <c r="A3238">
        <v>101150</v>
      </c>
      <c r="B3238" s="3" t="s">
        <v>373</v>
      </c>
      <c r="C3238" s="1">
        <v>43300101</v>
      </c>
      <c r="D3238" t="s">
        <v>67</v>
      </c>
      <c r="H3238" t="str">
        <f t="shared" si="328"/>
        <v>07146020586</v>
      </c>
      <c r="I3238" t="str">
        <f t="shared" si="329"/>
        <v>01696821006</v>
      </c>
      <c r="K3238" t="str">
        <f>""</f>
        <v/>
      </c>
      <c r="M3238" t="s">
        <v>68</v>
      </c>
      <c r="N3238" t="str">
        <f t="shared" si="330"/>
        <v>FOR</v>
      </c>
      <c r="O3238" t="s">
        <v>69</v>
      </c>
      <c r="P3238" s="3" t="s">
        <v>75</v>
      </c>
      <c r="Q3238">
        <v>2015</v>
      </c>
      <c r="R3238" s="2">
        <v>42255</v>
      </c>
      <c r="S3238" s="2">
        <v>42257</v>
      </c>
      <c r="T3238" s="2">
        <v>42256</v>
      </c>
      <c r="U3238" s="2">
        <v>42316</v>
      </c>
      <c r="V3238" t="s">
        <v>71</v>
      </c>
      <c r="W3238" t="str">
        <f>"          1020070839"</f>
        <v xml:space="preserve">          1020070839</v>
      </c>
      <c r="X3238">
        <v>671</v>
      </c>
      <c r="Y3238">
        <v>0</v>
      </c>
      <c r="Z3238" s="3">
        <v>550</v>
      </c>
      <c r="AA3238">
        <v>381</v>
      </c>
      <c r="AB3238" s="5">
        <v>209550</v>
      </c>
      <c r="AC3238">
        <v>550</v>
      </c>
      <c r="AD3238">
        <v>381</v>
      </c>
      <c r="AE3238" s="1">
        <v>209550</v>
      </c>
      <c r="AF3238">
        <v>0</v>
      </c>
      <c r="AJ3238">
        <v>0</v>
      </c>
      <c r="AK3238">
        <v>0</v>
      </c>
      <c r="AL3238">
        <v>0</v>
      </c>
      <c r="AM3238">
        <v>0</v>
      </c>
      <c r="AN3238">
        <v>0</v>
      </c>
      <c r="AO3238">
        <v>0</v>
      </c>
      <c r="AP3238" s="2">
        <v>42746</v>
      </c>
      <c r="AQ3238" t="s">
        <v>72</v>
      </c>
      <c r="AR3238" t="s">
        <v>72</v>
      </c>
      <c r="AS3238">
        <v>3297</v>
      </c>
      <c r="AT3238" s="4">
        <v>42697</v>
      </c>
      <c r="AU3238" t="s">
        <v>73</v>
      </c>
      <c r="AV3238">
        <v>3297</v>
      </c>
      <c r="AW3238" s="4">
        <v>42697</v>
      </c>
      <c r="BD3238">
        <v>0</v>
      </c>
      <c r="BN3238" t="s">
        <v>74</v>
      </c>
    </row>
    <row r="3239" spans="1:66" hidden="1">
      <c r="A3239">
        <v>101150</v>
      </c>
      <c r="B3239" s="3" t="s">
        <v>373</v>
      </c>
      <c r="C3239" s="1">
        <v>43300101</v>
      </c>
      <c r="D3239" t="s">
        <v>67</v>
      </c>
      <c r="H3239" t="str">
        <f t="shared" si="328"/>
        <v>07146020586</v>
      </c>
      <c r="I3239" t="str">
        <f t="shared" si="329"/>
        <v>01696821006</v>
      </c>
      <c r="K3239" t="str">
        <f>""</f>
        <v/>
      </c>
      <c r="M3239" t="s">
        <v>68</v>
      </c>
      <c r="N3239" t="str">
        <f t="shared" si="330"/>
        <v>FOR</v>
      </c>
      <c r="O3239" t="s">
        <v>69</v>
      </c>
      <c r="P3239" s="3" t="s">
        <v>75</v>
      </c>
      <c r="Q3239">
        <v>2015</v>
      </c>
      <c r="R3239" s="2">
        <v>42257</v>
      </c>
      <c r="S3239" s="2">
        <v>42258</v>
      </c>
      <c r="T3239" s="2">
        <v>42258</v>
      </c>
      <c r="U3239" s="2">
        <v>42318</v>
      </c>
      <c r="V3239" t="s">
        <v>71</v>
      </c>
      <c r="W3239" t="str">
        <f>"          1020071561"</f>
        <v xml:space="preserve">          1020071561</v>
      </c>
      <c r="X3239">
        <v>651.85</v>
      </c>
      <c r="Y3239">
        <v>0</v>
      </c>
      <c r="Z3239"/>
      <c r="AB3239"/>
      <c r="AC3239">
        <v>534.29999999999995</v>
      </c>
      <c r="AD3239">
        <v>303</v>
      </c>
      <c r="AE3239" s="1">
        <v>161892.9</v>
      </c>
      <c r="AF3239">
        <v>0</v>
      </c>
      <c r="AJ3239">
        <v>0</v>
      </c>
      <c r="AK3239">
        <v>0</v>
      </c>
      <c r="AL3239">
        <v>0</v>
      </c>
      <c r="AM3239">
        <v>0</v>
      </c>
      <c r="AN3239">
        <v>0</v>
      </c>
      <c r="AO3239">
        <v>0</v>
      </c>
      <c r="AP3239" s="2">
        <v>42746</v>
      </c>
      <c r="AQ3239" t="s">
        <v>72</v>
      </c>
      <c r="AR3239" t="s">
        <v>72</v>
      </c>
      <c r="AS3239">
        <v>2358</v>
      </c>
      <c r="AT3239" s="4">
        <v>42621</v>
      </c>
      <c r="AU3239" t="s">
        <v>73</v>
      </c>
      <c r="AV3239">
        <v>2358</v>
      </c>
      <c r="AW3239" s="4">
        <v>42621</v>
      </c>
      <c r="BD3239">
        <v>0</v>
      </c>
      <c r="BN3239" t="s">
        <v>74</v>
      </c>
    </row>
    <row r="3240" spans="1:66">
      <c r="A3240">
        <v>101150</v>
      </c>
      <c r="B3240" s="3" t="s">
        <v>373</v>
      </c>
      <c r="C3240" s="1">
        <v>43300101</v>
      </c>
      <c r="D3240" t="s">
        <v>67</v>
      </c>
      <c r="H3240" t="str">
        <f t="shared" si="328"/>
        <v>07146020586</v>
      </c>
      <c r="I3240" t="str">
        <f t="shared" si="329"/>
        <v>01696821006</v>
      </c>
      <c r="K3240" t="str">
        <f>""</f>
        <v/>
      </c>
      <c r="M3240" t="s">
        <v>68</v>
      </c>
      <c r="N3240" t="str">
        <f t="shared" si="330"/>
        <v>FOR</v>
      </c>
      <c r="O3240" t="s">
        <v>69</v>
      </c>
      <c r="P3240" s="3" t="s">
        <v>75</v>
      </c>
      <c r="Q3240">
        <v>2015</v>
      </c>
      <c r="R3240" s="2">
        <v>42277</v>
      </c>
      <c r="S3240" s="2">
        <v>42279</v>
      </c>
      <c r="T3240" s="2">
        <v>42278</v>
      </c>
      <c r="U3240" s="2">
        <v>42338</v>
      </c>
      <c r="V3240" t="s">
        <v>71</v>
      </c>
      <c r="W3240" t="str">
        <f>"          1020075657"</f>
        <v xml:space="preserve">          1020075657</v>
      </c>
      <c r="X3240">
        <v>122</v>
      </c>
      <c r="Y3240">
        <v>0</v>
      </c>
      <c r="Z3240" s="3">
        <v>100</v>
      </c>
      <c r="AA3240">
        <v>351</v>
      </c>
      <c r="AB3240" s="5">
        <v>35100</v>
      </c>
      <c r="AC3240">
        <v>100</v>
      </c>
      <c r="AD3240">
        <v>351</v>
      </c>
      <c r="AE3240" s="1">
        <v>35100</v>
      </c>
      <c r="AF3240">
        <v>0</v>
      </c>
      <c r="AJ3240">
        <v>0</v>
      </c>
      <c r="AK3240">
        <v>0</v>
      </c>
      <c r="AL3240">
        <v>0</v>
      </c>
      <c r="AM3240">
        <v>0</v>
      </c>
      <c r="AN3240">
        <v>0</v>
      </c>
      <c r="AO3240">
        <v>0</v>
      </c>
      <c r="AP3240" s="2">
        <v>42746</v>
      </c>
      <c r="AQ3240" t="s">
        <v>72</v>
      </c>
      <c r="AR3240" t="s">
        <v>72</v>
      </c>
      <c r="AS3240">
        <v>3113</v>
      </c>
      <c r="AT3240" s="4">
        <v>42689</v>
      </c>
      <c r="AU3240" t="s">
        <v>73</v>
      </c>
      <c r="AV3240">
        <v>3113</v>
      </c>
      <c r="AW3240" s="4">
        <v>42689</v>
      </c>
      <c r="BD3240">
        <v>0</v>
      </c>
      <c r="BN3240" t="s">
        <v>74</v>
      </c>
    </row>
    <row r="3241" spans="1:66">
      <c r="A3241">
        <v>101150</v>
      </c>
      <c r="B3241" s="3" t="s">
        <v>373</v>
      </c>
      <c r="C3241" s="1">
        <v>43300101</v>
      </c>
      <c r="D3241" t="s">
        <v>67</v>
      </c>
      <c r="H3241" t="str">
        <f t="shared" si="328"/>
        <v>07146020586</v>
      </c>
      <c r="I3241" t="str">
        <f t="shared" si="329"/>
        <v>01696821006</v>
      </c>
      <c r="K3241" t="str">
        <f>""</f>
        <v/>
      </c>
      <c r="M3241" t="s">
        <v>68</v>
      </c>
      <c r="N3241" t="str">
        <f t="shared" si="330"/>
        <v>FOR</v>
      </c>
      <c r="O3241" t="s">
        <v>69</v>
      </c>
      <c r="P3241" s="3" t="s">
        <v>75</v>
      </c>
      <c r="Q3241">
        <v>2015</v>
      </c>
      <c r="R3241" s="2">
        <v>42282</v>
      </c>
      <c r="S3241" s="2">
        <v>42282</v>
      </c>
      <c r="T3241" s="2">
        <v>42282</v>
      </c>
      <c r="U3241" s="2">
        <v>42342</v>
      </c>
      <c r="V3241" t="s">
        <v>71</v>
      </c>
      <c r="W3241" t="str">
        <f>"          1020077031"</f>
        <v xml:space="preserve">          1020077031</v>
      </c>
      <c r="X3241">
        <v>671</v>
      </c>
      <c r="Y3241">
        <v>0</v>
      </c>
      <c r="Z3241" s="3">
        <v>550</v>
      </c>
      <c r="AA3241">
        <v>376</v>
      </c>
      <c r="AB3241" s="5">
        <v>206800</v>
      </c>
      <c r="AC3241">
        <v>550</v>
      </c>
      <c r="AD3241">
        <v>376</v>
      </c>
      <c r="AE3241" s="1">
        <v>206800</v>
      </c>
      <c r="AF3241">
        <v>121</v>
      </c>
      <c r="AJ3241">
        <v>0</v>
      </c>
      <c r="AK3241">
        <v>0</v>
      </c>
      <c r="AL3241">
        <v>0</v>
      </c>
      <c r="AM3241">
        <v>0</v>
      </c>
      <c r="AN3241">
        <v>0</v>
      </c>
      <c r="AO3241">
        <v>0</v>
      </c>
      <c r="AP3241" s="2">
        <v>42746</v>
      </c>
      <c r="AQ3241" t="s">
        <v>72</v>
      </c>
      <c r="AR3241" t="s">
        <v>72</v>
      </c>
      <c r="AS3241">
        <v>3488</v>
      </c>
      <c r="AT3241" s="4">
        <v>42718</v>
      </c>
      <c r="AU3241" t="s">
        <v>73</v>
      </c>
      <c r="AV3241">
        <v>3488</v>
      </c>
      <c r="AW3241" s="4">
        <v>42718</v>
      </c>
      <c r="BD3241">
        <v>121</v>
      </c>
      <c r="BN3241" t="s">
        <v>74</v>
      </c>
    </row>
    <row r="3242" spans="1:66">
      <c r="A3242">
        <v>101150</v>
      </c>
      <c r="B3242" s="3" t="s">
        <v>373</v>
      </c>
      <c r="C3242" s="1">
        <v>43300101</v>
      </c>
      <c r="D3242" t="s">
        <v>67</v>
      </c>
      <c r="H3242" t="str">
        <f t="shared" si="328"/>
        <v>07146020586</v>
      </c>
      <c r="I3242" t="str">
        <f t="shared" si="329"/>
        <v>01696821006</v>
      </c>
      <c r="K3242" t="str">
        <f>""</f>
        <v/>
      </c>
      <c r="M3242" t="s">
        <v>68</v>
      </c>
      <c r="N3242" t="str">
        <f t="shared" si="330"/>
        <v>FOR</v>
      </c>
      <c r="O3242" t="s">
        <v>69</v>
      </c>
      <c r="P3242" s="3" t="s">
        <v>75</v>
      </c>
      <c r="Q3242">
        <v>2015</v>
      </c>
      <c r="R3242" s="2">
        <v>42307</v>
      </c>
      <c r="S3242" s="2">
        <v>42310</v>
      </c>
      <c r="T3242" s="2">
        <v>42308</v>
      </c>
      <c r="U3242" s="2">
        <v>42368</v>
      </c>
      <c r="V3242" t="s">
        <v>71</v>
      </c>
      <c r="W3242" t="str">
        <f>"          1020082257"</f>
        <v xml:space="preserve">          1020082257</v>
      </c>
      <c r="X3242">
        <v>122</v>
      </c>
      <c r="Y3242">
        <v>0</v>
      </c>
      <c r="Z3242" s="3">
        <v>100</v>
      </c>
      <c r="AA3242">
        <v>321</v>
      </c>
      <c r="AB3242" s="5">
        <v>32100</v>
      </c>
      <c r="AC3242">
        <v>100</v>
      </c>
      <c r="AD3242">
        <v>321</v>
      </c>
      <c r="AE3242" s="1">
        <v>32100</v>
      </c>
      <c r="AF3242">
        <v>0</v>
      </c>
      <c r="AJ3242">
        <v>0</v>
      </c>
      <c r="AK3242">
        <v>0</v>
      </c>
      <c r="AL3242">
        <v>0</v>
      </c>
      <c r="AM3242">
        <v>0</v>
      </c>
      <c r="AN3242">
        <v>0</v>
      </c>
      <c r="AO3242">
        <v>0</v>
      </c>
      <c r="AP3242" s="2">
        <v>42746</v>
      </c>
      <c r="AQ3242" t="s">
        <v>72</v>
      </c>
      <c r="AR3242" t="s">
        <v>72</v>
      </c>
      <c r="AS3242">
        <v>3113</v>
      </c>
      <c r="AT3242" s="4">
        <v>42689</v>
      </c>
      <c r="AU3242" t="s">
        <v>73</v>
      </c>
      <c r="AV3242">
        <v>3113</v>
      </c>
      <c r="AW3242" s="4">
        <v>42689</v>
      </c>
      <c r="BD3242">
        <v>0</v>
      </c>
      <c r="BN3242" t="s">
        <v>74</v>
      </c>
    </row>
    <row r="3243" spans="1:66">
      <c r="A3243">
        <v>101150</v>
      </c>
      <c r="B3243" s="3" t="s">
        <v>373</v>
      </c>
      <c r="C3243" s="1">
        <v>43300101</v>
      </c>
      <c r="D3243" t="s">
        <v>67</v>
      </c>
      <c r="H3243" t="str">
        <f t="shared" si="328"/>
        <v>07146020586</v>
      </c>
      <c r="I3243" t="str">
        <f t="shared" si="329"/>
        <v>01696821006</v>
      </c>
      <c r="K3243" t="str">
        <f>""</f>
        <v/>
      </c>
      <c r="M3243" t="s">
        <v>68</v>
      </c>
      <c r="N3243" t="str">
        <f t="shared" si="330"/>
        <v>FOR</v>
      </c>
      <c r="O3243" t="s">
        <v>69</v>
      </c>
      <c r="P3243" s="3" t="s">
        <v>75</v>
      </c>
      <c r="Q3243">
        <v>2015</v>
      </c>
      <c r="R3243" s="2">
        <v>42317</v>
      </c>
      <c r="S3243" s="2">
        <v>42325</v>
      </c>
      <c r="T3243" s="2">
        <v>42321</v>
      </c>
      <c r="U3243" s="2">
        <v>42381</v>
      </c>
      <c r="V3243" t="s">
        <v>71</v>
      </c>
      <c r="W3243" t="str">
        <f>"          1020084044"</f>
        <v xml:space="preserve">          1020084044</v>
      </c>
      <c r="X3243">
        <v>671</v>
      </c>
      <c r="Y3243">
        <v>0</v>
      </c>
      <c r="Z3243" s="3">
        <v>550</v>
      </c>
      <c r="AA3243">
        <v>337</v>
      </c>
      <c r="AB3243" s="5">
        <v>185350</v>
      </c>
      <c r="AC3243">
        <v>550</v>
      </c>
      <c r="AD3243">
        <v>337</v>
      </c>
      <c r="AE3243" s="1">
        <v>185350</v>
      </c>
      <c r="AF3243">
        <v>121</v>
      </c>
      <c r="AJ3243">
        <v>0</v>
      </c>
      <c r="AK3243">
        <v>0</v>
      </c>
      <c r="AL3243">
        <v>0</v>
      </c>
      <c r="AM3243">
        <v>0</v>
      </c>
      <c r="AN3243">
        <v>0</v>
      </c>
      <c r="AO3243">
        <v>0</v>
      </c>
      <c r="AP3243" s="2">
        <v>42746</v>
      </c>
      <c r="AQ3243" t="s">
        <v>72</v>
      </c>
      <c r="AR3243" t="s">
        <v>72</v>
      </c>
      <c r="AS3243">
        <v>3488</v>
      </c>
      <c r="AT3243" s="4">
        <v>42718</v>
      </c>
      <c r="AU3243" t="s">
        <v>73</v>
      </c>
      <c r="AV3243">
        <v>3488</v>
      </c>
      <c r="AW3243" s="4">
        <v>42718</v>
      </c>
      <c r="BD3243">
        <v>121</v>
      </c>
      <c r="BN3243" t="s">
        <v>74</v>
      </c>
    </row>
    <row r="3244" spans="1:66">
      <c r="A3244">
        <v>101150</v>
      </c>
      <c r="B3244" s="3" t="s">
        <v>373</v>
      </c>
      <c r="C3244" s="1">
        <v>43300101</v>
      </c>
      <c r="D3244" t="s">
        <v>67</v>
      </c>
      <c r="H3244" t="str">
        <f t="shared" si="328"/>
        <v>07146020586</v>
      </c>
      <c r="I3244" t="str">
        <f t="shared" si="329"/>
        <v>01696821006</v>
      </c>
      <c r="K3244" t="str">
        <f>""</f>
        <v/>
      </c>
      <c r="M3244" t="s">
        <v>68</v>
      </c>
      <c r="N3244" t="str">
        <f t="shared" si="330"/>
        <v>FOR</v>
      </c>
      <c r="O3244" t="s">
        <v>69</v>
      </c>
      <c r="P3244" s="3" t="s">
        <v>75</v>
      </c>
      <c r="Q3244">
        <v>2015</v>
      </c>
      <c r="R3244" s="2">
        <v>42338</v>
      </c>
      <c r="S3244" s="2">
        <v>42340</v>
      </c>
      <c r="T3244" s="2">
        <v>42339</v>
      </c>
      <c r="U3244" s="2">
        <v>42399</v>
      </c>
      <c r="V3244" t="s">
        <v>71</v>
      </c>
      <c r="W3244" t="str">
        <f>"          1020088803"</f>
        <v xml:space="preserve">          1020088803</v>
      </c>
      <c r="X3244">
        <v>122</v>
      </c>
      <c r="Y3244">
        <v>0</v>
      </c>
      <c r="Z3244" s="3">
        <v>100</v>
      </c>
      <c r="AA3244">
        <v>298</v>
      </c>
      <c r="AB3244" s="5">
        <v>29800</v>
      </c>
      <c r="AC3244">
        <v>100</v>
      </c>
      <c r="AD3244">
        <v>298</v>
      </c>
      <c r="AE3244" s="1">
        <v>29800</v>
      </c>
      <c r="AF3244">
        <v>0</v>
      </c>
      <c r="AJ3244">
        <v>0</v>
      </c>
      <c r="AK3244">
        <v>0</v>
      </c>
      <c r="AL3244">
        <v>0</v>
      </c>
      <c r="AM3244">
        <v>0</v>
      </c>
      <c r="AN3244">
        <v>0</v>
      </c>
      <c r="AO3244">
        <v>0</v>
      </c>
      <c r="AP3244" s="2">
        <v>42746</v>
      </c>
      <c r="AQ3244" t="s">
        <v>72</v>
      </c>
      <c r="AR3244" t="s">
        <v>72</v>
      </c>
      <c r="AS3244">
        <v>3297</v>
      </c>
      <c r="AT3244" s="4">
        <v>42697</v>
      </c>
      <c r="AU3244" t="s">
        <v>73</v>
      </c>
      <c r="AV3244">
        <v>3297</v>
      </c>
      <c r="AW3244" s="4">
        <v>42697</v>
      </c>
      <c r="BD3244">
        <v>0</v>
      </c>
      <c r="BN3244" t="s">
        <v>74</v>
      </c>
    </row>
    <row r="3245" spans="1:66">
      <c r="A3245">
        <v>101150</v>
      </c>
      <c r="B3245" s="3" t="s">
        <v>373</v>
      </c>
      <c r="C3245" s="1">
        <v>43300101</v>
      </c>
      <c r="D3245" t="s">
        <v>67</v>
      </c>
      <c r="H3245" t="str">
        <f t="shared" si="328"/>
        <v>07146020586</v>
      </c>
      <c r="I3245" t="str">
        <f t="shared" si="329"/>
        <v>01696821006</v>
      </c>
      <c r="K3245" t="str">
        <f>""</f>
        <v/>
      </c>
      <c r="M3245" t="s">
        <v>68</v>
      </c>
      <c r="N3245" t="str">
        <f t="shared" si="330"/>
        <v>FOR</v>
      </c>
      <c r="O3245" t="s">
        <v>69</v>
      </c>
      <c r="P3245" s="3" t="s">
        <v>75</v>
      </c>
      <c r="Q3245">
        <v>2015</v>
      </c>
      <c r="R3245" s="2">
        <v>42346</v>
      </c>
      <c r="S3245" s="2">
        <v>42352</v>
      </c>
      <c r="T3245" s="2">
        <v>42346</v>
      </c>
      <c r="U3245" s="2">
        <v>42406</v>
      </c>
      <c r="V3245" t="s">
        <v>71</v>
      </c>
      <c r="W3245" t="str">
        <f>"          1020090449"</f>
        <v xml:space="preserve">          1020090449</v>
      </c>
      <c r="X3245">
        <v>671</v>
      </c>
      <c r="Y3245">
        <v>0</v>
      </c>
      <c r="Z3245" s="3">
        <v>550</v>
      </c>
      <c r="AA3245">
        <v>312</v>
      </c>
      <c r="AB3245" s="5">
        <v>171600</v>
      </c>
      <c r="AC3245">
        <v>550</v>
      </c>
      <c r="AD3245">
        <v>312</v>
      </c>
      <c r="AE3245" s="1">
        <v>171600</v>
      </c>
      <c r="AF3245">
        <v>121</v>
      </c>
      <c r="AJ3245">
        <v>0</v>
      </c>
      <c r="AK3245">
        <v>0</v>
      </c>
      <c r="AL3245">
        <v>0</v>
      </c>
      <c r="AM3245">
        <v>0</v>
      </c>
      <c r="AN3245">
        <v>0</v>
      </c>
      <c r="AO3245">
        <v>0</v>
      </c>
      <c r="AP3245" s="2">
        <v>42746</v>
      </c>
      <c r="AQ3245" t="s">
        <v>72</v>
      </c>
      <c r="AR3245" t="s">
        <v>72</v>
      </c>
      <c r="AS3245">
        <v>3488</v>
      </c>
      <c r="AT3245" s="4">
        <v>42718</v>
      </c>
      <c r="AU3245" t="s">
        <v>73</v>
      </c>
      <c r="AV3245">
        <v>3488</v>
      </c>
      <c r="AW3245" s="4">
        <v>42718</v>
      </c>
      <c r="BD3245">
        <v>121</v>
      </c>
      <c r="BN3245" t="s">
        <v>74</v>
      </c>
    </row>
    <row r="3246" spans="1:66">
      <c r="A3246">
        <v>101150</v>
      </c>
      <c r="B3246" s="3" t="s">
        <v>373</v>
      </c>
      <c r="C3246" s="1">
        <v>43300101</v>
      </c>
      <c r="D3246" t="s">
        <v>67</v>
      </c>
      <c r="H3246" t="str">
        <f t="shared" si="328"/>
        <v>07146020586</v>
      </c>
      <c r="I3246" t="str">
        <f t="shared" si="329"/>
        <v>01696821006</v>
      </c>
      <c r="K3246" t="str">
        <f>""</f>
        <v/>
      </c>
      <c r="M3246" t="s">
        <v>68</v>
      </c>
      <c r="N3246" t="str">
        <f t="shared" si="330"/>
        <v>FOR</v>
      </c>
      <c r="O3246" t="s">
        <v>69</v>
      </c>
      <c r="P3246" s="3" t="s">
        <v>75</v>
      </c>
      <c r="Q3246">
        <v>2015</v>
      </c>
      <c r="R3246" s="2">
        <v>42369</v>
      </c>
      <c r="S3246" s="2">
        <v>42369</v>
      </c>
      <c r="T3246" s="2">
        <v>42369</v>
      </c>
      <c r="U3246" s="2">
        <v>42429</v>
      </c>
      <c r="V3246" t="s">
        <v>71</v>
      </c>
      <c r="W3246" t="str">
        <f>"          1020095552"</f>
        <v xml:space="preserve">          1020095552</v>
      </c>
      <c r="X3246">
        <v>122</v>
      </c>
      <c r="Y3246">
        <v>0</v>
      </c>
      <c r="Z3246" s="3">
        <v>100</v>
      </c>
      <c r="AA3246">
        <v>268</v>
      </c>
      <c r="AB3246" s="5">
        <v>26800</v>
      </c>
      <c r="AC3246">
        <v>100</v>
      </c>
      <c r="AD3246">
        <v>268</v>
      </c>
      <c r="AE3246" s="1">
        <v>26800</v>
      </c>
      <c r="AF3246">
        <v>0</v>
      </c>
      <c r="AJ3246">
        <v>0</v>
      </c>
      <c r="AK3246">
        <v>0</v>
      </c>
      <c r="AL3246">
        <v>0</v>
      </c>
      <c r="AM3246">
        <v>0</v>
      </c>
      <c r="AN3246">
        <v>0</v>
      </c>
      <c r="AO3246">
        <v>0</v>
      </c>
      <c r="AP3246" s="2">
        <v>42746</v>
      </c>
      <c r="AQ3246" t="s">
        <v>72</v>
      </c>
      <c r="AR3246" t="s">
        <v>72</v>
      </c>
      <c r="AS3246">
        <v>3297</v>
      </c>
      <c r="AT3246" s="4">
        <v>42697</v>
      </c>
      <c r="AU3246" t="s">
        <v>73</v>
      </c>
      <c r="AV3246">
        <v>3297</v>
      </c>
      <c r="AW3246" s="4">
        <v>42697</v>
      </c>
      <c r="BD3246">
        <v>0</v>
      </c>
      <c r="BN3246" t="s">
        <v>74</v>
      </c>
    </row>
    <row r="3247" spans="1:66" hidden="1">
      <c r="A3247">
        <v>101152</v>
      </c>
      <c r="B3247" s="3" t="s">
        <v>374</v>
      </c>
      <c r="C3247" s="1">
        <v>43300101</v>
      </c>
      <c r="D3247" t="s">
        <v>67</v>
      </c>
      <c r="H3247" t="str">
        <f>"01811530649"</f>
        <v>01811530649</v>
      </c>
      <c r="I3247" t="str">
        <f>"01811530649"</f>
        <v>01811530649</v>
      </c>
      <c r="K3247" t="str">
        <f>""</f>
        <v/>
      </c>
      <c r="M3247" t="s">
        <v>68</v>
      </c>
      <c r="N3247" t="str">
        <f t="shared" si="330"/>
        <v>FOR</v>
      </c>
      <c r="O3247" t="s">
        <v>69</v>
      </c>
      <c r="P3247" s="3" t="s">
        <v>75</v>
      </c>
      <c r="Q3247">
        <v>2016</v>
      </c>
      <c r="R3247" s="2">
        <v>42578</v>
      </c>
      <c r="S3247" s="2">
        <v>42580</v>
      </c>
      <c r="T3247" s="2">
        <v>42578</v>
      </c>
      <c r="U3247" s="2">
        <v>42638</v>
      </c>
      <c r="V3247" t="s">
        <v>71</v>
      </c>
      <c r="W3247" t="str">
        <f>"                 E01"</f>
        <v xml:space="preserve">                 E01</v>
      </c>
      <c r="X3247">
        <v>488</v>
      </c>
      <c r="Y3247">
        <v>0</v>
      </c>
      <c r="Z3247"/>
      <c r="AB3247"/>
      <c r="AC3247">
        <v>400</v>
      </c>
      <c r="AD3247">
        <v>-58</v>
      </c>
      <c r="AE3247" s="1">
        <v>-23200</v>
      </c>
      <c r="AF3247">
        <v>0</v>
      </c>
      <c r="AJ3247">
        <v>0</v>
      </c>
      <c r="AK3247">
        <v>0</v>
      </c>
      <c r="AL3247">
        <v>0</v>
      </c>
      <c r="AM3247">
        <v>488</v>
      </c>
      <c r="AN3247">
        <v>488</v>
      </c>
      <c r="AO3247">
        <v>488</v>
      </c>
      <c r="AP3247" s="2">
        <v>42746</v>
      </c>
      <c r="AQ3247" t="s">
        <v>72</v>
      </c>
      <c r="AR3247" t="s">
        <v>72</v>
      </c>
      <c r="AS3247">
        <v>2041</v>
      </c>
      <c r="AT3247" s="4">
        <v>42580</v>
      </c>
      <c r="AV3247">
        <v>2041</v>
      </c>
      <c r="AW3247" s="4">
        <v>42580</v>
      </c>
      <c r="BD3247">
        <v>0</v>
      </c>
      <c r="BN3247" t="s">
        <v>74</v>
      </c>
    </row>
    <row r="3248" spans="1:66">
      <c r="A3248">
        <v>101152</v>
      </c>
      <c r="B3248" s="3" t="s">
        <v>374</v>
      </c>
      <c r="C3248" s="1">
        <v>43300101</v>
      </c>
      <c r="D3248" t="s">
        <v>67</v>
      </c>
      <c r="H3248" t="str">
        <f>"01811530649"</f>
        <v>01811530649</v>
      </c>
      <c r="I3248" t="str">
        <f>"01811530649"</f>
        <v>01811530649</v>
      </c>
      <c r="K3248" t="str">
        <f>""</f>
        <v/>
      </c>
      <c r="M3248" t="s">
        <v>68</v>
      </c>
      <c r="N3248" t="str">
        <f t="shared" si="330"/>
        <v>FOR</v>
      </c>
      <c r="O3248" t="s">
        <v>69</v>
      </c>
      <c r="P3248" s="3" t="s">
        <v>75</v>
      </c>
      <c r="Q3248">
        <v>2016</v>
      </c>
      <c r="R3248" s="2">
        <v>42643</v>
      </c>
      <c r="S3248" s="2">
        <v>42688</v>
      </c>
      <c r="T3248" s="2">
        <v>42682</v>
      </c>
      <c r="U3248" s="2">
        <v>42742</v>
      </c>
      <c r="V3248" t="s">
        <v>71</v>
      </c>
      <c r="W3248" t="str">
        <f>"                 E02"</f>
        <v xml:space="preserve">                 E02</v>
      </c>
      <c r="X3248" s="1">
        <v>3294</v>
      </c>
      <c r="Y3248">
        <v>0</v>
      </c>
      <c r="Z3248" s="5">
        <v>2700</v>
      </c>
      <c r="AA3248">
        <v>-45</v>
      </c>
      <c r="AB3248" s="5">
        <v>-121500</v>
      </c>
      <c r="AC3248" s="1">
        <v>2700</v>
      </c>
      <c r="AD3248">
        <v>-45</v>
      </c>
      <c r="AE3248" s="1">
        <v>-121500</v>
      </c>
      <c r="AF3248">
        <v>0</v>
      </c>
      <c r="AJ3248">
        <v>0</v>
      </c>
      <c r="AK3248" s="1">
        <v>3294</v>
      </c>
      <c r="AL3248">
        <v>0</v>
      </c>
      <c r="AM3248" s="1">
        <v>3294</v>
      </c>
      <c r="AN3248" s="1">
        <v>3294</v>
      </c>
      <c r="AO3248" s="1">
        <v>3294</v>
      </c>
      <c r="AP3248" s="2">
        <v>42746</v>
      </c>
      <c r="AQ3248" t="s">
        <v>72</v>
      </c>
      <c r="AR3248" t="s">
        <v>72</v>
      </c>
      <c r="AS3248">
        <v>3289</v>
      </c>
      <c r="AT3248" s="4">
        <v>42697</v>
      </c>
      <c r="AV3248">
        <v>3289</v>
      </c>
      <c r="AW3248" s="4">
        <v>42697</v>
      </c>
      <c r="BD3248">
        <v>0</v>
      </c>
      <c r="BN3248" t="s">
        <v>74</v>
      </c>
    </row>
    <row r="3249" spans="1:66" hidden="1">
      <c r="A3249">
        <v>101162</v>
      </c>
      <c r="B3249" s="3" t="s">
        <v>375</v>
      </c>
      <c r="C3249" s="1">
        <v>43300101</v>
      </c>
      <c r="D3249" t="s">
        <v>67</v>
      </c>
      <c r="H3249" t="str">
        <f>"00348170101"</f>
        <v>00348170101</v>
      </c>
      <c r="I3249" t="str">
        <f>"00348170101"</f>
        <v>00348170101</v>
      </c>
      <c r="K3249" t="str">
        <f>""</f>
        <v/>
      </c>
      <c r="M3249" t="s">
        <v>68</v>
      </c>
      <c r="N3249" t="str">
        <f t="shared" si="330"/>
        <v>FOR</v>
      </c>
      <c r="O3249" t="s">
        <v>69</v>
      </c>
      <c r="P3249" s="3" t="s">
        <v>75</v>
      </c>
      <c r="Q3249">
        <v>2016</v>
      </c>
      <c r="R3249" s="2">
        <v>42433</v>
      </c>
      <c r="S3249" s="2">
        <v>42437</v>
      </c>
      <c r="T3249" s="2">
        <v>42436</v>
      </c>
      <c r="U3249" s="2">
        <v>42496</v>
      </c>
      <c r="V3249" t="s">
        <v>71</v>
      </c>
      <c r="W3249" t="str">
        <f>"          1000000379"</f>
        <v xml:space="preserve">          1000000379</v>
      </c>
      <c r="X3249" s="1">
        <v>64417</v>
      </c>
      <c r="Y3249">
        <v>0</v>
      </c>
      <c r="Z3249"/>
      <c r="AB3249"/>
      <c r="AC3249" s="1">
        <v>64417</v>
      </c>
      <c r="AD3249">
        <v>87</v>
      </c>
      <c r="AE3249" s="1">
        <v>5604279</v>
      </c>
      <c r="AF3249">
        <v>0</v>
      </c>
      <c r="AJ3249">
        <v>0</v>
      </c>
      <c r="AK3249">
        <v>0</v>
      </c>
      <c r="AL3249">
        <v>0</v>
      </c>
      <c r="AM3249">
        <v>0</v>
      </c>
      <c r="AN3249" s="1">
        <v>64417</v>
      </c>
      <c r="AO3249" s="1">
        <v>64417</v>
      </c>
      <c r="AP3249" s="2">
        <v>42746</v>
      </c>
      <c r="AQ3249" t="s">
        <v>72</v>
      </c>
      <c r="AR3249" t="s">
        <v>72</v>
      </c>
      <c r="AS3249">
        <v>2056</v>
      </c>
      <c r="AT3249" s="4">
        <v>42583</v>
      </c>
      <c r="AU3249" t="s">
        <v>73</v>
      </c>
      <c r="AV3249">
        <v>2056</v>
      </c>
      <c r="AW3249" s="4">
        <v>42583</v>
      </c>
      <c r="BD3249">
        <v>0</v>
      </c>
      <c r="BN3249" t="s">
        <v>74</v>
      </c>
    </row>
    <row r="3250" spans="1:66" hidden="1">
      <c r="A3250">
        <v>101170</v>
      </c>
      <c r="B3250" s="3" t="s">
        <v>376</v>
      </c>
      <c r="C3250" s="1">
        <v>43300101</v>
      </c>
      <c r="D3250" t="s">
        <v>67</v>
      </c>
      <c r="H3250" t="str">
        <f t="shared" ref="H3250:I3269" si="331">"00527500540"</f>
        <v>00527500540</v>
      </c>
      <c r="I3250" t="str">
        <f t="shared" si="331"/>
        <v>00527500540</v>
      </c>
      <c r="K3250" t="str">
        <f>""</f>
        <v/>
      </c>
      <c r="M3250" t="s">
        <v>68</v>
      </c>
      <c r="N3250" t="str">
        <f t="shared" si="330"/>
        <v>FOR</v>
      </c>
      <c r="O3250" t="s">
        <v>69</v>
      </c>
      <c r="P3250" s="3" t="s">
        <v>78</v>
      </c>
      <c r="Q3250">
        <v>2013</v>
      </c>
      <c r="R3250" s="2">
        <v>41394</v>
      </c>
      <c r="S3250" s="2">
        <v>41445</v>
      </c>
      <c r="T3250" s="2">
        <v>41445</v>
      </c>
      <c r="U3250" s="2">
        <v>41535</v>
      </c>
      <c r="V3250" t="s">
        <v>71</v>
      </c>
      <c r="W3250" t="str">
        <f>"              300547"</f>
        <v xml:space="preserve">              300547</v>
      </c>
      <c r="X3250" s="1">
        <v>42609.79</v>
      </c>
      <c r="Y3250">
        <v>0</v>
      </c>
      <c r="Z3250"/>
      <c r="AB3250"/>
      <c r="AC3250" s="1">
        <v>42609.79</v>
      </c>
      <c r="AD3250">
        <v>1000</v>
      </c>
      <c r="AE3250" s="1">
        <v>42609790</v>
      </c>
      <c r="AF3250">
        <v>0</v>
      </c>
      <c r="AJ3250">
        <v>0</v>
      </c>
      <c r="AK3250">
        <v>0</v>
      </c>
      <c r="AL3250">
        <v>0</v>
      </c>
      <c r="AM3250">
        <v>0</v>
      </c>
      <c r="AN3250">
        <v>0</v>
      </c>
      <c r="AO3250">
        <v>0</v>
      </c>
      <c r="AP3250" s="2">
        <v>42746</v>
      </c>
      <c r="AQ3250" t="s">
        <v>72</v>
      </c>
      <c r="AR3250" t="s">
        <v>72</v>
      </c>
      <c r="AS3250">
        <v>1614</v>
      </c>
      <c r="AT3250" s="4">
        <v>42535</v>
      </c>
      <c r="AU3250" t="s">
        <v>73</v>
      </c>
      <c r="AV3250">
        <v>1614</v>
      </c>
      <c r="AW3250" s="4">
        <v>42535</v>
      </c>
      <c r="BD3250">
        <v>0</v>
      </c>
      <c r="BN3250" t="s">
        <v>74</v>
      </c>
    </row>
    <row r="3251" spans="1:66" hidden="1">
      <c r="A3251">
        <v>101170</v>
      </c>
      <c r="B3251" s="3" t="s">
        <v>376</v>
      </c>
      <c r="C3251" s="1">
        <v>43300101</v>
      </c>
      <c r="D3251" t="s">
        <v>67</v>
      </c>
      <c r="H3251" t="str">
        <f t="shared" si="331"/>
        <v>00527500540</v>
      </c>
      <c r="I3251" t="str">
        <f t="shared" si="331"/>
        <v>00527500540</v>
      </c>
      <c r="K3251" t="str">
        <f>""</f>
        <v/>
      </c>
      <c r="M3251" t="s">
        <v>68</v>
      </c>
      <c r="N3251" t="str">
        <f t="shared" si="330"/>
        <v>FOR</v>
      </c>
      <c r="O3251" t="s">
        <v>69</v>
      </c>
      <c r="P3251" s="3" t="s">
        <v>70</v>
      </c>
      <c r="Q3251">
        <v>2014</v>
      </c>
      <c r="R3251" s="2">
        <v>41729</v>
      </c>
      <c r="S3251" s="2">
        <v>42534</v>
      </c>
      <c r="T3251" s="2">
        <v>42534</v>
      </c>
      <c r="U3251" s="2">
        <v>42594</v>
      </c>
      <c r="V3251" t="s">
        <v>71</v>
      </c>
      <c r="W3251" t="str">
        <f>"              300421"</f>
        <v xml:space="preserve">              300421</v>
      </c>
      <c r="X3251" s="1">
        <v>42961.93</v>
      </c>
      <c r="Y3251">
        <v>0</v>
      </c>
      <c r="Z3251"/>
      <c r="AB3251"/>
      <c r="AC3251" s="1">
        <v>42961.93</v>
      </c>
      <c r="AD3251">
        <v>-59</v>
      </c>
      <c r="AE3251" s="1">
        <v>-2534753.87</v>
      </c>
      <c r="AF3251">
        <v>0</v>
      </c>
      <c r="AJ3251">
        <v>0</v>
      </c>
      <c r="AK3251">
        <v>0</v>
      </c>
      <c r="AL3251">
        <v>0</v>
      </c>
      <c r="AM3251">
        <v>0</v>
      </c>
      <c r="AN3251" s="1">
        <v>42961.93</v>
      </c>
      <c r="AO3251">
        <v>0</v>
      </c>
      <c r="AP3251" s="2">
        <v>42746</v>
      </c>
      <c r="AQ3251" t="s">
        <v>72</v>
      </c>
      <c r="AR3251" t="s">
        <v>72</v>
      </c>
      <c r="AS3251">
        <v>1614</v>
      </c>
      <c r="AT3251" s="4">
        <v>42535</v>
      </c>
      <c r="AV3251">
        <v>1614</v>
      </c>
      <c r="AW3251" s="4">
        <v>42535</v>
      </c>
      <c r="BD3251">
        <v>0</v>
      </c>
      <c r="BN3251" t="s">
        <v>74</v>
      </c>
    </row>
    <row r="3252" spans="1:66" hidden="1">
      <c r="A3252">
        <v>101170</v>
      </c>
      <c r="B3252" s="3" t="s">
        <v>376</v>
      </c>
      <c r="C3252" s="1">
        <v>43300101</v>
      </c>
      <c r="D3252" t="s">
        <v>67</v>
      </c>
      <c r="H3252" t="str">
        <f t="shared" si="331"/>
        <v>00527500540</v>
      </c>
      <c r="I3252" t="str">
        <f t="shared" si="331"/>
        <v>00527500540</v>
      </c>
      <c r="K3252" t="str">
        <f>""</f>
        <v/>
      </c>
      <c r="M3252" t="s">
        <v>68</v>
      </c>
      <c r="N3252" t="str">
        <f t="shared" si="330"/>
        <v>FOR</v>
      </c>
      <c r="O3252" t="s">
        <v>69</v>
      </c>
      <c r="P3252" s="3" t="s">
        <v>70</v>
      </c>
      <c r="Q3252">
        <v>2014</v>
      </c>
      <c r="R3252" s="2">
        <v>41729</v>
      </c>
      <c r="S3252" s="2">
        <v>42534</v>
      </c>
      <c r="T3252" s="2">
        <v>42534</v>
      </c>
      <c r="U3252" s="2">
        <v>42594</v>
      </c>
      <c r="V3252" t="s">
        <v>71</v>
      </c>
      <c r="W3252" t="str">
        <f>"              300422"</f>
        <v xml:space="preserve">              300422</v>
      </c>
      <c r="X3252" s="1">
        <v>42961.93</v>
      </c>
      <c r="Y3252">
        <v>0</v>
      </c>
      <c r="Z3252"/>
      <c r="AB3252"/>
      <c r="AC3252" s="1">
        <v>42961.93</v>
      </c>
      <c r="AD3252">
        <v>-59</v>
      </c>
      <c r="AE3252" s="1">
        <v>-2534753.87</v>
      </c>
      <c r="AF3252">
        <v>0</v>
      </c>
      <c r="AJ3252">
        <v>0</v>
      </c>
      <c r="AK3252">
        <v>0</v>
      </c>
      <c r="AL3252">
        <v>0</v>
      </c>
      <c r="AM3252">
        <v>0</v>
      </c>
      <c r="AN3252" s="1">
        <v>42961.93</v>
      </c>
      <c r="AO3252">
        <v>0</v>
      </c>
      <c r="AP3252" s="2">
        <v>42746</v>
      </c>
      <c r="AQ3252" t="s">
        <v>72</v>
      </c>
      <c r="AR3252" t="s">
        <v>72</v>
      </c>
      <c r="AS3252">
        <v>1614</v>
      </c>
      <c r="AT3252" s="4">
        <v>42535</v>
      </c>
      <c r="AV3252">
        <v>1614</v>
      </c>
      <c r="AW3252" s="4">
        <v>42535</v>
      </c>
      <c r="BD3252">
        <v>0</v>
      </c>
      <c r="BN3252" t="s">
        <v>74</v>
      </c>
    </row>
    <row r="3253" spans="1:66" hidden="1">
      <c r="A3253">
        <v>101170</v>
      </c>
      <c r="B3253" s="3" t="s">
        <v>376</v>
      </c>
      <c r="C3253" s="1">
        <v>43300101</v>
      </c>
      <c r="D3253" t="s">
        <v>67</v>
      </c>
      <c r="H3253" t="str">
        <f t="shared" si="331"/>
        <v>00527500540</v>
      </c>
      <c r="I3253" t="str">
        <f t="shared" si="331"/>
        <v>00527500540</v>
      </c>
      <c r="K3253" t="str">
        <f>""</f>
        <v/>
      </c>
      <c r="M3253" t="s">
        <v>68</v>
      </c>
      <c r="N3253" t="str">
        <f t="shared" si="330"/>
        <v>FOR</v>
      </c>
      <c r="O3253" t="s">
        <v>69</v>
      </c>
      <c r="P3253" s="3" t="s">
        <v>70</v>
      </c>
      <c r="Q3253">
        <v>2014</v>
      </c>
      <c r="R3253" s="2">
        <v>41729</v>
      </c>
      <c r="S3253" s="2">
        <v>42534</v>
      </c>
      <c r="T3253" s="2">
        <v>42534</v>
      </c>
      <c r="U3253" s="2">
        <v>42594</v>
      </c>
      <c r="V3253" t="s">
        <v>71</v>
      </c>
      <c r="W3253" t="str">
        <f>"              300423"</f>
        <v xml:space="preserve">              300423</v>
      </c>
      <c r="X3253" s="1">
        <v>42961.93</v>
      </c>
      <c r="Y3253">
        <v>0</v>
      </c>
      <c r="Z3253"/>
      <c r="AB3253"/>
      <c r="AC3253" s="1">
        <v>42961.93</v>
      </c>
      <c r="AD3253">
        <v>-59</v>
      </c>
      <c r="AE3253" s="1">
        <v>-2534753.87</v>
      </c>
      <c r="AF3253">
        <v>0</v>
      </c>
      <c r="AJ3253">
        <v>0</v>
      </c>
      <c r="AK3253">
        <v>0</v>
      </c>
      <c r="AL3253">
        <v>0</v>
      </c>
      <c r="AM3253">
        <v>0</v>
      </c>
      <c r="AN3253" s="1">
        <v>42961.93</v>
      </c>
      <c r="AO3253">
        <v>0</v>
      </c>
      <c r="AP3253" s="2">
        <v>42746</v>
      </c>
      <c r="AQ3253" t="s">
        <v>72</v>
      </c>
      <c r="AR3253" t="s">
        <v>72</v>
      </c>
      <c r="AS3253">
        <v>1614</v>
      </c>
      <c r="AT3253" s="4">
        <v>42535</v>
      </c>
      <c r="AV3253">
        <v>1614</v>
      </c>
      <c r="AW3253" s="4">
        <v>42535</v>
      </c>
      <c r="BD3253">
        <v>0</v>
      </c>
      <c r="BN3253" t="s">
        <v>74</v>
      </c>
    </row>
    <row r="3254" spans="1:66" hidden="1">
      <c r="A3254">
        <v>101170</v>
      </c>
      <c r="B3254" s="3" t="s">
        <v>376</v>
      </c>
      <c r="C3254" s="1">
        <v>43300101</v>
      </c>
      <c r="D3254" t="s">
        <v>67</v>
      </c>
      <c r="H3254" t="str">
        <f t="shared" si="331"/>
        <v>00527500540</v>
      </c>
      <c r="I3254" t="str">
        <f t="shared" si="331"/>
        <v>00527500540</v>
      </c>
      <c r="K3254" t="str">
        <f>""</f>
        <v/>
      </c>
      <c r="M3254" t="s">
        <v>68</v>
      </c>
      <c r="N3254" t="str">
        <f t="shared" si="330"/>
        <v>FOR</v>
      </c>
      <c r="O3254" t="s">
        <v>69</v>
      </c>
      <c r="P3254" s="3" t="s">
        <v>70</v>
      </c>
      <c r="Q3254">
        <v>2014</v>
      </c>
      <c r="R3254" s="2">
        <v>41729</v>
      </c>
      <c r="S3254" s="2">
        <v>42534</v>
      </c>
      <c r="T3254" s="2">
        <v>42534</v>
      </c>
      <c r="U3254" s="2">
        <v>42594</v>
      </c>
      <c r="V3254" t="s">
        <v>71</v>
      </c>
      <c r="W3254" t="str">
        <f>"              300424"</f>
        <v xml:space="preserve">              300424</v>
      </c>
      <c r="X3254" s="1">
        <v>42961.93</v>
      </c>
      <c r="Y3254">
        <v>0</v>
      </c>
      <c r="Z3254"/>
      <c r="AB3254"/>
      <c r="AC3254" s="1">
        <v>42961.93</v>
      </c>
      <c r="AD3254">
        <v>-59</v>
      </c>
      <c r="AE3254" s="1">
        <v>-2534753.87</v>
      </c>
      <c r="AF3254">
        <v>0</v>
      </c>
      <c r="AJ3254">
        <v>0</v>
      </c>
      <c r="AK3254">
        <v>0</v>
      </c>
      <c r="AL3254">
        <v>0</v>
      </c>
      <c r="AM3254">
        <v>0</v>
      </c>
      <c r="AN3254" s="1">
        <v>42961.93</v>
      </c>
      <c r="AO3254">
        <v>0</v>
      </c>
      <c r="AP3254" s="2">
        <v>42746</v>
      </c>
      <c r="AQ3254" t="s">
        <v>72</v>
      </c>
      <c r="AR3254" t="s">
        <v>72</v>
      </c>
      <c r="AS3254">
        <v>1614</v>
      </c>
      <c r="AT3254" s="4">
        <v>42535</v>
      </c>
      <c r="AV3254">
        <v>1614</v>
      </c>
      <c r="AW3254" s="4">
        <v>42535</v>
      </c>
      <c r="BD3254">
        <v>0</v>
      </c>
      <c r="BN3254" t="s">
        <v>74</v>
      </c>
    </row>
    <row r="3255" spans="1:66" hidden="1">
      <c r="A3255">
        <v>101170</v>
      </c>
      <c r="B3255" s="3" t="s">
        <v>376</v>
      </c>
      <c r="C3255" s="1">
        <v>43300101</v>
      </c>
      <c r="D3255" t="s">
        <v>67</v>
      </c>
      <c r="H3255" t="str">
        <f t="shared" si="331"/>
        <v>00527500540</v>
      </c>
      <c r="I3255" t="str">
        <f t="shared" si="331"/>
        <v>00527500540</v>
      </c>
      <c r="K3255" t="str">
        <f>""</f>
        <v/>
      </c>
      <c r="M3255" t="s">
        <v>68</v>
      </c>
      <c r="N3255" t="str">
        <f t="shared" si="330"/>
        <v>FOR</v>
      </c>
      <c r="O3255" t="s">
        <v>69</v>
      </c>
      <c r="P3255" s="3" t="s">
        <v>70</v>
      </c>
      <c r="Q3255">
        <v>2014</v>
      </c>
      <c r="R3255" s="2">
        <v>41729</v>
      </c>
      <c r="S3255" s="2">
        <v>42534</v>
      </c>
      <c r="T3255" s="2">
        <v>42534</v>
      </c>
      <c r="U3255" s="2">
        <v>42594</v>
      </c>
      <c r="V3255" t="s">
        <v>71</v>
      </c>
      <c r="W3255" t="str">
        <f>"              300425"</f>
        <v xml:space="preserve">              300425</v>
      </c>
      <c r="X3255" s="1">
        <v>42961.93</v>
      </c>
      <c r="Y3255">
        <v>0</v>
      </c>
      <c r="Z3255"/>
      <c r="AB3255"/>
      <c r="AC3255" s="1">
        <v>42961.93</v>
      </c>
      <c r="AD3255">
        <v>-59</v>
      </c>
      <c r="AE3255" s="1">
        <v>-2534753.87</v>
      </c>
      <c r="AF3255">
        <v>0</v>
      </c>
      <c r="AJ3255">
        <v>0</v>
      </c>
      <c r="AK3255">
        <v>0</v>
      </c>
      <c r="AL3255">
        <v>0</v>
      </c>
      <c r="AM3255">
        <v>0</v>
      </c>
      <c r="AN3255" s="1">
        <v>42961.93</v>
      </c>
      <c r="AO3255">
        <v>0</v>
      </c>
      <c r="AP3255" s="2">
        <v>42746</v>
      </c>
      <c r="AQ3255" t="s">
        <v>72</v>
      </c>
      <c r="AR3255" t="s">
        <v>72</v>
      </c>
      <c r="AS3255">
        <v>1614</v>
      </c>
      <c r="AT3255" s="4">
        <v>42535</v>
      </c>
      <c r="AV3255">
        <v>1614</v>
      </c>
      <c r="AW3255" s="4">
        <v>42535</v>
      </c>
      <c r="BD3255">
        <v>0</v>
      </c>
      <c r="BN3255" t="s">
        <v>74</v>
      </c>
    </row>
    <row r="3256" spans="1:66" hidden="1">
      <c r="A3256">
        <v>101170</v>
      </c>
      <c r="B3256" s="3" t="s">
        <v>376</v>
      </c>
      <c r="C3256" s="1">
        <v>43300101</v>
      </c>
      <c r="D3256" t="s">
        <v>67</v>
      </c>
      <c r="H3256" t="str">
        <f t="shared" si="331"/>
        <v>00527500540</v>
      </c>
      <c r="I3256" t="str">
        <f t="shared" si="331"/>
        <v>00527500540</v>
      </c>
      <c r="K3256" t="str">
        <f>""</f>
        <v/>
      </c>
      <c r="M3256" t="s">
        <v>68</v>
      </c>
      <c r="N3256" t="str">
        <f t="shared" si="330"/>
        <v>FOR</v>
      </c>
      <c r="O3256" t="s">
        <v>69</v>
      </c>
      <c r="P3256" s="3" t="s">
        <v>70</v>
      </c>
      <c r="Q3256">
        <v>2014</v>
      </c>
      <c r="R3256" s="2">
        <v>41759</v>
      </c>
      <c r="S3256" s="2">
        <v>42534</v>
      </c>
      <c r="T3256" s="2">
        <v>42534</v>
      </c>
      <c r="U3256" s="2">
        <v>42594</v>
      </c>
      <c r="V3256" t="s">
        <v>71</v>
      </c>
      <c r="W3256" t="str">
        <f>"              300481"</f>
        <v xml:space="preserve">              300481</v>
      </c>
      <c r="X3256" s="1">
        <v>42961.93</v>
      </c>
      <c r="Y3256">
        <v>0</v>
      </c>
      <c r="Z3256"/>
      <c r="AB3256"/>
      <c r="AC3256" s="1">
        <v>42961.93</v>
      </c>
      <c r="AD3256">
        <v>-59</v>
      </c>
      <c r="AE3256" s="1">
        <v>-2534753.87</v>
      </c>
      <c r="AF3256">
        <v>0</v>
      </c>
      <c r="AJ3256">
        <v>0</v>
      </c>
      <c r="AK3256">
        <v>0</v>
      </c>
      <c r="AL3256">
        <v>0</v>
      </c>
      <c r="AM3256">
        <v>0</v>
      </c>
      <c r="AN3256" s="1">
        <v>42961.93</v>
      </c>
      <c r="AO3256">
        <v>0</v>
      </c>
      <c r="AP3256" s="2">
        <v>42746</v>
      </c>
      <c r="AQ3256" t="s">
        <v>72</v>
      </c>
      <c r="AR3256" t="s">
        <v>72</v>
      </c>
      <c r="AS3256">
        <v>1614</v>
      </c>
      <c r="AT3256" s="4">
        <v>42535</v>
      </c>
      <c r="AV3256">
        <v>1614</v>
      </c>
      <c r="AW3256" s="4">
        <v>42535</v>
      </c>
      <c r="BD3256">
        <v>0</v>
      </c>
      <c r="BN3256" t="s">
        <v>74</v>
      </c>
    </row>
    <row r="3257" spans="1:66">
      <c r="A3257">
        <v>101170</v>
      </c>
      <c r="B3257" s="3" t="s">
        <v>376</v>
      </c>
      <c r="C3257" s="1">
        <v>43300101</v>
      </c>
      <c r="D3257" t="s">
        <v>67</v>
      </c>
      <c r="H3257" t="str">
        <f t="shared" si="331"/>
        <v>00527500540</v>
      </c>
      <c r="I3257" t="str">
        <f t="shared" si="331"/>
        <v>00527500540</v>
      </c>
      <c r="K3257" t="str">
        <f>""</f>
        <v/>
      </c>
      <c r="M3257" t="s">
        <v>68</v>
      </c>
      <c r="N3257" t="str">
        <f t="shared" si="330"/>
        <v>FOR</v>
      </c>
      <c r="O3257" t="s">
        <v>69</v>
      </c>
      <c r="P3257" s="3" t="s">
        <v>78</v>
      </c>
      <c r="Q3257">
        <v>2014</v>
      </c>
      <c r="R3257" s="2">
        <v>41670</v>
      </c>
      <c r="S3257" s="2">
        <v>41711</v>
      </c>
      <c r="T3257" s="2">
        <v>41711</v>
      </c>
      <c r="U3257" s="2">
        <v>41802</v>
      </c>
      <c r="V3257" t="s">
        <v>71</v>
      </c>
      <c r="W3257" t="str">
        <f>"              600220"</f>
        <v xml:space="preserve">              600220</v>
      </c>
      <c r="X3257" s="1">
        <v>16705.46</v>
      </c>
      <c r="Y3257">
        <v>0</v>
      </c>
      <c r="Z3257" s="5">
        <v>16705.46</v>
      </c>
      <c r="AA3257">
        <v>882</v>
      </c>
      <c r="AB3257" s="5">
        <v>14734215.720000001</v>
      </c>
      <c r="AC3257" s="1">
        <v>16705.46</v>
      </c>
      <c r="AD3257">
        <v>882</v>
      </c>
      <c r="AE3257" s="1">
        <v>14734215.720000001</v>
      </c>
      <c r="AF3257">
        <v>0</v>
      </c>
      <c r="AJ3257">
        <v>0</v>
      </c>
      <c r="AK3257">
        <v>0</v>
      </c>
      <c r="AL3257">
        <v>0</v>
      </c>
      <c r="AM3257">
        <v>0</v>
      </c>
      <c r="AN3257">
        <v>0</v>
      </c>
      <c r="AO3257">
        <v>0</v>
      </c>
      <c r="AP3257" s="2">
        <v>42746</v>
      </c>
      <c r="AQ3257" t="s">
        <v>72</v>
      </c>
      <c r="AR3257" t="s">
        <v>72</v>
      </c>
      <c r="AS3257">
        <v>3050</v>
      </c>
      <c r="AT3257" s="4">
        <v>42684</v>
      </c>
      <c r="AU3257" t="s">
        <v>73</v>
      </c>
      <c r="AV3257">
        <v>3050</v>
      </c>
      <c r="AW3257" s="4">
        <v>42684</v>
      </c>
      <c r="BD3257">
        <v>0</v>
      </c>
      <c r="BN3257" t="s">
        <v>74</v>
      </c>
    </row>
    <row r="3258" spans="1:66">
      <c r="A3258">
        <v>101170</v>
      </c>
      <c r="B3258" s="3" t="s">
        <v>376</v>
      </c>
      <c r="C3258" s="1">
        <v>43300101</v>
      </c>
      <c r="D3258" t="s">
        <v>67</v>
      </c>
      <c r="H3258" t="str">
        <f t="shared" si="331"/>
        <v>00527500540</v>
      </c>
      <c r="I3258" t="str">
        <f t="shared" si="331"/>
        <v>00527500540</v>
      </c>
      <c r="K3258" t="str">
        <f>""</f>
        <v/>
      </c>
      <c r="M3258" t="s">
        <v>68</v>
      </c>
      <c r="N3258" t="str">
        <f t="shared" ref="N3258:N3289" si="332">"FOR"</f>
        <v>FOR</v>
      </c>
      <c r="O3258" t="s">
        <v>69</v>
      </c>
      <c r="P3258" s="3" t="s">
        <v>78</v>
      </c>
      <c r="Q3258">
        <v>2014</v>
      </c>
      <c r="R3258" s="2">
        <v>41670</v>
      </c>
      <c r="S3258" s="2">
        <v>41711</v>
      </c>
      <c r="T3258" s="2">
        <v>41711</v>
      </c>
      <c r="U3258" s="2">
        <v>41802</v>
      </c>
      <c r="V3258" t="s">
        <v>71</v>
      </c>
      <c r="W3258" t="str">
        <f>"              600226"</f>
        <v xml:space="preserve">              600226</v>
      </c>
      <c r="X3258" s="1">
        <v>10446.86</v>
      </c>
      <c r="Y3258">
        <v>0</v>
      </c>
      <c r="Z3258" s="5">
        <v>10446.86</v>
      </c>
      <c r="AA3258">
        <v>882</v>
      </c>
      <c r="AB3258" s="5">
        <v>9214130.5199999996</v>
      </c>
      <c r="AC3258" s="1">
        <v>10446.86</v>
      </c>
      <c r="AD3258">
        <v>882</v>
      </c>
      <c r="AE3258" s="1">
        <v>9214130.5199999996</v>
      </c>
      <c r="AF3258">
        <v>0</v>
      </c>
      <c r="AJ3258">
        <v>0</v>
      </c>
      <c r="AK3258">
        <v>0</v>
      </c>
      <c r="AL3258">
        <v>0</v>
      </c>
      <c r="AM3258">
        <v>0</v>
      </c>
      <c r="AN3258">
        <v>0</v>
      </c>
      <c r="AO3258">
        <v>0</v>
      </c>
      <c r="AP3258" s="2">
        <v>42746</v>
      </c>
      <c r="AQ3258" t="s">
        <v>72</v>
      </c>
      <c r="AR3258" t="s">
        <v>72</v>
      </c>
      <c r="AS3258">
        <v>3050</v>
      </c>
      <c r="AT3258" s="4">
        <v>42684</v>
      </c>
      <c r="AU3258" t="s">
        <v>73</v>
      </c>
      <c r="AV3258">
        <v>3050</v>
      </c>
      <c r="AW3258" s="4">
        <v>42684</v>
      </c>
      <c r="BD3258">
        <v>0</v>
      </c>
      <c r="BN3258" t="s">
        <v>74</v>
      </c>
    </row>
    <row r="3259" spans="1:66">
      <c r="A3259">
        <v>101170</v>
      </c>
      <c r="B3259" s="3" t="s">
        <v>376</v>
      </c>
      <c r="C3259" s="1">
        <v>43300101</v>
      </c>
      <c r="D3259" t="s">
        <v>67</v>
      </c>
      <c r="H3259" t="str">
        <f t="shared" si="331"/>
        <v>00527500540</v>
      </c>
      <c r="I3259" t="str">
        <f t="shared" si="331"/>
        <v>00527500540</v>
      </c>
      <c r="K3259" t="str">
        <f>""</f>
        <v/>
      </c>
      <c r="M3259" t="s">
        <v>68</v>
      </c>
      <c r="N3259" t="str">
        <f t="shared" si="332"/>
        <v>FOR</v>
      </c>
      <c r="O3259" t="s">
        <v>69</v>
      </c>
      <c r="P3259" s="3" t="s">
        <v>78</v>
      </c>
      <c r="Q3259">
        <v>2014</v>
      </c>
      <c r="R3259" s="2">
        <v>41824</v>
      </c>
      <c r="S3259" s="2">
        <v>41876</v>
      </c>
      <c r="T3259" s="2">
        <v>41876</v>
      </c>
      <c r="U3259" s="2">
        <v>41966</v>
      </c>
      <c r="V3259" t="s">
        <v>71</v>
      </c>
      <c r="W3259" t="str">
        <f>"              602171"</f>
        <v xml:space="preserve">              602171</v>
      </c>
      <c r="X3259" s="1">
        <v>3330.6</v>
      </c>
      <c r="Y3259">
        <v>0</v>
      </c>
      <c r="Z3259" s="5">
        <v>3330.6</v>
      </c>
      <c r="AA3259">
        <v>718</v>
      </c>
      <c r="AB3259" s="5">
        <v>2391370.7999999998</v>
      </c>
      <c r="AC3259" s="1">
        <v>3330.6</v>
      </c>
      <c r="AD3259">
        <v>718</v>
      </c>
      <c r="AE3259" s="1">
        <v>2391370.7999999998</v>
      </c>
      <c r="AF3259">
        <v>0</v>
      </c>
      <c r="AJ3259">
        <v>0</v>
      </c>
      <c r="AK3259">
        <v>0</v>
      </c>
      <c r="AL3259">
        <v>0</v>
      </c>
      <c r="AM3259">
        <v>0</v>
      </c>
      <c r="AN3259">
        <v>0</v>
      </c>
      <c r="AO3259">
        <v>0</v>
      </c>
      <c r="AP3259" s="2">
        <v>42746</v>
      </c>
      <c r="AQ3259" t="s">
        <v>72</v>
      </c>
      <c r="AR3259" t="s">
        <v>72</v>
      </c>
      <c r="AS3259">
        <v>3050</v>
      </c>
      <c r="AT3259" s="4">
        <v>42684</v>
      </c>
      <c r="AU3259" t="s">
        <v>73</v>
      </c>
      <c r="AV3259">
        <v>3050</v>
      </c>
      <c r="AW3259" s="4">
        <v>42684</v>
      </c>
      <c r="BD3259">
        <v>0</v>
      </c>
      <c r="BN3259" t="s">
        <v>74</v>
      </c>
    </row>
    <row r="3260" spans="1:66">
      <c r="A3260">
        <v>101170</v>
      </c>
      <c r="B3260" s="3" t="s">
        <v>376</v>
      </c>
      <c r="C3260" s="1">
        <v>43300101</v>
      </c>
      <c r="D3260" t="s">
        <v>67</v>
      </c>
      <c r="H3260" t="str">
        <f t="shared" si="331"/>
        <v>00527500540</v>
      </c>
      <c r="I3260" t="str">
        <f t="shared" si="331"/>
        <v>00527500540</v>
      </c>
      <c r="K3260" t="str">
        <f>""</f>
        <v/>
      </c>
      <c r="M3260" t="s">
        <v>68</v>
      </c>
      <c r="N3260" t="str">
        <f t="shared" si="332"/>
        <v>FOR</v>
      </c>
      <c r="O3260" t="s">
        <v>69</v>
      </c>
      <c r="P3260" s="3" t="s">
        <v>78</v>
      </c>
      <c r="Q3260">
        <v>2014</v>
      </c>
      <c r="R3260" s="2">
        <v>41824</v>
      </c>
      <c r="S3260" s="2">
        <v>41876</v>
      </c>
      <c r="T3260" s="2">
        <v>41876</v>
      </c>
      <c r="U3260" s="2">
        <v>41966</v>
      </c>
      <c r="V3260" t="s">
        <v>71</v>
      </c>
      <c r="W3260" t="str">
        <f>"              602174"</f>
        <v xml:space="preserve">              602174</v>
      </c>
      <c r="X3260" s="1">
        <v>3202.5</v>
      </c>
      <c r="Y3260">
        <v>0</v>
      </c>
      <c r="Z3260" s="5">
        <v>3202.5</v>
      </c>
      <c r="AA3260">
        <v>718</v>
      </c>
      <c r="AB3260" s="5">
        <v>2299395</v>
      </c>
      <c r="AC3260" s="1">
        <v>3202.5</v>
      </c>
      <c r="AD3260">
        <v>718</v>
      </c>
      <c r="AE3260" s="1">
        <v>2299395</v>
      </c>
      <c r="AF3260">
        <v>0</v>
      </c>
      <c r="AJ3260">
        <v>0</v>
      </c>
      <c r="AK3260">
        <v>0</v>
      </c>
      <c r="AL3260">
        <v>0</v>
      </c>
      <c r="AM3260">
        <v>0</v>
      </c>
      <c r="AN3260">
        <v>0</v>
      </c>
      <c r="AO3260">
        <v>0</v>
      </c>
      <c r="AP3260" s="2">
        <v>42746</v>
      </c>
      <c r="AQ3260" t="s">
        <v>72</v>
      </c>
      <c r="AR3260" t="s">
        <v>72</v>
      </c>
      <c r="AS3260">
        <v>3050</v>
      </c>
      <c r="AT3260" s="4">
        <v>42684</v>
      </c>
      <c r="AU3260" t="s">
        <v>73</v>
      </c>
      <c r="AV3260">
        <v>3050</v>
      </c>
      <c r="AW3260" s="4">
        <v>42684</v>
      </c>
      <c r="BD3260">
        <v>0</v>
      </c>
      <c r="BN3260" t="s">
        <v>74</v>
      </c>
    </row>
    <row r="3261" spans="1:66">
      <c r="A3261">
        <v>101170</v>
      </c>
      <c r="B3261" s="3" t="s">
        <v>376</v>
      </c>
      <c r="C3261" s="1">
        <v>43300101</v>
      </c>
      <c r="D3261" t="s">
        <v>67</v>
      </c>
      <c r="H3261" t="str">
        <f t="shared" si="331"/>
        <v>00527500540</v>
      </c>
      <c r="I3261" t="str">
        <f t="shared" si="331"/>
        <v>00527500540</v>
      </c>
      <c r="K3261" t="str">
        <f>""</f>
        <v/>
      </c>
      <c r="M3261" t="s">
        <v>68</v>
      </c>
      <c r="N3261" t="str">
        <f t="shared" si="332"/>
        <v>FOR</v>
      </c>
      <c r="O3261" t="s">
        <v>69</v>
      </c>
      <c r="P3261" s="3" t="s">
        <v>70</v>
      </c>
      <c r="Q3261">
        <v>2015</v>
      </c>
      <c r="R3261" s="2">
        <v>42088</v>
      </c>
      <c r="S3261" s="2">
        <v>42192</v>
      </c>
      <c r="T3261" s="2">
        <v>42192</v>
      </c>
      <c r="U3261" s="2">
        <v>42252</v>
      </c>
      <c r="V3261" t="s">
        <v>71</v>
      </c>
      <c r="W3261" t="str">
        <f>"              100316"</f>
        <v xml:space="preserve">              100316</v>
      </c>
      <c r="X3261" s="1">
        <v>42961.93</v>
      </c>
      <c r="Y3261">
        <v>0</v>
      </c>
      <c r="Z3261" s="5">
        <v>35214.699999999997</v>
      </c>
      <c r="AA3261">
        <v>437</v>
      </c>
      <c r="AB3261" s="5">
        <v>15388823.9</v>
      </c>
      <c r="AC3261" s="1">
        <v>35214.699999999997</v>
      </c>
      <c r="AD3261">
        <v>437</v>
      </c>
      <c r="AE3261" s="1">
        <v>15388823.9</v>
      </c>
      <c r="AF3261">
        <v>0</v>
      </c>
      <c r="AJ3261">
        <v>0</v>
      </c>
      <c r="AK3261">
        <v>0</v>
      </c>
      <c r="AL3261">
        <v>0</v>
      </c>
      <c r="AM3261">
        <v>0</v>
      </c>
      <c r="AN3261">
        <v>0</v>
      </c>
      <c r="AO3261">
        <v>0</v>
      </c>
      <c r="AP3261" s="2">
        <v>42746</v>
      </c>
      <c r="AQ3261" t="s">
        <v>72</v>
      </c>
      <c r="AR3261" t="s">
        <v>72</v>
      </c>
      <c r="AS3261">
        <v>3117</v>
      </c>
      <c r="AT3261" s="4">
        <v>42689</v>
      </c>
      <c r="AU3261" t="s">
        <v>73</v>
      </c>
      <c r="AV3261">
        <v>3117</v>
      </c>
      <c r="AW3261" s="4">
        <v>42689</v>
      </c>
      <c r="BD3261">
        <v>0</v>
      </c>
      <c r="BN3261" t="s">
        <v>74</v>
      </c>
    </row>
    <row r="3262" spans="1:66" hidden="1">
      <c r="A3262">
        <v>101170</v>
      </c>
      <c r="B3262" s="3" t="s">
        <v>376</v>
      </c>
      <c r="C3262" s="1">
        <v>43300101</v>
      </c>
      <c r="D3262" t="s">
        <v>67</v>
      </c>
      <c r="H3262" t="str">
        <f t="shared" si="331"/>
        <v>00527500540</v>
      </c>
      <c r="I3262" t="str">
        <f t="shared" si="331"/>
        <v>00527500540</v>
      </c>
      <c r="K3262" t="str">
        <f>""</f>
        <v/>
      </c>
      <c r="M3262" t="s">
        <v>68</v>
      </c>
      <c r="N3262" t="str">
        <f t="shared" si="332"/>
        <v>FOR</v>
      </c>
      <c r="O3262" t="s">
        <v>69</v>
      </c>
      <c r="P3262" s="3" t="s">
        <v>75</v>
      </c>
      <c r="Q3262">
        <v>2015</v>
      </c>
      <c r="R3262" s="2">
        <v>42124</v>
      </c>
      <c r="S3262" s="2">
        <v>42180</v>
      </c>
      <c r="T3262" s="2">
        <v>42167</v>
      </c>
      <c r="U3262" s="2">
        <v>42227</v>
      </c>
      <c r="V3262" t="s">
        <v>71</v>
      </c>
      <c r="W3262" t="str">
        <f>"              100439"</f>
        <v xml:space="preserve">              100439</v>
      </c>
      <c r="X3262" s="1">
        <v>42961.93</v>
      </c>
      <c r="Y3262">
        <v>0</v>
      </c>
      <c r="Z3262"/>
      <c r="AB3262"/>
      <c r="AC3262" s="1">
        <v>35214.699999999997</v>
      </c>
      <c r="AD3262">
        <v>189</v>
      </c>
      <c r="AE3262" s="1">
        <v>6655578.2999999998</v>
      </c>
      <c r="AF3262">
        <v>0</v>
      </c>
      <c r="AJ3262">
        <v>0</v>
      </c>
      <c r="AK3262">
        <v>0</v>
      </c>
      <c r="AL3262">
        <v>0</v>
      </c>
      <c r="AM3262">
        <v>0</v>
      </c>
      <c r="AN3262">
        <v>0</v>
      </c>
      <c r="AO3262">
        <v>0</v>
      </c>
      <c r="AP3262" s="2">
        <v>42746</v>
      </c>
      <c r="AQ3262" t="s">
        <v>72</v>
      </c>
      <c r="AR3262" t="s">
        <v>72</v>
      </c>
      <c r="AS3262">
        <v>452</v>
      </c>
      <c r="AT3262" s="4">
        <v>42416</v>
      </c>
      <c r="AU3262" t="s">
        <v>73</v>
      </c>
      <c r="AV3262">
        <v>452</v>
      </c>
      <c r="AW3262" s="4">
        <v>42416</v>
      </c>
      <c r="BD3262">
        <v>0</v>
      </c>
      <c r="BN3262" t="s">
        <v>74</v>
      </c>
    </row>
    <row r="3263" spans="1:66" hidden="1">
      <c r="A3263">
        <v>101170</v>
      </c>
      <c r="B3263" s="3" t="s">
        <v>376</v>
      </c>
      <c r="C3263" s="1">
        <v>43300101</v>
      </c>
      <c r="D3263" t="s">
        <v>67</v>
      </c>
      <c r="H3263" t="str">
        <f t="shared" si="331"/>
        <v>00527500540</v>
      </c>
      <c r="I3263" t="str">
        <f t="shared" si="331"/>
        <v>00527500540</v>
      </c>
      <c r="K3263" t="str">
        <f>""</f>
        <v/>
      </c>
      <c r="M3263" t="s">
        <v>68</v>
      </c>
      <c r="N3263" t="str">
        <f t="shared" si="332"/>
        <v>FOR</v>
      </c>
      <c r="O3263" t="s">
        <v>69</v>
      </c>
      <c r="P3263" s="3" t="s">
        <v>75</v>
      </c>
      <c r="Q3263">
        <v>2015</v>
      </c>
      <c r="R3263" s="2">
        <v>42184</v>
      </c>
      <c r="S3263" s="2">
        <v>42193</v>
      </c>
      <c r="T3263" s="2">
        <v>42192</v>
      </c>
      <c r="U3263" s="2">
        <v>42252</v>
      </c>
      <c r="V3263" t="s">
        <v>71</v>
      </c>
      <c r="W3263" t="str">
        <f>"              100578"</f>
        <v xml:space="preserve">              100578</v>
      </c>
      <c r="X3263" s="1">
        <v>42961.93</v>
      </c>
      <c r="Y3263">
        <v>0</v>
      </c>
      <c r="Z3263"/>
      <c r="AB3263"/>
      <c r="AC3263" s="1">
        <v>35214.699999999997</v>
      </c>
      <c r="AD3263">
        <v>367</v>
      </c>
      <c r="AE3263" s="1">
        <v>12923794.9</v>
      </c>
      <c r="AF3263">
        <v>0</v>
      </c>
      <c r="AJ3263">
        <v>0</v>
      </c>
      <c r="AK3263">
        <v>0</v>
      </c>
      <c r="AL3263">
        <v>0</v>
      </c>
      <c r="AM3263">
        <v>0</v>
      </c>
      <c r="AN3263">
        <v>0</v>
      </c>
      <c r="AO3263">
        <v>0</v>
      </c>
      <c r="AP3263" s="2">
        <v>42746</v>
      </c>
      <c r="AQ3263" t="s">
        <v>72</v>
      </c>
      <c r="AR3263" t="s">
        <v>72</v>
      </c>
      <c r="AS3263">
        <v>2300</v>
      </c>
      <c r="AT3263" s="4">
        <v>42619</v>
      </c>
      <c r="AU3263" t="s">
        <v>73</v>
      </c>
      <c r="AV3263">
        <v>2300</v>
      </c>
      <c r="AW3263" s="4">
        <v>42619</v>
      </c>
      <c r="BD3263">
        <v>0</v>
      </c>
      <c r="BN3263" t="s">
        <v>74</v>
      </c>
    </row>
    <row r="3264" spans="1:66" hidden="1">
      <c r="A3264">
        <v>101170</v>
      </c>
      <c r="B3264" s="3" t="s">
        <v>376</v>
      </c>
      <c r="C3264" s="1">
        <v>43300101</v>
      </c>
      <c r="D3264" t="s">
        <v>67</v>
      </c>
      <c r="H3264" t="str">
        <f t="shared" si="331"/>
        <v>00527500540</v>
      </c>
      <c r="I3264" t="str">
        <f t="shared" si="331"/>
        <v>00527500540</v>
      </c>
      <c r="K3264" t="str">
        <f>""</f>
        <v/>
      </c>
      <c r="M3264" t="s">
        <v>68</v>
      </c>
      <c r="N3264" t="str">
        <f t="shared" si="332"/>
        <v>FOR</v>
      </c>
      <c r="O3264" t="s">
        <v>69</v>
      </c>
      <c r="P3264" s="3" t="s">
        <v>75</v>
      </c>
      <c r="Q3264">
        <v>2015</v>
      </c>
      <c r="R3264" s="2">
        <v>42241</v>
      </c>
      <c r="S3264" s="2">
        <v>42249</v>
      </c>
      <c r="T3264" s="2">
        <v>42249</v>
      </c>
      <c r="U3264" s="2">
        <v>42309</v>
      </c>
      <c r="V3264" t="s">
        <v>71</v>
      </c>
      <c r="W3264" t="str">
        <f>"              100771"</f>
        <v xml:space="preserve">              100771</v>
      </c>
      <c r="X3264" s="1">
        <v>42961.93</v>
      </c>
      <c r="Y3264">
        <v>0</v>
      </c>
      <c r="Z3264"/>
      <c r="AB3264"/>
      <c r="AC3264" s="1">
        <v>35214.699999999997</v>
      </c>
      <c r="AD3264">
        <v>310</v>
      </c>
      <c r="AE3264" s="1">
        <v>10916557</v>
      </c>
      <c r="AF3264">
        <v>0</v>
      </c>
      <c r="AJ3264">
        <v>0</v>
      </c>
      <c r="AK3264">
        <v>0</v>
      </c>
      <c r="AL3264">
        <v>0</v>
      </c>
      <c r="AM3264">
        <v>0</v>
      </c>
      <c r="AN3264">
        <v>0</v>
      </c>
      <c r="AO3264">
        <v>0</v>
      </c>
      <c r="AP3264" s="2">
        <v>42746</v>
      </c>
      <c r="AQ3264" t="s">
        <v>72</v>
      </c>
      <c r="AR3264" t="s">
        <v>72</v>
      </c>
      <c r="AS3264">
        <v>2300</v>
      </c>
      <c r="AT3264" s="4">
        <v>42619</v>
      </c>
      <c r="AU3264" t="s">
        <v>73</v>
      </c>
      <c r="AV3264">
        <v>2300</v>
      </c>
      <c r="AW3264" s="4">
        <v>42619</v>
      </c>
      <c r="BD3264">
        <v>0</v>
      </c>
      <c r="BN3264" t="s">
        <v>74</v>
      </c>
    </row>
    <row r="3265" spans="1:66">
      <c r="A3265">
        <v>101170</v>
      </c>
      <c r="B3265" s="3" t="s">
        <v>376</v>
      </c>
      <c r="C3265" s="1">
        <v>43300101</v>
      </c>
      <c r="D3265" t="s">
        <v>67</v>
      </c>
      <c r="H3265" t="str">
        <f t="shared" si="331"/>
        <v>00527500540</v>
      </c>
      <c r="I3265" t="str">
        <f t="shared" si="331"/>
        <v>00527500540</v>
      </c>
      <c r="K3265" t="str">
        <f>""</f>
        <v/>
      </c>
      <c r="M3265" t="s">
        <v>68</v>
      </c>
      <c r="N3265" t="str">
        <f t="shared" si="332"/>
        <v>FOR</v>
      </c>
      <c r="O3265" t="s">
        <v>69</v>
      </c>
      <c r="P3265" s="3" t="s">
        <v>75</v>
      </c>
      <c r="Q3265">
        <v>2015</v>
      </c>
      <c r="R3265" s="2">
        <v>42278</v>
      </c>
      <c r="S3265" s="2">
        <v>42312</v>
      </c>
      <c r="T3265" s="2">
        <v>42310</v>
      </c>
      <c r="U3265" s="2">
        <v>42370</v>
      </c>
      <c r="V3265" t="s">
        <v>71</v>
      </c>
      <c r="W3265" t="str">
        <f>"              100930"</f>
        <v xml:space="preserve">              100930</v>
      </c>
      <c r="X3265" s="1">
        <v>42961.93</v>
      </c>
      <c r="Y3265">
        <v>0</v>
      </c>
      <c r="Z3265" s="5">
        <v>35214.699999999997</v>
      </c>
      <c r="AA3265">
        <v>277</v>
      </c>
      <c r="AB3265" s="5">
        <v>9754471.9000000004</v>
      </c>
      <c r="AC3265" s="1">
        <v>35214.699999999997</v>
      </c>
      <c r="AD3265">
        <v>277</v>
      </c>
      <c r="AE3265" s="1">
        <v>9754471.9000000004</v>
      </c>
      <c r="AF3265">
        <v>0</v>
      </c>
      <c r="AJ3265">
        <v>0</v>
      </c>
      <c r="AK3265">
        <v>0</v>
      </c>
      <c r="AL3265">
        <v>0</v>
      </c>
      <c r="AM3265">
        <v>0</v>
      </c>
      <c r="AN3265">
        <v>0</v>
      </c>
      <c r="AO3265">
        <v>0</v>
      </c>
      <c r="AP3265" s="2">
        <v>42746</v>
      </c>
      <c r="AQ3265" t="s">
        <v>72</v>
      </c>
      <c r="AR3265" t="s">
        <v>72</v>
      </c>
      <c r="AS3265">
        <v>2647</v>
      </c>
      <c r="AT3265" s="4">
        <v>42647</v>
      </c>
      <c r="AU3265" t="s">
        <v>73</v>
      </c>
      <c r="AV3265">
        <v>2647</v>
      </c>
      <c r="AW3265" s="4">
        <v>42647</v>
      </c>
      <c r="BD3265">
        <v>0</v>
      </c>
      <c r="BN3265" t="s">
        <v>74</v>
      </c>
    </row>
    <row r="3266" spans="1:66">
      <c r="A3266">
        <v>101170</v>
      </c>
      <c r="B3266" s="3" t="s">
        <v>376</v>
      </c>
      <c r="C3266" s="1">
        <v>43300101</v>
      </c>
      <c r="D3266" t="s">
        <v>67</v>
      </c>
      <c r="H3266" t="str">
        <f t="shared" si="331"/>
        <v>00527500540</v>
      </c>
      <c r="I3266" t="str">
        <f t="shared" si="331"/>
        <v>00527500540</v>
      </c>
      <c r="K3266" t="str">
        <f>""</f>
        <v/>
      </c>
      <c r="M3266" t="s">
        <v>68</v>
      </c>
      <c r="N3266" t="str">
        <f t="shared" si="332"/>
        <v>FOR</v>
      </c>
      <c r="O3266" t="s">
        <v>69</v>
      </c>
      <c r="P3266" s="3" t="s">
        <v>75</v>
      </c>
      <c r="Q3266">
        <v>2015</v>
      </c>
      <c r="R3266" s="2">
        <v>42278</v>
      </c>
      <c r="S3266" s="2">
        <v>42312</v>
      </c>
      <c r="T3266" s="2">
        <v>42310</v>
      </c>
      <c r="U3266" s="2">
        <v>42370</v>
      </c>
      <c r="V3266" t="s">
        <v>71</v>
      </c>
      <c r="W3266" t="str">
        <f>"              100931"</f>
        <v xml:space="preserve">              100931</v>
      </c>
      <c r="X3266" s="1">
        <v>42961.93</v>
      </c>
      <c r="Y3266">
        <v>0</v>
      </c>
      <c r="Z3266" s="5">
        <v>35214.699999999997</v>
      </c>
      <c r="AA3266">
        <v>277</v>
      </c>
      <c r="AB3266" s="5">
        <v>9754471.9000000004</v>
      </c>
      <c r="AC3266" s="1">
        <v>35214.699999999997</v>
      </c>
      <c r="AD3266">
        <v>277</v>
      </c>
      <c r="AE3266" s="1">
        <v>9754471.9000000004</v>
      </c>
      <c r="AF3266">
        <v>0</v>
      </c>
      <c r="AJ3266">
        <v>0</v>
      </c>
      <c r="AK3266">
        <v>0</v>
      </c>
      <c r="AL3266">
        <v>0</v>
      </c>
      <c r="AM3266">
        <v>0</v>
      </c>
      <c r="AN3266">
        <v>0</v>
      </c>
      <c r="AO3266">
        <v>0</v>
      </c>
      <c r="AP3266" s="2">
        <v>42746</v>
      </c>
      <c r="AQ3266" t="s">
        <v>72</v>
      </c>
      <c r="AR3266" t="s">
        <v>72</v>
      </c>
      <c r="AS3266">
        <v>2647</v>
      </c>
      <c r="AT3266" s="4">
        <v>42647</v>
      </c>
      <c r="AU3266" t="s">
        <v>73</v>
      </c>
      <c r="AV3266">
        <v>2647</v>
      </c>
      <c r="AW3266" s="4">
        <v>42647</v>
      </c>
      <c r="BD3266">
        <v>0</v>
      </c>
      <c r="BN3266" t="s">
        <v>74</v>
      </c>
    </row>
    <row r="3267" spans="1:66">
      <c r="A3267">
        <v>101170</v>
      </c>
      <c r="B3267" s="3" t="s">
        <v>376</v>
      </c>
      <c r="C3267" s="1">
        <v>43300101</v>
      </c>
      <c r="D3267" t="s">
        <v>67</v>
      </c>
      <c r="H3267" t="str">
        <f t="shared" si="331"/>
        <v>00527500540</v>
      </c>
      <c r="I3267" t="str">
        <f t="shared" si="331"/>
        <v>00527500540</v>
      </c>
      <c r="K3267" t="str">
        <f>""</f>
        <v/>
      </c>
      <c r="M3267" t="s">
        <v>68</v>
      </c>
      <c r="N3267" t="str">
        <f t="shared" si="332"/>
        <v>FOR</v>
      </c>
      <c r="O3267" t="s">
        <v>69</v>
      </c>
      <c r="P3267" s="3" t="s">
        <v>75</v>
      </c>
      <c r="Q3267">
        <v>2015</v>
      </c>
      <c r="R3267" s="2">
        <v>42278</v>
      </c>
      <c r="S3267" s="2">
        <v>42312</v>
      </c>
      <c r="T3267" s="2">
        <v>42310</v>
      </c>
      <c r="U3267" s="2">
        <v>42370</v>
      </c>
      <c r="V3267" t="s">
        <v>71</v>
      </c>
      <c r="W3267" t="str">
        <f>"              100932"</f>
        <v xml:space="preserve">              100932</v>
      </c>
      <c r="X3267" s="1">
        <v>42961.93</v>
      </c>
      <c r="Y3267">
        <v>0</v>
      </c>
      <c r="Z3267" s="5">
        <v>35214.699999999997</v>
      </c>
      <c r="AA3267">
        <v>277</v>
      </c>
      <c r="AB3267" s="5">
        <v>9754471.9000000004</v>
      </c>
      <c r="AC3267" s="1">
        <v>35214.699999999997</v>
      </c>
      <c r="AD3267">
        <v>277</v>
      </c>
      <c r="AE3267" s="1">
        <v>9754471.9000000004</v>
      </c>
      <c r="AF3267">
        <v>0</v>
      </c>
      <c r="AJ3267">
        <v>0</v>
      </c>
      <c r="AK3267">
        <v>0</v>
      </c>
      <c r="AL3267">
        <v>0</v>
      </c>
      <c r="AM3267">
        <v>0</v>
      </c>
      <c r="AN3267">
        <v>0</v>
      </c>
      <c r="AO3267">
        <v>0</v>
      </c>
      <c r="AP3267" s="2">
        <v>42746</v>
      </c>
      <c r="AQ3267" t="s">
        <v>72</v>
      </c>
      <c r="AR3267" t="s">
        <v>72</v>
      </c>
      <c r="AS3267">
        <v>2647</v>
      </c>
      <c r="AT3267" s="4">
        <v>42647</v>
      </c>
      <c r="AU3267" t="s">
        <v>73</v>
      </c>
      <c r="AV3267">
        <v>2647</v>
      </c>
      <c r="AW3267" s="4">
        <v>42647</v>
      </c>
      <c r="BD3267">
        <v>0</v>
      </c>
      <c r="BN3267" t="s">
        <v>74</v>
      </c>
    </row>
    <row r="3268" spans="1:66">
      <c r="A3268">
        <v>101170</v>
      </c>
      <c r="B3268" s="3" t="s">
        <v>376</v>
      </c>
      <c r="C3268" s="1">
        <v>43300101</v>
      </c>
      <c r="D3268" t="s">
        <v>67</v>
      </c>
      <c r="H3268" t="str">
        <f t="shared" si="331"/>
        <v>00527500540</v>
      </c>
      <c r="I3268" t="str">
        <f t="shared" si="331"/>
        <v>00527500540</v>
      </c>
      <c r="K3268" t="str">
        <f>""</f>
        <v/>
      </c>
      <c r="M3268" t="s">
        <v>68</v>
      </c>
      <c r="N3268" t="str">
        <f t="shared" si="332"/>
        <v>FOR</v>
      </c>
      <c r="O3268" t="s">
        <v>69</v>
      </c>
      <c r="P3268" s="3" t="s">
        <v>75</v>
      </c>
      <c r="Q3268">
        <v>2015</v>
      </c>
      <c r="R3268" s="2">
        <v>42366</v>
      </c>
      <c r="S3268" s="2">
        <v>42368</v>
      </c>
      <c r="T3268" s="2">
        <v>42367</v>
      </c>
      <c r="U3268" s="2">
        <v>42427</v>
      </c>
      <c r="V3268" t="s">
        <v>71</v>
      </c>
      <c r="W3268" t="str">
        <f>"              101113"</f>
        <v xml:space="preserve">              101113</v>
      </c>
      <c r="X3268" s="1">
        <v>42961.93</v>
      </c>
      <c r="Y3268">
        <v>0</v>
      </c>
      <c r="Z3268" s="5">
        <v>35214.699999999997</v>
      </c>
      <c r="AA3268">
        <v>292</v>
      </c>
      <c r="AB3268" s="5">
        <v>10282692.4</v>
      </c>
      <c r="AC3268" s="1">
        <v>35214.699999999997</v>
      </c>
      <c r="AD3268">
        <v>292</v>
      </c>
      <c r="AE3268" s="1">
        <v>10282692.4</v>
      </c>
      <c r="AF3268" s="1">
        <v>7747.23</v>
      </c>
      <c r="AJ3268">
        <v>0</v>
      </c>
      <c r="AK3268">
        <v>0</v>
      </c>
      <c r="AL3268">
        <v>0</v>
      </c>
      <c r="AM3268">
        <v>0</v>
      </c>
      <c r="AN3268">
        <v>0</v>
      </c>
      <c r="AO3268">
        <v>0</v>
      </c>
      <c r="AP3268" s="2">
        <v>42746</v>
      </c>
      <c r="AQ3268" t="s">
        <v>72</v>
      </c>
      <c r="AR3268" t="s">
        <v>72</v>
      </c>
      <c r="AS3268">
        <v>3538</v>
      </c>
      <c r="AT3268" s="4">
        <v>42719</v>
      </c>
      <c r="AU3268" t="s">
        <v>73</v>
      </c>
      <c r="AV3268">
        <v>3538</v>
      </c>
      <c r="AW3268" s="4">
        <v>42719</v>
      </c>
      <c r="BD3268" s="1">
        <v>7747.23</v>
      </c>
      <c r="BN3268" t="s">
        <v>74</v>
      </c>
    </row>
    <row r="3269" spans="1:66">
      <c r="A3269">
        <v>101170</v>
      </c>
      <c r="B3269" s="3" t="s">
        <v>376</v>
      </c>
      <c r="C3269" s="1">
        <v>43300101</v>
      </c>
      <c r="D3269" t="s">
        <v>67</v>
      </c>
      <c r="H3269" t="str">
        <f t="shared" si="331"/>
        <v>00527500540</v>
      </c>
      <c r="I3269" t="str">
        <f t="shared" si="331"/>
        <v>00527500540</v>
      </c>
      <c r="K3269" t="str">
        <f>""</f>
        <v/>
      </c>
      <c r="M3269" t="s">
        <v>68</v>
      </c>
      <c r="N3269" t="str">
        <f t="shared" si="332"/>
        <v>FOR</v>
      </c>
      <c r="O3269" t="s">
        <v>69</v>
      </c>
      <c r="P3269" s="3" t="s">
        <v>75</v>
      </c>
      <c r="Q3269">
        <v>2015</v>
      </c>
      <c r="R3269" s="2">
        <v>42369</v>
      </c>
      <c r="S3269" s="2">
        <v>42369</v>
      </c>
      <c r="T3269" s="2">
        <v>42369</v>
      </c>
      <c r="U3269" s="2">
        <v>42429</v>
      </c>
      <c r="V3269" t="s">
        <v>71</v>
      </c>
      <c r="W3269" t="str">
        <f>"              101239"</f>
        <v xml:space="preserve">              101239</v>
      </c>
      <c r="X3269" s="1">
        <v>4782.3999999999996</v>
      </c>
      <c r="Y3269">
        <v>0</v>
      </c>
      <c r="Z3269" s="5">
        <v>3920</v>
      </c>
      <c r="AA3269">
        <v>290</v>
      </c>
      <c r="AB3269" s="5">
        <v>1136800</v>
      </c>
      <c r="AC3269" s="1">
        <v>3920</v>
      </c>
      <c r="AD3269">
        <v>290</v>
      </c>
      <c r="AE3269" s="1">
        <v>1136800</v>
      </c>
      <c r="AF3269">
        <v>862.4</v>
      </c>
      <c r="AJ3269">
        <v>0</v>
      </c>
      <c r="AK3269">
        <v>0</v>
      </c>
      <c r="AL3269">
        <v>0</v>
      </c>
      <c r="AM3269">
        <v>0</v>
      </c>
      <c r="AN3269">
        <v>0</v>
      </c>
      <c r="AO3269">
        <v>0</v>
      </c>
      <c r="AP3269" s="2">
        <v>42746</v>
      </c>
      <c r="AQ3269" t="s">
        <v>72</v>
      </c>
      <c r="AR3269" t="s">
        <v>72</v>
      </c>
      <c r="AS3269">
        <v>3539</v>
      </c>
      <c r="AT3269" s="4">
        <v>42719</v>
      </c>
      <c r="AU3269" t="s">
        <v>73</v>
      </c>
      <c r="AV3269">
        <v>3539</v>
      </c>
      <c r="AW3269" s="4">
        <v>42719</v>
      </c>
      <c r="BD3269">
        <v>862.4</v>
      </c>
      <c r="BN3269" t="s">
        <v>74</v>
      </c>
    </row>
    <row r="3270" spans="1:66">
      <c r="A3270">
        <v>101170</v>
      </c>
      <c r="B3270" s="3" t="s">
        <v>376</v>
      </c>
      <c r="C3270" s="1">
        <v>43300101</v>
      </c>
      <c r="D3270" t="s">
        <v>67</v>
      </c>
      <c r="H3270" t="str">
        <f t="shared" ref="H3270:I3289" si="333">"00527500540"</f>
        <v>00527500540</v>
      </c>
      <c r="I3270" t="str">
        <f t="shared" si="333"/>
        <v>00527500540</v>
      </c>
      <c r="K3270" t="str">
        <f>""</f>
        <v/>
      </c>
      <c r="M3270" t="s">
        <v>68</v>
      </c>
      <c r="N3270" t="str">
        <f t="shared" si="332"/>
        <v>FOR</v>
      </c>
      <c r="O3270" t="s">
        <v>69</v>
      </c>
      <c r="P3270" s="3" t="s">
        <v>75</v>
      </c>
      <c r="Q3270">
        <v>2015</v>
      </c>
      <c r="R3270" s="2">
        <v>42369</v>
      </c>
      <c r="S3270" s="2">
        <v>42369</v>
      </c>
      <c r="T3270" s="2">
        <v>42369</v>
      </c>
      <c r="U3270" s="2">
        <v>42429</v>
      </c>
      <c r="V3270" t="s">
        <v>71</v>
      </c>
      <c r="W3270" t="str">
        <f>"              101248"</f>
        <v xml:space="preserve">              101248</v>
      </c>
      <c r="X3270" s="1">
        <v>1903.2</v>
      </c>
      <c r="Y3270">
        <v>0</v>
      </c>
      <c r="Z3270" s="5">
        <v>1560</v>
      </c>
      <c r="AA3270">
        <v>290</v>
      </c>
      <c r="AB3270" s="5">
        <v>452400</v>
      </c>
      <c r="AC3270" s="1">
        <v>1560</v>
      </c>
      <c r="AD3270">
        <v>290</v>
      </c>
      <c r="AE3270" s="1">
        <v>452400</v>
      </c>
      <c r="AF3270">
        <v>343.2</v>
      </c>
      <c r="AJ3270">
        <v>0</v>
      </c>
      <c r="AK3270">
        <v>0</v>
      </c>
      <c r="AL3270">
        <v>0</v>
      </c>
      <c r="AM3270">
        <v>0</v>
      </c>
      <c r="AN3270">
        <v>0</v>
      </c>
      <c r="AO3270">
        <v>0</v>
      </c>
      <c r="AP3270" s="2">
        <v>42746</v>
      </c>
      <c r="AQ3270" t="s">
        <v>72</v>
      </c>
      <c r="AR3270" t="s">
        <v>72</v>
      </c>
      <c r="AS3270">
        <v>3539</v>
      </c>
      <c r="AT3270" s="4">
        <v>42719</v>
      </c>
      <c r="AU3270" t="s">
        <v>73</v>
      </c>
      <c r="AV3270">
        <v>3539</v>
      </c>
      <c r="AW3270" s="4">
        <v>42719</v>
      </c>
      <c r="BD3270">
        <v>343.2</v>
      </c>
      <c r="BN3270" t="s">
        <v>74</v>
      </c>
    </row>
    <row r="3271" spans="1:66" hidden="1">
      <c r="A3271">
        <v>101170</v>
      </c>
      <c r="B3271" s="3" t="s">
        <v>376</v>
      </c>
      <c r="C3271" s="1">
        <v>43300101</v>
      </c>
      <c r="D3271" t="s">
        <v>67</v>
      </c>
      <c r="H3271" t="str">
        <f t="shared" si="333"/>
        <v>00527500540</v>
      </c>
      <c r="I3271" t="str">
        <f t="shared" si="333"/>
        <v>00527500540</v>
      </c>
      <c r="K3271" t="str">
        <f>""</f>
        <v/>
      </c>
      <c r="M3271" t="s">
        <v>68</v>
      </c>
      <c r="N3271" t="str">
        <f t="shared" si="332"/>
        <v>FOR</v>
      </c>
      <c r="O3271" t="s">
        <v>69</v>
      </c>
      <c r="P3271" s="3" t="s">
        <v>75</v>
      </c>
      <c r="Q3271">
        <v>2015</v>
      </c>
      <c r="R3271" s="2">
        <v>42124</v>
      </c>
      <c r="S3271" s="2">
        <v>42135</v>
      </c>
      <c r="T3271" s="2">
        <v>42133</v>
      </c>
      <c r="U3271" s="2">
        <v>42193</v>
      </c>
      <c r="V3271" t="s">
        <v>71</v>
      </c>
      <c r="W3271" t="str">
        <f>"              200242"</f>
        <v xml:space="preserve">              200242</v>
      </c>
      <c r="X3271" s="1">
        <v>1244.4000000000001</v>
      </c>
      <c r="Y3271">
        <v>0</v>
      </c>
      <c r="Z3271"/>
      <c r="AB3271"/>
      <c r="AC3271" s="1">
        <v>1020</v>
      </c>
      <c r="AD3271">
        <v>223</v>
      </c>
      <c r="AE3271" s="1">
        <v>227460</v>
      </c>
      <c r="AF3271">
        <v>0</v>
      </c>
      <c r="AJ3271">
        <v>0</v>
      </c>
      <c r="AK3271">
        <v>0</v>
      </c>
      <c r="AL3271">
        <v>0</v>
      </c>
      <c r="AM3271">
        <v>0</v>
      </c>
      <c r="AN3271">
        <v>0</v>
      </c>
      <c r="AO3271">
        <v>0</v>
      </c>
      <c r="AP3271" s="2">
        <v>42746</v>
      </c>
      <c r="AQ3271" t="s">
        <v>72</v>
      </c>
      <c r="AR3271" t="s">
        <v>72</v>
      </c>
      <c r="AS3271">
        <v>451</v>
      </c>
      <c r="AT3271" s="4">
        <v>42416</v>
      </c>
      <c r="AU3271" t="s">
        <v>73</v>
      </c>
      <c r="AV3271">
        <v>451</v>
      </c>
      <c r="AW3271" s="4">
        <v>42416</v>
      </c>
      <c r="BD3271">
        <v>0</v>
      </c>
      <c r="BN3271" t="s">
        <v>74</v>
      </c>
    </row>
    <row r="3272" spans="1:66" hidden="1">
      <c r="A3272">
        <v>101170</v>
      </c>
      <c r="B3272" s="3" t="s">
        <v>376</v>
      </c>
      <c r="C3272" s="1">
        <v>43300101</v>
      </c>
      <c r="D3272" t="s">
        <v>67</v>
      </c>
      <c r="H3272" t="str">
        <f t="shared" si="333"/>
        <v>00527500540</v>
      </c>
      <c r="I3272" t="str">
        <f t="shared" si="333"/>
        <v>00527500540</v>
      </c>
      <c r="K3272" t="str">
        <f>""</f>
        <v/>
      </c>
      <c r="M3272" t="s">
        <v>68</v>
      </c>
      <c r="N3272" t="str">
        <f t="shared" si="332"/>
        <v>FOR</v>
      </c>
      <c r="O3272" t="s">
        <v>69</v>
      </c>
      <c r="P3272" s="3" t="s">
        <v>75</v>
      </c>
      <c r="Q3272">
        <v>2015</v>
      </c>
      <c r="R3272" s="2">
        <v>42124</v>
      </c>
      <c r="S3272" s="2">
        <v>42228</v>
      </c>
      <c r="T3272" s="2">
        <v>42221</v>
      </c>
      <c r="U3272" s="2">
        <v>42281</v>
      </c>
      <c r="V3272" t="s">
        <v>71</v>
      </c>
      <c r="W3272" t="str">
        <f>"              200243"</f>
        <v xml:space="preserve">              200243</v>
      </c>
      <c r="X3272">
        <v>359.9</v>
      </c>
      <c r="Y3272">
        <v>0</v>
      </c>
      <c r="Z3272"/>
      <c r="AB3272"/>
      <c r="AC3272">
        <v>295</v>
      </c>
      <c r="AD3272">
        <v>135</v>
      </c>
      <c r="AE3272" s="1">
        <v>39825</v>
      </c>
      <c r="AF3272">
        <v>0</v>
      </c>
      <c r="AJ3272">
        <v>0</v>
      </c>
      <c r="AK3272">
        <v>0</v>
      </c>
      <c r="AL3272">
        <v>0</v>
      </c>
      <c r="AM3272">
        <v>0</v>
      </c>
      <c r="AN3272">
        <v>0</v>
      </c>
      <c r="AO3272">
        <v>0</v>
      </c>
      <c r="AP3272" s="2">
        <v>42746</v>
      </c>
      <c r="AQ3272" t="s">
        <v>72</v>
      </c>
      <c r="AR3272" t="s">
        <v>72</v>
      </c>
      <c r="AS3272">
        <v>451</v>
      </c>
      <c r="AT3272" s="4">
        <v>42416</v>
      </c>
      <c r="AU3272" t="s">
        <v>73</v>
      </c>
      <c r="AV3272">
        <v>451</v>
      </c>
      <c r="AW3272" s="4">
        <v>42416</v>
      </c>
      <c r="BD3272">
        <v>0</v>
      </c>
      <c r="BN3272" t="s">
        <v>74</v>
      </c>
    </row>
    <row r="3273" spans="1:66" hidden="1">
      <c r="A3273">
        <v>101170</v>
      </c>
      <c r="B3273" s="3" t="s">
        <v>376</v>
      </c>
      <c r="C3273" s="1">
        <v>43300101</v>
      </c>
      <c r="D3273" t="s">
        <v>67</v>
      </c>
      <c r="H3273" t="str">
        <f t="shared" si="333"/>
        <v>00527500540</v>
      </c>
      <c r="I3273" t="str">
        <f t="shared" si="333"/>
        <v>00527500540</v>
      </c>
      <c r="K3273" t="str">
        <f>""</f>
        <v/>
      </c>
      <c r="M3273" t="s">
        <v>68</v>
      </c>
      <c r="N3273" t="str">
        <f t="shared" si="332"/>
        <v>FOR</v>
      </c>
      <c r="O3273" t="s">
        <v>69</v>
      </c>
      <c r="P3273" s="3" t="s">
        <v>75</v>
      </c>
      <c r="Q3273">
        <v>2015</v>
      </c>
      <c r="R3273" s="2">
        <v>42124</v>
      </c>
      <c r="S3273" s="2">
        <v>42228</v>
      </c>
      <c r="T3273" s="2">
        <v>42221</v>
      </c>
      <c r="U3273" s="2">
        <v>42281</v>
      </c>
      <c r="V3273" t="s">
        <v>71</v>
      </c>
      <c r="W3273" t="str">
        <f>"              200244"</f>
        <v xml:space="preserve">              200244</v>
      </c>
      <c r="X3273" s="1">
        <v>5124</v>
      </c>
      <c r="Y3273">
        <v>0</v>
      </c>
      <c r="Z3273"/>
      <c r="AB3273"/>
      <c r="AC3273" s="1">
        <v>4200</v>
      </c>
      <c r="AD3273">
        <v>135</v>
      </c>
      <c r="AE3273" s="1">
        <v>567000</v>
      </c>
      <c r="AF3273">
        <v>0</v>
      </c>
      <c r="AJ3273">
        <v>0</v>
      </c>
      <c r="AK3273">
        <v>0</v>
      </c>
      <c r="AL3273">
        <v>0</v>
      </c>
      <c r="AM3273">
        <v>0</v>
      </c>
      <c r="AN3273">
        <v>0</v>
      </c>
      <c r="AO3273">
        <v>0</v>
      </c>
      <c r="AP3273" s="2">
        <v>42746</v>
      </c>
      <c r="AQ3273" t="s">
        <v>72</v>
      </c>
      <c r="AR3273" t="s">
        <v>72</v>
      </c>
      <c r="AS3273">
        <v>451</v>
      </c>
      <c r="AT3273" s="4">
        <v>42416</v>
      </c>
      <c r="AU3273" t="s">
        <v>73</v>
      </c>
      <c r="AV3273">
        <v>451</v>
      </c>
      <c r="AW3273" s="4">
        <v>42416</v>
      </c>
      <c r="BD3273">
        <v>0</v>
      </c>
      <c r="BN3273" t="s">
        <v>74</v>
      </c>
    </row>
    <row r="3274" spans="1:66" hidden="1">
      <c r="A3274">
        <v>101170</v>
      </c>
      <c r="B3274" s="3" t="s">
        <v>376</v>
      </c>
      <c r="C3274" s="1">
        <v>43300101</v>
      </c>
      <c r="D3274" t="s">
        <v>67</v>
      </c>
      <c r="H3274" t="str">
        <f t="shared" si="333"/>
        <v>00527500540</v>
      </c>
      <c r="I3274" t="str">
        <f t="shared" si="333"/>
        <v>00527500540</v>
      </c>
      <c r="K3274" t="str">
        <f>""</f>
        <v/>
      </c>
      <c r="M3274" t="s">
        <v>68</v>
      </c>
      <c r="N3274" t="str">
        <f t="shared" si="332"/>
        <v>FOR</v>
      </c>
      <c r="O3274" t="s">
        <v>69</v>
      </c>
      <c r="P3274" s="3" t="s">
        <v>75</v>
      </c>
      <c r="Q3274">
        <v>2015</v>
      </c>
      <c r="R3274" s="2">
        <v>42124</v>
      </c>
      <c r="S3274" s="2">
        <v>42228</v>
      </c>
      <c r="T3274" s="2">
        <v>42221</v>
      </c>
      <c r="U3274" s="2">
        <v>42281</v>
      </c>
      <c r="V3274" t="s">
        <v>71</v>
      </c>
      <c r="W3274" t="str">
        <f>"              200245"</f>
        <v xml:space="preserve">              200245</v>
      </c>
      <c r="X3274" s="1">
        <v>1159</v>
      </c>
      <c r="Y3274">
        <v>0</v>
      </c>
      <c r="Z3274"/>
      <c r="AB3274"/>
      <c r="AC3274">
        <v>950</v>
      </c>
      <c r="AD3274">
        <v>135</v>
      </c>
      <c r="AE3274" s="1">
        <v>128250</v>
      </c>
      <c r="AF3274">
        <v>0</v>
      </c>
      <c r="AJ3274">
        <v>0</v>
      </c>
      <c r="AK3274">
        <v>0</v>
      </c>
      <c r="AL3274">
        <v>0</v>
      </c>
      <c r="AM3274">
        <v>0</v>
      </c>
      <c r="AN3274">
        <v>0</v>
      </c>
      <c r="AO3274">
        <v>0</v>
      </c>
      <c r="AP3274" s="2">
        <v>42746</v>
      </c>
      <c r="AQ3274" t="s">
        <v>72</v>
      </c>
      <c r="AR3274" t="s">
        <v>72</v>
      </c>
      <c r="AS3274">
        <v>451</v>
      </c>
      <c r="AT3274" s="4">
        <v>42416</v>
      </c>
      <c r="AU3274" t="s">
        <v>73</v>
      </c>
      <c r="AV3274">
        <v>451</v>
      </c>
      <c r="AW3274" s="4">
        <v>42416</v>
      </c>
      <c r="BD3274">
        <v>0</v>
      </c>
      <c r="BN3274" t="s">
        <v>74</v>
      </c>
    </row>
    <row r="3275" spans="1:66" hidden="1">
      <c r="A3275">
        <v>101170</v>
      </c>
      <c r="B3275" s="3" t="s">
        <v>376</v>
      </c>
      <c r="C3275" s="1">
        <v>43300101</v>
      </c>
      <c r="D3275" t="s">
        <v>67</v>
      </c>
      <c r="H3275" t="str">
        <f t="shared" si="333"/>
        <v>00527500540</v>
      </c>
      <c r="I3275" t="str">
        <f t="shared" si="333"/>
        <v>00527500540</v>
      </c>
      <c r="K3275" t="str">
        <f>""</f>
        <v/>
      </c>
      <c r="M3275" t="s">
        <v>68</v>
      </c>
      <c r="N3275" t="str">
        <f t="shared" si="332"/>
        <v>FOR</v>
      </c>
      <c r="O3275" t="s">
        <v>69</v>
      </c>
      <c r="P3275" s="3" t="s">
        <v>75</v>
      </c>
      <c r="Q3275">
        <v>2015</v>
      </c>
      <c r="R3275" s="2">
        <v>42124</v>
      </c>
      <c r="S3275" s="2">
        <v>42228</v>
      </c>
      <c r="T3275" s="2">
        <v>42221</v>
      </c>
      <c r="U3275" s="2">
        <v>42281</v>
      </c>
      <c r="V3275" t="s">
        <v>71</v>
      </c>
      <c r="W3275" t="str">
        <f>"              200246"</f>
        <v xml:space="preserve">              200246</v>
      </c>
      <c r="X3275" s="1">
        <v>4561.58</v>
      </c>
      <c r="Y3275">
        <v>0</v>
      </c>
      <c r="Z3275"/>
      <c r="AB3275"/>
      <c r="AC3275" s="1">
        <v>3739</v>
      </c>
      <c r="AD3275">
        <v>135</v>
      </c>
      <c r="AE3275" s="1">
        <v>504765</v>
      </c>
      <c r="AF3275">
        <v>0</v>
      </c>
      <c r="AJ3275">
        <v>0</v>
      </c>
      <c r="AK3275">
        <v>0</v>
      </c>
      <c r="AL3275">
        <v>0</v>
      </c>
      <c r="AM3275">
        <v>0</v>
      </c>
      <c r="AN3275">
        <v>0</v>
      </c>
      <c r="AO3275">
        <v>0</v>
      </c>
      <c r="AP3275" s="2">
        <v>42746</v>
      </c>
      <c r="AQ3275" t="s">
        <v>72</v>
      </c>
      <c r="AR3275" t="s">
        <v>72</v>
      </c>
      <c r="AS3275">
        <v>451</v>
      </c>
      <c r="AT3275" s="4">
        <v>42416</v>
      </c>
      <c r="AU3275" t="s">
        <v>73</v>
      </c>
      <c r="AV3275">
        <v>451</v>
      </c>
      <c r="AW3275" s="4">
        <v>42416</v>
      </c>
      <c r="BD3275">
        <v>0</v>
      </c>
      <c r="BN3275" t="s">
        <v>74</v>
      </c>
    </row>
    <row r="3276" spans="1:66" hidden="1">
      <c r="A3276">
        <v>101170</v>
      </c>
      <c r="B3276" s="3" t="s">
        <v>376</v>
      </c>
      <c r="C3276" s="1">
        <v>43300101</v>
      </c>
      <c r="D3276" t="s">
        <v>67</v>
      </c>
      <c r="H3276" t="str">
        <f t="shared" si="333"/>
        <v>00527500540</v>
      </c>
      <c r="I3276" t="str">
        <f t="shared" si="333"/>
        <v>00527500540</v>
      </c>
      <c r="K3276" t="str">
        <f>""</f>
        <v/>
      </c>
      <c r="M3276" t="s">
        <v>68</v>
      </c>
      <c r="N3276" t="str">
        <f t="shared" si="332"/>
        <v>FOR</v>
      </c>
      <c r="O3276" t="s">
        <v>69</v>
      </c>
      <c r="P3276" s="3" t="s">
        <v>75</v>
      </c>
      <c r="Q3276">
        <v>2015</v>
      </c>
      <c r="R3276" s="2">
        <v>42124</v>
      </c>
      <c r="S3276" s="2">
        <v>42228</v>
      </c>
      <c r="T3276" s="2">
        <v>42221</v>
      </c>
      <c r="U3276" s="2">
        <v>42281</v>
      </c>
      <c r="V3276" t="s">
        <v>71</v>
      </c>
      <c r="W3276" t="str">
        <f>"              200247"</f>
        <v xml:space="preserve">              200247</v>
      </c>
      <c r="X3276" s="1">
        <v>4561.58</v>
      </c>
      <c r="Y3276">
        <v>0</v>
      </c>
      <c r="Z3276"/>
      <c r="AB3276"/>
      <c r="AC3276" s="1">
        <v>3739</v>
      </c>
      <c r="AD3276">
        <v>135</v>
      </c>
      <c r="AE3276" s="1">
        <v>504765</v>
      </c>
      <c r="AF3276">
        <v>0</v>
      </c>
      <c r="AJ3276">
        <v>0</v>
      </c>
      <c r="AK3276">
        <v>0</v>
      </c>
      <c r="AL3276">
        <v>0</v>
      </c>
      <c r="AM3276">
        <v>0</v>
      </c>
      <c r="AN3276">
        <v>0</v>
      </c>
      <c r="AO3276">
        <v>0</v>
      </c>
      <c r="AP3276" s="2">
        <v>42746</v>
      </c>
      <c r="AQ3276" t="s">
        <v>72</v>
      </c>
      <c r="AR3276" t="s">
        <v>72</v>
      </c>
      <c r="AS3276">
        <v>451</v>
      </c>
      <c r="AT3276" s="4">
        <v>42416</v>
      </c>
      <c r="AU3276" t="s">
        <v>73</v>
      </c>
      <c r="AV3276">
        <v>451</v>
      </c>
      <c r="AW3276" s="4">
        <v>42416</v>
      </c>
      <c r="BD3276">
        <v>0</v>
      </c>
      <c r="BN3276" t="s">
        <v>74</v>
      </c>
    </row>
    <row r="3277" spans="1:66" hidden="1">
      <c r="A3277">
        <v>101170</v>
      </c>
      <c r="B3277" s="3" t="s">
        <v>376</v>
      </c>
      <c r="C3277" s="1">
        <v>43300101</v>
      </c>
      <c r="D3277" t="s">
        <v>67</v>
      </c>
      <c r="H3277" t="str">
        <f t="shared" si="333"/>
        <v>00527500540</v>
      </c>
      <c r="I3277" t="str">
        <f t="shared" si="333"/>
        <v>00527500540</v>
      </c>
      <c r="K3277" t="str">
        <f>""</f>
        <v/>
      </c>
      <c r="M3277" t="s">
        <v>68</v>
      </c>
      <c r="N3277" t="str">
        <f t="shared" si="332"/>
        <v>FOR</v>
      </c>
      <c r="O3277" t="s">
        <v>69</v>
      </c>
      <c r="P3277" s="3" t="s">
        <v>75</v>
      </c>
      <c r="Q3277">
        <v>2015</v>
      </c>
      <c r="R3277" s="2">
        <v>42124</v>
      </c>
      <c r="S3277" s="2">
        <v>42228</v>
      </c>
      <c r="T3277" s="2">
        <v>42221</v>
      </c>
      <c r="U3277" s="2">
        <v>42281</v>
      </c>
      <c r="V3277" t="s">
        <v>71</v>
      </c>
      <c r="W3277" t="str">
        <f>"              200248"</f>
        <v xml:space="preserve">              200248</v>
      </c>
      <c r="X3277" s="1">
        <v>1817.8</v>
      </c>
      <c r="Y3277">
        <v>0</v>
      </c>
      <c r="Z3277"/>
      <c r="AB3277"/>
      <c r="AC3277" s="1">
        <v>1490</v>
      </c>
      <c r="AD3277">
        <v>135</v>
      </c>
      <c r="AE3277" s="1">
        <v>201150</v>
      </c>
      <c r="AF3277">
        <v>0</v>
      </c>
      <c r="AJ3277">
        <v>0</v>
      </c>
      <c r="AK3277">
        <v>0</v>
      </c>
      <c r="AL3277">
        <v>0</v>
      </c>
      <c r="AM3277">
        <v>0</v>
      </c>
      <c r="AN3277">
        <v>0</v>
      </c>
      <c r="AO3277">
        <v>0</v>
      </c>
      <c r="AP3277" s="2">
        <v>42746</v>
      </c>
      <c r="AQ3277" t="s">
        <v>72</v>
      </c>
      <c r="AR3277" t="s">
        <v>72</v>
      </c>
      <c r="AS3277">
        <v>451</v>
      </c>
      <c r="AT3277" s="4">
        <v>42416</v>
      </c>
      <c r="AU3277" t="s">
        <v>73</v>
      </c>
      <c r="AV3277">
        <v>451</v>
      </c>
      <c r="AW3277" s="4">
        <v>42416</v>
      </c>
      <c r="BD3277">
        <v>0</v>
      </c>
      <c r="BN3277" t="s">
        <v>74</v>
      </c>
    </row>
    <row r="3278" spans="1:66" hidden="1">
      <c r="A3278">
        <v>101170</v>
      </c>
      <c r="B3278" s="3" t="s">
        <v>376</v>
      </c>
      <c r="C3278" s="1">
        <v>43300101</v>
      </c>
      <c r="D3278" t="s">
        <v>67</v>
      </c>
      <c r="H3278" t="str">
        <f t="shared" si="333"/>
        <v>00527500540</v>
      </c>
      <c r="I3278" t="str">
        <f t="shared" si="333"/>
        <v>00527500540</v>
      </c>
      <c r="K3278" t="str">
        <f>""</f>
        <v/>
      </c>
      <c r="M3278" t="s">
        <v>68</v>
      </c>
      <c r="N3278" t="str">
        <f t="shared" si="332"/>
        <v>FOR</v>
      </c>
      <c r="O3278" t="s">
        <v>69</v>
      </c>
      <c r="P3278" s="3" t="s">
        <v>75</v>
      </c>
      <c r="Q3278">
        <v>2015</v>
      </c>
      <c r="R3278" s="2">
        <v>42124</v>
      </c>
      <c r="S3278" s="2">
        <v>42228</v>
      </c>
      <c r="T3278" s="2">
        <v>42221</v>
      </c>
      <c r="U3278" s="2">
        <v>42281</v>
      </c>
      <c r="V3278" t="s">
        <v>71</v>
      </c>
      <c r="W3278" t="str">
        <f>"              200249"</f>
        <v xml:space="preserve">              200249</v>
      </c>
      <c r="X3278">
        <v>351.36</v>
      </c>
      <c r="Y3278">
        <v>0</v>
      </c>
      <c r="Z3278"/>
      <c r="AB3278"/>
      <c r="AC3278">
        <v>288</v>
      </c>
      <c r="AD3278">
        <v>135</v>
      </c>
      <c r="AE3278" s="1">
        <v>38880</v>
      </c>
      <c r="AF3278">
        <v>0</v>
      </c>
      <c r="AJ3278">
        <v>0</v>
      </c>
      <c r="AK3278">
        <v>0</v>
      </c>
      <c r="AL3278">
        <v>0</v>
      </c>
      <c r="AM3278">
        <v>0</v>
      </c>
      <c r="AN3278">
        <v>0</v>
      </c>
      <c r="AO3278">
        <v>0</v>
      </c>
      <c r="AP3278" s="2">
        <v>42746</v>
      </c>
      <c r="AQ3278" t="s">
        <v>72</v>
      </c>
      <c r="AR3278" t="s">
        <v>72</v>
      </c>
      <c r="AS3278">
        <v>451</v>
      </c>
      <c r="AT3278" s="4">
        <v>42416</v>
      </c>
      <c r="AU3278" t="s">
        <v>73</v>
      </c>
      <c r="AV3278">
        <v>451</v>
      </c>
      <c r="AW3278" s="4">
        <v>42416</v>
      </c>
      <c r="BD3278">
        <v>0</v>
      </c>
      <c r="BN3278" t="s">
        <v>74</v>
      </c>
    </row>
    <row r="3279" spans="1:66" hidden="1">
      <c r="A3279">
        <v>101170</v>
      </c>
      <c r="B3279" s="3" t="s">
        <v>376</v>
      </c>
      <c r="C3279" s="1">
        <v>43300101</v>
      </c>
      <c r="D3279" t="s">
        <v>67</v>
      </c>
      <c r="H3279" t="str">
        <f t="shared" si="333"/>
        <v>00527500540</v>
      </c>
      <c r="I3279" t="str">
        <f t="shared" si="333"/>
        <v>00527500540</v>
      </c>
      <c r="K3279" t="str">
        <f>""</f>
        <v/>
      </c>
      <c r="M3279" t="s">
        <v>68</v>
      </c>
      <c r="N3279" t="str">
        <f t="shared" si="332"/>
        <v>FOR</v>
      </c>
      <c r="O3279" t="s">
        <v>69</v>
      </c>
      <c r="P3279" s="3" t="s">
        <v>75</v>
      </c>
      <c r="Q3279">
        <v>2015</v>
      </c>
      <c r="R3279" s="2">
        <v>42124</v>
      </c>
      <c r="S3279" s="2">
        <v>42228</v>
      </c>
      <c r="T3279" s="2">
        <v>42221</v>
      </c>
      <c r="U3279" s="2">
        <v>42281</v>
      </c>
      <c r="V3279" t="s">
        <v>71</v>
      </c>
      <c r="W3279" t="str">
        <f>"              200250"</f>
        <v xml:space="preserve">              200250</v>
      </c>
      <c r="X3279" s="1">
        <v>3908.88</v>
      </c>
      <c r="Y3279">
        <v>0</v>
      </c>
      <c r="Z3279"/>
      <c r="AB3279"/>
      <c r="AC3279" s="1">
        <v>3204</v>
      </c>
      <c r="AD3279">
        <v>135</v>
      </c>
      <c r="AE3279" s="1">
        <v>432540</v>
      </c>
      <c r="AF3279">
        <v>0</v>
      </c>
      <c r="AJ3279">
        <v>0</v>
      </c>
      <c r="AK3279">
        <v>0</v>
      </c>
      <c r="AL3279">
        <v>0</v>
      </c>
      <c r="AM3279">
        <v>0</v>
      </c>
      <c r="AN3279">
        <v>0</v>
      </c>
      <c r="AO3279">
        <v>0</v>
      </c>
      <c r="AP3279" s="2">
        <v>42746</v>
      </c>
      <c r="AQ3279" t="s">
        <v>72</v>
      </c>
      <c r="AR3279" t="s">
        <v>72</v>
      </c>
      <c r="AS3279">
        <v>451</v>
      </c>
      <c r="AT3279" s="4">
        <v>42416</v>
      </c>
      <c r="AU3279" t="s">
        <v>73</v>
      </c>
      <c r="AV3279">
        <v>451</v>
      </c>
      <c r="AW3279" s="4">
        <v>42416</v>
      </c>
      <c r="BD3279">
        <v>0</v>
      </c>
      <c r="BN3279" t="s">
        <v>74</v>
      </c>
    </row>
    <row r="3280" spans="1:66" hidden="1">
      <c r="A3280">
        <v>101170</v>
      </c>
      <c r="B3280" s="3" t="s">
        <v>376</v>
      </c>
      <c r="C3280" s="1">
        <v>43300101</v>
      </c>
      <c r="D3280" t="s">
        <v>67</v>
      </c>
      <c r="H3280" t="str">
        <f t="shared" si="333"/>
        <v>00527500540</v>
      </c>
      <c r="I3280" t="str">
        <f t="shared" si="333"/>
        <v>00527500540</v>
      </c>
      <c r="K3280" t="str">
        <f>""</f>
        <v/>
      </c>
      <c r="M3280" t="s">
        <v>68</v>
      </c>
      <c r="N3280" t="str">
        <f t="shared" si="332"/>
        <v>FOR</v>
      </c>
      <c r="O3280" t="s">
        <v>69</v>
      </c>
      <c r="P3280" s="3" t="s">
        <v>75</v>
      </c>
      <c r="Q3280">
        <v>2015</v>
      </c>
      <c r="R3280" s="2">
        <v>42124</v>
      </c>
      <c r="S3280" s="2">
        <v>42228</v>
      </c>
      <c r="T3280" s="2">
        <v>42221</v>
      </c>
      <c r="U3280" s="2">
        <v>42281</v>
      </c>
      <c r="V3280" t="s">
        <v>71</v>
      </c>
      <c r="W3280" t="str">
        <f>"              200251"</f>
        <v xml:space="preserve">              200251</v>
      </c>
      <c r="X3280" s="1">
        <v>3908.88</v>
      </c>
      <c r="Y3280">
        <v>0</v>
      </c>
      <c r="Z3280"/>
      <c r="AB3280"/>
      <c r="AC3280" s="1">
        <v>3204</v>
      </c>
      <c r="AD3280">
        <v>135</v>
      </c>
      <c r="AE3280" s="1">
        <v>432540</v>
      </c>
      <c r="AF3280">
        <v>0</v>
      </c>
      <c r="AJ3280">
        <v>0</v>
      </c>
      <c r="AK3280">
        <v>0</v>
      </c>
      <c r="AL3280">
        <v>0</v>
      </c>
      <c r="AM3280">
        <v>0</v>
      </c>
      <c r="AN3280">
        <v>0</v>
      </c>
      <c r="AO3280">
        <v>0</v>
      </c>
      <c r="AP3280" s="2">
        <v>42746</v>
      </c>
      <c r="AQ3280" t="s">
        <v>72</v>
      </c>
      <c r="AR3280" t="s">
        <v>72</v>
      </c>
      <c r="AS3280">
        <v>451</v>
      </c>
      <c r="AT3280" s="4">
        <v>42416</v>
      </c>
      <c r="AU3280" t="s">
        <v>73</v>
      </c>
      <c r="AV3280">
        <v>451</v>
      </c>
      <c r="AW3280" s="4">
        <v>42416</v>
      </c>
      <c r="BD3280">
        <v>0</v>
      </c>
      <c r="BN3280" t="s">
        <v>74</v>
      </c>
    </row>
    <row r="3281" spans="1:66" hidden="1">
      <c r="A3281">
        <v>101170</v>
      </c>
      <c r="B3281" s="3" t="s">
        <v>376</v>
      </c>
      <c r="C3281" s="1">
        <v>43300101</v>
      </c>
      <c r="D3281" t="s">
        <v>67</v>
      </c>
      <c r="H3281" t="str">
        <f t="shared" si="333"/>
        <v>00527500540</v>
      </c>
      <c r="I3281" t="str">
        <f t="shared" si="333"/>
        <v>00527500540</v>
      </c>
      <c r="K3281" t="str">
        <f>""</f>
        <v/>
      </c>
      <c r="M3281" t="s">
        <v>68</v>
      </c>
      <c r="N3281" t="str">
        <f t="shared" si="332"/>
        <v>FOR</v>
      </c>
      <c r="O3281" t="s">
        <v>69</v>
      </c>
      <c r="P3281" s="3" t="s">
        <v>75</v>
      </c>
      <c r="Q3281">
        <v>2015</v>
      </c>
      <c r="R3281" s="2">
        <v>42124</v>
      </c>
      <c r="S3281" s="2">
        <v>42135</v>
      </c>
      <c r="T3281" s="2">
        <v>42133</v>
      </c>
      <c r="U3281" s="2">
        <v>42193</v>
      </c>
      <c r="V3281" t="s">
        <v>71</v>
      </c>
      <c r="W3281" t="str">
        <f>"              200252"</f>
        <v xml:space="preserve">              200252</v>
      </c>
      <c r="X3281">
        <v>244</v>
      </c>
      <c r="Y3281">
        <v>0</v>
      </c>
      <c r="Z3281"/>
      <c r="AB3281"/>
      <c r="AC3281">
        <v>200</v>
      </c>
      <c r="AD3281">
        <v>223</v>
      </c>
      <c r="AE3281" s="1">
        <v>44600</v>
      </c>
      <c r="AF3281">
        <v>0</v>
      </c>
      <c r="AJ3281">
        <v>0</v>
      </c>
      <c r="AK3281">
        <v>0</v>
      </c>
      <c r="AL3281">
        <v>0</v>
      </c>
      <c r="AM3281">
        <v>0</v>
      </c>
      <c r="AN3281">
        <v>0</v>
      </c>
      <c r="AO3281">
        <v>0</v>
      </c>
      <c r="AP3281" s="2">
        <v>42746</v>
      </c>
      <c r="AQ3281" t="s">
        <v>72</v>
      </c>
      <c r="AR3281" t="s">
        <v>72</v>
      </c>
      <c r="AS3281">
        <v>451</v>
      </c>
      <c r="AT3281" s="4">
        <v>42416</v>
      </c>
      <c r="AU3281" t="s">
        <v>73</v>
      </c>
      <c r="AV3281">
        <v>451</v>
      </c>
      <c r="AW3281" s="4">
        <v>42416</v>
      </c>
      <c r="BD3281">
        <v>0</v>
      </c>
      <c r="BN3281" t="s">
        <v>74</v>
      </c>
    </row>
    <row r="3282" spans="1:66" hidden="1">
      <c r="A3282">
        <v>101170</v>
      </c>
      <c r="B3282" s="3" t="s">
        <v>376</v>
      </c>
      <c r="C3282" s="1">
        <v>43300101</v>
      </c>
      <c r="D3282" t="s">
        <v>67</v>
      </c>
      <c r="H3282" t="str">
        <f t="shared" si="333"/>
        <v>00527500540</v>
      </c>
      <c r="I3282" t="str">
        <f t="shared" si="333"/>
        <v>00527500540</v>
      </c>
      <c r="K3282" t="str">
        <f>""</f>
        <v/>
      </c>
      <c r="M3282" t="s">
        <v>68</v>
      </c>
      <c r="N3282" t="str">
        <f t="shared" si="332"/>
        <v>FOR</v>
      </c>
      <c r="O3282" t="s">
        <v>69</v>
      </c>
      <c r="P3282" s="3" t="s">
        <v>75</v>
      </c>
      <c r="Q3282">
        <v>2015</v>
      </c>
      <c r="R3282" s="2">
        <v>42124</v>
      </c>
      <c r="S3282" s="2">
        <v>42135</v>
      </c>
      <c r="T3282" s="2">
        <v>42133</v>
      </c>
      <c r="U3282" s="2">
        <v>42193</v>
      </c>
      <c r="V3282" t="s">
        <v>71</v>
      </c>
      <c r="W3282" t="str">
        <f>"              200253"</f>
        <v xml:space="preserve">              200253</v>
      </c>
      <c r="X3282" s="1">
        <v>5124</v>
      </c>
      <c r="Y3282">
        <v>0</v>
      </c>
      <c r="Z3282"/>
      <c r="AB3282"/>
      <c r="AC3282" s="1">
        <v>4200</v>
      </c>
      <c r="AD3282">
        <v>223</v>
      </c>
      <c r="AE3282" s="1">
        <v>936600</v>
      </c>
      <c r="AF3282">
        <v>0</v>
      </c>
      <c r="AJ3282">
        <v>0</v>
      </c>
      <c r="AK3282">
        <v>0</v>
      </c>
      <c r="AL3282">
        <v>0</v>
      </c>
      <c r="AM3282">
        <v>0</v>
      </c>
      <c r="AN3282">
        <v>0</v>
      </c>
      <c r="AO3282">
        <v>0</v>
      </c>
      <c r="AP3282" s="2">
        <v>42746</v>
      </c>
      <c r="AQ3282" t="s">
        <v>72</v>
      </c>
      <c r="AR3282" t="s">
        <v>72</v>
      </c>
      <c r="AS3282">
        <v>451</v>
      </c>
      <c r="AT3282" s="4">
        <v>42416</v>
      </c>
      <c r="AU3282" t="s">
        <v>73</v>
      </c>
      <c r="AV3282">
        <v>451</v>
      </c>
      <c r="AW3282" s="4">
        <v>42416</v>
      </c>
      <c r="BD3282">
        <v>0</v>
      </c>
      <c r="BN3282" t="s">
        <v>74</v>
      </c>
    </row>
    <row r="3283" spans="1:66" hidden="1">
      <c r="A3283">
        <v>101170</v>
      </c>
      <c r="B3283" s="3" t="s">
        <v>376</v>
      </c>
      <c r="C3283" s="1">
        <v>43300101</v>
      </c>
      <c r="D3283" t="s">
        <v>67</v>
      </c>
      <c r="H3283" t="str">
        <f t="shared" si="333"/>
        <v>00527500540</v>
      </c>
      <c r="I3283" t="str">
        <f t="shared" si="333"/>
        <v>00527500540</v>
      </c>
      <c r="K3283" t="str">
        <f>""</f>
        <v/>
      </c>
      <c r="M3283" t="s">
        <v>68</v>
      </c>
      <c r="N3283" t="str">
        <f t="shared" si="332"/>
        <v>FOR</v>
      </c>
      <c r="O3283" t="s">
        <v>69</v>
      </c>
      <c r="P3283" s="3" t="s">
        <v>75</v>
      </c>
      <c r="Q3283">
        <v>2015</v>
      </c>
      <c r="R3283" s="2">
        <v>42124</v>
      </c>
      <c r="S3283" s="2">
        <v>42135</v>
      </c>
      <c r="T3283" s="2">
        <v>42133</v>
      </c>
      <c r="U3283" s="2">
        <v>42193</v>
      </c>
      <c r="V3283" t="s">
        <v>71</v>
      </c>
      <c r="W3283" t="str">
        <f>"              200254"</f>
        <v xml:space="preserve">              200254</v>
      </c>
      <c r="X3283" s="1">
        <v>2806</v>
      </c>
      <c r="Y3283">
        <v>0</v>
      </c>
      <c r="Z3283"/>
      <c r="AB3283"/>
      <c r="AC3283" s="1">
        <v>2300</v>
      </c>
      <c r="AD3283">
        <v>223</v>
      </c>
      <c r="AE3283" s="1">
        <v>512900</v>
      </c>
      <c r="AF3283">
        <v>0</v>
      </c>
      <c r="AJ3283">
        <v>0</v>
      </c>
      <c r="AK3283">
        <v>0</v>
      </c>
      <c r="AL3283">
        <v>0</v>
      </c>
      <c r="AM3283">
        <v>0</v>
      </c>
      <c r="AN3283">
        <v>0</v>
      </c>
      <c r="AO3283">
        <v>0</v>
      </c>
      <c r="AP3283" s="2">
        <v>42746</v>
      </c>
      <c r="AQ3283" t="s">
        <v>72</v>
      </c>
      <c r="AR3283" t="s">
        <v>72</v>
      </c>
      <c r="AS3283">
        <v>451</v>
      </c>
      <c r="AT3283" s="4">
        <v>42416</v>
      </c>
      <c r="AU3283" t="s">
        <v>73</v>
      </c>
      <c r="AV3283">
        <v>451</v>
      </c>
      <c r="AW3283" s="4">
        <v>42416</v>
      </c>
      <c r="BD3283">
        <v>0</v>
      </c>
      <c r="BN3283" t="s">
        <v>74</v>
      </c>
    </row>
    <row r="3284" spans="1:66" hidden="1">
      <c r="A3284">
        <v>101170</v>
      </c>
      <c r="B3284" s="3" t="s">
        <v>376</v>
      </c>
      <c r="C3284" s="1">
        <v>43300101</v>
      </c>
      <c r="D3284" t="s">
        <v>67</v>
      </c>
      <c r="H3284" t="str">
        <f t="shared" si="333"/>
        <v>00527500540</v>
      </c>
      <c r="I3284" t="str">
        <f t="shared" si="333"/>
        <v>00527500540</v>
      </c>
      <c r="K3284" t="str">
        <f>""</f>
        <v/>
      </c>
      <c r="M3284" t="s">
        <v>68</v>
      </c>
      <c r="N3284" t="str">
        <f t="shared" si="332"/>
        <v>FOR</v>
      </c>
      <c r="O3284" t="s">
        <v>69</v>
      </c>
      <c r="P3284" s="3" t="s">
        <v>75</v>
      </c>
      <c r="Q3284">
        <v>2015</v>
      </c>
      <c r="R3284" s="2">
        <v>42124</v>
      </c>
      <c r="S3284" s="2">
        <v>42135</v>
      </c>
      <c r="T3284" s="2">
        <v>42133</v>
      </c>
      <c r="U3284" s="2">
        <v>42193</v>
      </c>
      <c r="V3284" t="s">
        <v>71</v>
      </c>
      <c r="W3284" t="str">
        <f>"              200255"</f>
        <v xml:space="preserve">              200255</v>
      </c>
      <c r="X3284" s="1">
        <v>5124</v>
      </c>
      <c r="Y3284">
        <v>0</v>
      </c>
      <c r="Z3284"/>
      <c r="AB3284"/>
      <c r="AC3284" s="1">
        <v>4200</v>
      </c>
      <c r="AD3284">
        <v>223</v>
      </c>
      <c r="AE3284" s="1">
        <v>936600</v>
      </c>
      <c r="AF3284">
        <v>0</v>
      </c>
      <c r="AJ3284">
        <v>0</v>
      </c>
      <c r="AK3284">
        <v>0</v>
      </c>
      <c r="AL3284">
        <v>0</v>
      </c>
      <c r="AM3284">
        <v>0</v>
      </c>
      <c r="AN3284">
        <v>0</v>
      </c>
      <c r="AO3284">
        <v>0</v>
      </c>
      <c r="AP3284" s="2">
        <v>42746</v>
      </c>
      <c r="AQ3284" t="s">
        <v>72</v>
      </c>
      <c r="AR3284" t="s">
        <v>72</v>
      </c>
      <c r="AS3284">
        <v>451</v>
      </c>
      <c r="AT3284" s="4">
        <v>42416</v>
      </c>
      <c r="AU3284" t="s">
        <v>73</v>
      </c>
      <c r="AV3284">
        <v>451</v>
      </c>
      <c r="AW3284" s="4">
        <v>42416</v>
      </c>
      <c r="BD3284">
        <v>0</v>
      </c>
      <c r="BN3284" t="s">
        <v>74</v>
      </c>
    </row>
    <row r="3285" spans="1:66" hidden="1">
      <c r="A3285">
        <v>101170</v>
      </c>
      <c r="B3285" s="3" t="s">
        <v>376</v>
      </c>
      <c r="C3285" s="1">
        <v>43300101</v>
      </c>
      <c r="D3285" t="s">
        <v>67</v>
      </c>
      <c r="H3285" t="str">
        <f t="shared" si="333"/>
        <v>00527500540</v>
      </c>
      <c r="I3285" t="str">
        <f t="shared" si="333"/>
        <v>00527500540</v>
      </c>
      <c r="K3285" t="str">
        <f>""</f>
        <v/>
      </c>
      <c r="M3285" t="s">
        <v>68</v>
      </c>
      <c r="N3285" t="str">
        <f t="shared" si="332"/>
        <v>FOR</v>
      </c>
      <c r="O3285" t="s">
        <v>69</v>
      </c>
      <c r="P3285" s="3" t="s">
        <v>75</v>
      </c>
      <c r="Q3285">
        <v>2015</v>
      </c>
      <c r="R3285" s="2">
        <v>42124</v>
      </c>
      <c r="S3285" s="2">
        <v>42163</v>
      </c>
      <c r="T3285" s="2">
        <v>42149</v>
      </c>
      <c r="U3285" s="2">
        <v>42209</v>
      </c>
      <c r="V3285" t="s">
        <v>71</v>
      </c>
      <c r="W3285" t="str">
        <f>"              200294"</f>
        <v xml:space="preserve">              200294</v>
      </c>
      <c r="X3285" s="1">
        <v>5048.3599999999997</v>
      </c>
      <c r="Y3285">
        <v>0</v>
      </c>
      <c r="Z3285"/>
      <c r="AB3285"/>
      <c r="AC3285" s="1">
        <v>4138</v>
      </c>
      <c r="AD3285">
        <v>207</v>
      </c>
      <c r="AE3285" s="1">
        <v>856566</v>
      </c>
      <c r="AF3285">
        <v>0</v>
      </c>
      <c r="AJ3285">
        <v>0</v>
      </c>
      <c r="AK3285">
        <v>0</v>
      </c>
      <c r="AL3285">
        <v>0</v>
      </c>
      <c r="AM3285">
        <v>0</v>
      </c>
      <c r="AN3285">
        <v>0</v>
      </c>
      <c r="AO3285">
        <v>0</v>
      </c>
      <c r="AP3285" s="2">
        <v>42746</v>
      </c>
      <c r="AQ3285" t="s">
        <v>72</v>
      </c>
      <c r="AR3285" t="s">
        <v>72</v>
      </c>
      <c r="AS3285">
        <v>452</v>
      </c>
      <c r="AT3285" s="4">
        <v>42416</v>
      </c>
      <c r="AU3285" t="s">
        <v>73</v>
      </c>
      <c r="AV3285">
        <v>452</v>
      </c>
      <c r="AW3285" s="4">
        <v>42416</v>
      </c>
      <c r="BD3285">
        <v>0</v>
      </c>
      <c r="BN3285" t="s">
        <v>74</v>
      </c>
    </row>
    <row r="3286" spans="1:66" hidden="1">
      <c r="A3286">
        <v>101170</v>
      </c>
      <c r="B3286" s="3" t="s">
        <v>376</v>
      </c>
      <c r="C3286" s="1">
        <v>43300101</v>
      </c>
      <c r="D3286" t="s">
        <v>67</v>
      </c>
      <c r="H3286" t="str">
        <f t="shared" si="333"/>
        <v>00527500540</v>
      </c>
      <c r="I3286" t="str">
        <f t="shared" si="333"/>
        <v>00527500540</v>
      </c>
      <c r="K3286" t="str">
        <f>""</f>
        <v/>
      </c>
      <c r="M3286" t="s">
        <v>68</v>
      </c>
      <c r="N3286" t="str">
        <f t="shared" si="332"/>
        <v>FOR</v>
      </c>
      <c r="O3286" t="s">
        <v>69</v>
      </c>
      <c r="P3286" s="3" t="s">
        <v>75</v>
      </c>
      <c r="Q3286">
        <v>2015</v>
      </c>
      <c r="R3286" s="2">
        <v>42124</v>
      </c>
      <c r="S3286" s="2">
        <v>42163</v>
      </c>
      <c r="T3286" s="2">
        <v>42149</v>
      </c>
      <c r="U3286" s="2">
        <v>42209</v>
      </c>
      <c r="V3286" t="s">
        <v>71</v>
      </c>
      <c r="W3286" t="str">
        <f>"              200296"</f>
        <v xml:space="preserve">              200296</v>
      </c>
      <c r="X3286" s="1">
        <v>5048.3599999999997</v>
      </c>
      <c r="Y3286">
        <v>0</v>
      </c>
      <c r="Z3286"/>
      <c r="AB3286"/>
      <c r="AC3286" s="1">
        <v>4138</v>
      </c>
      <c r="AD3286">
        <v>207</v>
      </c>
      <c r="AE3286" s="1">
        <v>856566</v>
      </c>
      <c r="AF3286">
        <v>0</v>
      </c>
      <c r="AJ3286">
        <v>0</v>
      </c>
      <c r="AK3286">
        <v>0</v>
      </c>
      <c r="AL3286">
        <v>0</v>
      </c>
      <c r="AM3286">
        <v>0</v>
      </c>
      <c r="AN3286">
        <v>0</v>
      </c>
      <c r="AO3286">
        <v>0</v>
      </c>
      <c r="AP3286" s="2">
        <v>42746</v>
      </c>
      <c r="AQ3286" t="s">
        <v>72</v>
      </c>
      <c r="AR3286" t="s">
        <v>72</v>
      </c>
      <c r="AS3286">
        <v>452</v>
      </c>
      <c r="AT3286" s="4">
        <v>42416</v>
      </c>
      <c r="AU3286" t="s">
        <v>73</v>
      </c>
      <c r="AV3286">
        <v>452</v>
      </c>
      <c r="AW3286" s="4">
        <v>42416</v>
      </c>
      <c r="BD3286">
        <v>0</v>
      </c>
      <c r="BN3286" t="s">
        <v>74</v>
      </c>
    </row>
    <row r="3287" spans="1:66" hidden="1">
      <c r="A3287">
        <v>101170</v>
      </c>
      <c r="B3287" s="3" t="s">
        <v>376</v>
      </c>
      <c r="C3287" s="1">
        <v>43300101</v>
      </c>
      <c r="D3287" t="s">
        <v>67</v>
      </c>
      <c r="H3287" t="str">
        <f t="shared" si="333"/>
        <v>00527500540</v>
      </c>
      <c r="I3287" t="str">
        <f t="shared" si="333"/>
        <v>00527500540</v>
      </c>
      <c r="K3287" t="str">
        <f>""</f>
        <v/>
      </c>
      <c r="M3287" t="s">
        <v>68</v>
      </c>
      <c r="N3287" t="str">
        <f t="shared" si="332"/>
        <v>FOR</v>
      </c>
      <c r="O3287" t="s">
        <v>69</v>
      </c>
      <c r="P3287" s="3" t="s">
        <v>75</v>
      </c>
      <c r="Q3287">
        <v>2015</v>
      </c>
      <c r="R3287" s="2">
        <v>42124</v>
      </c>
      <c r="S3287" s="2">
        <v>42163</v>
      </c>
      <c r="T3287" s="2">
        <v>42149</v>
      </c>
      <c r="U3287" s="2">
        <v>42209</v>
      </c>
      <c r="V3287" t="s">
        <v>71</v>
      </c>
      <c r="W3287" t="str">
        <f>"              200297"</f>
        <v xml:space="preserve">              200297</v>
      </c>
      <c r="X3287" s="1">
        <v>4938.5600000000004</v>
      </c>
      <c r="Y3287">
        <v>0</v>
      </c>
      <c r="Z3287"/>
      <c r="AB3287"/>
      <c r="AC3287" s="1">
        <v>4048</v>
      </c>
      <c r="AD3287">
        <v>207</v>
      </c>
      <c r="AE3287" s="1">
        <v>837936</v>
      </c>
      <c r="AF3287">
        <v>0</v>
      </c>
      <c r="AJ3287">
        <v>0</v>
      </c>
      <c r="AK3287">
        <v>0</v>
      </c>
      <c r="AL3287">
        <v>0</v>
      </c>
      <c r="AM3287">
        <v>0</v>
      </c>
      <c r="AN3287">
        <v>0</v>
      </c>
      <c r="AO3287">
        <v>0</v>
      </c>
      <c r="AP3287" s="2">
        <v>42746</v>
      </c>
      <c r="AQ3287" t="s">
        <v>72</v>
      </c>
      <c r="AR3287" t="s">
        <v>72</v>
      </c>
      <c r="AS3287">
        <v>452</v>
      </c>
      <c r="AT3287" s="4">
        <v>42416</v>
      </c>
      <c r="AU3287" t="s">
        <v>73</v>
      </c>
      <c r="AV3287">
        <v>452</v>
      </c>
      <c r="AW3287" s="4">
        <v>42416</v>
      </c>
      <c r="BD3287">
        <v>0</v>
      </c>
      <c r="BN3287" t="s">
        <v>74</v>
      </c>
    </row>
    <row r="3288" spans="1:66" hidden="1">
      <c r="A3288">
        <v>101170</v>
      </c>
      <c r="B3288" s="3" t="s">
        <v>376</v>
      </c>
      <c r="C3288" s="1">
        <v>43300101</v>
      </c>
      <c r="D3288" t="s">
        <v>67</v>
      </c>
      <c r="H3288" t="str">
        <f t="shared" si="333"/>
        <v>00527500540</v>
      </c>
      <c r="I3288" t="str">
        <f t="shared" si="333"/>
        <v>00527500540</v>
      </c>
      <c r="K3288" t="str">
        <f>""</f>
        <v/>
      </c>
      <c r="M3288" t="s">
        <v>68</v>
      </c>
      <c r="N3288" t="str">
        <f t="shared" si="332"/>
        <v>FOR</v>
      </c>
      <c r="O3288" t="s">
        <v>69</v>
      </c>
      <c r="P3288" s="3" t="s">
        <v>75</v>
      </c>
      <c r="Q3288">
        <v>2015</v>
      </c>
      <c r="R3288" s="2">
        <v>42124</v>
      </c>
      <c r="S3288" s="2">
        <v>42163</v>
      </c>
      <c r="T3288" s="2">
        <v>42150</v>
      </c>
      <c r="U3288" s="2">
        <v>42210</v>
      </c>
      <c r="V3288" t="s">
        <v>71</v>
      </c>
      <c r="W3288" t="str">
        <f>"              200299"</f>
        <v xml:space="preserve">              200299</v>
      </c>
      <c r="X3288" s="1">
        <v>3202.5</v>
      </c>
      <c r="Y3288">
        <v>0</v>
      </c>
      <c r="Z3288"/>
      <c r="AB3288"/>
      <c r="AC3288" s="1">
        <v>2625</v>
      </c>
      <c r="AD3288">
        <v>206</v>
      </c>
      <c r="AE3288" s="1">
        <v>540750</v>
      </c>
      <c r="AF3288">
        <v>0</v>
      </c>
      <c r="AJ3288">
        <v>0</v>
      </c>
      <c r="AK3288">
        <v>0</v>
      </c>
      <c r="AL3288">
        <v>0</v>
      </c>
      <c r="AM3288">
        <v>0</v>
      </c>
      <c r="AN3288">
        <v>0</v>
      </c>
      <c r="AO3288">
        <v>0</v>
      </c>
      <c r="AP3288" s="2">
        <v>42746</v>
      </c>
      <c r="AQ3288" t="s">
        <v>72</v>
      </c>
      <c r="AR3288" t="s">
        <v>72</v>
      </c>
      <c r="AS3288">
        <v>452</v>
      </c>
      <c r="AT3288" s="4">
        <v>42416</v>
      </c>
      <c r="AU3288" t="s">
        <v>73</v>
      </c>
      <c r="AV3288">
        <v>452</v>
      </c>
      <c r="AW3288" s="4">
        <v>42416</v>
      </c>
      <c r="BD3288">
        <v>0</v>
      </c>
      <c r="BN3288" t="s">
        <v>74</v>
      </c>
    </row>
    <row r="3289" spans="1:66" hidden="1">
      <c r="A3289">
        <v>101170</v>
      </c>
      <c r="B3289" s="3" t="s">
        <v>376</v>
      </c>
      <c r="C3289" s="1">
        <v>43300101</v>
      </c>
      <c r="D3289" t="s">
        <v>67</v>
      </c>
      <c r="H3289" t="str">
        <f t="shared" si="333"/>
        <v>00527500540</v>
      </c>
      <c r="I3289" t="str">
        <f t="shared" si="333"/>
        <v>00527500540</v>
      </c>
      <c r="K3289" t="str">
        <f>""</f>
        <v/>
      </c>
      <c r="M3289" t="s">
        <v>68</v>
      </c>
      <c r="N3289" t="str">
        <f t="shared" si="332"/>
        <v>FOR</v>
      </c>
      <c r="O3289" t="s">
        <v>69</v>
      </c>
      <c r="P3289" s="3" t="s">
        <v>75</v>
      </c>
      <c r="Q3289">
        <v>2015</v>
      </c>
      <c r="R3289" s="2">
        <v>42124</v>
      </c>
      <c r="S3289" s="2">
        <v>42163</v>
      </c>
      <c r="T3289" s="2">
        <v>42149</v>
      </c>
      <c r="U3289" s="2">
        <v>42209</v>
      </c>
      <c r="V3289" t="s">
        <v>71</v>
      </c>
      <c r="W3289" t="str">
        <f>"              200306"</f>
        <v xml:space="preserve">              200306</v>
      </c>
      <c r="X3289" s="1">
        <v>2508.69</v>
      </c>
      <c r="Y3289">
        <v>0</v>
      </c>
      <c r="Z3289"/>
      <c r="AB3289"/>
      <c r="AC3289" s="1">
        <v>2056.3000000000002</v>
      </c>
      <c r="AD3289">
        <v>207</v>
      </c>
      <c r="AE3289" s="1">
        <v>425654.1</v>
      </c>
      <c r="AF3289">
        <v>0</v>
      </c>
      <c r="AJ3289">
        <v>0</v>
      </c>
      <c r="AK3289">
        <v>0</v>
      </c>
      <c r="AL3289">
        <v>0</v>
      </c>
      <c r="AM3289">
        <v>0</v>
      </c>
      <c r="AN3289">
        <v>0</v>
      </c>
      <c r="AO3289">
        <v>0</v>
      </c>
      <c r="AP3289" s="2">
        <v>42746</v>
      </c>
      <c r="AQ3289" t="s">
        <v>72</v>
      </c>
      <c r="AR3289" t="s">
        <v>72</v>
      </c>
      <c r="AS3289">
        <v>452</v>
      </c>
      <c r="AT3289" s="4">
        <v>42416</v>
      </c>
      <c r="AU3289" t="s">
        <v>73</v>
      </c>
      <c r="AV3289">
        <v>452</v>
      </c>
      <c r="AW3289" s="4">
        <v>42416</v>
      </c>
      <c r="BD3289">
        <v>0</v>
      </c>
      <c r="BN3289" t="s">
        <v>74</v>
      </c>
    </row>
    <row r="3290" spans="1:66" hidden="1">
      <c r="A3290">
        <v>101170</v>
      </c>
      <c r="B3290" s="3" t="s">
        <v>376</v>
      </c>
      <c r="C3290" s="1">
        <v>43300101</v>
      </c>
      <c r="D3290" t="s">
        <v>67</v>
      </c>
      <c r="H3290" t="str">
        <f t="shared" ref="H3290:I3309" si="334">"00527500540"</f>
        <v>00527500540</v>
      </c>
      <c r="I3290" t="str">
        <f t="shared" si="334"/>
        <v>00527500540</v>
      </c>
      <c r="K3290" t="str">
        <f>""</f>
        <v/>
      </c>
      <c r="M3290" t="s">
        <v>68</v>
      </c>
      <c r="N3290" t="str">
        <f t="shared" ref="N3290:N3321" si="335">"FOR"</f>
        <v>FOR</v>
      </c>
      <c r="O3290" t="s">
        <v>69</v>
      </c>
      <c r="P3290" s="3" t="s">
        <v>75</v>
      </c>
      <c r="Q3290">
        <v>2015</v>
      </c>
      <c r="R3290" s="2">
        <v>42124</v>
      </c>
      <c r="S3290" s="2">
        <v>42163</v>
      </c>
      <c r="T3290" s="2">
        <v>42149</v>
      </c>
      <c r="U3290" s="2">
        <v>42209</v>
      </c>
      <c r="V3290" t="s">
        <v>71</v>
      </c>
      <c r="W3290" t="str">
        <f>"              200308"</f>
        <v xml:space="preserve">              200308</v>
      </c>
      <c r="X3290">
        <v>976</v>
      </c>
      <c r="Y3290">
        <v>0</v>
      </c>
      <c r="Z3290"/>
      <c r="AB3290"/>
      <c r="AC3290">
        <v>800</v>
      </c>
      <c r="AD3290">
        <v>207</v>
      </c>
      <c r="AE3290" s="1">
        <v>165600</v>
      </c>
      <c r="AF3290">
        <v>0</v>
      </c>
      <c r="AJ3290">
        <v>0</v>
      </c>
      <c r="AK3290">
        <v>0</v>
      </c>
      <c r="AL3290">
        <v>0</v>
      </c>
      <c r="AM3290">
        <v>0</v>
      </c>
      <c r="AN3290">
        <v>0</v>
      </c>
      <c r="AO3290">
        <v>0</v>
      </c>
      <c r="AP3290" s="2">
        <v>42746</v>
      </c>
      <c r="AQ3290" t="s">
        <v>72</v>
      </c>
      <c r="AR3290" t="s">
        <v>72</v>
      </c>
      <c r="AS3290">
        <v>452</v>
      </c>
      <c r="AT3290" s="4">
        <v>42416</v>
      </c>
      <c r="AU3290" t="s">
        <v>73</v>
      </c>
      <c r="AV3290">
        <v>452</v>
      </c>
      <c r="AW3290" s="4">
        <v>42416</v>
      </c>
      <c r="BD3290">
        <v>0</v>
      </c>
      <c r="BN3290" t="s">
        <v>74</v>
      </c>
    </row>
    <row r="3291" spans="1:66">
      <c r="A3291">
        <v>101170</v>
      </c>
      <c r="B3291" s="3" t="s">
        <v>376</v>
      </c>
      <c r="C3291" s="1">
        <v>43300101</v>
      </c>
      <c r="D3291" t="s">
        <v>67</v>
      </c>
      <c r="H3291" t="str">
        <f t="shared" si="334"/>
        <v>00527500540</v>
      </c>
      <c r="I3291" t="str">
        <f t="shared" si="334"/>
        <v>00527500540</v>
      </c>
      <c r="K3291" t="str">
        <f>""</f>
        <v/>
      </c>
      <c r="M3291" t="s">
        <v>68</v>
      </c>
      <c r="N3291" t="str">
        <f t="shared" si="335"/>
        <v>FOR</v>
      </c>
      <c r="O3291" t="s">
        <v>69</v>
      </c>
      <c r="P3291" s="3" t="s">
        <v>75</v>
      </c>
      <c r="Q3291">
        <v>2015</v>
      </c>
      <c r="R3291" s="2">
        <v>42142</v>
      </c>
      <c r="S3291" s="2">
        <v>42163</v>
      </c>
      <c r="T3291" s="2">
        <v>42152</v>
      </c>
      <c r="U3291" s="2">
        <v>42212</v>
      </c>
      <c r="V3291" t="s">
        <v>71</v>
      </c>
      <c r="W3291" t="str">
        <f>"              200352"</f>
        <v xml:space="preserve">              200352</v>
      </c>
      <c r="X3291" s="1">
        <v>5048.3599999999997</v>
      </c>
      <c r="Y3291">
        <v>0</v>
      </c>
      <c r="Z3291" s="5">
        <v>4138</v>
      </c>
      <c r="AA3291">
        <v>507</v>
      </c>
      <c r="AB3291" s="5">
        <v>2097966</v>
      </c>
      <c r="AC3291" s="1">
        <v>4138</v>
      </c>
      <c r="AD3291">
        <v>507</v>
      </c>
      <c r="AE3291" s="1">
        <v>2097966</v>
      </c>
      <c r="AF3291">
        <v>910.36</v>
      </c>
      <c r="AJ3291">
        <v>0</v>
      </c>
      <c r="AK3291">
        <v>0</v>
      </c>
      <c r="AL3291">
        <v>0</v>
      </c>
      <c r="AM3291">
        <v>0</v>
      </c>
      <c r="AN3291">
        <v>0</v>
      </c>
      <c r="AO3291">
        <v>0</v>
      </c>
      <c r="AP3291" s="2">
        <v>42746</v>
      </c>
      <c r="AQ3291" t="s">
        <v>72</v>
      </c>
      <c r="AR3291" t="s">
        <v>72</v>
      </c>
      <c r="AS3291">
        <v>3539</v>
      </c>
      <c r="AT3291" s="4">
        <v>42719</v>
      </c>
      <c r="AU3291" t="s">
        <v>73</v>
      </c>
      <c r="AV3291">
        <v>3539</v>
      </c>
      <c r="AW3291" s="4">
        <v>42719</v>
      </c>
      <c r="BD3291">
        <v>910.36</v>
      </c>
      <c r="BN3291" t="s">
        <v>74</v>
      </c>
    </row>
    <row r="3292" spans="1:66" hidden="1">
      <c r="A3292">
        <v>101170</v>
      </c>
      <c r="B3292" s="3" t="s">
        <v>376</v>
      </c>
      <c r="C3292" s="1">
        <v>43300101</v>
      </c>
      <c r="D3292" t="s">
        <v>67</v>
      </c>
      <c r="H3292" t="str">
        <f t="shared" si="334"/>
        <v>00527500540</v>
      </c>
      <c r="I3292" t="str">
        <f t="shared" si="334"/>
        <v>00527500540</v>
      </c>
      <c r="K3292" t="str">
        <f>""</f>
        <v/>
      </c>
      <c r="M3292" t="s">
        <v>68</v>
      </c>
      <c r="N3292" t="str">
        <f t="shared" si="335"/>
        <v>FOR</v>
      </c>
      <c r="O3292" t="s">
        <v>69</v>
      </c>
      <c r="P3292" s="3" t="s">
        <v>75</v>
      </c>
      <c r="Q3292">
        <v>2015</v>
      </c>
      <c r="R3292" s="2">
        <v>42145</v>
      </c>
      <c r="S3292" s="2">
        <v>42163</v>
      </c>
      <c r="T3292" s="2">
        <v>42149</v>
      </c>
      <c r="U3292" s="2">
        <v>42209</v>
      </c>
      <c r="V3292" t="s">
        <v>71</v>
      </c>
      <c r="W3292" t="str">
        <f>"              200417"</f>
        <v xml:space="preserve">              200417</v>
      </c>
      <c r="X3292" s="1">
        <v>1769</v>
      </c>
      <c r="Y3292">
        <v>0</v>
      </c>
      <c r="Z3292"/>
      <c r="AB3292"/>
      <c r="AC3292" s="1">
        <v>1450</v>
      </c>
      <c r="AD3292">
        <v>244</v>
      </c>
      <c r="AE3292" s="1">
        <v>353800</v>
      </c>
      <c r="AF3292">
        <v>0</v>
      </c>
      <c r="AJ3292">
        <v>0</v>
      </c>
      <c r="AK3292">
        <v>0</v>
      </c>
      <c r="AL3292">
        <v>0</v>
      </c>
      <c r="AM3292">
        <v>0</v>
      </c>
      <c r="AN3292">
        <v>0</v>
      </c>
      <c r="AO3292">
        <v>0</v>
      </c>
      <c r="AP3292" s="2">
        <v>42746</v>
      </c>
      <c r="AQ3292" t="s">
        <v>72</v>
      </c>
      <c r="AR3292" t="s">
        <v>72</v>
      </c>
      <c r="AS3292">
        <v>841</v>
      </c>
      <c r="AT3292" s="4">
        <v>42453</v>
      </c>
      <c r="AU3292" t="s">
        <v>73</v>
      </c>
      <c r="AV3292">
        <v>841</v>
      </c>
      <c r="AW3292" s="4">
        <v>42453</v>
      </c>
      <c r="BD3292">
        <v>0</v>
      </c>
      <c r="BN3292" t="s">
        <v>74</v>
      </c>
    </row>
    <row r="3293" spans="1:66" hidden="1">
      <c r="A3293">
        <v>101170</v>
      </c>
      <c r="B3293" s="3" t="s">
        <v>376</v>
      </c>
      <c r="C3293" s="1">
        <v>43300101</v>
      </c>
      <c r="D3293" t="s">
        <v>67</v>
      </c>
      <c r="H3293" t="str">
        <f t="shared" si="334"/>
        <v>00527500540</v>
      </c>
      <c r="I3293" t="str">
        <f t="shared" si="334"/>
        <v>00527500540</v>
      </c>
      <c r="K3293" t="str">
        <f>""</f>
        <v/>
      </c>
      <c r="M3293" t="s">
        <v>68</v>
      </c>
      <c r="N3293" t="str">
        <f t="shared" si="335"/>
        <v>FOR</v>
      </c>
      <c r="O3293" t="s">
        <v>69</v>
      </c>
      <c r="P3293" s="3" t="s">
        <v>75</v>
      </c>
      <c r="Q3293">
        <v>2015</v>
      </c>
      <c r="R3293" s="2">
        <v>42145</v>
      </c>
      <c r="S3293" s="2">
        <v>42163</v>
      </c>
      <c r="T3293" s="2">
        <v>42149</v>
      </c>
      <c r="U3293" s="2">
        <v>42209</v>
      </c>
      <c r="V3293" t="s">
        <v>71</v>
      </c>
      <c r="W3293" t="str">
        <f>"              200418"</f>
        <v xml:space="preserve">              200418</v>
      </c>
      <c r="X3293">
        <v>634.4</v>
      </c>
      <c r="Y3293">
        <v>0</v>
      </c>
      <c r="Z3293"/>
      <c r="AB3293"/>
      <c r="AC3293">
        <v>520</v>
      </c>
      <c r="AD3293">
        <v>244</v>
      </c>
      <c r="AE3293" s="1">
        <v>126880</v>
      </c>
      <c r="AF3293">
        <v>0</v>
      </c>
      <c r="AJ3293">
        <v>0</v>
      </c>
      <c r="AK3293">
        <v>0</v>
      </c>
      <c r="AL3293">
        <v>0</v>
      </c>
      <c r="AM3293">
        <v>0</v>
      </c>
      <c r="AN3293">
        <v>0</v>
      </c>
      <c r="AO3293">
        <v>0</v>
      </c>
      <c r="AP3293" s="2">
        <v>42746</v>
      </c>
      <c r="AQ3293" t="s">
        <v>72</v>
      </c>
      <c r="AR3293" t="s">
        <v>72</v>
      </c>
      <c r="AS3293">
        <v>841</v>
      </c>
      <c r="AT3293" s="4">
        <v>42453</v>
      </c>
      <c r="AU3293" t="s">
        <v>73</v>
      </c>
      <c r="AV3293">
        <v>841</v>
      </c>
      <c r="AW3293" s="4">
        <v>42453</v>
      </c>
      <c r="BD3293">
        <v>0</v>
      </c>
      <c r="BN3293" t="s">
        <v>74</v>
      </c>
    </row>
    <row r="3294" spans="1:66" hidden="1">
      <c r="A3294">
        <v>101170</v>
      </c>
      <c r="B3294" s="3" t="s">
        <v>376</v>
      </c>
      <c r="C3294" s="1">
        <v>43300101</v>
      </c>
      <c r="D3294" t="s">
        <v>67</v>
      </c>
      <c r="H3294" t="str">
        <f t="shared" si="334"/>
        <v>00527500540</v>
      </c>
      <c r="I3294" t="str">
        <f t="shared" si="334"/>
        <v>00527500540</v>
      </c>
      <c r="K3294" t="str">
        <f>""</f>
        <v/>
      </c>
      <c r="M3294" t="s">
        <v>68</v>
      </c>
      <c r="N3294" t="str">
        <f t="shared" si="335"/>
        <v>FOR</v>
      </c>
      <c r="O3294" t="s">
        <v>69</v>
      </c>
      <c r="P3294" s="3" t="s">
        <v>75</v>
      </c>
      <c r="Q3294">
        <v>2015</v>
      </c>
      <c r="R3294" s="2">
        <v>42145</v>
      </c>
      <c r="S3294" s="2">
        <v>42163</v>
      </c>
      <c r="T3294" s="2">
        <v>42149</v>
      </c>
      <c r="U3294" s="2">
        <v>42209</v>
      </c>
      <c r="V3294" t="s">
        <v>71</v>
      </c>
      <c r="W3294" t="str">
        <f>"              200419"</f>
        <v xml:space="preserve">              200419</v>
      </c>
      <c r="X3294" s="1">
        <v>2803.56</v>
      </c>
      <c r="Y3294">
        <v>0</v>
      </c>
      <c r="Z3294"/>
      <c r="AB3294"/>
      <c r="AC3294" s="1">
        <v>2298</v>
      </c>
      <c r="AD3294">
        <v>244</v>
      </c>
      <c r="AE3294" s="1">
        <v>560712</v>
      </c>
      <c r="AF3294">
        <v>0</v>
      </c>
      <c r="AJ3294">
        <v>0</v>
      </c>
      <c r="AK3294">
        <v>0</v>
      </c>
      <c r="AL3294">
        <v>0</v>
      </c>
      <c r="AM3294">
        <v>0</v>
      </c>
      <c r="AN3294">
        <v>0</v>
      </c>
      <c r="AO3294">
        <v>0</v>
      </c>
      <c r="AP3294" s="2">
        <v>42746</v>
      </c>
      <c r="AQ3294" t="s">
        <v>72</v>
      </c>
      <c r="AR3294" t="s">
        <v>72</v>
      </c>
      <c r="AS3294">
        <v>841</v>
      </c>
      <c r="AT3294" s="4">
        <v>42453</v>
      </c>
      <c r="AU3294" t="s">
        <v>73</v>
      </c>
      <c r="AV3294">
        <v>841</v>
      </c>
      <c r="AW3294" s="4">
        <v>42453</v>
      </c>
      <c r="BD3294">
        <v>0</v>
      </c>
      <c r="BN3294" t="s">
        <v>74</v>
      </c>
    </row>
    <row r="3295" spans="1:66" hidden="1">
      <c r="A3295">
        <v>101170</v>
      </c>
      <c r="B3295" s="3" t="s">
        <v>376</v>
      </c>
      <c r="C3295" s="1">
        <v>43300101</v>
      </c>
      <c r="D3295" t="s">
        <v>67</v>
      </c>
      <c r="H3295" t="str">
        <f t="shared" si="334"/>
        <v>00527500540</v>
      </c>
      <c r="I3295" t="str">
        <f t="shared" si="334"/>
        <v>00527500540</v>
      </c>
      <c r="K3295" t="str">
        <f>""</f>
        <v/>
      </c>
      <c r="M3295" t="s">
        <v>68</v>
      </c>
      <c r="N3295" t="str">
        <f t="shared" si="335"/>
        <v>FOR</v>
      </c>
      <c r="O3295" t="s">
        <v>69</v>
      </c>
      <c r="P3295" s="3" t="s">
        <v>75</v>
      </c>
      <c r="Q3295">
        <v>2015</v>
      </c>
      <c r="R3295" s="2">
        <v>42145</v>
      </c>
      <c r="S3295" s="2">
        <v>42163</v>
      </c>
      <c r="T3295" s="2">
        <v>42149</v>
      </c>
      <c r="U3295" s="2">
        <v>42209</v>
      </c>
      <c r="V3295" t="s">
        <v>71</v>
      </c>
      <c r="W3295" t="str">
        <f>"              200420"</f>
        <v xml:space="preserve">              200420</v>
      </c>
      <c r="X3295">
        <v>756.4</v>
      </c>
      <c r="Y3295">
        <v>0</v>
      </c>
      <c r="Z3295"/>
      <c r="AB3295"/>
      <c r="AC3295">
        <v>620</v>
      </c>
      <c r="AD3295">
        <v>244</v>
      </c>
      <c r="AE3295" s="1">
        <v>151280</v>
      </c>
      <c r="AF3295">
        <v>0</v>
      </c>
      <c r="AJ3295">
        <v>0</v>
      </c>
      <c r="AK3295">
        <v>0</v>
      </c>
      <c r="AL3295">
        <v>0</v>
      </c>
      <c r="AM3295">
        <v>0</v>
      </c>
      <c r="AN3295">
        <v>0</v>
      </c>
      <c r="AO3295">
        <v>0</v>
      </c>
      <c r="AP3295" s="2">
        <v>42746</v>
      </c>
      <c r="AQ3295" t="s">
        <v>72</v>
      </c>
      <c r="AR3295" t="s">
        <v>72</v>
      </c>
      <c r="AS3295">
        <v>841</v>
      </c>
      <c r="AT3295" s="4">
        <v>42453</v>
      </c>
      <c r="AU3295" t="s">
        <v>73</v>
      </c>
      <c r="AV3295">
        <v>841</v>
      </c>
      <c r="AW3295" s="4">
        <v>42453</v>
      </c>
      <c r="BD3295">
        <v>0</v>
      </c>
      <c r="BN3295" t="s">
        <v>74</v>
      </c>
    </row>
    <row r="3296" spans="1:66" hidden="1">
      <c r="A3296">
        <v>101170</v>
      </c>
      <c r="B3296" s="3" t="s">
        <v>376</v>
      </c>
      <c r="C3296" s="1">
        <v>43300101</v>
      </c>
      <c r="D3296" t="s">
        <v>67</v>
      </c>
      <c r="H3296" t="str">
        <f t="shared" si="334"/>
        <v>00527500540</v>
      </c>
      <c r="I3296" t="str">
        <f t="shared" si="334"/>
        <v>00527500540</v>
      </c>
      <c r="K3296" t="str">
        <f>""</f>
        <v/>
      </c>
      <c r="M3296" t="s">
        <v>68</v>
      </c>
      <c r="N3296" t="str">
        <f t="shared" si="335"/>
        <v>FOR</v>
      </c>
      <c r="O3296" t="s">
        <v>69</v>
      </c>
      <c r="P3296" s="3" t="s">
        <v>75</v>
      </c>
      <c r="Q3296">
        <v>2015</v>
      </c>
      <c r="R3296" s="2">
        <v>42145</v>
      </c>
      <c r="S3296" s="2">
        <v>42163</v>
      </c>
      <c r="T3296" s="2">
        <v>42149</v>
      </c>
      <c r="U3296" s="2">
        <v>42209</v>
      </c>
      <c r="V3296" t="s">
        <v>71</v>
      </c>
      <c r="W3296" t="str">
        <f>"              200421"</f>
        <v xml:space="preserve">              200421</v>
      </c>
      <c r="X3296">
        <v>634.4</v>
      </c>
      <c r="Y3296">
        <v>0</v>
      </c>
      <c r="Z3296"/>
      <c r="AB3296"/>
      <c r="AC3296">
        <v>520</v>
      </c>
      <c r="AD3296">
        <v>244</v>
      </c>
      <c r="AE3296" s="1">
        <v>126880</v>
      </c>
      <c r="AF3296">
        <v>0</v>
      </c>
      <c r="AJ3296">
        <v>0</v>
      </c>
      <c r="AK3296">
        <v>0</v>
      </c>
      <c r="AL3296">
        <v>0</v>
      </c>
      <c r="AM3296">
        <v>0</v>
      </c>
      <c r="AN3296">
        <v>0</v>
      </c>
      <c r="AO3296">
        <v>0</v>
      </c>
      <c r="AP3296" s="2">
        <v>42746</v>
      </c>
      <c r="AQ3296" t="s">
        <v>72</v>
      </c>
      <c r="AR3296" t="s">
        <v>72</v>
      </c>
      <c r="AS3296">
        <v>841</v>
      </c>
      <c r="AT3296" s="4">
        <v>42453</v>
      </c>
      <c r="AU3296" t="s">
        <v>73</v>
      </c>
      <c r="AV3296">
        <v>841</v>
      </c>
      <c r="AW3296" s="4">
        <v>42453</v>
      </c>
      <c r="BD3296">
        <v>0</v>
      </c>
      <c r="BN3296" t="s">
        <v>74</v>
      </c>
    </row>
    <row r="3297" spans="1:66" hidden="1">
      <c r="A3297">
        <v>101170</v>
      </c>
      <c r="B3297" s="3" t="s">
        <v>376</v>
      </c>
      <c r="C3297" s="1">
        <v>43300101</v>
      </c>
      <c r="D3297" t="s">
        <v>67</v>
      </c>
      <c r="H3297" t="str">
        <f t="shared" si="334"/>
        <v>00527500540</v>
      </c>
      <c r="I3297" t="str">
        <f t="shared" si="334"/>
        <v>00527500540</v>
      </c>
      <c r="K3297" t="str">
        <f>""</f>
        <v/>
      </c>
      <c r="M3297" t="s">
        <v>68</v>
      </c>
      <c r="N3297" t="str">
        <f t="shared" si="335"/>
        <v>FOR</v>
      </c>
      <c r="O3297" t="s">
        <v>69</v>
      </c>
      <c r="P3297" s="3" t="s">
        <v>75</v>
      </c>
      <c r="Q3297">
        <v>2015</v>
      </c>
      <c r="R3297" s="2">
        <v>42145</v>
      </c>
      <c r="S3297" s="2">
        <v>42163</v>
      </c>
      <c r="T3297" s="2">
        <v>42149</v>
      </c>
      <c r="U3297" s="2">
        <v>42209</v>
      </c>
      <c r="V3297" t="s">
        <v>71</v>
      </c>
      <c r="W3297" t="str">
        <f>"              200422"</f>
        <v xml:space="preserve">              200422</v>
      </c>
      <c r="X3297">
        <v>947.94</v>
      </c>
      <c r="Y3297">
        <v>0</v>
      </c>
      <c r="Z3297"/>
      <c r="AB3297"/>
      <c r="AC3297">
        <v>777</v>
      </c>
      <c r="AD3297">
        <v>244</v>
      </c>
      <c r="AE3297" s="1">
        <v>189588</v>
      </c>
      <c r="AF3297">
        <v>0</v>
      </c>
      <c r="AJ3297">
        <v>0</v>
      </c>
      <c r="AK3297">
        <v>0</v>
      </c>
      <c r="AL3297">
        <v>0</v>
      </c>
      <c r="AM3297">
        <v>0</v>
      </c>
      <c r="AN3297">
        <v>0</v>
      </c>
      <c r="AO3297">
        <v>0</v>
      </c>
      <c r="AP3297" s="2">
        <v>42746</v>
      </c>
      <c r="AQ3297" t="s">
        <v>72</v>
      </c>
      <c r="AR3297" t="s">
        <v>72</v>
      </c>
      <c r="AS3297">
        <v>841</v>
      </c>
      <c r="AT3297" s="4">
        <v>42453</v>
      </c>
      <c r="AU3297" t="s">
        <v>73</v>
      </c>
      <c r="AV3297">
        <v>841</v>
      </c>
      <c r="AW3297" s="4">
        <v>42453</v>
      </c>
      <c r="BD3297">
        <v>0</v>
      </c>
      <c r="BN3297" t="s">
        <v>74</v>
      </c>
    </row>
    <row r="3298" spans="1:66" hidden="1">
      <c r="A3298">
        <v>101170</v>
      </c>
      <c r="B3298" s="3" t="s">
        <v>376</v>
      </c>
      <c r="C3298" s="1">
        <v>43300101</v>
      </c>
      <c r="D3298" t="s">
        <v>67</v>
      </c>
      <c r="H3298" t="str">
        <f t="shared" si="334"/>
        <v>00527500540</v>
      </c>
      <c r="I3298" t="str">
        <f t="shared" si="334"/>
        <v>00527500540</v>
      </c>
      <c r="K3298" t="str">
        <f>""</f>
        <v/>
      </c>
      <c r="M3298" t="s">
        <v>68</v>
      </c>
      <c r="N3298" t="str">
        <f t="shared" si="335"/>
        <v>FOR</v>
      </c>
      <c r="O3298" t="s">
        <v>69</v>
      </c>
      <c r="P3298" s="3" t="s">
        <v>75</v>
      </c>
      <c r="Q3298">
        <v>2015</v>
      </c>
      <c r="R3298" s="2">
        <v>42145</v>
      </c>
      <c r="S3298" s="2">
        <v>42163</v>
      </c>
      <c r="T3298" s="2">
        <v>42149</v>
      </c>
      <c r="U3298" s="2">
        <v>42209</v>
      </c>
      <c r="V3298" t="s">
        <v>71</v>
      </c>
      <c r="W3298" t="str">
        <f>"              200423"</f>
        <v xml:space="preserve">              200423</v>
      </c>
      <c r="X3298" s="1">
        <v>2074</v>
      </c>
      <c r="Y3298">
        <v>0</v>
      </c>
      <c r="Z3298"/>
      <c r="AB3298"/>
      <c r="AC3298" s="1">
        <v>1700</v>
      </c>
      <c r="AD3298">
        <v>244</v>
      </c>
      <c r="AE3298" s="1">
        <v>414800</v>
      </c>
      <c r="AF3298">
        <v>0</v>
      </c>
      <c r="AJ3298">
        <v>0</v>
      </c>
      <c r="AK3298">
        <v>0</v>
      </c>
      <c r="AL3298">
        <v>0</v>
      </c>
      <c r="AM3298">
        <v>0</v>
      </c>
      <c r="AN3298">
        <v>0</v>
      </c>
      <c r="AO3298">
        <v>0</v>
      </c>
      <c r="AP3298" s="2">
        <v>42746</v>
      </c>
      <c r="AQ3298" t="s">
        <v>72</v>
      </c>
      <c r="AR3298" t="s">
        <v>72</v>
      </c>
      <c r="AS3298">
        <v>841</v>
      </c>
      <c r="AT3298" s="4">
        <v>42453</v>
      </c>
      <c r="AU3298" t="s">
        <v>73</v>
      </c>
      <c r="AV3298">
        <v>841</v>
      </c>
      <c r="AW3298" s="4">
        <v>42453</v>
      </c>
      <c r="BD3298">
        <v>0</v>
      </c>
      <c r="BN3298" t="s">
        <v>74</v>
      </c>
    </row>
    <row r="3299" spans="1:66" hidden="1">
      <c r="A3299">
        <v>101170</v>
      </c>
      <c r="B3299" s="3" t="s">
        <v>376</v>
      </c>
      <c r="C3299" s="1">
        <v>43300101</v>
      </c>
      <c r="D3299" t="s">
        <v>67</v>
      </c>
      <c r="H3299" t="str">
        <f t="shared" si="334"/>
        <v>00527500540</v>
      </c>
      <c r="I3299" t="str">
        <f t="shared" si="334"/>
        <v>00527500540</v>
      </c>
      <c r="K3299" t="str">
        <f>""</f>
        <v/>
      </c>
      <c r="M3299" t="s">
        <v>68</v>
      </c>
      <c r="N3299" t="str">
        <f t="shared" si="335"/>
        <v>FOR</v>
      </c>
      <c r="O3299" t="s">
        <v>69</v>
      </c>
      <c r="P3299" s="3" t="s">
        <v>75</v>
      </c>
      <c r="Q3299">
        <v>2015</v>
      </c>
      <c r="R3299" s="2">
        <v>42178</v>
      </c>
      <c r="S3299" s="2">
        <v>42185</v>
      </c>
      <c r="T3299" s="2">
        <v>42181</v>
      </c>
      <c r="U3299" s="2">
        <v>42241</v>
      </c>
      <c r="V3299" t="s">
        <v>71</v>
      </c>
      <c r="W3299" t="str">
        <f>"              200560"</f>
        <v xml:space="preserve">              200560</v>
      </c>
      <c r="X3299">
        <v>475.8</v>
      </c>
      <c r="Y3299">
        <v>0</v>
      </c>
      <c r="Z3299"/>
      <c r="AB3299"/>
      <c r="AC3299">
        <v>390</v>
      </c>
      <c r="AD3299">
        <v>251</v>
      </c>
      <c r="AE3299" s="1">
        <v>97890</v>
      </c>
      <c r="AF3299">
        <v>0</v>
      </c>
      <c r="AJ3299">
        <v>0</v>
      </c>
      <c r="AK3299">
        <v>0</v>
      </c>
      <c r="AL3299">
        <v>0</v>
      </c>
      <c r="AM3299">
        <v>0</v>
      </c>
      <c r="AN3299">
        <v>0</v>
      </c>
      <c r="AO3299">
        <v>0</v>
      </c>
      <c r="AP3299" s="2">
        <v>42746</v>
      </c>
      <c r="AQ3299" t="s">
        <v>72</v>
      </c>
      <c r="AR3299" t="s">
        <v>72</v>
      </c>
      <c r="AS3299">
        <v>1224</v>
      </c>
      <c r="AT3299" s="4">
        <v>42492</v>
      </c>
      <c r="AU3299" t="s">
        <v>73</v>
      </c>
      <c r="AV3299">
        <v>1224</v>
      </c>
      <c r="AW3299" s="4">
        <v>42492</v>
      </c>
      <c r="BD3299">
        <v>0</v>
      </c>
      <c r="BN3299" t="s">
        <v>74</v>
      </c>
    </row>
    <row r="3300" spans="1:66" hidden="1">
      <c r="A3300">
        <v>101170</v>
      </c>
      <c r="B3300" s="3" t="s">
        <v>376</v>
      </c>
      <c r="C3300" s="1">
        <v>43300101</v>
      </c>
      <c r="D3300" t="s">
        <v>67</v>
      </c>
      <c r="H3300" t="str">
        <f t="shared" si="334"/>
        <v>00527500540</v>
      </c>
      <c r="I3300" t="str">
        <f t="shared" si="334"/>
        <v>00527500540</v>
      </c>
      <c r="K3300" t="str">
        <f>""</f>
        <v/>
      </c>
      <c r="M3300" t="s">
        <v>68</v>
      </c>
      <c r="N3300" t="str">
        <f t="shared" si="335"/>
        <v>FOR</v>
      </c>
      <c r="O3300" t="s">
        <v>69</v>
      </c>
      <c r="P3300" s="3" t="s">
        <v>75</v>
      </c>
      <c r="Q3300">
        <v>2015</v>
      </c>
      <c r="R3300" s="2">
        <v>42178</v>
      </c>
      <c r="S3300" s="2">
        <v>42185</v>
      </c>
      <c r="T3300" s="2">
        <v>42181</v>
      </c>
      <c r="U3300" s="2">
        <v>42241</v>
      </c>
      <c r="V3300" t="s">
        <v>71</v>
      </c>
      <c r="W3300" t="str">
        <f>"              200561"</f>
        <v xml:space="preserve">              200561</v>
      </c>
      <c r="X3300">
        <v>183</v>
      </c>
      <c r="Y3300">
        <v>0</v>
      </c>
      <c r="Z3300"/>
      <c r="AB3300"/>
      <c r="AC3300">
        <v>150</v>
      </c>
      <c r="AD3300">
        <v>251</v>
      </c>
      <c r="AE3300" s="1">
        <v>37650</v>
      </c>
      <c r="AF3300">
        <v>0</v>
      </c>
      <c r="AJ3300">
        <v>0</v>
      </c>
      <c r="AK3300">
        <v>0</v>
      </c>
      <c r="AL3300">
        <v>0</v>
      </c>
      <c r="AM3300">
        <v>0</v>
      </c>
      <c r="AN3300">
        <v>0</v>
      </c>
      <c r="AO3300">
        <v>0</v>
      </c>
      <c r="AP3300" s="2">
        <v>42746</v>
      </c>
      <c r="AQ3300" t="s">
        <v>72</v>
      </c>
      <c r="AR3300" t="s">
        <v>72</v>
      </c>
      <c r="AS3300">
        <v>1224</v>
      </c>
      <c r="AT3300" s="4">
        <v>42492</v>
      </c>
      <c r="AU3300" t="s">
        <v>73</v>
      </c>
      <c r="AV3300">
        <v>1224</v>
      </c>
      <c r="AW3300" s="4">
        <v>42492</v>
      </c>
      <c r="BD3300">
        <v>0</v>
      </c>
      <c r="BN3300" t="s">
        <v>74</v>
      </c>
    </row>
    <row r="3301" spans="1:66" hidden="1">
      <c r="A3301">
        <v>101170</v>
      </c>
      <c r="B3301" s="3" t="s">
        <v>376</v>
      </c>
      <c r="C3301" s="1">
        <v>43300101</v>
      </c>
      <c r="D3301" t="s">
        <v>67</v>
      </c>
      <c r="H3301" t="str">
        <f t="shared" si="334"/>
        <v>00527500540</v>
      </c>
      <c r="I3301" t="str">
        <f t="shared" si="334"/>
        <v>00527500540</v>
      </c>
      <c r="K3301" t="str">
        <f>""</f>
        <v/>
      </c>
      <c r="M3301" t="s">
        <v>68</v>
      </c>
      <c r="N3301" t="str">
        <f t="shared" si="335"/>
        <v>FOR</v>
      </c>
      <c r="O3301" t="s">
        <v>69</v>
      </c>
      <c r="P3301" s="3" t="s">
        <v>75</v>
      </c>
      <c r="Q3301">
        <v>2015</v>
      </c>
      <c r="R3301" s="2">
        <v>42178</v>
      </c>
      <c r="S3301" s="2">
        <v>42186</v>
      </c>
      <c r="T3301" s="2">
        <v>42182</v>
      </c>
      <c r="U3301" s="2">
        <v>42242</v>
      </c>
      <c r="V3301" t="s">
        <v>71</v>
      </c>
      <c r="W3301" t="str">
        <f>"              200563"</f>
        <v xml:space="preserve">              200563</v>
      </c>
      <c r="X3301">
        <v>658.8</v>
      </c>
      <c r="Y3301">
        <v>0</v>
      </c>
      <c r="Z3301"/>
      <c r="AB3301"/>
      <c r="AC3301">
        <v>540</v>
      </c>
      <c r="AD3301">
        <v>250</v>
      </c>
      <c r="AE3301" s="1">
        <v>135000</v>
      </c>
      <c r="AF3301">
        <v>0</v>
      </c>
      <c r="AJ3301">
        <v>0</v>
      </c>
      <c r="AK3301">
        <v>0</v>
      </c>
      <c r="AL3301">
        <v>0</v>
      </c>
      <c r="AM3301">
        <v>0</v>
      </c>
      <c r="AN3301">
        <v>0</v>
      </c>
      <c r="AO3301">
        <v>0</v>
      </c>
      <c r="AP3301" s="2">
        <v>42746</v>
      </c>
      <c r="AQ3301" t="s">
        <v>72</v>
      </c>
      <c r="AR3301" t="s">
        <v>72</v>
      </c>
      <c r="AS3301">
        <v>1224</v>
      </c>
      <c r="AT3301" s="4">
        <v>42492</v>
      </c>
      <c r="AU3301" t="s">
        <v>73</v>
      </c>
      <c r="AV3301">
        <v>1224</v>
      </c>
      <c r="AW3301" s="4">
        <v>42492</v>
      </c>
      <c r="BD3301">
        <v>0</v>
      </c>
      <c r="BN3301" t="s">
        <v>74</v>
      </c>
    </row>
    <row r="3302" spans="1:66" hidden="1">
      <c r="A3302">
        <v>101170</v>
      </c>
      <c r="B3302" s="3" t="s">
        <v>376</v>
      </c>
      <c r="C3302" s="1">
        <v>43300101</v>
      </c>
      <c r="D3302" t="s">
        <v>67</v>
      </c>
      <c r="H3302" t="str">
        <f t="shared" si="334"/>
        <v>00527500540</v>
      </c>
      <c r="I3302" t="str">
        <f t="shared" si="334"/>
        <v>00527500540</v>
      </c>
      <c r="K3302" t="str">
        <f>""</f>
        <v/>
      </c>
      <c r="M3302" t="s">
        <v>68</v>
      </c>
      <c r="N3302" t="str">
        <f t="shared" si="335"/>
        <v>FOR</v>
      </c>
      <c r="O3302" t="s">
        <v>69</v>
      </c>
      <c r="P3302" s="3" t="s">
        <v>75</v>
      </c>
      <c r="Q3302">
        <v>2015</v>
      </c>
      <c r="R3302" s="2">
        <v>42178</v>
      </c>
      <c r="S3302" s="2">
        <v>42185</v>
      </c>
      <c r="T3302" s="2">
        <v>42181</v>
      </c>
      <c r="U3302" s="2">
        <v>42241</v>
      </c>
      <c r="V3302" t="s">
        <v>71</v>
      </c>
      <c r="W3302" t="str">
        <f>"              200564"</f>
        <v xml:space="preserve">              200564</v>
      </c>
      <c r="X3302">
        <v>165.92</v>
      </c>
      <c r="Y3302">
        <v>0</v>
      </c>
      <c r="Z3302"/>
      <c r="AB3302"/>
      <c r="AC3302">
        <v>136</v>
      </c>
      <c r="AD3302">
        <v>251</v>
      </c>
      <c r="AE3302" s="1">
        <v>34136</v>
      </c>
      <c r="AF3302">
        <v>0</v>
      </c>
      <c r="AJ3302">
        <v>0</v>
      </c>
      <c r="AK3302">
        <v>0</v>
      </c>
      <c r="AL3302">
        <v>0</v>
      </c>
      <c r="AM3302">
        <v>0</v>
      </c>
      <c r="AN3302">
        <v>0</v>
      </c>
      <c r="AO3302">
        <v>0</v>
      </c>
      <c r="AP3302" s="2">
        <v>42746</v>
      </c>
      <c r="AQ3302" t="s">
        <v>72</v>
      </c>
      <c r="AR3302" t="s">
        <v>72</v>
      </c>
      <c r="AS3302">
        <v>1224</v>
      </c>
      <c r="AT3302" s="4">
        <v>42492</v>
      </c>
      <c r="AU3302" t="s">
        <v>73</v>
      </c>
      <c r="AV3302">
        <v>1224</v>
      </c>
      <c r="AW3302" s="4">
        <v>42492</v>
      </c>
      <c r="BD3302">
        <v>0</v>
      </c>
      <c r="BN3302" t="s">
        <v>74</v>
      </c>
    </row>
    <row r="3303" spans="1:66" hidden="1">
      <c r="A3303">
        <v>101170</v>
      </c>
      <c r="B3303" s="3" t="s">
        <v>376</v>
      </c>
      <c r="C3303" s="1">
        <v>43300101</v>
      </c>
      <c r="D3303" t="s">
        <v>67</v>
      </c>
      <c r="H3303" t="str">
        <f t="shared" si="334"/>
        <v>00527500540</v>
      </c>
      <c r="I3303" t="str">
        <f t="shared" si="334"/>
        <v>00527500540</v>
      </c>
      <c r="K3303" t="str">
        <f>""</f>
        <v/>
      </c>
      <c r="M3303" t="s">
        <v>68</v>
      </c>
      <c r="N3303" t="str">
        <f t="shared" si="335"/>
        <v>FOR</v>
      </c>
      <c r="O3303" t="s">
        <v>69</v>
      </c>
      <c r="P3303" s="3" t="s">
        <v>75</v>
      </c>
      <c r="Q3303">
        <v>2015</v>
      </c>
      <c r="R3303" s="2">
        <v>42178</v>
      </c>
      <c r="S3303" s="2">
        <v>42185</v>
      </c>
      <c r="T3303" s="2">
        <v>42181</v>
      </c>
      <c r="U3303" s="2">
        <v>42241</v>
      </c>
      <c r="V3303" t="s">
        <v>71</v>
      </c>
      <c r="W3303" t="str">
        <f>"              200565"</f>
        <v xml:space="preserve">              200565</v>
      </c>
      <c r="X3303">
        <v>176.9</v>
      </c>
      <c r="Y3303">
        <v>0</v>
      </c>
      <c r="Z3303"/>
      <c r="AB3303"/>
      <c r="AC3303">
        <v>145</v>
      </c>
      <c r="AD3303">
        <v>251</v>
      </c>
      <c r="AE3303" s="1">
        <v>36395</v>
      </c>
      <c r="AF3303">
        <v>0</v>
      </c>
      <c r="AJ3303">
        <v>0</v>
      </c>
      <c r="AK3303">
        <v>0</v>
      </c>
      <c r="AL3303">
        <v>0</v>
      </c>
      <c r="AM3303">
        <v>0</v>
      </c>
      <c r="AN3303">
        <v>0</v>
      </c>
      <c r="AO3303">
        <v>0</v>
      </c>
      <c r="AP3303" s="2">
        <v>42746</v>
      </c>
      <c r="AQ3303" t="s">
        <v>72</v>
      </c>
      <c r="AR3303" t="s">
        <v>72</v>
      </c>
      <c r="AS3303">
        <v>1224</v>
      </c>
      <c r="AT3303" s="4">
        <v>42492</v>
      </c>
      <c r="AU3303" t="s">
        <v>73</v>
      </c>
      <c r="AV3303">
        <v>1224</v>
      </c>
      <c r="AW3303" s="4">
        <v>42492</v>
      </c>
      <c r="BD3303">
        <v>0</v>
      </c>
      <c r="BN3303" t="s">
        <v>74</v>
      </c>
    </row>
    <row r="3304" spans="1:66" hidden="1">
      <c r="A3304">
        <v>101170</v>
      </c>
      <c r="B3304" s="3" t="s">
        <v>376</v>
      </c>
      <c r="C3304" s="1">
        <v>43300101</v>
      </c>
      <c r="D3304" t="s">
        <v>67</v>
      </c>
      <c r="H3304" t="str">
        <f t="shared" si="334"/>
        <v>00527500540</v>
      </c>
      <c r="I3304" t="str">
        <f t="shared" si="334"/>
        <v>00527500540</v>
      </c>
      <c r="K3304" t="str">
        <f>""</f>
        <v/>
      </c>
      <c r="M3304" t="s">
        <v>68</v>
      </c>
      <c r="N3304" t="str">
        <f t="shared" si="335"/>
        <v>FOR</v>
      </c>
      <c r="O3304" t="s">
        <v>69</v>
      </c>
      <c r="P3304" s="3" t="s">
        <v>75</v>
      </c>
      <c r="Q3304">
        <v>2015</v>
      </c>
      <c r="R3304" s="2">
        <v>42178</v>
      </c>
      <c r="S3304" s="2">
        <v>42185</v>
      </c>
      <c r="T3304" s="2">
        <v>42181</v>
      </c>
      <c r="U3304" s="2">
        <v>42241</v>
      </c>
      <c r="V3304" t="s">
        <v>71</v>
      </c>
      <c r="W3304" t="str">
        <f>"              200566"</f>
        <v xml:space="preserve">              200566</v>
      </c>
      <c r="X3304" s="1">
        <v>1495.72</v>
      </c>
      <c r="Y3304">
        <v>0</v>
      </c>
      <c r="Z3304"/>
      <c r="AB3304"/>
      <c r="AC3304" s="1">
        <v>1226</v>
      </c>
      <c r="AD3304">
        <v>251</v>
      </c>
      <c r="AE3304" s="1">
        <v>307726</v>
      </c>
      <c r="AF3304">
        <v>0</v>
      </c>
      <c r="AJ3304">
        <v>0</v>
      </c>
      <c r="AK3304">
        <v>0</v>
      </c>
      <c r="AL3304">
        <v>0</v>
      </c>
      <c r="AM3304">
        <v>0</v>
      </c>
      <c r="AN3304">
        <v>0</v>
      </c>
      <c r="AO3304">
        <v>0</v>
      </c>
      <c r="AP3304" s="2">
        <v>42746</v>
      </c>
      <c r="AQ3304" t="s">
        <v>72</v>
      </c>
      <c r="AR3304" t="s">
        <v>72</v>
      </c>
      <c r="AS3304">
        <v>1224</v>
      </c>
      <c r="AT3304" s="4">
        <v>42492</v>
      </c>
      <c r="AU3304" t="s">
        <v>73</v>
      </c>
      <c r="AV3304">
        <v>1224</v>
      </c>
      <c r="AW3304" s="4">
        <v>42492</v>
      </c>
      <c r="BD3304">
        <v>0</v>
      </c>
      <c r="BN3304" t="s">
        <v>74</v>
      </c>
    </row>
    <row r="3305" spans="1:66" hidden="1">
      <c r="A3305">
        <v>101170</v>
      </c>
      <c r="B3305" s="3" t="s">
        <v>376</v>
      </c>
      <c r="C3305" s="1">
        <v>43300101</v>
      </c>
      <c r="D3305" t="s">
        <v>67</v>
      </c>
      <c r="H3305" t="str">
        <f t="shared" si="334"/>
        <v>00527500540</v>
      </c>
      <c r="I3305" t="str">
        <f t="shared" si="334"/>
        <v>00527500540</v>
      </c>
      <c r="K3305" t="str">
        <f>""</f>
        <v/>
      </c>
      <c r="M3305" t="s">
        <v>68</v>
      </c>
      <c r="N3305" t="str">
        <f t="shared" si="335"/>
        <v>FOR</v>
      </c>
      <c r="O3305" t="s">
        <v>69</v>
      </c>
      <c r="P3305" s="3" t="s">
        <v>75</v>
      </c>
      <c r="Q3305">
        <v>2015</v>
      </c>
      <c r="R3305" s="2">
        <v>42178</v>
      </c>
      <c r="S3305" s="2">
        <v>42185</v>
      </c>
      <c r="T3305" s="2">
        <v>42181</v>
      </c>
      <c r="U3305" s="2">
        <v>42241</v>
      </c>
      <c r="V3305" t="s">
        <v>71</v>
      </c>
      <c r="W3305" t="str">
        <f>"              200567"</f>
        <v xml:space="preserve">              200567</v>
      </c>
      <c r="X3305">
        <v>549</v>
      </c>
      <c r="Y3305">
        <v>0</v>
      </c>
      <c r="Z3305"/>
      <c r="AB3305"/>
      <c r="AC3305">
        <v>450</v>
      </c>
      <c r="AD3305">
        <v>251</v>
      </c>
      <c r="AE3305" s="1">
        <v>112950</v>
      </c>
      <c r="AF3305">
        <v>0</v>
      </c>
      <c r="AJ3305">
        <v>0</v>
      </c>
      <c r="AK3305">
        <v>0</v>
      </c>
      <c r="AL3305">
        <v>0</v>
      </c>
      <c r="AM3305">
        <v>0</v>
      </c>
      <c r="AN3305">
        <v>0</v>
      </c>
      <c r="AO3305">
        <v>0</v>
      </c>
      <c r="AP3305" s="2">
        <v>42746</v>
      </c>
      <c r="AQ3305" t="s">
        <v>72</v>
      </c>
      <c r="AR3305" t="s">
        <v>72</v>
      </c>
      <c r="AS3305">
        <v>1224</v>
      </c>
      <c r="AT3305" s="4">
        <v>42492</v>
      </c>
      <c r="AU3305" t="s">
        <v>73</v>
      </c>
      <c r="AV3305">
        <v>1224</v>
      </c>
      <c r="AW3305" s="4">
        <v>42492</v>
      </c>
      <c r="BD3305">
        <v>0</v>
      </c>
      <c r="BN3305" t="s">
        <v>74</v>
      </c>
    </row>
    <row r="3306" spans="1:66" hidden="1">
      <c r="A3306">
        <v>101170</v>
      </c>
      <c r="B3306" s="3" t="s">
        <v>376</v>
      </c>
      <c r="C3306" s="1">
        <v>43300101</v>
      </c>
      <c r="D3306" t="s">
        <v>67</v>
      </c>
      <c r="H3306" t="str">
        <f t="shared" si="334"/>
        <v>00527500540</v>
      </c>
      <c r="I3306" t="str">
        <f t="shared" si="334"/>
        <v>00527500540</v>
      </c>
      <c r="K3306" t="str">
        <f>""</f>
        <v/>
      </c>
      <c r="M3306" t="s">
        <v>68</v>
      </c>
      <c r="N3306" t="str">
        <f t="shared" si="335"/>
        <v>FOR</v>
      </c>
      <c r="O3306" t="s">
        <v>69</v>
      </c>
      <c r="P3306" s="3" t="s">
        <v>75</v>
      </c>
      <c r="Q3306">
        <v>2015</v>
      </c>
      <c r="R3306" s="2">
        <v>42178</v>
      </c>
      <c r="S3306" s="2">
        <v>42185</v>
      </c>
      <c r="T3306" s="2">
        <v>42181</v>
      </c>
      <c r="U3306" s="2">
        <v>42241</v>
      </c>
      <c r="V3306" t="s">
        <v>71</v>
      </c>
      <c r="W3306" t="str">
        <f>"              200568"</f>
        <v xml:space="preserve">              200568</v>
      </c>
      <c r="X3306">
        <v>244</v>
      </c>
      <c r="Y3306">
        <v>0</v>
      </c>
      <c r="Z3306"/>
      <c r="AB3306"/>
      <c r="AC3306">
        <v>200</v>
      </c>
      <c r="AD3306">
        <v>251</v>
      </c>
      <c r="AE3306" s="1">
        <v>50200</v>
      </c>
      <c r="AF3306">
        <v>0</v>
      </c>
      <c r="AJ3306">
        <v>0</v>
      </c>
      <c r="AK3306">
        <v>0</v>
      </c>
      <c r="AL3306">
        <v>0</v>
      </c>
      <c r="AM3306">
        <v>0</v>
      </c>
      <c r="AN3306">
        <v>0</v>
      </c>
      <c r="AO3306">
        <v>0</v>
      </c>
      <c r="AP3306" s="2">
        <v>42746</v>
      </c>
      <c r="AQ3306" t="s">
        <v>72</v>
      </c>
      <c r="AR3306" t="s">
        <v>72</v>
      </c>
      <c r="AS3306">
        <v>1224</v>
      </c>
      <c r="AT3306" s="4">
        <v>42492</v>
      </c>
      <c r="AU3306" t="s">
        <v>73</v>
      </c>
      <c r="AV3306">
        <v>1224</v>
      </c>
      <c r="AW3306" s="4">
        <v>42492</v>
      </c>
      <c r="BD3306">
        <v>0</v>
      </c>
      <c r="BN3306" t="s">
        <v>74</v>
      </c>
    </row>
    <row r="3307" spans="1:66" hidden="1">
      <c r="A3307">
        <v>101170</v>
      </c>
      <c r="B3307" s="3" t="s">
        <v>376</v>
      </c>
      <c r="C3307" s="1">
        <v>43300101</v>
      </c>
      <c r="D3307" t="s">
        <v>67</v>
      </c>
      <c r="H3307" t="str">
        <f t="shared" si="334"/>
        <v>00527500540</v>
      </c>
      <c r="I3307" t="str">
        <f t="shared" si="334"/>
        <v>00527500540</v>
      </c>
      <c r="K3307" t="str">
        <f>""</f>
        <v/>
      </c>
      <c r="M3307" t="s">
        <v>68</v>
      </c>
      <c r="N3307" t="str">
        <f t="shared" si="335"/>
        <v>FOR</v>
      </c>
      <c r="O3307" t="s">
        <v>69</v>
      </c>
      <c r="P3307" s="3" t="s">
        <v>75</v>
      </c>
      <c r="Q3307">
        <v>2015</v>
      </c>
      <c r="R3307" s="2">
        <v>42178</v>
      </c>
      <c r="S3307" s="2">
        <v>42185</v>
      </c>
      <c r="T3307" s="2">
        <v>42181</v>
      </c>
      <c r="U3307" s="2">
        <v>42241</v>
      </c>
      <c r="V3307" t="s">
        <v>71</v>
      </c>
      <c r="W3307" t="str">
        <f>"              200569"</f>
        <v xml:space="preserve">              200569</v>
      </c>
      <c r="X3307">
        <v>549</v>
      </c>
      <c r="Y3307">
        <v>0</v>
      </c>
      <c r="Z3307"/>
      <c r="AB3307"/>
      <c r="AC3307">
        <v>450</v>
      </c>
      <c r="AD3307">
        <v>251</v>
      </c>
      <c r="AE3307" s="1">
        <v>112950</v>
      </c>
      <c r="AF3307">
        <v>0</v>
      </c>
      <c r="AJ3307">
        <v>0</v>
      </c>
      <c r="AK3307">
        <v>0</v>
      </c>
      <c r="AL3307">
        <v>0</v>
      </c>
      <c r="AM3307">
        <v>0</v>
      </c>
      <c r="AN3307">
        <v>0</v>
      </c>
      <c r="AO3307">
        <v>0</v>
      </c>
      <c r="AP3307" s="2">
        <v>42746</v>
      </c>
      <c r="AQ3307" t="s">
        <v>72</v>
      </c>
      <c r="AR3307" t="s">
        <v>72</v>
      </c>
      <c r="AS3307">
        <v>1224</v>
      </c>
      <c r="AT3307" s="4">
        <v>42492</v>
      </c>
      <c r="AU3307" t="s">
        <v>73</v>
      </c>
      <c r="AV3307">
        <v>1224</v>
      </c>
      <c r="AW3307" s="4">
        <v>42492</v>
      </c>
      <c r="BD3307">
        <v>0</v>
      </c>
      <c r="BN3307" t="s">
        <v>74</v>
      </c>
    </row>
    <row r="3308" spans="1:66" hidden="1">
      <c r="A3308">
        <v>101170</v>
      </c>
      <c r="B3308" s="3" t="s">
        <v>376</v>
      </c>
      <c r="C3308" s="1">
        <v>43300101</v>
      </c>
      <c r="D3308" t="s">
        <v>67</v>
      </c>
      <c r="H3308" t="str">
        <f t="shared" si="334"/>
        <v>00527500540</v>
      </c>
      <c r="I3308" t="str">
        <f t="shared" si="334"/>
        <v>00527500540</v>
      </c>
      <c r="K3308" t="str">
        <f>""</f>
        <v/>
      </c>
      <c r="M3308" t="s">
        <v>68</v>
      </c>
      <c r="N3308" t="str">
        <f t="shared" si="335"/>
        <v>FOR</v>
      </c>
      <c r="O3308" t="s">
        <v>69</v>
      </c>
      <c r="P3308" s="3" t="s">
        <v>75</v>
      </c>
      <c r="Q3308">
        <v>2015</v>
      </c>
      <c r="R3308" s="2">
        <v>42178</v>
      </c>
      <c r="S3308" s="2">
        <v>42185</v>
      </c>
      <c r="T3308" s="2">
        <v>42181</v>
      </c>
      <c r="U3308" s="2">
        <v>42241</v>
      </c>
      <c r="V3308" t="s">
        <v>71</v>
      </c>
      <c r="W3308" t="str">
        <f>"              200570"</f>
        <v xml:space="preserve">              200570</v>
      </c>
      <c r="X3308" s="1">
        <v>5124</v>
      </c>
      <c r="Y3308">
        <v>0</v>
      </c>
      <c r="Z3308"/>
      <c r="AB3308"/>
      <c r="AC3308" s="1">
        <v>4200</v>
      </c>
      <c r="AD3308">
        <v>251</v>
      </c>
      <c r="AE3308" s="1">
        <v>1054200</v>
      </c>
      <c r="AF3308">
        <v>0</v>
      </c>
      <c r="AJ3308">
        <v>0</v>
      </c>
      <c r="AK3308">
        <v>0</v>
      </c>
      <c r="AL3308">
        <v>0</v>
      </c>
      <c r="AM3308">
        <v>0</v>
      </c>
      <c r="AN3308">
        <v>0</v>
      </c>
      <c r="AO3308">
        <v>0</v>
      </c>
      <c r="AP3308" s="2">
        <v>42746</v>
      </c>
      <c r="AQ3308" t="s">
        <v>72</v>
      </c>
      <c r="AR3308" t="s">
        <v>72</v>
      </c>
      <c r="AS3308">
        <v>1224</v>
      </c>
      <c r="AT3308" s="4">
        <v>42492</v>
      </c>
      <c r="AU3308" t="s">
        <v>73</v>
      </c>
      <c r="AV3308">
        <v>1224</v>
      </c>
      <c r="AW3308" s="4">
        <v>42492</v>
      </c>
      <c r="BD3308">
        <v>0</v>
      </c>
      <c r="BN3308" t="s">
        <v>74</v>
      </c>
    </row>
    <row r="3309" spans="1:66" hidden="1">
      <c r="A3309">
        <v>101170</v>
      </c>
      <c r="B3309" s="3" t="s">
        <v>376</v>
      </c>
      <c r="C3309" s="1">
        <v>43300101</v>
      </c>
      <c r="D3309" t="s">
        <v>67</v>
      </c>
      <c r="H3309" t="str">
        <f t="shared" si="334"/>
        <v>00527500540</v>
      </c>
      <c r="I3309" t="str">
        <f t="shared" si="334"/>
        <v>00527500540</v>
      </c>
      <c r="K3309" t="str">
        <f>""</f>
        <v/>
      </c>
      <c r="M3309" t="s">
        <v>68</v>
      </c>
      <c r="N3309" t="str">
        <f t="shared" si="335"/>
        <v>FOR</v>
      </c>
      <c r="O3309" t="s">
        <v>69</v>
      </c>
      <c r="P3309" s="3" t="s">
        <v>75</v>
      </c>
      <c r="Q3309">
        <v>2015</v>
      </c>
      <c r="R3309" s="2">
        <v>42178</v>
      </c>
      <c r="S3309" s="2">
        <v>42185</v>
      </c>
      <c r="T3309" s="2">
        <v>42181</v>
      </c>
      <c r="U3309" s="2">
        <v>42241</v>
      </c>
      <c r="V3309" t="s">
        <v>71</v>
      </c>
      <c r="W3309" t="str">
        <f>"              200571"</f>
        <v xml:space="preserve">              200571</v>
      </c>
      <c r="X3309">
        <v>811.3</v>
      </c>
      <c r="Y3309">
        <v>0</v>
      </c>
      <c r="Z3309"/>
      <c r="AB3309"/>
      <c r="AC3309">
        <v>665</v>
      </c>
      <c r="AD3309">
        <v>251</v>
      </c>
      <c r="AE3309" s="1">
        <v>166915</v>
      </c>
      <c r="AF3309">
        <v>0</v>
      </c>
      <c r="AJ3309">
        <v>0</v>
      </c>
      <c r="AK3309">
        <v>0</v>
      </c>
      <c r="AL3309">
        <v>0</v>
      </c>
      <c r="AM3309">
        <v>0</v>
      </c>
      <c r="AN3309">
        <v>0</v>
      </c>
      <c r="AO3309">
        <v>0</v>
      </c>
      <c r="AP3309" s="2">
        <v>42746</v>
      </c>
      <c r="AQ3309" t="s">
        <v>72</v>
      </c>
      <c r="AR3309" t="s">
        <v>72</v>
      </c>
      <c r="AS3309">
        <v>1224</v>
      </c>
      <c r="AT3309" s="4">
        <v>42492</v>
      </c>
      <c r="AU3309" t="s">
        <v>73</v>
      </c>
      <c r="AV3309">
        <v>1224</v>
      </c>
      <c r="AW3309" s="4">
        <v>42492</v>
      </c>
      <c r="BD3309">
        <v>0</v>
      </c>
      <c r="BN3309" t="s">
        <v>74</v>
      </c>
    </row>
    <row r="3310" spans="1:66" hidden="1">
      <c r="A3310">
        <v>101170</v>
      </c>
      <c r="B3310" s="3" t="s">
        <v>376</v>
      </c>
      <c r="C3310" s="1">
        <v>43300101</v>
      </c>
      <c r="D3310" t="s">
        <v>67</v>
      </c>
      <c r="H3310" t="str">
        <f t="shared" ref="H3310:I3329" si="336">"00527500540"</f>
        <v>00527500540</v>
      </c>
      <c r="I3310" t="str">
        <f t="shared" si="336"/>
        <v>00527500540</v>
      </c>
      <c r="K3310" t="str">
        <f>""</f>
        <v/>
      </c>
      <c r="M3310" t="s">
        <v>68</v>
      </c>
      <c r="N3310" t="str">
        <f t="shared" si="335"/>
        <v>FOR</v>
      </c>
      <c r="O3310" t="s">
        <v>69</v>
      </c>
      <c r="P3310" s="3" t="s">
        <v>75</v>
      </c>
      <c r="Q3310">
        <v>2015</v>
      </c>
      <c r="R3310" s="2">
        <v>42178</v>
      </c>
      <c r="S3310" s="2">
        <v>42188</v>
      </c>
      <c r="T3310" s="2">
        <v>42181</v>
      </c>
      <c r="U3310" s="2">
        <v>42241</v>
      </c>
      <c r="V3310" t="s">
        <v>71</v>
      </c>
      <c r="W3310" t="str">
        <f>"              200572"</f>
        <v xml:space="preserve">              200572</v>
      </c>
      <c r="X3310">
        <v>420.9</v>
      </c>
      <c r="Y3310">
        <v>0</v>
      </c>
      <c r="Z3310"/>
      <c r="AB3310"/>
      <c r="AC3310">
        <v>345</v>
      </c>
      <c r="AD3310">
        <v>251</v>
      </c>
      <c r="AE3310" s="1">
        <v>86595</v>
      </c>
      <c r="AF3310">
        <v>0</v>
      </c>
      <c r="AJ3310">
        <v>0</v>
      </c>
      <c r="AK3310">
        <v>0</v>
      </c>
      <c r="AL3310">
        <v>0</v>
      </c>
      <c r="AM3310">
        <v>0</v>
      </c>
      <c r="AN3310">
        <v>0</v>
      </c>
      <c r="AO3310">
        <v>0</v>
      </c>
      <c r="AP3310" s="2">
        <v>42746</v>
      </c>
      <c r="AQ3310" t="s">
        <v>72</v>
      </c>
      <c r="AR3310" t="s">
        <v>72</v>
      </c>
      <c r="AS3310">
        <v>1224</v>
      </c>
      <c r="AT3310" s="4">
        <v>42492</v>
      </c>
      <c r="AU3310" t="s">
        <v>73</v>
      </c>
      <c r="AV3310">
        <v>1224</v>
      </c>
      <c r="AW3310" s="4">
        <v>42492</v>
      </c>
      <c r="BD3310">
        <v>0</v>
      </c>
      <c r="BN3310" t="s">
        <v>74</v>
      </c>
    </row>
    <row r="3311" spans="1:66" hidden="1">
      <c r="A3311">
        <v>101170</v>
      </c>
      <c r="B3311" s="3" t="s">
        <v>376</v>
      </c>
      <c r="C3311" s="1">
        <v>43300101</v>
      </c>
      <c r="D3311" t="s">
        <v>67</v>
      </c>
      <c r="H3311" t="str">
        <f t="shared" si="336"/>
        <v>00527500540</v>
      </c>
      <c r="I3311" t="str">
        <f t="shared" si="336"/>
        <v>00527500540</v>
      </c>
      <c r="K3311" t="str">
        <f>""</f>
        <v/>
      </c>
      <c r="M3311" t="s">
        <v>68</v>
      </c>
      <c r="N3311" t="str">
        <f t="shared" si="335"/>
        <v>FOR</v>
      </c>
      <c r="O3311" t="s">
        <v>69</v>
      </c>
      <c r="P3311" s="3" t="s">
        <v>75</v>
      </c>
      <c r="Q3311">
        <v>2015</v>
      </c>
      <c r="R3311" s="2">
        <v>42178</v>
      </c>
      <c r="S3311" s="2">
        <v>42185</v>
      </c>
      <c r="T3311" s="2">
        <v>42181</v>
      </c>
      <c r="U3311" s="2">
        <v>42241</v>
      </c>
      <c r="V3311" t="s">
        <v>71</v>
      </c>
      <c r="W3311" t="str">
        <f>"              200573"</f>
        <v xml:space="preserve">              200573</v>
      </c>
      <c r="X3311" s="1">
        <v>5124</v>
      </c>
      <c r="Y3311">
        <v>0</v>
      </c>
      <c r="Z3311"/>
      <c r="AB3311"/>
      <c r="AC3311" s="1">
        <v>4200</v>
      </c>
      <c r="AD3311">
        <v>251</v>
      </c>
      <c r="AE3311" s="1">
        <v>1054200</v>
      </c>
      <c r="AF3311">
        <v>0</v>
      </c>
      <c r="AJ3311">
        <v>0</v>
      </c>
      <c r="AK3311">
        <v>0</v>
      </c>
      <c r="AL3311">
        <v>0</v>
      </c>
      <c r="AM3311">
        <v>0</v>
      </c>
      <c r="AN3311">
        <v>0</v>
      </c>
      <c r="AO3311">
        <v>0</v>
      </c>
      <c r="AP3311" s="2">
        <v>42746</v>
      </c>
      <c r="AQ3311" t="s">
        <v>72</v>
      </c>
      <c r="AR3311" t="s">
        <v>72</v>
      </c>
      <c r="AS3311">
        <v>1224</v>
      </c>
      <c r="AT3311" s="4">
        <v>42492</v>
      </c>
      <c r="AU3311" t="s">
        <v>73</v>
      </c>
      <c r="AV3311">
        <v>1224</v>
      </c>
      <c r="AW3311" s="4">
        <v>42492</v>
      </c>
      <c r="BD3311">
        <v>0</v>
      </c>
      <c r="BN3311" t="s">
        <v>74</v>
      </c>
    </row>
    <row r="3312" spans="1:66" hidden="1">
      <c r="A3312">
        <v>101170</v>
      </c>
      <c r="B3312" s="3" t="s">
        <v>376</v>
      </c>
      <c r="C3312" s="1">
        <v>43300101</v>
      </c>
      <c r="D3312" t="s">
        <v>67</v>
      </c>
      <c r="H3312" t="str">
        <f t="shared" si="336"/>
        <v>00527500540</v>
      </c>
      <c r="I3312" t="str">
        <f t="shared" si="336"/>
        <v>00527500540</v>
      </c>
      <c r="K3312" t="str">
        <f>""</f>
        <v/>
      </c>
      <c r="M3312" t="s">
        <v>68</v>
      </c>
      <c r="N3312" t="str">
        <f t="shared" si="335"/>
        <v>FOR</v>
      </c>
      <c r="O3312" t="s">
        <v>69</v>
      </c>
      <c r="P3312" s="3" t="s">
        <v>75</v>
      </c>
      <c r="Q3312">
        <v>2015</v>
      </c>
      <c r="R3312" s="2">
        <v>42178</v>
      </c>
      <c r="S3312" s="2">
        <v>42185</v>
      </c>
      <c r="T3312" s="2">
        <v>42181</v>
      </c>
      <c r="U3312" s="2">
        <v>42241</v>
      </c>
      <c r="V3312" t="s">
        <v>71</v>
      </c>
      <c r="W3312" t="str">
        <f>"              200574"</f>
        <v xml:space="preserve">              200574</v>
      </c>
      <c r="X3312">
        <v>597.79999999999995</v>
      </c>
      <c r="Y3312">
        <v>0</v>
      </c>
      <c r="Z3312"/>
      <c r="AB3312"/>
      <c r="AC3312">
        <v>490</v>
      </c>
      <c r="AD3312">
        <v>251</v>
      </c>
      <c r="AE3312" s="1">
        <v>122990</v>
      </c>
      <c r="AF3312">
        <v>0</v>
      </c>
      <c r="AJ3312">
        <v>0</v>
      </c>
      <c r="AK3312">
        <v>0</v>
      </c>
      <c r="AL3312">
        <v>0</v>
      </c>
      <c r="AM3312">
        <v>0</v>
      </c>
      <c r="AN3312">
        <v>0</v>
      </c>
      <c r="AO3312">
        <v>0</v>
      </c>
      <c r="AP3312" s="2">
        <v>42746</v>
      </c>
      <c r="AQ3312" t="s">
        <v>72</v>
      </c>
      <c r="AR3312" t="s">
        <v>72</v>
      </c>
      <c r="AS3312">
        <v>1224</v>
      </c>
      <c r="AT3312" s="4">
        <v>42492</v>
      </c>
      <c r="AU3312" t="s">
        <v>73</v>
      </c>
      <c r="AV3312">
        <v>1224</v>
      </c>
      <c r="AW3312" s="4">
        <v>42492</v>
      </c>
      <c r="BD3312">
        <v>0</v>
      </c>
      <c r="BN3312" t="s">
        <v>74</v>
      </c>
    </row>
    <row r="3313" spans="1:66" hidden="1">
      <c r="A3313">
        <v>101170</v>
      </c>
      <c r="B3313" s="3" t="s">
        <v>376</v>
      </c>
      <c r="C3313" s="1">
        <v>43300101</v>
      </c>
      <c r="D3313" t="s">
        <v>67</v>
      </c>
      <c r="H3313" t="str">
        <f t="shared" si="336"/>
        <v>00527500540</v>
      </c>
      <c r="I3313" t="str">
        <f t="shared" si="336"/>
        <v>00527500540</v>
      </c>
      <c r="K3313" t="str">
        <f>""</f>
        <v/>
      </c>
      <c r="M3313" t="s">
        <v>68</v>
      </c>
      <c r="N3313" t="str">
        <f t="shared" si="335"/>
        <v>FOR</v>
      </c>
      <c r="O3313" t="s">
        <v>69</v>
      </c>
      <c r="P3313" s="3" t="s">
        <v>75</v>
      </c>
      <c r="Q3313">
        <v>2015</v>
      </c>
      <c r="R3313" s="2">
        <v>42178</v>
      </c>
      <c r="S3313" s="2">
        <v>42185</v>
      </c>
      <c r="T3313" s="2">
        <v>42181</v>
      </c>
      <c r="U3313" s="2">
        <v>42241</v>
      </c>
      <c r="V3313" t="s">
        <v>71</v>
      </c>
      <c r="W3313" t="str">
        <f>"              200575"</f>
        <v xml:space="preserve">              200575</v>
      </c>
      <c r="X3313">
        <v>951.6</v>
      </c>
      <c r="Y3313">
        <v>0</v>
      </c>
      <c r="Z3313"/>
      <c r="AB3313"/>
      <c r="AC3313">
        <v>780</v>
      </c>
      <c r="AD3313">
        <v>251</v>
      </c>
      <c r="AE3313" s="1">
        <v>195780</v>
      </c>
      <c r="AF3313">
        <v>0</v>
      </c>
      <c r="AJ3313">
        <v>0</v>
      </c>
      <c r="AK3313">
        <v>0</v>
      </c>
      <c r="AL3313">
        <v>0</v>
      </c>
      <c r="AM3313">
        <v>0</v>
      </c>
      <c r="AN3313">
        <v>0</v>
      </c>
      <c r="AO3313">
        <v>0</v>
      </c>
      <c r="AP3313" s="2">
        <v>42746</v>
      </c>
      <c r="AQ3313" t="s">
        <v>72</v>
      </c>
      <c r="AR3313" t="s">
        <v>72</v>
      </c>
      <c r="AS3313">
        <v>1224</v>
      </c>
      <c r="AT3313" s="4">
        <v>42492</v>
      </c>
      <c r="AU3313" t="s">
        <v>73</v>
      </c>
      <c r="AV3313">
        <v>1224</v>
      </c>
      <c r="AW3313" s="4">
        <v>42492</v>
      </c>
      <c r="BD3313">
        <v>0</v>
      </c>
      <c r="BN3313" t="s">
        <v>74</v>
      </c>
    </row>
    <row r="3314" spans="1:66" hidden="1">
      <c r="A3314">
        <v>101170</v>
      </c>
      <c r="B3314" s="3" t="s">
        <v>376</v>
      </c>
      <c r="C3314" s="1">
        <v>43300101</v>
      </c>
      <c r="D3314" t="s">
        <v>67</v>
      </c>
      <c r="H3314" t="str">
        <f t="shared" si="336"/>
        <v>00527500540</v>
      </c>
      <c r="I3314" t="str">
        <f t="shared" si="336"/>
        <v>00527500540</v>
      </c>
      <c r="K3314" t="str">
        <f>""</f>
        <v/>
      </c>
      <c r="M3314" t="s">
        <v>68</v>
      </c>
      <c r="N3314" t="str">
        <f t="shared" si="335"/>
        <v>FOR</v>
      </c>
      <c r="O3314" t="s">
        <v>69</v>
      </c>
      <c r="P3314" s="3" t="s">
        <v>75</v>
      </c>
      <c r="Q3314">
        <v>2015</v>
      </c>
      <c r="R3314" s="2">
        <v>42178</v>
      </c>
      <c r="S3314" s="2">
        <v>42185</v>
      </c>
      <c r="T3314" s="2">
        <v>42181</v>
      </c>
      <c r="U3314" s="2">
        <v>42241</v>
      </c>
      <c r="V3314" t="s">
        <v>71</v>
      </c>
      <c r="W3314" t="str">
        <f>"              200576"</f>
        <v xml:space="preserve">              200576</v>
      </c>
      <c r="X3314" s="1">
        <v>5124</v>
      </c>
      <c r="Y3314">
        <v>0</v>
      </c>
      <c r="Z3314"/>
      <c r="AB3314"/>
      <c r="AC3314" s="1">
        <v>4200</v>
      </c>
      <c r="AD3314">
        <v>251</v>
      </c>
      <c r="AE3314" s="1">
        <v>1054200</v>
      </c>
      <c r="AF3314">
        <v>0</v>
      </c>
      <c r="AJ3314">
        <v>0</v>
      </c>
      <c r="AK3314">
        <v>0</v>
      </c>
      <c r="AL3314">
        <v>0</v>
      </c>
      <c r="AM3314">
        <v>0</v>
      </c>
      <c r="AN3314">
        <v>0</v>
      </c>
      <c r="AO3314">
        <v>0</v>
      </c>
      <c r="AP3314" s="2">
        <v>42746</v>
      </c>
      <c r="AQ3314" t="s">
        <v>72</v>
      </c>
      <c r="AR3314" t="s">
        <v>72</v>
      </c>
      <c r="AS3314">
        <v>1224</v>
      </c>
      <c r="AT3314" s="4">
        <v>42492</v>
      </c>
      <c r="AU3314" t="s">
        <v>73</v>
      </c>
      <c r="AV3314">
        <v>1224</v>
      </c>
      <c r="AW3314" s="4">
        <v>42492</v>
      </c>
      <c r="BD3314">
        <v>0</v>
      </c>
      <c r="BN3314" t="s">
        <v>74</v>
      </c>
    </row>
    <row r="3315" spans="1:66" hidden="1">
      <c r="A3315">
        <v>101170</v>
      </c>
      <c r="B3315" s="3" t="s">
        <v>376</v>
      </c>
      <c r="C3315" s="1">
        <v>43300101</v>
      </c>
      <c r="D3315" t="s">
        <v>67</v>
      </c>
      <c r="H3315" t="str">
        <f t="shared" si="336"/>
        <v>00527500540</v>
      </c>
      <c r="I3315" t="str">
        <f t="shared" si="336"/>
        <v>00527500540</v>
      </c>
      <c r="K3315" t="str">
        <f>""</f>
        <v/>
      </c>
      <c r="M3315" t="s">
        <v>68</v>
      </c>
      <c r="N3315" t="str">
        <f t="shared" si="335"/>
        <v>FOR</v>
      </c>
      <c r="O3315" t="s">
        <v>69</v>
      </c>
      <c r="P3315" s="3" t="s">
        <v>75</v>
      </c>
      <c r="Q3315">
        <v>2015</v>
      </c>
      <c r="R3315" s="2">
        <v>42178</v>
      </c>
      <c r="S3315" s="2">
        <v>42185</v>
      </c>
      <c r="T3315" s="2">
        <v>42181</v>
      </c>
      <c r="U3315" s="2">
        <v>42241</v>
      </c>
      <c r="V3315" t="s">
        <v>71</v>
      </c>
      <c r="W3315" t="str">
        <f>"              200577"</f>
        <v xml:space="preserve">              200577</v>
      </c>
      <c r="X3315" s="1">
        <v>1725.08</v>
      </c>
      <c r="Y3315">
        <v>0</v>
      </c>
      <c r="Z3315"/>
      <c r="AB3315"/>
      <c r="AC3315" s="1">
        <v>1414</v>
      </c>
      <c r="AD3315">
        <v>251</v>
      </c>
      <c r="AE3315" s="1">
        <v>354914</v>
      </c>
      <c r="AF3315">
        <v>0</v>
      </c>
      <c r="AJ3315">
        <v>0</v>
      </c>
      <c r="AK3315">
        <v>0</v>
      </c>
      <c r="AL3315">
        <v>0</v>
      </c>
      <c r="AM3315">
        <v>0</v>
      </c>
      <c r="AN3315">
        <v>0</v>
      </c>
      <c r="AO3315">
        <v>0</v>
      </c>
      <c r="AP3315" s="2">
        <v>42746</v>
      </c>
      <c r="AQ3315" t="s">
        <v>72</v>
      </c>
      <c r="AR3315" t="s">
        <v>72</v>
      </c>
      <c r="AS3315">
        <v>1224</v>
      </c>
      <c r="AT3315" s="4">
        <v>42492</v>
      </c>
      <c r="AU3315" t="s">
        <v>73</v>
      </c>
      <c r="AV3315">
        <v>1224</v>
      </c>
      <c r="AW3315" s="4">
        <v>42492</v>
      </c>
      <c r="BD3315">
        <v>0</v>
      </c>
      <c r="BN3315" t="s">
        <v>74</v>
      </c>
    </row>
    <row r="3316" spans="1:66" hidden="1">
      <c r="A3316">
        <v>101170</v>
      </c>
      <c r="B3316" s="3" t="s">
        <v>376</v>
      </c>
      <c r="C3316" s="1">
        <v>43300101</v>
      </c>
      <c r="D3316" t="s">
        <v>67</v>
      </c>
      <c r="H3316" t="str">
        <f t="shared" si="336"/>
        <v>00527500540</v>
      </c>
      <c r="I3316" t="str">
        <f t="shared" si="336"/>
        <v>00527500540</v>
      </c>
      <c r="K3316" t="str">
        <f>""</f>
        <v/>
      </c>
      <c r="M3316" t="s">
        <v>68</v>
      </c>
      <c r="N3316" t="str">
        <f t="shared" si="335"/>
        <v>FOR</v>
      </c>
      <c r="O3316" t="s">
        <v>69</v>
      </c>
      <c r="P3316" s="3" t="s">
        <v>75</v>
      </c>
      <c r="Q3316">
        <v>2015</v>
      </c>
      <c r="R3316" s="2">
        <v>42179</v>
      </c>
      <c r="S3316" s="2">
        <v>42185</v>
      </c>
      <c r="T3316" s="2">
        <v>42181</v>
      </c>
      <c r="U3316" s="2">
        <v>42241</v>
      </c>
      <c r="V3316" t="s">
        <v>71</v>
      </c>
      <c r="W3316" t="str">
        <f>"              200578"</f>
        <v xml:space="preserve">              200578</v>
      </c>
      <c r="X3316">
        <v>147.62</v>
      </c>
      <c r="Y3316">
        <v>0</v>
      </c>
      <c r="Z3316"/>
      <c r="AB3316"/>
      <c r="AC3316">
        <v>121</v>
      </c>
      <c r="AD3316">
        <v>251</v>
      </c>
      <c r="AE3316" s="1">
        <v>30371</v>
      </c>
      <c r="AF3316">
        <v>0</v>
      </c>
      <c r="AJ3316">
        <v>0</v>
      </c>
      <c r="AK3316">
        <v>0</v>
      </c>
      <c r="AL3316">
        <v>0</v>
      </c>
      <c r="AM3316">
        <v>0</v>
      </c>
      <c r="AN3316">
        <v>0</v>
      </c>
      <c r="AO3316">
        <v>0</v>
      </c>
      <c r="AP3316" s="2">
        <v>42746</v>
      </c>
      <c r="AQ3316" t="s">
        <v>72</v>
      </c>
      <c r="AR3316" t="s">
        <v>72</v>
      </c>
      <c r="AS3316">
        <v>1224</v>
      </c>
      <c r="AT3316" s="4">
        <v>42492</v>
      </c>
      <c r="AU3316" t="s">
        <v>73</v>
      </c>
      <c r="AV3316">
        <v>1224</v>
      </c>
      <c r="AW3316" s="4">
        <v>42492</v>
      </c>
      <c r="BD3316">
        <v>0</v>
      </c>
      <c r="BN3316" t="s">
        <v>74</v>
      </c>
    </row>
    <row r="3317" spans="1:66" hidden="1">
      <c r="A3317">
        <v>101170</v>
      </c>
      <c r="B3317" s="3" t="s">
        <v>376</v>
      </c>
      <c r="C3317" s="1">
        <v>43300101</v>
      </c>
      <c r="D3317" t="s">
        <v>67</v>
      </c>
      <c r="H3317" t="str">
        <f t="shared" si="336"/>
        <v>00527500540</v>
      </c>
      <c r="I3317" t="str">
        <f t="shared" si="336"/>
        <v>00527500540</v>
      </c>
      <c r="K3317" t="str">
        <f>""</f>
        <v/>
      </c>
      <c r="M3317" t="s">
        <v>68</v>
      </c>
      <c r="N3317" t="str">
        <f t="shared" si="335"/>
        <v>FOR</v>
      </c>
      <c r="O3317" t="s">
        <v>69</v>
      </c>
      <c r="P3317" s="3" t="s">
        <v>75</v>
      </c>
      <c r="Q3317">
        <v>2015</v>
      </c>
      <c r="R3317" s="2">
        <v>42179</v>
      </c>
      <c r="S3317" s="2">
        <v>42186</v>
      </c>
      <c r="T3317" s="2">
        <v>42181</v>
      </c>
      <c r="U3317" s="2">
        <v>42241</v>
      </c>
      <c r="V3317" t="s">
        <v>71</v>
      </c>
      <c r="W3317" t="str">
        <f>"              200579"</f>
        <v xml:space="preserve">              200579</v>
      </c>
      <c r="X3317" s="1">
        <v>1073.5999999999999</v>
      </c>
      <c r="Y3317">
        <v>0</v>
      </c>
      <c r="Z3317"/>
      <c r="AB3317"/>
      <c r="AC3317">
        <v>880</v>
      </c>
      <c r="AD3317">
        <v>251</v>
      </c>
      <c r="AE3317" s="1">
        <v>220880</v>
      </c>
      <c r="AF3317">
        <v>0</v>
      </c>
      <c r="AJ3317">
        <v>0</v>
      </c>
      <c r="AK3317">
        <v>0</v>
      </c>
      <c r="AL3317">
        <v>0</v>
      </c>
      <c r="AM3317">
        <v>0</v>
      </c>
      <c r="AN3317">
        <v>0</v>
      </c>
      <c r="AO3317">
        <v>0</v>
      </c>
      <c r="AP3317" s="2">
        <v>42746</v>
      </c>
      <c r="AQ3317" t="s">
        <v>72</v>
      </c>
      <c r="AR3317" t="s">
        <v>72</v>
      </c>
      <c r="AS3317">
        <v>1224</v>
      </c>
      <c r="AT3317" s="4">
        <v>42492</v>
      </c>
      <c r="AU3317" t="s">
        <v>73</v>
      </c>
      <c r="AV3317">
        <v>1224</v>
      </c>
      <c r="AW3317" s="4">
        <v>42492</v>
      </c>
      <c r="BD3317">
        <v>0</v>
      </c>
      <c r="BN3317" t="s">
        <v>74</v>
      </c>
    </row>
    <row r="3318" spans="1:66" hidden="1">
      <c r="A3318">
        <v>101170</v>
      </c>
      <c r="B3318" s="3" t="s">
        <v>376</v>
      </c>
      <c r="C3318" s="1">
        <v>43300101</v>
      </c>
      <c r="D3318" t="s">
        <v>67</v>
      </c>
      <c r="H3318" t="str">
        <f t="shared" si="336"/>
        <v>00527500540</v>
      </c>
      <c r="I3318" t="str">
        <f t="shared" si="336"/>
        <v>00527500540</v>
      </c>
      <c r="K3318" t="str">
        <f>""</f>
        <v/>
      </c>
      <c r="M3318" t="s">
        <v>68</v>
      </c>
      <c r="N3318" t="str">
        <f t="shared" si="335"/>
        <v>FOR</v>
      </c>
      <c r="O3318" t="s">
        <v>69</v>
      </c>
      <c r="P3318" s="3" t="s">
        <v>75</v>
      </c>
      <c r="Q3318">
        <v>2015</v>
      </c>
      <c r="R3318" s="2">
        <v>42179</v>
      </c>
      <c r="S3318" s="2">
        <v>42185</v>
      </c>
      <c r="T3318" s="2">
        <v>42181</v>
      </c>
      <c r="U3318" s="2">
        <v>42241</v>
      </c>
      <c r="V3318" t="s">
        <v>71</v>
      </c>
      <c r="W3318" t="str">
        <f>"              200580"</f>
        <v xml:space="preserve">              200580</v>
      </c>
      <c r="X3318">
        <v>976</v>
      </c>
      <c r="Y3318">
        <v>0</v>
      </c>
      <c r="Z3318"/>
      <c r="AB3318"/>
      <c r="AC3318">
        <v>800</v>
      </c>
      <c r="AD3318">
        <v>251</v>
      </c>
      <c r="AE3318" s="1">
        <v>200800</v>
      </c>
      <c r="AF3318">
        <v>0</v>
      </c>
      <c r="AJ3318">
        <v>0</v>
      </c>
      <c r="AK3318">
        <v>0</v>
      </c>
      <c r="AL3318">
        <v>0</v>
      </c>
      <c r="AM3318">
        <v>0</v>
      </c>
      <c r="AN3318">
        <v>0</v>
      </c>
      <c r="AO3318">
        <v>0</v>
      </c>
      <c r="AP3318" s="2">
        <v>42746</v>
      </c>
      <c r="AQ3318" t="s">
        <v>72</v>
      </c>
      <c r="AR3318" t="s">
        <v>72</v>
      </c>
      <c r="AS3318">
        <v>1224</v>
      </c>
      <c r="AT3318" s="4">
        <v>42492</v>
      </c>
      <c r="AU3318" t="s">
        <v>73</v>
      </c>
      <c r="AV3318">
        <v>1224</v>
      </c>
      <c r="AW3318" s="4">
        <v>42492</v>
      </c>
      <c r="BD3318">
        <v>0</v>
      </c>
      <c r="BN3318" t="s">
        <v>74</v>
      </c>
    </row>
    <row r="3319" spans="1:66" hidden="1">
      <c r="A3319">
        <v>101170</v>
      </c>
      <c r="B3319" s="3" t="s">
        <v>376</v>
      </c>
      <c r="C3319" s="1">
        <v>43300101</v>
      </c>
      <c r="D3319" t="s">
        <v>67</v>
      </c>
      <c r="H3319" t="str">
        <f t="shared" si="336"/>
        <v>00527500540</v>
      </c>
      <c r="I3319" t="str">
        <f t="shared" si="336"/>
        <v>00527500540</v>
      </c>
      <c r="K3319" t="str">
        <f>""</f>
        <v/>
      </c>
      <c r="M3319" t="s">
        <v>68</v>
      </c>
      <c r="N3319" t="str">
        <f t="shared" si="335"/>
        <v>FOR</v>
      </c>
      <c r="O3319" t="s">
        <v>69</v>
      </c>
      <c r="P3319" s="3" t="s">
        <v>75</v>
      </c>
      <c r="Q3319">
        <v>2015</v>
      </c>
      <c r="R3319" s="2">
        <v>42205</v>
      </c>
      <c r="S3319" s="2">
        <v>42233</v>
      </c>
      <c r="T3319" s="2">
        <v>42207</v>
      </c>
      <c r="U3319" s="2">
        <v>42267</v>
      </c>
      <c r="V3319" t="s">
        <v>71</v>
      </c>
      <c r="W3319" t="str">
        <f>"              200724"</f>
        <v xml:space="preserve">              200724</v>
      </c>
      <c r="X3319">
        <v>324.52</v>
      </c>
      <c r="Y3319">
        <v>0</v>
      </c>
      <c r="Z3319"/>
      <c r="AB3319"/>
      <c r="AC3319">
        <v>266</v>
      </c>
      <c r="AD3319">
        <v>310</v>
      </c>
      <c r="AE3319" s="1">
        <v>82460</v>
      </c>
      <c r="AF3319">
        <v>0</v>
      </c>
      <c r="AJ3319">
        <v>0</v>
      </c>
      <c r="AK3319">
        <v>0</v>
      </c>
      <c r="AL3319">
        <v>0</v>
      </c>
      <c r="AM3319">
        <v>0</v>
      </c>
      <c r="AN3319">
        <v>0</v>
      </c>
      <c r="AO3319">
        <v>0</v>
      </c>
      <c r="AP3319" s="2">
        <v>42746</v>
      </c>
      <c r="AQ3319" t="s">
        <v>72</v>
      </c>
      <c r="AR3319" t="s">
        <v>72</v>
      </c>
      <c r="AS3319">
        <v>1950</v>
      </c>
      <c r="AT3319" s="4">
        <v>42577</v>
      </c>
      <c r="AU3319" t="s">
        <v>73</v>
      </c>
      <c r="AV3319">
        <v>1950</v>
      </c>
      <c r="AW3319" s="4">
        <v>42577</v>
      </c>
      <c r="BD3319">
        <v>0</v>
      </c>
      <c r="BN3319" t="s">
        <v>74</v>
      </c>
    </row>
    <row r="3320" spans="1:66" hidden="1">
      <c r="A3320">
        <v>101170</v>
      </c>
      <c r="B3320" s="3" t="s">
        <v>376</v>
      </c>
      <c r="C3320" s="1">
        <v>43300101</v>
      </c>
      <c r="D3320" t="s">
        <v>67</v>
      </c>
      <c r="H3320" t="str">
        <f t="shared" si="336"/>
        <v>00527500540</v>
      </c>
      <c r="I3320" t="str">
        <f t="shared" si="336"/>
        <v>00527500540</v>
      </c>
      <c r="K3320" t="str">
        <f>""</f>
        <v/>
      </c>
      <c r="M3320" t="s">
        <v>68</v>
      </c>
      <c r="N3320" t="str">
        <f t="shared" si="335"/>
        <v>FOR</v>
      </c>
      <c r="O3320" t="s">
        <v>69</v>
      </c>
      <c r="P3320" s="3" t="s">
        <v>75</v>
      </c>
      <c r="Q3320">
        <v>2015</v>
      </c>
      <c r="R3320" s="2">
        <v>42205</v>
      </c>
      <c r="S3320" s="2">
        <v>42233</v>
      </c>
      <c r="T3320" s="2">
        <v>42207</v>
      </c>
      <c r="U3320" s="2">
        <v>42267</v>
      </c>
      <c r="V3320" t="s">
        <v>71</v>
      </c>
      <c r="W3320" t="str">
        <f>"              200725"</f>
        <v xml:space="preserve">              200725</v>
      </c>
      <c r="X3320">
        <v>658.8</v>
      </c>
      <c r="Y3320">
        <v>0</v>
      </c>
      <c r="Z3320"/>
      <c r="AB3320"/>
      <c r="AC3320">
        <v>540</v>
      </c>
      <c r="AD3320">
        <v>310</v>
      </c>
      <c r="AE3320" s="1">
        <v>167400</v>
      </c>
      <c r="AF3320">
        <v>0</v>
      </c>
      <c r="AJ3320">
        <v>0</v>
      </c>
      <c r="AK3320">
        <v>0</v>
      </c>
      <c r="AL3320">
        <v>0</v>
      </c>
      <c r="AM3320">
        <v>0</v>
      </c>
      <c r="AN3320">
        <v>0</v>
      </c>
      <c r="AO3320">
        <v>0</v>
      </c>
      <c r="AP3320" s="2">
        <v>42746</v>
      </c>
      <c r="AQ3320" t="s">
        <v>72</v>
      </c>
      <c r="AR3320" t="s">
        <v>72</v>
      </c>
      <c r="AS3320">
        <v>1950</v>
      </c>
      <c r="AT3320" s="4">
        <v>42577</v>
      </c>
      <c r="AU3320" t="s">
        <v>73</v>
      </c>
      <c r="AV3320">
        <v>1950</v>
      </c>
      <c r="AW3320" s="4">
        <v>42577</v>
      </c>
      <c r="BD3320">
        <v>0</v>
      </c>
      <c r="BN3320" t="s">
        <v>74</v>
      </c>
    </row>
    <row r="3321" spans="1:66" hidden="1">
      <c r="A3321">
        <v>101170</v>
      </c>
      <c r="B3321" s="3" t="s">
        <v>376</v>
      </c>
      <c r="C3321" s="1">
        <v>43300101</v>
      </c>
      <c r="D3321" t="s">
        <v>67</v>
      </c>
      <c r="H3321" t="str">
        <f t="shared" si="336"/>
        <v>00527500540</v>
      </c>
      <c r="I3321" t="str">
        <f t="shared" si="336"/>
        <v>00527500540</v>
      </c>
      <c r="K3321" t="str">
        <f>""</f>
        <v/>
      </c>
      <c r="M3321" t="s">
        <v>68</v>
      </c>
      <c r="N3321" t="str">
        <f t="shared" si="335"/>
        <v>FOR</v>
      </c>
      <c r="O3321" t="s">
        <v>69</v>
      </c>
      <c r="P3321" s="3" t="s">
        <v>75</v>
      </c>
      <c r="Q3321">
        <v>2015</v>
      </c>
      <c r="R3321" s="2">
        <v>42205</v>
      </c>
      <c r="S3321" s="2">
        <v>42233</v>
      </c>
      <c r="T3321" s="2">
        <v>42207</v>
      </c>
      <c r="U3321" s="2">
        <v>42267</v>
      </c>
      <c r="V3321" t="s">
        <v>71</v>
      </c>
      <c r="W3321" t="str">
        <f>"              200726"</f>
        <v xml:space="preserve">              200726</v>
      </c>
      <c r="X3321">
        <v>256.2</v>
      </c>
      <c r="Y3321">
        <v>0</v>
      </c>
      <c r="Z3321"/>
      <c r="AB3321"/>
      <c r="AC3321">
        <v>210</v>
      </c>
      <c r="AD3321">
        <v>311</v>
      </c>
      <c r="AE3321" s="1">
        <v>65310</v>
      </c>
      <c r="AF3321">
        <v>0</v>
      </c>
      <c r="AJ3321">
        <v>0</v>
      </c>
      <c r="AK3321">
        <v>0</v>
      </c>
      <c r="AL3321">
        <v>0</v>
      </c>
      <c r="AM3321">
        <v>0</v>
      </c>
      <c r="AN3321">
        <v>0</v>
      </c>
      <c r="AO3321">
        <v>0</v>
      </c>
      <c r="AP3321" s="2">
        <v>42746</v>
      </c>
      <c r="AQ3321" t="s">
        <v>72</v>
      </c>
      <c r="AR3321" t="s">
        <v>72</v>
      </c>
      <c r="AS3321">
        <v>1988</v>
      </c>
      <c r="AT3321" s="4">
        <v>42578</v>
      </c>
      <c r="AU3321" t="s">
        <v>73</v>
      </c>
      <c r="AV3321">
        <v>1988</v>
      </c>
      <c r="AW3321" s="4">
        <v>42578</v>
      </c>
      <c r="BD3321">
        <v>0</v>
      </c>
      <c r="BN3321" t="s">
        <v>74</v>
      </c>
    </row>
    <row r="3322" spans="1:66" hidden="1">
      <c r="A3322">
        <v>101170</v>
      </c>
      <c r="B3322" s="3" t="s">
        <v>376</v>
      </c>
      <c r="C3322" s="1">
        <v>43300101</v>
      </c>
      <c r="D3322" t="s">
        <v>67</v>
      </c>
      <c r="H3322" t="str">
        <f t="shared" si="336"/>
        <v>00527500540</v>
      </c>
      <c r="I3322" t="str">
        <f t="shared" si="336"/>
        <v>00527500540</v>
      </c>
      <c r="K3322" t="str">
        <f>""</f>
        <v/>
      </c>
      <c r="M3322" t="s">
        <v>68</v>
      </c>
      <c r="N3322" t="str">
        <f t="shared" ref="N3322:N3353" si="337">"FOR"</f>
        <v>FOR</v>
      </c>
      <c r="O3322" t="s">
        <v>69</v>
      </c>
      <c r="P3322" s="3" t="s">
        <v>75</v>
      </c>
      <c r="Q3322">
        <v>2015</v>
      </c>
      <c r="R3322" s="2">
        <v>42205</v>
      </c>
      <c r="S3322" s="2">
        <v>42233</v>
      </c>
      <c r="T3322" s="2">
        <v>42207</v>
      </c>
      <c r="U3322" s="2">
        <v>42267</v>
      </c>
      <c r="V3322" t="s">
        <v>71</v>
      </c>
      <c r="W3322" t="str">
        <f>"              200727"</f>
        <v xml:space="preserve">              200727</v>
      </c>
      <c r="X3322">
        <v>244</v>
      </c>
      <c r="Y3322">
        <v>0</v>
      </c>
      <c r="Z3322"/>
      <c r="AB3322"/>
      <c r="AC3322">
        <v>200</v>
      </c>
      <c r="AD3322">
        <v>310</v>
      </c>
      <c r="AE3322" s="1">
        <v>62000</v>
      </c>
      <c r="AF3322">
        <v>0</v>
      </c>
      <c r="AJ3322">
        <v>0</v>
      </c>
      <c r="AK3322">
        <v>0</v>
      </c>
      <c r="AL3322">
        <v>0</v>
      </c>
      <c r="AM3322">
        <v>0</v>
      </c>
      <c r="AN3322">
        <v>0</v>
      </c>
      <c r="AO3322">
        <v>0</v>
      </c>
      <c r="AP3322" s="2">
        <v>42746</v>
      </c>
      <c r="AQ3322" t="s">
        <v>72</v>
      </c>
      <c r="AR3322" t="s">
        <v>72</v>
      </c>
      <c r="AS3322">
        <v>1950</v>
      </c>
      <c r="AT3322" s="4">
        <v>42577</v>
      </c>
      <c r="AU3322" t="s">
        <v>73</v>
      </c>
      <c r="AV3322">
        <v>1950</v>
      </c>
      <c r="AW3322" s="4">
        <v>42577</v>
      </c>
      <c r="BD3322">
        <v>0</v>
      </c>
      <c r="BN3322" t="s">
        <v>74</v>
      </c>
    </row>
    <row r="3323" spans="1:66" hidden="1">
      <c r="A3323">
        <v>101170</v>
      </c>
      <c r="B3323" s="3" t="s">
        <v>376</v>
      </c>
      <c r="C3323" s="1">
        <v>43300101</v>
      </c>
      <c r="D3323" t="s">
        <v>67</v>
      </c>
      <c r="H3323" t="str">
        <f t="shared" si="336"/>
        <v>00527500540</v>
      </c>
      <c r="I3323" t="str">
        <f t="shared" si="336"/>
        <v>00527500540</v>
      </c>
      <c r="K3323" t="str">
        <f>""</f>
        <v/>
      </c>
      <c r="M3323" t="s">
        <v>68</v>
      </c>
      <c r="N3323" t="str">
        <f t="shared" si="337"/>
        <v>FOR</v>
      </c>
      <c r="O3323" t="s">
        <v>69</v>
      </c>
      <c r="P3323" s="3" t="s">
        <v>75</v>
      </c>
      <c r="Q3323">
        <v>2015</v>
      </c>
      <c r="R3323" s="2">
        <v>42205</v>
      </c>
      <c r="S3323" s="2">
        <v>42233</v>
      </c>
      <c r="T3323" s="2">
        <v>42207</v>
      </c>
      <c r="U3323" s="2">
        <v>42267</v>
      </c>
      <c r="V3323" t="s">
        <v>71</v>
      </c>
      <c r="W3323" t="str">
        <f>"              200728"</f>
        <v xml:space="preserve">              200728</v>
      </c>
      <c r="X3323" s="1">
        <v>3489.2</v>
      </c>
      <c r="Y3323">
        <v>0</v>
      </c>
      <c r="Z3323"/>
      <c r="AB3323"/>
      <c r="AC3323" s="1">
        <v>2860</v>
      </c>
      <c r="AD3323">
        <v>310</v>
      </c>
      <c r="AE3323" s="1">
        <v>886600</v>
      </c>
      <c r="AF3323">
        <v>0</v>
      </c>
      <c r="AJ3323">
        <v>0</v>
      </c>
      <c r="AK3323">
        <v>0</v>
      </c>
      <c r="AL3323">
        <v>0</v>
      </c>
      <c r="AM3323">
        <v>0</v>
      </c>
      <c r="AN3323">
        <v>0</v>
      </c>
      <c r="AO3323">
        <v>0</v>
      </c>
      <c r="AP3323" s="2">
        <v>42746</v>
      </c>
      <c r="AQ3323" t="s">
        <v>72</v>
      </c>
      <c r="AR3323" t="s">
        <v>72</v>
      </c>
      <c r="AS3323">
        <v>1950</v>
      </c>
      <c r="AT3323" s="4">
        <v>42577</v>
      </c>
      <c r="AU3323" t="s">
        <v>73</v>
      </c>
      <c r="AV3323">
        <v>1950</v>
      </c>
      <c r="AW3323" s="4">
        <v>42577</v>
      </c>
      <c r="BD3323">
        <v>0</v>
      </c>
      <c r="BN3323" t="s">
        <v>74</v>
      </c>
    </row>
    <row r="3324" spans="1:66" hidden="1">
      <c r="A3324">
        <v>101170</v>
      </c>
      <c r="B3324" s="3" t="s">
        <v>376</v>
      </c>
      <c r="C3324" s="1">
        <v>43300101</v>
      </c>
      <c r="D3324" t="s">
        <v>67</v>
      </c>
      <c r="H3324" t="str">
        <f t="shared" si="336"/>
        <v>00527500540</v>
      </c>
      <c r="I3324" t="str">
        <f t="shared" si="336"/>
        <v>00527500540</v>
      </c>
      <c r="K3324" t="str">
        <f>""</f>
        <v/>
      </c>
      <c r="M3324" t="s">
        <v>68</v>
      </c>
      <c r="N3324" t="str">
        <f t="shared" si="337"/>
        <v>FOR</v>
      </c>
      <c r="O3324" t="s">
        <v>69</v>
      </c>
      <c r="P3324" s="3" t="s">
        <v>75</v>
      </c>
      <c r="Q3324">
        <v>2015</v>
      </c>
      <c r="R3324" s="2">
        <v>42205</v>
      </c>
      <c r="S3324" s="2">
        <v>42233</v>
      </c>
      <c r="T3324" s="2">
        <v>42207</v>
      </c>
      <c r="U3324" s="2">
        <v>42267</v>
      </c>
      <c r="V3324" t="s">
        <v>71</v>
      </c>
      <c r="W3324" t="str">
        <f>"              200729"</f>
        <v xml:space="preserve">              200729</v>
      </c>
      <c r="X3324">
        <v>284.26</v>
      </c>
      <c r="Y3324">
        <v>0</v>
      </c>
      <c r="Z3324"/>
      <c r="AB3324"/>
      <c r="AC3324">
        <v>233</v>
      </c>
      <c r="AD3324">
        <v>310</v>
      </c>
      <c r="AE3324" s="1">
        <v>72230</v>
      </c>
      <c r="AF3324">
        <v>0</v>
      </c>
      <c r="AJ3324">
        <v>0</v>
      </c>
      <c r="AK3324">
        <v>0</v>
      </c>
      <c r="AL3324">
        <v>0</v>
      </c>
      <c r="AM3324">
        <v>0</v>
      </c>
      <c r="AN3324">
        <v>0</v>
      </c>
      <c r="AO3324">
        <v>0</v>
      </c>
      <c r="AP3324" s="2">
        <v>42746</v>
      </c>
      <c r="AQ3324" t="s">
        <v>72</v>
      </c>
      <c r="AR3324" t="s">
        <v>72</v>
      </c>
      <c r="AS3324">
        <v>1950</v>
      </c>
      <c r="AT3324" s="4">
        <v>42577</v>
      </c>
      <c r="AU3324" t="s">
        <v>73</v>
      </c>
      <c r="AV3324">
        <v>1950</v>
      </c>
      <c r="AW3324" s="4">
        <v>42577</v>
      </c>
      <c r="BD3324">
        <v>0</v>
      </c>
      <c r="BN3324" t="s">
        <v>74</v>
      </c>
    </row>
    <row r="3325" spans="1:66" hidden="1">
      <c r="A3325">
        <v>101170</v>
      </c>
      <c r="B3325" s="3" t="s">
        <v>376</v>
      </c>
      <c r="C3325" s="1">
        <v>43300101</v>
      </c>
      <c r="D3325" t="s">
        <v>67</v>
      </c>
      <c r="H3325" t="str">
        <f t="shared" si="336"/>
        <v>00527500540</v>
      </c>
      <c r="I3325" t="str">
        <f t="shared" si="336"/>
        <v>00527500540</v>
      </c>
      <c r="K3325" t="str">
        <f>""</f>
        <v/>
      </c>
      <c r="M3325" t="s">
        <v>68</v>
      </c>
      <c r="N3325" t="str">
        <f t="shared" si="337"/>
        <v>FOR</v>
      </c>
      <c r="O3325" t="s">
        <v>69</v>
      </c>
      <c r="P3325" s="3" t="s">
        <v>75</v>
      </c>
      <c r="Q3325">
        <v>2015</v>
      </c>
      <c r="R3325" s="2">
        <v>42205</v>
      </c>
      <c r="S3325" s="2">
        <v>42233</v>
      </c>
      <c r="T3325" s="2">
        <v>42207</v>
      </c>
      <c r="U3325" s="2">
        <v>42267</v>
      </c>
      <c r="V3325" t="s">
        <v>71</v>
      </c>
      <c r="W3325" t="str">
        <f>"              200730"</f>
        <v xml:space="preserve">              200730</v>
      </c>
      <c r="X3325" s="1">
        <v>2684</v>
      </c>
      <c r="Y3325">
        <v>0</v>
      </c>
      <c r="Z3325"/>
      <c r="AB3325"/>
      <c r="AC3325" s="1">
        <v>2200</v>
      </c>
      <c r="AD3325">
        <v>310</v>
      </c>
      <c r="AE3325" s="1">
        <v>682000</v>
      </c>
      <c r="AF3325">
        <v>0</v>
      </c>
      <c r="AJ3325">
        <v>0</v>
      </c>
      <c r="AK3325">
        <v>0</v>
      </c>
      <c r="AL3325">
        <v>0</v>
      </c>
      <c r="AM3325">
        <v>0</v>
      </c>
      <c r="AN3325">
        <v>0</v>
      </c>
      <c r="AO3325">
        <v>0</v>
      </c>
      <c r="AP3325" s="2">
        <v>42746</v>
      </c>
      <c r="AQ3325" t="s">
        <v>72</v>
      </c>
      <c r="AR3325" t="s">
        <v>72</v>
      </c>
      <c r="AS3325">
        <v>1950</v>
      </c>
      <c r="AT3325" s="4">
        <v>42577</v>
      </c>
      <c r="AU3325" t="s">
        <v>73</v>
      </c>
      <c r="AV3325">
        <v>1950</v>
      </c>
      <c r="AW3325" s="4">
        <v>42577</v>
      </c>
      <c r="BD3325">
        <v>0</v>
      </c>
      <c r="BN3325" t="s">
        <v>74</v>
      </c>
    </row>
    <row r="3326" spans="1:66" hidden="1">
      <c r="A3326">
        <v>101170</v>
      </c>
      <c r="B3326" s="3" t="s">
        <v>376</v>
      </c>
      <c r="C3326" s="1">
        <v>43300101</v>
      </c>
      <c r="D3326" t="s">
        <v>67</v>
      </c>
      <c r="H3326" t="str">
        <f t="shared" si="336"/>
        <v>00527500540</v>
      </c>
      <c r="I3326" t="str">
        <f t="shared" si="336"/>
        <v>00527500540</v>
      </c>
      <c r="K3326" t="str">
        <f>""</f>
        <v/>
      </c>
      <c r="M3326" t="s">
        <v>68</v>
      </c>
      <c r="N3326" t="str">
        <f t="shared" si="337"/>
        <v>FOR</v>
      </c>
      <c r="O3326" t="s">
        <v>69</v>
      </c>
      <c r="P3326" s="3" t="s">
        <v>75</v>
      </c>
      <c r="Q3326">
        <v>2015</v>
      </c>
      <c r="R3326" s="2">
        <v>42205</v>
      </c>
      <c r="S3326" s="2">
        <v>42233</v>
      </c>
      <c r="T3326" s="2">
        <v>42207</v>
      </c>
      <c r="U3326" s="2">
        <v>42267</v>
      </c>
      <c r="V3326" t="s">
        <v>71</v>
      </c>
      <c r="W3326" t="str">
        <f>"              200731"</f>
        <v xml:space="preserve">              200731</v>
      </c>
      <c r="X3326">
        <v>213.5</v>
      </c>
      <c r="Y3326">
        <v>0</v>
      </c>
      <c r="Z3326"/>
      <c r="AB3326"/>
      <c r="AC3326">
        <v>175</v>
      </c>
      <c r="AD3326">
        <v>311</v>
      </c>
      <c r="AE3326" s="1">
        <v>54425</v>
      </c>
      <c r="AF3326">
        <v>0</v>
      </c>
      <c r="AJ3326">
        <v>0</v>
      </c>
      <c r="AK3326">
        <v>0</v>
      </c>
      <c r="AL3326">
        <v>0</v>
      </c>
      <c r="AM3326">
        <v>0</v>
      </c>
      <c r="AN3326">
        <v>0</v>
      </c>
      <c r="AO3326">
        <v>0</v>
      </c>
      <c r="AP3326" s="2">
        <v>42746</v>
      </c>
      <c r="AQ3326" t="s">
        <v>72</v>
      </c>
      <c r="AR3326" t="s">
        <v>72</v>
      </c>
      <c r="AS3326">
        <v>1988</v>
      </c>
      <c r="AT3326" s="4">
        <v>42578</v>
      </c>
      <c r="AU3326" t="s">
        <v>73</v>
      </c>
      <c r="AV3326">
        <v>1988</v>
      </c>
      <c r="AW3326" s="4">
        <v>42578</v>
      </c>
      <c r="BD3326">
        <v>0</v>
      </c>
      <c r="BN3326" t="s">
        <v>74</v>
      </c>
    </row>
    <row r="3327" spans="1:66" hidden="1">
      <c r="A3327">
        <v>101170</v>
      </c>
      <c r="B3327" s="3" t="s">
        <v>376</v>
      </c>
      <c r="C3327" s="1">
        <v>43300101</v>
      </c>
      <c r="D3327" t="s">
        <v>67</v>
      </c>
      <c r="H3327" t="str">
        <f t="shared" si="336"/>
        <v>00527500540</v>
      </c>
      <c r="I3327" t="str">
        <f t="shared" si="336"/>
        <v>00527500540</v>
      </c>
      <c r="K3327" t="str">
        <f>""</f>
        <v/>
      </c>
      <c r="M3327" t="s">
        <v>68</v>
      </c>
      <c r="N3327" t="str">
        <f t="shared" si="337"/>
        <v>FOR</v>
      </c>
      <c r="O3327" t="s">
        <v>69</v>
      </c>
      <c r="P3327" s="3" t="s">
        <v>75</v>
      </c>
      <c r="Q3327">
        <v>2015</v>
      </c>
      <c r="R3327" s="2">
        <v>42205</v>
      </c>
      <c r="S3327" s="2">
        <v>42233</v>
      </c>
      <c r="T3327" s="2">
        <v>42207</v>
      </c>
      <c r="U3327" s="2">
        <v>42267</v>
      </c>
      <c r="V3327" t="s">
        <v>71</v>
      </c>
      <c r="W3327" t="str">
        <f>"              200732"</f>
        <v xml:space="preserve">              200732</v>
      </c>
      <c r="X3327" s="1">
        <v>2220.4</v>
      </c>
      <c r="Y3327">
        <v>0</v>
      </c>
      <c r="Z3327"/>
      <c r="AB3327"/>
      <c r="AC3327" s="1">
        <v>1820</v>
      </c>
      <c r="AD3327">
        <v>310</v>
      </c>
      <c r="AE3327" s="1">
        <v>564200</v>
      </c>
      <c r="AF3327">
        <v>0</v>
      </c>
      <c r="AJ3327">
        <v>0</v>
      </c>
      <c r="AK3327">
        <v>0</v>
      </c>
      <c r="AL3327">
        <v>0</v>
      </c>
      <c r="AM3327">
        <v>0</v>
      </c>
      <c r="AN3327">
        <v>0</v>
      </c>
      <c r="AO3327">
        <v>0</v>
      </c>
      <c r="AP3327" s="2">
        <v>42746</v>
      </c>
      <c r="AQ3327" t="s">
        <v>72</v>
      </c>
      <c r="AR3327" t="s">
        <v>72</v>
      </c>
      <c r="AS3327">
        <v>1950</v>
      </c>
      <c r="AT3327" s="4">
        <v>42577</v>
      </c>
      <c r="AU3327" t="s">
        <v>73</v>
      </c>
      <c r="AV3327">
        <v>1950</v>
      </c>
      <c r="AW3327" s="4">
        <v>42577</v>
      </c>
      <c r="BD3327">
        <v>0</v>
      </c>
      <c r="BN3327" t="s">
        <v>74</v>
      </c>
    </row>
    <row r="3328" spans="1:66" hidden="1">
      <c r="A3328">
        <v>101170</v>
      </c>
      <c r="B3328" s="3" t="s">
        <v>376</v>
      </c>
      <c r="C3328" s="1">
        <v>43300101</v>
      </c>
      <c r="D3328" t="s">
        <v>67</v>
      </c>
      <c r="H3328" t="str">
        <f t="shared" si="336"/>
        <v>00527500540</v>
      </c>
      <c r="I3328" t="str">
        <f t="shared" si="336"/>
        <v>00527500540</v>
      </c>
      <c r="K3328" t="str">
        <f>""</f>
        <v/>
      </c>
      <c r="M3328" t="s">
        <v>68</v>
      </c>
      <c r="N3328" t="str">
        <f t="shared" si="337"/>
        <v>FOR</v>
      </c>
      <c r="O3328" t="s">
        <v>69</v>
      </c>
      <c r="P3328" s="3" t="s">
        <v>75</v>
      </c>
      <c r="Q3328">
        <v>2015</v>
      </c>
      <c r="R3328" s="2">
        <v>42205</v>
      </c>
      <c r="S3328" s="2">
        <v>42233</v>
      </c>
      <c r="T3328" s="2">
        <v>42207</v>
      </c>
      <c r="U3328" s="2">
        <v>42267</v>
      </c>
      <c r="V3328" t="s">
        <v>71</v>
      </c>
      <c r="W3328" t="str">
        <f>"              200733"</f>
        <v xml:space="preserve">              200733</v>
      </c>
      <c r="X3328" s="1">
        <v>2220.4</v>
      </c>
      <c r="Y3328">
        <v>0</v>
      </c>
      <c r="Z3328"/>
      <c r="AB3328"/>
      <c r="AC3328" s="1">
        <v>1820</v>
      </c>
      <c r="AD3328">
        <v>311</v>
      </c>
      <c r="AE3328" s="1">
        <v>566020</v>
      </c>
      <c r="AF3328">
        <v>0</v>
      </c>
      <c r="AJ3328">
        <v>0</v>
      </c>
      <c r="AK3328">
        <v>0</v>
      </c>
      <c r="AL3328">
        <v>0</v>
      </c>
      <c r="AM3328">
        <v>0</v>
      </c>
      <c r="AN3328">
        <v>0</v>
      </c>
      <c r="AO3328">
        <v>0</v>
      </c>
      <c r="AP3328" s="2">
        <v>42746</v>
      </c>
      <c r="AQ3328" t="s">
        <v>72</v>
      </c>
      <c r="AR3328" t="s">
        <v>72</v>
      </c>
      <c r="AS3328">
        <v>1988</v>
      </c>
      <c r="AT3328" s="4">
        <v>42578</v>
      </c>
      <c r="AU3328" t="s">
        <v>73</v>
      </c>
      <c r="AV3328">
        <v>1988</v>
      </c>
      <c r="AW3328" s="4">
        <v>42578</v>
      </c>
      <c r="BD3328">
        <v>0</v>
      </c>
      <c r="BN3328" t="s">
        <v>74</v>
      </c>
    </row>
    <row r="3329" spans="1:66" hidden="1">
      <c r="A3329">
        <v>101170</v>
      </c>
      <c r="B3329" s="3" t="s">
        <v>376</v>
      </c>
      <c r="C3329" s="1">
        <v>43300101</v>
      </c>
      <c r="D3329" t="s">
        <v>67</v>
      </c>
      <c r="H3329" t="str">
        <f t="shared" si="336"/>
        <v>00527500540</v>
      </c>
      <c r="I3329" t="str">
        <f t="shared" si="336"/>
        <v>00527500540</v>
      </c>
      <c r="K3329" t="str">
        <f>""</f>
        <v/>
      </c>
      <c r="M3329" t="s">
        <v>68</v>
      </c>
      <c r="N3329" t="str">
        <f t="shared" si="337"/>
        <v>FOR</v>
      </c>
      <c r="O3329" t="s">
        <v>69</v>
      </c>
      <c r="P3329" s="3" t="s">
        <v>75</v>
      </c>
      <c r="Q3329">
        <v>2015</v>
      </c>
      <c r="R3329" s="2">
        <v>42205</v>
      </c>
      <c r="S3329" s="2">
        <v>42233</v>
      </c>
      <c r="T3329" s="2">
        <v>42207</v>
      </c>
      <c r="U3329" s="2">
        <v>42267</v>
      </c>
      <c r="V3329" t="s">
        <v>71</v>
      </c>
      <c r="W3329" t="str">
        <f>"              200734"</f>
        <v xml:space="preserve">              200734</v>
      </c>
      <c r="X3329" s="1">
        <v>2220.4</v>
      </c>
      <c r="Y3329">
        <v>0</v>
      </c>
      <c r="Z3329"/>
      <c r="AB3329"/>
      <c r="AC3329" s="1">
        <v>1820</v>
      </c>
      <c r="AD3329">
        <v>311</v>
      </c>
      <c r="AE3329" s="1">
        <v>566020</v>
      </c>
      <c r="AF3329">
        <v>0</v>
      </c>
      <c r="AJ3329">
        <v>0</v>
      </c>
      <c r="AK3329">
        <v>0</v>
      </c>
      <c r="AL3329">
        <v>0</v>
      </c>
      <c r="AM3329">
        <v>0</v>
      </c>
      <c r="AN3329">
        <v>0</v>
      </c>
      <c r="AO3329">
        <v>0</v>
      </c>
      <c r="AP3329" s="2">
        <v>42746</v>
      </c>
      <c r="AQ3329" t="s">
        <v>72</v>
      </c>
      <c r="AR3329" t="s">
        <v>72</v>
      </c>
      <c r="AS3329">
        <v>1988</v>
      </c>
      <c r="AT3329" s="4">
        <v>42578</v>
      </c>
      <c r="AU3329" t="s">
        <v>73</v>
      </c>
      <c r="AV3329">
        <v>1988</v>
      </c>
      <c r="AW3329" s="4">
        <v>42578</v>
      </c>
      <c r="BD3329">
        <v>0</v>
      </c>
      <c r="BN3329" t="s">
        <v>74</v>
      </c>
    </row>
    <row r="3330" spans="1:66" hidden="1">
      <c r="A3330">
        <v>101170</v>
      </c>
      <c r="B3330" s="3" t="s">
        <v>376</v>
      </c>
      <c r="C3330" s="1">
        <v>43300101</v>
      </c>
      <c r="D3330" t="s">
        <v>67</v>
      </c>
      <c r="H3330" t="str">
        <f t="shared" ref="H3330:I3349" si="338">"00527500540"</f>
        <v>00527500540</v>
      </c>
      <c r="I3330" t="str">
        <f t="shared" si="338"/>
        <v>00527500540</v>
      </c>
      <c r="K3330" t="str">
        <f>""</f>
        <v/>
      </c>
      <c r="M3330" t="s">
        <v>68</v>
      </c>
      <c r="N3330" t="str">
        <f t="shared" si="337"/>
        <v>FOR</v>
      </c>
      <c r="O3330" t="s">
        <v>69</v>
      </c>
      <c r="P3330" s="3" t="s">
        <v>75</v>
      </c>
      <c r="Q3330">
        <v>2015</v>
      </c>
      <c r="R3330" s="2">
        <v>42205</v>
      </c>
      <c r="S3330" s="2">
        <v>42233</v>
      </c>
      <c r="T3330" s="2">
        <v>42207</v>
      </c>
      <c r="U3330" s="2">
        <v>42267</v>
      </c>
      <c r="V3330" t="s">
        <v>71</v>
      </c>
      <c r="W3330" t="str">
        <f>"              200735"</f>
        <v xml:space="preserve">              200735</v>
      </c>
      <c r="X3330">
        <v>170.8</v>
      </c>
      <c r="Y3330">
        <v>0</v>
      </c>
      <c r="Z3330"/>
      <c r="AB3330"/>
      <c r="AC3330">
        <v>140</v>
      </c>
      <c r="AD3330">
        <v>311</v>
      </c>
      <c r="AE3330" s="1">
        <v>43540</v>
      </c>
      <c r="AF3330">
        <v>0</v>
      </c>
      <c r="AJ3330">
        <v>0</v>
      </c>
      <c r="AK3330">
        <v>0</v>
      </c>
      <c r="AL3330">
        <v>0</v>
      </c>
      <c r="AM3330">
        <v>0</v>
      </c>
      <c r="AN3330">
        <v>0</v>
      </c>
      <c r="AO3330">
        <v>0</v>
      </c>
      <c r="AP3330" s="2">
        <v>42746</v>
      </c>
      <c r="AQ3330" t="s">
        <v>72</v>
      </c>
      <c r="AR3330" t="s">
        <v>72</v>
      </c>
      <c r="AS3330">
        <v>1988</v>
      </c>
      <c r="AT3330" s="4">
        <v>42578</v>
      </c>
      <c r="AU3330" t="s">
        <v>73</v>
      </c>
      <c r="AV3330">
        <v>1988</v>
      </c>
      <c r="AW3330" s="4">
        <v>42578</v>
      </c>
      <c r="BD3330">
        <v>0</v>
      </c>
      <c r="BN3330" t="s">
        <v>74</v>
      </c>
    </row>
    <row r="3331" spans="1:66" hidden="1">
      <c r="A3331">
        <v>101170</v>
      </c>
      <c r="B3331" s="3" t="s">
        <v>376</v>
      </c>
      <c r="C3331" s="1">
        <v>43300101</v>
      </c>
      <c r="D3331" t="s">
        <v>67</v>
      </c>
      <c r="H3331" t="str">
        <f t="shared" si="338"/>
        <v>00527500540</v>
      </c>
      <c r="I3331" t="str">
        <f t="shared" si="338"/>
        <v>00527500540</v>
      </c>
      <c r="K3331" t="str">
        <f>""</f>
        <v/>
      </c>
      <c r="M3331" t="s">
        <v>68</v>
      </c>
      <c r="N3331" t="str">
        <f t="shared" si="337"/>
        <v>FOR</v>
      </c>
      <c r="O3331" t="s">
        <v>69</v>
      </c>
      <c r="P3331" s="3" t="s">
        <v>75</v>
      </c>
      <c r="Q3331">
        <v>2015</v>
      </c>
      <c r="R3331" s="2">
        <v>42205</v>
      </c>
      <c r="S3331" s="2">
        <v>42233</v>
      </c>
      <c r="T3331" s="2">
        <v>42207</v>
      </c>
      <c r="U3331" s="2">
        <v>42267</v>
      </c>
      <c r="V3331" t="s">
        <v>71</v>
      </c>
      <c r="W3331" t="str">
        <f>"              200736"</f>
        <v xml:space="preserve">              200736</v>
      </c>
      <c r="X3331">
        <v>335.5</v>
      </c>
      <c r="Y3331">
        <v>0</v>
      </c>
      <c r="Z3331"/>
      <c r="AB3331"/>
      <c r="AC3331">
        <v>275</v>
      </c>
      <c r="AD3331">
        <v>311</v>
      </c>
      <c r="AE3331" s="1">
        <v>85525</v>
      </c>
      <c r="AF3331">
        <v>0</v>
      </c>
      <c r="AJ3331">
        <v>0</v>
      </c>
      <c r="AK3331">
        <v>0</v>
      </c>
      <c r="AL3331">
        <v>0</v>
      </c>
      <c r="AM3331">
        <v>0</v>
      </c>
      <c r="AN3331">
        <v>0</v>
      </c>
      <c r="AO3331">
        <v>0</v>
      </c>
      <c r="AP3331" s="2">
        <v>42746</v>
      </c>
      <c r="AQ3331" t="s">
        <v>72</v>
      </c>
      <c r="AR3331" t="s">
        <v>72</v>
      </c>
      <c r="AS3331">
        <v>1988</v>
      </c>
      <c r="AT3331" s="4">
        <v>42578</v>
      </c>
      <c r="AU3331" t="s">
        <v>73</v>
      </c>
      <c r="AV3331">
        <v>1988</v>
      </c>
      <c r="AW3331" s="4">
        <v>42578</v>
      </c>
      <c r="BD3331">
        <v>0</v>
      </c>
      <c r="BN3331" t="s">
        <v>74</v>
      </c>
    </row>
    <row r="3332" spans="1:66" hidden="1">
      <c r="A3332">
        <v>101170</v>
      </c>
      <c r="B3332" s="3" t="s">
        <v>376</v>
      </c>
      <c r="C3332" s="1">
        <v>43300101</v>
      </c>
      <c r="D3332" t="s">
        <v>67</v>
      </c>
      <c r="H3332" t="str">
        <f t="shared" si="338"/>
        <v>00527500540</v>
      </c>
      <c r="I3332" t="str">
        <f t="shared" si="338"/>
        <v>00527500540</v>
      </c>
      <c r="K3332" t="str">
        <f>""</f>
        <v/>
      </c>
      <c r="M3332" t="s">
        <v>68</v>
      </c>
      <c r="N3332" t="str">
        <f t="shared" si="337"/>
        <v>FOR</v>
      </c>
      <c r="O3332" t="s">
        <v>69</v>
      </c>
      <c r="P3332" s="3" t="s">
        <v>75</v>
      </c>
      <c r="Q3332">
        <v>2015</v>
      </c>
      <c r="R3332" s="2">
        <v>42244</v>
      </c>
      <c r="S3332" s="2">
        <v>42248</v>
      </c>
      <c r="T3332" s="2">
        <v>42247</v>
      </c>
      <c r="U3332" s="2">
        <v>42307</v>
      </c>
      <c r="V3332" t="s">
        <v>71</v>
      </c>
      <c r="W3332" t="str">
        <f>"              200858"</f>
        <v xml:space="preserve">              200858</v>
      </c>
      <c r="X3332" s="1">
        <v>1512.8</v>
      </c>
      <c r="Y3332">
        <v>0</v>
      </c>
      <c r="Z3332"/>
      <c r="AB3332"/>
      <c r="AC3332" s="1">
        <v>1240</v>
      </c>
      <c r="AD3332">
        <v>312</v>
      </c>
      <c r="AE3332" s="1">
        <v>386880</v>
      </c>
      <c r="AF3332">
        <v>0</v>
      </c>
      <c r="AJ3332">
        <v>0</v>
      </c>
      <c r="AK3332">
        <v>0</v>
      </c>
      <c r="AL3332">
        <v>0</v>
      </c>
      <c r="AM3332">
        <v>0</v>
      </c>
      <c r="AN3332">
        <v>0</v>
      </c>
      <c r="AO3332">
        <v>0</v>
      </c>
      <c r="AP3332" s="2">
        <v>42746</v>
      </c>
      <c r="AQ3332" t="s">
        <v>72</v>
      </c>
      <c r="AR3332" t="s">
        <v>72</v>
      </c>
      <c r="AS3332">
        <v>2300</v>
      </c>
      <c r="AT3332" s="4">
        <v>42619</v>
      </c>
      <c r="AU3332" t="s">
        <v>73</v>
      </c>
      <c r="AV3332">
        <v>2300</v>
      </c>
      <c r="AW3332" s="4">
        <v>42619</v>
      </c>
      <c r="BD3332">
        <v>0</v>
      </c>
      <c r="BN3332" t="s">
        <v>74</v>
      </c>
    </row>
    <row r="3333" spans="1:66" hidden="1">
      <c r="A3333">
        <v>101170</v>
      </c>
      <c r="B3333" s="3" t="s">
        <v>376</v>
      </c>
      <c r="C3333" s="1">
        <v>43300101</v>
      </c>
      <c r="D3333" t="s">
        <v>67</v>
      </c>
      <c r="H3333" t="str">
        <f t="shared" si="338"/>
        <v>00527500540</v>
      </c>
      <c r="I3333" t="str">
        <f t="shared" si="338"/>
        <v>00527500540</v>
      </c>
      <c r="K3333" t="str">
        <f>""</f>
        <v/>
      </c>
      <c r="M3333" t="s">
        <v>68</v>
      </c>
      <c r="N3333" t="str">
        <f t="shared" si="337"/>
        <v>FOR</v>
      </c>
      <c r="O3333" t="s">
        <v>69</v>
      </c>
      <c r="P3333" s="3" t="s">
        <v>75</v>
      </c>
      <c r="Q3333">
        <v>2015</v>
      </c>
      <c r="R3333" s="2">
        <v>42244</v>
      </c>
      <c r="S3333" s="2">
        <v>42249</v>
      </c>
      <c r="T3333" s="2">
        <v>42248</v>
      </c>
      <c r="U3333" s="2">
        <v>42308</v>
      </c>
      <c r="V3333" t="s">
        <v>71</v>
      </c>
      <c r="W3333" t="str">
        <f>"              200859"</f>
        <v xml:space="preserve">              200859</v>
      </c>
      <c r="X3333" s="1">
        <v>1476.2</v>
      </c>
      <c r="Y3333">
        <v>0</v>
      </c>
      <c r="Z3333"/>
      <c r="AB3333"/>
      <c r="AC3333" s="1">
        <v>1210</v>
      </c>
      <c r="AD3333">
        <v>311</v>
      </c>
      <c r="AE3333" s="1">
        <v>376310</v>
      </c>
      <c r="AF3333">
        <v>0</v>
      </c>
      <c r="AJ3333">
        <v>0</v>
      </c>
      <c r="AK3333">
        <v>0</v>
      </c>
      <c r="AL3333">
        <v>0</v>
      </c>
      <c r="AM3333">
        <v>0</v>
      </c>
      <c r="AN3333">
        <v>0</v>
      </c>
      <c r="AO3333">
        <v>0</v>
      </c>
      <c r="AP3333" s="2">
        <v>42746</v>
      </c>
      <c r="AQ3333" t="s">
        <v>72</v>
      </c>
      <c r="AR3333" t="s">
        <v>72</v>
      </c>
      <c r="AS3333">
        <v>2300</v>
      </c>
      <c r="AT3333" s="4">
        <v>42619</v>
      </c>
      <c r="AU3333" t="s">
        <v>73</v>
      </c>
      <c r="AV3333">
        <v>2300</v>
      </c>
      <c r="AW3333" s="4">
        <v>42619</v>
      </c>
      <c r="BD3333">
        <v>0</v>
      </c>
      <c r="BN3333" t="s">
        <v>74</v>
      </c>
    </row>
    <row r="3334" spans="1:66" hidden="1">
      <c r="A3334">
        <v>101170</v>
      </c>
      <c r="B3334" s="3" t="s">
        <v>376</v>
      </c>
      <c r="C3334" s="1">
        <v>43300101</v>
      </c>
      <c r="D3334" t="s">
        <v>67</v>
      </c>
      <c r="H3334" t="str">
        <f t="shared" si="338"/>
        <v>00527500540</v>
      </c>
      <c r="I3334" t="str">
        <f t="shared" si="338"/>
        <v>00527500540</v>
      </c>
      <c r="K3334" t="str">
        <f>""</f>
        <v/>
      </c>
      <c r="M3334" t="s">
        <v>68</v>
      </c>
      <c r="N3334" t="str">
        <f t="shared" si="337"/>
        <v>FOR</v>
      </c>
      <c r="O3334" t="s">
        <v>69</v>
      </c>
      <c r="P3334" s="3" t="s">
        <v>75</v>
      </c>
      <c r="Q3334">
        <v>2015</v>
      </c>
      <c r="R3334" s="2">
        <v>42244</v>
      </c>
      <c r="S3334" s="2">
        <v>42248</v>
      </c>
      <c r="T3334" s="2">
        <v>42247</v>
      </c>
      <c r="U3334" s="2">
        <v>42307</v>
      </c>
      <c r="V3334" t="s">
        <v>71</v>
      </c>
      <c r="W3334" t="str">
        <f>"              200860"</f>
        <v xml:space="preserve">              200860</v>
      </c>
      <c r="X3334">
        <v>610</v>
      </c>
      <c r="Y3334">
        <v>0</v>
      </c>
      <c r="Z3334"/>
      <c r="AB3334"/>
      <c r="AC3334">
        <v>500</v>
      </c>
      <c r="AD3334">
        <v>312</v>
      </c>
      <c r="AE3334" s="1">
        <v>156000</v>
      </c>
      <c r="AF3334">
        <v>0</v>
      </c>
      <c r="AJ3334">
        <v>0</v>
      </c>
      <c r="AK3334">
        <v>0</v>
      </c>
      <c r="AL3334">
        <v>0</v>
      </c>
      <c r="AM3334">
        <v>0</v>
      </c>
      <c r="AN3334">
        <v>0</v>
      </c>
      <c r="AO3334">
        <v>0</v>
      </c>
      <c r="AP3334" s="2">
        <v>42746</v>
      </c>
      <c r="AQ3334" t="s">
        <v>72</v>
      </c>
      <c r="AR3334" t="s">
        <v>72</v>
      </c>
      <c r="AS3334">
        <v>2300</v>
      </c>
      <c r="AT3334" s="4">
        <v>42619</v>
      </c>
      <c r="AU3334" t="s">
        <v>73</v>
      </c>
      <c r="AV3334">
        <v>2300</v>
      </c>
      <c r="AW3334" s="4">
        <v>42619</v>
      </c>
      <c r="BD3334">
        <v>0</v>
      </c>
      <c r="BN3334" t="s">
        <v>74</v>
      </c>
    </row>
    <row r="3335" spans="1:66" hidden="1">
      <c r="A3335">
        <v>101170</v>
      </c>
      <c r="B3335" s="3" t="s">
        <v>376</v>
      </c>
      <c r="C3335" s="1">
        <v>43300101</v>
      </c>
      <c r="D3335" t="s">
        <v>67</v>
      </c>
      <c r="H3335" t="str">
        <f t="shared" si="338"/>
        <v>00527500540</v>
      </c>
      <c r="I3335" t="str">
        <f t="shared" si="338"/>
        <v>00527500540</v>
      </c>
      <c r="K3335" t="str">
        <f>""</f>
        <v/>
      </c>
      <c r="M3335" t="s">
        <v>68</v>
      </c>
      <c r="N3335" t="str">
        <f t="shared" si="337"/>
        <v>FOR</v>
      </c>
      <c r="O3335" t="s">
        <v>69</v>
      </c>
      <c r="P3335" s="3" t="s">
        <v>75</v>
      </c>
      <c r="Q3335">
        <v>2015</v>
      </c>
      <c r="R3335" s="2">
        <v>42244</v>
      </c>
      <c r="S3335" s="2">
        <v>42248</v>
      </c>
      <c r="T3335" s="2">
        <v>42247</v>
      </c>
      <c r="U3335" s="2">
        <v>42307</v>
      </c>
      <c r="V3335" t="s">
        <v>71</v>
      </c>
      <c r="W3335" t="str">
        <f>"              200861"</f>
        <v xml:space="preserve">              200861</v>
      </c>
      <c r="X3335" s="1">
        <v>5124</v>
      </c>
      <c r="Y3335">
        <v>0</v>
      </c>
      <c r="Z3335"/>
      <c r="AB3335"/>
      <c r="AC3335" s="1">
        <v>4200</v>
      </c>
      <c r="AD3335">
        <v>312</v>
      </c>
      <c r="AE3335" s="1">
        <v>1310400</v>
      </c>
      <c r="AF3335">
        <v>0</v>
      </c>
      <c r="AJ3335">
        <v>0</v>
      </c>
      <c r="AK3335">
        <v>0</v>
      </c>
      <c r="AL3335">
        <v>0</v>
      </c>
      <c r="AM3335">
        <v>0</v>
      </c>
      <c r="AN3335">
        <v>0</v>
      </c>
      <c r="AO3335">
        <v>0</v>
      </c>
      <c r="AP3335" s="2">
        <v>42746</v>
      </c>
      <c r="AQ3335" t="s">
        <v>72</v>
      </c>
      <c r="AR3335" t="s">
        <v>72</v>
      </c>
      <c r="AS3335">
        <v>2300</v>
      </c>
      <c r="AT3335" s="4">
        <v>42619</v>
      </c>
      <c r="AU3335" t="s">
        <v>73</v>
      </c>
      <c r="AV3335">
        <v>2300</v>
      </c>
      <c r="AW3335" s="4">
        <v>42619</v>
      </c>
      <c r="BD3335">
        <v>0</v>
      </c>
      <c r="BN3335" t="s">
        <v>74</v>
      </c>
    </row>
    <row r="3336" spans="1:66" hidden="1">
      <c r="A3336">
        <v>101170</v>
      </c>
      <c r="B3336" s="3" t="s">
        <v>376</v>
      </c>
      <c r="C3336" s="1">
        <v>43300101</v>
      </c>
      <c r="D3336" t="s">
        <v>67</v>
      </c>
      <c r="H3336" t="str">
        <f t="shared" si="338"/>
        <v>00527500540</v>
      </c>
      <c r="I3336" t="str">
        <f t="shared" si="338"/>
        <v>00527500540</v>
      </c>
      <c r="K3336" t="str">
        <f>""</f>
        <v/>
      </c>
      <c r="M3336" t="s">
        <v>68</v>
      </c>
      <c r="N3336" t="str">
        <f t="shared" si="337"/>
        <v>FOR</v>
      </c>
      <c r="O3336" t="s">
        <v>69</v>
      </c>
      <c r="P3336" s="3" t="s">
        <v>75</v>
      </c>
      <c r="Q3336">
        <v>2015</v>
      </c>
      <c r="R3336" s="2">
        <v>42244</v>
      </c>
      <c r="S3336" s="2">
        <v>42248</v>
      </c>
      <c r="T3336" s="2">
        <v>42247</v>
      </c>
      <c r="U3336" s="2">
        <v>42307</v>
      </c>
      <c r="V3336" t="s">
        <v>71</v>
      </c>
      <c r="W3336" t="str">
        <f>"              200862"</f>
        <v xml:space="preserve">              200862</v>
      </c>
      <c r="X3336">
        <v>353.8</v>
      </c>
      <c r="Y3336">
        <v>0</v>
      </c>
      <c r="Z3336"/>
      <c r="AB3336"/>
      <c r="AC3336">
        <v>290</v>
      </c>
      <c r="AD3336">
        <v>312</v>
      </c>
      <c r="AE3336" s="1">
        <v>90480</v>
      </c>
      <c r="AF3336">
        <v>0</v>
      </c>
      <c r="AJ3336">
        <v>0</v>
      </c>
      <c r="AK3336">
        <v>0</v>
      </c>
      <c r="AL3336">
        <v>0</v>
      </c>
      <c r="AM3336">
        <v>0</v>
      </c>
      <c r="AN3336">
        <v>0</v>
      </c>
      <c r="AO3336">
        <v>0</v>
      </c>
      <c r="AP3336" s="2">
        <v>42746</v>
      </c>
      <c r="AQ3336" t="s">
        <v>72</v>
      </c>
      <c r="AR3336" t="s">
        <v>72</v>
      </c>
      <c r="AS3336">
        <v>2300</v>
      </c>
      <c r="AT3336" s="4">
        <v>42619</v>
      </c>
      <c r="AU3336" t="s">
        <v>73</v>
      </c>
      <c r="AV3336">
        <v>2300</v>
      </c>
      <c r="AW3336" s="4">
        <v>42619</v>
      </c>
      <c r="BD3336">
        <v>0</v>
      </c>
      <c r="BN3336" t="s">
        <v>74</v>
      </c>
    </row>
    <row r="3337" spans="1:66" hidden="1">
      <c r="A3337">
        <v>101170</v>
      </c>
      <c r="B3337" s="3" t="s">
        <v>376</v>
      </c>
      <c r="C3337" s="1">
        <v>43300101</v>
      </c>
      <c r="D3337" t="s">
        <v>67</v>
      </c>
      <c r="H3337" t="str">
        <f t="shared" si="338"/>
        <v>00527500540</v>
      </c>
      <c r="I3337" t="str">
        <f t="shared" si="338"/>
        <v>00527500540</v>
      </c>
      <c r="K3337" t="str">
        <f>""</f>
        <v/>
      </c>
      <c r="M3337" t="s">
        <v>68</v>
      </c>
      <c r="N3337" t="str">
        <f t="shared" si="337"/>
        <v>FOR</v>
      </c>
      <c r="O3337" t="s">
        <v>69</v>
      </c>
      <c r="P3337" s="3" t="s">
        <v>75</v>
      </c>
      <c r="Q3337">
        <v>2015</v>
      </c>
      <c r="R3337" s="2">
        <v>42244</v>
      </c>
      <c r="S3337" s="2">
        <v>42248</v>
      </c>
      <c r="T3337" s="2">
        <v>42247</v>
      </c>
      <c r="U3337" s="2">
        <v>42307</v>
      </c>
      <c r="V3337" t="s">
        <v>71</v>
      </c>
      <c r="W3337" t="str">
        <f>"              200863"</f>
        <v xml:space="preserve">              200863</v>
      </c>
      <c r="X3337">
        <v>381.4</v>
      </c>
      <c r="Y3337">
        <v>0</v>
      </c>
      <c r="Z3337"/>
      <c r="AB3337"/>
      <c r="AC3337">
        <v>312.62</v>
      </c>
      <c r="AD3337">
        <v>312</v>
      </c>
      <c r="AE3337" s="1">
        <v>97537.44</v>
      </c>
      <c r="AF3337">
        <v>0</v>
      </c>
      <c r="AJ3337">
        <v>0</v>
      </c>
      <c r="AK3337">
        <v>0</v>
      </c>
      <c r="AL3337">
        <v>0</v>
      </c>
      <c r="AM3337">
        <v>0</v>
      </c>
      <c r="AN3337">
        <v>0</v>
      </c>
      <c r="AO3337">
        <v>0</v>
      </c>
      <c r="AP3337" s="2">
        <v>42746</v>
      </c>
      <c r="AQ3337" t="s">
        <v>72</v>
      </c>
      <c r="AR3337" t="s">
        <v>72</v>
      </c>
      <c r="AS3337">
        <v>2300</v>
      </c>
      <c r="AT3337" s="4">
        <v>42619</v>
      </c>
      <c r="AU3337" t="s">
        <v>73</v>
      </c>
      <c r="AV3337">
        <v>2300</v>
      </c>
      <c r="AW3337" s="4">
        <v>42619</v>
      </c>
      <c r="BD3337">
        <v>0</v>
      </c>
      <c r="BN3337" t="s">
        <v>74</v>
      </c>
    </row>
    <row r="3338" spans="1:66" hidden="1">
      <c r="A3338">
        <v>101170</v>
      </c>
      <c r="B3338" s="3" t="s">
        <v>376</v>
      </c>
      <c r="C3338" s="1">
        <v>43300101</v>
      </c>
      <c r="D3338" t="s">
        <v>67</v>
      </c>
      <c r="H3338" t="str">
        <f t="shared" si="338"/>
        <v>00527500540</v>
      </c>
      <c r="I3338" t="str">
        <f t="shared" si="338"/>
        <v>00527500540</v>
      </c>
      <c r="K3338" t="str">
        <f>""</f>
        <v/>
      </c>
      <c r="M3338" t="s">
        <v>68</v>
      </c>
      <c r="N3338" t="str">
        <f t="shared" si="337"/>
        <v>FOR</v>
      </c>
      <c r="O3338" t="s">
        <v>69</v>
      </c>
      <c r="P3338" s="3" t="s">
        <v>75</v>
      </c>
      <c r="Q3338">
        <v>2015</v>
      </c>
      <c r="R3338" s="2">
        <v>42244</v>
      </c>
      <c r="S3338" s="2">
        <v>42248</v>
      </c>
      <c r="T3338" s="2">
        <v>42247</v>
      </c>
      <c r="U3338" s="2">
        <v>42307</v>
      </c>
      <c r="V3338" t="s">
        <v>71</v>
      </c>
      <c r="W3338" t="str">
        <f>"              200864"</f>
        <v xml:space="preserve">              200864</v>
      </c>
      <c r="X3338" s="1">
        <v>5124</v>
      </c>
      <c r="Y3338">
        <v>0</v>
      </c>
      <c r="Z3338"/>
      <c r="AB3338"/>
      <c r="AC3338" s="1">
        <v>4200</v>
      </c>
      <c r="AD3338">
        <v>312</v>
      </c>
      <c r="AE3338" s="1">
        <v>1310400</v>
      </c>
      <c r="AF3338">
        <v>0</v>
      </c>
      <c r="AJ3338">
        <v>0</v>
      </c>
      <c r="AK3338">
        <v>0</v>
      </c>
      <c r="AL3338">
        <v>0</v>
      </c>
      <c r="AM3338">
        <v>0</v>
      </c>
      <c r="AN3338">
        <v>0</v>
      </c>
      <c r="AO3338">
        <v>0</v>
      </c>
      <c r="AP3338" s="2">
        <v>42746</v>
      </c>
      <c r="AQ3338" t="s">
        <v>72</v>
      </c>
      <c r="AR3338" t="s">
        <v>72</v>
      </c>
      <c r="AS3338">
        <v>2300</v>
      </c>
      <c r="AT3338" s="4">
        <v>42619</v>
      </c>
      <c r="AU3338" t="s">
        <v>73</v>
      </c>
      <c r="AV3338">
        <v>2300</v>
      </c>
      <c r="AW3338" s="4">
        <v>42619</v>
      </c>
      <c r="BD3338">
        <v>0</v>
      </c>
      <c r="BN3338" t="s">
        <v>74</v>
      </c>
    </row>
    <row r="3339" spans="1:66" hidden="1">
      <c r="A3339">
        <v>101170</v>
      </c>
      <c r="B3339" s="3" t="s">
        <v>376</v>
      </c>
      <c r="C3339" s="1">
        <v>43300101</v>
      </c>
      <c r="D3339" t="s">
        <v>67</v>
      </c>
      <c r="H3339" t="str">
        <f t="shared" si="338"/>
        <v>00527500540</v>
      </c>
      <c r="I3339" t="str">
        <f t="shared" si="338"/>
        <v>00527500540</v>
      </c>
      <c r="K3339" t="str">
        <f>""</f>
        <v/>
      </c>
      <c r="M3339" t="s">
        <v>68</v>
      </c>
      <c r="N3339" t="str">
        <f t="shared" si="337"/>
        <v>FOR</v>
      </c>
      <c r="O3339" t="s">
        <v>69</v>
      </c>
      <c r="P3339" s="3" t="s">
        <v>75</v>
      </c>
      <c r="Q3339">
        <v>2015</v>
      </c>
      <c r="R3339" s="2">
        <v>42244</v>
      </c>
      <c r="S3339" s="2">
        <v>42248</v>
      </c>
      <c r="T3339" s="2">
        <v>42247</v>
      </c>
      <c r="U3339" s="2">
        <v>42307</v>
      </c>
      <c r="V3339" t="s">
        <v>71</v>
      </c>
      <c r="W3339" t="str">
        <f>"              200865"</f>
        <v xml:space="preserve">              200865</v>
      </c>
      <c r="X3339" s="1">
        <v>1342</v>
      </c>
      <c r="Y3339">
        <v>0</v>
      </c>
      <c r="Z3339"/>
      <c r="AB3339"/>
      <c r="AC3339" s="1">
        <v>1100</v>
      </c>
      <c r="AD3339">
        <v>312</v>
      </c>
      <c r="AE3339" s="1">
        <v>343200</v>
      </c>
      <c r="AF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 s="2">
        <v>42746</v>
      </c>
      <c r="AQ3339" t="s">
        <v>72</v>
      </c>
      <c r="AR3339" t="s">
        <v>72</v>
      </c>
      <c r="AS3339">
        <v>2300</v>
      </c>
      <c r="AT3339" s="4">
        <v>42619</v>
      </c>
      <c r="AU3339" t="s">
        <v>73</v>
      </c>
      <c r="AV3339">
        <v>2300</v>
      </c>
      <c r="AW3339" s="4">
        <v>42619</v>
      </c>
      <c r="BD3339">
        <v>0</v>
      </c>
      <c r="BN3339" t="s">
        <v>74</v>
      </c>
    </row>
    <row r="3340" spans="1:66" hidden="1">
      <c r="A3340">
        <v>101170</v>
      </c>
      <c r="B3340" s="3" t="s">
        <v>376</v>
      </c>
      <c r="C3340" s="1">
        <v>43300101</v>
      </c>
      <c r="D3340" t="s">
        <v>67</v>
      </c>
      <c r="H3340" t="str">
        <f t="shared" si="338"/>
        <v>00527500540</v>
      </c>
      <c r="I3340" t="str">
        <f t="shared" si="338"/>
        <v>00527500540</v>
      </c>
      <c r="K3340" t="str">
        <f>""</f>
        <v/>
      </c>
      <c r="M3340" t="s">
        <v>68</v>
      </c>
      <c r="N3340" t="str">
        <f t="shared" si="337"/>
        <v>FOR</v>
      </c>
      <c r="O3340" t="s">
        <v>69</v>
      </c>
      <c r="P3340" s="3" t="s">
        <v>75</v>
      </c>
      <c r="Q3340">
        <v>2015</v>
      </c>
      <c r="R3340" s="2">
        <v>42244</v>
      </c>
      <c r="S3340" s="2">
        <v>42248</v>
      </c>
      <c r="T3340" s="2">
        <v>42247</v>
      </c>
      <c r="U3340" s="2">
        <v>42307</v>
      </c>
      <c r="V3340" t="s">
        <v>71</v>
      </c>
      <c r="W3340" t="str">
        <f>"              200866"</f>
        <v xml:space="preserve">              200866</v>
      </c>
      <c r="X3340">
        <v>323.3</v>
      </c>
      <c r="Y3340">
        <v>0</v>
      </c>
      <c r="Z3340"/>
      <c r="AB3340"/>
      <c r="AC3340">
        <v>265</v>
      </c>
      <c r="AD3340">
        <v>312</v>
      </c>
      <c r="AE3340" s="1">
        <v>82680</v>
      </c>
      <c r="AF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0</v>
      </c>
      <c r="AP3340" s="2">
        <v>42746</v>
      </c>
      <c r="AQ3340" t="s">
        <v>72</v>
      </c>
      <c r="AR3340" t="s">
        <v>72</v>
      </c>
      <c r="AS3340">
        <v>2300</v>
      </c>
      <c r="AT3340" s="4">
        <v>42619</v>
      </c>
      <c r="AU3340" t="s">
        <v>73</v>
      </c>
      <c r="AV3340">
        <v>2300</v>
      </c>
      <c r="AW3340" s="4">
        <v>42619</v>
      </c>
      <c r="BD3340">
        <v>0</v>
      </c>
      <c r="BN3340" t="s">
        <v>74</v>
      </c>
    </row>
    <row r="3341" spans="1:66" hidden="1">
      <c r="A3341">
        <v>101170</v>
      </c>
      <c r="B3341" s="3" t="s">
        <v>376</v>
      </c>
      <c r="C3341" s="1">
        <v>43300101</v>
      </c>
      <c r="D3341" t="s">
        <v>67</v>
      </c>
      <c r="H3341" t="str">
        <f t="shared" si="338"/>
        <v>00527500540</v>
      </c>
      <c r="I3341" t="str">
        <f t="shared" si="338"/>
        <v>00527500540</v>
      </c>
      <c r="K3341" t="str">
        <f>""</f>
        <v/>
      </c>
      <c r="M3341" t="s">
        <v>68</v>
      </c>
      <c r="N3341" t="str">
        <f t="shared" si="337"/>
        <v>FOR</v>
      </c>
      <c r="O3341" t="s">
        <v>69</v>
      </c>
      <c r="P3341" s="3" t="s">
        <v>75</v>
      </c>
      <c r="Q3341">
        <v>2015</v>
      </c>
      <c r="R3341" s="2">
        <v>42247</v>
      </c>
      <c r="S3341" s="2">
        <v>42255</v>
      </c>
      <c r="T3341" s="2">
        <v>42255</v>
      </c>
      <c r="U3341" s="2">
        <v>42315</v>
      </c>
      <c r="V3341" t="s">
        <v>71</v>
      </c>
      <c r="W3341" t="str">
        <f>"              200945"</f>
        <v xml:space="preserve">              200945</v>
      </c>
      <c r="X3341" s="1">
        <v>5124</v>
      </c>
      <c r="Y3341">
        <v>0</v>
      </c>
      <c r="Z3341"/>
      <c r="AB3341"/>
      <c r="AC3341" s="1">
        <v>4200</v>
      </c>
      <c r="AD3341">
        <v>304</v>
      </c>
      <c r="AE3341" s="1">
        <v>1276800</v>
      </c>
      <c r="AF3341">
        <v>0</v>
      </c>
      <c r="AJ3341">
        <v>0</v>
      </c>
      <c r="AK3341">
        <v>0</v>
      </c>
      <c r="AL3341">
        <v>0</v>
      </c>
      <c r="AM3341">
        <v>0</v>
      </c>
      <c r="AN3341">
        <v>0</v>
      </c>
      <c r="AO3341">
        <v>0</v>
      </c>
      <c r="AP3341" s="2">
        <v>42746</v>
      </c>
      <c r="AQ3341" t="s">
        <v>72</v>
      </c>
      <c r="AR3341" t="s">
        <v>72</v>
      </c>
      <c r="AS3341">
        <v>2300</v>
      </c>
      <c r="AT3341" s="4">
        <v>42619</v>
      </c>
      <c r="AU3341" t="s">
        <v>73</v>
      </c>
      <c r="AV3341">
        <v>2300</v>
      </c>
      <c r="AW3341" s="4">
        <v>42619</v>
      </c>
      <c r="BD3341">
        <v>0</v>
      </c>
      <c r="BN3341" t="s">
        <v>74</v>
      </c>
    </row>
    <row r="3342" spans="1:66">
      <c r="A3342">
        <v>101170</v>
      </c>
      <c r="B3342" s="3" t="s">
        <v>376</v>
      </c>
      <c r="C3342" s="1">
        <v>43300101</v>
      </c>
      <c r="D3342" t="s">
        <v>67</v>
      </c>
      <c r="H3342" t="str">
        <f t="shared" si="338"/>
        <v>00527500540</v>
      </c>
      <c r="I3342" t="str">
        <f t="shared" si="338"/>
        <v>00527500540</v>
      </c>
      <c r="K3342" t="str">
        <f>""</f>
        <v/>
      </c>
      <c r="M3342" t="s">
        <v>68</v>
      </c>
      <c r="N3342" t="str">
        <f t="shared" si="337"/>
        <v>FOR</v>
      </c>
      <c r="O3342" t="s">
        <v>69</v>
      </c>
      <c r="P3342" s="3" t="s">
        <v>75</v>
      </c>
      <c r="Q3342">
        <v>2015</v>
      </c>
      <c r="R3342" s="2">
        <v>42289</v>
      </c>
      <c r="S3342" s="2">
        <v>42291</v>
      </c>
      <c r="T3342" s="2">
        <v>42291</v>
      </c>
      <c r="U3342" s="2">
        <v>42351</v>
      </c>
      <c r="V3342" t="s">
        <v>71</v>
      </c>
      <c r="W3342" t="str">
        <f>"              201082"</f>
        <v xml:space="preserve">              201082</v>
      </c>
      <c r="X3342" s="1">
        <v>2806</v>
      </c>
      <c r="Y3342">
        <v>0</v>
      </c>
      <c r="Z3342" s="5">
        <v>2300</v>
      </c>
      <c r="AA3342">
        <v>296</v>
      </c>
      <c r="AB3342" s="5">
        <v>680800</v>
      </c>
      <c r="AC3342" s="1">
        <v>2300</v>
      </c>
      <c r="AD3342">
        <v>296</v>
      </c>
      <c r="AE3342" s="1">
        <v>680800</v>
      </c>
      <c r="AF3342">
        <v>0</v>
      </c>
      <c r="AJ3342">
        <v>0</v>
      </c>
      <c r="AK3342">
        <v>0</v>
      </c>
      <c r="AL3342">
        <v>0</v>
      </c>
      <c r="AM3342">
        <v>0</v>
      </c>
      <c r="AN3342">
        <v>0</v>
      </c>
      <c r="AO3342">
        <v>0</v>
      </c>
      <c r="AP3342" s="2">
        <v>42746</v>
      </c>
      <c r="AQ3342" t="s">
        <v>72</v>
      </c>
      <c r="AR3342" t="s">
        <v>72</v>
      </c>
      <c r="AS3342">
        <v>2647</v>
      </c>
      <c r="AT3342" s="4">
        <v>42647</v>
      </c>
      <c r="AU3342" t="s">
        <v>73</v>
      </c>
      <c r="AV3342">
        <v>2647</v>
      </c>
      <c r="AW3342" s="4">
        <v>42647</v>
      </c>
      <c r="BD3342">
        <v>0</v>
      </c>
      <c r="BN3342" t="s">
        <v>74</v>
      </c>
    </row>
    <row r="3343" spans="1:66">
      <c r="A3343">
        <v>101170</v>
      </c>
      <c r="B3343" s="3" t="s">
        <v>376</v>
      </c>
      <c r="C3343" s="1">
        <v>43300101</v>
      </c>
      <c r="D3343" t="s">
        <v>67</v>
      </c>
      <c r="H3343" t="str">
        <f t="shared" si="338"/>
        <v>00527500540</v>
      </c>
      <c r="I3343" t="str">
        <f t="shared" si="338"/>
        <v>00527500540</v>
      </c>
      <c r="K3343" t="str">
        <f>""</f>
        <v/>
      </c>
      <c r="M3343" t="s">
        <v>68</v>
      </c>
      <c r="N3343" t="str">
        <f t="shared" si="337"/>
        <v>FOR</v>
      </c>
      <c r="O3343" t="s">
        <v>69</v>
      </c>
      <c r="P3343" s="3" t="s">
        <v>75</v>
      </c>
      <c r="Q3343">
        <v>2015</v>
      </c>
      <c r="R3343" s="2">
        <v>42289</v>
      </c>
      <c r="S3343" s="2">
        <v>42290</v>
      </c>
      <c r="T3343" s="2">
        <v>42290</v>
      </c>
      <c r="U3343" s="2">
        <v>42350</v>
      </c>
      <c r="V3343" t="s">
        <v>71</v>
      </c>
      <c r="W3343" t="str">
        <f>"              201085"</f>
        <v xml:space="preserve">              201085</v>
      </c>
      <c r="X3343" s="1">
        <v>5368</v>
      </c>
      <c r="Y3343">
        <v>0</v>
      </c>
      <c r="Z3343" s="5">
        <v>4400</v>
      </c>
      <c r="AA3343">
        <v>297</v>
      </c>
      <c r="AB3343" s="5">
        <v>1306800</v>
      </c>
      <c r="AC3343" s="1">
        <v>4400</v>
      </c>
      <c r="AD3343">
        <v>297</v>
      </c>
      <c r="AE3343" s="1">
        <v>1306800</v>
      </c>
      <c r="AF3343">
        <v>0</v>
      </c>
      <c r="AJ3343">
        <v>0</v>
      </c>
      <c r="AK3343">
        <v>0</v>
      </c>
      <c r="AL3343">
        <v>0</v>
      </c>
      <c r="AM3343">
        <v>0</v>
      </c>
      <c r="AN3343">
        <v>0</v>
      </c>
      <c r="AO3343">
        <v>0</v>
      </c>
      <c r="AP3343" s="2">
        <v>42746</v>
      </c>
      <c r="AQ3343" t="s">
        <v>72</v>
      </c>
      <c r="AR3343" t="s">
        <v>72</v>
      </c>
      <c r="AS3343">
        <v>2647</v>
      </c>
      <c r="AT3343" s="4">
        <v>42647</v>
      </c>
      <c r="AU3343" t="s">
        <v>73</v>
      </c>
      <c r="AV3343">
        <v>2647</v>
      </c>
      <c r="AW3343" s="4">
        <v>42647</v>
      </c>
      <c r="BD3343">
        <v>0</v>
      </c>
      <c r="BN3343" t="s">
        <v>74</v>
      </c>
    </row>
    <row r="3344" spans="1:66">
      <c r="A3344">
        <v>101170</v>
      </c>
      <c r="B3344" s="3" t="s">
        <v>376</v>
      </c>
      <c r="C3344" s="1">
        <v>43300101</v>
      </c>
      <c r="D3344" t="s">
        <v>67</v>
      </c>
      <c r="H3344" t="str">
        <f t="shared" si="338"/>
        <v>00527500540</v>
      </c>
      <c r="I3344" t="str">
        <f t="shared" si="338"/>
        <v>00527500540</v>
      </c>
      <c r="K3344" t="str">
        <f>""</f>
        <v/>
      </c>
      <c r="M3344" t="s">
        <v>68</v>
      </c>
      <c r="N3344" t="str">
        <f t="shared" si="337"/>
        <v>FOR</v>
      </c>
      <c r="O3344" t="s">
        <v>69</v>
      </c>
      <c r="P3344" s="3" t="s">
        <v>75</v>
      </c>
      <c r="Q3344">
        <v>2015</v>
      </c>
      <c r="R3344" s="2">
        <v>42289</v>
      </c>
      <c r="S3344" s="2">
        <v>42290</v>
      </c>
      <c r="T3344" s="2">
        <v>42290</v>
      </c>
      <c r="U3344" s="2">
        <v>42350</v>
      </c>
      <c r="V3344" t="s">
        <v>71</v>
      </c>
      <c r="W3344" t="str">
        <f>"              201086"</f>
        <v xml:space="preserve">              201086</v>
      </c>
      <c r="X3344" s="1">
        <v>2379</v>
      </c>
      <c r="Y3344">
        <v>0</v>
      </c>
      <c r="Z3344" s="5">
        <v>1950</v>
      </c>
      <c r="AA3344">
        <v>297</v>
      </c>
      <c r="AB3344" s="5">
        <v>579150</v>
      </c>
      <c r="AC3344" s="1">
        <v>1950</v>
      </c>
      <c r="AD3344">
        <v>297</v>
      </c>
      <c r="AE3344" s="1">
        <v>579150</v>
      </c>
      <c r="AF3344">
        <v>0</v>
      </c>
      <c r="AJ3344">
        <v>0</v>
      </c>
      <c r="AK3344">
        <v>0</v>
      </c>
      <c r="AL3344">
        <v>0</v>
      </c>
      <c r="AM3344">
        <v>0</v>
      </c>
      <c r="AN3344">
        <v>0</v>
      </c>
      <c r="AO3344">
        <v>0</v>
      </c>
      <c r="AP3344" s="2">
        <v>42746</v>
      </c>
      <c r="AQ3344" t="s">
        <v>72</v>
      </c>
      <c r="AR3344" t="s">
        <v>72</v>
      </c>
      <c r="AS3344">
        <v>2647</v>
      </c>
      <c r="AT3344" s="4">
        <v>42647</v>
      </c>
      <c r="AU3344" t="s">
        <v>73</v>
      </c>
      <c r="AV3344">
        <v>2647</v>
      </c>
      <c r="AW3344" s="4">
        <v>42647</v>
      </c>
      <c r="BD3344">
        <v>0</v>
      </c>
      <c r="BN3344" t="s">
        <v>74</v>
      </c>
    </row>
    <row r="3345" spans="1:66">
      <c r="A3345">
        <v>101170</v>
      </c>
      <c r="B3345" s="3" t="s">
        <v>376</v>
      </c>
      <c r="C3345" s="1">
        <v>43300101</v>
      </c>
      <c r="D3345" t="s">
        <v>67</v>
      </c>
      <c r="H3345" t="str">
        <f t="shared" si="338"/>
        <v>00527500540</v>
      </c>
      <c r="I3345" t="str">
        <f t="shared" si="338"/>
        <v>00527500540</v>
      </c>
      <c r="K3345" t="str">
        <f>""</f>
        <v/>
      </c>
      <c r="M3345" t="s">
        <v>68</v>
      </c>
      <c r="N3345" t="str">
        <f t="shared" si="337"/>
        <v>FOR</v>
      </c>
      <c r="O3345" t="s">
        <v>69</v>
      </c>
      <c r="P3345" s="3" t="s">
        <v>75</v>
      </c>
      <c r="Q3345">
        <v>2015</v>
      </c>
      <c r="R3345" s="2">
        <v>42289</v>
      </c>
      <c r="S3345" s="2">
        <v>42290</v>
      </c>
      <c r="T3345" s="2">
        <v>42290</v>
      </c>
      <c r="U3345" s="2">
        <v>42350</v>
      </c>
      <c r="V3345" t="s">
        <v>71</v>
      </c>
      <c r="W3345" t="str">
        <f>"              201087"</f>
        <v xml:space="preserve">              201087</v>
      </c>
      <c r="X3345" s="1">
        <v>2464.4</v>
      </c>
      <c r="Y3345">
        <v>0</v>
      </c>
      <c r="Z3345" s="5">
        <v>2020</v>
      </c>
      <c r="AA3345">
        <v>297</v>
      </c>
      <c r="AB3345" s="5">
        <v>599940</v>
      </c>
      <c r="AC3345" s="1">
        <v>2020</v>
      </c>
      <c r="AD3345">
        <v>297</v>
      </c>
      <c r="AE3345" s="1">
        <v>599940</v>
      </c>
      <c r="AF3345">
        <v>0</v>
      </c>
      <c r="AJ3345">
        <v>0</v>
      </c>
      <c r="AK3345">
        <v>0</v>
      </c>
      <c r="AL3345">
        <v>0</v>
      </c>
      <c r="AM3345">
        <v>0</v>
      </c>
      <c r="AN3345">
        <v>0</v>
      </c>
      <c r="AO3345">
        <v>0</v>
      </c>
      <c r="AP3345" s="2">
        <v>42746</v>
      </c>
      <c r="AQ3345" t="s">
        <v>72</v>
      </c>
      <c r="AR3345" t="s">
        <v>72</v>
      </c>
      <c r="AS3345">
        <v>2647</v>
      </c>
      <c r="AT3345" s="4">
        <v>42647</v>
      </c>
      <c r="AU3345" t="s">
        <v>73</v>
      </c>
      <c r="AV3345">
        <v>2647</v>
      </c>
      <c r="AW3345" s="4">
        <v>42647</v>
      </c>
      <c r="BD3345">
        <v>0</v>
      </c>
      <c r="BN3345" t="s">
        <v>74</v>
      </c>
    </row>
    <row r="3346" spans="1:66">
      <c r="A3346">
        <v>101170</v>
      </c>
      <c r="B3346" s="3" t="s">
        <v>376</v>
      </c>
      <c r="C3346" s="1">
        <v>43300101</v>
      </c>
      <c r="D3346" t="s">
        <v>67</v>
      </c>
      <c r="H3346" t="str">
        <f t="shared" si="338"/>
        <v>00527500540</v>
      </c>
      <c r="I3346" t="str">
        <f t="shared" si="338"/>
        <v>00527500540</v>
      </c>
      <c r="K3346" t="str">
        <f>""</f>
        <v/>
      </c>
      <c r="M3346" t="s">
        <v>68</v>
      </c>
      <c r="N3346" t="str">
        <f t="shared" si="337"/>
        <v>FOR</v>
      </c>
      <c r="O3346" t="s">
        <v>69</v>
      </c>
      <c r="P3346" s="3" t="s">
        <v>75</v>
      </c>
      <c r="Q3346">
        <v>2015</v>
      </c>
      <c r="R3346" s="2">
        <v>42290</v>
      </c>
      <c r="S3346" s="2">
        <v>42291</v>
      </c>
      <c r="T3346" s="2">
        <v>42291</v>
      </c>
      <c r="U3346" s="2">
        <v>42351</v>
      </c>
      <c r="V3346" t="s">
        <v>71</v>
      </c>
      <c r="W3346" t="str">
        <f>"              201089"</f>
        <v xml:space="preserve">              201089</v>
      </c>
      <c r="X3346" s="1">
        <v>8540</v>
      </c>
      <c r="Y3346">
        <v>0</v>
      </c>
      <c r="Z3346" s="5">
        <v>7000</v>
      </c>
      <c r="AA3346">
        <v>296</v>
      </c>
      <c r="AB3346" s="5">
        <v>2072000</v>
      </c>
      <c r="AC3346" s="1">
        <v>7000</v>
      </c>
      <c r="AD3346">
        <v>296</v>
      </c>
      <c r="AE3346" s="1">
        <v>2072000</v>
      </c>
      <c r="AF3346">
        <v>0</v>
      </c>
      <c r="AJ3346">
        <v>0</v>
      </c>
      <c r="AK3346">
        <v>0</v>
      </c>
      <c r="AL3346">
        <v>0</v>
      </c>
      <c r="AM3346">
        <v>0</v>
      </c>
      <c r="AN3346">
        <v>0</v>
      </c>
      <c r="AO3346">
        <v>0</v>
      </c>
      <c r="AP3346" s="2">
        <v>42746</v>
      </c>
      <c r="AQ3346" t="s">
        <v>72</v>
      </c>
      <c r="AR3346" t="s">
        <v>72</v>
      </c>
      <c r="AS3346">
        <v>2647</v>
      </c>
      <c r="AT3346" s="4">
        <v>42647</v>
      </c>
      <c r="AU3346" t="s">
        <v>73</v>
      </c>
      <c r="AV3346">
        <v>2647</v>
      </c>
      <c r="AW3346" s="4">
        <v>42647</v>
      </c>
      <c r="BD3346">
        <v>0</v>
      </c>
      <c r="BN3346" t="s">
        <v>74</v>
      </c>
    </row>
    <row r="3347" spans="1:66">
      <c r="A3347">
        <v>101170</v>
      </c>
      <c r="B3347" s="3" t="s">
        <v>376</v>
      </c>
      <c r="C3347" s="1">
        <v>43300101</v>
      </c>
      <c r="D3347" t="s">
        <v>67</v>
      </c>
      <c r="H3347" t="str">
        <f t="shared" si="338"/>
        <v>00527500540</v>
      </c>
      <c r="I3347" t="str">
        <f t="shared" si="338"/>
        <v>00527500540</v>
      </c>
      <c r="K3347" t="str">
        <f>""</f>
        <v/>
      </c>
      <c r="M3347" t="s">
        <v>68</v>
      </c>
      <c r="N3347" t="str">
        <f t="shared" si="337"/>
        <v>FOR</v>
      </c>
      <c r="O3347" t="s">
        <v>69</v>
      </c>
      <c r="P3347" s="3" t="s">
        <v>75</v>
      </c>
      <c r="Q3347">
        <v>2015</v>
      </c>
      <c r="R3347" s="2">
        <v>42290</v>
      </c>
      <c r="S3347" s="2">
        <v>42291</v>
      </c>
      <c r="T3347" s="2">
        <v>42291</v>
      </c>
      <c r="U3347" s="2">
        <v>42351</v>
      </c>
      <c r="V3347" t="s">
        <v>71</v>
      </c>
      <c r="W3347" t="str">
        <f>"              201090"</f>
        <v xml:space="preserve">              201090</v>
      </c>
      <c r="X3347">
        <v>549</v>
      </c>
      <c r="Y3347">
        <v>0</v>
      </c>
      <c r="Z3347" s="3">
        <v>450</v>
      </c>
      <c r="AA3347">
        <v>296</v>
      </c>
      <c r="AB3347" s="5">
        <v>133200</v>
      </c>
      <c r="AC3347">
        <v>450</v>
      </c>
      <c r="AD3347">
        <v>296</v>
      </c>
      <c r="AE3347" s="1">
        <v>133200</v>
      </c>
      <c r="AF3347">
        <v>0</v>
      </c>
      <c r="AJ3347">
        <v>0</v>
      </c>
      <c r="AK3347">
        <v>0</v>
      </c>
      <c r="AL3347">
        <v>0</v>
      </c>
      <c r="AM3347">
        <v>0</v>
      </c>
      <c r="AN3347">
        <v>0</v>
      </c>
      <c r="AO3347">
        <v>0</v>
      </c>
      <c r="AP3347" s="2">
        <v>42746</v>
      </c>
      <c r="AQ3347" t="s">
        <v>72</v>
      </c>
      <c r="AR3347" t="s">
        <v>72</v>
      </c>
      <c r="AS3347">
        <v>2647</v>
      </c>
      <c r="AT3347" s="4">
        <v>42647</v>
      </c>
      <c r="AU3347" t="s">
        <v>73</v>
      </c>
      <c r="AV3347">
        <v>2647</v>
      </c>
      <c r="AW3347" s="4">
        <v>42647</v>
      </c>
      <c r="BD3347">
        <v>0</v>
      </c>
      <c r="BN3347" t="s">
        <v>74</v>
      </c>
    </row>
    <row r="3348" spans="1:66">
      <c r="A3348">
        <v>101170</v>
      </c>
      <c r="B3348" s="3" t="s">
        <v>376</v>
      </c>
      <c r="C3348" s="1">
        <v>43300101</v>
      </c>
      <c r="D3348" t="s">
        <v>67</v>
      </c>
      <c r="H3348" t="str">
        <f t="shared" si="338"/>
        <v>00527500540</v>
      </c>
      <c r="I3348" t="str">
        <f t="shared" si="338"/>
        <v>00527500540</v>
      </c>
      <c r="K3348" t="str">
        <f>""</f>
        <v/>
      </c>
      <c r="M3348" t="s">
        <v>68</v>
      </c>
      <c r="N3348" t="str">
        <f t="shared" si="337"/>
        <v>FOR</v>
      </c>
      <c r="O3348" t="s">
        <v>69</v>
      </c>
      <c r="P3348" s="3" t="s">
        <v>75</v>
      </c>
      <c r="Q3348">
        <v>2015</v>
      </c>
      <c r="R3348" s="2">
        <v>42290</v>
      </c>
      <c r="S3348" s="2">
        <v>42291</v>
      </c>
      <c r="T3348" s="2">
        <v>42291</v>
      </c>
      <c r="U3348" s="2">
        <v>42351</v>
      </c>
      <c r="V3348" t="s">
        <v>71</v>
      </c>
      <c r="W3348" t="str">
        <f>"              201093"</f>
        <v xml:space="preserve">              201093</v>
      </c>
      <c r="X3348" s="1">
        <v>10248</v>
      </c>
      <c r="Y3348">
        <v>0</v>
      </c>
      <c r="Z3348" s="5">
        <v>8400</v>
      </c>
      <c r="AA3348">
        <v>296</v>
      </c>
      <c r="AB3348" s="5">
        <v>2486400</v>
      </c>
      <c r="AC3348" s="1">
        <v>8400</v>
      </c>
      <c r="AD3348">
        <v>296</v>
      </c>
      <c r="AE3348" s="1">
        <v>2486400</v>
      </c>
      <c r="AF3348">
        <v>0</v>
      </c>
      <c r="AJ3348">
        <v>0</v>
      </c>
      <c r="AK3348">
        <v>0</v>
      </c>
      <c r="AL3348">
        <v>0</v>
      </c>
      <c r="AM3348">
        <v>0</v>
      </c>
      <c r="AN3348">
        <v>0</v>
      </c>
      <c r="AO3348">
        <v>0</v>
      </c>
      <c r="AP3348" s="2">
        <v>42746</v>
      </c>
      <c r="AQ3348" t="s">
        <v>72</v>
      </c>
      <c r="AR3348" t="s">
        <v>72</v>
      </c>
      <c r="AS3348">
        <v>2647</v>
      </c>
      <c r="AT3348" s="4">
        <v>42647</v>
      </c>
      <c r="AU3348" t="s">
        <v>73</v>
      </c>
      <c r="AV3348">
        <v>2647</v>
      </c>
      <c r="AW3348" s="4">
        <v>42647</v>
      </c>
      <c r="BD3348">
        <v>0</v>
      </c>
      <c r="BN3348" t="s">
        <v>74</v>
      </c>
    </row>
    <row r="3349" spans="1:66">
      <c r="A3349">
        <v>101170</v>
      </c>
      <c r="B3349" s="3" t="s">
        <v>376</v>
      </c>
      <c r="C3349" s="1">
        <v>43300101</v>
      </c>
      <c r="D3349" t="s">
        <v>67</v>
      </c>
      <c r="H3349" t="str">
        <f t="shared" si="338"/>
        <v>00527500540</v>
      </c>
      <c r="I3349" t="str">
        <f t="shared" si="338"/>
        <v>00527500540</v>
      </c>
      <c r="K3349" t="str">
        <f>""</f>
        <v/>
      </c>
      <c r="M3349" t="s">
        <v>68</v>
      </c>
      <c r="N3349" t="str">
        <f t="shared" si="337"/>
        <v>FOR</v>
      </c>
      <c r="O3349" t="s">
        <v>69</v>
      </c>
      <c r="P3349" s="3" t="s">
        <v>75</v>
      </c>
      <c r="Q3349">
        <v>2015</v>
      </c>
      <c r="R3349" s="2">
        <v>42290</v>
      </c>
      <c r="S3349" s="2">
        <v>42291</v>
      </c>
      <c r="T3349" s="2">
        <v>42291</v>
      </c>
      <c r="U3349" s="2">
        <v>42351</v>
      </c>
      <c r="V3349" t="s">
        <v>71</v>
      </c>
      <c r="W3349" t="str">
        <f>"              201094"</f>
        <v xml:space="preserve">              201094</v>
      </c>
      <c r="X3349" s="1">
        <v>2072.7800000000002</v>
      </c>
      <c r="Y3349">
        <v>0</v>
      </c>
      <c r="Z3349" s="5">
        <v>1699</v>
      </c>
      <c r="AA3349">
        <v>296</v>
      </c>
      <c r="AB3349" s="5">
        <v>502904</v>
      </c>
      <c r="AC3349" s="1">
        <v>1699</v>
      </c>
      <c r="AD3349">
        <v>296</v>
      </c>
      <c r="AE3349" s="1">
        <v>502904</v>
      </c>
      <c r="AF3349">
        <v>0</v>
      </c>
      <c r="AJ3349">
        <v>0</v>
      </c>
      <c r="AK3349">
        <v>0</v>
      </c>
      <c r="AL3349">
        <v>0</v>
      </c>
      <c r="AM3349">
        <v>0</v>
      </c>
      <c r="AN3349">
        <v>0</v>
      </c>
      <c r="AO3349">
        <v>0</v>
      </c>
      <c r="AP3349" s="2">
        <v>42746</v>
      </c>
      <c r="AQ3349" t="s">
        <v>72</v>
      </c>
      <c r="AR3349" t="s">
        <v>72</v>
      </c>
      <c r="AS3349">
        <v>2647</v>
      </c>
      <c r="AT3349" s="4">
        <v>42647</v>
      </c>
      <c r="AU3349" t="s">
        <v>73</v>
      </c>
      <c r="AV3349">
        <v>2647</v>
      </c>
      <c r="AW3349" s="4">
        <v>42647</v>
      </c>
      <c r="BD3349">
        <v>0</v>
      </c>
      <c r="BN3349" t="s">
        <v>74</v>
      </c>
    </row>
    <row r="3350" spans="1:66">
      <c r="A3350">
        <v>101170</v>
      </c>
      <c r="B3350" s="3" t="s">
        <v>376</v>
      </c>
      <c r="C3350" s="1">
        <v>43300101</v>
      </c>
      <c r="D3350" t="s">
        <v>67</v>
      </c>
      <c r="H3350" t="str">
        <f t="shared" ref="H3350:I3369" si="339">"00527500540"</f>
        <v>00527500540</v>
      </c>
      <c r="I3350" t="str">
        <f t="shared" si="339"/>
        <v>00527500540</v>
      </c>
      <c r="K3350" t="str">
        <f>""</f>
        <v/>
      </c>
      <c r="M3350" t="s">
        <v>68</v>
      </c>
      <c r="N3350" t="str">
        <f t="shared" si="337"/>
        <v>FOR</v>
      </c>
      <c r="O3350" t="s">
        <v>69</v>
      </c>
      <c r="P3350" s="3" t="s">
        <v>75</v>
      </c>
      <c r="Q3350">
        <v>2015</v>
      </c>
      <c r="R3350" s="2">
        <v>42290</v>
      </c>
      <c r="S3350" s="2">
        <v>42291</v>
      </c>
      <c r="T3350" s="2">
        <v>42291</v>
      </c>
      <c r="U3350" s="2">
        <v>42351</v>
      </c>
      <c r="V3350" t="s">
        <v>71</v>
      </c>
      <c r="W3350" t="str">
        <f>"              201095"</f>
        <v xml:space="preserve">              201095</v>
      </c>
      <c r="X3350" s="1">
        <v>4087</v>
      </c>
      <c r="Y3350">
        <v>0</v>
      </c>
      <c r="Z3350" s="5">
        <v>3350</v>
      </c>
      <c r="AA3350">
        <v>296</v>
      </c>
      <c r="AB3350" s="5">
        <v>991600</v>
      </c>
      <c r="AC3350" s="1">
        <v>3350</v>
      </c>
      <c r="AD3350">
        <v>296</v>
      </c>
      <c r="AE3350" s="1">
        <v>991600</v>
      </c>
      <c r="AF3350">
        <v>0</v>
      </c>
      <c r="AJ3350">
        <v>0</v>
      </c>
      <c r="AK3350">
        <v>0</v>
      </c>
      <c r="AL3350">
        <v>0</v>
      </c>
      <c r="AM3350">
        <v>0</v>
      </c>
      <c r="AN3350">
        <v>0</v>
      </c>
      <c r="AO3350">
        <v>0</v>
      </c>
      <c r="AP3350" s="2">
        <v>42746</v>
      </c>
      <c r="AQ3350" t="s">
        <v>72</v>
      </c>
      <c r="AR3350" t="s">
        <v>72</v>
      </c>
      <c r="AS3350">
        <v>2647</v>
      </c>
      <c r="AT3350" s="4">
        <v>42647</v>
      </c>
      <c r="AU3350" t="s">
        <v>73</v>
      </c>
      <c r="AV3350">
        <v>2647</v>
      </c>
      <c r="AW3350" s="4">
        <v>42647</v>
      </c>
      <c r="BD3350">
        <v>0</v>
      </c>
      <c r="BN3350" t="s">
        <v>74</v>
      </c>
    </row>
    <row r="3351" spans="1:66">
      <c r="A3351">
        <v>101170</v>
      </c>
      <c r="B3351" s="3" t="s">
        <v>376</v>
      </c>
      <c r="C3351" s="1">
        <v>43300101</v>
      </c>
      <c r="D3351" t="s">
        <v>67</v>
      </c>
      <c r="H3351" t="str">
        <f t="shared" si="339"/>
        <v>00527500540</v>
      </c>
      <c r="I3351" t="str">
        <f t="shared" si="339"/>
        <v>00527500540</v>
      </c>
      <c r="K3351" t="str">
        <f>""</f>
        <v/>
      </c>
      <c r="M3351" t="s">
        <v>68</v>
      </c>
      <c r="N3351" t="str">
        <f t="shared" si="337"/>
        <v>FOR</v>
      </c>
      <c r="O3351" t="s">
        <v>69</v>
      </c>
      <c r="P3351" s="3" t="s">
        <v>75</v>
      </c>
      <c r="Q3351">
        <v>2015</v>
      </c>
      <c r="R3351" s="2">
        <v>42290</v>
      </c>
      <c r="S3351" s="2">
        <v>42291</v>
      </c>
      <c r="T3351" s="2">
        <v>42291</v>
      </c>
      <c r="U3351" s="2">
        <v>42351</v>
      </c>
      <c r="V3351" t="s">
        <v>71</v>
      </c>
      <c r="W3351" t="str">
        <f>"              201096"</f>
        <v xml:space="preserve">              201096</v>
      </c>
      <c r="X3351" s="1">
        <v>1342</v>
      </c>
      <c r="Y3351">
        <v>0</v>
      </c>
      <c r="Z3351" s="5">
        <v>1100</v>
      </c>
      <c r="AA3351">
        <v>296</v>
      </c>
      <c r="AB3351" s="5">
        <v>325600</v>
      </c>
      <c r="AC3351" s="1">
        <v>1100</v>
      </c>
      <c r="AD3351">
        <v>296</v>
      </c>
      <c r="AE3351" s="1">
        <v>325600</v>
      </c>
      <c r="AF3351">
        <v>0</v>
      </c>
      <c r="AJ3351">
        <v>0</v>
      </c>
      <c r="AK3351">
        <v>0</v>
      </c>
      <c r="AL3351">
        <v>0</v>
      </c>
      <c r="AM3351">
        <v>0</v>
      </c>
      <c r="AN3351">
        <v>0</v>
      </c>
      <c r="AO3351">
        <v>0</v>
      </c>
      <c r="AP3351" s="2">
        <v>42746</v>
      </c>
      <c r="AQ3351" t="s">
        <v>72</v>
      </c>
      <c r="AR3351" t="s">
        <v>72</v>
      </c>
      <c r="AS3351">
        <v>2647</v>
      </c>
      <c r="AT3351" s="4">
        <v>42647</v>
      </c>
      <c r="AU3351" t="s">
        <v>73</v>
      </c>
      <c r="AV3351">
        <v>2647</v>
      </c>
      <c r="AW3351" s="4">
        <v>42647</v>
      </c>
      <c r="BD3351">
        <v>0</v>
      </c>
      <c r="BN3351" t="s">
        <v>74</v>
      </c>
    </row>
    <row r="3352" spans="1:66">
      <c r="A3352">
        <v>101170</v>
      </c>
      <c r="B3352" s="3" t="s">
        <v>376</v>
      </c>
      <c r="C3352" s="1">
        <v>43300101</v>
      </c>
      <c r="D3352" t="s">
        <v>67</v>
      </c>
      <c r="H3352" t="str">
        <f t="shared" si="339"/>
        <v>00527500540</v>
      </c>
      <c r="I3352" t="str">
        <f t="shared" si="339"/>
        <v>00527500540</v>
      </c>
      <c r="K3352" t="str">
        <f>""</f>
        <v/>
      </c>
      <c r="M3352" t="s">
        <v>68</v>
      </c>
      <c r="N3352" t="str">
        <f t="shared" si="337"/>
        <v>FOR</v>
      </c>
      <c r="O3352" t="s">
        <v>69</v>
      </c>
      <c r="P3352" s="3" t="s">
        <v>75</v>
      </c>
      <c r="Q3352">
        <v>2015</v>
      </c>
      <c r="R3352" s="2">
        <v>42318</v>
      </c>
      <c r="S3352" s="2">
        <v>42320</v>
      </c>
      <c r="T3352" s="2">
        <v>42319</v>
      </c>
      <c r="U3352" s="2">
        <v>42379</v>
      </c>
      <c r="V3352" t="s">
        <v>71</v>
      </c>
      <c r="W3352" t="str">
        <f>"              201163"</f>
        <v xml:space="preserve">              201163</v>
      </c>
      <c r="X3352" s="1">
        <v>5124</v>
      </c>
      <c r="Y3352">
        <v>0</v>
      </c>
      <c r="Z3352" s="5">
        <v>4200</v>
      </c>
      <c r="AA3352">
        <v>303</v>
      </c>
      <c r="AB3352" s="5">
        <v>1272600</v>
      </c>
      <c r="AC3352" s="1">
        <v>4200</v>
      </c>
      <c r="AD3352">
        <v>303</v>
      </c>
      <c r="AE3352" s="1">
        <v>1272600</v>
      </c>
      <c r="AF3352">
        <v>0</v>
      </c>
      <c r="AJ3352">
        <v>0</v>
      </c>
      <c r="AK3352">
        <v>0</v>
      </c>
      <c r="AL3352">
        <v>0</v>
      </c>
      <c r="AM3352">
        <v>0</v>
      </c>
      <c r="AN3352">
        <v>0</v>
      </c>
      <c r="AO3352">
        <v>0</v>
      </c>
      <c r="AP3352" s="2">
        <v>42746</v>
      </c>
      <c r="AQ3352" t="s">
        <v>72</v>
      </c>
      <c r="AR3352" t="s">
        <v>72</v>
      </c>
      <c r="AS3352">
        <v>2983</v>
      </c>
      <c r="AT3352" s="4">
        <v>42682</v>
      </c>
      <c r="AU3352" t="s">
        <v>73</v>
      </c>
      <c r="AV3352">
        <v>2983</v>
      </c>
      <c r="AW3352" s="4">
        <v>42682</v>
      </c>
      <c r="BD3352">
        <v>0</v>
      </c>
      <c r="BN3352" t="s">
        <v>74</v>
      </c>
    </row>
    <row r="3353" spans="1:66">
      <c r="A3353">
        <v>101170</v>
      </c>
      <c r="B3353" s="3" t="s">
        <v>376</v>
      </c>
      <c r="C3353" s="1">
        <v>43300101</v>
      </c>
      <c r="D3353" t="s">
        <v>67</v>
      </c>
      <c r="H3353" t="str">
        <f t="shared" si="339"/>
        <v>00527500540</v>
      </c>
      <c r="I3353" t="str">
        <f t="shared" si="339"/>
        <v>00527500540</v>
      </c>
      <c r="K3353" t="str">
        <f>""</f>
        <v/>
      </c>
      <c r="M3353" t="s">
        <v>68</v>
      </c>
      <c r="N3353" t="str">
        <f t="shared" si="337"/>
        <v>FOR</v>
      </c>
      <c r="O3353" t="s">
        <v>69</v>
      </c>
      <c r="P3353" s="3" t="s">
        <v>75</v>
      </c>
      <c r="Q3353">
        <v>2015</v>
      </c>
      <c r="R3353" s="2">
        <v>42318</v>
      </c>
      <c r="S3353" s="2">
        <v>42320</v>
      </c>
      <c r="T3353" s="2">
        <v>42319</v>
      </c>
      <c r="U3353" s="2">
        <v>42379</v>
      </c>
      <c r="V3353" t="s">
        <v>71</v>
      </c>
      <c r="W3353" t="str">
        <f>"              201166"</f>
        <v xml:space="preserve">              201166</v>
      </c>
      <c r="X3353" s="1">
        <v>4782.3999999999996</v>
      </c>
      <c r="Y3353">
        <v>0</v>
      </c>
      <c r="Z3353" s="5">
        <v>3920</v>
      </c>
      <c r="AA3353">
        <v>303</v>
      </c>
      <c r="AB3353" s="5">
        <v>1187760</v>
      </c>
      <c r="AC3353" s="1">
        <v>3920</v>
      </c>
      <c r="AD3353">
        <v>303</v>
      </c>
      <c r="AE3353" s="1">
        <v>1187760</v>
      </c>
      <c r="AF3353">
        <v>0</v>
      </c>
      <c r="AJ3353">
        <v>0</v>
      </c>
      <c r="AK3353">
        <v>0</v>
      </c>
      <c r="AL3353">
        <v>0</v>
      </c>
      <c r="AM3353">
        <v>0</v>
      </c>
      <c r="AN3353">
        <v>0</v>
      </c>
      <c r="AO3353">
        <v>0</v>
      </c>
      <c r="AP3353" s="2">
        <v>42746</v>
      </c>
      <c r="AQ3353" t="s">
        <v>72</v>
      </c>
      <c r="AR3353" t="s">
        <v>72</v>
      </c>
      <c r="AS3353">
        <v>2983</v>
      </c>
      <c r="AT3353" s="4">
        <v>42682</v>
      </c>
      <c r="AU3353" t="s">
        <v>73</v>
      </c>
      <c r="AV3353">
        <v>2983</v>
      </c>
      <c r="AW3353" s="4">
        <v>42682</v>
      </c>
      <c r="BD3353">
        <v>0</v>
      </c>
      <c r="BN3353" t="s">
        <v>74</v>
      </c>
    </row>
    <row r="3354" spans="1:66">
      <c r="A3354">
        <v>101170</v>
      </c>
      <c r="B3354" s="3" t="s">
        <v>376</v>
      </c>
      <c r="C3354" s="1">
        <v>43300101</v>
      </c>
      <c r="D3354" t="s">
        <v>67</v>
      </c>
      <c r="H3354" t="str">
        <f t="shared" si="339"/>
        <v>00527500540</v>
      </c>
      <c r="I3354" t="str">
        <f t="shared" si="339"/>
        <v>00527500540</v>
      </c>
      <c r="K3354" t="str">
        <f>""</f>
        <v/>
      </c>
      <c r="M3354" t="s">
        <v>68</v>
      </c>
      <c r="N3354" t="str">
        <f t="shared" ref="N3354:N3385" si="340">"FOR"</f>
        <v>FOR</v>
      </c>
      <c r="O3354" t="s">
        <v>69</v>
      </c>
      <c r="P3354" s="3" t="s">
        <v>75</v>
      </c>
      <c r="Q3354">
        <v>2015</v>
      </c>
      <c r="R3354" s="2">
        <v>42319</v>
      </c>
      <c r="S3354" s="2">
        <v>42321</v>
      </c>
      <c r="T3354" s="2">
        <v>42321</v>
      </c>
      <c r="U3354" s="2">
        <v>42381</v>
      </c>
      <c r="V3354" t="s">
        <v>71</v>
      </c>
      <c r="W3354" t="str">
        <f>"              201171"</f>
        <v xml:space="preserve">              201171</v>
      </c>
      <c r="X3354" s="1">
        <v>3419.66</v>
      </c>
      <c r="Y3354">
        <v>0</v>
      </c>
      <c r="Z3354" s="5">
        <v>2803</v>
      </c>
      <c r="AA3354">
        <v>301</v>
      </c>
      <c r="AB3354" s="5">
        <v>843703</v>
      </c>
      <c r="AC3354" s="1">
        <v>2803</v>
      </c>
      <c r="AD3354">
        <v>301</v>
      </c>
      <c r="AE3354" s="1">
        <v>843703</v>
      </c>
      <c r="AF3354">
        <v>0</v>
      </c>
      <c r="AJ3354">
        <v>0</v>
      </c>
      <c r="AK3354">
        <v>0</v>
      </c>
      <c r="AL3354">
        <v>0</v>
      </c>
      <c r="AM3354">
        <v>0</v>
      </c>
      <c r="AN3354">
        <v>0</v>
      </c>
      <c r="AO3354">
        <v>0</v>
      </c>
      <c r="AP3354" s="2">
        <v>42746</v>
      </c>
      <c r="AQ3354" t="s">
        <v>72</v>
      </c>
      <c r="AR3354" t="s">
        <v>72</v>
      </c>
      <c r="AS3354">
        <v>2983</v>
      </c>
      <c r="AT3354" s="4">
        <v>42682</v>
      </c>
      <c r="AU3354" t="s">
        <v>73</v>
      </c>
      <c r="AV3354">
        <v>2983</v>
      </c>
      <c r="AW3354" s="4">
        <v>42682</v>
      </c>
      <c r="BD3354">
        <v>0</v>
      </c>
      <c r="BN3354" t="s">
        <v>74</v>
      </c>
    </row>
    <row r="3355" spans="1:66">
      <c r="A3355">
        <v>101170</v>
      </c>
      <c r="B3355" s="3" t="s">
        <v>376</v>
      </c>
      <c r="C3355" s="1">
        <v>43300101</v>
      </c>
      <c r="D3355" t="s">
        <v>67</v>
      </c>
      <c r="H3355" t="str">
        <f t="shared" si="339"/>
        <v>00527500540</v>
      </c>
      <c r="I3355" t="str">
        <f t="shared" si="339"/>
        <v>00527500540</v>
      </c>
      <c r="K3355" t="str">
        <f>""</f>
        <v/>
      </c>
      <c r="M3355" t="s">
        <v>68</v>
      </c>
      <c r="N3355" t="str">
        <f t="shared" si="340"/>
        <v>FOR</v>
      </c>
      <c r="O3355" t="s">
        <v>69</v>
      </c>
      <c r="P3355" s="3" t="s">
        <v>75</v>
      </c>
      <c r="Q3355">
        <v>2015</v>
      </c>
      <c r="R3355" s="2">
        <v>42320</v>
      </c>
      <c r="S3355" s="2">
        <v>42321</v>
      </c>
      <c r="T3355" s="2">
        <v>42321</v>
      </c>
      <c r="U3355" s="2">
        <v>42381</v>
      </c>
      <c r="V3355" t="s">
        <v>71</v>
      </c>
      <c r="W3355" t="str">
        <f>"              201177"</f>
        <v xml:space="preserve">              201177</v>
      </c>
      <c r="X3355" s="1">
        <v>2773.06</v>
      </c>
      <c r="Y3355">
        <v>0</v>
      </c>
      <c r="Z3355" s="5">
        <v>2273</v>
      </c>
      <c r="AA3355">
        <v>301</v>
      </c>
      <c r="AB3355" s="5">
        <v>684173</v>
      </c>
      <c r="AC3355" s="1">
        <v>2273</v>
      </c>
      <c r="AD3355">
        <v>301</v>
      </c>
      <c r="AE3355" s="1">
        <v>684173</v>
      </c>
      <c r="AF3355">
        <v>0</v>
      </c>
      <c r="AJ3355">
        <v>0</v>
      </c>
      <c r="AK3355">
        <v>0</v>
      </c>
      <c r="AL3355">
        <v>0</v>
      </c>
      <c r="AM3355">
        <v>0</v>
      </c>
      <c r="AN3355">
        <v>0</v>
      </c>
      <c r="AO3355">
        <v>0</v>
      </c>
      <c r="AP3355" s="2">
        <v>42746</v>
      </c>
      <c r="AQ3355" t="s">
        <v>72</v>
      </c>
      <c r="AR3355" t="s">
        <v>72</v>
      </c>
      <c r="AS3355">
        <v>2983</v>
      </c>
      <c r="AT3355" s="4">
        <v>42682</v>
      </c>
      <c r="AU3355" t="s">
        <v>73</v>
      </c>
      <c r="AV3355">
        <v>2983</v>
      </c>
      <c r="AW3355" s="4">
        <v>42682</v>
      </c>
      <c r="BD3355">
        <v>0</v>
      </c>
      <c r="BN3355" t="s">
        <v>74</v>
      </c>
    </row>
    <row r="3356" spans="1:66">
      <c r="A3356">
        <v>101170</v>
      </c>
      <c r="B3356" s="3" t="s">
        <v>376</v>
      </c>
      <c r="C3356" s="1">
        <v>43300101</v>
      </c>
      <c r="D3356" t="s">
        <v>67</v>
      </c>
      <c r="H3356" t="str">
        <f t="shared" si="339"/>
        <v>00527500540</v>
      </c>
      <c r="I3356" t="str">
        <f t="shared" si="339"/>
        <v>00527500540</v>
      </c>
      <c r="K3356" t="str">
        <f>""</f>
        <v/>
      </c>
      <c r="M3356" t="s">
        <v>68</v>
      </c>
      <c r="N3356" t="str">
        <f t="shared" si="340"/>
        <v>FOR</v>
      </c>
      <c r="O3356" t="s">
        <v>69</v>
      </c>
      <c r="P3356" s="3" t="s">
        <v>75</v>
      </c>
      <c r="Q3356">
        <v>2015</v>
      </c>
      <c r="R3356" s="2">
        <v>42320</v>
      </c>
      <c r="S3356" s="2">
        <v>42321</v>
      </c>
      <c r="T3356" s="2">
        <v>42321</v>
      </c>
      <c r="U3356" s="2">
        <v>42381</v>
      </c>
      <c r="V3356" t="s">
        <v>71</v>
      </c>
      <c r="W3356" t="str">
        <f>"              201183"</f>
        <v xml:space="preserve">              201183</v>
      </c>
      <c r="X3356" s="1">
        <v>1992.26</v>
      </c>
      <c r="Y3356">
        <v>0</v>
      </c>
      <c r="Z3356" s="5">
        <v>1633</v>
      </c>
      <c r="AA3356">
        <v>301</v>
      </c>
      <c r="AB3356" s="5">
        <v>491533</v>
      </c>
      <c r="AC3356" s="1">
        <v>1633</v>
      </c>
      <c r="AD3356">
        <v>301</v>
      </c>
      <c r="AE3356" s="1">
        <v>491533</v>
      </c>
      <c r="AF3356">
        <v>0</v>
      </c>
      <c r="AJ3356">
        <v>0</v>
      </c>
      <c r="AK3356">
        <v>0</v>
      </c>
      <c r="AL3356">
        <v>0</v>
      </c>
      <c r="AM3356">
        <v>0</v>
      </c>
      <c r="AN3356">
        <v>0</v>
      </c>
      <c r="AO3356">
        <v>0</v>
      </c>
      <c r="AP3356" s="2">
        <v>42746</v>
      </c>
      <c r="AQ3356" t="s">
        <v>72</v>
      </c>
      <c r="AR3356" t="s">
        <v>72</v>
      </c>
      <c r="AS3356">
        <v>2983</v>
      </c>
      <c r="AT3356" s="4">
        <v>42682</v>
      </c>
      <c r="AU3356" t="s">
        <v>73</v>
      </c>
      <c r="AV3356">
        <v>2983</v>
      </c>
      <c r="AW3356" s="4">
        <v>42682</v>
      </c>
      <c r="BD3356">
        <v>0</v>
      </c>
      <c r="BN3356" t="s">
        <v>74</v>
      </c>
    </row>
    <row r="3357" spans="1:66">
      <c r="A3357">
        <v>101170</v>
      </c>
      <c r="B3357" s="3" t="s">
        <v>376</v>
      </c>
      <c r="C3357" s="1">
        <v>43300101</v>
      </c>
      <c r="D3357" t="s">
        <v>67</v>
      </c>
      <c r="H3357" t="str">
        <f t="shared" si="339"/>
        <v>00527500540</v>
      </c>
      <c r="I3357" t="str">
        <f t="shared" si="339"/>
        <v>00527500540</v>
      </c>
      <c r="K3357" t="str">
        <f>""</f>
        <v/>
      </c>
      <c r="M3357" t="s">
        <v>68</v>
      </c>
      <c r="N3357" t="str">
        <f t="shared" si="340"/>
        <v>FOR</v>
      </c>
      <c r="O3357" t="s">
        <v>69</v>
      </c>
      <c r="P3357" s="3" t="s">
        <v>75</v>
      </c>
      <c r="Q3357">
        <v>2015</v>
      </c>
      <c r="R3357" s="2">
        <v>42321</v>
      </c>
      <c r="S3357" s="2">
        <v>42325</v>
      </c>
      <c r="T3357" s="2">
        <v>42324</v>
      </c>
      <c r="U3357" s="2">
        <v>42384</v>
      </c>
      <c r="V3357" t="s">
        <v>71</v>
      </c>
      <c r="W3357" t="str">
        <f>"              201191"</f>
        <v xml:space="preserve">              201191</v>
      </c>
      <c r="X3357">
        <v>454.45</v>
      </c>
      <c r="Y3357">
        <v>0</v>
      </c>
      <c r="Z3357" s="3">
        <v>372.5</v>
      </c>
      <c r="AA3357">
        <v>298</v>
      </c>
      <c r="AB3357" s="5">
        <v>111005</v>
      </c>
      <c r="AC3357">
        <v>372.5</v>
      </c>
      <c r="AD3357">
        <v>298</v>
      </c>
      <c r="AE3357" s="1">
        <v>111005</v>
      </c>
      <c r="AF3357">
        <v>0</v>
      </c>
      <c r="AJ3357">
        <v>0</v>
      </c>
      <c r="AK3357">
        <v>0</v>
      </c>
      <c r="AL3357">
        <v>0</v>
      </c>
      <c r="AM3357">
        <v>0</v>
      </c>
      <c r="AN3357">
        <v>0</v>
      </c>
      <c r="AO3357">
        <v>0</v>
      </c>
      <c r="AP3357" s="2">
        <v>42746</v>
      </c>
      <c r="AQ3357" t="s">
        <v>72</v>
      </c>
      <c r="AR3357" t="s">
        <v>72</v>
      </c>
      <c r="AS3357">
        <v>2983</v>
      </c>
      <c r="AT3357" s="4">
        <v>42682</v>
      </c>
      <c r="AU3357" t="s">
        <v>73</v>
      </c>
      <c r="AV3357">
        <v>2983</v>
      </c>
      <c r="AW3357" s="4">
        <v>42682</v>
      </c>
      <c r="BD3357">
        <v>0</v>
      </c>
      <c r="BN3357" t="s">
        <v>74</v>
      </c>
    </row>
    <row r="3358" spans="1:66">
      <c r="A3358">
        <v>101170</v>
      </c>
      <c r="B3358" s="3" t="s">
        <v>376</v>
      </c>
      <c r="C3358" s="1">
        <v>43300101</v>
      </c>
      <c r="D3358" t="s">
        <v>67</v>
      </c>
      <c r="H3358" t="str">
        <f t="shared" si="339"/>
        <v>00527500540</v>
      </c>
      <c r="I3358" t="str">
        <f t="shared" si="339"/>
        <v>00527500540</v>
      </c>
      <c r="K3358" t="str">
        <f>""</f>
        <v/>
      </c>
      <c r="M3358" t="s">
        <v>68</v>
      </c>
      <c r="N3358" t="str">
        <f t="shared" si="340"/>
        <v>FOR</v>
      </c>
      <c r="O3358" t="s">
        <v>69</v>
      </c>
      <c r="P3358" s="3" t="s">
        <v>75</v>
      </c>
      <c r="Q3358">
        <v>2015</v>
      </c>
      <c r="R3358" s="2">
        <v>42338</v>
      </c>
      <c r="S3358" s="2">
        <v>42341</v>
      </c>
      <c r="T3358" s="2">
        <v>42341</v>
      </c>
      <c r="U3358" s="2">
        <v>42401</v>
      </c>
      <c r="V3358" t="s">
        <v>71</v>
      </c>
      <c r="W3358" t="str">
        <f>"              201252"</f>
        <v xml:space="preserve">              201252</v>
      </c>
      <c r="X3358" s="1">
        <v>1683.6</v>
      </c>
      <c r="Y3358">
        <v>0</v>
      </c>
      <c r="Z3358" s="5">
        <v>1380</v>
      </c>
      <c r="AA3358">
        <v>281</v>
      </c>
      <c r="AB3358" s="5">
        <v>387780</v>
      </c>
      <c r="AC3358" s="1">
        <v>1380</v>
      </c>
      <c r="AD3358">
        <v>281</v>
      </c>
      <c r="AE3358" s="1">
        <v>387780</v>
      </c>
      <c r="AF3358">
        <v>0</v>
      </c>
      <c r="AJ3358">
        <v>0</v>
      </c>
      <c r="AK3358">
        <v>0</v>
      </c>
      <c r="AL3358">
        <v>0</v>
      </c>
      <c r="AM3358">
        <v>0</v>
      </c>
      <c r="AN3358">
        <v>0</v>
      </c>
      <c r="AO3358">
        <v>0</v>
      </c>
      <c r="AP3358" s="2">
        <v>42746</v>
      </c>
      <c r="AQ3358" t="s">
        <v>72</v>
      </c>
      <c r="AR3358" t="s">
        <v>72</v>
      </c>
      <c r="AS3358">
        <v>2983</v>
      </c>
      <c r="AT3358" s="4">
        <v>42682</v>
      </c>
      <c r="AU3358" t="s">
        <v>73</v>
      </c>
      <c r="AV3358">
        <v>2983</v>
      </c>
      <c r="AW3358" s="4">
        <v>42682</v>
      </c>
      <c r="BD3358">
        <v>0</v>
      </c>
      <c r="BN3358" t="s">
        <v>74</v>
      </c>
    </row>
    <row r="3359" spans="1:66">
      <c r="A3359">
        <v>101170</v>
      </c>
      <c r="B3359" s="3" t="s">
        <v>376</v>
      </c>
      <c r="C3359" s="1">
        <v>43300101</v>
      </c>
      <c r="D3359" t="s">
        <v>67</v>
      </c>
      <c r="H3359" t="str">
        <f t="shared" si="339"/>
        <v>00527500540</v>
      </c>
      <c r="I3359" t="str">
        <f t="shared" si="339"/>
        <v>00527500540</v>
      </c>
      <c r="K3359" t="str">
        <f>""</f>
        <v/>
      </c>
      <c r="M3359" t="s">
        <v>68</v>
      </c>
      <c r="N3359" t="str">
        <f t="shared" si="340"/>
        <v>FOR</v>
      </c>
      <c r="O3359" t="s">
        <v>69</v>
      </c>
      <c r="P3359" s="3" t="s">
        <v>75</v>
      </c>
      <c r="Q3359">
        <v>2015</v>
      </c>
      <c r="R3359" s="2">
        <v>42353</v>
      </c>
      <c r="S3359" s="2">
        <v>42369</v>
      </c>
      <c r="T3359" s="2">
        <v>42368</v>
      </c>
      <c r="U3359" s="2">
        <v>42428</v>
      </c>
      <c r="V3359" t="s">
        <v>71</v>
      </c>
      <c r="W3359" t="str">
        <f>"              201290"</f>
        <v xml:space="preserve">              201290</v>
      </c>
      <c r="X3359" s="1">
        <v>42961.93</v>
      </c>
      <c r="Y3359">
        <v>0</v>
      </c>
      <c r="Z3359" s="5">
        <v>35214.699999999997</v>
      </c>
      <c r="AA3359">
        <v>291</v>
      </c>
      <c r="AB3359" s="5">
        <v>10247477.699999999</v>
      </c>
      <c r="AC3359" s="1">
        <v>35214.699999999997</v>
      </c>
      <c r="AD3359">
        <v>291</v>
      </c>
      <c r="AE3359" s="1">
        <v>10247477.699999999</v>
      </c>
      <c r="AF3359" s="1">
        <v>7747.23</v>
      </c>
      <c r="AJ3359">
        <v>0</v>
      </c>
      <c r="AK3359">
        <v>0</v>
      </c>
      <c r="AL3359">
        <v>0</v>
      </c>
      <c r="AM3359">
        <v>0</v>
      </c>
      <c r="AN3359">
        <v>0</v>
      </c>
      <c r="AO3359">
        <v>0</v>
      </c>
      <c r="AP3359" s="2">
        <v>42746</v>
      </c>
      <c r="AQ3359" t="s">
        <v>72</v>
      </c>
      <c r="AR3359" t="s">
        <v>72</v>
      </c>
      <c r="AS3359">
        <v>3538</v>
      </c>
      <c r="AT3359" s="4">
        <v>42719</v>
      </c>
      <c r="AU3359" t="s">
        <v>73</v>
      </c>
      <c r="AV3359">
        <v>3538</v>
      </c>
      <c r="AW3359" s="4">
        <v>42719</v>
      </c>
      <c r="BD3359" s="1">
        <v>7747.23</v>
      </c>
      <c r="BN3359" t="s">
        <v>74</v>
      </c>
    </row>
    <row r="3360" spans="1:66">
      <c r="A3360">
        <v>101170</v>
      </c>
      <c r="B3360" s="3" t="s">
        <v>376</v>
      </c>
      <c r="C3360" s="1">
        <v>43300101</v>
      </c>
      <c r="D3360" t="s">
        <v>67</v>
      </c>
      <c r="H3360" t="str">
        <f t="shared" si="339"/>
        <v>00527500540</v>
      </c>
      <c r="I3360" t="str">
        <f t="shared" si="339"/>
        <v>00527500540</v>
      </c>
      <c r="K3360" t="str">
        <f>""</f>
        <v/>
      </c>
      <c r="M3360" t="s">
        <v>68</v>
      </c>
      <c r="N3360" t="str">
        <f t="shared" si="340"/>
        <v>FOR</v>
      </c>
      <c r="O3360" t="s">
        <v>69</v>
      </c>
      <c r="P3360" s="3" t="s">
        <v>75</v>
      </c>
      <c r="Q3360">
        <v>2015</v>
      </c>
      <c r="R3360" s="2">
        <v>42353</v>
      </c>
      <c r="S3360" s="2">
        <v>42369</v>
      </c>
      <c r="T3360" s="2">
        <v>42368</v>
      </c>
      <c r="U3360" s="2">
        <v>42428</v>
      </c>
      <c r="V3360" t="s">
        <v>71</v>
      </c>
      <c r="W3360" t="str">
        <f>"              201291"</f>
        <v xml:space="preserve">              201291</v>
      </c>
      <c r="X3360" s="1">
        <v>42961.93</v>
      </c>
      <c r="Y3360">
        <v>0</v>
      </c>
      <c r="Z3360" s="5">
        <v>35214.699999999997</v>
      </c>
      <c r="AA3360">
        <v>291</v>
      </c>
      <c r="AB3360" s="5">
        <v>10247477.699999999</v>
      </c>
      <c r="AC3360" s="1">
        <v>35214.699999999997</v>
      </c>
      <c r="AD3360">
        <v>291</v>
      </c>
      <c r="AE3360" s="1">
        <v>10247477.699999999</v>
      </c>
      <c r="AF3360" s="1">
        <v>7747.23</v>
      </c>
      <c r="AJ3360">
        <v>0</v>
      </c>
      <c r="AK3360">
        <v>0</v>
      </c>
      <c r="AL3360">
        <v>0</v>
      </c>
      <c r="AM3360">
        <v>0</v>
      </c>
      <c r="AN3360">
        <v>0</v>
      </c>
      <c r="AO3360">
        <v>0</v>
      </c>
      <c r="AP3360" s="2">
        <v>42746</v>
      </c>
      <c r="AQ3360" t="s">
        <v>72</v>
      </c>
      <c r="AR3360" t="s">
        <v>72</v>
      </c>
      <c r="AS3360">
        <v>3538</v>
      </c>
      <c r="AT3360" s="4">
        <v>42719</v>
      </c>
      <c r="AU3360" t="s">
        <v>73</v>
      </c>
      <c r="AV3360">
        <v>3538</v>
      </c>
      <c r="AW3360" s="4">
        <v>42719</v>
      </c>
      <c r="BD3360" s="1">
        <v>7747.23</v>
      </c>
      <c r="BN3360" t="s">
        <v>74</v>
      </c>
    </row>
    <row r="3361" spans="1:66">
      <c r="A3361">
        <v>101170</v>
      </c>
      <c r="B3361" s="3" t="s">
        <v>376</v>
      </c>
      <c r="C3361" s="1">
        <v>43300101</v>
      </c>
      <c r="D3361" t="s">
        <v>67</v>
      </c>
      <c r="H3361" t="str">
        <f t="shared" si="339"/>
        <v>00527500540</v>
      </c>
      <c r="I3361" t="str">
        <f t="shared" si="339"/>
        <v>00527500540</v>
      </c>
      <c r="K3361" t="str">
        <f>""</f>
        <v/>
      </c>
      <c r="M3361" t="s">
        <v>68</v>
      </c>
      <c r="N3361" t="str">
        <f t="shared" si="340"/>
        <v>FOR</v>
      </c>
      <c r="O3361" t="s">
        <v>69</v>
      </c>
      <c r="P3361" s="3" t="s">
        <v>75</v>
      </c>
      <c r="Q3361">
        <v>2015</v>
      </c>
      <c r="R3361" s="2">
        <v>42361</v>
      </c>
      <c r="S3361" s="2">
        <v>42368</v>
      </c>
      <c r="T3361" s="2">
        <v>42368</v>
      </c>
      <c r="U3361" s="2">
        <v>42428</v>
      </c>
      <c r="V3361" t="s">
        <v>71</v>
      </c>
      <c r="W3361" t="str">
        <f>"              201344"</f>
        <v xml:space="preserve">              201344</v>
      </c>
      <c r="X3361" s="1">
        <v>2957.28</v>
      </c>
      <c r="Y3361">
        <v>0</v>
      </c>
      <c r="Z3361" s="5">
        <v>2424</v>
      </c>
      <c r="AA3361">
        <v>291</v>
      </c>
      <c r="AB3361" s="5">
        <v>705384</v>
      </c>
      <c r="AC3361" s="1">
        <v>2424</v>
      </c>
      <c r="AD3361">
        <v>291</v>
      </c>
      <c r="AE3361" s="1">
        <v>705384</v>
      </c>
      <c r="AF3361">
        <v>533.28</v>
      </c>
      <c r="AJ3361">
        <v>0</v>
      </c>
      <c r="AK3361">
        <v>0</v>
      </c>
      <c r="AL3361">
        <v>0</v>
      </c>
      <c r="AM3361">
        <v>0</v>
      </c>
      <c r="AN3361">
        <v>0</v>
      </c>
      <c r="AO3361">
        <v>0</v>
      </c>
      <c r="AP3361" s="2">
        <v>42746</v>
      </c>
      <c r="AQ3361" t="s">
        <v>72</v>
      </c>
      <c r="AR3361" t="s">
        <v>72</v>
      </c>
      <c r="AS3361">
        <v>3539</v>
      </c>
      <c r="AT3361" s="4">
        <v>42719</v>
      </c>
      <c r="AU3361" t="s">
        <v>73</v>
      </c>
      <c r="AV3361">
        <v>3539</v>
      </c>
      <c r="AW3361" s="4">
        <v>42719</v>
      </c>
      <c r="BD3361">
        <v>533.28</v>
      </c>
      <c r="BN3361" t="s">
        <v>74</v>
      </c>
    </row>
    <row r="3362" spans="1:66">
      <c r="A3362">
        <v>101170</v>
      </c>
      <c r="B3362" s="3" t="s">
        <v>376</v>
      </c>
      <c r="C3362" s="1">
        <v>43300101</v>
      </c>
      <c r="D3362" t="s">
        <v>67</v>
      </c>
      <c r="H3362" t="str">
        <f t="shared" si="339"/>
        <v>00527500540</v>
      </c>
      <c r="I3362" t="str">
        <f t="shared" si="339"/>
        <v>00527500540</v>
      </c>
      <c r="K3362" t="str">
        <f>""</f>
        <v/>
      </c>
      <c r="M3362" t="s">
        <v>68</v>
      </c>
      <c r="N3362" t="str">
        <f t="shared" si="340"/>
        <v>FOR</v>
      </c>
      <c r="O3362" t="s">
        <v>69</v>
      </c>
      <c r="P3362" s="3" t="s">
        <v>75</v>
      </c>
      <c r="Q3362">
        <v>2015</v>
      </c>
      <c r="R3362" s="2">
        <v>42361</v>
      </c>
      <c r="S3362" s="2">
        <v>42368</v>
      </c>
      <c r="T3362" s="2">
        <v>42368</v>
      </c>
      <c r="U3362" s="2">
        <v>42428</v>
      </c>
      <c r="V3362" t="s">
        <v>71</v>
      </c>
      <c r="W3362" t="str">
        <f>"              201345"</f>
        <v xml:space="preserve">              201345</v>
      </c>
      <c r="X3362" s="1">
        <v>10248</v>
      </c>
      <c r="Y3362">
        <v>0</v>
      </c>
      <c r="Z3362" s="5">
        <v>8400</v>
      </c>
      <c r="AA3362">
        <v>291</v>
      </c>
      <c r="AB3362" s="5">
        <v>2444400</v>
      </c>
      <c r="AC3362" s="1">
        <v>8400</v>
      </c>
      <c r="AD3362">
        <v>291</v>
      </c>
      <c r="AE3362" s="1">
        <v>2444400</v>
      </c>
      <c r="AF3362" s="1">
        <v>1848</v>
      </c>
      <c r="AJ3362">
        <v>0</v>
      </c>
      <c r="AK3362">
        <v>0</v>
      </c>
      <c r="AL3362">
        <v>0</v>
      </c>
      <c r="AM3362">
        <v>0</v>
      </c>
      <c r="AN3362">
        <v>0</v>
      </c>
      <c r="AO3362">
        <v>0</v>
      </c>
      <c r="AP3362" s="2">
        <v>42746</v>
      </c>
      <c r="AQ3362" t="s">
        <v>72</v>
      </c>
      <c r="AR3362" t="s">
        <v>72</v>
      </c>
      <c r="AS3362">
        <v>3539</v>
      </c>
      <c r="AT3362" s="4">
        <v>42719</v>
      </c>
      <c r="AU3362" t="s">
        <v>73</v>
      </c>
      <c r="AV3362">
        <v>3539</v>
      </c>
      <c r="AW3362" s="4">
        <v>42719</v>
      </c>
      <c r="BD3362" s="1">
        <v>1848</v>
      </c>
      <c r="BN3362" t="s">
        <v>74</v>
      </c>
    </row>
    <row r="3363" spans="1:66">
      <c r="A3363">
        <v>101170</v>
      </c>
      <c r="B3363" s="3" t="s">
        <v>376</v>
      </c>
      <c r="C3363" s="1">
        <v>43300101</v>
      </c>
      <c r="D3363" t="s">
        <v>67</v>
      </c>
      <c r="H3363" t="str">
        <f t="shared" si="339"/>
        <v>00527500540</v>
      </c>
      <c r="I3363" t="str">
        <f t="shared" si="339"/>
        <v>00527500540</v>
      </c>
      <c r="K3363" t="str">
        <f>""</f>
        <v/>
      </c>
      <c r="M3363" t="s">
        <v>68</v>
      </c>
      <c r="N3363" t="str">
        <f t="shared" si="340"/>
        <v>FOR</v>
      </c>
      <c r="O3363" t="s">
        <v>69</v>
      </c>
      <c r="P3363" s="3" t="s">
        <v>75</v>
      </c>
      <c r="Q3363">
        <v>2015</v>
      </c>
      <c r="R3363" s="2">
        <v>42361</v>
      </c>
      <c r="S3363" s="2">
        <v>42368</v>
      </c>
      <c r="T3363" s="2">
        <v>42368</v>
      </c>
      <c r="U3363" s="2">
        <v>42428</v>
      </c>
      <c r="V3363" t="s">
        <v>71</v>
      </c>
      <c r="W3363" t="str">
        <f>"              201346"</f>
        <v xml:space="preserve">              201346</v>
      </c>
      <c r="X3363">
        <v>366</v>
      </c>
      <c r="Y3363">
        <v>0</v>
      </c>
      <c r="Z3363" s="3">
        <v>300</v>
      </c>
      <c r="AA3363">
        <v>291</v>
      </c>
      <c r="AB3363" s="5">
        <v>87300</v>
      </c>
      <c r="AC3363">
        <v>300</v>
      </c>
      <c r="AD3363">
        <v>291</v>
      </c>
      <c r="AE3363" s="1">
        <v>87300</v>
      </c>
      <c r="AF3363">
        <v>66</v>
      </c>
      <c r="AJ3363">
        <v>0</v>
      </c>
      <c r="AK3363">
        <v>0</v>
      </c>
      <c r="AL3363">
        <v>0</v>
      </c>
      <c r="AM3363">
        <v>0</v>
      </c>
      <c r="AN3363">
        <v>0</v>
      </c>
      <c r="AO3363">
        <v>0</v>
      </c>
      <c r="AP3363" s="2">
        <v>42746</v>
      </c>
      <c r="AQ3363" t="s">
        <v>72</v>
      </c>
      <c r="AR3363" t="s">
        <v>72</v>
      </c>
      <c r="AS3363">
        <v>3539</v>
      </c>
      <c r="AT3363" s="4">
        <v>42719</v>
      </c>
      <c r="AU3363" t="s">
        <v>73</v>
      </c>
      <c r="AV3363">
        <v>3539</v>
      </c>
      <c r="AW3363" s="4">
        <v>42719</v>
      </c>
      <c r="BD3363">
        <v>66</v>
      </c>
      <c r="BN3363" t="s">
        <v>74</v>
      </c>
    </row>
    <row r="3364" spans="1:66">
      <c r="A3364">
        <v>101170</v>
      </c>
      <c r="B3364" s="3" t="s">
        <v>376</v>
      </c>
      <c r="C3364" s="1">
        <v>43300101</v>
      </c>
      <c r="D3364" t="s">
        <v>67</v>
      </c>
      <c r="H3364" t="str">
        <f t="shared" si="339"/>
        <v>00527500540</v>
      </c>
      <c r="I3364" t="str">
        <f t="shared" si="339"/>
        <v>00527500540</v>
      </c>
      <c r="K3364" t="str">
        <f>""</f>
        <v/>
      </c>
      <c r="M3364" t="s">
        <v>68</v>
      </c>
      <c r="N3364" t="str">
        <f t="shared" si="340"/>
        <v>FOR</v>
      </c>
      <c r="O3364" t="s">
        <v>69</v>
      </c>
      <c r="P3364" s="3" t="s">
        <v>75</v>
      </c>
      <c r="Q3364">
        <v>2015</v>
      </c>
      <c r="R3364" s="2">
        <v>42361</v>
      </c>
      <c r="S3364" s="2">
        <v>42368</v>
      </c>
      <c r="T3364" s="2">
        <v>42368</v>
      </c>
      <c r="U3364" s="2">
        <v>42428</v>
      </c>
      <c r="V3364" t="s">
        <v>71</v>
      </c>
      <c r="W3364" t="str">
        <f>"              201347"</f>
        <v xml:space="preserve">              201347</v>
      </c>
      <c r="X3364">
        <v>366</v>
      </c>
      <c r="Y3364">
        <v>0</v>
      </c>
      <c r="Z3364" s="3">
        <v>300</v>
      </c>
      <c r="AA3364">
        <v>291</v>
      </c>
      <c r="AB3364" s="5">
        <v>87300</v>
      </c>
      <c r="AC3364">
        <v>300</v>
      </c>
      <c r="AD3364">
        <v>291</v>
      </c>
      <c r="AE3364" s="1">
        <v>87300</v>
      </c>
      <c r="AF3364">
        <v>66</v>
      </c>
      <c r="AJ3364">
        <v>0</v>
      </c>
      <c r="AK3364">
        <v>0</v>
      </c>
      <c r="AL3364">
        <v>0</v>
      </c>
      <c r="AM3364">
        <v>0</v>
      </c>
      <c r="AN3364">
        <v>0</v>
      </c>
      <c r="AO3364">
        <v>0</v>
      </c>
      <c r="AP3364" s="2">
        <v>42746</v>
      </c>
      <c r="AQ3364" t="s">
        <v>72</v>
      </c>
      <c r="AR3364" t="s">
        <v>72</v>
      </c>
      <c r="AS3364">
        <v>3539</v>
      </c>
      <c r="AT3364" s="4">
        <v>42719</v>
      </c>
      <c r="AU3364" t="s">
        <v>73</v>
      </c>
      <c r="AV3364">
        <v>3539</v>
      </c>
      <c r="AW3364" s="4">
        <v>42719</v>
      </c>
      <c r="BD3364">
        <v>66</v>
      </c>
      <c r="BN3364" t="s">
        <v>74</v>
      </c>
    </row>
    <row r="3365" spans="1:66">
      <c r="A3365">
        <v>101170</v>
      </c>
      <c r="B3365" s="3" t="s">
        <v>376</v>
      </c>
      <c r="C3365" s="1">
        <v>43300101</v>
      </c>
      <c r="D3365" t="s">
        <v>67</v>
      </c>
      <c r="H3365" t="str">
        <f t="shared" si="339"/>
        <v>00527500540</v>
      </c>
      <c r="I3365" t="str">
        <f t="shared" si="339"/>
        <v>00527500540</v>
      </c>
      <c r="K3365" t="str">
        <f>""</f>
        <v/>
      </c>
      <c r="M3365" t="s">
        <v>68</v>
      </c>
      <c r="N3365" t="str">
        <f t="shared" si="340"/>
        <v>FOR</v>
      </c>
      <c r="O3365" t="s">
        <v>69</v>
      </c>
      <c r="P3365" s="3" t="s">
        <v>75</v>
      </c>
      <c r="Q3365">
        <v>2015</v>
      </c>
      <c r="R3365" s="2">
        <v>42361</v>
      </c>
      <c r="S3365" s="2">
        <v>42368</v>
      </c>
      <c r="T3365" s="2">
        <v>42368</v>
      </c>
      <c r="U3365" s="2">
        <v>42428</v>
      </c>
      <c r="V3365" t="s">
        <v>71</v>
      </c>
      <c r="W3365" t="str">
        <f>"              201348"</f>
        <v xml:space="preserve">              201348</v>
      </c>
      <c r="X3365" s="1">
        <v>3660</v>
      </c>
      <c r="Y3365">
        <v>0</v>
      </c>
      <c r="Z3365" s="5">
        <v>3000</v>
      </c>
      <c r="AA3365">
        <v>291</v>
      </c>
      <c r="AB3365" s="5">
        <v>873000</v>
      </c>
      <c r="AC3365" s="1">
        <v>3000</v>
      </c>
      <c r="AD3365">
        <v>291</v>
      </c>
      <c r="AE3365" s="1">
        <v>873000</v>
      </c>
      <c r="AF3365">
        <v>660</v>
      </c>
      <c r="AJ3365">
        <v>0</v>
      </c>
      <c r="AK3365">
        <v>0</v>
      </c>
      <c r="AL3365">
        <v>0</v>
      </c>
      <c r="AM3365">
        <v>0</v>
      </c>
      <c r="AN3365">
        <v>0</v>
      </c>
      <c r="AO3365">
        <v>0</v>
      </c>
      <c r="AP3365" s="2">
        <v>42746</v>
      </c>
      <c r="AQ3365" t="s">
        <v>72</v>
      </c>
      <c r="AR3365" t="s">
        <v>72</v>
      </c>
      <c r="AS3365">
        <v>3539</v>
      </c>
      <c r="AT3365" s="4">
        <v>42719</v>
      </c>
      <c r="AU3365" t="s">
        <v>73</v>
      </c>
      <c r="AV3365">
        <v>3539</v>
      </c>
      <c r="AW3365" s="4">
        <v>42719</v>
      </c>
      <c r="BD3365">
        <v>660</v>
      </c>
      <c r="BN3365" t="s">
        <v>74</v>
      </c>
    </row>
    <row r="3366" spans="1:66">
      <c r="A3366">
        <v>101170</v>
      </c>
      <c r="B3366" s="3" t="s">
        <v>376</v>
      </c>
      <c r="C3366" s="1">
        <v>43300101</v>
      </c>
      <c r="D3366" t="s">
        <v>67</v>
      </c>
      <c r="H3366" t="str">
        <f t="shared" si="339"/>
        <v>00527500540</v>
      </c>
      <c r="I3366" t="str">
        <f t="shared" si="339"/>
        <v>00527500540</v>
      </c>
      <c r="K3366" t="str">
        <f>""</f>
        <v/>
      </c>
      <c r="M3366" t="s">
        <v>68</v>
      </c>
      <c r="N3366" t="str">
        <f t="shared" si="340"/>
        <v>FOR</v>
      </c>
      <c r="O3366" t="s">
        <v>69</v>
      </c>
      <c r="P3366" s="3" t="s">
        <v>75</v>
      </c>
      <c r="Q3366">
        <v>2015</v>
      </c>
      <c r="R3366" s="2">
        <v>42361</v>
      </c>
      <c r="S3366" s="2">
        <v>42368</v>
      </c>
      <c r="T3366" s="2">
        <v>42368</v>
      </c>
      <c r="U3366" s="2">
        <v>42428</v>
      </c>
      <c r="V3366" t="s">
        <v>71</v>
      </c>
      <c r="W3366" t="str">
        <f>"              201349"</f>
        <v xml:space="preserve">              201349</v>
      </c>
      <c r="X3366" s="1">
        <v>1512.8</v>
      </c>
      <c r="Y3366">
        <v>0</v>
      </c>
      <c r="Z3366" s="5">
        <v>1240</v>
      </c>
      <c r="AA3366">
        <v>291</v>
      </c>
      <c r="AB3366" s="5">
        <v>360840</v>
      </c>
      <c r="AC3366" s="1">
        <v>1240</v>
      </c>
      <c r="AD3366">
        <v>291</v>
      </c>
      <c r="AE3366" s="1">
        <v>360840</v>
      </c>
      <c r="AF3366">
        <v>272.8</v>
      </c>
      <c r="AJ3366">
        <v>0</v>
      </c>
      <c r="AK3366">
        <v>0</v>
      </c>
      <c r="AL3366">
        <v>0</v>
      </c>
      <c r="AM3366">
        <v>0</v>
      </c>
      <c r="AN3366">
        <v>0</v>
      </c>
      <c r="AO3366">
        <v>0</v>
      </c>
      <c r="AP3366" s="2">
        <v>42746</v>
      </c>
      <c r="AQ3366" t="s">
        <v>72</v>
      </c>
      <c r="AR3366" t="s">
        <v>72</v>
      </c>
      <c r="AS3366">
        <v>3539</v>
      </c>
      <c r="AT3366" s="4">
        <v>42719</v>
      </c>
      <c r="AU3366" t="s">
        <v>73</v>
      </c>
      <c r="AV3366">
        <v>3539</v>
      </c>
      <c r="AW3366" s="4">
        <v>42719</v>
      </c>
      <c r="BD3366">
        <v>272.8</v>
      </c>
      <c r="BN3366" t="s">
        <v>74</v>
      </c>
    </row>
    <row r="3367" spans="1:66">
      <c r="A3367">
        <v>101170</v>
      </c>
      <c r="B3367" s="3" t="s">
        <v>376</v>
      </c>
      <c r="C3367" s="1">
        <v>43300101</v>
      </c>
      <c r="D3367" t="s">
        <v>67</v>
      </c>
      <c r="H3367" t="str">
        <f t="shared" si="339"/>
        <v>00527500540</v>
      </c>
      <c r="I3367" t="str">
        <f t="shared" si="339"/>
        <v>00527500540</v>
      </c>
      <c r="K3367" t="str">
        <f>""</f>
        <v/>
      </c>
      <c r="M3367" t="s">
        <v>68</v>
      </c>
      <c r="N3367" t="str">
        <f t="shared" si="340"/>
        <v>FOR</v>
      </c>
      <c r="O3367" t="s">
        <v>69</v>
      </c>
      <c r="P3367" s="3" t="s">
        <v>75</v>
      </c>
      <c r="Q3367">
        <v>2015</v>
      </c>
      <c r="R3367" s="2">
        <v>42361</v>
      </c>
      <c r="S3367" s="2">
        <v>42368</v>
      </c>
      <c r="T3367" s="2">
        <v>42368</v>
      </c>
      <c r="U3367" s="2">
        <v>42428</v>
      </c>
      <c r="V3367" t="s">
        <v>71</v>
      </c>
      <c r="W3367" t="str">
        <f>"              201350"</f>
        <v xml:space="preserve">              201350</v>
      </c>
      <c r="X3367" s="1">
        <v>5917</v>
      </c>
      <c r="Y3367">
        <v>0</v>
      </c>
      <c r="Z3367" s="5">
        <v>4850</v>
      </c>
      <c r="AA3367">
        <v>291</v>
      </c>
      <c r="AB3367" s="5">
        <v>1411350</v>
      </c>
      <c r="AC3367" s="1">
        <v>4850</v>
      </c>
      <c r="AD3367">
        <v>291</v>
      </c>
      <c r="AE3367" s="1">
        <v>1411350</v>
      </c>
      <c r="AF3367" s="1">
        <v>1067</v>
      </c>
      <c r="AJ3367">
        <v>0</v>
      </c>
      <c r="AK3367">
        <v>0</v>
      </c>
      <c r="AL3367">
        <v>0</v>
      </c>
      <c r="AM3367">
        <v>0</v>
      </c>
      <c r="AN3367">
        <v>0</v>
      </c>
      <c r="AO3367">
        <v>0</v>
      </c>
      <c r="AP3367" s="2">
        <v>42746</v>
      </c>
      <c r="AQ3367" t="s">
        <v>72</v>
      </c>
      <c r="AR3367" t="s">
        <v>72</v>
      </c>
      <c r="AS3367">
        <v>3539</v>
      </c>
      <c r="AT3367" s="4">
        <v>42719</v>
      </c>
      <c r="AU3367" t="s">
        <v>73</v>
      </c>
      <c r="AV3367">
        <v>3539</v>
      </c>
      <c r="AW3367" s="4">
        <v>42719</v>
      </c>
      <c r="BD3367" s="1">
        <v>1067</v>
      </c>
      <c r="BN3367" t="s">
        <v>74</v>
      </c>
    </row>
    <row r="3368" spans="1:66">
      <c r="A3368">
        <v>101170</v>
      </c>
      <c r="B3368" s="3" t="s">
        <v>376</v>
      </c>
      <c r="C3368" s="1">
        <v>43300101</v>
      </c>
      <c r="D3368" t="s">
        <v>67</v>
      </c>
      <c r="H3368" t="str">
        <f t="shared" si="339"/>
        <v>00527500540</v>
      </c>
      <c r="I3368" t="str">
        <f t="shared" si="339"/>
        <v>00527500540</v>
      </c>
      <c r="K3368" t="str">
        <f>""</f>
        <v/>
      </c>
      <c r="M3368" t="s">
        <v>68</v>
      </c>
      <c r="N3368" t="str">
        <f t="shared" si="340"/>
        <v>FOR</v>
      </c>
      <c r="O3368" t="s">
        <v>69</v>
      </c>
      <c r="P3368" s="3" t="s">
        <v>75</v>
      </c>
      <c r="Q3368">
        <v>2015</v>
      </c>
      <c r="R3368" s="2">
        <v>42369</v>
      </c>
      <c r="S3368" s="2">
        <v>42369</v>
      </c>
      <c r="T3368" s="2">
        <v>42369</v>
      </c>
      <c r="U3368" s="2">
        <v>42429</v>
      </c>
      <c r="V3368" t="s">
        <v>71</v>
      </c>
      <c r="W3368" t="str">
        <f>"              201498"</f>
        <v xml:space="preserve">              201498</v>
      </c>
      <c r="X3368" s="1">
        <v>5124</v>
      </c>
      <c r="Y3368">
        <v>0</v>
      </c>
      <c r="Z3368" s="5">
        <v>4200</v>
      </c>
      <c r="AA3368">
        <v>290</v>
      </c>
      <c r="AB3368" s="5">
        <v>1218000</v>
      </c>
      <c r="AC3368" s="1">
        <v>4200</v>
      </c>
      <c r="AD3368">
        <v>290</v>
      </c>
      <c r="AE3368" s="1">
        <v>1218000</v>
      </c>
      <c r="AF3368">
        <v>924</v>
      </c>
      <c r="AJ3368">
        <v>0</v>
      </c>
      <c r="AK3368">
        <v>0</v>
      </c>
      <c r="AL3368">
        <v>0</v>
      </c>
      <c r="AM3368">
        <v>0</v>
      </c>
      <c r="AN3368">
        <v>0</v>
      </c>
      <c r="AO3368">
        <v>0</v>
      </c>
      <c r="AP3368" s="2">
        <v>42746</v>
      </c>
      <c r="AQ3368" t="s">
        <v>72</v>
      </c>
      <c r="AR3368" t="s">
        <v>72</v>
      </c>
      <c r="AS3368">
        <v>3539</v>
      </c>
      <c r="AT3368" s="4">
        <v>42719</v>
      </c>
      <c r="AU3368" t="s">
        <v>73</v>
      </c>
      <c r="AV3368">
        <v>3539</v>
      </c>
      <c r="AW3368" s="4">
        <v>42719</v>
      </c>
      <c r="BD3368">
        <v>924</v>
      </c>
      <c r="BN3368" t="s">
        <v>74</v>
      </c>
    </row>
    <row r="3369" spans="1:66">
      <c r="A3369">
        <v>101170</v>
      </c>
      <c r="B3369" s="3" t="s">
        <v>376</v>
      </c>
      <c r="C3369" s="1">
        <v>43300101</v>
      </c>
      <c r="D3369" t="s">
        <v>67</v>
      </c>
      <c r="H3369" t="str">
        <f t="shared" si="339"/>
        <v>00527500540</v>
      </c>
      <c r="I3369" t="str">
        <f t="shared" si="339"/>
        <v>00527500540</v>
      </c>
      <c r="K3369" t="str">
        <f>""</f>
        <v/>
      </c>
      <c r="M3369" t="s">
        <v>68</v>
      </c>
      <c r="N3369" t="str">
        <f t="shared" si="340"/>
        <v>FOR</v>
      </c>
      <c r="O3369" t="s">
        <v>69</v>
      </c>
      <c r="P3369" s="3" t="s">
        <v>75</v>
      </c>
      <c r="Q3369">
        <v>2016</v>
      </c>
      <c r="R3369" s="2">
        <v>42489</v>
      </c>
      <c r="S3369" s="2">
        <v>42495</v>
      </c>
      <c r="T3369" s="2">
        <v>42494</v>
      </c>
      <c r="U3369" s="2">
        <v>42554</v>
      </c>
      <c r="V3369" t="s">
        <v>71</v>
      </c>
      <c r="W3369" t="str">
        <f>"              100245"</f>
        <v xml:space="preserve">              100245</v>
      </c>
      <c r="X3369" s="1">
        <v>42921.45</v>
      </c>
      <c r="Y3369">
        <v>0</v>
      </c>
      <c r="Z3369" s="5">
        <v>35181.519999999997</v>
      </c>
      <c r="AA3369">
        <v>171</v>
      </c>
      <c r="AB3369" s="5">
        <v>6016039.9199999999</v>
      </c>
      <c r="AC3369" s="1">
        <v>35181.519999999997</v>
      </c>
      <c r="AD3369">
        <v>171</v>
      </c>
      <c r="AE3369" s="1">
        <v>6016039.9199999999</v>
      </c>
      <c r="AF3369" s="1">
        <v>7739.93</v>
      </c>
      <c r="AJ3369">
        <v>0</v>
      </c>
      <c r="AK3369">
        <v>0</v>
      </c>
      <c r="AL3369">
        <v>0</v>
      </c>
      <c r="AM3369" s="1">
        <v>42921.45</v>
      </c>
      <c r="AN3369" s="1">
        <v>42921.45</v>
      </c>
      <c r="AO3369" s="1">
        <v>42921.45</v>
      </c>
      <c r="AP3369" s="2">
        <v>42746</v>
      </c>
      <c r="AQ3369" t="s">
        <v>72</v>
      </c>
      <c r="AR3369" t="s">
        <v>72</v>
      </c>
      <c r="AS3369">
        <v>3656</v>
      </c>
      <c r="AT3369" s="4">
        <v>42725</v>
      </c>
      <c r="AU3369" t="s">
        <v>73</v>
      </c>
      <c r="AV3369">
        <v>3656</v>
      </c>
      <c r="AW3369" s="4">
        <v>42725</v>
      </c>
      <c r="BC3369" s="1">
        <v>7739.93</v>
      </c>
      <c r="BD3369">
        <v>0</v>
      </c>
      <c r="BN3369" t="s">
        <v>74</v>
      </c>
    </row>
    <row r="3370" spans="1:66">
      <c r="A3370">
        <v>101170</v>
      </c>
      <c r="B3370" s="3" t="s">
        <v>376</v>
      </c>
      <c r="C3370" s="1">
        <v>43300101</v>
      </c>
      <c r="D3370" t="s">
        <v>67</v>
      </c>
      <c r="H3370" t="str">
        <f t="shared" ref="H3370:I3376" si="341">"00527500540"</f>
        <v>00527500540</v>
      </c>
      <c r="I3370" t="str">
        <f t="shared" si="341"/>
        <v>00527500540</v>
      </c>
      <c r="K3370" t="str">
        <f>""</f>
        <v/>
      </c>
      <c r="M3370" t="s">
        <v>68</v>
      </c>
      <c r="N3370" t="str">
        <f t="shared" si="340"/>
        <v>FOR</v>
      </c>
      <c r="O3370" t="s">
        <v>69</v>
      </c>
      <c r="P3370" s="3" t="s">
        <v>75</v>
      </c>
      <c r="Q3370">
        <v>2016</v>
      </c>
      <c r="R3370" s="2">
        <v>42489</v>
      </c>
      <c r="S3370" s="2">
        <v>42495</v>
      </c>
      <c r="T3370" s="2">
        <v>42494</v>
      </c>
      <c r="U3370" s="2">
        <v>42554</v>
      </c>
      <c r="V3370" t="s">
        <v>71</v>
      </c>
      <c r="W3370" t="str">
        <f>"              100246"</f>
        <v xml:space="preserve">              100246</v>
      </c>
      <c r="X3370" s="1">
        <v>42921.45</v>
      </c>
      <c r="Y3370">
        <v>0</v>
      </c>
      <c r="Z3370" s="5">
        <v>35181.519999999997</v>
      </c>
      <c r="AA3370">
        <v>171</v>
      </c>
      <c r="AB3370" s="5">
        <v>6016039.9199999999</v>
      </c>
      <c r="AC3370" s="1">
        <v>35181.519999999997</v>
      </c>
      <c r="AD3370">
        <v>171</v>
      </c>
      <c r="AE3370" s="1">
        <v>6016039.9199999999</v>
      </c>
      <c r="AF3370" s="1">
        <v>7739.93</v>
      </c>
      <c r="AJ3370">
        <v>0</v>
      </c>
      <c r="AK3370">
        <v>0</v>
      </c>
      <c r="AL3370">
        <v>0</v>
      </c>
      <c r="AM3370" s="1">
        <v>42921.45</v>
      </c>
      <c r="AN3370" s="1">
        <v>42921.45</v>
      </c>
      <c r="AO3370" s="1">
        <v>42921.45</v>
      </c>
      <c r="AP3370" s="2">
        <v>42746</v>
      </c>
      <c r="AQ3370" t="s">
        <v>72</v>
      </c>
      <c r="AR3370" t="s">
        <v>72</v>
      </c>
      <c r="AS3370">
        <v>3656</v>
      </c>
      <c r="AT3370" s="4">
        <v>42725</v>
      </c>
      <c r="AU3370" t="s">
        <v>73</v>
      </c>
      <c r="AV3370">
        <v>3656</v>
      </c>
      <c r="AW3370" s="4">
        <v>42725</v>
      </c>
      <c r="BC3370" s="1">
        <v>7739.93</v>
      </c>
      <c r="BD3370">
        <v>0</v>
      </c>
      <c r="BN3370" t="s">
        <v>74</v>
      </c>
    </row>
    <row r="3371" spans="1:66">
      <c r="A3371">
        <v>101170</v>
      </c>
      <c r="B3371" s="3" t="s">
        <v>376</v>
      </c>
      <c r="C3371" s="1">
        <v>43300101</v>
      </c>
      <c r="D3371" t="s">
        <v>67</v>
      </c>
      <c r="H3371" t="str">
        <f t="shared" si="341"/>
        <v>00527500540</v>
      </c>
      <c r="I3371" t="str">
        <f t="shared" si="341"/>
        <v>00527500540</v>
      </c>
      <c r="K3371" t="str">
        <f>""</f>
        <v/>
      </c>
      <c r="M3371" t="s">
        <v>68</v>
      </c>
      <c r="N3371" t="str">
        <f t="shared" si="340"/>
        <v>FOR</v>
      </c>
      <c r="O3371" t="s">
        <v>69</v>
      </c>
      <c r="P3371" s="3" t="s">
        <v>75</v>
      </c>
      <c r="Q3371">
        <v>2016</v>
      </c>
      <c r="R3371" s="2">
        <v>42412</v>
      </c>
      <c r="S3371" s="2">
        <v>42418</v>
      </c>
      <c r="T3371" s="2">
        <v>42416</v>
      </c>
      <c r="U3371" s="2">
        <v>42476</v>
      </c>
      <c r="V3371" t="s">
        <v>71</v>
      </c>
      <c r="W3371" t="str">
        <f>"              200130"</f>
        <v xml:space="preserve">              200130</v>
      </c>
      <c r="X3371">
        <v>549</v>
      </c>
      <c r="Y3371">
        <v>0</v>
      </c>
      <c r="Z3371" s="3">
        <v>450</v>
      </c>
      <c r="AA3371">
        <v>243</v>
      </c>
      <c r="AB3371" s="5">
        <v>109350</v>
      </c>
      <c r="AC3371">
        <v>450</v>
      </c>
      <c r="AD3371">
        <v>243</v>
      </c>
      <c r="AE3371" s="1">
        <v>109350</v>
      </c>
      <c r="AF3371">
        <v>99</v>
      </c>
      <c r="AJ3371">
        <v>0</v>
      </c>
      <c r="AK3371">
        <v>0</v>
      </c>
      <c r="AL3371">
        <v>0</v>
      </c>
      <c r="AM3371">
        <v>549</v>
      </c>
      <c r="AN3371">
        <v>549</v>
      </c>
      <c r="AO3371">
        <v>549</v>
      </c>
      <c r="AP3371" s="2">
        <v>42746</v>
      </c>
      <c r="AQ3371" t="s">
        <v>72</v>
      </c>
      <c r="AR3371" t="s">
        <v>72</v>
      </c>
      <c r="AS3371">
        <v>3539</v>
      </c>
      <c r="AT3371" s="4">
        <v>42719</v>
      </c>
      <c r="AU3371" t="s">
        <v>73</v>
      </c>
      <c r="AV3371">
        <v>3539</v>
      </c>
      <c r="AW3371" s="4">
        <v>42719</v>
      </c>
      <c r="BD3371">
        <v>99</v>
      </c>
      <c r="BN3371" t="s">
        <v>74</v>
      </c>
    </row>
    <row r="3372" spans="1:66">
      <c r="A3372">
        <v>101170</v>
      </c>
      <c r="B3372" s="3" t="s">
        <v>376</v>
      </c>
      <c r="C3372" s="1">
        <v>43300101</v>
      </c>
      <c r="D3372" t="s">
        <v>67</v>
      </c>
      <c r="H3372" t="str">
        <f t="shared" si="341"/>
        <v>00527500540</v>
      </c>
      <c r="I3372" t="str">
        <f t="shared" si="341"/>
        <v>00527500540</v>
      </c>
      <c r="K3372" t="str">
        <f>""</f>
        <v/>
      </c>
      <c r="M3372" t="s">
        <v>68</v>
      </c>
      <c r="N3372" t="str">
        <f t="shared" si="340"/>
        <v>FOR</v>
      </c>
      <c r="O3372" t="s">
        <v>69</v>
      </c>
      <c r="P3372" s="3" t="s">
        <v>75</v>
      </c>
      <c r="Q3372">
        <v>2016</v>
      </c>
      <c r="R3372" s="2">
        <v>42412</v>
      </c>
      <c r="S3372" s="2">
        <v>42418</v>
      </c>
      <c r="T3372" s="2">
        <v>42416</v>
      </c>
      <c r="U3372" s="2">
        <v>42476</v>
      </c>
      <c r="V3372" t="s">
        <v>71</v>
      </c>
      <c r="W3372" t="str">
        <f>"              200131"</f>
        <v xml:space="preserve">              200131</v>
      </c>
      <c r="X3372" s="1">
        <v>1171.2</v>
      </c>
      <c r="Y3372">
        <v>0</v>
      </c>
      <c r="Z3372" s="3">
        <v>960</v>
      </c>
      <c r="AA3372">
        <v>243</v>
      </c>
      <c r="AB3372" s="5">
        <v>233280</v>
      </c>
      <c r="AC3372">
        <v>960</v>
      </c>
      <c r="AD3372">
        <v>243</v>
      </c>
      <c r="AE3372" s="1">
        <v>233280</v>
      </c>
      <c r="AF3372">
        <v>211.2</v>
      </c>
      <c r="AJ3372">
        <v>0</v>
      </c>
      <c r="AK3372">
        <v>0</v>
      </c>
      <c r="AL3372">
        <v>0</v>
      </c>
      <c r="AM3372" s="1">
        <v>1171.2</v>
      </c>
      <c r="AN3372" s="1">
        <v>1171.2</v>
      </c>
      <c r="AO3372" s="1">
        <v>1171.2</v>
      </c>
      <c r="AP3372" s="2">
        <v>42746</v>
      </c>
      <c r="AQ3372" t="s">
        <v>72</v>
      </c>
      <c r="AR3372" t="s">
        <v>72</v>
      </c>
      <c r="AS3372">
        <v>3539</v>
      </c>
      <c r="AT3372" s="4">
        <v>42719</v>
      </c>
      <c r="AU3372" t="s">
        <v>73</v>
      </c>
      <c r="AV3372">
        <v>3539</v>
      </c>
      <c r="AW3372" s="4">
        <v>42719</v>
      </c>
      <c r="BD3372">
        <v>211.2</v>
      </c>
      <c r="BN3372" t="s">
        <v>74</v>
      </c>
    </row>
    <row r="3373" spans="1:66">
      <c r="A3373">
        <v>101170</v>
      </c>
      <c r="B3373" s="3" t="s">
        <v>376</v>
      </c>
      <c r="C3373" s="1">
        <v>43300101</v>
      </c>
      <c r="D3373" t="s">
        <v>67</v>
      </c>
      <c r="H3373" t="str">
        <f t="shared" si="341"/>
        <v>00527500540</v>
      </c>
      <c r="I3373" t="str">
        <f t="shared" si="341"/>
        <v>00527500540</v>
      </c>
      <c r="K3373" t="str">
        <f>""</f>
        <v/>
      </c>
      <c r="M3373" t="s">
        <v>68</v>
      </c>
      <c r="N3373" t="str">
        <f t="shared" si="340"/>
        <v>FOR</v>
      </c>
      <c r="O3373" t="s">
        <v>69</v>
      </c>
      <c r="P3373" s="3" t="s">
        <v>75</v>
      </c>
      <c r="Q3373">
        <v>2016</v>
      </c>
      <c r="R3373" s="2">
        <v>42412</v>
      </c>
      <c r="S3373" s="2">
        <v>42418</v>
      </c>
      <c r="T3373" s="2">
        <v>42416</v>
      </c>
      <c r="U3373" s="2">
        <v>42476</v>
      </c>
      <c r="V3373" t="s">
        <v>71</v>
      </c>
      <c r="W3373" t="str">
        <f>"              200132"</f>
        <v xml:space="preserve">              200132</v>
      </c>
      <c r="X3373" s="1">
        <v>10248</v>
      </c>
      <c r="Y3373">
        <v>0</v>
      </c>
      <c r="Z3373" s="5">
        <v>8400</v>
      </c>
      <c r="AA3373">
        <v>243</v>
      </c>
      <c r="AB3373" s="5">
        <v>2041200</v>
      </c>
      <c r="AC3373" s="1">
        <v>8400</v>
      </c>
      <c r="AD3373">
        <v>243</v>
      </c>
      <c r="AE3373" s="1">
        <v>2041200</v>
      </c>
      <c r="AF3373" s="1">
        <v>1848</v>
      </c>
      <c r="AJ3373">
        <v>0</v>
      </c>
      <c r="AK3373">
        <v>0</v>
      </c>
      <c r="AL3373">
        <v>0</v>
      </c>
      <c r="AM3373">
        <v>0</v>
      </c>
      <c r="AN3373" s="1">
        <v>10248</v>
      </c>
      <c r="AO3373" s="1">
        <v>10248</v>
      </c>
      <c r="AP3373" s="2">
        <v>42746</v>
      </c>
      <c r="AQ3373" t="s">
        <v>72</v>
      </c>
      <c r="AR3373" t="s">
        <v>72</v>
      </c>
      <c r="AS3373">
        <v>3539</v>
      </c>
      <c r="AT3373" s="4">
        <v>42719</v>
      </c>
      <c r="AU3373" t="s">
        <v>73</v>
      </c>
      <c r="AV3373">
        <v>3539</v>
      </c>
      <c r="AW3373" s="4">
        <v>42719</v>
      </c>
      <c r="BD3373" s="1">
        <v>1848</v>
      </c>
      <c r="BN3373" t="s">
        <v>74</v>
      </c>
    </row>
    <row r="3374" spans="1:66">
      <c r="A3374">
        <v>101170</v>
      </c>
      <c r="B3374" s="3" t="s">
        <v>376</v>
      </c>
      <c r="C3374" s="1">
        <v>43300101</v>
      </c>
      <c r="D3374" t="s">
        <v>67</v>
      </c>
      <c r="H3374" t="str">
        <f t="shared" si="341"/>
        <v>00527500540</v>
      </c>
      <c r="I3374" t="str">
        <f t="shared" si="341"/>
        <v>00527500540</v>
      </c>
      <c r="K3374" t="str">
        <f>""</f>
        <v/>
      </c>
      <c r="M3374" t="s">
        <v>68</v>
      </c>
      <c r="N3374" t="str">
        <f t="shared" si="340"/>
        <v>FOR</v>
      </c>
      <c r="O3374" t="s">
        <v>69</v>
      </c>
      <c r="P3374" s="3" t="s">
        <v>75</v>
      </c>
      <c r="Q3374">
        <v>2016</v>
      </c>
      <c r="R3374" s="2">
        <v>42475</v>
      </c>
      <c r="S3374" s="2">
        <v>42480</v>
      </c>
      <c r="T3374" s="2">
        <v>42479</v>
      </c>
      <c r="U3374" s="2">
        <v>42539</v>
      </c>
      <c r="V3374" t="s">
        <v>71</v>
      </c>
      <c r="W3374" t="str">
        <f>"              200391"</f>
        <v xml:space="preserve">              200391</v>
      </c>
      <c r="X3374" s="1">
        <v>10248</v>
      </c>
      <c r="Y3374">
        <v>0</v>
      </c>
      <c r="Z3374" s="5">
        <v>8400</v>
      </c>
      <c r="AA3374">
        <v>186</v>
      </c>
      <c r="AB3374" s="5">
        <v>1562400</v>
      </c>
      <c r="AC3374" s="1">
        <v>8400</v>
      </c>
      <c r="AD3374">
        <v>186</v>
      </c>
      <c r="AE3374" s="1">
        <v>1562400</v>
      </c>
      <c r="AF3374" s="1">
        <v>1848</v>
      </c>
      <c r="AJ3374">
        <v>0</v>
      </c>
      <c r="AK3374">
        <v>0</v>
      </c>
      <c r="AL3374">
        <v>0</v>
      </c>
      <c r="AM3374" s="1">
        <v>10248</v>
      </c>
      <c r="AN3374" s="1">
        <v>10248</v>
      </c>
      <c r="AO3374" s="1">
        <v>10248</v>
      </c>
      <c r="AP3374" s="2">
        <v>42746</v>
      </c>
      <c r="AQ3374" t="s">
        <v>72</v>
      </c>
      <c r="AR3374" t="s">
        <v>72</v>
      </c>
      <c r="AS3374">
        <v>3656</v>
      </c>
      <c r="AT3374" s="4">
        <v>42725</v>
      </c>
      <c r="AU3374" t="s">
        <v>73</v>
      </c>
      <c r="AV3374">
        <v>3656</v>
      </c>
      <c r="AW3374" s="4">
        <v>42725</v>
      </c>
      <c r="BD3374" s="1">
        <v>1848</v>
      </c>
      <c r="BN3374" t="s">
        <v>74</v>
      </c>
    </row>
    <row r="3375" spans="1:66">
      <c r="A3375">
        <v>101170</v>
      </c>
      <c r="B3375" s="3" t="s">
        <v>376</v>
      </c>
      <c r="C3375" s="1">
        <v>43300101</v>
      </c>
      <c r="D3375" t="s">
        <v>67</v>
      </c>
      <c r="H3375" t="str">
        <f t="shared" si="341"/>
        <v>00527500540</v>
      </c>
      <c r="I3375" t="str">
        <f t="shared" si="341"/>
        <v>00527500540</v>
      </c>
      <c r="K3375" t="str">
        <f>""</f>
        <v/>
      </c>
      <c r="M3375" t="s">
        <v>68</v>
      </c>
      <c r="N3375" t="str">
        <f t="shared" si="340"/>
        <v>FOR</v>
      </c>
      <c r="O3375" t="s">
        <v>69</v>
      </c>
      <c r="P3375" s="3" t="s">
        <v>75</v>
      </c>
      <c r="Q3375">
        <v>2016</v>
      </c>
      <c r="R3375" s="2">
        <v>42475</v>
      </c>
      <c r="S3375" s="2">
        <v>42480</v>
      </c>
      <c r="T3375" s="2">
        <v>42479</v>
      </c>
      <c r="U3375" s="2">
        <v>42539</v>
      </c>
      <c r="V3375" t="s">
        <v>71</v>
      </c>
      <c r="W3375" t="str">
        <f>"              200392"</f>
        <v xml:space="preserve">              200392</v>
      </c>
      <c r="X3375">
        <v>183</v>
      </c>
      <c r="Y3375">
        <v>0</v>
      </c>
      <c r="Z3375" s="3">
        <v>150</v>
      </c>
      <c r="AA3375">
        <v>186</v>
      </c>
      <c r="AB3375" s="5">
        <v>27900</v>
      </c>
      <c r="AC3375">
        <v>150</v>
      </c>
      <c r="AD3375">
        <v>186</v>
      </c>
      <c r="AE3375" s="1">
        <v>27900</v>
      </c>
      <c r="AF3375">
        <v>33</v>
      </c>
      <c r="AJ3375">
        <v>0</v>
      </c>
      <c r="AK3375">
        <v>0</v>
      </c>
      <c r="AL3375">
        <v>0</v>
      </c>
      <c r="AM3375">
        <v>183</v>
      </c>
      <c r="AN3375">
        <v>183</v>
      </c>
      <c r="AO3375">
        <v>183</v>
      </c>
      <c r="AP3375" s="2">
        <v>42746</v>
      </c>
      <c r="AQ3375" t="s">
        <v>72</v>
      </c>
      <c r="AR3375" t="s">
        <v>72</v>
      </c>
      <c r="AS3375">
        <v>3656</v>
      </c>
      <c r="AT3375" s="4">
        <v>42725</v>
      </c>
      <c r="AU3375" t="s">
        <v>73</v>
      </c>
      <c r="AV3375">
        <v>3656</v>
      </c>
      <c r="AW3375" s="4">
        <v>42725</v>
      </c>
      <c r="BD3375">
        <v>33</v>
      </c>
      <c r="BN3375" t="s">
        <v>74</v>
      </c>
    </row>
    <row r="3376" spans="1:66">
      <c r="A3376">
        <v>101170</v>
      </c>
      <c r="B3376" s="3" t="s">
        <v>376</v>
      </c>
      <c r="C3376" s="1">
        <v>43300101</v>
      </c>
      <c r="D3376" t="s">
        <v>67</v>
      </c>
      <c r="H3376" t="str">
        <f t="shared" si="341"/>
        <v>00527500540</v>
      </c>
      <c r="I3376" t="str">
        <f t="shared" si="341"/>
        <v>00527500540</v>
      </c>
      <c r="K3376" t="str">
        <f>""</f>
        <v/>
      </c>
      <c r="M3376" t="s">
        <v>68</v>
      </c>
      <c r="N3376" t="str">
        <f t="shared" si="340"/>
        <v>FOR</v>
      </c>
      <c r="O3376" t="s">
        <v>69</v>
      </c>
      <c r="P3376" s="3" t="s">
        <v>75</v>
      </c>
      <c r="Q3376">
        <v>2016</v>
      </c>
      <c r="R3376" s="2">
        <v>42475</v>
      </c>
      <c r="S3376" s="2">
        <v>42480</v>
      </c>
      <c r="T3376" s="2">
        <v>42479</v>
      </c>
      <c r="U3376" s="2">
        <v>42539</v>
      </c>
      <c r="V3376" t="s">
        <v>71</v>
      </c>
      <c r="W3376" t="str">
        <f>"              200393"</f>
        <v xml:space="preserve">              200393</v>
      </c>
      <c r="X3376" s="1">
        <v>1268.8</v>
      </c>
      <c r="Y3376">
        <v>0</v>
      </c>
      <c r="Z3376" s="5">
        <v>1040</v>
      </c>
      <c r="AA3376">
        <v>186</v>
      </c>
      <c r="AB3376" s="5">
        <v>193440</v>
      </c>
      <c r="AC3376" s="1">
        <v>1040</v>
      </c>
      <c r="AD3376">
        <v>186</v>
      </c>
      <c r="AE3376" s="1">
        <v>193440</v>
      </c>
      <c r="AF3376">
        <v>228.8</v>
      </c>
      <c r="AJ3376">
        <v>0</v>
      </c>
      <c r="AK3376">
        <v>0</v>
      </c>
      <c r="AL3376">
        <v>0</v>
      </c>
      <c r="AM3376" s="1">
        <v>1268.8</v>
      </c>
      <c r="AN3376" s="1">
        <v>1268.8</v>
      </c>
      <c r="AO3376" s="1">
        <v>1268.8</v>
      </c>
      <c r="AP3376" s="2">
        <v>42746</v>
      </c>
      <c r="AQ3376" t="s">
        <v>72</v>
      </c>
      <c r="AR3376" t="s">
        <v>72</v>
      </c>
      <c r="AS3376">
        <v>3656</v>
      </c>
      <c r="AT3376" s="4">
        <v>42725</v>
      </c>
      <c r="AU3376" t="s">
        <v>73</v>
      </c>
      <c r="AV3376">
        <v>3656</v>
      </c>
      <c r="AW3376" s="4">
        <v>42725</v>
      </c>
      <c r="BD3376">
        <v>228.8</v>
      </c>
      <c r="BN3376" t="s">
        <v>74</v>
      </c>
    </row>
    <row r="3377" spans="1:66" hidden="1">
      <c r="A3377">
        <v>101178</v>
      </c>
      <c r="B3377" s="3" t="s">
        <v>377</v>
      </c>
      <c r="C3377" s="1">
        <v>43300101</v>
      </c>
      <c r="D3377" t="s">
        <v>67</v>
      </c>
      <c r="H3377" t="str">
        <f t="shared" ref="H3377:I3385" si="342">"01985020518"</f>
        <v>01985020518</v>
      </c>
      <c r="I3377" t="str">
        <f t="shared" si="342"/>
        <v>01985020518</v>
      </c>
      <c r="K3377" t="str">
        <f>""</f>
        <v/>
      </c>
      <c r="M3377" t="s">
        <v>68</v>
      </c>
      <c r="N3377" t="str">
        <f t="shared" si="340"/>
        <v>FOR</v>
      </c>
      <c r="O3377" t="s">
        <v>69</v>
      </c>
      <c r="P3377" s="3" t="s">
        <v>75</v>
      </c>
      <c r="Q3377">
        <v>2015</v>
      </c>
      <c r="R3377" s="2">
        <v>42153</v>
      </c>
      <c r="S3377" s="2">
        <v>42177</v>
      </c>
      <c r="T3377" s="2">
        <v>42173</v>
      </c>
      <c r="U3377" s="2">
        <v>42233</v>
      </c>
      <c r="V3377" t="s">
        <v>71</v>
      </c>
      <c r="W3377" t="str">
        <f>"            31/PA/15"</f>
        <v xml:space="preserve">            31/PA/15</v>
      </c>
      <c r="X3377" s="1">
        <v>3355</v>
      </c>
      <c r="Y3377">
        <v>0</v>
      </c>
      <c r="Z3377"/>
      <c r="AB3377"/>
      <c r="AC3377" s="1">
        <v>2750</v>
      </c>
      <c r="AD3377">
        <v>220</v>
      </c>
      <c r="AE3377" s="1">
        <v>605000</v>
      </c>
      <c r="AF3377">
        <v>0</v>
      </c>
      <c r="AJ3377">
        <v>0</v>
      </c>
      <c r="AK3377">
        <v>0</v>
      </c>
      <c r="AL3377">
        <v>0</v>
      </c>
      <c r="AM3377">
        <v>0</v>
      </c>
      <c r="AN3377">
        <v>0</v>
      </c>
      <c r="AO3377">
        <v>0</v>
      </c>
      <c r="AP3377" s="2">
        <v>42746</v>
      </c>
      <c r="AQ3377" t="s">
        <v>72</v>
      </c>
      <c r="AR3377" t="s">
        <v>72</v>
      </c>
      <c r="AS3377">
        <v>861</v>
      </c>
      <c r="AT3377" s="4">
        <v>42453</v>
      </c>
      <c r="AU3377" t="s">
        <v>73</v>
      </c>
      <c r="AV3377">
        <v>861</v>
      </c>
      <c r="AW3377" s="4">
        <v>42453</v>
      </c>
      <c r="BD3377">
        <v>0</v>
      </c>
      <c r="BN3377" t="s">
        <v>74</v>
      </c>
    </row>
    <row r="3378" spans="1:66" hidden="1">
      <c r="A3378">
        <v>101178</v>
      </c>
      <c r="B3378" s="3" t="s">
        <v>377</v>
      </c>
      <c r="C3378" s="1">
        <v>43300101</v>
      </c>
      <c r="D3378" t="s">
        <v>67</v>
      </c>
      <c r="H3378" t="str">
        <f t="shared" si="342"/>
        <v>01985020518</v>
      </c>
      <c r="I3378" t="str">
        <f t="shared" si="342"/>
        <v>01985020518</v>
      </c>
      <c r="K3378" t="str">
        <f>""</f>
        <v/>
      </c>
      <c r="M3378" t="s">
        <v>68</v>
      </c>
      <c r="N3378" t="str">
        <f t="shared" si="340"/>
        <v>FOR</v>
      </c>
      <c r="O3378" t="s">
        <v>69</v>
      </c>
      <c r="P3378" s="3" t="s">
        <v>75</v>
      </c>
      <c r="Q3378">
        <v>2015</v>
      </c>
      <c r="R3378" s="2">
        <v>42153</v>
      </c>
      <c r="S3378" s="2">
        <v>42177</v>
      </c>
      <c r="T3378" s="2">
        <v>42173</v>
      </c>
      <c r="U3378" s="2">
        <v>42233</v>
      </c>
      <c r="V3378" t="s">
        <v>71</v>
      </c>
      <c r="W3378" t="str">
        <f>"            32/PA/15"</f>
        <v xml:space="preserve">            32/PA/15</v>
      </c>
      <c r="X3378" s="1">
        <v>3355</v>
      </c>
      <c r="Y3378">
        <v>0</v>
      </c>
      <c r="Z3378"/>
      <c r="AB3378"/>
      <c r="AC3378" s="1">
        <v>2750</v>
      </c>
      <c r="AD3378">
        <v>220</v>
      </c>
      <c r="AE3378" s="1">
        <v>605000</v>
      </c>
      <c r="AF3378">
        <v>0</v>
      </c>
      <c r="AJ3378">
        <v>0</v>
      </c>
      <c r="AK3378">
        <v>0</v>
      </c>
      <c r="AL3378">
        <v>0</v>
      </c>
      <c r="AM3378">
        <v>0</v>
      </c>
      <c r="AN3378">
        <v>0</v>
      </c>
      <c r="AO3378">
        <v>0</v>
      </c>
      <c r="AP3378" s="2">
        <v>42746</v>
      </c>
      <c r="AQ3378" t="s">
        <v>72</v>
      </c>
      <c r="AR3378" t="s">
        <v>72</v>
      </c>
      <c r="AS3378">
        <v>861</v>
      </c>
      <c r="AT3378" s="4">
        <v>42453</v>
      </c>
      <c r="AU3378" t="s">
        <v>73</v>
      </c>
      <c r="AV3378">
        <v>861</v>
      </c>
      <c r="AW3378" s="4">
        <v>42453</v>
      </c>
      <c r="BD3378">
        <v>0</v>
      </c>
      <c r="BN3378" t="s">
        <v>74</v>
      </c>
    </row>
    <row r="3379" spans="1:66" hidden="1">
      <c r="A3379">
        <v>101178</v>
      </c>
      <c r="B3379" s="3" t="s">
        <v>377</v>
      </c>
      <c r="C3379" s="1">
        <v>43300101</v>
      </c>
      <c r="D3379" t="s">
        <v>67</v>
      </c>
      <c r="H3379" t="str">
        <f t="shared" si="342"/>
        <v>01985020518</v>
      </c>
      <c r="I3379" t="str">
        <f t="shared" si="342"/>
        <v>01985020518</v>
      </c>
      <c r="K3379" t="str">
        <f>""</f>
        <v/>
      </c>
      <c r="M3379" t="s">
        <v>68</v>
      </c>
      <c r="N3379" t="str">
        <f t="shared" si="340"/>
        <v>FOR</v>
      </c>
      <c r="O3379" t="s">
        <v>69</v>
      </c>
      <c r="P3379" s="3" t="s">
        <v>75</v>
      </c>
      <c r="Q3379">
        <v>2015</v>
      </c>
      <c r="R3379" s="2">
        <v>42153</v>
      </c>
      <c r="S3379" s="2">
        <v>42177</v>
      </c>
      <c r="T3379" s="2">
        <v>42173</v>
      </c>
      <c r="U3379" s="2">
        <v>42233</v>
      </c>
      <c r="V3379" t="s">
        <v>71</v>
      </c>
      <c r="W3379" t="str">
        <f>"            33/PA/15"</f>
        <v xml:space="preserve">            33/PA/15</v>
      </c>
      <c r="X3379" s="1">
        <v>3355</v>
      </c>
      <c r="Y3379">
        <v>0</v>
      </c>
      <c r="Z3379"/>
      <c r="AB3379"/>
      <c r="AC3379" s="1">
        <v>2750</v>
      </c>
      <c r="AD3379">
        <v>220</v>
      </c>
      <c r="AE3379" s="1">
        <v>605000</v>
      </c>
      <c r="AF3379">
        <v>0</v>
      </c>
      <c r="AJ3379">
        <v>0</v>
      </c>
      <c r="AK3379">
        <v>0</v>
      </c>
      <c r="AL3379">
        <v>0</v>
      </c>
      <c r="AM3379">
        <v>0</v>
      </c>
      <c r="AN3379">
        <v>0</v>
      </c>
      <c r="AO3379">
        <v>0</v>
      </c>
      <c r="AP3379" s="2">
        <v>42746</v>
      </c>
      <c r="AQ3379" t="s">
        <v>72</v>
      </c>
      <c r="AR3379" t="s">
        <v>72</v>
      </c>
      <c r="AS3379">
        <v>861</v>
      </c>
      <c r="AT3379" s="4">
        <v>42453</v>
      </c>
      <c r="AU3379" t="s">
        <v>73</v>
      </c>
      <c r="AV3379">
        <v>861</v>
      </c>
      <c r="AW3379" s="4">
        <v>42453</v>
      </c>
      <c r="BD3379">
        <v>0</v>
      </c>
      <c r="BN3379" t="s">
        <v>74</v>
      </c>
    </row>
    <row r="3380" spans="1:66" hidden="1">
      <c r="A3380">
        <v>101178</v>
      </c>
      <c r="B3380" s="3" t="s">
        <v>377</v>
      </c>
      <c r="C3380" s="1">
        <v>43300101</v>
      </c>
      <c r="D3380" t="s">
        <v>67</v>
      </c>
      <c r="H3380" t="str">
        <f t="shared" si="342"/>
        <v>01985020518</v>
      </c>
      <c r="I3380" t="str">
        <f t="shared" si="342"/>
        <v>01985020518</v>
      </c>
      <c r="K3380" t="str">
        <f>""</f>
        <v/>
      </c>
      <c r="M3380" t="s">
        <v>68</v>
      </c>
      <c r="N3380" t="str">
        <f t="shared" si="340"/>
        <v>FOR</v>
      </c>
      <c r="O3380" t="s">
        <v>69</v>
      </c>
      <c r="P3380" s="3" t="s">
        <v>75</v>
      </c>
      <c r="Q3380">
        <v>2015</v>
      </c>
      <c r="R3380" s="2">
        <v>42206</v>
      </c>
      <c r="S3380" s="2">
        <v>42228</v>
      </c>
      <c r="T3380" s="2">
        <v>42222</v>
      </c>
      <c r="U3380" s="2">
        <v>42282</v>
      </c>
      <c r="V3380" t="s">
        <v>71</v>
      </c>
      <c r="W3380" t="str">
        <f>"            81/PA/15"</f>
        <v xml:space="preserve">            81/PA/15</v>
      </c>
      <c r="X3380" s="1">
        <v>3355</v>
      </c>
      <c r="Y3380">
        <v>0</v>
      </c>
      <c r="Z3380"/>
      <c r="AB3380"/>
      <c r="AC3380" s="1">
        <v>2750</v>
      </c>
      <c r="AD3380">
        <v>171</v>
      </c>
      <c r="AE3380" s="1">
        <v>470250</v>
      </c>
      <c r="AF3380">
        <v>0</v>
      </c>
      <c r="AJ3380">
        <v>0</v>
      </c>
      <c r="AK3380">
        <v>0</v>
      </c>
      <c r="AL3380">
        <v>0</v>
      </c>
      <c r="AM3380">
        <v>0</v>
      </c>
      <c r="AN3380">
        <v>0</v>
      </c>
      <c r="AO3380">
        <v>0</v>
      </c>
      <c r="AP3380" s="2">
        <v>42746</v>
      </c>
      <c r="AQ3380" t="s">
        <v>72</v>
      </c>
      <c r="AR3380" t="s">
        <v>72</v>
      </c>
      <c r="AS3380">
        <v>861</v>
      </c>
      <c r="AT3380" s="4">
        <v>42453</v>
      </c>
      <c r="AU3380" t="s">
        <v>73</v>
      </c>
      <c r="AV3380">
        <v>861</v>
      </c>
      <c r="AW3380" s="4">
        <v>42453</v>
      </c>
      <c r="BD3380">
        <v>0</v>
      </c>
      <c r="BN3380" t="s">
        <v>74</v>
      </c>
    </row>
    <row r="3381" spans="1:66" hidden="1">
      <c r="A3381">
        <v>101178</v>
      </c>
      <c r="B3381" s="3" t="s">
        <v>377</v>
      </c>
      <c r="C3381" s="1">
        <v>43300101</v>
      </c>
      <c r="D3381" t="s">
        <v>67</v>
      </c>
      <c r="H3381" t="str">
        <f t="shared" si="342"/>
        <v>01985020518</v>
      </c>
      <c r="I3381" t="str">
        <f t="shared" si="342"/>
        <v>01985020518</v>
      </c>
      <c r="K3381" t="str">
        <f>""</f>
        <v/>
      </c>
      <c r="M3381" t="s">
        <v>68</v>
      </c>
      <c r="N3381" t="str">
        <f t="shared" si="340"/>
        <v>FOR</v>
      </c>
      <c r="O3381" t="s">
        <v>69</v>
      </c>
      <c r="P3381" s="3" t="s">
        <v>75</v>
      </c>
      <c r="Q3381">
        <v>2015</v>
      </c>
      <c r="R3381" s="2">
        <v>42247</v>
      </c>
      <c r="S3381" s="2">
        <v>42257</v>
      </c>
      <c r="T3381" s="2">
        <v>42255</v>
      </c>
      <c r="U3381" s="2">
        <v>42315</v>
      </c>
      <c r="V3381" t="s">
        <v>71</v>
      </c>
      <c r="W3381" t="str">
        <f>"           104/PA/15"</f>
        <v xml:space="preserve">           104/PA/15</v>
      </c>
      <c r="X3381" s="1">
        <v>3355</v>
      </c>
      <c r="Y3381">
        <v>0</v>
      </c>
      <c r="Z3381"/>
      <c r="AB3381"/>
      <c r="AC3381" s="1">
        <v>2750</v>
      </c>
      <c r="AD3381">
        <v>264</v>
      </c>
      <c r="AE3381" s="1">
        <v>726000</v>
      </c>
      <c r="AF3381">
        <v>0</v>
      </c>
      <c r="AJ3381">
        <v>0</v>
      </c>
      <c r="AK3381">
        <v>0</v>
      </c>
      <c r="AL3381">
        <v>0</v>
      </c>
      <c r="AM3381">
        <v>0</v>
      </c>
      <c r="AN3381">
        <v>0</v>
      </c>
      <c r="AO3381">
        <v>0</v>
      </c>
      <c r="AP3381" s="2">
        <v>42746</v>
      </c>
      <c r="AQ3381" t="s">
        <v>72</v>
      </c>
      <c r="AR3381" t="s">
        <v>72</v>
      </c>
      <c r="AS3381">
        <v>2009</v>
      </c>
      <c r="AT3381" s="4">
        <v>42579</v>
      </c>
      <c r="AU3381" t="s">
        <v>73</v>
      </c>
      <c r="AV3381">
        <v>2009</v>
      </c>
      <c r="AW3381" s="4">
        <v>42579</v>
      </c>
      <c r="BD3381">
        <v>0</v>
      </c>
      <c r="BN3381" t="s">
        <v>74</v>
      </c>
    </row>
    <row r="3382" spans="1:66" hidden="1">
      <c r="A3382">
        <v>101178</v>
      </c>
      <c r="B3382" s="3" t="s">
        <v>377</v>
      </c>
      <c r="C3382" s="1">
        <v>43300101</v>
      </c>
      <c r="D3382" t="s">
        <v>67</v>
      </c>
      <c r="H3382" t="str">
        <f t="shared" si="342"/>
        <v>01985020518</v>
      </c>
      <c r="I3382" t="str">
        <f t="shared" si="342"/>
        <v>01985020518</v>
      </c>
      <c r="K3382" t="str">
        <f>""</f>
        <v/>
      </c>
      <c r="M3382" t="s">
        <v>68</v>
      </c>
      <c r="N3382" t="str">
        <f t="shared" si="340"/>
        <v>FOR</v>
      </c>
      <c r="O3382" t="s">
        <v>69</v>
      </c>
      <c r="P3382" s="3" t="s">
        <v>75</v>
      </c>
      <c r="Q3382">
        <v>2015</v>
      </c>
      <c r="R3382" s="2">
        <v>42271</v>
      </c>
      <c r="S3382" s="2">
        <v>42291</v>
      </c>
      <c r="T3382" s="2">
        <v>42291</v>
      </c>
      <c r="U3382" s="2">
        <v>42351</v>
      </c>
      <c r="V3382" t="s">
        <v>71</v>
      </c>
      <c r="W3382" t="str">
        <f>"           124/PA/15"</f>
        <v xml:space="preserve">           124/PA/15</v>
      </c>
      <c r="X3382" s="1">
        <v>3337.92</v>
      </c>
      <c r="Y3382">
        <v>0</v>
      </c>
      <c r="Z3382"/>
      <c r="AB3382"/>
      <c r="AC3382" s="1">
        <v>2736</v>
      </c>
      <c r="AD3382">
        <v>270</v>
      </c>
      <c r="AE3382" s="1">
        <v>738720</v>
      </c>
      <c r="AF3382">
        <v>0</v>
      </c>
      <c r="AJ3382">
        <v>0</v>
      </c>
      <c r="AK3382">
        <v>0</v>
      </c>
      <c r="AL3382">
        <v>0</v>
      </c>
      <c r="AM3382">
        <v>0</v>
      </c>
      <c r="AN3382">
        <v>0</v>
      </c>
      <c r="AO3382">
        <v>0</v>
      </c>
      <c r="AP3382" s="2">
        <v>42746</v>
      </c>
      <c r="AQ3382" t="s">
        <v>72</v>
      </c>
      <c r="AR3382" t="s">
        <v>72</v>
      </c>
      <c r="AS3382">
        <v>2376</v>
      </c>
      <c r="AT3382" s="4">
        <v>42621</v>
      </c>
      <c r="AU3382" t="s">
        <v>73</v>
      </c>
      <c r="AV3382">
        <v>2376</v>
      </c>
      <c r="AW3382" s="4">
        <v>42621</v>
      </c>
      <c r="BD3382">
        <v>0</v>
      </c>
      <c r="BN3382" t="s">
        <v>74</v>
      </c>
    </row>
    <row r="3383" spans="1:66" hidden="1">
      <c r="A3383">
        <v>101178</v>
      </c>
      <c r="B3383" s="3" t="s">
        <v>377</v>
      </c>
      <c r="C3383" s="1">
        <v>43300101</v>
      </c>
      <c r="D3383" t="s">
        <v>67</v>
      </c>
      <c r="H3383" t="str">
        <f t="shared" si="342"/>
        <v>01985020518</v>
      </c>
      <c r="I3383" t="str">
        <f t="shared" si="342"/>
        <v>01985020518</v>
      </c>
      <c r="K3383" t="str">
        <f>""</f>
        <v/>
      </c>
      <c r="M3383" t="s">
        <v>68</v>
      </c>
      <c r="N3383" t="str">
        <f t="shared" si="340"/>
        <v>FOR</v>
      </c>
      <c r="O3383" t="s">
        <v>69</v>
      </c>
      <c r="P3383" s="3" t="s">
        <v>75</v>
      </c>
      <c r="Q3383">
        <v>2015</v>
      </c>
      <c r="R3383" s="2">
        <v>42275</v>
      </c>
      <c r="S3383" s="2">
        <v>42290</v>
      </c>
      <c r="T3383" s="2">
        <v>42290</v>
      </c>
      <c r="U3383" s="2">
        <v>42350</v>
      </c>
      <c r="V3383" t="s">
        <v>71</v>
      </c>
      <c r="W3383" t="str">
        <f>"           131/PA/15"</f>
        <v xml:space="preserve">           131/PA/15</v>
      </c>
      <c r="X3383" s="1">
        <v>5283.09</v>
      </c>
      <c r="Y3383">
        <v>0</v>
      </c>
      <c r="Z3383"/>
      <c r="AB3383"/>
      <c r="AC3383" s="1">
        <v>4330.3999999999996</v>
      </c>
      <c r="AD3383">
        <v>271</v>
      </c>
      <c r="AE3383" s="1">
        <v>1173538.3999999999</v>
      </c>
      <c r="AF3383">
        <v>0</v>
      </c>
      <c r="AJ3383">
        <v>0</v>
      </c>
      <c r="AK3383">
        <v>0</v>
      </c>
      <c r="AL3383">
        <v>0</v>
      </c>
      <c r="AM3383">
        <v>0</v>
      </c>
      <c r="AN3383">
        <v>0</v>
      </c>
      <c r="AO3383">
        <v>0</v>
      </c>
      <c r="AP3383" s="2">
        <v>42746</v>
      </c>
      <c r="AQ3383" t="s">
        <v>72</v>
      </c>
      <c r="AR3383" t="s">
        <v>72</v>
      </c>
      <c r="AS3383">
        <v>2376</v>
      </c>
      <c r="AT3383" s="4">
        <v>42621</v>
      </c>
      <c r="AU3383" t="s">
        <v>73</v>
      </c>
      <c r="AV3383">
        <v>2376</v>
      </c>
      <c r="AW3383" s="4">
        <v>42621</v>
      </c>
      <c r="BD3383">
        <v>0</v>
      </c>
      <c r="BN3383" t="s">
        <v>74</v>
      </c>
    </row>
    <row r="3384" spans="1:66" hidden="1">
      <c r="A3384">
        <v>101178</v>
      </c>
      <c r="B3384" s="3" t="s">
        <v>377</v>
      </c>
      <c r="C3384" s="1">
        <v>43300101</v>
      </c>
      <c r="D3384" t="s">
        <v>67</v>
      </c>
      <c r="H3384" t="str">
        <f t="shared" si="342"/>
        <v>01985020518</v>
      </c>
      <c r="I3384" t="str">
        <f t="shared" si="342"/>
        <v>01985020518</v>
      </c>
      <c r="K3384" t="str">
        <f>""</f>
        <v/>
      </c>
      <c r="M3384" t="s">
        <v>68</v>
      </c>
      <c r="N3384" t="str">
        <f t="shared" si="340"/>
        <v>FOR</v>
      </c>
      <c r="O3384" t="s">
        <v>69</v>
      </c>
      <c r="P3384" s="3" t="s">
        <v>75</v>
      </c>
      <c r="Q3384">
        <v>2015</v>
      </c>
      <c r="R3384" s="2">
        <v>42338</v>
      </c>
      <c r="S3384" s="2">
        <v>42341</v>
      </c>
      <c r="T3384" s="2">
        <v>42339</v>
      </c>
      <c r="U3384" s="2">
        <v>42399</v>
      </c>
      <c r="V3384" t="s">
        <v>71</v>
      </c>
      <c r="W3384" t="str">
        <f>"           184/PA/15"</f>
        <v xml:space="preserve">           184/PA/15</v>
      </c>
      <c r="X3384" s="1">
        <v>3189.99</v>
      </c>
      <c r="Y3384">
        <v>0</v>
      </c>
      <c r="Z3384"/>
      <c r="AB3384"/>
      <c r="AC3384" s="1">
        <v>2614.75</v>
      </c>
      <c r="AD3384">
        <v>222</v>
      </c>
      <c r="AE3384" s="1">
        <v>580474.5</v>
      </c>
      <c r="AF3384">
        <v>0</v>
      </c>
      <c r="AJ3384">
        <v>0</v>
      </c>
      <c r="AK3384">
        <v>0</v>
      </c>
      <c r="AL3384">
        <v>0</v>
      </c>
      <c r="AM3384">
        <v>0</v>
      </c>
      <c r="AN3384">
        <v>0</v>
      </c>
      <c r="AO3384">
        <v>0</v>
      </c>
      <c r="AP3384" s="2">
        <v>42746</v>
      </c>
      <c r="AQ3384" t="s">
        <v>72</v>
      </c>
      <c r="AR3384" t="s">
        <v>72</v>
      </c>
      <c r="AS3384">
        <v>2376</v>
      </c>
      <c r="AT3384" s="4">
        <v>42621</v>
      </c>
      <c r="AU3384" t="s">
        <v>73</v>
      </c>
      <c r="AV3384">
        <v>2376</v>
      </c>
      <c r="AW3384" s="4">
        <v>42621</v>
      </c>
      <c r="BD3384">
        <v>0</v>
      </c>
      <c r="BN3384" t="s">
        <v>74</v>
      </c>
    </row>
    <row r="3385" spans="1:66">
      <c r="A3385">
        <v>101178</v>
      </c>
      <c r="B3385" s="3" t="s">
        <v>377</v>
      </c>
      <c r="C3385" s="1">
        <v>43300101</v>
      </c>
      <c r="D3385" t="s">
        <v>67</v>
      </c>
      <c r="H3385" t="str">
        <f t="shared" si="342"/>
        <v>01985020518</v>
      </c>
      <c r="I3385" t="str">
        <f t="shared" si="342"/>
        <v>01985020518</v>
      </c>
      <c r="K3385" t="str">
        <f>""</f>
        <v/>
      </c>
      <c r="M3385" t="s">
        <v>68</v>
      </c>
      <c r="N3385" t="str">
        <f t="shared" si="340"/>
        <v>FOR</v>
      </c>
      <c r="O3385" t="s">
        <v>69</v>
      </c>
      <c r="P3385" s="3" t="s">
        <v>75</v>
      </c>
      <c r="Q3385">
        <v>2016</v>
      </c>
      <c r="R3385" s="2">
        <v>42399</v>
      </c>
      <c r="S3385" s="2">
        <v>42415</v>
      </c>
      <c r="T3385" s="2">
        <v>42409</v>
      </c>
      <c r="U3385" s="2">
        <v>42469</v>
      </c>
      <c r="V3385" t="s">
        <v>71</v>
      </c>
      <c r="W3385" t="str">
        <f>"             7/PA/16"</f>
        <v xml:space="preserve">             7/PA/16</v>
      </c>
      <c r="X3385" s="1">
        <v>3355</v>
      </c>
      <c r="Y3385">
        <v>0</v>
      </c>
      <c r="Z3385" s="5">
        <v>2750</v>
      </c>
      <c r="AA3385">
        <v>221</v>
      </c>
      <c r="AB3385" s="5">
        <v>607750</v>
      </c>
      <c r="AC3385" s="1">
        <v>2750</v>
      </c>
      <c r="AD3385">
        <v>221</v>
      </c>
      <c r="AE3385" s="1">
        <v>607750</v>
      </c>
      <c r="AF3385">
        <v>0</v>
      </c>
      <c r="AJ3385">
        <v>0</v>
      </c>
      <c r="AK3385">
        <v>0</v>
      </c>
      <c r="AL3385">
        <v>0</v>
      </c>
      <c r="AM3385" s="1">
        <v>3355</v>
      </c>
      <c r="AN3385" s="1">
        <v>3355</v>
      </c>
      <c r="AO3385" s="1">
        <v>3355</v>
      </c>
      <c r="AP3385" s="2">
        <v>42746</v>
      </c>
      <c r="AQ3385" t="s">
        <v>72</v>
      </c>
      <c r="AR3385" t="s">
        <v>72</v>
      </c>
      <c r="AS3385">
        <v>3154</v>
      </c>
      <c r="AT3385" s="4">
        <v>42690</v>
      </c>
      <c r="AU3385" t="s">
        <v>73</v>
      </c>
      <c r="AV3385">
        <v>3154</v>
      </c>
      <c r="AW3385" s="4">
        <v>42690</v>
      </c>
      <c r="BD3385">
        <v>0</v>
      </c>
      <c r="BN3385" t="s">
        <v>74</v>
      </c>
    </row>
    <row r="3386" spans="1:66" hidden="1">
      <c r="A3386">
        <v>101189</v>
      </c>
      <c r="B3386" s="3" t="s">
        <v>378</v>
      </c>
      <c r="C3386" s="1">
        <v>43300101</v>
      </c>
      <c r="D3386" t="s">
        <v>67</v>
      </c>
      <c r="H3386" t="str">
        <f t="shared" ref="H3386:I3392" si="343">"00805390283"</f>
        <v>00805390283</v>
      </c>
      <c r="I3386" t="str">
        <f t="shared" si="343"/>
        <v>00805390283</v>
      </c>
      <c r="K3386" t="str">
        <f>""</f>
        <v/>
      </c>
      <c r="M3386" t="s">
        <v>68</v>
      </c>
      <c r="N3386" t="str">
        <f t="shared" ref="N3386:N3392" si="344">"FOR"</f>
        <v>FOR</v>
      </c>
      <c r="O3386" t="s">
        <v>69</v>
      </c>
      <c r="P3386" s="3" t="s">
        <v>75</v>
      </c>
      <c r="Q3386">
        <v>2015</v>
      </c>
      <c r="R3386" s="2">
        <v>42307</v>
      </c>
      <c r="S3386" s="2">
        <v>42324</v>
      </c>
      <c r="T3386" s="2">
        <v>42320</v>
      </c>
      <c r="U3386" s="2">
        <v>42380</v>
      </c>
      <c r="V3386" t="s">
        <v>71</v>
      </c>
      <c r="W3386" t="str">
        <f>"              006622"</f>
        <v xml:space="preserve">              006622</v>
      </c>
      <c r="X3386">
        <v>390.4</v>
      </c>
      <c r="Y3386">
        <v>0</v>
      </c>
      <c r="Z3386"/>
      <c r="AB3386"/>
      <c r="AC3386">
        <v>320</v>
      </c>
      <c r="AD3386">
        <v>196</v>
      </c>
      <c r="AE3386" s="1">
        <v>62720</v>
      </c>
      <c r="AF3386">
        <v>0</v>
      </c>
      <c r="AJ3386">
        <v>0</v>
      </c>
      <c r="AK3386">
        <v>0</v>
      </c>
      <c r="AL3386">
        <v>0</v>
      </c>
      <c r="AM3386">
        <v>0</v>
      </c>
      <c r="AN3386">
        <v>0</v>
      </c>
      <c r="AO3386">
        <v>0</v>
      </c>
      <c r="AP3386" s="2">
        <v>42746</v>
      </c>
      <c r="AQ3386" t="s">
        <v>72</v>
      </c>
      <c r="AR3386" t="s">
        <v>72</v>
      </c>
      <c r="AS3386">
        <v>1904</v>
      </c>
      <c r="AT3386" s="4">
        <v>42576</v>
      </c>
      <c r="AU3386" t="s">
        <v>73</v>
      </c>
      <c r="AV3386">
        <v>1904</v>
      </c>
      <c r="AW3386" s="4">
        <v>42576</v>
      </c>
      <c r="BD3386">
        <v>0</v>
      </c>
      <c r="BN3386" t="s">
        <v>74</v>
      </c>
    </row>
    <row r="3387" spans="1:66" hidden="1">
      <c r="A3387">
        <v>101189</v>
      </c>
      <c r="B3387" s="3" t="s">
        <v>378</v>
      </c>
      <c r="C3387" s="1">
        <v>43300101</v>
      </c>
      <c r="D3387" t="s">
        <v>67</v>
      </c>
      <c r="H3387" t="str">
        <f t="shared" si="343"/>
        <v>00805390283</v>
      </c>
      <c r="I3387" t="str">
        <f t="shared" si="343"/>
        <v>00805390283</v>
      </c>
      <c r="K3387" t="str">
        <f>""</f>
        <v/>
      </c>
      <c r="M3387" t="s">
        <v>68</v>
      </c>
      <c r="N3387" t="str">
        <f t="shared" si="344"/>
        <v>FOR</v>
      </c>
      <c r="O3387" t="s">
        <v>69</v>
      </c>
      <c r="P3387" s="3" t="s">
        <v>75</v>
      </c>
      <c r="Q3387">
        <v>2016</v>
      </c>
      <c r="R3387" s="2">
        <v>42415</v>
      </c>
      <c r="S3387" s="2">
        <v>42419</v>
      </c>
      <c r="T3387" s="2">
        <v>42418</v>
      </c>
      <c r="U3387" s="2">
        <v>42478</v>
      </c>
      <c r="V3387" t="s">
        <v>71</v>
      </c>
      <c r="W3387" t="str">
        <f>"              000833"</f>
        <v xml:space="preserve">              000833</v>
      </c>
      <c r="X3387" s="1">
        <v>2379</v>
      </c>
      <c r="Y3387">
        <v>0</v>
      </c>
      <c r="Z3387"/>
      <c r="AB3387"/>
      <c r="AC3387" s="1">
        <v>1950</v>
      </c>
      <c r="AD3387">
        <v>98</v>
      </c>
      <c r="AE3387" s="1">
        <v>191100</v>
      </c>
      <c r="AF3387">
        <v>0</v>
      </c>
      <c r="AJ3387">
        <v>0</v>
      </c>
      <c r="AK3387">
        <v>0</v>
      </c>
      <c r="AL3387">
        <v>0</v>
      </c>
      <c r="AM3387" s="1">
        <v>2379</v>
      </c>
      <c r="AN3387" s="1">
        <v>2379</v>
      </c>
      <c r="AO3387" s="1">
        <v>2379</v>
      </c>
      <c r="AP3387" s="2">
        <v>42746</v>
      </c>
      <c r="AQ3387" t="s">
        <v>72</v>
      </c>
      <c r="AR3387" t="s">
        <v>72</v>
      </c>
      <c r="AS3387">
        <v>1904</v>
      </c>
      <c r="AT3387" s="4">
        <v>42576</v>
      </c>
      <c r="AU3387" t="s">
        <v>73</v>
      </c>
      <c r="AV3387">
        <v>1904</v>
      </c>
      <c r="AW3387" s="4">
        <v>42576</v>
      </c>
      <c r="BD3387">
        <v>0</v>
      </c>
      <c r="BN3387" t="s">
        <v>74</v>
      </c>
    </row>
    <row r="3388" spans="1:66" hidden="1">
      <c r="A3388">
        <v>101189</v>
      </c>
      <c r="B3388" s="3" t="s">
        <v>378</v>
      </c>
      <c r="C3388" s="1">
        <v>43300101</v>
      </c>
      <c r="D3388" t="s">
        <v>67</v>
      </c>
      <c r="H3388" t="str">
        <f t="shared" si="343"/>
        <v>00805390283</v>
      </c>
      <c r="I3388" t="str">
        <f t="shared" si="343"/>
        <v>00805390283</v>
      </c>
      <c r="K3388" t="str">
        <f>""</f>
        <v/>
      </c>
      <c r="M3388" t="s">
        <v>68</v>
      </c>
      <c r="N3388" t="str">
        <f t="shared" si="344"/>
        <v>FOR</v>
      </c>
      <c r="O3388" t="s">
        <v>69</v>
      </c>
      <c r="P3388" s="3" t="s">
        <v>75</v>
      </c>
      <c r="Q3388">
        <v>2016</v>
      </c>
      <c r="R3388" s="2">
        <v>42425</v>
      </c>
      <c r="S3388" s="2">
        <v>42436</v>
      </c>
      <c r="T3388" s="2">
        <v>42432</v>
      </c>
      <c r="U3388" s="2">
        <v>42492</v>
      </c>
      <c r="V3388" t="s">
        <v>71</v>
      </c>
      <c r="W3388" t="str">
        <f>"              001117"</f>
        <v xml:space="preserve">              001117</v>
      </c>
      <c r="X3388">
        <v>963.96</v>
      </c>
      <c r="Y3388">
        <v>0</v>
      </c>
      <c r="Z3388"/>
      <c r="AB3388"/>
      <c r="AC3388">
        <v>790.13</v>
      </c>
      <c r="AD3388">
        <v>84</v>
      </c>
      <c r="AE3388" s="1">
        <v>66370.92</v>
      </c>
      <c r="AF3388">
        <v>0</v>
      </c>
      <c r="AJ3388">
        <v>0</v>
      </c>
      <c r="AK3388">
        <v>0</v>
      </c>
      <c r="AL3388">
        <v>0</v>
      </c>
      <c r="AM3388">
        <v>963.96</v>
      </c>
      <c r="AN3388">
        <v>963.96</v>
      </c>
      <c r="AO3388">
        <v>963.96</v>
      </c>
      <c r="AP3388" s="2">
        <v>42746</v>
      </c>
      <c r="AQ3388" t="s">
        <v>72</v>
      </c>
      <c r="AR3388" t="s">
        <v>72</v>
      </c>
      <c r="AS3388">
        <v>1904</v>
      </c>
      <c r="AT3388" s="4">
        <v>42576</v>
      </c>
      <c r="AU3388" t="s">
        <v>73</v>
      </c>
      <c r="AV3388">
        <v>1904</v>
      </c>
      <c r="AW3388" s="4">
        <v>42576</v>
      </c>
      <c r="BD3388">
        <v>0</v>
      </c>
      <c r="BN3388" t="s">
        <v>74</v>
      </c>
    </row>
    <row r="3389" spans="1:66" hidden="1">
      <c r="A3389">
        <v>101189</v>
      </c>
      <c r="B3389" s="3" t="s">
        <v>378</v>
      </c>
      <c r="C3389" s="1">
        <v>43300101</v>
      </c>
      <c r="D3389" t="s">
        <v>67</v>
      </c>
      <c r="H3389" t="str">
        <f t="shared" si="343"/>
        <v>00805390283</v>
      </c>
      <c r="I3389" t="str">
        <f t="shared" si="343"/>
        <v>00805390283</v>
      </c>
      <c r="K3389" t="str">
        <f>""</f>
        <v/>
      </c>
      <c r="M3389" t="s">
        <v>68</v>
      </c>
      <c r="N3389" t="str">
        <f t="shared" si="344"/>
        <v>FOR</v>
      </c>
      <c r="O3389" t="s">
        <v>69</v>
      </c>
      <c r="P3389" s="3" t="s">
        <v>75</v>
      </c>
      <c r="Q3389">
        <v>2016</v>
      </c>
      <c r="R3389" s="2">
        <v>42510</v>
      </c>
      <c r="S3389" s="2">
        <v>42516</v>
      </c>
      <c r="T3389" s="2">
        <v>42515</v>
      </c>
      <c r="U3389" s="2">
        <v>42575</v>
      </c>
      <c r="V3389" t="s">
        <v>71</v>
      </c>
      <c r="W3389" t="str">
        <f>"              003536"</f>
        <v xml:space="preserve">              003536</v>
      </c>
      <c r="X3389">
        <v>448.96</v>
      </c>
      <c r="Y3389">
        <v>0</v>
      </c>
      <c r="Z3389"/>
      <c r="AB3389"/>
      <c r="AC3389">
        <v>368</v>
      </c>
      <c r="AD3389">
        <v>1</v>
      </c>
      <c r="AE3389">
        <v>368</v>
      </c>
      <c r="AF3389">
        <v>0</v>
      </c>
      <c r="AJ3389">
        <v>0</v>
      </c>
      <c r="AK3389">
        <v>0</v>
      </c>
      <c r="AL3389">
        <v>0</v>
      </c>
      <c r="AM3389">
        <v>448.96</v>
      </c>
      <c r="AN3389">
        <v>448.96</v>
      </c>
      <c r="AO3389">
        <v>448.96</v>
      </c>
      <c r="AP3389" s="2">
        <v>42746</v>
      </c>
      <c r="AQ3389" t="s">
        <v>72</v>
      </c>
      <c r="AR3389" t="s">
        <v>72</v>
      </c>
      <c r="AS3389">
        <v>1904</v>
      </c>
      <c r="AT3389" s="4">
        <v>42576</v>
      </c>
      <c r="AU3389" t="s">
        <v>73</v>
      </c>
      <c r="AV3389">
        <v>1904</v>
      </c>
      <c r="AW3389" s="4">
        <v>42576</v>
      </c>
      <c r="BD3389">
        <v>0</v>
      </c>
      <c r="BN3389" t="s">
        <v>74</v>
      </c>
    </row>
    <row r="3390" spans="1:66">
      <c r="A3390">
        <v>101189</v>
      </c>
      <c r="B3390" s="3" t="s">
        <v>378</v>
      </c>
      <c r="C3390" s="1">
        <v>43300101</v>
      </c>
      <c r="D3390" t="s">
        <v>67</v>
      </c>
      <c r="H3390" t="str">
        <f t="shared" si="343"/>
        <v>00805390283</v>
      </c>
      <c r="I3390" t="str">
        <f t="shared" si="343"/>
        <v>00805390283</v>
      </c>
      <c r="K3390" t="str">
        <f>""</f>
        <v/>
      </c>
      <c r="M3390" t="s">
        <v>68</v>
      </c>
      <c r="N3390" t="str">
        <f t="shared" si="344"/>
        <v>FOR</v>
      </c>
      <c r="O3390" t="s">
        <v>69</v>
      </c>
      <c r="P3390" s="3" t="s">
        <v>75</v>
      </c>
      <c r="Q3390">
        <v>2016</v>
      </c>
      <c r="R3390" s="2">
        <v>42544</v>
      </c>
      <c r="S3390" s="2">
        <v>42555</v>
      </c>
      <c r="T3390" s="2">
        <v>42551</v>
      </c>
      <c r="U3390" s="2">
        <v>42611</v>
      </c>
      <c r="V3390" t="s">
        <v>71</v>
      </c>
      <c r="W3390" t="str">
        <f>"              004452"</f>
        <v xml:space="preserve">              004452</v>
      </c>
      <c r="X3390" s="1">
        <v>3376.35</v>
      </c>
      <c r="Y3390">
        <v>0</v>
      </c>
      <c r="Z3390" s="5">
        <v>2767.5</v>
      </c>
      <c r="AA3390">
        <v>81</v>
      </c>
      <c r="AB3390" s="5">
        <v>224167.5</v>
      </c>
      <c r="AC3390" s="1">
        <v>2767.5</v>
      </c>
      <c r="AD3390">
        <v>81</v>
      </c>
      <c r="AE3390" s="1">
        <v>224167.5</v>
      </c>
      <c r="AF3390">
        <v>0</v>
      </c>
      <c r="AJ3390">
        <v>0</v>
      </c>
      <c r="AK3390">
        <v>0</v>
      </c>
      <c r="AL3390">
        <v>0</v>
      </c>
      <c r="AM3390" s="1">
        <v>3376.35</v>
      </c>
      <c r="AN3390" s="1">
        <v>3376.35</v>
      </c>
      <c r="AO3390" s="1">
        <v>3376.35</v>
      </c>
      <c r="AP3390" s="2">
        <v>42746</v>
      </c>
      <c r="AQ3390" t="s">
        <v>72</v>
      </c>
      <c r="AR3390" t="s">
        <v>72</v>
      </c>
      <c r="AS3390">
        <v>3165</v>
      </c>
      <c r="AT3390" s="4">
        <v>42692</v>
      </c>
      <c r="AU3390" t="s">
        <v>73</v>
      </c>
      <c r="AV3390">
        <v>3165</v>
      </c>
      <c r="AW3390" s="4">
        <v>42692</v>
      </c>
      <c r="BD3390">
        <v>0</v>
      </c>
      <c r="BN3390" t="s">
        <v>74</v>
      </c>
    </row>
    <row r="3391" spans="1:66">
      <c r="A3391">
        <v>101189</v>
      </c>
      <c r="B3391" s="3" t="s">
        <v>378</v>
      </c>
      <c r="C3391" s="1">
        <v>43300101</v>
      </c>
      <c r="D3391" t="s">
        <v>67</v>
      </c>
      <c r="H3391" t="str">
        <f t="shared" si="343"/>
        <v>00805390283</v>
      </c>
      <c r="I3391" t="str">
        <f t="shared" si="343"/>
        <v>00805390283</v>
      </c>
      <c r="K3391" t="str">
        <f>""</f>
        <v/>
      </c>
      <c r="M3391" t="s">
        <v>68</v>
      </c>
      <c r="N3391" t="str">
        <f t="shared" si="344"/>
        <v>FOR</v>
      </c>
      <c r="O3391" t="s">
        <v>69</v>
      </c>
      <c r="P3391" s="3" t="s">
        <v>75</v>
      </c>
      <c r="Q3391">
        <v>2016</v>
      </c>
      <c r="R3391" s="2">
        <v>42566</v>
      </c>
      <c r="S3391" s="2">
        <v>42577</v>
      </c>
      <c r="T3391" s="2">
        <v>42573</v>
      </c>
      <c r="U3391" s="2">
        <v>42633</v>
      </c>
      <c r="V3391" t="s">
        <v>71</v>
      </c>
      <c r="W3391" t="str">
        <f>"              005127"</f>
        <v xml:space="preserve">              005127</v>
      </c>
      <c r="X3391" s="1">
        <v>2161.84</v>
      </c>
      <c r="Y3391">
        <v>0</v>
      </c>
      <c r="Z3391" s="5">
        <v>1772</v>
      </c>
      <c r="AA3391">
        <v>59</v>
      </c>
      <c r="AB3391" s="5">
        <v>104548</v>
      </c>
      <c r="AC3391" s="1">
        <v>1772</v>
      </c>
      <c r="AD3391">
        <v>59</v>
      </c>
      <c r="AE3391" s="1">
        <v>104548</v>
      </c>
      <c r="AF3391">
        <v>0</v>
      </c>
      <c r="AJ3391">
        <v>0</v>
      </c>
      <c r="AK3391">
        <v>0</v>
      </c>
      <c r="AL3391">
        <v>0</v>
      </c>
      <c r="AM3391" s="1">
        <v>2161.84</v>
      </c>
      <c r="AN3391" s="1">
        <v>2161.84</v>
      </c>
      <c r="AO3391" s="1">
        <v>2161.84</v>
      </c>
      <c r="AP3391" s="2">
        <v>42746</v>
      </c>
      <c r="AQ3391" t="s">
        <v>72</v>
      </c>
      <c r="AR3391" t="s">
        <v>72</v>
      </c>
      <c r="AS3391">
        <v>3165</v>
      </c>
      <c r="AT3391" s="4">
        <v>42692</v>
      </c>
      <c r="AU3391" t="s">
        <v>73</v>
      </c>
      <c r="AV3391">
        <v>3165</v>
      </c>
      <c r="AW3391" s="4">
        <v>42692</v>
      </c>
      <c r="BD3391">
        <v>0</v>
      </c>
      <c r="BN3391" t="s">
        <v>74</v>
      </c>
    </row>
    <row r="3392" spans="1:66">
      <c r="A3392">
        <v>101189</v>
      </c>
      <c r="B3392" s="3" t="s">
        <v>378</v>
      </c>
      <c r="C3392" s="1">
        <v>43300101</v>
      </c>
      <c r="D3392" t="s">
        <v>67</v>
      </c>
      <c r="H3392" t="str">
        <f t="shared" si="343"/>
        <v>00805390283</v>
      </c>
      <c r="I3392" t="str">
        <f t="shared" si="343"/>
        <v>00805390283</v>
      </c>
      <c r="K3392" t="str">
        <f>""</f>
        <v/>
      </c>
      <c r="M3392" t="s">
        <v>68</v>
      </c>
      <c r="N3392" t="str">
        <f t="shared" si="344"/>
        <v>FOR</v>
      </c>
      <c r="O3392" t="s">
        <v>69</v>
      </c>
      <c r="P3392" s="3" t="s">
        <v>75</v>
      </c>
      <c r="Q3392">
        <v>2016</v>
      </c>
      <c r="R3392" s="2">
        <v>42572</v>
      </c>
      <c r="S3392" s="2">
        <v>42580</v>
      </c>
      <c r="T3392" s="2">
        <v>42579</v>
      </c>
      <c r="U3392" s="2">
        <v>42639</v>
      </c>
      <c r="V3392" t="s">
        <v>71</v>
      </c>
      <c r="W3392" t="str">
        <f>"              005336"</f>
        <v xml:space="preserve">              005336</v>
      </c>
      <c r="X3392" s="1">
        <v>1512.8</v>
      </c>
      <c r="Y3392">
        <v>0</v>
      </c>
      <c r="Z3392" s="5">
        <v>1240</v>
      </c>
      <c r="AA3392">
        <v>53</v>
      </c>
      <c r="AB3392" s="5">
        <v>65720</v>
      </c>
      <c r="AC3392" s="1">
        <v>1240</v>
      </c>
      <c r="AD3392">
        <v>53</v>
      </c>
      <c r="AE3392" s="1">
        <v>65720</v>
      </c>
      <c r="AF3392">
        <v>0</v>
      </c>
      <c r="AJ3392">
        <v>0</v>
      </c>
      <c r="AK3392">
        <v>0</v>
      </c>
      <c r="AL3392">
        <v>0</v>
      </c>
      <c r="AM3392" s="1">
        <v>1512.8</v>
      </c>
      <c r="AN3392" s="1">
        <v>1512.8</v>
      </c>
      <c r="AO3392" s="1">
        <v>1512.8</v>
      </c>
      <c r="AP3392" s="2">
        <v>42746</v>
      </c>
      <c r="AQ3392" t="s">
        <v>72</v>
      </c>
      <c r="AR3392" t="s">
        <v>72</v>
      </c>
      <c r="AS3392">
        <v>3165</v>
      </c>
      <c r="AT3392" s="4">
        <v>42692</v>
      </c>
      <c r="AU3392" t="s">
        <v>73</v>
      </c>
      <c r="AV3392">
        <v>3165</v>
      </c>
      <c r="AW3392" s="4">
        <v>42692</v>
      </c>
      <c r="BD3392">
        <v>0</v>
      </c>
      <c r="BN3392" t="s">
        <v>74</v>
      </c>
    </row>
    <row r="3393" spans="1:66" hidden="1">
      <c r="A3393">
        <v>101201</v>
      </c>
      <c r="B3393" s="3" t="s">
        <v>379</v>
      </c>
      <c r="C3393" s="1">
        <v>43500101</v>
      </c>
      <c r="D3393" t="s">
        <v>113</v>
      </c>
      <c r="H3393" t="str">
        <f>"BVNSNO73S56A783V"</f>
        <v>BVNSNO73S56A783V</v>
      </c>
      <c r="I3393" t="str">
        <f>"01473010625"</f>
        <v>01473010625</v>
      </c>
      <c r="K3393" t="str">
        <f>""</f>
        <v/>
      </c>
      <c r="M3393" t="s">
        <v>68</v>
      </c>
      <c r="N3393" t="str">
        <f>"ALTPRO"</f>
        <v>ALTPRO</v>
      </c>
      <c r="O3393" t="s">
        <v>132</v>
      </c>
      <c r="P3393" s="3" t="s">
        <v>75</v>
      </c>
      <c r="Q3393">
        <v>2015</v>
      </c>
      <c r="R3393" s="2">
        <v>42352</v>
      </c>
      <c r="S3393" s="2">
        <v>42353</v>
      </c>
      <c r="T3393" s="2">
        <v>42353</v>
      </c>
      <c r="U3393" s="2">
        <v>42413</v>
      </c>
      <c r="V3393" t="s">
        <v>71</v>
      </c>
      <c r="W3393" t="str">
        <f>"         FATTPA 8_15"</f>
        <v xml:space="preserve">         FATTPA 8_15</v>
      </c>
      <c r="X3393" s="1">
        <v>2315.63</v>
      </c>
      <c r="Y3393">
        <v>-379.61</v>
      </c>
      <c r="Z3393"/>
      <c r="AB3393"/>
      <c r="AC3393" s="1">
        <v>1936.02</v>
      </c>
      <c r="AD3393">
        <v>-33</v>
      </c>
      <c r="AE3393" s="1">
        <v>-63888.66</v>
      </c>
      <c r="AF3393">
        <v>0</v>
      </c>
      <c r="AJ3393">
        <v>0</v>
      </c>
      <c r="AK3393">
        <v>0</v>
      </c>
      <c r="AL3393">
        <v>0</v>
      </c>
      <c r="AM3393">
        <v>0</v>
      </c>
      <c r="AN3393">
        <v>0</v>
      </c>
      <c r="AO3393">
        <v>0</v>
      </c>
      <c r="AP3393" s="2">
        <v>42746</v>
      </c>
      <c r="AQ3393" t="s">
        <v>72</v>
      </c>
      <c r="AR3393" t="s">
        <v>72</v>
      </c>
      <c r="AS3393">
        <v>6</v>
      </c>
      <c r="AT3393" s="4">
        <v>42380</v>
      </c>
      <c r="AV3393">
        <v>6</v>
      </c>
      <c r="AW3393" s="4">
        <v>42380</v>
      </c>
      <c r="BD3393">
        <v>0</v>
      </c>
      <c r="BN3393" t="s">
        <v>74</v>
      </c>
    </row>
    <row r="3394" spans="1:66" hidden="1">
      <c r="A3394">
        <v>101201</v>
      </c>
      <c r="B3394" s="3" t="s">
        <v>379</v>
      </c>
      <c r="C3394" s="1">
        <v>43500101</v>
      </c>
      <c r="D3394" t="s">
        <v>113</v>
      </c>
      <c r="H3394" t="str">
        <f>"BVNSNO73S56A783V"</f>
        <v>BVNSNO73S56A783V</v>
      </c>
      <c r="I3394" t="str">
        <f>"01473010625"</f>
        <v>01473010625</v>
      </c>
      <c r="K3394" t="str">
        <f>""</f>
        <v/>
      </c>
      <c r="M3394" t="s">
        <v>68</v>
      </c>
      <c r="N3394" t="str">
        <f>"ALTPRO"</f>
        <v>ALTPRO</v>
      </c>
      <c r="O3394" t="s">
        <v>132</v>
      </c>
      <c r="P3394" s="3" t="s">
        <v>75</v>
      </c>
      <c r="Q3394">
        <v>2015</v>
      </c>
      <c r="R3394" s="2">
        <v>42368</v>
      </c>
      <c r="S3394" s="2">
        <v>42368</v>
      </c>
      <c r="T3394" s="2">
        <v>42368</v>
      </c>
      <c r="U3394" s="2">
        <v>42428</v>
      </c>
      <c r="V3394" t="s">
        <v>71</v>
      </c>
      <c r="W3394" t="str">
        <f>"         FATTPA 9_15"</f>
        <v xml:space="preserve">         FATTPA 9_15</v>
      </c>
      <c r="X3394">
        <v>307.44</v>
      </c>
      <c r="Y3394">
        <v>-50.4</v>
      </c>
      <c r="Z3394"/>
      <c r="AB3394"/>
      <c r="AC3394">
        <v>257.04000000000002</v>
      </c>
      <c r="AD3394">
        <v>-20</v>
      </c>
      <c r="AE3394" s="1">
        <v>-5140.8</v>
      </c>
      <c r="AF3394">
        <v>0</v>
      </c>
      <c r="AJ3394">
        <v>0</v>
      </c>
      <c r="AK3394">
        <v>0</v>
      </c>
      <c r="AL3394">
        <v>0</v>
      </c>
      <c r="AM3394">
        <v>0</v>
      </c>
      <c r="AN3394">
        <v>0</v>
      </c>
      <c r="AO3394">
        <v>0</v>
      </c>
      <c r="AP3394" s="2">
        <v>42746</v>
      </c>
      <c r="AQ3394" t="s">
        <v>72</v>
      </c>
      <c r="AR3394" t="s">
        <v>72</v>
      </c>
      <c r="AS3394">
        <v>297</v>
      </c>
      <c r="AT3394" s="4">
        <v>42408</v>
      </c>
      <c r="AV3394">
        <v>297</v>
      </c>
      <c r="AW3394" s="4">
        <v>42408</v>
      </c>
      <c r="BD3394">
        <v>0</v>
      </c>
      <c r="BN3394" t="s">
        <v>74</v>
      </c>
    </row>
    <row r="3395" spans="1:66" hidden="1">
      <c r="A3395">
        <v>101202</v>
      </c>
      <c r="B3395" s="3" t="s">
        <v>380</v>
      </c>
      <c r="C3395" s="1">
        <v>43300101</v>
      </c>
      <c r="D3395" t="s">
        <v>67</v>
      </c>
      <c r="H3395" t="str">
        <f t="shared" ref="H3395:I3403" si="345">"09058160152"</f>
        <v>09058160152</v>
      </c>
      <c r="I3395" t="str">
        <f t="shared" si="345"/>
        <v>09058160152</v>
      </c>
      <c r="K3395" t="str">
        <f>""</f>
        <v/>
      </c>
      <c r="M3395" t="s">
        <v>68</v>
      </c>
      <c r="N3395" t="str">
        <f t="shared" ref="N3395:N3411" si="346">"FOR"</f>
        <v>FOR</v>
      </c>
      <c r="O3395" t="s">
        <v>69</v>
      </c>
      <c r="P3395" s="3" t="s">
        <v>70</v>
      </c>
      <c r="Q3395">
        <v>2015</v>
      </c>
      <c r="R3395" s="2">
        <v>42087</v>
      </c>
      <c r="S3395" s="2">
        <v>42094</v>
      </c>
      <c r="T3395" s="2">
        <v>42094</v>
      </c>
      <c r="U3395" s="2">
        <v>42154</v>
      </c>
      <c r="V3395" t="s">
        <v>71</v>
      </c>
      <c r="W3395" t="str">
        <f>"              101843"</f>
        <v xml:space="preserve">              101843</v>
      </c>
      <c r="X3395" s="1">
        <v>6631.92</v>
      </c>
      <c r="Y3395">
        <v>0</v>
      </c>
      <c r="Z3395"/>
      <c r="AB3395"/>
      <c r="AC3395" s="1">
        <v>5436</v>
      </c>
      <c r="AD3395">
        <v>261</v>
      </c>
      <c r="AE3395" s="1">
        <v>1418796</v>
      </c>
      <c r="AF3395">
        <v>0</v>
      </c>
      <c r="AJ3395">
        <v>0</v>
      </c>
      <c r="AK3395">
        <v>0</v>
      </c>
      <c r="AL3395">
        <v>0</v>
      </c>
      <c r="AM3395">
        <v>0</v>
      </c>
      <c r="AN3395">
        <v>0</v>
      </c>
      <c r="AO3395">
        <v>0</v>
      </c>
      <c r="AP3395" s="2">
        <v>42746</v>
      </c>
      <c r="AQ3395" t="s">
        <v>72</v>
      </c>
      <c r="AR3395" t="s">
        <v>72</v>
      </c>
      <c r="AS3395">
        <v>391</v>
      </c>
      <c r="AT3395" s="4">
        <v>42415</v>
      </c>
      <c r="AU3395" t="s">
        <v>73</v>
      </c>
      <c r="AV3395">
        <v>391</v>
      </c>
      <c r="AW3395" s="4">
        <v>42415</v>
      </c>
      <c r="BD3395">
        <v>0</v>
      </c>
      <c r="BN3395" t="s">
        <v>74</v>
      </c>
    </row>
    <row r="3396" spans="1:66" hidden="1">
      <c r="A3396">
        <v>101202</v>
      </c>
      <c r="B3396" s="3" t="s">
        <v>380</v>
      </c>
      <c r="C3396" s="1">
        <v>43300101</v>
      </c>
      <c r="D3396" t="s">
        <v>67</v>
      </c>
      <c r="H3396" t="str">
        <f t="shared" si="345"/>
        <v>09058160152</v>
      </c>
      <c r="I3396" t="str">
        <f t="shared" si="345"/>
        <v>09058160152</v>
      </c>
      <c r="K3396" t="str">
        <f>""</f>
        <v/>
      </c>
      <c r="M3396" t="s">
        <v>68</v>
      </c>
      <c r="N3396" t="str">
        <f t="shared" si="346"/>
        <v>FOR</v>
      </c>
      <c r="O3396" t="s">
        <v>69</v>
      </c>
      <c r="P3396" s="3" t="s">
        <v>70</v>
      </c>
      <c r="Q3396">
        <v>2015</v>
      </c>
      <c r="R3396" s="2">
        <v>42117</v>
      </c>
      <c r="S3396" s="2">
        <v>42122</v>
      </c>
      <c r="T3396" s="2">
        <v>42122</v>
      </c>
      <c r="U3396" s="2">
        <v>42182</v>
      </c>
      <c r="V3396" t="s">
        <v>71</v>
      </c>
      <c r="W3396" t="str">
        <f>"              102854"</f>
        <v xml:space="preserve">              102854</v>
      </c>
      <c r="X3396" s="1">
        <v>2758.42</v>
      </c>
      <c r="Y3396">
        <v>0</v>
      </c>
      <c r="Z3396"/>
      <c r="AB3396"/>
      <c r="AC3396" s="1">
        <v>2261</v>
      </c>
      <c r="AD3396">
        <v>270</v>
      </c>
      <c r="AE3396" s="1">
        <v>610470</v>
      </c>
      <c r="AF3396">
        <v>0</v>
      </c>
      <c r="AJ3396">
        <v>0</v>
      </c>
      <c r="AK3396">
        <v>0</v>
      </c>
      <c r="AL3396">
        <v>0</v>
      </c>
      <c r="AM3396">
        <v>0</v>
      </c>
      <c r="AN3396">
        <v>0</v>
      </c>
      <c r="AO3396">
        <v>0</v>
      </c>
      <c r="AP3396" s="2">
        <v>42746</v>
      </c>
      <c r="AQ3396" t="s">
        <v>72</v>
      </c>
      <c r="AR3396" t="s">
        <v>72</v>
      </c>
      <c r="AS3396">
        <v>763</v>
      </c>
      <c r="AT3396" s="4">
        <v>42452</v>
      </c>
      <c r="AU3396" t="s">
        <v>73</v>
      </c>
      <c r="AV3396">
        <v>763</v>
      </c>
      <c r="AW3396" s="4">
        <v>42452</v>
      </c>
      <c r="BD3396">
        <v>0</v>
      </c>
      <c r="BN3396" t="s">
        <v>74</v>
      </c>
    </row>
    <row r="3397" spans="1:66" hidden="1">
      <c r="A3397">
        <v>101202</v>
      </c>
      <c r="B3397" s="3" t="s">
        <v>380</v>
      </c>
      <c r="C3397" s="1">
        <v>43300101</v>
      </c>
      <c r="D3397" t="s">
        <v>67</v>
      </c>
      <c r="H3397" t="str">
        <f t="shared" si="345"/>
        <v>09058160152</v>
      </c>
      <c r="I3397" t="str">
        <f t="shared" si="345"/>
        <v>09058160152</v>
      </c>
      <c r="K3397" t="str">
        <f>""</f>
        <v/>
      </c>
      <c r="M3397" t="s">
        <v>68</v>
      </c>
      <c r="N3397" t="str">
        <f t="shared" si="346"/>
        <v>FOR</v>
      </c>
      <c r="O3397" t="s">
        <v>69</v>
      </c>
      <c r="P3397" s="3" t="s">
        <v>75</v>
      </c>
      <c r="Q3397">
        <v>2015</v>
      </c>
      <c r="R3397" s="2">
        <v>42117</v>
      </c>
      <c r="S3397" s="2">
        <v>42177</v>
      </c>
      <c r="T3397" s="2">
        <v>42174</v>
      </c>
      <c r="U3397" s="2">
        <v>42234</v>
      </c>
      <c r="V3397" t="s">
        <v>71</v>
      </c>
      <c r="W3397" t="str">
        <f>"          0000102854"</f>
        <v xml:space="preserve">          0000102854</v>
      </c>
      <c r="X3397" s="1">
        <v>2758.42</v>
      </c>
      <c r="Y3397">
        <v>0</v>
      </c>
      <c r="Z3397"/>
      <c r="AB3397"/>
      <c r="AC3397" s="1">
        <v>2261</v>
      </c>
      <c r="AD3397">
        <v>286</v>
      </c>
      <c r="AE3397" s="1">
        <v>646646</v>
      </c>
      <c r="AF3397">
        <v>0</v>
      </c>
      <c r="AJ3397">
        <v>0</v>
      </c>
      <c r="AK3397">
        <v>0</v>
      </c>
      <c r="AL3397">
        <v>0</v>
      </c>
      <c r="AM3397">
        <v>0</v>
      </c>
      <c r="AN3397">
        <v>0</v>
      </c>
      <c r="AO3397">
        <v>0</v>
      </c>
      <c r="AP3397" s="2">
        <v>42746</v>
      </c>
      <c r="AQ3397" t="s">
        <v>72</v>
      </c>
      <c r="AR3397" t="s">
        <v>72</v>
      </c>
      <c r="AS3397">
        <v>1440</v>
      </c>
      <c r="AT3397" s="4">
        <v>42520</v>
      </c>
      <c r="AU3397" t="s">
        <v>73</v>
      </c>
      <c r="AV3397">
        <v>1440</v>
      </c>
      <c r="AW3397" s="4">
        <v>42520</v>
      </c>
      <c r="BD3397">
        <v>0</v>
      </c>
      <c r="BN3397" t="s">
        <v>74</v>
      </c>
    </row>
    <row r="3398" spans="1:66" hidden="1">
      <c r="A3398">
        <v>101202</v>
      </c>
      <c r="B3398" s="3" t="s">
        <v>380</v>
      </c>
      <c r="C3398" s="1">
        <v>43300101</v>
      </c>
      <c r="D3398" t="s">
        <v>67</v>
      </c>
      <c r="H3398" t="str">
        <f t="shared" si="345"/>
        <v>09058160152</v>
      </c>
      <c r="I3398" t="str">
        <f t="shared" si="345"/>
        <v>09058160152</v>
      </c>
      <c r="K3398" t="str">
        <f>""</f>
        <v/>
      </c>
      <c r="M3398" t="s">
        <v>68</v>
      </c>
      <c r="N3398" t="str">
        <f t="shared" si="346"/>
        <v>FOR</v>
      </c>
      <c r="O3398" t="s">
        <v>69</v>
      </c>
      <c r="P3398" s="3" t="s">
        <v>75</v>
      </c>
      <c r="Q3398">
        <v>2015</v>
      </c>
      <c r="R3398" s="2">
        <v>42185</v>
      </c>
      <c r="S3398" s="2">
        <v>42191</v>
      </c>
      <c r="T3398" s="2">
        <v>42187</v>
      </c>
      <c r="U3398" s="2">
        <v>42247</v>
      </c>
      <c r="V3398" t="s">
        <v>71</v>
      </c>
      <c r="W3398" t="str">
        <f>"          0000104712"</f>
        <v xml:space="preserve">          0000104712</v>
      </c>
      <c r="X3398" s="1">
        <v>1465.22</v>
      </c>
      <c r="Y3398">
        <v>0</v>
      </c>
      <c r="Z3398"/>
      <c r="AB3398"/>
      <c r="AC3398" s="1">
        <v>1201</v>
      </c>
      <c r="AD3398">
        <v>273</v>
      </c>
      <c r="AE3398" s="1">
        <v>327873</v>
      </c>
      <c r="AF3398">
        <v>0</v>
      </c>
      <c r="AJ3398">
        <v>0</v>
      </c>
      <c r="AK3398">
        <v>0</v>
      </c>
      <c r="AL3398">
        <v>0</v>
      </c>
      <c r="AM3398">
        <v>0</v>
      </c>
      <c r="AN3398">
        <v>0</v>
      </c>
      <c r="AO3398">
        <v>0</v>
      </c>
      <c r="AP3398" s="2">
        <v>42746</v>
      </c>
      <c r="AQ3398" t="s">
        <v>72</v>
      </c>
      <c r="AR3398" t="s">
        <v>72</v>
      </c>
      <c r="AS3398">
        <v>1440</v>
      </c>
      <c r="AT3398" s="4">
        <v>42520</v>
      </c>
      <c r="AU3398" t="s">
        <v>73</v>
      </c>
      <c r="AV3398">
        <v>1440</v>
      </c>
      <c r="AW3398" s="4">
        <v>42520</v>
      </c>
      <c r="BD3398">
        <v>0</v>
      </c>
      <c r="BN3398" t="s">
        <v>74</v>
      </c>
    </row>
    <row r="3399" spans="1:66" hidden="1">
      <c r="A3399">
        <v>101202</v>
      </c>
      <c r="B3399" s="3" t="s">
        <v>380</v>
      </c>
      <c r="C3399" s="1">
        <v>43300101</v>
      </c>
      <c r="D3399" t="s">
        <v>67</v>
      </c>
      <c r="H3399" t="str">
        <f t="shared" si="345"/>
        <v>09058160152</v>
      </c>
      <c r="I3399" t="str">
        <f t="shared" si="345"/>
        <v>09058160152</v>
      </c>
      <c r="K3399" t="str">
        <f>""</f>
        <v/>
      </c>
      <c r="M3399" t="s">
        <v>68</v>
      </c>
      <c r="N3399" t="str">
        <f t="shared" si="346"/>
        <v>FOR</v>
      </c>
      <c r="O3399" t="s">
        <v>69</v>
      </c>
      <c r="P3399" s="3" t="s">
        <v>75</v>
      </c>
      <c r="Q3399">
        <v>2015</v>
      </c>
      <c r="R3399" s="2">
        <v>42195</v>
      </c>
      <c r="S3399" s="2">
        <v>42215</v>
      </c>
      <c r="T3399" s="2">
        <v>42212</v>
      </c>
      <c r="U3399" s="2">
        <v>42272</v>
      </c>
      <c r="V3399" t="s">
        <v>71</v>
      </c>
      <c r="W3399" t="str">
        <f>"          0000104964"</f>
        <v xml:space="preserve">          0000104964</v>
      </c>
      <c r="X3399" s="1">
        <v>3295.22</v>
      </c>
      <c r="Y3399">
        <v>0</v>
      </c>
      <c r="Z3399"/>
      <c r="AB3399"/>
      <c r="AC3399" s="1">
        <v>2701</v>
      </c>
      <c r="AD3399">
        <v>294</v>
      </c>
      <c r="AE3399" s="1">
        <v>794094</v>
      </c>
      <c r="AF3399">
        <v>0</v>
      </c>
      <c r="AJ3399">
        <v>0</v>
      </c>
      <c r="AK3399">
        <v>0</v>
      </c>
      <c r="AL3399">
        <v>0</v>
      </c>
      <c r="AM3399">
        <v>0</v>
      </c>
      <c r="AN3399">
        <v>0</v>
      </c>
      <c r="AO3399">
        <v>0</v>
      </c>
      <c r="AP3399" s="2">
        <v>42746</v>
      </c>
      <c r="AQ3399" t="s">
        <v>72</v>
      </c>
      <c r="AR3399" t="s">
        <v>72</v>
      </c>
      <c r="AS3399">
        <v>1837</v>
      </c>
      <c r="AT3399" s="4">
        <v>42566</v>
      </c>
      <c r="AU3399" t="s">
        <v>73</v>
      </c>
      <c r="AV3399">
        <v>1837</v>
      </c>
      <c r="AW3399" s="4">
        <v>42566</v>
      </c>
      <c r="BD3399">
        <v>0</v>
      </c>
      <c r="BN3399" t="s">
        <v>74</v>
      </c>
    </row>
    <row r="3400" spans="1:66" hidden="1">
      <c r="A3400">
        <v>101202</v>
      </c>
      <c r="B3400" s="3" t="s">
        <v>380</v>
      </c>
      <c r="C3400" s="1">
        <v>43300101</v>
      </c>
      <c r="D3400" t="s">
        <v>67</v>
      </c>
      <c r="H3400" t="str">
        <f t="shared" si="345"/>
        <v>09058160152</v>
      </c>
      <c r="I3400" t="str">
        <f t="shared" si="345"/>
        <v>09058160152</v>
      </c>
      <c r="K3400" t="str">
        <f>""</f>
        <v/>
      </c>
      <c r="M3400" t="s">
        <v>68</v>
      </c>
      <c r="N3400" t="str">
        <f t="shared" si="346"/>
        <v>FOR</v>
      </c>
      <c r="O3400" t="s">
        <v>69</v>
      </c>
      <c r="P3400" s="3" t="s">
        <v>75</v>
      </c>
      <c r="Q3400">
        <v>2015</v>
      </c>
      <c r="R3400" s="2">
        <v>42314</v>
      </c>
      <c r="S3400" s="2">
        <v>42322</v>
      </c>
      <c r="T3400" s="2">
        <v>42322</v>
      </c>
      <c r="U3400" s="2">
        <v>42382</v>
      </c>
      <c r="V3400" t="s">
        <v>71</v>
      </c>
      <c r="W3400" t="str">
        <f>"          0000108039"</f>
        <v xml:space="preserve">          0000108039</v>
      </c>
      <c r="X3400" s="1">
        <v>4417.62</v>
      </c>
      <c r="Y3400">
        <v>0</v>
      </c>
      <c r="Z3400"/>
      <c r="AB3400"/>
      <c r="AC3400" s="1">
        <v>3621</v>
      </c>
      <c r="AD3400">
        <v>238</v>
      </c>
      <c r="AE3400" s="1">
        <v>861798</v>
      </c>
      <c r="AF3400">
        <v>0</v>
      </c>
      <c r="AJ3400">
        <v>0</v>
      </c>
      <c r="AK3400">
        <v>0</v>
      </c>
      <c r="AL3400">
        <v>0</v>
      </c>
      <c r="AM3400">
        <v>0</v>
      </c>
      <c r="AN3400">
        <v>0</v>
      </c>
      <c r="AO3400">
        <v>0</v>
      </c>
      <c r="AP3400" s="2">
        <v>42746</v>
      </c>
      <c r="AQ3400" t="s">
        <v>72</v>
      </c>
      <c r="AR3400" t="s">
        <v>72</v>
      </c>
      <c r="AS3400">
        <v>2323</v>
      </c>
      <c r="AT3400" s="4">
        <v>42620</v>
      </c>
      <c r="AU3400" t="s">
        <v>73</v>
      </c>
      <c r="AV3400">
        <v>2323</v>
      </c>
      <c r="AW3400" s="4">
        <v>42620</v>
      </c>
      <c r="BD3400">
        <v>0</v>
      </c>
      <c r="BN3400" t="s">
        <v>74</v>
      </c>
    </row>
    <row r="3401" spans="1:66">
      <c r="A3401">
        <v>101202</v>
      </c>
      <c r="B3401" s="3" t="s">
        <v>380</v>
      </c>
      <c r="C3401" s="1">
        <v>43300101</v>
      </c>
      <c r="D3401" t="s">
        <v>67</v>
      </c>
      <c r="H3401" t="str">
        <f t="shared" si="345"/>
        <v>09058160152</v>
      </c>
      <c r="I3401" t="str">
        <f t="shared" si="345"/>
        <v>09058160152</v>
      </c>
      <c r="K3401" t="str">
        <f>""</f>
        <v/>
      </c>
      <c r="M3401" t="s">
        <v>68</v>
      </c>
      <c r="N3401" t="str">
        <f t="shared" si="346"/>
        <v>FOR</v>
      </c>
      <c r="O3401" t="s">
        <v>69</v>
      </c>
      <c r="P3401" s="3" t="s">
        <v>75</v>
      </c>
      <c r="Q3401">
        <v>2016</v>
      </c>
      <c r="R3401" s="2">
        <v>42403</v>
      </c>
      <c r="S3401" s="2">
        <v>42425</v>
      </c>
      <c r="T3401" s="2">
        <v>42423</v>
      </c>
      <c r="U3401" s="2">
        <v>42483</v>
      </c>
      <c r="V3401" t="s">
        <v>71</v>
      </c>
      <c r="W3401" t="str">
        <f>"          0000100639"</f>
        <v xml:space="preserve">          0000100639</v>
      </c>
      <c r="X3401" s="1">
        <v>1228.54</v>
      </c>
      <c r="Y3401">
        <v>0</v>
      </c>
      <c r="Z3401" s="5">
        <v>1007</v>
      </c>
      <c r="AA3401">
        <v>165</v>
      </c>
      <c r="AB3401" s="5">
        <v>166155</v>
      </c>
      <c r="AC3401" s="1">
        <v>1007</v>
      </c>
      <c r="AD3401">
        <v>165</v>
      </c>
      <c r="AE3401" s="1">
        <v>166155</v>
      </c>
      <c r="AF3401">
        <v>0</v>
      </c>
      <c r="AJ3401">
        <v>0</v>
      </c>
      <c r="AK3401">
        <v>0</v>
      </c>
      <c r="AL3401">
        <v>0</v>
      </c>
      <c r="AM3401" s="1">
        <v>1228.54</v>
      </c>
      <c r="AN3401" s="1">
        <v>1228.54</v>
      </c>
      <c r="AO3401" s="1">
        <v>1228.54</v>
      </c>
      <c r="AP3401" s="2">
        <v>42746</v>
      </c>
      <c r="AQ3401" t="s">
        <v>72</v>
      </c>
      <c r="AR3401" t="s">
        <v>72</v>
      </c>
      <c r="AS3401">
        <v>2666</v>
      </c>
      <c r="AT3401" s="4">
        <v>42648</v>
      </c>
      <c r="AU3401" t="s">
        <v>73</v>
      </c>
      <c r="AV3401">
        <v>2666</v>
      </c>
      <c r="AW3401" s="4">
        <v>42648</v>
      </c>
      <c r="BD3401">
        <v>0</v>
      </c>
      <c r="BN3401" t="s">
        <v>74</v>
      </c>
    </row>
    <row r="3402" spans="1:66">
      <c r="A3402">
        <v>101202</v>
      </c>
      <c r="B3402" s="3" t="s">
        <v>380</v>
      </c>
      <c r="C3402" s="1">
        <v>43300101</v>
      </c>
      <c r="D3402" t="s">
        <v>67</v>
      </c>
      <c r="H3402" t="str">
        <f t="shared" si="345"/>
        <v>09058160152</v>
      </c>
      <c r="I3402" t="str">
        <f t="shared" si="345"/>
        <v>09058160152</v>
      </c>
      <c r="K3402" t="str">
        <f>""</f>
        <v/>
      </c>
      <c r="M3402" t="s">
        <v>68</v>
      </c>
      <c r="N3402" t="str">
        <f t="shared" si="346"/>
        <v>FOR</v>
      </c>
      <c r="O3402" t="s">
        <v>69</v>
      </c>
      <c r="P3402" s="3" t="s">
        <v>75</v>
      </c>
      <c r="Q3402">
        <v>2016</v>
      </c>
      <c r="R3402" s="2">
        <v>42412</v>
      </c>
      <c r="S3402" s="2">
        <v>42426</v>
      </c>
      <c r="T3402" s="2">
        <v>42425</v>
      </c>
      <c r="U3402" s="2">
        <v>42485</v>
      </c>
      <c r="V3402" t="s">
        <v>71</v>
      </c>
      <c r="W3402" t="str">
        <f>"          0000100829"</f>
        <v xml:space="preserve">          0000100829</v>
      </c>
      <c r="X3402" s="1">
        <v>3122.71</v>
      </c>
      <c r="Y3402">
        <v>0</v>
      </c>
      <c r="Z3402" s="5">
        <v>2559.6</v>
      </c>
      <c r="AA3402">
        <v>163</v>
      </c>
      <c r="AB3402" s="5">
        <v>417214.8</v>
      </c>
      <c r="AC3402" s="1">
        <v>2559.6</v>
      </c>
      <c r="AD3402">
        <v>163</v>
      </c>
      <c r="AE3402" s="1">
        <v>417214.8</v>
      </c>
      <c r="AF3402">
        <v>0</v>
      </c>
      <c r="AJ3402">
        <v>0</v>
      </c>
      <c r="AK3402">
        <v>0</v>
      </c>
      <c r="AL3402">
        <v>0</v>
      </c>
      <c r="AM3402" s="1">
        <v>3122.71</v>
      </c>
      <c r="AN3402" s="1">
        <v>3122.71</v>
      </c>
      <c r="AO3402" s="1">
        <v>3122.71</v>
      </c>
      <c r="AP3402" s="2">
        <v>42746</v>
      </c>
      <c r="AQ3402" t="s">
        <v>72</v>
      </c>
      <c r="AR3402" t="s">
        <v>72</v>
      </c>
      <c r="AS3402">
        <v>2666</v>
      </c>
      <c r="AT3402" s="4">
        <v>42648</v>
      </c>
      <c r="AU3402" t="s">
        <v>73</v>
      </c>
      <c r="AV3402">
        <v>2666</v>
      </c>
      <c r="AW3402" s="4">
        <v>42648</v>
      </c>
      <c r="BD3402">
        <v>0</v>
      </c>
      <c r="BN3402" t="s">
        <v>74</v>
      </c>
    </row>
    <row r="3403" spans="1:66">
      <c r="A3403">
        <v>101202</v>
      </c>
      <c r="B3403" s="3" t="s">
        <v>380</v>
      </c>
      <c r="C3403" s="1">
        <v>43300101</v>
      </c>
      <c r="D3403" t="s">
        <v>67</v>
      </c>
      <c r="H3403" t="str">
        <f t="shared" si="345"/>
        <v>09058160152</v>
      </c>
      <c r="I3403" t="str">
        <f t="shared" si="345"/>
        <v>09058160152</v>
      </c>
      <c r="K3403" t="str">
        <f>""</f>
        <v/>
      </c>
      <c r="M3403" t="s">
        <v>68</v>
      </c>
      <c r="N3403" t="str">
        <f t="shared" si="346"/>
        <v>FOR</v>
      </c>
      <c r="O3403" t="s">
        <v>69</v>
      </c>
      <c r="P3403" s="3" t="s">
        <v>75</v>
      </c>
      <c r="Q3403">
        <v>2016</v>
      </c>
      <c r="R3403" s="2">
        <v>42429</v>
      </c>
      <c r="S3403" s="2">
        <v>42446</v>
      </c>
      <c r="T3403" s="2">
        <v>42445</v>
      </c>
      <c r="U3403" s="2">
        <v>42505</v>
      </c>
      <c r="V3403" t="s">
        <v>71</v>
      </c>
      <c r="W3403" t="str">
        <f>"          0000101316"</f>
        <v xml:space="preserve">          0000101316</v>
      </c>
      <c r="X3403" s="1">
        <v>1037</v>
      </c>
      <c r="Y3403">
        <v>0</v>
      </c>
      <c r="Z3403" s="3">
        <v>850</v>
      </c>
      <c r="AA3403">
        <v>143</v>
      </c>
      <c r="AB3403" s="5">
        <v>121550</v>
      </c>
      <c r="AC3403">
        <v>850</v>
      </c>
      <c r="AD3403">
        <v>143</v>
      </c>
      <c r="AE3403" s="1">
        <v>121550</v>
      </c>
      <c r="AF3403">
        <v>0</v>
      </c>
      <c r="AJ3403">
        <v>0</v>
      </c>
      <c r="AK3403">
        <v>0</v>
      </c>
      <c r="AL3403">
        <v>0</v>
      </c>
      <c r="AM3403" s="1">
        <v>1037</v>
      </c>
      <c r="AN3403" s="1">
        <v>1037</v>
      </c>
      <c r="AO3403" s="1">
        <v>1037</v>
      </c>
      <c r="AP3403" s="2">
        <v>42746</v>
      </c>
      <c r="AQ3403" t="s">
        <v>72</v>
      </c>
      <c r="AR3403" t="s">
        <v>72</v>
      </c>
      <c r="AS3403">
        <v>2666</v>
      </c>
      <c r="AT3403" s="4">
        <v>42648</v>
      </c>
      <c r="AU3403" t="s">
        <v>73</v>
      </c>
      <c r="AV3403">
        <v>2666</v>
      </c>
      <c r="AW3403" s="4">
        <v>42648</v>
      </c>
      <c r="BD3403">
        <v>0</v>
      </c>
      <c r="BN3403" t="s">
        <v>74</v>
      </c>
    </row>
    <row r="3404" spans="1:66" hidden="1">
      <c r="A3404">
        <v>101208</v>
      </c>
      <c r="B3404" s="3" t="s">
        <v>381</v>
      </c>
      <c r="C3404" s="1">
        <v>43300101</v>
      </c>
      <c r="D3404" t="s">
        <v>67</v>
      </c>
      <c r="H3404" t="str">
        <f>"05131180969"</f>
        <v>05131180969</v>
      </c>
      <c r="I3404" t="str">
        <f>"05131180969"</f>
        <v>05131180969</v>
      </c>
      <c r="K3404" t="str">
        <f>""</f>
        <v/>
      </c>
      <c r="M3404" t="s">
        <v>68</v>
      </c>
      <c r="N3404" t="str">
        <f t="shared" si="346"/>
        <v>FOR</v>
      </c>
      <c r="O3404" t="s">
        <v>69</v>
      </c>
      <c r="P3404" s="3" t="s">
        <v>75</v>
      </c>
      <c r="Q3404">
        <v>2015</v>
      </c>
      <c r="R3404" s="2">
        <v>42369</v>
      </c>
      <c r="S3404" s="2">
        <v>42369</v>
      </c>
      <c r="T3404" s="2">
        <v>42369</v>
      </c>
      <c r="U3404" s="2">
        <v>42429</v>
      </c>
      <c r="V3404" t="s">
        <v>71</v>
      </c>
      <c r="W3404" t="str">
        <f>"              151755"</f>
        <v xml:space="preserve">              151755</v>
      </c>
      <c r="X3404" s="1">
        <v>1122.4000000000001</v>
      </c>
      <c r="Y3404">
        <v>0</v>
      </c>
      <c r="Z3404"/>
      <c r="AB3404"/>
      <c r="AC3404">
        <v>920</v>
      </c>
      <c r="AD3404">
        <v>149</v>
      </c>
      <c r="AE3404" s="1">
        <v>137080</v>
      </c>
      <c r="AF3404">
        <v>0</v>
      </c>
      <c r="AJ3404">
        <v>0</v>
      </c>
      <c r="AK3404">
        <v>0</v>
      </c>
      <c r="AL3404">
        <v>0</v>
      </c>
      <c r="AM3404">
        <v>0</v>
      </c>
      <c r="AN3404">
        <v>0</v>
      </c>
      <c r="AO3404">
        <v>0</v>
      </c>
      <c r="AP3404" s="2">
        <v>42746</v>
      </c>
      <c r="AQ3404" t="s">
        <v>72</v>
      </c>
      <c r="AR3404" t="s">
        <v>72</v>
      </c>
      <c r="AS3404">
        <v>1986</v>
      </c>
      <c r="AT3404" s="4">
        <v>42578</v>
      </c>
      <c r="AU3404" t="s">
        <v>73</v>
      </c>
      <c r="AV3404">
        <v>1986</v>
      </c>
      <c r="AW3404" s="4">
        <v>42578</v>
      </c>
      <c r="BD3404">
        <v>0</v>
      </c>
      <c r="BN3404" t="s">
        <v>74</v>
      </c>
    </row>
    <row r="3405" spans="1:66" hidden="1">
      <c r="A3405">
        <v>101208</v>
      </c>
      <c r="B3405" s="3" t="s">
        <v>381</v>
      </c>
      <c r="C3405" s="1">
        <v>43300101</v>
      </c>
      <c r="D3405" t="s">
        <v>67</v>
      </c>
      <c r="H3405" t="str">
        <f>"05131180969"</f>
        <v>05131180969</v>
      </c>
      <c r="I3405" t="str">
        <f>"05131180969"</f>
        <v>05131180969</v>
      </c>
      <c r="K3405" t="str">
        <f>""</f>
        <v/>
      </c>
      <c r="M3405" t="s">
        <v>68</v>
      </c>
      <c r="N3405" t="str">
        <f t="shared" si="346"/>
        <v>FOR</v>
      </c>
      <c r="O3405" t="s">
        <v>69</v>
      </c>
      <c r="P3405" s="3" t="s">
        <v>70</v>
      </c>
      <c r="Q3405">
        <v>2015</v>
      </c>
      <c r="R3405" s="2">
        <v>42087</v>
      </c>
      <c r="S3405" s="2">
        <v>42107</v>
      </c>
      <c r="T3405" s="2">
        <v>42107</v>
      </c>
      <c r="U3405" s="2">
        <v>42167</v>
      </c>
      <c r="V3405" t="s">
        <v>71</v>
      </c>
      <c r="W3405" t="str">
        <f>"              710421"</f>
        <v xml:space="preserve">              710421</v>
      </c>
      <c r="X3405" s="1">
        <v>5612</v>
      </c>
      <c r="Y3405">
        <v>0</v>
      </c>
      <c r="Z3405"/>
      <c r="AB3405"/>
      <c r="AC3405" s="1">
        <v>4600</v>
      </c>
      <c r="AD3405">
        <v>237</v>
      </c>
      <c r="AE3405" s="1">
        <v>1090200</v>
      </c>
      <c r="AF3405">
        <v>0</v>
      </c>
      <c r="AJ3405">
        <v>0</v>
      </c>
      <c r="AK3405">
        <v>0</v>
      </c>
      <c r="AL3405">
        <v>0</v>
      </c>
      <c r="AM3405">
        <v>0</v>
      </c>
      <c r="AN3405">
        <v>0</v>
      </c>
      <c r="AO3405">
        <v>0</v>
      </c>
      <c r="AP3405" s="2">
        <v>42746</v>
      </c>
      <c r="AQ3405" t="s">
        <v>72</v>
      </c>
      <c r="AR3405" t="s">
        <v>72</v>
      </c>
      <c r="AS3405">
        <v>280</v>
      </c>
      <c r="AT3405" s="4">
        <v>42404</v>
      </c>
      <c r="AU3405" t="s">
        <v>73</v>
      </c>
      <c r="AV3405">
        <v>280</v>
      </c>
      <c r="AW3405" s="4">
        <v>42404</v>
      </c>
      <c r="BD3405">
        <v>0</v>
      </c>
      <c r="BN3405" t="s">
        <v>74</v>
      </c>
    </row>
    <row r="3406" spans="1:66" hidden="1">
      <c r="A3406">
        <v>101215</v>
      </c>
      <c r="B3406" s="3" t="s">
        <v>382</v>
      </c>
      <c r="C3406" s="1">
        <v>43300101</v>
      </c>
      <c r="D3406" t="s">
        <v>67</v>
      </c>
      <c r="H3406" t="str">
        <f t="shared" ref="H3406:I3411" si="347">"03015600657"</f>
        <v>03015600657</v>
      </c>
      <c r="I3406" t="str">
        <f t="shared" si="347"/>
        <v>03015600657</v>
      </c>
      <c r="K3406" t="str">
        <f>""</f>
        <v/>
      </c>
      <c r="M3406" t="s">
        <v>68</v>
      </c>
      <c r="N3406" t="str">
        <f t="shared" si="346"/>
        <v>FOR</v>
      </c>
      <c r="O3406" t="s">
        <v>69</v>
      </c>
      <c r="P3406" s="3" t="s">
        <v>70</v>
      </c>
      <c r="Q3406">
        <v>2015</v>
      </c>
      <c r="R3406" s="2">
        <v>42060</v>
      </c>
      <c r="S3406" s="2">
        <v>42094</v>
      </c>
      <c r="T3406" s="2">
        <v>42094</v>
      </c>
      <c r="U3406" s="2">
        <v>42154</v>
      </c>
      <c r="V3406" t="s">
        <v>71</v>
      </c>
      <c r="W3406" t="str">
        <f>"                 153"</f>
        <v xml:space="preserve">                 153</v>
      </c>
      <c r="X3406" s="1">
        <v>38125</v>
      </c>
      <c r="Y3406">
        <v>0</v>
      </c>
      <c r="Z3406"/>
      <c r="AB3406"/>
      <c r="AC3406" s="1">
        <v>31250</v>
      </c>
      <c r="AD3406">
        <v>247</v>
      </c>
      <c r="AE3406" s="1">
        <v>7718750</v>
      </c>
      <c r="AF3406">
        <v>0</v>
      </c>
      <c r="AJ3406">
        <v>0</v>
      </c>
      <c r="AK3406">
        <v>0</v>
      </c>
      <c r="AL3406">
        <v>0</v>
      </c>
      <c r="AM3406">
        <v>0</v>
      </c>
      <c r="AN3406">
        <v>0</v>
      </c>
      <c r="AO3406">
        <v>0</v>
      </c>
      <c r="AP3406" s="2">
        <v>42746</v>
      </c>
      <c r="AQ3406" t="s">
        <v>72</v>
      </c>
      <c r="AR3406" t="s">
        <v>72</v>
      </c>
      <c r="AS3406">
        <v>179</v>
      </c>
      <c r="AT3406" s="4">
        <v>42401</v>
      </c>
      <c r="AU3406" t="s">
        <v>73</v>
      </c>
      <c r="AV3406">
        <v>179</v>
      </c>
      <c r="AW3406" s="4">
        <v>42401</v>
      </c>
      <c r="BD3406">
        <v>0</v>
      </c>
      <c r="BN3406" t="s">
        <v>74</v>
      </c>
    </row>
    <row r="3407" spans="1:66" hidden="1">
      <c r="A3407">
        <v>101215</v>
      </c>
      <c r="B3407" s="3" t="s">
        <v>382</v>
      </c>
      <c r="C3407" s="1">
        <v>43300101</v>
      </c>
      <c r="D3407" t="s">
        <v>67</v>
      </c>
      <c r="H3407" t="str">
        <f t="shared" si="347"/>
        <v>03015600657</v>
      </c>
      <c r="I3407" t="str">
        <f t="shared" si="347"/>
        <v>03015600657</v>
      </c>
      <c r="K3407" t="str">
        <f>""</f>
        <v/>
      </c>
      <c r="M3407" t="s">
        <v>68</v>
      </c>
      <c r="N3407" t="str">
        <f t="shared" si="346"/>
        <v>FOR</v>
      </c>
      <c r="O3407" t="s">
        <v>69</v>
      </c>
      <c r="P3407" s="3" t="s">
        <v>75</v>
      </c>
      <c r="Q3407">
        <v>2015</v>
      </c>
      <c r="R3407" s="2">
        <v>42117</v>
      </c>
      <c r="S3407" s="2">
        <v>42131</v>
      </c>
      <c r="T3407" s="2">
        <v>42130</v>
      </c>
      <c r="U3407" s="2">
        <v>42190</v>
      </c>
      <c r="V3407" t="s">
        <v>71</v>
      </c>
      <c r="W3407" t="str">
        <f>"            386/2015"</f>
        <v xml:space="preserve">            386/2015</v>
      </c>
      <c r="X3407" s="1">
        <v>26687.5</v>
      </c>
      <c r="Y3407">
        <v>0</v>
      </c>
      <c r="Z3407"/>
      <c r="AB3407"/>
      <c r="AC3407" s="1">
        <v>21875</v>
      </c>
      <c r="AD3407">
        <v>240</v>
      </c>
      <c r="AE3407" s="1">
        <v>5250000</v>
      </c>
      <c r="AF3407">
        <v>0</v>
      </c>
      <c r="AJ3407">
        <v>0</v>
      </c>
      <c r="AK3407">
        <v>0</v>
      </c>
      <c r="AL3407">
        <v>0</v>
      </c>
      <c r="AM3407">
        <v>0</v>
      </c>
      <c r="AN3407">
        <v>0</v>
      </c>
      <c r="AO3407">
        <v>0</v>
      </c>
      <c r="AP3407" s="2">
        <v>42746</v>
      </c>
      <c r="AQ3407" t="s">
        <v>72</v>
      </c>
      <c r="AR3407" t="s">
        <v>72</v>
      </c>
      <c r="AS3407">
        <v>602</v>
      </c>
      <c r="AT3407" s="4">
        <v>42430</v>
      </c>
      <c r="AU3407" t="s">
        <v>73</v>
      </c>
      <c r="AV3407">
        <v>602</v>
      </c>
      <c r="AW3407" s="4">
        <v>42430</v>
      </c>
      <c r="BD3407">
        <v>0</v>
      </c>
      <c r="BN3407" t="s">
        <v>74</v>
      </c>
    </row>
    <row r="3408" spans="1:66" hidden="1">
      <c r="A3408">
        <v>101215</v>
      </c>
      <c r="B3408" s="3" t="s">
        <v>382</v>
      </c>
      <c r="C3408" s="1">
        <v>43300101</v>
      </c>
      <c r="D3408" t="s">
        <v>67</v>
      </c>
      <c r="H3408" t="str">
        <f t="shared" si="347"/>
        <v>03015600657</v>
      </c>
      <c r="I3408" t="str">
        <f t="shared" si="347"/>
        <v>03015600657</v>
      </c>
      <c r="K3408" t="str">
        <f>""</f>
        <v/>
      </c>
      <c r="M3408" t="s">
        <v>68</v>
      </c>
      <c r="N3408" t="str">
        <f t="shared" si="346"/>
        <v>FOR</v>
      </c>
      <c r="O3408" t="s">
        <v>69</v>
      </c>
      <c r="P3408" s="3" t="s">
        <v>75</v>
      </c>
      <c r="Q3408">
        <v>2015</v>
      </c>
      <c r="R3408" s="2">
        <v>42181</v>
      </c>
      <c r="S3408" s="2">
        <v>42198</v>
      </c>
      <c r="T3408" s="2">
        <v>42193</v>
      </c>
      <c r="U3408" s="2">
        <v>42253</v>
      </c>
      <c r="V3408" t="s">
        <v>71</v>
      </c>
      <c r="W3408" t="str">
        <f>"            596/2015"</f>
        <v xml:space="preserve">            596/2015</v>
      </c>
      <c r="X3408" s="1">
        <v>38125</v>
      </c>
      <c r="Y3408">
        <v>0</v>
      </c>
      <c r="Z3408"/>
      <c r="AB3408"/>
      <c r="AC3408" s="1">
        <v>31250</v>
      </c>
      <c r="AD3408">
        <v>239</v>
      </c>
      <c r="AE3408" s="1">
        <v>7468750</v>
      </c>
      <c r="AF3408">
        <v>0</v>
      </c>
      <c r="AJ3408">
        <v>0</v>
      </c>
      <c r="AK3408">
        <v>0</v>
      </c>
      <c r="AL3408">
        <v>0</v>
      </c>
      <c r="AM3408">
        <v>0</v>
      </c>
      <c r="AN3408">
        <v>0</v>
      </c>
      <c r="AO3408">
        <v>0</v>
      </c>
      <c r="AP3408" s="2">
        <v>42746</v>
      </c>
      <c r="AQ3408" t="s">
        <v>72</v>
      </c>
      <c r="AR3408" t="s">
        <v>72</v>
      </c>
      <c r="AS3408">
        <v>1219</v>
      </c>
      <c r="AT3408" s="4">
        <v>42492</v>
      </c>
      <c r="AU3408" t="s">
        <v>73</v>
      </c>
      <c r="AV3408">
        <v>1219</v>
      </c>
      <c r="AW3408" s="4">
        <v>42492</v>
      </c>
      <c r="BD3408">
        <v>0</v>
      </c>
      <c r="BN3408" t="s">
        <v>74</v>
      </c>
    </row>
    <row r="3409" spans="1:66" hidden="1">
      <c r="A3409">
        <v>101215</v>
      </c>
      <c r="B3409" s="3" t="s">
        <v>382</v>
      </c>
      <c r="C3409" s="1">
        <v>43300101</v>
      </c>
      <c r="D3409" t="s">
        <v>67</v>
      </c>
      <c r="H3409" t="str">
        <f t="shared" si="347"/>
        <v>03015600657</v>
      </c>
      <c r="I3409" t="str">
        <f t="shared" si="347"/>
        <v>03015600657</v>
      </c>
      <c r="K3409" t="str">
        <f>""</f>
        <v/>
      </c>
      <c r="M3409" t="s">
        <v>68</v>
      </c>
      <c r="N3409" t="str">
        <f t="shared" si="346"/>
        <v>FOR</v>
      </c>
      <c r="O3409" t="s">
        <v>69</v>
      </c>
      <c r="P3409" s="3" t="s">
        <v>75</v>
      </c>
      <c r="Q3409">
        <v>2015</v>
      </c>
      <c r="R3409" s="2">
        <v>42244</v>
      </c>
      <c r="S3409" s="2">
        <v>42262</v>
      </c>
      <c r="T3409" s="2">
        <v>42256</v>
      </c>
      <c r="U3409" s="2">
        <v>42316</v>
      </c>
      <c r="V3409" t="s">
        <v>71</v>
      </c>
      <c r="W3409" t="str">
        <f>"            763/2015"</f>
        <v xml:space="preserve">            763/2015</v>
      </c>
      <c r="X3409" s="1">
        <v>38125</v>
      </c>
      <c r="Y3409">
        <v>0</v>
      </c>
      <c r="Z3409"/>
      <c r="AB3409"/>
      <c r="AC3409" s="1">
        <v>31250</v>
      </c>
      <c r="AD3409">
        <v>263</v>
      </c>
      <c r="AE3409" s="1">
        <v>8218750</v>
      </c>
      <c r="AF3409">
        <v>0</v>
      </c>
      <c r="AJ3409">
        <v>0</v>
      </c>
      <c r="AK3409">
        <v>0</v>
      </c>
      <c r="AL3409">
        <v>0</v>
      </c>
      <c r="AM3409">
        <v>0</v>
      </c>
      <c r="AN3409">
        <v>0</v>
      </c>
      <c r="AO3409">
        <v>0</v>
      </c>
      <c r="AP3409" s="2">
        <v>42746</v>
      </c>
      <c r="AQ3409" t="s">
        <v>72</v>
      </c>
      <c r="AR3409" t="s">
        <v>72</v>
      </c>
      <c r="AS3409">
        <v>2036</v>
      </c>
      <c r="AT3409" s="4">
        <v>42579</v>
      </c>
      <c r="AU3409" t="s">
        <v>73</v>
      </c>
      <c r="AV3409">
        <v>2036</v>
      </c>
      <c r="AW3409" s="4">
        <v>42579</v>
      </c>
      <c r="BD3409">
        <v>0</v>
      </c>
      <c r="BN3409" t="s">
        <v>74</v>
      </c>
    </row>
    <row r="3410" spans="1:66">
      <c r="A3410">
        <v>101215</v>
      </c>
      <c r="B3410" s="3" t="s">
        <v>382</v>
      </c>
      <c r="C3410" s="1">
        <v>43300101</v>
      </c>
      <c r="D3410" t="s">
        <v>67</v>
      </c>
      <c r="H3410" t="str">
        <f t="shared" si="347"/>
        <v>03015600657</v>
      </c>
      <c r="I3410" t="str">
        <f t="shared" si="347"/>
        <v>03015600657</v>
      </c>
      <c r="K3410" t="str">
        <f>""</f>
        <v/>
      </c>
      <c r="M3410" t="s">
        <v>68</v>
      </c>
      <c r="N3410" t="str">
        <f t="shared" si="346"/>
        <v>FOR</v>
      </c>
      <c r="O3410" t="s">
        <v>69</v>
      </c>
      <c r="P3410" s="3" t="s">
        <v>75</v>
      </c>
      <c r="Q3410">
        <v>2015</v>
      </c>
      <c r="R3410" s="2">
        <v>42321</v>
      </c>
      <c r="S3410" s="2">
        <v>42326</v>
      </c>
      <c r="T3410" s="2">
        <v>42325</v>
      </c>
      <c r="U3410" s="2">
        <v>42385</v>
      </c>
      <c r="V3410" t="s">
        <v>71</v>
      </c>
      <c r="W3410" t="str">
        <f>"           1034/2015"</f>
        <v xml:space="preserve">           1034/2015</v>
      </c>
      <c r="X3410" s="1">
        <v>38125</v>
      </c>
      <c r="Y3410">
        <v>0</v>
      </c>
      <c r="Z3410" s="5">
        <v>31250</v>
      </c>
      <c r="AA3410">
        <v>297</v>
      </c>
      <c r="AB3410" s="5">
        <v>9281250</v>
      </c>
      <c r="AC3410" s="1">
        <v>31250</v>
      </c>
      <c r="AD3410">
        <v>297</v>
      </c>
      <c r="AE3410" s="1">
        <v>9281250</v>
      </c>
      <c r="AF3410">
        <v>0</v>
      </c>
      <c r="AJ3410">
        <v>0</v>
      </c>
      <c r="AK3410">
        <v>0</v>
      </c>
      <c r="AL3410">
        <v>0</v>
      </c>
      <c r="AM3410">
        <v>0</v>
      </c>
      <c r="AN3410">
        <v>0</v>
      </c>
      <c r="AO3410">
        <v>0</v>
      </c>
      <c r="AP3410" s="2">
        <v>42746</v>
      </c>
      <c r="AQ3410" t="s">
        <v>72</v>
      </c>
      <c r="AR3410" t="s">
        <v>72</v>
      </c>
      <c r="AS3410">
        <v>2974</v>
      </c>
      <c r="AT3410" s="4">
        <v>42682</v>
      </c>
      <c r="AU3410" t="s">
        <v>73</v>
      </c>
      <c r="AV3410">
        <v>2974</v>
      </c>
      <c r="AW3410" s="4">
        <v>42682</v>
      </c>
      <c r="BD3410">
        <v>0</v>
      </c>
      <c r="BN3410" t="s">
        <v>74</v>
      </c>
    </row>
    <row r="3411" spans="1:66">
      <c r="A3411">
        <v>101215</v>
      </c>
      <c r="B3411" s="3" t="s">
        <v>382</v>
      </c>
      <c r="C3411" s="1">
        <v>43300101</v>
      </c>
      <c r="D3411" t="s">
        <v>67</v>
      </c>
      <c r="H3411" t="str">
        <f t="shared" si="347"/>
        <v>03015600657</v>
      </c>
      <c r="I3411" t="str">
        <f t="shared" si="347"/>
        <v>03015600657</v>
      </c>
      <c r="K3411" t="str">
        <f>""</f>
        <v/>
      </c>
      <c r="M3411" t="s">
        <v>68</v>
      </c>
      <c r="N3411" t="str">
        <f t="shared" si="346"/>
        <v>FOR</v>
      </c>
      <c r="O3411" t="s">
        <v>69</v>
      </c>
      <c r="P3411" s="3" t="s">
        <v>75</v>
      </c>
      <c r="Q3411">
        <v>2016</v>
      </c>
      <c r="R3411" s="2">
        <v>42425</v>
      </c>
      <c r="S3411" s="2">
        <v>42443</v>
      </c>
      <c r="T3411" s="2">
        <v>42438</v>
      </c>
      <c r="U3411" s="2">
        <v>42498</v>
      </c>
      <c r="V3411" t="s">
        <v>71</v>
      </c>
      <c r="W3411" t="str">
        <f>"               35/PA"</f>
        <v xml:space="preserve">               35/PA</v>
      </c>
      <c r="X3411" s="1">
        <v>45750</v>
      </c>
      <c r="Y3411">
        <v>0</v>
      </c>
      <c r="Z3411" s="5">
        <v>37500</v>
      </c>
      <c r="AA3411">
        <v>225</v>
      </c>
      <c r="AB3411" s="5">
        <v>8437500</v>
      </c>
      <c r="AC3411" s="1">
        <v>37500</v>
      </c>
      <c r="AD3411">
        <v>225</v>
      </c>
      <c r="AE3411" s="1">
        <v>8437500</v>
      </c>
      <c r="AF3411" s="1">
        <v>8250</v>
      </c>
      <c r="AJ3411">
        <v>0</v>
      </c>
      <c r="AK3411">
        <v>0</v>
      </c>
      <c r="AL3411">
        <v>0</v>
      </c>
      <c r="AM3411" s="1">
        <v>45750</v>
      </c>
      <c r="AN3411" s="1">
        <v>45750</v>
      </c>
      <c r="AO3411" s="1">
        <v>45750</v>
      </c>
      <c r="AP3411" s="2">
        <v>42746</v>
      </c>
      <c r="AQ3411" t="s">
        <v>72</v>
      </c>
      <c r="AR3411" t="s">
        <v>72</v>
      </c>
      <c r="AS3411">
        <v>3580</v>
      </c>
      <c r="AT3411" s="4">
        <v>42723</v>
      </c>
      <c r="AU3411" t="s">
        <v>73</v>
      </c>
      <c r="AV3411">
        <v>3580</v>
      </c>
      <c r="AW3411" s="4">
        <v>42723</v>
      </c>
      <c r="BD3411" s="1">
        <v>8250</v>
      </c>
      <c r="BN3411" t="s">
        <v>74</v>
      </c>
    </row>
    <row r="3412" spans="1:66" hidden="1">
      <c r="A3412">
        <v>101223</v>
      </c>
      <c r="B3412" s="3" t="s">
        <v>383</v>
      </c>
      <c r="C3412" s="1">
        <v>43500101</v>
      </c>
      <c r="D3412" t="s">
        <v>113</v>
      </c>
      <c r="H3412" t="str">
        <f t="shared" ref="H3412:I3424" si="348">"00348170101"</f>
        <v>00348170101</v>
      </c>
      <c r="I3412" t="str">
        <f t="shared" si="348"/>
        <v>00348170101</v>
      </c>
      <c r="K3412" t="str">
        <f>""</f>
        <v/>
      </c>
      <c r="M3412" t="s">
        <v>68</v>
      </c>
      <c r="N3412" t="str">
        <f t="shared" ref="N3412:N3424" si="349">"ALTFIN"</f>
        <v>ALTFIN</v>
      </c>
      <c r="O3412" t="s">
        <v>123</v>
      </c>
      <c r="P3412" s="3" t="s">
        <v>384</v>
      </c>
      <c r="Q3412">
        <v>2016</v>
      </c>
      <c r="R3412" s="2">
        <v>42506</v>
      </c>
      <c r="S3412" s="2">
        <v>42506</v>
      </c>
      <c r="T3412" s="2">
        <v>42506</v>
      </c>
      <c r="U3412" s="2">
        <v>42566</v>
      </c>
      <c r="V3412" t="s">
        <v>71</v>
      </c>
      <c r="W3412" t="str">
        <f>"                 113"</f>
        <v xml:space="preserve">                 113</v>
      </c>
      <c r="X3412">
        <v>0</v>
      </c>
      <c r="Y3412" s="1">
        <v>2226</v>
      </c>
      <c r="Z3412"/>
      <c r="AB3412"/>
      <c r="AC3412" s="1">
        <v>2226</v>
      </c>
      <c r="AD3412">
        <v>-46</v>
      </c>
      <c r="AE3412" s="1">
        <v>-102396</v>
      </c>
      <c r="AF3412">
        <v>0</v>
      </c>
      <c r="AJ3412">
        <v>0</v>
      </c>
      <c r="AK3412">
        <v>0</v>
      </c>
      <c r="AL3412">
        <v>0</v>
      </c>
      <c r="AM3412" s="1">
        <v>2226</v>
      </c>
      <c r="AN3412" s="1">
        <v>2226</v>
      </c>
      <c r="AO3412" s="1">
        <v>2226</v>
      </c>
      <c r="AP3412" s="2">
        <v>42746</v>
      </c>
      <c r="AQ3412" t="s">
        <v>72</v>
      </c>
      <c r="AR3412" t="s">
        <v>72</v>
      </c>
      <c r="AS3412">
        <v>1395</v>
      </c>
      <c r="AT3412" s="4">
        <v>42520</v>
      </c>
      <c r="AV3412">
        <v>1395</v>
      </c>
      <c r="AW3412" s="4">
        <v>42520</v>
      </c>
      <c r="BD3412">
        <v>0</v>
      </c>
      <c r="BN3412" t="s">
        <v>74</v>
      </c>
    </row>
    <row r="3413" spans="1:66" hidden="1">
      <c r="A3413">
        <v>101223</v>
      </c>
      <c r="B3413" s="3" t="s">
        <v>383</v>
      </c>
      <c r="C3413" s="1">
        <v>43500101</v>
      </c>
      <c r="D3413" t="s">
        <v>113</v>
      </c>
      <c r="H3413" t="str">
        <f t="shared" si="348"/>
        <v>00348170101</v>
      </c>
      <c r="I3413" t="str">
        <f t="shared" si="348"/>
        <v>00348170101</v>
      </c>
      <c r="K3413" t="str">
        <f>""</f>
        <v/>
      </c>
      <c r="M3413" t="s">
        <v>68</v>
      </c>
      <c r="N3413" t="str">
        <f t="shared" si="349"/>
        <v>ALTFIN</v>
      </c>
      <c r="O3413" t="s">
        <v>123</v>
      </c>
      <c r="P3413" s="3" t="s">
        <v>84</v>
      </c>
      <c r="Q3413">
        <v>2016</v>
      </c>
      <c r="R3413" s="2">
        <v>42389</v>
      </c>
      <c r="S3413" s="2">
        <v>42390</v>
      </c>
      <c r="T3413" s="2">
        <v>42390</v>
      </c>
      <c r="U3413" s="2">
        <v>42450</v>
      </c>
      <c r="V3413" t="s">
        <v>71</v>
      </c>
      <c r="W3413" t="str">
        <f>"                0120"</f>
        <v xml:space="preserve">                0120</v>
      </c>
      <c r="X3413">
        <v>0</v>
      </c>
      <c r="Y3413" s="1">
        <v>2802</v>
      </c>
      <c r="Z3413"/>
      <c r="AB3413"/>
      <c r="AC3413" s="1">
        <v>2802</v>
      </c>
      <c r="AD3413">
        <v>-60</v>
      </c>
      <c r="AE3413" s="1">
        <v>-168120</v>
      </c>
      <c r="AF3413">
        <v>0</v>
      </c>
      <c r="AJ3413">
        <v>0</v>
      </c>
      <c r="AK3413">
        <v>0</v>
      </c>
      <c r="AL3413">
        <v>0</v>
      </c>
      <c r="AM3413" s="1">
        <v>2802</v>
      </c>
      <c r="AN3413" s="1">
        <v>2802</v>
      </c>
      <c r="AO3413" s="1">
        <v>2802</v>
      </c>
      <c r="AP3413" s="2">
        <v>42746</v>
      </c>
      <c r="AQ3413" t="s">
        <v>72</v>
      </c>
      <c r="AR3413" t="s">
        <v>72</v>
      </c>
      <c r="AS3413">
        <v>83</v>
      </c>
      <c r="AT3413" s="4">
        <v>42390</v>
      </c>
      <c r="AV3413">
        <v>83</v>
      </c>
      <c r="AW3413" s="4">
        <v>42390</v>
      </c>
      <c r="BD3413">
        <v>0</v>
      </c>
      <c r="BN3413" t="s">
        <v>74</v>
      </c>
    </row>
    <row r="3414" spans="1:66" hidden="1">
      <c r="A3414">
        <v>101223</v>
      </c>
      <c r="B3414" s="3" t="s">
        <v>383</v>
      </c>
      <c r="C3414" s="1">
        <v>43500101</v>
      </c>
      <c r="D3414" t="s">
        <v>113</v>
      </c>
      <c r="H3414" t="str">
        <f t="shared" si="348"/>
        <v>00348170101</v>
      </c>
      <c r="I3414" t="str">
        <f t="shared" si="348"/>
        <v>00348170101</v>
      </c>
      <c r="K3414" t="str">
        <f>""</f>
        <v/>
      </c>
      <c r="M3414" t="s">
        <v>68</v>
      </c>
      <c r="N3414" t="str">
        <f t="shared" si="349"/>
        <v>ALTFIN</v>
      </c>
      <c r="O3414" t="s">
        <v>123</v>
      </c>
      <c r="P3414" s="3" t="s">
        <v>85</v>
      </c>
      <c r="Q3414">
        <v>2016</v>
      </c>
      <c r="R3414" s="2">
        <v>42422</v>
      </c>
      <c r="S3414" s="2">
        <v>42422</v>
      </c>
      <c r="T3414" s="2">
        <v>42422</v>
      </c>
      <c r="U3414" s="2">
        <v>42482</v>
      </c>
      <c r="V3414" t="s">
        <v>71</v>
      </c>
      <c r="W3414" t="str">
        <f>"                0222"</f>
        <v xml:space="preserve">                0222</v>
      </c>
      <c r="X3414">
        <v>0</v>
      </c>
      <c r="Y3414" s="1">
        <v>2620</v>
      </c>
      <c r="Z3414"/>
      <c r="AB3414"/>
      <c r="AC3414" s="1">
        <v>2620</v>
      </c>
      <c r="AD3414">
        <v>-58</v>
      </c>
      <c r="AE3414" s="1">
        <v>-151960</v>
      </c>
      <c r="AF3414">
        <v>0</v>
      </c>
      <c r="AJ3414">
        <v>0</v>
      </c>
      <c r="AK3414">
        <v>0</v>
      </c>
      <c r="AL3414">
        <v>0</v>
      </c>
      <c r="AM3414" s="1">
        <v>2620</v>
      </c>
      <c r="AN3414" s="1">
        <v>2620</v>
      </c>
      <c r="AO3414" s="1">
        <v>2620</v>
      </c>
      <c r="AP3414" s="2">
        <v>42746</v>
      </c>
      <c r="AQ3414" t="s">
        <v>72</v>
      </c>
      <c r="AR3414" t="s">
        <v>72</v>
      </c>
      <c r="AS3414">
        <v>527</v>
      </c>
      <c r="AT3414" s="4">
        <v>42424</v>
      </c>
      <c r="AV3414">
        <v>527</v>
      </c>
      <c r="AW3414" s="4">
        <v>42424</v>
      </c>
      <c r="BD3414">
        <v>0</v>
      </c>
      <c r="BN3414" t="s">
        <v>74</v>
      </c>
    </row>
    <row r="3415" spans="1:66" hidden="1">
      <c r="A3415">
        <v>101223</v>
      </c>
      <c r="B3415" s="3" t="s">
        <v>383</v>
      </c>
      <c r="C3415" s="1">
        <v>43500101</v>
      </c>
      <c r="D3415" t="s">
        <v>113</v>
      </c>
      <c r="H3415" t="str">
        <f t="shared" si="348"/>
        <v>00348170101</v>
      </c>
      <c r="I3415" t="str">
        <f t="shared" si="348"/>
        <v>00348170101</v>
      </c>
      <c r="K3415" t="str">
        <f>""</f>
        <v/>
      </c>
      <c r="M3415" t="s">
        <v>68</v>
      </c>
      <c r="N3415" t="str">
        <f t="shared" si="349"/>
        <v>ALTFIN</v>
      </c>
      <c r="O3415" t="s">
        <v>123</v>
      </c>
      <c r="P3415" s="3" t="s">
        <v>86</v>
      </c>
      <c r="Q3415">
        <v>2016</v>
      </c>
      <c r="R3415" s="2">
        <v>42450</v>
      </c>
      <c r="S3415" s="2">
        <v>42450</v>
      </c>
      <c r="T3415" s="2">
        <v>42450</v>
      </c>
      <c r="U3415" s="2">
        <v>42510</v>
      </c>
      <c r="V3415" t="s">
        <v>71</v>
      </c>
      <c r="W3415" t="str">
        <f>"                0321"</f>
        <v xml:space="preserve">                0321</v>
      </c>
      <c r="X3415">
        <v>0</v>
      </c>
      <c r="Y3415" s="1">
        <v>2780</v>
      </c>
      <c r="Z3415"/>
      <c r="AB3415"/>
      <c r="AC3415" s="1">
        <v>2780</v>
      </c>
      <c r="AD3415">
        <v>-57</v>
      </c>
      <c r="AE3415" s="1">
        <v>-158460</v>
      </c>
      <c r="AF3415">
        <v>0</v>
      </c>
      <c r="AJ3415">
        <v>0</v>
      </c>
      <c r="AK3415">
        <v>0</v>
      </c>
      <c r="AL3415">
        <v>0</v>
      </c>
      <c r="AM3415" s="1">
        <v>2780</v>
      </c>
      <c r="AN3415" s="1">
        <v>2780</v>
      </c>
      <c r="AO3415" s="1">
        <v>2780</v>
      </c>
      <c r="AP3415" s="2">
        <v>42746</v>
      </c>
      <c r="AQ3415" t="s">
        <v>72</v>
      </c>
      <c r="AR3415" t="s">
        <v>72</v>
      </c>
      <c r="AS3415">
        <v>949</v>
      </c>
      <c r="AT3415" s="4">
        <v>42453</v>
      </c>
      <c r="AV3415">
        <v>949</v>
      </c>
      <c r="AW3415" s="4">
        <v>42453</v>
      </c>
      <c r="BD3415">
        <v>0</v>
      </c>
      <c r="BN3415" t="s">
        <v>74</v>
      </c>
    </row>
    <row r="3416" spans="1:66" hidden="1">
      <c r="A3416">
        <v>101223</v>
      </c>
      <c r="B3416" s="3" t="s">
        <v>383</v>
      </c>
      <c r="C3416" s="1">
        <v>43500101</v>
      </c>
      <c r="D3416" t="s">
        <v>113</v>
      </c>
      <c r="H3416" t="str">
        <f t="shared" si="348"/>
        <v>00348170101</v>
      </c>
      <c r="I3416" t="str">
        <f t="shared" si="348"/>
        <v>00348170101</v>
      </c>
      <c r="K3416" t="str">
        <f>""</f>
        <v/>
      </c>
      <c r="M3416" t="s">
        <v>68</v>
      </c>
      <c r="N3416" t="str">
        <f t="shared" si="349"/>
        <v>ALTFIN</v>
      </c>
      <c r="O3416" t="s">
        <v>123</v>
      </c>
      <c r="P3416" s="3" t="s">
        <v>87</v>
      </c>
      <c r="Q3416">
        <v>2016</v>
      </c>
      <c r="R3416" s="2">
        <v>42481</v>
      </c>
      <c r="S3416" s="2">
        <v>42481</v>
      </c>
      <c r="T3416" s="2">
        <v>42481</v>
      </c>
      <c r="U3416" s="2">
        <v>42541</v>
      </c>
      <c r="V3416" t="s">
        <v>71</v>
      </c>
      <c r="W3416" t="str">
        <f>"                0421"</f>
        <v xml:space="preserve">                0421</v>
      </c>
      <c r="X3416">
        <v>0</v>
      </c>
      <c r="Y3416" s="1">
        <v>2780</v>
      </c>
      <c r="Z3416"/>
      <c r="AB3416"/>
      <c r="AC3416" s="1">
        <v>2780</v>
      </c>
      <c r="AD3416">
        <v>-60</v>
      </c>
      <c r="AE3416" s="1">
        <v>-166800</v>
      </c>
      <c r="AF3416">
        <v>0</v>
      </c>
      <c r="AJ3416">
        <v>0</v>
      </c>
      <c r="AK3416">
        <v>0</v>
      </c>
      <c r="AL3416">
        <v>0</v>
      </c>
      <c r="AM3416" s="1">
        <v>2780</v>
      </c>
      <c r="AN3416" s="1">
        <v>2780</v>
      </c>
      <c r="AO3416" s="1">
        <v>2780</v>
      </c>
      <c r="AP3416" s="2">
        <v>42746</v>
      </c>
      <c r="AQ3416" t="s">
        <v>72</v>
      </c>
      <c r="AR3416" t="s">
        <v>72</v>
      </c>
      <c r="AS3416">
        <v>1114</v>
      </c>
      <c r="AT3416" s="4">
        <v>42481</v>
      </c>
      <c r="AV3416">
        <v>1114</v>
      </c>
      <c r="AW3416" s="4">
        <v>42481</v>
      </c>
      <c r="BD3416">
        <v>0</v>
      </c>
      <c r="BN3416" t="s">
        <v>74</v>
      </c>
    </row>
    <row r="3417" spans="1:66" hidden="1">
      <c r="A3417">
        <v>101223</v>
      </c>
      <c r="B3417" s="3" t="s">
        <v>383</v>
      </c>
      <c r="C3417" s="1">
        <v>43500101</v>
      </c>
      <c r="D3417" t="s">
        <v>113</v>
      </c>
      <c r="H3417" t="str">
        <f t="shared" si="348"/>
        <v>00348170101</v>
      </c>
      <c r="I3417" t="str">
        <f t="shared" si="348"/>
        <v>00348170101</v>
      </c>
      <c r="K3417" t="str">
        <f>""</f>
        <v/>
      </c>
      <c r="M3417" t="s">
        <v>68</v>
      </c>
      <c r="N3417" t="str">
        <f t="shared" si="349"/>
        <v>ALTFIN</v>
      </c>
      <c r="O3417" t="s">
        <v>123</v>
      </c>
      <c r="P3417" s="3" t="s">
        <v>88</v>
      </c>
      <c r="Q3417">
        <v>2016</v>
      </c>
      <c r="R3417" s="2">
        <v>42508</v>
      </c>
      <c r="S3417" s="2">
        <v>42510</v>
      </c>
      <c r="T3417" s="2">
        <v>42510</v>
      </c>
      <c r="U3417" s="2">
        <v>42570</v>
      </c>
      <c r="V3417" t="s">
        <v>71</v>
      </c>
      <c r="W3417" t="str">
        <f>"                0518"</f>
        <v xml:space="preserve">                0518</v>
      </c>
      <c r="X3417">
        <v>0</v>
      </c>
      <c r="Y3417" s="1">
        <v>2780</v>
      </c>
      <c r="Z3417"/>
      <c r="AB3417"/>
      <c r="AC3417" s="1">
        <v>2780</v>
      </c>
      <c r="AD3417">
        <v>-57</v>
      </c>
      <c r="AE3417" s="1">
        <v>-158460</v>
      </c>
      <c r="AF3417">
        <v>0</v>
      </c>
      <c r="AJ3417">
        <v>0</v>
      </c>
      <c r="AK3417">
        <v>0</v>
      </c>
      <c r="AL3417">
        <v>0</v>
      </c>
      <c r="AM3417" s="1">
        <v>2780</v>
      </c>
      <c r="AN3417" s="1">
        <v>2780</v>
      </c>
      <c r="AO3417" s="1">
        <v>2780</v>
      </c>
      <c r="AP3417" s="2">
        <v>42746</v>
      </c>
      <c r="AQ3417" t="s">
        <v>72</v>
      </c>
      <c r="AR3417" t="s">
        <v>72</v>
      </c>
      <c r="AS3417">
        <v>1352</v>
      </c>
      <c r="AT3417" s="4">
        <v>42513</v>
      </c>
      <c r="AV3417">
        <v>1352</v>
      </c>
      <c r="AW3417" s="4">
        <v>42513</v>
      </c>
      <c r="BD3417">
        <v>0</v>
      </c>
      <c r="BN3417" t="s">
        <v>74</v>
      </c>
    </row>
    <row r="3418" spans="1:66" hidden="1">
      <c r="A3418">
        <v>101223</v>
      </c>
      <c r="B3418" s="3" t="s">
        <v>383</v>
      </c>
      <c r="C3418" s="1">
        <v>43500101</v>
      </c>
      <c r="D3418" t="s">
        <v>113</v>
      </c>
      <c r="H3418" t="str">
        <f t="shared" si="348"/>
        <v>00348170101</v>
      </c>
      <c r="I3418" t="str">
        <f t="shared" si="348"/>
        <v>00348170101</v>
      </c>
      <c r="K3418" t="str">
        <f>""</f>
        <v/>
      </c>
      <c r="M3418" t="s">
        <v>68</v>
      </c>
      <c r="N3418" t="str">
        <f t="shared" si="349"/>
        <v>ALTFIN</v>
      </c>
      <c r="O3418" t="s">
        <v>123</v>
      </c>
      <c r="P3418" s="3" t="s">
        <v>89</v>
      </c>
      <c r="Q3418">
        <v>2016</v>
      </c>
      <c r="R3418" s="2">
        <v>42548</v>
      </c>
      <c r="S3418" s="2">
        <v>42543</v>
      </c>
      <c r="T3418" s="2">
        <v>42543</v>
      </c>
      <c r="U3418" s="2">
        <v>42603</v>
      </c>
      <c r="V3418" t="s">
        <v>71</v>
      </c>
      <c r="W3418" t="str">
        <f>"                0627"</f>
        <v xml:space="preserve">                0627</v>
      </c>
      <c r="X3418">
        <v>0</v>
      </c>
      <c r="Y3418" s="1">
        <v>2980</v>
      </c>
      <c r="Z3418"/>
      <c r="AB3418"/>
      <c r="AC3418" s="1">
        <v>2980</v>
      </c>
      <c r="AD3418">
        <v>-47</v>
      </c>
      <c r="AE3418" s="1">
        <v>-140060</v>
      </c>
      <c r="AF3418">
        <v>0</v>
      </c>
      <c r="AJ3418">
        <v>0</v>
      </c>
      <c r="AK3418">
        <v>0</v>
      </c>
      <c r="AL3418">
        <v>0</v>
      </c>
      <c r="AM3418" s="1">
        <v>2980</v>
      </c>
      <c r="AN3418" s="1">
        <v>2980</v>
      </c>
      <c r="AO3418" s="1">
        <v>2980</v>
      </c>
      <c r="AP3418" s="2">
        <v>42746</v>
      </c>
      <c r="AQ3418" t="s">
        <v>72</v>
      </c>
      <c r="AR3418" t="s">
        <v>72</v>
      </c>
      <c r="AS3418">
        <v>1735</v>
      </c>
      <c r="AT3418" s="4">
        <v>42556</v>
      </c>
      <c r="AV3418">
        <v>1735</v>
      </c>
      <c r="AW3418" s="4">
        <v>42556</v>
      </c>
      <c r="BD3418">
        <v>0</v>
      </c>
      <c r="BN3418" t="s">
        <v>74</v>
      </c>
    </row>
    <row r="3419" spans="1:66" hidden="1">
      <c r="A3419">
        <v>101223</v>
      </c>
      <c r="B3419" s="3" t="s">
        <v>383</v>
      </c>
      <c r="C3419" s="1">
        <v>43500101</v>
      </c>
      <c r="D3419" t="s">
        <v>113</v>
      </c>
      <c r="H3419" t="str">
        <f t="shared" si="348"/>
        <v>00348170101</v>
      </c>
      <c r="I3419" t="str">
        <f t="shared" si="348"/>
        <v>00348170101</v>
      </c>
      <c r="K3419" t="str">
        <f>""</f>
        <v/>
      </c>
      <c r="M3419" t="s">
        <v>68</v>
      </c>
      <c r="N3419" t="str">
        <f t="shared" si="349"/>
        <v>ALTFIN</v>
      </c>
      <c r="O3419" t="s">
        <v>123</v>
      </c>
      <c r="P3419" s="3" t="s">
        <v>90</v>
      </c>
      <c r="Q3419">
        <v>2016</v>
      </c>
      <c r="R3419" s="2">
        <v>42573</v>
      </c>
      <c r="S3419" s="2">
        <v>42573</v>
      </c>
      <c r="T3419" s="2">
        <v>42573</v>
      </c>
      <c r="U3419" s="2">
        <v>42633</v>
      </c>
      <c r="V3419" t="s">
        <v>71</v>
      </c>
      <c r="W3419" t="str">
        <f>"                0722"</f>
        <v xml:space="preserve">                0722</v>
      </c>
      <c r="X3419">
        <v>0</v>
      </c>
      <c r="Y3419" s="1">
        <v>2980</v>
      </c>
      <c r="Z3419"/>
      <c r="AB3419"/>
      <c r="AC3419" s="1">
        <v>2980</v>
      </c>
      <c r="AD3419">
        <v>-48</v>
      </c>
      <c r="AE3419" s="1">
        <v>-143040</v>
      </c>
      <c r="AF3419">
        <v>0</v>
      </c>
      <c r="AJ3419">
        <v>0</v>
      </c>
      <c r="AK3419">
        <v>0</v>
      </c>
      <c r="AL3419">
        <v>0</v>
      </c>
      <c r="AM3419" s="1">
        <v>2980</v>
      </c>
      <c r="AN3419" s="1">
        <v>2980</v>
      </c>
      <c r="AO3419" s="1">
        <v>2980</v>
      </c>
      <c r="AP3419" s="2">
        <v>42746</v>
      </c>
      <c r="AQ3419" t="s">
        <v>72</v>
      </c>
      <c r="AR3419" t="s">
        <v>72</v>
      </c>
      <c r="AS3419">
        <v>2133</v>
      </c>
      <c r="AT3419" s="4">
        <v>42585</v>
      </c>
      <c r="AV3419">
        <v>2133</v>
      </c>
      <c r="AW3419" s="4">
        <v>42585</v>
      </c>
      <c r="BD3419">
        <v>0</v>
      </c>
      <c r="BN3419" t="s">
        <v>74</v>
      </c>
    </row>
    <row r="3420" spans="1:66" hidden="1">
      <c r="A3420">
        <v>101223</v>
      </c>
      <c r="B3420" s="3" t="s">
        <v>383</v>
      </c>
      <c r="C3420" s="1">
        <v>43500101</v>
      </c>
      <c r="D3420" t="s">
        <v>113</v>
      </c>
      <c r="H3420" t="str">
        <f t="shared" si="348"/>
        <v>00348170101</v>
      </c>
      <c r="I3420" t="str">
        <f t="shared" si="348"/>
        <v>00348170101</v>
      </c>
      <c r="K3420" t="str">
        <f>""</f>
        <v/>
      </c>
      <c r="M3420" t="s">
        <v>68</v>
      </c>
      <c r="N3420" t="str">
        <f t="shared" si="349"/>
        <v>ALTFIN</v>
      </c>
      <c r="O3420" t="s">
        <v>123</v>
      </c>
      <c r="P3420" s="3" t="s">
        <v>91</v>
      </c>
      <c r="Q3420">
        <v>2016</v>
      </c>
      <c r="R3420" s="2">
        <v>42592</v>
      </c>
      <c r="S3420" s="2">
        <v>42598</v>
      </c>
      <c r="T3420" s="2">
        <v>42598</v>
      </c>
      <c r="U3420" s="2">
        <v>42658</v>
      </c>
      <c r="V3420" t="s">
        <v>71</v>
      </c>
      <c r="W3420" t="str">
        <f>"                0810"</f>
        <v xml:space="preserve">                0810</v>
      </c>
      <c r="X3420">
        <v>0</v>
      </c>
      <c r="Y3420" s="1">
        <v>2880</v>
      </c>
      <c r="Z3420"/>
      <c r="AB3420"/>
      <c r="AC3420" s="1">
        <v>2880</v>
      </c>
      <c r="AD3420">
        <v>-60</v>
      </c>
      <c r="AE3420" s="1">
        <v>-172800</v>
      </c>
      <c r="AF3420">
        <v>0</v>
      </c>
      <c r="AJ3420">
        <v>0</v>
      </c>
      <c r="AK3420">
        <v>0</v>
      </c>
      <c r="AL3420">
        <v>0</v>
      </c>
      <c r="AM3420" s="1">
        <v>2880</v>
      </c>
      <c r="AN3420" s="1">
        <v>2880</v>
      </c>
      <c r="AO3420" s="1">
        <v>2880</v>
      </c>
      <c r="AP3420" s="2">
        <v>42746</v>
      </c>
      <c r="AQ3420" t="s">
        <v>72</v>
      </c>
      <c r="AR3420" t="s">
        <v>72</v>
      </c>
      <c r="AS3420">
        <v>2216</v>
      </c>
      <c r="AT3420" s="4">
        <v>42598</v>
      </c>
      <c r="AV3420">
        <v>2216</v>
      </c>
      <c r="AW3420" s="4">
        <v>42598</v>
      </c>
      <c r="BD3420">
        <v>0</v>
      </c>
      <c r="BN3420" t="s">
        <v>74</v>
      </c>
    </row>
    <row r="3421" spans="1:66" hidden="1">
      <c r="A3421">
        <v>101223</v>
      </c>
      <c r="B3421" s="3" t="s">
        <v>383</v>
      </c>
      <c r="C3421" s="1">
        <v>43500101</v>
      </c>
      <c r="D3421" t="s">
        <v>113</v>
      </c>
      <c r="H3421" t="str">
        <f t="shared" si="348"/>
        <v>00348170101</v>
      </c>
      <c r="I3421" t="str">
        <f t="shared" si="348"/>
        <v>00348170101</v>
      </c>
      <c r="K3421" t="str">
        <f>""</f>
        <v/>
      </c>
      <c r="M3421" t="s">
        <v>68</v>
      </c>
      <c r="N3421" t="str">
        <f t="shared" si="349"/>
        <v>ALTFIN</v>
      </c>
      <c r="O3421" t="s">
        <v>123</v>
      </c>
      <c r="P3421" s="3" t="s">
        <v>92</v>
      </c>
      <c r="Q3421">
        <v>2016</v>
      </c>
      <c r="R3421" s="2">
        <v>42633</v>
      </c>
      <c r="S3421" s="2">
        <v>42634</v>
      </c>
      <c r="T3421" s="2">
        <v>42634</v>
      </c>
      <c r="U3421" s="2">
        <v>42694</v>
      </c>
      <c r="V3421" t="s">
        <v>71</v>
      </c>
      <c r="W3421" t="str">
        <f>"                0920"</f>
        <v xml:space="preserve">                0920</v>
      </c>
      <c r="X3421">
        <v>0</v>
      </c>
      <c r="Y3421" s="1">
        <v>2481</v>
      </c>
      <c r="Z3421"/>
      <c r="AB3421"/>
      <c r="AC3421" s="1">
        <v>2481</v>
      </c>
      <c r="AD3421">
        <v>-60</v>
      </c>
      <c r="AE3421" s="1">
        <v>-148860</v>
      </c>
      <c r="AF3421">
        <v>0</v>
      </c>
      <c r="AJ3421">
        <v>0</v>
      </c>
      <c r="AK3421">
        <v>0</v>
      </c>
      <c r="AL3421">
        <v>0</v>
      </c>
      <c r="AM3421" s="1">
        <v>2481</v>
      </c>
      <c r="AN3421" s="1">
        <v>2481</v>
      </c>
      <c r="AO3421" s="1">
        <v>2481</v>
      </c>
      <c r="AP3421" s="2">
        <v>42746</v>
      </c>
      <c r="AQ3421" t="s">
        <v>72</v>
      </c>
      <c r="AR3421" t="s">
        <v>72</v>
      </c>
      <c r="AS3421">
        <v>2489</v>
      </c>
      <c r="AT3421" s="4">
        <v>42634</v>
      </c>
      <c r="AV3421">
        <v>2489</v>
      </c>
      <c r="AW3421" s="4">
        <v>42634</v>
      </c>
      <c r="BD3421">
        <v>0</v>
      </c>
      <c r="BN3421" t="s">
        <v>74</v>
      </c>
    </row>
    <row r="3422" spans="1:66" hidden="1">
      <c r="A3422">
        <v>101223</v>
      </c>
      <c r="B3422" s="3" t="s">
        <v>383</v>
      </c>
      <c r="C3422" s="1">
        <v>43500101</v>
      </c>
      <c r="D3422" t="s">
        <v>113</v>
      </c>
      <c r="H3422" t="str">
        <f t="shared" si="348"/>
        <v>00348170101</v>
      </c>
      <c r="I3422" t="str">
        <f t="shared" si="348"/>
        <v>00348170101</v>
      </c>
      <c r="K3422" t="str">
        <f>""</f>
        <v/>
      </c>
      <c r="M3422" t="s">
        <v>68</v>
      </c>
      <c r="N3422" t="str">
        <f t="shared" si="349"/>
        <v>ALTFIN</v>
      </c>
      <c r="O3422" t="s">
        <v>123</v>
      </c>
      <c r="P3422" s="3" t="s">
        <v>93</v>
      </c>
      <c r="Q3422">
        <v>2016</v>
      </c>
      <c r="R3422" s="2">
        <v>42664</v>
      </c>
      <c r="S3422" s="2">
        <v>42667</v>
      </c>
      <c r="T3422" s="2">
        <v>42667</v>
      </c>
      <c r="U3422" s="2">
        <v>42727</v>
      </c>
      <c r="V3422" t="s">
        <v>71</v>
      </c>
      <c r="W3422" t="str">
        <f>"                1021"</f>
        <v xml:space="preserve">                1021</v>
      </c>
      <c r="X3422">
        <v>0</v>
      </c>
      <c r="Y3422" s="1">
        <v>2481</v>
      </c>
      <c r="Z3422" s="5">
        <v>2481</v>
      </c>
      <c r="AA3422">
        <v>-60</v>
      </c>
      <c r="AB3422" s="5">
        <v>-148860</v>
      </c>
      <c r="AC3422" s="1">
        <v>2481</v>
      </c>
      <c r="AD3422">
        <v>-60</v>
      </c>
      <c r="AE3422" s="1">
        <v>-148860</v>
      </c>
      <c r="AF3422">
        <v>0</v>
      </c>
      <c r="AJ3422" s="1">
        <v>2481</v>
      </c>
      <c r="AK3422" s="1">
        <v>2481</v>
      </c>
      <c r="AL3422" s="1">
        <v>2481</v>
      </c>
      <c r="AM3422" s="1">
        <v>2481</v>
      </c>
      <c r="AN3422" s="1">
        <v>2481</v>
      </c>
      <c r="AO3422" s="1">
        <v>2481</v>
      </c>
      <c r="AP3422" s="2">
        <v>42746</v>
      </c>
      <c r="AQ3422" t="s">
        <v>72</v>
      </c>
      <c r="AR3422" t="s">
        <v>72</v>
      </c>
      <c r="AS3422">
        <v>2837</v>
      </c>
      <c r="AT3422" s="4">
        <v>42667</v>
      </c>
      <c r="AV3422">
        <v>2837</v>
      </c>
      <c r="AW3422" s="4">
        <v>42667</v>
      </c>
      <c r="BD3422">
        <v>0</v>
      </c>
      <c r="BN3422" t="s">
        <v>74</v>
      </c>
    </row>
    <row r="3423" spans="1:66" hidden="1">
      <c r="A3423">
        <v>101223</v>
      </c>
      <c r="B3423" s="3" t="s">
        <v>383</v>
      </c>
      <c r="C3423" s="1">
        <v>43500101</v>
      </c>
      <c r="D3423" t="s">
        <v>113</v>
      </c>
      <c r="H3423" t="str">
        <f t="shared" si="348"/>
        <v>00348170101</v>
      </c>
      <c r="I3423" t="str">
        <f t="shared" si="348"/>
        <v>00348170101</v>
      </c>
      <c r="K3423" t="str">
        <f>""</f>
        <v/>
      </c>
      <c r="M3423" t="s">
        <v>68</v>
      </c>
      <c r="N3423" t="str">
        <f t="shared" si="349"/>
        <v>ALTFIN</v>
      </c>
      <c r="O3423" t="s">
        <v>123</v>
      </c>
      <c r="P3423" s="3" t="s">
        <v>94</v>
      </c>
      <c r="Q3423">
        <v>2016</v>
      </c>
      <c r="R3423" s="2">
        <v>42696</v>
      </c>
      <c r="S3423" s="2">
        <v>42696</v>
      </c>
      <c r="T3423" s="2">
        <v>42696</v>
      </c>
      <c r="U3423" s="2">
        <v>42756</v>
      </c>
      <c r="V3423" t="s">
        <v>71</v>
      </c>
      <c r="W3423" t="str">
        <f>"                1122"</f>
        <v xml:space="preserve">                1122</v>
      </c>
      <c r="X3423">
        <v>0</v>
      </c>
      <c r="Y3423" s="1">
        <v>2481</v>
      </c>
      <c r="Z3423" s="5">
        <v>2481</v>
      </c>
      <c r="AA3423">
        <v>-59</v>
      </c>
      <c r="AB3423" s="5">
        <v>-146379</v>
      </c>
      <c r="AC3423" s="1">
        <v>2481</v>
      </c>
      <c r="AD3423">
        <v>-59</v>
      </c>
      <c r="AE3423" s="1">
        <v>-146379</v>
      </c>
      <c r="AF3423">
        <v>0</v>
      </c>
      <c r="AJ3423" s="1">
        <v>2481</v>
      </c>
      <c r="AK3423" s="1">
        <v>2481</v>
      </c>
      <c r="AL3423" s="1">
        <v>2481</v>
      </c>
      <c r="AM3423" s="1">
        <v>2481</v>
      </c>
      <c r="AN3423" s="1">
        <v>2481</v>
      </c>
      <c r="AO3423" s="1">
        <v>2481</v>
      </c>
      <c r="AP3423" s="2">
        <v>42746</v>
      </c>
      <c r="AQ3423" t="s">
        <v>72</v>
      </c>
      <c r="AR3423" t="s">
        <v>72</v>
      </c>
      <c r="AS3423">
        <v>3275</v>
      </c>
      <c r="AT3423" s="4">
        <v>42697</v>
      </c>
      <c r="AV3423">
        <v>3275</v>
      </c>
      <c r="AW3423" s="4">
        <v>42697</v>
      </c>
      <c r="BD3423">
        <v>0</v>
      </c>
      <c r="BN3423" t="s">
        <v>74</v>
      </c>
    </row>
    <row r="3424" spans="1:66" hidden="1">
      <c r="A3424">
        <v>101223</v>
      </c>
      <c r="B3424" s="3" t="s">
        <v>383</v>
      </c>
      <c r="C3424" s="1">
        <v>43500101</v>
      </c>
      <c r="D3424" t="s">
        <v>113</v>
      </c>
      <c r="H3424" t="str">
        <f t="shared" si="348"/>
        <v>00348170101</v>
      </c>
      <c r="I3424" t="str">
        <f t="shared" si="348"/>
        <v>00348170101</v>
      </c>
      <c r="K3424" t="str">
        <f>""</f>
        <v/>
      </c>
      <c r="M3424" t="s">
        <v>68</v>
      </c>
      <c r="N3424" t="str">
        <f t="shared" si="349"/>
        <v>ALTFIN</v>
      </c>
      <c r="O3424" t="s">
        <v>123</v>
      </c>
      <c r="P3424" s="3" t="s">
        <v>95</v>
      </c>
      <c r="Q3424">
        <v>2016</v>
      </c>
      <c r="R3424" s="2">
        <v>42717</v>
      </c>
      <c r="S3424" s="2">
        <v>42717</v>
      </c>
      <c r="T3424" s="2">
        <v>42717</v>
      </c>
      <c r="U3424" s="2">
        <v>42777</v>
      </c>
      <c r="V3424" t="s">
        <v>71</v>
      </c>
      <c r="W3424" t="str">
        <f>"                1213"</f>
        <v xml:space="preserve">                1213</v>
      </c>
      <c r="X3424">
        <v>0</v>
      </c>
      <c r="Y3424" s="1">
        <v>2481</v>
      </c>
      <c r="Z3424" s="5">
        <v>2481</v>
      </c>
      <c r="AA3424">
        <v>-59</v>
      </c>
      <c r="AB3424" s="5">
        <v>-146379</v>
      </c>
      <c r="AC3424" s="1">
        <v>2481</v>
      </c>
      <c r="AD3424">
        <v>-59</v>
      </c>
      <c r="AE3424" s="1">
        <v>-146379</v>
      </c>
      <c r="AF3424">
        <v>0</v>
      </c>
      <c r="AJ3424" s="1">
        <v>2481</v>
      </c>
      <c r="AK3424" s="1">
        <v>2481</v>
      </c>
      <c r="AL3424" s="1">
        <v>2481</v>
      </c>
      <c r="AM3424" s="1">
        <v>2481</v>
      </c>
      <c r="AN3424" s="1">
        <v>2481</v>
      </c>
      <c r="AO3424" s="1">
        <v>2481</v>
      </c>
      <c r="AP3424" s="2">
        <v>42746</v>
      </c>
      <c r="AQ3424" t="s">
        <v>72</v>
      </c>
      <c r="AR3424" t="s">
        <v>72</v>
      </c>
      <c r="AS3424">
        <v>3432</v>
      </c>
      <c r="AT3424" s="4">
        <v>42718</v>
      </c>
      <c r="AV3424">
        <v>3432</v>
      </c>
      <c r="AW3424" s="4">
        <v>42718</v>
      </c>
      <c r="BD3424">
        <v>0</v>
      </c>
      <c r="BN3424" t="s">
        <v>74</v>
      </c>
    </row>
    <row r="3425" spans="1:66" hidden="1">
      <c r="A3425">
        <v>101235</v>
      </c>
      <c r="B3425" s="3" t="s">
        <v>385</v>
      </c>
      <c r="C3425" s="1">
        <v>43500101</v>
      </c>
      <c r="D3425" t="s">
        <v>113</v>
      </c>
      <c r="H3425" t="str">
        <f>"MGLMNT66S49A509P"</f>
        <v>MGLMNT66S49A509P</v>
      </c>
      <c r="I3425" t="str">
        <f>"02906870643"</f>
        <v>02906870643</v>
      </c>
      <c r="K3425" t="str">
        <f>""</f>
        <v/>
      </c>
      <c r="M3425" t="s">
        <v>68</v>
      </c>
      <c r="N3425" t="str">
        <f>"ALTPRO"</f>
        <v>ALTPRO</v>
      </c>
      <c r="O3425" t="s">
        <v>132</v>
      </c>
      <c r="P3425" s="3" t="s">
        <v>386</v>
      </c>
      <c r="Q3425">
        <v>2016</v>
      </c>
      <c r="R3425" s="2">
        <v>42422</v>
      </c>
      <c r="S3425" s="2">
        <v>42422</v>
      </c>
      <c r="T3425" s="2">
        <v>42422</v>
      </c>
      <c r="U3425" s="2">
        <v>42482</v>
      </c>
      <c r="V3425" t="s">
        <v>71</v>
      </c>
      <c r="W3425" t="str">
        <f>"                  19"</f>
        <v xml:space="preserve">                  19</v>
      </c>
      <c r="X3425">
        <v>0</v>
      </c>
      <c r="Y3425" s="1">
        <v>2000</v>
      </c>
      <c r="Z3425"/>
      <c r="AB3425"/>
      <c r="AC3425" s="1">
        <v>2000</v>
      </c>
      <c r="AD3425">
        <v>-56</v>
      </c>
      <c r="AE3425" s="1">
        <v>-112000</v>
      </c>
      <c r="AF3425">
        <v>0</v>
      </c>
      <c r="AJ3425">
        <v>0</v>
      </c>
      <c r="AK3425">
        <v>0</v>
      </c>
      <c r="AL3425">
        <v>0</v>
      </c>
      <c r="AM3425" s="1">
        <v>2000</v>
      </c>
      <c r="AN3425" s="1">
        <v>2000</v>
      </c>
      <c r="AO3425" s="1">
        <v>2000</v>
      </c>
      <c r="AP3425" s="2">
        <v>42746</v>
      </c>
      <c r="AQ3425" t="s">
        <v>72</v>
      </c>
      <c r="AR3425" t="s">
        <v>72</v>
      </c>
      <c r="AS3425">
        <v>591</v>
      </c>
      <c r="AT3425" s="4">
        <v>42426</v>
      </c>
      <c r="AV3425">
        <v>591</v>
      </c>
      <c r="AW3425" s="4">
        <v>42426</v>
      </c>
      <c r="BD3425">
        <v>0</v>
      </c>
      <c r="BN3425" t="s">
        <v>74</v>
      </c>
    </row>
    <row r="3426" spans="1:66" hidden="1">
      <c r="A3426">
        <v>101238</v>
      </c>
      <c r="B3426" s="3" t="s">
        <v>387</v>
      </c>
      <c r="C3426" s="1">
        <v>43300101</v>
      </c>
      <c r="D3426" t="s">
        <v>67</v>
      </c>
      <c r="H3426" t="str">
        <f t="shared" ref="H3426:I3450" si="350">"10994940152"</f>
        <v>10994940152</v>
      </c>
      <c r="I3426" t="str">
        <f t="shared" si="350"/>
        <v>10994940152</v>
      </c>
      <c r="K3426" t="str">
        <f>""</f>
        <v/>
      </c>
      <c r="M3426" t="s">
        <v>68</v>
      </c>
      <c r="N3426" t="str">
        <f t="shared" ref="N3426:N3450" si="351">"FOR"</f>
        <v>FOR</v>
      </c>
      <c r="O3426" t="s">
        <v>69</v>
      </c>
      <c r="P3426" s="3" t="s">
        <v>75</v>
      </c>
      <c r="Q3426">
        <v>2015</v>
      </c>
      <c r="R3426" s="2">
        <v>42114</v>
      </c>
      <c r="S3426" s="2">
        <v>42135</v>
      </c>
      <c r="T3426" s="2">
        <v>42132</v>
      </c>
      <c r="U3426" s="2">
        <v>42192</v>
      </c>
      <c r="V3426" t="s">
        <v>71</v>
      </c>
      <c r="W3426" t="str">
        <f>"           015008546"</f>
        <v xml:space="preserve">           015008546</v>
      </c>
      <c r="X3426" s="1">
        <v>2342.4</v>
      </c>
      <c r="Y3426">
        <v>0</v>
      </c>
      <c r="Z3426"/>
      <c r="AB3426"/>
      <c r="AC3426" s="1">
        <v>1920</v>
      </c>
      <c r="AD3426">
        <v>261</v>
      </c>
      <c r="AE3426" s="1">
        <v>501120</v>
      </c>
      <c r="AF3426">
        <v>0</v>
      </c>
      <c r="AJ3426">
        <v>0</v>
      </c>
      <c r="AK3426">
        <v>0</v>
      </c>
      <c r="AL3426">
        <v>0</v>
      </c>
      <c r="AM3426">
        <v>0</v>
      </c>
      <c r="AN3426">
        <v>0</v>
      </c>
      <c r="AO3426">
        <v>0</v>
      </c>
      <c r="AP3426" s="2">
        <v>42746</v>
      </c>
      <c r="AQ3426" t="s">
        <v>72</v>
      </c>
      <c r="AR3426" t="s">
        <v>72</v>
      </c>
      <c r="AS3426">
        <v>858</v>
      </c>
      <c r="AT3426" s="4">
        <v>42453</v>
      </c>
      <c r="AU3426" t="s">
        <v>73</v>
      </c>
      <c r="AV3426">
        <v>858</v>
      </c>
      <c r="AW3426" s="4">
        <v>42453</v>
      </c>
      <c r="BD3426">
        <v>0</v>
      </c>
      <c r="BN3426" t="s">
        <v>74</v>
      </c>
    </row>
    <row r="3427" spans="1:66" hidden="1">
      <c r="A3427">
        <v>101238</v>
      </c>
      <c r="B3427" s="3" t="s">
        <v>387</v>
      </c>
      <c r="C3427" s="1">
        <v>43300101</v>
      </c>
      <c r="D3427" t="s">
        <v>67</v>
      </c>
      <c r="H3427" t="str">
        <f t="shared" si="350"/>
        <v>10994940152</v>
      </c>
      <c r="I3427" t="str">
        <f t="shared" si="350"/>
        <v>10994940152</v>
      </c>
      <c r="K3427" t="str">
        <f>""</f>
        <v/>
      </c>
      <c r="M3427" t="s">
        <v>68</v>
      </c>
      <c r="N3427" t="str">
        <f t="shared" si="351"/>
        <v>FOR</v>
      </c>
      <c r="O3427" t="s">
        <v>69</v>
      </c>
      <c r="P3427" s="3" t="s">
        <v>75</v>
      </c>
      <c r="Q3427">
        <v>2015</v>
      </c>
      <c r="R3427" s="2">
        <v>42117</v>
      </c>
      <c r="S3427" s="2">
        <v>42121</v>
      </c>
      <c r="T3427" s="2">
        <v>42119</v>
      </c>
      <c r="U3427" s="2">
        <v>42179</v>
      </c>
      <c r="V3427" t="s">
        <v>71</v>
      </c>
      <c r="W3427" t="str">
        <f>"           015009664"</f>
        <v xml:space="preserve">           015009664</v>
      </c>
      <c r="X3427" s="1">
        <v>2928</v>
      </c>
      <c r="Y3427">
        <v>0</v>
      </c>
      <c r="Z3427"/>
      <c r="AB3427"/>
      <c r="AC3427" s="1">
        <v>2400</v>
      </c>
      <c r="AD3427">
        <v>237</v>
      </c>
      <c r="AE3427" s="1">
        <v>568800</v>
      </c>
      <c r="AF3427">
        <v>0</v>
      </c>
      <c r="AJ3427">
        <v>0</v>
      </c>
      <c r="AK3427">
        <v>0</v>
      </c>
      <c r="AL3427">
        <v>0</v>
      </c>
      <c r="AM3427">
        <v>0</v>
      </c>
      <c r="AN3427">
        <v>0</v>
      </c>
      <c r="AO3427">
        <v>0</v>
      </c>
      <c r="AP3427" s="2">
        <v>42746</v>
      </c>
      <c r="AQ3427" t="s">
        <v>72</v>
      </c>
      <c r="AR3427" t="s">
        <v>72</v>
      </c>
      <c r="AS3427">
        <v>423</v>
      </c>
      <c r="AT3427" s="4">
        <v>42416</v>
      </c>
      <c r="AU3427" t="s">
        <v>73</v>
      </c>
      <c r="AV3427">
        <v>423</v>
      </c>
      <c r="AW3427" s="4">
        <v>42416</v>
      </c>
      <c r="BD3427">
        <v>0</v>
      </c>
      <c r="BN3427" t="s">
        <v>74</v>
      </c>
    </row>
    <row r="3428" spans="1:66" hidden="1">
      <c r="A3428">
        <v>101238</v>
      </c>
      <c r="B3428" s="3" t="s">
        <v>387</v>
      </c>
      <c r="C3428" s="1">
        <v>43300101</v>
      </c>
      <c r="D3428" t="s">
        <v>67</v>
      </c>
      <c r="H3428" t="str">
        <f t="shared" si="350"/>
        <v>10994940152</v>
      </c>
      <c r="I3428" t="str">
        <f t="shared" si="350"/>
        <v>10994940152</v>
      </c>
      <c r="K3428" t="str">
        <f>""</f>
        <v/>
      </c>
      <c r="M3428" t="s">
        <v>68</v>
      </c>
      <c r="N3428" t="str">
        <f t="shared" si="351"/>
        <v>FOR</v>
      </c>
      <c r="O3428" t="s">
        <v>69</v>
      </c>
      <c r="P3428" s="3" t="s">
        <v>75</v>
      </c>
      <c r="Q3428">
        <v>2015</v>
      </c>
      <c r="R3428" s="2">
        <v>42122</v>
      </c>
      <c r="S3428" s="2">
        <v>42131</v>
      </c>
      <c r="T3428" s="2">
        <v>42130</v>
      </c>
      <c r="U3428" s="2">
        <v>42190</v>
      </c>
      <c r="V3428" t="s">
        <v>71</v>
      </c>
      <c r="W3428" t="str">
        <f>"           015010216"</f>
        <v xml:space="preserve">           015010216</v>
      </c>
      <c r="X3428" s="1">
        <v>9694.94</v>
      </c>
      <c r="Y3428">
        <v>0</v>
      </c>
      <c r="Z3428"/>
      <c r="AB3428"/>
      <c r="AC3428" s="1">
        <v>7946.67</v>
      </c>
      <c r="AD3428">
        <v>263</v>
      </c>
      <c r="AE3428" s="1">
        <v>2089974.21</v>
      </c>
      <c r="AF3428">
        <v>0</v>
      </c>
      <c r="AJ3428">
        <v>0</v>
      </c>
      <c r="AK3428">
        <v>0</v>
      </c>
      <c r="AL3428">
        <v>0</v>
      </c>
      <c r="AM3428">
        <v>0</v>
      </c>
      <c r="AN3428">
        <v>0</v>
      </c>
      <c r="AO3428">
        <v>0</v>
      </c>
      <c r="AP3428" s="2">
        <v>42746</v>
      </c>
      <c r="AQ3428" t="s">
        <v>72</v>
      </c>
      <c r="AR3428" t="s">
        <v>72</v>
      </c>
      <c r="AS3428">
        <v>858</v>
      </c>
      <c r="AT3428" s="4">
        <v>42453</v>
      </c>
      <c r="AU3428" t="s">
        <v>73</v>
      </c>
      <c r="AV3428">
        <v>858</v>
      </c>
      <c r="AW3428" s="4">
        <v>42453</v>
      </c>
      <c r="BD3428">
        <v>0</v>
      </c>
      <c r="BN3428" t="s">
        <v>74</v>
      </c>
    </row>
    <row r="3429" spans="1:66" hidden="1">
      <c r="A3429">
        <v>101238</v>
      </c>
      <c r="B3429" s="3" t="s">
        <v>387</v>
      </c>
      <c r="C3429" s="1">
        <v>43300101</v>
      </c>
      <c r="D3429" t="s">
        <v>67</v>
      </c>
      <c r="H3429" t="str">
        <f t="shared" si="350"/>
        <v>10994940152</v>
      </c>
      <c r="I3429" t="str">
        <f t="shared" si="350"/>
        <v>10994940152</v>
      </c>
      <c r="K3429" t="str">
        <f>""</f>
        <v/>
      </c>
      <c r="M3429" t="s">
        <v>68</v>
      </c>
      <c r="N3429" t="str">
        <f t="shared" si="351"/>
        <v>FOR</v>
      </c>
      <c r="O3429" t="s">
        <v>69</v>
      </c>
      <c r="P3429" s="3" t="s">
        <v>75</v>
      </c>
      <c r="Q3429">
        <v>2015</v>
      </c>
      <c r="R3429" s="2">
        <v>42124</v>
      </c>
      <c r="S3429" s="2">
        <v>42132</v>
      </c>
      <c r="T3429" s="2">
        <v>42130</v>
      </c>
      <c r="U3429" s="2">
        <v>42190</v>
      </c>
      <c r="V3429" t="s">
        <v>71</v>
      </c>
      <c r="W3429" t="str">
        <f>"           015010830"</f>
        <v xml:space="preserve">           015010830</v>
      </c>
      <c r="X3429" s="1">
        <v>1390.8</v>
      </c>
      <c r="Y3429">
        <v>0</v>
      </c>
      <c r="Z3429"/>
      <c r="AB3429"/>
      <c r="AC3429" s="1">
        <v>1140</v>
      </c>
      <c r="AD3429">
        <v>226</v>
      </c>
      <c r="AE3429" s="1">
        <v>257640</v>
      </c>
      <c r="AF3429">
        <v>0</v>
      </c>
      <c r="AJ3429">
        <v>0</v>
      </c>
      <c r="AK3429">
        <v>0</v>
      </c>
      <c r="AL3429">
        <v>0</v>
      </c>
      <c r="AM3429">
        <v>0</v>
      </c>
      <c r="AN3429">
        <v>0</v>
      </c>
      <c r="AO3429">
        <v>0</v>
      </c>
      <c r="AP3429" s="2">
        <v>42746</v>
      </c>
      <c r="AQ3429" t="s">
        <v>72</v>
      </c>
      <c r="AR3429" t="s">
        <v>72</v>
      </c>
      <c r="AS3429">
        <v>423</v>
      </c>
      <c r="AT3429" s="4">
        <v>42416</v>
      </c>
      <c r="AU3429" t="s">
        <v>73</v>
      </c>
      <c r="AV3429">
        <v>423</v>
      </c>
      <c r="AW3429" s="4">
        <v>42416</v>
      </c>
      <c r="BD3429">
        <v>0</v>
      </c>
      <c r="BN3429" t="s">
        <v>74</v>
      </c>
    </row>
    <row r="3430" spans="1:66" hidden="1">
      <c r="A3430">
        <v>101238</v>
      </c>
      <c r="B3430" s="3" t="s">
        <v>387</v>
      </c>
      <c r="C3430" s="1">
        <v>43300101</v>
      </c>
      <c r="D3430" t="s">
        <v>67</v>
      </c>
      <c r="H3430" t="str">
        <f t="shared" si="350"/>
        <v>10994940152</v>
      </c>
      <c r="I3430" t="str">
        <f t="shared" si="350"/>
        <v>10994940152</v>
      </c>
      <c r="K3430" t="str">
        <f>""</f>
        <v/>
      </c>
      <c r="M3430" t="s">
        <v>68</v>
      </c>
      <c r="N3430" t="str">
        <f t="shared" si="351"/>
        <v>FOR</v>
      </c>
      <c r="O3430" t="s">
        <v>69</v>
      </c>
      <c r="P3430" s="3" t="s">
        <v>75</v>
      </c>
      <c r="Q3430">
        <v>2015</v>
      </c>
      <c r="R3430" s="2">
        <v>42134</v>
      </c>
      <c r="S3430" s="2">
        <v>42160</v>
      </c>
      <c r="T3430" s="2">
        <v>42152</v>
      </c>
      <c r="U3430" s="2">
        <v>42212</v>
      </c>
      <c r="V3430" t="s">
        <v>71</v>
      </c>
      <c r="W3430" t="str">
        <f>"           015011198"</f>
        <v xml:space="preserve">           015011198</v>
      </c>
      <c r="X3430" s="1">
        <v>1098</v>
      </c>
      <c r="Y3430">
        <v>0</v>
      </c>
      <c r="Z3430"/>
      <c r="AB3430"/>
      <c r="AC3430">
        <v>900</v>
      </c>
      <c r="AD3430">
        <v>241</v>
      </c>
      <c r="AE3430" s="1">
        <v>216900</v>
      </c>
      <c r="AF3430">
        <v>0</v>
      </c>
      <c r="AJ3430">
        <v>0</v>
      </c>
      <c r="AK3430">
        <v>0</v>
      </c>
      <c r="AL3430">
        <v>0</v>
      </c>
      <c r="AM3430">
        <v>0</v>
      </c>
      <c r="AN3430">
        <v>0</v>
      </c>
      <c r="AO3430">
        <v>0</v>
      </c>
      <c r="AP3430" s="2">
        <v>42746</v>
      </c>
      <c r="AQ3430" t="s">
        <v>72</v>
      </c>
      <c r="AR3430" t="s">
        <v>72</v>
      </c>
      <c r="AS3430">
        <v>858</v>
      </c>
      <c r="AT3430" s="4">
        <v>42453</v>
      </c>
      <c r="AU3430" t="s">
        <v>73</v>
      </c>
      <c r="AV3430">
        <v>858</v>
      </c>
      <c r="AW3430" s="4">
        <v>42453</v>
      </c>
      <c r="BD3430">
        <v>0</v>
      </c>
      <c r="BN3430" t="s">
        <v>74</v>
      </c>
    </row>
    <row r="3431" spans="1:66" hidden="1">
      <c r="A3431">
        <v>101238</v>
      </c>
      <c r="B3431" s="3" t="s">
        <v>387</v>
      </c>
      <c r="C3431" s="1">
        <v>43300101</v>
      </c>
      <c r="D3431" t="s">
        <v>67</v>
      </c>
      <c r="H3431" t="str">
        <f t="shared" si="350"/>
        <v>10994940152</v>
      </c>
      <c r="I3431" t="str">
        <f t="shared" si="350"/>
        <v>10994940152</v>
      </c>
      <c r="K3431" t="str">
        <f>""</f>
        <v/>
      </c>
      <c r="M3431" t="s">
        <v>68</v>
      </c>
      <c r="N3431" t="str">
        <f t="shared" si="351"/>
        <v>FOR</v>
      </c>
      <c r="O3431" t="s">
        <v>69</v>
      </c>
      <c r="P3431" s="3" t="s">
        <v>75</v>
      </c>
      <c r="Q3431">
        <v>2015</v>
      </c>
      <c r="R3431" s="2">
        <v>42150</v>
      </c>
      <c r="S3431" s="2">
        <v>42170</v>
      </c>
      <c r="T3431" s="2">
        <v>42170</v>
      </c>
      <c r="U3431" s="2">
        <v>42230</v>
      </c>
      <c r="V3431" t="s">
        <v>71</v>
      </c>
      <c r="W3431" t="str">
        <f>"           015012470"</f>
        <v xml:space="preserve">           015012470</v>
      </c>
      <c r="X3431">
        <v>122</v>
      </c>
      <c r="Y3431">
        <v>0</v>
      </c>
      <c r="Z3431"/>
      <c r="AB3431"/>
      <c r="AC3431">
        <v>100</v>
      </c>
      <c r="AD3431">
        <v>223</v>
      </c>
      <c r="AE3431" s="1">
        <v>22300</v>
      </c>
      <c r="AF3431">
        <v>0</v>
      </c>
      <c r="AJ3431">
        <v>0</v>
      </c>
      <c r="AK3431">
        <v>0</v>
      </c>
      <c r="AL3431">
        <v>0</v>
      </c>
      <c r="AM3431">
        <v>0</v>
      </c>
      <c r="AN3431">
        <v>0</v>
      </c>
      <c r="AO3431">
        <v>0</v>
      </c>
      <c r="AP3431" s="2">
        <v>42746</v>
      </c>
      <c r="AQ3431" t="s">
        <v>72</v>
      </c>
      <c r="AR3431" t="s">
        <v>72</v>
      </c>
      <c r="AS3431">
        <v>858</v>
      </c>
      <c r="AT3431" s="4">
        <v>42453</v>
      </c>
      <c r="AU3431" t="s">
        <v>73</v>
      </c>
      <c r="AV3431">
        <v>858</v>
      </c>
      <c r="AW3431" s="4">
        <v>42453</v>
      </c>
      <c r="BD3431">
        <v>0</v>
      </c>
      <c r="BN3431" t="s">
        <v>74</v>
      </c>
    </row>
    <row r="3432" spans="1:66" hidden="1">
      <c r="A3432">
        <v>101238</v>
      </c>
      <c r="B3432" s="3" t="s">
        <v>387</v>
      </c>
      <c r="C3432" s="1">
        <v>43300101</v>
      </c>
      <c r="D3432" t="s">
        <v>67</v>
      </c>
      <c r="H3432" t="str">
        <f t="shared" si="350"/>
        <v>10994940152</v>
      </c>
      <c r="I3432" t="str">
        <f t="shared" si="350"/>
        <v>10994940152</v>
      </c>
      <c r="K3432" t="str">
        <f>""</f>
        <v/>
      </c>
      <c r="M3432" t="s">
        <v>68</v>
      </c>
      <c r="N3432" t="str">
        <f t="shared" si="351"/>
        <v>FOR</v>
      </c>
      <c r="O3432" t="s">
        <v>69</v>
      </c>
      <c r="P3432" s="3" t="s">
        <v>75</v>
      </c>
      <c r="Q3432">
        <v>2015</v>
      </c>
      <c r="R3432" s="2">
        <v>42180</v>
      </c>
      <c r="S3432" s="2">
        <v>42186</v>
      </c>
      <c r="T3432" s="2">
        <v>42181</v>
      </c>
      <c r="U3432" s="2">
        <v>42241</v>
      </c>
      <c r="V3432" t="s">
        <v>71</v>
      </c>
      <c r="W3432" t="str">
        <f>"           015015818"</f>
        <v xml:space="preserve">           015015818</v>
      </c>
      <c r="X3432" s="1">
        <v>1171.2</v>
      </c>
      <c r="Y3432">
        <v>0</v>
      </c>
      <c r="Z3432"/>
      <c r="AB3432"/>
      <c r="AC3432">
        <v>960</v>
      </c>
      <c r="AD3432">
        <v>279</v>
      </c>
      <c r="AE3432" s="1">
        <v>267840</v>
      </c>
      <c r="AF3432">
        <v>0</v>
      </c>
      <c r="AJ3432">
        <v>0</v>
      </c>
      <c r="AK3432">
        <v>0</v>
      </c>
      <c r="AL3432">
        <v>0</v>
      </c>
      <c r="AM3432">
        <v>0</v>
      </c>
      <c r="AN3432">
        <v>0</v>
      </c>
      <c r="AO3432">
        <v>0</v>
      </c>
      <c r="AP3432" s="2">
        <v>42746</v>
      </c>
      <c r="AQ3432" t="s">
        <v>72</v>
      </c>
      <c r="AR3432" t="s">
        <v>72</v>
      </c>
      <c r="AS3432">
        <v>1447</v>
      </c>
      <c r="AT3432" s="4">
        <v>42520</v>
      </c>
      <c r="AU3432" t="s">
        <v>73</v>
      </c>
      <c r="AV3432">
        <v>1447</v>
      </c>
      <c r="AW3432" s="4">
        <v>42520</v>
      </c>
      <c r="BD3432">
        <v>0</v>
      </c>
      <c r="BN3432" t="s">
        <v>74</v>
      </c>
    </row>
    <row r="3433" spans="1:66" hidden="1">
      <c r="A3433">
        <v>101238</v>
      </c>
      <c r="B3433" s="3" t="s">
        <v>387</v>
      </c>
      <c r="C3433" s="1">
        <v>43300101</v>
      </c>
      <c r="D3433" t="s">
        <v>67</v>
      </c>
      <c r="H3433" t="str">
        <f t="shared" si="350"/>
        <v>10994940152</v>
      </c>
      <c r="I3433" t="str">
        <f t="shared" si="350"/>
        <v>10994940152</v>
      </c>
      <c r="K3433" t="str">
        <f>""</f>
        <v/>
      </c>
      <c r="M3433" t="s">
        <v>68</v>
      </c>
      <c r="N3433" t="str">
        <f t="shared" si="351"/>
        <v>FOR</v>
      </c>
      <c r="O3433" t="s">
        <v>69</v>
      </c>
      <c r="P3433" s="3" t="s">
        <v>75</v>
      </c>
      <c r="Q3433">
        <v>2015</v>
      </c>
      <c r="R3433" s="2">
        <v>42180</v>
      </c>
      <c r="S3433" s="2">
        <v>42186</v>
      </c>
      <c r="T3433" s="2">
        <v>42181</v>
      </c>
      <c r="U3433" s="2">
        <v>42241</v>
      </c>
      <c r="V3433" t="s">
        <v>71</v>
      </c>
      <c r="W3433" t="str">
        <f>"           015015819"</f>
        <v xml:space="preserve">           015015819</v>
      </c>
      <c r="X3433" s="1">
        <v>1171.2</v>
      </c>
      <c r="Y3433">
        <v>0</v>
      </c>
      <c r="Z3433"/>
      <c r="AB3433"/>
      <c r="AC3433">
        <v>960</v>
      </c>
      <c r="AD3433">
        <v>279</v>
      </c>
      <c r="AE3433" s="1">
        <v>267840</v>
      </c>
      <c r="AF3433">
        <v>0</v>
      </c>
      <c r="AJ3433">
        <v>0</v>
      </c>
      <c r="AK3433">
        <v>0</v>
      </c>
      <c r="AL3433">
        <v>0</v>
      </c>
      <c r="AM3433">
        <v>0</v>
      </c>
      <c r="AN3433">
        <v>0</v>
      </c>
      <c r="AO3433">
        <v>0</v>
      </c>
      <c r="AP3433" s="2">
        <v>42746</v>
      </c>
      <c r="AQ3433" t="s">
        <v>72</v>
      </c>
      <c r="AR3433" t="s">
        <v>72</v>
      </c>
      <c r="AS3433">
        <v>1447</v>
      </c>
      <c r="AT3433" s="4">
        <v>42520</v>
      </c>
      <c r="AU3433" t="s">
        <v>73</v>
      </c>
      <c r="AV3433">
        <v>1447</v>
      </c>
      <c r="AW3433" s="4">
        <v>42520</v>
      </c>
      <c r="BD3433">
        <v>0</v>
      </c>
      <c r="BN3433" t="s">
        <v>74</v>
      </c>
    </row>
    <row r="3434" spans="1:66" hidden="1">
      <c r="A3434">
        <v>101238</v>
      </c>
      <c r="B3434" s="3" t="s">
        <v>387</v>
      </c>
      <c r="C3434" s="1">
        <v>43300101</v>
      </c>
      <c r="D3434" t="s">
        <v>67</v>
      </c>
      <c r="H3434" t="str">
        <f t="shared" si="350"/>
        <v>10994940152</v>
      </c>
      <c r="I3434" t="str">
        <f t="shared" si="350"/>
        <v>10994940152</v>
      </c>
      <c r="K3434" t="str">
        <f>""</f>
        <v/>
      </c>
      <c r="M3434" t="s">
        <v>68</v>
      </c>
      <c r="N3434" t="str">
        <f t="shared" si="351"/>
        <v>FOR</v>
      </c>
      <c r="O3434" t="s">
        <v>69</v>
      </c>
      <c r="P3434" s="3" t="s">
        <v>75</v>
      </c>
      <c r="Q3434">
        <v>2015</v>
      </c>
      <c r="R3434" s="2">
        <v>42194</v>
      </c>
      <c r="S3434" s="2">
        <v>42202</v>
      </c>
      <c r="T3434" s="2">
        <v>42199</v>
      </c>
      <c r="U3434" s="2">
        <v>42259</v>
      </c>
      <c r="V3434" t="s">
        <v>71</v>
      </c>
      <c r="W3434" t="str">
        <f>"           015017359"</f>
        <v xml:space="preserve">           015017359</v>
      </c>
      <c r="X3434" s="1">
        <v>1171.2</v>
      </c>
      <c r="Y3434">
        <v>0</v>
      </c>
      <c r="Z3434"/>
      <c r="AB3434"/>
      <c r="AC3434">
        <v>960</v>
      </c>
      <c r="AD3434">
        <v>310</v>
      </c>
      <c r="AE3434" s="1">
        <v>297600</v>
      </c>
      <c r="AF3434">
        <v>0</v>
      </c>
      <c r="AJ3434">
        <v>0</v>
      </c>
      <c r="AK3434">
        <v>0</v>
      </c>
      <c r="AL3434">
        <v>0</v>
      </c>
      <c r="AM3434">
        <v>0</v>
      </c>
      <c r="AN3434">
        <v>0</v>
      </c>
      <c r="AO3434">
        <v>0</v>
      </c>
      <c r="AP3434" s="2">
        <v>42746</v>
      </c>
      <c r="AQ3434" t="s">
        <v>72</v>
      </c>
      <c r="AR3434" t="s">
        <v>72</v>
      </c>
      <c r="AS3434">
        <v>1864</v>
      </c>
      <c r="AT3434" s="4">
        <v>42569</v>
      </c>
      <c r="AU3434" t="s">
        <v>73</v>
      </c>
      <c r="AV3434">
        <v>1864</v>
      </c>
      <c r="AW3434" s="4">
        <v>42569</v>
      </c>
      <c r="BD3434">
        <v>0</v>
      </c>
      <c r="BN3434" t="s">
        <v>74</v>
      </c>
    </row>
    <row r="3435" spans="1:66" hidden="1">
      <c r="A3435">
        <v>101238</v>
      </c>
      <c r="B3435" s="3" t="s">
        <v>387</v>
      </c>
      <c r="C3435" s="1">
        <v>43300101</v>
      </c>
      <c r="D3435" t="s">
        <v>67</v>
      </c>
      <c r="H3435" t="str">
        <f t="shared" si="350"/>
        <v>10994940152</v>
      </c>
      <c r="I3435" t="str">
        <f t="shared" si="350"/>
        <v>10994940152</v>
      </c>
      <c r="K3435" t="str">
        <f>""</f>
        <v/>
      </c>
      <c r="M3435" t="s">
        <v>68</v>
      </c>
      <c r="N3435" t="str">
        <f t="shared" si="351"/>
        <v>FOR</v>
      </c>
      <c r="O3435" t="s">
        <v>69</v>
      </c>
      <c r="P3435" s="3" t="s">
        <v>75</v>
      </c>
      <c r="Q3435">
        <v>2015</v>
      </c>
      <c r="R3435" s="2">
        <v>42206</v>
      </c>
      <c r="S3435" s="2">
        <v>42219</v>
      </c>
      <c r="T3435" s="2">
        <v>42219</v>
      </c>
      <c r="U3435" s="2">
        <v>42279</v>
      </c>
      <c r="V3435" t="s">
        <v>71</v>
      </c>
      <c r="W3435" t="str">
        <f>"           015018293"</f>
        <v xml:space="preserve">           015018293</v>
      </c>
      <c r="X3435" s="1">
        <v>4007.7</v>
      </c>
      <c r="Y3435">
        <v>0</v>
      </c>
      <c r="Z3435"/>
      <c r="AB3435"/>
      <c r="AC3435" s="1">
        <v>3285</v>
      </c>
      <c r="AD3435">
        <v>297</v>
      </c>
      <c r="AE3435" s="1">
        <v>975645</v>
      </c>
      <c r="AF3435">
        <v>0</v>
      </c>
      <c r="AJ3435">
        <v>0</v>
      </c>
      <c r="AK3435">
        <v>0</v>
      </c>
      <c r="AL3435">
        <v>0</v>
      </c>
      <c r="AM3435">
        <v>0</v>
      </c>
      <c r="AN3435">
        <v>0</v>
      </c>
      <c r="AO3435">
        <v>0</v>
      </c>
      <c r="AP3435" s="2">
        <v>42746</v>
      </c>
      <c r="AQ3435" t="s">
        <v>72</v>
      </c>
      <c r="AR3435" t="s">
        <v>72</v>
      </c>
      <c r="AS3435">
        <v>1901</v>
      </c>
      <c r="AT3435" s="4">
        <v>42576</v>
      </c>
      <c r="AU3435" t="s">
        <v>73</v>
      </c>
      <c r="AV3435">
        <v>1901</v>
      </c>
      <c r="AW3435" s="4">
        <v>42576</v>
      </c>
      <c r="BD3435">
        <v>0</v>
      </c>
      <c r="BN3435" t="s">
        <v>74</v>
      </c>
    </row>
    <row r="3436" spans="1:66" hidden="1">
      <c r="A3436">
        <v>101238</v>
      </c>
      <c r="B3436" s="3" t="s">
        <v>387</v>
      </c>
      <c r="C3436" s="1">
        <v>43300101</v>
      </c>
      <c r="D3436" t="s">
        <v>67</v>
      </c>
      <c r="H3436" t="str">
        <f t="shared" si="350"/>
        <v>10994940152</v>
      </c>
      <c r="I3436" t="str">
        <f t="shared" si="350"/>
        <v>10994940152</v>
      </c>
      <c r="K3436" t="str">
        <f>""</f>
        <v/>
      </c>
      <c r="M3436" t="s">
        <v>68</v>
      </c>
      <c r="N3436" t="str">
        <f t="shared" si="351"/>
        <v>FOR</v>
      </c>
      <c r="O3436" t="s">
        <v>69</v>
      </c>
      <c r="P3436" s="3" t="s">
        <v>75</v>
      </c>
      <c r="Q3436">
        <v>2015</v>
      </c>
      <c r="R3436" s="2">
        <v>42208</v>
      </c>
      <c r="S3436" s="2">
        <v>42219</v>
      </c>
      <c r="T3436" s="2">
        <v>42219</v>
      </c>
      <c r="U3436" s="2">
        <v>42279</v>
      </c>
      <c r="V3436" t="s">
        <v>71</v>
      </c>
      <c r="W3436" t="str">
        <f>"           015018654"</f>
        <v xml:space="preserve">           015018654</v>
      </c>
      <c r="X3436">
        <v>732</v>
      </c>
      <c r="Y3436">
        <v>0</v>
      </c>
      <c r="Z3436"/>
      <c r="AB3436"/>
      <c r="AC3436">
        <v>600</v>
      </c>
      <c r="AD3436">
        <v>297</v>
      </c>
      <c r="AE3436" s="1">
        <v>178200</v>
      </c>
      <c r="AF3436">
        <v>0</v>
      </c>
      <c r="AJ3436">
        <v>0</v>
      </c>
      <c r="AK3436">
        <v>0</v>
      </c>
      <c r="AL3436">
        <v>0</v>
      </c>
      <c r="AM3436">
        <v>0</v>
      </c>
      <c r="AN3436">
        <v>0</v>
      </c>
      <c r="AO3436">
        <v>0</v>
      </c>
      <c r="AP3436" s="2">
        <v>42746</v>
      </c>
      <c r="AQ3436" t="s">
        <v>72</v>
      </c>
      <c r="AR3436" t="s">
        <v>72</v>
      </c>
      <c r="AS3436">
        <v>1901</v>
      </c>
      <c r="AT3436" s="4">
        <v>42576</v>
      </c>
      <c r="AU3436" t="s">
        <v>73</v>
      </c>
      <c r="AV3436">
        <v>1901</v>
      </c>
      <c r="AW3436" s="4">
        <v>42576</v>
      </c>
      <c r="BD3436">
        <v>0</v>
      </c>
      <c r="BN3436" t="s">
        <v>74</v>
      </c>
    </row>
    <row r="3437" spans="1:66" hidden="1">
      <c r="A3437">
        <v>101238</v>
      </c>
      <c r="B3437" s="3" t="s">
        <v>387</v>
      </c>
      <c r="C3437" s="1">
        <v>43300101</v>
      </c>
      <c r="D3437" t="s">
        <v>67</v>
      </c>
      <c r="H3437" t="str">
        <f t="shared" si="350"/>
        <v>10994940152</v>
      </c>
      <c r="I3437" t="str">
        <f t="shared" si="350"/>
        <v>10994940152</v>
      </c>
      <c r="K3437" t="str">
        <f>""</f>
        <v/>
      </c>
      <c r="M3437" t="s">
        <v>68</v>
      </c>
      <c r="N3437" t="str">
        <f t="shared" si="351"/>
        <v>FOR</v>
      </c>
      <c r="O3437" t="s">
        <v>69</v>
      </c>
      <c r="P3437" s="3" t="s">
        <v>75</v>
      </c>
      <c r="Q3437">
        <v>2015</v>
      </c>
      <c r="R3437" s="2">
        <v>42237</v>
      </c>
      <c r="S3437" s="2">
        <v>42254</v>
      </c>
      <c r="T3437" s="2">
        <v>42253</v>
      </c>
      <c r="U3437" s="2">
        <v>42313</v>
      </c>
      <c r="V3437" t="s">
        <v>71</v>
      </c>
      <c r="W3437" t="str">
        <f>"           015020621"</f>
        <v xml:space="preserve">           015020621</v>
      </c>
      <c r="X3437">
        <v>349.41</v>
      </c>
      <c r="Y3437">
        <v>0</v>
      </c>
      <c r="Z3437"/>
      <c r="AB3437"/>
      <c r="AC3437">
        <v>286.39999999999998</v>
      </c>
      <c r="AD3437">
        <v>266</v>
      </c>
      <c r="AE3437" s="1">
        <v>76182.399999999994</v>
      </c>
      <c r="AF3437">
        <v>0</v>
      </c>
      <c r="AJ3437">
        <v>0</v>
      </c>
      <c r="AK3437">
        <v>0</v>
      </c>
      <c r="AL3437">
        <v>0</v>
      </c>
      <c r="AM3437">
        <v>0</v>
      </c>
      <c r="AN3437">
        <v>0</v>
      </c>
      <c r="AO3437">
        <v>0</v>
      </c>
      <c r="AP3437" s="2">
        <v>42746</v>
      </c>
      <c r="AQ3437" t="s">
        <v>72</v>
      </c>
      <c r="AR3437" t="s">
        <v>72</v>
      </c>
      <c r="AS3437">
        <v>2006</v>
      </c>
      <c r="AT3437" s="4">
        <v>42579</v>
      </c>
      <c r="AU3437" t="s">
        <v>73</v>
      </c>
      <c r="AV3437">
        <v>2006</v>
      </c>
      <c r="AW3437" s="4">
        <v>42579</v>
      </c>
      <c r="BD3437">
        <v>0</v>
      </c>
      <c r="BN3437" t="s">
        <v>74</v>
      </c>
    </row>
    <row r="3438" spans="1:66" hidden="1">
      <c r="A3438">
        <v>101238</v>
      </c>
      <c r="B3438" s="3" t="s">
        <v>387</v>
      </c>
      <c r="C3438" s="1">
        <v>43300101</v>
      </c>
      <c r="D3438" t="s">
        <v>67</v>
      </c>
      <c r="H3438" t="str">
        <f t="shared" si="350"/>
        <v>10994940152</v>
      </c>
      <c r="I3438" t="str">
        <f t="shared" si="350"/>
        <v>10994940152</v>
      </c>
      <c r="K3438" t="str">
        <f>""</f>
        <v/>
      </c>
      <c r="M3438" t="s">
        <v>68</v>
      </c>
      <c r="N3438" t="str">
        <f t="shared" si="351"/>
        <v>FOR</v>
      </c>
      <c r="O3438" t="s">
        <v>69</v>
      </c>
      <c r="P3438" s="3" t="s">
        <v>75</v>
      </c>
      <c r="Q3438">
        <v>2015</v>
      </c>
      <c r="R3438" s="2">
        <v>42255</v>
      </c>
      <c r="S3438" s="2">
        <v>42262</v>
      </c>
      <c r="T3438" s="2">
        <v>42261</v>
      </c>
      <c r="U3438" s="2">
        <v>42321</v>
      </c>
      <c r="V3438" t="s">
        <v>71</v>
      </c>
      <c r="W3438" t="str">
        <f>"           015021952"</f>
        <v xml:space="preserve">           015021952</v>
      </c>
      <c r="X3438" s="1">
        <v>1171.2</v>
      </c>
      <c r="Y3438">
        <v>0</v>
      </c>
      <c r="Z3438"/>
      <c r="AB3438"/>
      <c r="AC3438">
        <v>960</v>
      </c>
      <c r="AD3438">
        <v>300</v>
      </c>
      <c r="AE3438" s="1">
        <v>288000</v>
      </c>
      <c r="AF3438">
        <v>0</v>
      </c>
      <c r="AJ3438">
        <v>0</v>
      </c>
      <c r="AK3438">
        <v>0</v>
      </c>
      <c r="AL3438">
        <v>0</v>
      </c>
      <c r="AM3438">
        <v>0</v>
      </c>
      <c r="AN3438">
        <v>0</v>
      </c>
      <c r="AO3438">
        <v>0</v>
      </c>
      <c r="AP3438" s="2">
        <v>42746</v>
      </c>
      <c r="AQ3438" t="s">
        <v>72</v>
      </c>
      <c r="AR3438" t="s">
        <v>72</v>
      </c>
      <c r="AS3438">
        <v>2375</v>
      </c>
      <c r="AT3438" s="4">
        <v>42621</v>
      </c>
      <c r="AU3438" t="s">
        <v>73</v>
      </c>
      <c r="AV3438">
        <v>2375</v>
      </c>
      <c r="AW3438" s="4">
        <v>42621</v>
      </c>
      <c r="BD3438">
        <v>0</v>
      </c>
      <c r="BN3438" t="s">
        <v>74</v>
      </c>
    </row>
    <row r="3439" spans="1:66" hidden="1">
      <c r="A3439">
        <v>101238</v>
      </c>
      <c r="B3439" s="3" t="s">
        <v>387</v>
      </c>
      <c r="C3439" s="1">
        <v>43300101</v>
      </c>
      <c r="D3439" t="s">
        <v>67</v>
      </c>
      <c r="H3439" t="str">
        <f t="shared" si="350"/>
        <v>10994940152</v>
      </c>
      <c r="I3439" t="str">
        <f t="shared" si="350"/>
        <v>10994940152</v>
      </c>
      <c r="K3439" t="str">
        <f>""</f>
        <v/>
      </c>
      <c r="M3439" t="s">
        <v>68</v>
      </c>
      <c r="N3439" t="str">
        <f t="shared" si="351"/>
        <v>FOR</v>
      </c>
      <c r="O3439" t="s">
        <v>69</v>
      </c>
      <c r="P3439" s="3" t="s">
        <v>75</v>
      </c>
      <c r="Q3439">
        <v>2015</v>
      </c>
      <c r="R3439" s="2">
        <v>42263</v>
      </c>
      <c r="S3439" s="2">
        <v>42268</v>
      </c>
      <c r="T3439" s="2">
        <v>42265</v>
      </c>
      <c r="U3439" s="2">
        <v>42325</v>
      </c>
      <c r="V3439" t="s">
        <v>71</v>
      </c>
      <c r="W3439" t="str">
        <f>"           015022434"</f>
        <v xml:space="preserve">           015022434</v>
      </c>
      <c r="X3439" s="1">
        <v>1826.58</v>
      </c>
      <c r="Y3439">
        <v>0</v>
      </c>
      <c r="Z3439"/>
      <c r="AB3439"/>
      <c r="AC3439" s="1">
        <v>1497.2</v>
      </c>
      <c r="AD3439">
        <v>296</v>
      </c>
      <c r="AE3439" s="1">
        <v>443171.2</v>
      </c>
      <c r="AF3439">
        <v>0</v>
      </c>
      <c r="AJ3439">
        <v>0</v>
      </c>
      <c r="AK3439">
        <v>0</v>
      </c>
      <c r="AL3439">
        <v>0</v>
      </c>
      <c r="AM3439">
        <v>0</v>
      </c>
      <c r="AN3439">
        <v>0</v>
      </c>
      <c r="AO3439">
        <v>0</v>
      </c>
      <c r="AP3439" s="2">
        <v>42746</v>
      </c>
      <c r="AQ3439" t="s">
        <v>72</v>
      </c>
      <c r="AR3439" t="s">
        <v>72</v>
      </c>
      <c r="AS3439">
        <v>2375</v>
      </c>
      <c r="AT3439" s="4">
        <v>42621</v>
      </c>
      <c r="AU3439" t="s">
        <v>73</v>
      </c>
      <c r="AV3439">
        <v>2375</v>
      </c>
      <c r="AW3439" s="4">
        <v>42621</v>
      </c>
      <c r="BD3439">
        <v>0</v>
      </c>
      <c r="BN3439" t="s">
        <v>74</v>
      </c>
    </row>
    <row r="3440" spans="1:66" hidden="1">
      <c r="A3440">
        <v>101238</v>
      </c>
      <c r="B3440" s="3" t="s">
        <v>387</v>
      </c>
      <c r="C3440" s="1">
        <v>43300101</v>
      </c>
      <c r="D3440" t="s">
        <v>67</v>
      </c>
      <c r="H3440" t="str">
        <f t="shared" si="350"/>
        <v>10994940152</v>
      </c>
      <c r="I3440" t="str">
        <f t="shared" si="350"/>
        <v>10994940152</v>
      </c>
      <c r="K3440" t="str">
        <f>""</f>
        <v/>
      </c>
      <c r="M3440" t="s">
        <v>68</v>
      </c>
      <c r="N3440" t="str">
        <f t="shared" si="351"/>
        <v>FOR</v>
      </c>
      <c r="O3440" t="s">
        <v>69</v>
      </c>
      <c r="P3440" s="3" t="s">
        <v>75</v>
      </c>
      <c r="Q3440">
        <v>2015</v>
      </c>
      <c r="R3440" s="2">
        <v>42269</v>
      </c>
      <c r="S3440" s="2">
        <v>42275</v>
      </c>
      <c r="T3440" s="2">
        <v>42275</v>
      </c>
      <c r="U3440" s="2">
        <v>42335</v>
      </c>
      <c r="V3440" t="s">
        <v>71</v>
      </c>
      <c r="W3440" t="str">
        <f>"           015023181"</f>
        <v xml:space="preserve">           015023181</v>
      </c>
      <c r="X3440">
        <v>274.5</v>
      </c>
      <c r="Y3440">
        <v>0</v>
      </c>
      <c r="Z3440"/>
      <c r="AB3440"/>
      <c r="AC3440">
        <v>225</v>
      </c>
      <c r="AD3440">
        <v>286</v>
      </c>
      <c r="AE3440" s="1">
        <v>64350</v>
      </c>
      <c r="AF3440">
        <v>0</v>
      </c>
      <c r="AJ3440">
        <v>0</v>
      </c>
      <c r="AK3440">
        <v>0</v>
      </c>
      <c r="AL3440">
        <v>0</v>
      </c>
      <c r="AM3440">
        <v>0</v>
      </c>
      <c r="AN3440">
        <v>0</v>
      </c>
      <c r="AO3440">
        <v>0</v>
      </c>
      <c r="AP3440" s="2">
        <v>42746</v>
      </c>
      <c r="AQ3440" t="s">
        <v>72</v>
      </c>
      <c r="AR3440" t="s">
        <v>72</v>
      </c>
      <c r="AS3440">
        <v>2375</v>
      </c>
      <c r="AT3440" s="4">
        <v>42621</v>
      </c>
      <c r="AU3440" t="s">
        <v>73</v>
      </c>
      <c r="AV3440">
        <v>2375</v>
      </c>
      <c r="AW3440" s="4">
        <v>42621</v>
      </c>
      <c r="BD3440">
        <v>0</v>
      </c>
      <c r="BN3440" t="s">
        <v>74</v>
      </c>
    </row>
    <row r="3441" spans="1:66">
      <c r="A3441">
        <v>101238</v>
      </c>
      <c r="B3441" s="3" t="s">
        <v>387</v>
      </c>
      <c r="C3441" s="1">
        <v>43300101</v>
      </c>
      <c r="D3441" t="s">
        <v>67</v>
      </c>
      <c r="H3441" t="str">
        <f t="shared" si="350"/>
        <v>10994940152</v>
      </c>
      <c r="I3441" t="str">
        <f t="shared" si="350"/>
        <v>10994940152</v>
      </c>
      <c r="K3441" t="str">
        <f>""</f>
        <v/>
      </c>
      <c r="M3441" t="s">
        <v>68</v>
      </c>
      <c r="N3441" t="str">
        <f t="shared" si="351"/>
        <v>FOR</v>
      </c>
      <c r="O3441" t="s">
        <v>69</v>
      </c>
      <c r="P3441" s="3" t="s">
        <v>75</v>
      </c>
      <c r="Q3441">
        <v>2015</v>
      </c>
      <c r="R3441" s="2">
        <v>42272</v>
      </c>
      <c r="S3441" s="2">
        <v>42277</v>
      </c>
      <c r="T3441" s="2">
        <v>42276</v>
      </c>
      <c r="U3441" s="2">
        <v>42336</v>
      </c>
      <c r="V3441" t="s">
        <v>71</v>
      </c>
      <c r="W3441" t="str">
        <f>"           015023762"</f>
        <v xml:space="preserve">           015023762</v>
      </c>
      <c r="X3441">
        <v>143.72</v>
      </c>
      <c r="Y3441">
        <v>0</v>
      </c>
      <c r="Z3441" s="3">
        <v>117.8</v>
      </c>
      <c r="AA3441">
        <v>362</v>
      </c>
      <c r="AB3441" s="5">
        <v>42643.6</v>
      </c>
      <c r="AC3441">
        <v>117.8</v>
      </c>
      <c r="AD3441">
        <v>362</v>
      </c>
      <c r="AE3441" s="1">
        <v>42643.6</v>
      </c>
      <c r="AF3441">
        <v>0</v>
      </c>
      <c r="AJ3441">
        <v>0</v>
      </c>
      <c r="AK3441">
        <v>0</v>
      </c>
      <c r="AL3441">
        <v>0</v>
      </c>
      <c r="AM3441">
        <v>0</v>
      </c>
      <c r="AN3441">
        <v>0</v>
      </c>
      <c r="AO3441">
        <v>0</v>
      </c>
      <c r="AP3441" s="2">
        <v>42746</v>
      </c>
      <c r="AQ3441" t="s">
        <v>72</v>
      </c>
      <c r="AR3441" t="s">
        <v>72</v>
      </c>
      <c r="AS3441">
        <v>3305</v>
      </c>
      <c r="AT3441" s="4">
        <v>42698</v>
      </c>
      <c r="AU3441" t="s">
        <v>73</v>
      </c>
      <c r="AV3441">
        <v>3305</v>
      </c>
      <c r="AW3441" s="4">
        <v>42698</v>
      </c>
      <c r="BD3441">
        <v>0</v>
      </c>
      <c r="BN3441" t="s">
        <v>74</v>
      </c>
    </row>
    <row r="3442" spans="1:66">
      <c r="A3442">
        <v>101238</v>
      </c>
      <c r="B3442" s="3" t="s">
        <v>387</v>
      </c>
      <c r="C3442" s="1">
        <v>43300101</v>
      </c>
      <c r="D3442" t="s">
        <v>67</v>
      </c>
      <c r="H3442" t="str">
        <f t="shared" si="350"/>
        <v>10994940152</v>
      </c>
      <c r="I3442" t="str">
        <f t="shared" si="350"/>
        <v>10994940152</v>
      </c>
      <c r="K3442" t="str">
        <f>""</f>
        <v/>
      </c>
      <c r="M3442" t="s">
        <v>68</v>
      </c>
      <c r="N3442" t="str">
        <f t="shared" si="351"/>
        <v>FOR</v>
      </c>
      <c r="O3442" t="s">
        <v>69</v>
      </c>
      <c r="P3442" s="3" t="s">
        <v>75</v>
      </c>
      <c r="Q3442">
        <v>2015</v>
      </c>
      <c r="R3442" s="2">
        <v>42305</v>
      </c>
      <c r="S3442" s="2">
        <v>42340</v>
      </c>
      <c r="T3442" s="2">
        <v>42338</v>
      </c>
      <c r="U3442" s="2">
        <v>42398</v>
      </c>
      <c r="V3442" t="s">
        <v>71</v>
      </c>
      <c r="W3442" t="str">
        <f>"          6100000632"</f>
        <v xml:space="preserve">          6100000632</v>
      </c>
      <c r="X3442">
        <v>274.5</v>
      </c>
      <c r="Y3442">
        <v>0</v>
      </c>
      <c r="Z3442" s="3">
        <v>225</v>
      </c>
      <c r="AA3442">
        <v>250</v>
      </c>
      <c r="AB3442" s="5">
        <v>56250</v>
      </c>
      <c r="AC3442">
        <v>225</v>
      </c>
      <c r="AD3442">
        <v>250</v>
      </c>
      <c r="AE3442" s="1">
        <v>56250</v>
      </c>
      <c r="AF3442">
        <v>0</v>
      </c>
      <c r="AJ3442">
        <v>0</v>
      </c>
      <c r="AK3442">
        <v>0</v>
      </c>
      <c r="AL3442">
        <v>0</v>
      </c>
      <c r="AM3442">
        <v>0</v>
      </c>
      <c r="AN3442">
        <v>0</v>
      </c>
      <c r="AO3442">
        <v>0</v>
      </c>
      <c r="AP3442" s="2">
        <v>42746</v>
      </c>
      <c r="AQ3442" t="s">
        <v>72</v>
      </c>
      <c r="AR3442" t="s">
        <v>72</v>
      </c>
      <c r="AS3442">
        <v>2670</v>
      </c>
      <c r="AT3442" s="4">
        <v>42648</v>
      </c>
      <c r="AU3442" t="s">
        <v>73</v>
      </c>
      <c r="AV3442">
        <v>2670</v>
      </c>
      <c r="AW3442" s="4">
        <v>42648</v>
      </c>
      <c r="BD3442">
        <v>0</v>
      </c>
      <c r="BN3442" t="s">
        <v>74</v>
      </c>
    </row>
    <row r="3443" spans="1:66">
      <c r="A3443">
        <v>101238</v>
      </c>
      <c r="B3443" s="3" t="s">
        <v>387</v>
      </c>
      <c r="C3443" s="1">
        <v>43300101</v>
      </c>
      <c r="D3443" t="s">
        <v>67</v>
      </c>
      <c r="H3443" t="str">
        <f t="shared" si="350"/>
        <v>10994940152</v>
      </c>
      <c r="I3443" t="str">
        <f t="shared" si="350"/>
        <v>10994940152</v>
      </c>
      <c r="K3443" t="str">
        <f>""</f>
        <v/>
      </c>
      <c r="M3443" t="s">
        <v>68</v>
      </c>
      <c r="N3443" t="str">
        <f t="shared" si="351"/>
        <v>FOR</v>
      </c>
      <c r="O3443" t="s">
        <v>69</v>
      </c>
      <c r="P3443" s="3" t="s">
        <v>75</v>
      </c>
      <c r="Q3443">
        <v>2015</v>
      </c>
      <c r="R3443" s="2">
        <v>42334</v>
      </c>
      <c r="S3443" s="2">
        <v>42367</v>
      </c>
      <c r="T3443" s="2">
        <v>42367</v>
      </c>
      <c r="U3443" s="2">
        <v>42427</v>
      </c>
      <c r="V3443" t="s">
        <v>71</v>
      </c>
      <c r="W3443" t="str">
        <f>"          6100003667"</f>
        <v xml:space="preserve">          6100003667</v>
      </c>
      <c r="X3443">
        <v>939.4</v>
      </c>
      <c r="Y3443">
        <v>0</v>
      </c>
      <c r="Z3443" s="3">
        <v>770</v>
      </c>
      <c r="AA3443">
        <v>221</v>
      </c>
      <c r="AB3443" s="5">
        <v>170170</v>
      </c>
      <c r="AC3443">
        <v>770</v>
      </c>
      <c r="AD3443">
        <v>221</v>
      </c>
      <c r="AE3443" s="1">
        <v>170170</v>
      </c>
      <c r="AF3443">
        <v>0</v>
      </c>
      <c r="AJ3443">
        <v>0</v>
      </c>
      <c r="AK3443">
        <v>0</v>
      </c>
      <c r="AL3443">
        <v>0</v>
      </c>
      <c r="AM3443">
        <v>0</v>
      </c>
      <c r="AN3443">
        <v>0</v>
      </c>
      <c r="AO3443">
        <v>0</v>
      </c>
      <c r="AP3443" s="2">
        <v>42746</v>
      </c>
      <c r="AQ3443" t="s">
        <v>72</v>
      </c>
      <c r="AR3443" t="s">
        <v>72</v>
      </c>
      <c r="AS3443">
        <v>2670</v>
      </c>
      <c r="AT3443" s="4">
        <v>42648</v>
      </c>
      <c r="AU3443" t="s">
        <v>73</v>
      </c>
      <c r="AV3443">
        <v>2670</v>
      </c>
      <c r="AW3443" s="4">
        <v>42648</v>
      </c>
      <c r="BD3443">
        <v>0</v>
      </c>
      <c r="BN3443" t="s">
        <v>74</v>
      </c>
    </row>
    <row r="3444" spans="1:66">
      <c r="A3444">
        <v>101238</v>
      </c>
      <c r="B3444" s="3" t="s">
        <v>387</v>
      </c>
      <c r="C3444" s="1">
        <v>43300101</v>
      </c>
      <c r="D3444" t="s">
        <v>67</v>
      </c>
      <c r="H3444" t="str">
        <f t="shared" si="350"/>
        <v>10994940152</v>
      </c>
      <c r="I3444" t="str">
        <f t="shared" si="350"/>
        <v>10994940152</v>
      </c>
      <c r="K3444" t="str">
        <f>""</f>
        <v/>
      </c>
      <c r="M3444" t="s">
        <v>68</v>
      </c>
      <c r="N3444" t="str">
        <f t="shared" si="351"/>
        <v>FOR</v>
      </c>
      <c r="O3444" t="s">
        <v>69</v>
      </c>
      <c r="P3444" s="3" t="s">
        <v>75</v>
      </c>
      <c r="Q3444">
        <v>2016</v>
      </c>
      <c r="R3444" s="2">
        <v>42439</v>
      </c>
      <c r="S3444" s="2">
        <v>42446</v>
      </c>
      <c r="T3444" s="2">
        <v>42446</v>
      </c>
      <c r="U3444" s="2">
        <v>42506</v>
      </c>
      <c r="V3444" t="s">
        <v>71</v>
      </c>
      <c r="W3444" t="str">
        <f>"          6100011853"</f>
        <v xml:space="preserve">          6100011853</v>
      </c>
      <c r="X3444" s="1">
        <v>2928</v>
      </c>
      <c r="Y3444">
        <v>0</v>
      </c>
      <c r="Z3444" s="5">
        <v>2400</v>
      </c>
      <c r="AA3444">
        <v>178</v>
      </c>
      <c r="AB3444" s="5">
        <v>427200</v>
      </c>
      <c r="AC3444" s="1">
        <v>2400</v>
      </c>
      <c r="AD3444">
        <v>178</v>
      </c>
      <c r="AE3444" s="1">
        <v>427200</v>
      </c>
      <c r="AF3444">
        <v>0</v>
      </c>
      <c r="AJ3444">
        <v>0</v>
      </c>
      <c r="AK3444">
        <v>0</v>
      </c>
      <c r="AL3444">
        <v>0</v>
      </c>
      <c r="AM3444" s="1">
        <v>2928</v>
      </c>
      <c r="AN3444" s="1">
        <v>2928</v>
      </c>
      <c r="AO3444" s="1">
        <v>2928</v>
      </c>
      <c r="AP3444" s="2">
        <v>42746</v>
      </c>
      <c r="AQ3444" t="s">
        <v>72</v>
      </c>
      <c r="AR3444" t="s">
        <v>72</v>
      </c>
      <c r="AS3444">
        <v>3047</v>
      </c>
      <c r="AT3444" s="4">
        <v>42684</v>
      </c>
      <c r="AU3444" t="s">
        <v>73</v>
      </c>
      <c r="AV3444">
        <v>3047</v>
      </c>
      <c r="AW3444" s="4">
        <v>42684</v>
      </c>
      <c r="BD3444">
        <v>0</v>
      </c>
      <c r="BN3444" t="s">
        <v>74</v>
      </c>
    </row>
    <row r="3445" spans="1:66">
      <c r="A3445">
        <v>101238</v>
      </c>
      <c r="B3445" s="3" t="s">
        <v>387</v>
      </c>
      <c r="C3445" s="1">
        <v>43300101</v>
      </c>
      <c r="D3445" t="s">
        <v>67</v>
      </c>
      <c r="H3445" t="str">
        <f t="shared" si="350"/>
        <v>10994940152</v>
      </c>
      <c r="I3445" t="str">
        <f t="shared" si="350"/>
        <v>10994940152</v>
      </c>
      <c r="K3445" t="str">
        <f>""</f>
        <v/>
      </c>
      <c r="M3445" t="s">
        <v>68</v>
      </c>
      <c r="N3445" t="str">
        <f t="shared" si="351"/>
        <v>FOR</v>
      </c>
      <c r="O3445" t="s">
        <v>69</v>
      </c>
      <c r="P3445" s="3" t="s">
        <v>75</v>
      </c>
      <c r="Q3445">
        <v>2016</v>
      </c>
      <c r="R3445" s="2">
        <v>42446</v>
      </c>
      <c r="S3445" s="2">
        <v>42457</v>
      </c>
      <c r="T3445" s="2">
        <v>42454</v>
      </c>
      <c r="U3445" s="2">
        <v>42514</v>
      </c>
      <c r="V3445" t="s">
        <v>71</v>
      </c>
      <c r="W3445" t="str">
        <f>"          6100012711"</f>
        <v xml:space="preserve">          6100012711</v>
      </c>
      <c r="X3445" s="1">
        <v>1445.7</v>
      </c>
      <c r="Y3445">
        <v>0</v>
      </c>
      <c r="Z3445" s="5">
        <v>1185</v>
      </c>
      <c r="AA3445">
        <v>170</v>
      </c>
      <c r="AB3445" s="5">
        <v>201450</v>
      </c>
      <c r="AC3445" s="1">
        <v>1185</v>
      </c>
      <c r="AD3445">
        <v>170</v>
      </c>
      <c r="AE3445" s="1">
        <v>201450</v>
      </c>
      <c r="AF3445">
        <v>0</v>
      </c>
      <c r="AJ3445">
        <v>0</v>
      </c>
      <c r="AK3445">
        <v>0</v>
      </c>
      <c r="AL3445">
        <v>0</v>
      </c>
      <c r="AM3445" s="1">
        <v>1445.7</v>
      </c>
      <c r="AN3445" s="1">
        <v>1445.7</v>
      </c>
      <c r="AO3445" s="1">
        <v>1445.7</v>
      </c>
      <c r="AP3445" s="2">
        <v>42746</v>
      </c>
      <c r="AQ3445" t="s">
        <v>72</v>
      </c>
      <c r="AR3445" t="s">
        <v>72</v>
      </c>
      <c r="AS3445">
        <v>3047</v>
      </c>
      <c r="AT3445" s="4">
        <v>42684</v>
      </c>
      <c r="AU3445" t="s">
        <v>73</v>
      </c>
      <c r="AV3445">
        <v>3047</v>
      </c>
      <c r="AW3445" s="4">
        <v>42684</v>
      </c>
      <c r="BD3445">
        <v>0</v>
      </c>
      <c r="BN3445" t="s">
        <v>74</v>
      </c>
    </row>
    <row r="3446" spans="1:66">
      <c r="A3446">
        <v>101238</v>
      </c>
      <c r="B3446" s="3" t="s">
        <v>387</v>
      </c>
      <c r="C3446" s="1">
        <v>43300101</v>
      </c>
      <c r="D3446" t="s">
        <v>67</v>
      </c>
      <c r="H3446" t="str">
        <f t="shared" si="350"/>
        <v>10994940152</v>
      </c>
      <c r="I3446" t="str">
        <f t="shared" si="350"/>
        <v>10994940152</v>
      </c>
      <c r="K3446" t="str">
        <f>""</f>
        <v/>
      </c>
      <c r="M3446" t="s">
        <v>68</v>
      </c>
      <c r="N3446" t="str">
        <f t="shared" si="351"/>
        <v>FOR</v>
      </c>
      <c r="O3446" t="s">
        <v>69</v>
      </c>
      <c r="P3446" s="3" t="s">
        <v>75</v>
      </c>
      <c r="Q3446">
        <v>2016</v>
      </c>
      <c r="R3446" s="2">
        <v>42478</v>
      </c>
      <c r="S3446" s="2">
        <v>42493</v>
      </c>
      <c r="T3446" s="2">
        <v>42492</v>
      </c>
      <c r="U3446" s="2">
        <v>42552</v>
      </c>
      <c r="V3446" t="s">
        <v>71</v>
      </c>
      <c r="W3446" t="str">
        <f>"          6100015673"</f>
        <v xml:space="preserve">          6100015673</v>
      </c>
      <c r="X3446" s="1">
        <v>19389.87</v>
      </c>
      <c r="Y3446">
        <v>0</v>
      </c>
      <c r="Z3446" s="5">
        <v>15893.34</v>
      </c>
      <c r="AA3446">
        <v>167</v>
      </c>
      <c r="AB3446" s="5">
        <v>2654187.7799999998</v>
      </c>
      <c r="AC3446" s="1">
        <v>15893.34</v>
      </c>
      <c r="AD3446">
        <v>167</v>
      </c>
      <c r="AE3446" s="1">
        <v>2654187.7799999998</v>
      </c>
      <c r="AF3446" s="1">
        <v>3496.53</v>
      </c>
      <c r="AJ3446">
        <v>0</v>
      </c>
      <c r="AK3446">
        <v>0</v>
      </c>
      <c r="AL3446">
        <v>0</v>
      </c>
      <c r="AM3446" s="1">
        <v>19389.87</v>
      </c>
      <c r="AN3446" s="1">
        <v>19389.87</v>
      </c>
      <c r="AO3446" s="1">
        <v>19389.87</v>
      </c>
      <c r="AP3446" s="2">
        <v>42746</v>
      </c>
      <c r="AQ3446" t="s">
        <v>72</v>
      </c>
      <c r="AR3446" t="s">
        <v>72</v>
      </c>
      <c r="AS3446">
        <v>3528</v>
      </c>
      <c r="AT3446" s="4">
        <v>42719</v>
      </c>
      <c r="AU3446" t="s">
        <v>73</v>
      </c>
      <c r="AV3446">
        <v>3528</v>
      </c>
      <c r="AW3446" s="4">
        <v>42719</v>
      </c>
      <c r="BC3446" s="1">
        <v>3496.53</v>
      </c>
      <c r="BD3446">
        <v>0</v>
      </c>
      <c r="BN3446" t="s">
        <v>74</v>
      </c>
    </row>
    <row r="3447" spans="1:66">
      <c r="A3447">
        <v>101238</v>
      </c>
      <c r="B3447" s="3" t="s">
        <v>387</v>
      </c>
      <c r="C3447" s="1">
        <v>43300101</v>
      </c>
      <c r="D3447" t="s">
        <v>67</v>
      </c>
      <c r="H3447" t="str">
        <f t="shared" si="350"/>
        <v>10994940152</v>
      </c>
      <c r="I3447" t="str">
        <f t="shared" si="350"/>
        <v>10994940152</v>
      </c>
      <c r="K3447" t="str">
        <f>""</f>
        <v/>
      </c>
      <c r="M3447" t="s">
        <v>68</v>
      </c>
      <c r="N3447" t="str">
        <f t="shared" si="351"/>
        <v>FOR</v>
      </c>
      <c r="O3447" t="s">
        <v>69</v>
      </c>
      <c r="P3447" s="3" t="s">
        <v>75</v>
      </c>
      <c r="Q3447">
        <v>2016</v>
      </c>
      <c r="R3447" s="2">
        <v>42481</v>
      </c>
      <c r="S3447" s="2">
        <v>42493</v>
      </c>
      <c r="T3447" s="2">
        <v>42492</v>
      </c>
      <c r="U3447" s="2">
        <v>42552</v>
      </c>
      <c r="V3447" t="s">
        <v>71</v>
      </c>
      <c r="W3447" t="str">
        <f>"          6100016109"</f>
        <v xml:space="preserve">          6100016109</v>
      </c>
      <c r="X3447" s="1">
        <v>42334</v>
      </c>
      <c r="Y3447">
        <v>0</v>
      </c>
      <c r="Z3447" s="5">
        <v>34700</v>
      </c>
      <c r="AA3447">
        <v>167</v>
      </c>
      <c r="AB3447" s="5">
        <v>5794900</v>
      </c>
      <c r="AC3447" s="1">
        <v>34700</v>
      </c>
      <c r="AD3447">
        <v>167</v>
      </c>
      <c r="AE3447" s="1">
        <v>5794900</v>
      </c>
      <c r="AF3447" s="1">
        <v>7634</v>
      </c>
      <c r="AJ3447">
        <v>0</v>
      </c>
      <c r="AK3447">
        <v>0</v>
      </c>
      <c r="AL3447">
        <v>0</v>
      </c>
      <c r="AM3447" s="1">
        <v>42334</v>
      </c>
      <c r="AN3447" s="1">
        <v>42334</v>
      </c>
      <c r="AO3447" s="1">
        <v>42334</v>
      </c>
      <c r="AP3447" s="2">
        <v>42746</v>
      </c>
      <c r="AQ3447" t="s">
        <v>72</v>
      </c>
      <c r="AR3447" t="s">
        <v>72</v>
      </c>
      <c r="AS3447">
        <v>3528</v>
      </c>
      <c r="AT3447" s="4">
        <v>42719</v>
      </c>
      <c r="AU3447" t="s">
        <v>73</v>
      </c>
      <c r="AV3447">
        <v>3528</v>
      </c>
      <c r="AW3447" s="4">
        <v>42719</v>
      </c>
      <c r="BC3447" s="1">
        <v>7634</v>
      </c>
      <c r="BD3447">
        <v>0</v>
      </c>
      <c r="BN3447" t="s">
        <v>74</v>
      </c>
    </row>
    <row r="3448" spans="1:66">
      <c r="A3448">
        <v>101238</v>
      </c>
      <c r="B3448" s="3" t="s">
        <v>387</v>
      </c>
      <c r="C3448" s="1">
        <v>43300101</v>
      </c>
      <c r="D3448" t="s">
        <v>67</v>
      </c>
      <c r="H3448" t="str">
        <f t="shared" si="350"/>
        <v>10994940152</v>
      </c>
      <c r="I3448" t="str">
        <f t="shared" si="350"/>
        <v>10994940152</v>
      </c>
      <c r="K3448" t="str">
        <f>""</f>
        <v/>
      </c>
      <c r="M3448" t="s">
        <v>68</v>
      </c>
      <c r="N3448" t="str">
        <f t="shared" si="351"/>
        <v>FOR</v>
      </c>
      <c r="O3448" t="s">
        <v>69</v>
      </c>
      <c r="P3448" s="3" t="s">
        <v>75</v>
      </c>
      <c r="Q3448">
        <v>2016</v>
      </c>
      <c r="R3448" s="2">
        <v>42506</v>
      </c>
      <c r="S3448" s="2">
        <v>42520</v>
      </c>
      <c r="T3448" s="2">
        <v>42517</v>
      </c>
      <c r="U3448" s="2">
        <v>42577</v>
      </c>
      <c r="V3448" t="s">
        <v>71</v>
      </c>
      <c r="W3448" t="str">
        <f>"          6100018179"</f>
        <v xml:space="preserve">          6100018179</v>
      </c>
      <c r="X3448" s="1">
        <v>3381.84</v>
      </c>
      <c r="Y3448">
        <v>0</v>
      </c>
      <c r="Z3448" s="5">
        <v>2772</v>
      </c>
      <c r="AA3448">
        <v>147</v>
      </c>
      <c r="AB3448" s="5">
        <v>407484</v>
      </c>
      <c r="AC3448" s="1">
        <v>2772</v>
      </c>
      <c r="AD3448">
        <v>147</v>
      </c>
      <c r="AE3448" s="1">
        <v>407484</v>
      </c>
      <c r="AF3448">
        <v>609.84</v>
      </c>
      <c r="AJ3448">
        <v>0</v>
      </c>
      <c r="AK3448">
        <v>0</v>
      </c>
      <c r="AL3448">
        <v>0</v>
      </c>
      <c r="AM3448" s="1">
        <v>3381.84</v>
      </c>
      <c r="AN3448" s="1">
        <v>3381.84</v>
      </c>
      <c r="AO3448" s="1">
        <v>3381.84</v>
      </c>
      <c r="AP3448" s="2">
        <v>42746</v>
      </c>
      <c r="AQ3448" t="s">
        <v>72</v>
      </c>
      <c r="AR3448" t="s">
        <v>72</v>
      </c>
      <c r="AS3448">
        <v>3635</v>
      </c>
      <c r="AT3448" s="4">
        <v>42724</v>
      </c>
      <c r="AU3448" t="s">
        <v>73</v>
      </c>
      <c r="AV3448">
        <v>3635</v>
      </c>
      <c r="AW3448" s="4">
        <v>42724</v>
      </c>
      <c r="BC3448">
        <v>609.84</v>
      </c>
      <c r="BD3448">
        <v>0</v>
      </c>
      <c r="BN3448" t="s">
        <v>74</v>
      </c>
    </row>
    <row r="3449" spans="1:66">
      <c r="A3449">
        <v>101238</v>
      </c>
      <c r="B3449" s="3" t="s">
        <v>387</v>
      </c>
      <c r="C3449" s="1">
        <v>43300101</v>
      </c>
      <c r="D3449" t="s">
        <v>67</v>
      </c>
      <c r="H3449" t="str">
        <f t="shared" si="350"/>
        <v>10994940152</v>
      </c>
      <c r="I3449" t="str">
        <f t="shared" si="350"/>
        <v>10994940152</v>
      </c>
      <c r="K3449" t="str">
        <f>""</f>
        <v/>
      </c>
      <c r="M3449" t="s">
        <v>68</v>
      </c>
      <c r="N3449" t="str">
        <f t="shared" si="351"/>
        <v>FOR</v>
      </c>
      <c r="O3449" t="s">
        <v>69</v>
      </c>
      <c r="P3449" s="3" t="s">
        <v>75</v>
      </c>
      <c r="Q3449">
        <v>2016</v>
      </c>
      <c r="R3449" s="2">
        <v>42521</v>
      </c>
      <c r="S3449" s="2">
        <v>42527</v>
      </c>
      <c r="T3449" s="2">
        <v>42522</v>
      </c>
      <c r="U3449" s="2">
        <v>42582</v>
      </c>
      <c r="V3449" t="s">
        <v>71</v>
      </c>
      <c r="W3449" t="str">
        <f>"          6100019793"</f>
        <v xml:space="preserve">          6100019793</v>
      </c>
      <c r="X3449" s="1">
        <v>2832.84</v>
      </c>
      <c r="Y3449">
        <v>0</v>
      </c>
      <c r="Z3449" s="5">
        <v>2322</v>
      </c>
      <c r="AA3449">
        <v>142</v>
      </c>
      <c r="AB3449" s="5">
        <v>329724</v>
      </c>
      <c r="AC3449" s="1">
        <v>2322</v>
      </c>
      <c r="AD3449">
        <v>142</v>
      </c>
      <c r="AE3449" s="1">
        <v>329724</v>
      </c>
      <c r="AF3449">
        <v>510.84</v>
      </c>
      <c r="AJ3449">
        <v>0</v>
      </c>
      <c r="AK3449">
        <v>0</v>
      </c>
      <c r="AL3449">
        <v>0</v>
      </c>
      <c r="AM3449" s="1">
        <v>2832.84</v>
      </c>
      <c r="AN3449" s="1">
        <v>2832.84</v>
      </c>
      <c r="AO3449" s="1">
        <v>2832.84</v>
      </c>
      <c r="AP3449" s="2">
        <v>42746</v>
      </c>
      <c r="AQ3449" t="s">
        <v>72</v>
      </c>
      <c r="AR3449" t="s">
        <v>72</v>
      </c>
      <c r="AS3449">
        <v>3635</v>
      </c>
      <c r="AT3449" s="4">
        <v>42724</v>
      </c>
      <c r="AU3449" t="s">
        <v>73</v>
      </c>
      <c r="AV3449">
        <v>3635</v>
      </c>
      <c r="AW3449" s="4">
        <v>42724</v>
      </c>
      <c r="BC3449">
        <v>510.84</v>
      </c>
      <c r="BD3449">
        <v>0</v>
      </c>
      <c r="BN3449" t="s">
        <v>74</v>
      </c>
    </row>
    <row r="3450" spans="1:66">
      <c r="A3450">
        <v>101238</v>
      </c>
      <c r="B3450" s="3" t="s">
        <v>387</v>
      </c>
      <c r="C3450" s="1">
        <v>43300101</v>
      </c>
      <c r="D3450" t="s">
        <v>67</v>
      </c>
      <c r="H3450" t="str">
        <f t="shared" si="350"/>
        <v>10994940152</v>
      </c>
      <c r="I3450" t="str">
        <f t="shared" si="350"/>
        <v>10994940152</v>
      </c>
      <c r="K3450" t="str">
        <f>""</f>
        <v/>
      </c>
      <c r="M3450" t="s">
        <v>68</v>
      </c>
      <c r="N3450" t="str">
        <f t="shared" si="351"/>
        <v>FOR</v>
      </c>
      <c r="O3450" t="s">
        <v>69</v>
      </c>
      <c r="P3450" s="3" t="s">
        <v>75</v>
      </c>
      <c r="Q3450">
        <v>2016</v>
      </c>
      <c r="R3450" s="2">
        <v>42432</v>
      </c>
      <c r="S3450" s="2">
        <v>42461</v>
      </c>
      <c r="T3450" s="2">
        <v>42459</v>
      </c>
      <c r="U3450" s="2">
        <v>42519</v>
      </c>
      <c r="V3450" t="s">
        <v>71</v>
      </c>
      <c r="W3450" t="str">
        <f>"          7200001163"</f>
        <v xml:space="preserve">          7200001163</v>
      </c>
      <c r="X3450" s="1">
        <v>2263.1</v>
      </c>
      <c r="Y3450">
        <v>0</v>
      </c>
      <c r="Z3450" s="5">
        <v>1855</v>
      </c>
      <c r="AA3450">
        <v>165</v>
      </c>
      <c r="AB3450" s="5">
        <v>306075</v>
      </c>
      <c r="AC3450" s="1">
        <v>1855</v>
      </c>
      <c r="AD3450">
        <v>165</v>
      </c>
      <c r="AE3450" s="1">
        <v>306075</v>
      </c>
      <c r="AF3450">
        <v>0</v>
      </c>
      <c r="AJ3450">
        <v>0</v>
      </c>
      <c r="AK3450">
        <v>0</v>
      </c>
      <c r="AL3450">
        <v>0</v>
      </c>
      <c r="AM3450" s="1">
        <v>2263.1</v>
      </c>
      <c r="AN3450" s="1">
        <v>2263.1</v>
      </c>
      <c r="AO3450" s="1">
        <v>2263.1</v>
      </c>
      <c r="AP3450" s="2">
        <v>42746</v>
      </c>
      <c r="AQ3450" t="s">
        <v>72</v>
      </c>
      <c r="AR3450" t="s">
        <v>72</v>
      </c>
      <c r="AS3450">
        <v>3047</v>
      </c>
      <c r="AT3450" s="4">
        <v>42684</v>
      </c>
      <c r="AU3450" t="s">
        <v>73</v>
      </c>
      <c r="AV3450">
        <v>3047</v>
      </c>
      <c r="AW3450" s="4">
        <v>42684</v>
      </c>
      <c r="BD3450">
        <v>0</v>
      </c>
      <c r="BN3450" t="s">
        <v>74</v>
      </c>
    </row>
    <row r="3451" spans="1:66" hidden="1">
      <c r="A3451">
        <v>101240</v>
      </c>
      <c r="B3451" s="3" t="s">
        <v>388</v>
      </c>
      <c r="C3451" s="1">
        <v>43500101</v>
      </c>
      <c r="D3451" t="s">
        <v>113</v>
      </c>
      <c r="H3451" t="str">
        <f>"RLLMHL73R24A783E"</f>
        <v>RLLMHL73R24A783E</v>
      </c>
      <c r="I3451" t="str">
        <f>"01337780629"</f>
        <v>01337780629</v>
      </c>
      <c r="K3451" t="str">
        <f>""</f>
        <v/>
      </c>
      <c r="M3451" t="s">
        <v>68</v>
      </c>
      <c r="N3451" t="str">
        <f>"ALTPRO"</f>
        <v>ALTPRO</v>
      </c>
      <c r="O3451" t="s">
        <v>132</v>
      </c>
      <c r="P3451" s="3" t="s">
        <v>75</v>
      </c>
      <c r="Q3451">
        <v>2016</v>
      </c>
      <c r="R3451" s="2">
        <v>42402</v>
      </c>
      <c r="S3451" s="2">
        <v>42410</v>
      </c>
      <c r="T3451" s="2">
        <v>42409</v>
      </c>
      <c r="U3451" s="2">
        <v>42469</v>
      </c>
      <c r="V3451" t="s">
        <v>71</v>
      </c>
      <c r="W3451" t="str">
        <f>"                 1\E"</f>
        <v xml:space="preserve">                 1\E</v>
      </c>
      <c r="X3451" s="1">
        <v>1240.25</v>
      </c>
      <c r="Y3451">
        <v>-195.5</v>
      </c>
      <c r="Z3451"/>
      <c r="AB3451"/>
      <c r="AC3451" s="1">
        <v>1044.75</v>
      </c>
      <c r="AD3451">
        <v>-36</v>
      </c>
      <c r="AE3451" s="1">
        <v>-37611</v>
      </c>
      <c r="AF3451">
        <v>0</v>
      </c>
      <c r="AJ3451">
        <v>0</v>
      </c>
      <c r="AK3451">
        <v>0</v>
      </c>
      <c r="AL3451">
        <v>0</v>
      </c>
      <c r="AM3451" s="1">
        <v>1044.75</v>
      </c>
      <c r="AN3451" s="1">
        <v>1044.75</v>
      </c>
      <c r="AO3451" s="1">
        <v>1044.75</v>
      </c>
      <c r="AP3451" s="2">
        <v>42746</v>
      </c>
      <c r="AQ3451" t="s">
        <v>72</v>
      </c>
      <c r="AR3451" t="s">
        <v>72</v>
      </c>
      <c r="AS3451">
        <v>668</v>
      </c>
      <c r="AT3451" s="4">
        <v>42433</v>
      </c>
      <c r="AV3451">
        <v>668</v>
      </c>
      <c r="AW3451" s="4">
        <v>42433</v>
      </c>
      <c r="BD3451">
        <v>0</v>
      </c>
      <c r="BN3451" t="s">
        <v>74</v>
      </c>
    </row>
    <row r="3452" spans="1:66" hidden="1">
      <c r="A3452">
        <v>101240</v>
      </c>
      <c r="B3452" s="3" t="s">
        <v>388</v>
      </c>
      <c r="C3452" s="1">
        <v>43500101</v>
      </c>
      <c r="D3452" t="s">
        <v>113</v>
      </c>
      <c r="H3452" t="str">
        <f>"RLLMHL73R24A783E"</f>
        <v>RLLMHL73R24A783E</v>
      </c>
      <c r="I3452" t="str">
        <f>"01337780629"</f>
        <v>01337780629</v>
      </c>
      <c r="K3452" t="str">
        <f>""</f>
        <v/>
      </c>
      <c r="M3452" t="s">
        <v>68</v>
      </c>
      <c r="N3452" t="str">
        <f>"ALTPRO"</f>
        <v>ALTPRO</v>
      </c>
      <c r="O3452" t="s">
        <v>132</v>
      </c>
      <c r="P3452" s="3" t="s">
        <v>75</v>
      </c>
      <c r="Q3452">
        <v>2016</v>
      </c>
      <c r="R3452" s="2">
        <v>42411</v>
      </c>
      <c r="S3452" s="2">
        <v>42412</v>
      </c>
      <c r="T3452" s="2">
        <v>42411</v>
      </c>
      <c r="U3452" s="2">
        <v>42471</v>
      </c>
      <c r="V3452" t="s">
        <v>71</v>
      </c>
      <c r="W3452" t="str">
        <f>"                 2\E"</f>
        <v xml:space="preserve">                 2\E</v>
      </c>
      <c r="X3452">
        <v>413.78</v>
      </c>
      <c r="Y3452">
        <v>-57.5</v>
      </c>
      <c r="Z3452"/>
      <c r="AB3452"/>
      <c r="AC3452">
        <v>356.28</v>
      </c>
      <c r="AD3452">
        <v>-38</v>
      </c>
      <c r="AE3452" s="1">
        <v>-13538.64</v>
      </c>
      <c r="AF3452">
        <v>0</v>
      </c>
      <c r="AJ3452">
        <v>0</v>
      </c>
      <c r="AK3452">
        <v>0</v>
      </c>
      <c r="AL3452">
        <v>0</v>
      </c>
      <c r="AM3452">
        <v>356.28</v>
      </c>
      <c r="AN3452">
        <v>356.28</v>
      </c>
      <c r="AO3452">
        <v>356.28</v>
      </c>
      <c r="AP3452" s="2">
        <v>42746</v>
      </c>
      <c r="AQ3452" t="s">
        <v>72</v>
      </c>
      <c r="AR3452" t="s">
        <v>72</v>
      </c>
      <c r="AS3452">
        <v>668</v>
      </c>
      <c r="AT3452" s="4">
        <v>42433</v>
      </c>
      <c r="AV3452">
        <v>668</v>
      </c>
      <c r="AW3452" s="4">
        <v>42433</v>
      </c>
      <c r="BD3452">
        <v>0</v>
      </c>
      <c r="BN3452" t="s">
        <v>74</v>
      </c>
    </row>
    <row r="3453" spans="1:66">
      <c r="A3453">
        <v>101240</v>
      </c>
      <c r="B3453" s="3" t="s">
        <v>388</v>
      </c>
      <c r="C3453" s="1">
        <v>43500101</v>
      </c>
      <c r="D3453" t="s">
        <v>113</v>
      </c>
      <c r="H3453" t="str">
        <f>"RLLMHL73R24A783E"</f>
        <v>RLLMHL73R24A783E</v>
      </c>
      <c r="I3453" t="str">
        <f>"01337780629"</f>
        <v>01337780629</v>
      </c>
      <c r="K3453" t="str">
        <f>""</f>
        <v/>
      </c>
      <c r="M3453" t="s">
        <v>68</v>
      </c>
      <c r="N3453" t="str">
        <f>"ALTPRO"</f>
        <v>ALTPRO</v>
      </c>
      <c r="O3453" t="s">
        <v>132</v>
      </c>
      <c r="P3453" s="3" t="s">
        <v>75</v>
      </c>
      <c r="Q3453">
        <v>2016</v>
      </c>
      <c r="R3453" s="2">
        <v>42632</v>
      </c>
      <c r="S3453" s="2">
        <v>42633</v>
      </c>
      <c r="T3453" s="2">
        <v>42633</v>
      </c>
      <c r="U3453" s="2">
        <v>42693</v>
      </c>
      <c r="V3453" t="s">
        <v>71</v>
      </c>
      <c r="W3453" t="str">
        <f>"                12\E"</f>
        <v xml:space="preserve">                12\E</v>
      </c>
      <c r="X3453">
        <v>460.64</v>
      </c>
      <c r="Y3453">
        <v>-60</v>
      </c>
      <c r="Z3453" s="3">
        <v>400.64</v>
      </c>
      <c r="AA3453">
        <v>-47</v>
      </c>
      <c r="AB3453" s="5">
        <v>-18830.080000000002</v>
      </c>
      <c r="AC3453">
        <v>400.64</v>
      </c>
      <c r="AD3453">
        <v>-47</v>
      </c>
      <c r="AE3453" s="1">
        <v>-18830.080000000002</v>
      </c>
      <c r="AF3453">
        <v>0</v>
      </c>
      <c r="AJ3453">
        <v>0</v>
      </c>
      <c r="AK3453">
        <v>0</v>
      </c>
      <c r="AL3453">
        <v>0</v>
      </c>
      <c r="AM3453">
        <v>400.64</v>
      </c>
      <c r="AN3453">
        <v>400.64</v>
      </c>
      <c r="AO3453">
        <v>400.64</v>
      </c>
      <c r="AP3453" s="2">
        <v>42746</v>
      </c>
      <c r="AQ3453" t="s">
        <v>72</v>
      </c>
      <c r="AR3453" t="s">
        <v>72</v>
      </c>
      <c r="AS3453">
        <v>2535</v>
      </c>
      <c r="AT3453" s="4">
        <v>42646</v>
      </c>
      <c r="AV3453">
        <v>2535</v>
      </c>
      <c r="AW3453" s="4">
        <v>42646</v>
      </c>
      <c r="BD3453">
        <v>0</v>
      </c>
      <c r="BN3453" t="s">
        <v>74</v>
      </c>
    </row>
    <row r="3454" spans="1:66" hidden="1">
      <c r="A3454">
        <v>101241</v>
      </c>
      <c r="B3454" s="3" t="s">
        <v>389</v>
      </c>
      <c r="C3454" s="1">
        <v>43300101</v>
      </c>
      <c r="D3454" t="s">
        <v>67</v>
      </c>
      <c r="H3454" t="str">
        <f t="shared" ref="H3454:I3459" si="352">"02879890982"</f>
        <v>02879890982</v>
      </c>
      <c r="I3454" t="str">
        <f t="shared" si="352"/>
        <v>02879890982</v>
      </c>
      <c r="K3454" t="str">
        <f>""</f>
        <v/>
      </c>
      <c r="M3454" t="s">
        <v>68</v>
      </c>
      <c r="N3454" t="str">
        <f t="shared" ref="N3454:N3474" si="353">"FOR"</f>
        <v>FOR</v>
      </c>
      <c r="O3454" t="s">
        <v>69</v>
      </c>
      <c r="P3454" s="3" t="s">
        <v>75</v>
      </c>
      <c r="Q3454">
        <v>2015</v>
      </c>
      <c r="R3454" s="2">
        <v>42277</v>
      </c>
      <c r="S3454" s="2">
        <v>42283</v>
      </c>
      <c r="T3454" s="2">
        <v>42282</v>
      </c>
      <c r="U3454" s="2">
        <v>42342</v>
      </c>
      <c r="V3454" t="s">
        <v>71</v>
      </c>
      <c r="W3454" t="str">
        <f>"            23150265"</f>
        <v xml:space="preserve">            23150265</v>
      </c>
      <c r="X3454">
        <v>647.36</v>
      </c>
      <c r="Y3454">
        <v>0</v>
      </c>
      <c r="Z3454"/>
      <c r="AB3454"/>
      <c r="AC3454">
        <v>530.62</v>
      </c>
      <c r="AD3454">
        <v>279</v>
      </c>
      <c r="AE3454" s="1">
        <v>148042.98000000001</v>
      </c>
      <c r="AF3454">
        <v>0</v>
      </c>
      <c r="AJ3454">
        <v>0</v>
      </c>
      <c r="AK3454">
        <v>0</v>
      </c>
      <c r="AL3454">
        <v>0</v>
      </c>
      <c r="AM3454">
        <v>0</v>
      </c>
      <c r="AN3454">
        <v>0</v>
      </c>
      <c r="AO3454">
        <v>0</v>
      </c>
      <c r="AP3454" s="2">
        <v>42746</v>
      </c>
      <c r="AQ3454" t="s">
        <v>72</v>
      </c>
      <c r="AR3454" t="s">
        <v>72</v>
      </c>
      <c r="AS3454">
        <v>2377</v>
      </c>
      <c r="AT3454" s="4">
        <v>42621</v>
      </c>
      <c r="AU3454" t="s">
        <v>73</v>
      </c>
      <c r="AV3454">
        <v>2377</v>
      </c>
      <c r="AW3454" s="4">
        <v>42621</v>
      </c>
      <c r="BD3454">
        <v>0</v>
      </c>
      <c r="BN3454" t="s">
        <v>74</v>
      </c>
    </row>
    <row r="3455" spans="1:66" hidden="1">
      <c r="A3455">
        <v>101241</v>
      </c>
      <c r="B3455" s="3" t="s">
        <v>389</v>
      </c>
      <c r="C3455" s="1">
        <v>43300101</v>
      </c>
      <c r="D3455" t="s">
        <v>67</v>
      </c>
      <c r="H3455" t="str">
        <f t="shared" si="352"/>
        <v>02879890982</v>
      </c>
      <c r="I3455" t="str">
        <f t="shared" si="352"/>
        <v>02879890982</v>
      </c>
      <c r="K3455" t="str">
        <f>""</f>
        <v/>
      </c>
      <c r="M3455" t="s">
        <v>68</v>
      </c>
      <c r="N3455" t="str">
        <f t="shared" si="353"/>
        <v>FOR</v>
      </c>
      <c r="O3455" t="s">
        <v>69</v>
      </c>
      <c r="P3455" s="3" t="s">
        <v>75</v>
      </c>
      <c r="Q3455">
        <v>2015</v>
      </c>
      <c r="R3455" s="2">
        <v>42338</v>
      </c>
      <c r="S3455" s="2">
        <v>42345</v>
      </c>
      <c r="T3455" s="2">
        <v>42342</v>
      </c>
      <c r="U3455" s="2">
        <v>42402</v>
      </c>
      <c r="V3455" t="s">
        <v>71</v>
      </c>
      <c r="W3455" t="str">
        <f>"            23150321"</f>
        <v xml:space="preserve">            23150321</v>
      </c>
      <c r="X3455">
        <v>494.25</v>
      </c>
      <c r="Y3455">
        <v>0</v>
      </c>
      <c r="Z3455"/>
      <c r="AB3455"/>
      <c r="AC3455">
        <v>405.12</v>
      </c>
      <c r="AD3455">
        <v>219</v>
      </c>
      <c r="AE3455" s="1">
        <v>88721.279999999999</v>
      </c>
      <c r="AF3455">
        <v>0</v>
      </c>
      <c r="AJ3455">
        <v>0</v>
      </c>
      <c r="AK3455">
        <v>0</v>
      </c>
      <c r="AL3455">
        <v>0</v>
      </c>
      <c r="AM3455">
        <v>0</v>
      </c>
      <c r="AN3455">
        <v>0</v>
      </c>
      <c r="AO3455">
        <v>0</v>
      </c>
      <c r="AP3455" s="2">
        <v>42746</v>
      </c>
      <c r="AQ3455" t="s">
        <v>72</v>
      </c>
      <c r="AR3455" t="s">
        <v>72</v>
      </c>
      <c r="AS3455">
        <v>2377</v>
      </c>
      <c r="AT3455" s="4">
        <v>42621</v>
      </c>
      <c r="AU3455" t="s">
        <v>73</v>
      </c>
      <c r="AV3455">
        <v>2377</v>
      </c>
      <c r="AW3455" s="4">
        <v>42621</v>
      </c>
      <c r="BD3455">
        <v>0</v>
      </c>
      <c r="BN3455" t="s">
        <v>74</v>
      </c>
    </row>
    <row r="3456" spans="1:66" hidden="1">
      <c r="A3456">
        <v>101241</v>
      </c>
      <c r="B3456" s="3" t="s">
        <v>389</v>
      </c>
      <c r="C3456" s="1">
        <v>43300101</v>
      </c>
      <c r="D3456" t="s">
        <v>67</v>
      </c>
      <c r="H3456" t="str">
        <f t="shared" si="352"/>
        <v>02879890982</v>
      </c>
      <c r="I3456" t="str">
        <f t="shared" si="352"/>
        <v>02879890982</v>
      </c>
      <c r="K3456" t="str">
        <f>""</f>
        <v/>
      </c>
      <c r="M3456" t="s">
        <v>68</v>
      </c>
      <c r="N3456" t="str">
        <f t="shared" si="353"/>
        <v>FOR</v>
      </c>
      <c r="O3456" t="s">
        <v>69</v>
      </c>
      <c r="P3456" s="3" t="s">
        <v>75</v>
      </c>
      <c r="Q3456">
        <v>2015</v>
      </c>
      <c r="R3456" s="2">
        <v>42338</v>
      </c>
      <c r="S3456" s="2">
        <v>42408</v>
      </c>
      <c r="T3456" s="2">
        <v>42405</v>
      </c>
      <c r="U3456" s="2">
        <v>42465</v>
      </c>
      <c r="V3456" t="s">
        <v>71</v>
      </c>
      <c r="W3456" t="str">
        <f>"            23150322"</f>
        <v xml:space="preserve">            23150322</v>
      </c>
      <c r="X3456" s="1">
        <v>1333.46</v>
      </c>
      <c r="Y3456">
        <v>0</v>
      </c>
      <c r="Z3456"/>
      <c r="AB3456"/>
      <c r="AC3456" s="1">
        <v>1093</v>
      </c>
      <c r="AD3456">
        <v>156</v>
      </c>
      <c r="AE3456" s="1">
        <v>170508</v>
      </c>
      <c r="AF3456">
        <v>0</v>
      </c>
      <c r="AJ3456">
        <v>0</v>
      </c>
      <c r="AK3456">
        <v>0</v>
      </c>
      <c r="AL3456">
        <v>0</v>
      </c>
      <c r="AM3456" s="1">
        <v>1333.46</v>
      </c>
      <c r="AN3456" s="1">
        <v>1333.46</v>
      </c>
      <c r="AO3456">
        <v>0</v>
      </c>
      <c r="AP3456" s="2">
        <v>42746</v>
      </c>
      <c r="AQ3456" t="s">
        <v>72</v>
      </c>
      <c r="AR3456" t="s">
        <v>72</v>
      </c>
      <c r="AS3456">
        <v>2377</v>
      </c>
      <c r="AT3456" s="4">
        <v>42621</v>
      </c>
      <c r="AU3456" t="s">
        <v>73</v>
      </c>
      <c r="AV3456">
        <v>2377</v>
      </c>
      <c r="AW3456" s="4">
        <v>42621</v>
      </c>
      <c r="BD3456">
        <v>0</v>
      </c>
      <c r="BN3456" t="s">
        <v>74</v>
      </c>
    </row>
    <row r="3457" spans="1:66">
      <c r="A3457">
        <v>101241</v>
      </c>
      <c r="B3457" s="3" t="s">
        <v>389</v>
      </c>
      <c r="C3457" s="1">
        <v>43300101</v>
      </c>
      <c r="D3457" t="s">
        <v>67</v>
      </c>
      <c r="H3457" t="str">
        <f t="shared" si="352"/>
        <v>02879890982</v>
      </c>
      <c r="I3457" t="str">
        <f t="shared" si="352"/>
        <v>02879890982</v>
      </c>
      <c r="K3457" t="str">
        <f>""</f>
        <v/>
      </c>
      <c r="M3457" t="s">
        <v>68</v>
      </c>
      <c r="N3457" t="str">
        <f t="shared" si="353"/>
        <v>FOR</v>
      </c>
      <c r="O3457" t="s">
        <v>69</v>
      </c>
      <c r="P3457" s="3" t="s">
        <v>75</v>
      </c>
      <c r="Q3457">
        <v>2016</v>
      </c>
      <c r="R3457" s="2">
        <v>42429</v>
      </c>
      <c r="S3457" s="2">
        <v>42436</v>
      </c>
      <c r="T3457" s="2">
        <v>42433</v>
      </c>
      <c r="U3457" s="2">
        <v>42493</v>
      </c>
      <c r="V3457" t="s">
        <v>71</v>
      </c>
      <c r="W3457" t="str">
        <f>"            23160065"</f>
        <v xml:space="preserve">            23160065</v>
      </c>
      <c r="X3457">
        <v>174.7</v>
      </c>
      <c r="Y3457">
        <v>0</v>
      </c>
      <c r="Z3457" s="3">
        <v>143.19999999999999</v>
      </c>
      <c r="AA3457">
        <v>199</v>
      </c>
      <c r="AB3457" s="5">
        <v>28496.799999999999</v>
      </c>
      <c r="AC3457">
        <v>143.19999999999999</v>
      </c>
      <c r="AD3457">
        <v>199</v>
      </c>
      <c r="AE3457" s="1">
        <v>28496.799999999999</v>
      </c>
      <c r="AF3457">
        <v>0</v>
      </c>
      <c r="AJ3457">
        <v>0</v>
      </c>
      <c r="AK3457">
        <v>0</v>
      </c>
      <c r="AL3457">
        <v>0</v>
      </c>
      <c r="AM3457">
        <v>174.7</v>
      </c>
      <c r="AN3457">
        <v>174.7</v>
      </c>
      <c r="AO3457">
        <v>174.7</v>
      </c>
      <c r="AP3457" s="2">
        <v>42746</v>
      </c>
      <c r="AQ3457" t="s">
        <v>72</v>
      </c>
      <c r="AR3457" t="s">
        <v>72</v>
      </c>
      <c r="AS3457">
        <v>3169</v>
      </c>
      <c r="AT3457" s="4">
        <v>42692</v>
      </c>
      <c r="AU3457" t="s">
        <v>73</v>
      </c>
      <c r="AV3457">
        <v>3169</v>
      </c>
      <c r="AW3457" s="4">
        <v>42692</v>
      </c>
      <c r="BD3457">
        <v>0</v>
      </c>
      <c r="BN3457" t="s">
        <v>74</v>
      </c>
    </row>
    <row r="3458" spans="1:66">
      <c r="A3458">
        <v>101241</v>
      </c>
      <c r="B3458" s="3" t="s">
        <v>389</v>
      </c>
      <c r="C3458" s="1">
        <v>43300101</v>
      </c>
      <c r="D3458" t="s">
        <v>67</v>
      </c>
      <c r="H3458" t="str">
        <f t="shared" si="352"/>
        <v>02879890982</v>
      </c>
      <c r="I3458" t="str">
        <f t="shared" si="352"/>
        <v>02879890982</v>
      </c>
      <c r="K3458" t="str">
        <f>""</f>
        <v/>
      </c>
      <c r="M3458" t="s">
        <v>68</v>
      </c>
      <c r="N3458" t="str">
        <f t="shared" si="353"/>
        <v>FOR</v>
      </c>
      <c r="O3458" t="s">
        <v>69</v>
      </c>
      <c r="P3458" s="3" t="s">
        <v>75</v>
      </c>
      <c r="Q3458">
        <v>2016</v>
      </c>
      <c r="R3458" s="2">
        <v>42481</v>
      </c>
      <c r="S3458" s="2">
        <v>42495</v>
      </c>
      <c r="T3458" s="2">
        <v>42494</v>
      </c>
      <c r="U3458" s="2">
        <v>42554</v>
      </c>
      <c r="V3458" t="s">
        <v>71</v>
      </c>
      <c r="W3458" t="str">
        <f>"            23160142"</f>
        <v xml:space="preserve">            23160142</v>
      </c>
      <c r="X3458">
        <v>680.76</v>
      </c>
      <c r="Y3458">
        <v>0</v>
      </c>
      <c r="Z3458" s="3">
        <v>558</v>
      </c>
      <c r="AA3458">
        <v>138</v>
      </c>
      <c r="AB3458" s="5">
        <v>77004</v>
      </c>
      <c r="AC3458">
        <v>558</v>
      </c>
      <c r="AD3458">
        <v>138</v>
      </c>
      <c r="AE3458" s="1">
        <v>77004</v>
      </c>
      <c r="AF3458">
        <v>0</v>
      </c>
      <c r="AJ3458">
        <v>0</v>
      </c>
      <c r="AK3458">
        <v>0</v>
      </c>
      <c r="AL3458">
        <v>0</v>
      </c>
      <c r="AM3458">
        <v>680.76</v>
      </c>
      <c r="AN3458">
        <v>680.76</v>
      </c>
      <c r="AO3458">
        <v>680.76</v>
      </c>
      <c r="AP3458" s="2">
        <v>42746</v>
      </c>
      <c r="AQ3458" t="s">
        <v>72</v>
      </c>
      <c r="AR3458" t="s">
        <v>72</v>
      </c>
      <c r="AS3458">
        <v>3169</v>
      </c>
      <c r="AT3458" s="4">
        <v>42692</v>
      </c>
      <c r="AU3458" t="s">
        <v>73</v>
      </c>
      <c r="AV3458">
        <v>3169</v>
      </c>
      <c r="AW3458" s="4">
        <v>42692</v>
      </c>
      <c r="BD3458">
        <v>0</v>
      </c>
      <c r="BN3458" t="s">
        <v>74</v>
      </c>
    </row>
    <row r="3459" spans="1:66">
      <c r="A3459">
        <v>101241</v>
      </c>
      <c r="B3459" s="3" t="s">
        <v>389</v>
      </c>
      <c r="C3459" s="1">
        <v>43300101</v>
      </c>
      <c r="D3459" t="s">
        <v>67</v>
      </c>
      <c r="H3459" t="str">
        <f t="shared" si="352"/>
        <v>02879890982</v>
      </c>
      <c r="I3459" t="str">
        <f t="shared" si="352"/>
        <v>02879890982</v>
      </c>
      <c r="K3459" t="str">
        <f>""</f>
        <v/>
      </c>
      <c r="M3459" t="s">
        <v>68</v>
      </c>
      <c r="N3459" t="str">
        <f t="shared" si="353"/>
        <v>FOR</v>
      </c>
      <c r="O3459" t="s">
        <v>69</v>
      </c>
      <c r="P3459" s="3" t="s">
        <v>75</v>
      </c>
      <c r="Q3459">
        <v>2016</v>
      </c>
      <c r="R3459" s="2">
        <v>42508</v>
      </c>
      <c r="S3459" s="2">
        <v>42530</v>
      </c>
      <c r="T3459" s="2">
        <v>42530</v>
      </c>
      <c r="U3459" s="2">
        <v>42590</v>
      </c>
      <c r="V3459" t="s">
        <v>71</v>
      </c>
      <c r="W3459" t="str">
        <f>"            23160178"</f>
        <v xml:space="preserve">            23160178</v>
      </c>
      <c r="X3459" s="1">
        <v>4514</v>
      </c>
      <c r="Y3459">
        <v>0</v>
      </c>
      <c r="Z3459" s="5">
        <v>3700</v>
      </c>
      <c r="AA3459">
        <v>102</v>
      </c>
      <c r="AB3459" s="5">
        <v>377400</v>
      </c>
      <c r="AC3459" s="1">
        <v>3700</v>
      </c>
      <c r="AD3459">
        <v>102</v>
      </c>
      <c r="AE3459" s="1">
        <v>377400</v>
      </c>
      <c r="AF3459">
        <v>0</v>
      </c>
      <c r="AJ3459">
        <v>0</v>
      </c>
      <c r="AK3459">
        <v>0</v>
      </c>
      <c r="AL3459">
        <v>0</v>
      </c>
      <c r="AM3459" s="1">
        <v>4514</v>
      </c>
      <c r="AN3459" s="1">
        <v>4514</v>
      </c>
      <c r="AO3459" s="1">
        <v>4514</v>
      </c>
      <c r="AP3459" s="2">
        <v>42746</v>
      </c>
      <c r="AQ3459" t="s">
        <v>72</v>
      </c>
      <c r="AR3459" t="s">
        <v>72</v>
      </c>
      <c r="AS3459">
        <v>3169</v>
      </c>
      <c r="AT3459" s="4">
        <v>42692</v>
      </c>
      <c r="AU3459" t="s">
        <v>73</v>
      </c>
      <c r="AV3459">
        <v>3169</v>
      </c>
      <c r="AW3459" s="4">
        <v>42692</v>
      </c>
      <c r="BD3459">
        <v>0</v>
      </c>
      <c r="BN3459" t="s">
        <v>74</v>
      </c>
    </row>
    <row r="3460" spans="1:66" hidden="1">
      <c r="A3460">
        <v>101244</v>
      </c>
      <c r="B3460" s="3" t="s">
        <v>390</v>
      </c>
      <c r="C3460" s="1">
        <v>43300101</v>
      </c>
      <c r="D3460" t="s">
        <v>67</v>
      </c>
      <c r="H3460" t="str">
        <f t="shared" ref="H3460:I3474" si="354">"01113580656"</f>
        <v>01113580656</v>
      </c>
      <c r="I3460" t="str">
        <f t="shared" si="354"/>
        <v>01113580656</v>
      </c>
      <c r="K3460" t="str">
        <f>""</f>
        <v/>
      </c>
      <c r="M3460" t="s">
        <v>68</v>
      </c>
      <c r="N3460" t="str">
        <f t="shared" si="353"/>
        <v>FOR</v>
      </c>
      <c r="O3460" t="s">
        <v>69</v>
      </c>
      <c r="P3460" s="3" t="s">
        <v>70</v>
      </c>
      <c r="Q3460">
        <v>2015</v>
      </c>
      <c r="R3460" s="2">
        <v>42045</v>
      </c>
      <c r="S3460" s="2">
        <v>42054</v>
      </c>
      <c r="T3460" s="2">
        <v>42054</v>
      </c>
      <c r="U3460" s="2">
        <v>42114</v>
      </c>
      <c r="V3460" t="s">
        <v>71</v>
      </c>
      <c r="W3460" t="str">
        <f>"                 196"</f>
        <v xml:space="preserve">                 196</v>
      </c>
      <c r="X3460" s="1">
        <v>18291.46</v>
      </c>
      <c r="Y3460">
        <v>0</v>
      </c>
      <c r="Z3460"/>
      <c r="AB3460"/>
      <c r="AC3460" s="1">
        <v>14993</v>
      </c>
      <c r="AD3460">
        <v>287</v>
      </c>
      <c r="AE3460" s="1">
        <v>4302991</v>
      </c>
      <c r="AF3460">
        <v>0</v>
      </c>
      <c r="AJ3460">
        <v>0</v>
      </c>
      <c r="AK3460">
        <v>0</v>
      </c>
      <c r="AL3460">
        <v>0</v>
      </c>
      <c r="AM3460">
        <v>0</v>
      </c>
      <c r="AN3460">
        <v>0</v>
      </c>
      <c r="AO3460">
        <v>0</v>
      </c>
      <c r="AP3460" s="2">
        <v>42746</v>
      </c>
      <c r="AQ3460" t="s">
        <v>72</v>
      </c>
      <c r="AR3460" t="s">
        <v>72</v>
      </c>
      <c r="AS3460">
        <v>186</v>
      </c>
      <c r="AT3460" s="4">
        <v>42401</v>
      </c>
      <c r="AU3460" t="s">
        <v>73</v>
      </c>
      <c r="AV3460">
        <v>186</v>
      </c>
      <c r="AW3460" s="4">
        <v>42401</v>
      </c>
      <c r="BD3460">
        <v>0</v>
      </c>
      <c r="BN3460" t="s">
        <v>74</v>
      </c>
    </row>
    <row r="3461" spans="1:66" hidden="1">
      <c r="A3461">
        <v>101244</v>
      </c>
      <c r="B3461" s="3" t="s">
        <v>390</v>
      </c>
      <c r="C3461" s="1">
        <v>43300101</v>
      </c>
      <c r="D3461" t="s">
        <v>67</v>
      </c>
      <c r="H3461" t="str">
        <f t="shared" si="354"/>
        <v>01113580656</v>
      </c>
      <c r="I3461" t="str">
        <f t="shared" si="354"/>
        <v>01113580656</v>
      </c>
      <c r="K3461" t="str">
        <f>""</f>
        <v/>
      </c>
      <c r="M3461" t="s">
        <v>68</v>
      </c>
      <c r="N3461" t="str">
        <f t="shared" si="353"/>
        <v>FOR</v>
      </c>
      <c r="O3461" t="s">
        <v>69</v>
      </c>
      <c r="P3461" s="3" t="s">
        <v>70</v>
      </c>
      <c r="Q3461">
        <v>2015</v>
      </c>
      <c r="R3461" s="2">
        <v>42054</v>
      </c>
      <c r="S3461" s="2">
        <v>42069</v>
      </c>
      <c r="T3461" s="2">
        <v>42069</v>
      </c>
      <c r="U3461" s="2">
        <v>42129</v>
      </c>
      <c r="V3461" t="s">
        <v>71</v>
      </c>
      <c r="W3461" t="str">
        <f>"                 237"</f>
        <v xml:space="preserve">                 237</v>
      </c>
      <c r="X3461">
        <v>791.71</v>
      </c>
      <c r="Y3461">
        <v>0</v>
      </c>
      <c r="Z3461"/>
      <c r="AB3461"/>
      <c r="AC3461">
        <v>648.94000000000005</v>
      </c>
      <c r="AD3461">
        <v>272</v>
      </c>
      <c r="AE3461" s="1">
        <v>176511.68</v>
      </c>
      <c r="AF3461">
        <v>0</v>
      </c>
      <c r="AJ3461">
        <v>0</v>
      </c>
      <c r="AK3461">
        <v>0</v>
      </c>
      <c r="AL3461">
        <v>0</v>
      </c>
      <c r="AM3461">
        <v>0</v>
      </c>
      <c r="AN3461">
        <v>0</v>
      </c>
      <c r="AO3461">
        <v>0</v>
      </c>
      <c r="AP3461" s="2">
        <v>42746</v>
      </c>
      <c r="AQ3461" t="s">
        <v>72</v>
      </c>
      <c r="AR3461" t="s">
        <v>72</v>
      </c>
      <c r="AS3461">
        <v>186</v>
      </c>
      <c r="AT3461" s="4">
        <v>42401</v>
      </c>
      <c r="AU3461" t="s">
        <v>73</v>
      </c>
      <c r="AV3461">
        <v>186</v>
      </c>
      <c r="AW3461" s="4">
        <v>42401</v>
      </c>
      <c r="BD3461">
        <v>0</v>
      </c>
      <c r="BN3461" t="s">
        <v>74</v>
      </c>
    </row>
    <row r="3462" spans="1:66" hidden="1">
      <c r="A3462">
        <v>101244</v>
      </c>
      <c r="B3462" s="3" t="s">
        <v>390</v>
      </c>
      <c r="C3462" s="1">
        <v>43300101</v>
      </c>
      <c r="D3462" t="s">
        <v>67</v>
      </c>
      <c r="H3462" t="str">
        <f t="shared" si="354"/>
        <v>01113580656</v>
      </c>
      <c r="I3462" t="str">
        <f t="shared" si="354"/>
        <v>01113580656</v>
      </c>
      <c r="K3462" t="str">
        <f>""</f>
        <v/>
      </c>
      <c r="M3462" t="s">
        <v>68</v>
      </c>
      <c r="N3462" t="str">
        <f t="shared" si="353"/>
        <v>FOR</v>
      </c>
      <c r="O3462" t="s">
        <v>69</v>
      </c>
      <c r="P3462" s="3" t="s">
        <v>70</v>
      </c>
      <c r="Q3462">
        <v>2015</v>
      </c>
      <c r="R3462" s="2">
        <v>42072</v>
      </c>
      <c r="S3462" s="2">
        <v>42087</v>
      </c>
      <c r="T3462" s="2">
        <v>42087</v>
      </c>
      <c r="U3462" s="2">
        <v>42147</v>
      </c>
      <c r="V3462" t="s">
        <v>71</v>
      </c>
      <c r="W3462" t="str">
        <f>"                 304"</f>
        <v xml:space="preserve">                 304</v>
      </c>
      <c r="X3462">
        <v>791.71</v>
      </c>
      <c r="Y3462">
        <v>0</v>
      </c>
      <c r="Z3462"/>
      <c r="AB3462"/>
      <c r="AC3462">
        <v>648.94000000000005</v>
      </c>
      <c r="AD3462">
        <v>268</v>
      </c>
      <c r="AE3462" s="1">
        <v>173915.92</v>
      </c>
      <c r="AF3462">
        <v>0</v>
      </c>
      <c r="AJ3462">
        <v>0</v>
      </c>
      <c r="AK3462">
        <v>0</v>
      </c>
      <c r="AL3462">
        <v>0</v>
      </c>
      <c r="AM3462">
        <v>0</v>
      </c>
      <c r="AN3462">
        <v>0</v>
      </c>
      <c r="AO3462">
        <v>0</v>
      </c>
      <c r="AP3462" s="2">
        <v>42746</v>
      </c>
      <c r="AQ3462" t="s">
        <v>72</v>
      </c>
      <c r="AR3462" t="s">
        <v>72</v>
      </c>
      <c r="AS3462">
        <v>350</v>
      </c>
      <c r="AT3462" s="4">
        <v>42415</v>
      </c>
      <c r="AU3462" t="s">
        <v>73</v>
      </c>
      <c r="AV3462">
        <v>350</v>
      </c>
      <c r="AW3462" s="4">
        <v>42415</v>
      </c>
      <c r="BD3462">
        <v>0</v>
      </c>
      <c r="BN3462" t="s">
        <v>74</v>
      </c>
    </row>
    <row r="3463" spans="1:66" hidden="1">
      <c r="A3463">
        <v>101244</v>
      </c>
      <c r="B3463" s="3" t="s">
        <v>390</v>
      </c>
      <c r="C3463" s="1">
        <v>43300101</v>
      </c>
      <c r="D3463" t="s">
        <v>67</v>
      </c>
      <c r="H3463" t="str">
        <f t="shared" si="354"/>
        <v>01113580656</v>
      </c>
      <c r="I3463" t="str">
        <f t="shared" si="354"/>
        <v>01113580656</v>
      </c>
      <c r="K3463" t="str">
        <f>""</f>
        <v/>
      </c>
      <c r="M3463" t="s">
        <v>68</v>
      </c>
      <c r="N3463" t="str">
        <f t="shared" si="353"/>
        <v>FOR</v>
      </c>
      <c r="O3463" t="s">
        <v>69</v>
      </c>
      <c r="P3463" s="3" t="s">
        <v>70</v>
      </c>
      <c r="Q3463">
        <v>2015</v>
      </c>
      <c r="R3463" s="2">
        <v>42093</v>
      </c>
      <c r="S3463" s="2">
        <v>42110</v>
      </c>
      <c r="T3463" s="2">
        <v>42110</v>
      </c>
      <c r="U3463" s="2">
        <v>42170</v>
      </c>
      <c r="V3463" t="s">
        <v>71</v>
      </c>
      <c r="W3463" t="str">
        <f>"                 434"</f>
        <v xml:space="preserve">                 434</v>
      </c>
      <c r="X3463" s="1">
        <v>6320.82</v>
      </c>
      <c r="Y3463">
        <v>0</v>
      </c>
      <c r="Z3463"/>
      <c r="AB3463"/>
      <c r="AC3463" s="1">
        <v>5181</v>
      </c>
      <c r="AD3463">
        <v>245</v>
      </c>
      <c r="AE3463" s="1">
        <v>1269345</v>
      </c>
      <c r="AF3463">
        <v>0</v>
      </c>
      <c r="AJ3463">
        <v>0</v>
      </c>
      <c r="AK3463">
        <v>0</v>
      </c>
      <c r="AL3463">
        <v>0</v>
      </c>
      <c r="AM3463">
        <v>0</v>
      </c>
      <c r="AN3463">
        <v>0</v>
      </c>
      <c r="AO3463">
        <v>0</v>
      </c>
      <c r="AP3463" s="2">
        <v>42746</v>
      </c>
      <c r="AQ3463" t="s">
        <v>72</v>
      </c>
      <c r="AR3463" t="s">
        <v>72</v>
      </c>
      <c r="AS3463">
        <v>350</v>
      </c>
      <c r="AT3463" s="4">
        <v>42415</v>
      </c>
      <c r="AU3463" t="s">
        <v>73</v>
      </c>
      <c r="AV3463">
        <v>350</v>
      </c>
      <c r="AW3463" s="4">
        <v>42415</v>
      </c>
      <c r="BD3463">
        <v>0</v>
      </c>
      <c r="BN3463" t="s">
        <v>74</v>
      </c>
    </row>
    <row r="3464" spans="1:66" hidden="1">
      <c r="A3464">
        <v>101244</v>
      </c>
      <c r="B3464" s="3" t="s">
        <v>390</v>
      </c>
      <c r="C3464" s="1">
        <v>43300101</v>
      </c>
      <c r="D3464" t="s">
        <v>67</v>
      </c>
      <c r="H3464" t="str">
        <f t="shared" si="354"/>
        <v>01113580656</v>
      </c>
      <c r="I3464" t="str">
        <f t="shared" si="354"/>
        <v>01113580656</v>
      </c>
      <c r="K3464" t="str">
        <f>""</f>
        <v/>
      </c>
      <c r="M3464" t="s">
        <v>68</v>
      </c>
      <c r="N3464" t="str">
        <f t="shared" si="353"/>
        <v>FOR</v>
      </c>
      <c r="O3464" t="s">
        <v>69</v>
      </c>
      <c r="P3464" s="3" t="s">
        <v>75</v>
      </c>
      <c r="Q3464">
        <v>2015</v>
      </c>
      <c r="R3464" s="2">
        <v>42124</v>
      </c>
      <c r="S3464" s="2">
        <v>42128</v>
      </c>
      <c r="T3464" s="2">
        <v>42124</v>
      </c>
      <c r="U3464" s="2">
        <v>42184</v>
      </c>
      <c r="V3464" t="s">
        <v>71</v>
      </c>
      <c r="W3464" t="str">
        <f>"                 576"</f>
        <v xml:space="preserve">                 576</v>
      </c>
      <c r="X3464">
        <v>791.71</v>
      </c>
      <c r="Y3464">
        <v>0</v>
      </c>
      <c r="Z3464"/>
      <c r="AB3464"/>
      <c r="AC3464">
        <v>648.94000000000005</v>
      </c>
      <c r="AD3464">
        <v>268</v>
      </c>
      <c r="AE3464" s="1">
        <v>173915.92</v>
      </c>
      <c r="AF3464">
        <v>0</v>
      </c>
      <c r="AJ3464">
        <v>0</v>
      </c>
      <c r="AK3464">
        <v>0</v>
      </c>
      <c r="AL3464">
        <v>0</v>
      </c>
      <c r="AM3464">
        <v>0</v>
      </c>
      <c r="AN3464">
        <v>0</v>
      </c>
      <c r="AO3464">
        <v>0</v>
      </c>
      <c r="AP3464" s="2">
        <v>42746</v>
      </c>
      <c r="AQ3464" t="s">
        <v>72</v>
      </c>
      <c r="AR3464" t="s">
        <v>72</v>
      </c>
      <c r="AS3464">
        <v>769</v>
      </c>
      <c r="AT3464" s="4">
        <v>42452</v>
      </c>
      <c r="AU3464" t="s">
        <v>73</v>
      </c>
      <c r="AV3464">
        <v>769</v>
      </c>
      <c r="AW3464" s="4">
        <v>42452</v>
      </c>
      <c r="BD3464">
        <v>0</v>
      </c>
      <c r="BN3464" t="s">
        <v>74</v>
      </c>
    </row>
    <row r="3465" spans="1:66" hidden="1">
      <c r="A3465">
        <v>101244</v>
      </c>
      <c r="B3465" s="3" t="s">
        <v>390</v>
      </c>
      <c r="C3465" s="1">
        <v>43300101</v>
      </c>
      <c r="D3465" t="s">
        <v>67</v>
      </c>
      <c r="H3465" t="str">
        <f t="shared" si="354"/>
        <v>01113580656</v>
      </c>
      <c r="I3465" t="str">
        <f t="shared" si="354"/>
        <v>01113580656</v>
      </c>
      <c r="K3465" t="str">
        <f>""</f>
        <v/>
      </c>
      <c r="M3465" t="s">
        <v>68</v>
      </c>
      <c r="N3465" t="str">
        <f t="shared" si="353"/>
        <v>FOR</v>
      </c>
      <c r="O3465" t="s">
        <v>69</v>
      </c>
      <c r="P3465" s="3" t="s">
        <v>75</v>
      </c>
      <c r="Q3465">
        <v>2015</v>
      </c>
      <c r="R3465" s="2">
        <v>42130</v>
      </c>
      <c r="S3465" s="2">
        <v>42131</v>
      </c>
      <c r="T3465" s="2">
        <v>42130</v>
      </c>
      <c r="U3465" s="2">
        <v>42190</v>
      </c>
      <c r="V3465" t="s">
        <v>71</v>
      </c>
      <c r="W3465" t="str">
        <f>"                 597"</f>
        <v xml:space="preserve">                 597</v>
      </c>
      <c r="X3465" s="1">
        <v>10029.620000000001</v>
      </c>
      <c r="Y3465">
        <v>0</v>
      </c>
      <c r="Z3465"/>
      <c r="AB3465"/>
      <c r="AC3465" s="1">
        <v>8221</v>
      </c>
      <c r="AD3465">
        <v>262</v>
      </c>
      <c r="AE3465" s="1">
        <v>2153902</v>
      </c>
      <c r="AF3465">
        <v>0</v>
      </c>
      <c r="AJ3465">
        <v>0</v>
      </c>
      <c r="AK3465">
        <v>0</v>
      </c>
      <c r="AL3465">
        <v>0</v>
      </c>
      <c r="AM3465">
        <v>0</v>
      </c>
      <c r="AN3465">
        <v>0</v>
      </c>
      <c r="AO3465">
        <v>0</v>
      </c>
      <c r="AP3465" s="2">
        <v>42746</v>
      </c>
      <c r="AQ3465" t="s">
        <v>72</v>
      </c>
      <c r="AR3465" t="s">
        <v>72</v>
      </c>
      <c r="AS3465">
        <v>769</v>
      </c>
      <c r="AT3465" s="4">
        <v>42452</v>
      </c>
      <c r="AU3465" t="s">
        <v>73</v>
      </c>
      <c r="AV3465">
        <v>769</v>
      </c>
      <c r="AW3465" s="4">
        <v>42452</v>
      </c>
      <c r="BD3465">
        <v>0</v>
      </c>
      <c r="BN3465" t="s">
        <v>74</v>
      </c>
    </row>
    <row r="3466" spans="1:66" hidden="1">
      <c r="A3466">
        <v>101244</v>
      </c>
      <c r="B3466" s="3" t="s">
        <v>390</v>
      </c>
      <c r="C3466" s="1">
        <v>43300101</v>
      </c>
      <c r="D3466" t="s">
        <v>67</v>
      </c>
      <c r="H3466" t="str">
        <f t="shared" si="354"/>
        <v>01113580656</v>
      </c>
      <c r="I3466" t="str">
        <f t="shared" si="354"/>
        <v>01113580656</v>
      </c>
      <c r="K3466" t="str">
        <f>""</f>
        <v/>
      </c>
      <c r="M3466" t="s">
        <v>68</v>
      </c>
      <c r="N3466" t="str">
        <f t="shared" si="353"/>
        <v>FOR</v>
      </c>
      <c r="O3466" t="s">
        <v>69</v>
      </c>
      <c r="P3466" s="3" t="s">
        <v>75</v>
      </c>
      <c r="Q3466">
        <v>2015</v>
      </c>
      <c r="R3466" s="2">
        <v>42164</v>
      </c>
      <c r="S3466" s="2">
        <v>42165</v>
      </c>
      <c r="T3466" s="2">
        <v>42164</v>
      </c>
      <c r="U3466" s="2">
        <v>42224</v>
      </c>
      <c r="V3466" t="s">
        <v>71</v>
      </c>
      <c r="W3466" t="str">
        <f>"                 741"</f>
        <v xml:space="preserve">                 741</v>
      </c>
      <c r="X3466" s="1">
        <v>12168.28</v>
      </c>
      <c r="Y3466">
        <v>0</v>
      </c>
      <c r="Z3466"/>
      <c r="AB3466"/>
      <c r="AC3466" s="1">
        <v>9974</v>
      </c>
      <c r="AD3466">
        <v>268</v>
      </c>
      <c r="AE3466" s="1">
        <v>2673032</v>
      </c>
      <c r="AF3466">
        <v>0</v>
      </c>
      <c r="AJ3466">
        <v>0</v>
      </c>
      <c r="AK3466">
        <v>0</v>
      </c>
      <c r="AL3466">
        <v>0</v>
      </c>
      <c r="AM3466">
        <v>0</v>
      </c>
      <c r="AN3466">
        <v>0</v>
      </c>
      <c r="AO3466">
        <v>0</v>
      </c>
      <c r="AP3466" s="2">
        <v>42746</v>
      </c>
      <c r="AQ3466" t="s">
        <v>72</v>
      </c>
      <c r="AR3466" t="s">
        <v>72</v>
      </c>
      <c r="AS3466">
        <v>1247</v>
      </c>
      <c r="AT3466" s="4">
        <v>42492</v>
      </c>
      <c r="AU3466" t="s">
        <v>73</v>
      </c>
      <c r="AV3466">
        <v>1247</v>
      </c>
      <c r="AW3466" s="4">
        <v>42492</v>
      </c>
      <c r="BD3466">
        <v>0</v>
      </c>
      <c r="BN3466" t="s">
        <v>74</v>
      </c>
    </row>
    <row r="3467" spans="1:66" hidden="1">
      <c r="A3467">
        <v>101244</v>
      </c>
      <c r="B3467" s="3" t="s">
        <v>390</v>
      </c>
      <c r="C3467" s="1">
        <v>43300101</v>
      </c>
      <c r="D3467" t="s">
        <v>67</v>
      </c>
      <c r="H3467" t="str">
        <f t="shared" si="354"/>
        <v>01113580656</v>
      </c>
      <c r="I3467" t="str">
        <f t="shared" si="354"/>
        <v>01113580656</v>
      </c>
      <c r="K3467" t="str">
        <f>""</f>
        <v/>
      </c>
      <c r="M3467" t="s">
        <v>68</v>
      </c>
      <c r="N3467" t="str">
        <f t="shared" si="353"/>
        <v>FOR</v>
      </c>
      <c r="O3467" t="s">
        <v>69</v>
      </c>
      <c r="P3467" s="3" t="s">
        <v>75</v>
      </c>
      <c r="Q3467">
        <v>2015</v>
      </c>
      <c r="R3467" s="2">
        <v>42199</v>
      </c>
      <c r="S3467" s="2">
        <v>42202</v>
      </c>
      <c r="T3467" s="2">
        <v>42199</v>
      </c>
      <c r="U3467" s="2">
        <v>42259</v>
      </c>
      <c r="V3467" t="s">
        <v>71</v>
      </c>
      <c r="W3467" t="str">
        <f>"                 922"</f>
        <v xml:space="preserve">                 922</v>
      </c>
      <c r="X3467" s="1">
        <v>13851.88</v>
      </c>
      <c r="Y3467">
        <v>0</v>
      </c>
      <c r="Z3467"/>
      <c r="AB3467"/>
      <c r="AC3467" s="1">
        <v>11354</v>
      </c>
      <c r="AD3467">
        <v>317</v>
      </c>
      <c r="AE3467" s="1">
        <v>3599218</v>
      </c>
      <c r="AF3467">
        <v>0</v>
      </c>
      <c r="AJ3467">
        <v>0</v>
      </c>
      <c r="AK3467">
        <v>0</v>
      </c>
      <c r="AL3467">
        <v>0</v>
      </c>
      <c r="AM3467">
        <v>0</v>
      </c>
      <c r="AN3467">
        <v>0</v>
      </c>
      <c r="AO3467">
        <v>0</v>
      </c>
      <c r="AP3467" s="2">
        <v>42746</v>
      </c>
      <c r="AQ3467" t="s">
        <v>72</v>
      </c>
      <c r="AR3467" t="s">
        <v>72</v>
      </c>
      <c r="AS3467">
        <v>1915</v>
      </c>
      <c r="AT3467" s="4">
        <v>42576</v>
      </c>
      <c r="AU3467" t="s">
        <v>73</v>
      </c>
      <c r="AV3467">
        <v>1915</v>
      </c>
      <c r="AW3467" s="4">
        <v>42576</v>
      </c>
      <c r="BD3467">
        <v>0</v>
      </c>
      <c r="BN3467" t="s">
        <v>74</v>
      </c>
    </row>
    <row r="3468" spans="1:66" hidden="1">
      <c r="A3468">
        <v>101244</v>
      </c>
      <c r="B3468" s="3" t="s">
        <v>390</v>
      </c>
      <c r="C3468" s="1">
        <v>43300101</v>
      </c>
      <c r="D3468" t="s">
        <v>67</v>
      </c>
      <c r="H3468" t="str">
        <f t="shared" si="354"/>
        <v>01113580656</v>
      </c>
      <c r="I3468" t="str">
        <f t="shared" si="354"/>
        <v>01113580656</v>
      </c>
      <c r="K3468" t="str">
        <f>""</f>
        <v/>
      </c>
      <c r="M3468" t="s">
        <v>68</v>
      </c>
      <c r="N3468" t="str">
        <f t="shared" si="353"/>
        <v>FOR</v>
      </c>
      <c r="O3468" t="s">
        <v>69</v>
      </c>
      <c r="P3468" s="3" t="s">
        <v>75</v>
      </c>
      <c r="Q3468">
        <v>2015</v>
      </c>
      <c r="R3468" s="2">
        <v>42202</v>
      </c>
      <c r="S3468" s="2">
        <v>42205</v>
      </c>
      <c r="T3468" s="2">
        <v>42202</v>
      </c>
      <c r="U3468" s="2">
        <v>42262</v>
      </c>
      <c r="V3468" t="s">
        <v>71</v>
      </c>
      <c r="W3468" t="str">
        <f>"                 942"</f>
        <v xml:space="preserve">                 942</v>
      </c>
      <c r="X3468">
        <v>593.79</v>
      </c>
      <c r="Y3468">
        <v>0</v>
      </c>
      <c r="Z3468"/>
      <c r="AB3468"/>
      <c r="AC3468">
        <v>486.71</v>
      </c>
      <c r="AD3468">
        <v>314</v>
      </c>
      <c r="AE3468" s="1">
        <v>152826.94</v>
      </c>
      <c r="AF3468">
        <v>0</v>
      </c>
      <c r="AJ3468">
        <v>0</v>
      </c>
      <c r="AK3468">
        <v>0</v>
      </c>
      <c r="AL3468">
        <v>0</v>
      </c>
      <c r="AM3468">
        <v>0</v>
      </c>
      <c r="AN3468">
        <v>0</v>
      </c>
      <c r="AO3468">
        <v>0</v>
      </c>
      <c r="AP3468" s="2">
        <v>42746</v>
      </c>
      <c r="AQ3468" t="s">
        <v>72</v>
      </c>
      <c r="AR3468" t="s">
        <v>72</v>
      </c>
      <c r="AS3468">
        <v>1915</v>
      </c>
      <c r="AT3468" s="4">
        <v>42576</v>
      </c>
      <c r="AU3468" t="s">
        <v>73</v>
      </c>
      <c r="AV3468">
        <v>1915</v>
      </c>
      <c r="AW3468" s="4">
        <v>42576</v>
      </c>
      <c r="BD3468">
        <v>0</v>
      </c>
      <c r="BN3468" t="s">
        <v>74</v>
      </c>
    </row>
    <row r="3469" spans="1:66" hidden="1">
      <c r="A3469">
        <v>101244</v>
      </c>
      <c r="B3469" s="3" t="s">
        <v>390</v>
      </c>
      <c r="C3469" s="1">
        <v>43300101</v>
      </c>
      <c r="D3469" t="s">
        <v>67</v>
      </c>
      <c r="H3469" t="str">
        <f t="shared" si="354"/>
        <v>01113580656</v>
      </c>
      <c r="I3469" t="str">
        <f t="shared" si="354"/>
        <v>01113580656</v>
      </c>
      <c r="K3469" t="str">
        <f>""</f>
        <v/>
      </c>
      <c r="M3469" t="s">
        <v>68</v>
      </c>
      <c r="N3469" t="str">
        <f t="shared" si="353"/>
        <v>FOR</v>
      </c>
      <c r="O3469" t="s">
        <v>69</v>
      </c>
      <c r="P3469" s="3" t="s">
        <v>75</v>
      </c>
      <c r="Q3469">
        <v>2015</v>
      </c>
      <c r="R3469" s="2">
        <v>42223</v>
      </c>
      <c r="S3469" s="2">
        <v>42226</v>
      </c>
      <c r="T3469" s="2">
        <v>42223</v>
      </c>
      <c r="U3469" s="2">
        <v>42283</v>
      </c>
      <c r="V3469" t="s">
        <v>71</v>
      </c>
      <c r="W3469" t="str">
        <f>"                1037"</f>
        <v xml:space="preserve">                1037</v>
      </c>
      <c r="X3469" s="1">
        <v>6680.72</v>
      </c>
      <c r="Y3469">
        <v>0</v>
      </c>
      <c r="Z3469"/>
      <c r="AB3469"/>
      <c r="AC3469" s="1">
        <v>5476</v>
      </c>
      <c r="AD3469">
        <v>296</v>
      </c>
      <c r="AE3469" s="1">
        <v>1620896</v>
      </c>
      <c r="AF3469">
        <v>0</v>
      </c>
      <c r="AJ3469">
        <v>0</v>
      </c>
      <c r="AK3469">
        <v>0</v>
      </c>
      <c r="AL3469">
        <v>0</v>
      </c>
      <c r="AM3469">
        <v>0</v>
      </c>
      <c r="AN3469">
        <v>0</v>
      </c>
      <c r="AO3469">
        <v>0</v>
      </c>
      <c r="AP3469" s="2">
        <v>42746</v>
      </c>
      <c r="AQ3469" t="s">
        <v>72</v>
      </c>
      <c r="AR3469" t="s">
        <v>72</v>
      </c>
      <c r="AS3469">
        <v>2004</v>
      </c>
      <c r="AT3469" s="4">
        <v>42579</v>
      </c>
      <c r="AU3469" t="s">
        <v>73</v>
      </c>
      <c r="AV3469">
        <v>2004</v>
      </c>
      <c r="AW3469" s="4">
        <v>42579</v>
      </c>
      <c r="BD3469">
        <v>0</v>
      </c>
      <c r="BN3469" t="s">
        <v>74</v>
      </c>
    </row>
    <row r="3470" spans="1:66" hidden="1">
      <c r="A3470">
        <v>101244</v>
      </c>
      <c r="B3470" s="3" t="s">
        <v>390</v>
      </c>
      <c r="C3470" s="1">
        <v>43300101</v>
      </c>
      <c r="D3470" t="s">
        <v>67</v>
      </c>
      <c r="H3470" t="str">
        <f t="shared" si="354"/>
        <v>01113580656</v>
      </c>
      <c r="I3470" t="str">
        <f t="shared" si="354"/>
        <v>01113580656</v>
      </c>
      <c r="K3470" t="str">
        <f>""</f>
        <v/>
      </c>
      <c r="M3470" t="s">
        <v>68</v>
      </c>
      <c r="N3470" t="str">
        <f t="shared" si="353"/>
        <v>FOR</v>
      </c>
      <c r="O3470" t="s">
        <v>69</v>
      </c>
      <c r="P3470" s="3" t="s">
        <v>75</v>
      </c>
      <c r="Q3470">
        <v>2015</v>
      </c>
      <c r="R3470" s="2">
        <v>42268</v>
      </c>
      <c r="S3470" s="2">
        <v>42269</v>
      </c>
      <c r="T3470" s="2">
        <v>42268</v>
      </c>
      <c r="U3470" s="2">
        <v>42328</v>
      </c>
      <c r="V3470" t="s">
        <v>71</v>
      </c>
      <c r="W3470" t="str">
        <f>"                1170"</f>
        <v xml:space="preserve">                1170</v>
      </c>
      <c r="X3470" s="1">
        <v>1187.56</v>
      </c>
      <c r="Y3470">
        <v>0</v>
      </c>
      <c r="Z3470"/>
      <c r="AB3470"/>
      <c r="AC3470">
        <v>973.41</v>
      </c>
      <c r="AD3470">
        <v>293</v>
      </c>
      <c r="AE3470" s="1">
        <v>285209.13</v>
      </c>
      <c r="AF3470">
        <v>0</v>
      </c>
      <c r="AJ3470">
        <v>0</v>
      </c>
      <c r="AK3470">
        <v>0</v>
      </c>
      <c r="AL3470">
        <v>0</v>
      </c>
      <c r="AM3470">
        <v>0</v>
      </c>
      <c r="AN3470">
        <v>0</v>
      </c>
      <c r="AO3470">
        <v>0</v>
      </c>
      <c r="AP3470" s="2">
        <v>42746</v>
      </c>
      <c r="AQ3470" t="s">
        <v>72</v>
      </c>
      <c r="AR3470" t="s">
        <v>72</v>
      </c>
      <c r="AS3470">
        <v>2352</v>
      </c>
      <c r="AT3470" s="4">
        <v>42621</v>
      </c>
      <c r="AU3470" t="s">
        <v>73</v>
      </c>
      <c r="AV3470">
        <v>2352</v>
      </c>
      <c r="AW3470" s="4">
        <v>42621</v>
      </c>
      <c r="BD3470">
        <v>0</v>
      </c>
      <c r="BN3470" t="s">
        <v>74</v>
      </c>
    </row>
    <row r="3471" spans="1:66" hidden="1">
      <c r="A3471">
        <v>101244</v>
      </c>
      <c r="B3471" s="3" t="s">
        <v>390</v>
      </c>
      <c r="C3471" s="1">
        <v>43300101</v>
      </c>
      <c r="D3471" t="s">
        <v>67</v>
      </c>
      <c r="H3471" t="str">
        <f t="shared" si="354"/>
        <v>01113580656</v>
      </c>
      <c r="I3471" t="str">
        <f t="shared" si="354"/>
        <v>01113580656</v>
      </c>
      <c r="K3471" t="str">
        <f>""</f>
        <v/>
      </c>
      <c r="M3471" t="s">
        <v>68</v>
      </c>
      <c r="N3471" t="str">
        <f t="shared" si="353"/>
        <v>FOR</v>
      </c>
      <c r="O3471" t="s">
        <v>69</v>
      </c>
      <c r="P3471" s="3" t="s">
        <v>75</v>
      </c>
      <c r="Q3471">
        <v>2015</v>
      </c>
      <c r="R3471" s="2">
        <v>42278</v>
      </c>
      <c r="S3471" s="2">
        <v>42283</v>
      </c>
      <c r="T3471" s="2">
        <v>42278</v>
      </c>
      <c r="U3471" s="2">
        <v>42338</v>
      </c>
      <c r="V3471" t="s">
        <v>71</v>
      </c>
      <c r="W3471" t="str">
        <f>"                1228"</f>
        <v xml:space="preserve">                1228</v>
      </c>
      <c r="X3471" s="1">
        <v>8080.06</v>
      </c>
      <c r="Y3471">
        <v>0</v>
      </c>
      <c r="Z3471"/>
      <c r="AB3471"/>
      <c r="AC3471" s="1">
        <v>6623</v>
      </c>
      <c r="AD3471">
        <v>283</v>
      </c>
      <c r="AE3471" s="1">
        <v>1874309</v>
      </c>
      <c r="AF3471">
        <v>0</v>
      </c>
      <c r="AJ3471">
        <v>0</v>
      </c>
      <c r="AK3471">
        <v>0</v>
      </c>
      <c r="AL3471">
        <v>0</v>
      </c>
      <c r="AM3471">
        <v>0</v>
      </c>
      <c r="AN3471">
        <v>0</v>
      </c>
      <c r="AO3471">
        <v>0</v>
      </c>
      <c r="AP3471" s="2">
        <v>42746</v>
      </c>
      <c r="AQ3471" t="s">
        <v>72</v>
      </c>
      <c r="AR3471" t="s">
        <v>72</v>
      </c>
      <c r="AS3471">
        <v>2352</v>
      </c>
      <c r="AT3471" s="4">
        <v>42621</v>
      </c>
      <c r="AU3471" t="s">
        <v>73</v>
      </c>
      <c r="AV3471">
        <v>2352</v>
      </c>
      <c r="AW3471" s="4">
        <v>42621</v>
      </c>
      <c r="BD3471">
        <v>0</v>
      </c>
      <c r="BN3471" t="s">
        <v>74</v>
      </c>
    </row>
    <row r="3472" spans="1:66">
      <c r="A3472">
        <v>101244</v>
      </c>
      <c r="B3472" s="3" t="s">
        <v>390</v>
      </c>
      <c r="C3472" s="1">
        <v>43300101</v>
      </c>
      <c r="D3472" t="s">
        <v>67</v>
      </c>
      <c r="H3472" t="str">
        <f t="shared" si="354"/>
        <v>01113580656</v>
      </c>
      <c r="I3472" t="str">
        <f t="shared" si="354"/>
        <v>01113580656</v>
      </c>
      <c r="K3472" t="str">
        <f>""</f>
        <v/>
      </c>
      <c r="M3472" t="s">
        <v>68</v>
      </c>
      <c r="N3472" t="str">
        <f t="shared" si="353"/>
        <v>FOR</v>
      </c>
      <c r="O3472" t="s">
        <v>69</v>
      </c>
      <c r="P3472" s="3" t="s">
        <v>75</v>
      </c>
      <c r="Q3472">
        <v>2015</v>
      </c>
      <c r="R3472" s="2">
        <v>42313</v>
      </c>
      <c r="S3472" s="2">
        <v>42317</v>
      </c>
      <c r="T3472" s="2">
        <v>42313</v>
      </c>
      <c r="U3472" s="2">
        <v>42373</v>
      </c>
      <c r="V3472" t="s">
        <v>71</v>
      </c>
      <c r="W3472" t="str">
        <f>"                1425"</f>
        <v xml:space="preserve">                1425</v>
      </c>
      <c r="X3472">
        <v>989.64</v>
      </c>
      <c r="Y3472">
        <v>0</v>
      </c>
      <c r="Z3472" s="3">
        <v>811.18</v>
      </c>
      <c r="AA3472">
        <v>309</v>
      </c>
      <c r="AB3472" s="5">
        <v>250654.62</v>
      </c>
      <c r="AC3472">
        <v>811.18</v>
      </c>
      <c r="AD3472">
        <v>309</v>
      </c>
      <c r="AE3472" s="1">
        <v>250654.62</v>
      </c>
      <c r="AF3472">
        <v>0</v>
      </c>
      <c r="AJ3472">
        <v>0</v>
      </c>
      <c r="AK3472">
        <v>0</v>
      </c>
      <c r="AL3472">
        <v>0</v>
      </c>
      <c r="AM3472">
        <v>0</v>
      </c>
      <c r="AN3472">
        <v>0</v>
      </c>
      <c r="AO3472">
        <v>0</v>
      </c>
      <c r="AP3472" s="2">
        <v>42746</v>
      </c>
      <c r="AQ3472" t="s">
        <v>72</v>
      </c>
      <c r="AR3472" t="s">
        <v>72</v>
      </c>
      <c r="AS3472">
        <v>2990</v>
      </c>
      <c r="AT3472" s="4">
        <v>42682</v>
      </c>
      <c r="AU3472" t="s">
        <v>73</v>
      </c>
      <c r="AV3472">
        <v>2990</v>
      </c>
      <c r="AW3472" s="4">
        <v>42682</v>
      </c>
      <c r="BD3472">
        <v>0</v>
      </c>
      <c r="BN3472" t="s">
        <v>74</v>
      </c>
    </row>
    <row r="3473" spans="1:66">
      <c r="A3473">
        <v>101244</v>
      </c>
      <c r="B3473" s="3" t="s">
        <v>390</v>
      </c>
      <c r="C3473" s="1">
        <v>43300101</v>
      </c>
      <c r="D3473" t="s">
        <v>67</v>
      </c>
      <c r="H3473" t="str">
        <f t="shared" si="354"/>
        <v>01113580656</v>
      </c>
      <c r="I3473" t="str">
        <f t="shared" si="354"/>
        <v>01113580656</v>
      </c>
      <c r="K3473" t="str">
        <f>""</f>
        <v/>
      </c>
      <c r="M3473" t="s">
        <v>68</v>
      </c>
      <c r="N3473" t="str">
        <f t="shared" si="353"/>
        <v>FOR</v>
      </c>
      <c r="O3473" t="s">
        <v>69</v>
      </c>
      <c r="P3473" s="3" t="s">
        <v>75</v>
      </c>
      <c r="Q3473">
        <v>2015</v>
      </c>
      <c r="R3473" s="2">
        <v>42319</v>
      </c>
      <c r="S3473" s="2">
        <v>42320</v>
      </c>
      <c r="T3473" s="2">
        <v>42319</v>
      </c>
      <c r="U3473" s="2">
        <v>42379</v>
      </c>
      <c r="V3473" t="s">
        <v>71</v>
      </c>
      <c r="W3473" t="str">
        <f>"                1470"</f>
        <v xml:space="preserve">                1470</v>
      </c>
      <c r="X3473" s="1">
        <v>8824.26</v>
      </c>
      <c r="Y3473">
        <v>0</v>
      </c>
      <c r="Z3473" s="5">
        <v>7233</v>
      </c>
      <c r="AA3473">
        <v>303</v>
      </c>
      <c r="AB3473" s="5">
        <v>2191599</v>
      </c>
      <c r="AC3473" s="1">
        <v>7233</v>
      </c>
      <c r="AD3473">
        <v>303</v>
      </c>
      <c r="AE3473" s="1">
        <v>2191599</v>
      </c>
      <c r="AF3473">
        <v>0</v>
      </c>
      <c r="AJ3473">
        <v>0</v>
      </c>
      <c r="AK3473">
        <v>0</v>
      </c>
      <c r="AL3473">
        <v>0</v>
      </c>
      <c r="AM3473">
        <v>0</v>
      </c>
      <c r="AN3473">
        <v>0</v>
      </c>
      <c r="AO3473">
        <v>0</v>
      </c>
      <c r="AP3473" s="2">
        <v>42746</v>
      </c>
      <c r="AQ3473" t="s">
        <v>72</v>
      </c>
      <c r="AR3473" t="s">
        <v>72</v>
      </c>
      <c r="AS3473">
        <v>2990</v>
      </c>
      <c r="AT3473" s="4">
        <v>42682</v>
      </c>
      <c r="AU3473" t="s">
        <v>73</v>
      </c>
      <c r="AV3473">
        <v>2990</v>
      </c>
      <c r="AW3473" s="4">
        <v>42682</v>
      </c>
      <c r="BD3473">
        <v>0</v>
      </c>
      <c r="BN3473" t="s">
        <v>74</v>
      </c>
    </row>
    <row r="3474" spans="1:66">
      <c r="A3474">
        <v>101244</v>
      </c>
      <c r="B3474" s="3" t="s">
        <v>390</v>
      </c>
      <c r="C3474" s="1">
        <v>43300101</v>
      </c>
      <c r="D3474" t="s">
        <v>67</v>
      </c>
      <c r="H3474" t="str">
        <f t="shared" si="354"/>
        <v>01113580656</v>
      </c>
      <c r="I3474" t="str">
        <f t="shared" si="354"/>
        <v>01113580656</v>
      </c>
      <c r="K3474" t="str">
        <f>""</f>
        <v/>
      </c>
      <c r="M3474" t="s">
        <v>68</v>
      </c>
      <c r="N3474" t="str">
        <f t="shared" si="353"/>
        <v>FOR</v>
      </c>
      <c r="O3474" t="s">
        <v>69</v>
      </c>
      <c r="P3474" s="3" t="s">
        <v>75</v>
      </c>
      <c r="Q3474">
        <v>2015</v>
      </c>
      <c r="R3474" s="2">
        <v>42355</v>
      </c>
      <c r="S3474" s="2">
        <v>42359</v>
      </c>
      <c r="T3474" s="2">
        <v>42355</v>
      </c>
      <c r="U3474" s="2">
        <v>42415</v>
      </c>
      <c r="V3474" t="s">
        <v>71</v>
      </c>
      <c r="W3474" t="str">
        <f>"                1649"</f>
        <v xml:space="preserve">                1649</v>
      </c>
      <c r="X3474" s="1">
        <v>8809.6200000000008</v>
      </c>
      <c r="Y3474">
        <v>0</v>
      </c>
      <c r="Z3474" s="5">
        <v>7221</v>
      </c>
      <c r="AA3474">
        <v>275</v>
      </c>
      <c r="AB3474" s="5">
        <v>1985775</v>
      </c>
      <c r="AC3474" s="1">
        <v>7221</v>
      </c>
      <c r="AD3474">
        <v>275</v>
      </c>
      <c r="AE3474" s="1">
        <v>1985775</v>
      </c>
      <c r="AF3474">
        <v>0</v>
      </c>
      <c r="AJ3474">
        <v>0</v>
      </c>
      <c r="AK3474">
        <v>0</v>
      </c>
      <c r="AL3474">
        <v>0</v>
      </c>
      <c r="AM3474">
        <v>0</v>
      </c>
      <c r="AN3474">
        <v>0</v>
      </c>
      <c r="AO3474">
        <v>0</v>
      </c>
      <c r="AP3474" s="2">
        <v>42746</v>
      </c>
      <c r="AQ3474" t="s">
        <v>72</v>
      </c>
      <c r="AR3474" t="s">
        <v>72</v>
      </c>
      <c r="AS3474">
        <v>3137</v>
      </c>
      <c r="AT3474" s="4">
        <v>42690</v>
      </c>
      <c r="AU3474" t="s">
        <v>73</v>
      </c>
      <c r="AV3474">
        <v>3137</v>
      </c>
      <c r="AW3474" s="4">
        <v>42690</v>
      </c>
      <c r="BD3474">
        <v>0</v>
      </c>
      <c r="BN3474" t="s">
        <v>74</v>
      </c>
    </row>
    <row r="3475" spans="1:66" hidden="1">
      <c r="A3475">
        <v>101247</v>
      </c>
      <c r="B3475" s="3" t="s">
        <v>391</v>
      </c>
      <c r="C3475" s="1">
        <v>43500101</v>
      </c>
      <c r="D3475" t="s">
        <v>113</v>
      </c>
      <c r="H3475" t="str">
        <f t="shared" ref="H3475:H3498" si="355">"MRLCMN78B64B963R"</f>
        <v>MRLCMN78B64B963R</v>
      </c>
      <c r="I3475" t="str">
        <f t="shared" ref="I3475:I3498" si="356">"03577840618"</f>
        <v>03577840618</v>
      </c>
      <c r="K3475" t="str">
        <f>""</f>
        <v/>
      </c>
      <c r="M3475" t="s">
        <v>68</v>
      </c>
      <c r="N3475" t="str">
        <f t="shared" ref="N3475:N3498" si="357">"ALTPRO"</f>
        <v>ALTPRO</v>
      </c>
      <c r="O3475" t="s">
        <v>132</v>
      </c>
      <c r="P3475" s="3" t="s">
        <v>75</v>
      </c>
      <c r="Q3475">
        <v>2016</v>
      </c>
      <c r="R3475" s="2">
        <v>42401</v>
      </c>
      <c r="S3475" s="2">
        <v>42402</v>
      </c>
      <c r="T3475" s="2">
        <v>42401</v>
      </c>
      <c r="U3475" s="2">
        <v>42461</v>
      </c>
      <c r="V3475" t="s">
        <v>71</v>
      </c>
      <c r="W3475" t="str">
        <f>"                 3/B"</f>
        <v xml:space="preserve">                 3/B</v>
      </c>
      <c r="X3475" s="1">
        <v>3084.94</v>
      </c>
      <c r="Y3475">
        <v>-505.73</v>
      </c>
      <c r="Z3475"/>
      <c r="AB3475"/>
      <c r="AC3475" s="1">
        <v>2579.21</v>
      </c>
      <c r="AD3475">
        <v>-35</v>
      </c>
      <c r="AE3475" s="1">
        <v>-90272.35</v>
      </c>
      <c r="AF3475">
        <v>0</v>
      </c>
      <c r="AJ3475">
        <v>0</v>
      </c>
      <c r="AK3475">
        <v>0</v>
      </c>
      <c r="AL3475">
        <v>0</v>
      </c>
      <c r="AM3475" s="1">
        <v>2579.21</v>
      </c>
      <c r="AN3475" s="1">
        <v>2579.21</v>
      </c>
      <c r="AO3475" s="1">
        <v>2579.21</v>
      </c>
      <c r="AP3475" s="2">
        <v>42746</v>
      </c>
      <c r="AQ3475" t="s">
        <v>72</v>
      </c>
      <c r="AR3475" t="s">
        <v>72</v>
      </c>
      <c r="AS3475">
        <v>585</v>
      </c>
      <c r="AT3475" s="4">
        <v>42426</v>
      </c>
      <c r="AV3475">
        <v>585</v>
      </c>
      <c r="AW3475" s="4">
        <v>42426</v>
      </c>
      <c r="BD3475">
        <v>0</v>
      </c>
      <c r="BN3475" t="s">
        <v>74</v>
      </c>
    </row>
    <row r="3476" spans="1:66" hidden="1">
      <c r="A3476">
        <v>101247</v>
      </c>
      <c r="B3476" s="3" t="s">
        <v>391</v>
      </c>
      <c r="C3476" s="1">
        <v>43500101</v>
      </c>
      <c r="D3476" t="s">
        <v>113</v>
      </c>
      <c r="H3476" t="str">
        <f t="shared" si="355"/>
        <v>MRLCMN78B64B963R</v>
      </c>
      <c r="I3476" t="str">
        <f t="shared" si="356"/>
        <v>03577840618</v>
      </c>
      <c r="K3476" t="str">
        <f>""</f>
        <v/>
      </c>
      <c r="M3476" t="s">
        <v>68</v>
      </c>
      <c r="N3476" t="str">
        <f t="shared" si="357"/>
        <v>ALTPRO</v>
      </c>
      <c r="O3476" t="s">
        <v>132</v>
      </c>
      <c r="P3476" s="3" t="s">
        <v>75</v>
      </c>
      <c r="Q3476">
        <v>2016</v>
      </c>
      <c r="R3476" s="2">
        <v>42401</v>
      </c>
      <c r="S3476" s="2">
        <v>42402</v>
      </c>
      <c r="T3476" s="2">
        <v>42401</v>
      </c>
      <c r="U3476" s="2">
        <v>42461</v>
      </c>
      <c r="V3476" t="s">
        <v>71</v>
      </c>
      <c r="W3476" t="str">
        <f>"                 4/B"</f>
        <v xml:space="preserve">                 4/B</v>
      </c>
      <c r="X3476" s="1">
        <v>2196</v>
      </c>
      <c r="Y3476">
        <v>-360</v>
      </c>
      <c r="Z3476"/>
      <c r="AB3476"/>
      <c r="AC3476" s="1">
        <v>1836</v>
      </c>
      <c r="AD3476">
        <v>-35</v>
      </c>
      <c r="AE3476" s="1">
        <v>-64260</v>
      </c>
      <c r="AF3476">
        <v>0</v>
      </c>
      <c r="AJ3476">
        <v>0</v>
      </c>
      <c r="AK3476">
        <v>0</v>
      </c>
      <c r="AL3476">
        <v>0</v>
      </c>
      <c r="AM3476" s="1">
        <v>1836</v>
      </c>
      <c r="AN3476" s="1">
        <v>1836</v>
      </c>
      <c r="AO3476" s="1">
        <v>1836</v>
      </c>
      <c r="AP3476" s="2">
        <v>42746</v>
      </c>
      <c r="AQ3476" t="s">
        <v>72</v>
      </c>
      <c r="AR3476" t="s">
        <v>72</v>
      </c>
      <c r="AS3476">
        <v>585</v>
      </c>
      <c r="AT3476" s="4">
        <v>42426</v>
      </c>
      <c r="AV3476">
        <v>585</v>
      </c>
      <c r="AW3476" s="4">
        <v>42426</v>
      </c>
      <c r="BD3476">
        <v>0</v>
      </c>
      <c r="BN3476" t="s">
        <v>74</v>
      </c>
    </row>
    <row r="3477" spans="1:66" hidden="1">
      <c r="A3477">
        <v>101247</v>
      </c>
      <c r="B3477" s="3" t="s">
        <v>391</v>
      </c>
      <c r="C3477" s="1">
        <v>43500101</v>
      </c>
      <c r="D3477" t="s">
        <v>113</v>
      </c>
      <c r="H3477" t="str">
        <f t="shared" si="355"/>
        <v>MRLCMN78B64B963R</v>
      </c>
      <c r="I3477" t="str">
        <f t="shared" si="356"/>
        <v>03577840618</v>
      </c>
      <c r="K3477" t="str">
        <f>""</f>
        <v/>
      </c>
      <c r="M3477" t="s">
        <v>68</v>
      </c>
      <c r="N3477" t="str">
        <f t="shared" si="357"/>
        <v>ALTPRO</v>
      </c>
      <c r="O3477" t="s">
        <v>132</v>
      </c>
      <c r="P3477" s="3" t="s">
        <v>75</v>
      </c>
      <c r="Q3477">
        <v>2016</v>
      </c>
      <c r="R3477" s="2">
        <v>42430</v>
      </c>
      <c r="S3477" s="2">
        <v>42433</v>
      </c>
      <c r="T3477" s="2">
        <v>42430</v>
      </c>
      <c r="U3477" s="2">
        <v>42490</v>
      </c>
      <c r="V3477" t="s">
        <v>71</v>
      </c>
      <c r="W3477" t="str">
        <f>"                 5/B"</f>
        <v xml:space="preserve">                 5/B</v>
      </c>
      <c r="X3477" s="1">
        <v>3213.48</v>
      </c>
      <c r="Y3477">
        <v>-526.79999999999995</v>
      </c>
      <c r="Z3477"/>
      <c r="AB3477"/>
      <c r="AC3477" s="1">
        <v>2686.68</v>
      </c>
      <c r="AD3477">
        <v>-39</v>
      </c>
      <c r="AE3477" s="1">
        <v>-104780.52</v>
      </c>
      <c r="AF3477">
        <v>0</v>
      </c>
      <c r="AJ3477">
        <v>0</v>
      </c>
      <c r="AK3477">
        <v>0</v>
      </c>
      <c r="AL3477">
        <v>0</v>
      </c>
      <c r="AM3477" s="1">
        <v>2686.68</v>
      </c>
      <c r="AN3477" s="1">
        <v>2686.68</v>
      </c>
      <c r="AO3477" s="1">
        <v>2686.68</v>
      </c>
      <c r="AP3477" s="2">
        <v>42746</v>
      </c>
      <c r="AQ3477" t="s">
        <v>72</v>
      </c>
      <c r="AR3477" t="s">
        <v>72</v>
      </c>
      <c r="AS3477">
        <v>748</v>
      </c>
      <c r="AT3477" s="4">
        <v>42451</v>
      </c>
      <c r="AV3477">
        <v>748</v>
      </c>
      <c r="AW3477" s="4">
        <v>42451</v>
      </c>
      <c r="BD3477">
        <v>0</v>
      </c>
      <c r="BN3477" t="s">
        <v>74</v>
      </c>
    </row>
    <row r="3478" spans="1:66" hidden="1">
      <c r="A3478">
        <v>101247</v>
      </c>
      <c r="B3478" s="3" t="s">
        <v>391</v>
      </c>
      <c r="C3478" s="1">
        <v>43500101</v>
      </c>
      <c r="D3478" t="s">
        <v>113</v>
      </c>
      <c r="H3478" t="str">
        <f t="shared" si="355"/>
        <v>MRLCMN78B64B963R</v>
      </c>
      <c r="I3478" t="str">
        <f t="shared" si="356"/>
        <v>03577840618</v>
      </c>
      <c r="K3478" t="str">
        <f>""</f>
        <v/>
      </c>
      <c r="M3478" t="s">
        <v>68</v>
      </c>
      <c r="N3478" t="str">
        <f t="shared" si="357"/>
        <v>ALTPRO</v>
      </c>
      <c r="O3478" t="s">
        <v>132</v>
      </c>
      <c r="P3478" s="3" t="s">
        <v>75</v>
      </c>
      <c r="Q3478">
        <v>2016</v>
      </c>
      <c r="R3478" s="2">
        <v>42430</v>
      </c>
      <c r="S3478" s="2">
        <v>42433</v>
      </c>
      <c r="T3478" s="2">
        <v>42430</v>
      </c>
      <c r="U3478" s="2">
        <v>42490</v>
      </c>
      <c r="V3478" t="s">
        <v>71</v>
      </c>
      <c r="W3478" t="str">
        <f>"                 6/B"</f>
        <v xml:space="preserve">                 6/B</v>
      </c>
      <c r="X3478" s="1">
        <v>2196</v>
      </c>
      <c r="Y3478">
        <v>-360</v>
      </c>
      <c r="Z3478"/>
      <c r="AB3478"/>
      <c r="AC3478" s="1">
        <v>1836</v>
      </c>
      <c r="AD3478">
        <v>-39</v>
      </c>
      <c r="AE3478" s="1">
        <v>-71604</v>
      </c>
      <c r="AF3478">
        <v>0</v>
      </c>
      <c r="AJ3478">
        <v>0</v>
      </c>
      <c r="AK3478">
        <v>0</v>
      </c>
      <c r="AL3478">
        <v>0</v>
      </c>
      <c r="AM3478" s="1">
        <v>1836</v>
      </c>
      <c r="AN3478" s="1">
        <v>1836</v>
      </c>
      <c r="AO3478" s="1">
        <v>1836</v>
      </c>
      <c r="AP3478" s="2">
        <v>42746</v>
      </c>
      <c r="AQ3478" t="s">
        <v>72</v>
      </c>
      <c r="AR3478" t="s">
        <v>72</v>
      </c>
      <c r="AS3478">
        <v>748</v>
      </c>
      <c r="AT3478" s="4">
        <v>42451</v>
      </c>
      <c r="AV3478">
        <v>748</v>
      </c>
      <c r="AW3478" s="4">
        <v>42451</v>
      </c>
      <c r="BD3478">
        <v>0</v>
      </c>
      <c r="BN3478" t="s">
        <v>74</v>
      </c>
    </row>
    <row r="3479" spans="1:66" hidden="1">
      <c r="A3479">
        <v>101247</v>
      </c>
      <c r="B3479" s="3" t="s">
        <v>391</v>
      </c>
      <c r="C3479" s="1">
        <v>43500101</v>
      </c>
      <c r="D3479" t="s">
        <v>113</v>
      </c>
      <c r="H3479" t="str">
        <f t="shared" si="355"/>
        <v>MRLCMN78B64B963R</v>
      </c>
      <c r="I3479" t="str">
        <f t="shared" si="356"/>
        <v>03577840618</v>
      </c>
      <c r="K3479" t="str">
        <f>""</f>
        <v/>
      </c>
      <c r="M3479" t="s">
        <v>68</v>
      </c>
      <c r="N3479" t="str">
        <f t="shared" si="357"/>
        <v>ALTPRO</v>
      </c>
      <c r="O3479" t="s">
        <v>132</v>
      </c>
      <c r="P3479" s="3" t="s">
        <v>75</v>
      </c>
      <c r="Q3479">
        <v>2016</v>
      </c>
      <c r="R3479" s="2">
        <v>42461</v>
      </c>
      <c r="S3479" s="2">
        <v>42464</v>
      </c>
      <c r="T3479" s="2">
        <v>42461</v>
      </c>
      <c r="U3479" s="2">
        <v>42521</v>
      </c>
      <c r="V3479" t="s">
        <v>71</v>
      </c>
      <c r="W3479" t="str">
        <f>"                 7/B"</f>
        <v xml:space="preserve">                 7/B</v>
      </c>
      <c r="X3479" s="1">
        <v>3342.02</v>
      </c>
      <c r="Y3479">
        <v>-547.87</v>
      </c>
      <c r="Z3479"/>
      <c r="AB3479"/>
      <c r="AC3479" s="1">
        <v>2794.15</v>
      </c>
      <c r="AD3479">
        <v>-34</v>
      </c>
      <c r="AE3479" s="1">
        <v>-95001.1</v>
      </c>
      <c r="AF3479">
        <v>0</v>
      </c>
      <c r="AJ3479">
        <v>0</v>
      </c>
      <c r="AK3479">
        <v>0</v>
      </c>
      <c r="AL3479">
        <v>0</v>
      </c>
      <c r="AM3479" s="1">
        <v>2794.15</v>
      </c>
      <c r="AN3479" s="1">
        <v>2794.15</v>
      </c>
      <c r="AO3479" s="1">
        <v>2794.15</v>
      </c>
      <c r="AP3479" s="2">
        <v>42746</v>
      </c>
      <c r="AQ3479" t="s">
        <v>72</v>
      </c>
      <c r="AR3479" t="s">
        <v>72</v>
      </c>
      <c r="AS3479">
        <v>1167</v>
      </c>
      <c r="AT3479" s="4">
        <v>42487</v>
      </c>
      <c r="AV3479">
        <v>1167</v>
      </c>
      <c r="AW3479" s="4">
        <v>42487</v>
      </c>
      <c r="BD3479">
        <v>0</v>
      </c>
      <c r="BN3479" t="s">
        <v>74</v>
      </c>
    </row>
    <row r="3480" spans="1:66" hidden="1">
      <c r="A3480">
        <v>101247</v>
      </c>
      <c r="B3480" s="3" t="s">
        <v>391</v>
      </c>
      <c r="C3480" s="1">
        <v>43500101</v>
      </c>
      <c r="D3480" t="s">
        <v>113</v>
      </c>
      <c r="H3480" t="str">
        <f t="shared" si="355"/>
        <v>MRLCMN78B64B963R</v>
      </c>
      <c r="I3480" t="str">
        <f t="shared" si="356"/>
        <v>03577840618</v>
      </c>
      <c r="K3480" t="str">
        <f>""</f>
        <v/>
      </c>
      <c r="M3480" t="s">
        <v>68</v>
      </c>
      <c r="N3480" t="str">
        <f t="shared" si="357"/>
        <v>ALTPRO</v>
      </c>
      <c r="O3480" t="s">
        <v>132</v>
      </c>
      <c r="P3480" s="3" t="s">
        <v>75</v>
      </c>
      <c r="Q3480">
        <v>2016</v>
      </c>
      <c r="R3480" s="2">
        <v>42461</v>
      </c>
      <c r="S3480" s="2">
        <v>42464</v>
      </c>
      <c r="T3480" s="2">
        <v>42461</v>
      </c>
      <c r="U3480" s="2">
        <v>42521</v>
      </c>
      <c r="V3480" t="s">
        <v>71</v>
      </c>
      <c r="W3480" t="str">
        <f>"                 8/B"</f>
        <v xml:space="preserve">                 8/B</v>
      </c>
      <c r="X3480" s="1">
        <v>2196</v>
      </c>
      <c r="Y3480">
        <v>-360</v>
      </c>
      <c r="Z3480"/>
      <c r="AB3480"/>
      <c r="AC3480" s="1">
        <v>1836</v>
      </c>
      <c r="AD3480">
        <v>-34</v>
      </c>
      <c r="AE3480" s="1">
        <v>-62424</v>
      </c>
      <c r="AF3480">
        <v>0</v>
      </c>
      <c r="AJ3480">
        <v>0</v>
      </c>
      <c r="AK3480">
        <v>0</v>
      </c>
      <c r="AL3480">
        <v>0</v>
      </c>
      <c r="AM3480" s="1">
        <v>1836</v>
      </c>
      <c r="AN3480" s="1">
        <v>1836</v>
      </c>
      <c r="AO3480" s="1">
        <v>1836</v>
      </c>
      <c r="AP3480" s="2">
        <v>42746</v>
      </c>
      <c r="AQ3480" t="s">
        <v>72</v>
      </c>
      <c r="AR3480" t="s">
        <v>72</v>
      </c>
      <c r="AS3480">
        <v>1167</v>
      </c>
      <c r="AT3480" s="4">
        <v>42487</v>
      </c>
      <c r="AV3480">
        <v>1167</v>
      </c>
      <c r="AW3480" s="4">
        <v>42487</v>
      </c>
      <c r="BD3480">
        <v>0</v>
      </c>
      <c r="BN3480" t="s">
        <v>74</v>
      </c>
    </row>
    <row r="3481" spans="1:66" hidden="1">
      <c r="A3481">
        <v>101247</v>
      </c>
      <c r="B3481" s="3" t="s">
        <v>391</v>
      </c>
      <c r="C3481" s="1">
        <v>43500101</v>
      </c>
      <c r="D3481" t="s">
        <v>113</v>
      </c>
      <c r="H3481" t="str">
        <f t="shared" si="355"/>
        <v>MRLCMN78B64B963R</v>
      </c>
      <c r="I3481" t="str">
        <f t="shared" si="356"/>
        <v>03577840618</v>
      </c>
      <c r="K3481" t="str">
        <f>""</f>
        <v/>
      </c>
      <c r="M3481" t="s">
        <v>68</v>
      </c>
      <c r="N3481" t="str">
        <f t="shared" si="357"/>
        <v>ALTPRO</v>
      </c>
      <c r="O3481" t="s">
        <v>132</v>
      </c>
      <c r="P3481" s="3" t="s">
        <v>75</v>
      </c>
      <c r="Q3481">
        <v>2016</v>
      </c>
      <c r="R3481" s="2">
        <v>42492</v>
      </c>
      <c r="S3481" s="2">
        <v>42493</v>
      </c>
      <c r="T3481" s="2">
        <v>42492</v>
      </c>
      <c r="U3481" s="2">
        <v>42552</v>
      </c>
      <c r="V3481" t="s">
        <v>71</v>
      </c>
      <c r="W3481" t="str">
        <f>"                 9/B"</f>
        <v xml:space="preserve">                 9/B</v>
      </c>
      <c r="X3481" s="1">
        <v>3213.48</v>
      </c>
      <c r="Y3481">
        <v>-526.79999999999995</v>
      </c>
      <c r="Z3481"/>
      <c r="AB3481"/>
      <c r="AC3481" s="1">
        <v>2686.68</v>
      </c>
      <c r="AD3481">
        <v>-36</v>
      </c>
      <c r="AE3481" s="1">
        <v>-96720.48</v>
      </c>
      <c r="AF3481">
        <v>0</v>
      </c>
      <c r="AJ3481">
        <v>0</v>
      </c>
      <c r="AK3481">
        <v>0</v>
      </c>
      <c r="AL3481">
        <v>0</v>
      </c>
      <c r="AM3481" s="1">
        <v>2686.68</v>
      </c>
      <c r="AN3481" s="1">
        <v>2686.68</v>
      </c>
      <c r="AO3481" s="1">
        <v>2686.68</v>
      </c>
      <c r="AP3481" s="2">
        <v>42746</v>
      </c>
      <c r="AQ3481" t="s">
        <v>72</v>
      </c>
      <c r="AR3481" t="s">
        <v>72</v>
      </c>
      <c r="AS3481">
        <v>1379</v>
      </c>
      <c r="AT3481" s="4">
        <v>42516</v>
      </c>
      <c r="AV3481">
        <v>1379</v>
      </c>
      <c r="AW3481" s="4">
        <v>42516</v>
      </c>
      <c r="BD3481">
        <v>0</v>
      </c>
      <c r="BN3481" t="s">
        <v>74</v>
      </c>
    </row>
    <row r="3482" spans="1:66" hidden="1">
      <c r="A3482">
        <v>101247</v>
      </c>
      <c r="B3482" s="3" t="s">
        <v>391</v>
      </c>
      <c r="C3482" s="1">
        <v>43500101</v>
      </c>
      <c r="D3482" t="s">
        <v>113</v>
      </c>
      <c r="H3482" t="str">
        <f t="shared" si="355"/>
        <v>MRLCMN78B64B963R</v>
      </c>
      <c r="I3482" t="str">
        <f t="shared" si="356"/>
        <v>03577840618</v>
      </c>
      <c r="K3482" t="str">
        <f>""</f>
        <v/>
      </c>
      <c r="M3482" t="s">
        <v>68</v>
      </c>
      <c r="N3482" t="str">
        <f t="shared" si="357"/>
        <v>ALTPRO</v>
      </c>
      <c r="O3482" t="s">
        <v>132</v>
      </c>
      <c r="P3482" s="3" t="s">
        <v>75</v>
      </c>
      <c r="Q3482">
        <v>2016</v>
      </c>
      <c r="R3482" s="2">
        <v>42492</v>
      </c>
      <c r="S3482" s="2">
        <v>42493</v>
      </c>
      <c r="T3482" s="2">
        <v>42492</v>
      </c>
      <c r="U3482" s="2">
        <v>42552</v>
      </c>
      <c r="V3482" t="s">
        <v>71</v>
      </c>
      <c r="W3482" t="str">
        <f>"                10/B"</f>
        <v xml:space="preserve">                10/B</v>
      </c>
      <c r="X3482" s="1">
        <v>2196</v>
      </c>
      <c r="Y3482">
        <v>-360</v>
      </c>
      <c r="Z3482"/>
      <c r="AB3482"/>
      <c r="AC3482" s="1">
        <v>1836</v>
      </c>
      <c r="AD3482">
        <v>-36</v>
      </c>
      <c r="AE3482" s="1">
        <v>-66096</v>
      </c>
      <c r="AF3482">
        <v>0</v>
      </c>
      <c r="AJ3482">
        <v>0</v>
      </c>
      <c r="AK3482">
        <v>0</v>
      </c>
      <c r="AL3482">
        <v>0</v>
      </c>
      <c r="AM3482" s="1">
        <v>1836</v>
      </c>
      <c r="AN3482" s="1">
        <v>1836</v>
      </c>
      <c r="AO3482" s="1">
        <v>1836</v>
      </c>
      <c r="AP3482" s="2">
        <v>42746</v>
      </c>
      <c r="AQ3482" t="s">
        <v>72</v>
      </c>
      <c r="AR3482" t="s">
        <v>72</v>
      </c>
      <c r="AS3482">
        <v>1379</v>
      </c>
      <c r="AT3482" s="4">
        <v>42516</v>
      </c>
      <c r="AV3482">
        <v>1379</v>
      </c>
      <c r="AW3482" s="4">
        <v>42516</v>
      </c>
      <c r="BD3482">
        <v>0</v>
      </c>
      <c r="BN3482" t="s">
        <v>74</v>
      </c>
    </row>
    <row r="3483" spans="1:66" hidden="1">
      <c r="A3483">
        <v>101247</v>
      </c>
      <c r="B3483" s="3" t="s">
        <v>391</v>
      </c>
      <c r="C3483" s="1">
        <v>43500101</v>
      </c>
      <c r="D3483" t="s">
        <v>113</v>
      </c>
      <c r="H3483" t="str">
        <f t="shared" si="355"/>
        <v>MRLCMN78B64B963R</v>
      </c>
      <c r="I3483" t="str">
        <f t="shared" si="356"/>
        <v>03577840618</v>
      </c>
      <c r="K3483" t="str">
        <f>""</f>
        <v/>
      </c>
      <c r="M3483" t="s">
        <v>68</v>
      </c>
      <c r="N3483" t="str">
        <f t="shared" si="357"/>
        <v>ALTPRO</v>
      </c>
      <c r="O3483" t="s">
        <v>132</v>
      </c>
      <c r="P3483" s="3" t="s">
        <v>75</v>
      </c>
      <c r="Q3483">
        <v>2016</v>
      </c>
      <c r="R3483" s="2">
        <v>42522</v>
      </c>
      <c r="S3483" s="2">
        <v>42537</v>
      </c>
      <c r="T3483" s="2">
        <v>42535</v>
      </c>
      <c r="U3483" s="2">
        <v>42595</v>
      </c>
      <c r="V3483" t="s">
        <v>71</v>
      </c>
      <c r="W3483" t="str">
        <f>"                11/B"</f>
        <v xml:space="preserve">                11/B</v>
      </c>
      <c r="X3483" s="1">
        <v>3044.67</v>
      </c>
      <c r="Y3483">
        <v>-499.13</v>
      </c>
      <c r="Z3483"/>
      <c r="AB3483"/>
      <c r="AC3483" s="1">
        <v>2545.54</v>
      </c>
      <c r="AD3483">
        <v>-43</v>
      </c>
      <c r="AE3483" s="1">
        <v>-109458.22</v>
      </c>
      <c r="AF3483">
        <v>0</v>
      </c>
      <c r="AJ3483">
        <v>0</v>
      </c>
      <c r="AK3483">
        <v>0</v>
      </c>
      <c r="AL3483">
        <v>0</v>
      </c>
      <c r="AM3483" s="1">
        <v>2545.54</v>
      </c>
      <c r="AN3483" s="1">
        <v>2545.54</v>
      </c>
      <c r="AO3483" s="1">
        <v>2545.54</v>
      </c>
      <c r="AP3483" s="2">
        <v>42746</v>
      </c>
      <c r="AQ3483" t="s">
        <v>72</v>
      </c>
      <c r="AR3483" t="s">
        <v>72</v>
      </c>
      <c r="AS3483">
        <v>1640</v>
      </c>
      <c r="AT3483" s="4">
        <v>42552</v>
      </c>
      <c r="AV3483">
        <v>1640</v>
      </c>
      <c r="AW3483" s="4">
        <v>42552</v>
      </c>
      <c r="BD3483">
        <v>0</v>
      </c>
      <c r="BN3483" t="s">
        <v>74</v>
      </c>
    </row>
    <row r="3484" spans="1:66" hidden="1">
      <c r="A3484">
        <v>101247</v>
      </c>
      <c r="B3484" s="3" t="s">
        <v>391</v>
      </c>
      <c r="C3484" s="1">
        <v>43500101</v>
      </c>
      <c r="D3484" t="s">
        <v>113</v>
      </c>
      <c r="H3484" t="str">
        <f t="shared" si="355"/>
        <v>MRLCMN78B64B963R</v>
      </c>
      <c r="I3484" t="str">
        <f t="shared" si="356"/>
        <v>03577840618</v>
      </c>
      <c r="K3484" t="str">
        <f>""</f>
        <v/>
      </c>
      <c r="M3484" t="s">
        <v>68</v>
      </c>
      <c r="N3484" t="str">
        <f t="shared" si="357"/>
        <v>ALTPRO</v>
      </c>
      <c r="O3484" t="s">
        <v>132</v>
      </c>
      <c r="P3484" s="3" t="s">
        <v>75</v>
      </c>
      <c r="Q3484">
        <v>2016</v>
      </c>
      <c r="R3484" s="2">
        <v>42522</v>
      </c>
      <c r="S3484" s="2">
        <v>42537</v>
      </c>
      <c r="T3484" s="2">
        <v>42535</v>
      </c>
      <c r="U3484" s="2">
        <v>42595</v>
      </c>
      <c r="V3484" t="s">
        <v>71</v>
      </c>
      <c r="W3484" t="str">
        <f>"                12/B"</f>
        <v xml:space="preserve">                12/B</v>
      </c>
      <c r="X3484" s="1">
        <v>2196</v>
      </c>
      <c r="Y3484">
        <v>-360</v>
      </c>
      <c r="Z3484"/>
      <c r="AB3484"/>
      <c r="AC3484" s="1">
        <v>1836</v>
      </c>
      <c r="AD3484">
        <v>-43</v>
      </c>
      <c r="AE3484" s="1">
        <v>-78948</v>
      </c>
      <c r="AF3484">
        <v>0</v>
      </c>
      <c r="AJ3484">
        <v>0</v>
      </c>
      <c r="AK3484">
        <v>0</v>
      </c>
      <c r="AL3484">
        <v>0</v>
      </c>
      <c r="AM3484" s="1">
        <v>1836</v>
      </c>
      <c r="AN3484" s="1">
        <v>1836</v>
      </c>
      <c r="AO3484" s="1">
        <v>1836</v>
      </c>
      <c r="AP3484" s="2">
        <v>42746</v>
      </c>
      <c r="AQ3484" t="s">
        <v>72</v>
      </c>
      <c r="AR3484" t="s">
        <v>72</v>
      </c>
      <c r="AS3484">
        <v>1640</v>
      </c>
      <c r="AT3484" s="4">
        <v>42552</v>
      </c>
      <c r="AV3484">
        <v>1640</v>
      </c>
      <c r="AW3484" s="4">
        <v>42552</v>
      </c>
      <c r="BD3484">
        <v>0</v>
      </c>
      <c r="BN3484" t="s">
        <v>74</v>
      </c>
    </row>
    <row r="3485" spans="1:66" hidden="1">
      <c r="A3485">
        <v>101247</v>
      </c>
      <c r="B3485" s="3" t="s">
        <v>391</v>
      </c>
      <c r="C3485" s="1">
        <v>43500101</v>
      </c>
      <c r="D3485" t="s">
        <v>113</v>
      </c>
      <c r="H3485" t="str">
        <f t="shared" si="355"/>
        <v>MRLCMN78B64B963R</v>
      </c>
      <c r="I3485" t="str">
        <f t="shared" si="356"/>
        <v>03577840618</v>
      </c>
      <c r="K3485" t="str">
        <f>""</f>
        <v/>
      </c>
      <c r="M3485" t="s">
        <v>68</v>
      </c>
      <c r="N3485" t="str">
        <f t="shared" si="357"/>
        <v>ALTPRO</v>
      </c>
      <c r="O3485" t="s">
        <v>132</v>
      </c>
      <c r="P3485" s="3" t="s">
        <v>75</v>
      </c>
      <c r="Q3485">
        <v>2016</v>
      </c>
      <c r="R3485" s="2">
        <v>42552</v>
      </c>
      <c r="S3485" s="2">
        <v>42555</v>
      </c>
      <c r="T3485" s="2">
        <v>42552</v>
      </c>
      <c r="U3485" s="2">
        <v>42612</v>
      </c>
      <c r="V3485" t="s">
        <v>71</v>
      </c>
      <c r="W3485" t="str">
        <f>"                13/B"</f>
        <v xml:space="preserve">                13/B</v>
      </c>
      <c r="X3485" s="1">
        <v>2871.78</v>
      </c>
      <c r="Y3485">
        <v>-470.78</v>
      </c>
      <c r="Z3485"/>
      <c r="AB3485"/>
      <c r="AC3485" s="1">
        <v>2401</v>
      </c>
      <c r="AD3485">
        <v>-46</v>
      </c>
      <c r="AE3485" s="1">
        <v>-110446</v>
      </c>
      <c r="AF3485">
        <v>0</v>
      </c>
      <c r="AJ3485">
        <v>0</v>
      </c>
      <c r="AK3485">
        <v>0</v>
      </c>
      <c r="AL3485">
        <v>0</v>
      </c>
      <c r="AM3485" s="1">
        <v>2401</v>
      </c>
      <c r="AN3485" s="1">
        <v>2401</v>
      </c>
      <c r="AO3485" s="1">
        <v>2401</v>
      </c>
      <c r="AP3485" s="2">
        <v>42746</v>
      </c>
      <c r="AQ3485" t="s">
        <v>72</v>
      </c>
      <c r="AR3485" t="s">
        <v>72</v>
      </c>
      <c r="AS3485">
        <v>1796</v>
      </c>
      <c r="AT3485" s="4">
        <v>42566</v>
      </c>
      <c r="AV3485">
        <v>1796</v>
      </c>
      <c r="AW3485" s="4">
        <v>42566</v>
      </c>
      <c r="BD3485">
        <v>0</v>
      </c>
      <c r="BN3485" t="s">
        <v>74</v>
      </c>
    </row>
    <row r="3486" spans="1:66" hidden="1">
      <c r="A3486">
        <v>101247</v>
      </c>
      <c r="B3486" s="3" t="s">
        <v>391</v>
      </c>
      <c r="C3486" s="1">
        <v>43500101</v>
      </c>
      <c r="D3486" t="s">
        <v>113</v>
      </c>
      <c r="H3486" t="str">
        <f t="shared" si="355"/>
        <v>MRLCMN78B64B963R</v>
      </c>
      <c r="I3486" t="str">
        <f t="shared" si="356"/>
        <v>03577840618</v>
      </c>
      <c r="K3486" t="str">
        <f>""</f>
        <v/>
      </c>
      <c r="M3486" t="s">
        <v>68</v>
      </c>
      <c r="N3486" t="str">
        <f t="shared" si="357"/>
        <v>ALTPRO</v>
      </c>
      <c r="O3486" t="s">
        <v>132</v>
      </c>
      <c r="P3486" s="3" t="s">
        <v>75</v>
      </c>
      <c r="Q3486">
        <v>2016</v>
      </c>
      <c r="R3486" s="2">
        <v>42552</v>
      </c>
      <c r="S3486" s="2">
        <v>42555</v>
      </c>
      <c r="T3486" s="2">
        <v>42552</v>
      </c>
      <c r="U3486" s="2">
        <v>42612</v>
      </c>
      <c r="V3486" t="s">
        <v>71</v>
      </c>
      <c r="W3486" t="str">
        <f>"                14/B"</f>
        <v xml:space="preserve">                14/B</v>
      </c>
      <c r="X3486" s="1">
        <v>2196</v>
      </c>
      <c r="Y3486">
        <v>-360</v>
      </c>
      <c r="Z3486"/>
      <c r="AB3486"/>
      <c r="AC3486" s="1">
        <v>1836</v>
      </c>
      <c r="AD3486">
        <v>-46</v>
      </c>
      <c r="AE3486" s="1">
        <v>-84456</v>
      </c>
      <c r="AF3486">
        <v>0</v>
      </c>
      <c r="AJ3486">
        <v>0</v>
      </c>
      <c r="AK3486">
        <v>0</v>
      </c>
      <c r="AL3486">
        <v>0</v>
      </c>
      <c r="AM3486" s="1">
        <v>1836</v>
      </c>
      <c r="AN3486" s="1">
        <v>1836</v>
      </c>
      <c r="AO3486" s="1">
        <v>1836</v>
      </c>
      <c r="AP3486" s="2">
        <v>42746</v>
      </c>
      <c r="AQ3486" t="s">
        <v>72</v>
      </c>
      <c r="AR3486" t="s">
        <v>72</v>
      </c>
      <c r="AS3486">
        <v>1796</v>
      </c>
      <c r="AT3486" s="4">
        <v>42566</v>
      </c>
      <c r="AV3486">
        <v>1796</v>
      </c>
      <c r="AW3486" s="4">
        <v>42566</v>
      </c>
      <c r="BD3486">
        <v>0</v>
      </c>
      <c r="BN3486" t="s">
        <v>74</v>
      </c>
    </row>
    <row r="3487" spans="1:66" hidden="1">
      <c r="A3487">
        <v>101247</v>
      </c>
      <c r="B3487" s="3" t="s">
        <v>391</v>
      </c>
      <c r="C3487" s="1">
        <v>43500101</v>
      </c>
      <c r="D3487" t="s">
        <v>113</v>
      </c>
      <c r="H3487" t="str">
        <f t="shared" si="355"/>
        <v>MRLCMN78B64B963R</v>
      </c>
      <c r="I3487" t="str">
        <f t="shared" si="356"/>
        <v>03577840618</v>
      </c>
      <c r="K3487" t="str">
        <f>""</f>
        <v/>
      </c>
      <c r="M3487" t="s">
        <v>68</v>
      </c>
      <c r="N3487" t="str">
        <f t="shared" si="357"/>
        <v>ALTPRO</v>
      </c>
      <c r="O3487" t="s">
        <v>132</v>
      </c>
      <c r="P3487" s="3" t="s">
        <v>75</v>
      </c>
      <c r="Q3487">
        <v>2016</v>
      </c>
      <c r="R3487" s="2">
        <v>42611</v>
      </c>
      <c r="S3487" s="2">
        <v>42612</v>
      </c>
      <c r="T3487" s="2">
        <v>42611</v>
      </c>
      <c r="U3487" s="2">
        <v>42671</v>
      </c>
      <c r="V3487" t="s">
        <v>71</v>
      </c>
      <c r="W3487" t="str">
        <f>"                19/B"</f>
        <v xml:space="preserve">                19/B</v>
      </c>
      <c r="X3487" s="1">
        <v>2642.12</v>
      </c>
      <c r="Y3487">
        <v>-433.13</v>
      </c>
      <c r="Z3487"/>
      <c r="AB3487"/>
      <c r="AC3487" s="1">
        <v>2208.9899999999998</v>
      </c>
      <c r="AD3487">
        <v>-53</v>
      </c>
      <c r="AE3487" s="1">
        <v>-117076.47</v>
      </c>
      <c r="AF3487">
        <v>0</v>
      </c>
      <c r="AJ3487">
        <v>0</v>
      </c>
      <c r="AK3487">
        <v>0</v>
      </c>
      <c r="AL3487">
        <v>0</v>
      </c>
      <c r="AM3487" s="1">
        <v>2208.9899999999998</v>
      </c>
      <c r="AN3487" s="1">
        <v>2208.9899999999998</v>
      </c>
      <c r="AO3487" s="1">
        <v>2208.9899999999998</v>
      </c>
      <c r="AP3487" s="2">
        <v>42746</v>
      </c>
      <c r="AQ3487" t="s">
        <v>72</v>
      </c>
      <c r="AR3487" t="s">
        <v>72</v>
      </c>
      <c r="AS3487">
        <v>2233</v>
      </c>
      <c r="AT3487" s="4">
        <v>42618</v>
      </c>
      <c r="AV3487">
        <v>2233</v>
      </c>
      <c r="AW3487" s="4">
        <v>42618</v>
      </c>
      <c r="BD3487">
        <v>0</v>
      </c>
      <c r="BN3487" t="s">
        <v>74</v>
      </c>
    </row>
    <row r="3488" spans="1:66" hidden="1">
      <c r="A3488">
        <v>101247</v>
      </c>
      <c r="B3488" s="3" t="s">
        <v>391</v>
      </c>
      <c r="C3488" s="1">
        <v>43500101</v>
      </c>
      <c r="D3488" t="s">
        <v>113</v>
      </c>
      <c r="H3488" t="str">
        <f t="shared" si="355"/>
        <v>MRLCMN78B64B963R</v>
      </c>
      <c r="I3488" t="str">
        <f t="shared" si="356"/>
        <v>03577840618</v>
      </c>
      <c r="K3488" t="str">
        <f>""</f>
        <v/>
      </c>
      <c r="M3488" t="s">
        <v>68</v>
      </c>
      <c r="N3488" t="str">
        <f t="shared" si="357"/>
        <v>ALTPRO</v>
      </c>
      <c r="O3488" t="s">
        <v>132</v>
      </c>
      <c r="P3488" s="3" t="s">
        <v>75</v>
      </c>
      <c r="Q3488">
        <v>2016</v>
      </c>
      <c r="R3488" s="2">
        <v>42611</v>
      </c>
      <c r="S3488" s="2">
        <v>42612</v>
      </c>
      <c r="T3488" s="2">
        <v>42611</v>
      </c>
      <c r="U3488" s="2">
        <v>42671</v>
      </c>
      <c r="V3488" t="s">
        <v>71</v>
      </c>
      <c r="W3488" t="str">
        <f>"                20/B"</f>
        <v xml:space="preserve">                20/B</v>
      </c>
      <c r="X3488" s="1">
        <v>2196</v>
      </c>
      <c r="Y3488">
        <v>-360</v>
      </c>
      <c r="Z3488"/>
      <c r="AB3488"/>
      <c r="AC3488" s="1">
        <v>1836</v>
      </c>
      <c r="AD3488">
        <v>-53</v>
      </c>
      <c r="AE3488" s="1">
        <v>-97308</v>
      </c>
      <c r="AF3488">
        <v>0</v>
      </c>
      <c r="AJ3488">
        <v>0</v>
      </c>
      <c r="AK3488">
        <v>0</v>
      </c>
      <c r="AL3488">
        <v>0</v>
      </c>
      <c r="AM3488" s="1">
        <v>1836</v>
      </c>
      <c r="AN3488" s="1">
        <v>1836</v>
      </c>
      <c r="AO3488" s="1">
        <v>1836</v>
      </c>
      <c r="AP3488" s="2">
        <v>42746</v>
      </c>
      <c r="AQ3488" t="s">
        <v>72</v>
      </c>
      <c r="AR3488" t="s">
        <v>72</v>
      </c>
      <c r="AS3488">
        <v>2233</v>
      </c>
      <c r="AT3488" s="4">
        <v>42618</v>
      </c>
      <c r="AV3488">
        <v>2233</v>
      </c>
      <c r="AW3488" s="4">
        <v>42618</v>
      </c>
      <c r="BD3488">
        <v>0</v>
      </c>
      <c r="BN3488" t="s">
        <v>74</v>
      </c>
    </row>
    <row r="3489" spans="1:66">
      <c r="A3489">
        <v>101247</v>
      </c>
      <c r="B3489" s="3" t="s">
        <v>391</v>
      </c>
      <c r="C3489" s="1">
        <v>43500101</v>
      </c>
      <c r="D3489" t="s">
        <v>113</v>
      </c>
      <c r="H3489" t="str">
        <f t="shared" si="355"/>
        <v>MRLCMN78B64B963R</v>
      </c>
      <c r="I3489" t="str">
        <f t="shared" si="356"/>
        <v>03577840618</v>
      </c>
      <c r="K3489" t="str">
        <f>""</f>
        <v/>
      </c>
      <c r="M3489" t="s">
        <v>68</v>
      </c>
      <c r="N3489" t="str">
        <f t="shared" si="357"/>
        <v>ALTPRO</v>
      </c>
      <c r="O3489" t="s">
        <v>132</v>
      </c>
      <c r="P3489" s="3" t="s">
        <v>75</v>
      </c>
      <c r="Q3489">
        <v>2016</v>
      </c>
      <c r="R3489" s="2">
        <v>42621</v>
      </c>
      <c r="S3489" s="2">
        <v>42625</v>
      </c>
      <c r="T3489" s="2">
        <v>42621</v>
      </c>
      <c r="U3489" s="2">
        <v>42681</v>
      </c>
      <c r="V3489" t="s">
        <v>71</v>
      </c>
      <c r="W3489" t="str">
        <f>"                21/B"</f>
        <v xml:space="preserve">                21/B</v>
      </c>
      <c r="X3489" s="1">
        <v>2359.33</v>
      </c>
      <c r="Y3489">
        <v>-386.78</v>
      </c>
      <c r="Z3489" s="5">
        <v>1972.55</v>
      </c>
      <c r="AA3489">
        <v>-35</v>
      </c>
      <c r="AB3489" s="5">
        <v>-69039.25</v>
      </c>
      <c r="AC3489" s="1">
        <v>1972.55</v>
      </c>
      <c r="AD3489">
        <v>-35</v>
      </c>
      <c r="AE3489" s="1">
        <v>-69039.25</v>
      </c>
      <c r="AF3489">
        <v>0</v>
      </c>
      <c r="AJ3489">
        <v>0</v>
      </c>
      <c r="AK3489">
        <v>0</v>
      </c>
      <c r="AL3489">
        <v>0</v>
      </c>
      <c r="AM3489" s="1">
        <v>1972.55</v>
      </c>
      <c r="AN3489" s="1">
        <v>1972.55</v>
      </c>
      <c r="AO3489" s="1">
        <v>1972.55</v>
      </c>
      <c r="AP3489" s="2">
        <v>42746</v>
      </c>
      <c r="AQ3489" t="s">
        <v>72</v>
      </c>
      <c r="AR3489" t="s">
        <v>72</v>
      </c>
      <c r="AS3489">
        <v>2525</v>
      </c>
      <c r="AT3489" s="4">
        <v>42646</v>
      </c>
      <c r="AV3489">
        <v>2525</v>
      </c>
      <c r="AW3489" s="4">
        <v>42646</v>
      </c>
      <c r="BD3489">
        <v>0</v>
      </c>
      <c r="BN3489" t="s">
        <v>74</v>
      </c>
    </row>
    <row r="3490" spans="1:66">
      <c r="A3490">
        <v>101247</v>
      </c>
      <c r="B3490" s="3" t="s">
        <v>391</v>
      </c>
      <c r="C3490" s="1">
        <v>43500101</v>
      </c>
      <c r="D3490" t="s">
        <v>113</v>
      </c>
      <c r="H3490" t="str">
        <f t="shared" si="355"/>
        <v>MRLCMN78B64B963R</v>
      </c>
      <c r="I3490" t="str">
        <f t="shared" si="356"/>
        <v>03577840618</v>
      </c>
      <c r="K3490" t="str">
        <f>""</f>
        <v/>
      </c>
      <c r="M3490" t="s">
        <v>68</v>
      </c>
      <c r="N3490" t="str">
        <f t="shared" si="357"/>
        <v>ALTPRO</v>
      </c>
      <c r="O3490" t="s">
        <v>132</v>
      </c>
      <c r="P3490" s="3" t="s">
        <v>75</v>
      </c>
      <c r="Q3490">
        <v>2016</v>
      </c>
      <c r="R3490" s="2">
        <v>42621</v>
      </c>
      <c r="S3490" s="2">
        <v>42625</v>
      </c>
      <c r="T3490" s="2">
        <v>42621</v>
      </c>
      <c r="U3490" s="2">
        <v>42681</v>
      </c>
      <c r="V3490" t="s">
        <v>71</v>
      </c>
      <c r="W3490" t="str">
        <f>"                22/B"</f>
        <v xml:space="preserve">                22/B</v>
      </c>
      <c r="X3490" s="1">
        <v>2196</v>
      </c>
      <c r="Y3490">
        <v>-360</v>
      </c>
      <c r="Z3490" s="5">
        <v>1836</v>
      </c>
      <c r="AA3490">
        <v>-35</v>
      </c>
      <c r="AB3490" s="5">
        <v>-64260</v>
      </c>
      <c r="AC3490" s="1">
        <v>1836</v>
      </c>
      <c r="AD3490">
        <v>-35</v>
      </c>
      <c r="AE3490" s="1">
        <v>-64260</v>
      </c>
      <c r="AF3490">
        <v>0</v>
      </c>
      <c r="AJ3490">
        <v>0</v>
      </c>
      <c r="AK3490">
        <v>0</v>
      </c>
      <c r="AL3490">
        <v>0</v>
      </c>
      <c r="AM3490" s="1">
        <v>1836</v>
      </c>
      <c r="AN3490" s="1">
        <v>1836</v>
      </c>
      <c r="AO3490" s="1">
        <v>1836</v>
      </c>
      <c r="AP3490" s="2">
        <v>42746</v>
      </c>
      <c r="AQ3490" t="s">
        <v>72</v>
      </c>
      <c r="AR3490" t="s">
        <v>72</v>
      </c>
      <c r="AS3490">
        <v>2525</v>
      </c>
      <c r="AT3490" s="4">
        <v>42646</v>
      </c>
      <c r="AV3490">
        <v>2525</v>
      </c>
      <c r="AW3490" s="4">
        <v>42646</v>
      </c>
      <c r="BD3490">
        <v>0</v>
      </c>
      <c r="BN3490" t="s">
        <v>74</v>
      </c>
    </row>
    <row r="3491" spans="1:66" hidden="1">
      <c r="A3491">
        <v>101247</v>
      </c>
      <c r="B3491" s="3" t="s">
        <v>391</v>
      </c>
      <c r="C3491" s="1">
        <v>43500101</v>
      </c>
      <c r="D3491" t="s">
        <v>113</v>
      </c>
      <c r="H3491" t="str">
        <f t="shared" si="355"/>
        <v>MRLCMN78B64B963R</v>
      </c>
      <c r="I3491" t="str">
        <f t="shared" si="356"/>
        <v>03577840618</v>
      </c>
      <c r="K3491" t="str">
        <f>""</f>
        <v/>
      </c>
      <c r="M3491" t="s">
        <v>68</v>
      </c>
      <c r="N3491" t="str">
        <f t="shared" si="357"/>
        <v>ALTPRO</v>
      </c>
      <c r="O3491" t="s">
        <v>132</v>
      </c>
      <c r="P3491" s="3" t="s">
        <v>75</v>
      </c>
      <c r="Q3491">
        <v>2016</v>
      </c>
      <c r="R3491" s="2">
        <v>42373</v>
      </c>
      <c r="S3491" s="2">
        <v>42377</v>
      </c>
      <c r="T3491" s="2">
        <v>42373</v>
      </c>
      <c r="U3491" s="2">
        <v>42433</v>
      </c>
      <c r="V3491" t="s">
        <v>71</v>
      </c>
      <c r="W3491" t="str">
        <f>"                23/A"</f>
        <v xml:space="preserve">                23/A</v>
      </c>
      <c r="X3491" s="1">
        <v>3084.94</v>
      </c>
      <c r="Y3491">
        <v>-505.73</v>
      </c>
      <c r="Z3491"/>
      <c r="AB3491"/>
      <c r="AC3491" s="1">
        <v>2579.21</v>
      </c>
      <c r="AD3491">
        <v>-36</v>
      </c>
      <c r="AE3491" s="1">
        <v>-92851.56</v>
      </c>
      <c r="AF3491">
        <v>0</v>
      </c>
      <c r="AJ3491">
        <v>0</v>
      </c>
      <c r="AK3491">
        <v>0</v>
      </c>
      <c r="AL3491">
        <v>0</v>
      </c>
      <c r="AM3491">
        <v>-505.73</v>
      </c>
      <c r="AN3491" s="1">
        <v>2579.21</v>
      </c>
      <c r="AO3491" s="1">
        <v>2579.21</v>
      </c>
      <c r="AP3491" s="2">
        <v>42746</v>
      </c>
      <c r="AQ3491" t="s">
        <v>72</v>
      </c>
      <c r="AR3491" t="s">
        <v>72</v>
      </c>
      <c r="AS3491">
        <v>116</v>
      </c>
      <c r="AT3491" s="4">
        <v>42397</v>
      </c>
      <c r="AV3491">
        <v>116</v>
      </c>
      <c r="AW3491" s="4">
        <v>42397</v>
      </c>
      <c r="BD3491">
        <v>0</v>
      </c>
      <c r="BN3491" t="s">
        <v>74</v>
      </c>
    </row>
    <row r="3492" spans="1:66">
      <c r="A3492">
        <v>101247</v>
      </c>
      <c r="B3492" s="3" t="s">
        <v>391</v>
      </c>
      <c r="C3492" s="1">
        <v>43500101</v>
      </c>
      <c r="D3492" t="s">
        <v>113</v>
      </c>
      <c r="H3492" t="str">
        <f t="shared" si="355"/>
        <v>MRLCMN78B64B963R</v>
      </c>
      <c r="I3492" t="str">
        <f t="shared" si="356"/>
        <v>03577840618</v>
      </c>
      <c r="K3492" t="str">
        <f>""</f>
        <v/>
      </c>
      <c r="M3492" t="s">
        <v>68</v>
      </c>
      <c r="N3492" t="str">
        <f t="shared" si="357"/>
        <v>ALTPRO</v>
      </c>
      <c r="O3492" t="s">
        <v>132</v>
      </c>
      <c r="P3492" s="3" t="s">
        <v>75</v>
      </c>
      <c r="Q3492">
        <v>2016</v>
      </c>
      <c r="R3492" s="2">
        <v>42646</v>
      </c>
      <c r="S3492" s="2">
        <v>42648</v>
      </c>
      <c r="T3492" s="2">
        <v>42647</v>
      </c>
      <c r="U3492" s="2">
        <v>42707</v>
      </c>
      <c r="V3492" t="s">
        <v>71</v>
      </c>
      <c r="W3492" t="str">
        <f>"                23/B"</f>
        <v xml:space="preserve">                23/B</v>
      </c>
      <c r="X3492" s="1">
        <v>3342.02</v>
      </c>
      <c r="Y3492">
        <v>-547.87</v>
      </c>
      <c r="Z3492" s="5">
        <v>2794.15</v>
      </c>
      <c r="AA3492">
        <v>-39</v>
      </c>
      <c r="AB3492" s="5">
        <v>-108971.85</v>
      </c>
      <c r="AC3492" s="1">
        <v>2794.15</v>
      </c>
      <c r="AD3492">
        <v>-39</v>
      </c>
      <c r="AE3492" s="1">
        <v>-108971.85</v>
      </c>
      <c r="AF3492">
        <v>0</v>
      </c>
      <c r="AJ3492">
        <v>-547.87</v>
      </c>
      <c r="AK3492" s="1">
        <v>2794.15</v>
      </c>
      <c r="AL3492" s="1">
        <v>2794.15</v>
      </c>
      <c r="AM3492" s="1">
        <v>2794.15</v>
      </c>
      <c r="AN3492" s="1">
        <v>2794.15</v>
      </c>
      <c r="AO3492" s="1">
        <v>2794.15</v>
      </c>
      <c r="AP3492" s="2">
        <v>42746</v>
      </c>
      <c r="AQ3492" t="s">
        <v>72</v>
      </c>
      <c r="AR3492" t="s">
        <v>72</v>
      </c>
      <c r="AS3492">
        <v>2855</v>
      </c>
      <c r="AT3492" s="4">
        <v>42668</v>
      </c>
      <c r="AV3492">
        <v>2855</v>
      </c>
      <c r="AW3492" s="4">
        <v>42668</v>
      </c>
      <c r="BD3492">
        <v>0</v>
      </c>
      <c r="BN3492" t="s">
        <v>74</v>
      </c>
    </row>
    <row r="3493" spans="1:66" hidden="1">
      <c r="A3493">
        <v>101247</v>
      </c>
      <c r="B3493" s="3" t="s">
        <v>391</v>
      </c>
      <c r="C3493" s="1">
        <v>43500101</v>
      </c>
      <c r="D3493" t="s">
        <v>113</v>
      </c>
      <c r="H3493" t="str">
        <f t="shared" si="355"/>
        <v>MRLCMN78B64B963R</v>
      </c>
      <c r="I3493" t="str">
        <f t="shared" si="356"/>
        <v>03577840618</v>
      </c>
      <c r="K3493" t="str">
        <f>""</f>
        <v/>
      </c>
      <c r="M3493" t="s">
        <v>68</v>
      </c>
      <c r="N3493" t="str">
        <f t="shared" si="357"/>
        <v>ALTPRO</v>
      </c>
      <c r="O3493" t="s">
        <v>132</v>
      </c>
      <c r="P3493" s="3" t="s">
        <v>75</v>
      </c>
      <c r="Q3493">
        <v>2016</v>
      </c>
      <c r="R3493" s="2">
        <v>42373</v>
      </c>
      <c r="S3493" s="2">
        <v>42377</v>
      </c>
      <c r="T3493" s="2">
        <v>42373</v>
      </c>
      <c r="U3493" s="2">
        <v>42433</v>
      </c>
      <c r="V3493" t="s">
        <v>71</v>
      </c>
      <c r="W3493" t="str">
        <f>"                24/A"</f>
        <v xml:space="preserve">                24/A</v>
      </c>
      <c r="X3493" s="1">
        <v>2196</v>
      </c>
      <c r="Y3493">
        <v>-360</v>
      </c>
      <c r="Z3493"/>
      <c r="AB3493"/>
      <c r="AC3493" s="1">
        <v>1836</v>
      </c>
      <c r="AD3493">
        <v>-36</v>
      </c>
      <c r="AE3493" s="1">
        <v>-66096</v>
      </c>
      <c r="AF3493">
        <v>0</v>
      </c>
      <c r="AJ3493">
        <v>0</v>
      </c>
      <c r="AK3493">
        <v>0</v>
      </c>
      <c r="AL3493">
        <v>0</v>
      </c>
      <c r="AM3493">
        <v>-360</v>
      </c>
      <c r="AN3493" s="1">
        <v>1836</v>
      </c>
      <c r="AO3493" s="1">
        <v>1836</v>
      </c>
      <c r="AP3493" s="2">
        <v>42746</v>
      </c>
      <c r="AQ3493" t="s">
        <v>72</v>
      </c>
      <c r="AR3493" t="s">
        <v>72</v>
      </c>
      <c r="AS3493">
        <v>116</v>
      </c>
      <c r="AT3493" s="4">
        <v>42397</v>
      </c>
      <c r="AV3493">
        <v>116</v>
      </c>
      <c r="AW3493" s="4">
        <v>42397</v>
      </c>
      <c r="BD3493">
        <v>0</v>
      </c>
      <c r="BN3493" t="s">
        <v>74</v>
      </c>
    </row>
    <row r="3494" spans="1:66">
      <c r="A3494">
        <v>101247</v>
      </c>
      <c r="B3494" s="3" t="s">
        <v>391</v>
      </c>
      <c r="C3494" s="1">
        <v>43500101</v>
      </c>
      <c r="D3494" t="s">
        <v>113</v>
      </c>
      <c r="H3494" t="str">
        <f t="shared" si="355"/>
        <v>MRLCMN78B64B963R</v>
      </c>
      <c r="I3494" t="str">
        <f t="shared" si="356"/>
        <v>03577840618</v>
      </c>
      <c r="K3494" t="str">
        <f>""</f>
        <v/>
      </c>
      <c r="M3494" t="s">
        <v>68</v>
      </c>
      <c r="N3494" t="str">
        <f t="shared" si="357"/>
        <v>ALTPRO</v>
      </c>
      <c r="O3494" t="s">
        <v>132</v>
      </c>
      <c r="P3494" s="3" t="s">
        <v>75</v>
      </c>
      <c r="Q3494">
        <v>2016</v>
      </c>
      <c r="R3494" s="2">
        <v>42664</v>
      </c>
      <c r="S3494" s="2">
        <v>42670</v>
      </c>
      <c r="T3494" s="2">
        <v>42664</v>
      </c>
      <c r="U3494" s="2">
        <v>42724</v>
      </c>
      <c r="V3494" t="s">
        <v>71</v>
      </c>
      <c r="W3494" t="str">
        <f>"                24/B"</f>
        <v xml:space="preserve">                24/B</v>
      </c>
      <c r="X3494" s="1">
        <v>2196</v>
      </c>
      <c r="Y3494">
        <v>-360</v>
      </c>
      <c r="Z3494" s="5">
        <v>1836</v>
      </c>
      <c r="AA3494">
        <v>-53</v>
      </c>
      <c r="AB3494" s="5">
        <v>-97308</v>
      </c>
      <c r="AC3494" s="1">
        <v>1836</v>
      </c>
      <c r="AD3494">
        <v>-53</v>
      </c>
      <c r="AE3494" s="1">
        <v>-97308</v>
      </c>
      <c r="AF3494">
        <v>0</v>
      </c>
      <c r="AJ3494">
        <v>-360</v>
      </c>
      <c r="AK3494" s="1">
        <v>1836</v>
      </c>
      <c r="AL3494" s="1">
        <v>1836</v>
      </c>
      <c r="AM3494" s="1">
        <v>1836</v>
      </c>
      <c r="AN3494" s="1">
        <v>1836</v>
      </c>
      <c r="AO3494" s="1">
        <v>1836</v>
      </c>
      <c r="AP3494" s="2">
        <v>42746</v>
      </c>
      <c r="AQ3494" t="s">
        <v>72</v>
      </c>
      <c r="AR3494" t="s">
        <v>72</v>
      </c>
      <c r="AS3494">
        <v>2899</v>
      </c>
      <c r="AT3494" s="4">
        <v>42671</v>
      </c>
      <c r="AV3494">
        <v>2899</v>
      </c>
      <c r="AW3494" s="4">
        <v>42671</v>
      </c>
      <c r="BD3494">
        <v>0</v>
      </c>
      <c r="BN3494" t="s">
        <v>74</v>
      </c>
    </row>
    <row r="3495" spans="1:66">
      <c r="A3495">
        <v>101247</v>
      </c>
      <c r="B3495" s="3" t="s">
        <v>391</v>
      </c>
      <c r="C3495" s="1">
        <v>43500101</v>
      </c>
      <c r="D3495" t="s">
        <v>113</v>
      </c>
      <c r="H3495" t="str">
        <f t="shared" si="355"/>
        <v>MRLCMN78B64B963R</v>
      </c>
      <c r="I3495" t="str">
        <f t="shared" si="356"/>
        <v>03577840618</v>
      </c>
      <c r="K3495" t="str">
        <f>""</f>
        <v/>
      </c>
      <c r="M3495" t="s">
        <v>68</v>
      </c>
      <c r="N3495" t="str">
        <f t="shared" si="357"/>
        <v>ALTPRO</v>
      </c>
      <c r="O3495" t="s">
        <v>132</v>
      </c>
      <c r="P3495" s="3" t="s">
        <v>75</v>
      </c>
      <c r="Q3495">
        <v>2016</v>
      </c>
      <c r="R3495" s="2">
        <v>42678</v>
      </c>
      <c r="S3495" s="2">
        <v>42681</v>
      </c>
      <c r="T3495" s="2">
        <v>42678</v>
      </c>
      <c r="U3495" s="2">
        <v>42738</v>
      </c>
      <c r="V3495" t="s">
        <v>71</v>
      </c>
      <c r="W3495" t="str">
        <f>"                25/B"</f>
        <v xml:space="preserve">                25/B</v>
      </c>
      <c r="X3495" s="1">
        <v>3054.36</v>
      </c>
      <c r="Y3495">
        <v>-500.71</v>
      </c>
      <c r="Z3495" s="5">
        <v>2553.65</v>
      </c>
      <c r="AA3495">
        <v>-56</v>
      </c>
      <c r="AB3495" s="5">
        <v>-143004.4</v>
      </c>
      <c r="AC3495" s="1">
        <v>2553.65</v>
      </c>
      <c r="AD3495">
        <v>-56</v>
      </c>
      <c r="AE3495" s="1">
        <v>-143004.4</v>
      </c>
      <c r="AF3495">
        <v>0</v>
      </c>
      <c r="AJ3495" s="1">
        <v>2553.65</v>
      </c>
      <c r="AK3495" s="1">
        <v>2553.65</v>
      </c>
      <c r="AL3495" s="1">
        <v>2553.65</v>
      </c>
      <c r="AM3495" s="1">
        <v>2553.65</v>
      </c>
      <c r="AN3495" s="1">
        <v>2553.65</v>
      </c>
      <c r="AO3495" s="1">
        <v>2553.65</v>
      </c>
      <c r="AP3495" s="2">
        <v>42746</v>
      </c>
      <c r="AQ3495" t="s">
        <v>72</v>
      </c>
      <c r="AR3495" t="s">
        <v>72</v>
      </c>
      <c r="AS3495">
        <v>2967</v>
      </c>
      <c r="AT3495" s="4">
        <v>42682</v>
      </c>
      <c r="AV3495">
        <v>2967</v>
      </c>
      <c r="AW3495" s="4">
        <v>42682</v>
      </c>
      <c r="BD3495">
        <v>0</v>
      </c>
      <c r="BN3495" t="s">
        <v>74</v>
      </c>
    </row>
    <row r="3496" spans="1:66">
      <c r="A3496">
        <v>101247</v>
      </c>
      <c r="B3496" s="3" t="s">
        <v>391</v>
      </c>
      <c r="C3496" s="1">
        <v>43500101</v>
      </c>
      <c r="D3496" t="s">
        <v>113</v>
      </c>
      <c r="H3496" t="str">
        <f t="shared" si="355"/>
        <v>MRLCMN78B64B963R</v>
      </c>
      <c r="I3496" t="str">
        <f t="shared" si="356"/>
        <v>03577840618</v>
      </c>
      <c r="K3496" t="str">
        <f>""</f>
        <v/>
      </c>
      <c r="M3496" t="s">
        <v>68</v>
      </c>
      <c r="N3496" t="str">
        <f t="shared" si="357"/>
        <v>ALTPRO</v>
      </c>
      <c r="O3496" t="s">
        <v>132</v>
      </c>
      <c r="P3496" s="3" t="s">
        <v>75</v>
      </c>
      <c r="Q3496">
        <v>2016</v>
      </c>
      <c r="R3496" s="2">
        <v>42678</v>
      </c>
      <c r="S3496" s="2">
        <v>42681</v>
      </c>
      <c r="T3496" s="2">
        <v>42678</v>
      </c>
      <c r="U3496" s="2">
        <v>42738</v>
      </c>
      <c r="V3496" t="s">
        <v>71</v>
      </c>
      <c r="W3496" t="str">
        <f>"                26/B"</f>
        <v xml:space="preserve">                26/B</v>
      </c>
      <c r="X3496" s="1">
        <v>2196</v>
      </c>
      <c r="Y3496">
        <v>-360</v>
      </c>
      <c r="Z3496" s="5">
        <v>1836</v>
      </c>
      <c r="AA3496">
        <v>-56</v>
      </c>
      <c r="AB3496" s="5">
        <v>-102816</v>
      </c>
      <c r="AC3496" s="1">
        <v>1836</v>
      </c>
      <c r="AD3496">
        <v>-56</v>
      </c>
      <c r="AE3496" s="1">
        <v>-102816</v>
      </c>
      <c r="AF3496">
        <v>0</v>
      </c>
      <c r="AJ3496" s="1">
        <v>1836</v>
      </c>
      <c r="AK3496" s="1">
        <v>1836</v>
      </c>
      <c r="AL3496" s="1">
        <v>1836</v>
      </c>
      <c r="AM3496" s="1">
        <v>1836</v>
      </c>
      <c r="AN3496" s="1">
        <v>1836</v>
      </c>
      <c r="AO3496" s="1">
        <v>1836</v>
      </c>
      <c r="AP3496" s="2">
        <v>42746</v>
      </c>
      <c r="AQ3496" t="s">
        <v>72</v>
      </c>
      <c r="AR3496" t="s">
        <v>72</v>
      </c>
      <c r="AS3496">
        <v>2967</v>
      </c>
      <c r="AT3496" s="4">
        <v>42682</v>
      </c>
      <c r="AV3496">
        <v>2967</v>
      </c>
      <c r="AW3496" s="4">
        <v>42682</v>
      </c>
      <c r="BD3496">
        <v>0</v>
      </c>
      <c r="BN3496" t="s">
        <v>74</v>
      </c>
    </row>
    <row r="3497" spans="1:66">
      <c r="A3497">
        <v>101247</v>
      </c>
      <c r="B3497" s="3" t="s">
        <v>391</v>
      </c>
      <c r="C3497" s="1">
        <v>43500101</v>
      </c>
      <c r="D3497" t="s">
        <v>113</v>
      </c>
      <c r="H3497" t="str">
        <f t="shared" si="355"/>
        <v>MRLCMN78B64B963R</v>
      </c>
      <c r="I3497" t="str">
        <f t="shared" si="356"/>
        <v>03577840618</v>
      </c>
      <c r="K3497" t="str">
        <f>""</f>
        <v/>
      </c>
      <c r="M3497" t="s">
        <v>68</v>
      </c>
      <c r="N3497" t="str">
        <f t="shared" si="357"/>
        <v>ALTPRO</v>
      </c>
      <c r="O3497" t="s">
        <v>132</v>
      </c>
      <c r="P3497" s="3" t="s">
        <v>75</v>
      </c>
      <c r="Q3497">
        <v>2016</v>
      </c>
      <c r="R3497" s="2">
        <v>42705</v>
      </c>
      <c r="S3497" s="2">
        <v>42706</v>
      </c>
      <c r="T3497" s="2">
        <v>42705</v>
      </c>
      <c r="U3497" s="2">
        <v>42765</v>
      </c>
      <c r="V3497" t="s">
        <v>71</v>
      </c>
      <c r="W3497" t="str">
        <f>"                27/B"</f>
        <v xml:space="preserve">                27/B</v>
      </c>
      <c r="X3497" s="1">
        <v>3213.48</v>
      </c>
      <c r="Y3497">
        <v>-526.79999999999995</v>
      </c>
      <c r="Z3497" s="5">
        <v>2686.68</v>
      </c>
      <c r="AA3497">
        <v>-56</v>
      </c>
      <c r="AB3497" s="5">
        <v>-150454.07999999999</v>
      </c>
      <c r="AC3497" s="1">
        <v>2686.68</v>
      </c>
      <c r="AD3497">
        <v>-56</v>
      </c>
      <c r="AE3497" s="1">
        <v>-150454.07999999999</v>
      </c>
      <c r="AF3497">
        <v>0</v>
      </c>
      <c r="AJ3497" s="1">
        <v>2686.68</v>
      </c>
      <c r="AK3497" s="1">
        <v>2686.68</v>
      </c>
      <c r="AL3497" s="1">
        <v>2686.68</v>
      </c>
      <c r="AM3497" s="1">
        <v>2686.68</v>
      </c>
      <c r="AN3497" s="1">
        <v>2686.68</v>
      </c>
      <c r="AO3497" s="1">
        <v>2686.68</v>
      </c>
      <c r="AP3497" s="2">
        <v>42746</v>
      </c>
      <c r="AQ3497" t="s">
        <v>72</v>
      </c>
      <c r="AR3497" t="s">
        <v>72</v>
      </c>
      <c r="AS3497">
        <v>3330</v>
      </c>
      <c r="AT3497" s="4">
        <v>42709</v>
      </c>
      <c r="AV3497">
        <v>3330</v>
      </c>
      <c r="AW3497" s="4">
        <v>42709</v>
      </c>
      <c r="BD3497">
        <v>0</v>
      </c>
      <c r="BN3497" t="s">
        <v>74</v>
      </c>
    </row>
    <row r="3498" spans="1:66">
      <c r="A3498">
        <v>101247</v>
      </c>
      <c r="B3498" s="3" t="s">
        <v>391</v>
      </c>
      <c r="C3498" s="1">
        <v>43500101</v>
      </c>
      <c r="D3498" t="s">
        <v>113</v>
      </c>
      <c r="H3498" t="str">
        <f t="shared" si="355"/>
        <v>MRLCMN78B64B963R</v>
      </c>
      <c r="I3498" t="str">
        <f t="shared" si="356"/>
        <v>03577840618</v>
      </c>
      <c r="K3498" t="str">
        <f>""</f>
        <v/>
      </c>
      <c r="M3498" t="s">
        <v>68</v>
      </c>
      <c r="N3498" t="str">
        <f t="shared" si="357"/>
        <v>ALTPRO</v>
      </c>
      <c r="O3498" t="s">
        <v>132</v>
      </c>
      <c r="P3498" s="3" t="s">
        <v>75</v>
      </c>
      <c r="Q3498">
        <v>2016</v>
      </c>
      <c r="R3498" s="2">
        <v>42705</v>
      </c>
      <c r="S3498" s="2">
        <v>42706</v>
      </c>
      <c r="T3498" s="2">
        <v>42705</v>
      </c>
      <c r="U3498" s="2">
        <v>42765</v>
      </c>
      <c r="V3498" t="s">
        <v>71</v>
      </c>
      <c r="W3498" t="str">
        <f>"                28/B"</f>
        <v xml:space="preserve">                28/B</v>
      </c>
      <c r="X3498" s="1">
        <v>2196</v>
      </c>
      <c r="Y3498">
        <v>-360</v>
      </c>
      <c r="Z3498" s="5">
        <v>1836</v>
      </c>
      <c r="AA3498">
        <v>-56</v>
      </c>
      <c r="AB3498" s="5">
        <v>-102816</v>
      </c>
      <c r="AC3498" s="1">
        <v>1836</v>
      </c>
      <c r="AD3498">
        <v>-56</v>
      </c>
      <c r="AE3498" s="1">
        <v>-102816</v>
      </c>
      <c r="AF3498">
        <v>0</v>
      </c>
      <c r="AJ3498" s="1">
        <v>1836</v>
      </c>
      <c r="AK3498" s="1">
        <v>1836</v>
      </c>
      <c r="AL3498" s="1">
        <v>1836</v>
      </c>
      <c r="AM3498" s="1">
        <v>1836</v>
      </c>
      <c r="AN3498" s="1">
        <v>1836</v>
      </c>
      <c r="AO3498" s="1">
        <v>1836</v>
      </c>
      <c r="AP3498" s="2">
        <v>42746</v>
      </c>
      <c r="AQ3498" t="s">
        <v>72</v>
      </c>
      <c r="AR3498" t="s">
        <v>72</v>
      </c>
      <c r="AS3498">
        <v>3330</v>
      </c>
      <c r="AT3498" s="4">
        <v>42709</v>
      </c>
      <c r="AV3498">
        <v>3330</v>
      </c>
      <c r="AW3498" s="4">
        <v>42709</v>
      </c>
      <c r="BD3498">
        <v>0</v>
      </c>
      <c r="BN3498" t="s">
        <v>74</v>
      </c>
    </row>
    <row r="3499" spans="1:66" hidden="1">
      <c r="A3499">
        <v>101252</v>
      </c>
      <c r="B3499" s="3" t="s">
        <v>392</v>
      </c>
      <c r="C3499" s="1">
        <v>43300101</v>
      </c>
      <c r="D3499" t="s">
        <v>67</v>
      </c>
      <c r="H3499" t="str">
        <f>""</f>
        <v/>
      </c>
      <c r="I3499" t="str">
        <f>"00991131004"</f>
        <v>00991131004</v>
      </c>
      <c r="K3499" t="str">
        <f>""</f>
        <v/>
      </c>
      <c r="M3499" t="s">
        <v>68</v>
      </c>
      <c r="N3499" t="str">
        <f t="shared" ref="N3499:N3505" si="358">"FOR"</f>
        <v>FOR</v>
      </c>
      <c r="O3499" t="s">
        <v>69</v>
      </c>
      <c r="P3499" s="3" t="s">
        <v>70</v>
      </c>
      <c r="Q3499">
        <v>2014</v>
      </c>
      <c r="R3499" s="2">
        <v>42003</v>
      </c>
      <c r="S3499" s="2">
        <v>42299</v>
      </c>
      <c r="T3499" s="2">
        <v>42299</v>
      </c>
      <c r="U3499" s="2">
        <v>42359</v>
      </c>
      <c r="V3499" t="s">
        <v>71</v>
      </c>
      <c r="W3499" t="str">
        <f>"           V2/510039"</f>
        <v xml:space="preserve">           V2/510039</v>
      </c>
      <c r="X3499" s="1">
        <v>1282.46</v>
      </c>
      <c r="Y3499">
        <v>0</v>
      </c>
      <c r="Z3499"/>
      <c r="AB3499"/>
      <c r="AC3499" s="1">
        <v>1282.46</v>
      </c>
      <c r="AD3499">
        <v>44</v>
      </c>
      <c r="AE3499" s="1">
        <v>56428.24</v>
      </c>
      <c r="AF3499">
        <v>0</v>
      </c>
      <c r="AJ3499">
        <v>0</v>
      </c>
      <c r="AK3499">
        <v>0</v>
      </c>
      <c r="AL3499">
        <v>0</v>
      </c>
      <c r="AM3499">
        <v>0</v>
      </c>
      <c r="AN3499">
        <v>0</v>
      </c>
      <c r="AO3499">
        <v>0</v>
      </c>
      <c r="AP3499" s="2">
        <v>42746</v>
      </c>
      <c r="AQ3499" t="s">
        <v>72</v>
      </c>
      <c r="AR3499" t="s">
        <v>72</v>
      </c>
      <c r="AS3499">
        <v>212</v>
      </c>
      <c r="AT3499" s="4">
        <v>42403</v>
      </c>
      <c r="AU3499" t="s">
        <v>73</v>
      </c>
      <c r="AV3499">
        <v>212</v>
      </c>
      <c r="AW3499" s="4">
        <v>42403</v>
      </c>
      <c r="BD3499">
        <v>0</v>
      </c>
      <c r="BN3499" t="s">
        <v>74</v>
      </c>
    </row>
    <row r="3500" spans="1:66" hidden="1">
      <c r="A3500">
        <v>101252</v>
      </c>
      <c r="B3500" s="3" t="s">
        <v>392</v>
      </c>
      <c r="C3500" s="1">
        <v>43300101</v>
      </c>
      <c r="D3500" t="s">
        <v>67</v>
      </c>
      <c r="H3500" t="str">
        <f>""</f>
        <v/>
      </c>
      <c r="I3500" t="str">
        <f>"00991131004"</f>
        <v>00991131004</v>
      </c>
      <c r="K3500" t="str">
        <f>""</f>
        <v/>
      </c>
      <c r="M3500" t="s">
        <v>68</v>
      </c>
      <c r="N3500" t="str">
        <f t="shared" si="358"/>
        <v>FOR</v>
      </c>
      <c r="O3500" t="s">
        <v>69</v>
      </c>
      <c r="P3500" s="3" t="s">
        <v>75</v>
      </c>
      <c r="Q3500">
        <v>2015</v>
      </c>
      <c r="R3500" s="2">
        <v>42311</v>
      </c>
      <c r="S3500" s="2">
        <v>42314</v>
      </c>
      <c r="T3500" s="2">
        <v>42313</v>
      </c>
      <c r="U3500" s="2">
        <v>42373</v>
      </c>
      <c r="V3500" t="s">
        <v>71</v>
      </c>
      <c r="W3500" t="str">
        <f>"           V1/016183"</f>
        <v xml:space="preserve">           V1/016183</v>
      </c>
      <c r="X3500" s="1">
        <v>4724.6499999999996</v>
      </c>
      <c r="Y3500">
        <v>0</v>
      </c>
      <c r="Z3500"/>
      <c r="AB3500"/>
      <c r="AC3500" s="1">
        <v>3872.66</v>
      </c>
      <c r="AD3500">
        <v>114</v>
      </c>
      <c r="AE3500" s="1">
        <v>441483.24</v>
      </c>
      <c r="AF3500">
        <v>0</v>
      </c>
      <c r="AJ3500">
        <v>0</v>
      </c>
      <c r="AK3500">
        <v>0</v>
      </c>
      <c r="AL3500">
        <v>0</v>
      </c>
      <c r="AM3500">
        <v>0</v>
      </c>
      <c r="AN3500">
        <v>0</v>
      </c>
      <c r="AO3500">
        <v>0</v>
      </c>
      <c r="AP3500" s="2">
        <v>42746</v>
      </c>
      <c r="AQ3500" t="s">
        <v>72</v>
      </c>
      <c r="AR3500" t="s">
        <v>72</v>
      </c>
      <c r="AS3500">
        <v>1196</v>
      </c>
      <c r="AT3500" s="4">
        <v>42487</v>
      </c>
      <c r="AU3500" t="s">
        <v>73</v>
      </c>
      <c r="AV3500">
        <v>1196</v>
      </c>
      <c r="AW3500" s="4">
        <v>42487</v>
      </c>
      <c r="BD3500">
        <v>0</v>
      </c>
      <c r="BN3500" t="s">
        <v>74</v>
      </c>
    </row>
    <row r="3501" spans="1:66" hidden="1">
      <c r="A3501">
        <v>101252</v>
      </c>
      <c r="B3501" s="3" t="s">
        <v>392</v>
      </c>
      <c r="C3501" s="1">
        <v>43300101</v>
      </c>
      <c r="D3501" t="s">
        <v>67</v>
      </c>
      <c r="H3501" t="str">
        <f>""</f>
        <v/>
      </c>
      <c r="I3501" t="str">
        <f>"00991131004"</f>
        <v>00991131004</v>
      </c>
      <c r="K3501" t="str">
        <f>""</f>
        <v/>
      </c>
      <c r="M3501" t="s">
        <v>68</v>
      </c>
      <c r="N3501" t="str">
        <f t="shared" si="358"/>
        <v>FOR</v>
      </c>
      <c r="O3501" t="s">
        <v>69</v>
      </c>
      <c r="P3501" s="3" t="s">
        <v>75</v>
      </c>
      <c r="Q3501">
        <v>2015</v>
      </c>
      <c r="R3501" s="2">
        <v>42320</v>
      </c>
      <c r="S3501" s="2">
        <v>42325</v>
      </c>
      <c r="T3501" s="2">
        <v>42324</v>
      </c>
      <c r="U3501" s="2">
        <v>42384</v>
      </c>
      <c r="V3501" t="s">
        <v>71</v>
      </c>
      <c r="W3501" t="str">
        <f>"           V1/016665"</f>
        <v xml:space="preserve">           V1/016665</v>
      </c>
      <c r="X3501" s="1">
        <v>1537.2</v>
      </c>
      <c r="Y3501">
        <v>0</v>
      </c>
      <c r="Z3501"/>
      <c r="AB3501"/>
      <c r="AC3501" s="1">
        <v>1260</v>
      </c>
      <c r="AD3501">
        <v>103</v>
      </c>
      <c r="AE3501" s="1">
        <v>129780</v>
      </c>
      <c r="AF3501">
        <v>0</v>
      </c>
      <c r="AJ3501">
        <v>0</v>
      </c>
      <c r="AK3501">
        <v>0</v>
      </c>
      <c r="AL3501">
        <v>0</v>
      </c>
      <c r="AM3501">
        <v>0</v>
      </c>
      <c r="AN3501">
        <v>0</v>
      </c>
      <c r="AO3501">
        <v>0</v>
      </c>
      <c r="AP3501" s="2">
        <v>42746</v>
      </c>
      <c r="AQ3501" t="s">
        <v>72</v>
      </c>
      <c r="AR3501" t="s">
        <v>72</v>
      </c>
      <c r="AS3501">
        <v>1196</v>
      </c>
      <c r="AT3501" s="4">
        <v>42487</v>
      </c>
      <c r="AU3501" t="s">
        <v>73</v>
      </c>
      <c r="AV3501">
        <v>1196</v>
      </c>
      <c r="AW3501" s="4">
        <v>42487</v>
      </c>
      <c r="BD3501">
        <v>0</v>
      </c>
      <c r="BN3501" t="s">
        <v>74</v>
      </c>
    </row>
    <row r="3502" spans="1:66" hidden="1">
      <c r="A3502">
        <v>101252</v>
      </c>
      <c r="B3502" s="3" t="s">
        <v>392</v>
      </c>
      <c r="C3502" s="1">
        <v>43300101</v>
      </c>
      <c r="D3502" t="s">
        <v>67</v>
      </c>
      <c r="H3502" t="str">
        <f>""</f>
        <v/>
      </c>
      <c r="I3502" t="str">
        <f>"00991131004"</f>
        <v>00991131004</v>
      </c>
      <c r="K3502" t="str">
        <f>""</f>
        <v/>
      </c>
      <c r="M3502" t="s">
        <v>68</v>
      </c>
      <c r="N3502" t="str">
        <f t="shared" si="358"/>
        <v>FOR</v>
      </c>
      <c r="O3502" t="s">
        <v>69</v>
      </c>
      <c r="P3502" s="3" t="s">
        <v>75</v>
      </c>
      <c r="Q3502">
        <v>2015</v>
      </c>
      <c r="R3502" s="2">
        <v>42124</v>
      </c>
      <c r="S3502" s="2">
        <v>42198</v>
      </c>
      <c r="T3502" s="2">
        <v>42196</v>
      </c>
      <c r="U3502" s="2">
        <v>42256</v>
      </c>
      <c r="V3502" t="s">
        <v>71</v>
      </c>
      <c r="W3502" t="str">
        <f>"           V2/502877"</f>
        <v xml:space="preserve">           V2/502877</v>
      </c>
      <c r="X3502" s="1">
        <v>3621.57</v>
      </c>
      <c r="Y3502">
        <v>0</v>
      </c>
      <c r="Z3502"/>
      <c r="AB3502"/>
      <c r="AC3502" s="1">
        <v>2968.5</v>
      </c>
      <c r="AD3502">
        <v>160</v>
      </c>
      <c r="AE3502" s="1">
        <v>474960</v>
      </c>
      <c r="AF3502">
        <v>0</v>
      </c>
      <c r="AJ3502">
        <v>0</v>
      </c>
      <c r="AK3502">
        <v>0</v>
      </c>
      <c r="AL3502">
        <v>0</v>
      </c>
      <c r="AM3502">
        <v>0</v>
      </c>
      <c r="AN3502">
        <v>0</v>
      </c>
      <c r="AO3502">
        <v>0</v>
      </c>
      <c r="AP3502" s="2">
        <v>42746</v>
      </c>
      <c r="AQ3502" t="s">
        <v>72</v>
      </c>
      <c r="AR3502" t="s">
        <v>72</v>
      </c>
      <c r="AS3502">
        <v>420</v>
      </c>
      <c r="AT3502" s="4">
        <v>42416</v>
      </c>
      <c r="AU3502" t="s">
        <v>73</v>
      </c>
      <c r="AV3502">
        <v>420</v>
      </c>
      <c r="AW3502" s="4">
        <v>42416</v>
      </c>
      <c r="BD3502">
        <v>0</v>
      </c>
      <c r="BN3502" t="s">
        <v>74</v>
      </c>
    </row>
    <row r="3503" spans="1:66" hidden="1">
      <c r="A3503">
        <v>101252</v>
      </c>
      <c r="B3503" s="3" t="s">
        <v>392</v>
      </c>
      <c r="C3503" s="1">
        <v>43300101</v>
      </c>
      <c r="D3503" t="s">
        <v>67</v>
      </c>
      <c r="H3503" t="str">
        <f>""</f>
        <v/>
      </c>
      <c r="I3503" t="str">
        <f>"00991131004"</f>
        <v>00991131004</v>
      </c>
      <c r="K3503" t="str">
        <f>""</f>
        <v/>
      </c>
      <c r="M3503" t="s">
        <v>68</v>
      </c>
      <c r="N3503" t="str">
        <f t="shared" si="358"/>
        <v>FOR</v>
      </c>
      <c r="O3503" t="s">
        <v>69</v>
      </c>
      <c r="P3503" s="3" t="s">
        <v>75</v>
      </c>
      <c r="Q3503">
        <v>2015</v>
      </c>
      <c r="R3503" s="2">
        <v>42184</v>
      </c>
      <c r="S3503" s="2">
        <v>42188</v>
      </c>
      <c r="T3503" s="2">
        <v>42187</v>
      </c>
      <c r="U3503" s="2">
        <v>42247</v>
      </c>
      <c r="V3503" t="s">
        <v>71</v>
      </c>
      <c r="W3503" t="str">
        <f>"           V2/504856"</f>
        <v xml:space="preserve">           V2/504856</v>
      </c>
      <c r="X3503" s="1">
        <v>1479.62</v>
      </c>
      <c r="Y3503">
        <v>0</v>
      </c>
      <c r="Z3503"/>
      <c r="AB3503"/>
      <c r="AC3503" s="1">
        <v>1212.8</v>
      </c>
      <c r="AD3503">
        <v>240</v>
      </c>
      <c r="AE3503" s="1">
        <v>291072</v>
      </c>
      <c r="AF3503">
        <v>0</v>
      </c>
      <c r="AJ3503">
        <v>0</v>
      </c>
      <c r="AK3503">
        <v>0</v>
      </c>
      <c r="AL3503">
        <v>0</v>
      </c>
      <c r="AM3503">
        <v>0</v>
      </c>
      <c r="AN3503">
        <v>0</v>
      </c>
      <c r="AO3503">
        <v>0</v>
      </c>
      <c r="AP3503" s="2">
        <v>42746</v>
      </c>
      <c r="AQ3503" t="s">
        <v>72</v>
      </c>
      <c r="AR3503" t="s">
        <v>72</v>
      </c>
      <c r="AS3503">
        <v>1196</v>
      </c>
      <c r="AT3503" s="4">
        <v>42487</v>
      </c>
      <c r="AU3503" t="s">
        <v>73</v>
      </c>
      <c r="AV3503">
        <v>1196</v>
      </c>
      <c r="AW3503" s="4">
        <v>42487</v>
      </c>
      <c r="BD3503">
        <v>0</v>
      </c>
      <c r="BN3503" t="s">
        <v>74</v>
      </c>
    </row>
    <row r="3504" spans="1:66">
      <c r="A3504">
        <v>101253</v>
      </c>
      <c r="B3504" s="3" t="s">
        <v>393</v>
      </c>
      <c r="C3504" s="1">
        <v>43300101</v>
      </c>
      <c r="D3504" t="s">
        <v>67</v>
      </c>
      <c r="H3504" t="str">
        <f>"00551370372"</f>
        <v>00551370372</v>
      </c>
      <c r="I3504" t="str">
        <f>"00551370372"</f>
        <v>00551370372</v>
      </c>
      <c r="K3504" t="str">
        <f>""</f>
        <v/>
      </c>
      <c r="M3504" t="s">
        <v>68</v>
      </c>
      <c r="N3504" t="str">
        <f t="shared" si="358"/>
        <v>FOR</v>
      </c>
      <c r="O3504" t="s">
        <v>69</v>
      </c>
      <c r="P3504" s="3" t="s">
        <v>78</v>
      </c>
      <c r="Q3504">
        <v>2012</v>
      </c>
      <c r="R3504" s="2">
        <v>41232</v>
      </c>
      <c r="S3504" s="2">
        <v>41274</v>
      </c>
      <c r="T3504" s="2">
        <v>41274</v>
      </c>
      <c r="U3504" s="2">
        <v>41364</v>
      </c>
      <c r="V3504" t="s">
        <v>71</v>
      </c>
      <c r="W3504" t="str">
        <f>"                 769"</f>
        <v xml:space="preserve">                 769</v>
      </c>
      <c r="X3504" s="1">
        <v>10587.5</v>
      </c>
      <c r="Y3504">
        <v>0</v>
      </c>
      <c r="Z3504" s="5">
        <v>10587.5</v>
      </c>
      <c r="AA3504">
        <v>1354</v>
      </c>
      <c r="AB3504" s="5">
        <v>14335475</v>
      </c>
      <c r="AC3504" s="1">
        <v>10587.5</v>
      </c>
      <c r="AD3504">
        <v>1354</v>
      </c>
      <c r="AE3504" s="1">
        <v>14335475</v>
      </c>
      <c r="AF3504">
        <v>0</v>
      </c>
      <c r="AJ3504">
        <v>0</v>
      </c>
      <c r="AK3504">
        <v>0</v>
      </c>
      <c r="AL3504">
        <v>0</v>
      </c>
      <c r="AM3504">
        <v>0</v>
      </c>
      <c r="AN3504">
        <v>0</v>
      </c>
      <c r="AO3504">
        <v>0</v>
      </c>
      <c r="AP3504" s="2">
        <v>42746</v>
      </c>
      <c r="AQ3504" t="s">
        <v>72</v>
      </c>
      <c r="AR3504" t="s">
        <v>72</v>
      </c>
      <c r="AS3504">
        <v>3444</v>
      </c>
      <c r="AT3504" s="4">
        <v>42718</v>
      </c>
      <c r="AU3504" t="s">
        <v>73</v>
      </c>
      <c r="AV3504">
        <v>3444</v>
      </c>
      <c r="AW3504" s="4">
        <v>42718</v>
      </c>
      <c r="BD3504">
        <v>0</v>
      </c>
      <c r="BN3504" t="s">
        <v>74</v>
      </c>
    </row>
    <row r="3505" spans="1:66">
      <c r="A3505">
        <v>101253</v>
      </c>
      <c r="B3505" s="3" t="s">
        <v>393</v>
      </c>
      <c r="C3505" s="1">
        <v>43300101</v>
      </c>
      <c r="D3505" t="s">
        <v>67</v>
      </c>
      <c r="H3505" t="str">
        <f>"00551370372"</f>
        <v>00551370372</v>
      </c>
      <c r="I3505" t="str">
        <f>"00551370372"</f>
        <v>00551370372</v>
      </c>
      <c r="K3505" t="str">
        <f>""</f>
        <v/>
      </c>
      <c r="M3505" t="s">
        <v>68</v>
      </c>
      <c r="N3505" t="str">
        <f t="shared" si="358"/>
        <v>FOR</v>
      </c>
      <c r="O3505" t="s">
        <v>69</v>
      </c>
      <c r="P3505" s="3" t="s">
        <v>78</v>
      </c>
      <c r="Q3505">
        <v>2012</v>
      </c>
      <c r="R3505" s="2">
        <v>41267</v>
      </c>
      <c r="S3505" s="2">
        <v>41302</v>
      </c>
      <c r="T3505" s="2">
        <v>41302</v>
      </c>
      <c r="U3505" s="2">
        <v>41392</v>
      </c>
      <c r="V3505" t="s">
        <v>71</v>
      </c>
      <c r="W3505" t="str">
        <f>"                 864"</f>
        <v xml:space="preserve">                 864</v>
      </c>
      <c r="X3505" s="1">
        <v>13915</v>
      </c>
      <c r="Y3505">
        <v>0</v>
      </c>
      <c r="Z3505" s="5">
        <v>13915</v>
      </c>
      <c r="AA3505">
        <v>1326</v>
      </c>
      <c r="AB3505" s="5">
        <v>18451290</v>
      </c>
      <c r="AC3505" s="1">
        <v>13915</v>
      </c>
      <c r="AD3505">
        <v>1326</v>
      </c>
      <c r="AE3505" s="1">
        <v>18451290</v>
      </c>
      <c r="AF3505">
        <v>0</v>
      </c>
      <c r="AJ3505">
        <v>0</v>
      </c>
      <c r="AK3505">
        <v>0</v>
      </c>
      <c r="AL3505">
        <v>0</v>
      </c>
      <c r="AM3505">
        <v>0</v>
      </c>
      <c r="AN3505">
        <v>0</v>
      </c>
      <c r="AO3505">
        <v>0</v>
      </c>
      <c r="AP3505" s="2">
        <v>42746</v>
      </c>
      <c r="AQ3505" t="s">
        <v>72</v>
      </c>
      <c r="AR3505" t="s">
        <v>72</v>
      </c>
      <c r="AS3505">
        <v>3444</v>
      </c>
      <c r="AT3505" s="4">
        <v>42718</v>
      </c>
      <c r="AU3505" t="s">
        <v>73</v>
      </c>
      <c r="AV3505">
        <v>3444</v>
      </c>
      <c r="AW3505" s="4">
        <v>42718</v>
      </c>
      <c r="BD3505">
        <v>0</v>
      </c>
      <c r="BN3505" t="s">
        <v>74</v>
      </c>
    </row>
    <row r="3506" spans="1:66" hidden="1">
      <c r="A3506">
        <v>101259</v>
      </c>
      <c r="B3506" s="3" t="s">
        <v>394</v>
      </c>
      <c r="C3506" s="1">
        <v>43500101</v>
      </c>
      <c r="D3506" t="s">
        <v>113</v>
      </c>
      <c r="H3506" t="str">
        <f t="shared" ref="H3506:I3517" si="359">"01340740156"</f>
        <v>01340740156</v>
      </c>
      <c r="I3506" t="str">
        <f t="shared" si="359"/>
        <v>01340740156</v>
      </c>
      <c r="K3506" t="str">
        <f>""</f>
        <v/>
      </c>
      <c r="M3506" t="s">
        <v>68</v>
      </c>
      <c r="N3506" t="str">
        <f t="shared" ref="N3506:N3517" si="360">"ALTFIN"</f>
        <v>ALTFIN</v>
      </c>
      <c r="O3506" t="s">
        <v>123</v>
      </c>
      <c r="P3506" s="3" t="s">
        <v>84</v>
      </c>
      <c r="Q3506">
        <v>2016</v>
      </c>
      <c r="R3506" s="2">
        <v>42389</v>
      </c>
      <c r="S3506" s="2">
        <v>42390</v>
      </c>
      <c r="T3506" s="2">
        <v>42390</v>
      </c>
      <c r="U3506" s="2">
        <v>42450</v>
      </c>
      <c r="V3506" t="s">
        <v>71</v>
      </c>
      <c r="W3506" t="str">
        <f>"                0120"</f>
        <v xml:space="preserve">                0120</v>
      </c>
      <c r="X3506">
        <v>0</v>
      </c>
      <c r="Y3506">
        <v>878.46</v>
      </c>
      <c r="Z3506"/>
      <c r="AB3506"/>
      <c r="AC3506">
        <v>878.46</v>
      </c>
      <c r="AD3506">
        <v>-60</v>
      </c>
      <c r="AE3506" s="1">
        <v>-52707.6</v>
      </c>
      <c r="AF3506">
        <v>0</v>
      </c>
      <c r="AJ3506">
        <v>0</v>
      </c>
      <c r="AK3506">
        <v>0</v>
      </c>
      <c r="AL3506">
        <v>0</v>
      </c>
      <c r="AM3506">
        <v>878.46</v>
      </c>
      <c r="AN3506">
        <v>878.46</v>
      </c>
      <c r="AO3506">
        <v>878.46</v>
      </c>
      <c r="AP3506" s="2">
        <v>42746</v>
      </c>
      <c r="AQ3506" t="s">
        <v>72</v>
      </c>
      <c r="AR3506" t="s">
        <v>72</v>
      </c>
      <c r="AS3506">
        <v>47</v>
      </c>
      <c r="AT3506" s="4">
        <v>42390</v>
      </c>
      <c r="AV3506">
        <v>47</v>
      </c>
      <c r="AW3506" s="4">
        <v>42390</v>
      </c>
      <c r="BD3506">
        <v>0</v>
      </c>
      <c r="BN3506" t="s">
        <v>74</v>
      </c>
    </row>
    <row r="3507" spans="1:66" hidden="1">
      <c r="A3507">
        <v>101259</v>
      </c>
      <c r="B3507" s="3" t="s">
        <v>394</v>
      </c>
      <c r="C3507" s="1">
        <v>43500101</v>
      </c>
      <c r="D3507" t="s">
        <v>113</v>
      </c>
      <c r="H3507" t="str">
        <f t="shared" si="359"/>
        <v>01340740156</v>
      </c>
      <c r="I3507" t="str">
        <f t="shared" si="359"/>
        <v>01340740156</v>
      </c>
      <c r="K3507" t="str">
        <f>""</f>
        <v/>
      </c>
      <c r="M3507" t="s">
        <v>68</v>
      </c>
      <c r="N3507" t="str">
        <f t="shared" si="360"/>
        <v>ALTFIN</v>
      </c>
      <c r="O3507" t="s">
        <v>123</v>
      </c>
      <c r="P3507" s="3" t="s">
        <v>85</v>
      </c>
      <c r="Q3507">
        <v>2016</v>
      </c>
      <c r="R3507" s="2">
        <v>42422</v>
      </c>
      <c r="S3507" s="2">
        <v>42422</v>
      </c>
      <c r="T3507" s="2">
        <v>42422</v>
      </c>
      <c r="U3507" s="2">
        <v>42482</v>
      </c>
      <c r="V3507" t="s">
        <v>71</v>
      </c>
      <c r="W3507" t="str">
        <f>"                0222"</f>
        <v xml:space="preserve">                0222</v>
      </c>
      <c r="X3507">
        <v>0</v>
      </c>
      <c r="Y3507">
        <v>878.46</v>
      </c>
      <c r="Z3507"/>
      <c r="AB3507"/>
      <c r="AC3507">
        <v>878.46</v>
      </c>
      <c r="AD3507">
        <v>-58</v>
      </c>
      <c r="AE3507" s="1">
        <v>-50950.68</v>
      </c>
      <c r="AF3507">
        <v>0</v>
      </c>
      <c r="AJ3507">
        <v>0</v>
      </c>
      <c r="AK3507">
        <v>0</v>
      </c>
      <c r="AL3507">
        <v>0</v>
      </c>
      <c r="AM3507">
        <v>878.46</v>
      </c>
      <c r="AN3507">
        <v>878.46</v>
      </c>
      <c r="AO3507">
        <v>878.46</v>
      </c>
      <c r="AP3507" s="2">
        <v>42746</v>
      </c>
      <c r="AQ3507" t="s">
        <v>72</v>
      </c>
      <c r="AR3507" t="s">
        <v>72</v>
      </c>
      <c r="AS3507">
        <v>491</v>
      </c>
      <c r="AT3507" s="4">
        <v>42424</v>
      </c>
      <c r="AV3507">
        <v>491</v>
      </c>
      <c r="AW3507" s="4">
        <v>42424</v>
      </c>
      <c r="BD3507">
        <v>0</v>
      </c>
      <c r="BN3507" t="s">
        <v>74</v>
      </c>
    </row>
    <row r="3508" spans="1:66" hidden="1">
      <c r="A3508">
        <v>101259</v>
      </c>
      <c r="B3508" s="3" t="s">
        <v>394</v>
      </c>
      <c r="C3508" s="1">
        <v>43500101</v>
      </c>
      <c r="D3508" t="s">
        <v>113</v>
      </c>
      <c r="H3508" t="str">
        <f t="shared" si="359"/>
        <v>01340740156</v>
      </c>
      <c r="I3508" t="str">
        <f t="shared" si="359"/>
        <v>01340740156</v>
      </c>
      <c r="K3508" t="str">
        <f>""</f>
        <v/>
      </c>
      <c r="M3508" t="s">
        <v>68</v>
      </c>
      <c r="N3508" t="str">
        <f t="shared" si="360"/>
        <v>ALTFIN</v>
      </c>
      <c r="O3508" t="s">
        <v>123</v>
      </c>
      <c r="P3508" s="3" t="s">
        <v>86</v>
      </c>
      <c r="Q3508">
        <v>2016</v>
      </c>
      <c r="R3508" s="2">
        <v>42450</v>
      </c>
      <c r="S3508" s="2">
        <v>42450</v>
      </c>
      <c r="T3508" s="2">
        <v>42450</v>
      </c>
      <c r="U3508" s="2">
        <v>42510</v>
      </c>
      <c r="V3508" t="s">
        <v>71</v>
      </c>
      <c r="W3508" t="str">
        <f>"                0321"</f>
        <v xml:space="preserve">                0321</v>
      </c>
      <c r="X3508">
        <v>0</v>
      </c>
      <c r="Y3508">
        <v>878.46</v>
      </c>
      <c r="Z3508"/>
      <c r="AB3508"/>
      <c r="AC3508">
        <v>878.46</v>
      </c>
      <c r="AD3508">
        <v>-57</v>
      </c>
      <c r="AE3508" s="1">
        <v>-50072.22</v>
      </c>
      <c r="AF3508">
        <v>0</v>
      </c>
      <c r="AJ3508">
        <v>0</v>
      </c>
      <c r="AK3508">
        <v>0</v>
      </c>
      <c r="AL3508">
        <v>0</v>
      </c>
      <c r="AM3508">
        <v>878.46</v>
      </c>
      <c r="AN3508">
        <v>878.46</v>
      </c>
      <c r="AO3508">
        <v>878.46</v>
      </c>
      <c r="AP3508" s="2">
        <v>42746</v>
      </c>
      <c r="AQ3508" t="s">
        <v>72</v>
      </c>
      <c r="AR3508" t="s">
        <v>72</v>
      </c>
      <c r="AS3508">
        <v>913</v>
      </c>
      <c r="AT3508" s="4">
        <v>42453</v>
      </c>
      <c r="AV3508">
        <v>913</v>
      </c>
      <c r="AW3508" s="4">
        <v>42453</v>
      </c>
      <c r="BD3508">
        <v>0</v>
      </c>
      <c r="BN3508" t="s">
        <v>74</v>
      </c>
    </row>
    <row r="3509" spans="1:66" hidden="1">
      <c r="A3509">
        <v>101259</v>
      </c>
      <c r="B3509" s="3" t="s">
        <v>394</v>
      </c>
      <c r="C3509" s="1">
        <v>43500101</v>
      </c>
      <c r="D3509" t="s">
        <v>113</v>
      </c>
      <c r="H3509" t="str">
        <f t="shared" si="359"/>
        <v>01340740156</v>
      </c>
      <c r="I3509" t="str">
        <f t="shared" si="359"/>
        <v>01340740156</v>
      </c>
      <c r="K3509" t="str">
        <f>""</f>
        <v/>
      </c>
      <c r="M3509" t="s">
        <v>68</v>
      </c>
      <c r="N3509" t="str">
        <f t="shared" si="360"/>
        <v>ALTFIN</v>
      </c>
      <c r="O3509" t="s">
        <v>123</v>
      </c>
      <c r="P3509" s="3" t="s">
        <v>87</v>
      </c>
      <c r="Q3509">
        <v>2016</v>
      </c>
      <c r="R3509" s="2">
        <v>42481</v>
      </c>
      <c r="S3509" s="2">
        <v>42481</v>
      </c>
      <c r="T3509" s="2">
        <v>42481</v>
      </c>
      <c r="U3509" s="2">
        <v>42541</v>
      </c>
      <c r="V3509" t="s">
        <v>71</v>
      </c>
      <c r="W3509" t="str">
        <f>"                0421"</f>
        <v xml:space="preserve">                0421</v>
      </c>
      <c r="X3509">
        <v>0</v>
      </c>
      <c r="Y3509">
        <v>350</v>
      </c>
      <c r="Z3509"/>
      <c r="AB3509"/>
      <c r="AC3509">
        <v>350</v>
      </c>
      <c r="AD3509">
        <v>-60</v>
      </c>
      <c r="AE3509" s="1">
        <v>-21000</v>
      </c>
      <c r="AF3509">
        <v>0</v>
      </c>
      <c r="AJ3509">
        <v>0</v>
      </c>
      <c r="AK3509">
        <v>0</v>
      </c>
      <c r="AL3509">
        <v>0</v>
      </c>
      <c r="AM3509">
        <v>350</v>
      </c>
      <c r="AN3509">
        <v>350</v>
      </c>
      <c r="AO3509">
        <v>350</v>
      </c>
      <c r="AP3509" s="2">
        <v>42746</v>
      </c>
      <c r="AQ3509" t="s">
        <v>72</v>
      </c>
      <c r="AR3509" t="s">
        <v>72</v>
      </c>
      <c r="AS3509">
        <v>1079</v>
      </c>
      <c r="AT3509" s="4">
        <v>42481</v>
      </c>
      <c r="AV3509">
        <v>1079</v>
      </c>
      <c r="AW3509" s="4">
        <v>42481</v>
      </c>
      <c r="BD3509">
        <v>0</v>
      </c>
      <c r="BN3509" t="s">
        <v>74</v>
      </c>
    </row>
    <row r="3510" spans="1:66" hidden="1">
      <c r="A3510">
        <v>101259</v>
      </c>
      <c r="B3510" s="3" t="s">
        <v>394</v>
      </c>
      <c r="C3510" s="1">
        <v>43500101</v>
      </c>
      <c r="D3510" t="s">
        <v>113</v>
      </c>
      <c r="H3510" t="str">
        <f t="shared" si="359"/>
        <v>01340740156</v>
      </c>
      <c r="I3510" t="str">
        <f t="shared" si="359"/>
        <v>01340740156</v>
      </c>
      <c r="K3510" t="str">
        <f>""</f>
        <v/>
      </c>
      <c r="M3510" t="s">
        <v>68</v>
      </c>
      <c r="N3510" t="str">
        <f t="shared" si="360"/>
        <v>ALTFIN</v>
      </c>
      <c r="O3510" t="s">
        <v>123</v>
      </c>
      <c r="P3510" s="3" t="s">
        <v>88</v>
      </c>
      <c r="Q3510">
        <v>2016</v>
      </c>
      <c r="R3510" s="2">
        <v>42508</v>
      </c>
      <c r="S3510" s="2">
        <v>42510</v>
      </c>
      <c r="T3510" s="2">
        <v>42510</v>
      </c>
      <c r="U3510" s="2">
        <v>42570</v>
      </c>
      <c r="V3510" t="s">
        <v>71</v>
      </c>
      <c r="W3510" t="str">
        <f>"                0518"</f>
        <v xml:space="preserve">                0518</v>
      </c>
      <c r="X3510">
        <v>0</v>
      </c>
      <c r="Y3510">
        <v>220</v>
      </c>
      <c r="Z3510"/>
      <c r="AB3510"/>
      <c r="AC3510">
        <v>220</v>
      </c>
      <c r="AD3510">
        <v>-57</v>
      </c>
      <c r="AE3510" s="1">
        <v>-12540</v>
      </c>
      <c r="AF3510">
        <v>0</v>
      </c>
      <c r="AJ3510">
        <v>0</v>
      </c>
      <c r="AK3510">
        <v>0</v>
      </c>
      <c r="AL3510">
        <v>0</v>
      </c>
      <c r="AM3510">
        <v>220</v>
      </c>
      <c r="AN3510">
        <v>220</v>
      </c>
      <c r="AO3510">
        <v>220</v>
      </c>
      <c r="AP3510" s="2">
        <v>42746</v>
      </c>
      <c r="AQ3510" t="s">
        <v>72</v>
      </c>
      <c r="AR3510" t="s">
        <v>72</v>
      </c>
      <c r="AS3510">
        <v>1317</v>
      </c>
      <c r="AT3510" s="4">
        <v>42513</v>
      </c>
      <c r="AV3510">
        <v>1317</v>
      </c>
      <c r="AW3510" s="4">
        <v>42513</v>
      </c>
      <c r="BD3510">
        <v>0</v>
      </c>
      <c r="BN3510" t="s">
        <v>74</v>
      </c>
    </row>
    <row r="3511" spans="1:66" hidden="1">
      <c r="A3511">
        <v>101259</v>
      </c>
      <c r="B3511" s="3" t="s">
        <v>394</v>
      </c>
      <c r="C3511" s="1">
        <v>43500101</v>
      </c>
      <c r="D3511" t="s">
        <v>113</v>
      </c>
      <c r="H3511" t="str">
        <f t="shared" si="359"/>
        <v>01340740156</v>
      </c>
      <c r="I3511" t="str">
        <f t="shared" si="359"/>
        <v>01340740156</v>
      </c>
      <c r="K3511" t="str">
        <f>""</f>
        <v/>
      </c>
      <c r="M3511" t="s">
        <v>68</v>
      </c>
      <c r="N3511" t="str">
        <f t="shared" si="360"/>
        <v>ALTFIN</v>
      </c>
      <c r="O3511" t="s">
        <v>123</v>
      </c>
      <c r="P3511" s="3" t="s">
        <v>89</v>
      </c>
      <c r="Q3511">
        <v>2016</v>
      </c>
      <c r="R3511" s="2">
        <v>42548</v>
      </c>
      <c r="S3511" s="2">
        <v>42543</v>
      </c>
      <c r="T3511" s="2">
        <v>42543</v>
      </c>
      <c r="U3511" s="2">
        <v>42603</v>
      </c>
      <c r="V3511" t="s">
        <v>71</v>
      </c>
      <c r="W3511" t="str">
        <f>"                0627"</f>
        <v xml:space="preserve">                0627</v>
      </c>
      <c r="X3511">
        <v>0</v>
      </c>
      <c r="Y3511">
        <v>220</v>
      </c>
      <c r="Z3511"/>
      <c r="AB3511"/>
      <c r="AC3511">
        <v>220</v>
      </c>
      <c r="AD3511">
        <v>-47</v>
      </c>
      <c r="AE3511" s="1">
        <v>-10340</v>
      </c>
      <c r="AF3511">
        <v>0</v>
      </c>
      <c r="AJ3511">
        <v>0</v>
      </c>
      <c r="AK3511">
        <v>0</v>
      </c>
      <c r="AL3511">
        <v>0</v>
      </c>
      <c r="AM3511">
        <v>220</v>
      </c>
      <c r="AN3511">
        <v>220</v>
      </c>
      <c r="AO3511">
        <v>220</v>
      </c>
      <c r="AP3511" s="2">
        <v>42746</v>
      </c>
      <c r="AQ3511" t="s">
        <v>72</v>
      </c>
      <c r="AR3511" t="s">
        <v>72</v>
      </c>
      <c r="AS3511">
        <v>1700</v>
      </c>
      <c r="AT3511" s="4">
        <v>42556</v>
      </c>
      <c r="AV3511">
        <v>1700</v>
      </c>
      <c r="AW3511" s="4">
        <v>42556</v>
      </c>
      <c r="BD3511">
        <v>0</v>
      </c>
      <c r="BN3511" t="s">
        <v>74</v>
      </c>
    </row>
    <row r="3512" spans="1:66" hidden="1">
      <c r="A3512">
        <v>101259</v>
      </c>
      <c r="B3512" s="3" t="s">
        <v>394</v>
      </c>
      <c r="C3512" s="1">
        <v>43500101</v>
      </c>
      <c r="D3512" t="s">
        <v>113</v>
      </c>
      <c r="H3512" t="str">
        <f t="shared" si="359"/>
        <v>01340740156</v>
      </c>
      <c r="I3512" t="str">
        <f t="shared" si="359"/>
        <v>01340740156</v>
      </c>
      <c r="K3512" t="str">
        <f>""</f>
        <v/>
      </c>
      <c r="M3512" t="s">
        <v>68</v>
      </c>
      <c r="N3512" t="str">
        <f t="shared" si="360"/>
        <v>ALTFIN</v>
      </c>
      <c r="O3512" t="s">
        <v>123</v>
      </c>
      <c r="P3512" s="3" t="s">
        <v>90</v>
      </c>
      <c r="Q3512">
        <v>2016</v>
      </c>
      <c r="R3512" s="2">
        <v>42573</v>
      </c>
      <c r="S3512" s="2">
        <v>42573</v>
      </c>
      <c r="T3512" s="2">
        <v>42573</v>
      </c>
      <c r="U3512" s="2">
        <v>42633</v>
      </c>
      <c r="V3512" t="s">
        <v>71</v>
      </c>
      <c r="W3512" t="str">
        <f>"                0722"</f>
        <v xml:space="preserve">                0722</v>
      </c>
      <c r="X3512">
        <v>0</v>
      </c>
      <c r="Y3512">
        <v>220</v>
      </c>
      <c r="Z3512"/>
      <c r="AB3512"/>
      <c r="AC3512">
        <v>220</v>
      </c>
      <c r="AD3512">
        <v>-48</v>
      </c>
      <c r="AE3512" s="1">
        <v>-10560</v>
      </c>
      <c r="AF3512">
        <v>0</v>
      </c>
      <c r="AJ3512">
        <v>0</v>
      </c>
      <c r="AK3512">
        <v>0</v>
      </c>
      <c r="AL3512">
        <v>0</v>
      </c>
      <c r="AM3512">
        <v>220</v>
      </c>
      <c r="AN3512">
        <v>220</v>
      </c>
      <c r="AO3512">
        <v>220</v>
      </c>
      <c r="AP3512" s="2">
        <v>42746</v>
      </c>
      <c r="AQ3512" t="s">
        <v>72</v>
      </c>
      <c r="AR3512" t="s">
        <v>72</v>
      </c>
      <c r="AS3512">
        <v>2100</v>
      </c>
      <c r="AT3512" s="4">
        <v>42585</v>
      </c>
      <c r="AV3512">
        <v>2100</v>
      </c>
      <c r="AW3512" s="4">
        <v>42585</v>
      </c>
      <c r="BD3512">
        <v>0</v>
      </c>
      <c r="BN3512" t="s">
        <v>74</v>
      </c>
    </row>
    <row r="3513" spans="1:66" hidden="1">
      <c r="A3513">
        <v>101259</v>
      </c>
      <c r="B3513" s="3" t="s">
        <v>394</v>
      </c>
      <c r="C3513" s="1">
        <v>43500101</v>
      </c>
      <c r="D3513" t="s">
        <v>113</v>
      </c>
      <c r="H3513" t="str">
        <f t="shared" si="359"/>
        <v>01340740156</v>
      </c>
      <c r="I3513" t="str">
        <f t="shared" si="359"/>
        <v>01340740156</v>
      </c>
      <c r="K3513" t="str">
        <f>""</f>
        <v/>
      </c>
      <c r="M3513" t="s">
        <v>68</v>
      </c>
      <c r="N3513" t="str">
        <f t="shared" si="360"/>
        <v>ALTFIN</v>
      </c>
      <c r="O3513" t="s">
        <v>123</v>
      </c>
      <c r="P3513" s="3" t="s">
        <v>91</v>
      </c>
      <c r="Q3513">
        <v>2016</v>
      </c>
      <c r="R3513" s="2">
        <v>42592</v>
      </c>
      <c r="S3513" s="2">
        <v>42598</v>
      </c>
      <c r="T3513" s="2">
        <v>42598</v>
      </c>
      <c r="U3513" s="2">
        <v>42658</v>
      </c>
      <c r="V3513" t="s">
        <v>71</v>
      </c>
      <c r="W3513" t="str">
        <f>"                0810"</f>
        <v xml:space="preserve">                0810</v>
      </c>
      <c r="X3513">
        <v>0</v>
      </c>
      <c r="Y3513">
        <v>220</v>
      </c>
      <c r="Z3513"/>
      <c r="AB3513"/>
      <c r="AC3513">
        <v>220</v>
      </c>
      <c r="AD3513">
        <v>-60</v>
      </c>
      <c r="AE3513" s="1">
        <v>-13200</v>
      </c>
      <c r="AF3513">
        <v>0</v>
      </c>
      <c r="AJ3513">
        <v>0</v>
      </c>
      <c r="AK3513">
        <v>0</v>
      </c>
      <c r="AL3513">
        <v>0</v>
      </c>
      <c r="AM3513">
        <v>220</v>
      </c>
      <c r="AN3513">
        <v>220</v>
      </c>
      <c r="AO3513">
        <v>220</v>
      </c>
      <c r="AP3513" s="2">
        <v>42746</v>
      </c>
      <c r="AQ3513" t="s">
        <v>72</v>
      </c>
      <c r="AR3513" t="s">
        <v>72</v>
      </c>
      <c r="AS3513">
        <v>2182</v>
      </c>
      <c r="AT3513" s="4">
        <v>42598</v>
      </c>
      <c r="AV3513">
        <v>2182</v>
      </c>
      <c r="AW3513" s="4">
        <v>42598</v>
      </c>
      <c r="BD3513">
        <v>0</v>
      </c>
      <c r="BN3513" t="s">
        <v>74</v>
      </c>
    </row>
    <row r="3514" spans="1:66" hidden="1">
      <c r="A3514">
        <v>101259</v>
      </c>
      <c r="B3514" s="3" t="s">
        <v>394</v>
      </c>
      <c r="C3514" s="1">
        <v>43500101</v>
      </c>
      <c r="D3514" t="s">
        <v>113</v>
      </c>
      <c r="H3514" t="str">
        <f t="shared" si="359"/>
        <v>01340740156</v>
      </c>
      <c r="I3514" t="str">
        <f t="shared" si="359"/>
        <v>01340740156</v>
      </c>
      <c r="K3514" t="str">
        <f>""</f>
        <v/>
      </c>
      <c r="M3514" t="s">
        <v>68</v>
      </c>
      <c r="N3514" t="str">
        <f t="shared" si="360"/>
        <v>ALTFIN</v>
      </c>
      <c r="O3514" t="s">
        <v>123</v>
      </c>
      <c r="P3514" s="3" t="s">
        <v>92</v>
      </c>
      <c r="Q3514">
        <v>2016</v>
      </c>
      <c r="R3514" s="2">
        <v>42633</v>
      </c>
      <c r="S3514" s="2">
        <v>42634</v>
      </c>
      <c r="T3514" s="2">
        <v>42634</v>
      </c>
      <c r="U3514" s="2">
        <v>42694</v>
      </c>
      <c r="V3514" t="s">
        <v>71</v>
      </c>
      <c r="W3514" t="str">
        <f>"                0920"</f>
        <v xml:space="preserve">                0920</v>
      </c>
      <c r="X3514">
        <v>0</v>
      </c>
      <c r="Y3514">
        <v>220</v>
      </c>
      <c r="Z3514"/>
      <c r="AB3514"/>
      <c r="AC3514">
        <v>220</v>
      </c>
      <c r="AD3514">
        <v>-60</v>
      </c>
      <c r="AE3514" s="1">
        <v>-13200</v>
      </c>
      <c r="AF3514">
        <v>0</v>
      </c>
      <c r="AJ3514">
        <v>0</v>
      </c>
      <c r="AK3514">
        <v>0</v>
      </c>
      <c r="AL3514">
        <v>0</v>
      </c>
      <c r="AM3514">
        <v>220</v>
      </c>
      <c r="AN3514">
        <v>220</v>
      </c>
      <c r="AO3514">
        <v>220</v>
      </c>
      <c r="AP3514" s="2">
        <v>42746</v>
      </c>
      <c r="AQ3514" t="s">
        <v>72</v>
      </c>
      <c r="AR3514" t="s">
        <v>72</v>
      </c>
      <c r="AS3514">
        <v>2456</v>
      </c>
      <c r="AT3514" s="4">
        <v>42634</v>
      </c>
      <c r="AV3514">
        <v>2456</v>
      </c>
      <c r="AW3514" s="4">
        <v>42634</v>
      </c>
      <c r="BD3514">
        <v>0</v>
      </c>
      <c r="BN3514" t="s">
        <v>74</v>
      </c>
    </row>
    <row r="3515" spans="1:66" hidden="1">
      <c r="A3515">
        <v>101259</v>
      </c>
      <c r="B3515" s="3" t="s">
        <v>394</v>
      </c>
      <c r="C3515" s="1">
        <v>43500101</v>
      </c>
      <c r="D3515" t="s">
        <v>113</v>
      </c>
      <c r="H3515" t="str">
        <f t="shared" si="359"/>
        <v>01340740156</v>
      </c>
      <c r="I3515" t="str">
        <f t="shared" si="359"/>
        <v>01340740156</v>
      </c>
      <c r="K3515" t="str">
        <f>""</f>
        <v/>
      </c>
      <c r="M3515" t="s">
        <v>68</v>
      </c>
      <c r="N3515" t="str">
        <f t="shared" si="360"/>
        <v>ALTFIN</v>
      </c>
      <c r="O3515" t="s">
        <v>123</v>
      </c>
      <c r="P3515" s="3" t="s">
        <v>93</v>
      </c>
      <c r="Q3515">
        <v>2016</v>
      </c>
      <c r="R3515" s="2">
        <v>42664</v>
      </c>
      <c r="S3515" s="2">
        <v>42667</v>
      </c>
      <c r="T3515" s="2">
        <v>42667</v>
      </c>
      <c r="U3515" s="2">
        <v>42727</v>
      </c>
      <c r="V3515" t="s">
        <v>71</v>
      </c>
      <c r="W3515" t="str">
        <f>"                1021"</f>
        <v xml:space="preserve">                1021</v>
      </c>
      <c r="X3515">
        <v>0</v>
      </c>
      <c r="Y3515">
        <v>220</v>
      </c>
      <c r="Z3515" s="3">
        <v>220</v>
      </c>
      <c r="AA3515">
        <v>-60</v>
      </c>
      <c r="AB3515" s="5">
        <v>-13200</v>
      </c>
      <c r="AC3515">
        <v>220</v>
      </c>
      <c r="AD3515">
        <v>-60</v>
      </c>
      <c r="AE3515" s="1">
        <v>-13200</v>
      </c>
      <c r="AF3515">
        <v>0</v>
      </c>
      <c r="AJ3515">
        <v>220</v>
      </c>
      <c r="AK3515">
        <v>220</v>
      </c>
      <c r="AL3515">
        <v>220</v>
      </c>
      <c r="AM3515">
        <v>220</v>
      </c>
      <c r="AN3515">
        <v>220</v>
      </c>
      <c r="AO3515">
        <v>220</v>
      </c>
      <c r="AP3515" s="2">
        <v>42746</v>
      </c>
      <c r="AQ3515" t="s">
        <v>72</v>
      </c>
      <c r="AR3515" t="s">
        <v>72</v>
      </c>
      <c r="AS3515">
        <v>2803</v>
      </c>
      <c r="AT3515" s="4">
        <v>42667</v>
      </c>
      <c r="AV3515">
        <v>2803</v>
      </c>
      <c r="AW3515" s="4">
        <v>42667</v>
      </c>
      <c r="BD3515">
        <v>0</v>
      </c>
      <c r="BN3515" t="s">
        <v>74</v>
      </c>
    </row>
    <row r="3516" spans="1:66" hidden="1">
      <c r="A3516">
        <v>101259</v>
      </c>
      <c r="B3516" s="3" t="s">
        <v>394</v>
      </c>
      <c r="C3516" s="1">
        <v>43500101</v>
      </c>
      <c r="D3516" t="s">
        <v>113</v>
      </c>
      <c r="H3516" t="str">
        <f t="shared" si="359"/>
        <v>01340740156</v>
      </c>
      <c r="I3516" t="str">
        <f t="shared" si="359"/>
        <v>01340740156</v>
      </c>
      <c r="K3516" t="str">
        <f>""</f>
        <v/>
      </c>
      <c r="M3516" t="s">
        <v>68</v>
      </c>
      <c r="N3516" t="str">
        <f t="shared" si="360"/>
        <v>ALTFIN</v>
      </c>
      <c r="O3516" t="s">
        <v>123</v>
      </c>
      <c r="P3516" s="3" t="s">
        <v>94</v>
      </c>
      <c r="Q3516">
        <v>2016</v>
      </c>
      <c r="R3516" s="2">
        <v>42696</v>
      </c>
      <c r="S3516" s="2">
        <v>42696</v>
      </c>
      <c r="T3516" s="2">
        <v>42696</v>
      </c>
      <c r="U3516" s="2">
        <v>42756</v>
      </c>
      <c r="V3516" t="s">
        <v>71</v>
      </c>
      <c r="W3516" t="str">
        <f>"                1122"</f>
        <v xml:space="preserve">                1122</v>
      </c>
      <c r="X3516">
        <v>0</v>
      </c>
      <c r="Y3516">
        <v>220</v>
      </c>
      <c r="Z3516" s="3">
        <v>220</v>
      </c>
      <c r="AA3516">
        <v>-59</v>
      </c>
      <c r="AB3516" s="5">
        <v>-12980</v>
      </c>
      <c r="AC3516">
        <v>220</v>
      </c>
      <c r="AD3516">
        <v>-59</v>
      </c>
      <c r="AE3516" s="1">
        <v>-12980</v>
      </c>
      <c r="AF3516">
        <v>0</v>
      </c>
      <c r="AJ3516">
        <v>220</v>
      </c>
      <c r="AK3516">
        <v>220</v>
      </c>
      <c r="AL3516">
        <v>220</v>
      </c>
      <c r="AM3516">
        <v>220</v>
      </c>
      <c r="AN3516">
        <v>220</v>
      </c>
      <c r="AO3516">
        <v>220</v>
      </c>
      <c r="AP3516" s="2">
        <v>42746</v>
      </c>
      <c r="AQ3516" t="s">
        <v>72</v>
      </c>
      <c r="AR3516" t="s">
        <v>72</v>
      </c>
      <c r="AS3516">
        <v>3240</v>
      </c>
      <c r="AT3516" s="4">
        <v>42697</v>
      </c>
      <c r="AV3516">
        <v>3240</v>
      </c>
      <c r="AW3516" s="4">
        <v>42697</v>
      </c>
      <c r="BD3516">
        <v>0</v>
      </c>
      <c r="BN3516" t="s">
        <v>74</v>
      </c>
    </row>
    <row r="3517" spans="1:66" hidden="1">
      <c r="A3517">
        <v>101259</v>
      </c>
      <c r="B3517" s="3" t="s">
        <v>394</v>
      </c>
      <c r="C3517" s="1">
        <v>43500101</v>
      </c>
      <c r="D3517" t="s">
        <v>113</v>
      </c>
      <c r="H3517" t="str">
        <f t="shared" si="359"/>
        <v>01340740156</v>
      </c>
      <c r="I3517" t="str">
        <f t="shared" si="359"/>
        <v>01340740156</v>
      </c>
      <c r="K3517" t="str">
        <f>""</f>
        <v/>
      </c>
      <c r="M3517" t="s">
        <v>68</v>
      </c>
      <c r="N3517" t="str">
        <f t="shared" si="360"/>
        <v>ALTFIN</v>
      </c>
      <c r="O3517" t="s">
        <v>123</v>
      </c>
      <c r="P3517" s="3" t="s">
        <v>95</v>
      </c>
      <c r="Q3517">
        <v>2016</v>
      </c>
      <c r="R3517" s="2">
        <v>42717</v>
      </c>
      <c r="S3517" s="2">
        <v>42717</v>
      </c>
      <c r="T3517" s="2">
        <v>42717</v>
      </c>
      <c r="U3517" s="2">
        <v>42777</v>
      </c>
      <c r="V3517" t="s">
        <v>71</v>
      </c>
      <c r="W3517" t="str">
        <f>"                1213"</f>
        <v xml:space="preserve">                1213</v>
      </c>
      <c r="X3517">
        <v>0</v>
      </c>
      <c r="Y3517">
        <v>220</v>
      </c>
      <c r="Z3517" s="3">
        <v>220</v>
      </c>
      <c r="AA3517">
        <v>-59</v>
      </c>
      <c r="AB3517" s="5">
        <v>-12980</v>
      </c>
      <c r="AC3517">
        <v>220</v>
      </c>
      <c r="AD3517">
        <v>-59</v>
      </c>
      <c r="AE3517" s="1">
        <v>-12980</v>
      </c>
      <c r="AF3517">
        <v>0</v>
      </c>
      <c r="AJ3517">
        <v>220</v>
      </c>
      <c r="AK3517">
        <v>220</v>
      </c>
      <c r="AL3517">
        <v>220</v>
      </c>
      <c r="AM3517">
        <v>220</v>
      </c>
      <c r="AN3517">
        <v>220</v>
      </c>
      <c r="AO3517">
        <v>220</v>
      </c>
      <c r="AP3517" s="2">
        <v>42746</v>
      </c>
      <c r="AQ3517" t="s">
        <v>72</v>
      </c>
      <c r="AR3517" t="s">
        <v>72</v>
      </c>
      <c r="AS3517">
        <v>3399</v>
      </c>
      <c r="AT3517" s="4">
        <v>42718</v>
      </c>
      <c r="AV3517">
        <v>3399</v>
      </c>
      <c r="AW3517" s="4">
        <v>42718</v>
      </c>
      <c r="BD3517">
        <v>0</v>
      </c>
      <c r="BN3517" t="s">
        <v>74</v>
      </c>
    </row>
    <row r="3518" spans="1:66" hidden="1">
      <c r="A3518">
        <v>101264</v>
      </c>
      <c r="B3518" s="3" t="s">
        <v>395</v>
      </c>
      <c r="C3518" s="1">
        <v>43500101</v>
      </c>
      <c r="D3518" t="s">
        <v>113</v>
      </c>
      <c r="H3518" t="str">
        <f t="shared" ref="H3518:H3523" si="361">"FMUMRZ80R09L086N"</f>
        <v>FMUMRZ80R09L086N</v>
      </c>
      <c r="I3518" t="str">
        <f t="shared" ref="I3518:I3523" si="362">"01487320622"</f>
        <v>01487320622</v>
      </c>
      <c r="K3518" t="str">
        <f>""</f>
        <v/>
      </c>
      <c r="M3518" t="s">
        <v>68</v>
      </c>
      <c r="N3518" t="str">
        <f t="shared" ref="N3518:N3523" si="363">"ALTPRO"</f>
        <v>ALTPRO</v>
      </c>
      <c r="O3518" t="s">
        <v>132</v>
      </c>
      <c r="P3518" s="3" t="s">
        <v>75</v>
      </c>
      <c r="Q3518">
        <v>2015</v>
      </c>
      <c r="R3518" s="2">
        <v>42360</v>
      </c>
      <c r="S3518" s="2">
        <v>42369</v>
      </c>
      <c r="T3518" s="2">
        <v>42361</v>
      </c>
      <c r="U3518" s="2">
        <v>42421</v>
      </c>
      <c r="V3518" t="s">
        <v>71</v>
      </c>
      <c r="W3518" t="str">
        <f>"                   9"</f>
        <v xml:space="preserve">                   9</v>
      </c>
      <c r="X3518" s="1">
        <v>1502</v>
      </c>
      <c r="Y3518">
        <v>0</v>
      </c>
      <c r="Z3518"/>
      <c r="AB3518"/>
      <c r="AC3518" s="1">
        <v>1502</v>
      </c>
      <c r="AD3518">
        <v>-24</v>
      </c>
      <c r="AE3518" s="1">
        <v>-36048</v>
      </c>
      <c r="AF3518">
        <v>0</v>
      </c>
      <c r="AJ3518">
        <v>0</v>
      </c>
      <c r="AK3518">
        <v>0</v>
      </c>
      <c r="AL3518">
        <v>0</v>
      </c>
      <c r="AM3518">
        <v>0</v>
      </c>
      <c r="AN3518">
        <v>0</v>
      </c>
      <c r="AO3518">
        <v>0</v>
      </c>
      <c r="AP3518" s="2">
        <v>42746</v>
      </c>
      <c r="AQ3518" t="s">
        <v>72</v>
      </c>
      <c r="AR3518" t="s">
        <v>72</v>
      </c>
      <c r="AS3518">
        <v>125</v>
      </c>
      <c r="AT3518" s="4">
        <v>42397</v>
      </c>
      <c r="AV3518">
        <v>125</v>
      </c>
      <c r="AW3518" s="4">
        <v>42397</v>
      </c>
      <c r="BD3518">
        <v>0</v>
      </c>
      <c r="BN3518" t="s">
        <v>74</v>
      </c>
    </row>
    <row r="3519" spans="1:66" hidden="1">
      <c r="A3519">
        <v>101264</v>
      </c>
      <c r="B3519" s="3" t="s">
        <v>395</v>
      </c>
      <c r="C3519" s="1">
        <v>43500101</v>
      </c>
      <c r="D3519" t="s">
        <v>113</v>
      </c>
      <c r="H3519" t="str">
        <f t="shared" si="361"/>
        <v>FMUMRZ80R09L086N</v>
      </c>
      <c r="I3519" t="str">
        <f t="shared" si="362"/>
        <v>01487320622</v>
      </c>
      <c r="K3519" t="str">
        <f>""</f>
        <v/>
      </c>
      <c r="M3519" t="s">
        <v>68</v>
      </c>
      <c r="N3519" t="str">
        <f t="shared" si="363"/>
        <v>ALTPRO</v>
      </c>
      <c r="O3519" t="s">
        <v>132</v>
      </c>
      <c r="P3519" s="3" t="s">
        <v>75</v>
      </c>
      <c r="Q3519">
        <v>2016</v>
      </c>
      <c r="R3519" s="2">
        <v>42417</v>
      </c>
      <c r="S3519" s="2">
        <v>42419</v>
      </c>
      <c r="T3519" s="2">
        <v>42417</v>
      </c>
      <c r="U3519" s="2">
        <v>42477</v>
      </c>
      <c r="V3519" t="s">
        <v>71</v>
      </c>
      <c r="W3519" t="str">
        <f>"                   1"</f>
        <v xml:space="preserve">                   1</v>
      </c>
      <c r="X3519" s="1">
        <v>1666.66</v>
      </c>
      <c r="Y3519">
        <v>0</v>
      </c>
      <c r="Z3519"/>
      <c r="AB3519"/>
      <c r="AC3519" s="1">
        <v>1666.66</v>
      </c>
      <c r="AD3519">
        <v>-51</v>
      </c>
      <c r="AE3519" s="1">
        <v>-84999.66</v>
      </c>
      <c r="AF3519">
        <v>0</v>
      </c>
      <c r="AJ3519">
        <v>0</v>
      </c>
      <c r="AK3519">
        <v>0</v>
      </c>
      <c r="AL3519">
        <v>0</v>
      </c>
      <c r="AM3519" s="1">
        <v>1666.66</v>
      </c>
      <c r="AN3519" s="1">
        <v>1666.66</v>
      </c>
      <c r="AO3519" s="1">
        <v>1666.66</v>
      </c>
      <c r="AP3519" s="2">
        <v>42746</v>
      </c>
      <c r="AQ3519" t="s">
        <v>72</v>
      </c>
      <c r="AR3519" t="s">
        <v>72</v>
      </c>
      <c r="AS3519">
        <v>559</v>
      </c>
      <c r="AT3519" s="4">
        <v>42426</v>
      </c>
      <c r="AV3519">
        <v>559</v>
      </c>
      <c r="AW3519" s="4">
        <v>42426</v>
      </c>
      <c r="BD3519">
        <v>0</v>
      </c>
      <c r="BN3519" t="s">
        <v>74</v>
      </c>
    </row>
    <row r="3520" spans="1:66" hidden="1">
      <c r="A3520">
        <v>101264</v>
      </c>
      <c r="B3520" s="3" t="s">
        <v>395</v>
      </c>
      <c r="C3520" s="1">
        <v>43500101</v>
      </c>
      <c r="D3520" t="s">
        <v>113</v>
      </c>
      <c r="H3520" t="str">
        <f t="shared" si="361"/>
        <v>FMUMRZ80R09L086N</v>
      </c>
      <c r="I3520" t="str">
        <f t="shared" si="362"/>
        <v>01487320622</v>
      </c>
      <c r="K3520" t="str">
        <f>""</f>
        <v/>
      </c>
      <c r="M3520" t="s">
        <v>68</v>
      </c>
      <c r="N3520" t="str">
        <f t="shared" si="363"/>
        <v>ALTPRO</v>
      </c>
      <c r="O3520" t="s">
        <v>132</v>
      </c>
      <c r="P3520" s="3" t="s">
        <v>75</v>
      </c>
      <c r="Q3520">
        <v>2016</v>
      </c>
      <c r="R3520" s="2">
        <v>42422</v>
      </c>
      <c r="S3520" s="2">
        <v>42426</v>
      </c>
      <c r="T3520" s="2">
        <v>42424</v>
      </c>
      <c r="U3520" s="2">
        <v>42484</v>
      </c>
      <c r="V3520" t="s">
        <v>71</v>
      </c>
      <c r="W3520" t="str">
        <f>"         FATTPA 1_16"</f>
        <v xml:space="preserve">         FATTPA 1_16</v>
      </c>
      <c r="X3520">
        <v>838.91</v>
      </c>
      <c r="Y3520">
        <v>0</v>
      </c>
      <c r="Z3520"/>
      <c r="AB3520"/>
      <c r="AC3520">
        <v>838.91</v>
      </c>
      <c r="AD3520">
        <v>-33</v>
      </c>
      <c r="AE3520" s="1">
        <v>-27684.03</v>
      </c>
      <c r="AF3520">
        <v>0</v>
      </c>
      <c r="AJ3520">
        <v>0</v>
      </c>
      <c r="AK3520">
        <v>0</v>
      </c>
      <c r="AL3520">
        <v>0</v>
      </c>
      <c r="AM3520">
        <v>838.91</v>
      </c>
      <c r="AN3520">
        <v>838.91</v>
      </c>
      <c r="AO3520">
        <v>838.91</v>
      </c>
      <c r="AP3520" s="2">
        <v>42746</v>
      </c>
      <c r="AQ3520" t="s">
        <v>72</v>
      </c>
      <c r="AR3520" t="s">
        <v>72</v>
      </c>
      <c r="AS3520">
        <v>732</v>
      </c>
      <c r="AT3520" s="4">
        <v>42451</v>
      </c>
      <c r="AV3520">
        <v>732</v>
      </c>
      <c r="AW3520" s="4">
        <v>42451</v>
      </c>
      <c r="BD3520">
        <v>0</v>
      </c>
      <c r="BN3520" t="s">
        <v>74</v>
      </c>
    </row>
    <row r="3521" spans="1:66" hidden="1">
      <c r="A3521">
        <v>101264</v>
      </c>
      <c r="B3521" s="3" t="s">
        <v>395</v>
      </c>
      <c r="C3521" s="1">
        <v>43500101</v>
      </c>
      <c r="D3521" t="s">
        <v>113</v>
      </c>
      <c r="H3521" t="str">
        <f t="shared" si="361"/>
        <v>FMUMRZ80R09L086N</v>
      </c>
      <c r="I3521" t="str">
        <f t="shared" si="362"/>
        <v>01487320622</v>
      </c>
      <c r="K3521" t="str">
        <f>""</f>
        <v/>
      </c>
      <c r="M3521" t="s">
        <v>68</v>
      </c>
      <c r="N3521" t="str">
        <f t="shared" si="363"/>
        <v>ALTPRO</v>
      </c>
      <c r="O3521" t="s">
        <v>132</v>
      </c>
      <c r="P3521" s="3" t="s">
        <v>75</v>
      </c>
      <c r="Q3521">
        <v>2016</v>
      </c>
      <c r="R3521" s="2">
        <v>42552</v>
      </c>
      <c r="S3521" s="2">
        <v>42555</v>
      </c>
      <c r="T3521" s="2">
        <v>42552</v>
      </c>
      <c r="U3521" s="2">
        <v>42612</v>
      </c>
      <c r="V3521" t="s">
        <v>71</v>
      </c>
      <c r="W3521" t="str">
        <f>"         FATTPA 2_16"</f>
        <v xml:space="preserve">         FATTPA 2_16</v>
      </c>
      <c r="X3521" s="1">
        <v>2166.66</v>
      </c>
      <c r="Y3521">
        <v>0</v>
      </c>
      <c r="Z3521"/>
      <c r="AB3521"/>
      <c r="AC3521" s="1">
        <v>2166.66</v>
      </c>
      <c r="AD3521">
        <v>-46</v>
      </c>
      <c r="AE3521" s="1">
        <v>-99666.36</v>
      </c>
      <c r="AF3521">
        <v>0</v>
      </c>
      <c r="AJ3521">
        <v>0</v>
      </c>
      <c r="AK3521">
        <v>0</v>
      </c>
      <c r="AL3521">
        <v>0</v>
      </c>
      <c r="AM3521" s="1">
        <v>2166.66</v>
      </c>
      <c r="AN3521" s="1">
        <v>2166.66</v>
      </c>
      <c r="AO3521" s="1">
        <v>2166.66</v>
      </c>
      <c r="AP3521" s="2">
        <v>42746</v>
      </c>
      <c r="AQ3521" t="s">
        <v>72</v>
      </c>
      <c r="AR3521" t="s">
        <v>72</v>
      </c>
      <c r="AS3521">
        <v>1807</v>
      </c>
      <c r="AT3521" s="4">
        <v>42566</v>
      </c>
      <c r="AV3521">
        <v>1807</v>
      </c>
      <c r="AW3521" s="4">
        <v>42566</v>
      </c>
      <c r="BD3521">
        <v>0</v>
      </c>
      <c r="BN3521" t="s">
        <v>74</v>
      </c>
    </row>
    <row r="3522" spans="1:66">
      <c r="A3522">
        <v>101264</v>
      </c>
      <c r="B3522" s="3" t="s">
        <v>395</v>
      </c>
      <c r="C3522" s="1">
        <v>43500101</v>
      </c>
      <c r="D3522" t="s">
        <v>113</v>
      </c>
      <c r="H3522" t="str">
        <f t="shared" si="361"/>
        <v>FMUMRZ80R09L086N</v>
      </c>
      <c r="I3522" t="str">
        <f t="shared" si="362"/>
        <v>01487320622</v>
      </c>
      <c r="K3522" t="str">
        <f>""</f>
        <v/>
      </c>
      <c r="M3522" t="s">
        <v>68</v>
      </c>
      <c r="N3522" t="str">
        <f t="shared" si="363"/>
        <v>ALTPRO</v>
      </c>
      <c r="O3522" t="s">
        <v>132</v>
      </c>
      <c r="P3522" s="3" t="s">
        <v>75</v>
      </c>
      <c r="Q3522">
        <v>2016</v>
      </c>
      <c r="R3522" s="2">
        <v>42614</v>
      </c>
      <c r="S3522" s="2">
        <v>42618</v>
      </c>
      <c r="T3522" s="2">
        <v>42614</v>
      </c>
      <c r="U3522" s="2">
        <v>42674</v>
      </c>
      <c r="V3522" t="s">
        <v>71</v>
      </c>
      <c r="W3522" t="str">
        <f>"         FATTPA 3_16"</f>
        <v xml:space="preserve">         FATTPA 3_16</v>
      </c>
      <c r="X3522" s="1">
        <v>2166.66</v>
      </c>
      <c r="Y3522">
        <v>0</v>
      </c>
      <c r="Z3522" s="5">
        <v>2166.66</v>
      </c>
      <c r="AA3522">
        <v>-28</v>
      </c>
      <c r="AB3522" s="5">
        <v>-60666.48</v>
      </c>
      <c r="AC3522" s="1">
        <v>2166.66</v>
      </c>
      <c r="AD3522">
        <v>-28</v>
      </c>
      <c r="AE3522" s="1">
        <v>-60666.48</v>
      </c>
      <c r="AF3522">
        <v>0</v>
      </c>
      <c r="AJ3522">
        <v>0</v>
      </c>
      <c r="AK3522">
        <v>0</v>
      </c>
      <c r="AL3522">
        <v>0</v>
      </c>
      <c r="AM3522" s="1">
        <v>2166.66</v>
      </c>
      <c r="AN3522" s="1">
        <v>2166.66</v>
      </c>
      <c r="AO3522" s="1">
        <v>2166.66</v>
      </c>
      <c r="AP3522" s="2">
        <v>42746</v>
      </c>
      <c r="AQ3522" t="s">
        <v>72</v>
      </c>
      <c r="AR3522" t="s">
        <v>72</v>
      </c>
      <c r="AS3522">
        <v>2544</v>
      </c>
      <c r="AT3522" s="4">
        <v>42646</v>
      </c>
      <c r="AV3522">
        <v>2544</v>
      </c>
      <c r="AW3522" s="4">
        <v>42646</v>
      </c>
      <c r="BD3522">
        <v>0</v>
      </c>
      <c r="BN3522" t="s">
        <v>74</v>
      </c>
    </row>
    <row r="3523" spans="1:66">
      <c r="A3523">
        <v>101264</v>
      </c>
      <c r="B3523" s="3" t="s">
        <v>395</v>
      </c>
      <c r="C3523" s="1">
        <v>43500101</v>
      </c>
      <c r="D3523" t="s">
        <v>113</v>
      </c>
      <c r="H3523" t="str">
        <f t="shared" si="361"/>
        <v>FMUMRZ80R09L086N</v>
      </c>
      <c r="I3523" t="str">
        <f t="shared" si="362"/>
        <v>01487320622</v>
      </c>
      <c r="K3523" t="str">
        <f>""</f>
        <v/>
      </c>
      <c r="M3523" t="s">
        <v>68</v>
      </c>
      <c r="N3523" t="str">
        <f t="shared" si="363"/>
        <v>ALTPRO</v>
      </c>
      <c r="O3523" t="s">
        <v>132</v>
      </c>
      <c r="P3523" s="3" t="s">
        <v>75</v>
      </c>
      <c r="Q3523">
        <v>2016</v>
      </c>
      <c r="R3523" s="2">
        <v>42676</v>
      </c>
      <c r="S3523" s="2">
        <v>42681</v>
      </c>
      <c r="T3523" s="2">
        <v>42678</v>
      </c>
      <c r="U3523" s="2">
        <v>42738</v>
      </c>
      <c r="V3523" t="s">
        <v>71</v>
      </c>
      <c r="W3523" t="str">
        <f>"         FATTPA 6_16"</f>
        <v xml:space="preserve">         FATTPA 6_16</v>
      </c>
      <c r="X3523" s="1">
        <v>2166.66</v>
      </c>
      <c r="Y3523">
        <v>0</v>
      </c>
      <c r="Z3523" s="5">
        <v>2166.66</v>
      </c>
      <c r="AA3523">
        <v>-49</v>
      </c>
      <c r="AB3523" s="5">
        <v>-106166.34</v>
      </c>
      <c r="AC3523" s="1">
        <v>2166.66</v>
      </c>
      <c r="AD3523">
        <v>-49</v>
      </c>
      <c r="AE3523" s="1">
        <v>-106166.34</v>
      </c>
      <c r="AF3523">
        <v>0</v>
      </c>
      <c r="AJ3523">
        <v>0</v>
      </c>
      <c r="AK3523" s="1">
        <v>2166.66</v>
      </c>
      <c r="AL3523" s="1">
        <v>2166.66</v>
      </c>
      <c r="AM3523" s="1">
        <v>2166.66</v>
      </c>
      <c r="AN3523" s="1">
        <v>2166.66</v>
      </c>
      <c r="AO3523" s="1">
        <v>2166.66</v>
      </c>
      <c r="AP3523" s="2">
        <v>42746</v>
      </c>
      <c r="AQ3523" t="s">
        <v>72</v>
      </c>
      <c r="AR3523" t="s">
        <v>72</v>
      </c>
      <c r="AS3523">
        <v>3091</v>
      </c>
      <c r="AT3523" s="4">
        <v>42689</v>
      </c>
      <c r="AV3523">
        <v>3091</v>
      </c>
      <c r="AW3523" s="4">
        <v>42689</v>
      </c>
      <c r="BD3523">
        <v>0</v>
      </c>
      <c r="BN3523" t="s">
        <v>74</v>
      </c>
    </row>
    <row r="3524" spans="1:66" hidden="1">
      <c r="A3524">
        <v>101273</v>
      </c>
      <c r="B3524" s="3" t="s">
        <v>396</v>
      </c>
      <c r="C3524" s="1">
        <v>43300101</v>
      </c>
      <c r="D3524" t="s">
        <v>67</v>
      </c>
      <c r="H3524" t="str">
        <f t="shared" ref="H3524:I3535" si="364">"04927040636"</f>
        <v>04927040636</v>
      </c>
      <c r="I3524" t="str">
        <f t="shared" si="364"/>
        <v>04927040636</v>
      </c>
      <c r="K3524" t="str">
        <f>""</f>
        <v/>
      </c>
      <c r="M3524" t="s">
        <v>68</v>
      </c>
      <c r="N3524" t="str">
        <f t="shared" ref="N3524:N3568" si="365">"FOR"</f>
        <v>FOR</v>
      </c>
      <c r="O3524" t="s">
        <v>69</v>
      </c>
      <c r="P3524" s="3" t="s">
        <v>70</v>
      </c>
      <c r="Q3524">
        <v>2015</v>
      </c>
      <c r="R3524" s="2">
        <v>42063</v>
      </c>
      <c r="S3524" s="2">
        <v>42087</v>
      </c>
      <c r="T3524" s="2">
        <v>42087</v>
      </c>
      <c r="U3524" s="2">
        <v>42147</v>
      </c>
      <c r="V3524" t="s">
        <v>71</v>
      </c>
      <c r="W3524" t="str">
        <f>"                  33"</f>
        <v xml:space="preserve">                  33</v>
      </c>
      <c r="X3524" s="1">
        <v>8277.7000000000007</v>
      </c>
      <c r="Y3524">
        <v>0</v>
      </c>
      <c r="Z3524"/>
      <c r="AB3524"/>
      <c r="AC3524" s="1">
        <v>6785</v>
      </c>
      <c r="AD3524">
        <v>317</v>
      </c>
      <c r="AE3524" s="1">
        <v>2150845</v>
      </c>
      <c r="AF3524">
        <v>0</v>
      </c>
      <c r="AJ3524">
        <v>0</v>
      </c>
      <c r="AK3524">
        <v>0</v>
      </c>
      <c r="AL3524">
        <v>0</v>
      </c>
      <c r="AM3524">
        <v>0</v>
      </c>
      <c r="AN3524">
        <v>0</v>
      </c>
      <c r="AO3524">
        <v>0</v>
      </c>
      <c r="AP3524" s="2">
        <v>42746</v>
      </c>
      <c r="AQ3524" t="s">
        <v>72</v>
      </c>
      <c r="AR3524" t="s">
        <v>72</v>
      </c>
      <c r="AS3524">
        <v>992</v>
      </c>
      <c r="AT3524" s="4">
        <v>42464</v>
      </c>
      <c r="AU3524" t="s">
        <v>73</v>
      </c>
      <c r="AV3524">
        <v>992</v>
      </c>
      <c r="AW3524" s="4">
        <v>42464</v>
      </c>
      <c r="BD3524">
        <v>0</v>
      </c>
      <c r="BN3524" t="s">
        <v>74</v>
      </c>
    </row>
    <row r="3525" spans="1:66" hidden="1">
      <c r="A3525">
        <v>101273</v>
      </c>
      <c r="B3525" s="3" t="s">
        <v>396</v>
      </c>
      <c r="C3525" s="1">
        <v>43300101</v>
      </c>
      <c r="D3525" t="s">
        <v>67</v>
      </c>
      <c r="H3525" t="str">
        <f t="shared" si="364"/>
        <v>04927040636</v>
      </c>
      <c r="I3525" t="str">
        <f t="shared" si="364"/>
        <v>04927040636</v>
      </c>
      <c r="K3525" t="str">
        <f>""</f>
        <v/>
      </c>
      <c r="M3525" t="s">
        <v>68</v>
      </c>
      <c r="N3525" t="str">
        <f t="shared" si="365"/>
        <v>FOR</v>
      </c>
      <c r="O3525" t="s">
        <v>69</v>
      </c>
      <c r="P3525" s="3" t="s">
        <v>75</v>
      </c>
      <c r="Q3525">
        <v>2015</v>
      </c>
      <c r="R3525" s="2">
        <v>42124</v>
      </c>
      <c r="S3525" s="2">
        <v>42177</v>
      </c>
      <c r="T3525" s="2">
        <v>42138</v>
      </c>
      <c r="U3525" s="2">
        <v>42198</v>
      </c>
      <c r="V3525" t="s">
        <v>71</v>
      </c>
      <c r="W3525" t="str">
        <f>"                1/PA"</f>
        <v xml:space="preserve">                1/PA</v>
      </c>
      <c r="X3525" s="1">
        <v>8754.7199999999993</v>
      </c>
      <c r="Y3525">
        <v>0</v>
      </c>
      <c r="Z3525"/>
      <c r="AB3525"/>
      <c r="AC3525" s="1">
        <v>7176</v>
      </c>
      <c r="AD3525">
        <v>266</v>
      </c>
      <c r="AE3525" s="1">
        <v>1908816</v>
      </c>
      <c r="AF3525">
        <v>0</v>
      </c>
      <c r="AJ3525">
        <v>0</v>
      </c>
      <c r="AK3525">
        <v>0</v>
      </c>
      <c r="AL3525">
        <v>0</v>
      </c>
      <c r="AM3525">
        <v>0</v>
      </c>
      <c r="AN3525">
        <v>0</v>
      </c>
      <c r="AO3525">
        <v>0</v>
      </c>
      <c r="AP3525" s="2">
        <v>42746</v>
      </c>
      <c r="AQ3525" t="s">
        <v>72</v>
      </c>
      <c r="AR3525" t="s">
        <v>72</v>
      </c>
      <c r="AS3525">
        <v>992</v>
      </c>
      <c r="AT3525" s="4">
        <v>42464</v>
      </c>
      <c r="AU3525" t="s">
        <v>73</v>
      </c>
      <c r="AV3525">
        <v>992</v>
      </c>
      <c r="AW3525" s="4">
        <v>42464</v>
      </c>
      <c r="BD3525">
        <v>0</v>
      </c>
      <c r="BN3525" t="s">
        <v>74</v>
      </c>
    </row>
    <row r="3526" spans="1:66" hidden="1">
      <c r="A3526">
        <v>101273</v>
      </c>
      <c r="B3526" s="3" t="s">
        <v>396</v>
      </c>
      <c r="C3526" s="1">
        <v>43300101</v>
      </c>
      <c r="D3526" t="s">
        <v>67</v>
      </c>
      <c r="H3526" t="str">
        <f t="shared" si="364"/>
        <v>04927040636</v>
      </c>
      <c r="I3526" t="str">
        <f t="shared" si="364"/>
        <v>04927040636</v>
      </c>
      <c r="K3526" t="str">
        <f>""</f>
        <v/>
      </c>
      <c r="M3526" t="s">
        <v>68</v>
      </c>
      <c r="N3526" t="str">
        <f t="shared" si="365"/>
        <v>FOR</v>
      </c>
      <c r="O3526" t="s">
        <v>69</v>
      </c>
      <c r="P3526" s="3" t="s">
        <v>75</v>
      </c>
      <c r="Q3526">
        <v>2015</v>
      </c>
      <c r="R3526" s="2">
        <v>42124</v>
      </c>
      <c r="S3526" s="2">
        <v>42174</v>
      </c>
      <c r="T3526" s="2">
        <v>42138</v>
      </c>
      <c r="U3526" s="2">
        <v>42198</v>
      </c>
      <c r="V3526" t="s">
        <v>71</v>
      </c>
      <c r="W3526" t="str">
        <f>"                2/PA"</f>
        <v xml:space="preserve">                2/PA</v>
      </c>
      <c r="X3526" s="1">
        <v>3185.49</v>
      </c>
      <c r="Y3526">
        <v>0</v>
      </c>
      <c r="Z3526"/>
      <c r="AB3526"/>
      <c r="AC3526" s="1">
        <v>2611.06</v>
      </c>
      <c r="AD3526">
        <v>266</v>
      </c>
      <c r="AE3526" s="1">
        <v>694541.96</v>
      </c>
      <c r="AF3526">
        <v>0</v>
      </c>
      <c r="AJ3526">
        <v>0</v>
      </c>
      <c r="AK3526">
        <v>0</v>
      </c>
      <c r="AL3526">
        <v>0</v>
      </c>
      <c r="AM3526">
        <v>0</v>
      </c>
      <c r="AN3526">
        <v>0</v>
      </c>
      <c r="AO3526">
        <v>0</v>
      </c>
      <c r="AP3526" s="2">
        <v>42746</v>
      </c>
      <c r="AQ3526" t="s">
        <v>72</v>
      </c>
      <c r="AR3526" t="s">
        <v>72</v>
      </c>
      <c r="AS3526">
        <v>992</v>
      </c>
      <c r="AT3526" s="4">
        <v>42464</v>
      </c>
      <c r="AU3526" t="s">
        <v>73</v>
      </c>
      <c r="AV3526">
        <v>992</v>
      </c>
      <c r="AW3526" s="4">
        <v>42464</v>
      </c>
      <c r="BD3526">
        <v>0</v>
      </c>
      <c r="BN3526" t="s">
        <v>74</v>
      </c>
    </row>
    <row r="3527" spans="1:66">
      <c r="A3527">
        <v>101273</v>
      </c>
      <c r="B3527" s="3" t="s">
        <v>396</v>
      </c>
      <c r="C3527" s="1">
        <v>43300101</v>
      </c>
      <c r="D3527" t="s">
        <v>67</v>
      </c>
      <c r="H3527" t="str">
        <f t="shared" si="364"/>
        <v>04927040636</v>
      </c>
      <c r="I3527" t="str">
        <f t="shared" si="364"/>
        <v>04927040636</v>
      </c>
      <c r="K3527" t="str">
        <f>""</f>
        <v/>
      </c>
      <c r="M3527" t="s">
        <v>68</v>
      </c>
      <c r="N3527" t="str">
        <f t="shared" si="365"/>
        <v>FOR</v>
      </c>
      <c r="O3527" t="s">
        <v>69</v>
      </c>
      <c r="P3527" s="3" t="s">
        <v>75</v>
      </c>
      <c r="Q3527">
        <v>2015</v>
      </c>
      <c r="R3527" s="2">
        <v>42153</v>
      </c>
      <c r="S3527" s="2">
        <v>42164</v>
      </c>
      <c r="T3527" s="2">
        <v>42158</v>
      </c>
      <c r="U3527" s="2">
        <v>42218</v>
      </c>
      <c r="V3527" t="s">
        <v>71</v>
      </c>
      <c r="W3527" t="str">
        <f>"               13/PA"</f>
        <v xml:space="preserve">               13/PA</v>
      </c>
      <c r="X3527" s="1">
        <v>7290.72</v>
      </c>
      <c r="Y3527">
        <v>0</v>
      </c>
      <c r="Z3527" s="5">
        <v>5976</v>
      </c>
      <c r="AA3527">
        <v>500</v>
      </c>
      <c r="AB3527" s="5">
        <v>2988000</v>
      </c>
      <c r="AC3527" s="1">
        <v>5976</v>
      </c>
      <c r="AD3527">
        <v>500</v>
      </c>
      <c r="AE3527" s="1">
        <v>2988000</v>
      </c>
      <c r="AF3527" s="1">
        <v>1314.72</v>
      </c>
      <c r="AJ3527">
        <v>0</v>
      </c>
      <c r="AK3527">
        <v>0</v>
      </c>
      <c r="AL3527">
        <v>0</v>
      </c>
      <c r="AM3527">
        <v>0</v>
      </c>
      <c r="AN3527">
        <v>0</v>
      </c>
      <c r="AO3527">
        <v>0</v>
      </c>
      <c r="AP3527" s="2">
        <v>42746</v>
      </c>
      <c r="AQ3527" t="s">
        <v>72</v>
      </c>
      <c r="AR3527" t="s">
        <v>72</v>
      </c>
      <c r="AS3527">
        <v>3495</v>
      </c>
      <c r="AT3527" s="4">
        <v>42718</v>
      </c>
      <c r="AU3527" t="s">
        <v>73</v>
      </c>
      <c r="AV3527">
        <v>3495</v>
      </c>
      <c r="AW3527" s="4">
        <v>42718</v>
      </c>
      <c r="BD3527" s="1">
        <v>1314.72</v>
      </c>
      <c r="BN3527" t="s">
        <v>74</v>
      </c>
    </row>
    <row r="3528" spans="1:66" hidden="1">
      <c r="A3528">
        <v>101273</v>
      </c>
      <c r="B3528" s="3" t="s">
        <v>396</v>
      </c>
      <c r="C3528" s="1">
        <v>43300101</v>
      </c>
      <c r="D3528" t="s">
        <v>67</v>
      </c>
      <c r="H3528" t="str">
        <f t="shared" si="364"/>
        <v>04927040636</v>
      </c>
      <c r="I3528" t="str">
        <f t="shared" si="364"/>
        <v>04927040636</v>
      </c>
      <c r="K3528" t="str">
        <f>""</f>
        <v/>
      </c>
      <c r="M3528" t="s">
        <v>68</v>
      </c>
      <c r="N3528" t="str">
        <f t="shared" si="365"/>
        <v>FOR</v>
      </c>
      <c r="O3528" t="s">
        <v>69</v>
      </c>
      <c r="P3528" s="3" t="s">
        <v>75</v>
      </c>
      <c r="Q3528">
        <v>2015</v>
      </c>
      <c r="R3528" s="2">
        <v>42153</v>
      </c>
      <c r="S3528" s="2">
        <v>42163</v>
      </c>
      <c r="T3528" s="2">
        <v>42158</v>
      </c>
      <c r="U3528" s="2">
        <v>42218</v>
      </c>
      <c r="V3528" t="s">
        <v>71</v>
      </c>
      <c r="W3528" t="str">
        <f>"               14/PA"</f>
        <v xml:space="preserve">               14/PA</v>
      </c>
      <c r="X3528" s="1">
        <v>2469.89</v>
      </c>
      <c r="Y3528">
        <v>0</v>
      </c>
      <c r="Z3528"/>
      <c r="AB3528"/>
      <c r="AC3528" s="1">
        <v>2024.5</v>
      </c>
      <c r="AD3528">
        <v>246</v>
      </c>
      <c r="AE3528" s="1">
        <v>498027</v>
      </c>
      <c r="AF3528">
        <v>0</v>
      </c>
      <c r="AJ3528">
        <v>0</v>
      </c>
      <c r="AK3528">
        <v>0</v>
      </c>
      <c r="AL3528">
        <v>0</v>
      </c>
      <c r="AM3528">
        <v>0</v>
      </c>
      <c r="AN3528">
        <v>0</v>
      </c>
      <c r="AO3528">
        <v>0</v>
      </c>
      <c r="AP3528" s="2">
        <v>42746</v>
      </c>
      <c r="AQ3528" t="s">
        <v>72</v>
      </c>
      <c r="AR3528" t="s">
        <v>72</v>
      </c>
      <c r="AS3528">
        <v>992</v>
      </c>
      <c r="AT3528" s="4">
        <v>42464</v>
      </c>
      <c r="AU3528" t="s">
        <v>73</v>
      </c>
      <c r="AV3528">
        <v>992</v>
      </c>
      <c r="AW3528" s="4">
        <v>42464</v>
      </c>
      <c r="BD3528">
        <v>0</v>
      </c>
      <c r="BN3528" t="s">
        <v>74</v>
      </c>
    </row>
    <row r="3529" spans="1:66" hidden="1">
      <c r="A3529">
        <v>101273</v>
      </c>
      <c r="B3529" s="3" t="s">
        <v>396</v>
      </c>
      <c r="C3529" s="1">
        <v>43300101</v>
      </c>
      <c r="D3529" t="s">
        <v>67</v>
      </c>
      <c r="H3529" t="str">
        <f t="shared" si="364"/>
        <v>04927040636</v>
      </c>
      <c r="I3529" t="str">
        <f t="shared" si="364"/>
        <v>04927040636</v>
      </c>
      <c r="K3529" t="str">
        <f>""</f>
        <v/>
      </c>
      <c r="M3529" t="s">
        <v>68</v>
      </c>
      <c r="N3529" t="str">
        <f t="shared" si="365"/>
        <v>FOR</v>
      </c>
      <c r="O3529" t="s">
        <v>69</v>
      </c>
      <c r="P3529" s="3" t="s">
        <v>75</v>
      </c>
      <c r="Q3529">
        <v>2015</v>
      </c>
      <c r="R3529" s="2">
        <v>42216</v>
      </c>
      <c r="S3529" s="2">
        <v>42217</v>
      </c>
      <c r="T3529" s="2">
        <v>42216</v>
      </c>
      <c r="U3529" s="2">
        <v>42276</v>
      </c>
      <c r="V3529" t="s">
        <v>71</v>
      </c>
      <c r="W3529" t="str">
        <f>"               25/PA"</f>
        <v xml:space="preserve">               25/PA</v>
      </c>
      <c r="X3529" s="1">
        <v>8418</v>
      </c>
      <c r="Y3529">
        <v>0</v>
      </c>
      <c r="Z3529"/>
      <c r="AB3529"/>
      <c r="AC3529" s="1">
        <v>6900</v>
      </c>
      <c r="AD3529">
        <v>290</v>
      </c>
      <c r="AE3529" s="1">
        <v>2001000</v>
      </c>
      <c r="AF3529">
        <v>0</v>
      </c>
      <c r="AJ3529">
        <v>0</v>
      </c>
      <c r="AK3529">
        <v>0</v>
      </c>
      <c r="AL3529">
        <v>0</v>
      </c>
      <c r="AM3529">
        <v>0</v>
      </c>
      <c r="AN3529">
        <v>0</v>
      </c>
      <c r="AO3529">
        <v>0</v>
      </c>
      <c r="AP3529" s="2">
        <v>42746</v>
      </c>
      <c r="AQ3529" t="s">
        <v>72</v>
      </c>
      <c r="AR3529" t="s">
        <v>72</v>
      </c>
      <c r="AS3529">
        <v>1815</v>
      </c>
      <c r="AT3529" s="4">
        <v>42566</v>
      </c>
      <c r="AU3529" t="s">
        <v>73</v>
      </c>
      <c r="AV3529">
        <v>1815</v>
      </c>
      <c r="AW3529" s="4">
        <v>42566</v>
      </c>
      <c r="BD3529">
        <v>0</v>
      </c>
      <c r="BN3529" t="s">
        <v>74</v>
      </c>
    </row>
    <row r="3530" spans="1:66" hidden="1">
      <c r="A3530">
        <v>101273</v>
      </c>
      <c r="B3530" s="3" t="s">
        <v>396</v>
      </c>
      <c r="C3530" s="1">
        <v>43300101</v>
      </c>
      <c r="D3530" t="s">
        <v>67</v>
      </c>
      <c r="H3530" t="str">
        <f t="shared" si="364"/>
        <v>04927040636</v>
      </c>
      <c r="I3530" t="str">
        <f t="shared" si="364"/>
        <v>04927040636</v>
      </c>
      <c r="K3530" t="str">
        <f>""</f>
        <v/>
      </c>
      <c r="M3530" t="s">
        <v>68</v>
      </c>
      <c r="N3530" t="str">
        <f t="shared" si="365"/>
        <v>FOR</v>
      </c>
      <c r="O3530" t="s">
        <v>69</v>
      </c>
      <c r="P3530" s="3" t="s">
        <v>75</v>
      </c>
      <c r="Q3530">
        <v>2015</v>
      </c>
      <c r="R3530" s="2">
        <v>42216</v>
      </c>
      <c r="S3530" s="2">
        <v>42217</v>
      </c>
      <c r="T3530" s="2">
        <v>42216</v>
      </c>
      <c r="U3530" s="2">
        <v>42276</v>
      </c>
      <c r="V3530" t="s">
        <v>71</v>
      </c>
      <c r="W3530" t="str">
        <f>"               26/PA"</f>
        <v xml:space="preserve">               26/PA</v>
      </c>
      <c r="X3530" s="1">
        <v>2469.89</v>
      </c>
      <c r="Y3530">
        <v>0</v>
      </c>
      <c r="Z3530"/>
      <c r="AB3530"/>
      <c r="AC3530" s="1">
        <v>2024.5</v>
      </c>
      <c r="AD3530">
        <v>290</v>
      </c>
      <c r="AE3530" s="1">
        <v>587105</v>
      </c>
      <c r="AF3530">
        <v>0</v>
      </c>
      <c r="AJ3530">
        <v>0</v>
      </c>
      <c r="AK3530">
        <v>0</v>
      </c>
      <c r="AL3530">
        <v>0</v>
      </c>
      <c r="AM3530">
        <v>0</v>
      </c>
      <c r="AN3530">
        <v>0</v>
      </c>
      <c r="AO3530">
        <v>0</v>
      </c>
      <c r="AP3530" s="2">
        <v>42746</v>
      </c>
      <c r="AQ3530" t="s">
        <v>72</v>
      </c>
      <c r="AR3530" t="s">
        <v>72</v>
      </c>
      <c r="AS3530">
        <v>1815</v>
      </c>
      <c r="AT3530" s="4">
        <v>42566</v>
      </c>
      <c r="AU3530" t="s">
        <v>73</v>
      </c>
      <c r="AV3530">
        <v>1815</v>
      </c>
      <c r="AW3530" s="4">
        <v>42566</v>
      </c>
      <c r="BD3530">
        <v>0</v>
      </c>
      <c r="BN3530" t="s">
        <v>74</v>
      </c>
    </row>
    <row r="3531" spans="1:66">
      <c r="A3531">
        <v>101273</v>
      </c>
      <c r="B3531" s="3" t="s">
        <v>396</v>
      </c>
      <c r="C3531" s="1">
        <v>43300101</v>
      </c>
      <c r="D3531" t="s">
        <v>67</v>
      </c>
      <c r="H3531" t="str">
        <f t="shared" si="364"/>
        <v>04927040636</v>
      </c>
      <c r="I3531" t="str">
        <f t="shared" si="364"/>
        <v>04927040636</v>
      </c>
      <c r="K3531" t="str">
        <f>""</f>
        <v/>
      </c>
      <c r="M3531" t="s">
        <v>68</v>
      </c>
      <c r="N3531" t="str">
        <f t="shared" si="365"/>
        <v>FOR</v>
      </c>
      <c r="O3531" t="s">
        <v>69</v>
      </c>
      <c r="P3531" s="3" t="s">
        <v>75</v>
      </c>
      <c r="Q3531">
        <v>2015</v>
      </c>
      <c r="R3531" s="2">
        <v>42338</v>
      </c>
      <c r="S3531" s="2">
        <v>42341</v>
      </c>
      <c r="T3531" s="2">
        <v>42340</v>
      </c>
      <c r="U3531" s="2">
        <v>42400</v>
      </c>
      <c r="V3531" t="s">
        <v>71</v>
      </c>
      <c r="W3531" t="str">
        <f>"               52/PA"</f>
        <v xml:space="preserve">               52/PA</v>
      </c>
      <c r="X3531" s="1">
        <v>3901.1</v>
      </c>
      <c r="Y3531">
        <v>0</v>
      </c>
      <c r="Z3531" s="5">
        <v>3197.62</v>
      </c>
      <c r="AA3531">
        <v>284</v>
      </c>
      <c r="AB3531" s="5">
        <v>908124.08</v>
      </c>
      <c r="AC3531" s="1">
        <v>3197.62</v>
      </c>
      <c r="AD3531">
        <v>284</v>
      </c>
      <c r="AE3531" s="1">
        <v>908124.08</v>
      </c>
      <c r="AF3531">
        <v>0</v>
      </c>
      <c r="AJ3531">
        <v>0</v>
      </c>
      <c r="AK3531">
        <v>0</v>
      </c>
      <c r="AL3531">
        <v>0</v>
      </c>
      <c r="AM3531">
        <v>0</v>
      </c>
      <c r="AN3531">
        <v>0</v>
      </c>
      <c r="AO3531">
        <v>0</v>
      </c>
      <c r="AP3531" s="2">
        <v>42746</v>
      </c>
      <c r="AQ3531" t="s">
        <v>72</v>
      </c>
      <c r="AR3531" t="s">
        <v>72</v>
      </c>
      <c r="AS3531">
        <v>3055</v>
      </c>
      <c r="AT3531" s="4">
        <v>42684</v>
      </c>
      <c r="AU3531" t="s">
        <v>73</v>
      </c>
      <c r="AV3531">
        <v>3055</v>
      </c>
      <c r="AW3531" s="4">
        <v>42684</v>
      </c>
      <c r="BD3531">
        <v>0</v>
      </c>
      <c r="BN3531" t="s">
        <v>74</v>
      </c>
    </row>
    <row r="3532" spans="1:66">
      <c r="A3532">
        <v>101273</v>
      </c>
      <c r="B3532" s="3" t="s">
        <v>396</v>
      </c>
      <c r="C3532" s="1">
        <v>43300101</v>
      </c>
      <c r="D3532" t="s">
        <v>67</v>
      </c>
      <c r="H3532" t="str">
        <f t="shared" si="364"/>
        <v>04927040636</v>
      </c>
      <c r="I3532" t="str">
        <f t="shared" si="364"/>
        <v>04927040636</v>
      </c>
      <c r="K3532" t="str">
        <f>""</f>
        <v/>
      </c>
      <c r="M3532" t="s">
        <v>68</v>
      </c>
      <c r="N3532" t="str">
        <f t="shared" si="365"/>
        <v>FOR</v>
      </c>
      <c r="O3532" t="s">
        <v>69</v>
      </c>
      <c r="P3532" s="3" t="s">
        <v>75</v>
      </c>
      <c r="Q3532">
        <v>2015</v>
      </c>
      <c r="R3532" s="2">
        <v>42369</v>
      </c>
      <c r="S3532" s="2">
        <v>42369</v>
      </c>
      <c r="T3532" s="2">
        <v>42369</v>
      </c>
      <c r="U3532" s="2">
        <v>42429</v>
      </c>
      <c r="V3532" t="s">
        <v>71</v>
      </c>
      <c r="W3532" t="str">
        <f>"               62/PA"</f>
        <v xml:space="preserve">               62/PA</v>
      </c>
      <c r="X3532" s="1">
        <v>6004.84</v>
      </c>
      <c r="Y3532">
        <v>0</v>
      </c>
      <c r="Z3532" s="5">
        <v>4922</v>
      </c>
      <c r="AA3532">
        <v>255</v>
      </c>
      <c r="AB3532" s="5">
        <v>1255110</v>
      </c>
      <c r="AC3532" s="1">
        <v>4922</v>
      </c>
      <c r="AD3532">
        <v>255</v>
      </c>
      <c r="AE3532" s="1">
        <v>1255110</v>
      </c>
      <c r="AF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0</v>
      </c>
      <c r="AP3532" s="2">
        <v>42746</v>
      </c>
      <c r="AQ3532" t="s">
        <v>72</v>
      </c>
      <c r="AR3532" t="s">
        <v>72</v>
      </c>
      <c r="AS3532">
        <v>3055</v>
      </c>
      <c r="AT3532" s="4">
        <v>42684</v>
      </c>
      <c r="AU3532" t="s">
        <v>73</v>
      </c>
      <c r="AV3532">
        <v>3055</v>
      </c>
      <c r="AW3532" s="4">
        <v>42684</v>
      </c>
      <c r="BD3532">
        <v>0</v>
      </c>
      <c r="BN3532" t="s">
        <v>74</v>
      </c>
    </row>
    <row r="3533" spans="1:66">
      <c r="A3533">
        <v>101273</v>
      </c>
      <c r="B3533" s="3" t="s">
        <v>396</v>
      </c>
      <c r="C3533" s="1">
        <v>43300101</v>
      </c>
      <c r="D3533" t="s">
        <v>67</v>
      </c>
      <c r="H3533" t="str">
        <f t="shared" si="364"/>
        <v>04927040636</v>
      </c>
      <c r="I3533" t="str">
        <f t="shared" si="364"/>
        <v>04927040636</v>
      </c>
      <c r="K3533" t="str">
        <f>""</f>
        <v/>
      </c>
      <c r="M3533" t="s">
        <v>68</v>
      </c>
      <c r="N3533" t="str">
        <f t="shared" si="365"/>
        <v>FOR</v>
      </c>
      <c r="O3533" t="s">
        <v>69</v>
      </c>
      <c r="P3533" s="3" t="s">
        <v>75</v>
      </c>
      <c r="Q3533">
        <v>2016</v>
      </c>
      <c r="R3533" s="2">
        <v>42429</v>
      </c>
      <c r="S3533" s="2">
        <v>42436</v>
      </c>
      <c r="T3533" s="2">
        <v>42431</v>
      </c>
      <c r="U3533" s="2">
        <v>42491</v>
      </c>
      <c r="V3533" t="s">
        <v>71</v>
      </c>
      <c r="W3533" t="str">
        <f>"                5/PA"</f>
        <v xml:space="preserve">                5/PA</v>
      </c>
      <c r="X3533" s="1">
        <v>8418</v>
      </c>
      <c r="Y3533">
        <v>0</v>
      </c>
      <c r="Z3533" s="5">
        <v>6900</v>
      </c>
      <c r="AA3533">
        <v>232</v>
      </c>
      <c r="AB3533" s="5">
        <v>1600800</v>
      </c>
      <c r="AC3533" s="1">
        <v>6900</v>
      </c>
      <c r="AD3533">
        <v>232</v>
      </c>
      <c r="AE3533" s="1">
        <v>1600800</v>
      </c>
      <c r="AF3533" s="1">
        <v>1518</v>
      </c>
      <c r="AJ3533">
        <v>0</v>
      </c>
      <c r="AK3533">
        <v>0</v>
      </c>
      <c r="AL3533">
        <v>0</v>
      </c>
      <c r="AM3533" s="1">
        <v>8418</v>
      </c>
      <c r="AN3533" s="1">
        <v>8418</v>
      </c>
      <c r="AO3533" s="1">
        <v>8418</v>
      </c>
      <c r="AP3533" s="2">
        <v>42746</v>
      </c>
      <c r="AQ3533" t="s">
        <v>72</v>
      </c>
      <c r="AR3533" t="s">
        <v>72</v>
      </c>
      <c r="AS3533">
        <v>3575</v>
      </c>
      <c r="AT3533" s="4">
        <v>42723</v>
      </c>
      <c r="AU3533" t="s">
        <v>73</v>
      </c>
      <c r="AV3533">
        <v>3575</v>
      </c>
      <c r="AW3533" s="4">
        <v>42723</v>
      </c>
      <c r="BD3533" s="1">
        <v>1518</v>
      </c>
      <c r="BN3533" t="s">
        <v>74</v>
      </c>
    </row>
    <row r="3534" spans="1:66">
      <c r="A3534">
        <v>101273</v>
      </c>
      <c r="B3534" s="3" t="s">
        <v>396</v>
      </c>
      <c r="C3534" s="1">
        <v>43300101</v>
      </c>
      <c r="D3534" t="s">
        <v>67</v>
      </c>
      <c r="H3534" t="str">
        <f t="shared" si="364"/>
        <v>04927040636</v>
      </c>
      <c r="I3534" t="str">
        <f t="shared" si="364"/>
        <v>04927040636</v>
      </c>
      <c r="K3534" t="str">
        <f>""</f>
        <v/>
      </c>
      <c r="M3534" t="s">
        <v>68</v>
      </c>
      <c r="N3534" t="str">
        <f t="shared" si="365"/>
        <v>FOR</v>
      </c>
      <c r="O3534" t="s">
        <v>69</v>
      </c>
      <c r="P3534" s="3" t="s">
        <v>75</v>
      </c>
      <c r="Q3534">
        <v>2016</v>
      </c>
      <c r="R3534" s="2">
        <v>42429</v>
      </c>
      <c r="S3534" s="2">
        <v>42436</v>
      </c>
      <c r="T3534" s="2">
        <v>42431</v>
      </c>
      <c r="U3534" s="2">
        <v>42491</v>
      </c>
      <c r="V3534" t="s">
        <v>71</v>
      </c>
      <c r="W3534" t="str">
        <f>"                6/PA"</f>
        <v xml:space="preserve">                6/PA</v>
      </c>
      <c r="X3534" s="1">
        <v>3185.49</v>
      </c>
      <c r="Y3534">
        <v>0</v>
      </c>
      <c r="Z3534" s="5">
        <v>2611.06</v>
      </c>
      <c r="AA3534">
        <v>232</v>
      </c>
      <c r="AB3534" s="5">
        <v>605765.92000000004</v>
      </c>
      <c r="AC3534" s="1">
        <v>2611.06</v>
      </c>
      <c r="AD3534">
        <v>232</v>
      </c>
      <c r="AE3534" s="1">
        <v>605765.92000000004</v>
      </c>
      <c r="AF3534">
        <v>574.42999999999995</v>
      </c>
      <c r="AJ3534">
        <v>0</v>
      </c>
      <c r="AK3534">
        <v>0</v>
      </c>
      <c r="AL3534">
        <v>0</v>
      </c>
      <c r="AM3534" s="1">
        <v>3185.49</v>
      </c>
      <c r="AN3534" s="1">
        <v>3185.49</v>
      </c>
      <c r="AO3534" s="1">
        <v>3185.49</v>
      </c>
      <c r="AP3534" s="2">
        <v>42746</v>
      </c>
      <c r="AQ3534" t="s">
        <v>72</v>
      </c>
      <c r="AR3534" t="s">
        <v>72</v>
      </c>
      <c r="AS3534">
        <v>3575</v>
      </c>
      <c r="AT3534" s="4">
        <v>42723</v>
      </c>
      <c r="AU3534" t="s">
        <v>73</v>
      </c>
      <c r="AV3534">
        <v>3575</v>
      </c>
      <c r="AW3534" s="4">
        <v>42723</v>
      </c>
      <c r="BD3534">
        <v>574.42999999999995</v>
      </c>
      <c r="BN3534" t="s">
        <v>74</v>
      </c>
    </row>
    <row r="3535" spans="1:66">
      <c r="A3535">
        <v>101273</v>
      </c>
      <c r="B3535" s="3" t="s">
        <v>396</v>
      </c>
      <c r="C3535" s="1">
        <v>43300101</v>
      </c>
      <c r="D3535" t="s">
        <v>67</v>
      </c>
      <c r="H3535" t="str">
        <f t="shared" si="364"/>
        <v>04927040636</v>
      </c>
      <c r="I3535" t="str">
        <f t="shared" si="364"/>
        <v>04927040636</v>
      </c>
      <c r="K3535" t="str">
        <f>""</f>
        <v/>
      </c>
      <c r="M3535" t="s">
        <v>68</v>
      </c>
      <c r="N3535" t="str">
        <f t="shared" si="365"/>
        <v>FOR</v>
      </c>
      <c r="O3535" t="s">
        <v>69</v>
      </c>
      <c r="P3535" s="3" t="s">
        <v>75</v>
      </c>
      <c r="Q3535">
        <v>2016</v>
      </c>
      <c r="R3535" s="2">
        <v>42429</v>
      </c>
      <c r="S3535" s="2">
        <v>42436</v>
      </c>
      <c r="T3535" s="2">
        <v>42431</v>
      </c>
      <c r="U3535" s="2">
        <v>42491</v>
      </c>
      <c r="V3535" t="s">
        <v>71</v>
      </c>
      <c r="W3535" t="str">
        <f>"                7/PA"</f>
        <v xml:space="preserve">                7/PA</v>
      </c>
      <c r="X3535" s="1">
        <v>2469.89</v>
      </c>
      <c r="Y3535">
        <v>0</v>
      </c>
      <c r="Z3535" s="5">
        <v>2024.5</v>
      </c>
      <c r="AA3535">
        <v>232</v>
      </c>
      <c r="AB3535" s="5">
        <v>469684</v>
      </c>
      <c r="AC3535" s="1">
        <v>2024.5</v>
      </c>
      <c r="AD3535">
        <v>232</v>
      </c>
      <c r="AE3535" s="1">
        <v>469684</v>
      </c>
      <c r="AF3535">
        <v>445.39</v>
      </c>
      <c r="AJ3535">
        <v>0</v>
      </c>
      <c r="AK3535">
        <v>0</v>
      </c>
      <c r="AL3535">
        <v>0</v>
      </c>
      <c r="AM3535" s="1">
        <v>2469.89</v>
      </c>
      <c r="AN3535" s="1">
        <v>2469.89</v>
      </c>
      <c r="AO3535" s="1">
        <v>2469.89</v>
      </c>
      <c r="AP3535" s="2">
        <v>42746</v>
      </c>
      <c r="AQ3535" t="s">
        <v>72</v>
      </c>
      <c r="AR3535" t="s">
        <v>72</v>
      </c>
      <c r="AS3535">
        <v>3575</v>
      </c>
      <c r="AT3535" s="4">
        <v>42723</v>
      </c>
      <c r="AU3535" t="s">
        <v>73</v>
      </c>
      <c r="AV3535">
        <v>3575</v>
      </c>
      <c r="AW3535" s="4">
        <v>42723</v>
      </c>
      <c r="BD3535">
        <v>445.39</v>
      </c>
      <c r="BN3535" t="s">
        <v>74</v>
      </c>
    </row>
    <row r="3536" spans="1:66" hidden="1">
      <c r="A3536">
        <v>101276</v>
      </c>
      <c r="B3536" s="3" t="s">
        <v>397</v>
      </c>
      <c r="C3536" s="1">
        <v>43300101</v>
      </c>
      <c r="D3536" t="s">
        <v>67</v>
      </c>
      <c r="H3536" t="str">
        <f t="shared" ref="H3536:H3555" si="366">"04029180371"</f>
        <v>04029180371</v>
      </c>
      <c r="I3536" t="str">
        <f t="shared" ref="I3536:I3555" si="367">"00691781207"</f>
        <v>00691781207</v>
      </c>
      <c r="K3536" t="str">
        <f>""</f>
        <v/>
      </c>
      <c r="M3536" t="s">
        <v>68</v>
      </c>
      <c r="N3536" t="str">
        <f t="shared" si="365"/>
        <v>FOR</v>
      </c>
      <c r="O3536" t="s">
        <v>69</v>
      </c>
      <c r="P3536" s="3" t="s">
        <v>70</v>
      </c>
      <c r="Q3536">
        <v>2015</v>
      </c>
      <c r="R3536" s="2">
        <v>42076</v>
      </c>
      <c r="S3536" s="2">
        <v>42081</v>
      </c>
      <c r="T3536" s="2">
        <v>42081</v>
      </c>
      <c r="U3536" s="2">
        <v>42141</v>
      </c>
      <c r="V3536" t="s">
        <v>71</v>
      </c>
      <c r="W3536" t="str">
        <f>"            15009350"</f>
        <v xml:space="preserve">            15009350</v>
      </c>
      <c r="X3536">
        <v>393.12</v>
      </c>
      <c r="Y3536">
        <v>0</v>
      </c>
      <c r="Z3536"/>
      <c r="AB3536"/>
      <c r="AC3536">
        <v>378</v>
      </c>
      <c r="AD3536">
        <v>274</v>
      </c>
      <c r="AE3536" s="1">
        <v>103572</v>
      </c>
      <c r="AF3536">
        <v>0</v>
      </c>
      <c r="AJ3536">
        <v>0</v>
      </c>
      <c r="AK3536">
        <v>0</v>
      </c>
      <c r="AL3536">
        <v>0</v>
      </c>
      <c r="AM3536">
        <v>0</v>
      </c>
      <c r="AN3536">
        <v>0</v>
      </c>
      <c r="AO3536">
        <v>0</v>
      </c>
      <c r="AP3536" s="2">
        <v>42746</v>
      </c>
      <c r="AQ3536" t="s">
        <v>72</v>
      </c>
      <c r="AR3536" t="s">
        <v>72</v>
      </c>
      <c r="AS3536">
        <v>355</v>
      </c>
      <c r="AT3536" s="4">
        <v>42415</v>
      </c>
      <c r="AU3536" t="s">
        <v>73</v>
      </c>
      <c r="AV3536">
        <v>355</v>
      </c>
      <c r="AW3536" s="4">
        <v>42415</v>
      </c>
      <c r="BD3536">
        <v>0</v>
      </c>
      <c r="BN3536" t="s">
        <v>74</v>
      </c>
    </row>
    <row r="3537" spans="1:66" hidden="1">
      <c r="A3537">
        <v>101276</v>
      </c>
      <c r="B3537" s="3" t="s">
        <v>397</v>
      </c>
      <c r="C3537" s="1">
        <v>43300101</v>
      </c>
      <c r="D3537" t="s">
        <v>67</v>
      </c>
      <c r="H3537" t="str">
        <f t="shared" si="366"/>
        <v>04029180371</v>
      </c>
      <c r="I3537" t="str">
        <f t="shared" si="367"/>
        <v>00691781207</v>
      </c>
      <c r="K3537" t="str">
        <f>""</f>
        <v/>
      </c>
      <c r="M3537" t="s">
        <v>68</v>
      </c>
      <c r="N3537" t="str">
        <f t="shared" si="365"/>
        <v>FOR</v>
      </c>
      <c r="O3537" t="s">
        <v>69</v>
      </c>
      <c r="P3537" s="3" t="s">
        <v>70</v>
      </c>
      <c r="Q3537">
        <v>2015</v>
      </c>
      <c r="R3537" s="2">
        <v>42093</v>
      </c>
      <c r="S3537" s="2">
        <v>42097</v>
      </c>
      <c r="T3537" s="2">
        <v>42097</v>
      </c>
      <c r="U3537" s="2">
        <v>42157</v>
      </c>
      <c r="V3537" t="s">
        <v>71</v>
      </c>
      <c r="W3537" t="str">
        <f>"            15011420"</f>
        <v xml:space="preserve">            15011420</v>
      </c>
      <c r="X3537">
        <v>393.12</v>
      </c>
      <c r="Y3537">
        <v>0</v>
      </c>
      <c r="Z3537"/>
      <c r="AB3537"/>
      <c r="AC3537">
        <v>378</v>
      </c>
      <c r="AD3537">
        <v>258</v>
      </c>
      <c r="AE3537" s="1">
        <v>97524</v>
      </c>
      <c r="AF3537">
        <v>0</v>
      </c>
      <c r="AJ3537">
        <v>0</v>
      </c>
      <c r="AK3537">
        <v>0</v>
      </c>
      <c r="AL3537">
        <v>0</v>
      </c>
      <c r="AM3537">
        <v>0</v>
      </c>
      <c r="AN3537">
        <v>0</v>
      </c>
      <c r="AO3537">
        <v>0</v>
      </c>
      <c r="AP3537" s="2">
        <v>42746</v>
      </c>
      <c r="AQ3537" t="s">
        <v>72</v>
      </c>
      <c r="AR3537" t="s">
        <v>72</v>
      </c>
      <c r="AS3537">
        <v>355</v>
      </c>
      <c r="AT3537" s="4">
        <v>42415</v>
      </c>
      <c r="AU3537" t="s">
        <v>73</v>
      </c>
      <c r="AV3537">
        <v>355</v>
      </c>
      <c r="AW3537" s="4">
        <v>42415</v>
      </c>
      <c r="BD3537">
        <v>0</v>
      </c>
      <c r="BN3537" t="s">
        <v>74</v>
      </c>
    </row>
    <row r="3538" spans="1:66" hidden="1">
      <c r="A3538">
        <v>101276</v>
      </c>
      <c r="B3538" s="3" t="s">
        <v>397</v>
      </c>
      <c r="C3538" s="1">
        <v>43300101</v>
      </c>
      <c r="D3538" t="s">
        <v>67</v>
      </c>
      <c r="H3538" t="str">
        <f t="shared" si="366"/>
        <v>04029180371</v>
      </c>
      <c r="I3538" t="str">
        <f t="shared" si="367"/>
        <v>00691781207</v>
      </c>
      <c r="K3538" t="str">
        <f>""</f>
        <v/>
      </c>
      <c r="M3538" t="s">
        <v>68</v>
      </c>
      <c r="N3538" t="str">
        <f t="shared" si="365"/>
        <v>FOR</v>
      </c>
      <c r="O3538" t="s">
        <v>69</v>
      </c>
      <c r="P3538" s="3" t="s">
        <v>70</v>
      </c>
      <c r="Q3538">
        <v>2015</v>
      </c>
      <c r="R3538" s="2">
        <v>42093</v>
      </c>
      <c r="S3538" s="2">
        <v>42097</v>
      </c>
      <c r="T3538" s="2">
        <v>42097</v>
      </c>
      <c r="U3538" s="2">
        <v>42157</v>
      </c>
      <c r="V3538" t="s">
        <v>71</v>
      </c>
      <c r="W3538" t="str">
        <f>"            15011421"</f>
        <v xml:space="preserve">            15011421</v>
      </c>
      <c r="X3538">
        <v>610</v>
      </c>
      <c r="Y3538">
        <v>0</v>
      </c>
      <c r="Z3538"/>
      <c r="AB3538"/>
      <c r="AC3538">
        <v>500</v>
      </c>
      <c r="AD3538">
        <v>258</v>
      </c>
      <c r="AE3538" s="1">
        <v>129000</v>
      </c>
      <c r="AF3538">
        <v>0</v>
      </c>
      <c r="AJ3538">
        <v>0</v>
      </c>
      <c r="AK3538">
        <v>0</v>
      </c>
      <c r="AL3538">
        <v>0</v>
      </c>
      <c r="AM3538">
        <v>0</v>
      </c>
      <c r="AN3538">
        <v>0</v>
      </c>
      <c r="AO3538">
        <v>0</v>
      </c>
      <c r="AP3538" s="2">
        <v>42746</v>
      </c>
      <c r="AQ3538" t="s">
        <v>72</v>
      </c>
      <c r="AR3538" t="s">
        <v>72</v>
      </c>
      <c r="AS3538">
        <v>355</v>
      </c>
      <c r="AT3538" s="4">
        <v>42415</v>
      </c>
      <c r="AU3538" t="s">
        <v>73</v>
      </c>
      <c r="AV3538">
        <v>355</v>
      </c>
      <c r="AW3538" s="4">
        <v>42415</v>
      </c>
      <c r="BD3538">
        <v>0</v>
      </c>
      <c r="BN3538" t="s">
        <v>74</v>
      </c>
    </row>
    <row r="3539" spans="1:66" hidden="1">
      <c r="A3539">
        <v>101276</v>
      </c>
      <c r="B3539" s="3" t="s">
        <v>397</v>
      </c>
      <c r="C3539" s="1">
        <v>43300101</v>
      </c>
      <c r="D3539" t="s">
        <v>67</v>
      </c>
      <c r="H3539" t="str">
        <f t="shared" si="366"/>
        <v>04029180371</v>
      </c>
      <c r="I3539" t="str">
        <f t="shared" si="367"/>
        <v>00691781207</v>
      </c>
      <c r="K3539" t="str">
        <f>""</f>
        <v/>
      </c>
      <c r="M3539" t="s">
        <v>68</v>
      </c>
      <c r="N3539" t="str">
        <f t="shared" si="365"/>
        <v>FOR</v>
      </c>
      <c r="O3539" t="s">
        <v>69</v>
      </c>
      <c r="P3539" s="3" t="s">
        <v>75</v>
      </c>
      <c r="Q3539">
        <v>2015</v>
      </c>
      <c r="R3539" s="2">
        <v>42111</v>
      </c>
      <c r="S3539" s="2">
        <v>42160</v>
      </c>
      <c r="T3539" s="2">
        <v>42138</v>
      </c>
      <c r="U3539" s="2">
        <v>42198</v>
      </c>
      <c r="V3539" t="s">
        <v>71</v>
      </c>
      <c r="W3539" t="str">
        <f>"         15014413 Q1"</f>
        <v xml:space="preserve">         15014413 Q1</v>
      </c>
      <c r="X3539">
        <v>222.04</v>
      </c>
      <c r="Y3539">
        <v>0</v>
      </c>
      <c r="Z3539"/>
      <c r="AB3539"/>
      <c r="AC3539">
        <v>182</v>
      </c>
      <c r="AD3539">
        <v>254</v>
      </c>
      <c r="AE3539" s="1">
        <v>46228</v>
      </c>
      <c r="AF3539">
        <v>0</v>
      </c>
      <c r="AJ3539">
        <v>0</v>
      </c>
      <c r="AK3539">
        <v>0</v>
      </c>
      <c r="AL3539">
        <v>0</v>
      </c>
      <c r="AM3539">
        <v>0</v>
      </c>
      <c r="AN3539">
        <v>0</v>
      </c>
      <c r="AO3539">
        <v>0</v>
      </c>
      <c r="AP3539" s="2">
        <v>42746</v>
      </c>
      <c r="AQ3539" t="s">
        <v>72</v>
      </c>
      <c r="AR3539" t="s">
        <v>72</v>
      </c>
      <c r="AS3539">
        <v>793</v>
      </c>
      <c r="AT3539" s="4">
        <v>42452</v>
      </c>
      <c r="AU3539" t="s">
        <v>73</v>
      </c>
      <c r="AV3539">
        <v>793</v>
      </c>
      <c r="AW3539" s="4">
        <v>42452</v>
      </c>
      <c r="BD3539">
        <v>0</v>
      </c>
      <c r="BN3539" t="s">
        <v>74</v>
      </c>
    </row>
    <row r="3540" spans="1:66" hidden="1">
      <c r="A3540">
        <v>101276</v>
      </c>
      <c r="B3540" s="3" t="s">
        <v>397</v>
      </c>
      <c r="C3540" s="1">
        <v>43300101</v>
      </c>
      <c r="D3540" t="s">
        <v>67</v>
      </c>
      <c r="H3540" t="str">
        <f t="shared" si="366"/>
        <v>04029180371</v>
      </c>
      <c r="I3540" t="str">
        <f t="shared" si="367"/>
        <v>00691781207</v>
      </c>
      <c r="K3540" t="str">
        <f>""</f>
        <v/>
      </c>
      <c r="M3540" t="s">
        <v>68</v>
      </c>
      <c r="N3540" t="str">
        <f t="shared" si="365"/>
        <v>FOR</v>
      </c>
      <c r="O3540" t="s">
        <v>69</v>
      </c>
      <c r="P3540" s="3" t="s">
        <v>75</v>
      </c>
      <c r="Q3540">
        <v>2015</v>
      </c>
      <c r="R3540" s="2">
        <v>42124</v>
      </c>
      <c r="S3540" s="2">
        <v>42160</v>
      </c>
      <c r="T3540" s="2">
        <v>42144</v>
      </c>
      <c r="U3540" s="2">
        <v>42204</v>
      </c>
      <c r="V3540" t="s">
        <v>71</v>
      </c>
      <c r="W3540" t="str">
        <f>"         15016563 Q1"</f>
        <v xml:space="preserve">         15016563 Q1</v>
      </c>
      <c r="X3540" s="1">
        <v>1610.4</v>
      </c>
      <c r="Y3540">
        <v>0</v>
      </c>
      <c r="Z3540"/>
      <c r="AB3540"/>
      <c r="AC3540" s="1">
        <v>1320</v>
      </c>
      <c r="AD3540">
        <v>248</v>
      </c>
      <c r="AE3540" s="1">
        <v>327360</v>
      </c>
      <c r="AF3540">
        <v>0</v>
      </c>
      <c r="AJ3540">
        <v>0</v>
      </c>
      <c r="AK3540">
        <v>0</v>
      </c>
      <c r="AL3540">
        <v>0</v>
      </c>
      <c r="AM3540">
        <v>0</v>
      </c>
      <c r="AN3540">
        <v>0</v>
      </c>
      <c r="AO3540">
        <v>0</v>
      </c>
      <c r="AP3540" s="2">
        <v>42746</v>
      </c>
      <c r="AQ3540" t="s">
        <v>72</v>
      </c>
      <c r="AR3540" t="s">
        <v>72</v>
      </c>
      <c r="AS3540">
        <v>793</v>
      </c>
      <c r="AT3540" s="4">
        <v>42452</v>
      </c>
      <c r="AU3540" t="s">
        <v>73</v>
      </c>
      <c r="AV3540">
        <v>793</v>
      </c>
      <c r="AW3540" s="4">
        <v>42452</v>
      </c>
      <c r="BD3540">
        <v>0</v>
      </c>
      <c r="BN3540" t="s">
        <v>74</v>
      </c>
    </row>
    <row r="3541" spans="1:66" hidden="1">
      <c r="A3541">
        <v>101276</v>
      </c>
      <c r="B3541" s="3" t="s">
        <v>397</v>
      </c>
      <c r="C3541" s="1">
        <v>43300101</v>
      </c>
      <c r="D3541" t="s">
        <v>67</v>
      </c>
      <c r="H3541" t="str">
        <f t="shared" si="366"/>
        <v>04029180371</v>
      </c>
      <c r="I3541" t="str">
        <f t="shared" si="367"/>
        <v>00691781207</v>
      </c>
      <c r="K3541" t="str">
        <f>""</f>
        <v/>
      </c>
      <c r="M3541" t="s">
        <v>68</v>
      </c>
      <c r="N3541" t="str">
        <f t="shared" si="365"/>
        <v>FOR</v>
      </c>
      <c r="O3541" t="s">
        <v>69</v>
      </c>
      <c r="P3541" s="3" t="s">
        <v>75</v>
      </c>
      <c r="Q3541">
        <v>2015</v>
      </c>
      <c r="R3541" s="2">
        <v>42139</v>
      </c>
      <c r="S3541" s="2">
        <v>42160</v>
      </c>
      <c r="T3541" s="2">
        <v>42144</v>
      </c>
      <c r="U3541" s="2">
        <v>42204</v>
      </c>
      <c r="V3541" t="s">
        <v>71</v>
      </c>
      <c r="W3541" t="str">
        <f>"         15018697 Q1"</f>
        <v xml:space="preserve">         15018697 Q1</v>
      </c>
      <c r="X3541" s="1">
        <v>2440</v>
      </c>
      <c r="Y3541">
        <v>0</v>
      </c>
      <c r="Z3541"/>
      <c r="AB3541"/>
      <c r="AC3541" s="1">
        <v>2000</v>
      </c>
      <c r="AD3541">
        <v>248</v>
      </c>
      <c r="AE3541" s="1">
        <v>496000</v>
      </c>
      <c r="AF3541">
        <v>0</v>
      </c>
      <c r="AJ3541">
        <v>0</v>
      </c>
      <c r="AK3541">
        <v>0</v>
      </c>
      <c r="AL3541">
        <v>0</v>
      </c>
      <c r="AM3541">
        <v>0</v>
      </c>
      <c r="AN3541">
        <v>0</v>
      </c>
      <c r="AO3541">
        <v>0</v>
      </c>
      <c r="AP3541" s="2">
        <v>42746</v>
      </c>
      <c r="AQ3541" t="s">
        <v>72</v>
      </c>
      <c r="AR3541" t="s">
        <v>72</v>
      </c>
      <c r="AS3541">
        <v>793</v>
      </c>
      <c r="AT3541" s="4">
        <v>42452</v>
      </c>
      <c r="AU3541" t="s">
        <v>73</v>
      </c>
      <c r="AV3541">
        <v>793</v>
      </c>
      <c r="AW3541" s="4">
        <v>42452</v>
      </c>
      <c r="BD3541">
        <v>0</v>
      </c>
      <c r="BN3541" t="s">
        <v>74</v>
      </c>
    </row>
    <row r="3542" spans="1:66" hidden="1">
      <c r="A3542">
        <v>101276</v>
      </c>
      <c r="B3542" s="3" t="s">
        <v>397</v>
      </c>
      <c r="C3542" s="1">
        <v>43300101</v>
      </c>
      <c r="D3542" t="s">
        <v>67</v>
      </c>
      <c r="H3542" t="str">
        <f t="shared" si="366"/>
        <v>04029180371</v>
      </c>
      <c r="I3542" t="str">
        <f t="shared" si="367"/>
        <v>00691781207</v>
      </c>
      <c r="K3542" t="str">
        <f>""</f>
        <v/>
      </c>
      <c r="M3542" t="s">
        <v>68</v>
      </c>
      <c r="N3542" t="str">
        <f t="shared" si="365"/>
        <v>FOR</v>
      </c>
      <c r="O3542" t="s">
        <v>69</v>
      </c>
      <c r="P3542" s="3" t="s">
        <v>75</v>
      </c>
      <c r="Q3542">
        <v>2015</v>
      </c>
      <c r="R3542" s="2">
        <v>42153</v>
      </c>
      <c r="S3542" s="2">
        <v>42164</v>
      </c>
      <c r="T3542" s="2">
        <v>42163</v>
      </c>
      <c r="U3542" s="2">
        <v>42223</v>
      </c>
      <c r="V3542" t="s">
        <v>71</v>
      </c>
      <c r="W3542" t="str">
        <f>"         15020628 Q1"</f>
        <v xml:space="preserve">         15020628 Q1</v>
      </c>
      <c r="X3542" s="1">
        <v>1342</v>
      </c>
      <c r="Y3542">
        <v>0</v>
      </c>
      <c r="Z3542"/>
      <c r="AB3542"/>
      <c r="AC3542" s="1">
        <v>1100</v>
      </c>
      <c r="AD3542">
        <v>229</v>
      </c>
      <c r="AE3542" s="1">
        <v>251900</v>
      </c>
      <c r="AF3542">
        <v>0</v>
      </c>
      <c r="AJ3542">
        <v>0</v>
      </c>
      <c r="AK3542">
        <v>0</v>
      </c>
      <c r="AL3542">
        <v>0</v>
      </c>
      <c r="AM3542">
        <v>0</v>
      </c>
      <c r="AN3542">
        <v>0</v>
      </c>
      <c r="AO3542">
        <v>0</v>
      </c>
      <c r="AP3542" s="2">
        <v>42746</v>
      </c>
      <c r="AQ3542" t="s">
        <v>72</v>
      </c>
      <c r="AR3542" t="s">
        <v>72</v>
      </c>
      <c r="AS3542">
        <v>793</v>
      </c>
      <c r="AT3542" s="4">
        <v>42452</v>
      </c>
      <c r="AU3542" t="s">
        <v>73</v>
      </c>
      <c r="AV3542">
        <v>793</v>
      </c>
      <c r="AW3542" s="4">
        <v>42452</v>
      </c>
      <c r="BD3542">
        <v>0</v>
      </c>
      <c r="BN3542" t="s">
        <v>74</v>
      </c>
    </row>
    <row r="3543" spans="1:66" hidden="1">
      <c r="A3543">
        <v>101276</v>
      </c>
      <c r="B3543" s="3" t="s">
        <v>397</v>
      </c>
      <c r="C3543" s="1">
        <v>43300101</v>
      </c>
      <c r="D3543" t="s">
        <v>67</v>
      </c>
      <c r="H3543" t="str">
        <f t="shared" si="366"/>
        <v>04029180371</v>
      </c>
      <c r="I3543" t="str">
        <f t="shared" si="367"/>
        <v>00691781207</v>
      </c>
      <c r="K3543" t="str">
        <f>""</f>
        <v/>
      </c>
      <c r="M3543" t="s">
        <v>68</v>
      </c>
      <c r="N3543" t="str">
        <f t="shared" si="365"/>
        <v>FOR</v>
      </c>
      <c r="O3543" t="s">
        <v>69</v>
      </c>
      <c r="P3543" s="3" t="s">
        <v>75</v>
      </c>
      <c r="Q3543">
        <v>2015</v>
      </c>
      <c r="R3543" s="2">
        <v>42185</v>
      </c>
      <c r="S3543" s="2">
        <v>42191</v>
      </c>
      <c r="T3543" s="2">
        <v>42187</v>
      </c>
      <c r="U3543" s="2">
        <v>42247</v>
      </c>
      <c r="V3543" t="s">
        <v>71</v>
      </c>
      <c r="W3543" t="str">
        <f>"         15025203 Q1"</f>
        <v xml:space="preserve">         15025203 Q1</v>
      </c>
      <c r="X3543" s="1">
        <v>1073.5999999999999</v>
      </c>
      <c r="Y3543">
        <v>0</v>
      </c>
      <c r="Z3543"/>
      <c r="AB3543"/>
      <c r="AC3543">
        <v>880</v>
      </c>
      <c r="AD3543">
        <v>280</v>
      </c>
      <c r="AE3543" s="1">
        <v>246400</v>
      </c>
      <c r="AF3543">
        <v>0</v>
      </c>
      <c r="AJ3543">
        <v>0</v>
      </c>
      <c r="AK3543">
        <v>0</v>
      </c>
      <c r="AL3543">
        <v>0</v>
      </c>
      <c r="AM3543">
        <v>0</v>
      </c>
      <c r="AN3543">
        <v>0</v>
      </c>
      <c r="AO3543">
        <v>0</v>
      </c>
      <c r="AP3543" s="2">
        <v>42746</v>
      </c>
      <c r="AQ3543" t="s">
        <v>72</v>
      </c>
      <c r="AR3543" t="s">
        <v>72</v>
      </c>
      <c r="AS3543">
        <v>1513</v>
      </c>
      <c r="AT3543" s="4">
        <v>42527</v>
      </c>
      <c r="AU3543" t="s">
        <v>73</v>
      </c>
      <c r="AV3543">
        <v>1513</v>
      </c>
      <c r="AW3543" s="4">
        <v>42527</v>
      </c>
      <c r="BD3543">
        <v>0</v>
      </c>
      <c r="BN3543" t="s">
        <v>74</v>
      </c>
    </row>
    <row r="3544" spans="1:66" hidden="1">
      <c r="A3544">
        <v>101276</v>
      </c>
      <c r="B3544" s="3" t="s">
        <v>397</v>
      </c>
      <c r="C3544" s="1">
        <v>43300101</v>
      </c>
      <c r="D3544" t="s">
        <v>67</v>
      </c>
      <c r="H3544" t="str">
        <f t="shared" si="366"/>
        <v>04029180371</v>
      </c>
      <c r="I3544" t="str">
        <f t="shared" si="367"/>
        <v>00691781207</v>
      </c>
      <c r="K3544" t="str">
        <f>""</f>
        <v/>
      </c>
      <c r="M3544" t="s">
        <v>68</v>
      </c>
      <c r="N3544" t="str">
        <f t="shared" si="365"/>
        <v>FOR</v>
      </c>
      <c r="O3544" t="s">
        <v>69</v>
      </c>
      <c r="P3544" s="3" t="s">
        <v>75</v>
      </c>
      <c r="Q3544">
        <v>2015</v>
      </c>
      <c r="R3544" s="2">
        <v>42216</v>
      </c>
      <c r="S3544" s="2">
        <v>42219</v>
      </c>
      <c r="T3544" s="2">
        <v>42219</v>
      </c>
      <c r="U3544" s="2">
        <v>42279</v>
      </c>
      <c r="V3544" t="s">
        <v>71</v>
      </c>
      <c r="W3544" t="str">
        <f>"         15030712 Q1"</f>
        <v xml:space="preserve">         15030712 Q1</v>
      </c>
      <c r="X3544">
        <v>671</v>
      </c>
      <c r="Y3544">
        <v>0</v>
      </c>
      <c r="Z3544"/>
      <c r="AB3544"/>
      <c r="AC3544">
        <v>550</v>
      </c>
      <c r="AD3544">
        <v>287</v>
      </c>
      <c r="AE3544" s="1">
        <v>157850</v>
      </c>
      <c r="AF3544">
        <v>0</v>
      </c>
      <c r="AJ3544">
        <v>0</v>
      </c>
      <c r="AK3544">
        <v>0</v>
      </c>
      <c r="AL3544">
        <v>0</v>
      </c>
      <c r="AM3544">
        <v>0</v>
      </c>
      <c r="AN3544">
        <v>0</v>
      </c>
      <c r="AO3544">
        <v>0</v>
      </c>
      <c r="AP3544" s="2">
        <v>42746</v>
      </c>
      <c r="AQ3544" t="s">
        <v>72</v>
      </c>
      <c r="AR3544" t="s">
        <v>72</v>
      </c>
      <c r="AS3544">
        <v>1838</v>
      </c>
      <c r="AT3544" s="4">
        <v>42566</v>
      </c>
      <c r="AU3544" t="s">
        <v>73</v>
      </c>
      <c r="AV3544">
        <v>1838</v>
      </c>
      <c r="AW3544" s="4">
        <v>42566</v>
      </c>
      <c r="BD3544">
        <v>0</v>
      </c>
      <c r="BN3544" t="s">
        <v>74</v>
      </c>
    </row>
    <row r="3545" spans="1:66" hidden="1">
      <c r="A3545">
        <v>101276</v>
      </c>
      <c r="B3545" s="3" t="s">
        <v>397</v>
      </c>
      <c r="C3545" s="1">
        <v>43300101</v>
      </c>
      <c r="D3545" t="s">
        <v>67</v>
      </c>
      <c r="H3545" t="str">
        <f t="shared" si="366"/>
        <v>04029180371</v>
      </c>
      <c r="I3545" t="str">
        <f t="shared" si="367"/>
        <v>00691781207</v>
      </c>
      <c r="K3545" t="str">
        <f>""</f>
        <v/>
      </c>
      <c r="M3545" t="s">
        <v>68</v>
      </c>
      <c r="N3545" t="str">
        <f t="shared" si="365"/>
        <v>FOR</v>
      </c>
      <c r="O3545" t="s">
        <v>69</v>
      </c>
      <c r="P3545" s="3" t="s">
        <v>75</v>
      </c>
      <c r="Q3545">
        <v>2015</v>
      </c>
      <c r="R3545" s="2">
        <v>42258</v>
      </c>
      <c r="S3545" s="2">
        <v>42262</v>
      </c>
      <c r="T3545" s="2">
        <v>42261</v>
      </c>
      <c r="U3545" s="2">
        <v>42321</v>
      </c>
      <c r="V3545" t="s">
        <v>71</v>
      </c>
      <c r="W3545" t="str">
        <f>"         15036597 Q1"</f>
        <v xml:space="preserve">         15036597 Q1</v>
      </c>
      <c r="X3545">
        <v>786.24</v>
      </c>
      <c r="Y3545">
        <v>0</v>
      </c>
      <c r="Z3545"/>
      <c r="AB3545"/>
      <c r="AC3545">
        <v>756</v>
      </c>
      <c r="AD3545">
        <v>299</v>
      </c>
      <c r="AE3545" s="1">
        <v>226044</v>
      </c>
      <c r="AF3545">
        <v>0</v>
      </c>
      <c r="AJ3545">
        <v>0</v>
      </c>
      <c r="AK3545">
        <v>0</v>
      </c>
      <c r="AL3545">
        <v>0</v>
      </c>
      <c r="AM3545">
        <v>0</v>
      </c>
      <c r="AN3545">
        <v>0</v>
      </c>
      <c r="AO3545">
        <v>0</v>
      </c>
      <c r="AP3545" s="2">
        <v>42746</v>
      </c>
      <c r="AQ3545" t="s">
        <v>72</v>
      </c>
      <c r="AR3545" t="s">
        <v>72</v>
      </c>
      <c r="AS3545">
        <v>2327</v>
      </c>
      <c r="AT3545" s="4">
        <v>42620</v>
      </c>
      <c r="AU3545" t="s">
        <v>73</v>
      </c>
      <c r="AV3545">
        <v>2327</v>
      </c>
      <c r="AW3545" s="4">
        <v>42620</v>
      </c>
      <c r="BD3545">
        <v>0</v>
      </c>
      <c r="BN3545" t="s">
        <v>74</v>
      </c>
    </row>
    <row r="3546" spans="1:66" hidden="1">
      <c r="A3546">
        <v>101276</v>
      </c>
      <c r="B3546" s="3" t="s">
        <v>397</v>
      </c>
      <c r="C3546" s="1">
        <v>43300101</v>
      </c>
      <c r="D3546" t="s">
        <v>67</v>
      </c>
      <c r="H3546" t="str">
        <f t="shared" si="366"/>
        <v>04029180371</v>
      </c>
      <c r="I3546" t="str">
        <f t="shared" si="367"/>
        <v>00691781207</v>
      </c>
      <c r="K3546" t="str">
        <f>""</f>
        <v/>
      </c>
      <c r="M3546" t="s">
        <v>68</v>
      </c>
      <c r="N3546" t="str">
        <f t="shared" si="365"/>
        <v>FOR</v>
      </c>
      <c r="O3546" t="s">
        <v>69</v>
      </c>
      <c r="P3546" s="3" t="s">
        <v>75</v>
      </c>
      <c r="Q3546">
        <v>2015</v>
      </c>
      <c r="R3546" s="2">
        <v>42276</v>
      </c>
      <c r="S3546" s="2">
        <v>42282</v>
      </c>
      <c r="T3546" s="2">
        <v>42277</v>
      </c>
      <c r="U3546" s="2">
        <v>42337</v>
      </c>
      <c r="V3546" t="s">
        <v>71</v>
      </c>
      <c r="W3546" t="str">
        <f>"         15038531 Q1"</f>
        <v xml:space="preserve">         15038531 Q1</v>
      </c>
      <c r="X3546" s="1">
        <v>2440</v>
      </c>
      <c r="Y3546">
        <v>0</v>
      </c>
      <c r="Z3546"/>
      <c r="AB3546"/>
      <c r="AC3546" s="1">
        <v>2000</v>
      </c>
      <c r="AD3546">
        <v>283</v>
      </c>
      <c r="AE3546" s="1">
        <v>566000</v>
      </c>
      <c r="AF3546">
        <v>0</v>
      </c>
      <c r="AJ3546">
        <v>0</v>
      </c>
      <c r="AK3546">
        <v>0</v>
      </c>
      <c r="AL3546">
        <v>0</v>
      </c>
      <c r="AM3546">
        <v>0</v>
      </c>
      <c r="AN3546">
        <v>0</v>
      </c>
      <c r="AO3546">
        <v>0</v>
      </c>
      <c r="AP3546" s="2">
        <v>42746</v>
      </c>
      <c r="AQ3546" t="s">
        <v>72</v>
      </c>
      <c r="AR3546" t="s">
        <v>72</v>
      </c>
      <c r="AS3546">
        <v>2327</v>
      </c>
      <c r="AT3546" s="4">
        <v>42620</v>
      </c>
      <c r="AU3546" t="s">
        <v>73</v>
      </c>
      <c r="AV3546">
        <v>2327</v>
      </c>
      <c r="AW3546" s="4">
        <v>42620</v>
      </c>
      <c r="BD3546">
        <v>0</v>
      </c>
      <c r="BN3546" t="s">
        <v>74</v>
      </c>
    </row>
    <row r="3547" spans="1:66" hidden="1">
      <c r="A3547">
        <v>101276</v>
      </c>
      <c r="B3547" s="3" t="s">
        <v>397</v>
      </c>
      <c r="C3547" s="1">
        <v>43300101</v>
      </c>
      <c r="D3547" t="s">
        <v>67</v>
      </c>
      <c r="H3547" t="str">
        <f t="shared" si="366"/>
        <v>04029180371</v>
      </c>
      <c r="I3547" t="str">
        <f t="shared" si="367"/>
        <v>00691781207</v>
      </c>
      <c r="K3547" t="str">
        <f>""</f>
        <v/>
      </c>
      <c r="M3547" t="s">
        <v>68</v>
      </c>
      <c r="N3547" t="str">
        <f t="shared" si="365"/>
        <v>FOR</v>
      </c>
      <c r="O3547" t="s">
        <v>69</v>
      </c>
      <c r="P3547" s="3" t="s">
        <v>75</v>
      </c>
      <c r="Q3547">
        <v>2015</v>
      </c>
      <c r="R3547" s="2">
        <v>42293</v>
      </c>
      <c r="S3547" s="2">
        <v>42296</v>
      </c>
      <c r="T3547" s="2">
        <v>42296</v>
      </c>
      <c r="U3547" s="2">
        <v>42356</v>
      </c>
      <c r="V3547" t="s">
        <v>71</v>
      </c>
      <c r="W3547" t="str">
        <f>"         15042007 Q1"</f>
        <v xml:space="preserve">         15042007 Q1</v>
      </c>
      <c r="X3547" s="1">
        <v>1073.5999999999999</v>
      </c>
      <c r="Y3547">
        <v>0</v>
      </c>
      <c r="Z3547"/>
      <c r="AB3547"/>
      <c r="AC3547">
        <v>880</v>
      </c>
      <c r="AD3547">
        <v>264</v>
      </c>
      <c r="AE3547" s="1">
        <v>232320</v>
      </c>
      <c r="AF3547">
        <v>0</v>
      </c>
      <c r="AJ3547">
        <v>0</v>
      </c>
      <c r="AK3547">
        <v>0</v>
      </c>
      <c r="AL3547">
        <v>0</v>
      </c>
      <c r="AM3547">
        <v>0</v>
      </c>
      <c r="AN3547">
        <v>0</v>
      </c>
      <c r="AO3547">
        <v>0</v>
      </c>
      <c r="AP3547" s="2">
        <v>42746</v>
      </c>
      <c r="AQ3547" t="s">
        <v>72</v>
      </c>
      <c r="AR3547" t="s">
        <v>72</v>
      </c>
      <c r="AS3547">
        <v>2327</v>
      </c>
      <c r="AT3547" s="4">
        <v>42620</v>
      </c>
      <c r="AU3547" t="s">
        <v>73</v>
      </c>
      <c r="AV3547">
        <v>2327</v>
      </c>
      <c r="AW3547" s="4">
        <v>42620</v>
      </c>
      <c r="BD3547">
        <v>0</v>
      </c>
      <c r="BN3547" t="s">
        <v>74</v>
      </c>
    </row>
    <row r="3548" spans="1:66" hidden="1">
      <c r="A3548">
        <v>101276</v>
      </c>
      <c r="B3548" s="3" t="s">
        <v>397</v>
      </c>
      <c r="C3548" s="1">
        <v>43300101</v>
      </c>
      <c r="D3548" t="s">
        <v>67</v>
      </c>
      <c r="H3548" t="str">
        <f t="shared" si="366"/>
        <v>04029180371</v>
      </c>
      <c r="I3548" t="str">
        <f t="shared" si="367"/>
        <v>00691781207</v>
      </c>
      <c r="K3548" t="str">
        <f>""</f>
        <v/>
      </c>
      <c r="M3548" t="s">
        <v>68</v>
      </c>
      <c r="N3548" t="str">
        <f t="shared" si="365"/>
        <v>FOR</v>
      </c>
      <c r="O3548" t="s">
        <v>69</v>
      </c>
      <c r="P3548" s="3" t="s">
        <v>75</v>
      </c>
      <c r="Q3548">
        <v>2015</v>
      </c>
      <c r="R3548" s="2">
        <v>42338</v>
      </c>
      <c r="S3548" s="2">
        <v>42340</v>
      </c>
      <c r="T3548" s="2">
        <v>42339</v>
      </c>
      <c r="U3548" s="2">
        <v>42399</v>
      </c>
      <c r="V3548" t="s">
        <v>71</v>
      </c>
      <c r="W3548" t="str">
        <f>"         15049468 Q1"</f>
        <v xml:space="preserve">         15049468 Q1</v>
      </c>
      <c r="X3548" s="1">
        <v>1610.4</v>
      </c>
      <c r="Y3548">
        <v>0</v>
      </c>
      <c r="Z3548"/>
      <c r="AB3548"/>
      <c r="AC3548" s="1">
        <v>1320</v>
      </c>
      <c r="AD3548">
        <v>221</v>
      </c>
      <c r="AE3548" s="1">
        <v>291720</v>
      </c>
      <c r="AF3548">
        <v>0</v>
      </c>
      <c r="AJ3548">
        <v>0</v>
      </c>
      <c r="AK3548">
        <v>0</v>
      </c>
      <c r="AL3548">
        <v>0</v>
      </c>
      <c r="AM3548">
        <v>0</v>
      </c>
      <c r="AN3548">
        <v>0</v>
      </c>
      <c r="AO3548">
        <v>0</v>
      </c>
      <c r="AP3548" s="2">
        <v>42746</v>
      </c>
      <c r="AQ3548" t="s">
        <v>72</v>
      </c>
      <c r="AR3548" t="s">
        <v>72</v>
      </c>
      <c r="AS3548">
        <v>2327</v>
      </c>
      <c r="AT3548" s="4">
        <v>42620</v>
      </c>
      <c r="AU3548" t="s">
        <v>73</v>
      </c>
      <c r="AV3548">
        <v>2327</v>
      </c>
      <c r="AW3548" s="4">
        <v>42620</v>
      </c>
      <c r="BD3548">
        <v>0</v>
      </c>
      <c r="BN3548" t="s">
        <v>74</v>
      </c>
    </row>
    <row r="3549" spans="1:66">
      <c r="A3549">
        <v>101276</v>
      </c>
      <c r="B3549" s="3" t="s">
        <v>397</v>
      </c>
      <c r="C3549" s="1">
        <v>43300101</v>
      </c>
      <c r="D3549" t="s">
        <v>67</v>
      </c>
      <c r="H3549" t="str">
        <f t="shared" si="366"/>
        <v>04029180371</v>
      </c>
      <c r="I3549" t="str">
        <f t="shared" si="367"/>
        <v>00691781207</v>
      </c>
      <c r="K3549" t="str">
        <f>""</f>
        <v/>
      </c>
      <c r="M3549" t="s">
        <v>68</v>
      </c>
      <c r="N3549" t="str">
        <f t="shared" si="365"/>
        <v>FOR</v>
      </c>
      <c r="O3549" t="s">
        <v>69</v>
      </c>
      <c r="P3549" s="3" t="s">
        <v>75</v>
      </c>
      <c r="Q3549">
        <v>2016</v>
      </c>
      <c r="R3549" s="2">
        <v>42398</v>
      </c>
      <c r="S3549" s="2">
        <v>42410</v>
      </c>
      <c r="T3549" s="2">
        <v>42401</v>
      </c>
      <c r="U3549" s="2">
        <v>42461</v>
      </c>
      <c r="V3549" t="s">
        <v>71</v>
      </c>
      <c r="W3549" t="str">
        <f>"         16002225 Q1"</f>
        <v xml:space="preserve">         16002225 Q1</v>
      </c>
      <c r="X3549" s="1">
        <v>1610.4</v>
      </c>
      <c r="Y3549">
        <v>0</v>
      </c>
      <c r="Z3549" s="5">
        <v>1320</v>
      </c>
      <c r="AA3549">
        <v>231</v>
      </c>
      <c r="AB3549" s="5">
        <v>304920</v>
      </c>
      <c r="AC3549" s="1">
        <v>1320</v>
      </c>
      <c r="AD3549">
        <v>231</v>
      </c>
      <c r="AE3549" s="1">
        <v>304920</v>
      </c>
      <c r="AF3549">
        <v>0</v>
      </c>
      <c r="AJ3549">
        <v>0</v>
      </c>
      <c r="AK3549">
        <v>0</v>
      </c>
      <c r="AL3549">
        <v>0</v>
      </c>
      <c r="AM3549" s="1">
        <v>1610.4</v>
      </c>
      <c r="AN3549" s="1">
        <v>1610.4</v>
      </c>
      <c r="AO3549" s="1">
        <v>1610.4</v>
      </c>
      <c r="AP3549" s="2">
        <v>42746</v>
      </c>
      <c r="AQ3549" t="s">
        <v>72</v>
      </c>
      <c r="AR3549" t="s">
        <v>72</v>
      </c>
      <c r="AS3549">
        <v>3171</v>
      </c>
      <c r="AT3549" s="4">
        <v>42692</v>
      </c>
      <c r="AU3549" t="s">
        <v>73</v>
      </c>
      <c r="AV3549">
        <v>3171</v>
      </c>
      <c r="AW3549" s="4">
        <v>42692</v>
      </c>
      <c r="BD3549">
        <v>0</v>
      </c>
      <c r="BN3549" t="s">
        <v>74</v>
      </c>
    </row>
    <row r="3550" spans="1:66">
      <c r="A3550">
        <v>101276</v>
      </c>
      <c r="B3550" s="3" t="s">
        <v>397</v>
      </c>
      <c r="C3550" s="1">
        <v>43300101</v>
      </c>
      <c r="D3550" t="s">
        <v>67</v>
      </c>
      <c r="H3550" t="str">
        <f t="shared" si="366"/>
        <v>04029180371</v>
      </c>
      <c r="I3550" t="str">
        <f t="shared" si="367"/>
        <v>00691781207</v>
      </c>
      <c r="K3550" t="str">
        <f>""</f>
        <v/>
      </c>
      <c r="M3550" t="s">
        <v>68</v>
      </c>
      <c r="N3550" t="str">
        <f t="shared" si="365"/>
        <v>FOR</v>
      </c>
      <c r="O3550" t="s">
        <v>69</v>
      </c>
      <c r="P3550" s="3" t="s">
        <v>75</v>
      </c>
      <c r="Q3550">
        <v>2016</v>
      </c>
      <c r="R3550" s="2">
        <v>42429</v>
      </c>
      <c r="S3550" s="2">
        <v>42443</v>
      </c>
      <c r="T3550" s="2">
        <v>42440</v>
      </c>
      <c r="U3550" s="2">
        <v>42500</v>
      </c>
      <c r="V3550" t="s">
        <v>71</v>
      </c>
      <c r="W3550" t="str">
        <f>"         16007535 Q1"</f>
        <v xml:space="preserve">         16007535 Q1</v>
      </c>
      <c r="X3550" s="1">
        <v>2440</v>
      </c>
      <c r="Y3550">
        <v>0</v>
      </c>
      <c r="Z3550" s="5">
        <v>2000</v>
      </c>
      <c r="AA3550">
        <v>192</v>
      </c>
      <c r="AB3550" s="5">
        <v>384000</v>
      </c>
      <c r="AC3550" s="1">
        <v>2000</v>
      </c>
      <c r="AD3550">
        <v>192</v>
      </c>
      <c r="AE3550" s="1">
        <v>384000</v>
      </c>
      <c r="AF3550">
        <v>0</v>
      </c>
      <c r="AJ3550">
        <v>0</v>
      </c>
      <c r="AK3550">
        <v>0</v>
      </c>
      <c r="AL3550">
        <v>0</v>
      </c>
      <c r="AM3550" s="1">
        <v>2440</v>
      </c>
      <c r="AN3550" s="1">
        <v>2440</v>
      </c>
      <c r="AO3550" s="1">
        <v>2440</v>
      </c>
      <c r="AP3550" s="2">
        <v>42746</v>
      </c>
      <c r="AQ3550" t="s">
        <v>72</v>
      </c>
      <c r="AR3550" t="s">
        <v>72</v>
      </c>
      <c r="AS3550">
        <v>3171</v>
      </c>
      <c r="AT3550" s="4">
        <v>42692</v>
      </c>
      <c r="AU3550" t="s">
        <v>73</v>
      </c>
      <c r="AV3550">
        <v>3171</v>
      </c>
      <c r="AW3550" s="4">
        <v>42692</v>
      </c>
      <c r="BD3550">
        <v>0</v>
      </c>
      <c r="BN3550" t="s">
        <v>74</v>
      </c>
    </row>
    <row r="3551" spans="1:66">
      <c r="A3551">
        <v>101276</v>
      </c>
      <c r="B3551" s="3" t="s">
        <v>397</v>
      </c>
      <c r="C3551" s="1">
        <v>43300101</v>
      </c>
      <c r="D3551" t="s">
        <v>67</v>
      </c>
      <c r="H3551" t="str">
        <f t="shared" si="366"/>
        <v>04029180371</v>
      </c>
      <c r="I3551" t="str">
        <f t="shared" si="367"/>
        <v>00691781207</v>
      </c>
      <c r="K3551" t="str">
        <f>""</f>
        <v/>
      </c>
      <c r="M3551" t="s">
        <v>68</v>
      </c>
      <c r="N3551" t="str">
        <f t="shared" si="365"/>
        <v>FOR</v>
      </c>
      <c r="O3551" t="s">
        <v>69</v>
      </c>
      <c r="P3551" s="3" t="s">
        <v>75</v>
      </c>
      <c r="Q3551">
        <v>2016</v>
      </c>
      <c r="R3551" s="2">
        <v>42460</v>
      </c>
      <c r="S3551" s="2">
        <v>42473</v>
      </c>
      <c r="T3551" s="2">
        <v>42466</v>
      </c>
      <c r="U3551" s="2">
        <v>42526</v>
      </c>
      <c r="V3551" t="s">
        <v>71</v>
      </c>
      <c r="W3551" t="str">
        <f>"         16013119 Q1"</f>
        <v xml:space="preserve">         16013119 Q1</v>
      </c>
      <c r="X3551" s="1">
        <v>1073.5999999999999</v>
      </c>
      <c r="Y3551">
        <v>0</v>
      </c>
      <c r="Z3551" s="3">
        <v>880</v>
      </c>
      <c r="AA3551">
        <v>166</v>
      </c>
      <c r="AB3551" s="5">
        <v>146080</v>
      </c>
      <c r="AC3551">
        <v>880</v>
      </c>
      <c r="AD3551">
        <v>166</v>
      </c>
      <c r="AE3551" s="1">
        <v>146080</v>
      </c>
      <c r="AF3551">
        <v>0</v>
      </c>
      <c r="AJ3551">
        <v>0</v>
      </c>
      <c r="AK3551">
        <v>0</v>
      </c>
      <c r="AL3551">
        <v>0</v>
      </c>
      <c r="AM3551" s="1">
        <v>1073.5999999999999</v>
      </c>
      <c r="AN3551" s="1">
        <v>1073.5999999999999</v>
      </c>
      <c r="AO3551" s="1">
        <v>1073.5999999999999</v>
      </c>
      <c r="AP3551" s="2">
        <v>42746</v>
      </c>
      <c r="AQ3551" t="s">
        <v>72</v>
      </c>
      <c r="AR3551" t="s">
        <v>72</v>
      </c>
      <c r="AS3551">
        <v>3171</v>
      </c>
      <c r="AT3551" s="4">
        <v>42692</v>
      </c>
      <c r="AU3551" t="s">
        <v>73</v>
      </c>
      <c r="AV3551">
        <v>3171</v>
      </c>
      <c r="AW3551" s="4">
        <v>42692</v>
      </c>
      <c r="BD3551">
        <v>0</v>
      </c>
      <c r="BN3551" t="s">
        <v>74</v>
      </c>
    </row>
    <row r="3552" spans="1:66">
      <c r="A3552">
        <v>101276</v>
      </c>
      <c r="B3552" s="3" t="s">
        <v>397</v>
      </c>
      <c r="C3552" s="1">
        <v>43300101</v>
      </c>
      <c r="D3552" t="s">
        <v>67</v>
      </c>
      <c r="H3552" t="str">
        <f t="shared" si="366"/>
        <v>04029180371</v>
      </c>
      <c r="I3552" t="str">
        <f t="shared" si="367"/>
        <v>00691781207</v>
      </c>
      <c r="K3552" t="str">
        <f>""</f>
        <v/>
      </c>
      <c r="M3552" t="s">
        <v>68</v>
      </c>
      <c r="N3552" t="str">
        <f t="shared" si="365"/>
        <v>FOR</v>
      </c>
      <c r="O3552" t="s">
        <v>69</v>
      </c>
      <c r="P3552" s="3" t="s">
        <v>75</v>
      </c>
      <c r="Q3552">
        <v>2016</v>
      </c>
      <c r="R3552" s="2">
        <v>42460</v>
      </c>
      <c r="S3552" s="2">
        <v>42473</v>
      </c>
      <c r="T3552" s="2">
        <v>42466</v>
      </c>
      <c r="U3552" s="2">
        <v>42526</v>
      </c>
      <c r="V3552" t="s">
        <v>71</v>
      </c>
      <c r="W3552" t="str">
        <f>"         16013120 Q1"</f>
        <v xml:space="preserve">         16013120 Q1</v>
      </c>
      <c r="X3552" s="1">
        <v>3904</v>
      </c>
      <c r="Y3552">
        <v>0</v>
      </c>
      <c r="Z3552" s="5">
        <v>3200</v>
      </c>
      <c r="AA3552">
        <v>166</v>
      </c>
      <c r="AB3552" s="5">
        <v>531200</v>
      </c>
      <c r="AC3552" s="1">
        <v>3200</v>
      </c>
      <c r="AD3552">
        <v>166</v>
      </c>
      <c r="AE3552" s="1">
        <v>531200</v>
      </c>
      <c r="AF3552">
        <v>0</v>
      </c>
      <c r="AJ3552">
        <v>0</v>
      </c>
      <c r="AK3552">
        <v>0</v>
      </c>
      <c r="AL3552">
        <v>0</v>
      </c>
      <c r="AM3552" s="1">
        <v>3904</v>
      </c>
      <c r="AN3552" s="1">
        <v>3904</v>
      </c>
      <c r="AO3552" s="1">
        <v>3904</v>
      </c>
      <c r="AP3552" s="2">
        <v>42746</v>
      </c>
      <c r="AQ3552" t="s">
        <v>72</v>
      </c>
      <c r="AR3552" t="s">
        <v>72</v>
      </c>
      <c r="AS3552">
        <v>3171</v>
      </c>
      <c r="AT3552" s="4">
        <v>42692</v>
      </c>
      <c r="AU3552" t="s">
        <v>73</v>
      </c>
      <c r="AV3552">
        <v>3171</v>
      </c>
      <c r="AW3552" s="4">
        <v>42692</v>
      </c>
      <c r="BD3552">
        <v>0</v>
      </c>
      <c r="BN3552" t="s">
        <v>74</v>
      </c>
    </row>
    <row r="3553" spans="1:66">
      <c r="A3553">
        <v>101276</v>
      </c>
      <c r="B3553" s="3" t="s">
        <v>397</v>
      </c>
      <c r="C3553" s="1">
        <v>43300101</v>
      </c>
      <c r="D3553" t="s">
        <v>67</v>
      </c>
      <c r="H3553" t="str">
        <f t="shared" si="366"/>
        <v>04029180371</v>
      </c>
      <c r="I3553" t="str">
        <f t="shared" si="367"/>
        <v>00691781207</v>
      </c>
      <c r="K3553" t="str">
        <f>""</f>
        <v/>
      </c>
      <c r="M3553" t="s">
        <v>68</v>
      </c>
      <c r="N3553" t="str">
        <f t="shared" si="365"/>
        <v>FOR</v>
      </c>
      <c r="O3553" t="s">
        <v>69</v>
      </c>
      <c r="P3553" s="3" t="s">
        <v>75</v>
      </c>
      <c r="Q3553">
        <v>2016</v>
      </c>
      <c r="R3553" s="2">
        <v>42503</v>
      </c>
      <c r="S3553" s="2">
        <v>42507</v>
      </c>
      <c r="T3553" s="2">
        <v>42506</v>
      </c>
      <c r="U3553" s="2">
        <v>42566</v>
      </c>
      <c r="V3553" t="s">
        <v>71</v>
      </c>
      <c r="W3553" t="str">
        <f>"         16020384 Q1"</f>
        <v xml:space="preserve">         16020384 Q1</v>
      </c>
      <c r="X3553">
        <v>805.2</v>
      </c>
      <c r="Y3553">
        <v>0</v>
      </c>
      <c r="Z3553" s="3">
        <v>660</v>
      </c>
      <c r="AA3553">
        <v>126</v>
      </c>
      <c r="AB3553" s="5">
        <v>83160</v>
      </c>
      <c r="AC3553">
        <v>660</v>
      </c>
      <c r="AD3553">
        <v>126</v>
      </c>
      <c r="AE3553" s="1">
        <v>83160</v>
      </c>
      <c r="AF3553">
        <v>0</v>
      </c>
      <c r="AJ3553">
        <v>0</v>
      </c>
      <c r="AK3553">
        <v>0</v>
      </c>
      <c r="AL3553">
        <v>0</v>
      </c>
      <c r="AM3553">
        <v>805.2</v>
      </c>
      <c r="AN3553">
        <v>805.2</v>
      </c>
      <c r="AO3553">
        <v>805.2</v>
      </c>
      <c r="AP3553" s="2">
        <v>42746</v>
      </c>
      <c r="AQ3553" t="s">
        <v>72</v>
      </c>
      <c r="AR3553" t="s">
        <v>72</v>
      </c>
      <c r="AS3553">
        <v>3171</v>
      </c>
      <c r="AT3553" s="4">
        <v>42692</v>
      </c>
      <c r="AU3553" t="s">
        <v>73</v>
      </c>
      <c r="AV3553">
        <v>3171</v>
      </c>
      <c r="AW3553" s="4">
        <v>42692</v>
      </c>
      <c r="BD3553">
        <v>0</v>
      </c>
      <c r="BN3553" t="s">
        <v>74</v>
      </c>
    </row>
    <row r="3554" spans="1:66">
      <c r="A3554">
        <v>101276</v>
      </c>
      <c r="B3554" s="3" t="s">
        <v>397</v>
      </c>
      <c r="C3554" s="1">
        <v>43300101</v>
      </c>
      <c r="D3554" t="s">
        <v>67</v>
      </c>
      <c r="H3554" t="str">
        <f t="shared" si="366"/>
        <v>04029180371</v>
      </c>
      <c r="I3554" t="str">
        <f t="shared" si="367"/>
        <v>00691781207</v>
      </c>
      <c r="K3554" t="str">
        <f>""</f>
        <v/>
      </c>
      <c r="M3554" t="s">
        <v>68</v>
      </c>
      <c r="N3554" t="str">
        <f t="shared" si="365"/>
        <v>FOR</v>
      </c>
      <c r="O3554" t="s">
        <v>69</v>
      </c>
      <c r="P3554" s="3" t="s">
        <v>75</v>
      </c>
      <c r="Q3554">
        <v>2016</v>
      </c>
      <c r="R3554" s="2">
        <v>42566</v>
      </c>
      <c r="S3554" s="2">
        <v>42571</v>
      </c>
      <c r="T3554" s="2">
        <v>42569</v>
      </c>
      <c r="U3554" s="2">
        <v>42629</v>
      </c>
      <c r="V3554" t="s">
        <v>71</v>
      </c>
      <c r="W3554" t="str">
        <f>"         16030757 Q1"</f>
        <v xml:space="preserve">         16030757 Q1</v>
      </c>
      <c r="X3554" s="1">
        <v>4880</v>
      </c>
      <c r="Y3554">
        <v>0</v>
      </c>
      <c r="Z3554" s="5">
        <v>4000</v>
      </c>
      <c r="AA3554">
        <v>63</v>
      </c>
      <c r="AB3554" s="5">
        <v>252000</v>
      </c>
      <c r="AC3554" s="1">
        <v>4000</v>
      </c>
      <c r="AD3554">
        <v>63</v>
      </c>
      <c r="AE3554" s="1">
        <v>252000</v>
      </c>
      <c r="AF3554">
        <v>0</v>
      </c>
      <c r="AJ3554">
        <v>0</v>
      </c>
      <c r="AK3554">
        <v>0</v>
      </c>
      <c r="AL3554">
        <v>0</v>
      </c>
      <c r="AM3554" s="1">
        <v>4880</v>
      </c>
      <c r="AN3554" s="1">
        <v>4880</v>
      </c>
      <c r="AO3554" s="1">
        <v>4880</v>
      </c>
      <c r="AP3554" s="2">
        <v>42746</v>
      </c>
      <c r="AQ3554" t="s">
        <v>72</v>
      </c>
      <c r="AR3554" t="s">
        <v>72</v>
      </c>
      <c r="AS3554">
        <v>3171</v>
      </c>
      <c r="AT3554" s="4">
        <v>42692</v>
      </c>
      <c r="AU3554" t="s">
        <v>73</v>
      </c>
      <c r="AV3554">
        <v>3171</v>
      </c>
      <c r="AW3554" s="4">
        <v>42692</v>
      </c>
      <c r="BD3554">
        <v>0</v>
      </c>
      <c r="BN3554" t="s">
        <v>74</v>
      </c>
    </row>
    <row r="3555" spans="1:66">
      <c r="A3555">
        <v>101276</v>
      </c>
      <c r="B3555" s="3" t="s">
        <v>397</v>
      </c>
      <c r="C3555" s="1">
        <v>43300101</v>
      </c>
      <c r="D3555" t="s">
        <v>67</v>
      </c>
      <c r="H3555" t="str">
        <f t="shared" si="366"/>
        <v>04029180371</v>
      </c>
      <c r="I3555" t="str">
        <f t="shared" si="367"/>
        <v>00691781207</v>
      </c>
      <c r="K3555" t="str">
        <f>""</f>
        <v/>
      </c>
      <c r="M3555" t="s">
        <v>68</v>
      </c>
      <c r="N3555" t="str">
        <f t="shared" si="365"/>
        <v>FOR</v>
      </c>
      <c r="O3555" t="s">
        <v>69</v>
      </c>
      <c r="P3555" s="3" t="s">
        <v>75</v>
      </c>
      <c r="Q3555">
        <v>2016</v>
      </c>
      <c r="R3555" s="2">
        <v>42566</v>
      </c>
      <c r="S3555" s="2">
        <v>42571</v>
      </c>
      <c r="T3555" s="2">
        <v>42569</v>
      </c>
      <c r="U3555" s="2">
        <v>42629</v>
      </c>
      <c r="V3555" t="s">
        <v>71</v>
      </c>
      <c r="W3555" t="str">
        <f>"         16030758 Q1"</f>
        <v xml:space="preserve">         16030758 Q1</v>
      </c>
      <c r="X3555" s="1">
        <v>1073.5999999999999</v>
      </c>
      <c r="Y3555">
        <v>0</v>
      </c>
      <c r="Z3555" s="3">
        <v>880</v>
      </c>
      <c r="AA3555">
        <v>63</v>
      </c>
      <c r="AB3555" s="5">
        <v>55440</v>
      </c>
      <c r="AC3555">
        <v>880</v>
      </c>
      <c r="AD3555">
        <v>63</v>
      </c>
      <c r="AE3555" s="1">
        <v>55440</v>
      </c>
      <c r="AF3555">
        <v>0</v>
      </c>
      <c r="AJ3555">
        <v>0</v>
      </c>
      <c r="AK3555">
        <v>0</v>
      </c>
      <c r="AL3555">
        <v>0</v>
      </c>
      <c r="AM3555" s="1">
        <v>1073.5999999999999</v>
      </c>
      <c r="AN3555" s="1">
        <v>1073.5999999999999</v>
      </c>
      <c r="AO3555" s="1">
        <v>1073.5999999999999</v>
      </c>
      <c r="AP3555" s="2">
        <v>42746</v>
      </c>
      <c r="AQ3555" t="s">
        <v>72</v>
      </c>
      <c r="AR3555" t="s">
        <v>72</v>
      </c>
      <c r="AS3555">
        <v>3171</v>
      </c>
      <c r="AT3555" s="4">
        <v>42692</v>
      </c>
      <c r="AU3555" t="s">
        <v>73</v>
      </c>
      <c r="AV3555">
        <v>3171</v>
      </c>
      <c r="AW3555" s="4">
        <v>42692</v>
      </c>
      <c r="BD3555">
        <v>0</v>
      </c>
      <c r="BN3555" t="s">
        <v>74</v>
      </c>
    </row>
    <row r="3556" spans="1:66" hidden="1">
      <c r="A3556">
        <v>101281</v>
      </c>
      <c r="B3556" s="3" t="s">
        <v>398</v>
      </c>
      <c r="C3556" s="1">
        <v>43300101</v>
      </c>
      <c r="D3556" t="s">
        <v>67</v>
      </c>
      <c r="H3556" t="str">
        <f t="shared" ref="H3556:I3568" si="368">"04640180636"</f>
        <v>04640180636</v>
      </c>
      <c r="I3556" t="str">
        <f t="shared" si="368"/>
        <v>04640180636</v>
      </c>
      <c r="K3556" t="str">
        <f>""</f>
        <v/>
      </c>
      <c r="M3556" t="s">
        <v>68</v>
      </c>
      <c r="N3556" t="str">
        <f t="shared" si="365"/>
        <v>FOR</v>
      </c>
      <c r="O3556" t="s">
        <v>69</v>
      </c>
      <c r="P3556" s="3" t="s">
        <v>75</v>
      </c>
      <c r="Q3556">
        <v>2015</v>
      </c>
      <c r="R3556" s="2">
        <v>42124</v>
      </c>
      <c r="S3556" s="2">
        <v>42177</v>
      </c>
      <c r="T3556" s="2">
        <v>42174</v>
      </c>
      <c r="U3556" s="2">
        <v>42234</v>
      </c>
      <c r="V3556" t="s">
        <v>71</v>
      </c>
      <c r="W3556" t="str">
        <f>"                9/64"</f>
        <v xml:space="preserve">                9/64</v>
      </c>
      <c r="X3556" s="1">
        <v>1967.62</v>
      </c>
      <c r="Y3556">
        <v>0</v>
      </c>
      <c r="Z3556"/>
      <c r="AB3556"/>
      <c r="AC3556" s="1">
        <v>1612.8</v>
      </c>
      <c r="AD3556">
        <v>169</v>
      </c>
      <c r="AE3556" s="1">
        <v>272563.20000000001</v>
      </c>
      <c r="AF3556">
        <v>0</v>
      </c>
      <c r="AJ3556">
        <v>0</v>
      </c>
      <c r="AK3556">
        <v>0</v>
      </c>
      <c r="AL3556">
        <v>0</v>
      </c>
      <c r="AM3556">
        <v>0</v>
      </c>
      <c r="AN3556">
        <v>0</v>
      </c>
      <c r="AO3556">
        <v>0</v>
      </c>
      <c r="AP3556" s="2">
        <v>42746</v>
      </c>
      <c r="AQ3556" t="s">
        <v>72</v>
      </c>
      <c r="AR3556" t="s">
        <v>72</v>
      </c>
      <c r="AS3556">
        <v>218</v>
      </c>
      <c r="AT3556" s="4">
        <v>42403</v>
      </c>
      <c r="AU3556" t="s">
        <v>73</v>
      </c>
      <c r="AV3556">
        <v>218</v>
      </c>
      <c r="AW3556" s="4">
        <v>42403</v>
      </c>
      <c r="BD3556">
        <v>0</v>
      </c>
      <c r="BN3556" t="s">
        <v>74</v>
      </c>
    </row>
    <row r="3557" spans="1:66" hidden="1">
      <c r="A3557">
        <v>101281</v>
      </c>
      <c r="B3557" s="3" t="s">
        <v>398</v>
      </c>
      <c r="C3557" s="1">
        <v>43300101</v>
      </c>
      <c r="D3557" t="s">
        <v>67</v>
      </c>
      <c r="H3557" t="str">
        <f t="shared" si="368"/>
        <v>04640180636</v>
      </c>
      <c r="I3557" t="str">
        <f t="shared" si="368"/>
        <v>04640180636</v>
      </c>
      <c r="K3557" t="str">
        <f>""</f>
        <v/>
      </c>
      <c r="M3557" t="s">
        <v>68</v>
      </c>
      <c r="N3557" t="str">
        <f t="shared" si="365"/>
        <v>FOR</v>
      </c>
      <c r="O3557" t="s">
        <v>69</v>
      </c>
      <c r="P3557" s="3" t="s">
        <v>75</v>
      </c>
      <c r="Q3557">
        <v>2015</v>
      </c>
      <c r="R3557" s="2">
        <v>42170</v>
      </c>
      <c r="S3557" s="2">
        <v>42215</v>
      </c>
      <c r="T3557" s="2">
        <v>42214</v>
      </c>
      <c r="U3557" s="2">
        <v>42274</v>
      </c>
      <c r="V3557" t="s">
        <v>71</v>
      </c>
      <c r="W3557" t="str">
        <f>"               9/303"</f>
        <v xml:space="preserve">               9/303</v>
      </c>
      <c r="X3557" s="1">
        <v>4348.08</v>
      </c>
      <c r="Y3557">
        <v>0</v>
      </c>
      <c r="Z3557"/>
      <c r="AB3557"/>
      <c r="AC3557" s="1">
        <v>3564</v>
      </c>
      <c r="AD3557">
        <v>246</v>
      </c>
      <c r="AE3557" s="1">
        <v>876744</v>
      </c>
      <c r="AF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0</v>
      </c>
      <c r="AP3557" s="2">
        <v>42746</v>
      </c>
      <c r="AQ3557" t="s">
        <v>72</v>
      </c>
      <c r="AR3557" t="s">
        <v>72</v>
      </c>
      <c r="AS3557">
        <v>1406</v>
      </c>
      <c r="AT3557" s="4">
        <v>42520</v>
      </c>
      <c r="AU3557" t="s">
        <v>73</v>
      </c>
      <c r="AV3557">
        <v>1406</v>
      </c>
      <c r="AW3557" s="4">
        <v>42520</v>
      </c>
      <c r="BD3557">
        <v>0</v>
      </c>
      <c r="BN3557" t="s">
        <v>74</v>
      </c>
    </row>
    <row r="3558" spans="1:66" hidden="1">
      <c r="A3558">
        <v>101281</v>
      </c>
      <c r="B3558" s="3" t="s">
        <v>398</v>
      </c>
      <c r="C3558" s="1">
        <v>43300101</v>
      </c>
      <c r="D3558" t="s">
        <v>67</v>
      </c>
      <c r="H3558" t="str">
        <f t="shared" si="368"/>
        <v>04640180636</v>
      </c>
      <c r="I3558" t="str">
        <f t="shared" si="368"/>
        <v>04640180636</v>
      </c>
      <c r="K3558" t="str">
        <f>""</f>
        <v/>
      </c>
      <c r="M3558" t="s">
        <v>68</v>
      </c>
      <c r="N3558" t="str">
        <f t="shared" si="365"/>
        <v>FOR</v>
      </c>
      <c r="O3558" t="s">
        <v>69</v>
      </c>
      <c r="P3558" s="3" t="s">
        <v>75</v>
      </c>
      <c r="Q3558">
        <v>2015</v>
      </c>
      <c r="R3558" s="2">
        <v>42185</v>
      </c>
      <c r="S3558" s="2">
        <v>42215</v>
      </c>
      <c r="T3558" s="2">
        <v>42214</v>
      </c>
      <c r="U3558" s="2">
        <v>42274</v>
      </c>
      <c r="V3558" t="s">
        <v>71</v>
      </c>
      <c r="W3558" t="str">
        <f>"               9/396"</f>
        <v xml:space="preserve">               9/396</v>
      </c>
      <c r="X3558" s="1">
        <v>2295.5500000000002</v>
      </c>
      <c r="Y3558">
        <v>0</v>
      </c>
      <c r="Z3558"/>
      <c r="AB3558"/>
      <c r="AC3558" s="1">
        <v>1881.6</v>
      </c>
      <c r="AD3558">
        <v>129</v>
      </c>
      <c r="AE3558" s="1">
        <v>242726.39999999999</v>
      </c>
      <c r="AF3558">
        <v>0</v>
      </c>
      <c r="AJ3558">
        <v>0</v>
      </c>
      <c r="AK3558">
        <v>0</v>
      </c>
      <c r="AL3558">
        <v>0</v>
      </c>
      <c r="AM3558">
        <v>0</v>
      </c>
      <c r="AN3558">
        <v>0</v>
      </c>
      <c r="AO3558">
        <v>0</v>
      </c>
      <c r="AP3558" s="2">
        <v>42746</v>
      </c>
      <c r="AQ3558" t="s">
        <v>72</v>
      </c>
      <c r="AR3558" t="s">
        <v>72</v>
      </c>
      <c r="AS3558">
        <v>218</v>
      </c>
      <c r="AT3558" s="4">
        <v>42403</v>
      </c>
      <c r="AU3558" t="s">
        <v>73</v>
      </c>
      <c r="AV3558">
        <v>218</v>
      </c>
      <c r="AW3558" s="4">
        <v>42403</v>
      </c>
      <c r="BD3558">
        <v>0</v>
      </c>
      <c r="BN3558" t="s">
        <v>74</v>
      </c>
    </row>
    <row r="3559" spans="1:66" hidden="1">
      <c r="A3559">
        <v>101281</v>
      </c>
      <c r="B3559" s="3" t="s">
        <v>398</v>
      </c>
      <c r="C3559" s="1">
        <v>43300101</v>
      </c>
      <c r="D3559" t="s">
        <v>67</v>
      </c>
      <c r="H3559" t="str">
        <f t="shared" si="368"/>
        <v>04640180636</v>
      </c>
      <c r="I3559" t="str">
        <f t="shared" si="368"/>
        <v>04640180636</v>
      </c>
      <c r="K3559" t="str">
        <f>""</f>
        <v/>
      </c>
      <c r="M3559" t="s">
        <v>68</v>
      </c>
      <c r="N3559" t="str">
        <f t="shared" si="365"/>
        <v>FOR</v>
      </c>
      <c r="O3559" t="s">
        <v>69</v>
      </c>
      <c r="P3559" s="3" t="s">
        <v>75</v>
      </c>
      <c r="Q3559">
        <v>2015</v>
      </c>
      <c r="R3559" s="2">
        <v>42185</v>
      </c>
      <c r="S3559" s="2">
        <v>42215</v>
      </c>
      <c r="T3559" s="2">
        <v>42214</v>
      </c>
      <c r="U3559" s="2">
        <v>42274</v>
      </c>
      <c r="V3559" t="s">
        <v>71</v>
      </c>
      <c r="W3559" t="str">
        <f>"               9/397"</f>
        <v xml:space="preserve">               9/397</v>
      </c>
      <c r="X3559" s="1">
        <v>4348.08</v>
      </c>
      <c r="Y3559">
        <v>0</v>
      </c>
      <c r="Z3559"/>
      <c r="AB3559"/>
      <c r="AC3559" s="1">
        <v>3564</v>
      </c>
      <c r="AD3559">
        <v>246</v>
      </c>
      <c r="AE3559" s="1">
        <v>876744</v>
      </c>
      <c r="AF3559">
        <v>0</v>
      </c>
      <c r="AJ3559">
        <v>0</v>
      </c>
      <c r="AK3559">
        <v>0</v>
      </c>
      <c r="AL3559">
        <v>0</v>
      </c>
      <c r="AM3559">
        <v>0</v>
      </c>
      <c r="AN3559">
        <v>0</v>
      </c>
      <c r="AO3559">
        <v>0</v>
      </c>
      <c r="AP3559" s="2">
        <v>42746</v>
      </c>
      <c r="AQ3559" t="s">
        <v>72</v>
      </c>
      <c r="AR3559" t="s">
        <v>72</v>
      </c>
      <c r="AS3559">
        <v>1406</v>
      </c>
      <c r="AT3559" s="4">
        <v>42520</v>
      </c>
      <c r="AU3559" t="s">
        <v>73</v>
      </c>
      <c r="AV3559">
        <v>1406</v>
      </c>
      <c r="AW3559" s="4">
        <v>42520</v>
      </c>
      <c r="BD3559">
        <v>0</v>
      </c>
      <c r="BN3559" t="s">
        <v>74</v>
      </c>
    </row>
    <row r="3560" spans="1:66">
      <c r="A3560">
        <v>101281</v>
      </c>
      <c r="B3560" s="3" t="s">
        <v>398</v>
      </c>
      <c r="C3560" s="1">
        <v>43300101</v>
      </c>
      <c r="D3560" t="s">
        <v>67</v>
      </c>
      <c r="H3560" t="str">
        <f t="shared" si="368"/>
        <v>04640180636</v>
      </c>
      <c r="I3560" t="str">
        <f t="shared" si="368"/>
        <v>04640180636</v>
      </c>
      <c r="K3560" t="str">
        <f>""</f>
        <v/>
      </c>
      <c r="M3560" t="s">
        <v>68</v>
      </c>
      <c r="N3560" t="str">
        <f t="shared" si="365"/>
        <v>FOR</v>
      </c>
      <c r="O3560" t="s">
        <v>69</v>
      </c>
      <c r="P3560" s="3" t="s">
        <v>75</v>
      </c>
      <c r="Q3560">
        <v>2015</v>
      </c>
      <c r="R3560" s="2">
        <v>42292</v>
      </c>
      <c r="S3560" s="2">
        <v>42326</v>
      </c>
      <c r="T3560" s="2">
        <v>42324</v>
      </c>
      <c r="U3560" s="2">
        <v>42384</v>
      </c>
      <c r="V3560" t="s">
        <v>71</v>
      </c>
      <c r="W3560" t="str">
        <f>"               9/813"</f>
        <v xml:space="preserve">               9/813</v>
      </c>
      <c r="X3560" s="1">
        <v>2295.5500000000002</v>
      </c>
      <c r="Y3560">
        <v>0</v>
      </c>
      <c r="Z3560" s="5">
        <v>1881.6</v>
      </c>
      <c r="AA3560">
        <v>264</v>
      </c>
      <c r="AB3560" s="5">
        <v>496742.40000000002</v>
      </c>
      <c r="AC3560" s="1">
        <v>1881.6</v>
      </c>
      <c r="AD3560">
        <v>264</v>
      </c>
      <c r="AE3560" s="1">
        <v>496742.40000000002</v>
      </c>
      <c r="AF3560">
        <v>0</v>
      </c>
      <c r="AJ3560">
        <v>0</v>
      </c>
      <c r="AK3560">
        <v>0</v>
      </c>
      <c r="AL3560">
        <v>0</v>
      </c>
      <c r="AM3560">
        <v>0</v>
      </c>
      <c r="AN3560">
        <v>0</v>
      </c>
      <c r="AO3560">
        <v>0</v>
      </c>
      <c r="AP3560" s="2">
        <v>42746</v>
      </c>
      <c r="AQ3560" t="s">
        <v>72</v>
      </c>
      <c r="AR3560" t="s">
        <v>72</v>
      </c>
      <c r="AS3560">
        <v>2681</v>
      </c>
      <c r="AT3560" s="4">
        <v>42648</v>
      </c>
      <c r="AU3560" t="s">
        <v>73</v>
      </c>
      <c r="AV3560">
        <v>2681</v>
      </c>
      <c r="AW3560" s="4">
        <v>42648</v>
      </c>
      <c r="BD3560">
        <v>0</v>
      </c>
      <c r="BN3560" t="s">
        <v>74</v>
      </c>
    </row>
    <row r="3561" spans="1:66">
      <c r="A3561">
        <v>101281</v>
      </c>
      <c r="B3561" s="3" t="s">
        <v>398</v>
      </c>
      <c r="C3561" s="1">
        <v>43300101</v>
      </c>
      <c r="D3561" t="s">
        <v>67</v>
      </c>
      <c r="H3561" t="str">
        <f t="shared" si="368"/>
        <v>04640180636</v>
      </c>
      <c r="I3561" t="str">
        <f t="shared" si="368"/>
        <v>04640180636</v>
      </c>
      <c r="K3561" t="str">
        <f>""</f>
        <v/>
      </c>
      <c r="M3561" t="s">
        <v>68</v>
      </c>
      <c r="N3561" t="str">
        <f t="shared" si="365"/>
        <v>FOR</v>
      </c>
      <c r="O3561" t="s">
        <v>69</v>
      </c>
      <c r="P3561" s="3" t="s">
        <v>75</v>
      </c>
      <c r="Q3561">
        <v>2015</v>
      </c>
      <c r="R3561" s="2">
        <v>42307</v>
      </c>
      <c r="S3561" s="2">
        <v>42325</v>
      </c>
      <c r="T3561" s="2">
        <v>42325</v>
      </c>
      <c r="U3561" s="2">
        <v>42385</v>
      </c>
      <c r="V3561" t="s">
        <v>71</v>
      </c>
      <c r="W3561" t="str">
        <f>"               9/906"</f>
        <v xml:space="preserve">               9/906</v>
      </c>
      <c r="X3561" s="1">
        <v>2562</v>
      </c>
      <c r="Y3561">
        <v>0</v>
      </c>
      <c r="Z3561" s="5">
        <v>2100</v>
      </c>
      <c r="AA3561">
        <v>333</v>
      </c>
      <c r="AB3561" s="5">
        <v>699300</v>
      </c>
      <c r="AC3561" s="1">
        <v>2100</v>
      </c>
      <c r="AD3561">
        <v>333</v>
      </c>
      <c r="AE3561" s="1">
        <v>699300</v>
      </c>
      <c r="AF3561">
        <v>462</v>
      </c>
      <c r="AJ3561">
        <v>0</v>
      </c>
      <c r="AK3561">
        <v>0</v>
      </c>
      <c r="AL3561">
        <v>0</v>
      </c>
      <c r="AM3561">
        <v>0</v>
      </c>
      <c r="AN3561">
        <v>0</v>
      </c>
      <c r="AO3561">
        <v>0</v>
      </c>
      <c r="AP3561" s="2">
        <v>42746</v>
      </c>
      <c r="AQ3561" t="s">
        <v>72</v>
      </c>
      <c r="AR3561" t="s">
        <v>72</v>
      </c>
      <c r="AS3561">
        <v>3493</v>
      </c>
      <c r="AT3561" s="4">
        <v>42718</v>
      </c>
      <c r="AU3561" t="s">
        <v>73</v>
      </c>
      <c r="AV3561">
        <v>3493</v>
      </c>
      <c r="AW3561" s="4">
        <v>42718</v>
      </c>
      <c r="BD3561">
        <v>462</v>
      </c>
      <c r="BN3561" t="s">
        <v>74</v>
      </c>
    </row>
    <row r="3562" spans="1:66" hidden="1">
      <c r="A3562">
        <v>101281</v>
      </c>
      <c r="B3562" s="3" t="s">
        <v>398</v>
      </c>
      <c r="C3562" s="1">
        <v>43300101</v>
      </c>
      <c r="D3562" t="s">
        <v>67</v>
      </c>
      <c r="H3562" t="str">
        <f t="shared" si="368"/>
        <v>04640180636</v>
      </c>
      <c r="I3562" t="str">
        <f t="shared" si="368"/>
        <v>04640180636</v>
      </c>
      <c r="K3562" t="str">
        <f>""</f>
        <v/>
      </c>
      <c r="M3562" t="s">
        <v>68</v>
      </c>
      <c r="N3562" t="str">
        <f t="shared" si="365"/>
        <v>FOR</v>
      </c>
      <c r="O3562" t="s">
        <v>69</v>
      </c>
      <c r="P3562" s="3" t="s">
        <v>70</v>
      </c>
      <c r="Q3562">
        <v>2015</v>
      </c>
      <c r="R3562" s="2">
        <v>42035</v>
      </c>
      <c r="S3562" s="2">
        <v>42369</v>
      </c>
      <c r="T3562" s="2">
        <v>42369</v>
      </c>
      <c r="U3562" s="2">
        <v>42429</v>
      </c>
      <c r="V3562" t="s">
        <v>71</v>
      </c>
      <c r="W3562" t="str">
        <f>"              900051"</f>
        <v xml:space="preserve">              900051</v>
      </c>
      <c r="X3562">
        <v>327.94</v>
      </c>
      <c r="Y3562">
        <v>0</v>
      </c>
      <c r="Z3562"/>
      <c r="AB3562"/>
      <c r="AC3562">
        <v>268.8</v>
      </c>
      <c r="AD3562">
        <v>91</v>
      </c>
      <c r="AE3562" s="1">
        <v>24460.799999999999</v>
      </c>
      <c r="AF3562">
        <v>0</v>
      </c>
      <c r="AJ3562">
        <v>0</v>
      </c>
      <c r="AK3562">
        <v>0</v>
      </c>
      <c r="AL3562">
        <v>0</v>
      </c>
      <c r="AM3562">
        <v>0</v>
      </c>
      <c r="AN3562">
        <v>0</v>
      </c>
      <c r="AO3562">
        <v>0</v>
      </c>
      <c r="AP3562" s="2">
        <v>42746</v>
      </c>
      <c r="AQ3562" t="s">
        <v>72</v>
      </c>
      <c r="AR3562" t="s">
        <v>72</v>
      </c>
      <c r="AS3562">
        <v>1406</v>
      </c>
      <c r="AT3562" s="4">
        <v>42520</v>
      </c>
      <c r="AU3562" t="s">
        <v>73</v>
      </c>
      <c r="AV3562">
        <v>1406</v>
      </c>
      <c r="AW3562" s="4">
        <v>42520</v>
      </c>
      <c r="BD3562">
        <v>0</v>
      </c>
      <c r="BN3562" t="s">
        <v>74</v>
      </c>
    </row>
    <row r="3563" spans="1:66" hidden="1">
      <c r="A3563">
        <v>101281</v>
      </c>
      <c r="B3563" s="3" t="s">
        <v>398</v>
      </c>
      <c r="C3563" s="1">
        <v>43300101</v>
      </c>
      <c r="D3563" t="s">
        <v>67</v>
      </c>
      <c r="H3563" t="str">
        <f t="shared" si="368"/>
        <v>04640180636</v>
      </c>
      <c r="I3563" t="str">
        <f t="shared" si="368"/>
        <v>04640180636</v>
      </c>
      <c r="K3563" t="str">
        <f>""</f>
        <v/>
      </c>
      <c r="M3563" t="s">
        <v>68</v>
      </c>
      <c r="N3563" t="str">
        <f t="shared" si="365"/>
        <v>FOR</v>
      </c>
      <c r="O3563" t="s">
        <v>69</v>
      </c>
      <c r="P3563" s="3" t="s">
        <v>70</v>
      </c>
      <c r="Q3563">
        <v>2015</v>
      </c>
      <c r="R3563" s="2">
        <v>42063</v>
      </c>
      <c r="S3563" s="2">
        <v>42097</v>
      </c>
      <c r="T3563" s="2">
        <v>42097</v>
      </c>
      <c r="U3563" s="2">
        <v>42157</v>
      </c>
      <c r="V3563" t="s">
        <v>71</v>
      </c>
      <c r="W3563" t="str">
        <f>"              900125"</f>
        <v xml:space="preserve">              900125</v>
      </c>
      <c r="X3563">
        <v>819.84</v>
      </c>
      <c r="Y3563">
        <v>0</v>
      </c>
      <c r="Z3563"/>
      <c r="AB3563"/>
      <c r="AC3563">
        <v>672</v>
      </c>
      <c r="AD3563">
        <v>246</v>
      </c>
      <c r="AE3563" s="1">
        <v>165312</v>
      </c>
      <c r="AF3563">
        <v>0</v>
      </c>
      <c r="AJ3563">
        <v>0</v>
      </c>
      <c r="AK3563">
        <v>0</v>
      </c>
      <c r="AL3563">
        <v>0</v>
      </c>
      <c r="AM3563">
        <v>0</v>
      </c>
      <c r="AN3563">
        <v>0</v>
      </c>
      <c r="AO3563">
        <v>0</v>
      </c>
      <c r="AP3563" s="2">
        <v>42746</v>
      </c>
      <c r="AQ3563" t="s">
        <v>72</v>
      </c>
      <c r="AR3563" t="s">
        <v>72</v>
      </c>
      <c r="AS3563">
        <v>218</v>
      </c>
      <c r="AT3563" s="4">
        <v>42403</v>
      </c>
      <c r="AU3563" t="s">
        <v>73</v>
      </c>
      <c r="AV3563">
        <v>218</v>
      </c>
      <c r="AW3563" s="4">
        <v>42403</v>
      </c>
      <c r="BD3563">
        <v>0</v>
      </c>
      <c r="BN3563" t="s">
        <v>74</v>
      </c>
    </row>
    <row r="3564" spans="1:66" hidden="1">
      <c r="A3564">
        <v>101281</v>
      </c>
      <c r="B3564" s="3" t="s">
        <v>398</v>
      </c>
      <c r="C3564" s="1">
        <v>43300101</v>
      </c>
      <c r="D3564" t="s">
        <v>67</v>
      </c>
      <c r="H3564" t="str">
        <f t="shared" si="368"/>
        <v>04640180636</v>
      </c>
      <c r="I3564" t="str">
        <f t="shared" si="368"/>
        <v>04640180636</v>
      </c>
      <c r="K3564" t="str">
        <f>""</f>
        <v/>
      </c>
      <c r="M3564" t="s">
        <v>68</v>
      </c>
      <c r="N3564" t="str">
        <f t="shared" si="365"/>
        <v>FOR</v>
      </c>
      <c r="O3564" t="s">
        <v>69</v>
      </c>
      <c r="P3564" s="3" t="s">
        <v>70</v>
      </c>
      <c r="Q3564">
        <v>2015</v>
      </c>
      <c r="R3564" s="2">
        <v>42086</v>
      </c>
      <c r="S3564" s="2">
        <v>42115</v>
      </c>
      <c r="T3564" s="2">
        <v>42115</v>
      </c>
      <c r="U3564" s="2">
        <v>42175</v>
      </c>
      <c r="V3564" t="s">
        <v>71</v>
      </c>
      <c r="W3564" t="str">
        <f>"              900179"</f>
        <v xml:space="preserve">              900179</v>
      </c>
      <c r="X3564">
        <v>819.84</v>
      </c>
      <c r="Y3564">
        <v>0</v>
      </c>
      <c r="Z3564"/>
      <c r="AB3564"/>
      <c r="AC3564">
        <v>672</v>
      </c>
      <c r="AD3564">
        <v>228</v>
      </c>
      <c r="AE3564" s="1">
        <v>153216</v>
      </c>
      <c r="AF3564">
        <v>0</v>
      </c>
      <c r="AJ3564">
        <v>0</v>
      </c>
      <c r="AK3564">
        <v>0</v>
      </c>
      <c r="AL3564">
        <v>0</v>
      </c>
      <c r="AM3564">
        <v>0</v>
      </c>
      <c r="AN3564">
        <v>0</v>
      </c>
      <c r="AO3564">
        <v>0</v>
      </c>
      <c r="AP3564" s="2">
        <v>42746</v>
      </c>
      <c r="AQ3564" t="s">
        <v>72</v>
      </c>
      <c r="AR3564" t="s">
        <v>72</v>
      </c>
      <c r="AS3564">
        <v>218</v>
      </c>
      <c r="AT3564" s="4">
        <v>42403</v>
      </c>
      <c r="AU3564" t="s">
        <v>73</v>
      </c>
      <c r="AV3564">
        <v>218</v>
      </c>
      <c r="AW3564" s="4">
        <v>42403</v>
      </c>
      <c r="BD3564">
        <v>0</v>
      </c>
      <c r="BN3564" t="s">
        <v>74</v>
      </c>
    </row>
    <row r="3565" spans="1:66">
      <c r="A3565">
        <v>101281</v>
      </c>
      <c r="B3565" s="3" t="s">
        <v>398</v>
      </c>
      <c r="C3565" s="1">
        <v>43300101</v>
      </c>
      <c r="D3565" t="s">
        <v>67</v>
      </c>
      <c r="H3565" t="str">
        <f t="shared" si="368"/>
        <v>04640180636</v>
      </c>
      <c r="I3565" t="str">
        <f t="shared" si="368"/>
        <v>04640180636</v>
      </c>
      <c r="K3565" t="str">
        <f>""</f>
        <v/>
      </c>
      <c r="M3565" t="s">
        <v>68</v>
      </c>
      <c r="N3565" t="str">
        <f t="shared" si="365"/>
        <v>FOR</v>
      </c>
      <c r="O3565" t="s">
        <v>69</v>
      </c>
      <c r="P3565" s="3" t="s">
        <v>70</v>
      </c>
      <c r="Q3565">
        <v>2015</v>
      </c>
      <c r="R3565" s="2">
        <v>42093</v>
      </c>
      <c r="S3565" s="2">
        <v>42115</v>
      </c>
      <c r="T3565" s="2">
        <v>42115</v>
      </c>
      <c r="U3565" s="2">
        <v>42175</v>
      </c>
      <c r="V3565" t="s">
        <v>71</v>
      </c>
      <c r="W3565" t="str">
        <f>"              900206"</f>
        <v xml:space="preserve">              900206</v>
      </c>
      <c r="X3565" s="1">
        <v>2562</v>
      </c>
      <c r="Y3565">
        <v>0</v>
      </c>
      <c r="Z3565" s="5">
        <v>2100</v>
      </c>
      <c r="AA3565">
        <v>543</v>
      </c>
      <c r="AB3565" s="5">
        <v>1140300</v>
      </c>
      <c r="AC3565" s="1">
        <v>2100</v>
      </c>
      <c r="AD3565">
        <v>543</v>
      </c>
      <c r="AE3565" s="1">
        <v>1140300</v>
      </c>
      <c r="AF3565">
        <v>462</v>
      </c>
      <c r="AJ3565">
        <v>0</v>
      </c>
      <c r="AK3565">
        <v>0</v>
      </c>
      <c r="AL3565">
        <v>0</v>
      </c>
      <c r="AM3565">
        <v>0</v>
      </c>
      <c r="AN3565">
        <v>0</v>
      </c>
      <c r="AO3565">
        <v>0</v>
      </c>
      <c r="AP3565" s="2">
        <v>42746</v>
      </c>
      <c r="AQ3565" t="s">
        <v>72</v>
      </c>
      <c r="AR3565" t="s">
        <v>72</v>
      </c>
      <c r="AS3565">
        <v>3493</v>
      </c>
      <c r="AT3565" s="4">
        <v>42718</v>
      </c>
      <c r="AU3565" t="s">
        <v>73</v>
      </c>
      <c r="AV3565">
        <v>3493</v>
      </c>
      <c r="AW3565" s="4">
        <v>42718</v>
      </c>
      <c r="BD3565">
        <v>462</v>
      </c>
      <c r="BN3565" t="s">
        <v>74</v>
      </c>
    </row>
    <row r="3566" spans="1:66">
      <c r="A3566">
        <v>101281</v>
      </c>
      <c r="B3566" s="3" t="s">
        <v>398</v>
      </c>
      <c r="C3566" s="1">
        <v>43300101</v>
      </c>
      <c r="D3566" t="s">
        <v>67</v>
      </c>
      <c r="H3566" t="str">
        <f t="shared" si="368"/>
        <v>04640180636</v>
      </c>
      <c r="I3566" t="str">
        <f t="shared" si="368"/>
        <v>04640180636</v>
      </c>
      <c r="K3566" t="str">
        <f>""</f>
        <v/>
      </c>
      <c r="M3566" t="s">
        <v>68</v>
      </c>
      <c r="N3566" t="str">
        <f t="shared" si="365"/>
        <v>FOR</v>
      </c>
      <c r="O3566" t="s">
        <v>69</v>
      </c>
      <c r="P3566" s="3" t="s">
        <v>75</v>
      </c>
      <c r="Q3566">
        <v>2016</v>
      </c>
      <c r="R3566" s="2">
        <v>42384</v>
      </c>
      <c r="S3566" s="2">
        <v>42422</v>
      </c>
      <c r="T3566" s="2">
        <v>42418</v>
      </c>
      <c r="U3566" s="2">
        <v>42478</v>
      </c>
      <c r="V3566" t="s">
        <v>71</v>
      </c>
      <c r="W3566" t="str">
        <f>"                9/13"</f>
        <v xml:space="preserve">                9/13</v>
      </c>
      <c r="X3566" s="1">
        <v>2174.04</v>
      </c>
      <c r="Y3566">
        <v>0</v>
      </c>
      <c r="Z3566" s="5">
        <v>1782</v>
      </c>
      <c r="AA3566">
        <v>245</v>
      </c>
      <c r="AB3566" s="5">
        <v>436590</v>
      </c>
      <c r="AC3566" s="1">
        <v>1782</v>
      </c>
      <c r="AD3566">
        <v>245</v>
      </c>
      <c r="AE3566" s="1">
        <v>436590</v>
      </c>
      <c r="AF3566">
        <v>392.04</v>
      </c>
      <c r="AJ3566">
        <v>0</v>
      </c>
      <c r="AK3566">
        <v>0</v>
      </c>
      <c r="AL3566">
        <v>0</v>
      </c>
      <c r="AM3566" s="1">
        <v>2174.04</v>
      </c>
      <c r="AN3566" s="1">
        <v>2174.04</v>
      </c>
      <c r="AO3566" s="1">
        <v>2174.04</v>
      </c>
      <c r="AP3566" s="2">
        <v>42746</v>
      </c>
      <c r="AQ3566" t="s">
        <v>72</v>
      </c>
      <c r="AR3566" t="s">
        <v>72</v>
      </c>
      <c r="AS3566">
        <v>3617</v>
      </c>
      <c r="AT3566" s="4">
        <v>42723</v>
      </c>
      <c r="AU3566" t="s">
        <v>73</v>
      </c>
      <c r="AV3566">
        <v>3617</v>
      </c>
      <c r="AW3566" s="4">
        <v>42723</v>
      </c>
      <c r="BD3566">
        <v>392.04</v>
      </c>
      <c r="BN3566" t="s">
        <v>74</v>
      </c>
    </row>
    <row r="3567" spans="1:66">
      <c r="A3567">
        <v>101281</v>
      </c>
      <c r="B3567" s="3" t="s">
        <v>398</v>
      </c>
      <c r="C3567" s="1">
        <v>43300101</v>
      </c>
      <c r="D3567" t="s">
        <v>67</v>
      </c>
      <c r="H3567" t="str">
        <f t="shared" si="368"/>
        <v>04640180636</v>
      </c>
      <c r="I3567" t="str">
        <f t="shared" si="368"/>
        <v>04640180636</v>
      </c>
      <c r="K3567" t="str">
        <f>""</f>
        <v/>
      </c>
      <c r="M3567" t="s">
        <v>68</v>
      </c>
      <c r="N3567" t="str">
        <f t="shared" si="365"/>
        <v>FOR</v>
      </c>
      <c r="O3567" t="s">
        <v>69</v>
      </c>
      <c r="P3567" s="3" t="s">
        <v>75</v>
      </c>
      <c r="Q3567">
        <v>2016</v>
      </c>
      <c r="R3567" s="2">
        <v>42398</v>
      </c>
      <c r="S3567" s="2">
        <v>42422</v>
      </c>
      <c r="T3567" s="2">
        <v>42418</v>
      </c>
      <c r="U3567" s="2">
        <v>42478</v>
      </c>
      <c r="V3567" t="s">
        <v>71</v>
      </c>
      <c r="W3567" t="str">
        <f>"                9/54"</f>
        <v xml:space="preserve">                9/54</v>
      </c>
      <c r="X3567" s="1">
        <v>1967.62</v>
      </c>
      <c r="Y3567">
        <v>0</v>
      </c>
      <c r="Z3567" s="5">
        <v>1612.8</v>
      </c>
      <c r="AA3567">
        <v>245</v>
      </c>
      <c r="AB3567" s="5">
        <v>395136</v>
      </c>
      <c r="AC3567" s="1">
        <v>1612.8</v>
      </c>
      <c r="AD3567">
        <v>245</v>
      </c>
      <c r="AE3567" s="1">
        <v>395136</v>
      </c>
      <c r="AF3567">
        <v>354.82</v>
      </c>
      <c r="AJ3567">
        <v>0</v>
      </c>
      <c r="AK3567">
        <v>0</v>
      </c>
      <c r="AL3567">
        <v>0</v>
      </c>
      <c r="AM3567" s="1">
        <v>1967.62</v>
      </c>
      <c r="AN3567" s="1">
        <v>1967.62</v>
      </c>
      <c r="AO3567" s="1">
        <v>1967.62</v>
      </c>
      <c r="AP3567" s="2">
        <v>42746</v>
      </c>
      <c r="AQ3567" t="s">
        <v>72</v>
      </c>
      <c r="AR3567" t="s">
        <v>72</v>
      </c>
      <c r="AS3567">
        <v>3617</v>
      </c>
      <c r="AT3567" s="4">
        <v>42723</v>
      </c>
      <c r="AU3567" t="s">
        <v>73</v>
      </c>
      <c r="AV3567">
        <v>3617</v>
      </c>
      <c r="AW3567" s="4">
        <v>42723</v>
      </c>
      <c r="BD3567">
        <v>354.82</v>
      </c>
      <c r="BN3567" t="s">
        <v>74</v>
      </c>
    </row>
    <row r="3568" spans="1:66">
      <c r="A3568">
        <v>101281</v>
      </c>
      <c r="B3568" s="3" t="s">
        <v>398</v>
      </c>
      <c r="C3568" s="1">
        <v>43300101</v>
      </c>
      <c r="D3568" t="s">
        <v>67</v>
      </c>
      <c r="H3568" t="str">
        <f t="shared" si="368"/>
        <v>04640180636</v>
      </c>
      <c r="I3568" t="str">
        <f t="shared" si="368"/>
        <v>04640180636</v>
      </c>
      <c r="K3568" t="str">
        <f>""</f>
        <v/>
      </c>
      <c r="M3568" t="s">
        <v>68</v>
      </c>
      <c r="N3568" t="str">
        <f t="shared" si="365"/>
        <v>FOR</v>
      </c>
      <c r="O3568" t="s">
        <v>69</v>
      </c>
      <c r="P3568" s="3" t="s">
        <v>75</v>
      </c>
      <c r="Q3568">
        <v>2016</v>
      </c>
      <c r="R3568" s="2">
        <v>42398</v>
      </c>
      <c r="S3568" s="2">
        <v>42422</v>
      </c>
      <c r="T3568" s="2">
        <v>42418</v>
      </c>
      <c r="U3568" s="2">
        <v>42478</v>
      </c>
      <c r="V3568" t="s">
        <v>71</v>
      </c>
      <c r="W3568" t="str">
        <f>"                9/55"</f>
        <v xml:space="preserve">                9/55</v>
      </c>
      <c r="X3568" s="1">
        <v>2174.04</v>
      </c>
      <c r="Y3568">
        <v>0</v>
      </c>
      <c r="Z3568" s="5">
        <v>1782</v>
      </c>
      <c r="AA3568">
        <v>245</v>
      </c>
      <c r="AB3568" s="5">
        <v>436590</v>
      </c>
      <c r="AC3568" s="1">
        <v>1782</v>
      </c>
      <c r="AD3568">
        <v>245</v>
      </c>
      <c r="AE3568" s="1">
        <v>436590</v>
      </c>
      <c r="AF3568">
        <v>392.04</v>
      </c>
      <c r="AJ3568">
        <v>0</v>
      </c>
      <c r="AK3568">
        <v>0</v>
      </c>
      <c r="AL3568">
        <v>0</v>
      </c>
      <c r="AM3568" s="1">
        <v>2174.04</v>
      </c>
      <c r="AN3568" s="1">
        <v>2174.04</v>
      </c>
      <c r="AO3568" s="1">
        <v>2174.04</v>
      </c>
      <c r="AP3568" s="2">
        <v>42746</v>
      </c>
      <c r="AQ3568" t="s">
        <v>72</v>
      </c>
      <c r="AR3568" t="s">
        <v>72</v>
      </c>
      <c r="AS3568">
        <v>3617</v>
      </c>
      <c r="AT3568" s="4">
        <v>42723</v>
      </c>
      <c r="AU3568" t="s">
        <v>73</v>
      </c>
      <c r="AV3568">
        <v>3617</v>
      </c>
      <c r="AW3568" s="4">
        <v>42723</v>
      </c>
      <c r="BD3568">
        <v>392.04</v>
      </c>
      <c r="BN3568" t="s">
        <v>74</v>
      </c>
    </row>
    <row r="3569" spans="1:66" hidden="1">
      <c r="A3569">
        <v>101283</v>
      </c>
      <c r="B3569" s="3" t="s">
        <v>399</v>
      </c>
      <c r="C3569" s="1">
        <v>43500101</v>
      </c>
      <c r="D3569" t="s">
        <v>113</v>
      </c>
      <c r="H3569" t="str">
        <f>"LBRDRA75C12B963O"</f>
        <v>LBRDRA75C12B963O</v>
      </c>
      <c r="I3569" t="str">
        <f>"03176040610"</f>
        <v>03176040610</v>
      </c>
      <c r="K3569" t="str">
        <f>""</f>
        <v/>
      </c>
      <c r="M3569" t="s">
        <v>68</v>
      </c>
      <c r="N3569" t="str">
        <f t="shared" ref="N3569:N3575" si="369">"ALTPRO"</f>
        <v>ALTPRO</v>
      </c>
      <c r="O3569" t="s">
        <v>132</v>
      </c>
      <c r="P3569" s="3" t="s">
        <v>75</v>
      </c>
      <c r="Q3569">
        <v>2015</v>
      </c>
      <c r="R3569" s="2">
        <v>42369</v>
      </c>
      <c r="S3569" s="2">
        <v>42369</v>
      </c>
      <c r="T3569" s="2">
        <v>42369</v>
      </c>
      <c r="U3569" s="2">
        <v>42429</v>
      </c>
      <c r="V3569" t="s">
        <v>71</v>
      </c>
      <c r="W3569" t="str">
        <f>"                10/E"</f>
        <v xml:space="preserve">                10/E</v>
      </c>
      <c r="X3569" s="1">
        <v>4114.1400000000003</v>
      </c>
      <c r="Y3569">
        <v>-822.43</v>
      </c>
      <c r="Z3569"/>
      <c r="AB3569"/>
      <c r="AC3569" s="1">
        <v>3291.71</v>
      </c>
      <c r="AD3569">
        <v>-32</v>
      </c>
      <c r="AE3569" s="1">
        <v>-105334.72</v>
      </c>
      <c r="AF3569">
        <v>0</v>
      </c>
      <c r="AJ3569">
        <v>0</v>
      </c>
      <c r="AK3569">
        <v>0</v>
      </c>
      <c r="AL3569">
        <v>0</v>
      </c>
      <c r="AM3569">
        <v>0</v>
      </c>
      <c r="AN3569">
        <v>0</v>
      </c>
      <c r="AO3569">
        <v>0</v>
      </c>
      <c r="AP3569" s="2">
        <v>42746</v>
      </c>
      <c r="AQ3569" t="s">
        <v>72</v>
      </c>
      <c r="AR3569" t="s">
        <v>72</v>
      </c>
      <c r="AS3569">
        <v>132</v>
      </c>
      <c r="AT3569" s="4">
        <v>42397</v>
      </c>
      <c r="AV3569">
        <v>132</v>
      </c>
      <c r="AW3569" s="4">
        <v>42397</v>
      </c>
      <c r="BD3569">
        <v>0</v>
      </c>
      <c r="BN3569" t="s">
        <v>74</v>
      </c>
    </row>
    <row r="3570" spans="1:66" hidden="1">
      <c r="A3570">
        <v>101283</v>
      </c>
      <c r="B3570" s="3" t="s">
        <v>399</v>
      </c>
      <c r="C3570" s="1">
        <v>43500101</v>
      </c>
      <c r="D3570" t="s">
        <v>113</v>
      </c>
      <c r="H3570" t="str">
        <f>"LBRDRA75C12B963O"</f>
        <v>LBRDRA75C12B963O</v>
      </c>
      <c r="I3570" t="str">
        <f>"03176040610"</f>
        <v>03176040610</v>
      </c>
      <c r="K3570" t="str">
        <f>""</f>
        <v/>
      </c>
      <c r="M3570" t="s">
        <v>68</v>
      </c>
      <c r="N3570" t="str">
        <f t="shared" si="369"/>
        <v>ALTPRO</v>
      </c>
      <c r="O3570" t="s">
        <v>132</v>
      </c>
      <c r="P3570" s="3" t="s">
        <v>75</v>
      </c>
      <c r="Q3570">
        <v>2016</v>
      </c>
      <c r="R3570" s="2">
        <v>42400</v>
      </c>
      <c r="S3570" s="2">
        <v>42404</v>
      </c>
      <c r="T3570" s="2">
        <v>42403</v>
      </c>
      <c r="U3570" s="2">
        <v>42463</v>
      </c>
      <c r="V3570" t="s">
        <v>71</v>
      </c>
      <c r="W3570" t="str">
        <f>"                 1/E"</f>
        <v xml:space="preserve">                 1/E</v>
      </c>
      <c r="X3570" s="1">
        <v>4175.3900000000003</v>
      </c>
      <c r="Y3570">
        <v>-834.68</v>
      </c>
      <c r="Z3570"/>
      <c r="AB3570"/>
      <c r="AC3570" s="1">
        <v>3340.71</v>
      </c>
      <c r="AD3570">
        <v>-37</v>
      </c>
      <c r="AE3570" s="1">
        <v>-123606.27</v>
      </c>
      <c r="AF3570">
        <v>0</v>
      </c>
      <c r="AJ3570">
        <v>0</v>
      </c>
      <c r="AK3570">
        <v>0</v>
      </c>
      <c r="AL3570">
        <v>0</v>
      </c>
      <c r="AM3570" s="1">
        <v>3340.71</v>
      </c>
      <c r="AN3570" s="1">
        <v>3340.71</v>
      </c>
      <c r="AO3570" s="1">
        <v>3340.71</v>
      </c>
      <c r="AP3570" s="2">
        <v>42746</v>
      </c>
      <c r="AQ3570" t="s">
        <v>72</v>
      </c>
      <c r="AR3570" t="s">
        <v>72</v>
      </c>
      <c r="AS3570">
        <v>576</v>
      </c>
      <c r="AT3570" s="4">
        <v>42426</v>
      </c>
      <c r="AV3570">
        <v>576</v>
      </c>
      <c r="AW3570" s="4">
        <v>42426</v>
      </c>
      <c r="BD3570">
        <v>0</v>
      </c>
      <c r="BN3570" t="s">
        <v>74</v>
      </c>
    </row>
    <row r="3571" spans="1:66" hidden="1">
      <c r="A3571">
        <v>101283</v>
      </c>
      <c r="B3571" s="3" t="s">
        <v>399</v>
      </c>
      <c r="C3571" s="1">
        <v>43500101</v>
      </c>
      <c r="D3571" t="s">
        <v>113</v>
      </c>
      <c r="H3571" t="str">
        <f>"LBRDRA75C12B963O"</f>
        <v>LBRDRA75C12B963O</v>
      </c>
      <c r="I3571" t="str">
        <f>"03176040610"</f>
        <v>03176040610</v>
      </c>
      <c r="K3571" t="str">
        <f>""</f>
        <v/>
      </c>
      <c r="M3571" t="s">
        <v>68</v>
      </c>
      <c r="N3571" t="str">
        <f t="shared" si="369"/>
        <v>ALTPRO</v>
      </c>
      <c r="O3571" t="s">
        <v>132</v>
      </c>
      <c r="P3571" s="3" t="s">
        <v>75</v>
      </c>
      <c r="Q3571">
        <v>2016</v>
      </c>
      <c r="R3571" s="2">
        <v>42429</v>
      </c>
      <c r="S3571" s="2">
        <v>42436</v>
      </c>
      <c r="T3571" s="2">
        <v>42433</v>
      </c>
      <c r="U3571" s="2">
        <v>42493</v>
      </c>
      <c r="V3571" t="s">
        <v>71</v>
      </c>
      <c r="W3571" t="str">
        <f>"                 2/E"</f>
        <v xml:space="preserve">                 2/E</v>
      </c>
      <c r="X3571" s="1">
        <v>4548.5</v>
      </c>
      <c r="Y3571">
        <v>-909.3</v>
      </c>
      <c r="Z3571"/>
      <c r="AB3571"/>
      <c r="AC3571" s="1">
        <v>3639.2</v>
      </c>
      <c r="AD3571">
        <v>-42</v>
      </c>
      <c r="AE3571" s="1">
        <v>-152846.39999999999</v>
      </c>
      <c r="AF3571">
        <v>0</v>
      </c>
      <c r="AJ3571">
        <v>0</v>
      </c>
      <c r="AK3571">
        <v>0</v>
      </c>
      <c r="AL3571">
        <v>0</v>
      </c>
      <c r="AM3571" s="1">
        <v>3639.2</v>
      </c>
      <c r="AN3571" s="1">
        <v>3639.2</v>
      </c>
      <c r="AO3571" s="1">
        <v>3639.2</v>
      </c>
      <c r="AP3571" s="2">
        <v>42746</v>
      </c>
      <c r="AQ3571" t="s">
        <v>72</v>
      </c>
      <c r="AR3571" t="s">
        <v>72</v>
      </c>
      <c r="AS3571">
        <v>725</v>
      </c>
      <c r="AT3571" s="4">
        <v>42451</v>
      </c>
      <c r="AV3571">
        <v>725</v>
      </c>
      <c r="AW3571" s="4">
        <v>42451</v>
      </c>
      <c r="BD3571">
        <v>0</v>
      </c>
      <c r="BN3571" t="s">
        <v>74</v>
      </c>
    </row>
    <row r="3572" spans="1:66" hidden="1">
      <c r="A3572">
        <v>101283</v>
      </c>
      <c r="B3572" s="3" t="s">
        <v>399</v>
      </c>
      <c r="C3572" s="1">
        <v>43500101</v>
      </c>
      <c r="D3572" t="s">
        <v>113</v>
      </c>
      <c r="H3572" t="str">
        <f>"LBRDRA75C12B963O"</f>
        <v>LBRDRA75C12B963O</v>
      </c>
      <c r="I3572" t="str">
        <f>"03176040610"</f>
        <v>03176040610</v>
      </c>
      <c r="K3572" t="str">
        <f>""</f>
        <v/>
      </c>
      <c r="M3572" t="s">
        <v>68</v>
      </c>
      <c r="N3572" t="str">
        <f t="shared" si="369"/>
        <v>ALTPRO</v>
      </c>
      <c r="O3572" t="s">
        <v>132</v>
      </c>
      <c r="P3572" s="3" t="s">
        <v>75</v>
      </c>
      <c r="Q3572">
        <v>2016</v>
      </c>
      <c r="R3572" s="2">
        <v>42460</v>
      </c>
      <c r="S3572" s="2">
        <v>42467</v>
      </c>
      <c r="T3572" s="2">
        <v>42467</v>
      </c>
      <c r="U3572" s="2">
        <v>42527</v>
      </c>
      <c r="V3572" t="s">
        <v>71</v>
      </c>
      <c r="W3572" t="str">
        <f>"                 3/E"</f>
        <v xml:space="preserve">                 3/E</v>
      </c>
      <c r="X3572" s="1">
        <v>3848</v>
      </c>
      <c r="Y3572">
        <v>-769.2</v>
      </c>
      <c r="Z3572"/>
      <c r="AB3572"/>
      <c r="AC3572" s="1">
        <v>3078.8</v>
      </c>
      <c r="AD3572">
        <v>-40</v>
      </c>
      <c r="AE3572" s="1">
        <v>-123152</v>
      </c>
      <c r="AF3572">
        <v>0</v>
      </c>
      <c r="AJ3572">
        <v>0</v>
      </c>
      <c r="AK3572">
        <v>0</v>
      </c>
      <c r="AL3572">
        <v>0</v>
      </c>
      <c r="AM3572" s="1">
        <v>3078.8</v>
      </c>
      <c r="AN3572" s="1">
        <v>3078.8</v>
      </c>
      <c r="AO3572" s="1">
        <v>3078.8</v>
      </c>
      <c r="AP3572" s="2">
        <v>42746</v>
      </c>
      <c r="AQ3572" t="s">
        <v>72</v>
      </c>
      <c r="AR3572" t="s">
        <v>72</v>
      </c>
      <c r="AS3572">
        <v>1154</v>
      </c>
      <c r="AT3572" s="4">
        <v>42487</v>
      </c>
      <c r="AV3572">
        <v>1154</v>
      </c>
      <c r="AW3572" s="4">
        <v>42487</v>
      </c>
      <c r="BD3572">
        <v>0</v>
      </c>
      <c r="BN3572" t="s">
        <v>74</v>
      </c>
    </row>
    <row r="3573" spans="1:66" hidden="1">
      <c r="A3573">
        <v>101289</v>
      </c>
      <c r="B3573" s="3" t="s">
        <v>400</v>
      </c>
      <c r="C3573" s="1">
        <v>43500101</v>
      </c>
      <c r="D3573" t="s">
        <v>113</v>
      </c>
      <c r="H3573" t="str">
        <f>"PPOCST77H48Z129S"</f>
        <v>PPOCST77H48Z129S</v>
      </c>
      <c r="I3573" t="str">
        <f>"04786570657"</f>
        <v>04786570657</v>
      </c>
      <c r="K3573" t="str">
        <f>""</f>
        <v/>
      </c>
      <c r="M3573" t="s">
        <v>68</v>
      </c>
      <c r="N3573" t="str">
        <f t="shared" si="369"/>
        <v>ALTPRO</v>
      </c>
      <c r="O3573" t="s">
        <v>132</v>
      </c>
      <c r="P3573" s="3" t="s">
        <v>75</v>
      </c>
      <c r="Q3573">
        <v>2016</v>
      </c>
      <c r="R3573" s="2">
        <v>42412</v>
      </c>
      <c r="S3573" s="2">
        <v>42415</v>
      </c>
      <c r="T3573" s="2">
        <v>42412</v>
      </c>
      <c r="U3573" s="2">
        <v>42472</v>
      </c>
      <c r="V3573" t="s">
        <v>71</v>
      </c>
      <c r="W3573" t="str">
        <f>"         FATTPA 1_16"</f>
        <v xml:space="preserve">         FATTPA 1_16</v>
      </c>
      <c r="X3573" s="1">
        <v>2749.14</v>
      </c>
      <c r="Y3573">
        <v>-549.42999999999995</v>
      </c>
      <c r="Z3573"/>
      <c r="AB3573"/>
      <c r="AC3573" s="1">
        <v>2199.71</v>
      </c>
      <c r="AD3573">
        <v>-46</v>
      </c>
      <c r="AE3573" s="1">
        <v>-101186.66</v>
      </c>
      <c r="AF3573">
        <v>0</v>
      </c>
      <c r="AJ3573">
        <v>0</v>
      </c>
      <c r="AK3573">
        <v>0</v>
      </c>
      <c r="AL3573">
        <v>0</v>
      </c>
      <c r="AM3573">
        <v>-549.42999999999995</v>
      </c>
      <c r="AN3573" s="1">
        <v>2199.71</v>
      </c>
      <c r="AO3573" s="1">
        <v>2199.71</v>
      </c>
      <c r="AP3573" s="2">
        <v>42746</v>
      </c>
      <c r="AQ3573" t="s">
        <v>72</v>
      </c>
      <c r="AR3573" t="s">
        <v>72</v>
      </c>
      <c r="AS3573">
        <v>561</v>
      </c>
      <c r="AT3573" s="4">
        <v>42426</v>
      </c>
      <c r="AV3573">
        <v>561</v>
      </c>
      <c r="AW3573" s="4">
        <v>42426</v>
      </c>
      <c r="BD3573">
        <v>0</v>
      </c>
      <c r="BN3573" t="s">
        <v>74</v>
      </c>
    </row>
    <row r="3574" spans="1:66" hidden="1">
      <c r="A3574">
        <v>101289</v>
      </c>
      <c r="B3574" s="3" t="s">
        <v>400</v>
      </c>
      <c r="C3574" s="1">
        <v>43500101</v>
      </c>
      <c r="D3574" t="s">
        <v>113</v>
      </c>
      <c r="H3574" t="str">
        <f>"PPOCST77H48Z129S"</f>
        <v>PPOCST77H48Z129S</v>
      </c>
      <c r="I3574" t="str">
        <f>"04786570657"</f>
        <v>04786570657</v>
      </c>
      <c r="K3574" t="str">
        <f>""</f>
        <v/>
      </c>
      <c r="M3574" t="s">
        <v>68</v>
      </c>
      <c r="N3574" t="str">
        <f t="shared" si="369"/>
        <v>ALTPRO</v>
      </c>
      <c r="O3574" t="s">
        <v>132</v>
      </c>
      <c r="P3574" s="3" t="s">
        <v>75</v>
      </c>
      <c r="Q3574">
        <v>2016</v>
      </c>
      <c r="R3574" s="2">
        <v>42412</v>
      </c>
      <c r="S3574" s="2">
        <v>42415</v>
      </c>
      <c r="T3574" s="2">
        <v>42412</v>
      </c>
      <c r="U3574" s="2">
        <v>42472</v>
      </c>
      <c r="V3574" t="s">
        <v>71</v>
      </c>
      <c r="W3574" t="str">
        <f>"         FATTPA 2_16"</f>
        <v xml:space="preserve">         FATTPA 2_16</v>
      </c>
      <c r="X3574">
        <v>682.45</v>
      </c>
      <c r="Y3574">
        <v>-136.09</v>
      </c>
      <c r="Z3574"/>
      <c r="AB3574"/>
      <c r="AC3574">
        <v>546.36</v>
      </c>
      <c r="AD3574">
        <v>-46</v>
      </c>
      <c r="AE3574" s="1">
        <v>-25132.560000000001</v>
      </c>
      <c r="AF3574">
        <v>0</v>
      </c>
      <c r="AJ3574">
        <v>0</v>
      </c>
      <c r="AK3574">
        <v>0</v>
      </c>
      <c r="AL3574">
        <v>0</v>
      </c>
      <c r="AM3574">
        <v>546.36</v>
      </c>
      <c r="AN3574">
        <v>546.36</v>
      </c>
      <c r="AO3574">
        <v>546.36</v>
      </c>
      <c r="AP3574" s="2">
        <v>42746</v>
      </c>
      <c r="AQ3574" t="s">
        <v>72</v>
      </c>
      <c r="AR3574" t="s">
        <v>72</v>
      </c>
      <c r="AS3574">
        <v>561</v>
      </c>
      <c r="AT3574" s="4">
        <v>42426</v>
      </c>
      <c r="AV3574">
        <v>561</v>
      </c>
      <c r="AW3574" s="4">
        <v>42426</v>
      </c>
      <c r="BD3574">
        <v>0</v>
      </c>
      <c r="BN3574" t="s">
        <v>74</v>
      </c>
    </row>
    <row r="3575" spans="1:66" hidden="1">
      <c r="A3575">
        <v>101289</v>
      </c>
      <c r="B3575" s="3" t="s">
        <v>400</v>
      </c>
      <c r="C3575" s="1">
        <v>43500101</v>
      </c>
      <c r="D3575" t="s">
        <v>113</v>
      </c>
      <c r="H3575" t="str">
        <f>"PPOCST77H48Z129S"</f>
        <v>PPOCST77H48Z129S</v>
      </c>
      <c r="I3575" t="str">
        <f>"04786570657"</f>
        <v>04786570657</v>
      </c>
      <c r="K3575" t="str">
        <f>""</f>
        <v/>
      </c>
      <c r="M3575" t="s">
        <v>68</v>
      </c>
      <c r="N3575" t="str">
        <f t="shared" si="369"/>
        <v>ALTPRO</v>
      </c>
      <c r="O3575" t="s">
        <v>132</v>
      </c>
      <c r="P3575" s="3" t="s">
        <v>75</v>
      </c>
      <c r="Q3575">
        <v>2016</v>
      </c>
      <c r="R3575" s="2">
        <v>42467</v>
      </c>
      <c r="S3575" s="2">
        <v>42467</v>
      </c>
      <c r="T3575" s="2">
        <v>42467</v>
      </c>
      <c r="U3575" s="2">
        <v>42527</v>
      </c>
      <c r="V3575" t="s">
        <v>71</v>
      </c>
      <c r="W3575" t="str">
        <f>"         FATTPA 3_16"</f>
        <v xml:space="preserve">         FATTPA 3_16</v>
      </c>
      <c r="X3575">
        <v>654.17999999999995</v>
      </c>
      <c r="Y3575">
        <v>-130.44</v>
      </c>
      <c r="Z3575"/>
      <c r="AB3575"/>
      <c r="AC3575">
        <v>523.74</v>
      </c>
      <c r="AD3575">
        <v>-40</v>
      </c>
      <c r="AE3575" s="1">
        <v>-20949.599999999999</v>
      </c>
      <c r="AF3575">
        <v>0</v>
      </c>
      <c r="AJ3575">
        <v>0</v>
      </c>
      <c r="AK3575">
        <v>0</v>
      </c>
      <c r="AL3575">
        <v>0</v>
      </c>
      <c r="AM3575">
        <v>523.74</v>
      </c>
      <c r="AN3575">
        <v>523.74</v>
      </c>
      <c r="AO3575">
        <v>523.74</v>
      </c>
      <c r="AP3575" s="2">
        <v>42746</v>
      </c>
      <c r="AQ3575" t="s">
        <v>72</v>
      </c>
      <c r="AR3575" t="s">
        <v>72</v>
      </c>
      <c r="AS3575">
        <v>1153</v>
      </c>
      <c r="AT3575" s="4">
        <v>42487</v>
      </c>
      <c r="AV3575">
        <v>1153</v>
      </c>
      <c r="AW3575" s="4">
        <v>42487</v>
      </c>
      <c r="BD3575">
        <v>0</v>
      </c>
      <c r="BN3575" t="s">
        <v>74</v>
      </c>
    </row>
    <row r="3576" spans="1:66" hidden="1">
      <c r="A3576">
        <v>101293</v>
      </c>
      <c r="B3576" s="3" t="s">
        <v>401</v>
      </c>
      <c r="C3576" s="1">
        <v>43300101</v>
      </c>
      <c r="D3576" t="s">
        <v>67</v>
      </c>
      <c r="H3576" t="str">
        <f t="shared" ref="H3576:I3580" si="370">"07438910635"</f>
        <v>07438910635</v>
      </c>
      <c r="I3576" t="str">
        <f t="shared" si="370"/>
        <v>07438910635</v>
      </c>
      <c r="K3576" t="str">
        <f>""</f>
        <v/>
      </c>
      <c r="M3576" t="s">
        <v>68</v>
      </c>
      <c r="N3576" t="str">
        <f>"FOR"</f>
        <v>FOR</v>
      </c>
      <c r="O3576" t="s">
        <v>69</v>
      </c>
      <c r="P3576" s="3" t="s">
        <v>70</v>
      </c>
      <c r="Q3576">
        <v>2015</v>
      </c>
      <c r="R3576" s="2">
        <v>42093</v>
      </c>
      <c r="S3576" s="2">
        <v>42102</v>
      </c>
      <c r="T3576" s="2">
        <v>42102</v>
      </c>
      <c r="U3576" s="2">
        <v>42162</v>
      </c>
      <c r="V3576" t="s">
        <v>71</v>
      </c>
      <c r="W3576" t="str">
        <f>"                 265"</f>
        <v xml:space="preserve">                 265</v>
      </c>
      <c r="X3576">
        <v>860.83</v>
      </c>
      <c r="Y3576">
        <v>0</v>
      </c>
      <c r="Z3576"/>
      <c r="AB3576"/>
      <c r="AC3576">
        <v>705.6</v>
      </c>
      <c r="AD3576">
        <v>253</v>
      </c>
      <c r="AE3576" s="1">
        <v>178516.8</v>
      </c>
      <c r="AF3576">
        <v>0</v>
      </c>
      <c r="AJ3576">
        <v>0</v>
      </c>
      <c r="AK3576">
        <v>0</v>
      </c>
      <c r="AL3576">
        <v>0</v>
      </c>
      <c r="AM3576">
        <v>0</v>
      </c>
      <c r="AN3576">
        <v>0</v>
      </c>
      <c r="AO3576">
        <v>0</v>
      </c>
      <c r="AP3576" s="2">
        <v>42746</v>
      </c>
      <c r="AQ3576" t="s">
        <v>72</v>
      </c>
      <c r="AR3576" t="s">
        <v>72</v>
      </c>
      <c r="AS3576">
        <v>344</v>
      </c>
      <c r="AT3576" s="4">
        <v>42415</v>
      </c>
      <c r="AU3576" t="s">
        <v>73</v>
      </c>
      <c r="AV3576">
        <v>344</v>
      </c>
      <c r="AW3576" s="4">
        <v>42415</v>
      </c>
      <c r="BD3576">
        <v>0</v>
      </c>
      <c r="BN3576" t="s">
        <v>74</v>
      </c>
    </row>
    <row r="3577" spans="1:66" hidden="1">
      <c r="A3577">
        <v>101293</v>
      </c>
      <c r="B3577" s="3" t="s">
        <v>401</v>
      </c>
      <c r="C3577" s="1">
        <v>43300101</v>
      </c>
      <c r="D3577" t="s">
        <v>67</v>
      </c>
      <c r="H3577" t="str">
        <f t="shared" si="370"/>
        <v>07438910635</v>
      </c>
      <c r="I3577" t="str">
        <f t="shared" si="370"/>
        <v>07438910635</v>
      </c>
      <c r="K3577" t="str">
        <f>""</f>
        <v/>
      </c>
      <c r="M3577" t="s">
        <v>68</v>
      </c>
      <c r="N3577" t="str">
        <f>"FOR"</f>
        <v>FOR</v>
      </c>
      <c r="O3577" t="s">
        <v>69</v>
      </c>
      <c r="P3577" s="3" t="s">
        <v>75</v>
      </c>
      <c r="Q3577">
        <v>2015</v>
      </c>
      <c r="R3577" s="2">
        <v>42228</v>
      </c>
      <c r="S3577" s="2">
        <v>42245</v>
      </c>
      <c r="T3577" s="2">
        <v>42243</v>
      </c>
      <c r="U3577" s="2">
        <v>42303</v>
      </c>
      <c r="V3577" t="s">
        <v>71</v>
      </c>
      <c r="W3577" t="str">
        <f>"               2/358"</f>
        <v xml:space="preserve">               2/358</v>
      </c>
      <c r="X3577">
        <v>573.89</v>
      </c>
      <c r="Y3577">
        <v>0</v>
      </c>
      <c r="Z3577"/>
      <c r="AB3577"/>
      <c r="AC3577">
        <v>470.4</v>
      </c>
      <c r="AD3577">
        <v>112</v>
      </c>
      <c r="AE3577" s="1">
        <v>52684.800000000003</v>
      </c>
      <c r="AF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 s="2">
        <v>42746</v>
      </c>
      <c r="AQ3577" t="s">
        <v>72</v>
      </c>
      <c r="AR3577" t="s">
        <v>72</v>
      </c>
      <c r="AS3577">
        <v>344</v>
      </c>
      <c r="AT3577" s="4">
        <v>42415</v>
      </c>
      <c r="AU3577" t="s">
        <v>73</v>
      </c>
      <c r="AV3577">
        <v>344</v>
      </c>
      <c r="AW3577" s="4">
        <v>42415</v>
      </c>
      <c r="BD3577">
        <v>0</v>
      </c>
      <c r="BN3577" t="s">
        <v>74</v>
      </c>
    </row>
    <row r="3578" spans="1:66" hidden="1">
      <c r="A3578">
        <v>101293</v>
      </c>
      <c r="B3578" s="3" t="s">
        <v>401</v>
      </c>
      <c r="C3578" s="1">
        <v>43300101</v>
      </c>
      <c r="D3578" t="s">
        <v>67</v>
      </c>
      <c r="H3578" t="str">
        <f t="shared" si="370"/>
        <v>07438910635</v>
      </c>
      <c r="I3578" t="str">
        <f t="shared" si="370"/>
        <v>07438910635</v>
      </c>
      <c r="K3578" t="str">
        <f>""</f>
        <v/>
      </c>
      <c r="M3578" t="s">
        <v>68</v>
      </c>
      <c r="N3578" t="str">
        <f>"FOR"</f>
        <v>FOR</v>
      </c>
      <c r="O3578" t="s">
        <v>69</v>
      </c>
      <c r="P3578" s="3" t="s">
        <v>75</v>
      </c>
      <c r="Q3578">
        <v>2015</v>
      </c>
      <c r="R3578" s="2">
        <v>42251</v>
      </c>
      <c r="S3578" s="2">
        <v>42262</v>
      </c>
      <c r="T3578" s="2">
        <v>42261</v>
      </c>
      <c r="U3578" s="2">
        <v>42321</v>
      </c>
      <c r="V3578" t="s">
        <v>71</v>
      </c>
      <c r="W3578" t="str">
        <f>"               2/396"</f>
        <v xml:space="preserve">               2/396</v>
      </c>
      <c r="X3578">
        <v>286.94</v>
      </c>
      <c r="Y3578">
        <v>0</v>
      </c>
      <c r="Z3578"/>
      <c r="AB3578"/>
      <c r="AC3578">
        <v>235.2</v>
      </c>
      <c r="AD3578">
        <v>94</v>
      </c>
      <c r="AE3578" s="1">
        <v>22108.799999999999</v>
      </c>
      <c r="AF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 s="2">
        <v>42746</v>
      </c>
      <c r="AQ3578" t="s">
        <v>72</v>
      </c>
      <c r="AR3578" t="s">
        <v>72</v>
      </c>
      <c r="AS3578">
        <v>344</v>
      </c>
      <c r="AT3578" s="4">
        <v>42415</v>
      </c>
      <c r="AU3578" t="s">
        <v>73</v>
      </c>
      <c r="AV3578">
        <v>344</v>
      </c>
      <c r="AW3578" s="4">
        <v>42415</v>
      </c>
      <c r="BD3578">
        <v>0</v>
      </c>
      <c r="BN3578" t="s">
        <v>74</v>
      </c>
    </row>
    <row r="3579" spans="1:66" hidden="1">
      <c r="A3579">
        <v>101293</v>
      </c>
      <c r="B3579" s="3" t="s">
        <v>401</v>
      </c>
      <c r="C3579" s="1">
        <v>43300101</v>
      </c>
      <c r="D3579" t="s">
        <v>67</v>
      </c>
      <c r="H3579" t="str">
        <f t="shared" si="370"/>
        <v>07438910635</v>
      </c>
      <c r="I3579" t="str">
        <f t="shared" si="370"/>
        <v>07438910635</v>
      </c>
      <c r="K3579" t="str">
        <f>""</f>
        <v/>
      </c>
      <c r="M3579" t="s">
        <v>68</v>
      </c>
      <c r="N3579" t="str">
        <f>"FOR"</f>
        <v>FOR</v>
      </c>
      <c r="O3579" t="s">
        <v>69</v>
      </c>
      <c r="P3579" s="3" t="s">
        <v>75</v>
      </c>
      <c r="Q3579">
        <v>2015</v>
      </c>
      <c r="R3579" s="2">
        <v>42306</v>
      </c>
      <c r="S3579" s="2">
        <v>42310</v>
      </c>
      <c r="T3579" s="2">
        <v>42307</v>
      </c>
      <c r="U3579" s="2">
        <v>42367</v>
      </c>
      <c r="V3579" t="s">
        <v>71</v>
      </c>
      <c r="W3579" t="str">
        <f>"               2/512"</f>
        <v xml:space="preserve">               2/512</v>
      </c>
      <c r="X3579">
        <v>550.1</v>
      </c>
      <c r="Y3579">
        <v>0</v>
      </c>
      <c r="Z3579"/>
      <c r="AB3579"/>
      <c r="AC3579">
        <v>450.9</v>
      </c>
      <c r="AD3579">
        <v>48</v>
      </c>
      <c r="AE3579" s="1">
        <v>21643.200000000001</v>
      </c>
      <c r="AF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0</v>
      </c>
      <c r="AP3579" s="2">
        <v>42746</v>
      </c>
      <c r="AQ3579" t="s">
        <v>72</v>
      </c>
      <c r="AR3579" t="s">
        <v>72</v>
      </c>
      <c r="AS3579">
        <v>344</v>
      </c>
      <c r="AT3579" s="4">
        <v>42415</v>
      </c>
      <c r="AU3579" t="s">
        <v>73</v>
      </c>
      <c r="AV3579">
        <v>344</v>
      </c>
      <c r="AW3579" s="4">
        <v>42415</v>
      </c>
      <c r="BD3579">
        <v>0</v>
      </c>
      <c r="BN3579" t="s">
        <v>74</v>
      </c>
    </row>
    <row r="3580" spans="1:66">
      <c r="A3580">
        <v>101293</v>
      </c>
      <c r="B3580" s="3" t="s">
        <v>401</v>
      </c>
      <c r="C3580" s="1">
        <v>43300101</v>
      </c>
      <c r="D3580" t="s">
        <v>67</v>
      </c>
      <c r="H3580" t="str">
        <f t="shared" si="370"/>
        <v>07438910635</v>
      </c>
      <c r="I3580" t="str">
        <f t="shared" si="370"/>
        <v>07438910635</v>
      </c>
      <c r="K3580" t="str">
        <f>""</f>
        <v/>
      </c>
      <c r="M3580" t="s">
        <v>68</v>
      </c>
      <c r="N3580" t="str">
        <f>"FOR"</f>
        <v>FOR</v>
      </c>
      <c r="O3580" t="s">
        <v>69</v>
      </c>
      <c r="P3580" s="3" t="s">
        <v>75</v>
      </c>
      <c r="Q3580">
        <v>2016</v>
      </c>
      <c r="R3580" s="2">
        <v>42422</v>
      </c>
      <c r="S3580" s="2">
        <v>42436</v>
      </c>
      <c r="T3580" s="2">
        <v>42426</v>
      </c>
      <c r="U3580" s="2">
        <v>42486</v>
      </c>
      <c r="V3580" t="s">
        <v>71</v>
      </c>
      <c r="W3580" t="str">
        <f>"               2/109"</f>
        <v xml:space="preserve">               2/109</v>
      </c>
      <c r="X3580" s="1">
        <v>1172.6600000000001</v>
      </c>
      <c r="Y3580">
        <v>0</v>
      </c>
      <c r="Z3580" s="3">
        <v>961.2</v>
      </c>
      <c r="AA3580">
        <v>237</v>
      </c>
      <c r="AB3580" s="5">
        <v>227804.4</v>
      </c>
      <c r="AC3580">
        <v>961.2</v>
      </c>
      <c r="AD3580">
        <v>237</v>
      </c>
      <c r="AE3580" s="1">
        <v>227804.4</v>
      </c>
      <c r="AF3580">
        <v>211.46</v>
      </c>
      <c r="AJ3580">
        <v>0</v>
      </c>
      <c r="AK3580">
        <v>0</v>
      </c>
      <c r="AL3580">
        <v>0</v>
      </c>
      <c r="AM3580" s="1">
        <v>1172.6600000000001</v>
      </c>
      <c r="AN3580" s="1">
        <v>1172.6600000000001</v>
      </c>
      <c r="AO3580" s="1">
        <v>1172.6600000000001</v>
      </c>
      <c r="AP3580" s="2">
        <v>42746</v>
      </c>
      <c r="AQ3580" t="s">
        <v>72</v>
      </c>
      <c r="AR3580" t="s">
        <v>72</v>
      </c>
      <c r="AS3580">
        <v>3599</v>
      </c>
      <c r="AT3580" s="4">
        <v>42723</v>
      </c>
      <c r="AU3580" t="s">
        <v>73</v>
      </c>
      <c r="AV3580">
        <v>3599</v>
      </c>
      <c r="AW3580" s="4">
        <v>42723</v>
      </c>
      <c r="BD3580">
        <v>211.46</v>
      </c>
      <c r="BN3580" t="s">
        <v>74</v>
      </c>
    </row>
    <row r="3581" spans="1:66" hidden="1">
      <c r="A3581">
        <v>101300</v>
      </c>
      <c r="B3581" s="3" t="s">
        <v>402</v>
      </c>
      <c r="C3581" s="1">
        <v>43500101</v>
      </c>
      <c r="D3581" t="s">
        <v>113</v>
      </c>
      <c r="H3581" t="str">
        <f>"02133120150"</f>
        <v>02133120150</v>
      </c>
      <c r="I3581" t="str">
        <f>"02133120150"</f>
        <v>02133120150</v>
      </c>
      <c r="K3581" t="str">
        <f>""</f>
        <v/>
      </c>
      <c r="M3581" t="s">
        <v>68</v>
      </c>
      <c r="N3581" t="str">
        <f>"ALTEP"</f>
        <v>ALTEP</v>
      </c>
      <c r="O3581" t="s">
        <v>121</v>
      </c>
      <c r="P3581" s="3" t="s">
        <v>75</v>
      </c>
      <c r="Q3581">
        <v>2015</v>
      </c>
      <c r="R3581" s="2">
        <v>42326</v>
      </c>
      <c r="S3581" s="2">
        <v>42327</v>
      </c>
      <c r="T3581" s="2">
        <v>42327</v>
      </c>
      <c r="U3581" s="2">
        <v>42387</v>
      </c>
      <c r="V3581" t="s">
        <v>71</v>
      </c>
      <c r="W3581" t="str">
        <f>"           V20000040"</f>
        <v xml:space="preserve">           V20000040</v>
      </c>
      <c r="X3581">
        <v>300</v>
      </c>
      <c r="Y3581">
        <v>0</v>
      </c>
      <c r="Z3581"/>
      <c r="AB3581"/>
      <c r="AC3581">
        <v>300</v>
      </c>
      <c r="AD3581">
        <v>189</v>
      </c>
      <c r="AE3581" s="1">
        <v>56700</v>
      </c>
      <c r="AF3581">
        <v>0</v>
      </c>
      <c r="AJ3581">
        <v>0</v>
      </c>
      <c r="AK3581">
        <v>0</v>
      </c>
      <c r="AL3581">
        <v>0</v>
      </c>
      <c r="AM3581">
        <v>0</v>
      </c>
      <c r="AN3581">
        <v>0</v>
      </c>
      <c r="AO3581">
        <v>0</v>
      </c>
      <c r="AP3581" s="2">
        <v>42746</v>
      </c>
      <c r="AQ3581" t="s">
        <v>72</v>
      </c>
      <c r="AR3581" t="s">
        <v>72</v>
      </c>
      <c r="AS3581">
        <v>1906</v>
      </c>
      <c r="AT3581" s="4">
        <v>42576</v>
      </c>
      <c r="AU3581" t="s">
        <v>73</v>
      </c>
      <c r="AV3581">
        <v>1906</v>
      </c>
      <c r="AW3581" s="4">
        <v>42576</v>
      </c>
      <c r="BD3581">
        <v>0</v>
      </c>
      <c r="BN3581" t="s">
        <v>74</v>
      </c>
    </row>
    <row r="3582" spans="1:66" hidden="1">
      <c r="A3582">
        <v>101303</v>
      </c>
      <c r="B3582" s="3" t="s">
        <v>403</v>
      </c>
      <c r="C3582" s="1">
        <v>43300101</v>
      </c>
      <c r="D3582" t="s">
        <v>67</v>
      </c>
      <c r="H3582" t="str">
        <f t="shared" ref="H3582:I3586" si="371">"01387750621"</f>
        <v>01387750621</v>
      </c>
      <c r="I3582" t="str">
        <f t="shared" si="371"/>
        <v>01387750621</v>
      </c>
      <c r="K3582" t="str">
        <f>""</f>
        <v/>
      </c>
      <c r="M3582" t="s">
        <v>68</v>
      </c>
      <c r="N3582" t="str">
        <f>"FOR"</f>
        <v>FOR</v>
      </c>
      <c r="O3582" t="s">
        <v>69</v>
      </c>
      <c r="P3582" s="3" t="s">
        <v>70</v>
      </c>
      <c r="Q3582">
        <v>2015</v>
      </c>
      <c r="R3582" s="2">
        <v>42067</v>
      </c>
      <c r="S3582" s="2">
        <v>42069</v>
      </c>
      <c r="T3582" s="2">
        <v>42069</v>
      </c>
      <c r="U3582" s="2">
        <v>42129</v>
      </c>
      <c r="V3582" t="s">
        <v>71</v>
      </c>
      <c r="W3582" t="str">
        <f>"                  48"</f>
        <v xml:space="preserve">                  48</v>
      </c>
      <c r="X3582">
        <v>646.6</v>
      </c>
      <c r="Y3582">
        <v>0</v>
      </c>
      <c r="Z3582"/>
      <c r="AB3582"/>
      <c r="AC3582">
        <v>530</v>
      </c>
      <c r="AD3582">
        <v>275</v>
      </c>
      <c r="AE3582" s="1">
        <v>145750</v>
      </c>
      <c r="AF3582">
        <v>0</v>
      </c>
      <c r="AJ3582">
        <v>0</v>
      </c>
      <c r="AK3582">
        <v>0</v>
      </c>
      <c r="AL3582">
        <v>0</v>
      </c>
      <c r="AM3582">
        <v>0</v>
      </c>
      <c r="AN3582">
        <v>0</v>
      </c>
      <c r="AO3582">
        <v>0</v>
      </c>
      <c r="AP3582" s="2">
        <v>42746</v>
      </c>
      <c r="AQ3582" t="s">
        <v>72</v>
      </c>
      <c r="AR3582" t="s">
        <v>72</v>
      </c>
      <c r="AS3582">
        <v>268</v>
      </c>
      <c r="AT3582" s="4">
        <v>42404</v>
      </c>
      <c r="AU3582" t="s">
        <v>73</v>
      </c>
      <c r="AV3582">
        <v>268</v>
      </c>
      <c r="AW3582" s="4">
        <v>42404</v>
      </c>
      <c r="BD3582">
        <v>0</v>
      </c>
      <c r="BN3582" t="s">
        <v>74</v>
      </c>
    </row>
    <row r="3583" spans="1:66" hidden="1">
      <c r="A3583">
        <v>101303</v>
      </c>
      <c r="B3583" s="3" t="s">
        <v>403</v>
      </c>
      <c r="C3583" s="1">
        <v>43300101</v>
      </c>
      <c r="D3583" t="s">
        <v>67</v>
      </c>
      <c r="H3583" t="str">
        <f t="shared" si="371"/>
        <v>01387750621</v>
      </c>
      <c r="I3583" t="str">
        <f t="shared" si="371"/>
        <v>01387750621</v>
      </c>
      <c r="K3583" t="str">
        <f>""</f>
        <v/>
      </c>
      <c r="M3583" t="s">
        <v>68</v>
      </c>
      <c r="N3583" t="str">
        <f>"FOR"</f>
        <v>FOR</v>
      </c>
      <c r="O3583" t="s">
        <v>69</v>
      </c>
      <c r="P3583" s="3" t="s">
        <v>75</v>
      </c>
      <c r="Q3583">
        <v>2015</v>
      </c>
      <c r="R3583" s="2">
        <v>42124</v>
      </c>
      <c r="S3583" s="2">
        <v>42128</v>
      </c>
      <c r="T3583" s="2">
        <v>42124</v>
      </c>
      <c r="U3583" s="2">
        <v>42184</v>
      </c>
      <c r="V3583" t="s">
        <v>71</v>
      </c>
      <c r="W3583" t="str">
        <f>"                 102"</f>
        <v xml:space="preserve">                 102</v>
      </c>
      <c r="X3583">
        <v>646.6</v>
      </c>
      <c r="Y3583">
        <v>0</v>
      </c>
      <c r="Z3583"/>
      <c r="AB3583"/>
      <c r="AC3583">
        <v>530</v>
      </c>
      <c r="AD3583">
        <v>232</v>
      </c>
      <c r="AE3583" s="1">
        <v>122960</v>
      </c>
      <c r="AF3583">
        <v>0</v>
      </c>
      <c r="AJ3583">
        <v>0</v>
      </c>
      <c r="AK3583">
        <v>0</v>
      </c>
      <c r="AL3583">
        <v>0</v>
      </c>
      <c r="AM3583">
        <v>0</v>
      </c>
      <c r="AN3583">
        <v>0</v>
      </c>
      <c r="AO3583">
        <v>0</v>
      </c>
      <c r="AP3583" s="2">
        <v>42746</v>
      </c>
      <c r="AQ3583" t="s">
        <v>72</v>
      </c>
      <c r="AR3583" t="s">
        <v>72</v>
      </c>
      <c r="AS3583">
        <v>432</v>
      </c>
      <c r="AT3583" s="4">
        <v>42416</v>
      </c>
      <c r="AU3583" t="s">
        <v>73</v>
      </c>
      <c r="AV3583">
        <v>432</v>
      </c>
      <c r="AW3583" s="4">
        <v>42416</v>
      </c>
      <c r="BD3583">
        <v>0</v>
      </c>
      <c r="BN3583" t="s">
        <v>74</v>
      </c>
    </row>
    <row r="3584" spans="1:66" hidden="1">
      <c r="A3584">
        <v>101303</v>
      </c>
      <c r="B3584" s="3" t="s">
        <v>403</v>
      </c>
      <c r="C3584" s="1">
        <v>43300101</v>
      </c>
      <c r="D3584" t="s">
        <v>67</v>
      </c>
      <c r="H3584" t="str">
        <f t="shared" si="371"/>
        <v>01387750621</v>
      </c>
      <c r="I3584" t="str">
        <f t="shared" si="371"/>
        <v>01387750621</v>
      </c>
      <c r="K3584" t="str">
        <f>""</f>
        <v/>
      </c>
      <c r="M3584" t="s">
        <v>68</v>
      </c>
      <c r="N3584" t="str">
        <f>"FOR"</f>
        <v>FOR</v>
      </c>
      <c r="O3584" t="s">
        <v>69</v>
      </c>
      <c r="P3584" s="3" t="s">
        <v>75</v>
      </c>
      <c r="Q3584">
        <v>2015</v>
      </c>
      <c r="R3584" s="2">
        <v>42184</v>
      </c>
      <c r="S3584" s="2">
        <v>42186</v>
      </c>
      <c r="T3584" s="2">
        <v>42184</v>
      </c>
      <c r="U3584" s="2">
        <v>42244</v>
      </c>
      <c r="V3584" t="s">
        <v>71</v>
      </c>
      <c r="W3584" t="str">
        <f>"                 163"</f>
        <v xml:space="preserve">                 163</v>
      </c>
      <c r="X3584">
        <v>646.6</v>
      </c>
      <c r="Y3584">
        <v>0</v>
      </c>
      <c r="Z3584"/>
      <c r="AB3584"/>
      <c r="AC3584">
        <v>530</v>
      </c>
      <c r="AD3584">
        <v>243</v>
      </c>
      <c r="AE3584" s="1">
        <v>128790</v>
      </c>
      <c r="AF3584">
        <v>0</v>
      </c>
      <c r="AJ3584">
        <v>0</v>
      </c>
      <c r="AK3584">
        <v>0</v>
      </c>
      <c r="AL3584">
        <v>0</v>
      </c>
      <c r="AM3584">
        <v>0</v>
      </c>
      <c r="AN3584">
        <v>0</v>
      </c>
      <c r="AO3584">
        <v>0</v>
      </c>
      <c r="AP3584" s="2">
        <v>42746</v>
      </c>
      <c r="AQ3584" t="s">
        <v>72</v>
      </c>
      <c r="AR3584" t="s">
        <v>72</v>
      </c>
      <c r="AS3584">
        <v>1195</v>
      </c>
      <c r="AT3584" s="4">
        <v>42487</v>
      </c>
      <c r="AU3584" t="s">
        <v>73</v>
      </c>
      <c r="AV3584">
        <v>1195</v>
      </c>
      <c r="AW3584" s="4">
        <v>42487</v>
      </c>
      <c r="BD3584">
        <v>0</v>
      </c>
      <c r="BN3584" t="s">
        <v>74</v>
      </c>
    </row>
    <row r="3585" spans="1:66" hidden="1">
      <c r="A3585">
        <v>101303</v>
      </c>
      <c r="B3585" s="3" t="s">
        <v>403</v>
      </c>
      <c r="C3585" s="1">
        <v>43300101</v>
      </c>
      <c r="D3585" t="s">
        <v>67</v>
      </c>
      <c r="H3585" t="str">
        <f t="shared" si="371"/>
        <v>01387750621</v>
      </c>
      <c r="I3585" t="str">
        <f t="shared" si="371"/>
        <v>01387750621</v>
      </c>
      <c r="K3585" t="str">
        <f>""</f>
        <v/>
      </c>
      <c r="M3585" t="s">
        <v>68</v>
      </c>
      <c r="N3585" t="str">
        <f>"FOR"</f>
        <v>FOR</v>
      </c>
      <c r="O3585" t="s">
        <v>69</v>
      </c>
      <c r="P3585" s="3" t="s">
        <v>75</v>
      </c>
      <c r="Q3585">
        <v>2015</v>
      </c>
      <c r="R3585" s="2">
        <v>42241</v>
      </c>
      <c r="S3585" s="2">
        <v>42242</v>
      </c>
      <c r="T3585" s="2">
        <v>42241</v>
      </c>
      <c r="U3585" s="2">
        <v>42301</v>
      </c>
      <c r="V3585" t="s">
        <v>71</v>
      </c>
      <c r="W3585" t="str">
        <f>"                 197"</f>
        <v xml:space="preserve">                 197</v>
      </c>
      <c r="X3585">
        <v>646.6</v>
      </c>
      <c r="Y3585">
        <v>0</v>
      </c>
      <c r="Z3585"/>
      <c r="AB3585"/>
      <c r="AC3585">
        <v>530</v>
      </c>
      <c r="AD3585">
        <v>186</v>
      </c>
      <c r="AE3585" s="1">
        <v>98580</v>
      </c>
      <c r="AF3585">
        <v>0</v>
      </c>
      <c r="AJ3585">
        <v>0</v>
      </c>
      <c r="AK3585">
        <v>0</v>
      </c>
      <c r="AL3585">
        <v>0</v>
      </c>
      <c r="AM3585">
        <v>0</v>
      </c>
      <c r="AN3585">
        <v>0</v>
      </c>
      <c r="AO3585">
        <v>0</v>
      </c>
      <c r="AP3585" s="2">
        <v>42746</v>
      </c>
      <c r="AQ3585" t="s">
        <v>72</v>
      </c>
      <c r="AR3585" t="s">
        <v>72</v>
      </c>
      <c r="AS3585">
        <v>1195</v>
      </c>
      <c r="AT3585" s="4">
        <v>42487</v>
      </c>
      <c r="AU3585" t="s">
        <v>73</v>
      </c>
      <c r="AV3585">
        <v>1195</v>
      </c>
      <c r="AW3585" s="4">
        <v>42487</v>
      </c>
      <c r="BD3585">
        <v>0</v>
      </c>
      <c r="BN3585" t="s">
        <v>74</v>
      </c>
    </row>
    <row r="3586" spans="1:66" hidden="1">
      <c r="A3586">
        <v>101303</v>
      </c>
      <c r="B3586" s="3" t="s">
        <v>403</v>
      </c>
      <c r="C3586" s="1">
        <v>43300101</v>
      </c>
      <c r="D3586" t="s">
        <v>67</v>
      </c>
      <c r="H3586" t="str">
        <f t="shared" si="371"/>
        <v>01387750621</v>
      </c>
      <c r="I3586" t="str">
        <f t="shared" si="371"/>
        <v>01387750621</v>
      </c>
      <c r="K3586" t="str">
        <f>""</f>
        <v/>
      </c>
      <c r="M3586" t="s">
        <v>68</v>
      </c>
      <c r="N3586" t="str">
        <f>"FOR"</f>
        <v>FOR</v>
      </c>
      <c r="O3586" t="s">
        <v>69</v>
      </c>
      <c r="P3586" s="3" t="s">
        <v>75</v>
      </c>
      <c r="Q3586">
        <v>2015</v>
      </c>
      <c r="R3586" s="2">
        <v>42336</v>
      </c>
      <c r="S3586" s="2">
        <v>42338</v>
      </c>
      <c r="T3586" s="2">
        <v>42336</v>
      </c>
      <c r="U3586" s="2">
        <v>42396</v>
      </c>
      <c r="V3586" t="s">
        <v>71</v>
      </c>
      <c r="W3586" t="str">
        <f>"                 290"</f>
        <v xml:space="preserve">                 290</v>
      </c>
      <c r="X3586">
        <v>646.6</v>
      </c>
      <c r="Y3586">
        <v>0</v>
      </c>
      <c r="Z3586"/>
      <c r="AB3586"/>
      <c r="AC3586">
        <v>530</v>
      </c>
      <c r="AD3586">
        <v>91</v>
      </c>
      <c r="AE3586" s="1">
        <v>48230</v>
      </c>
      <c r="AF3586">
        <v>0</v>
      </c>
      <c r="AJ3586">
        <v>0</v>
      </c>
      <c r="AK3586">
        <v>0</v>
      </c>
      <c r="AL3586">
        <v>0</v>
      </c>
      <c r="AM3586">
        <v>0</v>
      </c>
      <c r="AN3586">
        <v>0</v>
      </c>
      <c r="AO3586">
        <v>0</v>
      </c>
      <c r="AP3586" s="2">
        <v>42746</v>
      </c>
      <c r="AQ3586" t="s">
        <v>72</v>
      </c>
      <c r="AR3586" t="s">
        <v>72</v>
      </c>
      <c r="AS3586">
        <v>1195</v>
      </c>
      <c r="AT3586" s="4">
        <v>42487</v>
      </c>
      <c r="AU3586" t="s">
        <v>73</v>
      </c>
      <c r="AV3586">
        <v>1195</v>
      </c>
      <c r="AW3586" s="4">
        <v>42487</v>
      </c>
      <c r="BD3586">
        <v>0</v>
      </c>
      <c r="BN3586" t="s">
        <v>74</v>
      </c>
    </row>
    <row r="3587" spans="1:66" hidden="1">
      <c r="A3587">
        <v>101304</v>
      </c>
      <c r="B3587" s="3" t="s">
        <v>404</v>
      </c>
      <c r="C3587" s="1">
        <v>43500101</v>
      </c>
      <c r="D3587" t="s">
        <v>113</v>
      </c>
      <c r="H3587" t="str">
        <f t="shared" ref="H3587:H3596" si="372">"SPELSS70B19A064C"</f>
        <v>SPELSS70B19A064C</v>
      </c>
      <c r="I3587" t="str">
        <f t="shared" ref="I3587:I3596" si="373">"06616441215"</f>
        <v>06616441215</v>
      </c>
      <c r="K3587" t="str">
        <f>""</f>
        <v/>
      </c>
      <c r="M3587" t="s">
        <v>68</v>
      </c>
      <c r="N3587" t="str">
        <f t="shared" ref="N3587:N3608" si="374">"ALTPRO"</f>
        <v>ALTPRO</v>
      </c>
      <c r="O3587" t="s">
        <v>132</v>
      </c>
      <c r="P3587" s="3" t="s">
        <v>146</v>
      </c>
      <c r="Q3587">
        <v>2016</v>
      </c>
      <c r="R3587" s="2">
        <v>42383</v>
      </c>
      <c r="S3587" s="2">
        <v>42388</v>
      </c>
      <c r="T3587" s="2">
        <v>42384</v>
      </c>
      <c r="U3587" s="2">
        <v>42444</v>
      </c>
      <c r="V3587" t="s">
        <v>71</v>
      </c>
      <c r="W3587" t="str">
        <f>"                   1"</f>
        <v xml:space="preserve">                   1</v>
      </c>
      <c r="X3587" s="1">
        <v>2386.48</v>
      </c>
      <c r="Y3587">
        <v>-476.9</v>
      </c>
      <c r="Z3587"/>
      <c r="AB3587"/>
      <c r="AC3587" s="1">
        <v>1909.58</v>
      </c>
      <c r="AD3587">
        <v>-47</v>
      </c>
      <c r="AE3587" s="1">
        <v>-89750.26</v>
      </c>
      <c r="AF3587">
        <v>0</v>
      </c>
      <c r="AJ3587">
        <v>0</v>
      </c>
      <c r="AK3587">
        <v>0</v>
      </c>
      <c r="AL3587">
        <v>0</v>
      </c>
      <c r="AM3587">
        <v>-476.9</v>
      </c>
      <c r="AN3587" s="1">
        <v>1909.58</v>
      </c>
      <c r="AO3587" s="1">
        <v>1909.58</v>
      </c>
      <c r="AP3587" s="2">
        <v>42746</v>
      </c>
      <c r="AQ3587" t="s">
        <v>72</v>
      </c>
      <c r="AR3587" t="s">
        <v>72</v>
      </c>
      <c r="AS3587">
        <v>145</v>
      </c>
      <c r="AT3587" s="4">
        <v>42397</v>
      </c>
      <c r="AV3587">
        <v>145</v>
      </c>
      <c r="AW3587" s="4">
        <v>42397</v>
      </c>
      <c r="BD3587">
        <v>0</v>
      </c>
      <c r="BN3587" t="s">
        <v>74</v>
      </c>
    </row>
    <row r="3588" spans="1:66" hidden="1">
      <c r="A3588">
        <v>101304</v>
      </c>
      <c r="B3588" s="3" t="s">
        <v>404</v>
      </c>
      <c r="C3588" s="1">
        <v>43500101</v>
      </c>
      <c r="D3588" t="s">
        <v>113</v>
      </c>
      <c r="H3588" t="str">
        <f t="shared" si="372"/>
        <v>SPELSS70B19A064C</v>
      </c>
      <c r="I3588" t="str">
        <f t="shared" si="373"/>
        <v>06616441215</v>
      </c>
      <c r="K3588" t="str">
        <f>""</f>
        <v/>
      </c>
      <c r="M3588" t="s">
        <v>68</v>
      </c>
      <c r="N3588" t="str">
        <f t="shared" si="374"/>
        <v>ALTPRO</v>
      </c>
      <c r="O3588" t="s">
        <v>132</v>
      </c>
      <c r="P3588" s="3" t="s">
        <v>146</v>
      </c>
      <c r="Q3588">
        <v>2016</v>
      </c>
      <c r="R3588" s="2">
        <v>42439</v>
      </c>
      <c r="S3588" s="2">
        <v>42445</v>
      </c>
      <c r="T3588" s="2">
        <v>42444</v>
      </c>
      <c r="U3588" s="2">
        <v>42504</v>
      </c>
      <c r="V3588" t="s">
        <v>71</v>
      </c>
      <c r="W3588" t="str">
        <f>"                   2"</f>
        <v xml:space="preserve">                   2</v>
      </c>
      <c r="X3588" s="1">
        <v>4714.0600000000004</v>
      </c>
      <c r="Y3588">
        <v>-942.41</v>
      </c>
      <c r="Z3588"/>
      <c r="AB3588"/>
      <c r="AC3588" s="1">
        <v>3771.65</v>
      </c>
      <c r="AD3588">
        <v>-53</v>
      </c>
      <c r="AE3588" s="1">
        <v>-199897.45</v>
      </c>
      <c r="AF3588">
        <v>0</v>
      </c>
      <c r="AJ3588">
        <v>0</v>
      </c>
      <c r="AK3588">
        <v>0</v>
      </c>
      <c r="AL3588">
        <v>0</v>
      </c>
      <c r="AM3588" s="1">
        <v>3771.65</v>
      </c>
      <c r="AN3588" s="1">
        <v>3771.65</v>
      </c>
      <c r="AO3588" s="1">
        <v>3771.65</v>
      </c>
      <c r="AP3588" s="2">
        <v>42746</v>
      </c>
      <c r="AQ3588" t="s">
        <v>72</v>
      </c>
      <c r="AR3588" t="s">
        <v>72</v>
      </c>
      <c r="AS3588">
        <v>734</v>
      </c>
      <c r="AT3588" s="4">
        <v>42451</v>
      </c>
      <c r="AV3588">
        <v>734</v>
      </c>
      <c r="AW3588" s="4">
        <v>42451</v>
      </c>
      <c r="BD3588">
        <v>0</v>
      </c>
      <c r="BN3588" t="s">
        <v>74</v>
      </c>
    </row>
    <row r="3589" spans="1:66" hidden="1">
      <c r="A3589">
        <v>101304</v>
      </c>
      <c r="B3589" s="3" t="s">
        <v>404</v>
      </c>
      <c r="C3589" s="1">
        <v>43500101</v>
      </c>
      <c r="D3589" t="s">
        <v>113</v>
      </c>
      <c r="H3589" t="str">
        <f t="shared" si="372"/>
        <v>SPELSS70B19A064C</v>
      </c>
      <c r="I3589" t="str">
        <f t="shared" si="373"/>
        <v>06616441215</v>
      </c>
      <c r="K3589" t="str">
        <f>""</f>
        <v/>
      </c>
      <c r="M3589" t="s">
        <v>68</v>
      </c>
      <c r="N3589" t="str">
        <f t="shared" si="374"/>
        <v>ALTPRO</v>
      </c>
      <c r="O3589" t="s">
        <v>132</v>
      </c>
      <c r="P3589" s="3" t="s">
        <v>146</v>
      </c>
      <c r="Q3589">
        <v>2016</v>
      </c>
      <c r="R3589" s="2">
        <v>42499</v>
      </c>
      <c r="S3589" s="2">
        <v>42507</v>
      </c>
      <c r="T3589" s="2">
        <v>42507</v>
      </c>
      <c r="U3589" s="2">
        <v>42567</v>
      </c>
      <c r="V3589" t="s">
        <v>71</v>
      </c>
      <c r="W3589" t="str">
        <f>"                   3"</f>
        <v xml:space="preserve">                   3</v>
      </c>
      <c r="X3589" s="1">
        <v>2713.62</v>
      </c>
      <c r="Y3589">
        <v>-542.32000000000005</v>
      </c>
      <c r="Z3589"/>
      <c r="AB3589"/>
      <c r="AC3589" s="1">
        <v>2171.3000000000002</v>
      </c>
      <c r="AD3589">
        <v>-47</v>
      </c>
      <c r="AE3589" s="1">
        <v>-102051.1</v>
      </c>
      <c r="AF3589">
        <v>0</v>
      </c>
      <c r="AJ3589">
        <v>0</v>
      </c>
      <c r="AK3589">
        <v>0</v>
      </c>
      <c r="AL3589">
        <v>0</v>
      </c>
      <c r="AM3589" s="1">
        <v>2171.3000000000002</v>
      </c>
      <c r="AN3589" s="1">
        <v>2171.3000000000002</v>
      </c>
      <c r="AO3589" s="1">
        <v>2171.3000000000002</v>
      </c>
      <c r="AP3589" s="2">
        <v>42746</v>
      </c>
      <c r="AQ3589" t="s">
        <v>72</v>
      </c>
      <c r="AR3589" t="s">
        <v>72</v>
      </c>
      <c r="AS3589">
        <v>1398</v>
      </c>
      <c r="AT3589" s="4">
        <v>42520</v>
      </c>
      <c r="AV3589">
        <v>1398</v>
      </c>
      <c r="AW3589" s="4">
        <v>42520</v>
      </c>
      <c r="BD3589">
        <v>0</v>
      </c>
      <c r="BN3589" t="s">
        <v>74</v>
      </c>
    </row>
    <row r="3590" spans="1:66" hidden="1">
      <c r="A3590">
        <v>101304</v>
      </c>
      <c r="B3590" s="3" t="s">
        <v>404</v>
      </c>
      <c r="C3590" s="1">
        <v>43500101</v>
      </c>
      <c r="D3590" t="s">
        <v>113</v>
      </c>
      <c r="H3590" t="str">
        <f t="shared" si="372"/>
        <v>SPELSS70B19A064C</v>
      </c>
      <c r="I3590" t="str">
        <f t="shared" si="373"/>
        <v>06616441215</v>
      </c>
      <c r="K3590" t="str">
        <f>""</f>
        <v/>
      </c>
      <c r="M3590" t="s">
        <v>68</v>
      </c>
      <c r="N3590" t="str">
        <f t="shared" si="374"/>
        <v>ALTPRO</v>
      </c>
      <c r="O3590" t="s">
        <v>132</v>
      </c>
      <c r="P3590" s="3" t="s">
        <v>146</v>
      </c>
      <c r="Q3590">
        <v>2016</v>
      </c>
      <c r="R3590" s="2">
        <v>42499</v>
      </c>
      <c r="S3590" s="2">
        <v>42507</v>
      </c>
      <c r="T3590" s="2">
        <v>42507</v>
      </c>
      <c r="U3590" s="2">
        <v>42567</v>
      </c>
      <c r="V3590" t="s">
        <v>71</v>
      </c>
      <c r="W3590" t="str">
        <f>"                   4"</f>
        <v xml:space="preserve">                   4</v>
      </c>
      <c r="X3590" s="1">
        <v>2396.14</v>
      </c>
      <c r="Y3590">
        <v>-478.83</v>
      </c>
      <c r="Z3590"/>
      <c r="AB3590"/>
      <c r="AC3590" s="1">
        <v>1917.31</v>
      </c>
      <c r="AD3590">
        <v>-47</v>
      </c>
      <c r="AE3590" s="1">
        <v>-90113.57</v>
      </c>
      <c r="AF3590">
        <v>0</v>
      </c>
      <c r="AJ3590">
        <v>0</v>
      </c>
      <c r="AK3590">
        <v>0</v>
      </c>
      <c r="AL3590">
        <v>0</v>
      </c>
      <c r="AM3590" s="1">
        <v>1917.31</v>
      </c>
      <c r="AN3590" s="1">
        <v>1917.31</v>
      </c>
      <c r="AO3590" s="1">
        <v>1917.31</v>
      </c>
      <c r="AP3590" s="2">
        <v>42746</v>
      </c>
      <c r="AQ3590" t="s">
        <v>72</v>
      </c>
      <c r="AR3590" t="s">
        <v>72</v>
      </c>
      <c r="AS3590">
        <v>1398</v>
      </c>
      <c r="AT3590" s="4">
        <v>42520</v>
      </c>
      <c r="AV3590">
        <v>1398</v>
      </c>
      <c r="AW3590" s="4">
        <v>42520</v>
      </c>
      <c r="BD3590">
        <v>0</v>
      </c>
      <c r="BN3590" t="s">
        <v>74</v>
      </c>
    </row>
    <row r="3591" spans="1:66" hidden="1">
      <c r="A3591">
        <v>101304</v>
      </c>
      <c r="B3591" s="3" t="s">
        <v>404</v>
      </c>
      <c r="C3591" s="1">
        <v>43500101</v>
      </c>
      <c r="D3591" t="s">
        <v>113</v>
      </c>
      <c r="H3591" t="str">
        <f t="shared" si="372"/>
        <v>SPELSS70B19A064C</v>
      </c>
      <c r="I3591" t="str">
        <f t="shared" si="373"/>
        <v>06616441215</v>
      </c>
      <c r="K3591" t="str">
        <f>""</f>
        <v/>
      </c>
      <c r="M3591" t="s">
        <v>68</v>
      </c>
      <c r="N3591" t="str">
        <f t="shared" si="374"/>
        <v>ALTPRO</v>
      </c>
      <c r="O3591" t="s">
        <v>132</v>
      </c>
      <c r="P3591" s="3" t="s">
        <v>146</v>
      </c>
      <c r="Q3591">
        <v>2016</v>
      </c>
      <c r="R3591" s="2">
        <v>42548</v>
      </c>
      <c r="S3591" s="2">
        <v>42549</v>
      </c>
      <c r="T3591" s="2">
        <v>42548</v>
      </c>
      <c r="U3591" s="2">
        <v>42608</v>
      </c>
      <c r="V3591" t="s">
        <v>71</v>
      </c>
      <c r="W3591" t="str">
        <f>"                   5"</f>
        <v xml:space="preserve">                   5</v>
      </c>
      <c r="X3591" s="1">
        <v>2246.17</v>
      </c>
      <c r="Y3591">
        <v>-448.83</v>
      </c>
      <c r="Z3591"/>
      <c r="AB3591"/>
      <c r="AC3591" s="1">
        <v>1797.34</v>
      </c>
      <c r="AD3591">
        <v>-56</v>
      </c>
      <c r="AE3591" s="1">
        <v>-100651.04</v>
      </c>
      <c r="AF3591">
        <v>0</v>
      </c>
      <c r="AJ3591">
        <v>0</v>
      </c>
      <c r="AK3591">
        <v>0</v>
      </c>
      <c r="AL3591">
        <v>0</v>
      </c>
      <c r="AM3591" s="1">
        <v>1797.34</v>
      </c>
      <c r="AN3591" s="1">
        <v>1797.34</v>
      </c>
      <c r="AO3591" s="1">
        <v>1797.34</v>
      </c>
      <c r="AP3591" s="2">
        <v>42746</v>
      </c>
      <c r="AQ3591" t="s">
        <v>72</v>
      </c>
      <c r="AR3591" t="s">
        <v>72</v>
      </c>
      <c r="AS3591">
        <v>1638</v>
      </c>
      <c r="AT3591" s="4">
        <v>42552</v>
      </c>
      <c r="AV3591">
        <v>1638</v>
      </c>
      <c r="AW3591" s="4">
        <v>42552</v>
      </c>
      <c r="BD3591">
        <v>0</v>
      </c>
      <c r="BN3591" t="s">
        <v>74</v>
      </c>
    </row>
    <row r="3592" spans="1:66" hidden="1">
      <c r="A3592">
        <v>101304</v>
      </c>
      <c r="B3592" s="3" t="s">
        <v>404</v>
      </c>
      <c r="C3592" s="1">
        <v>43500101</v>
      </c>
      <c r="D3592" t="s">
        <v>113</v>
      </c>
      <c r="H3592" t="str">
        <f t="shared" si="372"/>
        <v>SPELSS70B19A064C</v>
      </c>
      <c r="I3592" t="str">
        <f t="shared" si="373"/>
        <v>06616441215</v>
      </c>
      <c r="K3592" t="str">
        <f>""</f>
        <v/>
      </c>
      <c r="M3592" t="s">
        <v>68</v>
      </c>
      <c r="N3592" t="str">
        <f t="shared" si="374"/>
        <v>ALTPRO</v>
      </c>
      <c r="O3592" t="s">
        <v>132</v>
      </c>
      <c r="P3592" s="3" t="s">
        <v>146</v>
      </c>
      <c r="Q3592">
        <v>2016</v>
      </c>
      <c r="R3592" s="2">
        <v>42583</v>
      </c>
      <c r="S3592" s="2">
        <v>42600</v>
      </c>
      <c r="T3592" s="2">
        <v>42593</v>
      </c>
      <c r="U3592" s="2">
        <v>42653</v>
      </c>
      <c r="V3592" t="s">
        <v>71</v>
      </c>
      <c r="W3592" t="str">
        <f>"                   6"</f>
        <v xml:space="preserve">                   6</v>
      </c>
      <c r="X3592" s="1">
        <v>2222.2199999999998</v>
      </c>
      <c r="Y3592">
        <v>-444.44</v>
      </c>
      <c r="Z3592"/>
      <c r="AB3592"/>
      <c r="AC3592" s="1">
        <v>1777.78</v>
      </c>
      <c r="AD3592">
        <v>-35</v>
      </c>
      <c r="AE3592" s="1">
        <v>-62222.3</v>
      </c>
      <c r="AF3592">
        <v>0</v>
      </c>
      <c r="AJ3592">
        <v>0</v>
      </c>
      <c r="AK3592">
        <v>0</v>
      </c>
      <c r="AL3592">
        <v>0</v>
      </c>
      <c r="AM3592" s="1">
        <v>1777.78</v>
      </c>
      <c r="AN3592" s="1">
        <v>1777.78</v>
      </c>
      <c r="AO3592" s="1">
        <v>1777.78</v>
      </c>
      <c r="AP3592" s="2">
        <v>42746</v>
      </c>
      <c r="AQ3592" t="s">
        <v>72</v>
      </c>
      <c r="AR3592" t="s">
        <v>72</v>
      </c>
      <c r="AS3592">
        <v>2256</v>
      </c>
      <c r="AT3592" s="4">
        <v>42618</v>
      </c>
      <c r="AV3592">
        <v>2256</v>
      </c>
      <c r="AW3592" s="4">
        <v>42618</v>
      </c>
      <c r="BD3592">
        <v>0</v>
      </c>
      <c r="BN3592" t="s">
        <v>74</v>
      </c>
    </row>
    <row r="3593" spans="1:66" hidden="1">
      <c r="A3593">
        <v>101304</v>
      </c>
      <c r="B3593" s="3" t="s">
        <v>404</v>
      </c>
      <c r="C3593" s="1">
        <v>43500101</v>
      </c>
      <c r="D3593" t="s">
        <v>113</v>
      </c>
      <c r="H3593" t="str">
        <f t="shared" si="372"/>
        <v>SPELSS70B19A064C</v>
      </c>
      <c r="I3593" t="str">
        <f t="shared" si="373"/>
        <v>06616441215</v>
      </c>
      <c r="K3593" t="str">
        <f>""</f>
        <v/>
      </c>
      <c r="M3593" t="s">
        <v>68</v>
      </c>
      <c r="N3593" t="str">
        <f t="shared" si="374"/>
        <v>ALTPRO</v>
      </c>
      <c r="O3593" t="s">
        <v>132</v>
      </c>
      <c r="P3593" s="3" t="s">
        <v>146</v>
      </c>
      <c r="Q3593">
        <v>2016</v>
      </c>
      <c r="R3593" s="2">
        <v>42587</v>
      </c>
      <c r="S3593" s="2">
        <v>42600</v>
      </c>
      <c r="T3593" s="2">
        <v>42593</v>
      </c>
      <c r="U3593" s="2">
        <v>42653</v>
      </c>
      <c r="V3593" t="s">
        <v>71</v>
      </c>
      <c r="W3593" t="str">
        <f>"                   7"</f>
        <v xml:space="preserve">                   7</v>
      </c>
      <c r="X3593" s="1">
        <v>2536.7600000000002</v>
      </c>
      <c r="Y3593">
        <v>-507.35</v>
      </c>
      <c r="Z3593"/>
      <c r="AB3593"/>
      <c r="AC3593" s="1">
        <v>2029.41</v>
      </c>
      <c r="AD3593">
        <v>-35</v>
      </c>
      <c r="AE3593" s="1">
        <v>-71029.350000000006</v>
      </c>
      <c r="AF3593">
        <v>0</v>
      </c>
      <c r="AJ3593">
        <v>0</v>
      </c>
      <c r="AK3593">
        <v>0</v>
      </c>
      <c r="AL3593">
        <v>0</v>
      </c>
      <c r="AM3593" s="1">
        <v>2029.41</v>
      </c>
      <c r="AN3593" s="1">
        <v>2029.41</v>
      </c>
      <c r="AO3593" s="1">
        <v>2029.41</v>
      </c>
      <c r="AP3593" s="2">
        <v>42746</v>
      </c>
      <c r="AQ3593" t="s">
        <v>72</v>
      </c>
      <c r="AR3593" t="s">
        <v>72</v>
      </c>
      <c r="AS3593">
        <v>2256</v>
      </c>
      <c r="AT3593" s="4">
        <v>42618</v>
      </c>
      <c r="AV3593">
        <v>2256</v>
      </c>
      <c r="AW3593" s="4">
        <v>42618</v>
      </c>
      <c r="BD3593">
        <v>0</v>
      </c>
      <c r="BN3593" t="s">
        <v>74</v>
      </c>
    </row>
    <row r="3594" spans="1:66">
      <c r="A3594">
        <v>101304</v>
      </c>
      <c r="B3594" s="3" t="s">
        <v>404</v>
      </c>
      <c r="C3594" s="1">
        <v>43500101</v>
      </c>
      <c r="D3594" t="s">
        <v>113</v>
      </c>
      <c r="H3594" t="str">
        <f t="shared" si="372"/>
        <v>SPELSS70B19A064C</v>
      </c>
      <c r="I3594" t="str">
        <f t="shared" si="373"/>
        <v>06616441215</v>
      </c>
      <c r="K3594" t="str">
        <f>""</f>
        <v/>
      </c>
      <c r="M3594" t="s">
        <v>68</v>
      </c>
      <c r="N3594" t="str">
        <f t="shared" si="374"/>
        <v>ALTPRO</v>
      </c>
      <c r="O3594" t="s">
        <v>132</v>
      </c>
      <c r="P3594" s="3" t="s">
        <v>75</v>
      </c>
      <c r="Q3594">
        <v>2016</v>
      </c>
      <c r="R3594" s="2">
        <v>42684</v>
      </c>
      <c r="S3594" s="2">
        <v>42685</v>
      </c>
      <c r="T3594" s="2">
        <v>42684</v>
      </c>
      <c r="U3594" s="2">
        <v>42744</v>
      </c>
      <c r="V3594" t="s">
        <v>71</v>
      </c>
      <c r="W3594" t="str">
        <f>"         FATTPA 1_16"</f>
        <v xml:space="preserve">         FATTPA 1_16</v>
      </c>
      <c r="X3594" s="1">
        <v>1384.24</v>
      </c>
      <c r="Y3594">
        <v>-276.85000000000002</v>
      </c>
      <c r="Z3594" s="5">
        <v>1107.3900000000001</v>
      </c>
      <c r="AA3594">
        <v>-55</v>
      </c>
      <c r="AB3594" s="5">
        <v>-60906.45</v>
      </c>
      <c r="AC3594" s="1">
        <v>1107.3900000000001</v>
      </c>
      <c r="AD3594">
        <v>-55</v>
      </c>
      <c r="AE3594" s="1">
        <v>-60906.45</v>
      </c>
      <c r="AF3594">
        <v>0</v>
      </c>
      <c r="AJ3594">
        <v>-276.85000000000002</v>
      </c>
      <c r="AK3594" s="1">
        <v>1107.3900000000001</v>
      </c>
      <c r="AL3594" s="1">
        <v>1107.3900000000001</v>
      </c>
      <c r="AM3594" s="1">
        <v>1107.3900000000001</v>
      </c>
      <c r="AN3594" s="1">
        <v>1107.3900000000001</v>
      </c>
      <c r="AO3594" s="1">
        <v>1107.3900000000001</v>
      </c>
      <c r="AP3594" s="2">
        <v>42746</v>
      </c>
      <c r="AQ3594" t="s">
        <v>72</v>
      </c>
      <c r="AR3594" t="s">
        <v>72</v>
      </c>
      <c r="AS3594">
        <v>3105</v>
      </c>
      <c r="AT3594" s="4">
        <v>42689</v>
      </c>
      <c r="AV3594">
        <v>3105</v>
      </c>
      <c r="AW3594" s="4">
        <v>42689</v>
      </c>
      <c r="BD3594">
        <v>0</v>
      </c>
      <c r="BN3594" t="s">
        <v>74</v>
      </c>
    </row>
    <row r="3595" spans="1:66">
      <c r="A3595">
        <v>101304</v>
      </c>
      <c r="B3595" s="3" t="s">
        <v>404</v>
      </c>
      <c r="C3595" s="1">
        <v>43500101</v>
      </c>
      <c r="D3595" t="s">
        <v>113</v>
      </c>
      <c r="H3595" t="str">
        <f t="shared" si="372"/>
        <v>SPELSS70B19A064C</v>
      </c>
      <c r="I3595" t="str">
        <f t="shared" si="373"/>
        <v>06616441215</v>
      </c>
      <c r="K3595" t="str">
        <f>""</f>
        <v/>
      </c>
      <c r="M3595" t="s">
        <v>68</v>
      </c>
      <c r="N3595" t="str">
        <f t="shared" si="374"/>
        <v>ALTPRO</v>
      </c>
      <c r="O3595" t="s">
        <v>132</v>
      </c>
      <c r="P3595" s="3" t="s">
        <v>75</v>
      </c>
      <c r="Q3595">
        <v>2016</v>
      </c>
      <c r="R3595" s="2">
        <v>42684</v>
      </c>
      <c r="S3595" s="2">
        <v>42685</v>
      </c>
      <c r="T3595" s="2">
        <v>42684</v>
      </c>
      <c r="U3595" s="2">
        <v>42744</v>
      </c>
      <c r="V3595" t="s">
        <v>71</v>
      </c>
      <c r="W3595" t="str">
        <f>"         FATTPA 2_16"</f>
        <v xml:space="preserve">         FATTPA 2_16</v>
      </c>
      <c r="X3595" s="1">
        <v>4902.1400000000003</v>
      </c>
      <c r="Y3595">
        <v>-980.43</v>
      </c>
      <c r="Z3595" s="5">
        <v>3921.71</v>
      </c>
      <c r="AA3595">
        <v>-55</v>
      </c>
      <c r="AB3595" s="5">
        <v>-215694.05</v>
      </c>
      <c r="AC3595" s="1">
        <v>3921.71</v>
      </c>
      <c r="AD3595">
        <v>-55</v>
      </c>
      <c r="AE3595" s="1">
        <v>-215694.05</v>
      </c>
      <c r="AF3595">
        <v>0</v>
      </c>
      <c r="AJ3595">
        <v>-980.43</v>
      </c>
      <c r="AK3595" s="1">
        <v>3921.71</v>
      </c>
      <c r="AL3595" s="1">
        <v>3921.71</v>
      </c>
      <c r="AM3595" s="1">
        <v>3921.71</v>
      </c>
      <c r="AN3595" s="1">
        <v>3921.71</v>
      </c>
      <c r="AO3595" s="1">
        <v>3921.71</v>
      </c>
      <c r="AP3595" s="2">
        <v>42746</v>
      </c>
      <c r="AQ3595" t="s">
        <v>72</v>
      </c>
      <c r="AR3595" t="s">
        <v>72</v>
      </c>
      <c r="AS3595">
        <v>3105</v>
      </c>
      <c r="AT3595" s="4">
        <v>42689</v>
      </c>
      <c r="AV3595">
        <v>3105</v>
      </c>
      <c r="AW3595" s="4">
        <v>42689</v>
      </c>
      <c r="BD3595">
        <v>0</v>
      </c>
      <c r="BN3595" t="s">
        <v>74</v>
      </c>
    </row>
    <row r="3596" spans="1:66">
      <c r="A3596">
        <v>101304</v>
      </c>
      <c r="B3596" s="3" t="s">
        <v>404</v>
      </c>
      <c r="C3596" s="1">
        <v>43500101</v>
      </c>
      <c r="D3596" t="s">
        <v>113</v>
      </c>
      <c r="H3596" t="str">
        <f t="shared" si="372"/>
        <v>SPELSS70B19A064C</v>
      </c>
      <c r="I3596" t="str">
        <f t="shared" si="373"/>
        <v>06616441215</v>
      </c>
      <c r="K3596" t="str">
        <f>""</f>
        <v/>
      </c>
      <c r="M3596" t="s">
        <v>68</v>
      </c>
      <c r="N3596" t="str">
        <f t="shared" si="374"/>
        <v>ALTPRO</v>
      </c>
      <c r="O3596" t="s">
        <v>132</v>
      </c>
      <c r="P3596" s="3" t="s">
        <v>75</v>
      </c>
      <c r="Q3596">
        <v>2016</v>
      </c>
      <c r="R3596" s="2">
        <v>42716</v>
      </c>
      <c r="S3596" s="2">
        <v>42718</v>
      </c>
      <c r="T3596" s="2">
        <v>42717</v>
      </c>
      <c r="U3596" s="2">
        <v>42777</v>
      </c>
      <c r="V3596" t="s">
        <v>71</v>
      </c>
      <c r="W3596" t="str">
        <f>"         FATTPA 3_16"</f>
        <v xml:space="preserve">         FATTPA 3_16</v>
      </c>
      <c r="X3596" s="1">
        <v>2581.3200000000002</v>
      </c>
      <c r="Y3596">
        <v>-516.26</v>
      </c>
      <c r="Z3596" s="5">
        <v>2065.06</v>
      </c>
      <c r="AA3596">
        <v>-59</v>
      </c>
      <c r="AB3596" s="5">
        <v>-121838.54</v>
      </c>
      <c r="AC3596" s="1">
        <v>2065.06</v>
      </c>
      <c r="AD3596">
        <v>-59</v>
      </c>
      <c r="AE3596" s="1">
        <v>-121838.54</v>
      </c>
      <c r="AF3596">
        <v>0</v>
      </c>
      <c r="AJ3596" s="1">
        <v>2065.06</v>
      </c>
      <c r="AK3596" s="1">
        <v>2065.06</v>
      </c>
      <c r="AL3596" s="1">
        <v>2065.06</v>
      </c>
      <c r="AM3596" s="1">
        <v>2065.06</v>
      </c>
      <c r="AN3596" s="1">
        <v>2065.06</v>
      </c>
      <c r="AO3596" s="1">
        <v>2065.06</v>
      </c>
      <c r="AP3596" s="2">
        <v>42746</v>
      </c>
      <c r="AQ3596" t="s">
        <v>72</v>
      </c>
      <c r="AR3596" t="s">
        <v>72</v>
      </c>
      <c r="AS3596">
        <v>3445</v>
      </c>
      <c r="AT3596" s="4">
        <v>42718</v>
      </c>
      <c r="AV3596">
        <v>3445</v>
      </c>
      <c r="AW3596" s="4">
        <v>42718</v>
      </c>
      <c r="BD3596">
        <v>0</v>
      </c>
      <c r="BN3596" t="s">
        <v>74</v>
      </c>
    </row>
    <row r="3597" spans="1:66" hidden="1">
      <c r="A3597">
        <v>101308</v>
      </c>
      <c r="B3597" s="3" t="s">
        <v>405</v>
      </c>
      <c r="C3597" s="1">
        <v>43500101</v>
      </c>
      <c r="D3597" t="s">
        <v>113</v>
      </c>
      <c r="H3597" t="str">
        <f t="shared" ref="H3597:H3608" si="375">"CGNCML79P42E791A"</f>
        <v>CGNCML79P42E791A</v>
      </c>
      <c r="I3597" t="str">
        <f t="shared" ref="I3597:I3608" si="376">"01450650625"</f>
        <v>01450650625</v>
      </c>
      <c r="K3597" t="str">
        <f>""</f>
        <v/>
      </c>
      <c r="M3597" t="s">
        <v>68</v>
      </c>
      <c r="N3597" t="str">
        <f t="shared" si="374"/>
        <v>ALTPRO</v>
      </c>
      <c r="O3597" t="s">
        <v>132</v>
      </c>
      <c r="P3597" s="3" t="s">
        <v>75</v>
      </c>
      <c r="Q3597">
        <v>2016</v>
      </c>
      <c r="R3597" s="2">
        <v>42388</v>
      </c>
      <c r="S3597" s="2">
        <v>42389</v>
      </c>
      <c r="T3597" s="2">
        <v>42388</v>
      </c>
      <c r="U3597" s="2">
        <v>42448</v>
      </c>
      <c r="V3597" t="s">
        <v>71</v>
      </c>
      <c r="W3597" t="str">
        <f>"         FATTPA 1_16"</f>
        <v xml:space="preserve">         FATTPA 1_16</v>
      </c>
      <c r="X3597" s="1">
        <v>2530.64</v>
      </c>
      <c r="Y3597">
        <v>-505.73</v>
      </c>
      <c r="Z3597"/>
      <c r="AB3597"/>
      <c r="AC3597" s="1">
        <v>2024.91</v>
      </c>
      <c r="AD3597">
        <v>-51</v>
      </c>
      <c r="AE3597" s="1">
        <v>-103270.41</v>
      </c>
      <c r="AF3597">
        <v>0</v>
      </c>
      <c r="AJ3597">
        <v>0</v>
      </c>
      <c r="AK3597">
        <v>0</v>
      </c>
      <c r="AL3597">
        <v>0</v>
      </c>
      <c r="AM3597">
        <v>-505.73</v>
      </c>
      <c r="AN3597" s="1">
        <v>2024.91</v>
      </c>
      <c r="AO3597" s="1">
        <v>2024.91</v>
      </c>
      <c r="AP3597" s="2">
        <v>42746</v>
      </c>
      <c r="AQ3597" t="s">
        <v>72</v>
      </c>
      <c r="AR3597" t="s">
        <v>72</v>
      </c>
      <c r="AS3597">
        <v>154</v>
      </c>
      <c r="AT3597" s="4">
        <v>42397</v>
      </c>
      <c r="AV3597">
        <v>154</v>
      </c>
      <c r="AW3597" s="4">
        <v>42397</v>
      </c>
      <c r="BD3597">
        <v>0</v>
      </c>
      <c r="BN3597" t="s">
        <v>74</v>
      </c>
    </row>
    <row r="3598" spans="1:66" hidden="1">
      <c r="A3598">
        <v>101308</v>
      </c>
      <c r="B3598" s="3" t="s">
        <v>405</v>
      </c>
      <c r="C3598" s="1">
        <v>43500101</v>
      </c>
      <c r="D3598" t="s">
        <v>113</v>
      </c>
      <c r="H3598" t="str">
        <f t="shared" si="375"/>
        <v>CGNCML79P42E791A</v>
      </c>
      <c r="I3598" t="str">
        <f t="shared" si="376"/>
        <v>01450650625</v>
      </c>
      <c r="K3598" t="str">
        <f>""</f>
        <v/>
      </c>
      <c r="M3598" t="s">
        <v>68</v>
      </c>
      <c r="N3598" t="str">
        <f t="shared" si="374"/>
        <v>ALTPRO</v>
      </c>
      <c r="O3598" t="s">
        <v>132</v>
      </c>
      <c r="P3598" s="3" t="s">
        <v>75</v>
      </c>
      <c r="Q3598">
        <v>2016</v>
      </c>
      <c r="R3598" s="2">
        <v>42414</v>
      </c>
      <c r="S3598" s="2">
        <v>42415</v>
      </c>
      <c r="T3598" s="2">
        <v>42414</v>
      </c>
      <c r="U3598" s="2">
        <v>42474</v>
      </c>
      <c r="V3598" t="s">
        <v>71</v>
      </c>
      <c r="W3598" t="str">
        <f>"         FATTPA 2_16"</f>
        <v xml:space="preserve">         FATTPA 2_16</v>
      </c>
      <c r="X3598" s="1">
        <v>1845.65</v>
      </c>
      <c r="Y3598">
        <v>-368.73</v>
      </c>
      <c r="Z3598"/>
      <c r="AB3598"/>
      <c r="AC3598" s="1">
        <v>1476.92</v>
      </c>
      <c r="AD3598">
        <v>-48</v>
      </c>
      <c r="AE3598" s="1">
        <v>-70892.160000000003</v>
      </c>
      <c r="AF3598">
        <v>0</v>
      </c>
      <c r="AJ3598">
        <v>0</v>
      </c>
      <c r="AK3598">
        <v>0</v>
      </c>
      <c r="AL3598">
        <v>0</v>
      </c>
      <c r="AM3598" s="1">
        <v>1476.92</v>
      </c>
      <c r="AN3598" s="1">
        <v>1476.92</v>
      </c>
      <c r="AO3598" s="1">
        <v>1476.92</v>
      </c>
      <c r="AP3598" s="2">
        <v>42746</v>
      </c>
      <c r="AQ3598" t="s">
        <v>72</v>
      </c>
      <c r="AR3598" t="s">
        <v>72</v>
      </c>
      <c r="AS3598">
        <v>560</v>
      </c>
      <c r="AT3598" s="4">
        <v>42426</v>
      </c>
      <c r="AV3598">
        <v>560</v>
      </c>
      <c r="AW3598" s="4">
        <v>42426</v>
      </c>
      <c r="BD3598">
        <v>0</v>
      </c>
      <c r="BN3598" t="s">
        <v>74</v>
      </c>
    </row>
    <row r="3599" spans="1:66" hidden="1">
      <c r="A3599">
        <v>101308</v>
      </c>
      <c r="B3599" s="3" t="s">
        <v>405</v>
      </c>
      <c r="C3599" s="1">
        <v>43500101</v>
      </c>
      <c r="D3599" t="s">
        <v>113</v>
      </c>
      <c r="H3599" t="str">
        <f t="shared" si="375"/>
        <v>CGNCML79P42E791A</v>
      </c>
      <c r="I3599" t="str">
        <f t="shared" si="376"/>
        <v>01450650625</v>
      </c>
      <c r="K3599" t="str">
        <f>""</f>
        <v/>
      </c>
      <c r="M3599" t="s">
        <v>68</v>
      </c>
      <c r="N3599" t="str">
        <f t="shared" si="374"/>
        <v>ALTPRO</v>
      </c>
      <c r="O3599" t="s">
        <v>132</v>
      </c>
      <c r="P3599" s="3" t="s">
        <v>75</v>
      </c>
      <c r="Q3599">
        <v>2016</v>
      </c>
      <c r="R3599" s="2">
        <v>42429</v>
      </c>
      <c r="S3599" s="2">
        <v>42433</v>
      </c>
      <c r="T3599" s="2">
        <v>42429</v>
      </c>
      <c r="U3599" s="2">
        <v>42489</v>
      </c>
      <c r="V3599" t="s">
        <v>71</v>
      </c>
      <c r="W3599" t="str">
        <f>"         FATTPA 3_16"</f>
        <v xml:space="preserve">         FATTPA 3_16</v>
      </c>
      <c r="X3599" s="1">
        <v>2636</v>
      </c>
      <c r="Y3599">
        <v>-526.79999999999995</v>
      </c>
      <c r="Z3599"/>
      <c r="AB3599"/>
      <c r="AC3599" s="1">
        <v>2109.1999999999998</v>
      </c>
      <c r="AD3599">
        <v>-38</v>
      </c>
      <c r="AE3599" s="1">
        <v>-80149.600000000006</v>
      </c>
      <c r="AF3599">
        <v>0</v>
      </c>
      <c r="AJ3599">
        <v>0</v>
      </c>
      <c r="AK3599">
        <v>0</v>
      </c>
      <c r="AL3599">
        <v>0</v>
      </c>
      <c r="AM3599" s="1">
        <v>2109.1999999999998</v>
      </c>
      <c r="AN3599" s="1">
        <v>2109.1999999999998</v>
      </c>
      <c r="AO3599" s="1">
        <v>2109.1999999999998</v>
      </c>
      <c r="AP3599" s="2">
        <v>42746</v>
      </c>
      <c r="AQ3599" t="s">
        <v>72</v>
      </c>
      <c r="AR3599" t="s">
        <v>72</v>
      </c>
      <c r="AS3599">
        <v>747</v>
      </c>
      <c r="AT3599" s="4">
        <v>42451</v>
      </c>
      <c r="AV3599">
        <v>747</v>
      </c>
      <c r="AW3599" s="4">
        <v>42451</v>
      </c>
      <c r="BD3599">
        <v>0</v>
      </c>
      <c r="BN3599" t="s">
        <v>74</v>
      </c>
    </row>
    <row r="3600" spans="1:66" hidden="1">
      <c r="A3600">
        <v>101308</v>
      </c>
      <c r="B3600" s="3" t="s">
        <v>405</v>
      </c>
      <c r="C3600" s="1">
        <v>43500101</v>
      </c>
      <c r="D3600" t="s">
        <v>113</v>
      </c>
      <c r="H3600" t="str">
        <f t="shared" si="375"/>
        <v>CGNCML79P42E791A</v>
      </c>
      <c r="I3600" t="str">
        <f t="shared" si="376"/>
        <v>01450650625</v>
      </c>
      <c r="K3600" t="str">
        <f>""</f>
        <v/>
      </c>
      <c r="M3600" t="s">
        <v>68</v>
      </c>
      <c r="N3600" t="str">
        <f t="shared" si="374"/>
        <v>ALTPRO</v>
      </c>
      <c r="O3600" t="s">
        <v>132</v>
      </c>
      <c r="P3600" s="3" t="s">
        <v>75</v>
      </c>
      <c r="Q3600">
        <v>2016</v>
      </c>
      <c r="R3600" s="2">
        <v>42475</v>
      </c>
      <c r="S3600" s="2">
        <v>42475</v>
      </c>
      <c r="T3600" s="2">
        <v>42475</v>
      </c>
      <c r="U3600" s="2">
        <v>42535</v>
      </c>
      <c r="V3600" t="s">
        <v>71</v>
      </c>
      <c r="W3600" t="str">
        <f>"         FATTPA 4_16"</f>
        <v xml:space="preserve">         FATTPA 4_16</v>
      </c>
      <c r="X3600" s="1">
        <v>2741.36</v>
      </c>
      <c r="Y3600">
        <v>-547.87</v>
      </c>
      <c r="Z3600"/>
      <c r="AB3600"/>
      <c r="AC3600" s="1">
        <v>2193.4899999999998</v>
      </c>
      <c r="AD3600">
        <v>-48</v>
      </c>
      <c r="AE3600" s="1">
        <v>-105287.52</v>
      </c>
      <c r="AF3600">
        <v>0</v>
      </c>
      <c r="AJ3600">
        <v>0</v>
      </c>
      <c r="AK3600">
        <v>0</v>
      </c>
      <c r="AL3600">
        <v>0</v>
      </c>
      <c r="AM3600" s="1">
        <v>2193.4899999999998</v>
      </c>
      <c r="AN3600" s="1">
        <v>2193.4899999999998</v>
      </c>
      <c r="AO3600" s="1">
        <v>2193.4899999999998</v>
      </c>
      <c r="AP3600" s="2">
        <v>42746</v>
      </c>
      <c r="AQ3600" t="s">
        <v>72</v>
      </c>
      <c r="AR3600" t="s">
        <v>72</v>
      </c>
      <c r="AS3600">
        <v>1131</v>
      </c>
      <c r="AT3600" s="4">
        <v>42487</v>
      </c>
      <c r="AV3600">
        <v>1131</v>
      </c>
      <c r="AW3600" s="4">
        <v>42487</v>
      </c>
      <c r="BD3600">
        <v>0</v>
      </c>
      <c r="BN3600" t="s">
        <v>74</v>
      </c>
    </row>
    <row r="3601" spans="1:66" hidden="1">
      <c r="A3601">
        <v>101308</v>
      </c>
      <c r="B3601" s="3" t="s">
        <v>405</v>
      </c>
      <c r="C3601" s="1">
        <v>43500101</v>
      </c>
      <c r="D3601" t="s">
        <v>113</v>
      </c>
      <c r="H3601" t="str">
        <f t="shared" si="375"/>
        <v>CGNCML79P42E791A</v>
      </c>
      <c r="I3601" t="str">
        <f t="shared" si="376"/>
        <v>01450650625</v>
      </c>
      <c r="K3601" t="str">
        <f>""</f>
        <v/>
      </c>
      <c r="M3601" t="s">
        <v>68</v>
      </c>
      <c r="N3601" t="str">
        <f t="shared" si="374"/>
        <v>ALTPRO</v>
      </c>
      <c r="O3601" t="s">
        <v>132</v>
      </c>
      <c r="P3601" s="3" t="s">
        <v>75</v>
      </c>
      <c r="Q3601">
        <v>2016</v>
      </c>
      <c r="R3601" s="2">
        <v>42502</v>
      </c>
      <c r="S3601" s="2">
        <v>42507</v>
      </c>
      <c r="T3601" s="2">
        <v>42503</v>
      </c>
      <c r="U3601" s="2">
        <v>42563</v>
      </c>
      <c r="V3601" t="s">
        <v>71</v>
      </c>
      <c r="W3601" t="str">
        <f>"         FATTPA 5_16"</f>
        <v xml:space="preserve">         FATTPA 5_16</v>
      </c>
      <c r="X3601" s="1">
        <v>2636</v>
      </c>
      <c r="Y3601">
        <v>-526.79999999999995</v>
      </c>
      <c r="Z3601"/>
      <c r="AB3601"/>
      <c r="AC3601" s="1">
        <v>2109.1999999999998</v>
      </c>
      <c r="AD3601">
        <v>-47</v>
      </c>
      <c r="AE3601" s="1">
        <v>-99132.4</v>
      </c>
      <c r="AF3601">
        <v>0</v>
      </c>
      <c r="AJ3601">
        <v>0</v>
      </c>
      <c r="AK3601">
        <v>0</v>
      </c>
      <c r="AL3601">
        <v>0</v>
      </c>
      <c r="AM3601" s="1">
        <v>2109.1999999999998</v>
      </c>
      <c r="AN3601" s="1">
        <v>2109.1999999999998</v>
      </c>
      <c r="AO3601" s="1">
        <v>2109.1999999999998</v>
      </c>
      <c r="AP3601" s="2">
        <v>42746</v>
      </c>
      <c r="AQ3601" t="s">
        <v>72</v>
      </c>
      <c r="AR3601" t="s">
        <v>72</v>
      </c>
      <c r="AS3601">
        <v>1364</v>
      </c>
      <c r="AT3601" s="4">
        <v>42516</v>
      </c>
      <c r="AV3601">
        <v>1364</v>
      </c>
      <c r="AW3601" s="4">
        <v>42516</v>
      </c>
      <c r="BD3601">
        <v>0</v>
      </c>
      <c r="BN3601" t="s">
        <v>74</v>
      </c>
    </row>
    <row r="3602" spans="1:66" hidden="1">
      <c r="A3602">
        <v>101308</v>
      </c>
      <c r="B3602" s="3" t="s">
        <v>405</v>
      </c>
      <c r="C3602" s="1">
        <v>43500101</v>
      </c>
      <c r="D3602" t="s">
        <v>113</v>
      </c>
      <c r="H3602" t="str">
        <f t="shared" si="375"/>
        <v>CGNCML79P42E791A</v>
      </c>
      <c r="I3602" t="str">
        <f t="shared" si="376"/>
        <v>01450650625</v>
      </c>
      <c r="K3602" t="str">
        <f>""</f>
        <v/>
      </c>
      <c r="M3602" t="s">
        <v>68</v>
      </c>
      <c r="N3602" t="str">
        <f t="shared" si="374"/>
        <v>ALTPRO</v>
      </c>
      <c r="O3602" t="s">
        <v>132</v>
      </c>
      <c r="P3602" s="3" t="s">
        <v>75</v>
      </c>
      <c r="Q3602">
        <v>2016</v>
      </c>
      <c r="R3602" s="2">
        <v>42529</v>
      </c>
      <c r="S3602" s="2">
        <v>42562</v>
      </c>
      <c r="T3602" s="2">
        <v>42560</v>
      </c>
      <c r="U3602" s="2">
        <v>42620</v>
      </c>
      <c r="V3602" t="s">
        <v>71</v>
      </c>
      <c r="W3602" t="str">
        <f>"         FATTPA 6_16"</f>
        <v xml:space="preserve">         FATTPA 6_16</v>
      </c>
      <c r="X3602" s="1">
        <v>2741.36</v>
      </c>
      <c r="Y3602">
        <v>-547.87</v>
      </c>
      <c r="Z3602"/>
      <c r="AB3602"/>
      <c r="AC3602" s="1">
        <v>2193.4899999999998</v>
      </c>
      <c r="AD3602">
        <v>-54</v>
      </c>
      <c r="AE3602" s="1">
        <v>-118448.46</v>
      </c>
      <c r="AF3602">
        <v>0</v>
      </c>
      <c r="AJ3602">
        <v>0</v>
      </c>
      <c r="AK3602">
        <v>0</v>
      </c>
      <c r="AL3602">
        <v>0</v>
      </c>
      <c r="AM3602" s="1">
        <v>2193.4899999999998</v>
      </c>
      <c r="AN3602" s="1">
        <v>2193.4899999999998</v>
      </c>
      <c r="AO3602" s="1">
        <v>2193.4899999999998</v>
      </c>
      <c r="AP3602" s="2">
        <v>42746</v>
      </c>
      <c r="AQ3602" t="s">
        <v>72</v>
      </c>
      <c r="AR3602" t="s">
        <v>72</v>
      </c>
      <c r="AS3602">
        <v>1777</v>
      </c>
      <c r="AT3602" s="4">
        <v>42566</v>
      </c>
      <c r="AV3602">
        <v>1777</v>
      </c>
      <c r="AW3602" s="4">
        <v>42566</v>
      </c>
      <c r="BD3602">
        <v>0</v>
      </c>
      <c r="BN3602" t="s">
        <v>74</v>
      </c>
    </row>
    <row r="3603" spans="1:66" hidden="1">
      <c r="A3603">
        <v>101308</v>
      </c>
      <c r="B3603" s="3" t="s">
        <v>405</v>
      </c>
      <c r="C3603" s="1">
        <v>43500101</v>
      </c>
      <c r="D3603" t="s">
        <v>113</v>
      </c>
      <c r="H3603" t="str">
        <f t="shared" si="375"/>
        <v>CGNCML79P42E791A</v>
      </c>
      <c r="I3603" t="str">
        <f t="shared" si="376"/>
        <v>01450650625</v>
      </c>
      <c r="K3603" t="str">
        <f>""</f>
        <v/>
      </c>
      <c r="M3603" t="s">
        <v>68</v>
      </c>
      <c r="N3603" t="str">
        <f t="shared" si="374"/>
        <v>ALTPRO</v>
      </c>
      <c r="O3603" t="s">
        <v>132</v>
      </c>
      <c r="P3603" s="3" t="s">
        <v>75</v>
      </c>
      <c r="Q3603">
        <v>2016</v>
      </c>
      <c r="R3603" s="2">
        <v>42563</v>
      </c>
      <c r="S3603" s="2">
        <v>42565</v>
      </c>
      <c r="T3603" s="2">
        <v>42563</v>
      </c>
      <c r="U3603" s="2">
        <v>42623</v>
      </c>
      <c r="V3603" t="s">
        <v>71</v>
      </c>
      <c r="W3603" t="str">
        <f>"         FATTPA 7_16"</f>
        <v xml:space="preserve">         FATTPA 7_16</v>
      </c>
      <c r="X3603" s="1">
        <v>2470.23</v>
      </c>
      <c r="Y3603">
        <v>-493.65</v>
      </c>
      <c r="Z3603"/>
      <c r="AB3603"/>
      <c r="AC3603" s="1">
        <v>1976.58</v>
      </c>
      <c r="AD3603">
        <v>-57</v>
      </c>
      <c r="AE3603" s="1">
        <v>-112665.06</v>
      </c>
      <c r="AF3603">
        <v>0</v>
      </c>
      <c r="AJ3603">
        <v>0</v>
      </c>
      <c r="AK3603">
        <v>0</v>
      </c>
      <c r="AL3603">
        <v>0</v>
      </c>
      <c r="AM3603" s="1">
        <v>1976.58</v>
      </c>
      <c r="AN3603" s="1">
        <v>1976.58</v>
      </c>
      <c r="AO3603" s="1">
        <v>1976.58</v>
      </c>
      <c r="AP3603" s="2">
        <v>42746</v>
      </c>
      <c r="AQ3603" t="s">
        <v>72</v>
      </c>
      <c r="AR3603" t="s">
        <v>72</v>
      </c>
      <c r="AS3603">
        <v>1777</v>
      </c>
      <c r="AT3603" s="4">
        <v>42566</v>
      </c>
      <c r="AV3603">
        <v>1777</v>
      </c>
      <c r="AW3603" s="4">
        <v>42566</v>
      </c>
      <c r="BD3603">
        <v>0</v>
      </c>
      <c r="BN3603" t="s">
        <v>74</v>
      </c>
    </row>
    <row r="3604" spans="1:66" hidden="1">
      <c r="A3604">
        <v>101308</v>
      </c>
      <c r="B3604" s="3" t="s">
        <v>405</v>
      </c>
      <c r="C3604" s="1">
        <v>43500101</v>
      </c>
      <c r="D3604" t="s">
        <v>113</v>
      </c>
      <c r="H3604" t="str">
        <f t="shared" si="375"/>
        <v>CGNCML79P42E791A</v>
      </c>
      <c r="I3604" t="str">
        <f t="shared" si="376"/>
        <v>01450650625</v>
      </c>
      <c r="K3604" t="str">
        <f>""</f>
        <v/>
      </c>
      <c r="M3604" t="s">
        <v>68</v>
      </c>
      <c r="N3604" t="str">
        <f t="shared" si="374"/>
        <v>ALTPRO</v>
      </c>
      <c r="O3604" t="s">
        <v>132</v>
      </c>
      <c r="P3604" s="3" t="s">
        <v>75</v>
      </c>
      <c r="Q3604">
        <v>2016</v>
      </c>
      <c r="R3604" s="2">
        <v>42591</v>
      </c>
      <c r="S3604" s="2">
        <v>42591</v>
      </c>
      <c r="T3604" s="2">
        <v>42591</v>
      </c>
      <c r="U3604" s="2">
        <v>42651</v>
      </c>
      <c r="V3604" t="s">
        <v>71</v>
      </c>
      <c r="W3604" t="str">
        <f>"         FATTPA 8_16"</f>
        <v xml:space="preserve">         FATTPA 8_16</v>
      </c>
      <c r="X3604" s="1">
        <v>2657.43</v>
      </c>
      <c r="Y3604">
        <v>-531.09</v>
      </c>
      <c r="Z3604"/>
      <c r="AB3604"/>
      <c r="AC3604" s="1">
        <v>2126.34</v>
      </c>
      <c r="AD3604">
        <v>-33</v>
      </c>
      <c r="AE3604" s="1">
        <v>-70169.22</v>
      </c>
      <c r="AF3604">
        <v>0</v>
      </c>
      <c r="AJ3604">
        <v>0</v>
      </c>
      <c r="AK3604">
        <v>0</v>
      </c>
      <c r="AL3604">
        <v>0</v>
      </c>
      <c r="AM3604" s="1">
        <v>2126.34</v>
      </c>
      <c r="AN3604" s="1">
        <v>2126.34</v>
      </c>
      <c r="AO3604" s="1">
        <v>2126.34</v>
      </c>
      <c r="AP3604" s="2">
        <v>42746</v>
      </c>
      <c r="AQ3604" t="s">
        <v>72</v>
      </c>
      <c r="AR3604" t="s">
        <v>72</v>
      </c>
      <c r="AS3604">
        <v>2232</v>
      </c>
      <c r="AT3604" s="4">
        <v>42618</v>
      </c>
      <c r="AV3604">
        <v>2232</v>
      </c>
      <c r="AW3604" s="4">
        <v>42618</v>
      </c>
      <c r="BD3604">
        <v>0</v>
      </c>
      <c r="BN3604" t="s">
        <v>74</v>
      </c>
    </row>
    <row r="3605" spans="1:66">
      <c r="A3605">
        <v>101308</v>
      </c>
      <c r="B3605" s="3" t="s">
        <v>405</v>
      </c>
      <c r="C3605" s="1">
        <v>43500101</v>
      </c>
      <c r="D3605" t="s">
        <v>113</v>
      </c>
      <c r="H3605" t="str">
        <f t="shared" si="375"/>
        <v>CGNCML79P42E791A</v>
      </c>
      <c r="I3605" t="str">
        <f t="shared" si="376"/>
        <v>01450650625</v>
      </c>
      <c r="K3605" t="str">
        <f>""</f>
        <v/>
      </c>
      <c r="M3605" t="s">
        <v>68</v>
      </c>
      <c r="N3605" t="str">
        <f t="shared" si="374"/>
        <v>ALTPRO</v>
      </c>
      <c r="O3605" t="s">
        <v>132</v>
      </c>
      <c r="P3605" s="3" t="s">
        <v>75</v>
      </c>
      <c r="Q3605">
        <v>2016</v>
      </c>
      <c r="R3605" s="2">
        <v>42621</v>
      </c>
      <c r="S3605" s="2">
        <v>42621</v>
      </c>
      <c r="T3605" s="2">
        <v>42621</v>
      </c>
      <c r="U3605" s="2">
        <v>42681</v>
      </c>
      <c r="V3605" t="s">
        <v>71</v>
      </c>
      <c r="W3605" t="str">
        <f>"         FATTPA 9_16"</f>
        <v xml:space="preserve">         FATTPA 9_16</v>
      </c>
      <c r="X3605" s="1">
        <v>2475.96</v>
      </c>
      <c r="Y3605">
        <v>-495.19</v>
      </c>
      <c r="Z3605" s="5">
        <v>1980.77</v>
      </c>
      <c r="AA3605">
        <v>-35</v>
      </c>
      <c r="AB3605" s="5">
        <v>-69326.95</v>
      </c>
      <c r="AC3605" s="1">
        <v>1980.77</v>
      </c>
      <c r="AD3605">
        <v>-35</v>
      </c>
      <c r="AE3605" s="1">
        <v>-69326.95</v>
      </c>
      <c r="AF3605">
        <v>0</v>
      </c>
      <c r="AJ3605">
        <v>0</v>
      </c>
      <c r="AK3605">
        <v>0</v>
      </c>
      <c r="AL3605">
        <v>0</v>
      </c>
      <c r="AM3605" s="1">
        <v>1980.77</v>
      </c>
      <c r="AN3605" s="1">
        <v>1980.77</v>
      </c>
      <c r="AO3605" s="1">
        <v>1980.77</v>
      </c>
      <c r="AP3605" s="2">
        <v>42746</v>
      </c>
      <c r="AQ3605" t="s">
        <v>72</v>
      </c>
      <c r="AR3605" t="s">
        <v>72</v>
      </c>
      <c r="AS3605">
        <v>2512</v>
      </c>
      <c r="AT3605" s="4">
        <v>42646</v>
      </c>
      <c r="AV3605">
        <v>2512</v>
      </c>
      <c r="AW3605" s="4">
        <v>42646</v>
      </c>
      <c r="BD3605">
        <v>0</v>
      </c>
      <c r="BN3605" t="s">
        <v>74</v>
      </c>
    </row>
    <row r="3606" spans="1:66">
      <c r="A3606">
        <v>101308</v>
      </c>
      <c r="B3606" s="3" t="s">
        <v>405</v>
      </c>
      <c r="C3606" s="1">
        <v>43500101</v>
      </c>
      <c r="D3606" t="s">
        <v>113</v>
      </c>
      <c r="H3606" t="str">
        <f t="shared" si="375"/>
        <v>CGNCML79P42E791A</v>
      </c>
      <c r="I3606" t="str">
        <f t="shared" si="376"/>
        <v>01450650625</v>
      </c>
      <c r="K3606" t="str">
        <f>""</f>
        <v/>
      </c>
      <c r="M3606" t="s">
        <v>68</v>
      </c>
      <c r="N3606" t="str">
        <f t="shared" si="374"/>
        <v>ALTPRO</v>
      </c>
      <c r="O3606" t="s">
        <v>132</v>
      </c>
      <c r="P3606" s="3" t="s">
        <v>75</v>
      </c>
      <c r="Q3606">
        <v>2016</v>
      </c>
      <c r="R3606" s="2">
        <v>42649</v>
      </c>
      <c r="S3606" s="2">
        <v>42654</v>
      </c>
      <c r="T3606" s="2">
        <v>42650</v>
      </c>
      <c r="U3606" s="2">
        <v>42710</v>
      </c>
      <c r="V3606" t="s">
        <v>71</v>
      </c>
      <c r="W3606" t="str">
        <f>"        FATTPA 10_16"</f>
        <v xml:space="preserve">        FATTPA 10_16</v>
      </c>
      <c r="X3606" s="1">
        <v>2678.62</v>
      </c>
      <c r="Y3606">
        <v>-535.72</v>
      </c>
      <c r="Z3606" s="5">
        <v>2142.9</v>
      </c>
      <c r="AA3606">
        <v>-42</v>
      </c>
      <c r="AB3606" s="5">
        <v>-90001.8</v>
      </c>
      <c r="AC3606" s="1">
        <v>2142.9</v>
      </c>
      <c r="AD3606">
        <v>-42</v>
      </c>
      <c r="AE3606" s="1">
        <v>-90001.8</v>
      </c>
      <c r="AF3606">
        <v>0</v>
      </c>
      <c r="AJ3606">
        <v>-535.72</v>
      </c>
      <c r="AK3606" s="1">
        <v>2142.9</v>
      </c>
      <c r="AL3606" s="1">
        <v>2142.9</v>
      </c>
      <c r="AM3606" s="1">
        <v>2142.9</v>
      </c>
      <c r="AN3606" s="1">
        <v>2142.9</v>
      </c>
      <c r="AO3606" s="1">
        <v>2142.9</v>
      </c>
      <c r="AP3606" s="2">
        <v>42746</v>
      </c>
      <c r="AQ3606" t="s">
        <v>72</v>
      </c>
      <c r="AR3606" t="s">
        <v>72</v>
      </c>
      <c r="AS3606">
        <v>2868</v>
      </c>
      <c r="AT3606" s="4">
        <v>42668</v>
      </c>
      <c r="AV3606">
        <v>2868</v>
      </c>
      <c r="AW3606" s="4">
        <v>42668</v>
      </c>
      <c r="BD3606">
        <v>0</v>
      </c>
      <c r="BN3606" t="s">
        <v>74</v>
      </c>
    </row>
    <row r="3607" spans="1:66">
      <c r="A3607">
        <v>101308</v>
      </c>
      <c r="B3607" s="3" t="s">
        <v>405</v>
      </c>
      <c r="C3607" s="1">
        <v>43500101</v>
      </c>
      <c r="D3607" t="s">
        <v>113</v>
      </c>
      <c r="H3607" t="str">
        <f t="shared" si="375"/>
        <v>CGNCML79P42E791A</v>
      </c>
      <c r="I3607" t="str">
        <f t="shared" si="376"/>
        <v>01450650625</v>
      </c>
      <c r="K3607" t="str">
        <f>""</f>
        <v/>
      </c>
      <c r="M3607" t="s">
        <v>68</v>
      </c>
      <c r="N3607" t="str">
        <f t="shared" si="374"/>
        <v>ALTPRO</v>
      </c>
      <c r="O3607" t="s">
        <v>132</v>
      </c>
      <c r="P3607" s="3" t="s">
        <v>75</v>
      </c>
      <c r="Q3607">
        <v>2016</v>
      </c>
      <c r="R3607" s="2">
        <v>42676</v>
      </c>
      <c r="S3607" s="2">
        <v>42677</v>
      </c>
      <c r="T3607" s="2">
        <v>42677</v>
      </c>
      <c r="U3607" s="2">
        <v>42737</v>
      </c>
      <c r="V3607" t="s">
        <v>71</v>
      </c>
      <c r="W3607" t="str">
        <f>"        FATTPA 11_16"</f>
        <v xml:space="preserve">        FATTPA 11_16</v>
      </c>
      <c r="X3607" s="1">
        <v>2528.64</v>
      </c>
      <c r="Y3607">
        <v>-505.73</v>
      </c>
      <c r="Z3607" s="5">
        <v>2022.91</v>
      </c>
      <c r="AA3607">
        <v>-59</v>
      </c>
      <c r="AB3607" s="5">
        <v>-119351.69</v>
      </c>
      <c r="AC3607" s="1">
        <v>2022.91</v>
      </c>
      <c r="AD3607">
        <v>-59</v>
      </c>
      <c r="AE3607" s="1">
        <v>-119351.69</v>
      </c>
      <c r="AF3607">
        <v>0</v>
      </c>
      <c r="AJ3607" s="1">
        <v>2022.91</v>
      </c>
      <c r="AK3607" s="1">
        <v>2022.91</v>
      </c>
      <c r="AL3607" s="1">
        <v>2022.91</v>
      </c>
      <c r="AM3607" s="1">
        <v>2022.91</v>
      </c>
      <c r="AN3607" s="1">
        <v>2022.91</v>
      </c>
      <c r="AO3607" s="1">
        <v>2022.91</v>
      </c>
      <c r="AP3607" s="2">
        <v>42746</v>
      </c>
      <c r="AQ3607" t="s">
        <v>72</v>
      </c>
      <c r="AR3607" t="s">
        <v>72</v>
      </c>
      <c r="AS3607">
        <v>2904</v>
      </c>
      <c r="AT3607" s="4">
        <v>42678</v>
      </c>
      <c r="AV3607">
        <v>2904</v>
      </c>
      <c r="AW3607" s="4">
        <v>42678</v>
      </c>
      <c r="BD3607">
        <v>0</v>
      </c>
      <c r="BN3607" t="s">
        <v>74</v>
      </c>
    </row>
    <row r="3608" spans="1:66">
      <c r="A3608">
        <v>101308</v>
      </c>
      <c r="B3608" s="3" t="s">
        <v>405</v>
      </c>
      <c r="C3608" s="1">
        <v>43500101</v>
      </c>
      <c r="D3608" t="s">
        <v>113</v>
      </c>
      <c r="H3608" t="str">
        <f t="shared" si="375"/>
        <v>CGNCML79P42E791A</v>
      </c>
      <c r="I3608" t="str">
        <f t="shared" si="376"/>
        <v>01450650625</v>
      </c>
      <c r="K3608" t="str">
        <f>""</f>
        <v/>
      </c>
      <c r="M3608" t="s">
        <v>68</v>
      </c>
      <c r="N3608" t="str">
        <f t="shared" si="374"/>
        <v>ALTPRO</v>
      </c>
      <c r="O3608" t="s">
        <v>132</v>
      </c>
      <c r="P3608" s="3" t="s">
        <v>75</v>
      </c>
      <c r="Q3608">
        <v>2016</v>
      </c>
      <c r="R3608" s="2">
        <v>42706</v>
      </c>
      <c r="S3608" s="2">
        <v>42709</v>
      </c>
      <c r="T3608" s="2">
        <v>42707</v>
      </c>
      <c r="U3608" s="2">
        <v>42767</v>
      </c>
      <c r="V3608" t="s">
        <v>71</v>
      </c>
      <c r="W3608" t="str">
        <f>"        FATTPA 12_16"</f>
        <v xml:space="preserve">        FATTPA 12_16</v>
      </c>
      <c r="X3608" s="1">
        <v>2405.7199999999998</v>
      </c>
      <c r="Y3608">
        <v>-481.14</v>
      </c>
      <c r="Z3608" s="5">
        <v>1924.58</v>
      </c>
      <c r="AA3608">
        <v>-58</v>
      </c>
      <c r="AB3608" s="5">
        <v>-111625.64</v>
      </c>
      <c r="AC3608" s="1">
        <v>1924.58</v>
      </c>
      <c r="AD3608">
        <v>-58</v>
      </c>
      <c r="AE3608" s="1">
        <v>-111625.64</v>
      </c>
      <c r="AF3608">
        <v>0</v>
      </c>
      <c r="AJ3608" s="1">
        <v>1924.58</v>
      </c>
      <c r="AK3608" s="1">
        <v>1924.58</v>
      </c>
      <c r="AL3608" s="1">
        <v>1924.58</v>
      </c>
      <c r="AM3608" s="1">
        <v>1924.58</v>
      </c>
      <c r="AN3608" s="1">
        <v>1924.58</v>
      </c>
      <c r="AO3608" s="1">
        <v>1924.58</v>
      </c>
      <c r="AP3608" s="2">
        <v>42746</v>
      </c>
      <c r="AQ3608" t="s">
        <v>72</v>
      </c>
      <c r="AR3608" t="s">
        <v>72</v>
      </c>
      <c r="AS3608">
        <v>3331</v>
      </c>
      <c r="AT3608" s="4">
        <v>42709</v>
      </c>
      <c r="AV3608">
        <v>3331</v>
      </c>
      <c r="AW3608" s="4">
        <v>42709</v>
      </c>
      <c r="BD3608">
        <v>0</v>
      </c>
      <c r="BN3608" t="s">
        <v>74</v>
      </c>
    </row>
    <row r="3609" spans="1:66" hidden="1">
      <c r="A3609">
        <v>101309</v>
      </c>
      <c r="B3609" s="3" t="s">
        <v>406</v>
      </c>
      <c r="C3609" s="1">
        <v>43500101</v>
      </c>
      <c r="D3609" t="s">
        <v>113</v>
      </c>
      <c r="H3609" t="str">
        <f t="shared" ref="H3609:I3620" si="377">"00897081006"</f>
        <v>00897081006</v>
      </c>
      <c r="I3609" t="str">
        <f t="shared" si="377"/>
        <v>00897081006</v>
      </c>
      <c r="K3609" t="str">
        <f>""</f>
        <v/>
      </c>
      <c r="M3609" t="s">
        <v>68</v>
      </c>
      <c r="N3609" t="str">
        <f t="shared" ref="N3609:N3620" si="378">"ALTFIN"</f>
        <v>ALTFIN</v>
      </c>
      <c r="O3609" t="s">
        <v>123</v>
      </c>
      <c r="P3609" s="3" t="s">
        <v>84</v>
      </c>
      <c r="Q3609">
        <v>2016</v>
      </c>
      <c r="R3609" s="2">
        <v>42389</v>
      </c>
      <c r="S3609" s="2">
        <v>42390</v>
      </c>
      <c r="T3609" s="2">
        <v>42390</v>
      </c>
      <c r="U3609" s="2">
        <v>42450</v>
      </c>
      <c r="V3609" t="s">
        <v>71</v>
      </c>
      <c r="W3609" t="str">
        <f>"                0120"</f>
        <v xml:space="preserve">                0120</v>
      </c>
      <c r="X3609">
        <v>0</v>
      </c>
      <c r="Y3609" s="1">
        <v>5768.5</v>
      </c>
      <c r="Z3609"/>
      <c r="AB3609"/>
      <c r="AC3609" s="1">
        <v>5768.5</v>
      </c>
      <c r="AD3609">
        <v>-60</v>
      </c>
      <c r="AE3609" s="1">
        <v>-346110</v>
      </c>
      <c r="AF3609">
        <v>0</v>
      </c>
      <c r="AJ3609">
        <v>0</v>
      </c>
      <c r="AK3609">
        <v>0</v>
      </c>
      <c r="AL3609">
        <v>0</v>
      </c>
      <c r="AM3609" s="1">
        <v>5768.5</v>
      </c>
      <c r="AN3609" s="1">
        <v>5768.5</v>
      </c>
      <c r="AO3609" s="1">
        <v>5768.5</v>
      </c>
      <c r="AP3609" s="2">
        <v>42746</v>
      </c>
      <c r="AQ3609" t="s">
        <v>72</v>
      </c>
      <c r="AR3609" t="s">
        <v>72</v>
      </c>
      <c r="AS3609">
        <v>67</v>
      </c>
      <c r="AT3609" s="4">
        <v>42390</v>
      </c>
      <c r="AV3609">
        <v>67</v>
      </c>
      <c r="AW3609" s="4">
        <v>42390</v>
      </c>
      <c r="BD3609">
        <v>0</v>
      </c>
      <c r="BN3609" t="s">
        <v>74</v>
      </c>
    </row>
    <row r="3610" spans="1:66" hidden="1">
      <c r="A3610">
        <v>101309</v>
      </c>
      <c r="B3610" s="3" t="s">
        <v>406</v>
      </c>
      <c r="C3610" s="1">
        <v>43500101</v>
      </c>
      <c r="D3610" t="s">
        <v>113</v>
      </c>
      <c r="H3610" t="str">
        <f t="shared" si="377"/>
        <v>00897081006</v>
      </c>
      <c r="I3610" t="str">
        <f t="shared" si="377"/>
        <v>00897081006</v>
      </c>
      <c r="K3610" t="str">
        <f>""</f>
        <v/>
      </c>
      <c r="M3610" t="s">
        <v>68</v>
      </c>
      <c r="N3610" t="str">
        <f t="shared" si="378"/>
        <v>ALTFIN</v>
      </c>
      <c r="O3610" t="s">
        <v>123</v>
      </c>
      <c r="P3610" s="3" t="s">
        <v>85</v>
      </c>
      <c r="Q3610">
        <v>2016</v>
      </c>
      <c r="R3610" s="2">
        <v>42422</v>
      </c>
      <c r="S3610" s="2">
        <v>42422</v>
      </c>
      <c r="T3610" s="2">
        <v>42422</v>
      </c>
      <c r="U3610" s="2">
        <v>42482</v>
      </c>
      <c r="V3610" t="s">
        <v>71</v>
      </c>
      <c r="W3610" t="str">
        <f>"                0222"</f>
        <v xml:space="preserve">                0222</v>
      </c>
      <c r="X3610">
        <v>0</v>
      </c>
      <c r="Y3610" s="1">
        <v>5933.5</v>
      </c>
      <c r="Z3610"/>
      <c r="AB3610"/>
      <c r="AC3610" s="1">
        <v>5933.5</v>
      </c>
      <c r="AD3610">
        <v>-58</v>
      </c>
      <c r="AE3610" s="1">
        <v>-344143</v>
      </c>
      <c r="AF3610">
        <v>0</v>
      </c>
      <c r="AJ3610">
        <v>0</v>
      </c>
      <c r="AK3610">
        <v>0</v>
      </c>
      <c r="AL3610">
        <v>0</v>
      </c>
      <c r="AM3610" s="1">
        <v>5933.5</v>
      </c>
      <c r="AN3610" s="1">
        <v>5933.5</v>
      </c>
      <c r="AO3610" s="1">
        <v>5933.5</v>
      </c>
      <c r="AP3610" s="2">
        <v>42746</v>
      </c>
      <c r="AQ3610" t="s">
        <v>72</v>
      </c>
      <c r="AR3610" t="s">
        <v>72</v>
      </c>
      <c r="AS3610">
        <v>511</v>
      </c>
      <c r="AT3610" s="4">
        <v>42424</v>
      </c>
      <c r="AV3610">
        <v>511</v>
      </c>
      <c r="AW3610" s="4">
        <v>42424</v>
      </c>
      <c r="BD3610">
        <v>0</v>
      </c>
      <c r="BN3610" t="s">
        <v>74</v>
      </c>
    </row>
    <row r="3611" spans="1:66" hidden="1">
      <c r="A3611">
        <v>101309</v>
      </c>
      <c r="B3611" s="3" t="s">
        <v>406</v>
      </c>
      <c r="C3611" s="1">
        <v>43500101</v>
      </c>
      <c r="D3611" t="s">
        <v>113</v>
      </c>
      <c r="H3611" t="str">
        <f t="shared" si="377"/>
        <v>00897081006</v>
      </c>
      <c r="I3611" t="str">
        <f t="shared" si="377"/>
        <v>00897081006</v>
      </c>
      <c r="K3611" t="str">
        <f>""</f>
        <v/>
      </c>
      <c r="M3611" t="s">
        <v>68</v>
      </c>
      <c r="N3611" t="str">
        <f t="shared" si="378"/>
        <v>ALTFIN</v>
      </c>
      <c r="O3611" t="s">
        <v>123</v>
      </c>
      <c r="P3611" s="3" t="s">
        <v>86</v>
      </c>
      <c r="Q3611">
        <v>2016</v>
      </c>
      <c r="R3611" s="2">
        <v>42450</v>
      </c>
      <c r="S3611" s="2">
        <v>42450</v>
      </c>
      <c r="T3611" s="2">
        <v>42450</v>
      </c>
      <c r="U3611" s="2">
        <v>42510</v>
      </c>
      <c r="V3611" t="s">
        <v>71</v>
      </c>
      <c r="W3611" t="str">
        <f>"                0321"</f>
        <v xml:space="preserve">                0321</v>
      </c>
      <c r="X3611">
        <v>0</v>
      </c>
      <c r="Y3611" s="1">
        <v>5683.5</v>
      </c>
      <c r="Z3611"/>
      <c r="AB3611"/>
      <c r="AC3611" s="1">
        <v>5683.5</v>
      </c>
      <c r="AD3611">
        <v>-57</v>
      </c>
      <c r="AE3611" s="1">
        <v>-323959.5</v>
      </c>
      <c r="AF3611">
        <v>0</v>
      </c>
      <c r="AJ3611">
        <v>0</v>
      </c>
      <c r="AK3611">
        <v>0</v>
      </c>
      <c r="AL3611">
        <v>0</v>
      </c>
      <c r="AM3611" s="1">
        <v>5683.5</v>
      </c>
      <c r="AN3611" s="1">
        <v>5683.5</v>
      </c>
      <c r="AO3611" s="1">
        <v>5683.5</v>
      </c>
      <c r="AP3611" s="2">
        <v>42746</v>
      </c>
      <c r="AQ3611" t="s">
        <v>72</v>
      </c>
      <c r="AR3611" t="s">
        <v>72</v>
      </c>
      <c r="AS3611">
        <v>933</v>
      </c>
      <c r="AT3611" s="4">
        <v>42453</v>
      </c>
      <c r="AV3611">
        <v>933</v>
      </c>
      <c r="AW3611" s="4">
        <v>42453</v>
      </c>
      <c r="BD3611">
        <v>0</v>
      </c>
      <c r="BN3611" t="s">
        <v>74</v>
      </c>
    </row>
    <row r="3612" spans="1:66" hidden="1">
      <c r="A3612">
        <v>101309</v>
      </c>
      <c r="B3612" s="3" t="s">
        <v>406</v>
      </c>
      <c r="C3612" s="1">
        <v>43500101</v>
      </c>
      <c r="D3612" t="s">
        <v>113</v>
      </c>
      <c r="H3612" t="str">
        <f t="shared" si="377"/>
        <v>00897081006</v>
      </c>
      <c r="I3612" t="str">
        <f t="shared" si="377"/>
        <v>00897081006</v>
      </c>
      <c r="K3612" t="str">
        <f>""</f>
        <v/>
      </c>
      <c r="M3612" t="s">
        <v>68</v>
      </c>
      <c r="N3612" t="str">
        <f t="shared" si="378"/>
        <v>ALTFIN</v>
      </c>
      <c r="O3612" t="s">
        <v>123</v>
      </c>
      <c r="P3612" s="3" t="s">
        <v>87</v>
      </c>
      <c r="Q3612">
        <v>2016</v>
      </c>
      <c r="R3612" s="2">
        <v>42481</v>
      </c>
      <c r="S3612" s="2">
        <v>42481</v>
      </c>
      <c r="T3612" s="2">
        <v>42481</v>
      </c>
      <c r="U3612" s="2">
        <v>42541</v>
      </c>
      <c r="V3612" t="s">
        <v>71</v>
      </c>
      <c r="W3612" t="str">
        <f>"                0421"</f>
        <v xml:space="preserve">                0421</v>
      </c>
      <c r="X3612">
        <v>0</v>
      </c>
      <c r="Y3612" s="1">
        <v>5518.5</v>
      </c>
      <c r="Z3612"/>
      <c r="AB3612"/>
      <c r="AC3612" s="1">
        <v>5518.5</v>
      </c>
      <c r="AD3612">
        <v>-60</v>
      </c>
      <c r="AE3612" s="1">
        <v>-331110</v>
      </c>
      <c r="AF3612">
        <v>0</v>
      </c>
      <c r="AJ3612">
        <v>0</v>
      </c>
      <c r="AK3612">
        <v>0</v>
      </c>
      <c r="AL3612">
        <v>0</v>
      </c>
      <c r="AM3612" s="1">
        <v>5518.5</v>
      </c>
      <c r="AN3612" s="1">
        <v>5518.5</v>
      </c>
      <c r="AO3612" s="1">
        <v>5518.5</v>
      </c>
      <c r="AP3612" s="2">
        <v>42746</v>
      </c>
      <c r="AQ3612" t="s">
        <v>72</v>
      </c>
      <c r="AR3612" t="s">
        <v>72</v>
      </c>
      <c r="AS3612">
        <v>1099</v>
      </c>
      <c r="AT3612" s="4">
        <v>42481</v>
      </c>
      <c r="AV3612">
        <v>1099</v>
      </c>
      <c r="AW3612" s="4">
        <v>42481</v>
      </c>
      <c r="BD3612">
        <v>0</v>
      </c>
      <c r="BN3612" t="s">
        <v>74</v>
      </c>
    </row>
    <row r="3613" spans="1:66" hidden="1">
      <c r="A3613">
        <v>101309</v>
      </c>
      <c r="B3613" s="3" t="s">
        <v>406</v>
      </c>
      <c r="C3613" s="1">
        <v>43500101</v>
      </c>
      <c r="D3613" t="s">
        <v>113</v>
      </c>
      <c r="H3613" t="str">
        <f t="shared" si="377"/>
        <v>00897081006</v>
      </c>
      <c r="I3613" t="str">
        <f t="shared" si="377"/>
        <v>00897081006</v>
      </c>
      <c r="K3613" t="str">
        <f>""</f>
        <v/>
      </c>
      <c r="M3613" t="s">
        <v>68</v>
      </c>
      <c r="N3613" t="str">
        <f t="shared" si="378"/>
        <v>ALTFIN</v>
      </c>
      <c r="O3613" t="s">
        <v>123</v>
      </c>
      <c r="P3613" s="3" t="s">
        <v>88</v>
      </c>
      <c r="Q3613">
        <v>2016</v>
      </c>
      <c r="R3613" s="2">
        <v>42508</v>
      </c>
      <c r="S3613" s="2">
        <v>42510</v>
      </c>
      <c r="T3613" s="2">
        <v>42510</v>
      </c>
      <c r="U3613" s="2">
        <v>42570</v>
      </c>
      <c r="V3613" t="s">
        <v>71</v>
      </c>
      <c r="W3613" t="str">
        <f>"                0518"</f>
        <v xml:space="preserve">                0518</v>
      </c>
      <c r="X3613">
        <v>0</v>
      </c>
      <c r="Y3613" s="1">
        <v>5256.5</v>
      </c>
      <c r="Z3613"/>
      <c r="AB3613"/>
      <c r="AC3613" s="1">
        <v>5256.5</v>
      </c>
      <c r="AD3613">
        <v>-57</v>
      </c>
      <c r="AE3613" s="1">
        <v>-299620.5</v>
      </c>
      <c r="AF3613">
        <v>0</v>
      </c>
      <c r="AJ3613">
        <v>0</v>
      </c>
      <c r="AK3613">
        <v>0</v>
      </c>
      <c r="AL3613">
        <v>0</v>
      </c>
      <c r="AM3613" s="1">
        <v>5256.5</v>
      </c>
      <c r="AN3613" s="1">
        <v>5256.5</v>
      </c>
      <c r="AO3613" s="1">
        <v>5256.5</v>
      </c>
      <c r="AP3613" s="2">
        <v>42746</v>
      </c>
      <c r="AQ3613" t="s">
        <v>72</v>
      </c>
      <c r="AR3613" t="s">
        <v>72</v>
      </c>
      <c r="AS3613">
        <v>1337</v>
      </c>
      <c r="AT3613" s="4">
        <v>42513</v>
      </c>
      <c r="AV3613">
        <v>1337</v>
      </c>
      <c r="AW3613" s="4">
        <v>42513</v>
      </c>
      <c r="BD3613">
        <v>0</v>
      </c>
      <c r="BN3613" t="s">
        <v>74</v>
      </c>
    </row>
    <row r="3614" spans="1:66" hidden="1">
      <c r="A3614">
        <v>101309</v>
      </c>
      <c r="B3614" s="3" t="s">
        <v>406</v>
      </c>
      <c r="C3614" s="1">
        <v>43500101</v>
      </c>
      <c r="D3614" t="s">
        <v>113</v>
      </c>
      <c r="H3614" t="str">
        <f t="shared" si="377"/>
        <v>00897081006</v>
      </c>
      <c r="I3614" t="str">
        <f t="shared" si="377"/>
        <v>00897081006</v>
      </c>
      <c r="K3614" t="str">
        <f>""</f>
        <v/>
      </c>
      <c r="M3614" t="s">
        <v>68</v>
      </c>
      <c r="N3614" t="str">
        <f t="shared" si="378"/>
        <v>ALTFIN</v>
      </c>
      <c r="O3614" t="s">
        <v>123</v>
      </c>
      <c r="P3614" s="3" t="s">
        <v>89</v>
      </c>
      <c r="Q3614">
        <v>2016</v>
      </c>
      <c r="R3614" s="2">
        <v>42548</v>
      </c>
      <c r="S3614" s="2">
        <v>42543</v>
      </c>
      <c r="T3614" s="2">
        <v>42543</v>
      </c>
      <c r="U3614" s="2">
        <v>42603</v>
      </c>
      <c r="V3614" t="s">
        <v>71</v>
      </c>
      <c r="W3614" t="str">
        <f>"                0627"</f>
        <v xml:space="preserve">                0627</v>
      </c>
      <c r="X3614">
        <v>0</v>
      </c>
      <c r="Y3614" s="1">
        <v>5256.5</v>
      </c>
      <c r="Z3614"/>
      <c r="AB3614"/>
      <c r="AC3614" s="1">
        <v>5256.5</v>
      </c>
      <c r="AD3614">
        <v>-47</v>
      </c>
      <c r="AE3614" s="1">
        <v>-247055.5</v>
      </c>
      <c r="AF3614">
        <v>0</v>
      </c>
      <c r="AJ3614">
        <v>0</v>
      </c>
      <c r="AK3614">
        <v>0</v>
      </c>
      <c r="AL3614">
        <v>0</v>
      </c>
      <c r="AM3614" s="1">
        <v>5256.5</v>
      </c>
      <c r="AN3614" s="1">
        <v>5256.5</v>
      </c>
      <c r="AO3614" s="1">
        <v>5256.5</v>
      </c>
      <c r="AP3614" s="2">
        <v>42746</v>
      </c>
      <c r="AQ3614" t="s">
        <v>72</v>
      </c>
      <c r="AR3614" t="s">
        <v>72</v>
      </c>
      <c r="AS3614">
        <v>1720</v>
      </c>
      <c r="AT3614" s="4">
        <v>42556</v>
      </c>
      <c r="AV3614">
        <v>1720</v>
      </c>
      <c r="AW3614" s="4">
        <v>42556</v>
      </c>
      <c r="BD3614">
        <v>0</v>
      </c>
      <c r="BN3614" t="s">
        <v>74</v>
      </c>
    </row>
    <row r="3615" spans="1:66" hidden="1">
      <c r="A3615">
        <v>101309</v>
      </c>
      <c r="B3615" s="3" t="s">
        <v>406</v>
      </c>
      <c r="C3615" s="1">
        <v>43500101</v>
      </c>
      <c r="D3615" t="s">
        <v>113</v>
      </c>
      <c r="H3615" t="str">
        <f t="shared" si="377"/>
        <v>00897081006</v>
      </c>
      <c r="I3615" t="str">
        <f t="shared" si="377"/>
        <v>00897081006</v>
      </c>
      <c r="K3615" t="str">
        <f>""</f>
        <v/>
      </c>
      <c r="M3615" t="s">
        <v>68</v>
      </c>
      <c r="N3615" t="str">
        <f t="shared" si="378"/>
        <v>ALTFIN</v>
      </c>
      <c r="O3615" t="s">
        <v>123</v>
      </c>
      <c r="P3615" s="3" t="s">
        <v>90</v>
      </c>
      <c r="Q3615">
        <v>2016</v>
      </c>
      <c r="R3615" s="2">
        <v>42573</v>
      </c>
      <c r="S3615" s="2">
        <v>42573</v>
      </c>
      <c r="T3615" s="2">
        <v>42573</v>
      </c>
      <c r="U3615" s="2">
        <v>42633</v>
      </c>
      <c r="V3615" t="s">
        <v>71</v>
      </c>
      <c r="W3615" t="str">
        <f>"                0722"</f>
        <v xml:space="preserve">                0722</v>
      </c>
      <c r="X3615">
        <v>0</v>
      </c>
      <c r="Y3615" s="1">
        <v>5256.5</v>
      </c>
      <c r="Z3615"/>
      <c r="AB3615"/>
      <c r="AC3615" s="1">
        <v>5256.5</v>
      </c>
      <c r="AD3615">
        <v>-48</v>
      </c>
      <c r="AE3615" s="1">
        <v>-252312</v>
      </c>
      <c r="AF3615">
        <v>0</v>
      </c>
      <c r="AJ3615">
        <v>0</v>
      </c>
      <c r="AK3615">
        <v>0</v>
      </c>
      <c r="AL3615">
        <v>0</v>
      </c>
      <c r="AM3615" s="1">
        <v>5256.5</v>
      </c>
      <c r="AN3615" s="1">
        <v>5256.5</v>
      </c>
      <c r="AO3615" s="1">
        <v>5256.5</v>
      </c>
      <c r="AP3615" s="2">
        <v>42746</v>
      </c>
      <c r="AQ3615" t="s">
        <v>72</v>
      </c>
      <c r="AR3615" t="s">
        <v>72</v>
      </c>
      <c r="AS3615">
        <v>2120</v>
      </c>
      <c r="AT3615" s="4">
        <v>42585</v>
      </c>
      <c r="AV3615">
        <v>2120</v>
      </c>
      <c r="AW3615" s="4">
        <v>42585</v>
      </c>
      <c r="BD3615">
        <v>0</v>
      </c>
      <c r="BN3615" t="s">
        <v>74</v>
      </c>
    </row>
    <row r="3616" spans="1:66" hidden="1">
      <c r="A3616">
        <v>101309</v>
      </c>
      <c r="B3616" s="3" t="s">
        <v>406</v>
      </c>
      <c r="C3616" s="1">
        <v>43500101</v>
      </c>
      <c r="D3616" t="s">
        <v>113</v>
      </c>
      <c r="H3616" t="str">
        <f t="shared" si="377"/>
        <v>00897081006</v>
      </c>
      <c r="I3616" t="str">
        <f t="shared" si="377"/>
        <v>00897081006</v>
      </c>
      <c r="K3616" t="str">
        <f>""</f>
        <v/>
      </c>
      <c r="M3616" t="s">
        <v>68</v>
      </c>
      <c r="N3616" t="str">
        <f t="shared" si="378"/>
        <v>ALTFIN</v>
      </c>
      <c r="O3616" t="s">
        <v>123</v>
      </c>
      <c r="P3616" s="3" t="s">
        <v>91</v>
      </c>
      <c r="Q3616">
        <v>2016</v>
      </c>
      <c r="R3616" s="2">
        <v>42592</v>
      </c>
      <c r="S3616" s="2">
        <v>42598</v>
      </c>
      <c r="T3616" s="2">
        <v>42598</v>
      </c>
      <c r="U3616" s="2">
        <v>42658</v>
      </c>
      <c r="V3616" t="s">
        <v>71</v>
      </c>
      <c r="W3616" t="str">
        <f>"                0810"</f>
        <v xml:space="preserve">                0810</v>
      </c>
      <c r="X3616">
        <v>0</v>
      </c>
      <c r="Y3616" s="1">
        <v>5847.5</v>
      </c>
      <c r="Z3616"/>
      <c r="AB3616"/>
      <c r="AC3616" s="1">
        <v>5847.5</v>
      </c>
      <c r="AD3616">
        <v>-60</v>
      </c>
      <c r="AE3616" s="1">
        <v>-350850</v>
      </c>
      <c r="AF3616">
        <v>0</v>
      </c>
      <c r="AJ3616">
        <v>0</v>
      </c>
      <c r="AK3616">
        <v>0</v>
      </c>
      <c r="AL3616">
        <v>0</v>
      </c>
      <c r="AM3616" s="1">
        <v>5847.5</v>
      </c>
      <c r="AN3616" s="1">
        <v>5847.5</v>
      </c>
      <c r="AO3616" s="1">
        <v>5847.5</v>
      </c>
      <c r="AP3616" s="2">
        <v>42746</v>
      </c>
      <c r="AQ3616" t="s">
        <v>72</v>
      </c>
      <c r="AR3616" t="s">
        <v>72</v>
      </c>
      <c r="AS3616">
        <v>2202</v>
      </c>
      <c r="AT3616" s="4">
        <v>42598</v>
      </c>
      <c r="AV3616">
        <v>2202</v>
      </c>
      <c r="AW3616" s="4">
        <v>42598</v>
      </c>
      <c r="BD3616">
        <v>0</v>
      </c>
      <c r="BN3616" t="s">
        <v>74</v>
      </c>
    </row>
    <row r="3617" spans="1:66" hidden="1">
      <c r="A3617">
        <v>101309</v>
      </c>
      <c r="B3617" s="3" t="s">
        <v>406</v>
      </c>
      <c r="C3617" s="1">
        <v>43500101</v>
      </c>
      <c r="D3617" t="s">
        <v>113</v>
      </c>
      <c r="H3617" t="str">
        <f t="shared" si="377"/>
        <v>00897081006</v>
      </c>
      <c r="I3617" t="str">
        <f t="shared" si="377"/>
        <v>00897081006</v>
      </c>
      <c r="K3617" t="str">
        <f>""</f>
        <v/>
      </c>
      <c r="M3617" t="s">
        <v>68</v>
      </c>
      <c r="N3617" t="str">
        <f t="shared" si="378"/>
        <v>ALTFIN</v>
      </c>
      <c r="O3617" t="s">
        <v>123</v>
      </c>
      <c r="P3617" s="3" t="s">
        <v>92</v>
      </c>
      <c r="Q3617">
        <v>2016</v>
      </c>
      <c r="R3617" s="2">
        <v>42633</v>
      </c>
      <c r="S3617" s="2">
        <v>42634</v>
      </c>
      <c r="T3617" s="2">
        <v>42634</v>
      </c>
      <c r="U3617" s="2">
        <v>42694</v>
      </c>
      <c r="V3617" t="s">
        <v>71</v>
      </c>
      <c r="W3617" t="str">
        <f>"                0920"</f>
        <v xml:space="preserve">                0920</v>
      </c>
      <c r="X3617">
        <v>0</v>
      </c>
      <c r="Y3617" s="1">
        <v>5847.5</v>
      </c>
      <c r="Z3617"/>
      <c r="AB3617"/>
      <c r="AC3617" s="1">
        <v>5847.5</v>
      </c>
      <c r="AD3617">
        <v>-60</v>
      </c>
      <c r="AE3617" s="1">
        <v>-350850</v>
      </c>
      <c r="AF3617">
        <v>0</v>
      </c>
      <c r="AJ3617">
        <v>0</v>
      </c>
      <c r="AK3617">
        <v>0</v>
      </c>
      <c r="AL3617">
        <v>0</v>
      </c>
      <c r="AM3617" s="1">
        <v>5847.5</v>
      </c>
      <c r="AN3617" s="1">
        <v>5847.5</v>
      </c>
      <c r="AO3617" s="1">
        <v>5847.5</v>
      </c>
      <c r="AP3617" s="2">
        <v>42746</v>
      </c>
      <c r="AQ3617" t="s">
        <v>72</v>
      </c>
      <c r="AR3617" t="s">
        <v>72</v>
      </c>
      <c r="AS3617">
        <v>2475</v>
      </c>
      <c r="AT3617" s="4">
        <v>42634</v>
      </c>
      <c r="AV3617">
        <v>2475</v>
      </c>
      <c r="AW3617" s="4">
        <v>42634</v>
      </c>
      <c r="BD3617">
        <v>0</v>
      </c>
      <c r="BN3617" t="s">
        <v>74</v>
      </c>
    </row>
    <row r="3618" spans="1:66" hidden="1">
      <c r="A3618">
        <v>101309</v>
      </c>
      <c r="B3618" s="3" t="s">
        <v>406</v>
      </c>
      <c r="C3618" s="1">
        <v>43500101</v>
      </c>
      <c r="D3618" t="s">
        <v>113</v>
      </c>
      <c r="H3618" t="str">
        <f t="shared" si="377"/>
        <v>00897081006</v>
      </c>
      <c r="I3618" t="str">
        <f t="shared" si="377"/>
        <v>00897081006</v>
      </c>
      <c r="K3618" t="str">
        <f>""</f>
        <v/>
      </c>
      <c r="M3618" t="s">
        <v>68</v>
      </c>
      <c r="N3618" t="str">
        <f t="shared" si="378"/>
        <v>ALTFIN</v>
      </c>
      <c r="O3618" t="s">
        <v>123</v>
      </c>
      <c r="P3618" s="3" t="s">
        <v>93</v>
      </c>
      <c r="Q3618">
        <v>2016</v>
      </c>
      <c r="R3618" s="2">
        <v>42664</v>
      </c>
      <c r="S3618" s="2">
        <v>42667</v>
      </c>
      <c r="T3618" s="2">
        <v>42667</v>
      </c>
      <c r="U3618" s="2">
        <v>42727</v>
      </c>
      <c r="V3618" t="s">
        <v>71</v>
      </c>
      <c r="W3618" t="str">
        <f>"                1021"</f>
        <v xml:space="preserve">                1021</v>
      </c>
      <c r="X3618">
        <v>0</v>
      </c>
      <c r="Y3618" s="1">
        <v>5847.5</v>
      </c>
      <c r="Z3618" s="5">
        <v>5847.5</v>
      </c>
      <c r="AA3618">
        <v>-60</v>
      </c>
      <c r="AB3618" s="5">
        <v>-350850</v>
      </c>
      <c r="AC3618" s="1">
        <v>5847.5</v>
      </c>
      <c r="AD3618">
        <v>-60</v>
      </c>
      <c r="AE3618" s="1">
        <v>-350850</v>
      </c>
      <c r="AF3618">
        <v>0</v>
      </c>
      <c r="AJ3618" s="1">
        <v>5847.5</v>
      </c>
      <c r="AK3618" s="1">
        <v>5847.5</v>
      </c>
      <c r="AL3618" s="1">
        <v>5847.5</v>
      </c>
      <c r="AM3618" s="1">
        <v>5847.5</v>
      </c>
      <c r="AN3618" s="1">
        <v>5847.5</v>
      </c>
      <c r="AO3618" s="1">
        <v>5847.5</v>
      </c>
      <c r="AP3618" s="2">
        <v>42746</v>
      </c>
      <c r="AQ3618" t="s">
        <v>72</v>
      </c>
      <c r="AR3618" t="s">
        <v>72</v>
      </c>
      <c r="AS3618">
        <v>2822</v>
      </c>
      <c r="AT3618" s="4">
        <v>42667</v>
      </c>
      <c r="AV3618">
        <v>2822</v>
      </c>
      <c r="AW3618" s="4">
        <v>42667</v>
      </c>
      <c r="BD3618">
        <v>0</v>
      </c>
      <c r="BN3618" t="s">
        <v>74</v>
      </c>
    </row>
    <row r="3619" spans="1:66" hidden="1">
      <c r="A3619">
        <v>101309</v>
      </c>
      <c r="B3619" s="3" t="s">
        <v>406</v>
      </c>
      <c r="C3619" s="1">
        <v>43500101</v>
      </c>
      <c r="D3619" t="s">
        <v>113</v>
      </c>
      <c r="H3619" t="str">
        <f t="shared" si="377"/>
        <v>00897081006</v>
      </c>
      <c r="I3619" t="str">
        <f t="shared" si="377"/>
        <v>00897081006</v>
      </c>
      <c r="K3619" t="str">
        <f>""</f>
        <v/>
      </c>
      <c r="M3619" t="s">
        <v>68</v>
      </c>
      <c r="N3619" t="str">
        <f t="shared" si="378"/>
        <v>ALTFIN</v>
      </c>
      <c r="O3619" t="s">
        <v>123</v>
      </c>
      <c r="P3619" s="3" t="s">
        <v>94</v>
      </c>
      <c r="Q3619">
        <v>2016</v>
      </c>
      <c r="R3619" s="2">
        <v>42696</v>
      </c>
      <c r="S3619" s="2">
        <v>42696</v>
      </c>
      <c r="T3619" s="2">
        <v>42696</v>
      </c>
      <c r="U3619" s="2">
        <v>42756</v>
      </c>
      <c r="V3619" t="s">
        <v>71</v>
      </c>
      <c r="W3619" t="str">
        <f>"                1122"</f>
        <v xml:space="preserve">                1122</v>
      </c>
      <c r="X3619">
        <v>0</v>
      </c>
      <c r="Y3619" s="1">
        <v>5847.5</v>
      </c>
      <c r="Z3619" s="5">
        <v>5847.5</v>
      </c>
      <c r="AA3619">
        <v>-59</v>
      </c>
      <c r="AB3619" s="5">
        <v>-345002.5</v>
      </c>
      <c r="AC3619" s="1">
        <v>5847.5</v>
      </c>
      <c r="AD3619">
        <v>-59</v>
      </c>
      <c r="AE3619" s="1">
        <v>-345002.5</v>
      </c>
      <c r="AF3619">
        <v>0</v>
      </c>
      <c r="AJ3619" s="1">
        <v>5847.5</v>
      </c>
      <c r="AK3619" s="1">
        <v>5847.5</v>
      </c>
      <c r="AL3619" s="1">
        <v>5847.5</v>
      </c>
      <c r="AM3619" s="1">
        <v>5847.5</v>
      </c>
      <c r="AN3619" s="1">
        <v>5847.5</v>
      </c>
      <c r="AO3619" s="1">
        <v>5847.5</v>
      </c>
      <c r="AP3619" s="2">
        <v>42746</v>
      </c>
      <c r="AQ3619" t="s">
        <v>72</v>
      </c>
      <c r="AR3619" t="s">
        <v>72</v>
      </c>
      <c r="AS3619">
        <v>3259</v>
      </c>
      <c r="AT3619" s="4">
        <v>42697</v>
      </c>
      <c r="AV3619">
        <v>3259</v>
      </c>
      <c r="AW3619" s="4">
        <v>42697</v>
      </c>
      <c r="BD3619">
        <v>0</v>
      </c>
      <c r="BN3619" t="s">
        <v>74</v>
      </c>
    </row>
    <row r="3620" spans="1:66" hidden="1">
      <c r="A3620">
        <v>101309</v>
      </c>
      <c r="B3620" s="3" t="s">
        <v>406</v>
      </c>
      <c r="C3620" s="1">
        <v>43500101</v>
      </c>
      <c r="D3620" t="s">
        <v>113</v>
      </c>
      <c r="H3620" t="str">
        <f t="shared" si="377"/>
        <v>00897081006</v>
      </c>
      <c r="I3620" t="str">
        <f t="shared" si="377"/>
        <v>00897081006</v>
      </c>
      <c r="K3620" t="str">
        <f>""</f>
        <v/>
      </c>
      <c r="M3620" t="s">
        <v>68</v>
      </c>
      <c r="N3620" t="str">
        <f t="shared" si="378"/>
        <v>ALTFIN</v>
      </c>
      <c r="O3620" t="s">
        <v>123</v>
      </c>
      <c r="P3620" s="3" t="s">
        <v>95</v>
      </c>
      <c r="Q3620">
        <v>2016</v>
      </c>
      <c r="R3620" s="2">
        <v>42717</v>
      </c>
      <c r="S3620" s="2">
        <v>42717</v>
      </c>
      <c r="T3620" s="2">
        <v>42717</v>
      </c>
      <c r="U3620" s="2">
        <v>42777</v>
      </c>
      <c r="V3620" t="s">
        <v>71</v>
      </c>
      <c r="W3620" t="str">
        <f>"                1213"</f>
        <v xml:space="preserve">                1213</v>
      </c>
      <c r="X3620">
        <v>0</v>
      </c>
      <c r="Y3620" s="1">
        <v>5847.5</v>
      </c>
      <c r="Z3620" s="5">
        <v>5847.5</v>
      </c>
      <c r="AA3620">
        <v>-59</v>
      </c>
      <c r="AB3620" s="5">
        <v>-345002.5</v>
      </c>
      <c r="AC3620" s="1">
        <v>5847.5</v>
      </c>
      <c r="AD3620">
        <v>-59</v>
      </c>
      <c r="AE3620" s="1">
        <v>-345002.5</v>
      </c>
      <c r="AF3620">
        <v>0</v>
      </c>
      <c r="AJ3620" s="1">
        <v>5847.5</v>
      </c>
      <c r="AK3620" s="1">
        <v>5847.5</v>
      </c>
      <c r="AL3620" s="1">
        <v>5847.5</v>
      </c>
      <c r="AM3620" s="1">
        <v>5847.5</v>
      </c>
      <c r="AN3620" s="1">
        <v>5847.5</v>
      </c>
      <c r="AO3620" s="1">
        <v>5847.5</v>
      </c>
      <c r="AP3620" s="2">
        <v>42746</v>
      </c>
      <c r="AQ3620" t="s">
        <v>72</v>
      </c>
      <c r="AR3620" t="s">
        <v>72</v>
      </c>
      <c r="AS3620">
        <v>3417</v>
      </c>
      <c r="AT3620" s="4">
        <v>42718</v>
      </c>
      <c r="AV3620">
        <v>3417</v>
      </c>
      <c r="AW3620" s="4">
        <v>42718</v>
      </c>
      <c r="BD3620">
        <v>0</v>
      </c>
      <c r="BN3620" t="s">
        <v>74</v>
      </c>
    </row>
    <row r="3621" spans="1:66" hidden="1">
      <c r="A3621">
        <v>101311</v>
      </c>
      <c r="B3621" s="3" t="s">
        <v>407</v>
      </c>
      <c r="C3621" s="1">
        <v>43500101</v>
      </c>
      <c r="D3621" t="s">
        <v>113</v>
      </c>
      <c r="H3621" t="str">
        <f t="shared" ref="H3621:H3629" si="379">"MSCBRC80E43A783T"</f>
        <v>MSCBRC80E43A783T</v>
      </c>
      <c r="I3621" t="str">
        <f t="shared" ref="I3621:I3629" si="380">"01482810627"</f>
        <v>01482810627</v>
      </c>
      <c r="K3621" t="str">
        <f>""</f>
        <v/>
      </c>
      <c r="M3621" t="s">
        <v>68</v>
      </c>
      <c r="N3621" t="str">
        <f t="shared" ref="N3621:N3629" si="381">"ALTPRO"</f>
        <v>ALTPRO</v>
      </c>
      <c r="O3621" t="s">
        <v>132</v>
      </c>
      <c r="P3621" s="3" t="s">
        <v>75</v>
      </c>
      <c r="Q3621">
        <v>2016</v>
      </c>
      <c r="R3621" s="2">
        <v>42445</v>
      </c>
      <c r="S3621" s="2">
        <v>42446</v>
      </c>
      <c r="T3621" s="2">
        <v>42445</v>
      </c>
      <c r="U3621" s="2">
        <v>42505</v>
      </c>
      <c r="V3621" t="s">
        <v>71</v>
      </c>
      <c r="W3621" t="str">
        <f>"         FATTPA 1_16"</f>
        <v xml:space="preserve">         FATTPA 1_16</v>
      </c>
      <c r="X3621" s="1">
        <v>2299.31</v>
      </c>
      <c r="Y3621">
        <v>-459.86</v>
      </c>
      <c r="Z3621"/>
      <c r="AB3621"/>
      <c r="AC3621" s="1">
        <v>1839.45</v>
      </c>
      <c r="AD3621">
        <v>-54</v>
      </c>
      <c r="AE3621" s="1">
        <v>-99330.3</v>
      </c>
      <c r="AF3621">
        <v>0</v>
      </c>
      <c r="AJ3621">
        <v>0</v>
      </c>
      <c r="AK3621">
        <v>0</v>
      </c>
      <c r="AL3621">
        <v>0</v>
      </c>
      <c r="AM3621">
        <v>-459.86</v>
      </c>
      <c r="AN3621" s="1">
        <v>1839.45</v>
      </c>
      <c r="AO3621" s="1">
        <v>1839.45</v>
      </c>
      <c r="AP3621" s="2">
        <v>42746</v>
      </c>
      <c r="AQ3621" t="s">
        <v>72</v>
      </c>
      <c r="AR3621" t="s">
        <v>72</v>
      </c>
      <c r="AS3621">
        <v>708</v>
      </c>
      <c r="AT3621" s="4">
        <v>42451</v>
      </c>
      <c r="AV3621">
        <v>708</v>
      </c>
      <c r="AW3621" s="4">
        <v>42451</v>
      </c>
      <c r="BD3621">
        <v>0</v>
      </c>
      <c r="BN3621" t="s">
        <v>74</v>
      </c>
    </row>
    <row r="3622" spans="1:66" hidden="1">
      <c r="A3622">
        <v>101311</v>
      </c>
      <c r="B3622" s="3" t="s">
        <v>407</v>
      </c>
      <c r="C3622" s="1">
        <v>43500101</v>
      </c>
      <c r="D3622" t="s">
        <v>113</v>
      </c>
      <c r="H3622" t="str">
        <f t="shared" si="379"/>
        <v>MSCBRC80E43A783T</v>
      </c>
      <c r="I3622" t="str">
        <f t="shared" si="380"/>
        <v>01482810627</v>
      </c>
      <c r="K3622" t="str">
        <f>""</f>
        <v/>
      </c>
      <c r="M3622" t="s">
        <v>68</v>
      </c>
      <c r="N3622" t="str">
        <f t="shared" si="381"/>
        <v>ALTPRO</v>
      </c>
      <c r="O3622" t="s">
        <v>132</v>
      </c>
      <c r="P3622" s="3" t="s">
        <v>75</v>
      </c>
      <c r="Q3622">
        <v>2016</v>
      </c>
      <c r="R3622" s="2">
        <v>42445</v>
      </c>
      <c r="S3622" s="2">
        <v>42446</v>
      </c>
      <c r="T3622" s="2">
        <v>42445</v>
      </c>
      <c r="U3622" s="2">
        <v>42505</v>
      </c>
      <c r="V3622" t="s">
        <v>71</v>
      </c>
      <c r="W3622" t="str">
        <f>"         FATTPA 2_16"</f>
        <v xml:space="preserve">         FATTPA 2_16</v>
      </c>
      <c r="X3622" s="1">
        <v>1818.17</v>
      </c>
      <c r="Y3622">
        <v>-363.63</v>
      </c>
      <c r="Z3622"/>
      <c r="AB3622"/>
      <c r="AC3622" s="1">
        <v>1454.54</v>
      </c>
      <c r="AD3622">
        <v>-54</v>
      </c>
      <c r="AE3622" s="1">
        <v>-78545.16</v>
      </c>
      <c r="AF3622">
        <v>0</v>
      </c>
      <c r="AJ3622">
        <v>0</v>
      </c>
      <c r="AK3622">
        <v>0</v>
      </c>
      <c r="AL3622">
        <v>0</v>
      </c>
      <c r="AM3622" s="1">
        <v>1454.54</v>
      </c>
      <c r="AN3622" s="1">
        <v>1454.54</v>
      </c>
      <c r="AO3622" s="1">
        <v>1454.54</v>
      </c>
      <c r="AP3622" s="2">
        <v>42746</v>
      </c>
      <c r="AQ3622" t="s">
        <v>72</v>
      </c>
      <c r="AR3622" t="s">
        <v>72</v>
      </c>
      <c r="AS3622">
        <v>708</v>
      </c>
      <c r="AT3622" s="4">
        <v>42451</v>
      </c>
      <c r="AV3622">
        <v>708</v>
      </c>
      <c r="AW3622" s="4">
        <v>42451</v>
      </c>
      <c r="BD3622">
        <v>0</v>
      </c>
      <c r="BN3622" t="s">
        <v>74</v>
      </c>
    </row>
    <row r="3623" spans="1:66" hidden="1">
      <c r="A3623">
        <v>101311</v>
      </c>
      <c r="B3623" s="3" t="s">
        <v>407</v>
      </c>
      <c r="C3623" s="1">
        <v>43500101</v>
      </c>
      <c r="D3623" t="s">
        <v>113</v>
      </c>
      <c r="H3623" t="str">
        <f t="shared" si="379"/>
        <v>MSCBRC80E43A783T</v>
      </c>
      <c r="I3623" t="str">
        <f t="shared" si="380"/>
        <v>01482810627</v>
      </c>
      <c r="K3623" t="str">
        <f>""</f>
        <v/>
      </c>
      <c r="M3623" t="s">
        <v>68</v>
      </c>
      <c r="N3623" t="str">
        <f t="shared" si="381"/>
        <v>ALTPRO</v>
      </c>
      <c r="O3623" t="s">
        <v>132</v>
      </c>
      <c r="P3623" s="3" t="s">
        <v>75</v>
      </c>
      <c r="Q3623">
        <v>2016</v>
      </c>
      <c r="R3623" s="2">
        <v>42507</v>
      </c>
      <c r="S3623" s="2">
        <v>42541</v>
      </c>
      <c r="T3623" s="2">
        <v>42537</v>
      </c>
      <c r="U3623" s="2">
        <v>42597</v>
      </c>
      <c r="V3623" t="s">
        <v>71</v>
      </c>
      <c r="W3623" t="str">
        <f>"         FATTPA 3_16"</f>
        <v xml:space="preserve">         FATTPA 3_16</v>
      </c>
      <c r="X3623" s="1">
        <v>4694.5</v>
      </c>
      <c r="Y3623">
        <v>-938.9</v>
      </c>
      <c r="Z3623"/>
      <c r="AB3623"/>
      <c r="AC3623" s="1">
        <v>3755.6</v>
      </c>
      <c r="AD3623">
        <v>-45</v>
      </c>
      <c r="AE3623" s="1">
        <v>-169002</v>
      </c>
      <c r="AF3623">
        <v>0</v>
      </c>
      <c r="AJ3623">
        <v>0</v>
      </c>
      <c r="AK3623">
        <v>0</v>
      </c>
      <c r="AL3623">
        <v>0</v>
      </c>
      <c r="AM3623" s="1">
        <v>3755.6</v>
      </c>
      <c r="AN3623" s="1">
        <v>3755.6</v>
      </c>
      <c r="AO3623" s="1">
        <v>3755.6</v>
      </c>
      <c r="AP3623" s="2">
        <v>42746</v>
      </c>
      <c r="AQ3623" t="s">
        <v>72</v>
      </c>
      <c r="AR3623" t="s">
        <v>72</v>
      </c>
      <c r="AS3623">
        <v>1637</v>
      </c>
      <c r="AT3623" s="4">
        <v>42552</v>
      </c>
      <c r="AV3623">
        <v>1637</v>
      </c>
      <c r="AW3623" s="4">
        <v>42552</v>
      </c>
      <c r="BD3623">
        <v>0</v>
      </c>
      <c r="BN3623" t="s">
        <v>74</v>
      </c>
    </row>
    <row r="3624" spans="1:66" hidden="1">
      <c r="A3624">
        <v>101311</v>
      </c>
      <c r="B3624" s="3" t="s">
        <v>407</v>
      </c>
      <c r="C3624" s="1">
        <v>43500101</v>
      </c>
      <c r="D3624" t="s">
        <v>113</v>
      </c>
      <c r="H3624" t="str">
        <f t="shared" si="379"/>
        <v>MSCBRC80E43A783T</v>
      </c>
      <c r="I3624" t="str">
        <f t="shared" si="380"/>
        <v>01482810627</v>
      </c>
      <c r="K3624" t="str">
        <f>""</f>
        <v/>
      </c>
      <c r="M3624" t="s">
        <v>68</v>
      </c>
      <c r="N3624" t="str">
        <f t="shared" si="381"/>
        <v>ALTPRO</v>
      </c>
      <c r="O3624" t="s">
        <v>132</v>
      </c>
      <c r="P3624" s="3" t="s">
        <v>75</v>
      </c>
      <c r="Q3624">
        <v>2016</v>
      </c>
      <c r="R3624" s="2">
        <v>42586</v>
      </c>
      <c r="S3624" s="2">
        <v>42587</v>
      </c>
      <c r="T3624" s="2">
        <v>42586</v>
      </c>
      <c r="U3624" s="2">
        <v>42646</v>
      </c>
      <c r="V3624" t="s">
        <v>71</v>
      </c>
      <c r="W3624" t="str">
        <f>"         FATTPA 4_16"</f>
        <v xml:space="preserve">         FATTPA 4_16</v>
      </c>
      <c r="X3624" s="1">
        <v>2178.67</v>
      </c>
      <c r="Y3624">
        <v>-435.73</v>
      </c>
      <c r="Z3624"/>
      <c r="AB3624"/>
      <c r="AC3624" s="1">
        <v>1742.94</v>
      </c>
      <c r="AD3624">
        <v>-28</v>
      </c>
      <c r="AE3624" s="1">
        <v>-48802.32</v>
      </c>
      <c r="AF3624">
        <v>0</v>
      </c>
      <c r="AJ3624">
        <v>0</v>
      </c>
      <c r="AK3624">
        <v>0</v>
      </c>
      <c r="AL3624">
        <v>0</v>
      </c>
      <c r="AM3624" s="1">
        <v>1742.94</v>
      </c>
      <c r="AN3624" s="1">
        <v>1742.94</v>
      </c>
      <c r="AO3624" s="1">
        <v>1742.94</v>
      </c>
      <c r="AP3624" s="2">
        <v>42746</v>
      </c>
      <c r="AQ3624" t="s">
        <v>72</v>
      </c>
      <c r="AR3624" t="s">
        <v>72</v>
      </c>
      <c r="AS3624">
        <v>2243</v>
      </c>
      <c r="AT3624" s="4">
        <v>42618</v>
      </c>
      <c r="AV3624">
        <v>2243</v>
      </c>
      <c r="AW3624" s="4">
        <v>42618</v>
      </c>
      <c r="BD3624">
        <v>0</v>
      </c>
      <c r="BN3624" t="s">
        <v>74</v>
      </c>
    </row>
    <row r="3625" spans="1:66" hidden="1">
      <c r="A3625">
        <v>101311</v>
      </c>
      <c r="B3625" s="3" t="s">
        <v>407</v>
      </c>
      <c r="C3625" s="1">
        <v>43500101</v>
      </c>
      <c r="D3625" t="s">
        <v>113</v>
      </c>
      <c r="H3625" t="str">
        <f t="shared" si="379"/>
        <v>MSCBRC80E43A783T</v>
      </c>
      <c r="I3625" t="str">
        <f t="shared" si="380"/>
        <v>01482810627</v>
      </c>
      <c r="K3625" t="str">
        <f>""</f>
        <v/>
      </c>
      <c r="M3625" t="s">
        <v>68</v>
      </c>
      <c r="N3625" t="str">
        <f t="shared" si="381"/>
        <v>ALTPRO</v>
      </c>
      <c r="O3625" t="s">
        <v>132</v>
      </c>
      <c r="P3625" s="3" t="s">
        <v>75</v>
      </c>
      <c r="Q3625">
        <v>2016</v>
      </c>
      <c r="R3625" s="2">
        <v>42586</v>
      </c>
      <c r="S3625" s="2">
        <v>42587</v>
      </c>
      <c r="T3625" s="2">
        <v>42586</v>
      </c>
      <c r="U3625" s="2">
        <v>42646</v>
      </c>
      <c r="V3625" t="s">
        <v>71</v>
      </c>
      <c r="W3625" t="str">
        <f>"         FATTPA 5_16"</f>
        <v xml:space="preserve">         FATTPA 5_16</v>
      </c>
      <c r="X3625" s="1">
        <v>2214.15</v>
      </c>
      <c r="Y3625">
        <v>-442.83</v>
      </c>
      <c r="Z3625"/>
      <c r="AB3625"/>
      <c r="AC3625" s="1">
        <v>1771.32</v>
      </c>
      <c r="AD3625">
        <v>-28</v>
      </c>
      <c r="AE3625" s="1">
        <v>-49596.959999999999</v>
      </c>
      <c r="AF3625">
        <v>0</v>
      </c>
      <c r="AJ3625">
        <v>0</v>
      </c>
      <c r="AK3625">
        <v>0</v>
      </c>
      <c r="AL3625">
        <v>0</v>
      </c>
      <c r="AM3625" s="1">
        <v>1771.32</v>
      </c>
      <c r="AN3625" s="1">
        <v>1771.32</v>
      </c>
      <c r="AO3625" s="1">
        <v>1771.32</v>
      </c>
      <c r="AP3625" s="2">
        <v>42746</v>
      </c>
      <c r="AQ3625" t="s">
        <v>72</v>
      </c>
      <c r="AR3625" t="s">
        <v>72</v>
      </c>
      <c r="AS3625">
        <v>2243</v>
      </c>
      <c r="AT3625" s="4">
        <v>42618</v>
      </c>
      <c r="AV3625">
        <v>2243</v>
      </c>
      <c r="AW3625" s="4">
        <v>42618</v>
      </c>
      <c r="BD3625">
        <v>0</v>
      </c>
      <c r="BN3625" t="s">
        <v>74</v>
      </c>
    </row>
    <row r="3626" spans="1:66">
      <c r="A3626">
        <v>101311</v>
      </c>
      <c r="B3626" s="3" t="s">
        <v>407</v>
      </c>
      <c r="C3626" s="1">
        <v>43500101</v>
      </c>
      <c r="D3626" t="s">
        <v>113</v>
      </c>
      <c r="H3626" t="str">
        <f t="shared" si="379"/>
        <v>MSCBRC80E43A783T</v>
      </c>
      <c r="I3626" t="str">
        <f t="shared" si="380"/>
        <v>01482810627</v>
      </c>
      <c r="K3626" t="str">
        <f>""</f>
        <v/>
      </c>
      <c r="M3626" t="s">
        <v>68</v>
      </c>
      <c r="N3626" t="str">
        <f t="shared" si="381"/>
        <v>ALTPRO</v>
      </c>
      <c r="O3626" t="s">
        <v>132</v>
      </c>
      <c r="P3626" s="3" t="s">
        <v>75</v>
      </c>
      <c r="Q3626">
        <v>2016</v>
      </c>
      <c r="R3626" s="2">
        <v>42643</v>
      </c>
      <c r="S3626" s="2">
        <v>42646</v>
      </c>
      <c r="T3626" s="2">
        <v>42643</v>
      </c>
      <c r="U3626" s="2">
        <v>42703</v>
      </c>
      <c r="V3626" t="s">
        <v>71</v>
      </c>
      <c r="W3626" t="str">
        <f>"         FATTPA 6_16"</f>
        <v xml:space="preserve">         FATTPA 6_16</v>
      </c>
      <c r="X3626" s="1">
        <v>1973.22</v>
      </c>
      <c r="Y3626">
        <v>-394.64</v>
      </c>
      <c r="Z3626" s="5">
        <v>1578.58</v>
      </c>
      <c r="AA3626">
        <v>-56</v>
      </c>
      <c r="AB3626" s="5">
        <v>-88400.48</v>
      </c>
      <c r="AC3626" s="1">
        <v>1578.58</v>
      </c>
      <c r="AD3626">
        <v>-56</v>
      </c>
      <c r="AE3626" s="1">
        <v>-88400.48</v>
      </c>
      <c r="AF3626">
        <v>0</v>
      </c>
      <c r="AJ3626">
        <v>0</v>
      </c>
      <c r="AK3626" s="1">
        <v>1578.58</v>
      </c>
      <c r="AL3626">
        <v>0</v>
      </c>
      <c r="AM3626" s="1">
        <v>1578.58</v>
      </c>
      <c r="AN3626" s="1">
        <v>1578.58</v>
      </c>
      <c r="AO3626" s="1">
        <v>1578.58</v>
      </c>
      <c r="AP3626" s="2">
        <v>42746</v>
      </c>
      <c r="AQ3626" t="s">
        <v>72</v>
      </c>
      <c r="AR3626" t="s">
        <v>72</v>
      </c>
      <c r="AS3626">
        <v>2587</v>
      </c>
      <c r="AT3626" s="4">
        <v>42647</v>
      </c>
      <c r="AV3626">
        <v>2587</v>
      </c>
      <c r="AW3626" s="4">
        <v>42647</v>
      </c>
      <c r="BD3626">
        <v>0</v>
      </c>
      <c r="BN3626" t="s">
        <v>74</v>
      </c>
    </row>
    <row r="3627" spans="1:66">
      <c r="A3627">
        <v>101311</v>
      </c>
      <c r="B3627" s="3" t="s">
        <v>407</v>
      </c>
      <c r="C3627" s="1">
        <v>43500101</v>
      </c>
      <c r="D3627" t="s">
        <v>113</v>
      </c>
      <c r="H3627" t="str">
        <f t="shared" si="379"/>
        <v>MSCBRC80E43A783T</v>
      </c>
      <c r="I3627" t="str">
        <f t="shared" si="380"/>
        <v>01482810627</v>
      </c>
      <c r="K3627" t="str">
        <f>""</f>
        <v/>
      </c>
      <c r="M3627" t="s">
        <v>68</v>
      </c>
      <c r="N3627" t="str">
        <f t="shared" si="381"/>
        <v>ALTPRO</v>
      </c>
      <c r="O3627" t="s">
        <v>132</v>
      </c>
      <c r="P3627" s="3" t="s">
        <v>75</v>
      </c>
      <c r="Q3627">
        <v>2016</v>
      </c>
      <c r="R3627" s="2">
        <v>42643</v>
      </c>
      <c r="S3627" s="2">
        <v>42646</v>
      </c>
      <c r="T3627" s="2">
        <v>42643</v>
      </c>
      <c r="U3627" s="2">
        <v>42703</v>
      </c>
      <c r="V3627" t="s">
        <v>71</v>
      </c>
      <c r="W3627" t="str">
        <f>"         FATTPA 7_16"</f>
        <v xml:space="preserve">         FATTPA 7_16</v>
      </c>
      <c r="X3627" s="1">
        <v>1792</v>
      </c>
      <c r="Y3627">
        <v>-358.4</v>
      </c>
      <c r="Z3627" s="5">
        <v>1433.6</v>
      </c>
      <c r="AA3627">
        <v>-56</v>
      </c>
      <c r="AB3627" s="5">
        <v>-80281.600000000006</v>
      </c>
      <c r="AC3627" s="1">
        <v>1433.6</v>
      </c>
      <c r="AD3627">
        <v>-56</v>
      </c>
      <c r="AE3627" s="1">
        <v>-80281.600000000006</v>
      </c>
      <c r="AF3627">
        <v>0</v>
      </c>
      <c r="AJ3627">
        <v>0</v>
      </c>
      <c r="AK3627" s="1">
        <v>1433.6</v>
      </c>
      <c r="AL3627">
        <v>0</v>
      </c>
      <c r="AM3627" s="1">
        <v>1433.6</v>
      </c>
      <c r="AN3627" s="1">
        <v>1433.6</v>
      </c>
      <c r="AO3627" s="1">
        <v>1433.6</v>
      </c>
      <c r="AP3627" s="2">
        <v>42746</v>
      </c>
      <c r="AQ3627" t="s">
        <v>72</v>
      </c>
      <c r="AR3627" t="s">
        <v>72</v>
      </c>
      <c r="AS3627">
        <v>2587</v>
      </c>
      <c r="AT3627" s="4">
        <v>42647</v>
      </c>
      <c r="AV3627">
        <v>2587</v>
      </c>
      <c r="AW3627" s="4">
        <v>42647</v>
      </c>
      <c r="BD3627">
        <v>0</v>
      </c>
      <c r="BN3627" t="s">
        <v>74</v>
      </c>
    </row>
    <row r="3628" spans="1:66">
      <c r="A3628">
        <v>101311</v>
      </c>
      <c r="B3628" s="3" t="s">
        <v>407</v>
      </c>
      <c r="C3628" s="1">
        <v>43500101</v>
      </c>
      <c r="D3628" t="s">
        <v>113</v>
      </c>
      <c r="H3628" t="str">
        <f t="shared" si="379"/>
        <v>MSCBRC80E43A783T</v>
      </c>
      <c r="I3628" t="str">
        <f t="shared" si="380"/>
        <v>01482810627</v>
      </c>
      <c r="K3628" t="str">
        <f>""</f>
        <v/>
      </c>
      <c r="M3628" t="s">
        <v>68</v>
      </c>
      <c r="N3628" t="str">
        <f t="shared" si="381"/>
        <v>ALTPRO</v>
      </c>
      <c r="O3628" t="s">
        <v>132</v>
      </c>
      <c r="P3628" s="3" t="s">
        <v>75</v>
      </c>
      <c r="Q3628">
        <v>2016</v>
      </c>
      <c r="R3628" s="2">
        <v>42706</v>
      </c>
      <c r="S3628" s="2">
        <v>42709</v>
      </c>
      <c r="T3628" s="2">
        <v>42707</v>
      </c>
      <c r="U3628" s="2">
        <v>42767</v>
      </c>
      <c r="V3628" t="s">
        <v>71</v>
      </c>
      <c r="W3628" t="str">
        <f>"         FATTPA 8_16"</f>
        <v xml:space="preserve">         FATTPA 8_16</v>
      </c>
      <c r="X3628" s="1">
        <v>1404.8</v>
      </c>
      <c r="Y3628">
        <v>-280.95999999999998</v>
      </c>
      <c r="Z3628" s="5">
        <v>1123.8399999999999</v>
      </c>
      <c r="AA3628">
        <v>-58</v>
      </c>
      <c r="AB3628" s="5">
        <v>-65182.720000000001</v>
      </c>
      <c r="AC3628" s="1">
        <v>1123.8399999999999</v>
      </c>
      <c r="AD3628">
        <v>-58</v>
      </c>
      <c r="AE3628" s="1">
        <v>-65182.720000000001</v>
      </c>
      <c r="AF3628">
        <v>0</v>
      </c>
      <c r="AJ3628">
        <v>-280.95999999999998</v>
      </c>
      <c r="AK3628" s="1">
        <v>1123.8399999999999</v>
      </c>
      <c r="AL3628" s="1">
        <v>1123.8399999999999</v>
      </c>
      <c r="AM3628" s="1">
        <v>1123.8399999999999</v>
      </c>
      <c r="AN3628" s="1">
        <v>1123.8399999999999</v>
      </c>
      <c r="AO3628" s="1">
        <v>1123.8399999999999</v>
      </c>
      <c r="AP3628" s="2">
        <v>42746</v>
      </c>
      <c r="AQ3628" t="s">
        <v>72</v>
      </c>
      <c r="AR3628" t="s">
        <v>72</v>
      </c>
      <c r="AS3628">
        <v>3332</v>
      </c>
      <c r="AT3628" s="4">
        <v>42709</v>
      </c>
      <c r="AV3628">
        <v>3332</v>
      </c>
      <c r="AW3628" s="4">
        <v>42709</v>
      </c>
      <c r="BD3628">
        <v>0</v>
      </c>
      <c r="BN3628" t="s">
        <v>74</v>
      </c>
    </row>
    <row r="3629" spans="1:66">
      <c r="A3629">
        <v>101311</v>
      </c>
      <c r="B3629" s="3" t="s">
        <v>407</v>
      </c>
      <c r="C3629" s="1">
        <v>43500101</v>
      </c>
      <c r="D3629" t="s">
        <v>113</v>
      </c>
      <c r="H3629" t="str">
        <f t="shared" si="379"/>
        <v>MSCBRC80E43A783T</v>
      </c>
      <c r="I3629" t="str">
        <f t="shared" si="380"/>
        <v>01482810627</v>
      </c>
      <c r="K3629" t="str">
        <f>""</f>
        <v/>
      </c>
      <c r="M3629" t="s">
        <v>68</v>
      </c>
      <c r="N3629" t="str">
        <f t="shared" si="381"/>
        <v>ALTPRO</v>
      </c>
      <c r="O3629" t="s">
        <v>132</v>
      </c>
      <c r="P3629" s="3" t="s">
        <v>75</v>
      </c>
      <c r="Q3629">
        <v>2016</v>
      </c>
      <c r="R3629" s="2">
        <v>42706</v>
      </c>
      <c r="S3629" s="2">
        <v>42709</v>
      </c>
      <c r="T3629" s="2">
        <v>42707</v>
      </c>
      <c r="U3629" s="2">
        <v>42767</v>
      </c>
      <c r="V3629" t="s">
        <v>71</v>
      </c>
      <c r="W3629" t="str">
        <f>"         FATTPA 9_16"</f>
        <v xml:space="preserve">         FATTPA 9_16</v>
      </c>
      <c r="X3629" s="1">
        <v>2089.64</v>
      </c>
      <c r="Y3629">
        <v>-417.93</v>
      </c>
      <c r="Z3629" s="5">
        <v>1671.71</v>
      </c>
      <c r="AA3629">
        <v>-58</v>
      </c>
      <c r="AB3629" s="5">
        <v>-96959.18</v>
      </c>
      <c r="AC3629" s="1">
        <v>1671.71</v>
      </c>
      <c r="AD3629">
        <v>-58</v>
      </c>
      <c r="AE3629" s="1">
        <v>-96959.18</v>
      </c>
      <c r="AF3629">
        <v>0</v>
      </c>
      <c r="AJ3629">
        <v>-417.93</v>
      </c>
      <c r="AK3629" s="1">
        <v>1671.71</v>
      </c>
      <c r="AL3629" s="1">
        <v>1671.71</v>
      </c>
      <c r="AM3629" s="1">
        <v>1671.71</v>
      </c>
      <c r="AN3629" s="1">
        <v>1671.71</v>
      </c>
      <c r="AO3629" s="1">
        <v>1671.71</v>
      </c>
      <c r="AP3629" s="2">
        <v>42746</v>
      </c>
      <c r="AQ3629" t="s">
        <v>72</v>
      </c>
      <c r="AR3629" t="s">
        <v>72</v>
      </c>
      <c r="AS3629">
        <v>3332</v>
      </c>
      <c r="AT3629" s="4">
        <v>42709</v>
      </c>
      <c r="AV3629">
        <v>3332</v>
      </c>
      <c r="AW3629" s="4">
        <v>42709</v>
      </c>
      <c r="BD3629">
        <v>0</v>
      </c>
      <c r="BN3629" t="s">
        <v>74</v>
      </c>
    </row>
    <row r="3630" spans="1:66" hidden="1">
      <c r="A3630">
        <v>101317</v>
      </c>
      <c r="B3630" s="3" t="s">
        <v>408</v>
      </c>
      <c r="C3630" s="1">
        <v>43300101</v>
      </c>
      <c r="D3630" t="s">
        <v>67</v>
      </c>
      <c r="H3630" t="str">
        <f t="shared" ref="H3630:H3661" si="382">"DNGGTN52A01A783M"</f>
        <v>DNGGTN52A01A783M</v>
      </c>
      <c r="I3630" t="str">
        <f t="shared" ref="I3630:I3661" si="383">"00592310627"</f>
        <v>00592310627</v>
      </c>
      <c r="K3630" t="str">
        <f>""</f>
        <v/>
      </c>
      <c r="M3630" t="s">
        <v>68</v>
      </c>
      <c r="N3630" t="str">
        <f t="shared" ref="N3630:N3661" si="384">"FOR"</f>
        <v>FOR</v>
      </c>
      <c r="O3630" t="s">
        <v>69</v>
      </c>
      <c r="P3630" s="3" t="s">
        <v>75</v>
      </c>
      <c r="Q3630">
        <v>2015</v>
      </c>
      <c r="R3630" s="2">
        <v>42153</v>
      </c>
      <c r="S3630" s="2">
        <v>42164</v>
      </c>
      <c r="T3630" s="2">
        <v>42153</v>
      </c>
      <c r="U3630" s="2">
        <v>42213</v>
      </c>
      <c r="V3630" t="s">
        <v>71</v>
      </c>
      <c r="W3630" t="str">
        <f>"         000038-2015"</f>
        <v xml:space="preserve">         000038-2015</v>
      </c>
      <c r="X3630" s="1">
        <v>11631.83</v>
      </c>
      <c r="Y3630">
        <v>0</v>
      </c>
      <c r="Z3630"/>
      <c r="AB3630"/>
      <c r="AC3630" s="1">
        <v>9534.2900000000009</v>
      </c>
      <c r="AD3630">
        <v>251</v>
      </c>
      <c r="AE3630" s="1">
        <v>2393106.79</v>
      </c>
      <c r="AF3630">
        <v>0</v>
      </c>
      <c r="AJ3630">
        <v>0</v>
      </c>
      <c r="AK3630">
        <v>0</v>
      </c>
      <c r="AL3630">
        <v>0</v>
      </c>
      <c r="AM3630">
        <v>0</v>
      </c>
      <c r="AN3630">
        <v>0</v>
      </c>
      <c r="AO3630">
        <v>0</v>
      </c>
      <c r="AP3630" s="2">
        <v>42746</v>
      </c>
      <c r="AQ3630" t="s">
        <v>72</v>
      </c>
      <c r="AR3630" t="s">
        <v>72</v>
      </c>
      <c r="AS3630">
        <v>988</v>
      </c>
      <c r="AT3630" s="4">
        <v>42464</v>
      </c>
      <c r="AU3630" t="s">
        <v>73</v>
      </c>
      <c r="AV3630">
        <v>988</v>
      </c>
      <c r="AW3630" s="4">
        <v>42464</v>
      </c>
      <c r="BD3630">
        <v>0</v>
      </c>
      <c r="BN3630" t="s">
        <v>74</v>
      </c>
    </row>
    <row r="3631" spans="1:66" hidden="1">
      <c r="A3631">
        <v>101317</v>
      </c>
      <c r="B3631" s="3" t="s">
        <v>408</v>
      </c>
      <c r="C3631" s="1">
        <v>43300101</v>
      </c>
      <c r="D3631" t="s">
        <v>67</v>
      </c>
      <c r="H3631" t="str">
        <f t="shared" si="382"/>
        <v>DNGGTN52A01A783M</v>
      </c>
      <c r="I3631" t="str">
        <f t="shared" si="383"/>
        <v>00592310627</v>
      </c>
      <c r="K3631" t="str">
        <f>""</f>
        <v/>
      </c>
      <c r="M3631" t="s">
        <v>68</v>
      </c>
      <c r="N3631" t="str">
        <f t="shared" si="384"/>
        <v>FOR</v>
      </c>
      <c r="O3631" t="s">
        <v>69</v>
      </c>
      <c r="P3631" s="3" t="s">
        <v>75</v>
      </c>
      <c r="Q3631">
        <v>2015</v>
      </c>
      <c r="R3631" s="2">
        <v>42188</v>
      </c>
      <c r="S3631" s="2">
        <v>42191</v>
      </c>
      <c r="T3631" s="2">
        <v>42188</v>
      </c>
      <c r="U3631" s="2">
        <v>42248</v>
      </c>
      <c r="V3631" t="s">
        <v>71</v>
      </c>
      <c r="W3631" t="str">
        <f>"         000046-2015"</f>
        <v xml:space="preserve">         000046-2015</v>
      </c>
      <c r="X3631" s="1">
        <v>4227.0600000000004</v>
      </c>
      <c r="Y3631">
        <v>0</v>
      </c>
      <c r="Z3631"/>
      <c r="AB3631"/>
      <c r="AC3631" s="1">
        <v>3464.8</v>
      </c>
      <c r="AD3631">
        <v>318</v>
      </c>
      <c r="AE3631" s="1">
        <v>1101806.3999999999</v>
      </c>
      <c r="AF3631">
        <v>0</v>
      </c>
      <c r="AJ3631">
        <v>0</v>
      </c>
      <c r="AK3631">
        <v>0</v>
      </c>
      <c r="AL3631">
        <v>0</v>
      </c>
      <c r="AM3631">
        <v>0</v>
      </c>
      <c r="AN3631">
        <v>0</v>
      </c>
      <c r="AO3631">
        <v>0</v>
      </c>
      <c r="AP3631" s="2">
        <v>42746</v>
      </c>
      <c r="AQ3631" t="s">
        <v>72</v>
      </c>
      <c r="AR3631" t="s">
        <v>72</v>
      </c>
      <c r="AS3631">
        <v>1816</v>
      </c>
      <c r="AT3631" s="4">
        <v>42566</v>
      </c>
      <c r="AU3631" t="s">
        <v>73</v>
      </c>
      <c r="AV3631">
        <v>1816</v>
      </c>
      <c r="AW3631" s="4">
        <v>42566</v>
      </c>
      <c r="BD3631">
        <v>0</v>
      </c>
      <c r="BN3631" t="s">
        <v>74</v>
      </c>
    </row>
    <row r="3632" spans="1:66" hidden="1">
      <c r="A3632">
        <v>101317</v>
      </c>
      <c r="B3632" s="3" t="s">
        <v>408</v>
      </c>
      <c r="C3632" s="1">
        <v>43300101</v>
      </c>
      <c r="D3632" t="s">
        <v>67</v>
      </c>
      <c r="H3632" t="str">
        <f t="shared" si="382"/>
        <v>DNGGTN52A01A783M</v>
      </c>
      <c r="I3632" t="str">
        <f t="shared" si="383"/>
        <v>00592310627</v>
      </c>
      <c r="K3632" t="str">
        <f>""</f>
        <v/>
      </c>
      <c r="M3632" t="s">
        <v>68</v>
      </c>
      <c r="N3632" t="str">
        <f t="shared" si="384"/>
        <v>FOR</v>
      </c>
      <c r="O3632" t="s">
        <v>69</v>
      </c>
      <c r="P3632" s="3" t="s">
        <v>75</v>
      </c>
      <c r="Q3632">
        <v>2015</v>
      </c>
      <c r="R3632" s="2">
        <v>42268</v>
      </c>
      <c r="S3632" s="2">
        <v>42268</v>
      </c>
      <c r="T3632" s="2">
        <v>42268</v>
      </c>
      <c r="U3632" s="2">
        <v>42328</v>
      </c>
      <c r="V3632" t="s">
        <v>71</v>
      </c>
      <c r="W3632" t="str">
        <f>"         000082-2015"</f>
        <v xml:space="preserve">         000082-2015</v>
      </c>
      <c r="X3632">
        <v>359.9</v>
      </c>
      <c r="Y3632">
        <v>0</v>
      </c>
      <c r="Z3632"/>
      <c r="AB3632"/>
      <c r="AC3632">
        <v>295</v>
      </c>
      <c r="AD3632">
        <v>75</v>
      </c>
      <c r="AE3632" s="1">
        <v>22125</v>
      </c>
      <c r="AF3632">
        <v>64.900000000000006</v>
      </c>
      <c r="AJ3632">
        <v>0</v>
      </c>
      <c r="AK3632">
        <v>0</v>
      </c>
      <c r="AL3632">
        <v>0</v>
      </c>
      <c r="AM3632">
        <v>0</v>
      </c>
      <c r="AN3632">
        <v>0</v>
      </c>
      <c r="AO3632">
        <v>0</v>
      </c>
      <c r="AP3632" s="2">
        <v>42746</v>
      </c>
      <c r="AQ3632" t="s">
        <v>72</v>
      </c>
      <c r="AR3632" t="s">
        <v>72</v>
      </c>
      <c r="AS3632">
        <v>212</v>
      </c>
      <c r="AT3632" s="4">
        <v>42403</v>
      </c>
      <c r="AU3632" t="s">
        <v>73</v>
      </c>
      <c r="AV3632">
        <v>212</v>
      </c>
      <c r="AW3632" s="4">
        <v>42403</v>
      </c>
      <c r="BD3632">
        <v>64.900000000000006</v>
      </c>
      <c r="BN3632" t="s">
        <v>74</v>
      </c>
    </row>
    <row r="3633" spans="1:66" hidden="1">
      <c r="A3633">
        <v>101317</v>
      </c>
      <c r="B3633" s="3" t="s">
        <v>408</v>
      </c>
      <c r="C3633" s="1">
        <v>43300101</v>
      </c>
      <c r="D3633" t="s">
        <v>67</v>
      </c>
      <c r="H3633" t="str">
        <f t="shared" si="382"/>
        <v>DNGGTN52A01A783M</v>
      </c>
      <c r="I3633" t="str">
        <f t="shared" si="383"/>
        <v>00592310627</v>
      </c>
      <c r="K3633" t="str">
        <f>""</f>
        <v/>
      </c>
      <c r="M3633" t="s">
        <v>68</v>
      </c>
      <c r="N3633" t="str">
        <f t="shared" si="384"/>
        <v>FOR</v>
      </c>
      <c r="O3633" t="s">
        <v>69</v>
      </c>
      <c r="P3633" s="3" t="s">
        <v>75</v>
      </c>
      <c r="Q3633">
        <v>2015</v>
      </c>
      <c r="R3633" s="2">
        <v>42268</v>
      </c>
      <c r="S3633" s="2">
        <v>42268</v>
      </c>
      <c r="T3633" s="2">
        <v>42268</v>
      </c>
      <c r="U3633" s="2">
        <v>42328</v>
      </c>
      <c r="V3633" t="s">
        <v>71</v>
      </c>
      <c r="W3633" t="str">
        <f>"         000083-2015"</f>
        <v xml:space="preserve">         000083-2015</v>
      </c>
      <c r="X3633">
        <v>779.58</v>
      </c>
      <c r="Y3633">
        <v>0</v>
      </c>
      <c r="Z3633"/>
      <c r="AB3633"/>
      <c r="AC3633">
        <v>639</v>
      </c>
      <c r="AD3633">
        <v>75</v>
      </c>
      <c r="AE3633" s="1">
        <v>47925</v>
      </c>
      <c r="AF3633">
        <v>140.58000000000001</v>
      </c>
      <c r="AJ3633">
        <v>0</v>
      </c>
      <c r="AK3633">
        <v>0</v>
      </c>
      <c r="AL3633">
        <v>0</v>
      </c>
      <c r="AM3633">
        <v>0</v>
      </c>
      <c r="AN3633">
        <v>0</v>
      </c>
      <c r="AO3633">
        <v>0</v>
      </c>
      <c r="AP3633" s="2">
        <v>42746</v>
      </c>
      <c r="AQ3633" t="s">
        <v>72</v>
      </c>
      <c r="AR3633" t="s">
        <v>72</v>
      </c>
      <c r="AS3633">
        <v>212</v>
      </c>
      <c r="AT3633" s="4">
        <v>42403</v>
      </c>
      <c r="AU3633" t="s">
        <v>73</v>
      </c>
      <c r="AV3633">
        <v>212</v>
      </c>
      <c r="AW3633" s="4">
        <v>42403</v>
      </c>
      <c r="BD3633">
        <v>140.58000000000001</v>
      </c>
      <c r="BN3633" t="s">
        <v>74</v>
      </c>
    </row>
    <row r="3634" spans="1:66" hidden="1">
      <c r="A3634">
        <v>101317</v>
      </c>
      <c r="B3634" s="3" t="s">
        <v>408</v>
      </c>
      <c r="C3634" s="1">
        <v>43300101</v>
      </c>
      <c r="D3634" t="s">
        <v>67</v>
      </c>
      <c r="H3634" t="str">
        <f t="shared" si="382"/>
        <v>DNGGTN52A01A783M</v>
      </c>
      <c r="I3634" t="str">
        <f t="shared" si="383"/>
        <v>00592310627</v>
      </c>
      <c r="K3634" t="str">
        <f>""</f>
        <v/>
      </c>
      <c r="M3634" t="s">
        <v>68</v>
      </c>
      <c r="N3634" t="str">
        <f t="shared" si="384"/>
        <v>FOR</v>
      </c>
      <c r="O3634" t="s">
        <v>69</v>
      </c>
      <c r="P3634" s="3" t="s">
        <v>75</v>
      </c>
      <c r="Q3634">
        <v>2015</v>
      </c>
      <c r="R3634" s="2">
        <v>42268</v>
      </c>
      <c r="S3634" s="2">
        <v>42268</v>
      </c>
      <c r="T3634" s="2">
        <v>42268</v>
      </c>
      <c r="U3634" s="2">
        <v>42328</v>
      </c>
      <c r="V3634" t="s">
        <v>71</v>
      </c>
      <c r="W3634" t="str">
        <f>"         000084-2015"</f>
        <v xml:space="preserve">         000084-2015</v>
      </c>
      <c r="X3634">
        <v>900.36</v>
      </c>
      <c r="Y3634">
        <v>0</v>
      </c>
      <c r="Z3634"/>
      <c r="AB3634"/>
      <c r="AC3634">
        <v>738</v>
      </c>
      <c r="AD3634">
        <v>75</v>
      </c>
      <c r="AE3634" s="1">
        <v>55350</v>
      </c>
      <c r="AF3634">
        <v>162.36000000000001</v>
      </c>
      <c r="AJ3634">
        <v>0</v>
      </c>
      <c r="AK3634">
        <v>0</v>
      </c>
      <c r="AL3634">
        <v>0</v>
      </c>
      <c r="AM3634">
        <v>0</v>
      </c>
      <c r="AN3634">
        <v>0</v>
      </c>
      <c r="AO3634">
        <v>0</v>
      </c>
      <c r="AP3634" s="2">
        <v>42746</v>
      </c>
      <c r="AQ3634" t="s">
        <v>72</v>
      </c>
      <c r="AR3634" t="s">
        <v>72</v>
      </c>
      <c r="AS3634">
        <v>212</v>
      </c>
      <c r="AT3634" s="4">
        <v>42403</v>
      </c>
      <c r="AU3634" t="s">
        <v>73</v>
      </c>
      <c r="AV3634">
        <v>212</v>
      </c>
      <c r="AW3634" s="4">
        <v>42403</v>
      </c>
      <c r="BD3634">
        <v>162.36000000000001</v>
      </c>
      <c r="BN3634" t="s">
        <v>74</v>
      </c>
    </row>
    <row r="3635" spans="1:66" hidden="1">
      <c r="A3635">
        <v>101317</v>
      </c>
      <c r="B3635" s="3" t="s">
        <v>408</v>
      </c>
      <c r="C3635" s="1">
        <v>43300101</v>
      </c>
      <c r="D3635" t="s">
        <v>67</v>
      </c>
      <c r="H3635" t="str">
        <f t="shared" si="382"/>
        <v>DNGGTN52A01A783M</v>
      </c>
      <c r="I3635" t="str">
        <f t="shared" si="383"/>
        <v>00592310627</v>
      </c>
      <c r="K3635" t="str">
        <f>""</f>
        <v/>
      </c>
      <c r="M3635" t="s">
        <v>68</v>
      </c>
      <c r="N3635" t="str">
        <f t="shared" si="384"/>
        <v>FOR</v>
      </c>
      <c r="O3635" t="s">
        <v>69</v>
      </c>
      <c r="P3635" s="3" t="s">
        <v>75</v>
      </c>
      <c r="Q3635">
        <v>2015</v>
      </c>
      <c r="R3635" s="2">
        <v>42268</v>
      </c>
      <c r="S3635" s="2">
        <v>42268</v>
      </c>
      <c r="T3635" s="2">
        <v>42268</v>
      </c>
      <c r="U3635" s="2">
        <v>42328</v>
      </c>
      <c r="V3635" t="s">
        <v>71</v>
      </c>
      <c r="W3635" t="str">
        <f>"         000085-2015"</f>
        <v xml:space="preserve">         000085-2015</v>
      </c>
      <c r="X3635">
        <v>744.2</v>
      </c>
      <c r="Y3635">
        <v>0</v>
      </c>
      <c r="Z3635"/>
      <c r="AB3635"/>
      <c r="AC3635">
        <v>610</v>
      </c>
      <c r="AD3635">
        <v>75</v>
      </c>
      <c r="AE3635" s="1">
        <v>45750</v>
      </c>
      <c r="AF3635">
        <v>134.19999999999999</v>
      </c>
      <c r="AJ3635">
        <v>0</v>
      </c>
      <c r="AK3635">
        <v>0</v>
      </c>
      <c r="AL3635">
        <v>0</v>
      </c>
      <c r="AM3635">
        <v>0</v>
      </c>
      <c r="AN3635">
        <v>0</v>
      </c>
      <c r="AO3635">
        <v>0</v>
      </c>
      <c r="AP3635" s="2">
        <v>42746</v>
      </c>
      <c r="AQ3635" t="s">
        <v>72</v>
      </c>
      <c r="AR3635" t="s">
        <v>72</v>
      </c>
      <c r="AS3635">
        <v>212</v>
      </c>
      <c r="AT3635" s="4">
        <v>42403</v>
      </c>
      <c r="AU3635" t="s">
        <v>73</v>
      </c>
      <c r="AV3635">
        <v>212</v>
      </c>
      <c r="AW3635" s="4">
        <v>42403</v>
      </c>
      <c r="BD3635">
        <v>134.19999999999999</v>
      </c>
      <c r="BN3635" t="s">
        <v>74</v>
      </c>
    </row>
    <row r="3636" spans="1:66" hidden="1">
      <c r="A3636">
        <v>101317</v>
      </c>
      <c r="B3636" s="3" t="s">
        <v>408</v>
      </c>
      <c r="C3636" s="1">
        <v>43300101</v>
      </c>
      <c r="D3636" t="s">
        <v>67</v>
      </c>
      <c r="H3636" t="str">
        <f t="shared" si="382"/>
        <v>DNGGTN52A01A783M</v>
      </c>
      <c r="I3636" t="str">
        <f t="shared" si="383"/>
        <v>00592310627</v>
      </c>
      <c r="K3636" t="str">
        <f>""</f>
        <v/>
      </c>
      <c r="M3636" t="s">
        <v>68</v>
      </c>
      <c r="N3636" t="str">
        <f t="shared" si="384"/>
        <v>FOR</v>
      </c>
      <c r="O3636" t="s">
        <v>69</v>
      </c>
      <c r="P3636" s="3" t="s">
        <v>75</v>
      </c>
      <c r="Q3636">
        <v>2015</v>
      </c>
      <c r="R3636" s="2">
        <v>42268</v>
      </c>
      <c r="S3636" s="2">
        <v>42268</v>
      </c>
      <c r="T3636" s="2">
        <v>42268</v>
      </c>
      <c r="U3636" s="2">
        <v>42328</v>
      </c>
      <c r="V3636" t="s">
        <v>71</v>
      </c>
      <c r="W3636" t="str">
        <f>"         000086-2015"</f>
        <v xml:space="preserve">         000086-2015</v>
      </c>
      <c r="X3636">
        <v>650.26</v>
      </c>
      <c r="Y3636">
        <v>0</v>
      </c>
      <c r="Z3636"/>
      <c r="AB3636"/>
      <c r="AC3636">
        <v>533</v>
      </c>
      <c r="AD3636">
        <v>75</v>
      </c>
      <c r="AE3636" s="1">
        <v>39975</v>
      </c>
      <c r="AF3636">
        <v>117.26</v>
      </c>
      <c r="AJ3636">
        <v>0</v>
      </c>
      <c r="AK3636">
        <v>0</v>
      </c>
      <c r="AL3636">
        <v>0</v>
      </c>
      <c r="AM3636">
        <v>0</v>
      </c>
      <c r="AN3636">
        <v>0</v>
      </c>
      <c r="AO3636">
        <v>0</v>
      </c>
      <c r="AP3636" s="2">
        <v>42746</v>
      </c>
      <c r="AQ3636" t="s">
        <v>72</v>
      </c>
      <c r="AR3636" t="s">
        <v>72</v>
      </c>
      <c r="AS3636">
        <v>212</v>
      </c>
      <c r="AT3636" s="4">
        <v>42403</v>
      </c>
      <c r="AU3636" t="s">
        <v>73</v>
      </c>
      <c r="AV3636">
        <v>212</v>
      </c>
      <c r="AW3636" s="4">
        <v>42403</v>
      </c>
      <c r="BD3636">
        <v>117.26</v>
      </c>
      <c r="BN3636" t="s">
        <v>74</v>
      </c>
    </row>
    <row r="3637" spans="1:66" hidden="1">
      <c r="A3637">
        <v>101317</v>
      </c>
      <c r="B3637" s="3" t="s">
        <v>408</v>
      </c>
      <c r="C3637" s="1">
        <v>43300101</v>
      </c>
      <c r="D3637" t="s">
        <v>67</v>
      </c>
      <c r="H3637" t="str">
        <f t="shared" si="382"/>
        <v>DNGGTN52A01A783M</v>
      </c>
      <c r="I3637" t="str">
        <f t="shared" si="383"/>
        <v>00592310627</v>
      </c>
      <c r="K3637" t="str">
        <f>""</f>
        <v/>
      </c>
      <c r="M3637" t="s">
        <v>68</v>
      </c>
      <c r="N3637" t="str">
        <f t="shared" si="384"/>
        <v>FOR</v>
      </c>
      <c r="O3637" t="s">
        <v>69</v>
      </c>
      <c r="P3637" s="3" t="s">
        <v>75</v>
      </c>
      <c r="Q3637">
        <v>2015</v>
      </c>
      <c r="R3637" s="2">
        <v>42268</v>
      </c>
      <c r="S3637" s="2">
        <v>42268</v>
      </c>
      <c r="T3637" s="2">
        <v>42268</v>
      </c>
      <c r="U3637" s="2">
        <v>42328</v>
      </c>
      <c r="V3637" t="s">
        <v>71</v>
      </c>
      <c r="W3637" t="str">
        <f>"         000087-2015"</f>
        <v xml:space="preserve">         000087-2015</v>
      </c>
      <c r="X3637">
        <v>458.72</v>
      </c>
      <c r="Y3637">
        <v>0</v>
      </c>
      <c r="Z3637"/>
      <c r="AB3637"/>
      <c r="AC3637">
        <v>376</v>
      </c>
      <c r="AD3637">
        <v>75</v>
      </c>
      <c r="AE3637" s="1">
        <v>28200</v>
      </c>
      <c r="AF3637">
        <v>82.72</v>
      </c>
      <c r="AJ3637">
        <v>0</v>
      </c>
      <c r="AK3637">
        <v>0</v>
      </c>
      <c r="AL3637">
        <v>0</v>
      </c>
      <c r="AM3637">
        <v>0</v>
      </c>
      <c r="AN3637">
        <v>0</v>
      </c>
      <c r="AO3637">
        <v>0</v>
      </c>
      <c r="AP3637" s="2">
        <v>42746</v>
      </c>
      <c r="AQ3637" t="s">
        <v>72</v>
      </c>
      <c r="AR3637" t="s">
        <v>72</v>
      </c>
      <c r="AS3637">
        <v>212</v>
      </c>
      <c r="AT3637" s="4">
        <v>42403</v>
      </c>
      <c r="AU3637" t="s">
        <v>73</v>
      </c>
      <c r="AV3637">
        <v>212</v>
      </c>
      <c r="AW3637" s="4">
        <v>42403</v>
      </c>
      <c r="BD3637">
        <v>82.72</v>
      </c>
      <c r="BN3637" t="s">
        <v>74</v>
      </c>
    </row>
    <row r="3638" spans="1:66" hidden="1">
      <c r="A3638">
        <v>101317</v>
      </c>
      <c r="B3638" s="3" t="s">
        <v>408</v>
      </c>
      <c r="C3638" s="1">
        <v>43300101</v>
      </c>
      <c r="D3638" t="s">
        <v>67</v>
      </c>
      <c r="H3638" t="str">
        <f t="shared" si="382"/>
        <v>DNGGTN52A01A783M</v>
      </c>
      <c r="I3638" t="str">
        <f t="shared" si="383"/>
        <v>00592310627</v>
      </c>
      <c r="K3638" t="str">
        <f>""</f>
        <v/>
      </c>
      <c r="M3638" t="s">
        <v>68</v>
      </c>
      <c r="N3638" t="str">
        <f t="shared" si="384"/>
        <v>FOR</v>
      </c>
      <c r="O3638" t="s">
        <v>69</v>
      </c>
      <c r="P3638" s="3" t="s">
        <v>75</v>
      </c>
      <c r="Q3638">
        <v>2015</v>
      </c>
      <c r="R3638" s="2">
        <v>42278</v>
      </c>
      <c r="S3638" s="2">
        <v>42278</v>
      </c>
      <c r="T3638" s="2">
        <v>42278</v>
      </c>
      <c r="U3638" s="2">
        <v>42338</v>
      </c>
      <c r="V3638" t="s">
        <v>71</v>
      </c>
      <c r="W3638" t="str">
        <f>"         000089-2015"</f>
        <v xml:space="preserve">         000089-2015</v>
      </c>
      <c r="X3638">
        <v>231.56</v>
      </c>
      <c r="Y3638">
        <v>0</v>
      </c>
      <c r="Z3638"/>
      <c r="AB3638"/>
      <c r="AC3638">
        <v>189.8</v>
      </c>
      <c r="AD3638">
        <v>65</v>
      </c>
      <c r="AE3638" s="1">
        <v>12337</v>
      </c>
      <c r="AF3638">
        <v>41.76</v>
      </c>
      <c r="AJ3638">
        <v>0</v>
      </c>
      <c r="AK3638">
        <v>0</v>
      </c>
      <c r="AL3638">
        <v>0</v>
      </c>
      <c r="AM3638">
        <v>0</v>
      </c>
      <c r="AN3638">
        <v>0</v>
      </c>
      <c r="AO3638">
        <v>0</v>
      </c>
      <c r="AP3638" s="2">
        <v>42746</v>
      </c>
      <c r="AQ3638" t="s">
        <v>72</v>
      </c>
      <c r="AR3638" t="s">
        <v>72</v>
      </c>
      <c r="AS3638">
        <v>212</v>
      </c>
      <c r="AT3638" s="4">
        <v>42403</v>
      </c>
      <c r="AU3638" t="s">
        <v>73</v>
      </c>
      <c r="AV3638">
        <v>212</v>
      </c>
      <c r="AW3638" s="4">
        <v>42403</v>
      </c>
      <c r="BD3638">
        <v>41.76</v>
      </c>
      <c r="BN3638" t="s">
        <v>74</v>
      </c>
    </row>
    <row r="3639" spans="1:66" hidden="1">
      <c r="A3639">
        <v>101317</v>
      </c>
      <c r="B3639" s="3" t="s">
        <v>408</v>
      </c>
      <c r="C3639" s="1">
        <v>43300101</v>
      </c>
      <c r="D3639" t="s">
        <v>67</v>
      </c>
      <c r="H3639" t="str">
        <f t="shared" si="382"/>
        <v>DNGGTN52A01A783M</v>
      </c>
      <c r="I3639" t="str">
        <f t="shared" si="383"/>
        <v>00592310627</v>
      </c>
      <c r="K3639" t="str">
        <f>""</f>
        <v/>
      </c>
      <c r="M3639" t="s">
        <v>68</v>
      </c>
      <c r="N3639" t="str">
        <f t="shared" si="384"/>
        <v>FOR</v>
      </c>
      <c r="O3639" t="s">
        <v>69</v>
      </c>
      <c r="P3639" s="3" t="s">
        <v>75</v>
      </c>
      <c r="Q3639">
        <v>2015</v>
      </c>
      <c r="R3639" s="2">
        <v>42278</v>
      </c>
      <c r="S3639" s="2">
        <v>42278</v>
      </c>
      <c r="T3639" s="2">
        <v>42278</v>
      </c>
      <c r="U3639" s="2">
        <v>42338</v>
      </c>
      <c r="V3639" t="s">
        <v>71</v>
      </c>
      <c r="W3639" t="str">
        <f>"         000090-2015"</f>
        <v xml:space="preserve">         000090-2015</v>
      </c>
      <c r="X3639">
        <v>109.8</v>
      </c>
      <c r="Y3639">
        <v>0</v>
      </c>
      <c r="Z3639"/>
      <c r="AB3639"/>
      <c r="AC3639">
        <v>90</v>
      </c>
      <c r="AD3639">
        <v>65</v>
      </c>
      <c r="AE3639" s="1">
        <v>5850</v>
      </c>
      <c r="AF3639">
        <v>19.8</v>
      </c>
      <c r="AJ3639">
        <v>0</v>
      </c>
      <c r="AK3639">
        <v>0</v>
      </c>
      <c r="AL3639">
        <v>0</v>
      </c>
      <c r="AM3639">
        <v>0</v>
      </c>
      <c r="AN3639">
        <v>0</v>
      </c>
      <c r="AO3639">
        <v>0</v>
      </c>
      <c r="AP3639" s="2">
        <v>42746</v>
      </c>
      <c r="AQ3639" t="s">
        <v>72</v>
      </c>
      <c r="AR3639" t="s">
        <v>72</v>
      </c>
      <c r="AS3639">
        <v>212</v>
      </c>
      <c r="AT3639" s="4">
        <v>42403</v>
      </c>
      <c r="AU3639" t="s">
        <v>73</v>
      </c>
      <c r="AV3639">
        <v>212</v>
      </c>
      <c r="AW3639" s="4">
        <v>42403</v>
      </c>
      <c r="BD3639">
        <v>19.8</v>
      </c>
      <c r="BN3639" t="s">
        <v>74</v>
      </c>
    </row>
    <row r="3640" spans="1:66" hidden="1">
      <c r="A3640">
        <v>101317</v>
      </c>
      <c r="B3640" s="3" t="s">
        <v>408</v>
      </c>
      <c r="C3640" s="1">
        <v>43300101</v>
      </c>
      <c r="D3640" t="s">
        <v>67</v>
      </c>
      <c r="H3640" t="str">
        <f t="shared" si="382"/>
        <v>DNGGTN52A01A783M</v>
      </c>
      <c r="I3640" t="str">
        <f t="shared" si="383"/>
        <v>00592310627</v>
      </c>
      <c r="K3640" t="str">
        <f>""</f>
        <v/>
      </c>
      <c r="M3640" t="s">
        <v>68</v>
      </c>
      <c r="N3640" t="str">
        <f t="shared" si="384"/>
        <v>FOR</v>
      </c>
      <c r="O3640" t="s">
        <v>69</v>
      </c>
      <c r="P3640" s="3" t="s">
        <v>75</v>
      </c>
      <c r="Q3640">
        <v>2015</v>
      </c>
      <c r="R3640" s="2">
        <v>42278</v>
      </c>
      <c r="S3640" s="2">
        <v>42278</v>
      </c>
      <c r="T3640" s="2">
        <v>42278</v>
      </c>
      <c r="U3640" s="2">
        <v>42338</v>
      </c>
      <c r="V3640" t="s">
        <v>71</v>
      </c>
      <c r="W3640" t="str">
        <f>"         000091-2015"</f>
        <v xml:space="preserve">         000091-2015</v>
      </c>
      <c r="X3640">
        <v>639.28</v>
      </c>
      <c r="Y3640">
        <v>0</v>
      </c>
      <c r="Z3640"/>
      <c r="AB3640"/>
      <c r="AC3640">
        <v>524</v>
      </c>
      <c r="AD3640">
        <v>65</v>
      </c>
      <c r="AE3640" s="1">
        <v>34060</v>
      </c>
      <c r="AF3640">
        <v>115.28</v>
      </c>
      <c r="AJ3640">
        <v>0</v>
      </c>
      <c r="AK3640">
        <v>0</v>
      </c>
      <c r="AL3640">
        <v>0</v>
      </c>
      <c r="AM3640">
        <v>0</v>
      </c>
      <c r="AN3640">
        <v>0</v>
      </c>
      <c r="AO3640">
        <v>0</v>
      </c>
      <c r="AP3640" s="2">
        <v>42746</v>
      </c>
      <c r="AQ3640" t="s">
        <v>72</v>
      </c>
      <c r="AR3640" t="s">
        <v>72</v>
      </c>
      <c r="AS3640">
        <v>213</v>
      </c>
      <c r="AT3640" s="4">
        <v>42403</v>
      </c>
      <c r="AU3640" t="s">
        <v>73</v>
      </c>
      <c r="AV3640">
        <v>213</v>
      </c>
      <c r="AW3640" s="4">
        <v>42403</v>
      </c>
      <c r="BD3640">
        <v>115.28</v>
      </c>
      <c r="BN3640" t="s">
        <v>74</v>
      </c>
    </row>
    <row r="3641" spans="1:66" hidden="1">
      <c r="A3641">
        <v>101317</v>
      </c>
      <c r="B3641" s="3" t="s">
        <v>408</v>
      </c>
      <c r="C3641" s="1">
        <v>43300101</v>
      </c>
      <c r="D3641" t="s">
        <v>67</v>
      </c>
      <c r="H3641" t="str">
        <f t="shared" si="382"/>
        <v>DNGGTN52A01A783M</v>
      </c>
      <c r="I3641" t="str">
        <f t="shared" si="383"/>
        <v>00592310627</v>
      </c>
      <c r="K3641" t="str">
        <f>""</f>
        <v/>
      </c>
      <c r="M3641" t="s">
        <v>68</v>
      </c>
      <c r="N3641" t="str">
        <f t="shared" si="384"/>
        <v>FOR</v>
      </c>
      <c r="O3641" t="s">
        <v>69</v>
      </c>
      <c r="P3641" s="3" t="s">
        <v>75</v>
      </c>
      <c r="Q3641">
        <v>2015</v>
      </c>
      <c r="R3641" s="2">
        <v>42278</v>
      </c>
      <c r="S3641" s="2">
        <v>42278</v>
      </c>
      <c r="T3641" s="2">
        <v>42278</v>
      </c>
      <c r="U3641" s="2">
        <v>42338</v>
      </c>
      <c r="V3641" t="s">
        <v>71</v>
      </c>
      <c r="W3641" t="str">
        <f>"         000092-2015"</f>
        <v xml:space="preserve">         000092-2015</v>
      </c>
      <c r="X3641">
        <v>15.25</v>
      </c>
      <c r="Y3641">
        <v>0</v>
      </c>
      <c r="Z3641"/>
      <c r="AB3641"/>
      <c r="AC3641">
        <v>12.5</v>
      </c>
      <c r="AD3641">
        <v>65</v>
      </c>
      <c r="AE3641">
        <v>812.5</v>
      </c>
      <c r="AF3641">
        <v>2.75</v>
      </c>
      <c r="AJ3641">
        <v>0</v>
      </c>
      <c r="AK3641">
        <v>0</v>
      </c>
      <c r="AL3641">
        <v>0</v>
      </c>
      <c r="AM3641">
        <v>0</v>
      </c>
      <c r="AN3641">
        <v>0</v>
      </c>
      <c r="AO3641">
        <v>0</v>
      </c>
      <c r="AP3641" s="2">
        <v>42746</v>
      </c>
      <c r="AQ3641" t="s">
        <v>72</v>
      </c>
      <c r="AR3641" t="s">
        <v>72</v>
      </c>
      <c r="AS3641">
        <v>212</v>
      </c>
      <c r="AT3641" s="4">
        <v>42403</v>
      </c>
      <c r="AU3641" t="s">
        <v>73</v>
      </c>
      <c r="AV3641">
        <v>212</v>
      </c>
      <c r="AW3641" s="4">
        <v>42403</v>
      </c>
      <c r="BD3641">
        <v>2.75</v>
      </c>
      <c r="BN3641" t="s">
        <v>74</v>
      </c>
    </row>
    <row r="3642" spans="1:66" hidden="1">
      <c r="A3642">
        <v>101317</v>
      </c>
      <c r="B3642" s="3" t="s">
        <v>408</v>
      </c>
      <c r="C3642" s="1">
        <v>43300101</v>
      </c>
      <c r="D3642" t="s">
        <v>67</v>
      </c>
      <c r="H3642" t="str">
        <f t="shared" si="382"/>
        <v>DNGGTN52A01A783M</v>
      </c>
      <c r="I3642" t="str">
        <f t="shared" si="383"/>
        <v>00592310627</v>
      </c>
      <c r="K3642" t="str">
        <f>""</f>
        <v/>
      </c>
      <c r="M3642" t="s">
        <v>68</v>
      </c>
      <c r="N3642" t="str">
        <f t="shared" si="384"/>
        <v>FOR</v>
      </c>
      <c r="O3642" t="s">
        <v>69</v>
      </c>
      <c r="P3642" s="3" t="s">
        <v>75</v>
      </c>
      <c r="Q3642">
        <v>2015</v>
      </c>
      <c r="R3642" s="2">
        <v>42278</v>
      </c>
      <c r="S3642" s="2">
        <v>42279</v>
      </c>
      <c r="T3642" s="2">
        <v>42278</v>
      </c>
      <c r="U3642" s="2">
        <v>42338</v>
      </c>
      <c r="V3642" t="s">
        <v>71</v>
      </c>
      <c r="W3642" t="str">
        <f>"         000093-2015"</f>
        <v xml:space="preserve">         000093-2015</v>
      </c>
      <c r="X3642">
        <v>298.89999999999998</v>
      </c>
      <c r="Y3642">
        <v>0</v>
      </c>
      <c r="Z3642"/>
      <c r="AB3642"/>
      <c r="AC3642">
        <v>245</v>
      </c>
      <c r="AD3642">
        <v>65</v>
      </c>
      <c r="AE3642" s="1">
        <v>15925</v>
      </c>
      <c r="AF3642">
        <v>53.9</v>
      </c>
      <c r="AJ3642">
        <v>0</v>
      </c>
      <c r="AK3642">
        <v>0</v>
      </c>
      <c r="AL3642">
        <v>0</v>
      </c>
      <c r="AM3642">
        <v>0</v>
      </c>
      <c r="AN3642">
        <v>0</v>
      </c>
      <c r="AO3642">
        <v>0</v>
      </c>
      <c r="AP3642" s="2">
        <v>42746</v>
      </c>
      <c r="AQ3642" t="s">
        <v>72</v>
      </c>
      <c r="AR3642" t="s">
        <v>72</v>
      </c>
      <c r="AS3642">
        <v>212</v>
      </c>
      <c r="AT3642" s="4">
        <v>42403</v>
      </c>
      <c r="AU3642" t="s">
        <v>73</v>
      </c>
      <c r="AV3642">
        <v>212</v>
      </c>
      <c r="AW3642" s="4">
        <v>42403</v>
      </c>
      <c r="BD3642">
        <v>53.9</v>
      </c>
      <c r="BN3642" t="s">
        <v>74</v>
      </c>
    </row>
    <row r="3643" spans="1:66" hidden="1">
      <c r="A3643">
        <v>101317</v>
      </c>
      <c r="B3643" s="3" t="s">
        <v>408</v>
      </c>
      <c r="C3643" s="1">
        <v>43300101</v>
      </c>
      <c r="D3643" t="s">
        <v>67</v>
      </c>
      <c r="H3643" t="str">
        <f t="shared" si="382"/>
        <v>DNGGTN52A01A783M</v>
      </c>
      <c r="I3643" t="str">
        <f t="shared" si="383"/>
        <v>00592310627</v>
      </c>
      <c r="K3643" t="str">
        <f>""</f>
        <v/>
      </c>
      <c r="M3643" t="s">
        <v>68</v>
      </c>
      <c r="N3643" t="str">
        <f t="shared" si="384"/>
        <v>FOR</v>
      </c>
      <c r="O3643" t="s">
        <v>69</v>
      </c>
      <c r="P3643" s="3" t="s">
        <v>75</v>
      </c>
      <c r="Q3643">
        <v>2015</v>
      </c>
      <c r="R3643" s="2">
        <v>42278</v>
      </c>
      <c r="S3643" s="2">
        <v>42279</v>
      </c>
      <c r="T3643" s="2">
        <v>42278</v>
      </c>
      <c r="U3643" s="2">
        <v>42338</v>
      </c>
      <c r="V3643" t="s">
        <v>71</v>
      </c>
      <c r="W3643" t="str">
        <f>"         000094-2015"</f>
        <v xml:space="preserve">         000094-2015</v>
      </c>
      <c r="X3643">
        <v>164.7</v>
      </c>
      <c r="Y3643">
        <v>0</v>
      </c>
      <c r="Z3643"/>
      <c r="AB3643"/>
      <c r="AC3643">
        <v>135</v>
      </c>
      <c r="AD3643">
        <v>65</v>
      </c>
      <c r="AE3643" s="1">
        <v>8775</v>
      </c>
      <c r="AF3643">
        <v>29.7</v>
      </c>
      <c r="AJ3643">
        <v>0</v>
      </c>
      <c r="AK3643">
        <v>0</v>
      </c>
      <c r="AL3643">
        <v>0</v>
      </c>
      <c r="AM3643">
        <v>0</v>
      </c>
      <c r="AN3643">
        <v>0</v>
      </c>
      <c r="AO3643">
        <v>0</v>
      </c>
      <c r="AP3643" s="2">
        <v>42746</v>
      </c>
      <c r="AQ3643" t="s">
        <v>72</v>
      </c>
      <c r="AR3643" t="s">
        <v>72</v>
      </c>
      <c r="AS3643">
        <v>212</v>
      </c>
      <c r="AT3643" s="4">
        <v>42403</v>
      </c>
      <c r="AU3643" t="s">
        <v>73</v>
      </c>
      <c r="AV3643">
        <v>212</v>
      </c>
      <c r="AW3643" s="4">
        <v>42403</v>
      </c>
      <c r="BD3643">
        <v>29.7</v>
      </c>
      <c r="BN3643" t="s">
        <v>74</v>
      </c>
    </row>
    <row r="3644" spans="1:66" hidden="1">
      <c r="A3644">
        <v>101317</v>
      </c>
      <c r="B3644" s="3" t="s">
        <v>408</v>
      </c>
      <c r="C3644" s="1">
        <v>43300101</v>
      </c>
      <c r="D3644" t="s">
        <v>67</v>
      </c>
      <c r="H3644" t="str">
        <f t="shared" si="382"/>
        <v>DNGGTN52A01A783M</v>
      </c>
      <c r="I3644" t="str">
        <f t="shared" si="383"/>
        <v>00592310627</v>
      </c>
      <c r="K3644" t="str">
        <f>""</f>
        <v/>
      </c>
      <c r="M3644" t="s">
        <v>68</v>
      </c>
      <c r="N3644" t="str">
        <f t="shared" si="384"/>
        <v>FOR</v>
      </c>
      <c r="O3644" t="s">
        <v>69</v>
      </c>
      <c r="P3644" s="3" t="s">
        <v>75</v>
      </c>
      <c r="Q3644">
        <v>2015</v>
      </c>
      <c r="R3644" s="2">
        <v>42278</v>
      </c>
      <c r="S3644" s="2">
        <v>42279</v>
      </c>
      <c r="T3644" s="2">
        <v>42278</v>
      </c>
      <c r="U3644" s="2">
        <v>42338</v>
      </c>
      <c r="V3644" t="s">
        <v>71</v>
      </c>
      <c r="W3644" t="str">
        <f>"         000095-2015"</f>
        <v xml:space="preserve">         000095-2015</v>
      </c>
      <c r="X3644">
        <v>151.28</v>
      </c>
      <c r="Y3644">
        <v>0</v>
      </c>
      <c r="Z3644"/>
      <c r="AB3644"/>
      <c r="AC3644">
        <v>124</v>
      </c>
      <c r="AD3644">
        <v>65</v>
      </c>
      <c r="AE3644" s="1">
        <v>8060</v>
      </c>
      <c r="AF3644">
        <v>27.28</v>
      </c>
      <c r="AJ3644">
        <v>0</v>
      </c>
      <c r="AK3644">
        <v>0</v>
      </c>
      <c r="AL3644">
        <v>0</v>
      </c>
      <c r="AM3644">
        <v>0</v>
      </c>
      <c r="AN3644">
        <v>0</v>
      </c>
      <c r="AO3644">
        <v>0</v>
      </c>
      <c r="AP3644" s="2">
        <v>42746</v>
      </c>
      <c r="AQ3644" t="s">
        <v>72</v>
      </c>
      <c r="AR3644" t="s">
        <v>72</v>
      </c>
      <c r="AS3644">
        <v>212</v>
      </c>
      <c r="AT3644" s="4">
        <v>42403</v>
      </c>
      <c r="AU3644" t="s">
        <v>73</v>
      </c>
      <c r="AV3644">
        <v>212</v>
      </c>
      <c r="AW3644" s="4">
        <v>42403</v>
      </c>
      <c r="BD3644">
        <v>27.28</v>
      </c>
      <c r="BN3644" t="s">
        <v>74</v>
      </c>
    </row>
    <row r="3645" spans="1:66" hidden="1">
      <c r="A3645">
        <v>101317</v>
      </c>
      <c r="B3645" s="3" t="s">
        <v>408</v>
      </c>
      <c r="C3645" s="1">
        <v>43300101</v>
      </c>
      <c r="D3645" t="s">
        <v>67</v>
      </c>
      <c r="H3645" t="str">
        <f t="shared" si="382"/>
        <v>DNGGTN52A01A783M</v>
      </c>
      <c r="I3645" t="str">
        <f t="shared" si="383"/>
        <v>00592310627</v>
      </c>
      <c r="K3645" t="str">
        <f>""</f>
        <v/>
      </c>
      <c r="M3645" t="s">
        <v>68</v>
      </c>
      <c r="N3645" t="str">
        <f t="shared" si="384"/>
        <v>FOR</v>
      </c>
      <c r="O3645" t="s">
        <v>69</v>
      </c>
      <c r="P3645" s="3" t="s">
        <v>75</v>
      </c>
      <c r="Q3645">
        <v>2015</v>
      </c>
      <c r="R3645" s="2">
        <v>42278</v>
      </c>
      <c r="S3645" s="2">
        <v>42279</v>
      </c>
      <c r="T3645" s="2">
        <v>42278</v>
      </c>
      <c r="U3645" s="2">
        <v>42338</v>
      </c>
      <c r="V3645" t="s">
        <v>71</v>
      </c>
      <c r="W3645" t="str">
        <f>"         000096-2015"</f>
        <v xml:space="preserve">         000096-2015</v>
      </c>
      <c r="X3645">
        <v>80.760000000000005</v>
      </c>
      <c r="Y3645">
        <v>0</v>
      </c>
      <c r="Z3645"/>
      <c r="AB3645"/>
      <c r="AC3645">
        <v>66.2</v>
      </c>
      <c r="AD3645">
        <v>65</v>
      </c>
      <c r="AE3645" s="1">
        <v>4303</v>
      </c>
      <c r="AF3645">
        <v>14.56</v>
      </c>
      <c r="AJ3645">
        <v>0</v>
      </c>
      <c r="AK3645">
        <v>0</v>
      </c>
      <c r="AL3645">
        <v>0</v>
      </c>
      <c r="AM3645">
        <v>0</v>
      </c>
      <c r="AN3645">
        <v>0</v>
      </c>
      <c r="AO3645">
        <v>0</v>
      </c>
      <c r="AP3645" s="2">
        <v>42746</v>
      </c>
      <c r="AQ3645" t="s">
        <v>72</v>
      </c>
      <c r="AR3645" t="s">
        <v>72</v>
      </c>
      <c r="AS3645">
        <v>212</v>
      </c>
      <c r="AT3645" s="4">
        <v>42403</v>
      </c>
      <c r="AU3645" t="s">
        <v>73</v>
      </c>
      <c r="AV3645">
        <v>212</v>
      </c>
      <c r="AW3645" s="4">
        <v>42403</v>
      </c>
      <c r="BD3645">
        <v>14.56</v>
      </c>
      <c r="BN3645" t="s">
        <v>74</v>
      </c>
    </row>
    <row r="3646" spans="1:66" hidden="1">
      <c r="A3646">
        <v>101317</v>
      </c>
      <c r="B3646" s="3" t="s">
        <v>408</v>
      </c>
      <c r="C3646" s="1">
        <v>43300101</v>
      </c>
      <c r="D3646" t="s">
        <v>67</v>
      </c>
      <c r="H3646" t="str">
        <f t="shared" si="382"/>
        <v>DNGGTN52A01A783M</v>
      </c>
      <c r="I3646" t="str">
        <f t="shared" si="383"/>
        <v>00592310627</v>
      </c>
      <c r="K3646" t="str">
        <f>""</f>
        <v/>
      </c>
      <c r="M3646" t="s">
        <v>68</v>
      </c>
      <c r="N3646" t="str">
        <f t="shared" si="384"/>
        <v>FOR</v>
      </c>
      <c r="O3646" t="s">
        <v>69</v>
      </c>
      <c r="P3646" s="3" t="s">
        <v>75</v>
      </c>
      <c r="Q3646">
        <v>2015</v>
      </c>
      <c r="R3646" s="2">
        <v>42278</v>
      </c>
      <c r="S3646" s="2">
        <v>42279</v>
      </c>
      <c r="T3646" s="2">
        <v>42278</v>
      </c>
      <c r="U3646" s="2">
        <v>42338</v>
      </c>
      <c r="V3646" t="s">
        <v>71</v>
      </c>
      <c r="W3646" t="str">
        <f>"         000097-2015"</f>
        <v xml:space="preserve">         000097-2015</v>
      </c>
      <c r="X3646">
        <v>478.24</v>
      </c>
      <c r="Y3646">
        <v>0</v>
      </c>
      <c r="Z3646"/>
      <c r="AB3646"/>
      <c r="AC3646">
        <v>392</v>
      </c>
      <c r="AD3646">
        <v>65</v>
      </c>
      <c r="AE3646" s="1">
        <v>25480</v>
      </c>
      <c r="AF3646">
        <v>86.24</v>
      </c>
      <c r="AJ3646">
        <v>0</v>
      </c>
      <c r="AK3646">
        <v>0</v>
      </c>
      <c r="AL3646">
        <v>0</v>
      </c>
      <c r="AM3646">
        <v>0</v>
      </c>
      <c r="AN3646">
        <v>0</v>
      </c>
      <c r="AO3646">
        <v>0</v>
      </c>
      <c r="AP3646" s="2">
        <v>42746</v>
      </c>
      <c r="AQ3646" t="s">
        <v>72</v>
      </c>
      <c r="AR3646" t="s">
        <v>72</v>
      </c>
      <c r="AS3646">
        <v>212</v>
      </c>
      <c r="AT3646" s="4">
        <v>42403</v>
      </c>
      <c r="AU3646" t="s">
        <v>73</v>
      </c>
      <c r="AV3646">
        <v>212</v>
      </c>
      <c r="AW3646" s="4">
        <v>42403</v>
      </c>
      <c r="BD3646">
        <v>86.24</v>
      </c>
      <c r="BN3646" t="s">
        <v>74</v>
      </c>
    </row>
    <row r="3647" spans="1:66" hidden="1">
      <c r="A3647">
        <v>101317</v>
      </c>
      <c r="B3647" s="3" t="s">
        <v>408</v>
      </c>
      <c r="C3647" s="1">
        <v>43300101</v>
      </c>
      <c r="D3647" t="s">
        <v>67</v>
      </c>
      <c r="H3647" t="str">
        <f t="shared" si="382"/>
        <v>DNGGTN52A01A783M</v>
      </c>
      <c r="I3647" t="str">
        <f t="shared" si="383"/>
        <v>00592310627</v>
      </c>
      <c r="K3647" t="str">
        <f>""</f>
        <v/>
      </c>
      <c r="M3647" t="s">
        <v>68</v>
      </c>
      <c r="N3647" t="str">
        <f t="shared" si="384"/>
        <v>FOR</v>
      </c>
      <c r="O3647" t="s">
        <v>69</v>
      </c>
      <c r="P3647" s="3" t="s">
        <v>75</v>
      </c>
      <c r="Q3647">
        <v>2015</v>
      </c>
      <c r="R3647" s="2">
        <v>42278</v>
      </c>
      <c r="S3647" s="2">
        <v>42279</v>
      </c>
      <c r="T3647" s="2">
        <v>42278</v>
      </c>
      <c r="U3647" s="2">
        <v>42338</v>
      </c>
      <c r="V3647" t="s">
        <v>71</v>
      </c>
      <c r="W3647" t="str">
        <f>"         000098-2015"</f>
        <v xml:space="preserve">         000098-2015</v>
      </c>
      <c r="X3647">
        <v>80.52</v>
      </c>
      <c r="Y3647">
        <v>0</v>
      </c>
      <c r="Z3647"/>
      <c r="AB3647"/>
      <c r="AC3647">
        <v>66</v>
      </c>
      <c r="AD3647">
        <v>65</v>
      </c>
      <c r="AE3647" s="1">
        <v>4290</v>
      </c>
      <c r="AF3647">
        <v>14.52</v>
      </c>
      <c r="AJ3647">
        <v>0</v>
      </c>
      <c r="AK3647">
        <v>0</v>
      </c>
      <c r="AL3647">
        <v>0</v>
      </c>
      <c r="AM3647">
        <v>0</v>
      </c>
      <c r="AN3647">
        <v>0</v>
      </c>
      <c r="AO3647">
        <v>0</v>
      </c>
      <c r="AP3647" s="2">
        <v>42746</v>
      </c>
      <c r="AQ3647" t="s">
        <v>72</v>
      </c>
      <c r="AR3647" t="s">
        <v>72</v>
      </c>
      <c r="AS3647">
        <v>212</v>
      </c>
      <c r="AT3647" s="4">
        <v>42403</v>
      </c>
      <c r="AU3647" t="s">
        <v>73</v>
      </c>
      <c r="AV3647">
        <v>212</v>
      </c>
      <c r="AW3647" s="4">
        <v>42403</v>
      </c>
      <c r="BD3647">
        <v>14.52</v>
      </c>
      <c r="BN3647" t="s">
        <v>74</v>
      </c>
    </row>
    <row r="3648" spans="1:66" hidden="1">
      <c r="A3648">
        <v>101317</v>
      </c>
      <c r="B3648" s="3" t="s">
        <v>408</v>
      </c>
      <c r="C3648" s="1">
        <v>43300101</v>
      </c>
      <c r="D3648" t="s">
        <v>67</v>
      </c>
      <c r="H3648" t="str">
        <f t="shared" si="382"/>
        <v>DNGGTN52A01A783M</v>
      </c>
      <c r="I3648" t="str">
        <f t="shared" si="383"/>
        <v>00592310627</v>
      </c>
      <c r="K3648" t="str">
        <f>""</f>
        <v/>
      </c>
      <c r="M3648" t="s">
        <v>68</v>
      </c>
      <c r="N3648" t="str">
        <f t="shared" si="384"/>
        <v>FOR</v>
      </c>
      <c r="O3648" t="s">
        <v>69</v>
      </c>
      <c r="P3648" s="3" t="s">
        <v>75</v>
      </c>
      <c r="Q3648">
        <v>2015</v>
      </c>
      <c r="R3648" s="2">
        <v>42320</v>
      </c>
      <c r="S3648" s="2">
        <v>42320</v>
      </c>
      <c r="T3648" s="2">
        <v>42320</v>
      </c>
      <c r="U3648" s="2">
        <v>42380</v>
      </c>
      <c r="V3648" t="s">
        <v>71</v>
      </c>
      <c r="W3648" t="str">
        <f>"         000102-2015"</f>
        <v xml:space="preserve">         000102-2015</v>
      </c>
      <c r="X3648">
        <v>97.36</v>
      </c>
      <c r="Y3648">
        <v>0</v>
      </c>
      <c r="Z3648"/>
      <c r="AB3648"/>
      <c r="AC3648">
        <v>79.8</v>
      </c>
      <c r="AD3648">
        <v>23</v>
      </c>
      <c r="AE3648" s="1">
        <v>1835.4</v>
      </c>
      <c r="AF3648">
        <v>17.559999999999999</v>
      </c>
      <c r="AJ3648">
        <v>0</v>
      </c>
      <c r="AK3648">
        <v>0</v>
      </c>
      <c r="AL3648">
        <v>0</v>
      </c>
      <c r="AM3648">
        <v>0</v>
      </c>
      <c r="AN3648">
        <v>0</v>
      </c>
      <c r="AO3648">
        <v>0</v>
      </c>
      <c r="AP3648" s="2">
        <v>42746</v>
      </c>
      <c r="AQ3648" t="s">
        <v>72</v>
      </c>
      <c r="AR3648" t="s">
        <v>72</v>
      </c>
      <c r="AS3648">
        <v>212</v>
      </c>
      <c r="AT3648" s="4">
        <v>42403</v>
      </c>
      <c r="AU3648" t="s">
        <v>73</v>
      </c>
      <c r="AV3648">
        <v>212</v>
      </c>
      <c r="AW3648" s="4">
        <v>42403</v>
      </c>
      <c r="BD3648">
        <v>17.559999999999999</v>
      </c>
      <c r="BN3648" t="s">
        <v>74</v>
      </c>
    </row>
    <row r="3649" spans="1:66" hidden="1">
      <c r="A3649">
        <v>101317</v>
      </c>
      <c r="B3649" s="3" t="s">
        <v>408</v>
      </c>
      <c r="C3649" s="1">
        <v>43300101</v>
      </c>
      <c r="D3649" t="s">
        <v>67</v>
      </c>
      <c r="H3649" t="str">
        <f t="shared" si="382"/>
        <v>DNGGTN52A01A783M</v>
      </c>
      <c r="I3649" t="str">
        <f t="shared" si="383"/>
        <v>00592310627</v>
      </c>
      <c r="K3649" t="str">
        <f>""</f>
        <v/>
      </c>
      <c r="M3649" t="s">
        <v>68</v>
      </c>
      <c r="N3649" t="str">
        <f t="shared" si="384"/>
        <v>FOR</v>
      </c>
      <c r="O3649" t="s">
        <v>69</v>
      </c>
      <c r="P3649" s="3" t="s">
        <v>75</v>
      </c>
      <c r="Q3649">
        <v>2015</v>
      </c>
      <c r="R3649" s="2">
        <v>42320</v>
      </c>
      <c r="S3649" s="2">
        <v>42321</v>
      </c>
      <c r="T3649" s="2">
        <v>42320</v>
      </c>
      <c r="U3649" s="2">
        <v>42380</v>
      </c>
      <c r="V3649" t="s">
        <v>71</v>
      </c>
      <c r="W3649" t="str">
        <f>"         000103-2015"</f>
        <v xml:space="preserve">         000103-2015</v>
      </c>
      <c r="X3649">
        <v>805.2</v>
      </c>
      <c r="Y3649">
        <v>0</v>
      </c>
      <c r="Z3649"/>
      <c r="AB3649"/>
      <c r="AC3649">
        <v>660</v>
      </c>
      <c r="AD3649">
        <v>23</v>
      </c>
      <c r="AE3649" s="1">
        <v>15180</v>
      </c>
      <c r="AF3649">
        <v>145.19999999999999</v>
      </c>
      <c r="AJ3649">
        <v>0</v>
      </c>
      <c r="AK3649">
        <v>0</v>
      </c>
      <c r="AL3649">
        <v>0</v>
      </c>
      <c r="AM3649">
        <v>0</v>
      </c>
      <c r="AN3649">
        <v>0</v>
      </c>
      <c r="AO3649">
        <v>0</v>
      </c>
      <c r="AP3649" s="2">
        <v>42746</v>
      </c>
      <c r="AQ3649" t="s">
        <v>72</v>
      </c>
      <c r="AR3649" t="s">
        <v>72</v>
      </c>
      <c r="AS3649">
        <v>212</v>
      </c>
      <c r="AT3649" s="4">
        <v>42403</v>
      </c>
      <c r="AU3649" t="s">
        <v>73</v>
      </c>
      <c r="AV3649">
        <v>212</v>
      </c>
      <c r="AW3649" s="4">
        <v>42403</v>
      </c>
      <c r="BD3649">
        <v>145.19999999999999</v>
      </c>
      <c r="BN3649" t="s">
        <v>74</v>
      </c>
    </row>
    <row r="3650" spans="1:66" hidden="1">
      <c r="A3650">
        <v>101317</v>
      </c>
      <c r="B3650" s="3" t="s">
        <v>408</v>
      </c>
      <c r="C3650" s="1">
        <v>43300101</v>
      </c>
      <c r="D3650" t="s">
        <v>67</v>
      </c>
      <c r="H3650" t="str">
        <f t="shared" si="382"/>
        <v>DNGGTN52A01A783M</v>
      </c>
      <c r="I3650" t="str">
        <f t="shared" si="383"/>
        <v>00592310627</v>
      </c>
      <c r="K3650" t="str">
        <f>""</f>
        <v/>
      </c>
      <c r="M3650" t="s">
        <v>68</v>
      </c>
      <c r="N3650" t="str">
        <f t="shared" si="384"/>
        <v>FOR</v>
      </c>
      <c r="O3650" t="s">
        <v>69</v>
      </c>
      <c r="P3650" s="3" t="s">
        <v>75</v>
      </c>
      <c r="Q3650">
        <v>2015</v>
      </c>
      <c r="R3650" s="2">
        <v>42320</v>
      </c>
      <c r="S3650" s="2">
        <v>42321</v>
      </c>
      <c r="T3650" s="2">
        <v>42320</v>
      </c>
      <c r="U3650" s="2">
        <v>42380</v>
      </c>
      <c r="V3650" t="s">
        <v>71</v>
      </c>
      <c r="W3650" t="str">
        <f>"         000104-2015"</f>
        <v xml:space="preserve">         000104-2015</v>
      </c>
      <c r="X3650">
        <v>24.28</v>
      </c>
      <c r="Y3650">
        <v>0</v>
      </c>
      <c r="Z3650"/>
      <c r="AB3650"/>
      <c r="AC3650">
        <v>19.899999999999999</v>
      </c>
      <c r="AD3650">
        <v>23</v>
      </c>
      <c r="AE3650">
        <v>457.7</v>
      </c>
      <c r="AF3650">
        <v>4.38</v>
      </c>
      <c r="AJ3650">
        <v>0</v>
      </c>
      <c r="AK3650">
        <v>0</v>
      </c>
      <c r="AL3650">
        <v>0</v>
      </c>
      <c r="AM3650">
        <v>0</v>
      </c>
      <c r="AN3650">
        <v>0</v>
      </c>
      <c r="AO3650">
        <v>0</v>
      </c>
      <c r="AP3650" s="2">
        <v>42746</v>
      </c>
      <c r="AQ3650" t="s">
        <v>72</v>
      </c>
      <c r="AR3650" t="s">
        <v>72</v>
      </c>
      <c r="AS3650">
        <v>212</v>
      </c>
      <c r="AT3650" s="4">
        <v>42403</v>
      </c>
      <c r="AU3650" t="s">
        <v>73</v>
      </c>
      <c r="AV3650">
        <v>212</v>
      </c>
      <c r="AW3650" s="4">
        <v>42403</v>
      </c>
      <c r="BD3650">
        <v>4.38</v>
      </c>
      <c r="BN3650" t="s">
        <v>74</v>
      </c>
    </row>
    <row r="3651" spans="1:66" hidden="1">
      <c r="A3651">
        <v>101317</v>
      </c>
      <c r="B3651" s="3" t="s">
        <v>408</v>
      </c>
      <c r="C3651" s="1">
        <v>43300101</v>
      </c>
      <c r="D3651" t="s">
        <v>67</v>
      </c>
      <c r="H3651" t="str">
        <f t="shared" si="382"/>
        <v>DNGGTN52A01A783M</v>
      </c>
      <c r="I3651" t="str">
        <f t="shared" si="383"/>
        <v>00592310627</v>
      </c>
      <c r="K3651" t="str">
        <f>""</f>
        <v/>
      </c>
      <c r="M3651" t="s">
        <v>68</v>
      </c>
      <c r="N3651" t="str">
        <f t="shared" si="384"/>
        <v>FOR</v>
      </c>
      <c r="O3651" t="s">
        <v>69</v>
      </c>
      <c r="P3651" s="3" t="s">
        <v>75</v>
      </c>
      <c r="Q3651">
        <v>2015</v>
      </c>
      <c r="R3651" s="2">
        <v>42320</v>
      </c>
      <c r="S3651" s="2">
        <v>42321</v>
      </c>
      <c r="T3651" s="2">
        <v>42320</v>
      </c>
      <c r="U3651" s="2">
        <v>42380</v>
      </c>
      <c r="V3651" t="s">
        <v>71</v>
      </c>
      <c r="W3651" t="str">
        <f>"         000105-2015"</f>
        <v xml:space="preserve">         000105-2015</v>
      </c>
      <c r="X3651">
        <v>619.76</v>
      </c>
      <c r="Y3651">
        <v>0</v>
      </c>
      <c r="Z3651"/>
      <c r="AB3651"/>
      <c r="AC3651">
        <v>508</v>
      </c>
      <c r="AD3651">
        <v>23</v>
      </c>
      <c r="AE3651" s="1">
        <v>11684</v>
      </c>
      <c r="AF3651">
        <v>111.76</v>
      </c>
      <c r="AJ3651">
        <v>0</v>
      </c>
      <c r="AK3651">
        <v>0</v>
      </c>
      <c r="AL3651">
        <v>0</v>
      </c>
      <c r="AM3651">
        <v>0</v>
      </c>
      <c r="AN3651">
        <v>0</v>
      </c>
      <c r="AO3651">
        <v>0</v>
      </c>
      <c r="AP3651" s="2">
        <v>42746</v>
      </c>
      <c r="AQ3651" t="s">
        <v>72</v>
      </c>
      <c r="AR3651" t="s">
        <v>72</v>
      </c>
      <c r="AS3651">
        <v>212</v>
      </c>
      <c r="AT3651" s="4">
        <v>42403</v>
      </c>
      <c r="AU3651" t="s">
        <v>73</v>
      </c>
      <c r="AV3651">
        <v>212</v>
      </c>
      <c r="AW3651" s="4">
        <v>42403</v>
      </c>
      <c r="BD3651">
        <v>111.76</v>
      </c>
      <c r="BN3651" t="s">
        <v>74</v>
      </c>
    </row>
    <row r="3652" spans="1:66" hidden="1">
      <c r="A3652">
        <v>101317</v>
      </c>
      <c r="B3652" s="3" t="s">
        <v>408</v>
      </c>
      <c r="C3652" s="1">
        <v>43300101</v>
      </c>
      <c r="D3652" t="s">
        <v>67</v>
      </c>
      <c r="H3652" t="str">
        <f t="shared" si="382"/>
        <v>DNGGTN52A01A783M</v>
      </c>
      <c r="I3652" t="str">
        <f t="shared" si="383"/>
        <v>00592310627</v>
      </c>
      <c r="K3652" t="str">
        <f>""</f>
        <v/>
      </c>
      <c r="M3652" t="s">
        <v>68</v>
      </c>
      <c r="N3652" t="str">
        <f t="shared" si="384"/>
        <v>FOR</v>
      </c>
      <c r="O3652" t="s">
        <v>69</v>
      </c>
      <c r="P3652" s="3" t="s">
        <v>75</v>
      </c>
      <c r="Q3652">
        <v>2015</v>
      </c>
      <c r="R3652" s="2">
        <v>42321</v>
      </c>
      <c r="S3652" s="2">
        <v>42325</v>
      </c>
      <c r="T3652" s="2">
        <v>42321</v>
      </c>
      <c r="U3652" s="2">
        <v>42381</v>
      </c>
      <c r="V3652" t="s">
        <v>71</v>
      </c>
      <c r="W3652" t="str">
        <f>"         000106-2015"</f>
        <v xml:space="preserve">         000106-2015</v>
      </c>
      <c r="X3652" s="1">
        <v>3150.28</v>
      </c>
      <c r="Y3652">
        <v>0</v>
      </c>
      <c r="Z3652"/>
      <c r="AB3652"/>
      <c r="AC3652" s="1">
        <v>2582.1999999999998</v>
      </c>
      <c r="AD3652">
        <v>185</v>
      </c>
      <c r="AE3652" s="1">
        <v>477707</v>
      </c>
      <c r="AF3652">
        <v>0</v>
      </c>
      <c r="AJ3652">
        <v>0</v>
      </c>
      <c r="AK3652">
        <v>0</v>
      </c>
      <c r="AL3652">
        <v>0</v>
      </c>
      <c r="AM3652">
        <v>0</v>
      </c>
      <c r="AN3652">
        <v>0</v>
      </c>
      <c r="AO3652">
        <v>0</v>
      </c>
      <c r="AP3652" s="2">
        <v>42746</v>
      </c>
      <c r="AQ3652" t="s">
        <v>72</v>
      </c>
      <c r="AR3652" t="s">
        <v>72</v>
      </c>
      <c r="AS3652">
        <v>1816</v>
      </c>
      <c r="AT3652" s="4">
        <v>42566</v>
      </c>
      <c r="AU3652" t="s">
        <v>73</v>
      </c>
      <c r="AV3652">
        <v>1816</v>
      </c>
      <c r="AW3652" s="4">
        <v>42566</v>
      </c>
      <c r="BD3652">
        <v>0</v>
      </c>
      <c r="BN3652" t="s">
        <v>74</v>
      </c>
    </row>
    <row r="3653" spans="1:66" hidden="1">
      <c r="A3653">
        <v>101317</v>
      </c>
      <c r="B3653" s="3" t="s">
        <v>408</v>
      </c>
      <c r="C3653" s="1">
        <v>43300101</v>
      </c>
      <c r="D3653" t="s">
        <v>67</v>
      </c>
      <c r="H3653" t="str">
        <f t="shared" si="382"/>
        <v>DNGGTN52A01A783M</v>
      </c>
      <c r="I3653" t="str">
        <f t="shared" si="383"/>
        <v>00592310627</v>
      </c>
      <c r="K3653" t="str">
        <f>""</f>
        <v/>
      </c>
      <c r="M3653" t="s">
        <v>68</v>
      </c>
      <c r="N3653" t="str">
        <f t="shared" si="384"/>
        <v>FOR</v>
      </c>
      <c r="O3653" t="s">
        <v>69</v>
      </c>
      <c r="P3653" s="3" t="s">
        <v>75</v>
      </c>
      <c r="Q3653">
        <v>2015</v>
      </c>
      <c r="R3653" s="2">
        <v>42321</v>
      </c>
      <c r="S3653" s="2">
        <v>42325</v>
      </c>
      <c r="T3653" s="2">
        <v>42321</v>
      </c>
      <c r="U3653" s="2">
        <v>42381</v>
      </c>
      <c r="V3653" t="s">
        <v>71</v>
      </c>
      <c r="W3653" t="str">
        <f>"         000107-2015"</f>
        <v xml:space="preserve">         000107-2015</v>
      </c>
      <c r="X3653">
        <v>115.9</v>
      </c>
      <c r="Y3653">
        <v>0</v>
      </c>
      <c r="Z3653"/>
      <c r="AB3653"/>
      <c r="AC3653">
        <v>95</v>
      </c>
      <c r="AD3653">
        <v>22</v>
      </c>
      <c r="AE3653" s="1">
        <v>2090</v>
      </c>
      <c r="AF3653">
        <v>20.9</v>
      </c>
      <c r="AJ3653">
        <v>0</v>
      </c>
      <c r="AK3653">
        <v>0</v>
      </c>
      <c r="AL3653">
        <v>0</v>
      </c>
      <c r="AM3653">
        <v>0</v>
      </c>
      <c r="AN3653">
        <v>0</v>
      </c>
      <c r="AO3653">
        <v>0</v>
      </c>
      <c r="AP3653" s="2">
        <v>42746</v>
      </c>
      <c r="AQ3653" t="s">
        <v>72</v>
      </c>
      <c r="AR3653" t="s">
        <v>72</v>
      </c>
      <c r="AS3653">
        <v>212</v>
      </c>
      <c r="AT3653" s="4">
        <v>42403</v>
      </c>
      <c r="AU3653" t="s">
        <v>73</v>
      </c>
      <c r="AV3653">
        <v>212</v>
      </c>
      <c r="AW3653" s="4">
        <v>42403</v>
      </c>
      <c r="BD3653">
        <v>20.9</v>
      </c>
      <c r="BN3653" t="s">
        <v>74</v>
      </c>
    </row>
    <row r="3654" spans="1:66" hidden="1">
      <c r="A3654">
        <v>101317</v>
      </c>
      <c r="B3654" s="3" t="s">
        <v>408</v>
      </c>
      <c r="C3654" s="1">
        <v>43300101</v>
      </c>
      <c r="D3654" t="s">
        <v>67</v>
      </c>
      <c r="H3654" t="str">
        <f t="shared" si="382"/>
        <v>DNGGTN52A01A783M</v>
      </c>
      <c r="I3654" t="str">
        <f t="shared" si="383"/>
        <v>00592310627</v>
      </c>
      <c r="K3654" t="str">
        <f>""</f>
        <v/>
      </c>
      <c r="M3654" t="s">
        <v>68</v>
      </c>
      <c r="N3654" t="str">
        <f t="shared" si="384"/>
        <v>FOR</v>
      </c>
      <c r="O3654" t="s">
        <v>69</v>
      </c>
      <c r="P3654" s="3" t="s">
        <v>75</v>
      </c>
      <c r="Q3654">
        <v>2015</v>
      </c>
      <c r="R3654" s="2">
        <v>42321</v>
      </c>
      <c r="S3654" s="2">
        <v>42325</v>
      </c>
      <c r="T3654" s="2">
        <v>42321</v>
      </c>
      <c r="U3654" s="2">
        <v>42381</v>
      </c>
      <c r="V3654" t="s">
        <v>71</v>
      </c>
      <c r="W3654" t="str">
        <f>"         000108-2015"</f>
        <v xml:space="preserve">         000108-2015</v>
      </c>
      <c r="X3654">
        <v>546.55999999999995</v>
      </c>
      <c r="Y3654">
        <v>0</v>
      </c>
      <c r="Z3654"/>
      <c r="AB3654"/>
      <c r="AC3654">
        <v>448</v>
      </c>
      <c r="AD3654">
        <v>22</v>
      </c>
      <c r="AE3654" s="1">
        <v>9856</v>
      </c>
      <c r="AF3654">
        <v>98.56</v>
      </c>
      <c r="AJ3654">
        <v>0</v>
      </c>
      <c r="AK3654">
        <v>0</v>
      </c>
      <c r="AL3654">
        <v>0</v>
      </c>
      <c r="AM3654">
        <v>0</v>
      </c>
      <c r="AN3654">
        <v>0</v>
      </c>
      <c r="AO3654">
        <v>0</v>
      </c>
      <c r="AP3654" s="2">
        <v>42746</v>
      </c>
      <c r="AQ3654" t="s">
        <v>72</v>
      </c>
      <c r="AR3654" t="s">
        <v>72</v>
      </c>
      <c r="AS3654">
        <v>212</v>
      </c>
      <c r="AT3654" s="4">
        <v>42403</v>
      </c>
      <c r="AU3654" t="s">
        <v>73</v>
      </c>
      <c r="AV3654">
        <v>212</v>
      </c>
      <c r="AW3654" s="4">
        <v>42403</v>
      </c>
      <c r="BD3654">
        <v>98.56</v>
      </c>
      <c r="BN3654" t="s">
        <v>74</v>
      </c>
    </row>
    <row r="3655" spans="1:66" hidden="1">
      <c r="A3655">
        <v>101317</v>
      </c>
      <c r="B3655" s="3" t="s">
        <v>408</v>
      </c>
      <c r="C3655" s="1">
        <v>43300101</v>
      </c>
      <c r="D3655" t="s">
        <v>67</v>
      </c>
      <c r="H3655" t="str">
        <f t="shared" si="382"/>
        <v>DNGGTN52A01A783M</v>
      </c>
      <c r="I3655" t="str">
        <f t="shared" si="383"/>
        <v>00592310627</v>
      </c>
      <c r="K3655" t="str">
        <f>""</f>
        <v/>
      </c>
      <c r="M3655" t="s">
        <v>68</v>
      </c>
      <c r="N3655" t="str">
        <f t="shared" si="384"/>
        <v>FOR</v>
      </c>
      <c r="O3655" t="s">
        <v>69</v>
      </c>
      <c r="P3655" s="3" t="s">
        <v>75</v>
      </c>
      <c r="Q3655">
        <v>2015</v>
      </c>
      <c r="R3655" s="2">
        <v>42321</v>
      </c>
      <c r="S3655" s="2">
        <v>42325</v>
      </c>
      <c r="T3655" s="2">
        <v>42321</v>
      </c>
      <c r="U3655" s="2">
        <v>42381</v>
      </c>
      <c r="V3655" t="s">
        <v>71</v>
      </c>
      <c r="W3655" t="str">
        <f>"         000109-2015"</f>
        <v xml:space="preserve">         000109-2015</v>
      </c>
      <c r="X3655">
        <v>219.6</v>
      </c>
      <c r="Y3655">
        <v>0</v>
      </c>
      <c r="Z3655"/>
      <c r="AB3655"/>
      <c r="AC3655">
        <v>180</v>
      </c>
      <c r="AD3655">
        <v>22</v>
      </c>
      <c r="AE3655" s="1">
        <v>3960</v>
      </c>
      <c r="AF3655">
        <v>39.6</v>
      </c>
      <c r="AJ3655">
        <v>0</v>
      </c>
      <c r="AK3655">
        <v>0</v>
      </c>
      <c r="AL3655">
        <v>0</v>
      </c>
      <c r="AM3655">
        <v>0</v>
      </c>
      <c r="AN3655">
        <v>0</v>
      </c>
      <c r="AO3655">
        <v>0</v>
      </c>
      <c r="AP3655" s="2">
        <v>42746</v>
      </c>
      <c r="AQ3655" t="s">
        <v>72</v>
      </c>
      <c r="AR3655" t="s">
        <v>72</v>
      </c>
      <c r="AS3655">
        <v>212</v>
      </c>
      <c r="AT3655" s="4">
        <v>42403</v>
      </c>
      <c r="AU3655" t="s">
        <v>73</v>
      </c>
      <c r="AV3655">
        <v>212</v>
      </c>
      <c r="AW3655" s="4">
        <v>42403</v>
      </c>
      <c r="BD3655">
        <v>39.6</v>
      </c>
      <c r="BN3655" t="s">
        <v>74</v>
      </c>
    </row>
    <row r="3656" spans="1:66" hidden="1">
      <c r="A3656">
        <v>101317</v>
      </c>
      <c r="B3656" s="3" t="s">
        <v>408</v>
      </c>
      <c r="C3656" s="1">
        <v>43300101</v>
      </c>
      <c r="D3656" t="s">
        <v>67</v>
      </c>
      <c r="H3656" t="str">
        <f t="shared" si="382"/>
        <v>DNGGTN52A01A783M</v>
      </c>
      <c r="I3656" t="str">
        <f t="shared" si="383"/>
        <v>00592310627</v>
      </c>
      <c r="K3656" t="str">
        <f>""</f>
        <v/>
      </c>
      <c r="M3656" t="s">
        <v>68</v>
      </c>
      <c r="N3656" t="str">
        <f t="shared" si="384"/>
        <v>FOR</v>
      </c>
      <c r="O3656" t="s">
        <v>69</v>
      </c>
      <c r="P3656" s="3" t="s">
        <v>75</v>
      </c>
      <c r="Q3656">
        <v>2015</v>
      </c>
      <c r="R3656" s="2">
        <v>42321</v>
      </c>
      <c r="S3656" s="2">
        <v>42325</v>
      </c>
      <c r="T3656" s="2">
        <v>42321</v>
      </c>
      <c r="U3656" s="2">
        <v>42381</v>
      </c>
      <c r="V3656" t="s">
        <v>71</v>
      </c>
      <c r="W3656" t="str">
        <f>"         000110-2015"</f>
        <v xml:space="preserve">         000110-2015</v>
      </c>
      <c r="X3656">
        <v>54.9</v>
      </c>
      <c r="Y3656">
        <v>0</v>
      </c>
      <c r="Z3656"/>
      <c r="AB3656"/>
      <c r="AC3656">
        <v>45</v>
      </c>
      <c r="AD3656">
        <v>22</v>
      </c>
      <c r="AE3656">
        <v>990</v>
      </c>
      <c r="AF3656">
        <v>9.9</v>
      </c>
      <c r="AJ3656">
        <v>0</v>
      </c>
      <c r="AK3656">
        <v>0</v>
      </c>
      <c r="AL3656">
        <v>0</v>
      </c>
      <c r="AM3656">
        <v>0</v>
      </c>
      <c r="AN3656">
        <v>0</v>
      </c>
      <c r="AO3656">
        <v>0</v>
      </c>
      <c r="AP3656" s="2">
        <v>42746</v>
      </c>
      <c r="AQ3656" t="s">
        <v>72</v>
      </c>
      <c r="AR3656" t="s">
        <v>72</v>
      </c>
      <c r="AS3656">
        <v>212</v>
      </c>
      <c r="AT3656" s="4">
        <v>42403</v>
      </c>
      <c r="AU3656" t="s">
        <v>73</v>
      </c>
      <c r="AV3656">
        <v>212</v>
      </c>
      <c r="AW3656" s="4">
        <v>42403</v>
      </c>
      <c r="BD3656">
        <v>9.9</v>
      </c>
      <c r="BN3656" t="s">
        <v>74</v>
      </c>
    </row>
    <row r="3657" spans="1:66" hidden="1">
      <c r="A3657">
        <v>101317</v>
      </c>
      <c r="B3657" s="3" t="s">
        <v>408</v>
      </c>
      <c r="C3657" s="1">
        <v>43300101</v>
      </c>
      <c r="D3657" t="s">
        <v>67</v>
      </c>
      <c r="H3657" t="str">
        <f t="shared" si="382"/>
        <v>DNGGTN52A01A783M</v>
      </c>
      <c r="I3657" t="str">
        <f t="shared" si="383"/>
        <v>00592310627</v>
      </c>
      <c r="K3657" t="str">
        <f>""</f>
        <v/>
      </c>
      <c r="M3657" t="s">
        <v>68</v>
      </c>
      <c r="N3657" t="str">
        <f t="shared" si="384"/>
        <v>FOR</v>
      </c>
      <c r="O3657" t="s">
        <v>69</v>
      </c>
      <c r="P3657" s="3" t="s">
        <v>75</v>
      </c>
      <c r="Q3657">
        <v>2015</v>
      </c>
      <c r="R3657" s="2">
        <v>42321</v>
      </c>
      <c r="S3657" s="2">
        <v>42325</v>
      </c>
      <c r="T3657" s="2">
        <v>42321</v>
      </c>
      <c r="U3657" s="2">
        <v>42381</v>
      </c>
      <c r="V3657" t="s">
        <v>71</v>
      </c>
      <c r="W3657" t="str">
        <f>"         000111-2015"</f>
        <v xml:space="preserve">         000111-2015</v>
      </c>
      <c r="X3657">
        <v>112.24</v>
      </c>
      <c r="Y3657">
        <v>0</v>
      </c>
      <c r="Z3657"/>
      <c r="AB3657"/>
      <c r="AC3657">
        <v>92</v>
      </c>
      <c r="AD3657">
        <v>22</v>
      </c>
      <c r="AE3657" s="1">
        <v>2024</v>
      </c>
      <c r="AF3657">
        <v>20.239999999999998</v>
      </c>
      <c r="AJ3657">
        <v>0</v>
      </c>
      <c r="AK3657">
        <v>0</v>
      </c>
      <c r="AL3657">
        <v>0</v>
      </c>
      <c r="AM3657">
        <v>0</v>
      </c>
      <c r="AN3657">
        <v>0</v>
      </c>
      <c r="AO3657">
        <v>0</v>
      </c>
      <c r="AP3657" s="2">
        <v>42746</v>
      </c>
      <c r="AQ3657" t="s">
        <v>72</v>
      </c>
      <c r="AR3657" t="s">
        <v>72</v>
      </c>
      <c r="AS3657">
        <v>212</v>
      </c>
      <c r="AT3657" s="4">
        <v>42403</v>
      </c>
      <c r="AU3657" t="s">
        <v>73</v>
      </c>
      <c r="AV3657">
        <v>212</v>
      </c>
      <c r="AW3657" s="4">
        <v>42403</v>
      </c>
      <c r="BD3657">
        <v>20.239999999999998</v>
      </c>
      <c r="BN3657" t="s">
        <v>74</v>
      </c>
    </row>
    <row r="3658" spans="1:66" hidden="1">
      <c r="A3658">
        <v>101317</v>
      </c>
      <c r="B3658" s="3" t="s">
        <v>408</v>
      </c>
      <c r="C3658" s="1">
        <v>43300101</v>
      </c>
      <c r="D3658" t="s">
        <v>67</v>
      </c>
      <c r="H3658" t="str">
        <f t="shared" si="382"/>
        <v>DNGGTN52A01A783M</v>
      </c>
      <c r="I3658" t="str">
        <f t="shared" si="383"/>
        <v>00592310627</v>
      </c>
      <c r="K3658" t="str">
        <f>""</f>
        <v/>
      </c>
      <c r="M3658" t="s">
        <v>68</v>
      </c>
      <c r="N3658" t="str">
        <f t="shared" si="384"/>
        <v>FOR</v>
      </c>
      <c r="O3658" t="s">
        <v>69</v>
      </c>
      <c r="P3658" s="3" t="s">
        <v>75</v>
      </c>
      <c r="Q3658">
        <v>2015</v>
      </c>
      <c r="R3658" s="2">
        <v>42321</v>
      </c>
      <c r="S3658" s="2">
        <v>42325</v>
      </c>
      <c r="T3658" s="2">
        <v>42321</v>
      </c>
      <c r="U3658" s="2">
        <v>42381</v>
      </c>
      <c r="V3658" t="s">
        <v>71</v>
      </c>
      <c r="W3658" t="str">
        <f>"         000112-2015"</f>
        <v xml:space="preserve">         000112-2015</v>
      </c>
      <c r="X3658">
        <v>219.6</v>
      </c>
      <c r="Y3658">
        <v>0</v>
      </c>
      <c r="Z3658"/>
      <c r="AB3658"/>
      <c r="AC3658">
        <v>180</v>
      </c>
      <c r="AD3658">
        <v>22</v>
      </c>
      <c r="AE3658" s="1">
        <v>3960</v>
      </c>
      <c r="AF3658">
        <v>39.6</v>
      </c>
      <c r="AJ3658">
        <v>0</v>
      </c>
      <c r="AK3658">
        <v>0</v>
      </c>
      <c r="AL3658">
        <v>0</v>
      </c>
      <c r="AM3658">
        <v>0</v>
      </c>
      <c r="AN3658">
        <v>0</v>
      </c>
      <c r="AO3658">
        <v>0</v>
      </c>
      <c r="AP3658" s="2">
        <v>42746</v>
      </c>
      <c r="AQ3658" t="s">
        <v>72</v>
      </c>
      <c r="AR3658" t="s">
        <v>72</v>
      </c>
      <c r="AS3658">
        <v>212</v>
      </c>
      <c r="AT3658" s="4">
        <v>42403</v>
      </c>
      <c r="AU3658" t="s">
        <v>73</v>
      </c>
      <c r="AV3658">
        <v>212</v>
      </c>
      <c r="AW3658" s="4">
        <v>42403</v>
      </c>
      <c r="BD3658">
        <v>39.6</v>
      </c>
      <c r="BN3658" t="s">
        <v>74</v>
      </c>
    </row>
    <row r="3659" spans="1:66" hidden="1">
      <c r="A3659">
        <v>101317</v>
      </c>
      <c r="B3659" s="3" t="s">
        <v>408</v>
      </c>
      <c r="C3659" s="1">
        <v>43300101</v>
      </c>
      <c r="D3659" t="s">
        <v>67</v>
      </c>
      <c r="H3659" t="str">
        <f t="shared" si="382"/>
        <v>DNGGTN52A01A783M</v>
      </c>
      <c r="I3659" t="str">
        <f t="shared" si="383"/>
        <v>00592310627</v>
      </c>
      <c r="K3659" t="str">
        <f>""</f>
        <v/>
      </c>
      <c r="M3659" t="s">
        <v>68</v>
      </c>
      <c r="N3659" t="str">
        <f t="shared" si="384"/>
        <v>FOR</v>
      </c>
      <c r="O3659" t="s">
        <v>69</v>
      </c>
      <c r="P3659" s="3" t="s">
        <v>75</v>
      </c>
      <c r="Q3659">
        <v>2015</v>
      </c>
      <c r="R3659" s="2">
        <v>42321</v>
      </c>
      <c r="S3659" s="2">
        <v>42325</v>
      </c>
      <c r="T3659" s="2">
        <v>42321</v>
      </c>
      <c r="U3659" s="2">
        <v>42381</v>
      </c>
      <c r="V3659" t="s">
        <v>71</v>
      </c>
      <c r="W3659" t="str">
        <f>"         000113-2015"</f>
        <v xml:space="preserve">         000113-2015</v>
      </c>
      <c r="X3659">
        <v>120.17</v>
      </c>
      <c r="Y3659">
        <v>0</v>
      </c>
      <c r="Z3659"/>
      <c r="AB3659"/>
      <c r="AC3659">
        <v>98.5</v>
      </c>
      <c r="AD3659">
        <v>22</v>
      </c>
      <c r="AE3659" s="1">
        <v>2167</v>
      </c>
      <c r="AF3659">
        <v>21.67</v>
      </c>
      <c r="AJ3659">
        <v>0</v>
      </c>
      <c r="AK3659">
        <v>0</v>
      </c>
      <c r="AL3659">
        <v>0</v>
      </c>
      <c r="AM3659">
        <v>0</v>
      </c>
      <c r="AN3659">
        <v>0</v>
      </c>
      <c r="AO3659">
        <v>0</v>
      </c>
      <c r="AP3659" s="2">
        <v>42746</v>
      </c>
      <c r="AQ3659" t="s">
        <v>72</v>
      </c>
      <c r="AR3659" t="s">
        <v>72</v>
      </c>
      <c r="AS3659">
        <v>212</v>
      </c>
      <c r="AT3659" s="4">
        <v>42403</v>
      </c>
      <c r="AU3659" t="s">
        <v>73</v>
      </c>
      <c r="AV3659">
        <v>212</v>
      </c>
      <c r="AW3659" s="4">
        <v>42403</v>
      </c>
      <c r="BD3659">
        <v>21.67</v>
      </c>
      <c r="BN3659" t="s">
        <v>74</v>
      </c>
    </row>
    <row r="3660" spans="1:66" hidden="1">
      <c r="A3660">
        <v>101317</v>
      </c>
      <c r="B3660" s="3" t="s">
        <v>408</v>
      </c>
      <c r="C3660" s="1">
        <v>43300101</v>
      </c>
      <c r="D3660" t="s">
        <v>67</v>
      </c>
      <c r="H3660" t="str">
        <f t="shared" si="382"/>
        <v>DNGGTN52A01A783M</v>
      </c>
      <c r="I3660" t="str">
        <f t="shared" si="383"/>
        <v>00592310627</v>
      </c>
      <c r="K3660" t="str">
        <f>""</f>
        <v/>
      </c>
      <c r="M3660" t="s">
        <v>68</v>
      </c>
      <c r="N3660" t="str">
        <f t="shared" si="384"/>
        <v>FOR</v>
      </c>
      <c r="O3660" t="s">
        <v>69</v>
      </c>
      <c r="P3660" s="3" t="s">
        <v>75</v>
      </c>
      <c r="Q3660">
        <v>2015</v>
      </c>
      <c r="R3660" s="2">
        <v>42321</v>
      </c>
      <c r="S3660" s="2">
        <v>42325</v>
      </c>
      <c r="T3660" s="2">
        <v>42321</v>
      </c>
      <c r="U3660" s="2">
        <v>42381</v>
      </c>
      <c r="V3660" t="s">
        <v>71</v>
      </c>
      <c r="W3660" t="str">
        <f>"         000114-2015"</f>
        <v xml:space="preserve">         000114-2015</v>
      </c>
      <c r="X3660">
        <v>97.48</v>
      </c>
      <c r="Y3660">
        <v>0</v>
      </c>
      <c r="Z3660"/>
      <c r="AB3660"/>
      <c r="AC3660">
        <v>79.900000000000006</v>
      </c>
      <c r="AD3660">
        <v>22</v>
      </c>
      <c r="AE3660" s="1">
        <v>1757.8</v>
      </c>
      <c r="AF3660">
        <v>17.579999999999998</v>
      </c>
      <c r="AJ3660">
        <v>0</v>
      </c>
      <c r="AK3660">
        <v>0</v>
      </c>
      <c r="AL3660">
        <v>0</v>
      </c>
      <c r="AM3660">
        <v>0</v>
      </c>
      <c r="AN3660">
        <v>0</v>
      </c>
      <c r="AO3660">
        <v>0</v>
      </c>
      <c r="AP3660" s="2">
        <v>42746</v>
      </c>
      <c r="AQ3660" t="s">
        <v>72</v>
      </c>
      <c r="AR3660" t="s">
        <v>72</v>
      </c>
      <c r="AS3660">
        <v>212</v>
      </c>
      <c r="AT3660" s="4">
        <v>42403</v>
      </c>
      <c r="AU3660" t="s">
        <v>73</v>
      </c>
      <c r="AV3660">
        <v>212</v>
      </c>
      <c r="AW3660" s="4">
        <v>42403</v>
      </c>
      <c r="BD3660">
        <v>17.579999999999998</v>
      </c>
      <c r="BN3660" t="s">
        <v>74</v>
      </c>
    </row>
    <row r="3661" spans="1:66" hidden="1">
      <c r="A3661">
        <v>101317</v>
      </c>
      <c r="B3661" s="3" t="s">
        <v>408</v>
      </c>
      <c r="C3661" s="1">
        <v>43300101</v>
      </c>
      <c r="D3661" t="s">
        <v>67</v>
      </c>
      <c r="H3661" t="str">
        <f t="shared" si="382"/>
        <v>DNGGTN52A01A783M</v>
      </c>
      <c r="I3661" t="str">
        <f t="shared" si="383"/>
        <v>00592310627</v>
      </c>
      <c r="K3661" t="str">
        <f>""</f>
        <v/>
      </c>
      <c r="M3661" t="s">
        <v>68</v>
      </c>
      <c r="N3661" t="str">
        <f t="shared" si="384"/>
        <v>FOR</v>
      </c>
      <c r="O3661" t="s">
        <v>69</v>
      </c>
      <c r="P3661" s="3" t="s">
        <v>75</v>
      </c>
      <c r="Q3661">
        <v>2015</v>
      </c>
      <c r="R3661" s="2">
        <v>42321</v>
      </c>
      <c r="S3661" s="2">
        <v>42325</v>
      </c>
      <c r="T3661" s="2">
        <v>42321</v>
      </c>
      <c r="U3661" s="2">
        <v>42381</v>
      </c>
      <c r="V3661" t="s">
        <v>71</v>
      </c>
      <c r="W3661" t="str">
        <f>"         000115-2015"</f>
        <v xml:space="preserve">         000115-2015</v>
      </c>
      <c r="X3661">
        <v>195.08</v>
      </c>
      <c r="Y3661">
        <v>0</v>
      </c>
      <c r="Z3661"/>
      <c r="AB3661"/>
      <c r="AC3661">
        <v>159.9</v>
      </c>
      <c r="AD3661">
        <v>22</v>
      </c>
      <c r="AE3661" s="1">
        <v>3517.8</v>
      </c>
      <c r="AF3661">
        <v>35.18</v>
      </c>
      <c r="AJ3661">
        <v>0</v>
      </c>
      <c r="AK3661">
        <v>0</v>
      </c>
      <c r="AL3661">
        <v>0</v>
      </c>
      <c r="AM3661">
        <v>0</v>
      </c>
      <c r="AN3661">
        <v>0</v>
      </c>
      <c r="AO3661">
        <v>0</v>
      </c>
      <c r="AP3661" s="2">
        <v>42746</v>
      </c>
      <c r="AQ3661" t="s">
        <v>72</v>
      </c>
      <c r="AR3661" t="s">
        <v>72</v>
      </c>
      <c r="AS3661">
        <v>212</v>
      </c>
      <c r="AT3661" s="4">
        <v>42403</v>
      </c>
      <c r="AU3661" t="s">
        <v>73</v>
      </c>
      <c r="AV3661">
        <v>212</v>
      </c>
      <c r="AW3661" s="4">
        <v>42403</v>
      </c>
      <c r="BD3661">
        <v>35.18</v>
      </c>
      <c r="BN3661" t="s">
        <v>74</v>
      </c>
    </row>
    <row r="3662" spans="1:66" hidden="1">
      <c r="A3662">
        <v>101317</v>
      </c>
      <c r="B3662" s="3" t="s">
        <v>408</v>
      </c>
      <c r="C3662" s="1">
        <v>43300101</v>
      </c>
      <c r="D3662" t="s">
        <v>67</v>
      </c>
      <c r="H3662" t="str">
        <f t="shared" ref="H3662:H3693" si="385">"DNGGTN52A01A783M"</f>
        <v>DNGGTN52A01A783M</v>
      </c>
      <c r="I3662" t="str">
        <f t="shared" ref="I3662:I3693" si="386">"00592310627"</f>
        <v>00592310627</v>
      </c>
      <c r="K3662" t="str">
        <f>""</f>
        <v/>
      </c>
      <c r="M3662" t="s">
        <v>68</v>
      </c>
      <c r="N3662" t="str">
        <f t="shared" ref="N3662:N3693" si="387">"FOR"</f>
        <v>FOR</v>
      </c>
      <c r="O3662" t="s">
        <v>69</v>
      </c>
      <c r="P3662" s="3" t="s">
        <v>75</v>
      </c>
      <c r="Q3662">
        <v>2015</v>
      </c>
      <c r="R3662" s="2">
        <v>42321</v>
      </c>
      <c r="S3662" s="2">
        <v>42325</v>
      </c>
      <c r="T3662" s="2">
        <v>42321</v>
      </c>
      <c r="U3662" s="2">
        <v>42381</v>
      </c>
      <c r="V3662" t="s">
        <v>71</v>
      </c>
      <c r="W3662" t="str">
        <f>"         000116-2015"</f>
        <v xml:space="preserve">         000116-2015</v>
      </c>
      <c r="X3662">
        <v>42.7</v>
      </c>
      <c r="Y3662">
        <v>0</v>
      </c>
      <c r="Z3662"/>
      <c r="AB3662"/>
      <c r="AC3662">
        <v>35</v>
      </c>
      <c r="AD3662">
        <v>22</v>
      </c>
      <c r="AE3662">
        <v>770</v>
      </c>
      <c r="AF3662">
        <v>7.7</v>
      </c>
      <c r="AJ3662">
        <v>0</v>
      </c>
      <c r="AK3662">
        <v>0</v>
      </c>
      <c r="AL3662">
        <v>0</v>
      </c>
      <c r="AM3662">
        <v>0</v>
      </c>
      <c r="AN3662">
        <v>0</v>
      </c>
      <c r="AO3662">
        <v>0</v>
      </c>
      <c r="AP3662" s="2">
        <v>42746</v>
      </c>
      <c r="AQ3662" t="s">
        <v>72</v>
      </c>
      <c r="AR3662" t="s">
        <v>72</v>
      </c>
      <c r="AS3662">
        <v>212</v>
      </c>
      <c r="AT3662" s="4">
        <v>42403</v>
      </c>
      <c r="AU3662" t="s">
        <v>73</v>
      </c>
      <c r="AV3662">
        <v>212</v>
      </c>
      <c r="AW3662" s="4">
        <v>42403</v>
      </c>
      <c r="BD3662">
        <v>7.7</v>
      </c>
      <c r="BN3662" t="s">
        <v>74</v>
      </c>
    </row>
    <row r="3663" spans="1:66" hidden="1">
      <c r="A3663">
        <v>101317</v>
      </c>
      <c r="B3663" s="3" t="s">
        <v>408</v>
      </c>
      <c r="C3663" s="1">
        <v>43300101</v>
      </c>
      <c r="D3663" t="s">
        <v>67</v>
      </c>
      <c r="H3663" t="str">
        <f t="shared" si="385"/>
        <v>DNGGTN52A01A783M</v>
      </c>
      <c r="I3663" t="str">
        <f t="shared" si="386"/>
        <v>00592310627</v>
      </c>
      <c r="K3663" t="str">
        <f>""</f>
        <v/>
      </c>
      <c r="M3663" t="s">
        <v>68</v>
      </c>
      <c r="N3663" t="str">
        <f t="shared" si="387"/>
        <v>FOR</v>
      </c>
      <c r="O3663" t="s">
        <v>69</v>
      </c>
      <c r="P3663" s="3" t="s">
        <v>75</v>
      </c>
      <c r="Q3663">
        <v>2015</v>
      </c>
      <c r="R3663" s="2">
        <v>42332</v>
      </c>
      <c r="S3663" s="2">
        <v>42333</v>
      </c>
      <c r="T3663" s="2">
        <v>42332</v>
      </c>
      <c r="U3663" s="2">
        <v>42392</v>
      </c>
      <c r="V3663" t="s">
        <v>71</v>
      </c>
      <c r="W3663" t="str">
        <f>"         000118-2015"</f>
        <v xml:space="preserve">         000118-2015</v>
      </c>
      <c r="X3663">
        <v>204.35</v>
      </c>
      <c r="Y3663">
        <v>0</v>
      </c>
      <c r="Z3663"/>
      <c r="AB3663"/>
      <c r="AC3663">
        <v>167.5</v>
      </c>
      <c r="AD3663">
        <v>11</v>
      </c>
      <c r="AE3663" s="1">
        <v>1842.5</v>
      </c>
      <c r="AF3663">
        <v>36.85</v>
      </c>
      <c r="AJ3663">
        <v>0</v>
      </c>
      <c r="AK3663">
        <v>0</v>
      </c>
      <c r="AL3663">
        <v>0</v>
      </c>
      <c r="AM3663">
        <v>0</v>
      </c>
      <c r="AN3663">
        <v>0</v>
      </c>
      <c r="AO3663">
        <v>0</v>
      </c>
      <c r="AP3663" s="2">
        <v>42746</v>
      </c>
      <c r="AQ3663" t="s">
        <v>72</v>
      </c>
      <c r="AR3663" t="s">
        <v>72</v>
      </c>
      <c r="AS3663">
        <v>212</v>
      </c>
      <c r="AT3663" s="4">
        <v>42403</v>
      </c>
      <c r="AU3663" t="s">
        <v>73</v>
      </c>
      <c r="AV3663">
        <v>212</v>
      </c>
      <c r="AW3663" s="4">
        <v>42403</v>
      </c>
      <c r="BD3663">
        <v>36.85</v>
      </c>
      <c r="BN3663" t="s">
        <v>74</v>
      </c>
    </row>
    <row r="3664" spans="1:66" hidden="1">
      <c r="A3664">
        <v>101317</v>
      </c>
      <c r="B3664" s="3" t="s">
        <v>408</v>
      </c>
      <c r="C3664" s="1">
        <v>43300101</v>
      </c>
      <c r="D3664" t="s">
        <v>67</v>
      </c>
      <c r="H3664" t="str">
        <f t="shared" si="385"/>
        <v>DNGGTN52A01A783M</v>
      </c>
      <c r="I3664" t="str">
        <f t="shared" si="386"/>
        <v>00592310627</v>
      </c>
      <c r="K3664" t="str">
        <f>""</f>
        <v/>
      </c>
      <c r="M3664" t="s">
        <v>68</v>
      </c>
      <c r="N3664" t="str">
        <f t="shared" si="387"/>
        <v>FOR</v>
      </c>
      <c r="O3664" t="s">
        <v>69</v>
      </c>
      <c r="P3664" s="3" t="s">
        <v>75</v>
      </c>
      <c r="Q3664">
        <v>2015</v>
      </c>
      <c r="R3664" s="2">
        <v>42332</v>
      </c>
      <c r="S3664" s="2">
        <v>42333</v>
      </c>
      <c r="T3664" s="2">
        <v>42332</v>
      </c>
      <c r="U3664" s="2">
        <v>42392</v>
      </c>
      <c r="V3664" t="s">
        <v>71</v>
      </c>
      <c r="W3664" t="str">
        <f>"         000119-2015"</f>
        <v xml:space="preserve">         000119-2015</v>
      </c>
      <c r="X3664">
        <v>64.05</v>
      </c>
      <c r="Y3664">
        <v>0</v>
      </c>
      <c r="Z3664"/>
      <c r="AB3664"/>
      <c r="AC3664">
        <v>52.5</v>
      </c>
      <c r="AD3664">
        <v>11</v>
      </c>
      <c r="AE3664">
        <v>577.5</v>
      </c>
      <c r="AF3664">
        <v>11.55</v>
      </c>
      <c r="AJ3664">
        <v>0</v>
      </c>
      <c r="AK3664">
        <v>0</v>
      </c>
      <c r="AL3664">
        <v>0</v>
      </c>
      <c r="AM3664">
        <v>0</v>
      </c>
      <c r="AN3664">
        <v>0</v>
      </c>
      <c r="AO3664">
        <v>0</v>
      </c>
      <c r="AP3664" s="2">
        <v>42746</v>
      </c>
      <c r="AQ3664" t="s">
        <v>72</v>
      </c>
      <c r="AR3664" t="s">
        <v>72</v>
      </c>
      <c r="AS3664">
        <v>212</v>
      </c>
      <c r="AT3664" s="4">
        <v>42403</v>
      </c>
      <c r="AU3664" t="s">
        <v>73</v>
      </c>
      <c r="AV3664">
        <v>212</v>
      </c>
      <c r="AW3664" s="4">
        <v>42403</v>
      </c>
      <c r="BD3664">
        <v>11.55</v>
      </c>
      <c r="BN3664" t="s">
        <v>74</v>
      </c>
    </row>
    <row r="3665" spans="1:66" hidden="1">
      <c r="A3665">
        <v>101317</v>
      </c>
      <c r="B3665" s="3" t="s">
        <v>408</v>
      </c>
      <c r="C3665" s="1">
        <v>43300101</v>
      </c>
      <c r="D3665" t="s">
        <v>67</v>
      </c>
      <c r="H3665" t="str">
        <f t="shared" si="385"/>
        <v>DNGGTN52A01A783M</v>
      </c>
      <c r="I3665" t="str">
        <f t="shared" si="386"/>
        <v>00592310627</v>
      </c>
      <c r="K3665" t="str">
        <f>""</f>
        <v/>
      </c>
      <c r="M3665" t="s">
        <v>68</v>
      </c>
      <c r="N3665" t="str">
        <f t="shared" si="387"/>
        <v>FOR</v>
      </c>
      <c r="O3665" t="s">
        <v>69</v>
      </c>
      <c r="P3665" s="3" t="s">
        <v>75</v>
      </c>
      <c r="Q3665">
        <v>2015</v>
      </c>
      <c r="R3665" s="2">
        <v>42332</v>
      </c>
      <c r="S3665" s="2">
        <v>42333</v>
      </c>
      <c r="T3665" s="2">
        <v>42332</v>
      </c>
      <c r="U3665" s="2">
        <v>42392</v>
      </c>
      <c r="V3665" t="s">
        <v>71</v>
      </c>
      <c r="W3665" t="str">
        <f>"         000120-2015"</f>
        <v xml:space="preserve">         000120-2015</v>
      </c>
      <c r="X3665">
        <v>109.8</v>
      </c>
      <c r="Y3665">
        <v>0</v>
      </c>
      <c r="Z3665"/>
      <c r="AB3665"/>
      <c r="AC3665">
        <v>90</v>
      </c>
      <c r="AD3665">
        <v>11</v>
      </c>
      <c r="AE3665">
        <v>990</v>
      </c>
      <c r="AF3665">
        <v>19.8</v>
      </c>
      <c r="AJ3665">
        <v>0</v>
      </c>
      <c r="AK3665">
        <v>0</v>
      </c>
      <c r="AL3665">
        <v>0</v>
      </c>
      <c r="AM3665">
        <v>0</v>
      </c>
      <c r="AN3665">
        <v>0</v>
      </c>
      <c r="AO3665">
        <v>0</v>
      </c>
      <c r="AP3665" s="2">
        <v>42746</v>
      </c>
      <c r="AQ3665" t="s">
        <v>72</v>
      </c>
      <c r="AR3665" t="s">
        <v>72</v>
      </c>
      <c r="AS3665">
        <v>212</v>
      </c>
      <c r="AT3665" s="4">
        <v>42403</v>
      </c>
      <c r="AU3665" t="s">
        <v>73</v>
      </c>
      <c r="AV3665">
        <v>212</v>
      </c>
      <c r="AW3665" s="4">
        <v>42403</v>
      </c>
      <c r="BD3665">
        <v>19.8</v>
      </c>
      <c r="BN3665" t="s">
        <v>74</v>
      </c>
    </row>
    <row r="3666" spans="1:66" hidden="1">
      <c r="A3666">
        <v>101317</v>
      </c>
      <c r="B3666" s="3" t="s">
        <v>408</v>
      </c>
      <c r="C3666" s="1">
        <v>43300101</v>
      </c>
      <c r="D3666" t="s">
        <v>67</v>
      </c>
      <c r="H3666" t="str">
        <f t="shared" si="385"/>
        <v>DNGGTN52A01A783M</v>
      </c>
      <c r="I3666" t="str">
        <f t="shared" si="386"/>
        <v>00592310627</v>
      </c>
      <c r="K3666" t="str">
        <f>""</f>
        <v/>
      </c>
      <c r="M3666" t="s">
        <v>68</v>
      </c>
      <c r="N3666" t="str">
        <f t="shared" si="387"/>
        <v>FOR</v>
      </c>
      <c r="O3666" t="s">
        <v>69</v>
      </c>
      <c r="P3666" s="3" t="s">
        <v>75</v>
      </c>
      <c r="Q3666">
        <v>2015</v>
      </c>
      <c r="R3666" s="2">
        <v>42332</v>
      </c>
      <c r="S3666" s="2">
        <v>42333</v>
      </c>
      <c r="T3666" s="2">
        <v>42332</v>
      </c>
      <c r="U3666" s="2">
        <v>42392</v>
      </c>
      <c r="V3666" t="s">
        <v>71</v>
      </c>
      <c r="W3666" t="str">
        <f>"         000121-2015"</f>
        <v xml:space="preserve">         000121-2015</v>
      </c>
      <c r="X3666">
        <v>45.63</v>
      </c>
      <c r="Y3666">
        <v>0</v>
      </c>
      <c r="Z3666"/>
      <c r="AB3666"/>
      <c r="AC3666">
        <v>37.4</v>
      </c>
      <c r="AD3666">
        <v>11</v>
      </c>
      <c r="AE3666">
        <v>411.4</v>
      </c>
      <c r="AF3666">
        <v>8.23</v>
      </c>
      <c r="AJ3666">
        <v>0</v>
      </c>
      <c r="AK3666">
        <v>0</v>
      </c>
      <c r="AL3666">
        <v>0</v>
      </c>
      <c r="AM3666">
        <v>0</v>
      </c>
      <c r="AN3666">
        <v>0</v>
      </c>
      <c r="AO3666">
        <v>0</v>
      </c>
      <c r="AP3666" s="2">
        <v>42746</v>
      </c>
      <c r="AQ3666" t="s">
        <v>72</v>
      </c>
      <c r="AR3666" t="s">
        <v>72</v>
      </c>
      <c r="AS3666">
        <v>212</v>
      </c>
      <c r="AT3666" s="4">
        <v>42403</v>
      </c>
      <c r="AU3666" t="s">
        <v>73</v>
      </c>
      <c r="AV3666">
        <v>212</v>
      </c>
      <c r="AW3666" s="4">
        <v>42403</v>
      </c>
      <c r="BD3666">
        <v>8.23</v>
      </c>
      <c r="BN3666" t="s">
        <v>74</v>
      </c>
    </row>
    <row r="3667" spans="1:66" hidden="1">
      <c r="A3667">
        <v>101317</v>
      </c>
      <c r="B3667" s="3" t="s">
        <v>408</v>
      </c>
      <c r="C3667" s="1">
        <v>43300101</v>
      </c>
      <c r="D3667" t="s">
        <v>67</v>
      </c>
      <c r="H3667" t="str">
        <f t="shared" si="385"/>
        <v>DNGGTN52A01A783M</v>
      </c>
      <c r="I3667" t="str">
        <f t="shared" si="386"/>
        <v>00592310627</v>
      </c>
      <c r="K3667" t="str">
        <f>""</f>
        <v/>
      </c>
      <c r="M3667" t="s">
        <v>68</v>
      </c>
      <c r="N3667" t="str">
        <f t="shared" si="387"/>
        <v>FOR</v>
      </c>
      <c r="O3667" t="s">
        <v>69</v>
      </c>
      <c r="P3667" s="3" t="s">
        <v>75</v>
      </c>
      <c r="Q3667">
        <v>2015</v>
      </c>
      <c r="R3667" s="2">
        <v>42332</v>
      </c>
      <c r="S3667" s="2">
        <v>42333</v>
      </c>
      <c r="T3667" s="2">
        <v>42332</v>
      </c>
      <c r="U3667" s="2">
        <v>42392</v>
      </c>
      <c r="V3667" t="s">
        <v>71</v>
      </c>
      <c r="W3667" t="str">
        <f>"         000122-2015"</f>
        <v xml:space="preserve">         000122-2015</v>
      </c>
      <c r="X3667">
        <v>97.36</v>
      </c>
      <c r="Y3667">
        <v>0</v>
      </c>
      <c r="Z3667"/>
      <c r="AB3667"/>
      <c r="AC3667">
        <v>79.8</v>
      </c>
      <c r="AD3667">
        <v>11</v>
      </c>
      <c r="AE3667">
        <v>877.8</v>
      </c>
      <c r="AF3667">
        <v>17.559999999999999</v>
      </c>
      <c r="AJ3667">
        <v>0</v>
      </c>
      <c r="AK3667">
        <v>0</v>
      </c>
      <c r="AL3667">
        <v>0</v>
      </c>
      <c r="AM3667">
        <v>0</v>
      </c>
      <c r="AN3667">
        <v>0</v>
      </c>
      <c r="AO3667">
        <v>0</v>
      </c>
      <c r="AP3667" s="2">
        <v>42746</v>
      </c>
      <c r="AQ3667" t="s">
        <v>72</v>
      </c>
      <c r="AR3667" t="s">
        <v>72</v>
      </c>
      <c r="AS3667">
        <v>212</v>
      </c>
      <c r="AT3667" s="4">
        <v>42403</v>
      </c>
      <c r="AU3667" t="s">
        <v>73</v>
      </c>
      <c r="AV3667">
        <v>212</v>
      </c>
      <c r="AW3667" s="4">
        <v>42403</v>
      </c>
      <c r="BD3667">
        <v>17.559999999999999</v>
      </c>
      <c r="BN3667" t="s">
        <v>74</v>
      </c>
    </row>
    <row r="3668" spans="1:66" hidden="1">
      <c r="A3668">
        <v>101317</v>
      </c>
      <c r="B3668" s="3" t="s">
        <v>408</v>
      </c>
      <c r="C3668" s="1">
        <v>43300101</v>
      </c>
      <c r="D3668" t="s">
        <v>67</v>
      </c>
      <c r="H3668" t="str">
        <f t="shared" si="385"/>
        <v>DNGGTN52A01A783M</v>
      </c>
      <c r="I3668" t="str">
        <f t="shared" si="386"/>
        <v>00592310627</v>
      </c>
      <c r="K3668" t="str">
        <f>""</f>
        <v/>
      </c>
      <c r="M3668" t="s">
        <v>68</v>
      </c>
      <c r="N3668" t="str">
        <f t="shared" si="387"/>
        <v>FOR</v>
      </c>
      <c r="O3668" t="s">
        <v>69</v>
      </c>
      <c r="P3668" s="3" t="s">
        <v>75</v>
      </c>
      <c r="Q3668">
        <v>2015</v>
      </c>
      <c r="R3668" s="2">
        <v>42332</v>
      </c>
      <c r="S3668" s="2">
        <v>42333</v>
      </c>
      <c r="T3668" s="2">
        <v>42332</v>
      </c>
      <c r="U3668" s="2">
        <v>42392</v>
      </c>
      <c r="V3668" t="s">
        <v>71</v>
      </c>
      <c r="W3668" t="str">
        <f>"         000123-2015"</f>
        <v xml:space="preserve">         000123-2015</v>
      </c>
      <c r="X3668">
        <v>73.08</v>
      </c>
      <c r="Y3668">
        <v>0</v>
      </c>
      <c r="Z3668"/>
      <c r="AB3668"/>
      <c r="AC3668">
        <v>59.9</v>
      </c>
      <c r="AD3668">
        <v>11</v>
      </c>
      <c r="AE3668">
        <v>658.9</v>
      </c>
      <c r="AF3668">
        <v>13.18</v>
      </c>
      <c r="AJ3668">
        <v>0</v>
      </c>
      <c r="AK3668">
        <v>0</v>
      </c>
      <c r="AL3668">
        <v>0</v>
      </c>
      <c r="AM3668">
        <v>0</v>
      </c>
      <c r="AN3668">
        <v>0</v>
      </c>
      <c r="AO3668">
        <v>0</v>
      </c>
      <c r="AP3668" s="2">
        <v>42746</v>
      </c>
      <c r="AQ3668" t="s">
        <v>72</v>
      </c>
      <c r="AR3668" t="s">
        <v>72</v>
      </c>
      <c r="AS3668">
        <v>212</v>
      </c>
      <c r="AT3668" s="4">
        <v>42403</v>
      </c>
      <c r="AU3668" t="s">
        <v>73</v>
      </c>
      <c r="AV3668">
        <v>212</v>
      </c>
      <c r="AW3668" s="4">
        <v>42403</v>
      </c>
      <c r="BD3668">
        <v>13.18</v>
      </c>
      <c r="BN3668" t="s">
        <v>74</v>
      </c>
    </row>
    <row r="3669" spans="1:66" hidden="1">
      <c r="A3669">
        <v>101317</v>
      </c>
      <c r="B3669" s="3" t="s">
        <v>408</v>
      </c>
      <c r="C3669" s="1">
        <v>43300101</v>
      </c>
      <c r="D3669" t="s">
        <v>67</v>
      </c>
      <c r="H3669" t="str">
        <f t="shared" si="385"/>
        <v>DNGGTN52A01A783M</v>
      </c>
      <c r="I3669" t="str">
        <f t="shared" si="386"/>
        <v>00592310627</v>
      </c>
      <c r="K3669" t="str">
        <f>""</f>
        <v/>
      </c>
      <c r="M3669" t="s">
        <v>68</v>
      </c>
      <c r="N3669" t="str">
        <f t="shared" si="387"/>
        <v>FOR</v>
      </c>
      <c r="O3669" t="s">
        <v>69</v>
      </c>
      <c r="P3669" s="3" t="s">
        <v>75</v>
      </c>
      <c r="Q3669">
        <v>2015</v>
      </c>
      <c r="R3669" s="2">
        <v>42332</v>
      </c>
      <c r="S3669" s="2">
        <v>42333</v>
      </c>
      <c r="T3669" s="2">
        <v>42332</v>
      </c>
      <c r="U3669" s="2">
        <v>42392</v>
      </c>
      <c r="V3669" t="s">
        <v>71</v>
      </c>
      <c r="W3669" t="str">
        <f>"         000124-2015"</f>
        <v xml:space="preserve">         000124-2015</v>
      </c>
      <c r="X3669">
        <v>24.4</v>
      </c>
      <c r="Y3669">
        <v>0</v>
      </c>
      <c r="Z3669"/>
      <c r="AB3669"/>
      <c r="AC3669">
        <v>20</v>
      </c>
      <c r="AD3669">
        <v>11</v>
      </c>
      <c r="AE3669">
        <v>220</v>
      </c>
      <c r="AF3669">
        <v>4.4000000000000004</v>
      </c>
      <c r="AJ3669">
        <v>0</v>
      </c>
      <c r="AK3669">
        <v>0</v>
      </c>
      <c r="AL3669">
        <v>0</v>
      </c>
      <c r="AM3669">
        <v>0</v>
      </c>
      <c r="AN3669">
        <v>0</v>
      </c>
      <c r="AO3669">
        <v>0</v>
      </c>
      <c r="AP3669" s="2">
        <v>42746</v>
      </c>
      <c r="AQ3669" t="s">
        <v>72</v>
      </c>
      <c r="AR3669" t="s">
        <v>72</v>
      </c>
      <c r="AS3669">
        <v>212</v>
      </c>
      <c r="AT3669" s="4">
        <v>42403</v>
      </c>
      <c r="AU3669" t="s">
        <v>73</v>
      </c>
      <c r="AV3669">
        <v>212</v>
      </c>
      <c r="AW3669" s="4">
        <v>42403</v>
      </c>
      <c r="BD3669">
        <v>4.4000000000000004</v>
      </c>
      <c r="BN3669" t="s">
        <v>74</v>
      </c>
    </row>
    <row r="3670" spans="1:66" hidden="1">
      <c r="A3670">
        <v>101317</v>
      </c>
      <c r="B3670" s="3" t="s">
        <v>408</v>
      </c>
      <c r="C3670" s="1">
        <v>43300101</v>
      </c>
      <c r="D3670" t="s">
        <v>67</v>
      </c>
      <c r="H3670" t="str">
        <f t="shared" si="385"/>
        <v>DNGGTN52A01A783M</v>
      </c>
      <c r="I3670" t="str">
        <f t="shared" si="386"/>
        <v>00592310627</v>
      </c>
      <c r="K3670" t="str">
        <f>""</f>
        <v/>
      </c>
      <c r="M3670" t="s">
        <v>68</v>
      </c>
      <c r="N3670" t="str">
        <f t="shared" si="387"/>
        <v>FOR</v>
      </c>
      <c r="O3670" t="s">
        <v>69</v>
      </c>
      <c r="P3670" s="3" t="s">
        <v>75</v>
      </c>
      <c r="Q3670">
        <v>2015</v>
      </c>
      <c r="R3670" s="2">
        <v>42332</v>
      </c>
      <c r="S3670" s="2">
        <v>42333</v>
      </c>
      <c r="T3670" s="2">
        <v>42332</v>
      </c>
      <c r="U3670" s="2">
        <v>42392</v>
      </c>
      <c r="V3670" t="s">
        <v>71</v>
      </c>
      <c r="W3670" t="str">
        <f>"         000125-2015"</f>
        <v xml:space="preserve">         000125-2015</v>
      </c>
      <c r="X3670">
        <v>146.03</v>
      </c>
      <c r="Y3670">
        <v>0</v>
      </c>
      <c r="Z3670"/>
      <c r="AB3670"/>
      <c r="AC3670">
        <v>119.7</v>
      </c>
      <c r="AD3670">
        <v>11</v>
      </c>
      <c r="AE3670" s="1">
        <v>1316.7</v>
      </c>
      <c r="AF3670">
        <v>26.33</v>
      </c>
      <c r="AJ3670">
        <v>0</v>
      </c>
      <c r="AK3670">
        <v>0</v>
      </c>
      <c r="AL3670">
        <v>0</v>
      </c>
      <c r="AM3670">
        <v>0</v>
      </c>
      <c r="AN3670">
        <v>0</v>
      </c>
      <c r="AO3670">
        <v>0</v>
      </c>
      <c r="AP3670" s="2">
        <v>42746</v>
      </c>
      <c r="AQ3670" t="s">
        <v>72</v>
      </c>
      <c r="AR3670" t="s">
        <v>72</v>
      </c>
      <c r="AS3670">
        <v>212</v>
      </c>
      <c r="AT3670" s="4">
        <v>42403</v>
      </c>
      <c r="AU3670" t="s">
        <v>73</v>
      </c>
      <c r="AV3670">
        <v>212</v>
      </c>
      <c r="AW3670" s="4">
        <v>42403</v>
      </c>
      <c r="BD3670">
        <v>26.33</v>
      </c>
      <c r="BN3670" t="s">
        <v>74</v>
      </c>
    </row>
    <row r="3671" spans="1:66" hidden="1">
      <c r="A3671">
        <v>101317</v>
      </c>
      <c r="B3671" s="3" t="s">
        <v>408</v>
      </c>
      <c r="C3671" s="1">
        <v>43300101</v>
      </c>
      <c r="D3671" t="s">
        <v>67</v>
      </c>
      <c r="H3671" t="str">
        <f t="shared" si="385"/>
        <v>DNGGTN52A01A783M</v>
      </c>
      <c r="I3671" t="str">
        <f t="shared" si="386"/>
        <v>00592310627</v>
      </c>
      <c r="K3671" t="str">
        <f>""</f>
        <v/>
      </c>
      <c r="M3671" t="s">
        <v>68</v>
      </c>
      <c r="N3671" t="str">
        <f t="shared" si="387"/>
        <v>FOR</v>
      </c>
      <c r="O3671" t="s">
        <v>69</v>
      </c>
      <c r="P3671" s="3" t="s">
        <v>75</v>
      </c>
      <c r="Q3671">
        <v>2015</v>
      </c>
      <c r="R3671" s="2">
        <v>42342</v>
      </c>
      <c r="S3671" s="2">
        <v>42345</v>
      </c>
      <c r="T3671" s="2">
        <v>42342</v>
      </c>
      <c r="U3671" s="2">
        <v>42402</v>
      </c>
      <c r="V3671" t="s">
        <v>71</v>
      </c>
      <c r="W3671" t="str">
        <f>"         000128-2015"</f>
        <v xml:space="preserve">         000128-2015</v>
      </c>
      <c r="X3671">
        <v>805.2</v>
      </c>
      <c r="Y3671">
        <v>0</v>
      </c>
      <c r="Z3671"/>
      <c r="AB3671"/>
      <c r="AC3671">
        <v>660</v>
      </c>
      <c r="AD3671">
        <v>1</v>
      </c>
      <c r="AE3671">
        <v>660</v>
      </c>
      <c r="AF3671">
        <v>145.19999999999999</v>
      </c>
      <c r="AJ3671">
        <v>0</v>
      </c>
      <c r="AK3671">
        <v>0</v>
      </c>
      <c r="AL3671">
        <v>0</v>
      </c>
      <c r="AM3671">
        <v>0</v>
      </c>
      <c r="AN3671">
        <v>0</v>
      </c>
      <c r="AO3671">
        <v>0</v>
      </c>
      <c r="AP3671" s="2">
        <v>42746</v>
      </c>
      <c r="AQ3671" t="s">
        <v>72</v>
      </c>
      <c r="AR3671" t="s">
        <v>72</v>
      </c>
      <c r="AS3671">
        <v>212</v>
      </c>
      <c r="AT3671" s="4">
        <v>42403</v>
      </c>
      <c r="AU3671" t="s">
        <v>73</v>
      </c>
      <c r="AV3671">
        <v>212</v>
      </c>
      <c r="AW3671" s="4">
        <v>42403</v>
      </c>
      <c r="BD3671">
        <v>145.19999999999999</v>
      </c>
      <c r="BN3671" t="s">
        <v>74</v>
      </c>
    </row>
    <row r="3672" spans="1:66" hidden="1">
      <c r="A3672">
        <v>101317</v>
      </c>
      <c r="B3672" s="3" t="s">
        <v>408</v>
      </c>
      <c r="C3672" s="1">
        <v>43300101</v>
      </c>
      <c r="D3672" t="s">
        <v>67</v>
      </c>
      <c r="H3672" t="str">
        <f t="shared" si="385"/>
        <v>DNGGTN52A01A783M</v>
      </c>
      <c r="I3672" t="str">
        <f t="shared" si="386"/>
        <v>00592310627</v>
      </c>
      <c r="K3672" t="str">
        <f>""</f>
        <v/>
      </c>
      <c r="M3672" t="s">
        <v>68</v>
      </c>
      <c r="N3672" t="str">
        <f t="shared" si="387"/>
        <v>FOR</v>
      </c>
      <c r="O3672" t="s">
        <v>69</v>
      </c>
      <c r="P3672" s="3" t="s">
        <v>75</v>
      </c>
      <c r="Q3672">
        <v>2015</v>
      </c>
      <c r="R3672" s="2">
        <v>42342</v>
      </c>
      <c r="S3672" s="2">
        <v>42345</v>
      </c>
      <c r="T3672" s="2">
        <v>42342</v>
      </c>
      <c r="U3672" s="2">
        <v>42402</v>
      </c>
      <c r="V3672" t="s">
        <v>71</v>
      </c>
      <c r="W3672" t="str">
        <f>"         000129-2015"</f>
        <v xml:space="preserve">         000129-2015</v>
      </c>
      <c r="X3672">
        <v>963.8</v>
      </c>
      <c r="Y3672">
        <v>0</v>
      </c>
      <c r="Z3672"/>
      <c r="AB3672"/>
      <c r="AC3672">
        <v>790</v>
      </c>
      <c r="AD3672">
        <v>1</v>
      </c>
      <c r="AE3672">
        <v>790</v>
      </c>
      <c r="AF3672">
        <v>173.8</v>
      </c>
      <c r="AJ3672">
        <v>0</v>
      </c>
      <c r="AK3672">
        <v>0</v>
      </c>
      <c r="AL3672">
        <v>0</v>
      </c>
      <c r="AM3672">
        <v>0</v>
      </c>
      <c r="AN3672">
        <v>0</v>
      </c>
      <c r="AO3672">
        <v>0</v>
      </c>
      <c r="AP3672" s="2">
        <v>42746</v>
      </c>
      <c r="AQ3672" t="s">
        <v>72</v>
      </c>
      <c r="AR3672" t="s">
        <v>72</v>
      </c>
      <c r="AS3672">
        <v>213</v>
      </c>
      <c r="AT3672" s="4">
        <v>42403</v>
      </c>
      <c r="AU3672" t="s">
        <v>73</v>
      </c>
      <c r="AV3672">
        <v>213</v>
      </c>
      <c r="AW3672" s="4">
        <v>42403</v>
      </c>
      <c r="BD3672">
        <v>173.8</v>
      </c>
      <c r="BN3672" t="s">
        <v>74</v>
      </c>
    </row>
    <row r="3673" spans="1:66" hidden="1">
      <c r="A3673">
        <v>101317</v>
      </c>
      <c r="B3673" s="3" t="s">
        <v>408</v>
      </c>
      <c r="C3673" s="1">
        <v>43300101</v>
      </c>
      <c r="D3673" t="s">
        <v>67</v>
      </c>
      <c r="H3673" t="str">
        <f t="shared" si="385"/>
        <v>DNGGTN52A01A783M</v>
      </c>
      <c r="I3673" t="str">
        <f t="shared" si="386"/>
        <v>00592310627</v>
      </c>
      <c r="K3673" t="str">
        <f>""</f>
        <v/>
      </c>
      <c r="M3673" t="s">
        <v>68</v>
      </c>
      <c r="N3673" t="str">
        <f t="shared" si="387"/>
        <v>FOR</v>
      </c>
      <c r="O3673" t="s">
        <v>69</v>
      </c>
      <c r="P3673" s="3" t="s">
        <v>75</v>
      </c>
      <c r="Q3673">
        <v>2015</v>
      </c>
      <c r="R3673" s="2">
        <v>42342</v>
      </c>
      <c r="S3673" s="2">
        <v>42345</v>
      </c>
      <c r="T3673" s="2">
        <v>42342</v>
      </c>
      <c r="U3673" s="2">
        <v>42402</v>
      </c>
      <c r="V3673" t="s">
        <v>71</v>
      </c>
      <c r="W3673" t="str">
        <f>"         000130-2015"</f>
        <v xml:space="preserve">         000130-2015</v>
      </c>
      <c r="X3673">
        <v>64.05</v>
      </c>
      <c r="Y3673">
        <v>0</v>
      </c>
      <c r="Z3673"/>
      <c r="AB3673"/>
      <c r="AC3673">
        <v>52.5</v>
      </c>
      <c r="AD3673">
        <v>1</v>
      </c>
      <c r="AE3673">
        <v>52.5</v>
      </c>
      <c r="AF3673">
        <v>11.55</v>
      </c>
      <c r="AJ3673">
        <v>0</v>
      </c>
      <c r="AK3673">
        <v>0</v>
      </c>
      <c r="AL3673">
        <v>0</v>
      </c>
      <c r="AM3673">
        <v>0</v>
      </c>
      <c r="AN3673">
        <v>0</v>
      </c>
      <c r="AO3673">
        <v>0</v>
      </c>
      <c r="AP3673" s="2">
        <v>42746</v>
      </c>
      <c r="AQ3673" t="s">
        <v>72</v>
      </c>
      <c r="AR3673" t="s">
        <v>72</v>
      </c>
      <c r="AS3673">
        <v>212</v>
      </c>
      <c r="AT3673" s="4">
        <v>42403</v>
      </c>
      <c r="AU3673" t="s">
        <v>73</v>
      </c>
      <c r="AV3673">
        <v>212</v>
      </c>
      <c r="AW3673" s="4">
        <v>42403</v>
      </c>
      <c r="BD3673">
        <v>11.55</v>
      </c>
      <c r="BN3673" t="s">
        <v>74</v>
      </c>
    </row>
    <row r="3674" spans="1:66" hidden="1">
      <c r="A3674">
        <v>101317</v>
      </c>
      <c r="B3674" s="3" t="s">
        <v>408</v>
      </c>
      <c r="C3674" s="1">
        <v>43300101</v>
      </c>
      <c r="D3674" t="s">
        <v>67</v>
      </c>
      <c r="H3674" t="str">
        <f t="shared" si="385"/>
        <v>DNGGTN52A01A783M</v>
      </c>
      <c r="I3674" t="str">
        <f t="shared" si="386"/>
        <v>00592310627</v>
      </c>
      <c r="K3674" t="str">
        <f>""</f>
        <v/>
      </c>
      <c r="M3674" t="s">
        <v>68</v>
      </c>
      <c r="N3674" t="str">
        <f t="shared" si="387"/>
        <v>FOR</v>
      </c>
      <c r="O3674" t="s">
        <v>69</v>
      </c>
      <c r="P3674" s="3" t="s">
        <v>75</v>
      </c>
      <c r="Q3674">
        <v>2015</v>
      </c>
      <c r="R3674" s="2">
        <v>42342</v>
      </c>
      <c r="S3674" s="2">
        <v>42345</v>
      </c>
      <c r="T3674" s="2">
        <v>42342</v>
      </c>
      <c r="U3674" s="2">
        <v>42402</v>
      </c>
      <c r="V3674" t="s">
        <v>71</v>
      </c>
      <c r="W3674" t="str">
        <f>"         000131-2015"</f>
        <v xml:space="preserve">         000131-2015</v>
      </c>
      <c r="X3674">
        <v>36.479999999999997</v>
      </c>
      <c r="Y3674">
        <v>0</v>
      </c>
      <c r="Z3674"/>
      <c r="AB3674"/>
      <c r="AC3674">
        <v>29.9</v>
      </c>
      <c r="AD3674">
        <v>1</v>
      </c>
      <c r="AE3674">
        <v>29.9</v>
      </c>
      <c r="AF3674">
        <v>6.58</v>
      </c>
      <c r="AJ3674">
        <v>0</v>
      </c>
      <c r="AK3674">
        <v>0</v>
      </c>
      <c r="AL3674">
        <v>0</v>
      </c>
      <c r="AM3674">
        <v>0</v>
      </c>
      <c r="AN3674">
        <v>0</v>
      </c>
      <c r="AO3674">
        <v>0</v>
      </c>
      <c r="AP3674" s="2">
        <v>42746</v>
      </c>
      <c r="AQ3674" t="s">
        <v>72</v>
      </c>
      <c r="AR3674" t="s">
        <v>72</v>
      </c>
      <c r="AS3674">
        <v>212</v>
      </c>
      <c r="AT3674" s="4">
        <v>42403</v>
      </c>
      <c r="AU3674" t="s">
        <v>73</v>
      </c>
      <c r="AV3674">
        <v>212</v>
      </c>
      <c r="AW3674" s="4">
        <v>42403</v>
      </c>
      <c r="BD3674">
        <v>6.58</v>
      </c>
      <c r="BN3674" t="s">
        <v>74</v>
      </c>
    </row>
    <row r="3675" spans="1:66" hidden="1">
      <c r="A3675">
        <v>101317</v>
      </c>
      <c r="B3675" s="3" t="s">
        <v>408</v>
      </c>
      <c r="C3675" s="1">
        <v>43300101</v>
      </c>
      <c r="D3675" t="s">
        <v>67</v>
      </c>
      <c r="H3675" t="str">
        <f t="shared" si="385"/>
        <v>DNGGTN52A01A783M</v>
      </c>
      <c r="I3675" t="str">
        <f t="shared" si="386"/>
        <v>00592310627</v>
      </c>
      <c r="K3675" t="str">
        <f>""</f>
        <v/>
      </c>
      <c r="M3675" t="s">
        <v>68</v>
      </c>
      <c r="N3675" t="str">
        <f t="shared" si="387"/>
        <v>FOR</v>
      </c>
      <c r="O3675" t="s">
        <v>69</v>
      </c>
      <c r="P3675" s="3" t="s">
        <v>75</v>
      </c>
      <c r="Q3675">
        <v>2015</v>
      </c>
      <c r="R3675" s="2">
        <v>42342</v>
      </c>
      <c r="S3675" s="2">
        <v>42345</v>
      </c>
      <c r="T3675" s="2">
        <v>42342</v>
      </c>
      <c r="U3675" s="2">
        <v>42402</v>
      </c>
      <c r="V3675" t="s">
        <v>71</v>
      </c>
      <c r="W3675" t="str">
        <f>"         000132-2015"</f>
        <v xml:space="preserve">         000132-2015</v>
      </c>
      <c r="X3675">
        <v>18.3</v>
      </c>
      <c r="Y3675">
        <v>0</v>
      </c>
      <c r="Z3675"/>
      <c r="AB3675"/>
      <c r="AC3675">
        <v>15</v>
      </c>
      <c r="AD3675">
        <v>1</v>
      </c>
      <c r="AE3675">
        <v>15</v>
      </c>
      <c r="AF3675">
        <v>3.3</v>
      </c>
      <c r="AJ3675">
        <v>0</v>
      </c>
      <c r="AK3675">
        <v>0</v>
      </c>
      <c r="AL3675">
        <v>0</v>
      </c>
      <c r="AM3675">
        <v>0</v>
      </c>
      <c r="AN3675">
        <v>0</v>
      </c>
      <c r="AO3675">
        <v>0</v>
      </c>
      <c r="AP3675" s="2">
        <v>42746</v>
      </c>
      <c r="AQ3675" t="s">
        <v>72</v>
      </c>
      <c r="AR3675" t="s">
        <v>72</v>
      </c>
      <c r="AS3675">
        <v>212</v>
      </c>
      <c r="AT3675" s="4">
        <v>42403</v>
      </c>
      <c r="AU3675" t="s">
        <v>73</v>
      </c>
      <c r="AV3675">
        <v>212</v>
      </c>
      <c r="AW3675" s="4">
        <v>42403</v>
      </c>
      <c r="BD3675">
        <v>3.3</v>
      </c>
      <c r="BN3675" t="s">
        <v>74</v>
      </c>
    </row>
    <row r="3676" spans="1:66" hidden="1">
      <c r="A3676">
        <v>101317</v>
      </c>
      <c r="B3676" s="3" t="s">
        <v>408</v>
      </c>
      <c r="C3676" s="1">
        <v>43300101</v>
      </c>
      <c r="D3676" t="s">
        <v>67</v>
      </c>
      <c r="H3676" t="str">
        <f t="shared" si="385"/>
        <v>DNGGTN52A01A783M</v>
      </c>
      <c r="I3676" t="str">
        <f t="shared" si="386"/>
        <v>00592310627</v>
      </c>
      <c r="K3676" t="str">
        <f>""</f>
        <v/>
      </c>
      <c r="M3676" t="s">
        <v>68</v>
      </c>
      <c r="N3676" t="str">
        <f t="shared" si="387"/>
        <v>FOR</v>
      </c>
      <c r="O3676" t="s">
        <v>69</v>
      </c>
      <c r="P3676" s="3" t="s">
        <v>75</v>
      </c>
      <c r="Q3676">
        <v>2015</v>
      </c>
      <c r="R3676" s="2">
        <v>42342</v>
      </c>
      <c r="S3676" s="2">
        <v>42345</v>
      </c>
      <c r="T3676" s="2">
        <v>42345</v>
      </c>
      <c r="U3676" s="2">
        <v>42405</v>
      </c>
      <c r="V3676" t="s">
        <v>71</v>
      </c>
      <c r="W3676" t="str">
        <f>"         000133-2015"</f>
        <v xml:space="preserve">         000133-2015</v>
      </c>
      <c r="X3676">
        <v>48.56</v>
      </c>
      <c r="Y3676">
        <v>0</v>
      </c>
      <c r="Z3676"/>
      <c r="AB3676"/>
      <c r="AC3676">
        <v>39.799999999999997</v>
      </c>
      <c r="AD3676">
        <v>-2</v>
      </c>
      <c r="AE3676">
        <v>-79.599999999999994</v>
      </c>
      <c r="AF3676">
        <v>8.76</v>
      </c>
      <c r="AJ3676">
        <v>0</v>
      </c>
      <c r="AK3676">
        <v>0</v>
      </c>
      <c r="AL3676">
        <v>0</v>
      </c>
      <c r="AM3676">
        <v>0</v>
      </c>
      <c r="AN3676">
        <v>0</v>
      </c>
      <c r="AO3676">
        <v>0</v>
      </c>
      <c r="AP3676" s="2">
        <v>42746</v>
      </c>
      <c r="AQ3676" t="s">
        <v>72</v>
      </c>
      <c r="AR3676" t="s">
        <v>72</v>
      </c>
      <c r="AS3676">
        <v>212</v>
      </c>
      <c r="AT3676" s="4">
        <v>42403</v>
      </c>
      <c r="AV3676">
        <v>212</v>
      </c>
      <c r="AW3676" s="4">
        <v>42403</v>
      </c>
      <c r="BD3676">
        <v>8.76</v>
      </c>
      <c r="BN3676" t="s">
        <v>74</v>
      </c>
    </row>
    <row r="3677" spans="1:66" hidden="1">
      <c r="A3677">
        <v>101317</v>
      </c>
      <c r="B3677" s="3" t="s">
        <v>408</v>
      </c>
      <c r="C3677" s="1">
        <v>43300101</v>
      </c>
      <c r="D3677" t="s">
        <v>67</v>
      </c>
      <c r="H3677" t="str">
        <f t="shared" si="385"/>
        <v>DNGGTN52A01A783M</v>
      </c>
      <c r="I3677" t="str">
        <f t="shared" si="386"/>
        <v>00592310627</v>
      </c>
      <c r="K3677" t="str">
        <f>""</f>
        <v/>
      </c>
      <c r="M3677" t="s">
        <v>68</v>
      </c>
      <c r="N3677" t="str">
        <f t="shared" si="387"/>
        <v>FOR</v>
      </c>
      <c r="O3677" t="s">
        <v>69</v>
      </c>
      <c r="P3677" s="3" t="s">
        <v>75</v>
      </c>
      <c r="Q3677">
        <v>2015</v>
      </c>
      <c r="R3677" s="2">
        <v>42342</v>
      </c>
      <c r="S3677" s="2">
        <v>42345</v>
      </c>
      <c r="T3677" s="2">
        <v>42342</v>
      </c>
      <c r="U3677" s="2">
        <v>42402</v>
      </c>
      <c r="V3677" t="s">
        <v>71</v>
      </c>
      <c r="W3677" t="str">
        <f>"         000134-2015"</f>
        <v xml:space="preserve">         000134-2015</v>
      </c>
      <c r="X3677">
        <v>247.66</v>
      </c>
      <c r="Y3677">
        <v>0</v>
      </c>
      <c r="Z3677"/>
      <c r="AB3677"/>
      <c r="AC3677">
        <v>203</v>
      </c>
      <c r="AD3677">
        <v>1</v>
      </c>
      <c r="AE3677">
        <v>203</v>
      </c>
      <c r="AF3677">
        <v>44.66</v>
      </c>
      <c r="AJ3677">
        <v>0</v>
      </c>
      <c r="AK3677">
        <v>0</v>
      </c>
      <c r="AL3677">
        <v>0</v>
      </c>
      <c r="AM3677">
        <v>0</v>
      </c>
      <c r="AN3677">
        <v>0</v>
      </c>
      <c r="AO3677">
        <v>0</v>
      </c>
      <c r="AP3677" s="2">
        <v>42746</v>
      </c>
      <c r="AQ3677" t="s">
        <v>72</v>
      </c>
      <c r="AR3677" t="s">
        <v>72</v>
      </c>
      <c r="AS3677">
        <v>212</v>
      </c>
      <c r="AT3677" s="4">
        <v>42403</v>
      </c>
      <c r="AU3677" t="s">
        <v>73</v>
      </c>
      <c r="AV3677">
        <v>212</v>
      </c>
      <c r="AW3677" s="4">
        <v>42403</v>
      </c>
      <c r="BD3677">
        <v>44.66</v>
      </c>
      <c r="BN3677" t="s">
        <v>74</v>
      </c>
    </row>
    <row r="3678" spans="1:66" hidden="1">
      <c r="A3678">
        <v>101317</v>
      </c>
      <c r="B3678" s="3" t="s">
        <v>408</v>
      </c>
      <c r="C3678" s="1">
        <v>43300101</v>
      </c>
      <c r="D3678" t="s">
        <v>67</v>
      </c>
      <c r="H3678" t="str">
        <f t="shared" si="385"/>
        <v>DNGGTN52A01A783M</v>
      </c>
      <c r="I3678" t="str">
        <f t="shared" si="386"/>
        <v>00592310627</v>
      </c>
      <c r="K3678" t="str">
        <f>""</f>
        <v/>
      </c>
      <c r="M3678" t="s">
        <v>68</v>
      </c>
      <c r="N3678" t="str">
        <f t="shared" si="387"/>
        <v>FOR</v>
      </c>
      <c r="O3678" t="s">
        <v>69</v>
      </c>
      <c r="P3678" s="3" t="s">
        <v>75</v>
      </c>
      <c r="Q3678">
        <v>2015</v>
      </c>
      <c r="R3678" s="2">
        <v>42342</v>
      </c>
      <c r="S3678" s="2">
        <v>42345</v>
      </c>
      <c r="T3678" s="2">
        <v>42342</v>
      </c>
      <c r="U3678" s="2">
        <v>42402</v>
      </c>
      <c r="V3678" t="s">
        <v>71</v>
      </c>
      <c r="W3678" t="str">
        <f>"         000135-2015"</f>
        <v xml:space="preserve">         000135-2015</v>
      </c>
      <c r="X3678">
        <v>974.78</v>
      </c>
      <c r="Y3678">
        <v>0</v>
      </c>
      <c r="Z3678"/>
      <c r="AB3678"/>
      <c r="AC3678">
        <v>799</v>
      </c>
      <c r="AD3678">
        <v>164</v>
      </c>
      <c r="AE3678" s="1">
        <v>131036</v>
      </c>
      <c r="AF3678">
        <v>175.78</v>
      </c>
      <c r="AJ3678">
        <v>0</v>
      </c>
      <c r="AK3678">
        <v>0</v>
      </c>
      <c r="AL3678">
        <v>0</v>
      </c>
      <c r="AM3678">
        <v>0</v>
      </c>
      <c r="AN3678">
        <v>0</v>
      </c>
      <c r="AO3678">
        <v>0</v>
      </c>
      <c r="AP3678" s="2">
        <v>42746</v>
      </c>
      <c r="AQ3678" t="s">
        <v>72</v>
      </c>
      <c r="AR3678" t="s">
        <v>72</v>
      </c>
      <c r="AS3678">
        <v>1771</v>
      </c>
      <c r="AT3678" s="4">
        <v>42566</v>
      </c>
      <c r="AU3678" t="s">
        <v>73</v>
      </c>
      <c r="AV3678">
        <v>1771</v>
      </c>
      <c r="AW3678" s="4">
        <v>42566</v>
      </c>
      <c r="BD3678">
        <v>175.78</v>
      </c>
      <c r="BN3678" t="s">
        <v>74</v>
      </c>
    </row>
    <row r="3679" spans="1:66" hidden="1">
      <c r="A3679">
        <v>101317</v>
      </c>
      <c r="B3679" s="3" t="s">
        <v>408</v>
      </c>
      <c r="C3679" s="1">
        <v>43300101</v>
      </c>
      <c r="D3679" t="s">
        <v>67</v>
      </c>
      <c r="H3679" t="str">
        <f t="shared" si="385"/>
        <v>DNGGTN52A01A783M</v>
      </c>
      <c r="I3679" t="str">
        <f t="shared" si="386"/>
        <v>00592310627</v>
      </c>
      <c r="K3679" t="str">
        <f>""</f>
        <v/>
      </c>
      <c r="M3679" t="s">
        <v>68</v>
      </c>
      <c r="N3679" t="str">
        <f t="shared" si="387"/>
        <v>FOR</v>
      </c>
      <c r="O3679" t="s">
        <v>69</v>
      </c>
      <c r="P3679" s="3" t="s">
        <v>75</v>
      </c>
      <c r="Q3679">
        <v>2015</v>
      </c>
      <c r="R3679" s="2">
        <v>42342</v>
      </c>
      <c r="S3679" s="2">
        <v>42345</v>
      </c>
      <c r="T3679" s="2">
        <v>42342</v>
      </c>
      <c r="U3679" s="2">
        <v>42402</v>
      </c>
      <c r="V3679" t="s">
        <v>71</v>
      </c>
      <c r="W3679" t="str">
        <f>"         000136-2015"</f>
        <v xml:space="preserve">         000136-2015</v>
      </c>
      <c r="X3679">
        <v>431.15</v>
      </c>
      <c r="Y3679">
        <v>0</v>
      </c>
      <c r="Z3679"/>
      <c r="AB3679"/>
      <c r="AC3679">
        <v>353.4</v>
      </c>
      <c r="AD3679">
        <v>1</v>
      </c>
      <c r="AE3679">
        <v>353.4</v>
      </c>
      <c r="AF3679">
        <v>77.75</v>
      </c>
      <c r="AJ3679">
        <v>0</v>
      </c>
      <c r="AK3679">
        <v>0</v>
      </c>
      <c r="AL3679">
        <v>0</v>
      </c>
      <c r="AM3679">
        <v>0</v>
      </c>
      <c r="AN3679">
        <v>0</v>
      </c>
      <c r="AO3679">
        <v>0</v>
      </c>
      <c r="AP3679" s="2">
        <v>42746</v>
      </c>
      <c r="AQ3679" t="s">
        <v>72</v>
      </c>
      <c r="AR3679" t="s">
        <v>72</v>
      </c>
      <c r="AS3679">
        <v>212</v>
      </c>
      <c r="AT3679" s="4">
        <v>42403</v>
      </c>
      <c r="AU3679" t="s">
        <v>73</v>
      </c>
      <c r="AV3679">
        <v>212</v>
      </c>
      <c r="AW3679" s="4">
        <v>42403</v>
      </c>
      <c r="BD3679">
        <v>77.75</v>
      </c>
      <c r="BN3679" t="s">
        <v>74</v>
      </c>
    </row>
    <row r="3680" spans="1:66" hidden="1">
      <c r="A3680">
        <v>101317</v>
      </c>
      <c r="B3680" s="3" t="s">
        <v>408</v>
      </c>
      <c r="C3680" s="1">
        <v>43300101</v>
      </c>
      <c r="D3680" t="s">
        <v>67</v>
      </c>
      <c r="H3680" t="str">
        <f t="shared" si="385"/>
        <v>DNGGTN52A01A783M</v>
      </c>
      <c r="I3680" t="str">
        <f t="shared" si="386"/>
        <v>00592310627</v>
      </c>
      <c r="K3680" t="str">
        <f>""</f>
        <v/>
      </c>
      <c r="M3680" t="s">
        <v>68</v>
      </c>
      <c r="N3680" t="str">
        <f t="shared" si="387"/>
        <v>FOR</v>
      </c>
      <c r="O3680" t="s">
        <v>69</v>
      </c>
      <c r="P3680" s="3" t="s">
        <v>75</v>
      </c>
      <c r="Q3680">
        <v>2015</v>
      </c>
      <c r="R3680" s="2">
        <v>42342</v>
      </c>
      <c r="S3680" s="2">
        <v>42345</v>
      </c>
      <c r="T3680" s="2">
        <v>42342</v>
      </c>
      <c r="U3680" s="2">
        <v>42402</v>
      </c>
      <c r="V3680" t="s">
        <v>71</v>
      </c>
      <c r="W3680" t="str">
        <f>"         000137-2015"</f>
        <v xml:space="preserve">         000137-2015</v>
      </c>
      <c r="X3680">
        <v>214.72</v>
      </c>
      <c r="Y3680">
        <v>0</v>
      </c>
      <c r="Z3680"/>
      <c r="AB3680"/>
      <c r="AC3680">
        <v>176</v>
      </c>
      <c r="AD3680">
        <v>1</v>
      </c>
      <c r="AE3680">
        <v>176</v>
      </c>
      <c r="AF3680">
        <v>38.72</v>
      </c>
      <c r="AJ3680">
        <v>0</v>
      </c>
      <c r="AK3680">
        <v>0</v>
      </c>
      <c r="AL3680">
        <v>0</v>
      </c>
      <c r="AM3680">
        <v>0</v>
      </c>
      <c r="AN3680">
        <v>0</v>
      </c>
      <c r="AO3680">
        <v>0</v>
      </c>
      <c r="AP3680" s="2">
        <v>42746</v>
      </c>
      <c r="AQ3680" t="s">
        <v>72</v>
      </c>
      <c r="AR3680" t="s">
        <v>72</v>
      </c>
      <c r="AS3680">
        <v>212</v>
      </c>
      <c r="AT3680" s="4">
        <v>42403</v>
      </c>
      <c r="AU3680" t="s">
        <v>73</v>
      </c>
      <c r="AV3680">
        <v>212</v>
      </c>
      <c r="AW3680" s="4">
        <v>42403</v>
      </c>
      <c r="BD3680">
        <v>38.72</v>
      </c>
      <c r="BN3680" t="s">
        <v>74</v>
      </c>
    </row>
    <row r="3681" spans="1:66" hidden="1">
      <c r="A3681">
        <v>101317</v>
      </c>
      <c r="B3681" s="3" t="s">
        <v>408</v>
      </c>
      <c r="C3681" s="1">
        <v>43300101</v>
      </c>
      <c r="D3681" t="s">
        <v>67</v>
      </c>
      <c r="H3681" t="str">
        <f t="shared" si="385"/>
        <v>DNGGTN52A01A783M</v>
      </c>
      <c r="I3681" t="str">
        <f t="shared" si="386"/>
        <v>00592310627</v>
      </c>
      <c r="K3681" t="str">
        <f>""</f>
        <v/>
      </c>
      <c r="M3681" t="s">
        <v>68</v>
      </c>
      <c r="N3681" t="str">
        <f t="shared" si="387"/>
        <v>FOR</v>
      </c>
      <c r="O3681" t="s">
        <v>69</v>
      </c>
      <c r="P3681" s="3" t="s">
        <v>75</v>
      </c>
      <c r="Q3681">
        <v>2015</v>
      </c>
      <c r="R3681" s="2">
        <v>42342</v>
      </c>
      <c r="S3681" s="2">
        <v>42345</v>
      </c>
      <c r="T3681" s="2">
        <v>42342</v>
      </c>
      <c r="U3681" s="2">
        <v>42402</v>
      </c>
      <c r="V3681" t="s">
        <v>71</v>
      </c>
      <c r="W3681" t="str">
        <f>"         000138-2015"</f>
        <v xml:space="preserve">         000138-2015</v>
      </c>
      <c r="X3681">
        <v>362.1</v>
      </c>
      <c r="Y3681">
        <v>0</v>
      </c>
      <c r="Z3681"/>
      <c r="AB3681"/>
      <c r="AC3681">
        <v>296.8</v>
      </c>
      <c r="AD3681">
        <v>1</v>
      </c>
      <c r="AE3681">
        <v>296.8</v>
      </c>
      <c r="AF3681">
        <v>65.3</v>
      </c>
      <c r="AJ3681">
        <v>0</v>
      </c>
      <c r="AK3681">
        <v>0</v>
      </c>
      <c r="AL3681">
        <v>0</v>
      </c>
      <c r="AM3681">
        <v>0</v>
      </c>
      <c r="AN3681">
        <v>0</v>
      </c>
      <c r="AO3681">
        <v>0</v>
      </c>
      <c r="AP3681" s="2">
        <v>42746</v>
      </c>
      <c r="AQ3681" t="s">
        <v>72</v>
      </c>
      <c r="AR3681" t="s">
        <v>72</v>
      </c>
      <c r="AS3681">
        <v>212</v>
      </c>
      <c r="AT3681" s="4">
        <v>42403</v>
      </c>
      <c r="AU3681" t="s">
        <v>73</v>
      </c>
      <c r="AV3681">
        <v>212</v>
      </c>
      <c r="AW3681" s="4">
        <v>42403</v>
      </c>
      <c r="BD3681">
        <v>65.3</v>
      </c>
      <c r="BN3681" t="s">
        <v>74</v>
      </c>
    </row>
    <row r="3682" spans="1:66" hidden="1">
      <c r="A3682">
        <v>101317</v>
      </c>
      <c r="B3682" s="3" t="s">
        <v>408</v>
      </c>
      <c r="C3682" s="1">
        <v>43300101</v>
      </c>
      <c r="D3682" t="s">
        <v>67</v>
      </c>
      <c r="H3682" t="str">
        <f t="shared" si="385"/>
        <v>DNGGTN52A01A783M</v>
      </c>
      <c r="I3682" t="str">
        <f t="shared" si="386"/>
        <v>00592310627</v>
      </c>
      <c r="K3682" t="str">
        <f>""</f>
        <v/>
      </c>
      <c r="M3682" t="s">
        <v>68</v>
      </c>
      <c r="N3682" t="str">
        <f t="shared" si="387"/>
        <v>FOR</v>
      </c>
      <c r="O3682" t="s">
        <v>69</v>
      </c>
      <c r="P3682" s="3" t="s">
        <v>75</v>
      </c>
      <c r="Q3682">
        <v>2015</v>
      </c>
      <c r="R3682" s="2">
        <v>42342</v>
      </c>
      <c r="S3682" s="2">
        <v>42345</v>
      </c>
      <c r="T3682" s="2">
        <v>42342</v>
      </c>
      <c r="U3682" s="2">
        <v>42402</v>
      </c>
      <c r="V3682" t="s">
        <v>71</v>
      </c>
      <c r="W3682" t="str">
        <f>"         000139-2015"</f>
        <v xml:space="preserve">         000139-2015</v>
      </c>
      <c r="X3682">
        <v>268.39999999999998</v>
      </c>
      <c r="Y3682">
        <v>0</v>
      </c>
      <c r="Z3682"/>
      <c r="AB3682"/>
      <c r="AC3682">
        <v>220</v>
      </c>
      <c r="AD3682">
        <v>164</v>
      </c>
      <c r="AE3682" s="1">
        <v>36080</v>
      </c>
      <c r="AF3682">
        <v>48.4</v>
      </c>
      <c r="AJ3682">
        <v>0</v>
      </c>
      <c r="AK3682">
        <v>0</v>
      </c>
      <c r="AL3682">
        <v>0</v>
      </c>
      <c r="AM3682">
        <v>0</v>
      </c>
      <c r="AN3682">
        <v>0</v>
      </c>
      <c r="AO3682">
        <v>0</v>
      </c>
      <c r="AP3682" s="2">
        <v>42746</v>
      </c>
      <c r="AQ3682" t="s">
        <v>72</v>
      </c>
      <c r="AR3682" t="s">
        <v>72</v>
      </c>
      <c r="AS3682">
        <v>1771</v>
      </c>
      <c r="AT3682" s="4">
        <v>42566</v>
      </c>
      <c r="AU3682" t="s">
        <v>73</v>
      </c>
      <c r="AV3682">
        <v>1771</v>
      </c>
      <c r="AW3682" s="4">
        <v>42566</v>
      </c>
      <c r="BD3682">
        <v>48.4</v>
      </c>
      <c r="BN3682" t="s">
        <v>74</v>
      </c>
    </row>
    <row r="3683" spans="1:66" hidden="1">
      <c r="A3683">
        <v>101317</v>
      </c>
      <c r="B3683" s="3" t="s">
        <v>408</v>
      </c>
      <c r="C3683" s="1">
        <v>43300101</v>
      </c>
      <c r="D3683" t="s">
        <v>67</v>
      </c>
      <c r="H3683" t="str">
        <f t="shared" si="385"/>
        <v>DNGGTN52A01A783M</v>
      </c>
      <c r="I3683" t="str">
        <f t="shared" si="386"/>
        <v>00592310627</v>
      </c>
      <c r="K3683" t="str">
        <f>""</f>
        <v/>
      </c>
      <c r="M3683" t="s">
        <v>68</v>
      </c>
      <c r="N3683" t="str">
        <f t="shared" si="387"/>
        <v>FOR</v>
      </c>
      <c r="O3683" t="s">
        <v>69</v>
      </c>
      <c r="P3683" s="3" t="s">
        <v>75</v>
      </c>
      <c r="Q3683">
        <v>2015</v>
      </c>
      <c r="R3683" s="2">
        <v>42342</v>
      </c>
      <c r="S3683" s="2">
        <v>42352</v>
      </c>
      <c r="T3683" s="2">
        <v>42347</v>
      </c>
      <c r="U3683" s="2">
        <v>42407</v>
      </c>
      <c r="V3683" t="s">
        <v>71</v>
      </c>
      <c r="W3683" t="str">
        <f>"         000140-2015"</f>
        <v xml:space="preserve">         000140-2015</v>
      </c>
      <c r="X3683">
        <v>462.87</v>
      </c>
      <c r="Y3683">
        <v>0</v>
      </c>
      <c r="Z3683"/>
      <c r="AB3683"/>
      <c r="AC3683">
        <v>379.4</v>
      </c>
      <c r="AD3683">
        <v>-4</v>
      </c>
      <c r="AE3683" s="1">
        <v>-1517.6</v>
      </c>
      <c r="AF3683">
        <v>83.47</v>
      </c>
      <c r="AJ3683">
        <v>0</v>
      </c>
      <c r="AK3683">
        <v>0</v>
      </c>
      <c r="AL3683">
        <v>0</v>
      </c>
      <c r="AM3683">
        <v>0</v>
      </c>
      <c r="AN3683">
        <v>0</v>
      </c>
      <c r="AO3683">
        <v>0</v>
      </c>
      <c r="AP3683" s="2">
        <v>42746</v>
      </c>
      <c r="AQ3683" t="s">
        <v>72</v>
      </c>
      <c r="AR3683" t="s">
        <v>72</v>
      </c>
      <c r="AS3683">
        <v>212</v>
      </c>
      <c r="AT3683" s="4">
        <v>42403</v>
      </c>
      <c r="AV3683">
        <v>212</v>
      </c>
      <c r="AW3683" s="4">
        <v>42403</v>
      </c>
      <c r="BD3683">
        <v>83.47</v>
      </c>
      <c r="BN3683" t="s">
        <v>74</v>
      </c>
    </row>
    <row r="3684" spans="1:66" hidden="1">
      <c r="A3684">
        <v>101317</v>
      </c>
      <c r="B3684" s="3" t="s">
        <v>408</v>
      </c>
      <c r="C3684" s="1">
        <v>43300101</v>
      </c>
      <c r="D3684" t="s">
        <v>67</v>
      </c>
      <c r="H3684" t="str">
        <f t="shared" si="385"/>
        <v>DNGGTN52A01A783M</v>
      </c>
      <c r="I3684" t="str">
        <f t="shared" si="386"/>
        <v>00592310627</v>
      </c>
      <c r="K3684" t="str">
        <f>""</f>
        <v/>
      </c>
      <c r="M3684" t="s">
        <v>68</v>
      </c>
      <c r="N3684" t="str">
        <f t="shared" si="387"/>
        <v>FOR</v>
      </c>
      <c r="O3684" t="s">
        <v>69</v>
      </c>
      <c r="P3684" s="3" t="s">
        <v>75</v>
      </c>
      <c r="Q3684">
        <v>2015</v>
      </c>
      <c r="R3684" s="2">
        <v>42342</v>
      </c>
      <c r="S3684" s="2">
        <v>42345</v>
      </c>
      <c r="T3684" s="2">
        <v>42342</v>
      </c>
      <c r="U3684" s="2">
        <v>42402</v>
      </c>
      <c r="V3684" t="s">
        <v>71</v>
      </c>
      <c r="W3684" t="str">
        <f>"         000141-2015"</f>
        <v xml:space="preserve">         000141-2015</v>
      </c>
      <c r="X3684">
        <v>225.7</v>
      </c>
      <c r="Y3684">
        <v>0</v>
      </c>
      <c r="Z3684"/>
      <c r="AB3684"/>
      <c r="AC3684">
        <v>185</v>
      </c>
      <c r="AD3684">
        <v>164</v>
      </c>
      <c r="AE3684" s="1">
        <v>30340</v>
      </c>
      <c r="AF3684">
        <v>40.700000000000003</v>
      </c>
      <c r="AJ3684">
        <v>0</v>
      </c>
      <c r="AK3684">
        <v>0</v>
      </c>
      <c r="AL3684">
        <v>0</v>
      </c>
      <c r="AM3684">
        <v>0</v>
      </c>
      <c r="AN3684">
        <v>0</v>
      </c>
      <c r="AO3684">
        <v>0</v>
      </c>
      <c r="AP3684" s="2">
        <v>42746</v>
      </c>
      <c r="AQ3684" t="s">
        <v>72</v>
      </c>
      <c r="AR3684" t="s">
        <v>72</v>
      </c>
      <c r="AS3684">
        <v>1771</v>
      </c>
      <c r="AT3684" s="4">
        <v>42566</v>
      </c>
      <c r="AU3684" t="s">
        <v>73</v>
      </c>
      <c r="AV3684">
        <v>1771</v>
      </c>
      <c r="AW3684" s="4">
        <v>42566</v>
      </c>
      <c r="BD3684">
        <v>40.700000000000003</v>
      </c>
      <c r="BN3684" t="s">
        <v>74</v>
      </c>
    </row>
    <row r="3685" spans="1:66" hidden="1">
      <c r="A3685">
        <v>101317</v>
      </c>
      <c r="B3685" s="3" t="s">
        <v>408</v>
      </c>
      <c r="C3685" s="1">
        <v>43300101</v>
      </c>
      <c r="D3685" t="s">
        <v>67</v>
      </c>
      <c r="H3685" t="str">
        <f t="shared" si="385"/>
        <v>DNGGTN52A01A783M</v>
      </c>
      <c r="I3685" t="str">
        <f t="shared" si="386"/>
        <v>00592310627</v>
      </c>
      <c r="K3685" t="str">
        <f>""</f>
        <v/>
      </c>
      <c r="M3685" t="s">
        <v>68</v>
      </c>
      <c r="N3685" t="str">
        <f t="shared" si="387"/>
        <v>FOR</v>
      </c>
      <c r="O3685" t="s">
        <v>69</v>
      </c>
      <c r="P3685" s="3" t="s">
        <v>75</v>
      </c>
      <c r="Q3685">
        <v>2015</v>
      </c>
      <c r="R3685" s="2">
        <v>42342</v>
      </c>
      <c r="S3685" s="2">
        <v>42352</v>
      </c>
      <c r="T3685" s="2">
        <v>42347</v>
      </c>
      <c r="U3685" s="2">
        <v>42407</v>
      </c>
      <c r="V3685" t="s">
        <v>71</v>
      </c>
      <c r="W3685" t="str">
        <f>"         000142-2015"</f>
        <v xml:space="preserve">         000142-2015</v>
      </c>
      <c r="X3685">
        <v>61</v>
      </c>
      <c r="Y3685">
        <v>0</v>
      </c>
      <c r="Z3685"/>
      <c r="AB3685"/>
      <c r="AC3685">
        <v>50</v>
      </c>
      <c r="AD3685">
        <v>159</v>
      </c>
      <c r="AE3685" s="1">
        <v>7950</v>
      </c>
      <c r="AF3685">
        <v>11</v>
      </c>
      <c r="AJ3685">
        <v>0</v>
      </c>
      <c r="AK3685">
        <v>0</v>
      </c>
      <c r="AL3685">
        <v>0</v>
      </c>
      <c r="AM3685">
        <v>0</v>
      </c>
      <c r="AN3685">
        <v>0</v>
      </c>
      <c r="AO3685">
        <v>0</v>
      </c>
      <c r="AP3685" s="2">
        <v>42746</v>
      </c>
      <c r="AQ3685" t="s">
        <v>72</v>
      </c>
      <c r="AR3685" t="s">
        <v>72</v>
      </c>
      <c r="AS3685">
        <v>1771</v>
      </c>
      <c r="AT3685" s="4">
        <v>42566</v>
      </c>
      <c r="AU3685" t="s">
        <v>73</v>
      </c>
      <c r="AV3685">
        <v>1771</v>
      </c>
      <c r="AW3685" s="4">
        <v>42566</v>
      </c>
      <c r="BD3685">
        <v>11</v>
      </c>
      <c r="BN3685" t="s">
        <v>74</v>
      </c>
    </row>
    <row r="3686" spans="1:66" hidden="1">
      <c r="A3686">
        <v>101317</v>
      </c>
      <c r="B3686" s="3" t="s">
        <v>408</v>
      </c>
      <c r="C3686" s="1">
        <v>43300101</v>
      </c>
      <c r="D3686" t="s">
        <v>67</v>
      </c>
      <c r="H3686" t="str">
        <f t="shared" si="385"/>
        <v>DNGGTN52A01A783M</v>
      </c>
      <c r="I3686" t="str">
        <f t="shared" si="386"/>
        <v>00592310627</v>
      </c>
      <c r="K3686" t="str">
        <f>""</f>
        <v/>
      </c>
      <c r="M3686" t="s">
        <v>68</v>
      </c>
      <c r="N3686" t="str">
        <f t="shared" si="387"/>
        <v>FOR</v>
      </c>
      <c r="O3686" t="s">
        <v>69</v>
      </c>
      <c r="P3686" s="3" t="s">
        <v>75</v>
      </c>
      <c r="Q3686">
        <v>2015</v>
      </c>
      <c r="R3686" s="2">
        <v>42342</v>
      </c>
      <c r="S3686" s="2">
        <v>42345</v>
      </c>
      <c r="T3686" s="2">
        <v>42342</v>
      </c>
      <c r="U3686" s="2">
        <v>42402</v>
      </c>
      <c r="V3686" t="s">
        <v>71</v>
      </c>
      <c r="W3686" t="str">
        <f>"         000143-2015"</f>
        <v xml:space="preserve">         000143-2015</v>
      </c>
      <c r="X3686" s="1">
        <v>1140.7</v>
      </c>
      <c r="Y3686">
        <v>0</v>
      </c>
      <c r="Z3686"/>
      <c r="AB3686"/>
      <c r="AC3686">
        <v>935</v>
      </c>
      <c r="AD3686">
        <v>164</v>
      </c>
      <c r="AE3686" s="1">
        <v>153340</v>
      </c>
      <c r="AF3686">
        <v>205.7</v>
      </c>
      <c r="AJ3686">
        <v>0</v>
      </c>
      <c r="AK3686">
        <v>0</v>
      </c>
      <c r="AL3686">
        <v>0</v>
      </c>
      <c r="AM3686">
        <v>0</v>
      </c>
      <c r="AN3686">
        <v>0</v>
      </c>
      <c r="AO3686">
        <v>0</v>
      </c>
      <c r="AP3686" s="2">
        <v>42746</v>
      </c>
      <c r="AQ3686" t="s">
        <v>72</v>
      </c>
      <c r="AR3686" t="s">
        <v>72</v>
      </c>
      <c r="AS3686">
        <v>1771</v>
      </c>
      <c r="AT3686" s="4">
        <v>42566</v>
      </c>
      <c r="AU3686" t="s">
        <v>73</v>
      </c>
      <c r="AV3686">
        <v>1771</v>
      </c>
      <c r="AW3686" s="4">
        <v>42566</v>
      </c>
      <c r="BD3686">
        <v>205.7</v>
      </c>
      <c r="BN3686" t="s">
        <v>74</v>
      </c>
    </row>
    <row r="3687" spans="1:66" hidden="1">
      <c r="A3687">
        <v>101317</v>
      </c>
      <c r="B3687" s="3" t="s">
        <v>408</v>
      </c>
      <c r="C3687" s="1">
        <v>43300101</v>
      </c>
      <c r="D3687" t="s">
        <v>67</v>
      </c>
      <c r="H3687" t="str">
        <f t="shared" si="385"/>
        <v>DNGGTN52A01A783M</v>
      </c>
      <c r="I3687" t="str">
        <f t="shared" si="386"/>
        <v>00592310627</v>
      </c>
      <c r="K3687" t="str">
        <f>""</f>
        <v/>
      </c>
      <c r="M3687" t="s">
        <v>68</v>
      </c>
      <c r="N3687" t="str">
        <f t="shared" si="387"/>
        <v>FOR</v>
      </c>
      <c r="O3687" t="s">
        <v>69</v>
      </c>
      <c r="P3687" s="3" t="s">
        <v>75</v>
      </c>
      <c r="Q3687">
        <v>2015</v>
      </c>
      <c r="R3687" s="2">
        <v>42342</v>
      </c>
      <c r="S3687" s="2">
        <v>42345</v>
      </c>
      <c r="T3687" s="2">
        <v>42342</v>
      </c>
      <c r="U3687" s="2">
        <v>42402</v>
      </c>
      <c r="V3687" t="s">
        <v>71</v>
      </c>
      <c r="W3687" t="str">
        <f>"         000144-2015"</f>
        <v xml:space="preserve">         000144-2015</v>
      </c>
      <c r="X3687">
        <v>30.38</v>
      </c>
      <c r="Y3687">
        <v>0</v>
      </c>
      <c r="Z3687"/>
      <c r="AB3687"/>
      <c r="AC3687">
        <v>24.9</v>
      </c>
      <c r="AD3687">
        <v>164</v>
      </c>
      <c r="AE3687" s="1">
        <v>4083.6</v>
      </c>
      <c r="AF3687">
        <v>5.48</v>
      </c>
      <c r="AJ3687">
        <v>0</v>
      </c>
      <c r="AK3687">
        <v>0</v>
      </c>
      <c r="AL3687">
        <v>0</v>
      </c>
      <c r="AM3687">
        <v>0</v>
      </c>
      <c r="AN3687">
        <v>0</v>
      </c>
      <c r="AO3687">
        <v>0</v>
      </c>
      <c r="AP3687" s="2">
        <v>42746</v>
      </c>
      <c r="AQ3687" t="s">
        <v>72</v>
      </c>
      <c r="AR3687" t="s">
        <v>72</v>
      </c>
      <c r="AS3687">
        <v>1771</v>
      </c>
      <c r="AT3687" s="4">
        <v>42566</v>
      </c>
      <c r="AU3687" t="s">
        <v>73</v>
      </c>
      <c r="AV3687">
        <v>1771</v>
      </c>
      <c r="AW3687" s="4">
        <v>42566</v>
      </c>
      <c r="BD3687">
        <v>5.48</v>
      </c>
      <c r="BN3687" t="s">
        <v>74</v>
      </c>
    </row>
    <row r="3688" spans="1:66" hidden="1">
      <c r="A3688">
        <v>101317</v>
      </c>
      <c r="B3688" s="3" t="s">
        <v>408</v>
      </c>
      <c r="C3688" s="1">
        <v>43300101</v>
      </c>
      <c r="D3688" t="s">
        <v>67</v>
      </c>
      <c r="H3688" t="str">
        <f t="shared" si="385"/>
        <v>DNGGTN52A01A783M</v>
      </c>
      <c r="I3688" t="str">
        <f t="shared" si="386"/>
        <v>00592310627</v>
      </c>
      <c r="K3688" t="str">
        <f>""</f>
        <v/>
      </c>
      <c r="M3688" t="s">
        <v>68</v>
      </c>
      <c r="N3688" t="str">
        <f t="shared" si="387"/>
        <v>FOR</v>
      </c>
      <c r="O3688" t="s">
        <v>69</v>
      </c>
      <c r="P3688" s="3" t="s">
        <v>75</v>
      </c>
      <c r="Q3688">
        <v>2015</v>
      </c>
      <c r="R3688" s="2">
        <v>42342</v>
      </c>
      <c r="S3688" s="2">
        <v>42345</v>
      </c>
      <c r="T3688" s="2">
        <v>42342</v>
      </c>
      <c r="U3688" s="2">
        <v>42402</v>
      </c>
      <c r="V3688" t="s">
        <v>71</v>
      </c>
      <c r="W3688" t="str">
        <f>"         000145-2015"</f>
        <v xml:space="preserve">         000145-2015</v>
      </c>
      <c r="X3688">
        <v>164.7</v>
      </c>
      <c r="Y3688">
        <v>0</v>
      </c>
      <c r="Z3688"/>
      <c r="AB3688"/>
      <c r="AC3688">
        <v>135</v>
      </c>
      <c r="AD3688">
        <v>164</v>
      </c>
      <c r="AE3688" s="1">
        <v>22140</v>
      </c>
      <c r="AF3688">
        <v>29.7</v>
      </c>
      <c r="AJ3688">
        <v>0</v>
      </c>
      <c r="AK3688">
        <v>0</v>
      </c>
      <c r="AL3688">
        <v>0</v>
      </c>
      <c r="AM3688">
        <v>0</v>
      </c>
      <c r="AN3688">
        <v>0</v>
      </c>
      <c r="AO3688">
        <v>0</v>
      </c>
      <c r="AP3688" s="2">
        <v>42746</v>
      </c>
      <c r="AQ3688" t="s">
        <v>72</v>
      </c>
      <c r="AR3688" t="s">
        <v>72</v>
      </c>
      <c r="AS3688">
        <v>1771</v>
      </c>
      <c r="AT3688" s="4">
        <v>42566</v>
      </c>
      <c r="AU3688" t="s">
        <v>73</v>
      </c>
      <c r="AV3688">
        <v>1771</v>
      </c>
      <c r="AW3688" s="4">
        <v>42566</v>
      </c>
      <c r="BD3688">
        <v>29.7</v>
      </c>
      <c r="BN3688" t="s">
        <v>74</v>
      </c>
    </row>
    <row r="3689" spans="1:66" hidden="1">
      <c r="A3689">
        <v>101317</v>
      </c>
      <c r="B3689" s="3" t="s">
        <v>408</v>
      </c>
      <c r="C3689" s="1">
        <v>43300101</v>
      </c>
      <c r="D3689" t="s">
        <v>67</v>
      </c>
      <c r="H3689" t="str">
        <f t="shared" si="385"/>
        <v>DNGGTN52A01A783M</v>
      </c>
      <c r="I3689" t="str">
        <f t="shared" si="386"/>
        <v>00592310627</v>
      </c>
      <c r="K3689" t="str">
        <f>""</f>
        <v/>
      </c>
      <c r="M3689" t="s">
        <v>68</v>
      </c>
      <c r="N3689" t="str">
        <f t="shared" si="387"/>
        <v>FOR</v>
      </c>
      <c r="O3689" t="s">
        <v>69</v>
      </c>
      <c r="P3689" s="3" t="s">
        <v>75</v>
      </c>
      <c r="Q3689">
        <v>2015</v>
      </c>
      <c r="R3689" s="2">
        <v>42342</v>
      </c>
      <c r="S3689" s="2">
        <v>42345</v>
      </c>
      <c r="T3689" s="2">
        <v>42342</v>
      </c>
      <c r="U3689" s="2">
        <v>42402</v>
      </c>
      <c r="V3689" t="s">
        <v>71</v>
      </c>
      <c r="W3689" t="str">
        <f>"         000146-2015"</f>
        <v xml:space="preserve">         000146-2015</v>
      </c>
      <c r="X3689">
        <v>72.959999999999994</v>
      </c>
      <c r="Y3689">
        <v>0</v>
      </c>
      <c r="Z3689"/>
      <c r="AB3689"/>
      <c r="AC3689">
        <v>59.8</v>
      </c>
      <c r="AD3689">
        <v>164</v>
      </c>
      <c r="AE3689" s="1">
        <v>9807.2000000000007</v>
      </c>
      <c r="AF3689">
        <v>13.16</v>
      </c>
      <c r="AJ3689">
        <v>0</v>
      </c>
      <c r="AK3689">
        <v>0</v>
      </c>
      <c r="AL3689">
        <v>0</v>
      </c>
      <c r="AM3689">
        <v>0</v>
      </c>
      <c r="AN3689">
        <v>0</v>
      </c>
      <c r="AO3689">
        <v>0</v>
      </c>
      <c r="AP3689" s="2">
        <v>42746</v>
      </c>
      <c r="AQ3689" t="s">
        <v>72</v>
      </c>
      <c r="AR3689" t="s">
        <v>72</v>
      </c>
      <c r="AS3689">
        <v>1771</v>
      </c>
      <c r="AT3689" s="4">
        <v>42566</v>
      </c>
      <c r="AU3689" t="s">
        <v>73</v>
      </c>
      <c r="AV3689">
        <v>1771</v>
      </c>
      <c r="AW3689" s="4">
        <v>42566</v>
      </c>
      <c r="BD3689">
        <v>13.16</v>
      </c>
      <c r="BN3689" t="s">
        <v>74</v>
      </c>
    </row>
    <row r="3690" spans="1:66" hidden="1">
      <c r="A3690">
        <v>101317</v>
      </c>
      <c r="B3690" s="3" t="s">
        <v>408</v>
      </c>
      <c r="C3690" s="1">
        <v>43300101</v>
      </c>
      <c r="D3690" t="s">
        <v>67</v>
      </c>
      <c r="H3690" t="str">
        <f t="shared" si="385"/>
        <v>DNGGTN52A01A783M</v>
      </c>
      <c r="I3690" t="str">
        <f t="shared" si="386"/>
        <v>00592310627</v>
      </c>
      <c r="K3690" t="str">
        <f>""</f>
        <v/>
      </c>
      <c r="M3690" t="s">
        <v>68</v>
      </c>
      <c r="N3690" t="str">
        <f t="shared" si="387"/>
        <v>FOR</v>
      </c>
      <c r="O3690" t="s">
        <v>69</v>
      </c>
      <c r="P3690" s="3" t="s">
        <v>75</v>
      </c>
      <c r="Q3690">
        <v>2015</v>
      </c>
      <c r="R3690" s="2">
        <v>42342</v>
      </c>
      <c r="S3690" s="2">
        <v>42345</v>
      </c>
      <c r="T3690" s="2">
        <v>42345</v>
      </c>
      <c r="U3690" s="2">
        <v>42405</v>
      </c>
      <c r="V3690" t="s">
        <v>71</v>
      </c>
      <c r="W3690" t="str">
        <f>"         000147-2015"</f>
        <v xml:space="preserve">         000147-2015</v>
      </c>
      <c r="X3690">
        <v>91.5</v>
      </c>
      <c r="Y3690">
        <v>0</v>
      </c>
      <c r="Z3690"/>
      <c r="AB3690"/>
      <c r="AC3690">
        <v>75</v>
      </c>
      <c r="AD3690">
        <v>161</v>
      </c>
      <c r="AE3690" s="1">
        <v>12075</v>
      </c>
      <c r="AF3690">
        <v>16.5</v>
      </c>
      <c r="AJ3690">
        <v>0</v>
      </c>
      <c r="AK3690">
        <v>0</v>
      </c>
      <c r="AL3690">
        <v>0</v>
      </c>
      <c r="AM3690">
        <v>0</v>
      </c>
      <c r="AN3690">
        <v>0</v>
      </c>
      <c r="AO3690">
        <v>0</v>
      </c>
      <c r="AP3690" s="2">
        <v>42746</v>
      </c>
      <c r="AQ3690" t="s">
        <v>72</v>
      </c>
      <c r="AR3690" t="s">
        <v>72</v>
      </c>
      <c r="AS3690">
        <v>1771</v>
      </c>
      <c r="AT3690" s="4">
        <v>42566</v>
      </c>
      <c r="AU3690" t="s">
        <v>73</v>
      </c>
      <c r="AV3690">
        <v>1771</v>
      </c>
      <c r="AW3690" s="4">
        <v>42566</v>
      </c>
      <c r="BD3690">
        <v>16.5</v>
      </c>
      <c r="BN3690" t="s">
        <v>74</v>
      </c>
    </row>
    <row r="3691" spans="1:66" hidden="1">
      <c r="A3691">
        <v>101317</v>
      </c>
      <c r="B3691" s="3" t="s">
        <v>408</v>
      </c>
      <c r="C3691" s="1">
        <v>43300101</v>
      </c>
      <c r="D3691" t="s">
        <v>67</v>
      </c>
      <c r="H3691" t="str">
        <f t="shared" si="385"/>
        <v>DNGGTN52A01A783M</v>
      </c>
      <c r="I3691" t="str">
        <f t="shared" si="386"/>
        <v>00592310627</v>
      </c>
      <c r="K3691" t="str">
        <f>""</f>
        <v/>
      </c>
      <c r="M3691" t="s">
        <v>68</v>
      </c>
      <c r="N3691" t="str">
        <f t="shared" si="387"/>
        <v>FOR</v>
      </c>
      <c r="O3691" t="s">
        <v>69</v>
      </c>
      <c r="P3691" s="3" t="s">
        <v>75</v>
      </c>
      <c r="Q3691">
        <v>2016</v>
      </c>
      <c r="R3691" s="2">
        <v>42381</v>
      </c>
      <c r="S3691" s="2">
        <v>42382</v>
      </c>
      <c r="T3691" s="2">
        <v>42381</v>
      </c>
      <c r="U3691" s="2">
        <v>42441</v>
      </c>
      <c r="V3691" t="s">
        <v>71</v>
      </c>
      <c r="W3691" t="str">
        <f>"       000001-2016-E"</f>
        <v xml:space="preserve">       000001-2016-E</v>
      </c>
      <c r="X3691">
        <v>336.24</v>
      </c>
      <c r="Y3691">
        <v>0</v>
      </c>
      <c r="Z3691"/>
      <c r="AB3691"/>
      <c r="AC3691">
        <v>275.60000000000002</v>
      </c>
      <c r="AD3691">
        <v>125</v>
      </c>
      <c r="AE3691" s="1">
        <v>34450</v>
      </c>
      <c r="AF3691">
        <v>60.64</v>
      </c>
      <c r="AJ3691">
        <v>0</v>
      </c>
      <c r="AK3691">
        <v>0</v>
      </c>
      <c r="AL3691">
        <v>0</v>
      </c>
      <c r="AM3691">
        <v>336.24</v>
      </c>
      <c r="AN3691">
        <v>336.24</v>
      </c>
      <c r="AO3691">
        <v>336.24</v>
      </c>
      <c r="AP3691" s="2">
        <v>42746</v>
      </c>
      <c r="AQ3691" t="s">
        <v>72</v>
      </c>
      <c r="AR3691" t="s">
        <v>72</v>
      </c>
      <c r="AS3691">
        <v>1771</v>
      </c>
      <c r="AT3691" s="4">
        <v>42566</v>
      </c>
      <c r="AU3691" t="s">
        <v>73</v>
      </c>
      <c r="AV3691">
        <v>1771</v>
      </c>
      <c r="AW3691" s="4">
        <v>42566</v>
      </c>
      <c r="BD3691">
        <v>60.64</v>
      </c>
      <c r="BN3691" t="s">
        <v>74</v>
      </c>
    </row>
    <row r="3692" spans="1:66" hidden="1">
      <c r="A3692">
        <v>101317</v>
      </c>
      <c r="B3692" s="3" t="s">
        <v>408</v>
      </c>
      <c r="C3692" s="1">
        <v>43300101</v>
      </c>
      <c r="D3692" t="s">
        <v>67</v>
      </c>
      <c r="H3692" t="str">
        <f t="shared" si="385"/>
        <v>DNGGTN52A01A783M</v>
      </c>
      <c r="I3692" t="str">
        <f t="shared" si="386"/>
        <v>00592310627</v>
      </c>
      <c r="K3692" t="str">
        <f>""</f>
        <v/>
      </c>
      <c r="M3692" t="s">
        <v>68</v>
      </c>
      <c r="N3692" t="str">
        <f t="shared" si="387"/>
        <v>FOR</v>
      </c>
      <c r="O3692" t="s">
        <v>69</v>
      </c>
      <c r="P3692" s="3" t="s">
        <v>75</v>
      </c>
      <c r="Q3692">
        <v>2016</v>
      </c>
      <c r="R3692" s="2">
        <v>42381</v>
      </c>
      <c r="S3692" s="2">
        <v>42382</v>
      </c>
      <c r="T3692" s="2">
        <v>42382</v>
      </c>
      <c r="U3692" s="2">
        <v>42442</v>
      </c>
      <c r="V3692" t="s">
        <v>71</v>
      </c>
      <c r="W3692" t="str">
        <f>"       000002-2016-E"</f>
        <v xml:space="preserve">       000002-2016-E</v>
      </c>
      <c r="X3692">
        <v>71.37</v>
      </c>
      <c r="Y3692">
        <v>0</v>
      </c>
      <c r="Z3692"/>
      <c r="AB3692"/>
      <c r="AC3692">
        <v>58.5</v>
      </c>
      <c r="AD3692">
        <v>124</v>
      </c>
      <c r="AE3692" s="1">
        <v>7254</v>
      </c>
      <c r="AF3692">
        <v>12.87</v>
      </c>
      <c r="AJ3692">
        <v>0</v>
      </c>
      <c r="AK3692">
        <v>0</v>
      </c>
      <c r="AL3692">
        <v>0</v>
      </c>
      <c r="AM3692">
        <v>71.37</v>
      </c>
      <c r="AN3692">
        <v>71.37</v>
      </c>
      <c r="AO3692">
        <v>71.37</v>
      </c>
      <c r="AP3692" s="2">
        <v>42746</v>
      </c>
      <c r="AQ3692" t="s">
        <v>72</v>
      </c>
      <c r="AR3692" t="s">
        <v>72</v>
      </c>
      <c r="AS3692">
        <v>1771</v>
      </c>
      <c r="AT3692" s="4">
        <v>42566</v>
      </c>
      <c r="AU3692" t="s">
        <v>73</v>
      </c>
      <c r="AV3692">
        <v>1771</v>
      </c>
      <c r="AW3692" s="4">
        <v>42566</v>
      </c>
      <c r="BD3692">
        <v>12.87</v>
      </c>
      <c r="BN3692" t="s">
        <v>74</v>
      </c>
    </row>
    <row r="3693" spans="1:66" hidden="1">
      <c r="A3693">
        <v>101317</v>
      </c>
      <c r="B3693" s="3" t="s">
        <v>408</v>
      </c>
      <c r="C3693" s="1">
        <v>43300101</v>
      </c>
      <c r="D3693" t="s">
        <v>67</v>
      </c>
      <c r="H3693" t="str">
        <f t="shared" si="385"/>
        <v>DNGGTN52A01A783M</v>
      </c>
      <c r="I3693" t="str">
        <f t="shared" si="386"/>
        <v>00592310627</v>
      </c>
      <c r="K3693" t="str">
        <f>""</f>
        <v/>
      </c>
      <c r="M3693" t="s">
        <v>68</v>
      </c>
      <c r="N3693" t="str">
        <f t="shared" si="387"/>
        <v>FOR</v>
      </c>
      <c r="O3693" t="s">
        <v>69</v>
      </c>
      <c r="P3693" s="3" t="s">
        <v>75</v>
      </c>
      <c r="Q3693">
        <v>2016</v>
      </c>
      <c r="R3693" s="2">
        <v>42381</v>
      </c>
      <c r="S3693" s="2">
        <v>42382</v>
      </c>
      <c r="T3693" s="2">
        <v>42382</v>
      </c>
      <c r="U3693" s="2">
        <v>42442</v>
      </c>
      <c r="V3693" t="s">
        <v>71</v>
      </c>
      <c r="W3693" t="str">
        <f>"       000003-2016-E"</f>
        <v xml:space="preserve">       000003-2016-E</v>
      </c>
      <c r="X3693">
        <v>433.1</v>
      </c>
      <c r="Y3693">
        <v>0</v>
      </c>
      <c r="Z3693"/>
      <c r="AB3693"/>
      <c r="AC3693">
        <v>355</v>
      </c>
      <c r="AD3693">
        <v>124</v>
      </c>
      <c r="AE3693" s="1">
        <v>44020</v>
      </c>
      <c r="AF3693">
        <v>78.099999999999994</v>
      </c>
      <c r="AJ3693">
        <v>0</v>
      </c>
      <c r="AK3693">
        <v>0</v>
      </c>
      <c r="AL3693">
        <v>0</v>
      </c>
      <c r="AM3693">
        <v>433.1</v>
      </c>
      <c r="AN3693">
        <v>433.1</v>
      </c>
      <c r="AO3693">
        <v>433.1</v>
      </c>
      <c r="AP3693" s="2">
        <v>42746</v>
      </c>
      <c r="AQ3693" t="s">
        <v>72</v>
      </c>
      <c r="AR3693" t="s">
        <v>72</v>
      </c>
      <c r="AS3693">
        <v>1771</v>
      </c>
      <c r="AT3693" s="4">
        <v>42566</v>
      </c>
      <c r="AU3693" t="s">
        <v>73</v>
      </c>
      <c r="AV3693">
        <v>1771</v>
      </c>
      <c r="AW3693" s="4">
        <v>42566</v>
      </c>
      <c r="BD3693">
        <v>78.099999999999994</v>
      </c>
      <c r="BN3693" t="s">
        <v>74</v>
      </c>
    </row>
    <row r="3694" spans="1:66" hidden="1">
      <c r="A3694">
        <v>101317</v>
      </c>
      <c r="B3694" s="3" t="s">
        <v>408</v>
      </c>
      <c r="C3694" s="1">
        <v>43300101</v>
      </c>
      <c r="D3694" t="s">
        <v>67</v>
      </c>
      <c r="H3694" t="str">
        <f t="shared" ref="H3694:H3725" si="388">"DNGGTN52A01A783M"</f>
        <v>DNGGTN52A01A783M</v>
      </c>
      <c r="I3694" t="str">
        <f t="shared" ref="I3694:I3725" si="389">"00592310627"</f>
        <v>00592310627</v>
      </c>
      <c r="K3694" t="str">
        <f>""</f>
        <v/>
      </c>
      <c r="M3694" t="s">
        <v>68</v>
      </c>
      <c r="N3694" t="str">
        <f t="shared" ref="N3694:N3725" si="390">"FOR"</f>
        <v>FOR</v>
      </c>
      <c r="O3694" t="s">
        <v>69</v>
      </c>
      <c r="P3694" s="3" t="s">
        <v>75</v>
      </c>
      <c r="Q3694">
        <v>2016</v>
      </c>
      <c r="R3694" s="2">
        <v>42381</v>
      </c>
      <c r="S3694" s="2">
        <v>42382</v>
      </c>
      <c r="T3694" s="2">
        <v>42382</v>
      </c>
      <c r="U3694" s="2">
        <v>42442</v>
      </c>
      <c r="V3694" t="s">
        <v>71</v>
      </c>
      <c r="W3694" t="str">
        <f>"       000004-2016-E"</f>
        <v xml:space="preserve">       000004-2016-E</v>
      </c>
      <c r="X3694">
        <v>237.9</v>
      </c>
      <c r="Y3694">
        <v>0</v>
      </c>
      <c r="Z3694"/>
      <c r="AB3694"/>
      <c r="AC3694">
        <v>195</v>
      </c>
      <c r="AD3694">
        <v>124</v>
      </c>
      <c r="AE3694" s="1">
        <v>24180</v>
      </c>
      <c r="AF3694">
        <v>42.9</v>
      </c>
      <c r="AJ3694">
        <v>0</v>
      </c>
      <c r="AK3694">
        <v>0</v>
      </c>
      <c r="AL3694">
        <v>0</v>
      </c>
      <c r="AM3694">
        <v>237.9</v>
      </c>
      <c r="AN3694">
        <v>237.9</v>
      </c>
      <c r="AO3694">
        <v>237.9</v>
      </c>
      <c r="AP3694" s="2">
        <v>42746</v>
      </c>
      <c r="AQ3694" t="s">
        <v>72</v>
      </c>
      <c r="AR3694" t="s">
        <v>72</v>
      </c>
      <c r="AS3694">
        <v>1771</v>
      </c>
      <c r="AT3694" s="4">
        <v>42566</v>
      </c>
      <c r="AU3694" t="s">
        <v>73</v>
      </c>
      <c r="AV3694">
        <v>1771</v>
      </c>
      <c r="AW3694" s="4">
        <v>42566</v>
      </c>
      <c r="BD3694">
        <v>42.9</v>
      </c>
      <c r="BN3694" t="s">
        <v>74</v>
      </c>
    </row>
    <row r="3695" spans="1:66" hidden="1">
      <c r="A3695">
        <v>101317</v>
      </c>
      <c r="B3695" s="3" t="s">
        <v>408</v>
      </c>
      <c r="C3695" s="1">
        <v>43300101</v>
      </c>
      <c r="D3695" t="s">
        <v>67</v>
      </c>
      <c r="H3695" t="str">
        <f t="shared" si="388"/>
        <v>DNGGTN52A01A783M</v>
      </c>
      <c r="I3695" t="str">
        <f t="shared" si="389"/>
        <v>00592310627</v>
      </c>
      <c r="K3695" t="str">
        <f>""</f>
        <v/>
      </c>
      <c r="M3695" t="s">
        <v>68</v>
      </c>
      <c r="N3695" t="str">
        <f t="shared" si="390"/>
        <v>FOR</v>
      </c>
      <c r="O3695" t="s">
        <v>69</v>
      </c>
      <c r="P3695" s="3" t="s">
        <v>75</v>
      </c>
      <c r="Q3695">
        <v>2016</v>
      </c>
      <c r="R3695" s="2">
        <v>42381</v>
      </c>
      <c r="S3695" s="2">
        <v>42382</v>
      </c>
      <c r="T3695" s="2">
        <v>42382</v>
      </c>
      <c r="U3695" s="2">
        <v>42442</v>
      </c>
      <c r="V3695" t="s">
        <v>71</v>
      </c>
      <c r="W3695" t="str">
        <f>"       000005-2016-E"</f>
        <v xml:space="preserve">       000005-2016-E</v>
      </c>
      <c r="X3695">
        <v>24.28</v>
      </c>
      <c r="Y3695">
        <v>0</v>
      </c>
      <c r="Z3695"/>
      <c r="AB3695"/>
      <c r="AC3695">
        <v>19.899999999999999</v>
      </c>
      <c r="AD3695">
        <v>124</v>
      </c>
      <c r="AE3695" s="1">
        <v>2467.6</v>
      </c>
      <c r="AF3695">
        <v>4.38</v>
      </c>
      <c r="AJ3695">
        <v>0</v>
      </c>
      <c r="AK3695">
        <v>0</v>
      </c>
      <c r="AL3695">
        <v>0</v>
      </c>
      <c r="AM3695">
        <v>24.28</v>
      </c>
      <c r="AN3695">
        <v>24.28</v>
      </c>
      <c r="AO3695">
        <v>24.28</v>
      </c>
      <c r="AP3695" s="2">
        <v>42746</v>
      </c>
      <c r="AQ3695" t="s">
        <v>72</v>
      </c>
      <c r="AR3695" t="s">
        <v>72</v>
      </c>
      <c r="AS3695">
        <v>1771</v>
      </c>
      <c r="AT3695" s="4">
        <v>42566</v>
      </c>
      <c r="AU3695" t="s">
        <v>73</v>
      </c>
      <c r="AV3695">
        <v>1771</v>
      </c>
      <c r="AW3695" s="4">
        <v>42566</v>
      </c>
      <c r="BD3695">
        <v>4.38</v>
      </c>
      <c r="BN3695" t="s">
        <v>74</v>
      </c>
    </row>
    <row r="3696" spans="1:66" hidden="1">
      <c r="A3696">
        <v>101317</v>
      </c>
      <c r="B3696" s="3" t="s">
        <v>408</v>
      </c>
      <c r="C3696" s="1">
        <v>43300101</v>
      </c>
      <c r="D3696" t="s">
        <v>67</v>
      </c>
      <c r="H3696" t="str">
        <f t="shared" si="388"/>
        <v>DNGGTN52A01A783M</v>
      </c>
      <c r="I3696" t="str">
        <f t="shared" si="389"/>
        <v>00592310627</v>
      </c>
      <c r="K3696" t="str">
        <f>""</f>
        <v/>
      </c>
      <c r="M3696" t="s">
        <v>68</v>
      </c>
      <c r="N3696" t="str">
        <f t="shared" si="390"/>
        <v>FOR</v>
      </c>
      <c r="O3696" t="s">
        <v>69</v>
      </c>
      <c r="P3696" s="3" t="s">
        <v>75</v>
      </c>
      <c r="Q3696">
        <v>2016</v>
      </c>
      <c r="R3696" s="2">
        <v>42381</v>
      </c>
      <c r="S3696" s="2">
        <v>42382</v>
      </c>
      <c r="T3696" s="2">
        <v>42382</v>
      </c>
      <c r="U3696" s="2">
        <v>42442</v>
      </c>
      <c r="V3696" t="s">
        <v>71</v>
      </c>
      <c r="W3696" t="str">
        <f>"       000006-2016-E"</f>
        <v xml:space="preserve">       000006-2016-E</v>
      </c>
      <c r="X3696">
        <v>72.959999999999994</v>
      </c>
      <c r="Y3696">
        <v>0</v>
      </c>
      <c r="Z3696"/>
      <c r="AB3696"/>
      <c r="AC3696">
        <v>59.8</v>
      </c>
      <c r="AD3696">
        <v>124</v>
      </c>
      <c r="AE3696" s="1">
        <v>7415.2</v>
      </c>
      <c r="AF3696">
        <v>13.16</v>
      </c>
      <c r="AJ3696">
        <v>0</v>
      </c>
      <c r="AK3696">
        <v>0</v>
      </c>
      <c r="AL3696">
        <v>0</v>
      </c>
      <c r="AM3696">
        <v>72.959999999999994</v>
      </c>
      <c r="AN3696">
        <v>72.959999999999994</v>
      </c>
      <c r="AO3696">
        <v>72.959999999999994</v>
      </c>
      <c r="AP3696" s="2">
        <v>42746</v>
      </c>
      <c r="AQ3696" t="s">
        <v>72</v>
      </c>
      <c r="AR3696" t="s">
        <v>72</v>
      </c>
      <c r="AS3696">
        <v>1771</v>
      </c>
      <c r="AT3696" s="4">
        <v>42566</v>
      </c>
      <c r="AU3696" t="s">
        <v>73</v>
      </c>
      <c r="AV3696">
        <v>1771</v>
      </c>
      <c r="AW3696" s="4">
        <v>42566</v>
      </c>
      <c r="BD3696">
        <v>13.16</v>
      </c>
      <c r="BN3696" t="s">
        <v>74</v>
      </c>
    </row>
    <row r="3697" spans="1:66" hidden="1">
      <c r="A3697">
        <v>101317</v>
      </c>
      <c r="B3697" s="3" t="s">
        <v>408</v>
      </c>
      <c r="C3697" s="1">
        <v>43300101</v>
      </c>
      <c r="D3697" t="s">
        <v>67</v>
      </c>
      <c r="H3697" t="str">
        <f t="shared" si="388"/>
        <v>DNGGTN52A01A783M</v>
      </c>
      <c r="I3697" t="str">
        <f t="shared" si="389"/>
        <v>00592310627</v>
      </c>
      <c r="K3697" t="str">
        <f>""</f>
        <v/>
      </c>
      <c r="M3697" t="s">
        <v>68</v>
      </c>
      <c r="N3697" t="str">
        <f t="shared" si="390"/>
        <v>FOR</v>
      </c>
      <c r="O3697" t="s">
        <v>69</v>
      </c>
      <c r="P3697" s="3" t="s">
        <v>75</v>
      </c>
      <c r="Q3697">
        <v>2016</v>
      </c>
      <c r="R3697" s="2">
        <v>42381</v>
      </c>
      <c r="S3697" s="2">
        <v>42382</v>
      </c>
      <c r="T3697" s="2">
        <v>42382</v>
      </c>
      <c r="U3697" s="2">
        <v>42442</v>
      </c>
      <c r="V3697" t="s">
        <v>71</v>
      </c>
      <c r="W3697" t="str">
        <f>"       000007-2016-E"</f>
        <v xml:space="preserve">       000007-2016-E</v>
      </c>
      <c r="X3697">
        <v>54.9</v>
      </c>
      <c r="Y3697">
        <v>0</v>
      </c>
      <c r="Z3697"/>
      <c r="AB3697"/>
      <c r="AC3697">
        <v>45</v>
      </c>
      <c r="AD3697">
        <v>124</v>
      </c>
      <c r="AE3697" s="1">
        <v>5580</v>
      </c>
      <c r="AF3697">
        <v>9.9</v>
      </c>
      <c r="AJ3697">
        <v>0</v>
      </c>
      <c r="AK3697">
        <v>0</v>
      </c>
      <c r="AL3697">
        <v>0</v>
      </c>
      <c r="AM3697">
        <v>54.9</v>
      </c>
      <c r="AN3697">
        <v>54.9</v>
      </c>
      <c r="AO3697">
        <v>54.9</v>
      </c>
      <c r="AP3697" s="2">
        <v>42746</v>
      </c>
      <c r="AQ3697" t="s">
        <v>72</v>
      </c>
      <c r="AR3697" t="s">
        <v>72</v>
      </c>
      <c r="AS3697">
        <v>1771</v>
      </c>
      <c r="AT3697" s="4">
        <v>42566</v>
      </c>
      <c r="AU3697" t="s">
        <v>73</v>
      </c>
      <c r="AV3697">
        <v>1771</v>
      </c>
      <c r="AW3697" s="4">
        <v>42566</v>
      </c>
      <c r="BD3697">
        <v>9.9</v>
      </c>
      <c r="BN3697" t="s">
        <v>74</v>
      </c>
    </row>
    <row r="3698" spans="1:66" hidden="1">
      <c r="A3698">
        <v>101317</v>
      </c>
      <c r="B3698" s="3" t="s">
        <v>408</v>
      </c>
      <c r="C3698" s="1">
        <v>43300101</v>
      </c>
      <c r="D3698" t="s">
        <v>67</v>
      </c>
      <c r="H3698" t="str">
        <f t="shared" si="388"/>
        <v>DNGGTN52A01A783M</v>
      </c>
      <c r="I3698" t="str">
        <f t="shared" si="389"/>
        <v>00592310627</v>
      </c>
      <c r="K3698" t="str">
        <f>""</f>
        <v/>
      </c>
      <c r="M3698" t="s">
        <v>68</v>
      </c>
      <c r="N3698" t="str">
        <f t="shared" si="390"/>
        <v>FOR</v>
      </c>
      <c r="O3698" t="s">
        <v>69</v>
      </c>
      <c r="P3698" s="3" t="s">
        <v>75</v>
      </c>
      <c r="Q3698">
        <v>2016</v>
      </c>
      <c r="R3698" s="2">
        <v>42391</v>
      </c>
      <c r="S3698" s="2">
        <v>42394</v>
      </c>
      <c r="T3698" s="2">
        <v>42391</v>
      </c>
      <c r="U3698" s="2">
        <v>42451</v>
      </c>
      <c r="V3698" t="s">
        <v>71</v>
      </c>
      <c r="W3698" t="str">
        <f>"       000008-2016-E"</f>
        <v xml:space="preserve">       000008-2016-E</v>
      </c>
      <c r="X3698">
        <v>915</v>
      </c>
      <c r="Y3698">
        <v>0</v>
      </c>
      <c r="Z3698"/>
      <c r="AB3698"/>
      <c r="AC3698">
        <v>750</v>
      </c>
      <c r="AD3698">
        <v>115</v>
      </c>
      <c r="AE3698" s="1">
        <v>86250</v>
      </c>
      <c r="AF3698">
        <v>165</v>
      </c>
      <c r="AJ3698">
        <v>0</v>
      </c>
      <c r="AK3698">
        <v>0</v>
      </c>
      <c r="AL3698">
        <v>0</v>
      </c>
      <c r="AM3698">
        <v>915</v>
      </c>
      <c r="AN3698">
        <v>915</v>
      </c>
      <c r="AO3698">
        <v>915</v>
      </c>
      <c r="AP3698" s="2">
        <v>42746</v>
      </c>
      <c r="AQ3698" t="s">
        <v>72</v>
      </c>
      <c r="AR3698" t="s">
        <v>72</v>
      </c>
      <c r="AS3698">
        <v>1771</v>
      </c>
      <c r="AT3698" s="4">
        <v>42566</v>
      </c>
      <c r="AU3698" t="s">
        <v>73</v>
      </c>
      <c r="AV3698">
        <v>1771</v>
      </c>
      <c r="AW3698" s="4">
        <v>42566</v>
      </c>
      <c r="BD3698">
        <v>165</v>
      </c>
      <c r="BN3698" t="s">
        <v>74</v>
      </c>
    </row>
    <row r="3699" spans="1:66" hidden="1">
      <c r="A3699">
        <v>101317</v>
      </c>
      <c r="B3699" s="3" t="s">
        <v>408</v>
      </c>
      <c r="C3699" s="1">
        <v>43300101</v>
      </c>
      <c r="D3699" t="s">
        <v>67</v>
      </c>
      <c r="H3699" t="str">
        <f t="shared" si="388"/>
        <v>DNGGTN52A01A783M</v>
      </c>
      <c r="I3699" t="str">
        <f t="shared" si="389"/>
        <v>00592310627</v>
      </c>
      <c r="K3699" t="str">
        <f>""</f>
        <v/>
      </c>
      <c r="M3699" t="s">
        <v>68</v>
      </c>
      <c r="N3699" t="str">
        <f t="shared" si="390"/>
        <v>FOR</v>
      </c>
      <c r="O3699" t="s">
        <v>69</v>
      </c>
      <c r="P3699" s="3" t="s">
        <v>75</v>
      </c>
      <c r="Q3699">
        <v>2016</v>
      </c>
      <c r="R3699" s="2">
        <v>42391</v>
      </c>
      <c r="S3699" s="2">
        <v>42394</v>
      </c>
      <c r="T3699" s="2">
        <v>42391</v>
      </c>
      <c r="U3699" s="2">
        <v>42451</v>
      </c>
      <c r="V3699" t="s">
        <v>71</v>
      </c>
      <c r="W3699" t="str">
        <f>"       000009-2016-E"</f>
        <v xml:space="preserve">       000009-2016-E</v>
      </c>
      <c r="X3699">
        <v>131.76</v>
      </c>
      <c r="Y3699">
        <v>0</v>
      </c>
      <c r="Z3699"/>
      <c r="AB3699"/>
      <c r="AC3699">
        <v>108</v>
      </c>
      <c r="AD3699">
        <v>115</v>
      </c>
      <c r="AE3699" s="1">
        <v>12420</v>
      </c>
      <c r="AF3699">
        <v>23.76</v>
      </c>
      <c r="AJ3699">
        <v>0</v>
      </c>
      <c r="AK3699">
        <v>0</v>
      </c>
      <c r="AL3699">
        <v>0</v>
      </c>
      <c r="AM3699">
        <v>131.76</v>
      </c>
      <c r="AN3699">
        <v>131.76</v>
      </c>
      <c r="AO3699">
        <v>131.76</v>
      </c>
      <c r="AP3699" s="2">
        <v>42746</v>
      </c>
      <c r="AQ3699" t="s">
        <v>72</v>
      </c>
      <c r="AR3699" t="s">
        <v>72</v>
      </c>
      <c r="AS3699">
        <v>1771</v>
      </c>
      <c r="AT3699" s="4">
        <v>42566</v>
      </c>
      <c r="AU3699" t="s">
        <v>73</v>
      </c>
      <c r="AV3699">
        <v>1771</v>
      </c>
      <c r="AW3699" s="4">
        <v>42566</v>
      </c>
      <c r="BD3699">
        <v>23.76</v>
      </c>
      <c r="BN3699" t="s">
        <v>74</v>
      </c>
    </row>
    <row r="3700" spans="1:66" hidden="1">
      <c r="A3700">
        <v>101317</v>
      </c>
      <c r="B3700" s="3" t="s">
        <v>408</v>
      </c>
      <c r="C3700" s="1">
        <v>43300101</v>
      </c>
      <c r="D3700" t="s">
        <v>67</v>
      </c>
      <c r="H3700" t="str">
        <f t="shared" si="388"/>
        <v>DNGGTN52A01A783M</v>
      </c>
      <c r="I3700" t="str">
        <f t="shared" si="389"/>
        <v>00592310627</v>
      </c>
      <c r="K3700" t="str">
        <f>""</f>
        <v/>
      </c>
      <c r="M3700" t="s">
        <v>68</v>
      </c>
      <c r="N3700" t="str">
        <f t="shared" si="390"/>
        <v>FOR</v>
      </c>
      <c r="O3700" t="s">
        <v>69</v>
      </c>
      <c r="P3700" s="3" t="s">
        <v>75</v>
      </c>
      <c r="Q3700">
        <v>2016</v>
      </c>
      <c r="R3700" s="2">
        <v>42391</v>
      </c>
      <c r="S3700" s="2">
        <v>42394</v>
      </c>
      <c r="T3700" s="2">
        <v>42391</v>
      </c>
      <c r="U3700" s="2">
        <v>42451</v>
      </c>
      <c r="V3700" t="s">
        <v>71</v>
      </c>
      <c r="W3700" t="str">
        <f>"       000010-2016-E"</f>
        <v xml:space="preserve">       000010-2016-E</v>
      </c>
      <c r="X3700">
        <v>36.479999999999997</v>
      </c>
      <c r="Y3700">
        <v>0</v>
      </c>
      <c r="Z3700"/>
      <c r="AB3700"/>
      <c r="AC3700">
        <v>29.9</v>
      </c>
      <c r="AD3700">
        <v>115</v>
      </c>
      <c r="AE3700" s="1">
        <v>3438.5</v>
      </c>
      <c r="AF3700">
        <v>6.58</v>
      </c>
      <c r="AJ3700">
        <v>0</v>
      </c>
      <c r="AK3700">
        <v>0</v>
      </c>
      <c r="AL3700">
        <v>0</v>
      </c>
      <c r="AM3700">
        <v>36.479999999999997</v>
      </c>
      <c r="AN3700">
        <v>36.479999999999997</v>
      </c>
      <c r="AO3700">
        <v>36.479999999999997</v>
      </c>
      <c r="AP3700" s="2">
        <v>42746</v>
      </c>
      <c r="AQ3700" t="s">
        <v>72</v>
      </c>
      <c r="AR3700" t="s">
        <v>72</v>
      </c>
      <c r="AS3700">
        <v>1771</v>
      </c>
      <c r="AT3700" s="4">
        <v>42566</v>
      </c>
      <c r="AU3700" t="s">
        <v>73</v>
      </c>
      <c r="AV3700">
        <v>1771</v>
      </c>
      <c r="AW3700" s="4">
        <v>42566</v>
      </c>
      <c r="BD3700">
        <v>6.58</v>
      </c>
      <c r="BN3700" t="s">
        <v>74</v>
      </c>
    </row>
    <row r="3701" spans="1:66" hidden="1">
      <c r="A3701">
        <v>101317</v>
      </c>
      <c r="B3701" s="3" t="s">
        <v>408</v>
      </c>
      <c r="C3701" s="1">
        <v>43300101</v>
      </c>
      <c r="D3701" t="s">
        <v>67</v>
      </c>
      <c r="H3701" t="str">
        <f t="shared" si="388"/>
        <v>DNGGTN52A01A783M</v>
      </c>
      <c r="I3701" t="str">
        <f t="shared" si="389"/>
        <v>00592310627</v>
      </c>
      <c r="K3701" t="str">
        <f>""</f>
        <v/>
      </c>
      <c r="M3701" t="s">
        <v>68</v>
      </c>
      <c r="N3701" t="str">
        <f t="shared" si="390"/>
        <v>FOR</v>
      </c>
      <c r="O3701" t="s">
        <v>69</v>
      </c>
      <c r="P3701" s="3" t="s">
        <v>75</v>
      </c>
      <c r="Q3701">
        <v>2016</v>
      </c>
      <c r="R3701" s="2">
        <v>42399</v>
      </c>
      <c r="S3701" s="2">
        <v>42402</v>
      </c>
      <c r="T3701" s="2">
        <v>42399</v>
      </c>
      <c r="U3701" s="2">
        <v>42459</v>
      </c>
      <c r="V3701" t="s">
        <v>71</v>
      </c>
      <c r="W3701" t="str">
        <f>"       000011-2016-E"</f>
        <v xml:space="preserve">       000011-2016-E</v>
      </c>
      <c r="X3701">
        <v>732</v>
      </c>
      <c r="Y3701">
        <v>0</v>
      </c>
      <c r="Z3701"/>
      <c r="AB3701"/>
      <c r="AC3701">
        <v>600</v>
      </c>
      <c r="AD3701">
        <v>107</v>
      </c>
      <c r="AE3701" s="1">
        <v>64200</v>
      </c>
      <c r="AF3701">
        <v>132</v>
      </c>
      <c r="AJ3701">
        <v>0</v>
      </c>
      <c r="AK3701">
        <v>0</v>
      </c>
      <c r="AL3701">
        <v>0</v>
      </c>
      <c r="AM3701">
        <v>732</v>
      </c>
      <c r="AN3701">
        <v>732</v>
      </c>
      <c r="AO3701">
        <v>732</v>
      </c>
      <c r="AP3701" s="2">
        <v>42746</v>
      </c>
      <c r="AQ3701" t="s">
        <v>72</v>
      </c>
      <c r="AR3701" t="s">
        <v>72</v>
      </c>
      <c r="AS3701">
        <v>1771</v>
      </c>
      <c r="AT3701" s="4">
        <v>42566</v>
      </c>
      <c r="AU3701" t="s">
        <v>73</v>
      </c>
      <c r="AV3701">
        <v>1771</v>
      </c>
      <c r="AW3701" s="4">
        <v>42566</v>
      </c>
      <c r="BD3701">
        <v>132</v>
      </c>
      <c r="BN3701" t="s">
        <v>74</v>
      </c>
    </row>
    <row r="3702" spans="1:66" hidden="1">
      <c r="A3702">
        <v>101317</v>
      </c>
      <c r="B3702" s="3" t="s">
        <v>408</v>
      </c>
      <c r="C3702" s="1">
        <v>43300101</v>
      </c>
      <c r="D3702" t="s">
        <v>67</v>
      </c>
      <c r="H3702" t="str">
        <f t="shared" si="388"/>
        <v>DNGGTN52A01A783M</v>
      </c>
      <c r="I3702" t="str">
        <f t="shared" si="389"/>
        <v>00592310627</v>
      </c>
      <c r="K3702" t="str">
        <f>""</f>
        <v/>
      </c>
      <c r="M3702" t="s">
        <v>68</v>
      </c>
      <c r="N3702" t="str">
        <f t="shared" si="390"/>
        <v>FOR</v>
      </c>
      <c r="O3702" t="s">
        <v>69</v>
      </c>
      <c r="P3702" s="3" t="s">
        <v>75</v>
      </c>
      <c r="Q3702">
        <v>2016</v>
      </c>
      <c r="R3702" s="2">
        <v>42399</v>
      </c>
      <c r="S3702" s="2">
        <v>42402</v>
      </c>
      <c r="T3702" s="2">
        <v>42399</v>
      </c>
      <c r="U3702" s="2">
        <v>42459</v>
      </c>
      <c r="V3702" t="s">
        <v>71</v>
      </c>
      <c r="W3702" t="str">
        <f>"       000012-2016-E"</f>
        <v xml:space="preserve">       000012-2016-E</v>
      </c>
      <c r="X3702">
        <v>438.84</v>
      </c>
      <c r="Y3702">
        <v>0</v>
      </c>
      <c r="Z3702"/>
      <c r="AB3702"/>
      <c r="AC3702">
        <v>359.7</v>
      </c>
      <c r="AD3702">
        <v>107</v>
      </c>
      <c r="AE3702" s="1">
        <v>38487.9</v>
      </c>
      <c r="AF3702">
        <v>79.14</v>
      </c>
      <c r="AJ3702">
        <v>0</v>
      </c>
      <c r="AK3702">
        <v>0</v>
      </c>
      <c r="AL3702">
        <v>0</v>
      </c>
      <c r="AM3702">
        <v>438.84</v>
      </c>
      <c r="AN3702">
        <v>438.84</v>
      </c>
      <c r="AO3702">
        <v>438.84</v>
      </c>
      <c r="AP3702" s="2">
        <v>42746</v>
      </c>
      <c r="AQ3702" t="s">
        <v>72</v>
      </c>
      <c r="AR3702" t="s">
        <v>72</v>
      </c>
      <c r="AS3702">
        <v>1771</v>
      </c>
      <c r="AT3702" s="4">
        <v>42566</v>
      </c>
      <c r="AU3702" t="s">
        <v>73</v>
      </c>
      <c r="AV3702">
        <v>1771</v>
      </c>
      <c r="AW3702" s="4">
        <v>42566</v>
      </c>
      <c r="BD3702">
        <v>79.14</v>
      </c>
      <c r="BN3702" t="s">
        <v>74</v>
      </c>
    </row>
    <row r="3703" spans="1:66" hidden="1">
      <c r="A3703">
        <v>101317</v>
      </c>
      <c r="B3703" s="3" t="s">
        <v>408</v>
      </c>
      <c r="C3703" s="1">
        <v>43300101</v>
      </c>
      <c r="D3703" t="s">
        <v>67</v>
      </c>
      <c r="H3703" t="str">
        <f t="shared" si="388"/>
        <v>DNGGTN52A01A783M</v>
      </c>
      <c r="I3703" t="str">
        <f t="shared" si="389"/>
        <v>00592310627</v>
      </c>
      <c r="K3703" t="str">
        <f>""</f>
        <v/>
      </c>
      <c r="M3703" t="s">
        <v>68</v>
      </c>
      <c r="N3703" t="str">
        <f t="shared" si="390"/>
        <v>FOR</v>
      </c>
      <c r="O3703" t="s">
        <v>69</v>
      </c>
      <c r="P3703" s="3" t="s">
        <v>75</v>
      </c>
      <c r="Q3703">
        <v>2016</v>
      </c>
      <c r="R3703" s="2">
        <v>42399</v>
      </c>
      <c r="S3703" s="2">
        <v>42402</v>
      </c>
      <c r="T3703" s="2">
        <v>42399</v>
      </c>
      <c r="U3703" s="2">
        <v>42459</v>
      </c>
      <c r="V3703" t="s">
        <v>71</v>
      </c>
      <c r="W3703" t="str">
        <f>"       000013-2016-E"</f>
        <v xml:space="preserve">       000013-2016-E</v>
      </c>
      <c r="X3703">
        <v>70.760000000000005</v>
      </c>
      <c r="Y3703">
        <v>0</v>
      </c>
      <c r="Z3703"/>
      <c r="AB3703"/>
      <c r="AC3703">
        <v>58</v>
      </c>
      <c r="AD3703">
        <v>107</v>
      </c>
      <c r="AE3703" s="1">
        <v>6206</v>
      </c>
      <c r="AF3703">
        <v>12.76</v>
      </c>
      <c r="AJ3703">
        <v>0</v>
      </c>
      <c r="AK3703">
        <v>0</v>
      </c>
      <c r="AL3703">
        <v>0</v>
      </c>
      <c r="AM3703">
        <v>70.760000000000005</v>
      </c>
      <c r="AN3703">
        <v>70.760000000000005</v>
      </c>
      <c r="AO3703">
        <v>70.760000000000005</v>
      </c>
      <c r="AP3703" s="2">
        <v>42746</v>
      </c>
      <c r="AQ3703" t="s">
        <v>72</v>
      </c>
      <c r="AR3703" t="s">
        <v>72</v>
      </c>
      <c r="AS3703">
        <v>1771</v>
      </c>
      <c r="AT3703" s="4">
        <v>42566</v>
      </c>
      <c r="AU3703" t="s">
        <v>73</v>
      </c>
      <c r="AV3703">
        <v>1771</v>
      </c>
      <c r="AW3703" s="4">
        <v>42566</v>
      </c>
      <c r="BD3703">
        <v>12.76</v>
      </c>
      <c r="BN3703" t="s">
        <v>74</v>
      </c>
    </row>
    <row r="3704" spans="1:66" hidden="1">
      <c r="A3704">
        <v>101317</v>
      </c>
      <c r="B3704" s="3" t="s">
        <v>408</v>
      </c>
      <c r="C3704" s="1">
        <v>43300101</v>
      </c>
      <c r="D3704" t="s">
        <v>67</v>
      </c>
      <c r="H3704" t="str">
        <f t="shared" si="388"/>
        <v>DNGGTN52A01A783M</v>
      </c>
      <c r="I3704" t="str">
        <f t="shared" si="389"/>
        <v>00592310627</v>
      </c>
      <c r="K3704" t="str">
        <f>""</f>
        <v/>
      </c>
      <c r="M3704" t="s">
        <v>68</v>
      </c>
      <c r="N3704" t="str">
        <f t="shared" si="390"/>
        <v>FOR</v>
      </c>
      <c r="O3704" t="s">
        <v>69</v>
      </c>
      <c r="P3704" s="3" t="s">
        <v>75</v>
      </c>
      <c r="Q3704">
        <v>2016</v>
      </c>
      <c r="R3704" s="2">
        <v>42399</v>
      </c>
      <c r="S3704" s="2">
        <v>42402</v>
      </c>
      <c r="T3704" s="2">
        <v>42399</v>
      </c>
      <c r="U3704" s="2">
        <v>42459</v>
      </c>
      <c r="V3704" t="s">
        <v>71</v>
      </c>
      <c r="W3704" t="str">
        <f>"       000014-2016-E"</f>
        <v xml:space="preserve">       000014-2016-E</v>
      </c>
      <c r="X3704">
        <v>84.18</v>
      </c>
      <c r="Y3704">
        <v>0</v>
      </c>
      <c r="Z3704"/>
      <c r="AB3704"/>
      <c r="AC3704">
        <v>69</v>
      </c>
      <c r="AD3704">
        <v>107</v>
      </c>
      <c r="AE3704" s="1">
        <v>7383</v>
      </c>
      <c r="AF3704">
        <v>15.18</v>
      </c>
      <c r="AJ3704">
        <v>0</v>
      </c>
      <c r="AK3704">
        <v>0</v>
      </c>
      <c r="AL3704">
        <v>0</v>
      </c>
      <c r="AM3704">
        <v>84.18</v>
      </c>
      <c r="AN3704">
        <v>84.18</v>
      </c>
      <c r="AO3704">
        <v>84.18</v>
      </c>
      <c r="AP3704" s="2">
        <v>42746</v>
      </c>
      <c r="AQ3704" t="s">
        <v>72</v>
      </c>
      <c r="AR3704" t="s">
        <v>72</v>
      </c>
      <c r="AS3704">
        <v>1771</v>
      </c>
      <c r="AT3704" s="4">
        <v>42566</v>
      </c>
      <c r="AU3704" t="s">
        <v>73</v>
      </c>
      <c r="AV3704">
        <v>1771</v>
      </c>
      <c r="AW3704" s="4">
        <v>42566</v>
      </c>
      <c r="BD3704">
        <v>15.18</v>
      </c>
      <c r="BN3704" t="s">
        <v>74</v>
      </c>
    </row>
    <row r="3705" spans="1:66" hidden="1">
      <c r="A3705">
        <v>101317</v>
      </c>
      <c r="B3705" s="3" t="s">
        <v>408</v>
      </c>
      <c r="C3705" s="1">
        <v>43300101</v>
      </c>
      <c r="D3705" t="s">
        <v>67</v>
      </c>
      <c r="H3705" t="str">
        <f t="shared" si="388"/>
        <v>DNGGTN52A01A783M</v>
      </c>
      <c r="I3705" t="str">
        <f t="shared" si="389"/>
        <v>00592310627</v>
      </c>
      <c r="K3705" t="str">
        <f>""</f>
        <v/>
      </c>
      <c r="M3705" t="s">
        <v>68</v>
      </c>
      <c r="N3705" t="str">
        <f t="shared" si="390"/>
        <v>FOR</v>
      </c>
      <c r="O3705" t="s">
        <v>69</v>
      </c>
      <c r="P3705" s="3" t="s">
        <v>75</v>
      </c>
      <c r="Q3705">
        <v>2016</v>
      </c>
      <c r="R3705" s="2">
        <v>42426</v>
      </c>
      <c r="S3705" s="2">
        <v>42426</v>
      </c>
      <c r="T3705" s="2">
        <v>42426</v>
      </c>
      <c r="U3705" s="2">
        <v>42486</v>
      </c>
      <c r="V3705" t="s">
        <v>71</v>
      </c>
      <c r="W3705" t="str">
        <f>"       000016-2016-E"</f>
        <v xml:space="preserve">       000016-2016-E</v>
      </c>
      <c r="X3705">
        <v>97.36</v>
      </c>
      <c r="Y3705">
        <v>0</v>
      </c>
      <c r="Z3705"/>
      <c r="AB3705"/>
      <c r="AC3705">
        <v>79.8</v>
      </c>
      <c r="AD3705">
        <v>80</v>
      </c>
      <c r="AE3705" s="1">
        <v>6384</v>
      </c>
      <c r="AF3705">
        <v>17.559999999999999</v>
      </c>
      <c r="AJ3705">
        <v>0</v>
      </c>
      <c r="AK3705">
        <v>0</v>
      </c>
      <c r="AL3705">
        <v>0</v>
      </c>
      <c r="AM3705">
        <v>97.36</v>
      </c>
      <c r="AN3705">
        <v>97.36</v>
      </c>
      <c r="AO3705">
        <v>97.36</v>
      </c>
      <c r="AP3705" s="2">
        <v>42746</v>
      </c>
      <c r="AQ3705" t="s">
        <v>72</v>
      </c>
      <c r="AR3705" t="s">
        <v>72</v>
      </c>
      <c r="AS3705">
        <v>1771</v>
      </c>
      <c r="AT3705" s="4">
        <v>42566</v>
      </c>
      <c r="AU3705" t="s">
        <v>73</v>
      </c>
      <c r="AV3705">
        <v>1771</v>
      </c>
      <c r="AW3705" s="4">
        <v>42566</v>
      </c>
      <c r="BD3705">
        <v>17.559999999999999</v>
      </c>
      <c r="BN3705" t="s">
        <v>74</v>
      </c>
    </row>
    <row r="3706" spans="1:66" hidden="1">
      <c r="A3706">
        <v>101317</v>
      </c>
      <c r="B3706" s="3" t="s">
        <v>408</v>
      </c>
      <c r="C3706" s="1">
        <v>43300101</v>
      </c>
      <c r="D3706" t="s">
        <v>67</v>
      </c>
      <c r="H3706" t="str">
        <f t="shared" si="388"/>
        <v>DNGGTN52A01A783M</v>
      </c>
      <c r="I3706" t="str">
        <f t="shared" si="389"/>
        <v>00592310627</v>
      </c>
      <c r="K3706" t="str">
        <f>""</f>
        <v/>
      </c>
      <c r="M3706" t="s">
        <v>68</v>
      </c>
      <c r="N3706" t="str">
        <f t="shared" si="390"/>
        <v>FOR</v>
      </c>
      <c r="O3706" t="s">
        <v>69</v>
      </c>
      <c r="P3706" s="3" t="s">
        <v>75</v>
      </c>
      <c r="Q3706">
        <v>2016</v>
      </c>
      <c r="R3706" s="2">
        <v>42426</v>
      </c>
      <c r="S3706" s="2">
        <v>42426</v>
      </c>
      <c r="T3706" s="2">
        <v>42426</v>
      </c>
      <c r="U3706" s="2">
        <v>42486</v>
      </c>
      <c r="V3706" t="s">
        <v>71</v>
      </c>
      <c r="W3706" t="str">
        <f>"       000017-2016-E"</f>
        <v xml:space="preserve">       000017-2016-E</v>
      </c>
      <c r="X3706">
        <v>475.8</v>
      </c>
      <c r="Y3706">
        <v>0</v>
      </c>
      <c r="Z3706"/>
      <c r="AB3706"/>
      <c r="AC3706">
        <v>390</v>
      </c>
      <c r="AD3706">
        <v>80</v>
      </c>
      <c r="AE3706" s="1">
        <v>31200</v>
      </c>
      <c r="AF3706">
        <v>85.8</v>
      </c>
      <c r="AJ3706">
        <v>0</v>
      </c>
      <c r="AK3706">
        <v>0</v>
      </c>
      <c r="AL3706">
        <v>0</v>
      </c>
      <c r="AM3706">
        <v>475.8</v>
      </c>
      <c r="AN3706">
        <v>475.8</v>
      </c>
      <c r="AO3706">
        <v>475.8</v>
      </c>
      <c r="AP3706" s="2">
        <v>42746</v>
      </c>
      <c r="AQ3706" t="s">
        <v>72</v>
      </c>
      <c r="AR3706" t="s">
        <v>72</v>
      </c>
      <c r="AS3706">
        <v>1771</v>
      </c>
      <c r="AT3706" s="4">
        <v>42566</v>
      </c>
      <c r="AU3706" t="s">
        <v>73</v>
      </c>
      <c r="AV3706">
        <v>1771</v>
      </c>
      <c r="AW3706" s="4">
        <v>42566</v>
      </c>
      <c r="BD3706">
        <v>85.8</v>
      </c>
      <c r="BN3706" t="s">
        <v>74</v>
      </c>
    </row>
    <row r="3707" spans="1:66" hidden="1">
      <c r="A3707">
        <v>101317</v>
      </c>
      <c r="B3707" s="3" t="s">
        <v>408</v>
      </c>
      <c r="C3707" s="1">
        <v>43300101</v>
      </c>
      <c r="D3707" t="s">
        <v>67</v>
      </c>
      <c r="H3707" t="str">
        <f t="shared" si="388"/>
        <v>DNGGTN52A01A783M</v>
      </c>
      <c r="I3707" t="str">
        <f t="shared" si="389"/>
        <v>00592310627</v>
      </c>
      <c r="K3707" t="str">
        <f>""</f>
        <v/>
      </c>
      <c r="M3707" t="s">
        <v>68</v>
      </c>
      <c r="N3707" t="str">
        <f t="shared" si="390"/>
        <v>FOR</v>
      </c>
      <c r="O3707" t="s">
        <v>69</v>
      </c>
      <c r="P3707" s="3" t="s">
        <v>75</v>
      </c>
      <c r="Q3707">
        <v>2016</v>
      </c>
      <c r="R3707" s="2">
        <v>42426</v>
      </c>
      <c r="S3707" s="2">
        <v>42426</v>
      </c>
      <c r="T3707" s="2">
        <v>42426</v>
      </c>
      <c r="U3707" s="2">
        <v>42486</v>
      </c>
      <c r="V3707" t="s">
        <v>71</v>
      </c>
      <c r="W3707" t="str">
        <f>"       000018-2016-E"</f>
        <v xml:space="preserve">       000018-2016-E</v>
      </c>
      <c r="X3707">
        <v>556.32000000000005</v>
      </c>
      <c r="Y3707">
        <v>0</v>
      </c>
      <c r="Z3707"/>
      <c r="AB3707"/>
      <c r="AC3707">
        <v>456</v>
      </c>
      <c r="AD3707">
        <v>80</v>
      </c>
      <c r="AE3707" s="1">
        <v>36480</v>
      </c>
      <c r="AF3707">
        <v>100.32</v>
      </c>
      <c r="AJ3707">
        <v>0</v>
      </c>
      <c r="AK3707">
        <v>0</v>
      </c>
      <c r="AL3707">
        <v>0</v>
      </c>
      <c r="AM3707">
        <v>556.32000000000005</v>
      </c>
      <c r="AN3707">
        <v>556.32000000000005</v>
      </c>
      <c r="AO3707">
        <v>556.32000000000005</v>
      </c>
      <c r="AP3707" s="2">
        <v>42746</v>
      </c>
      <c r="AQ3707" t="s">
        <v>72</v>
      </c>
      <c r="AR3707" t="s">
        <v>72</v>
      </c>
      <c r="AS3707">
        <v>1771</v>
      </c>
      <c r="AT3707" s="4">
        <v>42566</v>
      </c>
      <c r="AU3707" t="s">
        <v>73</v>
      </c>
      <c r="AV3707">
        <v>1771</v>
      </c>
      <c r="AW3707" s="4">
        <v>42566</v>
      </c>
      <c r="BD3707">
        <v>100.32</v>
      </c>
      <c r="BN3707" t="s">
        <v>74</v>
      </c>
    </row>
    <row r="3708" spans="1:66" hidden="1">
      <c r="A3708">
        <v>101317</v>
      </c>
      <c r="B3708" s="3" t="s">
        <v>408</v>
      </c>
      <c r="C3708" s="1">
        <v>43300101</v>
      </c>
      <c r="D3708" t="s">
        <v>67</v>
      </c>
      <c r="H3708" t="str">
        <f t="shared" si="388"/>
        <v>DNGGTN52A01A783M</v>
      </c>
      <c r="I3708" t="str">
        <f t="shared" si="389"/>
        <v>00592310627</v>
      </c>
      <c r="K3708" t="str">
        <f>""</f>
        <v/>
      </c>
      <c r="M3708" t="s">
        <v>68</v>
      </c>
      <c r="N3708" t="str">
        <f t="shared" si="390"/>
        <v>FOR</v>
      </c>
      <c r="O3708" t="s">
        <v>69</v>
      </c>
      <c r="P3708" s="3" t="s">
        <v>75</v>
      </c>
      <c r="Q3708">
        <v>2016</v>
      </c>
      <c r="R3708" s="2">
        <v>42426</v>
      </c>
      <c r="S3708" s="2">
        <v>42426</v>
      </c>
      <c r="T3708" s="2">
        <v>42426</v>
      </c>
      <c r="U3708" s="2">
        <v>42486</v>
      </c>
      <c r="V3708" t="s">
        <v>71</v>
      </c>
      <c r="W3708" t="str">
        <f>"       000019-2016-E"</f>
        <v xml:space="preserve">       000019-2016-E</v>
      </c>
      <c r="X3708">
        <v>402.6</v>
      </c>
      <c r="Y3708">
        <v>0</v>
      </c>
      <c r="Z3708"/>
      <c r="AB3708"/>
      <c r="AC3708">
        <v>330</v>
      </c>
      <c r="AD3708">
        <v>80</v>
      </c>
      <c r="AE3708" s="1">
        <v>26400</v>
      </c>
      <c r="AF3708">
        <v>72.599999999999994</v>
      </c>
      <c r="AJ3708">
        <v>0</v>
      </c>
      <c r="AK3708">
        <v>0</v>
      </c>
      <c r="AL3708">
        <v>0</v>
      </c>
      <c r="AM3708">
        <v>402.6</v>
      </c>
      <c r="AN3708">
        <v>402.6</v>
      </c>
      <c r="AO3708">
        <v>402.6</v>
      </c>
      <c r="AP3708" s="2">
        <v>42746</v>
      </c>
      <c r="AQ3708" t="s">
        <v>72</v>
      </c>
      <c r="AR3708" t="s">
        <v>72</v>
      </c>
      <c r="AS3708">
        <v>1771</v>
      </c>
      <c r="AT3708" s="4">
        <v>42566</v>
      </c>
      <c r="AU3708" t="s">
        <v>73</v>
      </c>
      <c r="AV3708">
        <v>1771</v>
      </c>
      <c r="AW3708" s="4">
        <v>42566</v>
      </c>
      <c r="BD3708">
        <v>72.599999999999994</v>
      </c>
      <c r="BN3708" t="s">
        <v>74</v>
      </c>
    </row>
    <row r="3709" spans="1:66" hidden="1">
      <c r="A3709">
        <v>101317</v>
      </c>
      <c r="B3709" s="3" t="s">
        <v>408</v>
      </c>
      <c r="C3709" s="1">
        <v>43300101</v>
      </c>
      <c r="D3709" t="s">
        <v>67</v>
      </c>
      <c r="H3709" t="str">
        <f t="shared" si="388"/>
        <v>DNGGTN52A01A783M</v>
      </c>
      <c r="I3709" t="str">
        <f t="shared" si="389"/>
        <v>00592310627</v>
      </c>
      <c r="K3709" t="str">
        <f>""</f>
        <v/>
      </c>
      <c r="M3709" t="s">
        <v>68</v>
      </c>
      <c r="N3709" t="str">
        <f t="shared" si="390"/>
        <v>FOR</v>
      </c>
      <c r="O3709" t="s">
        <v>69</v>
      </c>
      <c r="P3709" s="3" t="s">
        <v>75</v>
      </c>
      <c r="Q3709">
        <v>2016</v>
      </c>
      <c r="R3709" s="2">
        <v>42426</v>
      </c>
      <c r="S3709" s="2">
        <v>42426</v>
      </c>
      <c r="T3709" s="2">
        <v>42426</v>
      </c>
      <c r="U3709" s="2">
        <v>42486</v>
      </c>
      <c r="V3709" t="s">
        <v>71</v>
      </c>
      <c r="W3709" t="str">
        <f>"       000020-2016-E"</f>
        <v xml:space="preserve">       000020-2016-E</v>
      </c>
      <c r="X3709">
        <v>109.68</v>
      </c>
      <c r="Y3709">
        <v>0</v>
      </c>
      <c r="Z3709"/>
      <c r="AB3709"/>
      <c r="AC3709">
        <v>89.9</v>
      </c>
      <c r="AD3709">
        <v>80</v>
      </c>
      <c r="AE3709" s="1">
        <v>7192</v>
      </c>
      <c r="AF3709">
        <v>19.78</v>
      </c>
      <c r="AJ3709">
        <v>0</v>
      </c>
      <c r="AK3709">
        <v>0</v>
      </c>
      <c r="AL3709">
        <v>0</v>
      </c>
      <c r="AM3709">
        <v>109.68</v>
      </c>
      <c r="AN3709">
        <v>109.68</v>
      </c>
      <c r="AO3709">
        <v>109.68</v>
      </c>
      <c r="AP3709" s="2">
        <v>42746</v>
      </c>
      <c r="AQ3709" t="s">
        <v>72</v>
      </c>
      <c r="AR3709" t="s">
        <v>72</v>
      </c>
      <c r="AS3709">
        <v>1771</v>
      </c>
      <c r="AT3709" s="4">
        <v>42566</v>
      </c>
      <c r="AU3709" t="s">
        <v>73</v>
      </c>
      <c r="AV3709">
        <v>1771</v>
      </c>
      <c r="AW3709" s="4">
        <v>42566</v>
      </c>
      <c r="BD3709">
        <v>19.78</v>
      </c>
      <c r="BN3709" t="s">
        <v>74</v>
      </c>
    </row>
    <row r="3710" spans="1:66" hidden="1">
      <c r="A3710">
        <v>101317</v>
      </c>
      <c r="B3710" s="3" t="s">
        <v>408</v>
      </c>
      <c r="C3710" s="1">
        <v>43300101</v>
      </c>
      <c r="D3710" t="s">
        <v>67</v>
      </c>
      <c r="H3710" t="str">
        <f t="shared" si="388"/>
        <v>DNGGTN52A01A783M</v>
      </c>
      <c r="I3710" t="str">
        <f t="shared" si="389"/>
        <v>00592310627</v>
      </c>
      <c r="K3710" t="str">
        <f>""</f>
        <v/>
      </c>
      <c r="M3710" t="s">
        <v>68</v>
      </c>
      <c r="N3710" t="str">
        <f t="shared" si="390"/>
        <v>FOR</v>
      </c>
      <c r="O3710" t="s">
        <v>69</v>
      </c>
      <c r="P3710" s="3" t="s">
        <v>75</v>
      </c>
      <c r="Q3710">
        <v>2016</v>
      </c>
      <c r="R3710" s="2">
        <v>42426</v>
      </c>
      <c r="S3710" s="2">
        <v>42426</v>
      </c>
      <c r="T3710" s="2">
        <v>42426</v>
      </c>
      <c r="U3710" s="2">
        <v>42486</v>
      </c>
      <c r="V3710" t="s">
        <v>71</v>
      </c>
      <c r="W3710" t="str">
        <f>"       000021-2016-E"</f>
        <v xml:space="preserve">       000021-2016-E</v>
      </c>
      <c r="X3710">
        <v>417.24</v>
      </c>
      <c r="Y3710">
        <v>0</v>
      </c>
      <c r="Z3710"/>
      <c r="AB3710"/>
      <c r="AC3710">
        <v>342</v>
      </c>
      <c r="AD3710">
        <v>80</v>
      </c>
      <c r="AE3710" s="1">
        <v>27360</v>
      </c>
      <c r="AF3710">
        <v>75.239999999999995</v>
      </c>
      <c r="AJ3710">
        <v>0</v>
      </c>
      <c r="AK3710">
        <v>0</v>
      </c>
      <c r="AL3710">
        <v>0</v>
      </c>
      <c r="AM3710">
        <v>417.24</v>
      </c>
      <c r="AN3710">
        <v>417.24</v>
      </c>
      <c r="AO3710">
        <v>417.24</v>
      </c>
      <c r="AP3710" s="2">
        <v>42746</v>
      </c>
      <c r="AQ3710" t="s">
        <v>72</v>
      </c>
      <c r="AR3710" t="s">
        <v>72</v>
      </c>
      <c r="AS3710">
        <v>1771</v>
      </c>
      <c r="AT3710" s="4">
        <v>42566</v>
      </c>
      <c r="AU3710" t="s">
        <v>73</v>
      </c>
      <c r="AV3710">
        <v>1771</v>
      </c>
      <c r="AW3710" s="4">
        <v>42566</v>
      </c>
      <c r="BD3710">
        <v>75.239999999999995</v>
      </c>
      <c r="BN3710" t="s">
        <v>74</v>
      </c>
    </row>
    <row r="3711" spans="1:66" hidden="1">
      <c r="A3711">
        <v>101317</v>
      </c>
      <c r="B3711" s="3" t="s">
        <v>408</v>
      </c>
      <c r="C3711" s="1">
        <v>43300101</v>
      </c>
      <c r="D3711" t="s">
        <v>67</v>
      </c>
      <c r="H3711" t="str">
        <f t="shared" si="388"/>
        <v>DNGGTN52A01A783M</v>
      </c>
      <c r="I3711" t="str">
        <f t="shared" si="389"/>
        <v>00592310627</v>
      </c>
      <c r="K3711" t="str">
        <f>""</f>
        <v/>
      </c>
      <c r="M3711" t="s">
        <v>68</v>
      </c>
      <c r="N3711" t="str">
        <f t="shared" si="390"/>
        <v>FOR</v>
      </c>
      <c r="O3711" t="s">
        <v>69</v>
      </c>
      <c r="P3711" s="3" t="s">
        <v>75</v>
      </c>
      <c r="Q3711">
        <v>2016</v>
      </c>
      <c r="R3711" s="2">
        <v>42429</v>
      </c>
      <c r="S3711" s="2">
        <v>42436</v>
      </c>
      <c r="T3711" s="2">
        <v>42429</v>
      </c>
      <c r="U3711" s="2">
        <v>42489</v>
      </c>
      <c r="V3711" t="s">
        <v>71</v>
      </c>
      <c r="W3711" t="str">
        <f>"       000023-2016-E"</f>
        <v xml:space="preserve">       000023-2016-E</v>
      </c>
      <c r="X3711">
        <v>834.48</v>
      </c>
      <c r="Y3711">
        <v>0</v>
      </c>
      <c r="Z3711"/>
      <c r="AB3711"/>
      <c r="AC3711">
        <v>684</v>
      </c>
      <c r="AD3711">
        <v>77</v>
      </c>
      <c r="AE3711" s="1">
        <v>52668</v>
      </c>
      <c r="AF3711">
        <v>150.47999999999999</v>
      </c>
      <c r="AJ3711">
        <v>0</v>
      </c>
      <c r="AK3711">
        <v>0</v>
      </c>
      <c r="AL3711">
        <v>0</v>
      </c>
      <c r="AM3711">
        <v>834.48</v>
      </c>
      <c r="AN3711">
        <v>834.48</v>
      </c>
      <c r="AO3711">
        <v>834.48</v>
      </c>
      <c r="AP3711" s="2">
        <v>42746</v>
      </c>
      <c r="AQ3711" t="s">
        <v>72</v>
      </c>
      <c r="AR3711" t="s">
        <v>72</v>
      </c>
      <c r="AS3711">
        <v>1771</v>
      </c>
      <c r="AT3711" s="4">
        <v>42566</v>
      </c>
      <c r="AU3711" t="s">
        <v>73</v>
      </c>
      <c r="AV3711">
        <v>1771</v>
      </c>
      <c r="AW3711" s="4">
        <v>42566</v>
      </c>
      <c r="BD3711">
        <v>150.47999999999999</v>
      </c>
      <c r="BN3711" t="s">
        <v>74</v>
      </c>
    </row>
    <row r="3712" spans="1:66" hidden="1">
      <c r="A3712">
        <v>101317</v>
      </c>
      <c r="B3712" s="3" t="s">
        <v>408</v>
      </c>
      <c r="C3712" s="1">
        <v>43300101</v>
      </c>
      <c r="D3712" t="s">
        <v>67</v>
      </c>
      <c r="H3712" t="str">
        <f t="shared" si="388"/>
        <v>DNGGTN52A01A783M</v>
      </c>
      <c r="I3712" t="str">
        <f t="shared" si="389"/>
        <v>00592310627</v>
      </c>
      <c r="K3712" t="str">
        <f>""</f>
        <v/>
      </c>
      <c r="M3712" t="s">
        <v>68</v>
      </c>
      <c r="N3712" t="str">
        <f t="shared" si="390"/>
        <v>FOR</v>
      </c>
      <c r="O3712" t="s">
        <v>69</v>
      </c>
      <c r="P3712" s="3" t="s">
        <v>75</v>
      </c>
      <c r="Q3712">
        <v>2016</v>
      </c>
      <c r="R3712" s="2">
        <v>42439</v>
      </c>
      <c r="S3712" s="2">
        <v>42443</v>
      </c>
      <c r="T3712" s="2">
        <v>42440</v>
      </c>
      <c r="U3712" s="2">
        <v>42500</v>
      </c>
      <c r="V3712" t="s">
        <v>71</v>
      </c>
      <c r="W3712" t="str">
        <f>"       000024-2016-E"</f>
        <v xml:space="preserve">       000024-2016-E</v>
      </c>
      <c r="X3712">
        <v>707.6</v>
      </c>
      <c r="Y3712">
        <v>0</v>
      </c>
      <c r="Z3712"/>
      <c r="AB3712"/>
      <c r="AC3712">
        <v>580</v>
      </c>
      <c r="AD3712">
        <v>66</v>
      </c>
      <c r="AE3712" s="1">
        <v>38280</v>
      </c>
      <c r="AF3712">
        <v>127.6</v>
      </c>
      <c r="AJ3712">
        <v>0</v>
      </c>
      <c r="AK3712">
        <v>0</v>
      </c>
      <c r="AL3712">
        <v>0</v>
      </c>
      <c r="AM3712">
        <v>707.6</v>
      </c>
      <c r="AN3712">
        <v>707.6</v>
      </c>
      <c r="AO3712">
        <v>707.6</v>
      </c>
      <c r="AP3712" s="2">
        <v>42746</v>
      </c>
      <c r="AQ3712" t="s">
        <v>72</v>
      </c>
      <c r="AR3712" t="s">
        <v>72</v>
      </c>
      <c r="AS3712">
        <v>1771</v>
      </c>
      <c r="AT3712" s="4">
        <v>42566</v>
      </c>
      <c r="AU3712" t="s">
        <v>73</v>
      </c>
      <c r="AV3712">
        <v>1771</v>
      </c>
      <c r="AW3712" s="4">
        <v>42566</v>
      </c>
      <c r="BD3712">
        <v>127.6</v>
      </c>
      <c r="BN3712" t="s">
        <v>74</v>
      </c>
    </row>
    <row r="3713" spans="1:66" hidden="1">
      <c r="A3713">
        <v>101317</v>
      </c>
      <c r="B3713" s="3" t="s">
        <v>408</v>
      </c>
      <c r="C3713" s="1">
        <v>43300101</v>
      </c>
      <c r="D3713" t="s">
        <v>67</v>
      </c>
      <c r="H3713" t="str">
        <f t="shared" si="388"/>
        <v>DNGGTN52A01A783M</v>
      </c>
      <c r="I3713" t="str">
        <f t="shared" si="389"/>
        <v>00592310627</v>
      </c>
      <c r="K3713" t="str">
        <f>""</f>
        <v/>
      </c>
      <c r="M3713" t="s">
        <v>68</v>
      </c>
      <c r="N3713" t="str">
        <f t="shared" si="390"/>
        <v>FOR</v>
      </c>
      <c r="O3713" t="s">
        <v>69</v>
      </c>
      <c r="P3713" s="3" t="s">
        <v>75</v>
      </c>
      <c r="Q3713">
        <v>2016</v>
      </c>
      <c r="R3713" s="2">
        <v>42439</v>
      </c>
      <c r="S3713" s="2">
        <v>42443</v>
      </c>
      <c r="T3713" s="2">
        <v>42440</v>
      </c>
      <c r="U3713" s="2">
        <v>42500</v>
      </c>
      <c r="V3713" t="s">
        <v>71</v>
      </c>
      <c r="W3713" t="str">
        <f>"       000025-2016-E"</f>
        <v xml:space="preserve">       000025-2016-E</v>
      </c>
      <c r="X3713">
        <v>379.67</v>
      </c>
      <c r="Y3713">
        <v>0</v>
      </c>
      <c r="Z3713"/>
      <c r="AB3713"/>
      <c r="AC3713">
        <v>311.2</v>
      </c>
      <c r="AD3713">
        <v>66</v>
      </c>
      <c r="AE3713" s="1">
        <v>20539.2</v>
      </c>
      <c r="AF3713">
        <v>68.47</v>
      </c>
      <c r="AJ3713">
        <v>0</v>
      </c>
      <c r="AK3713">
        <v>0</v>
      </c>
      <c r="AL3713">
        <v>0</v>
      </c>
      <c r="AM3713">
        <v>379.67</v>
      </c>
      <c r="AN3713">
        <v>379.67</v>
      </c>
      <c r="AO3713">
        <v>379.67</v>
      </c>
      <c r="AP3713" s="2">
        <v>42746</v>
      </c>
      <c r="AQ3713" t="s">
        <v>72</v>
      </c>
      <c r="AR3713" t="s">
        <v>72</v>
      </c>
      <c r="AS3713">
        <v>1771</v>
      </c>
      <c r="AT3713" s="4">
        <v>42566</v>
      </c>
      <c r="AU3713" t="s">
        <v>73</v>
      </c>
      <c r="AV3713">
        <v>1771</v>
      </c>
      <c r="AW3713" s="4">
        <v>42566</v>
      </c>
      <c r="BD3713">
        <v>68.47</v>
      </c>
      <c r="BN3713" t="s">
        <v>74</v>
      </c>
    </row>
    <row r="3714" spans="1:66" hidden="1">
      <c r="A3714">
        <v>101317</v>
      </c>
      <c r="B3714" s="3" t="s">
        <v>408</v>
      </c>
      <c r="C3714" s="1">
        <v>43300101</v>
      </c>
      <c r="D3714" t="s">
        <v>67</v>
      </c>
      <c r="H3714" t="str">
        <f t="shared" si="388"/>
        <v>DNGGTN52A01A783M</v>
      </c>
      <c r="I3714" t="str">
        <f t="shared" si="389"/>
        <v>00592310627</v>
      </c>
      <c r="K3714" t="str">
        <f>""</f>
        <v/>
      </c>
      <c r="M3714" t="s">
        <v>68</v>
      </c>
      <c r="N3714" t="str">
        <f t="shared" si="390"/>
        <v>FOR</v>
      </c>
      <c r="O3714" t="s">
        <v>69</v>
      </c>
      <c r="P3714" s="3" t="s">
        <v>75</v>
      </c>
      <c r="Q3714">
        <v>2016</v>
      </c>
      <c r="R3714" s="2">
        <v>42439</v>
      </c>
      <c r="S3714" s="2">
        <v>42443</v>
      </c>
      <c r="T3714" s="2">
        <v>42440</v>
      </c>
      <c r="U3714" s="2">
        <v>42500</v>
      </c>
      <c r="V3714" t="s">
        <v>71</v>
      </c>
      <c r="W3714" t="str">
        <f>"       000026-2016-E"</f>
        <v xml:space="preserve">       000026-2016-E</v>
      </c>
      <c r="X3714">
        <v>505.45</v>
      </c>
      <c r="Y3714">
        <v>0</v>
      </c>
      <c r="Z3714"/>
      <c r="AB3714"/>
      <c r="AC3714">
        <v>414.3</v>
      </c>
      <c r="AD3714">
        <v>66</v>
      </c>
      <c r="AE3714" s="1">
        <v>27343.8</v>
      </c>
      <c r="AF3714">
        <v>91.15</v>
      </c>
      <c r="AJ3714">
        <v>0</v>
      </c>
      <c r="AK3714">
        <v>0</v>
      </c>
      <c r="AL3714">
        <v>0</v>
      </c>
      <c r="AM3714">
        <v>505.45</v>
      </c>
      <c r="AN3714">
        <v>505.45</v>
      </c>
      <c r="AO3714">
        <v>505.45</v>
      </c>
      <c r="AP3714" s="2">
        <v>42746</v>
      </c>
      <c r="AQ3714" t="s">
        <v>72</v>
      </c>
      <c r="AR3714" t="s">
        <v>72</v>
      </c>
      <c r="AS3714">
        <v>1771</v>
      </c>
      <c r="AT3714" s="4">
        <v>42566</v>
      </c>
      <c r="AU3714" t="s">
        <v>73</v>
      </c>
      <c r="AV3714">
        <v>1771</v>
      </c>
      <c r="AW3714" s="4">
        <v>42566</v>
      </c>
      <c r="BD3714">
        <v>91.15</v>
      </c>
      <c r="BN3714" t="s">
        <v>74</v>
      </c>
    </row>
    <row r="3715" spans="1:66" hidden="1">
      <c r="A3715">
        <v>101317</v>
      </c>
      <c r="B3715" s="3" t="s">
        <v>408</v>
      </c>
      <c r="C3715" s="1">
        <v>43300101</v>
      </c>
      <c r="D3715" t="s">
        <v>67</v>
      </c>
      <c r="H3715" t="str">
        <f t="shared" si="388"/>
        <v>DNGGTN52A01A783M</v>
      </c>
      <c r="I3715" t="str">
        <f t="shared" si="389"/>
        <v>00592310627</v>
      </c>
      <c r="K3715" t="str">
        <f>""</f>
        <v/>
      </c>
      <c r="M3715" t="s">
        <v>68</v>
      </c>
      <c r="N3715" t="str">
        <f t="shared" si="390"/>
        <v>FOR</v>
      </c>
      <c r="O3715" t="s">
        <v>69</v>
      </c>
      <c r="P3715" s="3" t="s">
        <v>75</v>
      </c>
      <c r="Q3715">
        <v>2016</v>
      </c>
      <c r="R3715" s="2">
        <v>42439</v>
      </c>
      <c r="S3715" s="2">
        <v>42443</v>
      </c>
      <c r="T3715" s="2">
        <v>42440</v>
      </c>
      <c r="U3715" s="2">
        <v>42500</v>
      </c>
      <c r="V3715" t="s">
        <v>71</v>
      </c>
      <c r="W3715" t="str">
        <f>"       000027-2016-E"</f>
        <v xml:space="preserve">       000027-2016-E</v>
      </c>
      <c r="X3715">
        <v>271.45</v>
      </c>
      <c r="Y3715">
        <v>0</v>
      </c>
      <c r="Z3715"/>
      <c r="AB3715"/>
      <c r="AC3715">
        <v>222.5</v>
      </c>
      <c r="AD3715">
        <v>66</v>
      </c>
      <c r="AE3715" s="1">
        <v>14685</v>
      </c>
      <c r="AF3715">
        <v>48.95</v>
      </c>
      <c r="AJ3715">
        <v>0</v>
      </c>
      <c r="AK3715">
        <v>0</v>
      </c>
      <c r="AL3715">
        <v>0</v>
      </c>
      <c r="AM3715">
        <v>271.45</v>
      </c>
      <c r="AN3715">
        <v>271.45</v>
      </c>
      <c r="AO3715">
        <v>271.45</v>
      </c>
      <c r="AP3715" s="2">
        <v>42746</v>
      </c>
      <c r="AQ3715" t="s">
        <v>72</v>
      </c>
      <c r="AR3715" t="s">
        <v>72</v>
      </c>
      <c r="AS3715">
        <v>1771</v>
      </c>
      <c r="AT3715" s="4">
        <v>42566</v>
      </c>
      <c r="AU3715" t="s">
        <v>73</v>
      </c>
      <c r="AV3715">
        <v>1771</v>
      </c>
      <c r="AW3715" s="4">
        <v>42566</v>
      </c>
      <c r="BD3715">
        <v>48.95</v>
      </c>
      <c r="BN3715" t="s">
        <v>74</v>
      </c>
    </row>
    <row r="3716" spans="1:66" hidden="1">
      <c r="A3716">
        <v>101317</v>
      </c>
      <c r="B3716" s="3" t="s">
        <v>408</v>
      </c>
      <c r="C3716" s="1">
        <v>43300101</v>
      </c>
      <c r="D3716" t="s">
        <v>67</v>
      </c>
      <c r="H3716" t="str">
        <f t="shared" si="388"/>
        <v>DNGGTN52A01A783M</v>
      </c>
      <c r="I3716" t="str">
        <f t="shared" si="389"/>
        <v>00592310627</v>
      </c>
      <c r="K3716" t="str">
        <f>""</f>
        <v/>
      </c>
      <c r="M3716" t="s">
        <v>68</v>
      </c>
      <c r="N3716" t="str">
        <f t="shared" si="390"/>
        <v>FOR</v>
      </c>
      <c r="O3716" t="s">
        <v>69</v>
      </c>
      <c r="P3716" s="3" t="s">
        <v>75</v>
      </c>
      <c r="Q3716">
        <v>2016</v>
      </c>
      <c r="R3716" s="2">
        <v>42439</v>
      </c>
      <c r="S3716" s="2">
        <v>42443</v>
      </c>
      <c r="T3716" s="2">
        <v>42440</v>
      </c>
      <c r="U3716" s="2">
        <v>42500</v>
      </c>
      <c r="V3716" t="s">
        <v>71</v>
      </c>
      <c r="W3716" t="str">
        <f>"       000028-2016-E"</f>
        <v xml:space="preserve">       000028-2016-E</v>
      </c>
      <c r="X3716">
        <v>156.16</v>
      </c>
      <c r="Y3716">
        <v>0</v>
      </c>
      <c r="Z3716"/>
      <c r="AB3716"/>
      <c r="AC3716">
        <v>128</v>
      </c>
      <c r="AD3716">
        <v>66</v>
      </c>
      <c r="AE3716" s="1">
        <v>8448</v>
      </c>
      <c r="AF3716">
        <v>28.16</v>
      </c>
      <c r="AJ3716">
        <v>0</v>
      </c>
      <c r="AK3716">
        <v>0</v>
      </c>
      <c r="AL3716">
        <v>0</v>
      </c>
      <c r="AM3716">
        <v>156.16</v>
      </c>
      <c r="AN3716">
        <v>156.16</v>
      </c>
      <c r="AO3716">
        <v>156.16</v>
      </c>
      <c r="AP3716" s="2">
        <v>42746</v>
      </c>
      <c r="AQ3716" t="s">
        <v>72</v>
      </c>
      <c r="AR3716" t="s">
        <v>72</v>
      </c>
      <c r="AS3716">
        <v>1771</v>
      </c>
      <c r="AT3716" s="4">
        <v>42566</v>
      </c>
      <c r="AU3716" t="s">
        <v>73</v>
      </c>
      <c r="AV3716">
        <v>1771</v>
      </c>
      <c r="AW3716" s="4">
        <v>42566</v>
      </c>
      <c r="BD3716">
        <v>28.16</v>
      </c>
      <c r="BN3716" t="s">
        <v>74</v>
      </c>
    </row>
    <row r="3717" spans="1:66">
      <c r="A3717">
        <v>101317</v>
      </c>
      <c r="B3717" s="3" t="s">
        <v>408</v>
      </c>
      <c r="C3717" s="1">
        <v>43300101</v>
      </c>
      <c r="D3717" t="s">
        <v>67</v>
      </c>
      <c r="H3717" t="str">
        <f t="shared" si="388"/>
        <v>DNGGTN52A01A783M</v>
      </c>
      <c r="I3717" t="str">
        <f t="shared" si="389"/>
        <v>00592310627</v>
      </c>
      <c r="K3717" t="str">
        <f>""</f>
        <v/>
      </c>
      <c r="M3717" t="s">
        <v>68</v>
      </c>
      <c r="N3717" t="str">
        <f t="shared" si="390"/>
        <v>FOR</v>
      </c>
      <c r="O3717" t="s">
        <v>69</v>
      </c>
      <c r="P3717" s="3" t="s">
        <v>75</v>
      </c>
      <c r="Q3717">
        <v>2016</v>
      </c>
      <c r="R3717" s="2">
        <v>42451</v>
      </c>
      <c r="S3717" s="2">
        <v>42460</v>
      </c>
      <c r="T3717" s="2">
        <v>42451</v>
      </c>
      <c r="U3717" s="2">
        <v>42511</v>
      </c>
      <c r="V3717" t="s">
        <v>71</v>
      </c>
      <c r="W3717" t="str">
        <f>"       000030-2016-E"</f>
        <v xml:space="preserve">       000030-2016-E</v>
      </c>
      <c r="X3717">
        <v>97.36</v>
      </c>
      <c r="Y3717">
        <v>0</v>
      </c>
      <c r="Z3717" s="3">
        <v>79.8</v>
      </c>
      <c r="AA3717">
        <v>170</v>
      </c>
      <c r="AB3717" s="5">
        <v>13566</v>
      </c>
      <c r="AC3717">
        <v>79.8</v>
      </c>
      <c r="AD3717">
        <v>170</v>
      </c>
      <c r="AE3717" s="1">
        <v>13566</v>
      </c>
      <c r="AF3717">
        <v>17.559999999999999</v>
      </c>
      <c r="AJ3717">
        <v>0</v>
      </c>
      <c r="AK3717">
        <v>0</v>
      </c>
      <c r="AL3717">
        <v>0</v>
      </c>
      <c r="AM3717">
        <v>97.36</v>
      </c>
      <c r="AN3717">
        <v>97.36</v>
      </c>
      <c r="AO3717">
        <v>97.36</v>
      </c>
      <c r="AP3717" s="2">
        <v>42746</v>
      </c>
      <c r="AQ3717" t="s">
        <v>72</v>
      </c>
      <c r="AR3717" t="s">
        <v>72</v>
      </c>
      <c r="AS3717">
        <v>2946</v>
      </c>
      <c r="AT3717" s="4">
        <v>42681</v>
      </c>
      <c r="AU3717" t="s">
        <v>73</v>
      </c>
      <c r="AV3717">
        <v>2946</v>
      </c>
      <c r="AW3717" s="4">
        <v>42681</v>
      </c>
      <c r="BD3717">
        <v>17.559999999999999</v>
      </c>
      <c r="BN3717" t="s">
        <v>74</v>
      </c>
    </row>
    <row r="3718" spans="1:66">
      <c r="A3718">
        <v>101317</v>
      </c>
      <c r="B3718" s="3" t="s">
        <v>408</v>
      </c>
      <c r="C3718" s="1">
        <v>43300101</v>
      </c>
      <c r="D3718" t="s">
        <v>67</v>
      </c>
      <c r="H3718" t="str">
        <f t="shared" si="388"/>
        <v>DNGGTN52A01A783M</v>
      </c>
      <c r="I3718" t="str">
        <f t="shared" si="389"/>
        <v>00592310627</v>
      </c>
      <c r="K3718" t="str">
        <f>""</f>
        <v/>
      </c>
      <c r="M3718" t="s">
        <v>68</v>
      </c>
      <c r="N3718" t="str">
        <f t="shared" si="390"/>
        <v>FOR</v>
      </c>
      <c r="O3718" t="s">
        <v>69</v>
      </c>
      <c r="P3718" s="3" t="s">
        <v>75</v>
      </c>
      <c r="Q3718">
        <v>2016</v>
      </c>
      <c r="R3718" s="2">
        <v>42451</v>
      </c>
      <c r="S3718" s="2">
        <v>42460</v>
      </c>
      <c r="T3718" s="2">
        <v>42451</v>
      </c>
      <c r="U3718" s="2">
        <v>42511</v>
      </c>
      <c r="V3718" t="s">
        <v>71</v>
      </c>
      <c r="W3718" t="str">
        <f>"       000031-2016-E"</f>
        <v xml:space="preserve">       000031-2016-E</v>
      </c>
      <c r="X3718">
        <v>424.56</v>
      </c>
      <c r="Y3718">
        <v>0</v>
      </c>
      <c r="Z3718" s="3">
        <v>348</v>
      </c>
      <c r="AA3718">
        <v>170</v>
      </c>
      <c r="AB3718" s="5">
        <v>59160</v>
      </c>
      <c r="AC3718">
        <v>348</v>
      </c>
      <c r="AD3718">
        <v>170</v>
      </c>
      <c r="AE3718" s="1">
        <v>59160</v>
      </c>
      <c r="AF3718">
        <v>76.56</v>
      </c>
      <c r="AJ3718">
        <v>0</v>
      </c>
      <c r="AK3718">
        <v>0</v>
      </c>
      <c r="AL3718">
        <v>0</v>
      </c>
      <c r="AM3718">
        <v>424.56</v>
      </c>
      <c r="AN3718">
        <v>424.56</v>
      </c>
      <c r="AO3718">
        <v>424.56</v>
      </c>
      <c r="AP3718" s="2">
        <v>42746</v>
      </c>
      <c r="AQ3718" t="s">
        <v>72</v>
      </c>
      <c r="AR3718" t="s">
        <v>72</v>
      </c>
      <c r="AS3718">
        <v>2946</v>
      </c>
      <c r="AT3718" s="4">
        <v>42681</v>
      </c>
      <c r="AU3718" t="s">
        <v>73</v>
      </c>
      <c r="AV3718">
        <v>2946</v>
      </c>
      <c r="AW3718" s="4">
        <v>42681</v>
      </c>
      <c r="BD3718">
        <v>76.56</v>
      </c>
      <c r="BN3718" t="s">
        <v>74</v>
      </c>
    </row>
    <row r="3719" spans="1:66">
      <c r="A3719">
        <v>101317</v>
      </c>
      <c r="B3719" s="3" t="s">
        <v>408</v>
      </c>
      <c r="C3719" s="1">
        <v>43300101</v>
      </c>
      <c r="D3719" t="s">
        <v>67</v>
      </c>
      <c r="H3719" t="str">
        <f t="shared" si="388"/>
        <v>DNGGTN52A01A783M</v>
      </c>
      <c r="I3719" t="str">
        <f t="shared" si="389"/>
        <v>00592310627</v>
      </c>
      <c r="K3719" t="str">
        <f>""</f>
        <v/>
      </c>
      <c r="M3719" t="s">
        <v>68</v>
      </c>
      <c r="N3719" t="str">
        <f t="shared" si="390"/>
        <v>FOR</v>
      </c>
      <c r="O3719" t="s">
        <v>69</v>
      </c>
      <c r="P3719" s="3" t="s">
        <v>75</v>
      </c>
      <c r="Q3719">
        <v>2016</v>
      </c>
      <c r="R3719" s="2">
        <v>42451</v>
      </c>
      <c r="S3719" s="2">
        <v>42461</v>
      </c>
      <c r="T3719" s="2">
        <v>42451</v>
      </c>
      <c r="U3719" s="2">
        <v>42511</v>
      </c>
      <c r="V3719" t="s">
        <v>71</v>
      </c>
      <c r="W3719" t="str">
        <f>"       000032-2016-E"</f>
        <v xml:space="preserve">       000032-2016-E</v>
      </c>
      <c r="X3719">
        <v>652.70000000000005</v>
      </c>
      <c r="Y3719">
        <v>0</v>
      </c>
      <c r="Z3719" s="3">
        <v>535</v>
      </c>
      <c r="AA3719">
        <v>170</v>
      </c>
      <c r="AB3719" s="5">
        <v>90950</v>
      </c>
      <c r="AC3719">
        <v>535</v>
      </c>
      <c r="AD3719">
        <v>170</v>
      </c>
      <c r="AE3719" s="1">
        <v>90950</v>
      </c>
      <c r="AF3719">
        <v>117.7</v>
      </c>
      <c r="AJ3719">
        <v>0</v>
      </c>
      <c r="AK3719">
        <v>0</v>
      </c>
      <c r="AL3719">
        <v>0</v>
      </c>
      <c r="AM3719">
        <v>652.70000000000005</v>
      </c>
      <c r="AN3719">
        <v>652.70000000000005</v>
      </c>
      <c r="AO3719">
        <v>652.70000000000005</v>
      </c>
      <c r="AP3719" s="2">
        <v>42746</v>
      </c>
      <c r="AQ3719" t="s">
        <v>72</v>
      </c>
      <c r="AR3719" t="s">
        <v>72</v>
      </c>
      <c r="AS3719">
        <v>2946</v>
      </c>
      <c r="AT3719" s="4">
        <v>42681</v>
      </c>
      <c r="AU3719" t="s">
        <v>73</v>
      </c>
      <c r="AV3719">
        <v>2946</v>
      </c>
      <c r="AW3719" s="4">
        <v>42681</v>
      </c>
      <c r="BD3719">
        <v>117.7</v>
      </c>
      <c r="BN3719" t="s">
        <v>74</v>
      </c>
    </row>
    <row r="3720" spans="1:66">
      <c r="A3720">
        <v>101317</v>
      </c>
      <c r="B3720" s="3" t="s">
        <v>408</v>
      </c>
      <c r="C3720" s="1">
        <v>43300101</v>
      </c>
      <c r="D3720" t="s">
        <v>67</v>
      </c>
      <c r="H3720" t="str">
        <f t="shared" si="388"/>
        <v>DNGGTN52A01A783M</v>
      </c>
      <c r="I3720" t="str">
        <f t="shared" si="389"/>
        <v>00592310627</v>
      </c>
      <c r="K3720" t="str">
        <f>""</f>
        <v/>
      </c>
      <c r="M3720" t="s">
        <v>68</v>
      </c>
      <c r="N3720" t="str">
        <f t="shared" si="390"/>
        <v>FOR</v>
      </c>
      <c r="O3720" t="s">
        <v>69</v>
      </c>
      <c r="P3720" s="3" t="s">
        <v>75</v>
      </c>
      <c r="Q3720">
        <v>2016</v>
      </c>
      <c r="R3720" s="2">
        <v>42451</v>
      </c>
      <c r="S3720" s="2">
        <v>42461</v>
      </c>
      <c r="T3720" s="2">
        <v>42451</v>
      </c>
      <c r="U3720" s="2">
        <v>42511</v>
      </c>
      <c r="V3720" t="s">
        <v>71</v>
      </c>
      <c r="W3720" t="str">
        <f>"       000033-2016-E"</f>
        <v xml:space="preserve">       000033-2016-E</v>
      </c>
      <c r="X3720">
        <v>315.98</v>
      </c>
      <c r="Y3720">
        <v>0</v>
      </c>
      <c r="Z3720" s="3">
        <v>259</v>
      </c>
      <c r="AA3720">
        <v>170</v>
      </c>
      <c r="AB3720" s="5">
        <v>44030</v>
      </c>
      <c r="AC3720">
        <v>259</v>
      </c>
      <c r="AD3720">
        <v>170</v>
      </c>
      <c r="AE3720" s="1">
        <v>44030</v>
      </c>
      <c r="AF3720">
        <v>56.98</v>
      </c>
      <c r="AJ3720">
        <v>0</v>
      </c>
      <c r="AK3720">
        <v>0</v>
      </c>
      <c r="AL3720">
        <v>0</v>
      </c>
      <c r="AM3720">
        <v>315.98</v>
      </c>
      <c r="AN3720">
        <v>315.98</v>
      </c>
      <c r="AO3720">
        <v>315.98</v>
      </c>
      <c r="AP3720" s="2">
        <v>42746</v>
      </c>
      <c r="AQ3720" t="s">
        <v>72</v>
      </c>
      <c r="AR3720" t="s">
        <v>72</v>
      </c>
      <c r="AS3720">
        <v>2946</v>
      </c>
      <c r="AT3720" s="4">
        <v>42681</v>
      </c>
      <c r="AU3720" t="s">
        <v>73</v>
      </c>
      <c r="AV3720">
        <v>2946</v>
      </c>
      <c r="AW3720" s="4">
        <v>42681</v>
      </c>
      <c r="BD3720">
        <v>56.98</v>
      </c>
      <c r="BN3720" t="s">
        <v>74</v>
      </c>
    </row>
    <row r="3721" spans="1:66">
      <c r="A3721">
        <v>101317</v>
      </c>
      <c r="B3721" s="3" t="s">
        <v>408</v>
      </c>
      <c r="C3721" s="1">
        <v>43300101</v>
      </c>
      <c r="D3721" t="s">
        <v>67</v>
      </c>
      <c r="H3721" t="str">
        <f t="shared" si="388"/>
        <v>DNGGTN52A01A783M</v>
      </c>
      <c r="I3721" t="str">
        <f t="shared" si="389"/>
        <v>00592310627</v>
      </c>
      <c r="K3721" t="str">
        <f>""</f>
        <v/>
      </c>
      <c r="M3721" t="s">
        <v>68</v>
      </c>
      <c r="N3721" t="str">
        <f t="shared" si="390"/>
        <v>FOR</v>
      </c>
      <c r="O3721" t="s">
        <v>69</v>
      </c>
      <c r="P3721" s="3" t="s">
        <v>75</v>
      </c>
      <c r="Q3721">
        <v>2016</v>
      </c>
      <c r="R3721" s="2">
        <v>42451</v>
      </c>
      <c r="S3721" s="2">
        <v>42461</v>
      </c>
      <c r="T3721" s="2">
        <v>42451</v>
      </c>
      <c r="U3721" s="2">
        <v>42511</v>
      </c>
      <c r="V3721" t="s">
        <v>71</v>
      </c>
      <c r="W3721" t="str">
        <f>"       000034-2016-E"</f>
        <v xml:space="preserve">       000034-2016-E</v>
      </c>
      <c r="X3721">
        <v>315.98</v>
      </c>
      <c r="Y3721">
        <v>0</v>
      </c>
      <c r="Z3721" s="3">
        <v>259</v>
      </c>
      <c r="AA3721">
        <v>170</v>
      </c>
      <c r="AB3721" s="5">
        <v>44030</v>
      </c>
      <c r="AC3721">
        <v>259</v>
      </c>
      <c r="AD3721">
        <v>170</v>
      </c>
      <c r="AE3721" s="1">
        <v>44030</v>
      </c>
      <c r="AF3721">
        <v>56.98</v>
      </c>
      <c r="AJ3721">
        <v>0</v>
      </c>
      <c r="AK3721">
        <v>0</v>
      </c>
      <c r="AL3721">
        <v>0</v>
      </c>
      <c r="AM3721">
        <v>315.98</v>
      </c>
      <c r="AN3721">
        <v>315.98</v>
      </c>
      <c r="AO3721">
        <v>315.98</v>
      </c>
      <c r="AP3721" s="2">
        <v>42746</v>
      </c>
      <c r="AQ3721" t="s">
        <v>72</v>
      </c>
      <c r="AR3721" t="s">
        <v>72</v>
      </c>
      <c r="AS3721">
        <v>2946</v>
      </c>
      <c r="AT3721" s="4">
        <v>42681</v>
      </c>
      <c r="AU3721" t="s">
        <v>73</v>
      </c>
      <c r="AV3721">
        <v>2946</v>
      </c>
      <c r="AW3721" s="4">
        <v>42681</v>
      </c>
      <c r="BD3721">
        <v>56.98</v>
      </c>
      <c r="BN3721" t="s">
        <v>74</v>
      </c>
    </row>
    <row r="3722" spans="1:66">
      <c r="A3722">
        <v>101317</v>
      </c>
      <c r="B3722" s="3" t="s">
        <v>408</v>
      </c>
      <c r="C3722" s="1">
        <v>43300101</v>
      </c>
      <c r="D3722" t="s">
        <v>67</v>
      </c>
      <c r="H3722" t="str">
        <f t="shared" si="388"/>
        <v>DNGGTN52A01A783M</v>
      </c>
      <c r="I3722" t="str">
        <f t="shared" si="389"/>
        <v>00592310627</v>
      </c>
      <c r="K3722" t="str">
        <f>""</f>
        <v/>
      </c>
      <c r="M3722" t="s">
        <v>68</v>
      </c>
      <c r="N3722" t="str">
        <f t="shared" si="390"/>
        <v>FOR</v>
      </c>
      <c r="O3722" t="s">
        <v>69</v>
      </c>
      <c r="P3722" s="3" t="s">
        <v>75</v>
      </c>
      <c r="Q3722">
        <v>2016</v>
      </c>
      <c r="R3722" s="2">
        <v>42451</v>
      </c>
      <c r="S3722" s="2">
        <v>42461</v>
      </c>
      <c r="T3722" s="2">
        <v>42451</v>
      </c>
      <c r="U3722" s="2">
        <v>42511</v>
      </c>
      <c r="V3722" t="s">
        <v>71</v>
      </c>
      <c r="W3722" t="str">
        <f>"       000035-2016-E"</f>
        <v xml:space="preserve">       000035-2016-E</v>
      </c>
      <c r="X3722">
        <v>315.98</v>
      </c>
      <c r="Y3722">
        <v>0</v>
      </c>
      <c r="Z3722" s="3">
        <v>259</v>
      </c>
      <c r="AA3722">
        <v>170</v>
      </c>
      <c r="AB3722" s="5">
        <v>44030</v>
      </c>
      <c r="AC3722">
        <v>259</v>
      </c>
      <c r="AD3722">
        <v>170</v>
      </c>
      <c r="AE3722" s="1">
        <v>44030</v>
      </c>
      <c r="AF3722">
        <v>56.98</v>
      </c>
      <c r="AJ3722">
        <v>0</v>
      </c>
      <c r="AK3722">
        <v>0</v>
      </c>
      <c r="AL3722">
        <v>0</v>
      </c>
      <c r="AM3722">
        <v>315.98</v>
      </c>
      <c r="AN3722">
        <v>315.98</v>
      </c>
      <c r="AO3722">
        <v>315.98</v>
      </c>
      <c r="AP3722" s="2">
        <v>42746</v>
      </c>
      <c r="AQ3722" t="s">
        <v>72</v>
      </c>
      <c r="AR3722" t="s">
        <v>72</v>
      </c>
      <c r="AS3722">
        <v>2946</v>
      </c>
      <c r="AT3722" s="4">
        <v>42681</v>
      </c>
      <c r="AU3722" t="s">
        <v>73</v>
      </c>
      <c r="AV3722">
        <v>2946</v>
      </c>
      <c r="AW3722" s="4">
        <v>42681</v>
      </c>
      <c r="BD3722">
        <v>56.98</v>
      </c>
      <c r="BN3722" t="s">
        <v>74</v>
      </c>
    </row>
    <row r="3723" spans="1:66">
      <c r="A3723">
        <v>101317</v>
      </c>
      <c r="B3723" s="3" t="s">
        <v>408</v>
      </c>
      <c r="C3723" s="1">
        <v>43300101</v>
      </c>
      <c r="D3723" t="s">
        <v>67</v>
      </c>
      <c r="H3723" t="str">
        <f t="shared" si="388"/>
        <v>DNGGTN52A01A783M</v>
      </c>
      <c r="I3723" t="str">
        <f t="shared" si="389"/>
        <v>00592310627</v>
      </c>
      <c r="K3723" t="str">
        <f>""</f>
        <v/>
      </c>
      <c r="M3723" t="s">
        <v>68</v>
      </c>
      <c r="N3723" t="str">
        <f t="shared" si="390"/>
        <v>FOR</v>
      </c>
      <c r="O3723" t="s">
        <v>69</v>
      </c>
      <c r="P3723" s="3" t="s">
        <v>75</v>
      </c>
      <c r="Q3723">
        <v>2016</v>
      </c>
      <c r="R3723" s="2">
        <v>42451</v>
      </c>
      <c r="S3723" s="2">
        <v>42461</v>
      </c>
      <c r="T3723" s="2">
        <v>42451</v>
      </c>
      <c r="U3723" s="2">
        <v>42511</v>
      </c>
      <c r="V3723" t="s">
        <v>71</v>
      </c>
      <c r="W3723" t="str">
        <f>"       000036-2016-E"</f>
        <v xml:space="preserve">       000036-2016-E</v>
      </c>
      <c r="X3723">
        <v>109.8</v>
      </c>
      <c r="Y3723">
        <v>0</v>
      </c>
      <c r="Z3723" s="3">
        <v>90</v>
      </c>
      <c r="AA3723">
        <v>170</v>
      </c>
      <c r="AB3723" s="5">
        <v>15300</v>
      </c>
      <c r="AC3723">
        <v>90</v>
      </c>
      <c r="AD3723">
        <v>170</v>
      </c>
      <c r="AE3723" s="1">
        <v>15300</v>
      </c>
      <c r="AF3723">
        <v>19.8</v>
      </c>
      <c r="AJ3723">
        <v>0</v>
      </c>
      <c r="AK3723">
        <v>0</v>
      </c>
      <c r="AL3723">
        <v>0</v>
      </c>
      <c r="AM3723">
        <v>109.8</v>
      </c>
      <c r="AN3723">
        <v>109.8</v>
      </c>
      <c r="AO3723">
        <v>109.8</v>
      </c>
      <c r="AP3723" s="2">
        <v>42746</v>
      </c>
      <c r="AQ3723" t="s">
        <v>72</v>
      </c>
      <c r="AR3723" t="s">
        <v>72</v>
      </c>
      <c r="AS3723">
        <v>2946</v>
      </c>
      <c r="AT3723" s="4">
        <v>42681</v>
      </c>
      <c r="AU3723" t="s">
        <v>73</v>
      </c>
      <c r="AV3723">
        <v>2946</v>
      </c>
      <c r="AW3723" s="4">
        <v>42681</v>
      </c>
      <c r="BD3723">
        <v>19.8</v>
      </c>
      <c r="BN3723" t="s">
        <v>74</v>
      </c>
    </row>
    <row r="3724" spans="1:66">
      <c r="A3724">
        <v>101317</v>
      </c>
      <c r="B3724" s="3" t="s">
        <v>408</v>
      </c>
      <c r="C3724" s="1">
        <v>43300101</v>
      </c>
      <c r="D3724" t="s">
        <v>67</v>
      </c>
      <c r="H3724" t="str">
        <f t="shared" si="388"/>
        <v>DNGGTN52A01A783M</v>
      </c>
      <c r="I3724" t="str">
        <f t="shared" si="389"/>
        <v>00592310627</v>
      </c>
      <c r="K3724" t="str">
        <f>""</f>
        <v/>
      </c>
      <c r="M3724" t="s">
        <v>68</v>
      </c>
      <c r="N3724" t="str">
        <f t="shared" si="390"/>
        <v>FOR</v>
      </c>
      <c r="O3724" t="s">
        <v>69</v>
      </c>
      <c r="P3724" s="3" t="s">
        <v>75</v>
      </c>
      <c r="Q3724">
        <v>2016</v>
      </c>
      <c r="R3724" s="2">
        <v>42451</v>
      </c>
      <c r="S3724" s="2">
        <v>42461</v>
      </c>
      <c r="T3724" s="2">
        <v>42451</v>
      </c>
      <c r="U3724" s="2">
        <v>42511</v>
      </c>
      <c r="V3724" t="s">
        <v>71</v>
      </c>
      <c r="W3724" t="str">
        <f>"       000037-2016-E"</f>
        <v xml:space="preserve">       000037-2016-E</v>
      </c>
      <c r="X3724">
        <v>195.2</v>
      </c>
      <c r="Y3724">
        <v>0</v>
      </c>
      <c r="Z3724" s="3">
        <v>160</v>
      </c>
      <c r="AA3724">
        <v>170</v>
      </c>
      <c r="AB3724" s="5">
        <v>27200</v>
      </c>
      <c r="AC3724">
        <v>160</v>
      </c>
      <c r="AD3724">
        <v>170</v>
      </c>
      <c r="AE3724" s="1">
        <v>27200</v>
      </c>
      <c r="AF3724">
        <v>35.200000000000003</v>
      </c>
      <c r="AJ3724">
        <v>0</v>
      </c>
      <c r="AK3724">
        <v>0</v>
      </c>
      <c r="AL3724">
        <v>0</v>
      </c>
      <c r="AM3724">
        <v>195.2</v>
      </c>
      <c r="AN3724">
        <v>195.2</v>
      </c>
      <c r="AO3724">
        <v>195.2</v>
      </c>
      <c r="AP3724" s="2">
        <v>42746</v>
      </c>
      <c r="AQ3724" t="s">
        <v>72</v>
      </c>
      <c r="AR3724" t="s">
        <v>72</v>
      </c>
      <c r="AS3724">
        <v>2946</v>
      </c>
      <c r="AT3724" s="4">
        <v>42681</v>
      </c>
      <c r="AU3724" t="s">
        <v>73</v>
      </c>
      <c r="AV3724">
        <v>2946</v>
      </c>
      <c r="AW3724" s="4">
        <v>42681</v>
      </c>
      <c r="BD3724">
        <v>35.200000000000003</v>
      </c>
      <c r="BN3724" t="s">
        <v>74</v>
      </c>
    </row>
    <row r="3725" spans="1:66">
      <c r="A3725">
        <v>101317</v>
      </c>
      <c r="B3725" s="3" t="s">
        <v>408</v>
      </c>
      <c r="C3725" s="1">
        <v>43300101</v>
      </c>
      <c r="D3725" t="s">
        <v>67</v>
      </c>
      <c r="H3725" t="str">
        <f t="shared" si="388"/>
        <v>DNGGTN52A01A783M</v>
      </c>
      <c r="I3725" t="str">
        <f t="shared" si="389"/>
        <v>00592310627</v>
      </c>
      <c r="K3725" t="str">
        <f>""</f>
        <v/>
      </c>
      <c r="M3725" t="s">
        <v>68</v>
      </c>
      <c r="N3725" t="str">
        <f t="shared" si="390"/>
        <v>FOR</v>
      </c>
      <c r="O3725" t="s">
        <v>69</v>
      </c>
      <c r="P3725" s="3" t="s">
        <v>75</v>
      </c>
      <c r="Q3725">
        <v>2016</v>
      </c>
      <c r="R3725" s="2">
        <v>42451</v>
      </c>
      <c r="S3725" s="2">
        <v>42461</v>
      </c>
      <c r="T3725" s="2">
        <v>42451</v>
      </c>
      <c r="U3725" s="2">
        <v>42511</v>
      </c>
      <c r="V3725" t="s">
        <v>71</v>
      </c>
      <c r="W3725" t="str">
        <f>"       000038-2016-E"</f>
        <v xml:space="preserve">       000038-2016-E</v>
      </c>
      <c r="X3725">
        <v>121.88</v>
      </c>
      <c r="Y3725">
        <v>0</v>
      </c>
      <c r="Z3725" s="3">
        <v>99.9</v>
      </c>
      <c r="AA3725">
        <v>170</v>
      </c>
      <c r="AB3725" s="5">
        <v>16983</v>
      </c>
      <c r="AC3725">
        <v>99.9</v>
      </c>
      <c r="AD3725">
        <v>170</v>
      </c>
      <c r="AE3725" s="1">
        <v>16983</v>
      </c>
      <c r="AF3725">
        <v>21.98</v>
      </c>
      <c r="AJ3725">
        <v>0</v>
      </c>
      <c r="AK3725">
        <v>0</v>
      </c>
      <c r="AL3725">
        <v>0</v>
      </c>
      <c r="AM3725">
        <v>121.88</v>
      </c>
      <c r="AN3725">
        <v>121.88</v>
      </c>
      <c r="AO3725">
        <v>121.88</v>
      </c>
      <c r="AP3725" s="2">
        <v>42746</v>
      </c>
      <c r="AQ3725" t="s">
        <v>72</v>
      </c>
      <c r="AR3725" t="s">
        <v>72</v>
      </c>
      <c r="AS3725">
        <v>2946</v>
      </c>
      <c r="AT3725" s="4">
        <v>42681</v>
      </c>
      <c r="AU3725" t="s">
        <v>73</v>
      </c>
      <c r="AV3725">
        <v>2946</v>
      </c>
      <c r="AW3725" s="4">
        <v>42681</v>
      </c>
      <c r="BD3725">
        <v>21.98</v>
      </c>
      <c r="BN3725" t="s">
        <v>74</v>
      </c>
    </row>
    <row r="3726" spans="1:66">
      <c r="A3726">
        <v>101317</v>
      </c>
      <c r="B3726" s="3" t="s">
        <v>408</v>
      </c>
      <c r="C3726" s="1">
        <v>43300101</v>
      </c>
      <c r="D3726" t="s">
        <v>67</v>
      </c>
      <c r="H3726" t="str">
        <f t="shared" ref="H3726:H3753" si="391">"DNGGTN52A01A783M"</f>
        <v>DNGGTN52A01A783M</v>
      </c>
      <c r="I3726" t="str">
        <f t="shared" ref="I3726:I3753" si="392">"00592310627"</f>
        <v>00592310627</v>
      </c>
      <c r="K3726" t="str">
        <f>""</f>
        <v/>
      </c>
      <c r="M3726" t="s">
        <v>68</v>
      </c>
      <c r="N3726" t="str">
        <f t="shared" ref="N3726:N3757" si="393">"FOR"</f>
        <v>FOR</v>
      </c>
      <c r="O3726" t="s">
        <v>69</v>
      </c>
      <c r="P3726" s="3" t="s">
        <v>75</v>
      </c>
      <c r="Q3726">
        <v>2016</v>
      </c>
      <c r="R3726" s="2">
        <v>42458</v>
      </c>
      <c r="S3726" s="2">
        <v>42461</v>
      </c>
      <c r="T3726" s="2">
        <v>42458</v>
      </c>
      <c r="U3726" s="2">
        <v>42518</v>
      </c>
      <c r="V3726" t="s">
        <v>71</v>
      </c>
      <c r="W3726" t="str">
        <f>"       000039-2016-E"</f>
        <v xml:space="preserve">       000039-2016-E</v>
      </c>
      <c r="X3726" s="1">
        <v>3878.68</v>
      </c>
      <c r="Y3726">
        <v>0</v>
      </c>
      <c r="Z3726" s="5">
        <v>3179.24</v>
      </c>
      <c r="AA3726">
        <v>200</v>
      </c>
      <c r="AB3726" s="5">
        <v>635848</v>
      </c>
      <c r="AC3726" s="1">
        <v>3179.24</v>
      </c>
      <c r="AD3726">
        <v>200</v>
      </c>
      <c r="AE3726" s="1">
        <v>635848</v>
      </c>
      <c r="AF3726">
        <v>699.44</v>
      </c>
      <c r="AJ3726">
        <v>0</v>
      </c>
      <c r="AK3726">
        <v>0</v>
      </c>
      <c r="AL3726">
        <v>0</v>
      </c>
      <c r="AM3726" s="1">
        <v>3878.68</v>
      </c>
      <c r="AN3726" s="1">
        <v>3878.68</v>
      </c>
      <c r="AO3726" s="1">
        <v>3878.68</v>
      </c>
      <c r="AP3726" s="2">
        <v>42746</v>
      </c>
      <c r="AQ3726" t="s">
        <v>72</v>
      </c>
      <c r="AR3726" t="s">
        <v>72</v>
      </c>
      <c r="AS3726">
        <v>3499</v>
      </c>
      <c r="AT3726" s="4">
        <v>42718</v>
      </c>
      <c r="AU3726" t="s">
        <v>73</v>
      </c>
      <c r="AV3726">
        <v>3499</v>
      </c>
      <c r="AW3726" s="4">
        <v>42718</v>
      </c>
      <c r="BD3726">
        <v>699.44</v>
      </c>
      <c r="BN3726" t="s">
        <v>74</v>
      </c>
    </row>
    <row r="3727" spans="1:66">
      <c r="A3727">
        <v>101317</v>
      </c>
      <c r="B3727" s="3" t="s">
        <v>408</v>
      </c>
      <c r="C3727" s="1">
        <v>43300101</v>
      </c>
      <c r="D3727" t="s">
        <v>67</v>
      </c>
      <c r="H3727" t="str">
        <f t="shared" si="391"/>
        <v>DNGGTN52A01A783M</v>
      </c>
      <c r="I3727" t="str">
        <f t="shared" si="392"/>
        <v>00592310627</v>
      </c>
      <c r="K3727" t="str">
        <f>""</f>
        <v/>
      </c>
      <c r="M3727" t="s">
        <v>68</v>
      </c>
      <c r="N3727" t="str">
        <f t="shared" si="393"/>
        <v>FOR</v>
      </c>
      <c r="O3727" t="s">
        <v>69</v>
      </c>
      <c r="P3727" s="3" t="s">
        <v>75</v>
      </c>
      <c r="Q3727">
        <v>2016</v>
      </c>
      <c r="R3727" s="2">
        <v>42481</v>
      </c>
      <c r="S3727" s="2">
        <v>42486</v>
      </c>
      <c r="T3727" s="2">
        <v>42481</v>
      </c>
      <c r="U3727" s="2">
        <v>42541</v>
      </c>
      <c r="V3727" t="s">
        <v>71</v>
      </c>
      <c r="W3727" t="str">
        <f>"       000061-2016-E"</f>
        <v xml:space="preserve">       000061-2016-E</v>
      </c>
      <c r="X3727">
        <v>21.35</v>
      </c>
      <c r="Y3727">
        <v>0</v>
      </c>
      <c r="Z3727" s="3">
        <v>17.5</v>
      </c>
      <c r="AA3727">
        <v>140</v>
      </c>
      <c r="AB3727" s="5">
        <v>2450</v>
      </c>
      <c r="AC3727">
        <v>17.5</v>
      </c>
      <c r="AD3727">
        <v>140</v>
      </c>
      <c r="AE3727" s="1">
        <v>2450</v>
      </c>
      <c r="AF3727">
        <v>3.85</v>
      </c>
      <c r="AJ3727">
        <v>0</v>
      </c>
      <c r="AK3727">
        <v>0</v>
      </c>
      <c r="AL3727">
        <v>0</v>
      </c>
      <c r="AM3727">
        <v>21.35</v>
      </c>
      <c r="AN3727">
        <v>21.35</v>
      </c>
      <c r="AO3727">
        <v>21.35</v>
      </c>
      <c r="AP3727" s="2">
        <v>42746</v>
      </c>
      <c r="AQ3727" t="s">
        <v>72</v>
      </c>
      <c r="AR3727" t="s">
        <v>72</v>
      </c>
      <c r="AS3727">
        <v>2946</v>
      </c>
      <c r="AT3727" s="4">
        <v>42681</v>
      </c>
      <c r="AU3727" t="s">
        <v>73</v>
      </c>
      <c r="AV3727">
        <v>2946</v>
      </c>
      <c r="AW3727" s="4">
        <v>42681</v>
      </c>
      <c r="BD3727">
        <v>3.85</v>
      </c>
      <c r="BN3727" t="s">
        <v>74</v>
      </c>
    </row>
    <row r="3728" spans="1:66">
      <c r="A3728">
        <v>101317</v>
      </c>
      <c r="B3728" s="3" t="s">
        <v>408</v>
      </c>
      <c r="C3728" s="1">
        <v>43300101</v>
      </c>
      <c r="D3728" t="s">
        <v>67</v>
      </c>
      <c r="H3728" t="str">
        <f t="shared" si="391"/>
        <v>DNGGTN52A01A783M</v>
      </c>
      <c r="I3728" t="str">
        <f t="shared" si="392"/>
        <v>00592310627</v>
      </c>
      <c r="K3728" t="str">
        <f>""</f>
        <v/>
      </c>
      <c r="M3728" t="s">
        <v>68</v>
      </c>
      <c r="N3728" t="str">
        <f t="shared" si="393"/>
        <v>FOR</v>
      </c>
      <c r="O3728" t="s">
        <v>69</v>
      </c>
      <c r="P3728" s="3" t="s">
        <v>75</v>
      </c>
      <c r="Q3728">
        <v>2016</v>
      </c>
      <c r="R3728" s="2">
        <v>42481</v>
      </c>
      <c r="S3728" s="2">
        <v>42486</v>
      </c>
      <c r="T3728" s="2">
        <v>42481</v>
      </c>
      <c r="U3728" s="2">
        <v>42541</v>
      </c>
      <c r="V3728" t="s">
        <v>71</v>
      </c>
      <c r="W3728" t="str">
        <f>"       000062-2016-E"</f>
        <v xml:space="preserve">       000062-2016-E</v>
      </c>
      <c r="X3728">
        <v>45.75</v>
      </c>
      <c r="Y3728">
        <v>0</v>
      </c>
      <c r="Z3728" s="3">
        <v>37.5</v>
      </c>
      <c r="AA3728">
        <v>140</v>
      </c>
      <c r="AB3728" s="5">
        <v>5250</v>
      </c>
      <c r="AC3728">
        <v>37.5</v>
      </c>
      <c r="AD3728">
        <v>140</v>
      </c>
      <c r="AE3728" s="1">
        <v>5250</v>
      </c>
      <c r="AF3728">
        <v>8.25</v>
      </c>
      <c r="AJ3728">
        <v>0</v>
      </c>
      <c r="AK3728">
        <v>0</v>
      </c>
      <c r="AL3728">
        <v>0</v>
      </c>
      <c r="AM3728">
        <v>45.75</v>
      </c>
      <c r="AN3728">
        <v>45.75</v>
      </c>
      <c r="AO3728">
        <v>45.75</v>
      </c>
      <c r="AP3728" s="2">
        <v>42746</v>
      </c>
      <c r="AQ3728" t="s">
        <v>72</v>
      </c>
      <c r="AR3728" t="s">
        <v>72</v>
      </c>
      <c r="AS3728">
        <v>2946</v>
      </c>
      <c r="AT3728" s="4">
        <v>42681</v>
      </c>
      <c r="AU3728" t="s">
        <v>73</v>
      </c>
      <c r="AV3728">
        <v>2946</v>
      </c>
      <c r="AW3728" s="4">
        <v>42681</v>
      </c>
      <c r="BD3728">
        <v>8.25</v>
      </c>
      <c r="BN3728" t="s">
        <v>74</v>
      </c>
    </row>
    <row r="3729" spans="1:66">
      <c r="A3729">
        <v>101317</v>
      </c>
      <c r="B3729" s="3" t="s">
        <v>408</v>
      </c>
      <c r="C3729" s="1">
        <v>43300101</v>
      </c>
      <c r="D3729" t="s">
        <v>67</v>
      </c>
      <c r="H3729" t="str">
        <f t="shared" si="391"/>
        <v>DNGGTN52A01A783M</v>
      </c>
      <c r="I3729" t="str">
        <f t="shared" si="392"/>
        <v>00592310627</v>
      </c>
      <c r="K3729" t="str">
        <f>""</f>
        <v/>
      </c>
      <c r="M3729" t="s">
        <v>68</v>
      </c>
      <c r="N3729" t="str">
        <f t="shared" si="393"/>
        <v>FOR</v>
      </c>
      <c r="O3729" t="s">
        <v>69</v>
      </c>
      <c r="P3729" s="3" t="s">
        <v>75</v>
      </c>
      <c r="Q3729">
        <v>2016</v>
      </c>
      <c r="R3729" s="2">
        <v>42482</v>
      </c>
      <c r="S3729" s="2">
        <v>42486</v>
      </c>
      <c r="T3729" s="2">
        <v>42482</v>
      </c>
      <c r="U3729" s="2">
        <v>42542</v>
      </c>
      <c r="V3729" t="s">
        <v>71</v>
      </c>
      <c r="W3729" t="str">
        <f>"       000063-2016-E"</f>
        <v xml:space="preserve">       000063-2016-E</v>
      </c>
      <c r="X3729">
        <v>30.5</v>
      </c>
      <c r="Y3729">
        <v>0</v>
      </c>
      <c r="Z3729" s="3">
        <v>25</v>
      </c>
      <c r="AA3729">
        <v>139</v>
      </c>
      <c r="AB3729" s="5">
        <v>3475</v>
      </c>
      <c r="AC3729">
        <v>25</v>
      </c>
      <c r="AD3729">
        <v>139</v>
      </c>
      <c r="AE3729" s="1">
        <v>3475</v>
      </c>
      <c r="AF3729">
        <v>5.5</v>
      </c>
      <c r="AJ3729">
        <v>0</v>
      </c>
      <c r="AK3729">
        <v>0</v>
      </c>
      <c r="AL3729">
        <v>0</v>
      </c>
      <c r="AM3729">
        <v>30.5</v>
      </c>
      <c r="AN3729">
        <v>30.5</v>
      </c>
      <c r="AO3729">
        <v>30.5</v>
      </c>
      <c r="AP3729" s="2">
        <v>42746</v>
      </c>
      <c r="AQ3729" t="s">
        <v>72</v>
      </c>
      <c r="AR3729" t="s">
        <v>72</v>
      </c>
      <c r="AS3729">
        <v>2946</v>
      </c>
      <c r="AT3729" s="4">
        <v>42681</v>
      </c>
      <c r="AU3729" t="s">
        <v>73</v>
      </c>
      <c r="AV3729">
        <v>2946</v>
      </c>
      <c r="AW3729" s="4">
        <v>42681</v>
      </c>
      <c r="BD3729">
        <v>5.5</v>
      </c>
      <c r="BN3729" t="s">
        <v>74</v>
      </c>
    </row>
    <row r="3730" spans="1:66">
      <c r="A3730">
        <v>101317</v>
      </c>
      <c r="B3730" s="3" t="s">
        <v>408</v>
      </c>
      <c r="C3730" s="1">
        <v>43300101</v>
      </c>
      <c r="D3730" t="s">
        <v>67</v>
      </c>
      <c r="H3730" t="str">
        <f t="shared" si="391"/>
        <v>DNGGTN52A01A783M</v>
      </c>
      <c r="I3730" t="str">
        <f t="shared" si="392"/>
        <v>00592310627</v>
      </c>
      <c r="K3730" t="str">
        <f>""</f>
        <v/>
      </c>
      <c r="M3730" t="s">
        <v>68</v>
      </c>
      <c r="N3730" t="str">
        <f t="shared" si="393"/>
        <v>FOR</v>
      </c>
      <c r="O3730" t="s">
        <v>69</v>
      </c>
      <c r="P3730" s="3" t="s">
        <v>75</v>
      </c>
      <c r="Q3730">
        <v>2016</v>
      </c>
      <c r="R3730" s="2">
        <v>42482</v>
      </c>
      <c r="S3730" s="2">
        <v>42486</v>
      </c>
      <c r="T3730" s="2">
        <v>42482</v>
      </c>
      <c r="U3730" s="2">
        <v>42542</v>
      </c>
      <c r="V3730" t="s">
        <v>71</v>
      </c>
      <c r="W3730" t="str">
        <f>"       000064-2016-E"</f>
        <v xml:space="preserve">       000064-2016-E</v>
      </c>
      <c r="X3730">
        <v>24.28</v>
      </c>
      <c r="Y3730">
        <v>0</v>
      </c>
      <c r="Z3730" s="3">
        <v>19.899999999999999</v>
      </c>
      <c r="AA3730">
        <v>139</v>
      </c>
      <c r="AB3730" s="5">
        <v>2766.1</v>
      </c>
      <c r="AC3730">
        <v>19.899999999999999</v>
      </c>
      <c r="AD3730">
        <v>139</v>
      </c>
      <c r="AE3730" s="1">
        <v>2766.1</v>
      </c>
      <c r="AF3730">
        <v>4.38</v>
      </c>
      <c r="AJ3730">
        <v>0</v>
      </c>
      <c r="AK3730">
        <v>0</v>
      </c>
      <c r="AL3730">
        <v>0</v>
      </c>
      <c r="AM3730">
        <v>24.28</v>
      </c>
      <c r="AN3730">
        <v>24.28</v>
      </c>
      <c r="AO3730">
        <v>24.28</v>
      </c>
      <c r="AP3730" s="2">
        <v>42746</v>
      </c>
      <c r="AQ3730" t="s">
        <v>72</v>
      </c>
      <c r="AR3730" t="s">
        <v>72</v>
      </c>
      <c r="AS3730">
        <v>2946</v>
      </c>
      <c r="AT3730" s="4">
        <v>42681</v>
      </c>
      <c r="AU3730" t="s">
        <v>73</v>
      </c>
      <c r="AV3730">
        <v>2946</v>
      </c>
      <c r="AW3730" s="4">
        <v>42681</v>
      </c>
      <c r="BD3730">
        <v>4.38</v>
      </c>
      <c r="BN3730" t="s">
        <v>74</v>
      </c>
    </row>
    <row r="3731" spans="1:66">
      <c r="A3731">
        <v>101317</v>
      </c>
      <c r="B3731" s="3" t="s">
        <v>408</v>
      </c>
      <c r="C3731" s="1">
        <v>43300101</v>
      </c>
      <c r="D3731" t="s">
        <v>67</v>
      </c>
      <c r="H3731" t="str">
        <f t="shared" si="391"/>
        <v>DNGGTN52A01A783M</v>
      </c>
      <c r="I3731" t="str">
        <f t="shared" si="392"/>
        <v>00592310627</v>
      </c>
      <c r="K3731" t="str">
        <f>""</f>
        <v/>
      </c>
      <c r="M3731" t="s">
        <v>68</v>
      </c>
      <c r="N3731" t="str">
        <f t="shared" si="393"/>
        <v>FOR</v>
      </c>
      <c r="O3731" t="s">
        <v>69</v>
      </c>
      <c r="P3731" s="3" t="s">
        <v>75</v>
      </c>
      <c r="Q3731">
        <v>2016</v>
      </c>
      <c r="R3731" s="2">
        <v>42482</v>
      </c>
      <c r="S3731" s="2">
        <v>42486</v>
      </c>
      <c r="T3731" s="2">
        <v>42482</v>
      </c>
      <c r="U3731" s="2">
        <v>42542</v>
      </c>
      <c r="V3731" t="s">
        <v>71</v>
      </c>
      <c r="W3731" t="str">
        <f>"       000065-2016-E"</f>
        <v xml:space="preserve">       000065-2016-E</v>
      </c>
      <c r="X3731">
        <v>24.28</v>
      </c>
      <c r="Y3731">
        <v>0</v>
      </c>
      <c r="Z3731" s="3">
        <v>19.899999999999999</v>
      </c>
      <c r="AA3731">
        <v>139</v>
      </c>
      <c r="AB3731" s="5">
        <v>2766.1</v>
      </c>
      <c r="AC3731">
        <v>19.899999999999999</v>
      </c>
      <c r="AD3731">
        <v>139</v>
      </c>
      <c r="AE3731" s="1">
        <v>2766.1</v>
      </c>
      <c r="AF3731">
        <v>4.38</v>
      </c>
      <c r="AJ3731">
        <v>0</v>
      </c>
      <c r="AK3731">
        <v>0</v>
      </c>
      <c r="AL3731">
        <v>0</v>
      </c>
      <c r="AM3731">
        <v>24.28</v>
      </c>
      <c r="AN3731">
        <v>24.28</v>
      </c>
      <c r="AO3731">
        <v>24.28</v>
      </c>
      <c r="AP3731" s="2">
        <v>42746</v>
      </c>
      <c r="AQ3731" t="s">
        <v>72</v>
      </c>
      <c r="AR3731" t="s">
        <v>72</v>
      </c>
      <c r="AS3731">
        <v>2946</v>
      </c>
      <c r="AT3731" s="4">
        <v>42681</v>
      </c>
      <c r="AU3731" t="s">
        <v>73</v>
      </c>
      <c r="AV3731">
        <v>2946</v>
      </c>
      <c r="AW3731" s="4">
        <v>42681</v>
      </c>
      <c r="BD3731">
        <v>4.38</v>
      </c>
      <c r="BN3731" t="s">
        <v>74</v>
      </c>
    </row>
    <row r="3732" spans="1:66">
      <c r="A3732">
        <v>101317</v>
      </c>
      <c r="B3732" s="3" t="s">
        <v>408</v>
      </c>
      <c r="C3732" s="1">
        <v>43300101</v>
      </c>
      <c r="D3732" t="s">
        <v>67</v>
      </c>
      <c r="H3732" t="str">
        <f t="shared" si="391"/>
        <v>DNGGTN52A01A783M</v>
      </c>
      <c r="I3732" t="str">
        <f t="shared" si="392"/>
        <v>00592310627</v>
      </c>
      <c r="K3732" t="str">
        <f>""</f>
        <v/>
      </c>
      <c r="M3732" t="s">
        <v>68</v>
      </c>
      <c r="N3732" t="str">
        <f t="shared" si="393"/>
        <v>FOR</v>
      </c>
      <c r="O3732" t="s">
        <v>69</v>
      </c>
      <c r="P3732" s="3" t="s">
        <v>75</v>
      </c>
      <c r="Q3732">
        <v>2016</v>
      </c>
      <c r="R3732" s="2">
        <v>42486</v>
      </c>
      <c r="S3732" s="2">
        <v>42487</v>
      </c>
      <c r="T3732" s="2">
        <v>42486</v>
      </c>
      <c r="U3732" s="2">
        <v>42546</v>
      </c>
      <c r="V3732" t="s">
        <v>71</v>
      </c>
      <c r="W3732" t="str">
        <f>"       000066-2016-E"</f>
        <v xml:space="preserve">       000066-2016-E</v>
      </c>
      <c r="X3732">
        <v>152.5</v>
      </c>
      <c r="Y3732">
        <v>0</v>
      </c>
      <c r="Z3732" s="3">
        <v>125</v>
      </c>
      <c r="AA3732">
        <v>135</v>
      </c>
      <c r="AB3732" s="5">
        <v>16875</v>
      </c>
      <c r="AC3732">
        <v>125</v>
      </c>
      <c r="AD3732">
        <v>135</v>
      </c>
      <c r="AE3732" s="1">
        <v>16875</v>
      </c>
      <c r="AF3732">
        <v>27.5</v>
      </c>
      <c r="AJ3732">
        <v>0</v>
      </c>
      <c r="AK3732">
        <v>0</v>
      </c>
      <c r="AL3732">
        <v>0</v>
      </c>
      <c r="AM3732">
        <v>152.5</v>
      </c>
      <c r="AN3732">
        <v>152.5</v>
      </c>
      <c r="AO3732">
        <v>152.5</v>
      </c>
      <c r="AP3732" s="2">
        <v>42746</v>
      </c>
      <c r="AQ3732" t="s">
        <v>72</v>
      </c>
      <c r="AR3732" t="s">
        <v>72</v>
      </c>
      <c r="AS3732">
        <v>2946</v>
      </c>
      <c r="AT3732" s="4">
        <v>42681</v>
      </c>
      <c r="AU3732" t="s">
        <v>73</v>
      </c>
      <c r="AV3732">
        <v>2946</v>
      </c>
      <c r="AW3732" s="4">
        <v>42681</v>
      </c>
      <c r="BD3732">
        <v>27.5</v>
      </c>
      <c r="BN3732" t="s">
        <v>74</v>
      </c>
    </row>
    <row r="3733" spans="1:66">
      <c r="A3733">
        <v>101317</v>
      </c>
      <c r="B3733" s="3" t="s">
        <v>408</v>
      </c>
      <c r="C3733" s="1">
        <v>43300101</v>
      </c>
      <c r="D3733" t="s">
        <v>67</v>
      </c>
      <c r="H3733" t="str">
        <f t="shared" si="391"/>
        <v>DNGGTN52A01A783M</v>
      </c>
      <c r="I3733" t="str">
        <f t="shared" si="392"/>
        <v>00592310627</v>
      </c>
      <c r="K3733" t="str">
        <f>""</f>
        <v/>
      </c>
      <c r="M3733" t="s">
        <v>68</v>
      </c>
      <c r="N3733" t="str">
        <f t="shared" si="393"/>
        <v>FOR</v>
      </c>
      <c r="O3733" t="s">
        <v>69</v>
      </c>
      <c r="P3733" s="3" t="s">
        <v>75</v>
      </c>
      <c r="Q3733">
        <v>2016</v>
      </c>
      <c r="R3733" s="2">
        <v>42486</v>
      </c>
      <c r="S3733" s="2">
        <v>42487</v>
      </c>
      <c r="T3733" s="2">
        <v>42486</v>
      </c>
      <c r="U3733" s="2">
        <v>42546</v>
      </c>
      <c r="V3733" t="s">
        <v>71</v>
      </c>
      <c r="W3733" t="str">
        <f>"       000067-2016-E"</f>
        <v xml:space="preserve">       000067-2016-E</v>
      </c>
      <c r="X3733">
        <v>24.28</v>
      </c>
      <c r="Y3733">
        <v>0</v>
      </c>
      <c r="Z3733" s="3">
        <v>19.899999999999999</v>
      </c>
      <c r="AA3733">
        <v>135</v>
      </c>
      <c r="AB3733" s="5">
        <v>2686.5</v>
      </c>
      <c r="AC3733">
        <v>19.899999999999999</v>
      </c>
      <c r="AD3733">
        <v>135</v>
      </c>
      <c r="AE3733" s="1">
        <v>2686.5</v>
      </c>
      <c r="AF3733">
        <v>4.38</v>
      </c>
      <c r="AJ3733">
        <v>0</v>
      </c>
      <c r="AK3733">
        <v>0</v>
      </c>
      <c r="AL3733">
        <v>0</v>
      </c>
      <c r="AM3733">
        <v>24.28</v>
      </c>
      <c r="AN3733">
        <v>24.28</v>
      </c>
      <c r="AO3733">
        <v>24.28</v>
      </c>
      <c r="AP3733" s="2">
        <v>42746</v>
      </c>
      <c r="AQ3733" t="s">
        <v>72</v>
      </c>
      <c r="AR3733" t="s">
        <v>72</v>
      </c>
      <c r="AS3733">
        <v>2947</v>
      </c>
      <c r="AT3733" s="4">
        <v>42681</v>
      </c>
      <c r="AU3733" t="s">
        <v>73</v>
      </c>
      <c r="AV3733">
        <v>2947</v>
      </c>
      <c r="AW3733" s="4">
        <v>42681</v>
      </c>
      <c r="BD3733">
        <v>4.38</v>
      </c>
      <c r="BN3733" t="s">
        <v>74</v>
      </c>
    </row>
    <row r="3734" spans="1:66">
      <c r="A3734">
        <v>101317</v>
      </c>
      <c r="B3734" s="3" t="s">
        <v>408</v>
      </c>
      <c r="C3734" s="1">
        <v>43300101</v>
      </c>
      <c r="D3734" t="s">
        <v>67</v>
      </c>
      <c r="H3734" t="str">
        <f t="shared" si="391"/>
        <v>DNGGTN52A01A783M</v>
      </c>
      <c r="I3734" t="str">
        <f t="shared" si="392"/>
        <v>00592310627</v>
      </c>
      <c r="K3734" t="str">
        <f>""</f>
        <v/>
      </c>
      <c r="M3734" t="s">
        <v>68</v>
      </c>
      <c r="N3734" t="str">
        <f t="shared" si="393"/>
        <v>FOR</v>
      </c>
      <c r="O3734" t="s">
        <v>69</v>
      </c>
      <c r="P3734" s="3" t="s">
        <v>75</v>
      </c>
      <c r="Q3734">
        <v>2016</v>
      </c>
      <c r="R3734" s="2">
        <v>42486</v>
      </c>
      <c r="S3734" s="2">
        <v>42487</v>
      </c>
      <c r="T3734" s="2">
        <v>42486</v>
      </c>
      <c r="U3734" s="2">
        <v>42546</v>
      </c>
      <c r="V3734" t="s">
        <v>71</v>
      </c>
      <c r="W3734" t="str">
        <f>"       000068-2016-E"</f>
        <v xml:space="preserve">       000068-2016-E</v>
      </c>
      <c r="X3734">
        <v>860.1</v>
      </c>
      <c r="Y3734">
        <v>0</v>
      </c>
      <c r="Z3734" s="3">
        <v>705</v>
      </c>
      <c r="AA3734">
        <v>135</v>
      </c>
      <c r="AB3734" s="5">
        <v>95175</v>
      </c>
      <c r="AC3734">
        <v>705</v>
      </c>
      <c r="AD3734">
        <v>135</v>
      </c>
      <c r="AE3734" s="1">
        <v>95175</v>
      </c>
      <c r="AF3734">
        <v>155.1</v>
      </c>
      <c r="AJ3734">
        <v>0</v>
      </c>
      <c r="AK3734">
        <v>0</v>
      </c>
      <c r="AL3734">
        <v>0</v>
      </c>
      <c r="AM3734">
        <v>860.1</v>
      </c>
      <c r="AN3734">
        <v>860.1</v>
      </c>
      <c r="AO3734">
        <v>860.1</v>
      </c>
      <c r="AP3734" s="2">
        <v>42746</v>
      </c>
      <c r="AQ3734" t="s">
        <v>72</v>
      </c>
      <c r="AR3734" t="s">
        <v>72</v>
      </c>
      <c r="AS3734">
        <v>2946</v>
      </c>
      <c r="AT3734" s="4">
        <v>42681</v>
      </c>
      <c r="AU3734" t="s">
        <v>73</v>
      </c>
      <c r="AV3734">
        <v>2946</v>
      </c>
      <c r="AW3734" s="4">
        <v>42681</v>
      </c>
      <c r="BD3734">
        <v>155.1</v>
      </c>
      <c r="BN3734" t="s">
        <v>74</v>
      </c>
    </row>
    <row r="3735" spans="1:66">
      <c r="A3735">
        <v>101317</v>
      </c>
      <c r="B3735" s="3" t="s">
        <v>408</v>
      </c>
      <c r="C3735" s="1">
        <v>43300101</v>
      </c>
      <c r="D3735" t="s">
        <v>67</v>
      </c>
      <c r="H3735" t="str">
        <f t="shared" si="391"/>
        <v>DNGGTN52A01A783M</v>
      </c>
      <c r="I3735" t="str">
        <f t="shared" si="392"/>
        <v>00592310627</v>
      </c>
      <c r="K3735" t="str">
        <f>""</f>
        <v/>
      </c>
      <c r="M3735" t="s">
        <v>68</v>
      </c>
      <c r="N3735" t="str">
        <f t="shared" si="393"/>
        <v>FOR</v>
      </c>
      <c r="O3735" t="s">
        <v>69</v>
      </c>
      <c r="P3735" s="3" t="s">
        <v>75</v>
      </c>
      <c r="Q3735">
        <v>2016</v>
      </c>
      <c r="R3735" s="2">
        <v>42486</v>
      </c>
      <c r="S3735" s="2">
        <v>42487</v>
      </c>
      <c r="T3735" s="2">
        <v>42486</v>
      </c>
      <c r="U3735" s="2">
        <v>42546</v>
      </c>
      <c r="V3735" t="s">
        <v>71</v>
      </c>
      <c r="W3735" t="str">
        <f>"       000069-2016-E"</f>
        <v xml:space="preserve">       000069-2016-E</v>
      </c>
      <c r="X3735">
        <v>91.5</v>
      </c>
      <c r="Y3735">
        <v>0</v>
      </c>
      <c r="Z3735" s="3">
        <v>75</v>
      </c>
      <c r="AA3735">
        <v>135</v>
      </c>
      <c r="AB3735" s="5">
        <v>10125</v>
      </c>
      <c r="AC3735">
        <v>75</v>
      </c>
      <c r="AD3735">
        <v>135</v>
      </c>
      <c r="AE3735" s="1">
        <v>10125</v>
      </c>
      <c r="AF3735">
        <v>16.5</v>
      </c>
      <c r="AJ3735">
        <v>0</v>
      </c>
      <c r="AK3735">
        <v>0</v>
      </c>
      <c r="AL3735">
        <v>0</v>
      </c>
      <c r="AM3735">
        <v>91.5</v>
      </c>
      <c r="AN3735">
        <v>91.5</v>
      </c>
      <c r="AO3735">
        <v>91.5</v>
      </c>
      <c r="AP3735" s="2">
        <v>42746</v>
      </c>
      <c r="AQ3735" t="s">
        <v>72</v>
      </c>
      <c r="AR3735" t="s">
        <v>72</v>
      </c>
      <c r="AS3735">
        <v>2946</v>
      </c>
      <c r="AT3735" s="4">
        <v>42681</v>
      </c>
      <c r="AU3735" t="s">
        <v>73</v>
      </c>
      <c r="AV3735">
        <v>2946</v>
      </c>
      <c r="AW3735" s="4">
        <v>42681</v>
      </c>
      <c r="BD3735">
        <v>16.5</v>
      </c>
      <c r="BN3735" t="s">
        <v>74</v>
      </c>
    </row>
    <row r="3736" spans="1:66">
      <c r="A3736">
        <v>101317</v>
      </c>
      <c r="B3736" s="3" t="s">
        <v>408</v>
      </c>
      <c r="C3736" s="1">
        <v>43300101</v>
      </c>
      <c r="D3736" t="s">
        <v>67</v>
      </c>
      <c r="H3736" t="str">
        <f t="shared" si="391"/>
        <v>DNGGTN52A01A783M</v>
      </c>
      <c r="I3736" t="str">
        <f t="shared" si="392"/>
        <v>00592310627</v>
      </c>
      <c r="K3736" t="str">
        <f>""</f>
        <v/>
      </c>
      <c r="M3736" t="s">
        <v>68</v>
      </c>
      <c r="N3736" t="str">
        <f t="shared" si="393"/>
        <v>FOR</v>
      </c>
      <c r="O3736" t="s">
        <v>69</v>
      </c>
      <c r="P3736" s="3" t="s">
        <v>75</v>
      </c>
      <c r="Q3736">
        <v>2016</v>
      </c>
      <c r="R3736" s="2">
        <v>42487</v>
      </c>
      <c r="S3736" s="2">
        <v>42489</v>
      </c>
      <c r="T3736" s="2">
        <v>42487</v>
      </c>
      <c r="U3736" s="2">
        <v>42547</v>
      </c>
      <c r="V3736" t="s">
        <v>71</v>
      </c>
      <c r="W3736" t="str">
        <f>"       000070-2016-E"</f>
        <v xml:space="preserve">       000070-2016-E</v>
      </c>
      <c r="X3736">
        <v>218.38</v>
      </c>
      <c r="Y3736">
        <v>0</v>
      </c>
      <c r="Z3736" s="3">
        <v>179</v>
      </c>
      <c r="AA3736">
        <v>134</v>
      </c>
      <c r="AB3736" s="5">
        <v>23986</v>
      </c>
      <c r="AC3736">
        <v>179</v>
      </c>
      <c r="AD3736">
        <v>134</v>
      </c>
      <c r="AE3736" s="1">
        <v>23986</v>
      </c>
      <c r="AF3736">
        <v>39.380000000000003</v>
      </c>
      <c r="AJ3736">
        <v>0</v>
      </c>
      <c r="AK3736">
        <v>0</v>
      </c>
      <c r="AL3736">
        <v>0</v>
      </c>
      <c r="AM3736">
        <v>218.38</v>
      </c>
      <c r="AN3736">
        <v>218.38</v>
      </c>
      <c r="AO3736">
        <v>218.38</v>
      </c>
      <c r="AP3736" s="2">
        <v>42746</v>
      </c>
      <c r="AQ3736" t="s">
        <v>72</v>
      </c>
      <c r="AR3736" t="s">
        <v>72</v>
      </c>
      <c r="AS3736">
        <v>2946</v>
      </c>
      <c r="AT3736" s="4">
        <v>42681</v>
      </c>
      <c r="AU3736" t="s">
        <v>73</v>
      </c>
      <c r="AV3736">
        <v>2946</v>
      </c>
      <c r="AW3736" s="4">
        <v>42681</v>
      </c>
      <c r="BD3736">
        <v>39.380000000000003</v>
      </c>
      <c r="BN3736" t="s">
        <v>74</v>
      </c>
    </row>
    <row r="3737" spans="1:66">
      <c r="A3737">
        <v>101317</v>
      </c>
      <c r="B3737" s="3" t="s">
        <v>408</v>
      </c>
      <c r="C3737" s="1">
        <v>43300101</v>
      </c>
      <c r="D3737" t="s">
        <v>67</v>
      </c>
      <c r="H3737" t="str">
        <f t="shared" si="391"/>
        <v>DNGGTN52A01A783M</v>
      </c>
      <c r="I3737" t="str">
        <f t="shared" si="392"/>
        <v>00592310627</v>
      </c>
      <c r="K3737" t="str">
        <f>""</f>
        <v/>
      </c>
      <c r="M3737" t="s">
        <v>68</v>
      </c>
      <c r="N3737" t="str">
        <f t="shared" si="393"/>
        <v>FOR</v>
      </c>
      <c r="O3737" t="s">
        <v>69</v>
      </c>
      <c r="P3737" s="3" t="s">
        <v>75</v>
      </c>
      <c r="Q3737">
        <v>2016</v>
      </c>
      <c r="R3737" s="2">
        <v>42487</v>
      </c>
      <c r="S3737" s="2">
        <v>42489</v>
      </c>
      <c r="T3737" s="2">
        <v>42487</v>
      </c>
      <c r="U3737" s="2">
        <v>42547</v>
      </c>
      <c r="V3737" t="s">
        <v>71</v>
      </c>
      <c r="W3737" t="str">
        <f>"       000071-2016-E"</f>
        <v xml:space="preserve">       000071-2016-E</v>
      </c>
      <c r="X3737">
        <v>408.58</v>
      </c>
      <c r="Y3737">
        <v>0</v>
      </c>
      <c r="Z3737" s="3">
        <v>334.9</v>
      </c>
      <c r="AA3737">
        <v>134</v>
      </c>
      <c r="AB3737" s="5">
        <v>44876.6</v>
      </c>
      <c r="AC3737">
        <v>334.9</v>
      </c>
      <c r="AD3737">
        <v>134</v>
      </c>
      <c r="AE3737" s="1">
        <v>44876.6</v>
      </c>
      <c r="AF3737">
        <v>73.680000000000007</v>
      </c>
      <c r="AJ3737">
        <v>0</v>
      </c>
      <c r="AK3737">
        <v>0</v>
      </c>
      <c r="AL3737">
        <v>0</v>
      </c>
      <c r="AM3737">
        <v>408.58</v>
      </c>
      <c r="AN3737">
        <v>408.58</v>
      </c>
      <c r="AO3737">
        <v>408.58</v>
      </c>
      <c r="AP3737" s="2">
        <v>42746</v>
      </c>
      <c r="AQ3737" t="s">
        <v>72</v>
      </c>
      <c r="AR3737" t="s">
        <v>72</v>
      </c>
      <c r="AS3737">
        <v>2946</v>
      </c>
      <c r="AT3737" s="4">
        <v>42681</v>
      </c>
      <c r="AU3737" t="s">
        <v>73</v>
      </c>
      <c r="AV3737">
        <v>2946</v>
      </c>
      <c r="AW3737" s="4">
        <v>42681</v>
      </c>
      <c r="BD3737">
        <v>73.680000000000007</v>
      </c>
      <c r="BN3737" t="s">
        <v>74</v>
      </c>
    </row>
    <row r="3738" spans="1:66">
      <c r="A3738">
        <v>101317</v>
      </c>
      <c r="B3738" s="3" t="s">
        <v>408</v>
      </c>
      <c r="C3738" s="1">
        <v>43300101</v>
      </c>
      <c r="D3738" t="s">
        <v>67</v>
      </c>
      <c r="H3738" t="str">
        <f t="shared" si="391"/>
        <v>DNGGTN52A01A783M</v>
      </c>
      <c r="I3738" t="str">
        <f t="shared" si="392"/>
        <v>00592310627</v>
      </c>
      <c r="K3738" t="str">
        <f>""</f>
        <v/>
      </c>
      <c r="M3738" t="s">
        <v>68</v>
      </c>
      <c r="N3738" t="str">
        <f t="shared" si="393"/>
        <v>FOR</v>
      </c>
      <c r="O3738" t="s">
        <v>69</v>
      </c>
      <c r="P3738" s="3" t="s">
        <v>75</v>
      </c>
      <c r="Q3738">
        <v>2016</v>
      </c>
      <c r="R3738" s="2">
        <v>42487</v>
      </c>
      <c r="S3738" s="2">
        <v>42489</v>
      </c>
      <c r="T3738" s="2">
        <v>42487</v>
      </c>
      <c r="U3738" s="2">
        <v>42547</v>
      </c>
      <c r="V3738" t="s">
        <v>71</v>
      </c>
      <c r="W3738" t="str">
        <f>"       000072-2016-E"</f>
        <v xml:space="preserve">       000072-2016-E</v>
      </c>
      <c r="X3738">
        <v>194.72</v>
      </c>
      <c r="Y3738">
        <v>0</v>
      </c>
      <c r="Z3738" s="3">
        <v>159.6</v>
      </c>
      <c r="AA3738">
        <v>134</v>
      </c>
      <c r="AB3738" s="5">
        <v>21386.400000000001</v>
      </c>
      <c r="AC3738">
        <v>159.6</v>
      </c>
      <c r="AD3738">
        <v>134</v>
      </c>
      <c r="AE3738" s="1">
        <v>21386.400000000001</v>
      </c>
      <c r="AF3738">
        <v>35.119999999999997</v>
      </c>
      <c r="AJ3738">
        <v>0</v>
      </c>
      <c r="AK3738">
        <v>0</v>
      </c>
      <c r="AL3738">
        <v>0</v>
      </c>
      <c r="AM3738">
        <v>194.72</v>
      </c>
      <c r="AN3738">
        <v>194.72</v>
      </c>
      <c r="AO3738">
        <v>194.72</v>
      </c>
      <c r="AP3738" s="2">
        <v>42746</v>
      </c>
      <c r="AQ3738" t="s">
        <v>72</v>
      </c>
      <c r="AR3738" t="s">
        <v>72</v>
      </c>
      <c r="AS3738">
        <v>2946</v>
      </c>
      <c r="AT3738" s="4">
        <v>42681</v>
      </c>
      <c r="AU3738" t="s">
        <v>73</v>
      </c>
      <c r="AV3738">
        <v>2946</v>
      </c>
      <c r="AW3738" s="4">
        <v>42681</v>
      </c>
      <c r="BD3738">
        <v>35.119999999999997</v>
      </c>
      <c r="BN3738" t="s">
        <v>74</v>
      </c>
    </row>
    <row r="3739" spans="1:66">
      <c r="A3739">
        <v>101317</v>
      </c>
      <c r="B3739" s="3" t="s">
        <v>408</v>
      </c>
      <c r="C3739" s="1">
        <v>43300101</v>
      </c>
      <c r="D3739" t="s">
        <v>67</v>
      </c>
      <c r="H3739" t="str">
        <f t="shared" si="391"/>
        <v>DNGGTN52A01A783M</v>
      </c>
      <c r="I3739" t="str">
        <f t="shared" si="392"/>
        <v>00592310627</v>
      </c>
      <c r="K3739" t="str">
        <f>""</f>
        <v/>
      </c>
      <c r="M3739" t="s">
        <v>68</v>
      </c>
      <c r="N3739" t="str">
        <f t="shared" si="393"/>
        <v>FOR</v>
      </c>
      <c r="O3739" t="s">
        <v>69</v>
      </c>
      <c r="P3739" s="3" t="s">
        <v>75</v>
      </c>
      <c r="Q3739">
        <v>2016</v>
      </c>
      <c r="R3739" s="2">
        <v>42487</v>
      </c>
      <c r="S3739" s="2">
        <v>42489</v>
      </c>
      <c r="T3739" s="2">
        <v>42487</v>
      </c>
      <c r="U3739" s="2">
        <v>42547</v>
      </c>
      <c r="V3739" t="s">
        <v>71</v>
      </c>
      <c r="W3739" t="str">
        <f>"       000073-2016-E"</f>
        <v xml:space="preserve">       000073-2016-E</v>
      </c>
      <c r="X3739">
        <v>213.5</v>
      </c>
      <c r="Y3739">
        <v>0</v>
      </c>
      <c r="Z3739" s="3">
        <v>175</v>
      </c>
      <c r="AA3739">
        <v>134</v>
      </c>
      <c r="AB3739" s="5">
        <v>23450</v>
      </c>
      <c r="AC3739">
        <v>175</v>
      </c>
      <c r="AD3739">
        <v>134</v>
      </c>
      <c r="AE3739" s="1">
        <v>23450</v>
      </c>
      <c r="AF3739">
        <v>38.5</v>
      </c>
      <c r="AJ3739">
        <v>0</v>
      </c>
      <c r="AK3739">
        <v>0</v>
      </c>
      <c r="AL3739">
        <v>0</v>
      </c>
      <c r="AM3739">
        <v>213.5</v>
      </c>
      <c r="AN3739">
        <v>213.5</v>
      </c>
      <c r="AO3739">
        <v>213.5</v>
      </c>
      <c r="AP3739" s="2">
        <v>42746</v>
      </c>
      <c r="AQ3739" t="s">
        <v>72</v>
      </c>
      <c r="AR3739" t="s">
        <v>72</v>
      </c>
      <c r="AS3739">
        <v>2946</v>
      </c>
      <c r="AT3739" s="4">
        <v>42681</v>
      </c>
      <c r="AU3739" t="s">
        <v>73</v>
      </c>
      <c r="AV3739">
        <v>2946</v>
      </c>
      <c r="AW3739" s="4">
        <v>42681</v>
      </c>
      <c r="BD3739">
        <v>38.5</v>
      </c>
      <c r="BN3739" t="s">
        <v>74</v>
      </c>
    </row>
    <row r="3740" spans="1:66">
      <c r="A3740">
        <v>101317</v>
      </c>
      <c r="B3740" s="3" t="s">
        <v>408</v>
      </c>
      <c r="C3740" s="1">
        <v>43300101</v>
      </c>
      <c r="D3740" t="s">
        <v>67</v>
      </c>
      <c r="H3740" t="str">
        <f t="shared" si="391"/>
        <v>DNGGTN52A01A783M</v>
      </c>
      <c r="I3740" t="str">
        <f t="shared" si="392"/>
        <v>00592310627</v>
      </c>
      <c r="K3740" t="str">
        <f>""</f>
        <v/>
      </c>
      <c r="M3740" t="s">
        <v>68</v>
      </c>
      <c r="N3740" t="str">
        <f t="shared" si="393"/>
        <v>FOR</v>
      </c>
      <c r="O3740" t="s">
        <v>69</v>
      </c>
      <c r="P3740" s="3" t="s">
        <v>75</v>
      </c>
      <c r="Q3740">
        <v>2016</v>
      </c>
      <c r="R3740" s="2">
        <v>42514</v>
      </c>
      <c r="S3740" s="2">
        <v>42514</v>
      </c>
      <c r="T3740" s="2">
        <v>42514</v>
      </c>
      <c r="U3740" s="2">
        <v>42574</v>
      </c>
      <c r="V3740" t="s">
        <v>71</v>
      </c>
      <c r="W3740" t="str">
        <f>"       000075-2016-E"</f>
        <v xml:space="preserve">       000075-2016-E</v>
      </c>
      <c r="X3740">
        <v>536.79999999999995</v>
      </c>
      <c r="Y3740">
        <v>0</v>
      </c>
      <c r="Z3740" s="3">
        <v>440</v>
      </c>
      <c r="AA3740">
        <v>107</v>
      </c>
      <c r="AB3740" s="5">
        <v>47080</v>
      </c>
      <c r="AC3740">
        <v>440</v>
      </c>
      <c r="AD3740">
        <v>107</v>
      </c>
      <c r="AE3740" s="1">
        <v>47080</v>
      </c>
      <c r="AF3740">
        <v>96.8</v>
      </c>
      <c r="AJ3740">
        <v>0</v>
      </c>
      <c r="AK3740">
        <v>0</v>
      </c>
      <c r="AL3740">
        <v>0</v>
      </c>
      <c r="AM3740">
        <v>536.79999999999995</v>
      </c>
      <c r="AN3740">
        <v>536.79999999999995</v>
      </c>
      <c r="AO3740">
        <v>536.79999999999995</v>
      </c>
      <c r="AP3740" s="2">
        <v>42746</v>
      </c>
      <c r="AQ3740" t="s">
        <v>72</v>
      </c>
      <c r="AR3740" t="s">
        <v>72</v>
      </c>
      <c r="AS3740">
        <v>2946</v>
      </c>
      <c r="AT3740" s="4">
        <v>42681</v>
      </c>
      <c r="AU3740" t="s">
        <v>73</v>
      </c>
      <c r="AV3740">
        <v>2946</v>
      </c>
      <c r="AW3740" s="4">
        <v>42681</v>
      </c>
      <c r="BC3740">
        <v>96.8</v>
      </c>
      <c r="BD3740">
        <v>0</v>
      </c>
      <c r="BN3740" t="s">
        <v>74</v>
      </c>
    </row>
    <row r="3741" spans="1:66">
      <c r="A3741">
        <v>101317</v>
      </c>
      <c r="B3741" s="3" t="s">
        <v>408</v>
      </c>
      <c r="C3741" s="1">
        <v>43300101</v>
      </c>
      <c r="D3741" t="s">
        <v>67</v>
      </c>
      <c r="H3741" t="str">
        <f t="shared" si="391"/>
        <v>DNGGTN52A01A783M</v>
      </c>
      <c r="I3741" t="str">
        <f t="shared" si="392"/>
        <v>00592310627</v>
      </c>
      <c r="K3741" t="str">
        <f>""</f>
        <v/>
      </c>
      <c r="M3741" t="s">
        <v>68</v>
      </c>
      <c r="N3741" t="str">
        <f t="shared" si="393"/>
        <v>FOR</v>
      </c>
      <c r="O3741" t="s">
        <v>69</v>
      </c>
      <c r="P3741" s="3" t="s">
        <v>75</v>
      </c>
      <c r="Q3741">
        <v>2016</v>
      </c>
      <c r="R3741" s="2">
        <v>42514</v>
      </c>
      <c r="S3741" s="2">
        <v>42514</v>
      </c>
      <c r="T3741" s="2">
        <v>42514</v>
      </c>
      <c r="U3741" s="2">
        <v>42574</v>
      </c>
      <c r="V3741" t="s">
        <v>71</v>
      </c>
      <c r="W3741" t="str">
        <f>"       000076-2016-E"</f>
        <v xml:space="preserve">       000076-2016-E</v>
      </c>
      <c r="X3741">
        <v>915</v>
      </c>
      <c r="Y3741">
        <v>0</v>
      </c>
      <c r="Z3741" s="3">
        <v>750</v>
      </c>
      <c r="AA3741">
        <v>107</v>
      </c>
      <c r="AB3741" s="5">
        <v>80250</v>
      </c>
      <c r="AC3741">
        <v>750</v>
      </c>
      <c r="AD3741">
        <v>107</v>
      </c>
      <c r="AE3741" s="1">
        <v>80250</v>
      </c>
      <c r="AF3741">
        <v>165</v>
      </c>
      <c r="AJ3741">
        <v>0</v>
      </c>
      <c r="AK3741">
        <v>0</v>
      </c>
      <c r="AL3741">
        <v>0</v>
      </c>
      <c r="AM3741">
        <v>915</v>
      </c>
      <c r="AN3741">
        <v>915</v>
      </c>
      <c r="AO3741">
        <v>915</v>
      </c>
      <c r="AP3741" s="2">
        <v>42746</v>
      </c>
      <c r="AQ3741" t="s">
        <v>72</v>
      </c>
      <c r="AR3741" t="s">
        <v>72</v>
      </c>
      <c r="AS3741">
        <v>2946</v>
      </c>
      <c r="AT3741" s="4">
        <v>42681</v>
      </c>
      <c r="AU3741" t="s">
        <v>73</v>
      </c>
      <c r="AV3741">
        <v>2946</v>
      </c>
      <c r="AW3741" s="4">
        <v>42681</v>
      </c>
      <c r="BC3741">
        <v>165</v>
      </c>
      <c r="BD3741">
        <v>0</v>
      </c>
      <c r="BN3741" t="s">
        <v>74</v>
      </c>
    </row>
    <row r="3742" spans="1:66">
      <c r="A3742">
        <v>101317</v>
      </c>
      <c r="B3742" s="3" t="s">
        <v>408</v>
      </c>
      <c r="C3742" s="1">
        <v>43300101</v>
      </c>
      <c r="D3742" t="s">
        <v>67</v>
      </c>
      <c r="H3742" t="str">
        <f t="shared" si="391"/>
        <v>DNGGTN52A01A783M</v>
      </c>
      <c r="I3742" t="str">
        <f t="shared" si="392"/>
        <v>00592310627</v>
      </c>
      <c r="K3742" t="str">
        <f>""</f>
        <v/>
      </c>
      <c r="M3742" t="s">
        <v>68</v>
      </c>
      <c r="N3742" t="str">
        <f t="shared" si="393"/>
        <v>FOR</v>
      </c>
      <c r="O3742" t="s">
        <v>69</v>
      </c>
      <c r="P3742" s="3" t="s">
        <v>75</v>
      </c>
      <c r="Q3742">
        <v>2016</v>
      </c>
      <c r="R3742" s="2">
        <v>42514</v>
      </c>
      <c r="S3742" s="2">
        <v>42514</v>
      </c>
      <c r="T3742" s="2">
        <v>42514</v>
      </c>
      <c r="U3742" s="2">
        <v>42574</v>
      </c>
      <c r="V3742" t="s">
        <v>71</v>
      </c>
      <c r="W3742" t="str">
        <f>"       000077-2016-E"</f>
        <v xml:space="preserve">       000077-2016-E</v>
      </c>
      <c r="X3742">
        <v>35.380000000000003</v>
      </c>
      <c r="Y3742">
        <v>0</v>
      </c>
      <c r="Z3742" s="3">
        <v>29</v>
      </c>
      <c r="AA3742">
        <v>107</v>
      </c>
      <c r="AB3742" s="5">
        <v>3103</v>
      </c>
      <c r="AC3742">
        <v>29</v>
      </c>
      <c r="AD3742">
        <v>107</v>
      </c>
      <c r="AE3742" s="1">
        <v>3103</v>
      </c>
      <c r="AF3742">
        <v>6.38</v>
      </c>
      <c r="AJ3742">
        <v>0</v>
      </c>
      <c r="AK3742">
        <v>0</v>
      </c>
      <c r="AL3742">
        <v>0</v>
      </c>
      <c r="AM3742">
        <v>35.380000000000003</v>
      </c>
      <c r="AN3742">
        <v>35.380000000000003</v>
      </c>
      <c r="AO3742">
        <v>35.380000000000003</v>
      </c>
      <c r="AP3742" s="2">
        <v>42746</v>
      </c>
      <c r="AQ3742" t="s">
        <v>72</v>
      </c>
      <c r="AR3742" t="s">
        <v>72</v>
      </c>
      <c r="AS3742">
        <v>2946</v>
      </c>
      <c r="AT3742" s="4">
        <v>42681</v>
      </c>
      <c r="AU3742" t="s">
        <v>73</v>
      </c>
      <c r="AV3742">
        <v>2946</v>
      </c>
      <c r="AW3742" s="4">
        <v>42681</v>
      </c>
      <c r="BC3742">
        <v>6.38</v>
      </c>
      <c r="BD3742">
        <v>0</v>
      </c>
      <c r="BN3742" t="s">
        <v>74</v>
      </c>
    </row>
    <row r="3743" spans="1:66">
      <c r="A3743">
        <v>101317</v>
      </c>
      <c r="B3743" s="3" t="s">
        <v>408</v>
      </c>
      <c r="C3743" s="1">
        <v>43300101</v>
      </c>
      <c r="D3743" t="s">
        <v>67</v>
      </c>
      <c r="H3743" t="str">
        <f t="shared" si="391"/>
        <v>DNGGTN52A01A783M</v>
      </c>
      <c r="I3743" t="str">
        <f t="shared" si="392"/>
        <v>00592310627</v>
      </c>
      <c r="K3743" t="str">
        <f>""</f>
        <v/>
      </c>
      <c r="M3743" t="s">
        <v>68</v>
      </c>
      <c r="N3743" t="str">
        <f t="shared" si="393"/>
        <v>FOR</v>
      </c>
      <c r="O3743" t="s">
        <v>69</v>
      </c>
      <c r="P3743" s="3" t="s">
        <v>75</v>
      </c>
      <c r="Q3743">
        <v>2016</v>
      </c>
      <c r="R3743" s="2">
        <v>42514</v>
      </c>
      <c r="S3743" s="2">
        <v>42514</v>
      </c>
      <c r="T3743" s="2">
        <v>42514</v>
      </c>
      <c r="U3743" s="2">
        <v>42574</v>
      </c>
      <c r="V3743" t="s">
        <v>71</v>
      </c>
      <c r="W3743" t="str">
        <f>"       000078-2016-E"</f>
        <v xml:space="preserve">       000078-2016-E</v>
      </c>
      <c r="X3743">
        <v>482.14</v>
      </c>
      <c r="Y3743">
        <v>0</v>
      </c>
      <c r="Z3743" s="3">
        <v>395.2</v>
      </c>
      <c r="AA3743">
        <v>107</v>
      </c>
      <c r="AB3743" s="5">
        <v>42286.400000000001</v>
      </c>
      <c r="AC3743">
        <v>395.2</v>
      </c>
      <c r="AD3743">
        <v>107</v>
      </c>
      <c r="AE3743" s="1">
        <v>42286.400000000001</v>
      </c>
      <c r="AF3743">
        <v>86.94</v>
      </c>
      <c r="AJ3743">
        <v>0</v>
      </c>
      <c r="AK3743">
        <v>0</v>
      </c>
      <c r="AL3743">
        <v>0</v>
      </c>
      <c r="AM3743">
        <v>482.14</v>
      </c>
      <c r="AN3743">
        <v>482.14</v>
      </c>
      <c r="AO3743">
        <v>482.14</v>
      </c>
      <c r="AP3743" s="2">
        <v>42746</v>
      </c>
      <c r="AQ3743" t="s">
        <v>72</v>
      </c>
      <c r="AR3743" t="s">
        <v>72</v>
      </c>
      <c r="AS3743">
        <v>2946</v>
      </c>
      <c r="AT3743" s="4">
        <v>42681</v>
      </c>
      <c r="AU3743" t="s">
        <v>73</v>
      </c>
      <c r="AV3743">
        <v>2946</v>
      </c>
      <c r="AW3743" s="4">
        <v>42681</v>
      </c>
      <c r="BC3743">
        <v>86.94</v>
      </c>
      <c r="BD3743">
        <v>0</v>
      </c>
      <c r="BN3743" t="s">
        <v>74</v>
      </c>
    </row>
    <row r="3744" spans="1:66">
      <c r="A3744">
        <v>101317</v>
      </c>
      <c r="B3744" s="3" t="s">
        <v>408</v>
      </c>
      <c r="C3744" s="1">
        <v>43300101</v>
      </c>
      <c r="D3744" t="s">
        <v>67</v>
      </c>
      <c r="H3744" t="str">
        <f t="shared" si="391"/>
        <v>DNGGTN52A01A783M</v>
      </c>
      <c r="I3744" t="str">
        <f t="shared" si="392"/>
        <v>00592310627</v>
      </c>
      <c r="K3744" t="str">
        <f>""</f>
        <v/>
      </c>
      <c r="M3744" t="s">
        <v>68</v>
      </c>
      <c r="N3744" t="str">
        <f t="shared" si="393"/>
        <v>FOR</v>
      </c>
      <c r="O3744" t="s">
        <v>69</v>
      </c>
      <c r="P3744" s="3" t="s">
        <v>75</v>
      </c>
      <c r="Q3744">
        <v>2016</v>
      </c>
      <c r="R3744" s="2">
        <v>42514</v>
      </c>
      <c r="S3744" s="2">
        <v>42514</v>
      </c>
      <c r="T3744" s="2">
        <v>42514</v>
      </c>
      <c r="U3744" s="2">
        <v>42574</v>
      </c>
      <c r="V3744" t="s">
        <v>71</v>
      </c>
      <c r="W3744" t="str">
        <f>"       000079-2016-E"</f>
        <v xml:space="preserve">       000079-2016-E</v>
      </c>
      <c r="X3744">
        <v>402.6</v>
      </c>
      <c r="Y3744">
        <v>0</v>
      </c>
      <c r="Z3744" s="3">
        <v>330</v>
      </c>
      <c r="AA3744">
        <v>107</v>
      </c>
      <c r="AB3744" s="5">
        <v>35310</v>
      </c>
      <c r="AC3744">
        <v>330</v>
      </c>
      <c r="AD3744">
        <v>107</v>
      </c>
      <c r="AE3744" s="1">
        <v>35310</v>
      </c>
      <c r="AF3744">
        <v>72.599999999999994</v>
      </c>
      <c r="AJ3744">
        <v>0</v>
      </c>
      <c r="AK3744">
        <v>0</v>
      </c>
      <c r="AL3744">
        <v>0</v>
      </c>
      <c r="AM3744">
        <v>402.6</v>
      </c>
      <c r="AN3744">
        <v>402.6</v>
      </c>
      <c r="AO3744">
        <v>402.6</v>
      </c>
      <c r="AP3744" s="2">
        <v>42746</v>
      </c>
      <c r="AQ3744" t="s">
        <v>72</v>
      </c>
      <c r="AR3744" t="s">
        <v>72</v>
      </c>
      <c r="AS3744">
        <v>2946</v>
      </c>
      <c r="AT3744" s="4">
        <v>42681</v>
      </c>
      <c r="AU3744" t="s">
        <v>73</v>
      </c>
      <c r="AV3744">
        <v>2946</v>
      </c>
      <c r="AW3744" s="4">
        <v>42681</v>
      </c>
      <c r="BC3744">
        <v>72.599999999999994</v>
      </c>
      <c r="BD3744">
        <v>0</v>
      </c>
      <c r="BN3744" t="s">
        <v>74</v>
      </c>
    </row>
    <row r="3745" spans="1:66">
      <c r="A3745">
        <v>101317</v>
      </c>
      <c r="B3745" s="3" t="s">
        <v>408</v>
      </c>
      <c r="C3745" s="1">
        <v>43300101</v>
      </c>
      <c r="D3745" t="s">
        <v>67</v>
      </c>
      <c r="H3745" t="str">
        <f t="shared" si="391"/>
        <v>DNGGTN52A01A783M</v>
      </c>
      <c r="I3745" t="str">
        <f t="shared" si="392"/>
        <v>00592310627</v>
      </c>
      <c r="K3745" t="str">
        <f>""</f>
        <v/>
      </c>
      <c r="M3745" t="s">
        <v>68</v>
      </c>
      <c r="N3745" t="str">
        <f t="shared" si="393"/>
        <v>FOR</v>
      </c>
      <c r="O3745" t="s">
        <v>69</v>
      </c>
      <c r="P3745" s="3" t="s">
        <v>75</v>
      </c>
      <c r="Q3745">
        <v>2016</v>
      </c>
      <c r="R3745" s="2">
        <v>42514</v>
      </c>
      <c r="S3745" s="2">
        <v>42515</v>
      </c>
      <c r="T3745" s="2">
        <v>42514</v>
      </c>
      <c r="U3745" s="2">
        <v>42574</v>
      </c>
      <c r="V3745" t="s">
        <v>71</v>
      </c>
      <c r="W3745" t="str">
        <f>"       000080-2016-E"</f>
        <v xml:space="preserve">       000080-2016-E</v>
      </c>
      <c r="X3745">
        <v>189.1</v>
      </c>
      <c r="Y3745">
        <v>0</v>
      </c>
      <c r="Z3745" s="3">
        <v>155</v>
      </c>
      <c r="AA3745">
        <v>107</v>
      </c>
      <c r="AB3745" s="5">
        <v>16585</v>
      </c>
      <c r="AC3745">
        <v>155</v>
      </c>
      <c r="AD3745">
        <v>107</v>
      </c>
      <c r="AE3745" s="1">
        <v>16585</v>
      </c>
      <c r="AF3745">
        <v>34.1</v>
      </c>
      <c r="AJ3745">
        <v>0</v>
      </c>
      <c r="AK3745">
        <v>0</v>
      </c>
      <c r="AL3745">
        <v>0</v>
      </c>
      <c r="AM3745">
        <v>189.1</v>
      </c>
      <c r="AN3745">
        <v>189.1</v>
      </c>
      <c r="AO3745">
        <v>189.1</v>
      </c>
      <c r="AP3745" s="2">
        <v>42746</v>
      </c>
      <c r="AQ3745" t="s">
        <v>72</v>
      </c>
      <c r="AR3745" t="s">
        <v>72</v>
      </c>
      <c r="AS3745">
        <v>2946</v>
      </c>
      <c r="AT3745" s="4">
        <v>42681</v>
      </c>
      <c r="AU3745" t="s">
        <v>73</v>
      </c>
      <c r="AV3745">
        <v>2946</v>
      </c>
      <c r="AW3745" s="4">
        <v>42681</v>
      </c>
      <c r="BC3745">
        <v>34.1</v>
      </c>
      <c r="BD3745">
        <v>0</v>
      </c>
      <c r="BN3745" t="s">
        <v>74</v>
      </c>
    </row>
    <row r="3746" spans="1:66">
      <c r="A3746">
        <v>101317</v>
      </c>
      <c r="B3746" s="3" t="s">
        <v>408</v>
      </c>
      <c r="C3746" s="1">
        <v>43300101</v>
      </c>
      <c r="D3746" t="s">
        <v>67</v>
      </c>
      <c r="H3746" t="str">
        <f t="shared" si="391"/>
        <v>DNGGTN52A01A783M</v>
      </c>
      <c r="I3746" t="str">
        <f t="shared" si="392"/>
        <v>00592310627</v>
      </c>
      <c r="K3746" t="str">
        <f>""</f>
        <v/>
      </c>
      <c r="M3746" t="s">
        <v>68</v>
      </c>
      <c r="N3746" t="str">
        <f t="shared" si="393"/>
        <v>FOR</v>
      </c>
      <c r="O3746" t="s">
        <v>69</v>
      </c>
      <c r="P3746" s="3" t="s">
        <v>75</v>
      </c>
      <c r="Q3746">
        <v>2016</v>
      </c>
      <c r="R3746" s="2">
        <v>42514</v>
      </c>
      <c r="S3746" s="2">
        <v>42515</v>
      </c>
      <c r="T3746" s="2">
        <v>42514</v>
      </c>
      <c r="U3746" s="2">
        <v>42574</v>
      </c>
      <c r="V3746" t="s">
        <v>71</v>
      </c>
      <c r="W3746" t="str">
        <f>"       000081-2016-E"</f>
        <v xml:space="preserve">       000081-2016-E</v>
      </c>
      <c r="X3746">
        <v>469.7</v>
      </c>
      <c r="Y3746">
        <v>0</v>
      </c>
      <c r="Z3746" s="3">
        <v>385</v>
      </c>
      <c r="AA3746">
        <v>107</v>
      </c>
      <c r="AB3746" s="5">
        <v>41195</v>
      </c>
      <c r="AC3746">
        <v>385</v>
      </c>
      <c r="AD3746">
        <v>107</v>
      </c>
      <c r="AE3746" s="1">
        <v>41195</v>
      </c>
      <c r="AF3746">
        <v>84.7</v>
      </c>
      <c r="AJ3746">
        <v>0</v>
      </c>
      <c r="AK3746">
        <v>0</v>
      </c>
      <c r="AL3746">
        <v>0</v>
      </c>
      <c r="AM3746">
        <v>469.7</v>
      </c>
      <c r="AN3746">
        <v>469.7</v>
      </c>
      <c r="AO3746">
        <v>469.7</v>
      </c>
      <c r="AP3746" s="2">
        <v>42746</v>
      </c>
      <c r="AQ3746" t="s">
        <v>72</v>
      </c>
      <c r="AR3746" t="s">
        <v>72</v>
      </c>
      <c r="AS3746">
        <v>2946</v>
      </c>
      <c r="AT3746" s="4">
        <v>42681</v>
      </c>
      <c r="AU3746" t="s">
        <v>73</v>
      </c>
      <c r="AV3746">
        <v>2946</v>
      </c>
      <c r="AW3746" s="4">
        <v>42681</v>
      </c>
      <c r="BC3746">
        <v>84.7</v>
      </c>
      <c r="BD3746">
        <v>0</v>
      </c>
      <c r="BN3746" t="s">
        <v>74</v>
      </c>
    </row>
    <row r="3747" spans="1:66">
      <c r="A3747">
        <v>101317</v>
      </c>
      <c r="B3747" s="3" t="s">
        <v>408</v>
      </c>
      <c r="C3747" s="1">
        <v>43300101</v>
      </c>
      <c r="D3747" t="s">
        <v>67</v>
      </c>
      <c r="H3747" t="str">
        <f t="shared" si="391"/>
        <v>DNGGTN52A01A783M</v>
      </c>
      <c r="I3747" t="str">
        <f t="shared" si="392"/>
        <v>00592310627</v>
      </c>
      <c r="K3747" t="str">
        <f>""</f>
        <v/>
      </c>
      <c r="M3747" t="s">
        <v>68</v>
      </c>
      <c r="N3747" t="str">
        <f t="shared" si="393"/>
        <v>FOR</v>
      </c>
      <c r="O3747" t="s">
        <v>69</v>
      </c>
      <c r="P3747" s="3" t="s">
        <v>75</v>
      </c>
      <c r="Q3747">
        <v>2016</v>
      </c>
      <c r="R3747" s="2">
        <v>42514</v>
      </c>
      <c r="S3747" s="2">
        <v>42515</v>
      </c>
      <c r="T3747" s="2">
        <v>42514</v>
      </c>
      <c r="U3747" s="2">
        <v>42574</v>
      </c>
      <c r="V3747" t="s">
        <v>71</v>
      </c>
      <c r="W3747" t="str">
        <f>"       000082-2016-E"</f>
        <v xml:space="preserve">       000082-2016-E</v>
      </c>
      <c r="X3747">
        <v>35.380000000000003</v>
      </c>
      <c r="Y3747">
        <v>0</v>
      </c>
      <c r="Z3747" s="3">
        <v>29</v>
      </c>
      <c r="AA3747">
        <v>107</v>
      </c>
      <c r="AB3747" s="5">
        <v>3103</v>
      </c>
      <c r="AC3747">
        <v>29</v>
      </c>
      <c r="AD3747">
        <v>107</v>
      </c>
      <c r="AE3747" s="1">
        <v>3103</v>
      </c>
      <c r="AF3747">
        <v>6.38</v>
      </c>
      <c r="AJ3747">
        <v>0</v>
      </c>
      <c r="AK3747">
        <v>0</v>
      </c>
      <c r="AL3747">
        <v>0</v>
      </c>
      <c r="AM3747">
        <v>35.380000000000003</v>
      </c>
      <c r="AN3747">
        <v>35.380000000000003</v>
      </c>
      <c r="AO3747">
        <v>35.380000000000003</v>
      </c>
      <c r="AP3747" s="2">
        <v>42746</v>
      </c>
      <c r="AQ3747" t="s">
        <v>72</v>
      </c>
      <c r="AR3747" t="s">
        <v>72</v>
      </c>
      <c r="AS3747">
        <v>2946</v>
      </c>
      <c r="AT3747" s="4">
        <v>42681</v>
      </c>
      <c r="AU3747" t="s">
        <v>73</v>
      </c>
      <c r="AV3747">
        <v>2946</v>
      </c>
      <c r="AW3747" s="4">
        <v>42681</v>
      </c>
      <c r="BC3747">
        <v>6.38</v>
      </c>
      <c r="BD3747">
        <v>0</v>
      </c>
      <c r="BN3747" t="s">
        <v>74</v>
      </c>
    </row>
    <row r="3748" spans="1:66">
      <c r="A3748">
        <v>101317</v>
      </c>
      <c r="B3748" s="3" t="s">
        <v>408</v>
      </c>
      <c r="C3748" s="1">
        <v>43300101</v>
      </c>
      <c r="D3748" t="s">
        <v>67</v>
      </c>
      <c r="H3748" t="str">
        <f t="shared" si="391"/>
        <v>DNGGTN52A01A783M</v>
      </c>
      <c r="I3748" t="str">
        <f t="shared" si="392"/>
        <v>00592310627</v>
      </c>
      <c r="K3748" t="str">
        <f>""</f>
        <v/>
      </c>
      <c r="M3748" t="s">
        <v>68</v>
      </c>
      <c r="N3748" t="str">
        <f t="shared" si="393"/>
        <v>FOR</v>
      </c>
      <c r="O3748" t="s">
        <v>69</v>
      </c>
      <c r="P3748" s="3" t="s">
        <v>75</v>
      </c>
      <c r="Q3748">
        <v>2016</v>
      </c>
      <c r="R3748" s="2">
        <v>42514</v>
      </c>
      <c r="S3748" s="2">
        <v>42515</v>
      </c>
      <c r="T3748" s="2">
        <v>42514</v>
      </c>
      <c r="U3748" s="2">
        <v>42574</v>
      </c>
      <c r="V3748" t="s">
        <v>71</v>
      </c>
      <c r="W3748" t="str">
        <f>"       000083-2016-E"</f>
        <v xml:space="preserve">       000083-2016-E</v>
      </c>
      <c r="X3748">
        <v>237.9</v>
      </c>
      <c r="Y3748">
        <v>0</v>
      </c>
      <c r="Z3748" s="3">
        <v>195</v>
      </c>
      <c r="AA3748">
        <v>107</v>
      </c>
      <c r="AB3748" s="5">
        <v>20865</v>
      </c>
      <c r="AC3748">
        <v>195</v>
      </c>
      <c r="AD3748">
        <v>107</v>
      </c>
      <c r="AE3748" s="1">
        <v>20865</v>
      </c>
      <c r="AF3748">
        <v>42.9</v>
      </c>
      <c r="AJ3748">
        <v>0</v>
      </c>
      <c r="AK3748">
        <v>0</v>
      </c>
      <c r="AL3748">
        <v>0</v>
      </c>
      <c r="AM3748">
        <v>237.9</v>
      </c>
      <c r="AN3748">
        <v>237.9</v>
      </c>
      <c r="AO3748">
        <v>237.9</v>
      </c>
      <c r="AP3748" s="2">
        <v>42746</v>
      </c>
      <c r="AQ3748" t="s">
        <v>72</v>
      </c>
      <c r="AR3748" t="s">
        <v>72</v>
      </c>
      <c r="AS3748">
        <v>2946</v>
      </c>
      <c r="AT3748" s="4">
        <v>42681</v>
      </c>
      <c r="AU3748" t="s">
        <v>73</v>
      </c>
      <c r="AV3748">
        <v>2946</v>
      </c>
      <c r="AW3748" s="4">
        <v>42681</v>
      </c>
      <c r="BC3748">
        <v>42.9</v>
      </c>
      <c r="BD3748">
        <v>0</v>
      </c>
      <c r="BN3748" t="s">
        <v>74</v>
      </c>
    </row>
    <row r="3749" spans="1:66">
      <c r="A3749">
        <v>101317</v>
      </c>
      <c r="B3749" s="3" t="s">
        <v>408</v>
      </c>
      <c r="C3749" s="1">
        <v>43300101</v>
      </c>
      <c r="D3749" t="s">
        <v>67</v>
      </c>
      <c r="H3749" t="str">
        <f t="shared" si="391"/>
        <v>DNGGTN52A01A783M</v>
      </c>
      <c r="I3749" t="str">
        <f t="shared" si="392"/>
        <v>00592310627</v>
      </c>
      <c r="K3749" t="str">
        <f>""</f>
        <v/>
      </c>
      <c r="M3749" t="s">
        <v>68</v>
      </c>
      <c r="N3749" t="str">
        <f t="shared" si="393"/>
        <v>FOR</v>
      </c>
      <c r="O3749" t="s">
        <v>69</v>
      </c>
      <c r="P3749" s="3" t="s">
        <v>75</v>
      </c>
      <c r="Q3749">
        <v>2016</v>
      </c>
      <c r="R3749" s="2">
        <v>42514</v>
      </c>
      <c r="S3749" s="2">
        <v>42515</v>
      </c>
      <c r="T3749" s="2">
        <v>42514</v>
      </c>
      <c r="U3749" s="2">
        <v>42574</v>
      </c>
      <c r="V3749" t="s">
        <v>71</v>
      </c>
      <c r="W3749" t="str">
        <f>"       000084-2016-E"</f>
        <v xml:space="preserve">       000084-2016-E</v>
      </c>
      <c r="X3749">
        <v>35.380000000000003</v>
      </c>
      <c r="Y3749">
        <v>0</v>
      </c>
      <c r="Z3749" s="3">
        <v>29</v>
      </c>
      <c r="AA3749">
        <v>107</v>
      </c>
      <c r="AB3749" s="5">
        <v>3103</v>
      </c>
      <c r="AC3749">
        <v>29</v>
      </c>
      <c r="AD3749">
        <v>107</v>
      </c>
      <c r="AE3749" s="1">
        <v>3103</v>
      </c>
      <c r="AF3749">
        <v>6.38</v>
      </c>
      <c r="AJ3749">
        <v>0</v>
      </c>
      <c r="AK3749">
        <v>0</v>
      </c>
      <c r="AL3749">
        <v>0</v>
      </c>
      <c r="AM3749">
        <v>35.380000000000003</v>
      </c>
      <c r="AN3749">
        <v>35.380000000000003</v>
      </c>
      <c r="AO3749">
        <v>35.380000000000003</v>
      </c>
      <c r="AP3749" s="2">
        <v>42746</v>
      </c>
      <c r="AQ3749" t="s">
        <v>72</v>
      </c>
      <c r="AR3749" t="s">
        <v>72</v>
      </c>
      <c r="AS3749">
        <v>2946</v>
      </c>
      <c r="AT3749" s="4">
        <v>42681</v>
      </c>
      <c r="AU3749" t="s">
        <v>73</v>
      </c>
      <c r="AV3749">
        <v>2946</v>
      </c>
      <c r="AW3749" s="4">
        <v>42681</v>
      </c>
      <c r="BC3749">
        <v>6.38</v>
      </c>
      <c r="BD3749">
        <v>0</v>
      </c>
      <c r="BN3749" t="s">
        <v>74</v>
      </c>
    </row>
    <row r="3750" spans="1:66">
      <c r="A3750">
        <v>101317</v>
      </c>
      <c r="B3750" s="3" t="s">
        <v>408</v>
      </c>
      <c r="C3750" s="1">
        <v>43300101</v>
      </c>
      <c r="D3750" t="s">
        <v>67</v>
      </c>
      <c r="H3750" t="str">
        <f t="shared" si="391"/>
        <v>DNGGTN52A01A783M</v>
      </c>
      <c r="I3750" t="str">
        <f t="shared" si="392"/>
        <v>00592310627</v>
      </c>
      <c r="K3750" t="str">
        <f>""</f>
        <v/>
      </c>
      <c r="M3750" t="s">
        <v>68</v>
      </c>
      <c r="N3750" t="str">
        <f t="shared" si="393"/>
        <v>FOR</v>
      </c>
      <c r="O3750" t="s">
        <v>69</v>
      </c>
      <c r="P3750" s="3" t="s">
        <v>75</v>
      </c>
      <c r="Q3750">
        <v>2016</v>
      </c>
      <c r="R3750" s="2">
        <v>42514</v>
      </c>
      <c r="S3750" s="2">
        <v>42515</v>
      </c>
      <c r="T3750" s="2">
        <v>42514</v>
      </c>
      <c r="U3750" s="2">
        <v>42574</v>
      </c>
      <c r="V3750" t="s">
        <v>71</v>
      </c>
      <c r="W3750" t="str">
        <f>"       000089-2016-E"</f>
        <v xml:space="preserve">       000089-2016-E</v>
      </c>
      <c r="X3750">
        <v>420.9</v>
      </c>
      <c r="Y3750">
        <v>0</v>
      </c>
      <c r="Z3750" s="3">
        <v>345</v>
      </c>
      <c r="AA3750">
        <v>107</v>
      </c>
      <c r="AB3750" s="5">
        <v>36915</v>
      </c>
      <c r="AC3750">
        <v>345</v>
      </c>
      <c r="AD3750">
        <v>107</v>
      </c>
      <c r="AE3750" s="1">
        <v>36915</v>
      </c>
      <c r="AF3750">
        <v>75.900000000000006</v>
      </c>
      <c r="AJ3750">
        <v>0</v>
      </c>
      <c r="AK3750">
        <v>0</v>
      </c>
      <c r="AL3750">
        <v>0</v>
      </c>
      <c r="AM3750">
        <v>420.9</v>
      </c>
      <c r="AN3750">
        <v>420.9</v>
      </c>
      <c r="AO3750">
        <v>420.9</v>
      </c>
      <c r="AP3750" s="2">
        <v>42746</v>
      </c>
      <c r="AQ3750" t="s">
        <v>72</v>
      </c>
      <c r="AR3750" t="s">
        <v>72</v>
      </c>
      <c r="AS3750">
        <v>2946</v>
      </c>
      <c r="AT3750" s="4">
        <v>42681</v>
      </c>
      <c r="AU3750" t="s">
        <v>73</v>
      </c>
      <c r="AV3750">
        <v>2946</v>
      </c>
      <c r="AW3750" s="4">
        <v>42681</v>
      </c>
      <c r="BC3750">
        <v>75.900000000000006</v>
      </c>
      <c r="BD3750">
        <v>0</v>
      </c>
      <c r="BN3750" t="s">
        <v>74</v>
      </c>
    </row>
    <row r="3751" spans="1:66">
      <c r="A3751">
        <v>101317</v>
      </c>
      <c r="B3751" s="3" t="s">
        <v>408</v>
      </c>
      <c r="C3751" s="1">
        <v>43300101</v>
      </c>
      <c r="D3751" t="s">
        <v>67</v>
      </c>
      <c r="H3751" t="str">
        <f t="shared" si="391"/>
        <v>DNGGTN52A01A783M</v>
      </c>
      <c r="I3751" t="str">
        <f t="shared" si="392"/>
        <v>00592310627</v>
      </c>
      <c r="K3751" t="str">
        <f>""</f>
        <v/>
      </c>
      <c r="M3751" t="s">
        <v>68</v>
      </c>
      <c r="N3751" t="str">
        <f t="shared" si="393"/>
        <v>FOR</v>
      </c>
      <c r="O3751" t="s">
        <v>69</v>
      </c>
      <c r="P3751" s="3" t="s">
        <v>75</v>
      </c>
      <c r="Q3751">
        <v>2016</v>
      </c>
      <c r="R3751" s="2">
        <v>42557</v>
      </c>
      <c r="S3751" s="2">
        <v>42558</v>
      </c>
      <c r="T3751" s="2">
        <v>42557</v>
      </c>
      <c r="U3751" s="2">
        <v>42617</v>
      </c>
      <c r="V3751" t="s">
        <v>71</v>
      </c>
      <c r="W3751" t="str">
        <f>"       000095-2016-E"</f>
        <v xml:space="preserve">       000095-2016-E</v>
      </c>
      <c r="X3751">
        <v>311.70999999999998</v>
      </c>
      <c r="Y3751">
        <v>0</v>
      </c>
      <c r="Z3751" s="3">
        <v>255.5</v>
      </c>
      <c r="AA3751">
        <v>64</v>
      </c>
      <c r="AB3751" s="5">
        <v>16352</v>
      </c>
      <c r="AC3751">
        <v>255.5</v>
      </c>
      <c r="AD3751">
        <v>64</v>
      </c>
      <c r="AE3751" s="1">
        <v>16352</v>
      </c>
      <c r="AF3751">
        <v>56.21</v>
      </c>
      <c r="AJ3751">
        <v>0</v>
      </c>
      <c r="AK3751">
        <v>0</v>
      </c>
      <c r="AL3751">
        <v>0</v>
      </c>
      <c r="AM3751">
        <v>311.70999999999998</v>
      </c>
      <c r="AN3751">
        <v>311.70999999999998</v>
      </c>
      <c r="AO3751">
        <v>311.70999999999998</v>
      </c>
      <c r="AP3751" s="2">
        <v>42746</v>
      </c>
      <c r="AQ3751" t="s">
        <v>72</v>
      </c>
      <c r="AR3751" t="s">
        <v>72</v>
      </c>
      <c r="AS3751">
        <v>2946</v>
      </c>
      <c r="AT3751" s="4">
        <v>42681</v>
      </c>
      <c r="AU3751" t="s">
        <v>73</v>
      </c>
      <c r="AV3751">
        <v>2946</v>
      </c>
      <c r="AW3751" s="4">
        <v>42681</v>
      </c>
      <c r="BA3751">
        <v>56.21</v>
      </c>
      <c r="BD3751">
        <v>0</v>
      </c>
      <c r="BN3751" t="s">
        <v>74</v>
      </c>
    </row>
    <row r="3752" spans="1:66">
      <c r="A3752">
        <v>101317</v>
      </c>
      <c r="B3752" s="3" t="s">
        <v>408</v>
      </c>
      <c r="C3752" s="1">
        <v>43300101</v>
      </c>
      <c r="D3752" t="s">
        <v>67</v>
      </c>
      <c r="H3752" t="str">
        <f t="shared" si="391"/>
        <v>DNGGTN52A01A783M</v>
      </c>
      <c r="I3752" t="str">
        <f t="shared" si="392"/>
        <v>00592310627</v>
      </c>
      <c r="K3752" t="str">
        <f>""</f>
        <v/>
      </c>
      <c r="M3752" t="s">
        <v>68</v>
      </c>
      <c r="N3752" t="str">
        <f t="shared" si="393"/>
        <v>FOR</v>
      </c>
      <c r="O3752" t="s">
        <v>69</v>
      </c>
      <c r="P3752" s="3" t="s">
        <v>75</v>
      </c>
      <c r="Q3752">
        <v>2016</v>
      </c>
      <c r="R3752" s="2">
        <v>42557</v>
      </c>
      <c r="S3752" s="2">
        <v>42558</v>
      </c>
      <c r="T3752" s="2">
        <v>42557</v>
      </c>
      <c r="U3752" s="2">
        <v>42617</v>
      </c>
      <c r="V3752" t="s">
        <v>71</v>
      </c>
      <c r="W3752" t="str">
        <f>"       000098-2016-E"</f>
        <v xml:space="preserve">       000098-2016-E</v>
      </c>
      <c r="X3752">
        <v>239.73</v>
      </c>
      <c r="Y3752">
        <v>0</v>
      </c>
      <c r="Z3752" s="3">
        <v>196.5</v>
      </c>
      <c r="AA3752">
        <v>64</v>
      </c>
      <c r="AB3752" s="5">
        <v>12576</v>
      </c>
      <c r="AC3752">
        <v>196.5</v>
      </c>
      <c r="AD3752">
        <v>64</v>
      </c>
      <c r="AE3752" s="1">
        <v>12576</v>
      </c>
      <c r="AF3752">
        <v>43.23</v>
      </c>
      <c r="AJ3752">
        <v>0</v>
      </c>
      <c r="AK3752">
        <v>0</v>
      </c>
      <c r="AL3752">
        <v>0</v>
      </c>
      <c r="AM3752">
        <v>239.73</v>
      </c>
      <c r="AN3752">
        <v>239.73</v>
      </c>
      <c r="AO3752">
        <v>239.73</v>
      </c>
      <c r="AP3752" s="2">
        <v>42746</v>
      </c>
      <c r="AQ3752" t="s">
        <v>72</v>
      </c>
      <c r="AR3752" t="s">
        <v>72</v>
      </c>
      <c r="AS3752">
        <v>2946</v>
      </c>
      <c r="AT3752" s="4">
        <v>42681</v>
      </c>
      <c r="AU3752" t="s">
        <v>73</v>
      </c>
      <c r="AV3752">
        <v>2946</v>
      </c>
      <c r="AW3752" s="4">
        <v>42681</v>
      </c>
      <c r="BA3752">
        <v>43.23</v>
      </c>
      <c r="BD3752">
        <v>0</v>
      </c>
      <c r="BN3752" t="s">
        <v>74</v>
      </c>
    </row>
    <row r="3753" spans="1:66">
      <c r="A3753">
        <v>101317</v>
      </c>
      <c r="B3753" s="3" t="s">
        <v>408</v>
      </c>
      <c r="C3753" s="1">
        <v>43300101</v>
      </c>
      <c r="D3753" t="s">
        <v>67</v>
      </c>
      <c r="H3753" t="str">
        <f t="shared" si="391"/>
        <v>DNGGTN52A01A783M</v>
      </c>
      <c r="I3753" t="str">
        <f t="shared" si="392"/>
        <v>00592310627</v>
      </c>
      <c r="K3753" t="str">
        <f>""</f>
        <v/>
      </c>
      <c r="M3753" t="s">
        <v>68</v>
      </c>
      <c r="N3753" t="str">
        <f t="shared" si="393"/>
        <v>FOR</v>
      </c>
      <c r="O3753" t="s">
        <v>69</v>
      </c>
      <c r="P3753" s="3" t="s">
        <v>75</v>
      </c>
      <c r="Q3753">
        <v>2016</v>
      </c>
      <c r="R3753" s="2">
        <v>42557</v>
      </c>
      <c r="S3753" s="2">
        <v>42558</v>
      </c>
      <c r="T3753" s="2">
        <v>42557</v>
      </c>
      <c r="U3753" s="2">
        <v>42617</v>
      </c>
      <c r="V3753" t="s">
        <v>71</v>
      </c>
      <c r="W3753" t="str">
        <f>"       000100-2016-E"</f>
        <v xml:space="preserve">       000100-2016-E</v>
      </c>
      <c r="X3753">
        <v>439.2</v>
      </c>
      <c r="Y3753">
        <v>0</v>
      </c>
      <c r="Z3753" s="3">
        <v>360</v>
      </c>
      <c r="AA3753">
        <v>64</v>
      </c>
      <c r="AB3753" s="5">
        <v>23040</v>
      </c>
      <c r="AC3753">
        <v>360</v>
      </c>
      <c r="AD3753">
        <v>64</v>
      </c>
      <c r="AE3753" s="1">
        <v>23040</v>
      </c>
      <c r="AF3753">
        <v>79.2</v>
      </c>
      <c r="AJ3753">
        <v>0</v>
      </c>
      <c r="AK3753">
        <v>0</v>
      </c>
      <c r="AL3753">
        <v>0</v>
      </c>
      <c r="AM3753">
        <v>439.2</v>
      </c>
      <c r="AN3753">
        <v>439.2</v>
      </c>
      <c r="AO3753">
        <v>439.2</v>
      </c>
      <c r="AP3753" s="2">
        <v>42746</v>
      </c>
      <c r="AQ3753" t="s">
        <v>72</v>
      </c>
      <c r="AR3753" t="s">
        <v>72</v>
      </c>
      <c r="AS3753">
        <v>2946</v>
      </c>
      <c r="AT3753" s="4">
        <v>42681</v>
      </c>
      <c r="AU3753" t="s">
        <v>73</v>
      </c>
      <c r="AV3753">
        <v>2946</v>
      </c>
      <c r="AW3753" s="4">
        <v>42681</v>
      </c>
      <c r="BA3753">
        <v>79.2</v>
      </c>
      <c r="BD3753">
        <v>0</v>
      </c>
      <c r="BN3753" t="s">
        <v>74</v>
      </c>
    </row>
    <row r="3754" spans="1:66" hidden="1">
      <c r="A3754">
        <v>101320</v>
      </c>
      <c r="B3754" s="3" t="s">
        <v>409</v>
      </c>
      <c r="C3754" s="1">
        <v>43300101</v>
      </c>
      <c r="D3754" t="s">
        <v>67</v>
      </c>
      <c r="H3754" t="str">
        <f t="shared" ref="H3754:I3756" si="394">"08126390155"</f>
        <v>08126390155</v>
      </c>
      <c r="I3754" t="str">
        <f t="shared" si="394"/>
        <v>08126390155</v>
      </c>
      <c r="K3754" t="str">
        <f>""</f>
        <v/>
      </c>
      <c r="M3754" t="s">
        <v>68</v>
      </c>
      <c r="N3754" t="str">
        <f t="shared" si="393"/>
        <v>FOR</v>
      </c>
      <c r="O3754" t="s">
        <v>69</v>
      </c>
      <c r="P3754" s="3" t="s">
        <v>70</v>
      </c>
      <c r="Q3754">
        <v>2015</v>
      </c>
      <c r="R3754" s="2">
        <v>42075</v>
      </c>
      <c r="S3754" s="2">
        <v>42123</v>
      </c>
      <c r="T3754" s="2">
        <v>42123</v>
      </c>
      <c r="U3754" s="2">
        <v>42183</v>
      </c>
      <c r="V3754" t="s">
        <v>71</v>
      </c>
      <c r="W3754" t="str">
        <f>"                5144"</f>
        <v xml:space="preserve">                5144</v>
      </c>
      <c r="X3754" s="1">
        <v>17737.580000000002</v>
      </c>
      <c r="Y3754">
        <v>0</v>
      </c>
      <c r="Z3754"/>
      <c r="AB3754"/>
      <c r="AC3754" s="1">
        <v>14539</v>
      </c>
      <c r="AD3754">
        <v>220</v>
      </c>
      <c r="AE3754" s="1">
        <v>3198580</v>
      </c>
      <c r="AF3754">
        <v>0</v>
      </c>
      <c r="AJ3754">
        <v>0</v>
      </c>
      <c r="AK3754">
        <v>0</v>
      </c>
      <c r="AL3754">
        <v>0</v>
      </c>
      <c r="AM3754">
        <v>0</v>
      </c>
      <c r="AN3754">
        <v>0</v>
      </c>
      <c r="AO3754">
        <v>0</v>
      </c>
      <c r="AP3754" s="2">
        <v>42746</v>
      </c>
      <c r="AQ3754" t="s">
        <v>72</v>
      </c>
      <c r="AR3754" t="s">
        <v>72</v>
      </c>
      <c r="AS3754">
        <v>222</v>
      </c>
      <c r="AT3754" s="4">
        <v>42403</v>
      </c>
      <c r="AU3754" t="s">
        <v>73</v>
      </c>
      <c r="AV3754">
        <v>222</v>
      </c>
      <c r="AW3754" s="4">
        <v>42403</v>
      </c>
      <c r="BD3754">
        <v>0</v>
      </c>
      <c r="BN3754" t="s">
        <v>74</v>
      </c>
    </row>
    <row r="3755" spans="1:66" hidden="1">
      <c r="A3755">
        <v>101320</v>
      </c>
      <c r="B3755" s="3" t="s">
        <v>409</v>
      </c>
      <c r="C3755" s="1">
        <v>43300101</v>
      </c>
      <c r="D3755" t="s">
        <v>67</v>
      </c>
      <c r="H3755" t="str">
        <f t="shared" si="394"/>
        <v>08126390155</v>
      </c>
      <c r="I3755" t="str">
        <f t="shared" si="394"/>
        <v>08126390155</v>
      </c>
      <c r="K3755" t="str">
        <f>""</f>
        <v/>
      </c>
      <c r="M3755" t="s">
        <v>68</v>
      </c>
      <c r="N3755" t="str">
        <f t="shared" si="393"/>
        <v>FOR</v>
      </c>
      <c r="O3755" t="s">
        <v>69</v>
      </c>
      <c r="P3755" s="3" t="s">
        <v>75</v>
      </c>
      <c r="Q3755">
        <v>2015</v>
      </c>
      <c r="R3755" s="2">
        <v>42328</v>
      </c>
      <c r="S3755" s="2">
        <v>42333</v>
      </c>
      <c r="T3755" s="2">
        <v>42332</v>
      </c>
      <c r="U3755" s="2">
        <v>42392</v>
      </c>
      <c r="V3755" t="s">
        <v>71</v>
      </c>
      <c r="W3755" t="str">
        <f>"       008430-0CPAPA"</f>
        <v xml:space="preserve">       008430-0CPAPA</v>
      </c>
      <c r="X3755" s="1">
        <v>1901.86</v>
      </c>
      <c r="Y3755">
        <v>0</v>
      </c>
      <c r="Z3755"/>
      <c r="AB3755"/>
      <c r="AC3755" s="1">
        <v>1558.9</v>
      </c>
      <c r="AD3755">
        <v>60</v>
      </c>
      <c r="AE3755" s="1">
        <v>93534</v>
      </c>
      <c r="AF3755">
        <v>0</v>
      </c>
      <c r="AJ3755">
        <v>0</v>
      </c>
      <c r="AK3755">
        <v>0</v>
      </c>
      <c r="AL3755">
        <v>0</v>
      </c>
      <c r="AM3755">
        <v>0</v>
      </c>
      <c r="AN3755">
        <v>0</v>
      </c>
      <c r="AO3755">
        <v>0</v>
      </c>
      <c r="AP3755" s="2">
        <v>42746</v>
      </c>
      <c r="AQ3755" t="s">
        <v>72</v>
      </c>
      <c r="AR3755" t="s">
        <v>72</v>
      </c>
      <c r="AS3755">
        <v>783</v>
      </c>
      <c r="AT3755" s="4">
        <v>42452</v>
      </c>
      <c r="AU3755" t="s">
        <v>73</v>
      </c>
      <c r="AV3755">
        <v>783</v>
      </c>
      <c r="AW3755" s="4">
        <v>42452</v>
      </c>
      <c r="BD3755">
        <v>0</v>
      </c>
      <c r="BN3755" t="s">
        <v>74</v>
      </c>
    </row>
    <row r="3756" spans="1:66" hidden="1">
      <c r="A3756">
        <v>101320</v>
      </c>
      <c r="B3756" s="3" t="s">
        <v>409</v>
      </c>
      <c r="C3756" s="1">
        <v>43300101</v>
      </c>
      <c r="D3756" t="s">
        <v>67</v>
      </c>
      <c r="H3756" t="str">
        <f t="shared" si="394"/>
        <v>08126390155</v>
      </c>
      <c r="I3756" t="str">
        <f t="shared" si="394"/>
        <v>08126390155</v>
      </c>
      <c r="K3756" t="str">
        <f>""</f>
        <v/>
      </c>
      <c r="M3756" t="s">
        <v>68</v>
      </c>
      <c r="N3756" t="str">
        <f t="shared" si="393"/>
        <v>FOR</v>
      </c>
      <c r="O3756" t="s">
        <v>69</v>
      </c>
      <c r="P3756" s="3" t="s">
        <v>75</v>
      </c>
      <c r="Q3756">
        <v>2015</v>
      </c>
      <c r="R3756" s="2">
        <v>42338</v>
      </c>
      <c r="S3756" s="2">
        <v>42352</v>
      </c>
      <c r="T3756" s="2">
        <v>42348</v>
      </c>
      <c r="U3756" s="2">
        <v>42408</v>
      </c>
      <c r="V3756" t="s">
        <v>71</v>
      </c>
      <c r="W3756" t="str">
        <f>"       009100-0CPAPA"</f>
        <v xml:space="preserve">       009100-0CPAPA</v>
      </c>
      <c r="X3756" s="1">
        <v>5921.58</v>
      </c>
      <c r="Y3756">
        <v>0</v>
      </c>
      <c r="Z3756"/>
      <c r="AB3756"/>
      <c r="AC3756" s="1">
        <v>4853.75</v>
      </c>
      <c r="AD3756">
        <v>44</v>
      </c>
      <c r="AE3756" s="1">
        <v>213565</v>
      </c>
      <c r="AF3756">
        <v>0</v>
      </c>
      <c r="AJ3756">
        <v>0</v>
      </c>
      <c r="AK3756">
        <v>0</v>
      </c>
      <c r="AL3756">
        <v>0</v>
      </c>
      <c r="AM3756">
        <v>0</v>
      </c>
      <c r="AN3756">
        <v>0</v>
      </c>
      <c r="AO3756">
        <v>0</v>
      </c>
      <c r="AP3756" s="2">
        <v>42746</v>
      </c>
      <c r="AQ3756" t="s">
        <v>72</v>
      </c>
      <c r="AR3756" t="s">
        <v>72</v>
      </c>
      <c r="AS3756">
        <v>783</v>
      </c>
      <c r="AT3756" s="4">
        <v>42452</v>
      </c>
      <c r="AU3756" t="s">
        <v>73</v>
      </c>
      <c r="AV3756">
        <v>783</v>
      </c>
      <c r="AW3756" s="4">
        <v>42452</v>
      </c>
      <c r="BD3756">
        <v>0</v>
      </c>
      <c r="BN3756" t="s">
        <v>74</v>
      </c>
    </row>
    <row r="3757" spans="1:66">
      <c r="A3757">
        <v>101325</v>
      </c>
      <c r="B3757" s="3" t="s">
        <v>410</v>
      </c>
      <c r="C3757" s="1">
        <v>43300101</v>
      </c>
      <c r="D3757" t="s">
        <v>67</v>
      </c>
      <c r="H3757" t="str">
        <f>"04472901000"</f>
        <v>04472901000</v>
      </c>
      <c r="I3757" t="str">
        <f>"04472901000"</f>
        <v>04472901000</v>
      </c>
      <c r="K3757" t="str">
        <f>""</f>
        <v/>
      </c>
      <c r="M3757" t="s">
        <v>68</v>
      </c>
      <c r="N3757" t="str">
        <f t="shared" si="393"/>
        <v>FOR</v>
      </c>
      <c r="O3757" t="s">
        <v>69</v>
      </c>
      <c r="P3757" s="3" t="s">
        <v>75</v>
      </c>
      <c r="Q3757">
        <v>2016</v>
      </c>
      <c r="R3757" s="2">
        <v>42460</v>
      </c>
      <c r="S3757" s="2">
        <v>42472</v>
      </c>
      <c r="T3757" s="2">
        <v>42471</v>
      </c>
      <c r="U3757" s="2">
        <v>42531</v>
      </c>
      <c r="V3757" t="s">
        <v>71</v>
      </c>
      <c r="W3757" t="str">
        <f>"              201369"</f>
        <v xml:space="preserve">              201369</v>
      </c>
      <c r="X3757" s="1">
        <v>26718</v>
      </c>
      <c r="Y3757">
        <v>0</v>
      </c>
      <c r="Z3757" s="5">
        <v>21900</v>
      </c>
      <c r="AA3757">
        <v>147</v>
      </c>
      <c r="AB3757" s="5">
        <v>3219300</v>
      </c>
      <c r="AC3757" s="1">
        <v>21900</v>
      </c>
      <c r="AD3757">
        <v>147</v>
      </c>
      <c r="AE3757" s="1">
        <v>3219300</v>
      </c>
      <c r="AF3757">
        <v>0</v>
      </c>
      <c r="AJ3757">
        <v>0</v>
      </c>
      <c r="AK3757">
        <v>0</v>
      </c>
      <c r="AL3757">
        <v>0</v>
      </c>
      <c r="AM3757" s="1">
        <v>26718</v>
      </c>
      <c r="AN3757" s="1">
        <v>26718</v>
      </c>
      <c r="AO3757" s="1">
        <v>26718</v>
      </c>
      <c r="AP3757" s="2">
        <v>42746</v>
      </c>
      <c r="AQ3757" t="s">
        <v>72</v>
      </c>
      <c r="AR3757" t="s">
        <v>72</v>
      </c>
      <c r="AS3757">
        <v>2945</v>
      </c>
      <c r="AT3757" s="4">
        <v>42678</v>
      </c>
      <c r="AU3757" t="s">
        <v>73</v>
      </c>
      <c r="AV3757">
        <v>2945</v>
      </c>
      <c r="AW3757" s="4">
        <v>42678</v>
      </c>
      <c r="BD3757">
        <v>0</v>
      </c>
      <c r="BN3757" t="s">
        <v>74</v>
      </c>
    </row>
    <row r="3758" spans="1:66">
      <c r="A3758">
        <v>101331</v>
      </c>
      <c r="B3758" s="3" t="s">
        <v>411</v>
      </c>
      <c r="C3758" s="1">
        <v>43500101</v>
      </c>
      <c r="D3758" t="s">
        <v>113</v>
      </c>
      <c r="H3758" t="str">
        <f>"01094610621"</f>
        <v>01094610621</v>
      </c>
      <c r="I3758" t="str">
        <f>"01094610621"</f>
        <v>01094610621</v>
      </c>
      <c r="K3758" t="str">
        <f>""</f>
        <v/>
      </c>
      <c r="M3758" t="s">
        <v>68</v>
      </c>
      <c r="N3758" t="str">
        <f>"ALTPRO"</f>
        <v>ALTPRO</v>
      </c>
      <c r="O3758" t="s">
        <v>132</v>
      </c>
      <c r="P3758" s="3" t="s">
        <v>75</v>
      </c>
      <c r="Q3758">
        <v>2016</v>
      </c>
      <c r="R3758" s="2">
        <v>42563</v>
      </c>
      <c r="S3758" s="2">
        <v>42565</v>
      </c>
      <c r="T3758" s="2">
        <v>42564</v>
      </c>
      <c r="U3758" s="2">
        <v>42624</v>
      </c>
      <c r="V3758" t="s">
        <v>71</v>
      </c>
      <c r="W3758" t="str">
        <f>"                  91"</f>
        <v xml:space="preserve">                  91</v>
      </c>
      <c r="X3758" s="1">
        <v>3613.64</v>
      </c>
      <c r="Y3758">
        <v>-569.62</v>
      </c>
      <c r="Z3758" s="5">
        <v>3044.02</v>
      </c>
      <c r="AA3758">
        <v>25</v>
      </c>
      <c r="AB3758" s="5">
        <v>76100.5</v>
      </c>
      <c r="AC3758" s="1">
        <v>3044.02</v>
      </c>
      <c r="AD3758">
        <v>25</v>
      </c>
      <c r="AE3758" s="1">
        <v>76100.5</v>
      </c>
      <c r="AF3758">
        <v>0</v>
      </c>
      <c r="AJ3758">
        <v>0</v>
      </c>
      <c r="AK3758">
        <v>0</v>
      </c>
      <c r="AL3758">
        <v>0</v>
      </c>
      <c r="AM3758" s="1">
        <v>3044.02</v>
      </c>
      <c r="AN3758" s="1">
        <v>3044.02</v>
      </c>
      <c r="AO3758" s="1">
        <v>3044.02</v>
      </c>
      <c r="AP3758" s="2">
        <v>42746</v>
      </c>
      <c r="AQ3758" t="s">
        <v>72</v>
      </c>
      <c r="AR3758" t="s">
        <v>72</v>
      </c>
      <c r="AS3758">
        <v>2713</v>
      </c>
      <c r="AT3758" s="4">
        <v>42649</v>
      </c>
      <c r="AU3758" t="s">
        <v>73</v>
      </c>
      <c r="AV3758">
        <v>2713</v>
      </c>
      <c r="AW3758" s="4">
        <v>42649</v>
      </c>
      <c r="BD3758">
        <v>0</v>
      </c>
      <c r="BN3758" t="s">
        <v>74</v>
      </c>
    </row>
    <row r="3759" spans="1:66" hidden="1">
      <c r="A3759">
        <v>101335</v>
      </c>
      <c r="B3759" s="3" t="s">
        <v>412</v>
      </c>
      <c r="C3759" s="1">
        <v>43300101</v>
      </c>
      <c r="D3759" t="s">
        <v>67</v>
      </c>
      <c r="H3759" t="str">
        <f t="shared" ref="H3759:I3766" si="395">"00742090152"</f>
        <v>00742090152</v>
      </c>
      <c r="I3759" t="str">
        <f t="shared" si="395"/>
        <v>00742090152</v>
      </c>
      <c r="K3759" t="str">
        <f>""</f>
        <v/>
      </c>
      <c r="M3759" t="s">
        <v>68</v>
      </c>
      <c r="N3759" t="str">
        <f t="shared" ref="N3759:N3790" si="396">"FOR"</f>
        <v>FOR</v>
      </c>
      <c r="O3759" t="s">
        <v>69</v>
      </c>
      <c r="P3759" s="3" t="s">
        <v>70</v>
      </c>
      <c r="Q3759">
        <v>2015</v>
      </c>
      <c r="R3759" s="2">
        <v>42037</v>
      </c>
      <c r="S3759" s="2">
        <v>42054</v>
      </c>
      <c r="T3759" s="2">
        <v>42054</v>
      </c>
      <c r="U3759" s="2">
        <v>42114</v>
      </c>
      <c r="V3759" t="s">
        <v>71</v>
      </c>
      <c r="W3759" t="str">
        <f>"          7215200688"</f>
        <v xml:space="preserve">          7215200688</v>
      </c>
      <c r="X3759" s="1">
        <v>2501</v>
      </c>
      <c r="Y3759">
        <v>0</v>
      </c>
      <c r="Z3759"/>
      <c r="AB3759"/>
      <c r="AC3759" s="1">
        <v>2050</v>
      </c>
      <c r="AD3759">
        <v>290</v>
      </c>
      <c r="AE3759" s="1">
        <v>594500</v>
      </c>
      <c r="AF3759">
        <v>0</v>
      </c>
      <c r="AJ3759">
        <v>0</v>
      </c>
      <c r="AK3759">
        <v>0</v>
      </c>
      <c r="AL3759">
        <v>0</v>
      </c>
      <c r="AM3759">
        <v>0</v>
      </c>
      <c r="AN3759">
        <v>0</v>
      </c>
      <c r="AO3759">
        <v>0</v>
      </c>
      <c r="AP3759" s="2">
        <v>42746</v>
      </c>
      <c r="AQ3759" t="s">
        <v>72</v>
      </c>
      <c r="AR3759" t="s">
        <v>72</v>
      </c>
      <c r="AS3759">
        <v>251</v>
      </c>
      <c r="AT3759" s="4">
        <v>42404</v>
      </c>
      <c r="AU3759" t="s">
        <v>73</v>
      </c>
      <c r="AV3759">
        <v>251</v>
      </c>
      <c r="AW3759" s="4">
        <v>42404</v>
      </c>
      <c r="BD3759">
        <v>0</v>
      </c>
      <c r="BN3759" t="s">
        <v>74</v>
      </c>
    </row>
    <row r="3760" spans="1:66" hidden="1">
      <c r="A3760">
        <v>101335</v>
      </c>
      <c r="B3760" s="3" t="s">
        <v>412</v>
      </c>
      <c r="C3760" s="1">
        <v>43300101</v>
      </c>
      <c r="D3760" t="s">
        <v>67</v>
      </c>
      <c r="H3760" t="str">
        <f t="shared" si="395"/>
        <v>00742090152</v>
      </c>
      <c r="I3760" t="str">
        <f t="shared" si="395"/>
        <v>00742090152</v>
      </c>
      <c r="K3760" t="str">
        <f>""</f>
        <v/>
      </c>
      <c r="M3760" t="s">
        <v>68</v>
      </c>
      <c r="N3760" t="str">
        <f t="shared" si="396"/>
        <v>FOR</v>
      </c>
      <c r="O3760" t="s">
        <v>69</v>
      </c>
      <c r="P3760" s="3" t="s">
        <v>70</v>
      </c>
      <c r="Q3760">
        <v>2015</v>
      </c>
      <c r="R3760" s="2">
        <v>42045</v>
      </c>
      <c r="S3760" s="2">
        <v>42067</v>
      </c>
      <c r="T3760" s="2">
        <v>42067</v>
      </c>
      <c r="U3760" s="2">
        <v>42127</v>
      </c>
      <c r="V3760" t="s">
        <v>71</v>
      </c>
      <c r="W3760" t="str">
        <f>"          7215200870"</f>
        <v xml:space="preserve">          7215200870</v>
      </c>
      <c r="X3760">
        <v>425.78</v>
      </c>
      <c r="Y3760">
        <v>0</v>
      </c>
      <c r="Z3760"/>
      <c r="AB3760"/>
      <c r="AC3760">
        <v>349</v>
      </c>
      <c r="AD3760">
        <v>277</v>
      </c>
      <c r="AE3760" s="1">
        <v>96673</v>
      </c>
      <c r="AF3760">
        <v>0</v>
      </c>
      <c r="AJ3760">
        <v>0</v>
      </c>
      <c r="AK3760">
        <v>0</v>
      </c>
      <c r="AL3760">
        <v>0</v>
      </c>
      <c r="AM3760">
        <v>0</v>
      </c>
      <c r="AN3760">
        <v>0</v>
      </c>
      <c r="AO3760">
        <v>0</v>
      </c>
      <c r="AP3760" s="2">
        <v>42746</v>
      </c>
      <c r="AQ3760" t="s">
        <v>72</v>
      </c>
      <c r="AR3760" t="s">
        <v>72</v>
      </c>
      <c r="AS3760">
        <v>251</v>
      </c>
      <c r="AT3760" s="4">
        <v>42404</v>
      </c>
      <c r="AU3760" t="s">
        <v>73</v>
      </c>
      <c r="AV3760">
        <v>251</v>
      </c>
      <c r="AW3760" s="4">
        <v>42404</v>
      </c>
      <c r="BD3760">
        <v>0</v>
      </c>
      <c r="BN3760" t="s">
        <v>74</v>
      </c>
    </row>
    <row r="3761" spans="1:66" hidden="1">
      <c r="A3761">
        <v>101335</v>
      </c>
      <c r="B3761" s="3" t="s">
        <v>412</v>
      </c>
      <c r="C3761" s="1">
        <v>43300101</v>
      </c>
      <c r="D3761" t="s">
        <v>67</v>
      </c>
      <c r="H3761" t="str">
        <f t="shared" si="395"/>
        <v>00742090152</v>
      </c>
      <c r="I3761" t="str">
        <f t="shared" si="395"/>
        <v>00742090152</v>
      </c>
      <c r="K3761" t="str">
        <f>""</f>
        <v/>
      </c>
      <c r="M3761" t="s">
        <v>68</v>
      </c>
      <c r="N3761" t="str">
        <f t="shared" si="396"/>
        <v>FOR</v>
      </c>
      <c r="O3761" t="s">
        <v>69</v>
      </c>
      <c r="P3761" s="3" t="s">
        <v>75</v>
      </c>
      <c r="Q3761">
        <v>2015</v>
      </c>
      <c r="R3761" s="2">
        <v>42114</v>
      </c>
      <c r="S3761" s="2">
        <v>42160</v>
      </c>
      <c r="T3761" s="2">
        <v>42145</v>
      </c>
      <c r="U3761" s="2">
        <v>42205</v>
      </c>
      <c r="V3761" t="s">
        <v>71</v>
      </c>
      <c r="W3761" t="str">
        <f>"          7215202431"</f>
        <v xml:space="preserve">          7215202431</v>
      </c>
      <c r="X3761" s="1">
        <v>2926.78</v>
      </c>
      <c r="Y3761">
        <v>0</v>
      </c>
      <c r="Z3761"/>
      <c r="AB3761"/>
      <c r="AC3761" s="1">
        <v>2399</v>
      </c>
      <c r="AD3761">
        <v>247</v>
      </c>
      <c r="AE3761" s="1">
        <v>592553</v>
      </c>
      <c r="AF3761">
        <v>0</v>
      </c>
      <c r="AJ3761">
        <v>0</v>
      </c>
      <c r="AK3761">
        <v>0</v>
      </c>
      <c r="AL3761">
        <v>0</v>
      </c>
      <c r="AM3761">
        <v>0</v>
      </c>
      <c r="AN3761">
        <v>0</v>
      </c>
      <c r="AO3761">
        <v>0</v>
      </c>
      <c r="AP3761" s="2">
        <v>42746</v>
      </c>
      <c r="AQ3761" t="s">
        <v>72</v>
      </c>
      <c r="AR3761" t="s">
        <v>72</v>
      </c>
      <c r="AS3761">
        <v>768</v>
      </c>
      <c r="AT3761" s="4">
        <v>42452</v>
      </c>
      <c r="AU3761" t="s">
        <v>73</v>
      </c>
      <c r="AV3761">
        <v>768</v>
      </c>
      <c r="AW3761" s="4">
        <v>42452</v>
      </c>
      <c r="BD3761">
        <v>0</v>
      </c>
      <c r="BN3761" t="s">
        <v>74</v>
      </c>
    </row>
    <row r="3762" spans="1:66" hidden="1">
      <c r="A3762">
        <v>101335</v>
      </c>
      <c r="B3762" s="3" t="s">
        <v>412</v>
      </c>
      <c r="C3762" s="1">
        <v>43300101</v>
      </c>
      <c r="D3762" t="s">
        <v>67</v>
      </c>
      <c r="H3762" t="str">
        <f t="shared" si="395"/>
        <v>00742090152</v>
      </c>
      <c r="I3762" t="str">
        <f t="shared" si="395"/>
        <v>00742090152</v>
      </c>
      <c r="K3762" t="str">
        <f>""</f>
        <v/>
      </c>
      <c r="M3762" t="s">
        <v>68</v>
      </c>
      <c r="N3762" t="str">
        <f t="shared" si="396"/>
        <v>FOR</v>
      </c>
      <c r="O3762" t="s">
        <v>69</v>
      </c>
      <c r="P3762" s="3" t="s">
        <v>75</v>
      </c>
      <c r="Q3762">
        <v>2015</v>
      </c>
      <c r="R3762" s="2">
        <v>42137</v>
      </c>
      <c r="S3762" s="2">
        <v>42160</v>
      </c>
      <c r="T3762" s="2">
        <v>42145</v>
      </c>
      <c r="U3762" s="2">
        <v>42205</v>
      </c>
      <c r="V3762" t="s">
        <v>71</v>
      </c>
      <c r="W3762" t="str">
        <f>"          7215203103"</f>
        <v xml:space="preserve">          7215203103</v>
      </c>
      <c r="X3762" s="1">
        <v>5121.5600000000004</v>
      </c>
      <c r="Y3762">
        <v>0</v>
      </c>
      <c r="Z3762"/>
      <c r="AB3762"/>
      <c r="AC3762" s="1">
        <v>4198</v>
      </c>
      <c r="AD3762">
        <v>247</v>
      </c>
      <c r="AE3762" s="1">
        <v>1036906</v>
      </c>
      <c r="AF3762">
        <v>0</v>
      </c>
      <c r="AJ3762">
        <v>0</v>
      </c>
      <c r="AK3762">
        <v>0</v>
      </c>
      <c r="AL3762">
        <v>0</v>
      </c>
      <c r="AM3762">
        <v>0</v>
      </c>
      <c r="AN3762">
        <v>0</v>
      </c>
      <c r="AO3762">
        <v>0</v>
      </c>
      <c r="AP3762" s="2">
        <v>42746</v>
      </c>
      <c r="AQ3762" t="s">
        <v>72</v>
      </c>
      <c r="AR3762" t="s">
        <v>72</v>
      </c>
      <c r="AS3762">
        <v>768</v>
      </c>
      <c r="AT3762" s="4">
        <v>42452</v>
      </c>
      <c r="AU3762" t="s">
        <v>73</v>
      </c>
      <c r="AV3762">
        <v>768</v>
      </c>
      <c r="AW3762" s="4">
        <v>42452</v>
      </c>
      <c r="BD3762">
        <v>0</v>
      </c>
      <c r="BN3762" t="s">
        <v>74</v>
      </c>
    </row>
    <row r="3763" spans="1:66" hidden="1">
      <c r="A3763">
        <v>101335</v>
      </c>
      <c r="B3763" s="3" t="s">
        <v>412</v>
      </c>
      <c r="C3763" s="1">
        <v>43300101</v>
      </c>
      <c r="D3763" t="s">
        <v>67</v>
      </c>
      <c r="H3763" t="str">
        <f t="shared" si="395"/>
        <v>00742090152</v>
      </c>
      <c r="I3763" t="str">
        <f t="shared" si="395"/>
        <v>00742090152</v>
      </c>
      <c r="K3763" t="str">
        <f>""</f>
        <v/>
      </c>
      <c r="M3763" t="s">
        <v>68</v>
      </c>
      <c r="N3763" t="str">
        <f t="shared" si="396"/>
        <v>FOR</v>
      </c>
      <c r="O3763" t="s">
        <v>69</v>
      </c>
      <c r="P3763" s="3" t="s">
        <v>75</v>
      </c>
      <c r="Q3763">
        <v>2015</v>
      </c>
      <c r="R3763" s="2">
        <v>42143</v>
      </c>
      <c r="S3763" s="2">
        <v>42242</v>
      </c>
      <c r="T3763" s="2">
        <v>42241</v>
      </c>
      <c r="U3763" s="2">
        <v>42301</v>
      </c>
      <c r="V3763" t="s">
        <v>71</v>
      </c>
      <c r="W3763" t="str">
        <f>"          7215203248"</f>
        <v xml:space="preserve">          7215203248</v>
      </c>
      <c r="X3763">
        <v>732</v>
      </c>
      <c r="Y3763">
        <v>0</v>
      </c>
      <c r="Z3763"/>
      <c r="AB3763"/>
      <c r="AC3763">
        <v>600</v>
      </c>
      <c r="AD3763">
        <v>151</v>
      </c>
      <c r="AE3763" s="1">
        <v>90600</v>
      </c>
      <c r="AF3763">
        <v>0</v>
      </c>
      <c r="AJ3763">
        <v>0</v>
      </c>
      <c r="AK3763">
        <v>0</v>
      </c>
      <c r="AL3763">
        <v>0</v>
      </c>
      <c r="AM3763">
        <v>0</v>
      </c>
      <c r="AN3763">
        <v>0</v>
      </c>
      <c r="AO3763">
        <v>0</v>
      </c>
      <c r="AP3763" s="2">
        <v>42746</v>
      </c>
      <c r="AQ3763" t="s">
        <v>72</v>
      </c>
      <c r="AR3763" t="s">
        <v>72</v>
      </c>
      <c r="AS3763">
        <v>768</v>
      </c>
      <c r="AT3763" s="4">
        <v>42452</v>
      </c>
      <c r="AU3763" t="s">
        <v>73</v>
      </c>
      <c r="AV3763">
        <v>768</v>
      </c>
      <c r="AW3763" s="4">
        <v>42452</v>
      </c>
      <c r="BD3763">
        <v>0</v>
      </c>
      <c r="BN3763" t="s">
        <v>74</v>
      </c>
    </row>
    <row r="3764" spans="1:66" hidden="1">
      <c r="A3764">
        <v>101335</v>
      </c>
      <c r="B3764" s="3" t="s">
        <v>412</v>
      </c>
      <c r="C3764" s="1">
        <v>43300101</v>
      </c>
      <c r="D3764" t="s">
        <v>67</v>
      </c>
      <c r="H3764" t="str">
        <f t="shared" si="395"/>
        <v>00742090152</v>
      </c>
      <c r="I3764" t="str">
        <f t="shared" si="395"/>
        <v>00742090152</v>
      </c>
      <c r="K3764" t="str">
        <f>""</f>
        <v/>
      </c>
      <c r="M3764" t="s">
        <v>68</v>
      </c>
      <c r="N3764" t="str">
        <f t="shared" si="396"/>
        <v>FOR</v>
      </c>
      <c r="O3764" t="s">
        <v>69</v>
      </c>
      <c r="P3764" s="3" t="s">
        <v>75</v>
      </c>
      <c r="Q3764">
        <v>2015</v>
      </c>
      <c r="R3764" s="2">
        <v>42188</v>
      </c>
      <c r="S3764" s="2">
        <v>42191</v>
      </c>
      <c r="T3764" s="2">
        <v>42189</v>
      </c>
      <c r="U3764" s="2">
        <v>42249</v>
      </c>
      <c r="V3764" t="s">
        <v>71</v>
      </c>
      <c r="W3764" t="str">
        <f>"          7215204347"</f>
        <v xml:space="preserve">          7215204347</v>
      </c>
      <c r="X3764" s="1">
        <v>7622.56</v>
      </c>
      <c r="Y3764">
        <v>0</v>
      </c>
      <c r="Z3764"/>
      <c r="AB3764"/>
      <c r="AC3764" s="1">
        <v>6248</v>
      </c>
      <c r="AD3764">
        <v>320</v>
      </c>
      <c r="AE3764" s="1">
        <v>1999360</v>
      </c>
      <c r="AF3764">
        <v>0</v>
      </c>
      <c r="AJ3764">
        <v>0</v>
      </c>
      <c r="AK3764">
        <v>0</v>
      </c>
      <c r="AL3764">
        <v>0</v>
      </c>
      <c r="AM3764">
        <v>0</v>
      </c>
      <c r="AN3764">
        <v>0</v>
      </c>
      <c r="AO3764">
        <v>0</v>
      </c>
      <c r="AP3764" s="2">
        <v>42746</v>
      </c>
      <c r="AQ3764" t="s">
        <v>72</v>
      </c>
      <c r="AR3764" t="s">
        <v>72</v>
      </c>
      <c r="AS3764">
        <v>1877</v>
      </c>
      <c r="AT3764" s="4">
        <v>42569</v>
      </c>
      <c r="AU3764" t="s">
        <v>73</v>
      </c>
      <c r="AV3764">
        <v>1877</v>
      </c>
      <c r="AW3764" s="4">
        <v>42569</v>
      </c>
      <c r="BD3764">
        <v>0</v>
      </c>
      <c r="BN3764" t="s">
        <v>74</v>
      </c>
    </row>
    <row r="3765" spans="1:66">
      <c r="A3765">
        <v>101335</v>
      </c>
      <c r="B3765" s="3" t="s">
        <v>412</v>
      </c>
      <c r="C3765" s="1">
        <v>43300101</v>
      </c>
      <c r="D3765" t="s">
        <v>67</v>
      </c>
      <c r="H3765" t="str">
        <f t="shared" si="395"/>
        <v>00742090152</v>
      </c>
      <c r="I3765" t="str">
        <f t="shared" si="395"/>
        <v>00742090152</v>
      </c>
      <c r="K3765" t="str">
        <f>""</f>
        <v/>
      </c>
      <c r="M3765" t="s">
        <v>68</v>
      </c>
      <c r="N3765" t="str">
        <f t="shared" si="396"/>
        <v>FOR</v>
      </c>
      <c r="O3765" t="s">
        <v>69</v>
      </c>
      <c r="P3765" s="3" t="s">
        <v>75</v>
      </c>
      <c r="Q3765">
        <v>2015</v>
      </c>
      <c r="R3765" s="2">
        <v>42310</v>
      </c>
      <c r="S3765" s="2">
        <v>42311</v>
      </c>
      <c r="T3765" s="2">
        <v>42311</v>
      </c>
      <c r="U3765" s="2">
        <v>42371</v>
      </c>
      <c r="V3765" t="s">
        <v>71</v>
      </c>
      <c r="W3765" t="str">
        <f>"          7215206771"</f>
        <v xml:space="preserve">          7215206771</v>
      </c>
      <c r="X3765" s="1">
        <v>5170.3599999999997</v>
      </c>
      <c r="Y3765">
        <v>0</v>
      </c>
      <c r="Z3765" s="5">
        <v>4238</v>
      </c>
      <c r="AA3765">
        <v>311</v>
      </c>
      <c r="AB3765" s="5">
        <v>1318018</v>
      </c>
      <c r="AC3765" s="1">
        <v>4238</v>
      </c>
      <c r="AD3765">
        <v>311</v>
      </c>
      <c r="AE3765" s="1">
        <v>1318018</v>
      </c>
      <c r="AF3765">
        <v>0</v>
      </c>
      <c r="AJ3765">
        <v>0</v>
      </c>
      <c r="AK3765">
        <v>0</v>
      </c>
      <c r="AL3765">
        <v>0</v>
      </c>
      <c r="AM3765">
        <v>0</v>
      </c>
      <c r="AN3765">
        <v>0</v>
      </c>
      <c r="AO3765">
        <v>0</v>
      </c>
      <c r="AP3765" s="2">
        <v>42746</v>
      </c>
      <c r="AQ3765" t="s">
        <v>72</v>
      </c>
      <c r="AR3765" t="s">
        <v>72</v>
      </c>
      <c r="AS3765">
        <v>2979</v>
      </c>
      <c r="AT3765" s="4">
        <v>42682</v>
      </c>
      <c r="AU3765" t="s">
        <v>73</v>
      </c>
      <c r="AV3765">
        <v>2979</v>
      </c>
      <c r="AW3765" s="4">
        <v>42682</v>
      </c>
      <c r="BD3765">
        <v>0</v>
      </c>
      <c r="BN3765" t="s">
        <v>74</v>
      </c>
    </row>
    <row r="3766" spans="1:66">
      <c r="A3766">
        <v>101335</v>
      </c>
      <c r="B3766" s="3" t="s">
        <v>412</v>
      </c>
      <c r="C3766" s="1">
        <v>43300101</v>
      </c>
      <c r="D3766" t="s">
        <v>67</v>
      </c>
      <c r="H3766" t="str">
        <f t="shared" si="395"/>
        <v>00742090152</v>
      </c>
      <c r="I3766" t="str">
        <f t="shared" si="395"/>
        <v>00742090152</v>
      </c>
      <c r="K3766" t="str">
        <f>""</f>
        <v/>
      </c>
      <c r="M3766" t="s">
        <v>68</v>
      </c>
      <c r="N3766" t="str">
        <f t="shared" si="396"/>
        <v>FOR</v>
      </c>
      <c r="O3766" t="s">
        <v>69</v>
      </c>
      <c r="P3766" s="3" t="s">
        <v>75</v>
      </c>
      <c r="Q3766">
        <v>2015</v>
      </c>
      <c r="R3766" s="2">
        <v>42366</v>
      </c>
      <c r="S3766" s="2">
        <v>42367</v>
      </c>
      <c r="T3766" s="2">
        <v>42367</v>
      </c>
      <c r="U3766" s="2">
        <v>42427</v>
      </c>
      <c r="V3766" t="s">
        <v>71</v>
      </c>
      <c r="W3766" t="str">
        <f>"          7215208229"</f>
        <v xml:space="preserve">          7215208229</v>
      </c>
      <c r="X3766" s="1">
        <v>3901.56</v>
      </c>
      <c r="Y3766">
        <v>0</v>
      </c>
      <c r="Z3766" s="5">
        <v>3198</v>
      </c>
      <c r="AA3766">
        <v>263</v>
      </c>
      <c r="AB3766" s="5">
        <v>841074</v>
      </c>
      <c r="AC3766" s="1">
        <v>3198</v>
      </c>
      <c r="AD3766">
        <v>263</v>
      </c>
      <c r="AE3766" s="1">
        <v>841074</v>
      </c>
      <c r="AF3766">
        <v>0</v>
      </c>
      <c r="AJ3766">
        <v>0</v>
      </c>
      <c r="AK3766">
        <v>0</v>
      </c>
      <c r="AL3766">
        <v>0</v>
      </c>
      <c r="AM3766">
        <v>0</v>
      </c>
      <c r="AN3766">
        <v>0</v>
      </c>
      <c r="AO3766">
        <v>0</v>
      </c>
      <c r="AP3766" s="2">
        <v>42746</v>
      </c>
      <c r="AQ3766" t="s">
        <v>72</v>
      </c>
      <c r="AR3766" t="s">
        <v>72</v>
      </c>
      <c r="AS3766">
        <v>3148</v>
      </c>
      <c r="AT3766" s="4">
        <v>42690</v>
      </c>
      <c r="AU3766" t="s">
        <v>73</v>
      </c>
      <c r="AV3766">
        <v>3148</v>
      </c>
      <c r="AW3766" s="4">
        <v>42690</v>
      </c>
      <c r="BD3766">
        <v>0</v>
      </c>
      <c r="BN3766" t="s">
        <v>74</v>
      </c>
    </row>
    <row r="3767" spans="1:66" hidden="1">
      <c r="A3767">
        <v>101336</v>
      </c>
      <c r="B3767" s="3" t="s">
        <v>413</v>
      </c>
      <c r="C3767" s="1">
        <v>43300101</v>
      </c>
      <c r="D3767" t="s">
        <v>67</v>
      </c>
      <c r="H3767" t="str">
        <f t="shared" ref="H3767:I3786" si="397">"05351490965"</f>
        <v>05351490965</v>
      </c>
      <c r="I3767" t="str">
        <f t="shared" si="397"/>
        <v>05351490965</v>
      </c>
      <c r="K3767" t="str">
        <f>""</f>
        <v/>
      </c>
      <c r="M3767" t="s">
        <v>68</v>
      </c>
      <c r="N3767" t="str">
        <f t="shared" si="396"/>
        <v>FOR</v>
      </c>
      <c r="O3767" t="s">
        <v>69</v>
      </c>
      <c r="P3767" s="3" t="s">
        <v>75</v>
      </c>
      <c r="Q3767">
        <v>2015</v>
      </c>
      <c r="R3767" s="2">
        <v>42155</v>
      </c>
      <c r="S3767" s="2">
        <v>42177</v>
      </c>
      <c r="T3767" s="2">
        <v>42174</v>
      </c>
      <c r="U3767" s="2">
        <v>42234</v>
      </c>
      <c r="V3767" t="s">
        <v>71</v>
      </c>
      <c r="W3767" t="str">
        <f>"          7680002788"</f>
        <v xml:space="preserve">          7680002788</v>
      </c>
      <c r="X3767" s="1">
        <v>5385.11</v>
      </c>
      <c r="Y3767">
        <v>0</v>
      </c>
      <c r="Z3767"/>
      <c r="AB3767"/>
      <c r="AC3767" s="1">
        <v>4895.55</v>
      </c>
      <c r="AD3767">
        <v>167</v>
      </c>
      <c r="AE3767" s="1">
        <v>817556.85</v>
      </c>
      <c r="AF3767">
        <v>0</v>
      </c>
      <c r="AJ3767">
        <v>0</v>
      </c>
      <c r="AK3767">
        <v>0</v>
      </c>
      <c r="AL3767">
        <v>0</v>
      </c>
      <c r="AM3767">
        <v>0</v>
      </c>
      <c r="AN3767">
        <v>0</v>
      </c>
      <c r="AO3767">
        <v>0</v>
      </c>
      <c r="AP3767" s="2">
        <v>42746</v>
      </c>
      <c r="AQ3767" t="s">
        <v>72</v>
      </c>
      <c r="AR3767" t="s">
        <v>72</v>
      </c>
      <c r="AS3767">
        <v>174</v>
      </c>
      <c r="AT3767" s="4">
        <v>42401</v>
      </c>
      <c r="AU3767" t="s">
        <v>73</v>
      </c>
      <c r="AV3767">
        <v>174</v>
      </c>
      <c r="AW3767" s="4">
        <v>42401</v>
      </c>
      <c r="BD3767">
        <v>0</v>
      </c>
      <c r="BN3767" t="s">
        <v>74</v>
      </c>
    </row>
    <row r="3768" spans="1:66" hidden="1">
      <c r="A3768">
        <v>101336</v>
      </c>
      <c r="B3768" s="3" t="s">
        <v>413</v>
      </c>
      <c r="C3768" s="1">
        <v>43300101</v>
      </c>
      <c r="D3768" t="s">
        <v>67</v>
      </c>
      <c r="H3768" t="str">
        <f t="shared" si="397"/>
        <v>05351490965</v>
      </c>
      <c r="I3768" t="str">
        <f t="shared" si="397"/>
        <v>05351490965</v>
      </c>
      <c r="K3768" t="str">
        <f>""</f>
        <v/>
      </c>
      <c r="M3768" t="s">
        <v>68</v>
      </c>
      <c r="N3768" t="str">
        <f t="shared" si="396"/>
        <v>FOR</v>
      </c>
      <c r="O3768" t="s">
        <v>69</v>
      </c>
      <c r="P3768" s="3" t="s">
        <v>75</v>
      </c>
      <c r="Q3768">
        <v>2015</v>
      </c>
      <c r="R3768" s="2">
        <v>42155</v>
      </c>
      <c r="S3768" s="2">
        <v>42174</v>
      </c>
      <c r="T3768" s="2">
        <v>42174</v>
      </c>
      <c r="U3768" s="2">
        <v>42234</v>
      </c>
      <c r="V3768" t="s">
        <v>71</v>
      </c>
      <c r="W3768" t="str">
        <f>"          7680002789"</f>
        <v xml:space="preserve">          7680002789</v>
      </c>
      <c r="X3768" s="1">
        <v>144519.22</v>
      </c>
      <c r="Y3768" s="1">
        <v>-13138.11</v>
      </c>
      <c r="Z3768"/>
      <c r="AB3768"/>
      <c r="AC3768" s="1">
        <v>131381.10999999999</v>
      </c>
      <c r="AD3768">
        <v>167</v>
      </c>
      <c r="AE3768" s="1">
        <v>21940645.370000001</v>
      </c>
      <c r="AF3768">
        <v>0</v>
      </c>
      <c r="AJ3768">
        <v>0</v>
      </c>
      <c r="AK3768">
        <v>0</v>
      </c>
      <c r="AL3768">
        <v>0</v>
      </c>
      <c r="AM3768">
        <v>0</v>
      </c>
      <c r="AN3768">
        <v>0</v>
      </c>
      <c r="AO3768">
        <v>0</v>
      </c>
      <c r="AP3768" s="2">
        <v>42746</v>
      </c>
      <c r="AQ3768" t="s">
        <v>72</v>
      </c>
      <c r="AR3768" t="s">
        <v>72</v>
      </c>
      <c r="AS3768">
        <v>174</v>
      </c>
      <c r="AT3768" s="4">
        <v>42401</v>
      </c>
      <c r="AU3768" t="s">
        <v>73</v>
      </c>
      <c r="AV3768">
        <v>174</v>
      </c>
      <c r="AW3768" s="4">
        <v>42401</v>
      </c>
      <c r="BD3768">
        <v>0</v>
      </c>
      <c r="BN3768" t="s">
        <v>74</v>
      </c>
    </row>
    <row r="3769" spans="1:66" hidden="1">
      <c r="A3769">
        <v>101336</v>
      </c>
      <c r="B3769" s="3" t="s">
        <v>413</v>
      </c>
      <c r="C3769" s="1">
        <v>43300101</v>
      </c>
      <c r="D3769" t="s">
        <v>67</v>
      </c>
      <c r="H3769" t="str">
        <f t="shared" si="397"/>
        <v>05351490965</v>
      </c>
      <c r="I3769" t="str">
        <f t="shared" si="397"/>
        <v>05351490965</v>
      </c>
      <c r="K3769" t="str">
        <f>""</f>
        <v/>
      </c>
      <c r="M3769" t="s">
        <v>68</v>
      </c>
      <c r="N3769" t="str">
        <f t="shared" si="396"/>
        <v>FOR</v>
      </c>
      <c r="O3769" t="s">
        <v>69</v>
      </c>
      <c r="P3769" s="3" t="s">
        <v>75</v>
      </c>
      <c r="Q3769">
        <v>2015</v>
      </c>
      <c r="R3769" s="2">
        <v>42155</v>
      </c>
      <c r="S3769" s="2">
        <v>42177</v>
      </c>
      <c r="T3769" s="2">
        <v>42174</v>
      </c>
      <c r="U3769" s="2">
        <v>42234</v>
      </c>
      <c r="V3769" t="s">
        <v>71</v>
      </c>
      <c r="W3769" t="str">
        <f>"          7680002790"</f>
        <v xml:space="preserve">          7680002790</v>
      </c>
      <c r="X3769" s="1">
        <v>3278.23</v>
      </c>
      <c r="Y3769">
        <v>0</v>
      </c>
      <c r="Z3769"/>
      <c r="AB3769"/>
      <c r="AC3769" s="1">
        <v>3152.14</v>
      </c>
      <c r="AD3769">
        <v>167</v>
      </c>
      <c r="AE3769" s="1">
        <v>526407.38</v>
      </c>
      <c r="AF3769">
        <v>0</v>
      </c>
      <c r="AJ3769">
        <v>0</v>
      </c>
      <c r="AK3769">
        <v>0</v>
      </c>
      <c r="AL3769">
        <v>0</v>
      </c>
      <c r="AM3769">
        <v>0</v>
      </c>
      <c r="AN3769">
        <v>0</v>
      </c>
      <c r="AO3769">
        <v>0</v>
      </c>
      <c r="AP3769" s="2">
        <v>42746</v>
      </c>
      <c r="AQ3769" t="s">
        <v>72</v>
      </c>
      <c r="AR3769" t="s">
        <v>72</v>
      </c>
      <c r="AS3769">
        <v>174</v>
      </c>
      <c r="AT3769" s="4">
        <v>42401</v>
      </c>
      <c r="AU3769" t="s">
        <v>73</v>
      </c>
      <c r="AV3769">
        <v>174</v>
      </c>
      <c r="AW3769" s="4">
        <v>42401</v>
      </c>
      <c r="BD3769">
        <v>0</v>
      </c>
      <c r="BN3769" t="s">
        <v>74</v>
      </c>
    </row>
    <row r="3770" spans="1:66" hidden="1">
      <c r="A3770">
        <v>101336</v>
      </c>
      <c r="B3770" s="3" t="s">
        <v>413</v>
      </c>
      <c r="C3770" s="1">
        <v>43300101</v>
      </c>
      <c r="D3770" t="s">
        <v>67</v>
      </c>
      <c r="H3770" t="str">
        <f t="shared" si="397"/>
        <v>05351490965</v>
      </c>
      <c r="I3770" t="str">
        <f t="shared" si="397"/>
        <v>05351490965</v>
      </c>
      <c r="K3770" t="str">
        <f>""</f>
        <v/>
      </c>
      <c r="M3770" t="s">
        <v>68</v>
      </c>
      <c r="N3770" t="str">
        <f t="shared" si="396"/>
        <v>FOR</v>
      </c>
      <c r="O3770" t="s">
        <v>69</v>
      </c>
      <c r="P3770" s="3" t="s">
        <v>75</v>
      </c>
      <c r="Q3770">
        <v>2015</v>
      </c>
      <c r="R3770" s="2">
        <v>42155</v>
      </c>
      <c r="S3770" s="2">
        <v>42174</v>
      </c>
      <c r="T3770" s="2">
        <v>42174</v>
      </c>
      <c r="U3770" s="2">
        <v>42234</v>
      </c>
      <c r="V3770" t="s">
        <v>71</v>
      </c>
      <c r="W3770" t="str">
        <f>"          7680002791"</f>
        <v xml:space="preserve">          7680002791</v>
      </c>
      <c r="X3770" s="1">
        <v>1052.3399999999999</v>
      </c>
      <c r="Y3770">
        <v>-95.67</v>
      </c>
      <c r="Z3770"/>
      <c r="AB3770"/>
      <c r="AC3770">
        <v>956.67</v>
      </c>
      <c r="AD3770">
        <v>167</v>
      </c>
      <c r="AE3770" s="1">
        <v>159763.89000000001</v>
      </c>
      <c r="AF3770">
        <v>0</v>
      </c>
      <c r="AJ3770">
        <v>0</v>
      </c>
      <c r="AK3770">
        <v>0</v>
      </c>
      <c r="AL3770">
        <v>0</v>
      </c>
      <c r="AM3770">
        <v>0</v>
      </c>
      <c r="AN3770">
        <v>0</v>
      </c>
      <c r="AO3770">
        <v>0</v>
      </c>
      <c r="AP3770" s="2">
        <v>42746</v>
      </c>
      <c r="AQ3770" t="s">
        <v>72</v>
      </c>
      <c r="AR3770" t="s">
        <v>72</v>
      </c>
      <c r="AS3770">
        <v>174</v>
      </c>
      <c r="AT3770" s="4">
        <v>42401</v>
      </c>
      <c r="AU3770" t="s">
        <v>73</v>
      </c>
      <c r="AV3770">
        <v>174</v>
      </c>
      <c r="AW3770" s="4">
        <v>42401</v>
      </c>
      <c r="BD3770">
        <v>0</v>
      </c>
      <c r="BN3770" t="s">
        <v>74</v>
      </c>
    </row>
    <row r="3771" spans="1:66" hidden="1">
      <c r="A3771">
        <v>101336</v>
      </c>
      <c r="B3771" s="3" t="s">
        <v>413</v>
      </c>
      <c r="C3771" s="1">
        <v>43300101</v>
      </c>
      <c r="D3771" t="s">
        <v>67</v>
      </c>
      <c r="H3771" t="str">
        <f t="shared" si="397"/>
        <v>05351490965</v>
      </c>
      <c r="I3771" t="str">
        <f t="shared" si="397"/>
        <v>05351490965</v>
      </c>
      <c r="K3771" t="str">
        <f>""</f>
        <v/>
      </c>
      <c r="M3771" t="s">
        <v>68</v>
      </c>
      <c r="N3771" t="str">
        <f t="shared" si="396"/>
        <v>FOR</v>
      </c>
      <c r="O3771" t="s">
        <v>69</v>
      </c>
      <c r="P3771" s="3" t="s">
        <v>75</v>
      </c>
      <c r="Q3771">
        <v>2015</v>
      </c>
      <c r="R3771" s="2">
        <v>42185</v>
      </c>
      <c r="S3771" s="2">
        <v>42202</v>
      </c>
      <c r="T3771" s="2">
        <v>42202</v>
      </c>
      <c r="U3771" s="2">
        <v>42262</v>
      </c>
      <c r="V3771" t="s">
        <v>71</v>
      </c>
      <c r="W3771" t="str">
        <f>"          7680003633"</f>
        <v xml:space="preserve">          7680003633</v>
      </c>
      <c r="X3771" s="1">
        <v>5778.26</v>
      </c>
      <c r="Y3771">
        <v>0</v>
      </c>
      <c r="Z3771"/>
      <c r="AB3771"/>
      <c r="AC3771" s="1">
        <v>5252.96</v>
      </c>
      <c r="AD3771">
        <v>154</v>
      </c>
      <c r="AE3771" s="1">
        <v>808955.84</v>
      </c>
      <c r="AF3771">
        <v>0</v>
      </c>
      <c r="AJ3771">
        <v>0</v>
      </c>
      <c r="AK3771">
        <v>0</v>
      </c>
      <c r="AL3771">
        <v>0</v>
      </c>
      <c r="AM3771">
        <v>0</v>
      </c>
      <c r="AN3771">
        <v>0</v>
      </c>
      <c r="AO3771">
        <v>0</v>
      </c>
      <c r="AP3771" s="2">
        <v>42746</v>
      </c>
      <c r="AQ3771" t="s">
        <v>72</v>
      </c>
      <c r="AR3771" t="s">
        <v>72</v>
      </c>
      <c r="AS3771">
        <v>443</v>
      </c>
      <c r="AT3771" s="4">
        <v>42416</v>
      </c>
      <c r="AU3771" t="s">
        <v>73</v>
      </c>
      <c r="AV3771">
        <v>443</v>
      </c>
      <c r="AW3771" s="4">
        <v>42416</v>
      </c>
      <c r="BD3771">
        <v>0</v>
      </c>
      <c r="BN3771" t="s">
        <v>74</v>
      </c>
    </row>
    <row r="3772" spans="1:66" hidden="1">
      <c r="A3772">
        <v>101336</v>
      </c>
      <c r="B3772" s="3" t="s">
        <v>413</v>
      </c>
      <c r="C3772" s="1">
        <v>43300101</v>
      </c>
      <c r="D3772" t="s">
        <v>67</v>
      </c>
      <c r="H3772" t="str">
        <f t="shared" si="397"/>
        <v>05351490965</v>
      </c>
      <c r="I3772" t="str">
        <f t="shared" si="397"/>
        <v>05351490965</v>
      </c>
      <c r="K3772" t="str">
        <f>""</f>
        <v/>
      </c>
      <c r="M3772" t="s">
        <v>68</v>
      </c>
      <c r="N3772" t="str">
        <f t="shared" si="396"/>
        <v>FOR</v>
      </c>
      <c r="O3772" t="s">
        <v>69</v>
      </c>
      <c r="P3772" s="3" t="s">
        <v>75</v>
      </c>
      <c r="Q3772">
        <v>2015</v>
      </c>
      <c r="R3772" s="2">
        <v>42185</v>
      </c>
      <c r="S3772" s="2">
        <v>42205</v>
      </c>
      <c r="T3772" s="2">
        <v>42202</v>
      </c>
      <c r="U3772" s="2">
        <v>42262</v>
      </c>
      <c r="V3772" t="s">
        <v>71</v>
      </c>
      <c r="W3772" t="str">
        <f>"          7680003634"</f>
        <v xml:space="preserve">          7680003634</v>
      </c>
      <c r="X3772" s="1">
        <v>138644.24</v>
      </c>
      <c r="Y3772" s="1">
        <v>-12604.02</v>
      </c>
      <c r="Z3772"/>
      <c r="AB3772"/>
      <c r="AC3772" s="1">
        <v>126040.22</v>
      </c>
      <c r="AD3772">
        <v>154</v>
      </c>
      <c r="AE3772" s="1">
        <v>19410193.879999999</v>
      </c>
      <c r="AF3772">
        <v>0</v>
      </c>
      <c r="AJ3772">
        <v>0</v>
      </c>
      <c r="AK3772">
        <v>0</v>
      </c>
      <c r="AL3772">
        <v>0</v>
      </c>
      <c r="AM3772">
        <v>0</v>
      </c>
      <c r="AN3772">
        <v>0</v>
      </c>
      <c r="AO3772">
        <v>0</v>
      </c>
      <c r="AP3772" s="2">
        <v>42746</v>
      </c>
      <c r="AQ3772" t="s">
        <v>72</v>
      </c>
      <c r="AR3772" t="s">
        <v>72</v>
      </c>
      <c r="AS3772">
        <v>443</v>
      </c>
      <c r="AT3772" s="4">
        <v>42416</v>
      </c>
      <c r="AU3772" t="s">
        <v>73</v>
      </c>
      <c r="AV3772">
        <v>443</v>
      </c>
      <c r="AW3772" s="4">
        <v>42416</v>
      </c>
      <c r="BD3772">
        <v>0</v>
      </c>
      <c r="BN3772" t="s">
        <v>74</v>
      </c>
    </row>
    <row r="3773" spans="1:66" hidden="1">
      <c r="A3773">
        <v>101336</v>
      </c>
      <c r="B3773" s="3" t="s">
        <v>413</v>
      </c>
      <c r="C3773" s="1">
        <v>43300101</v>
      </c>
      <c r="D3773" t="s">
        <v>67</v>
      </c>
      <c r="H3773" t="str">
        <f t="shared" si="397"/>
        <v>05351490965</v>
      </c>
      <c r="I3773" t="str">
        <f t="shared" si="397"/>
        <v>05351490965</v>
      </c>
      <c r="K3773" t="str">
        <f>""</f>
        <v/>
      </c>
      <c r="M3773" t="s">
        <v>68</v>
      </c>
      <c r="N3773" t="str">
        <f t="shared" si="396"/>
        <v>FOR</v>
      </c>
      <c r="O3773" t="s">
        <v>69</v>
      </c>
      <c r="P3773" s="3" t="s">
        <v>75</v>
      </c>
      <c r="Q3773">
        <v>2015</v>
      </c>
      <c r="R3773" s="2">
        <v>42185</v>
      </c>
      <c r="S3773" s="2">
        <v>42205</v>
      </c>
      <c r="T3773" s="2">
        <v>42202</v>
      </c>
      <c r="U3773" s="2">
        <v>42262</v>
      </c>
      <c r="V3773" t="s">
        <v>71</v>
      </c>
      <c r="W3773" t="str">
        <f>"          7680003635"</f>
        <v xml:space="preserve">          7680003635</v>
      </c>
      <c r="X3773" s="1">
        <v>3489.73</v>
      </c>
      <c r="Y3773">
        <v>0</v>
      </c>
      <c r="Z3773"/>
      <c r="AB3773"/>
      <c r="AC3773" s="1">
        <v>3355.51</v>
      </c>
      <c r="AD3773">
        <v>154</v>
      </c>
      <c r="AE3773" s="1">
        <v>516748.54</v>
      </c>
      <c r="AF3773">
        <v>0</v>
      </c>
      <c r="AJ3773">
        <v>0</v>
      </c>
      <c r="AK3773">
        <v>0</v>
      </c>
      <c r="AL3773">
        <v>0</v>
      </c>
      <c r="AM3773">
        <v>0</v>
      </c>
      <c r="AN3773">
        <v>0</v>
      </c>
      <c r="AO3773">
        <v>0</v>
      </c>
      <c r="AP3773" s="2">
        <v>42746</v>
      </c>
      <c r="AQ3773" t="s">
        <v>72</v>
      </c>
      <c r="AR3773" t="s">
        <v>72</v>
      </c>
      <c r="AS3773">
        <v>443</v>
      </c>
      <c r="AT3773" s="4">
        <v>42416</v>
      </c>
      <c r="AU3773" t="s">
        <v>73</v>
      </c>
      <c r="AV3773">
        <v>443</v>
      </c>
      <c r="AW3773" s="4">
        <v>42416</v>
      </c>
      <c r="BD3773">
        <v>0</v>
      </c>
      <c r="BN3773" t="s">
        <v>74</v>
      </c>
    </row>
    <row r="3774" spans="1:66" hidden="1">
      <c r="A3774">
        <v>101336</v>
      </c>
      <c r="B3774" s="3" t="s">
        <v>413</v>
      </c>
      <c r="C3774" s="1">
        <v>43300101</v>
      </c>
      <c r="D3774" t="s">
        <v>67</v>
      </c>
      <c r="H3774" t="str">
        <f t="shared" si="397"/>
        <v>05351490965</v>
      </c>
      <c r="I3774" t="str">
        <f t="shared" si="397"/>
        <v>05351490965</v>
      </c>
      <c r="K3774" t="str">
        <f>""</f>
        <v/>
      </c>
      <c r="M3774" t="s">
        <v>68</v>
      </c>
      <c r="N3774" t="str">
        <f t="shared" si="396"/>
        <v>FOR</v>
      </c>
      <c r="O3774" t="s">
        <v>69</v>
      </c>
      <c r="P3774" s="3" t="s">
        <v>75</v>
      </c>
      <c r="Q3774">
        <v>2015</v>
      </c>
      <c r="R3774" s="2">
        <v>42185</v>
      </c>
      <c r="S3774" s="2">
        <v>42205</v>
      </c>
      <c r="T3774" s="2">
        <v>42202</v>
      </c>
      <c r="U3774" s="2">
        <v>42262</v>
      </c>
      <c r="V3774" t="s">
        <v>71</v>
      </c>
      <c r="W3774" t="str">
        <f>"          7680003636"</f>
        <v xml:space="preserve">          7680003636</v>
      </c>
      <c r="X3774" s="1">
        <v>1070.06</v>
      </c>
      <c r="Y3774">
        <v>-97.28</v>
      </c>
      <c r="Z3774"/>
      <c r="AB3774"/>
      <c r="AC3774">
        <v>972.78</v>
      </c>
      <c r="AD3774">
        <v>154</v>
      </c>
      <c r="AE3774" s="1">
        <v>149808.12</v>
      </c>
      <c r="AF3774">
        <v>0</v>
      </c>
      <c r="AJ3774">
        <v>0</v>
      </c>
      <c r="AK3774">
        <v>0</v>
      </c>
      <c r="AL3774">
        <v>0</v>
      </c>
      <c r="AM3774">
        <v>0</v>
      </c>
      <c r="AN3774">
        <v>0</v>
      </c>
      <c r="AO3774">
        <v>0</v>
      </c>
      <c r="AP3774" s="2">
        <v>42746</v>
      </c>
      <c r="AQ3774" t="s">
        <v>72</v>
      </c>
      <c r="AR3774" t="s">
        <v>72</v>
      </c>
      <c r="AS3774">
        <v>443</v>
      </c>
      <c r="AT3774" s="4">
        <v>42416</v>
      </c>
      <c r="AU3774" t="s">
        <v>73</v>
      </c>
      <c r="AV3774">
        <v>443</v>
      </c>
      <c r="AW3774" s="4">
        <v>42416</v>
      </c>
      <c r="BD3774">
        <v>0</v>
      </c>
      <c r="BN3774" t="s">
        <v>74</v>
      </c>
    </row>
    <row r="3775" spans="1:66" hidden="1">
      <c r="A3775">
        <v>101336</v>
      </c>
      <c r="B3775" s="3" t="s">
        <v>413</v>
      </c>
      <c r="C3775" s="1">
        <v>43300101</v>
      </c>
      <c r="D3775" t="s">
        <v>67</v>
      </c>
      <c r="H3775" t="str">
        <f t="shared" si="397"/>
        <v>05351490965</v>
      </c>
      <c r="I3775" t="str">
        <f t="shared" si="397"/>
        <v>05351490965</v>
      </c>
      <c r="K3775" t="str">
        <f>""</f>
        <v/>
      </c>
      <c r="M3775" t="s">
        <v>68</v>
      </c>
      <c r="N3775" t="str">
        <f t="shared" si="396"/>
        <v>FOR</v>
      </c>
      <c r="O3775" t="s">
        <v>69</v>
      </c>
      <c r="P3775" s="3" t="s">
        <v>75</v>
      </c>
      <c r="Q3775">
        <v>2015</v>
      </c>
      <c r="R3775" s="2">
        <v>42216</v>
      </c>
      <c r="S3775" s="2">
        <v>42229</v>
      </c>
      <c r="T3775" s="2">
        <v>42226</v>
      </c>
      <c r="U3775" s="2">
        <v>42286</v>
      </c>
      <c r="V3775" t="s">
        <v>71</v>
      </c>
      <c r="W3775" t="str">
        <f>"          7680004455"</f>
        <v xml:space="preserve">          7680004455</v>
      </c>
      <c r="X3775" s="1">
        <v>5355.6</v>
      </c>
      <c r="Y3775">
        <v>0</v>
      </c>
      <c r="Z3775"/>
      <c r="AB3775"/>
      <c r="AC3775" s="1">
        <v>4868.7299999999996</v>
      </c>
      <c r="AD3775">
        <v>178</v>
      </c>
      <c r="AE3775" s="1">
        <v>866633.94</v>
      </c>
      <c r="AF3775">
        <v>0</v>
      </c>
      <c r="AJ3775">
        <v>0</v>
      </c>
      <c r="AK3775">
        <v>0</v>
      </c>
      <c r="AL3775">
        <v>0</v>
      </c>
      <c r="AM3775">
        <v>0</v>
      </c>
      <c r="AN3775">
        <v>0</v>
      </c>
      <c r="AO3775">
        <v>0</v>
      </c>
      <c r="AP3775" s="2">
        <v>42746</v>
      </c>
      <c r="AQ3775" t="s">
        <v>72</v>
      </c>
      <c r="AR3775" t="s">
        <v>72</v>
      </c>
      <c r="AS3775">
        <v>997</v>
      </c>
      <c r="AT3775" s="4">
        <v>42464</v>
      </c>
      <c r="AU3775" t="s">
        <v>73</v>
      </c>
      <c r="AV3775">
        <v>997</v>
      </c>
      <c r="AW3775" s="4">
        <v>42464</v>
      </c>
      <c r="BD3775">
        <v>0</v>
      </c>
      <c r="BN3775" t="s">
        <v>74</v>
      </c>
    </row>
    <row r="3776" spans="1:66" hidden="1">
      <c r="A3776">
        <v>101336</v>
      </c>
      <c r="B3776" s="3" t="s">
        <v>413</v>
      </c>
      <c r="C3776" s="1">
        <v>43300101</v>
      </c>
      <c r="D3776" t="s">
        <v>67</v>
      </c>
      <c r="H3776" t="str">
        <f t="shared" si="397"/>
        <v>05351490965</v>
      </c>
      <c r="I3776" t="str">
        <f t="shared" si="397"/>
        <v>05351490965</v>
      </c>
      <c r="K3776" t="str">
        <f>""</f>
        <v/>
      </c>
      <c r="M3776" t="s">
        <v>68</v>
      </c>
      <c r="N3776" t="str">
        <f t="shared" si="396"/>
        <v>FOR</v>
      </c>
      <c r="O3776" t="s">
        <v>69</v>
      </c>
      <c r="P3776" s="3" t="s">
        <v>75</v>
      </c>
      <c r="Q3776">
        <v>2015</v>
      </c>
      <c r="R3776" s="2">
        <v>42216</v>
      </c>
      <c r="S3776" s="2">
        <v>42229</v>
      </c>
      <c r="T3776" s="2">
        <v>42226</v>
      </c>
      <c r="U3776" s="2">
        <v>42286</v>
      </c>
      <c r="V3776" t="s">
        <v>71</v>
      </c>
      <c r="W3776" t="str">
        <f>"          7680004456"</f>
        <v xml:space="preserve">          7680004456</v>
      </c>
      <c r="X3776" s="1">
        <v>141100.32</v>
      </c>
      <c r="Y3776" s="1">
        <v>-12827.3</v>
      </c>
      <c r="Z3776"/>
      <c r="AB3776"/>
      <c r="AC3776" s="1">
        <v>128273.02</v>
      </c>
      <c r="AD3776">
        <v>178</v>
      </c>
      <c r="AE3776" s="1">
        <v>22832597.559999999</v>
      </c>
      <c r="AF3776">
        <v>0</v>
      </c>
      <c r="AJ3776">
        <v>0</v>
      </c>
      <c r="AK3776">
        <v>0</v>
      </c>
      <c r="AL3776">
        <v>0</v>
      </c>
      <c r="AM3776">
        <v>0</v>
      </c>
      <c r="AN3776">
        <v>0</v>
      </c>
      <c r="AO3776">
        <v>0</v>
      </c>
      <c r="AP3776" s="2">
        <v>42746</v>
      </c>
      <c r="AQ3776" t="s">
        <v>72</v>
      </c>
      <c r="AR3776" t="s">
        <v>72</v>
      </c>
      <c r="AS3776">
        <v>997</v>
      </c>
      <c r="AT3776" s="4">
        <v>42464</v>
      </c>
      <c r="AU3776" t="s">
        <v>73</v>
      </c>
      <c r="AV3776">
        <v>997</v>
      </c>
      <c r="AW3776" s="4">
        <v>42464</v>
      </c>
      <c r="BD3776">
        <v>0</v>
      </c>
      <c r="BN3776" t="s">
        <v>74</v>
      </c>
    </row>
    <row r="3777" spans="1:66" hidden="1">
      <c r="A3777">
        <v>101336</v>
      </c>
      <c r="B3777" s="3" t="s">
        <v>413</v>
      </c>
      <c r="C3777" s="1">
        <v>43300101</v>
      </c>
      <c r="D3777" t="s">
        <v>67</v>
      </c>
      <c r="H3777" t="str">
        <f t="shared" si="397"/>
        <v>05351490965</v>
      </c>
      <c r="I3777" t="str">
        <f t="shared" si="397"/>
        <v>05351490965</v>
      </c>
      <c r="K3777" t="str">
        <f>""</f>
        <v/>
      </c>
      <c r="M3777" t="s">
        <v>68</v>
      </c>
      <c r="N3777" t="str">
        <f t="shared" si="396"/>
        <v>FOR</v>
      </c>
      <c r="O3777" t="s">
        <v>69</v>
      </c>
      <c r="P3777" s="3" t="s">
        <v>75</v>
      </c>
      <c r="Q3777">
        <v>2015</v>
      </c>
      <c r="R3777" s="2">
        <v>42216</v>
      </c>
      <c r="S3777" s="2">
        <v>42230</v>
      </c>
      <c r="T3777" s="2">
        <v>42226</v>
      </c>
      <c r="U3777" s="2">
        <v>42286</v>
      </c>
      <c r="V3777" t="s">
        <v>71</v>
      </c>
      <c r="W3777" t="str">
        <f>"          7680004461"</f>
        <v xml:space="preserve">          7680004461</v>
      </c>
      <c r="X3777" s="1">
        <v>2900.55</v>
      </c>
      <c r="Y3777">
        <v>0</v>
      </c>
      <c r="Z3777"/>
      <c r="AB3777"/>
      <c r="AC3777" s="1">
        <v>2788.99</v>
      </c>
      <c r="AD3777">
        <v>178</v>
      </c>
      <c r="AE3777" s="1">
        <v>496440.22</v>
      </c>
      <c r="AF3777">
        <v>0</v>
      </c>
      <c r="AJ3777">
        <v>0</v>
      </c>
      <c r="AK3777">
        <v>0</v>
      </c>
      <c r="AL3777">
        <v>0</v>
      </c>
      <c r="AM3777">
        <v>0</v>
      </c>
      <c r="AN3777">
        <v>0</v>
      </c>
      <c r="AO3777">
        <v>0</v>
      </c>
      <c r="AP3777" s="2">
        <v>42746</v>
      </c>
      <c r="AQ3777" t="s">
        <v>72</v>
      </c>
      <c r="AR3777" t="s">
        <v>72</v>
      </c>
      <c r="AS3777">
        <v>997</v>
      </c>
      <c r="AT3777" s="4">
        <v>42464</v>
      </c>
      <c r="AU3777" t="s">
        <v>73</v>
      </c>
      <c r="AV3777">
        <v>997</v>
      </c>
      <c r="AW3777" s="4">
        <v>42464</v>
      </c>
      <c r="BD3777">
        <v>0</v>
      </c>
      <c r="BN3777" t="s">
        <v>74</v>
      </c>
    </row>
    <row r="3778" spans="1:66" hidden="1">
      <c r="A3778">
        <v>101336</v>
      </c>
      <c r="B3778" s="3" t="s">
        <v>413</v>
      </c>
      <c r="C3778" s="1">
        <v>43300101</v>
      </c>
      <c r="D3778" t="s">
        <v>67</v>
      </c>
      <c r="H3778" t="str">
        <f t="shared" si="397"/>
        <v>05351490965</v>
      </c>
      <c r="I3778" t="str">
        <f t="shared" si="397"/>
        <v>05351490965</v>
      </c>
      <c r="K3778" t="str">
        <f>""</f>
        <v/>
      </c>
      <c r="M3778" t="s">
        <v>68</v>
      </c>
      <c r="N3778" t="str">
        <f t="shared" si="396"/>
        <v>FOR</v>
      </c>
      <c r="O3778" t="s">
        <v>69</v>
      </c>
      <c r="P3778" s="3" t="s">
        <v>75</v>
      </c>
      <c r="Q3778">
        <v>2015</v>
      </c>
      <c r="R3778" s="2">
        <v>42216</v>
      </c>
      <c r="S3778" s="2">
        <v>42229</v>
      </c>
      <c r="T3778" s="2">
        <v>42226</v>
      </c>
      <c r="U3778" s="2">
        <v>42286</v>
      </c>
      <c r="V3778" t="s">
        <v>71</v>
      </c>
      <c r="W3778" t="str">
        <f>"          7680004462"</f>
        <v xml:space="preserve">          7680004462</v>
      </c>
      <c r="X3778" s="1">
        <v>1013.49</v>
      </c>
      <c r="Y3778">
        <v>-92.14</v>
      </c>
      <c r="Z3778"/>
      <c r="AB3778"/>
      <c r="AC3778">
        <v>921.35</v>
      </c>
      <c r="AD3778">
        <v>178</v>
      </c>
      <c r="AE3778" s="1">
        <v>164000.29999999999</v>
      </c>
      <c r="AF3778">
        <v>0</v>
      </c>
      <c r="AJ3778">
        <v>0</v>
      </c>
      <c r="AK3778">
        <v>0</v>
      </c>
      <c r="AL3778">
        <v>0</v>
      </c>
      <c r="AM3778">
        <v>0</v>
      </c>
      <c r="AN3778">
        <v>0</v>
      </c>
      <c r="AO3778">
        <v>0</v>
      </c>
      <c r="AP3778" s="2">
        <v>42746</v>
      </c>
      <c r="AQ3778" t="s">
        <v>72</v>
      </c>
      <c r="AR3778" t="s">
        <v>72</v>
      </c>
      <c r="AS3778">
        <v>997</v>
      </c>
      <c r="AT3778" s="4">
        <v>42464</v>
      </c>
      <c r="AU3778" t="s">
        <v>73</v>
      </c>
      <c r="AV3778">
        <v>997</v>
      </c>
      <c r="AW3778" s="4">
        <v>42464</v>
      </c>
      <c r="BD3778">
        <v>0</v>
      </c>
      <c r="BN3778" t="s">
        <v>74</v>
      </c>
    </row>
    <row r="3779" spans="1:66" hidden="1">
      <c r="A3779">
        <v>101336</v>
      </c>
      <c r="B3779" s="3" t="s">
        <v>413</v>
      </c>
      <c r="C3779" s="1">
        <v>43300101</v>
      </c>
      <c r="D3779" t="s">
        <v>67</v>
      </c>
      <c r="H3779" t="str">
        <f t="shared" si="397"/>
        <v>05351490965</v>
      </c>
      <c r="I3779" t="str">
        <f t="shared" si="397"/>
        <v>05351490965</v>
      </c>
      <c r="K3779" t="str">
        <f>""</f>
        <v/>
      </c>
      <c r="M3779" t="s">
        <v>68</v>
      </c>
      <c r="N3779" t="str">
        <f t="shared" si="396"/>
        <v>FOR</v>
      </c>
      <c r="O3779" t="s">
        <v>69</v>
      </c>
      <c r="P3779" s="3" t="s">
        <v>75</v>
      </c>
      <c r="Q3779">
        <v>2015</v>
      </c>
      <c r="R3779" s="2">
        <v>42247</v>
      </c>
      <c r="S3779" s="2">
        <v>42261</v>
      </c>
      <c r="T3779" s="2">
        <v>42257</v>
      </c>
      <c r="U3779" s="2">
        <v>42317</v>
      </c>
      <c r="V3779" t="s">
        <v>71</v>
      </c>
      <c r="W3779" t="str">
        <f>"          7680004843"</f>
        <v xml:space="preserve">          7680004843</v>
      </c>
      <c r="X3779" s="1">
        <v>5259.07</v>
      </c>
      <c r="Y3779">
        <v>0</v>
      </c>
      <c r="Z3779"/>
      <c r="AB3779"/>
      <c r="AC3779" s="1">
        <v>4780.97</v>
      </c>
      <c r="AD3779">
        <v>212</v>
      </c>
      <c r="AE3779" s="1">
        <v>1013565.64</v>
      </c>
      <c r="AF3779">
        <v>0</v>
      </c>
      <c r="AJ3779">
        <v>0</v>
      </c>
      <c r="AK3779">
        <v>0</v>
      </c>
      <c r="AL3779">
        <v>0</v>
      </c>
      <c r="AM3779">
        <v>0</v>
      </c>
      <c r="AN3779">
        <v>0</v>
      </c>
      <c r="AO3779">
        <v>0</v>
      </c>
      <c r="AP3779" s="2">
        <v>42746</v>
      </c>
      <c r="AQ3779" t="s">
        <v>72</v>
      </c>
      <c r="AR3779" t="s">
        <v>72</v>
      </c>
      <c r="AS3779">
        <v>1582</v>
      </c>
      <c r="AT3779" s="4">
        <v>42529</v>
      </c>
      <c r="AU3779" t="s">
        <v>73</v>
      </c>
      <c r="AV3779">
        <v>1582</v>
      </c>
      <c r="AW3779" s="4">
        <v>42529</v>
      </c>
      <c r="BD3779">
        <v>0</v>
      </c>
      <c r="BN3779" t="s">
        <v>74</v>
      </c>
    </row>
    <row r="3780" spans="1:66" hidden="1">
      <c r="A3780">
        <v>101336</v>
      </c>
      <c r="B3780" s="3" t="s">
        <v>413</v>
      </c>
      <c r="C3780" s="1">
        <v>43300101</v>
      </c>
      <c r="D3780" t="s">
        <v>67</v>
      </c>
      <c r="H3780" t="str">
        <f t="shared" si="397"/>
        <v>05351490965</v>
      </c>
      <c r="I3780" t="str">
        <f t="shared" si="397"/>
        <v>05351490965</v>
      </c>
      <c r="K3780" t="str">
        <f>""</f>
        <v/>
      </c>
      <c r="M3780" t="s">
        <v>68</v>
      </c>
      <c r="N3780" t="str">
        <f t="shared" si="396"/>
        <v>FOR</v>
      </c>
      <c r="O3780" t="s">
        <v>69</v>
      </c>
      <c r="P3780" s="3" t="s">
        <v>75</v>
      </c>
      <c r="Q3780">
        <v>2015</v>
      </c>
      <c r="R3780" s="2">
        <v>42247</v>
      </c>
      <c r="S3780" s="2">
        <v>42261</v>
      </c>
      <c r="T3780" s="2">
        <v>42257</v>
      </c>
      <c r="U3780" s="2">
        <v>42317</v>
      </c>
      <c r="V3780" t="s">
        <v>71</v>
      </c>
      <c r="W3780" t="str">
        <f>"          7680004844"</f>
        <v xml:space="preserve">          7680004844</v>
      </c>
      <c r="X3780" s="1">
        <v>124405.61</v>
      </c>
      <c r="Y3780" s="1">
        <v>-11309.6</v>
      </c>
      <c r="Z3780"/>
      <c r="AB3780"/>
      <c r="AC3780" s="1">
        <v>113096.01</v>
      </c>
      <c r="AD3780">
        <v>212</v>
      </c>
      <c r="AE3780" s="1">
        <v>23976354.120000001</v>
      </c>
      <c r="AF3780">
        <v>0</v>
      </c>
      <c r="AJ3780">
        <v>0</v>
      </c>
      <c r="AK3780">
        <v>0</v>
      </c>
      <c r="AL3780">
        <v>0</v>
      </c>
      <c r="AM3780">
        <v>0</v>
      </c>
      <c r="AN3780">
        <v>0</v>
      </c>
      <c r="AO3780">
        <v>0</v>
      </c>
      <c r="AP3780" s="2">
        <v>42746</v>
      </c>
      <c r="AQ3780" t="s">
        <v>72</v>
      </c>
      <c r="AR3780" t="s">
        <v>72</v>
      </c>
      <c r="AS3780">
        <v>1582</v>
      </c>
      <c r="AT3780" s="4">
        <v>42529</v>
      </c>
      <c r="AU3780" t="s">
        <v>73</v>
      </c>
      <c r="AV3780">
        <v>1582</v>
      </c>
      <c r="AW3780" s="4">
        <v>42529</v>
      </c>
      <c r="BD3780">
        <v>0</v>
      </c>
      <c r="BN3780" t="s">
        <v>74</v>
      </c>
    </row>
    <row r="3781" spans="1:66" hidden="1">
      <c r="A3781">
        <v>101336</v>
      </c>
      <c r="B3781" s="3" t="s">
        <v>413</v>
      </c>
      <c r="C3781" s="1">
        <v>43300101</v>
      </c>
      <c r="D3781" t="s">
        <v>67</v>
      </c>
      <c r="H3781" t="str">
        <f t="shared" si="397"/>
        <v>05351490965</v>
      </c>
      <c r="I3781" t="str">
        <f t="shared" si="397"/>
        <v>05351490965</v>
      </c>
      <c r="K3781" t="str">
        <f>""</f>
        <v/>
      </c>
      <c r="M3781" t="s">
        <v>68</v>
      </c>
      <c r="N3781" t="str">
        <f t="shared" si="396"/>
        <v>FOR</v>
      </c>
      <c r="O3781" t="s">
        <v>69</v>
      </c>
      <c r="P3781" s="3" t="s">
        <v>75</v>
      </c>
      <c r="Q3781">
        <v>2015</v>
      </c>
      <c r="R3781" s="2">
        <v>42247</v>
      </c>
      <c r="S3781" s="2">
        <v>42258</v>
      </c>
      <c r="T3781" s="2">
        <v>42257</v>
      </c>
      <c r="U3781" s="2">
        <v>42317</v>
      </c>
      <c r="V3781" t="s">
        <v>71</v>
      </c>
      <c r="W3781" t="str">
        <f>"          7680004845"</f>
        <v xml:space="preserve">          7680004845</v>
      </c>
      <c r="X3781" s="1">
        <v>2054.56</v>
      </c>
      <c r="Y3781">
        <v>0</v>
      </c>
      <c r="Z3781"/>
      <c r="AB3781"/>
      <c r="AC3781" s="1">
        <v>1975.54</v>
      </c>
      <c r="AD3781">
        <v>212</v>
      </c>
      <c r="AE3781" s="1">
        <v>418814.48</v>
      </c>
      <c r="AF3781">
        <v>0</v>
      </c>
      <c r="AJ3781">
        <v>0</v>
      </c>
      <c r="AK3781">
        <v>0</v>
      </c>
      <c r="AL3781">
        <v>0</v>
      </c>
      <c r="AM3781">
        <v>0</v>
      </c>
      <c r="AN3781">
        <v>0</v>
      </c>
      <c r="AO3781">
        <v>0</v>
      </c>
      <c r="AP3781" s="2">
        <v>42746</v>
      </c>
      <c r="AQ3781" t="s">
        <v>72</v>
      </c>
      <c r="AR3781" t="s">
        <v>72</v>
      </c>
      <c r="AS3781">
        <v>1582</v>
      </c>
      <c r="AT3781" s="4">
        <v>42529</v>
      </c>
      <c r="AU3781" t="s">
        <v>73</v>
      </c>
      <c r="AV3781">
        <v>1582</v>
      </c>
      <c r="AW3781" s="4">
        <v>42529</v>
      </c>
      <c r="BD3781">
        <v>0</v>
      </c>
      <c r="BN3781" t="s">
        <v>74</v>
      </c>
    </row>
    <row r="3782" spans="1:66" hidden="1">
      <c r="A3782">
        <v>101336</v>
      </c>
      <c r="B3782" s="3" t="s">
        <v>413</v>
      </c>
      <c r="C3782" s="1">
        <v>43300101</v>
      </c>
      <c r="D3782" t="s">
        <v>67</v>
      </c>
      <c r="H3782" t="str">
        <f t="shared" si="397"/>
        <v>05351490965</v>
      </c>
      <c r="I3782" t="str">
        <f t="shared" si="397"/>
        <v>05351490965</v>
      </c>
      <c r="K3782" t="str">
        <f>""</f>
        <v/>
      </c>
      <c r="M3782" t="s">
        <v>68</v>
      </c>
      <c r="N3782" t="str">
        <f t="shared" si="396"/>
        <v>FOR</v>
      </c>
      <c r="O3782" t="s">
        <v>69</v>
      </c>
      <c r="P3782" s="3" t="s">
        <v>75</v>
      </c>
      <c r="Q3782">
        <v>2015</v>
      </c>
      <c r="R3782" s="2">
        <v>42247</v>
      </c>
      <c r="S3782" s="2">
        <v>42261</v>
      </c>
      <c r="T3782" s="2">
        <v>42257</v>
      </c>
      <c r="U3782" s="2">
        <v>42317</v>
      </c>
      <c r="V3782" t="s">
        <v>71</v>
      </c>
      <c r="W3782" t="str">
        <f>"          7680004846"</f>
        <v xml:space="preserve">          7680004846</v>
      </c>
      <c r="X3782" s="1">
        <v>1245.96</v>
      </c>
      <c r="Y3782">
        <v>-113.27</v>
      </c>
      <c r="Z3782"/>
      <c r="AB3782"/>
      <c r="AC3782" s="1">
        <v>1132.69</v>
      </c>
      <c r="AD3782">
        <v>212</v>
      </c>
      <c r="AE3782" s="1">
        <v>240130.28</v>
      </c>
      <c r="AF3782">
        <v>0</v>
      </c>
      <c r="AJ3782">
        <v>0</v>
      </c>
      <c r="AK3782">
        <v>0</v>
      </c>
      <c r="AL3782">
        <v>0</v>
      </c>
      <c r="AM3782">
        <v>0</v>
      </c>
      <c r="AN3782">
        <v>0</v>
      </c>
      <c r="AO3782">
        <v>0</v>
      </c>
      <c r="AP3782" s="2">
        <v>42746</v>
      </c>
      <c r="AQ3782" t="s">
        <v>72</v>
      </c>
      <c r="AR3782" t="s">
        <v>72</v>
      </c>
      <c r="AS3782">
        <v>1582</v>
      </c>
      <c r="AT3782" s="4">
        <v>42529</v>
      </c>
      <c r="AU3782" t="s">
        <v>73</v>
      </c>
      <c r="AV3782">
        <v>1582</v>
      </c>
      <c r="AW3782" s="4">
        <v>42529</v>
      </c>
      <c r="BD3782">
        <v>0</v>
      </c>
      <c r="BN3782" t="s">
        <v>74</v>
      </c>
    </row>
    <row r="3783" spans="1:66" hidden="1">
      <c r="A3783">
        <v>101336</v>
      </c>
      <c r="B3783" s="3" t="s">
        <v>413</v>
      </c>
      <c r="C3783" s="1">
        <v>43300101</v>
      </c>
      <c r="D3783" t="s">
        <v>67</v>
      </c>
      <c r="H3783" t="str">
        <f t="shared" si="397"/>
        <v>05351490965</v>
      </c>
      <c r="I3783" t="str">
        <f t="shared" si="397"/>
        <v>05351490965</v>
      </c>
      <c r="K3783" t="str">
        <f>""</f>
        <v/>
      </c>
      <c r="M3783" t="s">
        <v>68</v>
      </c>
      <c r="N3783" t="str">
        <f t="shared" si="396"/>
        <v>FOR</v>
      </c>
      <c r="O3783" t="s">
        <v>69</v>
      </c>
      <c r="P3783" s="3" t="s">
        <v>75</v>
      </c>
      <c r="Q3783">
        <v>2015</v>
      </c>
      <c r="R3783" s="2">
        <v>42277</v>
      </c>
      <c r="S3783" s="2">
        <v>42291</v>
      </c>
      <c r="T3783" s="2">
        <v>42290</v>
      </c>
      <c r="U3783" s="2">
        <v>42350</v>
      </c>
      <c r="V3783" t="s">
        <v>71</v>
      </c>
      <c r="W3783" t="str">
        <f>"          7680005637"</f>
        <v xml:space="preserve">          7680005637</v>
      </c>
      <c r="X3783" s="1">
        <v>5366.36</v>
      </c>
      <c r="Y3783">
        <v>0</v>
      </c>
      <c r="Z3783"/>
      <c r="AB3783"/>
      <c r="AC3783" s="1">
        <v>4878.51</v>
      </c>
      <c r="AD3783">
        <v>83</v>
      </c>
      <c r="AE3783" s="1">
        <v>404916.33</v>
      </c>
      <c r="AF3783">
        <v>0</v>
      </c>
      <c r="AJ3783">
        <v>0</v>
      </c>
      <c r="AK3783">
        <v>0</v>
      </c>
      <c r="AL3783">
        <v>0</v>
      </c>
      <c r="AM3783">
        <v>0</v>
      </c>
      <c r="AN3783">
        <v>0</v>
      </c>
      <c r="AO3783">
        <v>0</v>
      </c>
      <c r="AP3783" s="2">
        <v>42746</v>
      </c>
      <c r="AQ3783" t="s">
        <v>72</v>
      </c>
      <c r="AR3783" t="s">
        <v>72</v>
      </c>
      <c r="AS3783">
        <v>658</v>
      </c>
      <c r="AT3783" s="4">
        <v>42433</v>
      </c>
      <c r="AU3783" t="s">
        <v>73</v>
      </c>
      <c r="AV3783">
        <v>658</v>
      </c>
      <c r="AW3783" s="4">
        <v>42433</v>
      </c>
      <c r="BD3783">
        <v>0</v>
      </c>
      <c r="BN3783" t="s">
        <v>74</v>
      </c>
    </row>
    <row r="3784" spans="1:66" hidden="1">
      <c r="A3784">
        <v>101336</v>
      </c>
      <c r="B3784" s="3" t="s">
        <v>413</v>
      </c>
      <c r="C3784" s="1">
        <v>43300101</v>
      </c>
      <c r="D3784" t="s">
        <v>67</v>
      </c>
      <c r="H3784" t="str">
        <f t="shared" si="397"/>
        <v>05351490965</v>
      </c>
      <c r="I3784" t="str">
        <f t="shared" si="397"/>
        <v>05351490965</v>
      </c>
      <c r="K3784" t="str">
        <f>""</f>
        <v/>
      </c>
      <c r="M3784" t="s">
        <v>68</v>
      </c>
      <c r="N3784" t="str">
        <f t="shared" si="396"/>
        <v>FOR</v>
      </c>
      <c r="O3784" t="s">
        <v>69</v>
      </c>
      <c r="P3784" s="3" t="s">
        <v>75</v>
      </c>
      <c r="Q3784">
        <v>2015</v>
      </c>
      <c r="R3784" s="2">
        <v>42277</v>
      </c>
      <c r="S3784" s="2">
        <v>42291</v>
      </c>
      <c r="T3784" s="2">
        <v>42290</v>
      </c>
      <c r="U3784" s="2">
        <v>42350</v>
      </c>
      <c r="V3784" t="s">
        <v>71</v>
      </c>
      <c r="W3784" t="str">
        <f>"          7680005638"</f>
        <v xml:space="preserve">          7680005638</v>
      </c>
      <c r="X3784" s="1">
        <v>138078.35999999999</v>
      </c>
      <c r="Y3784" s="1">
        <v>-12552.58</v>
      </c>
      <c r="Z3784"/>
      <c r="AB3784"/>
      <c r="AC3784" s="1">
        <v>125525.78</v>
      </c>
      <c r="AD3784">
        <v>83</v>
      </c>
      <c r="AE3784" s="1">
        <v>10418639.74</v>
      </c>
      <c r="AF3784">
        <v>0</v>
      </c>
      <c r="AJ3784">
        <v>0</v>
      </c>
      <c r="AK3784">
        <v>0</v>
      </c>
      <c r="AL3784">
        <v>0</v>
      </c>
      <c r="AM3784">
        <v>0</v>
      </c>
      <c r="AN3784">
        <v>0</v>
      </c>
      <c r="AO3784">
        <v>0</v>
      </c>
      <c r="AP3784" s="2">
        <v>42746</v>
      </c>
      <c r="AQ3784" t="s">
        <v>72</v>
      </c>
      <c r="AR3784" t="s">
        <v>72</v>
      </c>
      <c r="AS3784">
        <v>658</v>
      </c>
      <c r="AT3784" s="4">
        <v>42433</v>
      </c>
      <c r="AU3784" t="s">
        <v>73</v>
      </c>
      <c r="AV3784">
        <v>658</v>
      </c>
      <c r="AW3784" s="4">
        <v>42433</v>
      </c>
      <c r="BD3784">
        <v>0</v>
      </c>
      <c r="BN3784" t="s">
        <v>74</v>
      </c>
    </row>
    <row r="3785" spans="1:66" hidden="1">
      <c r="A3785">
        <v>101336</v>
      </c>
      <c r="B3785" s="3" t="s">
        <v>413</v>
      </c>
      <c r="C3785" s="1">
        <v>43300101</v>
      </c>
      <c r="D3785" t="s">
        <v>67</v>
      </c>
      <c r="H3785" t="str">
        <f t="shared" si="397"/>
        <v>05351490965</v>
      </c>
      <c r="I3785" t="str">
        <f t="shared" si="397"/>
        <v>05351490965</v>
      </c>
      <c r="K3785" t="str">
        <f>""</f>
        <v/>
      </c>
      <c r="M3785" t="s">
        <v>68</v>
      </c>
      <c r="N3785" t="str">
        <f t="shared" si="396"/>
        <v>FOR</v>
      </c>
      <c r="O3785" t="s">
        <v>69</v>
      </c>
      <c r="P3785" s="3" t="s">
        <v>75</v>
      </c>
      <c r="Q3785">
        <v>2015</v>
      </c>
      <c r="R3785" s="2">
        <v>42277</v>
      </c>
      <c r="S3785" s="2">
        <v>42291</v>
      </c>
      <c r="T3785" s="2">
        <v>42290</v>
      </c>
      <c r="U3785" s="2">
        <v>42350</v>
      </c>
      <c r="V3785" t="s">
        <v>71</v>
      </c>
      <c r="W3785" t="str">
        <f>"          7680005639"</f>
        <v xml:space="preserve">          7680005639</v>
      </c>
      <c r="X3785" s="1">
        <v>3618.14</v>
      </c>
      <c r="Y3785">
        <v>0</v>
      </c>
      <c r="Z3785"/>
      <c r="AB3785"/>
      <c r="AC3785" s="1">
        <v>3478.98</v>
      </c>
      <c r="AD3785">
        <v>83</v>
      </c>
      <c r="AE3785" s="1">
        <v>288755.34000000003</v>
      </c>
      <c r="AF3785">
        <v>0</v>
      </c>
      <c r="AJ3785">
        <v>0</v>
      </c>
      <c r="AK3785">
        <v>0</v>
      </c>
      <c r="AL3785">
        <v>0</v>
      </c>
      <c r="AM3785">
        <v>0</v>
      </c>
      <c r="AN3785">
        <v>0</v>
      </c>
      <c r="AO3785">
        <v>0</v>
      </c>
      <c r="AP3785" s="2">
        <v>42746</v>
      </c>
      <c r="AQ3785" t="s">
        <v>72</v>
      </c>
      <c r="AR3785" t="s">
        <v>72</v>
      </c>
      <c r="AS3785">
        <v>658</v>
      </c>
      <c r="AT3785" s="4">
        <v>42433</v>
      </c>
      <c r="AU3785" t="s">
        <v>73</v>
      </c>
      <c r="AV3785">
        <v>658</v>
      </c>
      <c r="AW3785" s="4">
        <v>42433</v>
      </c>
      <c r="BD3785">
        <v>0</v>
      </c>
      <c r="BN3785" t="s">
        <v>74</v>
      </c>
    </row>
    <row r="3786" spans="1:66" hidden="1">
      <c r="A3786">
        <v>101336</v>
      </c>
      <c r="B3786" s="3" t="s">
        <v>413</v>
      </c>
      <c r="C3786" s="1">
        <v>43300101</v>
      </c>
      <c r="D3786" t="s">
        <v>67</v>
      </c>
      <c r="H3786" t="str">
        <f t="shared" si="397"/>
        <v>05351490965</v>
      </c>
      <c r="I3786" t="str">
        <f t="shared" si="397"/>
        <v>05351490965</v>
      </c>
      <c r="K3786" t="str">
        <f>""</f>
        <v/>
      </c>
      <c r="M3786" t="s">
        <v>68</v>
      </c>
      <c r="N3786" t="str">
        <f t="shared" si="396"/>
        <v>FOR</v>
      </c>
      <c r="O3786" t="s">
        <v>69</v>
      </c>
      <c r="P3786" s="3" t="s">
        <v>75</v>
      </c>
      <c r="Q3786">
        <v>2015</v>
      </c>
      <c r="R3786" s="2">
        <v>42277</v>
      </c>
      <c r="S3786" s="2">
        <v>42291</v>
      </c>
      <c r="T3786" s="2">
        <v>42290</v>
      </c>
      <c r="U3786" s="2">
        <v>42350</v>
      </c>
      <c r="V3786" t="s">
        <v>71</v>
      </c>
      <c r="W3786" t="str">
        <f>"          7680005640"</f>
        <v xml:space="preserve">          7680005640</v>
      </c>
      <c r="X3786" s="1">
        <v>1060.33</v>
      </c>
      <c r="Y3786">
        <v>-96.39</v>
      </c>
      <c r="Z3786"/>
      <c r="AB3786"/>
      <c r="AC3786">
        <v>963.94</v>
      </c>
      <c r="AD3786">
        <v>83</v>
      </c>
      <c r="AE3786" s="1">
        <v>80007.02</v>
      </c>
      <c r="AF3786">
        <v>0</v>
      </c>
      <c r="AJ3786">
        <v>0</v>
      </c>
      <c r="AK3786">
        <v>0</v>
      </c>
      <c r="AL3786">
        <v>0</v>
      </c>
      <c r="AM3786">
        <v>0</v>
      </c>
      <c r="AN3786">
        <v>0</v>
      </c>
      <c r="AO3786">
        <v>0</v>
      </c>
      <c r="AP3786" s="2">
        <v>42746</v>
      </c>
      <c r="AQ3786" t="s">
        <v>72</v>
      </c>
      <c r="AR3786" t="s">
        <v>72</v>
      </c>
      <c r="AS3786">
        <v>658</v>
      </c>
      <c r="AT3786" s="4">
        <v>42433</v>
      </c>
      <c r="AU3786" t="s">
        <v>73</v>
      </c>
      <c r="AV3786">
        <v>658</v>
      </c>
      <c r="AW3786" s="4">
        <v>42433</v>
      </c>
      <c r="BD3786">
        <v>0</v>
      </c>
      <c r="BN3786" t="s">
        <v>74</v>
      </c>
    </row>
    <row r="3787" spans="1:66" hidden="1">
      <c r="A3787">
        <v>101336</v>
      </c>
      <c r="B3787" s="3" t="s">
        <v>413</v>
      </c>
      <c r="C3787" s="1">
        <v>43300101</v>
      </c>
      <c r="D3787" t="s">
        <v>67</v>
      </c>
      <c r="H3787" t="str">
        <f t="shared" ref="H3787:I3806" si="398">"05351490965"</f>
        <v>05351490965</v>
      </c>
      <c r="I3787" t="str">
        <f t="shared" si="398"/>
        <v>05351490965</v>
      </c>
      <c r="K3787" t="str">
        <f>""</f>
        <v/>
      </c>
      <c r="M3787" t="s">
        <v>68</v>
      </c>
      <c r="N3787" t="str">
        <f t="shared" si="396"/>
        <v>FOR</v>
      </c>
      <c r="O3787" t="s">
        <v>69</v>
      </c>
      <c r="P3787" s="3" t="s">
        <v>75</v>
      </c>
      <c r="Q3787">
        <v>2015</v>
      </c>
      <c r="R3787" s="2">
        <v>42308</v>
      </c>
      <c r="S3787" s="2">
        <v>42325</v>
      </c>
      <c r="T3787" s="2">
        <v>42325</v>
      </c>
      <c r="U3787" s="2">
        <v>42385</v>
      </c>
      <c r="V3787" t="s">
        <v>71</v>
      </c>
      <c r="W3787" t="str">
        <f>"          7680006424"</f>
        <v xml:space="preserve">          7680006424</v>
      </c>
      <c r="X3787" s="1">
        <v>5725.1</v>
      </c>
      <c r="Y3787">
        <v>0</v>
      </c>
      <c r="Z3787"/>
      <c r="AB3787"/>
      <c r="AC3787" s="1">
        <v>5204.6400000000003</v>
      </c>
      <c r="AD3787">
        <v>192</v>
      </c>
      <c r="AE3787" s="1">
        <v>999290.88</v>
      </c>
      <c r="AF3787">
        <v>0</v>
      </c>
      <c r="AJ3787">
        <v>0</v>
      </c>
      <c r="AK3787">
        <v>0</v>
      </c>
      <c r="AL3787">
        <v>0</v>
      </c>
      <c r="AM3787">
        <v>0</v>
      </c>
      <c r="AN3787">
        <v>0</v>
      </c>
      <c r="AO3787">
        <v>0</v>
      </c>
      <c r="AP3787" s="2">
        <v>42746</v>
      </c>
      <c r="AQ3787" t="s">
        <v>72</v>
      </c>
      <c r="AR3787" t="s">
        <v>72</v>
      </c>
      <c r="AS3787">
        <v>1972</v>
      </c>
      <c r="AT3787" s="4">
        <v>42577</v>
      </c>
      <c r="AU3787" t="s">
        <v>73</v>
      </c>
      <c r="AV3787">
        <v>1972</v>
      </c>
      <c r="AW3787" s="4">
        <v>42577</v>
      </c>
      <c r="BD3787">
        <v>0</v>
      </c>
      <c r="BN3787" t="s">
        <v>74</v>
      </c>
    </row>
    <row r="3788" spans="1:66" hidden="1">
      <c r="A3788">
        <v>101336</v>
      </c>
      <c r="B3788" s="3" t="s">
        <v>413</v>
      </c>
      <c r="C3788" s="1">
        <v>43300101</v>
      </c>
      <c r="D3788" t="s">
        <v>67</v>
      </c>
      <c r="H3788" t="str">
        <f t="shared" si="398"/>
        <v>05351490965</v>
      </c>
      <c r="I3788" t="str">
        <f t="shared" si="398"/>
        <v>05351490965</v>
      </c>
      <c r="K3788" t="str">
        <f>""</f>
        <v/>
      </c>
      <c r="M3788" t="s">
        <v>68</v>
      </c>
      <c r="N3788" t="str">
        <f t="shared" si="396"/>
        <v>FOR</v>
      </c>
      <c r="O3788" t="s">
        <v>69</v>
      </c>
      <c r="P3788" s="3" t="s">
        <v>75</v>
      </c>
      <c r="Q3788">
        <v>2015</v>
      </c>
      <c r="R3788" s="2">
        <v>42308</v>
      </c>
      <c r="S3788" s="2">
        <v>42325</v>
      </c>
      <c r="T3788" s="2">
        <v>42325</v>
      </c>
      <c r="U3788" s="2">
        <v>42385</v>
      </c>
      <c r="V3788" t="s">
        <v>71</v>
      </c>
      <c r="W3788" t="str">
        <f>"          7680006425"</f>
        <v xml:space="preserve">          7680006425</v>
      </c>
      <c r="X3788" s="1">
        <v>142265.94</v>
      </c>
      <c r="Y3788" s="1">
        <v>-12933.27</v>
      </c>
      <c r="Z3788"/>
      <c r="AB3788"/>
      <c r="AC3788" s="1">
        <v>129332.67</v>
      </c>
      <c r="AD3788">
        <v>192</v>
      </c>
      <c r="AE3788" s="1">
        <v>24831872.640000001</v>
      </c>
      <c r="AF3788">
        <v>0</v>
      </c>
      <c r="AJ3788">
        <v>0</v>
      </c>
      <c r="AK3788">
        <v>0</v>
      </c>
      <c r="AL3788">
        <v>0</v>
      </c>
      <c r="AM3788">
        <v>0</v>
      </c>
      <c r="AN3788">
        <v>0</v>
      </c>
      <c r="AO3788">
        <v>0</v>
      </c>
      <c r="AP3788" s="2">
        <v>42746</v>
      </c>
      <c r="AQ3788" t="s">
        <v>72</v>
      </c>
      <c r="AR3788" t="s">
        <v>72</v>
      </c>
      <c r="AS3788">
        <v>1972</v>
      </c>
      <c r="AT3788" s="4">
        <v>42577</v>
      </c>
      <c r="AU3788" t="s">
        <v>73</v>
      </c>
      <c r="AV3788">
        <v>1972</v>
      </c>
      <c r="AW3788" s="4">
        <v>42577</v>
      </c>
      <c r="BD3788">
        <v>0</v>
      </c>
      <c r="BN3788" t="s">
        <v>74</v>
      </c>
    </row>
    <row r="3789" spans="1:66" hidden="1">
      <c r="A3789">
        <v>101336</v>
      </c>
      <c r="B3789" s="3" t="s">
        <v>413</v>
      </c>
      <c r="C3789" s="1">
        <v>43300101</v>
      </c>
      <c r="D3789" t="s">
        <v>67</v>
      </c>
      <c r="H3789" t="str">
        <f t="shared" si="398"/>
        <v>05351490965</v>
      </c>
      <c r="I3789" t="str">
        <f t="shared" si="398"/>
        <v>05351490965</v>
      </c>
      <c r="K3789" t="str">
        <f>""</f>
        <v/>
      </c>
      <c r="M3789" t="s">
        <v>68</v>
      </c>
      <c r="N3789" t="str">
        <f t="shared" si="396"/>
        <v>FOR</v>
      </c>
      <c r="O3789" t="s">
        <v>69</v>
      </c>
      <c r="P3789" s="3" t="s">
        <v>75</v>
      </c>
      <c r="Q3789">
        <v>2015</v>
      </c>
      <c r="R3789" s="2">
        <v>42308</v>
      </c>
      <c r="S3789" s="2">
        <v>42325</v>
      </c>
      <c r="T3789" s="2">
        <v>42325</v>
      </c>
      <c r="U3789" s="2">
        <v>42385</v>
      </c>
      <c r="V3789" t="s">
        <v>71</v>
      </c>
      <c r="W3789" t="str">
        <f>"          7680006426"</f>
        <v xml:space="preserve">          7680006426</v>
      </c>
      <c r="X3789" s="1">
        <v>3300.89</v>
      </c>
      <c r="Y3789">
        <v>0</v>
      </c>
      <c r="Z3789"/>
      <c r="AB3789"/>
      <c r="AC3789" s="1">
        <v>3173.93</v>
      </c>
      <c r="AD3789">
        <v>192</v>
      </c>
      <c r="AE3789" s="1">
        <v>609394.56000000006</v>
      </c>
      <c r="AF3789">
        <v>0</v>
      </c>
      <c r="AJ3789">
        <v>0</v>
      </c>
      <c r="AK3789">
        <v>0</v>
      </c>
      <c r="AL3789">
        <v>0</v>
      </c>
      <c r="AM3789">
        <v>0</v>
      </c>
      <c r="AN3789">
        <v>0</v>
      </c>
      <c r="AO3789">
        <v>0</v>
      </c>
      <c r="AP3789" s="2">
        <v>42746</v>
      </c>
      <c r="AQ3789" t="s">
        <v>72</v>
      </c>
      <c r="AR3789" t="s">
        <v>72</v>
      </c>
      <c r="AS3789">
        <v>1972</v>
      </c>
      <c r="AT3789" s="4">
        <v>42577</v>
      </c>
      <c r="AU3789" t="s">
        <v>73</v>
      </c>
      <c r="AV3789">
        <v>1972</v>
      </c>
      <c r="AW3789" s="4">
        <v>42577</v>
      </c>
      <c r="BD3789">
        <v>0</v>
      </c>
      <c r="BN3789" t="s">
        <v>74</v>
      </c>
    </row>
    <row r="3790" spans="1:66" hidden="1">
      <c r="A3790">
        <v>101336</v>
      </c>
      <c r="B3790" s="3" t="s">
        <v>413</v>
      </c>
      <c r="C3790" s="1">
        <v>43300101</v>
      </c>
      <c r="D3790" t="s">
        <v>67</v>
      </c>
      <c r="H3790" t="str">
        <f t="shared" si="398"/>
        <v>05351490965</v>
      </c>
      <c r="I3790" t="str">
        <f t="shared" si="398"/>
        <v>05351490965</v>
      </c>
      <c r="K3790" t="str">
        <f>""</f>
        <v/>
      </c>
      <c r="M3790" t="s">
        <v>68</v>
      </c>
      <c r="N3790" t="str">
        <f t="shared" si="396"/>
        <v>FOR</v>
      </c>
      <c r="O3790" t="s">
        <v>69</v>
      </c>
      <c r="P3790" s="3" t="s">
        <v>75</v>
      </c>
      <c r="Q3790">
        <v>2015</v>
      </c>
      <c r="R3790" s="2">
        <v>42308</v>
      </c>
      <c r="S3790" s="2">
        <v>42325</v>
      </c>
      <c r="T3790" s="2">
        <v>42325</v>
      </c>
      <c r="U3790" s="2">
        <v>42385</v>
      </c>
      <c r="V3790" t="s">
        <v>71</v>
      </c>
      <c r="W3790" t="str">
        <f>"          7680006427"</f>
        <v xml:space="preserve">          7680006427</v>
      </c>
      <c r="X3790" s="1">
        <v>1162.01</v>
      </c>
      <c r="Y3790">
        <v>-105.64</v>
      </c>
      <c r="Z3790"/>
      <c r="AB3790"/>
      <c r="AC3790" s="1">
        <v>1056.3699999999999</v>
      </c>
      <c r="AD3790">
        <v>192</v>
      </c>
      <c r="AE3790" s="1">
        <v>202823.04000000001</v>
      </c>
      <c r="AF3790">
        <v>0</v>
      </c>
      <c r="AJ3790">
        <v>0</v>
      </c>
      <c r="AK3790">
        <v>0</v>
      </c>
      <c r="AL3790">
        <v>0</v>
      </c>
      <c r="AM3790">
        <v>0</v>
      </c>
      <c r="AN3790">
        <v>0</v>
      </c>
      <c r="AO3790">
        <v>0</v>
      </c>
      <c r="AP3790" s="2">
        <v>42746</v>
      </c>
      <c r="AQ3790" t="s">
        <v>72</v>
      </c>
      <c r="AR3790" t="s">
        <v>72</v>
      </c>
      <c r="AS3790">
        <v>1972</v>
      </c>
      <c r="AT3790" s="4">
        <v>42577</v>
      </c>
      <c r="AU3790" t="s">
        <v>73</v>
      </c>
      <c r="AV3790">
        <v>1972</v>
      </c>
      <c r="AW3790" s="4">
        <v>42577</v>
      </c>
      <c r="BD3790">
        <v>0</v>
      </c>
      <c r="BN3790" t="s">
        <v>74</v>
      </c>
    </row>
    <row r="3791" spans="1:66" hidden="1">
      <c r="A3791">
        <v>101336</v>
      </c>
      <c r="B3791" s="3" t="s">
        <v>413</v>
      </c>
      <c r="C3791" s="1">
        <v>43300101</v>
      </c>
      <c r="D3791" t="s">
        <v>67</v>
      </c>
      <c r="H3791" t="str">
        <f t="shared" si="398"/>
        <v>05351490965</v>
      </c>
      <c r="I3791" t="str">
        <f t="shared" si="398"/>
        <v>05351490965</v>
      </c>
      <c r="K3791" t="str">
        <f>""</f>
        <v/>
      </c>
      <c r="M3791" t="s">
        <v>68</v>
      </c>
      <c r="N3791" t="str">
        <f t="shared" ref="N3791:N3821" si="399">"FOR"</f>
        <v>FOR</v>
      </c>
      <c r="O3791" t="s">
        <v>69</v>
      </c>
      <c r="P3791" s="3" t="s">
        <v>75</v>
      </c>
      <c r="Q3791">
        <v>2015</v>
      </c>
      <c r="R3791" s="2">
        <v>42338</v>
      </c>
      <c r="S3791" s="2">
        <v>42354</v>
      </c>
      <c r="T3791" s="2">
        <v>42353</v>
      </c>
      <c r="U3791" s="2">
        <v>42413</v>
      </c>
      <c r="V3791" t="s">
        <v>71</v>
      </c>
      <c r="W3791" t="str">
        <f>"          7680007308"</f>
        <v xml:space="preserve">          7680007308</v>
      </c>
      <c r="X3791" s="1">
        <v>5571.95</v>
      </c>
      <c r="Y3791">
        <v>0</v>
      </c>
      <c r="Z3791"/>
      <c r="AB3791"/>
      <c r="AC3791" s="1">
        <v>5065.41</v>
      </c>
      <c r="AD3791">
        <v>206</v>
      </c>
      <c r="AE3791" s="1">
        <v>1043474.46</v>
      </c>
      <c r="AF3791">
        <v>0</v>
      </c>
      <c r="AJ3791">
        <v>0</v>
      </c>
      <c r="AK3791">
        <v>0</v>
      </c>
      <c r="AL3791">
        <v>0</v>
      </c>
      <c r="AM3791">
        <v>0</v>
      </c>
      <c r="AN3791">
        <v>0</v>
      </c>
      <c r="AO3791">
        <v>0</v>
      </c>
      <c r="AP3791" s="2">
        <v>42746</v>
      </c>
      <c r="AQ3791" t="s">
        <v>72</v>
      </c>
      <c r="AR3791" t="s">
        <v>72</v>
      </c>
      <c r="AS3791">
        <v>2269</v>
      </c>
      <c r="AT3791" s="4">
        <v>42619</v>
      </c>
      <c r="AU3791" t="s">
        <v>73</v>
      </c>
      <c r="AV3791">
        <v>2269</v>
      </c>
      <c r="AW3791" s="4">
        <v>42619</v>
      </c>
      <c r="BD3791">
        <v>0</v>
      </c>
      <c r="BN3791" t="s">
        <v>74</v>
      </c>
    </row>
    <row r="3792" spans="1:66" hidden="1">
      <c r="A3792">
        <v>101336</v>
      </c>
      <c r="B3792" s="3" t="s">
        <v>413</v>
      </c>
      <c r="C3792" s="1">
        <v>43300101</v>
      </c>
      <c r="D3792" t="s">
        <v>67</v>
      </c>
      <c r="H3792" t="str">
        <f t="shared" si="398"/>
        <v>05351490965</v>
      </c>
      <c r="I3792" t="str">
        <f t="shared" si="398"/>
        <v>05351490965</v>
      </c>
      <c r="K3792" t="str">
        <f>""</f>
        <v/>
      </c>
      <c r="M3792" t="s">
        <v>68</v>
      </c>
      <c r="N3792" t="str">
        <f t="shared" si="399"/>
        <v>FOR</v>
      </c>
      <c r="O3792" t="s">
        <v>69</v>
      </c>
      <c r="P3792" s="3" t="s">
        <v>75</v>
      </c>
      <c r="Q3792">
        <v>2015</v>
      </c>
      <c r="R3792" s="2">
        <v>42338</v>
      </c>
      <c r="S3792" s="2">
        <v>42354</v>
      </c>
      <c r="T3792" s="2">
        <v>42353</v>
      </c>
      <c r="U3792" s="2">
        <v>42413</v>
      </c>
      <c r="V3792" t="s">
        <v>71</v>
      </c>
      <c r="W3792" t="str">
        <f>"          7680007309"</f>
        <v xml:space="preserve">          7680007309</v>
      </c>
      <c r="X3792" s="1">
        <v>136932.47</v>
      </c>
      <c r="Y3792" s="1">
        <v>-12448.41</v>
      </c>
      <c r="Z3792"/>
      <c r="AB3792"/>
      <c r="AC3792" s="1">
        <v>124484.06</v>
      </c>
      <c r="AD3792">
        <v>206</v>
      </c>
      <c r="AE3792" s="1">
        <v>25643716.359999999</v>
      </c>
      <c r="AF3792">
        <v>0</v>
      </c>
      <c r="AJ3792">
        <v>0</v>
      </c>
      <c r="AK3792">
        <v>0</v>
      </c>
      <c r="AL3792">
        <v>0</v>
      </c>
      <c r="AM3792">
        <v>0</v>
      </c>
      <c r="AN3792">
        <v>0</v>
      </c>
      <c r="AO3792">
        <v>0</v>
      </c>
      <c r="AP3792" s="2">
        <v>42746</v>
      </c>
      <c r="AQ3792" t="s">
        <v>72</v>
      </c>
      <c r="AR3792" t="s">
        <v>72</v>
      </c>
      <c r="AS3792">
        <v>2269</v>
      </c>
      <c r="AT3792" s="4">
        <v>42619</v>
      </c>
      <c r="AU3792" t="s">
        <v>73</v>
      </c>
      <c r="AV3792">
        <v>2269</v>
      </c>
      <c r="AW3792" s="4">
        <v>42619</v>
      </c>
      <c r="BD3792">
        <v>0</v>
      </c>
      <c r="BN3792" t="s">
        <v>74</v>
      </c>
    </row>
    <row r="3793" spans="1:66" hidden="1">
      <c r="A3793">
        <v>101336</v>
      </c>
      <c r="B3793" s="3" t="s">
        <v>413</v>
      </c>
      <c r="C3793" s="1">
        <v>43300101</v>
      </c>
      <c r="D3793" t="s">
        <v>67</v>
      </c>
      <c r="H3793" t="str">
        <f t="shared" si="398"/>
        <v>05351490965</v>
      </c>
      <c r="I3793" t="str">
        <f t="shared" si="398"/>
        <v>05351490965</v>
      </c>
      <c r="K3793" t="str">
        <f>""</f>
        <v/>
      </c>
      <c r="M3793" t="s">
        <v>68</v>
      </c>
      <c r="N3793" t="str">
        <f t="shared" si="399"/>
        <v>FOR</v>
      </c>
      <c r="O3793" t="s">
        <v>69</v>
      </c>
      <c r="P3793" s="3" t="s">
        <v>75</v>
      </c>
      <c r="Q3793">
        <v>2015</v>
      </c>
      <c r="R3793" s="2">
        <v>42338</v>
      </c>
      <c r="S3793" s="2">
        <v>42354</v>
      </c>
      <c r="T3793" s="2">
        <v>42353</v>
      </c>
      <c r="U3793" s="2">
        <v>42413</v>
      </c>
      <c r="V3793" t="s">
        <v>71</v>
      </c>
      <c r="W3793" t="str">
        <f>"          7680007310"</f>
        <v xml:space="preserve">          7680007310</v>
      </c>
      <c r="X3793" s="1">
        <v>3512.39</v>
      </c>
      <c r="Y3793">
        <v>0</v>
      </c>
      <c r="Z3793"/>
      <c r="AB3793"/>
      <c r="AC3793" s="1">
        <v>3377.3</v>
      </c>
      <c r="AD3793">
        <v>206</v>
      </c>
      <c r="AE3793" s="1">
        <v>695723.8</v>
      </c>
      <c r="AF3793">
        <v>0</v>
      </c>
      <c r="AJ3793">
        <v>0</v>
      </c>
      <c r="AK3793">
        <v>0</v>
      </c>
      <c r="AL3793">
        <v>0</v>
      </c>
      <c r="AM3793">
        <v>0</v>
      </c>
      <c r="AN3793">
        <v>0</v>
      </c>
      <c r="AO3793">
        <v>0</v>
      </c>
      <c r="AP3793" s="2">
        <v>42746</v>
      </c>
      <c r="AQ3793" t="s">
        <v>72</v>
      </c>
      <c r="AR3793" t="s">
        <v>72</v>
      </c>
      <c r="AS3793">
        <v>2269</v>
      </c>
      <c r="AT3793" s="4">
        <v>42619</v>
      </c>
      <c r="AU3793" t="s">
        <v>73</v>
      </c>
      <c r="AV3793">
        <v>2269</v>
      </c>
      <c r="AW3793" s="4">
        <v>42619</v>
      </c>
      <c r="BD3793">
        <v>0</v>
      </c>
      <c r="BN3793" t="s">
        <v>74</v>
      </c>
    </row>
    <row r="3794" spans="1:66" hidden="1">
      <c r="A3794">
        <v>101336</v>
      </c>
      <c r="B3794" s="3" t="s">
        <v>413</v>
      </c>
      <c r="C3794" s="1">
        <v>43300101</v>
      </c>
      <c r="D3794" t="s">
        <v>67</v>
      </c>
      <c r="H3794" t="str">
        <f t="shared" si="398"/>
        <v>05351490965</v>
      </c>
      <c r="I3794" t="str">
        <f t="shared" si="398"/>
        <v>05351490965</v>
      </c>
      <c r="K3794" t="str">
        <f>""</f>
        <v/>
      </c>
      <c r="M3794" t="s">
        <v>68</v>
      </c>
      <c r="N3794" t="str">
        <f t="shared" si="399"/>
        <v>FOR</v>
      </c>
      <c r="O3794" t="s">
        <v>69</v>
      </c>
      <c r="P3794" s="3" t="s">
        <v>75</v>
      </c>
      <c r="Q3794">
        <v>2015</v>
      </c>
      <c r="R3794" s="2">
        <v>42338</v>
      </c>
      <c r="S3794" s="2">
        <v>42354</v>
      </c>
      <c r="T3794" s="2">
        <v>42353</v>
      </c>
      <c r="U3794" s="2">
        <v>42413</v>
      </c>
      <c r="V3794" t="s">
        <v>71</v>
      </c>
      <c r="W3794" t="str">
        <f>"          7680007311"</f>
        <v xml:space="preserve">          7680007311</v>
      </c>
      <c r="X3794">
        <v>954.79</v>
      </c>
      <c r="Y3794">
        <v>-86.8</v>
      </c>
      <c r="Z3794"/>
      <c r="AB3794"/>
      <c r="AC3794">
        <v>867.99</v>
      </c>
      <c r="AD3794">
        <v>206</v>
      </c>
      <c r="AE3794" s="1">
        <v>178805.94</v>
      </c>
      <c r="AF3794">
        <v>0</v>
      </c>
      <c r="AJ3794">
        <v>0</v>
      </c>
      <c r="AK3794">
        <v>0</v>
      </c>
      <c r="AL3794">
        <v>0</v>
      </c>
      <c r="AM3794">
        <v>0</v>
      </c>
      <c r="AN3794">
        <v>0</v>
      </c>
      <c r="AO3794">
        <v>0</v>
      </c>
      <c r="AP3794" s="2">
        <v>42746</v>
      </c>
      <c r="AQ3794" t="s">
        <v>72</v>
      </c>
      <c r="AR3794" t="s">
        <v>72</v>
      </c>
      <c r="AS3794">
        <v>2269</v>
      </c>
      <c r="AT3794" s="4">
        <v>42619</v>
      </c>
      <c r="AU3794" t="s">
        <v>73</v>
      </c>
      <c r="AV3794">
        <v>2269</v>
      </c>
      <c r="AW3794" s="4">
        <v>42619</v>
      </c>
      <c r="BD3794">
        <v>0</v>
      </c>
      <c r="BN3794" t="s">
        <v>74</v>
      </c>
    </row>
    <row r="3795" spans="1:66">
      <c r="A3795">
        <v>101336</v>
      </c>
      <c r="B3795" s="3" t="s">
        <v>413</v>
      </c>
      <c r="C3795" s="1">
        <v>43300101</v>
      </c>
      <c r="D3795" t="s">
        <v>67</v>
      </c>
      <c r="H3795" t="str">
        <f t="shared" si="398"/>
        <v>05351490965</v>
      </c>
      <c r="I3795" t="str">
        <f t="shared" si="398"/>
        <v>05351490965</v>
      </c>
      <c r="K3795" t="str">
        <f>""</f>
        <v/>
      </c>
      <c r="M3795" t="s">
        <v>68</v>
      </c>
      <c r="N3795" t="str">
        <f t="shared" si="399"/>
        <v>FOR</v>
      </c>
      <c r="O3795" t="s">
        <v>69</v>
      </c>
      <c r="P3795" s="3" t="s">
        <v>75</v>
      </c>
      <c r="Q3795">
        <v>2015</v>
      </c>
      <c r="R3795" s="2">
        <v>42369</v>
      </c>
      <c r="S3795" s="2">
        <v>42369</v>
      </c>
      <c r="T3795" s="2">
        <v>42369</v>
      </c>
      <c r="U3795" s="2">
        <v>42429</v>
      </c>
      <c r="V3795" t="s">
        <v>71</v>
      </c>
      <c r="W3795" t="str">
        <f>"          7680008123"</f>
        <v xml:space="preserve">          7680008123</v>
      </c>
      <c r="X3795" s="1">
        <v>5589.67</v>
      </c>
      <c r="Y3795">
        <v>0</v>
      </c>
      <c r="Z3795" s="5">
        <v>5081.5200000000004</v>
      </c>
      <c r="AA3795">
        <v>217</v>
      </c>
      <c r="AB3795" s="5">
        <v>1102689.8400000001</v>
      </c>
      <c r="AC3795" s="1">
        <v>5081.5200000000004</v>
      </c>
      <c r="AD3795">
        <v>217</v>
      </c>
      <c r="AE3795" s="1">
        <v>1102689.8400000001</v>
      </c>
      <c r="AF3795">
        <v>0</v>
      </c>
      <c r="AJ3795">
        <v>0</v>
      </c>
      <c r="AK3795">
        <v>0</v>
      </c>
      <c r="AL3795">
        <v>0</v>
      </c>
      <c r="AM3795">
        <v>0</v>
      </c>
      <c r="AN3795">
        <v>0</v>
      </c>
      <c r="AO3795">
        <v>0</v>
      </c>
      <c r="AP3795" s="2">
        <v>42746</v>
      </c>
      <c r="AQ3795" t="s">
        <v>72</v>
      </c>
      <c r="AR3795" t="s">
        <v>72</v>
      </c>
      <c r="AS3795">
        <v>2555</v>
      </c>
      <c r="AT3795" s="4">
        <v>42646</v>
      </c>
      <c r="AU3795" t="s">
        <v>73</v>
      </c>
      <c r="AV3795">
        <v>2555</v>
      </c>
      <c r="AW3795" s="4">
        <v>42646</v>
      </c>
      <c r="BD3795">
        <v>0</v>
      </c>
      <c r="BN3795" t="s">
        <v>74</v>
      </c>
    </row>
    <row r="3796" spans="1:66">
      <c r="A3796">
        <v>101336</v>
      </c>
      <c r="B3796" s="3" t="s">
        <v>413</v>
      </c>
      <c r="C3796" s="1">
        <v>43300101</v>
      </c>
      <c r="D3796" t="s">
        <v>67</v>
      </c>
      <c r="H3796" t="str">
        <f t="shared" si="398"/>
        <v>05351490965</v>
      </c>
      <c r="I3796" t="str">
        <f t="shared" si="398"/>
        <v>05351490965</v>
      </c>
      <c r="K3796" t="str">
        <f>""</f>
        <v/>
      </c>
      <c r="M3796" t="s">
        <v>68</v>
      </c>
      <c r="N3796" t="str">
        <f t="shared" si="399"/>
        <v>FOR</v>
      </c>
      <c r="O3796" t="s">
        <v>69</v>
      </c>
      <c r="P3796" s="3" t="s">
        <v>75</v>
      </c>
      <c r="Q3796">
        <v>2015</v>
      </c>
      <c r="R3796" s="2">
        <v>42369</v>
      </c>
      <c r="S3796" s="2">
        <v>42369</v>
      </c>
      <c r="T3796" s="2">
        <v>42369</v>
      </c>
      <c r="U3796" s="2">
        <v>42429</v>
      </c>
      <c r="V3796" t="s">
        <v>71</v>
      </c>
      <c r="W3796" t="str">
        <f>"          7680008124"</f>
        <v xml:space="preserve">          7680008124</v>
      </c>
      <c r="X3796" s="1">
        <v>128303.13</v>
      </c>
      <c r="Y3796" s="1">
        <v>-11663.92</v>
      </c>
      <c r="Z3796" s="5">
        <v>116639.21</v>
      </c>
      <c r="AA3796">
        <v>217</v>
      </c>
      <c r="AB3796" s="5">
        <v>25310708.57</v>
      </c>
      <c r="AC3796" s="1">
        <v>116639.21</v>
      </c>
      <c r="AD3796">
        <v>217</v>
      </c>
      <c r="AE3796" s="1">
        <v>25310708.57</v>
      </c>
      <c r="AF3796">
        <v>0</v>
      </c>
      <c r="AJ3796">
        <v>0</v>
      </c>
      <c r="AK3796">
        <v>0</v>
      </c>
      <c r="AL3796">
        <v>0</v>
      </c>
      <c r="AM3796">
        <v>0</v>
      </c>
      <c r="AN3796">
        <v>0</v>
      </c>
      <c r="AO3796">
        <v>0</v>
      </c>
      <c r="AP3796" s="2">
        <v>42746</v>
      </c>
      <c r="AQ3796" t="s">
        <v>72</v>
      </c>
      <c r="AR3796" t="s">
        <v>72</v>
      </c>
      <c r="AS3796">
        <v>2555</v>
      </c>
      <c r="AT3796" s="4">
        <v>42646</v>
      </c>
      <c r="AU3796" t="s">
        <v>73</v>
      </c>
      <c r="AV3796">
        <v>2555</v>
      </c>
      <c r="AW3796" s="4">
        <v>42646</v>
      </c>
      <c r="BD3796">
        <v>0</v>
      </c>
      <c r="BN3796" t="s">
        <v>74</v>
      </c>
    </row>
    <row r="3797" spans="1:66">
      <c r="A3797">
        <v>101336</v>
      </c>
      <c r="B3797" s="3" t="s">
        <v>413</v>
      </c>
      <c r="C3797" s="1">
        <v>43300101</v>
      </c>
      <c r="D3797" t="s">
        <v>67</v>
      </c>
      <c r="H3797" t="str">
        <f t="shared" si="398"/>
        <v>05351490965</v>
      </c>
      <c r="I3797" t="str">
        <f t="shared" si="398"/>
        <v>05351490965</v>
      </c>
      <c r="K3797" t="str">
        <f>""</f>
        <v/>
      </c>
      <c r="M3797" t="s">
        <v>68</v>
      </c>
      <c r="N3797" t="str">
        <f t="shared" si="399"/>
        <v>FOR</v>
      </c>
      <c r="O3797" t="s">
        <v>69</v>
      </c>
      <c r="P3797" s="3" t="s">
        <v>75</v>
      </c>
      <c r="Q3797">
        <v>2015</v>
      </c>
      <c r="R3797" s="2">
        <v>42369</v>
      </c>
      <c r="S3797" s="2">
        <v>42369</v>
      </c>
      <c r="T3797" s="2">
        <v>42369</v>
      </c>
      <c r="U3797" s="2">
        <v>42429</v>
      </c>
      <c r="V3797" t="s">
        <v>71</v>
      </c>
      <c r="W3797" t="str">
        <f>"          7680008125"</f>
        <v xml:space="preserve">          7680008125</v>
      </c>
      <c r="X3797" s="1">
        <v>2711.72</v>
      </c>
      <c r="Y3797">
        <v>0</v>
      </c>
      <c r="Z3797" s="5">
        <v>2607.42</v>
      </c>
      <c r="AA3797">
        <v>217</v>
      </c>
      <c r="AB3797" s="5">
        <v>565810.14</v>
      </c>
      <c r="AC3797" s="1">
        <v>2607.42</v>
      </c>
      <c r="AD3797">
        <v>217</v>
      </c>
      <c r="AE3797" s="1">
        <v>565810.14</v>
      </c>
      <c r="AF3797">
        <v>0</v>
      </c>
      <c r="AJ3797">
        <v>0</v>
      </c>
      <c r="AK3797">
        <v>0</v>
      </c>
      <c r="AL3797">
        <v>0</v>
      </c>
      <c r="AM3797">
        <v>0</v>
      </c>
      <c r="AN3797">
        <v>0</v>
      </c>
      <c r="AO3797">
        <v>0</v>
      </c>
      <c r="AP3797" s="2">
        <v>42746</v>
      </c>
      <c r="AQ3797" t="s">
        <v>72</v>
      </c>
      <c r="AR3797" t="s">
        <v>72</v>
      </c>
      <c r="AS3797">
        <v>2555</v>
      </c>
      <c r="AT3797" s="4">
        <v>42646</v>
      </c>
      <c r="AU3797" t="s">
        <v>73</v>
      </c>
      <c r="AV3797">
        <v>2555</v>
      </c>
      <c r="AW3797" s="4">
        <v>42646</v>
      </c>
      <c r="BD3797">
        <v>0</v>
      </c>
      <c r="BN3797" t="s">
        <v>74</v>
      </c>
    </row>
    <row r="3798" spans="1:66">
      <c r="A3798">
        <v>101336</v>
      </c>
      <c r="B3798" s="3" t="s">
        <v>413</v>
      </c>
      <c r="C3798" s="1">
        <v>43300101</v>
      </c>
      <c r="D3798" t="s">
        <v>67</v>
      </c>
      <c r="H3798" t="str">
        <f t="shared" si="398"/>
        <v>05351490965</v>
      </c>
      <c r="I3798" t="str">
        <f t="shared" si="398"/>
        <v>05351490965</v>
      </c>
      <c r="K3798" t="str">
        <f>""</f>
        <v/>
      </c>
      <c r="M3798" t="s">
        <v>68</v>
      </c>
      <c r="N3798" t="str">
        <f t="shared" si="399"/>
        <v>FOR</v>
      </c>
      <c r="O3798" t="s">
        <v>69</v>
      </c>
      <c r="P3798" s="3" t="s">
        <v>75</v>
      </c>
      <c r="Q3798">
        <v>2015</v>
      </c>
      <c r="R3798" s="2">
        <v>42369</v>
      </c>
      <c r="S3798" s="2">
        <v>42369</v>
      </c>
      <c r="T3798" s="2">
        <v>42369</v>
      </c>
      <c r="U3798" s="2">
        <v>42429</v>
      </c>
      <c r="V3798" t="s">
        <v>71</v>
      </c>
      <c r="W3798" t="str">
        <f>"          7680008126"</f>
        <v xml:space="preserve">          7680008126</v>
      </c>
      <c r="X3798" s="1">
        <v>1034.4000000000001</v>
      </c>
      <c r="Y3798">
        <v>-94.04</v>
      </c>
      <c r="Z3798" s="3">
        <v>940.36</v>
      </c>
      <c r="AA3798">
        <v>217</v>
      </c>
      <c r="AB3798" s="5">
        <v>204058.12</v>
      </c>
      <c r="AC3798">
        <v>940.36</v>
      </c>
      <c r="AD3798">
        <v>217</v>
      </c>
      <c r="AE3798" s="1">
        <v>204058.12</v>
      </c>
      <c r="AF3798">
        <v>0</v>
      </c>
      <c r="AJ3798">
        <v>0</v>
      </c>
      <c r="AK3798">
        <v>0</v>
      </c>
      <c r="AL3798">
        <v>0</v>
      </c>
      <c r="AM3798">
        <v>0</v>
      </c>
      <c r="AN3798">
        <v>0</v>
      </c>
      <c r="AO3798">
        <v>0</v>
      </c>
      <c r="AP3798" s="2">
        <v>42746</v>
      </c>
      <c r="AQ3798" t="s">
        <v>72</v>
      </c>
      <c r="AR3798" t="s">
        <v>72</v>
      </c>
      <c r="AS3798">
        <v>2555</v>
      </c>
      <c r="AT3798" s="4">
        <v>42646</v>
      </c>
      <c r="AU3798" t="s">
        <v>73</v>
      </c>
      <c r="AV3798">
        <v>2555</v>
      </c>
      <c r="AW3798" s="4">
        <v>42646</v>
      </c>
      <c r="BD3798">
        <v>0</v>
      </c>
      <c r="BN3798" t="s">
        <v>74</v>
      </c>
    </row>
    <row r="3799" spans="1:66" hidden="1">
      <c r="A3799">
        <v>101336</v>
      </c>
      <c r="B3799" s="3" t="s">
        <v>413</v>
      </c>
      <c r="C3799" s="1">
        <v>43300101</v>
      </c>
      <c r="D3799" t="s">
        <v>67</v>
      </c>
      <c r="H3799" t="str">
        <f t="shared" si="398"/>
        <v>05351490965</v>
      </c>
      <c r="I3799" t="str">
        <f t="shared" si="398"/>
        <v>05351490965</v>
      </c>
      <c r="K3799" t="str">
        <f>""</f>
        <v/>
      </c>
      <c r="M3799" t="s">
        <v>68</v>
      </c>
      <c r="N3799" t="str">
        <f t="shared" si="399"/>
        <v>FOR</v>
      </c>
      <c r="O3799" t="s">
        <v>69</v>
      </c>
      <c r="P3799" s="3" t="s">
        <v>75</v>
      </c>
      <c r="Q3799">
        <v>2016</v>
      </c>
      <c r="R3799" s="2">
        <v>42400</v>
      </c>
      <c r="S3799" s="2">
        <v>42416</v>
      </c>
      <c r="T3799" s="2">
        <v>42415</v>
      </c>
      <c r="U3799" s="2">
        <v>42475</v>
      </c>
      <c r="V3799" t="s">
        <v>71</v>
      </c>
      <c r="W3799" t="str">
        <f>"          7680008915"</f>
        <v xml:space="preserve">          7680008915</v>
      </c>
      <c r="X3799" s="1">
        <v>5959.2</v>
      </c>
      <c r="Y3799">
        <v>0</v>
      </c>
      <c r="Z3799"/>
      <c r="AB3799"/>
      <c r="AC3799" s="1">
        <v>5417.45</v>
      </c>
      <c r="AD3799">
        <v>18</v>
      </c>
      <c r="AE3799" s="1">
        <v>97514.1</v>
      </c>
      <c r="AF3799">
        <v>0</v>
      </c>
      <c r="AJ3799">
        <v>0</v>
      </c>
      <c r="AK3799">
        <v>0</v>
      </c>
      <c r="AL3799">
        <v>0</v>
      </c>
      <c r="AM3799" s="1">
        <v>5959.2</v>
      </c>
      <c r="AN3799" s="1">
        <v>5959.2</v>
      </c>
      <c r="AO3799" s="1">
        <v>5959.2</v>
      </c>
      <c r="AP3799" s="2">
        <v>42746</v>
      </c>
      <c r="AQ3799" t="s">
        <v>72</v>
      </c>
      <c r="AR3799" t="s">
        <v>72</v>
      </c>
      <c r="AS3799">
        <v>1255</v>
      </c>
      <c r="AT3799" s="4">
        <v>42493</v>
      </c>
      <c r="AU3799" t="s">
        <v>73</v>
      </c>
      <c r="AV3799">
        <v>1255</v>
      </c>
      <c r="AW3799" s="4">
        <v>42493</v>
      </c>
      <c r="BD3799">
        <v>0</v>
      </c>
      <c r="BN3799" t="s">
        <v>74</v>
      </c>
    </row>
    <row r="3800" spans="1:66" hidden="1">
      <c r="A3800">
        <v>101336</v>
      </c>
      <c r="B3800" s="3" t="s">
        <v>413</v>
      </c>
      <c r="C3800" s="1">
        <v>43300101</v>
      </c>
      <c r="D3800" t="s">
        <v>67</v>
      </c>
      <c r="H3800" t="str">
        <f t="shared" si="398"/>
        <v>05351490965</v>
      </c>
      <c r="I3800" t="str">
        <f t="shared" si="398"/>
        <v>05351490965</v>
      </c>
      <c r="K3800" t="str">
        <f>""</f>
        <v/>
      </c>
      <c r="M3800" t="s">
        <v>68</v>
      </c>
      <c r="N3800" t="str">
        <f t="shared" si="399"/>
        <v>FOR</v>
      </c>
      <c r="O3800" t="s">
        <v>69</v>
      </c>
      <c r="P3800" s="3" t="s">
        <v>182</v>
      </c>
      <c r="Q3800">
        <v>2016</v>
      </c>
      <c r="R3800" s="2">
        <v>42400</v>
      </c>
      <c r="S3800" s="2">
        <v>42416</v>
      </c>
      <c r="T3800" s="2">
        <v>42415</v>
      </c>
      <c r="U3800" s="2">
        <v>42475</v>
      </c>
      <c r="V3800" t="s">
        <v>71</v>
      </c>
      <c r="W3800" t="str">
        <f>"          7680008916"</f>
        <v xml:space="preserve">          7680008916</v>
      </c>
      <c r="X3800" s="1">
        <v>137527.37</v>
      </c>
      <c r="Y3800" s="1">
        <v>-12502.49</v>
      </c>
      <c r="Z3800"/>
      <c r="AB3800"/>
      <c r="AC3800" s="1">
        <v>125024.88</v>
      </c>
      <c r="AD3800">
        <v>18</v>
      </c>
      <c r="AE3800" s="1">
        <v>2250447.84</v>
      </c>
      <c r="AF3800">
        <v>0</v>
      </c>
      <c r="AJ3800">
        <v>0</v>
      </c>
      <c r="AK3800">
        <v>0</v>
      </c>
      <c r="AL3800">
        <v>0</v>
      </c>
      <c r="AM3800" s="1">
        <v>125024.88</v>
      </c>
      <c r="AN3800" s="1">
        <v>125024.88</v>
      </c>
      <c r="AO3800" s="1">
        <v>125024.88</v>
      </c>
      <c r="AP3800" s="2">
        <v>42746</v>
      </c>
      <c r="AQ3800" t="s">
        <v>72</v>
      </c>
      <c r="AR3800" t="s">
        <v>72</v>
      </c>
      <c r="AS3800">
        <v>1255</v>
      </c>
      <c r="AT3800" s="4">
        <v>42493</v>
      </c>
      <c r="AU3800" t="s">
        <v>73</v>
      </c>
      <c r="AV3800">
        <v>1255</v>
      </c>
      <c r="AW3800" s="4">
        <v>42493</v>
      </c>
      <c r="BD3800">
        <v>0</v>
      </c>
      <c r="BN3800" t="s">
        <v>74</v>
      </c>
    </row>
    <row r="3801" spans="1:66" hidden="1">
      <c r="A3801">
        <v>101336</v>
      </c>
      <c r="B3801" s="3" t="s">
        <v>413</v>
      </c>
      <c r="C3801" s="1">
        <v>43300101</v>
      </c>
      <c r="D3801" t="s">
        <v>67</v>
      </c>
      <c r="H3801" t="str">
        <f t="shared" si="398"/>
        <v>05351490965</v>
      </c>
      <c r="I3801" t="str">
        <f t="shared" si="398"/>
        <v>05351490965</v>
      </c>
      <c r="K3801" t="str">
        <f>""</f>
        <v/>
      </c>
      <c r="M3801" t="s">
        <v>68</v>
      </c>
      <c r="N3801" t="str">
        <f t="shared" si="399"/>
        <v>FOR</v>
      </c>
      <c r="O3801" t="s">
        <v>69</v>
      </c>
      <c r="P3801" s="3" t="s">
        <v>75</v>
      </c>
      <c r="Q3801">
        <v>2016</v>
      </c>
      <c r="R3801" s="2">
        <v>42400</v>
      </c>
      <c r="S3801" s="2">
        <v>42416</v>
      </c>
      <c r="T3801" s="2">
        <v>42415</v>
      </c>
      <c r="U3801" s="2">
        <v>42475</v>
      </c>
      <c r="V3801" t="s">
        <v>71</v>
      </c>
      <c r="W3801" t="str">
        <f>"          7680008917"</f>
        <v xml:space="preserve">          7680008917</v>
      </c>
      <c r="X3801" s="1">
        <v>3036.52</v>
      </c>
      <c r="Y3801">
        <v>0</v>
      </c>
      <c r="Z3801"/>
      <c r="AB3801"/>
      <c r="AC3801" s="1">
        <v>2919.73</v>
      </c>
      <c r="AD3801">
        <v>18</v>
      </c>
      <c r="AE3801" s="1">
        <v>52555.14</v>
      </c>
      <c r="AF3801">
        <v>0</v>
      </c>
      <c r="AJ3801">
        <v>0</v>
      </c>
      <c r="AK3801">
        <v>0</v>
      </c>
      <c r="AL3801">
        <v>0</v>
      </c>
      <c r="AM3801" s="1">
        <v>3036.52</v>
      </c>
      <c r="AN3801" s="1">
        <v>3036.52</v>
      </c>
      <c r="AO3801" s="1">
        <v>3036.52</v>
      </c>
      <c r="AP3801" s="2">
        <v>42746</v>
      </c>
      <c r="AQ3801" t="s">
        <v>72</v>
      </c>
      <c r="AR3801" t="s">
        <v>72</v>
      </c>
      <c r="AS3801">
        <v>1255</v>
      </c>
      <c r="AT3801" s="4">
        <v>42493</v>
      </c>
      <c r="AU3801" t="s">
        <v>73</v>
      </c>
      <c r="AV3801">
        <v>1255</v>
      </c>
      <c r="AW3801" s="4">
        <v>42493</v>
      </c>
      <c r="BD3801">
        <v>0</v>
      </c>
      <c r="BN3801" t="s">
        <v>74</v>
      </c>
    </row>
    <row r="3802" spans="1:66" hidden="1">
      <c r="A3802">
        <v>101336</v>
      </c>
      <c r="B3802" s="3" t="s">
        <v>413</v>
      </c>
      <c r="C3802" s="1">
        <v>43300101</v>
      </c>
      <c r="D3802" t="s">
        <v>67</v>
      </c>
      <c r="H3802" t="str">
        <f t="shared" si="398"/>
        <v>05351490965</v>
      </c>
      <c r="I3802" t="str">
        <f t="shared" si="398"/>
        <v>05351490965</v>
      </c>
      <c r="K3802" t="str">
        <f>""</f>
        <v/>
      </c>
      <c r="M3802" t="s">
        <v>68</v>
      </c>
      <c r="N3802" t="str">
        <f t="shared" si="399"/>
        <v>FOR</v>
      </c>
      <c r="O3802" t="s">
        <v>69</v>
      </c>
      <c r="P3802" s="3" t="s">
        <v>182</v>
      </c>
      <c r="Q3802">
        <v>2016</v>
      </c>
      <c r="R3802" s="2">
        <v>42400</v>
      </c>
      <c r="S3802" s="2">
        <v>42416</v>
      </c>
      <c r="T3802" s="2">
        <v>42415</v>
      </c>
      <c r="U3802" s="2">
        <v>42475</v>
      </c>
      <c r="V3802" t="s">
        <v>71</v>
      </c>
      <c r="W3802" t="str">
        <f>"          7680008918"</f>
        <v xml:space="preserve">          7680008918</v>
      </c>
      <c r="X3802">
        <v>979.73</v>
      </c>
      <c r="Y3802">
        <v>-89.07</v>
      </c>
      <c r="Z3802"/>
      <c r="AB3802"/>
      <c r="AC3802">
        <v>890.66</v>
      </c>
      <c r="AD3802">
        <v>18</v>
      </c>
      <c r="AE3802" s="1">
        <v>16031.88</v>
      </c>
      <c r="AF3802">
        <v>0</v>
      </c>
      <c r="AJ3802">
        <v>0</v>
      </c>
      <c r="AK3802">
        <v>0</v>
      </c>
      <c r="AL3802">
        <v>0</v>
      </c>
      <c r="AM3802">
        <v>890.66</v>
      </c>
      <c r="AN3802">
        <v>890.66</v>
      </c>
      <c r="AO3802">
        <v>890.66</v>
      </c>
      <c r="AP3802" s="2">
        <v>42746</v>
      </c>
      <c r="AQ3802" t="s">
        <v>72</v>
      </c>
      <c r="AR3802" t="s">
        <v>72</v>
      </c>
      <c r="AS3802">
        <v>1255</v>
      </c>
      <c r="AT3802" s="4">
        <v>42493</v>
      </c>
      <c r="AU3802" t="s">
        <v>73</v>
      </c>
      <c r="AV3802">
        <v>1255</v>
      </c>
      <c r="AW3802" s="4">
        <v>42493</v>
      </c>
      <c r="BD3802">
        <v>0</v>
      </c>
      <c r="BN3802" t="s">
        <v>74</v>
      </c>
    </row>
    <row r="3803" spans="1:66">
      <c r="A3803">
        <v>101336</v>
      </c>
      <c r="B3803" s="3" t="s">
        <v>413</v>
      </c>
      <c r="C3803" s="1">
        <v>43300101</v>
      </c>
      <c r="D3803" t="s">
        <v>67</v>
      </c>
      <c r="H3803" t="str">
        <f t="shared" si="398"/>
        <v>05351490965</v>
      </c>
      <c r="I3803" t="str">
        <f t="shared" si="398"/>
        <v>05351490965</v>
      </c>
      <c r="K3803" t="str">
        <f>""</f>
        <v/>
      </c>
      <c r="M3803" t="s">
        <v>68</v>
      </c>
      <c r="N3803" t="str">
        <f t="shared" si="399"/>
        <v>FOR</v>
      </c>
      <c r="O3803" t="s">
        <v>69</v>
      </c>
      <c r="P3803" s="3" t="s">
        <v>75</v>
      </c>
      <c r="Q3803">
        <v>2016</v>
      </c>
      <c r="R3803" s="2">
        <v>42429</v>
      </c>
      <c r="S3803" s="2">
        <v>42445</v>
      </c>
      <c r="T3803" s="2">
        <v>42445</v>
      </c>
      <c r="U3803" s="2">
        <v>42505</v>
      </c>
      <c r="V3803" t="s">
        <v>71</v>
      </c>
      <c r="W3803" t="str">
        <f>"          7680009681"</f>
        <v xml:space="preserve">          7680009681</v>
      </c>
      <c r="X3803" s="1">
        <v>5338.22</v>
      </c>
      <c r="Y3803">
        <v>0</v>
      </c>
      <c r="Z3803" s="5">
        <v>4852.93</v>
      </c>
      <c r="AA3803">
        <v>179</v>
      </c>
      <c r="AB3803" s="5">
        <v>868674.47</v>
      </c>
      <c r="AC3803" s="1">
        <v>4852.93</v>
      </c>
      <c r="AD3803">
        <v>179</v>
      </c>
      <c r="AE3803" s="1">
        <v>868674.47</v>
      </c>
      <c r="AF3803">
        <v>0</v>
      </c>
      <c r="AJ3803">
        <v>0</v>
      </c>
      <c r="AK3803">
        <v>0</v>
      </c>
      <c r="AL3803">
        <v>0</v>
      </c>
      <c r="AM3803" s="1">
        <v>5338.22</v>
      </c>
      <c r="AN3803" s="1">
        <v>5338.22</v>
      </c>
      <c r="AO3803" s="1">
        <v>5338.22</v>
      </c>
      <c r="AP3803" s="2">
        <v>42746</v>
      </c>
      <c r="AQ3803" t="s">
        <v>72</v>
      </c>
      <c r="AR3803" t="s">
        <v>72</v>
      </c>
      <c r="AS3803">
        <v>3072</v>
      </c>
      <c r="AT3803" s="4">
        <v>42684</v>
      </c>
      <c r="AU3803" t="s">
        <v>73</v>
      </c>
      <c r="AV3803">
        <v>3072</v>
      </c>
      <c r="AW3803" s="4">
        <v>42684</v>
      </c>
      <c r="BD3803">
        <v>0</v>
      </c>
      <c r="BN3803" t="s">
        <v>74</v>
      </c>
    </row>
    <row r="3804" spans="1:66">
      <c r="A3804">
        <v>101336</v>
      </c>
      <c r="B3804" s="3" t="s">
        <v>413</v>
      </c>
      <c r="C3804" s="1">
        <v>43300101</v>
      </c>
      <c r="D3804" t="s">
        <v>67</v>
      </c>
      <c r="H3804" t="str">
        <f t="shared" si="398"/>
        <v>05351490965</v>
      </c>
      <c r="I3804" t="str">
        <f t="shared" si="398"/>
        <v>05351490965</v>
      </c>
      <c r="K3804" t="str">
        <f>""</f>
        <v/>
      </c>
      <c r="M3804" t="s">
        <v>68</v>
      </c>
      <c r="N3804" t="str">
        <f t="shared" si="399"/>
        <v>FOR</v>
      </c>
      <c r="O3804" t="s">
        <v>69</v>
      </c>
      <c r="P3804" s="3" t="s">
        <v>75</v>
      </c>
      <c r="Q3804">
        <v>2016</v>
      </c>
      <c r="R3804" s="2">
        <v>42429</v>
      </c>
      <c r="S3804" s="2">
        <v>42445</v>
      </c>
      <c r="T3804" s="2">
        <v>42445</v>
      </c>
      <c r="U3804" s="2">
        <v>42505</v>
      </c>
      <c r="V3804" t="s">
        <v>71</v>
      </c>
      <c r="W3804" t="str">
        <f>"          7680009682"</f>
        <v xml:space="preserve">          7680009682</v>
      </c>
      <c r="X3804" s="1">
        <v>134934.57</v>
      </c>
      <c r="Y3804" s="1">
        <v>-12266.78</v>
      </c>
      <c r="Z3804" s="5">
        <v>122667.79</v>
      </c>
      <c r="AA3804">
        <v>179</v>
      </c>
      <c r="AB3804" s="5">
        <v>21957534.41</v>
      </c>
      <c r="AC3804" s="1">
        <v>122667.79</v>
      </c>
      <c r="AD3804">
        <v>179</v>
      </c>
      <c r="AE3804" s="1">
        <v>21957534.41</v>
      </c>
      <c r="AF3804">
        <v>0</v>
      </c>
      <c r="AJ3804">
        <v>0</v>
      </c>
      <c r="AK3804">
        <v>0</v>
      </c>
      <c r="AL3804">
        <v>0</v>
      </c>
      <c r="AM3804" s="1">
        <v>122667.79</v>
      </c>
      <c r="AN3804" s="1">
        <v>122667.79</v>
      </c>
      <c r="AO3804" s="1">
        <v>122667.79</v>
      </c>
      <c r="AP3804" s="2">
        <v>42746</v>
      </c>
      <c r="AQ3804" t="s">
        <v>72</v>
      </c>
      <c r="AR3804" t="s">
        <v>72</v>
      </c>
      <c r="AS3804">
        <v>3072</v>
      </c>
      <c r="AT3804" s="4">
        <v>42684</v>
      </c>
      <c r="AU3804" t="s">
        <v>73</v>
      </c>
      <c r="AV3804">
        <v>3072</v>
      </c>
      <c r="AW3804" s="4">
        <v>42684</v>
      </c>
      <c r="BD3804">
        <v>0</v>
      </c>
      <c r="BN3804" t="s">
        <v>74</v>
      </c>
    </row>
    <row r="3805" spans="1:66">
      <c r="A3805">
        <v>101336</v>
      </c>
      <c r="B3805" s="3" t="s">
        <v>413</v>
      </c>
      <c r="C3805" s="1">
        <v>43300101</v>
      </c>
      <c r="D3805" t="s">
        <v>67</v>
      </c>
      <c r="H3805" t="str">
        <f t="shared" si="398"/>
        <v>05351490965</v>
      </c>
      <c r="I3805" t="str">
        <f t="shared" si="398"/>
        <v>05351490965</v>
      </c>
      <c r="K3805" t="str">
        <f>""</f>
        <v/>
      </c>
      <c r="M3805" t="s">
        <v>68</v>
      </c>
      <c r="N3805" t="str">
        <f t="shared" si="399"/>
        <v>FOR</v>
      </c>
      <c r="O3805" t="s">
        <v>69</v>
      </c>
      <c r="P3805" s="3" t="s">
        <v>75</v>
      </c>
      <c r="Q3805">
        <v>2016</v>
      </c>
      <c r="R3805" s="2">
        <v>42429</v>
      </c>
      <c r="S3805" s="2">
        <v>42445</v>
      </c>
      <c r="T3805" s="2">
        <v>42445</v>
      </c>
      <c r="U3805" s="2">
        <v>42505</v>
      </c>
      <c r="V3805" t="s">
        <v>71</v>
      </c>
      <c r="W3805" t="str">
        <f>"          7680009683"</f>
        <v xml:space="preserve">          7680009683</v>
      </c>
      <c r="X3805" s="1">
        <v>3542.6</v>
      </c>
      <c r="Y3805">
        <v>0</v>
      </c>
      <c r="Z3805" s="5">
        <v>3406.35</v>
      </c>
      <c r="AA3805">
        <v>179</v>
      </c>
      <c r="AB3805" s="5">
        <v>609736.65</v>
      </c>
      <c r="AC3805" s="1">
        <v>3406.35</v>
      </c>
      <c r="AD3805">
        <v>179</v>
      </c>
      <c r="AE3805" s="1">
        <v>609736.65</v>
      </c>
      <c r="AF3805">
        <v>0</v>
      </c>
      <c r="AJ3805">
        <v>0</v>
      </c>
      <c r="AK3805">
        <v>0</v>
      </c>
      <c r="AL3805">
        <v>0</v>
      </c>
      <c r="AM3805" s="1">
        <v>3542.6</v>
      </c>
      <c r="AN3805" s="1">
        <v>3542.6</v>
      </c>
      <c r="AO3805" s="1">
        <v>3542.6</v>
      </c>
      <c r="AP3805" s="2">
        <v>42746</v>
      </c>
      <c r="AQ3805" t="s">
        <v>72</v>
      </c>
      <c r="AR3805" t="s">
        <v>72</v>
      </c>
      <c r="AS3805">
        <v>3072</v>
      </c>
      <c r="AT3805" s="4">
        <v>42684</v>
      </c>
      <c r="AU3805" t="s">
        <v>73</v>
      </c>
      <c r="AV3805">
        <v>3072</v>
      </c>
      <c r="AW3805" s="4">
        <v>42684</v>
      </c>
      <c r="BD3805">
        <v>0</v>
      </c>
      <c r="BN3805" t="s">
        <v>74</v>
      </c>
    </row>
    <row r="3806" spans="1:66">
      <c r="A3806">
        <v>101336</v>
      </c>
      <c r="B3806" s="3" t="s">
        <v>413</v>
      </c>
      <c r="C3806" s="1">
        <v>43300101</v>
      </c>
      <c r="D3806" t="s">
        <v>67</v>
      </c>
      <c r="H3806" t="str">
        <f t="shared" si="398"/>
        <v>05351490965</v>
      </c>
      <c r="I3806" t="str">
        <f t="shared" si="398"/>
        <v>05351490965</v>
      </c>
      <c r="K3806" t="str">
        <f>""</f>
        <v/>
      </c>
      <c r="M3806" t="s">
        <v>68</v>
      </c>
      <c r="N3806" t="str">
        <f t="shared" si="399"/>
        <v>FOR</v>
      </c>
      <c r="O3806" t="s">
        <v>69</v>
      </c>
      <c r="P3806" s="3" t="s">
        <v>75</v>
      </c>
      <c r="Q3806">
        <v>2016</v>
      </c>
      <c r="R3806" s="2">
        <v>42429</v>
      </c>
      <c r="S3806" s="2">
        <v>42445</v>
      </c>
      <c r="T3806" s="2">
        <v>42445</v>
      </c>
      <c r="U3806" s="2">
        <v>42505</v>
      </c>
      <c r="V3806" t="s">
        <v>71</v>
      </c>
      <c r="W3806" t="str">
        <f>"          7680009684"</f>
        <v xml:space="preserve">          7680009684</v>
      </c>
      <c r="X3806">
        <v>973.42</v>
      </c>
      <c r="Y3806">
        <v>-88.49</v>
      </c>
      <c r="Z3806" s="3">
        <v>884.93</v>
      </c>
      <c r="AA3806">
        <v>179</v>
      </c>
      <c r="AB3806" s="5">
        <v>158402.47</v>
      </c>
      <c r="AC3806">
        <v>884.93</v>
      </c>
      <c r="AD3806">
        <v>179</v>
      </c>
      <c r="AE3806" s="1">
        <v>158402.47</v>
      </c>
      <c r="AF3806">
        <v>0</v>
      </c>
      <c r="AJ3806">
        <v>0</v>
      </c>
      <c r="AK3806">
        <v>0</v>
      </c>
      <c r="AL3806">
        <v>0</v>
      </c>
      <c r="AM3806">
        <v>884.93</v>
      </c>
      <c r="AN3806">
        <v>884.93</v>
      </c>
      <c r="AO3806">
        <v>884.93</v>
      </c>
      <c r="AP3806" s="2">
        <v>42746</v>
      </c>
      <c r="AQ3806" t="s">
        <v>72</v>
      </c>
      <c r="AR3806" t="s">
        <v>72</v>
      </c>
      <c r="AS3806">
        <v>3072</v>
      </c>
      <c r="AT3806" s="4">
        <v>42684</v>
      </c>
      <c r="AU3806" t="s">
        <v>73</v>
      </c>
      <c r="AV3806">
        <v>3072</v>
      </c>
      <c r="AW3806" s="4">
        <v>42684</v>
      </c>
      <c r="BD3806">
        <v>0</v>
      </c>
      <c r="BN3806" t="s">
        <v>74</v>
      </c>
    </row>
    <row r="3807" spans="1:66">
      <c r="A3807">
        <v>101336</v>
      </c>
      <c r="B3807" s="3" t="s">
        <v>413</v>
      </c>
      <c r="C3807" s="1">
        <v>43300101</v>
      </c>
      <c r="D3807" t="s">
        <v>67</v>
      </c>
      <c r="H3807" t="str">
        <f t="shared" ref="H3807:I3814" si="400">"05351490965"</f>
        <v>05351490965</v>
      </c>
      <c r="I3807" t="str">
        <f t="shared" si="400"/>
        <v>05351490965</v>
      </c>
      <c r="K3807" t="str">
        <f>""</f>
        <v/>
      </c>
      <c r="M3807" t="s">
        <v>68</v>
      </c>
      <c r="N3807" t="str">
        <f t="shared" si="399"/>
        <v>FOR</v>
      </c>
      <c r="O3807" t="s">
        <v>69</v>
      </c>
      <c r="P3807" s="3" t="s">
        <v>75</v>
      </c>
      <c r="Q3807">
        <v>2016</v>
      </c>
      <c r="R3807" s="2">
        <v>42460</v>
      </c>
      <c r="S3807" s="2">
        <v>42475</v>
      </c>
      <c r="T3807" s="2">
        <v>42472</v>
      </c>
      <c r="U3807" s="2">
        <v>42532</v>
      </c>
      <c r="V3807" t="s">
        <v>71</v>
      </c>
      <c r="W3807" t="str">
        <f>"          7680010543"</f>
        <v xml:space="preserve">          7680010543</v>
      </c>
      <c r="X3807" s="1">
        <v>5704.96</v>
      </c>
      <c r="Y3807">
        <v>0</v>
      </c>
      <c r="Z3807" s="5">
        <v>5186.33</v>
      </c>
      <c r="AA3807">
        <v>187</v>
      </c>
      <c r="AB3807" s="5">
        <v>969843.71</v>
      </c>
      <c r="AC3807" s="1">
        <v>5186.33</v>
      </c>
      <c r="AD3807">
        <v>187</v>
      </c>
      <c r="AE3807" s="1">
        <v>969843.71</v>
      </c>
      <c r="AF3807">
        <v>518.63</v>
      </c>
      <c r="AJ3807">
        <v>0</v>
      </c>
      <c r="AK3807">
        <v>0</v>
      </c>
      <c r="AL3807">
        <v>0</v>
      </c>
      <c r="AM3807" s="1">
        <v>5704.96</v>
      </c>
      <c r="AN3807" s="1">
        <v>5704.96</v>
      </c>
      <c r="AO3807" s="1">
        <v>5704.96</v>
      </c>
      <c r="AP3807" s="2">
        <v>42746</v>
      </c>
      <c r="AQ3807" t="s">
        <v>72</v>
      </c>
      <c r="AR3807" t="s">
        <v>72</v>
      </c>
      <c r="AS3807">
        <v>3509</v>
      </c>
      <c r="AT3807" s="4">
        <v>42719</v>
      </c>
      <c r="AU3807" t="s">
        <v>73</v>
      </c>
      <c r="AV3807">
        <v>3509</v>
      </c>
      <c r="AW3807" s="4">
        <v>42719</v>
      </c>
      <c r="BD3807">
        <v>518.63</v>
      </c>
      <c r="BN3807" t="s">
        <v>74</v>
      </c>
    </row>
    <row r="3808" spans="1:66">
      <c r="A3808">
        <v>101336</v>
      </c>
      <c r="B3808" s="3" t="s">
        <v>413</v>
      </c>
      <c r="C3808" s="1">
        <v>43300101</v>
      </c>
      <c r="D3808" t="s">
        <v>67</v>
      </c>
      <c r="H3808" t="str">
        <f t="shared" si="400"/>
        <v>05351490965</v>
      </c>
      <c r="I3808" t="str">
        <f t="shared" si="400"/>
        <v>05351490965</v>
      </c>
      <c r="K3808" t="str">
        <f>""</f>
        <v/>
      </c>
      <c r="M3808" t="s">
        <v>68</v>
      </c>
      <c r="N3808" t="str">
        <f t="shared" si="399"/>
        <v>FOR</v>
      </c>
      <c r="O3808" t="s">
        <v>69</v>
      </c>
      <c r="P3808" s="3" t="s">
        <v>75</v>
      </c>
      <c r="Q3808">
        <v>2016</v>
      </c>
      <c r="R3808" s="2">
        <v>42460</v>
      </c>
      <c r="S3808" s="2">
        <v>42475</v>
      </c>
      <c r="T3808" s="2">
        <v>42472</v>
      </c>
      <c r="U3808" s="2">
        <v>42532</v>
      </c>
      <c r="V3808" t="s">
        <v>71</v>
      </c>
      <c r="W3808" t="str">
        <f>"          7680010544"</f>
        <v xml:space="preserve">          7680010544</v>
      </c>
      <c r="X3808" s="1">
        <v>142657.78</v>
      </c>
      <c r="Y3808" s="1">
        <v>-12968.89</v>
      </c>
      <c r="Z3808" s="5">
        <v>129688.89</v>
      </c>
      <c r="AA3808">
        <v>187</v>
      </c>
      <c r="AB3808" s="5">
        <v>24251822.43</v>
      </c>
      <c r="AC3808" s="1">
        <v>129688.89</v>
      </c>
      <c r="AD3808">
        <v>187</v>
      </c>
      <c r="AE3808" s="1">
        <v>24251822.43</v>
      </c>
      <c r="AF3808">
        <v>0</v>
      </c>
      <c r="AJ3808">
        <v>0</v>
      </c>
      <c r="AK3808">
        <v>0</v>
      </c>
      <c r="AL3808">
        <v>0</v>
      </c>
      <c r="AM3808" s="1">
        <v>129688.89</v>
      </c>
      <c r="AN3808" s="1">
        <v>129688.89</v>
      </c>
      <c r="AO3808" s="1">
        <v>129688.89</v>
      </c>
      <c r="AP3808" s="2">
        <v>42746</v>
      </c>
      <c r="AQ3808" t="s">
        <v>72</v>
      </c>
      <c r="AR3808" t="s">
        <v>72</v>
      </c>
      <c r="AS3808">
        <v>3509</v>
      </c>
      <c r="AT3808" s="4">
        <v>42719</v>
      </c>
      <c r="AU3808" t="s">
        <v>73</v>
      </c>
      <c r="AV3808">
        <v>3509</v>
      </c>
      <c r="AW3808" s="4">
        <v>42719</v>
      </c>
      <c r="BD3808">
        <v>0</v>
      </c>
      <c r="BN3808" t="s">
        <v>74</v>
      </c>
    </row>
    <row r="3809" spans="1:66">
      <c r="A3809">
        <v>101336</v>
      </c>
      <c r="B3809" s="3" t="s">
        <v>413</v>
      </c>
      <c r="C3809" s="1">
        <v>43300101</v>
      </c>
      <c r="D3809" t="s">
        <v>67</v>
      </c>
      <c r="H3809" t="str">
        <f t="shared" si="400"/>
        <v>05351490965</v>
      </c>
      <c r="I3809" t="str">
        <f t="shared" si="400"/>
        <v>05351490965</v>
      </c>
      <c r="K3809" t="str">
        <f>""</f>
        <v/>
      </c>
      <c r="M3809" t="s">
        <v>68</v>
      </c>
      <c r="N3809" t="str">
        <f t="shared" si="399"/>
        <v>FOR</v>
      </c>
      <c r="O3809" t="s">
        <v>69</v>
      </c>
      <c r="P3809" s="3" t="s">
        <v>75</v>
      </c>
      <c r="Q3809">
        <v>2016</v>
      </c>
      <c r="R3809" s="2">
        <v>42460</v>
      </c>
      <c r="S3809" s="2">
        <v>42541</v>
      </c>
      <c r="T3809" s="2">
        <v>42537</v>
      </c>
      <c r="U3809" s="2">
        <v>42597</v>
      </c>
      <c r="V3809" t="s">
        <v>71</v>
      </c>
      <c r="W3809" t="str">
        <f>"          7680010545"</f>
        <v xml:space="preserve">          7680010545</v>
      </c>
      <c r="X3809">
        <v>868.26</v>
      </c>
      <c r="Y3809">
        <v>-78.930000000000007</v>
      </c>
      <c r="Z3809" s="3">
        <v>789.33</v>
      </c>
      <c r="AA3809">
        <v>122</v>
      </c>
      <c r="AB3809" s="5">
        <v>96298.26</v>
      </c>
      <c r="AC3809">
        <v>789.33</v>
      </c>
      <c r="AD3809">
        <v>122</v>
      </c>
      <c r="AE3809" s="1">
        <v>96298.26</v>
      </c>
      <c r="AF3809">
        <v>0</v>
      </c>
      <c r="AJ3809">
        <v>0</v>
      </c>
      <c r="AK3809">
        <v>0</v>
      </c>
      <c r="AL3809">
        <v>0</v>
      </c>
      <c r="AM3809">
        <v>789.33</v>
      </c>
      <c r="AN3809">
        <v>789.33</v>
      </c>
      <c r="AO3809">
        <v>789.33</v>
      </c>
      <c r="AP3809" s="2">
        <v>42746</v>
      </c>
      <c r="AQ3809" t="s">
        <v>72</v>
      </c>
      <c r="AR3809" t="s">
        <v>72</v>
      </c>
      <c r="AS3809">
        <v>3509</v>
      </c>
      <c r="AT3809" s="4">
        <v>42719</v>
      </c>
      <c r="AU3809" t="s">
        <v>73</v>
      </c>
      <c r="AV3809">
        <v>3509</v>
      </c>
      <c r="AW3809" s="4">
        <v>42719</v>
      </c>
      <c r="BD3809">
        <v>0</v>
      </c>
      <c r="BN3809" t="s">
        <v>74</v>
      </c>
    </row>
    <row r="3810" spans="1:66">
      <c r="A3810">
        <v>101336</v>
      </c>
      <c r="B3810" s="3" t="s">
        <v>413</v>
      </c>
      <c r="C3810" s="1">
        <v>43300101</v>
      </c>
      <c r="D3810" t="s">
        <v>67</v>
      </c>
      <c r="H3810" t="str">
        <f t="shared" si="400"/>
        <v>05351490965</v>
      </c>
      <c r="I3810" t="str">
        <f t="shared" si="400"/>
        <v>05351490965</v>
      </c>
      <c r="K3810" t="str">
        <f>""</f>
        <v/>
      </c>
      <c r="M3810" t="s">
        <v>68</v>
      </c>
      <c r="N3810" t="str">
        <f t="shared" si="399"/>
        <v>FOR</v>
      </c>
      <c r="O3810" t="s">
        <v>69</v>
      </c>
      <c r="P3810" s="3" t="s">
        <v>75</v>
      </c>
      <c r="Q3810">
        <v>2016</v>
      </c>
      <c r="R3810" s="2">
        <v>42460</v>
      </c>
      <c r="S3810" s="2">
        <v>42475</v>
      </c>
      <c r="T3810" s="2">
        <v>42472</v>
      </c>
      <c r="U3810" s="2">
        <v>42532</v>
      </c>
      <c r="V3810" t="s">
        <v>71</v>
      </c>
      <c r="W3810" t="str">
        <f>"          7680010546"</f>
        <v xml:space="preserve">          7680010546</v>
      </c>
      <c r="X3810" s="1">
        <v>3519.94</v>
      </c>
      <c r="Y3810">
        <v>0</v>
      </c>
      <c r="Z3810" s="5">
        <v>3384.56</v>
      </c>
      <c r="AA3810">
        <v>187</v>
      </c>
      <c r="AB3810" s="5">
        <v>632912.72</v>
      </c>
      <c r="AC3810" s="1">
        <v>3384.56</v>
      </c>
      <c r="AD3810">
        <v>187</v>
      </c>
      <c r="AE3810" s="1">
        <v>632912.72</v>
      </c>
      <c r="AF3810">
        <v>135.38</v>
      </c>
      <c r="AJ3810">
        <v>0</v>
      </c>
      <c r="AK3810">
        <v>0</v>
      </c>
      <c r="AL3810">
        <v>0</v>
      </c>
      <c r="AM3810" s="1">
        <v>3519.94</v>
      </c>
      <c r="AN3810" s="1">
        <v>3519.94</v>
      </c>
      <c r="AO3810" s="1">
        <v>3519.94</v>
      </c>
      <c r="AP3810" s="2">
        <v>42746</v>
      </c>
      <c r="AQ3810" t="s">
        <v>72</v>
      </c>
      <c r="AR3810" t="s">
        <v>72</v>
      </c>
      <c r="AS3810">
        <v>3509</v>
      </c>
      <c r="AT3810" s="4">
        <v>42719</v>
      </c>
      <c r="AU3810" t="s">
        <v>73</v>
      </c>
      <c r="AV3810">
        <v>3509</v>
      </c>
      <c r="AW3810" s="4">
        <v>42719</v>
      </c>
      <c r="BD3810">
        <v>135.38</v>
      </c>
      <c r="BN3810" t="s">
        <v>74</v>
      </c>
    </row>
    <row r="3811" spans="1:66">
      <c r="A3811">
        <v>101336</v>
      </c>
      <c r="B3811" s="3" t="s">
        <v>413</v>
      </c>
      <c r="C3811" s="1">
        <v>43300101</v>
      </c>
      <c r="D3811" t="s">
        <v>67</v>
      </c>
      <c r="H3811" t="str">
        <f t="shared" si="400"/>
        <v>05351490965</v>
      </c>
      <c r="I3811" t="str">
        <f t="shared" si="400"/>
        <v>05351490965</v>
      </c>
      <c r="K3811" t="str">
        <f>""</f>
        <v/>
      </c>
      <c r="M3811" t="s">
        <v>68</v>
      </c>
      <c r="N3811" t="str">
        <f t="shared" si="399"/>
        <v>FOR</v>
      </c>
      <c r="O3811" t="s">
        <v>69</v>
      </c>
      <c r="P3811" s="3" t="s">
        <v>75</v>
      </c>
      <c r="Q3811">
        <v>2016</v>
      </c>
      <c r="R3811" s="2">
        <v>42490</v>
      </c>
      <c r="S3811" s="2">
        <v>42502</v>
      </c>
      <c r="T3811" s="2">
        <v>42501</v>
      </c>
      <c r="U3811" s="2">
        <v>42561</v>
      </c>
      <c r="V3811" t="s">
        <v>71</v>
      </c>
      <c r="W3811" t="str">
        <f>"          7680011330"</f>
        <v xml:space="preserve">          7680011330</v>
      </c>
      <c r="X3811" s="1">
        <v>5283.36</v>
      </c>
      <c r="Y3811">
        <v>0</v>
      </c>
      <c r="Z3811" s="5">
        <v>4803.05</v>
      </c>
      <c r="AA3811">
        <v>163</v>
      </c>
      <c r="AB3811" s="5">
        <v>782897.15</v>
      </c>
      <c r="AC3811" s="1">
        <v>4803.05</v>
      </c>
      <c r="AD3811">
        <v>163</v>
      </c>
      <c r="AE3811" s="1">
        <v>782897.15</v>
      </c>
      <c r="AF3811">
        <v>480.31</v>
      </c>
      <c r="AJ3811">
        <v>0</v>
      </c>
      <c r="AK3811">
        <v>0</v>
      </c>
      <c r="AL3811">
        <v>0</v>
      </c>
      <c r="AM3811" s="1">
        <v>5283.36</v>
      </c>
      <c r="AN3811" s="1">
        <v>5283.36</v>
      </c>
      <c r="AO3811" s="1">
        <v>5283.36</v>
      </c>
      <c r="AP3811" s="2">
        <v>42746</v>
      </c>
      <c r="AQ3811" t="s">
        <v>72</v>
      </c>
      <c r="AR3811" t="s">
        <v>72</v>
      </c>
      <c r="AS3811">
        <v>3643</v>
      </c>
      <c r="AT3811" s="4">
        <v>42724</v>
      </c>
      <c r="AU3811" t="s">
        <v>73</v>
      </c>
      <c r="AV3811">
        <v>3643</v>
      </c>
      <c r="AW3811" s="4">
        <v>42724</v>
      </c>
      <c r="BC3811">
        <v>480.31</v>
      </c>
      <c r="BD3811">
        <v>0</v>
      </c>
      <c r="BN3811" t="s">
        <v>74</v>
      </c>
    </row>
    <row r="3812" spans="1:66">
      <c r="A3812">
        <v>101336</v>
      </c>
      <c r="B3812" s="3" t="s">
        <v>413</v>
      </c>
      <c r="C3812" s="1">
        <v>43300101</v>
      </c>
      <c r="D3812" t="s">
        <v>67</v>
      </c>
      <c r="H3812" t="str">
        <f t="shared" si="400"/>
        <v>05351490965</v>
      </c>
      <c r="I3812" t="str">
        <f t="shared" si="400"/>
        <v>05351490965</v>
      </c>
      <c r="K3812" t="str">
        <f>""</f>
        <v/>
      </c>
      <c r="M3812" t="s">
        <v>68</v>
      </c>
      <c r="N3812" t="str">
        <f t="shared" si="399"/>
        <v>FOR</v>
      </c>
      <c r="O3812" t="s">
        <v>69</v>
      </c>
      <c r="P3812" s="3" t="s">
        <v>75</v>
      </c>
      <c r="Q3812">
        <v>2016</v>
      </c>
      <c r="R3812" s="2">
        <v>42490</v>
      </c>
      <c r="S3812" s="2">
        <v>42502</v>
      </c>
      <c r="T3812" s="2">
        <v>42501</v>
      </c>
      <c r="U3812" s="2">
        <v>42561</v>
      </c>
      <c r="V3812" t="s">
        <v>71</v>
      </c>
      <c r="W3812" t="str">
        <f>"          7680011331"</f>
        <v xml:space="preserve">          7680011331</v>
      </c>
      <c r="X3812" s="1">
        <v>136708.48000000001</v>
      </c>
      <c r="Y3812" s="1">
        <v>-12428.04</v>
      </c>
      <c r="Z3812" s="5">
        <v>124280.44</v>
      </c>
      <c r="AA3812">
        <v>163</v>
      </c>
      <c r="AB3812" s="5">
        <v>20257711.719999999</v>
      </c>
      <c r="AC3812" s="1">
        <v>124280.44</v>
      </c>
      <c r="AD3812">
        <v>163</v>
      </c>
      <c r="AE3812" s="1">
        <v>20257711.719999999</v>
      </c>
      <c r="AF3812">
        <v>0</v>
      </c>
      <c r="AJ3812">
        <v>0</v>
      </c>
      <c r="AK3812">
        <v>0</v>
      </c>
      <c r="AL3812">
        <v>0</v>
      </c>
      <c r="AM3812" s="1">
        <v>124280.44</v>
      </c>
      <c r="AN3812" s="1">
        <v>124280.44</v>
      </c>
      <c r="AO3812" s="1">
        <v>124280.44</v>
      </c>
      <c r="AP3812" s="2">
        <v>42746</v>
      </c>
      <c r="AQ3812" t="s">
        <v>72</v>
      </c>
      <c r="AR3812" t="s">
        <v>72</v>
      </c>
      <c r="AS3812">
        <v>3643</v>
      </c>
      <c r="AT3812" s="4">
        <v>42724</v>
      </c>
      <c r="AU3812" t="s">
        <v>73</v>
      </c>
      <c r="AV3812">
        <v>3643</v>
      </c>
      <c r="AW3812" s="4">
        <v>42724</v>
      </c>
      <c r="BD3812">
        <v>0</v>
      </c>
      <c r="BN3812" t="s">
        <v>74</v>
      </c>
    </row>
    <row r="3813" spans="1:66">
      <c r="A3813">
        <v>101336</v>
      </c>
      <c r="B3813" s="3" t="s">
        <v>413</v>
      </c>
      <c r="C3813" s="1">
        <v>43300101</v>
      </c>
      <c r="D3813" t="s">
        <v>67</v>
      </c>
      <c r="H3813" t="str">
        <f t="shared" si="400"/>
        <v>05351490965</v>
      </c>
      <c r="I3813" t="str">
        <f t="shared" si="400"/>
        <v>05351490965</v>
      </c>
      <c r="K3813" t="str">
        <f>""</f>
        <v/>
      </c>
      <c r="M3813" t="s">
        <v>68</v>
      </c>
      <c r="N3813" t="str">
        <f t="shared" si="399"/>
        <v>FOR</v>
      </c>
      <c r="O3813" t="s">
        <v>69</v>
      </c>
      <c r="P3813" s="3" t="s">
        <v>75</v>
      </c>
      <c r="Q3813">
        <v>2016</v>
      </c>
      <c r="R3813" s="2">
        <v>42490</v>
      </c>
      <c r="S3813" s="2">
        <v>42502</v>
      </c>
      <c r="T3813" s="2">
        <v>42501</v>
      </c>
      <c r="U3813" s="2">
        <v>42561</v>
      </c>
      <c r="V3813" t="s">
        <v>71</v>
      </c>
      <c r="W3813" t="str">
        <f>"          7680011332"</f>
        <v xml:space="preserve">          7680011332</v>
      </c>
      <c r="X3813" s="1">
        <v>3149.82</v>
      </c>
      <c r="Y3813">
        <v>0</v>
      </c>
      <c r="Z3813" s="5">
        <v>3028.67</v>
      </c>
      <c r="AA3813">
        <v>163</v>
      </c>
      <c r="AB3813" s="5">
        <v>493673.21</v>
      </c>
      <c r="AC3813" s="1">
        <v>3028.67</v>
      </c>
      <c r="AD3813">
        <v>163</v>
      </c>
      <c r="AE3813" s="1">
        <v>493673.21</v>
      </c>
      <c r="AF3813">
        <v>121.15</v>
      </c>
      <c r="AJ3813">
        <v>0</v>
      </c>
      <c r="AK3813">
        <v>0</v>
      </c>
      <c r="AL3813">
        <v>0</v>
      </c>
      <c r="AM3813" s="1">
        <v>3149.82</v>
      </c>
      <c r="AN3813" s="1">
        <v>3149.82</v>
      </c>
      <c r="AO3813" s="1">
        <v>3149.82</v>
      </c>
      <c r="AP3813" s="2">
        <v>42746</v>
      </c>
      <c r="AQ3813" t="s">
        <v>72</v>
      </c>
      <c r="AR3813" t="s">
        <v>72</v>
      </c>
      <c r="AS3813">
        <v>3643</v>
      </c>
      <c r="AT3813" s="4">
        <v>42724</v>
      </c>
      <c r="AU3813" t="s">
        <v>73</v>
      </c>
      <c r="AV3813">
        <v>3643</v>
      </c>
      <c r="AW3813" s="4">
        <v>42724</v>
      </c>
      <c r="BC3813">
        <v>121.15</v>
      </c>
      <c r="BD3813">
        <v>0</v>
      </c>
      <c r="BN3813" t="s">
        <v>74</v>
      </c>
    </row>
    <row r="3814" spans="1:66">
      <c r="A3814">
        <v>101336</v>
      </c>
      <c r="B3814" s="3" t="s">
        <v>413</v>
      </c>
      <c r="C3814" s="1">
        <v>43300101</v>
      </c>
      <c r="D3814" t="s">
        <v>67</v>
      </c>
      <c r="H3814" t="str">
        <f t="shared" si="400"/>
        <v>05351490965</v>
      </c>
      <c r="I3814" t="str">
        <f t="shared" si="400"/>
        <v>05351490965</v>
      </c>
      <c r="K3814" t="str">
        <f>""</f>
        <v/>
      </c>
      <c r="M3814" t="s">
        <v>68</v>
      </c>
      <c r="N3814" t="str">
        <f t="shared" si="399"/>
        <v>FOR</v>
      </c>
      <c r="O3814" t="s">
        <v>69</v>
      </c>
      <c r="P3814" s="3" t="s">
        <v>75</v>
      </c>
      <c r="Q3814">
        <v>2016</v>
      </c>
      <c r="R3814" s="2">
        <v>42490</v>
      </c>
      <c r="S3814" s="2">
        <v>42502</v>
      </c>
      <c r="T3814" s="2">
        <v>42501</v>
      </c>
      <c r="U3814" s="2">
        <v>42561</v>
      </c>
      <c r="V3814" t="s">
        <v>71</v>
      </c>
      <c r="W3814" t="str">
        <f>"          7680011333"</f>
        <v xml:space="preserve">          7680011333</v>
      </c>
      <c r="X3814">
        <v>813.19</v>
      </c>
      <c r="Y3814">
        <v>-73.930000000000007</v>
      </c>
      <c r="Z3814" s="3">
        <v>739.26</v>
      </c>
      <c r="AA3814">
        <v>163</v>
      </c>
      <c r="AB3814" s="5">
        <v>120499.38</v>
      </c>
      <c r="AC3814">
        <v>739.26</v>
      </c>
      <c r="AD3814">
        <v>163</v>
      </c>
      <c r="AE3814" s="1">
        <v>120499.38</v>
      </c>
      <c r="AF3814">
        <v>0</v>
      </c>
      <c r="AJ3814">
        <v>0</v>
      </c>
      <c r="AK3814">
        <v>0</v>
      </c>
      <c r="AL3814">
        <v>0</v>
      </c>
      <c r="AM3814">
        <v>739.26</v>
      </c>
      <c r="AN3814">
        <v>739.26</v>
      </c>
      <c r="AO3814">
        <v>739.26</v>
      </c>
      <c r="AP3814" s="2">
        <v>42746</v>
      </c>
      <c r="AQ3814" t="s">
        <v>72</v>
      </c>
      <c r="AR3814" t="s">
        <v>72</v>
      </c>
      <c r="AS3814">
        <v>3643</v>
      </c>
      <c r="AT3814" s="4">
        <v>42724</v>
      </c>
      <c r="AU3814" t="s">
        <v>73</v>
      </c>
      <c r="AV3814">
        <v>3643</v>
      </c>
      <c r="AW3814" s="4">
        <v>42724</v>
      </c>
      <c r="BD3814">
        <v>0</v>
      </c>
      <c r="BN3814" t="s">
        <v>74</v>
      </c>
    </row>
    <row r="3815" spans="1:66" hidden="1">
      <c r="A3815">
        <v>101337</v>
      </c>
      <c r="B3815" s="3" t="s">
        <v>414</v>
      </c>
      <c r="C3815" s="1">
        <v>43300101</v>
      </c>
      <c r="D3815" t="s">
        <v>67</v>
      </c>
      <c r="H3815" t="str">
        <f t="shared" ref="H3815:I3821" si="401">"05206041211"</f>
        <v>05206041211</v>
      </c>
      <c r="I3815" t="str">
        <f t="shared" si="401"/>
        <v>05206041211</v>
      </c>
      <c r="K3815" t="str">
        <f>""</f>
        <v/>
      </c>
      <c r="M3815" t="s">
        <v>68</v>
      </c>
      <c r="N3815" t="str">
        <f t="shared" si="399"/>
        <v>FOR</v>
      </c>
      <c r="O3815" t="s">
        <v>69</v>
      </c>
      <c r="P3815" s="3" t="s">
        <v>75</v>
      </c>
      <c r="Q3815">
        <v>2015</v>
      </c>
      <c r="R3815" s="2">
        <v>42153</v>
      </c>
      <c r="S3815" s="2">
        <v>42198</v>
      </c>
      <c r="T3815" s="2">
        <v>42196</v>
      </c>
      <c r="U3815" s="2">
        <v>42256</v>
      </c>
      <c r="V3815" t="s">
        <v>71</v>
      </c>
      <c r="W3815" t="str">
        <f>"                 300"</f>
        <v xml:space="preserve">                 300</v>
      </c>
      <c r="X3815">
        <v>796.42</v>
      </c>
      <c r="Y3815">
        <v>0</v>
      </c>
      <c r="Z3815"/>
      <c r="AB3815"/>
      <c r="AC3815">
        <v>652.79999999999995</v>
      </c>
      <c r="AD3815">
        <v>197</v>
      </c>
      <c r="AE3815" s="1">
        <v>128601.60000000001</v>
      </c>
      <c r="AF3815">
        <v>0</v>
      </c>
      <c r="AJ3815">
        <v>0</v>
      </c>
      <c r="AK3815">
        <v>0</v>
      </c>
      <c r="AL3815">
        <v>0</v>
      </c>
      <c r="AM3815">
        <v>0</v>
      </c>
      <c r="AN3815">
        <v>0</v>
      </c>
      <c r="AO3815">
        <v>0</v>
      </c>
      <c r="AP3815" s="2">
        <v>42746</v>
      </c>
      <c r="AQ3815" t="s">
        <v>72</v>
      </c>
      <c r="AR3815" t="s">
        <v>72</v>
      </c>
      <c r="AS3815">
        <v>844</v>
      </c>
      <c r="AT3815" s="4">
        <v>42453</v>
      </c>
      <c r="AU3815" t="s">
        <v>73</v>
      </c>
      <c r="AV3815">
        <v>844</v>
      </c>
      <c r="AW3815" s="4">
        <v>42453</v>
      </c>
      <c r="BD3815">
        <v>0</v>
      </c>
      <c r="BN3815" t="s">
        <v>74</v>
      </c>
    </row>
    <row r="3816" spans="1:66" hidden="1">
      <c r="A3816">
        <v>101337</v>
      </c>
      <c r="B3816" s="3" t="s">
        <v>414</v>
      </c>
      <c r="C3816" s="1">
        <v>43300101</v>
      </c>
      <c r="D3816" t="s">
        <v>67</v>
      </c>
      <c r="H3816" t="str">
        <f t="shared" si="401"/>
        <v>05206041211</v>
      </c>
      <c r="I3816" t="str">
        <f t="shared" si="401"/>
        <v>05206041211</v>
      </c>
      <c r="K3816" t="str">
        <f>""</f>
        <v/>
      </c>
      <c r="M3816" t="s">
        <v>68</v>
      </c>
      <c r="N3816" t="str">
        <f t="shared" si="399"/>
        <v>FOR</v>
      </c>
      <c r="O3816" t="s">
        <v>69</v>
      </c>
      <c r="P3816" s="3" t="s">
        <v>75</v>
      </c>
      <c r="Q3816">
        <v>2015</v>
      </c>
      <c r="R3816" s="2">
        <v>42153</v>
      </c>
      <c r="S3816" s="2">
        <v>42198</v>
      </c>
      <c r="T3816" s="2">
        <v>42196</v>
      </c>
      <c r="U3816" s="2">
        <v>42256</v>
      </c>
      <c r="V3816" t="s">
        <v>71</v>
      </c>
      <c r="W3816" t="str">
        <f>"                 301"</f>
        <v xml:space="preserve">                 301</v>
      </c>
      <c r="X3816">
        <v>366</v>
      </c>
      <c r="Y3816">
        <v>0</v>
      </c>
      <c r="Z3816"/>
      <c r="AB3816"/>
      <c r="AC3816">
        <v>300</v>
      </c>
      <c r="AD3816">
        <v>197</v>
      </c>
      <c r="AE3816" s="1">
        <v>59100</v>
      </c>
      <c r="AF3816">
        <v>0</v>
      </c>
      <c r="AJ3816">
        <v>0</v>
      </c>
      <c r="AK3816">
        <v>0</v>
      </c>
      <c r="AL3816">
        <v>0</v>
      </c>
      <c r="AM3816">
        <v>0</v>
      </c>
      <c r="AN3816">
        <v>0</v>
      </c>
      <c r="AO3816">
        <v>0</v>
      </c>
      <c r="AP3816" s="2">
        <v>42746</v>
      </c>
      <c r="AQ3816" t="s">
        <v>72</v>
      </c>
      <c r="AR3816" t="s">
        <v>72</v>
      </c>
      <c r="AS3816">
        <v>844</v>
      </c>
      <c r="AT3816" s="4">
        <v>42453</v>
      </c>
      <c r="AU3816" t="s">
        <v>73</v>
      </c>
      <c r="AV3816">
        <v>844</v>
      </c>
      <c r="AW3816" s="4">
        <v>42453</v>
      </c>
      <c r="BD3816">
        <v>0</v>
      </c>
      <c r="BN3816" t="s">
        <v>74</v>
      </c>
    </row>
    <row r="3817" spans="1:66" hidden="1">
      <c r="A3817">
        <v>101337</v>
      </c>
      <c r="B3817" s="3" t="s">
        <v>414</v>
      </c>
      <c r="C3817" s="1">
        <v>43300101</v>
      </c>
      <c r="D3817" t="s">
        <v>67</v>
      </c>
      <c r="H3817" t="str">
        <f t="shared" si="401"/>
        <v>05206041211</v>
      </c>
      <c r="I3817" t="str">
        <f t="shared" si="401"/>
        <v>05206041211</v>
      </c>
      <c r="K3817" t="str">
        <f>""</f>
        <v/>
      </c>
      <c r="M3817" t="s">
        <v>68</v>
      </c>
      <c r="N3817" t="str">
        <f t="shared" si="399"/>
        <v>FOR</v>
      </c>
      <c r="O3817" t="s">
        <v>69</v>
      </c>
      <c r="P3817" s="3" t="s">
        <v>75</v>
      </c>
      <c r="Q3817">
        <v>2015</v>
      </c>
      <c r="R3817" s="2">
        <v>42167</v>
      </c>
      <c r="S3817" s="2">
        <v>42198</v>
      </c>
      <c r="T3817" s="2">
        <v>42196</v>
      </c>
      <c r="U3817" s="2">
        <v>42256</v>
      </c>
      <c r="V3817" t="s">
        <v>71</v>
      </c>
      <c r="W3817" t="str">
        <f>"                 328"</f>
        <v xml:space="preserve">                 328</v>
      </c>
      <c r="X3817" s="1">
        <v>1034.32</v>
      </c>
      <c r="Y3817">
        <v>0</v>
      </c>
      <c r="Z3817"/>
      <c r="AB3817"/>
      <c r="AC3817">
        <v>847.8</v>
      </c>
      <c r="AD3817">
        <v>231</v>
      </c>
      <c r="AE3817" s="1">
        <v>195841.8</v>
      </c>
      <c r="AF3817">
        <v>0</v>
      </c>
      <c r="AJ3817">
        <v>0</v>
      </c>
      <c r="AK3817">
        <v>0</v>
      </c>
      <c r="AL3817">
        <v>0</v>
      </c>
      <c r="AM3817">
        <v>0</v>
      </c>
      <c r="AN3817">
        <v>0</v>
      </c>
      <c r="AO3817">
        <v>0</v>
      </c>
      <c r="AP3817" s="2">
        <v>42746</v>
      </c>
      <c r="AQ3817" t="s">
        <v>72</v>
      </c>
      <c r="AR3817" t="s">
        <v>72</v>
      </c>
      <c r="AS3817">
        <v>1198</v>
      </c>
      <c r="AT3817" s="4">
        <v>42487</v>
      </c>
      <c r="AU3817" t="s">
        <v>73</v>
      </c>
      <c r="AV3817">
        <v>1198</v>
      </c>
      <c r="AW3817" s="4">
        <v>42487</v>
      </c>
      <c r="BD3817">
        <v>0</v>
      </c>
      <c r="BN3817" t="s">
        <v>74</v>
      </c>
    </row>
    <row r="3818" spans="1:66" hidden="1">
      <c r="A3818">
        <v>101337</v>
      </c>
      <c r="B3818" s="3" t="s">
        <v>414</v>
      </c>
      <c r="C3818" s="1">
        <v>43300101</v>
      </c>
      <c r="D3818" t="s">
        <v>67</v>
      </c>
      <c r="H3818" t="str">
        <f t="shared" si="401"/>
        <v>05206041211</v>
      </c>
      <c r="I3818" t="str">
        <f t="shared" si="401"/>
        <v>05206041211</v>
      </c>
      <c r="K3818" t="str">
        <f>""</f>
        <v/>
      </c>
      <c r="M3818" t="s">
        <v>68</v>
      </c>
      <c r="N3818" t="str">
        <f t="shared" si="399"/>
        <v>FOR</v>
      </c>
      <c r="O3818" t="s">
        <v>69</v>
      </c>
      <c r="P3818" s="3" t="s">
        <v>75</v>
      </c>
      <c r="Q3818">
        <v>2015</v>
      </c>
      <c r="R3818" s="2">
        <v>42178</v>
      </c>
      <c r="S3818" s="2">
        <v>42198</v>
      </c>
      <c r="T3818" s="2">
        <v>42196</v>
      </c>
      <c r="U3818" s="2">
        <v>42256</v>
      </c>
      <c r="V3818" t="s">
        <v>71</v>
      </c>
      <c r="W3818" t="str">
        <f>"                 350"</f>
        <v xml:space="preserve">                 350</v>
      </c>
      <c r="X3818" s="1">
        <v>1005.28</v>
      </c>
      <c r="Y3818">
        <v>0</v>
      </c>
      <c r="Z3818"/>
      <c r="AB3818"/>
      <c r="AC3818">
        <v>824</v>
      </c>
      <c r="AD3818">
        <v>231</v>
      </c>
      <c r="AE3818" s="1">
        <v>190344</v>
      </c>
      <c r="AF3818">
        <v>0</v>
      </c>
      <c r="AJ3818">
        <v>0</v>
      </c>
      <c r="AK3818">
        <v>0</v>
      </c>
      <c r="AL3818">
        <v>0</v>
      </c>
      <c r="AM3818">
        <v>0</v>
      </c>
      <c r="AN3818">
        <v>0</v>
      </c>
      <c r="AO3818">
        <v>0</v>
      </c>
      <c r="AP3818" s="2">
        <v>42746</v>
      </c>
      <c r="AQ3818" t="s">
        <v>72</v>
      </c>
      <c r="AR3818" t="s">
        <v>72</v>
      </c>
      <c r="AS3818">
        <v>1198</v>
      </c>
      <c r="AT3818" s="4">
        <v>42487</v>
      </c>
      <c r="AU3818" t="s">
        <v>73</v>
      </c>
      <c r="AV3818">
        <v>1198</v>
      </c>
      <c r="AW3818" s="4">
        <v>42487</v>
      </c>
      <c r="BD3818">
        <v>0</v>
      </c>
      <c r="BN3818" t="s">
        <v>74</v>
      </c>
    </row>
    <row r="3819" spans="1:66" hidden="1">
      <c r="A3819">
        <v>101337</v>
      </c>
      <c r="B3819" s="3" t="s">
        <v>414</v>
      </c>
      <c r="C3819" s="1">
        <v>43300101</v>
      </c>
      <c r="D3819" t="s">
        <v>67</v>
      </c>
      <c r="H3819" t="str">
        <f t="shared" si="401"/>
        <v>05206041211</v>
      </c>
      <c r="I3819" t="str">
        <f t="shared" si="401"/>
        <v>05206041211</v>
      </c>
      <c r="K3819" t="str">
        <f>""</f>
        <v/>
      </c>
      <c r="M3819" t="s">
        <v>68</v>
      </c>
      <c r="N3819" t="str">
        <f t="shared" si="399"/>
        <v>FOR</v>
      </c>
      <c r="O3819" t="s">
        <v>69</v>
      </c>
      <c r="P3819" s="3" t="s">
        <v>75</v>
      </c>
      <c r="Q3819">
        <v>2015</v>
      </c>
      <c r="R3819" s="2">
        <v>42188</v>
      </c>
      <c r="S3819" s="2">
        <v>42233</v>
      </c>
      <c r="T3819" s="2">
        <v>42209</v>
      </c>
      <c r="U3819" s="2">
        <v>42269</v>
      </c>
      <c r="V3819" t="s">
        <v>71</v>
      </c>
      <c r="W3819" t="str">
        <f>"                 365"</f>
        <v xml:space="preserve">                 365</v>
      </c>
      <c r="X3819">
        <v>299.76</v>
      </c>
      <c r="Y3819">
        <v>0</v>
      </c>
      <c r="Z3819"/>
      <c r="AB3819"/>
      <c r="AC3819">
        <v>245.7</v>
      </c>
      <c r="AD3819">
        <v>218</v>
      </c>
      <c r="AE3819" s="1">
        <v>53562.6</v>
      </c>
      <c r="AF3819">
        <v>0</v>
      </c>
      <c r="AJ3819">
        <v>0</v>
      </c>
      <c r="AK3819">
        <v>0</v>
      </c>
      <c r="AL3819">
        <v>0</v>
      </c>
      <c r="AM3819">
        <v>0</v>
      </c>
      <c r="AN3819">
        <v>0</v>
      </c>
      <c r="AO3819">
        <v>0</v>
      </c>
      <c r="AP3819" s="2">
        <v>42746</v>
      </c>
      <c r="AQ3819" t="s">
        <v>72</v>
      </c>
      <c r="AR3819" t="s">
        <v>72</v>
      </c>
      <c r="AS3819">
        <v>1198</v>
      </c>
      <c r="AT3819" s="4">
        <v>42487</v>
      </c>
      <c r="AU3819" t="s">
        <v>73</v>
      </c>
      <c r="AV3819">
        <v>1198</v>
      </c>
      <c r="AW3819" s="4">
        <v>42487</v>
      </c>
      <c r="BD3819">
        <v>0</v>
      </c>
      <c r="BN3819" t="s">
        <v>74</v>
      </c>
    </row>
    <row r="3820" spans="1:66" hidden="1">
      <c r="A3820">
        <v>101337</v>
      </c>
      <c r="B3820" s="3" t="s">
        <v>414</v>
      </c>
      <c r="C3820" s="1">
        <v>43300101</v>
      </c>
      <c r="D3820" t="s">
        <v>67</v>
      </c>
      <c r="H3820" t="str">
        <f t="shared" si="401"/>
        <v>05206041211</v>
      </c>
      <c r="I3820" t="str">
        <f t="shared" si="401"/>
        <v>05206041211</v>
      </c>
      <c r="K3820" t="str">
        <f>""</f>
        <v/>
      </c>
      <c r="M3820" t="s">
        <v>68</v>
      </c>
      <c r="N3820" t="str">
        <f t="shared" si="399"/>
        <v>FOR</v>
      </c>
      <c r="O3820" t="s">
        <v>69</v>
      </c>
      <c r="P3820" s="3" t="s">
        <v>75</v>
      </c>
      <c r="Q3820">
        <v>2015</v>
      </c>
      <c r="R3820" s="2">
        <v>42277</v>
      </c>
      <c r="S3820" s="2">
        <v>42282</v>
      </c>
      <c r="T3820" s="2">
        <v>42279</v>
      </c>
      <c r="U3820" s="2">
        <v>42339</v>
      </c>
      <c r="V3820" t="s">
        <v>71</v>
      </c>
      <c r="W3820" t="str">
        <f>"                 495"</f>
        <v xml:space="preserve">                 495</v>
      </c>
      <c r="X3820" s="1">
        <v>21032.61</v>
      </c>
      <c r="Y3820">
        <v>0</v>
      </c>
      <c r="Z3820"/>
      <c r="AB3820"/>
      <c r="AC3820" s="1">
        <v>17239.84</v>
      </c>
      <c r="AD3820">
        <v>280</v>
      </c>
      <c r="AE3820" s="1">
        <v>4827155.2</v>
      </c>
      <c r="AF3820">
        <v>0</v>
      </c>
      <c r="AJ3820">
        <v>0</v>
      </c>
      <c r="AK3820">
        <v>0</v>
      </c>
      <c r="AL3820">
        <v>0</v>
      </c>
      <c r="AM3820">
        <v>0</v>
      </c>
      <c r="AN3820">
        <v>0</v>
      </c>
      <c r="AO3820">
        <v>0</v>
      </c>
      <c r="AP3820" s="2">
        <v>42746</v>
      </c>
      <c r="AQ3820" t="s">
        <v>72</v>
      </c>
      <c r="AR3820" t="s">
        <v>72</v>
      </c>
      <c r="AS3820">
        <v>2294</v>
      </c>
      <c r="AT3820" s="4">
        <v>42619</v>
      </c>
      <c r="AU3820" t="s">
        <v>73</v>
      </c>
      <c r="AV3820">
        <v>2294</v>
      </c>
      <c r="AW3820" s="4">
        <v>42619</v>
      </c>
      <c r="BD3820">
        <v>0</v>
      </c>
      <c r="BN3820" t="s">
        <v>74</v>
      </c>
    </row>
    <row r="3821" spans="1:66" hidden="1">
      <c r="A3821">
        <v>101337</v>
      </c>
      <c r="B3821" s="3" t="s">
        <v>414</v>
      </c>
      <c r="C3821" s="1">
        <v>43300101</v>
      </c>
      <c r="D3821" t="s">
        <v>67</v>
      </c>
      <c r="H3821" t="str">
        <f t="shared" si="401"/>
        <v>05206041211</v>
      </c>
      <c r="I3821" t="str">
        <f t="shared" si="401"/>
        <v>05206041211</v>
      </c>
      <c r="K3821" t="str">
        <f>""</f>
        <v/>
      </c>
      <c r="M3821" t="s">
        <v>68</v>
      </c>
      <c r="N3821" t="str">
        <f t="shared" si="399"/>
        <v>FOR</v>
      </c>
      <c r="O3821" t="s">
        <v>69</v>
      </c>
      <c r="P3821" s="3" t="s">
        <v>75</v>
      </c>
      <c r="Q3821">
        <v>2015</v>
      </c>
      <c r="R3821" s="2">
        <v>42333</v>
      </c>
      <c r="S3821" s="2">
        <v>42338</v>
      </c>
      <c r="T3821" s="2">
        <v>42335</v>
      </c>
      <c r="U3821" s="2">
        <v>42395</v>
      </c>
      <c r="V3821" t="s">
        <v>71</v>
      </c>
      <c r="W3821" t="str">
        <f>"                 604"</f>
        <v xml:space="preserve">                 604</v>
      </c>
      <c r="X3821" s="1">
        <v>1437.65</v>
      </c>
      <c r="Y3821">
        <v>0</v>
      </c>
      <c r="Z3821"/>
      <c r="AB3821"/>
      <c r="AC3821" s="1">
        <v>1178.4000000000001</v>
      </c>
      <c r="AD3821">
        <v>224</v>
      </c>
      <c r="AE3821" s="1">
        <v>263961.59999999998</v>
      </c>
      <c r="AF3821">
        <v>0</v>
      </c>
      <c r="AJ3821">
        <v>0</v>
      </c>
      <c r="AK3821">
        <v>0</v>
      </c>
      <c r="AL3821">
        <v>0</v>
      </c>
      <c r="AM3821">
        <v>0</v>
      </c>
      <c r="AN3821">
        <v>0</v>
      </c>
      <c r="AO3821">
        <v>0</v>
      </c>
      <c r="AP3821" s="2">
        <v>42746</v>
      </c>
      <c r="AQ3821" t="s">
        <v>72</v>
      </c>
      <c r="AR3821" t="s">
        <v>72</v>
      </c>
      <c r="AS3821">
        <v>2294</v>
      </c>
      <c r="AT3821" s="4">
        <v>42619</v>
      </c>
      <c r="AU3821" t="s">
        <v>73</v>
      </c>
      <c r="AV3821">
        <v>2294</v>
      </c>
      <c r="AW3821" s="4">
        <v>42619</v>
      </c>
      <c r="BD3821">
        <v>0</v>
      </c>
      <c r="BN3821" t="s">
        <v>74</v>
      </c>
    </row>
    <row r="3822" spans="1:66" hidden="1">
      <c r="A3822">
        <v>101343</v>
      </c>
      <c r="B3822" s="3" t="s">
        <v>415</v>
      </c>
      <c r="C3822" s="1">
        <v>43500101</v>
      </c>
      <c r="D3822" t="s">
        <v>113</v>
      </c>
      <c r="H3822" t="str">
        <f t="shared" ref="H3822:I3833" si="402">"01014411001"</f>
        <v>01014411001</v>
      </c>
      <c r="I3822" t="str">
        <f t="shared" si="402"/>
        <v>01014411001</v>
      </c>
      <c r="K3822" t="str">
        <f>""</f>
        <v/>
      </c>
      <c r="M3822" t="s">
        <v>68</v>
      </c>
      <c r="N3822" t="str">
        <f t="shared" ref="N3822:N3833" si="403">"ALTFIN"</f>
        <v>ALTFIN</v>
      </c>
      <c r="O3822" t="s">
        <v>123</v>
      </c>
      <c r="P3822" s="3" t="s">
        <v>84</v>
      </c>
      <c r="Q3822">
        <v>2016</v>
      </c>
      <c r="R3822" s="2">
        <v>42389</v>
      </c>
      <c r="S3822" s="2">
        <v>42390</v>
      </c>
      <c r="T3822" s="2">
        <v>42390</v>
      </c>
      <c r="U3822" s="2">
        <v>42450</v>
      </c>
      <c r="V3822" t="s">
        <v>71</v>
      </c>
      <c r="W3822" t="str">
        <f>"                0120"</f>
        <v xml:space="preserve">                0120</v>
      </c>
      <c r="X3822">
        <v>0</v>
      </c>
      <c r="Y3822" s="1">
        <v>1300</v>
      </c>
      <c r="Z3822"/>
      <c r="AB3822"/>
      <c r="AC3822" s="1">
        <v>1300</v>
      </c>
      <c r="AD3822">
        <v>-60</v>
      </c>
      <c r="AE3822" s="1">
        <v>-78000</v>
      </c>
      <c r="AF3822">
        <v>0</v>
      </c>
      <c r="AJ3822">
        <v>0</v>
      </c>
      <c r="AK3822">
        <v>0</v>
      </c>
      <c r="AL3822">
        <v>0</v>
      </c>
      <c r="AM3822" s="1">
        <v>1300</v>
      </c>
      <c r="AN3822" s="1">
        <v>1300</v>
      </c>
      <c r="AO3822" s="1">
        <v>1300</v>
      </c>
      <c r="AP3822" s="2">
        <v>42746</v>
      </c>
      <c r="AQ3822" t="s">
        <v>72</v>
      </c>
      <c r="AR3822" t="s">
        <v>72</v>
      </c>
      <c r="AS3822">
        <v>35</v>
      </c>
      <c r="AT3822" s="4">
        <v>42390</v>
      </c>
      <c r="AV3822">
        <v>35</v>
      </c>
      <c r="AW3822" s="4">
        <v>42390</v>
      </c>
      <c r="BD3822">
        <v>0</v>
      </c>
      <c r="BN3822" t="s">
        <v>74</v>
      </c>
    </row>
    <row r="3823" spans="1:66" hidden="1">
      <c r="A3823">
        <v>101343</v>
      </c>
      <c r="B3823" s="3" t="s">
        <v>415</v>
      </c>
      <c r="C3823" s="1">
        <v>43500101</v>
      </c>
      <c r="D3823" t="s">
        <v>113</v>
      </c>
      <c r="H3823" t="str">
        <f t="shared" si="402"/>
        <v>01014411001</v>
      </c>
      <c r="I3823" t="str">
        <f t="shared" si="402"/>
        <v>01014411001</v>
      </c>
      <c r="K3823" t="str">
        <f>""</f>
        <v/>
      </c>
      <c r="M3823" t="s">
        <v>68</v>
      </c>
      <c r="N3823" t="str">
        <f t="shared" si="403"/>
        <v>ALTFIN</v>
      </c>
      <c r="O3823" t="s">
        <v>123</v>
      </c>
      <c r="P3823" s="3" t="s">
        <v>85</v>
      </c>
      <c r="Q3823">
        <v>2016</v>
      </c>
      <c r="R3823" s="2">
        <v>42422</v>
      </c>
      <c r="S3823" s="2">
        <v>42422</v>
      </c>
      <c r="T3823" s="2">
        <v>42422</v>
      </c>
      <c r="U3823" s="2">
        <v>42482</v>
      </c>
      <c r="V3823" t="s">
        <v>71</v>
      </c>
      <c r="W3823" t="str">
        <f>"                0222"</f>
        <v xml:space="preserve">                0222</v>
      </c>
      <c r="X3823">
        <v>0</v>
      </c>
      <c r="Y3823" s="1">
        <v>1055</v>
      </c>
      <c r="Z3823"/>
      <c r="AB3823"/>
      <c r="AC3823" s="1">
        <v>1055</v>
      </c>
      <c r="AD3823">
        <v>-58</v>
      </c>
      <c r="AE3823" s="1">
        <v>-61190</v>
      </c>
      <c r="AF3823">
        <v>0</v>
      </c>
      <c r="AJ3823">
        <v>0</v>
      </c>
      <c r="AK3823">
        <v>0</v>
      </c>
      <c r="AL3823">
        <v>0</v>
      </c>
      <c r="AM3823" s="1">
        <v>1055</v>
      </c>
      <c r="AN3823" s="1">
        <v>1055</v>
      </c>
      <c r="AO3823" s="1">
        <v>1055</v>
      </c>
      <c r="AP3823" s="2">
        <v>42746</v>
      </c>
      <c r="AQ3823" t="s">
        <v>72</v>
      </c>
      <c r="AR3823" t="s">
        <v>72</v>
      </c>
      <c r="AS3823">
        <v>480</v>
      </c>
      <c r="AT3823" s="4">
        <v>42424</v>
      </c>
      <c r="AV3823">
        <v>480</v>
      </c>
      <c r="AW3823" s="4">
        <v>42424</v>
      </c>
      <c r="BD3823">
        <v>0</v>
      </c>
      <c r="BN3823" t="s">
        <v>74</v>
      </c>
    </row>
    <row r="3824" spans="1:66" hidden="1">
      <c r="A3824">
        <v>101343</v>
      </c>
      <c r="B3824" s="3" t="s">
        <v>415</v>
      </c>
      <c r="C3824" s="1">
        <v>43500101</v>
      </c>
      <c r="D3824" t="s">
        <v>113</v>
      </c>
      <c r="H3824" t="str">
        <f t="shared" si="402"/>
        <v>01014411001</v>
      </c>
      <c r="I3824" t="str">
        <f t="shared" si="402"/>
        <v>01014411001</v>
      </c>
      <c r="K3824" t="str">
        <f>""</f>
        <v/>
      </c>
      <c r="M3824" t="s">
        <v>68</v>
      </c>
      <c r="N3824" t="str">
        <f t="shared" si="403"/>
        <v>ALTFIN</v>
      </c>
      <c r="O3824" t="s">
        <v>123</v>
      </c>
      <c r="P3824" s="3" t="s">
        <v>86</v>
      </c>
      <c r="Q3824">
        <v>2016</v>
      </c>
      <c r="R3824" s="2">
        <v>42450</v>
      </c>
      <c r="S3824" s="2">
        <v>42450</v>
      </c>
      <c r="T3824" s="2">
        <v>42450</v>
      </c>
      <c r="U3824" s="2">
        <v>42510</v>
      </c>
      <c r="V3824" t="s">
        <v>71</v>
      </c>
      <c r="W3824" t="str">
        <f>"                0321"</f>
        <v xml:space="preserve">                0321</v>
      </c>
      <c r="X3824">
        <v>0</v>
      </c>
      <c r="Y3824" s="1">
        <v>1055</v>
      </c>
      <c r="Z3824"/>
      <c r="AB3824"/>
      <c r="AC3824" s="1">
        <v>1055</v>
      </c>
      <c r="AD3824">
        <v>-57</v>
      </c>
      <c r="AE3824" s="1">
        <v>-60135</v>
      </c>
      <c r="AF3824">
        <v>0</v>
      </c>
      <c r="AJ3824">
        <v>0</v>
      </c>
      <c r="AK3824">
        <v>0</v>
      </c>
      <c r="AL3824">
        <v>0</v>
      </c>
      <c r="AM3824" s="1">
        <v>1055</v>
      </c>
      <c r="AN3824" s="1">
        <v>1055</v>
      </c>
      <c r="AO3824" s="1">
        <v>1055</v>
      </c>
      <c r="AP3824" s="2">
        <v>42746</v>
      </c>
      <c r="AQ3824" t="s">
        <v>72</v>
      </c>
      <c r="AR3824" t="s">
        <v>72</v>
      </c>
      <c r="AS3824">
        <v>902</v>
      </c>
      <c r="AT3824" s="4">
        <v>42453</v>
      </c>
      <c r="AV3824">
        <v>902</v>
      </c>
      <c r="AW3824" s="4">
        <v>42453</v>
      </c>
      <c r="BD3824">
        <v>0</v>
      </c>
      <c r="BN3824" t="s">
        <v>74</v>
      </c>
    </row>
    <row r="3825" spans="1:66" hidden="1">
      <c r="A3825">
        <v>101343</v>
      </c>
      <c r="B3825" s="3" t="s">
        <v>415</v>
      </c>
      <c r="C3825" s="1">
        <v>43500101</v>
      </c>
      <c r="D3825" t="s">
        <v>113</v>
      </c>
      <c r="H3825" t="str">
        <f t="shared" si="402"/>
        <v>01014411001</v>
      </c>
      <c r="I3825" t="str">
        <f t="shared" si="402"/>
        <v>01014411001</v>
      </c>
      <c r="K3825" t="str">
        <f>""</f>
        <v/>
      </c>
      <c r="M3825" t="s">
        <v>68</v>
      </c>
      <c r="N3825" t="str">
        <f t="shared" si="403"/>
        <v>ALTFIN</v>
      </c>
      <c r="O3825" t="s">
        <v>123</v>
      </c>
      <c r="P3825" s="3" t="s">
        <v>87</v>
      </c>
      <c r="Q3825">
        <v>2016</v>
      </c>
      <c r="R3825" s="2">
        <v>42481</v>
      </c>
      <c r="S3825" s="2">
        <v>42481</v>
      </c>
      <c r="T3825" s="2">
        <v>42481</v>
      </c>
      <c r="U3825" s="2">
        <v>42541</v>
      </c>
      <c r="V3825" t="s">
        <v>71</v>
      </c>
      <c r="W3825" t="str">
        <f>"                0421"</f>
        <v xml:space="preserve">                0421</v>
      </c>
      <c r="X3825">
        <v>0</v>
      </c>
      <c r="Y3825" s="1">
        <v>1055</v>
      </c>
      <c r="Z3825"/>
      <c r="AB3825"/>
      <c r="AC3825" s="1">
        <v>1055</v>
      </c>
      <c r="AD3825">
        <v>-60</v>
      </c>
      <c r="AE3825" s="1">
        <v>-63300</v>
      </c>
      <c r="AF3825">
        <v>0</v>
      </c>
      <c r="AJ3825">
        <v>0</v>
      </c>
      <c r="AK3825">
        <v>0</v>
      </c>
      <c r="AL3825">
        <v>0</v>
      </c>
      <c r="AM3825" s="1">
        <v>1055</v>
      </c>
      <c r="AN3825" s="1">
        <v>1055</v>
      </c>
      <c r="AO3825" s="1">
        <v>1055</v>
      </c>
      <c r="AP3825" s="2">
        <v>42746</v>
      </c>
      <c r="AQ3825" t="s">
        <v>72</v>
      </c>
      <c r="AR3825" t="s">
        <v>72</v>
      </c>
      <c r="AS3825">
        <v>1068</v>
      </c>
      <c r="AT3825" s="4">
        <v>42481</v>
      </c>
      <c r="AV3825">
        <v>1068</v>
      </c>
      <c r="AW3825" s="4">
        <v>42481</v>
      </c>
      <c r="BD3825">
        <v>0</v>
      </c>
      <c r="BN3825" t="s">
        <v>74</v>
      </c>
    </row>
    <row r="3826" spans="1:66" hidden="1">
      <c r="A3826">
        <v>101343</v>
      </c>
      <c r="B3826" s="3" t="s">
        <v>415</v>
      </c>
      <c r="C3826" s="1">
        <v>43500101</v>
      </c>
      <c r="D3826" t="s">
        <v>113</v>
      </c>
      <c r="H3826" t="str">
        <f t="shared" si="402"/>
        <v>01014411001</v>
      </c>
      <c r="I3826" t="str">
        <f t="shared" si="402"/>
        <v>01014411001</v>
      </c>
      <c r="K3826" t="str">
        <f>""</f>
        <v/>
      </c>
      <c r="M3826" t="s">
        <v>68</v>
      </c>
      <c r="N3826" t="str">
        <f t="shared" si="403"/>
        <v>ALTFIN</v>
      </c>
      <c r="O3826" t="s">
        <v>123</v>
      </c>
      <c r="P3826" s="3" t="s">
        <v>88</v>
      </c>
      <c r="Q3826">
        <v>2016</v>
      </c>
      <c r="R3826" s="2">
        <v>42508</v>
      </c>
      <c r="S3826" s="2">
        <v>42510</v>
      </c>
      <c r="T3826" s="2">
        <v>42510</v>
      </c>
      <c r="U3826" s="2">
        <v>42570</v>
      </c>
      <c r="V3826" t="s">
        <v>71</v>
      </c>
      <c r="W3826" t="str">
        <f>"                0518"</f>
        <v xml:space="preserve">                0518</v>
      </c>
      <c r="X3826">
        <v>0</v>
      </c>
      <c r="Y3826" s="1">
        <v>1055</v>
      </c>
      <c r="Z3826"/>
      <c r="AB3826"/>
      <c r="AC3826" s="1">
        <v>1055</v>
      </c>
      <c r="AD3826">
        <v>-57</v>
      </c>
      <c r="AE3826" s="1">
        <v>-60135</v>
      </c>
      <c r="AF3826">
        <v>0</v>
      </c>
      <c r="AJ3826">
        <v>0</v>
      </c>
      <c r="AK3826">
        <v>0</v>
      </c>
      <c r="AL3826">
        <v>0</v>
      </c>
      <c r="AM3826" s="1">
        <v>1055</v>
      </c>
      <c r="AN3826" s="1">
        <v>1055</v>
      </c>
      <c r="AO3826" s="1">
        <v>1055</v>
      </c>
      <c r="AP3826" s="2">
        <v>42746</v>
      </c>
      <c r="AQ3826" t="s">
        <v>72</v>
      </c>
      <c r="AR3826" t="s">
        <v>72</v>
      </c>
      <c r="AS3826">
        <v>1306</v>
      </c>
      <c r="AT3826" s="4">
        <v>42513</v>
      </c>
      <c r="AV3826">
        <v>1306</v>
      </c>
      <c r="AW3826" s="4">
        <v>42513</v>
      </c>
      <c r="BD3826">
        <v>0</v>
      </c>
      <c r="BN3826" t="s">
        <v>74</v>
      </c>
    </row>
    <row r="3827" spans="1:66" hidden="1">
      <c r="A3827">
        <v>101343</v>
      </c>
      <c r="B3827" s="3" t="s">
        <v>415</v>
      </c>
      <c r="C3827" s="1">
        <v>43500101</v>
      </c>
      <c r="D3827" t="s">
        <v>113</v>
      </c>
      <c r="H3827" t="str">
        <f t="shared" si="402"/>
        <v>01014411001</v>
      </c>
      <c r="I3827" t="str">
        <f t="shared" si="402"/>
        <v>01014411001</v>
      </c>
      <c r="K3827" t="str">
        <f>""</f>
        <v/>
      </c>
      <c r="M3827" t="s">
        <v>68</v>
      </c>
      <c r="N3827" t="str">
        <f t="shared" si="403"/>
        <v>ALTFIN</v>
      </c>
      <c r="O3827" t="s">
        <v>123</v>
      </c>
      <c r="P3827" s="3" t="s">
        <v>89</v>
      </c>
      <c r="Q3827">
        <v>2016</v>
      </c>
      <c r="R3827" s="2">
        <v>42548</v>
      </c>
      <c r="S3827" s="2">
        <v>42543</v>
      </c>
      <c r="T3827" s="2">
        <v>42543</v>
      </c>
      <c r="U3827" s="2">
        <v>42603</v>
      </c>
      <c r="V3827" t="s">
        <v>71</v>
      </c>
      <c r="W3827" t="str">
        <f>"                0627"</f>
        <v xml:space="preserve">                0627</v>
      </c>
      <c r="X3827">
        <v>0</v>
      </c>
      <c r="Y3827" s="1">
        <v>1055</v>
      </c>
      <c r="Z3827"/>
      <c r="AB3827"/>
      <c r="AC3827" s="1">
        <v>1055</v>
      </c>
      <c r="AD3827">
        <v>-47</v>
      </c>
      <c r="AE3827" s="1">
        <v>-49585</v>
      </c>
      <c r="AF3827">
        <v>0</v>
      </c>
      <c r="AJ3827">
        <v>0</v>
      </c>
      <c r="AK3827">
        <v>0</v>
      </c>
      <c r="AL3827">
        <v>0</v>
      </c>
      <c r="AM3827" s="1">
        <v>1055</v>
      </c>
      <c r="AN3827" s="1">
        <v>1055</v>
      </c>
      <c r="AO3827" s="1">
        <v>1055</v>
      </c>
      <c r="AP3827" s="2">
        <v>42746</v>
      </c>
      <c r="AQ3827" t="s">
        <v>72</v>
      </c>
      <c r="AR3827" t="s">
        <v>72</v>
      </c>
      <c r="AS3827">
        <v>1689</v>
      </c>
      <c r="AT3827" s="4">
        <v>42556</v>
      </c>
      <c r="AV3827">
        <v>1689</v>
      </c>
      <c r="AW3827" s="4">
        <v>42556</v>
      </c>
      <c r="BD3827">
        <v>0</v>
      </c>
      <c r="BN3827" t="s">
        <v>74</v>
      </c>
    </row>
    <row r="3828" spans="1:66" hidden="1">
      <c r="A3828">
        <v>101343</v>
      </c>
      <c r="B3828" s="3" t="s">
        <v>415</v>
      </c>
      <c r="C3828" s="1">
        <v>43500101</v>
      </c>
      <c r="D3828" t="s">
        <v>113</v>
      </c>
      <c r="H3828" t="str">
        <f t="shared" si="402"/>
        <v>01014411001</v>
      </c>
      <c r="I3828" t="str">
        <f t="shared" si="402"/>
        <v>01014411001</v>
      </c>
      <c r="K3828" t="str">
        <f>""</f>
        <v/>
      </c>
      <c r="M3828" t="s">
        <v>68</v>
      </c>
      <c r="N3828" t="str">
        <f t="shared" si="403"/>
        <v>ALTFIN</v>
      </c>
      <c r="O3828" t="s">
        <v>123</v>
      </c>
      <c r="P3828" s="3" t="s">
        <v>90</v>
      </c>
      <c r="Q3828">
        <v>2016</v>
      </c>
      <c r="R3828" s="2">
        <v>42573</v>
      </c>
      <c r="S3828" s="2">
        <v>42573</v>
      </c>
      <c r="T3828" s="2">
        <v>42573</v>
      </c>
      <c r="U3828" s="2">
        <v>42633</v>
      </c>
      <c r="V3828" t="s">
        <v>71</v>
      </c>
      <c r="W3828" t="str">
        <f>"                0722"</f>
        <v xml:space="preserve">                0722</v>
      </c>
      <c r="X3828">
        <v>0</v>
      </c>
      <c r="Y3828" s="1">
        <v>1295</v>
      </c>
      <c r="Z3828"/>
      <c r="AB3828"/>
      <c r="AC3828" s="1">
        <v>1295</v>
      </c>
      <c r="AD3828">
        <v>-48</v>
      </c>
      <c r="AE3828" s="1">
        <v>-62160</v>
      </c>
      <c r="AF3828">
        <v>0</v>
      </c>
      <c r="AJ3828">
        <v>0</v>
      </c>
      <c r="AK3828">
        <v>0</v>
      </c>
      <c r="AL3828">
        <v>0</v>
      </c>
      <c r="AM3828" s="1">
        <v>1295</v>
      </c>
      <c r="AN3828" s="1">
        <v>1295</v>
      </c>
      <c r="AO3828" s="1">
        <v>1295</v>
      </c>
      <c r="AP3828" s="2">
        <v>42746</v>
      </c>
      <c r="AQ3828" t="s">
        <v>72</v>
      </c>
      <c r="AR3828" t="s">
        <v>72</v>
      </c>
      <c r="AS3828">
        <v>2089</v>
      </c>
      <c r="AT3828" s="4">
        <v>42585</v>
      </c>
      <c r="AV3828">
        <v>2089</v>
      </c>
      <c r="AW3828" s="4">
        <v>42585</v>
      </c>
      <c r="BD3828">
        <v>0</v>
      </c>
      <c r="BN3828" t="s">
        <v>74</v>
      </c>
    </row>
    <row r="3829" spans="1:66" hidden="1">
      <c r="A3829">
        <v>101343</v>
      </c>
      <c r="B3829" s="3" t="s">
        <v>415</v>
      </c>
      <c r="C3829" s="1">
        <v>43500101</v>
      </c>
      <c r="D3829" t="s">
        <v>113</v>
      </c>
      <c r="H3829" t="str">
        <f t="shared" si="402"/>
        <v>01014411001</v>
      </c>
      <c r="I3829" t="str">
        <f t="shared" si="402"/>
        <v>01014411001</v>
      </c>
      <c r="K3829" t="str">
        <f>""</f>
        <v/>
      </c>
      <c r="M3829" t="s">
        <v>68</v>
      </c>
      <c r="N3829" t="str">
        <f t="shared" si="403"/>
        <v>ALTFIN</v>
      </c>
      <c r="O3829" t="s">
        <v>123</v>
      </c>
      <c r="P3829" s="3" t="s">
        <v>91</v>
      </c>
      <c r="Q3829">
        <v>2016</v>
      </c>
      <c r="R3829" s="2">
        <v>42592</v>
      </c>
      <c r="S3829" s="2">
        <v>42598</v>
      </c>
      <c r="T3829" s="2">
        <v>42598</v>
      </c>
      <c r="U3829" s="2">
        <v>42658</v>
      </c>
      <c r="V3829" t="s">
        <v>71</v>
      </c>
      <c r="W3829" t="str">
        <f>"                0810"</f>
        <v xml:space="preserve">                0810</v>
      </c>
      <c r="X3829">
        <v>0</v>
      </c>
      <c r="Y3829" s="1">
        <v>1295</v>
      </c>
      <c r="Z3829"/>
      <c r="AB3829"/>
      <c r="AC3829" s="1">
        <v>1295</v>
      </c>
      <c r="AD3829">
        <v>-60</v>
      </c>
      <c r="AE3829" s="1">
        <v>-77700</v>
      </c>
      <c r="AF3829">
        <v>0</v>
      </c>
      <c r="AJ3829">
        <v>0</v>
      </c>
      <c r="AK3829">
        <v>0</v>
      </c>
      <c r="AL3829">
        <v>0</v>
      </c>
      <c r="AM3829" s="1">
        <v>1295</v>
      </c>
      <c r="AN3829" s="1">
        <v>1295</v>
      </c>
      <c r="AO3829" s="1">
        <v>1295</v>
      </c>
      <c r="AP3829" s="2">
        <v>42746</v>
      </c>
      <c r="AQ3829" t="s">
        <v>72</v>
      </c>
      <c r="AR3829" t="s">
        <v>72</v>
      </c>
      <c r="AS3829">
        <v>2171</v>
      </c>
      <c r="AT3829" s="4">
        <v>42598</v>
      </c>
      <c r="AV3829">
        <v>2171</v>
      </c>
      <c r="AW3829" s="4">
        <v>42598</v>
      </c>
      <c r="BD3829">
        <v>0</v>
      </c>
      <c r="BN3829" t="s">
        <v>74</v>
      </c>
    </row>
    <row r="3830" spans="1:66" hidden="1">
      <c r="A3830">
        <v>101343</v>
      </c>
      <c r="B3830" s="3" t="s">
        <v>415</v>
      </c>
      <c r="C3830" s="1">
        <v>43500101</v>
      </c>
      <c r="D3830" t="s">
        <v>113</v>
      </c>
      <c r="H3830" t="str">
        <f t="shared" si="402"/>
        <v>01014411001</v>
      </c>
      <c r="I3830" t="str">
        <f t="shared" si="402"/>
        <v>01014411001</v>
      </c>
      <c r="K3830" t="str">
        <f>""</f>
        <v/>
      </c>
      <c r="M3830" t="s">
        <v>68</v>
      </c>
      <c r="N3830" t="str">
        <f t="shared" si="403"/>
        <v>ALTFIN</v>
      </c>
      <c r="O3830" t="s">
        <v>123</v>
      </c>
      <c r="P3830" s="3" t="s">
        <v>92</v>
      </c>
      <c r="Q3830">
        <v>2016</v>
      </c>
      <c r="R3830" s="2">
        <v>42633</v>
      </c>
      <c r="S3830" s="2">
        <v>42634</v>
      </c>
      <c r="T3830" s="2">
        <v>42634</v>
      </c>
      <c r="U3830" s="2">
        <v>42694</v>
      </c>
      <c r="V3830" t="s">
        <v>71</v>
      </c>
      <c r="W3830" t="str">
        <f>"                0920"</f>
        <v xml:space="preserve">                0920</v>
      </c>
      <c r="X3830">
        <v>0</v>
      </c>
      <c r="Y3830" s="1">
        <v>1295</v>
      </c>
      <c r="Z3830"/>
      <c r="AB3830"/>
      <c r="AC3830" s="1">
        <v>1295</v>
      </c>
      <c r="AD3830">
        <v>-60</v>
      </c>
      <c r="AE3830" s="1">
        <v>-77700</v>
      </c>
      <c r="AF3830">
        <v>0</v>
      </c>
      <c r="AJ3830">
        <v>0</v>
      </c>
      <c r="AK3830">
        <v>0</v>
      </c>
      <c r="AL3830">
        <v>0</v>
      </c>
      <c r="AM3830" s="1">
        <v>1295</v>
      </c>
      <c r="AN3830" s="1">
        <v>1295</v>
      </c>
      <c r="AO3830" s="1">
        <v>1295</v>
      </c>
      <c r="AP3830" s="2">
        <v>42746</v>
      </c>
      <c r="AQ3830" t="s">
        <v>72</v>
      </c>
      <c r="AR3830" t="s">
        <v>72</v>
      </c>
      <c r="AS3830">
        <v>2444</v>
      </c>
      <c r="AT3830" s="4">
        <v>42634</v>
      </c>
      <c r="AV3830">
        <v>2444</v>
      </c>
      <c r="AW3830" s="4">
        <v>42634</v>
      </c>
      <c r="BD3830">
        <v>0</v>
      </c>
      <c r="BN3830" t="s">
        <v>74</v>
      </c>
    </row>
    <row r="3831" spans="1:66" hidden="1">
      <c r="A3831">
        <v>101343</v>
      </c>
      <c r="B3831" s="3" t="s">
        <v>415</v>
      </c>
      <c r="C3831" s="1">
        <v>43500101</v>
      </c>
      <c r="D3831" t="s">
        <v>113</v>
      </c>
      <c r="H3831" t="str">
        <f t="shared" si="402"/>
        <v>01014411001</v>
      </c>
      <c r="I3831" t="str">
        <f t="shared" si="402"/>
        <v>01014411001</v>
      </c>
      <c r="K3831" t="str">
        <f>""</f>
        <v/>
      </c>
      <c r="M3831" t="s">
        <v>68</v>
      </c>
      <c r="N3831" t="str">
        <f t="shared" si="403"/>
        <v>ALTFIN</v>
      </c>
      <c r="O3831" t="s">
        <v>123</v>
      </c>
      <c r="P3831" s="3" t="s">
        <v>93</v>
      </c>
      <c r="Q3831">
        <v>2016</v>
      </c>
      <c r="R3831" s="2">
        <v>42664</v>
      </c>
      <c r="S3831" s="2">
        <v>42667</v>
      </c>
      <c r="T3831" s="2">
        <v>42667</v>
      </c>
      <c r="U3831" s="2">
        <v>42727</v>
      </c>
      <c r="V3831" t="s">
        <v>71</v>
      </c>
      <c r="W3831" t="str">
        <f>"                1021"</f>
        <v xml:space="preserve">                1021</v>
      </c>
      <c r="X3831">
        <v>0</v>
      </c>
      <c r="Y3831" s="1">
        <v>1295</v>
      </c>
      <c r="Z3831" s="5">
        <v>1295</v>
      </c>
      <c r="AA3831">
        <v>-60</v>
      </c>
      <c r="AB3831" s="5">
        <v>-77700</v>
      </c>
      <c r="AC3831" s="1">
        <v>1295</v>
      </c>
      <c r="AD3831">
        <v>-60</v>
      </c>
      <c r="AE3831" s="1">
        <v>-77700</v>
      </c>
      <c r="AF3831">
        <v>0</v>
      </c>
      <c r="AJ3831" s="1">
        <v>1295</v>
      </c>
      <c r="AK3831" s="1">
        <v>1295</v>
      </c>
      <c r="AL3831" s="1">
        <v>1295</v>
      </c>
      <c r="AM3831" s="1">
        <v>1295</v>
      </c>
      <c r="AN3831" s="1">
        <v>1295</v>
      </c>
      <c r="AO3831" s="1">
        <v>1295</v>
      </c>
      <c r="AP3831" s="2">
        <v>42746</v>
      </c>
      <c r="AQ3831" t="s">
        <v>72</v>
      </c>
      <c r="AR3831" t="s">
        <v>72</v>
      </c>
      <c r="AS3831">
        <v>2791</v>
      </c>
      <c r="AT3831" s="4">
        <v>42667</v>
      </c>
      <c r="AV3831">
        <v>2791</v>
      </c>
      <c r="AW3831" s="4">
        <v>42667</v>
      </c>
      <c r="BD3831">
        <v>0</v>
      </c>
      <c r="BN3831" t="s">
        <v>74</v>
      </c>
    </row>
    <row r="3832" spans="1:66" hidden="1">
      <c r="A3832">
        <v>101343</v>
      </c>
      <c r="B3832" s="3" t="s">
        <v>415</v>
      </c>
      <c r="C3832" s="1">
        <v>43500101</v>
      </c>
      <c r="D3832" t="s">
        <v>113</v>
      </c>
      <c r="H3832" t="str">
        <f t="shared" si="402"/>
        <v>01014411001</v>
      </c>
      <c r="I3832" t="str">
        <f t="shared" si="402"/>
        <v>01014411001</v>
      </c>
      <c r="K3832" t="str">
        <f>""</f>
        <v/>
      </c>
      <c r="M3832" t="s">
        <v>68</v>
      </c>
      <c r="N3832" t="str">
        <f t="shared" si="403"/>
        <v>ALTFIN</v>
      </c>
      <c r="O3832" t="s">
        <v>123</v>
      </c>
      <c r="P3832" s="3" t="s">
        <v>94</v>
      </c>
      <c r="Q3832">
        <v>2016</v>
      </c>
      <c r="R3832" s="2">
        <v>42696</v>
      </c>
      <c r="S3832" s="2">
        <v>42696</v>
      </c>
      <c r="T3832" s="2">
        <v>42696</v>
      </c>
      <c r="U3832" s="2">
        <v>42756</v>
      </c>
      <c r="V3832" t="s">
        <v>71</v>
      </c>
      <c r="W3832" t="str">
        <f>"                1122"</f>
        <v xml:space="preserve">                1122</v>
      </c>
      <c r="X3832">
        <v>0</v>
      </c>
      <c r="Y3832" s="1">
        <v>1295</v>
      </c>
      <c r="Z3832" s="5">
        <v>1295</v>
      </c>
      <c r="AA3832">
        <v>-59</v>
      </c>
      <c r="AB3832" s="5">
        <v>-76405</v>
      </c>
      <c r="AC3832" s="1">
        <v>1295</v>
      </c>
      <c r="AD3832">
        <v>-59</v>
      </c>
      <c r="AE3832" s="1">
        <v>-76405</v>
      </c>
      <c r="AF3832">
        <v>0</v>
      </c>
      <c r="AJ3832" s="1">
        <v>1295</v>
      </c>
      <c r="AK3832" s="1">
        <v>1295</v>
      </c>
      <c r="AL3832" s="1">
        <v>1295</v>
      </c>
      <c r="AM3832" s="1">
        <v>1295</v>
      </c>
      <c r="AN3832" s="1">
        <v>1295</v>
      </c>
      <c r="AO3832" s="1">
        <v>1295</v>
      </c>
      <c r="AP3832" s="2">
        <v>42746</v>
      </c>
      <c r="AQ3832" t="s">
        <v>72</v>
      </c>
      <c r="AR3832" t="s">
        <v>72</v>
      </c>
      <c r="AS3832">
        <v>3229</v>
      </c>
      <c r="AT3832" s="4">
        <v>42697</v>
      </c>
      <c r="AV3832">
        <v>3229</v>
      </c>
      <c r="AW3832" s="4">
        <v>42697</v>
      </c>
      <c r="BD3832">
        <v>0</v>
      </c>
      <c r="BN3832" t="s">
        <v>74</v>
      </c>
    </row>
    <row r="3833" spans="1:66" hidden="1">
      <c r="A3833">
        <v>101343</v>
      </c>
      <c r="B3833" s="3" t="s">
        <v>415</v>
      </c>
      <c r="C3833" s="1">
        <v>43500101</v>
      </c>
      <c r="D3833" t="s">
        <v>113</v>
      </c>
      <c r="H3833" t="str">
        <f t="shared" si="402"/>
        <v>01014411001</v>
      </c>
      <c r="I3833" t="str">
        <f t="shared" si="402"/>
        <v>01014411001</v>
      </c>
      <c r="K3833" t="str">
        <f>""</f>
        <v/>
      </c>
      <c r="M3833" t="s">
        <v>68</v>
      </c>
      <c r="N3833" t="str">
        <f t="shared" si="403"/>
        <v>ALTFIN</v>
      </c>
      <c r="O3833" t="s">
        <v>123</v>
      </c>
      <c r="P3833" s="3" t="s">
        <v>95</v>
      </c>
      <c r="Q3833">
        <v>2016</v>
      </c>
      <c r="R3833" s="2">
        <v>42717</v>
      </c>
      <c r="S3833" s="2">
        <v>42717</v>
      </c>
      <c r="T3833" s="2">
        <v>42717</v>
      </c>
      <c r="U3833" s="2">
        <v>42777</v>
      </c>
      <c r="V3833" t="s">
        <v>71</v>
      </c>
      <c r="W3833" t="str">
        <f>"                1213"</f>
        <v xml:space="preserve">                1213</v>
      </c>
      <c r="X3833">
        <v>0</v>
      </c>
      <c r="Y3833" s="1">
        <v>1520</v>
      </c>
      <c r="Z3833" s="5">
        <v>1520</v>
      </c>
      <c r="AA3833">
        <v>-59</v>
      </c>
      <c r="AB3833" s="5">
        <v>-89680</v>
      </c>
      <c r="AC3833" s="1">
        <v>1520</v>
      </c>
      <c r="AD3833">
        <v>-59</v>
      </c>
      <c r="AE3833" s="1">
        <v>-89680</v>
      </c>
      <c r="AF3833">
        <v>0</v>
      </c>
      <c r="AJ3833" s="1">
        <v>1520</v>
      </c>
      <c r="AK3833" s="1">
        <v>1520</v>
      </c>
      <c r="AL3833" s="1">
        <v>1520</v>
      </c>
      <c r="AM3833" s="1">
        <v>1520</v>
      </c>
      <c r="AN3833" s="1">
        <v>1520</v>
      </c>
      <c r="AO3833" s="1">
        <v>1520</v>
      </c>
      <c r="AP3833" s="2">
        <v>42746</v>
      </c>
      <c r="AQ3833" t="s">
        <v>72</v>
      </c>
      <c r="AR3833" t="s">
        <v>72</v>
      </c>
      <c r="AS3833">
        <v>3388</v>
      </c>
      <c r="AT3833" s="4">
        <v>42718</v>
      </c>
      <c r="AV3833">
        <v>3388</v>
      </c>
      <c r="AW3833" s="4">
        <v>42718</v>
      </c>
      <c r="BD3833">
        <v>0</v>
      </c>
      <c r="BN3833" t="s">
        <v>74</v>
      </c>
    </row>
    <row r="3834" spans="1:66" hidden="1">
      <c r="A3834">
        <v>101352</v>
      </c>
      <c r="B3834" s="3" t="s">
        <v>416</v>
      </c>
      <c r="C3834" s="1">
        <v>43300101</v>
      </c>
      <c r="D3834" t="s">
        <v>67</v>
      </c>
      <c r="H3834" t="str">
        <f>""</f>
        <v/>
      </c>
      <c r="I3834" t="str">
        <f>""</f>
        <v/>
      </c>
      <c r="J3834" t="s">
        <v>417</v>
      </c>
      <c r="K3834" t="str">
        <f t="shared" ref="K3834:K3839" si="404">"80453760332"</f>
        <v>80453760332</v>
      </c>
      <c r="M3834" t="s">
        <v>68</v>
      </c>
      <c r="N3834" t="str">
        <f t="shared" ref="N3834:N3839" si="405">"FOR"</f>
        <v>FOR</v>
      </c>
      <c r="O3834" t="s">
        <v>69</v>
      </c>
      <c r="P3834" s="3" t="s">
        <v>418</v>
      </c>
      <c r="Q3834">
        <v>2016</v>
      </c>
      <c r="R3834" s="2">
        <v>42381</v>
      </c>
      <c r="S3834" s="2">
        <v>42402</v>
      </c>
      <c r="T3834" s="2">
        <v>42402</v>
      </c>
      <c r="U3834" s="2">
        <v>42462</v>
      </c>
      <c r="V3834" t="s">
        <v>71</v>
      </c>
      <c r="W3834" t="str">
        <f>"             2016/17"</f>
        <v xml:space="preserve">             2016/17</v>
      </c>
      <c r="X3834" s="1">
        <v>6000</v>
      </c>
      <c r="Y3834">
        <v>0</v>
      </c>
      <c r="Z3834"/>
      <c r="AB3834"/>
      <c r="AC3834" s="1">
        <v>6000</v>
      </c>
      <c r="AD3834">
        <v>-60</v>
      </c>
      <c r="AE3834" s="1">
        <v>-360000</v>
      </c>
      <c r="AF3834">
        <v>0</v>
      </c>
      <c r="AJ3834">
        <v>0</v>
      </c>
      <c r="AK3834">
        <v>0</v>
      </c>
      <c r="AL3834">
        <v>0</v>
      </c>
      <c r="AM3834">
        <v>0</v>
      </c>
      <c r="AN3834" s="1">
        <v>6000</v>
      </c>
      <c r="AO3834" s="1">
        <v>6000</v>
      </c>
      <c r="AP3834" s="2">
        <v>42746</v>
      </c>
      <c r="AQ3834" t="s">
        <v>72</v>
      </c>
      <c r="AR3834" t="s">
        <v>72</v>
      </c>
      <c r="AS3834">
        <v>196</v>
      </c>
      <c r="AT3834" s="4">
        <v>42402</v>
      </c>
      <c r="AV3834">
        <v>196</v>
      </c>
      <c r="AW3834" s="4">
        <v>42402</v>
      </c>
      <c r="BD3834">
        <v>0</v>
      </c>
      <c r="BN3834" t="s">
        <v>74</v>
      </c>
    </row>
    <row r="3835" spans="1:66" hidden="1">
      <c r="A3835">
        <v>101352</v>
      </c>
      <c r="B3835" s="3" t="s">
        <v>416</v>
      </c>
      <c r="C3835" s="1">
        <v>43300101</v>
      </c>
      <c r="D3835" t="s">
        <v>67</v>
      </c>
      <c r="H3835" t="str">
        <f>""</f>
        <v/>
      </c>
      <c r="I3835" t="str">
        <f>""</f>
        <v/>
      </c>
      <c r="J3835" t="s">
        <v>417</v>
      </c>
      <c r="K3835" t="str">
        <f t="shared" si="404"/>
        <v>80453760332</v>
      </c>
      <c r="M3835" t="s">
        <v>68</v>
      </c>
      <c r="N3835" t="str">
        <f t="shared" si="405"/>
        <v>FOR</v>
      </c>
      <c r="O3835" t="s">
        <v>69</v>
      </c>
      <c r="P3835" s="3" t="s">
        <v>418</v>
      </c>
      <c r="Q3835">
        <v>2016</v>
      </c>
      <c r="R3835" s="2">
        <v>42433</v>
      </c>
      <c r="S3835" s="2">
        <v>42460</v>
      </c>
      <c r="T3835" s="2">
        <v>42460</v>
      </c>
      <c r="U3835" s="2">
        <v>42520</v>
      </c>
      <c r="V3835" t="s">
        <v>71</v>
      </c>
      <c r="W3835" t="str">
        <f>"            2016/120"</f>
        <v xml:space="preserve">            2016/120</v>
      </c>
      <c r="X3835" s="1">
        <v>9000</v>
      </c>
      <c r="Y3835">
        <v>0</v>
      </c>
      <c r="Z3835"/>
      <c r="AB3835"/>
      <c r="AC3835" s="1">
        <v>9000</v>
      </c>
      <c r="AD3835">
        <v>-56</v>
      </c>
      <c r="AE3835" s="1">
        <v>-504000</v>
      </c>
      <c r="AF3835">
        <v>0</v>
      </c>
      <c r="AJ3835">
        <v>0</v>
      </c>
      <c r="AK3835">
        <v>0</v>
      </c>
      <c r="AL3835">
        <v>0</v>
      </c>
      <c r="AM3835" s="1">
        <v>9000</v>
      </c>
      <c r="AN3835" s="1">
        <v>9000</v>
      </c>
      <c r="AO3835" s="1">
        <v>9000</v>
      </c>
      <c r="AP3835" s="2">
        <v>42746</v>
      </c>
      <c r="AQ3835" t="s">
        <v>72</v>
      </c>
      <c r="AR3835" t="s">
        <v>72</v>
      </c>
      <c r="AS3835">
        <v>980</v>
      </c>
      <c r="AT3835" s="4">
        <v>42464</v>
      </c>
      <c r="AV3835">
        <v>980</v>
      </c>
      <c r="AW3835" s="4">
        <v>42464</v>
      </c>
      <c r="BD3835">
        <v>0</v>
      </c>
      <c r="BN3835" t="s">
        <v>74</v>
      </c>
    </row>
    <row r="3836" spans="1:66" hidden="1">
      <c r="A3836">
        <v>101352</v>
      </c>
      <c r="B3836" s="3" t="s">
        <v>416</v>
      </c>
      <c r="C3836" s="1">
        <v>43300101</v>
      </c>
      <c r="D3836" t="s">
        <v>67</v>
      </c>
      <c r="H3836" t="str">
        <f>""</f>
        <v/>
      </c>
      <c r="I3836" t="str">
        <f>""</f>
        <v/>
      </c>
      <c r="J3836" t="s">
        <v>417</v>
      </c>
      <c r="K3836" t="str">
        <f t="shared" si="404"/>
        <v>80453760332</v>
      </c>
      <c r="M3836" t="s">
        <v>68</v>
      </c>
      <c r="N3836" t="str">
        <f t="shared" si="405"/>
        <v>FOR</v>
      </c>
      <c r="O3836" t="s">
        <v>69</v>
      </c>
      <c r="P3836" s="3" t="s">
        <v>418</v>
      </c>
      <c r="Q3836">
        <v>2016</v>
      </c>
      <c r="R3836" s="2">
        <v>42489</v>
      </c>
      <c r="S3836" s="2">
        <v>42541</v>
      </c>
      <c r="T3836" s="2">
        <v>42541</v>
      </c>
      <c r="U3836" s="2">
        <v>42601</v>
      </c>
      <c r="V3836" t="s">
        <v>71</v>
      </c>
      <c r="W3836" t="str">
        <f>"            2016/222"</f>
        <v xml:space="preserve">            2016/222</v>
      </c>
      <c r="X3836" s="1">
        <v>6000</v>
      </c>
      <c r="Y3836">
        <v>0</v>
      </c>
      <c r="Z3836"/>
      <c r="AB3836"/>
      <c r="AC3836" s="1">
        <v>6000</v>
      </c>
      <c r="AD3836">
        <v>-49</v>
      </c>
      <c r="AE3836" s="1">
        <v>-294000</v>
      </c>
      <c r="AF3836">
        <v>0</v>
      </c>
      <c r="AJ3836">
        <v>0</v>
      </c>
      <c r="AK3836">
        <v>0</v>
      </c>
      <c r="AL3836">
        <v>0</v>
      </c>
      <c r="AM3836" s="1">
        <v>6000</v>
      </c>
      <c r="AN3836" s="1">
        <v>6000</v>
      </c>
      <c r="AO3836" s="1">
        <v>6000</v>
      </c>
      <c r="AP3836" s="2">
        <v>42746</v>
      </c>
      <c r="AQ3836" t="s">
        <v>72</v>
      </c>
      <c r="AR3836" t="s">
        <v>72</v>
      </c>
      <c r="AS3836">
        <v>1659</v>
      </c>
      <c r="AT3836" s="4">
        <v>42552</v>
      </c>
      <c r="AV3836">
        <v>1659</v>
      </c>
      <c r="AW3836" s="4">
        <v>42552</v>
      </c>
      <c r="BD3836">
        <v>0</v>
      </c>
      <c r="BN3836" t="s">
        <v>74</v>
      </c>
    </row>
    <row r="3837" spans="1:66">
      <c r="A3837">
        <v>101352</v>
      </c>
      <c r="B3837" s="3" t="s">
        <v>416</v>
      </c>
      <c r="C3837" s="1">
        <v>43300101</v>
      </c>
      <c r="D3837" t="s">
        <v>67</v>
      </c>
      <c r="H3837" t="str">
        <f>""</f>
        <v/>
      </c>
      <c r="I3837" t="str">
        <f>""</f>
        <v/>
      </c>
      <c r="J3837" t="s">
        <v>417</v>
      </c>
      <c r="K3837" t="str">
        <f t="shared" si="404"/>
        <v>80453760332</v>
      </c>
      <c r="M3837" t="s">
        <v>68</v>
      </c>
      <c r="N3837" t="str">
        <f t="shared" si="405"/>
        <v>FOR</v>
      </c>
      <c r="O3837" t="s">
        <v>69</v>
      </c>
      <c r="P3837" s="3" t="s">
        <v>418</v>
      </c>
      <c r="Q3837">
        <v>2016</v>
      </c>
      <c r="R3837" s="2">
        <v>42689</v>
      </c>
      <c r="S3837" s="2">
        <v>42705</v>
      </c>
      <c r="T3837" s="2">
        <v>42705</v>
      </c>
      <c r="U3837" s="2">
        <v>42765</v>
      </c>
      <c r="V3837" t="s">
        <v>71</v>
      </c>
      <c r="W3837" t="str">
        <f>"            2016/485"</f>
        <v xml:space="preserve">            2016/485</v>
      </c>
      <c r="X3837" s="1">
        <v>6000</v>
      </c>
      <c r="Y3837">
        <v>0</v>
      </c>
      <c r="Z3837" s="5">
        <v>6000</v>
      </c>
      <c r="AA3837">
        <v>-56</v>
      </c>
      <c r="AB3837" s="5">
        <v>-336000</v>
      </c>
      <c r="AC3837" s="1">
        <v>6000</v>
      </c>
      <c r="AD3837">
        <v>-56</v>
      </c>
      <c r="AE3837" s="1">
        <v>-336000</v>
      </c>
      <c r="AF3837">
        <v>0</v>
      </c>
      <c r="AJ3837" s="1">
        <v>6000</v>
      </c>
      <c r="AK3837" s="1">
        <v>6000</v>
      </c>
      <c r="AL3837" s="1">
        <v>6000</v>
      </c>
      <c r="AM3837" s="1">
        <v>6000</v>
      </c>
      <c r="AN3837" s="1">
        <v>6000</v>
      </c>
      <c r="AO3837" s="1">
        <v>6000</v>
      </c>
      <c r="AP3837" s="2">
        <v>42746</v>
      </c>
      <c r="AQ3837" t="s">
        <v>72</v>
      </c>
      <c r="AR3837" t="s">
        <v>72</v>
      </c>
      <c r="AS3837">
        <v>3319</v>
      </c>
      <c r="AT3837" s="4">
        <v>42709</v>
      </c>
      <c r="AV3837">
        <v>3319</v>
      </c>
      <c r="AW3837" s="4">
        <v>42709</v>
      </c>
      <c r="BD3837">
        <v>0</v>
      </c>
      <c r="BN3837" t="s">
        <v>74</v>
      </c>
    </row>
    <row r="3838" spans="1:66">
      <c r="A3838">
        <v>101352</v>
      </c>
      <c r="B3838" s="3" t="s">
        <v>416</v>
      </c>
      <c r="C3838" s="1">
        <v>43300101</v>
      </c>
      <c r="D3838" t="s">
        <v>67</v>
      </c>
      <c r="H3838" t="str">
        <f>""</f>
        <v/>
      </c>
      <c r="I3838" t="str">
        <f>""</f>
        <v/>
      </c>
      <c r="J3838" t="s">
        <v>417</v>
      </c>
      <c r="K3838" t="str">
        <f t="shared" si="404"/>
        <v>80453760332</v>
      </c>
      <c r="M3838" t="s">
        <v>68</v>
      </c>
      <c r="N3838" t="str">
        <f t="shared" si="405"/>
        <v>FOR</v>
      </c>
      <c r="O3838" t="s">
        <v>69</v>
      </c>
      <c r="P3838" s="3" t="s">
        <v>418</v>
      </c>
      <c r="Q3838">
        <v>2016</v>
      </c>
      <c r="R3838" s="2">
        <v>42689</v>
      </c>
      <c r="S3838" s="2">
        <v>42705</v>
      </c>
      <c r="T3838" s="2">
        <v>42705</v>
      </c>
      <c r="U3838" s="2">
        <v>42765</v>
      </c>
      <c r="V3838" t="s">
        <v>71</v>
      </c>
      <c r="W3838" t="str">
        <f>"            2016/486"</f>
        <v xml:space="preserve">            2016/486</v>
      </c>
      <c r="X3838" s="1">
        <v>6000</v>
      </c>
      <c r="Y3838">
        <v>0</v>
      </c>
      <c r="Z3838" s="5">
        <v>6000</v>
      </c>
      <c r="AA3838">
        <v>-56</v>
      </c>
      <c r="AB3838" s="5">
        <v>-336000</v>
      </c>
      <c r="AC3838" s="1">
        <v>6000</v>
      </c>
      <c r="AD3838">
        <v>-56</v>
      </c>
      <c r="AE3838" s="1">
        <v>-336000</v>
      </c>
      <c r="AF3838">
        <v>0</v>
      </c>
      <c r="AJ3838" s="1">
        <v>6000</v>
      </c>
      <c r="AK3838" s="1">
        <v>6000</v>
      </c>
      <c r="AL3838" s="1">
        <v>6000</v>
      </c>
      <c r="AM3838" s="1">
        <v>6000</v>
      </c>
      <c r="AN3838" s="1">
        <v>6000</v>
      </c>
      <c r="AO3838" s="1">
        <v>6000</v>
      </c>
      <c r="AP3838" s="2">
        <v>42746</v>
      </c>
      <c r="AQ3838" t="s">
        <v>72</v>
      </c>
      <c r="AR3838" t="s">
        <v>72</v>
      </c>
      <c r="AS3838">
        <v>3319</v>
      </c>
      <c r="AT3838" s="4">
        <v>42709</v>
      </c>
      <c r="AV3838">
        <v>3319</v>
      </c>
      <c r="AW3838" s="4">
        <v>42709</v>
      </c>
      <c r="BD3838">
        <v>0</v>
      </c>
      <c r="BN3838" t="s">
        <v>74</v>
      </c>
    </row>
    <row r="3839" spans="1:66">
      <c r="A3839">
        <v>101352</v>
      </c>
      <c r="B3839" s="3" t="s">
        <v>416</v>
      </c>
      <c r="C3839" s="1">
        <v>43300101</v>
      </c>
      <c r="D3839" t="s">
        <v>67</v>
      </c>
      <c r="H3839" t="str">
        <f>""</f>
        <v/>
      </c>
      <c r="I3839" t="str">
        <f>""</f>
        <v/>
      </c>
      <c r="J3839" t="s">
        <v>417</v>
      </c>
      <c r="K3839" t="str">
        <f t="shared" si="404"/>
        <v>80453760332</v>
      </c>
      <c r="M3839" t="s">
        <v>68</v>
      </c>
      <c r="N3839" t="str">
        <f t="shared" si="405"/>
        <v>FOR</v>
      </c>
      <c r="O3839" t="s">
        <v>69</v>
      </c>
      <c r="P3839" s="3" t="s">
        <v>418</v>
      </c>
      <c r="Q3839">
        <v>2016</v>
      </c>
      <c r="R3839" s="2">
        <v>42689</v>
      </c>
      <c r="S3839" s="2">
        <v>42717</v>
      </c>
      <c r="T3839" s="2">
        <v>42717</v>
      </c>
      <c r="U3839" s="2">
        <v>42777</v>
      </c>
      <c r="V3839" t="s">
        <v>71</v>
      </c>
      <c r="W3839" t="str">
        <f>"            2016/487"</f>
        <v xml:space="preserve">            2016/487</v>
      </c>
      <c r="X3839" s="1">
        <v>6000</v>
      </c>
      <c r="Y3839">
        <v>0</v>
      </c>
      <c r="Z3839" s="5">
        <v>6000</v>
      </c>
      <c r="AA3839">
        <v>-59</v>
      </c>
      <c r="AB3839" s="5">
        <v>-354000</v>
      </c>
      <c r="AC3839" s="1">
        <v>6000</v>
      </c>
      <c r="AD3839">
        <v>-59</v>
      </c>
      <c r="AE3839" s="1">
        <v>-354000</v>
      </c>
      <c r="AF3839">
        <v>0</v>
      </c>
      <c r="AJ3839" s="1">
        <v>6000</v>
      </c>
      <c r="AK3839" s="1">
        <v>6000</v>
      </c>
      <c r="AL3839" s="1">
        <v>6000</v>
      </c>
      <c r="AM3839" s="1">
        <v>6000</v>
      </c>
      <c r="AN3839" s="1">
        <v>6000</v>
      </c>
      <c r="AO3839" s="1">
        <v>6000</v>
      </c>
      <c r="AP3839" s="2">
        <v>42746</v>
      </c>
      <c r="AQ3839" t="s">
        <v>72</v>
      </c>
      <c r="AR3839" t="s">
        <v>72</v>
      </c>
      <c r="AS3839">
        <v>3446</v>
      </c>
      <c r="AT3839" s="4">
        <v>42718</v>
      </c>
      <c r="AV3839">
        <v>3446</v>
      </c>
      <c r="AW3839" s="4">
        <v>42718</v>
      </c>
      <c r="BD3839">
        <v>0</v>
      </c>
      <c r="BN3839" t="s">
        <v>74</v>
      </c>
    </row>
    <row r="3840" spans="1:66" hidden="1">
      <c r="A3840">
        <v>101353</v>
      </c>
      <c r="B3840" s="3" t="s">
        <v>419</v>
      </c>
      <c r="C3840" s="1">
        <v>43500101</v>
      </c>
      <c r="D3840" t="s">
        <v>113</v>
      </c>
      <c r="H3840" t="str">
        <f>"CPBSFN77D27A783Q"</f>
        <v>CPBSFN77D27A783Q</v>
      </c>
      <c r="I3840" t="str">
        <f>"01491140628"</f>
        <v>01491140628</v>
      </c>
      <c r="K3840" t="str">
        <f>""</f>
        <v/>
      </c>
      <c r="M3840" t="s">
        <v>68</v>
      </c>
      <c r="N3840" t="str">
        <f>"ALTPRO"</f>
        <v>ALTPRO</v>
      </c>
      <c r="O3840" t="s">
        <v>132</v>
      </c>
      <c r="P3840" s="3" t="s">
        <v>146</v>
      </c>
      <c r="Q3840">
        <v>2016</v>
      </c>
      <c r="R3840" s="2">
        <v>42381</v>
      </c>
      <c r="S3840" s="2">
        <v>42382</v>
      </c>
      <c r="T3840" s="2">
        <v>42381</v>
      </c>
      <c r="U3840" s="2">
        <v>42441</v>
      </c>
      <c r="V3840" t="s">
        <v>71</v>
      </c>
      <c r="W3840" t="str">
        <f>"                  1E"</f>
        <v xml:space="preserve">                  1E</v>
      </c>
      <c r="X3840" s="1">
        <v>1703.04</v>
      </c>
      <c r="Y3840">
        <v>-340.21</v>
      </c>
      <c r="Z3840"/>
      <c r="AB3840"/>
      <c r="AC3840" s="1">
        <v>1362.83</v>
      </c>
      <c r="AD3840">
        <v>-44</v>
      </c>
      <c r="AE3840" s="1">
        <v>-59964.52</v>
      </c>
      <c r="AF3840">
        <v>0</v>
      </c>
      <c r="AJ3840">
        <v>0</v>
      </c>
      <c r="AK3840">
        <v>0</v>
      </c>
      <c r="AL3840">
        <v>0</v>
      </c>
      <c r="AM3840">
        <v>-340.21</v>
      </c>
      <c r="AN3840" s="1">
        <v>1362.83</v>
      </c>
      <c r="AO3840" s="1">
        <v>1362.83</v>
      </c>
      <c r="AP3840" s="2">
        <v>42746</v>
      </c>
      <c r="AQ3840" t="s">
        <v>72</v>
      </c>
      <c r="AR3840" t="s">
        <v>72</v>
      </c>
      <c r="AS3840">
        <v>131</v>
      </c>
      <c r="AT3840" s="4">
        <v>42397</v>
      </c>
      <c r="AV3840">
        <v>131</v>
      </c>
      <c r="AW3840" s="4">
        <v>42397</v>
      </c>
      <c r="BD3840">
        <v>0</v>
      </c>
      <c r="BN3840" t="s">
        <v>74</v>
      </c>
    </row>
    <row r="3841" spans="1:66" hidden="1">
      <c r="A3841">
        <v>101356</v>
      </c>
      <c r="B3841" s="3" t="s">
        <v>420</v>
      </c>
      <c r="C3841" s="1">
        <v>43300101</v>
      </c>
      <c r="D3841" t="s">
        <v>67</v>
      </c>
      <c r="H3841" t="str">
        <f t="shared" ref="H3841:H3857" si="406">"PNILRA46P47I441K"</f>
        <v>PNILRA46P47I441K</v>
      </c>
      <c r="I3841" t="str">
        <f t="shared" ref="I3841:I3857" si="407">"00567650122"</f>
        <v>00567650122</v>
      </c>
      <c r="K3841" t="str">
        <f>""</f>
        <v/>
      </c>
      <c r="M3841" t="s">
        <v>68</v>
      </c>
      <c r="N3841" t="str">
        <f t="shared" ref="N3841:N3867" si="408">"FOR"</f>
        <v>FOR</v>
      </c>
      <c r="O3841" t="s">
        <v>69</v>
      </c>
      <c r="P3841" s="3" t="s">
        <v>75</v>
      </c>
      <c r="Q3841">
        <v>2015</v>
      </c>
      <c r="R3841" s="2">
        <v>42118</v>
      </c>
      <c r="S3841" s="2">
        <v>42124</v>
      </c>
      <c r="T3841" s="2">
        <v>42123</v>
      </c>
      <c r="U3841" s="2">
        <v>42183</v>
      </c>
      <c r="V3841" t="s">
        <v>71</v>
      </c>
      <c r="W3841" t="str">
        <f>"             105/E15"</f>
        <v xml:space="preserve">             105/E15</v>
      </c>
      <c r="X3841">
        <v>322.2</v>
      </c>
      <c r="Y3841">
        <v>0</v>
      </c>
      <c r="Z3841"/>
      <c r="AB3841"/>
      <c r="AC3841">
        <v>264.10000000000002</v>
      </c>
      <c r="AD3841">
        <v>233</v>
      </c>
      <c r="AE3841" s="1">
        <v>61535.3</v>
      </c>
      <c r="AF3841">
        <v>0</v>
      </c>
      <c r="AJ3841">
        <v>0</v>
      </c>
      <c r="AK3841">
        <v>0</v>
      </c>
      <c r="AL3841">
        <v>0</v>
      </c>
      <c r="AM3841">
        <v>0</v>
      </c>
      <c r="AN3841">
        <v>0</v>
      </c>
      <c r="AO3841">
        <v>0</v>
      </c>
      <c r="AP3841" s="2">
        <v>42746</v>
      </c>
      <c r="AQ3841" t="s">
        <v>72</v>
      </c>
      <c r="AR3841" t="s">
        <v>72</v>
      </c>
      <c r="AS3841">
        <v>433</v>
      </c>
      <c r="AT3841" s="4">
        <v>42416</v>
      </c>
      <c r="AU3841" t="s">
        <v>73</v>
      </c>
      <c r="AV3841">
        <v>433</v>
      </c>
      <c r="AW3841" s="4">
        <v>42416</v>
      </c>
      <c r="BD3841">
        <v>0</v>
      </c>
      <c r="BN3841" t="s">
        <v>74</v>
      </c>
    </row>
    <row r="3842" spans="1:66" hidden="1">
      <c r="A3842">
        <v>101356</v>
      </c>
      <c r="B3842" s="3" t="s">
        <v>420</v>
      </c>
      <c r="C3842" s="1">
        <v>43300101</v>
      </c>
      <c r="D3842" t="s">
        <v>67</v>
      </c>
      <c r="H3842" t="str">
        <f t="shared" si="406"/>
        <v>PNILRA46P47I441K</v>
      </c>
      <c r="I3842" t="str">
        <f t="shared" si="407"/>
        <v>00567650122</v>
      </c>
      <c r="K3842" t="str">
        <f>""</f>
        <v/>
      </c>
      <c r="M3842" t="s">
        <v>68</v>
      </c>
      <c r="N3842" t="str">
        <f t="shared" si="408"/>
        <v>FOR</v>
      </c>
      <c r="O3842" t="s">
        <v>69</v>
      </c>
      <c r="P3842" s="3" t="s">
        <v>75</v>
      </c>
      <c r="Q3842">
        <v>2015</v>
      </c>
      <c r="R3842" s="2">
        <v>42118</v>
      </c>
      <c r="S3842" s="2">
        <v>42124</v>
      </c>
      <c r="T3842" s="2">
        <v>42123</v>
      </c>
      <c r="U3842" s="2">
        <v>42183</v>
      </c>
      <c r="V3842" t="s">
        <v>71</v>
      </c>
      <c r="W3842" t="str">
        <f>"             106/E15"</f>
        <v xml:space="preserve">             106/E15</v>
      </c>
      <c r="X3842">
        <v>142.44</v>
      </c>
      <c r="Y3842">
        <v>0</v>
      </c>
      <c r="Z3842"/>
      <c r="AB3842"/>
      <c r="AC3842">
        <v>116.75</v>
      </c>
      <c r="AD3842">
        <v>233</v>
      </c>
      <c r="AE3842" s="1">
        <v>27202.75</v>
      </c>
      <c r="AF3842">
        <v>0</v>
      </c>
      <c r="AJ3842">
        <v>0</v>
      </c>
      <c r="AK3842">
        <v>0</v>
      </c>
      <c r="AL3842">
        <v>0</v>
      </c>
      <c r="AM3842">
        <v>0</v>
      </c>
      <c r="AN3842">
        <v>0</v>
      </c>
      <c r="AO3842">
        <v>0</v>
      </c>
      <c r="AP3842" s="2">
        <v>42746</v>
      </c>
      <c r="AQ3842" t="s">
        <v>72</v>
      </c>
      <c r="AR3842" t="s">
        <v>72</v>
      </c>
      <c r="AS3842">
        <v>433</v>
      </c>
      <c r="AT3842" s="4">
        <v>42416</v>
      </c>
      <c r="AU3842" t="s">
        <v>73</v>
      </c>
      <c r="AV3842">
        <v>433</v>
      </c>
      <c r="AW3842" s="4">
        <v>42416</v>
      </c>
      <c r="BD3842">
        <v>0</v>
      </c>
      <c r="BN3842" t="s">
        <v>74</v>
      </c>
    </row>
    <row r="3843" spans="1:66" hidden="1">
      <c r="A3843">
        <v>101356</v>
      </c>
      <c r="B3843" s="3" t="s">
        <v>420</v>
      </c>
      <c r="C3843" s="1">
        <v>43300101</v>
      </c>
      <c r="D3843" t="s">
        <v>67</v>
      </c>
      <c r="H3843" t="str">
        <f t="shared" si="406"/>
        <v>PNILRA46P47I441K</v>
      </c>
      <c r="I3843" t="str">
        <f t="shared" si="407"/>
        <v>00567650122</v>
      </c>
      <c r="K3843" t="str">
        <f>""</f>
        <v/>
      </c>
      <c r="M3843" t="s">
        <v>68</v>
      </c>
      <c r="N3843" t="str">
        <f t="shared" si="408"/>
        <v>FOR</v>
      </c>
      <c r="O3843" t="s">
        <v>69</v>
      </c>
      <c r="P3843" s="3" t="s">
        <v>75</v>
      </c>
      <c r="Q3843">
        <v>2015</v>
      </c>
      <c r="R3843" s="2">
        <v>42124</v>
      </c>
      <c r="S3843" s="2">
        <v>42135</v>
      </c>
      <c r="T3843" s="2">
        <v>42133</v>
      </c>
      <c r="U3843" s="2">
        <v>42193</v>
      </c>
      <c r="V3843" t="s">
        <v>71</v>
      </c>
      <c r="W3843" t="str">
        <f>"             178/E15"</f>
        <v xml:space="preserve">             178/E15</v>
      </c>
      <c r="X3843">
        <v>307.14</v>
      </c>
      <c r="Y3843">
        <v>0</v>
      </c>
      <c r="Z3843"/>
      <c r="AB3843"/>
      <c r="AC3843">
        <v>251.75</v>
      </c>
      <c r="AD3843">
        <v>223</v>
      </c>
      <c r="AE3843" s="1">
        <v>56140.25</v>
      </c>
      <c r="AF3843">
        <v>0</v>
      </c>
      <c r="AJ3843">
        <v>0</v>
      </c>
      <c r="AK3843">
        <v>0</v>
      </c>
      <c r="AL3843">
        <v>0</v>
      </c>
      <c r="AM3843">
        <v>0</v>
      </c>
      <c r="AN3843">
        <v>0</v>
      </c>
      <c r="AO3843">
        <v>0</v>
      </c>
      <c r="AP3843" s="2">
        <v>42746</v>
      </c>
      <c r="AQ3843" t="s">
        <v>72</v>
      </c>
      <c r="AR3843" t="s">
        <v>72</v>
      </c>
      <c r="AS3843">
        <v>433</v>
      </c>
      <c r="AT3843" s="4">
        <v>42416</v>
      </c>
      <c r="AU3843" t="s">
        <v>73</v>
      </c>
      <c r="AV3843">
        <v>433</v>
      </c>
      <c r="AW3843" s="4">
        <v>42416</v>
      </c>
      <c r="BD3843">
        <v>0</v>
      </c>
      <c r="BN3843" t="s">
        <v>74</v>
      </c>
    </row>
    <row r="3844" spans="1:66" hidden="1">
      <c r="A3844">
        <v>101356</v>
      </c>
      <c r="B3844" s="3" t="s">
        <v>420</v>
      </c>
      <c r="C3844" s="1">
        <v>43300101</v>
      </c>
      <c r="D3844" t="s">
        <v>67</v>
      </c>
      <c r="H3844" t="str">
        <f t="shared" si="406"/>
        <v>PNILRA46P47I441K</v>
      </c>
      <c r="I3844" t="str">
        <f t="shared" si="407"/>
        <v>00567650122</v>
      </c>
      <c r="K3844" t="str">
        <f>""</f>
        <v/>
      </c>
      <c r="M3844" t="s">
        <v>68</v>
      </c>
      <c r="N3844" t="str">
        <f t="shared" si="408"/>
        <v>FOR</v>
      </c>
      <c r="O3844" t="s">
        <v>69</v>
      </c>
      <c r="P3844" s="3" t="s">
        <v>75</v>
      </c>
      <c r="Q3844">
        <v>2015</v>
      </c>
      <c r="R3844" s="2">
        <v>42153</v>
      </c>
      <c r="S3844" s="2">
        <v>42164</v>
      </c>
      <c r="T3844" s="2">
        <v>42160</v>
      </c>
      <c r="U3844" s="2">
        <v>42220</v>
      </c>
      <c r="V3844" t="s">
        <v>71</v>
      </c>
      <c r="W3844" t="str">
        <f>"             290/E15"</f>
        <v xml:space="preserve">             290/E15</v>
      </c>
      <c r="X3844">
        <v>307.14</v>
      </c>
      <c r="Y3844">
        <v>0</v>
      </c>
      <c r="Z3844"/>
      <c r="AB3844"/>
      <c r="AC3844">
        <v>251.75</v>
      </c>
      <c r="AD3844">
        <v>233</v>
      </c>
      <c r="AE3844" s="1">
        <v>58657.75</v>
      </c>
      <c r="AF3844">
        <v>0</v>
      </c>
      <c r="AJ3844">
        <v>0</v>
      </c>
      <c r="AK3844">
        <v>0</v>
      </c>
      <c r="AL3844">
        <v>0</v>
      </c>
      <c r="AM3844">
        <v>0</v>
      </c>
      <c r="AN3844">
        <v>0</v>
      </c>
      <c r="AO3844">
        <v>0</v>
      </c>
      <c r="AP3844" s="2">
        <v>42746</v>
      </c>
      <c r="AQ3844" t="s">
        <v>72</v>
      </c>
      <c r="AR3844" t="s">
        <v>72</v>
      </c>
      <c r="AS3844">
        <v>847</v>
      </c>
      <c r="AT3844" s="4">
        <v>42453</v>
      </c>
      <c r="AU3844" t="s">
        <v>73</v>
      </c>
      <c r="AV3844">
        <v>847</v>
      </c>
      <c r="AW3844" s="4">
        <v>42453</v>
      </c>
      <c r="BD3844">
        <v>0</v>
      </c>
      <c r="BN3844" t="s">
        <v>74</v>
      </c>
    </row>
    <row r="3845" spans="1:66" hidden="1">
      <c r="A3845">
        <v>101356</v>
      </c>
      <c r="B3845" s="3" t="s">
        <v>420</v>
      </c>
      <c r="C3845" s="1">
        <v>43300101</v>
      </c>
      <c r="D3845" t="s">
        <v>67</v>
      </c>
      <c r="H3845" t="str">
        <f t="shared" si="406"/>
        <v>PNILRA46P47I441K</v>
      </c>
      <c r="I3845" t="str">
        <f t="shared" si="407"/>
        <v>00567650122</v>
      </c>
      <c r="K3845" t="str">
        <f>""</f>
        <v/>
      </c>
      <c r="M3845" t="s">
        <v>68</v>
      </c>
      <c r="N3845" t="str">
        <f t="shared" si="408"/>
        <v>FOR</v>
      </c>
      <c r="O3845" t="s">
        <v>69</v>
      </c>
      <c r="P3845" s="3" t="s">
        <v>75</v>
      </c>
      <c r="Q3845">
        <v>2015</v>
      </c>
      <c r="R3845" s="2">
        <v>42153</v>
      </c>
      <c r="S3845" s="2">
        <v>42164</v>
      </c>
      <c r="T3845" s="2">
        <v>42160</v>
      </c>
      <c r="U3845" s="2">
        <v>42220</v>
      </c>
      <c r="V3845" t="s">
        <v>71</v>
      </c>
      <c r="W3845" t="str">
        <f>"             291/E15"</f>
        <v xml:space="preserve">             291/E15</v>
      </c>
      <c r="X3845">
        <v>68.319999999999993</v>
      </c>
      <c r="Y3845">
        <v>0</v>
      </c>
      <c r="Z3845"/>
      <c r="AB3845"/>
      <c r="AC3845">
        <v>56</v>
      </c>
      <c r="AD3845">
        <v>233</v>
      </c>
      <c r="AE3845" s="1">
        <v>13048</v>
      </c>
      <c r="AF3845">
        <v>0</v>
      </c>
      <c r="AJ3845">
        <v>0</v>
      </c>
      <c r="AK3845">
        <v>0</v>
      </c>
      <c r="AL3845">
        <v>0</v>
      </c>
      <c r="AM3845">
        <v>0</v>
      </c>
      <c r="AN3845">
        <v>0</v>
      </c>
      <c r="AO3845">
        <v>0</v>
      </c>
      <c r="AP3845" s="2">
        <v>42746</v>
      </c>
      <c r="AQ3845" t="s">
        <v>72</v>
      </c>
      <c r="AR3845" t="s">
        <v>72</v>
      </c>
      <c r="AS3845">
        <v>847</v>
      </c>
      <c r="AT3845" s="4">
        <v>42453</v>
      </c>
      <c r="AU3845" t="s">
        <v>73</v>
      </c>
      <c r="AV3845">
        <v>847</v>
      </c>
      <c r="AW3845" s="4">
        <v>42453</v>
      </c>
      <c r="BD3845">
        <v>0</v>
      </c>
      <c r="BN3845" t="s">
        <v>74</v>
      </c>
    </row>
    <row r="3846" spans="1:66" hidden="1">
      <c r="A3846">
        <v>101356</v>
      </c>
      <c r="B3846" s="3" t="s">
        <v>420</v>
      </c>
      <c r="C3846" s="1">
        <v>43300101</v>
      </c>
      <c r="D3846" t="s">
        <v>67</v>
      </c>
      <c r="H3846" t="str">
        <f t="shared" si="406"/>
        <v>PNILRA46P47I441K</v>
      </c>
      <c r="I3846" t="str">
        <f t="shared" si="407"/>
        <v>00567650122</v>
      </c>
      <c r="K3846" t="str">
        <f>""</f>
        <v/>
      </c>
      <c r="M3846" t="s">
        <v>68</v>
      </c>
      <c r="N3846" t="str">
        <f t="shared" si="408"/>
        <v>FOR</v>
      </c>
      <c r="O3846" t="s">
        <v>69</v>
      </c>
      <c r="P3846" s="3" t="s">
        <v>75</v>
      </c>
      <c r="Q3846">
        <v>2015</v>
      </c>
      <c r="R3846" s="2">
        <v>42185</v>
      </c>
      <c r="S3846" s="2">
        <v>42193</v>
      </c>
      <c r="T3846" s="2">
        <v>42192</v>
      </c>
      <c r="U3846" s="2">
        <v>42252</v>
      </c>
      <c r="V3846" t="s">
        <v>71</v>
      </c>
      <c r="W3846" t="str">
        <f>"             499/E15"</f>
        <v xml:space="preserve">             499/E15</v>
      </c>
      <c r="X3846">
        <v>319.88</v>
      </c>
      <c r="Y3846">
        <v>0</v>
      </c>
      <c r="Z3846"/>
      <c r="AB3846"/>
      <c r="AC3846">
        <v>262.2</v>
      </c>
      <c r="AD3846">
        <v>201</v>
      </c>
      <c r="AE3846" s="1">
        <v>52702.2</v>
      </c>
      <c r="AF3846">
        <v>0</v>
      </c>
      <c r="AJ3846">
        <v>0</v>
      </c>
      <c r="AK3846">
        <v>0</v>
      </c>
      <c r="AL3846">
        <v>0</v>
      </c>
      <c r="AM3846">
        <v>0</v>
      </c>
      <c r="AN3846">
        <v>0</v>
      </c>
      <c r="AO3846">
        <v>0</v>
      </c>
      <c r="AP3846" s="2">
        <v>42746</v>
      </c>
      <c r="AQ3846" t="s">
        <v>72</v>
      </c>
      <c r="AR3846" t="s">
        <v>72</v>
      </c>
      <c r="AS3846">
        <v>847</v>
      </c>
      <c r="AT3846" s="4">
        <v>42453</v>
      </c>
      <c r="AU3846" t="s">
        <v>73</v>
      </c>
      <c r="AV3846">
        <v>847</v>
      </c>
      <c r="AW3846" s="4">
        <v>42453</v>
      </c>
      <c r="BD3846">
        <v>0</v>
      </c>
      <c r="BN3846" t="s">
        <v>74</v>
      </c>
    </row>
    <row r="3847" spans="1:66" hidden="1">
      <c r="A3847">
        <v>101356</v>
      </c>
      <c r="B3847" s="3" t="s">
        <v>420</v>
      </c>
      <c r="C3847" s="1">
        <v>43300101</v>
      </c>
      <c r="D3847" t="s">
        <v>67</v>
      </c>
      <c r="H3847" t="str">
        <f t="shared" si="406"/>
        <v>PNILRA46P47I441K</v>
      </c>
      <c r="I3847" t="str">
        <f t="shared" si="407"/>
        <v>00567650122</v>
      </c>
      <c r="K3847" t="str">
        <f>""</f>
        <v/>
      </c>
      <c r="M3847" t="s">
        <v>68</v>
      </c>
      <c r="N3847" t="str">
        <f t="shared" si="408"/>
        <v>FOR</v>
      </c>
      <c r="O3847" t="s">
        <v>69</v>
      </c>
      <c r="P3847" s="3" t="s">
        <v>75</v>
      </c>
      <c r="Q3847">
        <v>2015</v>
      </c>
      <c r="R3847" s="2">
        <v>42185</v>
      </c>
      <c r="S3847" s="2">
        <v>42193</v>
      </c>
      <c r="T3847" s="2">
        <v>42192</v>
      </c>
      <c r="U3847" s="2">
        <v>42252</v>
      </c>
      <c r="V3847" t="s">
        <v>71</v>
      </c>
      <c r="W3847" t="str">
        <f>"             500/E15"</f>
        <v xml:space="preserve">             500/E15</v>
      </c>
      <c r="X3847">
        <v>142.44</v>
      </c>
      <c r="Y3847">
        <v>0</v>
      </c>
      <c r="Z3847"/>
      <c r="AB3847"/>
      <c r="AC3847">
        <v>116.75</v>
      </c>
      <c r="AD3847">
        <v>201</v>
      </c>
      <c r="AE3847" s="1">
        <v>23466.75</v>
      </c>
      <c r="AF3847">
        <v>0</v>
      </c>
      <c r="AJ3847">
        <v>0</v>
      </c>
      <c r="AK3847">
        <v>0</v>
      </c>
      <c r="AL3847">
        <v>0</v>
      </c>
      <c r="AM3847">
        <v>0</v>
      </c>
      <c r="AN3847">
        <v>0</v>
      </c>
      <c r="AO3847">
        <v>0</v>
      </c>
      <c r="AP3847" s="2">
        <v>42746</v>
      </c>
      <c r="AQ3847" t="s">
        <v>72</v>
      </c>
      <c r="AR3847" t="s">
        <v>72</v>
      </c>
      <c r="AS3847">
        <v>847</v>
      </c>
      <c r="AT3847" s="4">
        <v>42453</v>
      </c>
      <c r="AU3847" t="s">
        <v>73</v>
      </c>
      <c r="AV3847">
        <v>847</v>
      </c>
      <c r="AW3847" s="4">
        <v>42453</v>
      </c>
      <c r="BD3847">
        <v>0</v>
      </c>
      <c r="BN3847" t="s">
        <v>74</v>
      </c>
    </row>
    <row r="3848" spans="1:66" hidden="1">
      <c r="A3848">
        <v>101356</v>
      </c>
      <c r="B3848" s="3" t="s">
        <v>420</v>
      </c>
      <c r="C3848" s="1">
        <v>43300101</v>
      </c>
      <c r="D3848" t="s">
        <v>67</v>
      </c>
      <c r="H3848" t="str">
        <f t="shared" si="406"/>
        <v>PNILRA46P47I441K</v>
      </c>
      <c r="I3848" t="str">
        <f t="shared" si="407"/>
        <v>00567650122</v>
      </c>
      <c r="K3848" t="str">
        <f>""</f>
        <v/>
      </c>
      <c r="M3848" t="s">
        <v>68</v>
      </c>
      <c r="N3848" t="str">
        <f t="shared" si="408"/>
        <v>FOR</v>
      </c>
      <c r="O3848" t="s">
        <v>69</v>
      </c>
      <c r="P3848" s="3" t="s">
        <v>75</v>
      </c>
      <c r="Q3848">
        <v>2015</v>
      </c>
      <c r="R3848" s="2">
        <v>42216</v>
      </c>
      <c r="S3848" s="2">
        <v>42227</v>
      </c>
      <c r="T3848" s="2">
        <v>42216</v>
      </c>
      <c r="U3848" s="2">
        <v>42276</v>
      </c>
      <c r="V3848" t="s">
        <v>71</v>
      </c>
      <c r="W3848" t="str">
        <f>"             615/E15"</f>
        <v xml:space="preserve">             615/E15</v>
      </c>
      <c r="X3848">
        <v>305.98</v>
      </c>
      <c r="Y3848">
        <v>0</v>
      </c>
      <c r="Z3848"/>
      <c r="AB3848"/>
      <c r="AC3848">
        <v>250.8</v>
      </c>
      <c r="AD3848">
        <v>293</v>
      </c>
      <c r="AE3848" s="1">
        <v>73484.399999999994</v>
      </c>
      <c r="AF3848">
        <v>0</v>
      </c>
      <c r="AJ3848">
        <v>0</v>
      </c>
      <c r="AK3848">
        <v>0</v>
      </c>
      <c r="AL3848">
        <v>0</v>
      </c>
      <c r="AM3848">
        <v>0</v>
      </c>
      <c r="AN3848">
        <v>0</v>
      </c>
      <c r="AO3848">
        <v>0</v>
      </c>
      <c r="AP3848" s="2">
        <v>42746</v>
      </c>
      <c r="AQ3848" t="s">
        <v>72</v>
      </c>
      <c r="AR3848" t="s">
        <v>72</v>
      </c>
      <c r="AS3848">
        <v>1851</v>
      </c>
      <c r="AT3848" s="4">
        <v>42569</v>
      </c>
      <c r="AU3848" t="s">
        <v>73</v>
      </c>
      <c r="AV3848">
        <v>1851</v>
      </c>
      <c r="AW3848" s="4">
        <v>42569</v>
      </c>
      <c r="BD3848">
        <v>0</v>
      </c>
      <c r="BN3848" t="s">
        <v>74</v>
      </c>
    </row>
    <row r="3849" spans="1:66" hidden="1">
      <c r="A3849">
        <v>101356</v>
      </c>
      <c r="B3849" s="3" t="s">
        <v>420</v>
      </c>
      <c r="C3849" s="1">
        <v>43300101</v>
      </c>
      <c r="D3849" t="s">
        <v>67</v>
      </c>
      <c r="H3849" t="str">
        <f t="shared" si="406"/>
        <v>PNILRA46P47I441K</v>
      </c>
      <c r="I3849" t="str">
        <f t="shared" si="407"/>
        <v>00567650122</v>
      </c>
      <c r="K3849" t="str">
        <f>""</f>
        <v/>
      </c>
      <c r="M3849" t="s">
        <v>68</v>
      </c>
      <c r="N3849" t="str">
        <f t="shared" si="408"/>
        <v>FOR</v>
      </c>
      <c r="O3849" t="s">
        <v>69</v>
      </c>
      <c r="P3849" s="3" t="s">
        <v>75</v>
      </c>
      <c r="Q3849">
        <v>2015</v>
      </c>
      <c r="R3849" s="2">
        <v>42247</v>
      </c>
      <c r="S3849" s="2">
        <v>42254</v>
      </c>
      <c r="T3849" s="2">
        <v>42251</v>
      </c>
      <c r="U3849" s="2">
        <v>42311</v>
      </c>
      <c r="V3849" t="s">
        <v>71</v>
      </c>
      <c r="W3849" t="str">
        <f>"             710/E15"</f>
        <v xml:space="preserve">             710/E15</v>
      </c>
      <c r="X3849">
        <v>304.82</v>
      </c>
      <c r="Y3849">
        <v>0</v>
      </c>
      <c r="Z3849"/>
      <c r="AB3849"/>
      <c r="AC3849">
        <v>249.85</v>
      </c>
      <c r="AD3849">
        <v>258</v>
      </c>
      <c r="AE3849" s="1">
        <v>64461.3</v>
      </c>
      <c r="AF3849">
        <v>0</v>
      </c>
      <c r="AJ3849">
        <v>0</v>
      </c>
      <c r="AK3849">
        <v>0</v>
      </c>
      <c r="AL3849">
        <v>0</v>
      </c>
      <c r="AM3849">
        <v>0</v>
      </c>
      <c r="AN3849">
        <v>0</v>
      </c>
      <c r="AO3849">
        <v>0</v>
      </c>
      <c r="AP3849" s="2">
        <v>42746</v>
      </c>
      <c r="AQ3849" t="s">
        <v>72</v>
      </c>
      <c r="AR3849" t="s">
        <v>72</v>
      </c>
      <c r="AS3849">
        <v>1851</v>
      </c>
      <c r="AT3849" s="4">
        <v>42569</v>
      </c>
      <c r="AU3849" t="s">
        <v>73</v>
      </c>
      <c r="AV3849">
        <v>1851</v>
      </c>
      <c r="AW3849" s="4">
        <v>42569</v>
      </c>
      <c r="BD3849">
        <v>0</v>
      </c>
      <c r="BN3849" t="s">
        <v>74</v>
      </c>
    </row>
    <row r="3850" spans="1:66" hidden="1">
      <c r="A3850">
        <v>101356</v>
      </c>
      <c r="B3850" s="3" t="s">
        <v>420</v>
      </c>
      <c r="C3850" s="1">
        <v>43300101</v>
      </c>
      <c r="D3850" t="s">
        <v>67</v>
      </c>
      <c r="H3850" t="str">
        <f t="shared" si="406"/>
        <v>PNILRA46P47I441K</v>
      </c>
      <c r="I3850" t="str">
        <f t="shared" si="407"/>
        <v>00567650122</v>
      </c>
      <c r="K3850" t="str">
        <f>""</f>
        <v/>
      </c>
      <c r="M3850" t="s">
        <v>68</v>
      </c>
      <c r="N3850" t="str">
        <f t="shared" si="408"/>
        <v>FOR</v>
      </c>
      <c r="O3850" t="s">
        <v>69</v>
      </c>
      <c r="P3850" s="3" t="s">
        <v>75</v>
      </c>
      <c r="Q3850">
        <v>2015</v>
      </c>
      <c r="R3850" s="2">
        <v>42247</v>
      </c>
      <c r="S3850" s="2">
        <v>42254</v>
      </c>
      <c r="T3850" s="2">
        <v>42251</v>
      </c>
      <c r="U3850" s="2">
        <v>42311</v>
      </c>
      <c r="V3850" t="s">
        <v>71</v>
      </c>
      <c r="W3850" t="str">
        <f>"             711/E15"</f>
        <v xml:space="preserve">             711/E15</v>
      </c>
      <c r="X3850">
        <v>68.319999999999993</v>
      </c>
      <c r="Y3850">
        <v>0</v>
      </c>
      <c r="Z3850"/>
      <c r="AB3850"/>
      <c r="AC3850">
        <v>56</v>
      </c>
      <c r="AD3850">
        <v>258</v>
      </c>
      <c r="AE3850" s="1">
        <v>14448</v>
      </c>
      <c r="AF3850">
        <v>0</v>
      </c>
      <c r="AJ3850">
        <v>0</v>
      </c>
      <c r="AK3850">
        <v>0</v>
      </c>
      <c r="AL3850">
        <v>0</v>
      </c>
      <c r="AM3850">
        <v>0</v>
      </c>
      <c r="AN3850">
        <v>0</v>
      </c>
      <c r="AO3850">
        <v>0</v>
      </c>
      <c r="AP3850" s="2">
        <v>42746</v>
      </c>
      <c r="AQ3850" t="s">
        <v>72</v>
      </c>
      <c r="AR3850" t="s">
        <v>72</v>
      </c>
      <c r="AS3850">
        <v>1851</v>
      </c>
      <c r="AT3850" s="4">
        <v>42569</v>
      </c>
      <c r="AU3850" t="s">
        <v>73</v>
      </c>
      <c r="AV3850">
        <v>1851</v>
      </c>
      <c r="AW3850" s="4">
        <v>42569</v>
      </c>
      <c r="BD3850">
        <v>0</v>
      </c>
      <c r="BN3850" t="s">
        <v>74</v>
      </c>
    </row>
    <row r="3851" spans="1:66" hidden="1">
      <c r="A3851">
        <v>101356</v>
      </c>
      <c r="B3851" s="3" t="s">
        <v>420</v>
      </c>
      <c r="C3851" s="1">
        <v>43300101</v>
      </c>
      <c r="D3851" t="s">
        <v>67</v>
      </c>
      <c r="H3851" t="str">
        <f t="shared" si="406"/>
        <v>PNILRA46P47I441K</v>
      </c>
      <c r="I3851" t="str">
        <f t="shared" si="407"/>
        <v>00567650122</v>
      </c>
      <c r="K3851" t="str">
        <f>""</f>
        <v/>
      </c>
      <c r="M3851" t="s">
        <v>68</v>
      </c>
      <c r="N3851" t="str">
        <f t="shared" si="408"/>
        <v>FOR</v>
      </c>
      <c r="O3851" t="s">
        <v>69</v>
      </c>
      <c r="P3851" s="3" t="s">
        <v>75</v>
      </c>
      <c r="Q3851">
        <v>2015</v>
      </c>
      <c r="R3851" s="2">
        <v>42277</v>
      </c>
      <c r="S3851" s="2">
        <v>42289</v>
      </c>
      <c r="T3851" s="2">
        <v>42289</v>
      </c>
      <c r="U3851" s="2">
        <v>42349</v>
      </c>
      <c r="V3851" t="s">
        <v>71</v>
      </c>
      <c r="W3851" t="str">
        <f>"             876/E15"</f>
        <v xml:space="preserve">             876/E15</v>
      </c>
      <c r="X3851">
        <v>316.41000000000003</v>
      </c>
      <c r="Y3851">
        <v>0</v>
      </c>
      <c r="Z3851"/>
      <c r="AB3851"/>
      <c r="AC3851">
        <v>259.35000000000002</v>
      </c>
      <c r="AD3851">
        <v>220</v>
      </c>
      <c r="AE3851" s="1">
        <v>57057</v>
      </c>
      <c r="AF3851">
        <v>0</v>
      </c>
      <c r="AJ3851">
        <v>0</v>
      </c>
      <c r="AK3851">
        <v>0</v>
      </c>
      <c r="AL3851">
        <v>0</v>
      </c>
      <c r="AM3851">
        <v>0</v>
      </c>
      <c r="AN3851">
        <v>0</v>
      </c>
      <c r="AO3851">
        <v>0</v>
      </c>
      <c r="AP3851" s="2">
        <v>42746</v>
      </c>
      <c r="AQ3851" t="s">
        <v>72</v>
      </c>
      <c r="AR3851" t="s">
        <v>72</v>
      </c>
      <c r="AS3851">
        <v>1851</v>
      </c>
      <c r="AT3851" s="4">
        <v>42569</v>
      </c>
      <c r="AU3851" t="s">
        <v>73</v>
      </c>
      <c r="AV3851">
        <v>1851</v>
      </c>
      <c r="AW3851" s="4">
        <v>42569</v>
      </c>
      <c r="BD3851">
        <v>0</v>
      </c>
      <c r="BN3851" t="s">
        <v>74</v>
      </c>
    </row>
    <row r="3852" spans="1:66" hidden="1">
      <c r="A3852">
        <v>101356</v>
      </c>
      <c r="B3852" s="3" t="s">
        <v>420</v>
      </c>
      <c r="C3852" s="1">
        <v>43300101</v>
      </c>
      <c r="D3852" t="s">
        <v>67</v>
      </c>
      <c r="H3852" t="str">
        <f t="shared" si="406"/>
        <v>PNILRA46P47I441K</v>
      </c>
      <c r="I3852" t="str">
        <f t="shared" si="407"/>
        <v>00567650122</v>
      </c>
      <c r="K3852" t="str">
        <f>""</f>
        <v/>
      </c>
      <c r="M3852" t="s">
        <v>68</v>
      </c>
      <c r="N3852" t="str">
        <f t="shared" si="408"/>
        <v>FOR</v>
      </c>
      <c r="O3852" t="s">
        <v>69</v>
      </c>
      <c r="P3852" s="3" t="s">
        <v>75</v>
      </c>
      <c r="Q3852">
        <v>2015</v>
      </c>
      <c r="R3852" s="2">
        <v>42277</v>
      </c>
      <c r="S3852" s="2">
        <v>42289</v>
      </c>
      <c r="T3852" s="2">
        <v>42289</v>
      </c>
      <c r="U3852" s="2">
        <v>42349</v>
      </c>
      <c r="V3852" t="s">
        <v>71</v>
      </c>
      <c r="W3852" t="str">
        <f>"             877/E15"</f>
        <v xml:space="preserve">             877/E15</v>
      </c>
      <c r="X3852">
        <v>142.44</v>
      </c>
      <c r="Y3852">
        <v>0</v>
      </c>
      <c r="Z3852"/>
      <c r="AB3852"/>
      <c r="AC3852">
        <v>116.75</v>
      </c>
      <c r="AD3852">
        <v>220</v>
      </c>
      <c r="AE3852" s="1">
        <v>25685</v>
      </c>
      <c r="AF3852">
        <v>0</v>
      </c>
      <c r="AJ3852">
        <v>0</v>
      </c>
      <c r="AK3852">
        <v>0</v>
      </c>
      <c r="AL3852">
        <v>0</v>
      </c>
      <c r="AM3852">
        <v>0</v>
      </c>
      <c r="AN3852">
        <v>0</v>
      </c>
      <c r="AO3852">
        <v>0</v>
      </c>
      <c r="AP3852" s="2">
        <v>42746</v>
      </c>
      <c r="AQ3852" t="s">
        <v>72</v>
      </c>
      <c r="AR3852" t="s">
        <v>72</v>
      </c>
      <c r="AS3852">
        <v>1851</v>
      </c>
      <c r="AT3852" s="4">
        <v>42569</v>
      </c>
      <c r="AU3852" t="s">
        <v>73</v>
      </c>
      <c r="AV3852">
        <v>1851</v>
      </c>
      <c r="AW3852" s="4">
        <v>42569</v>
      </c>
      <c r="BD3852">
        <v>0</v>
      </c>
      <c r="BN3852" t="s">
        <v>74</v>
      </c>
    </row>
    <row r="3853" spans="1:66" hidden="1">
      <c r="A3853">
        <v>101356</v>
      </c>
      <c r="B3853" s="3" t="s">
        <v>420</v>
      </c>
      <c r="C3853" s="1">
        <v>43300101</v>
      </c>
      <c r="D3853" t="s">
        <v>67</v>
      </c>
      <c r="H3853" t="str">
        <f t="shared" si="406"/>
        <v>PNILRA46P47I441K</v>
      </c>
      <c r="I3853" t="str">
        <f t="shared" si="407"/>
        <v>00567650122</v>
      </c>
      <c r="K3853" t="str">
        <f>""</f>
        <v/>
      </c>
      <c r="M3853" t="s">
        <v>68</v>
      </c>
      <c r="N3853" t="str">
        <f t="shared" si="408"/>
        <v>FOR</v>
      </c>
      <c r="O3853" t="s">
        <v>69</v>
      </c>
      <c r="P3853" s="3" t="s">
        <v>75</v>
      </c>
      <c r="Q3853">
        <v>2015</v>
      </c>
      <c r="R3853" s="2">
        <v>42296</v>
      </c>
      <c r="S3853" s="2">
        <v>42296</v>
      </c>
      <c r="T3853" s="2">
        <v>42296</v>
      </c>
      <c r="U3853" s="2">
        <v>42356</v>
      </c>
      <c r="V3853" t="s">
        <v>71</v>
      </c>
      <c r="W3853" t="str">
        <f>"             966/E15"</f>
        <v xml:space="preserve">             966/E15</v>
      </c>
      <c r="X3853">
        <v>76.25</v>
      </c>
      <c r="Y3853">
        <v>0</v>
      </c>
      <c r="Z3853"/>
      <c r="AB3853"/>
      <c r="AC3853">
        <v>62.5</v>
      </c>
      <c r="AD3853">
        <v>213</v>
      </c>
      <c r="AE3853" s="1">
        <v>13312.5</v>
      </c>
      <c r="AF3853">
        <v>0</v>
      </c>
      <c r="AJ3853">
        <v>0</v>
      </c>
      <c r="AK3853">
        <v>0</v>
      </c>
      <c r="AL3853">
        <v>0</v>
      </c>
      <c r="AM3853">
        <v>0</v>
      </c>
      <c r="AN3853">
        <v>0</v>
      </c>
      <c r="AO3853">
        <v>0</v>
      </c>
      <c r="AP3853" s="2">
        <v>42746</v>
      </c>
      <c r="AQ3853" t="s">
        <v>72</v>
      </c>
      <c r="AR3853" t="s">
        <v>72</v>
      </c>
      <c r="AS3853">
        <v>1851</v>
      </c>
      <c r="AT3853" s="4">
        <v>42569</v>
      </c>
      <c r="AU3853" t="s">
        <v>73</v>
      </c>
      <c r="AV3853">
        <v>1851</v>
      </c>
      <c r="AW3853" s="4">
        <v>42569</v>
      </c>
      <c r="BD3853">
        <v>0</v>
      </c>
      <c r="BN3853" t="s">
        <v>74</v>
      </c>
    </row>
    <row r="3854" spans="1:66" hidden="1">
      <c r="A3854">
        <v>101356</v>
      </c>
      <c r="B3854" s="3" t="s">
        <v>420</v>
      </c>
      <c r="C3854" s="1">
        <v>43300101</v>
      </c>
      <c r="D3854" t="s">
        <v>67</v>
      </c>
      <c r="H3854" t="str">
        <f t="shared" si="406"/>
        <v>PNILRA46P47I441K</v>
      </c>
      <c r="I3854" t="str">
        <f t="shared" si="407"/>
        <v>00567650122</v>
      </c>
      <c r="K3854" t="str">
        <f>""</f>
        <v/>
      </c>
      <c r="M3854" t="s">
        <v>68</v>
      </c>
      <c r="N3854" t="str">
        <f t="shared" si="408"/>
        <v>FOR</v>
      </c>
      <c r="O3854" t="s">
        <v>69</v>
      </c>
      <c r="P3854" s="3" t="s">
        <v>75</v>
      </c>
      <c r="Q3854">
        <v>2015</v>
      </c>
      <c r="R3854" s="2">
        <v>42308</v>
      </c>
      <c r="S3854" s="2">
        <v>42317</v>
      </c>
      <c r="T3854" s="2">
        <v>42317</v>
      </c>
      <c r="U3854" s="2">
        <v>42377</v>
      </c>
      <c r="V3854" t="s">
        <v>71</v>
      </c>
      <c r="W3854" t="str">
        <f>"            1048/E15"</f>
        <v xml:space="preserve">            1048/E15</v>
      </c>
      <c r="X3854">
        <v>304.82</v>
      </c>
      <c r="Y3854">
        <v>0</v>
      </c>
      <c r="Z3854"/>
      <c r="AB3854"/>
      <c r="AC3854">
        <v>249.85</v>
      </c>
      <c r="AD3854">
        <v>192</v>
      </c>
      <c r="AE3854" s="1">
        <v>47971.199999999997</v>
      </c>
      <c r="AF3854">
        <v>0</v>
      </c>
      <c r="AJ3854">
        <v>0</v>
      </c>
      <c r="AK3854">
        <v>0</v>
      </c>
      <c r="AL3854">
        <v>0</v>
      </c>
      <c r="AM3854">
        <v>0</v>
      </c>
      <c r="AN3854">
        <v>0</v>
      </c>
      <c r="AO3854">
        <v>0</v>
      </c>
      <c r="AP3854" s="2">
        <v>42746</v>
      </c>
      <c r="AQ3854" t="s">
        <v>72</v>
      </c>
      <c r="AR3854" t="s">
        <v>72</v>
      </c>
      <c r="AS3854">
        <v>1851</v>
      </c>
      <c r="AT3854" s="4">
        <v>42569</v>
      </c>
      <c r="AU3854" t="s">
        <v>73</v>
      </c>
      <c r="AV3854">
        <v>1851</v>
      </c>
      <c r="AW3854" s="4">
        <v>42569</v>
      </c>
      <c r="BD3854">
        <v>0</v>
      </c>
      <c r="BN3854" t="s">
        <v>74</v>
      </c>
    </row>
    <row r="3855" spans="1:66">
      <c r="A3855">
        <v>101356</v>
      </c>
      <c r="B3855" s="3" t="s">
        <v>420</v>
      </c>
      <c r="C3855" s="1">
        <v>43300101</v>
      </c>
      <c r="D3855" t="s">
        <v>67</v>
      </c>
      <c r="H3855" t="str">
        <f t="shared" si="406"/>
        <v>PNILRA46P47I441K</v>
      </c>
      <c r="I3855" t="str">
        <f t="shared" si="407"/>
        <v>00567650122</v>
      </c>
      <c r="K3855" t="str">
        <f>""</f>
        <v/>
      </c>
      <c r="M3855" t="s">
        <v>68</v>
      </c>
      <c r="N3855" t="str">
        <f t="shared" si="408"/>
        <v>FOR</v>
      </c>
      <c r="O3855" t="s">
        <v>69</v>
      </c>
      <c r="P3855" s="3" t="s">
        <v>75</v>
      </c>
      <c r="Q3855">
        <v>2015</v>
      </c>
      <c r="R3855" s="2">
        <v>42338</v>
      </c>
      <c r="S3855" s="2">
        <v>42352</v>
      </c>
      <c r="T3855" s="2">
        <v>42349</v>
      </c>
      <c r="U3855" s="2">
        <v>42409</v>
      </c>
      <c r="V3855" t="s">
        <v>71</v>
      </c>
      <c r="W3855" t="str">
        <f>"            1171/E15"</f>
        <v xml:space="preserve">            1171/E15</v>
      </c>
      <c r="X3855">
        <v>300.18</v>
      </c>
      <c r="Y3855">
        <v>0</v>
      </c>
      <c r="Z3855" s="3">
        <v>246.05</v>
      </c>
      <c r="AA3855">
        <v>288</v>
      </c>
      <c r="AB3855" s="5">
        <v>70862.399999999994</v>
      </c>
      <c r="AC3855">
        <v>246.05</v>
      </c>
      <c r="AD3855">
        <v>288</v>
      </c>
      <c r="AE3855" s="1">
        <v>70862.399999999994</v>
      </c>
      <c r="AF3855">
        <v>0</v>
      </c>
      <c r="AJ3855">
        <v>0</v>
      </c>
      <c r="AK3855">
        <v>0</v>
      </c>
      <c r="AL3855">
        <v>0</v>
      </c>
      <c r="AM3855">
        <v>0</v>
      </c>
      <c r="AN3855">
        <v>0</v>
      </c>
      <c r="AO3855">
        <v>0</v>
      </c>
      <c r="AP3855" s="2">
        <v>42746</v>
      </c>
      <c r="AQ3855" t="s">
        <v>72</v>
      </c>
      <c r="AR3855" t="s">
        <v>72</v>
      </c>
      <c r="AS3855">
        <v>3292</v>
      </c>
      <c r="AT3855" s="4">
        <v>42697</v>
      </c>
      <c r="AU3855" t="s">
        <v>73</v>
      </c>
      <c r="AV3855">
        <v>3292</v>
      </c>
      <c r="AW3855" s="4">
        <v>42697</v>
      </c>
      <c r="BD3855">
        <v>0</v>
      </c>
      <c r="BN3855" t="s">
        <v>74</v>
      </c>
    </row>
    <row r="3856" spans="1:66">
      <c r="A3856">
        <v>101356</v>
      </c>
      <c r="B3856" s="3" t="s">
        <v>420</v>
      </c>
      <c r="C3856" s="1">
        <v>43300101</v>
      </c>
      <c r="D3856" t="s">
        <v>67</v>
      </c>
      <c r="H3856" t="str">
        <f t="shared" si="406"/>
        <v>PNILRA46P47I441K</v>
      </c>
      <c r="I3856" t="str">
        <f t="shared" si="407"/>
        <v>00567650122</v>
      </c>
      <c r="K3856" t="str">
        <f>""</f>
        <v/>
      </c>
      <c r="M3856" t="s">
        <v>68</v>
      </c>
      <c r="N3856" t="str">
        <f t="shared" si="408"/>
        <v>FOR</v>
      </c>
      <c r="O3856" t="s">
        <v>69</v>
      </c>
      <c r="P3856" s="3" t="s">
        <v>75</v>
      </c>
      <c r="Q3856">
        <v>2015</v>
      </c>
      <c r="R3856" s="2">
        <v>42366</v>
      </c>
      <c r="S3856" s="2">
        <v>42368</v>
      </c>
      <c r="T3856" s="2">
        <v>42367</v>
      </c>
      <c r="U3856" s="2">
        <v>42427</v>
      </c>
      <c r="V3856" t="s">
        <v>71</v>
      </c>
      <c r="W3856" t="str">
        <f>"            1305/E15"</f>
        <v xml:space="preserve">            1305/E15</v>
      </c>
      <c r="X3856">
        <v>310.61</v>
      </c>
      <c r="Y3856">
        <v>0</v>
      </c>
      <c r="Z3856" s="3">
        <v>254.6</v>
      </c>
      <c r="AA3856">
        <v>270</v>
      </c>
      <c r="AB3856" s="5">
        <v>68742</v>
      </c>
      <c r="AC3856">
        <v>254.6</v>
      </c>
      <c r="AD3856">
        <v>270</v>
      </c>
      <c r="AE3856" s="1">
        <v>68742</v>
      </c>
      <c r="AF3856">
        <v>0</v>
      </c>
      <c r="AJ3856">
        <v>0</v>
      </c>
      <c r="AK3856">
        <v>0</v>
      </c>
      <c r="AL3856">
        <v>0</v>
      </c>
      <c r="AM3856">
        <v>0</v>
      </c>
      <c r="AN3856">
        <v>0</v>
      </c>
      <c r="AO3856">
        <v>0</v>
      </c>
      <c r="AP3856" s="2">
        <v>42746</v>
      </c>
      <c r="AQ3856" t="s">
        <v>72</v>
      </c>
      <c r="AR3856" t="s">
        <v>72</v>
      </c>
      <c r="AS3856">
        <v>3292</v>
      </c>
      <c r="AT3856" s="4">
        <v>42697</v>
      </c>
      <c r="AU3856" t="s">
        <v>73</v>
      </c>
      <c r="AV3856">
        <v>3292</v>
      </c>
      <c r="AW3856" s="4">
        <v>42697</v>
      </c>
      <c r="BD3856">
        <v>0</v>
      </c>
      <c r="BN3856" t="s">
        <v>74</v>
      </c>
    </row>
    <row r="3857" spans="1:66">
      <c r="A3857">
        <v>101356</v>
      </c>
      <c r="B3857" s="3" t="s">
        <v>420</v>
      </c>
      <c r="C3857" s="1">
        <v>43300101</v>
      </c>
      <c r="D3857" t="s">
        <v>67</v>
      </c>
      <c r="H3857" t="str">
        <f t="shared" si="406"/>
        <v>PNILRA46P47I441K</v>
      </c>
      <c r="I3857" t="str">
        <f t="shared" si="407"/>
        <v>00567650122</v>
      </c>
      <c r="K3857" t="str">
        <f>""</f>
        <v/>
      </c>
      <c r="M3857" t="s">
        <v>68</v>
      </c>
      <c r="N3857" t="str">
        <f t="shared" si="408"/>
        <v>FOR</v>
      </c>
      <c r="O3857" t="s">
        <v>69</v>
      </c>
      <c r="P3857" s="3" t="s">
        <v>75</v>
      </c>
      <c r="Q3857">
        <v>2016</v>
      </c>
      <c r="R3857" s="2">
        <v>42398</v>
      </c>
      <c r="S3857" s="2">
        <v>42471</v>
      </c>
      <c r="T3857" s="2">
        <v>42471</v>
      </c>
      <c r="U3857" s="2">
        <v>42531</v>
      </c>
      <c r="V3857" t="s">
        <v>71</v>
      </c>
      <c r="W3857" t="str">
        <f>"              87/E16"</f>
        <v xml:space="preserve">              87/E16</v>
      </c>
      <c r="X3857">
        <v>292.07</v>
      </c>
      <c r="Y3857">
        <v>0</v>
      </c>
      <c r="Z3857" s="3">
        <v>239.4</v>
      </c>
      <c r="AA3857">
        <v>166</v>
      </c>
      <c r="AB3857" s="5">
        <v>39740.400000000001</v>
      </c>
      <c r="AC3857">
        <v>239.4</v>
      </c>
      <c r="AD3857">
        <v>166</v>
      </c>
      <c r="AE3857" s="1">
        <v>39740.400000000001</v>
      </c>
      <c r="AF3857">
        <v>0</v>
      </c>
      <c r="AJ3857">
        <v>0</v>
      </c>
      <c r="AK3857">
        <v>0</v>
      </c>
      <c r="AL3857">
        <v>0</v>
      </c>
      <c r="AM3857">
        <v>292.07</v>
      </c>
      <c r="AN3857">
        <v>292.07</v>
      </c>
      <c r="AO3857">
        <v>292.07</v>
      </c>
      <c r="AP3857" s="2">
        <v>42746</v>
      </c>
      <c r="AQ3857" t="s">
        <v>72</v>
      </c>
      <c r="AR3857" t="s">
        <v>72</v>
      </c>
      <c r="AS3857">
        <v>3292</v>
      </c>
      <c r="AT3857" s="4">
        <v>42697</v>
      </c>
      <c r="AU3857" t="s">
        <v>73</v>
      </c>
      <c r="AV3857">
        <v>3292</v>
      </c>
      <c r="AW3857" s="4">
        <v>42697</v>
      </c>
      <c r="BD3857">
        <v>0</v>
      </c>
      <c r="BN3857" t="s">
        <v>74</v>
      </c>
    </row>
    <row r="3858" spans="1:66" hidden="1">
      <c r="A3858">
        <v>101372</v>
      </c>
      <c r="B3858" s="3" t="s">
        <v>421</v>
      </c>
      <c r="C3858" s="1">
        <v>43300101</v>
      </c>
      <c r="D3858" t="s">
        <v>67</v>
      </c>
      <c r="H3858" t="str">
        <f>"DNCNZR62A18A783S"</f>
        <v>DNCNZR62A18A783S</v>
      </c>
      <c r="I3858" t="str">
        <f>"01165870625"</f>
        <v>01165870625</v>
      </c>
      <c r="K3858" t="str">
        <f>""</f>
        <v/>
      </c>
      <c r="M3858" t="s">
        <v>68</v>
      </c>
      <c r="N3858" t="str">
        <f t="shared" si="408"/>
        <v>FOR</v>
      </c>
      <c r="O3858" t="s">
        <v>69</v>
      </c>
      <c r="P3858" s="3" t="s">
        <v>75</v>
      </c>
      <c r="Q3858">
        <v>2015</v>
      </c>
      <c r="R3858" s="2">
        <v>42290</v>
      </c>
      <c r="S3858" s="2">
        <v>42293</v>
      </c>
      <c r="T3858" s="2">
        <v>42291</v>
      </c>
      <c r="U3858" s="2">
        <v>42351</v>
      </c>
      <c r="V3858" t="s">
        <v>71</v>
      </c>
      <c r="W3858" t="str">
        <f>"                  62"</f>
        <v xml:space="preserve">                  62</v>
      </c>
      <c r="X3858" s="1">
        <v>1220</v>
      </c>
      <c r="Y3858">
        <v>0</v>
      </c>
      <c r="Z3858"/>
      <c r="AB3858"/>
      <c r="AC3858" s="1">
        <v>1000</v>
      </c>
      <c r="AD3858">
        <v>52</v>
      </c>
      <c r="AE3858" s="1">
        <v>52000</v>
      </c>
      <c r="AF3858">
        <v>220</v>
      </c>
      <c r="AJ3858">
        <v>0</v>
      </c>
      <c r="AK3858">
        <v>0</v>
      </c>
      <c r="AL3858">
        <v>0</v>
      </c>
      <c r="AM3858">
        <v>0</v>
      </c>
      <c r="AN3858">
        <v>0</v>
      </c>
      <c r="AO3858">
        <v>0</v>
      </c>
      <c r="AP3858" s="2">
        <v>42746</v>
      </c>
      <c r="AQ3858" t="s">
        <v>72</v>
      </c>
      <c r="AR3858" t="s">
        <v>72</v>
      </c>
      <c r="AS3858">
        <v>212</v>
      </c>
      <c r="AT3858" s="4">
        <v>42403</v>
      </c>
      <c r="AU3858" t="s">
        <v>73</v>
      </c>
      <c r="AV3858">
        <v>212</v>
      </c>
      <c r="AW3858" s="4">
        <v>42403</v>
      </c>
      <c r="BD3858">
        <v>220</v>
      </c>
      <c r="BN3858" t="s">
        <v>74</v>
      </c>
    </row>
    <row r="3859" spans="1:66" hidden="1">
      <c r="A3859">
        <v>101373</v>
      </c>
      <c r="B3859" s="3" t="s">
        <v>422</v>
      </c>
      <c r="C3859" s="1">
        <v>43300101</v>
      </c>
      <c r="D3859" t="s">
        <v>67</v>
      </c>
      <c r="H3859" t="str">
        <f t="shared" ref="H3859:I3867" si="409">"00228550273"</f>
        <v>00228550273</v>
      </c>
      <c r="I3859" t="str">
        <f t="shared" si="409"/>
        <v>00228550273</v>
      </c>
      <c r="K3859" t="str">
        <f>""</f>
        <v/>
      </c>
      <c r="M3859" t="s">
        <v>68</v>
      </c>
      <c r="N3859" t="str">
        <f t="shared" si="408"/>
        <v>FOR</v>
      </c>
      <c r="O3859" t="s">
        <v>69</v>
      </c>
      <c r="P3859" s="3" t="s">
        <v>70</v>
      </c>
      <c r="Q3859">
        <v>2015</v>
      </c>
      <c r="R3859" s="2">
        <v>42061</v>
      </c>
      <c r="S3859" s="2">
        <v>42067</v>
      </c>
      <c r="T3859" s="2">
        <v>42067</v>
      </c>
      <c r="U3859" s="2">
        <v>42127</v>
      </c>
      <c r="V3859" t="s">
        <v>71</v>
      </c>
      <c r="W3859" t="str">
        <f>"                3318"</f>
        <v xml:space="preserve">                3318</v>
      </c>
      <c r="X3859">
        <v>12.32</v>
      </c>
      <c r="Y3859">
        <v>0</v>
      </c>
      <c r="Z3859"/>
      <c r="AB3859"/>
      <c r="AC3859">
        <v>11.2</v>
      </c>
      <c r="AD3859">
        <v>278</v>
      </c>
      <c r="AE3859" s="1">
        <v>3113.6</v>
      </c>
      <c r="AF3859">
        <v>0</v>
      </c>
      <c r="AJ3859">
        <v>0</v>
      </c>
      <c r="AK3859">
        <v>0</v>
      </c>
      <c r="AL3859">
        <v>0</v>
      </c>
      <c r="AM3859">
        <v>0</v>
      </c>
      <c r="AN3859">
        <v>0</v>
      </c>
      <c r="AO3859">
        <v>0</v>
      </c>
      <c r="AP3859" s="2">
        <v>42746</v>
      </c>
      <c r="AQ3859" t="s">
        <v>72</v>
      </c>
      <c r="AR3859" t="s">
        <v>72</v>
      </c>
      <c r="AS3859">
        <v>290</v>
      </c>
      <c r="AT3859" s="4">
        <v>42405</v>
      </c>
      <c r="AU3859" t="s">
        <v>73</v>
      </c>
      <c r="AV3859">
        <v>290</v>
      </c>
      <c r="AW3859" s="4">
        <v>42405</v>
      </c>
      <c r="BD3859">
        <v>0</v>
      </c>
      <c r="BN3859" t="s">
        <v>74</v>
      </c>
    </row>
    <row r="3860" spans="1:66" hidden="1">
      <c r="A3860">
        <v>101373</v>
      </c>
      <c r="B3860" s="3" t="s">
        <v>422</v>
      </c>
      <c r="C3860" s="1">
        <v>43300101</v>
      </c>
      <c r="D3860" t="s">
        <v>67</v>
      </c>
      <c r="H3860" t="str">
        <f t="shared" si="409"/>
        <v>00228550273</v>
      </c>
      <c r="I3860" t="str">
        <f t="shared" si="409"/>
        <v>00228550273</v>
      </c>
      <c r="K3860" t="str">
        <f>""</f>
        <v/>
      </c>
      <c r="M3860" t="s">
        <v>68</v>
      </c>
      <c r="N3860" t="str">
        <f t="shared" si="408"/>
        <v>FOR</v>
      </c>
      <c r="O3860" t="s">
        <v>69</v>
      </c>
      <c r="P3860" s="3" t="s">
        <v>75</v>
      </c>
      <c r="Q3860">
        <v>2015</v>
      </c>
      <c r="R3860" s="2">
        <v>42143</v>
      </c>
      <c r="S3860" s="2">
        <v>42158</v>
      </c>
      <c r="T3860" s="2">
        <v>42143</v>
      </c>
      <c r="U3860" s="2">
        <v>42203</v>
      </c>
      <c r="V3860" t="s">
        <v>71</v>
      </c>
      <c r="W3860" t="str">
        <f>"            15502900"</f>
        <v xml:space="preserve">            15502900</v>
      </c>
      <c r="X3860">
        <v>356.4</v>
      </c>
      <c r="Y3860">
        <v>0</v>
      </c>
      <c r="Z3860"/>
      <c r="AB3860"/>
      <c r="AC3860">
        <v>324</v>
      </c>
      <c r="AD3860">
        <v>202</v>
      </c>
      <c r="AE3860" s="1">
        <v>65448</v>
      </c>
      <c r="AF3860">
        <v>0</v>
      </c>
      <c r="AJ3860">
        <v>0</v>
      </c>
      <c r="AK3860">
        <v>0</v>
      </c>
      <c r="AL3860">
        <v>0</v>
      </c>
      <c r="AM3860">
        <v>0</v>
      </c>
      <c r="AN3860">
        <v>0</v>
      </c>
      <c r="AO3860">
        <v>0</v>
      </c>
      <c r="AP3860" s="2">
        <v>42746</v>
      </c>
      <c r="AQ3860" t="s">
        <v>72</v>
      </c>
      <c r="AR3860" t="s">
        <v>72</v>
      </c>
      <c r="AS3860">
        <v>290</v>
      </c>
      <c r="AT3860" s="4">
        <v>42405</v>
      </c>
      <c r="AU3860" t="s">
        <v>73</v>
      </c>
      <c r="AV3860">
        <v>290</v>
      </c>
      <c r="AW3860" s="4">
        <v>42405</v>
      </c>
      <c r="BD3860">
        <v>0</v>
      </c>
      <c r="BN3860" t="s">
        <v>74</v>
      </c>
    </row>
    <row r="3861" spans="1:66" hidden="1">
      <c r="A3861">
        <v>101373</v>
      </c>
      <c r="B3861" s="3" t="s">
        <v>422</v>
      </c>
      <c r="C3861" s="1">
        <v>43300101</v>
      </c>
      <c r="D3861" t="s">
        <v>67</v>
      </c>
      <c r="H3861" t="str">
        <f t="shared" si="409"/>
        <v>00228550273</v>
      </c>
      <c r="I3861" t="str">
        <f t="shared" si="409"/>
        <v>00228550273</v>
      </c>
      <c r="K3861" t="str">
        <f>""</f>
        <v/>
      </c>
      <c r="M3861" t="s">
        <v>68</v>
      </c>
      <c r="N3861" t="str">
        <f t="shared" si="408"/>
        <v>FOR</v>
      </c>
      <c r="O3861" t="s">
        <v>69</v>
      </c>
      <c r="P3861" s="3" t="s">
        <v>75</v>
      </c>
      <c r="Q3861">
        <v>2015</v>
      </c>
      <c r="R3861" s="2">
        <v>42241</v>
      </c>
      <c r="S3861" s="2">
        <v>42255</v>
      </c>
      <c r="T3861" s="2">
        <v>42254</v>
      </c>
      <c r="U3861" s="2">
        <v>42314</v>
      </c>
      <c r="V3861" t="s">
        <v>71</v>
      </c>
      <c r="W3861" t="str">
        <f>"            15507698"</f>
        <v xml:space="preserve">            15507698</v>
      </c>
      <c r="X3861">
        <v>570.24</v>
      </c>
      <c r="Y3861">
        <v>0</v>
      </c>
      <c r="Z3861"/>
      <c r="AB3861"/>
      <c r="AC3861">
        <v>518.4</v>
      </c>
      <c r="AD3861">
        <v>91</v>
      </c>
      <c r="AE3861" s="1">
        <v>47174.400000000001</v>
      </c>
      <c r="AF3861">
        <v>0</v>
      </c>
      <c r="AJ3861">
        <v>0</v>
      </c>
      <c r="AK3861">
        <v>0</v>
      </c>
      <c r="AL3861">
        <v>0</v>
      </c>
      <c r="AM3861">
        <v>0</v>
      </c>
      <c r="AN3861">
        <v>0</v>
      </c>
      <c r="AO3861">
        <v>0</v>
      </c>
      <c r="AP3861" s="2">
        <v>42746</v>
      </c>
      <c r="AQ3861" t="s">
        <v>72</v>
      </c>
      <c r="AR3861" t="s">
        <v>72</v>
      </c>
      <c r="AS3861">
        <v>290</v>
      </c>
      <c r="AT3861" s="4">
        <v>42405</v>
      </c>
      <c r="AU3861" t="s">
        <v>73</v>
      </c>
      <c r="AV3861">
        <v>290</v>
      </c>
      <c r="AW3861" s="4">
        <v>42405</v>
      </c>
      <c r="BD3861">
        <v>0</v>
      </c>
      <c r="BN3861" t="s">
        <v>74</v>
      </c>
    </row>
    <row r="3862" spans="1:66" hidden="1">
      <c r="A3862">
        <v>101373</v>
      </c>
      <c r="B3862" s="3" t="s">
        <v>422</v>
      </c>
      <c r="C3862" s="1">
        <v>43300101</v>
      </c>
      <c r="D3862" t="s">
        <v>67</v>
      </c>
      <c r="H3862" t="str">
        <f t="shared" si="409"/>
        <v>00228550273</v>
      </c>
      <c r="I3862" t="str">
        <f t="shared" si="409"/>
        <v>00228550273</v>
      </c>
      <c r="K3862" t="str">
        <f>""</f>
        <v/>
      </c>
      <c r="M3862" t="s">
        <v>68</v>
      </c>
      <c r="N3862" t="str">
        <f t="shared" si="408"/>
        <v>FOR</v>
      </c>
      <c r="O3862" t="s">
        <v>69</v>
      </c>
      <c r="P3862" s="3" t="s">
        <v>75</v>
      </c>
      <c r="Q3862">
        <v>2015</v>
      </c>
      <c r="R3862" s="2">
        <v>42326</v>
      </c>
      <c r="S3862" s="2">
        <v>42327</v>
      </c>
      <c r="T3862" s="2">
        <v>42326</v>
      </c>
      <c r="U3862" s="2">
        <v>42386</v>
      </c>
      <c r="V3862" t="s">
        <v>71</v>
      </c>
      <c r="W3862" t="str">
        <f>"            15512363"</f>
        <v xml:space="preserve">            15512363</v>
      </c>
      <c r="X3862">
        <v>310.2</v>
      </c>
      <c r="Y3862">
        <v>0</v>
      </c>
      <c r="Z3862"/>
      <c r="AB3862"/>
      <c r="AC3862">
        <v>282</v>
      </c>
      <c r="AD3862">
        <v>19</v>
      </c>
      <c r="AE3862" s="1">
        <v>5358</v>
      </c>
      <c r="AF3862">
        <v>0</v>
      </c>
      <c r="AJ3862">
        <v>0</v>
      </c>
      <c r="AK3862">
        <v>0</v>
      </c>
      <c r="AL3862">
        <v>0</v>
      </c>
      <c r="AM3862">
        <v>0</v>
      </c>
      <c r="AN3862">
        <v>0</v>
      </c>
      <c r="AO3862">
        <v>0</v>
      </c>
      <c r="AP3862" s="2">
        <v>42746</v>
      </c>
      <c r="AQ3862" t="s">
        <v>72</v>
      </c>
      <c r="AR3862" t="s">
        <v>72</v>
      </c>
      <c r="AS3862">
        <v>290</v>
      </c>
      <c r="AT3862" s="4">
        <v>42405</v>
      </c>
      <c r="AU3862" t="s">
        <v>73</v>
      </c>
      <c r="AV3862">
        <v>290</v>
      </c>
      <c r="AW3862" s="4">
        <v>42405</v>
      </c>
      <c r="BD3862">
        <v>0</v>
      </c>
      <c r="BN3862" t="s">
        <v>74</v>
      </c>
    </row>
    <row r="3863" spans="1:66" hidden="1">
      <c r="A3863">
        <v>101373</v>
      </c>
      <c r="B3863" s="3" t="s">
        <v>422</v>
      </c>
      <c r="C3863" s="1">
        <v>43300101</v>
      </c>
      <c r="D3863" t="s">
        <v>67</v>
      </c>
      <c r="H3863" t="str">
        <f t="shared" si="409"/>
        <v>00228550273</v>
      </c>
      <c r="I3863" t="str">
        <f t="shared" si="409"/>
        <v>00228550273</v>
      </c>
      <c r="K3863" t="str">
        <f>""</f>
        <v/>
      </c>
      <c r="M3863" t="s">
        <v>68</v>
      </c>
      <c r="N3863" t="str">
        <f t="shared" si="408"/>
        <v>FOR</v>
      </c>
      <c r="O3863" t="s">
        <v>69</v>
      </c>
      <c r="P3863" s="3" t="s">
        <v>75</v>
      </c>
      <c r="Q3863">
        <v>2015</v>
      </c>
      <c r="R3863" s="2">
        <v>42334</v>
      </c>
      <c r="S3863" s="2">
        <v>42338</v>
      </c>
      <c r="T3863" s="2">
        <v>42335</v>
      </c>
      <c r="U3863" s="2">
        <v>42395</v>
      </c>
      <c r="V3863" t="s">
        <v>71</v>
      </c>
      <c r="W3863" t="str">
        <f>"            15512750"</f>
        <v xml:space="preserve">            15512750</v>
      </c>
      <c r="X3863">
        <v>427.68</v>
      </c>
      <c r="Y3863">
        <v>0</v>
      </c>
      <c r="Z3863"/>
      <c r="AB3863"/>
      <c r="AC3863">
        <v>388.8</v>
      </c>
      <c r="AD3863">
        <v>10</v>
      </c>
      <c r="AE3863" s="1">
        <v>3888</v>
      </c>
      <c r="AF3863">
        <v>0</v>
      </c>
      <c r="AJ3863">
        <v>0</v>
      </c>
      <c r="AK3863">
        <v>0</v>
      </c>
      <c r="AL3863">
        <v>0</v>
      </c>
      <c r="AM3863">
        <v>0</v>
      </c>
      <c r="AN3863">
        <v>0</v>
      </c>
      <c r="AO3863">
        <v>0</v>
      </c>
      <c r="AP3863" s="2">
        <v>42746</v>
      </c>
      <c r="AQ3863" t="s">
        <v>72</v>
      </c>
      <c r="AR3863" t="s">
        <v>72</v>
      </c>
      <c r="AS3863">
        <v>290</v>
      </c>
      <c r="AT3863" s="4">
        <v>42405</v>
      </c>
      <c r="AU3863" t="s">
        <v>73</v>
      </c>
      <c r="AV3863">
        <v>290</v>
      </c>
      <c r="AW3863" s="4">
        <v>42405</v>
      </c>
      <c r="BD3863">
        <v>0</v>
      </c>
      <c r="BN3863" t="s">
        <v>74</v>
      </c>
    </row>
    <row r="3864" spans="1:66" hidden="1">
      <c r="A3864">
        <v>101373</v>
      </c>
      <c r="B3864" s="3" t="s">
        <v>422</v>
      </c>
      <c r="C3864" s="1">
        <v>43300101</v>
      </c>
      <c r="D3864" t="s">
        <v>67</v>
      </c>
      <c r="H3864" t="str">
        <f t="shared" si="409"/>
        <v>00228550273</v>
      </c>
      <c r="I3864" t="str">
        <f t="shared" si="409"/>
        <v>00228550273</v>
      </c>
      <c r="K3864" t="str">
        <f>""</f>
        <v/>
      </c>
      <c r="M3864" t="s">
        <v>68</v>
      </c>
      <c r="N3864" t="str">
        <f t="shared" si="408"/>
        <v>FOR</v>
      </c>
      <c r="O3864" t="s">
        <v>69</v>
      </c>
      <c r="P3864" s="3" t="s">
        <v>75</v>
      </c>
      <c r="Q3864">
        <v>2016</v>
      </c>
      <c r="R3864" s="2">
        <v>42467</v>
      </c>
      <c r="S3864" s="2">
        <v>42492</v>
      </c>
      <c r="T3864" s="2">
        <v>42489</v>
      </c>
      <c r="U3864" s="2">
        <v>42549</v>
      </c>
      <c r="V3864" t="s">
        <v>71</v>
      </c>
      <c r="W3864" t="str">
        <f>"            16505485"</f>
        <v xml:space="preserve">            16505485</v>
      </c>
      <c r="X3864">
        <v>427.68</v>
      </c>
      <c r="Y3864">
        <v>0</v>
      </c>
      <c r="Z3864"/>
      <c r="AB3864"/>
      <c r="AC3864">
        <v>388.8</v>
      </c>
      <c r="AD3864">
        <v>-20</v>
      </c>
      <c r="AE3864" s="1">
        <v>-7776</v>
      </c>
      <c r="AF3864">
        <v>0</v>
      </c>
      <c r="AJ3864">
        <v>0</v>
      </c>
      <c r="AK3864">
        <v>0</v>
      </c>
      <c r="AL3864">
        <v>0</v>
      </c>
      <c r="AM3864">
        <v>427.68</v>
      </c>
      <c r="AN3864">
        <v>427.68</v>
      </c>
      <c r="AO3864">
        <v>427.68</v>
      </c>
      <c r="AP3864" s="2">
        <v>42746</v>
      </c>
      <c r="AQ3864" t="s">
        <v>72</v>
      </c>
      <c r="AR3864" t="s">
        <v>72</v>
      </c>
      <c r="AS3864">
        <v>1594</v>
      </c>
      <c r="AT3864" s="4">
        <v>42529</v>
      </c>
      <c r="AV3864">
        <v>1594</v>
      </c>
      <c r="AW3864" s="4">
        <v>42529</v>
      </c>
      <c r="BD3864">
        <v>0</v>
      </c>
      <c r="BN3864" t="s">
        <v>74</v>
      </c>
    </row>
    <row r="3865" spans="1:66" hidden="1">
      <c r="A3865">
        <v>101373</v>
      </c>
      <c r="B3865" s="3" t="s">
        <v>422</v>
      </c>
      <c r="C3865" s="1">
        <v>43300101</v>
      </c>
      <c r="D3865" t="s">
        <v>67</v>
      </c>
      <c r="H3865" t="str">
        <f t="shared" si="409"/>
        <v>00228550273</v>
      </c>
      <c r="I3865" t="str">
        <f t="shared" si="409"/>
        <v>00228550273</v>
      </c>
      <c r="K3865" t="str">
        <f>""</f>
        <v/>
      </c>
      <c r="M3865" t="s">
        <v>68</v>
      </c>
      <c r="N3865" t="str">
        <f t="shared" si="408"/>
        <v>FOR</v>
      </c>
      <c r="O3865" t="s">
        <v>69</v>
      </c>
      <c r="P3865" s="3" t="s">
        <v>75</v>
      </c>
      <c r="Q3865">
        <v>2016</v>
      </c>
      <c r="R3865" s="2">
        <v>42521</v>
      </c>
      <c r="S3865" s="2">
        <v>42530</v>
      </c>
      <c r="T3865" s="2">
        <v>42527</v>
      </c>
      <c r="U3865" s="2">
        <v>42587</v>
      </c>
      <c r="V3865" t="s">
        <v>71</v>
      </c>
      <c r="W3865" t="str">
        <f>"            16509056"</f>
        <v xml:space="preserve">            16509056</v>
      </c>
      <c r="X3865">
        <v>436.92</v>
      </c>
      <c r="Y3865">
        <v>0</v>
      </c>
      <c r="Z3865"/>
      <c r="AB3865"/>
      <c r="AC3865">
        <v>397.2</v>
      </c>
      <c r="AD3865">
        <v>-10</v>
      </c>
      <c r="AE3865" s="1">
        <v>-3972</v>
      </c>
      <c r="AF3865">
        <v>0</v>
      </c>
      <c r="AJ3865">
        <v>0</v>
      </c>
      <c r="AK3865">
        <v>0</v>
      </c>
      <c r="AL3865">
        <v>0</v>
      </c>
      <c r="AM3865">
        <v>436.92</v>
      </c>
      <c r="AN3865">
        <v>436.92</v>
      </c>
      <c r="AO3865">
        <v>436.92</v>
      </c>
      <c r="AP3865" s="2">
        <v>42746</v>
      </c>
      <c r="AQ3865" t="s">
        <v>72</v>
      </c>
      <c r="AR3865" t="s">
        <v>72</v>
      </c>
      <c r="AS3865">
        <v>1965</v>
      </c>
      <c r="AT3865" s="4">
        <v>42577</v>
      </c>
      <c r="AV3865">
        <v>1965</v>
      </c>
      <c r="AW3865" s="4">
        <v>42577</v>
      </c>
      <c r="BD3865">
        <v>0</v>
      </c>
      <c r="BN3865" t="s">
        <v>74</v>
      </c>
    </row>
    <row r="3866" spans="1:66" hidden="1">
      <c r="A3866">
        <v>101373</v>
      </c>
      <c r="B3866" s="3" t="s">
        <v>422</v>
      </c>
      <c r="C3866" s="1">
        <v>43300101</v>
      </c>
      <c r="D3866" t="s">
        <v>67</v>
      </c>
      <c r="H3866" t="str">
        <f t="shared" si="409"/>
        <v>00228550273</v>
      </c>
      <c r="I3866" t="str">
        <f t="shared" si="409"/>
        <v>00228550273</v>
      </c>
      <c r="K3866" t="str">
        <f>""</f>
        <v/>
      </c>
      <c r="M3866" t="s">
        <v>68</v>
      </c>
      <c r="N3866" t="str">
        <f t="shared" si="408"/>
        <v>FOR</v>
      </c>
      <c r="O3866" t="s">
        <v>69</v>
      </c>
      <c r="P3866" s="3" t="s">
        <v>75</v>
      </c>
      <c r="Q3866">
        <v>2016</v>
      </c>
      <c r="R3866" s="2">
        <v>42528</v>
      </c>
      <c r="S3866" s="2">
        <v>42530</v>
      </c>
      <c r="T3866" s="2">
        <v>42528</v>
      </c>
      <c r="U3866" s="2">
        <v>42588</v>
      </c>
      <c r="V3866" t="s">
        <v>71</v>
      </c>
      <c r="W3866" t="str">
        <f>"            16509158"</f>
        <v xml:space="preserve">            16509158</v>
      </c>
      <c r="X3866" s="1">
        <v>1151.7</v>
      </c>
      <c r="Y3866">
        <v>0</v>
      </c>
      <c r="Z3866"/>
      <c r="AB3866"/>
      <c r="AC3866" s="1">
        <v>1047</v>
      </c>
      <c r="AD3866">
        <v>-11</v>
      </c>
      <c r="AE3866" s="1">
        <v>-11517</v>
      </c>
      <c r="AF3866">
        <v>0</v>
      </c>
      <c r="AJ3866">
        <v>0</v>
      </c>
      <c r="AK3866">
        <v>0</v>
      </c>
      <c r="AL3866">
        <v>0</v>
      </c>
      <c r="AM3866" s="1">
        <v>1151.7</v>
      </c>
      <c r="AN3866" s="1">
        <v>1151.7</v>
      </c>
      <c r="AO3866" s="1">
        <v>1151.7</v>
      </c>
      <c r="AP3866" s="2">
        <v>42746</v>
      </c>
      <c r="AQ3866" t="s">
        <v>72</v>
      </c>
      <c r="AR3866" t="s">
        <v>72</v>
      </c>
      <c r="AS3866">
        <v>1965</v>
      </c>
      <c r="AT3866" s="4">
        <v>42577</v>
      </c>
      <c r="AV3866">
        <v>1965</v>
      </c>
      <c r="AW3866" s="4">
        <v>42577</v>
      </c>
      <c r="BD3866">
        <v>0</v>
      </c>
      <c r="BN3866" t="s">
        <v>74</v>
      </c>
    </row>
    <row r="3867" spans="1:66" hidden="1">
      <c r="A3867">
        <v>101373</v>
      </c>
      <c r="B3867" s="3" t="s">
        <v>422</v>
      </c>
      <c r="C3867" s="1">
        <v>43300101</v>
      </c>
      <c r="D3867" t="s">
        <v>67</v>
      </c>
      <c r="H3867" t="str">
        <f t="shared" si="409"/>
        <v>00228550273</v>
      </c>
      <c r="I3867" t="str">
        <f t="shared" si="409"/>
        <v>00228550273</v>
      </c>
      <c r="K3867" t="str">
        <f>""</f>
        <v/>
      </c>
      <c r="M3867" t="s">
        <v>68</v>
      </c>
      <c r="N3867" t="str">
        <f t="shared" si="408"/>
        <v>FOR</v>
      </c>
      <c r="O3867" t="s">
        <v>69</v>
      </c>
      <c r="P3867" s="3" t="s">
        <v>75</v>
      </c>
      <c r="Q3867">
        <v>2016</v>
      </c>
      <c r="R3867" s="2">
        <v>42551</v>
      </c>
      <c r="S3867" s="2">
        <v>42556</v>
      </c>
      <c r="T3867" s="2">
        <v>42551</v>
      </c>
      <c r="U3867" s="2">
        <v>42611</v>
      </c>
      <c r="V3867" t="s">
        <v>71</v>
      </c>
      <c r="W3867" t="str">
        <f>"            16510751"</f>
        <v xml:space="preserve">            16510751</v>
      </c>
      <c r="X3867">
        <v>767.8</v>
      </c>
      <c r="Y3867">
        <v>0</v>
      </c>
      <c r="Z3867"/>
      <c r="AB3867"/>
      <c r="AC3867">
        <v>698</v>
      </c>
      <c r="AD3867">
        <v>-34</v>
      </c>
      <c r="AE3867" s="1">
        <v>-23732</v>
      </c>
      <c r="AF3867">
        <v>0</v>
      </c>
      <c r="AJ3867">
        <v>0</v>
      </c>
      <c r="AK3867">
        <v>0</v>
      </c>
      <c r="AL3867">
        <v>0</v>
      </c>
      <c r="AM3867">
        <v>767.8</v>
      </c>
      <c r="AN3867">
        <v>767.8</v>
      </c>
      <c r="AO3867">
        <v>767.8</v>
      </c>
      <c r="AP3867" s="2">
        <v>42746</v>
      </c>
      <c r="AQ3867" t="s">
        <v>72</v>
      </c>
      <c r="AR3867" t="s">
        <v>72</v>
      </c>
      <c r="AS3867">
        <v>1965</v>
      </c>
      <c r="AT3867" s="4">
        <v>42577</v>
      </c>
      <c r="AV3867">
        <v>1965</v>
      </c>
      <c r="AW3867" s="4">
        <v>42577</v>
      </c>
      <c r="BD3867">
        <v>0</v>
      </c>
      <c r="BN3867" t="s">
        <v>74</v>
      </c>
    </row>
    <row r="3868" spans="1:66" hidden="1">
      <c r="A3868">
        <v>101374</v>
      </c>
      <c r="B3868" s="3" t="s">
        <v>423</v>
      </c>
      <c r="C3868" s="1">
        <v>43500101</v>
      </c>
      <c r="D3868" t="s">
        <v>113</v>
      </c>
      <c r="H3868" t="str">
        <f t="shared" ref="H3868:H3882" si="410">"PRILSN78H42F839S"</f>
        <v>PRILSN78H42F839S</v>
      </c>
      <c r="I3868" t="str">
        <f t="shared" ref="I3868:I3882" si="411">"06711421211"</f>
        <v>06711421211</v>
      </c>
      <c r="K3868" t="str">
        <f>""</f>
        <v/>
      </c>
      <c r="M3868" t="s">
        <v>68</v>
      </c>
      <c r="N3868" t="str">
        <f t="shared" ref="N3868:N3882" si="412">"ALTPRO"</f>
        <v>ALTPRO</v>
      </c>
      <c r="O3868" t="s">
        <v>132</v>
      </c>
      <c r="P3868" s="3" t="s">
        <v>75</v>
      </c>
      <c r="Q3868">
        <v>2016</v>
      </c>
      <c r="R3868" s="2">
        <v>42384</v>
      </c>
      <c r="S3868" s="2">
        <v>42389</v>
      </c>
      <c r="T3868" s="2">
        <v>42388</v>
      </c>
      <c r="U3868" s="2">
        <v>42448</v>
      </c>
      <c r="V3868" t="s">
        <v>71</v>
      </c>
      <c r="W3868" t="str">
        <f>"         FATTPA 1_16"</f>
        <v xml:space="preserve">         FATTPA 1_16</v>
      </c>
      <c r="X3868" s="1">
        <v>1371.68</v>
      </c>
      <c r="Y3868">
        <v>-273.94</v>
      </c>
      <c r="Z3868"/>
      <c r="AB3868"/>
      <c r="AC3868" s="1">
        <v>1097.74</v>
      </c>
      <c r="AD3868">
        <v>-51</v>
      </c>
      <c r="AE3868" s="1">
        <v>-55984.74</v>
      </c>
      <c r="AF3868">
        <v>0</v>
      </c>
      <c r="AJ3868">
        <v>0</v>
      </c>
      <c r="AK3868">
        <v>0</v>
      </c>
      <c r="AL3868">
        <v>0</v>
      </c>
      <c r="AM3868">
        <v>-273.94</v>
      </c>
      <c r="AN3868" s="1">
        <v>1097.74</v>
      </c>
      <c r="AO3868" s="1">
        <v>1097.74</v>
      </c>
      <c r="AP3868" s="2">
        <v>42746</v>
      </c>
      <c r="AQ3868" t="s">
        <v>72</v>
      </c>
      <c r="AR3868" t="s">
        <v>72</v>
      </c>
      <c r="AS3868">
        <v>155</v>
      </c>
      <c r="AT3868" s="4">
        <v>42397</v>
      </c>
      <c r="AV3868">
        <v>155</v>
      </c>
      <c r="AW3868" s="4">
        <v>42397</v>
      </c>
      <c r="BD3868">
        <v>0</v>
      </c>
      <c r="BN3868" t="s">
        <v>74</v>
      </c>
    </row>
    <row r="3869" spans="1:66" hidden="1">
      <c r="A3869">
        <v>101374</v>
      </c>
      <c r="B3869" s="3" t="s">
        <v>423</v>
      </c>
      <c r="C3869" s="1">
        <v>43500101</v>
      </c>
      <c r="D3869" t="s">
        <v>113</v>
      </c>
      <c r="H3869" t="str">
        <f t="shared" si="410"/>
        <v>PRILSN78H42F839S</v>
      </c>
      <c r="I3869" t="str">
        <f t="shared" si="411"/>
        <v>06711421211</v>
      </c>
      <c r="K3869" t="str">
        <f>""</f>
        <v/>
      </c>
      <c r="M3869" t="s">
        <v>68</v>
      </c>
      <c r="N3869" t="str">
        <f t="shared" si="412"/>
        <v>ALTPRO</v>
      </c>
      <c r="O3869" t="s">
        <v>132</v>
      </c>
      <c r="P3869" s="3" t="s">
        <v>75</v>
      </c>
      <c r="Q3869">
        <v>2016</v>
      </c>
      <c r="R3869" s="2">
        <v>42411</v>
      </c>
      <c r="S3869" s="2">
        <v>42412</v>
      </c>
      <c r="T3869" s="2">
        <v>42411</v>
      </c>
      <c r="U3869" s="2">
        <v>42471</v>
      </c>
      <c r="V3869" t="s">
        <v>71</v>
      </c>
      <c r="W3869" t="str">
        <f>"         FATTPA 2_16"</f>
        <v xml:space="preserve">         FATTPA 2_16</v>
      </c>
      <c r="X3869" s="1">
        <v>1065.26</v>
      </c>
      <c r="Y3869">
        <v>-212.65</v>
      </c>
      <c r="Z3869"/>
      <c r="AB3869"/>
      <c r="AC3869">
        <v>852.61</v>
      </c>
      <c r="AD3869">
        <v>-45</v>
      </c>
      <c r="AE3869" s="1">
        <v>-38367.449999999997</v>
      </c>
      <c r="AF3869">
        <v>0</v>
      </c>
      <c r="AJ3869">
        <v>0</v>
      </c>
      <c r="AK3869">
        <v>0</v>
      </c>
      <c r="AL3869">
        <v>0</v>
      </c>
      <c r="AM3869">
        <v>852.61</v>
      </c>
      <c r="AN3869">
        <v>852.61</v>
      </c>
      <c r="AO3869">
        <v>852.61</v>
      </c>
      <c r="AP3869" s="2">
        <v>42746</v>
      </c>
      <c r="AQ3869" t="s">
        <v>72</v>
      </c>
      <c r="AR3869" t="s">
        <v>72</v>
      </c>
      <c r="AS3869">
        <v>556</v>
      </c>
      <c r="AT3869" s="4">
        <v>42426</v>
      </c>
      <c r="AV3869">
        <v>556</v>
      </c>
      <c r="AW3869" s="4">
        <v>42426</v>
      </c>
      <c r="BD3869">
        <v>0</v>
      </c>
      <c r="BN3869" t="s">
        <v>74</v>
      </c>
    </row>
    <row r="3870" spans="1:66" hidden="1">
      <c r="A3870">
        <v>101374</v>
      </c>
      <c r="B3870" s="3" t="s">
        <v>423</v>
      </c>
      <c r="C3870" s="1">
        <v>43500101</v>
      </c>
      <c r="D3870" t="s">
        <v>113</v>
      </c>
      <c r="H3870" t="str">
        <f t="shared" si="410"/>
        <v>PRILSN78H42F839S</v>
      </c>
      <c r="I3870" t="str">
        <f t="shared" si="411"/>
        <v>06711421211</v>
      </c>
      <c r="K3870" t="str">
        <f>""</f>
        <v/>
      </c>
      <c r="M3870" t="s">
        <v>68</v>
      </c>
      <c r="N3870" t="str">
        <f t="shared" si="412"/>
        <v>ALTPRO</v>
      </c>
      <c r="O3870" t="s">
        <v>132</v>
      </c>
      <c r="P3870" s="3" t="s">
        <v>75</v>
      </c>
      <c r="Q3870">
        <v>2016</v>
      </c>
      <c r="R3870" s="2">
        <v>42411</v>
      </c>
      <c r="S3870" s="2">
        <v>42412</v>
      </c>
      <c r="T3870" s="2">
        <v>42411</v>
      </c>
      <c r="U3870" s="2">
        <v>42471</v>
      </c>
      <c r="V3870" t="s">
        <v>71</v>
      </c>
      <c r="W3870" t="str">
        <f>"         FATTPA 3_16"</f>
        <v xml:space="preserve">         FATTPA 3_16</v>
      </c>
      <c r="X3870">
        <v>208.6</v>
      </c>
      <c r="Y3870">
        <v>-41.32</v>
      </c>
      <c r="Z3870"/>
      <c r="AB3870"/>
      <c r="AC3870">
        <v>167.28</v>
      </c>
      <c r="AD3870">
        <v>-45</v>
      </c>
      <c r="AE3870" s="1">
        <v>-7527.6</v>
      </c>
      <c r="AF3870">
        <v>0</v>
      </c>
      <c r="AJ3870">
        <v>0</v>
      </c>
      <c r="AK3870">
        <v>0</v>
      </c>
      <c r="AL3870">
        <v>0</v>
      </c>
      <c r="AM3870">
        <v>167.28</v>
      </c>
      <c r="AN3870">
        <v>167.28</v>
      </c>
      <c r="AO3870">
        <v>167.28</v>
      </c>
      <c r="AP3870" s="2">
        <v>42746</v>
      </c>
      <c r="AQ3870" t="s">
        <v>72</v>
      </c>
      <c r="AR3870" t="s">
        <v>72</v>
      </c>
      <c r="AS3870">
        <v>556</v>
      </c>
      <c r="AT3870" s="4">
        <v>42426</v>
      </c>
      <c r="AV3870">
        <v>556</v>
      </c>
      <c r="AW3870" s="4">
        <v>42426</v>
      </c>
      <c r="BD3870">
        <v>0</v>
      </c>
      <c r="BN3870" t="s">
        <v>74</v>
      </c>
    </row>
    <row r="3871" spans="1:66" hidden="1">
      <c r="A3871">
        <v>101374</v>
      </c>
      <c r="B3871" s="3" t="s">
        <v>423</v>
      </c>
      <c r="C3871" s="1">
        <v>43500101</v>
      </c>
      <c r="D3871" t="s">
        <v>113</v>
      </c>
      <c r="H3871" t="str">
        <f t="shared" si="410"/>
        <v>PRILSN78H42F839S</v>
      </c>
      <c r="I3871" t="str">
        <f t="shared" si="411"/>
        <v>06711421211</v>
      </c>
      <c r="K3871" t="str">
        <f>""</f>
        <v/>
      </c>
      <c r="M3871" t="s">
        <v>68</v>
      </c>
      <c r="N3871" t="str">
        <f t="shared" si="412"/>
        <v>ALTPRO</v>
      </c>
      <c r="O3871" t="s">
        <v>132</v>
      </c>
      <c r="P3871" s="3" t="s">
        <v>75</v>
      </c>
      <c r="Q3871">
        <v>2016</v>
      </c>
      <c r="R3871" s="2">
        <v>42426</v>
      </c>
      <c r="S3871" s="2">
        <v>42618</v>
      </c>
      <c r="T3871" s="2">
        <v>42426</v>
      </c>
      <c r="U3871" s="2">
        <v>42486</v>
      </c>
      <c r="V3871" t="s">
        <v>71</v>
      </c>
      <c r="W3871" t="str">
        <f>"         FATTPA 4_16"</f>
        <v xml:space="preserve">         FATTPA 4_16</v>
      </c>
      <c r="X3871">
        <v>230.01</v>
      </c>
      <c r="Y3871">
        <v>-45.6</v>
      </c>
      <c r="Z3871"/>
      <c r="AB3871"/>
      <c r="AC3871">
        <v>184.41</v>
      </c>
      <c r="AD3871">
        <v>133</v>
      </c>
      <c r="AE3871" s="1">
        <v>24526.53</v>
      </c>
      <c r="AF3871">
        <v>0</v>
      </c>
      <c r="AJ3871">
        <v>0</v>
      </c>
      <c r="AK3871">
        <v>0</v>
      </c>
      <c r="AL3871">
        <v>0</v>
      </c>
      <c r="AM3871">
        <v>184.41</v>
      </c>
      <c r="AN3871">
        <v>184.41</v>
      </c>
      <c r="AO3871">
        <v>184.41</v>
      </c>
      <c r="AP3871" s="2">
        <v>42746</v>
      </c>
      <c r="AQ3871" t="s">
        <v>72</v>
      </c>
      <c r="AR3871" t="s">
        <v>72</v>
      </c>
      <c r="AS3871">
        <v>2266</v>
      </c>
      <c r="AT3871" s="4">
        <v>42619</v>
      </c>
      <c r="AU3871" t="s">
        <v>73</v>
      </c>
      <c r="AV3871">
        <v>2266</v>
      </c>
      <c r="AW3871" s="4">
        <v>42619</v>
      </c>
      <c r="BD3871">
        <v>0</v>
      </c>
      <c r="BN3871" t="s">
        <v>74</v>
      </c>
    </row>
    <row r="3872" spans="1:66" hidden="1">
      <c r="A3872">
        <v>101374</v>
      </c>
      <c r="B3872" s="3" t="s">
        <v>423</v>
      </c>
      <c r="C3872" s="1">
        <v>43500101</v>
      </c>
      <c r="D3872" t="s">
        <v>113</v>
      </c>
      <c r="H3872" t="str">
        <f t="shared" si="410"/>
        <v>PRILSN78H42F839S</v>
      </c>
      <c r="I3872" t="str">
        <f t="shared" si="411"/>
        <v>06711421211</v>
      </c>
      <c r="K3872" t="str">
        <f>""</f>
        <v/>
      </c>
      <c r="M3872" t="s">
        <v>68</v>
      </c>
      <c r="N3872" t="str">
        <f t="shared" si="412"/>
        <v>ALTPRO</v>
      </c>
      <c r="O3872" t="s">
        <v>132</v>
      </c>
      <c r="P3872" s="3" t="s">
        <v>75</v>
      </c>
      <c r="Q3872">
        <v>2016</v>
      </c>
      <c r="R3872" s="2">
        <v>42432</v>
      </c>
      <c r="S3872" s="2">
        <v>42433</v>
      </c>
      <c r="T3872" s="2">
        <v>42432</v>
      </c>
      <c r="U3872" s="2">
        <v>42492</v>
      </c>
      <c r="V3872" t="s">
        <v>71</v>
      </c>
      <c r="W3872" t="str">
        <f>"         FATTPA 5_16"</f>
        <v xml:space="preserve">         FATTPA 5_16</v>
      </c>
      <c r="X3872" s="1">
        <v>1886.18</v>
      </c>
      <c r="Y3872">
        <v>-376.84</v>
      </c>
      <c r="Z3872"/>
      <c r="AB3872"/>
      <c r="AC3872" s="1">
        <v>1509.34</v>
      </c>
      <c r="AD3872">
        <v>-41</v>
      </c>
      <c r="AE3872" s="1">
        <v>-61882.94</v>
      </c>
      <c r="AF3872">
        <v>0</v>
      </c>
      <c r="AJ3872">
        <v>0</v>
      </c>
      <c r="AK3872">
        <v>0</v>
      </c>
      <c r="AL3872">
        <v>0</v>
      </c>
      <c r="AM3872" s="1">
        <v>1509.34</v>
      </c>
      <c r="AN3872" s="1">
        <v>1509.34</v>
      </c>
      <c r="AO3872" s="1">
        <v>1509.34</v>
      </c>
      <c r="AP3872" s="2">
        <v>42746</v>
      </c>
      <c r="AQ3872" t="s">
        <v>72</v>
      </c>
      <c r="AR3872" t="s">
        <v>72</v>
      </c>
      <c r="AS3872">
        <v>746</v>
      </c>
      <c r="AT3872" s="4">
        <v>42451</v>
      </c>
      <c r="AV3872">
        <v>746</v>
      </c>
      <c r="AW3872" s="4">
        <v>42451</v>
      </c>
      <c r="BD3872">
        <v>0</v>
      </c>
      <c r="BN3872" t="s">
        <v>74</v>
      </c>
    </row>
    <row r="3873" spans="1:66" hidden="1">
      <c r="A3873">
        <v>101374</v>
      </c>
      <c r="B3873" s="3" t="s">
        <v>423</v>
      </c>
      <c r="C3873" s="1">
        <v>43500101</v>
      </c>
      <c r="D3873" t="s">
        <v>113</v>
      </c>
      <c r="H3873" t="str">
        <f t="shared" si="410"/>
        <v>PRILSN78H42F839S</v>
      </c>
      <c r="I3873" t="str">
        <f t="shared" si="411"/>
        <v>06711421211</v>
      </c>
      <c r="K3873" t="str">
        <f>""</f>
        <v/>
      </c>
      <c r="M3873" t="s">
        <v>68</v>
      </c>
      <c r="N3873" t="str">
        <f t="shared" si="412"/>
        <v>ALTPRO</v>
      </c>
      <c r="O3873" t="s">
        <v>132</v>
      </c>
      <c r="P3873" s="3" t="s">
        <v>75</v>
      </c>
      <c r="Q3873">
        <v>2016</v>
      </c>
      <c r="R3873" s="2">
        <v>42466</v>
      </c>
      <c r="S3873" s="2">
        <v>42466</v>
      </c>
      <c r="T3873" s="2">
        <v>42466</v>
      </c>
      <c r="U3873" s="2">
        <v>42526</v>
      </c>
      <c r="V3873" t="s">
        <v>71</v>
      </c>
      <c r="W3873" t="str">
        <f>"         FATTPA 6_16"</f>
        <v xml:space="preserve">         FATTPA 6_16</v>
      </c>
      <c r="X3873" s="1">
        <v>2126.7600000000002</v>
      </c>
      <c r="Y3873">
        <v>-424.95</v>
      </c>
      <c r="Z3873"/>
      <c r="AB3873"/>
      <c r="AC3873" s="1">
        <v>1701.81</v>
      </c>
      <c r="AD3873">
        <v>-39</v>
      </c>
      <c r="AE3873" s="1">
        <v>-66370.59</v>
      </c>
      <c r="AF3873">
        <v>0</v>
      </c>
      <c r="AJ3873">
        <v>0</v>
      </c>
      <c r="AK3873">
        <v>0</v>
      </c>
      <c r="AL3873">
        <v>0</v>
      </c>
      <c r="AM3873" s="1">
        <v>1701.81</v>
      </c>
      <c r="AN3873" s="1">
        <v>1701.81</v>
      </c>
      <c r="AO3873" s="1">
        <v>1701.81</v>
      </c>
      <c r="AP3873" s="2">
        <v>42746</v>
      </c>
      <c r="AQ3873" t="s">
        <v>72</v>
      </c>
      <c r="AR3873" t="s">
        <v>72</v>
      </c>
      <c r="AS3873">
        <v>1155</v>
      </c>
      <c r="AT3873" s="4">
        <v>42487</v>
      </c>
      <c r="AV3873">
        <v>1155</v>
      </c>
      <c r="AW3873" s="4">
        <v>42487</v>
      </c>
      <c r="BD3873">
        <v>0</v>
      </c>
      <c r="BN3873" t="s">
        <v>74</v>
      </c>
    </row>
    <row r="3874" spans="1:66" hidden="1">
      <c r="A3874">
        <v>101374</v>
      </c>
      <c r="B3874" s="3" t="s">
        <v>423</v>
      </c>
      <c r="C3874" s="1">
        <v>43500101</v>
      </c>
      <c r="D3874" t="s">
        <v>113</v>
      </c>
      <c r="H3874" t="str">
        <f t="shared" si="410"/>
        <v>PRILSN78H42F839S</v>
      </c>
      <c r="I3874" t="str">
        <f t="shared" si="411"/>
        <v>06711421211</v>
      </c>
      <c r="K3874" t="str">
        <f>""</f>
        <v/>
      </c>
      <c r="M3874" t="s">
        <v>68</v>
      </c>
      <c r="N3874" t="str">
        <f t="shared" si="412"/>
        <v>ALTPRO</v>
      </c>
      <c r="O3874" t="s">
        <v>132</v>
      </c>
      <c r="P3874" s="3" t="s">
        <v>75</v>
      </c>
      <c r="Q3874">
        <v>2016</v>
      </c>
      <c r="R3874" s="2">
        <v>42494</v>
      </c>
      <c r="S3874" s="2">
        <v>42495</v>
      </c>
      <c r="T3874" s="2">
        <v>42495</v>
      </c>
      <c r="U3874" s="2">
        <v>42555</v>
      </c>
      <c r="V3874" t="s">
        <v>71</v>
      </c>
      <c r="W3874" t="str">
        <f>"         FATTPA 7_16"</f>
        <v xml:space="preserve">         FATTPA 7_16</v>
      </c>
      <c r="X3874" s="1">
        <v>1855.81</v>
      </c>
      <c r="Y3874">
        <v>-370.76</v>
      </c>
      <c r="Z3874"/>
      <c r="AB3874"/>
      <c r="AC3874" s="1">
        <v>1485.05</v>
      </c>
      <c r="AD3874">
        <v>-39</v>
      </c>
      <c r="AE3874" s="1">
        <v>-57916.95</v>
      </c>
      <c r="AF3874">
        <v>0</v>
      </c>
      <c r="AJ3874">
        <v>0</v>
      </c>
      <c r="AK3874">
        <v>0</v>
      </c>
      <c r="AL3874">
        <v>0</v>
      </c>
      <c r="AM3874" s="1">
        <v>1485.05</v>
      </c>
      <c r="AN3874" s="1">
        <v>1485.05</v>
      </c>
      <c r="AO3874" s="1">
        <v>1485.05</v>
      </c>
      <c r="AP3874" s="2">
        <v>42746</v>
      </c>
      <c r="AQ3874" t="s">
        <v>72</v>
      </c>
      <c r="AR3874" t="s">
        <v>72</v>
      </c>
      <c r="AS3874">
        <v>1380</v>
      </c>
      <c r="AT3874" s="4">
        <v>42516</v>
      </c>
      <c r="AV3874">
        <v>1380</v>
      </c>
      <c r="AW3874" s="4">
        <v>42516</v>
      </c>
      <c r="BD3874">
        <v>0</v>
      </c>
      <c r="BN3874" t="s">
        <v>74</v>
      </c>
    </row>
    <row r="3875" spans="1:66" hidden="1">
      <c r="A3875">
        <v>101374</v>
      </c>
      <c r="B3875" s="3" t="s">
        <v>423</v>
      </c>
      <c r="C3875" s="1">
        <v>43500101</v>
      </c>
      <c r="D3875" t="s">
        <v>113</v>
      </c>
      <c r="H3875" t="str">
        <f t="shared" si="410"/>
        <v>PRILSN78H42F839S</v>
      </c>
      <c r="I3875" t="str">
        <f t="shared" si="411"/>
        <v>06711421211</v>
      </c>
      <c r="K3875" t="str">
        <f>""</f>
        <v/>
      </c>
      <c r="M3875" t="s">
        <v>68</v>
      </c>
      <c r="N3875" t="str">
        <f t="shared" si="412"/>
        <v>ALTPRO</v>
      </c>
      <c r="O3875" t="s">
        <v>132</v>
      </c>
      <c r="P3875" s="3" t="s">
        <v>75</v>
      </c>
      <c r="Q3875">
        <v>2016</v>
      </c>
      <c r="R3875" s="2">
        <v>42525</v>
      </c>
      <c r="S3875" s="2">
        <v>42527</v>
      </c>
      <c r="T3875" s="2">
        <v>42525</v>
      </c>
      <c r="U3875" s="2">
        <v>42585</v>
      </c>
      <c r="V3875" t="s">
        <v>71</v>
      </c>
      <c r="W3875" t="str">
        <f>"         FATTPA 8_16"</f>
        <v xml:space="preserve">         FATTPA 8_16</v>
      </c>
      <c r="X3875" s="1">
        <v>2197</v>
      </c>
      <c r="Y3875">
        <v>-439</v>
      </c>
      <c r="Z3875"/>
      <c r="AB3875"/>
      <c r="AC3875" s="1">
        <v>1758</v>
      </c>
      <c r="AD3875">
        <v>-57</v>
      </c>
      <c r="AE3875" s="1">
        <v>-100206</v>
      </c>
      <c r="AF3875">
        <v>0</v>
      </c>
      <c r="AJ3875">
        <v>0</v>
      </c>
      <c r="AK3875">
        <v>0</v>
      </c>
      <c r="AL3875">
        <v>0</v>
      </c>
      <c r="AM3875" s="1">
        <v>1758</v>
      </c>
      <c r="AN3875" s="1">
        <v>1758</v>
      </c>
      <c r="AO3875" s="1">
        <v>1758</v>
      </c>
      <c r="AP3875" s="2">
        <v>42746</v>
      </c>
      <c r="AQ3875" t="s">
        <v>72</v>
      </c>
      <c r="AR3875" t="s">
        <v>72</v>
      </c>
      <c r="AS3875">
        <v>1566</v>
      </c>
      <c r="AT3875" s="4">
        <v>42528</v>
      </c>
      <c r="AV3875">
        <v>1566</v>
      </c>
      <c r="AW3875" s="4">
        <v>42528</v>
      </c>
      <c r="BD3875">
        <v>0</v>
      </c>
      <c r="BN3875" t="s">
        <v>74</v>
      </c>
    </row>
    <row r="3876" spans="1:66" hidden="1">
      <c r="A3876">
        <v>101374</v>
      </c>
      <c r="B3876" s="3" t="s">
        <v>423</v>
      </c>
      <c r="C3876" s="1">
        <v>43500101</v>
      </c>
      <c r="D3876" t="s">
        <v>113</v>
      </c>
      <c r="H3876" t="str">
        <f t="shared" si="410"/>
        <v>PRILSN78H42F839S</v>
      </c>
      <c r="I3876" t="str">
        <f t="shared" si="411"/>
        <v>06711421211</v>
      </c>
      <c r="K3876" t="str">
        <f>""</f>
        <v/>
      </c>
      <c r="M3876" t="s">
        <v>68</v>
      </c>
      <c r="N3876" t="str">
        <f t="shared" si="412"/>
        <v>ALTPRO</v>
      </c>
      <c r="O3876" t="s">
        <v>132</v>
      </c>
      <c r="P3876" s="3" t="s">
        <v>75</v>
      </c>
      <c r="Q3876">
        <v>2016</v>
      </c>
      <c r="R3876" s="2">
        <v>42555</v>
      </c>
      <c r="S3876" s="2">
        <v>42555</v>
      </c>
      <c r="T3876" s="2">
        <v>42555</v>
      </c>
      <c r="U3876" s="2">
        <v>42615</v>
      </c>
      <c r="V3876" t="s">
        <v>71</v>
      </c>
      <c r="W3876" t="str">
        <f>"        FATTPA 10_16"</f>
        <v xml:space="preserve">        FATTPA 10_16</v>
      </c>
      <c r="X3876" s="1">
        <v>2021.4</v>
      </c>
      <c r="Y3876">
        <v>-403.88</v>
      </c>
      <c r="Z3876"/>
      <c r="AB3876"/>
      <c r="AC3876" s="1">
        <v>1617.52</v>
      </c>
      <c r="AD3876">
        <v>-49</v>
      </c>
      <c r="AE3876" s="1">
        <v>-79258.48</v>
      </c>
      <c r="AF3876">
        <v>0</v>
      </c>
      <c r="AJ3876">
        <v>0</v>
      </c>
      <c r="AK3876">
        <v>0</v>
      </c>
      <c r="AL3876">
        <v>0</v>
      </c>
      <c r="AM3876" s="1">
        <v>1617.52</v>
      </c>
      <c r="AN3876" s="1">
        <v>1617.52</v>
      </c>
      <c r="AO3876" s="1">
        <v>1617.52</v>
      </c>
      <c r="AP3876" s="2">
        <v>42746</v>
      </c>
      <c r="AQ3876" t="s">
        <v>72</v>
      </c>
      <c r="AR3876" t="s">
        <v>72</v>
      </c>
      <c r="AS3876">
        <v>1795</v>
      </c>
      <c r="AT3876" s="4">
        <v>42566</v>
      </c>
      <c r="AV3876">
        <v>1795</v>
      </c>
      <c r="AW3876" s="4">
        <v>42566</v>
      </c>
      <c r="BD3876">
        <v>0</v>
      </c>
      <c r="BN3876" t="s">
        <v>74</v>
      </c>
    </row>
    <row r="3877" spans="1:66" hidden="1">
      <c r="A3877">
        <v>101374</v>
      </c>
      <c r="B3877" s="3" t="s">
        <v>423</v>
      </c>
      <c r="C3877" s="1">
        <v>43500101</v>
      </c>
      <c r="D3877" t="s">
        <v>113</v>
      </c>
      <c r="H3877" t="str">
        <f t="shared" si="410"/>
        <v>PRILSN78H42F839S</v>
      </c>
      <c r="I3877" t="str">
        <f t="shared" si="411"/>
        <v>06711421211</v>
      </c>
      <c r="K3877" t="str">
        <f>""</f>
        <v/>
      </c>
      <c r="M3877" t="s">
        <v>68</v>
      </c>
      <c r="N3877" t="str">
        <f t="shared" si="412"/>
        <v>ALTPRO</v>
      </c>
      <c r="O3877" t="s">
        <v>132</v>
      </c>
      <c r="P3877" s="3" t="s">
        <v>75</v>
      </c>
      <c r="Q3877">
        <v>2016</v>
      </c>
      <c r="R3877" s="2">
        <v>42583</v>
      </c>
      <c r="S3877" s="2">
        <v>42584</v>
      </c>
      <c r="T3877" s="2">
        <v>42584</v>
      </c>
      <c r="U3877" s="2">
        <v>42644</v>
      </c>
      <c r="V3877" t="s">
        <v>71</v>
      </c>
      <c r="W3877" t="str">
        <f>"        FATTPA 11_16"</f>
        <v xml:space="preserve">        FATTPA 11_16</v>
      </c>
      <c r="X3877" s="1">
        <v>1026.98</v>
      </c>
      <c r="Y3877">
        <v>-205</v>
      </c>
      <c r="Z3877"/>
      <c r="AB3877"/>
      <c r="AC3877">
        <v>821.98</v>
      </c>
      <c r="AD3877">
        <v>-59</v>
      </c>
      <c r="AE3877" s="1">
        <v>-48496.82</v>
      </c>
      <c r="AF3877">
        <v>0</v>
      </c>
      <c r="AJ3877">
        <v>0</v>
      </c>
      <c r="AK3877">
        <v>0</v>
      </c>
      <c r="AL3877">
        <v>0</v>
      </c>
      <c r="AM3877">
        <v>821.98</v>
      </c>
      <c r="AN3877">
        <v>821.98</v>
      </c>
      <c r="AO3877">
        <v>821.98</v>
      </c>
      <c r="AP3877" s="2">
        <v>42746</v>
      </c>
      <c r="AQ3877" t="s">
        <v>72</v>
      </c>
      <c r="AR3877" t="s">
        <v>72</v>
      </c>
      <c r="AS3877">
        <v>2060</v>
      </c>
      <c r="AT3877" s="4">
        <v>42585</v>
      </c>
      <c r="AV3877">
        <v>2060</v>
      </c>
      <c r="AW3877" s="4">
        <v>42585</v>
      </c>
      <c r="BD3877">
        <v>0</v>
      </c>
      <c r="BN3877" t="s">
        <v>74</v>
      </c>
    </row>
    <row r="3878" spans="1:66" hidden="1">
      <c r="A3878">
        <v>101374</v>
      </c>
      <c r="B3878" s="3" t="s">
        <v>423</v>
      </c>
      <c r="C3878" s="1">
        <v>43500101</v>
      </c>
      <c r="D3878" t="s">
        <v>113</v>
      </c>
      <c r="H3878" t="str">
        <f t="shared" si="410"/>
        <v>PRILSN78H42F839S</v>
      </c>
      <c r="I3878" t="str">
        <f t="shared" si="411"/>
        <v>06711421211</v>
      </c>
      <c r="K3878" t="str">
        <f>""</f>
        <v/>
      </c>
      <c r="M3878" t="s">
        <v>68</v>
      </c>
      <c r="N3878" t="str">
        <f t="shared" si="412"/>
        <v>ALTPRO</v>
      </c>
      <c r="O3878" t="s">
        <v>132</v>
      </c>
      <c r="P3878" s="3" t="s">
        <v>75</v>
      </c>
      <c r="Q3878">
        <v>2016</v>
      </c>
      <c r="R3878" s="2">
        <v>42603</v>
      </c>
      <c r="S3878" s="2">
        <v>42614</v>
      </c>
      <c r="T3878" s="2">
        <v>42603</v>
      </c>
      <c r="U3878" s="2">
        <v>42663</v>
      </c>
      <c r="V3878" t="s">
        <v>71</v>
      </c>
      <c r="W3878" t="str">
        <f>"        FATTPA 12_16"</f>
        <v xml:space="preserve">        FATTPA 12_16</v>
      </c>
      <c r="X3878">
        <v>260.25</v>
      </c>
      <c r="Y3878">
        <v>-51.65</v>
      </c>
      <c r="Z3878"/>
      <c r="AB3878"/>
      <c r="AC3878">
        <v>208.6</v>
      </c>
      <c r="AD3878">
        <v>-44</v>
      </c>
      <c r="AE3878" s="1">
        <v>-9178.4</v>
      </c>
      <c r="AF3878">
        <v>0</v>
      </c>
      <c r="AJ3878">
        <v>0</v>
      </c>
      <c r="AK3878">
        <v>0</v>
      </c>
      <c r="AL3878">
        <v>0</v>
      </c>
      <c r="AM3878">
        <v>208.6</v>
      </c>
      <c r="AN3878">
        <v>208.6</v>
      </c>
      <c r="AO3878">
        <v>208.6</v>
      </c>
      <c r="AP3878" s="2">
        <v>42746</v>
      </c>
      <c r="AQ3878" t="s">
        <v>72</v>
      </c>
      <c r="AR3878" t="s">
        <v>72</v>
      </c>
      <c r="AS3878">
        <v>2266</v>
      </c>
      <c r="AT3878" s="4">
        <v>42619</v>
      </c>
      <c r="AV3878">
        <v>2266</v>
      </c>
      <c r="AW3878" s="4">
        <v>42619</v>
      </c>
      <c r="BD3878">
        <v>0</v>
      </c>
      <c r="BN3878" t="s">
        <v>74</v>
      </c>
    </row>
    <row r="3879" spans="1:66">
      <c r="A3879">
        <v>101374</v>
      </c>
      <c r="B3879" s="3" t="s">
        <v>423</v>
      </c>
      <c r="C3879" s="1">
        <v>43500101</v>
      </c>
      <c r="D3879" t="s">
        <v>113</v>
      </c>
      <c r="H3879" t="str">
        <f t="shared" si="410"/>
        <v>PRILSN78H42F839S</v>
      </c>
      <c r="I3879" t="str">
        <f t="shared" si="411"/>
        <v>06711421211</v>
      </c>
      <c r="K3879" t="str">
        <f>""</f>
        <v/>
      </c>
      <c r="M3879" t="s">
        <v>68</v>
      </c>
      <c r="N3879" t="str">
        <f t="shared" si="412"/>
        <v>ALTPRO</v>
      </c>
      <c r="O3879" t="s">
        <v>132</v>
      </c>
      <c r="P3879" s="3" t="s">
        <v>75</v>
      </c>
      <c r="Q3879">
        <v>2016</v>
      </c>
      <c r="R3879" s="2">
        <v>42646</v>
      </c>
      <c r="S3879" s="2">
        <v>42647</v>
      </c>
      <c r="T3879" s="2">
        <v>42647</v>
      </c>
      <c r="U3879" s="2">
        <v>42707</v>
      </c>
      <c r="V3879" t="s">
        <v>71</v>
      </c>
      <c r="W3879" t="str">
        <f>"        FATTPA 14_16"</f>
        <v xml:space="preserve">        FATTPA 14_16</v>
      </c>
      <c r="X3879" s="1">
        <v>1937.16</v>
      </c>
      <c r="Y3879">
        <v>-387.43</v>
      </c>
      <c r="Z3879" s="5">
        <v>1549.73</v>
      </c>
      <c r="AA3879">
        <v>-39</v>
      </c>
      <c r="AB3879" s="5">
        <v>-60439.47</v>
      </c>
      <c r="AC3879" s="1">
        <v>1549.73</v>
      </c>
      <c r="AD3879">
        <v>-39</v>
      </c>
      <c r="AE3879" s="1">
        <v>-60439.47</v>
      </c>
      <c r="AF3879">
        <v>0</v>
      </c>
      <c r="AJ3879">
        <v>-387.43</v>
      </c>
      <c r="AK3879" s="1">
        <v>1549.73</v>
      </c>
      <c r="AL3879" s="1">
        <v>1549.73</v>
      </c>
      <c r="AM3879" s="1">
        <v>1549.73</v>
      </c>
      <c r="AN3879" s="1">
        <v>1549.73</v>
      </c>
      <c r="AO3879" s="1">
        <v>1549.73</v>
      </c>
      <c r="AP3879" s="2">
        <v>42746</v>
      </c>
      <c r="AQ3879" t="s">
        <v>72</v>
      </c>
      <c r="AR3879" t="s">
        <v>72</v>
      </c>
      <c r="AS3879">
        <v>2856</v>
      </c>
      <c r="AT3879" s="4">
        <v>42668</v>
      </c>
      <c r="AV3879">
        <v>2856</v>
      </c>
      <c r="AW3879" s="4">
        <v>42668</v>
      </c>
      <c r="BD3879">
        <v>0</v>
      </c>
      <c r="BN3879" t="s">
        <v>74</v>
      </c>
    </row>
    <row r="3880" spans="1:66">
      <c r="A3880">
        <v>101374</v>
      </c>
      <c r="B3880" s="3" t="s">
        <v>423</v>
      </c>
      <c r="C3880" s="1">
        <v>43500101</v>
      </c>
      <c r="D3880" t="s">
        <v>113</v>
      </c>
      <c r="H3880" t="str">
        <f t="shared" si="410"/>
        <v>PRILSN78H42F839S</v>
      </c>
      <c r="I3880" t="str">
        <f t="shared" si="411"/>
        <v>06711421211</v>
      </c>
      <c r="K3880" t="str">
        <f>""</f>
        <v/>
      </c>
      <c r="M3880" t="s">
        <v>68</v>
      </c>
      <c r="N3880" t="str">
        <f t="shared" si="412"/>
        <v>ALTPRO</v>
      </c>
      <c r="O3880" t="s">
        <v>132</v>
      </c>
      <c r="P3880" s="3" t="s">
        <v>75</v>
      </c>
      <c r="Q3880">
        <v>2016</v>
      </c>
      <c r="R3880" s="2">
        <v>42647</v>
      </c>
      <c r="S3880" s="2">
        <v>42647</v>
      </c>
      <c r="T3880" s="2">
        <v>42647</v>
      </c>
      <c r="U3880" s="2">
        <v>42707</v>
      </c>
      <c r="V3880" t="s">
        <v>71</v>
      </c>
      <c r="W3880" t="str">
        <f>"        FATTPA 15_16"</f>
        <v xml:space="preserve">        FATTPA 15_16</v>
      </c>
      <c r="X3880" s="1">
        <v>2469.4699999999998</v>
      </c>
      <c r="Y3880">
        <v>-493.49</v>
      </c>
      <c r="Z3880" s="5">
        <v>1975.98</v>
      </c>
      <c r="AA3880">
        <v>-39</v>
      </c>
      <c r="AB3880" s="5">
        <v>-77063.22</v>
      </c>
      <c r="AC3880" s="1">
        <v>1975.98</v>
      </c>
      <c r="AD3880">
        <v>-39</v>
      </c>
      <c r="AE3880" s="1">
        <v>-77063.22</v>
      </c>
      <c r="AF3880">
        <v>0</v>
      </c>
      <c r="AJ3880">
        <v>-493.49</v>
      </c>
      <c r="AK3880" s="1">
        <v>1975.98</v>
      </c>
      <c r="AL3880" s="1">
        <v>1975.98</v>
      </c>
      <c r="AM3880" s="1">
        <v>1975.98</v>
      </c>
      <c r="AN3880" s="1">
        <v>1975.98</v>
      </c>
      <c r="AO3880" s="1">
        <v>1975.98</v>
      </c>
      <c r="AP3880" s="2">
        <v>42746</v>
      </c>
      <c r="AQ3880" t="s">
        <v>72</v>
      </c>
      <c r="AR3880" t="s">
        <v>72</v>
      </c>
      <c r="AS3880">
        <v>2856</v>
      </c>
      <c r="AT3880" s="4">
        <v>42668</v>
      </c>
      <c r="AV3880">
        <v>2856</v>
      </c>
      <c r="AW3880" s="4">
        <v>42668</v>
      </c>
      <c r="BD3880">
        <v>0</v>
      </c>
      <c r="BN3880" t="s">
        <v>74</v>
      </c>
    </row>
    <row r="3881" spans="1:66">
      <c r="A3881">
        <v>101374</v>
      </c>
      <c r="B3881" s="3" t="s">
        <v>423</v>
      </c>
      <c r="C3881" s="1">
        <v>43500101</v>
      </c>
      <c r="D3881" t="s">
        <v>113</v>
      </c>
      <c r="H3881" t="str">
        <f t="shared" si="410"/>
        <v>PRILSN78H42F839S</v>
      </c>
      <c r="I3881" t="str">
        <f t="shared" si="411"/>
        <v>06711421211</v>
      </c>
      <c r="K3881" t="str">
        <f>""</f>
        <v/>
      </c>
      <c r="M3881" t="s">
        <v>68</v>
      </c>
      <c r="N3881" t="str">
        <f t="shared" si="412"/>
        <v>ALTPRO</v>
      </c>
      <c r="O3881" t="s">
        <v>132</v>
      </c>
      <c r="P3881" s="3" t="s">
        <v>75</v>
      </c>
      <c r="Q3881">
        <v>2016</v>
      </c>
      <c r="R3881" s="2">
        <v>42677</v>
      </c>
      <c r="S3881" s="2">
        <v>42678</v>
      </c>
      <c r="T3881" s="2">
        <v>42678</v>
      </c>
      <c r="U3881" s="2">
        <v>42738</v>
      </c>
      <c r="V3881" t="s">
        <v>71</v>
      </c>
      <c r="W3881" t="str">
        <f>"        FATTPA 16_16"</f>
        <v xml:space="preserve">        FATTPA 16_16</v>
      </c>
      <c r="X3881" s="1">
        <v>2103.6799999999998</v>
      </c>
      <c r="Y3881">
        <v>-420.74</v>
      </c>
      <c r="Z3881" s="5">
        <v>1682.94</v>
      </c>
      <c r="AA3881">
        <v>-56</v>
      </c>
      <c r="AB3881" s="5">
        <v>-94244.64</v>
      </c>
      <c r="AC3881" s="1">
        <v>1682.94</v>
      </c>
      <c r="AD3881">
        <v>-56</v>
      </c>
      <c r="AE3881" s="1">
        <v>-94244.64</v>
      </c>
      <c r="AF3881">
        <v>0</v>
      </c>
      <c r="AJ3881" s="1">
        <v>1682.94</v>
      </c>
      <c r="AK3881" s="1">
        <v>1682.94</v>
      </c>
      <c r="AL3881" s="1">
        <v>1682.94</v>
      </c>
      <c r="AM3881" s="1">
        <v>1682.94</v>
      </c>
      <c r="AN3881" s="1">
        <v>1682.94</v>
      </c>
      <c r="AO3881" s="1">
        <v>1682.94</v>
      </c>
      <c r="AP3881" s="2">
        <v>42746</v>
      </c>
      <c r="AQ3881" t="s">
        <v>72</v>
      </c>
      <c r="AR3881" t="s">
        <v>72</v>
      </c>
      <c r="AS3881">
        <v>2953</v>
      </c>
      <c r="AT3881" s="4">
        <v>42682</v>
      </c>
      <c r="AV3881">
        <v>2953</v>
      </c>
      <c r="AW3881" s="4">
        <v>42682</v>
      </c>
      <c r="BD3881">
        <v>0</v>
      </c>
      <c r="BN3881" t="s">
        <v>74</v>
      </c>
    </row>
    <row r="3882" spans="1:66">
      <c r="A3882">
        <v>101374</v>
      </c>
      <c r="B3882" s="3" t="s">
        <v>423</v>
      </c>
      <c r="C3882" s="1">
        <v>43500101</v>
      </c>
      <c r="D3882" t="s">
        <v>113</v>
      </c>
      <c r="H3882" t="str">
        <f t="shared" si="410"/>
        <v>PRILSN78H42F839S</v>
      </c>
      <c r="I3882" t="str">
        <f t="shared" si="411"/>
        <v>06711421211</v>
      </c>
      <c r="K3882" t="str">
        <f>""</f>
        <v/>
      </c>
      <c r="M3882" t="s">
        <v>68</v>
      </c>
      <c r="N3882" t="str">
        <f t="shared" si="412"/>
        <v>ALTPRO</v>
      </c>
      <c r="O3882" t="s">
        <v>132</v>
      </c>
      <c r="P3882" s="3" t="s">
        <v>75</v>
      </c>
      <c r="Q3882">
        <v>2016</v>
      </c>
      <c r="R3882" s="2">
        <v>42705</v>
      </c>
      <c r="S3882" s="2">
        <v>42709</v>
      </c>
      <c r="T3882" s="2">
        <v>42706</v>
      </c>
      <c r="U3882" s="2">
        <v>42766</v>
      </c>
      <c r="V3882" t="s">
        <v>71</v>
      </c>
      <c r="W3882" t="str">
        <f>"        FATTPA 17_16"</f>
        <v xml:space="preserve">        FATTPA 17_16</v>
      </c>
      <c r="X3882" s="1">
        <v>2149.34</v>
      </c>
      <c r="Y3882">
        <v>-429.87</v>
      </c>
      <c r="Z3882" s="5">
        <v>1719.47</v>
      </c>
      <c r="AA3882">
        <v>-57</v>
      </c>
      <c r="AB3882" s="5">
        <v>-98009.79</v>
      </c>
      <c r="AC3882" s="1">
        <v>1719.47</v>
      </c>
      <c r="AD3882">
        <v>-57</v>
      </c>
      <c r="AE3882" s="1">
        <v>-98009.79</v>
      </c>
      <c r="AF3882">
        <v>0</v>
      </c>
      <c r="AJ3882" s="1">
        <v>1719.47</v>
      </c>
      <c r="AK3882" s="1">
        <v>1719.47</v>
      </c>
      <c r="AL3882" s="1">
        <v>1719.47</v>
      </c>
      <c r="AM3882" s="1">
        <v>1719.47</v>
      </c>
      <c r="AN3882" s="1">
        <v>1719.47</v>
      </c>
      <c r="AO3882" s="1">
        <v>1719.47</v>
      </c>
      <c r="AP3882" s="2">
        <v>42746</v>
      </c>
      <c r="AQ3882" t="s">
        <v>72</v>
      </c>
      <c r="AR3882" t="s">
        <v>72</v>
      </c>
      <c r="AS3882">
        <v>3333</v>
      </c>
      <c r="AT3882" s="4">
        <v>42709</v>
      </c>
      <c r="AV3882">
        <v>3333</v>
      </c>
      <c r="AW3882" s="4">
        <v>42709</v>
      </c>
      <c r="BD3882">
        <v>0</v>
      </c>
      <c r="BN3882" t="s">
        <v>74</v>
      </c>
    </row>
    <row r="3883" spans="1:66" hidden="1">
      <c r="A3883">
        <v>101376</v>
      </c>
      <c r="B3883" s="3" t="s">
        <v>424</v>
      </c>
      <c r="C3883" s="1">
        <v>43300101</v>
      </c>
      <c r="D3883" t="s">
        <v>67</v>
      </c>
      <c r="H3883" t="str">
        <f t="shared" ref="H3883:I3896" si="413">"06655971007"</f>
        <v>06655971007</v>
      </c>
      <c r="I3883" t="str">
        <f t="shared" si="413"/>
        <v>06655971007</v>
      </c>
      <c r="K3883" t="str">
        <f>""</f>
        <v/>
      </c>
      <c r="M3883" t="s">
        <v>68</v>
      </c>
      <c r="N3883" t="str">
        <f t="shared" ref="N3883:N3897" si="414">"FOR"</f>
        <v>FOR</v>
      </c>
      <c r="O3883" t="s">
        <v>69</v>
      </c>
      <c r="P3883" s="3" t="s">
        <v>75</v>
      </c>
      <c r="Q3883">
        <v>2015</v>
      </c>
      <c r="R3883" s="2">
        <v>42347</v>
      </c>
      <c r="S3883" s="2">
        <v>42353</v>
      </c>
      <c r="T3883" s="2">
        <v>42349</v>
      </c>
      <c r="U3883" s="2">
        <v>42409</v>
      </c>
      <c r="V3883" t="s">
        <v>71</v>
      </c>
      <c r="W3883" t="str">
        <f>"        004601328394"</f>
        <v xml:space="preserve">        004601328394</v>
      </c>
      <c r="X3883" s="1">
        <v>183396.15</v>
      </c>
      <c r="Y3883" s="1">
        <v>-33071.440000000002</v>
      </c>
      <c r="Z3883"/>
      <c r="AB3883"/>
      <c r="AC3883" s="1">
        <v>150324.71</v>
      </c>
      <c r="AD3883">
        <v>55</v>
      </c>
      <c r="AE3883" s="1">
        <v>8267859.0499999998</v>
      </c>
      <c r="AF3883">
        <v>0</v>
      </c>
      <c r="AJ3883">
        <v>0</v>
      </c>
      <c r="AK3883">
        <v>0</v>
      </c>
      <c r="AL3883">
        <v>0</v>
      </c>
      <c r="AM3883">
        <v>0</v>
      </c>
      <c r="AN3883">
        <v>0</v>
      </c>
      <c r="AO3883">
        <v>0</v>
      </c>
      <c r="AP3883" s="2">
        <v>42746</v>
      </c>
      <c r="AQ3883" t="s">
        <v>72</v>
      </c>
      <c r="AR3883" t="s">
        <v>72</v>
      </c>
      <c r="AS3883">
        <v>999</v>
      </c>
      <c r="AT3883" s="4">
        <v>42464</v>
      </c>
      <c r="AU3883" t="s">
        <v>73</v>
      </c>
      <c r="AV3883">
        <v>999</v>
      </c>
      <c r="AW3883" s="4">
        <v>42464</v>
      </c>
      <c r="BD3883">
        <v>0</v>
      </c>
      <c r="BN3883" t="s">
        <v>74</v>
      </c>
    </row>
    <row r="3884" spans="1:66" hidden="1">
      <c r="A3884">
        <v>101376</v>
      </c>
      <c r="B3884" s="3" t="s">
        <v>424</v>
      </c>
      <c r="C3884" s="1">
        <v>43300101</v>
      </c>
      <c r="D3884" t="s">
        <v>67</v>
      </c>
      <c r="H3884" t="str">
        <f t="shared" si="413"/>
        <v>06655971007</v>
      </c>
      <c r="I3884" t="str">
        <f t="shared" si="413"/>
        <v>06655971007</v>
      </c>
      <c r="K3884" t="str">
        <f>""</f>
        <v/>
      </c>
      <c r="M3884" t="s">
        <v>68</v>
      </c>
      <c r="N3884" t="str">
        <f t="shared" si="414"/>
        <v>FOR</v>
      </c>
      <c r="O3884" t="s">
        <v>69</v>
      </c>
      <c r="P3884" s="3" t="s">
        <v>75</v>
      </c>
      <c r="Q3884">
        <v>2015</v>
      </c>
      <c r="R3884" s="2">
        <v>42348</v>
      </c>
      <c r="S3884" s="2">
        <v>42353</v>
      </c>
      <c r="T3884" s="2">
        <v>42349</v>
      </c>
      <c r="U3884" s="2">
        <v>42409</v>
      </c>
      <c r="V3884" t="s">
        <v>71</v>
      </c>
      <c r="W3884" t="str">
        <f>"        004601386550"</f>
        <v xml:space="preserve">        004601386550</v>
      </c>
      <c r="X3884" s="1">
        <v>156724.07</v>
      </c>
      <c r="Y3884" s="1">
        <v>-28261.72</v>
      </c>
      <c r="Z3884"/>
      <c r="AB3884"/>
      <c r="AC3884" s="1">
        <v>128462.35</v>
      </c>
      <c r="AD3884">
        <v>55</v>
      </c>
      <c r="AE3884" s="1">
        <v>7065429.25</v>
      </c>
      <c r="AF3884">
        <v>0</v>
      </c>
      <c r="AJ3884">
        <v>0</v>
      </c>
      <c r="AK3884">
        <v>0</v>
      </c>
      <c r="AL3884">
        <v>0</v>
      </c>
      <c r="AM3884">
        <v>0</v>
      </c>
      <c r="AN3884">
        <v>0</v>
      </c>
      <c r="AO3884">
        <v>0</v>
      </c>
      <c r="AP3884" s="2">
        <v>42746</v>
      </c>
      <c r="AQ3884" t="s">
        <v>72</v>
      </c>
      <c r="AR3884" t="s">
        <v>72</v>
      </c>
      <c r="AS3884">
        <v>999</v>
      </c>
      <c r="AT3884" s="4">
        <v>42464</v>
      </c>
      <c r="AU3884" t="s">
        <v>73</v>
      </c>
      <c r="AV3884">
        <v>999</v>
      </c>
      <c r="AW3884" s="4">
        <v>42464</v>
      </c>
      <c r="BD3884">
        <v>0</v>
      </c>
      <c r="BN3884" t="s">
        <v>74</v>
      </c>
    </row>
    <row r="3885" spans="1:66" hidden="1">
      <c r="A3885">
        <v>101376</v>
      </c>
      <c r="B3885" s="3" t="s">
        <v>424</v>
      </c>
      <c r="C3885" s="1">
        <v>43300101</v>
      </c>
      <c r="D3885" t="s">
        <v>67</v>
      </c>
      <c r="H3885" t="str">
        <f t="shared" si="413"/>
        <v>06655971007</v>
      </c>
      <c r="I3885" t="str">
        <f t="shared" si="413"/>
        <v>06655971007</v>
      </c>
      <c r="K3885" t="str">
        <f>""</f>
        <v/>
      </c>
      <c r="M3885" t="s">
        <v>68</v>
      </c>
      <c r="N3885" t="str">
        <f t="shared" si="414"/>
        <v>FOR</v>
      </c>
      <c r="O3885" t="s">
        <v>69</v>
      </c>
      <c r="P3885" s="3" t="s">
        <v>75</v>
      </c>
      <c r="Q3885">
        <v>2015</v>
      </c>
      <c r="R3885" s="2">
        <v>42348</v>
      </c>
      <c r="S3885" s="2">
        <v>42353</v>
      </c>
      <c r="T3885" s="2">
        <v>42349</v>
      </c>
      <c r="U3885" s="2">
        <v>42409</v>
      </c>
      <c r="V3885" t="s">
        <v>71</v>
      </c>
      <c r="W3885" t="str">
        <f>"        004601388558"</f>
        <v xml:space="preserve">        004601388558</v>
      </c>
      <c r="X3885" s="1">
        <v>156240.85999999999</v>
      </c>
      <c r="Y3885" s="1">
        <v>-28174.58</v>
      </c>
      <c r="Z3885"/>
      <c r="AB3885"/>
      <c r="AC3885" s="1">
        <v>128066.28</v>
      </c>
      <c r="AD3885">
        <v>55</v>
      </c>
      <c r="AE3885" s="1">
        <v>7043645.4000000004</v>
      </c>
      <c r="AF3885">
        <v>0</v>
      </c>
      <c r="AJ3885">
        <v>0</v>
      </c>
      <c r="AK3885">
        <v>0</v>
      </c>
      <c r="AL3885">
        <v>0</v>
      </c>
      <c r="AM3885">
        <v>0</v>
      </c>
      <c r="AN3885">
        <v>0</v>
      </c>
      <c r="AO3885">
        <v>0</v>
      </c>
      <c r="AP3885" s="2">
        <v>42746</v>
      </c>
      <c r="AQ3885" t="s">
        <v>72</v>
      </c>
      <c r="AR3885" t="s">
        <v>72</v>
      </c>
      <c r="AS3885">
        <v>999</v>
      </c>
      <c r="AT3885" s="4">
        <v>42464</v>
      </c>
      <c r="AU3885" t="s">
        <v>73</v>
      </c>
      <c r="AV3885">
        <v>999</v>
      </c>
      <c r="AW3885" s="4">
        <v>42464</v>
      </c>
      <c r="BD3885">
        <v>0</v>
      </c>
      <c r="BN3885" t="s">
        <v>74</v>
      </c>
    </row>
    <row r="3886" spans="1:66" hidden="1">
      <c r="A3886">
        <v>101376</v>
      </c>
      <c r="B3886" s="3" t="s">
        <v>424</v>
      </c>
      <c r="C3886" s="1">
        <v>43300101</v>
      </c>
      <c r="D3886" t="s">
        <v>67</v>
      </c>
      <c r="H3886" t="str">
        <f t="shared" si="413"/>
        <v>06655971007</v>
      </c>
      <c r="I3886" t="str">
        <f t="shared" si="413"/>
        <v>06655971007</v>
      </c>
      <c r="K3886" t="str">
        <f>""</f>
        <v/>
      </c>
      <c r="M3886" t="s">
        <v>68</v>
      </c>
      <c r="N3886" t="str">
        <f t="shared" si="414"/>
        <v>FOR</v>
      </c>
      <c r="O3886" t="s">
        <v>69</v>
      </c>
      <c r="P3886" s="3" t="s">
        <v>182</v>
      </c>
      <c r="Q3886">
        <v>2016</v>
      </c>
      <c r="R3886" s="2">
        <v>42381</v>
      </c>
      <c r="S3886" s="2">
        <v>42388</v>
      </c>
      <c r="T3886" s="2">
        <v>42384</v>
      </c>
      <c r="U3886" s="2">
        <v>42444</v>
      </c>
      <c r="V3886" t="s">
        <v>71</v>
      </c>
      <c r="W3886" t="str">
        <f>"        004700056656"</f>
        <v xml:space="preserve">        004700056656</v>
      </c>
      <c r="X3886" s="1">
        <v>166476.75</v>
      </c>
      <c r="Y3886" s="1">
        <v>-30020.400000000001</v>
      </c>
      <c r="Z3886"/>
      <c r="AB3886"/>
      <c r="AC3886" s="1">
        <v>136456.35</v>
      </c>
      <c r="AD3886">
        <v>49</v>
      </c>
      <c r="AE3886" s="1">
        <v>6686361.1500000004</v>
      </c>
      <c r="AF3886">
        <v>0</v>
      </c>
      <c r="AJ3886">
        <v>0</v>
      </c>
      <c r="AK3886">
        <v>0</v>
      </c>
      <c r="AL3886">
        <v>0</v>
      </c>
      <c r="AM3886" s="1">
        <v>-30020.400000000001</v>
      </c>
      <c r="AN3886" s="1">
        <v>136456.35</v>
      </c>
      <c r="AO3886" s="1">
        <v>136456.35</v>
      </c>
      <c r="AP3886" s="2">
        <v>42746</v>
      </c>
      <c r="AQ3886" t="s">
        <v>72</v>
      </c>
      <c r="AR3886" t="s">
        <v>72</v>
      </c>
      <c r="AS3886">
        <v>1253</v>
      </c>
      <c r="AT3886" s="4">
        <v>42493</v>
      </c>
      <c r="AU3886" t="s">
        <v>73</v>
      </c>
      <c r="AV3886">
        <v>1253</v>
      </c>
      <c r="AW3886" s="4">
        <v>42493</v>
      </c>
      <c r="BD3886">
        <v>0</v>
      </c>
      <c r="BN3886" t="s">
        <v>74</v>
      </c>
    </row>
    <row r="3887" spans="1:66" hidden="1">
      <c r="A3887">
        <v>101376</v>
      </c>
      <c r="B3887" s="3" t="s">
        <v>424</v>
      </c>
      <c r="C3887" s="1">
        <v>43300101</v>
      </c>
      <c r="D3887" t="s">
        <v>67</v>
      </c>
      <c r="H3887" t="str">
        <f t="shared" si="413"/>
        <v>06655971007</v>
      </c>
      <c r="I3887" t="str">
        <f t="shared" si="413"/>
        <v>06655971007</v>
      </c>
      <c r="K3887" t="str">
        <f>""</f>
        <v/>
      </c>
      <c r="M3887" t="s">
        <v>68</v>
      </c>
      <c r="N3887" t="str">
        <f t="shared" si="414"/>
        <v>FOR</v>
      </c>
      <c r="O3887" t="s">
        <v>69</v>
      </c>
      <c r="P3887" s="3" t="s">
        <v>75</v>
      </c>
      <c r="Q3887">
        <v>2016</v>
      </c>
      <c r="R3887" s="2">
        <v>42414</v>
      </c>
      <c r="S3887" s="2">
        <v>42464</v>
      </c>
      <c r="T3887" s="2">
        <v>42459</v>
      </c>
      <c r="U3887" s="2">
        <v>42519</v>
      </c>
      <c r="V3887" t="s">
        <v>71</v>
      </c>
      <c r="W3887" t="str">
        <f>"        004700187449"</f>
        <v xml:space="preserve">        004700187449</v>
      </c>
      <c r="X3887" s="1">
        <v>160493.99</v>
      </c>
      <c r="Y3887" s="1">
        <v>-28941.54</v>
      </c>
      <c r="Z3887"/>
      <c r="AB3887"/>
      <c r="AC3887" s="1">
        <v>131552.45000000001</v>
      </c>
      <c r="AD3887">
        <v>8</v>
      </c>
      <c r="AE3887" s="1">
        <v>1052419.6000000001</v>
      </c>
      <c r="AF3887">
        <v>0</v>
      </c>
      <c r="AJ3887">
        <v>0</v>
      </c>
      <c r="AK3887">
        <v>0</v>
      </c>
      <c r="AL3887">
        <v>0</v>
      </c>
      <c r="AM3887" s="1">
        <v>131552.45000000001</v>
      </c>
      <c r="AN3887" s="1">
        <v>131552.45000000001</v>
      </c>
      <c r="AO3887" s="1">
        <v>131552.45000000001</v>
      </c>
      <c r="AP3887" s="2">
        <v>42746</v>
      </c>
      <c r="AQ3887" t="s">
        <v>72</v>
      </c>
      <c r="AR3887" t="s">
        <v>72</v>
      </c>
      <c r="AS3887">
        <v>1489</v>
      </c>
      <c r="AT3887" s="4">
        <v>42527</v>
      </c>
      <c r="AU3887" t="s">
        <v>73</v>
      </c>
      <c r="AV3887">
        <v>1489</v>
      </c>
      <c r="AW3887" s="4">
        <v>42527</v>
      </c>
      <c r="BD3887">
        <v>0</v>
      </c>
      <c r="BN3887" t="s">
        <v>74</v>
      </c>
    </row>
    <row r="3888" spans="1:66" hidden="1">
      <c r="A3888">
        <v>101376</v>
      </c>
      <c r="B3888" s="3" t="s">
        <v>424</v>
      </c>
      <c r="C3888" s="1">
        <v>43300101</v>
      </c>
      <c r="D3888" t="s">
        <v>67</v>
      </c>
      <c r="H3888" t="str">
        <f t="shared" si="413"/>
        <v>06655971007</v>
      </c>
      <c r="I3888" t="str">
        <f t="shared" si="413"/>
        <v>06655971007</v>
      </c>
      <c r="K3888" t="str">
        <f>""</f>
        <v/>
      </c>
      <c r="M3888" t="s">
        <v>68</v>
      </c>
      <c r="N3888" t="str">
        <f t="shared" si="414"/>
        <v>FOR</v>
      </c>
      <c r="O3888" t="s">
        <v>69</v>
      </c>
      <c r="P3888" s="3" t="s">
        <v>75</v>
      </c>
      <c r="Q3888">
        <v>2016</v>
      </c>
      <c r="R3888" s="2">
        <v>42442</v>
      </c>
      <c r="S3888" s="2">
        <v>42445</v>
      </c>
      <c r="T3888" s="2">
        <v>42445</v>
      </c>
      <c r="U3888" s="2">
        <v>42505</v>
      </c>
      <c r="V3888" t="s">
        <v>71</v>
      </c>
      <c r="W3888" t="str">
        <f>"        004700296232"</f>
        <v xml:space="preserve">        004700296232</v>
      </c>
      <c r="X3888" s="1">
        <v>139074.85999999999</v>
      </c>
      <c r="Y3888" s="1">
        <v>-25079.07</v>
      </c>
      <c r="Z3888"/>
      <c r="AB3888"/>
      <c r="AC3888" s="1">
        <v>113995.79</v>
      </c>
      <c r="AD3888">
        <v>73</v>
      </c>
      <c r="AE3888" s="1">
        <v>8321692.6699999999</v>
      </c>
      <c r="AF3888">
        <v>0</v>
      </c>
      <c r="AJ3888">
        <v>0</v>
      </c>
      <c r="AK3888">
        <v>0</v>
      </c>
      <c r="AL3888">
        <v>0</v>
      </c>
      <c r="AM3888" s="1">
        <v>113995.79</v>
      </c>
      <c r="AN3888" s="1">
        <v>113995.79</v>
      </c>
      <c r="AO3888" s="1">
        <v>113995.79</v>
      </c>
      <c r="AP3888" s="2">
        <v>42746</v>
      </c>
      <c r="AQ3888" t="s">
        <v>72</v>
      </c>
      <c r="AR3888" t="s">
        <v>72</v>
      </c>
      <c r="AS3888">
        <v>1994</v>
      </c>
      <c r="AT3888" s="4">
        <v>42578</v>
      </c>
      <c r="AU3888" t="s">
        <v>73</v>
      </c>
      <c r="AV3888">
        <v>1994</v>
      </c>
      <c r="AW3888" s="4">
        <v>42578</v>
      </c>
      <c r="BD3888">
        <v>0</v>
      </c>
      <c r="BN3888" t="s">
        <v>74</v>
      </c>
    </row>
    <row r="3889" spans="1:66" hidden="1">
      <c r="A3889">
        <v>101376</v>
      </c>
      <c r="B3889" s="3" t="s">
        <v>424</v>
      </c>
      <c r="C3889" s="1">
        <v>43300101</v>
      </c>
      <c r="D3889" t="s">
        <v>67</v>
      </c>
      <c r="H3889" t="str">
        <f t="shared" si="413"/>
        <v>06655971007</v>
      </c>
      <c r="I3889" t="str">
        <f t="shared" si="413"/>
        <v>06655971007</v>
      </c>
      <c r="K3889" t="str">
        <f>""</f>
        <v/>
      </c>
      <c r="M3889" t="s">
        <v>68</v>
      </c>
      <c r="N3889" t="str">
        <f t="shared" si="414"/>
        <v>FOR</v>
      </c>
      <c r="O3889" t="s">
        <v>69</v>
      </c>
      <c r="P3889" s="3" t="s">
        <v>75</v>
      </c>
      <c r="Q3889">
        <v>2016</v>
      </c>
      <c r="R3889" s="2">
        <v>42443</v>
      </c>
      <c r="S3889" s="2">
        <v>42445</v>
      </c>
      <c r="T3889" s="2">
        <v>42445</v>
      </c>
      <c r="U3889" s="2">
        <v>42505</v>
      </c>
      <c r="V3889" t="s">
        <v>71</v>
      </c>
      <c r="W3889" t="str">
        <f>"        004700351149"</f>
        <v xml:space="preserve">        004700351149</v>
      </c>
      <c r="X3889">
        <v>342.26</v>
      </c>
      <c r="Y3889">
        <v>-61.72</v>
      </c>
      <c r="Z3889"/>
      <c r="AB3889"/>
      <c r="AC3889">
        <v>280.54000000000002</v>
      </c>
      <c r="AD3889">
        <v>73</v>
      </c>
      <c r="AE3889" s="1">
        <v>20479.419999999998</v>
      </c>
      <c r="AF3889">
        <v>0</v>
      </c>
      <c r="AJ3889">
        <v>0</v>
      </c>
      <c r="AK3889">
        <v>0</v>
      </c>
      <c r="AL3889">
        <v>0</v>
      </c>
      <c r="AM3889">
        <v>280.54000000000002</v>
      </c>
      <c r="AN3889">
        <v>280.54000000000002</v>
      </c>
      <c r="AO3889">
        <v>280.54000000000002</v>
      </c>
      <c r="AP3889" s="2">
        <v>42746</v>
      </c>
      <c r="AQ3889" t="s">
        <v>72</v>
      </c>
      <c r="AR3889" t="s">
        <v>72</v>
      </c>
      <c r="AS3889">
        <v>1994</v>
      </c>
      <c r="AT3889" s="4">
        <v>42578</v>
      </c>
      <c r="AU3889" t="s">
        <v>73</v>
      </c>
      <c r="AV3889">
        <v>1994</v>
      </c>
      <c r="AW3889" s="4">
        <v>42578</v>
      </c>
      <c r="BD3889">
        <v>0</v>
      </c>
      <c r="BN3889" t="s">
        <v>74</v>
      </c>
    </row>
    <row r="3890" spans="1:66">
      <c r="A3890">
        <v>101376</v>
      </c>
      <c r="B3890" s="3" t="s">
        <v>424</v>
      </c>
      <c r="C3890" s="1">
        <v>43300101</v>
      </c>
      <c r="D3890" t="s">
        <v>67</v>
      </c>
      <c r="H3890" t="str">
        <f t="shared" si="413"/>
        <v>06655971007</v>
      </c>
      <c r="I3890" t="str">
        <f t="shared" si="413"/>
        <v>06655971007</v>
      </c>
      <c r="K3890" t="str">
        <f>""</f>
        <v/>
      </c>
      <c r="M3890" t="s">
        <v>68</v>
      </c>
      <c r="N3890" t="str">
        <f t="shared" si="414"/>
        <v>FOR</v>
      </c>
      <c r="O3890" t="s">
        <v>69</v>
      </c>
      <c r="P3890" s="3" t="s">
        <v>75</v>
      </c>
      <c r="Q3890">
        <v>2016</v>
      </c>
      <c r="R3890" s="2">
        <v>42473</v>
      </c>
      <c r="S3890" s="2">
        <v>42476</v>
      </c>
      <c r="T3890" s="2">
        <v>42476</v>
      </c>
      <c r="U3890" s="2">
        <v>42536</v>
      </c>
      <c r="V3890" t="s">
        <v>71</v>
      </c>
      <c r="W3890" t="str">
        <f>"        004700460585"</f>
        <v xml:space="preserve">        004700460585</v>
      </c>
      <c r="X3890" s="1">
        <v>147498.76999999999</v>
      </c>
      <c r="Y3890" s="1">
        <v>-26598.14</v>
      </c>
      <c r="Z3890" s="5">
        <v>120900.63</v>
      </c>
      <c r="AA3890">
        <v>110</v>
      </c>
      <c r="AB3890" s="5">
        <v>13299069.300000001</v>
      </c>
      <c r="AC3890" s="1">
        <v>120900.63</v>
      </c>
      <c r="AD3890">
        <v>110</v>
      </c>
      <c r="AE3890" s="1">
        <v>13299069.300000001</v>
      </c>
      <c r="AF3890">
        <v>0</v>
      </c>
      <c r="AJ3890">
        <v>0</v>
      </c>
      <c r="AK3890">
        <v>0</v>
      </c>
      <c r="AL3890">
        <v>0</v>
      </c>
      <c r="AM3890" s="1">
        <v>120900.63</v>
      </c>
      <c r="AN3890" s="1">
        <v>120900.63</v>
      </c>
      <c r="AO3890" s="1">
        <v>120900.63</v>
      </c>
      <c r="AP3890" s="2">
        <v>42746</v>
      </c>
      <c r="AQ3890" t="s">
        <v>72</v>
      </c>
      <c r="AR3890" t="s">
        <v>72</v>
      </c>
      <c r="AS3890">
        <v>2550</v>
      </c>
      <c r="AT3890" s="4">
        <v>42646</v>
      </c>
      <c r="AU3890" t="s">
        <v>73</v>
      </c>
      <c r="AV3890">
        <v>2550</v>
      </c>
      <c r="AW3890" s="4">
        <v>42646</v>
      </c>
      <c r="BD3890">
        <v>0</v>
      </c>
      <c r="BN3890" t="s">
        <v>74</v>
      </c>
    </row>
    <row r="3891" spans="1:66">
      <c r="A3891">
        <v>101376</v>
      </c>
      <c r="B3891" s="3" t="s">
        <v>424</v>
      </c>
      <c r="C3891" s="1">
        <v>43300101</v>
      </c>
      <c r="D3891" t="s">
        <v>67</v>
      </c>
      <c r="H3891" t="str">
        <f t="shared" si="413"/>
        <v>06655971007</v>
      </c>
      <c r="I3891" t="str">
        <f t="shared" si="413"/>
        <v>06655971007</v>
      </c>
      <c r="K3891" t="str">
        <f>""</f>
        <v/>
      </c>
      <c r="M3891" t="s">
        <v>68</v>
      </c>
      <c r="N3891" t="str">
        <f t="shared" si="414"/>
        <v>FOR</v>
      </c>
      <c r="O3891" t="s">
        <v>69</v>
      </c>
      <c r="P3891" s="3" t="s">
        <v>75</v>
      </c>
      <c r="Q3891">
        <v>2016</v>
      </c>
      <c r="R3891" s="2">
        <v>42504</v>
      </c>
      <c r="S3891" s="2">
        <v>42507</v>
      </c>
      <c r="T3891" s="2">
        <v>42506</v>
      </c>
      <c r="U3891" s="2">
        <v>42566</v>
      </c>
      <c r="V3891" t="s">
        <v>71</v>
      </c>
      <c r="W3891" t="str">
        <f>"        004700604249"</f>
        <v xml:space="preserve">        004700604249</v>
      </c>
      <c r="X3891" s="1">
        <v>141289.54999999999</v>
      </c>
      <c r="Y3891" s="1">
        <v>-25478.44</v>
      </c>
      <c r="Z3891" s="5">
        <v>115811.11</v>
      </c>
      <c r="AA3891">
        <v>118</v>
      </c>
      <c r="AB3891" s="5">
        <v>13665710.98</v>
      </c>
      <c r="AC3891" s="1">
        <v>115811.11</v>
      </c>
      <c r="AD3891">
        <v>118</v>
      </c>
      <c r="AE3891" s="1">
        <v>13665710.98</v>
      </c>
      <c r="AF3891">
        <v>0</v>
      </c>
      <c r="AJ3891">
        <v>0</v>
      </c>
      <c r="AK3891">
        <v>0</v>
      </c>
      <c r="AL3891">
        <v>0</v>
      </c>
      <c r="AM3891" s="1">
        <v>115811.11</v>
      </c>
      <c r="AN3891" s="1">
        <v>115811.11</v>
      </c>
      <c r="AO3891" s="1">
        <v>115811.11</v>
      </c>
      <c r="AP3891" s="2">
        <v>42746</v>
      </c>
      <c r="AQ3891" t="s">
        <v>72</v>
      </c>
      <c r="AR3891" t="s">
        <v>72</v>
      </c>
      <c r="AS3891">
        <v>3044</v>
      </c>
      <c r="AT3891" s="4">
        <v>42684</v>
      </c>
      <c r="AU3891" t="s">
        <v>73</v>
      </c>
      <c r="AV3891">
        <v>3044</v>
      </c>
      <c r="AW3891" s="4">
        <v>42684</v>
      </c>
      <c r="BD3891">
        <v>0</v>
      </c>
      <c r="BN3891" t="s">
        <v>74</v>
      </c>
    </row>
    <row r="3892" spans="1:66">
      <c r="A3892">
        <v>101376</v>
      </c>
      <c r="B3892" s="3" t="s">
        <v>424</v>
      </c>
      <c r="C3892" s="1">
        <v>43300101</v>
      </c>
      <c r="D3892" t="s">
        <v>67</v>
      </c>
      <c r="H3892" t="str">
        <f t="shared" si="413"/>
        <v>06655971007</v>
      </c>
      <c r="I3892" t="str">
        <f t="shared" si="413"/>
        <v>06655971007</v>
      </c>
      <c r="K3892" t="str">
        <f>""</f>
        <v/>
      </c>
      <c r="M3892" t="s">
        <v>68</v>
      </c>
      <c r="N3892" t="str">
        <f t="shared" si="414"/>
        <v>FOR</v>
      </c>
      <c r="O3892" t="s">
        <v>69</v>
      </c>
      <c r="P3892" s="3" t="s">
        <v>75</v>
      </c>
      <c r="Q3892">
        <v>2016</v>
      </c>
      <c r="R3892" s="2">
        <v>42534</v>
      </c>
      <c r="S3892" s="2">
        <v>42537</v>
      </c>
      <c r="T3892" s="2">
        <v>42537</v>
      </c>
      <c r="U3892" s="2">
        <v>42597</v>
      </c>
      <c r="V3892" t="s">
        <v>71</v>
      </c>
      <c r="W3892" t="str">
        <f>"        004700772029"</f>
        <v xml:space="preserve">        004700772029</v>
      </c>
      <c r="X3892" s="1">
        <v>150365.17000000001</v>
      </c>
      <c r="Y3892" s="1">
        <v>-27115.03</v>
      </c>
      <c r="Z3892" s="5">
        <v>123250.14</v>
      </c>
      <c r="AA3892">
        <v>123</v>
      </c>
      <c r="AB3892" s="5">
        <v>15159767.220000001</v>
      </c>
      <c r="AC3892" s="1">
        <v>123250.14</v>
      </c>
      <c r="AD3892">
        <v>123</v>
      </c>
      <c r="AE3892" s="1">
        <v>15159767.220000001</v>
      </c>
      <c r="AF3892">
        <v>0</v>
      </c>
      <c r="AJ3892">
        <v>0</v>
      </c>
      <c r="AK3892">
        <v>0</v>
      </c>
      <c r="AL3892">
        <v>0</v>
      </c>
      <c r="AM3892" s="1">
        <v>123250.14</v>
      </c>
      <c r="AN3892" s="1">
        <v>123250.14</v>
      </c>
      <c r="AO3892" s="1">
        <v>123250.14</v>
      </c>
      <c r="AP3892" s="2">
        <v>42746</v>
      </c>
      <c r="AQ3892" t="s">
        <v>72</v>
      </c>
      <c r="AR3892" t="s">
        <v>72</v>
      </c>
      <c r="AS3892">
        <v>3550</v>
      </c>
      <c r="AT3892" s="4">
        <v>42720</v>
      </c>
      <c r="AU3892" t="s">
        <v>73</v>
      </c>
      <c r="AV3892">
        <v>3550</v>
      </c>
      <c r="AW3892" s="4">
        <v>42720</v>
      </c>
      <c r="BD3892">
        <v>0</v>
      </c>
      <c r="BN3892" t="s">
        <v>74</v>
      </c>
    </row>
    <row r="3893" spans="1:66">
      <c r="A3893">
        <v>101376</v>
      </c>
      <c r="B3893" s="3" t="s">
        <v>424</v>
      </c>
      <c r="C3893" s="1">
        <v>43300101</v>
      </c>
      <c r="D3893" t="s">
        <v>67</v>
      </c>
      <c r="H3893" t="str">
        <f t="shared" si="413"/>
        <v>06655971007</v>
      </c>
      <c r="I3893" t="str">
        <f t="shared" si="413"/>
        <v>06655971007</v>
      </c>
      <c r="K3893" t="str">
        <f>""</f>
        <v/>
      </c>
      <c r="M3893" t="s">
        <v>68</v>
      </c>
      <c r="N3893" t="str">
        <f t="shared" si="414"/>
        <v>FOR</v>
      </c>
      <c r="O3893" t="s">
        <v>69</v>
      </c>
      <c r="P3893" s="3" t="s">
        <v>75</v>
      </c>
      <c r="Q3893">
        <v>2016</v>
      </c>
      <c r="R3893" s="2">
        <v>42568</v>
      </c>
      <c r="S3893" s="2">
        <v>42577</v>
      </c>
      <c r="T3893" s="2">
        <v>42570</v>
      </c>
      <c r="U3893" s="2">
        <v>42630</v>
      </c>
      <c r="V3893" t="s">
        <v>71</v>
      </c>
      <c r="W3893" t="str">
        <f>"        004700910946"</f>
        <v xml:space="preserve">        004700910946</v>
      </c>
      <c r="X3893" s="1">
        <v>177761.72</v>
      </c>
      <c r="Y3893" s="1">
        <v>-32055.39</v>
      </c>
      <c r="Z3893" s="5">
        <v>145706.32999999999</v>
      </c>
      <c r="AA3893">
        <v>94</v>
      </c>
      <c r="AB3893" s="5">
        <v>13696395.02</v>
      </c>
      <c r="AC3893" s="1">
        <v>145706.32999999999</v>
      </c>
      <c r="AD3893">
        <v>94</v>
      </c>
      <c r="AE3893" s="1">
        <v>13696395.02</v>
      </c>
      <c r="AF3893">
        <v>0</v>
      </c>
      <c r="AJ3893">
        <v>0</v>
      </c>
      <c r="AK3893">
        <v>0</v>
      </c>
      <c r="AL3893">
        <v>0</v>
      </c>
      <c r="AM3893" s="1">
        <v>145706.32999999999</v>
      </c>
      <c r="AN3893" s="1">
        <v>145706.32999999999</v>
      </c>
      <c r="AO3893" s="1">
        <v>145706.32999999999</v>
      </c>
      <c r="AP3893" s="2">
        <v>42746</v>
      </c>
      <c r="AQ3893" t="s">
        <v>72</v>
      </c>
      <c r="AR3893" t="s">
        <v>72</v>
      </c>
      <c r="AS3893">
        <v>3647</v>
      </c>
      <c r="AT3893" s="4">
        <v>42724</v>
      </c>
      <c r="AU3893" t="s">
        <v>73</v>
      </c>
      <c r="AV3893">
        <v>3647</v>
      </c>
      <c r="AW3893" s="4">
        <v>42724</v>
      </c>
      <c r="BD3893">
        <v>0</v>
      </c>
      <c r="BN3893" t="s">
        <v>74</v>
      </c>
    </row>
    <row r="3894" spans="1:66">
      <c r="A3894">
        <v>101376</v>
      </c>
      <c r="B3894" s="3" t="s">
        <v>424</v>
      </c>
      <c r="C3894" s="1">
        <v>43300101</v>
      </c>
      <c r="D3894" t="s">
        <v>67</v>
      </c>
      <c r="H3894" t="str">
        <f t="shared" si="413"/>
        <v>06655971007</v>
      </c>
      <c r="I3894" t="str">
        <f t="shared" si="413"/>
        <v>06655971007</v>
      </c>
      <c r="K3894" t="str">
        <f>""</f>
        <v/>
      </c>
      <c r="M3894" t="s">
        <v>68</v>
      </c>
      <c r="N3894" t="str">
        <f t="shared" si="414"/>
        <v>FOR</v>
      </c>
      <c r="O3894" t="s">
        <v>69</v>
      </c>
      <c r="P3894" s="3" t="s">
        <v>75</v>
      </c>
      <c r="Q3894">
        <v>2016</v>
      </c>
      <c r="R3894" s="2">
        <v>42599</v>
      </c>
      <c r="S3894" s="2">
        <v>42601</v>
      </c>
      <c r="T3894" s="2">
        <v>42600</v>
      </c>
      <c r="U3894" s="2">
        <v>42660</v>
      </c>
      <c r="V3894" t="s">
        <v>71</v>
      </c>
      <c r="W3894" t="str">
        <f>"        004701083072"</f>
        <v xml:space="preserve">        004701083072</v>
      </c>
      <c r="X3894" s="1">
        <v>234638.26</v>
      </c>
      <c r="Y3894" s="1">
        <v>-42311.82</v>
      </c>
      <c r="Z3894" s="5">
        <v>192326.44</v>
      </c>
      <c r="AA3894">
        <v>64</v>
      </c>
      <c r="AB3894" s="5">
        <v>12308892.16</v>
      </c>
      <c r="AC3894" s="1">
        <v>192326.44</v>
      </c>
      <c r="AD3894">
        <v>64</v>
      </c>
      <c r="AE3894" s="1">
        <v>12308892.16</v>
      </c>
      <c r="AF3894">
        <v>0</v>
      </c>
      <c r="AJ3894">
        <v>0</v>
      </c>
      <c r="AK3894">
        <v>0</v>
      </c>
      <c r="AL3894">
        <v>0</v>
      </c>
      <c r="AM3894" s="1">
        <v>192326.44</v>
      </c>
      <c r="AN3894" s="1">
        <v>192326.44</v>
      </c>
      <c r="AO3894" s="1">
        <v>192326.44</v>
      </c>
      <c r="AP3894" s="2">
        <v>42746</v>
      </c>
      <c r="AQ3894" t="s">
        <v>72</v>
      </c>
      <c r="AR3894" t="s">
        <v>72</v>
      </c>
      <c r="AS3894">
        <v>3647</v>
      </c>
      <c r="AT3894" s="4">
        <v>42724</v>
      </c>
      <c r="AU3894" t="s">
        <v>73</v>
      </c>
      <c r="AV3894">
        <v>3647</v>
      </c>
      <c r="AW3894" s="4">
        <v>42724</v>
      </c>
      <c r="BD3894">
        <v>0</v>
      </c>
      <c r="BN3894" t="s">
        <v>74</v>
      </c>
    </row>
    <row r="3895" spans="1:66">
      <c r="A3895">
        <v>101376</v>
      </c>
      <c r="B3895" s="3" t="s">
        <v>424</v>
      </c>
      <c r="C3895" s="1">
        <v>43300101</v>
      </c>
      <c r="D3895" t="s">
        <v>67</v>
      </c>
      <c r="H3895" t="str">
        <f t="shared" si="413"/>
        <v>06655971007</v>
      </c>
      <c r="I3895" t="str">
        <f t="shared" si="413"/>
        <v>06655971007</v>
      </c>
      <c r="K3895" t="str">
        <f>""</f>
        <v/>
      </c>
      <c r="M3895" t="s">
        <v>68</v>
      </c>
      <c r="N3895" t="str">
        <f t="shared" si="414"/>
        <v>FOR</v>
      </c>
      <c r="O3895" t="s">
        <v>69</v>
      </c>
      <c r="P3895" s="3" t="s">
        <v>100</v>
      </c>
      <c r="Q3895">
        <v>2016</v>
      </c>
      <c r="R3895" s="2">
        <v>42648</v>
      </c>
      <c r="S3895" s="2">
        <v>42655</v>
      </c>
      <c r="T3895" s="2">
        <v>42650</v>
      </c>
      <c r="U3895" s="2">
        <v>42710</v>
      </c>
      <c r="V3895" t="s">
        <v>71</v>
      </c>
      <c r="W3895" t="str">
        <f>"        004701318959"</f>
        <v xml:space="preserve">        004701318959</v>
      </c>
      <c r="X3895" s="1">
        <v>-1092.8399999999999</v>
      </c>
      <c r="Y3895">
        <v>197.07</v>
      </c>
      <c r="Z3895" s="3">
        <v>-895.77</v>
      </c>
      <c r="AA3895">
        <v>8</v>
      </c>
      <c r="AB3895" s="5">
        <v>-7166.16</v>
      </c>
      <c r="AC3895">
        <v>-895.77</v>
      </c>
      <c r="AD3895">
        <v>8</v>
      </c>
      <c r="AE3895" s="1">
        <v>-7166.16</v>
      </c>
      <c r="AF3895">
        <v>0</v>
      </c>
      <c r="AJ3895">
        <v>-895.77</v>
      </c>
      <c r="AK3895">
        <v>-895.77</v>
      </c>
      <c r="AL3895">
        <v>-895.77</v>
      </c>
      <c r="AM3895">
        <v>-895.77</v>
      </c>
      <c r="AN3895">
        <v>-895.77</v>
      </c>
      <c r="AO3895">
        <v>-895.77</v>
      </c>
      <c r="AP3895" s="2">
        <v>42746</v>
      </c>
      <c r="AQ3895" t="s">
        <v>72</v>
      </c>
      <c r="AR3895" t="s">
        <v>72</v>
      </c>
      <c r="AS3895">
        <v>3461</v>
      </c>
      <c r="AT3895" s="4">
        <v>42718</v>
      </c>
      <c r="AU3895" t="s">
        <v>73</v>
      </c>
      <c r="AV3895">
        <v>3461</v>
      </c>
      <c r="AW3895" s="4">
        <v>42718</v>
      </c>
      <c r="BD3895">
        <v>0</v>
      </c>
      <c r="BN3895" t="s">
        <v>74</v>
      </c>
    </row>
    <row r="3896" spans="1:66">
      <c r="A3896">
        <v>101376</v>
      </c>
      <c r="B3896" s="3" t="s">
        <v>424</v>
      </c>
      <c r="C3896" s="1">
        <v>43300101</v>
      </c>
      <c r="D3896" t="s">
        <v>67</v>
      </c>
      <c r="H3896" t="str">
        <f t="shared" si="413"/>
        <v>06655971007</v>
      </c>
      <c r="I3896" t="str">
        <f t="shared" si="413"/>
        <v>06655971007</v>
      </c>
      <c r="K3896" t="str">
        <f>""</f>
        <v/>
      </c>
      <c r="M3896" t="s">
        <v>68</v>
      </c>
      <c r="N3896" t="str">
        <f t="shared" si="414"/>
        <v>FOR</v>
      </c>
      <c r="O3896" t="s">
        <v>69</v>
      </c>
      <c r="P3896" s="3" t="s">
        <v>75</v>
      </c>
      <c r="Q3896">
        <v>2016</v>
      </c>
      <c r="R3896" s="2">
        <v>42657</v>
      </c>
      <c r="S3896" s="2">
        <v>42660</v>
      </c>
      <c r="T3896" s="2">
        <v>42658</v>
      </c>
      <c r="U3896" s="2">
        <v>42718</v>
      </c>
      <c r="V3896" t="s">
        <v>71</v>
      </c>
      <c r="W3896" t="str">
        <f>"        004701429332"</f>
        <v xml:space="preserve">        004701429332</v>
      </c>
      <c r="X3896" s="1">
        <v>174080.98</v>
      </c>
      <c r="Y3896" s="1">
        <v>-31391.65</v>
      </c>
      <c r="Z3896" s="5">
        <v>142689.32999999999</v>
      </c>
      <c r="AB3896" s="3">
        <v>0</v>
      </c>
      <c r="AC3896" s="1">
        <v>142689.32999999999</v>
      </c>
      <c r="AE3896">
        <v>0</v>
      </c>
      <c r="AF3896">
        <v>0</v>
      </c>
      <c r="AJ3896" s="1">
        <v>142689.32999999999</v>
      </c>
      <c r="AK3896" s="1">
        <v>142689.32999999999</v>
      </c>
      <c r="AL3896" s="1">
        <v>142689.32999999999</v>
      </c>
      <c r="AM3896" s="1">
        <v>142689.32999999999</v>
      </c>
      <c r="AN3896" s="1">
        <v>142689.32999999999</v>
      </c>
      <c r="AO3896" s="1">
        <v>142689.32999999999</v>
      </c>
      <c r="AP3896" s="2">
        <v>42746</v>
      </c>
      <c r="AQ3896" t="s">
        <v>72</v>
      </c>
      <c r="AR3896" t="s">
        <v>72</v>
      </c>
      <c r="AS3896">
        <v>3461</v>
      </c>
      <c r="AT3896" s="4">
        <v>42718</v>
      </c>
      <c r="AV3896">
        <v>3461</v>
      </c>
      <c r="AW3896" s="4">
        <v>42718</v>
      </c>
      <c r="BD3896">
        <v>0</v>
      </c>
      <c r="BN3896" t="s">
        <v>74</v>
      </c>
    </row>
    <row r="3897" spans="1:66">
      <c r="A3897">
        <v>101378</v>
      </c>
      <c r="B3897" s="3" t="s">
        <v>425</v>
      </c>
      <c r="C3897" s="1">
        <v>43300101</v>
      </c>
      <c r="D3897" t="s">
        <v>67</v>
      </c>
      <c r="H3897" t="str">
        <f>"03386990711"</f>
        <v>03386990711</v>
      </c>
      <c r="I3897" t="str">
        <f>"03386990711"</f>
        <v>03386990711</v>
      </c>
      <c r="K3897" t="str">
        <f>""</f>
        <v/>
      </c>
      <c r="M3897" t="s">
        <v>68</v>
      </c>
      <c r="N3897" t="str">
        <f t="shared" si="414"/>
        <v>FOR</v>
      </c>
      <c r="O3897" t="s">
        <v>69</v>
      </c>
      <c r="P3897" s="3" t="s">
        <v>75</v>
      </c>
      <c r="Q3897">
        <v>2015</v>
      </c>
      <c r="R3897" s="2">
        <v>42216</v>
      </c>
      <c r="S3897" s="2">
        <v>42228</v>
      </c>
      <c r="T3897" s="2">
        <v>42221</v>
      </c>
      <c r="U3897" s="2">
        <v>42281</v>
      </c>
      <c r="V3897" t="s">
        <v>71</v>
      </c>
      <c r="W3897" t="str">
        <f>"         FATTPA 3_15"</f>
        <v xml:space="preserve">         FATTPA 3_15</v>
      </c>
      <c r="X3897" s="1">
        <v>3513.6</v>
      </c>
      <c r="Y3897">
        <v>0</v>
      </c>
      <c r="Z3897" s="5">
        <v>2880</v>
      </c>
      <c r="AA3897">
        <v>417</v>
      </c>
      <c r="AB3897" s="5">
        <v>1200960</v>
      </c>
      <c r="AC3897" s="1">
        <v>2880</v>
      </c>
      <c r="AD3897">
        <v>417</v>
      </c>
      <c r="AE3897" s="1">
        <v>1200960</v>
      </c>
      <c r="AF3897">
        <v>0</v>
      </c>
      <c r="AJ3897">
        <v>0</v>
      </c>
      <c r="AK3897">
        <v>0</v>
      </c>
      <c r="AL3897">
        <v>0</v>
      </c>
      <c r="AM3897">
        <v>0</v>
      </c>
      <c r="AN3897">
        <v>0</v>
      </c>
      <c r="AO3897">
        <v>0</v>
      </c>
      <c r="AP3897" s="2">
        <v>42746</v>
      </c>
      <c r="AQ3897" t="s">
        <v>72</v>
      </c>
      <c r="AR3897" t="s">
        <v>72</v>
      </c>
      <c r="AS3897">
        <v>3301</v>
      </c>
      <c r="AT3897" s="4">
        <v>42698</v>
      </c>
      <c r="AU3897" t="s">
        <v>73</v>
      </c>
      <c r="AV3897">
        <v>3301</v>
      </c>
      <c r="AW3897" s="4">
        <v>42698</v>
      </c>
      <c r="BD3897">
        <v>0</v>
      </c>
      <c r="BN3897" t="s">
        <v>74</v>
      </c>
    </row>
    <row r="3898" spans="1:66" hidden="1">
      <c r="A3898">
        <v>101389</v>
      </c>
      <c r="B3898" s="3" t="s">
        <v>426</v>
      </c>
      <c r="C3898" s="1">
        <v>43500101</v>
      </c>
      <c r="D3898" t="s">
        <v>113</v>
      </c>
      <c r="H3898" t="str">
        <f t="shared" ref="H3898:H3909" si="415">"RSSNTN71R23C129I"</f>
        <v>RSSNTN71R23C129I</v>
      </c>
      <c r="I3898" t="str">
        <f t="shared" ref="I3898:I3909" si="416">"06484431215"</f>
        <v>06484431215</v>
      </c>
      <c r="K3898" t="str">
        <f>""</f>
        <v/>
      </c>
      <c r="M3898" t="s">
        <v>68</v>
      </c>
      <c r="N3898" t="str">
        <f t="shared" ref="N3898:N3909" si="417">"ALTPRO"</f>
        <v>ALTPRO</v>
      </c>
      <c r="O3898" t="s">
        <v>132</v>
      </c>
      <c r="P3898" s="3" t="s">
        <v>75</v>
      </c>
      <c r="Q3898">
        <v>2016</v>
      </c>
      <c r="R3898" s="2">
        <v>42376</v>
      </c>
      <c r="S3898" s="2">
        <v>42377</v>
      </c>
      <c r="T3898" s="2">
        <v>42376</v>
      </c>
      <c r="U3898" s="2">
        <v>42436</v>
      </c>
      <c r="V3898" t="s">
        <v>71</v>
      </c>
      <c r="W3898" t="str">
        <f>"         FATTPA 1_16"</f>
        <v xml:space="preserve">         FATTPA 1_16</v>
      </c>
      <c r="X3898" s="1">
        <v>2530.64</v>
      </c>
      <c r="Y3898">
        <v>-505.73</v>
      </c>
      <c r="Z3898"/>
      <c r="AB3898"/>
      <c r="AC3898" s="1">
        <v>2024.91</v>
      </c>
      <c r="AD3898">
        <v>-39</v>
      </c>
      <c r="AE3898" s="1">
        <v>-78971.490000000005</v>
      </c>
      <c r="AF3898">
        <v>0</v>
      </c>
      <c r="AJ3898">
        <v>0</v>
      </c>
      <c r="AK3898">
        <v>0</v>
      </c>
      <c r="AL3898">
        <v>0</v>
      </c>
      <c r="AM3898">
        <v>-505.73</v>
      </c>
      <c r="AN3898" s="1">
        <v>2024.91</v>
      </c>
      <c r="AO3898" s="1">
        <v>2024.91</v>
      </c>
      <c r="AP3898" s="2">
        <v>42746</v>
      </c>
      <c r="AQ3898" t="s">
        <v>72</v>
      </c>
      <c r="AR3898" t="s">
        <v>72</v>
      </c>
      <c r="AS3898">
        <v>117</v>
      </c>
      <c r="AT3898" s="4">
        <v>42397</v>
      </c>
      <c r="AV3898">
        <v>117</v>
      </c>
      <c r="AW3898" s="4">
        <v>42397</v>
      </c>
      <c r="BD3898">
        <v>0</v>
      </c>
      <c r="BN3898" t="s">
        <v>74</v>
      </c>
    </row>
    <row r="3899" spans="1:66" hidden="1">
      <c r="A3899">
        <v>101389</v>
      </c>
      <c r="B3899" s="3" t="s">
        <v>426</v>
      </c>
      <c r="C3899" s="1">
        <v>43500101</v>
      </c>
      <c r="D3899" t="s">
        <v>113</v>
      </c>
      <c r="H3899" t="str">
        <f t="shared" si="415"/>
        <v>RSSNTN71R23C129I</v>
      </c>
      <c r="I3899" t="str">
        <f t="shared" si="416"/>
        <v>06484431215</v>
      </c>
      <c r="K3899" t="str">
        <f>""</f>
        <v/>
      </c>
      <c r="M3899" t="s">
        <v>68</v>
      </c>
      <c r="N3899" t="str">
        <f t="shared" si="417"/>
        <v>ALTPRO</v>
      </c>
      <c r="O3899" t="s">
        <v>132</v>
      </c>
      <c r="P3899" s="3" t="s">
        <v>75</v>
      </c>
      <c r="Q3899">
        <v>2016</v>
      </c>
      <c r="R3899" s="2">
        <v>42401</v>
      </c>
      <c r="S3899" s="2">
        <v>42402</v>
      </c>
      <c r="T3899" s="2">
        <v>42401</v>
      </c>
      <c r="U3899" s="2">
        <v>42461</v>
      </c>
      <c r="V3899" t="s">
        <v>71</v>
      </c>
      <c r="W3899" t="str">
        <f>"         FATTPA 2_16"</f>
        <v xml:space="preserve">         FATTPA 2_16</v>
      </c>
      <c r="X3899" s="1">
        <v>2530.64</v>
      </c>
      <c r="Y3899">
        <v>-505.73</v>
      </c>
      <c r="Z3899"/>
      <c r="AB3899"/>
      <c r="AC3899" s="1">
        <v>2024.91</v>
      </c>
      <c r="AD3899">
        <v>-35</v>
      </c>
      <c r="AE3899" s="1">
        <v>-70871.850000000006</v>
      </c>
      <c r="AF3899">
        <v>0</v>
      </c>
      <c r="AJ3899">
        <v>0</v>
      </c>
      <c r="AK3899">
        <v>0</v>
      </c>
      <c r="AL3899">
        <v>0</v>
      </c>
      <c r="AM3899" s="1">
        <v>2024.91</v>
      </c>
      <c r="AN3899" s="1">
        <v>2024.91</v>
      </c>
      <c r="AO3899" s="1">
        <v>2024.91</v>
      </c>
      <c r="AP3899" s="2">
        <v>42746</v>
      </c>
      <c r="AQ3899" t="s">
        <v>72</v>
      </c>
      <c r="AR3899" t="s">
        <v>72</v>
      </c>
      <c r="AS3899">
        <v>586</v>
      </c>
      <c r="AT3899" s="4">
        <v>42426</v>
      </c>
      <c r="AV3899">
        <v>586</v>
      </c>
      <c r="AW3899" s="4">
        <v>42426</v>
      </c>
      <c r="BD3899">
        <v>0</v>
      </c>
      <c r="BN3899" t="s">
        <v>74</v>
      </c>
    </row>
    <row r="3900" spans="1:66" hidden="1">
      <c r="A3900">
        <v>101389</v>
      </c>
      <c r="B3900" s="3" t="s">
        <v>426</v>
      </c>
      <c r="C3900" s="1">
        <v>43500101</v>
      </c>
      <c r="D3900" t="s">
        <v>113</v>
      </c>
      <c r="H3900" t="str">
        <f t="shared" si="415"/>
        <v>RSSNTN71R23C129I</v>
      </c>
      <c r="I3900" t="str">
        <f t="shared" si="416"/>
        <v>06484431215</v>
      </c>
      <c r="K3900" t="str">
        <f>""</f>
        <v/>
      </c>
      <c r="M3900" t="s">
        <v>68</v>
      </c>
      <c r="N3900" t="str">
        <f t="shared" si="417"/>
        <v>ALTPRO</v>
      </c>
      <c r="O3900" t="s">
        <v>132</v>
      </c>
      <c r="P3900" s="3" t="s">
        <v>75</v>
      </c>
      <c r="Q3900">
        <v>2016</v>
      </c>
      <c r="R3900" s="2">
        <v>42431</v>
      </c>
      <c r="S3900" s="2">
        <v>42433</v>
      </c>
      <c r="T3900" s="2">
        <v>42431</v>
      </c>
      <c r="U3900" s="2">
        <v>42491</v>
      </c>
      <c r="V3900" t="s">
        <v>71</v>
      </c>
      <c r="W3900" t="str">
        <f>"         FATTPA 3_16"</f>
        <v xml:space="preserve">         FATTPA 3_16</v>
      </c>
      <c r="X3900" s="1">
        <v>2584.02</v>
      </c>
      <c r="Y3900">
        <v>-516.4</v>
      </c>
      <c r="Z3900"/>
      <c r="AB3900"/>
      <c r="AC3900" s="1">
        <v>2067.62</v>
      </c>
      <c r="AD3900">
        <v>-40</v>
      </c>
      <c r="AE3900" s="1">
        <v>-82704.800000000003</v>
      </c>
      <c r="AF3900">
        <v>0</v>
      </c>
      <c r="AJ3900">
        <v>0</v>
      </c>
      <c r="AK3900">
        <v>0</v>
      </c>
      <c r="AL3900">
        <v>0</v>
      </c>
      <c r="AM3900" s="1">
        <v>2067.62</v>
      </c>
      <c r="AN3900" s="1">
        <v>2067.62</v>
      </c>
      <c r="AO3900" s="1">
        <v>2067.62</v>
      </c>
      <c r="AP3900" s="2">
        <v>42746</v>
      </c>
      <c r="AQ3900" t="s">
        <v>72</v>
      </c>
      <c r="AR3900" t="s">
        <v>72</v>
      </c>
      <c r="AS3900">
        <v>745</v>
      </c>
      <c r="AT3900" s="4">
        <v>42451</v>
      </c>
      <c r="AV3900">
        <v>745</v>
      </c>
      <c r="AW3900" s="4">
        <v>42451</v>
      </c>
      <c r="BD3900">
        <v>0</v>
      </c>
      <c r="BN3900" t="s">
        <v>74</v>
      </c>
    </row>
    <row r="3901" spans="1:66" hidden="1">
      <c r="A3901">
        <v>101389</v>
      </c>
      <c r="B3901" s="3" t="s">
        <v>426</v>
      </c>
      <c r="C3901" s="1">
        <v>43500101</v>
      </c>
      <c r="D3901" t="s">
        <v>113</v>
      </c>
      <c r="H3901" t="str">
        <f t="shared" si="415"/>
        <v>RSSNTN71R23C129I</v>
      </c>
      <c r="I3901" t="str">
        <f t="shared" si="416"/>
        <v>06484431215</v>
      </c>
      <c r="K3901" t="str">
        <f>""</f>
        <v/>
      </c>
      <c r="M3901" t="s">
        <v>68</v>
      </c>
      <c r="N3901" t="str">
        <f t="shared" si="417"/>
        <v>ALTPRO</v>
      </c>
      <c r="O3901" t="s">
        <v>132</v>
      </c>
      <c r="P3901" s="3" t="s">
        <v>75</v>
      </c>
      <c r="Q3901">
        <v>2016</v>
      </c>
      <c r="R3901" s="2">
        <v>42464</v>
      </c>
      <c r="S3901" s="2">
        <v>42465</v>
      </c>
      <c r="T3901" s="2">
        <v>42464</v>
      </c>
      <c r="U3901" s="2">
        <v>42524</v>
      </c>
      <c r="V3901" t="s">
        <v>71</v>
      </c>
      <c r="W3901" t="str">
        <f>"         FATTPA 4_16"</f>
        <v xml:space="preserve">         FATTPA 4_16</v>
      </c>
      <c r="X3901" s="1">
        <v>2741.36</v>
      </c>
      <c r="Y3901">
        <v>-547.87</v>
      </c>
      <c r="Z3901"/>
      <c r="AB3901"/>
      <c r="AC3901" s="1">
        <v>2193.4899999999998</v>
      </c>
      <c r="AD3901">
        <v>-37</v>
      </c>
      <c r="AE3901" s="1">
        <v>-81159.13</v>
      </c>
      <c r="AF3901">
        <v>0</v>
      </c>
      <c r="AJ3901">
        <v>0</v>
      </c>
      <c r="AK3901">
        <v>0</v>
      </c>
      <c r="AL3901">
        <v>0</v>
      </c>
      <c r="AM3901" s="1">
        <v>2193.4899999999998</v>
      </c>
      <c r="AN3901" s="1">
        <v>2193.4899999999998</v>
      </c>
      <c r="AO3901" s="1">
        <v>2193.4899999999998</v>
      </c>
      <c r="AP3901" s="2">
        <v>42746</v>
      </c>
      <c r="AQ3901" t="s">
        <v>72</v>
      </c>
      <c r="AR3901" t="s">
        <v>72</v>
      </c>
      <c r="AS3901">
        <v>1152</v>
      </c>
      <c r="AT3901" s="4">
        <v>42487</v>
      </c>
      <c r="AV3901">
        <v>1152</v>
      </c>
      <c r="AW3901" s="4">
        <v>42487</v>
      </c>
      <c r="BD3901">
        <v>0</v>
      </c>
      <c r="BN3901" t="s">
        <v>74</v>
      </c>
    </row>
    <row r="3902" spans="1:66" hidden="1">
      <c r="A3902">
        <v>101389</v>
      </c>
      <c r="B3902" s="3" t="s">
        <v>426</v>
      </c>
      <c r="C3902" s="1">
        <v>43500101</v>
      </c>
      <c r="D3902" t="s">
        <v>113</v>
      </c>
      <c r="H3902" t="str">
        <f t="shared" si="415"/>
        <v>RSSNTN71R23C129I</v>
      </c>
      <c r="I3902" t="str">
        <f t="shared" si="416"/>
        <v>06484431215</v>
      </c>
      <c r="K3902" t="str">
        <f>""</f>
        <v/>
      </c>
      <c r="M3902" t="s">
        <v>68</v>
      </c>
      <c r="N3902" t="str">
        <f t="shared" si="417"/>
        <v>ALTPRO</v>
      </c>
      <c r="O3902" t="s">
        <v>132</v>
      </c>
      <c r="P3902" s="3" t="s">
        <v>75</v>
      </c>
      <c r="Q3902">
        <v>2016</v>
      </c>
      <c r="R3902" s="2">
        <v>42492</v>
      </c>
      <c r="S3902" s="2">
        <v>42493</v>
      </c>
      <c r="T3902" s="2">
        <v>42492</v>
      </c>
      <c r="U3902" s="2">
        <v>42552</v>
      </c>
      <c r="V3902" t="s">
        <v>71</v>
      </c>
      <c r="W3902" t="str">
        <f>"         FATTPA 5_16"</f>
        <v xml:space="preserve">         FATTPA 5_16</v>
      </c>
      <c r="X3902" s="1">
        <v>2636</v>
      </c>
      <c r="Y3902">
        <v>-526.79999999999995</v>
      </c>
      <c r="Z3902"/>
      <c r="AB3902"/>
      <c r="AC3902" s="1">
        <v>2109.1999999999998</v>
      </c>
      <c r="AD3902">
        <v>-36</v>
      </c>
      <c r="AE3902" s="1">
        <v>-75931.199999999997</v>
      </c>
      <c r="AF3902">
        <v>0</v>
      </c>
      <c r="AJ3902">
        <v>0</v>
      </c>
      <c r="AK3902">
        <v>0</v>
      </c>
      <c r="AL3902">
        <v>0</v>
      </c>
      <c r="AM3902" s="1">
        <v>2109.1999999999998</v>
      </c>
      <c r="AN3902" s="1">
        <v>2109.1999999999998</v>
      </c>
      <c r="AO3902" s="1">
        <v>2109.1999999999998</v>
      </c>
      <c r="AP3902" s="2">
        <v>42746</v>
      </c>
      <c r="AQ3902" t="s">
        <v>72</v>
      </c>
      <c r="AR3902" t="s">
        <v>72</v>
      </c>
      <c r="AS3902">
        <v>1381</v>
      </c>
      <c r="AT3902" s="4">
        <v>42516</v>
      </c>
      <c r="AV3902">
        <v>1381</v>
      </c>
      <c r="AW3902" s="4">
        <v>42516</v>
      </c>
      <c r="BD3902">
        <v>0</v>
      </c>
      <c r="BN3902" t="s">
        <v>74</v>
      </c>
    </row>
    <row r="3903" spans="1:66" hidden="1">
      <c r="A3903">
        <v>101389</v>
      </c>
      <c r="B3903" s="3" t="s">
        <v>426</v>
      </c>
      <c r="C3903" s="1">
        <v>43500101</v>
      </c>
      <c r="D3903" t="s">
        <v>113</v>
      </c>
      <c r="H3903" t="str">
        <f t="shared" si="415"/>
        <v>RSSNTN71R23C129I</v>
      </c>
      <c r="I3903" t="str">
        <f t="shared" si="416"/>
        <v>06484431215</v>
      </c>
      <c r="K3903" t="str">
        <f>""</f>
        <v/>
      </c>
      <c r="M3903" t="s">
        <v>68</v>
      </c>
      <c r="N3903" t="str">
        <f t="shared" si="417"/>
        <v>ALTPRO</v>
      </c>
      <c r="O3903" t="s">
        <v>132</v>
      </c>
      <c r="P3903" s="3" t="s">
        <v>75</v>
      </c>
      <c r="Q3903">
        <v>2016</v>
      </c>
      <c r="R3903" s="2">
        <v>42529</v>
      </c>
      <c r="S3903" s="2">
        <v>42530</v>
      </c>
      <c r="T3903" s="2">
        <v>42529</v>
      </c>
      <c r="U3903" s="2">
        <v>42589</v>
      </c>
      <c r="V3903" t="s">
        <v>71</v>
      </c>
      <c r="W3903" t="str">
        <f>"         FATTPA 7_16"</f>
        <v xml:space="preserve">         FATTPA 7_16</v>
      </c>
      <c r="X3903" s="1">
        <v>2741.36</v>
      </c>
      <c r="Y3903">
        <v>-547.87</v>
      </c>
      <c r="Z3903"/>
      <c r="AB3903"/>
      <c r="AC3903" s="1">
        <v>2193.4899999999998</v>
      </c>
      <c r="AD3903">
        <v>-37</v>
      </c>
      <c r="AE3903" s="1">
        <v>-81159.13</v>
      </c>
      <c r="AF3903">
        <v>0</v>
      </c>
      <c r="AJ3903">
        <v>0</v>
      </c>
      <c r="AK3903">
        <v>0</v>
      </c>
      <c r="AL3903">
        <v>0</v>
      </c>
      <c r="AM3903" s="1">
        <v>2193.4899999999998</v>
      </c>
      <c r="AN3903" s="1">
        <v>2193.4899999999998</v>
      </c>
      <c r="AO3903" s="1">
        <v>2193.4899999999998</v>
      </c>
      <c r="AP3903" s="2">
        <v>42746</v>
      </c>
      <c r="AQ3903" t="s">
        <v>72</v>
      </c>
      <c r="AR3903" t="s">
        <v>72</v>
      </c>
      <c r="AS3903">
        <v>1647</v>
      </c>
      <c r="AT3903" s="4">
        <v>42552</v>
      </c>
      <c r="AV3903">
        <v>1647</v>
      </c>
      <c r="AW3903" s="4">
        <v>42552</v>
      </c>
      <c r="BD3903">
        <v>0</v>
      </c>
      <c r="BN3903" t="s">
        <v>74</v>
      </c>
    </row>
    <row r="3904" spans="1:66" hidden="1">
      <c r="A3904">
        <v>101389</v>
      </c>
      <c r="B3904" s="3" t="s">
        <v>426</v>
      </c>
      <c r="C3904" s="1">
        <v>43500101</v>
      </c>
      <c r="D3904" t="s">
        <v>113</v>
      </c>
      <c r="H3904" t="str">
        <f t="shared" si="415"/>
        <v>RSSNTN71R23C129I</v>
      </c>
      <c r="I3904" t="str">
        <f t="shared" si="416"/>
        <v>06484431215</v>
      </c>
      <c r="K3904" t="str">
        <f>""</f>
        <v/>
      </c>
      <c r="M3904" t="s">
        <v>68</v>
      </c>
      <c r="N3904" t="str">
        <f t="shared" si="417"/>
        <v>ALTPRO</v>
      </c>
      <c r="O3904" t="s">
        <v>132</v>
      </c>
      <c r="P3904" s="3" t="s">
        <v>75</v>
      </c>
      <c r="Q3904">
        <v>2016</v>
      </c>
      <c r="R3904" s="2">
        <v>42551</v>
      </c>
      <c r="S3904" s="2">
        <v>42552</v>
      </c>
      <c r="T3904" s="2">
        <v>42551</v>
      </c>
      <c r="U3904" s="2">
        <v>42611</v>
      </c>
      <c r="V3904" t="s">
        <v>71</v>
      </c>
      <c r="W3904" t="str">
        <f>"         FATTPA 8_16"</f>
        <v xml:space="preserve">         FATTPA 8_16</v>
      </c>
      <c r="X3904" s="1">
        <v>2186.46</v>
      </c>
      <c r="Y3904">
        <v>-436.89</v>
      </c>
      <c r="Z3904"/>
      <c r="AB3904"/>
      <c r="AC3904" s="1">
        <v>1749.57</v>
      </c>
      <c r="AD3904">
        <v>-45</v>
      </c>
      <c r="AE3904" s="1">
        <v>-78730.649999999994</v>
      </c>
      <c r="AF3904">
        <v>0</v>
      </c>
      <c r="AJ3904">
        <v>0</v>
      </c>
      <c r="AK3904">
        <v>0</v>
      </c>
      <c r="AL3904">
        <v>0</v>
      </c>
      <c r="AM3904" s="1">
        <v>1749.57</v>
      </c>
      <c r="AN3904" s="1">
        <v>1749.57</v>
      </c>
      <c r="AO3904" s="1">
        <v>1749.57</v>
      </c>
      <c r="AP3904" s="2">
        <v>42746</v>
      </c>
      <c r="AQ3904" t="s">
        <v>72</v>
      </c>
      <c r="AR3904" t="s">
        <v>72</v>
      </c>
      <c r="AS3904">
        <v>1794</v>
      </c>
      <c r="AT3904" s="4">
        <v>42566</v>
      </c>
      <c r="AV3904">
        <v>1794</v>
      </c>
      <c r="AW3904" s="4">
        <v>42566</v>
      </c>
      <c r="BD3904">
        <v>0</v>
      </c>
      <c r="BN3904" t="s">
        <v>74</v>
      </c>
    </row>
    <row r="3905" spans="1:66" hidden="1">
      <c r="A3905">
        <v>101389</v>
      </c>
      <c r="B3905" s="3" t="s">
        <v>426</v>
      </c>
      <c r="C3905" s="1">
        <v>43500101</v>
      </c>
      <c r="D3905" t="s">
        <v>113</v>
      </c>
      <c r="H3905" t="str">
        <f t="shared" si="415"/>
        <v>RSSNTN71R23C129I</v>
      </c>
      <c r="I3905" t="str">
        <f t="shared" si="416"/>
        <v>06484431215</v>
      </c>
      <c r="K3905" t="str">
        <f>""</f>
        <v/>
      </c>
      <c r="M3905" t="s">
        <v>68</v>
      </c>
      <c r="N3905" t="str">
        <f t="shared" si="417"/>
        <v>ALTPRO</v>
      </c>
      <c r="O3905" t="s">
        <v>132</v>
      </c>
      <c r="P3905" s="3" t="s">
        <v>75</v>
      </c>
      <c r="Q3905">
        <v>2016</v>
      </c>
      <c r="R3905" s="2">
        <v>42583</v>
      </c>
      <c r="S3905" s="2">
        <v>42584</v>
      </c>
      <c r="T3905" s="2">
        <v>42584</v>
      </c>
      <c r="U3905" s="2">
        <v>42644</v>
      </c>
      <c r="V3905" t="s">
        <v>71</v>
      </c>
      <c r="W3905" t="str">
        <f>"         FATTPA 9_16"</f>
        <v xml:space="preserve">         FATTPA 9_16</v>
      </c>
      <c r="X3905" s="1">
        <v>2536.96</v>
      </c>
      <c r="Y3905">
        <v>-506.99</v>
      </c>
      <c r="Z3905"/>
      <c r="AB3905"/>
      <c r="AC3905" s="1">
        <v>2029.97</v>
      </c>
      <c r="AD3905">
        <v>-59</v>
      </c>
      <c r="AE3905" s="1">
        <v>-119768.23</v>
      </c>
      <c r="AF3905">
        <v>0</v>
      </c>
      <c r="AJ3905">
        <v>0</v>
      </c>
      <c r="AK3905">
        <v>0</v>
      </c>
      <c r="AL3905">
        <v>0</v>
      </c>
      <c r="AM3905" s="1">
        <v>2029.97</v>
      </c>
      <c r="AN3905" s="1">
        <v>2029.97</v>
      </c>
      <c r="AO3905" s="1">
        <v>2029.97</v>
      </c>
      <c r="AP3905" s="2">
        <v>42746</v>
      </c>
      <c r="AQ3905" t="s">
        <v>72</v>
      </c>
      <c r="AR3905" t="s">
        <v>72</v>
      </c>
      <c r="AS3905">
        <v>2061</v>
      </c>
      <c r="AT3905" s="4">
        <v>42585</v>
      </c>
      <c r="AV3905">
        <v>2061</v>
      </c>
      <c r="AW3905" s="4">
        <v>42585</v>
      </c>
      <c r="BD3905">
        <v>0</v>
      </c>
      <c r="BN3905" t="s">
        <v>74</v>
      </c>
    </row>
    <row r="3906" spans="1:66">
      <c r="A3906">
        <v>101389</v>
      </c>
      <c r="B3906" s="3" t="s">
        <v>426</v>
      </c>
      <c r="C3906" s="1">
        <v>43500101</v>
      </c>
      <c r="D3906" t="s">
        <v>113</v>
      </c>
      <c r="H3906" t="str">
        <f t="shared" si="415"/>
        <v>RSSNTN71R23C129I</v>
      </c>
      <c r="I3906" t="str">
        <f t="shared" si="416"/>
        <v>06484431215</v>
      </c>
      <c r="K3906" t="str">
        <f>""</f>
        <v/>
      </c>
      <c r="M3906" t="s">
        <v>68</v>
      </c>
      <c r="N3906" t="str">
        <f t="shared" si="417"/>
        <v>ALTPRO</v>
      </c>
      <c r="O3906" t="s">
        <v>132</v>
      </c>
      <c r="P3906" s="3" t="s">
        <v>75</v>
      </c>
      <c r="Q3906">
        <v>2016</v>
      </c>
      <c r="R3906" s="2">
        <v>42614</v>
      </c>
      <c r="S3906" s="2">
        <v>42620</v>
      </c>
      <c r="T3906" s="2">
        <v>42620</v>
      </c>
      <c r="U3906" s="2">
        <v>42680</v>
      </c>
      <c r="V3906" t="s">
        <v>71</v>
      </c>
      <c r="W3906" t="str">
        <f>"        FATTPA 10_16"</f>
        <v xml:space="preserve">        FATTPA 10_16</v>
      </c>
      <c r="X3906" s="1">
        <v>2634</v>
      </c>
      <c r="Y3906">
        <v>-526.79999999999995</v>
      </c>
      <c r="Z3906" s="5">
        <v>2107.1999999999998</v>
      </c>
      <c r="AA3906">
        <v>-34</v>
      </c>
      <c r="AB3906" s="5">
        <v>-71644.800000000003</v>
      </c>
      <c r="AC3906" s="1">
        <v>2107.1999999999998</v>
      </c>
      <c r="AD3906">
        <v>-34</v>
      </c>
      <c r="AE3906" s="1">
        <v>-71644.800000000003</v>
      </c>
      <c r="AF3906">
        <v>0</v>
      </c>
      <c r="AJ3906">
        <v>0</v>
      </c>
      <c r="AK3906">
        <v>0</v>
      </c>
      <c r="AL3906">
        <v>0</v>
      </c>
      <c r="AM3906" s="1">
        <v>2107.1999999999998</v>
      </c>
      <c r="AN3906" s="1">
        <v>2107.1999999999998</v>
      </c>
      <c r="AO3906" s="1">
        <v>2107.1999999999998</v>
      </c>
      <c r="AP3906" s="2">
        <v>42746</v>
      </c>
      <c r="AQ3906" t="s">
        <v>72</v>
      </c>
      <c r="AR3906" t="s">
        <v>72</v>
      </c>
      <c r="AS3906">
        <v>2520</v>
      </c>
      <c r="AT3906" s="4">
        <v>42646</v>
      </c>
      <c r="AV3906">
        <v>2520</v>
      </c>
      <c r="AW3906" s="4">
        <v>42646</v>
      </c>
      <c r="BD3906">
        <v>0</v>
      </c>
      <c r="BN3906" t="s">
        <v>74</v>
      </c>
    </row>
    <row r="3907" spans="1:66">
      <c r="A3907">
        <v>101389</v>
      </c>
      <c r="B3907" s="3" t="s">
        <v>426</v>
      </c>
      <c r="C3907" s="1">
        <v>43500101</v>
      </c>
      <c r="D3907" t="s">
        <v>113</v>
      </c>
      <c r="H3907" t="str">
        <f t="shared" si="415"/>
        <v>RSSNTN71R23C129I</v>
      </c>
      <c r="I3907" t="str">
        <f t="shared" si="416"/>
        <v>06484431215</v>
      </c>
      <c r="K3907" t="str">
        <f>""</f>
        <v/>
      </c>
      <c r="M3907" t="s">
        <v>68</v>
      </c>
      <c r="N3907" t="str">
        <f t="shared" si="417"/>
        <v>ALTPRO</v>
      </c>
      <c r="O3907" t="s">
        <v>132</v>
      </c>
      <c r="P3907" s="3" t="s">
        <v>75</v>
      </c>
      <c r="Q3907">
        <v>2016</v>
      </c>
      <c r="R3907" s="2">
        <v>42643</v>
      </c>
      <c r="S3907" s="2">
        <v>42646</v>
      </c>
      <c r="T3907" s="2">
        <v>42643</v>
      </c>
      <c r="U3907" s="2">
        <v>42703</v>
      </c>
      <c r="V3907" t="s">
        <v>71</v>
      </c>
      <c r="W3907" t="str">
        <f>"        FATTPA 11_16"</f>
        <v xml:space="preserve">        FATTPA 11_16</v>
      </c>
      <c r="X3907" s="1">
        <v>2636</v>
      </c>
      <c r="Y3907">
        <v>-526.79999999999995</v>
      </c>
      <c r="Z3907" s="5">
        <v>2109.1999999999998</v>
      </c>
      <c r="AA3907">
        <v>-56</v>
      </c>
      <c r="AB3907" s="5">
        <v>-118115.2</v>
      </c>
      <c r="AC3907" s="1">
        <v>2109.1999999999998</v>
      </c>
      <c r="AD3907">
        <v>-56</v>
      </c>
      <c r="AE3907" s="1">
        <v>-118115.2</v>
      </c>
      <c r="AF3907">
        <v>0</v>
      </c>
      <c r="AJ3907">
        <v>0</v>
      </c>
      <c r="AK3907" s="1">
        <v>2109.1999999999998</v>
      </c>
      <c r="AL3907">
        <v>0</v>
      </c>
      <c r="AM3907" s="1">
        <v>2109.1999999999998</v>
      </c>
      <c r="AN3907" s="1">
        <v>2109.1999999999998</v>
      </c>
      <c r="AO3907" s="1">
        <v>2109.1999999999998</v>
      </c>
      <c r="AP3907" s="2">
        <v>42746</v>
      </c>
      <c r="AQ3907" t="s">
        <v>72</v>
      </c>
      <c r="AR3907" t="s">
        <v>72</v>
      </c>
      <c r="AS3907">
        <v>2588</v>
      </c>
      <c r="AT3907" s="4">
        <v>42647</v>
      </c>
      <c r="AV3907">
        <v>2588</v>
      </c>
      <c r="AW3907" s="4">
        <v>42647</v>
      </c>
      <c r="BD3907">
        <v>0</v>
      </c>
      <c r="BN3907" t="s">
        <v>74</v>
      </c>
    </row>
    <row r="3908" spans="1:66">
      <c r="A3908">
        <v>101389</v>
      </c>
      <c r="B3908" s="3" t="s">
        <v>426</v>
      </c>
      <c r="C3908" s="1">
        <v>43500101</v>
      </c>
      <c r="D3908" t="s">
        <v>113</v>
      </c>
      <c r="H3908" t="str">
        <f t="shared" si="415"/>
        <v>RSSNTN71R23C129I</v>
      </c>
      <c r="I3908" t="str">
        <f t="shared" si="416"/>
        <v>06484431215</v>
      </c>
      <c r="K3908" t="str">
        <f>""</f>
        <v/>
      </c>
      <c r="M3908" t="s">
        <v>68</v>
      </c>
      <c r="N3908" t="str">
        <f t="shared" si="417"/>
        <v>ALTPRO</v>
      </c>
      <c r="O3908" t="s">
        <v>132</v>
      </c>
      <c r="P3908" s="3" t="s">
        <v>75</v>
      </c>
      <c r="Q3908">
        <v>2016</v>
      </c>
      <c r="R3908" s="2">
        <v>42677</v>
      </c>
      <c r="S3908" s="2">
        <v>42681</v>
      </c>
      <c r="T3908" s="2">
        <v>42678</v>
      </c>
      <c r="U3908" s="2">
        <v>42738</v>
      </c>
      <c r="V3908" t="s">
        <v>71</v>
      </c>
      <c r="W3908" t="str">
        <f>"        FATTPA 12_16"</f>
        <v xml:space="preserve">        FATTPA 12_16</v>
      </c>
      <c r="X3908" s="1">
        <v>2809.6</v>
      </c>
      <c r="Y3908">
        <v>-561.91999999999996</v>
      </c>
      <c r="Z3908" s="5">
        <v>2247.6799999999998</v>
      </c>
      <c r="AA3908">
        <v>-56</v>
      </c>
      <c r="AB3908" s="5">
        <v>-125870.08</v>
      </c>
      <c r="AC3908" s="1">
        <v>2247.6799999999998</v>
      </c>
      <c r="AD3908">
        <v>-56</v>
      </c>
      <c r="AE3908" s="1">
        <v>-125870.08</v>
      </c>
      <c r="AF3908">
        <v>0</v>
      </c>
      <c r="AJ3908" s="1">
        <v>2247.6799999999998</v>
      </c>
      <c r="AK3908" s="1">
        <v>2247.6799999999998</v>
      </c>
      <c r="AL3908" s="1">
        <v>2247.6799999999998</v>
      </c>
      <c r="AM3908" s="1">
        <v>2247.6799999999998</v>
      </c>
      <c r="AN3908" s="1">
        <v>2247.6799999999998</v>
      </c>
      <c r="AO3908" s="1">
        <v>2247.6799999999998</v>
      </c>
      <c r="AP3908" s="2">
        <v>42746</v>
      </c>
      <c r="AQ3908" t="s">
        <v>72</v>
      </c>
      <c r="AR3908" t="s">
        <v>72</v>
      </c>
      <c r="AS3908">
        <v>2968</v>
      </c>
      <c r="AT3908" s="4">
        <v>42682</v>
      </c>
      <c r="AV3908">
        <v>2968</v>
      </c>
      <c r="AW3908" s="4">
        <v>42682</v>
      </c>
      <c r="BD3908">
        <v>0</v>
      </c>
      <c r="BN3908" t="s">
        <v>74</v>
      </c>
    </row>
    <row r="3909" spans="1:66">
      <c r="A3909">
        <v>101389</v>
      </c>
      <c r="B3909" s="3" t="s">
        <v>426</v>
      </c>
      <c r="C3909" s="1">
        <v>43500101</v>
      </c>
      <c r="D3909" t="s">
        <v>113</v>
      </c>
      <c r="H3909" t="str">
        <f t="shared" si="415"/>
        <v>RSSNTN71R23C129I</v>
      </c>
      <c r="I3909" t="str">
        <f t="shared" si="416"/>
        <v>06484431215</v>
      </c>
      <c r="K3909" t="str">
        <f>""</f>
        <v/>
      </c>
      <c r="M3909" t="s">
        <v>68</v>
      </c>
      <c r="N3909" t="str">
        <f t="shared" si="417"/>
        <v>ALTPRO</v>
      </c>
      <c r="O3909" t="s">
        <v>132</v>
      </c>
      <c r="P3909" s="3" t="s">
        <v>75</v>
      </c>
      <c r="Q3909">
        <v>2016</v>
      </c>
      <c r="R3909" s="2">
        <v>42704</v>
      </c>
      <c r="S3909" s="2">
        <v>42705</v>
      </c>
      <c r="T3909" s="2">
        <v>42704</v>
      </c>
      <c r="U3909" s="2">
        <v>42764</v>
      </c>
      <c r="V3909" t="s">
        <v>71</v>
      </c>
      <c r="W3909" t="str">
        <f>"        FATTPA 13_16"</f>
        <v xml:space="preserve">        FATTPA 13_16</v>
      </c>
      <c r="X3909" s="1">
        <v>2634</v>
      </c>
      <c r="Y3909">
        <v>-526.79999999999995</v>
      </c>
      <c r="Z3909" s="5">
        <v>2107.1999999999998</v>
      </c>
      <c r="AA3909">
        <v>-55</v>
      </c>
      <c r="AB3909" s="5">
        <v>-115896</v>
      </c>
      <c r="AC3909" s="1">
        <v>2107.1999999999998</v>
      </c>
      <c r="AD3909">
        <v>-55</v>
      </c>
      <c r="AE3909" s="1">
        <v>-115896</v>
      </c>
      <c r="AF3909">
        <v>0</v>
      </c>
      <c r="AJ3909" s="1">
        <v>2107.1999999999998</v>
      </c>
      <c r="AK3909" s="1">
        <v>2107.1999999999998</v>
      </c>
      <c r="AL3909" s="1">
        <v>2107.1999999999998</v>
      </c>
      <c r="AM3909" s="1">
        <v>2107.1999999999998</v>
      </c>
      <c r="AN3909" s="1">
        <v>2107.1999999999998</v>
      </c>
      <c r="AO3909" s="1">
        <v>2107.1999999999998</v>
      </c>
      <c r="AP3909" s="2">
        <v>42746</v>
      </c>
      <c r="AQ3909" t="s">
        <v>72</v>
      </c>
      <c r="AR3909" t="s">
        <v>72</v>
      </c>
      <c r="AS3909">
        <v>3334</v>
      </c>
      <c r="AT3909" s="4">
        <v>42709</v>
      </c>
      <c r="AV3909">
        <v>3334</v>
      </c>
      <c r="AW3909" s="4">
        <v>42709</v>
      </c>
      <c r="BD3909">
        <v>0</v>
      </c>
      <c r="BN3909" t="s">
        <v>74</v>
      </c>
    </row>
    <row r="3910" spans="1:66" hidden="1">
      <c r="A3910">
        <v>101391</v>
      </c>
      <c r="B3910" s="3" t="s">
        <v>427</v>
      </c>
      <c r="C3910" s="1">
        <v>43300101</v>
      </c>
      <c r="D3910" t="s">
        <v>67</v>
      </c>
      <c r="H3910" t="str">
        <f t="shared" ref="H3910:I3913" si="418">"06349620960"</f>
        <v>06349620960</v>
      </c>
      <c r="I3910" t="str">
        <f t="shared" si="418"/>
        <v>06349620960</v>
      </c>
      <c r="K3910" t="str">
        <f>""</f>
        <v/>
      </c>
      <c r="M3910" t="s">
        <v>68</v>
      </c>
      <c r="N3910" t="str">
        <f>"FOR"</f>
        <v>FOR</v>
      </c>
      <c r="O3910" t="s">
        <v>69</v>
      </c>
      <c r="P3910" s="3" t="s">
        <v>78</v>
      </c>
      <c r="Q3910">
        <v>2013</v>
      </c>
      <c r="R3910" s="2">
        <v>41361</v>
      </c>
      <c r="S3910" s="2">
        <v>41373</v>
      </c>
      <c r="T3910" s="2">
        <v>41373</v>
      </c>
      <c r="U3910" s="2">
        <v>41463</v>
      </c>
      <c r="V3910" t="s">
        <v>71</v>
      </c>
      <c r="W3910" t="str">
        <f>"            E1300448"</f>
        <v xml:space="preserve">            E1300448</v>
      </c>
      <c r="X3910">
        <v>113.44</v>
      </c>
      <c r="Y3910">
        <v>0</v>
      </c>
      <c r="Z3910"/>
      <c r="AB3910"/>
      <c r="AC3910">
        <v>113.44</v>
      </c>
      <c r="AD3910">
        <v>940</v>
      </c>
      <c r="AE3910" s="1">
        <v>106633.60000000001</v>
      </c>
      <c r="AF3910">
        <v>0</v>
      </c>
      <c r="AJ3910">
        <v>0</v>
      </c>
      <c r="AK3910">
        <v>0</v>
      </c>
      <c r="AL3910">
        <v>0</v>
      </c>
      <c r="AM3910">
        <v>0</v>
      </c>
      <c r="AN3910">
        <v>0</v>
      </c>
      <c r="AO3910">
        <v>0</v>
      </c>
      <c r="AP3910" s="2">
        <v>42746</v>
      </c>
      <c r="AQ3910" t="s">
        <v>72</v>
      </c>
      <c r="AR3910" t="s">
        <v>72</v>
      </c>
      <c r="AS3910">
        <v>212</v>
      </c>
      <c r="AT3910" s="4">
        <v>42403</v>
      </c>
      <c r="AU3910" t="s">
        <v>73</v>
      </c>
      <c r="AV3910">
        <v>212</v>
      </c>
      <c r="AW3910" s="4">
        <v>42403</v>
      </c>
      <c r="BD3910">
        <v>0</v>
      </c>
      <c r="BN3910" t="s">
        <v>74</v>
      </c>
    </row>
    <row r="3911" spans="1:66" hidden="1">
      <c r="A3911">
        <v>101391</v>
      </c>
      <c r="B3911" s="3" t="s">
        <v>427</v>
      </c>
      <c r="C3911" s="1">
        <v>43300101</v>
      </c>
      <c r="D3911" t="s">
        <v>67</v>
      </c>
      <c r="H3911" t="str">
        <f t="shared" si="418"/>
        <v>06349620960</v>
      </c>
      <c r="I3911" t="str">
        <f t="shared" si="418"/>
        <v>06349620960</v>
      </c>
      <c r="K3911" t="str">
        <f>""</f>
        <v/>
      </c>
      <c r="M3911" t="s">
        <v>68</v>
      </c>
      <c r="N3911" t="str">
        <f>"FOR"</f>
        <v>FOR</v>
      </c>
      <c r="O3911" t="s">
        <v>69</v>
      </c>
      <c r="P3911" s="3" t="s">
        <v>78</v>
      </c>
      <c r="Q3911">
        <v>2013</v>
      </c>
      <c r="R3911" s="2">
        <v>41361</v>
      </c>
      <c r="S3911" s="2">
        <v>41373</v>
      </c>
      <c r="T3911" s="2">
        <v>41373</v>
      </c>
      <c r="U3911" s="2">
        <v>41463</v>
      </c>
      <c r="V3911" t="s">
        <v>71</v>
      </c>
      <c r="W3911" t="str">
        <f>"            E1300449"</f>
        <v xml:space="preserve">            E1300449</v>
      </c>
      <c r="X3911">
        <v>226.88</v>
      </c>
      <c r="Y3911">
        <v>0</v>
      </c>
      <c r="Z3911"/>
      <c r="AB3911"/>
      <c r="AC3911">
        <v>226.88</v>
      </c>
      <c r="AD3911">
        <v>940</v>
      </c>
      <c r="AE3911" s="1">
        <v>213267.20000000001</v>
      </c>
      <c r="AF3911">
        <v>0</v>
      </c>
      <c r="AJ3911">
        <v>0</v>
      </c>
      <c r="AK3911">
        <v>0</v>
      </c>
      <c r="AL3911">
        <v>0</v>
      </c>
      <c r="AM3911">
        <v>0</v>
      </c>
      <c r="AN3911">
        <v>0</v>
      </c>
      <c r="AO3911">
        <v>0</v>
      </c>
      <c r="AP3911" s="2">
        <v>42746</v>
      </c>
      <c r="AQ3911" t="s">
        <v>72</v>
      </c>
      <c r="AR3911" t="s">
        <v>72</v>
      </c>
      <c r="AS3911">
        <v>212</v>
      </c>
      <c r="AT3911" s="4">
        <v>42403</v>
      </c>
      <c r="AU3911" t="s">
        <v>73</v>
      </c>
      <c r="AV3911">
        <v>212</v>
      </c>
      <c r="AW3911" s="4">
        <v>42403</v>
      </c>
      <c r="BD3911">
        <v>0</v>
      </c>
      <c r="BN3911" t="s">
        <v>74</v>
      </c>
    </row>
    <row r="3912" spans="1:66" hidden="1">
      <c r="A3912">
        <v>101391</v>
      </c>
      <c r="B3912" s="3" t="s">
        <v>427</v>
      </c>
      <c r="C3912" s="1">
        <v>43300101</v>
      </c>
      <c r="D3912" t="s">
        <v>67</v>
      </c>
      <c r="H3912" t="str">
        <f t="shared" si="418"/>
        <v>06349620960</v>
      </c>
      <c r="I3912" t="str">
        <f t="shared" si="418"/>
        <v>06349620960</v>
      </c>
      <c r="K3912" t="str">
        <f>""</f>
        <v/>
      </c>
      <c r="M3912" t="s">
        <v>68</v>
      </c>
      <c r="N3912" t="str">
        <f>"FOR"</f>
        <v>FOR</v>
      </c>
      <c r="O3912" t="s">
        <v>69</v>
      </c>
      <c r="P3912" s="3" t="s">
        <v>75</v>
      </c>
      <c r="Q3912">
        <v>2015</v>
      </c>
      <c r="R3912" s="2">
        <v>42185</v>
      </c>
      <c r="S3912" s="2">
        <v>42369</v>
      </c>
      <c r="T3912" s="2">
        <v>42369</v>
      </c>
      <c r="U3912" s="2">
        <v>42429</v>
      </c>
      <c r="V3912" t="s">
        <v>71</v>
      </c>
      <c r="W3912" t="str">
        <f>"          EIVH150535"</f>
        <v xml:space="preserve">          EIVH150535</v>
      </c>
      <c r="X3912" s="1">
        <v>3843</v>
      </c>
      <c r="Y3912">
        <v>0</v>
      </c>
      <c r="Z3912"/>
      <c r="AB3912"/>
      <c r="AC3912" s="1">
        <v>3150</v>
      </c>
      <c r="AD3912">
        <v>98</v>
      </c>
      <c r="AE3912" s="1">
        <v>308700</v>
      </c>
      <c r="AF3912">
        <v>0</v>
      </c>
      <c r="AJ3912">
        <v>0</v>
      </c>
      <c r="AK3912">
        <v>0</v>
      </c>
      <c r="AL3912">
        <v>0</v>
      </c>
      <c r="AM3912">
        <v>0</v>
      </c>
      <c r="AN3912">
        <v>0</v>
      </c>
      <c r="AO3912">
        <v>0</v>
      </c>
      <c r="AP3912" s="2">
        <v>42746</v>
      </c>
      <c r="AQ3912" t="s">
        <v>72</v>
      </c>
      <c r="AR3912" t="s">
        <v>72</v>
      </c>
      <c r="AS3912">
        <v>1522</v>
      </c>
      <c r="AT3912" s="4">
        <v>42527</v>
      </c>
      <c r="AU3912" t="s">
        <v>73</v>
      </c>
      <c r="AV3912">
        <v>1522</v>
      </c>
      <c r="AW3912" s="4">
        <v>42527</v>
      </c>
      <c r="BD3912">
        <v>0</v>
      </c>
      <c r="BN3912" t="s">
        <v>74</v>
      </c>
    </row>
    <row r="3913" spans="1:66" hidden="1">
      <c r="A3913">
        <v>101391</v>
      </c>
      <c r="B3913" s="3" t="s">
        <v>427</v>
      </c>
      <c r="C3913" s="1">
        <v>43300101</v>
      </c>
      <c r="D3913" t="s">
        <v>67</v>
      </c>
      <c r="H3913" t="str">
        <f t="shared" si="418"/>
        <v>06349620960</v>
      </c>
      <c r="I3913" t="str">
        <f t="shared" si="418"/>
        <v>06349620960</v>
      </c>
      <c r="K3913" t="str">
        <f>""</f>
        <v/>
      </c>
      <c r="M3913" t="s">
        <v>68</v>
      </c>
      <c r="N3913" t="str">
        <f>"FOR"</f>
        <v>FOR</v>
      </c>
      <c r="O3913" t="s">
        <v>69</v>
      </c>
      <c r="P3913" s="3" t="s">
        <v>75</v>
      </c>
      <c r="Q3913">
        <v>2015</v>
      </c>
      <c r="R3913" s="2">
        <v>42247</v>
      </c>
      <c r="S3913" s="2">
        <v>42369</v>
      </c>
      <c r="T3913" s="2">
        <v>42368</v>
      </c>
      <c r="U3913" s="2">
        <v>42428</v>
      </c>
      <c r="V3913" t="s">
        <v>71</v>
      </c>
      <c r="W3913" t="str">
        <f>"          EIVH150795"</f>
        <v xml:space="preserve">          EIVH150795</v>
      </c>
      <c r="X3913">
        <v>323.3</v>
      </c>
      <c r="Y3913">
        <v>0</v>
      </c>
      <c r="Z3913"/>
      <c r="AB3913"/>
      <c r="AC3913">
        <v>265</v>
      </c>
      <c r="AD3913">
        <v>99</v>
      </c>
      <c r="AE3913" s="1">
        <v>26235</v>
      </c>
      <c r="AF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 s="2">
        <v>42746</v>
      </c>
      <c r="AQ3913" t="s">
        <v>72</v>
      </c>
      <c r="AR3913" t="s">
        <v>72</v>
      </c>
      <c r="AS3913">
        <v>1522</v>
      </c>
      <c r="AT3913" s="4">
        <v>42527</v>
      </c>
      <c r="AU3913" t="s">
        <v>73</v>
      </c>
      <c r="AV3913">
        <v>1522</v>
      </c>
      <c r="AW3913" s="4">
        <v>42527</v>
      </c>
      <c r="BD3913">
        <v>0</v>
      </c>
      <c r="BN3913" t="s">
        <v>74</v>
      </c>
    </row>
    <row r="3914" spans="1:66" hidden="1">
      <c r="A3914">
        <v>101397</v>
      </c>
      <c r="B3914" s="3" t="s">
        <v>428</v>
      </c>
      <c r="C3914" s="1">
        <v>43500101</v>
      </c>
      <c r="D3914" t="s">
        <v>113</v>
      </c>
      <c r="H3914" t="str">
        <f t="shared" ref="H3914:H3925" si="419">"TRVNGL75P69G812H"</f>
        <v>TRVNGL75P69G812H</v>
      </c>
      <c r="I3914" t="str">
        <f t="shared" ref="I3914:I3925" si="420">"05859251216"</f>
        <v>05859251216</v>
      </c>
      <c r="K3914" t="str">
        <f>""</f>
        <v/>
      </c>
      <c r="M3914" t="s">
        <v>68</v>
      </c>
      <c r="N3914" t="str">
        <f t="shared" ref="N3914:N3925" si="421">"ALTPRO"</f>
        <v>ALTPRO</v>
      </c>
      <c r="O3914" t="s">
        <v>132</v>
      </c>
      <c r="P3914" s="3" t="s">
        <v>75</v>
      </c>
      <c r="Q3914">
        <v>2016</v>
      </c>
      <c r="R3914" s="2">
        <v>42376</v>
      </c>
      <c r="S3914" s="2">
        <v>42389</v>
      </c>
      <c r="T3914" s="2">
        <v>42388</v>
      </c>
      <c r="U3914" s="2">
        <v>42448</v>
      </c>
      <c r="V3914" t="s">
        <v>71</v>
      </c>
      <c r="W3914" t="str">
        <f>"         FATTPA 1_16"</f>
        <v xml:space="preserve">         FATTPA 1_16</v>
      </c>
      <c r="X3914" s="1">
        <v>2528.64</v>
      </c>
      <c r="Y3914">
        <v>-505.73</v>
      </c>
      <c r="Z3914"/>
      <c r="AB3914"/>
      <c r="AC3914" s="1">
        <v>2022.91</v>
      </c>
      <c r="AD3914">
        <v>-51</v>
      </c>
      <c r="AE3914" s="1">
        <v>-103168.41</v>
      </c>
      <c r="AF3914">
        <v>0</v>
      </c>
      <c r="AJ3914">
        <v>0</v>
      </c>
      <c r="AK3914">
        <v>0</v>
      </c>
      <c r="AL3914">
        <v>0</v>
      </c>
      <c r="AM3914">
        <v>-505.73</v>
      </c>
      <c r="AN3914" s="1">
        <v>2022.91</v>
      </c>
      <c r="AO3914" s="1">
        <v>2022.91</v>
      </c>
      <c r="AP3914" s="2">
        <v>42746</v>
      </c>
      <c r="AQ3914" t="s">
        <v>72</v>
      </c>
      <c r="AR3914" t="s">
        <v>72</v>
      </c>
      <c r="AS3914">
        <v>156</v>
      </c>
      <c r="AT3914" s="4">
        <v>42397</v>
      </c>
      <c r="AV3914">
        <v>156</v>
      </c>
      <c r="AW3914" s="4">
        <v>42397</v>
      </c>
      <c r="BD3914">
        <v>0</v>
      </c>
      <c r="BN3914" t="s">
        <v>74</v>
      </c>
    </row>
    <row r="3915" spans="1:66" hidden="1">
      <c r="A3915">
        <v>101397</v>
      </c>
      <c r="B3915" s="3" t="s">
        <v>428</v>
      </c>
      <c r="C3915" s="1">
        <v>43500101</v>
      </c>
      <c r="D3915" t="s">
        <v>113</v>
      </c>
      <c r="H3915" t="str">
        <f t="shared" si="419"/>
        <v>TRVNGL75P69G812H</v>
      </c>
      <c r="I3915" t="str">
        <f t="shared" si="420"/>
        <v>05859251216</v>
      </c>
      <c r="K3915" t="str">
        <f>""</f>
        <v/>
      </c>
      <c r="M3915" t="s">
        <v>68</v>
      </c>
      <c r="N3915" t="str">
        <f t="shared" si="421"/>
        <v>ALTPRO</v>
      </c>
      <c r="O3915" t="s">
        <v>132</v>
      </c>
      <c r="P3915" s="3" t="s">
        <v>75</v>
      </c>
      <c r="Q3915">
        <v>2016</v>
      </c>
      <c r="R3915" s="2">
        <v>42403</v>
      </c>
      <c r="S3915" s="2">
        <v>42404</v>
      </c>
      <c r="T3915" s="2">
        <v>42403</v>
      </c>
      <c r="U3915" s="2">
        <v>42463</v>
      </c>
      <c r="V3915" t="s">
        <v>71</v>
      </c>
      <c r="W3915" t="str">
        <f>"         FATTPA 2_16"</f>
        <v xml:space="preserve">         FATTPA 2_16</v>
      </c>
      <c r="X3915" s="1">
        <v>2465.0700000000002</v>
      </c>
      <c r="Y3915">
        <v>-493.01</v>
      </c>
      <c r="Z3915"/>
      <c r="AB3915"/>
      <c r="AC3915" s="1">
        <v>1972.06</v>
      </c>
      <c r="AD3915">
        <v>-37</v>
      </c>
      <c r="AE3915" s="1">
        <v>-72966.22</v>
      </c>
      <c r="AF3915">
        <v>0</v>
      </c>
      <c r="AJ3915">
        <v>0</v>
      </c>
      <c r="AK3915">
        <v>0</v>
      </c>
      <c r="AL3915">
        <v>0</v>
      </c>
      <c r="AM3915" s="1">
        <v>1972.06</v>
      </c>
      <c r="AN3915" s="1">
        <v>1972.06</v>
      </c>
      <c r="AO3915" s="1">
        <v>1972.06</v>
      </c>
      <c r="AP3915" s="2">
        <v>42746</v>
      </c>
      <c r="AQ3915" t="s">
        <v>72</v>
      </c>
      <c r="AR3915" t="s">
        <v>72</v>
      </c>
      <c r="AS3915">
        <v>575</v>
      </c>
      <c r="AT3915" s="4">
        <v>42426</v>
      </c>
      <c r="AV3915">
        <v>575</v>
      </c>
      <c r="AW3915" s="4">
        <v>42426</v>
      </c>
      <c r="BD3915">
        <v>0</v>
      </c>
      <c r="BN3915" t="s">
        <v>74</v>
      </c>
    </row>
    <row r="3916" spans="1:66" hidden="1">
      <c r="A3916">
        <v>101397</v>
      </c>
      <c r="B3916" s="3" t="s">
        <v>428</v>
      </c>
      <c r="C3916" s="1">
        <v>43500101</v>
      </c>
      <c r="D3916" t="s">
        <v>113</v>
      </c>
      <c r="H3916" t="str">
        <f t="shared" si="419"/>
        <v>TRVNGL75P69G812H</v>
      </c>
      <c r="I3916" t="str">
        <f t="shared" si="420"/>
        <v>05859251216</v>
      </c>
      <c r="K3916" t="str">
        <f>""</f>
        <v/>
      </c>
      <c r="M3916" t="s">
        <v>68</v>
      </c>
      <c r="N3916" t="str">
        <f t="shared" si="421"/>
        <v>ALTPRO</v>
      </c>
      <c r="O3916" t="s">
        <v>132</v>
      </c>
      <c r="P3916" s="3" t="s">
        <v>75</v>
      </c>
      <c r="Q3916">
        <v>2016</v>
      </c>
      <c r="R3916" s="2">
        <v>42432</v>
      </c>
      <c r="S3916" s="2">
        <v>42433</v>
      </c>
      <c r="T3916" s="2">
        <v>42432</v>
      </c>
      <c r="U3916" s="2">
        <v>42492</v>
      </c>
      <c r="V3916" t="s">
        <v>71</v>
      </c>
      <c r="W3916" t="str">
        <f>"         FATTPA 3_16"</f>
        <v xml:space="preserve">         FATTPA 3_16</v>
      </c>
      <c r="X3916" s="1">
        <v>2634</v>
      </c>
      <c r="Y3916">
        <v>-526.79999999999995</v>
      </c>
      <c r="Z3916"/>
      <c r="AB3916"/>
      <c r="AC3916" s="1">
        <v>2107.1999999999998</v>
      </c>
      <c r="AD3916">
        <v>-41</v>
      </c>
      <c r="AE3916" s="1">
        <v>-86395.199999999997</v>
      </c>
      <c r="AF3916">
        <v>0</v>
      </c>
      <c r="AJ3916">
        <v>0</v>
      </c>
      <c r="AK3916">
        <v>0</v>
      </c>
      <c r="AL3916">
        <v>0</v>
      </c>
      <c r="AM3916" s="1">
        <v>2107.1999999999998</v>
      </c>
      <c r="AN3916" s="1">
        <v>2107.1999999999998</v>
      </c>
      <c r="AO3916" s="1">
        <v>2107.1999999999998</v>
      </c>
      <c r="AP3916" s="2">
        <v>42746</v>
      </c>
      <c r="AQ3916" t="s">
        <v>72</v>
      </c>
      <c r="AR3916" t="s">
        <v>72</v>
      </c>
      <c r="AS3916">
        <v>744</v>
      </c>
      <c r="AT3916" s="4">
        <v>42451</v>
      </c>
      <c r="AV3916">
        <v>744</v>
      </c>
      <c r="AW3916" s="4">
        <v>42451</v>
      </c>
      <c r="BD3916">
        <v>0</v>
      </c>
      <c r="BN3916" t="s">
        <v>74</v>
      </c>
    </row>
    <row r="3917" spans="1:66" hidden="1">
      <c r="A3917">
        <v>101397</v>
      </c>
      <c r="B3917" s="3" t="s">
        <v>428</v>
      </c>
      <c r="C3917" s="1">
        <v>43500101</v>
      </c>
      <c r="D3917" t="s">
        <v>113</v>
      </c>
      <c r="H3917" t="str">
        <f t="shared" si="419"/>
        <v>TRVNGL75P69G812H</v>
      </c>
      <c r="I3917" t="str">
        <f t="shared" si="420"/>
        <v>05859251216</v>
      </c>
      <c r="K3917" t="str">
        <f>""</f>
        <v/>
      </c>
      <c r="M3917" t="s">
        <v>68</v>
      </c>
      <c r="N3917" t="str">
        <f t="shared" si="421"/>
        <v>ALTPRO</v>
      </c>
      <c r="O3917" t="s">
        <v>132</v>
      </c>
      <c r="P3917" s="3" t="s">
        <v>75</v>
      </c>
      <c r="Q3917">
        <v>2016</v>
      </c>
      <c r="R3917" s="2">
        <v>42465</v>
      </c>
      <c r="S3917" s="2">
        <v>42466</v>
      </c>
      <c r="T3917" s="2">
        <v>42465</v>
      </c>
      <c r="U3917" s="2">
        <v>42525</v>
      </c>
      <c r="V3917" t="s">
        <v>71</v>
      </c>
      <c r="W3917" t="str">
        <f>"         FATTPA 4_16"</f>
        <v xml:space="preserve">         FATTPA 4_16</v>
      </c>
      <c r="X3917" s="1">
        <v>2452.7800000000002</v>
      </c>
      <c r="Y3917">
        <v>-490.56</v>
      </c>
      <c r="Z3917"/>
      <c r="AB3917"/>
      <c r="AC3917" s="1">
        <v>1962.22</v>
      </c>
      <c r="AD3917">
        <v>-38</v>
      </c>
      <c r="AE3917" s="1">
        <v>-74564.36</v>
      </c>
      <c r="AF3917">
        <v>0</v>
      </c>
      <c r="AJ3917">
        <v>0</v>
      </c>
      <c r="AK3917">
        <v>0</v>
      </c>
      <c r="AL3917">
        <v>0</v>
      </c>
      <c r="AM3917" s="1">
        <v>1962.22</v>
      </c>
      <c r="AN3917" s="1">
        <v>1962.22</v>
      </c>
      <c r="AO3917" s="1">
        <v>1962.22</v>
      </c>
      <c r="AP3917" s="2">
        <v>42746</v>
      </c>
      <c r="AQ3917" t="s">
        <v>72</v>
      </c>
      <c r="AR3917" t="s">
        <v>72</v>
      </c>
      <c r="AS3917">
        <v>1151</v>
      </c>
      <c r="AT3917" s="4">
        <v>42487</v>
      </c>
      <c r="AV3917">
        <v>1151</v>
      </c>
      <c r="AW3917" s="4">
        <v>42487</v>
      </c>
      <c r="BD3917">
        <v>0</v>
      </c>
      <c r="BN3917" t="s">
        <v>74</v>
      </c>
    </row>
    <row r="3918" spans="1:66" hidden="1">
      <c r="A3918">
        <v>101397</v>
      </c>
      <c r="B3918" s="3" t="s">
        <v>428</v>
      </c>
      <c r="C3918" s="1">
        <v>43500101</v>
      </c>
      <c r="D3918" t="s">
        <v>113</v>
      </c>
      <c r="H3918" t="str">
        <f t="shared" si="419"/>
        <v>TRVNGL75P69G812H</v>
      </c>
      <c r="I3918" t="str">
        <f t="shared" si="420"/>
        <v>05859251216</v>
      </c>
      <c r="K3918" t="str">
        <f>""</f>
        <v/>
      </c>
      <c r="M3918" t="s">
        <v>68</v>
      </c>
      <c r="N3918" t="str">
        <f t="shared" si="421"/>
        <v>ALTPRO</v>
      </c>
      <c r="O3918" t="s">
        <v>132</v>
      </c>
      <c r="P3918" s="3" t="s">
        <v>75</v>
      </c>
      <c r="Q3918">
        <v>2016</v>
      </c>
      <c r="R3918" s="2">
        <v>42493</v>
      </c>
      <c r="S3918" s="2">
        <v>42495</v>
      </c>
      <c r="T3918" s="2">
        <v>42493</v>
      </c>
      <c r="U3918" s="2">
        <v>42553</v>
      </c>
      <c r="V3918" t="s">
        <v>71</v>
      </c>
      <c r="W3918" t="str">
        <f>"         FATTPA 5_16"</f>
        <v xml:space="preserve">         FATTPA 5_16</v>
      </c>
      <c r="X3918" s="1">
        <v>2634</v>
      </c>
      <c r="Y3918">
        <v>-526.79999999999995</v>
      </c>
      <c r="Z3918"/>
      <c r="AB3918"/>
      <c r="AC3918" s="1">
        <v>2107.1999999999998</v>
      </c>
      <c r="AD3918">
        <v>-37</v>
      </c>
      <c r="AE3918" s="1">
        <v>-77966.399999999994</v>
      </c>
      <c r="AF3918">
        <v>0</v>
      </c>
      <c r="AJ3918">
        <v>0</v>
      </c>
      <c r="AK3918">
        <v>0</v>
      </c>
      <c r="AL3918">
        <v>0</v>
      </c>
      <c r="AM3918" s="1">
        <v>2107.1999999999998</v>
      </c>
      <c r="AN3918" s="1">
        <v>2107.1999999999998</v>
      </c>
      <c r="AO3918" s="1">
        <v>2107.1999999999998</v>
      </c>
      <c r="AP3918" s="2">
        <v>42746</v>
      </c>
      <c r="AQ3918" t="s">
        <v>72</v>
      </c>
      <c r="AR3918" t="s">
        <v>72</v>
      </c>
      <c r="AS3918">
        <v>1382</v>
      </c>
      <c r="AT3918" s="4">
        <v>42516</v>
      </c>
      <c r="AV3918">
        <v>1382</v>
      </c>
      <c r="AW3918" s="4">
        <v>42516</v>
      </c>
      <c r="BD3918">
        <v>0</v>
      </c>
      <c r="BN3918" t="s">
        <v>74</v>
      </c>
    </row>
    <row r="3919" spans="1:66" hidden="1">
      <c r="A3919">
        <v>101397</v>
      </c>
      <c r="B3919" s="3" t="s">
        <v>428</v>
      </c>
      <c r="C3919" s="1">
        <v>43500101</v>
      </c>
      <c r="D3919" t="s">
        <v>113</v>
      </c>
      <c r="H3919" t="str">
        <f t="shared" si="419"/>
        <v>TRVNGL75P69G812H</v>
      </c>
      <c r="I3919" t="str">
        <f t="shared" si="420"/>
        <v>05859251216</v>
      </c>
      <c r="K3919" t="str">
        <f>""</f>
        <v/>
      </c>
      <c r="M3919" t="s">
        <v>68</v>
      </c>
      <c r="N3919" t="str">
        <f t="shared" si="421"/>
        <v>ALTPRO</v>
      </c>
      <c r="O3919" t="s">
        <v>132</v>
      </c>
      <c r="P3919" s="3" t="s">
        <v>75</v>
      </c>
      <c r="Q3919">
        <v>2016</v>
      </c>
      <c r="R3919" s="2">
        <v>42529</v>
      </c>
      <c r="S3919" s="2">
        <v>42534</v>
      </c>
      <c r="T3919" s="2">
        <v>42531</v>
      </c>
      <c r="U3919" s="2">
        <v>42591</v>
      </c>
      <c r="V3919" t="s">
        <v>71</v>
      </c>
      <c r="W3919" t="str">
        <f>"         FATTPA 6_16"</f>
        <v xml:space="preserve">         FATTPA 6_16</v>
      </c>
      <c r="X3919" s="1">
        <v>2542.69</v>
      </c>
      <c r="Y3919">
        <v>-508.54</v>
      </c>
      <c r="Z3919"/>
      <c r="AB3919"/>
      <c r="AC3919" s="1">
        <v>2034.15</v>
      </c>
      <c r="AD3919">
        <v>-39</v>
      </c>
      <c r="AE3919" s="1">
        <v>-79331.850000000006</v>
      </c>
      <c r="AF3919">
        <v>0</v>
      </c>
      <c r="AJ3919">
        <v>0</v>
      </c>
      <c r="AK3919">
        <v>0</v>
      </c>
      <c r="AL3919">
        <v>0</v>
      </c>
      <c r="AM3919" s="1">
        <v>2034.15</v>
      </c>
      <c r="AN3919" s="1">
        <v>2034.15</v>
      </c>
      <c r="AO3919" s="1">
        <v>2034.15</v>
      </c>
      <c r="AP3919" s="2">
        <v>42746</v>
      </c>
      <c r="AQ3919" t="s">
        <v>72</v>
      </c>
      <c r="AR3919" t="s">
        <v>72</v>
      </c>
      <c r="AS3919">
        <v>1649</v>
      </c>
      <c r="AT3919" s="4">
        <v>42552</v>
      </c>
      <c r="AV3919">
        <v>1649</v>
      </c>
      <c r="AW3919" s="4">
        <v>42552</v>
      </c>
      <c r="BD3919">
        <v>0</v>
      </c>
      <c r="BN3919" t="s">
        <v>74</v>
      </c>
    </row>
    <row r="3920" spans="1:66" hidden="1">
      <c r="A3920">
        <v>101397</v>
      </c>
      <c r="B3920" s="3" t="s">
        <v>428</v>
      </c>
      <c r="C3920" s="1">
        <v>43500101</v>
      </c>
      <c r="D3920" t="s">
        <v>113</v>
      </c>
      <c r="H3920" t="str">
        <f t="shared" si="419"/>
        <v>TRVNGL75P69G812H</v>
      </c>
      <c r="I3920" t="str">
        <f t="shared" si="420"/>
        <v>05859251216</v>
      </c>
      <c r="K3920" t="str">
        <f>""</f>
        <v/>
      </c>
      <c r="M3920" t="s">
        <v>68</v>
      </c>
      <c r="N3920" t="str">
        <f t="shared" si="421"/>
        <v>ALTPRO</v>
      </c>
      <c r="O3920" t="s">
        <v>132</v>
      </c>
      <c r="P3920" s="3" t="s">
        <v>75</v>
      </c>
      <c r="Q3920">
        <v>2016</v>
      </c>
      <c r="R3920" s="2">
        <v>42586</v>
      </c>
      <c r="S3920" s="2">
        <v>42587</v>
      </c>
      <c r="T3920" s="2">
        <v>42586</v>
      </c>
      <c r="U3920" s="2">
        <v>42646</v>
      </c>
      <c r="V3920" t="s">
        <v>71</v>
      </c>
      <c r="W3920" t="str">
        <f>"         FATTPA 7_16"</f>
        <v xml:space="preserve">         FATTPA 7_16</v>
      </c>
      <c r="X3920">
        <v>809.52</v>
      </c>
      <c r="Y3920">
        <v>-161.9</v>
      </c>
      <c r="Z3920"/>
      <c r="AB3920"/>
      <c r="AC3920">
        <v>647.62</v>
      </c>
      <c r="AD3920">
        <v>-28</v>
      </c>
      <c r="AE3920" s="1">
        <v>-18133.36</v>
      </c>
      <c r="AF3920">
        <v>0</v>
      </c>
      <c r="AJ3920">
        <v>0</v>
      </c>
      <c r="AK3920">
        <v>0</v>
      </c>
      <c r="AL3920">
        <v>0</v>
      </c>
      <c r="AM3920">
        <v>647.62</v>
      </c>
      <c r="AN3920">
        <v>647.62</v>
      </c>
      <c r="AO3920">
        <v>647.62</v>
      </c>
      <c r="AP3920" s="2">
        <v>42746</v>
      </c>
      <c r="AQ3920" t="s">
        <v>72</v>
      </c>
      <c r="AR3920" t="s">
        <v>72</v>
      </c>
      <c r="AS3920">
        <v>2244</v>
      </c>
      <c r="AT3920" s="4">
        <v>42618</v>
      </c>
      <c r="AV3920">
        <v>2244</v>
      </c>
      <c r="AW3920" s="4">
        <v>42618</v>
      </c>
      <c r="BD3920">
        <v>0</v>
      </c>
      <c r="BN3920" t="s">
        <v>74</v>
      </c>
    </row>
    <row r="3921" spans="1:66" hidden="1">
      <c r="A3921">
        <v>101397</v>
      </c>
      <c r="B3921" s="3" t="s">
        <v>428</v>
      </c>
      <c r="C3921" s="1">
        <v>43500101</v>
      </c>
      <c r="D3921" t="s">
        <v>113</v>
      </c>
      <c r="H3921" t="str">
        <f t="shared" si="419"/>
        <v>TRVNGL75P69G812H</v>
      </c>
      <c r="I3921" t="str">
        <f t="shared" si="420"/>
        <v>05859251216</v>
      </c>
      <c r="K3921" t="str">
        <f>""</f>
        <v/>
      </c>
      <c r="M3921" t="s">
        <v>68</v>
      </c>
      <c r="N3921" t="str">
        <f t="shared" si="421"/>
        <v>ALTPRO</v>
      </c>
      <c r="O3921" t="s">
        <v>132</v>
      </c>
      <c r="P3921" s="3" t="s">
        <v>75</v>
      </c>
      <c r="Q3921">
        <v>2016</v>
      </c>
      <c r="R3921" s="2">
        <v>42586</v>
      </c>
      <c r="S3921" s="2">
        <v>42587</v>
      </c>
      <c r="T3921" s="2">
        <v>42586</v>
      </c>
      <c r="U3921" s="2">
        <v>42646</v>
      </c>
      <c r="V3921" t="s">
        <v>71</v>
      </c>
      <c r="W3921" t="str">
        <f>"         FATTPA 8_16"</f>
        <v xml:space="preserve">         FATTPA 8_16</v>
      </c>
      <c r="X3921" s="1">
        <v>2663.33</v>
      </c>
      <c r="Y3921">
        <v>-532.66999999999996</v>
      </c>
      <c r="Z3921"/>
      <c r="AB3921"/>
      <c r="AC3921" s="1">
        <v>2130.66</v>
      </c>
      <c r="AD3921">
        <v>-28</v>
      </c>
      <c r="AE3921" s="1">
        <v>-59658.48</v>
      </c>
      <c r="AF3921">
        <v>0</v>
      </c>
      <c r="AJ3921">
        <v>0</v>
      </c>
      <c r="AK3921">
        <v>0</v>
      </c>
      <c r="AL3921">
        <v>0</v>
      </c>
      <c r="AM3921" s="1">
        <v>2130.66</v>
      </c>
      <c r="AN3921" s="1">
        <v>2130.66</v>
      </c>
      <c r="AO3921" s="1">
        <v>2130.66</v>
      </c>
      <c r="AP3921" s="2">
        <v>42746</v>
      </c>
      <c r="AQ3921" t="s">
        <v>72</v>
      </c>
      <c r="AR3921" t="s">
        <v>72</v>
      </c>
      <c r="AS3921">
        <v>2244</v>
      </c>
      <c r="AT3921" s="4">
        <v>42618</v>
      </c>
      <c r="AV3921">
        <v>2244</v>
      </c>
      <c r="AW3921" s="4">
        <v>42618</v>
      </c>
      <c r="BD3921">
        <v>0</v>
      </c>
      <c r="BN3921" t="s">
        <v>74</v>
      </c>
    </row>
    <row r="3922" spans="1:66">
      <c r="A3922">
        <v>101397</v>
      </c>
      <c r="B3922" s="3" t="s">
        <v>428</v>
      </c>
      <c r="C3922" s="1">
        <v>43500101</v>
      </c>
      <c r="D3922" t="s">
        <v>113</v>
      </c>
      <c r="H3922" t="str">
        <f t="shared" si="419"/>
        <v>TRVNGL75P69G812H</v>
      </c>
      <c r="I3922" t="str">
        <f t="shared" si="420"/>
        <v>05859251216</v>
      </c>
      <c r="K3922" t="str">
        <f>""</f>
        <v/>
      </c>
      <c r="M3922" t="s">
        <v>68</v>
      </c>
      <c r="N3922" t="str">
        <f t="shared" si="421"/>
        <v>ALTPRO</v>
      </c>
      <c r="O3922" t="s">
        <v>132</v>
      </c>
      <c r="P3922" s="3" t="s">
        <v>75</v>
      </c>
      <c r="Q3922">
        <v>2016</v>
      </c>
      <c r="R3922" s="2">
        <v>42620</v>
      </c>
      <c r="S3922" s="2">
        <v>42620</v>
      </c>
      <c r="T3922" s="2">
        <v>42620</v>
      </c>
      <c r="U3922" s="2">
        <v>42680</v>
      </c>
      <c r="V3922" t="s">
        <v>71</v>
      </c>
      <c r="W3922" t="str">
        <f>"         FATTPA 9_16"</f>
        <v xml:space="preserve">         FATTPA 9_16</v>
      </c>
      <c r="X3922" s="1">
        <v>2177.44</v>
      </c>
      <c r="Y3922">
        <v>-435.49</v>
      </c>
      <c r="Z3922" s="5">
        <v>1741.95</v>
      </c>
      <c r="AA3922">
        <v>-34</v>
      </c>
      <c r="AB3922" s="5">
        <v>-59226.3</v>
      </c>
      <c r="AC3922" s="1">
        <v>1741.95</v>
      </c>
      <c r="AD3922">
        <v>-34</v>
      </c>
      <c r="AE3922" s="1">
        <v>-59226.3</v>
      </c>
      <c r="AF3922">
        <v>0</v>
      </c>
      <c r="AJ3922">
        <v>0</v>
      </c>
      <c r="AK3922">
        <v>0</v>
      </c>
      <c r="AL3922">
        <v>0</v>
      </c>
      <c r="AM3922" s="1">
        <v>1741.95</v>
      </c>
      <c r="AN3922" s="1">
        <v>1741.95</v>
      </c>
      <c r="AO3922" s="1">
        <v>1741.95</v>
      </c>
      <c r="AP3922" s="2">
        <v>42746</v>
      </c>
      <c r="AQ3922" t="s">
        <v>72</v>
      </c>
      <c r="AR3922" t="s">
        <v>72</v>
      </c>
      <c r="AS3922">
        <v>2519</v>
      </c>
      <c r="AT3922" s="4">
        <v>42646</v>
      </c>
      <c r="AV3922">
        <v>2519</v>
      </c>
      <c r="AW3922" s="4">
        <v>42646</v>
      </c>
      <c r="BD3922">
        <v>0</v>
      </c>
      <c r="BN3922" t="s">
        <v>74</v>
      </c>
    </row>
    <row r="3923" spans="1:66">
      <c r="A3923">
        <v>101397</v>
      </c>
      <c r="B3923" s="3" t="s">
        <v>428</v>
      </c>
      <c r="C3923" s="1">
        <v>43500101</v>
      </c>
      <c r="D3923" t="s">
        <v>113</v>
      </c>
      <c r="H3923" t="str">
        <f t="shared" si="419"/>
        <v>TRVNGL75P69G812H</v>
      </c>
      <c r="I3923" t="str">
        <f t="shared" si="420"/>
        <v>05859251216</v>
      </c>
      <c r="K3923" t="str">
        <f>""</f>
        <v/>
      </c>
      <c r="M3923" t="s">
        <v>68</v>
      </c>
      <c r="N3923" t="str">
        <f t="shared" si="421"/>
        <v>ALTPRO</v>
      </c>
      <c r="O3923" t="s">
        <v>132</v>
      </c>
      <c r="P3923" s="3" t="s">
        <v>75</v>
      </c>
      <c r="Q3923">
        <v>2016</v>
      </c>
      <c r="R3923" s="2">
        <v>42648</v>
      </c>
      <c r="S3923" s="2">
        <v>42654</v>
      </c>
      <c r="T3923" s="2">
        <v>42649</v>
      </c>
      <c r="U3923" s="2">
        <v>42709</v>
      </c>
      <c r="V3923" t="s">
        <v>71</v>
      </c>
      <c r="W3923" t="str">
        <f>"        FATTPA 10_16"</f>
        <v xml:space="preserve">        FATTPA 10_16</v>
      </c>
      <c r="X3923" s="1">
        <v>2514.59</v>
      </c>
      <c r="Y3923">
        <v>-502.92</v>
      </c>
      <c r="Z3923" s="5">
        <v>2011.67</v>
      </c>
      <c r="AA3923">
        <v>-41</v>
      </c>
      <c r="AB3923" s="5">
        <v>-82478.47</v>
      </c>
      <c r="AC3923" s="1">
        <v>2011.67</v>
      </c>
      <c r="AD3923">
        <v>-41</v>
      </c>
      <c r="AE3923" s="1">
        <v>-82478.47</v>
      </c>
      <c r="AF3923">
        <v>0</v>
      </c>
      <c r="AJ3923" s="1">
        <v>2011.67</v>
      </c>
      <c r="AK3923" s="1">
        <v>2011.67</v>
      </c>
      <c r="AL3923" s="1">
        <v>2011.67</v>
      </c>
      <c r="AM3923" s="1">
        <v>2011.67</v>
      </c>
      <c r="AN3923" s="1">
        <v>2011.67</v>
      </c>
      <c r="AO3923" s="1">
        <v>2011.67</v>
      </c>
      <c r="AP3923" s="2">
        <v>42746</v>
      </c>
      <c r="AQ3923" t="s">
        <v>72</v>
      </c>
      <c r="AR3923" t="s">
        <v>72</v>
      </c>
      <c r="AS3923">
        <v>2867</v>
      </c>
      <c r="AT3923" s="4">
        <v>42668</v>
      </c>
      <c r="AV3923">
        <v>2867</v>
      </c>
      <c r="AW3923" s="4">
        <v>42668</v>
      </c>
      <c r="BD3923">
        <v>0</v>
      </c>
      <c r="BN3923" t="s">
        <v>74</v>
      </c>
    </row>
    <row r="3924" spans="1:66">
      <c r="A3924">
        <v>101397</v>
      </c>
      <c r="B3924" s="3" t="s">
        <v>428</v>
      </c>
      <c r="C3924" s="1">
        <v>43500101</v>
      </c>
      <c r="D3924" t="s">
        <v>113</v>
      </c>
      <c r="H3924" t="str">
        <f t="shared" si="419"/>
        <v>TRVNGL75P69G812H</v>
      </c>
      <c r="I3924" t="str">
        <f t="shared" si="420"/>
        <v>05859251216</v>
      </c>
      <c r="K3924" t="str">
        <f>""</f>
        <v/>
      </c>
      <c r="M3924" t="s">
        <v>68</v>
      </c>
      <c r="N3924" t="str">
        <f t="shared" si="421"/>
        <v>ALTPRO</v>
      </c>
      <c r="O3924" t="s">
        <v>132</v>
      </c>
      <c r="P3924" s="3" t="s">
        <v>75</v>
      </c>
      <c r="Q3924">
        <v>2016</v>
      </c>
      <c r="R3924" s="2">
        <v>42677</v>
      </c>
      <c r="S3924" s="2">
        <v>42678</v>
      </c>
      <c r="T3924" s="2">
        <v>42678</v>
      </c>
      <c r="U3924" s="2">
        <v>42738</v>
      </c>
      <c r="V3924" t="s">
        <v>71</v>
      </c>
      <c r="W3924" t="str">
        <f>"        FATTPA 11_16"</f>
        <v xml:space="preserve">        FATTPA 11_16</v>
      </c>
      <c r="X3924" s="1">
        <v>2669.12</v>
      </c>
      <c r="Y3924">
        <v>-533.82000000000005</v>
      </c>
      <c r="Z3924" s="5">
        <v>2135.3000000000002</v>
      </c>
      <c r="AA3924">
        <v>-56</v>
      </c>
      <c r="AB3924" s="5">
        <v>-119576.8</v>
      </c>
      <c r="AC3924" s="1">
        <v>2135.3000000000002</v>
      </c>
      <c r="AD3924">
        <v>-56</v>
      </c>
      <c r="AE3924" s="1">
        <v>-119576.8</v>
      </c>
      <c r="AF3924">
        <v>0</v>
      </c>
      <c r="AJ3924" s="1">
        <v>2135.3000000000002</v>
      </c>
      <c r="AK3924" s="1">
        <v>2135.3000000000002</v>
      </c>
      <c r="AL3924" s="1">
        <v>2135.3000000000002</v>
      </c>
      <c r="AM3924" s="1">
        <v>2135.3000000000002</v>
      </c>
      <c r="AN3924" s="1">
        <v>2135.3000000000002</v>
      </c>
      <c r="AO3924" s="1">
        <v>2135.3000000000002</v>
      </c>
      <c r="AP3924" s="2">
        <v>42746</v>
      </c>
      <c r="AQ3924" t="s">
        <v>72</v>
      </c>
      <c r="AR3924" t="s">
        <v>72</v>
      </c>
      <c r="AS3924">
        <v>2954</v>
      </c>
      <c r="AT3924" s="4">
        <v>42682</v>
      </c>
      <c r="AV3924">
        <v>2954</v>
      </c>
      <c r="AW3924" s="4">
        <v>42682</v>
      </c>
      <c r="BD3924">
        <v>0</v>
      </c>
      <c r="BN3924" t="s">
        <v>74</v>
      </c>
    </row>
    <row r="3925" spans="1:66">
      <c r="A3925">
        <v>101397</v>
      </c>
      <c r="B3925" s="3" t="s">
        <v>428</v>
      </c>
      <c r="C3925" s="1">
        <v>43500101</v>
      </c>
      <c r="D3925" t="s">
        <v>113</v>
      </c>
      <c r="H3925" t="str">
        <f t="shared" si="419"/>
        <v>TRVNGL75P69G812H</v>
      </c>
      <c r="I3925" t="str">
        <f t="shared" si="420"/>
        <v>05859251216</v>
      </c>
      <c r="K3925" t="str">
        <f>""</f>
        <v/>
      </c>
      <c r="M3925" t="s">
        <v>68</v>
      </c>
      <c r="N3925" t="str">
        <f t="shared" si="421"/>
        <v>ALTPRO</v>
      </c>
      <c r="O3925" t="s">
        <v>132</v>
      </c>
      <c r="P3925" s="3" t="s">
        <v>75</v>
      </c>
      <c r="Q3925">
        <v>2016</v>
      </c>
      <c r="R3925" s="2">
        <v>42709</v>
      </c>
      <c r="S3925" s="2">
        <v>42710</v>
      </c>
      <c r="T3925" s="2">
        <v>42710</v>
      </c>
      <c r="U3925" s="2">
        <v>42770</v>
      </c>
      <c r="V3925" t="s">
        <v>71</v>
      </c>
      <c r="W3925" t="str">
        <f>"        FATTPA 12_16"</f>
        <v xml:space="preserve">        FATTPA 12_16</v>
      </c>
      <c r="X3925" s="1">
        <v>2634</v>
      </c>
      <c r="Y3925">
        <v>-526.79999999999995</v>
      </c>
      <c r="Z3925" s="5">
        <v>2107.1999999999998</v>
      </c>
      <c r="AA3925">
        <v>-60</v>
      </c>
      <c r="AB3925" s="5">
        <v>-126432</v>
      </c>
      <c r="AC3925" s="1">
        <v>2107.1999999999998</v>
      </c>
      <c r="AD3925">
        <v>-60</v>
      </c>
      <c r="AE3925" s="1">
        <v>-126432</v>
      </c>
      <c r="AF3925">
        <v>0</v>
      </c>
      <c r="AJ3925" s="1">
        <v>2107.1999999999998</v>
      </c>
      <c r="AK3925" s="1">
        <v>2107.1999999999998</v>
      </c>
      <c r="AL3925" s="1">
        <v>2107.1999999999998</v>
      </c>
      <c r="AM3925" s="1">
        <v>2107.1999999999998</v>
      </c>
      <c r="AN3925" s="1">
        <v>2107.1999999999998</v>
      </c>
      <c r="AO3925" s="1">
        <v>2107.1999999999998</v>
      </c>
      <c r="AP3925" s="2">
        <v>42746</v>
      </c>
      <c r="AQ3925" t="s">
        <v>72</v>
      </c>
      <c r="AR3925" t="s">
        <v>72</v>
      </c>
      <c r="AS3925">
        <v>3347</v>
      </c>
      <c r="AT3925" s="4">
        <v>42710</v>
      </c>
      <c r="AV3925">
        <v>3347</v>
      </c>
      <c r="AW3925" s="4">
        <v>42710</v>
      </c>
      <c r="BD3925">
        <v>0</v>
      </c>
      <c r="BN3925" t="s">
        <v>74</v>
      </c>
    </row>
    <row r="3926" spans="1:66" hidden="1">
      <c r="A3926">
        <v>101398</v>
      </c>
      <c r="B3926" s="3" t="s">
        <v>429</v>
      </c>
      <c r="C3926" s="1">
        <v>43300101</v>
      </c>
      <c r="D3926" t="s">
        <v>67</v>
      </c>
      <c r="H3926" t="str">
        <f>"05815611008"</f>
        <v>05815611008</v>
      </c>
      <c r="I3926" t="str">
        <f>"05815611008"</f>
        <v>05815611008</v>
      </c>
      <c r="K3926" t="str">
        <f>""</f>
        <v/>
      </c>
      <c r="M3926" t="s">
        <v>68</v>
      </c>
      <c r="N3926" t="str">
        <f>"FOR"</f>
        <v>FOR</v>
      </c>
      <c r="O3926" t="s">
        <v>69</v>
      </c>
      <c r="P3926" s="3" t="s">
        <v>75</v>
      </c>
      <c r="Q3926">
        <v>2015</v>
      </c>
      <c r="R3926" s="2">
        <v>42345</v>
      </c>
      <c r="S3926" s="2">
        <v>42352</v>
      </c>
      <c r="T3926" s="2">
        <v>42347</v>
      </c>
      <c r="U3926" s="2">
        <v>42407</v>
      </c>
      <c r="V3926" t="s">
        <v>71</v>
      </c>
      <c r="W3926" t="str">
        <f>"          0000018897"</f>
        <v xml:space="preserve">          0000018897</v>
      </c>
      <c r="X3926" s="1">
        <v>1982.01</v>
      </c>
      <c r="Y3926">
        <v>0</v>
      </c>
      <c r="Z3926"/>
      <c r="AB3926"/>
      <c r="AC3926" s="1">
        <v>1624.6</v>
      </c>
      <c r="AD3926">
        <v>8</v>
      </c>
      <c r="AE3926" s="1">
        <v>12996.8</v>
      </c>
      <c r="AF3926">
        <v>0</v>
      </c>
      <c r="AJ3926">
        <v>0</v>
      </c>
      <c r="AK3926">
        <v>0</v>
      </c>
      <c r="AL3926">
        <v>0</v>
      </c>
      <c r="AM3926">
        <v>0</v>
      </c>
      <c r="AN3926">
        <v>0</v>
      </c>
      <c r="AO3926">
        <v>0</v>
      </c>
      <c r="AP3926" s="2">
        <v>42746</v>
      </c>
      <c r="AQ3926" t="s">
        <v>72</v>
      </c>
      <c r="AR3926" t="s">
        <v>72</v>
      </c>
      <c r="AS3926">
        <v>342</v>
      </c>
      <c r="AT3926" s="4">
        <v>42415</v>
      </c>
      <c r="AU3926" t="s">
        <v>73</v>
      </c>
      <c r="AV3926">
        <v>342</v>
      </c>
      <c r="AW3926" s="4">
        <v>42415</v>
      </c>
      <c r="BD3926">
        <v>0</v>
      </c>
      <c r="BN3926" t="s">
        <v>74</v>
      </c>
    </row>
    <row r="3927" spans="1:66" hidden="1">
      <c r="A3927">
        <v>101401</v>
      </c>
      <c r="B3927" s="3" t="s">
        <v>430</v>
      </c>
      <c r="C3927" s="1">
        <v>43500101</v>
      </c>
      <c r="D3927" t="s">
        <v>113</v>
      </c>
      <c r="H3927" t="str">
        <f t="shared" ref="H3927:I3938" si="422">"01341880621"</f>
        <v>01341880621</v>
      </c>
      <c r="I3927" t="str">
        <f t="shared" si="422"/>
        <v>01341880621</v>
      </c>
      <c r="K3927" t="str">
        <f>""</f>
        <v/>
      </c>
      <c r="M3927" t="s">
        <v>68</v>
      </c>
      <c r="N3927" t="str">
        <f t="shared" ref="N3927:N3938" si="423">"ALTFIN"</f>
        <v>ALTFIN</v>
      </c>
      <c r="O3927" t="s">
        <v>123</v>
      </c>
      <c r="P3927" s="3" t="s">
        <v>84</v>
      </c>
      <c r="Q3927">
        <v>2016</v>
      </c>
      <c r="R3927" s="2">
        <v>42389</v>
      </c>
      <c r="S3927" s="2">
        <v>42390</v>
      </c>
      <c r="T3927" s="2">
        <v>42390</v>
      </c>
      <c r="U3927" s="2">
        <v>42450</v>
      </c>
      <c r="V3927" t="s">
        <v>71</v>
      </c>
      <c r="W3927" t="str">
        <f>"                0120"</f>
        <v xml:space="preserve">                0120</v>
      </c>
      <c r="X3927">
        <v>0</v>
      </c>
      <c r="Y3927">
        <v>180.65</v>
      </c>
      <c r="Z3927"/>
      <c r="AB3927"/>
      <c r="AC3927">
        <v>180.65</v>
      </c>
      <c r="AD3927">
        <v>-60</v>
      </c>
      <c r="AE3927" s="1">
        <v>-10839</v>
      </c>
      <c r="AF3927">
        <v>0</v>
      </c>
      <c r="AJ3927">
        <v>0</v>
      </c>
      <c r="AK3927">
        <v>0</v>
      </c>
      <c r="AL3927">
        <v>0</v>
      </c>
      <c r="AM3927">
        <v>180.65</v>
      </c>
      <c r="AN3927">
        <v>180.65</v>
      </c>
      <c r="AO3927">
        <v>180.65</v>
      </c>
      <c r="AP3927" s="2">
        <v>42746</v>
      </c>
      <c r="AQ3927" t="s">
        <v>72</v>
      </c>
      <c r="AR3927" t="s">
        <v>72</v>
      </c>
      <c r="AS3927">
        <v>68</v>
      </c>
      <c r="AT3927" s="4">
        <v>42390</v>
      </c>
      <c r="AV3927">
        <v>68</v>
      </c>
      <c r="AW3927" s="4">
        <v>42390</v>
      </c>
      <c r="BD3927">
        <v>0</v>
      </c>
      <c r="BN3927" t="s">
        <v>74</v>
      </c>
    </row>
    <row r="3928" spans="1:66" hidden="1">
      <c r="A3928">
        <v>101401</v>
      </c>
      <c r="B3928" s="3" t="s">
        <v>430</v>
      </c>
      <c r="C3928" s="1">
        <v>43500101</v>
      </c>
      <c r="D3928" t="s">
        <v>113</v>
      </c>
      <c r="H3928" t="str">
        <f t="shared" si="422"/>
        <v>01341880621</v>
      </c>
      <c r="I3928" t="str">
        <f t="shared" si="422"/>
        <v>01341880621</v>
      </c>
      <c r="K3928" t="str">
        <f>""</f>
        <v/>
      </c>
      <c r="M3928" t="s">
        <v>68</v>
      </c>
      <c r="N3928" t="str">
        <f t="shared" si="423"/>
        <v>ALTFIN</v>
      </c>
      <c r="O3928" t="s">
        <v>123</v>
      </c>
      <c r="P3928" s="3" t="s">
        <v>85</v>
      </c>
      <c r="Q3928">
        <v>2016</v>
      </c>
      <c r="R3928" s="2">
        <v>42422</v>
      </c>
      <c r="S3928" s="2">
        <v>42422</v>
      </c>
      <c r="T3928" s="2">
        <v>42422</v>
      </c>
      <c r="U3928" s="2">
        <v>42482</v>
      </c>
      <c r="V3928" t="s">
        <v>71</v>
      </c>
      <c r="W3928" t="str">
        <f>"                0222"</f>
        <v xml:space="preserve">                0222</v>
      </c>
      <c r="X3928">
        <v>0</v>
      </c>
      <c r="Y3928">
        <v>180.65</v>
      </c>
      <c r="Z3928"/>
      <c r="AB3928"/>
      <c r="AC3928">
        <v>180.65</v>
      </c>
      <c r="AD3928">
        <v>-58</v>
      </c>
      <c r="AE3928" s="1">
        <v>-10477.700000000001</v>
      </c>
      <c r="AF3928">
        <v>0</v>
      </c>
      <c r="AJ3928">
        <v>0</v>
      </c>
      <c r="AK3928">
        <v>0</v>
      </c>
      <c r="AL3928">
        <v>0</v>
      </c>
      <c r="AM3928">
        <v>180.65</v>
      </c>
      <c r="AN3928">
        <v>180.65</v>
      </c>
      <c r="AO3928">
        <v>180.65</v>
      </c>
      <c r="AP3928" s="2">
        <v>42746</v>
      </c>
      <c r="AQ3928" t="s">
        <v>72</v>
      </c>
      <c r="AR3928" t="s">
        <v>72</v>
      </c>
      <c r="AS3928">
        <v>512</v>
      </c>
      <c r="AT3928" s="4">
        <v>42424</v>
      </c>
      <c r="AV3928">
        <v>512</v>
      </c>
      <c r="AW3928" s="4">
        <v>42424</v>
      </c>
      <c r="BD3928">
        <v>0</v>
      </c>
      <c r="BN3928" t="s">
        <v>74</v>
      </c>
    </row>
    <row r="3929" spans="1:66" hidden="1">
      <c r="A3929">
        <v>101401</v>
      </c>
      <c r="B3929" s="3" t="s">
        <v>430</v>
      </c>
      <c r="C3929" s="1">
        <v>43500101</v>
      </c>
      <c r="D3929" t="s">
        <v>113</v>
      </c>
      <c r="H3929" t="str">
        <f t="shared" si="422"/>
        <v>01341880621</v>
      </c>
      <c r="I3929" t="str">
        <f t="shared" si="422"/>
        <v>01341880621</v>
      </c>
      <c r="K3929" t="str">
        <f>""</f>
        <v/>
      </c>
      <c r="M3929" t="s">
        <v>68</v>
      </c>
      <c r="N3929" t="str">
        <f t="shared" si="423"/>
        <v>ALTFIN</v>
      </c>
      <c r="O3929" t="s">
        <v>123</v>
      </c>
      <c r="P3929" s="3" t="s">
        <v>86</v>
      </c>
      <c r="Q3929">
        <v>2016</v>
      </c>
      <c r="R3929" s="2">
        <v>42450</v>
      </c>
      <c r="S3929" s="2">
        <v>42450</v>
      </c>
      <c r="T3929" s="2">
        <v>42450</v>
      </c>
      <c r="U3929" s="2">
        <v>42510</v>
      </c>
      <c r="V3929" t="s">
        <v>71</v>
      </c>
      <c r="W3929" t="str">
        <f>"                0321"</f>
        <v xml:space="preserve">                0321</v>
      </c>
      <c r="X3929">
        <v>0</v>
      </c>
      <c r="Y3929">
        <v>151.65</v>
      </c>
      <c r="Z3929"/>
      <c r="AB3929"/>
      <c r="AC3929">
        <v>151.65</v>
      </c>
      <c r="AD3929">
        <v>-57</v>
      </c>
      <c r="AE3929" s="1">
        <v>-8644.0499999999993</v>
      </c>
      <c r="AF3929">
        <v>0</v>
      </c>
      <c r="AJ3929">
        <v>0</v>
      </c>
      <c r="AK3929">
        <v>0</v>
      </c>
      <c r="AL3929">
        <v>0</v>
      </c>
      <c r="AM3929">
        <v>151.65</v>
      </c>
      <c r="AN3929">
        <v>151.65</v>
      </c>
      <c r="AO3929">
        <v>151.65</v>
      </c>
      <c r="AP3929" s="2">
        <v>42746</v>
      </c>
      <c r="AQ3929" t="s">
        <v>72</v>
      </c>
      <c r="AR3929" t="s">
        <v>72</v>
      </c>
      <c r="AS3929">
        <v>934</v>
      </c>
      <c r="AT3929" s="4">
        <v>42453</v>
      </c>
      <c r="AV3929">
        <v>934</v>
      </c>
      <c r="AW3929" s="4">
        <v>42453</v>
      </c>
      <c r="BD3929">
        <v>0</v>
      </c>
      <c r="BN3929" t="s">
        <v>74</v>
      </c>
    </row>
    <row r="3930" spans="1:66" hidden="1">
      <c r="A3930">
        <v>101401</v>
      </c>
      <c r="B3930" s="3" t="s">
        <v>430</v>
      </c>
      <c r="C3930" s="1">
        <v>43500101</v>
      </c>
      <c r="D3930" t="s">
        <v>113</v>
      </c>
      <c r="H3930" t="str">
        <f t="shared" si="422"/>
        <v>01341880621</v>
      </c>
      <c r="I3930" t="str">
        <f t="shared" si="422"/>
        <v>01341880621</v>
      </c>
      <c r="K3930" t="str">
        <f>""</f>
        <v/>
      </c>
      <c r="M3930" t="s">
        <v>68</v>
      </c>
      <c r="N3930" t="str">
        <f t="shared" si="423"/>
        <v>ALTFIN</v>
      </c>
      <c r="O3930" t="s">
        <v>123</v>
      </c>
      <c r="P3930" s="3" t="s">
        <v>87</v>
      </c>
      <c r="Q3930">
        <v>2016</v>
      </c>
      <c r="R3930" s="2">
        <v>42481</v>
      </c>
      <c r="S3930" s="2">
        <v>42481</v>
      </c>
      <c r="T3930" s="2">
        <v>42481</v>
      </c>
      <c r="U3930" s="2">
        <v>42541</v>
      </c>
      <c r="V3930" t="s">
        <v>71</v>
      </c>
      <c r="W3930" t="str">
        <f>"                0421"</f>
        <v xml:space="preserve">                0421</v>
      </c>
      <c r="X3930">
        <v>0</v>
      </c>
      <c r="Y3930">
        <v>180.65</v>
      </c>
      <c r="Z3930"/>
      <c r="AB3930"/>
      <c r="AC3930">
        <v>180.65</v>
      </c>
      <c r="AD3930">
        <v>-60</v>
      </c>
      <c r="AE3930" s="1">
        <v>-10839</v>
      </c>
      <c r="AF3930">
        <v>0</v>
      </c>
      <c r="AJ3930">
        <v>0</v>
      </c>
      <c r="AK3930">
        <v>0</v>
      </c>
      <c r="AL3930">
        <v>0</v>
      </c>
      <c r="AM3930">
        <v>180.65</v>
      </c>
      <c r="AN3930">
        <v>180.65</v>
      </c>
      <c r="AO3930">
        <v>180.65</v>
      </c>
      <c r="AP3930" s="2">
        <v>42746</v>
      </c>
      <c r="AQ3930" t="s">
        <v>72</v>
      </c>
      <c r="AR3930" t="s">
        <v>72</v>
      </c>
      <c r="AS3930">
        <v>1100</v>
      </c>
      <c r="AT3930" s="4">
        <v>42481</v>
      </c>
      <c r="AV3930">
        <v>1100</v>
      </c>
      <c r="AW3930" s="4">
        <v>42481</v>
      </c>
      <c r="BD3930">
        <v>0</v>
      </c>
      <c r="BN3930" t="s">
        <v>74</v>
      </c>
    </row>
    <row r="3931" spans="1:66" hidden="1">
      <c r="A3931">
        <v>101401</v>
      </c>
      <c r="B3931" s="3" t="s">
        <v>430</v>
      </c>
      <c r="C3931" s="1">
        <v>43500101</v>
      </c>
      <c r="D3931" t="s">
        <v>113</v>
      </c>
      <c r="H3931" t="str">
        <f t="shared" si="422"/>
        <v>01341880621</v>
      </c>
      <c r="I3931" t="str">
        <f t="shared" si="422"/>
        <v>01341880621</v>
      </c>
      <c r="K3931" t="str">
        <f>""</f>
        <v/>
      </c>
      <c r="M3931" t="s">
        <v>68</v>
      </c>
      <c r="N3931" t="str">
        <f t="shared" si="423"/>
        <v>ALTFIN</v>
      </c>
      <c r="O3931" t="s">
        <v>123</v>
      </c>
      <c r="P3931" s="3" t="s">
        <v>88</v>
      </c>
      <c r="Q3931">
        <v>2016</v>
      </c>
      <c r="R3931" s="2">
        <v>42508</v>
      </c>
      <c r="S3931" s="2">
        <v>42510</v>
      </c>
      <c r="T3931" s="2">
        <v>42510</v>
      </c>
      <c r="U3931" s="2">
        <v>42570</v>
      </c>
      <c r="V3931" t="s">
        <v>71</v>
      </c>
      <c r="W3931" t="str">
        <f>"                0518"</f>
        <v xml:space="preserve">                0518</v>
      </c>
      <c r="X3931">
        <v>0</v>
      </c>
      <c r="Y3931">
        <v>180.65</v>
      </c>
      <c r="Z3931"/>
      <c r="AB3931"/>
      <c r="AC3931">
        <v>180.65</v>
      </c>
      <c r="AD3931">
        <v>-57</v>
      </c>
      <c r="AE3931" s="1">
        <v>-10297.049999999999</v>
      </c>
      <c r="AF3931">
        <v>0</v>
      </c>
      <c r="AJ3931">
        <v>0</v>
      </c>
      <c r="AK3931">
        <v>0</v>
      </c>
      <c r="AL3931">
        <v>0</v>
      </c>
      <c r="AM3931">
        <v>180.65</v>
      </c>
      <c r="AN3931">
        <v>180.65</v>
      </c>
      <c r="AO3931">
        <v>180.65</v>
      </c>
      <c r="AP3931" s="2">
        <v>42746</v>
      </c>
      <c r="AQ3931" t="s">
        <v>72</v>
      </c>
      <c r="AR3931" t="s">
        <v>72</v>
      </c>
      <c r="AS3931">
        <v>1338</v>
      </c>
      <c r="AT3931" s="4">
        <v>42513</v>
      </c>
      <c r="AV3931">
        <v>1338</v>
      </c>
      <c r="AW3931" s="4">
        <v>42513</v>
      </c>
      <c r="BD3931">
        <v>0</v>
      </c>
      <c r="BN3931" t="s">
        <v>74</v>
      </c>
    </row>
    <row r="3932" spans="1:66" hidden="1">
      <c r="A3932">
        <v>101401</v>
      </c>
      <c r="B3932" s="3" t="s">
        <v>430</v>
      </c>
      <c r="C3932" s="1">
        <v>43500101</v>
      </c>
      <c r="D3932" t="s">
        <v>113</v>
      </c>
      <c r="H3932" t="str">
        <f t="shared" si="422"/>
        <v>01341880621</v>
      </c>
      <c r="I3932" t="str">
        <f t="shared" si="422"/>
        <v>01341880621</v>
      </c>
      <c r="K3932" t="str">
        <f>""</f>
        <v/>
      </c>
      <c r="M3932" t="s">
        <v>68</v>
      </c>
      <c r="N3932" t="str">
        <f t="shared" si="423"/>
        <v>ALTFIN</v>
      </c>
      <c r="O3932" t="s">
        <v>123</v>
      </c>
      <c r="P3932" s="3" t="s">
        <v>89</v>
      </c>
      <c r="Q3932">
        <v>2016</v>
      </c>
      <c r="R3932" s="2">
        <v>42548</v>
      </c>
      <c r="S3932" s="2">
        <v>42543</v>
      </c>
      <c r="T3932" s="2">
        <v>42543</v>
      </c>
      <c r="U3932" s="2">
        <v>42603</v>
      </c>
      <c r="V3932" t="s">
        <v>71</v>
      </c>
      <c r="W3932" t="str">
        <f>"                0627"</f>
        <v xml:space="preserve">                0627</v>
      </c>
      <c r="X3932">
        <v>0</v>
      </c>
      <c r="Y3932">
        <v>151.65</v>
      </c>
      <c r="Z3932"/>
      <c r="AB3932"/>
      <c r="AC3932">
        <v>151.65</v>
      </c>
      <c r="AD3932">
        <v>-47</v>
      </c>
      <c r="AE3932" s="1">
        <v>-7127.55</v>
      </c>
      <c r="AF3932">
        <v>0</v>
      </c>
      <c r="AJ3932">
        <v>0</v>
      </c>
      <c r="AK3932">
        <v>0</v>
      </c>
      <c r="AL3932">
        <v>0</v>
      </c>
      <c r="AM3932">
        <v>151.65</v>
      </c>
      <c r="AN3932">
        <v>151.65</v>
      </c>
      <c r="AO3932">
        <v>151.65</v>
      </c>
      <c r="AP3932" s="2">
        <v>42746</v>
      </c>
      <c r="AQ3932" t="s">
        <v>72</v>
      </c>
      <c r="AR3932" t="s">
        <v>72</v>
      </c>
      <c r="AS3932">
        <v>1721</v>
      </c>
      <c r="AT3932" s="4">
        <v>42556</v>
      </c>
      <c r="AV3932">
        <v>1721</v>
      </c>
      <c r="AW3932" s="4">
        <v>42556</v>
      </c>
      <c r="BD3932">
        <v>0</v>
      </c>
      <c r="BN3932" t="s">
        <v>74</v>
      </c>
    </row>
    <row r="3933" spans="1:66" hidden="1">
      <c r="A3933">
        <v>101401</v>
      </c>
      <c r="B3933" s="3" t="s">
        <v>430</v>
      </c>
      <c r="C3933" s="1">
        <v>43500101</v>
      </c>
      <c r="D3933" t="s">
        <v>113</v>
      </c>
      <c r="H3933" t="str">
        <f t="shared" si="422"/>
        <v>01341880621</v>
      </c>
      <c r="I3933" t="str">
        <f t="shared" si="422"/>
        <v>01341880621</v>
      </c>
      <c r="K3933" t="str">
        <f>""</f>
        <v/>
      </c>
      <c r="M3933" t="s">
        <v>68</v>
      </c>
      <c r="N3933" t="str">
        <f t="shared" si="423"/>
        <v>ALTFIN</v>
      </c>
      <c r="O3933" t="s">
        <v>123</v>
      </c>
      <c r="P3933" s="3" t="s">
        <v>90</v>
      </c>
      <c r="Q3933">
        <v>2016</v>
      </c>
      <c r="R3933" s="2">
        <v>42573</v>
      </c>
      <c r="S3933" s="2">
        <v>42573</v>
      </c>
      <c r="T3933" s="2">
        <v>42573</v>
      </c>
      <c r="U3933" s="2">
        <v>42633</v>
      </c>
      <c r="V3933" t="s">
        <v>71</v>
      </c>
      <c r="W3933" t="str">
        <f>"                0722"</f>
        <v xml:space="preserve">                0722</v>
      </c>
      <c r="X3933">
        <v>0</v>
      </c>
      <c r="Y3933">
        <v>151.65</v>
      </c>
      <c r="Z3933"/>
      <c r="AB3933"/>
      <c r="AC3933">
        <v>151.65</v>
      </c>
      <c r="AD3933">
        <v>-48</v>
      </c>
      <c r="AE3933" s="1">
        <v>-7279.2</v>
      </c>
      <c r="AF3933">
        <v>0</v>
      </c>
      <c r="AJ3933">
        <v>0</v>
      </c>
      <c r="AK3933">
        <v>0</v>
      </c>
      <c r="AL3933">
        <v>0</v>
      </c>
      <c r="AM3933">
        <v>151.65</v>
      </c>
      <c r="AN3933">
        <v>151.65</v>
      </c>
      <c r="AO3933">
        <v>151.65</v>
      </c>
      <c r="AP3933" s="2">
        <v>42746</v>
      </c>
      <c r="AQ3933" t="s">
        <v>72</v>
      </c>
      <c r="AR3933" t="s">
        <v>72</v>
      </c>
      <c r="AS3933">
        <v>2121</v>
      </c>
      <c r="AT3933" s="4">
        <v>42585</v>
      </c>
      <c r="AV3933">
        <v>2121</v>
      </c>
      <c r="AW3933" s="4">
        <v>42585</v>
      </c>
      <c r="BD3933">
        <v>0</v>
      </c>
      <c r="BN3933" t="s">
        <v>74</v>
      </c>
    </row>
    <row r="3934" spans="1:66" hidden="1">
      <c r="A3934">
        <v>101401</v>
      </c>
      <c r="B3934" s="3" t="s">
        <v>430</v>
      </c>
      <c r="C3934" s="1">
        <v>43500101</v>
      </c>
      <c r="D3934" t="s">
        <v>113</v>
      </c>
      <c r="H3934" t="str">
        <f t="shared" si="422"/>
        <v>01341880621</v>
      </c>
      <c r="I3934" t="str">
        <f t="shared" si="422"/>
        <v>01341880621</v>
      </c>
      <c r="K3934" t="str">
        <f>""</f>
        <v/>
      </c>
      <c r="M3934" t="s">
        <v>68</v>
      </c>
      <c r="N3934" t="str">
        <f t="shared" si="423"/>
        <v>ALTFIN</v>
      </c>
      <c r="O3934" t="s">
        <v>123</v>
      </c>
      <c r="P3934" s="3" t="s">
        <v>91</v>
      </c>
      <c r="Q3934">
        <v>2016</v>
      </c>
      <c r="R3934" s="2">
        <v>42592</v>
      </c>
      <c r="S3934" s="2">
        <v>42598</v>
      </c>
      <c r="T3934" s="2">
        <v>42598</v>
      </c>
      <c r="U3934" s="2">
        <v>42658</v>
      </c>
      <c r="V3934" t="s">
        <v>71</v>
      </c>
      <c r="W3934" t="str">
        <f>"                0810"</f>
        <v xml:space="preserve">                0810</v>
      </c>
      <c r="X3934">
        <v>0</v>
      </c>
      <c r="Y3934">
        <v>151.65</v>
      </c>
      <c r="Z3934"/>
      <c r="AB3934"/>
      <c r="AC3934">
        <v>151.65</v>
      </c>
      <c r="AD3934">
        <v>-60</v>
      </c>
      <c r="AE3934" s="1">
        <v>-9099</v>
      </c>
      <c r="AF3934">
        <v>0</v>
      </c>
      <c r="AJ3934">
        <v>0</v>
      </c>
      <c r="AK3934">
        <v>0</v>
      </c>
      <c r="AL3934">
        <v>0</v>
      </c>
      <c r="AM3934">
        <v>151.65</v>
      </c>
      <c r="AN3934">
        <v>151.65</v>
      </c>
      <c r="AO3934">
        <v>151.65</v>
      </c>
      <c r="AP3934" s="2">
        <v>42746</v>
      </c>
      <c r="AQ3934" t="s">
        <v>72</v>
      </c>
      <c r="AR3934" t="s">
        <v>72</v>
      </c>
      <c r="AS3934">
        <v>2203</v>
      </c>
      <c r="AT3934" s="4">
        <v>42598</v>
      </c>
      <c r="AV3934">
        <v>2203</v>
      </c>
      <c r="AW3934" s="4">
        <v>42598</v>
      </c>
      <c r="BD3934">
        <v>0</v>
      </c>
      <c r="BN3934" t="s">
        <v>74</v>
      </c>
    </row>
    <row r="3935" spans="1:66" hidden="1">
      <c r="A3935">
        <v>101401</v>
      </c>
      <c r="B3935" s="3" t="s">
        <v>430</v>
      </c>
      <c r="C3935" s="1">
        <v>43500101</v>
      </c>
      <c r="D3935" t="s">
        <v>113</v>
      </c>
      <c r="H3935" t="str">
        <f t="shared" si="422"/>
        <v>01341880621</v>
      </c>
      <c r="I3935" t="str">
        <f t="shared" si="422"/>
        <v>01341880621</v>
      </c>
      <c r="K3935" t="str">
        <f>""</f>
        <v/>
      </c>
      <c r="M3935" t="s">
        <v>68</v>
      </c>
      <c r="N3935" t="str">
        <f t="shared" si="423"/>
        <v>ALTFIN</v>
      </c>
      <c r="O3935" t="s">
        <v>123</v>
      </c>
      <c r="P3935" s="3" t="s">
        <v>92</v>
      </c>
      <c r="Q3935">
        <v>2016</v>
      </c>
      <c r="R3935" s="2">
        <v>42633</v>
      </c>
      <c r="S3935" s="2">
        <v>42634</v>
      </c>
      <c r="T3935" s="2">
        <v>42634</v>
      </c>
      <c r="U3935" s="2">
        <v>42694</v>
      </c>
      <c r="V3935" t="s">
        <v>71</v>
      </c>
      <c r="W3935" t="str">
        <f>"                0920"</f>
        <v xml:space="preserve">                0920</v>
      </c>
      <c r="X3935">
        <v>0</v>
      </c>
      <c r="Y3935">
        <v>151.65</v>
      </c>
      <c r="Z3935"/>
      <c r="AB3935"/>
      <c r="AC3935">
        <v>151.65</v>
      </c>
      <c r="AD3935">
        <v>-60</v>
      </c>
      <c r="AE3935" s="1">
        <v>-9099</v>
      </c>
      <c r="AF3935">
        <v>0</v>
      </c>
      <c r="AJ3935">
        <v>0</v>
      </c>
      <c r="AK3935">
        <v>0</v>
      </c>
      <c r="AL3935">
        <v>0</v>
      </c>
      <c r="AM3935">
        <v>151.65</v>
      </c>
      <c r="AN3935">
        <v>151.65</v>
      </c>
      <c r="AO3935">
        <v>151.65</v>
      </c>
      <c r="AP3935" s="2">
        <v>42746</v>
      </c>
      <c r="AQ3935" t="s">
        <v>72</v>
      </c>
      <c r="AR3935" t="s">
        <v>72</v>
      </c>
      <c r="AS3935">
        <v>2476</v>
      </c>
      <c r="AT3935" s="4">
        <v>42634</v>
      </c>
      <c r="AV3935">
        <v>2476</v>
      </c>
      <c r="AW3935" s="4">
        <v>42634</v>
      </c>
      <c r="BD3935">
        <v>0</v>
      </c>
      <c r="BN3935" t="s">
        <v>74</v>
      </c>
    </row>
    <row r="3936" spans="1:66" hidden="1">
      <c r="A3936">
        <v>101401</v>
      </c>
      <c r="B3936" s="3" t="s">
        <v>430</v>
      </c>
      <c r="C3936" s="1">
        <v>43500101</v>
      </c>
      <c r="D3936" t="s">
        <v>113</v>
      </c>
      <c r="H3936" t="str">
        <f t="shared" si="422"/>
        <v>01341880621</v>
      </c>
      <c r="I3936" t="str">
        <f t="shared" si="422"/>
        <v>01341880621</v>
      </c>
      <c r="K3936" t="str">
        <f>""</f>
        <v/>
      </c>
      <c r="M3936" t="s">
        <v>68</v>
      </c>
      <c r="N3936" t="str">
        <f t="shared" si="423"/>
        <v>ALTFIN</v>
      </c>
      <c r="O3936" t="s">
        <v>123</v>
      </c>
      <c r="P3936" s="3" t="s">
        <v>93</v>
      </c>
      <c r="Q3936">
        <v>2016</v>
      </c>
      <c r="R3936" s="2">
        <v>42664</v>
      </c>
      <c r="S3936" s="2">
        <v>42667</v>
      </c>
      <c r="T3936" s="2">
        <v>42667</v>
      </c>
      <c r="U3936" s="2">
        <v>42727</v>
      </c>
      <c r="V3936" t="s">
        <v>71</v>
      </c>
      <c r="W3936" t="str">
        <f>"                1021"</f>
        <v xml:space="preserve">                1021</v>
      </c>
      <c r="X3936">
        <v>0</v>
      </c>
      <c r="Y3936">
        <v>151.65</v>
      </c>
      <c r="Z3936" s="3">
        <v>151.65</v>
      </c>
      <c r="AA3936">
        <v>-60</v>
      </c>
      <c r="AB3936" s="5">
        <v>-9099</v>
      </c>
      <c r="AC3936">
        <v>151.65</v>
      </c>
      <c r="AD3936">
        <v>-60</v>
      </c>
      <c r="AE3936" s="1">
        <v>-9099</v>
      </c>
      <c r="AF3936">
        <v>0</v>
      </c>
      <c r="AJ3936">
        <v>151.65</v>
      </c>
      <c r="AK3936">
        <v>151.65</v>
      </c>
      <c r="AL3936">
        <v>151.65</v>
      </c>
      <c r="AM3936">
        <v>151.65</v>
      </c>
      <c r="AN3936">
        <v>151.65</v>
      </c>
      <c r="AO3936">
        <v>151.65</v>
      </c>
      <c r="AP3936" s="2">
        <v>42746</v>
      </c>
      <c r="AQ3936" t="s">
        <v>72</v>
      </c>
      <c r="AR3936" t="s">
        <v>72</v>
      </c>
      <c r="AS3936">
        <v>2824</v>
      </c>
      <c r="AT3936" s="4">
        <v>42667</v>
      </c>
      <c r="AV3936">
        <v>2824</v>
      </c>
      <c r="AW3936" s="4">
        <v>42667</v>
      </c>
      <c r="BD3936">
        <v>0</v>
      </c>
      <c r="BN3936" t="s">
        <v>74</v>
      </c>
    </row>
    <row r="3937" spans="1:66" hidden="1">
      <c r="A3937">
        <v>101401</v>
      </c>
      <c r="B3937" s="3" t="s">
        <v>430</v>
      </c>
      <c r="C3937" s="1">
        <v>43500101</v>
      </c>
      <c r="D3937" t="s">
        <v>113</v>
      </c>
      <c r="H3937" t="str">
        <f t="shared" si="422"/>
        <v>01341880621</v>
      </c>
      <c r="I3937" t="str">
        <f t="shared" si="422"/>
        <v>01341880621</v>
      </c>
      <c r="K3937" t="str">
        <f>""</f>
        <v/>
      </c>
      <c r="M3937" t="s">
        <v>68</v>
      </c>
      <c r="N3937" t="str">
        <f t="shared" si="423"/>
        <v>ALTFIN</v>
      </c>
      <c r="O3937" t="s">
        <v>123</v>
      </c>
      <c r="P3937" s="3" t="s">
        <v>94</v>
      </c>
      <c r="Q3937">
        <v>2016</v>
      </c>
      <c r="R3937" s="2">
        <v>42696</v>
      </c>
      <c r="S3937" s="2">
        <v>42696</v>
      </c>
      <c r="T3937" s="2">
        <v>42696</v>
      </c>
      <c r="U3937" s="2">
        <v>42756</v>
      </c>
      <c r="V3937" t="s">
        <v>71</v>
      </c>
      <c r="W3937" t="str">
        <f>"                1122"</f>
        <v xml:space="preserve">                1122</v>
      </c>
      <c r="X3937">
        <v>0</v>
      </c>
      <c r="Y3937">
        <v>151.65</v>
      </c>
      <c r="Z3937" s="3">
        <v>151.65</v>
      </c>
      <c r="AA3937">
        <v>-59</v>
      </c>
      <c r="AB3937" s="5">
        <v>-8947.35</v>
      </c>
      <c r="AC3937">
        <v>151.65</v>
      </c>
      <c r="AD3937">
        <v>-59</v>
      </c>
      <c r="AE3937" s="1">
        <v>-8947.35</v>
      </c>
      <c r="AF3937">
        <v>0</v>
      </c>
      <c r="AJ3937">
        <v>151.65</v>
      </c>
      <c r="AK3937">
        <v>151.65</v>
      </c>
      <c r="AL3937">
        <v>151.65</v>
      </c>
      <c r="AM3937">
        <v>151.65</v>
      </c>
      <c r="AN3937">
        <v>151.65</v>
      </c>
      <c r="AO3937">
        <v>151.65</v>
      </c>
      <c r="AP3937" s="2">
        <v>42746</v>
      </c>
      <c r="AQ3937" t="s">
        <v>72</v>
      </c>
      <c r="AR3937" t="s">
        <v>72</v>
      </c>
      <c r="AS3937">
        <v>3261</v>
      </c>
      <c r="AT3937" s="4">
        <v>42697</v>
      </c>
      <c r="AV3937">
        <v>3261</v>
      </c>
      <c r="AW3937" s="4">
        <v>42697</v>
      </c>
      <c r="BD3937">
        <v>0</v>
      </c>
      <c r="BN3937" t="s">
        <v>74</v>
      </c>
    </row>
    <row r="3938" spans="1:66" hidden="1">
      <c r="A3938">
        <v>101401</v>
      </c>
      <c r="B3938" s="3" t="s">
        <v>430</v>
      </c>
      <c r="C3938" s="1">
        <v>43500101</v>
      </c>
      <c r="D3938" t="s">
        <v>113</v>
      </c>
      <c r="H3938" t="str">
        <f t="shared" si="422"/>
        <v>01341880621</v>
      </c>
      <c r="I3938" t="str">
        <f t="shared" si="422"/>
        <v>01341880621</v>
      </c>
      <c r="K3938" t="str">
        <f>""</f>
        <v/>
      </c>
      <c r="M3938" t="s">
        <v>68</v>
      </c>
      <c r="N3938" t="str">
        <f t="shared" si="423"/>
        <v>ALTFIN</v>
      </c>
      <c r="O3938" t="s">
        <v>123</v>
      </c>
      <c r="P3938" s="3" t="s">
        <v>95</v>
      </c>
      <c r="Q3938">
        <v>2016</v>
      </c>
      <c r="R3938" s="2">
        <v>42717</v>
      </c>
      <c r="S3938" s="2">
        <v>42717</v>
      </c>
      <c r="T3938" s="2">
        <v>42717</v>
      </c>
      <c r="U3938" s="2">
        <v>42777</v>
      </c>
      <c r="V3938" t="s">
        <v>71</v>
      </c>
      <c r="W3938" t="str">
        <f>"                1213"</f>
        <v xml:space="preserve">                1213</v>
      </c>
      <c r="X3938">
        <v>0</v>
      </c>
      <c r="Y3938">
        <v>151.65</v>
      </c>
      <c r="Z3938" s="3">
        <v>151.65</v>
      </c>
      <c r="AA3938">
        <v>-59</v>
      </c>
      <c r="AB3938" s="5">
        <v>-8947.35</v>
      </c>
      <c r="AC3938">
        <v>151.65</v>
      </c>
      <c r="AD3938">
        <v>-59</v>
      </c>
      <c r="AE3938" s="1">
        <v>-8947.35</v>
      </c>
      <c r="AF3938">
        <v>0</v>
      </c>
      <c r="AJ3938">
        <v>151.65</v>
      </c>
      <c r="AK3938">
        <v>151.65</v>
      </c>
      <c r="AL3938">
        <v>151.65</v>
      </c>
      <c r="AM3938">
        <v>151.65</v>
      </c>
      <c r="AN3938">
        <v>151.65</v>
      </c>
      <c r="AO3938">
        <v>151.65</v>
      </c>
      <c r="AP3938" s="2">
        <v>42746</v>
      </c>
      <c r="AQ3938" t="s">
        <v>72</v>
      </c>
      <c r="AR3938" t="s">
        <v>72</v>
      </c>
      <c r="AS3938">
        <v>3419</v>
      </c>
      <c r="AT3938" s="4">
        <v>42718</v>
      </c>
      <c r="AV3938">
        <v>3419</v>
      </c>
      <c r="AW3938" s="4">
        <v>42718</v>
      </c>
      <c r="BD3938">
        <v>0</v>
      </c>
      <c r="BN3938" t="s">
        <v>74</v>
      </c>
    </row>
    <row r="3939" spans="1:66" hidden="1">
      <c r="A3939">
        <v>101408</v>
      </c>
      <c r="B3939" s="3" t="s">
        <v>431</v>
      </c>
      <c r="C3939" s="1">
        <v>43300101</v>
      </c>
      <c r="D3939" t="s">
        <v>67</v>
      </c>
      <c r="H3939" t="str">
        <f t="shared" ref="H3939:I3950" si="424">"02571210349"</f>
        <v>02571210349</v>
      </c>
      <c r="I3939" t="str">
        <f t="shared" si="424"/>
        <v>02571210349</v>
      </c>
      <c r="K3939" t="str">
        <f>""</f>
        <v/>
      </c>
      <c r="M3939" t="s">
        <v>68</v>
      </c>
      <c r="N3939" t="str">
        <f t="shared" ref="N3939:N3956" si="425">"FOR"</f>
        <v>FOR</v>
      </c>
      <c r="O3939" t="s">
        <v>69</v>
      </c>
      <c r="P3939" s="3" t="s">
        <v>75</v>
      </c>
      <c r="Q3939">
        <v>2015</v>
      </c>
      <c r="R3939" s="2">
        <v>42277</v>
      </c>
      <c r="S3939" s="2">
        <v>42286</v>
      </c>
      <c r="T3939" s="2">
        <v>42283</v>
      </c>
      <c r="U3939" s="2">
        <v>42343</v>
      </c>
      <c r="V3939" t="s">
        <v>71</v>
      </c>
      <c r="W3939" t="str">
        <f>"            29E-2015"</f>
        <v xml:space="preserve">            29E-2015</v>
      </c>
      <c r="X3939" s="1">
        <v>2882.37</v>
      </c>
      <c r="Y3939">
        <v>0</v>
      </c>
      <c r="Z3939"/>
      <c r="AB3939"/>
      <c r="AC3939" s="1">
        <v>2362.6</v>
      </c>
      <c r="AD3939">
        <v>177</v>
      </c>
      <c r="AE3939" s="1">
        <v>418180.2</v>
      </c>
      <c r="AF3939">
        <v>0</v>
      </c>
      <c r="AJ3939">
        <v>0</v>
      </c>
      <c r="AK3939">
        <v>0</v>
      </c>
      <c r="AL3939">
        <v>0</v>
      </c>
      <c r="AM3939">
        <v>0</v>
      </c>
      <c r="AN3939">
        <v>0</v>
      </c>
      <c r="AO3939">
        <v>0</v>
      </c>
      <c r="AP3939" s="2">
        <v>42746</v>
      </c>
      <c r="AQ3939" t="s">
        <v>72</v>
      </c>
      <c r="AR3939" t="s">
        <v>72</v>
      </c>
      <c r="AS3939">
        <v>1461</v>
      </c>
      <c r="AT3939" s="4">
        <v>42520</v>
      </c>
      <c r="AU3939" t="s">
        <v>73</v>
      </c>
      <c r="AV3939">
        <v>1461</v>
      </c>
      <c r="AW3939" s="4">
        <v>42520</v>
      </c>
      <c r="BD3939">
        <v>0</v>
      </c>
      <c r="BN3939" t="s">
        <v>74</v>
      </c>
    </row>
    <row r="3940" spans="1:66" hidden="1">
      <c r="A3940">
        <v>101408</v>
      </c>
      <c r="B3940" s="3" t="s">
        <v>431</v>
      </c>
      <c r="C3940" s="1">
        <v>43300101</v>
      </c>
      <c r="D3940" t="s">
        <v>67</v>
      </c>
      <c r="H3940" t="str">
        <f t="shared" si="424"/>
        <v>02571210349</v>
      </c>
      <c r="I3940" t="str">
        <f t="shared" si="424"/>
        <v>02571210349</v>
      </c>
      <c r="K3940" t="str">
        <f>""</f>
        <v/>
      </c>
      <c r="M3940" t="s">
        <v>68</v>
      </c>
      <c r="N3940" t="str">
        <f t="shared" si="425"/>
        <v>FOR</v>
      </c>
      <c r="O3940" t="s">
        <v>69</v>
      </c>
      <c r="P3940" s="3" t="s">
        <v>75</v>
      </c>
      <c r="Q3940">
        <v>2015</v>
      </c>
      <c r="R3940" s="2">
        <v>42277</v>
      </c>
      <c r="S3940" s="2">
        <v>42286</v>
      </c>
      <c r="T3940" s="2">
        <v>42283</v>
      </c>
      <c r="U3940" s="2">
        <v>42343</v>
      </c>
      <c r="V3940" t="s">
        <v>71</v>
      </c>
      <c r="W3940" t="str">
        <f>"            30E-2015"</f>
        <v xml:space="preserve">            30E-2015</v>
      </c>
      <c r="X3940" s="1">
        <v>4916.21</v>
      </c>
      <c r="Y3940">
        <v>0</v>
      </c>
      <c r="Z3940"/>
      <c r="AB3940"/>
      <c r="AC3940" s="1">
        <v>4029.68</v>
      </c>
      <c r="AD3940">
        <v>73</v>
      </c>
      <c r="AE3940" s="1">
        <v>294166.64</v>
      </c>
      <c r="AF3940">
        <v>0</v>
      </c>
      <c r="AJ3940">
        <v>0</v>
      </c>
      <c r="AK3940">
        <v>0</v>
      </c>
      <c r="AL3940">
        <v>0</v>
      </c>
      <c r="AM3940">
        <v>0</v>
      </c>
      <c r="AN3940">
        <v>0</v>
      </c>
      <c r="AO3940">
        <v>0</v>
      </c>
      <c r="AP3940" s="2">
        <v>42746</v>
      </c>
      <c r="AQ3940" t="s">
        <v>72</v>
      </c>
      <c r="AR3940" t="s">
        <v>72</v>
      </c>
      <c r="AS3940">
        <v>440</v>
      </c>
      <c r="AT3940" s="4">
        <v>42416</v>
      </c>
      <c r="AU3940" t="s">
        <v>73</v>
      </c>
      <c r="AV3940">
        <v>440</v>
      </c>
      <c r="AW3940" s="4">
        <v>42416</v>
      </c>
      <c r="BD3940">
        <v>0</v>
      </c>
      <c r="BN3940" t="s">
        <v>74</v>
      </c>
    </row>
    <row r="3941" spans="1:66" hidden="1">
      <c r="A3941">
        <v>101408</v>
      </c>
      <c r="B3941" s="3" t="s">
        <v>431</v>
      </c>
      <c r="C3941" s="1">
        <v>43300101</v>
      </c>
      <c r="D3941" t="s">
        <v>67</v>
      </c>
      <c r="H3941" t="str">
        <f t="shared" si="424"/>
        <v>02571210349</v>
      </c>
      <c r="I3941" t="str">
        <f t="shared" si="424"/>
        <v>02571210349</v>
      </c>
      <c r="K3941" t="str">
        <f>""</f>
        <v/>
      </c>
      <c r="M3941" t="s">
        <v>68</v>
      </c>
      <c r="N3941" t="str">
        <f t="shared" si="425"/>
        <v>FOR</v>
      </c>
      <c r="O3941" t="s">
        <v>69</v>
      </c>
      <c r="P3941" s="3" t="s">
        <v>75</v>
      </c>
      <c r="Q3941">
        <v>2015</v>
      </c>
      <c r="R3941" s="2">
        <v>42286</v>
      </c>
      <c r="S3941" s="2">
        <v>42296</v>
      </c>
      <c r="T3941" s="2">
        <v>42293</v>
      </c>
      <c r="U3941" s="2">
        <v>42353</v>
      </c>
      <c r="V3941" t="s">
        <v>71</v>
      </c>
      <c r="W3941" t="str">
        <f>"            32E-2015"</f>
        <v xml:space="preserve">            32E-2015</v>
      </c>
      <c r="X3941" s="1">
        <v>4144.34</v>
      </c>
      <c r="Y3941">
        <v>0</v>
      </c>
      <c r="Z3941"/>
      <c r="AB3941"/>
      <c r="AC3941" s="1">
        <v>3397</v>
      </c>
      <c r="AD3941">
        <v>63</v>
      </c>
      <c r="AE3941" s="1">
        <v>214011</v>
      </c>
      <c r="AF3941">
        <v>0</v>
      </c>
      <c r="AJ3941">
        <v>0</v>
      </c>
      <c r="AK3941">
        <v>0</v>
      </c>
      <c r="AL3941">
        <v>0</v>
      </c>
      <c r="AM3941">
        <v>0</v>
      </c>
      <c r="AN3941">
        <v>0</v>
      </c>
      <c r="AO3941">
        <v>0</v>
      </c>
      <c r="AP3941" s="2">
        <v>42746</v>
      </c>
      <c r="AQ3941" t="s">
        <v>72</v>
      </c>
      <c r="AR3941" t="s">
        <v>72</v>
      </c>
      <c r="AS3941">
        <v>440</v>
      </c>
      <c r="AT3941" s="4">
        <v>42416</v>
      </c>
      <c r="AU3941" t="s">
        <v>73</v>
      </c>
      <c r="AV3941">
        <v>440</v>
      </c>
      <c r="AW3941" s="4">
        <v>42416</v>
      </c>
      <c r="BD3941">
        <v>0</v>
      </c>
      <c r="BN3941" t="s">
        <v>74</v>
      </c>
    </row>
    <row r="3942" spans="1:66" hidden="1">
      <c r="A3942">
        <v>101408</v>
      </c>
      <c r="B3942" s="3" t="s">
        <v>431</v>
      </c>
      <c r="C3942" s="1">
        <v>43300101</v>
      </c>
      <c r="D3942" t="s">
        <v>67</v>
      </c>
      <c r="H3942" t="str">
        <f t="shared" si="424"/>
        <v>02571210349</v>
      </c>
      <c r="I3942" t="str">
        <f t="shared" si="424"/>
        <v>02571210349</v>
      </c>
      <c r="K3942" t="str">
        <f>""</f>
        <v/>
      </c>
      <c r="M3942" t="s">
        <v>68</v>
      </c>
      <c r="N3942" t="str">
        <f t="shared" si="425"/>
        <v>FOR</v>
      </c>
      <c r="O3942" t="s">
        <v>69</v>
      </c>
      <c r="P3942" s="3" t="s">
        <v>75</v>
      </c>
      <c r="Q3942">
        <v>2015</v>
      </c>
      <c r="R3942" s="2">
        <v>42369</v>
      </c>
      <c r="S3942" s="2">
        <v>42369</v>
      </c>
      <c r="T3942" s="2">
        <v>42369</v>
      </c>
      <c r="U3942" s="2">
        <v>42429</v>
      </c>
      <c r="V3942" t="s">
        <v>71</v>
      </c>
      <c r="W3942" t="str">
        <f>"            41E/2015"</f>
        <v xml:space="preserve">            41E/2015</v>
      </c>
      <c r="X3942" s="1">
        <v>5233.8</v>
      </c>
      <c r="Y3942">
        <v>0</v>
      </c>
      <c r="Z3942"/>
      <c r="AB3942"/>
      <c r="AC3942" s="1">
        <v>4290</v>
      </c>
      <c r="AD3942">
        <v>91</v>
      </c>
      <c r="AE3942" s="1">
        <v>390390</v>
      </c>
      <c r="AF3942">
        <v>0</v>
      </c>
      <c r="AJ3942">
        <v>0</v>
      </c>
      <c r="AK3942">
        <v>0</v>
      </c>
      <c r="AL3942">
        <v>0</v>
      </c>
      <c r="AM3942">
        <v>0</v>
      </c>
      <c r="AN3942">
        <v>0</v>
      </c>
      <c r="AO3942">
        <v>0</v>
      </c>
      <c r="AP3942" s="2">
        <v>42746</v>
      </c>
      <c r="AQ3942" t="s">
        <v>72</v>
      </c>
      <c r="AR3942" t="s">
        <v>72</v>
      </c>
      <c r="AS3942">
        <v>1461</v>
      </c>
      <c r="AT3942" s="4">
        <v>42520</v>
      </c>
      <c r="AU3942" t="s">
        <v>73</v>
      </c>
      <c r="AV3942">
        <v>1461</v>
      </c>
      <c r="AW3942" s="4">
        <v>42520</v>
      </c>
      <c r="BD3942">
        <v>0</v>
      </c>
      <c r="BN3942" t="s">
        <v>74</v>
      </c>
    </row>
    <row r="3943" spans="1:66" hidden="1">
      <c r="A3943">
        <v>101408</v>
      </c>
      <c r="B3943" s="3" t="s">
        <v>431</v>
      </c>
      <c r="C3943" s="1">
        <v>43300101</v>
      </c>
      <c r="D3943" t="s">
        <v>67</v>
      </c>
      <c r="H3943" t="str">
        <f t="shared" si="424"/>
        <v>02571210349</v>
      </c>
      <c r="I3943" t="str">
        <f t="shared" si="424"/>
        <v>02571210349</v>
      </c>
      <c r="K3943" t="str">
        <f>""</f>
        <v/>
      </c>
      <c r="M3943" t="s">
        <v>68</v>
      </c>
      <c r="N3943" t="str">
        <f t="shared" si="425"/>
        <v>FOR</v>
      </c>
      <c r="O3943" t="s">
        <v>69</v>
      </c>
      <c r="P3943" s="3" t="s">
        <v>75</v>
      </c>
      <c r="Q3943">
        <v>2015</v>
      </c>
      <c r="R3943" s="2">
        <v>42369</v>
      </c>
      <c r="S3943" s="2">
        <v>42447</v>
      </c>
      <c r="T3943" s="2">
        <v>42446</v>
      </c>
      <c r="U3943" s="2">
        <v>42506</v>
      </c>
      <c r="V3943" t="s">
        <v>71</v>
      </c>
      <c r="W3943" t="str">
        <f>"            44E/2015"</f>
        <v xml:space="preserve">            44E/2015</v>
      </c>
      <c r="X3943" s="1">
        <v>4343.6899999999996</v>
      </c>
      <c r="Y3943">
        <v>0</v>
      </c>
      <c r="Z3943"/>
      <c r="AB3943"/>
      <c r="AC3943" s="1">
        <v>3560.4</v>
      </c>
      <c r="AD3943">
        <v>14</v>
      </c>
      <c r="AE3943" s="1">
        <v>49845.599999999999</v>
      </c>
      <c r="AF3943">
        <v>0</v>
      </c>
      <c r="AJ3943">
        <v>0</v>
      </c>
      <c r="AK3943">
        <v>0</v>
      </c>
      <c r="AL3943">
        <v>0</v>
      </c>
      <c r="AM3943">
        <v>0</v>
      </c>
      <c r="AN3943" s="1">
        <v>4343.6899999999996</v>
      </c>
      <c r="AO3943">
        <v>0</v>
      </c>
      <c r="AP3943" s="2">
        <v>42746</v>
      </c>
      <c r="AQ3943" t="s">
        <v>72</v>
      </c>
      <c r="AR3943" t="s">
        <v>72</v>
      </c>
      <c r="AS3943">
        <v>1461</v>
      </c>
      <c r="AT3943" s="4">
        <v>42520</v>
      </c>
      <c r="AU3943" t="s">
        <v>73</v>
      </c>
      <c r="AV3943">
        <v>1461</v>
      </c>
      <c r="AW3943" s="4">
        <v>42520</v>
      </c>
      <c r="BD3943">
        <v>0</v>
      </c>
      <c r="BN3943" t="s">
        <v>74</v>
      </c>
    </row>
    <row r="3944" spans="1:66" hidden="1">
      <c r="A3944">
        <v>101408</v>
      </c>
      <c r="B3944" s="3" t="s">
        <v>431</v>
      </c>
      <c r="C3944" s="1">
        <v>43300101</v>
      </c>
      <c r="D3944" t="s">
        <v>67</v>
      </c>
      <c r="H3944" t="str">
        <f t="shared" si="424"/>
        <v>02571210349</v>
      </c>
      <c r="I3944" t="str">
        <f t="shared" si="424"/>
        <v>02571210349</v>
      </c>
      <c r="K3944" t="str">
        <f>""</f>
        <v/>
      </c>
      <c r="M3944" t="s">
        <v>68</v>
      </c>
      <c r="N3944" t="str">
        <f t="shared" si="425"/>
        <v>FOR</v>
      </c>
      <c r="O3944" t="s">
        <v>69</v>
      </c>
      <c r="P3944" s="3" t="s">
        <v>75</v>
      </c>
      <c r="Q3944">
        <v>2016</v>
      </c>
      <c r="R3944" s="2">
        <v>42400</v>
      </c>
      <c r="S3944" s="2">
        <v>42438</v>
      </c>
      <c r="T3944" s="2">
        <v>42437</v>
      </c>
      <c r="U3944" s="2">
        <v>42497</v>
      </c>
      <c r="V3944" t="s">
        <v>71</v>
      </c>
      <c r="W3944" t="str">
        <f>"             1E/2016"</f>
        <v xml:space="preserve">             1E/2016</v>
      </c>
      <c r="X3944" s="1">
        <v>5141.08</v>
      </c>
      <c r="Y3944">
        <v>0</v>
      </c>
      <c r="Z3944"/>
      <c r="AB3944"/>
      <c r="AC3944" s="1">
        <v>4214</v>
      </c>
      <c r="AD3944">
        <v>80</v>
      </c>
      <c r="AE3944" s="1">
        <v>337120</v>
      </c>
      <c r="AF3944">
        <v>0</v>
      </c>
      <c r="AJ3944">
        <v>0</v>
      </c>
      <c r="AK3944">
        <v>0</v>
      </c>
      <c r="AL3944">
        <v>0</v>
      </c>
      <c r="AM3944" s="1">
        <v>5141.08</v>
      </c>
      <c r="AN3944" s="1">
        <v>5141.08</v>
      </c>
      <c r="AO3944" s="1">
        <v>5141.08</v>
      </c>
      <c r="AP3944" s="2">
        <v>42746</v>
      </c>
      <c r="AQ3944" t="s">
        <v>72</v>
      </c>
      <c r="AR3944" t="s">
        <v>72</v>
      </c>
      <c r="AS3944">
        <v>1964</v>
      </c>
      <c r="AT3944" s="4">
        <v>42577</v>
      </c>
      <c r="AU3944" t="s">
        <v>73</v>
      </c>
      <c r="AV3944">
        <v>1964</v>
      </c>
      <c r="AW3944" s="4">
        <v>42577</v>
      </c>
      <c r="BD3944">
        <v>0</v>
      </c>
      <c r="BN3944" t="s">
        <v>74</v>
      </c>
    </row>
    <row r="3945" spans="1:66" hidden="1">
      <c r="A3945">
        <v>101408</v>
      </c>
      <c r="B3945" s="3" t="s">
        <v>431</v>
      </c>
      <c r="C3945" s="1">
        <v>43300101</v>
      </c>
      <c r="D3945" t="s">
        <v>67</v>
      </c>
      <c r="H3945" t="str">
        <f t="shared" si="424"/>
        <v>02571210349</v>
      </c>
      <c r="I3945" t="str">
        <f t="shared" si="424"/>
        <v>02571210349</v>
      </c>
      <c r="K3945" t="str">
        <f>""</f>
        <v/>
      </c>
      <c r="M3945" t="s">
        <v>68</v>
      </c>
      <c r="N3945" t="str">
        <f t="shared" si="425"/>
        <v>FOR</v>
      </c>
      <c r="O3945" t="s">
        <v>69</v>
      </c>
      <c r="P3945" s="3" t="s">
        <v>75</v>
      </c>
      <c r="Q3945">
        <v>2016</v>
      </c>
      <c r="R3945" s="2">
        <v>42432</v>
      </c>
      <c r="S3945" s="2">
        <v>42438</v>
      </c>
      <c r="T3945" s="2">
        <v>42437</v>
      </c>
      <c r="U3945" s="2">
        <v>42497</v>
      </c>
      <c r="V3945" t="s">
        <v>71</v>
      </c>
      <c r="W3945" t="str">
        <f>"             5E/2016"</f>
        <v xml:space="preserve">             5E/2016</v>
      </c>
      <c r="X3945" s="1">
        <v>5141.08</v>
      </c>
      <c r="Y3945">
        <v>0</v>
      </c>
      <c r="Z3945"/>
      <c r="AB3945"/>
      <c r="AC3945" s="1">
        <v>4214</v>
      </c>
      <c r="AD3945">
        <v>123</v>
      </c>
      <c r="AE3945" s="1">
        <v>518322</v>
      </c>
      <c r="AF3945">
        <v>0</v>
      </c>
      <c r="AJ3945">
        <v>0</v>
      </c>
      <c r="AK3945">
        <v>0</v>
      </c>
      <c r="AL3945">
        <v>0</v>
      </c>
      <c r="AM3945" s="1">
        <v>5141.08</v>
      </c>
      <c r="AN3945" s="1">
        <v>5141.08</v>
      </c>
      <c r="AO3945" s="1">
        <v>5141.08</v>
      </c>
      <c r="AP3945" s="2">
        <v>42746</v>
      </c>
      <c r="AQ3945" t="s">
        <v>72</v>
      </c>
      <c r="AR3945" t="s">
        <v>72</v>
      </c>
      <c r="AS3945">
        <v>2316</v>
      </c>
      <c r="AT3945" s="4">
        <v>42620</v>
      </c>
      <c r="AU3945" t="s">
        <v>73</v>
      </c>
      <c r="AV3945">
        <v>2316</v>
      </c>
      <c r="AW3945" s="4">
        <v>42620</v>
      </c>
      <c r="BD3945">
        <v>0</v>
      </c>
      <c r="BN3945" t="s">
        <v>74</v>
      </c>
    </row>
    <row r="3946" spans="1:66" hidden="1">
      <c r="A3946">
        <v>101408</v>
      </c>
      <c r="B3946" s="3" t="s">
        <v>431</v>
      </c>
      <c r="C3946" s="1">
        <v>43300101</v>
      </c>
      <c r="D3946" t="s">
        <v>67</v>
      </c>
      <c r="H3946" t="str">
        <f t="shared" si="424"/>
        <v>02571210349</v>
      </c>
      <c r="I3946" t="str">
        <f t="shared" si="424"/>
        <v>02571210349</v>
      </c>
      <c r="K3946" t="str">
        <f>""</f>
        <v/>
      </c>
      <c r="M3946" t="s">
        <v>68</v>
      </c>
      <c r="N3946" t="str">
        <f t="shared" si="425"/>
        <v>FOR</v>
      </c>
      <c r="O3946" t="s">
        <v>69</v>
      </c>
      <c r="P3946" s="3" t="s">
        <v>75</v>
      </c>
      <c r="Q3946">
        <v>2016</v>
      </c>
      <c r="R3946" s="2">
        <v>42460</v>
      </c>
      <c r="S3946" s="2">
        <v>42473</v>
      </c>
      <c r="T3946" s="2">
        <v>42467</v>
      </c>
      <c r="U3946" s="2">
        <v>42527</v>
      </c>
      <c r="V3946" t="s">
        <v>71</v>
      </c>
      <c r="W3946" t="str">
        <f>"             7E/2016"</f>
        <v xml:space="preserve">             7E/2016</v>
      </c>
      <c r="X3946" s="1">
        <v>5141.08</v>
      </c>
      <c r="Y3946">
        <v>0</v>
      </c>
      <c r="Z3946"/>
      <c r="AB3946"/>
      <c r="AC3946" s="1">
        <v>4214</v>
      </c>
      <c r="AD3946">
        <v>93</v>
      </c>
      <c r="AE3946" s="1">
        <v>391902</v>
      </c>
      <c r="AF3946">
        <v>0</v>
      </c>
      <c r="AJ3946">
        <v>0</v>
      </c>
      <c r="AK3946">
        <v>0</v>
      </c>
      <c r="AL3946">
        <v>0</v>
      </c>
      <c r="AM3946" s="1">
        <v>5141.08</v>
      </c>
      <c r="AN3946" s="1">
        <v>5141.08</v>
      </c>
      <c r="AO3946" s="1">
        <v>5141.08</v>
      </c>
      <c r="AP3946" s="2">
        <v>42746</v>
      </c>
      <c r="AQ3946" t="s">
        <v>72</v>
      </c>
      <c r="AR3946" t="s">
        <v>72</v>
      </c>
      <c r="AS3946">
        <v>2316</v>
      </c>
      <c r="AT3946" s="4">
        <v>42620</v>
      </c>
      <c r="AU3946" t="s">
        <v>73</v>
      </c>
      <c r="AV3946">
        <v>2316</v>
      </c>
      <c r="AW3946" s="4">
        <v>42620</v>
      </c>
      <c r="BD3946">
        <v>0</v>
      </c>
      <c r="BN3946" t="s">
        <v>74</v>
      </c>
    </row>
    <row r="3947" spans="1:66">
      <c r="A3947">
        <v>101408</v>
      </c>
      <c r="B3947" s="3" t="s">
        <v>431</v>
      </c>
      <c r="C3947" s="1">
        <v>43300101</v>
      </c>
      <c r="D3947" t="s">
        <v>67</v>
      </c>
      <c r="H3947" t="str">
        <f t="shared" si="424"/>
        <v>02571210349</v>
      </c>
      <c r="I3947" t="str">
        <f t="shared" si="424"/>
        <v>02571210349</v>
      </c>
      <c r="K3947" t="str">
        <f>""</f>
        <v/>
      </c>
      <c r="M3947" t="s">
        <v>68</v>
      </c>
      <c r="N3947" t="str">
        <f t="shared" si="425"/>
        <v>FOR</v>
      </c>
      <c r="O3947" t="s">
        <v>69</v>
      </c>
      <c r="P3947" s="3" t="s">
        <v>75</v>
      </c>
      <c r="Q3947">
        <v>2016</v>
      </c>
      <c r="R3947" s="2">
        <v>42565</v>
      </c>
      <c r="S3947" s="2">
        <v>42580</v>
      </c>
      <c r="T3947" s="2">
        <v>42579</v>
      </c>
      <c r="U3947" s="2">
        <v>42639</v>
      </c>
      <c r="V3947" t="s">
        <v>71</v>
      </c>
      <c r="W3947" t="str">
        <f>"            13E-2016"</f>
        <v xml:space="preserve">            13E-2016</v>
      </c>
      <c r="X3947" s="1">
        <v>5658.85</v>
      </c>
      <c r="Y3947">
        <v>0</v>
      </c>
      <c r="Z3947" s="5">
        <v>4638.3999999999996</v>
      </c>
      <c r="AA3947">
        <v>53</v>
      </c>
      <c r="AB3947" s="5">
        <v>245835.2</v>
      </c>
      <c r="AC3947" s="1">
        <v>4638.3999999999996</v>
      </c>
      <c r="AD3947">
        <v>53</v>
      </c>
      <c r="AE3947" s="1">
        <v>245835.2</v>
      </c>
      <c r="AF3947">
        <v>0</v>
      </c>
      <c r="AJ3947">
        <v>0</v>
      </c>
      <c r="AK3947">
        <v>0</v>
      </c>
      <c r="AL3947">
        <v>0</v>
      </c>
      <c r="AM3947" s="1">
        <v>5658.85</v>
      </c>
      <c r="AN3947" s="1">
        <v>5658.85</v>
      </c>
      <c r="AO3947" s="1">
        <v>5658.85</v>
      </c>
      <c r="AP3947" s="2">
        <v>42746</v>
      </c>
      <c r="AQ3947" t="s">
        <v>72</v>
      </c>
      <c r="AR3947" t="s">
        <v>72</v>
      </c>
      <c r="AS3947">
        <v>3190</v>
      </c>
      <c r="AT3947" s="4">
        <v>42692</v>
      </c>
      <c r="AU3947" t="s">
        <v>73</v>
      </c>
      <c r="AV3947">
        <v>3190</v>
      </c>
      <c r="AW3947" s="4">
        <v>42692</v>
      </c>
      <c r="BD3947">
        <v>0</v>
      </c>
      <c r="BN3947" t="s">
        <v>74</v>
      </c>
    </row>
    <row r="3948" spans="1:66">
      <c r="A3948">
        <v>101408</v>
      </c>
      <c r="B3948" s="3" t="s">
        <v>431</v>
      </c>
      <c r="C3948" s="1">
        <v>43300101</v>
      </c>
      <c r="D3948" t="s">
        <v>67</v>
      </c>
      <c r="H3948" t="str">
        <f t="shared" si="424"/>
        <v>02571210349</v>
      </c>
      <c r="I3948" t="str">
        <f t="shared" si="424"/>
        <v>02571210349</v>
      </c>
      <c r="K3948" t="str">
        <f>""</f>
        <v/>
      </c>
      <c r="M3948" t="s">
        <v>68</v>
      </c>
      <c r="N3948" t="str">
        <f t="shared" si="425"/>
        <v>FOR</v>
      </c>
      <c r="O3948" t="s">
        <v>69</v>
      </c>
      <c r="P3948" s="3" t="s">
        <v>75</v>
      </c>
      <c r="Q3948">
        <v>2016</v>
      </c>
      <c r="R3948" s="2">
        <v>42578</v>
      </c>
      <c r="S3948" s="2">
        <v>42583</v>
      </c>
      <c r="T3948" s="2">
        <v>42579</v>
      </c>
      <c r="U3948" s="2">
        <v>42639</v>
      </c>
      <c r="V3948" t="s">
        <v>71</v>
      </c>
      <c r="W3948" t="str">
        <f>"            16E-2016"</f>
        <v xml:space="preserve">            16E-2016</v>
      </c>
      <c r="X3948" s="1">
        <v>1783.64</v>
      </c>
      <c r="Y3948">
        <v>0</v>
      </c>
      <c r="Z3948" s="5">
        <v>1462</v>
      </c>
      <c r="AA3948">
        <v>7</v>
      </c>
      <c r="AB3948" s="5">
        <v>10234</v>
      </c>
      <c r="AC3948" s="1">
        <v>1462</v>
      </c>
      <c r="AD3948">
        <v>7</v>
      </c>
      <c r="AE3948" s="1">
        <v>10234</v>
      </c>
      <c r="AF3948">
        <v>0</v>
      </c>
      <c r="AJ3948">
        <v>0</v>
      </c>
      <c r="AK3948">
        <v>0</v>
      </c>
      <c r="AL3948">
        <v>0</v>
      </c>
      <c r="AM3948" s="1">
        <v>1783.64</v>
      </c>
      <c r="AN3948" s="1">
        <v>1783.64</v>
      </c>
      <c r="AO3948" s="1">
        <v>1783.64</v>
      </c>
      <c r="AP3948" s="2">
        <v>42746</v>
      </c>
      <c r="AQ3948" t="s">
        <v>72</v>
      </c>
      <c r="AR3948" t="s">
        <v>72</v>
      </c>
      <c r="AS3948">
        <v>2571</v>
      </c>
      <c r="AT3948" s="4">
        <v>42646</v>
      </c>
      <c r="AU3948" t="s">
        <v>73</v>
      </c>
      <c r="AV3948">
        <v>2571</v>
      </c>
      <c r="AW3948" s="4">
        <v>42646</v>
      </c>
      <c r="BD3948">
        <v>0</v>
      </c>
      <c r="BN3948" t="s">
        <v>74</v>
      </c>
    </row>
    <row r="3949" spans="1:66">
      <c r="A3949">
        <v>101408</v>
      </c>
      <c r="B3949" s="3" t="s">
        <v>431</v>
      </c>
      <c r="C3949" s="1">
        <v>43300101</v>
      </c>
      <c r="D3949" t="s">
        <v>67</v>
      </c>
      <c r="H3949" t="str">
        <f t="shared" si="424"/>
        <v>02571210349</v>
      </c>
      <c r="I3949" t="str">
        <f t="shared" si="424"/>
        <v>02571210349</v>
      </c>
      <c r="K3949" t="str">
        <f>""</f>
        <v/>
      </c>
      <c r="M3949" t="s">
        <v>68</v>
      </c>
      <c r="N3949" t="str">
        <f t="shared" si="425"/>
        <v>FOR</v>
      </c>
      <c r="O3949" t="s">
        <v>69</v>
      </c>
      <c r="P3949" s="3" t="s">
        <v>75</v>
      </c>
      <c r="Q3949">
        <v>2016</v>
      </c>
      <c r="R3949" s="2">
        <v>42584</v>
      </c>
      <c r="S3949" s="2">
        <v>42587</v>
      </c>
      <c r="T3949" s="2">
        <v>42586</v>
      </c>
      <c r="U3949" s="2">
        <v>42646</v>
      </c>
      <c r="V3949" t="s">
        <v>71</v>
      </c>
      <c r="W3949" t="str">
        <f>"            19E-2016"</f>
        <v xml:space="preserve">            19E-2016</v>
      </c>
      <c r="X3949" s="1">
        <v>5141.08</v>
      </c>
      <c r="Y3949">
        <v>0</v>
      </c>
      <c r="Z3949" s="5">
        <v>4214</v>
      </c>
      <c r="AB3949" s="3">
        <v>0</v>
      </c>
      <c r="AC3949" s="1">
        <v>4214</v>
      </c>
      <c r="AE3949">
        <v>0</v>
      </c>
      <c r="AF3949">
        <v>0</v>
      </c>
      <c r="AJ3949">
        <v>0</v>
      </c>
      <c r="AK3949">
        <v>0</v>
      </c>
      <c r="AL3949">
        <v>0</v>
      </c>
      <c r="AM3949" s="1">
        <v>5141.08</v>
      </c>
      <c r="AN3949" s="1">
        <v>5141.08</v>
      </c>
      <c r="AO3949" s="1">
        <v>5141.08</v>
      </c>
      <c r="AP3949" s="2">
        <v>42746</v>
      </c>
      <c r="AQ3949" t="s">
        <v>72</v>
      </c>
      <c r="AR3949" t="s">
        <v>72</v>
      </c>
      <c r="AS3949">
        <v>2571</v>
      </c>
      <c r="AT3949" s="4">
        <v>42646</v>
      </c>
      <c r="AV3949">
        <v>2571</v>
      </c>
      <c r="AW3949" s="4">
        <v>42646</v>
      </c>
      <c r="BD3949">
        <v>0</v>
      </c>
      <c r="BN3949" t="s">
        <v>74</v>
      </c>
    </row>
    <row r="3950" spans="1:66">
      <c r="A3950">
        <v>101408</v>
      </c>
      <c r="B3950" s="3" t="s">
        <v>431</v>
      </c>
      <c r="C3950" s="1">
        <v>43300101</v>
      </c>
      <c r="D3950" t="s">
        <v>67</v>
      </c>
      <c r="H3950" t="str">
        <f t="shared" si="424"/>
        <v>02571210349</v>
      </c>
      <c r="I3950" t="str">
        <f t="shared" si="424"/>
        <v>02571210349</v>
      </c>
      <c r="K3950" t="str">
        <f>""</f>
        <v/>
      </c>
      <c r="M3950" t="s">
        <v>68</v>
      </c>
      <c r="N3950" t="str">
        <f t="shared" si="425"/>
        <v>FOR</v>
      </c>
      <c r="O3950" t="s">
        <v>69</v>
      </c>
      <c r="P3950" s="3" t="s">
        <v>70</v>
      </c>
      <c r="Q3950">
        <v>2016</v>
      </c>
      <c r="R3950" s="2">
        <v>42635</v>
      </c>
      <c r="S3950" s="2">
        <v>42647</v>
      </c>
      <c r="T3950" s="2">
        <v>42647</v>
      </c>
      <c r="U3950" s="2">
        <v>42707</v>
      </c>
      <c r="V3950" t="s">
        <v>71</v>
      </c>
      <c r="W3950" t="str">
        <f>"            23E-2016"</f>
        <v xml:space="preserve">            23E-2016</v>
      </c>
      <c r="X3950" s="1">
        <v>5141.08</v>
      </c>
      <c r="Y3950">
        <v>0</v>
      </c>
      <c r="Z3950" s="5">
        <v>4214</v>
      </c>
      <c r="AA3950">
        <v>11</v>
      </c>
      <c r="AB3950" s="5">
        <v>46354</v>
      </c>
      <c r="AC3950" s="1">
        <v>4214</v>
      </c>
      <c r="AD3950">
        <v>11</v>
      </c>
      <c r="AE3950" s="1">
        <v>46354</v>
      </c>
      <c r="AF3950">
        <v>927.08</v>
      </c>
      <c r="AJ3950">
        <v>0</v>
      </c>
      <c r="AK3950" s="1">
        <v>5141.08</v>
      </c>
      <c r="AL3950">
        <v>0</v>
      </c>
      <c r="AM3950" s="1">
        <v>5141.08</v>
      </c>
      <c r="AN3950" s="1">
        <v>5141.08</v>
      </c>
      <c r="AO3950" s="1">
        <v>5141.08</v>
      </c>
      <c r="AP3950" s="2">
        <v>42746</v>
      </c>
      <c r="AQ3950" t="s">
        <v>72</v>
      </c>
      <c r="AR3950" t="s">
        <v>72</v>
      </c>
      <c r="AS3950">
        <v>3498</v>
      </c>
      <c r="AT3950" s="4">
        <v>42718</v>
      </c>
      <c r="AU3950" t="s">
        <v>73</v>
      </c>
      <c r="AV3950">
        <v>3498</v>
      </c>
      <c r="AW3950" s="4">
        <v>42718</v>
      </c>
      <c r="AX3950">
        <v>927.08</v>
      </c>
      <c r="BD3950">
        <v>0</v>
      </c>
      <c r="BN3950" t="s">
        <v>74</v>
      </c>
    </row>
    <row r="3951" spans="1:66" hidden="1">
      <c r="A3951">
        <v>101421</v>
      </c>
      <c r="B3951" s="3" t="s">
        <v>432</v>
      </c>
      <c r="C3951" s="1">
        <v>43300101</v>
      </c>
      <c r="D3951" t="s">
        <v>67</v>
      </c>
      <c r="H3951" t="str">
        <f>"06516000962"</f>
        <v>06516000962</v>
      </c>
      <c r="I3951" t="str">
        <f>"06516000962"</f>
        <v>06516000962</v>
      </c>
      <c r="K3951" t="str">
        <f>""</f>
        <v/>
      </c>
      <c r="M3951" t="s">
        <v>68</v>
      </c>
      <c r="N3951" t="str">
        <f t="shared" si="425"/>
        <v>FOR</v>
      </c>
      <c r="O3951" t="s">
        <v>69</v>
      </c>
      <c r="P3951" s="3" t="s">
        <v>75</v>
      </c>
      <c r="Q3951">
        <v>2015</v>
      </c>
      <c r="R3951" s="2">
        <v>42116</v>
      </c>
      <c r="S3951" s="2">
        <v>42124</v>
      </c>
      <c r="T3951" s="2">
        <v>42123</v>
      </c>
      <c r="U3951" s="2">
        <v>42183</v>
      </c>
      <c r="V3951" t="s">
        <v>71</v>
      </c>
      <c r="W3951" t="str">
        <f>"          8500019099"</f>
        <v xml:space="preserve">          8500019099</v>
      </c>
      <c r="X3951">
        <v>33.44</v>
      </c>
      <c r="Y3951">
        <v>0</v>
      </c>
      <c r="Z3951"/>
      <c r="AB3951"/>
      <c r="AC3951">
        <v>30.4</v>
      </c>
      <c r="AD3951">
        <v>304</v>
      </c>
      <c r="AE3951" s="1">
        <v>9241.6</v>
      </c>
      <c r="AF3951">
        <v>0</v>
      </c>
      <c r="AJ3951">
        <v>0</v>
      </c>
      <c r="AK3951">
        <v>0</v>
      </c>
      <c r="AL3951">
        <v>0</v>
      </c>
      <c r="AM3951">
        <v>0</v>
      </c>
      <c r="AN3951">
        <v>0</v>
      </c>
      <c r="AO3951">
        <v>0</v>
      </c>
      <c r="AP3951" s="2">
        <v>42746</v>
      </c>
      <c r="AQ3951" t="s">
        <v>72</v>
      </c>
      <c r="AR3951" t="s">
        <v>72</v>
      </c>
      <c r="AS3951">
        <v>1211</v>
      </c>
      <c r="AT3951" s="4">
        <v>42487</v>
      </c>
      <c r="AU3951" t="s">
        <v>73</v>
      </c>
      <c r="AV3951">
        <v>1211</v>
      </c>
      <c r="AW3951" s="4">
        <v>42487</v>
      </c>
      <c r="BD3951">
        <v>0</v>
      </c>
      <c r="BN3951" t="s">
        <v>74</v>
      </c>
    </row>
    <row r="3952" spans="1:66" hidden="1">
      <c r="A3952">
        <v>101425</v>
      </c>
      <c r="B3952" s="3" t="s">
        <v>433</v>
      </c>
      <c r="C3952" s="1">
        <v>43300101</v>
      </c>
      <c r="D3952" t="s">
        <v>67</v>
      </c>
      <c r="H3952" t="str">
        <f>"01330160555"</f>
        <v>01330160555</v>
      </c>
      <c r="I3952" t="str">
        <f>"01330160555"</f>
        <v>01330160555</v>
      </c>
      <c r="K3952" t="str">
        <f>""</f>
        <v/>
      </c>
      <c r="M3952" t="s">
        <v>68</v>
      </c>
      <c r="N3952" t="str">
        <f t="shared" si="425"/>
        <v>FOR</v>
      </c>
      <c r="O3952" t="s">
        <v>69</v>
      </c>
      <c r="P3952" s="3" t="s">
        <v>434</v>
      </c>
      <c r="Q3952">
        <v>2015</v>
      </c>
      <c r="R3952" s="2">
        <v>42304</v>
      </c>
      <c r="S3952" s="2">
        <v>42431</v>
      </c>
      <c r="T3952" s="2">
        <v>42431</v>
      </c>
      <c r="U3952" s="2">
        <v>42491</v>
      </c>
      <c r="V3952" t="s">
        <v>71</v>
      </c>
      <c r="W3952" t="str">
        <f>"        GN15-458044E"</f>
        <v xml:space="preserve">        GN15-458044E</v>
      </c>
      <c r="X3952" s="1">
        <v>-27018</v>
      </c>
      <c r="Y3952">
        <v>0</v>
      </c>
      <c r="Z3952"/>
      <c r="AB3952"/>
      <c r="AC3952" s="1">
        <v>-27018</v>
      </c>
      <c r="AD3952">
        <v>-23</v>
      </c>
      <c r="AE3952" s="1">
        <v>621414</v>
      </c>
      <c r="AF3952">
        <v>0</v>
      </c>
      <c r="AJ3952">
        <v>0</v>
      </c>
      <c r="AK3952">
        <v>0</v>
      </c>
      <c r="AL3952">
        <v>0</v>
      </c>
      <c r="AM3952">
        <v>0</v>
      </c>
      <c r="AN3952" s="1">
        <v>-27018</v>
      </c>
      <c r="AO3952">
        <v>0</v>
      </c>
      <c r="AP3952" s="2">
        <v>42746</v>
      </c>
      <c r="AQ3952" t="s">
        <v>72</v>
      </c>
      <c r="AR3952" t="s">
        <v>72</v>
      </c>
      <c r="AS3952">
        <v>180</v>
      </c>
      <c r="AT3952" s="4">
        <v>42468</v>
      </c>
      <c r="AV3952">
        <v>180</v>
      </c>
      <c r="AW3952" s="4">
        <v>42468</v>
      </c>
      <c r="BD3952">
        <v>0</v>
      </c>
      <c r="BN3952" t="s">
        <v>74</v>
      </c>
    </row>
    <row r="3953" spans="1:66" hidden="1">
      <c r="A3953">
        <v>101425</v>
      </c>
      <c r="B3953" s="3" t="s">
        <v>433</v>
      </c>
      <c r="C3953" s="1">
        <v>43300101</v>
      </c>
      <c r="D3953" t="s">
        <v>67</v>
      </c>
      <c r="H3953" t="str">
        <f>"01330160555"</f>
        <v>01330160555</v>
      </c>
      <c r="I3953" t="str">
        <f>"01330160555"</f>
        <v>01330160555</v>
      </c>
      <c r="K3953" t="str">
        <f>""</f>
        <v/>
      </c>
      <c r="M3953" t="s">
        <v>68</v>
      </c>
      <c r="N3953" t="str">
        <f t="shared" si="425"/>
        <v>FOR</v>
      </c>
      <c r="O3953" t="s">
        <v>69</v>
      </c>
      <c r="P3953" s="3" t="s">
        <v>434</v>
      </c>
      <c r="Q3953">
        <v>2015</v>
      </c>
      <c r="R3953" s="2">
        <v>42321</v>
      </c>
      <c r="S3953" s="2">
        <v>42431</v>
      </c>
      <c r="T3953" s="2">
        <v>42431</v>
      </c>
      <c r="U3953" s="2">
        <v>42491</v>
      </c>
      <c r="V3953" t="s">
        <v>71</v>
      </c>
      <c r="W3953" t="str">
        <f>"        GN15-529163E"</f>
        <v xml:space="preserve">        GN15-529163E</v>
      </c>
      <c r="X3953" s="1">
        <v>-2628.01</v>
      </c>
      <c r="Y3953">
        <v>0</v>
      </c>
      <c r="Z3953"/>
      <c r="AB3953"/>
      <c r="AC3953" s="1">
        <v>-2628.01</v>
      </c>
      <c r="AD3953">
        <v>-23</v>
      </c>
      <c r="AE3953" s="1">
        <v>60444.23</v>
      </c>
      <c r="AF3953">
        <v>0</v>
      </c>
      <c r="AJ3953">
        <v>0</v>
      </c>
      <c r="AK3953">
        <v>0</v>
      </c>
      <c r="AL3953">
        <v>0</v>
      </c>
      <c r="AM3953">
        <v>0</v>
      </c>
      <c r="AN3953" s="1">
        <v>-2628.01</v>
      </c>
      <c r="AO3953">
        <v>0</v>
      </c>
      <c r="AP3953" s="2">
        <v>42746</v>
      </c>
      <c r="AQ3953" t="s">
        <v>72</v>
      </c>
      <c r="AR3953" t="s">
        <v>72</v>
      </c>
      <c r="AS3953">
        <v>180</v>
      </c>
      <c r="AT3953" s="4">
        <v>42468</v>
      </c>
      <c r="AV3953">
        <v>180</v>
      </c>
      <c r="AW3953" s="4">
        <v>42468</v>
      </c>
      <c r="BD3953">
        <v>0</v>
      </c>
      <c r="BN3953" t="s">
        <v>74</v>
      </c>
    </row>
    <row r="3954" spans="1:66">
      <c r="A3954">
        <v>101439</v>
      </c>
      <c r="B3954" s="3" t="s">
        <v>435</v>
      </c>
      <c r="C3954" s="1">
        <v>43300101</v>
      </c>
      <c r="D3954" t="s">
        <v>67</v>
      </c>
      <c r="H3954" t="str">
        <f t="shared" ref="H3954:I3956" si="426">"03878140239"</f>
        <v>03878140239</v>
      </c>
      <c r="I3954" t="str">
        <f t="shared" si="426"/>
        <v>03878140239</v>
      </c>
      <c r="K3954" t="str">
        <f>""</f>
        <v/>
      </c>
      <c r="M3954" t="s">
        <v>68</v>
      </c>
      <c r="N3954" t="str">
        <f t="shared" si="425"/>
        <v>FOR</v>
      </c>
      <c r="O3954" t="s">
        <v>69</v>
      </c>
      <c r="P3954" s="3" t="s">
        <v>75</v>
      </c>
      <c r="Q3954">
        <v>2015</v>
      </c>
      <c r="R3954" s="2">
        <v>42360</v>
      </c>
      <c r="S3954" s="2">
        <v>42366</v>
      </c>
      <c r="T3954" s="2">
        <v>42361</v>
      </c>
      <c r="U3954" s="2">
        <v>42421</v>
      </c>
      <c r="V3954" t="s">
        <v>71</v>
      </c>
      <c r="W3954" t="str">
        <f>"     000001055004758"</f>
        <v xml:space="preserve">     000001055004758</v>
      </c>
      <c r="X3954" s="1">
        <v>4290.0200000000004</v>
      </c>
      <c r="Y3954">
        <v>0</v>
      </c>
      <c r="Z3954" s="5">
        <v>3900.02</v>
      </c>
      <c r="AA3954">
        <v>226</v>
      </c>
      <c r="AB3954" s="5">
        <v>881404.52</v>
      </c>
      <c r="AC3954" s="1">
        <v>3900.02</v>
      </c>
      <c r="AD3954">
        <v>226</v>
      </c>
      <c r="AE3954" s="1">
        <v>881404.52</v>
      </c>
      <c r="AF3954">
        <v>0</v>
      </c>
      <c r="AJ3954">
        <v>0</v>
      </c>
      <c r="AK3954">
        <v>0</v>
      </c>
      <c r="AL3954">
        <v>0</v>
      </c>
      <c r="AM3954">
        <v>0</v>
      </c>
      <c r="AN3954">
        <v>0</v>
      </c>
      <c r="AO3954">
        <v>0</v>
      </c>
      <c r="AP3954" s="2">
        <v>42746</v>
      </c>
      <c r="AQ3954" t="s">
        <v>72</v>
      </c>
      <c r="AR3954" t="s">
        <v>72</v>
      </c>
      <c r="AS3954">
        <v>2634</v>
      </c>
      <c r="AT3954" s="4">
        <v>42647</v>
      </c>
      <c r="AU3954" t="s">
        <v>73</v>
      </c>
      <c r="AV3954">
        <v>2634</v>
      </c>
      <c r="AW3954" s="4">
        <v>42647</v>
      </c>
      <c r="BD3954">
        <v>0</v>
      </c>
      <c r="BN3954" t="s">
        <v>74</v>
      </c>
    </row>
    <row r="3955" spans="1:66">
      <c r="A3955">
        <v>101439</v>
      </c>
      <c r="B3955" s="3" t="s">
        <v>435</v>
      </c>
      <c r="C3955" s="1">
        <v>43300101</v>
      </c>
      <c r="D3955" t="s">
        <v>67</v>
      </c>
      <c r="H3955" t="str">
        <f t="shared" si="426"/>
        <v>03878140239</v>
      </c>
      <c r="I3955" t="str">
        <f t="shared" si="426"/>
        <v>03878140239</v>
      </c>
      <c r="K3955" t="str">
        <f>""</f>
        <v/>
      </c>
      <c r="M3955" t="s">
        <v>68</v>
      </c>
      <c r="N3955" t="str">
        <f t="shared" si="425"/>
        <v>FOR</v>
      </c>
      <c r="O3955" t="s">
        <v>69</v>
      </c>
      <c r="P3955" s="3" t="s">
        <v>75</v>
      </c>
      <c r="Q3955">
        <v>2016</v>
      </c>
      <c r="R3955" s="2">
        <v>42408</v>
      </c>
      <c r="S3955" s="2">
        <v>42410</v>
      </c>
      <c r="T3955" s="2">
        <v>42409</v>
      </c>
      <c r="U3955" s="2">
        <v>42469</v>
      </c>
      <c r="V3955" t="s">
        <v>71</v>
      </c>
      <c r="W3955" t="str">
        <f>"     000001055000741"</f>
        <v xml:space="preserve">     000001055000741</v>
      </c>
      <c r="X3955" s="1">
        <v>4290.0200000000004</v>
      </c>
      <c r="Y3955">
        <v>0</v>
      </c>
      <c r="Z3955" s="5">
        <v>3900.02</v>
      </c>
      <c r="AA3955">
        <v>178</v>
      </c>
      <c r="AB3955" s="5">
        <v>694203.56</v>
      </c>
      <c r="AC3955" s="1">
        <v>3900.02</v>
      </c>
      <c r="AD3955">
        <v>178</v>
      </c>
      <c r="AE3955" s="1">
        <v>694203.56</v>
      </c>
      <c r="AF3955">
        <v>0</v>
      </c>
      <c r="AJ3955">
        <v>0</v>
      </c>
      <c r="AK3955">
        <v>0</v>
      </c>
      <c r="AL3955">
        <v>0</v>
      </c>
      <c r="AM3955" s="1">
        <v>4290.0200000000004</v>
      </c>
      <c r="AN3955" s="1">
        <v>4290.0200000000004</v>
      </c>
      <c r="AO3955" s="1">
        <v>4290.0200000000004</v>
      </c>
      <c r="AP3955" s="2">
        <v>42746</v>
      </c>
      <c r="AQ3955" t="s">
        <v>72</v>
      </c>
      <c r="AR3955" t="s">
        <v>72</v>
      </c>
      <c r="AS3955">
        <v>2634</v>
      </c>
      <c r="AT3955" s="4">
        <v>42647</v>
      </c>
      <c r="AU3955" t="s">
        <v>73</v>
      </c>
      <c r="AV3955">
        <v>2634</v>
      </c>
      <c r="AW3955" s="4">
        <v>42647</v>
      </c>
      <c r="BD3955">
        <v>0</v>
      </c>
      <c r="BN3955" t="s">
        <v>74</v>
      </c>
    </row>
    <row r="3956" spans="1:66">
      <c r="A3956">
        <v>101439</v>
      </c>
      <c r="B3956" s="3" t="s">
        <v>435</v>
      </c>
      <c r="C3956" s="1">
        <v>43300101</v>
      </c>
      <c r="D3956" t="s">
        <v>67</v>
      </c>
      <c r="H3956" t="str">
        <f t="shared" si="426"/>
        <v>03878140239</v>
      </c>
      <c r="I3956" t="str">
        <f t="shared" si="426"/>
        <v>03878140239</v>
      </c>
      <c r="K3956" t="str">
        <f>""</f>
        <v/>
      </c>
      <c r="M3956" t="s">
        <v>68</v>
      </c>
      <c r="N3956" t="str">
        <f t="shared" si="425"/>
        <v>FOR</v>
      </c>
      <c r="O3956" t="s">
        <v>69</v>
      </c>
      <c r="P3956" s="3" t="s">
        <v>75</v>
      </c>
      <c r="Q3956">
        <v>2016</v>
      </c>
      <c r="R3956" s="2">
        <v>42433</v>
      </c>
      <c r="S3956" s="2">
        <v>42436</v>
      </c>
      <c r="T3956" s="2">
        <v>42436</v>
      </c>
      <c r="U3956" s="2">
        <v>42496</v>
      </c>
      <c r="V3956" t="s">
        <v>71</v>
      </c>
      <c r="W3956" t="str">
        <f>"     000001055001217"</f>
        <v xml:space="preserve">     000001055001217</v>
      </c>
      <c r="X3956" s="1">
        <v>2574.0100000000002</v>
      </c>
      <c r="Y3956">
        <v>0</v>
      </c>
      <c r="Z3956" s="5">
        <v>2340.0100000000002</v>
      </c>
      <c r="AA3956">
        <v>151</v>
      </c>
      <c r="AB3956" s="5">
        <v>353341.51</v>
      </c>
      <c r="AC3956" s="1">
        <v>2340.0100000000002</v>
      </c>
      <c r="AD3956">
        <v>151</v>
      </c>
      <c r="AE3956" s="1">
        <v>353341.51</v>
      </c>
      <c r="AF3956">
        <v>0</v>
      </c>
      <c r="AJ3956">
        <v>0</v>
      </c>
      <c r="AK3956">
        <v>0</v>
      </c>
      <c r="AL3956">
        <v>0</v>
      </c>
      <c r="AM3956" s="1">
        <v>2574.0100000000002</v>
      </c>
      <c r="AN3956" s="1">
        <v>2574.0100000000002</v>
      </c>
      <c r="AO3956" s="1">
        <v>2574.0100000000002</v>
      </c>
      <c r="AP3956" s="2">
        <v>42746</v>
      </c>
      <c r="AQ3956" t="s">
        <v>72</v>
      </c>
      <c r="AR3956" t="s">
        <v>72</v>
      </c>
      <c r="AS3956">
        <v>2634</v>
      </c>
      <c r="AT3956" s="4">
        <v>42647</v>
      </c>
      <c r="AU3956" t="s">
        <v>73</v>
      </c>
      <c r="AV3956">
        <v>2634</v>
      </c>
      <c r="AW3956" s="4">
        <v>42647</v>
      </c>
      <c r="BD3956">
        <v>0</v>
      </c>
      <c r="BN3956" t="s">
        <v>74</v>
      </c>
    </row>
    <row r="3957" spans="1:66" hidden="1">
      <c r="A3957">
        <v>101445</v>
      </c>
      <c r="B3957" s="3" t="s">
        <v>436</v>
      </c>
      <c r="C3957" s="1">
        <v>43500101</v>
      </c>
      <c r="D3957" t="s">
        <v>113</v>
      </c>
      <c r="H3957" t="str">
        <f t="shared" ref="H3957:I3960" si="427">"00391250693"</f>
        <v>00391250693</v>
      </c>
      <c r="I3957" t="str">
        <f t="shared" si="427"/>
        <v>00391250693</v>
      </c>
      <c r="K3957" t="str">
        <f>""</f>
        <v/>
      </c>
      <c r="M3957" t="s">
        <v>68</v>
      </c>
      <c r="N3957" t="str">
        <f>"ALTFIN"</f>
        <v>ALTFIN</v>
      </c>
      <c r="O3957" t="s">
        <v>123</v>
      </c>
      <c r="P3957" s="3" t="s">
        <v>84</v>
      </c>
      <c r="Q3957">
        <v>2016</v>
      </c>
      <c r="R3957" s="2">
        <v>42389</v>
      </c>
      <c r="S3957" s="2">
        <v>42390</v>
      </c>
      <c r="T3957" s="2">
        <v>42390</v>
      </c>
      <c r="U3957" s="2">
        <v>42450</v>
      </c>
      <c r="V3957" t="s">
        <v>71</v>
      </c>
      <c r="W3957" t="str">
        <f>"                0120"</f>
        <v xml:space="preserve">                0120</v>
      </c>
      <c r="X3957">
        <v>0</v>
      </c>
      <c r="Y3957">
        <v>252</v>
      </c>
      <c r="Z3957"/>
      <c r="AB3957"/>
      <c r="AC3957">
        <v>252</v>
      </c>
      <c r="AD3957">
        <v>-60</v>
      </c>
      <c r="AE3957" s="1">
        <v>-15120</v>
      </c>
      <c r="AF3957">
        <v>0</v>
      </c>
      <c r="AJ3957">
        <v>0</v>
      </c>
      <c r="AK3957">
        <v>0</v>
      </c>
      <c r="AL3957">
        <v>0</v>
      </c>
      <c r="AM3957">
        <v>252</v>
      </c>
      <c r="AN3957">
        <v>252</v>
      </c>
      <c r="AO3957">
        <v>252</v>
      </c>
      <c r="AP3957" s="2">
        <v>42746</v>
      </c>
      <c r="AQ3957" t="s">
        <v>72</v>
      </c>
      <c r="AR3957" t="s">
        <v>72</v>
      </c>
      <c r="AS3957">
        <v>30</v>
      </c>
      <c r="AT3957" s="4">
        <v>42390</v>
      </c>
      <c r="AV3957">
        <v>30</v>
      </c>
      <c r="AW3957" s="4">
        <v>42390</v>
      </c>
      <c r="BD3957">
        <v>0</v>
      </c>
      <c r="BN3957" t="s">
        <v>74</v>
      </c>
    </row>
    <row r="3958" spans="1:66" hidden="1">
      <c r="A3958">
        <v>101445</v>
      </c>
      <c r="B3958" s="3" t="s">
        <v>436</v>
      </c>
      <c r="C3958" s="1">
        <v>43500101</v>
      </c>
      <c r="D3958" t="s">
        <v>113</v>
      </c>
      <c r="H3958" t="str">
        <f t="shared" si="427"/>
        <v>00391250693</v>
      </c>
      <c r="I3958" t="str">
        <f t="shared" si="427"/>
        <v>00391250693</v>
      </c>
      <c r="K3958" t="str">
        <f>""</f>
        <v/>
      </c>
      <c r="M3958" t="s">
        <v>68</v>
      </c>
      <c r="N3958" t="str">
        <f>"ALTFIN"</f>
        <v>ALTFIN</v>
      </c>
      <c r="O3958" t="s">
        <v>123</v>
      </c>
      <c r="P3958" s="3" t="s">
        <v>85</v>
      </c>
      <c r="Q3958">
        <v>2016</v>
      </c>
      <c r="R3958" s="2">
        <v>42422</v>
      </c>
      <c r="S3958" s="2">
        <v>42422</v>
      </c>
      <c r="T3958" s="2">
        <v>42422</v>
      </c>
      <c r="U3958" s="2">
        <v>42482</v>
      </c>
      <c r="V3958" t="s">
        <v>71</v>
      </c>
      <c r="W3958" t="str">
        <f>"                0222"</f>
        <v xml:space="preserve">                0222</v>
      </c>
      <c r="X3958">
        <v>0</v>
      </c>
      <c r="Y3958">
        <v>252</v>
      </c>
      <c r="Z3958"/>
      <c r="AB3958"/>
      <c r="AC3958">
        <v>252</v>
      </c>
      <c r="AD3958">
        <v>-58</v>
      </c>
      <c r="AE3958" s="1">
        <v>-14616</v>
      </c>
      <c r="AF3958">
        <v>0</v>
      </c>
      <c r="AJ3958">
        <v>0</v>
      </c>
      <c r="AK3958">
        <v>0</v>
      </c>
      <c r="AL3958">
        <v>0</v>
      </c>
      <c r="AM3958">
        <v>252</v>
      </c>
      <c r="AN3958">
        <v>252</v>
      </c>
      <c r="AO3958">
        <v>252</v>
      </c>
      <c r="AP3958" s="2">
        <v>42746</v>
      </c>
      <c r="AQ3958" t="s">
        <v>72</v>
      </c>
      <c r="AR3958" t="s">
        <v>72</v>
      </c>
      <c r="AS3958">
        <v>475</v>
      </c>
      <c r="AT3958" s="4">
        <v>42424</v>
      </c>
      <c r="AV3958">
        <v>475</v>
      </c>
      <c r="AW3958" s="4">
        <v>42424</v>
      </c>
      <c r="BD3958">
        <v>0</v>
      </c>
      <c r="BN3958" t="s">
        <v>74</v>
      </c>
    </row>
    <row r="3959" spans="1:66" hidden="1">
      <c r="A3959">
        <v>101445</v>
      </c>
      <c r="B3959" s="3" t="s">
        <v>436</v>
      </c>
      <c r="C3959" s="1">
        <v>43500101</v>
      </c>
      <c r="D3959" t="s">
        <v>113</v>
      </c>
      <c r="H3959" t="str">
        <f t="shared" si="427"/>
        <v>00391250693</v>
      </c>
      <c r="I3959" t="str">
        <f t="shared" si="427"/>
        <v>00391250693</v>
      </c>
      <c r="K3959" t="str">
        <f>""</f>
        <v/>
      </c>
      <c r="M3959" t="s">
        <v>68</v>
      </c>
      <c r="N3959" t="str">
        <f>"ALTFIN"</f>
        <v>ALTFIN</v>
      </c>
      <c r="O3959" t="s">
        <v>123</v>
      </c>
      <c r="P3959" s="3" t="s">
        <v>86</v>
      </c>
      <c r="Q3959">
        <v>2016</v>
      </c>
      <c r="R3959" s="2">
        <v>42450</v>
      </c>
      <c r="S3959" s="2">
        <v>42450</v>
      </c>
      <c r="T3959" s="2">
        <v>42450</v>
      </c>
      <c r="U3959" s="2">
        <v>42510</v>
      </c>
      <c r="V3959" t="s">
        <v>71</v>
      </c>
      <c r="W3959" t="str">
        <f>"                0321"</f>
        <v xml:space="preserve">                0321</v>
      </c>
      <c r="X3959">
        <v>0</v>
      </c>
      <c r="Y3959">
        <v>252</v>
      </c>
      <c r="Z3959"/>
      <c r="AB3959"/>
      <c r="AC3959">
        <v>252</v>
      </c>
      <c r="AD3959">
        <v>-57</v>
      </c>
      <c r="AE3959" s="1">
        <v>-14364</v>
      </c>
      <c r="AF3959">
        <v>0</v>
      </c>
      <c r="AJ3959">
        <v>0</v>
      </c>
      <c r="AK3959">
        <v>0</v>
      </c>
      <c r="AL3959">
        <v>0</v>
      </c>
      <c r="AM3959">
        <v>252</v>
      </c>
      <c r="AN3959">
        <v>252</v>
      </c>
      <c r="AO3959">
        <v>252</v>
      </c>
      <c r="AP3959" s="2">
        <v>42746</v>
      </c>
      <c r="AQ3959" t="s">
        <v>72</v>
      </c>
      <c r="AR3959" t="s">
        <v>72</v>
      </c>
      <c r="AS3959">
        <v>897</v>
      </c>
      <c r="AT3959" s="4">
        <v>42453</v>
      </c>
      <c r="AV3959">
        <v>897</v>
      </c>
      <c r="AW3959" s="4">
        <v>42453</v>
      </c>
      <c r="BD3959">
        <v>0</v>
      </c>
      <c r="BN3959" t="s">
        <v>74</v>
      </c>
    </row>
    <row r="3960" spans="1:66" hidden="1">
      <c r="A3960">
        <v>101445</v>
      </c>
      <c r="B3960" s="3" t="s">
        <v>436</v>
      </c>
      <c r="C3960" s="1">
        <v>43500101</v>
      </c>
      <c r="D3960" t="s">
        <v>113</v>
      </c>
      <c r="H3960" t="str">
        <f t="shared" si="427"/>
        <v>00391250693</v>
      </c>
      <c r="I3960" t="str">
        <f t="shared" si="427"/>
        <v>00391250693</v>
      </c>
      <c r="K3960" t="str">
        <f>""</f>
        <v/>
      </c>
      <c r="M3960" t="s">
        <v>68</v>
      </c>
      <c r="N3960" t="str">
        <f>"ALTFIN"</f>
        <v>ALTFIN</v>
      </c>
      <c r="O3960" t="s">
        <v>123</v>
      </c>
      <c r="P3960" s="3" t="s">
        <v>87</v>
      </c>
      <c r="Q3960">
        <v>2016</v>
      </c>
      <c r="R3960" s="2">
        <v>42481</v>
      </c>
      <c r="S3960" s="2">
        <v>42481</v>
      </c>
      <c r="T3960" s="2">
        <v>42481</v>
      </c>
      <c r="U3960" s="2">
        <v>42541</v>
      </c>
      <c r="V3960" t="s">
        <v>71</v>
      </c>
      <c r="W3960" t="str">
        <f>"                0421"</f>
        <v xml:space="preserve">                0421</v>
      </c>
      <c r="X3960">
        <v>0</v>
      </c>
      <c r="Y3960">
        <v>252</v>
      </c>
      <c r="Z3960"/>
      <c r="AB3960"/>
      <c r="AC3960">
        <v>252</v>
      </c>
      <c r="AD3960">
        <v>-60</v>
      </c>
      <c r="AE3960" s="1">
        <v>-15120</v>
      </c>
      <c r="AF3960">
        <v>0</v>
      </c>
      <c r="AJ3960">
        <v>0</v>
      </c>
      <c r="AK3960">
        <v>0</v>
      </c>
      <c r="AL3960">
        <v>0</v>
      </c>
      <c r="AM3960">
        <v>252</v>
      </c>
      <c r="AN3960">
        <v>252</v>
      </c>
      <c r="AO3960">
        <v>252</v>
      </c>
      <c r="AP3960" s="2">
        <v>42746</v>
      </c>
      <c r="AQ3960" t="s">
        <v>72</v>
      </c>
      <c r="AR3960" t="s">
        <v>72</v>
      </c>
      <c r="AS3960">
        <v>1063</v>
      </c>
      <c r="AT3960" s="4">
        <v>42481</v>
      </c>
      <c r="AV3960">
        <v>1063</v>
      </c>
      <c r="AW3960" s="4">
        <v>42481</v>
      </c>
      <c r="BD3960">
        <v>0</v>
      </c>
      <c r="BN3960" t="s">
        <v>74</v>
      </c>
    </row>
    <row r="3961" spans="1:66" hidden="1">
      <c r="A3961">
        <v>101446</v>
      </c>
      <c r="B3961" s="3" t="s">
        <v>437</v>
      </c>
      <c r="C3961" s="1">
        <v>43300101</v>
      </c>
      <c r="D3961" t="s">
        <v>67</v>
      </c>
      <c r="H3961" t="str">
        <f>"01121130197"</f>
        <v>01121130197</v>
      </c>
      <c r="I3961" t="str">
        <f>"01121130197"</f>
        <v>01121130197</v>
      </c>
      <c r="K3961" t="str">
        <f>""</f>
        <v/>
      </c>
      <c r="M3961" t="s">
        <v>68</v>
      </c>
      <c r="N3961" t="str">
        <f t="shared" ref="N3961:N3967" si="428">"FOR"</f>
        <v>FOR</v>
      </c>
      <c r="O3961" t="s">
        <v>69</v>
      </c>
      <c r="P3961" s="3" t="s">
        <v>75</v>
      </c>
      <c r="Q3961">
        <v>2016</v>
      </c>
      <c r="R3961" s="2">
        <v>42429</v>
      </c>
      <c r="S3961" s="2">
        <v>42436</v>
      </c>
      <c r="T3961" s="2">
        <v>42431</v>
      </c>
      <c r="U3961" s="2">
        <v>42491</v>
      </c>
      <c r="V3961" t="s">
        <v>71</v>
      </c>
      <c r="W3961" t="str">
        <f>"                1055"</f>
        <v xml:space="preserve">                1055</v>
      </c>
      <c r="X3961">
        <v>849.12</v>
      </c>
      <c r="Y3961">
        <v>0</v>
      </c>
      <c r="Z3961"/>
      <c r="AB3961"/>
      <c r="AC3961">
        <v>696</v>
      </c>
      <c r="AD3961">
        <v>75</v>
      </c>
      <c r="AE3961" s="1">
        <v>52200</v>
      </c>
      <c r="AF3961">
        <v>153.12</v>
      </c>
      <c r="AJ3961">
        <v>0</v>
      </c>
      <c r="AK3961">
        <v>0</v>
      </c>
      <c r="AL3961">
        <v>0</v>
      </c>
      <c r="AM3961">
        <v>849.12</v>
      </c>
      <c r="AN3961">
        <v>849.12</v>
      </c>
      <c r="AO3961">
        <v>849.12</v>
      </c>
      <c r="AP3961" s="2">
        <v>42746</v>
      </c>
      <c r="AQ3961" t="s">
        <v>72</v>
      </c>
      <c r="AR3961" t="s">
        <v>72</v>
      </c>
      <c r="AS3961">
        <v>1771</v>
      </c>
      <c r="AT3961" s="4">
        <v>42566</v>
      </c>
      <c r="AU3961" t="s">
        <v>73</v>
      </c>
      <c r="AV3961">
        <v>1771</v>
      </c>
      <c r="AW3961" s="4">
        <v>42566</v>
      </c>
      <c r="BD3961">
        <v>153.12</v>
      </c>
      <c r="BN3961" t="s">
        <v>74</v>
      </c>
    </row>
    <row r="3962" spans="1:66" hidden="1">
      <c r="A3962">
        <v>101465</v>
      </c>
      <c r="B3962" s="3" t="s">
        <v>438</v>
      </c>
      <c r="C3962" s="1">
        <v>43300101</v>
      </c>
      <c r="D3962" t="s">
        <v>67</v>
      </c>
      <c r="H3962" t="str">
        <f>"MTTMPT62C17I585L"</f>
        <v>MTTMPT62C17I585L</v>
      </c>
      <c r="I3962" t="str">
        <f>"01706280540"</f>
        <v>01706280540</v>
      </c>
      <c r="K3962" t="str">
        <f>""</f>
        <v/>
      </c>
      <c r="M3962" t="s">
        <v>68</v>
      </c>
      <c r="N3962" t="str">
        <f t="shared" si="428"/>
        <v>FOR</v>
      </c>
      <c r="O3962" t="s">
        <v>69</v>
      </c>
      <c r="P3962" s="3" t="s">
        <v>75</v>
      </c>
      <c r="Q3962">
        <v>2015</v>
      </c>
      <c r="R3962" s="2">
        <v>42369</v>
      </c>
      <c r="S3962" s="2">
        <v>42422</v>
      </c>
      <c r="T3962" s="2">
        <v>42419</v>
      </c>
      <c r="U3962" s="2">
        <v>42479</v>
      </c>
      <c r="V3962" t="s">
        <v>71</v>
      </c>
      <c r="W3962" t="str">
        <f>"        FATTPA 16_15"</f>
        <v xml:space="preserve">        FATTPA 16_15</v>
      </c>
      <c r="X3962">
        <v>690</v>
      </c>
      <c r="Y3962">
        <v>0</v>
      </c>
      <c r="Z3962"/>
      <c r="AB3962"/>
      <c r="AC3962">
        <v>690</v>
      </c>
      <c r="AD3962">
        <v>-20</v>
      </c>
      <c r="AE3962" s="1">
        <v>-13800</v>
      </c>
      <c r="AF3962">
        <v>0</v>
      </c>
      <c r="AJ3962">
        <v>0</v>
      </c>
      <c r="AK3962">
        <v>0</v>
      </c>
      <c r="AL3962">
        <v>0</v>
      </c>
      <c r="AM3962">
        <v>0</v>
      </c>
      <c r="AN3962">
        <v>690</v>
      </c>
      <c r="AO3962">
        <v>0</v>
      </c>
      <c r="AP3962" s="2">
        <v>42746</v>
      </c>
      <c r="AQ3962" t="s">
        <v>72</v>
      </c>
      <c r="AR3962" t="s">
        <v>72</v>
      </c>
      <c r="AS3962">
        <v>974</v>
      </c>
      <c r="AT3962" s="4">
        <v>42459</v>
      </c>
      <c r="AV3962">
        <v>974</v>
      </c>
      <c r="AW3962" s="4">
        <v>42459</v>
      </c>
      <c r="BD3962">
        <v>0</v>
      </c>
      <c r="BN3962" t="s">
        <v>74</v>
      </c>
    </row>
    <row r="3963" spans="1:66" hidden="1">
      <c r="A3963">
        <v>101474</v>
      </c>
      <c r="B3963" s="3" t="s">
        <v>439</v>
      </c>
      <c r="C3963" s="1">
        <v>43300101</v>
      </c>
      <c r="D3963" t="s">
        <v>67</v>
      </c>
      <c r="H3963" t="str">
        <f t="shared" ref="H3963:I3967" si="429">"09971540159"</f>
        <v>09971540159</v>
      </c>
      <c r="I3963" t="str">
        <f t="shared" si="429"/>
        <v>09971540159</v>
      </c>
      <c r="K3963" t="str">
        <f>""</f>
        <v/>
      </c>
      <c r="M3963" t="s">
        <v>68</v>
      </c>
      <c r="N3963" t="str">
        <f t="shared" si="428"/>
        <v>FOR</v>
      </c>
      <c r="O3963" t="s">
        <v>69</v>
      </c>
      <c r="P3963" s="3" t="s">
        <v>75</v>
      </c>
      <c r="Q3963">
        <v>2015</v>
      </c>
      <c r="R3963" s="2">
        <v>42258</v>
      </c>
      <c r="S3963" s="2">
        <v>42261</v>
      </c>
      <c r="T3963" s="2">
        <v>42258</v>
      </c>
      <c r="U3963" s="2">
        <v>42318</v>
      </c>
      <c r="V3963" t="s">
        <v>71</v>
      </c>
      <c r="W3963" t="str">
        <f>"              3080/T"</f>
        <v xml:space="preserve">              3080/T</v>
      </c>
      <c r="X3963">
        <v>780.8</v>
      </c>
      <c r="Y3963">
        <v>0</v>
      </c>
      <c r="Z3963"/>
      <c r="AB3963"/>
      <c r="AC3963">
        <v>640</v>
      </c>
      <c r="AD3963">
        <v>92</v>
      </c>
      <c r="AE3963" s="1">
        <v>58880</v>
      </c>
      <c r="AF3963">
        <v>0</v>
      </c>
      <c r="AJ3963">
        <v>0</v>
      </c>
      <c r="AK3963">
        <v>0</v>
      </c>
      <c r="AL3963">
        <v>0</v>
      </c>
      <c r="AM3963">
        <v>0</v>
      </c>
      <c r="AN3963">
        <v>0</v>
      </c>
      <c r="AO3963">
        <v>0</v>
      </c>
      <c r="AP3963" s="2">
        <v>42746</v>
      </c>
      <c r="AQ3963" t="s">
        <v>72</v>
      </c>
      <c r="AR3963" t="s">
        <v>72</v>
      </c>
      <c r="AS3963">
        <v>338</v>
      </c>
      <c r="AT3963" s="4">
        <v>42410</v>
      </c>
      <c r="AU3963" t="s">
        <v>73</v>
      </c>
      <c r="AV3963">
        <v>338</v>
      </c>
      <c r="AW3963" s="4">
        <v>42410</v>
      </c>
      <c r="BD3963">
        <v>0</v>
      </c>
      <c r="BN3963" t="s">
        <v>74</v>
      </c>
    </row>
    <row r="3964" spans="1:66" hidden="1">
      <c r="A3964">
        <v>101474</v>
      </c>
      <c r="B3964" s="3" t="s">
        <v>439</v>
      </c>
      <c r="C3964" s="1">
        <v>43300101</v>
      </c>
      <c r="D3964" t="s">
        <v>67</v>
      </c>
      <c r="H3964" t="str">
        <f t="shared" si="429"/>
        <v>09971540159</v>
      </c>
      <c r="I3964" t="str">
        <f t="shared" si="429"/>
        <v>09971540159</v>
      </c>
      <c r="K3964" t="str">
        <f>""</f>
        <v/>
      </c>
      <c r="M3964" t="s">
        <v>68</v>
      </c>
      <c r="N3964" t="str">
        <f t="shared" si="428"/>
        <v>FOR</v>
      </c>
      <c r="O3964" t="s">
        <v>69</v>
      </c>
      <c r="P3964" s="3" t="s">
        <v>75</v>
      </c>
      <c r="Q3964">
        <v>2015</v>
      </c>
      <c r="R3964" s="2">
        <v>42314</v>
      </c>
      <c r="S3964" s="2">
        <v>42320</v>
      </c>
      <c r="T3964" s="2">
        <v>42319</v>
      </c>
      <c r="U3964" s="2">
        <v>42379</v>
      </c>
      <c r="V3964" t="s">
        <v>71</v>
      </c>
      <c r="W3964" t="str">
        <f>"              3636/T"</f>
        <v xml:space="preserve">              3636/T</v>
      </c>
      <c r="X3964">
        <v>976</v>
      </c>
      <c r="Y3964">
        <v>0</v>
      </c>
      <c r="Z3964"/>
      <c r="AB3964"/>
      <c r="AC3964">
        <v>800</v>
      </c>
      <c r="AD3964">
        <v>31</v>
      </c>
      <c r="AE3964" s="1">
        <v>24800</v>
      </c>
      <c r="AF3964">
        <v>0</v>
      </c>
      <c r="AJ3964">
        <v>0</v>
      </c>
      <c r="AK3964">
        <v>0</v>
      </c>
      <c r="AL3964">
        <v>0</v>
      </c>
      <c r="AM3964">
        <v>0</v>
      </c>
      <c r="AN3964">
        <v>0</v>
      </c>
      <c r="AO3964">
        <v>0</v>
      </c>
      <c r="AP3964" s="2">
        <v>42746</v>
      </c>
      <c r="AQ3964" t="s">
        <v>72</v>
      </c>
      <c r="AR3964" t="s">
        <v>72</v>
      </c>
      <c r="AS3964">
        <v>338</v>
      </c>
      <c r="AT3964" s="4">
        <v>42410</v>
      </c>
      <c r="AU3964" t="s">
        <v>73</v>
      </c>
      <c r="AV3964">
        <v>338</v>
      </c>
      <c r="AW3964" s="4">
        <v>42410</v>
      </c>
      <c r="BD3964">
        <v>0</v>
      </c>
      <c r="BN3964" t="s">
        <v>74</v>
      </c>
    </row>
    <row r="3965" spans="1:66" hidden="1">
      <c r="A3965">
        <v>101474</v>
      </c>
      <c r="B3965" s="3" t="s">
        <v>439</v>
      </c>
      <c r="C3965" s="1">
        <v>43300101</v>
      </c>
      <c r="D3965" t="s">
        <v>67</v>
      </c>
      <c r="H3965" t="str">
        <f t="shared" si="429"/>
        <v>09971540159</v>
      </c>
      <c r="I3965" t="str">
        <f t="shared" si="429"/>
        <v>09971540159</v>
      </c>
      <c r="K3965" t="str">
        <f>""</f>
        <v/>
      </c>
      <c r="M3965" t="s">
        <v>68</v>
      </c>
      <c r="N3965" t="str">
        <f t="shared" si="428"/>
        <v>FOR</v>
      </c>
      <c r="O3965" t="s">
        <v>69</v>
      </c>
      <c r="P3965" s="3" t="s">
        <v>75</v>
      </c>
      <c r="Q3965">
        <v>2016</v>
      </c>
      <c r="R3965" s="2">
        <v>42450</v>
      </c>
      <c r="S3965" s="2">
        <v>42464</v>
      </c>
      <c r="T3965" s="2">
        <v>42459</v>
      </c>
      <c r="U3965" s="2">
        <v>42519</v>
      </c>
      <c r="V3965" t="s">
        <v>71</v>
      </c>
      <c r="W3965" t="str">
        <f>"               822/T"</f>
        <v xml:space="preserve">               822/T</v>
      </c>
      <c r="X3965" s="1">
        <v>1171.2</v>
      </c>
      <c r="Y3965">
        <v>0</v>
      </c>
      <c r="Z3965"/>
      <c r="AB3965"/>
      <c r="AC3965">
        <v>960</v>
      </c>
      <c r="AD3965">
        <v>58</v>
      </c>
      <c r="AE3965" s="1">
        <v>55680</v>
      </c>
      <c r="AF3965">
        <v>0</v>
      </c>
      <c r="AJ3965">
        <v>0</v>
      </c>
      <c r="AK3965">
        <v>0</v>
      </c>
      <c r="AL3965">
        <v>0</v>
      </c>
      <c r="AM3965" s="1">
        <v>1171.2</v>
      </c>
      <c r="AN3965" s="1">
        <v>1171.2</v>
      </c>
      <c r="AO3965" s="1">
        <v>1171.2</v>
      </c>
      <c r="AP3965" s="2">
        <v>42746</v>
      </c>
      <c r="AQ3965" t="s">
        <v>72</v>
      </c>
      <c r="AR3965" t="s">
        <v>72</v>
      </c>
      <c r="AS3965">
        <v>1957</v>
      </c>
      <c r="AT3965" s="4">
        <v>42577</v>
      </c>
      <c r="AU3965" t="s">
        <v>73</v>
      </c>
      <c r="AV3965">
        <v>1957</v>
      </c>
      <c r="AW3965" s="4">
        <v>42577</v>
      </c>
      <c r="BD3965">
        <v>0</v>
      </c>
      <c r="BN3965" t="s">
        <v>74</v>
      </c>
    </row>
    <row r="3966" spans="1:66" hidden="1">
      <c r="A3966">
        <v>101474</v>
      </c>
      <c r="B3966" s="3" t="s">
        <v>439</v>
      </c>
      <c r="C3966" s="1">
        <v>43300101</v>
      </c>
      <c r="D3966" t="s">
        <v>67</v>
      </c>
      <c r="H3966" t="str">
        <f t="shared" si="429"/>
        <v>09971540159</v>
      </c>
      <c r="I3966" t="str">
        <f t="shared" si="429"/>
        <v>09971540159</v>
      </c>
      <c r="K3966" t="str">
        <f>""</f>
        <v/>
      </c>
      <c r="M3966" t="s">
        <v>68</v>
      </c>
      <c r="N3966" t="str">
        <f t="shared" si="428"/>
        <v>FOR</v>
      </c>
      <c r="O3966" t="s">
        <v>69</v>
      </c>
      <c r="P3966" s="3" t="s">
        <v>75</v>
      </c>
      <c r="Q3966">
        <v>2016</v>
      </c>
      <c r="R3966" s="2">
        <v>42489</v>
      </c>
      <c r="S3966" s="2">
        <v>42506</v>
      </c>
      <c r="T3966" s="2">
        <v>42503</v>
      </c>
      <c r="U3966" s="2">
        <v>42563</v>
      </c>
      <c r="V3966" t="s">
        <v>71</v>
      </c>
      <c r="W3966" t="str">
        <f>"              1397/T"</f>
        <v xml:space="preserve">              1397/T</v>
      </c>
      <c r="X3966">
        <v>976</v>
      </c>
      <c r="Y3966">
        <v>0</v>
      </c>
      <c r="Z3966"/>
      <c r="AB3966"/>
      <c r="AC3966">
        <v>800</v>
      </c>
      <c r="AD3966">
        <v>14</v>
      </c>
      <c r="AE3966" s="1">
        <v>11200</v>
      </c>
      <c r="AF3966">
        <v>0</v>
      </c>
      <c r="AJ3966">
        <v>0</v>
      </c>
      <c r="AK3966">
        <v>0</v>
      </c>
      <c r="AL3966">
        <v>0</v>
      </c>
      <c r="AM3966">
        <v>976</v>
      </c>
      <c r="AN3966">
        <v>976</v>
      </c>
      <c r="AO3966">
        <v>976</v>
      </c>
      <c r="AP3966" s="2">
        <v>42746</v>
      </c>
      <c r="AQ3966" t="s">
        <v>72</v>
      </c>
      <c r="AR3966" t="s">
        <v>72</v>
      </c>
      <c r="AS3966">
        <v>1957</v>
      </c>
      <c r="AT3966" s="4">
        <v>42577</v>
      </c>
      <c r="AU3966" t="s">
        <v>73</v>
      </c>
      <c r="AV3966">
        <v>1957</v>
      </c>
      <c r="AW3966" s="4">
        <v>42577</v>
      </c>
      <c r="BD3966">
        <v>0</v>
      </c>
      <c r="BN3966" t="s">
        <v>74</v>
      </c>
    </row>
    <row r="3967" spans="1:66">
      <c r="A3967">
        <v>101474</v>
      </c>
      <c r="B3967" s="3" t="s">
        <v>439</v>
      </c>
      <c r="C3967" s="1">
        <v>43300101</v>
      </c>
      <c r="D3967" t="s">
        <v>67</v>
      </c>
      <c r="H3967" t="str">
        <f t="shared" si="429"/>
        <v>09971540159</v>
      </c>
      <c r="I3967" t="str">
        <f t="shared" si="429"/>
        <v>09971540159</v>
      </c>
      <c r="K3967" t="str">
        <f>""</f>
        <v/>
      </c>
      <c r="M3967" t="s">
        <v>68</v>
      </c>
      <c r="N3967" t="str">
        <f t="shared" si="428"/>
        <v>FOR</v>
      </c>
      <c r="O3967" t="s">
        <v>69</v>
      </c>
      <c r="P3967" s="3" t="s">
        <v>75</v>
      </c>
      <c r="Q3967">
        <v>2016</v>
      </c>
      <c r="R3967" s="2">
        <v>42643</v>
      </c>
      <c r="S3967" s="2">
        <v>42654</v>
      </c>
      <c r="T3967" s="2">
        <v>42646</v>
      </c>
      <c r="U3967" s="2">
        <v>42706</v>
      </c>
      <c r="V3967" t="s">
        <v>71</v>
      </c>
      <c r="W3967" t="str">
        <f>"              3052/T"</f>
        <v xml:space="preserve">              3052/T</v>
      </c>
      <c r="X3967">
        <v>780.8</v>
      </c>
      <c r="Y3967">
        <v>0</v>
      </c>
      <c r="Z3967" s="3">
        <v>640</v>
      </c>
      <c r="AA3967">
        <v>-18</v>
      </c>
      <c r="AB3967" s="5">
        <v>-11520</v>
      </c>
      <c r="AC3967">
        <v>640</v>
      </c>
      <c r="AD3967">
        <v>-18</v>
      </c>
      <c r="AE3967" s="1">
        <v>-11520</v>
      </c>
      <c r="AF3967">
        <v>0</v>
      </c>
      <c r="AJ3967">
        <v>780.8</v>
      </c>
      <c r="AK3967">
        <v>780.8</v>
      </c>
      <c r="AL3967">
        <v>0</v>
      </c>
      <c r="AM3967">
        <v>780.8</v>
      </c>
      <c r="AN3967">
        <v>780.8</v>
      </c>
      <c r="AO3967">
        <v>780.8</v>
      </c>
      <c r="AP3967" s="2">
        <v>42746</v>
      </c>
      <c r="AQ3967" t="s">
        <v>72</v>
      </c>
      <c r="AR3967" t="s">
        <v>72</v>
      </c>
      <c r="AS3967">
        <v>3086</v>
      </c>
      <c r="AT3967" s="4">
        <v>42688</v>
      </c>
      <c r="AV3967">
        <v>3086</v>
      </c>
      <c r="AW3967" s="4">
        <v>42688</v>
      </c>
      <c r="BD3967">
        <v>0</v>
      </c>
      <c r="BN3967" t="s">
        <v>74</v>
      </c>
    </row>
    <row r="3968" spans="1:66" hidden="1">
      <c r="A3968">
        <v>101476</v>
      </c>
      <c r="B3968" s="3" t="s">
        <v>440</v>
      </c>
      <c r="C3968" s="1">
        <v>43500101</v>
      </c>
      <c r="D3968" t="s">
        <v>113</v>
      </c>
      <c r="H3968" t="str">
        <f t="shared" ref="H3968:I3987" si="430">"06363391001"</f>
        <v>06363391001</v>
      </c>
      <c r="I3968" t="str">
        <f t="shared" si="430"/>
        <v>06363391001</v>
      </c>
      <c r="K3968" t="str">
        <f>""</f>
        <v/>
      </c>
      <c r="M3968" t="s">
        <v>68</v>
      </c>
      <c r="N3968" t="str">
        <f t="shared" ref="N3968:N3987" si="431">"ALT"</f>
        <v>ALT</v>
      </c>
      <c r="O3968" t="s">
        <v>114</v>
      </c>
      <c r="P3968" s="3" t="s">
        <v>441</v>
      </c>
      <c r="Q3968">
        <v>2016</v>
      </c>
      <c r="R3968" s="2">
        <v>42389</v>
      </c>
      <c r="S3968" s="2">
        <v>42389</v>
      </c>
      <c r="T3968" s="2">
        <v>42389</v>
      </c>
      <c r="U3968" s="2">
        <v>42449</v>
      </c>
      <c r="V3968" t="s">
        <v>71</v>
      </c>
      <c r="W3968" t="str">
        <f>"                   2"</f>
        <v xml:space="preserve">                   2</v>
      </c>
      <c r="X3968">
        <v>0</v>
      </c>
      <c r="Y3968" s="1">
        <v>2272.96</v>
      </c>
      <c r="Z3968"/>
      <c r="AB3968"/>
      <c r="AC3968" s="1">
        <v>2272.96</v>
      </c>
      <c r="AD3968">
        <v>-60</v>
      </c>
      <c r="AE3968" s="1">
        <v>-136377.60000000001</v>
      </c>
      <c r="AF3968">
        <v>0</v>
      </c>
      <c r="AJ3968">
        <v>0</v>
      </c>
      <c r="AK3968">
        <v>0</v>
      </c>
      <c r="AL3968">
        <v>0</v>
      </c>
      <c r="AM3968" s="1">
        <v>2272.96</v>
      </c>
      <c r="AN3968" s="1">
        <v>2272.96</v>
      </c>
      <c r="AO3968" s="1">
        <v>2272.96</v>
      </c>
      <c r="AP3968" s="2">
        <v>42746</v>
      </c>
      <c r="AQ3968" t="s">
        <v>72</v>
      </c>
      <c r="AR3968" t="s">
        <v>72</v>
      </c>
      <c r="AS3968">
        <v>11</v>
      </c>
      <c r="AT3968" s="4">
        <v>42389</v>
      </c>
      <c r="AV3968">
        <v>11</v>
      </c>
      <c r="AW3968" s="4">
        <v>42389</v>
      </c>
      <c r="BD3968">
        <v>0</v>
      </c>
      <c r="BN3968" t="s">
        <v>74</v>
      </c>
    </row>
    <row r="3969" spans="1:66" hidden="1">
      <c r="A3969">
        <v>101476</v>
      </c>
      <c r="B3969" s="3" t="s">
        <v>440</v>
      </c>
      <c r="C3969" s="1">
        <v>43500101</v>
      </c>
      <c r="D3969" t="s">
        <v>113</v>
      </c>
      <c r="H3969" t="str">
        <f t="shared" si="430"/>
        <v>06363391001</v>
      </c>
      <c r="I3969" t="str">
        <f t="shared" si="430"/>
        <v>06363391001</v>
      </c>
      <c r="K3969" t="str">
        <f>""</f>
        <v/>
      </c>
      <c r="M3969" t="s">
        <v>68</v>
      </c>
      <c r="N3969" t="str">
        <f t="shared" si="431"/>
        <v>ALT</v>
      </c>
      <c r="O3969" t="s">
        <v>114</v>
      </c>
      <c r="P3969" s="3" t="s">
        <v>442</v>
      </c>
      <c r="Q3969">
        <v>2016</v>
      </c>
      <c r="R3969" s="2">
        <v>42394</v>
      </c>
      <c r="S3969" s="2">
        <v>42394</v>
      </c>
      <c r="T3969" s="2">
        <v>42394</v>
      </c>
      <c r="U3969" s="2">
        <v>42454</v>
      </c>
      <c r="V3969" t="s">
        <v>71</v>
      </c>
      <c r="W3969" t="str">
        <f>"                   7"</f>
        <v xml:space="preserve">                   7</v>
      </c>
      <c r="X3969">
        <v>0</v>
      </c>
      <c r="Y3969" s="1">
        <v>2847.69</v>
      </c>
      <c r="Z3969"/>
      <c r="AB3969"/>
      <c r="AC3969" s="1">
        <v>2847.69</v>
      </c>
      <c r="AD3969">
        <v>-59</v>
      </c>
      <c r="AE3969" s="1">
        <v>-168013.71</v>
      </c>
      <c r="AF3969">
        <v>0</v>
      </c>
      <c r="AJ3969">
        <v>0</v>
      </c>
      <c r="AK3969">
        <v>0</v>
      </c>
      <c r="AL3969">
        <v>0</v>
      </c>
      <c r="AM3969" s="1">
        <v>2847.69</v>
      </c>
      <c r="AN3969" s="1">
        <v>2847.69</v>
      </c>
      <c r="AO3969" s="1">
        <v>2847.69</v>
      </c>
      <c r="AP3969" s="2">
        <v>42746</v>
      </c>
      <c r="AQ3969" t="s">
        <v>72</v>
      </c>
      <c r="AR3969" t="s">
        <v>72</v>
      </c>
      <c r="AS3969">
        <v>98</v>
      </c>
      <c r="AT3969" s="4">
        <v>42395</v>
      </c>
      <c r="AV3969">
        <v>98</v>
      </c>
      <c r="AW3969" s="4">
        <v>42395</v>
      </c>
      <c r="BD3969">
        <v>0</v>
      </c>
      <c r="BN3969" t="s">
        <v>74</v>
      </c>
    </row>
    <row r="3970" spans="1:66" hidden="1">
      <c r="A3970">
        <v>101476</v>
      </c>
      <c r="B3970" s="3" t="s">
        <v>440</v>
      </c>
      <c r="C3970" s="1">
        <v>43500101</v>
      </c>
      <c r="D3970" t="s">
        <v>113</v>
      </c>
      <c r="H3970" t="str">
        <f t="shared" si="430"/>
        <v>06363391001</v>
      </c>
      <c r="I3970" t="str">
        <f t="shared" si="430"/>
        <v>06363391001</v>
      </c>
      <c r="K3970" t="str">
        <f>""</f>
        <v/>
      </c>
      <c r="M3970" t="s">
        <v>68</v>
      </c>
      <c r="N3970" t="str">
        <f t="shared" si="431"/>
        <v>ALT</v>
      </c>
      <c r="O3970" t="s">
        <v>114</v>
      </c>
      <c r="P3970" s="3" t="s">
        <v>269</v>
      </c>
      <c r="Q3970">
        <v>2016</v>
      </c>
      <c r="R3970" s="2">
        <v>42443</v>
      </c>
      <c r="S3970" s="2">
        <v>42443</v>
      </c>
      <c r="T3970" s="2">
        <v>42443</v>
      </c>
      <c r="U3970" s="2">
        <v>42503</v>
      </c>
      <c r="V3970" t="s">
        <v>71</v>
      </c>
      <c r="W3970" t="str">
        <f>"                  62"</f>
        <v xml:space="preserve">                  62</v>
      </c>
      <c r="X3970">
        <v>0</v>
      </c>
      <c r="Y3970" s="1">
        <v>6702.66</v>
      </c>
      <c r="Z3970"/>
      <c r="AB3970"/>
      <c r="AC3970" s="1">
        <v>6702.66</v>
      </c>
      <c r="AD3970">
        <v>-60</v>
      </c>
      <c r="AE3970" s="1">
        <v>-402159.6</v>
      </c>
      <c r="AF3970">
        <v>0</v>
      </c>
      <c r="AJ3970">
        <v>0</v>
      </c>
      <c r="AK3970">
        <v>0</v>
      </c>
      <c r="AL3970">
        <v>0</v>
      </c>
      <c r="AM3970" s="1">
        <v>6702.66</v>
      </c>
      <c r="AN3970" s="1">
        <v>6702.66</v>
      </c>
      <c r="AO3970" s="1">
        <v>6702.66</v>
      </c>
      <c r="AP3970" s="2">
        <v>42746</v>
      </c>
      <c r="AQ3970" t="s">
        <v>72</v>
      </c>
      <c r="AR3970" t="s">
        <v>72</v>
      </c>
      <c r="AS3970">
        <v>690</v>
      </c>
      <c r="AT3970" s="4">
        <v>42443</v>
      </c>
      <c r="AV3970">
        <v>690</v>
      </c>
      <c r="AW3970" s="4">
        <v>42443</v>
      </c>
      <c r="BD3970">
        <v>0</v>
      </c>
      <c r="BN3970" t="s">
        <v>74</v>
      </c>
    </row>
    <row r="3971" spans="1:66" hidden="1">
      <c r="A3971">
        <v>101476</v>
      </c>
      <c r="B3971" s="3" t="s">
        <v>440</v>
      </c>
      <c r="C3971" s="1">
        <v>43500101</v>
      </c>
      <c r="D3971" t="s">
        <v>113</v>
      </c>
      <c r="H3971" t="str">
        <f t="shared" si="430"/>
        <v>06363391001</v>
      </c>
      <c r="I3971" t="str">
        <f t="shared" si="430"/>
        <v>06363391001</v>
      </c>
      <c r="K3971" t="str">
        <f>""</f>
        <v/>
      </c>
      <c r="M3971" t="s">
        <v>68</v>
      </c>
      <c r="N3971" t="str">
        <f t="shared" si="431"/>
        <v>ALT</v>
      </c>
      <c r="O3971" t="s">
        <v>114</v>
      </c>
      <c r="P3971" s="3" t="s">
        <v>443</v>
      </c>
      <c r="Q3971">
        <v>2016</v>
      </c>
      <c r="R3971" s="2">
        <v>42459</v>
      </c>
      <c r="S3971" s="2">
        <v>42459</v>
      </c>
      <c r="T3971" s="2">
        <v>42459</v>
      </c>
      <c r="U3971" s="2">
        <v>42519</v>
      </c>
      <c r="V3971" t="s">
        <v>71</v>
      </c>
      <c r="W3971" t="str">
        <f>"                  65"</f>
        <v xml:space="preserve">                  65</v>
      </c>
      <c r="X3971">
        <v>0</v>
      </c>
      <c r="Y3971">
        <v>200</v>
      </c>
      <c r="Z3971"/>
      <c r="AB3971"/>
      <c r="AC3971">
        <v>200</v>
      </c>
      <c r="AD3971">
        <v>-60</v>
      </c>
      <c r="AE3971" s="1">
        <v>-12000</v>
      </c>
      <c r="AF3971">
        <v>0</v>
      </c>
      <c r="AJ3971">
        <v>0</v>
      </c>
      <c r="AK3971">
        <v>0</v>
      </c>
      <c r="AL3971">
        <v>0</v>
      </c>
      <c r="AM3971">
        <v>200</v>
      </c>
      <c r="AN3971">
        <v>200</v>
      </c>
      <c r="AO3971">
        <v>200</v>
      </c>
      <c r="AP3971" s="2">
        <v>42746</v>
      </c>
      <c r="AQ3971" t="s">
        <v>72</v>
      </c>
      <c r="AR3971" t="s">
        <v>72</v>
      </c>
      <c r="AS3971">
        <v>978</v>
      </c>
      <c r="AT3971" s="4">
        <v>42459</v>
      </c>
      <c r="AV3971">
        <v>978</v>
      </c>
      <c r="AW3971" s="4">
        <v>42459</v>
      </c>
      <c r="BD3971">
        <v>0</v>
      </c>
      <c r="BN3971" t="s">
        <v>74</v>
      </c>
    </row>
    <row r="3972" spans="1:66" hidden="1">
      <c r="A3972">
        <v>101476</v>
      </c>
      <c r="B3972" s="3" t="s">
        <v>440</v>
      </c>
      <c r="C3972" s="1">
        <v>43500101</v>
      </c>
      <c r="D3972" t="s">
        <v>113</v>
      </c>
      <c r="H3972" t="str">
        <f t="shared" si="430"/>
        <v>06363391001</v>
      </c>
      <c r="I3972" t="str">
        <f t="shared" si="430"/>
        <v>06363391001</v>
      </c>
      <c r="K3972" t="str">
        <f>""</f>
        <v/>
      </c>
      <c r="M3972" t="s">
        <v>68</v>
      </c>
      <c r="N3972" t="str">
        <f t="shared" si="431"/>
        <v>ALT</v>
      </c>
      <c r="O3972" t="s">
        <v>114</v>
      </c>
      <c r="P3972" s="3" t="s">
        <v>444</v>
      </c>
      <c r="Q3972">
        <v>2016</v>
      </c>
      <c r="R3972" s="2">
        <v>42479</v>
      </c>
      <c r="S3972" s="2">
        <v>42479</v>
      </c>
      <c r="T3972" s="2">
        <v>42479</v>
      </c>
      <c r="U3972" s="2">
        <v>42539</v>
      </c>
      <c r="V3972" t="s">
        <v>71</v>
      </c>
      <c r="W3972" t="str">
        <f>"                  86"</f>
        <v xml:space="preserve">                  86</v>
      </c>
      <c r="X3972">
        <v>0</v>
      </c>
      <c r="Y3972" s="1">
        <v>1318.48</v>
      </c>
      <c r="Z3972"/>
      <c r="AB3972"/>
      <c r="AC3972" s="1">
        <v>1318.48</v>
      </c>
      <c r="AD3972">
        <v>-60</v>
      </c>
      <c r="AE3972" s="1">
        <v>-79108.800000000003</v>
      </c>
      <c r="AF3972">
        <v>0</v>
      </c>
      <c r="AJ3972">
        <v>0</v>
      </c>
      <c r="AK3972">
        <v>0</v>
      </c>
      <c r="AL3972">
        <v>0</v>
      </c>
      <c r="AM3972" s="1">
        <v>1318.48</v>
      </c>
      <c r="AN3972" s="1">
        <v>1318.48</v>
      </c>
      <c r="AO3972" s="1">
        <v>1318.48</v>
      </c>
      <c r="AP3972" s="2">
        <v>42746</v>
      </c>
      <c r="AQ3972" t="s">
        <v>72</v>
      </c>
      <c r="AR3972" t="s">
        <v>72</v>
      </c>
      <c r="AS3972">
        <v>1025</v>
      </c>
      <c r="AT3972" s="4">
        <v>42479</v>
      </c>
      <c r="AV3972">
        <v>1025</v>
      </c>
      <c r="AW3972" s="4">
        <v>42479</v>
      </c>
      <c r="BD3972">
        <v>0</v>
      </c>
      <c r="BN3972" t="s">
        <v>74</v>
      </c>
    </row>
    <row r="3973" spans="1:66" hidden="1">
      <c r="A3973">
        <v>101476</v>
      </c>
      <c r="B3973" s="3" t="s">
        <v>440</v>
      </c>
      <c r="C3973" s="1">
        <v>43500101</v>
      </c>
      <c r="D3973" t="s">
        <v>113</v>
      </c>
      <c r="H3973" t="str">
        <f t="shared" si="430"/>
        <v>06363391001</v>
      </c>
      <c r="I3973" t="str">
        <f t="shared" si="430"/>
        <v>06363391001</v>
      </c>
      <c r="K3973" t="str">
        <f>""</f>
        <v/>
      </c>
      <c r="M3973" t="s">
        <v>68</v>
      </c>
      <c r="N3973" t="str">
        <f t="shared" si="431"/>
        <v>ALT</v>
      </c>
      <c r="O3973" t="s">
        <v>114</v>
      </c>
      <c r="P3973" s="3" t="s">
        <v>445</v>
      </c>
      <c r="Q3973">
        <v>2016</v>
      </c>
      <c r="R3973" s="2">
        <v>42494</v>
      </c>
      <c r="S3973" s="2">
        <v>42494</v>
      </c>
      <c r="T3973" s="2">
        <v>42494</v>
      </c>
      <c r="U3973" s="2">
        <v>42554</v>
      </c>
      <c r="V3973" t="s">
        <v>71</v>
      </c>
      <c r="W3973" t="str">
        <f>"                 109"</f>
        <v xml:space="preserve">                 109</v>
      </c>
      <c r="X3973">
        <v>0</v>
      </c>
      <c r="Y3973" s="1">
        <v>3814.66</v>
      </c>
      <c r="Z3973"/>
      <c r="AB3973"/>
      <c r="AC3973" s="1">
        <v>3814.66</v>
      </c>
      <c r="AD3973">
        <v>-60</v>
      </c>
      <c r="AE3973" s="1">
        <v>-228879.6</v>
      </c>
      <c r="AF3973">
        <v>0</v>
      </c>
      <c r="AJ3973">
        <v>0</v>
      </c>
      <c r="AK3973">
        <v>0</v>
      </c>
      <c r="AL3973">
        <v>0</v>
      </c>
      <c r="AM3973" s="1">
        <v>3814.66</v>
      </c>
      <c r="AN3973" s="1">
        <v>3814.66</v>
      </c>
      <c r="AO3973" s="1">
        <v>3814.66</v>
      </c>
      <c r="AP3973" s="2">
        <v>42746</v>
      </c>
      <c r="AQ3973" t="s">
        <v>72</v>
      </c>
      <c r="AR3973" t="s">
        <v>72</v>
      </c>
      <c r="AS3973">
        <v>1257</v>
      </c>
      <c r="AT3973" s="4">
        <v>42494</v>
      </c>
      <c r="AV3973">
        <v>1257</v>
      </c>
      <c r="AW3973" s="4">
        <v>42494</v>
      </c>
      <c r="BD3973">
        <v>0</v>
      </c>
      <c r="BN3973" t="s">
        <v>74</v>
      </c>
    </row>
    <row r="3974" spans="1:66" hidden="1">
      <c r="A3974">
        <v>101476</v>
      </c>
      <c r="B3974" s="3" t="s">
        <v>440</v>
      </c>
      <c r="C3974" s="1">
        <v>43500101</v>
      </c>
      <c r="D3974" t="s">
        <v>113</v>
      </c>
      <c r="H3974" t="str">
        <f t="shared" si="430"/>
        <v>06363391001</v>
      </c>
      <c r="I3974" t="str">
        <f t="shared" si="430"/>
        <v>06363391001</v>
      </c>
      <c r="K3974" t="str">
        <f>""</f>
        <v/>
      </c>
      <c r="M3974" t="s">
        <v>68</v>
      </c>
      <c r="N3974" t="str">
        <f t="shared" si="431"/>
        <v>ALT</v>
      </c>
      <c r="O3974" t="s">
        <v>114</v>
      </c>
      <c r="P3974" s="3" t="s">
        <v>441</v>
      </c>
      <c r="Q3974">
        <v>2016</v>
      </c>
      <c r="R3974" s="2">
        <v>42506</v>
      </c>
      <c r="S3974" s="2">
        <v>42506</v>
      </c>
      <c r="T3974" s="2">
        <v>42506</v>
      </c>
      <c r="U3974" s="2">
        <v>42566</v>
      </c>
      <c r="V3974" t="s">
        <v>71</v>
      </c>
      <c r="W3974" t="str">
        <f>"                 112"</f>
        <v xml:space="preserve">                 112</v>
      </c>
      <c r="X3974">
        <v>0</v>
      </c>
      <c r="Y3974">
        <v>631.16</v>
      </c>
      <c r="Z3974"/>
      <c r="AB3974"/>
      <c r="AC3974">
        <v>631.16</v>
      </c>
      <c r="AD3974">
        <v>-46</v>
      </c>
      <c r="AE3974" s="1">
        <v>-29033.360000000001</v>
      </c>
      <c r="AF3974">
        <v>0</v>
      </c>
      <c r="AJ3974">
        <v>0</v>
      </c>
      <c r="AK3974">
        <v>0</v>
      </c>
      <c r="AL3974">
        <v>0</v>
      </c>
      <c r="AM3974">
        <v>631.16</v>
      </c>
      <c r="AN3974">
        <v>631.16</v>
      </c>
      <c r="AO3974">
        <v>631.16</v>
      </c>
      <c r="AP3974" s="2">
        <v>42746</v>
      </c>
      <c r="AQ3974" t="s">
        <v>72</v>
      </c>
      <c r="AR3974" t="s">
        <v>72</v>
      </c>
      <c r="AS3974">
        <v>1474</v>
      </c>
      <c r="AT3974" s="4">
        <v>42520</v>
      </c>
      <c r="AV3974">
        <v>1474</v>
      </c>
      <c r="AW3974" s="4">
        <v>42520</v>
      </c>
      <c r="BD3974">
        <v>0</v>
      </c>
      <c r="BN3974" t="s">
        <v>74</v>
      </c>
    </row>
    <row r="3975" spans="1:66" hidden="1">
      <c r="A3975">
        <v>101476</v>
      </c>
      <c r="B3975" s="3" t="s">
        <v>440</v>
      </c>
      <c r="C3975" s="1">
        <v>43500101</v>
      </c>
      <c r="D3975" t="s">
        <v>113</v>
      </c>
      <c r="H3975" t="str">
        <f t="shared" si="430"/>
        <v>06363391001</v>
      </c>
      <c r="I3975" t="str">
        <f t="shared" si="430"/>
        <v>06363391001</v>
      </c>
      <c r="K3975" t="str">
        <f>""</f>
        <v/>
      </c>
      <c r="M3975" t="s">
        <v>68</v>
      </c>
      <c r="N3975" t="str">
        <f t="shared" si="431"/>
        <v>ALT</v>
      </c>
      <c r="O3975" t="s">
        <v>114</v>
      </c>
      <c r="P3975" s="3" t="s">
        <v>446</v>
      </c>
      <c r="Q3975">
        <v>2016</v>
      </c>
      <c r="R3975" s="2">
        <v>42516</v>
      </c>
      <c r="S3975" s="2">
        <v>42516</v>
      </c>
      <c r="T3975" s="2">
        <v>42516</v>
      </c>
      <c r="U3975" s="2">
        <v>42576</v>
      </c>
      <c r="V3975" t="s">
        <v>71</v>
      </c>
      <c r="W3975" t="str">
        <f>"                 132"</f>
        <v xml:space="preserve">                 132</v>
      </c>
      <c r="X3975">
        <v>0</v>
      </c>
      <c r="Y3975" s="1">
        <v>2193.0300000000002</v>
      </c>
      <c r="Z3975"/>
      <c r="AB3975"/>
      <c r="AC3975" s="1">
        <v>2193.0300000000002</v>
      </c>
      <c r="AD3975">
        <v>-49</v>
      </c>
      <c r="AE3975" s="1">
        <v>-107458.47</v>
      </c>
      <c r="AF3975">
        <v>0</v>
      </c>
      <c r="AJ3975">
        <v>0</v>
      </c>
      <c r="AK3975">
        <v>0</v>
      </c>
      <c r="AL3975">
        <v>0</v>
      </c>
      <c r="AM3975" s="1">
        <v>2193.0300000000002</v>
      </c>
      <c r="AN3975" s="1">
        <v>2193.0300000000002</v>
      </c>
      <c r="AO3975" s="1">
        <v>2193.0300000000002</v>
      </c>
      <c r="AP3975" s="2">
        <v>42746</v>
      </c>
      <c r="AQ3975" t="s">
        <v>72</v>
      </c>
      <c r="AR3975" t="s">
        <v>72</v>
      </c>
      <c r="AS3975">
        <v>1479</v>
      </c>
      <c r="AT3975" s="4">
        <v>42527</v>
      </c>
      <c r="AV3975">
        <v>1479</v>
      </c>
      <c r="AW3975" s="4">
        <v>42527</v>
      </c>
      <c r="BD3975">
        <v>0</v>
      </c>
      <c r="BN3975" t="s">
        <v>74</v>
      </c>
    </row>
    <row r="3976" spans="1:66" hidden="1">
      <c r="A3976">
        <v>101476</v>
      </c>
      <c r="B3976" s="3" t="s">
        <v>440</v>
      </c>
      <c r="C3976" s="1">
        <v>43500101</v>
      </c>
      <c r="D3976" t="s">
        <v>113</v>
      </c>
      <c r="H3976" t="str">
        <f t="shared" si="430"/>
        <v>06363391001</v>
      </c>
      <c r="I3976" t="str">
        <f t="shared" si="430"/>
        <v>06363391001</v>
      </c>
      <c r="K3976" t="str">
        <f>""</f>
        <v/>
      </c>
      <c r="M3976" t="s">
        <v>68</v>
      </c>
      <c r="N3976" t="str">
        <f t="shared" si="431"/>
        <v>ALT</v>
      </c>
      <c r="O3976" t="s">
        <v>114</v>
      </c>
      <c r="P3976" s="3" t="s">
        <v>447</v>
      </c>
      <c r="Q3976">
        <v>2016</v>
      </c>
      <c r="R3976" s="2">
        <v>42542</v>
      </c>
      <c r="S3976" s="2">
        <v>42542</v>
      </c>
      <c r="T3976" s="2">
        <v>42542</v>
      </c>
      <c r="U3976" s="2">
        <v>42602</v>
      </c>
      <c r="V3976" t="s">
        <v>71</v>
      </c>
      <c r="W3976" t="str">
        <f>"                 144"</f>
        <v xml:space="preserve">                 144</v>
      </c>
      <c r="X3976">
        <v>0</v>
      </c>
      <c r="Y3976">
        <v>13.53</v>
      </c>
      <c r="Z3976"/>
      <c r="AB3976"/>
      <c r="AC3976">
        <v>13.53</v>
      </c>
      <c r="AD3976">
        <v>-60</v>
      </c>
      <c r="AE3976">
        <v>-811.8</v>
      </c>
      <c r="AF3976">
        <v>0</v>
      </c>
      <c r="AJ3976">
        <v>0</v>
      </c>
      <c r="AK3976">
        <v>0</v>
      </c>
      <c r="AL3976">
        <v>0</v>
      </c>
      <c r="AM3976">
        <v>13.53</v>
      </c>
      <c r="AN3976">
        <v>13.53</v>
      </c>
      <c r="AO3976">
        <v>13.53</v>
      </c>
      <c r="AP3976" s="2">
        <v>42746</v>
      </c>
      <c r="AQ3976" t="s">
        <v>72</v>
      </c>
      <c r="AR3976" t="s">
        <v>72</v>
      </c>
      <c r="AS3976">
        <v>1621</v>
      </c>
      <c r="AT3976" s="4">
        <v>42542</v>
      </c>
      <c r="AV3976">
        <v>1621</v>
      </c>
      <c r="AW3976" s="4">
        <v>42542</v>
      </c>
      <c r="BD3976">
        <v>0</v>
      </c>
      <c r="BN3976" t="s">
        <v>74</v>
      </c>
    </row>
    <row r="3977" spans="1:66" hidden="1">
      <c r="A3977">
        <v>101476</v>
      </c>
      <c r="B3977" s="3" t="s">
        <v>440</v>
      </c>
      <c r="C3977" s="1">
        <v>43500101</v>
      </c>
      <c r="D3977" t="s">
        <v>113</v>
      </c>
      <c r="H3977" t="str">
        <f t="shared" si="430"/>
        <v>06363391001</v>
      </c>
      <c r="I3977" t="str">
        <f t="shared" si="430"/>
        <v>06363391001</v>
      </c>
      <c r="K3977" t="str">
        <f>""</f>
        <v/>
      </c>
      <c r="M3977" t="s">
        <v>68</v>
      </c>
      <c r="N3977" t="str">
        <f t="shared" si="431"/>
        <v>ALT</v>
      </c>
      <c r="O3977" t="s">
        <v>114</v>
      </c>
      <c r="P3977" s="3" t="s">
        <v>447</v>
      </c>
      <c r="Q3977">
        <v>2016</v>
      </c>
      <c r="R3977" s="2">
        <v>42542</v>
      </c>
      <c r="S3977" s="2">
        <v>42542</v>
      </c>
      <c r="T3977" s="2">
        <v>42542</v>
      </c>
      <c r="U3977" s="2">
        <v>42602</v>
      </c>
      <c r="V3977" t="s">
        <v>71</v>
      </c>
      <c r="W3977" t="str">
        <f>"                 145"</f>
        <v xml:space="preserve">                 145</v>
      </c>
      <c r="X3977">
        <v>0</v>
      </c>
      <c r="Y3977">
        <v>5.79</v>
      </c>
      <c r="Z3977"/>
      <c r="AB3977"/>
      <c r="AC3977">
        <v>5.79</v>
      </c>
      <c r="AD3977">
        <v>-60</v>
      </c>
      <c r="AE3977">
        <v>-347.4</v>
      </c>
      <c r="AF3977">
        <v>0</v>
      </c>
      <c r="AJ3977">
        <v>0</v>
      </c>
      <c r="AK3977">
        <v>0</v>
      </c>
      <c r="AL3977">
        <v>0</v>
      </c>
      <c r="AM3977">
        <v>5.79</v>
      </c>
      <c r="AN3977">
        <v>5.79</v>
      </c>
      <c r="AO3977">
        <v>5.79</v>
      </c>
      <c r="AP3977" s="2">
        <v>42746</v>
      </c>
      <c r="AQ3977" t="s">
        <v>72</v>
      </c>
      <c r="AR3977" t="s">
        <v>72</v>
      </c>
      <c r="AS3977">
        <v>1623</v>
      </c>
      <c r="AT3977" s="4">
        <v>42542</v>
      </c>
      <c r="AV3977">
        <v>1623</v>
      </c>
      <c r="AW3977" s="4">
        <v>42542</v>
      </c>
      <c r="BD3977">
        <v>0</v>
      </c>
      <c r="BN3977" t="s">
        <v>74</v>
      </c>
    </row>
    <row r="3978" spans="1:66" hidden="1">
      <c r="A3978">
        <v>101476</v>
      </c>
      <c r="B3978" s="3" t="s">
        <v>440</v>
      </c>
      <c r="C3978" s="1">
        <v>43500101</v>
      </c>
      <c r="D3978" t="s">
        <v>113</v>
      </c>
      <c r="H3978" t="str">
        <f t="shared" si="430"/>
        <v>06363391001</v>
      </c>
      <c r="I3978" t="str">
        <f t="shared" si="430"/>
        <v>06363391001</v>
      </c>
      <c r="K3978" t="str">
        <f>""</f>
        <v/>
      </c>
      <c r="M3978" t="s">
        <v>68</v>
      </c>
      <c r="N3978" t="str">
        <f t="shared" si="431"/>
        <v>ALT</v>
      </c>
      <c r="O3978" t="s">
        <v>114</v>
      </c>
      <c r="P3978" s="3" t="s">
        <v>448</v>
      </c>
      <c r="Q3978">
        <v>2016</v>
      </c>
      <c r="R3978" s="2">
        <v>42559</v>
      </c>
      <c r="S3978" s="2">
        <v>42559</v>
      </c>
      <c r="T3978" s="2">
        <v>42559</v>
      </c>
      <c r="U3978" s="2">
        <v>42619</v>
      </c>
      <c r="V3978" t="s">
        <v>71</v>
      </c>
      <c r="W3978" t="str">
        <f>"                 161"</f>
        <v xml:space="preserve">                 161</v>
      </c>
      <c r="X3978">
        <v>0</v>
      </c>
      <c r="Y3978" s="1">
        <v>3814.66</v>
      </c>
      <c r="Z3978"/>
      <c r="AB3978"/>
      <c r="AC3978" s="1">
        <v>3814.66</v>
      </c>
      <c r="AD3978">
        <v>-56</v>
      </c>
      <c r="AE3978" s="1">
        <v>-213620.96</v>
      </c>
      <c r="AF3978">
        <v>0</v>
      </c>
      <c r="AJ3978">
        <v>0</v>
      </c>
      <c r="AK3978">
        <v>0</v>
      </c>
      <c r="AL3978">
        <v>0</v>
      </c>
      <c r="AM3978" s="1">
        <v>3814.66</v>
      </c>
      <c r="AN3978" s="1">
        <v>3814.66</v>
      </c>
      <c r="AO3978" s="1">
        <v>3814.66</v>
      </c>
      <c r="AP3978" s="2">
        <v>42746</v>
      </c>
      <c r="AQ3978" t="s">
        <v>72</v>
      </c>
      <c r="AR3978" t="s">
        <v>72</v>
      </c>
      <c r="AS3978">
        <v>1764</v>
      </c>
      <c r="AT3978" s="4">
        <v>42563</v>
      </c>
      <c r="AV3978">
        <v>1764</v>
      </c>
      <c r="AW3978" s="4">
        <v>42563</v>
      </c>
      <c r="BD3978">
        <v>0</v>
      </c>
      <c r="BN3978" t="s">
        <v>74</v>
      </c>
    </row>
    <row r="3979" spans="1:66" hidden="1">
      <c r="A3979">
        <v>101476</v>
      </c>
      <c r="B3979" s="3" t="s">
        <v>440</v>
      </c>
      <c r="C3979" s="1">
        <v>43500101</v>
      </c>
      <c r="D3979" t="s">
        <v>113</v>
      </c>
      <c r="H3979" t="str">
        <f t="shared" si="430"/>
        <v>06363391001</v>
      </c>
      <c r="I3979" t="str">
        <f t="shared" si="430"/>
        <v>06363391001</v>
      </c>
      <c r="K3979" t="str">
        <f>""</f>
        <v/>
      </c>
      <c r="M3979" t="s">
        <v>68</v>
      </c>
      <c r="N3979" t="str">
        <f t="shared" si="431"/>
        <v>ALT</v>
      </c>
      <c r="O3979" t="s">
        <v>114</v>
      </c>
      <c r="P3979" s="3" t="s">
        <v>441</v>
      </c>
      <c r="Q3979">
        <v>2016</v>
      </c>
      <c r="R3979" s="2">
        <v>42580</v>
      </c>
      <c r="S3979" s="2">
        <v>42580</v>
      </c>
      <c r="T3979" s="2">
        <v>42580</v>
      </c>
      <c r="U3979" s="2">
        <v>42640</v>
      </c>
      <c r="V3979" t="s">
        <v>71</v>
      </c>
      <c r="W3979" t="str">
        <f>"                 169"</f>
        <v xml:space="preserve">                 169</v>
      </c>
      <c r="X3979">
        <v>0</v>
      </c>
      <c r="Y3979">
        <v>674.63</v>
      </c>
      <c r="Z3979"/>
      <c r="AB3979"/>
      <c r="AC3979">
        <v>674.63</v>
      </c>
      <c r="AD3979">
        <v>-60</v>
      </c>
      <c r="AE3979" s="1">
        <v>-40477.800000000003</v>
      </c>
      <c r="AF3979">
        <v>0</v>
      </c>
      <c r="AJ3979">
        <v>0</v>
      </c>
      <c r="AK3979">
        <v>0</v>
      </c>
      <c r="AL3979">
        <v>0</v>
      </c>
      <c r="AM3979">
        <v>674.63</v>
      </c>
      <c r="AN3979">
        <v>674.63</v>
      </c>
      <c r="AO3979">
        <v>674.63</v>
      </c>
      <c r="AP3979" s="2">
        <v>42746</v>
      </c>
      <c r="AQ3979" t="s">
        <v>72</v>
      </c>
      <c r="AR3979" t="s">
        <v>72</v>
      </c>
      <c r="AS3979">
        <v>2040</v>
      </c>
      <c r="AT3979" s="4">
        <v>42580</v>
      </c>
      <c r="AV3979">
        <v>2040</v>
      </c>
      <c r="AW3979" s="4">
        <v>42580</v>
      </c>
      <c r="BD3979">
        <v>0</v>
      </c>
      <c r="BN3979" t="s">
        <v>74</v>
      </c>
    </row>
    <row r="3980" spans="1:66" hidden="1">
      <c r="A3980">
        <v>101476</v>
      </c>
      <c r="B3980" s="3" t="s">
        <v>440</v>
      </c>
      <c r="C3980" s="1">
        <v>43500101</v>
      </c>
      <c r="D3980" t="s">
        <v>113</v>
      </c>
      <c r="H3980" t="str">
        <f t="shared" si="430"/>
        <v>06363391001</v>
      </c>
      <c r="I3980" t="str">
        <f t="shared" si="430"/>
        <v>06363391001</v>
      </c>
      <c r="K3980" t="str">
        <f>""</f>
        <v/>
      </c>
      <c r="M3980" t="s">
        <v>68</v>
      </c>
      <c r="N3980" t="str">
        <f t="shared" si="431"/>
        <v>ALT</v>
      </c>
      <c r="O3980" t="s">
        <v>114</v>
      </c>
      <c r="P3980" s="3" t="s">
        <v>448</v>
      </c>
      <c r="Q3980">
        <v>2016</v>
      </c>
      <c r="R3980" s="2">
        <v>42619</v>
      </c>
      <c r="S3980" s="2">
        <v>42619</v>
      </c>
      <c r="T3980" s="2">
        <v>42619</v>
      </c>
      <c r="U3980" s="2">
        <v>42679</v>
      </c>
      <c r="V3980" t="s">
        <v>71</v>
      </c>
      <c r="W3980" t="str">
        <f>"                 192"</f>
        <v xml:space="preserve">                 192</v>
      </c>
      <c r="X3980">
        <v>0</v>
      </c>
      <c r="Y3980" s="1">
        <v>3814.66</v>
      </c>
      <c r="Z3980"/>
      <c r="AB3980"/>
      <c r="AC3980" s="1">
        <v>3814.66</v>
      </c>
      <c r="AD3980">
        <v>-60</v>
      </c>
      <c r="AE3980" s="1">
        <v>-228879.6</v>
      </c>
      <c r="AF3980">
        <v>0</v>
      </c>
      <c r="AJ3980">
        <v>0</v>
      </c>
      <c r="AK3980">
        <v>0</v>
      </c>
      <c r="AL3980">
        <v>0</v>
      </c>
      <c r="AM3980" s="1">
        <v>3814.66</v>
      </c>
      <c r="AN3980" s="1">
        <v>3814.66</v>
      </c>
      <c r="AO3980" s="1">
        <v>3814.66</v>
      </c>
      <c r="AP3980" s="2">
        <v>42746</v>
      </c>
      <c r="AQ3980" t="s">
        <v>72</v>
      </c>
      <c r="AR3980" t="s">
        <v>72</v>
      </c>
      <c r="AS3980">
        <v>2258</v>
      </c>
      <c r="AT3980" s="4">
        <v>42619</v>
      </c>
      <c r="AV3980">
        <v>2258</v>
      </c>
      <c r="AW3980" s="4">
        <v>42619</v>
      </c>
      <c r="BD3980">
        <v>0</v>
      </c>
      <c r="BN3980" t="s">
        <v>74</v>
      </c>
    </row>
    <row r="3981" spans="1:66" hidden="1">
      <c r="A3981">
        <v>101476</v>
      </c>
      <c r="B3981" s="3" t="s">
        <v>440</v>
      </c>
      <c r="C3981" s="1">
        <v>43500101</v>
      </c>
      <c r="D3981" t="s">
        <v>113</v>
      </c>
      <c r="H3981" t="str">
        <f t="shared" si="430"/>
        <v>06363391001</v>
      </c>
      <c r="I3981" t="str">
        <f t="shared" si="430"/>
        <v>06363391001</v>
      </c>
      <c r="K3981" t="str">
        <f>""</f>
        <v/>
      </c>
      <c r="M3981" t="s">
        <v>68</v>
      </c>
      <c r="N3981" t="str">
        <f t="shared" si="431"/>
        <v>ALT</v>
      </c>
      <c r="O3981" t="s">
        <v>114</v>
      </c>
      <c r="P3981" s="3" t="s">
        <v>446</v>
      </c>
      <c r="Q3981">
        <v>2016</v>
      </c>
      <c r="R3981" s="2">
        <v>42649</v>
      </c>
      <c r="S3981" s="2">
        <v>42649</v>
      </c>
      <c r="T3981" s="2">
        <v>42649</v>
      </c>
      <c r="U3981" s="2">
        <v>42709</v>
      </c>
      <c r="V3981" t="s">
        <v>71</v>
      </c>
      <c r="W3981" t="str">
        <f>"                 223"</f>
        <v xml:space="preserve">                 223</v>
      </c>
      <c r="X3981">
        <v>0</v>
      </c>
      <c r="Y3981">
        <v>14</v>
      </c>
      <c r="Z3981" s="3">
        <v>14</v>
      </c>
      <c r="AA3981">
        <v>-60</v>
      </c>
      <c r="AB3981" s="3">
        <v>-840</v>
      </c>
      <c r="AC3981">
        <v>14</v>
      </c>
      <c r="AD3981">
        <v>-60</v>
      </c>
      <c r="AE3981">
        <v>-840</v>
      </c>
      <c r="AF3981">
        <v>0</v>
      </c>
      <c r="AJ3981">
        <v>14</v>
      </c>
      <c r="AK3981">
        <v>14</v>
      </c>
      <c r="AL3981">
        <v>14</v>
      </c>
      <c r="AM3981">
        <v>14</v>
      </c>
      <c r="AN3981">
        <v>14</v>
      </c>
      <c r="AO3981">
        <v>14</v>
      </c>
      <c r="AP3981" s="2">
        <v>42746</v>
      </c>
      <c r="AQ3981" t="s">
        <v>72</v>
      </c>
      <c r="AR3981" t="s">
        <v>72</v>
      </c>
      <c r="AS3981">
        <v>2709</v>
      </c>
      <c r="AT3981" s="4">
        <v>42649</v>
      </c>
      <c r="AV3981">
        <v>2709</v>
      </c>
      <c r="AW3981" s="4">
        <v>42649</v>
      </c>
      <c r="BD3981">
        <v>0</v>
      </c>
      <c r="BN3981" t="s">
        <v>74</v>
      </c>
    </row>
    <row r="3982" spans="1:66" hidden="1">
      <c r="A3982">
        <v>101476</v>
      </c>
      <c r="B3982" s="3" t="s">
        <v>440</v>
      </c>
      <c r="C3982" s="1">
        <v>43500101</v>
      </c>
      <c r="D3982" t="s">
        <v>113</v>
      </c>
      <c r="H3982" t="str">
        <f t="shared" si="430"/>
        <v>06363391001</v>
      </c>
      <c r="I3982" t="str">
        <f t="shared" si="430"/>
        <v>06363391001</v>
      </c>
      <c r="K3982" t="str">
        <f>""</f>
        <v/>
      </c>
      <c r="M3982" t="s">
        <v>68</v>
      </c>
      <c r="N3982" t="str">
        <f t="shared" si="431"/>
        <v>ALT</v>
      </c>
      <c r="O3982" t="s">
        <v>114</v>
      </c>
      <c r="P3982" s="3" t="s">
        <v>447</v>
      </c>
      <c r="Q3982">
        <v>2016</v>
      </c>
      <c r="R3982" s="2">
        <v>42649</v>
      </c>
      <c r="S3982" s="2">
        <v>42649</v>
      </c>
      <c r="T3982" s="2">
        <v>42649</v>
      </c>
      <c r="U3982" s="2">
        <v>42709</v>
      </c>
      <c r="V3982" t="s">
        <v>71</v>
      </c>
      <c r="W3982" t="str">
        <f>"                 224"</f>
        <v xml:space="preserve">                 224</v>
      </c>
      <c r="X3982">
        <v>0</v>
      </c>
      <c r="Y3982" s="1">
        <v>1247.55</v>
      </c>
      <c r="Z3982" s="5">
        <v>1247.55</v>
      </c>
      <c r="AA3982">
        <v>-60</v>
      </c>
      <c r="AB3982" s="5">
        <v>-74853</v>
      </c>
      <c r="AC3982" s="1">
        <v>1247.55</v>
      </c>
      <c r="AD3982">
        <v>-60</v>
      </c>
      <c r="AE3982" s="1">
        <v>-74853</v>
      </c>
      <c r="AF3982">
        <v>0</v>
      </c>
      <c r="AJ3982" s="1">
        <v>1247.55</v>
      </c>
      <c r="AK3982" s="1">
        <v>1247.55</v>
      </c>
      <c r="AL3982" s="1">
        <v>1247.55</v>
      </c>
      <c r="AM3982" s="1">
        <v>1247.55</v>
      </c>
      <c r="AN3982" s="1">
        <v>1247.55</v>
      </c>
      <c r="AO3982" s="1">
        <v>1247.55</v>
      </c>
      <c r="AP3982" s="2">
        <v>42746</v>
      </c>
      <c r="AQ3982" t="s">
        <v>72</v>
      </c>
      <c r="AR3982" t="s">
        <v>72</v>
      </c>
      <c r="AS3982">
        <v>2711</v>
      </c>
      <c r="AT3982" s="4">
        <v>42649</v>
      </c>
      <c r="AV3982">
        <v>2711</v>
      </c>
      <c r="AW3982" s="4">
        <v>42649</v>
      </c>
      <c r="BD3982">
        <v>0</v>
      </c>
      <c r="BN3982" t="s">
        <v>74</v>
      </c>
    </row>
    <row r="3983" spans="1:66" hidden="1">
      <c r="A3983">
        <v>101476</v>
      </c>
      <c r="B3983" s="3" t="s">
        <v>440</v>
      </c>
      <c r="C3983" s="1">
        <v>43500101</v>
      </c>
      <c r="D3983" t="s">
        <v>113</v>
      </c>
      <c r="H3983" t="str">
        <f t="shared" si="430"/>
        <v>06363391001</v>
      </c>
      <c r="I3983" t="str">
        <f t="shared" si="430"/>
        <v>06363391001</v>
      </c>
      <c r="K3983" t="str">
        <f>""</f>
        <v/>
      </c>
      <c r="M3983" t="s">
        <v>68</v>
      </c>
      <c r="N3983" t="str">
        <f t="shared" si="431"/>
        <v>ALT</v>
      </c>
      <c r="O3983" t="s">
        <v>114</v>
      </c>
      <c r="P3983" s="3" t="s">
        <v>449</v>
      </c>
      <c r="Q3983">
        <v>2016</v>
      </c>
      <c r="R3983" s="2">
        <v>42649</v>
      </c>
      <c r="S3983" s="2">
        <v>42649</v>
      </c>
      <c r="T3983" s="2">
        <v>42649</v>
      </c>
      <c r="U3983" s="2">
        <v>42709</v>
      </c>
      <c r="V3983" t="s">
        <v>71</v>
      </c>
      <c r="W3983" t="str">
        <f>"                 225"</f>
        <v xml:space="preserve">                 225</v>
      </c>
      <c r="X3983">
        <v>0</v>
      </c>
      <c r="Y3983">
        <v>786</v>
      </c>
      <c r="Z3983" s="3">
        <v>786</v>
      </c>
      <c r="AA3983">
        <v>-60</v>
      </c>
      <c r="AB3983" s="5">
        <v>-47160</v>
      </c>
      <c r="AC3983">
        <v>786</v>
      </c>
      <c r="AD3983">
        <v>-60</v>
      </c>
      <c r="AE3983" s="1">
        <v>-47160</v>
      </c>
      <c r="AF3983">
        <v>0</v>
      </c>
      <c r="AJ3983">
        <v>786</v>
      </c>
      <c r="AK3983">
        <v>786</v>
      </c>
      <c r="AL3983">
        <v>786</v>
      </c>
      <c r="AM3983">
        <v>786</v>
      </c>
      <c r="AN3983">
        <v>786</v>
      </c>
      <c r="AO3983">
        <v>786</v>
      </c>
      <c r="AP3983" s="2">
        <v>42746</v>
      </c>
      <c r="AQ3983" t="s">
        <v>72</v>
      </c>
      <c r="AR3983" t="s">
        <v>72</v>
      </c>
      <c r="AS3983">
        <v>2712</v>
      </c>
      <c r="AT3983" s="4">
        <v>42649</v>
      </c>
      <c r="AV3983">
        <v>2712</v>
      </c>
      <c r="AW3983" s="4">
        <v>42649</v>
      </c>
      <c r="BD3983">
        <v>0</v>
      </c>
      <c r="BN3983" t="s">
        <v>74</v>
      </c>
    </row>
    <row r="3984" spans="1:66" hidden="1">
      <c r="A3984">
        <v>101476</v>
      </c>
      <c r="B3984" s="3" t="s">
        <v>440</v>
      </c>
      <c r="C3984" s="1">
        <v>43500101</v>
      </c>
      <c r="D3984" t="s">
        <v>113</v>
      </c>
      <c r="H3984" t="str">
        <f t="shared" si="430"/>
        <v>06363391001</v>
      </c>
      <c r="I3984" t="str">
        <f t="shared" si="430"/>
        <v>06363391001</v>
      </c>
      <c r="K3984" t="str">
        <f>""</f>
        <v/>
      </c>
      <c r="M3984" t="s">
        <v>68</v>
      </c>
      <c r="N3984" t="str">
        <f t="shared" si="431"/>
        <v>ALT</v>
      </c>
      <c r="O3984" t="s">
        <v>114</v>
      </c>
      <c r="P3984" s="3" t="s">
        <v>448</v>
      </c>
      <c r="Q3984">
        <v>2016</v>
      </c>
      <c r="R3984" s="2">
        <v>42653</v>
      </c>
      <c r="S3984" s="2">
        <v>42653</v>
      </c>
      <c r="T3984" s="2">
        <v>42653</v>
      </c>
      <c r="U3984" s="2">
        <v>42713</v>
      </c>
      <c r="V3984" t="s">
        <v>71</v>
      </c>
      <c r="W3984" t="str">
        <f>"                 228"</f>
        <v xml:space="preserve">                 228</v>
      </c>
      <c r="X3984">
        <v>0</v>
      </c>
      <c r="Y3984" s="1">
        <v>3814.66</v>
      </c>
      <c r="Z3984" s="5">
        <v>3814.66</v>
      </c>
      <c r="AA3984">
        <v>-21</v>
      </c>
      <c r="AB3984" s="5">
        <v>-80107.86</v>
      </c>
      <c r="AC3984" s="1">
        <v>3814.66</v>
      </c>
      <c r="AD3984">
        <v>-21</v>
      </c>
      <c r="AE3984" s="1">
        <v>-80107.86</v>
      </c>
      <c r="AF3984">
        <v>0</v>
      </c>
      <c r="AJ3984" s="1">
        <v>3814.66</v>
      </c>
      <c r="AK3984" s="1">
        <v>3814.66</v>
      </c>
      <c r="AL3984" s="1">
        <v>3814.66</v>
      </c>
      <c r="AM3984" s="1">
        <v>3814.66</v>
      </c>
      <c r="AN3984" s="1">
        <v>3814.66</v>
      </c>
      <c r="AO3984" s="1">
        <v>3814.66</v>
      </c>
      <c r="AP3984" s="2">
        <v>42746</v>
      </c>
      <c r="AQ3984" t="s">
        <v>72</v>
      </c>
      <c r="AR3984" t="s">
        <v>72</v>
      </c>
      <c r="AS3984">
        <v>3158</v>
      </c>
      <c r="AT3984" s="4">
        <v>42692</v>
      </c>
      <c r="AV3984">
        <v>3158</v>
      </c>
      <c r="AW3984" s="4">
        <v>42692</v>
      </c>
      <c r="BD3984">
        <v>0</v>
      </c>
      <c r="BN3984" t="s">
        <v>74</v>
      </c>
    </row>
    <row r="3985" spans="1:66" hidden="1">
      <c r="A3985">
        <v>101476</v>
      </c>
      <c r="B3985" s="3" t="s">
        <v>440</v>
      </c>
      <c r="C3985" s="1">
        <v>43500101</v>
      </c>
      <c r="D3985" t="s">
        <v>113</v>
      </c>
      <c r="H3985" t="str">
        <f t="shared" si="430"/>
        <v>06363391001</v>
      </c>
      <c r="I3985" t="str">
        <f t="shared" si="430"/>
        <v>06363391001</v>
      </c>
      <c r="K3985" t="str">
        <f>""</f>
        <v/>
      </c>
      <c r="M3985" t="s">
        <v>68</v>
      </c>
      <c r="N3985" t="str">
        <f t="shared" si="431"/>
        <v>ALT</v>
      </c>
      <c r="O3985" t="s">
        <v>114</v>
      </c>
      <c r="P3985" s="3" t="s">
        <v>450</v>
      </c>
      <c r="Q3985">
        <v>2016</v>
      </c>
      <c r="R3985" s="2">
        <v>42678</v>
      </c>
      <c r="S3985" s="2">
        <v>42678</v>
      </c>
      <c r="T3985" s="2">
        <v>42678</v>
      </c>
      <c r="U3985" s="2">
        <v>42738</v>
      </c>
      <c r="V3985" t="s">
        <v>71</v>
      </c>
      <c r="W3985" t="str">
        <f>"                 257"</f>
        <v xml:space="preserve">                 257</v>
      </c>
      <c r="X3985">
        <v>0</v>
      </c>
      <c r="Y3985" s="1">
        <v>19214.05</v>
      </c>
      <c r="Z3985" s="5">
        <v>19214.05</v>
      </c>
      <c r="AA3985">
        <v>-46</v>
      </c>
      <c r="AB3985" s="5">
        <v>-883846.3</v>
      </c>
      <c r="AC3985" s="1">
        <v>19214.05</v>
      </c>
      <c r="AD3985">
        <v>-46</v>
      </c>
      <c r="AE3985" s="1">
        <v>-883846.3</v>
      </c>
      <c r="AF3985">
        <v>0</v>
      </c>
      <c r="AJ3985" s="1">
        <v>19214.05</v>
      </c>
      <c r="AK3985" s="1">
        <v>19214.05</v>
      </c>
      <c r="AL3985" s="1">
        <v>19214.05</v>
      </c>
      <c r="AM3985" s="1">
        <v>19214.05</v>
      </c>
      <c r="AN3985" s="1">
        <v>19214.05</v>
      </c>
      <c r="AO3985" s="1">
        <v>19214.05</v>
      </c>
      <c r="AP3985" s="2">
        <v>42746</v>
      </c>
      <c r="AQ3985" t="s">
        <v>72</v>
      </c>
      <c r="AR3985" t="s">
        <v>72</v>
      </c>
      <c r="AS3985">
        <v>3159</v>
      </c>
      <c r="AT3985" s="4">
        <v>42692</v>
      </c>
      <c r="AV3985">
        <v>3159</v>
      </c>
      <c r="AW3985" s="4">
        <v>42692</v>
      </c>
      <c r="BD3985">
        <v>0</v>
      </c>
      <c r="BN3985" t="s">
        <v>74</v>
      </c>
    </row>
    <row r="3986" spans="1:66" hidden="1">
      <c r="A3986">
        <v>101476</v>
      </c>
      <c r="B3986" s="3" t="s">
        <v>440</v>
      </c>
      <c r="C3986" s="1">
        <v>43500101</v>
      </c>
      <c r="D3986" t="s">
        <v>113</v>
      </c>
      <c r="H3986" t="str">
        <f t="shared" si="430"/>
        <v>06363391001</v>
      </c>
      <c r="I3986" t="str">
        <f t="shared" si="430"/>
        <v>06363391001</v>
      </c>
      <c r="K3986" t="str">
        <f>""</f>
        <v/>
      </c>
      <c r="M3986" t="s">
        <v>68</v>
      </c>
      <c r="N3986" t="str">
        <f t="shared" si="431"/>
        <v>ALT</v>
      </c>
      <c r="O3986" t="s">
        <v>114</v>
      </c>
      <c r="P3986" s="3" t="s">
        <v>448</v>
      </c>
      <c r="Q3986">
        <v>2016</v>
      </c>
      <c r="R3986" s="2">
        <v>42692</v>
      </c>
      <c r="S3986" s="2">
        <v>42692</v>
      </c>
      <c r="T3986" s="2">
        <v>42692</v>
      </c>
      <c r="U3986" s="2">
        <v>42752</v>
      </c>
      <c r="V3986" t="s">
        <v>71</v>
      </c>
      <c r="W3986" t="str">
        <f>"                 263"</f>
        <v xml:space="preserve">                 263</v>
      </c>
      <c r="X3986">
        <v>0</v>
      </c>
      <c r="Y3986" s="1">
        <v>3823.41</v>
      </c>
      <c r="Z3986" s="5">
        <v>3823.41</v>
      </c>
      <c r="AA3986">
        <v>-42</v>
      </c>
      <c r="AB3986" s="5">
        <v>-160583.22</v>
      </c>
      <c r="AC3986" s="1">
        <v>3823.41</v>
      </c>
      <c r="AD3986">
        <v>-42</v>
      </c>
      <c r="AE3986" s="1">
        <v>-160583.22</v>
      </c>
      <c r="AF3986">
        <v>0</v>
      </c>
      <c r="AJ3986" s="1">
        <v>3823.41</v>
      </c>
      <c r="AK3986" s="1">
        <v>3823.41</v>
      </c>
      <c r="AL3986" s="1">
        <v>3823.41</v>
      </c>
      <c r="AM3986" s="1">
        <v>3823.41</v>
      </c>
      <c r="AN3986" s="1">
        <v>3823.41</v>
      </c>
      <c r="AO3986" s="1">
        <v>3823.41</v>
      </c>
      <c r="AP3986" s="2">
        <v>42746</v>
      </c>
      <c r="AQ3986" t="s">
        <v>72</v>
      </c>
      <c r="AR3986" t="s">
        <v>72</v>
      </c>
      <c r="AS3986">
        <v>3343</v>
      </c>
      <c r="AT3986" s="4">
        <v>42710</v>
      </c>
      <c r="AV3986">
        <v>3343</v>
      </c>
      <c r="AW3986" s="4">
        <v>42710</v>
      </c>
      <c r="BD3986">
        <v>0</v>
      </c>
      <c r="BN3986" t="s">
        <v>74</v>
      </c>
    </row>
    <row r="3987" spans="1:66" hidden="1">
      <c r="A3987">
        <v>101476</v>
      </c>
      <c r="B3987" s="3" t="s">
        <v>440</v>
      </c>
      <c r="C3987" s="1">
        <v>43500101</v>
      </c>
      <c r="D3987" t="s">
        <v>113</v>
      </c>
      <c r="H3987" t="str">
        <f t="shared" si="430"/>
        <v>06363391001</v>
      </c>
      <c r="I3987" t="str">
        <f t="shared" si="430"/>
        <v>06363391001</v>
      </c>
      <c r="K3987" t="str">
        <f>""</f>
        <v/>
      </c>
      <c r="M3987" t="s">
        <v>68</v>
      </c>
      <c r="N3987" t="str">
        <f t="shared" si="431"/>
        <v>ALT</v>
      </c>
      <c r="O3987" t="s">
        <v>114</v>
      </c>
      <c r="P3987" s="3" t="s">
        <v>451</v>
      </c>
      <c r="Q3987">
        <v>2016</v>
      </c>
      <c r="R3987" s="2">
        <v>42702</v>
      </c>
      <c r="S3987" s="2">
        <v>42702</v>
      </c>
      <c r="T3987" s="2">
        <v>42702</v>
      </c>
      <c r="U3987" s="2">
        <v>42762</v>
      </c>
      <c r="V3987" t="s">
        <v>71</v>
      </c>
      <c r="W3987" t="str">
        <f>"                 280"</f>
        <v xml:space="preserve">                 280</v>
      </c>
      <c r="X3987">
        <v>0</v>
      </c>
      <c r="Y3987">
        <v>25</v>
      </c>
      <c r="Z3987" s="3">
        <v>25</v>
      </c>
      <c r="AA3987">
        <v>-60</v>
      </c>
      <c r="AB3987" s="5">
        <v>-1500</v>
      </c>
      <c r="AC3987">
        <v>25</v>
      </c>
      <c r="AD3987">
        <v>-60</v>
      </c>
      <c r="AE3987" s="1">
        <v>-1500</v>
      </c>
      <c r="AF3987">
        <v>0</v>
      </c>
      <c r="AJ3987">
        <v>25</v>
      </c>
      <c r="AK3987">
        <v>25</v>
      </c>
      <c r="AL3987">
        <v>25</v>
      </c>
      <c r="AM3987">
        <v>25</v>
      </c>
      <c r="AN3987">
        <v>25</v>
      </c>
      <c r="AO3987">
        <v>25</v>
      </c>
      <c r="AP3987" s="2">
        <v>42746</v>
      </c>
      <c r="AQ3987" t="s">
        <v>72</v>
      </c>
      <c r="AR3987" t="s">
        <v>72</v>
      </c>
      <c r="AS3987">
        <v>3312</v>
      </c>
      <c r="AT3987" s="4">
        <v>42702</v>
      </c>
      <c r="AV3987">
        <v>3312</v>
      </c>
      <c r="AW3987" s="4">
        <v>42702</v>
      </c>
      <c r="BD3987">
        <v>0</v>
      </c>
      <c r="BN3987" t="s">
        <v>74</v>
      </c>
    </row>
    <row r="3988" spans="1:66" hidden="1">
      <c r="A3988">
        <v>101477</v>
      </c>
      <c r="B3988" s="3" t="s">
        <v>452</v>
      </c>
      <c r="C3988" s="1">
        <v>43300101</v>
      </c>
      <c r="D3988" t="s">
        <v>67</v>
      </c>
      <c r="H3988" t="str">
        <f t="shared" ref="H3988:I3995" si="432">"00977960327"</f>
        <v>00977960327</v>
      </c>
      <c r="I3988" t="str">
        <f t="shared" si="432"/>
        <v>00977960327</v>
      </c>
      <c r="K3988" t="str">
        <f>""</f>
        <v/>
      </c>
      <c r="M3988" t="s">
        <v>68</v>
      </c>
      <c r="N3988" t="str">
        <f t="shared" ref="N3988:N3996" si="433">"FOR"</f>
        <v>FOR</v>
      </c>
      <c r="O3988" t="s">
        <v>69</v>
      </c>
      <c r="P3988" s="3" t="s">
        <v>75</v>
      </c>
      <c r="Q3988">
        <v>2016</v>
      </c>
      <c r="R3988" s="2">
        <v>42398</v>
      </c>
      <c r="S3988" s="2">
        <v>42405</v>
      </c>
      <c r="T3988" s="2">
        <v>42404</v>
      </c>
      <c r="U3988" s="2">
        <v>42464</v>
      </c>
      <c r="V3988" t="s">
        <v>71</v>
      </c>
      <c r="W3988" t="str">
        <f>"               47 PA"</f>
        <v xml:space="preserve">               47 PA</v>
      </c>
      <c r="X3988" s="1">
        <v>1112.6400000000001</v>
      </c>
      <c r="Y3988">
        <v>0</v>
      </c>
      <c r="Z3988"/>
      <c r="AB3988"/>
      <c r="AC3988">
        <v>912</v>
      </c>
      <c r="AD3988">
        <v>156</v>
      </c>
      <c r="AE3988" s="1">
        <v>142272</v>
      </c>
      <c r="AF3988">
        <v>0</v>
      </c>
      <c r="AJ3988">
        <v>0</v>
      </c>
      <c r="AK3988">
        <v>0</v>
      </c>
      <c r="AL3988">
        <v>0</v>
      </c>
      <c r="AM3988" s="1">
        <v>1112.6400000000001</v>
      </c>
      <c r="AN3988" s="1">
        <v>1112.6400000000001</v>
      </c>
      <c r="AO3988" s="1">
        <v>1112.6400000000001</v>
      </c>
      <c r="AP3988" s="2">
        <v>42746</v>
      </c>
      <c r="AQ3988" t="s">
        <v>72</v>
      </c>
      <c r="AR3988" t="s">
        <v>72</v>
      </c>
      <c r="AS3988">
        <v>2319</v>
      </c>
      <c r="AT3988" s="4">
        <v>42620</v>
      </c>
      <c r="AU3988" t="s">
        <v>73</v>
      </c>
      <c r="AV3988">
        <v>2319</v>
      </c>
      <c r="AW3988" s="4">
        <v>42620</v>
      </c>
      <c r="BD3988">
        <v>0</v>
      </c>
      <c r="BN3988" t="s">
        <v>74</v>
      </c>
    </row>
    <row r="3989" spans="1:66" hidden="1">
      <c r="A3989">
        <v>101477</v>
      </c>
      <c r="B3989" s="3" t="s">
        <v>452</v>
      </c>
      <c r="C3989" s="1">
        <v>43300101</v>
      </c>
      <c r="D3989" t="s">
        <v>67</v>
      </c>
      <c r="H3989" t="str">
        <f t="shared" si="432"/>
        <v>00977960327</v>
      </c>
      <c r="I3989" t="str">
        <f t="shared" si="432"/>
        <v>00977960327</v>
      </c>
      <c r="K3989" t="str">
        <f>""</f>
        <v/>
      </c>
      <c r="M3989" t="s">
        <v>68</v>
      </c>
      <c r="N3989" t="str">
        <f t="shared" si="433"/>
        <v>FOR</v>
      </c>
      <c r="O3989" t="s">
        <v>69</v>
      </c>
      <c r="P3989" s="3" t="s">
        <v>70</v>
      </c>
      <c r="Q3989">
        <v>2016</v>
      </c>
      <c r="R3989" s="2">
        <v>42415</v>
      </c>
      <c r="S3989" s="2">
        <v>42436</v>
      </c>
      <c r="T3989" s="2">
        <v>42436</v>
      </c>
      <c r="U3989" s="2">
        <v>42496</v>
      </c>
      <c r="V3989" t="s">
        <v>71</v>
      </c>
      <c r="W3989" t="str">
        <f>"               58 PA"</f>
        <v xml:space="preserve">               58 PA</v>
      </c>
      <c r="X3989" s="1">
        <v>1220</v>
      </c>
      <c r="Y3989">
        <v>0</v>
      </c>
      <c r="Z3989"/>
      <c r="AB3989"/>
      <c r="AC3989" s="1">
        <v>1000</v>
      </c>
      <c r="AD3989">
        <v>124</v>
      </c>
      <c r="AE3989" s="1">
        <v>124000</v>
      </c>
      <c r="AF3989">
        <v>0</v>
      </c>
      <c r="AJ3989">
        <v>0</v>
      </c>
      <c r="AK3989">
        <v>0</v>
      </c>
      <c r="AL3989">
        <v>0</v>
      </c>
      <c r="AM3989" s="1">
        <v>1220</v>
      </c>
      <c r="AN3989" s="1">
        <v>1220</v>
      </c>
      <c r="AO3989" s="1">
        <v>1220</v>
      </c>
      <c r="AP3989" s="2">
        <v>42746</v>
      </c>
      <c r="AQ3989" t="s">
        <v>72</v>
      </c>
      <c r="AR3989" t="s">
        <v>72</v>
      </c>
      <c r="AS3989">
        <v>2319</v>
      </c>
      <c r="AT3989" s="4">
        <v>42620</v>
      </c>
      <c r="AU3989" t="s">
        <v>73</v>
      </c>
      <c r="AV3989">
        <v>2319</v>
      </c>
      <c r="AW3989" s="4">
        <v>42620</v>
      </c>
      <c r="BD3989">
        <v>0</v>
      </c>
      <c r="BN3989" t="s">
        <v>74</v>
      </c>
    </row>
    <row r="3990" spans="1:66">
      <c r="A3990">
        <v>101477</v>
      </c>
      <c r="B3990" s="3" t="s">
        <v>452</v>
      </c>
      <c r="C3990" s="1">
        <v>43300101</v>
      </c>
      <c r="D3990" t="s">
        <v>67</v>
      </c>
      <c r="H3990" t="str">
        <f t="shared" si="432"/>
        <v>00977960327</v>
      </c>
      <c r="I3990" t="str">
        <f t="shared" si="432"/>
        <v>00977960327</v>
      </c>
      <c r="K3990" t="str">
        <f>""</f>
        <v/>
      </c>
      <c r="M3990" t="s">
        <v>68</v>
      </c>
      <c r="N3990" t="str">
        <f t="shared" si="433"/>
        <v>FOR</v>
      </c>
      <c r="O3990" t="s">
        <v>69</v>
      </c>
      <c r="P3990" s="3" t="s">
        <v>70</v>
      </c>
      <c r="Q3990">
        <v>2016</v>
      </c>
      <c r="R3990" s="2">
        <v>42444</v>
      </c>
      <c r="S3990" s="2">
        <v>42460</v>
      </c>
      <c r="T3990" s="2">
        <v>42460</v>
      </c>
      <c r="U3990" s="2">
        <v>42520</v>
      </c>
      <c r="V3990" t="s">
        <v>71</v>
      </c>
      <c r="W3990" t="str">
        <f>"              133 PA"</f>
        <v xml:space="preserve">              133 PA</v>
      </c>
      <c r="X3990" s="1">
        <v>3020.72</v>
      </c>
      <c r="Y3990">
        <v>0</v>
      </c>
      <c r="Z3990" s="5">
        <v>2476</v>
      </c>
      <c r="AA3990">
        <v>164</v>
      </c>
      <c r="AB3990" s="5">
        <v>406064</v>
      </c>
      <c r="AC3990" s="1">
        <v>2476</v>
      </c>
      <c r="AD3990">
        <v>164</v>
      </c>
      <c r="AE3990" s="1">
        <v>406064</v>
      </c>
      <c r="AF3990">
        <v>0</v>
      </c>
      <c r="AJ3990">
        <v>0</v>
      </c>
      <c r="AK3990">
        <v>0</v>
      </c>
      <c r="AL3990">
        <v>0</v>
      </c>
      <c r="AM3990" s="1">
        <v>3020.72</v>
      </c>
      <c r="AN3990" s="1">
        <v>3020.72</v>
      </c>
      <c r="AO3990" s="1">
        <v>3020.72</v>
      </c>
      <c r="AP3990" s="2">
        <v>42746</v>
      </c>
      <c r="AQ3990" t="s">
        <v>72</v>
      </c>
      <c r="AR3990" t="s">
        <v>72</v>
      </c>
      <c r="AS3990">
        <v>3068</v>
      </c>
      <c r="AT3990" s="4">
        <v>42684</v>
      </c>
      <c r="AU3990" t="s">
        <v>73</v>
      </c>
      <c r="AV3990">
        <v>3068</v>
      </c>
      <c r="AW3990" s="4">
        <v>42684</v>
      </c>
      <c r="BD3990">
        <v>0</v>
      </c>
      <c r="BN3990" t="s">
        <v>74</v>
      </c>
    </row>
    <row r="3991" spans="1:66">
      <c r="A3991">
        <v>101477</v>
      </c>
      <c r="B3991" s="3" t="s">
        <v>452</v>
      </c>
      <c r="C3991" s="1">
        <v>43300101</v>
      </c>
      <c r="D3991" t="s">
        <v>67</v>
      </c>
      <c r="H3991" t="str">
        <f t="shared" si="432"/>
        <v>00977960327</v>
      </c>
      <c r="I3991" t="str">
        <f t="shared" si="432"/>
        <v>00977960327</v>
      </c>
      <c r="K3991" t="str">
        <f>""</f>
        <v/>
      </c>
      <c r="M3991" t="s">
        <v>68</v>
      </c>
      <c r="N3991" t="str">
        <f t="shared" si="433"/>
        <v>FOR</v>
      </c>
      <c r="O3991" t="s">
        <v>69</v>
      </c>
      <c r="P3991" s="3" t="s">
        <v>75</v>
      </c>
      <c r="Q3991">
        <v>2016</v>
      </c>
      <c r="R3991" s="2">
        <v>42444</v>
      </c>
      <c r="S3991" s="2">
        <v>42447</v>
      </c>
      <c r="T3991" s="2">
        <v>42446</v>
      </c>
      <c r="U3991" s="2">
        <v>42506</v>
      </c>
      <c r="V3991" t="s">
        <v>71</v>
      </c>
      <c r="W3991" t="str">
        <f>"              142 PA"</f>
        <v xml:space="preserve">              142 PA</v>
      </c>
      <c r="X3991" s="1">
        <v>4739.7</v>
      </c>
      <c r="Y3991">
        <v>0</v>
      </c>
      <c r="Z3991" s="5">
        <v>3885</v>
      </c>
      <c r="AA3991">
        <v>212</v>
      </c>
      <c r="AB3991" s="5">
        <v>823620</v>
      </c>
      <c r="AC3991" s="1">
        <v>3885</v>
      </c>
      <c r="AD3991">
        <v>212</v>
      </c>
      <c r="AE3991" s="1">
        <v>823620</v>
      </c>
      <c r="AF3991">
        <v>854.7</v>
      </c>
      <c r="AJ3991">
        <v>0</v>
      </c>
      <c r="AK3991">
        <v>0</v>
      </c>
      <c r="AL3991">
        <v>0</v>
      </c>
      <c r="AM3991" s="1">
        <v>4739.7</v>
      </c>
      <c r="AN3991" s="1">
        <v>4739.7</v>
      </c>
      <c r="AO3991" s="1">
        <v>4739.7</v>
      </c>
      <c r="AP3991" s="2">
        <v>42746</v>
      </c>
      <c r="AQ3991" t="s">
        <v>72</v>
      </c>
      <c r="AR3991" t="s">
        <v>72</v>
      </c>
      <c r="AS3991">
        <v>3468</v>
      </c>
      <c r="AT3991" s="4">
        <v>42718</v>
      </c>
      <c r="AU3991" t="s">
        <v>73</v>
      </c>
      <c r="AV3991">
        <v>3468</v>
      </c>
      <c r="AW3991" s="4">
        <v>42718</v>
      </c>
      <c r="BD3991">
        <v>854.7</v>
      </c>
      <c r="BN3991" t="s">
        <v>74</v>
      </c>
    </row>
    <row r="3992" spans="1:66">
      <c r="A3992">
        <v>101477</v>
      </c>
      <c r="B3992" s="3" t="s">
        <v>452</v>
      </c>
      <c r="C3992" s="1">
        <v>43300101</v>
      </c>
      <c r="D3992" t="s">
        <v>67</v>
      </c>
      <c r="H3992" t="str">
        <f t="shared" si="432"/>
        <v>00977960327</v>
      </c>
      <c r="I3992" t="str">
        <f t="shared" si="432"/>
        <v>00977960327</v>
      </c>
      <c r="K3992" t="str">
        <f>""</f>
        <v/>
      </c>
      <c r="M3992" t="s">
        <v>68</v>
      </c>
      <c r="N3992" t="str">
        <f t="shared" si="433"/>
        <v>FOR</v>
      </c>
      <c r="O3992" t="s">
        <v>69</v>
      </c>
      <c r="P3992" s="3" t="s">
        <v>75</v>
      </c>
      <c r="Q3992">
        <v>2016</v>
      </c>
      <c r="R3992" s="2">
        <v>42458</v>
      </c>
      <c r="S3992" s="2">
        <v>42461</v>
      </c>
      <c r="T3992" s="2">
        <v>42459</v>
      </c>
      <c r="U3992" s="2">
        <v>42519</v>
      </c>
      <c r="V3992" t="s">
        <v>71</v>
      </c>
      <c r="W3992" t="str">
        <f>"              171 PA"</f>
        <v xml:space="preserve">              171 PA</v>
      </c>
      <c r="X3992" s="1">
        <v>4739.7</v>
      </c>
      <c r="Y3992">
        <v>0</v>
      </c>
      <c r="Z3992" s="5">
        <v>3885</v>
      </c>
      <c r="AA3992">
        <v>199</v>
      </c>
      <c r="AB3992" s="5">
        <v>773115</v>
      </c>
      <c r="AC3992" s="1">
        <v>3885</v>
      </c>
      <c r="AD3992">
        <v>199</v>
      </c>
      <c r="AE3992" s="1">
        <v>773115</v>
      </c>
      <c r="AF3992">
        <v>854.7</v>
      </c>
      <c r="AJ3992">
        <v>0</v>
      </c>
      <c r="AK3992">
        <v>0</v>
      </c>
      <c r="AL3992">
        <v>0</v>
      </c>
      <c r="AM3992" s="1">
        <v>4739.7</v>
      </c>
      <c r="AN3992" s="1">
        <v>4739.7</v>
      </c>
      <c r="AO3992" s="1">
        <v>4739.7</v>
      </c>
      <c r="AP3992" s="2">
        <v>42746</v>
      </c>
      <c r="AQ3992" t="s">
        <v>72</v>
      </c>
      <c r="AR3992" t="s">
        <v>72</v>
      </c>
      <c r="AS3992">
        <v>3468</v>
      </c>
      <c r="AT3992" s="4">
        <v>42718</v>
      </c>
      <c r="AU3992" t="s">
        <v>73</v>
      </c>
      <c r="AV3992">
        <v>3468</v>
      </c>
      <c r="AW3992" s="4">
        <v>42718</v>
      </c>
      <c r="BD3992">
        <v>854.7</v>
      </c>
      <c r="BN3992" t="s">
        <v>74</v>
      </c>
    </row>
    <row r="3993" spans="1:66">
      <c r="A3993">
        <v>101477</v>
      </c>
      <c r="B3993" s="3" t="s">
        <v>452</v>
      </c>
      <c r="C3993" s="1">
        <v>43300101</v>
      </c>
      <c r="D3993" t="s">
        <v>67</v>
      </c>
      <c r="H3993" t="str">
        <f t="shared" si="432"/>
        <v>00977960327</v>
      </c>
      <c r="I3993" t="str">
        <f t="shared" si="432"/>
        <v>00977960327</v>
      </c>
      <c r="K3993" t="str">
        <f>""</f>
        <v/>
      </c>
      <c r="M3993" t="s">
        <v>68</v>
      </c>
      <c r="N3993" t="str">
        <f t="shared" si="433"/>
        <v>FOR</v>
      </c>
      <c r="O3993" t="s">
        <v>69</v>
      </c>
      <c r="P3993" s="3" t="s">
        <v>70</v>
      </c>
      <c r="Q3993">
        <v>2016</v>
      </c>
      <c r="R3993" s="2">
        <v>42472</v>
      </c>
      <c r="S3993" s="2">
        <v>42480</v>
      </c>
      <c r="T3993" s="2">
        <v>42480</v>
      </c>
      <c r="U3993" s="2">
        <v>42540</v>
      </c>
      <c r="V3993" t="s">
        <v>71</v>
      </c>
      <c r="W3993" t="str">
        <f>"              211 PA"</f>
        <v xml:space="preserve">              211 PA</v>
      </c>
      <c r="X3993">
        <v>461.16</v>
      </c>
      <c r="Y3993">
        <v>0</v>
      </c>
      <c r="Z3993" s="3">
        <v>378</v>
      </c>
      <c r="AA3993">
        <v>144</v>
      </c>
      <c r="AB3993" s="5">
        <v>54432</v>
      </c>
      <c r="AC3993">
        <v>378</v>
      </c>
      <c r="AD3993">
        <v>144</v>
      </c>
      <c r="AE3993" s="1">
        <v>54432</v>
      </c>
      <c r="AF3993">
        <v>0</v>
      </c>
      <c r="AJ3993">
        <v>0</v>
      </c>
      <c r="AK3993">
        <v>0</v>
      </c>
      <c r="AL3993">
        <v>0</v>
      </c>
      <c r="AM3993">
        <v>461.16</v>
      </c>
      <c r="AN3993">
        <v>461.16</v>
      </c>
      <c r="AO3993">
        <v>461.16</v>
      </c>
      <c r="AP3993" s="2">
        <v>42746</v>
      </c>
      <c r="AQ3993" t="s">
        <v>72</v>
      </c>
      <c r="AR3993" t="s">
        <v>72</v>
      </c>
      <c r="AS3993">
        <v>3068</v>
      </c>
      <c r="AT3993" s="4">
        <v>42684</v>
      </c>
      <c r="AU3993" t="s">
        <v>73</v>
      </c>
      <c r="AV3993">
        <v>3068</v>
      </c>
      <c r="AW3993" s="4">
        <v>42684</v>
      </c>
      <c r="BD3993">
        <v>0</v>
      </c>
      <c r="BN3993" t="s">
        <v>74</v>
      </c>
    </row>
    <row r="3994" spans="1:66">
      <c r="A3994">
        <v>101477</v>
      </c>
      <c r="B3994" s="3" t="s">
        <v>452</v>
      </c>
      <c r="C3994" s="1">
        <v>43300101</v>
      </c>
      <c r="D3994" t="s">
        <v>67</v>
      </c>
      <c r="H3994" t="str">
        <f t="shared" si="432"/>
        <v>00977960327</v>
      </c>
      <c r="I3994" t="str">
        <f t="shared" si="432"/>
        <v>00977960327</v>
      </c>
      <c r="K3994" t="str">
        <f>""</f>
        <v/>
      </c>
      <c r="M3994" t="s">
        <v>68</v>
      </c>
      <c r="N3994" t="str">
        <f t="shared" si="433"/>
        <v>FOR</v>
      </c>
      <c r="O3994" t="s">
        <v>69</v>
      </c>
      <c r="P3994" s="3" t="s">
        <v>75</v>
      </c>
      <c r="Q3994">
        <v>2016</v>
      </c>
      <c r="R3994" s="2">
        <v>42580</v>
      </c>
      <c r="S3994" s="2">
        <v>42591</v>
      </c>
      <c r="T3994" s="2">
        <v>42591</v>
      </c>
      <c r="U3994" s="2">
        <v>42651</v>
      </c>
      <c r="V3994" t="s">
        <v>71</v>
      </c>
      <c r="W3994" t="str">
        <f>"              394 PA"</f>
        <v xml:space="preserve">              394 PA</v>
      </c>
      <c r="X3994">
        <v>390.4</v>
      </c>
      <c r="Y3994">
        <v>0</v>
      </c>
      <c r="Z3994" s="3">
        <v>320</v>
      </c>
      <c r="AA3994">
        <v>33</v>
      </c>
      <c r="AB3994" s="5">
        <v>10560</v>
      </c>
      <c r="AC3994">
        <v>320</v>
      </c>
      <c r="AD3994">
        <v>33</v>
      </c>
      <c r="AE3994" s="1">
        <v>10560</v>
      </c>
      <c r="AF3994">
        <v>0</v>
      </c>
      <c r="AJ3994">
        <v>0</v>
      </c>
      <c r="AK3994">
        <v>0</v>
      </c>
      <c r="AL3994">
        <v>0</v>
      </c>
      <c r="AM3994">
        <v>390.4</v>
      </c>
      <c r="AN3994">
        <v>390.4</v>
      </c>
      <c r="AO3994">
        <v>390.4</v>
      </c>
      <c r="AP3994" s="2">
        <v>42746</v>
      </c>
      <c r="AQ3994" t="s">
        <v>72</v>
      </c>
      <c r="AR3994" t="s">
        <v>72</v>
      </c>
      <c r="AS3994">
        <v>3068</v>
      </c>
      <c r="AT3994" s="4">
        <v>42684</v>
      </c>
      <c r="AU3994" t="s">
        <v>73</v>
      </c>
      <c r="AV3994">
        <v>3068</v>
      </c>
      <c r="AW3994" s="4">
        <v>42684</v>
      </c>
      <c r="BD3994">
        <v>0</v>
      </c>
      <c r="BN3994" t="s">
        <v>74</v>
      </c>
    </row>
    <row r="3995" spans="1:66">
      <c r="A3995">
        <v>101477</v>
      </c>
      <c r="B3995" s="3" t="s">
        <v>452</v>
      </c>
      <c r="C3995" s="1">
        <v>43300101</v>
      </c>
      <c r="D3995" t="s">
        <v>67</v>
      </c>
      <c r="H3995" t="str">
        <f t="shared" si="432"/>
        <v>00977960327</v>
      </c>
      <c r="I3995" t="str">
        <f t="shared" si="432"/>
        <v>00977960327</v>
      </c>
      <c r="K3995" t="str">
        <f>""</f>
        <v/>
      </c>
      <c r="M3995" t="s">
        <v>68</v>
      </c>
      <c r="N3995" t="str">
        <f t="shared" si="433"/>
        <v>FOR</v>
      </c>
      <c r="O3995" t="s">
        <v>69</v>
      </c>
      <c r="P3995" s="3" t="s">
        <v>75</v>
      </c>
      <c r="Q3995">
        <v>2016</v>
      </c>
      <c r="R3995" s="2">
        <v>42580</v>
      </c>
      <c r="S3995" s="2">
        <v>42591</v>
      </c>
      <c r="T3995" s="2">
        <v>42591</v>
      </c>
      <c r="U3995" s="2">
        <v>42651</v>
      </c>
      <c r="V3995" t="s">
        <v>71</v>
      </c>
      <c r="W3995" t="str">
        <f>"              395 PA"</f>
        <v xml:space="preserve">              395 PA</v>
      </c>
      <c r="X3995">
        <v>179.34</v>
      </c>
      <c r="Y3995">
        <v>0</v>
      </c>
      <c r="Z3995" s="3">
        <v>147</v>
      </c>
      <c r="AA3995">
        <v>33</v>
      </c>
      <c r="AB3995" s="5">
        <v>4851</v>
      </c>
      <c r="AC3995">
        <v>147</v>
      </c>
      <c r="AD3995">
        <v>33</v>
      </c>
      <c r="AE3995" s="1">
        <v>4851</v>
      </c>
      <c r="AF3995">
        <v>0</v>
      </c>
      <c r="AJ3995">
        <v>0</v>
      </c>
      <c r="AK3995">
        <v>0</v>
      </c>
      <c r="AL3995">
        <v>0</v>
      </c>
      <c r="AM3995">
        <v>179.34</v>
      </c>
      <c r="AN3995">
        <v>179.34</v>
      </c>
      <c r="AO3995">
        <v>179.34</v>
      </c>
      <c r="AP3995" s="2">
        <v>42746</v>
      </c>
      <c r="AQ3995" t="s">
        <v>72</v>
      </c>
      <c r="AR3995" t="s">
        <v>72</v>
      </c>
      <c r="AS3995">
        <v>3068</v>
      </c>
      <c r="AT3995" s="4">
        <v>42684</v>
      </c>
      <c r="AU3995" t="s">
        <v>73</v>
      </c>
      <c r="AV3995">
        <v>3068</v>
      </c>
      <c r="AW3995" s="4">
        <v>42684</v>
      </c>
      <c r="BD3995">
        <v>0</v>
      </c>
      <c r="BN3995" t="s">
        <v>74</v>
      </c>
    </row>
    <row r="3996" spans="1:66">
      <c r="A3996">
        <v>101480</v>
      </c>
      <c r="B3996" s="3" t="s">
        <v>453</v>
      </c>
      <c r="C3996" s="1">
        <v>43300101</v>
      </c>
      <c r="D3996" t="s">
        <v>67</v>
      </c>
      <c r="H3996" t="str">
        <f>"04920740588"</f>
        <v>04920740588</v>
      </c>
      <c r="I3996" t="str">
        <f>"01326911003"</f>
        <v>01326911003</v>
      </c>
      <c r="K3996" t="str">
        <f>""</f>
        <v/>
      </c>
      <c r="M3996" t="s">
        <v>68</v>
      </c>
      <c r="N3996" t="str">
        <f t="shared" si="433"/>
        <v>FOR</v>
      </c>
      <c r="O3996" t="s">
        <v>69</v>
      </c>
      <c r="P3996" s="3" t="s">
        <v>75</v>
      </c>
      <c r="Q3996">
        <v>2016</v>
      </c>
      <c r="R3996" s="2">
        <v>42398</v>
      </c>
      <c r="S3996" s="2">
        <v>42452</v>
      </c>
      <c r="T3996" s="2">
        <v>42451</v>
      </c>
      <c r="U3996" s="2">
        <v>42511</v>
      </c>
      <c r="V3996" t="s">
        <v>71</v>
      </c>
      <c r="W3996" t="str">
        <f>"             0000167"</f>
        <v xml:space="preserve">             0000167</v>
      </c>
      <c r="X3996">
        <v>634.4</v>
      </c>
      <c r="Y3996">
        <v>0</v>
      </c>
      <c r="Z3996" s="3">
        <v>520</v>
      </c>
      <c r="AA3996">
        <v>212</v>
      </c>
      <c r="AB3996" s="5">
        <v>110240</v>
      </c>
      <c r="AC3996">
        <v>520</v>
      </c>
      <c r="AD3996">
        <v>212</v>
      </c>
      <c r="AE3996" s="1">
        <v>110240</v>
      </c>
      <c r="AF3996">
        <v>114.4</v>
      </c>
      <c r="AJ3996">
        <v>0</v>
      </c>
      <c r="AK3996">
        <v>0</v>
      </c>
      <c r="AL3996">
        <v>0</v>
      </c>
      <c r="AM3996">
        <v>634.4</v>
      </c>
      <c r="AN3996">
        <v>634.4</v>
      </c>
      <c r="AO3996">
        <v>634.4</v>
      </c>
      <c r="AP3996" s="2">
        <v>42746</v>
      </c>
      <c r="AQ3996" t="s">
        <v>72</v>
      </c>
      <c r="AR3996" t="s">
        <v>72</v>
      </c>
      <c r="AS3996">
        <v>3619</v>
      </c>
      <c r="AT3996" s="4">
        <v>42723</v>
      </c>
      <c r="AU3996" t="s">
        <v>73</v>
      </c>
      <c r="AV3996">
        <v>3619</v>
      </c>
      <c r="AW3996" s="4">
        <v>42723</v>
      </c>
      <c r="BD3996">
        <v>114.4</v>
      </c>
      <c r="BN3996" t="s">
        <v>74</v>
      </c>
    </row>
    <row r="3997" spans="1:66" hidden="1">
      <c r="A3997">
        <v>101482</v>
      </c>
      <c r="B3997" s="3" t="s">
        <v>454</v>
      </c>
      <c r="C3997" s="1">
        <v>43500101</v>
      </c>
      <c r="D3997" t="s">
        <v>113</v>
      </c>
      <c r="H3997" t="str">
        <f>"LBRMLS79A71A489P"</f>
        <v>LBRMLS79A71A489P</v>
      </c>
      <c r="I3997" t="str">
        <f>"02666110644"</f>
        <v>02666110644</v>
      </c>
      <c r="K3997" t="str">
        <f>""</f>
        <v/>
      </c>
      <c r="M3997" t="s">
        <v>68</v>
      </c>
      <c r="N3997" t="str">
        <f t="shared" ref="N3997:N4010" si="434">"ALTPRO"</f>
        <v>ALTPRO</v>
      </c>
      <c r="O3997" t="s">
        <v>132</v>
      </c>
      <c r="P3997" s="3" t="s">
        <v>75</v>
      </c>
      <c r="Q3997">
        <v>2016</v>
      </c>
      <c r="R3997" s="2">
        <v>42393</v>
      </c>
      <c r="S3997" s="2">
        <v>42394</v>
      </c>
      <c r="T3997" s="2">
        <v>42393</v>
      </c>
      <c r="U3997" s="2">
        <v>42453</v>
      </c>
      <c r="V3997" t="s">
        <v>71</v>
      </c>
      <c r="W3997" t="str">
        <f>"      000001-2016-01"</f>
        <v xml:space="preserve">      000001-2016-01</v>
      </c>
      <c r="X3997" s="1">
        <v>2369.8000000000002</v>
      </c>
      <c r="Y3997">
        <v>-473.56</v>
      </c>
      <c r="Z3997"/>
      <c r="AB3997"/>
      <c r="AC3997" s="1">
        <v>1896.24</v>
      </c>
      <c r="AD3997">
        <v>-56</v>
      </c>
      <c r="AE3997" s="1">
        <v>-106189.44</v>
      </c>
      <c r="AF3997">
        <v>0</v>
      </c>
      <c r="AJ3997">
        <v>0</v>
      </c>
      <c r="AK3997">
        <v>0</v>
      </c>
      <c r="AL3997">
        <v>0</v>
      </c>
      <c r="AM3997">
        <v>-473.56</v>
      </c>
      <c r="AN3997" s="1">
        <v>1896.24</v>
      </c>
      <c r="AO3997" s="1">
        <v>1896.24</v>
      </c>
      <c r="AP3997" s="2">
        <v>42746</v>
      </c>
      <c r="AQ3997" t="s">
        <v>72</v>
      </c>
      <c r="AR3997" t="s">
        <v>72</v>
      </c>
      <c r="AS3997">
        <v>139</v>
      </c>
      <c r="AT3997" s="4">
        <v>42397</v>
      </c>
      <c r="AV3997">
        <v>139</v>
      </c>
      <c r="AW3997" s="4">
        <v>42397</v>
      </c>
      <c r="BD3997">
        <v>0</v>
      </c>
      <c r="BN3997" t="s">
        <v>74</v>
      </c>
    </row>
    <row r="3998" spans="1:66" hidden="1">
      <c r="A3998">
        <v>101482</v>
      </c>
      <c r="B3998" s="3" t="s">
        <v>454</v>
      </c>
      <c r="C3998" s="1">
        <v>43500101</v>
      </c>
      <c r="D3998" t="s">
        <v>113</v>
      </c>
      <c r="H3998" t="str">
        <f>"LBRMLS79A71A489P"</f>
        <v>LBRMLS79A71A489P</v>
      </c>
      <c r="I3998" t="str">
        <f>"02666110644"</f>
        <v>02666110644</v>
      </c>
      <c r="K3998" t="str">
        <f>""</f>
        <v/>
      </c>
      <c r="M3998" t="s">
        <v>68</v>
      </c>
      <c r="N3998" t="str">
        <f t="shared" si="434"/>
        <v>ALTPRO</v>
      </c>
      <c r="O3998" t="s">
        <v>132</v>
      </c>
      <c r="P3998" s="3" t="s">
        <v>75</v>
      </c>
      <c r="Q3998">
        <v>2016</v>
      </c>
      <c r="R3998" s="2">
        <v>42393</v>
      </c>
      <c r="S3998" s="2">
        <v>42394</v>
      </c>
      <c r="T3998" s="2">
        <v>42393</v>
      </c>
      <c r="U3998" s="2">
        <v>42453</v>
      </c>
      <c r="V3998" t="s">
        <v>71</v>
      </c>
      <c r="W3998" t="str">
        <f>"      000002-2016-01"</f>
        <v xml:space="preserve">      000002-2016-01</v>
      </c>
      <c r="X3998" s="1">
        <v>3253.5</v>
      </c>
      <c r="Y3998">
        <v>-650.29999999999995</v>
      </c>
      <c r="Z3998"/>
      <c r="AB3998"/>
      <c r="AC3998" s="1">
        <v>2603.1999999999998</v>
      </c>
      <c r="AD3998">
        <v>-56</v>
      </c>
      <c r="AE3998" s="1">
        <v>-145779.20000000001</v>
      </c>
      <c r="AF3998">
        <v>0</v>
      </c>
      <c r="AJ3998">
        <v>0</v>
      </c>
      <c r="AK3998">
        <v>0</v>
      </c>
      <c r="AL3998">
        <v>0</v>
      </c>
      <c r="AM3998">
        <v>-650.29999999999995</v>
      </c>
      <c r="AN3998" s="1">
        <v>2603.1999999999998</v>
      </c>
      <c r="AO3998" s="1">
        <v>2603.1999999999998</v>
      </c>
      <c r="AP3998" s="2">
        <v>42746</v>
      </c>
      <c r="AQ3998" t="s">
        <v>72</v>
      </c>
      <c r="AR3998" t="s">
        <v>72</v>
      </c>
      <c r="AS3998">
        <v>139</v>
      </c>
      <c r="AT3998" s="4">
        <v>42397</v>
      </c>
      <c r="AV3998">
        <v>139</v>
      </c>
      <c r="AW3998" s="4">
        <v>42397</v>
      </c>
      <c r="BD3998">
        <v>0</v>
      </c>
      <c r="BN3998" t="s">
        <v>74</v>
      </c>
    </row>
    <row r="3999" spans="1:66" hidden="1">
      <c r="A3999">
        <v>101483</v>
      </c>
      <c r="B3999" s="3" t="s">
        <v>455</v>
      </c>
      <c r="C3999" s="1">
        <v>43500101</v>
      </c>
      <c r="D3999" t="s">
        <v>113</v>
      </c>
      <c r="H3999" t="str">
        <f t="shared" ref="H3999:H4010" si="435">"LNDGLM73C31A024I"</f>
        <v>LNDGLM73C31A024I</v>
      </c>
      <c r="I3999" t="str">
        <f t="shared" ref="I3999:I4010" si="436">"04360741211"</f>
        <v>04360741211</v>
      </c>
      <c r="K3999" t="str">
        <f>""</f>
        <v/>
      </c>
      <c r="M3999" t="s">
        <v>68</v>
      </c>
      <c r="N3999" t="str">
        <f t="shared" si="434"/>
        <v>ALTPRO</v>
      </c>
      <c r="O3999" t="s">
        <v>132</v>
      </c>
      <c r="P3999" s="3" t="s">
        <v>75</v>
      </c>
      <c r="Q3999">
        <v>2016</v>
      </c>
      <c r="R3999" s="2">
        <v>42378</v>
      </c>
      <c r="S3999" s="2">
        <v>42382</v>
      </c>
      <c r="T3999" s="2">
        <v>42379</v>
      </c>
      <c r="U3999" s="2">
        <v>42439</v>
      </c>
      <c r="V3999" t="s">
        <v>71</v>
      </c>
      <c r="W3999" t="str">
        <f>"         FATTPA 1_16"</f>
        <v xml:space="preserve">         FATTPA 1_16</v>
      </c>
      <c r="X3999">
        <v>875.09</v>
      </c>
      <c r="Y3999">
        <v>-174.62</v>
      </c>
      <c r="Z3999"/>
      <c r="AB3999"/>
      <c r="AC3999">
        <v>700.47</v>
      </c>
      <c r="AD3999">
        <v>-42</v>
      </c>
      <c r="AE3999" s="1">
        <v>-29419.74</v>
      </c>
      <c r="AF3999">
        <v>0</v>
      </c>
      <c r="AJ3999">
        <v>0</v>
      </c>
      <c r="AK3999">
        <v>0</v>
      </c>
      <c r="AL3999">
        <v>0</v>
      </c>
      <c r="AM3999">
        <v>-174.62</v>
      </c>
      <c r="AN3999">
        <v>700.47</v>
      </c>
      <c r="AO3999">
        <v>700.47</v>
      </c>
      <c r="AP3999" s="2">
        <v>42746</v>
      </c>
      <c r="AQ3999" t="s">
        <v>72</v>
      </c>
      <c r="AR3999" t="s">
        <v>72</v>
      </c>
      <c r="AS3999">
        <v>130</v>
      </c>
      <c r="AT3999" s="4">
        <v>42397</v>
      </c>
      <c r="AV3999">
        <v>130</v>
      </c>
      <c r="AW3999" s="4">
        <v>42397</v>
      </c>
      <c r="BD3999">
        <v>0</v>
      </c>
      <c r="BN3999" t="s">
        <v>74</v>
      </c>
    </row>
    <row r="4000" spans="1:66" hidden="1">
      <c r="A4000">
        <v>101483</v>
      </c>
      <c r="B4000" s="3" t="s">
        <v>455</v>
      </c>
      <c r="C4000" s="1">
        <v>43500101</v>
      </c>
      <c r="D4000" t="s">
        <v>113</v>
      </c>
      <c r="H4000" t="str">
        <f t="shared" si="435"/>
        <v>LNDGLM73C31A024I</v>
      </c>
      <c r="I4000" t="str">
        <f t="shared" si="436"/>
        <v>04360741211</v>
      </c>
      <c r="K4000" t="str">
        <f>""</f>
        <v/>
      </c>
      <c r="M4000" t="s">
        <v>68</v>
      </c>
      <c r="N4000" t="str">
        <f t="shared" si="434"/>
        <v>ALTPRO</v>
      </c>
      <c r="O4000" t="s">
        <v>132</v>
      </c>
      <c r="P4000" s="3" t="s">
        <v>75</v>
      </c>
      <c r="Q4000">
        <v>2016</v>
      </c>
      <c r="R4000" s="2">
        <v>42401</v>
      </c>
      <c r="S4000" s="2">
        <v>42402</v>
      </c>
      <c r="T4000" s="2">
        <v>42401</v>
      </c>
      <c r="U4000" s="2">
        <v>42461</v>
      </c>
      <c r="V4000" t="s">
        <v>71</v>
      </c>
      <c r="W4000" t="str">
        <f>"         FATTPA 2_16"</f>
        <v xml:space="preserve">         FATTPA 2_16</v>
      </c>
      <c r="X4000" s="1">
        <v>1128.83</v>
      </c>
      <c r="Y4000">
        <v>-225.37</v>
      </c>
      <c r="Z4000"/>
      <c r="AB4000"/>
      <c r="AC4000">
        <v>903.46</v>
      </c>
      <c r="AD4000">
        <v>-35</v>
      </c>
      <c r="AE4000" s="1">
        <v>-31621.1</v>
      </c>
      <c r="AF4000">
        <v>0</v>
      </c>
      <c r="AJ4000">
        <v>0</v>
      </c>
      <c r="AK4000">
        <v>0</v>
      </c>
      <c r="AL4000">
        <v>0</v>
      </c>
      <c r="AM4000">
        <v>903.46</v>
      </c>
      <c r="AN4000">
        <v>903.46</v>
      </c>
      <c r="AO4000">
        <v>903.46</v>
      </c>
      <c r="AP4000" s="2">
        <v>42746</v>
      </c>
      <c r="AQ4000" t="s">
        <v>72</v>
      </c>
      <c r="AR4000" t="s">
        <v>72</v>
      </c>
      <c r="AS4000">
        <v>587</v>
      </c>
      <c r="AT4000" s="4">
        <v>42426</v>
      </c>
      <c r="AV4000">
        <v>587</v>
      </c>
      <c r="AW4000" s="4">
        <v>42426</v>
      </c>
      <c r="BD4000">
        <v>0</v>
      </c>
      <c r="BN4000" t="s">
        <v>74</v>
      </c>
    </row>
    <row r="4001" spans="1:66" hidden="1">
      <c r="A4001">
        <v>101483</v>
      </c>
      <c r="B4001" s="3" t="s">
        <v>455</v>
      </c>
      <c r="C4001" s="1">
        <v>43500101</v>
      </c>
      <c r="D4001" t="s">
        <v>113</v>
      </c>
      <c r="H4001" t="str">
        <f t="shared" si="435"/>
        <v>LNDGLM73C31A024I</v>
      </c>
      <c r="I4001" t="str">
        <f t="shared" si="436"/>
        <v>04360741211</v>
      </c>
      <c r="K4001" t="str">
        <f>""</f>
        <v/>
      </c>
      <c r="M4001" t="s">
        <v>68</v>
      </c>
      <c r="N4001" t="str">
        <f t="shared" si="434"/>
        <v>ALTPRO</v>
      </c>
      <c r="O4001" t="s">
        <v>132</v>
      </c>
      <c r="P4001" s="3" t="s">
        <v>75</v>
      </c>
      <c r="Q4001">
        <v>2016</v>
      </c>
      <c r="R4001" s="2">
        <v>42435</v>
      </c>
      <c r="S4001" s="2">
        <v>42436</v>
      </c>
      <c r="T4001" s="2">
        <v>42435</v>
      </c>
      <c r="U4001" s="2">
        <v>42495</v>
      </c>
      <c r="V4001" t="s">
        <v>71</v>
      </c>
      <c r="W4001" t="str">
        <f>"         FATTPA 3_16"</f>
        <v xml:space="preserve">         FATTPA 3_16</v>
      </c>
      <c r="X4001">
        <v>945.68</v>
      </c>
      <c r="Y4001">
        <v>-188.74</v>
      </c>
      <c r="Z4001"/>
      <c r="AB4001"/>
      <c r="AC4001">
        <v>756.94</v>
      </c>
      <c r="AD4001">
        <v>-44</v>
      </c>
      <c r="AE4001" s="1">
        <v>-33305.360000000001</v>
      </c>
      <c r="AF4001">
        <v>0</v>
      </c>
      <c r="AJ4001">
        <v>0</v>
      </c>
      <c r="AK4001">
        <v>0</v>
      </c>
      <c r="AL4001">
        <v>0</v>
      </c>
      <c r="AM4001">
        <v>756.94</v>
      </c>
      <c r="AN4001">
        <v>756.94</v>
      </c>
      <c r="AO4001">
        <v>756.94</v>
      </c>
      <c r="AP4001" s="2">
        <v>42746</v>
      </c>
      <c r="AQ4001" t="s">
        <v>72</v>
      </c>
      <c r="AR4001" t="s">
        <v>72</v>
      </c>
      <c r="AS4001">
        <v>726</v>
      </c>
      <c r="AT4001" s="4">
        <v>42451</v>
      </c>
      <c r="AV4001">
        <v>726</v>
      </c>
      <c r="AW4001" s="4">
        <v>42451</v>
      </c>
      <c r="BD4001">
        <v>0</v>
      </c>
      <c r="BN4001" t="s">
        <v>74</v>
      </c>
    </row>
    <row r="4002" spans="1:66" hidden="1">
      <c r="A4002">
        <v>101483</v>
      </c>
      <c r="B4002" s="3" t="s">
        <v>455</v>
      </c>
      <c r="C4002" s="1">
        <v>43500101</v>
      </c>
      <c r="D4002" t="s">
        <v>113</v>
      </c>
      <c r="H4002" t="str">
        <f t="shared" si="435"/>
        <v>LNDGLM73C31A024I</v>
      </c>
      <c r="I4002" t="str">
        <f t="shared" si="436"/>
        <v>04360741211</v>
      </c>
      <c r="K4002" t="str">
        <f>""</f>
        <v/>
      </c>
      <c r="M4002" t="s">
        <v>68</v>
      </c>
      <c r="N4002" t="str">
        <f t="shared" si="434"/>
        <v>ALTPRO</v>
      </c>
      <c r="O4002" t="s">
        <v>132</v>
      </c>
      <c r="P4002" s="3" t="s">
        <v>75</v>
      </c>
      <c r="Q4002">
        <v>2016</v>
      </c>
      <c r="R4002" s="2">
        <v>42462</v>
      </c>
      <c r="S4002" s="2">
        <v>42464</v>
      </c>
      <c r="T4002" s="2">
        <v>42462</v>
      </c>
      <c r="U4002" s="2">
        <v>42522</v>
      </c>
      <c r="V4002" t="s">
        <v>71</v>
      </c>
      <c r="W4002" t="str">
        <f>"         FATTPA 4_16"</f>
        <v xml:space="preserve">         FATTPA 4_16</v>
      </c>
      <c r="X4002" s="1">
        <v>1328.14</v>
      </c>
      <c r="Y4002">
        <v>-265.23</v>
      </c>
      <c r="Z4002"/>
      <c r="AB4002"/>
      <c r="AC4002" s="1">
        <v>1062.9100000000001</v>
      </c>
      <c r="AD4002">
        <v>-35</v>
      </c>
      <c r="AE4002" s="1">
        <v>-37201.85</v>
      </c>
      <c r="AF4002">
        <v>0</v>
      </c>
      <c r="AJ4002">
        <v>0</v>
      </c>
      <c r="AK4002">
        <v>0</v>
      </c>
      <c r="AL4002">
        <v>0</v>
      </c>
      <c r="AM4002" s="1">
        <v>1062.9100000000001</v>
      </c>
      <c r="AN4002" s="1">
        <v>1062.9100000000001</v>
      </c>
      <c r="AO4002" s="1">
        <v>1062.9100000000001</v>
      </c>
      <c r="AP4002" s="2">
        <v>42746</v>
      </c>
      <c r="AQ4002" t="s">
        <v>72</v>
      </c>
      <c r="AR4002" t="s">
        <v>72</v>
      </c>
      <c r="AS4002">
        <v>1162</v>
      </c>
      <c r="AT4002" s="4">
        <v>42487</v>
      </c>
      <c r="AV4002">
        <v>1162</v>
      </c>
      <c r="AW4002" s="4">
        <v>42487</v>
      </c>
      <c r="BD4002">
        <v>0</v>
      </c>
      <c r="BN4002" t="s">
        <v>74</v>
      </c>
    </row>
    <row r="4003" spans="1:66" hidden="1">
      <c r="A4003">
        <v>101483</v>
      </c>
      <c r="B4003" s="3" t="s">
        <v>455</v>
      </c>
      <c r="C4003" s="1">
        <v>43500101</v>
      </c>
      <c r="D4003" t="s">
        <v>113</v>
      </c>
      <c r="H4003" t="str">
        <f t="shared" si="435"/>
        <v>LNDGLM73C31A024I</v>
      </c>
      <c r="I4003" t="str">
        <f t="shared" si="436"/>
        <v>04360741211</v>
      </c>
      <c r="K4003" t="str">
        <f>""</f>
        <v/>
      </c>
      <c r="M4003" t="s">
        <v>68</v>
      </c>
      <c r="N4003" t="str">
        <f t="shared" si="434"/>
        <v>ALTPRO</v>
      </c>
      <c r="O4003" t="s">
        <v>132</v>
      </c>
      <c r="P4003" s="3" t="s">
        <v>75</v>
      </c>
      <c r="Q4003">
        <v>2016</v>
      </c>
      <c r="R4003" s="2">
        <v>42495</v>
      </c>
      <c r="S4003" s="2">
        <v>42495</v>
      </c>
      <c r="T4003" s="2">
        <v>42495</v>
      </c>
      <c r="U4003" s="2">
        <v>42555</v>
      </c>
      <c r="V4003" t="s">
        <v>71</v>
      </c>
      <c r="W4003" t="str">
        <f>"         FATTPA 5_16"</f>
        <v xml:space="preserve">         FATTPA 5_16</v>
      </c>
      <c r="X4003">
        <v>872.45</v>
      </c>
      <c r="Y4003">
        <v>-174.09</v>
      </c>
      <c r="Z4003"/>
      <c r="AB4003"/>
      <c r="AC4003">
        <v>698.36</v>
      </c>
      <c r="AD4003">
        <v>-39</v>
      </c>
      <c r="AE4003" s="1">
        <v>-27236.04</v>
      </c>
      <c r="AF4003">
        <v>0</v>
      </c>
      <c r="AJ4003">
        <v>0</v>
      </c>
      <c r="AK4003">
        <v>0</v>
      </c>
      <c r="AL4003">
        <v>0</v>
      </c>
      <c r="AM4003">
        <v>698.36</v>
      </c>
      <c r="AN4003">
        <v>698.36</v>
      </c>
      <c r="AO4003">
        <v>698.36</v>
      </c>
      <c r="AP4003" s="2">
        <v>42746</v>
      </c>
      <c r="AQ4003" t="s">
        <v>72</v>
      </c>
      <c r="AR4003" t="s">
        <v>72</v>
      </c>
      <c r="AS4003">
        <v>1383</v>
      </c>
      <c r="AT4003" s="4">
        <v>42516</v>
      </c>
      <c r="AV4003">
        <v>1383</v>
      </c>
      <c r="AW4003" s="4">
        <v>42516</v>
      </c>
      <c r="BD4003">
        <v>0</v>
      </c>
      <c r="BN4003" t="s">
        <v>74</v>
      </c>
    </row>
    <row r="4004" spans="1:66" hidden="1">
      <c r="A4004">
        <v>101483</v>
      </c>
      <c r="B4004" s="3" t="s">
        <v>455</v>
      </c>
      <c r="C4004" s="1">
        <v>43500101</v>
      </c>
      <c r="D4004" t="s">
        <v>113</v>
      </c>
      <c r="H4004" t="str">
        <f t="shared" si="435"/>
        <v>LNDGLM73C31A024I</v>
      </c>
      <c r="I4004" t="str">
        <f t="shared" si="436"/>
        <v>04360741211</v>
      </c>
      <c r="K4004" t="str">
        <f>""</f>
        <v/>
      </c>
      <c r="M4004" t="s">
        <v>68</v>
      </c>
      <c r="N4004" t="str">
        <f t="shared" si="434"/>
        <v>ALTPRO</v>
      </c>
      <c r="O4004" t="s">
        <v>132</v>
      </c>
      <c r="P4004" s="3" t="s">
        <v>75</v>
      </c>
      <c r="Q4004">
        <v>2016</v>
      </c>
      <c r="R4004" s="2">
        <v>42527</v>
      </c>
      <c r="S4004" s="2">
        <v>42528</v>
      </c>
      <c r="T4004" s="2">
        <v>42528</v>
      </c>
      <c r="U4004" s="2">
        <v>42588</v>
      </c>
      <c r="V4004" t="s">
        <v>71</v>
      </c>
      <c r="W4004" t="str">
        <f>"         FATTPA 6_16"</f>
        <v xml:space="preserve">         FATTPA 6_16</v>
      </c>
      <c r="X4004" s="1">
        <v>1104.5999999999999</v>
      </c>
      <c r="Y4004">
        <v>-220.52</v>
      </c>
      <c r="Z4004"/>
      <c r="AB4004"/>
      <c r="AC4004">
        <v>884.08</v>
      </c>
      <c r="AD4004">
        <v>-60</v>
      </c>
      <c r="AE4004" s="1">
        <v>-53044.800000000003</v>
      </c>
      <c r="AF4004">
        <v>0</v>
      </c>
      <c r="AJ4004">
        <v>0</v>
      </c>
      <c r="AK4004">
        <v>0</v>
      </c>
      <c r="AL4004">
        <v>0</v>
      </c>
      <c r="AM4004">
        <v>884.08</v>
      </c>
      <c r="AN4004">
        <v>884.08</v>
      </c>
      <c r="AO4004">
        <v>884.08</v>
      </c>
      <c r="AP4004" s="2">
        <v>42746</v>
      </c>
      <c r="AQ4004" t="s">
        <v>72</v>
      </c>
      <c r="AR4004" t="s">
        <v>72</v>
      </c>
      <c r="AS4004">
        <v>1570</v>
      </c>
      <c r="AT4004" s="4">
        <v>42528</v>
      </c>
      <c r="AV4004">
        <v>1570</v>
      </c>
      <c r="AW4004" s="4">
        <v>42528</v>
      </c>
      <c r="BD4004">
        <v>0</v>
      </c>
      <c r="BN4004" t="s">
        <v>74</v>
      </c>
    </row>
    <row r="4005" spans="1:66" hidden="1">
      <c r="A4005">
        <v>101483</v>
      </c>
      <c r="B4005" s="3" t="s">
        <v>455</v>
      </c>
      <c r="C4005" s="1">
        <v>43500101</v>
      </c>
      <c r="D4005" t="s">
        <v>113</v>
      </c>
      <c r="H4005" t="str">
        <f t="shared" si="435"/>
        <v>LNDGLM73C31A024I</v>
      </c>
      <c r="I4005" t="str">
        <f t="shared" si="436"/>
        <v>04360741211</v>
      </c>
      <c r="K4005" t="str">
        <f>""</f>
        <v/>
      </c>
      <c r="M4005" t="s">
        <v>68</v>
      </c>
      <c r="N4005" t="str">
        <f t="shared" si="434"/>
        <v>ALTPRO</v>
      </c>
      <c r="O4005" t="s">
        <v>132</v>
      </c>
      <c r="P4005" s="3" t="s">
        <v>75</v>
      </c>
      <c r="Q4005">
        <v>2016</v>
      </c>
      <c r="R4005" s="2">
        <v>42556</v>
      </c>
      <c r="S4005" s="2">
        <v>42557</v>
      </c>
      <c r="T4005" s="2">
        <v>42557</v>
      </c>
      <c r="U4005" s="2">
        <v>42617</v>
      </c>
      <c r="V4005" t="s">
        <v>71</v>
      </c>
      <c r="W4005" t="str">
        <f>"         FATTPA 7_16"</f>
        <v xml:space="preserve">         FATTPA 7_16</v>
      </c>
      <c r="X4005" s="1">
        <v>1171.1400000000001</v>
      </c>
      <c r="Y4005">
        <v>-233.83</v>
      </c>
      <c r="Z4005"/>
      <c r="AB4005"/>
      <c r="AC4005">
        <v>937.31</v>
      </c>
      <c r="AD4005">
        <v>-51</v>
      </c>
      <c r="AE4005" s="1">
        <v>-47802.81</v>
      </c>
      <c r="AF4005">
        <v>0</v>
      </c>
      <c r="AJ4005">
        <v>0</v>
      </c>
      <c r="AK4005">
        <v>0</v>
      </c>
      <c r="AL4005">
        <v>0</v>
      </c>
      <c r="AM4005">
        <v>937.31</v>
      </c>
      <c r="AN4005">
        <v>937.31</v>
      </c>
      <c r="AO4005">
        <v>937.31</v>
      </c>
      <c r="AP4005" s="2">
        <v>42746</v>
      </c>
      <c r="AQ4005" t="s">
        <v>72</v>
      </c>
      <c r="AR4005" t="s">
        <v>72</v>
      </c>
      <c r="AS4005">
        <v>1793</v>
      </c>
      <c r="AT4005" s="4">
        <v>42566</v>
      </c>
      <c r="AV4005">
        <v>1793</v>
      </c>
      <c r="AW4005" s="4">
        <v>42566</v>
      </c>
      <c r="BD4005">
        <v>0</v>
      </c>
      <c r="BN4005" t="s">
        <v>74</v>
      </c>
    </row>
    <row r="4006" spans="1:66" hidden="1">
      <c r="A4006">
        <v>101483</v>
      </c>
      <c r="B4006" s="3" t="s">
        <v>455</v>
      </c>
      <c r="C4006" s="1">
        <v>43500101</v>
      </c>
      <c r="D4006" t="s">
        <v>113</v>
      </c>
      <c r="H4006" t="str">
        <f t="shared" si="435"/>
        <v>LNDGLM73C31A024I</v>
      </c>
      <c r="I4006" t="str">
        <f t="shared" si="436"/>
        <v>04360741211</v>
      </c>
      <c r="K4006" t="str">
        <f>""</f>
        <v/>
      </c>
      <c r="M4006" t="s">
        <v>68</v>
      </c>
      <c r="N4006" t="str">
        <f t="shared" si="434"/>
        <v>ALTPRO</v>
      </c>
      <c r="O4006" t="s">
        <v>132</v>
      </c>
      <c r="P4006" s="3" t="s">
        <v>75</v>
      </c>
      <c r="Q4006">
        <v>2016</v>
      </c>
      <c r="R4006" s="2">
        <v>42583</v>
      </c>
      <c r="S4006" s="2">
        <v>42584</v>
      </c>
      <c r="T4006" s="2">
        <v>42583</v>
      </c>
      <c r="U4006" s="2">
        <v>42643</v>
      </c>
      <c r="V4006" t="s">
        <v>71</v>
      </c>
      <c r="W4006" t="str">
        <f>"         FATTPA 8_16"</f>
        <v xml:space="preserve">         FATTPA 8_16</v>
      </c>
      <c r="X4006" s="1">
        <v>1317.25</v>
      </c>
      <c r="Y4006">
        <v>-263.05</v>
      </c>
      <c r="Z4006"/>
      <c r="AB4006"/>
      <c r="AC4006" s="1">
        <v>1054.2</v>
      </c>
      <c r="AD4006">
        <v>-58</v>
      </c>
      <c r="AE4006" s="1">
        <v>-61143.6</v>
      </c>
      <c r="AF4006">
        <v>0</v>
      </c>
      <c r="AJ4006">
        <v>0</v>
      </c>
      <c r="AK4006">
        <v>0</v>
      </c>
      <c r="AL4006">
        <v>0</v>
      </c>
      <c r="AM4006" s="1">
        <v>1054.2</v>
      </c>
      <c r="AN4006" s="1">
        <v>1054.2</v>
      </c>
      <c r="AO4006" s="1">
        <v>1054.2</v>
      </c>
      <c r="AP4006" s="2">
        <v>42746</v>
      </c>
      <c r="AQ4006" t="s">
        <v>72</v>
      </c>
      <c r="AR4006" t="s">
        <v>72</v>
      </c>
      <c r="AS4006">
        <v>2062</v>
      </c>
      <c r="AT4006" s="4">
        <v>42585</v>
      </c>
      <c r="AV4006">
        <v>2062</v>
      </c>
      <c r="AW4006" s="4">
        <v>42585</v>
      </c>
      <c r="BD4006">
        <v>0</v>
      </c>
      <c r="BN4006" t="s">
        <v>74</v>
      </c>
    </row>
    <row r="4007" spans="1:66">
      <c r="A4007">
        <v>101483</v>
      </c>
      <c r="B4007" s="3" t="s">
        <v>455</v>
      </c>
      <c r="C4007" s="1">
        <v>43500101</v>
      </c>
      <c r="D4007" t="s">
        <v>113</v>
      </c>
      <c r="H4007" t="str">
        <f t="shared" si="435"/>
        <v>LNDGLM73C31A024I</v>
      </c>
      <c r="I4007" t="str">
        <f t="shared" si="436"/>
        <v>04360741211</v>
      </c>
      <c r="K4007" t="str">
        <f>""</f>
        <v/>
      </c>
      <c r="M4007" t="s">
        <v>68</v>
      </c>
      <c r="N4007" t="str">
        <f t="shared" si="434"/>
        <v>ALTPRO</v>
      </c>
      <c r="O4007" t="s">
        <v>132</v>
      </c>
      <c r="P4007" s="3" t="s">
        <v>75</v>
      </c>
      <c r="Q4007">
        <v>2016</v>
      </c>
      <c r="R4007" s="2">
        <v>42614</v>
      </c>
      <c r="S4007" s="2">
        <v>42621</v>
      </c>
      <c r="T4007" s="2">
        <v>42621</v>
      </c>
      <c r="U4007" s="2">
        <v>42681</v>
      </c>
      <c r="V4007" t="s">
        <v>71</v>
      </c>
      <c r="W4007" t="str">
        <f>"         FATTPA 9_16"</f>
        <v xml:space="preserve">         FATTPA 9_16</v>
      </c>
      <c r="X4007">
        <v>894.51</v>
      </c>
      <c r="Y4007">
        <v>-178.9</v>
      </c>
      <c r="Z4007" s="3">
        <v>715.61</v>
      </c>
      <c r="AA4007">
        <v>-35</v>
      </c>
      <c r="AB4007" s="5">
        <v>-25046.35</v>
      </c>
      <c r="AC4007">
        <v>715.61</v>
      </c>
      <c r="AD4007">
        <v>-35</v>
      </c>
      <c r="AE4007" s="1">
        <v>-25046.35</v>
      </c>
      <c r="AF4007">
        <v>0</v>
      </c>
      <c r="AJ4007">
        <v>0</v>
      </c>
      <c r="AK4007">
        <v>0</v>
      </c>
      <c r="AL4007">
        <v>0</v>
      </c>
      <c r="AM4007">
        <v>715.61</v>
      </c>
      <c r="AN4007">
        <v>715.61</v>
      </c>
      <c r="AO4007">
        <v>715.61</v>
      </c>
      <c r="AP4007" s="2">
        <v>42746</v>
      </c>
      <c r="AQ4007" t="s">
        <v>72</v>
      </c>
      <c r="AR4007" t="s">
        <v>72</v>
      </c>
      <c r="AS4007">
        <v>2511</v>
      </c>
      <c r="AT4007" s="4">
        <v>42646</v>
      </c>
      <c r="AV4007">
        <v>2511</v>
      </c>
      <c r="AW4007" s="4">
        <v>42646</v>
      </c>
      <c r="BD4007">
        <v>0</v>
      </c>
      <c r="BN4007" t="s">
        <v>74</v>
      </c>
    </row>
    <row r="4008" spans="1:66">
      <c r="A4008">
        <v>101483</v>
      </c>
      <c r="B4008" s="3" t="s">
        <v>455</v>
      </c>
      <c r="C4008" s="1">
        <v>43500101</v>
      </c>
      <c r="D4008" t="s">
        <v>113</v>
      </c>
      <c r="H4008" t="str">
        <f t="shared" si="435"/>
        <v>LNDGLM73C31A024I</v>
      </c>
      <c r="I4008" t="str">
        <f t="shared" si="436"/>
        <v>04360741211</v>
      </c>
      <c r="K4008" t="str">
        <f>""</f>
        <v/>
      </c>
      <c r="M4008" t="s">
        <v>68</v>
      </c>
      <c r="N4008" t="str">
        <f t="shared" si="434"/>
        <v>ALTPRO</v>
      </c>
      <c r="O4008" t="s">
        <v>132</v>
      </c>
      <c r="P4008" s="3" t="s">
        <v>75</v>
      </c>
      <c r="Q4008">
        <v>2016</v>
      </c>
      <c r="R4008" s="2">
        <v>42646</v>
      </c>
      <c r="S4008" s="2">
        <v>42647</v>
      </c>
      <c r="T4008" s="2">
        <v>42647</v>
      </c>
      <c r="U4008" s="2">
        <v>42707</v>
      </c>
      <c r="V4008" t="s">
        <v>71</v>
      </c>
      <c r="W4008" t="str">
        <f>"        FATTPA 10_16"</f>
        <v xml:space="preserve">        FATTPA 10_16</v>
      </c>
      <c r="X4008" s="1">
        <v>1342.17</v>
      </c>
      <c r="Y4008">
        <v>-268.43</v>
      </c>
      <c r="Z4008" s="5">
        <v>1073.74</v>
      </c>
      <c r="AA4008">
        <v>-39</v>
      </c>
      <c r="AB4008" s="5">
        <v>-41875.86</v>
      </c>
      <c r="AC4008" s="1">
        <v>1073.74</v>
      </c>
      <c r="AD4008">
        <v>-39</v>
      </c>
      <c r="AE4008" s="1">
        <v>-41875.86</v>
      </c>
      <c r="AF4008">
        <v>0</v>
      </c>
      <c r="AJ4008">
        <v>-268.43</v>
      </c>
      <c r="AK4008" s="1">
        <v>1073.74</v>
      </c>
      <c r="AL4008" s="1">
        <v>1073.74</v>
      </c>
      <c r="AM4008" s="1">
        <v>1073.74</v>
      </c>
      <c r="AN4008" s="1">
        <v>1073.74</v>
      </c>
      <c r="AO4008" s="1">
        <v>1073.74</v>
      </c>
      <c r="AP4008" s="2">
        <v>42746</v>
      </c>
      <c r="AQ4008" t="s">
        <v>72</v>
      </c>
      <c r="AR4008" t="s">
        <v>72</v>
      </c>
      <c r="AS4008">
        <v>2857</v>
      </c>
      <c r="AT4008" s="4">
        <v>42668</v>
      </c>
      <c r="AV4008">
        <v>2857</v>
      </c>
      <c r="AW4008" s="4">
        <v>42668</v>
      </c>
      <c r="BD4008">
        <v>0</v>
      </c>
      <c r="BN4008" t="s">
        <v>74</v>
      </c>
    </row>
    <row r="4009" spans="1:66">
      <c r="A4009">
        <v>101483</v>
      </c>
      <c r="B4009" s="3" t="s">
        <v>455</v>
      </c>
      <c r="C4009" s="1">
        <v>43500101</v>
      </c>
      <c r="D4009" t="s">
        <v>113</v>
      </c>
      <c r="H4009" t="str">
        <f t="shared" si="435"/>
        <v>LNDGLM73C31A024I</v>
      </c>
      <c r="I4009" t="str">
        <f t="shared" si="436"/>
        <v>04360741211</v>
      </c>
      <c r="K4009" t="str">
        <f>""</f>
        <v/>
      </c>
      <c r="M4009" t="s">
        <v>68</v>
      </c>
      <c r="N4009" t="str">
        <f t="shared" si="434"/>
        <v>ALTPRO</v>
      </c>
      <c r="O4009" t="s">
        <v>132</v>
      </c>
      <c r="P4009" s="3" t="s">
        <v>75</v>
      </c>
      <c r="Q4009">
        <v>2016</v>
      </c>
      <c r="R4009" s="2">
        <v>42676</v>
      </c>
      <c r="S4009" s="2">
        <v>42677</v>
      </c>
      <c r="T4009" s="2">
        <v>42677</v>
      </c>
      <c r="U4009" s="2">
        <v>42737</v>
      </c>
      <c r="V4009" t="s">
        <v>71</v>
      </c>
      <c r="W4009" t="str">
        <f>"        FATTPA 11_16"</f>
        <v xml:space="preserve">        FATTPA 11_16</v>
      </c>
      <c r="X4009" s="1">
        <v>1211.6400000000001</v>
      </c>
      <c r="Y4009">
        <v>-242.33</v>
      </c>
      <c r="Z4009" s="3">
        <v>969.31</v>
      </c>
      <c r="AA4009">
        <v>-59</v>
      </c>
      <c r="AB4009" s="5">
        <v>-57189.29</v>
      </c>
      <c r="AC4009">
        <v>969.31</v>
      </c>
      <c r="AD4009">
        <v>-59</v>
      </c>
      <c r="AE4009" s="1">
        <v>-57189.29</v>
      </c>
      <c r="AF4009">
        <v>0</v>
      </c>
      <c r="AJ4009">
        <v>969.31</v>
      </c>
      <c r="AK4009">
        <v>969.31</v>
      </c>
      <c r="AL4009">
        <v>969.31</v>
      </c>
      <c r="AM4009">
        <v>969.31</v>
      </c>
      <c r="AN4009">
        <v>969.31</v>
      </c>
      <c r="AO4009">
        <v>969.31</v>
      </c>
      <c r="AP4009" s="2">
        <v>42746</v>
      </c>
      <c r="AQ4009" t="s">
        <v>72</v>
      </c>
      <c r="AR4009" t="s">
        <v>72</v>
      </c>
      <c r="AS4009">
        <v>2905</v>
      </c>
      <c r="AT4009" s="4">
        <v>42678</v>
      </c>
      <c r="AV4009">
        <v>2905</v>
      </c>
      <c r="AW4009" s="4">
        <v>42678</v>
      </c>
      <c r="BD4009">
        <v>0</v>
      </c>
      <c r="BN4009" t="s">
        <v>74</v>
      </c>
    </row>
    <row r="4010" spans="1:66">
      <c r="A4010">
        <v>101483</v>
      </c>
      <c r="B4010" s="3" t="s">
        <v>455</v>
      </c>
      <c r="C4010" s="1">
        <v>43500101</v>
      </c>
      <c r="D4010" t="s">
        <v>113</v>
      </c>
      <c r="H4010" t="str">
        <f t="shared" si="435"/>
        <v>LNDGLM73C31A024I</v>
      </c>
      <c r="I4010" t="str">
        <f t="shared" si="436"/>
        <v>04360741211</v>
      </c>
      <c r="K4010" t="str">
        <f>""</f>
        <v/>
      </c>
      <c r="M4010" t="s">
        <v>68</v>
      </c>
      <c r="N4010" t="str">
        <f t="shared" si="434"/>
        <v>ALTPRO</v>
      </c>
      <c r="O4010" t="s">
        <v>132</v>
      </c>
      <c r="P4010" s="3" t="s">
        <v>75</v>
      </c>
      <c r="Q4010">
        <v>2016</v>
      </c>
      <c r="R4010" s="2">
        <v>42705</v>
      </c>
      <c r="S4010" s="2">
        <v>42709</v>
      </c>
      <c r="T4010" s="2">
        <v>42706</v>
      </c>
      <c r="U4010" s="2">
        <v>42766</v>
      </c>
      <c r="V4010" t="s">
        <v>71</v>
      </c>
      <c r="W4010" t="str">
        <f>"        FATTPA 12_16"</f>
        <v xml:space="preserve">        FATTPA 12_16</v>
      </c>
      <c r="X4010" s="1">
        <v>1317</v>
      </c>
      <c r="Y4010">
        <v>-263.39999999999998</v>
      </c>
      <c r="Z4010" s="5">
        <v>1053.5999999999999</v>
      </c>
      <c r="AA4010">
        <v>-57</v>
      </c>
      <c r="AB4010" s="5">
        <v>-60055.199999999997</v>
      </c>
      <c r="AC4010" s="1">
        <v>1053.5999999999999</v>
      </c>
      <c r="AD4010">
        <v>-57</v>
      </c>
      <c r="AE4010" s="1">
        <v>-60055.199999999997</v>
      </c>
      <c r="AF4010">
        <v>0</v>
      </c>
      <c r="AJ4010" s="1">
        <v>1053.5999999999999</v>
      </c>
      <c r="AK4010" s="1">
        <v>1053.5999999999999</v>
      </c>
      <c r="AL4010" s="1">
        <v>1053.5999999999999</v>
      </c>
      <c r="AM4010" s="1">
        <v>1053.5999999999999</v>
      </c>
      <c r="AN4010" s="1">
        <v>1053.5999999999999</v>
      </c>
      <c r="AO4010" s="1">
        <v>1053.5999999999999</v>
      </c>
      <c r="AP4010" s="2">
        <v>42746</v>
      </c>
      <c r="AQ4010" t="s">
        <v>72</v>
      </c>
      <c r="AR4010" t="s">
        <v>72</v>
      </c>
      <c r="AS4010">
        <v>3335</v>
      </c>
      <c r="AT4010" s="4">
        <v>42709</v>
      </c>
      <c r="AV4010">
        <v>3335</v>
      </c>
      <c r="AW4010" s="4">
        <v>42709</v>
      </c>
      <c r="BD4010">
        <v>0</v>
      </c>
      <c r="BN4010" t="s">
        <v>74</v>
      </c>
    </row>
    <row r="4011" spans="1:66" hidden="1">
      <c r="A4011">
        <v>101484</v>
      </c>
      <c r="B4011" s="3" t="s">
        <v>456</v>
      </c>
      <c r="C4011" s="1">
        <v>43300101</v>
      </c>
      <c r="D4011" t="s">
        <v>67</v>
      </c>
      <c r="H4011" t="str">
        <f>""</f>
        <v/>
      </c>
      <c r="I4011" t="str">
        <f t="shared" ref="I4011:I4020" si="437">"01372690626"</f>
        <v>01372690626</v>
      </c>
      <c r="K4011" t="str">
        <f>""</f>
        <v/>
      </c>
      <c r="M4011" t="s">
        <v>68</v>
      </c>
      <c r="N4011" t="str">
        <f t="shared" ref="N4011:N4020" si="438">"FOR"</f>
        <v>FOR</v>
      </c>
      <c r="O4011" t="s">
        <v>69</v>
      </c>
      <c r="P4011" s="3" t="s">
        <v>84</v>
      </c>
      <c r="Q4011">
        <v>2016</v>
      </c>
      <c r="R4011" s="2">
        <v>42389</v>
      </c>
      <c r="S4011" s="2">
        <v>42390</v>
      </c>
      <c r="T4011" s="2">
        <v>42390</v>
      </c>
      <c r="U4011" s="2">
        <v>42450</v>
      </c>
      <c r="V4011" t="s">
        <v>71</v>
      </c>
      <c r="W4011" t="str">
        <f>"                0120"</f>
        <v xml:space="preserve">                0120</v>
      </c>
      <c r="X4011">
        <v>0</v>
      </c>
      <c r="Y4011" s="1">
        <v>3208.61</v>
      </c>
      <c r="Z4011"/>
      <c r="AB4011"/>
      <c r="AC4011" s="1">
        <v>3208.61</v>
      </c>
      <c r="AD4011">
        <v>-60</v>
      </c>
      <c r="AE4011" s="1">
        <v>-192516.6</v>
      </c>
      <c r="AF4011">
        <v>0</v>
      </c>
      <c r="AJ4011">
        <v>0</v>
      </c>
      <c r="AK4011">
        <v>0</v>
      </c>
      <c r="AL4011">
        <v>0</v>
      </c>
      <c r="AM4011" s="1">
        <v>3208.61</v>
      </c>
      <c r="AN4011" s="1">
        <v>3208.61</v>
      </c>
      <c r="AO4011" s="1">
        <v>3208.61</v>
      </c>
      <c r="AP4011" s="2">
        <v>42746</v>
      </c>
      <c r="AQ4011" t="s">
        <v>72</v>
      </c>
      <c r="AR4011" t="s">
        <v>72</v>
      </c>
      <c r="AS4011">
        <v>46</v>
      </c>
      <c r="AT4011" s="4">
        <v>42390</v>
      </c>
      <c r="AV4011">
        <v>46</v>
      </c>
      <c r="AW4011" s="4">
        <v>42390</v>
      </c>
      <c r="BD4011">
        <v>0</v>
      </c>
      <c r="BN4011" t="s">
        <v>74</v>
      </c>
    </row>
    <row r="4012" spans="1:66" hidden="1">
      <c r="A4012">
        <v>101484</v>
      </c>
      <c r="B4012" s="3" t="s">
        <v>456</v>
      </c>
      <c r="C4012" s="1">
        <v>43300101</v>
      </c>
      <c r="D4012" t="s">
        <v>67</v>
      </c>
      <c r="H4012" t="str">
        <f>""</f>
        <v/>
      </c>
      <c r="I4012" t="str">
        <f t="shared" si="437"/>
        <v>01372690626</v>
      </c>
      <c r="K4012" t="str">
        <f>""</f>
        <v/>
      </c>
      <c r="M4012" t="s">
        <v>68</v>
      </c>
      <c r="N4012" t="str">
        <f t="shared" si="438"/>
        <v>FOR</v>
      </c>
      <c r="O4012" t="s">
        <v>69</v>
      </c>
      <c r="P4012" s="3" t="s">
        <v>85</v>
      </c>
      <c r="Q4012">
        <v>2016</v>
      </c>
      <c r="R4012" s="2">
        <v>42422</v>
      </c>
      <c r="S4012" s="2">
        <v>42422</v>
      </c>
      <c r="T4012" s="2">
        <v>42422</v>
      </c>
      <c r="U4012" s="2">
        <v>42482</v>
      </c>
      <c r="V4012" t="s">
        <v>71</v>
      </c>
      <c r="W4012" t="str">
        <f>"                0222"</f>
        <v xml:space="preserve">                0222</v>
      </c>
      <c r="X4012">
        <v>0</v>
      </c>
      <c r="Y4012" s="1">
        <v>3278.05</v>
      </c>
      <c r="Z4012"/>
      <c r="AB4012"/>
      <c r="AC4012" s="1">
        <v>3278.05</v>
      </c>
      <c r="AD4012">
        <v>-58</v>
      </c>
      <c r="AE4012" s="1">
        <v>-190126.9</v>
      </c>
      <c r="AF4012">
        <v>0</v>
      </c>
      <c r="AJ4012">
        <v>0</v>
      </c>
      <c r="AK4012">
        <v>0</v>
      </c>
      <c r="AL4012">
        <v>0</v>
      </c>
      <c r="AM4012" s="1">
        <v>3278.05</v>
      </c>
      <c r="AN4012" s="1">
        <v>3278.05</v>
      </c>
      <c r="AO4012" s="1">
        <v>3278.05</v>
      </c>
      <c r="AP4012" s="2">
        <v>42746</v>
      </c>
      <c r="AQ4012" t="s">
        <v>72</v>
      </c>
      <c r="AR4012" t="s">
        <v>72</v>
      </c>
      <c r="AS4012">
        <v>490</v>
      </c>
      <c r="AT4012" s="4">
        <v>42424</v>
      </c>
      <c r="AV4012">
        <v>490</v>
      </c>
      <c r="AW4012" s="4">
        <v>42424</v>
      </c>
      <c r="BD4012">
        <v>0</v>
      </c>
      <c r="BN4012" t="s">
        <v>74</v>
      </c>
    </row>
    <row r="4013" spans="1:66" hidden="1">
      <c r="A4013">
        <v>101484</v>
      </c>
      <c r="B4013" s="3" t="s">
        <v>456</v>
      </c>
      <c r="C4013" s="1">
        <v>43300101</v>
      </c>
      <c r="D4013" t="s">
        <v>67</v>
      </c>
      <c r="H4013" t="str">
        <f>""</f>
        <v/>
      </c>
      <c r="I4013" t="str">
        <f t="shared" si="437"/>
        <v>01372690626</v>
      </c>
      <c r="K4013" t="str">
        <f>""</f>
        <v/>
      </c>
      <c r="M4013" t="s">
        <v>68</v>
      </c>
      <c r="N4013" t="str">
        <f t="shared" si="438"/>
        <v>FOR</v>
      </c>
      <c r="O4013" t="s">
        <v>69</v>
      </c>
      <c r="P4013" s="3" t="s">
        <v>86</v>
      </c>
      <c r="Q4013">
        <v>2016</v>
      </c>
      <c r="R4013" s="2">
        <v>42450</v>
      </c>
      <c r="S4013" s="2">
        <v>42450</v>
      </c>
      <c r="T4013" s="2">
        <v>42450</v>
      </c>
      <c r="U4013" s="2">
        <v>42510</v>
      </c>
      <c r="V4013" t="s">
        <v>71</v>
      </c>
      <c r="W4013" t="str">
        <f>"                0321"</f>
        <v xml:space="preserve">                0321</v>
      </c>
      <c r="X4013">
        <v>0</v>
      </c>
      <c r="Y4013" s="1">
        <v>3365.3</v>
      </c>
      <c r="Z4013"/>
      <c r="AB4013"/>
      <c r="AC4013" s="1">
        <v>3365.3</v>
      </c>
      <c r="AD4013">
        <v>-57</v>
      </c>
      <c r="AE4013" s="1">
        <v>-191822.1</v>
      </c>
      <c r="AF4013">
        <v>0</v>
      </c>
      <c r="AJ4013">
        <v>0</v>
      </c>
      <c r="AK4013">
        <v>0</v>
      </c>
      <c r="AL4013">
        <v>0</v>
      </c>
      <c r="AM4013" s="1">
        <v>3365.3</v>
      </c>
      <c r="AN4013" s="1">
        <v>3365.3</v>
      </c>
      <c r="AO4013" s="1">
        <v>3365.3</v>
      </c>
      <c r="AP4013" s="2">
        <v>42746</v>
      </c>
      <c r="AQ4013" t="s">
        <v>72</v>
      </c>
      <c r="AR4013" t="s">
        <v>72</v>
      </c>
      <c r="AS4013">
        <v>912</v>
      </c>
      <c r="AT4013" s="4">
        <v>42453</v>
      </c>
      <c r="AV4013">
        <v>912</v>
      </c>
      <c r="AW4013" s="4">
        <v>42453</v>
      </c>
      <c r="BD4013">
        <v>0</v>
      </c>
      <c r="BN4013" t="s">
        <v>74</v>
      </c>
    </row>
    <row r="4014" spans="1:66" hidden="1">
      <c r="A4014">
        <v>101484</v>
      </c>
      <c r="B4014" s="3" t="s">
        <v>456</v>
      </c>
      <c r="C4014" s="1">
        <v>43300101</v>
      </c>
      <c r="D4014" t="s">
        <v>67</v>
      </c>
      <c r="H4014" t="str">
        <f>""</f>
        <v/>
      </c>
      <c r="I4014" t="str">
        <f t="shared" si="437"/>
        <v>01372690626</v>
      </c>
      <c r="K4014" t="str">
        <f>""</f>
        <v/>
      </c>
      <c r="M4014" t="s">
        <v>68</v>
      </c>
      <c r="N4014" t="str">
        <f t="shared" si="438"/>
        <v>FOR</v>
      </c>
      <c r="O4014" t="s">
        <v>69</v>
      </c>
      <c r="P4014" s="3" t="s">
        <v>87</v>
      </c>
      <c r="Q4014">
        <v>2016</v>
      </c>
      <c r="R4014" s="2">
        <v>42481</v>
      </c>
      <c r="S4014" s="2">
        <v>42481</v>
      </c>
      <c r="T4014" s="2">
        <v>42481</v>
      </c>
      <c r="U4014" s="2">
        <v>42541</v>
      </c>
      <c r="V4014" t="s">
        <v>71</v>
      </c>
      <c r="W4014" t="str">
        <f>"                0421"</f>
        <v xml:space="preserve">                0421</v>
      </c>
      <c r="X4014">
        <v>0</v>
      </c>
      <c r="Y4014" s="1">
        <v>3365.3</v>
      </c>
      <c r="Z4014"/>
      <c r="AB4014"/>
      <c r="AC4014" s="1">
        <v>3365.3</v>
      </c>
      <c r="AD4014">
        <v>-60</v>
      </c>
      <c r="AE4014" s="1">
        <v>-201918</v>
      </c>
      <c r="AF4014">
        <v>0</v>
      </c>
      <c r="AJ4014">
        <v>0</v>
      </c>
      <c r="AK4014">
        <v>0</v>
      </c>
      <c r="AL4014">
        <v>0</v>
      </c>
      <c r="AM4014" s="1">
        <v>3365.3</v>
      </c>
      <c r="AN4014" s="1">
        <v>3365.3</v>
      </c>
      <c r="AO4014" s="1">
        <v>3365.3</v>
      </c>
      <c r="AP4014" s="2">
        <v>42746</v>
      </c>
      <c r="AQ4014" t="s">
        <v>72</v>
      </c>
      <c r="AR4014" t="s">
        <v>72</v>
      </c>
      <c r="AS4014">
        <v>1078</v>
      </c>
      <c r="AT4014" s="4">
        <v>42481</v>
      </c>
      <c r="AV4014">
        <v>1078</v>
      </c>
      <c r="AW4014" s="4">
        <v>42481</v>
      </c>
      <c r="BD4014">
        <v>0</v>
      </c>
      <c r="BN4014" t="s">
        <v>74</v>
      </c>
    </row>
    <row r="4015" spans="1:66" hidden="1">
      <c r="A4015">
        <v>101484</v>
      </c>
      <c r="B4015" s="3" t="s">
        <v>456</v>
      </c>
      <c r="C4015" s="1">
        <v>43300101</v>
      </c>
      <c r="D4015" t="s">
        <v>67</v>
      </c>
      <c r="H4015" t="str">
        <f>""</f>
        <v/>
      </c>
      <c r="I4015" t="str">
        <f t="shared" si="437"/>
        <v>01372690626</v>
      </c>
      <c r="K4015" t="str">
        <f>""</f>
        <v/>
      </c>
      <c r="M4015" t="s">
        <v>68</v>
      </c>
      <c r="N4015" t="str">
        <f t="shared" si="438"/>
        <v>FOR</v>
      </c>
      <c r="O4015" t="s">
        <v>69</v>
      </c>
      <c r="P4015" s="3" t="s">
        <v>88</v>
      </c>
      <c r="Q4015">
        <v>2016</v>
      </c>
      <c r="R4015" s="2">
        <v>42508</v>
      </c>
      <c r="S4015" s="2">
        <v>42510</v>
      </c>
      <c r="T4015" s="2">
        <v>42510</v>
      </c>
      <c r="U4015" s="2">
        <v>42570</v>
      </c>
      <c r="V4015" t="s">
        <v>71</v>
      </c>
      <c r="W4015" t="str">
        <f>"                0518"</f>
        <v xml:space="preserve">                0518</v>
      </c>
      <c r="X4015">
        <v>0</v>
      </c>
      <c r="Y4015" s="1">
        <v>3185.3</v>
      </c>
      <c r="Z4015"/>
      <c r="AB4015"/>
      <c r="AC4015" s="1">
        <v>3185.3</v>
      </c>
      <c r="AD4015">
        <v>-57</v>
      </c>
      <c r="AE4015" s="1">
        <v>-181562.1</v>
      </c>
      <c r="AF4015">
        <v>0</v>
      </c>
      <c r="AJ4015">
        <v>0</v>
      </c>
      <c r="AK4015">
        <v>0</v>
      </c>
      <c r="AL4015">
        <v>0</v>
      </c>
      <c r="AM4015" s="1">
        <v>3185.3</v>
      </c>
      <c r="AN4015" s="1">
        <v>3185.3</v>
      </c>
      <c r="AO4015" s="1">
        <v>3185.3</v>
      </c>
      <c r="AP4015" s="2">
        <v>42746</v>
      </c>
      <c r="AQ4015" t="s">
        <v>72</v>
      </c>
      <c r="AR4015" t="s">
        <v>72</v>
      </c>
      <c r="AS4015">
        <v>1316</v>
      </c>
      <c r="AT4015" s="4">
        <v>42513</v>
      </c>
      <c r="AV4015">
        <v>1316</v>
      </c>
      <c r="AW4015" s="4">
        <v>42513</v>
      </c>
      <c r="BD4015">
        <v>0</v>
      </c>
      <c r="BN4015" t="s">
        <v>74</v>
      </c>
    </row>
    <row r="4016" spans="1:66" hidden="1">
      <c r="A4016">
        <v>101484</v>
      </c>
      <c r="B4016" s="3" t="s">
        <v>456</v>
      </c>
      <c r="C4016" s="1">
        <v>43300101</v>
      </c>
      <c r="D4016" t="s">
        <v>67</v>
      </c>
      <c r="H4016" t="str">
        <f>""</f>
        <v/>
      </c>
      <c r="I4016" t="str">
        <f t="shared" si="437"/>
        <v>01372690626</v>
      </c>
      <c r="K4016" t="str">
        <f>""</f>
        <v/>
      </c>
      <c r="M4016" t="s">
        <v>68</v>
      </c>
      <c r="N4016" t="str">
        <f t="shared" si="438"/>
        <v>FOR</v>
      </c>
      <c r="O4016" t="s">
        <v>69</v>
      </c>
      <c r="P4016" s="3" t="s">
        <v>89</v>
      </c>
      <c r="Q4016">
        <v>2016</v>
      </c>
      <c r="R4016" s="2">
        <v>42548</v>
      </c>
      <c r="S4016" s="2">
        <v>42543</v>
      </c>
      <c r="T4016" s="2">
        <v>42543</v>
      </c>
      <c r="U4016" s="2">
        <v>42603</v>
      </c>
      <c r="V4016" t="s">
        <v>71</v>
      </c>
      <c r="W4016" t="str">
        <f>"                0627"</f>
        <v xml:space="preserve">                0627</v>
      </c>
      <c r="X4016">
        <v>0</v>
      </c>
      <c r="Y4016" s="1">
        <v>2957.14</v>
      </c>
      <c r="Z4016"/>
      <c r="AB4016"/>
      <c r="AC4016" s="1">
        <v>2957.14</v>
      </c>
      <c r="AD4016">
        <v>-47</v>
      </c>
      <c r="AE4016" s="1">
        <v>-138985.57999999999</v>
      </c>
      <c r="AF4016">
        <v>0</v>
      </c>
      <c r="AJ4016">
        <v>0</v>
      </c>
      <c r="AK4016">
        <v>0</v>
      </c>
      <c r="AL4016">
        <v>0</v>
      </c>
      <c r="AM4016" s="1">
        <v>2957.14</v>
      </c>
      <c r="AN4016" s="1">
        <v>2957.14</v>
      </c>
      <c r="AO4016" s="1">
        <v>2957.14</v>
      </c>
      <c r="AP4016" s="2">
        <v>42746</v>
      </c>
      <c r="AQ4016" t="s">
        <v>72</v>
      </c>
      <c r="AR4016" t="s">
        <v>72</v>
      </c>
      <c r="AS4016">
        <v>1699</v>
      </c>
      <c r="AT4016" s="4">
        <v>42556</v>
      </c>
      <c r="AV4016">
        <v>1699</v>
      </c>
      <c r="AW4016" s="4">
        <v>42556</v>
      </c>
      <c r="BD4016">
        <v>0</v>
      </c>
      <c r="BN4016" t="s">
        <v>74</v>
      </c>
    </row>
    <row r="4017" spans="1:66" hidden="1">
      <c r="A4017">
        <v>101484</v>
      </c>
      <c r="B4017" s="3" t="s">
        <v>456</v>
      </c>
      <c r="C4017" s="1">
        <v>43300101</v>
      </c>
      <c r="D4017" t="s">
        <v>67</v>
      </c>
      <c r="H4017" t="str">
        <f>""</f>
        <v/>
      </c>
      <c r="I4017" t="str">
        <f t="shared" si="437"/>
        <v>01372690626</v>
      </c>
      <c r="K4017" t="str">
        <f>""</f>
        <v/>
      </c>
      <c r="M4017" t="s">
        <v>68</v>
      </c>
      <c r="N4017" t="str">
        <f t="shared" si="438"/>
        <v>FOR</v>
      </c>
      <c r="O4017" t="s">
        <v>69</v>
      </c>
      <c r="P4017" s="3" t="s">
        <v>90</v>
      </c>
      <c r="Q4017">
        <v>2016</v>
      </c>
      <c r="R4017" s="2">
        <v>42573</v>
      </c>
      <c r="S4017" s="2">
        <v>42573</v>
      </c>
      <c r="T4017" s="2">
        <v>42573</v>
      </c>
      <c r="U4017" s="2">
        <v>42633</v>
      </c>
      <c r="V4017" t="s">
        <v>71</v>
      </c>
      <c r="W4017" t="str">
        <f>"                0722"</f>
        <v xml:space="preserve">                0722</v>
      </c>
      <c r="X4017">
        <v>0</v>
      </c>
      <c r="Y4017" s="1">
        <v>2908.73</v>
      </c>
      <c r="Z4017"/>
      <c r="AB4017"/>
      <c r="AC4017" s="1">
        <v>2908.73</v>
      </c>
      <c r="AD4017">
        <v>-48</v>
      </c>
      <c r="AE4017" s="1">
        <v>-139619.04</v>
      </c>
      <c r="AF4017">
        <v>0</v>
      </c>
      <c r="AJ4017">
        <v>0</v>
      </c>
      <c r="AK4017">
        <v>0</v>
      </c>
      <c r="AL4017">
        <v>0</v>
      </c>
      <c r="AM4017" s="1">
        <v>2908.73</v>
      </c>
      <c r="AN4017" s="1">
        <v>2908.73</v>
      </c>
      <c r="AO4017" s="1">
        <v>2908.73</v>
      </c>
      <c r="AP4017" s="2">
        <v>42746</v>
      </c>
      <c r="AQ4017" t="s">
        <v>72</v>
      </c>
      <c r="AR4017" t="s">
        <v>72</v>
      </c>
      <c r="AS4017">
        <v>2099</v>
      </c>
      <c r="AT4017" s="4">
        <v>42585</v>
      </c>
      <c r="AV4017">
        <v>2099</v>
      </c>
      <c r="AW4017" s="4">
        <v>42585</v>
      </c>
      <c r="BD4017">
        <v>0</v>
      </c>
      <c r="BN4017" t="s">
        <v>74</v>
      </c>
    </row>
    <row r="4018" spans="1:66" hidden="1">
      <c r="A4018">
        <v>101484</v>
      </c>
      <c r="B4018" s="3" t="s">
        <v>456</v>
      </c>
      <c r="C4018" s="1">
        <v>43300101</v>
      </c>
      <c r="D4018" t="s">
        <v>67</v>
      </c>
      <c r="H4018" t="str">
        <f>""</f>
        <v/>
      </c>
      <c r="I4018" t="str">
        <f t="shared" si="437"/>
        <v>01372690626</v>
      </c>
      <c r="K4018" t="str">
        <f>""</f>
        <v/>
      </c>
      <c r="M4018" t="s">
        <v>68</v>
      </c>
      <c r="N4018" t="str">
        <f t="shared" si="438"/>
        <v>FOR</v>
      </c>
      <c r="O4018" t="s">
        <v>69</v>
      </c>
      <c r="P4018" s="3" t="s">
        <v>91</v>
      </c>
      <c r="Q4018">
        <v>2016</v>
      </c>
      <c r="R4018" s="2">
        <v>42592</v>
      </c>
      <c r="S4018" s="2">
        <v>42598</v>
      </c>
      <c r="T4018" s="2">
        <v>42598</v>
      </c>
      <c r="U4018" s="2">
        <v>42658</v>
      </c>
      <c r="V4018" t="s">
        <v>71</v>
      </c>
      <c r="W4018" t="str">
        <f>"                0810"</f>
        <v xml:space="preserve">                0810</v>
      </c>
      <c r="X4018">
        <v>0</v>
      </c>
      <c r="Y4018" s="1">
        <v>2908.73</v>
      </c>
      <c r="Z4018"/>
      <c r="AB4018"/>
      <c r="AC4018" s="1">
        <v>2908.73</v>
      </c>
      <c r="AD4018">
        <v>-60</v>
      </c>
      <c r="AE4018" s="1">
        <v>-174523.8</v>
      </c>
      <c r="AF4018">
        <v>0</v>
      </c>
      <c r="AJ4018">
        <v>0</v>
      </c>
      <c r="AK4018">
        <v>0</v>
      </c>
      <c r="AL4018">
        <v>0</v>
      </c>
      <c r="AM4018" s="1">
        <v>2908.73</v>
      </c>
      <c r="AN4018" s="1">
        <v>2908.73</v>
      </c>
      <c r="AO4018" s="1">
        <v>2908.73</v>
      </c>
      <c r="AP4018" s="2">
        <v>42746</v>
      </c>
      <c r="AQ4018" t="s">
        <v>72</v>
      </c>
      <c r="AR4018" t="s">
        <v>72</v>
      </c>
      <c r="AS4018">
        <v>2181</v>
      </c>
      <c r="AT4018" s="4">
        <v>42598</v>
      </c>
      <c r="AV4018">
        <v>2181</v>
      </c>
      <c r="AW4018" s="4">
        <v>42598</v>
      </c>
      <c r="BD4018">
        <v>0</v>
      </c>
      <c r="BN4018" t="s">
        <v>74</v>
      </c>
    </row>
    <row r="4019" spans="1:66" hidden="1">
      <c r="A4019">
        <v>101484</v>
      </c>
      <c r="B4019" s="3" t="s">
        <v>456</v>
      </c>
      <c r="C4019" s="1">
        <v>43300101</v>
      </c>
      <c r="D4019" t="s">
        <v>67</v>
      </c>
      <c r="H4019" t="str">
        <f>""</f>
        <v/>
      </c>
      <c r="I4019" t="str">
        <f t="shared" si="437"/>
        <v>01372690626</v>
      </c>
      <c r="K4019" t="str">
        <f>""</f>
        <v/>
      </c>
      <c r="M4019" t="s">
        <v>68</v>
      </c>
      <c r="N4019" t="str">
        <f t="shared" si="438"/>
        <v>FOR</v>
      </c>
      <c r="O4019" t="s">
        <v>69</v>
      </c>
      <c r="P4019" s="3" t="s">
        <v>92</v>
      </c>
      <c r="Q4019">
        <v>2016</v>
      </c>
      <c r="R4019" s="2">
        <v>42633</v>
      </c>
      <c r="S4019" s="2">
        <v>42634</v>
      </c>
      <c r="T4019" s="2">
        <v>42634</v>
      </c>
      <c r="U4019" s="2">
        <v>42694</v>
      </c>
      <c r="V4019" t="s">
        <v>71</v>
      </c>
      <c r="W4019" t="str">
        <f>"                0920"</f>
        <v xml:space="preserve">                0920</v>
      </c>
      <c r="X4019">
        <v>0</v>
      </c>
      <c r="Y4019" s="1">
        <v>2908.73</v>
      </c>
      <c r="Z4019"/>
      <c r="AB4019"/>
      <c r="AC4019" s="1">
        <v>2908.73</v>
      </c>
      <c r="AD4019">
        <v>-60</v>
      </c>
      <c r="AE4019" s="1">
        <v>-174523.8</v>
      </c>
      <c r="AF4019">
        <v>0</v>
      </c>
      <c r="AJ4019">
        <v>0</v>
      </c>
      <c r="AK4019">
        <v>0</v>
      </c>
      <c r="AL4019">
        <v>0</v>
      </c>
      <c r="AM4019" s="1">
        <v>2908.73</v>
      </c>
      <c r="AN4019" s="1">
        <v>2908.73</v>
      </c>
      <c r="AO4019" s="1">
        <v>2908.73</v>
      </c>
      <c r="AP4019" s="2">
        <v>42746</v>
      </c>
      <c r="AQ4019" t="s">
        <v>72</v>
      </c>
      <c r="AR4019" t="s">
        <v>72</v>
      </c>
      <c r="AS4019">
        <v>2455</v>
      </c>
      <c r="AT4019" s="4">
        <v>42634</v>
      </c>
      <c r="AV4019">
        <v>2455</v>
      </c>
      <c r="AW4019" s="4">
        <v>42634</v>
      </c>
      <c r="BD4019">
        <v>0</v>
      </c>
      <c r="BN4019" t="s">
        <v>74</v>
      </c>
    </row>
    <row r="4020" spans="1:66" hidden="1">
      <c r="A4020">
        <v>101484</v>
      </c>
      <c r="B4020" s="3" t="s">
        <v>456</v>
      </c>
      <c r="C4020" s="1">
        <v>43300101</v>
      </c>
      <c r="D4020" t="s">
        <v>67</v>
      </c>
      <c r="H4020" t="str">
        <f>""</f>
        <v/>
      </c>
      <c r="I4020" t="str">
        <f t="shared" si="437"/>
        <v>01372690626</v>
      </c>
      <c r="K4020" t="str">
        <f>""</f>
        <v/>
      </c>
      <c r="M4020" t="s">
        <v>68</v>
      </c>
      <c r="N4020" t="str">
        <f t="shared" si="438"/>
        <v>FOR</v>
      </c>
      <c r="O4020" t="s">
        <v>69</v>
      </c>
      <c r="P4020" s="3" t="s">
        <v>93</v>
      </c>
      <c r="Q4020">
        <v>2016</v>
      </c>
      <c r="R4020" s="2">
        <v>42664</v>
      </c>
      <c r="S4020" s="2">
        <v>42667</v>
      </c>
      <c r="T4020" s="2">
        <v>42667</v>
      </c>
      <c r="U4020" s="2">
        <v>42727</v>
      </c>
      <c r="V4020" t="s">
        <v>71</v>
      </c>
      <c r="W4020" t="str">
        <f>"                1021"</f>
        <v xml:space="preserve">                1021</v>
      </c>
      <c r="X4020">
        <v>0</v>
      </c>
      <c r="Y4020" s="1">
        <v>2908.73</v>
      </c>
      <c r="Z4020" s="5">
        <v>2908.73</v>
      </c>
      <c r="AA4020">
        <v>-60</v>
      </c>
      <c r="AB4020" s="5">
        <v>-174523.8</v>
      </c>
      <c r="AC4020" s="1">
        <v>2908.73</v>
      </c>
      <c r="AD4020">
        <v>-60</v>
      </c>
      <c r="AE4020" s="1">
        <v>-174523.8</v>
      </c>
      <c r="AF4020">
        <v>0</v>
      </c>
      <c r="AJ4020" s="1">
        <v>2908.73</v>
      </c>
      <c r="AK4020" s="1">
        <v>2908.73</v>
      </c>
      <c r="AL4020" s="1">
        <v>2908.73</v>
      </c>
      <c r="AM4020" s="1">
        <v>2908.73</v>
      </c>
      <c r="AN4020" s="1">
        <v>2908.73</v>
      </c>
      <c r="AO4020" s="1">
        <v>2908.73</v>
      </c>
      <c r="AP4020" s="2">
        <v>42746</v>
      </c>
      <c r="AQ4020" t="s">
        <v>72</v>
      </c>
      <c r="AR4020" t="s">
        <v>72</v>
      </c>
      <c r="AS4020">
        <v>2802</v>
      </c>
      <c r="AT4020" s="4">
        <v>42667</v>
      </c>
      <c r="AV4020">
        <v>2802</v>
      </c>
      <c r="AW4020" s="4">
        <v>42667</v>
      </c>
      <c r="BD4020">
        <v>0</v>
      </c>
      <c r="BN4020" t="s">
        <v>74</v>
      </c>
    </row>
    <row r="4021" spans="1:66" hidden="1">
      <c r="A4021">
        <v>101485</v>
      </c>
      <c r="B4021" s="3" t="s">
        <v>457</v>
      </c>
      <c r="C4021" s="1">
        <v>43500101</v>
      </c>
      <c r="D4021" t="s">
        <v>113</v>
      </c>
      <c r="H4021" t="str">
        <f>""</f>
        <v/>
      </c>
      <c r="I4021" t="str">
        <f>""</f>
        <v/>
      </c>
      <c r="K4021" t="str">
        <f>""</f>
        <v/>
      </c>
      <c r="M4021" t="s">
        <v>68</v>
      </c>
      <c r="N4021" t="str">
        <f t="shared" ref="N4021:N4033" si="439">"ALT"</f>
        <v>ALT</v>
      </c>
      <c r="O4021" t="s">
        <v>114</v>
      </c>
      <c r="P4021" s="3" t="s">
        <v>84</v>
      </c>
      <c r="Q4021">
        <v>2016</v>
      </c>
      <c r="R4021" s="2">
        <v>42389</v>
      </c>
      <c r="S4021" s="2">
        <v>42390</v>
      </c>
      <c r="T4021" s="2">
        <v>42390</v>
      </c>
      <c r="U4021" s="2">
        <v>42450</v>
      </c>
      <c r="V4021" t="s">
        <v>71</v>
      </c>
      <c r="W4021" t="str">
        <f>"                0120"</f>
        <v xml:space="preserve">                0120</v>
      </c>
      <c r="X4021">
        <v>0</v>
      </c>
      <c r="Y4021">
        <v>458.75</v>
      </c>
      <c r="Z4021"/>
      <c r="AB4021"/>
      <c r="AC4021">
        <v>458.75</v>
      </c>
      <c r="AD4021">
        <v>-60</v>
      </c>
      <c r="AE4021" s="1">
        <v>-27525</v>
      </c>
      <c r="AF4021">
        <v>0</v>
      </c>
      <c r="AJ4021">
        <v>0</v>
      </c>
      <c r="AK4021">
        <v>0</v>
      </c>
      <c r="AL4021">
        <v>0</v>
      </c>
      <c r="AM4021">
        <v>458.75</v>
      </c>
      <c r="AN4021">
        <v>458.75</v>
      </c>
      <c r="AO4021">
        <v>458.75</v>
      </c>
      <c r="AP4021" s="2">
        <v>42746</v>
      </c>
      <c r="AQ4021" t="s">
        <v>72</v>
      </c>
      <c r="AR4021" t="s">
        <v>72</v>
      </c>
      <c r="AS4021">
        <v>85</v>
      </c>
      <c r="AT4021" s="4">
        <v>42390</v>
      </c>
      <c r="AV4021">
        <v>85</v>
      </c>
      <c r="AW4021" s="4">
        <v>42390</v>
      </c>
      <c r="BD4021">
        <v>0</v>
      </c>
      <c r="BN4021" t="s">
        <v>74</v>
      </c>
    </row>
    <row r="4022" spans="1:66" hidden="1">
      <c r="A4022">
        <v>101485</v>
      </c>
      <c r="B4022" s="3" t="s">
        <v>457</v>
      </c>
      <c r="C4022" s="1">
        <v>43500101</v>
      </c>
      <c r="D4022" t="s">
        <v>113</v>
      </c>
      <c r="H4022" t="str">
        <f>""</f>
        <v/>
      </c>
      <c r="I4022" t="str">
        <f>""</f>
        <v/>
      </c>
      <c r="K4022" t="str">
        <f>""</f>
        <v/>
      </c>
      <c r="M4022" t="s">
        <v>68</v>
      </c>
      <c r="N4022" t="str">
        <f t="shared" si="439"/>
        <v>ALT</v>
      </c>
      <c r="O4022" t="s">
        <v>114</v>
      </c>
      <c r="P4022" s="3" t="s">
        <v>85</v>
      </c>
      <c r="Q4022">
        <v>2016</v>
      </c>
      <c r="R4022" s="2">
        <v>42422</v>
      </c>
      <c r="S4022" s="2">
        <v>42422</v>
      </c>
      <c r="T4022" s="2">
        <v>42422</v>
      </c>
      <c r="U4022" s="2">
        <v>42482</v>
      </c>
      <c r="V4022" t="s">
        <v>71</v>
      </c>
      <c r="W4022" t="str">
        <f>"                0222"</f>
        <v xml:space="preserve">                0222</v>
      </c>
      <c r="X4022">
        <v>0</v>
      </c>
      <c r="Y4022">
        <v>458.75</v>
      </c>
      <c r="Z4022"/>
      <c r="AB4022"/>
      <c r="AC4022">
        <v>458.75</v>
      </c>
      <c r="AD4022">
        <v>-58</v>
      </c>
      <c r="AE4022" s="1">
        <v>-26607.5</v>
      </c>
      <c r="AF4022">
        <v>0</v>
      </c>
      <c r="AJ4022">
        <v>0</v>
      </c>
      <c r="AK4022">
        <v>0</v>
      </c>
      <c r="AL4022">
        <v>0</v>
      </c>
      <c r="AM4022">
        <v>458.75</v>
      </c>
      <c r="AN4022">
        <v>458.75</v>
      </c>
      <c r="AO4022">
        <v>458.75</v>
      </c>
      <c r="AP4022" s="2">
        <v>42746</v>
      </c>
      <c r="AQ4022" t="s">
        <v>72</v>
      </c>
      <c r="AR4022" t="s">
        <v>72</v>
      </c>
      <c r="AS4022">
        <v>529</v>
      </c>
      <c r="AT4022" s="4">
        <v>42424</v>
      </c>
      <c r="AV4022">
        <v>529</v>
      </c>
      <c r="AW4022" s="4">
        <v>42424</v>
      </c>
      <c r="BD4022">
        <v>0</v>
      </c>
      <c r="BN4022" t="s">
        <v>74</v>
      </c>
    </row>
    <row r="4023" spans="1:66" hidden="1">
      <c r="A4023">
        <v>101485</v>
      </c>
      <c r="B4023" s="3" t="s">
        <v>457</v>
      </c>
      <c r="C4023" s="1">
        <v>43500101</v>
      </c>
      <c r="D4023" t="s">
        <v>113</v>
      </c>
      <c r="H4023" t="str">
        <f>""</f>
        <v/>
      </c>
      <c r="I4023" t="str">
        <f>""</f>
        <v/>
      </c>
      <c r="K4023" t="str">
        <f>""</f>
        <v/>
      </c>
      <c r="M4023" t="s">
        <v>68</v>
      </c>
      <c r="N4023" t="str">
        <f t="shared" si="439"/>
        <v>ALT</v>
      </c>
      <c r="O4023" t="s">
        <v>114</v>
      </c>
      <c r="P4023" s="3" t="s">
        <v>86</v>
      </c>
      <c r="Q4023">
        <v>2016</v>
      </c>
      <c r="R4023" s="2">
        <v>42450</v>
      </c>
      <c r="S4023" s="2">
        <v>42450</v>
      </c>
      <c r="T4023" s="2">
        <v>42450</v>
      </c>
      <c r="U4023" s="2">
        <v>42510</v>
      </c>
      <c r="V4023" t="s">
        <v>71</v>
      </c>
      <c r="W4023" t="str">
        <f>"                0321"</f>
        <v xml:space="preserve">                0321</v>
      </c>
      <c r="X4023">
        <v>0</v>
      </c>
      <c r="Y4023">
        <v>458.75</v>
      </c>
      <c r="Z4023"/>
      <c r="AB4023"/>
      <c r="AC4023">
        <v>458.75</v>
      </c>
      <c r="AD4023">
        <v>-57</v>
      </c>
      <c r="AE4023" s="1">
        <v>-26148.75</v>
      </c>
      <c r="AF4023">
        <v>0</v>
      </c>
      <c r="AJ4023">
        <v>0</v>
      </c>
      <c r="AK4023">
        <v>0</v>
      </c>
      <c r="AL4023">
        <v>0</v>
      </c>
      <c r="AM4023">
        <v>458.75</v>
      </c>
      <c r="AN4023">
        <v>458.75</v>
      </c>
      <c r="AO4023">
        <v>458.75</v>
      </c>
      <c r="AP4023" s="2">
        <v>42746</v>
      </c>
      <c r="AQ4023" t="s">
        <v>72</v>
      </c>
      <c r="AR4023" t="s">
        <v>72</v>
      </c>
      <c r="AS4023">
        <v>951</v>
      </c>
      <c r="AT4023" s="4">
        <v>42453</v>
      </c>
      <c r="AV4023">
        <v>951</v>
      </c>
      <c r="AW4023" s="4">
        <v>42453</v>
      </c>
      <c r="BD4023">
        <v>0</v>
      </c>
      <c r="BN4023" t="s">
        <v>74</v>
      </c>
    </row>
    <row r="4024" spans="1:66" hidden="1">
      <c r="A4024">
        <v>101485</v>
      </c>
      <c r="B4024" s="3" t="s">
        <v>457</v>
      </c>
      <c r="C4024" s="1">
        <v>43500101</v>
      </c>
      <c r="D4024" t="s">
        <v>113</v>
      </c>
      <c r="H4024" t="str">
        <f>""</f>
        <v/>
      </c>
      <c r="I4024" t="str">
        <f>""</f>
        <v/>
      </c>
      <c r="K4024" t="str">
        <f>""</f>
        <v/>
      </c>
      <c r="M4024" t="s">
        <v>68</v>
      </c>
      <c r="N4024" t="str">
        <f t="shared" si="439"/>
        <v>ALT</v>
      </c>
      <c r="O4024" t="s">
        <v>114</v>
      </c>
      <c r="P4024" s="3" t="s">
        <v>87</v>
      </c>
      <c r="Q4024">
        <v>2016</v>
      </c>
      <c r="R4024" s="2">
        <v>42481</v>
      </c>
      <c r="S4024" s="2">
        <v>42481</v>
      </c>
      <c r="T4024" s="2">
        <v>42481</v>
      </c>
      <c r="U4024" s="2">
        <v>42541</v>
      </c>
      <c r="V4024" t="s">
        <v>71</v>
      </c>
      <c r="W4024" t="str">
        <f>"                0421"</f>
        <v xml:space="preserve">                0421</v>
      </c>
      <c r="X4024">
        <v>0</v>
      </c>
      <c r="Y4024">
        <v>458.75</v>
      </c>
      <c r="Z4024"/>
      <c r="AB4024"/>
      <c r="AC4024">
        <v>458.75</v>
      </c>
      <c r="AD4024">
        <v>-60</v>
      </c>
      <c r="AE4024" s="1">
        <v>-27525</v>
      </c>
      <c r="AF4024">
        <v>0</v>
      </c>
      <c r="AJ4024">
        <v>0</v>
      </c>
      <c r="AK4024">
        <v>0</v>
      </c>
      <c r="AL4024">
        <v>0</v>
      </c>
      <c r="AM4024">
        <v>458.75</v>
      </c>
      <c r="AN4024">
        <v>458.75</v>
      </c>
      <c r="AO4024">
        <v>458.75</v>
      </c>
      <c r="AP4024" s="2">
        <v>42746</v>
      </c>
      <c r="AQ4024" t="s">
        <v>72</v>
      </c>
      <c r="AR4024" t="s">
        <v>72</v>
      </c>
      <c r="AS4024">
        <v>1116</v>
      </c>
      <c r="AT4024" s="4">
        <v>42481</v>
      </c>
      <c r="AV4024">
        <v>1116</v>
      </c>
      <c r="AW4024" s="4">
        <v>42481</v>
      </c>
      <c r="BD4024">
        <v>0</v>
      </c>
      <c r="BN4024" t="s">
        <v>74</v>
      </c>
    </row>
    <row r="4025" spans="1:66" hidden="1">
      <c r="A4025">
        <v>101485</v>
      </c>
      <c r="B4025" s="3" t="s">
        <v>457</v>
      </c>
      <c r="C4025" s="1">
        <v>43500101</v>
      </c>
      <c r="D4025" t="s">
        <v>113</v>
      </c>
      <c r="H4025" t="str">
        <f>""</f>
        <v/>
      </c>
      <c r="I4025" t="str">
        <f>""</f>
        <v/>
      </c>
      <c r="K4025" t="str">
        <f>""</f>
        <v/>
      </c>
      <c r="M4025" t="s">
        <v>68</v>
      </c>
      <c r="N4025" t="str">
        <f t="shared" si="439"/>
        <v>ALT</v>
      </c>
      <c r="O4025" t="s">
        <v>114</v>
      </c>
      <c r="P4025" s="3" t="s">
        <v>88</v>
      </c>
      <c r="Q4025">
        <v>2016</v>
      </c>
      <c r="R4025" s="2">
        <v>42508</v>
      </c>
      <c r="S4025" s="2">
        <v>42510</v>
      </c>
      <c r="T4025" s="2">
        <v>42510</v>
      </c>
      <c r="U4025" s="2">
        <v>42570</v>
      </c>
      <c r="V4025" t="s">
        <v>71</v>
      </c>
      <c r="W4025" t="str">
        <f>"                0518"</f>
        <v xml:space="preserve">                0518</v>
      </c>
      <c r="X4025">
        <v>0</v>
      </c>
      <c r="Y4025">
        <v>458.75</v>
      </c>
      <c r="Z4025"/>
      <c r="AB4025"/>
      <c r="AC4025">
        <v>458.75</v>
      </c>
      <c r="AD4025">
        <v>-57</v>
      </c>
      <c r="AE4025" s="1">
        <v>-26148.75</v>
      </c>
      <c r="AF4025">
        <v>0</v>
      </c>
      <c r="AJ4025">
        <v>0</v>
      </c>
      <c r="AK4025">
        <v>0</v>
      </c>
      <c r="AL4025">
        <v>0</v>
      </c>
      <c r="AM4025">
        <v>458.75</v>
      </c>
      <c r="AN4025">
        <v>458.75</v>
      </c>
      <c r="AO4025">
        <v>458.75</v>
      </c>
      <c r="AP4025" s="2">
        <v>42746</v>
      </c>
      <c r="AQ4025" t="s">
        <v>72</v>
      </c>
      <c r="AR4025" t="s">
        <v>72</v>
      </c>
      <c r="AS4025">
        <v>1354</v>
      </c>
      <c r="AT4025" s="4">
        <v>42513</v>
      </c>
      <c r="AV4025">
        <v>1354</v>
      </c>
      <c r="AW4025" s="4">
        <v>42513</v>
      </c>
      <c r="BD4025">
        <v>0</v>
      </c>
      <c r="BN4025" t="s">
        <v>74</v>
      </c>
    </row>
    <row r="4026" spans="1:66" hidden="1">
      <c r="A4026">
        <v>101485</v>
      </c>
      <c r="B4026" s="3" t="s">
        <v>457</v>
      </c>
      <c r="C4026" s="1">
        <v>43500101</v>
      </c>
      <c r="D4026" t="s">
        <v>113</v>
      </c>
      <c r="H4026" t="str">
        <f>""</f>
        <v/>
      </c>
      <c r="I4026" t="str">
        <f>""</f>
        <v/>
      </c>
      <c r="K4026" t="str">
        <f>""</f>
        <v/>
      </c>
      <c r="M4026" t="s">
        <v>68</v>
      </c>
      <c r="N4026" t="str">
        <f t="shared" si="439"/>
        <v>ALT</v>
      </c>
      <c r="O4026" t="s">
        <v>114</v>
      </c>
      <c r="P4026" s="3" t="s">
        <v>89</v>
      </c>
      <c r="Q4026">
        <v>2016</v>
      </c>
      <c r="R4026" s="2">
        <v>42548</v>
      </c>
      <c r="S4026" s="2">
        <v>42543</v>
      </c>
      <c r="T4026" s="2">
        <v>42543</v>
      </c>
      <c r="U4026" s="2">
        <v>42603</v>
      </c>
      <c r="V4026" t="s">
        <v>71</v>
      </c>
      <c r="W4026" t="str">
        <f>"                0627"</f>
        <v xml:space="preserve">                0627</v>
      </c>
      <c r="X4026">
        <v>0</v>
      </c>
      <c r="Y4026">
        <v>441.47</v>
      </c>
      <c r="Z4026"/>
      <c r="AB4026"/>
      <c r="AC4026">
        <v>441.47</v>
      </c>
      <c r="AD4026">
        <v>-47</v>
      </c>
      <c r="AE4026" s="1">
        <v>-20749.09</v>
      </c>
      <c r="AF4026">
        <v>0</v>
      </c>
      <c r="AJ4026">
        <v>0</v>
      </c>
      <c r="AK4026">
        <v>0</v>
      </c>
      <c r="AL4026">
        <v>0</v>
      </c>
      <c r="AM4026">
        <v>441.47</v>
      </c>
      <c r="AN4026">
        <v>441.47</v>
      </c>
      <c r="AO4026">
        <v>441.47</v>
      </c>
      <c r="AP4026" s="2">
        <v>42746</v>
      </c>
      <c r="AQ4026" t="s">
        <v>72</v>
      </c>
      <c r="AR4026" t="s">
        <v>72</v>
      </c>
      <c r="AS4026">
        <v>1737</v>
      </c>
      <c r="AT4026" s="4">
        <v>42556</v>
      </c>
      <c r="AV4026">
        <v>1737</v>
      </c>
      <c r="AW4026" s="4">
        <v>42556</v>
      </c>
      <c r="BD4026">
        <v>0</v>
      </c>
      <c r="BN4026" t="s">
        <v>74</v>
      </c>
    </row>
    <row r="4027" spans="1:66" hidden="1">
      <c r="A4027">
        <v>101485</v>
      </c>
      <c r="B4027" s="3" t="s">
        <v>457</v>
      </c>
      <c r="C4027" s="1">
        <v>43500101</v>
      </c>
      <c r="D4027" t="s">
        <v>113</v>
      </c>
      <c r="H4027" t="str">
        <f>""</f>
        <v/>
      </c>
      <c r="I4027" t="str">
        <f>""</f>
        <v/>
      </c>
      <c r="K4027" t="str">
        <f>""</f>
        <v/>
      </c>
      <c r="M4027" t="s">
        <v>68</v>
      </c>
      <c r="N4027" t="str">
        <f t="shared" si="439"/>
        <v>ALT</v>
      </c>
      <c r="O4027" t="s">
        <v>114</v>
      </c>
      <c r="P4027" s="3" t="s">
        <v>90</v>
      </c>
      <c r="Q4027">
        <v>2016</v>
      </c>
      <c r="R4027" s="2">
        <v>42573</v>
      </c>
      <c r="S4027" s="2">
        <v>42573</v>
      </c>
      <c r="T4027" s="2">
        <v>42573</v>
      </c>
      <c r="U4027" s="2">
        <v>42633</v>
      </c>
      <c r="V4027" t="s">
        <v>71</v>
      </c>
      <c r="W4027" t="str">
        <f>"                0722"</f>
        <v xml:space="preserve">                0722</v>
      </c>
      <c r="X4027">
        <v>0</v>
      </c>
      <c r="Y4027">
        <v>441.47</v>
      </c>
      <c r="Z4027"/>
      <c r="AB4027"/>
      <c r="AC4027">
        <v>441.47</v>
      </c>
      <c r="AD4027">
        <v>-48</v>
      </c>
      <c r="AE4027" s="1">
        <v>-21190.560000000001</v>
      </c>
      <c r="AF4027">
        <v>0</v>
      </c>
      <c r="AJ4027">
        <v>0</v>
      </c>
      <c r="AK4027">
        <v>0</v>
      </c>
      <c r="AL4027">
        <v>0</v>
      </c>
      <c r="AM4027">
        <v>441.47</v>
      </c>
      <c r="AN4027">
        <v>441.47</v>
      </c>
      <c r="AO4027">
        <v>441.47</v>
      </c>
      <c r="AP4027" s="2">
        <v>42746</v>
      </c>
      <c r="AQ4027" t="s">
        <v>72</v>
      </c>
      <c r="AR4027" t="s">
        <v>72</v>
      </c>
      <c r="AS4027">
        <v>2135</v>
      </c>
      <c r="AT4027" s="4">
        <v>42585</v>
      </c>
      <c r="AV4027">
        <v>2135</v>
      </c>
      <c r="AW4027" s="4">
        <v>42585</v>
      </c>
      <c r="BD4027">
        <v>0</v>
      </c>
      <c r="BN4027" t="s">
        <v>74</v>
      </c>
    </row>
    <row r="4028" spans="1:66" hidden="1">
      <c r="A4028">
        <v>101485</v>
      </c>
      <c r="B4028" s="3" t="s">
        <v>457</v>
      </c>
      <c r="C4028" s="1">
        <v>43500101</v>
      </c>
      <c r="D4028" t="s">
        <v>113</v>
      </c>
      <c r="H4028" t="str">
        <f>""</f>
        <v/>
      </c>
      <c r="I4028" t="str">
        <f>""</f>
        <v/>
      </c>
      <c r="K4028" t="str">
        <f>""</f>
        <v/>
      </c>
      <c r="M4028" t="s">
        <v>68</v>
      </c>
      <c r="N4028" t="str">
        <f t="shared" si="439"/>
        <v>ALT</v>
      </c>
      <c r="O4028" t="s">
        <v>114</v>
      </c>
      <c r="P4028" s="3" t="s">
        <v>91</v>
      </c>
      <c r="Q4028">
        <v>2016</v>
      </c>
      <c r="R4028" s="2">
        <v>42592</v>
      </c>
      <c r="S4028" s="2">
        <v>42598</v>
      </c>
      <c r="T4028" s="2">
        <v>42598</v>
      </c>
      <c r="U4028" s="2">
        <v>42658</v>
      </c>
      <c r="V4028" t="s">
        <v>71</v>
      </c>
      <c r="W4028" t="str">
        <f>"                0810"</f>
        <v xml:space="preserve">                0810</v>
      </c>
      <c r="X4028">
        <v>0</v>
      </c>
      <c r="Y4028">
        <v>441.47</v>
      </c>
      <c r="Z4028"/>
      <c r="AB4028"/>
      <c r="AC4028">
        <v>441.47</v>
      </c>
      <c r="AD4028">
        <v>-60</v>
      </c>
      <c r="AE4028" s="1">
        <v>-26488.2</v>
      </c>
      <c r="AF4028">
        <v>0</v>
      </c>
      <c r="AJ4028">
        <v>0</v>
      </c>
      <c r="AK4028">
        <v>0</v>
      </c>
      <c r="AL4028">
        <v>0</v>
      </c>
      <c r="AM4028">
        <v>441.47</v>
      </c>
      <c r="AN4028">
        <v>441.47</v>
      </c>
      <c r="AO4028">
        <v>441.47</v>
      </c>
      <c r="AP4028" s="2">
        <v>42746</v>
      </c>
      <c r="AQ4028" t="s">
        <v>72</v>
      </c>
      <c r="AR4028" t="s">
        <v>72</v>
      </c>
      <c r="AS4028">
        <v>2218</v>
      </c>
      <c r="AT4028" s="4">
        <v>42598</v>
      </c>
      <c r="AV4028">
        <v>2218</v>
      </c>
      <c r="AW4028" s="4">
        <v>42598</v>
      </c>
      <c r="BD4028">
        <v>0</v>
      </c>
      <c r="BN4028" t="s">
        <v>74</v>
      </c>
    </row>
    <row r="4029" spans="1:66" hidden="1">
      <c r="A4029">
        <v>101485</v>
      </c>
      <c r="B4029" s="3" t="s">
        <v>457</v>
      </c>
      <c r="C4029" s="1">
        <v>43500101</v>
      </c>
      <c r="D4029" t="s">
        <v>113</v>
      </c>
      <c r="H4029" t="str">
        <f>""</f>
        <v/>
      </c>
      <c r="I4029" t="str">
        <f>""</f>
        <v/>
      </c>
      <c r="K4029" t="str">
        <f>""</f>
        <v/>
      </c>
      <c r="M4029" t="s">
        <v>68</v>
      </c>
      <c r="N4029" t="str">
        <f t="shared" si="439"/>
        <v>ALT</v>
      </c>
      <c r="O4029" t="s">
        <v>114</v>
      </c>
      <c r="P4029" s="3" t="s">
        <v>92</v>
      </c>
      <c r="Q4029">
        <v>2016</v>
      </c>
      <c r="R4029" s="2">
        <v>42633</v>
      </c>
      <c r="S4029" s="2">
        <v>42634</v>
      </c>
      <c r="T4029" s="2">
        <v>42634</v>
      </c>
      <c r="U4029" s="2">
        <v>42694</v>
      </c>
      <c r="V4029" t="s">
        <v>71</v>
      </c>
      <c r="W4029" t="str">
        <f>"                0920"</f>
        <v xml:space="preserve">                0920</v>
      </c>
      <c r="X4029">
        <v>0</v>
      </c>
      <c r="Y4029">
        <v>441.47</v>
      </c>
      <c r="Z4029"/>
      <c r="AB4029"/>
      <c r="AC4029">
        <v>441.47</v>
      </c>
      <c r="AD4029">
        <v>-60</v>
      </c>
      <c r="AE4029" s="1">
        <v>-26488.2</v>
      </c>
      <c r="AF4029">
        <v>0</v>
      </c>
      <c r="AJ4029">
        <v>0</v>
      </c>
      <c r="AK4029">
        <v>0</v>
      </c>
      <c r="AL4029">
        <v>0</v>
      </c>
      <c r="AM4029">
        <v>441.47</v>
      </c>
      <c r="AN4029">
        <v>441.47</v>
      </c>
      <c r="AO4029">
        <v>441.47</v>
      </c>
      <c r="AP4029" s="2">
        <v>42746</v>
      </c>
      <c r="AQ4029" t="s">
        <v>72</v>
      </c>
      <c r="AR4029" t="s">
        <v>72</v>
      </c>
      <c r="AS4029">
        <v>2491</v>
      </c>
      <c r="AT4029" s="4">
        <v>42634</v>
      </c>
      <c r="AV4029">
        <v>2491</v>
      </c>
      <c r="AW4029" s="4">
        <v>42634</v>
      </c>
      <c r="BD4029">
        <v>0</v>
      </c>
      <c r="BN4029" t="s">
        <v>74</v>
      </c>
    </row>
    <row r="4030" spans="1:66" hidden="1">
      <c r="A4030">
        <v>101485</v>
      </c>
      <c r="B4030" s="3" t="s">
        <v>457</v>
      </c>
      <c r="C4030" s="1">
        <v>43500101</v>
      </c>
      <c r="D4030" t="s">
        <v>113</v>
      </c>
      <c r="H4030" t="str">
        <f>""</f>
        <v/>
      </c>
      <c r="I4030" t="str">
        <f>""</f>
        <v/>
      </c>
      <c r="K4030" t="str">
        <f>""</f>
        <v/>
      </c>
      <c r="M4030" t="s">
        <v>68</v>
      </c>
      <c r="N4030" t="str">
        <f t="shared" si="439"/>
        <v>ALT</v>
      </c>
      <c r="O4030" t="s">
        <v>114</v>
      </c>
      <c r="P4030" s="3" t="s">
        <v>93</v>
      </c>
      <c r="Q4030">
        <v>2016</v>
      </c>
      <c r="R4030" s="2">
        <v>42664</v>
      </c>
      <c r="S4030" s="2">
        <v>42667</v>
      </c>
      <c r="T4030" s="2">
        <v>42667</v>
      </c>
      <c r="U4030" s="2">
        <v>42727</v>
      </c>
      <c r="V4030" t="s">
        <v>71</v>
      </c>
      <c r="W4030" t="str">
        <f>"                1021"</f>
        <v xml:space="preserve">                1021</v>
      </c>
      <c r="X4030">
        <v>0</v>
      </c>
      <c r="Y4030">
        <v>441.47</v>
      </c>
      <c r="Z4030" s="3">
        <v>441.47</v>
      </c>
      <c r="AA4030">
        <v>-60</v>
      </c>
      <c r="AB4030" s="5">
        <v>-26488.2</v>
      </c>
      <c r="AC4030">
        <v>441.47</v>
      </c>
      <c r="AD4030">
        <v>-60</v>
      </c>
      <c r="AE4030" s="1">
        <v>-26488.2</v>
      </c>
      <c r="AF4030">
        <v>0</v>
      </c>
      <c r="AJ4030">
        <v>441.47</v>
      </c>
      <c r="AK4030">
        <v>441.47</v>
      </c>
      <c r="AL4030">
        <v>441.47</v>
      </c>
      <c r="AM4030">
        <v>441.47</v>
      </c>
      <c r="AN4030">
        <v>441.47</v>
      </c>
      <c r="AO4030">
        <v>441.47</v>
      </c>
      <c r="AP4030" s="2">
        <v>42746</v>
      </c>
      <c r="AQ4030" t="s">
        <v>72</v>
      </c>
      <c r="AR4030" t="s">
        <v>72</v>
      </c>
      <c r="AS4030">
        <v>2839</v>
      </c>
      <c r="AT4030" s="4">
        <v>42667</v>
      </c>
      <c r="AV4030">
        <v>2839</v>
      </c>
      <c r="AW4030" s="4">
        <v>42667</v>
      </c>
      <c r="BD4030">
        <v>0</v>
      </c>
      <c r="BN4030" t="s">
        <v>74</v>
      </c>
    </row>
    <row r="4031" spans="1:66" hidden="1">
      <c r="A4031">
        <v>101485</v>
      </c>
      <c r="B4031" s="3" t="s">
        <v>457</v>
      </c>
      <c r="C4031" s="1">
        <v>43500101</v>
      </c>
      <c r="D4031" t="s">
        <v>113</v>
      </c>
      <c r="H4031" t="str">
        <f>""</f>
        <v/>
      </c>
      <c r="I4031" t="str">
        <f>""</f>
        <v/>
      </c>
      <c r="K4031" t="str">
        <f>""</f>
        <v/>
      </c>
      <c r="M4031" t="s">
        <v>68</v>
      </c>
      <c r="N4031" t="str">
        <f t="shared" si="439"/>
        <v>ALT</v>
      </c>
      <c r="O4031" t="s">
        <v>114</v>
      </c>
      <c r="P4031" s="3" t="s">
        <v>94</v>
      </c>
      <c r="Q4031">
        <v>2016</v>
      </c>
      <c r="R4031" s="2">
        <v>42696</v>
      </c>
      <c r="S4031" s="2">
        <v>42696</v>
      </c>
      <c r="T4031" s="2">
        <v>42696</v>
      </c>
      <c r="U4031" s="2">
        <v>42756</v>
      </c>
      <c r="V4031" t="s">
        <v>71</v>
      </c>
      <c r="W4031" t="str">
        <f>"                1122"</f>
        <v xml:space="preserve">                1122</v>
      </c>
      <c r="X4031">
        <v>0</v>
      </c>
      <c r="Y4031">
        <v>441.47</v>
      </c>
      <c r="Z4031" s="3">
        <v>441.47</v>
      </c>
      <c r="AA4031">
        <v>-59</v>
      </c>
      <c r="AB4031" s="5">
        <v>-26046.73</v>
      </c>
      <c r="AC4031">
        <v>441.47</v>
      </c>
      <c r="AD4031">
        <v>-59</v>
      </c>
      <c r="AE4031" s="1">
        <v>-26046.73</v>
      </c>
      <c r="AF4031">
        <v>0</v>
      </c>
      <c r="AJ4031">
        <v>441.47</v>
      </c>
      <c r="AK4031">
        <v>441.47</v>
      </c>
      <c r="AL4031">
        <v>441.47</v>
      </c>
      <c r="AM4031">
        <v>441.47</v>
      </c>
      <c r="AN4031">
        <v>441.47</v>
      </c>
      <c r="AO4031">
        <v>441.47</v>
      </c>
      <c r="AP4031" s="2">
        <v>42746</v>
      </c>
      <c r="AQ4031" t="s">
        <v>72</v>
      </c>
      <c r="AR4031" t="s">
        <v>72</v>
      </c>
      <c r="AS4031">
        <v>3277</v>
      </c>
      <c r="AT4031" s="4">
        <v>42697</v>
      </c>
      <c r="AV4031">
        <v>3277</v>
      </c>
      <c r="AW4031" s="4">
        <v>42697</v>
      </c>
      <c r="BD4031">
        <v>0</v>
      </c>
      <c r="BN4031" t="s">
        <v>74</v>
      </c>
    </row>
    <row r="4032" spans="1:66" hidden="1">
      <c r="A4032">
        <v>101485</v>
      </c>
      <c r="B4032" s="3" t="s">
        <v>457</v>
      </c>
      <c r="C4032" s="1">
        <v>43500101</v>
      </c>
      <c r="D4032" t="s">
        <v>113</v>
      </c>
      <c r="H4032" t="str">
        <f>""</f>
        <v/>
      </c>
      <c r="I4032" t="str">
        <f>""</f>
        <v/>
      </c>
      <c r="K4032" t="str">
        <f>""</f>
        <v/>
      </c>
      <c r="M4032" t="s">
        <v>68</v>
      </c>
      <c r="N4032" t="str">
        <f t="shared" si="439"/>
        <v>ALT</v>
      </c>
      <c r="O4032" t="s">
        <v>114</v>
      </c>
      <c r="P4032" s="3" t="s">
        <v>95</v>
      </c>
      <c r="Q4032">
        <v>2016</v>
      </c>
      <c r="R4032" s="2">
        <v>42717</v>
      </c>
      <c r="S4032" s="2">
        <v>42717</v>
      </c>
      <c r="T4032" s="2">
        <v>42717</v>
      </c>
      <c r="U4032" s="2">
        <v>42777</v>
      </c>
      <c r="V4032" t="s">
        <v>71</v>
      </c>
      <c r="W4032" t="str">
        <f>"                1213"</f>
        <v xml:space="preserve">                1213</v>
      </c>
      <c r="X4032">
        <v>0</v>
      </c>
      <c r="Y4032">
        <v>441.47</v>
      </c>
      <c r="Z4032" s="3">
        <v>441.47</v>
      </c>
      <c r="AA4032">
        <v>-59</v>
      </c>
      <c r="AB4032" s="5">
        <v>-26046.73</v>
      </c>
      <c r="AC4032">
        <v>441.47</v>
      </c>
      <c r="AD4032">
        <v>-59</v>
      </c>
      <c r="AE4032" s="1">
        <v>-26046.73</v>
      </c>
      <c r="AF4032">
        <v>0</v>
      </c>
      <c r="AJ4032">
        <v>441.47</v>
      </c>
      <c r="AK4032">
        <v>441.47</v>
      </c>
      <c r="AL4032">
        <v>441.47</v>
      </c>
      <c r="AM4032">
        <v>441.47</v>
      </c>
      <c r="AN4032">
        <v>441.47</v>
      </c>
      <c r="AO4032">
        <v>441.47</v>
      </c>
      <c r="AP4032" s="2">
        <v>42746</v>
      </c>
      <c r="AQ4032" t="s">
        <v>72</v>
      </c>
      <c r="AR4032" t="s">
        <v>72</v>
      </c>
      <c r="AS4032">
        <v>3434</v>
      </c>
      <c r="AT4032" s="4">
        <v>42718</v>
      </c>
      <c r="AV4032">
        <v>3434</v>
      </c>
      <c r="AW4032" s="4">
        <v>42718</v>
      </c>
      <c r="BD4032">
        <v>0</v>
      </c>
      <c r="BN4032" t="s">
        <v>74</v>
      </c>
    </row>
    <row r="4033" spans="1:66" hidden="1">
      <c r="A4033">
        <v>101486</v>
      </c>
      <c r="B4033" s="3" t="s">
        <v>458</v>
      </c>
      <c r="C4033" s="1">
        <v>43500101</v>
      </c>
      <c r="D4033" t="s">
        <v>113</v>
      </c>
      <c r="H4033" t="str">
        <f>"VLLGPP48C06F839E"</f>
        <v>VLLGPP48C06F839E</v>
      </c>
      <c r="I4033" t="str">
        <f>""</f>
        <v/>
      </c>
      <c r="K4033" t="str">
        <f>""</f>
        <v/>
      </c>
      <c r="M4033" t="s">
        <v>68</v>
      </c>
      <c r="N4033" t="str">
        <f t="shared" si="439"/>
        <v>ALT</v>
      </c>
      <c r="O4033" t="s">
        <v>114</v>
      </c>
      <c r="P4033" s="3" t="s">
        <v>459</v>
      </c>
      <c r="Q4033">
        <v>2016</v>
      </c>
      <c r="R4033" s="2">
        <v>42620</v>
      </c>
      <c r="S4033" s="2">
        <v>42620</v>
      </c>
      <c r="T4033" s="2">
        <v>42620</v>
      </c>
      <c r="U4033" s="2">
        <v>42680</v>
      </c>
      <c r="V4033" t="s">
        <v>71</v>
      </c>
      <c r="W4033" t="str">
        <f>"                 195"</f>
        <v xml:space="preserve">                 195</v>
      </c>
      <c r="X4033">
        <v>0</v>
      </c>
      <c r="Y4033" s="1">
        <v>8284.66</v>
      </c>
      <c r="Z4033"/>
      <c r="AB4033"/>
      <c r="AC4033" s="1">
        <v>8284.66</v>
      </c>
      <c r="AD4033">
        <v>-60</v>
      </c>
      <c r="AE4033" s="1">
        <v>-497079.6</v>
      </c>
      <c r="AF4033">
        <v>0</v>
      </c>
      <c r="AJ4033">
        <v>0</v>
      </c>
      <c r="AK4033">
        <v>0</v>
      </c>
      <c r="AL4033">
        <v>0</v>
      </c>
      <c r="AM4033" s="1">
        <v>8284.66</v>
      </c>
      <c r="AN4033" s="1">
        <v>8284.66</v>
      </c>
      <c r="AO4033" s="1">
        <v>8284.66</v>
      </c>
      <c r="AP4033" s="2">
        <v>42746</v>
      </c>
      <c r="AQ4033" t="s">
        <v>72</v>
      </c>
      <c r="AR4033" t="s">
        <v>72</v>
      </c>
      <c r="AS4033">
        <v>2306</v>
      </c>
      <c r="AT4033" s="4">
        <v>42620</v>
      </c>
      <c r="AV4033">
        <v>2306</v>
      </c>
      <c r="AW4033" s="4">
        <v>42620</v>
      </c>
      <c r="BD4033">
        <v>0</v>
      </c>
      <c r="BN4033" t="s">
        <v>74</v>
      </c>
    </row>
    <row r="4034" spans="1:66" hidden="1">
      <c r="A4034">
        <v>101491</v>
      </c>
      <c r="B4034" s="3" t="s">
        <v>460</v>
      </c>
      <c r="C4034" s="1">
        <v>43201231</v>
      </c>
      <c r="D4034" t="s">
        <v>461</v>
      </c>
      <c r="H4034" t="str">
        <f>"02101050546"</f>
        <v>02101050546</v>
      </c>
      <c r="I4034" t="str">
        <f>"02101050546"</f>
        <v>02101050546</v>
      </c>
      <c r="K4034" t="str">
        <f>""</f>
        <v/>
      </c>
      <c r="M4034" t="s">
        <v>68</v>
      </c>
      <c r="N4034" t="str">
        <f>"AZI"</f>
        <v>AZI</v>
      </c>
      <c r="O4034" t="s">
        <v>462</v>
      </c>
      <c r="P4034" s="3" t="s">
        <v>75</v>
      </c>
      <c r="Q4034">
        <v>2016</v>
      </c>
      <c r="R4034" s="2">
        <v>42492</v>
      </c>
      <c r="S4034" s="2">
        <v>42499</v>
      </c>
      <c r="T4034" s="2">
        <v>42496</v>
      </c>
      <c r="U4034" s="2">
        <v>42556</v>
      </c>
      <c r="V4034" t="s">
        <v>71</v>
      </c>
      <c r="W4034" t="str">
        <f>"          0006800174"</f>
        <v xml:space="preserve">          0006800174</v>
      </c>
      <c r="X4034" s="1">
        <v>8602</v>
      </c>
      <c r="Y4034">
        <v>0</v>
      </c>
      <c r="Z4034"/>
      <c r="AB4034"/>
      <c r="AC4034" s="1">
        <v>8602</v>
      </c>
      <c r="AD4034">
        <v>-4</v>
      </c>
      <c r="AE4034" s="1">
        <v>-34408</v>
      </c>
      <c r="AF4034">
        <v>0</v>
      </c>
      <c r="AJ4034">
        <v>0</v>
      </c>
      <c r="AK4034">
        <v>0</v>
      </c>
      <c r="AL4034">
        <v>0</v>
      </c>
      <c r="AM4034" s="1">
        <v>8602</v>
      </c>
      <c r="AN4034" s="1">
        <v>8602</v>
      </c>
      <c r="AO4034" s="1">
        <v>8602</v>
      </c>
      <c r="AP4034" s="2">
        <v>42746</v>
      </c>
      <c r="AQ4034" t="s">
        <v>72</v>
      </c>
      <c r="AR4034" t="s">
        <v>72</v>
      </c>
      <c r="AS4034">
        <v>1660</v>
      </c>
      <c r="AT4034" s="4">
        <v>42552</v>
      </c>
      <c r="AV4034">
        <v>1660</v>
      </c>
      <c r="AW4034" s="4">
        <v>42552</v>
      </c>
      <c r="BD4034">
        <v>0</v>
      </c>
      <c r="BN4034" t="s">
        <v>74</v>
      </c>
    </row>
    <row r="4035" spans="1:66">
      <c r="A4035">
        <v>101491</v>
      </c>
      <c r="B4035" s="3" t="s">
        <v>460</v>
      </c>
      <c r="C4035" s="1">
        <v>43201231</v>
      </c>
      <c r="D4035" t="s">
        <v>461</v>
      </c>
      <c r="H4035" t="str">
        <f>"02101050546"</f>
        <v>02101050546</v>
      </c>
      <c r="I4035" t="str">
        <f>"02101050546"</f>
        <v>02101050546</v>
      </c>
      <c r="K4035" t="str">
        <f>""</f>
        <v/>
      </c>
      <c r="M4035" t="s">
        <v>68</v>
      </c>
      <c r="N4035" t="str">
        <f>"AZI"</f>
        <v>AZI</v>
      </c>
      <c r="O4035" t="s">
        <v>462</v>
      </c>
      <c r="P4035" s="3" t="s">
        <v>75</v>
      </c>
      <c r="Q4035">
        <v>2016</v>
      </c>
      <c r="R4035" s="2">
        <v>42559</v>
      </c>
      <c r="S4035" s="2">
        <v>42562</v>
      </c>
      <c r="T4035" s="2">
        <v>42562</v>
      </c>
      <c r="U4035" s="2">
        <v>42622</v>
      </c>
      <c r="V4035" t="s">
        <v>71</v>
      </c>
      <c r="W4035" t="str">
        <f>"          0006800243"</f>
        <v xml:space="preserve">          0006800243</v>
      </c>
      <c r="X4035" s="1">
        <v>2152</v>
      </c>
      <c r="Y4035">
        <v>0</v>
      </c>
      <c r="Z4035" s="5">
        <v>2152</v>
      </c>
      <c r="AA4035">
        <v>87</v>
      </c>
      <c r="AB4035" s="5">
        <v>187224</v>
      </c>
      <c r="AC4035" s="1">
        <v>2152</v>
      </c>
      <c r="AD4035">
        <v>87</v>
      </c>
      <c r="AE4035" s="1">
        <v>187224</v>
      </c>
      <c r="AF4035">
        <v>0</v>
      </c>
      <c r="AJ4035">
        <v>0</v>
      </c>
      <c r="AK4035">
        <v>0</v>
      </c>
      <c r="AL4035">
        <v>0</v>
      </c>
      <c r="AM4035" s="1">
        <v>2152</v>
      </c>
      <c r="AN4035" s="1">
        <v>2152</v>
      </c>
      <c r="AO4035" s="1">
        <v>2152</v>
      </c>
      <c r="AP4035" s="2">
        <v>42746</v>
      </c>
      <c r="AQ4035" t="s">
        <v>72</v>
      </c>
      <c r="AR4035" t="s">
        <v>72</v>
      </c>
      <c r="AS4035">
        <v>3318</v>
      </c>
      <c r="AT4035" s="4">
        <v>42709</v>
      </c>
      <c r="AU4035" t="s">
        <v>73</v>
      </c>
      <c r="AV4035">
        <v>3318</v>
      </c>
      <c r="AW4035" s="4">
        <v>42709</v>
      </c>
      <c r="BD4035">
        <v>0</v>
      </c>
      <c r="BN4035" t="s">
        <v>74</v>
      </c>
    </row>
    <row r="4036" spans="1:66" hidden="1">
      <c r="A4036">
        <v>101498</v>
      </c>
      <c r="B4036" s="3" t="s">
        <v>463</v>
      </c>
      <c r="C4036" s="1">
        <v>43500101</v>
      </c>
      <c r="D4036" t="s">
        <v>113</v>
      </c>
      <c r="H4036" t="str">
        <f t="shared" ref="H4036:H4047" si="440">"QGLFMN77P65A128P"</f>
        <v>QGLFMN77P65A128P</v>
      </c>
      <c r="I4036" t="str">
        <f t="shared" ref="I4036:I4047" si="441">"04789720655"</f>
        <v>04789720655</v>
      </c>
      <c r="K4036" t="str">
        <f>""</f>
        <v/>
      </c>
      <c r="M4036" t="s">
        <v>68</v>
      </c>
      <c r="N4036" t="str">
        <f t="shared" ref="N4036:N4047" si="442">"ALTPRO"</f>
        <v>ALTPRO</v>
      </c>
      <c r="O4036" t="s">
        <v>132</v>
      </c>
      <c r="P4036" s="3" t="s">
        <v>75</v>
      </c>
      <c r="Q4036">
        <v>2016</v>
      </c>
      <c r="R4036" s="2">
        <v>42384</v>
      </c>
      <c r="S4036" s="2">
        <v>42388</v>
      </c>
      <c r="T4036" s="2">
        <v>42384</v>
      </c>
      <c r="U4036" s="2">
        <v>42444</v>
      </c>
      <c r="V4036" t="s">
        <v>71</v>
      </c>
      <c r="W4036" t="str">
        <f>"      000001-2016-FE"</f>
        <v xml:space="preserve">      000001-2016-FE</v>
      </c>
      <c r="X4036" s="1">
        <v>2235.64</v>
      </c>
      <c r="Y4036">
        <v>-446.73</v>
      </c>
      <c r="Z4036"/>
      <c r="AB4036"/>
      <c r="AC4036" s="1">
        <v>1788.91</v>
      </c>
      <c r="AD4036">
        <v>-47</v>
      </c>
      <c r="AE4036" s="1">
        <v>-84078.77</v>
      </c>
      <c r="AF4036">
        <v>0</v>
      </c>
      <c r="AJ4036">
        <v>0</v>
      </c>
      <c r="AK4036">
        <v>0</v>
      </c>
      <c r="AL4036">
        <v>0</v>
      </c>
      <c r="AM4036">
        <v>-446.73</v>
      </c>
      <c r="AN4036" s="1">
        <v>1788.91</v>
      </c>
      <c r="AO4036" s="1">
        <v>1788.91</v>
      </c>
      <c r="AP4036" s="2">
        <v>42746</v>
      </c>
      <c r="AQ4036" t="s">
        <v>72</v>
      </c>
      <c r="AR4036" t="s">
        <v>72</v>
      </c>
      <c r="AS4036">
        <v>146</v>
      </c>
      <c r="AT4036" s="4">
        <v>42397</v>
      </c>
      <c r="AV4036">
        <v>146</v>
      </c>
      <c r="AW4036" s="4">
        <v>42397</v>
      </c>
      <c r="BD4036">
        <v>0</v>
      </c>
      <c r="BN4036" t="s">
        <v>74</v>
      </c>
    </row>
    <row r="4037" spans="1:66" hidden="1">
      <c r="A4037">
        <v>101498</v>
      </c>
      <c r="B4037" s="3" t="s">
        <v>463</v>
      </c>
      <c r="C4037" s="1">
        <v>43500101</v>
      </c>
      <c r="D4037" t="s">
        <v>113</v>
      </c>
      <c r="H4037" t="str">
        <f t="shared" si="440"/>
        <v>QGLFMN77P65A128P</v>
      </c>
      <c r="I4037" t="str">
        <f t="shared" si="441"/>
        <v>04789720655</v>
      </c>
      <c r="K4037" t="str">
        <f>""</f>
        <v/>
      </c>
      <c r="M4037" t="s">
        <v>68</v>
      </c>
      <c r="N4037" t="str">
        <f t="shared" si="442"/>
        <v>ALTPRO</v>
      </c>
      <c r="O4037" t="s">
        <v>132</v>
      </c>
      <c r="P4037" s="3" t="s">
        <v>75</v>
      </c>
      <c r="Q4037">
        <v>2016</v>
      </c>
      <c r="R4037" s="2">
        <v>42411</v>
      </c>
      <c r="S4037" s="2">
        <v>42412</v>
      </c>
      <c r="T4037" s="2">
        <v>42411</v>
      </c>
      <c r="U4037" s="2">
        <v>42471</v>
      </c>
      <c r="V4037" t="s">
        <v>71</v>
      </c>
      <c r="W4037" t="str">
        <f>"      000002-2016-FE"</f>
        <v xml:space="preserve">      000002-2016-FE</v>
      </c>
      <c r="X4037" s="1">
        <v>2282.17</v>
      </c>
      <c r="Y4037">
        <v>-456.03</v>
      </c>
      <c r="Z4037"/>
      <c r="AB4037"/>
      <c r="AC4037" s="1">
        <v>1826.14</v>
      </c>
      <c r="AD4037">
        <v>-45</v>
      </c>
      <c r="AE4037" s="1">
        <v>-82176.3</v>
      </c>
      <c r="AF4037">
        <v>0</v>
      </c>
      <c r="AJ4037">
        <v>0</v>
      </c>
      <c r="AK4037">
        <v>0</v>
      </c>
      <c r="AL4037">
        <v>0</v>
      </c>
      <c r="AM4037" s="1">
        <v>1826.14</v>
      </c>
      <c r="AN4037" s="1">
        <v>1826.14</v>
      </c>
      <c r="AO4037" s="1">
        <v>1826.14</v>
      </c>
      <c r="AP4037" s="2">
        <v>42746</v>
      </c>
      <c r="AQ4037" t="s">
        <v>72</v>
      </c>
      <c r="AR4037" t="s">
        <v>72</v>
      </c>
      <c r="AS4037">
        <v>562</v>
      </c>
      <c r="AT4037" s="4">
        <v>42426</v>
      </c>
      <c r="AV4037">
        <v>562</v>
      </c>
      <c r="AW4037" s="4">
        <v>42426</v>
      </c>
      <c r="BD4037">
        <v>0</v>
      </c>
      <c r="BN4037" t="s">
        <v>74</v>
      </c>
    </row>
    <row r="4038" spans="1:66" hidden="1">
      <c r="A4038">
        <v>101498</v>
      </c>
      <c r="B4038" s="3" t="s">
        <v>463</v>
      </c>
      <c r="C4038" s="1">
        <v>43500101</v>
      </c>
      <c r="D4038" t="s">
        <v>113</v>
      </c>
      <c r="H4038" t="str">
        <f t="shared" si="440"/>
        <v>QGLFMN77P65A128P</v>
      </c>
      <c r="I4038" t="str">
        <f t="shared" si="441"/>
        <v>04789720655</v>
      </c>
      <c r="K4038" t="str">
        <f>""</f>
        <v/>
      </c>
      <c r="M4038" t="s">
        <v>68</v>
      </c>
      <c r="N4038" t="str">
        <f t="shared" si="442"/>
        <v>ALTPRO</v>
      </c>
      <c r="O4038" t="s">
        <v>132</v>
      </c>
      <c r="P4038" s="3" t="s">
        <v>75</v>
      </c>
      <c r="Q4038">
        <v>2016</v>
      </c>
      <c r="R4038" s="2">
        <v>42440</v>
      </c>
      <c r="S4038" s="2">
        <v>42443</v>
      </c>
      <c r="T4038" s="2">
        <v>42441</v>
      </c>
      <c r="U4038" s="2">
        <v>42501</v>
      </c>
      <c r="V4038" t="s">
        <v>71</v>
      </c>
      <c r="W4038" t="str">
        <f>"      000003-2016-FE"</f>
        <v xml:space="preserve">      000003-2016-FE</v>
      </c>
      <c r="X4038" s="1">
        <v>2602.4699999999998</v>
      </c>
      <c r="Y4038">
        <v>-520.09</v>
      </c>
      <c r="Z4038"/>
      <c r="AB4038"/>
      <c r="AC4038" s="1">
        <v>2082.38</v>
      </c>
      <c r="AD4038">
        <v>-50</v>
      </c>
      <c r="AE4038" s="1">
        <v>-104119</v>
      </c>
      <c r="AF4038">
        <v>0</v>
      </c>
      <c r="AJ4038">
        <v>0</v>
      </c>
      <c r="AK4038">
        <v>0</v>
      </c>
      <c r="AL4038">
        <v>0</v>
      </c>
      <c r="AM4038" s="1">
        <v>2082.38</v>
      </c>
      <c r="AN4038" s="1">
        <v>2082.38</v>
      </c>
      <c r="AO4038" s="1">
        <v>2082.38</v>
      </c>
      <c r="AP4038" s="2">
        <v>42746</v>
      </c>
      <c r="AQ4038" t="s">
        <v>72</v>
      </c>
      <c r="AR4038" t="s">
        <v>72</v>
      </c>
      <c r="AS4038">
        <v>736</v>
      </c>
      <c r="AT4038" s="4">
        <v>42451</v>
      </c>
      <c r="AV4038">
        <v>736</v>
      </c>
      <c r="AW4038" s="4">
        <v>42451</v>
      </c>
      <c r="BD4038">
        <v>0</v>
      </c>
      <c r="BN4038" t="s">
        <v>74</v>
      </c>
    </row>
    <row r="4039" spans="1:66" hidden="1">
      <c r="A4039">
        <v>101498</v>
      </c>
      <c r="B4039" s="3" t="s">
        <v>463</v>
      </c>
      <c r="C4039" s="1">
        <v>43500101</v>
      </c>
      <c r="D4039" t="s">
        <v>113</v>
      </c>
      <c r="H4039" t="str">
        <f t="shared" si="440"/>
        <v>QGLFMN77P65A128P</v>
      </c>
      <c r="I4039" t="str">
        <f t="shared" si="441"/>
        <v>04789720655</v>
      </c>
      <c r="K4039" t="str">
        <f>""</f>
        <v/>
      </c>
      <c r="M4039" t="s">
        <v>68</v>
      </c>
      <c r="N4039" t="str">
        <f t="shared" si="442"/>
        <v>ALTPRO</v>
      </c>
      <c r="O4039" t="s">
        <v>132</v>
      </c>
      <c r="P4039" s="3" t="s">
        <v>75</v>
      </c>
      <c r="Q4039">
        <v>2016</v>
      </c>
      <c r="R4039" s="2">
        <v>42472</v>
      </c>
      <c r="S4039" s="2">
        <v>42472</v>
      </c>
      <c r="T4039" s="2">
        <v>42472</v>
      </c>
      <c r="U4039" s="2">
        <v>42532</v>
      </c>
      <c r="V4039" t="s">
        <v>71</v>
      </c>
      <c r="W4039" t="str">
        <f>"      000004-2016-FE"</f>
        <v xml:space="preserve">      000004-2016-FE</v>
      </c>
      <c r="X4039" s="1">
        <v>2685.88</v>
      </c>
      <c r="Y4039">
        <v>-536.78</v>
      </c>
      <c r="Z4039"/>
      <c r="AB4039"/>
      <c r="AC4039" s="1">
        <v>2149.1</v>
      </c>
      <c r="AD4039">
        <v>-45</v>
      </c>
      <c r="AE4039" s="1">
        <v>-96709.5</v>
      </c>
      <c r="AF4039">
        <v>0</v>
      </c>
      <c r="AJ4039">
        <v>0</v>
      </c>
      <c r="AK4039">
        <v>0</v>
      </c>
      <c r="AL4039">
        <v>0</v>
      </c>
      <c r="AM4039" s="1">
        <v>2149.1</v>
      </c>
      <c r="AN4039" s="1">
        <v>2149.1</v>
      </c>
      <c r="AO4039" s="1">
        <v>2149.1</v>
      </c>
      <c r="AP4039" s="2">
        <v>42746</v>
      </c>
      <c r="AQ4039" t="s">
        <v>72</v>
      </c>
      <c r="AR4039" t="s">
        <v>72</v>
      </c>
      <c r="AS4039">
        <v>1144</v>
      </c>
      <c r="AT4039" s="4">
        <v>42487</v>
      </c>
      <c r="AV4039">
        <v>1144</v>
      </c>
      <c r="AW4039" s="4">
        <v>42487</v>
      </c>
      <c r="BD4039">
        <v>0</v>
      </c>
      <c r="BN4039" t="s">
        <v>74</v>
      </c>
    </row>
    <row r="4040" spans="1:66" hidden="1">
      <c r="A4040">
        <v>101498</v>
      </c>
      <c r="B4040" s="3" t="s">
        <v>463</v>
      </c>
      <c r="C4040" s="1">
        <v>43500101</v>
      </c>
      <c r="D4040" t="s">
        <v>113</v>
      </c>
      <c r="H4040" t="str">
        <f t="shared" si="440"/>
        <v>QGLFMN77P65A128P</v>
      </c>
      <c r="I4040" t="str">
        <f t="shared" si="441"/>
        <v>04789720655</v>
      </c>
      <c r="K4040" t="str">
        <f>""</f>
        <v/>
      </c>
      <c r="M4040" t="s">
        <v>68</v>
      </c>
      <c r="N4040" t="str">
        <f t="shared" si="442"/>
        <v>ALTPRO</v>
      </c>
      <c r="O4040" t="s">
        <v>132</v>
      </c>
      <c r="P4040" s="3" t="s">
        <v>75</v>
      </c>
      <c r="Q4040">
        <v>2016</v>
      </c>
      <c r="R4040" s="2">
        <v>42506</v>
      </c>
      <c r="S4040" s="2">
        <v>42507</v>
      </c>
      <c r="T4040" s="2">
        <v>42506</v>
      </c>
      <c r="U4040" s="2">
        <v>42566</v>
      </c>
      <c r="V4040" t="s">
        <v>71</v>
      </c>
      <c r="W4040" t="str">
        <f>"      000005-2016-FE"</f>
        <v xml:space="preserve">      000005-2016-FE</v>
      </c>
      <c r="X4040" s="1">
        <v>2636</v>
      </c>
      <c r="Y4040">
        <v>-526.79999999999995</v>
      </c>
      <c r="Z4040"/>
      <c r="AB4040"/>
      <c r="AC4040" s="1">
        <v>2109.1999999999998</v>
      </c>
      <c r="AD4040">
        <v>-50</v>
      </c>
      <c r="AE4040" s="1">
        <v>-105460</v>
      </c>
      <c r="AF4040">
        <v>0</v>
      </c>
      <c r="AJ4040">
        <v>0</v>
      </c>
      <c r="AK4040">
        <v>0</v>
      </c>
      <c r="AL4040">
        <v>0</v>
      </c>
      <c r="AM4040" s="1">
        <v>2109.1999999999998</v>
      </c>
      <c r="AN4040" s="1">
        <v>2109.1999999999998</v>
      </c>
      <c r="AO4040" s="1">
        <v>2109.1999999999998</v>
      </c>
      <c r="AP4040" s="2">
        <v>42746</v>
      </c>
      <c r="AQ4040" t="s">
        <v>72</v>
      </c>
      <c r="AR4040" t="s">
        <v>72</v>
      </c>
      <c r="AS4040">
        <v>1365</v>
      </c>
      <c r="AT4040" s="4">
        <v>42516</v>
      </c>
      <c r="AV4040">
        <v>1365</v>
      </c>
      <c r="AW4040" s="4">
        <v>42516</v>
      </c>
      <c r="BD4040">
        <v>0</v>
      </c>
      <c r="BN4040" t="s">
        <v>74</v>
      </c>
    </row>
    <row r="4041" spans="1:66" hidden="1">
      <c r="A4041">
        <v>101498</v>
      </c>
      <c r="B4041" s="3" t="s">
        <v>463</v>
      </c>
      <c r="C4041" s="1">
        <v>43500101</v>
      </c>
      <c r="D4041" t="s">
        <v>113</v>
      </c>
      <c r="H4041" t="str">
        <f t="shared" si="440"/>
        <v>QGLFMN77P65A128P</v>
      </c>
      <c r="I4041" t="str">
        <f t="shared" si="441"/>
        <v>04789720655</v>
      </c>
      <c r="K4041" t="str">
        <f>""</f>
        <v/>
      </c>
      <c r="M4041" t="s">
        <v>68</v>
      </c>
      <c r="N4041" t="str">
        <f t="shared" si="442"/>
        <v>ALTPRO</v>
      </c>
      <c r="O4041" t="s">
        <v>132</v>
      </c>
      <c r="P4041" s="3" t="s">
        <v>75</v>
      </c>
      <c r="Q4041">
        <v>2016</v>
      </c>
      <c r="R4041" s="2">
        <v>42530</v>
      </c>
      <c r="S4041" s="2">
        <v>42530</v>
      </c>
      <c r="T4041" s="2">
        <v>42530</v>
      </c>
      <c r="U4041" s="2">
        <v>42590</v>
      </c>
      <c r="V4041" t="s">
        <v>71</v>
      </c>
      <c r="W4041" t="str">
        <f>"      000006-2016-FE"</f>
        <v xml:space="preserve">      000006-2016-FE</v>
      </c>
      <c r="X4041" s="1">
        <v>2625.47</v>
      </c>
      <c r="Y4041">
        <v>-524.69000000000005</v>
      </c>
      <c r="Z4041"/>
      <c r="AB4041"/>
      <c r="AC4041" s="1">
        <v>2100.7800000000002</v>
      </c>
      <c r="AD4041">
        <v>-38</v>
      </c>
      <c r="AE4041" s="1">
        <v>-79829.64</v>
      </c>
      <c r="AF4041">
        <v>0</v>
      </c>
      <c r="AJ4041">
        <v>0</v>
      </c>
      <c r="AK4041">
        <v>0</v>
      </c>
      <c r="AL4041">
        <v>0</v>
      </c>
      <c r="AM4041" s="1">
        <v>2100.7800000000002</v>
      </c>
      <c r="AN4041" s="1">
        <v>2100.7800000000002</v>
      </c>
      <c r="AO4041" s="1">
        <v>2100.7800000000002</v>
      </c>
      <c r="AP4041" s="2">
        <v>42746</v>
      </c>
      <c r="AQ4041" t="s">
        <v>72</v>
      </c>
      <c r="AR4041" t="s">
        <v>72</v>
      </c>
      <c r="AS4041">
        <v>1648</v>
      </c>
      <c r="AT4041" s="4">
        <v>42552</v>
      </c>
      <c r="AV4041">
        <v>1648</v>
      </c>
      <c r="AW4041" s="4">
        <v>42552</v>
      </c>
      <c r="BD4041">
        <v>0</v>
      </c>
      <c r="BN4041" t="s">
        <v>74</v>
      </c>
    </row>
    <row r="4042" spans="1:66" hidden="1">
      <c r="A4042">
        <v>101498</v>
      </c>
      <c r="B4042" s="3" t="s">
        <v>463</v>
      </c>
      <c r="C4042" s="1">
        <v>43500101</v>
      </c>
      <c r="D4042" t="s">
        <v>113</v>
      </c>
      <c r="H4042" t="str">
        <f t="shared" si="440"/>
        <v>QGLFMN77P65A128P</v>
      </c>
      <c r="I4042" t="str">
        <f t="shared" si="441"/>
        <v>04789720655</v>
      </c>
      <c r="K4042" t="str">
        <f>""</f>
        <v/>
      </c>
      <c r="M4042" t="s">
        <v>68</v>
      </c>
      <c r="N4042" t="str">
        <f t="shared" si="442"/>
        <v>ALTPRO</v>
      </c>
      <c r="O4042" t="s">
        <v>132</v>
      </c>
      <c r="P4042" s="3" t="s">
        <v>75</v>
      </c>
      <c r="Q4042">
        <v>2016</v>
      </c>
      <c r="R4042" s="2">
        <v>42564</v>
      </c>
      <c r="S4042" s="2">
        <v>42565</v>
      </c>
      <c r="T4042" s="2">
        <v>42564</v>
      </c>
      <c r="U4042" s="2">
        <v>42624</v>
      </c>
      <c r="V4042" t="s">
        <v>71</v>
      </c>
      <c r="W4042" t="str">
        <f>"      000007-2016-FE"</f>
        <v xml:space="preserve">      000007-2016-FE</v>
      </c>
      <c r="X4042" s="1">
        <v>2636</v>
      </c>
      <c r="Y4042">
        <v>-526.79999999999995</v>
      </c>
      <c r="Z4042"/>
      <c r="AB4042"/>
      <c r="AC4042" s="1">
        <v>2109.1999999999998</v>
      </c>
      <c r="AD4042">
        <v>-58</v>
      </c>
      <c r="AE4042" s="1">
        <v>-122333.6</v>
      </c>
      <c r="AF4042">
        <v>0</v>
      </c>
      <c r="AJ4042">
        <v>0</v>
      </c>
      <c r="AK4042">
        <v>0</v>
      </c>
      <c r="AL4042">
        <v>0</v>
      </c>
      <c r="AM4042" s="1">
        <v>2109.1999999999998</v>
      </c>
      <c r="AN4042" s="1">
        <v>2109.1999999999998</v>
      </c>
      <c r="AO4042" s="1">
        <v>2109.1999999999998</v>
      </c>
      <c r="AP4042" s="2">
        <v>42746</v>
      </c>
      <c r="AQ4042" t="s">
        <v>72</v>
      </c>
      <c r="AR4042" t="s">
        <v>72</v>
      </c>
      <c r="AS4042">
        <v>1776</v>
      </c>
      <c r="AT4042" s="4">
        <v>42566</v>
      </c>
      <c r="AV4042">
        <v>1776</v>
      </c>
      <c r="AW4042" s="4">
        <v>42566</v>
      </c>
      <c r="BD4042">
        <v>0</v>
      </c>
      <c r="BN4042" t="s">
        <v>74</v>
      </c>
    </row>
    <row r="4043" spans="1:66" hidden="1">
      <c r="A4043">
        <v>101498</v>
      </c>
      <c r="B4043" s="3" t="s">
        <v>463</v>
      </c>
      <c r="C4043" s="1">
        <v>43500101</v>
      </c>
      <c r="D4043" t="s">
        <v>113</v>
      </c>
      <c r="H4043" t="str">
        <f t="shared" si="440"/>
        <v>QGLFMN77P65A128P</v>
      </c>
      <c r="I4043" t="str">
        <f t="shared" si="441"/>
        <v>04789720655</v>
      </c>
      <c r="K4043" t="str">
        <f>""</f>
        <v/>
      </c>
      <c r="M4043" t="s">
        <v>68</v>
      </c>
      <c r="N4043" t="str">
        <f t="shared" si="442"/>
        <v>ALTPRO</v>
      </c>
      <c r="O4043" t="s">
        <v>132</v>
      </c>
      <c r="P4043" s="3" t="s">
        <v>75</v>
      </c>
      <c r="Q4043">
        <v>2016</v>
      </c>
      <c r="R4043" s="2">
        <v>42583</v>
      </c>
      <c r="S4043" s="2">
        <v>42587</v>
      </c>
      <c r="T4043" s="2">
        <v>42587</v>
      </c>
      <c r="U4043" s="2">
        <v>42647</v>
      </c>
      <c r="V4043" t="s">
        <v>71</v>
      </c>
      <c r="W4043" t="str">
        <f>"      000008-2016-FE"</f>
        <v xml:space="preserve">      000008-2016-FE</v>
      </c>
      <c r="X4043" s="1">
        <v>2419.14</v>
      </c>
      <c r="Y4043">
        <v>-483.43</v>
      </c>
      <c r="Z4043"/>
      <c r="AB4043"/>
      <c r="AC4043" s="1">
        <v>1935.71</v>
      </c>
      <c r="AD4043">
        <v>-29</v>
      </c>
      <c r="AE4043" s="1">
        <v>-56135.59</v>
      </c>
      <c r="AF4043">
        <v>0</v>
      </c>
      <c r="AJ4043">
        <v>0</v>
      </c>
      <c r="AK4043">
        <v>0</v>
      </c>
      <c r="AL4043">
        <v>0</v>
      </c>
      <c r="AM4043" s="1">
        <v>1935.71</v>
      </c>
      <c r="AN4043" s="1">
        <v>1935.71</v>
      </c>
      <c r="AO4043" s="1">
        <v>1935.71</v>
      </c>
      <c r="AP4043" s="2">
        <v>42746</v>
      </c>
      <c r="AQ4043" t="s">
        <v>72</v>
      </c>
      <c r="AR4043" t="s">
        <v>72</v>
      </c>
      <c r="AS4043">
        <v>2245</v>
      </c>
      <c r="AT4043" s="4">
        <v>42618</v>
      </c>
      <c r="AV4043">
        <v>2245</v>
      </c>
      <c r="AW4043" s="4">
        <v>42618</v>
      </c>
      <c r="BD4043">
        <v>0</v>
      </c>
      <c r="BN4043" t="s">
        <v>74</v>
      </c>
    </row>
    <row r="4044" spans="1:66">
      <c r="A4044">
        <v>101498</v>
      </c>
      <c r="B4044" s="3" t="s">
        <v>463</v>
      </c>
      <c r="C4044" s="1">
        <v>43500101</v>
      </c>
      <c r="D4044" t="s">
        <v>113</v>
      </c>
      <c r="H4044" t="str">
        <f t="shared" si="440"/>
        <v>QGLFMN77P65A128P</v>
      </c>
      <c r="I4044" t="str">
        <f t="shared" si="441"/>
        <v>04789720655</v>
      </c>
      <c r="K4044" t="str">
        <f>""</f>
        <v/>
      </c>
      <c r="M4044" t="s">
        <v>68</v>
      </c>
      <c r="N4044" t="str">
        <f t="shared" si="442"/>
        <v>ALTPRO</v>
      </c>
      <c r="O4044" t="s">
        <v>132</v>
      </c>
      <c r="P4044" s="3" t="s">
        <v>75</v>
      </c>
      <c r="Q4044">
        <v>2016</v>
      </c>
      <c r="R4044" s="2">
        <v>42621</v>
      </c>
      <c r="S4044" s="2">
        <v>42625</v>
      </c>
      <c r="T4044" s="2">
        <v>42621</v>
      </c>
      <c r="U4044" s="2">
        <v>42681</v>
      </c>
      <c r="V4044" t="s">
        <v>71</v>
      </c>
      <c r="W4044" t="str">
        <f>"      000009-2016-FE"</f>
        <v xml:space="preserve">      000009-2016-FE</v>
      </c>
      <c r="X4044" s="1">
        <v>2126.7600000000002</v>
      </c>
      <c r="Y4044">
        <v>-424.95</v>
      </c>
      <c r="Z4044" s="5">
        <v>1701.81</v>
      </c>
      <c r="AA4044">
        <v>-35</v>
      </c>
      <c r="AB4044" s="5">
        <v>-59563.35</v>
      </c>
      <c r="AC4044" s="1">
        <v>1701.81</v>
      </c>
      <c r="AD4044">
        <v>-35</v>
      </c>
      <c r="AE4044" s="1">
        <v>-59563.35</v>
      </c>
      <c r="AF4044">
        <v>0</v>
      </c>
      <c r="AJ4044">
        <v>0</v>
      </c>
      <c r="AK4044">
        <v>0</v>
      </c>
      <c r="AL4044">
        <v>0</v>
      </c>
      <c r="AM4044" s="1">
        <v>1701.81</v>
      </c>
      <c r="AN4044" s="1">
        <v>1701.81</v>
      </c>
      <c r="AO4044" s="1">
        <v>1701.81</v>
      </c>
      <c r="AP4044" s="2">
        <v>42746</v>
      </c>
      <c r="AQ4044" t="s">
        <v>72</v>
      </c>
      <c r="AR4044" t="s">
        <v>72</v>
      </c>
      <c r="AS4044">
        <v>2524</v>
      </c>
      <c r="AT4044" s="4">
        <v>42646</v>
      </c>
      <c r="AV4044">
        <v>2524</v>
      </c>
      <c r="AW4044" s="4">
        <v>42646</v>
      </c>
      <c r="BD4044">
        <v>0</v>
      </c>
      <c r="BN4044" t="s">
        <v>74</v>
      </c>
    </row>
    <row r="4045" spans="1:66">
      <c r="A4045">
        <v>101498</v>
      </c>
      <c r="B4045" s="3" t="s">
        <v>463</v>
      </c>
      <c r="C4045" s="1">
        <v>43500101</v>
      </c>
      <c r="D4045" t="s">
        <v>113</v>
      </c>
      <c r="H4045" t="str">
        <f t="shared" si="440"/>
        <v>QGLFMN77P65A128P</v>
      </c>
      <c r="I4045" t="str">
        <f t="shared" si="441"/>
        <v>04789720655</v>
      </c>
      <c r="K4045" t="str">
        <f>""</f>
        <v/>
      </c>
      <c r="M4045" t="s">
        <v>68</v>
      </c>
      <c r="N4045" t="str">
        <f t="shared" si="442"/>
        <v>ALTPRO</v>
      </c>
      <c r="O4045" t="s">
        <v>132</v>
      </c>
      <c r="P4045" s="3" t="s">
        <v>75</v>
      </c>
      <c r="Q4045">
        <v>2016</v>
      </c>
      <c r="R4045" s="2">
        <v>42650</v>
      </c>
      <c r="S4045" s="2">
        <v>42654</v>
      </c>
      <c r="T4045" s="2">
        <v>42650</v>
      </c>
      <c r="U4045" s="2">
        <v>42710</v>
      </c>
      <c r="V4045" t="s">
        <v>71</v>
      </c>
      <c r="W4045" t="str">
        <f>"      000010-2016-FE"</f>
        <v xml:space="preserve">      000010-2016-FE</v>
      </c>
      <c r="X4045" s="1">
        <v>2565.52</v>
      </c>
      <c r="Y4045">
        <v>-513.1</v>
      </c>
      <c r="Z4045" s="5">
        <v>2052.42</v>
      </c>
      <c r="AA4045">
        <v>-42</v>
      </c>
      <c r="AB4045" s="5">
        <v>-86201.64</v>
      </c>
      <c r="AC4045" s="1">
        <v>2052.42</v>
      </c>
      <c r="AD4045">
        <v>-42</v>
      </c>
      <c r="AE4045" s="1">
        <v>-86201.64</v>
      </c>
      <c r="AF4045">
        <v>0</v>
      </c>
      <c r="AJ4045">
        <v>-513.1</v>
      </c>
      <c r="AK4045" s="1">
        <v>2052.42</v>
      </c>
      <c r="AL4045" s="1">
        <v>2052.42</v>
      </c>
      <c r="AM4045" s="1">
        <v>2052.42</v>
      </c>
      <c r="AN4045" s="1">
        <v>2052.42</v>
      </c>
      <c r="AO4045" s="1">
        <v>2052.42</v>
      </c>
      <c r="AP4045" s="2">
        <v>42746</v>
      </c>
      <c r="AQ4045" t="s">
        <v>72</v>
      </c>
      <c r="AR4045" t="s">
        <v>72</v>
      </c>
      <c r="AS4045">
        <v>2863</v>
      </c>
      <c r="AT4045" s="4">
        <v>42668</v>
      </c>
      <c r="AV4045">
        <v>2863</v>
      </c>
      <c r="AW4045" s="4">
        <v>42668</v>
      </c>
      <c r="BD4045">
        <v>0</v>
      </c>
      <c r="BN4045" t="s">
        <v>74</v>
      </c>
    </row>
    <row r="4046" spans="1:66">
      <c r="A4046">
        <v>101498</v>
      </c>
      <c r="B4046" s="3" t="s">
        <v>463</v>
      </c>
      <c r="C4046" s="1">
        <v>43500101</v>
      </c>
      <c r="D4046" t="s">
        <v>113</v>
      </c>
      <c r="H4046" t="str">
        <f t="shared" si="440"/>
        <v>QGLFMN77P65A128P</v>
      </c>
      <c r="I4046" t="str">
        <f t="shared" si="441"/>
        <v>04789720655</v>
      </c>
      <c r="K4046" t="str">
        <f>""</f>
        <v/>
      </c>
      <c r="M4046" t="s">
        <v>68</v>
      </c>
      <c r="N4046" t="str">
        <f t="shared" si="442"/>
        <v>ALTPRO</v>
      </c>
      <c r="O4046" t="s">
        <v>132</v>
      </c>
      <c r="P4046" s="3" t="s">
        <v>75</v>
      </c>
      <c r="Q4046">
        <v>2016</v>
      </c>
      <c r="R4046" s="2">
        <v>42683</v>
      </c>
      <c r="S4046" s="2">
        <v>42684</v>
      </c>
      <c r="T4046" s="2">
        <v>42683</v>
      </c>
      <c r="U4046" s="2">
        <v>42743</v>
      </c>
      <c r="V4046" t="s">
        <v>71</v>
      </c>
      <c r="W4046" t="str">
        <f>"      000011-2016-FE"</f>
        <v xml:space="preserve">      000011-2016-FE</v>
      </c>
      <c r="X4046" s="1">
        <v>2493.52</v>
      </c>
      <c r="Y4046">
        <v>-498.7</v>
      </c>
      <c r="Z4046" s="5">
        <v>1994.82</v>
      </c>
      <c r="AA4046">
        <v>-59</v>
      </c>
      <c r="AB4046" s="5">
        <v>-117694.38</v>
      </c>
      <c r="AC4046" s="1">
        <v>1994.82</v>
      </c>
      <c r="AD4046">
        <v>-59</v>
      </c>
      <c r="AE4046" s="1">
        <v>-117694.38</v>
      </c>
      <c r="AF4046">
        <v>0</v>
      </c>
      <c r="AJ4046" s="1">
        <v>1994.82</v>
      </c>
      <c r="AK4046" s="1">
        <v>1994.82</v>
      </c>
      <c r="AL4046" s="1">
        <v>1994.82</v>
      </c>
      <c r="AM4046" s="1">
        <v>1994.82</v>
      </c>
      <c r="AN4046" s="1">
        <v>1994.82</v>
      </c>
      <c r="AO4046" s="1">
        <v>1994.82</v>
      </c>
      <c r="AP4046" s="2">
        <v>42746</v>
      </c>
      <c r="AQ4046" t="s">
        <v>72</v>
      </c>
      <c r="AR4046" t="s">
        <v>72</v>
      </c>
      <c r="AS4046">
        <v>3067</v>
      </c>
      <c r="AT4046" s="4">
        <v>42684</v>
      </c>
      <c r="AV4046">
        <v>3067</v>
      </c>
      <c r="AW4046" s="4">
        <v>42684</v>
      </c>
      <c r="BD4046">
        <v>0</v>
      </c>
      <c r="BN4046" t="s">
        <v>74</v>
      </c>
    </row>
    <row r="4047" spans="1:66">
      <c r="A4047">
        <v>101498</v>
      </c>
      <c r="B4047" s="3" t="s">
        <v>463</v>
      </c>
      <c r="C4047" s="1">
        <v>43500101</v>
      </c>
      <c r="D4047" t="s">
        <v>113</v>
      </c>
      <c r="H4047" t="str">
        <f t="shared" si="440"/>
        <v>QGLFMN77P65A128P</v>
      </c>
      <c r="I4047" t="str">
        <f t="shared" si="441"/>
        <v>04789720655</v>
      </c>
      <c r="K4047" t="str">
        <f>""</f>
        <v/>
      </c>
      <c r="M4047" t="s">
        <v>68</v>
      </c>
      <c r="N4047" t="str">
        <f t="shared" si="442"/>
        <v>ALTPRO</v>
      </c>
      <c r="O4047" t="s">
        <v>132</v>
      </c>
      <c r="P4047" s="3" t="s">
        <v>75</v>
      </c>
      <c r="Q4047">
        <v>2016</v>
      </c>
      <c r="R4047" s="2">
        <v>42711</v>
      </c>
      <c r="S4047" s="2">
        <v>42713</v>
      </c>
      <c r="T4047" s="2">
        <v>42711</v>
      </c>
      <c r="U4047" s="2">
        <v>42771</v>
      </c>
      <c r="V4047" t="s">
        <v>71</v>
      </c>
      <c r="W4047" t="str">
        <f>"      000012-2016-FE"</f>
        <v xml:space="preserve">      000012-2016-FE</v>
      </c>
      <c r="X4047" s="1">
        <v>2634</v>
      </c>
      <c r="Y4047">
        <v>-526.79999999999995</v>
      </c>
      <c r="Z4047" s="5">
        <v>2107.1999999999998</v>
      </c>
      <c r="AA4047">
        <v>-53</v>
      </c>
      <c r="AB4047" s="5">
        <v>-111681.60000000001</v>
      </c>
      <c r="AC4047" s="1">
        <v>2107.1999999999998</v>
      </c>
      <c r="AD4047">
        <v>-53</v>
      </c>
      <c r="AE4047" s="1">
        <v>-111681.60000000001</v>
      </c>
      <c r="AF4047">
        <v>0</v>
      </c>
      <c r="AJ4047" s="1">
        <v>2107.1999999999998</v>
      </c>
      <c r="AK4047" s="1">
        <v>2107.1999999999998</v>
      </c>
      <c r="AL4047" s="1">
        <v>2107.1999999999998</v>
      </c>
      <c r="AM4047" s="1">
        <v>2107.1999999999998</v>
      </c>
      <c r="AN4047" s="1">
        <v>2107.1999999999998</v>
      </c>
      <c r="AO4047" s="1">
        <v>2107.1999999999998</v>
      </c>
      <c r="AP4047" s="2">
        <v>42746</v>
      </c>
      <c r="AQ4047" t="s">
        <v>72</v>
      </c>
      <c r="AR4047" t="s">
        <v>72</v>
      </c>
      <c r="AS4047">
        <v>3451</v>
      </c>
      <c r="AT4047" s="4">
        <v>42718</v>
      </c>
      <c r="AV4047">
        <v>3451</v>
      </c>
      <c r="AW4047" s="4">
        <v>42718</v>
      </c>
      <c r="BD4047">
        <v>0</v>
      </c>
      <c r="BN4047" t="s">
        <v>74</v>
      </c>
    </row>
    <row r="4048" spans="1:66" hidden="1">
      <c r="A4048">
        <v>101515</v>
      </c>
      <c r="B4048" s="3" t="s">
        <v>464</v>
      </c>
      <c r="C4048" s="1">
        <v>43300101</v>
      </c>
      <c r="D4048" t="s">
        <v>67</v>
      </c>
      <c r="H4048" t="str">
        <f t="shared" ref="H4048:I4063" si="443">"01764680649"</f>
        <v>01764680649</v>
      </c>
      <c r="I4048" t="str">
        <f t="shared" si="443"/>
        <v>01764680649</v>
      </c>
      <c r="K4048" t="str">
        <f>""</f>
        <v/>
      </c>
      <c r="M4048" t="s">
        <v>68</v>
      </c>
      <c r="N4048" t="str">
        <f t="shared" ref="N4048:N4111" si="444">"FOR"</f>
        <v>FOR</v>
      </c>
      <c r="O4048" t="s">
        <v>69</v>
      </c>
      <c r="P4048" s="3" t="s">
        <v>70</v>
      </c>
      <c r="Q4048">
        <v>2015</v>
      </c>
      <c r="R4048" s="2">
        <v>42310</v>
      </c>
      <c r="S4048" s="2">
        <v>42507</v>
      </c>
      <c r="T4048" s="2">
        <v>42507</v>
      </c>
      <c r="U4048" s="2">
        <v>42567</v>
      </c>
      <c r="V4048" t="s">
        <v>71</v>
      </c>
      <c r="W4048" t="str">
        <f>"                W661"</f>
        <v xml:space="preserve">                W661</v>
      </c>
      <c r="X4048" s="1">
        <v>20774.98</v>
      </c>
      <c r="Y4048">
        <v>0</v>
      </c>
      <c r="Z4048"/>
      <c r="AB4048"/>
      <c r="AC4048" s="1">
        <v>17028.669999999998</v>
      </c>
      <c r="AD4048">
        <v>2</v>
      </c>
      <c r="AE4048" s="1">
        <v>34057.339999999997</v>
      </c>
      <c r="AF4048">
        <v>0</v>
      </c>
      <c r="AJ4048">
        <v>0</v>
      </c>
      <c r="AK4048">
        <v>0</v>
      </c>
      <c r="AL4048">
        <v>0</v>
      </c>
      <c r="AM4048">
        <v>0</v>
      </c>
      <c r="AN4048" s="1">
        <v>20774.98</v>
      </c>
      <c r="AO4048">
        <v>0</v>
      </c>
      <c r="AP4048" s="2">
        <v>42746</v>
      </c>
      <c r="AQ4048" t="s">
        <v>72</v>
      </c>
      <c r="AR4048" t="s">
        <v>72</v>
      </c>
      <c r="AS4048">
        <v>1878</v>
      </c>
      <c r="AT4048" s="4">
        <v>42569</v>
      </c>
      <c r="AU4048" t="s">
        <v>73</v>
      </c>
      <c r="AV4048">
        <v>1878</v>
      </c>
      <c r="AW4048" s="4">
        <v>42569</v>
      </c>
      <c r="BD4048">
        <v>0</v>
      </c>
      <c r="BN4048" t="s">
        <v>74</v>
      </c>
    </row>
    <row r="4049" spans="1:66" hidden="1">
      <c r="A4049">
        <v>101515</v>
      </c>
      <c r="B4049" s="3" t="s">
        <v>464</v>
      </c>
      <c r="C4049" s="1">
        <v>43300101</v>
      </c>
      <c r="D4049" t="s">
        <v>67</v>
      </c>
      <c r="H4049" t="str">
        <f t="shared" si="443"/>
        <v>01764680649</v>
      </c>
      <c r="I4049" t="str">
        <f t="shared" si="443"/>
        <v>01764680649</v>
      </c>
      <c r="K4049" t="str">
        <f>""</f>
        <v/>
      </c>
      <c r="M4049" t="s">
        <v>68</v>
      </c>
      <c r="N4049" t="str">
        <f t="shared" si="444"/>
        <v>FOR</v>
      </c>
      <c r="O4049" t="s">
        <v>69</v>
      </c>
      <c r="P4049" s="3" t="s">
        <v>75</v>
      </c>
      <c r="Q4049">
        <v>2015</v>
      </c>
      <c r="R4049" s="2">
        <v>42339</v>
      </c>
      <c r="S4049" s="2">
        <v>42369</v>
      </c>
      <c r="T4049" s="2">
        <v>42368</v>
      </c>
      <c r="U4049" s="2">
        <v>42428</v>
      </c>
      <c r="V4049" t="s">
        <v>71</v>
      </c>
      <c r="W4049" t="str">
        <f>"                W732"</f>
        <v xml:space="preserve">                W732</v>
      </c>
      <c r="X4049" s="1">
        <v>20774.98</v>
      </c>
      <c r="Y4049">
        <v>0</v>
      </c>
      <c r="Z4049"/>
      <c r="AB4049"/>
      <c r="AC4049" s="1">
        <v>17028.669999999998</v>
      </c>
      <c r="AD4049">
        <v>-23</v>
      </c>
      <c r="AE4049" s="1">
        <v>-391659.41</v>
      </c>
      <c r="AF4049">
        <v>0</v>
      </c>
      <c r="AJ4049">
        <v>0</v>
      </c>
      <c r="AK4049">
        <v>0</v>
      </c>
      <c r="AL4049">
        <v>0</v>
      </c>
      <c r="AM4049">
        <v>0</v>
      </c>
      <c r="AN4049">
        <v>0</v>
      </c>
      <c r="AO4049">
        <v>0</v>
      </c>
      <c r="AP4049" s="2">
        <v>42746</v>
      </c>
      <c r="AQ4049" t="s">
        <v>72</v>
      </c>
      <c r="AR4049" t="s">
        <v>72</v>
      </c>
      <c r="AS4049">
        <v>284</v>
      </c>
      <c r="AT4049" s="4">
        <v>42405</v>
      </c>
      <c r="AV4049">
        <v>284</v>
      </c>
      <c r="AW4049" s="4">
        <v>42405</v>
      </c>
      <c r="BD4049">
        <v>0</v>
      </c>
      <c r="BN4049" t="s">
        <v>74</v>
      </c>
    </row>
    <row r="4050" spans="1:66" hidden="1">
      <c r="A4050">
        <v>101515</v>
      </c>
      <c r="B4050" s="3" t="s">
        <v>464</v>
      </c>
      <c r="C4050" s="1">
        <v>43300101</v>
      </c>
      <c r="D4050" t="s">
        <v>67</v>
      </c>
      <c r="H4050" t="str">
        <f t="shared" si="443"/>
        <v>01764680649</v>
      </c>
      <c r="I4050" t="str">
        <f t="shared" si="443"/>
        <v>01764680649</v>
      </c>
      <c r="K4050" t="str">
        <f>""</f>
        <v/>
      </c>
      <c r="M4050" t="s">
        <v>68</v>
      </c>
      <c r="N4050" t="str">
        <f t="shared" si="444"/>
        <v>FOR</v>
      </c>
      <c r="O4050" t="s">
        <v>69</v>
      </c>
      <c r="P4050" s="3" t="s">
        <v>75</v>
      </c>
      <c r="Q4050">
        <v>2015</v>
      </c>
      <c r="R4050" s="2">
        <v>42339</v>
      </c>
      <c r="S4050" s="2">
        <v>42369</v>
      </c>
      <c r="T4050" s="2">
        <v>42368</v>
      </c>
      <c r="U4050" s="2">
        <v>42428</v>
      </c>
      <c r="V4050" t="s">
        <v>71</v>
      </c>
      <c r="W4050" t="str">
        <f>"                W733"</f>
        <v xml:space="preserve">                W733</v>
      </c>
      <c r="X4050">
        <v>35.25</v>
      </c>
      <c r="Y4050">
        <v>0</v>
      </c>
      <c r="Z4050"/>
      <c r="AB4050"/>
      <c r="AC4050">
        <v>28.89</v>
      </c>
      <c r="AD4050">
        <v>138</v>
      </c>
      <c r="AE4050" s="1">
        <v>3986.82</v>
      </c>
      <c r="AF4050">
        <v>6.36</v>
      </c>
      <c r="AJ4050">
        <v>0</v>
      </c>
      <c r="AK4050">
        <v>0</v>
      </c>
      <c r="AL4050">
        <v>0</v>
      </c>
      <c r="AM4050">
        <v>0</v>
      </c>
      <c r="AN4050">
        <v>0</v>
      </c>
      <c r="AO4050">
        <v>0</v>
      </c>
      <c r="AP4050" s="2">
        <v>42746</v>
      </c>
      <c r="AQ4050" t="s">
        <v>72</v>
      </c>
      <c r="AR4050" t="s">
        <v>72</v>
      </c>
      <c r="AS4050">
        <v>1771</v>
      </c>
      <c r="AT4050" s="4">
        <v>42566</v>
      </c>
      <c r="AU4050" t="s">
        <v>73</v>
      </c>
      <c r="AV4050">
        <v>1771</v>
      </c>
      <c r="AW4050" s="4">
        <v>42566</v>
      </c>
      <c r="BD4050">
        <v>6.36</v>
      </c>
      <c r="BN4050" t="s">
        <v>74</v>
      </c>
    </row>
    <row r="4051" spans="1:66" hidden="1">
      <c r="A4051">
        <v>101515</v>
      </c>
      <c r="B4051" s="3" t="s">
        <v>464</v>
      </c>
      <c r="C4051" s="1">
        <v>43300101</v>
      </c>
      <c r="D4051" t="s">
        <v>67</v>
      </c>
      <c r="H4051" t="str">
        <f t="shared" si="443"/>
        <v>01764680649</v>
      </c>
      <c r="I4051" t="str">
        <f t="shared" si="443"/>
        <v>01764680649</v>
      </c>
      <c r="K4051" t="str">
        <f>""</f>
        <v/>
      </c>
      <c r="M4051" t="s">
        <v>68</v>
      </c>
      <c r="N4051" t="str">
        <f t="shared" si="444"/>
        <v>FOR</v>
      </c>
      <c r="O4051" t="s">
        <v>69</v>
      </c>
      <c r="P4051" s="3" t="s">
        <v>75</v>
      </c>
      <c r="Q4051">
        <v>2015</v>
      </c>
      <c r="R4051" s="2">
        <v>42369</v>
      </c>
      <c r="S4051" s="2">
        <v>42369</v>
      </c>
      <c r="T4051" s="2">
        <v>42369</v>
      </c>
      <c r="U4051" s="2">
        <v>42429</v>
      </c>
      <c r="V4051" t="s">
        <v>71</v>
      </c>
      <c r="W4051" t="str">
        <f>"                W807"</f>
        <v xml:space="preserve">                W807</v>
      </c>
      <c r="X4051" s="1">
        <v>20774.98</v>
      </c>
      <c r="Y4051">
        <v>0</v>
      </c>
      <c r="Z4051"/>
      <c r="AB4051"/>
      <c r="AC4051" s="1">
        <v>17028.669999999998</v>
      </c>
      <c r="AD4051">
        <v>-13</v>
      </c>
      <c r="AE4051" s="1">
        <v>-221372.71</v>
      </c>
      <c r="AF4051">
        <v>0</v>
      </c>
      <c r="AJ4051">
        <v>0</v>
      </c>
      <c r="AK4051">
        <v>0</v>
      </c>
      <c r="AL4051">
        <v>0</v>
      </c>
      <c r="AM4051">
        <v>0</v>
      </c>
      <c r="AN4051">
        <v>0</v>
      </c>
      <c r="AO4051">
        <v>0</v>
      </c>
      <c r="AP4051" s="2">
        <v>42746</v>
      </c>
      <c r="AQ4051" t="s">
        <v>72</v>
      </c>
      <c r="AR4051" t="s">
        <v>72</v>
      </c>
      <c r="AS4051">
        <v>445</v>
      </c>
      <c r="AT4051" s="4">
        <v>42416</v>
      </c>
      <c r="AV4051">
        <v>445</v>
      </c>
      <c r="AW4051" s="4">
        <v>42416</v>
      </c>
      <c r="BD4051">
        <v>0</v>
      </c>
      <c r="BN4051" t="s">
        <v>74</v>
      </c>
    </row>
    <row r="4052" spans="1:66" hidden="1">
      <c r="A4052">
        <v>101515</v>
      </c>
      <c r="B4052" s="3" t="s">
        <v>464</v>
      </c>
      <c r="C4052" s="1">
        <v>43300101</v>
      </c>
      <c r="D4052" t="s">
        <v>67</v>
      </c>
      <c r="H4052" t="str">
        <f t="shared" si="443"/>
        <v>01764680649</v>
      </c>
      <c r="I4052" t="str">
        <f t="shared" si="443"/>
        <v>01764680649</v>
      </c>
      <c r="K4052" t="str">
        <f>""</f>
        <v/>
      </c>
      <c r="M4052" t="s">
        <v>68</v>
      </c>
      <c r="N4052" t="str">
        <f t="shared" si="444"/>
        <v>FOR</v>
      </c>
      <c r="O4052" t="s">
        <v>69</v>
      </c>
      <c r="P4052" s="3" t="s">
        <v>75</v>
      </c>
      <c r="Q4052">
        <v>2015</v>
      </c>
      <c r="R4052" s="2">
        <v>42369</v>
      </c>
      <c r="S4052" s="2">
        <v>42369</v>
      </c>
      <c r="T4052" s="2">
        <v>42369</v>
      </c>
      <c r="U4052" s="2">
        <v>42429</v>
      </c>
      <c r="V4052" t="s">
        <v>71</v>
      </c>
      <c r="W4052" t="str">
        <f>"                W808"</f>
        <v xml:space="preserve">                W808</v>
      </c>
      <c r="X4052">
        <v>35.25</v>
      </c>
      <c r="Y4052">
        <v>0</v>
      </c>
      <c r="Z4052"/>
      <c r="AB4052"/>
      <c r="AC4052">
        <v>28.89</v>
      </c>
      <c r="AD4052">
        <v>137</v>
      </c>
      <c r="AE4052" s="1">
        <v>3957.93</v>
      </c>
      <c r="AF4052">
        <v>6.36</v>
      </c>
      <c r="AJ4052">
        <v>0</v>
      </c>
      <c r="AK4052">
        <v>0</v>
      </c>
      <c r="AL4052">
        <v>0</v>
      </c>
      <c r="AM4052">
        <v>0</v>
      </c>
      <c r="AN4052">
        <v>0</v>
      </c>
      <c r="AO4052">
        <v>0</v>
      </c>
      <c r="AP4052" s="2">
        <v>42746</v>
      </c>
      <c r="AQ4052" t="s">
        <v>72</v>
      </c>
      <c r="AR4052" t="s">
        <v>72</v>
      </c>
      <c r="AS4052">
        <v>1771</v>
      </c>
      <c r="AT4052" s="4">
        <v>42566</v>
      </c>
      <c r="AU4052" t="s">
        <v>73</v>
      </c>
      <c r="AV4052">
        <v>1771</v>
      </c>
      <c r="AW4052" s="4">
        <v>42566</v>
      </c>
      <c r="BD4052">
        <v>6.36</v>
      </c>
      <c r="BN4052" t="s">
        <v>74</v>
      </c>
    </row>
    <row r="4053" spans="1:66" hidden="1">
      <c r="A4053">
        <v>101515</v>
      </c>
      <c r="B4053" s="3" t="s">
        <v>464</v>
      </c>
      <c r="C4053" s="1">
        <v>43300101</v>
      </c>
      <c r="D4053" t="s">
        <v>67</v>
      </c>
      <c r="H4053" t="str">
        <f t="shared" si="443"/>
        <v>01764680649</v>
      </c>
      <c r="I4053" t="str">
        <f t="shared" si="443"/>
        <v>01764680649</v>
      </c>
      <c r="K4053" t="str">
        <f>""</f>
        <v/>
      </c>
      <c r="M4053" t="s">
        <v>68</v>
      </c>
      <c r="N4053" t="str">
        <f t="shared" si="444"/>
        <v>FOR</v>
      </c>
      <c r="O4053" t="s">
        <v>69</v>
      </c>
      <c r="P4053" s="3" t="s">
        <v>75</v>
      </c>
      <c r="Q4053">
        <v>2016</v>
      </c>
      <c r="R4053" s="2">
        <v>42399</v>
      </c>
      <c r="S4053" s="2">
        <v>42416</v>
      </c>
      <c r="T4053" s="2">
        <v>42415</v>
      </c>
      <c r="U4053" s="2">
        <v>42475</v>
      </c>
      <c r="V4053" t="s">
        <v>71</v>
      </c>
      <c r="W4053" t="str">
        <f>"                W104"</f>
        <v xml:space="preserve">                W104</v>
      </c>
      <c r="X4053" s="1">
        <v>20774.98</v>
      </c>
      <c r="Y4053">
        <v>0</v>
      </c>
      <c r="Z4053"/>
      <c r="AB4053"/>
      <c r="AC4053" s="1">
        <v>17028.669999999998</v>
      </c>
      <c r="AD4053">
        <v>-22</v>
      </c>
      <c r="AE4053" s="1">
        <v>-374630.74</v>
      </c>
      <c r="AF4053">
        <v>0</v>
      </c>
      <c r="AJ4053">
        <v>0</v>
      </c>
      <c r="AK4053">
        <v>0</v>
      </c>
      <c r="AL4053">
        <v>0</v>
      </c>
      <c r="AM4053" s="1">
        <v>20774.98</v>
      </c>
      <c r="AN4053" s="1">
        <v>20774.98</v>
      </c>
      <c r="AO4053" s="1">
        <v>20774.98</v>
      </c>
      <c r="AP4053" s="2">
        <v>42746</v>
      </c>
      <c r="AQ4053" t="s">
        <v>72</v>
      </c>
      <c r="AR4053" t="s">
        <v>72</v>
      </c>
      <c r="AS4053">
        <v>880</v>
      </c>
      <c r="AT4053" s="4">
        <v>42453</v>
      </c>
      <c r="AV4053">
        <v>880</v>
      </c>
      <c r="AW4053" s="4">
        <v>42453</v>
      </c>
      <c r="BD4053">
        <v>0</v>
      </c>
      <c r="BN4053" t="s">
        <v>74</v>
      </c>
    </row>
    <row r="4054" spans="1:66" hidden="1">
      <c r="A4054">
        <v>101515</v>
      </c>
      <c r="B4054" s="3" t="s">
        <v>464</v>
      </c>
      <c r="C4054" s="1">
        <v>43300101</v>
      </c>
      <c r="D4054" t="s">
        <v>67</v>
      </c>
      <c r="H4054" t="str">
        <f t="shared" si="443"/>
        <v>01764680649</v>
      </c>
      <c r="I4054" t="str">
        <f t="shared" si="443"/>
        <v>01764680649</v>
      </c>
      <c r="K4054" t="str">
        <f>""</f>
        <v/>
      </c>
      <c r="M4054" t="s">
        <v>68</v>
      </c>
      <c r="N4054" t="str">
        <f t="shared" si="444"/>
        <v>FOR</v>
      </c>
      <c r="O4054" t="s">
        <v>69</v>
      </c>
      <c r="P4054" s="3" t="s">
        <v>75</v>
      </c>
      <c r="Q4054">
        <v>2016</v>
      </c>
      <c r="R4054" s="2">
        <v>42429</v>
      </c>
      <c r="S4054" s="2">
        <v>42445</v>
      </c>
      <c r="T4054" s="2">
        <v>42444</v>
      </c>
      <c r="U4054" s="2">
        <v>42504</v>
      </c>
      <c r="V4054" t="s">
        <v>71</v>
      </c>
      <c r="W4054" t="str">
        <f>"                W151"</f>
        <v xml:space="preserve">                W151</v>
      </c>
      <c r="X4054" s="1">
        <v>20774.98</v>
      </c>
      <c r="Y4054">
        <v>0</v>
      </c>
      <c r="Z4054"/>
      <c r="AB4054"/>
      <c r="AC4054" s="1">
        <v>17028.669999999998</v>
      </c>
      <c r="AD4054">
        <v>24</v>
      </c>
      <c r="AE4054" s="1">
        <v>408688.08</v>
      </c>
      <c r="AF4054">
        <v>0</v>
      </c>
      <c r="AJ4054">
        <v>0</v>
      </c>
      <c r="AK4054">
        <v>0</v>
      </c>
      <c r="AL4054">
        <v>0</v>
      </c>
      <c r="AM4054" s="1">
        <v>20774.98</v>
      </c>
      <c r="AN4054" s="1">
        <v>20774.98</v>
      </c>
      <c r="AO4054" s="1">
        <v>20774.98</v>
      </c>
      <c r="AP4054" s="2">
        <v>42746</v>
      </c>
      <c r="AQ4054" t="s">
        <v>72</v>
      </c>
      <c r="AR4054" t="s">
        <v>72</v>
      </c>
      <c r="AS4054">
        <v>1555</v>
      </c>
      <c r="AT4054" s="4">
        <v>42528</v>
      </c>
      <c r="AU4054" t="s">
        <v>73</v>
      </c>
      <c r="AV4054">
        <v>1555</v>
      </c>
      <c r="AW4054" s="4">
        <v>42528</v>
      </c>
      <c r="BD4054">
        <v>0</v>
      </c>
      <c r="BN4054" t="s">
        <v>74</v>
      </c>
    </row>
    <row r="4055" spans="1:66" hidden="1">
      <c r="A4055">
        <v>101515</v>
      </c>
      <c r="B4055" s="3" t="s">
        <v>464</v>
      </c>
      <c r="C4055" s="1">
        <v>43300101</v>
      </c>
      <c r="D4055" t="s">
        <v>67</v>
      </c>
      <c r="H4055" t="str">
        <f t="shared" si="443"/>
        <v>01764680649</v>
      </c>
      <c r="I4055" t="str">
        <f t="shared" si="443"/>
        <v>01764680649</v>
      </c>
      <c r="K4055" t="str">
        <f>""</f>
        <v/>
      </c>
      <c r="M4055" t="s">
        <v>68</v>
      </c>
      <c r="N4055" t="str">
        <f t="shared" si="444"/>
        <v>FOR</v>
      </c>
      <c r="O4055" t="s">
        <v>69</v>
      </c>
      <c r="P4055" s="3" t="s">
        <v>75</v>
      </c>
      <c r="Q4055">
        <v>2016</v>
      </c>
      <c r="R4055" s="2">
        <v>42460</v>
      </c>
      <c r="S4055" s="2">
        <v>42478</v>
      </c>
      <c r="T4055" s="2">
        <v>42475</v>
      </c>
      <c r="U4055" s="2">
        <v>42535</v>
      </c>
      <c r="V4055" t="s">
        <v>71</v>
      </c>
      <c r="W4055" t="str">
        <f>"                W257"</f>
        <v xml:space="preserve">                W257</v>
      </c>
      <c r="X4055" s="1">
        <v>20774.98</v>
      </c>
      <c r="Y4055">
        <v>0</v>
      </c>
      <c r="Z4055"/>
      <c r="AB4055"/>
      <c r="AC4055" s="1">
        <v>17028.669999999998</v>
      </c>
      <c r="AD4055">
        <v>42</v>
      </c>
      <c r="AE4055" s="1">
        <v>715204.14</v>
      </c>
      <c r="AF4055">
        <v>0</v>
      </c>
      <c r="AJ4055">
        <v>0</v>
      </c>
      <c r="AK4055">
        <v>0</v>
      </c>
      <c r="AL4055">
        <v>0</v>
      </c>
      <c r="AM4055" s="1">
        <v>20774.98</v>
      </c>
      <c r="AN4055" s="1">
        <v>20774.98</v>
      </c>
      <c r="AO4055" s="1">
        <v>20774.98</v>
      </c>
      <c r="AP4055" s="2">
        <v>42746</v>
      </c>
      <c r="AQ4055" t="s">
        <v>72</v>
      </c>
      <c r="AR4055" t="s">
        <v>72</v>
      </c>
      <c r="AS4055">
        <v>1925</v>
      </c>
      <c r="AT4055" s="4">
        <v>42577</v>
      </c>
      <c r="AU4055" t="s">
        <v>73</v>
      </c>
      <c r="AV4055">
        <v>1925</v>
      </c>
      <c r="AW4055" s="4">
        <v>42577</v>
      </c>
      <c r="BD4055">
        <v>0</v>
      </c>
      <c r="BN4055" t="s">
        <v>74</v>
      </c>
    </row>
    <row r="4056" spans="1:66" hidden="1">
      <c r="A4056">
        <v>101515</v>
      </c>
      <c r="B4056" s="3" t="s">
        <v>464</v>
      </c>
      <c r="C4056" s="1">
        <v>43300101</v>
      </c>
      <c r="D4056" t="s">
        <v>67</v>
      </c>
      <c r="H4056" t="str">
        <f t="shared" si="443"/>
        <v>01764680649</v>
      </c>
      <c r="I4056" t="str">
        <f t="shared" si="443"/>
        <v>01764680649</v>
      </c>
      <c r="K4056" t="str">
        <f>""</f>
        <v/>
      </c>
      <c r="M4056" t="s">
        <v>68</v>
      </c>
      <c r="N4056" t="str">
        <f t="shared" si="444"/>
        <v>FOR</v>
      </c>
      <c r="O4056" t="s">
        <v>69</v>
      </c>
      <c r="P4056" s="3" t="s">
        <v>75</v>
      </c>
      <c r="Q4056">
        <v>2016</v>
      </c>
      <c r="R4056" s="2">
        <v>42490</v>
      </c>
      <c r="S4056" s="2">
        <v>42508</v>
      </c>
      <c r="T4056" s="2">
        <v>42507</v>
      </c>
      <c r="U4056" s="2">
        <v>42567</v>
      </c>
      <c r="V4056" t="s">
        <v>71</v>
      </c>
      <c r="W4056" t="str">
        <f>"                W335"</f>
        <v xml:space="preserve">                W335</v>
      </c>
      <c r="X4056" s="1">
        <v>20774.98</v>
      </c>
      <c r="Y4056">
        <v>0</v>
      </c>
      <c r="Z4056"/>
      <c r="AB4056"/>
      <c r="AC4056" s="1">
        <v>17028.669999999998</v>
      </c>
      <c r="AD4056">
        <v>52</v>
      </c>
      <c r="AE4056" s="1">
        <v>885490.84</v>
      </c>
      <c r="AF4056">
        <v>0</v>
      </c>
      <c r="AJ4056">
        <v>0</v>
      </c>
      <c r="AK4056">
        <v>0</v>
      </c>
      <c r="AL4056">
        <v>0</v>
      </c>
      <c r="AM4056" s="1">
        <v>20774.98</v>
      </c>
      <c r="AN4056" s="1">
        <v>20774.98</v>
      </c>
      <c r="AO4056" s="1">
        <v>20774.98</v>
      </c>
      <c r="AP4056" s="2">
        <v>42746</v>
      </c>
      <c r="AQ4056" t="s">
        <v>72</v>
      </c>
      <c r="AR4056" t="s">
        <v>72</v>
      </c>
      <c r="AS4056">
        <v>2271</v>
      </c>
      <c r="AT4056" s="4">
        <v>42619</v>
      </c>
      <c r="AU4056" t="s">
        <v>73</v>
      </c>
      <c r="AV4056">
        <v>2271</v>
      </c>
      <c r="AW4056" s="4">
        <v>42619</v>
      </c>
      <c r="BD4056">
        <v>0</v>
      </c>
      <c r="BN4056" t="s">
        <v>74</v>
      </c>
    </row>
    <row r="4057" spans="1:66">
      <c r="A4057">
        <v>101515</v>
      </c>
      <c r="B4057" s="3" t="s">
        <v>464</v>
      </c>
      <c r="C4057" s="1">
        <v>43300101</v>
      </c>
      <c r="D4057" t="s">
        <v>67</v>
      </c>
      <c r="H4057" t="str">
        <f t="shared" si="443"/>
        <v>01764680649</v>
      </c>
      <c r="I4057" t="str">
        <f t="shared" si="443"/>
        <v>01764680649</v>
      </c>
      <c r="K4057" t="str">
        <f>""</f>
        <v/>
      </c>
      <c r="M4057" t="s">
        <v>68</v>
      </c>
      <c r="N4057" t="str">
        <f t="shared" si="444"/>
        <v>FOR</v>
      </c>
      <c r="O4057" t="s">
        <v>69</v>
      </c>
      <c r="P4057" s="3" t="s">
        <v>75</v>
      </c>
      <c r="Q4057">
        <v>2016</v>
      </c>
      <c r="R4057" s="2">
        <v>42521</v>
      </c>
      <c r="S4057" s="2">
        <v>42541</v>
      </c>
      <c r="T4057" s="2">
        <v>42539</v>
      </c>
      <c r="U4057" s="2">
        <v>42599</v>
      </c>
      <c r="V4057" t="s">
        <v>71</v>
      </c>
      <c r="W4057" t="str">
        <f>"                W379"</f>
        <v xml:space="preserve">                W379</v>
      </c>
      <c r="X4057" s="1">
        <v>21506.98</v>
      </c>
      <c r="Y4057">
        <v>0</v>
      </c>
      <c r="Z4057" s="5">
        <v>17628.669999999998</v>
      </c>
      <c r="AA4057">
        <v>47</v>
      </c>
      <c r="AB4057" s="5">
        <v>828547.49</v>
      </c>
      <c r="AC4057" s="1">
        <v>17628.669999999998</v>
      </c>
      <c r="AD4057">
        <v>47</v>
      </c>
      <c r="AE4057" s="1">
        <v>828547.49</v>
      </c>
      <c r="AF4057">
        <v>0</v>
      </c>
      <c r="AJ4057">
        <v>0</v>
      </c>
      <c r="AK4057">
        <v>0</v>
      </c>
      <c r="AL4057">
        <v>0</v>
      </c>
      <c r="AM4057" s="1">
        <v>21506.98</v>
      </c>
      <c r="AN4057" s="1">
        <v>21506.98</v>
      </c>
      <c r="AO4057" s="1">
        <v>21506.98</v>
      </c>
      <c r="AP4057" s="2">
        <v>42746</v>
      </c>
      <c r="AQ4057" t="s">
        <v>72</v>
      </c>
      <c r="AR4057" t="s">
        <v>72</v>
      </c>
      <c r="AS4057">
        <v>2558</v>
      </c>
      <c r="AT4057" s="4">
        <v>42646</v>
      </c>
      <c r="AU4057" t="s">
        <v>73</v>
      </c>
      <c r="AV4057">
        <v>2558</v>
      </c>
      <c r="AW4057" s="4">
        <v>42646</v>
      </c>
      <c r="BD4057">
        <v>0</v>
      </c>
      <c r="BN4057" t="s">
        <v>74</v>
      </c>
    </row>
    <row r="4058" spans="1:66">
      <c r="A4058">
        <v>101515</v>
      </c>
      <c r="B4058" s="3" t="s">
        <v>464</v>
      </c>
      <c r="C4058" s="1">
        <v>43300101</v>
      </c>
      <c r="D4058" t="s">
        <v>67</v>
      </c>
      <c r="H4058" t="str">
        <f t="shared" si="443"/>
        <v>01764680649</v>
      </c>
      <c r="I4058" t="str">
        <f t="shared" si="443"/>
        <v>01764680649</v>
      </c>
      <c r="K4058" t="str">
        <f>""</f>
        <v/>
      </c>
      <c r="M4058" t="s">
        <v>68</v>
      </c>
      <c r="N4058" t="str">
        <f t="shared" si="444"/>
        <v>FOR</v>
      </c>
      <c r="O4058" t="s">
        <v>69</v>
      </c>
      <c r="P4058" s="3" t="s">
        <v>75</v>
      </c>
      <c r="Q4058">
        <v>2016</v>
      </c>
      <c r="R4058" s="2">
        <v>42552</v>
      </c>
      <c r="S4058" s="2">
        <v>42577</v>
      </c>
      <c r="T4058" s="2">
        <v>42568</v>
      </c>
      <c r="U4058" s="2">
        <v>42628</v>
      </c>
      <c r="V4058" t="s">
        <v>71</v>
      </c>
      <c r="W4058" t="str">
        <f>"                W488"</f>
        <v xml:space="preserve">                W488</v>
      </c>
      <c r="X4058" s="1">
        <v>21506.98</v>
      </c>
      <c r="Y4058">
        <v>0</v>
      </c>
      <c r="Z4058" s="5">
        <v>17628.669999999998</v>
      </c>
      <c r="AA4058">
        <v>55</v>
      </c>
      <c r="AB4058" s="5">
        <v>969576.85</v>
      </c>
      <c r="AC4058" s="1">
        <v>17628.669999999998</v>
      </c>
      <c r="AD4058">
        <v>55</v>
      </c>
      <c r="AE4058" s="1">
        <v>969576.85</v>
      </c>
      <c r="AF4058">
        <v>0</v>
      </c>
      <c r="AJ4058">
        <v>0</v>
      </c>
      <c r="AK4058">
        <v>0</v>
      </c>
      <c r="AL4058">
        <v>0</v>
      </c>
      <c r="AM4058" s="1">
        <v>21506.98</v>
      </c>
      <c r="AN4058" s="1">
        <v>21506.98</v>
      </c>
      <c r="AO4058" s="1">
        <v>21506.98</v>
      </c>
      <c r="AP4058" s="2">
        <v>42746</v>
      </c>
      <c r="AQ4058" t="s">
        <v>72</v>
      </c>
      <c r="AR4058" t="s">
        <v>72</v>
      </c>
      <c r="AS4058">
        <v>3015</v>
      </c>
      <c r="AT4058" s="4">
        <v>42683</v>
      </c>
      <c r="AU4058" t="s">
        <v>73</v>
      </c>
      <c r="AV4058">
        <v>3015</v>
      </c>
      <c r="AW4058" s="4">
        <v>42683</v>
      </c>
      <c r="BD4058">
        <v>0</v>
      </c>
      <c r="BN4058" t="s">
        <v>74</v>
      </c>
    </row>
    <row r="4059" spans="1:66">
      <c r="A4059">
        <v>101515</v>
      </c>
      <c r="B4059" s="3" t="s">
        <v>464</v>
      </c>
      <c r="C4059" s="1">
        <v>43300101</v>
      </c>
      <c r="D4059" t="s">
        <v>67</v>
      </c>
      <c r="H4059" t="str">
        <f t="shared" si="443"/>
        <v>01764680649</v>
      </c>
      <c r="I4059" t="str">
        <f t="shared" si="443"/>
        <v>01764680649</v>
      </c>
      <c r="K4059" t="str">
        <f>""</f>
        <v/>
      </c>
      <c r="M4059" t="s">
        <v>68</v>
      </c>
      <c r="N4059" t="str">
        <f t="shared" si="444"/>
        <v>FOR</v>
      </c>
      <c r="O4059" t="s">
        <v>69</v>
      </c>
      <c r="P4059" s="3" t="s">
        <v>75</v>
      </c>
      <c r="Q4059">
        <v>2016</v>
      </c>
      <c r="R4059" s="2">
        <v>42582</v>
      </c>
      <c r="S4059" s="2">
        <v>42612</v>
      </c>
      <c r="T4059" s="2">
        <v>42604</v>
      </c>
      <c r="U4059" s="2">
        <v>42664</v>
      </c>
      <c r="V4059" t="s">
        <v>71</v>
      </c>
      <c r="W4059" t="str">
        <f>"                W553"</f>
        <v xml:space="preserve">                W553</v>
      </c>
      <c r="X4059" s="1">
        <v>21506.98</v>
      </c>
      <c r="Y4059">
        <v>0</v>
      </c>
      <c r="Z4059" s="5">
        <v>17628.669999999998</v>
      </c>
      <c r="AA4059">
        <v>19</v>
      </c>
      <c r="AB4059" s="5">
        <v>334944.73</v>
      </c>
      <c r="AC4059" s="1">
        <v>17628.669999999998</v>
      </c>
      <c r="AD4059">
        <v>19</v>
      </c>
      <c r="AE4059" s="1">
        <v>334944.73</v>
      </c>
      <c r="AF4059">
        <v>0</v>
      </c>
      <c r="AJ4059">
        <v>0</v>
      </c>
      <c r="AK4059">
        <v>0</v>
      </c>
      <c r="AL4059">
        <v>0</v>
      </c>
      <c r="AM4059" s="1">
        <v>21506.98</v>
      </c>
      <c r="AN4059" s="1">
        <v>21506.98</v>
      </c>
      <c r="AO4059" s="1">
        <v>21506.98</v>
      </c>
      <c r="AP4059" s="2">
        <v>42746</v>
      </c>
      <c r="AQ4059" t="s">
        <v>72</v>
      </c>
      <c r="AR4059" t="s">
        <v>72</v>
      </c>
      <c r="AS4059">
        <v>3015</v>
      </c>
      <c r="AT4059" s="4">
        <v>42683</v>
      </c>
      <c r="AU4059" t="s">
        <v>73</v>
      </c>
      <c r="AV4059">
        <v>3015</v>
      </c>
      <c r="AW4059" s="4">
        <v>42683</v>
      </c>
      <c r="BD4059">
        <v>0</v>
      </c>
      <c r="BN4059" t="s">
        <v>74</v>
      </c>
    </row>
    <row r="4060" spans="1:66">
      <c r="A4060">
        <v>101515</v>
      </c>
      <c r="B4060" s="3" t="s">
        <v>464</v>
      </c>
      <c r="C4060" s="1">
        <v>43300101</v>
      </c>
      <c r="D4060" t="s">
        <v>67</v>
      </c>
      <c r="H4060" t="str">
        <f t="shared" si="443"/>
        <v>01764680649</v>
      </c>
      <c r="I4060" t="str">
        <f t="shared" si="443"/>
        <v>01764680649</v>
      </c>
      <c r="K4060" t="str">
        <f>""</f>
        <v/>
      </c>
      <c r="M4060" t="s">
        <v>68</v>
      </c>
      <c r="N4060" t="str">
        <f t="shared" si="444"/>
        <v>FOR</v>
      </c>
      <c r="O4060" t="s">
        <v>69</v>
      </c>
      <c r="P4060" s="3" t="s">
        <v>75</v>
      </c>
      <c r="Q4060">
        <v>2016</v>
      </c>
      <c r="R4060" s="2">
        <v>42583</v>
      </c>
      <c r="S4060" s="2">
        <v>42625</v>
      </c>
      <c r="T4060" s="2">
        <v>42621</v>
      </c>
      <c r="U4060" s="2">
        <v>42681</v>
      </c>
      <c r="V4060" t="s">
        <v>71</v>
      </c>
      <c r="W4060" t="str">
        <f>"                W600"</f>
        <v xml:space="preserve">                W600</v>
      </c>
      <c r="X4060">
        <v>768.6</v>
      </c>
      <c r="Y4060">
        <v>0</v>
      </c>
      <c r="Z4060" s="3">
        <v>630</v>
      </c>
      <c r="AA4060">
        <v>38</v>
      </c>
      <c r="AB4060" s="5">
        <v>23940</v>
      </c>
      <c r="AC4060">
        <v>630</v>
      </c>
      <c r="AD4060">
        <v>38</v>
      </c>
      <c r="AE4060" s="1">
        <v>23940</v>
      </c>
      <c r="AF4060">
        <v>138.6</v>
      </c>
      <c r="AJ4060">
        <v>0</v>
      </c>
      <c r="AK4060">
        <v>0</v>
      </c>
      <c r="AL4060">
        <v>0</v>
      </c>
      <c r="AM4060">
        <v>768.6</v>
      </c>
      <c r="AN4060">
        <v>768.6</v>
      </c>
      <c r="AO4060">
        <v>768.6</v>
      </c>
      <c r="AP4060" s="2">
        <v>42746</v>
      </c>
      <c r="AQ4060" t="s">
        <v>72</v>
      </c>
      <c r="AR4060" t="s">
        <v>72</v>
      </c>
      <c r="AS4060">
        <v>3506</v>
      </c>
      <c r="AT4060" s="4">
        <v>42719</v>
      </c>
      <c r="AU4060" t="s">
        <v>73</v>
      </c>
      <c r="AV4060">
        <v>3506</v>
      </c>
      <c r="AW4060" s="4">
        <v>42719</v>
      </c>
      <c r="AY4060">
        <v>138.6</v>
      </c>
      <c r="BD4060">
        <v>0</v>
      </c>
      <c r="BN4060" t="s">
        <v>74</v>
      </c>
    </row>
    <row r="4061" spans="1:66">
      <c r="A4061">
        <v>101515</v>
      </c>
      <c r="B4061" s="3" t="s">
        <v>464</v>
      </c>
      <c r="C4061" s="1">
        <v>43300101</v>
      </c>
      <c r="D4061" t="s">
        <v>67</v>
      </c>
      <c r="H4061" t="str">
        <f t="shared" si="443"/>
        <v>01764680649</v>
      </c>
      <c r="I4061" t="str">
        <f t="shared" si="443"/>
        <v>01764680649</v>
      </c>
      <c r="K4061" t="str">
        <f>""</f>
        <v/>
      </c>
      <c r="M4061" t="s">
        <v>68</v>
      </c>
      <c r="N4061" t="str">
        <f t="shared" si="444"/>
        <v>FOR</v>
      </c>
      <c r="O4061" t="s">
        <v>69</v>
      </c>
      <c r="P4061" s="3" t="s">
        <v>75</v>
      </c>
      <c r="Q4061">
        <v>2016</v>
      </c>
      <c r="R4061" s="2">
        <v>42613</v>
      </c>
      <c r="S4061" s="2">
        <v>42635</v>
      </c>
      <c r="T4061" s="2">
        <v>42633</v>
      </c>
      <c r="U4061" s="2">
        <v>42693</v>
      </c>
      <c r="V4061" t="s">
        <v>71</v>
      </c>
      <c r="W4061" t="str">
        <f>"                W632"</f>
        <v xml:space="preserve">                W632</v>
      </c>
      <c r="X4061" s="1">
        <v>21506.98</v>
      </c>
      <c r="Y4061">
        <v>0</v>
      </c>
      <c r="Z4061" s="5">
        <v>17628.669999999998</v>
      </c>
      <c r="AA4061">
        <v>26</v>
      </c>
      <c r="AB4061" s="5">
        <v>458345.42</v>
      </c>
      <c r="AC4061" s="1">
        <v>17628.669999999998</v>
      </c>
      <c r="AD4061">
        <v>26</v>
      </c>
      <c r="AE4061" s="1">
        <v>458345.42</v>
      </c>
      <c r="AF4061" s="1">
        <v>3878.31</v>
      </c>
      <c r="AJ4061">
        <v>0</v>
      </c>
      <c r="AK4061">
        <v>0</v>
      </c>
      <c r="AL4061">
        <v>0</v>
      </c>
      <c r="AM4061" s="1">
        <v>21506.98</v>
      </c>
      <c r="AN4061" s="1">
        <v>21506.98</v>
      </c>
      <c r="AO4061" s="1">
        <v>21506.98</v>
      </c>
      <c r="AP4061" s="2">
        <v>42746</v>
      </c>
      <c r="AQ4061" t="s">
        <v>72</v>
      </c>
      <c r="AR4061" t="s">
        <v>72</v>
      </c>
      <c r="AS4061">
        <v>3506</v>
      </c>
      <c r="AT4061" s="4">
        <v>42719</v>
      </c>
      <c r="AU4061" t="s">
        <v>73</v>
      </c>
      <c r="AV4061">
        <v>3506</v>
      </c>
      <c r="AW4061" s="4">
        <v>42719</v>
      </c>
      <c r="AY4061" s="1">
        <v>3878.31</v>
      </c>
      <c r="BD4061">
        <v>0</v>
      </c>
      <c r="BN4061" t="s">
        <v>74</v>
      </c>
    </row>
    <row r="4062" spans="1:66">
      <c r="A4062">
        <v>101515</v>
      </c>
      <c r="B4062" s="3" t="s">
        <v>464</v>
      </c>
      <c r="C4062" s="1">
        <v>43300101</v>
      </c>
      <c r="D4062" t="s">
        <v>67</v>
      </c>
      <c r="H4062" t="str">
        <f t="shared" si="443"/>
        <v>01764680649</v>
      </c>
      <c r="I4062" t="str">
        <f t="shared" si="443"/>
        <v>01764680649</v>
      </c>
      <c r="K4062" t="str">
        <f>""</f>
        <v/>
      </c>
      <c r="M4062" t="s">
        <v>68</v>
      </c>
      <c r="N4062" t="str">
        <f t="shared" si="444"/>
        <v>FOR</v>
      </c>
      <c r="O4062" t="s">
        <v>69</v>
      </c>
      <c r="P4062" s="3" t="s">
        <v>75</v>
      </c>
      <c r="Q4062">
        <v>2016</v>
      </c>
      <c r="R4062" s="2">
        <v>42626</v>
      </c>
      <c r="S4062" s="2">
        <v>42660</v>
      </c>
      <c r="T4062" s="2">
        <v>42660</v>
      </c>
      <c r="U4062" s="2">
        <v>42720</v>
      </c>
      <c r="V4062" t="s">
        <v>71</v>
      </c>
      <c r="W4062" t="str">
        <f>"                W681"</f>
        <v xml:space="preserve">                W681</v>
      </c>
      <c r="X4062">
        <v>805.2</v>
      </c>
      <c r="Y4062">
        <v>0</v>
      </c>
      <c r="Z4062" s="3">
        <v>660</v>
      </c>
      <c r="AA4062">
        <v>4</v>
      </c>
      <c r="AB4062" s="5">
        <v>2640</v>
      </c>
      <c r="AC4062">
        <v>660</v>
      </c>
      <c r="AD4062">
        <v>4</v>
      </c>
      <c r="AE4062" s="1">
        <v>2640</v>
      </c>
      <c r="AF4062">
        <v>145.19999999999999</v>
      </c>
      <c r="AJ4062">
        <v>0</v>
      </c>
      <c r="AK4062">
        <v>805.2</v>
      </c>
      <c r="AL4062">
        <v>0</v>
      </c>
      <c r="AM4062">
        <v>805.2</v>
      </c>
      <c r="AN4062">
        <v>805.2</v>
      </c>
      <c r="AO4062">
        <v>805.2</v>
      </c>
      <c r="AP4062" s="2">
        <v>42746</v>
      </c>
      <c r="AQ4062" t="s">
        <v>72</v>
      </c>
      <c r="AR4062" t="s">
        <v>72</v>
      </c>
      <c r="AS4062">
        <v>3640</v>
      </c>
      <c r="AT4062" s="4">
        <v>42724</v>
      </c>
      <c r="AU4062" t="s">
        <v>73</v>
      </c>
      <c r="AV4062">
        <v>3640</v>
      </c>
      <c r="AW4062" s="4">
        <v>42724</v>
      </c>
      <c r="AX4062">
        <v>145.19999999999999</v>
      </c>
      <c r="BD4062">
        <v>0</v>
      </c>
      <c r="BN4062" t="s">
        <v>74</v>
      </c>
    </row>
    <row r="4063" spans="1:66">
      <c r="A4063">
        <v>101515</v>
      </c>
      <c r="B4063" s="3" t="s">
        <v>464</v>
      </c>
      <c r="C4063" s="1">
        <v>43300101</v>
      </c>
      <c r="D4063" t="s">
        <v>67</v>
      </c>
      <c r="H4063" t="str">
        <f t="shared" si="443"/>
        <v>01764680649</v>
      </c>
      <c r="I4063" t="str">
        <f t="shared" si="443"/>
        <v>01764680649</v>
      </c>
      <c r="K4063" t="str">
        <f>""</f>
        <v/>
      </c>
      <c r="M4063" t="s">
        <v>68</v>
      </c>
      <c r="N4063" t="str">
        <f t="shared" si="444"/>
        <v>FOR</v>
      </c>
      <c r="O4063" t="s">
        <v>69</v>
      </c>
      <c r="P4063" s="3" t="s">
        <v>75</v>
      </c>
      <c r="Q4063">
        <v>2016</v>
      </c>
      <c r="R4063" s="2">
        <v>42643</v>
      </c>
      <c r="S4063" s="2">
        <v>42660</v>
      </c>
      <c r="T4063" s="2">
        <v>42660</v>
      </c>
      <c r="U4063" s="2">
        <v>42720</v>
      </c>
      <c r="V4063" t="s">
        <v>71</v>
      </c>
      <c r="W4063" t="str">
        <f>"                W723"</f>
        <v xml:space="preserve">                W723</v>
      </c>
      <c r="X4063" s="1">
        <v>21543.58</v>
      </c>
      <c r="Y4063">
        <v>0</v>
      </c>
      <c r="Z4063" s="5">
        <v>17658.669999999998</v>
      </c>
      <c r="AA4063">
        <v>4</v>
      </c>
      <c r="AB4063" s="5">
        <v>70634.679999999993</v>
      </c>
      <c r="AC4063" s="1">
        <v>17658.669999999998</v>
      </c>
      <c r="AD4063">
        <v>4</v>
      </c>
      <c r="AE4063" s="1">
        <v>70634.679999999993</v>
      </c>
      <c r="AF4063" s="1">
        <v>3884.91</v>
      </c>
      <c r="AJ4063">
        <v>0</v>
      </c>
      <c r="AK4063" s="1">
        <v>21543.58</v>
      </c>
      <c r="AL4063">
        <v>0</v>
      </c>
      <c r="AM4063" s="1">
        <v>21543.58</v>
      </c>
      <c r="AN4063" s="1">
        <v>21543.58</v>
      </c>
      <c r="AO4063" s="1">
        <v>21543.58</v>
      </c>
      <c r="AP4063" s="2">
        <v>42746</v>
      </c>
      <c r="AQ4063" t="s">
        <v>72</v>
      </c>
      <c r="AR4063" t="s">
        <v>72</v>
      </c>
      <c r="AS4063">
        <v>3640</v>
      </c>
      <c r="AT4063" s="4">
        <v>42724</v>
      </c>
      <c r="AU4063" t="s">
        <v>73</v>
      </c>
      <c r="AV4063">
        <v>3640</v>
      </c>
      <c r="AW4063" s="4">
        <v>42724</v>
      </c>
      <c r="AX4063" s="1">
        <v>3884.91</v>
      </c>
      <c r="BD4063">
        <v>0</v>
      </c>
      <c r="BN4063" t="s">
        <v>74</v>
      </c>
    </row>
    <row r="4064" spans="1:66" hidden="1">
      <c r="A4064">
        <v>101535</v>
      </c>
      <c r="B4064" s="3" t="s">
        <v>465</v>
      </c>
      <c r="C4064" s="1">
        <v>43300101</v>
      </c>
      <c r="D4064" t="s">
        <v>67</v>
      </c>
      <c r="H4064" t="str">
        <f t="shared" ref="H4064:I4075" si="445">"02805490162"</f>
        <v>02805490162</v>
      </c>
      <c r="I4064" t="str">
        <f t="shared" si="445"/>
        <v>02805490162</v>
      </c>
      <c r="K4064" t="str">
        <f>""</f>
        <v/>
      </c>
      <c r="M4064" t="s">
        <v>68</v>
      </c>
      <c r="N4064" t="str">
        <f t="shared" si="444"/>
        <v>FOR</v>
      </c>
      <c r="O4064" t="s">
        <v>69</v>
      </c>
      <c r="P4064" s="3" t="s">
        <v>84</v>
      </c>
      <c r="Q4064">
        <v>2016</v>
      </c>
      <c r="R4064" s="2">
        <v>42389</v>
      </c>
      <c r="S4064" s="2">
        <v>42390</v>
      </c>
      <c r="T4064" s="2">
        <v>42390</v>
      </c>
      <c r="U4064" s="2">
        <v>42450</v>
      </c>
      <c r="V4064" t="s">
        <v>71</v>
      </c>
      <c r="W4064" t="str">
        <f>"                0120"</f>
        <v xml:space="preserve">                0120</v>
      </c>
      <c r="X4064">
        <v>0</v>
      </c>
      <c r="Y4064">
        <v>637</v>
      </c>
      <c r="Z4064"/>
      <c r="AB4064"/>
      <c r="AC4064">
        <v>637</v>
      </c>
      <c r="AD4064">
        <v>-60</v>
      </c>
      <c r="AE4064" s="1">
        <v>-38220</v>
      </c>
      <c r="AF4064">
        <v>0</v>
      </c>
      <c r="AJ4064">
        <v>0</v>
      </c>
      <c r="AK4064">
        <v>0</v>
      </c>
      <c r="AL4064">
        <v>0</v>
      </c>
      <c r="AM4064">
        <v>637</v>
      </c>
      <c r="AN4064">
        <v>637</v>
      </c>
      <c r="AO4064">
        <v>637</v>
      </c>
      <c r="AP4064" s="2">
        <v>42746</v>
      </c>
      <c r="AQ4064" t="s">
        <v>72</v>
      </c>
      <c r="AR4064" t="s">
        <v>72</v>
      </c>
      <c r="AS4064">
        <v>34</v>
      </c>
      <c r="AT4064" s="4">
        <v>42390</v>
      </c>
      <c r="AV4064">
        <v>34</v>
      </c>
      <c r="AW4064" s="4">
        <v>42390</v>
      </c>
      <c r="BD4064">
        <v>0</v>
      </c>
      <c r="BN4064" t="s">
        <v>74</v>
      </c>
    </row>
    <row r="4065" spans="1:66" hidden="1">
      <c r="A4065">
        <v>101535</v>
      </c>
      <c r="B4065" s="3" t="s">
        <v>465</v>
      </c>
      <c r="C4065" s="1">
        <v>43300101</v>
      </c>
      <c r="D4065" t="s">
        <v>67</v>
      </c>
      <c r="H4065" t="str">
        <f t="shared" si="445"/>
        <v>02805490162</v>
      </c>
      <c r="I4065" t="str">
        <f t="shared" si="445"/>
        <v>02805490162</v>
      </c>
      <c r="K4065" t="str">
        <f>""</f>
        <v/>
      </c>
      <c r="M4065" t="s">
        <v>68</v>
      </c>
      <c r="N4065" t="str">
        <f t="shared" si="444"/>
        <v>FOR</v>
      </c>
      <c r="O4065" t="s">
        <v>69</v>
      </c>
      <c r="P4065" s="3" t="s">
        <v>85</v>
      </c>
      <c r="Q4065">
        <v>2016</v>
      </c>
      <c r="R4065" s="2">
        <v>42422</v>
      </c>
      <c r="S4065" s="2">
        <v>42422</v>
      </c>
      <c r="T4065" s="2">
        <v>42422</v>
      </c>
      <c r="U4065" s="2">
        <v>42482</v>
      </c>
      <c r="V4065" t="s">
        <v>71</v>
      </c>
      <c r="W4065" t="str">
        <f>"                0222"</f>
        <v xml:space="preserve">                0222</v>
      </c>
      <c r="X4065">
        <v>0</v>
      </c>
      <c r="Y4065">
        <v>637</v>
      </c>
      <c r="Z4065"/>
      <c r="AB4065"/>
      <c r="AC4065">
        <v>637</v>
      </c>
      <c r="AD4065">
        <v>-58</v>
      </c>
      <c r="AE4065" s="1">
        <v>-36946</v>
      </c>
      <c r="AF4065">
        <v>0</v>
      </c>
      <c r="AJ4065">
        <v>0</v>
      </c>
      <c r="AK4065">
        <v>0</v>
      </c>
      <c r="AL4065">
        <v>0</v>
      </c>
      <c r="AM4065">
        <v>637</v>
      </c>
      <c r="AN4065">
        <v>637</v>
      </c>
      <c r="AO4065">
        <v>637</v>
      </c>
      <c r="AP4065" s="2">
        <v>42746</v>
      </c>
      <c r="AQ4065" t="s">
        <v>72</v>
      </c>
      <c r="AR4065" t="s">
        <v>72</v>
      </c>
      <c r="AS4065">
        <v>479</v>
      </c>
      <c r="AT4065" s="4">
        <v>42424</v>
      </c>
      <c r="AV4065">
        <v>479</v>
      </c>
      <c r="AW4065" s="4">
        <v>42424</v>
      </c>
      <c r="BD4065">
        <v>0</v>
      </c>
      <c r="BN4065" t="s">
        <v>74</v>
      </c>
    </row>
    <row r="4066" spans="1:66" hidden="1">
      <c r="A4066">
        <v>101535</v>
      </c>
      <c r="B4066" s="3" t="s">
        <v>465</v>
      </c>
      <c r="C4066" s="1">
        <v>43300101</v>
      </c>
      <c r="D4066" t="s">
        <v>67</v>
      </c>
      <c r="H4066" t="str">
        <f t="shared" si="445"/>
        <v>02805490162</v>
      </c>
      <c r="I4066" t="str">
        <f t="shared" si="445"/>
        <v>02805490162</v>
      </c>
      <c r="K4066" t="str">
        <f>""</f>
        <v/>
      </c>
      <c r="M4066" t="s">
        <v>68</v>
      </c>
      <c r="N4066" t="str">
        <f t="shared" si="444"/>
        <v>FOR</v>
      </c>
      <c r="O4066" t="s">
        <v>69</v>
      </c>
      <c r="P4066" s="3" t="s">
        <v>86</v>
      </c>
      <c r="Q4066">
        <v>2016</v>
      </c>
      <c r="R4066" s="2">
        <v>42450</v>
      </c>
      <c r="S4066" s="2">
        <v>42450</v>
      </c>
      <c r="T4066" s="2">
        <v>42450</v>
      </c>
      <c r="U4066" s="2">
        <v>42510</v>
      </c>
      <c r="V4066" t="s">
        <v>71</v>
      </c>
      <c r="W4066" t="str">
        <f>"                0321"</f>
        <v xml:space="preserve">                0321</v>
      </c>
      <c r="X4066">
        <v>0</v>
      </c>
      <c r="Y4066">
        <v>637</v>
      </c>
      <c r="Z4066"/>
      <c r="AB4066"/>
      <c r="AC4066">
        <v>637</v>
      </c>
      <c r="AD4066">
        <v>-57</v>
      </c>
      <c r="AE4066" s="1">
        <v>-36309</v>
      </c>
      <c r="AF4066">
        <v>0</v>
      </c>
      <c r="AJ4066">
        <v>0</v>
      </c>
      <c r="AK4066">
        <v>0</v>
      </c>
      <c r="AL4066">
        <v>0</v>
      </c>
      <c r="AM4066">
        <v>637</v>
      </c>
      <c r="AN4066">
        <v>637</v>
      </c>
      <c r="AO4066">
        <v>637</v>
      </c>
      <c r="AP4066" s="2">
        <v>42746</v>
      </c>
      <c r="AQ4066" t="s">
        <v>72</v>
      </c>
      <c r="AR4066" t="s">
        <v>72</v>
      </c>
      <c r="AS4066">
        <v>901</v>
      </c>
      <c r="AT4066" s="4">
        <v>42453</v>
      </c>
      <c r="AV4066">
        <v>901</v>
      </c>
      <c r="AW4066" s="4">
        <v>42453</v>
      </c>
      <c r="BD4066">
        <v>0</v>
      </c>
      <c r="BN4066" t="s">
        <v>74</v>
      </c>
    </row>
    <row r="4067" spans="1:66" hidden="1">
      <c r="A4067">
        <v>101535</v>
      </c>
      <c r="B4067" s="3" t="s">
        <v>465</v>
      </c>
      <c r="C4067" s="1">
        <v>43300101</v>
      </c>
      <c r="D4067" t="s">
        <v>67</v>
      </c>
      <c r="H4067" t="str">
        <f t="shared" si="445"/>
        <v>02805490162</v>
      </c>
      <c r="I4067" t="str">
        <f t="shared" si="445"/>
        <v>02805490162</v>
      </c>
      <c r="K4067" t="str">
        <f>""</f>
        <v/>
      </c>
      <c r="M4067" t="s">
        <v>68</v>
      </c>
      <c r="N4067" t="str">
        <f t="shared" si="444"/>
        <v>FOR</v>
      </c>
      <c r="O4067" t="s">
        <v>69</v>
      </c>
      <c r="P4067" s="3" t="s">
        <v>87</v>
      </c>
      <c r="Q4067">
        <v>2016</v>
      </c>
      <c r="R4067" s="2">
        <v>42481</v>
      </c>
      <c r="S4067" s="2">
        <v>42481</v>
      </c>
      <c r="T4067" s="2">
        <v>42481</v>
      </c>
      <c r="U4067" s="2">
        <v>42541</v>
      </c>
      <c r="V4067" t="s">
        <v>71</v>
      </c>
      <c r="W4067" t="str">
        <f>"                0421"</f>
        <v xml:space="preserve">                0421</v>
      </c>
      <c r="X4067">
        <v>0</v>
      </c>
      <c r="Y4067">
        <v>637</v>
      </c>
      <c r="Z4067"/>
      <c r="AB4067"/>
      <c r="AC4067">
        <v>637</v>
      </c>
      <c r="AD4067">
        <v>-60</v>
      </c>
      <c r="AE4067" s="1">
        <v>-38220</v>
      </c>
      <c r="AF4067">
        <v>0</v>
      </c>
      <c r="AJ4067">
        <v>0</v>
      </c>
      <c r="AK4067">
        <v>0</v>
      </c>
      <c r="AL4067">
        <v>0</v>
      </c>
      <c r="AM4067">
        <v>637</v>
      </c>
      <c r="AN4067">
        <v>637</v>
      </c>
      <c r="AO4067">
        <v>637</v>
      </c>
      <c r="AP4067" s="2">
        <v>42746</v>
      </c>
      <c r="AQ4067" t="s">
        <v>72</v>
      </c>
      <c r="AR4067" t="s">
        <v>72</v>
      </c>
      <c r="AS4067">
        <v>1067</v>
      </c>
      <c r="AT4067" s="4">
        <v>42481</v>
      </c>
      <c r="AV4067">
        <v>1067</v>
      </c>
      <c r="AW4067" s="4">
        <v>42481</v>
      </c>
      <c r="BD4067">
        <v>0</v>
      </c>
      <c r="BN4067" t="s">
        <v>74</v>
      </c>
    </row>
    <row r="4068" spans="1:66" hidden="1">
      <c r="A4068">
        <v>101535</v>
      </c>
      <c r="B4068" s="3" t="s">
        <v>465</v>
      </c>
      <c r="C4068" s="1">
        <v>43300101</v>
      </c>
      <c r="D4068" t="s">
        <v>67</v>
      </c>
      <c r="H4068" t="str">
        <f t="shared" si="445"/>
        <v>02805490162</v>
      </c>
      <c r="I4068" t="str">
        <f t="shared" si="445"/>
        <v>02805490162</v>
      </c>
      <c r="K4068" t="str">
        <f>""</f>
        <v/>
      </c>
      <c r="M4068" t="s">
        <v>68</v>
      </c>
      <c r="N4068" t="str">
        <f t="shared" si="444"/>
        <v>FOR</v>
      </c>
      <c r="O4068" t="s">
        <v>69</v>
      </c>
      <c r="P4068" s="3" t="s">
        <v>88</v>
      </c>
      <c r="Q4068">
        <v>2016</v>
      </c>
      <c r="R4068" s="2">
        <v>42508</v>
      </c>
      <c r="S4068" s="2">
        <v>42510</v>
      </c>
      <c r="T4068" s="2">
        <v>42510</v>
      </c>
      <c r="U4068" s="2">
        <v>42570</v>
      </c>
      <c r="V4068" t="s">
        <v>71</v>
      </c>
      <c r="W4068" t="str">
        <f>"                0518"</f>
        <v xml:space="preserve">                0518</v>
      </c>
      <c r="X4068">
        <v>0</v>
      </c>
      <c r="Y4068">
        <v>637</v>
      </c>
      <c r="Z4068"/>
      <c r="AB4068"/>
      <c r="AC4068">
        <v>637</v>
      </c>
      <c r="AD4068">
        <v>-57</v>
      </c>
      <c r="AE4068" s="1">
        <v>-36309</v>
      </c>
      <c r="AF4068">
        <v>0</v>
      </c>
      <c r="AJ4068">
        <v>0</v>
      </c>
      <c r="AK4068">
        <v>0</v>
      </c>
      <c r="AL4068">
        <v>0</v>
      </c>
      <c r="AM4068">
        <v>637</v>
      </c>
      <c r="AN4068">
        <v>637</v>
      </c>
      <c r="AO4068">
        <v>637</v>
      </c>
      <c r="AP4068" s="2">
        <v>42746</v>
      </c>
      <c r="AQ4068" t="s">
        <v>72</v>
      </c>
      <c r="AR4068" t="s">
        <v>72</v>
      </c>
      <c r="AS4068">
        <v>1305</v>
      </c>
      <c r="AT4068" s="4">
        <v>42513</v>
      </c>
      <c r="AV4068">
        <v>1305</v>
      </c>
      <c r="AW4068" s="4">
        <v>42513</v>
      </c>
      <c r="BD4068">
        <v>0</v>
      </c>
      <c r="BN4068" t="s">
        <v>74</v>
      </c>
    </row>
    <row r="4069" spans="1:66" hidden="1">
      <c r="A4069">
        <v>101535</v>
      </c>
      <c r="B4069" s="3" t="s">
        <v>465</v>
      </c>
      <c r="C4069" s="1">
        <v>43300101</v>
      </c>
      <c r="D4069" t="s">
        <v>67</v>
      </c>
      <c r="H4069" t="str">
        <f t="shared" si="445"/>
        <v>02805490162</v>
      </c>
      <c r="I4069" t="str">
        <f t="shared" si="445"/>
        <v>02805490162</v>
      </c>
      <c r="K4069" t="str">
        <f>""</f>
        <v/>
      </c>
      <c r="M4069" t="s">
        <v>68</v>
      </c>
      <c r="N4069" t="str">
        <f t="shared" si="444"/>
        <v>FOR</v>
      </c>
      <c r="O4069" t="s">
        <v>69</v>
      </c>
      <c r="P4069" s="3" t="s">
        <v>89</v>
      </c>
      <c r="Q4069">
        <v>2016</v>
      </c>
      <c r="R4069" s="2">
        <v>42548</v>
      </c>
      <c r="S4069" s="2">
        <v>42543</v>
      </c>
      <c r="T4069" s="2">
        <v>42543</v>
      </c>
      <c r="U4069" s="2">
        <v>42603</v>
      </c>
      <c r="V4069" t="s">
        <v>71</v>
      </c>
      <c r="W4069" t="str">
        <f>"                0627"</f>
        <v xml:space="preserve">                0627</v>
      </c>
      <c r="X4069">
        <v>0</v>
      </c>
      <c r="Y4069">
        <v>347</v>
      </c>
      <c r="Z4069"/>
      <c r="AB4069"/>
      <c r="AC4069">
        <v>347</v>
      </c>
      <c r="AD4069">
        <v>-47</v>
      </c>
      <c r="AE4069" s="1">
        <v>-16309</v>
      </c>
      <c r="AF4069">
        <v>0</v>
      </c>
      <c r="AJ4069">
        <v>0</v>
      </c>
      <c r="AK4069">
        <v>0</v>
      </c>
      <c r="AL4069">
        <v>0</v>
      </c>
      <c r="AM4069">
        <v>347</v>
      </c>
      <c r="AN4069">
        <v>347</v>
      </c>
      <c r="AO4069">
        <v>347</v>
      </c>
      <c r="AP4069" s="2">
        <v>42746</v>
      </c>
      <c r="AQ4069" t="s">
        <v>72</v>
      </c>
      <c r="AR4069" t="s">
        <v>72</v>
      </c>
      <c r="AS4069">
        <v>1688</v>
      </c>
      <c r="AT4069" s="4">
        <v>42556</v>
      </c>
      <c r="AV4069">
        <v>1688</v>
      </c>
      <c r="AW4069" s="4">
        <v>42556</v>
      </c>
      <c r="BD4069">
        <v>0</v>
      </c>
      <c r="BN4069" t="s">
        <v>74</v>
      </c>
    </row>
    <row r="4070" spans="1:66" hidden="1">
      <c r="A4070">
        <v>101535</v>
      </c>
      <c r="B4070" s="3" t="s">
        <v>465</v>
      </c>
      <c r="C4070" s="1">
        <v>43300101</v>
      </c>
      <c r="D4070" t="s">
        <v>67</v>
      </c>
      <c r="H4070" t="str">
        <f t="shared" si="445"/>
        <v>02805490162</v>
      </c>
      <c r="I4070" t="str">
        <f t="shared" si="445"/>
        <v>02805490162</v>
      </c>
      <c r="K4070" t="str">
        <f>""</f>
        <v/>
      </c>
      <c r="M4070" t="s">
        <v>68</v>
      </c>
      <c r="N4070" t="str">
        <f t="shared" si="444"/>
        <v>FOR</v>
      </c>
      <c r="O4070" t="s">
        <v>69</v>
      </c>
      <c r="P4070" s="3" t="s">
        <v>90</v>
      </c>
      <c r="Q4070">
        <v>2016</v>
      </c>
      <c r="R4070" s="2">
        <v>42573</v>
      </c>
      <c r="S4070" s="2">
        <v>42573</v>
      </c>
      <c r="T4070" s="2">
        <v>42573</v>
      </c>
      <c r="U4070" s="2">
        <v>42633</v>
      </c>
      <c r="V4070" t="s">
        <v>71</v>
      </c>
      <c r="W4070" t="str">
        <f>"                0722"</f>
        <v xml:space="preserve">                0722</v>
      </c>
      <c r="X4070">
        <v>0</v>
      </c>
      <c r="Y4070">
        <v>347</v>
      </c>
      <c r="Z4070"/>
      <c r="AB4070"/>
      <c r="AC4070">
        <v>347</v>
      </c>
      <c r="AD4070">
        <v>-48</v>
      </c>
      <c r="AE4070" s="1">
        <v>-16656</v>
      </c>
      <c r="AF4070">
        <v>0</v>
      </c>
      <c r="AJ4070">
        <v>0</v>
      </c>
      <c r="AK4070">
        <v>0</v>
      </c>
      <c r="AL4070">
        <v>0</v>
      </c>
      <c r="AM4070">
        <v>347</v>
      </c>
      <c r="AN4070">
        <v>347</v>
      </c>
      <c r="AO4070">
        <v>347</v>
      </c>
      <c r="AP4070" s="2">
        <v>42746</v>
      </c>
      <c r="AQ4070" t="s">
        <v>72</v>
      </c>
      <c r="AR4070" t="s">
        <v>72</v>
      </c>
      <c r="AS4070">
        <v>2088</v>
      </c>
      <c r="AT4070" s="4">
        <v>42585</v>
      </c>
      <c r="AV4070">
        <v>2088</v>
      </c>
      <c r="AW4070" s="4">
        <v>42585</v>
      </c>
      <c r="BD4070">
        <v>0</v>
      </c>
      <c r="BN4070" t="s">
        <v>74</v>
      </c>
    </row>
    <row r="4071" spans="1:66" hidden="1">
      <c r="A4071">
        <v>101535</v>
      </c>
      <c r="B4071" s="3" t="s">
        <v>465</v>
      </c>
      <c r="C4071" s="1">
        <v>43300101</v>
      </c>
      <c r="D4071" t="s">
        <v>67</v>
      </c>
      <c r="H4071" t="str">
        <f t="shared" si="445"/>
        <v>02805490162</v>
      </c>
      <c r="I4071" t="str">
        <f t="shared" si="445"/>
        <v>02805490162</v>
      </c>
      <c r="K4071" t="str">
        <f>""</f>
        <v/>
      </c>
      <c r="M4071" t="s">
        <v>68</v>
      </c>
      <c r="N4071" t="str">
        <f t="shared" si="444"/>
        <v>FOR</v>
      </c>
      <c r="O4071" t="s">
        <v>69</v>
      </c>
      <c r="P4071" s="3" t="s">
        <v>91</v>
      </c>
      <c r="Q4071">
        <v>2016</v>
      </c>
      <c r="R4071" s="2">
        <v>42592</v>
      </c>
      <c r="S4071" s="2">
        <v>42598</v>
      </c>
      <c r="T4071" s="2">
        <v>42598</v>
      </c>
      <c r="U4071" s="2">
        <v>42658</v>
      </c>
      <c r="V4071" t="s">
        <v>71</v>
      </c>
      <c r="W4071" t="str">
        <f>"                0810"</f>
        <v xml:space="preserve">                0810</v>
      </c>
      <c r="X4071">
        <v>0</v>
      </c>
      <c r="Y4071">
        <v>347</v>
      </c>
      <c r="Z4071"/>
      <c r="AB4071"/>
      <c r="AC4071">
        <v>347</v>
      </c>
      <c r="AD4071">
        <v>-60</v>
      </c>
      <c r="AE4071" s="1">
        <v>-20820</v>
      </c>
      <c r="AF4071">
        <v>0</v>
      </c>
      <c r="AJ4071">
        <v>0</v>
      </c>
      <c r="AK4071">
        <v>0</v>
      </c>
      <c r="AL4071">
        <v>0</v>
      </c>
      <c r="AM4071">
        <v>347</v>
      </c>
      <c r="AN4071">
        <v>347</v>
      </c>
      <c r="AO4071">
        <v>347</v>
      </c>
      <c r="AP4071" s="2">
        <v>42746</v>
      </c>
      <c r="AQ4071" t="s">
        <v>72</v>
      </c>
      <c r="AR4071" t="s">
        <v>72</v>
      </c>
      <c r="AS4071">
        <v>2170</v>
      </c>
      <c r="AT4071" s="4">
        <v>42598</v>
      </c>
      <c r="AV4071">
        <v>2170</v>
      </c>
      <c r="AW4071" s="4">
        <v>42598</v>
      </c>
      <c r="BD4071">
        <v>0</v>
      </c>
      <c r="BN4071" t="s">
        <v>74</v>
      </c>
    </row>
    <row r="4072" spans="1:66" hidden="1">
      <c r="A4072">
        <v>101535</v>
      </c>
      <c r="B4072" s="3" t="s">
        <v>465</v>
      </c>
      <c r="C4072" s="1">
        <v>43300101</v>
      </c>
      <c r="D4072" t="s">
        <v>67</v>
      </c>
      <c r="H4072" t="str">
        <f t="shared" si="445"/>
        <v>02805490162</v>
      </c>
      <c r="I4072" t="str">
        <f t="shared" si="445"/>
        <v>02805490162</v>
      </c>
      <c r="K4072" t="str">
        <f>""</f>
        <v/>
      </c>
      <c r="M4072" t="s">
        <v>68</v>
      </c>
      <c r="N4072" t="str">
        <f t="shared" si="444"/>
        <v>FOR</v>
      </c>
      <c r="O4072" t="s">
        <v>69</v>
      </c>
      <c r="P4072" s="3" t="s">
        <v>92</v>
      </c>
      <c r="Q4072">
        <v>2016</v>
      </c>
      <c r="R4072" s="2">
        <v>42633</v>
      </c>
      <c r="S4072" s="2">
        <v>42634</v>
      </c>
      <c r="T4072" s="2">
        <v>42634</v>
      </c>
      <c r="U4072" s="2">
        <v>42694</v>
      </c>
      <c r="V4072" t="s">
        <v>71</v>
      </c>
      <c r="W4072" t="str">
        <f>"                0920"</f>
        <v xml:space="preserve">                0920</v>
      </c>
      <c r="X4072">
        <v>0</v>
      </c>
      <c r="Y4072">
        <v>347</v>
      </c>
      <c r="Z4072"/>
      <c r="AB4072"/>
      <c r="AC4072">
        <v>347</v>
      </c>
      <c r="AD4072">
        <v>-60</v>
      </c>
      <c r="AE4072" s="1">
        <v>-20820</v>
      </c>
      <c r="AF4072">
        <v>0</v>
      </c>
      <c r="AJ4072">
        <v>0</v>
      </c>
      <c r="AK4072">
        <v>0</v>
      </c>
      <c r="AL4072">
        <v>0</v>
      </c>
      <c r="AM4072">
        <v>347</v>
      </c>
      <c r="AN4072">
        <v>347</v>
      </c>
      <c r="AO4072">
        <v>347</v>
      </c>
      <c r="AP4072" s="2">
        <v>42746</v>
      </c>
      <c r="AQ4072" t="s">
        <v>72</v>
      </c>
      <c r="AR4072" t="s">
        <v>72</v>
      </c>
      <c r="AS4072">
        <v>2443</v>
      </c>
      <c r="AT4072" s="4">
        <v>42634</v>
      </c>
      <c r="AV4072">
        <v>2443</v>
      </c>
      <c r="AW4072" s="4">
        <v>42634</v>
      </c>
      <c r="BD4072">
        <v>0</v>
      </c>
      <c r="BN4072" t="s">
        <v>74</v>
      </c>
    </row>
    <row r="4073" spans="1:66" hidden="1">
      <c r="A4073">
        <v>101535</v>
      </c>
      <c r="B4073" s="3" t="s">
        <v>465</v>
      </c>
      <c r="C4073" s="1">
        <v>43300101</v>
      </c>
      <c r="D4073" t="s">
        <v>67</v>
      </c>
      <c r="H4073" t="str">
        <f t="shared" si="445"/>
        <v>02805490162</v>
      </c>
      <c r="I4073" t="str">
        <f t="shared" si="445"/>
        <v>02805490162</v>
      </c>
      <c r="K4073" t="str">
        <f>""</f>
        <v/>
      </c>
      <c r="M4073" t="s">
        <v>68</v>
      </c>
      <c r="N4073" t="str">
        <f t="shared" si="444"/>
        <v>FOR</v>
      </c>
      <c r="O4073" t="s">
        <v>69</v>
      </c>
      <c r="P4073" s="3" t="s">
        <v>93</v>
      </c>
      <c r="Q4073">
        <v>2016</v>
      </c>
      <c r="R4073" s="2">
        <v>42664</v>
      </c>
      <c r="S4073" s="2">
        <v>42667</v>
      </c>
      <c r="T4073" s="2">
        <v>42667</v>
      </c>
      <c r="U4073" s="2">
        <v>42727</v>
      </c>
      <c r="V4073" t="s">
        <v>71</v>
      </c>
      <c r="W4073" t="str">
        <f>"                1021"</f>
        <v xml:space="preserve">                1021</v>
      </c>
      <c r="X4073">
        <v>0</v>
      </c>
      <c r="Y4073">
        <v>347</v>
      </c>
      <c r="Z4073" s="3">
        <v>347</v>
      </c>
      <c r="AA4073">
        <v>-60</v>
      </c>
      <c r="AB4073" s="5">
        <v>-20820</v>
      </c>
      <c r="AC4073">
        <v>347</v>
      </c>
      <c r="AD4073">
        <v>-60</v>
      </c>
      <c r="AE4073" s="1">
        <v>-20820</v>
      </c>
      <c r="AF4073">
        <v>0</v>
      </c>
      <c r="AJ4073">
        <v>347</v>
      </c>
      <c r="AK4073">
        <v>347</v>
      </c>
      <c r="AL4073">
        <v>347</v>
      </c>
      <c r="AM4073">
        <v>347</v>
      </c>
      <c r="AN4073">
        <v>347</v>
      </c>
      <c r="AO4073">
        <v>347</v>
      </c>
      <c r="AP4073" s="2">
        <v>42746</v>
      </c>
      <c r="AQ4073" t="s">
        <v>72</v>
      </c>
      <c r="AR4073" t="s">
        <v>72</v>
      </c>
      <c r="AS4073">
        <v>2790</v>
      </c>
      <c r="AT4073" s="4">
        <v>42667</v>
      </c>
      <c r="AV4073">
        <v>2790</v>
      </c>
      <c r="AW4073" s="4">
        <v>42667</v>
      </c>
      <c r="BD4073">
        <v>0</v>
      </c>
      <c r="BN4073" t="s">
        <v>74</v>
      </c>
    </row>
    <row r="4074" spans="1:66" hidden="1">
      <c r="A4074">
        <v>101535</v>
      </c>
      <c r="B4074" s="3" t="s">
        <v>465</v>
      </c>
      <c r="C4074" s="1">
        <v>43300101</v>
      </c>
      <c r="D4074" t="s">
        <v>67</v>
      </c>
      <c r="H4074" t="str">
        <f t="shared" si="445"/>
        <v>02805490162</v>
      </c>
      <c r="I4074" t="str">
        <f t="shared" si="445"/>
        <v>02805490162</v>
      </c>
      <c r="K4074" t="str">
        <f>""</f>
        <v/>
      </c>
      <c r="M4074" t="s">
        <v>68</v>
      </c>
      <c r="N4074" t="str">
        <f t="shared" si="444"/>
        <v>FOR</v>
      </c>
      <c r="O4074" t="s">
        <v>69</v>
      </c>
      <c r="P4074" s="3" t="s">
        <v>94</v>
      </c>
      <c r="Q4074">
        <v>2016</v>
      </c>
      <c r="R4074" s="2">
        <v>42696</v>
      </c>
      <c r="S4074" s="2">
        <v>42696</v>
      </c>
      <c r="T4074" s="2">
        <v>42696</v>
      </c>
      <c r="U4074" s="2">
        <v>42756</v>
      </c>
      <c r="V4074" t="s">
        <v>71</v>
      </c>
      <c r="W4074" t="str">
        <f>"                1122"</f>
        <v xml:space="preserve">                1122</v>
      </c>
      <c r="X4074">
        <v>0</v>
      </c>
      <c r="Y4074">
        <v>347</v>
      </c>
      <c r="Z4074" s="3">
        <v>347</v>
      </c>
      <c r="AA4074">
        <v>-59</v>
      </c>
      <c r="AB4074" s="5">
        <v>-20473</v>
      </c>
      <c r="AC4074">
        <v>347</v>
      </c>
      <c r="AD4074">
        <v>-59</v>
      </c>
      <c r="AE4074" s="1">
        <v>-20473</v>
      </c>
      <c r="AF4074">
        <v>0</v>
      </c>
      <c r="AJ4074">
        <v>347</v>
      </c>
      <c r="AK4074">
        <v>347</v>
      </c>
      <c r="AL4074">
        <v>347</v>
      </c>
      <c r="AM4074">
        <v>347</v>
      </c>
      <c r="AN4074">
        <v>347</v>
      </c>
      <c r="AO4074">
        <v>347</v>
      </c>
      <c r="AP4074" s="2">
        <v>42746</v>
      </c>
      <c r="AQ4074" t="s">
        <v>72</v>
      </c>
      <c r="AR4074" t="s">
        <v>72</v>
      </c>
      <c r="AS4074">
        <v>3228</v>
      </c>
      <c r="AT4074" s="4">
        <v>42697</v>
      </c>
      <c r="AV4074">
        <v>3228</v>
      </c>
      <c r="AW4074" s="4">
        <v>42697</v>
      </c>
      <c r="BD4074">
        <v>0</v>
      </c>
      <c r="BN4074" t="s">
        <v>74</v>
      </c>
    </row>
    <row r="4075" spans="1:66" hidden="1">
      <c r="A4075">
        <v>101535</v>
      </c>
      <c r="B4075" s="3" t="s">
        <v>465</v>
      </c>
      <c r="C4075" s="1">
        <v>43300101</v>
      </c>
      <c r="D4075" t="s">
        <v>67</v>
      </c>
      <c r="H4075" t="str">
        <f t="shared" si="445"/>
        <v>02805490162</v>
      </c>
      <c r="I4075" t="str">
        <f t="shared" si="445"/>
        <v>02805490162</v>
      </c>
      <c r="K4075" t="str">
        <f>""</f>
        <v/>
      </c>
      <c r="M4075" t="s">
        <v>68</v>
      </c>
      <c r="N4075" t="str">
        <f t="shared" si="444"/>
        <v>FOR</v>
      </c>
      <c r="O4075" t="s">
        <v>69</v>
      </c>
      <c r="P4075" s="3" t="s">
        <v>95</v>
      </c>
      <c r="Q4075">
        <v>2016</v>
      </c>
      <c r="R4075" s="2">
        <v>42717</v>
      </c>
      <c r="S4075" s="2">
        <v>42717</v>
      </c>
      <c r="T4075" s="2">
        <v>42717</v>
      </c>
      <c r="U4075" s="2">
        <v>42777</v>
      </c>
      <c r="V4075" t="s">
        <v>71</v>
      </c>
      <c r="W4075" t="str">
        <f>"                1213"</f>
        <v xml:space="preserve">                1213</v>
      </c>
      <c r="X4075">
        <v>0</v>
      </c>
      <c r="Y4075">
        <v>347</v>
      </c>
      <c r="Z4075" s="3">
        <v>347</v>
      </c>
      <c r="AA4075">
        <v>-59</v>
      </c>
      <c r="AB4075" s="5">
        <v>-20473</v>
      </c>
      <c r="AC4075">
        <v>347</v>
      </c>
      <c r="AD4075">
        <v>-59</v>
      </c>
      <c r="AE4075" s="1">
        <v>-20473</v>
      </c>
      <c r="AF4075">
        <v>0</v>
      </c>
      <c r="AJ4075">
        <v>347</v>
      </c>
      <c r="AK4075">
        <v>347</v>
      </c>
      <c r="AL4075">
        <v>347</v>
      </c>
      <c r="AM4075">
        <v>347</v>
      </c>
      <c r="AN4075">
        <v>347</v>
      </c>
      <c r="AO4075">
        <v>347</v>
      </c>
      <c r="AP4075" s="2">
        <v>42746</v>
      </c>
      <c r="AQ4075" t="s">
        <v>72</v>
      </c>
      <c r="AR4075" t="s">
        <v>72</v>
      </c>
      <c r="AS4075">
        <v>3387</v>
      </c>
      <c r="AT4075" s="4">
        <v>42718</v>
      </c>
      <c r="AV4075">
        <v>3387</v>
      </c>
      <c r="AW4075" s="4">
        <v>42718</v>
      </c>
      <c r="BD4075">
        <v>0</v>
      </c>
      <c r="BN4075" t="s">
        <v>74</v>
      </c>
    </row>
    <row r="4076" spans="1:66" hidden="1">
      <c r="A4076">
        <v>101538</v>
      </c>
      <c r="B4076" s="3" t="s">
        <v>466</v>
      </c>
      <c r="C4076" s="1">
        <v>43300101</v>
      </c>
      <c r="D4076" t="s">
        <v>67</v>
      </c>
      <c r="H4076" t="str">
        <f>"00101780492"</f>
        <v>00101780492</v>
      </c>
      <c r="I4076" t="str">
        <f>"01099110999"</f>
        <v>01099110999</v>
      </c>
      <c r="K4076" t="str">
        <f>""</f>
        <v/>
      </c>
      <c r="M4076" t="s">
        <v>68</v>
      </c>
      <c r="N4076" t="str">
        <f t="shared" si="444"/>
        <v>FOR</v>
      </c>
      <c r="O4076" t="s">
        <v>69</v>
      </c>
      <c r="P4076" s="3" t="s">
        <v>75</v>
      </c>
      <c r="Q4076">
        <v>2015</v>
      </c>
      <c r="R4076" s="2">
        <v>42117</v>
      </c>
      <c r="S4076" s="2">
        <v>42142</v>
      </c>
      <c r="T4076" s="2">
        <v>42137</v>
      </c>
      <c r="U4076" s="2">
        <v>42197</v>
      </c>
      <c r="V4076" t="s">
        <v>71</v>
      </c>
      <c r="W4076" t="str">
        <f>"                5290"</f>
        <v xml:space="preserve">                5290</v>
      </c>
      <c r="X4076">
        <v>73.16</v>
      </c>
      <c r="Y4076">
        <v>0</v>
      </c>
      <c r="Z4076"/>
      <c r="AB4076"/>
      <c r="AC4076">
        <v>66.510000000000005</v>
      </c>
      <c r="AD4076">
        <v>255</v>
      </c>
      <c r="AE4076" s="1">
        <v>16960.05</v>
      </c>
      <c r="AF4076">
        <v>0</v>
      </c>
      <c r="AJ4076">
        <v>0</v>
      </c>
      <c r="AK4076">
        <v>0</v>
      </c>
      <c r="AL4076">
        <v>0</v>
      </c>
      <c r="AM4076">
        <v>0</v>
      </c>
      <c r="AN4076">
        <v>0</v>
      </c>
      <c r="AO4076">
        <v>0</v>
      </c>
      <c r="AP4076" s="2">
        <v>42746</v>
      </c>
      <c r="AQ4076" t="s">
        <v>72</v>
      </c>
      <c r="AR4076" t="s">
        <v>72</v>
      </c>
      <c r="AS4076">
        <v>772</v>
      </c>
      <c r="AT4076" s="4">
        <v>42452</v>
      </c>
      <c r="AU4076" t="s">
        <v>73</v>
      </c>
      <c r="AV4076">
        <v>772</v>
      </c>
      <c r="AW4076" s="4">
        <v>42452</v>
      </c>
      <c r="BD4076">
        <v>0</v>
      </c>
      <c r="BN4076" t="s">
        <v>74</v>
      </c>
    </row>
    <row r="4077" spans="1:66" hidden="1">
      <c r="A4077">
        <v>101538</v>
      </c>
      <c r="B4077" s="3" t="s">
        <v>466</v>
      </c>
      <c r="C4077" s="1">
        <v>43300101</v>
      </c>
      <c r="D4077" t="s">
        <v>67</v>
      </c>
      <c r="H4077" t="str">
        <f>"00101780492"</f>
        <v>00101780492</v>
      </c>
      <c r="I4077" t="str">
        <f>"01099110999"</f>
        <v>01099110999</v>
      </c>
      <c r="K4077" t="str">
        <f>""</f>
        <v/>
      </c>
      <c r="M4077" t="s">
        <v>68</v>
      </c>
      <c r="N4077" t="str">
        <f t="shared" si="444"/>
        <v>FOR</v>
      </c>
      <c r="O4077" t="s">
        <v>69</v>
      </c>
      <c r="P4077" s="3" t="s">
        <v>75</v>
      </c>
      <c r="Q4077">
        <v>2016</v>
      </c>
      <c r="R4077" s="2">
        <v>42472</v>
      </c>
      <c r="S4077" s="2">
        <v>42481</v>
      </c>
      <c r="T4077" s="2">
        <v>42480</v>
      </c>
      <c r="U4077" s="2">
        <v>42540</v>
      </c>
      <c r="V4077" t="s">
        <v>71</v>
      </c>
      <c r="W4077" t="str">
        <f>"                4918"</f>
        <v xml:space="preserve">                4918</v>
      </c>
      <c r="X4077">
        <v>55.18</v>
      </c>
      <c r="Y4077">
        <v>0</v>
      </c>
      <c r="Z4077"/>
      <c r="AB4077"/>
      <c r="AC4077">
        <v>50.16</v>
      </c>
      <c r="AD4077">
        <v>-20</v>
      </c>
      <c r="AE4077" s="1">
        <v>-1003.2</v>
      </c>
      <c r="AF4077">
        <v>0</v>
      </c>
      <c r="AJ4077">
        <v>0</v>
      </c>
      <c r="AK4077">
        <v>0</v>
      </c>
      <c r="AL4077">
        <v>0</v>
      </c>
      <c r="AM4077">
        <v>55.18</v>
      </c>
      <c r="AN4077">
        <v>55.18</v>
      </c>
      <c r="AO4077">
        <v>55.18</v>
      </c>
      <c r="AP4077" s="2">
        <v>42746</v>
      </c>
      <c r="AQ4077" t="s">
        <v>72</v>
      </c>
      <c r="AR4077" t="s">
        <v>72</v>
      </c>
      <c r="AS4077">
        <v>1423</v>
      </c>
      <c r="AT4077" s="4">
        <v>42520</v>
      </c>
      <c r="AV4077">
        <v>1423</v>
      </c>
      <c r="AW4077" s="4">
        <v>42520</v>
      </c>
      <c r="BD4077">
        <v>0</v>
      </c>
      <c r="BN4077" t="s">
        <v>74</v>
      </c>
    </row>
    <row r="4078" spans="1:66" hidden="1">
      <c r="A4078">
        <v>101541</v>
      </c>
      <c r="B4078" s="3" t="s">
        <v>467</v>
      </c>
      <c r="C4078" s="1">
        <v>43300101</v>
      </c>
      <c r="D4078" t="s">
        <v>67</v>
      </c>
      <c r="H4078" t="str">
        <f t="shared" ref="H4078:I4097" si="446">"08230471008"</f>
        <v>08230471008</v>
      </c>
      <c r="I4078" t="str">
        <f t="shared" si="446"/>
        <v>08230471008</v>
      </c>
      <c r="K4078" t="str">
        <f>""</f>
        <v/>
      </c>
      <c r="M4078" t="s">
        <v>68</v>
      </c>
      <c r="N4078" t="str">
        <f t="shared" si="444"/>
        <v>FOR</v>
      </c>
      <c r="O4078" t="s">
        <v>69</v>
      </c>
      <c r="P4078" s="3" t="s">
        <v>70</v>
      </c>
      <c r="Q4078">
        <v>2011</v>
      </c>
      <c r="R4078" s="2">
        <v>40872</v>
      </c>
      <c r="S4078" s="2">
        <v>42418</v>
      </c>
      <c r="T4078" s="2">
        <v>42418</v>
      </c>
      <c r="U4078" s="2">
        <v>42478</v>
      </c>
      <c r="V4078" t="s">
        <v>71</v>
      </c>
      <c r="W4078" t="str">
        <f>"               12833"</f>
        <v xml:space="preserve">               12833</v>
      </c>
      <c r="X4078">
        <v>302.5</v>
      </c>
      <c r="Y4078">
        <v>0</v>
      </c>
      <c r="Z4078"/>
      <c r="AB4078"/>
      <c r="AC4078">
        <v>302.5</v>
      </c>
      <c r="AD4078">
        <v>42</v>
      </c>
      <c r="AE4078" s="1">
        <v>12705</v>
      </c>
      <c r="AF4078">
        <v>0</v>
      </c>
      <c r="AJ4078">
        <v>0</v>
      </c>
      <c r="AK4078">
        <v>0</v>
      </c>
      <c r="AL4078">
        <v>0</v>
      </c>
      <c r="AM4078">
        <v>0</v>
      </c>
      <c r="AN4078">
        <v>302.5</v>
      </c>
      <c r="AO4078">
        <v>0</v>
      </c>
      <c r="AP4078" s="2">
        <v>42746</v>
      </c>
      <c r="AQ4078" t="s">
        <v>72</v>
      </c>
      <c r="AR4078" t="s">
        <v>72</v>
      </c>
      <c r="AS4078">
        <v>1467</v>
      </c>
      <c r="AT4078" s="4">
        <v>42520</v>
      </c>
      <c r="AU4078" t="s">
        <v>73</v>
      </c>
      <c r="AV4078">
        <v>1467</v>
      </c>
      <c r="AW4078" s="4">
        <v>42520</v>
      </c>
      <c r="BD4078">
        <v>0</v>
      </c>
      <c r="BN4078" t="s">
        <v>74</v>
      </c>
    </row>
    <row r="4079" spans="1:66" hidden="1">
      <c r="A4079">
        <v>101541</v>
      </c>
      <c r="B4079" s="3" t="s">
        <v>467</v>
      </c>
      <c r="C4079" s="1">
        <v>43300101</v>
      </c>
      <c r="D4079" t="s">
        <v>67</v>
      </c>
      <c r="H4079" t="str">
        <f t="shared" si="446"/>
        <v>08230471008</v>
      </c>
      <c r="I4079" t="str">
        <f t="shared" si="446"/>
        <v>08230471008</v>
      </c>
      <c r="K4079" t="str">
        <f>""</f>
        <v/>
      </c>
      <c r="M4079" t="s">
        <v>68</v>
      </c>
      <c r="N4079" t="str">
        <f t="shared" si="444"/>
        <v>FOR</v>
      </c>
      <c r="O4079" t="s">
        <v>69</v>
      </c>
      <c r="P4079" s="3" t="s">
        <v>70</v>
      </c>
      <c r="Q4079">
        <v>2011</v>
      </c>
      <c r="R4079" s="2">
        <v>40872</v>
      </c>
      <c r="S4079" s="2">
        <v>42418</v>
      </c>
      <c r="T4079" s="2">
        <v>42418</v>
      </c>
      <c r="U4079" s="2">
        <v>42478</v>
      </c>
      <c r="V4079" t="s">
        <v>71</v>
      </c>
      <c r="W4079" t="str">
        <f>"               12834"</f>
        <v xml:space="preserve">               12834</v>
      </c>
      <c r="X4079">
        <v>300</v>
      </c>
      <c r="Y4079">
        <v>0</v>
      </c>
      <c r="Z4079"/>
      <c r="AB4079"/>
      <c r="AC4079">
        <v>300</v>
      </c>
      <c r="AD4079">
        <v>42</v>
      </c>
      <c r="AE4079" s="1">
        <v>12600</v>
      </c>
      <c r="AF4079">
        <v>0</v>
      </c>
      <c r="AJ4079">
        <v>0</v>
      </c>
      <c r="AK4079">
        <v>0</v>
      </c>
      <c r="AL4079">
        <v>0</v>
      </c>
      <c r="AM4079">
        <v>0</v>
      </c>
      <c r="AN4079">
        <v>300</v>
      </c>
      <c r="AO4079">
        <v>0</v>
      </c>
      <c r="AP4079" s="2">
        <v>42746</v>
      </c>
      <c r="AQ4079" t="s">
        <v>72</v>
      </c>
      <c r="AR4079" t="s">
        <v>72</v>
      </c>
      <c r="AS4079">
        <v>1467</v>
      </c>
      <c r="AT4079" s="4">
        <v>42520</v>
      </c>
      <c r="AU4079" t="s">
        <v>73</v>
      </c>
      <c r="AV4079">
        <v>1467</v>
      </c>
      <c r="AW4079" s="4">
        <v>42520</v>
      </c>
      <c r="BD4079">
        <v>0</v>
      </c>
      <c r="BN4079" t="s">
        <v>74</v>
      </c>
    </row>
    <row r="4080" spans="1:66" hidden="1">
      <c r="A4080">
        <v>101541</v>
      </c>
      <c r="B4080" s="3" t="s">
        <v>467</v>
      </c>
      <c r="C4080" s="1">
        <v>43300101</v>
      </c>
      <c r="D4080" t="s">
        <v>67</v>
      </c>
      <c r="H4080" t="str">
        <f t="shared" si="446"/>
        <v>08230471008</v>
      </c>
      <c r="I4080" t="str">
        <f t="shared" si="446"/>
        <v>08230471008</v>
      </c>
      <c r="K4080" t="str">
        <f>""</f>
        <v/>
      </c>
      <c r="M4080" t="s">
        <v>68</v>
      </c>
      <c r="N4080" t="str">
        <f t="shared" si="444"/>
        <v>FOR</v>
      </c>
      <c r="O4080" t="s">
        <v>69</v>
      </c>
      <c r="P4080" s="3" t="s">
        <v>70</v>
      </c>
      <c r="Q4080">
        <v>2014</v>
      </c>
      <c r="R4080" s="2">
        <v>42004</v>
      </c>
      <c r="S4080" s="2">
        <v>42024</v>
      </c>
      <c r="T4080" s="2">
        <v>42024</v>
      </c>
      <c r="U4080" s="2">
        <v>42084</v>
      </c>
      <c r="V4080" t="s">
        <v>71</v>
      </c>
      <c r="W4080" t="str">
        <f>"               18254"</f>
        <v xml:space="preserve">               18254</v>
      </c>
      <c r="X4080">
        <v>305</v>
      </c>
      <c r="Y4080">
        <v>0</v>
      </c>
      <c r="Z4080"/>
      <c r="AB4080"/>
      <c r="AC4080">
        <v>305</v>
      </c>
      <c r="AD4080">
        <v>535</v>
      </c>
      <c r="AE4080" s="1">
        <v>163175</v>
      </c>
      <c r="AF4080">
        <v>0</v>
      </c>
      <c r="AJ4080">
        <v>0</v>
      </c>
      <c r="AK4080">
        <v>0</v>
      </c>
      <c r="AL4080">
        <v>0</v>
      </c>
      <c r="AM4080">
        <v>0</v>
      </c>
      <c r="AN4080">
        <v>0</v>
      </c>
      <c r="AO4080">
        <v>0</v>
      </c>
      <c r="AP4080" s="2">
        <v>42746</v>
      </c>
      <c r="AQ4080" t="s">
        <v>72</v>
      </c>
      <c r="AR4080" t="s">
        <v>72</v>
      </c>
      <c r="AS4080">
        <v>2277</v>
      </c>
      <c r="AT4080" s="4">
        <v>42619</v>
      </c>
      <c r="AU4080" t="s">
        <v>73</v>
      </c>
      <c r="AV4080">
        <v>2277</v>
      </c>
      <c r="AW4080" s="4">
        <v>42619</v>
      </c>
      <c r="BD4080">
        <v>0</v>
      </c>
      <c r="BN4080" t="s">
        <v>74</v>
      </c>
    </row>
    <row r="4081" spans="1:66" hidden="1">
      <c r="A4081">
        <v>101541</v>
      </c>
      <c r="B4081" s="3" t="s">
        <v>467</v>
      </c>
      <c r="C4081" s="1">
        <v>43300101</v>
      </c>
      <c r="D4081" t="s">
        <v>67</v>
      </c>
      <c r="H4081" t="str">
        <f t="shared" si="446"/>
        <v>08230471008</v>
      </c>
      <c r="I4081" t="str">
        <f t="shared" si="446"/>
        <v>08230471008</v>
      </c>
      <c r="K4081" t="str">
        <f>""</f>
        <v/>
      </c>
      <c r="M4081" t="s">
        <v>68</v>
      </c>
      <c r="N4081" t="str">
        <f t="shared" si="444"/>
        <v>FOR</v>
      </c>
      <c r="O4081" t="s">
        <v>69</v>
      </c>
      <c r="P4081" s="3" t="s">
        <v>70</v>
      </c>
      <c r="Q4081">
        <v>2015</v>
      </c>
      <c r="R4081" s="2">
        <v>42048</v>
      </c>
      <c r="S4081" s="2">
        <v>42055</v>
      </c>
      <c r="T4081" s="2">
        <v>42055</v>
      </c>
      <c r="U4081" s="2">
        <v>42115</v>
      </c>
      <c r="V4081" t="s">
        <v>71</v>
      </c>
      <c r="W4081" t="str">
        <f>"                1577"</f>
        <v xml:space="preserve">                1577</v>
      </c>
      <c r="X4081" s="1">
        <v>1976</v>
      </c>
      <c r="Y4081">
        <v>0</v>
      </c>
      <c r="Z4081"/>
      <c r="AB4081"/>
      <c r="AC4081" s="1">
        <v>1900</v>
      </c>
      <c r="AD4081">
        <v>286</v>
      </c>
      <c r="AE4081" s="1">
        <v>543400</v>
      </c>
      <c r="AF4081">
        <v>0</v>
      </c>
      <c r="AJ4081">
        <v>0</v>
      </c>
      <c r="AK4081">
        <v>0</v>
      </c>
      <c r="AL4081">
        <v>0</v>
      </c>
      <c r="AM4081">
        <v>0</v>
      </c>
      <c r="AN4081">
        <v>0</v>
      </c>
      <c r="AO4081">
        <v>0</v>
      </c>
      <c r="AP4081" s="2">
        <v>42746</v>
      </c>
      <c r="AQ4081" t="s">
        <v>72</v>
      </c>
      <c r="AR4081" t="s">
        <v>72</v>
      </c>
      <c r="AS4081">
        <v>180</v>
      </c>
      <c r="AT4081" s="4">
        <v>42401</v>
      </c>
      <c r="AU4081" t="s">
        <v>73</v>
      </c>
      <c r="AV4081">
        <v>180</v>
      </c>
      <c r="AW4081" s="4">
        <v>42401</v>
      </c>
      <c r="BD4081">
        <v>0</v>
      </c>
      <c r="BN4081" t="s">
        <v>74</v>
      </c>
    </row>
    <row r="4082" spans="1:66" hidden="1">
      <c r="A4082">
        <v>101541</v>
      </c>
      <c r="B4082" s="3" t="s">
        <v>467</v>
      </c>
      <c r="C4082" s="1">
        <v>43300101</v>
      </c>
      <c r="D4082" t="s">
        <v>67</v>
      </c>
      <c r="H4082" t="str">
        <f t="shared" si="446"/>
        <v>08230471008</v>
      </c>
      <c r="I4082" t="str">
        <f t="shared" si="446"/>
        <v>08230471008</v>
      </c>
      <c r="K4082" t="str">
        <f>""</f>
        <v/>
      </c>
      <c r="M4082" t="s">
        <v>68</v>
      </c>
      <c r="N4082" t="str">
        <f t="shared" si="444"/>
        <v>FOR</v>
      </c>
      <c r="O4082" t="s">
        <v>69</v>
      </c>
      <c r="P4082" s="3" t="s">
        <v>70</v>
      </c>
      <c r="Q4082">
        <v>2015</v>
      </c>
      <c r="R4082" s="2">
        <v>42048</v>
      </c>
      <c r="S4082" s="2">
        <v>42055</v>
      </c>
      <c r="T4082" s="2">
        <v>42055</v>
      </c>
      <c r="U4082" s="2">
        <v>42115</v>
      </c>
      <c r="V4082" t="s">
        <v>71</v>
      </c>
      <c r="W4082" t="str">
        <f>"                1578"</f>
        <v xml:space="preserve">                1578</v>
      </c>
      <c r="X4082">
        <v>728</v>
      </c>
      <c r="Y4082">
        <v>0</v>
      </c>
      <c r="Z4082"/>
      <c r="AB4082"/>
      <c r="AC4082">
        <v>700</v>
      </c>
      <c r="AD4082">
        <v>286</v>
      </c>
      <c r="AE4082" s="1">
        <v>200200</v>
      </c>
      <c r="AF4082">
        <v>0</v>
      </c>
      <c r="AJ4082">
        <v>0</v>
      </c>
      <c r="AK4082">
        <v>0</v>
      </c>
      <c r="AL4082">
        <v>0</v>
      </c>
      <c r="AM4082">
        <v>0</v>
      </c>
      <c r="AN4082">
        <v>0</v>
      </c>
      <c r="AO4082">
        <v>0</v>
      </c>
      <c r="AP4082" s="2">
        <v>42746</v>
      </c>
      <c r="AQ4082" t="s">
        <v>72</v>
      </c>
      <c r="AR4082" t="s">
        <v>72</v>
      </c>
      <c r="AS4082">
        <v>180</v>
      </c>
      <c r="AT4082" s="4">
        <v>42401</v>
      </c>
      <c r="AU4082" t="s">
        <v>73</v>
      </c>
      <c r="AV4082">
        <v>180</v>
      </c>
      <c r="AW4082" s="4">
        <v>42401</v>
      </c>
      <c r="BD4082">
        <v>0</v>
      </c>
      <c r="BN4082" t="s">
        <v>74</v>
      </c>
    </row>
    <row r="4083" spans="1:66" hidden="1">
      <c r="A4083">
        <v>101541</v>
      </c>
      <c r="B4083" s="3" t="s">
        <v>467</v>
      </c>
      <c r="C4083" s="1">
        <v>43300101</v>
      </c>
      <c r="D4083" t="s">
        <v>67</v>
      </c>
      <c r="H4083" t="str">
        <f t="shared" si="446"/>
        <v>08230471008</v>
      </c>
      <c r="I4083" t="str">
        <f t="shared" si="446"/>
        <v>08230471008</v>
      </c>
      <c r="K4083" t="str">
        <f>""</f>
        <v/>
      </c>
      <c r="M4083" t="s">
        <v>68</v>
      </c>
      <c r="N4083" t="str">
        <f t="shared" si="444"/>
        <v>FOR</v>
      </c>
      <c r="O4083" t="s">
        <v>69</v>
      </c>
      <c r="P4083" s="3" t="s">
        <v>70</v>
      </c>
      <c r="Q4083">
        <v>2015</v>
      </c>
      <c r="R4083" s="2">
        <v>42048</v>
      </c>
      <c r="S4083" s="2">
        <v>42055</v>
      </c>
      <c r="T4083" s="2">
        <v>42055</v>
      </c>
      <c r="U4083" s="2">
        <v>42115</v>
      </c>
      <c r="V4083" t="s">
        <v>71</v>
      </c>
      <c r="W4083" t="str">
        <f>"                1579"</f>
        <v xml:space="preserve">                1579</v>
      </c>
      <c r="X4083">
        <v>728</v>
      </c>
      <c r="Y4083">
        <v>0</v>
      </c>
      <c r="Z4083"/>
      <c r="AB4083"/>
      <c r="AC4083">
        <v>700</v>
      </c>
      <c r="AD4083">
        <v>286</v>
      </c>
      <c r="AE4083" s="1">
        <v>200200</v>
      </c>
      <c r="AF4083">
        <v>0</v>
      </c>
      <c r="AJ4083">
        <v>0</v>
      </c>
      <c r="AK4083">
        <v>0</v>
      </c>
      <c r="AL4083">
        <v>0</v>
      </c>
      <c r="AM4083">
        <v>0</v>
      </c>
      <c r="AN4083">
        <v>0</v>
      </c>
      <c r="AO4083">
        <v>0</v>
      </c>
      <c r="AP4083" s="2">
        <v>42746</v>
      </c>
      <c r="AQ4083" t="s">
        <v>72</v>
      </c>
      <c r="AR4083" t="s">
        <v>72</v>
      </c>
      <c r="AS4083">
        <v>180</v>
      </c>
      <c r="AT4083" s="4">
        <v>42401</v>
      </c>
      <c r="AU4083" t="s">
        <v>73</v>
      </c>
      <c r="AV4083">
        <v>180</v>
      </c>
      <c r="AW4083" s="4">
        <v>42401</v>
      </c>
      <c r="BD4083">
        <v>0</v>
      </c>
      <c r="BN4083" t="s">
        <v>74</v>
      </c>
    </row>
    <row r="4084" spans="1:66" hidden="1">
      <c r="A4084">
        <v>101541</v>
      </c>
      <c r="B4084" s="3" t="s">
        <v>467</v>
      </c>
      <c r="C4084" s="1">
        <v>43300101</v>
      </c>
      <c r="D4084" t="s">
        <v>67</v>
      </c>
      <c r="H4084" t="str">
        <f t="shared" si="446"/>
        <v>08230471008</v>
      </c>
      <c r="I4084" t="str">
        <f t="shared" si="446"/>
        <v>08230471008</v>
      </c>
      <c r="K4084" t="str">
        <f>""</f>
        <v/>
      </c>
      <c r="M4084" t="s">
        <v>68</v>
      </c>
      <c r="N4084" t="str">
        <f t="shared" si="444"/>
        <v>FOR</v>
      </c>
      <c r="O4084" t="s">
        <v>69</v>
      </c>
      <c r="P4084" s="3" t="s">
        <v>70</v>
      </c>
      <c r="Q4084">
        <v>2015</v>
      </c>
      <c r="R4084" s="2">
        <v>42048</v>
      </c>
      <c r="S4084" s="2">
        <v>42055</v>
      </c>
      <c r="T4084" s="2">
        <v>42055</v>
      </c>
      <c r="U4084" s="2">
        <v>42115</v>
      </c>
      <c r="V4084" t="s">
        <v>71</v>
      </c>
      <c r="W4084" t="str">
        <f>"                1580"</f>
        <v xml:space="preserve">                1580</v>
      </c>
      <c r="X4084">
        <v>305</v>
      </c>
      <c r="Y4084">
        <v>0</v>
      </c>
      <c r="Z4084"/>
      <c r="AB4084"/>
      <c r="AC4084">
        <v>250</v>
      </c>
      <c r="AD4084">
        <v>286</v>
      </c>
      <c r="AE4084" s="1">
        <v>71500</v>
      </c>
      <c r="AF4084">
        <v>0</v>
      </c>
      <c r="AJ4084">
        <v>0</v>
      </c>
      <c r="AK4084">
        <v>0</v>
      </c>
      <c r="AL4084">
        <v>0</v>
      </c>
      <c r="AM4084">
        <v>0</v>
      </c>
      <c r="AN4084">
        <v>0</v>
      </c>
      <c r="AO4084">
        <v>0</v>
      </c>
      <c r="AP4084" s="2">
        <v>42746</v>
      </c>
      <c r="AQ4084" t="s">
        <v>72</v>
      </c>
      <c r="AR4084" t="s">
        <v>72</v>
      </c>
      <c r="AS4084">
        <v>180</v>
      </c>
      <c r="AT4084" s="4">
        <v>42401</v>
      </c>
      <c r="AU4084" t="s">
        <v>73</v>
      </c>
      <c r="AV4084">
        <v>180</v>
      </c>
      <c r="AW4084" s="4">
        <v>42401</v>
      </c>
      <c r="BD4084">
        <v>0</v>
      </c>
      <c r="BN4084" t="s">
        <v>74</v>
      </c>
    </row>
    <row r="4085" spans="1:66" hidden="1">
      <c r="A4085">
        <v>101541</v>
      </c>
      <c r="B4085" s="3" t="s">
        <v>467</v>
      </c>
      <c r="C4085" s="1">
        <v>43300101</v>
      </c>
      <c r="D4085" t="s">
        <v>67</v>
      </c>
      <c r="H4085" t="str">
        <f t="shared" si="446"/>
        <v>08230471008</v>
      </c>
      <c r="I4085" t="str">
        <f t="shared" si="446"/>
        <v>08230471008</v>
      </c>
      <c r="K4085" t="str">
        <f>""</f>
        <v/>
      </c>
      <c r="M4085" t="s">
        <v>68</v>
      </c>
      <c r="N4085" t="str">
        <f t="shared" si="444"/>
        <v>FOR</v>
      </c>
      <c r="O4085" t="s">
        <v>69</v>
      </c>
      <c r="P4085" s="3" t="s">
        <v>70</v>
      </c>
      <c r="Q4085">
        <v>2015</v>
      </c>
      <c r="R4085" s="2">
        <v>42048</v>
      </c>
      <c r="S4085" s="2">
        <v>42055</v>
      </c>
      <c r="T4085" s="2">
        <v>42055</v>
      </c>
      <c r="U4085" s="2">
        <v>42115</v>
      </c>
      <c r="V4085" t="s">
        <v>71</v>
      </c>
      <c r="W4085" t="str">
        <f>"                1581"</f>
        <v xml:space="preserve">                1581</v>
      </c>
      <c r="X4085">
        <v>305</v>
      </c>
      <c r="Y4085">
        <v>0</v>
      </c>
      <c r="Z4085"/>
      <c r="AB4085"/>
      <c r="AC4085">
        <v>250</v>
      </c>
      <c r="AD4085">
        <v>286</v>
      </c>
      <c r="AE4085" s="1">
        <v>71500</v>
      </c>
      <c r="AF4085">
        <v>0</v>
      </c>
      <c r="AJ4085">
        <v>0</v>
      </c>
      <c r="AK4085">
        <v>0</v>
      </c>
      <c r="AL4085">
        <v>0</v>
      </c>
      <c r="AM4085">
        <v>0</v>
      </c>
      <c r="AN4085">
        <v>0</v>
      </c>
      <c r="AO4085">
        <v>0</v>
      </c>
      <c r="AP4085" s="2">
        <v>42746</v>
      </c>
      <c r="AQ4085" t="s">
        <v>72</v>
      </c>
      <c r="AR4085" t="s">
        <v>72</v>
      </c>
      <c r="AS4085">
        <v>180</v>
      </c>
      <c r="AT4085" s="4">
        <v>42401</v>
      </c>
      <c r="AU4085" t="s">
        <v>73</v>
      </c>
      <c r="AV4085">
        <v>180</v>
      </c>
      <c r="AW4085" s="4">
        <v>42401</v>
      </c>
      <c r="BD4085">
        <v>0</v>
      </c>
      <c r="BN4085" t="s">
        <v>74</v>
      </c>
    </row>
    <row r="4086" spans="1:66" hidden="1">
      <c r="A4086">
        <v>101541</v>
      </c>
      <c r="B4086" s="3" t="s">
        <v>467</v>
      </c>
      <c r="C4086" s="1">
        <v>43300101</v>
      </c>
      <c r="D4086" t="s">
        <v>67</v>
      </c>
      <c r="H4086" t="str">
        <f t="shared" si="446"/>
        <v>08230471008</v>
      </c>
      <c r="I4086" t="str">
        <f t="shared" si="446"/>
        <v>08230471008</v>
      </c>
      <c r="K4086" t="str">
        <f>""</f>
        <v/>
      </c>
      <c r="M4086" t="s">
        <v>68</v>
      </c>
      <c r="N4086" t="str">
        <f t="shared" si="444"/>
        <v>FOR</v>
      </c>
      <c r="O4086" t="s">
        <v>69</v>
      </c>
      <c r="P4086" s="3" t="s">
        <v>70</v>
      </c>
      <c r="Q4086">
        <v>2015</v>
      </c>
      <c r="R4086" s="2">
        <v>42048</v>
      </c>
      <c r="S4086" s="2">
        <v>42055</v>
      </c>
      <c r="T4086" s="2">
        <v>42055</v>
      </c>
      <c r="U4086" s="2">
        <v>42115</v>
      </c>
      <c r="V4086" t="s">
        <v>71</v>
      </c>
      <c r="W4086" t="str">
        <f>"                1582"</f>
        <v xml:space="preserve">                1582</v>
      </c>
      <c r="X4086">
        <v>305</v>
      </c>
      <c r="Y4086">
        <v>0</v>
      </c>
      <c r="Z4086"/>
      <c r="AB4086"/>
      <c r="AC4086">
        <v>250</v>
      </c>
      <c r="AD4086">
        <v>286</v>
      </c>
      <c r="AE4086" s="1">
        <v>71500</v>
      </c>
      <c r="AF4086">
        <v>0</v>
      </c>
      <c r="AJ4086">
        <v>0</v>
      </c>
      <c r="AK4086">
        <v>0</v>
      </c>
      <c r="AL4086">
        <v>0</v>
      </c>
      <c r="AM4086">
        <v>0</v>
      </c>
      <c r="AN4086">
        <v>0</v>
      </c>
      <c r="AO4086">
        <v>0</v>
      </c>
      <c r="AP4086" s="2">
        <v>42746</v>
      </c>
      <c r="AQ4086" t="s">
        <v>72</v>
      </c>
      <c r="AR4086" t="s">
        <v>72</v>
      </c>
      <c r="AS4086">
        <v>180</v>
      </c>
      <c r="AT4086" s="4">
        <v>42401</v>
      </c>
      <c r="AU4086" t="s">
        <v>73</v>
      </c>
      <c r="AV4086">
        <v>180</v>
      </c>
      <c r="AW4086" s="4">
        <v>42401</v>
      </c>
      <c r="BD4086">
        <v>0</v>
      </c>
      <c r="BN4086" t="s">
        <v>74</v>
      </c>
    </row>
    <row r="4087" spans="1:66" hidden="1">
      <c r="A4087">
        <v>101541</v>
      </c>
      <c r="B4087" s="3" t="s">
        <v>467</v>
      </c>
      <c r="C4087" s="1">
        <v>43300101</v>
      </c>
      <c r="D4087" t="s">
        <v>67</v>
      </c>
      <c r="H4087" t="str">
        <f t="shared" si="446"/>
        <v>08230471008</v>
      </c>
      <c r="I4087" t="str">
        <f t="shared" si="446"/>
        <v>08230471008</v>
      </c>
      <c r="K4087" t="str">
        <f>""</f>
        <v/>
      </c>
      <c r="M4087" t="s">
        <v>68</v>
      </c>
      <c r="N4087" t="str">
        <f t="shared" si="444"/>
        <v>FOR</v>
      </c>
      <c r="O4087" t="s">
        <v>69</v>
      </c>
      <c r="P4087" s="3" t="s">
        <v>70</v>
      </c>
      <c r="Q4087">
        <v>2015</v>
      </c>
      <c r="R4087" s="2">
        <v>42048</v>
      </c>
      <c r="S4087" s="2">
        <v>42055</v>
      </c>
      <c r="T4087" s="2">
        <v>42055</v>
      </c>
      <c r="U4087" s="2">
        <v>42115</v>
      </c>
      <c r="V4087" t="s">
        <v>71</v>
      </c>
      <c r="W4087" t="str">
        <f>"                1583"</f>
        <v xml:space="preserve">                1583</v>
      </c>
      <c r="X4087">
        <v>305</v>
      </c>
      <c r="Y4087">
        <v>0</v>
      </c>
      <c r="Z4087"/>
      <c r="AB4087"/>
      <c r="AC4087">
        <v>250</v>
      </c>
      <c r="AD4087">
        <v>286</v>
      </c>
      <c r="AE4087" s="1">
        <v>71500</v>
      </c>
      <c r="AF4087">
        <v>0</v>
      </c>
      <c r="AJ4087">
        <v>0</v>
      </c>
      <c r="AK4087">
        <v>0</v>
      </c>
      <c r="AL4087">
        <v>0</v>
      </c>
      <c r="AM4087">
        <v>0</v>
      </c>
      <c r="AN4087">
        <v>0</v>
      </c>
      <c r="AO4087">
        <v>0</v>
      </c>
      <c r="AP4087" s="2">
        <v>42746</v>
      </c>
      <c r="AQ4087" t="s">
        <v>72</v>
      </c>
      <c r="AR4087" t="s">
        <v>72</v>
      </c>
      <c r="AS4087">
        <v>180</v>
      </c>
      <c r="AT4087" s="4">
        <v>42401</v>
      </c>
      <c r="AU4087" t="s">
        <v>73</v>
      </c>
      <c r="AV4087">
        <v>180</v>
      </c>
      <c r="AW4087" s="4">
        <v>42401</v>
      </c>
      <c r="BD4087">
        <v>0</v>
      </c>
      <c r="BN4087" t="s">
        <v>74</v>
      </c>
    </row>
    <row r="4088" spans="1:66" hidden="1">
      <c r="A4088">
        <v>101541</v>
      </c>
      <c r="B4088" s="3" t="s">
        <v>467</v>
      </c>
      <c r="C4088" s="1">
        <v>43300101</v>
      </c>
      <c r="D4088" t="s">
        <v>67</v>
      </c>
      <c r="H4088" t="str">
        <f t="shared" si="446"/>
        <v>08230471008</v>
      </c>
      <c r="I4088" t="str">
        <f t="shared" si="446"/>
        <v>08230471008</v>
      </c>
      <c r="K4088" t="str">
        <f>""</f>
        <v/>
      </c>
      <c r="M4088" t="s">
        <v>68</v>
      </c>
      <c r="N4088" t="str">
        <f t="shared" si="444"/>
        <v>FOR</v>
      </c>
      <c r="O4088" t="s">
        <v>69</v>
      </c>
      <c r="P4088" s="3" t="s">
        <v>70</v>
      </c>
      <c r="Q4088">
        <v>2015</v>
      </c>
      <c r="R4088" s="2">
        <v>42048</v>
      </c>
      <c r="S4088" s="2">
        <v>42055</v>
      </c>
      <c r="T4088" s="2">
        <v>42055</v>
      </c>
      <c r="U4088" s="2">
        <v>42115</v>
      </c>
      <c r="V4088" t="s">
        <v>71</v>
      </c>
      <c r="W4088" t="str">
        <f>"                1584"</f>
        <v xml:space="preserve">                1584</v>
      </c>
      <c r="X4088">
        <v>305</v>
      </c>
      <c r="Y4088">
        <v>0</v>
      </c>
      <c r="Z4088"/>
      <c r="AB4088"/>
      <c r="AC4088">
        <v>250</v>
      </c>
      <c r="AD4088">
        <v>286</v>
      </c>
      <c r="AE4088" s="1">
        <v>71500</v>
      </c>
      <c r="AF4088">
        <v>0</v>
      </c>
      <c r="AJ4088">
        <v>0</v>
      </c>
      <c r="AK4088">
        <v>0</v>
      </c>
      <c r="AL4088">
        <v>0</v>
      </c>
      <c r="AM4088">
        <v>0</v>
      </c>
      <c r="AN4088">
        <v>0</v>
      </c>
      <c r="AO4088">
        <v>0</v>
      </c>
      <c r="AP4088" s="2">
        <v>42746</v>
      </c>
      <c r="AQ4088" t="s">
        <v>72</v>
      </c>
      <c r="AR4088" t="s">
        <v>72</v>
      </c>
      <c r="AS4088">
        <v>180</v>
      </c>
      <c r="AT4088" s="4">
        <v>42401</v>
      </c>
      <c r="AU4088" t="s">
        <v>73</v>
      </c>
      <c r="AV4088">
        <v>180</v>
      </c>
      <c r="AW4088" s="4">
        <v>42401</v>
      </c>
      <c r="BD4088">
        <v>0</v>
      </c>
      <c r="BN4088" t="s">
        <v>74</v>
      </c>
    </row>
    <row r="4089" spans="1:66" hidden="1">
      <c r="A4089">
        <v>101541</v>
      </c>
      <c r="B4089" s="3" t="s">
        <v>467</v>
      </c>
      <c r="C4089" s="1">
        <v>43300101</v>
      </c>
      <c r="D4089" t="s">
        <v>67</v>
      </c>
      <c r="H4089" t="str">
        <f t="shared" si="446"/>
        <v>08230471008</v>
      </c>
      <c r="I4089" t="str">
        <f t="shared" si="446"/>
        <v>08230471008</v>
      </c>
      <c r="K4089" t="str">
        <f>""</f>
        <v/>
      </c>
      <c r="M4089" t="s">
        <v>68</v>
      </c>
      <c r="N4089" t="str">
        <f t="shared" si="444"/>
        <v>FOR</v>
      </c>
      <c r="O4089" t="s">
        <v>69</v>
      </c>
      <c r="P4089" s="3" t="s">
        <v>70</v>
      </c>
      <c r="Q4089">
        <v>2015</v>
      </c>
      <c r="R4089" s="2">
        <v>42048</v>
      </c>
      <c r="S4089" s="2">
        <v>42055</v>
      </c>
      <c r="T4089" s="2">
        <v>42055</v>
      </c>
      <c r="U4089" s="2">
        <v>42115</v>
      </c>
      <c r="V4089" t="s">
        <v>71</v>
      </c>
      <c r="W4089" t="str">
        <f>"                1585"</f>
        <v xml:space="preserve">                1585</v>
      </c>
      <c r="X4089" s="1">
        <v>3050</v>
      </c>
      <c r="Y4089">
        <v>0</v>
      </c>
      <c r="Z4089"/>
      <c r="AB4089"/>
      <c r="AC4089" s="1">
        <v>2500</v>
      </c>
      <c r="AD4089">
        <v>286</v>
      </c>
      <c r="AE4089" s="1">
        <v>715000</v>
      </c>
      <c r="AF4089">
        <v>0</v>
      </c>
      <c r="AJ4089">
        <v>0</v>
      </c>
      <c r="AK4089">
        <v>0</v>
      </c>
      <c r="AL4089">
        <v>0</v>
      </c>
      <c r="AM4089">
        <v>0</v>
      </c>
      <c r="AN4089">
        <v>0</v>
      </c>
      <c r="AO4089">
        <v>0</v>
      </c>
      <c r="AP4089" s="2">
        <v>42746</v>
      </c>
      <c r="AQ4089" t="s">
        <v>72</v>
      </c>
      <c r="AR4089" t="s">
        <v>72</v>
      </c>
      <c r="AS4089">
        <v>180</v>
      </c>
      <c r="AT4089" s="4">
        <v>42401</v>
      </c>
      <c r="AU4089" t="s">
        <v>73</v>
      </c>
      <c r="AV4089">
        <v>180</v>
      </c>
      <c r="AW4089" s="4">
        <v>42401</v>
      </c>
      <c r="BD4089">
        <v>0</v>
      </c>
      <c r="BN4089" t="s">
        <v>74</v>
      </c>
    </row>
    <row r="4090" spans="1:66" hidden="1">
      <c r="A4090">
        <v>101541</v>
      </c>
      <c r="B4090" s="3" t="s">
        <v>467</v>
      </c>
      <c r="C4090" s="1">
        <v>43300101</v>
      </c>
      <c r="D4090" t="s">
        <v>67</v>
      </c>
      <c r="H4090" t="str">
        <f t="shared" si="446"/>
        <v>08230471008</v>
      </c>
      <c r="I4090" t="str">
        <f t="shared" si="446"/>
        <v>08230471008</v>
      </c>
      <c r="K4090" t="str">
        <f>""</f>
        <v/>
      </c>
      <c r="M4090" t="s">
        <v>68</v>
      </c>
      <c r="N4090" t="str">
        <f t="shared" si="444"/>
        <v>FOR</v>
      </c>
      <c r="O4090" t="s">
        <v>69</v>
      </c>
      <c r="P4090" s="3" t="s">
        <v>70</v>
      </c>
      <c r="Q4090">
        <v>2015</v>
      </c>
      <c r="R4090" s="2">
        <v>42055</v>
      </c>
      <c r="S4090" s="2">
        <v>42072</v>
      </c>
      <c r="T4090" s="2">
        <v>42072</v>
      </c>
      <c r="U4090" s="2">
        <v>42132</v>
      </c>
      <c r="V4090" t="s">
        <v>71</v>
      </c>
      <c r="W4090" t="str">
        <f>"                2005"</f>
        <v xml:space="preserve">                2005</v>
      </c>
      <c r="X4090">
        <v>305</v>
      </c>
      <c r="Y4090">
        <v>0</v>
      </c>
      <c r="Z4090"/>
      <c r="AB4090"/>
      <c r="AC4090">
        <v>250</v>
      </c>
      <c r="AD4090">
        <v>269</v>
      </c>
      <c r="AE4090" s="1">
        <v>67250</v>
      </c>
      <c r="AF4090">
        <v>0</v>
      </c>
      <c r="AJ4090">
        <v>0</v>
      </c>
      <c r="AK4090">
        <v>0</v>
      </c>
      <c r="AL4090">
        <v>0</v>
      </c>
      <c r="AM4090">
        <v>0</v>
      </c>
      <c r="AN4090">
        <v>0</v>
      </c>
      <c r="AO4090">
        <v>0</v>
      </c>
      <c r="AP4090" s="2">
        <v>42746</v>
      </c>
      <c r="AQ4090" t="s">
        <v>72</v>
      </c>
      <c r="AR4090" t="s">
        <v>72</v>
      </c>
      <c r="AS4090">
        <v>180</v>
      </c>
      <c r="AT4090" s="4">
        <v>42401</v>
      </c>
      <c r="AU4090" t="s">
        <v>73</v>
      </c>
      <c r="AV4090">
        <v>180</v>
      </c>
      <c r="AW4090" s="4">
        <v>42401</v>
      </c>
      <c r="BD4090">
        <v>0</v>
      </c>
      <c r="BN4090" t="s">
        <v>74</v>
      </c>
    </row>
    <row r="4091" spans="1:66" hidden="1">
      <c r="A4091">
        <v>101541</v>
      </c>
      <c r="B4091" s="3" t="s">
        <v>467</v>
      </c>
      <c r="C4091" s="1">
        <v>43300101</v>
      </c>
      <c r="D4091" t="s">
        <v>67</v>
      </c>
      <c r="H4091" t="str">
        <f t="shared" si="446"/>
        <v>08230471008</v>
      </c>
      <c r="I4091" t="str">
        <f t="shared" si="446"/>
        <v>08230471008</v>
      </c>
      <c r="K4091" t="str">
        <f>""</f>
        <v/>
      </c>
      <c r="M4091" t="s">
        <v>68</v>
      </c>
      <c r="N4091" t="str">
        <f t="shared" si="444"/>
        <v>FOR</v>
      </c>
      <c r="O4091" t="s">
        <v>69</v>
      </c>
      <c r="P4091" s="3" t="s">
        <v>70</v>
      </c>
      <c r="Q4091">
        <v>2015</v>
      </c>
      <c r="R4091" s="2">
        <v>42055</v>
      </c>
      <c r="S4091" s="2">
        <v>42072</v>
      </c>
      <c r="T4091" s="2">
        <v>42072</v>
      </c>
      <c r="U4091" s="2">
        <v>42132</v>
      </c>
      <c r="V4091" t="s">
        <v>71</v>
      </c>
      <c r="W4091" t="str">
        <f>"                2006"</f>
        <v xml:space="preserve">                2006</v>
      </c>
      <c r="X4091">
        <v>305</v>
      </c>
      <c r="Y4091">
        <v>0</v>
      </c>
      <c r="Z4091"/>
      <c r="AB4091"/>
      <c r="AC4091">
        <v>250</v>
      </c>
      <c r="AD4091">
        <v>269</v>
      </c>
      <c r="AE4091" s="1">
        <v>67250</v>
      </c>
      <c r="AF4091">
        <v>0</v>
      </c>
      <c r="AJ4091">
        <v>0</v>
      </c>
      <c r="AK4091">
        <v>0</v>
      </c>
      <c r="AL4091">
        <v>0</v>
      </c>
      <c r="AM4091">
        <v>0</v>
      </c>
      <c r="AN4091">
        <v>0</v>
      </c>
      <c r="AO4091">
        <v>0</v>
      </c>
      <c r="AP4091" s="2">
        <v>42746</v>
      </c>
      <c r="AQ4091" t="s">
        <v>72</v>
      </c>
      <c r="AR4091" t="s">
        <v>72</v>
      </c>
      <c r="AS4091">
        <v>180</v>
      </c>
      <c r="AT4091" s="4">
        <v>42401</v>
      </c>
      <c r="AU4091" t="s">
        <v>73</v>
      </c>
      <c r="AV4091">
        <v>180</v>
      </c>
      <c r="AW4091" s="4">
        <v>42401</v>
      </c>
      <c r="BD4091">
        <v>0</v>
      </c>
      <c r="BN4091" t="s">
        <v>74</v>
      </c>
    </row>
    <row r="4092" spans="1:66" hidden="1">
      <c r="A4092">
        <v>101541</v>
      </c>
      <c r="B4092" s="3" t="s">
        <v>467</v>
      </c>
      <c r="C4092" s="1">
        <v>43300101</v>
      </c>
      <c r="D4092" t="s">
        <v>67</v>
      </c>
      <c r="H4092" t="str">
        <f t="shared" si="446"/>
        <v>08230471008</v>
      </c>
      <c r="I4092" t="str">
        <f t="shared" si="446"/>
        <v>08230471008</v>
      </c>
      <c r="K4092" t="str">
        <f>""</f>
        <v/>
      </c>
      <c r="M4092" t="s">
        <v>68</v>
      </c>
      <c r="N4092" t="str">
        <f t="shared" si="444"/>
        <v>FOR</v>
      </c>
      <c r="O4092" t="s">
        <v>69</v>
      </c>
      <c r="P4092" s="3" t="s">
        <v>70</v>
      </c>
      <c r="Q4092">
        <v>2015</v>
      </c>
      <c r="R4092" s="2">
        <v>42055</v>
      </c>
      <c r="S4092" s="2">
        <v>42072</v>
      </c>
      <c r="T4092" s="2">
        <v>42072</v>
      </c>
      <c r="U4092" s="2">
        <v>42132</v>
      </c>
      <c r="V4092" t="s">
        <v>71</v>
      </c>
      <c r="W4092" t="str">
        <f>"                2007"</f>
        <v xml:space="preserve">                2007</v>
      </c>
      <c r="X4092">
        <v>305</v>
      </c>
      <c r="Y4092">
        <v>0</v>
      </c>
      <c r="Z4092"/>
      <c r="AB4092"/>
      <c r="AC4092">
        <v>250</v>
      </c>
      <c r="AD4092">
        <v>269</v>
      </c>
      <c r="AE4092" s="1">
        <v>67250</v>
      </c>
      <c r="AF4092">
        <v>0</v>
      </c>
      <c r="AJ4092">
        <v>0</v>
      </c>
      <c r="AK4092">
        <v>0</v>
      </c>
      <c r="AL4092">
        <v>0</v>
      </c>
      <c r="AM4092">
        <v>0</v>
      </c>
      <c r="AN4092">
        <v>0</v>
      </c>
      <c r="AO4092">
        <v>0</v>
      </c>
      <c r="AP4092" s="2">
        <v>42746</v>
      </c>
      <c r="AQ4092" t="s">
        <v>72</v>
      </c>
      <c r="AR4092" t="s">
        <v>72</v>
      </c>
      <c r="AS4092">
        <v>180</v>
      </c>
      <c r="AT4092" s="4">
        <v>42401</v>
      </c>
      <c r="AU4092" t="s">
        <v>73</v>
      </c>
      <c r="AV4092">
        <v>180</v>
      </c>
      <c r="AW4092" s="4">
        <v>42401</v>
      </c>
      <c r="BD4092">
        <v>0</v>
      </c>
      <c r="BN4092" t="s">
        <v>74</v>
      </c>
    </row>
    <row r="4093" spans="1:66" hidden="1">
      <c r="A4093">
        <v>101541</v>
      </c>
      <c r="B4093" s="3" t="s">
        <v>467</v>
      </c>
      <c r="C4093" s="1">
        <v>43300101</v>
      </c>
      <c r="D4093" t="s">
        <v>67</v>
      </c>
      <c r="H4093" t="str">
        <f t="shared" si="446"/>
        <v>08230471008</v>
      </c>
      <c r="I4093" t="str">
        <f t="shared" si="446"/>
        <v>08230471008</v>
      </c>
      <c r="K4093" t="str">
        <f>""</f>
        <v/>
      </c>
      <c r="M4093" t="s">
        <v>68</v>
      </c>
      <c r="N4093" t="str">
        <f t="shared" si="444"/>
        <v>FOR</v>
      </c>
      <c r="O4093" t="s">
        <v>69</v>
      </c>
      <c r="P4093" s="3" t="s">
        <v>70</v>
      </c>
      <c r="Q4093">
        <v>2015</v>
      </c>
      <c r="R4093" s="2">
        <v>42055</v>
      </c>
      <c r="S4093" s="2">
        <v>42072</v>
      </c>
      <c r="T4093" s="2">
        <v>42072</v>
      </c>
      <c r="U4093" s="2">
        <v>42132</v>
      </c>
      <c r="V4093" t="s">
        <v>71</v>
      </c>
      <c r="W4093" t="str">
        <f>"                2008"</f>
        <v xml:space="preserve">                2008</v>
      </c>
      <c r="X4093">
        <v>305</v>
      </c>
      <c r="Y4093">
        <v>0</v>
      </c>
      <c r="Z4093"/>
      <c r="AB4093"/>
      <c r="AC4093">
        <v>250</v>
      </c>
      <c r="AD4093">
        <v>269</v>
      </c>
      <c r="AE4093" s="1">
        <v>67250</v>
      </c>
      <c r="AF4093">
        <v>0</v>
      </c>
      <c r="AJ4093">
        <v>0</v>
      </c>
      <c r="AK4093">
        <v>0</v>
      </c>
      <c r="AL4093">
        <v>0</v>
      </c>
      <c r="AM4093">
        <v>0</v>
      </c>
      <c r="AN4093">
        <v>0</v>
      </c>
      <c r="AO4093">
        <v>0</v>
      </c>
      <c r="AP4093" s="2">
        <v>42746</v>
      </c>
      <c r="AQ4093" t="s">
        <v>72</v>
      </c>
      <c r="AR4093" t="s">
        <v>72</v>
      </c>
      <c r="AS4093">
        <v>180</v>
      </c>
      <c r="AT4093" s="4">
        <v>42401</v>
      </c>
      <c r="AU4093" t="s">
        <v>73</v>
      </c>
      <c r="AV4093">
        <v>180</v>
      </c>
      <c r="AW4093" s="4">
        <v>42401</v>
      </c>
      <c r="BD4093">
        <v>0</v>
      </c>
      <c r="BN4093" t="s">
        <v>74</v>
      </c>
    </row>
    <row r="4094" spans="1:66" hidden="1">
      <c r="A4094">
        <v>101541</v>
      </c>
      <c r="B4094" s="3" t="s">
        <v>467</v>
      </c>
      <c r="C4094" s="1">
        <v>43300101</v>
      </c>
      <c r="D4094" t="s">
        <v>67</v>
      </c>
      <c r="H4094" t="str">
        <f t="shared" si="446"/>
        <v>08230471008</v>
      </c>
      <c r="I4094" t="str">
        <f t="shared" si="446"/>
        <v>08230471008</v>
      </c>
      <c r="K4094" t="str">
        <f>""</f>
        <v/>
      </c>
      <c r="M4094" t="s">
        <v>68</v>
      </c>
      <c r="N4094" t="str">
        <f t="shared" si="444"/>
        <v>FOR</v>
      </c>
      <c r="O4094" t="s">
        <v>69</v>
      </c>
      <c r="P4094" s="3" t="s">
        <v>70</v>
      </c>
      <c r="Q4094">
        <v>2015</v>
      </c>
      <c r="R4094" s="2">
        <v>42055</v>
      </c>
      <c r="S4094" s="2">
        <v>42072</v>
      </c>
      <c r="T4094" s="2">
        <v>42072</v>
      </c>
      <c r="U4094" s="2">
        <v>42132</v>
      </c>
      <c r="V4094" t="s">
        <v>71</v>
      </c>
      <c r="W4094" t="str">
        <f>"                2009"</f>
        <v xml:space="preserve">                2009</v>
      </c>
      <c r="X4094">
        <v>305</v>
      </c>
      <c r="Y4094">
        <v>0</v>
      </c>
      <c r="Z4094"/>
      <c r="AB4094"/>
      <c r="AC4094">
        <v>250</v>
      </c>
      <c r="AD4094">
        <v>269</v>
      </c>
      <c r="AE4094" s="1">
        <v>67250</v>
      </c>
      <c r="AF4094">
        <v>0</v>
      </c>
      <c r="AJ4094">
        <v>0</v>
      </c>
      <c r="AK4094">
        <v>0</v>
      </c>
      <c r="AL4094">
        <v>0</v>
      </c>
      <c r="AM4094">
        <v>0</v>
      </c>
      <c r="AN4094">
        <v>0</v>
      </c>
      <c r="AO4094">
        <v>0</v>
      </c>
      <c r="AP4094" s="2">
        <v>42746</v>
      </c>
      <c r="AQ4094" t="s">
        <v>72</v>
      </c>
      <c r="AR4094" t="s">
        <v>72</v>
      </c>
      <c r="AS4094">
        <v>180</v>
      </c>
      <c r="AT4094" s="4">
        <v>42401</v>
      </c>
      <c r="AU4094" t="s">
        <v>73</v>
      </c>
      <c r="AV4094">
        <v>180</v>
      </c>
      <c r="AW4094" s="4">
        <v>42401</v>
      </c>
      <c r="BD4094">
        <v>0</v>
      </c>
      <c r="BN4094" t="s">
        <v>74</v>
      </c>
    </row>
    <row r="4095" spans="1:66" hidden="1">
      <c r="A4095">
        <v>101541</v>
      </c>
      <c r="B4095" s="3" t="s">
        <v>467</v>
      </c>
      <c r="C4095" s="1">
        <v>43300101</v>
      </c>
      <c r="D4095" t="s">
        <v>67</v>
      </c>
      <c r="H4095" t="str">
        <f t="shared" si="446"/>
        <v>08230471008</v>
      </c>
      <c r="I4095" t="str">
        <f t="shared" si="446"/>
        <v>08230471008</v>
      </c>
      <c r="K4095" t="str">
        <f>""</f>
        <v/>
      </c>
      <c r="M4095" t="s">
        <v>68</v>
      </c>
      <c r="N4095" t="str">
        <f t="shared" si="444"/>
        <v>FOR</v>
      </c>
      <c r="O4095" t="s">
        <v>69</v>
      </c>
      <c r="P4095" s="3" t="s">
        <v>70</v>
      </c>
      <c r="Q4095">
        <v>2015</v>
      </c>
      <c r="R4095" s="2">
        <v>42055</v>
      </c>
      <c r="S4095" s="2">
        <v>42072</v>
      </c>
      <c r="T4095" s="2">
        <v>42072</v>
      </c>
      <c r="U4095" s="2">
        <v>42132</v>
      </c>
      <c r="V4095" t="s">
        <v>71</v>
      </c>
      <c r="W4095" t="str">
        <f>"                2010"</f>
        <v xml:space="preserve">                2010</v>
      </c>
      <c r="X4095">
        <v>305</v>
      </c>
      <c r="Y4095">
        <v>0</v>
      </c>
      <c r="Z4095"/>
      <c r="AB4095"/>
      <c r="AC4095">
        <v>250</v>
      </c>
      <c r="AD4095">
        <v>269</v>
      </c>
      <c r="AE4095" s="1">
        <v>67250</v>
      </c>
      <c r="AF4095">
        <v>0</v>
      </c>
      <c r="AJ4095">
        <v>0</v>
      </c>
      <c r="AK4095">
        <v>0</v>
      </c>
      <c r="AL4095">
        <v>0</v>
      </c>
      <c r="AM4095">
        <v>0</v>
      </c>
      <c r="AN4095">
        <v>0</v>
      </c>
      <c r="AO4095">
        <v>0</v>
      </c>
      <c r="AP4095" s="2">
        <v>42746</v>
      </c>
      <c r="AQ4095" t="s">
        <v>72</v>
      </c>
      <c r="AR4095" t="s">
        <v>72</v>
      </c>
      <c r="AS4095">
        <v>180</v>
      </c>
      <c r="AT4095" s="4">
        <v>42401</v>
      </c>
      <c r="AU4095" t="s">
        <v>73</v>
      </c>
      <c r="AV4095">
        <v>180</v>
      </c>
      <c r="AW4095" s="4">
        <v>42401</v>
      </c>
      <c r="BD4095">
        <v>0</v>
      </c>
      <c r="BN4095" t="s">
        <v>74</v>
      </c>
    </row>
    <row r="4096" spans="1:66" hidden="1">
      <c r="A4096">
        <v>101541</v>
      </c>
      <c r="B4096" s="3" t="s">
        <v>467</v>
      </c>
      <c r="C4096" s="1">
        <v>43300101</v>
      </c>
      <c r="D4096" t="s">
        <v>67</v>
      </c>
      <c r="H4096" t="str">
        <f t="shared" si="446"/>
        <v>08230471008</v>
      </c>
      <c r="I4096" t="str">
        <f t="shared" si="446"/>
        <v>08230471008</v>
      </c>
      <c r="K4096" t="str">
        <f>""</f>
        <v/>
      </c>
      <c r="M4096" t="s">
        <v>68</v>
      </c>
      <c r="N4096" t="str">
        <f t="shared" si="444"/>
        <v>FOR</v>
      </c>
      <c r="O4096" t="s">
        <v>69</v>
      </c>
      <c r="P4096" s="3" t="s">
        <v>70</v>
      </c>
      <c r="Q4096">
        <v>2015</v>
      </c>
      <c r="R4096" s="2">
        <v>42055</v>
      </c>
      <c r="S4096" s="2">
        <v>42072</v>
      </c>
      <c r="T4096" s="2">
        <v>42072</v>
      </c>
      <c r="U4096" s="2">
        <v>42132</v>
      </c>
      <c r="V4096" t="s">
        <v>71</v>
      </c>
      <c r="W4096" t="str">
        <f>"                2011"</f>
        <v xml:space="preserve">                2011</v>
      </c>
      <c r="X4096">
        <v>305</v>
      </c>
      <c r="Y4096">
        <v>0</v>
      </c>
      <c r="Z4096"/>
      <c r="AB4096"/>
      <c r="AC4096">
        <v>250</v>
      </c>
      <c r="AD4096">
        <v>269</v>
      </c>
      <c r="AE4096" s="1">
        <v>67250</v>
      </c>
      <c r="AF4096">
        <v>0</v>
      </c>
      <c r="AJ4096">
        <v>0</v>
      </c>
      <c r="AK4096">
        <v>0</v>
      </c>
      <c r="AL4096">
        <v>0</v>
      </c>
      <c r="AM4096">
        <v>0</v>
      </c>
      <c r="AN4096">
        <v>0</v>
      </c>
      <c r="AO4096">
        <v>0</v>
      </c>
      <c r="AP4096" s="2">
        <v>42746</v>
      </c>
      <c r="AQ4096" t="s">
        <v>72</v>
      </c>
      <c r="AR4096" t="s">
        <v>72</v>
      </c>
      <c r="AS4096">
        <v>180</v>
      </c>
      <c r="AT4096" s="4">
        <v>42401</v>
      </c>
      <c r="AU4096" t="s">
        <v>73</v>
      </c>
      <c r="AV4096">
        <v>180</v>
      </c>
      <c r="AW4096" s="4">
        <v>42401</v>
      </c>
      <c r="BD4096">
        <v>0</v>
      </c>
      <c r="BN4096" t="s">
        <v>74</v>
      </c>
    </row>
    <row r="4097" spans="1:66" hidden="1">
      <c r="A4097">
        <v>101541</v>
      </c>
      <c r="B4097" s="3" t="s">
        <v>467</v>
      </c>
      <c r="C4097" s="1">
        <v>43300101</v>
      </c>
      <c r="D4097" t="s">
        <v>67</v>
      </c>
      <c r="H4097" t="str">
        <f t="shared" si="446"/>
        <v>08230471008</v>
      </c>
      <c r="I4097" t="str">
        <f t="shared" si="446"/>
        <v>08230471008</v>
      </c>
      <c r="K4097" t="str">
        <f>""</f>
        <v/>
      </c>
      <c r="M4097" t="s">
        <v>68</v>
      </c>
      <c r="N4097" t="str">
        <f t="shared" si="444"/>
        <v>FOR</v>
      </c>
      <c r="O4097" t="s">
        <v>69</v>
      </c>
      <c r="P4097" s="3" t="s">
        <v>70</v>
      </c>
      <c r="Q4097">
        <v>2015</v>
      </c>
      <c r="R4097" s="2">
        <v>42055</v>
      </c>
      <c r="S4097" s="2">
        <v>42072</v>
      </c>
      <c r="T4097" s="2">
        <v>42072</v>
      </c>
      <c r="U4097" s="2">
        <v>42132</v>
      </c>
      <c r="V4097" t="s">
        <v>71</v>
      </c>
      <c r="W4097" t="str">
        <f>"                2012"</f>
        <v xml:space="preserve">                2012</v>
      </c>
      <c r="X4097">
        <v>305</v>
      </c>
      <c r="Y4097">
        <v>0</v>
      </c>
      <c r="Z4097"/>
      <c r="AB4097"/>
      <c r="AC4097">
        <v>250</v>
      </c>
      <c r="AD4097">
        <v>269</v>
      </c>
      <c r="AE4097" s="1">
        <v>67250</v>
      </c>
      <c r="AF4097">
        <v>0</v>
      </c>
      <c r="AJ4097">
        <v>0</v>
      </c>
      <c r="AK4097">
        <v>0</v>
      </c>
      <c r="AL4097">
        <v>0</v>
      </c>
      <c r="AM4097">
        <v>0</v>
      </c>
      <c r="AN4097">
        <v>0</v>
      </c>
      <c r="AO4097">
        <v>0</v>
      </c>
      <c r="AP4097" s="2">
        <v>42746</v>
      </c>
      <c r="AQ4097" t="s">
        <v>72</v>
      </c>
      <c r="AR4097" t="s">
        <v>72</v>
      </c>
      <c r="AS4097">
        <v>180</v>
      </c>
      <c r="AT4097" s="4">
        <v>42401</v>
      </c>
      <c r="AU4097" t="s">
        <v>73</v>
      </c>
      <c r="AV4097">
        <v>180</v>
      </c>
      <c r="AW4097" s="4">
        <v>42401</v>
      </c>
      <c r="BD4097">
        <v>0</v>
      </c>
      <c r="BN4097" t="s">
        <v>74</v>
      </c>
    </row>
    <row r="4098" spans="1:66" hidden="1">
      <c r="A4098">
        <v>101541</v>
      </c>
      <c r="B4098" s="3" t="s">
        <v>467</v>
      </c>
      <c r="C4098" s="1">
        <v>43300101</v>
      </c>
      <c r="D4098" t="s">
        <v>67</v>
      </c>
      <c r="H4098" t="str">
        <f t="shared" ref="H4098:I4117" si="447">"08230471008"</f>
        <v>08230471008</v>
      </c>
      <c r="I4098" t="str">
        <f t="shared" si="447"/>
        <v>08230471008</v>
      </c>
      <c r="K4098" t="str">
        <f>""</f>
        <v/>
      </c>
      <c r="M4098" t="s">
        <v>68</v>
      </c>
      <c r="N4098" t="str">
        <f t="shared" si="444"/>
        <v>FOR</v>
      </c>
      <c r="O4098" t="s">
        <v>69</v>
      </c>
      <c r="P4098" s="3" t="s">
        <v>70</v>
      </c>
      <c r="Q4098">
        <v>2015</v>
      </c>
      <c r="R4098" s="2">
        <v>42055</v>
      </c>
      <c r="S4098" s="2">
        <v>42072</v>
      </c>
      <c r="T4098" s="2">
        <v>42072</v>
      </c>
      <c r="U4098" s="2">
        <v>42132</v>
      </c>
      <c r="V4098" t="s">
        <v>71</v>
      </c>
      <c r="W4098" t="str">
        <f>"                2013"</f>
        <v xml:space="preserve">                2013</v>
      </c>
      <c r="X4098">
        <v>305</v>
      </c>
      <c r="Y4098">
        <v>0</v>
      </c>
      <c r="Z4098"/>
      <c r="AB4098"/>
      <c r="AC4098">
        <v>250</v>
      </c>
      <c r="AD4098">
        <v>269</v>
      </c>
      <c r="AE4098" s="1">
        <v>67250</v>
      </c>
      <c r="AF4098">
        <v>0</v>
      </c>
      <c r="AJ4098">
        <v>0</v>
      </c>
      <c r="AK4098">
        <v>0</v>
      </c>
      <c r="AL4098">
        <v>0</v>
      </c>
      <c r="AM4098">
        <v>0</v>
      </c>
      <c r="AN4098">
        <v>0</v>
      </c>
      <c r="AO4098">
        <v>0</v>
      </c>
      <c r="AP4098" s="2">
        <v>42746</v>
      </c>
      <c r="AQ4098" t="s">
        <v>72</v>
      </c>
      <c r="AR4098" t="s">
        <v>72</v>
      </c>
      <c r="AS4098">
        <v>180</v>
      </c>
      <c r="AT4098" s="4">
        <v>42401</v>
      </c>
      <c r="AU4098" t="s">
        <v>73</v>
      </c>
      <c r="AV4098">
        <v>180</v>
      </c>
      <c r="AW4098" s="4">
        <v>42401</v>
      </c>
      <c r="BD4098">
        <v>0</v>
      </c>
      <c r="BN4098" t="s">
        <v>74</v>
      </c>
    </row>
    <row r="4099" spans="1:66" hidden="1">
      <c r="A4099">
        <v>101541</v>
      </c>
      <c r="B4099" s="3" t="s">
        <v>467</v>
      </c>
      <c r="C4099" s="1">
        <v>43300101</v>
      </c>
      <c r="D4099" t="s">
        <v>67</v>
      </c>
      <c r="H4099" t="str">
        <f t="shared" si="447"/>
        <v>08230471008</v>
      </c>
      <c r="I4099" t="str">
        <f t="shared" si="447"/>
        <v>08230471008</v>
      </c>
      <c r="K4099" t="str">
        <f>""</f>
        <v/>
      </c>
      <c r="M4099" t="s">
        <v>68</v>
      </c>
      <c r="N4099" t="str">
        <f t="shared" si="444"/>
        <v>FOR</v>
      </c>
      <c r="O4099" t="s">
        <v>69</v>
      </c>
      <c r="P4099" s="3" t="s">
        <v>70</v>
      </c>
      <c r="Q4099">
        <v>2015</v>
      </c>
      <c r="R4099" s="2">
        <v>42055</v>
      </c>
      <c r="S4099" s="2">
        <v>42072</v>
      </c>
      <c r="T4099" s="2">
        <v>42072</v>
      </c>
      <c r="U4099" s="2">
        <v>42132</v>
      </c>
      <c r="V4099" t="s">
        <v>71</v>
      </c>
      <c r="W4099" t="str">
        <f>"                2014"</f>
        <v xml:space="preserve">                2014</v>
      </c>
      <c r="X4099">
        <v>305</v>
      </c>
      <c r="Y4099">
        <v>0</v>
      </c>
      <c r="Z4099"/>
      <c r="AB4099"/>
      <c r="AC4099">
        <v>250</v>
      </c>
      <c r="AD4099">
        <v>269</v>
      </c>
      <c r="AE4099" s="1">
        <v>67250</v>
      </c>
      <c r="AF4099">
        <v>0</v>
      </c>
      <c r="AJ4099">
        <v>0</v>
      </c>
      <c r="AK4099">
        <v>0</v>
      </c>
      <c r="AL4099">
        <v>0</v>
      </c>
      <c r="AM4099">
        <v>0</v>
      </c>
      <c r="AN4099">
        <v>0</v>
      </c>
      <c r="AO4099">
        <v>0</v>
      </c>
      <c r="AP4099" s="2">
        <v>42746</v>
      </c>
      <c r="AQ4099" t="s">
        <v>72</v>
      </c>
      <c r="AR4099" t="s">
        <v>72</v>
      </c>
      <c r="AS4099">
        <v>180</v>
      </c>
      <c r="AT4099" s="4">
        <v>42401</v>
      </c>
      <c r="AU4099" t="s">
        <v>73</v>
      </c>
      <c r="AV4099">
        <v>180</v>
      </c>
      <c r="AW4099" s="4">
        <v>42401</v>
      </c>
      <c r="BD4099">
        <v>0</v>
      </c>
      <c r="BN4099" t="s">
        <v>74</v>
      </c>
    </row>
    <row r="4100" spans="1:66" hidden="1">
      <c r="A4100">
        <v>101541</v>
      </c>
      <c r="B4100" s="3" t="s">
        <v>467</v>
      </c>
      <c r="C4100" s="1">
        <v>43300101</v>
      </c>
      <c r="D4100" t="s">
        <v>67</v>
      </c>
      <c r="H4100" t="str">
        <f t="shared" si="447"/>
        <v>08230471008</v>
      </c>
      <c r="I4100" t="str">
        <f t="shared" si="447"/>
        <v>08230471008</v>
      </c>
      <c r="K4100" t="str">
        <f>""</f>
        <v/>
      </c>
      <c r="M4100" t="s">
        <v>68</v>
      </c>
      <c r="N4100" t="str">
        <f t="shared" si="444"/>
        <v>FOR</v>
      </c>
      <c r="O4100" t="s">
        <v>69</v>
      </c>
      <c r="P4100" s="3" t="s">
        <v>70</v>
      </c>
      <c r="Q4100">
        <v>2015</v>
      </c>
      <c r="R4100" s="2">
        <v>42055</v>
      </c>
      <c r="S4100" s="2">
        <v>42072</v>
      </c>
      <c r="T4100" s="2">
        <v>42072</v>
      </c>
      <c r="U4100" s="2">
        <v>42132</v>
      </c>
      <c r="V4100" t="s">
        <v>71</v>
      </c>
      <c r="W4100" t="str">
        <f>"                2015"</f>
        <v xml:space="preserve">                2015</v>
      </c>
      <c r="X4100">
        <v>305</v>
      </c>
      <c r="Y4100">
        <v>0</v>
      </c>
      <c r="Z4100"/>
      <c r="AB4100"/>
      <c r="AC4100">
        <v>250</v>
      </c>
      <c r="AD4100">
        <v>269</v>
      </c>
      <c r="AE4100" s="1">
        <v>67250</v>
      </c>
      <c r="AF4100">
        <v>0</v>
      </c>
      <c r="AJ4100">
        <v>0</v>
      </c>
      <c r="AK4100">
        <v>0</v>
      </c>
      <c r="AL4100">
        <v>0</v>
      </c>
      <c r="AM4100">
        <v>0</v>
      </c>
      <c r="AN4100">
        <v>0</v>
      </c>
      <c r="AO4100">
        <v>0</v>
      </c>
      <c r="AP4100" s="2">
        <v>42746</v>
      </c>
      <c r="AQ4100" t="s">
        <v>72</v>
      </c>
      <c r="AR4100" t="s">
        <v>72</v>
      </c>
      <c r="AS4100">
        <v>180</v>
      </c>
      <c r="AT4100" s="4">
        <v>42401</v>
      </c>
      <c r="AU4100" t="s">
        <v>73</v>
      </c>
      <c r="AV4100">
        <v>180</v>
      </c>
      <c r="AW4100" s="4">
        <v>42401</v>
      </c>
      <c r="BD4100">
        <v>0</v>
      </c>
      <c r="BN4100" t="s">
        <v>74</v>
      </c>
    </row>
    <row r="4101" spans="1:66" hidden="1">
      <c r="A4101">
        <v>101541</v>
      </c>
      <c r="B4101" s="3" t="s">
        <v>467</v>
      </c>
      <c r="C4101" s="1">
        <v>43300101</v>
      </c>
      <c r="D4101" t="s">
        <v>67</v>
      </c>
      <c r="H4101" t="str">
        <f t="shared" si="447"/>
        <v>08230471008</v>
      </c>
      <c r="I4101" t="str">
        <f t="shared" si="447"/>
        <v>08230471008</v>
      </c>
      <c r="K4101" t="str">
        <f>""</f>
        <v/>
      </c>
      <c r="M4101" t="s">
        <v>68</v>
      </c>
      <c r="N4101" t="str">
        <f t="shared" si="444"/>
        <v>FOR</v>
      </c>
      <c r="O4101" t="s">
        <v>69</v>
      </c>
      <c r="P4101" s="3" t="s">
        <v>70</v>
      </c>
      <c r="Q4101">
        <v>2015</v>
      </c>
      <c r="R4101" s="2">
        <v>42055</v>
      </c>
      <c r="S4101" s="2">
        <v>42072</v>
      </c>
      <c r="T4101" s="2">
        <v>42072</v>
      </c>
      <c r="U4101" s="2">
        <v>42132</v>
      </c>
      <c r="V4101" t="s">
        <v>71</v>
      </c>
      <c r="W4101" t="str">
        <f>"                2016"</f>
        <v xml:space="preserve">                2016</v>
      </c>
      <c r="X4101">
        <v>305</v>
      </c>
      <c r="Y4101">
        <v>0</v>
      </c>
      <c r="Z4101"/>
      <c r="AB4101"/>
      <c r="AC4101">
        <v>250</v>
      </c>
      <c r="AD4101">
        <v>269</v>
      </c>
      <c r="AE4101" s="1">
        <v>67250</v>
      </c>
      <c r="AF4101">
        <v>0</v>
      </c>
      <c r="AJ4101">
        <v>0</v>
      </c>
      <c r="AK4101">
        <v>0</v>
      </c>
      <c r="AL4101">
        <v>0</v>
      </c>
      <c r="AM4101">
        <v>0</v>
      </c>
      <c r="AN4101">
        <v>0</v>
      </c>
      <c r="AO4101">
        <v>0</v>
      </c>
      <c r="AP4101" s="2">
        <v>42746</v>
      </c>
      <c r="AQ4101" t="s">
        <v>72</v>
      </c>
      <c r="AR4101" t="s">
        <v>72</v>
      </c>
      <c r="AS4101">
        <v>180</v>
      </c>
      <c r="AT4101" s="4">
        <v>42401</v>
      </c>
      <c r="AU4101" t="s">
        <v>73</v>
      </c>
      <c r="AV4101">
        <v>180</v>
      </c>
      <c r="AW4101" s="4">
        <v>42401</v>
      </c>
      <c r="BD4101">
        <v>0</v>
      </c>
      <c r="BN4101" t="s">
        <v>74</v>
      </c>
    </row>
    <row r="4102" spans="1:66" hidden="1">
      <c r="A4102">
        <v>101541</v>
      </c>
      <c r="B4102" s="3" t="s">
        <v>467</v>
      </c>
      <c r="C4102" s="1">
        <v>43300101</v>
      </c>
      <c r="D4102" t="s">
        <v>67</v>
      </c>
      <c r="H4102" t="str">
        <f t="shared" si="447"/>
        <v>08230471008</v>
      </c>
      <c r="I4102" t="str">
        <f t="shared" si="447"/>
        <v>08230471008</v>
      </c>
      <c r="K4102" t="str">
        <f>""</f>
        <v/>
      </c>
      <c r="M4102" t="s">
        <v>68</v>
      </c>
      <c r="N4102" t="str">
        <f t="shared" si="444"/>
        <v>FOR</v>
      </c>
      <c r="O4102" t="s">
        <v>69</v>
      </c>
      <c r="P4102" s="3" t="s">
        <v>70</v>
      </c>
      <c r="Q4102">
        <v>2015</v>
      </c>
      <c r="R4102" s="2">
        <v>42055</v>
      </c>
      <c r="S4102" s="2">
        <v>42072</v>
      </c>
      <c r="T4102" s="2">
        <v>42072</v>
      </c>
      <c r="U4102" s="2">
        <v>42132</v>
      </c>
      <c r="V4102" t="s">
        <v>71</v>
      </c>
      <c r="W4102" t="str">
        <f>"                2017"</f>
        <v xml:space="preserve">                2017</v>
      </c>
      <c r="X4102">
        <v>305</v>
      </c>
      <c r="Y4102">
        <v>0</v>
      </c>
      <c r="Z4102"/>
      <c r="AB4102"/>
      <c r="AC4102">
        <v>250</v>
      </c>
      <c r="AD4102">
        <v>269</v>
      </c>
      <c r="AE4102" s="1">
        <v>67250</v>
      </c>
      <c r="AF4102">
        <v>0</v>
      </c>
      <c r="AJ4102">
        <v>0</v>
      </c>
      <c r="AK4102">
        <v>0</v>
      </c>
      <c r="AL4102">
        <v>0</v>
      </c>
      <c r="AM4102">
        <v>0</v>
      </c>
      <c r="AN4102">
        <v>0</v>
      </c>
      <c r="AO4102">
        <v>0</v>
      </c>
      <c r="AP4102" s="2">
        <v>42746</v>
      </c>
      <c r="AQ4102" t="s">
        <v>72</v>
      </c>
      <c r="AR4102" t="s">
        <v>72</v>
      </c>
      <c r="AS4102">
        <v>180</v>
      </c>
      <c r="AT4102" s="4">
        <v>42401</v>
      </c>
      <c r="AU4102" t="s">
        <v>73</v>
      </c>
      <c r="AV4102">
        <v>180</v>
      </c>
      <c r="AW4102" s="4">
        <v>42401</v>
      </c>
      <c r="BD4102">
        <v>0</v>
      </c>
      <c r="BN4102" t="s">
        <v>74</v>
      </c>
    </row>
    <row r="4103" spans="1:66" hidden="1">
      <c r="A4103">
        <v>101541</v>
      </c>
      <c r="B4103" s="3" t="s">
        <v>467</v>
      </c>
      <c r="C4103" s="1">
        <v>43300101</v>
      </c>
      <c r="D4103" t="s">
        <v>67</v>
      </c>
      <c r="H4103" t="str">
        <f t="shared" si="447"/>
        <v>08230471008</v>
      </c>
      <c r="I4103" t="str">
        <f t="shared" si="447"/>
        <v>08230471008</v>
      </c>
      <c r="K4103" t="str">
        <f>""</f>
        <v/>
      </c>
      <c r="M4103" t="s">
        <v>68</v>
      </c>
      <c r="N4103" t="str">
        <f t="shared" si="444"/>
        <v>FOR</v>
      </c>
      <c r="O4103" t="s">
        <v>69</v>
      </c>
      <c r="P4103" s="3" t="s">
        <v>70</v>
      </c>
      <c r="Q4103">
        <v>2015</v>
      </c>
      <c r="R4103" s="2">
        <v>42055</v>
      </c>
      <c r="S4103" s="2">
        <v>42072</v>
      </c>
      <c r="T4103" s="2">
        <v>42072</v>
      </c>
      <c r="U4103" s="2">
        <v>42132</v>
      </c>
      <c r="V4103" t="s">
        <v>71</v>
      </c>
      <c r="W4103" t="str">
        <f>"                2018"</f>
        <v xml:space="preserve">                2018</v>
      </c>
      <c r="X4103">
        <v>305</v>
      </c>
      <c r="Y4103">
        <v>0</v>
      </c>
      <c r="Z4103"/>
      <c r="AB4103"/>
      <c r="AC4103">
        <v>250</v>
      </c>
      <c r="AD4103">
        <v>269</v>
      </c>
      <c r="AE4103" s="1">
        <v>67250</v>
      </c>
      <c r="AF4103">
        <v>0</v>
      </c>
      <c r="AJ4103">
        <v>0</v>
      </c>
      <c r="AK4103">
        <v>0</v>
      </c>
      <c r="AL4103">
        <v>0</v>
      </c>
      <c r="AM4103">
        <v>0</v>
      </c>
      <c r="AN4103">
        <v>0</v>
      </c>
      <c r="AO4103">
        <v>0</v>
      </c>
      <c r="AP4103" s="2">
        <v>42746</v>
      </c>
      <c r="AQ4103" t="s">
        <v>72</v>
      </c>
      <c r="AR4103" t="s">
        <v>72</v>
      </c>
      <c r="AS4103">
        <v>180</v>
      </c>
      <c r="AT4103" s="4">
        <v>42401</v>
      </c>
      <c r="AU4103" t="s">
        <v>73</v>
      </c>
      <c r="AV4103">
        <v>180</v>
      </c>
      <c r="AW4103" s="4">
        <v>42401</v>
      </c>
      <c r="BD4103">
        <v>0</v>
      </c>
      <c r="BN4103" t="s">
        <v>74</v>
      </c>
    </row>
    <row r="4104" spans="1:66" hidden="1">
      <c r="A4104">
        <v>101541</v>
      </c>
      <c r="B4104" s="3" t="s">
        <v>467</v>
      </c>
      <c r="C4104" s="1">
        <v>43300101</v>
      </c>
      <c r="D4104" t="s">
        <v>67</v>
      </c>
      <c r="H4104" t="str">
        <f t="shared" si="447"/>
        <v>08230471008</v>
      </c>
      <c r="I4104" t="str">
        <f t="shared" si="447"/>
        <v>08230471008</v>
      </c>
      <c r="K4104" t="str">
        <f>""</f>
        <v/>
      </c>
      <c r="M4104" t="s">
        <v>68</v>
      </c>
      <c r="N4104" t="str">
        <f t="shared" si="444"/>
        <v>FOR</v>
      </c>
      <c r="O4104" t="s">
        <v>69</v>
      </c>
      <c r="P4104" s="3" t="s">
        <v>70</v>
      </c>
      <c r="Q4104">
        <v>2015</v>
      </c>
      <c r="R4104" s="2">
        <v>42055</v>
      </c>
      <c r="S4104" s="2">
        <v>42072</v>
      </c>
      <c r="T4104" s="2">
        <v>42072</v>
      </c>
      <c r="U4104" s="2">
        <v>42132</v>
      </c>
      <c r="V4104" t="s">
        <v>71</v>
      </c>
      <c r="W4104" t="str">
        <f>"                2019"</f>
        <v xml:space="preserve">                2019</v>
      </c>
      <c r="X4104">
        <v>305</v>
      </c>
      <c r="Y4104">
        <v>0</v>
      </c>
      <c r="Z4104"/>
      <c r="AB4104"/>
      <c r="AC4104">
        <v>250</v>
      </c>
      <c r="AD4104">
        <v>269</v>
      </c>
      <c r="AE4104" s="1">
        <v>67250</v>
      </c>
      <c r="AF4104">
        <v>0</v>
      </c>
      <c r="AJ4104">
        <v>0</v>
      </c>
      <c r="AK4104">
        <v>0</v>
      </c>
      <c r="AL4104">
        <v>0</v>
      </c>
      <c r="AM4104">
        <v>0</v>
      </c>
      <c r="AN4104">
        <v>0</v>
      </c>
      <c r="AO4104">
        <v>0</v>
      </c>
      <c r="AP4104" s="2">
        <v>42746</v>
      </c>
      <c r="AQ4104" t="s">
        <v>72</v>
      </c>
      <c r="AR4104" t="s">
        <v>72</v>
      </c>
      <c r="AS4104">
        <v>180</v>
      </c>
      <c r="AT4104" s="4">
        <v>42401</v>
      </c>
      <c r="AU4104" t="s">
        <v>73</v>
      </c>
      <c r="AV4104">
        <v>180</v>
      </c>
      <c r="AW4104" s="4">
        <v>42401</v>
      </c>
      <c r="BD4104">
        <v>0</v>
      </c>
      <c r="BN4104" t="s">
        <v>74</v>
      </c>
    </row>
    <row r="4105" spans="1:66" hidden="1">
      <c r="A4105">
        <v>101541</v>
      </c>
      <c r="B4105" s="3" t="s">
        <v>467</v>
      </c>
      <c r="C4105" s="1">
        <v>43300101</v>
      </c>
      <c r="D4105" t="s">
        <v>67</v>
      </c>
      <c r="H4105" t="str">
        <f t="shared" si="447"/>
        <v>08230471008</v>
      </c>
      <c r="I4105" t="str">
        <f t="shared" si="447"/>
        <v>08230471008</v>
      </c>
      <c r="K4105" t="str">
        <f>""</f>
        <v/>
      </c>
      <c r="M4105" t="s">
        <v>68</v>
      </c>
      <c r="N4105" t="str">
        <f t="shared" si="444"/>
        <v>FOR</v>
      </c>
      <c r="O4105" t="s">
        <v>69</v>
      </c>
      <c r="P4105" s="3" t="s">
        <v>70</v>
      </c>
      <c r="Q4105">
        <v>2015</v>
      </c>
      <c r="R4105" s="2">
        <v>42055</v>
      </c>
      <c r="S4105" s="2">
        <v>42072</v>
      </c>
      <c r="T4105" s="2">
        <v>42072</v>
      </c>
      <c r="U4105" s="2">
        <v>42132</v>
      </c>
      <c r="V4105" t="s">
        <v>71</v>
      </c>
      <c r="W4105" t="str">
        <f>"                2020"</f>
        <v xml:space="preserve">                2020</v>
      </c>
      <c r="X4105">
        <v>305</v>
      </c>
      <c r="Y4105">
        <v>0</v>
      </c>
      <c r="Z4105"/>
      <c r="AB4105"/>
      <c r="AC4105">
        <v>250</v>
      </c>
      <c r="AD4105">
        <v>269</v>
      </c>
      <c r="AE4105" s="1">
        <v>67250</v>
      </c>
      <c r="AF4105">
        <v>0</v>
      </c>
      <c r="AJ4105">
        <v>0</v>
      </c>
      <c r="AK4105">
        <v>0</v>
      </c>
      <c r="AL4105">
        <v>0</v>
      </c>
      <c r="AM4105">
        <v>0</v>
      </c>
      <c r="AN4105">
        <v>0</v>
      </c>
      <c r="AO4105">
        <v>0</v>
      </c>
      <c r="AP4105" s="2">
        <v>42746</v>
      </c>
      <c r="AQ4105" t="s">
        <v>72</v>
      </c>
      <c r="AR4105" t="s">
        <v>72</v>
      </c>
      <c r="AS4105">
        <v>180</v>
      </c>
      <c r="AT4105" s="4">
        <v>42401</v>
      </c>
      <c r="AU4105" t="s">
        <v>73</v>
      </c>
      <c r="AV4105">
        <v>180</v>
      </c>
      <c r="AW4105" s="4">
        <v>42401</v>
      </c>
      <c r="BD4105">
        <v>0</v>
      </c>
      <c r="BN4105" t="s">
        <v>74</v>
      </c>
    </row>
    <row r="4106" spans="1:66" hidden="1">
      <c r="A4106">
        <v>101541</v>
      </c>
      <c r="B4106" s="3" t="s">
        <v>467</v>
      </c>
      <c r="C4106" s="1">
        <v>43300101</v>
      </c>
      <c r="D4106" t="s">
        <v>67</v>
      </c>
      <c r="H4106" t="str">
        <f t="shared" si="447"/>
        <v>08230471008</v>
      </c>
      <c r="I4106" t="str">
        <f t="shared" si="447"/>
        <v>08230471008</v>
      </c>
      <c r="K4106" t="str">
        <f>""</f>
        <v/>
      </c>
      <c r="M4106" t="s">
        <v>68</v>
      </c>
      <c r="N4106" t="str">
        <f t="shared" si="444"/>
        <v>FOR</v>
      </c>
      <c r="O4106" t="s">
        <v>69</v>
      </c>
      <c r="P4106" s="3" t="s">
        <v>70</v>
      </c>
      <c r="Q4106">
        <v>2015</v>
      </c>
      <c r="R4106" s="2">
        <v>42055</v>
      </c>
      <c r="S4106" s="2">
        <v>42072</v>
      </c>
      <c r="T4106" s="2">
        <v>42072</v>
      </c>
      <c r="U4106" s="2">
        <v>42132</v>
      </c>
      <c r="V4106" t="s">
        <v>71</v>
      </c>
      <c r="W4106" t="str">
        <f>"                2021"</f>
        <v xml:space="preserve">                2021</v>
      </c>
      <c r="X4106">
        <v>305</v>
      </c>
      <c r="Y4106">
        <v>0</v>
      </c>
      <c r="Z4106"/>
      <c r="AB4106"/>
      <c r="AC4106">
        <v>250</v>
      </c>
      <c r="AD4106">
        <v>269</v>
      </c>
      <c r="AE4106" s="1">
        <v>67250</v>
      </c>
      <c r="AF4106">
        <v>0</v>
      </c>
      <c r="AJ4106">
        <v>0</v>
      </c>
      <c r="AK4106">
        <v>0</v>
      </c>
      <c r="AL4106">
        <v>0</v>
      </c>
      <c r="AM4106">
        <v>0</v>
      </c>
      <c r="AN4106">
        <v>0</v>
      </c>
      <c r="AO4106">
        <v>0</v>
      </c>
      <c r="AP4106" s="2">
        <v>42746</v>
      </c>
      <c r="AQ4106" t="s">
        <v>72</v>
      </c>
      <c r="AR4106" t="s">
        <v>72</v>
      </c>
      <c r="AS4106">
        <v>180</v>
      </c>
      <c r="AT4106" s="4">
        <v>42401</v>
      </c>
      <c r="AU4106" t="s">
        <v>73</v>
      </c>
      <c r="AV4106">
        <v>180</v>
      </c>
      <c r="AW4106" s="4">
        <v>42401</v>
      </c>
      <c r="BD4106">
        <v>0</v>
      </c>
      <c r="BN4106" t="s">
        <v>74</v>
      </c>
    </row>
    <row r="4107" spans="1:66" hidden="1">
      <c r="A4107">
        <v>101541</v>
      </c>
      <c r="B4107" s="3" t="s">
        <v>467</v>
      </c>
      <c r="C4107" s="1">
        <v>43300101</v>
      </c>
      <c r="D4107" t="s">
        <v>67</v>
      </c>
      <c r="H4107" t="str">
        <f t="shared" si="447"/>
        <v>08230471008</v>
      </c>
      <c r="I4107" t="str">
        <f t="shared" si="447"/>
        <v>08230471008</v>
      </c>
      <c r="K4107" t="str">
        <f>""</f>
        <v/>
      </c>
      <c r="M4107" t="s">
        <v>68</v>
      </c>
      <c r="N4107" t="str">
        <f t="shared" si="444"/>
        <v>FOR</v>
      </c>
      <c r="O4107" t="s">
        <v>69</v>
      </c>
      <c r="P4107" s="3" t="s">
        <v>70</v>
      </c>
      <c r="Q4107">
        <v>2015</v>
      </c>
      <c r="R4107" s="2">
        <v>42055</v>
      </c>
      <c r="S4107" s="2">
        <v>42072</v>
      </c>
      <c r="T4107" s="2">
        <v>42072</v>
      </c>
      <c r="U4107" s="2">
        <v>42132</v>
      </c>
      <c r="V4107" t="s">
        <v>71</v>
      </c>
      <c r="W4107" t="str">
        <f>"                2022"</f>
        <v xml:space="preserve">                2022</v>
      </c>
      <c r="X4107">
        <v>305</v>
      </c>
      <c r="Y4107">
        <v>0</v>
      </c>
      <c r="Z4107"/>
      <c r="AB4107"/>
      <c r="AC4107">
        <v>250</v>
      </c>
      <c r="AD4107">
        <v>269</v>
      </c>
      <c r="AE4107" s="1">
        <v>67250</v>
      </c>
      <c r="AF4107">
        <v>0</v>
      </c>
      <c r="AJ4107">
        <v>0</v>
      </c>
      <c r="AK4107">
        <v>0</v>
      </c>
      <c r="AL4107">
        <v>0</v>
      </c>
      <c r="AM4107">
        <v>0</v>
      </c>
      <c r="AN4107">
        <v>0</v>
      </c>
      <c r="AO4107">
        <v>0</v>
      </c>
      <c r="AP4107" s="2">
        <v>42746</v>
      </c>
      <c r="AQ4107" t="s">
        <v>72</v>
      </c>
      <c r="AR4107" t="s">
        <v>72</v>
      </c>
      <c r="AS4107">
        <v>180</v>
      </c>
      <c r="AT4107" s="4">
        <v>42401</v>
      </c>
      <c r="AU4107" t="s">
        <v>73</v>
      </c>
      <c r="AV4107">
        <v>180</v>
      </c>
      <c r="AW4107" s="4">
        <v>42401</v>
      </c>
      <c r="BD4107">
        <v>0</v>
      </c>
      <c r="BN4107" t="s">
        <v>74</v>
      </c>
    </row>
    <row r="4108" spans="1:66" hidden="1">
      <c r="A4108">
        <v>101541</v>
      </c>
      <c r="B4108" s="3" t="s">
        <v>467</v>
      </c>
      <c r="C4108" s="1">
        <v>43300101</v>
      </c>
      <c r="D4108" t="s">
        <v>67</v>
      </c>
      <c r="H4108" t="str">
        <f t="shared" si="447"/>
        <v>08230471008</v>
      </c>
      <c r="I4108" t="str">
        <f t="shared" si="447"/>
        <v>08230471008</v>
      </c>
      <c r="K4108" t="str">
        <f>""</f>
        <v/>
      </c>
      <c r="M4108" t="s">
        <v>68</v>
      </c>
      <c r="N4108" t="str">
        <f t="shared" si="444"/>
        <v>FOR</v>
      </c>
      <c r="O4108" t="s">
        <v>69</v>
      </c>
      <c r="P4108" s="3" t="s">
        <v>70</v>
      </c>
      <c r="Q4108">
        <v>2015</v>
      </c>
      <c r="R4108" s="2">
        <v>42055</v>
      </c>
      <c r="S4108" s="2">
        <v>42072</v>
      </c>
      <c r="T4108" s="2">
        <v>42072</v>
      </c>
      <c r="U4108" s="2">
        <v>42132</v>
      </c>
      <c r="V4108" t="s">
        <v>71</v>
      </c>
      <c r="W4108" t="str">
        <f>"                2023"</f>
        <v xml:space="preserve">                2023</v>
      </c>
      <c r="X4108">
        <v>305</v>
      </c>
      <c r="Y4108">
        <v>0</v>
      </c>
      <c r="Z4108"/>
      <c r="AB4108"/>
      <c r="AC4108">
        <v>250</v>
      </c>
      <c r="AD4108">
        <v>269</v>
      </c>
      <c r="AE4108" s="1">
        <v>67250</v>
      </c>
      <c r="AF4108">
        <v>0</v>
      </c>
      <c r="AJ4108">
        <v>0</v>
      </c>
      <c r="AK4108">
        <v>0</v>
      </c>
      <c r="AL4108">
        <v>0</v>
      </c>
      <c r="AM4108">
        <v>0</v>
      </c>
      <c r="AN4108">
        <v>0</v>
      </c>
      <c r="AO4108">
        <v>0</v>
      </c>
      <c r="AP4108" s="2">
        <v>42746</v>
      </c>
      <c r="AQ4108" t="s">
        <v>72</v>
      </c>
      <c r="AR4108" t="s">
        <v>72</v>
      </c>
      <c r="AS4108">
        <v>180</v>
      </c>
      <c r="AT4108" s="4">
        <v>42401</v>
      </c>
      <c r="AU4108" t="s">
        <v>73</v>
      </c>
      <c r="AV4108">
        <v>180</v>
      </c>
      <c r="AW4108" s="4">
        <v>42401</v>
      </c>
      <c r="BD4108">
        <v>0</v>
      </c>
      <c r="BN4108" t="s">
        <v>74</v>
      </c>
    </row>
    <row r="4109" spans="1:66" hidden="1">
      <c r="A4109">
        <v>101541</v>
      </c>
      <c r="B4109" s="3" t="s">
        <v>467</v>
      </c>
      <c r="C4109" s="1">
        <v>43300101</v>
      </c>
      <c r="D4109" t="s">
        <v>67</v>
      </c>
      <c r="H4109" t="str">
        <f t="shared" si="447"/>
        <v>08230471008</v>
      </c>
      <c r="I4109" t="str">
        <f t="shared" si="447"/>
        <v>08230471008</v>
      </c>
      <c r="K4109" t="str">
        <f>""</f>
        <v/>
      </c>
      <c r="M4109" t="s">
        <v>68</v>
      </c>
      <c r="N4109" t="str">
        <f t="shared" si="444"/>
        <v>FOR</v>
      </c>
      <c r="O4109" t="s">
        <v>69</v>
      </c>
      <c r="P4109" s="3" t="s">
        <v>70</v>
      </c>
      <c r="Q4109">
        <v>2015</v>
      </c>
      <c r="R4109" s="2">
        <v>42055</v>
      </c>
      <c r="S4109" s="2">
        <v>42072</v>
      </c>
      <c r="T4109" s="2">
        <v>42072</v>
      </c>
      <c r="U4109" s="2">
        <v>42132</v>
      </c>
      <c r="V4109" t="s">
        <v>71</v>
      </c>
      <c r="W4109" t="str">
        <f>"                2024"</f>
        <v xml:space="preserve">                2024</v>
      </c>
      <c r="X4109">
        <v>305</v>
      </c>
      <c r="Y4109">
        <v>0</v>
      </c>
      <c r="Z4109"/>
      <c r="AB4109"/>
      <c r="AC4109">
        <v>250</v>
      </c>
      <c r="AD4109">
        <v>269</v>
      </c>
      <c r="AE4109" s="1">
        <v>67250</v>
      </c>
      <c r="AF4109">
        <v>0</v>
      </c>
      <c r="AJ4109">
        <v>0</v>
      </c>
      <c r="AK4109">
        <v>0</v>
      </c>
      <c r="AL4109">
        <v>0</v>
      </c>
      <c r="AM4109">
        <v>0</v>
      </c>
      <c r="AN4109">
        <v>0</v>
      </c>
      <c r="AO4109">
        <v>0</v>
      </c>
      <c r="AP4109" s="2">
        <v>42746</v>
      </c>
      <c r="AQ4109" t="s">
        <v>72</v>
      </c>
      <c r="AR4109" t="s">
        <v>72</v>
      </c>
      <c r="AS4109">
        <v>180</v>
      </c>
      <c r="AT4109" s="4">
        <v>42401</v>
      </c>
      <c r="AU4109" t="s">
        <v>73</v>
      </c>
      <c r="AV4109">
        <v>180</v>
      </c>
      <c r="AW4109" s="4">
        <v>42401</v>
      </c>
      <c r="BD4109">
        <v>0</v>
      </c>
      <c r="BN4109" t="s">
        <v>74</v>
      </c>
    </row>
    <row r="4110" spans="1:66" hidden="1">
      <c r="A4110">
        <v>101541</v>
      </c>
      <c r="B4110" s="3" t="s">
        <v>467</v>
      </c>
      <c r="C4110" s="1">
        <v>43300101</v>
      </c>
      <c r="D4110" t="s">
        <v>67</v>
      </c>
      <c r="H4110" t="str">
        <f t="shared" si="447"/>
        <v>08230471008</v>
      </c>
      <c r="I4110" t="str">
        <f t="shared" si="447"/>
        <v>08230471008</v>
      </c>
      <c r="K4110" t="str">
        <f>""</f>
        <v/>
      </c>
      <c r="M4110" t="s">
        <v>68</v>
      </c>
      <c r="N4110" t="str">
        <f t="shared" si="444"/>
        <v>FOR</v>
      </c>
      <c r="O4110" t="s">
        <v>69</v>
      </c>
      <c r="P4110" s="3" t="s">
        <v>70</v>
      </c>
      <c r="Q4110">
        <v>2015</v>
      </c>
      <c r="R4110" s="2">
        <v>42055</v>
      </c>
      <c r="S4110" s="2">
        <v>42072</v>
      </c>
      <c r="T4110" s="2">
        <v>42072</v>
      </c>
      <c r="U4110" s="2">
        <v>42132</v>
      </c>
      <c r="V4110" t="s">
        <v>71</v>
      </c>
      <c r="W4110" t="str">
        <f>"                2025"</f>
        <v xml:space="preserve">                2025</v>
      </c>
      <c r="X4110" s="1">
        <v>1586</v>
      </c>
      <c r="Y4110">
        <v>0</v>
      </c>
      <c r="Z4110"/>
      <c r="AB4110"/>
      <c r="AC4110" s="1">
        <v>1300</v>
      </c>
      <c r="AD4110">
        <v>269</v>
      </c>
      <c r="AE4110" s="1">
        <v>349700</v>
      </c>
      <c r="AF4110">
        <v>0</v>
      </c>
      <c r="AJ4110">
        <v>0</v>
      </c>
      <c r="AK4110">
        <v>0</v>
      </c>
      <c r="AL4110">
        <v>0</v>
      </c>
      <c r="AM4110">
        <v>0</v>
      </c>
      <c r="AN4110">
        <v>0</v>
      </c>
      <c r="AO4110">
        <v>0</v>
      </c>
      <c r="AP4110" s="2">
        <v>42746</v>
      </c>
      <c r="AQ4110" t="s">
        <v>72</v>
      </c>
      <c r="AR4110" t="s">
        <v>72</v>
      </c>
      <c r="AS4110">
        <v>180</v>
      </c>
      <c r="AT4110" s="4">
        <v>42401</v>
      </c>
      <c r="AU4110" t="s">
        <v>73</v>
      </c>
      <c r="AV4110">
        <v>180</v>
      </c>
      <c r="AW4110" s="4">
        <v>42401</v>
      </c>
      <c r="BD4110">
        <v>0</v>
      </c>
      <c r="BN4110" t="s">
        <v>74</v>
      </c>
    </row>
    <row r="4111" spans="1:66" hidden="1">
      <c r="A4111">
        <v>101541</v>
      </c>
      <c r="B4111" s="3" t="s">
        <v>467</v>
      </c>
      <c r="C4111" s="1">
        <v>43300101</v>
      </c>
      <c r="D4111" t="s">
        <v>67</v>
      </c>
      <c r="H4111" t="str">
        <f t="shared" si="447"/>
        <v>08230471008</v>
      </c>
      <c r="I4111" t="str">
        <f t="shared" si="447"/>
        <v>08230471008</v>
      </c>
      <c r="K4111" t="str">
        <f>""</f>
        <v/>
      </c>
      <c r="M4111" t="s">
        <v>68</v>
      </c>
      <c r="N4111" t="str">
        <f t="shared" si="444"/>
        <v>FOR</v>
      </c>
      <c r="O4111" t="s">
        <v>69</v>
      </c>
      <c r="P4111" s="3" t="s">
        <v>70</v>
      </c>
      <c r="Q4111">
        <v>2015</v>
      </c>
      <c r="R4111" s="2">
        <v>42062</v>
      </c>
      <c r="S4111" s="2">
        <v>42074</v>
      </c>
      <c r="T4111" s="2">
        <v>42074</v>
      </c>
      <c r="U4111" s="2">
        <v>42134</v>
      </c>
      <c r="V4111" t="s">
        <v>71</v>
      </c>
      <c r="W4111" t="str">
        <f>"                2554"</f>
        <v xml:space="preserve">                2554</v>
      </c>
      <c r="X4111">
        <v>305</v>
      </c>
      <c r="Y4111">
        <v>0</v>
      </c>
      <c r="Z4111"/>
      <c r="AB4111"/>
      <c r="AC4111">
        <v>250</v>
      </c>
      <c r="AD4111">
        <v>267</v>
      </c>
      <c r="AE4111" s="1">
        <v>66750</v>
      </c>
      <c r="AF4111">
        <v>0</v>
      </c>
      <c r="AJ4111">
        <v>0</v>
      </c>
      <c r="AK4111">
        <v>0</v>
      </c>
      <c r="AL4111">
        <v>0</v>
      </c>
      <c r="AM4111">
        <v>0</v>
      </c>
      <c r="AN4111">
        <v>0</v>
      </c>
      <c r="AO4111">
        <v>0</v>
      </c>
      <c r="AP4111" s="2">
        <v>42746</v>
      </c>
      <c r="AQ4111" t="s">
        <v>72</v>
      </c>
      <c r="AR4111" t="s">
        <v>72</v>
      </c>
      <c r="AS4111">
        <v>180</v>
      </c>
      <c r="AT4111" s="4">
        <v>42401</v>
      </c>
      <c r="AU4111" t="s">
        <v>73</v>
      </c>
      <c r="AV4111">
        <v>180</v>
      </c>
      <c r="AW4111" s="4">
        <v>42401</v>
      </c>
      <c r="BD4111">
        <v>0</v>
      </c>
      <c r="BN4111" t="s">
        <v>74</v>
      </c>
    </row>
    <row r="4112" spans="1:66" hidden="1">
      <c r="A4112">
        <v>101541</v>
      </c>
      <c r="B4112" s="3" t="s">
        <v>467</v>
      </c>
      <c r="C4112" s="1">
        <v>43300101</v>
      </c>
      <c r="D4112" t="s">
        <v>67</v>
      </c>
      <c r="H4112" t="str">
        <f t="shared" si="447"/>
        <v>08230471008</v>
      </c>
      <c r="I4112" t="str">
        <f t="shared" si="447"/>
        <v>08230471008</v>
      </c>
      <c r="K4112" t="str">
        <f>""</f>
        <v/>
      </c>
      <c r="M4112" t="s">
        <v>68</v>
      </c>
      <c r="N4112" t="str">
        <f t="shared" ref="N4112:N4175" si="448">"FOR"</f>
        <v>FOR</v>
      </c>
      <c r="O4112" t="s">
        <v>69</v>
      </c>
      <c r="P4112" s="3" t="s">
        <v>70</v>
      </c>
      <c r="Q4112">
        <v>2015</v>
      </c>
      <c r="R4112" s="2">
        <v>42062</v>
      </c>
      <c r="S4112" s="2">
        <v>42074</v>
      </c>
      <c r="T4112" s="2">
        <v>42074</v>
      </c>
      <c r="U4112" s="2">
        <v>42134</v>
      </c>
      <c r="V4112" t="s">
        <v>71</v>
      </c>
      <c r="W4112" t="str">
        <f>"                2555"</f>
        <v xml:space="preserve">                2555</v>
      </c>
      <c r="X4112">
        <v>305</v>
      </c>
      <c r="Y4112">
        <v>0</v>
      </c>
      <c r="Z4112"/>
      <c r="AB4112"/>
      <c r="AC4112">
        <v>250</v>
      </c>
      <c r="AD4112">
        <v>267</v>
      </c>
      <c r="AE4112" s="1">
        <v>66750</v>
      </c>
      <c r="AF4112">
        <v>0</v>
      </c>
      <c r="AJ4112">
        <v>0</v>
      </c>
      <c r="AK4112">
        <v>0</v>
      </c>
      <c r="AL4112">
        <v>0</v>
      </c>
      <c r="AM4112">
        <v>0</v>
      </c>
      <c r="AN4112">
        <v>0</v>
      </c>
      <c r="AO4112">
        <v>0</v>
      </c>
      <c r="AP4112" s="2">
        <v>42746</v>
      </c>
      <c r="AQ4112" t="s">
        <v>72</v>
      </c>
      <c r="AR4112" t="s">
        <v>72</v>
      </c>
      <c r="AS4112">
        <v>180</v>
      </c>
      <c r="AT4112" s="4">
        <v>42401</v>
      </c>
      <c r="AU4112" t="s">
        <v>73</v>
      </c>
      <c r="AV4112">
        <v>180</v>
      </c>
      <c r="AW4112" s="4">
        <v>42401</v>
      </c>
      <c r="BD4112">
        <v>0</v>
      </c>
      <c r="BN4112" t="s">
        <v>74</v>
      </c>
    </row>
    <row r="4113" spans="1:66" hidden="1">
      <c r="A4113">
        <v>101541</v>
      </c>
      <c r="B4113" s="3" t="s">
        <v>467</v>
      </c>
      <c r="C4113" s="1">
        <v>43300101</v>
      </c>
      <c r="D4113" t="s">
        <v>67</v>
      </c>
      <c r="H4113" t="str">
        <f t="shared" si="447"/>
        <v>08230471008</v>
      </c>
      <c r="I4113" t="str">
        <f t="shared" si="447"/>
        <v>08230471008</v>
      </c>
      <c r="K4113" t="str">
        <f>""</f>
        <v/>
      </c>
      <c r="M4113" t="s">
        <v>68</v>
      </c>
      <c r="N4113" t="str">
        <f t="shared" si="448"/>
        <v>FOR</v>
      </c>
      <c r="O4113" t="s">
        <v>69</v>
      </c>
      <c r="P4113" s="3" t="s">
        <v>70</v>
      </c>
      <c r="Q4113">
        <v>2015</v>
      </c>
      <c r="R4113" s="2">
        <v>42062</v>
      </c>
      <c r="S4113" s="2">
        <v>42080</v>
      </c>
      <c r="T4113" s="2">
        <v>42080</v>
      </c>
      <c r="U4113" s="2">
        <v>42140</v>
      </c>
      <c r="V4113" t="s">
        <v>71</v>
      </c>
      <c r="W4113" t="str">
        <f>"                2556"</f>
        <v xml:space="preserve">                2556</v>
      </c>
      <c r="X4113">
        <v>305</v>
      </c>
      <c r="Y4113">
        <v>0</v>
      </c>
      <c r="Z4113"/>
      <c r="AB4113"/>
      <c r="AC4113">
        <v>250</v>
      </c>
      <c r="AD4113">
        <v>261</v>
      </c>
      <c r="AE4113" s="1">
        <v>65250</v>
      </c>
      <c r="AF4113">
        <v>0</v>
      </c>
      <c r="AJ4113">
        <v>0</v>
      </c>
      <c r="AK4113">
        <v>0</v>
      </c>
      <c r="AL4113">
        <v>0</v>
      </c>
      <c r="AM4113">
        <v>0</v>
      </c>
      <c r="AN4113">
        <v>0</v>
      </c>
      <c r="AO4113">
        <v>0</v>
      </c>
      <c r="AP4113" s="2">
        <v>42746</v>
      </c>
      <c r="AQ4113" t="s">
        <v>72</v>
      </c>
      <c r="AR4113" t="s">
        <v>72</v>
      </c>
      <c r="AS4113">
        <v>180</v>
      </c>
      <c r="AT4113" s="4">
        <v>42401</v>
      </c>
      <c r="AU4113" t="s">
        <v>73</v>
      </c>
      <c r="AV4113">
        <v>180</v>
      </c>
      <c r="AW4113" s="4">
        <v>42401</v>
      </c>
      <c r="BD4113">
        <v>0</v>
      </c>
      <c r="BN4113" t="s">
        <v>74</v>
      </c>
    </row>
    <row r="4114" spans="1:66" hidden="1">
      <c r="A4114">
        <v>101541</v>
      </c>
      <c r="B4114" s="3" t="s">
        <v>467</v>
      </c>
      <c r="C4114" s="1">
        <v>43300101</v>
      </c>
      <c r="D4114" t="s">
        <v>67</v>
      </c>
      <c r="H4114" t="str">
        <f t="shared" si="447"/>
        <v>08230471008</v>
      </c>
      <c r="I4114" t="str">
        <f t="shared" si="447"/>
        <v>08230471008</v>
      </c>
      <c r="K4114" t="str">
        <f>""</f>
        <v/>
      </c>
      <c r="M4114" t="s">
        <v>68</v>
      </c>
      <c r="N4114" t="str">
        <f t="shared" si="448"/>
        <v>FOR</v>
      </c>
      <c r="O4114" t="s">
        <v>69</v>
      </c>
      <c r="P4114" s="3" t="s">
        <v>70</v>
      </c>
      <c r="Q4114">
        <v>2015</v>
      </c>
      <c r="R4114" s="2">
        <v>42069</v>
      </c>
      <c r="S4114" s="2">
        <v>42080</v>
      </c>
      <c r="T4114" s="2">
        <v>42080</v>
      </c>
      <c r="U4114" s="2">
        <v>42140</v>
      </c>
      <c r="V4114" t="s">
        <v>71</v>
      </c>
      <c r="W4114" t="str">
        <f>"                3115"</f>
        <v xml:space="preserve">                3115</v>
      </c>
      <c r="X4114">
        <v>305</v>
      </c>
      <c r="Y4114">
        <v>0</v>
      </c>
      <c r="Z4114"/>
      <c r="AB4114"/>
      <c r="AC4114">
        <v>250</v>
      </c>
      <c r="AD4114">
        <v>276</v>
      </c>
      <c r="AE4114" s="1">
        <v>69000</v>
      </c>
      <c r="AF4114">
        <v>0</v>
      </c>
      <c r="AJ4114">
        <v>0</v>
      </c>
      <c r="AK4114">
        <v>0</v>
      </c>
      <c r="AL4114">
        <v>0</v>
      </c>
      <c r="AM4114">
        <v>0</v>
      </c>
      <c r="AN4114">
        <v>0</v>
      </c>
      <c r="AO4114">
        <v>0</v>
      </c>
      <c r="AP4114" s="2">
        <v>42746</v>
      </c>
      <c r="AQ4114" t="s">
        <v>72</v>
      </c>
      <c r="AR4114" t="s">
        <v>72</v>
      </c>
      <c r="AS4114">
        <v>413</v>
      </c>
      <c r="AT4114" s="4">
        <v>42416</v>
      </c>
      <c r="AU4114" t="s">
        <v>73</v>
      </c>
      <c r="AV4114">
        <v>413</v>
      </c>
      <c r="AW4114" s="4">
        <v>42416</v>
      </c>
      <c r="BD4114">
        <v>0</v>
      </c>
      <c r="BN4114" t="s">
        <v>74</v>
      </c>
    </row>
    <row r="4115" spans="1:66" hidden="1">
      <c r="A4115">
        <v>101541</v>
      </c>
      <c r="B4115" s="3" t="s">
        <v>467</v>
      </c>
      <c r="C4115" s="1">
        <v>43300101</v>
      </c>
      <c r="D4115" t="s">
        <v>67</v>
      </c>
      <c r="H4115" t="str">
        <f t="shared" si="447"/>
        <v>08230471008</v>
      </c>
      <c r="I4115" t="str">
        <f t="shared" si="447"/>
        <v>08230471008</v>
      </c>
      <c r="K4115" t="str">
        <f>""</f>
        <v/>
      </c>
      <c r="M4115" t="s">
        <v>68</v>
      </c>
      <c r="N4115" t="str">
        <f t="shared" si="448"/>
        <v>FOR</v>
      </c>
      <c r="O4115" t="s">
        <v>69</v>
      </c>
      <c r="P4115" s="3" t="s">
        <v>70</v>
      </c>
      <c r="Q4115">
        <v>2015</v>
      </c>
      <c r="R4115" s="2">
        <v>42069</v>
      </c>
      <c r="S4115" s="2">
        <v>42080</v>
      </c>
      <c r="T4115" s="2">
        <v>42080</v>
      </c>
      <c r="U4115" s="2">
        <v>42140</v>
      </c>
      <c r="V4115" t="s">
        <v>71</v>
      </c>
      <c r="W4115" t="str">
        <f>"                3116"</f>
        <v xml:space="preserve">                3116</v>
      </c>
      <c r="X4115">
        <v>305</v>
      </c>
      <c r="Y4115">
        <v>0</v>
      </c>
      <c r="Z4115"/>
      <c r="AB4115"/>
      <c r="AC4115">
        <v>250</v>
      </c>
      <c r="AD4115">
        <v>276</v>
      </c>
      <c r="AE4115" s="1">
        <v>69000</v>
      </c>
      <c r="AF4115">
        <v>0</v>
      </c>
      <c r="AJ4115">
        <v>0</v>
      </c>
      <c r="AK4115">
        <v>0</v>
      </c>
      <c r="AL4115">
        <v>0</v>
      </c>
      <c r="AM4115">
        <v>0</v>
      </c>
      <c r="AN4115">
        <v>0</v>
      </c>
      <c r="AO4115">
        <v>0</v>
      </c>
      <c r="AP4115" s="2">
        <v>42746</v>
      </c>
      <c r="AQ4115" t="s">
        <v>72</v>
      </c>
      <c r="AR4115" t="s">
        <v>72</v>
      </c>
      <c r="AS4115">
        <v>413</v>
      </c>
      <c r="AT4115" s="4">
        <v>42416</v>
      </c>
      <c r="AU4115" t="s">
        <v>73</v>
      </c>
      <c r="AV4115">
        <v>413</v>
      </c>
      <c r="AW4115" s="4">
        <v>42416</v>
      </c>
      <c r="BD4115">
        <v>0</v>
      </c>
      <c r="BN4115" t="s">
        <v>74</v>
      </c>
    </row>
    <row r="4116" spans="1:66" hidden="1">
      <c r="A4116">
        <v>101541</v>
      </c>
      <c r="B4116" s="3" t="s">
        <v>467</v>
      </c>
      <c r="C4116" s="1">
        <v>43300101</v>
      </c>
      <c r="D4116" t="s">
        <v>67</v>
      </c>
      <c r="H4116" t="str">
        <f t="shared" si="447"/>
        <v>08230471008</v>
      </c>
      <c r="I4116" t="str">
        <f t="shared" si="447"/>
        <v>08230471008</v>
      </c>
      <c r="K4116" t="str">
        <f>""</f>
        <v/>
      </c>
      <c r="M4116" t="s">
        <v>68</v>
      </c>
      <c r="N4116" t="str">
        <f t="shared" si="448"/>
        <v>FOR</v>
      </c>
      <c r="O4116" t="s">
        <v>69</v>
      </c>
      <c r="P4116" s="3" t="s">
        <v>70</v>
      </c>
      <c r="Q4116">
        <v>2015</v>
      </c>
      <c r="R4116" s="2">
        <v>42069</v>
      </c>
      <c r="S4116" s="2">
        <v>42080</v>
      </c>
      <c r="T4116" s="2">
        <v>42080</v>
      </c>
      <c r="U4116" s="2">
        <v>42140</v>
      </c>
      <c r="V4116" t="s">
        <v>71</v>
      </c>
      <c r="W4116" t="str">
        <f>"                3117"</f>
        <v xml:space="preserve">                3117</v>
      </c>
      <c r="X4116">
        <v>305</v>
      </c>
      <c r="Y4116">
        <v>0</v>
      </c>
      <c r="Z4116"/>
      <c r="AB4116"/>
      <c r="AC4116">
        <v>250</v>
      </c>
      <c r="AD4116">
        <v>276</v>
      </c>
      <c r="AE4116" s="1">
        <v>69000</v>
      </c>
      <c r="AF4116">
        <v>0</v>
      </c>
      <c r="AJ4116">
        <v>0</v>
      </c>
      <c r="AK4116">
        <v>0</v>
      </c>
      <c r="AL4116">
        <v>0</v>
      </c>
      <c r="AM4116">
        <v>0</v>
      </c>
      <c r="AN4116">
        <v>0</v>
      </c>
      <c r="AO4116">
        <v>0</v>
      </c>
      <c r="AP4116" s="2">
        <v>42746</v>
      </c>
      <c r="AQ4116" t="s">
        <v>72</v>
      </c>
      <c r="AR4116" t="s">
        <v>72</v>
      </c>
      <c r="AS4116">
        <v>413</v>
      </c>
      <c r="AT4116" s="4">
        <v>42416</v>
      </c>
      <c r="AU4116" t="s">
        <v>73</v>
      </c>
      <c r="AV4116">
        <v>413</v>
      </c>
      <c r="AW4116" s="4">
        <v>42416</v>
      </c>
      <c r="BD4116">
        <v>0</v>
      </c>
      <c r="BN4116" t="s">
        <v>74</v>
      </c>
    </row>
    <row r="4117" spans="1:66" hidden="1">
      <c r="A4117">
        <v>101541</v>
      </c>
      <c r="B4117" s="3" t="s">
        <v>467</v>
      </c>
      <c r="C4117" s="1">
        <v>43300101</v>
      </c>
      <c r="D4117" t="s">
        <v>67</v>
      </c>
      <c r="H4117" t="str">
        <f t="shared" si="447"/>
        <v>08230471008</v>
      </c>
      <c r="I4117" t="str">
        <f t="shared" si="447"/>
        <v>08230471008</v>
      </c>
      <c r="K4117" t="str">
        <f>""</f>
        <v/>
      </c>
      <c r="M4117" t="s">
        <v>68</v>
      </c>
      <c r="N4117" t="str">
        <f t="shared" si="448"/>
        <v>FOR</v>
      </c>
      <c r="O4117" t="s">
        <v>69</v>
      </c>
      <c r="P4117" s="3" t="s">
        <v>70</v>
      </c>
      <c r="Q4117">
        <v>2015</v>
      </c>
      <c r="R4117" s="2">
        <v>42076</v>
      </c>
      <c r="S4117" s="2">
        <v>42086</v>
      </c>
      <c r="T4117" s="2">
        <v>42086</v>
      </c>
      <c r="U4117" s="2">
        <v>42146</v>
      </c>
      <c r="V4117" t="s">
        <v>71</v>
      </c>
      <c r="W4117" t="str">
        <f>"                3296"</f>
        <v xml:space="preserve">                3296</v>
      </c>
      <c r="X4117">
        <v>305</v>
      </c>
      <c r="Y4117">
        <v>0</v>
      </c>
      <c r="Z4117"/>
      <c r="AB4117"/>
      <c r="AC4117">
        <v>250</v>
      </c>
      <c r="AD4117">
        <v>270</v>
      </c>
      <c r="AE4117" s="1">
        <v>67500</v>
      </c>
      <c r="AF4117">
        <v>0</v>
      </c>
      <c r="AJ4117">
        <v>0</v>
      </c>
      <c r="AK4117">
        <v>0</v>
      </c>
      <c r="AL4117">
        <v>0</v>
      </c>
      <c r="AM4117">
        <v>0</v>
      </c>
      <c r="AN4117">
        <v>0</v>
      </c>
      <c r="AO4117">
        <v>0</v>
      </c>
      <c r="AP4117" s="2">
        <v>42746</v>
      </c>
      <c r="AQ4117" t="s">
        <v>72</v>
      </c>
      <c r="AR4117" t="s">
        <v>72</v>
      </c>
      <c r="AS4117">
        <v>413</v>
      </c>
      <c r="AT4117" s="4">
        <v>42416</v>
      </c>
      <c r="AU4117" t="s">
        <v>73</v>
      </c>
      <c r="AV4117">
        <v>413</v>
      </c>
      <c r="AW4117" s="4">
        <v>42416</v>
      </c>
      <c r="BD4117">
        <v>0</v>
      </c>
      <c r="BN4117" t="s">
        <v>74</v>
      </c>
    </row>
    <row r="4118" spans="1:66" hidden="1">
      <c r="A4118">
        <v>101541</v>
      </c>
      <c r="B4118" s="3" t="s">
        <v>467</v>
      </c>
      <c r="C4118" s="1">
        <v>43300101</v>
      </c>
      <c r="D4118" t="s">
        <v>67</v>
      </c>
      <c r="H4118" t="str">
        <f t="shared" ref="H4118:I4137" si="449">"08230471008"</f>
        <v>08230471008</v>
      </c>
      <c r="I4118" t="str">
        <f t="shared" si="449"/>
        <v>08230471008</v>
      </c>
      <c r="K4118" t="str">
        <f>""</f>
        <v/>
      </c>
      <c r="M4118" t="s">
        <v>68</v>
      </c>
      <c r="N4118" t="str">
        <f t="shared" si="448"/>
        <v>FOR</v>
      </c>
      <c r="O4118" t="s">
        <v>69</v>
      </c>
      <c r="P4118" s="3" t="s">
        <v>70</v>
      </c>
      <c r="Q4118">
        <v>2015</v>
      </c>
      <c r="R4118" s="2">
        <v>42076</v>
      </c>
      <c r="S4118" s="2">
        <v>42086</v>
      </c>
      <c r="T4118" s="2">
        <v>42086</v>
      </c>
      <c r="U4118" s="2">
        <v>42146</v>
      </c>
      <c r="V4118" t="s">
        <v>71</v>
      </c>
      <c r="W4118" t="str">
        <f>"                3297"</f>
        <v xml:space="preserve">                3297</v>
      </c>
      <c r="X4118">
        <v>305</v>
      </c>
      <c r="Y4118">
        <v>0</v>
      </c>
      <c r="Z4118"/>
      <c r="AB4118"/>
      <c r="AC4118">
        <v>250</v>
      </c>
      <c r="AD4118">
        <v>270</v>
      </c>
      <c r="AE4118" s="1">
        <v>67500</v>
      </c>
      <c r="AF4118">
        <v>0</v>
      </c>
      <c r="AJ4118">
        <v>0</v>
      </c>
      <c r="AK4118">
        <v>0</v>
      </c>
      <c r="AL4118">
        <v>0</v>
      </c>
      <c r="AM4118">
        <v>0</v>
      </c>
      <c r="AN4118">
        <v>0</v>
      </c>
      <c r="AO4118">
        <v>0</v>
      </c>
      <c r="AP4118" s="2">
        <v>42746</v>
      </c>
      <c r="AQ4118" t="s">
        <v>72</v>
      </c>
      <c r="AR4118" t="s">
        <v>72</v>
      </c>
      <c r="AS4118">
        <v>413</v>
      </c>
      <c r="AT4118" s="4">
        <v>42416</v>
      </c>
      <c r="AU4118" t="s">
        <v>73</v>
      </c>
      <c r="AV4118">
        <v>413</v>
      </c>
      <c r="AW4118" s="4">
        <v>42416</v>
      </c>
      <c r="BD4118">
        <v>0</v>
      </c>
      <c r="BN4118" t="s">
        <v>74</v>
      </c>
    </row>
    <row r="4119" spans="1:66" hidden="1">
      <c r="A4119">
        <v>101541</v>
      </c>
      <c r="B4119" s="3" t="s">
        <v>467</v>
      </c>
      <c r="C4119" s="1">
        <v>43300101</v>
      </c>
      <c r="D4119" t="s">
        <v>67</v>
      </c>
      <c r="H4119" t="str">
        <f t="shared" si="449"/>
        <v>08230471008</v>
      </c>
      <c r="I4119" t="str">
        <f t="shared" si="449"/>
        <v>08230471008</v>
      </c>
      <c r="K4119" t="str">
        <f>""</f>
        <v/>
      </c>
      <c r="M4119" t="s">
        <v>68</v>
      </c>
      <c r="N4119" t="str">
        <f t="shared" si="448"/>
        <v>FOR</v>
      </c>
      <c r="O4119" t="s">
        <v>69</v>
      </c>
      <c r="P4119" s="3" t="s">
        <v>70</v>
      </c>
      <c r="Q4119">
        <v>2015</v>
      </c>
      <c r="R4119" s="2">
        <v>42076</v>
      </c>
      <c r="S4119" s="2">
        <v>42086</v>
      </c>
      <c r="T4119" s="2">
        <v>42086</v>
      </c>
      <c r="U4119" s="2">
        <v>42146</v>
      </c>
      <c r="V4119" t="s">
        <v>71</v>
      </c>
      <c r="W4119" t="str">
        <f>"                3298"</f>
        <v xml:space="preserve">                3298</v>
      </c>
      <c r="X4119">
        <v>728</v>
      </c>
      <c r="Y4119">
        <v>0</v>
      </c>
      <c r="Z4119"/>
      <c r="AB4119"/>
      <c r="AC4119">
        <v>700</v>
      </c>
      <c r="AD4119">
        <v>270</v>
      </c>
      <c r="AE4119" s="1">
        <v>189000</v>
      </c>
      <c r="AF4119">
        <v>0</v>
      </c>
      <c r="AJ4119">
        <v>0</v>
      </c>
      <c r="AK4119">
        <v>0</v>
      </c>
      <c r="AL4119">
        <v>0</v>
      </c>
      <c r="AM4119">
        <v>0</v>
      </c>
      <c r="AN4119">
        <v>0</v>
      </c>
      <c r="AO4119">
        <v>0</v>
      </c>
      <c r="AP4119" s="2">
        <v>42746</v>
      </c>
      <c r="AQ4119" t="s">
        <v>72</v>
      </c>
      <c r="AR4119" t="s">
        <v>72</v>
      </c>
      <c r="AS4119">
        <v>413</v>
      </c>
      <c r="AT4119" s="4">
        <v>42416</v>
      </c>
      <c r="AU4119" t="s">
        <v>73</v>
      </c>
      <c r="AV4119">
        <v>413</v>
      </c>
      <c r="AW4119" s="4">
        <v>42416</v>
      </c>
      <c r="BD4119">
        <v>0</v>
      </c>
      <c r="BN4119" t="s">
        <v>74</v>
      </c>
    </row>
    <row r="4120" spans="1:66" hidden="1">
      <c r="A4120">
        <v>101541</v>
      </c>
      <c r="B4120" s="3" t="s">
        <v>467</v>
      </c>
      <c r="C4120" s="1">
        <v>43300101</v>
      </c>
      <c r="D4120" t="s">
        <v>67</v>
      </c>
      <c r="H4120" t="str">
        <f t="shared" si="449"/>
        <v>08230471008</v>
      </c>
      <c r="I4120" t="str">
        <f t="shared" si="449"/>
        <v>08230471008</v>
      </c>
      <c r="K4120" t="str">
        <f>""</f>
        <v/>
      </c>
      <c r="M4120" t="s">
        <v>68</v>
      </c>
      <c r="N4120" t="str">
        <f t="shared" si="448"/>
        <v>FOR</v>
      </c>
      <c r="O4120" t="s">
        <v>69</v>
      </c>
      <c r="P4120" s="3" t="s">
        <v>70</v>
      </c>
      <c r="Q4120">
        <v>2015</v>
      </c>
      <c r="R4120" s="2">
        <v>42076</v>
      </c>
      <c r="S4120" s="2">
        <v>42086</v>
      </c>
      <c r="T4120" s="2">
        <v>42086</v>
      </c>
      <c r="U4120" s="2">
        <v>42146</v>
      </c>
      <c r="V4120" t="s">
        <v>71</v>
      </c>
      <c r="W4120" t="str">
        <f>"                3299"</f>
        <v xml:space="preserve">                3299</v>
      </c>
      <c r="X4120">
        <v>728</v>
      </c>
      <c r="Y4120">
        <v>0</v>
      </c>
      <c r="Z4120"/>
      <c r="AB4120"/>
      <c r="AC4120">
        <v>700</v>
      </c>
      <c r="AD4120">
        <v>270</v>
      </c>
      <c r="AE4120" s="1">
        <v>189000</v>
      </c>
      <c r="AF4120">
        <v>0</v>
      </c>
      <c r="AJ4120">
        <v>0</v>
      </c>
      <c r="AK4120">
        <v>0</v>
      </c>
      <c r="AL4120">
        <v>0</v>
      </c>
      <c r="AM4120">
        <v>0</v>
      </c>
      <c r="AN4120">
        <v>0</v>
      </c>
      <c r="AO4120">
        <v>0</v>
      </c>
      <c r="AP4120" s="2">
        <v>42746</v>
      </c>
      <c r="AQ4120" t="s">
        <v>72</v>
      </c>
      <c r="AR4120" t="s">
        <v>72</v>
      </c>
      <c r="AS4120">
        <v>413</v>
      </c>
      <c r="AT4120" s="4">
        <v>42416</v>
      </c>
      <c r="AU4120" t="s">
        <v>73</v>
      </c>
      <c r="AV4120">
        <v>413</v>
      </c>
      <c r="AW4120" s="4">
        <v>42416</v>
      </c>
      <c r="BD4120">
        <v>0</v>
      </c>
      <c r="BN4120" t="s">
        <v>74</v>
      </c>
    </row>
    <row r="4121" spans="1:66" hidden="1">
      <c r="A4121">
        <v>101541</v>
      </c>
      <c r="B4121" s="3" t="s">
        <v>467</v>
      </c>
      <c r="C4121" s="1">
        <v>43300101</v>
      </c>
      <c r="D4121" t="s">
        <v>67</v>
      </c>
      <c r="H4121" t="str">
        <f t="shared" si="449"/>
        <v>08230471008</v>
      </c>
      <c r="I4121" t="str">
        <f t="shared" si="449"/>
        <v>08230471008</v>
      </c>
      <c r="K4121" t="str">
        <f>""</f>
        <v/>
      </c>
      <c r="M4121" t="s">
        <v>68</v>
      </c>
      <c r="N4121" t="str">
        <f t="shared" si="448"/>
        <v>FOR</v>
      </c>
      <c r="O4121" t="s">
        <v>69</v>
      </c>
      <c r="P4121" s="3" t="s">
        <v>70</v>
      </c>
      <c r="Q4121">
        <v>2015</v>
      </c>
      <c r="R4121" s="2">
        <v>42076</v>
      </c>
      <c r="S4121" s="2">
        <v>42086</v>
      </c>
      <c r="T4121" s="2">
        <v>42086</v>
      </c>
      <c r="U4121" s="2">
        <v>42146</v>
      </c>
      <c r="V4121" t="s">
        <v>71</v>
      </c>
      <c r="W4121" t="str">
        <f>"                3300"</f>
        <v xml:space="preserve">                3300</v>
      </c>
      <c r="X4121">
        <v>305</v>
      </c>
      <c r="Y4121">
        <v>0</v>
      </c>
      <c r="Z4121"/>
      <c r="AB4121"/>
      <c r="AC4121">
        <v>250</v>
      </c>
      <c r="AD4121">
        <v>270</v>
      </c>
      <c r="AE4121" s="1">
        <v>67500</v>
      </c>
      <c r="AF4121">
        <v>0</v>
      </c>
      <c r="AJ4121">
        <v>0</v>
      </c>
      <c r="AK4121">
        <v>0</v>
      </c>
      <c r="AL4121">
        <v>0</v>
      </c>
      <c r="AM4121">
        <v>0</v>
      </c>
      <c r="AN4121">
        <v>0</v>
      </c>
      <c r="AO4121">
        <v>0</v>
      </c>
      <c r="AP4121" s="2">
        <v>42746</v>
      </c>
      <c r="AQ4121" t="s">
        <v>72</v>
      </c>
      <c r="AR4121" t="s">
        <v>72</v>
      </c>
      <c r="AS4121">
        <v>413</v>
      </c>
      <c r="AT4121" s="4">
        <v>42416</v>
      </c>
      <c r="AU4121" t="s">
        <v>73</v>
      </c>
      <c r="AV4121">
        <v>413</v>
      </c>
      <c r="AW4121" s="4">
        <v>42416</v>
      </c>
      <c r="BD4121">
        <v>0</v>
      </c>
      <c r="BN4121" t="s">
        <v>74</v>
      </c>
    </row>
    <row r="4122" spans="1:66" hidden="1">
      <c r="A4122">
        <v>101541</v>
      </c>
      <c r="B4122" s="3" t="s">
        <v>467</v>
      </c>
      <c r="C4122" s="1">
        <v>43300101</v>
      </c>
      <c r="D4122" t="s">
        <v>67</v>
      </c>
      <c r="H4122" t="str">
        <f t="shared" si="449"/>
        <v>08230471008</v>
      </c>
      <c r="I4122" t="str">
        <f t="shared" si="449"/>
        <v>08230471008</v>
      </c>
      <c r="K4122" t="str">
        <f>""</f>
        <v/>
      </c>
      <c r="M4122" t="s">
        <v>68</v>
      </c>
      <c r="N4122" t="str">
        <f t="shared" si="448"/>
        <v>FOR</v>
      </c>
      <c r="O4122" t="s">
        <v>69</v>
      </c>
      <c r="P4122" s="3" t="s">
        <v>70</v>
      </c>
      <c r="Q4122">
        <v>2015</v>
      </c>
      <c r="R4122" s="2">
        <v>42076</v>
      </c>
      <c r="S4122" s="2">
        <v>42086</v>
      </c>
      <c r="T4122" s="2">
        <v>42086</v>
      </c>
      <c r="U4122" s="2">
        <v>42146</v>
      </c>
      <c r="V4122" t="s">
        <v>71</v>
      </c>
      <c r="W4122" t="str">
        <f>"                3301"</f>
        <v xml:space="preserve">                3301</v>
      </c>
      <c r="X4122">
        <v>728</v>
      </c>
      <c r="Y4122">
        <v>0</v>
      </c>
      <c r="Z4122"/>
      <c r="AB4122"/>
      <c r="AC4122">
        <v>700</v>
      </c>
      <c r="AD4122">
        <v>270</v>
      </c>
      <c r="AE4122" s="1">
        <v>189000</v>
      </c>
      <c r="AF4122">
        <v>0</v>
      </c>
      <c r="AJ4122">
        <v>0</v>
      </c>
      <c r="AK4122">
        <v>0</v>
      </c>
      <c r="AL4122">
        <v>0</v>
      </c>
      <c r="AM4122">
        <v>0</v>
      </c>
      <c r="AN4122">
        <v>0</v>
      </c>
      <c r="AO4122">
        <v>0</v>
      </c>
      <c r="AP4122" s="2">
        <v>42746</v>
      </c>
      <c r="AQ4122" t="s">
        <v>72</v>
      </c>
      <c r="AR4122" t="s">
        <v>72</v>
      </c>
      <c r="AS4122">
        <v>413</v>
      </c>
      <c r="AT4122" s="4">
        <v>42416</v>
      </c>
      <c r="AU4122" t="s">
        <v>73</v>
      </c>
      <c r="AV4122">
        <v>413</v>
      </c>
      <c r="AW4122" s="4">
        <v>42416</v>
      </c>
      <c r="BD4122">
        <v>0</v>
      </c>
      <c r="BN4122" t="s">
        <v>74</v>
      </c>
    </row>
    <row r="4123" spans="1:66" hidden="1">
      <c r="A4123">
        <v>101541</v>
      </c>
      <c r="B4123" s="3" t="s">
        <v>467</v>
      </c>
      <c r="C4123" s="1">
        <v>43300101</v>
      </c>
      <c r="D4123" t="s">
        <v>67</v>
      </c>
      <c r="H4123" t="str">
        <f t="shared" si="449"/>
        <v>08230471008</v>
      </c>
      <c r="I4123" t="str">
        <f t="shared" si="449"/>
        <v>08230471008</v>
      </c>
      <c r="K4123" t="str">
        <f>""</f>
        <v/>
      </c>
      <c r="M4123" t="s">
        <v>68</v>
      </c>
      <c r="N4123" t="str">
        <f t="shared" si="448"/>
        <v>FOR</v>
      </c>
      <c r="O4123" t="s">
        <v>69</v>
      </c>
      <c r="P4123" s="3" t="s">
        <v>70</v>
      </c>
      <c r="Q4123">
        <v>2015</v>
      </c>
      <c r="R4123" s="2">
        <v>42076</v>
      </c>
      <c r="S4123" s="2">
        <v>42086</v>
      </c>
      <c r="T4123" s="2">
        <v>42086</v>
      </c>
      <c r="U4123" s="2">
        <v>42146</v>
      </c>
      <c r="V4123" t="s">
        <v>71</v>
      </c>
      <c r="W4123" t="str">
        <f>"                3302"</f>
        <v xml:space="preserve">                3302</v>
      </c>
      <c r="X4123">
        <v>305</v>
      </c>
      <c r="Y4123">
        <v>0</v>
      </c>
      <c r="Z4123"/>
      <c r="AB4123"/>
      <c r="AC4123">
        <v>250</v>
      </c>
      <c r="AD4123">
        <v>270</v>
      </c>
      <c r="AE4123" s="1">
        <v>67500</v>
      </c>
      <c r="AF4123">
        <v>0</v>
      </c>
      <c r="AJ4123">
        <v>0</v>
      </c>
      <c r="AK4123">
        <v>0</v>
      </c>
      <c r="AL4123">
        <v>0</v>
      </c>
      <c r="AM4123">
        <v>0</v>
      </c>
      <c r="AN4123">
        <v>0</v>
      </c>
      <c r="AO4123">
        <v>0</v>
      </c>
      <c r="AP4123" s="2">
        <v>42746</v>
      </c>
      <c r="AQ4123" t="s">
        <v>72</v>
      </c>
      <c r="AR4123" t="s">
        <v>72</v>
      </c>
      <c r="AS4123">
        <v>413</v>
      </c>
      <c r="AT4123" s="4">
        <v>42416</v>
      </c>
      <c r="AU4123" t="s">
        <v>73</v>
      </c>
      <c r="AV4123">
        <v>413</v>
      </c>
      <c r="AW4123" s="4">
        <v>42416</v>
      </c>
      <c r="BD4123">
        <v>0</v>
      </c>
      <c r="BN4123" t="s">
        <v>74</v>
      </c>
    </row>
    <row r="4124" spans="1:66" hidden="1">
      <c r="A4124">
        <v>101541</v>
      </c>
      <c r="B4124" s="3" t="s">
        <v>467</v>
      </c>
      <c r="C4124" s="1">
        <v>43300101</v>
      </c>
      <c r="D4124" t="s">
        <v>67</v>
      </c>
      <c r="H4124" t="str">
        <f t="shared" si="449"/>
        <v>08230471008</v>
      </c>
      <c r="I4124" t="str">
        <f t="shared" si="449"/>
        <v>08230471008</v>
      </c>
      <c r="K4124" t="str">
        <f>""</f>
        <v/>
      </c>
      <c r="M4124" t="s">
        <v>68</v>
      </c>
      <c r="N4124" t="str">
        <f t="shared" si="448"/>
        <v>FOR</v>
      </c>
      <c r="O4124" t="s">
        <v>69</v>
      </c>
      <c r="P4124" s="3" t="s">
        <v>70</v>
      </c>
      <c r="Q4124">
        <v>2015</v>
      </c>
      <c r="R4124" s="2">
        <v>42083</v>
      </c>
      <c r="S4124" s="2">
        <v>42089</v>
      </c>
      <c r="T4124" s="2">
        <v>42089</v>
      </c>
      <c r="U4124" s="2">
        <v>42149</v>
      </c>
      <c r="V4124" t="s">
        <v>71</v>
      </c>
      <c r="W4124" t="str">
        <f>"                3685"</f>
        <v xml:space="preserve">                3685</v>
      </c>
      <c r="X4124">
        <v>305</v>
      </c>
      <c r="Y4124">
        <v>0</v>
      </c>
      <c r="Z4124"/>
      <c r="AB4124"/>
      <c r="AC4124">
        <v>250</v>
      </c>
      <c r="AD4124">
        <v>267</v>
      </c>
      <c r="AE4124" s="1">
        <v>66750</v>
      </c>
      <c r="AF4124">
        <v>0</v>
      </c>
      <c r="AJ4124">
        <v>0</v>
      </c>
      <c r="AK4124">
        <v>0</v>
      </c>
      <c r="AL4124">
        <v>0</v>
      </c>
      <c r="AM4124">
        <v>0</v>
      </c>
      <c r="AN4124">
        <v>0</v>
      </c>
      <c r="AO4124">
        <v>0</v>
      </c>
      <c r="AP4124" s="2">
        <v>42746</v>
      </c>
      <c r="AQ4124" t="s">
        <v>72</v>
      </c>
      <c r="AR4124" t="s">
        <v>72</v>
      </c>
      <c r="AS4124">
        <v>413</v>
      </c>
      <c r="AT4124" s="4">
        <v>42416</v>
      </c>
      <c r="AU4124" t="s">
        <v>73</v>
      </c>
      <c r="AV4124">
        <v>413</v>
      </c>
      <c r="AW4124" s="4">
        <v>42416</v>
      </c>
      <c r="BD4124">
        <v>0</v>
      </c>
      <c r="BN4124" t="s">
        <v>74</v>
      </c>
    </row>
    <row r="4125" spans="1:66" hidden="1">
      <c r="A4125">
        <v>101541</v>
      </c>
      <c r="B4125" s="3" t="s">
        <v>467</v>
      </c>
      <c r="C4125" s="1">
        <v>43300101</v>
      </c>
      <c r="D4125" t="s">
        <v>67</v>
      </c>
      <c r="H4125" t="str">
        <f t="shared" si="449"/>
        <v>08230471008</v>
      </c>
      <c r="I4125" t="str">
        <f t="shared" si="449"/>
        <v>08230471008</v>
      </c>
      <c r="K4125" t="str">
        <f>""</f>
        <v/>
      </c>
      <c r="M4125" t="s">
        <v>68</v>
      </c>
      <c r="N4125" t="str">
        <f t="shared" si="448"/>
        <v>FOR</v>
      </c>
      <c r="O4125" t="s">
        <v>69</v>
      </c>
      <c r="P4125" s="3" t="s">
        <v>70</v>
      </c>
      <c r="Q4125">
        <v>2015</v>
      </c>
      <c r="R4125" s="2">
        <v>42083</v>
      </c>
      <c r="S4125" s="2">
        <v>42089</v>
      </c>
      <c r="T4125" s="2">
        <v>42089</v>
      </c>
      <c r="U4125" s="2">
        <v>42149</v>
      </c>
      <c r="V4125" t="s">
        <v>71</v>
      </c>
      <c r="W4125" t="str">
        <f>"                3686"</f>
        <v xml:space="preserve">                3686</v>
      </c>
      <c r="X4125">
        <v>305</v>
      </c>
      <c r="Y4125">
        <v>0</v>
      </c>
      <c r="Z4125"/>
      <c r="AB4125"/>
      <c r="AC4125">
        <v>250</v>
      </c>
      <c r="AD4125">
        <v>267</v>
      </c>
      <c r="AE4125" s="1">
        <v>66750</v>
      </c>
      <c r="AF4125">
        <v>0</v>
      </c>
      <c r="AJ4125">
        <v>0</v>
      </c>
      <c r="AK4125">
        <v>0</v>
      </c>
      <c r="AL4125">
        <v>0</v>
      </c>
      <c r="AM4125">
        <v>0</v>
      </c>
      <c r="AN4125">
        <v>0</v>
      </c>
      <c r="AO4125">
        <v>0</v>
      </c>
      <c r="AP4125" s="2">
        <v>42746</v>
      </c>
      <c r="AQ4125" t="s">
        <v>72</v>
      </c>
      <c r="AR4125" t="s">
        <v>72</v>
      </c>
      <c r="AS4125">
        <v>413</v>
      </c>
      <c r="AT4125" s="4">
        <v>42416</v>
      </c>
      <c r="AU4125" t="s">
        <v>73</v>
      </c>
      <c r="AV4125">
        <v>413</v>
      </c>
      <c r="AW4125" s="4">
        <v>42416</v>
      </c>
      <c r="BD4125">
        <v>0</v>
      </c>
      <c r="BN4125" t="s">
        <v>74</v>
      </c>
    </row>
    <row r="4126" spans="1:66" hidden="1">
      <c r="A4126">
        <v>101541</v>
      </c>
      <c r="B4126" s="3" t="s">
        <v>467</v>
      </c>
      <c r="C4126" s="1">
        <v>43300101</v>
      </c>
      <c r="D4126" t="s">
        <v>67</v>
      </c>
      <c r="H4126" t="str">
        <f t="shared" si="449"/>
        <v>08230471008</v>
      </c>
      <c r="I4126" t="str">
        <f t="shared" si="449"/>
        <v>08230471008</v>
      </c>
      <c r="K4126" t="str">
        <f>""</f>
        <v/>
      </c>
      <c r="M4126" t="s">
        <v>68</v>
      </c>
      <c r="N4126" t="str">
        <f t="shared" si="448"/>
        <v>FOR</v>
      </c>
      <c r="O4126" t="s">
        <v>69</v>
      </c>
      <c r="P4126" s="3" t="s">
        <v>70</v>
      </c>
      <c r="Q4126">
        <v>2015</v>
      </c>
      <c r="R4126" s="2">
        <v>42083</v>
      </c>
      <c r="S4126" s="2">
        <v>42089</v>
      </c>
      <c r="T4126" s="2">
        <v>42089</v>
      </c>
      <c r="U4126" s="2">
        <v>42149</v>
      </c>
      <c r="V4126" t="s">
        <v>71</v>
      </c>
      <c r="W4126" t="str">
        <f>"                3687"</f>
        <v xml:space="preserve">                3687</v>
      </c>
      <c r="X4126">
        <v>305</v>
      </c>
      <c r="Y4126">
        <v>0</v>
      </c>
      <c r="Z4126"/>
      <c r="AB4126"/>
      <c r="AC4126">
        <v>250</v>
      </c>
      <c r="AD4126">
        <v>267</v>
      </c>
      <c r="AE4126" s="1">
        <v>66750</v>
      </c>
      <c r="AF4126">
        <v>0</v>
      </c>
      <c r="AJ4126">
        <v>0</v>
      </c>
      <c r="AK4126">
        <v>0</v>
      </c>
      <c r="AL4126">
        <v>0</v>
      </c>
      <c r="AM4126">
        <v>0</v>
      </c>
      <c r="AN4126">
        <v>0</v>
      </c>
      <c r="AO4126">
        <v>0</v>
      </c>
      <c r="AP4126" s="2">
        <v>42746</v>
      </c>
      <c r="AQ4126" t="s">
        <v>72</v>
      </c>
      <c r="AR4126" t="s">
        <v>72</v>
      </c>
      <c r="AS4126">
        <v>413</v>
      </c>
      <c r="AT4126" s="4">
        <v>42416</v>
      </c>
      <c r="AU4126" t="s">
        <v>73</v>
      </c>
      <c r="AV4126">
        <v>413</v>
      </c>
      <c r="AW4126" s="4">
        <v>42416</v>
      </c>
      <c r="BD4126">
        <v>0</v>
      </c>
      <c r="BN4126" t="s">
        <v>74</v>
      </c>
    </row>
    <row r="4127" spans="1:66" hidden="1">
      <c r="A4127">
        <v>101541</v>
      </c>
      <c r="B4127" s="3" t="s">
        <v>467</v>
      </c>
      <c r="C4127" s="1">
        <v>43300101</v>
      </c>
      <c r="D4127" t="s">
        <v>67</v>
      </c>
      <c r="H4127" t="str">
        <f t="shared" si="449"/>
        <v>08230471008</v>
      </c>
      <c r="I4127" t="str">
        <f t="shared" si="449"/>
        <v>08230471008</v>
      </c>
      <c r="K4127" t="str">
        <f>""</f>
        <v/>
      </c>
      <c r="M4127" t="s">
        <v>68</v>
      </c>
      <c r="N4127" t="str">
        <f t="shared" si="448"/>
        <v>FOR</v>
      </c>
      <c r="O4127" t="s">
        <v>69</v>
      </c>
      <c r="P4127" s="3" t="s">
        <v>70</v>
      </c>
      <c r="Q4127">
        <v>2015</v>
      </c>
      <c r="R4127" s="2">
        <v>42083</v>
      </c>
      <c r="S4127" s="2">
        <v>42089</v>
      </c>
      <c r="T4127" s="2">
        <v>42089</v>
      </c>
      <c r="U4127" s="2">
        <v>42149</v>
      </c>
      <c r="V4127" t="s">
        <v>71</v>
      </c>
      <c r="W4127" t="str">
        <f>"                3688"</f>
        <v xml:space="preserve">                3688</v>
      </c>
      <c r="X4127">
        <v>305</v>
      </c>
      <c r="Y4127">
        <v>0</v>
      </c>
      <c r="Z4127"/>
      <c r="AB4127"/>
      <c r="AC4127">
        <v>250</v>
      </c>
      <c r="AD4127">
        <v>267</v>
      </c>
      <c r="AE4127" s="1">
        <v>66750</v>
      </c>
      <c r="AF4127">
        <v>0</v>
      </c>
      <c r="AJ4127">
        <v>0</v>
      </c>
      <c r="AK4127">
        <v>0</v>
      </c>
      <c r="AL4127">
        <v>0</v>
      </c>
      <c r="AM4127">
        <v>0</v>
      </c>
      <c r="AN4127">
        <v>0</v>
      </c>
      <c r="AO4127">
        <v>0</v>
      </c>
      <c r="AP4127" s="2">
        <v>42746</v>
      </c>
      <c r="AQ4127" t="s">
        <v>72</v>
      </c>
      <c r="AR4127" t="s">
        <v>72</v>
      </c>
      <c r="AS4127">
        <v>413</v>
      </c>
      <c r="AT4127" s="4">
        <v>42416</v>
      </c>
      <c r="AU4127" t="s">
        <v>73</v>
      </c>
      <c r="AV4127">
        <v>413</v>
      </c>
      <c r="AW4127" s="4">
        <v>42416</v>
      </c>
      <c r="BD4127">
        <v>0</v>
      </c>
      <c r="BN4127" t="s">
        <v>74</v>
      </c>
    </row>
    <row r="4128" spans="1:66" hidden="1">
      <c r="A4128">
        <v>101541</v>
      </c>
      <c r="B4128" s="3" t="s">
        <v>467</v>
      </c>
      <c r="C4128" s="1">
        <v>43300101</v>
      </c>
      <c r="D4128" t="s">
        <v>67</v>
      </c>
      <c r="H4128" t="str">
        <f t="shared" si="449"/>
        <v>08230471008</v>
      </c>
      <c r="I4128" t="str">
        <f t="shared" si="449"/>
        <v>08230471008</v>
      </c>
      <c r="K4128" t="str">
        <f>""</f>
        <v/>
      </c>
      <c r="M4128" t="s">
        <v>68</v>
      </c>
      <c r="N4128" t="str">
        <f t="shared" si="448"/>
        <v>FOR</v>
      </c>
      <c r="O4128" t="s">
        <v>69</v>
      </c>
      <c r="P4128" s="3" t="s">
        <v>70</v>
      </c>
      <c r="Q4128">
        <v>2015</v>
      </c>
      <c r="R4128" s="2">
        <v>42083</v>
      </c>
      <c r="S4128" s="2">
        <v>42089</v>
      </c>
      <c r="T4128" s="2">
        <v>42089</v>
      </c>
      <c r="U4128" s="2">
        <v>42149</v>
      </c>
      <c r="V4128" t="s">
        <v>71</v>
      </c>
      <c r="W4128" t="str">
        <f>"                3689"</f>
        <v xml:space="preserve">                3689</v>
      </c>
      <c r="X4128">
        <v>300</v>
      </c>
      <c r="Y4128">
        <v>0</v>
      </c>
      <c r="Z4128"/>
      <c r="AB4128"/>
      <c r="AC4128">
        <v>250</v>
      </c>
      <c r="AD4128">
        <v>267</v>
      </c>
      <c r="AE4128" s="1">
        <v>66750</v>
      </c>
      <c r="AF4128">
        <v>0</v>
      </c>
      <c r="AJ4128">
        <v>0</v>
      </c>
      <c r="AK4128">
        <v>0</v>
      </c>
      <c r="AL4128">
        <v>0</v>
      </c>
      <c r="AM4128">
        <v>0</v>
      </c>
      <c r="AN4128">
        <v>0</v>
      </c>
      <c r="AO4128">
        <v>0</v>
      </c>
      <c r="AP4128" s="2">
        <v>42746</v>
      </c>
      <c r="AQ4128" t="s">
        <v>72</v>
      </c>
      <c r="AR4128" t="s">
        <v>72</v>
      </c>
      <c r="AS4128">
        <v>413</v>
      </c>
      <c r="AT4128" s="4">
        <v>42416</v>
      </c>
      <c r="AU4128" t="s">
        <v>73</v>
      </c>
      <c r="AV4128">
        <v>413</v>
      </c>
      <c r="AW4128" s="4">
        <v>42416</v>
      </c>
      <c r="BD4128">
        <v>0</v>
      </c>
      <c r="BN4128" t="s">
        <v>74</v>
      </c>
    </row>
    <row r="4129" spans="1:66" hidden="1">
      <c r="A4129">
        <v>101541</v>
      </c>
      <c r="B4129" s="3" t="s">
        <v>467</v>
      </c>
      <c r="C4129" s="1">
        <v>43300101</v>
      </c>
      <c r="D4129" t="s">
        <v>67</v>
      </c>
      <c r="H4129" t="str">
        <f t="shared" si="449"/>
        <v>08230471008</v>
      </c>
      <c r="I4129" t="str">
        <f t="shared" si="449"/>
        <v>08230471008</v>
      </c>
      <c r="K4129" t="str">
        <f>""</f>
        <v/>
      </c>
      <c r="M4129" t="s">
        <v>68</v>
      </c>
      <c r="N4129" t="str">
        <f t="shared" si="448"/>
        <v>FOR</v>
      </c>
      <c r="O4129" t="s">
        <v>69</v>
      </c>
      <c r="P4129" s="3" t="s">
        <v>70</v>
      </c>
      <c r="Q4129">
        <v>2015</v>
      </c>
      <c r="R4129" s="2">
        <v>42083</v>
      </c>
      <c r="S4129" s="2">
        <v>42089</v>
      </c>
      <c r="T4129" s="2">
        <v>42089</v>
      </c>
      <c r="U4129" s="2">
        <v>42149</v>
      </c>
      <c r="V4129" t="s">
        <v>71</v>
      </c>
      <c r="W4129" t="str">
        <f>"                3690"</f>
        <v xml:space="preserve">                3690</v>
      </c>
      <c r="X4129">
        <v>305</v>
      </c>
      <c r="Y4129">
        <v>0</v>
      </c>
      <c r="Z4129"/>
      <c r="AB4129"/>
      <c r="AC4129">
        <v>250</v>
      </c>
      <c r="AD4129">
        <v>267</v>
      </c>
      <c r="AE4129" s="1">
        <v>66750</v>
      </c>
      <c r="AF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 s="2">
        <v>42746</v>
      </c>
      <c r="AQ4129" t="s">
        <v>72</v>
      </c>
      <c r="AR4129" t="s">
        <v>72</v>
      </c>
      <c r="AS4129">
        <v>413</v>
      </c>
      <c r="AT4129" s="4">
        <v>42416</v>
      </c>
      <c r="AU4129" t="s">
        <v>73</v>
      </c>
      <c r="AV4129">
        <v>413</v>
      </c>
      <c r="AW4129" s="4">
        <v>42416</v>
      </c>
      <c r="BD4129">
        <v>0</v>
      </c>
      <c r="BN4129" t="s">
        <v>74</v>
      </c>
    </row>
    <row r="4130" spans="1:66" hidden="1">
      <c r="A4130">
        <v>101541</v>
      </c>
      <c r="B4130" s="3" t="s">
        <v>467</v>
      </c>
      <c r="C4130" s="1">
        <v>43300101</v>
      </c>
      <c r="D4130" t="s">
        <v>67</v>
      </c>
      <c r="H4130" t="str">
        <f t="shared" si="449"/>
        <v>08230471008</v>
      </c>
      <c r="I4130" t="str">
        <f t="shared" si="449"/>
        <v>08230471008</v>
      </c>
      <c r="K4130" t="str">
        <f>""</f>
        <v/>
      </c>
      <c r="M4130" t="s">
        <v>68</v>
      </c>
      <c r="N4130" t="str">
        <f t="shared" si="448"/>
        <v>FOR</v>
      </c>
      <c r="O4130" t="s">
        <v>69</v>
      </c>
      <c r="P4130" s="3" t="s">
        <v>70</v>
      </c>
      <c r="Q4130">
        <v>2015</v>
      </c>
      <c r="R4130" s="2">
        <v>42083</v>
      </c>
      <c r="S4130" s="2">
        <v>42089</v>
      </c>
      <c r="T4130" s="2">
        <v>42089</v>
      </c>
      <c r="U4130" s="2">
        <v>42149</v>
      </c>
      <c r="V4130" t="s">
        <v>71</v>
      </c>
      <c r="W4130" t="str">
        <f>"                3691"</f>
        <v xml:space="preserve">                3691</v>
      </c>
      <c r="X4130">
        <v>305</v>
      </c>
      <c r="Y4130">
        <v>0</v>
      </c>
      <c r="Z4130"/>
      <c r="AB4130"/>
      <c r="AC4130">
        <v>250</v>
      </c>
      <c r="AD4130">
        <v>267</v>
      </c>
      <c r="AE4130" s="1">
        <v>66750</v>
      </c>
      <c r="AF4130">
        <v>0</v>
      </c>
      <c r="AJ4130">
        <v>0</v>
      </c>
      <c r="AK4130">
        <v>0</v>
      </c>
      <c r="AL4130">
        <v>0</v>
      </c>
      <c r="AM4130">
        <v>0</v>
      </c>
      <c r="AN4130">
        <v>0</v>
      </c>
      <c r="AO4130">
        <v>0</v>
      </c>
      <c r="AP4130" s="2">
        <v>42746</v>
      </c>
      <c r="AQ4130" t="s">
        <v>72</v>
      </c>
      <c r="AR4130" t="s">
        <v>72</v>
      </c>
      <c r="AS4130">
        <v>413</v>
      </c>
      <c r="AT4130" s="4">
        <v>42416</v>
      </c>
      <c r="AU4130" t="s">
        <v>73</v>
      </c>
      <c r="AV4130">
        <v>413</v>
      </c>
      <c r="AW4130" s="4">
        <v>42416</v>
      </c>
      <c r="BD4130">
        <v>0</v>
      </c>
      <c r="BN4130" t="s">
        <v>74</v>
      </c>
    </row>
    <row r="4131" spans="1:66" hidden="1">
      <c r="A4131">
        <v>101541</v>
      </c>
      <c r="B4131" s="3" t="s">
        <v>467</v>
      </c>
      <c r="C4131" s="1">
        <v>43300101</v>
      </c>
      <c r="D4131" t="s">
        <v>67</v>
      </c>
      <c r="H4131" t="str">
        <f t="shared" si="449"/>
        <v>08230471008</v>
      </c>
      <c r="I4131" t="str">
        <f t="shared" si="449"/>
        <v>08230471008</v>
      </c>
      <c r="K4131" t="str">
        <f>""</f>
        <v/>
      </c>
      <c r="M4131" t="s">
        <v>68</v>
      </c>
      <c r="N4131" t="str">
        <f t="shared" si="448"/>
        <v>FOR</v>
      </c>
      <c r="O4131" t="s">
        <v>69</v>
      </c>
      <c r="P4131" s="3" t="s">
        <v>70</v>
      </c>
      <c r="Q4131">
        <v>2015</v>
      </c>
      <c r="R4131" s="2">
        <v>42083</v>
      </c>
      <c r="S4131" s="2">
        <v>42089</v>
      </c>
      <c r="T4131" s="2">
        <v>42089</v>
      </c>
      <c r="U4131" s="2">
        <v>42149</v>
      </c>
      <c r="V4131" t="s">
        <v>71</v>
      </c>
      <c r="W4131" t="str">
        <f>"                3692"</f>
        <v xml:space="preserve">                3692</v>
      </c>
      <c r="X4131">
        <v>305</v>
      </c>
      <c r="Y4131">
        <v>0</v>
      </c>
      <c r="Z4131"/>
      <c r="AB4131"/>
      <c r="AC4131">
        <v>250</v>
      </c>
      <c r="AD4131">
        <v>267</v>
      </c>
      <c r="AE4131" s="1">
        <v>66750</v>
      </c>
      <c r="AF4131">
        <v>0</v>
      </c>
      <c r="AJ4131">
        <v>0</v>
      </c>
      <c r="AK4131">
        <v>0</v>
      </c>
      <c r="AL4131">
        <v>0</v>
      </c>
      <c r="AM4131">
        <v>0</v>
      </c>
      <c r="AN4131">
        <v>0</v>
      </c>
      <c r="AO4131">
        <v>0</v>
      </c>
      <c r="AP4131" s="2">
        <v>42746</v>
      </c>
      <c r="AQ4131" t="s">
        <v>72</v>
      </c>
      <c r="AR4131" t="s">
        <v>72</v>
      </c>
      <c r="AS4131">
        <v>413</v>
      </c>
      <c r="AT4131" s="4">
        <v>42416</v>
      </c>
      <c r="AU4131" t="s">
        <v>73</v>
      </c>
      <c r="AV4131">
        <v>413</v>
      </c>
      <c r="AW4131" s="4">
        <v>42416</v>
      </c>
      <c r="BD4131">
        <v>0</v>
      </c>
      <c r="BN4131" t="s">
        <v>74</v>
      </c>
    </row>
    <row r="4132" spans="1:66" hidden="1">
      <c r="A4132">
        <v>101541</v>
      </c>
      <c r="B4132" s="3" t="s">
        <v>467</v>
      </c>
      <c r="C4132" s="1">
        <v>43300101</v>
      </c>
      <c r="D4132" t="s">
        <v>67</v>
      </c>
      <c r="H4132" t="str">
        <f t="shared" si="449"/>
        <v>08230471008</v>
      </c>
      <c r="I4132" t="str">
        <f t="shared" si="449"/>
        <v>08230471008</v>
      </c>
      <c r="K4132" t="str">
        <f>""</f>
        <v/>
      </c>
      <c r="M4132" t="s">
        <v>68</v>
      </c>
      <c r="N4132" t="str">
        <f t="shared" si="448"/>
        <v>FOR</v>
      </c>
      <c r="O4132" t="s">
        <v>69</v>
      </c>
      <c r="P4132" s="3" t="s">
        <v>70</v>
      </c>
      <c r="Q4132">
        <v>2015</v>
      </c>
      <c r="R4132" s="2">
        <v>42090</v>
      </c>
      <c r="S4132" s="2">
        <v>42102</v>
      </c>
      <c r="T4132" s="2">
        <v>42102</v>
      </c>
      <c r="U4132" s="2">
        <v>42162</v>
      </c>
      <c r="V4132" t="s">
        <v>71</v>
      </c>
      <c r="W4132" t="str">
        <f>"                4100"</f>
        <v xml:space="preserve">                4100</v>
      </c>
      <c r="X4132">
        <v>728</v>
      </c>
      <c r="Y4132">
        <v>0</v>
      </c>
      <c r="Z4132"/>
      <c r="AB4132"/>
      <c r="AC4132">
        <v>700</v>
      </c>
      <c r="AD4132">
        <v>254</v>
      </c>
      <c r="AE4132" s="1">
        <v>177800</v>
      </c>
      <c r="AF4132">
        <v>0</v>
      </c>
      <c r="AJ4132">
        <v>0</v>
      </c>
      <c r="AK4132">
        <v>0</v>
      </c>
      <c r="AL4132">
        <v>0</v>
      </c>
      <c r="AM4132">
        <v>0</v>
      </c>
      <c r="AN4132">
        <v>0</v>
      </c>
      <c r="AO4132">
        <v>0</v>
      </c>
      <c r="AP4132" s="2">
        <v>42746</v>
      </c>
      <c r="AQ4132" t="s">
        <v>72</v>
      </c>
      <c r="AR4132" t="s">
        <v>72</v>
      </c>
      <c r="AS4132">
        <v>413</v>
      </c>
      <c r="AT4132" s="4">
        <v>42416</v>
      </c>
      <c r="AU4132" t="s">
        <v>73</v>
      </c>
      <c r="AV4132">
        <v>413</v>
      </c>
      <c r="AW4132" s="4">
        <v>42416</v>
      </c>
      <c r="BD4132">
        <v>0</v>
      </c>
      <c r="BN4132" t="s">
        <v>74</v>
      </c>
    </row>
    <row r="4133" spans="1:66" hidden="1">
      <c r="A4133">
        <v>101541</v>
      </c>
      <c r="B4133" s="3" t="s">
        <v>467</v>
      </c>
      <c r="C4133" s="1">
        <v>43300101</v>
      </c>
      <c r="D4133" t="s">
        <v>67</v>
      </c>
      <c r="H4133" t="str">
        <f t="shared" si="449"/>
        <v>08230471008</v>
      </c>
      <c r="I4133" t="str">
        <f t="shared" si="449"/>
        <v>08230471008</v>
      </c>
      <c r="K4133" t="str">
        <f>""</f>
        <v/>
      </c>
      <c r="M4133" t="s">
        <v>68</v>
      </c>
      <c r="N4133" t="str">
        <f t="shared" si="448"/>
        <v>FOR</v>
      </c>
      <c r="O4133" t="s">
        <v>69</v>
      </c>
      <c r="P4133" s="3" t="s">
        <v>70</v>
      </c>
      <c r="Q4133">
        <v>2015</v>
      </c>
      <c r="R4133" s="2">
        <v>42090</v>
      </c>
      <c r="S4133" s="2">
        <v>42102</v>
      </c>
      <c r="T4133" s="2">
        <v>42102</v>
      </c>
      <c r="U4133" s="2">
        <v>42162</v>
      </c>
      <c r="V4133" t="s">
        <v>71</v>
      </c>
      <c r="W4133" t="str">
        <f>"                4101"</f>
        <v xml:space="preserve">                4101</v>
      </c>
      <c r="X4133">
        <v>305</v>
      </c>
      <c r="Y4133">
        <v>0</v>
      </c>
      <c r="Z4133"/>
      <c r="AB4133"/>
      <c r="AC4133">
        <v>250</v>
      </c>
      <c r="AD4133">
        <v>254</v>
      </c>
      <c r="AE4133" s="1">
        <v>63500</v>
      </c>
      <c r="AF4133">
        <v>0</v>
      </c>
      <c r="AJ4133">
        <v>0</v>
      </c>
      <c r="AK4133">
        <v>0</v>
      </c>
      <c r="AL4133">
        <v>0</v>
      </c>
      <c r="AM4133">
        <v>0</v>
      </c>
      <c r="AN4133">
        <v>0</v>
      </c>
      <c r="AO4133">
        <v>0</v>
      </c>
      <c r="AP4133" s="2">
        <v>42746</v>
      </c>
      <c r="AQ4133" t="s">
        <v>72</v>
      </c>
      <c r="AR4133" t="s">
        <v>72</v>
      </c>
      <c r="AS4133">
        <v>413</v>
      </c>
      <c r="AT4133" s="4">
        <v>42416</v>
      </c>
      <c r="AU4133" t="s">
        <v>73</v>
      </c>
      <c r="AV4133">
        <v>413</v>
      </c>
      <c r="AW4133" s="4">
        <v>42416</v>
      </c>
      <c r="BD4133">
        <v>0</v>
      </c>
      <c r="BN4133" t="s">
        <v>74</v>
      </c>
    </row>
    <row r="4134" spans="1:66" hidden="1">
      <c r="A4134">
        <v>101541</v>
      </c>
      <c r="B4134" s="3" t="s">
        <v>467</v>
      </c>
      <c r="C4134" s="1">
        <v>43300101</v>
      </c>
      <c r="D4134" t="s">
        <v>67</v>
      </c>
      <c r="H4134" t="str">
        <f t="shared" si="449"/>
        <v>08230471008</v>
      </c>
      <c r="I4134" t="str">
        <f t="shared" si="449"/>
        <v>08230471008</v>
      </c>
      <c r="K4134" t="str">
        <f>""</f>
        <v/>
      </c>
      <c r="M4134" t="s">
        <v>68</v>
      </c>
      <c r="N4134" t="str">
        <f t="shared" si="448"/>
        <v>FOR</v>
      </c>
      <c r="O4134" t="s">
        <v>69</v>
      </c>
      <c r="P4134" s="3" t="s">
        <v>70</v>
      </c>
      <c r="Q4134">
        <v>2015</v>
      </c>
      <c r="R4134" s="2">
        <v>42090</v>
      </c>
      <c r="S4134" s="2">
        <v>42097</v>
      </c>
      <c r="T4134" s="2">
        <v>42097</v>
      </c>
      <c r="U4134" s="2">
        <v>42157</v>
      </c>
      <c r="V4134" t="s">
        <v>71</v>
      </c>
      <c r="W4134" t="str">
        <f>"                4102"</f>
        <v xml:space="preserve">                4102</v>
      </c>
      <c r="X4134">
        <v>305</v>
      </c>
      <c r="Y4134">
        <v>0</v>
      </c>
      <c r="Z4134"/>
      <c r="AB4134"/>
      <c r="AC4134">
        <v>250</v>
      </c>
      <c r="AD4134">
        <v>259</v>
      </c>
      <c r="AE4134" s="1">
        <v>64750</v>
      </c>
      <c r="AF4134">
        <v>0</v>
      </c>
      <c r="AJ4134">
        <v>0</v>
      </c>
      <c r="AK4134">
        <v>0</v>
      </c>
      <c r="AL4134">
        <v>0</v>
      </c>
      <c r="AM4134">
        <v>0</v>
      </c>
      <c r="AN4134">
        <v>0</v>
      </c>
      <c r="AO4134">
        <v>0</v>
      </c>
      <c r="AP4134" s="2">
        <v>42746</v>
      </c>
      <c r="AQ4134" t="s">
        <v>72</v>
      </c>
      <c r="AR4134" t="s">
        <v>72</v>
      </c>
      <c r="AS4134">
        <v>413</v>
      </c>
      <c r="AT4134" s="4">
        <v>42416</v>
      </c>
      <c r="AU4134" t="s">
        <v>73</v>
      </c>
      <c r="AV4134">
        <v>413</v>
      </c>
      <c r="AW4134" s="4">
        <v>42416</v>
      </c>
      <c r="BD4134">
        <v>0</v>
      </c>
      <c r="BN4134" t="s">
        <v>74</v>
      </c>
    </row>
    <row r="4135" spans="1:66" hidden="1">
      <c r="A4135">
        <v>101541</v>
      </c>
      <c r="B4135" s="3" t="s">
        <v>467</v>
      </c>
      <c r="C4135" s="1">
        <v>43300101</v>
      </c>
      <c r="D4135" t="s">
        <v>67</v>
      </c>
      <c r="H4135" t="str">
        <f t="shared" si="449"/>
        <v>08230471008</v>
      </c>
      <c r="I4135" t="str">
        <f t="shared" si="449"/>
        <v>08230471008</v>
      </c>
      <c r="K4135" t="str">
        <f>""</f>
        <v/>
      </c>
      <c r="M4135" t="s">
        <v>68</v>
      </c>
      <c r="N4135" t="str">
        <f t="shared" si="448"/>
        <v>FOR</v>
      </c>
      <c r="O4135" t="s">
        <v>69</v>
      </c>
      <c r="P4135" s="3" t="s">
        <v>70</v>
      </c>
      <c r="Q4135">
        <v>2015</v>
      </c>
      <c r="R4135" s="2">
        <v>42090</v>
      </c>
      <c r="S4135" s="2">
        <v>42097</v>
      </c>
      <c r="T4135" s="2">
        <v>42097</v>
      </c>
      <c r="U4135" s="2">
        <v>42157</v>
      </c>
      <c r="V4135" t="s">
        <v>71</v>
      </c>
      <c r="W4135" t="str">
        <f>"                4103"</f>
        <v xml:space="preserve">                4103</v>
      </c>
      <c r="X4135">
        <v>305</v>
      </c>
      <c r="Y4135">
        <v>0</v>
      </c>
      <c r="Z4135"/>
      <c r="AB4135"/>
      <c r="AC4135">
        <v>250</v>
      </c>
      <c r="AD4135">
        <v>259</v>
      </c>
      <c r="AE4135" s="1">
        <v>64750</v>
      </c>
      <c r="AF4135">
        <v>0</v>
      </c>
      <c r="AJ4135">
        <v>0</v>
      </c>
      <c r="AK4135">
        <v>0</v>
      </c>
      <c r="AL4135">
        <v>0</v>
      </c>
      <c r="AM4135">
        <v>0</v>
      </c>
      <c r="AN4135">
        <v>0</v>
      </c>
      <c r="AO4135">
        <v>0</v>
      </c>
      <c r="AP4135" s="2">
        <v>42746</v>
      </c>
      <c r="AQ4135" t="s">
        <v>72</v>
      </c>
      <c r="AR4135" t="s">
        <v>72</v>
      </c>
      <c r="AS4135">
        <v>413</v>
      </c>
      <c r="AT4135" s="4">
        <v>42416</v>
      </c>
      <c r="AU4135" t="s">
        <v>73</v>
      </c>
      <c r="AV4135">
        <v>413</v>
      </c>
      <c r="AW4135" s="4">
        <v>42416</v>
      </c>
      <c r="BD4135">
        <v>0</v>
      </c>
      <c r="BN4135" t="s">
        <v>74</v>
      </c>
    </row>
    <row r="4136" spans="1:66" hidden="1">
      <c r="A4136">
        <v>101541</v>
      </c>
      <c r="B4136" s="3" t="s">
        <v>467</v>
      </c>
      <c r="C4136" s="1">
        <v>43300101</v>
      </c>
      <c r="D4136" t="s">
        <v>67</v>
      </c>
      <c r="H4136" t="str">
        <f t="shared" si="449"/>
        <v>08230471008</v>
      </c>
      <c r="I4136" t="str">
        <f t="shared" si="449"/>
        <v>08230471008</v>
      </c>
      <c r="K4136" t="str">
        <f>""</f>
        <v/>
      </c>
      <c r="M4136" t="s">
        <v>68</v>
      </c>
      <c r="N4136" t="str">
        <f t="shared" si="448"/>
        <v>FOR</v>
      </c>
      <c r="O4136" t="s">
        <v>69</v>
      </c>
      <c r="P4136" s="3" t="s">
        <v>70</v>
      </c>
      <c r="Q4136">
        <v>2015</v>
      </c>
      <c r="R4136" s="2">
        <v>42090</v>
      </c>
      <c r="S4136" s="2">
        <v>42103</v>
      </c>
      <c r="T4136" s="2">
        <v>42103</v>
      </c>
      <c r="U4136" s="2">
        <v>42163</v>
      </c>
      <c r="V4136" t="s">
        <v>71</v>
      </c>
      <c r="W4136" t="str">
        <f>"                4104"</f>
        <v xml:space="preserve">                4104</v>
      </c>
      <c r="X4136">
        <v>305</v>
      </c>
      <c r="Y4136">
        <v>0</v>
      </c>
      <c r="Z4136"/>
      <c r="AB4136"/>
      <c r="AC4136">
        <v>250</v>
      </c>
      <c r="AD4136">
        <v>253</v>
      </c>
      <c r="AE4136" s="1">
        <v>63250</v>
      </c>
      <c r="AF4136">
        <v>0</v>
      </c>
      <c r="AJ4136">
        <v>0</v>
      </c>
      <c r="AK4136">
        <v>0</v>
      </c>
      <c r="AL4136">
        <v>0</v>
      </c>
      <c r="AM4136">
        <v>0</v>
      </c>
      <c r="AN4136">
        <v>0</v>
      </c>
      <c r="AO4136">
        <v>0</v>
      </c>
      <c r="AP4136" s="2">
        <v>42746</v>
      </c>
      <c r="AQ4136" t="s">
        <v>72</v>
      </c>
      <c r="AR4136" t="s">
        <v>72</v>
      </c>
      <c r="AS4136">
        <v>413</v>
      </c>
      <c r="AT4136" s="4">
        <v>42416</v>
      </c>
      <c r="AU4136" t="s">
        <v>73</v>
      </c>
      <c r="AV4136">
        <v>413</v>
      </c>
      <c r="AW4136" s="4">
        <v>42416</v>
      </c>
      <c r="BD4136">
        <v>0</v>
      </c>
      <c r="BN4136" t="s">
        <v>74</v>
      </c>
    </row>
    <row r="4137" spans="1:66" hidden="1">
      <c r="A4137">
        <v>101541</v>
      </c>
      <c r="B4137" s="3" t="s">
        <v>467</v>
      </c>
      <c r="C4137" s="1">
        <v>43300101</v>
      </c>
      <c r="D4137" t="s">
        <v>67</v>
      </c>
      <c r="H4137" t="str">
        <f t="shared" si="449"/>
        <v>08230471008</v>
      </c>
      <c r="I4137" t="str">
        <f t="shared" si="449"/>
        <v>08230471008</v>
      </c>
      <c r="K4137" t="str">
        <f>""</f>
        <v/>
      </c>
      <c r="M4137" t="s">
        <v>68</v>
      </c>
      <c r="N4137" t="str">
        <f t="shared" si="448"/>
        <v>FOR</v>
      </c>
      <c r="O4137" t="s">
        <v>69</v>
      </c>
      <c r="P4137" s="3" t="s">
        <v>70</v>
      </c>
      <c r="Q4137">
        <v>2015</v>
      </c>
      <c r="R4137" s="2">
        <v>42090</v>
      </c>
      <c r="S4137" s="2">
        <v>42103</v>
      </c>
      <c r="T4137" s="2">
        <v>42103</v>
      </c>
      <c r="U4137" s="2">
        <v>42163</v>
      </c>
      <c r="V4137" t="s">
        <v>71</v>
      </c>
      <c r="W4137" t="str">
        <f>"                4105"</f>
        <v xml:space="preserve">                4105</v>
      </c>
      <c r="X4137">
        <v>305</v>
      </c>
      <c r="Y4137">
        <v>0</v>
      </c>
      <c r="Z4137"/>
      <c r="AB4137"/>
      <c r="AC4137">
        <v>250</v>
      </c>
      <c r="AD4137">
        <v>253</v>
      </c>
      <c r="AE4137" s="1">
        <v>63250</v>
      </c>
      <c r="AF4137">
        <v>0</v>
      </c>
      <c r="AJ4137">
        <v>0</v>
      </c>
      <c r="AK4137">
        <v>0</v>
      </c>
      <c r="AL4137">
        <v>0</v>
      </c>
      <c r="AM4137">
        <v>0</v>
      </c>
      <c r="AN4137">
        <v>0</v>
      </c>
      <c r="AO4137">
        <v>0</v>
      </c>
      <c r="AP4137" s="2">
        <v>42746</v>
      </c>
      <c r="AQ4137" t="s">
        <v>72</v>
      </c>
      <c r="AR4137" t="s">
        <v>72</v>
      </c>
      <c r="AS4137">
        <v>413</v>
      </c>
      <c r="AT4137" s="4">
        <v>42416</v>
      </c>
      <c r="AU4137" t="s">
        <v>73</v>
      </c>
      <c r="AV4137">
        <v>413</v>
      </c>
      <c r="AW4137" s="4">
        <v>42416</v>
      </c>
      <c r="BD4137">
        <v>0</v>
      </c>
      <c r="BN4137" t="s">
        <v>74</v>
      </c>
    </row>
    <row r="4138" spans="1:66" hidden="1">
      <c r="A4138">
        <v>101541</v>
      </c>
      <c r="B4138" s="3" t="s">
        <v>467</v>
      </c>
      <c r="C4138" s="1">
        <v>43300101</v>
      </c>
      <c r="D4138" t="s">
        <v>67</v>
      </c>
      <c r="H4138" t="str">
        <f t="shared" ref="H4138:I4157" si="450">"08230471008"</f>
        <v>08230471008</v>
      </c>
      <c r="I4138" t="str">
        <f t="shared" si="450"/>
        <v>08230471008</v>
      </c>
      <c r="K4138" t="str">
        <f>""</f>
        <v/>
      </c>
      <c r="M4138" t="s">
        <v>68</v>
      </c>
      <c r="N4138" t="str">
        <f t="shared" si="448"/>
        <v>FOR</v>
      </c>
      <c r="O4138" t="s">
        <v>69</v>
      </c>
      <c r="P4138" s="3" t="s">
        <v>70</v>
      </c>
      <c r="Q4138">
        <v>2015</v>
      </c>
      <c r="R4138" s="2">
        <v>42093</v>
      </c>
      <c r="S4138" s="2">
        <v>42109</v>
      </c>
      <c r="T4138" s="2">
        <v>42109</v>
      </c>
      <c r="U4138" s="2">
        <v>42169</v>
      </c>
      <c r="V4138" t="s">
        <v>71</v>
      </c>
      <c r="W4138" t="str">
        <f>"                4411"</f>
        <v xml:space="preserve">                4411</v>
      </c>
      <c r="X4138">
        <v>728</v>
      </c>
      <c r="Y4138">
        <v>0</v>
      </c>
      <c r="Z4138"/>
      <c r="AB4138"/>
      <c r="AC4138">
        <v>700</v>
      </c>
      <c r="AD4138">
        <v>247</v>
      </c>
      <c r="AE4138" s="1">
        <v>172900</v>
      </c>
      <c r="AF4138">
        <v>0</v>
      </c>
      <c r="AJ4138">
        <v>0</v>
      </c>
      <c r="AK4138">
        <v>0</v>
      </c>
      <c r="AL4138">
        <v>0</v>
      </c>
      <c r="AM4138">
        <v>0</v>
      </c>
      <c r="AN4138">
        <v>0</v>
      </c>
      <c r="AO4138">
        <v>0</v>
      </c>
      <c r="AP4138" s="2">
        <v>42746</v>
      </c>
      <c r="AQ4138" t="s">
        <v>72</v>
      </c>
      <c r="AR4138" t="s">
        <v>72</v>
      </c>
      <c r="AS4138">
        <v>413</v>
      </c>
      <c r="AT4138" s="4">
        <v>42416</v>
      </c>
      <c r="AU4138" t="s">
        <v>73</v>
      </c>
      <c r="AV4138">
        <v>413</v>
      </c>
      <c r="AW4138" s="4">
        <v>42416</v>
      </c>
      <c r="BD4138">
        <v>0</v>
      </c>
      <c r="BN4138" t="s">
        <v>74</v>
      </c>
    </row>
    <row r="4139" spans="1:66" hidden="1">
      <c r="A4139">
        <v>101541</v>
      </c>
      <c r="B4139" s="3" t="s">
        <v>467</v>
      </c>
      <c r="C4139" s="1">
        <v>43300101</v>
      </c>
      <c r="D4139" t="s">
        <v>67</v>
      </c>
      <c r="H4139" t="str">
        <f t="shared" si="450"/>
        <v>08230471008</v>
      </c>
      <c r="I4139" t="str">
        <f t="shared" si="450"/>
        <v>08230471008</v>
      </c>
      <c r="K4139" t="str">
        <f>""</f>
        <v/>
      </c>
      <c r="M4139" t="s">
        <v>68</v>
      </c>
      <c r="N4139" t="str">
        <f t="shared" si="448"/>
        <v>FOR</v>
      </c>
      <c r="O4139" t="s">
        <v>69</v>
      </c>
      <c r="P4139" s="3" t="s">
        <v>70</v>
      </c>
      <c r="Q4139">
        <v>2015</v>
      </c>
      <c r="R4139" s="2">
        <v>42093</v>
      </c>
      <c r="S4139" s="2">
        <v>42109</v>
      </c>
      <c r="T4139" s="2">
        <v>42109</v>
      </c>
      <c r="U4139" s="2">
        <v>42169</v>
      </c>
      <c r="V4139" t="s">
        <v>71</v>
      </c>
      <c r="W4139" t="str">
        <f>"                4412"</f>
        <v xml:space="preserve">                4412</v>
      </c>
      <c r="X4139">
        <v>305</v>
      </c>
      <c r="Y4139">
        <v>0</v>
      </c>
      <c r="Z4139"/>
      <c r="AB4139"/>
      <c r="AC4139">
        <v>250</v>
      </c>
      <c r="AD4139">
        <v>247</v>
      </c>
      <c r="AE4139" s="1">
        <v>61750</v>
      </c>
      <c r="AF4139">
        <v>0</v>
      </c>
      <c r="AJ4139">
        <v>0</v>
      </c>
      <c r="AK4139">
        <v>0</v>
      </c>
      <c r="AL4139">
        <v>0</v>
      </c>
      <c r="AM4139">
        <v>0</v>
      </c>
      <c r="AN4139">
        <v>0</v>
      </c>
      <c r="AO4139">
        <v>0</v>
      </c>
      <c r="AP4139" s="2">
        <v>42746</v>
      </c>
      <c r="AQ4139" t="s">
        <v>72</v>
      </c>
      <c r="AR4139" t="s">
        <v>72</v>
      </c>
      <c r="AS4139">
        <v>413</v>
      </c>
      <c r="AT4139" s="4">
        <v>42416</v>
      </c>
      <c r="AU4139" t="s">
        <v>73</v>
      </c>
      <c r="AV4139">
        <v>413</v>
      </c>
      <c r="AW4139" s="4">
        <v>42416</v>
      </c>
      <c r="BD4139">
        <v>0</v>
      </c>
      <c r="BN4139" t="s">
        <v>74</v>
      </c>
    </row>
    <row r="4140" spans="1:66" hidden="1">
      <c r="A4140">
        <v>101541</v>
      </c>
      <c r="B4140" s="3" t="s">
        <v>467</v>
      </c>
      <c r="C4140" s="1">
        <v>43300101</v>
      </c>
      <c r="D4140" t="s">
        <v>67</v>
      </c>
      <c r="H4140" t="str">
        <f t="shared" si="450"/>
        <v>08230471008</v>
      </c>
      <c r="I4140" t="str">
        <f t="shared" si="450"/>
        <v>08230471008</v>
      </c>
      <c r="K4140" t="str">
        <f>""</f>
        <v/>
      </c>
      <c r="M4140" t="s">
        <v>68</v>
      </c>
      <c r="N4140" t="str">
        <f t="shared" si="448"/>
        <v>FOR</v>
      </c>
      <c r="O4140" t="s">
        <v>69</v>
      </c>
      <c r="P4140" s="3" t="s">
        <v>70</v>
      </c>
      <c r="Q4140">
        <v>2015</v>
      </c>
      <c r="R4140" s="2">
        <v>42093</v>
      </c>
      <c r="S4140" s="2">
        <v>42109</v>
      </c>
      <c r="T4140" s="2">
        <v>42109</v>
      </c>
      <c r="U4140" s="2">
        <v>42169</v>
      </c>
      <c r="V4140" t="s">
        <v>71</v>
      </c>
      <c r="W4140" t="str">
        <f>"                4413"</f>
        <v xml:space="preserve">                4413</v>
      </c>
      <c r="X4140">
        <v>305</v>
      </c>
      <c r="Y4140">
        <v>0</v>
      </c>
      <c r="Z4140"/>
      <c r="AB4140"/>
      <c r="AC4140">
        <v>250</v>
      </c>
      <c r="AD4140">
        <v>247</v>
      </c>
      <c r="AE4140" s="1">
        <v>61750</v>
      </c>
      <c r="AF4140">
        <v>0</v>
      </c>
      <c r="AJ4140">
        <v>0</v>
      </c>
      <c r="AK4140">
        <v>0</v>
      </c>
      <c r="AL4140">
        <v>0</v>
      </c>
      <c r="AM4140">
        <v>0</v>
      </c>
      <c r="AN4140">
        <v>0</v>
      </c>
      <c r="AO4140">
        <v>0</v>
      </c>
      <c r="AP4140" s="2">
        <v>42746</v>
      </c>
      <c r="AQ4140" t="s">
        <v>72</v>
      </c>
      <c r="AR4140" t="s">
        <v>72</v>
      </c>
      <c r="AS4140">
        <v>413</v>
      </c>
      <c r="AT4140" s="4">
        <v>42416</v>
      </c>
      <c r="AU4140" t="s">
        <v>73</v>
      </c>
      <c r="AV4140">
        <v>413</v>
      </c>
      <c r="AW4140" s="4">
        <v>42416</v>
      </c>
      <c r="BD4140">
        <v>0</v>
      </c>
      <c r="BN4140" t="s">
        <v>74</v>
      </c>
    </row>
    <row r="4141" spans="1:66" hidden="1">
      <c r="A4141">
        <v>101541</v>
      </c>
      <c r="B4141" s="3" t="s">
        <v>467</v>
      </c>
      <c r="C4141" s="1">
        <v>43300101</v>
      </c>
      <c r="D4141" t="s">
        <v>67</v>
      </c>
      <c r="H4141" t="str">
        <f t="shared" si="450"/>
        <v>08230471008</v>
      </c>
      <c r="I4141" t="str">
        <f t="shared" si="450"/>
        <v>08230471008</v>
      </c>
      <c r="K4141" t="str">
        <f>""</f>
        <v/>
      </c>
      <c r="M4141" t="s">
        <v>68</v>
      </c>
      <c r="N4141" t="str">
        <f t="shared" si="448"/>
        <v>FOR</v>
      </c>
      <c r="O4141" t="s">
        <v>69</v>
      </c>
      <c r="P4141" s="3" t="s">
        <v>70</v>
      </c>
      <c r="Q4141">
        <v>2015</v>
      </c>
      <c r="R4141" s="2">
        <v>42093</v>
      </c>
      <c r="S4141" s="2">
        <v>42109</v>
      </c>
      <c r="T4141" s="2">
        <v>42109</v>
      </c>
      <c r="U4141" s="2">
        <v>42169</v>
      </c>
      <c r="V4141" t="s">
        <v>71</v>
      </c>
      <c r="W4141" t="str">
        <f>"                4414"</f>
        <v xml:space="preserve">                4414</v>
      </c>
      <c r="X4141">
        <v>305</v>
      </c>
      <c r="Y4141">
        <v>0</v>
      </c>
      <c r="Z4141"/>
      <c r="AB4141"/>
      <c r="AC4141">
        <v>250</v>
      </c>
      <c r="AD4141">
        <v>247</v>
      </c>
      <c r="AE4141" s="1">
        <v>61750</v>
      </c>
      <c r="AF4141">
        <v>0</v>
      </c>
      <c r="AJ4141">
        <v>0</v>
      </c>
      <c r="AK4141">
        <v>0</v>
      </c>
      <c r="AL4141">
        <v>0</v>
      </c>
      <c r="AM4141">
        <v>0</v>
      </c>
      <c r="AN4141">
        <v>0</v>
      </c>
      <c r="AO4141">
        <v>0</v>
      </c>
      <c r="AP4141" s="2">
        <v>42746</v>
      </c>
      <c r="AQ4141" t="s">
        <v>72</v>
      </c>
      <c r="AR4141" t="s">
        <v>72</v>
      </c>
      <c r="AS4141">
        <v>413</v>
      </c>
      <c r="AT4141" s="4">
        <v>42416</v>
      </c>
      <c r="AU4141" t="s">
        <v>73</v>
      </c>
      <c r="AV4141">
        <v>413</v>
      </c>
      <c r="AW4141" s="4">
        <v>42416</v>
      </c>
      <c r="BD4141">
        <v>0</v>
      </c>
      <c r="BN4141" t="s">
        <v>74</v>
      </c>
    </row>
    <row r="4142" spans="1:66" hidden="1">
      <c r="A4142">
        <v>101541</v>
      </c>
      <c r="B4142" s="3" t="s">
        <v>467</v>
      </c>
      <c r="C4142" s="1">
        <v>43300101</v>
      </c>
      <c r="D4142" t="s">
        <v>67</v>
      </c>
      <c r="H4142" t="str">
        <f t="shared" si="450"/>
        <v>08230471008</v>
      </c>
      <c r="I4142" t="str">
        <f t="shared" si="450"/>
        <v>08230471008</v>
      </c>
      <c r="K4142" t="str">
        <f>""</f>
        <v/>
      </c>
      <c r="M4142" t="s">
        <v>68</v>
      </c>
      <c r="N4142" t="str">
        <f t="shared" si="448"/>
        <v>FOR</v>
      </c>
      <c r="O4142" t="s">
        <v>69</v>
      </c>
      <c r="P4142" s="3" t="s">
        <v>70</v>
      </c>
      <c r="Q4142">
        <v>2015</v>
      </c>
      <c r="R4142" s="2">
        <v>42093</v>
      </c>
      <c r="S4142" s="2">
        <v>42109</v>
      </c>
      <c r="T4142" s="2">
        <v>42109</v>
      </c>
      <c r="U4142" s="2">
        <v>42169</v>
      </c>
      <c r="V4142" t="s">
        <v>71</v>
      </c>
      <c r="W4142" t="str">
        <f>"                4415"</f>
        <v xml:space="preserve">                4415</v>
      </c>
      <c r="X4142">
        <v>305</v>
      </c>
      <c r="Y4142">
        <v>0</v>
      </c>
      <c r="Z4142"/>
      <c r="AB4142"/>
      <c r="AC4142">
        <v>250</v>
      </c>
      <c r="AD4142">
        <v>247</v>
      </c>
      <c r="AE4142" s="1">
        <v>61750</v>
      </c>
      <c r="AF4142">
        <v>0</v>
      </c>
      <c r="AJ4142">
        <v>0</v>
      </c>
      <c r="AK4142">
        <v>0</v>
      </c>
      <c r="AL4142">
        <v>0</v>
      </c>
      <c r="AM4142">
        <v>0</v>
      </c>
      <c r="AN4142">
        <v>0</v>
      </c>
      <c r="AO4142">
        <v>0</v>
      </c>
      <c r="AP4142" s="2">
        <v>42746</v>
      </c>
      <c r="AQ4142" t="s">
        <v>72</v>
      </c>
      <c r="AR4142" t="s">
        <v>72</v>
      </c>
      <c r="AS4142">
        <v>413</v>
      </c>
      <c r="AT4142" s="4">
        <v>42416</v>
      </c>
      <c r="AU4142" t="s">
        <v>73</v>
      </c>
      <c r="AV4142">
        <v>413</v>
      </c>
      <c r="AW4142" s="4">
        <v>42416</v>
      </c>
      <c r="BD4142">
        <v>0</v>
      </c>
      <c r="BN4142" t="s">
        <v>74</v>
      </c>
    </row>
    <row r="4143" spans="1:66" hidden="1">
      <c r="A4143">
        <v>101541</v>
      </c>
      <c r="B4143" s="3" t="s">
        <v>467</v>
      </c>
      <c r="C4143" s="1">
        <v>43300101</v>
      </c>
      <c r="D4143" t="s">
        <v>67</v>
      </c>
      <c r="H4143" t="str">
        <f t="shared" si="450"/>
        <v>08230471008</v>
      </c>
      <c r="I4143" t="str">
        <f t="shared" si="450"/>
        <v>08230471008</v>
      </c>
      <c r="K4143" t="str">
        <f>""</f>
        <v/>
      </c>
      <c r="M4143" t="s">
        <v>68</v>
      </c>
      <c r="N4143" t="str">
        <f t="shared" si="448"/>
        <v>FOR</v>
      </c>
      <c r="O4143" t="s">
        <v>69</v>
      </c>
      <c r="P4143" s="3" t="s">
        <v>70</v>
      </c>
      <c r="Q4143">
        <v>2015</v>
      </c>
      <c r="R4143" s="2">
        <v>42093</v>
      </c>
      <c r="S4143" s="2">
        <v>42109</v>
      </c>
      <c r="T4143" s="2">
        <v>42109</v>
      </c>
      <c r="U4143" s="2">
        <v>42169</v>
      </c>
      <c r="V4143" t="s">
        <v>71</v>
      </c>
      <c r="W4143" t="str">
        <f>"                4416"</f>
        <v xml:space="preserve">                4416</v>
      </c>
      <c r="X4143">
        <v>305</v>
      </c>
      <c r="Y4143">
        <v>0</v>
      </c>
      <c r="Z4143"/>
      <c r="AB4143"/>
      <c r="AC4143">
        <v>250</v>
      </c>
      <c r="AD4143">
        <v>247</v>
      </c>
      <c r="AE4143" s="1">
        <v>61750</v>
      </c>
      <c r="AF4143">
        <v>0</v>
      </c>
      <c r="AJ4143">
        <v>0</v>
      </c>
      <c r="AK4143">
        <v>0</v>
      </c>
      <c r="AL4143">
        <v>0</v>
      </c>
      <c r="AM4143">
        <v>0</v>
      </c>
      <c r="AN4143">
        <v>0</v>
      </c>
      <c r="AO4143">
        <v>0</v>
      </c>
      <c r="AP4143" s="2">
        <v>42746</v>
      </c>
      <c r="AQ4143" t="s">
        <v>72</v>
      </c>
      <c r="AR4143" t="s">
        <v>72</v>
      </c>
      <c r="AS4143">
        <v>413</v>
      </c>
      <c r="AT4143" s="4">
        <v>42416</v>
      </c>
      <c r="AU4143" t="s">
        <v>73</v>
      </c>
      <c r="AV4143">
        <v>413</v>
      </c>
      <c r="AW4143" s="4">
        <v>42416</v>
      </c>
      <c r="BD4143">
        <v>0</v>
      </c>
      <c r="BN4143" t="s">
        <v>74</v>
      </c>
    </row>
    <row r="4144" spans="1:66" hidden="1">
      <c r="A4144">
        <v>101541</v>
      </c>
      <c r="B4144" s="3" t="s">
        <v>467</v>
      </c>
      <c r="C4144" s="1">
        <v>43300101</v>
      </c>
      <c r="D4144" t="s">
        <v>67</v>
      </c>
      <c r="H4144" t="str">
        <f t="shared" si="450"/>
        <v>08230471008</v>
      </c>
      <c r="I4144" t="str">
        <f t="shared" si="450"/>
        <v>08230471008</v>
      </c>
      <c r="K4144" t="str">
        <f>""</f>
        <v/>
      </c>
      <c r="M4144" t="s">
        <v>68</v>
      </c>
      <c r="N4144" t="str">
        <f t="shared" si="448"/>
        <v>FOR</v>
      </c>
      <c r="O4144" t="s">
        <v>69</v>
      </c>
      <c r="P4144" s="3" t="s">
        <v>70</v>
      </c>
      <c r="Q4144">
        <v>2015</v>
      </c>
      <c r="R4144" s="2">
        <v>42093</v>
      </c>
      <c r="S4144" s="2">
        <v>42109</v>
      </c>
      <c r="T4144" s="2">
        <v>42109</v>
      </c>
      <c r="U4144" s="2">
        <v>42169</v>
      </c>
      <c r="V4144" t="s">
        <v>71</v>
      </c>
      <c r="W4144" t="str">
        <f>"                4417"</f>
        <v xml:space="preserve">                4417</v>
      </c>
      <c r="X4144">
        <v>305</v>
      </c>
      <c r="Y4144">
        <v>0</v>
      </c>
      <c r="Z4144"/>
      <c r="AB4144"/>
      <c r="AC4144">
        <v>250</v>
      </c>
      <c r="AD4144">
        <v>247</v>
      </c>
      <c r="AE4144" s="1">
        <v>61750</v>
      </c>
      <c r="AF4144">
        <v>0</v>
      </c>
      <c r="AJ4144">
        <v>0</v>
      </c>
      <c r="AK4144">
        <v>0</v>
      </c>
      <c r="AL4144">
        <v>0</v>
      </c>
      <c r="AM4144">
        <v>0</v>
      </c>
      <c r="AN4144">
        <v>0</v>
      </c>
      <c r="AO4144">
        <v>0</v>
      </c>
      <c r="AP4144" s="2">
        <v>42746</v>
      </c>
      <c r="AQ4144" t="s">
        <v>72</v>
      </c>
      <c r="AR4144" t="s">
        <v>72</v>
      </c>
      <c r="AS4144">
        <v>413</v>
      </c>
      <c r="AT4144" s="4">
        <v>42416</v>
      </c>
      <c r="AU4144" t="s">
        <v>73</v>
      </c>
      <c r="AV4144">
        <v>413</v>
      </c>
      <c r="AW4144" s="4">
        <v>42416</v>
      </c>
      <c r="BD4144">
        <v>0</v>
      </c>
      <c r="BN4144" t="s">
        <v>74</v>
      </c>
    </row>
    <row r="4145" spans="1:66" hidden="1">
      <c r="A4145">
        <v>101541</v>
      </c>
      <c r="B4145" s="3" t="s">
        <v>467</v>
      </c>
      <c r="C4145" s="1">
        <v>43300101</v>
      </c>
      <c r="D4145" t="s">
        <v>67</v>
      </c>
      <c r="H4145" t="str">
        <f t="shared" si="450"/>
        <v>08230471008</v>
      </c>
      <c r="I4145" t="str">
        <f t="shared" si="450"/>
        <v>08230471008</v>
      </c>
      <c r="K4145" t="str">
        <f>""</f>
        <v/>
      </c>
      <c r="M4145" t="s">
        <v>68</v>
      </c>
      <c r="N4145" t="str">
        <f t="shared" si="448"/>
        <v>FOR</v>
      </c>
      <c r="O4145" t="s">
        <v>69</v>
      </c>
      <c r="P4145" s="3" t="s">
        <v>70</v>
      </c>
      <c r="Q4145">
        <v>2015</v>
      </c>
      <c r="R4145" s="2">
        <v>42093</v>
      </c>
      <c r="S4145" s="2">
        <v>42109</v>
      </c>
      <c r="T4145" s="2">
        <v>42109</v>
      </c>
      <c r="U4145" s="2">
        <v>42169</v>
      </c>
      <c r="V4145" t="s">
        <v>71</v>
      </c>
      <c r="W4145" t="str">
        <f>"                4418"</f>
        <v xml:space="preserve">                4418</v>
      </c>
      <c r="X4145">
        <v>305</v>
      </c>
      <c r="Y4145">
        <v>0</v>
      </c>
      <c r="Z4145"/>
      <c r="AB4145"/>
      <c r="AC4145">
        <v>250</v>
      </c>
      <c r="AD4145">
        <v>247</v>
      </c>
      <c r="AE4145" s="1">
        <v>61750</v>
      </c>
      <c r="AF4145">
        <v>0</v>
      </c>
      <c r="AJ4145">
        <v>0</v>
      </c>
      <c r="AK4145">
        <v>0</v>
      </c>
      <c r="AL4145">
        <v>0</v>
      </c>
      <c r="AM4145">
        <v>0</v>
      </c>
      <c r="AN4145">
        <v>0</v>
      </c>
      <c r="AO4145">
        <v>0</v>
      </c>
      <c r="AP4145" s="2">
        <v>42746</v>
      </c>
      <c r="AQ4145" t="s">
        <v>72</v>
      </c>
      <c r="AR4145" t="s">
        <v>72</v>
      </c>
      <c r="AS4145">
        <v>413</v>
      </c>
      <c r="AT4145" s="4">
        <v>42416</v>
      </c>
      <c r="AU4145" t="s">
        <v>73</v>
      </c>
      <c r="AV4145">
        <v>413</v>
      </c>
      <c r="AW4145" s="4">
        <v>42416</v>
      </c>
      <c r="BD4145">
        <v>0</v>
      </c>
      <c r="BN4145" t="s">
        <v>74</v>
      </c>
    </row>
    <row r="4146" spans="1:66" hidden="1">
      <c r="A4146">
        <v>101541</v>
      </c>
      <c r="B4146" s="3" t="s">
        <v>467</v>
      </c>
      <c r="C4146" s="1">
        <v>43300101</v>
      </c>
      <c r="D4146" t="s">
        <v>67</v>
      </c>
      <c r="H4146" t="str">
        <f t="shared" si="450"/>
        <v>08230471008</v>
      </c>
      <c r="I4146" t="str">
        <f t="shared" si="450"/>
        <v>08230471008</v>
      </c>
      <c r="K4146" t="str">
        <f>""</f>
        <v/>
      </c>
      <c r="M4146" t="s">
        <v>68</v>
      </c>
      <c r="N4146" t="str">
        <f t="shared" si="448"/>
        <v>FOR</v>
      </c>
      <c r="O4146" t="s">
        <v>69</v>
      </c>
      <c r="P4146" s="3" t="s">
        <v>70</v>
      </c>
      <c r="Q4146">
        <v>2015</v>
      </c>
      <c r="R4146" s="2">
        <v>42093</v>
      </c>
      <c r="S4146" s="2">
        <v>42109</v>
      </c>
      <c r="T4146" s="2">
        <v>42109</v>
      </c>
      <c r="U4146" s="2">
        <v>42169</v>
      </c>
      <c r="V4146" t="s">
        <v>71</v>
      </c>
      <c r="W4146" t="str">
        <f>"                4419"</f>
        <v xml:space="preserve">                4419</v>
      </c>
      <c r="X4146">
        <v>305</v>
      </c>
      <c r="Y4146">
        <v>0</v>
      </c>
      <c r="Z4146"/>
      <c r="AB4146"/>
      <c r="AC4146">
        <v>250</v>
      </c>
      <c r="AD4146">
        <v>247</v>
      </c>
      <c r="AE4146" s="1">
        <v>61750</v>
      </c>
      <c r="AF4146">
        <v>0</v>
      </c>
      <c r="AJ4146">
        <v>0</v>
      </c>
      <c r="AK4146">
        <v>0</v>
      </c>
      <c r="AL4146">
        <v>0</v>
      </c>
      <c r="AM4146">
        <v>0</v>
      </c>
      <c r="AN4146">
        <v>0</v>
      </c>
      <c r="AO4146">
        <v>0</v>
      </c>
      <c r="AP4146" s="2">
        <v>42746</v>
      </c>
      <c r="AQ4146" t="s">
        <v>72</v>
      </c>
      <c r="AR4146" t="s">
        <v>72</v>
      </c>
      <c r="AS4146">
        <v>413</v>
      </c>
      <c r="AT4146" s="4">
        <v>42416</v>
      </c>
      <c r="AU4146" t="s">
        <v>73</v>
      </c>
      <c r="AV4146">
        <v>413</v>
      </c>
      <c r="AW4146" s="4">
        <v>42416</v>
      </c>
      <c r="BD4146">
        <v>0</v>
      </c>
      <c r="BN4146" t="s">
        <v>74</v>
      </c>
    </row>
    <row r="4147" spans="1:66" hidden="1">
      <c r="A4147">
        <v>101541</v>
      </c>
      <c r="B4147" s="3" t="s">
        <v>467</v>
      </c>
      <c r="C4147" s="1">
        <v>43300101</v>
      </c>
      <c r="D4147" t="s">
        <v>67</v>
      </c>
      <c r="H4147" t="str">
        <f t="shared" si="450"/>
        <v>08230471008</v>
      </c>
      <c r="I4147" t="str">
        <f t="shared" si="450"/>
        <v>08230471008</v>
      </c>
      <c r="K4147" t="str">
        <f>""</f>
        <v/>
      </c>
      <c r="M4147" t="s">
        <v>68</v>
      </c>
      <c r="N4147" t="str">
        <f t="shared" si="448"/>
        <v>FOR</v>
      </c>
      <c r="O4147" t="s">
        <v>69</v>
      </c>
      <c r="P4147" s="3" t="s">
        <v>70</v>
      </c>
      <c r="Q4147">
        <v>2015</v>
      </c>
      <c r="R4147" s="2">
        <v>42093</v>
      </c>
      <c r="S4147" s="2">
        <v>42109</v>
      </c>
      <c r="T4147" s="2">
        <v>42109</v>
      </c>
      <c r="U4147" s="2">
        <v>42169</v>
      </c>
      <c r="V4147" t="s">
        <v>71</v>
      </c>
      <c r="W4147" t="str">
        <f>"                4420"</f>
        <v xml:space="preserve">                4420</v>
      </c>
      <c r="X4147">
        <v>305</v>
      </c>
      <c r="Y4147">
        <v>0</v>
      </c>
      <c r="Z4147"/>
      <c r="AB4147"/>
      <c r="AC4147">
        <v>250</v>
      </c>
      <c r="AD4147">
        <v>247</v>
      </c>
      <c r="AE4147" s="1">
        <v>61750</v>
      </c>
      <c r="AF4147">
        <v>0</v>
      </c>
      <c r="AJ4147">
        <v>0</v>
      </c>
      <c r="AK4147">
        <v>0</v>
      </c>
      <c r="AL4147">
        <v>0</v>
      </c>
      <c r="AM4147">
        <v>0</v>
      </c>
      <c r="AN4147">
        <v>0</v>
      </c>
      <c r="AO4147">
        <v>0</v>
      </c>
      <c r="AP4147" s="2">
        <v>42746</v>
      </c>
      <c r="AQ4147" t="s">
        <v>72</v>
      </c>
      <c r="AR4147" t="s">
        <v>72</v>
      </c>
      <c r="AS4147">
        <v>413</v>
      </c>
      <c r="AT4147" s="4">
        <v>42416</v>
      </c>
      <c r="AU4147" t="s">
        <v>73</v>
      </c>
      <c r="AV4147">
        <v>413</v>
      </c>
      <c r="AW4147" s="4">
        <v>42416</v>
      </c>
      <c r="BD4147">
        <v>0</v>
      </c>
      <c r="BN4147" t="s">
        <v>74</v>
      </c>
    </row>
    <row r="4148" spans="1:66" hidden="1">
      <c r="A4148">
        <v>101541</v>
      </c>
      <c r="B4148" s="3" t="s">
        <v>467</v>
      </c>
      <c r="C4148" s="1">
        <v>43300101</v>
      </c>
      <c r="D4148" t="s">
        <v>67</v>
      </c>
      <c r="H4148" t="str">
        <f t="shared" si="450"/>
        <v>08230471008</v>
      </c>
      <c r="I4148" t="str">
        <f t="shared" si="450"/>
        <v>08230471008</v>
      </c>
      <c r="K4148" t="str">
        <f>""</f>
        <v/>
      </c>
      <c r="M4148" t="s">
        <v>68</v>
      </c>
      <c r="N4148" t="str">
        <f t="shared" si="448"/>
        <v>FOR</v>
      </c>
      <c r="O4148" t="s">
        <v>69</v>
      </c>
      <c r="P4148" s="3" t="s">
        <v>70</v>
      </c>
      <c r="Q4148">
        <v>2015</v>
      </c>
      <c r="R4148" s="2">
        <v>42093</v>
      </c>
      <c r="S4148" s="2">
        <v>42109</v>
      </c>
      <c r="T4148" s="2">
        <v>42109</v>
      </c>
      <c r="U4148" s="2">
        <v>42169</v>
      </c>
      <c r="V4148" t="s">
        <v>71</v>
      </c>
      <c r="W4148" t="str">
        <f>"                4421"</f>
        <v xml:space="preserve">                4421</v>
      </c>
      <c r="X4148">
        <v>305</v>
      </c>
      <c r="Y4148">
        <v>0</v>
      </c>
      <c r="Z4148"/>
      <c r="AB4148"/>
      <c r="AC4148">
        <v>250</v>
      </c>
      <c r="AD4148">
        <v>247</v>
      </c>
      <c r="AE4148" s="1">
        <v>61750</v>
      </c>
      <c r="AF4148">
        <v>0</v>
      </c>
      <c r="AJ4148">
        <v>0</v>
      </c>
      <c r="AK4148">
        <v>0</v>
      </c>
      <c r="AL4148">
        <v>0</v>
      </c>
      <c r="AM4148">
        <v>0</v>
      </c>
      <c r="AN4148">
        <v>0</v>
      </c>
      <c r="AO4148">
        <v>0</v>
      </c>
      <c r="AP4148" s="2">
        <v>42746</v>
      </c>
      <c r="AQ4148" t="s">
        <v>72</v>
      </c>
      <c r="AR4148" t="s">
        <v>72</v>
      </c>
      <c r="AS4148">
        <v>413</v>
      </c>
      <c r="AT4148" s="4">
        <v>42416</v>
      </c>
      <c r="AU4148" t="s">
        <v>73</v>
      </c>
      <c r="AV4148">
        <v>413</v>
      </c>
      <c r="AW4148" s="4">
        <v>42416</v>
      </c>
      <c r="BD4148">
        <v>0</v>
      </c>
      <c r="BN4148" t="s">
        <v>74</v>
      </c>
    </row>
    <row r="4149" spans="1:66" hidden="1">
      <c r="A4149">
        <v>101541</v>
      </c>
      <c r="B4149" s="3" t="s">
        <v>467</v>
      </c>
      <c r="C4149" s="1">
        <v>43300101</v>
      </c>
      <c r="D4149" t="s">
        <v>67</v>
      </c>
      <c r="H4149" t="str">
        <f t="shared" si="450"/>
        <v>08230471008</v>
      </c>
      <c r="I4149" t="str">
        <f t="shared" si="450"/>
        <v>08230471008</v>
      </c>
      <c r="K4149" t="str">
        <f>""</f>
        <v/>
      </c>
      <c r="M4149" t="s">
        <v>68</v>
      </c>
      <c r="N4149" t="str">
        <f t="shared" si="448"/>
        <v>FOR</v>
      </c>
      <c r="O4149" t="s">
        <v>69</v>
      </c>
      <c r="P4149" s="3" t="s">
        <v>70</v>
      </c>
      <c r="Q4149">
        <v>2015</v>
      </c>
      <c r="R4149" s="2">
        <v>42093</v>
      </c>
      <c r="S4149" s="2">
        <v>42109</v>
      </c>
      <c r="T4149" s="2">
        <v>42109</v>
      </c>
      <c r="U4149" s="2">
        <v>42169</v>
      </c>
      <c r="V4149" t="s">
        <v>71</v>
      </c>
      <c r="W4149" t="str">
        <f>"                4422"</f>
        <v xml:space="preserve">                4422</v>
      </c>
      <c r="X4149">
        <v>305</v>
      </c>
      <c r="Y4149">
        <v>0</v>
      </c>
      <c r="Z4149"/>
      <c r="AB4149"/>
      <c r="AC4149">
        <v>250</v>
      </c>
      <c r="AD4149">
        <v>247</v>
      </c>
      <c r="AE4149" s="1">
        <v>61750</v>
      </c>
      <c r="AF4149">
        <v>0</v>
      </c>
      <c r="AJ4149">
        <v>0</v>
      </c>
      <c r="AK4149">
        <v>0</v>
      </c>
      <c r="AL4149">
        <v>0</v>
      </c>
      <c r="AM4149">
        <v>0</v>
      </c>
      <c r="AN4149">
        <v>0</v>
      </c>
      <c r="AO4149">
        <v>0</v>
      </c>
      <c r="AP4149" s="2">
        <v>42746</v>
      </c>
      <c r="AQ4149" t="s">
        <v>72</v>
      </c>
      <c r="AR4149" t="s">
        <v>72</v>
      </c>
      <c r="AS4149">
        <v>413</v>
      </c>
      <c r="AT4149" s="4">
        <v>42416</v>
      </c>
      <c r="AU4149" t="s">
        <v>73</v>
      </c>
      <c r="AV4149">
        <v>413</v>
      </c>
      <c r="AW4149" s="4">
        <v>42416</v>
      </c>
      <c r="BD4149">
        <v>0</v>
      </c>
      <c r="BN4149" t="s">
        <v>74</v>
      </c>
    </row>
    <row r="4150" spans="1:66" hidden="1">
      <c r="A4150">
        <v>101541</v>
      </c>
      <c r="B4150" s="3" t="s">
        <v>467</v>
      </c>
      <c r="C4150" s="1">
        <v>43300101</v>
      </c>
      <c r="D4150" t="s">
        <v>67</v>
      </c>
      <c r="H4150" t="str">
        <f t="shared" si="450"/>
        <v>08230471008</v>
      </c>
      <c r="I4150" t="str">
        <f t="shared" si="450"/>
        <v>08230471008</v>
      </c>
      <c r="K4150" t="str">
        <f>""</f>
        <v/>
      </c>
      <c r="M4150" t="s">
        <v>68</v>
      </c>
      <c r="N4150" t="str">
        <f t="shared" si="448"/>
        <v>FOR</v>
      </c>
      <c r="O4150" t="s">
        <v>69</v>
      </c>
      <c r="P4150" s="3" t="s">
        <v>70</v>
      </c>
      <c r="Q4150">
        <v>2015</v>
      </c>
      <c r="R4150" s="2">
        <v>42093</v>
      </c>
      <c r="S4150" s="2">
        <v>42109</v>
      </c>
      <c r="T4150" s="2">
        <v>42109</v>
      </c>
      <c r="U4150" s="2">
        <v>42169</v>
      </c>
      <c r="V4150" t="s">
        <v>71</v>
      </c>
      <c r="W4150" t="str">
        <f>"                4423"</f>
        <v xml:space="preserve">                4423</v>
      </c>
      <c r="X4150">
        <v>305</v>
      </c>
      <c r="Y4150">
        <v>0</v>
      </c>
      <c r="Z4150"/>
      <c r="AB4150"/>
      <c r="AC4150">
        <v>250</v>
      </c>
      <c r="AD4150">
        <v>247</v>
      </c>
      <c r="AE4150" s="1">
        <v>61750</v>
      </c>
      <c r="AF4150">
        <v>0</v>
      </c>
      <c r="AJ4150">
        <v>0</v>
      </c>
      <c r="AK4150">
        <v>0</v>
      </c>
      <c r="AL4150">
        <v>0</v>
      </c>
      <c r="AM4150">
        <v>0</v>
      </c>
      <c r="AN4150">
        <v>0</v>
      </c>
      <c r="AO4150">
        <v>0</v>
      </c>
      <c r="AP4150" s="2">
        <v>42746</v>
      </c>
      <c r="AQ4150" t="s">
        <v>72</v>
      </c>
      <c r="AR4150" t="s">
        <v>72</v>
      </c>
      <c r="AS4150">
        <v>413</v>
      </c>
      <c r="AT4150" s="4">
        <v>42416</v>
      </c>
      <c r="AU4150" t="s">
        <v>73</v>
      </c>
      <c r="AV4150">
        <v>413</v>
      </c>
      <c r="AW4150" s="4">
        <v>42416</v>
      </c>
      <c r="BD4150">
        <v>0</v>
      </c>
      <c r="BN4150" t="s">
        <v>74</v>
      </c>
    </row>
    <row r="4151" spans="1:66" hidden="1">
      <c r="A4151">
        <v>101541</v>
      </c>
      <c r="B4151" s="3" t="s">
        <v>467</v>
      </c>
      <c r="C4151" s="1">
        <v>43300101</v>
      </c>
      <c r="D4151" t="s">
        <v>67</v>
      </c>
      <c r="H4151" t="str">
        <f t="shared" si="450"/>
        <v>08230471008</v>
      </c>
      <c r="I4151" t="str">
        <f t="shared" si="450"/>
        <v>08230471008</v>
      </c>
      <c r="K4151" t="str">
        <f>""</f>
        <v/>
      </c>
      <c r="M4151" t="s">
        <v>68</v>
      </c>
      <c r="N4151" t="str">
        <f t="shared" si="448"/>
        <v>FOR</v>
      </c>
      <c r="O4151" t="s">
        <v>69</v>
      </c>
      <c r="P4151" s="3" t="s">
        <v>70</v>
      </c>
      <c r="Q4151">
        <v>2015</v>
      </c>
      <c r="R4151" s="2">
        <v>42093</v>
      </c>
      <c r="S4151" s="2">
        <v>42109</v>
      </c>
      <c r="T4151" s="2">
        <v>42109</v>
      </c>
      <c r="U4151" s="2">
        <v>42169</v>
      </c>
      <c r="V4151" t="s">
        <v>71</v>
      </c>
      <c r="W4151" t="str">
        <f>"                4424"</f>
        <v xml:space="preserve">                4424</v>
      </c>
      <c r="X4151">
        <v>305</v>
      </c>
      <c r="Y4151">
        <v>0</v>
      </c>
      <c r="Z4151"/>
      <c r="AB4151"/>
      <c r="AC4151">
        <v>250</v>
      </c>
      <c r="AD4151">
        <v>247</v>
      </c>
      <c r="AE4151" s="1">
        <v>61750</v>
      </c>
      <c r="AF4151">
        <v>0</v>
      </c>
      <c r="AJ4151">
        <v>0</v>
      </c>
      <c r="AK4151">
        <v>0</v>
      </c>
      <c r="AL4151">
        <v>0</v>
      </c>
      <c r="AM4151">
        <v>0</v>
      </c>
      <c r="AN4151">
        <v>0</v>
      </c>
      <c r="AO4151">
        <v>0</v>
      </c>
      <c r="AP4151" s="2">
        <v>42746</v>
      </c>
      <c r="AQ4151" t="s">
        <v>72</v>
      </c>
      <c r="AR4151" t="s">
        <v>72</v>
      </c>
      <c r="AS4151">
        <v>413</v>
      </c>
      <c r="AT4151" s="4">
        <v>42416</v>
      </c>
      <c r="AU4151" t="s">
        <v>73</v>
      </c>
      <c r="AV4151">
        <v>413</v>
      </c>
      <c r="AW4151" s="4">
        <v>42416</v>
      </c>
      <c r="BD4151">
        <v>0</v>
      </c>
      <c r="BN4151" t="s">
        <v>74</v>
      </c>
    </row>
    <row r="4152" spans="1:66" hidden="1">
      <c r="A4152">
        <v>101541</v>
      </c>
      <c r="B4152" s="3" t="s">
        <v>467</v>
      </c>
      <c r="C4152" s="1">
        <v>43300101</v>
      </c>
      <c r="D4152" t="s">
        <v>67</v>
      </c>
      <c r="H4152" t="str">
        <f t="shared" si="450"/>
        <v>08230471008</v>
      </c>
      <c r="I4152" t="str">
        <f t="shared" si="450"/>
        <v>08230471008</v>
      </c>
      <c r="K4152" t="str">
        <f>""</f>
        <v/>
      </c>
      <c r="M4152" t="s">
        <v>68</v>
      </c>
      <c r="N4152" t="str">
        <f t="shared" si="448"/>
        <v>FOR</v>
      </c>
      <c r="O4152" t="s">
        <v>69</v>
      </c>
      <c r="P4152" s="3" t="s">
        <v>75</v>
      </c>
      <c r="Q4152">
        <v>2015</v>
      </c>
      <c r="R4152" s="2">
        <v>42121</v>
      </c>
      <c r="S4152" s="2">
        <v>42172</v>
      </c>
      <c r="T4152" s="2">
        <v>42138</v>
      </c>
      <c r="U4152" s="2">
        <v>42198</v>
      </c>
      <c r="V4152" t="s">
        <v>71</v>
      </c>
      <c r="W4152" t="str">
        <f>"               50105"</f>
        <v xml:space="preserve">               50105</v>
      </c>
      <c r="X4152">
        <v>728</v>
      </c>
      <c r="Y4152">
        <v>0</v>
      </c>
      <c r="Z4152"/>
      <c r="AB4152"/>
      <c r="AC4152">
        <v>700</v>
      </c>
      <c r="AD4152">
        <v>235</v>
      </c>
      <c r="AE4152" s="1">
        <v>164500</v>
      </c>
      <c r="AF4152">
        <v>0</v>
      </c>
      <c r="AJ4152">
        <v>0</v>
      </c>
      <c r="AK4152">
        <v>0</v>
      </c>
      <c r="AL4152">
        <v>0</v>
      </c>
      <c r="AM4152">
        <v>0</v>
      </c>
      <c r="AN4152">
        <v>0</v>
      </c>
      <c r="AO4152">
        <v>0</v>
      </c>
      <c r="AP4152" s="2">
        <v>42746</v>
      </c>
      <c r="AQ4152" t="s">
        <v>72</v>
      </c>
      <c r="AR4152" t="s">
        <v>72</v>
      </c>
      <c r="AS4152">
        <v>653</v>
      </c>
      <c r="AT4152" s="4">
        <v>42433</v>
      </c>
      <c r="AU4152" t="s">
        <v>73</v>
      </c>
      <c r="AV4152">
        <v>653</v>
      </c>
      <c r="AW4152" s="4">
        <v>42433</v>
      </c>
      <c r="BD4152">
        <v>0</v>
      </c>
      <c r="BN4152" t="s">
        <v>74</v>
      </c>
    </row>
    <row r="4153" spans="1:66" hidden="1">
      <c r="A4153">
        <v>101541</v>
      </c>
      <c r="B4153" s="3" t="s">
        <v>467</v>
      </c>
      <c r="C4153" s="1">
        <v>43300101</v>
      </c>
      <c r="D4153" t="s">
        <v>67</v>
      </c>
      <c r="H4153" t="str">
        <f t="shared" si="450"/>
        <v>08230471008</v>
      </c>
      <c r="I4153" t="str">
        <f t="shared" si="450"/>
        <v>08230471008</v>
      </c>
      <c r="K4153" t="str">
        <f>""</f>
        <v/>
      </c>
      <c r="M4153" t="s">
        <v>68</v>
      </c>
      <c r="N4153" t="str">
        <f t="shared" si="448"/>
        <v>FOR</v>
      </c>
      <c r="O4153" t="s">
        <v>69</v>
      </c>
      <c r="P4153" s="3" t="s">
        <v>75</v>
      </c>
      <c r="Q4153">
        <v>2015</v>
      </c>
      <c r="R4153" s="2">
        <v>42121</v>
      </c>
      <c r="S4153" s="2">
        <v>42185</v>
      </c>
      <c r="T4153" s="2">
        <v>42181</v>
      </c>
      <c r="U4153" s="2">
        <v>42241</v>
      </c>
      <c r="V4153" t="s">
        <v>71</v>
      </c>
      <c r="W4153" t="str">
        <f>"               50106"</f>
        <v xml:space="preserve">               50106</v>
      </c>
      <c r="X4153">
        <v>728</v>
      </c>
      <c r="Y4153">
        <v>0</v>
      </c>
      <c r="Z4153"/>
      <c r="AB4153"/>
      <c r="AC4153">
        <v>700</v>
      </c>
      <c r="AD4153">
        <v>192</v>
      </c>
      <c r="AE4153" s="1">
        <v>134400</v>
      </c>
      <c r="AF4153">
        <v>0</v>
      </c>
      <c r="AJ4153">
        <v>0</v>
      </c>
      <c r="AK4153">
        <v>0</v>
      </c>
      <c r="AL4153">
        <v>0</v>
      </c>
      <c r="AM4153">
        <v>0</v>
      </c>
      <c r="AN4153">
        <v>0</v>
      </c>
      <c r="AO4153">
        <v>0</v>
      </c>
      <c r="AP4153" s="2">
        <v>42746</v>
      </c>
      <c r="AQ4153" t="s">
        <v>72</v>
      </c>
      <c r="AR4153" t="s">
        <v>72</v>
      </c>
      <c r="AS4153">
        <v>653</v>
      </c>
      <c r="AT4153" s="4">
        <v>42433</v>
      </c>
      <c r="AU4153" t="s">
        <v>73</v>
      </c>
      <c r="AV4153">
        <v>653</v>
      </c>
      <c r="AW4153" s="4">
        <v>42433</v>
      </c>
      <c r="BD4153">
        <v>0</v>
      </c>
      <c r="BN4153" t="s">
        <v>74</v>
      </c>
    </row>
    <row r="4154" spans="1:66" hidden="1">
      <c r="A4154">
        <v>101541</v>
      </c>
      <c r="B4154" s="3" t="s">
        <v>467</v>
      </c>
      <c r="C4154" s="1">
        <v>43300101</v>
      </c>
      <c r="D4154" t="s">
        <v>67</v>
      </c>
      <c r="H4154" t="str">
        <f t="shared" si="450"/>
        <v>08230471008</v>
      </c>
      <c r="I4154" t="str">
        <f t="shared" si="450"/>
        <v>08230471008</v>
      </c>
      <c r="K4154" t="str">
        <f>""</f>
        <v/>
      </c>
      <c r="M4154" t="s">
        <v>68</v>
      </c>
      <c r="N4154" t="str">
        <f t="shared" si="448"/>
        <v>FOR</v>
      </c>
      <c r="O4154" t="s">
        <v>69</v>
      </c>
      <c r="P4154" s="3" t="s">
        <v>75</v>
      </c>
      <c r="Q4154">
        <v>2015</v>
      </c>
      <c r="R4154" s="2">
        <v>42121</v>
      </c>
      <c r="S4154" s="2">
        <v>42174</v>
      </c>
      <c r="T4154" s="2">
        <v>42138</v>
      </c>
      <c r="U4154" s="2">
        <v>42198</v>
      </c>
      <c r="V4154" t="s">
        <v>71</v>
      </c>
      <c r="W4154" t="str">
        <f>"               50107"</f>
        <v xml:space="preserve">               50107</v>
      </c>
      <c r="X4154">
        <v>728</v>
      </c>
      <c r="Y4154">
        <v>0</v>
      </c>
      <c r="Z4154"/>
      <c r="AB4154"/>
      <c r="AC4154">
        <v>700</v>
      </c>
      <c r="AD4154">
        <v>235</v>
      </c>
      <c r="AE4154" s="1">
        <v>164500</v>
      </c>
      <c r="AF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 s="2">
        <v>42746</v>
      </c>
      <c r="AQ4154" t="s">
        <v>72</v>
      </c>
      <c r="AR4154" t="s">
        <v>72</v>
      </c>
      <c r="AS4154">
        <v>653</v>
      </c>
      <c r="AT4154" s="4">
        <v>42433</v>
      </c>
      <c r="AU4154" t="s">
        <v>73</v>
      </c>
      <c r="AV4154">
        <v>653</v>
      </c>
      <c r="AW4154" s="4">
        <v>42433</v>
      </c>
      <c r="BD4154">
        <v>0</v>
      </c>
      <c r="BN4154" t="s">
        <v>74</v>
      </c>
    </row>
    <row r="4155" spans="1:66" hidden="1">
      <c r="A4155">
        <v>101541</v>
      </c>
      <c r="B4155" s="3" t="s">
        <v>467</v>
      </c>
      <c r="C4155" s="1">
        <v>43300101</v>
      </c>
      <c r="D4155" t="s">
        <v>67</v>
      </c>
      <c r="H4155" t="str">
        <f t="shared" si="450"/>
        <v>08230471008</v>
      </c>
      <c r="I4155" t="str">
        <f t="shared" si="450"/>
        <v>08230471008</v>
      </c>
      <c r="K4155" t="str">
        <f>""</f>
        <v/>
      </c>
      <c r="M4155" t="s">
        <v>68</v>
      </c>
      <c r="N4155" t="str">
        <f t="shared" si="448"/>
        <v>FOR</v>
      </c>
      <c r="O4155" t="s">
        <v>69</v>
      </c>
      <c r="P4155" s="3" t="s">
        <v>75</v>
      </c>
      <c r="Q4155">
        <v>2015</v>
      </c>
      <c r="R4155" s="2">
        <v>42121</v>
      </c>
      <c r="S4155" s="2">
        <v>42172</v>
      </c>
      <c r="T4155" s="2">
        <v>42138</v>
      </c>
      <c r="U4155" s="2">
        <v>42198</v>
      </c>
      <c r="V4155" t="s">
        <v>71</v>
      </c>
      <c r="W4155" t="str">
        <f>"               50108"</f>
        <v xml:space="preserve">               50108</v>
      </c>
      <c r="X4155">
        <v>305</v>
      </c>
      <c r="Y4155">
        <v>0</v>
      </c>
      <c r="Z4155"/>
      <c r="AB4155"/>
      <c r="AC4155">
        <v>250</v>
      </c>
      <c r="AD4155">
        <v>235</v>
      </c>
      <c r="AE4155" s="1">
        <v>58750</v>
      </c>
      <c r="AF4155">
        <v>0</v>
      </c>
      <c r="AJ4155">
        <v>0</v>
      </c>
      <c r="AK4155">
        <v>0</v>
      </c>
      <c r="AL4155">
        <v>0</v>
      </c>
      <c r="AM4155">
        <v>0</v>
      </c>
      <c r="AN4155">
        <v>0</v>
      </c>
      <c r="AO4155">
        <v>0</v>
      </c>
      <c r="AP4155" s="2">
        <v>42746</v>
      </c>
      <c r="AQ4155" t="s">
        <v>72</v>
      </c>
      <c r="AR4155" t="s">
        <v>72</v>
      </c>
      <c r="AS4155">
        <v>653</v>
      </c>
      <c r="AT4155" s="4">
        <v>42433</v>
      </c>
      <c r="AU4155" t="s">
        <v>73</v>
      </c>
      <c r="AV4155">
        <v>653</v>
      </c>
      <c r="AW4155" s="4">
        <v>42433</v>
      </c>
      <c r="BD4155">
        <v>0</v>
      </c>
      <c r="BN4155" t="s">
        <v>74</v>
      </c>
    </row>
    <row r="4156" spans="1:66" hidden="1">
      <c r="A4156">
        <v>101541</v>
      </c>
      <c r="B4156" s="3" t="s">
        <v>467</v>
      </c>
      <c r="C4156" s="1">
        <v>43300101</v>
      </c>
      <c r="D4156" t="s">
        <v>67</v>
      </c>
      <c r="H4156" t="str">
        <f t="shared" si="450"/>
        <v>08230471008</v>
      </c>
      <c r="I4156" t="str">
        <f t="shared" si="450"/>
        <v>08230471008</v>
      </c>
      <c r="K4156" t="str">
        <f>""</f>
        <v/>
      </c>
      <c r="M4156" t="s">
        <v>68</v>
      </c>
      <c r="N4156" t="str">
        <f t="shared" si="448"/>
        <v>FOR</v>
      </c>
      <c r="O4156" t="s">
        <v>69</v>
      </c>
      <c r="P4156" s="3" t="s">
        <v>75</v>
      </c>
      <c r="Q4156">
        <v>2015</v>
      </c>
      <c r="R4156" s="2">
        <v>42121</v>
      </c>
      <c r="S4156" s="2">
        <v>42186</v>
      </c>
      <c r="T4156" s="2">
        <v>42182</v>
      </c>
      <c r="U4156" s="2">
        <v>42242</v>
      </c>
      <c r="V4156" t="s">
        <v>71</v>
      </c>
      <c r="W4156" t="str">
        <f>"               50109"</f>
        <v xml:space="preserve">               50109</v>
      </c>
      <c r="X4156">
        <v>305</v>
      </c>
      <c r="Y4156">
        <v>0</v>
      </c>
      <c r="Z4156"/>
      <c r="AB4156"/>
      <c r="AC4156">
        <v>250</v>
      </c>
      <c r="AD4156">
        <v>191</v>
      </c>
      <c r="AE4156" s="1">
        <v>47750</v>
      </c>
      <c r="AF4156">
        <v>0</v>
      </c>
      <c r="AJ4156">
        <v>0</v>
      </c>
      <c r="AK4156">
        <v>0</v>
      </c>
      <c r="AL4156">
        <v>0</v>
      </c>
      <c r="AM4156">
        <v>0</v>
      </c>
      <c r="AN4156">
        <v>0</v>
      </c>
      <c r="AO4156">
        <v>0</v>
      </c>
      <c r="AP4156" s="2">
        <v>42746</v>
      </c>
      <c r="AQ4156" t="s">
        <v>72</v>
      </c>
      <c r="AR4156" t="s">
        <v>72</v>
      </c>
      <c r="AS4156">
        <v>653</v>
      </c>
      <c r="AT4156" s="4">
        <v>42433</v>
      </c>
      <c r="AU4156" t="s">
        <v>73</v>
      </c>
      <c r="AV4156">
        <v>653</v>
      </c>
      <c r="AW4156" s="4">
        <v>42433</v>
      </c>
      <c r="BD4156">
        <v>0</v>
      </c>
      <c r="BN4156" t="s">
        <v>74</v>
      </c>
    </row>
    <row r="4157" spans="1:66" hidden="1">
      <c r="A4157">
        <v>101541</v>
      </c>
      <c r="B4157" s="3" t="s">
        <v>467</v>
      </c>
      <c r="C4157" s="1">
        <v>43300101</v>
      </c>
      <c r="D4157" t="s">
        <v>67</v>
      </c>
      <c r="H4157" t="str">
        <f t="shared" si="450"/>
        <v>08230471008</v>
      </c>
      <c r="I4157" t="str">
        <f t="shared" si="450"/>
        <v>08230471008</v>
      </c>
      <c r="K4157" t="str">
        <f>""</f>
        <v/>
      </c>
      <c r="M4157" t="s">
        <v>68</v>
      </c>
      <c r="N4157" t="str">
        <f t="shared" si="448"/>
        <v>FOR</v>
      </c>
      <c r="O4157" t="s">
        <v>69</v>
      </c>
      <c r="P4157" s="3" t="s">
        <v>75</v>
      </c>
      <c r="Q4157">
        <v>2015</v>
      </c>
      <c r="R4157" s="2">
        <v>42121</v>
      </c>
      <c r="S4157" s="2">
        <v>42172</v>
      </c>
      <c r="T4157" s="2">
        <v>42138</v>
      </c>
      <c r="U4157" s="2">
        <v>42198</v>
      </c>
      <c r="V4157" t="s">
        <v>71</v>
      </c>
      <c r="W4157" t="str">
        <f>"               50110"</f>
        <v xml:space="preserve">               50110</v>
      </c>
      <c r="X4157">
        <v>305</v>
      </c>
      <c r="Y4157">
        <v>0</v>
      </c>
      <c r="Z4157"/>
      <c r="AB4157"/>
      <c r="AC4157">
        <v>250</v>
      </c>
      <c r="AD4157">
        <v>235</v>
      </c>
      <c r="AE4157" s="1">
        <v>58750</v>
      </c>
      <c r="AF4157">
        <v>0</v>
      </c>
      <c r="AJ4157">
        <v>0</v>
      </c>
      <c r="AK4157">
        <v>0</v>
      </c>
      <c r="AL4157">
        <v>0</v>
      </c>
      <c r="AM4157">
        <v>0</v>
      </c>
      <c r="AN4157">
        <v>0</v>
      </c>
      <c r="AO4157">
        <v>0</v>
      </c>
      <c r="AP4157" s="2">
        <v>42746</v>
      </c>
      <c r="AQ4157" t="s">
        <v>72</v>
      </c>
      <c r="AR4157" t="s">
        <v>72</v>
      </c>
      <c r="AS4157">
        <v>653</v>
      </c>
      <c r="AT4157" s="4">
        <v>42433</v>
      </c>
      <c r="AU4157" t="s">
        <v>73</v>
      </c>
      <c r="AV4157">
        <v>653</v>
      </c>
      <c r="AW4157" s="4">
        <v>42433</v>
      </c>
      <c r="BD4157">
        <v>0</v>
      </c>
      <c r="BN4157" t="s">
        <v>74</v>
      </c>
    </row>
    <row r="4158" spans="1:66" hidden="1">
      <c r="A4158">
        <v>101541</v>
      </c>
      <c r="B4158" s="3" t="s">
        <v>467</v>
      </c>
      <c r="C4158" s="1">
        <v>43300101</v>
      </c>
      <c r="D4158" t="s">
        <v>67</v>
      </c>
      <c r="H4158" t="str">
        <f t="shared" ref="H4158:I4177" si="451">"08230471008"</f>
        <v>08230471008</v>
      </c>
      <c r="I4158" t="str">
        <f t="shared" si="451"/>
        <v>08230471008</v>
      </c>
      <c r="K4158" t="str">
        <f>""</f>
        <v/>
      </c>
      <c r="M4158" t="s">
        <v>68</v>
      </c>
      <c r="N4158" t="str">
        <f t="shared" si="448"/>
        <v>FOR</v>
      </c>
      <c r="O4158" t="s">
        <v>69</v>
      </c>
      <c r="P4158" s="3" t="s">
        <v>75</v>
      </c>
      <c r="Q4158">
        <v>2015</v>
      </c>
      <c r="R4158" s="2">
        <v>42121</v>
      </c>
      <c r="S4158" s="2">
        <v>42172</v>
      </c>
      <c r="T4158" s="2">
        <v>42138</v>
      </c>
      <c r="U4158" s="2">
        <v>42198</v>
      </c>
      <c r="V4158" t="s">
        <v>71</v>
      </c>
      <c r="W4158" t="str">
        <f>"               50111"</f>
        <v xml:space="preserve">               50111</v>
      </c>
      <c r="X4158">
        <v>305</v>
      </c>
      <c r="Y4158">
        <v>0</v>
      </c>
      <c r="Z4158"/>
      <c r="AB4158"/>
      <c r="AC4158">
        <v>250</v>
      </c>
      <c r="AD4158">
        <v>235</v>
      </c>
      <c r="AE4158" s="1">
        <v>58750</v>
      </c>
      <c r="AF4158">
        <v>0</v>
      </c>
      <c r="AJ4158">
        <v>0</v>
      </c>
      <c r="AK4158">
        <v>0</v>
      </c>
      <c r="AL4158">
        <v>0</v>
      </c>
      <c r="AM4158">
        <v>0</v>
      </c>
      <c r="AN4158">
        <v>0</v>
      </c>
      <c r="AO4158">
        <v>0</v>
      </c>
      <c r="AP4158" s="2">
        <v>42746</v>
      </c>
      <c r="AQ4158" t="s">
        <v>72</v>
      </c>
      <c r="AR4158" t="s">
        <v>72</v>
      </c>
      <c r="AS4158">
        <v>653</v>
      </c>
      <c r="AT4158" s="4">
        <v>42433</v>
      </c>
      <c r="AU4158" t="s">
        <v>73</v>
      </c>
      <c r="AV4158">
        <v>653</v>
      </c>
      <c r="AW4158" s="4">
        <v>42433</v>
      </c>
      <c r="BD4158">
        <v>0</v>
      </c>
      <c r="BN4158" t="s">
        <v>74</v>
      </c>
    </row>
    <row r="4159" spans="1:66" hidden="1">
      <c r="A4159">
        <v>101541</v>
      </c>
      <c r="B4159" s="3" t="s">
        <v>467</v>
      </c>
      <c r="C4159" s="1">
        <v>43300101</v>
      </c>
      <c r="D4159" t="s">
        <v>67</v>
      </c>
      <c r="H4159" t="str">
        <f t="shared" si="451"/>
        <v>08230471008</v>
      </c>
      <c r="I4159" t="str">
        <f t="shared" si="451"/>
        <v>08230471008</v>
      </c>
      <c r="K4159" t="str">
        <f>""</f>
        <v/>
      </c>
      <c r="M4159" t="s">
        <v>68</v>
      </c>
      <c r="N4159" t="str">
        <f t="shared" si="448"/>
        <v>FOR</v>
      </c>
      <c r="O4159" t="s">
        <v>69</v>
      </c>
      <c r="P4159" s="3" t="s">
        <v>75</v>
      </c>
      <c r="Q4159">
        <v>2015</v>
      </c>
      <c r="R4159" s="2">
        <v>42121</v>
      </c>
      <c r="S4159" s="2">
        <v>42174</v>
      </c>
      <c r="T4159" s="2">
        <v>42138</v>
      </c>
      <c r="U4159" s="2">
        <v>42198</v>
      </c>
      <c r="V4159" t="s">
        <v>71</v>
      </c>
      <c r="W4159" t="str">
        <f>"               50112"</f>
        <v xml:space="preserve">               50112</v>
      </c>
      <c r="X4159">
        <v>305</v>
      </c>
      <c r="Y4159">
        <v>0</v>
      </c>
      <c r="Z4159"/>
      <c r="AB4159"/>
      <c r="AC4159">
        <v>250</v>
      </c>
      <c r="AD4159">
        <v>235</v>
      </c>
      <c r="AE4159" s="1">
        <v>58750</v>
      </c>
      <c r="AF4159">
        <v>0</v>
      </c>
      <c r="AJ4159">
        <v>0</v>
      </c>
      <c r="AK4159">
        <v>0</v>
      </c>
      <c r="AL4159">
        <v>0</v>
      </c>
      <c r="AM4159">
        <v>0</v>
      </c>
      <c r="AN4159">
        <v>0</v>
      </c>
      <c r="AO4159">
        <v>0</v>
      </c>
      <c r="AP4159" s="2">
        <v>42746</v>
      </c>
      <c r="AQ4159" t="s">
        <v>72</v>
      </c>
      <c r="AR4159" t="s">
        <v>72</v>
      </c>
      <c r="AS4159">
        <v>653</v>
      </c>
      <c r="AT4159" s="4">
        <v>42433</v>
      </c>
      <c r="AU4159" t="s">
        <v>73</v>
      </c>
      <c r="AV4159">
        <v>653</v>
      </c>
      <c r="AW4159" s="4">
        <v>42433</v>
      </c>
      <c r="BD4159">
        <v>0</v>
      </c>
      <c r="BN4159" t="s">
        <v>74</v>
      </c>
    </row>
    <row r="4160" spans="1:66" hidden="1">
      <c r="A4160">
        <v>101541</v>
      </c>
      <c r="B4160" s="3" t="s">
        <v>467</v>
      </c>
      <c r="C4160" s="1">
        <v>43300101</v>
      </c>
      <c r="D4160" t="s">
        <v>67</v>
      </c>
      <c r="H4160" t="str">
        <f t="shared" si="451"/>
        <v>08230471008</v>
      </c>
      <c r="I4160" t="str">
        <f t="shared" si="451"/>
        <v>08230471008</v>
      </c>
      <c r="K4160" t="str">
        <f>""</f>
        <v/>
      </c>
      <c r="M4160" t="s">
        <v>68</v>
      </c>
      <c r="N4160" t="str">
        <f t="shared" si="448"/>
        <v>FOR</v>
      </c>
      <c r="O4160" t="s">
        <v>69</v>
      </c>
      <c r="P4160" s="3" t="s">
        <v>75</v>
      </c>
      <c r="Q4160">
        <v>2015</v>
      </c>
      <c r="R4160" s="2">
        <v>42121</v>
      </c>
      <c r="S4160" s="2">
        <v>42172</v>
      </c>
      <c r="T4160" s="2">
        <v>42138</v>
      </c>
      <c r="U4160" s="2">
        <v>42198</v>
      </c>
      <c r="V4160" t="s">
        <v>71</v>
      </c>
      <c r="W4160" t="str">
        <f>"               50113"</f>
        <v xml:space="preserve">               50113</v>
      </c>
      <c r="X4160">
        <v>305</v>
      </c>
      <c r="Y4160">
        <v>0</v>
      </c>
      <c r="Z4160"/>
      <c r="AB4160"/>
      <c r="AC4160">
        <v>250</v>
      </c>
      <c r="AD4160">
        <v>235</v>
      </c>
      <c r="AE4160" s="1">
        <v>58750</v>
      </c>
      <c r="AF4160">
        <v>0</v>
      </c>
      <c r="AJ4160">
        <v>0</v>
      </c>
      <c r="AK4160">
        <v>0</v>
      </c>
      <c r="AL4160">
        <v>0</v>
      </c>
      <c r="AM4160">
        <v>0</v>
      </c>
      <c r="AN4160">
        <v>0</v>
      </c>
      <c r="AO4160">
        <v>0</v>
      </c>
      <c r="AP4160" s="2">
        <v>42746</v>
      </c>
      <c r="AQ4160" t="s">
        <v>72</v>
      </c>
      <c r="AR4160" t="s">
        <v>72</v>
      </c>
      <c r="AS4160">
        <v>653</v>
      </c>
      <c r="AT4160" s="4">
        <v>42433</v>
      </c>
      <c r="AU4160" t="s">
        <v>73</v>
      </c>
      <c r="AV4160">
        <v>653</v>
      </c>
      <c r="AW4160" s="4">
        <v>42433</v>
      </c>
      <c r="BD4160">
        <v>0</v>
      </c>
      <c r="BN4160" t="s">
        <v>74</v>
      </c>
    </row>
    <row r="4161" spans="1:66" hidden="1">
      <c r="A4161">
        <v>101541</v>
      </c>
      <c r="B4161" s="3" t="s">
        <v>467</v>
      </c>
      <c r="C4161" s="1">
        <v>43300101</v>
      </c>
      <c r="D4161" t="s">
        <v>67</v>
      </c>
      <c r="H4161" t="str">
        <f t="shared" si="451"/>
        <v>08230471008</v>
      </c>
      <c r="I4161" t="str">
        <f t="shared" si="451"/>
        <v>08230471008</v>
      </c>
      <c r="K4161" t="str">
        <f>""</f>
        <v/>
      </c>
      <c r="M4161" t="s">
        <v>68</v>
      </c>
      <c r="N4161" t="str">
        <f t="shared" si="448"/>
        <v>FOR</v>
      </c>
      <c r="O4161" t="s">
        <v>69</v>
      </c>
      <c r="P4161" s="3" t="s">
        <v>75</v>
      </c>
      <c r="Q4161">
        <v>2015</v>
      </c>
      <c r="R4161" s="2">
        <v>42121</v>
      </c>
      <c r="S4161" s="2">
        <v>42172</v>
      </c>
      <c r="T4161" s="2">
        <v>42138</v>
      </c>
      <c r="U4161" s="2">
        <v>42198</v>
      </c>
      <c r="V4161" t="s">
        <v>71</v>
      </c>
      <c r="W4161" t="str">
        <f>"               50114"</f>
        <v xml:space="preserve">               50114</v>
      </c>
      <c r="X4161">
        <v>305</v>
      </c>
      <c r="Y4161">
        <v>0</v>
      </c>
      <c r="Z4161"/>
      <c r="AB4161"/>
      <c r="AC4161">
        <v>250</v>
      </c>
      <c r="AD4161">
        <v>235</v>
      </c>
      <c r="AE4161" s="1">
        <v>58750</v>
      </c>
      <c r="AF4161">
        <v>0</v>
      </c>
      <c r="AJ4161">
        <v>0</v>
      </c>
      <c r="AK4161">
        <v>0</v>
      </c>
      <c r="AL4161">
        <v>0</v>
      </c>
      <c r="AM4161">
        <v>0</v>
      </c>
      <c r="AN4161">
        <v>0</v>
      </c>
      <c r="AO4161">
        <v>0</v>
      </c>
      <c r="AP4161" s="2">
        <v>42746</v>
      </c>
      <c r="AQ4161" t="s">
        <v>72</v>
      </c>
      <c r="AR4161" t="s">
        <v>72</v>
      </c>
      <c r="AS4161">
        <v>653</v>
      </c>
      <c r="AT4161" s="4">
        <v>42433</v>
      </c>
      <c r="AU4161" t="s">
        <v>73</v>
      </c>
      <c r="AV4161">
        <v>653</v>
      </c>
      <c r="AW4161" s="4">
        <v>42433</v>
      </c>
      <c r="BD4161">
        <v>0</v>
      </c>
      <c r="BN4161" t="s">
        <v>74</v>
      </c>
    </row>
    <row r="4162" spans="1:66" hidden="1">
      <c r="A4162">
        <v>101541</v>
      </c>
      <c r="B4162" s="3" t="s">
        <v>467</v>
      </c>
      <c r="C4162" s="1">
        <v>43300101</v>
      </c>
      <c r="D4162" t="s">
        <v>67</v>
      </c>
      <c r="H4162" t="str">
        <f t="shared" si="451"/>
        <v>08230471008</v>
      </c>
      <c r="I4162" t="str">
        <f t="shared" si="451"/>
        <v>08230471008</v>
      </c>
      <c r="K4162" t="str">
        <f>""</f>
        <v/>
      </c>
      <c r="M4162" t="s">
        <v>68</v>
      </c>
      <c r="N4162" t="str">
        <f t="shared" si="448"/>
        <v>FOR</v>
      </c>
      <c r="O4162" t="s">
        <v>69</v>
      </c>
      <c r="P4162" s="3" t="s">
        <v>75</v>
      </c>
      <c r="Q4162">
        <v>2015</v>
      </c>
      <c r="R4162" s="2">
        <v>42121</v>
      </c>
      <c r="S4162" s="2">
        <v>42172</v>
      </c>
      <c r="T4162" s="2">
        <v>42138</v>
      </c>
      <c r="U4162" s="2">
        <v>42198</v>
      </c>
      <c r="V4162" t="s">
        <v>71</v>
      </c>
      <c r="W4162" t="str">
        <f>"               50115"</f>
        <v xml:space="preserve">               50115</v>
      </c>
      <c r="X4162">
        <v>305</v>
      </c>
      <c r="Y4162">
        <v>0</v>
      </c>
      <c r="Z4162"/>
      <c r="AB4162"/>
      <c r="AC4162">
        <v>250</v>
      </c>
      <c r="AD4162">
        <v>235</v>
      </c>
      <c r="AE4162" s="1">
        <v>58750</v>
      </c>
      <c r="AF4162">
        <v>0</v>
      </c>
      <c r="AJ4162">
        <v>0</v>
      </c>
      <c r="AK4162">
        <v>0</v>
      </c>
      <c r="AL4162">
        <v>0</v>
      </c>
      <c r="AM4162">
        <v>0</v>
      </c>
      <c r="AN4162">
        <v>0</v>
      </c>
      <c r="AO4162">
        <v>0</v>
      </c>
      <c r="AP4162" s="2">
        <v>42746</v>
      </c>
      <c r="AQ4162" t="s">
        <v>72</v>
      </c>
      <c r="AR4162" t="s">
        <v>72</v>
      </c>
      <c r="AS4162">
        <v>653</v>
      </c>
      <c r="AT4162" s="4">
        <v>42433</v>
      </c>
      <c r="AU4162" t="s">
        <v>73</v>
      </c>
      <c r="AV4162">
        <v>653</v>
      </c>
      <c r="AW4162" s="4">
        <v>42433</v>
      </c>
      <c r="BD4162">
        <v>0</v>
      </c>
      <c r="BN4162" t="s">
        <v>74</v>
      </c>
    </row>
    <row r="4163" spans="1:66" hidden="1">
      <c r="A4163">
        <v>101541</v>
      </c>
      <c r="B4163" s="3" t="s">
        <v>467</v>
      </c>
      <c r="C4163" s="1">
        <v>43300101</v>
      </c>
      <c r="D4163" t="s">
        <v>67</v>
      </c>
      <c r="H4163" t="str">
        <f t="shared" si="451"/>
        <v>08230471008</v>
      </c>
      <c r="I4163" t="str">
        <f t="shared" si="451"/>
        <v>08230471008</v>
      </c>
      <c r="K4163" t="str">
        <f>""</f>
        <v/>
      </c>
      <c r="M4163" t="s">
        <v>68</v>
      </c>
      <c r="N4163" t="str">
        <f t="shared" si="448"/>
        <v>FOR</v>
      </c>
      <c r="O4163" t="s">
        <v>69</v>
      </c>
      <c r="P4163" s="3" t="s">
        <v>75</v>
      </c>
      <c r="Q4163">
        <v>2015</v>
      </c>
      <c r="R4163" s="2">
        <v>42121</v>
      </c>
      <c r="S4163" s="2">
        <v>42172</v>
      </c>
      <c r="T4163" s="2">
        <v>42138</v>
      </c>
      <c r="U4163" s="2">
        <v>42198</v>
      </c>
      <c r="V4163" t="s">
        <v>71</v>
      </c>
      <c r="W4163" t="str">
        <f>"               50116"</f>
        <v xml:space="preserve">               50116</v>
      </c>
      <c r="X4163">
        <v>305</v>
      </c>
      <c r="Y4163">
        <v>0</v>
      </c>
      <c r="Z4163"/>
      <c r="AB4163"/>
      <c r="AC4163">
        <v>250</v>
      </c>
      <c r="AD4163">
        <v>235</v>
      </c>
      <c r="AE4163" s="1">
        <v>58750</v>
      </c>
      <c r="AF4163">
        <v>0</v>
      </c>
      <c r="AJ4163">
        <v>0</v>
      </c>
      <c r="AK4163">
        <v>0</v>
      </c>
      <c r="AL4163">
        <v>0</v>
      </c>
      <c r="AM4163">
        <v>0</v>
      </c>
      <c r="AN4163">
        <v>0</v>
      </c>
      <c r="AO4163">
        <v>0</v>
      </c>
      <c r="AP4163" s="2">
        <v>42746</v>
      </c>
      <c r="AQ4163" t="s">
        <v>72</v>
      </c>
      <c r="AR4163" t="s">
        <v>72</v>
      </c>
      <c r="AS4163">
        <v>653</v>
      </c>
      <c r="AT4163" s="4">
        <v>42433</v>
      </c>
      <c r="AU4163" t="s">
        <v>73</v>
      </c>
      <c r="AV4163">
        <v>653</v>
      </c>
      <c r="AW4163" s="4">
        <v>42433</v>
      </c>
      <c r="BD4163">
        <v>0</v>
      </c>
      <c r="BN4163" t="s">
        <v>74</v>
      </c>
    </row>
    <row r="4164" spans="1:66" hidden="1">
      <c r="A4164">
        <v>101541</v>
      </c>
      <c r="B4164" s="3" t="s">
        <v>467</v>
      </c>
      <c r="C4164" s="1">
        <v>43300101</v>
      </c>
      <c r="D4164" t="s">
        <v>67</v>
      </c>
      <c r="H4164" t="str">
        <f t="shared" si="451"/>
        <v>08230471008</v>
      </c>
      <c r="I4164" t="str">
        <f t="shared" si="451"/>
        <v>08230471008</v>
      </c>
      <c r="K4164" t="str">
        <f>""</f>
        <v/>
      </c>
      <c r="M4164" t="s">
        <v>68</v>
      </c>
      <c r="N4164" t="str">
        <f t="shared" si="448"/>
        <v>FOR</v>
      </c>
      <c r="O4164" t="s">
        <v>69</v>
      </c>
      <c r="P4164" s="3" t="s">
        <v>75</v>
      </c>
      <c r="Q4164">
        <v>2015</v>
      </c>
      <c r="R4164" s="2">
        <v>42121</v>
      </c>
      <c r="S4164" s="2">
        <v>42129</v>
      </c>
      <c r="T4164" s="2">
        <v>42128</v>
      </c>
      <c r="U4164" s="2">
        <v>42188</v>
      </c>
      <c r="V4164" t="s">
        <v>71</v>
      </c>
      <c r="W4164" t="str">
        <f>"               50117"</f>
        <v xml:space="preserve">               50117</v>
      </c>
      <c r="X4164">
        <v>305</v>
      </c>
      <c r="Y4164">
        <v>0</v>
      </c>
      <c r="Z4164"/>
      <c r="AB4164"/>
      <c r="AC4164">
        <v>250</v>
      </c>
      <c r="AD4164">
        <v>245</v>
      </c>
      <c r="AE4164" s="1">
        <v>61250</v>
      </c>
      <c r="AF4164">
        <v>0</v>
      </c>
      <c r="AJ4164">
        <v>0</v>
      </c>
      <c r="AK4164">
        <v>0</v>
      </c>
      <c r="AL4164">
        <v>0</v>
      </c>
      <c r="AM4164">
        <v>0</v>
      </c>
      <c r="AN4164">
        <v>0</v>
      </c>
      <c r="AO4164">
        <v>0</v>
      </c>
      <c r="AP4164" s="2">
        <v>42746</v>
      </c>
      <c r="AQ4164" t="s">
        <v>72</v>
      </c>
      <c r="AR4164" t="s">
        <v>72</v>
      </c>
      <c r="AS4164">
        <v>653</v>
      </c>
      <c r="AT4164" s="4">
        <v>42433</v>
      </c>
      <c r="AU4164" t="s">
        <v>73</v>
      </c>
      <c r="AV4164">
        <v>653</v>
      </c>
      <c r="AW4164" s="4">
        <v>42433</v>
      </c>
      <c r="BD4164">
        <v>0</v>
      </c>
      <c r="BN4164" t="s">
        <v>74</v>
      </c>
    </row>
    <row r="4165" spans="1:66" hidden="1">
      <c r="A4165">
        <v>101541</v>
      </c>
      <c r="B4165" s="3" t="s">
        <v>467</v>
      </c>
      <c r="C4165" s="1">
        <v>43300101</v>
      </c>
      <c r="D4165" t="s">
        <v>67</v>
      </c>
      <c r="H4165" t="str">
        <f t="shared" si="451"/>
        <v>08230471008</v>
      </c>
      <c r="I4165" t="str">
        <f t="shared" si="451"/>
        <v>08230471008</v>
      </c>
      <c r="K4165" t="str">
        <f>""</f>
        <v/>
      </c>
      <c r="M4165" t="s">
        <v>68</v>
      </c>
      <c r="N4165" t="str">
        <f t="shared" si="448"/>
        <v>FOR</v>
      </c>
      <c r="O4165" t="s">
        <v>69</v>
      </c>
      <c r="P4165" s="3" t="s">
        <v>75</v>
      </c>
      <c r="Q4165">
        <v>2015</v>
      </c>
      <c r="R4165" s="2">
        <v>42121</v>
      </c>
      <c r="S4165" s="2">
        <v>42160</v>
      </c>
      <c r="T4165" s="2">
        <v>42149</v>
      </c>
      <c r="U4165" s="2">
        <v>42209</v>
      </c>
      <c r="V4165" t="s">
        <v>71</v>
      </c>
      <c r="W4165" t="str">
        <f>"               50118"</f>
        <v xml:space="preserve">               50118</v>
      </c>
      <c r="X4165">
        <v>728</v>
      </c>
      <c r="Y4165">
        <v>0</v>
      </c>
      <c r="Z4165"/>
      <c r="AB4165"/>
      <c r="AC4165">
        <v>700</v>
      </c>
      <c r="AD4165">
        <v>224</v>
      </c>
      <c r="AE4165" s="1">
        <v>156800</v>
      </c>
      <c r="AF4165">
        <v>0</v>
      </c>
      <c r="AJ4165">
        <v>0</v>
      </c>
      <c r="AK4165">
        <v>0</v>
      </c>
      <c r="AL4165">
        <v>0</v>
      </c>
      <c r="AM4165">
        <v>0</v>
      </c>
      <c r="AN4165">
        <v>0</v>
      </c>
      <c r="AO4165">
        <v>0</v>
      </c>
      <c r="AP4165" s="2">
        <v>42746</v>
      </c>
      <c r="AQ4165" t="s">
        <v>72</v>
      </c>
      <c r="AR4165" t="s">
        <v>72</v>
      </c>
      <c r="AS4165">
        <v>653</v>
      </c>
      <c r="AT4165" s="4">
        <v>42433</v>
      </c>
      <c r="AU4165" t="s">
        <v>73</v>
      </c>
      <c r="AV4165">
        <v>653</v>
      </c>
      <c r="AW4165" s="4">
        <v>42433</v>
      </c>
      <c r="BD4165">
        <v>0</v>
      </c>
      <c r="BN4165" t="s">
        <v>74</v>
      </c>
    </row>
    <row r="4166" spans="1:66" hidden="1">
      <c r="A4166">
        <v>101541</v>
      </c>
      <c r="B4166" s="3" t="s">
        <v>467</v>
      </c>
      <c r="C4166" s="1">
        <v>43300101</v>
      </c>
      <c r="D4166" t="s">
        <v>67</v>
      </c>
      <c r="H4166" t="str">
        <f t="shared" si="451"/>
        <v>08230471008</v>
      </c>
      <c r="I4166" t="str">
        <f t="shared" si="451"/>
        <v>08230471008</v>
      </c>
      <c r="K4166" t="str">
        <f>""</f>
        <v/>
      </c>
      <c r="M4166" t="s">
        <v>68</v>
      </c>
      <c r="N4166" t="str">
        <f t="shared" si="448"/>
        <v>FOR</v>
      </c>
      <c r="O4166" t="s">
        <v>69</v>
      </c>
      <c r="P4166" s="3" t="s">
        <v>75</v>
      </c>
      <c r="Q4166">
        <v>2015</v>
      </c>
      <c r="R4166" s="2">
        <v>42121</v>
      </c>
      <c r="S4166" s="2">
        <v>42160</v>
      </c>
      <c r="T4166" s="2">
        <v>42149</v>
      </c>
      <c r="U4166" s="2">
        <v>42209</v>
      </c>
      <c r="V4166" t="s">
        <v>71</v>
      </c>
      <c r="W4166" t="str">
        <f>"               50119"</f>
        <v xml:space="preserve">               50119</v>
      </c>
      <c r="X4166">
        <v>305</v>
      </c>
      <c r="Y4166">
        <v>0</v>
      </c>
      <c r="Z4166"/>
      <c r="AB4166"/>
      <c r="AC4166">
        <v>250</v>
      </c>
      <c r="AD4166">
        <v>224</v>
      </c>
      <c r="AE4166" s="1">
        <v>56000</v>
      </c>
      <c r="AF4166">
        <v>0</v>
      </c>
      <c r="AJ4166">
        <v>0</v>
      </c>
      <c r="AK4166">
        <v>0</v>
      </c>
      <c r="AL4166">
        <v>0</v>
      </c>
      <c r="AM4166">
        <v>0</v>
      </c>
      <c r="AN4166">
        <v>0</v>
      </c>
      <c r="AO4166">
        <v>0</v>
      </c>
      <c r="AP4166" s="2">
        <v>42746</v>
      </c>
      <c r="AQ4166" t="s">
        <v>72</v>
      </c>
      <c r="AR4166" t="s">
        <v>72</v>
      </c>
      <c r="AS4166">
        <v>653</v>
      </c>
      <c r="AT4166" s="4">
        <v>42433</v>
      </c>
      <c r="AU4166" t="s">
        <v>73</v>
      </c>
      <c r="AV4166">
        <v>653</v>
      </c>
      <c r="AW4166" s="4">
        <v>42433</v>
      </c>
      <c r="BD4166">
        <v>0</v>
      </c>
      <c r="BN4166" t="s">
        <v>74</v>
      </c>
    </row>
    <row r="4167" spans="1:66" hidden="1">
      <c r="A4167">
        <v>101541</v>
      </c>
      <c r="B4167" s="3" t="s">
        <v>467</v>
      </c>
      <c r="C4167" s="1">
        <v>43300101</v>
      </c>
      <c r="D4167" t="s">
        <v>67</v>
      </c>
      <c r="H4167" t="str">
        <f t="shared" si="451"/>
        <v>08230471008</v>
      </c>
      <c r="I4167" t="str">
        <f t="shared" si="451"/>
        <v>08230471008</v>
      </c>
      <c r="K4167" t="str">
        <f>""</f>
        <v/>
      </c>
      <c r="M4167" t="s">
        <v>68</v>
      </c>
      <c r="N4167" t="str">
        <f t="shared" si="448"/>
        <v>FOR</v>
      </c>
      <c r="O4167" t="s">
        <v>69</v>
      </c>
      <c r="P4167" s="3" t="s">
        <v>75</v>
      </c>
      <c r="Q4167">
        <v>2015</v>
      </c>
      <c r="R4167" s="2">
        <v>42121</v>
      </c>
      <c r="S4167" s="2">
        <v>42160</v>
      </c>
      <c r="T4167" s="2">
        <v>42149</v>
      </c>
      <c r="U4167" s="2">
        <v>42209</v>
      </c>
      <c r="V4167" t="s">
        <v>71</v>
      </c>
      <c r="W4167" t="str">
        <f>"               50120"</f>
        <v xml:space="preserve">               50120</v>
      </c>
      <c r="X4167">
        <v>305</v>
      </c>
      <c r="Y4167">
        <v>0</v>
      </c>
      <c r="Z4167"/>
      <c r="AB4167"/>
      <c r="AC4167">
        <v>250</v>
      </c>
      <c r="AD4167">
        <v>224</v>
      </c>
      <c r="AE4167" s="1">
        <v>56000</v>
      </c>
      <c r="AF4167">
        <v>0</v>
      </c>
      <c r="AJ4167">
        <v>0</v>
      </c>
      <c r="AK4167">
        <v>0</v>
      </c>
      <c r="AL4167">
        <v>0</v>
      </c>
      <c r="AM4167">
        <v>0</v>
      </c>
      <c r="AN4167">
        <v>0</v>
      </c>
      <c r="AO4167">
        <v>0</v>
      </c>
      <c r="AP4167" s="2">
        <v>42746</v>
      </c>
      <c r="AQ4167" t="s">
        <v>72</v>
      </c>
      <c r="AR4167" t="s">
        <v>72</v>
      </c>
      <c r="AS4167">
        <v>653</v>
      </c>
      <c r="AT4167" s="4">
        <v>42433</v>
      </c>
      <c r="AU4167" t="s">
        <v>73</v>
      </c>
      <c r="AV4167">
        <v>653</v>
      </c>
      <c r="AW4167" s="4">
        <v>42433</v>
      </c>
      <c r="BD4167">
        <v>0</v>
      </c>
      <c r="BN4167" t="s">
        <v>74</v>
      </c>
    </row>
    <row r="4168" spans="1:66" hidden="1">
      <c r="A4168">
        <v>101541</v>
      </c>
      <c r="B4168" s="3" t="s">
        <v>467</v>
      </c>
      <c r="C4168" s="1">
        <v>43300101</v>
      </c>
      <c r="D4168" t="s">
        <v>67</v>
      </c>
      <c r="H4168" t="str">
        <f t="shared" si="451"/>
        <v>08230471008</v>
      </c>
      <c r="I4168" t="str">
        <f t="shared" si="451"/>
        <v>08230471008</v>
      </c>
      <c r="K4168" t="str">
        <f>""</f>
        <v/>
      </c>
      <c r="M4168" t="s">
        <v>68</v>
      </c>
      <c r="N4168" t="str">
        <f t="shared" si="448"/>
        <v>FOR</v>
      </c>
      <c r="O4168" t="s">
        <v>69</v>
      </c>
      <c r="P4168" s="3" t="s">
        <v>75</v>
      </c>
      <c r="Q4168">
        <v>2015</v>
      </c>
      <c r="R4168" s="2">
        <v>42121</v>
      </c>
      <c r="S4168" s="2">
        <v>42160</v>
      </c>
      <c r="T4168" s="2">
        <v>42149</v>
      </c>
      <c r="U4168" s="2">
        <v>42209</v>
      </c>
      <c r="V4168" t="s">
        <v>71</v>
      </c>
      <c r="W4168" t="str">
        <f>"               50121"</f>
        <v xml:space="preserve">               50121</v>
      </c>
      <c r="X4168">
        <v>305</v>
      </c>
      <c r="Y4168">
        <v>0</v>
      </c>
      <c r="Z4168"/>
      <c r="AB4168"/>
      <c r="AC4168">
        <v>250</v>
      </c>
      <c r="AD4168">
        <v>224</v>
      </c>
      <c r="AE4168" s="1">
        <v>56000</v>
      </c>
      <c r="AF4168">
        <v>0</v>
      </c>
      <c r="AJ4168">
        <v>0</v>
      </c>
      <c r="AK4168">
        <v>0</v>
      </c>
      <c r="AL4168">
        <v>0</v>
      </c>
      <c r="AM4168">
        <v>0</v>
      </c>
      <c r="AN4168">
        <v>0</v>
      </c>
      <c r="AO4168">
        <v>0</v>
      </c>
      <c r="AP4168" s="2">
        <v>42746</v>
      </c>
      <c r="AQ4168" t="s">
        <v>72</v>
      </c>
      <c r="AR4168" t="s">
        <v>72</v>
      </c>
      <c r="AS4168">
        <v>653</v>
      </c>
      <c r="AT4168" s="4">
        <v>42433</v>
      </c>
      <c r="AU4168" t="s">
        <v>73</v>
      </c>
      <c r="AV4168">
        <v>653</v>
      </c>
      <c r="AW4168" s="4">
        <v>42433</v>
      </c>
      <c r="BD4168">
        <v>0</v>
      </c>
      <c r="BN4168" t="s">
        <v>74</v>
      </c>
    </row>
    <row r="4169" spans="1:66" hidden="1">
      <c r="A4169">
        <v>101541</v>
      </c>
      <c r="B4169" s="3" t="s">
        <v>467</v>
      </c>
      <c r="C4169" s="1">
        <v>43300101</v>
      </c>
      <c r="D4169" t="s">
        <v>67</v>
      </c>
      <c r="H4169" t="str">
        <f t="shared" si="451"/>
        <v>08230471008</v>
      </c>
      <c r="I4169" t="str">
        <f t="shared" si="451"/>
        <v>08230471008</v>
      </c>
      <c r="K4169" t="str">
        <f>""</f>
        <v/>
      </c>
      <c r="M4169" t="s">
        <v>68</v>
      </c>
      <c r="N4169" t="str">
        <f t="shared" si="448"/>
        <v>FOR</v>
      </c>
      <c r="O4169" t="s">
        <v>69</v>
      </c>
      <c r="P4169" s="3" t="s">
        <v>75</v>
      </c>
      <c r="Q4169">
        <v>2015</v>
      </c>
      <c r="R4169" s="2">
        <v>42121</v>
      </c>
      <c r="S4169" s="2">
        <v>42129</v>
      </c>
      <c r="T4169" s="2">
        <v>42128</v>
      </c>
      <c r="U4169" s="2">
        <v>42188</v>
      </c>
      <c r="V4169" t="s">
        <v>71</v>
      </c>
      <c r="W4169" t="str">
        <f>"               50122"</f>
        <v xml:space="preserve">               50122</v>
      </c>
      <c r="X4169">
        <v>305</v>
      </c>
      <c r="Y4169">
        <v>0</v>
      </c>
      <c r="Z4169"/>
      <c r="AB4169"/>
      <c r="AC4169">
        <v>250</v>
      </c>
      <c r="AD4169">
        <v>245</v>
      </c>
      <c r="AE4169" s="1">
        <v>61250</v>
      </c>
      <c r="AF4169">
        <v>0</v>
      </c>
      <c r="AJ4169">
        <v>0</v>
      </c>
      <c r="AK4169">
        <v>0</v>
      </c>
      <c r="AL4169">
        <v>0</v>
      </c>
      <c r="AM4169">
        <v>0</v>
      </c>
      <c r="AN4169">
        <v>0</v>
      </c>
      <c r="AO4169">
        <v>0</v>
      </c>
      <c r="AP4169" s="2">
        <v>42746</v>
      </c>
      <c r="AQ4169" t="s">
        <v>72</v>
      </c>
      <c r="AR4169" t="s">
        <v>72</v>
      </c>
      <c r="AS4169">
        <v>653</v>
      </c>
      <c r="AT4169" s="4">
        <v>42433</v>
      </c>
      <c r="AU4169" t="s">
        <v>73</v>
      </c>
      <c r="AV4169">
        <v>653</v>
      </c>
      <c r="AW4169" s="4">
        <v>42433</v>
      </c>
      <c r="BD4169">
        <v>0</v>
      </c>
      <c r="BN4169" t="s">
        <v>74</v>
      </c>
    </row>
    <row r="4170" spans="1:66" hidden="1">
      <c r="A4170">
        <v>101541</v>
      </c>
      <c r="B4170" s="3" t="s">
        <v>467</v>
      </c>
      <c r="C4170" s="1">
        <v>43300101</v>
      </c>
      <c r="D4170" t="s">
        <v>67</v>
      </c>
      <c r="H4170" t="str">
        <f t="shared" si="451"/>
        <v>08230471008</v>
      </c>
      <c r="I4170" t="str">
        <f t="shared" si="451"/>
        <v>08230471008</v>
      </c>
      <c r="K4170" t="str">
        <f>""</f>
        <v/>
      </c>
      <c r="M4170" t="s">
        <v>68</v>
      </c>
      <c r="N4170" t="str">
        <f t="shared" si="448"/>
        <v>FOR</v>
      </c>
      <c r="O4170" t="s">
        <v>69</v>
      </c>
      <c r="P4170" s="3" t="s">
        <v>75</v>
      </c>
      <c r="Q4170">
        <v>2015</v>
      </c>
      <c r="R4170" s="2">
        <v>42121</v>
      </c>
      <c r="S4170" s="2">
        <v>42160</v>
      </c>
      <c r="T4170" s="2">
        <v>42149</v>
      </c>
      <c r="U4170" s="2">
        <v>42209</v>
      </c>
      <c r="V4170" t="s">
        <v>71</v>
      </c>
      <c r="W4170" t="str">
        <f>"               50123"</f>
        <v xml:space="preserve">               50123</v>
      </c>
      <c r="X4170">
        <v>305</v>
      </c>
      <c r="Y4170">
        <v>0</v>
      </c>
      <c r="Z4170"/>
      <c r="AB4170"/>
      <c r="AC4170">
        <v>250</v>
      </c>
      <c r="AD4170">
        <v>224</v>
      </c>
      <c r="AE4170" s="1">
        <v>56000</v>
      </c>
      <c r="AF4170">
        <v>0</v>
      </c>
      <c r="AJ4170">
        <v>0</v>
      </c>
      <c r="AK4170">
        <v>0</v>
      </c>
      <c r="AL4170">
        <v>0</v>
      </c>
      <c r="AM4170">
        <v>0</v>
      </c>
      <c r="AN4170">
        <v>0</v>
      </c>
      <c r="AO4170">
        <v>0</v>
      </c>
      <c r="AP4170" s="2">
        <v>42746</v>
      </c>
      <c r="AQ4170" t="s">
        <v>72</v>
      </c>
      <c r="AR4170" t="s">
        <v>72</v>
      </c>
      <c r="AS4170">
        <v>653</v>
      </c>
      <c r="AT4170" s="4">
        <v>42433</v>
      </c>
      <c r="AU4170" t="s">
        <v>73</v>
      </c>
      <c r="AV4170">
        <v>653</v>
      </c>
      <c r="AW4170" s="4">
        <v>42433</v>
      </c>
      <c r="BD4170">
        <v>0</v>
      </c>
      <c r="BN4170" t="s">
        <v>74</v>
      </c>
    </row>
    <row r="4171" spans="1:66" hidden="1">
      <c r="A4171">
        <v>101541</v>
      </c>
      <c r="B4171" s="3" t="s">
        <v>467</v>
      </c>
      <c r="C4171" s="1">
        <v>43300101</v>
      </c>
      <c r="D4171" t="s">
        <v>67</v>
      </c>
      <c r="H4171" t="str">
        <f t="shared" si="451"/>
        <v>08230471008</v>
      </c>
      <c r="I4171" t="str">
        <f t="shared" si="451"/>
        <v>08230471008</v>
      </c>
      <c r="K4171" t="str">
        <f>""</f>
        <v/>
      </c>
      <c r="M4171" t="s">
        <v>68</v>
      </c>
      <c r="N4171" t="str">
        <f t="shared" si="448"/>
        <v>FOR</v>
      </c>
      <c r="O4171" t="s">
        <v>69</v>
      </c>
      <c r="P4171" s="3" t="s">
        <v>75</v>
      </c>
      <c r="Q4171">
        <v>2015</v>
      </c>
      <c r="R4171" s="2">
        <v>42121</v>
      </c>
      <c r="S4171" s="2">
        <v>42160</v>
      </c>
      <c r="T4171" s="2">
        <v>42149</v>
      </c>
      <c r="U4171" s="2">
        <v>42209</v>
      </c>
      <c r="V4171" t="s">
        <v>71</v>
      </c>
      <c r="W4171" t="str">
        <f>"               50124"</f>
        <v xml:space="preserve">               50124</v>
      </c>
      <c r="X4171">
        <v>305</v>
      </c>
      <c r="Y4171">
        <v>0</v>
      </c>
      <c r="Z4171"/>
      <c r="AB4171"/>
      <c r="AC4171">
        <v>250</v>
      </c>
      <c r="AD4171">
        <v>224</v>
      </c>
      <c r="AE4171" s="1">
        <v>56000</v>
      </c>
      <c r="AF4171">
        <v>0</v>
      </c>
      <c r="AJ4171">
        <v>0</v>
      </c>
      <c r="AK4171">
        <v>0</v>
      </c>
      <c r="AL4171">
        <v>0</v>
      </c>
      <c r="AM4171">
        <v>0</v>
      </c>
      <c r="AN4171">
        <v>0</v>
      </c>
      <c r="AO4171">
        <v>0</v>
      </c>
      <c r="AP4171" s="2">
        <v>42746</v>
      </c>
      <c r="AQ4171" t="s">
        <v>72</v>
      </c>
      <c r="AR4171" t="s">
        <v>72</v>
      </c>
      <c r="AS4171">
        <v>653</v>
      </c>
      <c r="AT4171" s="4">
        <v>42433</v>
      </c>
      <c r="AU4171" t="s">
        <v>73</v>
      </c>
      <c r="AV4171">
        <v>653</v>
      </c>
      <c r="AW4171" s="4">
        <v>42433</v>
      </c>
      <c r="BD4171">
        <v>0</v>
      </c>
      <c r="BN4171" t="s">
        <v>74</v>
      </c>
    </row>
    <row r="4172" spans="1:66" hidden="1">
      <c r="A4172">
        <v>101541</v>
      </c>
      <c r="B4172" s="3" t="s">
        <v>467</v>
      </c>
      <c r="C4172" s="1">
        <v>43300101</v>
      </c>
      <c r="D4172" t="s">
        <v>67</v>
      </c>
      <c r="H4172" t="str">
        <f t="shared" si="451"/>
        <v>08230471008</v>
      </c>
      <c r="I4172" t="str">
        <f t="shared" si="451"/>
        <v>08230471008</v>
      </c>
      <c r="K4172" t="str">
        <f>""</f>
        <v/>
      </c>
      <c r="M4172" t="s">
        <v>68</v>
      </c>
      <c r="N4172" t="str">
        <f t="shared" si="448"/>
        <v>FOR</v>
      </c>
      <c r="O4172" t="s">
        <v>69</v>
      </c>
      <c r="P4172" s="3" t="s">
        <v>75</v>
      </c>
      <c r="Q4172">
        <v>2015</v>
      </c>
      <c r="R4172" s="2">
        <v>42121</v>
      </c>
      <c r="S4172" s="2">
        <v>42160</v>
      </c>
      <c r="T4172" s="2">
        <v>42149</v>
      </c>
      <c r="U4172" s="2">
        <v>42209</v>
      </c>
      <c r="V4172" t="s">
        <v>71</v>
      </c>
      <c r="W4172" t="str">
        <f>"               50125"</f>
        <v xml:space="preserve">               50125</v>
      </c>
      <c r="X4172">
        <v>305</v>
      </c>
      <c r="Y4172">
        <v>0</v>
      </c>
      <c r="Z4172"/>
      <c r="AB4172"/>
      <c r="AC4172">
        <v>250</v>
      </c>
      <c r="AD4172">
        <v>224</v>
      </c>
      <c r="AE4172" s="1">
        <v>56000</v>
      </c>
      <c r="AF4172">
        <v>0</v>
      </c>
      <c r="AJ4172">
        <v>0</v>
      </c>
      <c r="AK4172">
        <v>0</v>
      </c>
      <c r="AL4172">
        <v>0</v>
      </c>
      <c r="AM4172">
        <v>0</v>
      </c>
      <c r="AN4172">
        <v>0</v>
      </c>
      <c r="AO4172">
        <v>0</v>
      </c>
      <c r="AP4172" s="2">
        <v>42746</v>
      </c>
      <c r="AQ4172" t="s">
        <v>72</v>
      </c>
      <c r="AR4172" t="s">
        <v>72</v>
      </c>
      <c r="AS4172">
        <v>653</v>
      </c>
      <c r="AT4172" s="4">
        <v>42433</v>
      </c>
      <c r="AU4172" t="s">
        <v>73</v>
      </c>
      <c r="AV4172">
        <v>653</v>
      </c>
      <c r="AW4172" s="4">
        <v>42433</v>
      </c>
      <c r="BD4172">
        <v>0</v>
      </c>
      <c r="BN4172" t="s">
        <v>74</v>
      </c>
    </row>
    <row r="4173" spans="1:66" hidden="1">
      <c r="A4173">
        <v>101541</v>
      </c>
      <c r="B4173" s="3" t="s">
        <v>467</v>
      </c>
      <c r="C4173" s="1">
        <v>43300101</v>
      </c>
      <c r="D4173" t="s">
        <v>67</v>
      </c>
      <c r="H4173" t="str">
        <f t="shared" si="451"/>
        <v>08230471008</v>
      </c>
      <c r="I4173" t="str">
        <f t="shared" si="451"/>
        <v>08230471008</v>
      </c>
      <c r="K4173" t="str">
        <f>""</f>
        <v/>
      </c>
      <c r="M4173" t="s">
        <v>68</v>
      </c>
      <c r="N4173" t="str">
        <f t="shared" si="448"/>
        <v>FOR</v>
      </c>
      <c r="O4173" t="s">
        <v>69</v>
      </c>
      <c r="P4173" s="3" t="s">
        <v>75</v>
      </c>
      <c r="Q4173">
        <v>2015</v>
      </c>
      <c r="R4173" s="2">
        <v>42121</v>
      </c>
      <c r="S4173" s="2">
        <v>42160</v>
      </c>
      <c r="T4173" s="2">
        <v>42149</v>
      </c>
      <c r="U4173" s="2">
        <v>42209</v>
      </c>
      <c r="V4173" t="s">
        <v>71</v>
      </c>
      <c r="W4173" t="str">
        <f>"               50126"</f>
        <v xml:space="preserve">               50126</v>
      </c>
      <c r="X4173">
        <v>305</v>
      </c>
      <c r="Y4173">
        <v>0</v>
      </c>
      <c r="Z4173"/>
      <c r="AB4173"/>
      <c r="AC4173">
        <v>250</v>
      </c>
      <c r="AD4173">
        <v>224</v>
      </c>
      <c r="AE4173" s="1">
        <v>56000</v>
      </c>
      <c r="AF4173">
        <v>0</v>
      </c>
      <c r="AJ4173">
        <v>0</v>
      </c>
      <c r="AK4173">
        <v>0</v>
      </c>
      <c r="AL4173">
        <v>0</v>
      </c>
      <c r="AM4173">
        <v>0</v>
      </c>
      <c r="AN4173">
        <v>0</v>
      </c>
      <c r="AO4173">
        <v>0</v>
      </c>
      <c r="AP4173" s="2">
        <v>42746</v>
      </c>
      <c r="AQ4173" t="s">
        <v>72</v>
      </c>
      <c r="AR4173" t="s">
        <v>72</v>
      </c>
      <c r="AS4173">
        <v>653</v>
      </c>
      <c r="AT4173" s="4">
        <v>42433</v>
      </c>
      <c r="AU4173" t="s">
        <v>73</v>
      </c>
      <c r="AV4173">
        <v>653</v>
      </c>
      <c r="AW4173" s="4">
        <v>42433</v>
      </c>
      <c r="BD4173">
        <v>0</v>
      </c>
      <c r="BN4173" t="s">
        <v>74</v>
      </c>
    </row>
    <row r="4174" spans="1:66" hidden="1">
      <c r="A4174">
        <v>101541</v>
      </c>
      <c r="B4174" s="3" t="s">
        <v>467</v>
      </c>
      <c r="C4174" s="1">
        <v>43300101</v>
      </c>
      <c r="D4174" t="s">
        <v>67</v>
      </c>
      <c r="H4174" t="str">
        <f t="shared" si="451"/>
        <v>08230471008</v>
      </c>
      <c r="I4174" t="str">
        <f t="shared" si="451"/>
        <v>08230471008</v>
      </c>
      <c r="K4174" t="str">
        <f>""</f>
        <v/>
      </c>
      <c r="M4174" t="s">
        <v>68</v>
      </c>
      <c r="N4174" t="str">
        <f t="shared" si="448"/>
        <v>FOR</v>
      </c>
      <c r="O4174" t="s">
        <v>69</v>
      </c>
      <c r="P4174" s="3" t="s">
        <v>75</v>
      </c>
      <c r="Q4174">
        <v>2015</v>
      </c>
      <c r="R4174" s="2">
        <v>42124</v>
      </c>
      <c r="S4174" s="2">
        <v>42174</v>
      </c>
      <c r="T4174" s="2">
        <v>42139</v>
      </c>
      <c r="U4174" s="2">
        <v>42199</v>
      </c>
      <c r="V4174" t="s">
        <v>71</v>
      </c>
      <c r="W4174" t="str">
        <f>"               50645"</f>
        <v xml:space="preserve">               50645</v>
      </c>
      <c r="X4174" s="1">
        <v>4736.16</v>
      </c>
      <c r="Y4174">
        <v>0</v>
      </c>
      <c r="Z4174"/>
      <c r="AB4174"/>
      <c r="AC4174" s="1">
        <v>4554</v>
      </c>
      <c r="AD4174">
        <v>234</v>
      </c>
      <c r="AE4174" s="1">
        <v>1065636</v>
      </c>
      <c r="AF4174">
        <v>0</v>
      </c>
      <c r="AJ4174">
        <v>0</v>
      </c>
      <c r="AK4174">
        <v>0</v>
      </c>
      <c r="AL4174">
        <v>0</v>
      </c>
      <c r="AM4174">
        <v>0</v>
      </c>
      <c r="AN4174">
        <v>0</v>
      </c>
      <c r="AO4174">
        <v>0</v>
      </c>
      <c r="AP4174" s="2">
        <v>42746</v>
      </c>
      <c r="AQ4174" t="s">
        <v>72</v>
      </c>
      <c r="AR4174" t="s">
        <v>72</v>
      </c>
      <c r="AS4174">
        <v>653</v>
      </c>
      <c r="AT4174" s="4">
        <v>42433</v>
      </c>
      <c r="AU4174" t="s">
        <v>73</v>
      </c>
      <c r="AV4174">
        <v>653</v>
      </c>
      <c r="AW4174" s="4">
        <v>42433</v>
      </c>
      <c r="BD4174">
        <v>0</v>
      </c>
      <c r="BN4174" t="s">
        <v>74</v>
      </c>
    </row>
    <row r="4175" spans="1:66" hidden="1">
      <c r="A4175">
        <v>101541</v>
      </c>
      <c r="B4175" s="3" t="s">
        <v>467</v>
      </c>
      <c r="C4175" s="1">
        <v>43300101</v>
      </c>
      <c r="D4175" t="s">
        <v>67</v>
      </c>
      <c r="H4175" t="str">
        <f t="shared" si="451"/>
        <v>08230471008</v>
      </c>
      <c r="I4175" t="str">
        <f t="shared" si="451"/>
        <v>08230471008</v>
      </c>
      <c r="K4175" t="str">
        <f>""</f>
        <v/>
      </c>
      <c r="M4175" t="s">
        <v>68</v>
      </c>
      <c r="N4175" t="str">
        <f t="shared" si="448"/>
        <v>FOR</v>
      </c>
      <c r="O4175" t="s">
        <v>69</v>
      </c>
      <c r="P4175" s="3" t="s">
        <v>75</v>
      </c>
      <c r="Q4175">
        <v>2015</v>
      </c>
      <c r="R4175" s="2">
        <v>42124</v>
      </c>
      <c r="S4175" s="2">
        <v>42172</v>
      </c>
      <c r="T4175" s="2">
        <v>42138</v>
      </c>
      <c r="U4175" s="2">
        <v>42198</v>
      </c>
      <c r="V4175" t="s">
        <v>71</v>
      </c>
      <c r="W4175" t="str">
        <f>"               50646"</f>
        <v xml:space="preserve">               50646</v>
      </c>
      <c r="X4175">
        <v>374.4</v>
      </c>
      <c r="Y4175">
        <v>0</v>
      </c>
      <c r="Z4175"/>
      <c r="AB4175"/>
      <c r="AC4175">
        <v>360</v>
      </c>
      <c r="AD4175">
        <v>235</v>
      </c>
      <c r="AE4175" s="1">
        <v>84600</v>
      </c>
      <c r="AF4175">
        <v>0</v>
      </c>
      <c r="AJ4175">
        <v>0</v>
      </c>
      <c r="AK4175">
        <v>0</v>
      </c>
      <c r="AL4175">
        <v>0</v>
      </c>
      <c r="AM4175">
        <v>0</v>
      </c>
      <c r="AN4175">
        <v>0</v>
      </c>
      <c r="AO4175">
        <v>0</v>
      </c>
      <c r="AP4175" s="2">
        <v>42746</v>
      </c>
      <c r="AQ4175" t="s">
        <v>72</v>
      </c>
      <c r="AR4175" t="s">
        <v>72</v>
      </c>
      <c r="AS4175">
        <v>653</v>
      </c>
      <c r="AT4175" s="4">
        <v>42433</v>
      </c>
      <c r="AU4175" t="s">
        <v>73</v>
      </c>
      <c r="AV4175">
        <v>653</v>
      </c>
      <c r="AW4175" s="4">
        <v>42433</v>
      </c>
      <c r="BD4175">
        <v>0</v>
      </c>
      <c r="BN4175" t="s">
        <v>74</v>
      </c>
    </row>
    <row r="4176" spans="1:66" hidden="1">
      <c r="A4176">
        <v>101541</v>
      </c>
      <c r="B4176" s="3" t="s">
        <v>467</v>
      </c>
      <c r="C4176" s="1">
        <v>43300101</v>
      </c>
      <c r="D4176" t="s">
        <v>67</v>
      </c>
      <c r="H4176" t="str">
        <f t="shared" si="451"/>
        <v>08230471008</v>
      </c>
      <c r="I4176" t="str">
        <f t="shared" si="451"/>
        <v>08230471008</v>
      </c>
      <c r="K4176" t="str">
        <f>""</f>
        <v/>
      </c>
      <c r="M4176" t="s">
        <v>68</v>
      </c>
      <c r="N4176" t="str">
        <f t="shared" ref="N4176:N4239" si="452">"FOR"</f>
        <v>FOR</v>
      </c>
      <c r="O4176" t="s">
        <v>69</v>
      </c>
      <c r="P4176" s="3" t="s">
        <v>75</v>
      </c>
      <c r="Q4176">
        <v>2015</v>
      </c>
      <c r="R4176" s="2">
        <v>42124</v>
      </c>
      <c r="S4176" s="2">
        <v>42129</v>
      </c>
      <c r="T4176" s="2">
        <v>42129</v>
      </c>
      <c r="U4176" s="2">
        <v>42189</v>
      </c>
      <c r="V4176" t="s">
        <v>71</v>
      </c>
      <c r="W4176" t="str">
        <f>"               50647"</f>
        <v xml:space="preserve">               50647</v>
      </c>
      <c r="X4176">
        <v>305</v>
      </c>
      <c r="Y4176">
        <v>0</v>
      </c>
      <c r="Z4176"/>
      <c r="AB4176"/>
      <c r="AC4176">
        <v>250</v>
      </c>
      <c r="AD4176">
        <v>244</v>
      </c>
      <c r="AE4176" s="1">
        <v>61000</v>
      </c>
      <c r="AF4176">
        <v>0</v>
      </c>
      <c r="AJ4176">
        <v>0</v>
      </c>
      <c r="AK4176">
        <v>0</v>
      </c>
      <c r="AL4176">
        <v>0</v>
      </c>
      <c r="AM4176">
        <v>0</v>
      </c>
      <c r="AN4176">
        <v>0</v>
      </c>
      <c r="AO4176">
        <v>0</v>
      </c>
      <c r="AP4176" s="2">
        <v>42746</v>
      </c>
      <c r="AQ4176" t="s">
        <v>72</v>
      </c>
      <c r="AR4176" t="s">
        <v>72</v>
      </c>
      <c r="AS4176">
        <v>653</v>
      </c>
      <c r="AT4176" s="4">
        <v>42433</v>
      </c>
      <c r="AU4176" t="s">
        <v>73</v>
      </c>
      <c r="AV4176">
        <v>653</v>
      </c>
      <c r="AW4176" s="4">
        <v>42433</v>
      </c>
      <c r="BD4176">
        <v>0</v>
      </c>
      <c r="BN4176" t="s">
        <v>74</v>
      </c>
    </row>
    <row r="4177" spans="1:66" hidden="1">
      <c r="A4177">
        <v>101541</v>
      </c>
      <c r="B4177" s="3" t="s">
        <v>467</v>
      </c>
      <c r="C4177" s="1">
        <v>43300101</v>
      </c>
      <c r="D4177" t="s">
        <v>67</v>
      </c>
      <c r="H4177" t="str">
        <f t="shared" si="451"/>
        <v>08230471008</v>
      </c>
      <c r="I4177" t="str">
        <f t="shared" si="451"/>
        <v>08230471008</v>
      </c>
      <c r="K4177" t="str">
        <f>""</f>
        <v/>
      </c>
      <c r="M4177" t="s">
        <v>68</v>
      </c>
      <c r="N4177" t="str">
        <f t="shared" si="452"/>
        <v>FOR</v>
      </c>
      <c r="O4177" t="s">
        <v>69</v>
      </c>
      <c r="P4177" s="3" t="s">
        <v>75</v>
      </c>
      <c r="Q4177">
        <v>2015</v>
      </c>
      <c r="R4177" s="2">
        <v>42124</v>
      </c>
      <c r="S4177" s="2">
        <v>42129</v>
      </c>
      <c r="T4177" s="2">
        <v>42129</v>
      </c>
      <c r="U4177" s="2">
        <v>42189</v>
      </c>
      <c r="V4177" t="s">
        <v>71</v>
      </c>
      <c r="W4177" t="str">
        <f>"               50648"</f>
        <v xml:space="preserve">               50648</v>
      </c>
      <c r="X4177">
        <v>305</v>
      </c>
      <c r="Y4177">
        <v>0</v>
      </c>
      <c r="Z4177"/>
      <c r="AB4177"/>
      <c r="AC4177">
        <v>250</v>
      </c>
      <c r="AD4177">
        <v>244</v>
      </c>
      <c r="AE4177" s="1">
        <v>61000</v>
      </c>
      <c r="AF4177">
        <v>0</v>
      </c>
      <c r="AJ4177">
        <v>0</v>
      </c>
      <c r="AK4177">
        <v>0</v>
      </c>
      <c r="AL4177">
        <v>0</v>
      </c>
      <c r="AM4177">
        <v>0</v>
      </c>
      <c r="AN4177">
        <v>0</v>
      </c>
      <c r="AO4177">
        <v>0</v>
      </c>
      <c r="AP4177" s="2">
        <v>42746</v>
      </c>
      <c r="AQ4177" t="s">
        <v>72</v>
      </c>
      <c r="AR4177" t="s">
        <v>72</v>
      </c>
      <c r="AS4177">
        <v>653</v>
      </c>
      <c r="AT4177" s="4">
        <v>42433</v>
      </c>
      <c r="AU4177" t="s">
        <v>73</v>
      </c>
      <c r="AV4177">
        <v>653</v>
      </c>
      <c r="AW4177" s="4">
        <v>42433</v>
      </c>
      <c r="BD4177">
        <v>0</v>
      </c>
      <c r="BN4177" t="s">
        <v>74</v>
      </c>
    </row>
    <row r="4178" spans="1:66" hidden="1">
      <c r="A4178">
        <v>101541</v>
      </c>
      <c r="B4178" s="3" t="s">
        <v>467</v>
      </c>
      <c r="C4178" s="1">
        <v>43300101</v>
      </c>
      <c r="D4178" t="s">
        <v>67</v>
      </c>
      <c r="H4178" t="str">
        <f t="shared" ref="H4178:I4197" si="453">"08230471008"</f>
        <v>08230471008</v>
      </c>
      <c r="I4178" t="str">
        <f t="shared" si="453"/>
        <v>08230471008</v>
      </c>
      <c r="K4178" t="str">
        <f>""</f>
        <v/>
      </c>
      <c r="M4178" t="s">
        <v>68</v>
      </c>
      <c r="N4178" t="str">
        <f t="shared" si="452"/>
        <v>FOR</v>
      </c>
      <c r="O4178" t="s">
        <v>69</v>
      </c>
      <c r="P4178" s="3" t="s">
        <v>75</v>
      </c>
      <c r="Q4178">
        <v>2015</v>
      </c>
      <c r="R4178" s="2">
        <v>42124</v>
      </c>
      <c r="S4178" s="2">
        <v>42129</v>
      </c>
      <c r="T4178" s="2">
        <v>42128</v>
      </c>
      <c r="U4178" s="2">
        <v>42188</v>
      </c>
      <c r="V4178" t="s">
        <v>71</v>
      </c>
      <c r="W4178" t="str">
        <f>"               50649"</f>
        <v xml:space="preserve">               50649</v>
      </c>
      <c r="X4178">
        <v>305</v>
      </c>
      <c r="Y4178">
        <v>0</v>
      </c>
      <c r="Z4178"/>
      <c r="AB4178"/>
      <c r="AC4178">
        <v>250</v>
      </c>
      <c r="AD4178">
        <v>245</v>
      </c>
      <c r="AE4178" s="1">
        <v>61250</v>
      </c>
      <c r="AF4178">
        <v>0</v>
      </c>
      <c r="AJ4178">
        <v>0</v>
      </c>
      <c r="AK4178">
        <v>0</v>
      </c>
      <c r="AL4178">
        <v>0</v>
      </c>
      <c r="AM4178">
        <v>0</v>
      </c>
      <c r="AN4178">
        <v>0</v>
      </c>
      <c r="AO4178">
        <v>0</v>
      </c>
      <c r="AP4178" s="2">
        <v>42746</v>
      </c>
      <c r="AQ4178" t="s">
        <v>72</v>
      </c>
      <c r="AR4178" t="s">
        <v>72</v>
      </c>
      <c r="AS4178">
        <v>653</v>
      </c>
      <c r="AT4178" s="4">
        <v>42433</v>
      </c>
      <c r="AU4178" t="s">
        <v>73</v>
      </c>
      <c r="AV4178">
        <v>653</v>
      </c>
      <c r="AW4178" s="4">
        <v>42433</v>
      </c>
      <c r="BD4178">
        <v>0</v>
      </c>
      <c r="BN4178" t="s">
        <v>74</v>
      </c>
    </row>
    <row r="4179" spans="1:66" hidden="1">
      <c r="A4179">
        <v>101541</v>
      </c>
      <c r="B4179" s="3" t="s">
        <v>467</v>
      </c>
      <c r="C4179" s="1">
        <v>43300101</v>
      </c>
      <c r="D4179" t="s">
        <v>67</v>
      </c>
      <c r="H4179" t="str">
        <f t="shared" si="453"/>
        <v>08230471008</v>
      </c>
      <c r="I4179" t="str">
        <f t="shared" si="453"/>
        <v>08230471008</v>
      </c>
      <c r="K4179" t="str">
        <f>""</f>
        <v/>
      </c>
      <c r="M4179" t="s">
        <v>68</v>
      </c>
      <c r="N4179" t="str">
        <f t="shared" si="452"/>
        <v>FOR</v>
      </c>
      <c r="O4179" t="s">
        <v>69</v>
      </c>
      <c r="P4179" s="3" t="s">
        <v>75</v>
      </c>
      <c r="Q4179">
        <v>2015</v>
      </c>
      <c r="R4179" s="2">
        <v>42124</v>
      </c>
      <c r="S4179" s="2">
        <v>42129</v>
      </c>
      <c r="T4179" s="2">
        <v>42129</v>
      </c>
      <c r="U4179" s="2">
        <v>42189</v>
      </c>
      <c r="V4179" t="s">
        <v>71</v>
      </c>
      <c r="W4179" t="str">
        <f>"               50650"</f>
        <v xml:space="preserve">               50650</v>
      </c>
      <c r="X4179">
        <v>305</v>
      </c>
      <c r="Y4179">
        <v>0</v>
      </c>
      <c r="Z4179"/>
      <c r="AB4179"/>
      <c r="AC4179">
        <v>250</v>
      </c>
      <c r="AD4179">
        <v>244</v>
      </c>
      <c r="AE4179" s="1">
        <v>61000</v>
      </c>
      <c r="AF4179">
        <v>0</v>
      </c>
      <c r="AJ4179">
        <v>0</v>
      </c>
      <c r="AK4179">
        <v>0</v>
      </c>
      <c r="AL4179">
        <v>0</v>
      </c>
      <c r="AM4179">
        <v>0</v>
      </c>
      <c r="AN4179">
        <v>0</v>
      </c>
      <c r="AO4179">
        <v>0</v>
      </c>
      <c r="AP4179" s="2">
        <v>42746</v>
      </c>
      <c r="AQ4179" t="s">
        <v>72</v>
      </c>
      <c r="AR4179" t="s">
        <v>72</v>
      </c>
      <c r="AS4179">
        <v>653</v>
      </c>
      <c r="AT4179" s="4">
        <v>42433</v>
      </c>
      <c r="AU4179" t="s">
        <v>73</v>
      </c>
      <c r="AV4179">
        <v>653</v>
      </c>
      <c r="AW4179" s="4">
        <v>42433</v>
      </c>
      <c r="BD4179">
        <v>0</v>
      </c>
      <c r="BN4179" t="s">
        <v>74</v>
      </c>
    </row>
    <row r="4180" spans="1:66" hidden="1">
      <c r="A4180">
        <v>101541</v>
      </c>
      <c r="B4180" s="3" t="s">
        <v>467</v>
      </c>
      <c r="C4180" s="1">
        <v>43300101</v>
      </c>
      <c r="D4180" t="s">
        <v>67</v>
      </c>
      <c r="H4180" t="str">
        <f t="shared" si="453"/>
        <v>08230471008</v>
      </c>
      <c r="I4180" t="str">
        <f t="shared" si="453"/>
        <v>08230471008</v>
      </c>
      <c r="K4180" t="str">
        <f>""</f>
        <v/>
      </c>
      <c r="M4180" t="s">
        <v>68</v>
      </c>
      <c r="N4180" t="str">
        <f t="shared" si="452"/>
        <v>FOR</v>
      </c>
      <c r="O4180" t="s">
        <v>69</v>
      </c>
      <c r="P4180" s="3" t="s">
        <v>75</v>
      </c>
      <c r="Q4180">
        <v>2015</v>
      </c>
      <c r="R4180" s="2">
        <v>42124</v>
      </c>
      <c r="S4180" s="2">
        <v>42185</v>
      </c>
      <c r="T4180" s="2">
        <v>42181</v>
      </c>
      <c r="U4180" s="2">
        <v>42241</v>
      </c>
      <c r="V4180" t="s">
        <v>71</v>
      </c>
      <c r="W4180" t="str">
        <f>"               50651"</f>
        <v xml:space="preserve">               50651</v>
      </c>
      <c r="X4180">
        <v>305</v>
      </c>
      <c r="Y4180">
        <v>0</v>
      </c>
      <c r="Z4180"/>
      <c r="AB4180"/>
      <c r="AC4180">
        <v>250</v>
      </c>
      <c r="AD4180">
        <v>192</v>
      </c>
      <c r="AE4180" s="1">
        <v>48000</v>
      </c>
      <c r="AF4180">
        <v>0</v>
      </c>
      <c r="AJ4180">
        <v>0</v>
      </c>
      <c r="AK4180">
        <v>0</v>
      </c>
      <c r="AL4180">
        <v>0</v>
      </c>
      <c r="AM4180">
        <v>0</v>
      </c>
      <c r="AN4180">
        <v>0</v>
      </c>
      <c r="AO4180">
        <v>0</v>
      </c>
      <c r="AP4180" s="2">
        <v>42746</v>
      </c>
      <c r="AQ4180" t="s">
        <v>72</v>
      </c>
      <c r="AR4180" t="s">
        <v>72</v>
      </c>
      <c r="AS4180">
        <v>653</v>
      </c>
      <c r="AT4180" s="4">
        <v>42433</v>
      </c>
      <c r="AU4180" t="s">
        <v>73</v>
      </c>
      <c r="AV4180">
        <v>653</v>
      </c>
      <c r="AW4180" s="4">
        <v>42433</v>
      </c>
      <c r="BD4180">
        <v>0</v>
      </c>
      <c r="BN4180" t="s">
        <v>74</v>
      </c>
    </row>
    <row r="4181" spans="1:66" hidden="1">
      <c r="A4181">
        <v>101541</v>
      </c>
      <c r="B4181" s="3" t="s">
        <v>467</v>
      </c>
      <c r="C4181" s="1">
        <v>43300101</v>
      </c>
      <c r="D4181" t="s">
        <v>67</v>
      </c>
      <c r="H4181" t="str">
        <f t="shared" si="453"/>
        <v>08230471008</v>
      </c>
      <c r="I4181" t="str">
        <f t="shared" si="453"/>
        <v>08230471008</v>
      </c>
      <c r="K4181" t="str">
        <f>""</f>
        <v/>
      </c>
      <c r="M4181" t="s">
        <v>68</v>
      </c>
      <c r="N4181" t="str">
        <f t="shared" si="452"/>
        <v>FOR</v>
      </c>
      <c r="O4181" t="s">
        <v>69</v>
      </c>
      <c r="P4181" s="3" t="s">
        <v>75</v>
      </c>
      <c r="Q4181">
        <v>2015</v>
      </c>
      <c r="R4181" s="2">
        <v>42124</v>
      </c>
      <c r="S4181" s="2">
        <v>42129</v>
      </c>
      <c r="T4181" s="2">
        <v>42128</v>
      </c>
      <c r="U4181" s="2">
        <v>42188</v>
      </c>
      <c r="V4181" t="s">
        <v>71</v>
      </c>
      <c r="W4181" t="str">
        <f>"               50652"</f>
        <v xml:space="preserve">               50652</v>
      </c>
      <c r="X4181">
        <v>305</v>
      </c>
      <c r="Y4181">
        <v>0</v>
      </c>
      <c r="Z4181"/>
      <c r="AB4181"/>
      <c r="AC4181">
        <v>250</v>
      </c>
      <c r="AD4181">
        <v>245</v>
      </c>
      <c r="AE4181" s="1">
        <v>61250</v>
      </c>
      <c r="AF4181">
        <v>0</v>
      </c>
      <c r="AJ4181">
        <v>0</v>
      </c>
      <c r="AK4181">
        <v>0</v>
      </c>
      <c r="AL4181">
        <v>0</v>
      </c>
      <c r="AM4181">
        <v>0</v>
      </c>
      <c r="AN4181">
        <v>0</v>
      </c>
      <c r="AO4181">
        <v>0</v>
      </c>
      <c r="AP4181" s="2">
        <v>42746</v>
      </c>
      <c r="AQ4181" t="s">
        <v>72</v>
      </c>
      <c r="AR4181" t="s">
        <v>72</v>
      </c>
      <c r="AS4181">
        <v>653</v>
      </c>
      <c r="AT4181" s="4">
        <v>42433</v>
      </c>
      <c r="AU4181" t="s">
        <v>73</v>
      </c>
      <c r="AV4181">
        <v>653</v>
      </c>
      <c r="AW4181" s="4">
        <v>42433</v>
      </c>
      <c r="BD4181">
        <v>0</v>
      </c>
      <c r="BN4181" t="s">
        <v>74</v>
      </c>
    </row>
    <row r="4182" spans="1:66" hidden="1">
      <c r="A4182">
        <v>101541</v>
      </c>
      <c r="B4182" s="3" t="s">
        <v>467</v>
      </c>
      <c r="C4182" s="1">
        <v>43300101</v>
      </c>
      <c r="D4182" t="s">
        <v>67</v>
      </c>
      <c r="H4182" t="str">
        <f t="shared" si="453"/>
        <v>08230471008</v>
      </c>
      <c r="I4182" t="str">
        <f t="shared" si="453"/>
        <v>08230471008</v>
      </c>
      <c r="K4182" t="str">
        <f>""</f>
        <v/>
      </c>
      <c r="M4182" t="s">
        <v>68</v>
      </c>
      <c r="N4182" t="str">
        <f t="shared" si="452"/>
        <v>FOR</v>
      </c>
      <c r="O4182" t="s">
        <v>69</v>
      </c>
      <c r="P4182" s="3" t="s">
        <v>75</v>
      </c>
      <c r="Q4182">
        <v>2015</v>
      </c>
      <c r="R4182" s="2">
        <v>42124</v>
      </c>
      <c r="S4182" s="2">
        <v>42185</v>
      </c>
      <c r="T4182" s="2">
        <v>42181</v>
      </c>
      <c r="U4182" s="2">
        <v>42241</v>
      </c>
      <c r="V4182" t="s">
        <v>71</v>
      </c>
      <c r="W4182" t="str">
        <f>"               50653"</f>
        <v xml:space="preserve">               50653</v>
      </c>
      <c r="X4182">
        <v>728</v>
      </c>
      <c r="Y4182">
        <v>0</v>
      </c>
      <c r="Z4182"/>
      <c r="AB4182"/>
      <c r="AC4182">
        <v>700</v>
      </c>
      <c r="AD4182">
        <v>192</v>
      </c>
      <c r="AE4182" s="1">
        <v>134400</v>
      </c>
      <c r="AF4182">
        <v>0</v>
      </c>
      <c r="AJ4182">
        <v>0</v>
      </c>
      <c r="AK4182">
        <v>0</v>
      </c>
      <c r="AL4182">
        <v>0</v>
      </c>
      <c r="AM4182">
        <v>0</v>
      </c>
      <c r="AN4182">
        <v>0</v>
      </c>
      <c r="AO4182">
        <v>0</v>
      </c>
      <c r="AP4182" s="2">
        <v>42746</v>
      </c>
      <c r="AQ4182" t="s">
        <v>72</v>
      </c>
      <c r="AR4182" t="s">
        <v>72</v>
      </c>
      <c r="AS4182">
        <v>653</v>
      </c>
      <c r="AT4182" s="4">
        <v>42433</v>
      </c>
      <c r="AU4182" t="s">
        <v>73</v>
      </c>
      <c r="AV4182">
        <v>653</v>
      </c>
      <c r="AW4182" s="4">
        <v>42433</v>
      </c>
      <c r="BD4182">
        <v>0</v>
      </c>
      <c r="BN4182" t="s">
        <v>74</v>
      </c>
    </row>
    <row r="4183" spans="1:66" hidden="1">
      <c r="A4183">
        <v>101541</v>
      </c>
      <c r="B4183" s="3" t="s">
        <v>467</v>
      </c>
      <c r="C4183" s="1">
        <v>43300101</v>
      </c>
      <c r="D4183" t="s">
        <v>67</v>
      </c>
      <c r="H4183" t="str">
        <f t="shared" si="453"/>
        <v>08230471008</v>
      </c>
      <c r="I4183" t="str">
        <f t="shared" si="453"/>
        <v>08230471008</v>
      </c>
      <c r="K4183" t="str">
        <f>""</f>
        <v/>
      </c>
      <c r="M4183" t="s">
        <v>68</v>
      </c>
      <c r="N4183" t="str">
        <f t="shared" si="452"/>
        <v>FOR</v>
      </c>
      <c r="O4183" t="s">
        <v>69</v>
      </c>
      <c r="P4183" s="3" t="s">
        <v>75</v>
      </c>
      <c r="Q4183">
        <v>2015</v>
      </c>
      <c r="R4183" s="2">
        <v>42124</v>
      </c>
      <c r="S4183" s="2">
        <v>42129</v>
      </c>
      <c r="T4183" s="2">
        <v>42128</v>
      </c>
      <c r="U4183" s="2">
        <v>42188</v>
      </c>
      <c r="V4183" t="s">
        <v>71</v>
      </c>
      <c r="W4183" t="str">
        <f>"               50654"</f>
        <v xml:space="preserve">               50654</v>
      </c>
      <c r="X4183">
        <v>728</v>
      </c>
      <c r="Y4183">
        <v>0</v>
      </c>
      <c r="Z4183"/>
      <c r="AB4183"/>
      <c r="AC4183">
        <v>700</v>
      </c>
      <c r="AD4183">
        <v>245</v>
      </c>
      <c r="AE4183" s="1">
        <v>171500</v>
      </c>
      <c r="AF4183">
        <v>0</v>
      </c>
      <c r="AJ4183">
        <v>0</v>
      </c>
      <c r="AK4183">
        <v>0</v>
      </c>
      <c r="AL4183">
        <v>0</v>
      </c>
      <c r="AM4183">
        <v>0</v>
      </c>
      <c r="AN4183">
        <v>0</v>
      </c>
      <c r="AO4183">
        <v>0</v>
      </c>
      <c r="AP4183" s="2">
        <v>42746</v>
      </c>
      <c r="AQ4183" t="s">
        <v>72</v>
      </c>
      <c r="AR4183" t="s">
        <v>72</v>
      </c>
      <c r="AS4183">
        <v>653</v>
      </c>
      <c r="AT4183" s="4">
        <v>42433</v>
      </c>
      <c r="AU4183" t="s">
        <v>73</v>
      </c>
      <c r="AV4183">
        <v>653</v>
      </c>
      <c r="AW4183" s="4">
        <v>42433</v>
      </c>
      <c r="BD4183">
        <v>0</v>
      </c>
      <c r="BN4183" t="s">
        <v>74</v>
      </c>
    </row>
    <row r="4184" spans="1:66" hidden="1">
      <c r="A4184">
        <v>101541</v>
      </c>
      <c r="B4184" s="3" t="s">
        <v>467</v>
      </c>
      <c r="C4184" s="1">
        <v>43300101</v>
      </c>
      <c r="D4184" t="s">
        <v>67</v>
      </c>
      <c r="H4184" t="str">
        <f t="shared" si="453"/>
        <v>08230471008</v>
      </c>
      <c r="I4184" t="str">
        <f t="shared" si="453"/>
        <v>08230471008</v>
      </c>
      <c r="K4184" t="str">
        <f>""</f>
        <v/>
      </c>
      <c r="M4184" t="s">
        <v>68</v>
      </c>
      <c r="N4184" t="str">
        <f t="shared" si="452"/>
        <v>FOR</v>
      </c>
      <c r="O4184" t="s">
        <v>69</v>
      </c>
      <c r="P4184" s="3" t="s">
        <v>75</v>
      </c>
      <c r="Q4184">
        <v>2015</v>
      </c>
      <c r="R4184" s="2">
        <v>42124</v>
      </c>
      <c r="S4184" s="2">
        <v>42185</v>
      </c>
      <c r="T4184" s="2">
        <v>42181</v>
      </c>
      <c r="U4184" s="2">
        <v>42241</v>
      </c>
      <c r="V4184" t="s">
        <v>71</v>
      </c>
      <c r="W4184" t="str">
        <f>"               50655"</f>
        <v xml:space="preserve">               50655</v>
      </c>
      <c r="X4184">
        <v>305</v>
      </c>
      <c r="Y4184">
        <v>0</v>
      </c>
      <c r="Z4184"/>
      <c r="AB4184"/>
      <c r="AC4184">
        <v>250</v>
      </c>
      <c r="AD4184">
        <v>192</v>
      </c>
      <c r="AE4184" s="1">
        <v>48000</v>
      </c>
      <c r="AF4184">
        <v>0</v>
      </c>
      <c r="AJ4184">
        <v>0</v>
      </c>
      <c r="AK4184">
        <v>0</v>
      </c>
      <c r="AL4184">
        <v>0</v>
      </c>
      <c r="AM4184">
        <v>0</v>
      </c>
      <c r="AN4184">
        <v>0</v>
      </c>
      <c r="AO4184">
        <v>0</v>
      </c>
      <c r="AP4184" s="2">
        <v>42746</v>
      </c>
      <c r="AQ4184" t="s">
        <v>72</v>
      </c>
      <c r="AR4184" t="s">
        <v>72</v>
      </c>
      <c r="AS4184">
        <v>653</v>
      </c>
      <c r="AT4184" s="4">
        <v>42433</v>
      </c>
      <c r="AU4184" t="s">
        <v>73</v>
      </c>
      <c r="AV4184">
        <v>653</v>
      </c>
      <c r="AW4184" s="4">
        <v>42433</v>
      </c>
      <c r="BD4184">
        <v>0</v>
      </c>
      <c r="BN4184" t="s">
        <v>74</v>
      </c>
    </row>
    <row r="4185" spans="1:66" hidden="1">
      <c r="A4185">
        <v>101541</v>
      </c>
      <c r="B4185" s="3" t="s">
        <v>467</v>
      </c>
      <c r="C4185" s="1">
        <v>43300101</v>
      </c>
      <c r="D4185" t="s">
        <v>67</v>
      </c>
      <c r="H4185" t="str">
        <f t="shared" si="453"/>
        <v>08230471008</v>
      </c>
      <c r="I4185" t="str">
        <f t="shared" si="453"/>
        <v>08230471008</v>
      </c>
      <c r="K4185" t="str">
        <f>""</f>
        <v/>
      </c>
      <c r="M4185" t="s">
        <v>68</v>
      </c>
      <c r="N4185" t="str">
        <f t="shared" si="452"/>
        <v>FOR</v>
      </c>
      <c r="O4185" t="s">
        <v>69</v>
      </c>
      <c r="P4185" s="3" t="s">
        <v>75</v>
      </c>
      <c r="Q4185">
        <v>2015</v>
      </c>
      <c r="R4185" s="2">
        <v>42124</v>
      </c>
      <c r="S4185" s="2">
        <v>42129</v>
      </c>
      <c r="T4185" s="2">
        <v>42129</v>
      </c>
      <c r="U4185" s="2">
        <v>42189</v>
      </c>
      <c r="V4185" t="s">
        <v>71</v>
      </c>
      <c r="W4185" t="str">
        <f>"               50656"</f>
        <v xml:space="preserve">               50656</v>
      </c>
      <c r="X4185">
        <v>305</v>
      </c>
      <c r="Y4185">
        <v>0</v>
      </c>
      <c r="Z4185"/>
      <c r="AB4185"/>
      <c r="AC4185">
        <v>250</v>
      </c>
      <c r="AD4185">
        <v>244</v>
      </c>
      <c r="AE4185" s="1">
        <v>61000</v>
      </c>
      <c r="AF4185">
        <v>0</v>
      </c>
      <c r="AJ4185">
        <v>0</v>
      </c>
      <c r="AK4185">
        <v>0</v>
      </c>
      <c r="AL4185">
        <v>0</v>
      </c>
      <c r="AM4185">
        <v>0</v>
      </c>
      <c r="AN4185">
        <v>0</v>
      </c>
      <c r="AO4185">
        <v>0</v>
      </c>
      <c r="AP4185" s="2">
        <v>42746</v>
      </c>
      <c r="AQ4185" t="s">
        <v>72</v>
      </c>
      <c r="AR4185" t="s">
        <v>72</v>
      </c>
      <c r="AS4185">
        <v>653</v>
      </c>
      <c r="AT4185" s="4">
        <v>42433</v>
      </c>
      <c r="AU4185" t="s">
        <v>73</v>
      </c>
      <c r="AV4185">
        <v>653</v>
      </c>
      <c r="AW4185" s="4">
        <v>42433</v>
      </c>
      <c r="BD4185">
        <v>0</v>
      </c>
      <c r="BN4185" t="s">
        <v>74</v>
      </c>
    </row>
    <row r="4186" spans="1:66" hidden="1">
      <c r="A4186">
        <v>101541</v>
      </c>
      <c r="B4186" s="3" t="s">
        <v>467</v>
      </c>
      <c r="C4186" s="1">
        <v>43300101</v>
      </c>
      <c r="D4186" t="s">
        <v>67</v>
      </c>
      <c r="H4186" t="str">
        <f t="shared" si="453"/>
        <v>08230471008</v>
      </c>
      <c r="I4186" t="str">
        <f t="shared" si="453"/>
        <v>08230471008</v>
      </c>
      <c r="K4186" t="str">
        <f>""</f>
        <v/>
      </c>
      <c r="M4186" t="s">
        <v>68</v>
      </c>
      <c r="N4186" t="str">
        <f t="shared" si="452"/>
        <v>FOR</v>
      </c>
      <c r="O4186" t="s">
        <v>69</v>
      </c>
      <c r="P4186" s="3" t="s">
        <v>75</v>
      </c>
      <c r="Q4186">
        <v>2015</v>
      </c>
      <c r="R4186" s="2">
        <v>42124</v>
      </c>
      <c r="S4186" s="2">
        <v>42185</v>
      </c>
      <c r="T4186" s="2">
        <v>42181</v>
      </c>
      <c r="U4186" s="2">
        <v>42241</v>
      </c>
      <c r="V4186" t="s">
        <v>71</v>
      </c>
      <c r="W4186" t="str">
        <f>"               50657"</f>
        <v xml:space="preserve">               50657</v>
      </c>
      <c r="X4186">
        <v>305</v>
      </c>
      <c r="Y4186">
        <v>0</v>
      </c>
      <c r="Z4186"/>
      <c r="AB4186"/>
      <c r="AC4186">
        <v>250</v>
      </c>
      <c r="AD4186">
        <v>192</v>
      </c>
      <c r="AE4186" s="1">
        <v>48000</v>
      </c>
      <c r="AF4186">
        <v>0</v>
      </c>
      <c r="AJ4186">
        <v>0</v>
      </c>
      <c r="AK4186">
        <v>0</v>
      </c>
      <c r="AL4186">
        <v>0</v>
      </c>
      <c r="AM4186">
        <v>0</v>
      </c>
      <c r="AN4186">
        <v>0</v>
      </c>
      <c r="AO4186">
        <v>0</v>
      </c>
      <c r="AP4186" s="2">
        <v>42746</v>
      </c>
      <c r="AQ4186" t="s">
        <v>72</v>
      </c>
      <c r="AR4186" t="s">
        <v>72</v>
      </c>
      <c r="AS4186">
        <v>653</v>
      </c>
      <c r="AT4186" s="4">
        <v>42433</v>
      </c>
      <c r="AU4186" t="s">
        <v>73</v>
      </c>
      <c r="AV4186">
        <v>653</v>
      </c>
      <c r="AW4186" s="4">
        <v>42433</v>
      </c>
      <c r="BD4186">
        <v>0</v>
      </c>
      <c r="BN4186" t="s">
        <v>74</v>
      </c>
    </row>
    <row r="4187" spans="1:66" hidden="1">
      <c r="A4187">
        <v>101541</v>
      </c>
      <c r="B4187" s="3" t="s">
        <v>467</v>
      </c>
      <c r="C4187" s="1">
        <v>43300101</v>
      </c>
      <c r="D4187" t="s">
        <v>67</v>
      </c>
      <c r="H4187" t="str">
        <f t="shared" si="453"/>
        <v>08230471008</v>
      </c>
      <c r="I4187" t="str">
        <f t="shared" si="453"/>
        <v>08230471008</v>
      </c>
      <c r="K4187" t="str">
        <f>""</f>
        <v/>
      </c>
      <c r="M4187" t="s">
        <v>68</v>
      </c>
      <c r="N4187" t="str">
        <f t="shared" si="452"/>
        <v>FOR</v>
      </c>
      <c r="O4187" t="s">
        <v>69</v>
      </c>
      <c r="P4187" s="3" t="s">
        <v>75</v>
      </c>
      <c r="Q4187">
        <v>2015</v>
      </c>
      <c r="R4187" s="2">
        <v>42124</v>
      </c>
      <c r="S4187" s="2">
        <v>42129</v>
      </c>
      <c r="T4187" s="2">
        <v>42128</v>
      </c>
      <c r="U4187" s="2">
        <v>42188</v>
      </c>
      <c r="V4187" t="s">
        <v>71</v>
      </c>
      <c r="W4187" t="str">
        <f>"               50658"</f>
        <v xml:space="preserve">               50658</v>
      </c>
      <c r="X4187">
        <v>305</v>
      </c>
      <c r="Y4187">
        <v>0</v>
      </c>
      <c r="Z4187"/>
      <c r="AB4187"/>
      <c r="AC4187">
        <v>250</v>
      </c>
      <c r="AD4187">
        <v>245</v>
      </c>
      <c r="AE4187" s="1">
        <v>61250</v>
      </c>
      <c r="AF4187">
        <v>0</v>
      </c>
      <c r="AJ4187">
        <v>0</v>
      </c>
      <c r="AK4187">
        <v>0</v>
      </c>
      <c r="AL4187">
        <v>0</v>
      </c>
      <c r="AM4187">
        <v>0</v>
      </c>
      <c r="AN4187">
        <v>0</v>
      </c>
      <c r="AO4187">
        <v>0</v>
      </c>
      <c r="AP4187" s="2">
        <v>42746</v>
      </c>
      <c r="AQ4187" t="s">
        <v>72</v>
      </c>
      <c r="AR4187" t="s">
        <v>72</v>
      </c>
      <c r="AS4187">
        <v>653</v>
      </c>
      <c r="AT4187" s="4">
        <v>42433</v>
      </c>
      <c r="AU4187" t="s">
        <v>73</v>
      </c>
      <c r="AV4187">
        <v>653</v>
      </c>
      <c r="AW4187" s="4">
        <v>42433</v>
      </c>
      <c r="BD4187">
        <v>0</v>
      </c>
      <c r="BN4187" t="s">
        <v>74</v>
      </c>
    </row>
    <row r="4188" spans="1:66" hidden="1">
      <c r="A4188">
        <v>101541</v>
      </c>
      <c r="B4188" s="3" t="s">
        <v>467</v>
      </c>
      <c r="C4188" s="1">
        <v>43300101</v>
      </c>
      <c r="D4188" t="s">
        <v>67</v>
      </c>
      <c r="H4188" t="str">
        <f t="shared" si="453"/>
        <v>08230471008</v>
      </c>
      <c r="I4188" t="str">
        <f t="shared" si="453"/>
        <v>08230471008</v>
      </c>
      <c r="K4188" t="str">
        <f>""</f>
        <v/>
      </c>
      <c r="M4188" t="s">
        <v>68</v>
      </c>
      <c r="N4188" t="str">
        <f t="shared" si="452"/>
        <v>FOR</v>
      </c>
      <c r="O4188" t="s">
        <v>69</v>
      </c>
      <c r="P4188" s="3" t="s">
        <v>75</v>
      </c>
      <c r="Q4188">
        <v>2015</v>
      </c>
      <c r="R4188" s="2">
        <v>42124</v>
      </c>
      <c r="S4188" s="2">
        <v>42185</v>
      </c>
      <c r="T4188" s="2">
        <v>42181</v>
      </c>
      <c r="U4188" s="2">
        <v>42241</v>
      </c>
      <c r="V4188" t="s">
        <v>71</v>
      </c>
      <c r="W4188" t="str">
        <f>"               50659"</f>
        <v xml:space="preserve">               50659</v>
      </c>
      <c r="X4188">
        <v>305</v>
      </c>
      <c r="Y4188">
        <v>0</v>
      </c>
      <c r="Z4188"/>
      <c r="AB4188"/>
      <c r="AC4188">
        <v>250</v>
      </c>
      <c r="AD4188">
        <v>192</v>
      </c>
      <c r="AE4188" s="1">
        <v>48000</v>
      </c>
      <c r="AF4188">
        <v>0</v>
      </c>
      <c r="AJ4188">
        <v>0</v>
      </c>
      <c r="AK4188">
        <v>0</v>
      </c>
      <c r="AL4188">
        <v>0</v>
      </c>
      <c r="AM4188">
        <v>0</v>
      </c>
      <c r="AN4188">
        <v>0</v>
      </c>
      <c r="AO4188">
        <v>0</v>
      </c>
      <c r="AP4188" s="2">
        <v>42746</v>
      </c>
      <c r="AQ4188" t="s">
        <v>72</v>
      </c>
      <c r="AR4188" t="s">
        <v>72</v>
      </c>
      <c r="AS4188">
        <v>653</v>
      </c>
      <c r="AT4188" s="4">
        <v>42433</v>
      </c>
      <c r="AU4188" t="s">
        <v>73</v>
      </c>
      <c r="AV4188">
        <v>653</v>
      </c>
      <c r="AW4188" s="4">
        <v>42433</v>
      </c>
      <c r="BD4188">
        <v>0</v>
      </c>
      <c r="BN4188" t="s">
        <v>74</v>
      </c>
    </row>
    <row r="4189" spans="1:66" hidden="1">
      <c r="A4189">
        <v>101541</v>
      </c>
      <c r="B4189" s="3" t="s">
        <v>467</v>
      </c>
      <c r="C4189" s="1">
        <v>43300101</v>
      </c>
      <c r="D4189" t="s">
        <v>67</v>
      </c>
      <c r="H4189" t="str">
        <f t="shared" si="453"/>
        <v>08230471008</v>
      </c>
      <c r="I4189" t="str">
        <f t="shared" si="453"/>
        <v>08230471008</v>
      </c>
      <c r="K4189" t="str">
        <f>""</f>
        <v/>
      </c>
      <c r="M4189" t="s">
        <v>68</v>
      </c>
      <c r="N4189" t="str">
        <f t="shared" si="452"/>
        <v>FOR</v>
      </c>
      <c r="O4189" t="s">
        <v>69</v>
      </c>
      <c r="P4189" s="3" t="s">
        <v>75</v>
      </c>
      <c r="Q4189">
        <v>2015</v>
      </c>
      <c r="R4189" s="2">
        <v>42124</v>
      </c>
      <c r="S4189" s="2">
        <v>42129</v>
      </c>
      <c r="T4189" s="2">
        <v>42128</v>
      </c>
      <c r="U4189" s="2">
        <v>42188</v>
      </c>
      <c r="V4189" t="s">
        <v>71</v>
      </c>
      <c r="W4189" t="str">
        <f>"               50660"</f>
        <v xml:space="preserve">               50660</v>
      </c>
      <c r="X4189">
        <v>728</v>
      </c>
      <c r="Y4189">
        <v>0</v>
      </c>
      <c r="Z4189"/>
      <c r="AB4189"/>
      <c r="AC4189">
        <v>700</v>
      </c>
      <c r="AD4189">
        <v>245</v>
      </c>
      <c r="AE4189" s="1">
        <v>171500</v>
      </c>
      <c r="AF4189">
        <v>0</v>
      </c>
      <c r="AJ4189">
        <v>0</v>
      </c>
      <c r="AK4189">
        <v>0</v>
      </c>
      <c r="AL4189">
        <v>0</v>
      </c>
      <c r="AM4189">
        <v>0</v>
      </c>
      <c r="AN4189">
        <v>0</v>
      </c>
      <c r="AO4189">
        <v>0</v>
      </c>
      <c r="AP4189" s="2">
        <v>42746</v>
      </c>
      <c r="AQ4189" t="s">
        <v>72</v>
      </c>
      <c r="AR4189" t="s">
        <v>72</v>
      </c>
      <c r="AS4189">
        <v>653</v>
      </c>
      <c r="AT4189" s="4">
        <v>42433</v>
      </c>
      <c r="AU4189" t="s">
        <v>73</v>
      </c>
      <c r="AV4189">
        <v>653</v>
      </c>
      <c r="AW4189" s="4">
        <v>42433</v>
      </c>
      <c r="BD4189">
        <v>0</v>
      </c>
      <c r="BN4189" t="s">
        <v>74</v>
      </c>
    </row>
    <row r="4190" spans="1:66" hidden="1">
      <c r="A4190">
        <v>101541</v>
      </c>
      <c r="B4190" s="3" t="s">
        <v>467</v>
      </c>
      <c r="C4190" s="1">
        <v>43300101</v>
      </c>
      <c r="D4190" t="s">
        <v>67</v>
      </c>
      <c r="H4190" t="str">
        <f t="shared" si="453"/>
        <v>08230471008</v>
      </c>
      <c r="I4190" t="str">
        <f t="shared" si="453"/>
        <v>08230471008</v>
      </c>
      <c r="K4190" t="str">
        <f>""</f>
        <v/>
      </c>
      <c r="M4190" t="s">
        <v>68</v>
      </c>
      <c r="N4190" t="str">
        <f t="shared" si="452"/>
        <v>FOR</v>
      </c>
      <c r="O4190" t="s">
        <v>69</v>
      </c>
      <c r="P4190" s="3" t="s">
        <v>75</v>
      </c>
      <c r="Q4190">
        <v>2015</v>
      </c>
      <c r="R4190" s="2">
        <v>42124</v>
      </c>
      <c r="S4190" s="2">
        <v>42135</v>
      </c>
      <c r="T4190" s="2">
        <v>42133</v>
      </c>
      <c r="U4190" s="2">
        <v>42193</v>
      </c>
      <c r="V4190" t="s">
        <v>71</v>
      </c>
      <c r="W4190" t="str">
        <f>"               51077"</f>
        <v xml:space="preserve">               51077</v>
      </c>
      <c r="X4190" s="1">
        <v>3050</v>
      </c>
      <c r="Y4190">
        <v>0</v>
      </c>
      <c r="Z4190"/>
      <c r="AB4190"/>
      <c r="AC4190" s="1">
        <v>2500</v>
      </c>
      <c r="AD4190">
        <v>240</v>
      </c>
      <c r="AE4190" s="1">
        <v>600000</v>
      </c>
      <c r="AF4190">
        <v>0</v>
      </c>
      <c r="AJ4190">
        <v>0</v>
      </c>
      <c r="AK4190">
        <v>0</v>
      </c>
      <c r="AL4190">
        <v>0</v>
      </c>
      <c r="AM4190">
        <v>0</v>
      </c>
      <c r="AN4190">
        <v>0</v>
      </c>
      <c r="AO4190">
        <v>0</v>
      </c>
      <c r="AP4190" s="2">
        <v>42746</v>
      </c>
      <c r="AQ4190" t="s">
        <v>72</v>
      </c>
      <c r="AR4190" t="s">
        <v>72</v>
      </c>
      <c r="AS4190">
        <v>653</v>
      </c>
      <c r="AT4190" s="4">
        <v>42433</v>
      </c>
      <c r="AU4190" t="s">
        <v>73</v>
      </c>
      <c r="AV4190">
        <v>653</v>
      </c>
      <c r="AW4190" s="4">
        <v>42433</v>
      </c>
      <c r="BD4190">
        <v>0</v>
      </c>
      <c r="BN4190" t="s">
        <v>74</v>
      </c>
    </row>
    <row r="4191" spans="1:66" hidden="1">
      <c r="A4191">
        <v>101541</v>
      </c>
      <c r="B4191" s="3" t="s">
        <v>467</v>
      </c>
      <c r="C4191" s="1">
        <v>43300101</v>
      </c>
      <c r="D4191" t="s">
        <v>67</v>
      </c>
      <c r="H4191" t="str">
        <f t="shared" si="453"/>
        <v>08230471008</v>
      </c>
      <c r="I4191" t="str">
        <f t="shared" si="453"/>
        <v>08230471008</v>
      </c>
      <c r="K4191" t="str">
        <f>""</f>
        <v/>
      </c>
      <c r="M4191" t="s">
        <v>68</v>
      </c>
      <c r="N4191" t="str">
        <f t="shared" si="452"/>
        <v>FOR</v>
      </c>
      <c r="O4191" t="s">
        <v>69</v>
      </c>
      <c r="P4191" s="3" t="s">
        <v>75</v>
      </c>
      <c r="Q4191">
        <v>2015</v>
      </c>
      <c r="R4191" s="2">
        <v>42124</v>
      </c>
      <c r="S4191" s="2">
        <v>42135</v>
      </c>
      <c r="T4191" s="2">
        <v>42133</v>
      </c>
      <c r="U4191" s="2">
        <v>42193</v>
      </c>
      <c r="V4191" t="s">
        <v>71</v>
      </c>
      <c r="W4191" t="str">
        <f>"               51078"</f>
        <v xml:space="preserve">               51078</v>
      </c>
      <c r="X4191">
        <v>305</v>
      </c>
      <c r="Y4191">
        <v>0</v>
      </c>
      <c r="Z4191"/>
      <c r="AB4191"/>
      <c r="AC4191">
        <v>250</v>
      </c>
      <c r="AD4191">
        <v>240</v>
      </c>
      <c r="AE4191" s="1">
        <v>60000</v>
      </c>
      <c r="AF4191">
        <v>0</v>
      </c>
      <c r="AJ4191">
        <v>0</v>
      </c>
      <c r="AK4191">
        <v>0</v>
      </c>
      <c r="AL4191">
        <v>0</v>
      </c>
      <c r="AM4191">
        <v>0</v>
      </c>
      <c r="AN4191">
        <v>0</v>
      </c>
      <c r="AO4191">
        <v>0</v>
      </c>
      <c r="AP4191" s="2">
        <v>42746</v>
      </c>
      <c r="AQ4191" t="s">
        <v>72</v>
      </c>
      <c r="AR4191" t="s">
        <v>72</v>
      </c>
      <c r="AS4191">
        <v>653</v>
      </c>
      <c r="AT4191" s="4">
        <v>42433</v>
      </c>
      <c r="AU4191" t="s">
        <v>73</v>
      </c>
      <c r="AV4191">
        <v>653</v>
      </c>
      <c r="AW4191" s="4">
        <v>42433</v>
      </c>
      <c r="BD4191">
        <v>0</v>
      </c>
      <c r="BN4191" t="s">
        <v>74</v>
      </c>
    </row>
    <row r="4192" spans="1:66" hidden="1">
      <c r="A4192">
        <v>101541</v>
      </c>
      <c r="B4192" s="3" t="s">
        <v>467</v>
      </c>
      <c r="C4192" s="1">
        <v>43300101</v>
      </c>
      <c r="D4192" t="s">
        <v>67</v>
      </c>
      <c r="H4192" t="str">
        <f t="shared" si="453"/>
        <v>08230471008</v>
      </c>
      <c r="I4192" t="str">
        <f t="shared" si="453"/>
        <v>08230471008</v>
      </c>
      <c r="K4192" t="str">
        <f>""</f>
        <v/>
      </c>
      <c r="M4192" t="s">
        <v>68</v>
      </c>
      <c r="N4192" t="str">
        <f t="shared" si="452"/>
        <v>FOR</v>
      </c>
      <c r="O4192" t="s">
        <v>69</v>
      </c>
      <c r="P4192" s="3" t="s">
        <v>75</v>
      </c>
      <c r="Q4192">
        <v>2015</v>
      </c>
      <c r="R4192" s="2">
        <v>42124</v>
      </c>
      <c r="S4192" s="2">
        <v>42135</v>
      </c>
      <c r="T4192" s="2">
        <v>42133</v>
      </c>
      <c r="U4192" s="2">
        <v>42193</v>
      </c>
      <c r="V4192" t="s">
        <v>71</v>
      </c>
      <c r="W4192" t="str">
        <f>"               51079"</f>
        <v xml:space="preserve">               51079</v>
      </c>
      <c r="X4192">
        <v>305</v>
      </c>
      <c r="Y4192">
        <v>0</v>
      </c>
      <c r="Z4192"/>
      <c r="AB4192"/>
      <c r="AC4192">
        <v>250</v>
      </c>
      <c r="AD4192">
        <v>240</v>
      </c>
      <c r="AE4192" s="1">
        <v>60000</v>
      </c>
      <c r="AF4192">
        <v>0</v>
      </c>
      <c r="AJ4192">
        <v>0</v>
      </c>
      <c r="AK4192">
        <v>0</v>
      </c>
      <c r="AL4192">
        <v>0</v>
      </c>
      <c r="AM4192">
        <v>0</v>
      </c>
      <c r="AN4192">
        <v>0</v>
      </c>
      <c r="AO4192">
        <v>0</v>
      </c>
      <c r="AP4192" s="2">
        <v>42746</v>
      </c>
      <c r="AQ4192" t="s">
        <v>72</v>
      </c>
      <c r="AR4192" t="s">
        <v>72</v>
      </c>
      <c r="AS4192">
        <v>653</v>
      </c>
      <c r="AT4192" s="4">
        <v>42433</v>
      </c>
      <c r="AU4192" t="s">
        <v>73</v>
      </c>
      <c r="AV4192">
        <v>653</v>
      </c>
      <c r="AW4192" s="4">
        <v>42433</v>
      </c>
      <c r="BD4192">
        <v>0</v>
      </c>
      <c r="BN4192" t="s">
        <v>74</v>
      </c>
    </row>
    <row r="4193" spans="1:66" hidden="1">
      <c r="A4193">
        <v>101541</v>
      </c>
      <c r="B4193" s="3" t="s">
        <v>467</v>
      </c>
      <c r="C4193" s="1">
        <v>43300101</v>
      </c>
      <c r="D4193" t="s">
        <v>67</v>
      </c>
      <c r="H4193" t="str">
        <f t="shared" si="453"/>
        <v>08230471008</v>
      </c>
      <c r="I4193" t="str">
        <f t="shared" si="453"/>
        <v>08230471008</v>
      </c>
      <c r="K4193" t="str">
        <f>""</f>
        <v/>
      </c>
      <c r="M4193" t="s">
        <v>68</v>
      </c>
      <c r="N4193" t="str">
        <f t="shared" si="452"/>
        <v>FOR</v>
      </c>
      <c r="O4193" t="s">
        <v>69</v>
      </c>
      <c r="P4193" s="3" t="s">
        <v>75</v>
      </c>
      <c r="Q4193">
        <v>2015</v>
      </c>
      <c r="R4193" s="2">
        <v>42124</v>
      </c>
      <c r="S4193" s="2">
        <v>42135</v>
      </c>
      <c r="T4193" s="2">
        <v>42133</v>
      </c>
      <c r="U4193" s="2">
        <v>42193</v>
      </c>
      <c r="V4193" t="s">
        <v>71</v>
      </c>
      <c r="W4193" t="str">
        <f>"               51080"</f>
        <v xml:space="preserve">               51080</v>
      </c>
      <c r="X4193">
        <v>305</v>
      </c>
      <c r="Y4193">
        <v>0</v>
      </c>
      <c r="Z4193"/>
      <c r="AB4193"/>
      <c r="AC4193">
        <v>250</v>
      </c>
      <c r="AD4193">
        <v>240</v>
      </c>
      <c r="AE4193" s="1">
        <v>60000</v>
      </c>
      <c r="AF4193">
        <v>0</v>
      </c>
      <c r="AJ4193">
        <v>0</v>
      </c>
      <c r="AK4193">
        <v>0</v>
      </c>
      <c r="AL4193">
        <v>0</v>
      </c>
      <c r="AM4193">
        <v>0</v>
      </c>
      <c r="AN4193">
        <v>0</v>
      </c>
      <c r="AO4193">
        <v>0</v>
      </c>
      <c r="AP4193" s="2">
        <v>42746</v>
      </c>
      <c r="AQ4193" t="s">
        <v>72</v>
      </c>
      <c r="AR4193" t="s">
        <v>72</v>
      </c>
      <c r="AS4193">
        <v>653</v>
      </c>
      <c r="AT4193" s="4">
        <v>42433</v>
      </c>
      <c r="AU4193" t="s">
        <v>73</v>
      </c>
      <c r="AV4193">
        <v>653</v>
      </c>
      <c r="AW4193" s="4">
        <v>42433</v>
      </c>
      <c r="BD4193">
        <v>0</v>
      </c>
      <c r="BN4193" t="s">
        <v>74</v>
      </c>
    </row>
    <row r="4194" spans="1:66" hidden="1">
      <c r="A4194">
        <v>101541</v>
      </c>
      <c r="B4194" s="3" t="s">
        <v>467</v>
      </c>
      <c r="C4194" s="1">
        <v>43300101</v>
      </c>
      <c r="D4194" t="s">
        <v>67</v>
      </c>
      <c r="H4194" t="str">
        <f t="shared" si="453"/>
        <v>08230471008</v>
      </c>
      <c r="I4194" t="str">
        <f t="shared" si="453"/>
        <v>08230471008</v>
      </c>
      <c r="K4194" t="str">
        <f>""</f>
        <v/>
      </c>
      <c r="M4194" t="s">
        <v>68</v>
      </c>
      <c r="N4194" t="str">
        <f t="shared" si="452"/>
        <v>FOR</v>
      </c>
      <c r="O4194" t="s">
        <v>69</v>
      </c>
      <c r="P4194" s="3" t="s">
        <v>75</v>
      </c>
      <c r="Q4194">
        <v>2015</v>
      </c>
      <c r="R4194" s="2">
        <v>42124</v>
      </c>
      <c r="S4194" s="2">
        <v>42135</v>
      </c>
      <c r="T4194" s="2">
        <v>42133</v>
      </c>
      <c r="U4194" s="2">
        <v>42193</v>
      </c>
      <c r="V4194" t="s">
        <v>71</v>
      </c>
      <c r="W4194" t="str">
        <f>"               51081"</f>
        <v xml:space="preserve">               51081</v>
      </c>
      <c r="X4194">
        <v>305</v>
      </c>
      <c r="Y4194">
        <v>0</v>
      </c>
      <c r="Z4194"/>
      <c r="AB4194"/>
      <c r="AC4194">
        <v>250</v>
      </c>
      <c r="AD4194">
        <v>240</v>
      </c>
      <c r="AE4194" s="1">
        <v>60000</v>
      </c>
      <c r="AF4194">
        <v>0</v>
      </c>
      <c r="AJ4194">
        <v>0</v>
      </c>
      <c r="AK4194">
        <v>0</v>
      </c>
      <c r="AL4194">
        <v>0</v>
      </c>
      <c r="AM4194">
        <v>0</v>
      </c>
      <c r="AN4194">
        <v>0</v>
      </c>
      <c r="AO4194">
        <v>0</v>
      </c>
      <c r="AP4194" s="2">
        <v>42746</v>
      </c>
      <c r="AQ4194" t="s">
        <v>72</v>
      </c>
      <c r="AR4194" t="s">
        <v>72</v>
      </c>
      <c r="AS4194">
        <v>653</v>
      </c>
      <c r="AT4194" s="4">
        <v>42433</v>
      </c>
      <c r="AU4194" t="s">
        <v>73</v>
      </c>
      <c r="AV4194">
        <v>653</v>
      </c>
      <c r="AW4194" s="4">
        <v>42433</v>
      </c>
      <c r="BD4194">
        <v>0</v>
      </c>
      <c r="BN4194" t="s">
        <v>74</v>
      </c>
    </row>
    <row r="4195" spans="1:66" hidden="1">
      <c r="A4195">
        <v>101541</v>
      </c>
      <c r="B4195" s="3" t="s">
        <v>467</v>
      </c>
      <c r="C4195" s="1">
        <v>43300101</v>
      </c>
      <c r="D4195" t="s">
        <v>67</v>
      </c>
      <c r="H4195" t="str">
        <f t="shared" si="453"/>
        <v>08230471008</v>
      </c>
      <c r="I4195" t="str">
        <f t="shared" si="453"/>
        <v>08230471008</v>
      </c>
      <c r="K4195" t="str">
        <f>""</f>
        <v/>
      </c>
      <c r="M4195" t="s">
        <v>68</v>
      </c>
      <c r="N4195" t="str">
        <f t="shared" si="452"/>
        <v>FOR</v>
      </c>
      <c r="O4195" t="s">
        <v>69</v>
      </c>
      <c r="P4195" s="3" t="s">
        <v>75</v>
      </c>
      <c r="Q4195">
        <v>2015</v>
      </c>
      <c r="R4195" s="2">
        <v>42124</v>
      </c>
      <c r="S4195" s="2">
        <v>42135</v>
      </c>
      <c r="T4195" s="2">
        <v>42133</v>
      </c>
      <c r="U4195" s="2">
        <v>42193</v>
      </c>
      <c r="V4195" t="s">
        <v>71</v>
      </c>
      <c r="W4195" t="str">
        <f>"               51082"</f>
        <v xml:space="preserve">               51082</v>
      </c>
      <c r="X4195">
        <v>305</v>
      </c>
      <c r="Y4195">
        <v>0</v>
      </c>
      <c r="Z4195"/>
      <c r="AB4195"/>
      <c r="AC4195">
        <v>250</v>
      </c>
      <c r="AD4195">
        <v>240</v>
      </c>
      <c r="AE4195" s="1">
        <v>60000</v>
      </c>
      <c r="AF4195">
        <v>0</v>
      </c>
      <c r="AJ4195">
        <v>0</v>
      </c>
      <c r="AK4195">
        <v>0</v>
      </c>
      <c r="AL4195">
        <v>0</v>
      </c>
      <c r="AM4195">
        <v>0</v>
      </c>
      <c r="AN4195">
        <v>0</v>
      </c>
      <c r="AO4195">
        <v>0</v>
      </c>
      <c r="AP4195" s="2">
        <v>42746</v>
      </c>
      <c r="AQ4195" t="s">
        <v>72</v>
      </c>
      <c r="AR4195" t="s">
        <v>72</v>
      </c>
      <c r="AS4195">
        <v>653</v>
      </c>
      <c r="AT4195" s="4">
        <v>42433</v>
      </c>
      <c r="AU4195" t="s">
        <v>73</v>
      </c>
      <c r="AV4195">
        <v>653</v>
      </c>
      <c r="AW4195" s="4">
        <v>42433</v>
      </c>
      <c r="BD4195">
        <v>0</v>
      </c>
      <c r="BN4195" t="s">
        <v>74</v>
      </c>
    </row>
    <row r="4196" spans="1:66" hidden="1">
      <c r="A4196">
        <v>101541</v>
      </c>
      <c r="B4196" s="3" t="s">
        <v>467</v>
      </c>
      <c r="C4196" s="1">
        <v>43300101</v>
      </c>
      <c r="D4196" t="s">
        <v>67</v>
      </c>
      <c r="H4196" t="str">
        <f t="shared" si="453"/>
        <v>08230471008</v>
      </c>
      <c r="I4196" t="str">
        <f t="shared" si="453"/>
        <v>08230471008</v>
      </c>
      <c r="K4196" t="str">
        <f>""</f>
        <v/>
      </c>
      <c r="M4196" t="s">
        <v>68</v>
      </c>
      <c r="N4196" t="str">
        <f t="shared" si="452"/>
        <v>FOR</v>
      </c>
      <c r="O4196" t="s">
        <v>69</v>
      </c>
      <c r="P4196" s="3" t="s">
        <v>75</v>
      </c>
      <c r="Q4196">
        <v>2015</v>
      </c>
      <c r="R4196" s="2">
        <v>42124</v>
      </c>
      <c r="S4196" s="2">
        <v>42135</v>
      </c>
      <c r="T4196" s="2">
        <v>42133</v>
      </c>
      <c r="U4196" s="2">
        <v>42193</v>
      </c>
      <c r="V4196" t="s">
        <v>71</v>
      </c>
      <c r="W4196" t="str">
        <f>"               51083"</f>
        <v xml:space="preserve">               51083</v>
      </c>
      <c r="X4196">
        <v>305</v>
      </c>
      <c r="Y4196">
        <v>0</v>
      </c>
      <c r="Z4196"/>
      <c r="AB4196"/>
      <c r="AC4196">
        <v>250</v>
      </c>
      <c r="AD4196">
        <v>240</v>
      </c>
      <c r="AE4196" s="1">
        <v>60000</v>
      </c>
      <c r="AF4196">
        <v>0</v>
      </c>
      <c r="AJ4196">
        <v>0</v>
      </c>
      <c r="AK4196">
        <v>0</v>
      </c>
      <c r="AL4196">
        <v>0</v>
      </c>
      <c r="AM4196">
        <v>0</v>
      </c>
      <c r="AN4196">
        <v>0</v>
      </c>
      <c r="AO4196">
        <v>0</v>
      </c>
      <c r="AP4196" s="2">
        <v>42746</v>
      </c>
      <c r="AQ4196" t="s">
        <v>72</v>
      </c>
      <c r="AR4196" t="s">
        <v>72</v>
      </c>
      <c r="AS4196">
        <v>653</v>
      </c>
      <c r="AT4196" s="4">
        <v>42433</v>
      </c>
      <c r="AU4196" t="s">
        <v>73</v>
      </c>
      <c r="AV4196">
        <v>653</v>
      </c>
      <c r="AW4196" s="4">
        <v>42433</v>
      </c>
      <c r="BD4196">
        <v>0</v>
      </c>
      <c r="BN4196" t="s">
        <v>74</v>
      </c>
    </row>
    <row r="4197" spans="1:66" hidden="1">
      <c r="A4197">
        <v>101541</v>
      </c>
      <c r="B4197" s="3" t="s">
        <v>467</v>
      </c>
      <c r="C4197" s="1">
        <v>43300101</v>
      </c>
      <c r="D4197" t="s">
        <v>67</v>
      </c>
      <c r="H4197" t="str">
        <f t="shared" si="453"/>
        <v>08230471008</v>
      </c>
      <c r="I4197" t="str">
        <f t="shared" si="453"/>
        <v>08230471008</v>
      </c>
      <c r="K4197" t="str">
        <f>""</f>
        <v/>
      </c>
      <c r="M4197" t="s">
        <v>68</v>
      </c>
      <c r="N4197" t="str">
        <f t="shared" si="452"/>
        <v>FOR</v>
      </c>
      <c r="O4197" t="s">
        <v>69</v>
      </c>
      <c r="P4197" s="3" t="s">
        <v>75</v>
      </c>
      <c r="Q4197">
        <v>2015</v>
      </c>
      <c r="R4197" s="2">
        <v>42124</v>
      </c>
      <c r="S4197" s="2">
        <v>42135</v>
      </c>
      <c r="T4197" s="2">
        <v>42133</v>
      </c>
      <c r="U4197" s="2">
        <v>42193</v>
      </c>
      <c r="V4197" t="s">
        <v>71</v>
      </c>
      <c r="W4197" t="str">
        <f>"               51084"</f>
        <v xml:space="preserve">               51084</v>
      </c>
      <c r="X4197">
        <v>305</v>
      </c>
      <c r="Y4197">
        <v>0</v>
      </c>
      <c r="Z4197"/>
      <c r="AB4197"/>
      <c r="AC4197">
        <v>250</v>
      </c>
      <c r="AD4197">
        <v>240</v>
      </c>
      <c r="AE4197" s="1">
        <v>60000</v>
      </c>
      <c r="AF4197">
        <v>0</v>
      </c>
      <c r="AJ4197">
        <v>0</v>
      </c>
      <c r="AK4197">
        <v>0</v>
      </c>
      <c r="AL4197">
        <v>0</v>
      </c>
      <c r="AM4197">
        <v>0</v>
      </c>
      <c r="AN4197">
        <v>0</v>
      </c>
      <c r="AO4197">
        <v>0</v>
      </c>
      <c r="AP4197" s="2">
        <v>42746</v>
      </c>
      <c r="AQ4197" t="s">
        <v>72</v>
      </c>
      <c r="AR4197" t="s">
        <v>72</v>
      </c>
      <c r="AS4197">
        <v>653</v>
      </c>
      <c r="AT4197" s="4">
        <v>42433</v>
      </c>
      <c r="AU4197" t="s">
        <v>73</v>
      </c>
      <c r="AV4197">
        <v>653</v>
      </c>
      <c r="AW4197" s="4">
        <v>42433</v>
      </c>
      <c r="BD4197">
        <v>0</v>
      </c>
      <c r="BN4197" t="s">
        <v>74</v>
      </c>
    </row>
    <row r="4198" spans="1:66" hidden="1">
      <c r="A4198">
        <v>101541</v>
      </c>
      <c r="B4198" s="3" t="s">
        <v>467</v>
      </c>
      <c r="C4198" s="1">
        <v>43300101</v>
      </c>
      <c r="D4198" t="s">
        <v>67</v>
      </c>
      <c r="H4198" t="str">
        <f t="shared" ref="H4198:I4217" si="454">"08230471008"</f>
        <v>08230471008</v>
      </c>
      <c r="I4198" t="str">
        <f t="shared" si="454"/>
        <v>08230471008</v>
      </c>
      <c r="K4198" t="str">
        <f>""</f>
        <v/>
      </c>
      <c r="M4198" t="s">
        <v>68</v>
      </c>
      <c r="N4198" t="str">
        <f t="shared" si="452"/>
        <v>FOR</v>
      </c>
      <c r="O4198" t="s">
        <v>69</v>
      </c>
      <c r="P4198" s="3" t="s">
        <v>75</v>
      </c>
      <c r="Q4198">
        <v>2015</v>
      </c>
      <c r="R4198" s="2">
        <v>42124</v>
      </c>
      <c r="S4198" s="2">
        <v>42135</v>
      </c>
      <c r="T4198" s="2">
        <v>42133</v>
      </c>
      <c r="U4198" s="2">
        <v>42193</v>
      </c>
      <c r="V4198" t="s">
        <v>71</v>
      </c>
      <c r="W4198" t="str">
        <f>"               51085"</f>
        <v xml:space="preserve">               51085</v>
      </c>
      <c r="X4198">
        <v>305</v>
      </c>
      <c r="Y4198">
        <v>0</v>
      </c>
      <c r="Z4198"/>
      <c r="AB4198"/>
      <c r="AC4198">
        <v>250</v>
      </c>
      <c r="AD4198">
        <v>240</v>
      </c>
      <c r="AE4198" s="1">
        <v>60000</v>
      </c>
      <c r="AF4198">
        <v>0</v>
      </c>
      <c r="AJ4198">
        <v>0</v>
      </c>
      <c r="AK4198">
        <v>0</v>
      </c>
      <c r="AL4198">
        <v>0</v>
      </c>
      <c r="AM4198">
        <v>0</v>
      </c>
      <c r="AN4198">
        <v>0</v>
      </c>
      <c r="AO4198">
        <v>0</v>
      </c>
      <c r="AP4198" s="2">
        <v>42746</v>
      </c>
      <c r="AQ4198" t="s">
        <v>72</v>
      </c>
      <c r="AR4198" t="s">
        <v>72</v>
      </c>
      <c r="AS4198">
        <v>653</v>
      </c>
      <c r="AT4198" s="4">
        <v>42433</v>
      </c>
      <c r="AU4198" t="s">
        <v>73</v>
      </c>
      <c r="AV4198">
        <v>653</v>
      </c>
      <c r="AW4198" s="4">
        <v>42433</v>
      </c>
      <c r="BD4198">
        <v>0</v>
      </c>
      <c r="BN4198" t="s">
        <v>74</v>
      </c>
    </row>
    <row r="4199" spans="1:66" hidden="1">
      <c r="A4199">
        <v>101541</v>
      </c>
      <c r="B4199" s="3" t="s">
        <v>467</v>
      </c>
      <c r="C4199" s="1">
        <v>43300101</v>
      </c>
      <c r="D4199" t="s">
        <v>67</v>
      </c>
      <c r="H4199" t="str">
        <f t="shared" si="454"/>
        <v>08230471008</v>
      </c>
      <c r="I4199" t="str">
        <f t="shared" si="454"/>
        <v>08230471008</v>
      </c>
      <c r="K4199" t="str">
        <f>""</f>
        <v/>
      </c>
      <c r="M4199" t="s">
        <v>68</v>
      </c>
      <c r="N4199" t="str">
        <f t="shared" si="452"/>
        <v>FOR</v>
      </c>
      <c r="O4199" t="s">
        <v>69</v>
      </c>
      <c r="P4199" s="3" t="s">
        <v>75</v>
      </c>
      <c r="Q4199">
        <v>2015</v>
      </c>
      <c r="R4199" s="2">
        <v>42124</v>
      </c>
      <c r="S4199" s="2">
        <v>42138</v>
      </c>
      <c r="T4199" s="2">
        <v>42137</v>
      </c>
      <c r="U4199" s="2">
        <v>42197</v>
      </c>
      <c r="V4199" t="s">
        <v>71</v>
      </c>
      <c r="W4199" t="str">
        <f>"               51086"</f>
        <v xml:space="preserve">               51086</v>
      </c>
      <c r="X4199">
        <v>305</v>
      </c>
      <c r="Y4199">
        <v>0</v>
      </c>
      <c r="Z4199"/>
      <c r="AB4199"/>
      <c r="AC4199">
        <v>250</v>
      </c>
      <c r="AD4199">
        <v>236</v>
      </c>
      <c r="AE4199" s="1">
        <v>59000</v>
      </c>
      <c r="AF4199">
        <v>0</v>
      </c>
      <c r="AJ4199">
        <v>0</v>
      </c>
      <c r="AK4199">
        <v>0</v>
      </c>
      <c r="AL4199">
        <v>0</v>
      </c>
      <c r="AM4199">
        <v>0</v>
      </c>
      <c r="AN4199">
        <v>0</v>
      </c>
      <c r="AO4199">
        <v>0</v>
      </c>
      <c r="AP4199" s="2">
        <v>42746</v>
      </c>
      <c r="AQ4199" t="s">
        <v>72</v>
      </c>
      <c r="AR4199" t="s">
        <v>72</v>
      </c>
      <c r="AS4199">
        <v>653</v>
      </c>
      <c r="AT4199" s="4">
        <v>42433</v>
      </c>
      <c r="AU4199" t="s">
        <v>73</v>
      </c>
      <c r="AV4199">
        <v>653</v>
      </c>
      <c r="AW4199" s="4">
        <v>42433</v>
      </c>
      <c r="BD4199">
        <v>0</v>
      </c>
      <c r="BN4199" t="s">
        <v>74</v>
      </c>
    </row>
    <row r="4200" spans="1:66" hidden="1">
      <c r="A4200">
        <v>101541</v>
      </c>
      <c r="B4200" s="3" t="s">
        <v>467</v>
      </c>
      <c r="C4200" s="1">
        <v>43300101</v>
      </c>
      <c r="D4200" t="s">
        <v>67</v>
      </c>
      <c r="H4200" t="str">
        <f t="shared" si="454"/>
        <v>08230471008</v>
      </c>
      <c r="I4200" t="str">
        <f t="shared" si="454"/>
        <v>08230471008</v>
      </c>
      <c r="K4200" t="str">
        <f>""</f>
        <v/>
      </c>
      <c r="M4200" t="s">
        <v>68</v>
      </c>
      <c r="N4200" t="str">
        <f t="shared" si="452"/>
        <v>FOR</v>
      </c>
      <c r="O4200" t="s">
        <v>69</v>
      </c>
      <c r="P4200" s="3" t="s">
        <v>75</v>
      </c>
      <c r="Q4200">
        <v>2015</v>
      </c>
      <c r="R4200" s="2">
        <v>42124</v>
      </c>
      <c r="S4200" s="2">
        <v>42135</v>
      </c>
      <c r="T4200" s="2">
        <v>42133</v>
      </c>
      <c r="U4200" s="2">
        <v>42193</v>
      </c>
      <c r="V4200" t="s">
        <v>71</v>
      </c>
      <c r="W4200" t="str">
        <f>"               51087"</f>
        <v xml:space="preserve">               51087</v>
      </c>
      <c r="X4200">
        <v>305</v>
      </c>
      <c r="Y4200">
        <v>0</v>
      </c>
      <c r="Z4200"/>
      <c r="AB4200"/>
      <c r="AC4200">
        <v>250</v>
      </c>
      <c r="AD4200">
        <v>240</v>
      </c>
      <c r="AE4200" s="1">
        <v>60000</v>
      </c>
      <c r="AF4200">
        <v>0</v>
      </c>
      <c r="AJ4200">
        <v>0</v>
      </c>
      <c r="AK4200">
        <v>0</v>
      </c>
      <c r="AL4200">
        <v>0</v>
      </c>
      <c r="AM4200">
        <v>0</v>
      </c>
      <c r="AN4200">
        <v>0</v>
      </c>
      <c r="AO4200">
        <v>0</v>
      </c>
      <c r="AP4200" s="2">
        <v>42746</v>
      </c>
      <c r="AQ4200" t="s">
        <v>72</v>
      </c>
      <c r="AR4200" t="s">
        <v>72</v>
      </c>
      <c r="AS4200">
        <v>653</v>
      </c>
      <c r="AT4200" s="4">
        <v>42433</v>
      </c>
      <c r="AU4200" t="s">
        <v>73</v>
      </c>
      <c r="AV4200">
        <v>653</v>
      </c>
      <c r="AW4200" s="4">
        <v>42433</v>
      </c>
      <c r="BD4200">
        <v>0</v>
      </c>
      <c r="BN4200" t="s">
        <v>74</v>
      </c>
    </row>
    <row r="4201" spans="1:66" hidden="1">
      <c r="A4201">
        <v>101541</v>
      </c>
      <c r="B4201" s="3" t="s">
        <v>467</v>
      </c>
      <c r="C4201" s="1">
        <v>43300101</v>
      </c>
      <c r="D4201" t="s">
        <v>67</v>
      </c>
      <c r="H4201" t="str">
        <f t="shared" si="454"/>
        <v>08230471008</v>
      </c>
      <c r="I4201" t="str">
        <f t="shared" si="454"/>
        <v>08230471008</v>
      </c>
      <c r="K4201" t="str">
        <f>""</f>
        <v/>
      </c>
      <c r="M4201" t="s">
        <v>68</v>
      </c>
      <c r="N4201" t="str">
        <f t="shared" si="452"/>
        <v>FOR</v>
      </c>
      <c r="O4201" t="s">
        <v>69</v>
      </c>
      <c r="P4201" s="3" t="s">
        <v>75</v>
      </c>
      <c r="Q4201">
        <v>2015</v>
      </c>
      <c r="R4201" s="2">
        <v>42132</v>
      </c>
      <c r="S4201" s="2">
        <v>42160</v>
      </c>
      <c r="T4201" s="2">
        <v>42149</v>
      </c>
      <c r="U4201" s="2">
        <v>42209</v>
      </c>
      <c r="V4201" t="s">
        <v>71</v>
      </c>
      <c r="W4201" t="str">
        <f>"               51295"</f>
        <v xml:space="preserve">               51295</v>
      </c>
      <c r="X4201">
        <v>374.4</v>
      </c>
      <c r="Y4201">
        <v>0</v>
      </c>
      <c r="Z4201"/>
      <c r="AB4201"/>
      <c r="AC4201">
        <v>360</v>
      </c>
      <c r="AD4201">
        <v>243</v>
      </c>
      <c r="AE4201" s="1">
        <v>87480</v>
      </c>
      <c r="AF4201">
        <v>0</v>
      </c>
      <c r="AJ4201">
        <v>0</v>
      </c>
      <c r="AK4201">
        <v>0</v>
      </c>
      <c r="AL4201">
        <v>0</v>
      </c>
      <c r="AM4201">
        <v>0</v>
      </c>
      <c r="AN4201">
        <v>0</v>
      </c>
      <c r="AO4201">
        <v>0</v>
      </c>
      <c r="AP4201" s="2">
        <v>42746</v>
      </c>
      <c r="AQ4201" t="s">
        <v>72</v>
      </c>
      <c r="AR4201" t="s">
        <v>72</v>
      </c>
      <c r="AS4201">
        <v>830</v>
      </c>
      <c r="AT4201" s="4">
        <v>42452</v>
      </c>
      <c r="AU4201" t="s">
        <v>73</v>
      </c>
      <c r="AV4201">
        <v>830</v>
      </c>
      <c r="AW4201" s="4">
        <v>42452</v>
      </c>
      <c r="BD4201">
        <v>0</v>
      </c>
      <c r="BN4201" t="s">
        <v>74</v>
      </c>
    </row>
    <row r="4202" spans="1:66" hidden="1">
      <c r="A4202">
        <v>101541</v>
      </c>
      <c r="B4202" s="3" t="s">
        <v>467</v>
      </c>
      <c r="C4202" s="1">
        <v>43300101</v>
      </c>
      <c r="D4202" t="s">
        <v>67</v>
      </c>
      <c r="H4202" t="str">
        <f t="shared" si="454"/>
        <v>08230471008</v>
      </c>
      <c r="I4202" t="str">
        <f t="shared" si="454"/>
        <v>08230471008</v>
      </c>
      <c r="K4202" t="str">
        <f>""</f>
        <v/>
      </c>
      <c r="M4202" t="s">
        <v>68</v>
      </c>
      <c r="N4202" t="str">
        <f t="shared" si="452"/>
        <v>FOR</v>
      </c>
      <c r="O4202" t="s">
        <v>69</v>
      </c>
      <c r="P4202" s="3" t="s">
        <v>75</v>
      </c>
      <c r="Q4202">
        <v>2015</v>
      </c>
      <c r="R4202" s="2">
        <v>42139</v>
      </c>
      <c r="S4202" s="2">
        <v>42160</v>
      </c>
      <c r="T4202" s="2">
        <v>42148</v>
      </c>
      <c r="U4202" s="2">
        <v>42208</v>
      </c>
      <c r="V4202" t="s">
        <v>71</v>
      </c>
      <c r="W4202" t="str">
        <f>"               51402"</f>
        <v xml:space="preserve">               51402</v>
      </c>
      <c r="X4202">
        <v>305</v>
      </c>
      <c r="Y4202">
        <v>0</v>
      </c>
      <c r="Z4202"/>
      <c r="AB4202"/>
      <c r="AC4202">
        <v>250</v>
      </c>
      <c r="AD4202">
        <v>244</v>
      </c>
      <c r="AE4202" s="1">
        <v>61000</v>
      </c>
      <c r="AF4202">
        <v>0</v>
      </c>
      <c r="AJ4202">
        <v>0</v>
      </c>
      <c r="AK4202">
        <v>0</v>
      </c>
      <c r="AL4202">
        <v>0</v>
      </c>
      <c r="AM4202">
        <v>0</v>
      </c>
      <c r="AN4202">
        <v>0</v>
      </c>
      <c r="AO4202">
        <v>0</v>
      </c>
      <c r="AP4202" s="2">
        <v>42746</v>
      </c>
      <c r="AQ4202" t="s">
        <v>72</v>
      </c>
      <c r="AR4202" t="s">
        <v>72</v>
      </c>
      <c r="AS4202">
        <v>830</v>
      </c>
      <c r="AT4202" s="4">
        <v>42452</v>
      </c>
      <c r="AU4202" t="s">
        <v>73</v>
      </c>
      <c r="AV4202">
        <v>830</v>
      </c>
      <c r="AW4202" s="4">
        <v>42452</v>
      </c>
      <c r="BD4202">
        <v>0</v>
      </c>
      <c r="BN4202" t="s">
        <v>74</v>
      </c>
    </row>
    <row r="4203" spans="1:66" hidden="1">
      <c r="A4203">
        <v>101541</v>
      </c>
      <c r="B4203" s="3" t="s">
        <v>467</v>
      </c>
      <c r="C4203" s="1">
        <v>43300101</v>
      </c>
      <c r="D4203" t="s">
        <v>67</v>
      </c>
      <c r="H4203" t="str">
        <f t="shared" si="454"/>
        <v>08230471008</v>
      </c>
      <c r="I4203" t="str">
        <f t="shared" si="454"/>
        <v>08230471008</v>
      </c>
      <c r="K4203" t="str">
        <f>""</f>
        <v/>
      </c>
      <c r="M4203" t="s">
        <v>68</v>
      </c>
      <c r="N4203" t="str">
        <f t="shared" si="452"/>
        <v>FOR</v>
      </c>
      <c r="O4203" t="s">
        <v>69</v>
      </c>
      <c r="P4203" s="3" t="s">
        <v>75</v>
      </c>
      <c r="Q4203">
        <v>2015</v>
      </c>
      <c r="R4203" s="2">
        <v>42139</v>
      </c>
      <c r="S4203" s="2">
        <v>42160</v>
      </c>
      <c r="T4203" s="2">
        <v>42148</v>
      </c>
      <c r="U4203" s="2">
        <v>42208</v>
      </c>
      <c r="V4203" t="s">
        <v>71</v>
      </c>
      <c r="W4203" t="str">
        <f>"               51403"</f>
        <v xml:space="preserve">               51403</v>
      </c>
      <c r="X4203">
        <v>305</v>
      </c>
      <c r="Y4203">
        <v>0</v>
      </c>
      <c r="Z4203"/>
      <c r="AB4203"/>
      <c r="AC4203">
        <v>250</v>
      </c>
      <c r="AD4203">
        <v>244</v>
      </c>
      <c r="AE4203" s="1">
        <v>61000</v>
      </c>
      <c r="AF4203">
        <v>0</v>
      </c>
      <c r="AJ4203">
        <v>0</v>
      </c>
      <c r="AK4203">
        <v>0</v>
      </c>
      <c r="AL4203">
        <v>0</v>
      </c>
      <c r="AM4203">
        <v>0</v>
      </c>
      <c r="AN4203">
        <v>0</v>
      </c>
      <c r="AO4203">
        <v>0</v>
      </c>
      <c r="AP4203" s="2">
        <v>42746</v>
      </c>
      <c r="AQ4203" t="s">
        <v>72</v>
      </c>
      <c r="AR4203" t="s">
        <v>72</v>
      </c>
      <c r="AS4203">
        <v>830</v>
      </c>
      <c r="AT4203" s="4">
        <v>42452</v>
      </c>
      <c r="AU4203" t="s">
        <v>73</v>
      </c>
      <c r="AV4203">
        <v>830</v>
      </c>
      <c r="AW4203" s="4">
        <v>42452</v>
      </c>
      <c r="BD4203">
        <v>0</v>
      </c>
      <c r="BN4203" t="s">
        <v>74</v>
      </c>
    </row>
    <row r="4204" spans="1:66" hidden="1">
      <c r="A4204">
        <v>101541</v>
      </c>
      <c r="B4204" s="3" t="s">
        <v>467</v>
      </c>
      <c r="C4204" s="1">
        <v>43300101</v>
      </c>
      <c r="D4204" t="s">
        <v>67</v>
      </c>
      <c r="H4204" t="str">
        <f t="shared" si="454"/>
        <v>08230471008</v>
      </c>
      <c r="I4204" t="str">
        <f t="shared" si="454"/>
        <v>08230471008</v>
      </c>
      <c r="K4204" t="str">
        <f>""</f>
        <v/>
      </c>
      <c r="M4204" t="s">
        <v>68</v>
      </c>
      <c r="N4204" t="str">
        <f t="shared" si="452"/>
        <v>FOR</v>
      </c>
      <c r="O4204" t="s">
        <v>69</v>
      </c>
      <c r="P4204" s="3" t="s">
        <v>75</v>
      </c>
      <c r="Q4204">
        <v>2015</v>
      </c>
      <c r="R4204" s="2">
        <v>42139</v>
      </c>
      <c r="S4204" s="2">
        <v>42160</v>
      </c>
      <c r="T4204" s="2">
        <v>42148</v>
      </c>
      <c r="U4204" s="2">
        <v>42208</v>
      </c>
      <c r="V4204" t="s">
        <v>71</v>
      </c>
      <c r="W4204" t="str">
        <f>"               51404"</f>
        <v xml:space="preserve">               51404</v>
      </c>
      <c r="X4204">
        <v>728</v>
      </c>
      <c r="Y4204">
        <v>0</v>
      </c>
      <c r="Z4204"/>
      <c r="AB4204"/>
      <c r="AC4204">
        <v>700</v>
      </c>
      <c r="AD4204">
        <v>244</v>
      </c>
      <c r="AE4204" s="1">
        <v>170800</v>
      </c>
      <c r="AF4204">
        <v>0</v>
      </c>
      <c r="AJ4204">
        <v>0</v>
      </c>
      <c r="AK4204">
        <v>0</v>
      </c>
      <c r="AL4204">
        <v>0</v>
      </c>
      <c r="AM4204">
        <v>0</v>
      </c>
      <c r="AN4204">
        <v>0</v>
      </c>
      <c r="AO4204">
        <v>0</v>
      </c>
      <c r="AP4204" s="2">
        <v>42746</v>
      </c>
      <c r="AQ4204" t="s">
        <v>72</v>
      </c>
      <c r="AR4204" t="s">
        <v>72</v>
      </c>
      <c r="AS4204">
        <v>830</v>
      </c>
      <c r="AT4204" s="4">
        <v>42452</v>
      </c>
      <c r="AU4204" t="s">
        <v>73</v>
      </c>
      <c r="AV4204">
        <v>830</v>
      </c>
      <c r="AW4204" s="4">
        <v>42452</v>
      </c>
      <c r="BD4204">
        <v>0</v>
      </c>
      <c r="BN4204" t="s">
        <v>74</v>
      </c>
    </row>
    <row r="4205" spans="1:66" hidden="1">
      <c r="A4205">
        <v>101541</v>
      </c>
      <c r="B4205" s="3" t="s">
        <v>467</v>
      </c>
      <c r="C4205" s="1">
        <v>43300101</v>
      </c>
      <c r="D4205" t="s">
        <v>67</v>
      </c>
      <c r="H4205" t="str">
        <f t="shared" si="454"/>
        <v>08230471008</v>
      </c>
      <c r="I4205" t="str">
        <f t="shared" si="454"/>
        <v>08230471008</v>
      </c>
      <c r="K4205" t="str">
        <f>""</f>
        <v/>
      </c>
      <c r="M4205" t="s">
        <v>68</v>
      </c>
      <c r="N4205" t="str">
        <f t="shared" si="452"/>
        <v>FOR</v>
      </c>
      <c r="O4205" t="s">
        <v>69</v>
      </c>
      <c r="P4205" s="3" t="s">
        <v>75</v>
      </c>
      <c r="Q4205">
        <v>2015</v>
      </c>
      <c r="R4205" s="2">
        <v>42139</v>
      </c>
      <c r="S4205" s="2">
        <v>42160</v>
      </c>
      <c r="T4205" s="2">
        <v>42148</v>
      </c>
      <c r="U4205" s="2">
        <v>42208</v>
      </c>
      <c r="V4205" t="s">
        <v>71</v>
      </c>
      <c r="W4205" t="str">
        <f>"               51405"</f>
        <v xml:space="preserve">               51405</v>
      </c>
      <c r="X4205">
        <v>728</v>
      </c>
      <c r="Y4205">
        <v>0</v>
      </c>
      <c r="Z4205"/>
      <c r="AB4205"/>
      <c r="AC4205">
        <v>700</v>
      </c>
      <c r="AD4205">
        <v>244</v>
      </c>
      <c r="AE4205" s="1">
        <v>170800</v>
      </c>
      <c r="AF4205">
        <v>0</v>
      </c>
      <c r="AJ4205">
        <v>0</v>
      </c>
      <c r="AK4205">
        <v>0</v>
      </c>
      <c r="AL4205">
        <v>0</v>
      </c>
      <c r="AM4205">
        <v>0</v>
      </c>
      <c r="AN4205">
        <v>0</v>
      </c>
      <c r="AO4205">
        <v>0</v>
      </c>
      <c r="AP4205" s="2">
        <v>42746</v>
      </c>
      <c r="AQ4205" t="s">
        <v>72</v>
      </c>
      <c r="AR4205" t="s">
        <v>72</v>
      </c>
      <c r="AS4205">
        <v>830</v>
      </c>
      <c r="AT4205" s="4">
        <v>42452</v>
      </c>
      <c r="AU4205" t="s">
        <v>73</v>
      </c>
      <c r="AV4205">
        <v>830</v>
      </c>
      <c r="AW4205" s="4">
        <v>42452</v>
      </c>
      <c r="BD4205">
        <v>0</v>
      </c>
      <c r="BN4205" t="s">
        <v>74</v>
      </c>
    </row>
    <row r="4206" spans="1:66" hidden="1">
      <c r="A4206">
        <v>101541</v>
      </c>
      <c r="B4206" s="3" t="s">
        <v>467</v>
      </c>
      <c r="C4206" s="1">
        <v>43300101</v>
      </c>
      <c r="D4206" t="s">
        <v>67</v>
      </c>
      <c r="H4206" t="str">
        <f t="shared" si="454"/>
        <v>08230471008</v>
      </c>
      <c r="I4206" t="str">
        <f t="shared" si="454"/>
        <v>08230471008</v>
      </c>
      <c r="K4206" t="str">
        <f>""</f>
        <v/>
      </c>
      <c r="M4206" t="s">
        <v>68</v>
      </c>
      <c r="N4206" t="str">
        <f t="shared" si="452"/>
        <v>FOR</v>
      </c>
      <c r="O4206" t="s">
        <v>69</v>
      </c>
      <c r="P4206" s="3" t="s">
        <v>75</v>
      </c>
      <c r="Q4206">
        <v>2015</v>
      </c>
      <c r="R4206" s="2">
        <v>42139</v>
      </c>
      <c r="S4206" s="2">
        <v>42160</v>
      </c>
      <c r="T4206" s="2">
        <v>42148</v>
      </c>
      <c r="U4206" s="2">
        <v>42208</v>
      </c>
      <c r="V4206" t="s">
        <v>71</v>
      </c>
      <c r="W4206" t="str">
        <f>"               51406"</f>
        <v xml:space="preserve">               51406</v>
      </c>
      <c r="X4206">
        <v>305</v>
      </c>
      <c r="Y4206">
        <v>0</v>
      </c>
      <c r="Z4206"/>
      <c r="AB4206"/>
      <c r="AC4206">
        <v>250</v>
      </c>
      <c r="AD4206">
        <v>244</v>
      </c>
      <c r="AE4206" s="1">
        <v>61000</v>
      </c>
      <c r="AF4206">
        <v>0</v>
      </c>
      <c r="AJ4206">
        <v>0</v>
      </c>
      <c r="AK4206">
        <v>0</v>
      </c>
      <c r="AL4206">
        <v>0</v>
      </c>
      <c r="AM4206">
        <v>0</v>
      </c>
      <c r="AN4206">
        <v>0</v>
      </c>
      <c r="AO4206">
        <v>0</v>
      </c>
      <c r="AP4206" s="2">
        <v>42746</v>
      </c>
      <c r="AQ4206" t="s">
        <v>72</v>
      </c>
      <c r="AR4206" t="s">
        <v>72</v>
      </c>
      <c r="AS4206">
        <v>830</v>
      </c>
      <c r="AT4206" s="4">
        <v>42452</v>
      </c>
      <c r="AU4206" t="s">
        <v>73</v>
      </c>
      <c r="AV4206">
        <v>830</v>
      </c>
      <c r="AW4206" s="4">
        <v>42452</v>
      </c>
      <c r="BD4206">
        <v>0</v>
      </c>
      <c r="BN4206" t="s">
        <v>74</v>
      </c>
    </row>
    <row r="4207" spans="1:66" hidden="1">
      <c r="A4207">
        <v>101541</v>
      </c>
      <c r="B4207" s="3" t="s">
        <v>467</v>
      </c>
      <c r="C4207" s="1">
        <v>43300101</v>
      </c>
      <c r="D4207" t="s">
        <v>67</v>
      </c>
      <c r="H4207" t="str">
        <f t="shared" si="454"/>
        <v>08230471008</v>
      </c>
      <c r="I4207" t="str">
        <f t="shared" si="454"/>
        <v>08230471008</v>
      </c>
      <c r="K4207" t="str">
        <f>""</f>
        <v/>
      </c>
      <c r="M4207" t="s">
        <v>68</v>
      </c>
      <c r="N4207" t="str">
        <f t="shared" si="452"/>
        <v>FOR</v>
      </c>
      <c r="O4207" t="s">
        <v>69</v>
      </c>
      <c r="P4207" s="3" t="s">
        <v>75</v>
      </c>
      <c r="Q4207">
        <v>2015</v>
      </c>
      <c r="R4207" s="2">
        <v>42139</v>
      </c>
      <c r="S4207" s="2">
        <v>42160</v>
      </c>
      <c r="T4207" s="2">
        <v>42148</v>
      </c>
      <c r="U4207" s="2">
        <v>42208</v>
      </c>
      <c r="V4207" t="s">
        <v>71</v>
      </c>
      <c r="W4207" t="str">
        <f>"               51407"</f>
        <v xml:space="preserve">               51407</v>
      </c>
      <c r="X4207">
        <v>728</v>
      </c>
      <c r="Y4207">
        <v>0</v>
      </c>
      <c r="Z4207"/>
      <c r="AB4207"/>
      <c r="AC4207">
        <v>700</v>
      </c>
      <c r="AD4207">
        <v>244</v>
      </c>
      <c r="AE4207" s="1">
        <v>170800</v>
      </c>
      <c r="AF4207">
        <v>0</v>
      </c>
      <c r="AJ4207">
        <v>0</v>
      </c>
      <c r="AK4207">
        <v>0</v>
      </c>
      <c r="AL4207">
        <v>0</v>
      </c>
      <c r="AM4207">
        <v>0</v>
      </c>
      <c r="AN4207">
        <v>0</v>
      </c>
      <c r="AO4207">
        <v>0</v>
      </c>
      <c r="AP4207" s="2">
        <v>42746</v>
      </c>
      <c r="AQ4207" t="s">
        <v>72</v>
      </c>
      <c r="AR4207" t="s">
        <v>72</v>
      </c>
      <c r="AS4207">
        <v>830</v>
      </c>
      <c r="AT4207" s="4">
        <v>42452</v>
      </c>
      <c r="AU4207" t="s">
        <v>73</v>
      </c>
      <c r="AV4207">
        <v>830</v>
      </c>
      <c r="AW4207" s="4">
        <v>42452</v>
      </c>
      <c r="BD4207">
        <v>0</v>
      </c>
      <c r="BN4207" t="s">
        <v>74</v>
      </c>
    </row>
    <row r="4208" spans="1:66" hidden="1">
      <c r="A4208">
        <v>101541</v>
      </c>
      <c r="B4208" s="3" t="s">
        <v>467</v>
      </c>
      <c r="C4208" s="1">
        <v>43300101</v>
      </c>
      <c r="D4208" t="s">
        <v>67</v>
      </c>
      <c r="H4208" t="str">
        <f t="shared" si="454"/>
        <v>08230471008</v>
      </c>
      <c r="I4208" t="str">
        <f t="shared" si="454"/>
        <v>08230471008</v>
      </c>
      <c r="K4208" t="str">
        <f>""</f>
        <v/>
      </c>
      <c r="M4208" t="s">
        <v>68</v>
      </c>
      <c r="N4208" t="str">
        <f t="shared" si="452"/>
        <v>FOR</v>
      </c>
      <c r="O4208" t="s">
        <v>69</v>
      </c>
      <c r="P4208" s="3" t="s">
        <v>75</v>
      </c>
      <c r="Q4208">
        <v>2015</v>
      </c>
      <c r="R4208" s="2">
        <v>42139</v>
      </c>
      <c r="S4208" s="2">
        <v>42160</v>
      </c>
      <c r="T4208" s="2">
        <v>42148</v>
      </c>
      <c r="U4208" s="2">
        <v>42208</v>
      </c>
      <c r="V4208" t="s">
        <v>71</v>
      </c>
      <c r="W4208" t="str">
        <f>"               51408"</f>
        <v xml:space="preserve">               51408</v>
      </c>
      <c r="X4208">
        <v>305</v>
      </c>
      <c r="Y4208">
        <v>0</v>
      </c>
      <c r="Z4208"/>
      <c r="AB4208"/>
      <c r="AC4208">
        <v>250</v>
      </c>
      <c r="AD4208">
        <v>244</v>
      </c>
      <c r="AE4208" s="1">
        <v>61000</v>
      </c>
      <c r="AF4208">
        <v>0</v>
      </c>
      <c r="AJ4208">
        <v>0</v>
      </c>
      <c r="AK4208">
        <v>0</v>
      </c>
      <c r="AL4208">
        <v>0</v>
      </c>
      <c r="AM4208">
        <v>0</v>
      </c>
      <c r="AN4208">
        <v>0</v>
      </c>
      <c r="AO4208">
        <v>0</v>
      </c>
      <c r="AP4208" s="2">
        <v>42746</v>
      </c>
      <c r="AQ4208" t="s">
        <v>72</v>
      </c>
      <c r="AR4208" t="s">
        <v>72</v>
      </c>
      <c r="AS4208">
        <v>830</v>
      </c>
      <c r="AT4208" s="4">
        <v>42452</v>
      </c>
      <c r="AU4208" t="s">
        <v>73</v>
      </c>
      <c r="AV4208">
        <v>830</v>
      </c>
      <c r="AW4208" s="4">
        <v>42452</v>
      </c>
      <c r="BD4208">
        <v>0</v>
      </c>
      <c r="BN4208" t="s">
        <v>74</v>
      </c>
    </row>
    <row r="4209" spans="1:66" hidden="1">
      <c r="A4209">
        <v>101541</v>
      </c>
      <c r="B4209" s="3" t="s">
        <v>467</v>
      </c>
      <c r="C4209" s="1">
        <v>43300101</v>
      </c>
      <c r="D4209" t="s">
        <v>67</v>
      </c>
      <c r="H4209" t="str">
        <f t="shared" si="454"/>
        <v>08230471008</v>
      </c>
      <c r="I4209" t="str">
        <f t="shared" si="454"/>
        <v>08230471008</v>
      </c>
      <c r="K4209" t="str">
        <f>""</f>
        <v/>
      </c>
      <c r="M4209" t="s">
        <v>68</v>
      </c>
      <c r="N4209" t="str">
        <f t="shared" si="452"/>
        <v>FOR</v>
      </c>
      <c r="O4209" t="s">
        <v>69</v>
      </c>
      <c r="P4209" s="3" t="s">
        <v>75</v>
      </c>
      <c r="Q4209">
        <v>2015</v>
      </c>
      <c r="R4209" s="2">
        <v>42139</v>
      </c>
      <c r="S4209" s="2">
        <v>42160</v>
      </c>
      <c r="T4209" s="2">
        <v>42148</v>
      </c>
      <c r="U4209" s="2">
        <v>42208</v>
      </c>
      <c r="V4209" t="s">
        <v>71</v>
      </c>
      <c r="W4209" t="str">
        <f>"               51409"</f>
        <v xml:space="preserve">               51409</v>
      </c>
      <c r="X4209">
        <v>305</v>
      </c>
      <c r="Y4209">
        <v>0</v>
      </c>
      <c r="Z4209"/>
      <c r="AB4209"/>
      <c r="AC4209">
        <v>250</v>
      </c>
      <c r="AD4209">
        <v>244</v>
      </c>
      <c r="AE4209" s="1">
        <v>61000</v>
      </c>
      <c r="AF4209">
        <v>0</v>
      </c>
      <c r="AJ4209">
        <v>0</v>
      </c>
      <c r="AK4209">
        <v>0</v>
      </c>
      <c r="AL4209">
        <v>0</v>
      </c>
      <c r="AM4209">
        <v>0</v>
      </c>
      <c r="AN4209">
        <v>0</v>
      </c>
      <c r="AO4209">
        <v>0</v>
      </c>
      <c r="AP4209" s="2">
        <v>42746</v>
      </c>
      <c r="AQ4209" t="s">
        <v>72</v>
      </c>
      <c r="AR4209" t="s">
        <v>72</v>
      </c>
      <c r="AS4209">
        <v>830</v>
      </c>
      <c r="AT4209" s="4">
        <v>42452</v>
      </c>
      <c r="AU4209" t="s">
        <v>73</v>
      </c>
      <c r="AV4209">
        <v>830</v>
      </c>
      <c r="AW4209" s="4">
        <v>42452</v>
      </c>
      <c r="BD4209">
        <v>0</v>
      </c>
      <c r="BN4209" t="s">
        <v>74</v>
      </c>
    </row>
    <row r="4210" spans="1:66" hidden="1">
      <c r="A4210">
        <v>101541</v>
      </c>
      <c r="B4210" s="3" t="s">
        <v>467</v>
      </c>
      <c r="C4210" s="1">
        <v>43300101</v>
      </c>
      <c r="D4210" t="s">
        <v>67</v>
      </c>
      <c r="H4210" t="str">
        <f t="shared" si="454"/>
        <v>08230471008</v>
      </c>
      <c r="I4210" t="str">
        <f t="shared" si="454"/>
        <v>08230471008</v>
      </c>
      <c r="K4210" t="str">
        <f>""</f>
        <v/>
      </c>
      <c r="M4210" t="s">
        <v>68</v>
      </c>
      <c r="N4210" t="str">
        <f t="shared" si="452"/>
        <v>FOR</v>
      </c>
      <c r="O4210" t="s">
        <v>69</v>
      </c>
      <c r="P4210" s="3" t="s">
        <v>75</v>
      </c>
      <c r="Q4210">
        <v>2015</v>
      </c>
      <c r="R4210" s="2">
        <v>42139</v>
      </c>
      <c r="S4210" s="2">
        <v>42160</v>
      </c>
      <c r="T4210" s="2">
        <v>42148</v>
      </c>
      <c r="U4210" s="2">
        <v>42208</v>
      </c>
      <c r="V4210" t="s">
        <v>71</v>
      </c>
      <c r="W4210" t="str">
        <f>"               51410"</f>
        <v xml:space="preserve">               51410</v>
      </c>
      <c r="X4210">
        <v>305</v>
      </c>
      <c r="Y4210">
        <v>0</v>
      </c>
      <c r="Z4210"/>
      <c r="AB4210"/>
      <c r="AC4210">
        <v>250</v>
      </c>
      <c r="AD4210">
        <v>244</v>
      </c>
      <c r="AE4210" s="1">
        <v>61000</v>
      </c>
      <c r="AF4210">
        <v>0</v>
      </c>
      <c r="AJ4210">
        <v>0</v>
      </c>
      <c r="AK4210">
        <v>0</v>
      </c>
      <c r="AL4210">
        <v>0</v>
      </c>
      <c r="AM4210">
        <v>0</v>
      </c>
      <c r="AN4210">
        <v>0</v>
      </c>
      <c r="AO4210">
        <v>0</v>
      </c>
      <c r="AP4210" s="2">
        <v>42746</v>
      </c>
      <c r="AQ4210" t="s">
        <v>72</v>
      </c>
      <c r="AR4210" t="s">
        <v>72</v>
      </c>
      <c r="AS4210">
        <v>830</v>
      </c>
      <c r="AT4210" s="4">
        <v>42452</v>
      </c>
      <c r="AU4210" t="s">
        <v>73</v>
      </c>
      <c r="AV4210">
        <v>830</v>
      </c>
      <c r="AW4210" s="4">
        <v>42452</v>
      </c>
      <c r="BD4210">
        <v>0</v>
      </c>
      <c r="BN4210" t="s">
        <v>74</v>
      </c>
    </row>
    <row r="4211" spans="1:66" hidden="1">
      <c r="A4211">
        <v>101541</v>
      </c>
      <c r="B4211" s="3" t="s">
        <v>467</v>
      </c>
      <c r="C4211" s="1">
        <v>43300101</v>
      </c>
      <c r="D4211" t="s">
        <v>67</v>
      </c>
      <c r="H4211" t="str">
        <f t="shared" si="454"/>
        <v>08230471008</v>
      </c>
      <c r="I4211" t="str">
        <f t="shared" si="454"/>
        <v>08230471008</v>
      </c>
      <c r="K4211" t="str">
        <f>""</f>
        <v/>
      </c>
      <c r="M4211" t="s">
        <v>68</v>
      </c>
      <c r="N4211" t="str">
        <f t="shared" si="452"/>
        <v>FOR</v>
      </c>
      <c r="O4211" t="s">
        <v>69</v>
      </c>
      <c r="P4211" s="3" t="s">
        <v>75</v>
      </c>
      <c r="Q4211">
        <v>2015</v>
      </c>
      <c r="R4211" s="2">
        <v>42139</v>
      </c>
      <c r="S4211" s="2">
        <v>42160</v>
      </c>
      <c r="T4211" s="2">
        <v>42148</v>
      </c>
      <c r="U4211" s="2">
        <v>42208</v>
      </c>
      <c r="V4211" t="s">
        <v>71</v>
      </c>
      <c r="W4211" t="str">
        <f>"               51411"</f>
        <v xml:space="preserve">               51411</v>
      </c>
      <c r="X4211" s="1">
        <v>3050</v>
      </c>
      <c r="Y4211">
        <v>0</v>
      </c>
      <c r="Z4211"/>
      <c r="AB4211"/>
      <c r="AC4211" s="1">
        <v>2500</v>
      </c>
      <c r="AD4211">
        <v>244</v>
      </c>
      <c r="AE4211" s="1">
        <v>610000</v>
      </c>
      <c r="AF4211">
        <v>0</v>
      </c>
      <c r="AJ4211">
        <v>0</v>
      </c>
      <c r="AK4211">
        <v>0</v>
      </c>
      <c r="AL4211">
        <v>0</v>
      </c>
      <c r="AM4211">
        <v>0</v>
      </c>
      <c r="AN4211">
        <v>0</v>
      </c>
      <c r="AO4211">
        <v>0</v>
      </c>
      <c r="AP4211" s="2">
        <v>42746</v>
      </c>
      <c r="AQ4211" t="s">
        <v>72</v>
      </c>
      <c r="AR4211" t="s">
        <v>72</v>
      </c>
      <c r="AS4211">
        <v>830</v>
      </c>
      <c r="AT4211" s="4">
        <v>42452</v>
      </c>
      <c r="AU4211" t="s">
        <v>73</v>
      </c>
      <c r="AV4211">
        <v>830</v>
      </c>
      <c r="AW4211" s="4">
        <v>42452</v>
      </c>
      <c r="BD4211">
        <v>0</v>
      </c>
      <c r="BN4211" t="s">
        <v>74</v>
      </c>
    </row>
    <row r="4212" spans="1:66" hidden="1">
      <c r="A4212">
        <v>101541</v>
      </c>
      <c r="B4212" s="3" t="s">
        <v>467</v>
      </c>
      <c r="C4212" s="1">
        <v>43300101</v>
      </c>
      <c r="D4212" t="s">
        <v>67</v>
      </c>
      <c r="H4212" t="str">
        <f t="shared" si="454"/>
        <v>08230471008</v>
      </c>
      <c r="I4212" t="str">
        <f t="shared" si="454"/>
        <v>08230471008</v>
      </c>
      <c r="K4212" t="str">
        <f>""</f>
        <v/>
      </c>
      <c r="M4212" t="s">
        <v>68</v>
      </c>
      <c r="N4212" t="str">
        <f t="shared" si="452"/>
        <v>FOR</v>
      </c>
      <c r="O4212" t="s">
        <v>69</v>
      </c>
      <c r="P4212" s="3" t="s">
        <v>75</v>
      </c>
      <c r="Q4212">
        <v>2015</v>
      </c>
      <c r="R4212" s="2">
        <v>42146</v>
      </c>
      <c r="S4212" s="2">
        <v>42160</v>
      </c>
      <c r="T4212" s="2">
        <v>42153</v>
      </c>
      <c r="U4212" s="2">
        <v>42213</v>
      </c>
      <c r="V4212" t="s">
        <v>71</v>
      </c>
      <c r="W4212" t="str">
        <f>"               51632"</f>
        <v xml:space="preserve">               51632</v>
      </c>
      <c r="X4212">
        <v>728</v>
      </c>
      <c r="Y4212">
        <v>0</v>
      </c>
      <c r="Z4212"/>
      <c r="AB4212"/>
      <c r="AC4212">
        <v>700</v>
      </c>
      <c r="AD4212">
        <v>239</v>
      </c>
      <c r="AE4212" s="1">
        <v>167300</v>
      </c>
      <c r="AF4212">
        <v>0</v>
      </c>
      <c r="AJ4212">
        <v>0</v>
      </c>
      <c r="AK4212">
        <v>0</v>
      </c>
      <c r="AL4212">
        <v>0</v>
      </c>
      <c r="AM4212">
        <v>0</v>
      </c>
      <c r="AN4212">
        <v>0</v>
      </c>
      <c r="AO4212">
        <v>0</v>
      </c>
      <c r="AP4212" s="2">
        <v>42746</v>
      </c>
      <c r="AQ4212" t="s">
        <v>72</v>
      </c>
      <c r="AR4212" t="s">
        <v>72</v>
      </c>
      <c r="AS4212">
        <v>830</v>
      </c>
      <c r="AT4212" s="4">
        <v>42452</v>
      </c>
      <c r="AU4212" t="s">
        <v>73</v>
      </c>
      <c r="AV4212">
        <v>830</v>
      </c>
      <c r="AW4212" s="4">
        <v>42452</v>
      </c>
      <c r="BD4212">
        <v>0</v>
      </c>
      <c r="BN4212" t="s">
        <v>74</v>
      </c>
    </row>
    <row r="4213" spans="1:66" hidden="1">
      <c r="A4213">
        <v>101541</v>
      </c>
      <c r="B4213" s="3" t="s">
        <v>467</v>
      </c>
      <c r="C4213" s="1">
        <v>43300101</v>
      </c>
      <c r="D4213" t="s">
        <v>67</v>
      </c>
      <c r="H4213" t="str">
        <f t="shared" si="454"/>
        <v>08230471008</v>
      </c>
      <c r="I4213" t="str">
        <f t="shared" si="454"/>
        <v>08230471008</v>
      </c>
      <c r="K4213" t="str">
        <f>""</f>
        <v/>
      </c>
      <c r="M4213" t="s">
        <v>68</v>
      </c>
      <c r="N4213" t="str">
        <f t="shared" si="452"/>
        <v>FOR</v>
      </c>
      <c r="O4213" t="s">
        <v>69</v>
      </c>
      <c r="P4213" s="3" t="s">
        <v>75</v>
      </c>
      <c r="Q4213">
        <v>2015</v>
      </c>
      <c r="R4213" s="2">
        <v>42153</v>
      </c>
      <c r="S4213" s="2">
        <v>42163</v>
      </c>
      <c r="T4213" s="2">
        <v>42160</v>
      </c>
      <c r="U4213" s="2">
        <v>42220</v>
      </c>
      <c r="V4213" t="s">
        <v>71</v>
      </c>
      <c r="W4213" t="str">
        <f>"               51892"</f>
        <v xml:space="preserve">               51892</v>
      </c>
      <c r="X4213">
        <v>305</v>
      </c>
      <c r="Y4213">
        <v>0</v>
      </c>
      <c r="Z4213"/>
      <c r="AB4213"/>
      <c r="AC4213">
        <v>250</v>
      </c>
      <c r="AD4213">
        <v>232</v>
      </c>
      <c r="AE4213" s="1">
        <v>58000</v>
      </c>
      <c r="AF4213">
        <v>0</v>
      </c>
      <c r="AJ4213">
        <v>0</v>
      </c>
      <c r="AK4213">
        <v>0</v>
      </c>
      <c r="AL4213">
        <v>0</v>
      </c>
      <c r="AM4213">
        <v>0</v>
      </c>
      <c r="AN4213">
        <v>0</v>
      </c>
      <c r="AO4213">
        <v>0</v>
      </c>
      <c r="AP4213" s="2">
        <v>42746</v>
      </c>
      <c r="AQ4213" t="s">
        <v>72</v>
      </c>
      <c r="AR4213" t="s">
        <v>72</v>
      </c>
      <c r="AS4213">
        <v>830</v>
      </c>
      <c r="AT4213" s="4">
        <v>42452</v>
      </c>
      <c r="AU4213" t="s">
        <v>73</v>
      </c>
      <c r="AV4213">
        <v>830</v>
      </c>
      <c r="AW4213" s="4">
        <v>42452</v>
      </c>
      <c r="BD4213">
        <v>0</v>
      </c>
      <c r="BN4213" t="s">
        <v>74</v>
      </c>
    </row>
    <row r="4214" spans="1:66" hidden="1">
      <c r="A4214">
        <v>101541</v>
      </c>
      <c r="B4214" s="3" t="s">
        <v>467</v>
      </c>
      <c r="C4214" s="1">
        <v>43300101</v>
      </c>
      <c r="D4214" t="s">
        <v>67</v>
      </c>
      <c r="H4214" t="str">
        <f t="shared" si="454"/>
        <v>08230471008</v>
      </c>
      <c r="I4214" t="str">
        <f t="shared" si="454"/>
        <v>08230471008</v>
      </c>
      <c r="K4214" t="str">
        <f>""</f>
        <v/>
      </c>
      <c r="M4214" t="s">
        <v>68</v>
      </c>
      <c r="N4214" t="str">
        <f t="shared" si="452"/>
        <v>FOR</v>
      </c>
      <c r="O4214" t="s">
        <v>69</v>
      </c>
      <c r="P4214" s="3" t="s">
        <v>75</v>
      </c>
      <c r="Q4214">
        <v>2015</v>
      </c>
      <c r="R4214" s="2">
        <v>42153</v>
      </c>
      <c r="S4214" s="2">
        <v>42163</v>
      </c>
      <c r="T4214" s="2">
        <v>42160</v>
      </c>
      <c r="U4214" s="2">
        <v>42220</v>
      </c>
      <c r="V4214" t="s">
        <v>71</v>
      </c>
      <c r="W4214" t="str">
        <f>"               51893"</f>
        <v xml:space="preserve">               51893</v>
      </c>
      <c r="X4214">
        <v>305</v>
      </c>
      <c r="Y4214">
        <v>0</v>
      </c>
      <c r="Z4214"/>
      <c r="AB4214"/>
      <c r="AC4214">
        <v>250</v>
      </c>
      <c r="AD4214">
        <v>232</v>
      </c>
      <c r="AE4214" s="1">
        <v>58000</v>
      </c>
      <c r="AF4214">
        <v>0</v>
      </c>
      <c r="AJ4214">
        <v>0</v>
      </c>
      <c r="AK4214">
        <v>0</v>
      </c>
      <c r="AL4214">
        <v>0</v>
      </c>
      <c r="AM4214">
        <v>0</v>
      </c>
      <c r="AN4214">
        <v>0</v>
      </c>
      <c r="AO4214">
        <v>0</v>
      </c>
      <c r="AP4214" s="2">
        <v>42746</v>
      </c>
      <c r="AQ4214" t="s">
        <v>72</v>
      </c>
      <c r="AR4214" t="s">
        <v>72</v>
      </c>
      <c r="AS4214">
        <v>830</v>
      </c>
      <c r="AT4214" s="4">
        <v>42452</v>
      </c>
      <c r="AU4214" t="s">
        <v>73</v>
      </c>
      <c r="AV4214">
        <v>830</v>
      </c>
      <c r="AW4214" s="4">
        <v>42452</v>
      </c>
      <c r="BD4214">
        <v>0</v>
      </c>
      <c r="BN4214" t="s">
        <v>74</v>
      </c>
    </row>
    <row r="4215" spans="1:66" hidden="1">
      <c r="A4215">
        <v>101541</v>
      </c>
      <c r="B4215" s="3" t="s">
        <v>467</v>
      </c>
      <c r="C4215" s="1">
        <v>43300101</v>
      </c>
      <c r="D4215" t="s">
        <v>67</v>
      </c>
      <c r="H4215" t="str">
        <f t="shared" si="454"/>
        <v>08230471008</v>
      </c>
      <c r="I4215" t="str">
        <f t="shared" si="454"/>
        <v>08230471008</v>
      </c>
      <c r="K4215" t="str">
        <f>""</f>
        <v/>
      </c>
      <c r="M4215" t="s">
        <v>68</v>
      </c>
      <c r="N4215" t="str">
        <f t="shared" si="452"/>
        <v>FOR</v>
      </c>
      <c r="O4215" t="s">
        <v>69</v>
      </c>
      <c r="P4215" s="3" t="s">
        <v>75</v>
      </c>
      <c r="Q4215">
        <v>2015</v>
      </c>
      <c r="R4215" s="2">
        <v>42153</v>
      </c>
      <c r="S4215" s="2">
        <v>42163</v>
      </c>
      <c r="T4215" s="2">
        <v>42160</v>
      </c>
      <c r="U4215" s="2">
        <v>42220</v>
      </c>
      <c r="V4215" t="s">
        <v>71</v>
      </c>
      <c r="W4215" t="str">
        <f>"               51894"</f>
        <v xml:space="preserve">               51894</v>
      </c>
      <c r="X4215">
        <v>728</v>
      </c>
      <c r="Y4215">
        <v>0</v>
      </c>
      <c r="Z4215"/>
      <c r="AB4215"/>
      <c r="AC4215">
        <v>700</v>
      </c>
      <c r="AD4215">
        <v>232</v>
      </c>
      <c r="AE4215" s="1">
        <v>162400</v>
      </c>
      <c r="AF4215">
        <v>0</v>
      </c>
      <c r="AJ4215">
        <v>0</v>
      </c>
      <c r="AK4215">
        <v>0</v>
      </c>
      <c r="AL4215">
        <v>0</v>
      </c>
      <c r="AM4215">
        <v>0</v>
      </c>
      <c r="AN4215">
        <v>0</v>
      </c>
      <c r="AO4215">
        <v>0</v>
      </c>
      <c r="AP4215" s="2">
        <v>42746</v>
      </c>
      <c r="AQ4215" t="s">
        <v>72</v>
      </c>
      <c r="AR4215" t="s">
        <v>72</v>
      </c>
      <c r="AS4215">
        <v>830</v>
      </c>
      <c r="AT4215" s="4">
        <v>42452</v>
      </c>
      <c r="AU4215" t="s">
        <v>73</v>
      </c>
      <c r="AV4215">
        <v>830</v>
      </c>
      <c r="AW4215" s="4">
        <v>42452</v>
      </c>
      <c r="BD4215">
        <v>0</v>
      </c>
      <c r="BN4215" t="s">
        <v>74</v>
      </c>
    </row>
    <row r="4216" spans="1:66" hidden="1">
      <c r="A4216">
        <v>101541</v>
      </c>
      <c r="B4216" s="3" t="s">
        <v>467</v>
      </c>
      <c r="C4216" s="1">
        <v>43300101</v>
      </c>
      <c r="D4216" t="s">
        <v>67</v>
      </c>
      <c r="H4216" t="str">
        <f t="shared" si="454"/>
        <v>08230471008</v>
      </c>
      <c r="I4216" t="str">
        <f t="shared" si="454"/>
        <v>08230471008</v>
      </c>
      <c r="K4216" t="str">
        <f>""</f>
        <v/>
      </c>
      <c r="M4216" t="s">
        <v>68</v>
      </c>
      <c r="N4216" t="str">
        <f t="shared" si="452"/>
        <v>FOR</v>
      </c>
      <c r="O4216" t="s">
        <v>69</v>
      </c>
      <c r="P4216" s="3" t="s">
        <v>75</v>
      </c>
      <c r="Q4216">
        <v>2015</v>
      </c>
      <c r="R4216" s="2">
        <v>42153</v>
      </c>
      <c r="S4216" s="2">
        <v>42163</v>
      </c>
      <c r="T4216" s="2">
        <v>42160</v>
      </c>
      <c r="U4216" s="2">
        <v>42220</v>
      </c>
      <c r="V4216" t="s">
        <v>71</v>
      </c>
      <c r="W4216" t="str">
        <f>"               51895"</f>
        <v xml:space="preserve">               51895</v>
      </c>
      <c r="X4216">
        <v>305</v>
      </c>
      <c r="Y4216">
        <v>0</v>
      </c>
      <c r="Z4216"/>
      <c r="AB4216"/>
      <c r="AC4216">
        <v>250</v>
      </c>
      <c r="AD4216">
        <v>232</v>
      </c>
      <c r="AE4216" s="1">
        <v>58000</v>
      </c>
      <c r="AF4216">
        <v>0</v>
      </c>
      <c r="AJ4216">
        <v>0</v>
      </c>
      <c r="AK4216">
        <v>0</v>
      </c>
      <c r="AL4216">
        <v>0</v>
      </c>
      <c r="AM4216">
        <v>0</v>
      </c>
      <c r="AN4216">
        <v>0</v>
      </c>
      <c r="AO4216">
        <v>0</v>
      </c>
      <c r="AP4216" s="2">
        <v>42746</v>
      </c>
      <c r="AQ4216" t="s">
        <v>72</v>
      </c>
      <c r="AR4216" t="s">
        <v>72</v>
      </c>
      <c r="AS4216">
        <v>830</v>
      </c>
      <c r="AT4216" s="4">
        <v>42452</v>
      </c>
      <c r="AU4216" t="s">
        <v>73</v>
      </c>
      <c r="AV4216">
        <v>830</v>
      </c>
      <c r="AW4216" s="4">
        <v>42452</v>
      </c>
      <c r="BD4216">
        <v>0</v>
      </c>
      <c r="BN4216" t="s">
        <v>74</v>
      </c>
    </row>
    <row r="4217" spans="1:66" hidden="1">
      <c r="A4217">
        <v>101541</v>
      </c>
      <c r="B4217" s="3" t="s">
        <v>467</v>
      </c>
      <c r="C4217" s="1">
        <v>43300101</v>
      </c>
      <c r="D4217" t="s">
        <v>67</v>
      </c>
      <c r="H4217" t="str">
        <f t="shared" si="454"/>
        <v>08230471008</v>
      </c>
      <c r="I4217" t="str">
        <f t="shared" si="454"/>
        <v>08230471008</v>
      </c>
      <c r="K4217" t="str">
        <f>""</f>
        <v/>
      </c>
      <c r="M4217" t="s">
        <v>68</v>
      </c>
      <c r="N4217" t="str">
        <f t="shared" si="452"/>
        <v>FOR</v>
      </c>
      <c r="O4217" t="s">
        <v>69</v>
      </c>
      <c r="P4217" s="3" t="s">
        <v>75</v>
      </c>
      <c r="Q4217">
        <v>2015</v>
      </c>
      <c r="R4217" s="2">
        <v>42153</v>
      </c>
      <c r="S4217" s="2">
        <v>42163</v>
      </c>
      <c r="T4217" s="2">
        <v>42160</v>
      </c>
      <c r="U4217" s="2">
        <v>42220</v>
      </c>
      <c r="V4217" t="s">
        <v>71</v>
      </c>
      <c r="W4217" t="str">
        <f>"               51896"</f>
        <v xml:space="preserve">               51896</v>
      </c>
      <c r="X4217">
        <v>305</v>
      </c>
      <c r="Y4217">
        <v>0</v>
      </c>
      <c r="Z4217"/>
      <c r="AB4217"/>
      <c r="AC4217">
        <v>250</v>
      </c>
      <c r="AD4217">
        <v>232</v>
      </c>
      <c r="AE4217" s="1">
        <v>58000</v>
      </c>
      <c r="AF4217">
        <v>0</v>
      </c>
      <c r="AJ4217">
        <v>0</v>
      </c>
      <c r="AK4217">
        <v>0</v>
      </c>
      <c r="AL4217">
        <v>0</v>
      </c>
      <c r="AM4217">
        <v>0</v>
      </c>
      <c r="AN4217">
        <v>0</v>
      </c>
      <c r="AO4217">
        <v>0</v>
      </c>
      <c r="AP4217" s="2">
        <v>42746</v>
      </c>
      <c r="AQ4217" t="s">
        <v>72</v>
      </c>
      <c r="AR4217" t="s">
        <v>72</v>
      </c>
      <c r="AS4217">
        <v>830</v>
      </c>
      <c r="AT4217" s="4">
        <v>42452</v>
      </c>
      <c r="AU4217" t="s">
        <v>73</v>
      </c>
      <c r="AV4217">
        <v>830</v>
      </c>
      <c r="AW4217" s="4">
        <v>42452</v>
      </c>
      <c r="BD4217">
        <v>0</v>
      </c>
      <c r="BN4217" t="s">
        <v>74</v>
      </c>
    </row>
    <row r="4218" spans="1:66" hidden="1">
      <c r="A4218">
        <v>101541</v>
      </c>
      <c r="B4218" s="3" t="s">
        <v>467</v>
      </c>
      <c r="C4218" s="1">
        <v>43300101</v>
      </c>
      <c r="D4218" t="s">
        <v>67</v>
      </c>
      <c r="H4218" t="str">
        <f t="shared" ref="H4218:I4237" si="455">"08230471008"</f>
        <v>08230471008</v>
      </c>
      <c r="I4218" t="str">
        <f t="shared" si="455"/>
        <v>08230471008</v>
      </c>
      <c r="K4218" t="str">
        <f>""</f>
        <v/>
      </c>
      <c r="M4218" t="s">
        <v>68</v>
      </c>
      <c r="N4218" t="str">
        <f t="shared" si="452"/>
        <v>FOR</v>
      </c>
      <c r="O4218" t="s">
        <v>69</v>
      </c>
      <c r="P4218" s="3" t="s">
        <v>75</v>
      </c>
      <c r="Q4218">
        <v>2015</v>
      </c>
      <c r="R4218" s="2">
        <v>42167</v>
      </c>
      <c r="S4218" s="2">
        <v>42177</v>
      </c>
      <c r="T4218" s="2">
        <v>42174</v>
      </c>
      <c r="U4218" s="2">
        <v>42234</v>
      </c>
      <c r="V4218" t="s">
        <v>71</v>
      </c>
      <c r="W4218" t="str">
        <f>"               52356"</f>
        <v xml:space="preserve">               52356</v>
      </c>
      <c r="X4218" s="1">
        <v>1872</v>
      </c>
      <c r="Y4218">
        <v>0</v>
      </c>
      <c r="Z4218"/>
      <c r="AB4218"/>
      <c r="AC4218" s="1">
        <v>1800</v>
      </c>
      <c r="AD4218">
        <v>286</v>
      </c>
      <c r="AE4218" s="1">
        <v>514800</v>
      </c>
      <c r="AF4218">
        <v>0</v>
      </c>
      <c r="AJ4218">
        <v>0</v>
      </c>
      <c r="AK4218">
        <v>0</v>
      </c>
      <c r="AL4218">
        <v>0</v>
      </c>
      <c r="AM4218">
        <v>0</v>
      </c>
      <c r="AN4218">
        <v>0</v>
      </c>
      <c r="AO4218">
        <v>0</v>
      </c>
      <c r="AP4218" s="2">
        <v>42746</v>
      </c>
      <c r="AQ4218" t="s">
        <v>72</v>
      </c>
      <c r="AR4218" t="s">
        <v>72</v>
      </c>
      <c r="AS4218">
        <v>1467</v>
      </c>
      <c r="AT4218" s="4">
        <v>42520</v>
      </c>
      <c r="AU4218" t="s">
        <v>73</v>
      </c>
      <c r="AV4218">
        <v>1467</v>
      </c>
      <c r="AW4218" s="4">
        <v>42520</v>
      </c>
      <c r="BD4218">
        <v>0</v>
      </c>
      <c r="BN4218" t="s">
        <v>74</v>
      </c>
    </row>
    <row r="4219" spans="1:66" hidden="1">
      <c r="A4219">
        <v>101541</v>
      </c>
      <c r="B4219" s="3" t="s">
        <v>467</v>
      </c>
      <c r="C4219" s="1">
        <v>43300101</v>
      </c>
      <c r="D4219" t="s">
        <v>67</v>
      </c>
      <c r="H4219" t="str">
        <f t="shared" si="455"/>
        <v>08230471008</v>
      </c>
      <c r="I4219" t="str">
        <f t="shared" si="455"/>
        <v>08230471008</v>
      </c>
      <c r="K4219" t="str">
        <f>""</f>
        <v/>
      </c>
      <c r="M4219" t="s">
        <v>68</v>
      </c>
      <c r="N4219" t="str">
        <f t="shared" si="452"/>
        <v>FOR</v>
      </c>
      <c r="O4219" t="s">
        <v>69</v>
      </c>
      <c r="P4219" s="3" t="s">
        <v>75</v>
      </c>
      <c r="Q4219">
        <v>2015</v>
      </c>
      <c r="R4219" s="2">
        <v>42167</v>
      </c>
      <c r="S4219" s="2">
        <v>42177</v>
      </c>
      <c r="T4219" s="2">
        <v>42174</v>
      </c>
      <c r="U4219" s="2">
        <v>42234</v>
      </c>
      <c r="V4219" t="s">
        <v>71</v>
      </c>
      <c r="W4219" t="str">
        <f>"               52357"</f>
        <v xml:space="preserve">               52357</v>
      </c>
      <c r="X4219" s="1">
        <v>1586</v>
      </c>
      <c r="Y4219">
        <v>0</v>
      </c>
      <c r="Z4219"/>
      <c r="AB4219"/>
      <c r="AC4219" s="1">
        <v>1300</v>
      </c>
      <c r="AD4219">
        <v>286</v>
      </c>
      <c r="AE4219" s="1">
        <v>371800</v>
      </c>
      <c r="AF4219">
        <v>0</v>
      </c>
      <c r="AJ4219">
        <v>0</v>
      </c>
      <c r="AK4219">
        <v>0</v>
      </c>
      <c r="AL4219">
        <v>0</v>
      </c>
      <c r="AM4219">
        <v>0</v>
      </c>
      <c r="AN4219">
        <v>0</v>
      </c>
      <c r="AO4219">
        <v>0</v>
      </c>
      <c r="AP4219" s="2">
        <v>42746</v>
      </c>
      <c r="AQ4219" t="s">
        <v>72</v>
      </c>
      <c r="AR4219" t="s">
        <v>72</v>
      </c>
      <c r="AS4219">
        <v>1467</v>
      </c>
      <c r="AT4219" s="4">
        <v>42520</v>
      </c>
      <c r="AU4219" t="s">
        <v>73</v>
      </c>
      <c r="AV4219">
        <v>1467</v>
      </c>
      <c r="AW4219" s="4">
        <v>42520</v>
      </c>
      <c r="BD4219">
        <v>0</v>
      </c>
      <c r="BN4219" t="s">
        <v>74</v>
      </c>
    </row>
    <row r="4220" spans="1:66" hidden="1">
      <c r="A4220">
        <v>101541</v>
      </c>
      <c r="B4220" s="3" t="s">
        <v>467</v>
      </c>
      <c r="C4220" s="1">
        <v>43300101</v>
      </c>
      <c r="D4220" t="s">
        <v>67</v>
      </c>
      <c r="H4220" t="str">
        <f t="shared" si="455"/>
        <v>08230471008</v>
      </c>
      <c r="I4220" t="str">
        <f t="shared" si="455"/>
        <v>08230471008</v>
      </c>
      <c r="K4220" t="str">
        <f>""</f>
        <v/>
      </c>
      <c r="M4220" t="s">
        <v>68</v>
      </c>
      <c r="N4220" t="str">
        <f t="shared" si="452"/>
        <v>FOR</v>
      </c>
      <c r="O4220" t="s">
        <v>69</v>
      </c>
      <c r="P4220" s="3" t="s">
        <v>75</v>
      </c>
      <c r="Q4220">
        <v>2015</v>
      </c>
      <c r="R4220" s="2">
        <v>42174</v>
      </c>
      <c r="S4220" s="2">
        <v>42186</v>
      </c>
      <c r="T4220" s="2">
        <v>42182</v>
      </c>
      <c r="U4220" s="2">
        <v>42242</v>
      </c>
      <c r="V4220" t="s">
        <v>71</v>
      </c>
      <c r="W4220" t="str">
        <f>"               52545"</f>
        <v xml:space="preserve">               52545</v>
      </c>
      <c r="X4220" s="1">
        <v>4994.6000000000004</v>
      </c>
      <c r="Y4220">
        <v>0</v>
      </c>
      <c r="Z4220"/>
      <c r="AB4220"/>
      <c r="AC4220" s="1">
        <v>4240</v>
      </c>
      <c r="AD4220">
        <v>278</v>
      </c>
      <c r="AE4220" s="1">
        <v>1178720</v>
      </c>
      <c r="AF4220">
        <v>0</v>
      </c>
      <c r="AJ4220">
        <v>0</v>
      </c>
      <c r="AK4220">
        <v>0</v>
      </c>
      <c r="AL4220">
        <v>0</v>
      </c>
      <c r="AM4220">
        <v>0</v>
      </c>
      <c r="AN4220">
        <v>0</v>
      </c>
      <c r="AO4220">
        <v>0</v>
      </c>
      <c r="AP4220" s="2">
        <v>42746</v>
      </c>
      <c r="AQ4220" t="s">
        <v>72</v>
      </c>
      <c r="AR4220" t="s">
        <v>72</v>
      </c>
      <c r="AS4220">
        <v>1467</v>
      </c>
      <c r="AT4220" s="4">
        <v>42520</v>
      </c>
      <c r="AU4220" t="s">
        <v>73</v>
      </c>
      <c r="AV4220">
        <v>1467</v>
      </c>
      <c r="AW4220" s="4">
        <v>42520</v>
      </c>
      <c r="BD4220">
        <v>0</v>
      </c>
      <c r="BN4220" t="s">
        <v>74</v>
      </c>
    </row>
    <row r="4221" spans="1:66" hidden="1">
      <c r="A4221">
        <v>101541</v>
      </c>
      <c r="B4221" s="3" t="s">
        <v>467</v>
      </c>
      <c r="C4221" s="1">
        <v>43300101</v>
      </c>
      <c r="D4221" t="s">
        <v>67</v>
      </c>
      <c r="H4221" t="str">
        <f t="shared" si="455"/>
        <v>08230471008</v>
      </c>
      <c r="I4221" t="str">
        <f t="shared" si="455"/>
        <v>08230471008</v>
      </c>
      <c r="K4221" t="str">
        <f>""</f>
        <v/>
      </c>
      <c r="M4221" t="s">
        <v>68</v>
      </c>
      <c r="N4221" t="str">
        <f t="shared" si="452"/>
        <v>FOR</v>
      </c>
      <c r="O4221" t="s">
        <v>69</v>
      </c>
      <c r="P4221" s="3" t="s">
        <v>75</v>
      </c>
      <c r="Q4221">
        <v>2015</v>
      </c>
      <c r="R4221" s="2">
        <v>42174</v>
      </c>
      <c r="S4221" s="2">
        <v>42198</v>
      </c>
      <c r="T4221" s="2">
        <v>42196</v>
      </c>
      <c r="U4221" s="2">
        <v>42256</v>
      </c>
      <c r="V4221" t="s">
        <v>71</v>
      </c>
      <c r="W4221" t="str">
        <f>"               52546"</f>
        <v xml:space="preserve">               52546</v>
      </c>
      <c r="X4221">
        <v>728</v>
      </c>
      <c r="Y4221">
        <v>0</v>
      </c>
      <c r="Z4221"/>
      <c r="AB4221"/>
      <c r="AC4221">
        <v>700</v>
      </c>
      <c r="AD4221">
        <v>264</v>
      </c>
      <c r="AE4221" s="1">
        <v>184800</v>
      </c>
      <c r="AF4221">
        <v>0</v>
      </c>
      <c r="AJ4221">
        <v>0</v>
      </c>
      <c r="AK4221">
        <v>0</v>
      </c>
      <c r="AL4221">
        <v>0</v>
      </c>
      <c r="AM4221">
        <v>0</v>
      </c>
      <c r="AN4221">
        <v>0</v>
      </c>
      <c r="AO4221">
        <v>0</v>
      </c>
      <c r="AP4221" s="2">
        <v>42746</v>
      </c>
      <c r="AQ4221" t="s">
        <v>72</v>
      </c>
      <c r="AR4221" t="s">
        <v>72</v>
      </c>
      <c r="AS4221">
        <v>1467</v>
      </c>
      <c r="AT4221" s="4">
        <v>42520</v>
      </c>
      <c r="AU4221" t="s">
        <v>73</v>
      </c>
      <c r="AV4221">
        <v>1467</v>
      </c>
      <c r="AW4221" s="4">
        <v>42520</v>
      </c>
      <c r="BD4221">
        <v>0</v>
      </c>
      <c r="BN4221" t="s">
        <v>74</v>
      </c>
    </row>
    <row r="4222" spans="1:66" hidden="1">
      <c r="A4222">
        <v>101541</v>
      </c>
      <c r="B4222" s="3" t="s">
        <v>467</v>
      </c>
      <c r="C4222" s="1">
        <v>43300101</v>
      </c>
      <c r="D4222" t="s">
        <v>67</v>
      </c>
      <c r="H4222" t="str">
        <f t="shared" si="455"/>
        <v>08230471008</v>
      </c>
      <c r="I4222" t="str">
        <f t="shared" si="455"/>
        <v>08230471008</v>
      </c>
      <c r="K4222" t="str">
        <f>""</f>
        <v/>
      </c>
      <c r="M4222" t="s">
        <v>68</v>
      </c>
      <c r="N4222" t="str">
        <f t="shared" si="452"/>
        <v>FOR</v>
      </c>
      <c r="O4222" t="s">
        <v>69</v>
      </c>
      <c r="P4222" s="3" t="s">
        <v>75</v>
      </c>
      <c r="Q4222">
        <v>2015</v>
      </c>
      <c r="R4222" s="2">
        <v>42174</v>
      </c>
      <c r="S4222" s="2">
        <v>42186</v>
      </c>
      <c r="T4222" s="2">
        <v>42182</v>
      </c>
      <c r="U4222" s="2">
        <v>42242</v>
      </c>
      <c r="V4222" t="s">
        <v>71</v>
      </c>
      <c r="W4222" t="str">
        <f>"               52547"</f>
        <v xml:space="preserve">               52547</v>
      </c>
      <c r="X4222">
        <v>305</v>
      </c>
      <c r="Y4222">
        <v>0</v>
      </c>
      <c r="Z4222"/>
      <c r="AB4222"/>
      <c r="AC4222">
        <v>250</v>
      </c>
      <c r="AD4222">
        <v>278</v>
      </c>
      <c r="AE4222" s="1">
        <v>69500</v>
      </c>
      <c r="AF4222">
        <v>0</v>
      </c>
      <c r="AJ4222">
        <v>0</v>
      </c>
      <c r="AK4222">
        <v>0</v>
      </c>
      <c r="AL4222">
        <v>0</v>
      </c>
      <c r="AM4222">
        <v>0</v>
      </c>
      <c r="AN4222">
        <v>0</v>
      </c>
      <c r="AO4222">
        <v>0</v>
      </c>
      <c r="AP4222" s="2">
        <v>42746</v>
      </c>
      <c r="AQ4222" t="s">
        <v>72</v>
      </c>
      <c r="AR4222" t="s">
        <v>72</v>
      </c>
      <c r="AS4222">
        <v>1467</v>
      </c>
      <c r="AT4222" s="4">
        <v>42520</v>
      </c>
      <c r="AU4222" t="s">
        <v>73</v>
      </c>
      <c r="AV4222">
        <v>1467</v>
      </c>
      <c r="AW4222" s="4">
        <v>42520</v>
      </c>
      <c r="BD4222">
        <v>0</v>
      </c>
      <c r="BN4222" t="s">
        <v>74</v>
      </c>
    </row>
    <row r="4223" spans="1:66" hidden="1">
      <c r="A4223">
        <v>101541</v>
      </c>
      <c r="B4223" s="3" t="s">
        <v>467</v>
      </c>
      <c r="C4223" s="1">
        <v>43300101</v>
      </c>
      <c r="D4223" t="s">
        <v>67</v>
      </c>
      <c r="H4223" t="str">
        <f t="shared" si="455"/>
        <v>08230471008</v>
      </c>
      <c r="I4223" t="str">
        <f t="shared" si="455"/>
        <v>08230471008</v>
      </c>
      <c r="K4223" t="str">
        <f>""</f>
        <v/>
      </c>
      <c r="M4223" t="s">
        <v>68</v>
      </c>
      <c r="N4223" t="str">
        <f t="shared" si="452"/>
        <v>FOR</v>
      </c>
      <c r="O4223" t="s">
        <v>69</v>
      </c>
      <c r="P4223" s="3" t="s">
        <v>75</v>
      </c>
      <c r="Q4223">
        <v>2015</v>
      </c>
      <c r="R4223" s="2">
        <v>42174</v>
      </c>
      <c r="S4223" s="2">
        <v>42198</v>
      </c>
      <c r="T4223" s="2">
        <v>42196</v>
      </c>
      <c r="U4223" s="2">
        <v>42256</v>
      </c>
      <c r="V4223" t="s">
        <v>71</v>
      </c>
      <c r="W4223" t="str">
        <f>"               52548"</f>
        <v xml:space="preserve">               52548</v>
      </c>
      <c r="X4223">
        <v>305</v>
      </c>
      <c r="Y4223">
        <v>0</v>
      </c>
      <c r="Z4223"/>
      <c r="AB4223"/>
      <c r="AC4223">
        <v>250</v>
      </c>
      <c r="AD4223">
        <v>264</v>
      </c>
      <c r="AE4223" s="1">
        <v>66000</v>
      </c>
      <c r="AF4223">
        <v>0</v>
      </c>
      <c r="AJ4223">
        <v>0</v>
      </c>
      <c r="AK4223">
        <v>0</v>
      </c>
      <c r="AL4223">
        <v>0</v>
      </c>
      <c r="AM4223">
        <v>0</v>
      </c>
      <c r="AN4223">
        <v>0</v>
      </c>
      <c r="AO4223">
        <v>0</v>
      </c>
      <c r="AP4223" s="2">
        <v>42746</v>
      </c>
      <c r="AQ4223" t="s">
        <v>72</v>
      </c>
      <c r="AR4223" t="s">
        <v>72</v>
      </c>
      <c r="AS4223">
        <v>1467</v>
      </c>
      <c r="AT4223" s="4">
        <v>42520</v>
      </c>
      <c r="AU4223" t="s">
        <v>73</v>
      </c>
      <c r="AV4223">
        <v>1467</v>
      </c>
      <c r="AW4223" s="4">
        <v>42520</v>
      </c>
      <c r="BD4223">
        <v>0</v>
      </c>
      <c r="BN4223" t="s">
        <v>74</v>
      </c>
    </row>
    <row r="4224" spans="1:66" hidden="1">
      <c r="A4224">
        <v>101541</v>
      </c>
      <c r="B4224" s="3" t="s">
        <v>467</v>
      </c>
      <c r="C4224" s="1">
        <v>43300101</v>
      </c>
      <c r="D4224" t="s">
        <v>67</v>
      </c>
      <c r="H4224" t="str">
        <f t="shared" si="455"/>
        <v>08230471008</v>
      </c>
      <c r="I4224" t="str">
        <f t="shared" si="455"/>
        <v>08230471008</v>
      </c>
      <c r="K4224" t="str">
        <f>""</f>
        <v/>
      </c>
      <c r="M4224" t="s">
        <v>68</v>
      </c>
      <c r="N4224" t="str">
        <f t="shared" si="452"/>
        <v>FOR</v>
      </c>
      <c r="O4224" t="s">
        <v>69</v>
      </c>
      <c r="P4224" s="3" t="s">
        <v>75</v>
      </c>
      <c r="Q4224">
        <v>2015</v>
      </c>
      <c r="R4224" s="2">
        <v>42174</v>
      </c>
      <c r="S4224" s="2">
        <v>42185</v>
      </c>
      <c r="T4224" s="2">
        <v>42181</v>
      </c>
      <c r="U4224" s="2">
        <v>42241</v>
      </c>
      <c r="V4224" t="s">
        <v>71</v>
      </c>
      <c r="W4224" t="str">
        <f>"               52549"</f>
        <v xml:space="preserve">               52549</v>
      </c>
      <c r="X4224">
        <v>305</v>
      </c>
      <c r="Y4224">
        <v>0</v>
      </c>
      <c r="Z4224"/>
      <c r="AB4224"/>
      <c r="AC4224">
        <v>250</v>
      </c>
      <c r="AD4224">
        <v>279</v>
      </c>
      <c r="AE4224" s="1">
        <v>69750</v>
      </c>
      <c r="AF4224">
        <v>0</v>
      </c>
      <c r="AJ4224">
        <v>0</v>
      </c>
      <c r="AK4224">
        <v>0</v>
      </c>
      <c r="AL4224">
        <v>0</v>
      </c>
      <c r="AM4224">
        <v>0</v>
      </c>
      <c r="AN4224">
        <v>0</v>
      </c>
      <c r="AO4224">
        <v>0</v>
      </c>
      <c r="AP4224" s="2">
        <v>42746</v>
      </c>
      <c r="AQ4224" t="s">
        <v>72</v>
      </c>
      <c r="AR4224" t="s">
        <v>72</v>
      </c>
      <c r="AS4224">
        <v>1467</v>
      </c>
      <c r="AT4224" s="4">
        <v>42520</v>
      </c>
      <c r="AU4224" t="s">
        <v>73</v>
      </c>
      <c r="AV4224">
        <v>1467</v>
      </c>
      <c r="AW4224" s="4">
        <v>42520</v>
      </c>
      <c r="BD4224">
        <v>0</v>
      </c>
      <c r="BN4224" t="s">
        <v>74</v>
      </c>
    </row>
    <row r="4225" spans="1:66" hidden="1">
      <c r="A4225">
        <v>101541</v>
      </c>
      <c r="B4225" s="3" t="s">
        <v>467</v>
      </c>
      <c r="C4225" s="1">
        <v>43300101</v>
      </c>
      <c r="D4225" t="s">
        <v>67</v>
      </c>
      <c r="H4225" t="str">
        <f t="shared" si="455"/>
        <v>08230471008</v>
      </c>
      <c r="I4225" t="str">
        <f t="shared" si="455"/>
        <v>08230471008</v>
      </c>
      <c r="K4225" t="str">
        <f>""</f>
        <v/>
      </c>
      <c r="M4225" t="s">
        <v>68</v>
      </c>
      <c r="N4225" t="str">
        <f t="shared" si="452"/>
        <v>FOR</v>
      </c>
      <c r="O4225" t="s">
        <v>69</v>
      </c>
      <c r="P4225" s="3" t="s">
        <v>75</v>
      </c>
      <c r="Q4225">
        <v>2015</v>
      </c>
      <c r="R4225" s="2">
        <v>42174</v>
      </c>
      <c r="S4225" s="2">
        <v>42185</v>
      </c>
      <c r="T4225" s="2">
        <v>42181</v>
      </c>
      <c r="U4225" s="2">
        <v>42241</v>
      </c>
      <c r="V4225" t="s">
        <v>71</v>
      </c>
      <c r="W4225" t="str">
        <f>"               52550"</f>
        <v xml:space="preserve">               52550</v>
      </c>
      <c r="X4225">
        <v>305</v>
      </c>
      <c r="Y4225">
        <v>0</v>
      </c>
      <c r="Z4225"/>
      <c r="AB4225"/>
      <c r="AC4225">
        <v>250</v>
      </c>
      <c r="AD4225">
        <v>279</v>
      </c>
      <c r="AE4225" s="1">
        <v>69750</v>
      </c>
      <c r="AF4225">
        <v>0</v>
      </c>
      <c r="AJ4225">
        <v>0</v>
      </c>
      <c r="AK4225">
        <v>0</v>
      </c>
      <c r="AL4225">
        <v>0</v>
      </c>
      <c r="AM4225">
        <v>0</v>
      </c>
      <c r="AN4225">
        <v>0</v>
      </c>
      <c r="AO4225">
        <v>0</v>
      </c>
      <c r="AP4225" s="2">
        <v>42746</v>
      </c>
      <c r="AQ4225" t="s">
        <v>72</v>
      </c>
      <c r="AR4225" t="s">
        <v>72</v>
      </c>
      <c r="AS4225">
        <v>1467</v>
      </c>
      <c r="AT4225" s="4">
        <v>42520</v>
      </c>
      <c r="AU4225" t="s">
        <v>73</v>
      </c>
      <c r="AV4225">
        <v>1467</v>
      </c>
      <c r="AW4225" s="4">
        <v>42520</v>
      </c>
      <c r="BD4225">
        <v>0</v>
      </c>
      <c r="BN4225" t="s">
        <v>74</v>
      </c>
    </row>
    <row r="4226" spans="1:66" hidden="1">
      <c r="A4226">
        <v>101541</v>
      </c>
      <c r="B4226" s="3" t="s">
        <v>467</v>
      </c>
      <c r="C4226" s="1">
        <v>43300101</v>
      </c>
      <c r="D4226" t="s">
        <v>67</v>
      </c>
      <c r="H4226" t="str">
        <f t="shared" si="455"/>
        <v>08230471008</v>
      </c>
      <c r="I4226" t="str">
        <f t="shared" si="455"/>
        <v>08230471008</v>
      </c>
      <c r="K4226" t="str">
        <f>""</f>
        <v/>
      </c>
      <c r="M4226" t="s">
        <v>68</v>
      </c>
      <c r="N4226" t="str">
        <f t="shared" si="452"/>
        <v>FOR</v>
      </c>
      <c r="O4226" t="s">
        <v>69</v>
      </c>
      <c r="P4226" s="3" t="s">
        <v>75</v>
      </c>
      <c r="Q4226">
        <v>2015</v>
      </c>
      <c r="R4226" s="2">
        <v>42174</v>
      </c>
      <c r="S4226" s="2">
        <v>42186</v>
      </c>
      <c r="T4226" s="2">
        <v>42182</v>
      </c>
      <c r="U4226" s="2">
        <v>42242</v>
      </c>
      <c r="V4226" t="s">
        <v>71</v>
      </c>
      <c r="W4226" t="str">
        <f>"               52551"</f>
        <v xml:space="preserve">               52551</v>
      </c>
      <c r="X4226">
        <v>305</v>
      </c>
      <c r="Y4226">
        <v>0</v>
      </c>
      <c r="Z4226"/>
      <c r="AB4226"/>
      <c r="AC4226">
        <v>250</v>
      </c>
      <c r="AD4226">
        <v>278</v>
      </c>
      <c r="AE4226" s="1">
        <v>69500</v>
      </c>
      <c r="AF4226">
        <v>0</v>
      </c>
      <c r="AJ4226">
        <v>0</v>
      </c>
      <c r="AK4226">
        <v>0</v>
      </c>
      <c r="AL4226">
        <v>0</v>
      </c>
      <c r="AM4226">
        <v>0</v>
      </c>
      <c r="AN4226">
        <v>0</v>
      </c>
      <c r="AO4226">
        <v>0</v>
      </c>
      <c r="AP4226" s="2">
        <v>42746</v>
      </c>
      <c r="AQ4226" t="s">
        <v>72</v>
      </c>
      <c r="AR4226" t="s">
        <v>72</v>
      </c>
      <c r="AS4226">
        <v>1467</v>
      </c>
      <c r="AT4226" s="4">
        <v>42520</v>
      </c>
      <c r="AU4226" t="s">
        <v>73</v>
      </c>
      <c r="AV4226">
        <v>1467</v>
      </c>
      <c r="AW4226" s="4">
        <v>42520</v>
      </c>
      <c r="BD4226">
        <v>0</v>
      </c>
      <c r="BN4226" t="s">
        <v>74</v>
      </c>
    </row>
    <row r="4227" spans="1:66" hidden="1">
      <c r="A4227">
        <v>101541</v>
      </c>
      <c r="B4227" s="3" t="s">
        <v>467</v>
      </c>
      <c r="C4227" s="1">
        <v>43300101</v>
      </c>
      <c r="D4227" t="s">
        <v>67</v>
      </c>
      <c r="H4227" t="str">
        <f t="shared" si="455"/>
        <v>08230471008</v>
      </c>
      <c r="I4227" t="str">
        <f t="shared" si="455"/>
        <v>08230471008</v>
      </c>
      <c r="K4227" t="str">
        <f>""</f>
        <v/>
      </c>
      <c r="M4227" t="s">
        <v>68</v>
      </c>
      <c r="N4227" t="str">
        <f t="shared" si="452"/>
        <v>FOR</v>
      </c>
      <c r="O4227" t="s">
        <v>69</v>
      </c>
      <c r="P4227" s="3" t="s">
        <v>75</v>
      </c>
      <c r="Q4227">
        <v>2015</v>
      </c>
      <c r="R4227" s="2">
        <v>42174</v>
      </c>
      <c r="S4227" s="2">
        <v>42185</v>
      </c>
      <c r="T4227" s="2">
        <v>42181</v>
      </c>
      <c r="U4227" s="2">
        <v>42241</v>
      </c>
      <c r="V4227" t="s">
        <v>71</v>
      </c>
      <c r="W4227" t="str">
        <f>"               52552"</f>
        <v xml:space="preserve">               52552</v>
      </c>
      <c r="X4227">
        <v>305</v>
      </c>
      <c r="Y4227">
        <v>0</v>
      </c>
      <c r="Z4227"/>
      <c r="AB4227"/>
      <c r="AC4227">
        <v>250</v>
      </c>
      <c r="AD4227">
        <v>279</v>
      </c>
      <c r="AE4227" s="1">
        <v>69750</v>
      </c>
      <c r="AF4227">
        <v>0</v>
      </c>
      <c r="AJ4227">
        <v>0</v>
      </c>
      <c r="AK4227">
        <v>0</v>
      </c>
      <c r="AL4227">
        <v>0</v>
      </c>
      <c r="AM4227">
        <v>0</v>
      </c>
      <c r="AN4227">
        <v>0</v>
      </c>
      <c r="AO4227">
        <v>0</v>
      </c>
      <c r="AP4227" s="2">
        <v>42746</v>
      </c>
      <c r="AQ4227" t="s">
        <v>72</v>
      </c>
      <c r="AR4227" t="s">
        <v>72</v>
      </c>
      <c r="AS4227">
        <v>1467</v>
      </c>
      <c r="AT4227" s="4">
        <v>42520</v>
      </c>
      <c r="AU4227" t="s">
        <v>73</v>
      </c>
      <c r="AV4227">
        <v>1467</v>
      </c>
      <c r="AW4227" s="4">
        <v>42520</v>
      </c>
      <c r="BD4227">
        <v>0</v>
      </c>
      <c r="BN4227" t="s">
        <v>74</v>
      </c>
    </row>
    <row r="4228" spans="1:66" hidden="1">
      <c r="A4228">
        <v>101541</v>
      </c>
      <c r="B4228" s="3" t="s">
        <v>467</v>
      </c>
      <c r="C4228" s="1">
        <v>43300101</v>
      </c>
      <c r="D4228" t="s">
        <v>67</v>
      </c>
      <c r="H4228" t="str">
        <f t="shared" si="455"/>
        <v>08230471008</v>
      </c>
      <c r="I4228" t="str">
        <f t="shared" si="455"/>
        <v>08230471008</v>
      </c>
      <c r="K4228" t="str">
        <f>""</f>
        <v/>
      </c>
      <c r="M4228" t="s">
        <v>68</v>
      </c>
      <c r="N4228" t="str">
        <f t="shared" si="452"/>
        <v>FOR</v>
      </c>
      <c r="O4228" t="s">
        <v>69</v>
      </c>
      <c r="P4228" s="3" t="s">
        <v>75</v>
      </c>
      <c r="Q4228">
        <v>2015</v>
      </c>
      <c r="R4228" s="2">
        <v>42174</v>
      </c>
      <c r="S4228" s="2">
        <v>42186</v>
      </c>
      <c r="T4228" s="2">
        <v>42182</v>
      </c>
      <c r="U4228" s="2">
        <v>42242</v>
      </c>
      <c r="V4228" t="s">
        <v>71</v>
      </c>
      <c r="W4228" t="str">
        <f>"               52553"</f>
        <v xml:space="preserve">               52553</v>
      </c>
      <c r="X4228">
        <v>305</v>
      </c>
      <c r="Y4228">
        <v>0</v>
      </c>
      <c r="Z4228"/>
      <c r="AB4228"/>
      <c r="AC4228">
        <v>250</v>
      </c>
      <c r="AD4228">
        <v>278</v>
      </c>
      <c r="AE4228" s="1">
        <v>69500</v>
      </c>
      <c r="AF4228">
        <v>0</v>
      </c>
      <c r="AJ4228">
        <v>0</v>
      </c>
      <c r="AK4228">
        <v>0</v>
      </c>
      <c r="AL4228">
        <v>0</v>
      </c>
      <c r="AM4228">
        <v>0</v>
      </c>
      <c r="AN4228">
        <v>0</v>
      </c>
      <c r="AO4228">
        <v>0</v>
      </c>
      <c r="AP4228" s="2">
        <v>42746</v>
      </c>
      <c r="AQ4228" t="s">
        <v>72</v>
      </c>
      <c r="AR4228" t="s">
        <v>72</v>
      </c>
      <c r="AS4228">
        <v>1467</v>
      </c>
      <c r="AT4228" s="4">
        <v>42520</v>
      </c>
      <c r="AU4228" t="s">
        <v>73</v>
      </c>
      <c r="AV4228">
        <v>1467</v>
      </c>
      <c r="AW4228" s="4">
        <v>42520</v>
      </c>
      <c r="BD4228">
        <v>0</v>
      </c>
      <c r="BN4228" t="s">
        <v>74</v>
      </c>
    </row>
    <row r="4229" spans="1:66" hidden="1">
      <c r="A4229">
        <v>101541</v>
      </c>
      <c r="B4229" s="3" t="s">
        <v>467</v>
      </c>
      <c r="C4229" s="1">
        <v>43300101</v>
      </c>
      <c r="D4229" t="s">
        <v>67</v>
      </c>
      <c r="H4229" t="str">
        <f t="shared" si="455"/>
        <v>08230471008</v>
      </c>
      <c r="I4229" t="str">
        <f t="shared" si="455"/>
        <v>08230471008</v>
      </c>
      <c r="K4229" t="str">
        <f>""</f>
        <v/>
      </c>
      <c r="M4229" t="s">
        <v>68</v>
      </c>
      <c r="N4229" t="str">
        <f t="shared" si="452"/>
        <v>FOR</v>
      </c>
      <c r="O4229" t="s">
        <v>69</v>
      </c>
      <c r="P4229" s="3" t="s">
        <v>75</v>
      </c>
      <c r="Q4229">
        <v>2015</v>
      </c>
      <c r="R4229" s="2">
        <v>42181</v>
      </c>
      <c r="S4229" s="2">
        <v>42198</v>
      </c>
      <c r="T4229" s="2">
        <v>42196</v>
      </c>
      <c r="U4229" s="2">
        <v>42256</v>
      </c>
      <c r="V4229" t="s">
        <v>71</v>
      </c>
      <c r="W4229" t="str">
        <f>"               52816"</f>
        <v xml:space="preserve">               52816</v>
      </c>
      <c r="X4229">
        <v>305</v>
      </c>
      <c r="Y4229">
        <v>0</v>
      </c>
      <c r="Z4229"/>
      <c r="AB4229"/>
      <c r="AC4229">
        <v>250</v>
      </c>
      <c r="AD4229">
        <v>264</v>
      </c>
      <c r="AE4229" s="1">
        <v>66000</v>
      </c>
      <c r="AF4229">
        <v>0</v>
      </c>
      <c r="AJ4229">
        <v>0</v>
      </c>
      <c r="AK4229">
        <v>0</v>
      </c>
      <c r="AL4229">
        <v>0</v>
      </c>
      <c r="AM4229">
        <v>0</v>
      </c>
      <c r="AN4229">
        <v>0</v>
      </c>
      <c r="AO4229">
        <v>0</v>
      </c>
      <c r="AP4229" s="2">
        <v>42746</v>
      </c>
      <c r="AQ4229" t="s">
        <v>72</v>
      </c>
      <c r="AR4229" t="s">
        <v>72</v>
      </c>
      <c r="AS4229">
        <v>1467</v>
      </c>
      <c r="AT4229" s="4">
        <v>42520</v>
      </c>
      <c r="AU4229" t="s">
        <v>73</v>
      </c>
      <c r="AV4229">
        <v>1467</v>
      </c>
      <c r="AW4229" s="4">
        <v>42520</v>
      </c>
      <c r="BD4229">
        <v>0</v>
      </c>
      <c r="BN4229" t="s">
        <v>74</v>
      </c>
    </row>
    <row r="4230" spans="1:66" hidden="1">
      <c r="A4230">
        <v>101541</v>
      </c>
      <c r="B4230" s="3" t="s">
        <v>467</v>
      </c>
      <c r="C4230" s="1">
        <v>43300101</v>
      </c>
      <c r="D4230" t="s">
        <v>67</v>
      </c>
      <c r="H4230" t="str">
        <f t="shared" si="455"/>
        <v>08230471008</v>
      </c>
      <c r="I4230" t="str">
        <f t="shared" si="455"/>
        <v>08230471008</v>
      </c>
      <c r="K4230" t="str">
        <f>""</f>
        <v/>
      </c>
      <c r="M4230" t="s">
        <v>68</v>
      </c>
      <c r="N4230" t="str">
        <f t="shared" si="452"/>
        <v>FOR</v>
      </c>
      <c r="O4230" t="s">
        <v>69</v>
      </c>
      <c r="P4230" s="3" t="s">
        <v>75</v>
      </c>
      <c r="Q4230">
        <v>2015</v>
      </c>
      <c r="R4230" s="2">
        <v>42181</v>
      </c>
      <c r="S4230" s="2">
        <v>42195</v>
      </c>
      <c r="T4230" s="2">
        <v>42195</v>
      </c>
      <c r="U4230" s="2">
        <v>42255</v>
      </c>
      <c r="V4230" t="s">
        <v>71</v>
      </c>
      <c r="W4230" t="str">
        <f>"               52817"</f>
        <v xml:space="preserve">               52817</v>
      </c>
      <c r="X4230">
        <v>305</v>
      </c>
      <c r="Y4230">
        <v>0</v>
      </c>
      <c r="Z4230"/>
      <c r="AB4230"/>
      <c r="AC4230">
        <v>250</v>
      </c>
      <c r="AD4230">
        <v>265</v>
      </c>
      <c r="AE4230" s="1">
        <v>66250</v>
      </c>
      <c r="AF4230">
        <v>0</v>
      </c>
      <c r="AJ4230">
        <v>0</v>
      </c>
      <c r="AK4230">
        <v>0</v>
      </c>
      <c r="AL4230">
        <v>0</v>
      </c>
      <c r="AM4230">
        <v>0</v>
      </c>
      <c r="AN4230">
        <v>0</v>
      </c>
      <c r="AO4230">
        <v>0</v>
      </c>
      <c r="AP4230" s="2">
        <v>42746</v>
      </c>
      <c r="AQ4230" t="s">
        <v>72</v>
      </c>
      <c r="AR4230" t="s">
        <v>72</v>
      </c>
      <c r="AS4230">
        <v>1467</v>
      </c>
      <c r="AT4230" s="4">
        <v>42520</v>
      </c>
      <c r="AU4230" t="s">
        <v>73</v>
      </c>
      <c r="AV4230">
        <v>1467</v>
      </c>
      <c r="AW4230" s="4">
        <v>42520</v>
      </c>
      <c r="BD4230">
        <v>0</v>
      </c>
      <c r="BN4230" t="s">
        <v>74</v>
      </c>
    </row>
    <row r="4231" spans="1:66" hidden="1">
      <c r="A4231">
        <v>101541</v>
      </c>
      <c r="B4231" s="3" t="s">
        <v>467</v>
      </c>
      <c r="C4231" s="1">
        <v>43300101</v>
      </c>
      <c r="D4231" t="s">
        <v>67</v>
      </c>
      <c r="H4231" t="str">
        <f t="shared" si="455"/>
        <v>08230471008</v>
      </c>
      <c r="I4231" t="str">
        <f t="shared" si="455"/>
        <v>08230471008</v>
      </c>
      <c r="K4231" t="str">
        <f>""</f>
        <v/>
      </c>
      <c r="M4231" t="s">
        <v>68</v>
      </c>
      <c r="N4231" t="str">
        <f t="shared" si="452"/>
        <v>FOR</v>
      </c>
      <c r="O4231" t="s">
        <v>69</v>
      </c>
      <c r="P4231" s="3" t="s">
        <v>75</v>
      </c>
      <c r="Q4231">
        <v>2015</v>
      </c>
      <c r="R4231" s="2">
        <v>42181</v>
      </c>
      <c r="S4231" s="2">
        <v>42198</v>
      </c>
      <c r="T4231" s="2">
        <v>42196</v>
      </c>
      <c r="U4231" s="2">
        <v>42256</v>
      </c>
      <c r="V4231" t="s">
        <v>71</v>
      </c>
      <c r="W4231" t="str">
        <f>"               52818"</f>
        <v xml:space="preserve">               52818</v>
      </c>
      <c r="X4231">
        <v>305</v>
      </c>
      <c r="Y4231">
        <v>0</v>
      </c>
      <c r="Z4231"/>
      <c r="AB4231"/>
      <c r="AC4231">
        <v>250</v>
      </c>
      <c r="AD4231">
        <v>264</v>
      </c>
      <c r="AE4231" s="1">
        <v>66000</v>
      </c>
      <c r="AF4231">
        <v>0</v>
      </c>
      <c r="AJ4231">
        <v>0</v>
      </c>
      <c r="AK4231">
        <v>0</v>
      </c>
      <c r="AL4231">
        <v>0</v>
      </c>
      <c r="AM4231">
        <v>0</v>
      </c>
      <c r="AN4231">
        <v>0</v>
      </c>
      <c r="AO4231">
        <v>0</v>
      </c>
      <c r="AP4231" s="2">
        <v>42746</v>
      </c>
      <c r="AQ4231" t="s">
        <v>72</v>
      </c>
      <c r="AR4231" t="s">
        <v>72</v>
      </c>
      <c r="AS4231">
        <v>1467</v>
      </c>
      <c r="AT4231" s="4">
        <v>42520</v>
      </c>
      <c r="AU4231" t="s">
        <v>73</v>
      </c>
      <c r="AV4231">
        <v>1467</v>
      </c>
      <c r="AW4231" s="4">
        <v>42520</v>
      </c>
      <c r="BD4231">
        <v>0</v>
      </c>
      <c r="BN4231" t="s">
        <v>74</v>
      </c>
    </row>
    <row r="4232" spans="1:66" hidden="1">
      <c r="A4232">
        <v>101541</v>
      </c>
      <c r="B4232" s="3" t="s">
        <v>467</v>
      </c>
      <c r="C4232" s="1">
        <v>43300101</v>
      </c>
      <c r="D4232" t="s">
        <v>67</v>
      </c>
      <c r="H4232" t="str">
        <f t="shared" si="455"/>
        <v>08230471008</v>
      </c>
      <c r="I4232" t="str">
        <f t="shared" si="455"/>
        <v>08230471008</v>
      </c>
      <c r="K4232" t="str">
        <f>""</f>
        <v/>
      </c>
      <c r="M4232" t="s">
        <v>68</v>
      </c>
      <c r="N4232" t="str">
        <f t="shared" si="452"/>
        <v>FOR</v>
      </c>
      <c r="O4232" t="s">
        <v>69</v>
      </c>
      <c r="P4232" s="3" t="s">
        <v>75</v>
      </c>
      <c r="Q4232">
        <v>2015</v>
      </c>
      <c r="R4232" s="2">
        <v>42181</v>
      </c>
      <c r="S4232" s="2">
        <v>42198</v>
      </c>
      <c r="T4232" s="2">
        <v>42196</v>
      </c>
      <c r="U4232" s="2">
        <v>42256</v>
      </c>
      <c r="V4232" t="s">
        <v>71</v>
      </c>
      <c r="W4232" t="str">
        <f>"               52819"</f>
        <v xml:space="preserve">               52819</v>
      </c>
      <c r="X4232">
        <v>305</v>
      </c>
      <c r="Y4232">
        <v>0</v>
      </c>
      <c r="Z4232"/>
      <c r="AB4232"/>
      <c r="AC4232">
        <v>250</v>
      </c>
      <c r="AD4232">
        <v>264</v>
      </c>
      <c r="AE4232" s="1">
        <v>66000</v>
      </c>
      <c r="AF4232">
        <v>0</v>
      </c>
      <c r="AJ4232">
        <v>0</v>
      </c>
      <c r="AK4232">
        <v>0</v>
      </c>
      <c r="AL4232">
        <v>0</v>
      </c>
      <c r="AM4232">
        <v>0</v>
      </c>
      <c r="AN4232">
        <v>0</v>
      </c>
      <c r="AO4232">
        <v>0</v>
      </c>
      <c r="AP4232" s="2">
        <v>42746</v>
      </c>
      <c r="AQ4232" t="s">
        <v>72</v>
      </c>
      <c r="AR4232" t="s">
        <v>72</v>
      </c>
      <c r="AS4232">
        <v>1467</v>
      </c>
      <c r="AT4232" s="4">
        <v>42520</v>
      </c>
      <c r="AU4232" t="s">
        <v>73</v>
      </c>
      <c r="AV4232">
        <v>1467</v>
      </c>
      <c r="AW4232" s="4">
        <v>42520</v>
      </c>
      <c r="BD4232">
        <v>0</v>
      </c>
      <c r="BN4232" t="s">
        <v>74</v>
      </c>
    </row>
    <row r="4233" spans="1:66" hidden="1">
      <c r="A4233">
        <v>101541</v>
      </c>
      <c r="B4233" s="3" t="s">
        <v>467</v>
      </c>
      <c r="C4233" s="1">
        <v>43300101</v>
      </c>
      <c r="D4233" t="s">
        <v>67</v>
      </c>
      <c r="H4233" t="str">
        <f t="shared" si="455"/>
        <v>08230471008</v>
      </c>
      <c r="I4233" t="str">
        <f t="shared" si="455"/>
        <v>08230471008</v>
      </c>
      <c r="K4233" t="str">
        <f>""</f>
        <v/>
      </c>
      <c r="M4233" t="s">
        <v>68</v>
      </c>
      <c r="N4233" t="str">
        <f t="shared" si="452"/>
        <v>FOR</v>
      </c>
      <c r="O4233" t="s">
        <v>69</v>
      </c>
      <c r="P4233" s="3" t="s">
        <v>75</v>
      </c>
      <c r="Q4233">
        <v>2015</v>
      </c>
      <c r="R4233" s="2">
        <v>42181</v>
      </c>
      <c r="S4233" s="2">
        <v>42198</v>
      </c>
      <c r="T4233" s="2">
        <v>42196</v>
      </c>
      <c r="U4233" s="2">
        <v>42256</v>
      </c>
      <c r="V4233" t="s">
        <v>71</v>
      </c>
      <c r="W4233" t="str">
        <f>"               52820"</f>
        <v xml:space="preserve">               52820</v>
      </c>
      <c r="X4233">
        <v>305</v>
      </c>
      <c r="Y4233">
        <v>0</v>
      </c>
      <c r="Z4233"/>
      <c r="AB4233"/>
      <c r="AC4233">
        <v>250</v>
      </c>
      <c r="AD4233">
        <v>264</v>
      </c>
      <c r="AE4233" s="1">
        <v>66000</v>
      </c>
      <c r="AF4233">
        <v>0</v>
      </c>
      <c r="AJ4233">
        <v>0</v>
      </c>
      <c r="AK4233">
        <v>0</v>
      </c>
      <c r="AL4233">
        <v>0</v>
      </c>
      <c r="AM4233">
        <v>0</v>
      </c>
      <c r="AN4233">
        <v>0</v>
      </c>
      <c r="AO4233">
        <v>0</v>
      </c>
      <c r="AP4233" s="2">
        <v>42746</v>
      </c>
      <c r="AQ4233" t="s">
        <v>72</v>
      </c>
      <c r="AR4233" t="s">
        <v>72</v>
      </c>
      <c r="AS4233">
        <v>1467</v>
      </c>
      <c r="AT4233" s="4">
        <v>42520</v>
      </c>
      <c r="AU4233" t="s">
        <v>73</v>
      </c>
      <c r="AV4233">
        <v>1467</v>
      </c>
      <c r="AW4233" s="4">
        <v>42520</v>
      </c>
      <c r="BD4233">
        <v>0</v>
      </c>
      <c r="BN4233" t="s">
        <v>74</v>
      </c>
    </row>
    <row r="4234" spans="1:66" hidden="1">
      <c r="A4234">
        <v>101541</v>
      </c>
      <c r="B4234" s="3" t="s">
        <v>467</v>
      </c>
      <c r="C4234" s="1">
        <v>43300101</v>
      </c>
      <c r="D4234" t="s">
        <v>67</v>
      </c>
      <c r="H4234" t="str">
        <f t="shared" si="455"/>
        <v>08230471008</v>
      </c>
      <c r="I4234" t="str">
        <f t="shared" si="455"/>
        <v>08230471008</v>
      </c>
      <c r="K4234" t="str">
        <f>""</f>
        <v/>
      </c>
      <c r="M4234" t="s">
        <v>68</v>
      </c>
      <c r="N4234" t="str">
        <f t="shared" si="452"/>
        <v>FOR</v>
      </c>
      <c r="O4234" t="s">
        <v>69</v>
      </c>
      <c r="P4234" s="3" t="s">
        <v>75</v>
      </c>
      <c r="Q4234">
        <v>2015</v>
      </c>
      <c r="R4234" s="2">
        <v>42181</v>
      </c>
      <c r="S4234" s="2">
        <v>42212</v>
      </c>
      <c r="T4234" s="2">
        <v>42209</v>
      </c>
      <c r="U4234" s="2">
        <v>42269</v>
      </c>
      <c r="V4234" t="s">
        <v>71</v>
      </c>
      <c r="W4234" t="str">
        <f>"               52821"</f>
        <v xml:space="preserve">               52821</v>
      </c>
      <c r="X4234">
        <v>305</v>
      </c>
      <c r="Y4234">
        <v>0</v>
      </c>
      <c r="Z4234"/>
      <c r="AB4234"/>
      <c r="AC4234">
        <v>250</v>
      </c>
      <c r="AD4234">
        <v>251</v>
      </c>
      <c r="AE4234" s="1">
        <v>62750</v>
      </c>
      <c r="AF4234">
        <v>0</v>
      </c>
      <c r="AJ4234">
        <v>0</v>
      </c>
      <c r="AK4234">
        <v>0</v>
      </c>
      <c r="AL4234">
        <v>0</v>
      </c>
      <c r="AM4234">
        <v>0</v>
      </c>
      <c r="AN4234">
        <v>0</v>
      </c>
      <c r="AO4234">
        <v>0</v>
      </c>
      <c r="AP4234" s="2">
        <v>42746</v>
      </c>
      <c r="AQ4234" t="s">
        <v>72</v>
      </c>
      <c r="AR4234" t="s">
        <v>72</v>
      </c>
      <c r="AS4234">
        <v>1467</v>
      </c>
      <c r="AT4234" s="4">
        <v>42520</v>
      </c>
      <c r="AU4234" t="s">
        <v>73</v>
      </c>
      <c r="AV4234">
        <v>1467</v>
      </c>
      <c r="AW4234" s="4">
        <v>42520</v>
      </c>
      <c r="BD4234">
        <v>0</v>
      </c>
      <c r="BN4234" t="s">
        <v>74</v>
      </c>
    </row>
    <row r="4235" spans="1:66" hidden="1">
      <c r="A4235">
        <v>101541</v>
      </c>
      <c r="B4235" s="3" t="s">
        <v>467</v>
      </c>
      <c r="C4235" s="1">
        <v>43300101</v>
      </c>
      <c r="D4235" t="s">
        <v>67</v>
      </c>
      <c r="H4235" t="str">
        <f t="shared" si="455"/>
        <v>08230471008</v>
      </c>
      <c r="I4235" t="str">
        <f t="shared" si="455"/>
        <v>08230471008</v>
      </c>
      <c r="K4235" t="str">
        <f>""</f>
        <v/>
      </c>
      <c r="M4235" t="s">
        <v>68</v>
      </c>
      <c r="N4235" t="str">
        <f t="shared" si="452"/>
        <v>FOR</v>
      </c>
      <c r="O4235" t="s">
        <v>69</v>
      </c>
      <c r="P4235" s="3" t="s">
        <v>75</v>
      </c>
      <c r="Q4235">
        <v>2015</v>
      </c>
      <c r="R4235" s="2">
        <v>42181</v>
      </c>
      <c r="S4235" s="2">
        <v>42198</v>
      </c>
      <c r="T4235" s="2">
        <v>42196</v>
      </c>
      <c r="U4235" s="2">
        <v>42256</v>
      </c>
      <c r="V4235" t="s">
        <v>71</v>
      </c>
      <c r="W4235" t="str">
        <f>"               52822"</f>
        <v xml:space="preserve">               52822</v>
      </c>
      <c r="X4235">
        <v>305</v>
      </c>
      <c r="Y4235">
        <v>0</v>
      </c>
      <c r="Z4235"/>
      <c r="AB4235"/>
      <c r="AC4235">
        <v>250</v>
      </c>
      <c r="AD4235">
        <v>264</v>
      </c>
      <c r="AE4235" s="1">
        <v>66000</v>
      </c>
      <c r="AF4235">
        <v>0</v>
      </c>
      <c r="AJ4235">
        <v>0</v>
      </c>
      <c r="AK4235">
        <v>0</v>
      </c>
      <c r="AL4235">
        <v>0</v>
      </c>
      <c r="AM4235">
        <v>0</v>
      </c>
      <c r="AN4235">
        <v>0</v>
      </c>
      <c r="AO4235">
        <v>0</v>
      </c>
      <c r="AP4235" s="2">
        <v>42746</v>
      </c>
      <c r="AQ4235" t="s">
        <v>72</v>
      </c>
      <c r="AR4235" t="s">
        <v>72</v>
      </c>
      <c r="AS4235">
        <v>1467</v>
      </c>
      <c r="AT4235" s="4">
        <v>42520</v>
      </c>
      <c r="AU4235" t="s">
        <v>73</v>
      </c>
      <c r="AV4235">
        <v>1467</v>
      </c>
      <c r="AW4235" s="4">
        <v>42520</v>
      </c>
      <c r="BD4235">
        <v>0</v>
      </c>
      <c r="BN4235" t="s">
        <v>74</v>
      </c>
    </row>
    <row r="4236" spans="1:66" hidden="1">
      <c r="A4236">
        <v>101541</v>
      </c>
      <c r="B4236" s="3" t="s">
        <v>467</v>
      </c>
      <c r="C4236" s="1">
        <v>43300101</v>
      </c>
      <c r="D4236" t="s">
        <v>67</v>
      </c>
      <c r="H4236" t="str">
        <f t="shared" si="455"/>
        <v>08230471008</v>
      </c>
      <c r="I4236" t="str">
        <f t="shared" si="455"/>
        <v>08230471008</v>
      </c>
      <c r="K4236" t="str">
        <f>""</f>
        <v/>
      </c>
      <c r="M4236" t="s">
        <v>68</v>
      </c>
      <c r="N4236" t="str">
        <f t="shared" si="452"/>
        <v>FOR</v>
      </c>
      <c r="O4236" t="s">
        <v>69</v>
      </c>
      <c r="P4236" s="3" t="s">
        <v>75</v>
      </c>
      <c r="Q4236">
        <v>2015</v>
      </c>
      <c r="R4236" s="2">
        <v>42181</v>
      </c>
      <c r="S4236" s="2">
        <v>42198</v>
      </c>
      <c r="T4236" s="2">
        <v>42196</v>
      </c>
      <c r="U4236" s="2">
        <v>42256</v>
      </c>
      <c r="V4236" t="s">
        <v>71</v>
      </c>
      <c r="W4236" t="str">
        <f>"               52823"</f>
        <v xml:space="preserve">               52823</v>
      </c>
      <c r="X4236">
        <v>305</v>
      </c>
      <c r="Y4236">
        <v>0</v>
      </c>
      <c r="Z4236"/>
      <c r="AB4236"/>
      <c r="AC4236">
        <v>250</v>
      </c>
      <c r="AD4236">
        <v>264</v>
      </c>
      <c r="AE4236" s="1">
        <v>66000</v>
      </c>
      <c r="AF4236">
        <v>0</v>
      </c>
      <c r="AJ4236">
        <v>0</v>
      </c>
      <c r="AK4236">
        <v>0</v>
      </c>
      <c r="AL4236">
        <v>0</v>
      </c>
      <c r="AM4236">
        <v>0</v>
      </c>
      <c r="AN4236">
        <v>0</v>
      </c>
      <c r="AO4236">
        <v>0</v>
      </c>
      <c r="AP4236" s="2">
        <v>42746</v>
      </c>
      <c r="AQ4236" t="s">
        <v>72</v>
      </c>
      <c r="AR4236" t="s">
        <v>72</v>
      </c>
      <c r="AS4236">
        <v>1467</v>
      </c>
      <c r="AT4236" s="4">
        <v>42520</v>
      </c>
      <c r="AU4236" t="s">
        <v>73</v>
      </c>
      <c r="AV4236">
        <v>1467</v>
      </c>
      <c r="AW4236" s="4">
        <v>42520</v>
      </c>
      <c r="BD4236">
        <v>0</v>
      </c>
      <c r="BN4236" t="s">
        <v>74</v>
      </c>
    </row>
    <row r="4237" spans="1:66" hidden="1">
      <c r="A4237">
        <v>101541</v>
      </c>
      <c r="B4237" s="3" t="s">
        <v>467</v>
      </c>
      <c r="C4237" s="1">
        <v>43300101</v>
      </c>
      <c r="D4237" t="s">
        <v>67</v>
      </c>
      <c r="H4237" t="str">
        <f t="shared" si="455"/>
        <v>08230471008</v>
      </c>
      <c r="I4237" t="str">
        <f t="shared" si="455"/>
        <v>08230471008</v>
      </c>
      <c r="K4237" t="str">
        <f>""</f>
        <v/>
      </c>
      <c r="M4237" t="s">
        <v>68</v>
      </c>
      <c r="N4237" t="str">
        <f t="shared" si="452"/>
        <v>FOR</v>
      </c>
      <c r="O4237" t="s">
        <v>69</v>
      </c>
      <c r="P4237" s="3" t="s">
        <v>75</v>
      </c>
      <c r="Q4237">
        <v>2015</v>
      </c>
      <c r="R4237" s="2">
        <v>42181</v>
      </c>
      <c r="S4237" s="2">
        <v>42198</v>
      </c>
      <c r="T4237" s="2">
        <v>42196</v>
      </c>
      <c r="U4237" s="2">
        <v>42256</v>
      </c>
      <c r="V4237" t="s">
        <v>71</v>
      </c>
      <c r="W4237" t="str">
        <f>"               52824"</f>
        <v xml:space="preserve">               52824</v>
      </c>
      <c r="X4237" s="1">
        <v>6100</v>
      </c>
      <c r="Y4237">
        <v>0</v>
      </c>
      <c r="Z4237"/>
      <c r="AB4237"/>
      <c r="AC4237" s="1">
        <v>5000</v>
      </c>
      <c r="AD4237">
        <v>264</v>
      </c>
      <c r="AE4237" s="1">
        <v>1320000</v>
      </c>
      <c r="AF4237">
        <v>0</v>
      </c>
      <c r="AJ4237">
        <v>0</v>
      </c>
      <c r="AK4237">
        <v>0</v>
      </c>
      <c r="AL4237">
        <v>0</v>
      </c>
      <c r="AM4237">
        <v>0</v>
      </c>
      <c r="AN4237">
        <v>0</v>
      </c>
      <c r="AO4237">
        <v>0</v>
      </c>
      <c r="AP4237" s="2">
        <v>42746</v>
      </c>
      <c r="AQ4237" t="s">
        <v>72</v>
      </c>
      <c r="AR4237" t="s">
        <v>72</v>
      </c>
      <c r="AS4237">
        <v>1467</v>
      </c>
      <c r="AT4237" s="4">
        <v>42520</v>
      </c>
      <c r="AU4237" t="s">
        <v>73</v>
      </c>
      <c r="AV4237">
        <v>1467</v>
      </c>
      <c r="AW4237" s="4">
        <v>42520</v>
      </c>
      <c r="BD4237">
        <v>0</v>
      </c>
      <c r="BN4237" t="s">
        <v>74</v>
      </c>
    </row>
    <row r="4238" spans="1:66" hidden="1">
      <c r="A4238">
        <v>101541</v>
      </c>
      <c r="B4238" s="3" t="s">
        <v>467</v>
      </c>
      <c r="C4238" s="1">
        <v>43300101</v>
      </c>
      <c r="D4238" t="s">
        <v>67</v>
      </c>
      <c r="H4238" t="str">
        <f t="shared" ref="H4238:I4257" si="456">"08230471008"</f>
        <v>08230471008</v>
      </c>
      <c r="I4238" t="str">
        <f t="shared" si="456"/>
        <v>08230471008</v>
      </c>
      <c r="K4238" t="str">
        <f>""</f>
        <v/>
      </c>
      <c r="M4238" t="s">
        <v>68</v>
      </c>
      <c r="N4238" t="str">
        <f t="shared" si="452"/>
        <v>FOR</v>
      </c>
      <c r="O4238" t="s">
        <v>69</v>
      </c>
      <c r="P4238" s="3" t="s">
        <v>75</v>
      </c>
      <c r="Q4238">
        <v>2015</v>
      </c>
      <c r="R4238" s="2">
        <v>42181</v>
      </c>
      <c r="S4238" s="2">
        <v>42198</v>
      </c>
      <c r="T4238" s="2">
        <v>42196</v>
      </c>
      <c r="U4238" s="2">
        <v>42256</v>
      </c>
      <c r="V4238" t="s">
        <v>71</v>
      </c>
      <c r="W4238" t="str">
        <f>"               52825"</f>
        <v xml:space="preserve">               52825</v>
      </c>
      <c r="X4238" s="1">
        <v>7137</v>
      </c>
      <c r="Y4238">
        <v>0</v>
      </c>
      <c r="Z4238"/>
      <c r="AB4238"/>
      <c r="AC4238" s="1">
        <v>5850</v>
      </c>
      <c r="AD4238">
        <v>264</v>
      </c>
      <c r="AE4238" s="1">
        <v>1544400</v>
      </c>
      <c r="AF4238">
        <v>0</v>
      </c>
      <c r="AJ4238">
        <v>0</v>
      </c>
      <c r="AK4238">
        <v>0</v>
      </c>
      <c r="AL4238">
        <v>0</v>
      </c>
      <c r="AM4238">
        <v>0</v>
      </c>
      <c r="AN4238">
        <v>0</v>
      </c>
      <c r="AO4238">
        <v>0</v>
      </c>
      <c r="AP4238" s="2">
        <v>42746</v>
      </c>
      <c r="AQ4238" t="s">
        <v>72</v>
      </c>
      <c r="AR4238" t="s">
        <v>72</v>
      </c>
      <c r="AS4238">
        <v>1467</v>
      </c>
      <c r="AT4238" s="4">
        <v>42520</v>
      </c>
      <c r="AU4238" t="s">
        <v>73</v>
      </c>
      <c r="AV4238">
        <v>1467</v>
      </c>
      <c r="AW4238" s="4">
        <v>42520</v>
      </c>
      <c r="BD4238">
        <v>0</v>
      </c>
      <c r="BN4238" t="s">
        <v>74</v>
      </c>
    </row>
    <row r="4239" spans="1:66" hidden="1">
      <c r="A4239">
        <v>101541</v>
      </c>
      <c r="B4239" s="3" t="s">
        <v>467</v>
      </c>
      <c r="C4239" s="1">
        <v>43300101</v>
      </c>
      <c r="D4239" t="s">
        <v>67</v>
      </c>
      <c r="H4239" t="str">
        <f t="shared" si="456"/>
        <v>08230471008</v>
      </c>
      <c r="I4239" t="str">
        <f t="shared" si="456"/>
        <v>08230471008</v>
      </c>
      <c r="K4239" t="str">
        <f>""</f>
        <v/>
      </c>
      <c r="M4239" t="s">
        <v>68</v>
      </c>
      <c r="N4239" t="str">
        <f t="shared" si="452"/>
        <v>FOR</v>
      </c>
      <c r="O4239" t="s">
        <v>69</v>
      </c>
      <c r="P4239" s="3" t="s">
        <v>75</v>
      </c>
      <c r="Q4239">
        <v>2015</v>
      </c>
      <c r="R4239" s="2">
        <v>42185</v>
      </c>
      <c r="S4239" s="2">
        <v>42198</v>
      </c>
      <c r="T4239" s="2">
        <v>42196</v>
      </c>
      <c r="U4239" s="2">
        <v>42256</v>
      </c>
      <c r="V4239" t="s">
        <v>71</v>
      </c>
      <c r="W4239" t="str">
        <f>"               53143"</f>
        <v xml:space="preserve">               53143</v>
      </c>
      <c r="X4239">
        <v>728</v>
      </c>
      <c r="Y4239">
        <v>0</v>
      </c>
      <c r="Z4239"/>
      <c r="AB4239"/>
      <c r="AC4239">
        <v>700</v>
      </c>
      <c r="AD4239">
        <v>264</v>
      </c>
      <c r="AE4239" s="1">
        <v>184800</v>
      </c>
      <c r="AF4239">
        <v>0</v>
      </c>
      <c r="AJ4239">
        <v>0</v>
      </c>
      <c r="AK4239">
        <v>0</v>
      </c>
      <c r="AL4239">
        <v>0</v>
      </c>
      <c r="AM4239">
        <v>0</v>
      </c>
      <c r="AN4239">
        <v>0</v>
      </c>
      <c r="AO4239">
        <v>0</v>
      </c>
      <c r="AP4239" s="2">
        <v>42746</v>
      </c>
      <c r="AQ4239" t="s">
        <v>72</v>
      </c>
      <c r="AR4239" t="s">
        <v>72</v>
      </c>
      <c r="AS4239">
        <v>1467</v>
      </c>
      <c r="AT4239" s="4">
        <v>42520</v>
      </c>
      <c r="AU4239" t="s">
        <v>73</v>
      </c>
      <c r="AV4239">
        <v>1467</v>
      </c>
      <c r="AW4239" s="4">
        <v>42520</v>
      </c>
      <c r="BD4239">
        <v>0</v>
      </c>
      <c r="BN4239" t="s">
        <v>74</v>
      </c>
    </row>
    <row r="4240" spans="1:66" hidden="1">
      <c r="A4240">
        <v>101541</v>
      </c>
      <c r="B4240" s="3" t="s">
        <v>467</v>
      </c>
      <c r="C4240" s="1">
        <v>43300101</v>
      </c>
      <c r="D4240" t="s">
        <v>67</v>
      </c>
      <c r="H4240" t="str">
        <f t="shared" si="456"/>
        <v>08230471008</v>
      </c>
      <c r="I4240" t="str">
        <f t="shared" si="456"/>
        <v>08230471008</v>
      </c>
      <c r="K4240" t="str">
        <f>""</f>
        <v/>
      </c>
      <c r="M4240" t="s">
        <v>68</v>
      </c>
      <c r="N4240" t="str">
        <f t="shared" ref="N4240:N4303" si="457">"FOR"</f>
        <v>FOR</v>
      </c>
      <c r="O4240" t="s">
        <v>69</v>
      </c>
      <c r="P4240" s="3" t="s">
        <v>75</v>
      </c>
      <c r="Q4240">
        <v>2015</v>
      </c>
      <c r="R4240" s="2">
        <v>42185</v>
      </c>
      <c r="S4240" s="2">
        <v>42198</v>
      </c>
      <c r="T4240" s="2">
        <v>42196</v>
      </c>
      <c r="U4240" s="2">
        <v>42256</v>
      </c>
      <c r="V4240" t="s">
        <v>71</v>
      </c>
      <c r="W4240" t="str">
        <f>"               53144"</f>
        <v xml:space="preserve">               53144</v>
      </c>
      <c r="X4240">
        <v>305</v>
      </c>
      <c r="Y4240">
        <v>0</v>
      </c>
      <c r="Z4240"/>
      <c r="AB4240"/>
      <c r="AC4240">
        <v>250</v>
      </c>
      <c r="AD4240">
        <v>264</v>
      </c>
      <c r="AE4240" s="1">
        <v>66000</v>
      </c>
      <c r="AF4240">
        <v>0</v>
      </c>
      <c r="AJ4240">
        <v>0</v>
      </c>
      <c r="AK4240">
        <v>0</v>
      </c>
      <c r="AL4240">
        <v>0</v>
      </c>
      <c r="AM4240">
        <v>0</v>
      </c>
      <c r="AN4240">
        <v>0</v>
      </c>
      <c r="AO4240">
        <v>0</v>
      </c>
      <c r="AP4240" s="2">
        <v>42746</v>
      </c>
      <c r="AQ4240" t="s">
        <v>72</v>
      </c>
      <c r="AR4240" t="s">
        <v>72</v>
      </c>
      <c r="AS4240">
        <v>1467</v>
      </c>
      <c r="AT4240" s="4">
        <v>42520</v>
      </c>
      <c r="AU4240" t="s">
        <v>73</v>
      </c>
      <c r="AV4240">
        <v>1467</v>
      </c>
      <c r="AW4240" s="4">
        <v>42520</v>
      </c>
      <c r="BD4240">
        <v>0</v>
      </c>
      <c r="BN4240" t="s">
        <v>74</v>
      </c>
    </row>
    <row r="4241" spans="1:66" hidden="1">
      <c r="A4241">
        <v>101541</v>
      </c>
      <c r="B4241" s="3" t="s">
        <v>467</v>
      </c>
      <c r="C4241" s="1">
        <v>43300101</v>
      </c>
      <c r="D4241" t="s">
        <v>67</v>
      </c>
      <c r="H4241" t="str">
        <f t="shared" si="456"/>
        <v>08230471008</v>
      </c>
      <c r="I4241" t="str">
        <f t="shared" si="456"/>
        <v>08230471008</v>
      </c>
      <c r="K4241" t="str">
        <f>""</f>
        <v/>
      </c>
      <c r="M4241" t="s">
        <v>68</v>
      </c>
      <c r="N4241" t="str">
        <f t="shared" si="457"/>
        <v>FOR</v>
      </c>
      <c r="O4241" t="s">
        <v>69</v>
      </c>
      <c r="P4241" s="3" t="s">
        <v>75</v>
      </c>
      <c r="Q4241">
        <v>2015</v>
      </c>
      <c r="R4241" s="2">
        <v>42185</v>
      </c>
      <c r="S4241" s="2">
        <v>42198</v>
      </c>
      <c r="T4241" s="2">
        <v>42196</v>
      </c>
      <c r="U4241" s="2">
        <v>42256</v>
      </c>
      <c r="V4241" t="s">
        <v>71</v>
      </c>
      <c r="W4241" t="str">
        <f>"               53145"</f>
        <v xml:space="preserve">               53145</v>
      </c>
      <c r="X4241">
        <v>305</v>
      </c>
      <c r="Y4241">
        <v>0</v>
      </c>
      <c r="Z4241"/>
      <c r="AB4241"/>
      <c r="AC4241">
        <v>250</v>
      </c>
      <c r="AD4241">
        <v>264</v>
      </c>
      <c r="AE4241" s="1">
        <v>66000</v>
      </c>
      <c r="AF4241">
        <v>0</v>
      </c>
      <c r="AJ4241">
        <v>0</v>
      </c>
      <c r="AK4241">
        <v>0</v>
      </c>
      <c r="AL4241">
        <v>0</v>
      </c>
      <c r="AM4241">
        <v>0</v>
      </c>
      <c r="AN4241">
        <v>0</v>
      </c>
      <c r="AO4241">
        <v>0</v>
      </c>
      <c r="AP4241" s="2">
        <v>42746</v>
      </c>
      <c r="AQ4241" t="s">
        <v>72</v>
      </c>
      <c r="AR4241" t="s">
        <v>72</v>
      </c>
      <c r="AS4241">
        <v>1467</v>
      </c>
      <c r="AT4241" s="4">
        <v>42520</v>
      </c>
      <c r="AU4241" t="s">
        <v>73</v>
      </c>
      <c r="AV4241">
        <v>1467</v>
      </c>
      <c r="AW4241" s="4">
        <v>42520</v>
      </c>
      <c r="BD4241">
        <v>0</v>
      </c>
      <c r="BN4241" t="s">
        <v>74</v>
      </c>
    </row>
    <row r="4242" spans="1:66" hidden="1">
      <c r="A4242">
        <v>101541</v>
      </c>
      <c r="B4242" s="3" t="s">
        <v>467</v>
      </c>
      <c r="C4242" s="1">
        <v>43300101</v>
      </c>
      <c r="D4242" t="s">
        <v>67</v>
      </c>
      <c r="H4242" t="str">
        <f t="shared" si="456"/>
        <v>08230471008</v>
      </c>
      <c r="I4242" t="str">
        <f t="shared" si="456"/>
        <v>08230471008</v>
      </c>
      <c r="K4242" t="str">
        <f>""</f>
        <v/>
      </c>
      <c r="M4242" t="s">
        <v>68</v>
      </c>
      <c r="N4242" t="str">
        <f t="shared" si="457"/>
        <v>FOR</v>
      </c>
      <c r="O4242" t="s">
        <v>69</v>
      </c>
      <c r="P4242" s="3" t="s">
        <v>75</v>
      </c>
      <c r="Q4242">
        <v>2015</v>
      </c>
      <c r="R4242" s="2">
        <v>42185</v>
      </c>
      <c r="S4242" s="2">
        <v>42198</v>
      </c>
      <c r="T4242" s="2">
        <v>42196</v>
      </c>
      <c r="U4242" s="2">
        <v>42256</v>
      </c>
      <c r="V4242" t="s">
        <v>71</v>
      </c>
      <c r="W4242" t="str">
        <f>"               53146"</f>
        <v xml:space="preserve">               53146</v>
      </c>
      <c r="X4242">
        <v>305</v>
      </c>
      <c r="Y4242">
        <v>0</v>
      </c>
      <c r="Z4242"/>
      <c r="AB4242"/>
      <c r="AC4242">
        <v>250</v>
      </c>
      <c r="AD4242">
        <v>264</v>
      </c>
      <c r="AE4242" s="1">
        <v>66000</v>
      </c>
      <c r="AF4242">
        <v>0</v>
      </c>
      <c r="AJ4242">
        <v>0</v>
      </c>
      <c r="AK4242">
        <v>0</v>
      </c>
      <c r="AL4242">
        <v>0</v>
      </c>
      <c r="AM4242">
        <v>0</v>
      </c>
      <c r="AN4242">
        <v>0</v>
      </c>
      <c r="AO4242">
        <v>0</v>
      </c>
      <c r="AP4242" s="2">
        <v>42746</v>
      </c>
      <c r="AQ4242" t="s">
        <v>72</v>
      </c>
      <c r="AR4242" t="s">
        <v>72</v>
      </c>
      <c r="AS4242">
        <v>1467</v>
      </c>
      <c r="AT4242" s="4">
        <v>42520</v>
      </c>
      <c r="AU4242" t="s">
        <v>73</v>
      </c>
      <c r="AV4242">
        <v>1467</v>
      </c>
      <c r="AW4242" s="4">
        <v>42520</v>
      </c>
      <c r="BD4242">
        <v>0</v>
      </c>
      <c r="BN4242" t="s">
        <v>74</v>
      </c>
    </row>
    <row r="4243" spans="1:66" hidden="1">
      <c r="A4243">
        <v>101541</v>
      </c>
      <c r="B4243" s="3" t="s">
        <v>467</v>
      </c>
      <c r="C4243" s="1">
        <v>43300101</v>
      </c>
      <c r="D4243" t="s">
        <v>67</v>
      </c>
      <c r="H4243" t="str">
        <f t="shared" si="456"/>
        <v>08230471008</v>
      </c>
      <c r="I4243" t="str">
        <f t="shared" si="456"/>
        <v>08230471008</v>
      </c>
      <c r="K4243" t="str">
        <f>""</f>
        <v/>
      </c>
      <c r="M4243" t="s">
        <v>68</v>
      </c>
      <c r="N4243" t="str">
        <f t="shared" si="457"/>
        <v>FOR</v>
      </c>
      <c r="O4243" t="s">
        <v>69</v>
      </c>
      <c r="P4243" s="3" t="s">
        <v>75</v>
      </c>
      <c r="Q4243">
        <v>2015</v>
      </c>
      <c r="R4243" s="2">
        <v>42185</v>
      </c>
      <c r="S4243" s="2">
        <v>42198</v>
      </c>
      <c r="T4243" s="2">
        <v>42196</v>
      </c>
      <c r="U4243" s="2">
        <v>42256</v>
      </c>
      <c r="V4243" t="s">
        <v>71</v>
      </c>
      <c r="W4243" t="str">
        <f>"               53147"</f>
        <v xml:space="preserve">               53147</v>
      </c>
      <c r="X4243">
        <v>728</v>
      </c>
      <c r="Y4243">
        <v>0</v>
      </c>
      <c r="Z4243"/>
      <c r="AB4243"/>
      <c r="AC4243">
        <v>700</v>
      </c>
      <c r="AD4243">
        <v>264</v>
      </c>
      <c r="AE4243" s="1">
        <v>184800</v>
      </c>
      <c r="AF4243">
        <v>0</v>
      </c>
      <c r="AJ4243">
        <v>0</v>
      </c>
      <c r="AK4243">
        <v>0</v>
      </c>
      <c r="AL4243">
        <v>0</v>
      </c>
      <c r="AM4243">
        <v>0</v>
      </c>
      <c r="AN4243">
        <v>0</v>
      </c>
      <c r="AO4243">
        <v>0</v>
      </c>
      <c r="AP4243" s="2">
        <v>42746</v>
      </c>
      <c r="AQ4243" t="s">
        <v>72</v>
      </c>
      <c r="AR4243" t="s">
        <v>72</v>
      </c>
      <c r="AS4243">
        <v>1467</v>
      </c>
      <c r="AT4243" s="4">
        <v>42520</v>
      </c>
      <c r="AU4243" t="s">
        <v>73</v>
      </c>
      <c r="AV4243">
        <v>1467</v>
      </c>
      <c r="AW4243" s="4">
        <v>42520</v>
      </c>
      <c r="BD4243">
        <v>0</v>
      </c>
      <c r="BN4243" t="s">
        <v>74</v>
      </c>
    </row>
    <row r="4244" spans="1:66" hidden="1">
      <c r="A4244">
        <v>101541</v>
      </c>
      <c r="B4244" s="3" t="s">
        <v>467</v>
      </c>
      <c r="C4244" s="1">
        <v>43300101</v>
      </c>
      <c r="D4244" t="s">
        <v>67</v>
      </c>
      <c r="H4244" t="str">
        <f t="shared" si="456"/>
        <v>08230471008</v>
      </c>
      <c r="I4244" t="str">
        <f t="shared" si="456"/>
        <v>08230471008</v>
      </c>
      <c r="K4244" t="str">
        <f>""</f>
        <v/>
      </c>
      <c r="M4244" t="s">
        <v>68</v>
      </c>
      <c r="N4244" t="str">
        <f t="shared" si="457"/>
        <v>FOR</v>
      </c>
      <c r="O4244" t="s">
        <v>69</v>
      </c>
      <c r="P4244" s="3" t="s">
        <v>75</v>
      </c>
      <c r="Q4244">
        <v>2015</v>
      </c>
      <c r="R4244" s="2">
        <v>42185</v>
      </c>
      <c r="S4244" s="2">
        <v>42195</v>
      </c>
      <c r="T4244" s="2">
        <v>42195</v>
      </c>
      <c r="U4244" s="2">
        <v>42255</v>
      </c>
      <c r="V4244" t="s">
        <v>71</v>
      </c>
      <c r="W4244" t="str">
        <f>"               53148"</f>
        <v xml:space="preserve">               53148</v>
      </c>
      <c r="X4244">
        <v>305</v>
      </c>
      <c r="Y4244">
        <v>0</v>
      </c>
      <c r="Z4244"/>
      <c r="AB4244"/>
      <c r="AC4244">
        <v>250</v>
      </c>
      <c r="AD4244">
        <v>265</v>
      </c>
      <c r="AE4244" s="1">
        <v>66250</v>
      </c>
      <c r="AF4244">
        <v>0</v>
      </c>
      <c r="AJ4244">
        <v>0</v>
      </c>
      <c r="AK4244">
        <v>0</v>
      </c>
      <c r="AL4244">
        <v>0</v>
      </c>
      <c r="AM4244">
        <v>0</v>
      </c>
      <c r="AN4244">
        <v>0</v>
      </c>
      <c r="AO4244">
        <v>0</v>
      </c>
      <c r="AP4244" s="2">
        <v>42746</v>
      </c>
      <c r="AQ4244" t="s">
        <v>72</v>
      </c>
      <c r="AR4244" t="s">
        <v>72</v>
      </c>
      <c r="AS4244">
        <v>1467</v>
      </c>
      <c r="AT4244" s="4">
        <v>42520</v>
      </c>
      <c r="AU4244" t="s">
        <v>73</v>
      </c>
      <c r="AV4244">
        <v>1467</v>
      </c>
      <c r="AW4244" s="4">
        <v>42520</v>
      </c>
      <c r="BD4244">
        <v>0</v>
      </c>
      <c r="BN4244" t="s">
        <v>74</v>
      </c>
    </row>
    <row r="4245" spans="1:66" hidden="1">
      <c r="A4245">
        <v>101541</v>
      </c>
      <c r="B4245" s="3" t="s">
        <v>467</v>
      </c>
      <c r="C4245" s="1">
        <v>43300101</v>
      </c>
      <c r="D4245" t="s">
        <v>67</v>
      </c>
      <c r="H4245" t="str">
        <f t="shared" si="456"/>
        <v>08230471008</v>
      </c>
      <c r="I4245" t="str">
        <f t="shared" si="456"/>
        <v>08230471008</v>
      </c>
      <c r="K4245" t="str">
        <f>""</f>
        <v/>
      </c>
      <c r="M4245" t="s">
        <v>68</v>
      </c>
      <c r="N4245" t="str">
        <f t="shared" si="457"/>
        <v>FOR</v>
      </c>
      <c r="O4245" t="s">
        <v>69</v>
      </c>
      <c r="P4245" s="3" t="s">
        <v>75</v>
      </c>
      <c r="Q4245">
        <v>2015</v>
      </c>
      <c r="R4245" s="2">
        <v>42185</v>
      </c>
      <c r="S4245" s="2">
        <v>42198</v>
      </c>
      <c r="T4245" s="2">
        <v>42196</v>
      </c>
      <c r="U4245" s="2">
        <v>42256</v>
      </c>
      <c r="V4245" t="s">
        <v>71</v>
      </c>
      <c r="W4245" t="str">
        <f>"               53149"</f>
        <v xml:space="preserve">               53149</v>
      </c>
      <c r="X4245">
        <v>305</v>
      </c>
      <c r="Y4245">
        <v>0</v>
      </c>
      <c r="Z4245"/>
      <c r="AB4245"/>
      <c r="AC4245">
        <v>250</v>
      </c>
      <c r="AD4245">
        <v>264</v>
      </c>
      <c r="AE4245" s="1">
        <v>66000</v>
      </c>
      <c r="AF4245">
        <v>0</v>
      </c>
      <c r="AJ4245">
        <v>0</v>
      </c>
      <c r="AK4245">
        <v>0</v>
      </c>
      <c r="AL4245">
        <v>0</v>
      </c>
      <c r="AM4245">
        <v>0</v>
      </c>
      <c r="AN4245">
        <v>0</v>
      </c>
      <c r="AO4245">
        <v>0</v>
      </c>
      <c r="AP4245" s="2">
        <v>42746</v>
      </c>
      <c r="AQ4245" t="s">
        <v>72</v>
      </c>
      <c r="AR4245" t="s">
        <v>72</v>
      </c>
      <c r="AS4245">
        <v>1467</v>
      </c>
      <c r="AT4245" s="4">
        <v>42520</v>
      </c>
      <c r="AU4245" t="s">
        <v>73</v>
      </c>
      <c r="AV4245">
        <v>1467</v>
      </c>
      <c r="AW4245" s="4">
        <v>42520</v>
      </c>
      <c r="BD4245">
        <v>0</v>
      </c>
      <c r="BN4245" t="s">
        <v>74</v>
      </c>
    </row>
    <row r="4246" spans="1:66" hidden="1">
      <c r="A4246">
        <v>101541</v>
      </c>
      <c r="B4246" s="3" t="s">
        <v>467</v>
      </c>
      <c r="C4246" s="1">
        <v>43300101</v>
      </c>
      <c r="D4246" t="s">
        <v>67</v>
      </c>
      <c r="H4246" t="str">
        <f t="shared" si="456"/>
        <v>08230471008</v>
      </c>
      <c r="I4246" t="str">
        <f t="shared" si="456"/>
        <v>08230471008</v>
      </c>
      <c r="K4246" t="str">
        <f>""</f>
        <v/>
      </c>
      <c r="M4246" t="s">
        <v>68</v>
      </c>
      <c r="N4246" t="str">
        <f t="shared" si="457"/>
        <v>FOR</v>
      </c>
      <c r="O4246" t="s">
        <v>69</v>
      </c>
      <c r="P4246" s="3" t="s">
        <v>75</v>
      </c>
      <c r="Q4246">
        <v>2015</v>
      </c>
      <c r="R4246" s="2">
        <v>42185</v>
      </c>
      <c r="S4246" s="2">
        <v>42195</v>
      </c>
      <c r="T4246" s="2">
        <v>42195</v>
      </c>
      <c r="U4246" s="2">
        <v>42255</v>
      </c>
      <c r="V4246" t="s">
        <v>71</v>
      </c>
      <c r="W4246" t="str">
        <f>"               53150"</f>
        <v xml:space="preserve">               53150</v>
      </c>
      <c r="X4246">
        <v>305</v>
      </c>
      <c r="Y4246">
        <v>0</v>
      </c>
      <c r="Z4246"/>
      <c r="AB4246"/>
      <c r="AC4246">
        <v>250</v>
      </c>
      <c r="AD4246">
        <v>265</v>
      </c>
      <c r="AE4246" s="1">
        <v>66250</v>
      </c>
      <c r="AF4246">
        <v>0</v>
      </c>
      <c r="AJ4246">
        <v>0</v>
      </c>
      <c r="AK4246">
        <v>0</v>
      </c>
      <c r="AL4246">
        <v>0</v>
      </c>
      <c r="AM4246">
        <v>0</v>
      </c>
      <c r="AN4246">
        <v>0</v>
      </c>
      <c r="AO4246">
        <v>0</v>
      </c>
      <c r="AP4246" s="2">
        <v>42746</v>
      </c>
      <c r="AQ4246" t="s">
        <v>72</v>
      </c>
      <c r="AR4246" t="s">
        <v>72</v>
      </c>
      <c r="AS4246">
        <v>1467</v>
      </c>
      <c r="AT4246" s="4">
        <v>42520</v>
      </c>
      <c r="AU4246" t="s">
        <v>73</v>
      </c>
      <c r="AV4246">
        <v>1467</v>
      </c>
      <c r="AW4246" s="4">
        <v>42520</v>
      </c>
      <c r="BD4246">
        <v>0</v>
      </c>
      <c r="BN4246" t="s">
        <v>74</v>
      </c>
    </row>
    <row r="4247" spans="1:66" hidden="1">
      <c r="A4247">
        <v>101541</v>
      </c>
      <c r="B4247" s="3" t="s">
        <v>467</v>
      </c>
      <c r="C4247" s="1">
        <v>43300101</v>
      </c>
      <c r="D4247" t="s">
        <v>67</v>
      </c>
      <c r="H4247" t="str">
        <f t="shared" si="456"/>
        <v>08230471008</v>
      </c>
      <c r="I4247" t="str">
        <f t="shared" si="456"/>
        <v>08230471008</v>
      </c>
      <c r="K4247" t="str">
        <f>""</f>
        <v/>
      </c>
      <c r="M4247" t="s">
        <v>68</v>
      </c>
      <c r="N4247" t="str">
        <f t="shared" si="457"/>
        <v>FOR</v>
      </c>
      <c r="O4247" t="s">
        <v>69</v>
      </c>
      <c r="P4247" s="3" t="s">
        <v>75</v>
      </c>
      <c r="Q4247">
        <v>2015</v>
      </c>
      <c r="R4247" s="2">
        <v>42185</v>
      </c>
      <c r="S4247" s="2">
        <v>42198</v>
      </c>
      <c r="T4247" s="2">
        <v>42196</v>
      </c>
      <c r="U4247" s="2">
        <v>42256</v>
      </c>
      <c r="V4247" t="s">
        <v>71</v>
      </c>
      <c r="W4247" t="str">
        <f>"               53151"</f>
        <v xml:space="preserve">               53151</v>
      </c>
      <c r="X4247">
        <v>305</v>
      </c>
      <c r="Y4247">
        <v>0</v>
      </c>
      <c r="Z4247"/>
      <c r="AB4247"/>
      <c r="AC4247">
        <v>250</v>
      </c>
      <c r="AD4247">
        <v>264</v>
      </c>
      <c r="AE4247" s="1">
        <v>66000</v>
      </c>
      <c r="AF4247">
        <v>0</v>
      </c>
      <c r="AJ4247">
        <v>0</v>
      </c>
      <c r="AK4247">
        <v>0</v>
      </c>
      <c r="AL4247">
        <v>0</v>
      </c>
      <c r="AM4247">
        <v>0</v>
      </c>
      <c r="AN4247">
        <v>0</v>
      </c>
      <c r="AO4247">
        <v>0</v>
      </c>
      <c r="AP4247" s="2">
        <v>42746</v>
      </c>
      <c r="AQ4247" t="s">
        <v>72</v>
      </c>
      <c r="AR4247" t="s">
        <v>72</v>
      </c>
      <c r="AS4247">
        <v>1467</v>
      </c>
      <c r="AT4247" s="4">
        <v>42520</v>
      </c>
      <c r="AU4247" t="s">
        <v>73</v>
      </c>
      <c r="AV4247">
        <v>1467</v>
      </c>
      <c r="AW4247" s="4">
        <v>42520</v>
      </c>
      <c r="BD4247">
        <v>0</v>
      </c>
      <c r="BN4247" t="s">
        <v>74</v>
      </c>
    </row>
    <row r="4248" spans="1:66" hidden="1">
      <c r="A4248">
        <v>101541</v>
      </c>
      <c r="B4248" s="3" t="s">
        <v>467</v>
      </c>
      <c r="C4248" s="1">
        <v>43300101</v>
      </c>
      <c r="D4248" t="s">
        <v>67</v>
      </c>
      <c r="H4248" t="str">
        <f t="shared" si="456"/>
        <v>08230471008</v>
      </c>
      <c r="I4248" t="str">
        <f t="shared" si="456"/>
        <v>08230471008</v>
      </c>
      <c r="K4248" t="str">
        <f>""</f>
        <v/>
      </c>
      <c r="M4248" t="s">
        <v>68</v>
      </c>
      <c r="N4248" t="str">
        <f t="shared" si="457"/>
        <v>FOR</v>
      </c>
      <c r="O4248" t="s">
        <v>69</v>
      </c>
      <c r="P4248" s="3" t="s">
        <v>75</v>
      </c>
      <c r="Q4248">
        <v>2015</v>
      </c>
      <c r="R4248" s="2">
        <v>42185</v>
      </c>
      <c r="S4248" s="2">
        <v>42198</v>
      </c>
      <c r="T4248" s="2">
        <v>42196</v>
      </c>
      <c r="U4248" s="2">
        <v>42256</v>
      </c>
      <c r="V4248" t="s">
        <v>71</v>
      </c>
      <c r="W4248" t="str">
        <f>"               53152"</f>
        <v xml:space="preserve">               53152</v>
      </c>
      <c r="X4248">
        <v>728</v>
      </c>
      <c r="Y4248">
        <v>0</v>
      </c>
      <c r="Z4248"/>
      <c r="AB4248"/>
      <c r="AC4248">
        <v>700</v>
      </c>
      <c r="AD4248">
        <v>264</v>
      </c>
      <c r="AE4248" s="1">
        <v>184800</v>
      </c>
      <c r="AF4248">
        <v>0</v>
      </c>
      <c r="AJ4248">
        <v>0</v>
      </c>
      <c r="AK4248">
        <v>0</v>
      </c>
      <c r="AL4248">
        <v>0</v>
      </c>
      <c r="AM4248">
        <v>0</v>
      </c>
      <c r="AN4248">
        <v>0</v>
      </c>
      <c r="AO4248">
        <v>0</v>
      </c>
      <c r="AP4248" s="2">
        <v>42746</v>
      </c>
      <c r="AQ4248" t="s">
        <v>72</v>
      </c>
      <c r="AR4248" t="s">
        <v>72</v>
      </c>
      <c r="AS4248">
        <v>1467</v>
      </c>
      <c r="AT4248" s="4">
        <v>42520</v>
      </c>
      <c r="AU4248" t="s">
        <v>73</v>
      </c>
      <c r="AV4248">
        <v>1467</v>
      </c>
      <c r="AW4248" s="4">
        <v>42520</v>
      </c>
      <c r="BD4248">
        <v>0</v>
      </c>
      <c r="BN4248" t="s">
        <v>74</v>
      </c>
    </row>
    <row r="4249" spans="1:66" hidden="1">
      <c r="A4249">
        <v>101541</v>
      </c>
      <c r="B4249" s="3" t="s">
        <v>467</v>
      </c>
      <c r="C4249" s="1">
        <v>43300101</v>
      </c>
      <c r="D4249" t="s">
        <v>67</v>
      </c>
      <c r="H4249" t="str">
        <f t="shared" si="456"/>
        <v>08230471008</v>
      </c>
      <c r="I4249" t="str">
        <f t="shared" si="456"/>
        <v>08230471008</v>
      </c>
      <c r="K4249" t="str">
        <f>""</f>
        <v/>
      </c>
      <c r="M4249" t="s">
        <v>68</v>
      </c>
      <c r="N4249" t="str">
        <f t="shared" si="457"/>
        <v>FOR</v>
      </c>
      <c r="O4249" t="s">
        <v>69</v>
      </c>
      <c r="P4249" s="3" t="s">
        <v>75</v>
      </c>
      <c r="Q4249">
        <v>2015</v>
      </c>
      <c r="R4249" s="2">
        <v>42185</v>
      </c>
      <c r="S4249" s="2">
        <v>42212</v>
      </c>
      <c r="T4249" s="2">
        <v>42209</v>
      </c>
      <c r="U4249" s="2">
        <v>42269</v>
      </c>
      <c r="V4249" t="s">
        <v>71</v>
      </c>
      <c r="W4249" t="str">
        <f>"               53153"</f>
        <v xml:space="preserve">               53153</v>
      </c>
      <c r="X4249">
        <v>305</v>
      </c>
      <c r="Y4249">
        <v>0</v>
      </c>
      <c r="Z4249"/>
      <c r="AB4249"/>
      <c r="AC4249">
        <v>250</v>
      </c>
      <c r="AD4249">
        <v>251</v>
      </c>
      <c r="AE4249" s="1">
        <v>62750</v>
      </c>
      <c r="AF4249">
        <v>0</v>
      </c>
      <c r="AJ4249">
        <v>0</v>
      </c>
      <c r="AK4249">
        <v>0</v>
      </c>
      <c r="AL4249">
        <v>0</v>
      </c>
      <c r="AM4249">
        <v>0</v>
      </c>
      <c r="AN4249">
        <v>0</v>
      </c>
      <c r="AO4249">
        <v>0</v>
      </c>
      <c r="AP4249" s="2">
        <v>42746</v>
      </c>
      <c r="AQ4249" t="s">
        <v>72</v>
      </c>
      <c r="AR4249" t="s">
        <v>72</v>
      </c>
      <c r="AS4249">
        <v>1467</v>
      </c>
      <c r="AT4249" s="4">
        <v>42520</v>
      </c>
      <c r="AU4249" t="s">
        <v>73</v>
      </c>
      <c r="AV4249">
        <v>1467</v>
      </c>
      <c r="AW4249" s="4">
        <v>42520</v>
      </c>
      <c r="BD4249">
        <v>0</v>
      </c>
      <c r="BN4249" t="s">
        <v>74</v>
      </c>
    </row>
    <row r="4250" spans="1:66" hidden="1">
      <c r="A4250">
        <v>101541</v>
      </c>
      <c r="B4250" s="3" t="s">
        <v>467</v>
      </c>
      <c r="C4250" s="1">
        <v>43300101</v>
      </c>
      <c r="D4250" t="s">
        <v>67</v>
      </c>
      <c r="H4250" t="str">
        <f t="shared" si="456"/>
        <v>08230471008</v>
      </c>
      <c r="I4250" t="str">
        <f t="shared" si="456"/>
        <v>08230471008</v>
      </c>
      <c r="K4250" t="str">
        <f>""</f>
        <v/>
      </c>
      <c r="M4250" t="s">
        <v>68</v>
      </c>
      <c r="N4250" t="str">
        <f t="shared" si="457"/>
        <v>FOR</v>
      </c>
      <c r="O4250" t="s">
        <v>69</v>
      </c>
      <c r="P4250" s="3" t="s">
        <v>75</v>
      </c>
      <c r="Q4250">
        <v>2015</v>
      </c>
      <c r="R4250" s="2">
        <v>42195</v>
      </c>
      <c r="S4250" s="2">
        <v>42202</v>
      </c>
      <c r="T4250" s="2">
        <v>42202</v>
      </c>
      <c r="U4250" s="2">
        <v>42262</v>
      </c>
      <c r="V4250" t="s">
        <v>71</v>
      </c>
      <c r="W4250" t="str">
        <f>"               53570"</f>
        <v xml:space="preserve">               53570</v>
      </c>
      <c r="X4250" s="1">
        <v>1497.6</v>
      </c>
      <c r="Y4250">
        <v>0</v>
      </c>
      <c r="Z4250"/>
      <c r="AB4250"/>
      <c r="AC4250" s="1">
        <v>1440</v>
      </c>
      <c r="AD4250">
        <v>316</v>
      </c>
      <c r="AE4250" s="1">
        <v>455040</v>
      </c>
      <c r="AF4250">
        <v>0</v>
      </c>
      <c r="AJ4250">
        <v>0</v>
      </c>
      <c r="AK4250">
        <v>0</v>
      </c>
      <c r="AL4250">
        <v>0</v>
      </c>
      <c r="AM4250">
        <v>0</v>
      </c>
      <c r="AN4250">
        <v>0</v>
      </c>
      <c r="AO4250">
        <v>0</v>
      </c>
      <c r="AP4250" s="2">
        <v>42746</v>
      </c>
      <c r="AQ4250" t="s">
        <v>72</v>
      </c>
      <c r="AR4250" t="s">
        <v>72</v>
      </c>
      <c r="AS4250">
        <v>1996</v>
      </c>
      <c r="AT4250" s="4">
        <v>42578</v>
      </c>
      <c r="AU4250" t="s">
        <v>73</v>
      </c>
      <c r="AV4250">
        <v>1996</v>
      </c>
      <c r="AW4250" s="4">
        <v>42578</v>
      </c>
      <c r="BD4250">
        <v>0</v>
      </c>
      <c r="BN4250" t="s">
        <v>74</v>
      </c>
    </row>
    <row r="4251" spans="1:66" hidden="1">
      <c r="A4251">
        <v>101541</v>
      </c>
      <c r="B4251" s="3" t="s">
        <v>467</v>
      </c>
      <c r="C4251" s="1">
        <v>43300101</v>
      </c>
      <c r="D4251" t="s">
        <v>67</v>
      </c>
      <c r="H4251" t="str">
        <f t="shared" si="456"/>
        <v>08230471008</v>
      </c>
      <c r="I4251" t="str">
        <f t="shared" si="456"/>
        <v>08230471008</v>
      </c>
      <c r="K4251" t="str">
        <f>""</f>
        <v/>
      </c>
      <c r="M4251" t="s">
        <v>68</v>
      </c>
      <c r="N4251" t="str">
        <f t="shared" si="457"/>
        <v>FOR</v>
      </c>
      <c r="O4251" t="s">
        <v>69</v>
      </c>
      <c r="P4251" s="3" t="s">
        <v>75</v>
      </c>
      <c r="Q4251">
        <v>2015</v>
      </c>
      <c r="R4251" s="2">
        <v>42195</v>
      </c>
      <c r="S4251" s="2">
        <v>42202</v>
      </c>
      <c r="T4251" s="2">
        <v>42202</v>
      </c>
      <c r="U4251" s="2">
        <v>42262</v>
      </c>
      <c r="V4251" t="s">
        <v>71</v>
      </c>
      <c r="W4251" t="str">
        <f>"               53571"</f>
        <v xml:space="preserve">               53571</v>
      </c>
      <c r="X4251">
        <v>305</v>
      </c>
      <c r="Y4251">
        <v>0</v>
      </c>
      <c r="Z4251"/>
      <c r="AB4251"/>
      <c r="AC4251">
        <v>250</v>
      </c>
      <c r="AD4251">
        <v>316</v>
      </c>
      <c r="AE4251" s="1">
        <v>79000</v>
      </c>
      <c r="AF4251">
        <v>0</v>
      </c>
      <c r="AJ4251">
        <v>0</v>
      </c>
      <c r="AK4251">
        <v>0</v>
      </c>
      <c r="AL4251">
        <v>0</v>
      </c>
      <c r="AM4251">
        <v>0</v>
      </c>
      <c r="AN4251">
        <v>0</v>
      </c>
      <c r="AO4251">
        <v>0</v>
      </c>
      <c r="AP4251" s="2">
        <v>42746</v>
      </c>
      <c r="AQ4251" t="s">
        <v>72</v>
      </c>
      <c r="AR4251" t="s">
        <v>72</v>
      </c>
      <c r="AS4251">
        <v>1996</v>
      </c>
      <c r="AT4251" s="4">
        <v>42578</v>
      </c>
      <c r="AU4251" t="s">
        <v>73</v>
      </c>
      <c r="AV4251">
        <v>1996</v>
      </c>
      <c r="AW4251" s="4">
        <v>42578</v>
      </c>
      <c r="BD4251">
        <v>0</v>
      </c>
      <c r="BN4251" t="s">
        <v>74</v>
      </c>
    </row>
    <row r="4252" spans="1:66" hidden="1">
      <c r="A4252">
        <v>101541</v>
      </c>
      <c r="B4252" s="3" t="s">
        <v>467</v>
      </c>
      <c r="C4252" s="1">
        <v>43300101</v>
      </c>
      <c r="D4252" t="s">
        <v>67</v>
      </c>
      <c r="H4252" t="str">
        <f t="shared" si="456"/>
        <v>08230471008</v>
      </c>
      <c r="I4252" t="str">
        <f t="shared" si="456"/>
        <v>08230471008</v>
      </c>
      <c r="K4252" t="str">
        <f>""</f>
        <v/>
      </c>
      <c r="M4252" t="s">
        <v>68</v>
      </c>
      <c r="N4252" t="str">
        <f t="shared" si="457"/>
        <v>FOR</v>
      </c>
      <c r="O4252" t="s">
        <v>69</v>
      </c>
      <c r="P4252" s="3" t="s">
        <v>75</v>
      </c>
      <c r="Q4252">
        <v>2015</v>
      </c>
      <c r="R4252" s="2">
        <v>42195</v>
      </c>
      <c r="S4252" s="2">
        <v>42205</v>
      </c>
      <c r="T4252" s="2">
        <v>42202</v>
      </c>
      <c r="U4252" s="2">
        <v>42262</v>
      </c>
      <c r="V4252" t="s">
        <v>71</v>
      </c>
      <c r="W4252" t="str">
        <f>"               53572"</f>
        <v xml:space="preserve">               53572</v>
      </c>
      <c r="X4252">
        <v>305</v>
      </c>
      <c r="Y4252">
        <v>0</v>
      </c>
      <c r="Z4252"/>
      <c r="AB4252"/>
      <c r="AC4252">
        <v>250</v>
      </c>
      <c r="AD4252">
        <v>316</v>
      </c>
      <c r="AE4252" s="1">
        <v>79000</v>
      </c>
      <c r="AF4252">
        <v>0</v>
      </c>
      <c r="AJ4252">
        <v>0</v>
      </c>
      <c r="AK4252">
        <v>0</v>
      </c>
      <c r="AL4252">
        <v>0</v>
      </c>
      <c r="AM4252">
        <v>0</v>
      </c>
      <c r="AN4252">
        <v>0</v>
      </c>
      <c r="AO4252">
        <v>0</v>
      </c>
      <c r="AP4252" s="2">
        <v>42746</v>
      </c>
      <c r="AQ4252" t="s">
        <v>72</v>
      </c>
      <c r="AR4252" t="s">
        <v>72</v>
      </c>
      <c r="AS4252">
        <v>1996</v>
      </c>
      <c r="AT4252" s="4">
        <v>42578</v>
      </c>
      <c r="AU4252" t="s">
        <v>73</v>
      </c>
      <c r="AV4252">
        <v>1996</v>
      </c>
      <c r="AW4252" s="4">
        <v>42578</v>
      </c>
      <c r="BD4252">
        <v>0</v>
      </c>
      <c r="BN4252" t="s">
        <v>74</v>
      </c>
    </row>
    <row r="4253" spans="1:66" hidden="1">
      <c r="A4253">
        <v>101541</v>
      </c>
      <c r="B4253" s="3" t="s">
        <v>467</v>
      </c>
      <c r="C4253" s="1">
        <v>43300101</v>
      </c>
      <c r="D4253" t="s">
        <v>67</v>
      </c>
      <c r="H4253" t="str">
        <f t="shared" si="456"/>
        <v>08230471008</v>
      </c>
      <c r="I4253" t="str">
        <f t="shared" si="456"/>
        <v>08230471008</v>
      </c>
      <c r="K4253" t="str">
        <f>""</f>
        <v/>
      </c>
      <c r="M4253" t="s">
        <v>68</v>
      </c>
      <c r="N4253" t="str">
        <f t="shared" si="457"/>
        <v>FOR</v>
      </c>
      <c r="O4253" t="s">
        <v>69</v>
      </c>
      <c r="P4253" s="3" t="s">
        <v>75</v>
      </c>
      <c r="Q4253">
        <v>2015</v>
      </c>
      <c r="R4253" s="2">
        <v>42195</v>
      </c>
      <c r="S4253" s="2">
        <v>42205</v>
      </c>
      <c r="T4253" s="2">
        <v>42202</v>
      </c>
      <c r="U4253" s="2">
        <v>42262</v>
      </c>
      <c r="V4253" t="s">
        <v>71</v>
      </c>
      <c r="W4253" t="str">
        <f>"               53573"</f>
        <v xml:space="preserve">               53573</v>
      </c>
      <c r="X4253">
        <v>305</v>
      </c>
      <c r="Y4253">
        <v>0</v>
      </c>
      <c r="Z4253"/>
      <c r="AB4253"/>
      <c r="AC4253">
        <v>250</v>
      </c>
      <c r="AD4253">
        <v>316</v>
      </c>
      <c r="AE4253" s="1">
        <v>79000</v>
      </c>
      <c r="AF4253">
        <v>0</v>
      </c>
      <c r="AJ4253">
        <v>0</v>
      </c>
      <c r="AK4253">
        <v>0</v>
      </c>
      <c r="AL4253">
        <v>0</v>
      </c>
      <c r="AM4253">
        <v>0</v>
      </c>
      <c r="AN4253">
        <v>0</v>
      </c>
      <c r="AO4253">
        <v>0</v>
      </c>
      <c r="AP4253" s="2">
        <v>42746</v>
      </c>
      <c r="AQ4253" t="s">
        <v>72</v>
      </c>
      <c r="AR4253" t="s">
        <v>72</v>
      </c>
      <c r="AS4253">
        <v>1996</v>
      </c>
      <c r="AT4253" s="4">
        <v>42578</v>
      </c>
      <c r="AU4253" t="s">
        <v>73</v>
      </c>
      <c r="AV4253">
        <v>1996</v>
      </c>
      <c r="AW4253" s="4">
        <v>42578</v>
      </c>
      <c r="BD4253">
        <v>0</v>
      </c>
      <c r="BN4253" t="s">
        <v>74</v>
      </c>
    </row>
    <row r="4254" spans="1:66" hidden="1">
      <c r="A4254">
        <v>101541</v>
      </c>
      <c r="B4254" s="3" t="s">
        <v>467</v>
      </c>
      <c r="C4254" s="1">
        <v>43300101</v>
      </c>
      <c r="D4254" t="s">
        <v>67</v>
      </c>
      <c r="H4254" t="str">
        <f t="shared" si="456"/>
        <v>08230471008</v>
      </c>
      <c r="I4254" t="str">
        <f t="shared" si="456"/>
        <v>08230471008</v>
      </c>
      <c r="K4254" t="str">
        <f>""</f>
        <v/>
      </c>
      <c r="M4254" t="s">
        <v>68</v>
      </c>
      <c r="N4254" t="str">
        <f t="shared" si="457"/>
        <v>FOR</v>
      </c>
      <c r="O4254" t="s">
        <v>69</v>
      </c>
      <c r="P4254" s="3" t="s">
        <v>75</v>
      </c>
      <c r="Q4254">
        <v>2015</v>
      </c>
      <c r="R4254" s="2">
        <v>42202</v>
      </c>
      <c r="S4254" s="2">
        <v>42212</v>
      </c>
      <c r="T4254" s="2">
        <v>42209</v>
      </c>
      <c r="U4254" s="2">
        <v>42269</v>
      </c>
      <c r="V4254" t="s">
        <v>71</v>
      </c>
      <c r="W4254" t="str">
        <f>"               53775"</f>
        <v xml:space="preserve">               53775</v>
      </c>
      <c r="X4254">
        <v>305</v>
      </c>
      <c r="Y4254">
        <v>0</v>
      </c>
      <c r="Z4254"/>
      <c r="AB4254"/>
      <c r="AC4254">
        <v>250</v>
      </c>
      <c r="AD4254">
        <v>309</v>
      </c>
      <c r="AE4254" s="1">
        <v>77250</v>
      </c>
      <c r="AF4254">
        <v>0</v>
      </c>
      <c r="AJ4254">
        <v>0</v>
      </c>
      <c r="AK4254">
        <v>0</v>
      </c>
      <c r="AL4254">
        <v>0</v>
      </c>
      <c r="AM4254">
        <v>0</v>
      </c>
      <c r="AN4254">
        <v>0</v>
      </c>
      <c r="AO4254">
        <v>0</v>
      </c>
      <c r="AP4254" s="2">
        <v>42746</v>
      </c>
      <c r="AQ4254" t="s">
        <v>72</v>
      </c>
      <c r="AR4254" t="s">
        <v>72</v>
      </c>
      <c r="AS4254">
        <v>1996</v>
      </c>
      <c r="AT4254" s="4">
        <v>42578</v>
      </c>
      <c r="AU4254" t="s">
        <v>73</v>
      </c>
      <c r="AV4254">
        <v>1996</v>
      </c>
      <c r="AW4254" s="4">
        <v>42578</v>
      </c>
      <c r="BD4254">
        <v>0</v>
      </c>
      <c r="BN4254" t="s">
        <v>74</v>
      </c>
    </row>
    <row r="4255" spans="1:66" hidden="1">
      <c r="A4255">
        <v>101541</v>
      </c>
      <c r="B4255" s="3" t="s">
        <v>467</v>
      </c>
      <c r="C4255" s="1">
        <v>43300101</v>
      </c>
      <c r="D4255" t="s">
        <v>67</v>
      </c>
      <c r="H4255" t="str">
        <f t="shared" si="456"/>
        <v>08230471008</v>
      </c>
      <c r="I4255" t="str">
        <f t="shared" si="456"/>
        <v>08230471008</v>
      </c>
      <c r="K4255" t="str">
        <f>""</f>
        <v/>
      </c>
      <c r="M4255" t="s">
        <v>68</v>
      </c>
      <c r="N4255" t="str">
        <f t="shared" si="457"/>
        <v>FOR</v>
      </c>
      <c r="O4255" t="s">
        <v>69</v>
      </c>
      <c r="P4255" s="3" t="s">
        <v>75</v>
      </c>
      <c r="Q4255">
        <v>2015</v>
      </c>
      <c r="R4255" s="2">
        <v>42202</v>
      </c>
      <c r="S4255" s="2">
        <v>42212</v>
      </c>
      <c r="T4255" s="2">
        <v>42209</v>
      </c>
      <c r="U4255" s="2">
        <v>42269</v>
      </c>
      <c r="V4255" t="s">
        <v>71</v>
      </c>
      <c r="W4255" t="str">
        <f>"               53776"</f>
        <v xml:space="preserve">               53776</v>
      </c>
      <c r="X4255">
        <v>305</v>
      </c>
      <c r="Y4255">
        <v>0</v>
      </c>
      <c r="Z4255"/>
      <c r="AB4255"/>
      <c r="AC4255">
        <v>250</v>
      </c>
      <c r="AD4255">
        <v>309</v>
      </c>
      <c r="AE4255" s="1">
        <v>77250</v>
      </c>
      <c r="AF4255">
        <v>0</v>
      </c>
      <c r="AJ4255">
        <v>0</v>
      </c>
      <c r="AK4255">
        <v>0</v>
      </c>
      <c r="AL4255">
        <v>0</v>
      </c>
      <c r="AM4255">
        <v>0</v>
      </c>
      <c r="AN4255">
        <v>0</v>
      </c>
      <c r="AO4255">
        <v>0</v>
      </c>
      <c r="AP4255" s="2">
        <v>42746</v>
      </c>
      <c r="AQ4255" t="s">
        <v>72</v>
      </c>
      <c r="AR4255" t="s">
        <v>72</v>
      </c>
      <c r="AS4255">
        <v>1996</v>
      </c>
      <c r="AT4255" s="4">
        <v>42578</v>
      </c>
      <c r="AU4255" t="s">
        <v>73</v>
      </c>
      <c r="AV4255">
        <v>1996</v>
      </c>
      <c r="AW4255" s="4">
        <v>42578</v>
      </c>
      <c r="BD4255">
        <v>0</v>
      </c>
      <c r="BN4255" t="s">
        <v>74</v>
      </c>
    </row>
    <row r="4256" spans="1:66" hidden="1">
      <c r="A4256">
        <v>101541</v>
      </c>
      <c r="B4256" s="3" t="s">
        <v>467</v>
      </c>
      <c r="C4256" s="1">
        <v>43300101</v>
      </c>
      <c r="D4256" t="s">
        <v>67</v>
      </c>
      <c r="H4256" t="str">
        <f t="shared" si="456"/>
        <v>08230471008</v>
      </c>
      <c r="I4256" t="str">
        <f t="shared" si="456"/>
        <v>08230471008</v>
      </c>
      <c r="K4256" t="str">
        <f>""</f>
        <v/>
      </c>
      <c r="M4256" t="s">
        <v>68</v>
      </c>
      <c r="N4256" t="str">
        <f t="shared" si="457"/>
        <v>FOR</v>
      </c>
      <c r="O4256" t="s">
        <v>69</v>
      </c>
      <c r="P4256" s="3" t="s">
        <v>75</v>
      </c>
      <c r="Q4256">
        <v>2015</v>
      </c>
      <c r="R4256" s="2">
        <v>42202</v>
      </c>
      <c r="S4256" s="2">
        <v>42212</v>
      </c>
      <c r="T4256" s="2">
        <v>42209</v>
      </c>
      <c r="U4256" s="2">
        <v>42269</v>
      </c>
      <c r="V4256" t="s">
        <v>71</v>
      </c>
      <c r="W4256" t="str">
        <f>"               53777"</f>
        <v xml:space="preserve">               53777</v>
      </c>
      <c r="X4256">
        <v>305</v>
      </c>
      <c r="Y4256">
        <v>0</v>
      </c>
      <c r="Z4256"/>
      <c r="AB4256"/>
      <c r="AC4256">
        <v>250</v>
      </c>
      <c r="AD4256">
        <v>309</v>
      </c>
      <c r="AE4256" s="1">
        <v>77250</v>
      </c>
      <c r="AF4256">
        <v>0</v>
      </c>
      <c r="AJ4256">
        <v>0</v>
      </c>
      <c r="AK4256">
        <v>0</v>
      </c>
      <c r="AL4256">
        <v>0</v>
      </c>
      <c r="AM4256">
        <v>0</v>
      </c>
      <c r="AN4256">
        <v>0</v>
      </c>
      <c r="AO4256">
        <v>0</v>
      </c>
      <c r="AP4256" s="2">
        <v>42746</v>
      </c>
      <c r="AQ4256" t="s">
        <v>72</v>
      </c>
      <c r="AR4256" t="s">
        <v>72</v>
      </c>
      <c r="AS4256">
        <v>1996</v>
      </c>
      <c r="AT4256" s="4">
        <v>42578</v>
      </c>
      <c r="AU4256" t="s">
        <v>73</v>
      </c>
      <c r="AV4256">
        <v>1996</v>
      </c>
      <c r="AW4256" s="4">
        <v>42578</v>
      </c>
      <c r="BD4256">
        <v>0</v>
      </c>
      <c r="BN4256" t="s">
        <v>74</v>
      </c>
    </row>
    <row r="4257" spans="1:66" hidden="1">
      <c r="A4257">
        <v>101541</v>
      </c>
      <c r="B4257" s="3" t="s">
        <v>467</v>
      </c>
      <c r="C4257" s="1">
        <v>43300101</v>
      </c>
      <c r="D4257" t="s">
        <v>67</v>
      </c>
      <c r="H4257" t="str">
        <f t="shared" si="456"/>
        <v>08230471008</v>
      </c>
      <c r="I4257" t="str">
        <f t="shared" si="456"/>
        <v>08230471008</v>
      </c>
      <c r="K4257" t="str">
        <f>""</f>
        <v/>
      </c>
      <c r="M4257" t="s">
        <v>68</v>
      </c>
      <c r="N4257" t="str">
        <f t="shared" si="457"/>
        <v>FOR</v>
      </c>
      <c r="O4257" t="s">
        <v>69</v>
      </c>
      <c r="P4257" s="3" t="s">
        <v>75</v>
      </c>
      <c r="Q4257">
        <v>2015</v>
      </c>
      <c r="R4257" s="2">
        <v>42209</v>
      </c>
      <c r="S4257" s="2">
        <v>42217</v>
      </c>
      <c r="T4257" s="2">
        <v>42216</v>
      </c>
      <c r="U4257" s="2">
        <v>42276</v>
      </c>
      <c r="V4257" t="s">
        <v>71</v>
      </c>
      <c r="W4257" t="str">
        <f>"               54103"</f>
        <v xml:space="preserve">               54103</v>
      </c>
      <c r="X4257">
        <v>305</v>
      </c>
      <c r="Y4257">
        <v>0</v>
      </c>
      <c r="Z4257"/>
      <c r="AB4257"/>
      <c r="AC4257">
        <v>250</v>
      </c>
      <c r="AD4257">
        <v>302</v>
      </c>
      <c r="AE4257" s="1">
        <v>75500</v>
      </c>
      <c r="AF4257">
        <v>0</v>
      </c>
      <c r="AJ4257">
        <v>0</v>
      </c>
      <c r="AK4257">
        <v>0</v>
      </c>
      <c r="AL4257">
        <v>0</v>
      </c>
      <c r="AM4257">
        <v>0</v>
      </c>
      <c r="AN4257">
        <v>0</v>
      </c>
      <c r="AO4257">
        <v>0</v>
      </c>
      <c r="AP4257" s="2">
        <v>42746</v>
      </c>
      <c r="AQ4257" t="s">
        <v>72</v>
      </c>
      <c r="AR4257" t="s">
        <v>72</v>
      </c>
      <c r="AS4257">
        <v>1996</v>
      </c>
      <c r="AT4257" s="4">
        <v>42578</v>
      </c>
      <c r="AU4257" t="s">
        <v>73</v>
      </c>
      <c r="AV4257">
        <v>1996</v>
      </c>
      <c r="AW4257" s="4">
        <v>42578</v>
      </c>
      <c r="BD4257">
        <v>0</v>
      </c>
      <c r="BN4257" t="s">
        <v>74</v>
      </c>
    </row>
    <row r="4258" spans="1:66" hidden="1">
      <c r="A4258">
        <v>101541</v>
      </c>
      <c r="B4258" s="3" t="s">
        <v>467</v>
      </c>
      <c r="C4258" s="1">
        <v>43300101</v>
      </c>
      <c r="D4258" t="s">
        <v>67</v>
      </c>
      <c r="H4258" t="str">
        <f t="shared" ref="H4258:I4277" si="458">"08230471008"</f>
        <v>08230471008</v>
      </c>
      <c r="I4258" t="str">
        <f t="shared" si="458"/>
        <v>08230471008</v>
      </c>
      <c r="K4258" t="str">
        <f>""</f>
        <v/>
      </c>
      <c r="M4258" t="s">
        <v>68</v>
      </c>
      <c r="N4258" t="str">
        <f t="shared" si="457"/>
        <v>FOR</v>
      </c>
      <c r="O4258" t="s">
        <v>69</v>
      </c>
      <c r="P4258" s="3" t="s">
        <v>75</v>
      </c>
      <c r="Q4258">
        <v>2015</v>
      </c>
      <c r="R4258" s="2">
        <v>42209</v>
      </c>
      <c r="S4258" s="2">
        <v>42217</v>
      </c>
      <c r="T4258" s="2">
        <v>42216</v>
      </c>
      <c r="U4258" s="2">
        <v>42276</v>
      </c>
      <c r="V4258" t="s">
        <v>71</v>
      </c>
      <c r="W4258" t="str">
        <f>"               54104"</f>
        <v xml:space="preserve">               54104</v>
      </c>
      <c r="X4258">
        <v>305</v>
      </c>
      <c r="Y4258">
        <v>0</v>
      </c>
      <c r="Z4258"/>
      <c r="AB4258"/>
      <c r="AC4258">
        <v>250</v>
      </c>
      <c r="AD4258">
        <v>302</v>
      </c>
      <c r="AE4258" s="1">
        <v>75500</v>
      </c>
      <c r="AF4258">
        <v>0</v>
      </c>
      <c r="AJ4258">
        <v>0</v>
      </c>
      <c r="AK4258">
        <v>0</v>
      </c>
      <c r="AL4258">
        <v>0</v>
      </c>
      <c r="AM4258">
        <v>0</v>
      </c>
      <c r="AN4258">
        <v>0</v>
      </c>
      <c r="AO4258">
        <v>0</v>
      </c>
      <c r="AP4258" s="2">
        <v>42746</v>
      </c>
      <c r="AQ4258" t="s">
        <v>72</v>
      </c>
      <c r="AR4258" t="s">
        <v>72</v>
      </c>
      <c r="AS4258">
        <v>1996</v>
      </c>
      <c r="AT4258" s="4">
        <v>42578</v>
      </c>
      <c r="AU4258" t="s">
        <v>73</v>
      </c>
      <c r="AV4258">
        <v>1996</v>
      </c>
      <c r="AW4258" s="4">
        <v>42578</v>
      </c>
      <c r="BD4258">
        <v>0</v>
      </c>
      <c r="BN4258" t="s">
        <v>74</v>
      </c>
    </row>
    <row r="4259" spans="1:66" hidden="1">
      <c r="A4259">
        <v>101541</v>
      </c>
      <c r="B4259" s="3" t="s">
        <v>467</v>
      </c>
      <c r="C4259" s="1">
        <v>43300101</v>
      </c>
      <c r="D4259" t="s">
        <v>67</v>
      </c>
      <c r="H4259" t="str">
        <f t="shared" si="458"/>
        <v>08230471008</v>
      </c>
      <c r="I4259" t="str">
        <f t="shared" si="458"/>
        <v>08230471008</v>
      </c>
      <c r="K4259" t="str">
        <f>""</f>
        <v/>
      </c>
      <c r="M4259" t="s">
        <v>68</v>
      </c>
      <c r="N4259" t="str">
        <f t="shared" si="457"/>
        <v>FOR</v>
      </c>
      <c r="O4259" t="s">
        <v>69</v>
      </c>
      <c r="P4259" s="3" t="s">
        <v>75</v>
      </c>
      <c r="Q4259">
        <v>2015</v>
      </c>
      <c r="R4259" s="2">
        <v>42209</v>
      </c>
      <c r="S4259" s="2">
        <v>42216</v>
      </c>
      <c r="T4259" s="2">
        <v>42216</v>
      </c>
      <c r="U4259" s="2">
        <v>42276</v>
      </c>
      <c r="V4259" t="s">
        <v>71</v>
      </c>
      <c r="W4259" t="str">
        <f>"               54105"</f>
        <v xml:space="preserve">               54105</v>
      </c>
      <c r="X4259">
        <v>305</v>
      </c>
      <c r="Y4259">
        <v>0</v>
      </c>
      <c r="Z4259"/>
      <c r="AB4259"/>
      <c r="AC4259">
        <v>250</v>
      </c>
      <c r="AD4259">
        <v>302</v>
      </c>
      <c r="AE4259" s="1">
        <v>75500</v>
      </c>
      <c r="AF4259">
        <v>0</v>
      </c>
      <c r="AJ4259">
        <v>0</v>
      </c>
      <c r="AK4259">
        <v>0</v>
      </c>
      <c r="AL4259">
        <v>0</v>
      </c>
      <c r="AM4259">
        <v>0</v>
      </c>
      <c r="AN4259">
        <v>0</v>
      </c>
      <c r="AO4259">
        <v>0</v>
      </c>
      <c r="AP4259" s="2">
        <v>42746</v>
      </c>
      <c r="AQ4259" t="s">
        <v>72</v>
      </c>
      <c r="AR4259" t="s">
        <v>72</v>
      </c>
      <c r="AS4259">
        <v>1996</v>
      </c>
      <c r="AT4259" s="4">
        <v>42578</v>
      </c>
      <c r="AU4259" t="s">
        <v>73</v>
      </c>
      <c r="AV4259">
        <v>1996</v>
      </c>
      <c r="AW4259" s="4">
        <v>42578</v>
      </c>
      <c r="BD4259">
        <v>0</v>
      </c>
      <c r="BN4259" t="s">
        <v>74</v>
      </c>
    </row>
    <row r="4260" spans="1:66" hidden="1">
      <c r="A4260">
        <v>101541</v>
      </c>
      <c r="B4260" s="3" t="s">
        <v>467</v>
      </c>
      <c r="C4260" s="1">
        <v>43300101</v>
      </c>
      <c r="D4260" t="s">
        <v>67</v>
      </c>
      <c r="H4260" t="str">
        <f t="shared" si="458"/>
        <v>08230471008</v>
      </c>
      <c r="I4260" t="str">
        <f t="shared" si="458"/>
        <v>08230471008</v>
      </c>
      <c r="K4260" t="str">
        <f>""</f>
        <v/>
      </c>
      <c r="M4260" t="s">
        <v>68</v>
      </c>
      <c r="N4260" t="str">
        <f t="shared" si="457"/>
        <v>FOR</v>
      </c>
      <c r="O4260" t="s">
        <v>69</v>
      </c>
      <c r="P4260" s="3" t="s">
        <v>75</v>
      </c>
      <c r="Q4260">
        <v>2015</v>
      </c>
      <c r="R4260" s="2">
        <v>42209</v>
      </c>
      <c r="S4260" s="2">
        <v>42216</v>
      </c>
      <c r="T4260" s="2">
        <v>42216</v>
      </c>
      <c r="U4260" s="2">
        <v>42276</v>
      </c>
      <c r="V4260" t="s">
        <v>71</v>
      </c>
      <c r="W4260" t="str">
        <f>"               54106"</f>
        <v xml:space="preserve">               54106</v>
      </c>
      <c r="X4260">
        <v>305</v>
      </c>
      <c r="Y4260">
        <v>0</v>
      </c>
      <c r="Z4260"/>
      <c r="AB4260"/>
      <c r="AC4260">
        <v>250</v>
      </c>
      <c r="AD4260">
        <v>302</v>
      </c>
      <c r="AE4260" s="1">
        <v>75500</v>
      </c>
      <c r="AF4260">
        <v>0</v>
      </c>
      <c r="AJ4260">
        <v>0</v>
      </c>
      <c r="AK4260">
        <v>0</v>
      </c>
      <c r="AL4260">
        <v>0</v>
      </c>
      <c r="AM4260">
        <v>0</v>
      </c>
      <c r="AN4260">
        <v>0</v>
      </c>
      <c r="AO4260">
        <v>0</v>
      </c>
      <c r="AP4260" s="2">
        <v>42746</v>
      </c>
      <c r="AQ4260" t="s">
        <v>72</v>
      </c>
      <c r="AR4260" t="s">
        <v>72</v>
      </c>
      <c r="AS4260">
        <v>1996</v>
      </c>
      <c r="AT4260" s="4">
        <v>42578</v>
      </c>
      <c r="AU4260" t="s">
        <v>73</v>
      </c>
      <c r="AV4260">
        <v>1996</v>
      </c>
      <c r="AW4260" s="4">
        <v>42578</v>
      </c>
      <c r="BD4260">
        <v>0</v>
      </c>
      <c r="BN4260" t="s">
        <v>74</v>
      </c>
    </row>
    <row r="4261" spans="1:66" hidden="1">
      <c r="A4261">
        <v>101541</v>
      </c>
      <c r="B4261" s="3" t="s">
        <v>467</v>
      </c>
      <c r="C4261" s="1">
        <v>43300101</v>
      </c>
      <c r="D4261" t="s">
        <v>67</v>
      </c>
      <c r="H4261" t="str">
        <f t="shared" si="458"/>
        <v>08230471008</v>
      </c>
      <c r="I4261" t="str">
        <f t="shared" si="458"/>
        <v>08230471008</v>
      </c>
      <c r="K4261" t="str">
        <f>""</f>
        <v/>
      </c>
      <c r="M4261" t="s">
        <v>68</v>
      </c>
      <c r="N4261" t="str">
        <f t="shared" si="457"/>
        <v>FOR</v>
      </c>
      <c r="O4261" t="s">
        <v>69</v>
      </c>
      <c r="P4261" s="3" t="s">
        <v>75</v>
      </c>
      <c r="Q4261">
        <v>2015</v>
      </c>
      <c r="R4261" s="2">
        <v>42209</v>
      </c>
      <c r="S4261" s="2">
        <v>42216</v>
      </c>
      <c r="T4261" s="2">
        <v>42216</v>
      </c>
      <c r="U4261" s="2">
        <v>42276</v>
      </c>
      <c r="V4261" t="s">
        <v>71</v>
      </c>
      <c r="W4261" t="str">
        <f>"               54107"</f>
        <v xml:space="preserve">               54107</v>
      </c>
      <c r="X4261">
        <v>305</v>
      </c>
      <c r="Y4261">
        <v>0</v>
      </c>
      <c r="Z4261"/>
      <c r="AB4261"/>
      <c r="AC4261">
        <v>250</v>
      </c>
      <c r="AD4261">
        <v>302</v>
      </c>
      <c r="AE4261" s="1">
        <v>75500</v>
      </c>
      <c r="AF4261">
        <v>0</v>
      </c>
      <c r="AJ4261">
        <v>0</v>
      </c>
      <c r="AK4261">
        <v>0</v>
      </c>
      <c r="AL4261">
        <v>0</v>
      </c>
      <c r="AM4261">
        <v>0</v>
      </c>
      <c r="AN4261">
        <v>0</v>
      </c>
      <c r="AO4261">
        <v>0</v>
      </c>
      <c r="AP4261" s="2">
        <v>42746</v>
      </c>
      <c r="AQ4261" t="s">
        <v>72</v>
      </c>
      <c r="AR4261" t="s">
        <v>72</v>
      </c>
      <c r="AS4261">
        <v>1996</v>
      </c>
      <c r="AT4261" s="4">
        <v>42578</v>
      </c>
      <c r="AU4261" t="s">
        <v>73</v>
      </c>
      <c r="AV4261">
        <v>1996</v>
      </c>
      <c r="AW4261" s="4">
        <v>42578</v>
      </c>
      <c r="BD4261">
        <v>0</v>
      </c>
      <c r="BN4261" t="s">
        <v>74</v>
      </c>
    </row>
    <row r="4262" spans="1:66" hidden="1">
      <c r="A4262">
        <v>101541</v>
      </c>
      <c r="B4262" s="3" t="s">
        <v>467</v>
      </c>
      <c r="C4262" s="1">
        <v>43300101</v>
      </c>
      <c r="D4262" t="s">
        <v>67</v>
      </c>
      <c r="H4262" t="str">
        <f t="shared" si="458"/>
        <v>08230471008</v>
      </c>
      <c r="I4262" t="str">
        <f t="shared" si="458"/>
        <v>08230471008</v>
      </c>
      <c r="K4262" t="str">
        <f>""</f>
        <v/>
      </c>
      <c r="M4262" t="s">
        <v>68</v>
      </c>
      <c r="N4262" t="str">
        <f t="shared" si="457"/>
        <v>FOR</v>
      </c>
      <c r="O4262" t="s">
        <v>69</v>
      </c>
      <c r="P4262" s="3" t="s">
        <v>75</v>
      </c>
      <c r="Q4262">
        <v>2015</v>
      </c>
      <c r="R4262" s="2">
        <v>42209</v>
      </c>
      <c r="S4262" s="2">
        <v>42217</v>
      </c>
      <c r="T4262" s="2">
        <v>42216</v>
      </c>
      <c r="U4262" s="2">
        <v>42276</v>
      </c>
      <c r="V4262" t="s">
        <v>71</v>
      </c>
      <c r="W4262" t="str">
        <f>"               54108"</f>
        <v xml:space="preserve">               54108</v>
      </c>
      <c r="X4262">
        <v>728</v>
      </c>
      <c r="Y4262">
        <v>0</v>
      </c>
      <c r="Z4262"/>
      <c r="AB4262"/>
      <c r="AC4262">
        <v>700</v>
      </c>
      <c r="AD4262">
        <v>302</v>
      </c>
      <c r="AE4262" s="1">
        <v>211400</v>
      </c>
      <c r="AF4262">
        <v>0</v>
      </c>
      <c r="AJ4262">
        <v>0</v>
      </c>
      <c r="AK4262">
        <v>0</v>
      </c>
      <c r="AL4262">
        <v>0</v>
      </c>
      <c r="AM4262">
        <v>0</v>
      </c>
      <c r="AN4262">
        <v>0</v>
      </c>
      <c r="AO4262">
        <v>0</v>
      </c>
      <c r="AP4262" s="2">
        <v>42746</v>
      </c>
      <c r="AQ4262" t="s">
        <v>72</v>
      </c>
      <c r="AR4262" t="s">
        <v>72</v>
      </c>
      <c r="AS4262">
        <v>1996</v>
      </c>
      <c r="AT4262" s="4">
        <v>42578</v>
      </c>
      <c r="AU4262" t="s">
        <v>73</v>
      </c>
      <c r="AV4262">
        <v>1996</v>
      </c>
      <c r="AW4262" s="4">
        <v>42578</v>
      </c>
      <c r="BD4262">
        <v>0</v>
      </c>
      <c r="BN4262" t="s">
        <v>74</v>
      </c>
    </row>
    <row r="4263" spans="1:66" hidden="1">
      <c r="A4263">
        <v>101541</v>
      </c>
      <c r="B4263" s="3" t="s">
        <v>467</v>
      </c>
      <c r="C4263" s="1">
        <v>43300101</v>
      </c>
      <c r="D4263" t="s">
        <v>67</v>
      </c>
      <c r="H4263" t="str">
        <f t="shared" si="458"/>
        <v>08230471008</v>
      </c>
      <c r="I4263" t="str">
        <f t="shared" si="458"/>
        <v>08230471008</v>
      </c>
      <c r="K4263" t="str">
        <f>""</f>
        <v/>
      </c>
      <c r="M4263" t="s">
        <v>68</v>
      </c>
      <c r="N4263" t="str">
        <f t="shared" si="457"/>
        <v>FOR</v>
      </c>
      <c r="O4263" t="s">
        <v>69</v>
      </c>
      <c r="P4263" s="3" t="s">
        <v>75</v>
      </c>
      <c r="Q4263">
        <v>2015</v>
      </c>
      <c r="R4263" s="2">
        <v>42216</v>
      </c>
      <c r="S4263" s="2">
        <v>42223</v>
      </c>
      <c r="T4263" s="2">
        <v>42221</v>
      </c>
      <c r="U4263" s="2">
        <v>42281</v>
      </c>
      <c r="V4263" t="s">
        <v>71</v>
      </c>
      <c r="W4263" t="str">
        <f>"               54364"</f>
        <v xml:space="preserve">               54364</v>
      </c>
      <c r="X4263">
        <v>305</v>
      </c>
      <c r="Y4263">
        <v>0</v>
      </c>
      <c r="Z4263"/>
      <c r="AB4263"/>
      <c r="AC4263">
        <v>250</v>
      </c>
      <c r="AD4263">
        <v>297</v>
      </c>
      <c r="AE4263" s="1">
        <v>74250</v>
      </c>
      <c r="AF4263">
        <v>0</v>
      </c>
      <c r="AJ4263">
        <v>0</v>
      </c>
      <c r="AK4263">
        <v>0</v>
      </c>
      <c r="AL4263">
        <v>0</v>
      </c>
      <c r="AM4263">
        <v>0</v>
      </c>
      <c r="AN4263">
        <v>0</v>
      </c>
      <c r="AO4263">
        <v>0</v>
      </c>
      <c r="AP4263" s="2">
        <v>42746</v>
      </c>
      <c r="AQ4263" t="s">
        <v>72</v>
      </c>
      <c r="AR4263" t="s">
        <v>72</v>
      </c>
      <c r="AS4263">
        <v>1996</v>
      </c>
      <c r="AT4263" s="4">
        <v>42578</v>
      </c>
      <c r="AU4263" t="s">
        <v>73</v>
      </c>
      <c r="AV4263">
        <v>1996</v>
      </c>
      <c r="AW4263" s="4">
        <v>42578</v>
      </c>
      <c r="BD4263">
        <v>0</v>
      </c>
      <c r="BN4263" t="s">
        <v>74</v>
      </c>
    </row>
    <row r="4264" spans="1:66" hidden="1">
      <c r="A4264">
        <v>101541</v>
      </c>
      <c r="B4264" s="3" t="s">
        <v>467</v>
      </c>
      <c r="C4264" s="1">
        <v>43300101</v>
      </c>
      <c r="D4264" t="s">
        <v>67</v>
      </c>
      <c r="H4264" t="str">
        <f t="shared" si="458"/>
        <v>08230471008</v>
      </c>
      <c r="I4264" t="str">
        <f t="shared" si="458"/>
        <v>08230471008</v>
      </c>
      <c r="K4264" t="str">
        <f>""</f>
        <v/>
      </c>
      <c r="M4264" t="s">
        <v>68</v>
      </c>
      <c r="N4264" t="str">
        <f t="shared" si="457"/>
        <v>FOR</v>
      </c>
      <c r="O4264" t="s">
        <v>69</v>
      </c>
      <c r="P4264" s="3" t="s">
        <v>75</v>
      </c>
      <c r="Q4264">
        <v>2015</v>
      </c>
      <c r="R4264" s="2">
        <v>42216</v>
      </c>
      <c r="S4264" s="2">
        <v>42223</v>
      </c>
      <c r="T4264" s="2">
        <v>42221</v>
      </c>
      <c r="U4264" s="2">
        <v>42281</v>
      </c>
      <c r="V4264" t="s">
        <v>71</v>
      </c>
      <c r="W4264" t="str">
        <f>"               54365"</f>
        <v xml:space="preserve">               54365</v>
      </c>
      <c r="X4264">
        <v>305</v>
      </c>
      <c r="Y4264">
        <v>0</v>
      </c>
      <c r="Z4264"/>
      <c r="AB4264"/>
      <c r="AC4264">
        <v>250</v>
      </c>
      <c r="AD4264">
        <v>297</v>
      </c>
      <c r="AE4264" s="1">
        <v>74250</v>
      </c>
      <c r="AF4264">
        <v>0</v>
      </c>
      <c r="AJ4264">
        <v>0</v>
      </c>
      <c r="AK4264">
        <v>0</v>
      </c>
      <c r="AL4264">
        <v>0</v>
      </c>
      <c r="AM4264">
        <v>0</v>
      </c>
      <c r="AN4264">
        <v>0</v>
      </c>
      <c r="AO4264">
        <v>0</v>
      </c>
      <c r="AP4264" s="2">
        <v>42746</v>
      </c>
      <c r="AQ4264" t="s">
        <v>72</v>
      </c>
      <c r="AR4264" t="s">
        <v>72</v>
      </c>
      <c r="AS4264">
        <v>1996</v>
      </c>
      <c r="AT4264" s="4">
        <v>42578</v>
      </c>
      <c r="AU4264" t="s">
        <v>73</v>
      </c>
      <c r="AV4264">
        <v>1996</v>
      </c>
      <c r="AW4264" s="4">
        <v>42578</v>
      </c>
      <c r="BD4264">
        <v>0</v>
      </c>
      <c r="BN4264" t="s">
        <v>74</v>
      </c>
    </row>
    <row r="4265" spans="1:66" hidden="1">
      <c r="A4265">
        <v>101541</v>
      </c>
      <c r="B4265" s="3" t="s">
        <v>467</v>
      </c>
      <c r="C4265" s="1">
        <v>43300101</v>
      </c>
      <c r="D4265" t="s">
        <v>67</v>
      </c>
      <c r="H4265" t="str">
        <f t="shared" si="458"/>
        <v>08230471008</v>
      </c>
      <c r="I4265" t="str">
        <f t="shared" si="458"/>
        <v>08230471008</v>
      </c>
      <c r="K4265" t="str">
        <f>""</f>
        <v/>
      </c>
      <c r="M4265" t="s">
        <v>68</v>
      </c>
      <c r="N4265" t="str">
        <f t="shared" si="457"/>
        <v>FOR</v>
      </c>
      <c r="O4265" t="s">
        <v>69</v>
      </c>
      <c r="P4265" s="3" t="s">
        <v>75</v>
      </c>
      <c r="Q4265">
        <v>2015</v>
      </c>
      <c r="R4265" s="2">
        <v>42216</v>
      </c>
      <c r="S4265" s="2">
        <v>42223</v>
      </c>
      <c r="T4265" s="2">
        <v>42221</v>
      </c>
      <c r="U4265" s="2">
        <v>42281</v>
      </c>
      <c r="V4265" t="s">
        <v>71</v>
      </c>
      <c r="W4265" t="str">
        <f>"               54366"</f>
        <v xml:space="preserve">               54366</v>
      </c>
      <c r="X4265">
        <v>305</v>
      </c>
      <c r="Y4265">
        <v>0</v>
      </c>
      <c r="Z4265"/>
      <c r="AB4265"/>
      <c r="AC4265">
        <v>250</v>
      </c>
      <c r="AD4265">
        <v>297</v>
      </c>
      <c r="AE4265" s="1">
        <v>74250</v>
      </c>
      <c r="AF4265">
        <v>0</v>
      </c>
      <c r="AJ4265">
        <v>0</v>
      </c>
      <c r="AK4265">
        <v>0</v>
      </c>
      <c r="AL4265">
        <v>0</v>
      </c>
      <c r="AM4265">
        <v>0</v>
      </c>
      <c r="AN4265">
        <v>0</v>
      </c>
      <c r="AO4265">
        <v>0</v>
      </c>
      <c r="AP4265" s="2">
        <v>42746</v>
      </c>
      <c r="AQ4265" t="s">
        <v>72</v>
      </c>
      <c r="AR4265" t="s">
        <v>72</v>
      </c>
      <c r="AS4265">
        <v>1996</v>
      </c>
      <c r="AT4265" s="4">
        <v>42578</v>
      </c>
      <c r="AU4265" t="s">
        <v>73</v>
      </c>
      <c r="AV4265">
        <v>1996</v>
      </c>
      <c r="AW4265" s="4">
        <v>42578</v>
      </c>
      <c r="BD4265">
        <v>0</v>
      </c>
      <c r="BN4265" t="s">
        <v>74</v>
      </c>
    </row>
    <row r="4266" spans="1:66" hidden="1">
      <c r="A4266">
        <v>101541</v>
      </c>
      <c r="B4266" s="3" t="s">
        <v>467</v>
      </c>
      <c r="C4266" s="1">
        <v>43300101</v>
      </c>
      <c r="D4266" t="s">
        <v>67</v>
      </c>
      <c r="H4266" t="str">
        <f t="shared" si="458"/>
        <v>08230471008</v>
      </c>
      <c r="I4266" t="str">
        <f t="shared" si="458"/>
        <v>08230471008</v>
      </c>
      <c r="K4266" t="str">
        <f>""</f>
        <v/>
      </c>
      <c r="M4266" t="s">
        <v>68</v>
      </c>
      <c r="N4266" t="str">
        <f t="shared" si="457"/>
        <v>FOR</v>
      </c>
      <c r="O4266" t="s">
        <v>69</v>
      </c>
      <c r="P4266" s="3" t="s">
        <v>75</v>
      </c>
      <c r="Q4266">
        <v>2015</v>
      </c>
      <c r="R4266" s="2">
        <v>42216</v>
      </c>
      <c r="S4266" s="2">
        <v>42223</v>
      </c>
      <c r="T4266" s="2">
        <v>42221</v>
      </c>
      <c r="U4266" s="2">
        <v>42281</v>
      </c>
      <c r="V4266" t="s">
        <v>71</v>
      </c>
      <c r="W4266" t="str">
        <f>"               54367"</f>
        <v xml:space="preserve">               54367</v>
      </c>
      <c r="X4266">
        <v>305</v>
      </c>
      <c r="Y4266">
        <v>0</v>
      </c>
      <c r="Z4266"/>
      <c r="AB4266"/>
      <c r="AC4266">
        <v>250</v>
      </c>
      <c r="AD4266">
        <v>297</v>
      </c>
      <c r="AE4266" s="1">
        <v>74250</v>
      </c>
      <c r="AF4266">
        <v>0</v>
      </c>
      <c r="AJ4266">
        <v>0</v>
      </c>
      <c r="AK4266">
        <v>0</v>
      </c>
      <c r="AL4266">
        <v>0</v>
      </c>
      <c r="AM4266">
        <v>0</v>
      </c>
      <c r="AN4266">
        <v>0</v>
      </c>
      <c r="AO4266">
        <v>0</v>
      </c>
      <c r="AP4266" s="2">
        <v>42746</v>
      </c>
      <c r="AQ4266" t="s">
        <v>72</v>
      </c>
      <c r="AR4266" t="s">
        <v>72</v>
      </c>
      <c r="AS4266">
        <v>1996</v>
      </c>
      <c r="AT4266" s="4">
        <v>42578</v>
      </c>
      <c r="AU4266" t="s">
        <v>73</v>
      </c>
      <c r="AV4266">
        <v>1996</v>
      </c>
      <c r="AW4266" s="4">
        <v>42578</v>
      </c>
      <c r="BD4266">
        <v>0</v>
      </c>
      <c r="BN4266" t="s">
        <v>74</v>
      </c>
    </row>
    <row r="4267" spans="1:66" hidden="1">
      <c r="A4267">
        <v>101541</v>
      </c>
      <c r="B4267" s="3" t="s">
        <v>467</v>
      </c>
      <c r="C4267" s="1">
        <v>43300101</v>
      </c>
      <c r="D4267" t="s">
        <v>67</v>
      </c>
      <c r="H4267" t="str">
        <f t="shared" si="458"/>
        <v>08230471008</v>
      </c>
      <c r="I4267" t="str">
        <f t="shared" si="458"/>
        <v>08230471008</v>
      </c>
      <c r="K4267" t="str">
        <f>""</f>
        <v/>
      </c>
      <c r="M4267" t="s">
        <v>68</v>
      </c>
      <c r="N4267" t="str">
        <f t="shared" si="457"/>
        <v>FOR</v>
      </c>
      <c r="O4267" t="s">
        <v>69</v>
      </c>
      <c r="P4267" s="3" t="s">
        <v>75</v>
      </c>
      <c r="Q4267">
        <v>2015</v>
      </c>
      <c r="R4267" s="2">
        <v>42216</v>
      </c>
      <c r="S4267" s="2">
        <v>42223</v>
      </c>
      <c r="T4267" s="2">
        <v>42221</v>
      </c>
      <c r="U4267" s="2">
        <v>42281</v>
      </c>
      <c r="V4267" t="s">
        <v>71</v>
      </c>
      <c r="W4267" t="str">
        <f>"               54368"</f>
        <v xml:space="preserve">               54368</v>
      </c>
      <c r="X4267">
        <v>305</v>
      </c>
      <c r="Y4267">
        <v>0</v>
      </c>
      <c r="Z4267"/>
      <c r="AB4267"/>
      <c r="AC4267">
        <v>250</v>
      </c>
      <c r="AD4267">
        <v>297</v>
      </c>
      <c r="AE4267" s="1">
        <v>74250</v>
      </c>
      <c r="AF4267">
        <v>0</v>
      </c>
      <c r="AJ4267">
        <v>0</v>
      </c>
      <c r="AK4267">
        <v>0</v>
      </c>
      <c r="AL4267">
        <v>0</v>
      </c>
      <c r="AM4267">
        <v>0</v>
      </c>
      <c r="AN4267">
        <v>0</v>
      </c>
      <c r="AO4267">
        <v>0</v>
      </c>
      <c r="AP4267" s="2">
        <v>42746</v>
      </c>
      <c r="AQ4267" t="s">
        <v>72</v>
      </c>
      <c r="AR4267" t="s">
        <v>72</v>
      </c>
      <c r="AS4267">
        <v>1996</v>
      </c>
      <c r="AT4267" s="4">
        <v>42578</v>
      </c>
      <c r="AU4267" t="s">
        <v>73</v>
      </c>
      <c r="AV4267">
        <v>1996</v>
      </c>
      <c r="AW4267" s="4">
        <v>42578</v>
      </c>
      <c r="BD4267">
        <v>0</v>
      </c>
      <c r="BN4267" t="s">
        <v>74</v>
      </c>
    </row>
    <row r="4268" spans="1:66" hidden="1">
      <c r="A4268">
        <v>101541</v>
      </c>
      <c r="B4268" s="3" t="s">
        <v>467</v>
      </c>
      <c r="C4268" s="1">
        <v>43300101</v>
      </c>
      <c r="D4268" t="s">
        <v>67</v>
      </c>
      <c r="H4268" t="str">
        <f t="shared" si="458"/>
        <v>08230471008</v>
      </c>
      <c r="I4268" t="str">
        <f t="shared" si="458"/>
        <v>08230471008</v>
      </c>
      <c r="K4268" t="str">
        <f>""</f>
        <v/>
      </c>
      <c r="M4268" t="s">
        <v>68</v>
      </c>
      <c r="N4268" t="str">
        <f t="shared" si="457"/>
        <v>FOR</v>
      </c>
      <c r="O4268" t="s">
        <v>69</v>
      </c>
      <c r="P4268" s="3" t="s">
        <v>75</v>
      </c>
      <c r="Q4268">
        <v>2015</v>
      </c>
      <c r="R4268" s="2">
        <v>42216</v>
      </c>
      <c r="S4268" s="2">
        <v>42223</v>
      </c>
      <c r="T4268" s="2">
        <v>42221</v>
      </c>
      <c r="U4268" s="2">
        <v>42281</v>
      </c>
      <c r="V4268" t="s">
        <v>71</v>
      </c>
      <c r="W4268" t="str">
        <f>"               54369"</f>
        <v xml:space="preserve">               54369</v>
      </c>
      <c r="X4268">
        <v>305</v>
      </c>
      <c r="Y4268">
        <v>0</v>
      </c>
      <c r="Z4268"/>
      <c r="AB4268"/>
      <c r="AC4268">
        <v>250</v>
      </c>
      <c r="AD4268">
        <v>297</v>
      </c>
      <c r="AE4268" s="1">
        <v>74250</v>
      </c>
      <c r="AF4268">
        <v>0</v>
      </c>
      <c r="AJ4268">
        <v>0</v>
      </c>
      <c r="AK4268">
        <v>0</v>
      </c>
      <c r="AL4268">
        <v>0</v>
      </c>
      <c r="AM4268">
        <v>0</v>
      </c>
      <c r="AN4268">
        <v>0</v>
      </c>
      <c r="AO4268">
        <v>0</v>
      </c>
      <c r="AP4268" s="2">
        <v>42746</v>
      </c>
      <c r="AQ4268" t="s">
        <v>72</v>
      </c>
      <c r="AR4268" t="s">
        <v>72</v>
      </c>
      <c r="AS4268">
        <v>1996</v>
      </c>
      <c r="AT4268" s="4">
        <v>42578</v>
      </c>
      <c r="AU4268" t="s">
        <v>73</v>
      </c>
      <c r="AV4268">
        <v>1996</v>
      </c>
      <c r="AW4268" s="4">
        <v>42578</v>
      </c>
      <c r="BD4268">
        <v>0</v>
      </c>
      <c r="BN4268" t="s">
        <v>74</v>
      </c>
    </row>
    <row r="4269" spans="1:66" hidden="1">
      <c r="A4269">
        <v>101541</v>
      </c>
      <c r="B4269" s="3" t="s">
        <v>467</v>
      </c>
      <c r="C4269" s="1">
        <v>43300101</v>
      </c>
      <c r="D4269" t="s">
        <v>67</v>
      </c>
      <c r="H4269" t="str">
        <f t="shared" si="458"/>
        <v>08230471008</v>
      </c>
      <c r="I4269" t="str">
        <f t="shared" si="458"/>
        <v>08230471008</v>
      </c>
      <c r="K4269" t="str">
        <f>""</f>
        <v/>
      </c>
      <c r="M4269" t="s">
        <v>68</v>
      </c>
      <c r="N4269" t="str">
        <f t="shared" si="457"/>
        <v>FOR</v>
      </c>
      <c r="O4269" t="s">
        <v>69</v>
      </c>
      <c r="P4269" s="3" t="s">
        <v>75</v>
      </c>
      <c r="Q4269">
        <v>2015</v>
      </c>
      <c r="R4269" s="2">
        <v>42216</v>
      </c>
      <c r="S4269" s="2">
        <v>42223</v>
      </c>
      <c r="T4269" s="2">
        <v>42221</v>
      </c>
      <c r="U4269" s="2">
        <v>42281</v>
      </c>
      <c r="V4269" t="s">
        <v>71</v>
      </c>
      <c r="W4269" t="str">
        <f>"               54370"</f>
        <v xml:space="preserve">               54370</v>
      </c>
      <c r="X4269">
        <v>728</v>
      </c>
      <c r="Y4269">
        <v>0</v>
      </c>
      <c r="Z4269"/>
      <c r="AB4269"/>
      <c r="AC4269">
        <v>700</v>
      </c>
      <c r="AD4269">
        <v>297</v>
      </c>
      <c r="AE4269" s="1">
        <v>207900</v>
      </c>
      <c r="AF4269">
        <v>0</v>
      </c>
      <c r="AJ4269">
        <v>0</v>
      </c>
      <c r="AK4269">
        <v>0</v>
      </c>
      <c r="AL4269">
        <v>0</v>
      </c>
      <c r="AM4269">
        <v>0</v>
      </c>
      <c r="AN4269">
        <v>0</v>
      </c>
      <c r="AO4269">
        <v>0</v>
      </c>
      <c r="AP4269" s="2">
        <v>42746</v>
      </c>
      <c r="AQ4269" t="s">
        <v>72</v>
      </c>
      <c r="AR4269" t="s">
        <v>72</v>
      </c>
      <c r="AS4269">
        <v>1996</v>
      </c>
      <c r="AT4269" s="4">
        <v>42578</v>
      </c>
      <c r="AU4269" t="s">
        <v>73</v>
      </c>
      <c r="AV4269">
        <v>1996</v>
      </c>
      <c r="AW4269" s="4">
        <v>42578</v>
      </c>
      <c r="BD4269">
        <v>0</v>
      </c>
      <c r="BN4269" t="s">
        <v>74</v>
      </c>
    </row>
    <row r="4270" spans="1:66" hidden="1">
      <c r="A4270">
        <v>101541</v>
      </c>
      <c r="B4270" s="3" t="s">
        <v>467</v>
      </c>
      <c r="C4270" s="1">
        <v>43300101</v>
      </c>
      <c r="D4270" t="s">
        <v>67</v>
      </c>
      <c r="H4270" t="str">
        <f t="shared" si="458"/>
        <v>08230471008</v>
      </c>
      <c r="I4270" t="str">
        <f t="shared" si="458"/>
        <v>08230471008</v>
      </c>
      <c r="K4270" t="str">
        <f>""</f>
        <v/>
      </c>
      <c r="M4270" t="s">
        <v>68</v>
      </c>
      <c r="N4270" t="str">
        <f t="shared" si="457"/>
        <v>FOR</v>
      </c>
      <c r="O4270" t="s">
        <v>69</v>
      </c>
      <c r="P4270" s="3" t="s">
        <v>75</v>
      </c>
      <c r="Q4270">
        <v>2015</v>
      </c>
      <c r="R4270" s="2">
        <v>42216</v>
      </c>
      <c r="S4270" s="2">
        <v>42223</v>
      </c>
      <c r="T4270" s="2">
        <v>42221</v>
      </c>
      <c r="U4270" s="2">
        <v>42281</v>
      </c>
      <c r="V4270" t="s">
        <v>71</v>
      </c>
      <c r="W4270" t="str">
        <f>"               54662"</f>
        <v xml:space="preserve">               54662</v>
      </c>
      <c r="X4270">
        <v>305</v>
      </c>
      <c r="Y4270">
        <v>0</v>
      </c>
      <c r="Z4270"/>
      <c r="AB4270"/>
      <c r="AC4270">
        <v>250</v>
      </c>
      <c r="AD4270">
        <v>297</v>
      </c>
      <c r="AE4270" s="1">
        <v>74250</v>
      </c>
      <c r="AF4270">
        <v>0</v>
      </c>
      <c r="AJ4270">
        <v>0</v>
      </c>
      <c r="AK4270">
        <v>0</v>
      </c>
      <c r="AL4270">
        <v>0</v>
      </c>
      <c r="AM4270">
        <v>0</v>
      </c>
      <c r="AN4270">
        <v>0</v>
      </c>
      <c r="AO4270">
        <v>0</v>
      </c>
      <c r="AP4270" s="2">
        <v>42746</v>
      </c>
      <c r="AQ4270" t="s">
        <v>72</v>
      </c>
      <c r="AR4270" t="s">
        <v>72</v>
      </c>
      <c r="AS4270">
        <v>1996</v>
      </c>
      <c r="AT4270" s="4">
        <v>42578</v>
      </c>
      <c r="AU4270" t="s">
        <v>73</v>
      </c>
      <c r="AV4270">
        <v>1996</v>
      </c>
      <c r="AW4270" s="4">
        <v>42578</v>
      </c>
      <c r="BD4270">
        <v>0</v>
      </c>
      <c r="BN4270" t="s">
        <v>74</v>
      </c>
    </row>
    <row r="4271" spans="1:66" hidden="1">
      <c r="A4271">
        <v>101541</v>
      </c>
      <c r="B4271" s="3" t="s">
        <v>467</v>
      </c>
      <c r="C4271" s="1">
        <v>43300101</v>
      </c>
      <c r="D4271" t="s">
        <v>67</v>
      </c>
      <c r="H4271" t="str">
        <f t="shared" si="458"/>
        <v>08230471008</v>
      </c>
      <c r="I4271" t="str">
        <f t="shared" si="458"/>
        <v>08230471008</v>
      </c>
      <c r="K4271" t="str">
        <f>""</f>
        <v/>
      </c>
      <c r="M4271" t="s">
        <v>68</v>
      </c>
      <c r="N4271" t="str">
        <f t="shared" si="457"/>
        <v>FOR</v>
      </c>
      <c r="O4271" t="s">
        <v>69</v>
      </c>
      <c r="P4271" s="3" t="s">
        <v>75</v>
      </c>
      <c r="Q4271">
        <v>2015</v>
      </c>
      <c r="R4271" s="2">
        <v>42216</v>
      </c>
      <c r="S4271" s="2">
        <v>42223</v>
      </c>
      <c r="T4271" s="2">
        <v>42221</v>
      </c>
      <c r="U4271" s="2">
        <v>42281</v>
      </c>
      <c r="V4271" t="s">
        <v>71</v>
      </c>
      <c r="W4271" t="str">
        <f>"               54663"</f>
        <v xml:space="preserve">               54663</v>
      </c>
      <c r="X4271" s="1">
        <v>1497.6</v>
      </c>
      <c r="Y4271">
        <v>0</v>
      </c>
      <c r="Z4271"/>
      <c r="AB4271"/>
      <c r="AC4271" s="1">
        <v>1440</v>
      </c>
      <c r="AD4271">
        <v>297</v>
      </c>
      <c r="AE4271" s="1">
        <v>427680</v>
      </c>
      <c r="AF4271">
        <v>0</v>
      </c>
      <c r="AJ4271">
        <v>0</v>
      </c>
      <c r="AK4271">
        <v>0</v>
      </c>
      <c r="AL4271">
        <v>0</v>
      </c>
      <c r="AM4271">
        <v>0</v>
      </c>
      <c r="AN4271">
        <v>0</v>
      </c>
      <c r="AO4271">
        <v>0</v>
      </c>
      <c r="AP4271" s="2">
        <v>42746</v>
      </c>
      <c r="AQ4271" t="s">
        <v>72</v>
      </c>
      <c r="AR4271" t="s">
        <v>72</v>
      </c>
      <c r="AS4271">
        <v>1996</v>
      </c>
      <c r="AT4271" s="4">
        <v>42578</v>
      </c>
      <c r="AU4271" t="s">
        <v>73</v>
      </c>
      <c r="AV4271">
        <v>1996</v>
      </c>
      <c r="AW4271" s="4">
        <v>42578</v>
      </c>
      <c r="BD4271">
        <v>0</v>
      </c>
      <c r="BN4271" t="s">
        <v>74</v>
      </c>
    </row>
    <row r="4272" spans="1:66" hidden="1">
      <c r="A4272">
        <v>101541</v>
      </c>
      <c r="B4272" s="3" t="s">
        <v>467</v>
      </c>
      <c r="C4272" s="1">
        <v>43300101</v>
      </c>
      <c r="D4272" t="s">
        <v>67</v>
      </c>
      <c r="H4272" t="str">
        <f t="shared" si="458"/>
        <v>08230471008</v>
      </c>
      <c r="I4272" t="str">
        <f t="shared" si="458"/>
        <v>08230471008</v>
      </c>
      <c r="K4272" t="str">
        <f>""</f>
        <v/>
      </c>
      <c r="M4272" t="s">
        <v>68</v>
      </c>
      <c r="N4272" t="str">
        <f t="shared" si="457"/>
        <v>FOR</v>
      </c>
      <c r="O4272" t="s">
        <v>69</v>
      </c>
      <c r="P4272" s="3" t="s">
        <v>75</v>
      </c>
      <c r="Q4272">
        <v>2015</v>
      </c>
      <c r="R4272" s="2">
        <v>42223</v>
      </c>
      <c r="S4272" s="2">
        <v>42230</v>
      </c>
      <c r="T4272" s="2">
        <v>42230</v>
      </c>
      <c r="U4272" s="2">
        <v>42290</v>
      </c>
      <c r="V4272" t="s">
        <v>71</v>
      </c>
      <c r="W4272" t="str">
        <f>"               54839"</f>
        <v xml:space="preserve">               54839</v>
      </c>
      <c r="X4272">
        <v>305</v>
      </c>
      <c r="Y4272">
        <v>0</v>
      </c>
      <c r="Z4272"/>
      <c r="AB4272"/>
      <c r="AC4272">
        <v>250</v>
      </c>
      <c r="AD4272">
        <v>288</v>
      </c>
      <c r="AE4272" s="1">
        <v>72000</v>
      </c>
      <c r="AF4272">
        <v>0</v>
      </c>
      <c r="AJ4272">
        <v>0</v>
      </c>
      <c r="AK4272">
        <v>0</v>
      </c>
      <c r="AL4272">
        <v>0</v>
      </c>
      <c r="AM4272">
        <v>0</v>
      </c>
      <c r="AN4272">
        <v>0</v>
      </c>
      <c r="AO4272">
        <v>0</v>
      </c>
      <c r="AP4272" s="2">
        <v>42746</v>
      </c>
      <c r="AQ4272" t="s">
        <v>72</v>
      </c>
      <c r="AR4272" t="s">
        <v>72</v>
      </c>
      <c r="AS4272">
        <v>1996</v>
      </c>
      <c r="AT4272" s="4">
        <v>42578</v>
      </c>
      <c r="AU4272" t="s">
        <v>73</v>
      </c>
      <c r="AV4272">
        <v>1996</v>
      </c>
      <c r="AW4272" s="4">
        <v>42578</v>
      </c>
      <c r="BD4272">
        <v>0</v>
      </c>
      <c r="BN4272" t="s">
        <v>74</v>
      </c>
    </row>
    <row r="4273" spans="1:66" hidden="1">
      <c r="A4273">
        <v>101541</v>
      </c>
      <c r="B4273" s="3" t="s">
        <v>467</v>
      </c>
      <c r="C4273" s="1">
        <v>43300101</v>
      </c>
      <c r="D4273" t="s">
        <v>67</v>
      </c>
      <c r="H4273" t="str">
        <f t="shared" si="458"/>
        <v>08230471008</v>
      </c>
      <c r="I4273" t="str">
        <f t="shared" si="458"/>
        <v>08230471008</v>
      </c>
      <c r="K4273" t="str">
        <f>""</f>
        <v/>
      </c>
      <c r="M4273" t="s">
        <v>68</v>
      </c>
      <c r="N4273" t="str">
        <f t="shared" si="457"/>
        <v>FOR</v>
      </c>
      <c r="O4273" t="s">
        <v>69</v>
      </c>
      <c r="P4273" s="3" t="s">
        <v>75</v>
      </c>
      <c r="Q4273">
        <v>2015</v>
      </c>
      <c r="R4273" s="2">
        <v>42237</v>
      </c>
      <c r="S4273" s="2">
        <v>42245</v>
      </c>
      <c r="T4273" s="2">
        <v>42244</v>
      </c>
      <c r="U4273" s="2">
        <v>42304</v>
      </c>
      <c r="V4273" t="s">
        <v>71</v>
      </c>
      <c r="W4273" t="str">
        <f>"               54913"</f>
        <v xml:space="preserve">               54913</v>
      </c>
      <c r="X4273">
        <v>305</v>
      </c>
      <c r="Y4273">
        <v>0</v>
      </c>
      <c r="Z4273"/>
      <c r="AB4273"/>
      <c r="AC4273">
        <v>250</v>
      </c>
      <c r="AD4273">
        <v>274</v>
      </c>
      <c r="AE4273" s="1">
        <v>68500</v>
      </c>
      <c r="AF4273">
        <v>0</v>
      </c>
      <c r="AJ4273">
        <v>0</v>
      </c>
      <c r="AK4273">
        <v>0</v>
      </c>
      <c r="AL4273">
        <v>0</v>
      </c>
      <c r="AM4273">
        <v>0</v>
      </c>
      <c r="AN4273">
        <v>0</v>
      </c>
      <c r="AO4273">
        <v>0</v>
      </c>
      <c r="AP4273" s="2">
        <v>42746</v>
      </c>
      <c r="AQ4273" t="s">
        <v>72</v>
      </c>
      <c r="AR4273" t="s">
        <v>72</v>
      </c>
      <c r="AS4273">
        <v>1996</v>
      </c>
      <c r="AT4273" s="4">
        <v>42578</v>
      </c>
      <c r="AU4273" t="s">
        <v>73</v>
      </c>
      <c r="AV4273">
        <v>1996</v>
      </c>
      <c r="AW4273" s="4">
        <v>42578</v>
      </c>
      <c r="BD4273">
        <v>0</v>
      </c>
      <c r="BN4273" t="s">
        <v>74</v>
      </c>
    </row>
    <row r="4274" spans="1:66" hidden="1">
      <c r="A4274">
        <v>101541</v>
      </c>
      <c r="B4274" s="3" t="s">
        <v>467</v>
      </c>
      <c r="C4274" s="1">
        <v>43300101</v>
      </c>
      <c r="D4274" t="s">
        <v>67</v>
      </c>
      <c r="H4274" t="str">
        <f t="shared" si="458"/>
        <v>08230471008</v>
      </c>
      <c r="I4274" t="str">
        <f t="shared" si="458"/>
        <v>08230471008</v>
      </c>
      <c r="K4274" t="str">
        <f>""</f>
        <v/>
      </c>
      <c r="M4274" t="s">
        <v>68</v>
      </c>
      <c r="N4274" t="str">
        <f t="shared" si="457"/>
        <v>FOR</v>
      </c>
      <c r="O4274" t="s">
        <v>69</v>
      </c>
      <c r="P4274" s="3" t="s">
        <v>75</v>
      </c>
      <c r="Q4274">
        <v>2015</v>
      </c>
      <c r="R4274" s="2">
        <v>42244</v>
      </c>
      <c r="S4274" s="2">
        <v>42254</v>
      </c>
      <c r="T4274" s="2">
        <v>42251</v>
      </c>
      <c r="U4274" s="2">
        <v>42311</v>
      </c>
      <c r="V4274" t="s">
        <v>71</v>
      </c>
      <c r="W4274" t="str">
        <f>"               55037"</f>
        <v xml:space="preserve">               55037</v>
      </c>
      <c r="X4274">
        <v>305</v>
      </c>
      <c r="Y4274">
        <v>0</v>
      </c>
      <c r="Z4274"/>
      <c r="AB4274"/>
      <c r="AC4274">
        <v>250</v>
      </c>
      <c r="AD4274">
        <v>267</v>
      </c>
      <c r="AE4274" s="1">
        <v>66750</v>
      </c>
      <c r="AF4274">
        <v>0</v>
      </c>
      <c r="AJ4274">
        <v>0</v>
      </c>
      <c r="AK4274">
        <v>0</v>
      </c>
      <c r="AL4274">
        <v>0</v>
      </c>
      <c r="AM4274">
        <v>0</v>
      </c>
      <c r="AN4274">
        <v>0</v>
      </c>
      <c r="AO4274">
        <v>0</v>
      </c>
      <c r="AP4274" s="2">
        <v>42746</v>
      </c>
      <c r="AQ4274" t="s">
        <v>72</v>
      </c>
      <c r="AR4274" t="s">
        <v>72</v>
      </c>
      <c r="AS4274">
        <v>1996</v>
      </c>
      <c r="AT4274" s="4">
        <v>42578</v>
      </c>
      <c r="AU4274" t="s">
        <v>73</v>
      </c>
      <c r="AV4274">
        <v>1996</v>
      </c>
      <c r="AW4274" s="4">
        <v>42578</v>
      </c>
      <c r="BD4274">
        <v>0</v>
      </c>
      <c r="BN4274" t="s">
        <v>74</v>
      </c>
    </row>
    <row r="4275" spans="1:66" hidden="1">
      <c r="A4275">
        <v>101541</v>
      </c>
      <c r="B4275" s="3" t="s">
        <v>467</v>
      </c>
      <c r="C4275" s="1">
        <v>43300101</v>
      </c>
      <c r="D4275" t="s">
        <v>67</v>
      </c>
      <c r="H4275" t="str">
        <f t="shared" si="458"/>
        <v>08230471008</v>
      </c>
      <c r="I4275" t="str">
        <f t="shared" si="458"/>
        <v>08230471008</v>
      </c>
      <c r="K4275" t="str">
        <f>""</f>
        <v/>
      </c>
      <c r="M4275" t="s">
        <v>68</v>
      </c>
      <c r="N4275" t="str">
        <f t="shared" si="457"/>
        <v>FOR</v>
      </c>
      <c r="O4275" t="s">
        <v>69</v>
      </c>
      <c r="P4275" s="3" t="s">
        <v>75</v>
      </c>
      <c r="Q4275">
        <v>2015</v>
      </c>
      <c r="R4275" s="2">
        <v>42244</v>
      </c>
      <c r="S4275" s="2">
        <v>42254</v>
      </c>
      <c r="T4275" s="2">
        <v>42251</v>
      </c>
      <c r="U4275" s="2">
        <v>42311</v>
      </c>
      <c r="V4275" t="s">
        <v>71</v>
      </c>
      <c r="W4275" t="str">
        <f>"               55038"</f>
        <v xml:space="preserve">               55038</v>
      </c>
      <c r="X4275">
        <v>305</v>
      </c>
      <c r="Y4275">
        <v>0</v>
      </c>
      <c r="Z4275"/>
      <c r="AB4275"/>
      <c r="AC4275">
        <v>250</v>
      </c>
      <c r="AD4275">
        <v>267</v>
      </c>
      <c r="AE4275" s="1">
        <v>66750</v>
      </c>
      <c r="AF4275">
        <v>0</v>
      </c>
      <c r="AJ4275">
        <v>0</v>
      </c>
      <c r="AK4275">
        <v>0</v>
      </c>
      <c r="AL4275">
        <v>0</v>
      </c>
      <c r="AM4275">
        <v>0</v>
      </c>
      <c r="AN4275">
        <v>0</v>
      </c>
      <c r="AO4275">
        <v>0</v>
      </c>
      <c r="AP4275" s="2">
        <v>42746</v>
      </c>
      <c r="AQ4275" t="s">
        <v>72</v>
      </c>
      <c r="AR4275" t="s">
        <v>72</v>
      </c>
      <c r="AS4275">
        <v>1996</v>
      </c>
      <c r="AT4275" s="4">
        <v>42578</v>
      </c>
      <c r="AU4275" t="s">
        <v>73</v>
      </c>
      <c r="AV4275">
        <v>1996</v>
      </c>
      <c r="AW4275" s="4">
        <v>42578</v>
      </c>
      <c r="BD4275">
        <v>0</v>
      </c>
      <c r="BN4275" t="s">
        <v>74</v>
      </c>
    </row>
    <row r="4276" spans="1:66" hidden="1">
      <c r="A4276">
        <v>101541</v>
      </c>
      <c r="B4276" s="3" t="s">
        <v>467</v>
      </c>
      <c r="C4276" s="1">
        <v>43300101</v>
      </c>
      <c r="D4276" t="s">
        <v>67</v>
      </c>
      <c r="H4276" t="str">
        <f t="shared" si="458"/>
        <v>08230471008</v>
      </c>
      <c r="I4276" t="str">
        <f t="shared" si="458"/>
        <v>08230471008</v>
      </c>
      <c r="K4276" t="str">
        <f>""</f>
        <v/>
      </c>
      <c r="M4276" t="s">
        <v>68</v>
      </c>
      <c r="N4276" t="str">
        <f t="shared" si="457"/>
        <v>FOR</v>
      </c>
      <c r="O4276" t="s">
        <v>69</v>
      </c>
      <c r="P4276" s="3" t="s">
        <v>75</v>
      </c>
      <c r="Q4276">
        <v>2015</v>
      </c>
      <c r="R4276" s="2">
        <v>42244</v>
      </c>
      <c r="S4276" s="2">
        <v>42251</v>
      </c>
      <c r="T4276" s="2">
        <v>42251</v>
      </c>
      <c r="U4276" s="2">
        <v>42311</v>
      </c>
      <c r="V4276" t="s">
        <v>71</v>
      </c>
      <c r="W4276" t="str">
        <f>"               55039"</f>
        <v xml:space="preserve">               55039</v>
      </c>
      <c r="X4276">
        <v>305</v>
      </c>
      <c r="Y4276">
        <v>0</v>
      </c>
      <c r="Z4276"/>
      <c r="AB4276"/>
      <c r="AC4276">
        <v>250</v>
      </c>
      <c r="AD4276">
        <v>267</v>
      </c>
      <c r="AE4276" s="1">
        <v>66750</v>
      </c>
      <c r="AF4276">
        <v>0</v>
      </c>
      <c r="AJ4276">
        <v>0</v>
      </c>
      <c r="AK4276">
        <v>0</v>
      </c>
      <c r="AL4276">
        <v>0</v>
      </c>
      <c r="AM4276">
        <v>0</v>
      </c>
      <c r="AN4276">
        <v>0</v>
      </c>
      <c r="AO4276">
        <v>0</v>
      </c>
      <c r="AP4276" s="2">
        <v>42746</v>
      </c>
      <c r="AQ4276" t="s">
        <v>72</v>
      </c>
      <c r="AR4276" t="s">
        <v>72</v>
      </c>
      <c r="AS4276">
        <v>1996</v>
      </c>
      <c r="AT4276" s="4">
        <v>42578</v>
      </c>
      <c r="AU4276" t="s">
        <v>73</v>
      </c>
      <c r="AV4276">
        <v>1996</v>
      </c>
      <c r="AW4276" s="4">
        <v>42578</v>
      </c>
      <c r="BD4276">
        <v>0</v>
      </c>
      <c r="BN4276" t="s">
        <v>74</v>
      </c>
    </row>
    <row r="4277" spans="1:66" hidden="1">
      <c r="A4277">
        <v>101541</v>
      </c>
      <c r="B4277" s="3" t="s">
        <v>467</v>
      </c>
      <c r="C4277" s="1">
        <v>43300101</v>
      </c>
      <c r="D4277" t="s">
        <v>67</v>
      </c>
      <c r="H4277" t="str">
        <f t="shared" si="458"/>
        <v>08230471008</v>
      </c>
      <c r="I4277" t="str">
        <f t="shared" si="458"/>
        <v>08230471008</v>
      </c>
      <c r="K4277" t="str">
        <f>""</f>
        <v/>
      </c>
      <c r="M4277" t="s">
        <v>68</v>
      </c>
      <c r="N4277" t="str">
        <f t="shared" si="457"/>
        <v>FOR</v>
      </c>
      <c r="O4277" t="s">
        <v>69</v>
      </c>
      <c r="P4277" s="3" t="s">
        <v>75</v>
      </c>
      <c r="Q4277">
        <v>2015</v>
      </c>
      <c r="R4277" s="2">
        <v>42244</v>
      </c>
      <c r="S4277" s="2">
        <v>42251</v>
      </c>
      <c r="T4277" s="2">
        <v>42251</v>
      </c>
      <c r="U4277" s="2">
        <v>42311</v>
      </c>
      <c r="V4277" t="s">
        <v>71</v>
      </c>
      <c r="W4277" t="str">
        <f>"               55040"</f>
        <v xml:space="preserve">               55040</v>
      </c>
      <c r="X4277">
        <v>305</v>
      </c>
      <c r="Y4277">
        <v>0</v>
      </c>
      <c r="Z4277"/>
      <c r="AB4277"/>
      <c r="AC4277">
        <v>250</v>
      </c>
      <c r="AD4277">
        <v>267</v>
      </c>
      <c r="AE4277" s="1">
        <v>66750</v>
      </c>
      <c r="AF4277">
        <v>0</v>
      </c>
      <c r="AJ4277">
        <v>0</v>
      </c>
      <c r="AK4277">
        <v>0</v>
      </c>
      <c r="AL4277">
        <v>0</v>
      </c>
      <c r="AM4277">
        <v>0</v>
      </c>
      <c r="AN4277">
        <v>0</v>
      </c>
      <c r="AO4277">
        <v>0</v>
      </c>
      <c r="AP4277" s="2">
        <v>42746</v>
      </c>
      <c r="AQ4277" t="s">
        <v>72</v>
      </c>
      <c r="AR4277" t="s">
        <v>72</v>
      </c>
      <c r="AS4277">
        <v>1996</v>
      </c>
      <c r="AT4277" s="4">
        <v>42578</v>
      </c>
      <c r="AU4277" t="s">
        <v>73</v>
      </c>
      <c r="AV4277">
        <v>1996</v>
      </c>
      <c r="AW4277" s="4">
        <v>42578</v>
      </c>
      <c r="BD4277">
        <v>0</v>
      </c>
      <c r="BN4277" t="s">
        <v>74</v>
      </c>
    </row>
    <row r="4278" spans="1:66" hidden="1">
      <c r="A4278">
        <v>101541</v>
      </c>
      <c r="B4278" s="3" t="s">
        <v>467</v>
      </c>
      <c r="C4278" s="1">
        <v>43300101</v>
      </c>
      <c r="D4278" t="s">
        <v>67</v>
      </c>
      <c r="H4278" t="str">
        <f t="shared" ref="H4278:I4297" si="459">"08230471008"</f>
        <v>08230471008</v>
      </c>
      <c r="I4278" t="str">
        <f t="shared" si="459"/>
        <v>08230471008</v>
      </c>
      <c r="K4278" t="str">
        <f>""</f>
        <v/>
      </c>
      <c r="M4278" t="s">
        <v>68</v>
      </c>
      <c r="N4278" t="str">
        <f t="shared" si="457"/>
        <v>FOR</v>
      </c>
      <c r="O4278" t="s">
        <v>69</v>
      </c>
      <c r="P4278" s="3" t="s">
        <v>75</v>
      </c>
      <c r="Q4278">
        <v>2015</v>
      </c>
      <c r="R4278" s="2">
        <v>42244</v>
      </c>
      <c r="S4278" s="2">
        <v>42254</v>
      </c>
      <c r="T4278" s="2">
        <v>42251</v>
      </c>
      <c r="U4278" s="2">
        <v>42311</v>
      </c>
      <c r="V4278" t="s">
        <v>71</v>
      </c>
      <c r="W4278" t="str">
        <f>"               55041"</f>
        <v xml:space="preserve">               55041</v>
      </c>
      <c r="X4278">
        <v>305</v>
      </c>
      <c r="Y4278">
        <v>0</v>
      </c>
      <c r="Z4278"/>
      <c r="AB4278"/>
      <c r="AC4278">
        <v>250</v>
      </c>
      <c r="AD4278">
        <v>267</v>
      </c>
      <c r="AE4278" s="1">
        <v>66750</v>
      </c>
      <c r="AF4278">
        <v>0</v>
      </c>
      <c r="AJ4278">
        <v>0</v>
      </c>
      <c r="AK4278">
        <v>0</v>
      </c>
      <c r="AL4278">
        <v>0</v>
      </c>
      <c r="AM4278">
        <v>0</v>
      </c>
      <c r="AN4278">
        <v>0</v>
      </c>
      <c r="AO4278">
        <v>0</v>
      </c>
      <c r="AP4278" s="2">
        <v>42746</v>
      </c>
      <c r="AQ4278" t="s">
        <v>72</v>
      </c>
      <c r="AR4278" t="s">
        <v>72</v>
      </c>
      <c r="AS4278">
        <v>1996</v>
      </c>
      <c r="AT4278" s="4">
        <v>42578</v>
      </c>
      <c r="AU4278" t="s">
        <v>73</v>
      </c>
      <c r="AV4278">
        <v>1996</v>
      </c>
      <c r="AW4278" s="4">
        <v>42578</v>
      </c>
      <c r="BD4278">
        <v>0</v>
      </c>
      <c r="BN4278" t="s">
        <v>74</v>
      </c>
    </row>
    <row r="4279" spans="1:66" hidden="1">
      <c r="A4279">
        <v>101541</v>
      </c>
      <c r="B4279" s="3" t="s">
        <v>467</v>
      </c>
      <c r="C4279" s="1">
        <v>43300101</v>
      </c>
      <c r="D4279" t="s">
        <v>67</v>
      </c>
      <c r="H4279" t="str">
        <f t="shared" si="459"/>
        <v>08230471008</v>
      </c>
      <c r="I4279" t="str">
        <f t="shared" si="459"/>
        <v>08230471008</v>
      </c>
      <c r="K4279" t="str">
        <f>""</f>
        <v/>
      </c>
      <c r="M4279" t="s">
        <v>68</v>
      </c>
      <c r="N4279" t="str">
        <f t="shared" si="457"/>
        <v>FOR</v>
      </c>
      <c r="O4279" t="s">
        <v>69</v>
      </c>
      <c r="P4279" s="3" t="s">
        <v>75</v>
      </c>
      <c r="Q4279">
        <v>2015</v>
      </c>
      <c r="R4279" s="2">
        <v>42244</v>
      </c>
      <c r="S4279" s="2">
        <v>42254</v>
      </c>
      <c r="T4279" s="2">
        <v>42251</v>
      </c>
      <c r="U4279" s="2">
        <v>42311</v>
      </c>
      <c r="V4279" t="s">
        <v>71</v>
      </c>
      <c r="W4279" t="str">
        <f>"               55042"</f>
        <v xml:space="preserve">               55042</v>
      </c>
      <c r="X4279">
        <v>305</v>
      </c>
      <c r="Y4279">
        <v>0</v>
      </c>
      <c r="Z4279"/>
      <c r="AB4279"/>
      <c r="AC4279">
        <v>250</v>
      </c>
      <c r="AD4279">
        <v>267</v>
      </c>
      <c r="AE4279" s="1">
        <v>66750</v>
      </c>
      <c r="AF4279">
        <v>0</v>
      </c>
      <c r="AJ4279">
        <v>0</v>
      </c>
      <c r="AK4279">
        <v>0</v>
      </c>
      <c r="AL4279">
        <v>0</v>
      </c>
      <c r="AM4279">
        <v>0</v>
      </c>
      <c r="AN4279">
        <v>0</v>
      </c>
      <c r="AO4279">
        <v>0</v>
      </c>
      <c r="AP4279" s="2">
        <v>42746</v>
      </c>
      <c r="AQ4279" t="s">
        <v>72</v>
      </c>
      <c r="AR4279" t="s">
        <v>72</v>
      </c>
      <c r="AS4279">
        <v>1996</v>
      </c>
      <c r="AT4279" s="4">
        <v>42578</v>
      </c>
      <c r="AU4279" t="s">
        <v>73</v>
      </c>
      <c r="AV4279">
        <v>1996</v>
      </c>
      <c r="AW4279" s="4">
        <v>42578</v>
      </c>
      <c r="BD4279">
        <v>0</v>
      </c>
      <c r="BN4279" t="s">
        <v>74</v>
      </c>
    </row>
    <row r="4280" spans="1:66" hidden="1">
      <c r="A4280">
        <v>101541</v>
      </c>
      <c r="B4280" s="3" t="s">
        <v>467</v>
      </c>
      <c r="C4280" s="1">
        <v>43300101</v>
      </c>
      <c r="D4280" t="s">
        <v>67</v>
      </c>
      <c r="H4280" t="str">
        <f t="shared" si="459"/>
        <v>08230471008</v>
      </c>
      <c r="I4280" t="str">
        <f t="shared" si="459"/>
        <v>08230471008</v>
      </c>
      <c r="K4280" t="str">
        <f>""</f>
        <v/>
      </c>
      <c r="M4280" t="s">
        <v>68</v>
      </c>
      <c r="N4280" t="str">
        <f t="shared" si="457"/>
        <v>FOR</v>
      </c>
      <c r="O4280" t="s">
        <v>69</v>
      </c>
      <c r="P4280" s="3" t="s">
        <v>75</v>
      </c>
      <c r="Q4280">
        <v>2015</v>
      </c>
      <c r="R4280" s="2">
        <v>42244</v>
      </c>
      <c r="S4280" s="2">
        <v>42254</v>
      </c>
      <c r="T4280" s="2">
        <v>42251</v>
      </c>
      <c r="U4280" s="2">
        <v>42311</v>
      </c>
      <c r="V4280" t="s">
        <v>71</v>
      </c>
      <c r="W4280" t="str">
        <f>"               55043"</f>
        <v xml:space="preserve">               55043</v>
      </c>
      <c r="X4280">
        <v>305</v>
      </c>
      <c r="Y4280">
        <v>0</v>
      </c>
      <c r="Z4280"/>
      <c r="AB4280"/>
      <c r="AC4280">
        <v>250</v>
      </c>
      <c r="AD4280">
        <v>267</v>
      </c>
      <c r="AE4280" s="1">
        <v>66750</v>
      </c>
      <c r="AF4280">
        <v>0</v>
      </c>
      <c r="AJ4280">
        <v>0</v>
      </c>
      <c r="AK4280">
        <v>0</v>
      </c>
      <c r="AL4280">
        <v>0</v>
      </c>
      <c r="AM4280">
        <v>0</v>
      </c>
      <c r="AN4280">
        <v>0</v>
      </c>
      <c r="AO4280">
        <v>0</v>
      </c>
      <c r="AP4280" s="2">
        <v>42746</v>
      </c>
      <c r="AQ4280" t="s">
        <v>72</v>
      </c>
      <c r="AR4280" t="s">
        <v>72</v>
      </c>
      <c r="AS4280">
        <v>1996</v>
      </c>
      <c r="AT4280" s="4">
        <v>42578</v>
      </c>
      <c r="AU4280" t="s">
        <v>73</v>
      </c>
      <c r="AV4280">
        <v>1996</v>
      </c>
      <c r="AW4280" s="4">
        <v>42578</v>
      </c>
      <c r="BD4280">
        <v>0</v>
      </c>
      <c r="BN4280" t="s">
        <v>74</v>
      </c>
    </row>
    <row r="4281" spans="1:66" hidden="1">
      <c r="A4281">
        <v>101541</v>
      </c>
      <c r="B4281" s="3" t="s">
        <v>467</v>
      </c>
      <c r="C4281" s="1">
        <v>43300101</v>
      </c>
      <c r="D4281" t="s">
        <v>67</v>
      </c>
      <c r="H4281" t="str">
        <f t="shared" si="459"/>
        <v>08230471008</v>
      </c>
      <c r="I4281" t="str">
        <f t="shared" si="459"/>
        <v>08230471008</v>
      </c>
      <c r="K4281" t="str">
        <f>""</f>
        <v/>
      </c>
      <c r="M4281" t="s">
        <v>68</v>
      </c>
      <c r="N4281" t="str">
        <f t="shared" si="457"/>
        <v>FOR</v>
      </c>
      <c r="O4281" t="s">
        <v>69</v>
      </c>
      <c r="P4281" s="3" t="s">
        <v>75</v>
      </c>
      <c r="Q4281">
        <v>2015</v>
      </c>
      <c r="R4281" s="2">
        <v>42244</v>
      </c>
      <c r="S4281" s="2">
        <v>42251</v>
      </c>
      <c r="T4281" s="2">
        <v>42251</v>
      </c>
      <c r="U4281" s="2">
        <v>42311</v>
      </c>
      <c r="V4281" t="s">
        <v>71</v>
      </c>
      <c r="W4281" t="str">
        <f>"               55044"</f>
        <v xml:space="preserve">               55044</v>
      </c>
      <c r="X4281">
        <v>305</v>
      </c>
      <c r="Y4281">
        <v>0</v>
      </c>
      <c r="Z4281"/>
      <c r="AB4281"/>
      <c r="AC4281">
        <v>250</v>
      </c>
      <c r="AD4281">
        <v>267</v>
      </c>
      <c r="AE4281" s="1">
        <v>66750</v>
      </c>
      <c r="AF4281">
        <v>0</v>
      </c>
      <c r="AJ4281">
        <v>0</v>
      </c>
      <c r="AK4281">
        <v>0</v>
      </c>
      <c r="AL4281">
        <v>0</v>
      </c>
      <c r="AM4281">
        <v>0</v>
      </c>
      <c r="AN4281">
        <v>0</v>
      </c>
      <c r="AO4281">
        <v>0</v>
      </c>
      <c r="AP4281" s="2">
        <v>42746</v>
      </c>
      <c r="AQ4281" t="s">
        <v>72</v>
      </c>
      <c r="AR4281" t="s">
        <v>72</v>
      </c>
      <c r="AS4281">
        <v>1996</v>
      </c>
      <c r="AT4281" s="4">
        <v>42578</v>
      </c>
      <c r="AU4281" t="s">
        <v>73</v>
      </c>
      <c r="AV4281">
        <v>1996</v>
      </c>
      <c r="AW4281" s="4">
        <v>42578</v>
      </c>
      <c r="BD4281">
        <v>0</v>
      </c>
      <c r="BN4281" t="s">
        <v>74</v>
      </c>
    </row>
    <row r="4282" spans="1:66" hidden="1">
      <c r="A4282">
        <v>101541</v>
      </c>
      <c r="B4282" s="3" t="s">
        <v>467</v>
      </c>
      <c r="C4282" s="1">
        <v>43300101</v>
      </c>
      <c r="D4282" t="s">
        <v>67</v>
      </c>
      <c r="H4282" t="str">
        <f t="shared" si="459"/>
        <v>08230471008</v>
      </c>
      <c r="I4282" t="str">
        <f t="shared" si="459"/>
        <v>08230471008</v>
      </c>
      <c r="K4282" t="str">
        <f>""</f>
        <v/>
      </c>
      <c r="M4282" t="s">
        <v>68</v>
      </c>
      <c r="N4282" t="str">
        <f t="shared" si="457"/>
        <v>FOR</v>
      </c>
      <c r="O4282" t="s">
        <v>69</v>
      </c>
      <c r="P4282" s="3" t="s">
        <v>75</v>
      </c>
      <c r="Q4282">
        <v>2015</v>
      </c>
      <c r="R4282" s="2">
        <v>42244</v>
      </c>
      <c r="S4282" s="2">
        <v>42251</v>
      </c>
      <c r="T4282" s="2">
        <v>42251</v>
      </c>
      <c r="U4282" s="2">
        <v>42311</v>
      </c>
      <c r="V4282" t="s">
        <v>71</v>
      </c>
      <c r="W4282" t="str">
        <f>"               55045"</f>
        <v xml:space="preserve">               55045</v>
      </c>
      <c r="X4282">
        <v>305</v>
      </c>
      <c r="Y4282">
        <v>0</v>
      </c>
      <c r="Z4282"/>
      <c r="AB4282"/>
      <c r="AC4282">
        <v>250</v>
      </c>
      <c r="AD4282">
        <v>267</v>
      </c>
      <c r="AE4282" s="1">
        <v>66750</v>
      </c>
      <c r="AF4282">
        <v>0</v>
      </c>
      <c r="AJ4282">
        <v>0</v>
      </c>
      <c r="AK4282">
        <v>0</v>
      </c>
      <c r="AL4282">
        <v>0</v>
      </c>
      <c r="AM4282">
        <v>0</v>
      </c>
      <c r="AN4282">
        <v>0</v>
      </c>
      <c r="AO4282">
        <v>0</v>
      </c>
      <c r="AP4282" s="2">
        <v>42746</v>
      </c>
      <c r="AQ4282" t="s">
        <v>72</v>
      </c>
      <c r="AR4282" t="s">
        <v>72</v>
      </c>
      <c r="AS4282">
        <v>1996</v>
      </c>
      <c r="AT4282" s="4">
        <v>42578</v>
      </c>
      <c r="AU4282" t="s">
        <v>73</v>
      </c>
      <c r="AV4282">
        <v>1996</v>
      </c>
      <c r="AW4282" s="4">
        <v>42578</v>
      </c>
      <c r="BD4282">
        <v>0</v>
      </c>
      <c r="BN4282" t="s">
        <v>74</v>
      </c>
    </row>
    <row r="4283" spans="1:66" hidden="1">
      <c r="A4283">
        <v>101541</v>
      </c>
      <c r="B4283" s="3" t="s">
        <v>467</v>
      </c>
      <c r="C4283" s="1">
        <v>43300101</v>
      </c>
      <c r="D4283" t="s">
        <v>67</v>
      </c>
      <c r="H4283" t="str">
        <f t="shared" si="459"/>
        <v>08230471008</v>
      </c>
      <c r="I4283" t="str">
        <f t="shared" si="459"/>
        <v>08230471008</v>
      </c>
      <c r="K4283" t="str">
        <f>""</f>
        <v/>
      </c>
      <c r="M4283" t="s">
        <v>68</v>
      </c>
      <c r="N4283" t="str">
        <f t="shared" si="457"/>
        <v>FOR</v>
      </c>
      <c r="O4283" t="s">
        <v>69</v>
      </c>
      <c r="P4283" s="3" t="s">
        <v>75</v>
      </c>
      <c r="Q4283">
        <v>2015</v>
      </c>
      <c r="R4283" s="2">
        <v>42244</v>
      </c>
      <c r="S4283" s="2">
        <v>42254</v>
      </c>
      <c r="T4283" s="2">
        <v>42251</v>
      </c>
      <c r="U4283" s="2">
        <v>42311</v>
      </c>
      <c r="V4283" t="s">
        <v>71</v>
      </c>
      <c r="W4283" t="str">
        <f>"               55046"</f>
        <v xml:space="preserve">               55046</v>
      </c>
      <c r="X4283">
        <v>305</v>
      </c>
      <c r="Y4283">
        <v>0</v>
      </c>
      <c r="Z4283"/>
      <c r="AB4283"/>
      <c r="AC4283">
        <v>250</v>
      </c>
      <c r="AD4283">
        <v>267</v>
      </c>
      <c r="AE4283" s="1">
        <v>66750</v>
      </c>
      <c r="AF4283">
        <v>0</v>
      </c>
      <c r="AJ4283">
        <v>0</v>
      </c>
      <c r="AK4283">
        <v>0</v>
      </c>
      <c r="AL4283">
        <v>0</v>
      </c>
      <c r="AM4283">
        <v>0</v>
      </c>
      <c r="AN4283">
        <v>0</v>
      </c>
      <c r="AO4283">
        <v>0</v>
      </c>
      <c r="AP4283" s="2">
        <v>42746</v>
      </c>
      <c r="AQ4283" t="s">
        <v>72</v>
      </c>
      <c r="AR4283" t="s">
        <v>72</v>
      </c>
      <c r="AS4283">
        <v>1996</v>
      </c>
      <c r="AT4283" s="4">
        <v>42578</v>
      </c>
      <c r="AU4283" t="s">
        <v>73</v>
      </c>
      <c r="AV4283">
        <v>1996</v>
      </c>
      <c r="AW4283" s="4">
        <v>42578</v>
      </c>
      <c r="BD4283">
        <v>0</v>
      </c>
      <c r="BN4283" t="s">
        <v>74</v>
      </c>
    </row>
    <row r="4284" spans="1:66" hidden="1">
      <c r="A4284">
        <v>101541</v>
      </c>
      <c r="B4284" s="3" t="s">
        <v>467</v>
      </c>
      <c r="C4284" s="1">
        <v>43300101</v>
      </c>
      <c r="D4284" t="s">
        <v>67</v>
      </c>
      <c r="H4284" t="str">
        <f t="shared" si="459"/>
        <v>08230471008</v>
      </c>
      <c r="I4284" t="str">
        <f t="shared" si="459"/>
        <v>08230471008</v>
      </c>
      <c r="K4284" t="str">
        <f>""</f>
        <v/>
      </c>
      <c r="M4284" t="s">
        <v>68</v>
      </c>
      <c r="N4284" t="str">
        <f t="shared" si="457"/>
        <v>FOR</v>
      </c>
      <c r="O4284" t="s">
        <v>69</v>
      </c>
      <c r="P4284" s="3" t="s">
        <v>75</v>
      </c>
      <c r="Q4284">
        <v>2015</v>
      </c>
      <c r="R4284" s="2">
        <v>42244</v>
      </c>
      <c r="S4284" s="2">
        <v>42251</v>
      </c>
      <c r="T4284" s="2">
        <v>42251</v>
      </c>
      <c r="U4284" s="2">
        <v>42311</v>
      </c>
      <c r="V4284" t="s">
        <v>71</v>
      </c>
      <c r="W4284" t="str">
        <f>"               55047"</f>
        <v xml:space="preserve">               55047</v>
      </c>
      <c r="X4284">
        <v>305</v>
      </c>
      <c r="Y4284">
        <v>0</v>
      </c>
      <c r="Z4284"/>
      <c r="AB4284"/>
      <c r="AC4284">
        <v>250</v>
      </c>
      <c r="AD4284">
        <v>267</v>
      </c>
      <c r="AE4284" s="1">
        <v>66750</v>
      </c>
      <c r="AF4284">
        <v>0</v>
      </c>
      <c r="AJ4284">
        <v>0</v>
      </c>
      <c r="AK4284">
        <v>0</v>
      </c>
      <c r="AL4284">
        <v>0</v>
      </c>
      <c r="AM4284">
        <v>0</v>
      </c>
      <c r="AN4284">
        <v>0</v>
      </c>
      <c r="AO4284">
        <v>0</v>
      </c>
      <c r="AP4284" s="2">
        <v>42746</v>
      </c>
      <c r="AQ4284" t="s">
        <v>72</v>
      </c>
      <c r="AR4284" t="s">
        <v>72</v>
      </c>
      <c r="AS4284">
        <v>1996</v>
      </c>
      <c r="AT4284" s="4">
        <v>42578</v>
      </c>
      <c r="AU4284" t="s">
        <v>73</v>
      </c>
      <c r="AV4284">
        <v>1996</v>
      </c>
      <c r="AW4284" s="4">
        <v>42578</v>
      </c>
      <c r="BD4284">
        <v>0</v>
      </c>
      <c r="BN4284" t="s">
        <v>74</v>
      </c>
    </row>
    <row r="4285" spans="1:66" hidden="1">
      <c r="A4285">
        <v>101541</v>
      </c>
      <c r="B4285" s="3" t="s">
        <v>467</v>
      </c>
      <c r="C4285" s="1">
        <v>43300101</v>
      </c>
      <c r="D4285" t="s">
        <v>67</v>
      </c>
      <c r="H4285" t="str">
        <f t="shared" si="459"/>
        <v>08230471008</v>
      </c>
      <c r="I4285" t="str">
        <f t="shared" si="459"/>
        <v>08230471008</v>
      </c>
      <c r="K4285" t="str">
        <f>""</f>
        <v/>
      </c>
      <c r="M4285" t="s">
        <v>68</v>
      </c>
      <c r="N4285" t="str">
        <f t="shared" si="457"/>
        <v>FOR</v>
      </c>
      <c r="O4285" t="s">
        <v>69</v>
      </c>
      <c r="P4285" s="3" t="s">
        <v>75</v>
      </c>
      <c r="Q4285">
        <v>2015</v>
      </c>
      <c r="R4285" s="2">
        <v>42244</v>
      </c>
      <c r="S4285" s="2">
        <v>42254</v>
      </c>
      <c r="T4285" s="2">
        <v>42251</v>
      </c>
      <c r="U4285" s="2">
        <v>42311</v>
      </c>
      <c r="V4285" t="s">
        <v>71</v>
      </c>
      <c r="W4285" t="str">
        <f>"               55048"</f>
        <v xml:space="preserve">               55048</v>
      </c>
      <c r="X4285">
        <v>305</v>
      </c>
      <c r="Y4285">
        <v>0</v>
      </c>
      <c r="Z4285"/>
      <c r="AB4285"/>
      <c r="AC4285">
        <v>250</v>
      </c>
      <c r="AD4285">
        <v>267</v>
      </c>
      <c r="AE4285" s="1">
        <v>66750</v>
      </c>
      <c r="AF4285">
        <v>0</v>
      </c>
      <c r="AJ4285">
        <v>0</v>
      </c>
      <c r="AK4285">
        <v>0</v>
      </c>
      <c r="AL4285">
        <v>0</v>
      </c>
      <c r="AM4285">
        <v>0</v>
      </c>
      <c r="AN4285">
        <v>0</v>
      </c>
      <c r="AO4285">
        <v>0</v>
      </c>
      <c r="AP4285" s="2">
        <v>42746</v>
      </c>
      <c r="AQ4285" t="s">
        <v>72</v>
      </c>
      <c r="AR4285" t="s">
        <v>72</v>
      </c>
      <c r="AS4285">
        <v>1996</v>
      </c>
      <c r="AT4285" s="4">
        <v>42578</v>
      </c>
      <c r="AU4285" t="s">
        <v>73</v>
      </c>
      <c r="AV4285">
        <v>1996</v>
      </c>
      <c r="AW4285" s="4">
        <v>42578</v>
      </c>
      <c r="BD4285">
        <v>0</v>
      </c>
      <c r="BN4285" t="s">
        <v>74</v>
      </c>
    </row>
    <row r="4286" spans="1:66" hidden="1">
      <c r="A4286">
        <v>101541</v>
      </c>
      <c r="B4286" s="3" t="s">
        <v>467</v>
      </c>
      <c r="C4286" s="1">
        <v>43300101</v>
      </c>
      <c r="D4286" t="s">
        <v>67</v>
      </c>
      <c r="H4286" t="str">
        <f t="shared" si="459"/>
        <v>08230471008</v>
      </c>
      <c r="I4286" t="str">
        <f t="shared" si="459"/>
        <v>08230471008</v>
      </c>
      <c r="K4286" t="str">
        <f>""</f>
        <v/>
      </c>
      <c r="M4286" t="s">
        <v>68</v>
      </c>
      <c r="N4286" t="str">
        <f t="shared" si="457"/>
        <v>FOR</v>
      </c>
      <c r="O4286" t="s">
        <v>69</v>
      </c>
      <c r="P4286" s="3" t="s">
        <v>75</v>
      </c>
      <c r="Q4286">
        <v>2015</v>
      </c>
      <c r="R4286" s="2">
        <v>42244</v>
      </c>
      <c r="S4286" s="2">
        <v>42254</v>
      </c>
      <c r="T4286" s="2">
        <v>42251</v>
      </c>
      <c r="U4286" s="2">
        <v>42311</v>
      </c>
      <c r="V4286" t="s">
        <v>71</v>
      </c>
      <c r="W4286" t="str">
        <f>"               55049"</f>
        <v xml:space="preserve">               55049</v>
      </c>
      <c r="X4286">
        <v>305</v>
      </c>
      <c r="Y4286">
        <v>0</v>
      </c>
      <c r="Z4286"/>
      <c r="AB4286"/>
      <c r="AC4286">
        <v>250</v>
      </c>
      <c r="AD4286">
        <v>267</v>
      </c>
      <c r="AE4286" s="1">
        <v>66750</v>
      </c>
      <c r="AF4286">
        <v>0</v>
      </c>
      <c r="AJ4286">
        <v>0</v>
      </c>
      <c r="AK4286">
        <v>0</v>
      </c>
      <c r="AL4286">
        <v>0</v>
      </c>
      <c r="AM4286">
        <v>0</v>
      </c>
      <c r="AN4286">
        <v>0</v>
      </c>
      <c r="AO4286">
        <v>0</v>
      </c>
      <c r="AP4286" s="2">
        <v>42746</v>
      </c>
      <c r="AQ4286" t="s">
        <v>72</v>
      </c>
      <c r="AR4286" t="s">
        <v>72</v>
      </c>
      <c r="AS4286">
        <v>1996</v>
      </c>
      <c r="AT4286" s="4">
        <v>42578</v>
      </c>
      <c r="AU4286" t="s">
        <v>73</v>
      </c>
      <c r="AV4286">
        <v>1996</v>
      </c>
      <c r="AW4286" s="4">
        <v>42578</v>
      </c>
      <c r="BD4286">
        <v>0</v>
      </c>
      <c r="BN4286" t="s">
        <v>74</v>
      </c>
    </row>
    <row r="4287" spans="1:66" hidden="1">
      <c r="A4287">
        <v>101541</v>
      </c>
      <c r="B4287" s="3" t="s">
        <v>467</v>
      </c>
      <c r="C4287" s="1">
        <v>43300101</v>
      </c>
      <c r="D4287" t="s">
        <v>67</v>
      </c>
      <c r="H4287" t="str">
        <f t="shared" si="459"/>
        <v>08230471008</v>
      </c>
      <c r="I4287" t="str">
        <f t="shared" si="459"/>
        <v>08230471008</v>
      </c>
      <c r="K4287" t="str">
        <f>""</f>
        <v/>
      </c>
      <c r="M4287" t="s">
        <v>68</v>
      </c>
      <c r="N4287" t="str">
        <f t="shared" si="457"/>
        <v>FOR</v>
      </c>
      <c r="O4287" t="s">
        <v>69</v>
      </c>
      <c r="P4287" s="3" t="s">
        <v>75</v>
      </c>
      <c r="Q4287">
        <v>2015</v>
      </c>
      <c r="R4287" s="2">
        <v>42244</v>
      </c>
      <c r="S4287" s="2">
        <v>42254</v>
      </c>
      <c r="T4287" s="2">
        <v>42251</v>
      </c>
      <c r="U4287" s="2">
        <v>42311</v>
      </c>
      <c r="V4287" t="s">
        <v>71</v>
      </c>
      <c r="W4287" t="str">
        <f>"               55050"</f>
        <v xml:space="preserve">               55050</v>
      </c>
      <c r="X4287">
        <v>305</v>
      </c>
      <c r="Y4287">
        <v>0</v>
      </c>
      <c r="Z4287"/>
      <c r="AB4287"/>
      <c r="AC4287">
        <v>250</v>
      </c>
      <c r="AD4287">
        <v>267</v>
      </c>
      <c r="AE4287" s="1">
        <v>66750</v>
      </c>
      <c r="AF4287">
        <v>0</v>
      </c>
      <c r="AJ4287">
        <v>0</v>
      </c>
      <c r="AK4287">
        <v>0</v>
      </c>
      <c r="AL4287">
        <v>0</v>
      </c>
      <c r="AM4287">
        <v>0</v>
      </c>
      <c r="AN4287">
        <v>0</v>
      </c>
      <c r="AO4287">
        <v>0</v>
      </c>
      <c r="AP4287" s="2">
        <v>42746</v>
      </c>
      <c r="AQ4287" t="s">
        <v>72</v>
      </c>
      <c r="AR4287" t="s">
        <v>72</v>
      </c>
      <c r="AS4287">
        <v>1996</v>
      </c>
      <c r="AT4287" s="4">
        <v>42578</v>
      </c>
      <c r="AU4287" t="s">
        <v>73</v>
      </c>
      <c r="AV4287">
        <v>1996</v>
      </c>
      <c r="AW4287" s="4">
        <v>42578</v>
      </c>
      <c r="BD4287">
        <v>0</v>
      </c>
      <c r="BN4287" t="s">
        <v>74</v>
      </c>
    </row>
    <row r="4288" spans="1:66" hidden="1">
      <c r="A4288">
        <v>101541</v>
      </c>
      <c r="B4288" s="3" t="s">
        <v>467</v>
      </c>
      <c r="C4288" s="1">
        <v>43300101</v>
      </c>
      <c r="D4288" t="s">
        <v>67</v>
      </c>
      <c r="H4288" t="str">
        <f t="shared" si="459"/>
        <v>08230471008</v>
      </c>
      <c r="I4288" t="str">
        <f t="shared" si="459"/>
        <v>08230471008</v>
      </c>
      <c r="K4288" t="str">
        <f>""</f>
        <v/>
      </c>
      <c r="M4288" t="s">
        <v>68</v>
      </c>
      <c r="N4288" t="str">
        <f t="shared" si="457"/>
        <v>FOR</v>
      </c>
      <c r="O4288" t="s">
        <v>69</v>
      </c>
      <c r="P4288" s="3" t="s">
        <v>75</v>
      </c>
      <c r="Q4288">
        <v>2015</v>
      </c>
      <c r="R4288" s="2">
        <v>42244</v>
      </c>
      <c r="S4288" s="2">
        <v>42254</v>
      </c>
      <c r="T4288" s="2">
        <v>42251</v>
      </c>
      <c r="U4288" s="2">
        <v>42311</v>
      </c>
      <c r="V4288" t="s">
        <v>71</v>
      </c>
      <c r="W4288" t="str">
        <f>"               55051"</f>
        <v xml:space="preserve">               55051</v>
      </c>
      <c r="X4288">
        <v>305</v>
      </c>
      <c r="Y4288">
        <v>0</v>
      </c>
      <c r="Z4288"/>
      <c r="AB4288"/>
      <c r="AC4288">
        <v>250</v>
      </c>
      <c r="AD4288">
        <v>267</v>
      </c>
      <c r="AE4288" s="1">
        <v>66750</v>
      </c>
      <c r="AF4288">
        <v>0</v>
      </c>
      <c r="AJ4288">
        <v>0</v>
      </c>
      <c r="AK4288">
        <v>0</v>
      </c>
      <c r="AL4288">
        <v>0</v>
      </c>
      <c r="AM4288">
        <v>0</v>
      </c>
      <c r="AN4288">
        <v>0</v>
      </c>
      <c r="AO4288">
        <v>0</v>
      </c>
      <c r="AP4288" s="2">
        <v>42746</v>
      </c>
      <c r="AQ4288" t="s">
        <v>72</v>
      </c>
      <c r="AR4288" t="s">
        <v>72</v>
      </c>
      <c r="AS4288">
        <v>1996</v>
      </c>
      <c r="AT4288" s="4">
        <v>42578</v>
      </c>
      <c r="AU4288" t="s">
        <v>73</v>
      </c>
      <c r="AV4288">
        <v>1996</v>
      </c>
      <c r="AW4288" s="4">
        <v>42578</v>
      </c>
      <c r="BD4288">
        <v>0</v>
      </c>
      <c r="BN4288" t="s">
        <v>74</v>
      </c>
    </row>
    <row r="4289" spans="1:66" hidden="1">
      <c r="A4289">
        <v>101541</v>
      </c>
      <c r="B4289" s="3" t="s">
        <v>467</v>
      </c>
      <c r="C4289" s="1">
        <v>43300101</v>
      </c>
      <c r="D4289" t="s">
        <v>67</v>
      </c>
      <c r="H4289" t="str">
        <f t="shared" si="459"/>
        <v>08230471008</v>
      </c>
      <c r="I4289" t="str">
        <f t="shared" si="459"/>
        <v>08230471008</v>
      </c>
      <c r="K4289" t="str">
        <f>""</f>
        <v/>
      </c>
      <c r="M4289" t="s">
        <v>68</v>
      </c>
      <c r="N4289" t="str">
        <f t="shared" si="457"/>
        <v>FOR</v>
      </c>
      <c r="O4289" t="s">
        <v>69</v>
      </c>
      <c r="P4289" s="3" t="s">
        <v>75</v>
      </c>
      <c r="Q4289">
        <v>2015</v>
      </c>
      <c r="R4289" s="2">
        <v>42244</v>
      </c>
      <c r="S4289" s="2">
        <v>42254</v>
      </c>
      <c r="T4289" s="2">
        <v>42251</v>
      </c>
      <c r="U4289" s="2">
        <v>42311</v>
      </c>
      <c r="V4289" t="s">
        <v>71</v>
      </c>
      <c r="W4289" t="str">
        <f>"               55052"</f>
        <v xml:space="preserve">               55052</v>
      </c>
      <c r="X4289">
        <v>305</v>
      </c>
      <c r="Y4289">
        <v>0</v>
      </c>
      <c r="Z4289"/>
      <c r="AB4289"/>
      <c r="AC4289">
        <v>250</v>
      </c>
      <c r="AD4289">
        <v>267</v>
      </c>
      <c r="AE4289" s="1">
        <v>66750</v>
      </c>
      <c r="AF4289">
        <v>0</v>
      </c>
      <c r="AJ4289">
        <v>0</v>
      </c>
      <c r="AK4289">
        <v>0</v>
      </c>
      <c r="AL4289">
        <v>0</v>
      </c>
      <c r="AM4289">
        <v>0</v>
      </c>
      <c r="AN4289">
        <v>0</v>
      </c>
      <c r="AO4289">
        <v>0</v>
      </c>
      <c r="AP4289" s="2">
        <v>42746</v>
      </c>
      <c r="AQ4289" t="s">
        <v>72</v>
      </c>
      <c r="AR4289" t="s">
        <v>72</v>
      </c>
      <c r="AS4289">
        <v>1996</v>
      </c>
      <c r="AT4289" s="4">
        <v>42578</v>
      </c>
      <c r="AU4289" t="s">
        <v>73</v>
      </c>
      <c r="AV4289">
        <v>1996</v>
      </c>
      <c r="AW4289" s="4">
        <v>42578</v>
      </c>
      <c r="BD4289">
        <v>0</v>
      </c>
      <c r="BN4289" t="s">
        <v>74</v>
      </c>
    </row>
    <row r="4290" spans="1:66" hidden="1">
      <c r="A4290">
        <v>101541</v>
      </c>
      <c r="B4290" s="3" t="s">
        <v>467</v>
      </c>
      <c r="C4290" s="1">
        <v>43300101</v>
      </c>
      <c r="D4290" t="s">
        <v>67</v>
      </c>
      <c r="H4290" t="str">
        <f t="shared" si="459"/>
        <v>08230471008</v>
      </c>
      <c r="I4290" t="str">
        <f t="shared" si="459"/>
        <v>08230471008</v>
      </c>
      <c r="K4290" t="str">
        <f>""</f>
        <v/>
      </c>
      <c r="M4290" t="s">
        <v>68</v>
      </c>
      <c r="N4290" t="str">
        <f t="shared" si="457"/>
        <v>FOR</v>
      </c>
      <c r="O4290" t="s">
        <v>69</v>
      </c>
      <c r="P4290" s="3" t="s">
        <v>75</v>
      </c>
      <c r="Q4290">
        <v>2015</v>
      </c>
      <c r="R4290" s="2">
        <v>42244</v>
      </c>
      <c r="S4290" s="2">
        <v>42254</v>
      </c>
      <c r="T4290" s="2">
        <v>42251</v>
      </c>
      <c r="U4290" s="2">
        <v>42311</v>
      </c>
      <c r="V4290" t="s">
        <v>71</v>
      </c>
      <c r="W4290" t="str">
        <f>"               55053"</f>
        <v xml:space="preserve">               55053</v>
      </c>
      <c r="X4290">
        <v>305</v>
      </c>
      <c r="Y4290">
        <v>0</v>
      </c>
      <c r="Z4290"/>
      <c r="AB4290"/>
      <c r="AC4290">
        <v>250</v>
      </c>
      <c r="AD4290">
        <v>267</v>
      </c>
      <c r="AE4290" s="1">
        <v>66750</v>
      </c>
      <c r="AF4290">
        <v>0</v>
      </c>
      <c r="AJ4290">
        <v>0</v>
      </c>
      <c r="AK4290">
        <v>0</v>
      </c>
      <c r="AL4290">
        <v>0</v>
      </c>
      <c r="AM4290">
        <v>0</v>
      </c>
      <c r="AN4290">
        <v>0</v>
      </c>
      <c r="AO4290">
        <v>0</v>
      </c>
      <c r="AP4290" s="2">
        <v>42746</v>
      </c>
      <c r="AQ4290" t="s">
        <v>72</v>
      </c>
      <c r="AR4290" t="s">
        <v>72</v>
      </c>
      <c r="AS4290">
        <v>1996</v>
      </c>
      <c r="AT4290" s="4">
        <v>42578</v>
      </c>
      <c r="AU4290" t="s">
        <v>73</v>
      </c>
      <c r="AV4290">
        <v>1996</v>
      </c>
      <c r="AW4290" s="4">
        <v>42578</v>
      </c>
      <c r="BD4290">
        <v>0</v>
      </c>
      <c r="BN4290" t="s">
        <v>74</v>
      </c>
    </row>
    <row r="4291" spans="1:66" hidden="1">
      <c r="A4291">
        <v>101541</v>
      </c>
      <c r="B4291" s="3" t="s">
        <v>467</v>
      </c>
      <c r="C4291" s="1">
        <v>43300101</v>
      </c>
      <c r="D4291" t="s">
        <v>67</v>
      </c>
      <c r="H4291" t="str">
        <f t="shared" si="459"/>
        <v>08230471008</v>
      </c>
      <c r="I4291" t="str">
        <f t="shared" si="459"/>
        <v>08230471008</v>
      </c>
      <c r="K4291" t="str">
        <f>""</f>
        <v/>
      </c>
      <c r="M4291" t="s">
        <v>68</v>
      </c>
      <c r="N4291" t="str">
        <f t="shared" si="457"/>
        <v>FOR</v>
      </c>
      <c r="O4291" t="s">
        <v>69</v>
      </c>
      <c r="P4291" s="3" t="s">
        <v>75</v>
      </c>
      <c r="Q4291">
        <v>2015</v>
      </c>
      <c r="R4291" s="2">
        <v>42244</v>
      </c>
      <c r="S4291" s="2">
        <v>42251</v>
      </c>
      <c r="T4291" s="2">
        <v>42251</v>
      </c>
      <c r="U4291" s="2">
        <v>42311</v>
      </c>
      <c r="V4291" t="s">
        <v>71</v>
      </c>
      <c r="W4291" t="str">
        <f>"               55054"</f>
        <v xml:space="preserve">               55054</v>
      </c>
      <c r="X4291">
        <v>305</v>
      </c>
      <c r="Y4291">
        <v>0</v>
      </c>
      <c r="Z4291"/>
      <c r="AB4291"/>
      <c r="AC4291">
        <v>250</v>
      </c>
      <c r="AD4291">
        <v>267</v>
      </c>
      <c r="AE4291" s="1">
        <v>66750</v>
      </c>
      <c r="AF4291">
        <v>0</v>
      </c>
      <c r="AJ4291">
        <v>0</v>
      </c>
      <c r="AK4291">
        <v>0</v>
      </c>
      <c r="AL4291">
        <v>0</v>
      </c>
      <c r="AM4291">
        <v>0</v>
      </c>
      <c r="AN4291">
        <v>0</v>
      </c>
      <c r="AO4291">
        <v>0</v>
      </c>
      <c r="AP4291" s="2">
        <v>42746</v>
      </c>
      <c r="AQ4291" t="s">
        <v>72</v>
      </c>
      <c r="AR4291" t="s">
        <v>72</v>
      </c>
      <c r="AS4291">
        <v>1996</v>
      </c>
      <c r="AT4291" s="4">
        <v>42578</v>
      </c>
      <c r="AU4291" t="s">
        <v>73</v>
      </c>
      <c r="AV4291">
        <v>1996</v>
      </c>
      <c r="AW4291" s="4">
        <v>42578</v>
      </c>
      <c r="BD4291">
        <v>0</v>
      </c>
      <c r="BN4291" t="s">
        <v>74</v>
      </c>
    </row>
    <row r="4292" spans="1:66" hidden="1">
      <c r="A4292">
        <v>101541</v>
      </c>
      <c r="B4292" s="3" t="s">
        <v>467</v>
      </c>
      <c r="C4292" s="1">
        <v>43300101</v>
      </c>
      <c r="D4292" t="s">
        <v>67</v>
      </c>
      <c r="H4292" t="str">
        <f t="shared" si="459"/>
        <v>08230471008</v>
      </c>
      <c r="I4292" t="str">
        <f t="shared" si="459"/>
        <v>08230471008</v>
      </c>
      <c r="K4292" t="str">
        <f>""</f>
        <v/>
      </c>
      <c r="M4292" t="s">
        <v>68</v>
      </c>
      <c r="N4292" t="str">
        <f t="shared" si="457"/>
        <v>FOR</v>
      </c>
      <c r="O4292" t="s">
        <v>69</v>
      </c>
      <c r="P4292" s="3" t="s">
        <v>75</v>
      </c>
      <c r="Q4292">
        <v>2015</v>
      </c>
      <c r="R4292" s="2">
        <v>42247</v>
      </c>
      <c r="S4292" s="2">
        <v>42254</v>
      </c>
      <c r="T4292" s="2">
        <v>42251</v>
      </c>
      <c r="U4292" s="2">
        <v>42311</v>
      </c>
      <c r="V4292" t="s">
        <v>71</v>
      </c>
      <c r="W4292" t="str">
        <f>"               55334"</f>
        <v xml:space="preserve">               55334</v>
      </c>
      <c r="X4292">
        <v>305</v>
      </c>
      <c r="Y4292">
        <v>0</v>
      </c>
      <c r="Z4292"/>
      <c r="AB4292"/>
      <c r="AC4292">
        <v>250</v>
      </c>
      <c r="AD4292">
        <v>267</v>
      </c>
      <c r="AE4292" s="1">
        <v>66750</v>
      </c>
      <c r="AF4292">
        <v>0</v>
      </c>
      <c r="AJ4292">
        <v>0</v>
      </c>
      <c r="AK4292">
        <v>0</v>
      </c>
      <c r="AL4292">
        <v>0</v>
      </c>
      <c r="AM4292">
        <v>0</v>
      </c>
      <c r="AN4292">
        <v>0</v>
      </c>
      <c r="AO4292">
        <v>0</v>
      </c>
      <c r="AP4292" s="2">
        <v>42746</v>
      </c>
      <c r="AQ4292" t="s">
        <v>72</v>
      </c>
      <c r="AR4292" t="s">
        <v>72</v>
      </c>
      <c r="AS4292">
        <v>1996</v>
      </c>
      <c r="AT4292" s="4">
        <v>42578</v>
      </c>
      <c r="AU4292" t="s">
        <v>73</v>
      </c>
      <c r="AV4292">
        <v>1996</v>
      </c>
      <c r="AW4292" s="4">
        <v>42578</v>
      </c>
      <c r="BD4292">
        <v>0</v>
      </c>
      <c r="BN4292" t="s">
        <v>74</v>
      </c>
    </row>
    <row r="4293" spans="1:66" hidden="1">
      <c r="A4293">
        <v>101541</v>
      </c>
      <c r="B4293" s="3" t="s">
        <v>467</v>
      </c>
      <c r="C4293" s="1">
        <v>43300101</v>
      </c>
      <c r="D4293" t="s">
        <v>67</v>
      </c>
      <c r="H4293" t="str">
        <f t="shared" si="459"/>
        <v>08230471008</v>
      </c>
      <c r="I4293" t="str">
        <f t="shared" si="459"/>
        <v>08230471008</v>
      </c>
      <c r="K4293" t="str">
        <f>""</f>
        <v/>
      </c>
      <c r="M4293" t="s">
        <v>68</v>
      </c>
      <c r="N4293" t="str">
        <f t="shared" si="457"/>
        <v>FOR</v>
      </c>
      <c r="O4293" t="s">
        <v>69</v>
      </c>
      <c r="P4293" s="3" t="s">
        <v>75</v>
      </c>
      <c r="Q4293">
        <v>2015</v>
      </c>
      <c r="R4293" s="2">
        <v>42247</v>
      </c>
      <c r="S4293" s="2">
        <v>42254</v>
      </c>
      <c r="T4293" s="2">
        <v>42251</v>
      </c>
      <c r="U4293" s="2">
        <v>42311</v>
      </c>
      <c r="V4293" t="s">
        <v>71</v>
      </c>
      <c r="W4293" t="str">
        <f>"               55335"</f>
        <v xml:space="preserve">               55335</v>
      </c>
      <c r="X4293">
        <v>305</v>
      </c>
      <c r="Y4293">
        <v>0</v>
      </c>
      <c r="Z4293"/>
      <c r="AB4293"/>
      <c r="AC4293">
        <v>250</v>
      </c>
      <c r="AD4293">
        <v>267</v>
      </c>
      <c r="AE4293" s="1">
        <v>66750</v>
      </c>
      <c r="AF4293">
        <v>0</v>
      </c>
      <c r="AJ4293">
        <v>0</v>
      </c>
      <c r="AK4293">
        <v>0</v>
      </c>
      <c r="AL4293">
        <v>0</v>
      </c>
      <c r="AM4293">
        <v>0</v>
      </c>
      <c r="AN4293">
        <v>0</v>
      </c>
      <c r="AO4293">
        <v>0</v>
      </c>
      <c r="AP4293" s="2">
        <v>42746</v>
      </c>
      <c r="AQ4293" t="s">
        <v>72</v>
      </c>
      <c r="AR4293" t="s">
        <v>72</v>
      </c>
      <c r="AS4293">
        <v>1996</v>
      </c>
      <c r="AT4293" s="4">
        <v>42578</v>
      </c>
      <c r="AU4293" t="s">
        <v>73</v>
      </c>
      <c r="AV4293">
        <v>1996</v>
      </c>
      <c r="AW4293" s="4">
        <v>42578</v>
      </c>
      <c r="BD4293">
        <v>0</v>
      </c>
      <c r="BN4293" t="s">
        <v>74</v>
      </c>
    </row>
    <row r="4294" spans="1:66" hidden="1">
      <c r="A4294">
        <v>101541</v>
      </c>
      <c r="B4294" s="3" t="s">
        <v>467</v>
      </c>
      <c r="C4294" s="1">
        <v>43300101</v>
      </c>
      <c r="D4294" t="s">
        <v>67</v>
      </c>
      <c r="H4294" t="str">
        <f t="shared" si="459"/>
        <v>08230471008</v>
      </c>
      <c r="I4294" t="str">
        <f t="shared" si="459"/>
        <v>08230471008</v>
      </c>
      <c r="K4294" t="str">
        <f>""</f>
        <v/>
      </c>
      <c r="M4294" t="s">
        <v>68</v>
      </c>
      <c r="N4294" t="str">
        <f t="shared" si="457"/>
        <v>FOR</v>
      </c>
      <c r="O4294" t="s">
        <v>69</v>
      </c>
      <c r="P4294" s="3" t="s">
        <v>75</v>
      </c>
      <c r="Q4294">
        <v>2015</v>
      </c>
      <c r="R4294" s="2">
        <v>42247</v>
      </c>
      <c r="S4294" s="2">
        <v>42254</v>
      </c>
      <c r="T4294" s="2">
        <v>42251</v>
      </c>
      <c r="U4294" s="2">
        <v>42311</v>
      </c>
      <c r="V4294" t="s">
        <v>71</v>
      </c>
      <c r="W4294" t="str">
        <f>"               55336"</f>
        <v xml:space="preserve">               55336</v>
      </c>
      <c r="X4294" s="1">
        <v>1525</v>
      </c>
      <c r="Y4294">
        <v>0</v>
      </c>
      <c r="Z4294"/>
      <c r="AB4294"/>
      <c r="AC4294" s="1">
        <v>1250</v>
      </c>
      <c r="AD4294">
        <v>267</v>
      </c>
      <c r="AE4294" s="1">
        <v>333750</v>
      </c>
      <c r="AF4294">
        <v>0</v>
      </c>
      <c r="AJ4294">
        <v>0</v>
      </c>
      <c r="AK4294">
        <v>0</v>
      </c>
      <c r="AL4294">
        <v>0</v>
      </c>
      <c r="AM4294">
        <v>0</v>
      </c>
      <c r="AN4294">
        <v>0</v>
      </c>
      <c r="AO4294">
        <v>0</v>
      </c>
      <c r="AP4294" s="2">
        <v>42746</v>
      </c>
      <c r="AQ4294" t="s">
        <v>72</v>
      </c>
      <c r="AR4294" t="s">
        <v>72</v>
      </c>
      <c r="AS4294">
        <v>1996</v>
      </c>
      <c r="AT4294" s="4">
        <v>42578</v>
      </c>
      <c r="AU4294" t="s">
        <v>73</v>
      </c>
      <c r="AV4294">
        <v>1996</v>
      </c>
      <c r="AW4294" s="4">
        <v>42578</v>
      </c>
      <c r="BD4294">
        <v>0</v>
      </c>
      <c r="BN4294" t="s">
        <v>74</v>
      </c>
    </row>
    <row r="4295" spans="1:66" hidden="1">
      <c r="A4295">
        <v>101541</v>
      </c>
      <c r="B4295" s="3" t="s">
        <v>467</v>
      </c>
      <c r="C4295" s="1">
        <v>43300101</v>
      </c>
      <c r="D4295" t="s">
        <v>67</v>
      </c>
      <c r="H4295" t="str">
        <f t="shared" si="459"/>
        <v>08230471008</v>
      </c>
      <c r="I4295" t="str">
        <f t="shared" si="459"/>
        <v>08230471008</v>
      </c>
      <c r="K4295" t="str">
        <f>""</f>
        <v/>
      </c>
      <c r="M4295" t="s">
        <v>68</v>
      </c>
      <c r="N4295" t="str">
        <f t="shared" si="457"/>
        <v>FOR</v>
      </c>
      <c r="O4295" t="s">
        <v>69</v>
      </c>
      <c r="P4295" s="3" t="s">
        <v>75</v>
      </c>
      <c r="Q4295">
        <v>2015</v>
      </c>
      <c r="R4295" s="2">
        <v>42247</v>
      </c>
      <c r="S4295" s="2">
        <v>42251</v>
      </c>
      <c r="T4295" s="2">
        <v>42251</v>
      </c>
      <c r="U4295" s="2">
        <v>42311</v>
      </c>
      <c r="V4295" t="s">
        <v>71</v>
      </c>
      <c r="W4295" t="str">
        <f>"               55337"</f>
        <v xml:space="preserve">               55337</v>
      </c>
      <c r="X4295">
        <v>305</v>
      </c>
      <c r="Y4295">
        <v>0</v>
      </c>
      <c r="Z4295"/>
      <c r="AB4295"/>
      <c r="AC4295">
        <v>250</v>
      </c>
      <c r="AD4295">
        <v>267</v>
      </c>
      <c r="AE4295" s="1">
        <v>66750</v>
      </c>
      <c r="AF4295">
        <v>0</v>
      </c>
      <c r="AJ4295">
        <v>0</v>
      </c>
      <c r="AK4295">
        <v>0</v>
      </c>
      <c r="AL4295">
        <v>0</v>
      </c>
      <c r="AM4295">
        <v>0</v>
      </c>
      <c r="AN4295">
        <v>0</v>
      </c>
      <c r="AO4295">
        <v>0</v>
      </c>
      <c r="AP4295" s="2">
        <v>42746</v>
      </c>
      <c r="AQ4295" t="s">
        <v>72</v>
      </c>
      <c r="AR4295" t="s">
        <v>72</v>
      </c>
      <c r="AS4295">
        <v>1996</v>
      </c>
      <c r="AT4295" s="4">
        <v>42578</v>
      </c>
      <c r="AU4295" t="s">
        <v>73</v>
      </c>
      <c r="AV4295">
        <v>1996</v>
      </c>
      <c r="AW4295" s="4">
        <v>42578</v>
      </c>
      <c r="BD4295">
        <v>0</v>
      </c>
      <c r="BN4295" t="s">
        <v>74</v>
      </c>
    </row>
    <row r="4296" spans="1:66" hidden="1">
      <c r="A4296">
        <v>101541</v>
      </c>
      <c r="B4296" s="3" t="s">
        <v>467</v>
      </c>
      <c r="C4296" s="1">
        <v>43300101</v>
      </c>
      <c r="D4296" t="s">
        <v>67</v>
      </c>
      <c r="H4296" t="str">
        <f t="shared" si="459"/>
        <v>08230471008</v>
      </c>
      <c r="I4296" t="str">
        <f t="shared" si="459"/>
        <v>08230471008</v>
      </c>
      <c r="K4296" t="str">
        <f>""</f>
        <v/>
      </c>
      <c r="M4296" t="s">
        <v>68</v>
      </c>
      <c r="N4296" t="str">
        <f t="shared" si="457"/>
        <v>FOR</v>
      </c>
      <c r="O4296" t="s">
        <v>69</v>
      </c>
      <c r="P4296" s="3" t="s">
        <v>75</v>
      </c>
      <c r="Q4296">
        <v>2015</v>
      </c>
      <c r="R4296" s="2">
        <v>42247</v>
      </c>
      <c r="S4296" s="2">
        <v>42254</v>
      </c>
      <c r="T4296" s="2">
        <v>42251</v>
      </c>
      <c r="U4296" s="2">
        <v>42311</v>
      </c>
      <c r="V4296" t="s">
        <v>71</v>
      </c>
      <c r="W4296" t="str">
        <f>"               55338"</f>
        <v xml:space="preserve">               55338</v>
      </c>
      <c r="X4296">
        <v>305</v>
      </c>
      <c r="Y4296">
        <v>0</v>
      </c>
      <c r="Z4296"/>
      <c r="AB4296"/>
      <c r="AC4296">
        <v>250</v>
      </c>
      <c r="AD4296">
        <v>267</v>
      </c>
      <c r="AE4296" s="1">
        <v>66750</v>
      </c>
      <c r="AF4296">
        <v>0</v>
      </c>
      <c r="AJ4296">
        <v>0</v>
      </c>
      <c r="AK4296">
        <v>0</v>
      </c>
      <c r="AL4296">
        <v>0</v>
      </c>
      <c r="AM4296">
        <v>0</v>
      </c>
      <c r="AN4296">
        <v>0</v>
      </c>
      <c r="AO4296">
        <v>0</v>
      </c>
      <c r="AP4296" s="2">
        <v>42746</v>
      </c>
      <c r="AQ4296" t="s">
        <v>72</v>
      </c>
      <c r="AR4296" t="s">
        <v>72</v>
      </c>
      <c r="AS4296">
        <v>1996</v>
      </c>
      <c r="AT4296" s="4">
        <v>42578</v>
      </c>
      <c r="AU4296" t="s">
        <v>73</v>
      </c>
      <c r="AV4296">
        <v>1996</v>
      </c>
      <c r="AW4296" s="4">
        <v>42578</v>
      </c>
      <c r="BD4296">
        <v>0</v>
      </c>
      <c r="BN4296" t="s">
        <v>74</v>
      </c>
    </row>
    <row r="4297" spans="1:66" hidden="1">
      <c r="A4297">
        <v>101541</v>
      </c>
      <c r="B4297" s="3" t="s">
        <v>467</v>
      </c>
      <c r="C4297" s="1">
        <v>43300101</v>
      </c>
      <c r="D4297" t="s">
        <v>67</v>
      </c>
      <c r="H4297" t="str">
        <f t="shared" si="459"/>
        <v>08230471008</v>
      </c>
      <c r="I4297" t="str">
        <f t="shared" si="459"/>
        <v>08230471008</v>
      </c>
      <c r="K4297" t="str">
        <f>""</f>
        <v/>
      </c>
      <c r="M4297" t="s">
        <v>68</v>
      </c>
      <c r="N4297" t="str">
        <f t="shared" si="457"/>
        <v>FOR</v>
      </c>
      <c r="O4297" t="s">
        <v>69</v>
      </c>
      <c r="P4297" s="3" t="s">
        <v>75</v>
      </c>
      <c r="Q4297">
        <v>2015</v>
      </c>
      <c r="R4297" s="2">
        <v>42247</v>
      </c>
      <c r="S4297" s="2">
        <v>42254</v>
      </c>
      <c r="T4297" s="2">
        <v>42251</v>
      </c>
      <c r="U4297" s="2">
        <v>42311</v>
      </c>
      <c r="V4297" t="s">
        <v>71</v>
      </c>
      <c r="W4297" t="str">
        <f>"               55339"</f>
        <v xml:space="preserve">               55339</v>
      </c>
      <c r="X4297">
        <v>305</v>
      </c>
      <c r="Y4297">
        <v>0</v>
      </c>
      <c r="Z4297"/>
      <c r="AB4297"/>
      <c r="AC4297">
        <v>250</v>
      </c>
      <c r="AD4297">
        <v>267</v>
      </c>
      <c r="AE4297" s="1">
        <v>66750</v>
      </c>
      <c r="AF4297">
        <v>0</v>
      </c>
      <c r="AJ4297">
        <v>0</v>
      </c>
      <c r="AK4297">
        <v>0</v>
      </c>
      <c r="AL4297">
        <v>0</v>
      </c>
      <c r="AM4297">
        <v>0</v>
      </c>
      <c r="AN4297">
        <v>0</v>
      </c>
      <c r="AO4297">
        <v>0</v>
      </c>
      <c r="AP4297" s="2">
        <v>42746</v>
      </c>
      <c r="AQ4297" t="s">
        <v>72</v>
      </c>
      <c r="AR4297" t="s">
        <v>72</v>
      </c>
      <c r="AS4297">
        <v>1996</v>
      </c>
      <c r="AT4297" s="4">
        <v>42578</v>
      </c>
      <c r="AU4297" t="s">
        <v>73</v>
      </c>
      <c r="AV4297">
        <v>1996</v>
      </c>
      <c r="AW4297" s="4">
        <v>42578</v>
      </c>
      <c r="BD4297">
        <v>0</v>
      </c>
      <c r="BN4297" t="s">
        <v>74</v>
      </c>
    </row>
    <row r="4298" spans="1:66" hidden="1">
      <c r="A4298">
        <v>101541</v>
      </c>
      <c r="B4298" s="3" t="s">
        <v>467</v>
      </c>
      <c r="C4298" s="1">
        <v>43300101</v>
      </c>
      <c r="D4298" t="s">
        <v>67</v>
      </c>
      <c r="H4298" t="str">
        <f t="shared" ref="H4298:I4317" si="460">"08230471008"</f>
        <v>08230471008</v>
      </c>
      <c r="I4298" t="str">
        <f t="shared" si="460"/>
        <v>08230471008</v>
      </c>
      <c r="K4298" t="str">
        <f>""</f>
        <v/>
      </c>
      <c r="M4298" t="s">
        <v>68</v>
      </c>
      <c r="N4298" t="str">
        <f t="shared" si="457"/>
        <v>FOR</v>
      </c>
      <c r="O4298" t="s">
        <v>69</v>
      </c>
      <c r="P4298" s="3" t="s">
        <v>75</v>
      </c>
      <c r="Q4298">
        <v>2015</v>
      </c>
      <c r="R4298" s="2">
        <v>42247</v>
      </c>
      <c r="S4298" s="2">
        <v>42254</v>
      </c>
      <c r="T4298" s="2">
        <v>42251</v>
      </c>
      <c r="U4298" s="2">
        <v>42311</v>
      </c>
      <c r="V4298" t="s">
        <v>71</v>
      </c>
      <c r="W4298" t="str">
        <f>"               55340"</f>
        <v xml:space="preserve">               55340</v>
      </c>
      <c r="X4298">
        <v>305</v>
      </c>
      <c r="Y4298">
        <v>0</v>
      </c>
      <c r="Z4298"/>
      <c r="AB4298"/>
      <c r="AC4298">
        <v>250</v>
      </c>
      <c r="AD4298">
        <v>267</v>
      </c>
      <c r="AE4298" s="1">
        <v>66750</v>
      </c>
      <c r="AF4298">
        <v>0</v>
      </c>
      <c r="AJ4298">
        <v>0</v>
      </c>
      <c r="AK4298">
        <v>0</v>
      </c>
      <c r="AL4298">
        <v>0</v>
      </c>
      <c r="AM4298">
        <v>0</v>
      </c>
      <c r="AN4298">
        <v>0</v>
      </c>
      <c r="AO4298">
        <v>0</v>
      </c>
      <c r="AP4298" s="2">
        <v>42746</v>
      </c>
      <c r="AQ4298" t="s">
        <v>72</v>
      </c>
      <c r="AR4298" t="s">
        <v>72</v>
      </c>
      <c r="AS4298">
        <v>1996</v>
      </c>
      <c r="AT4298" s="4">
        <v>42578</v>
      </c>
      <c r="AU4298" t="s">
        <v>73</v>
      </c>
      <c r="AV4298">
        <v>1996</v>
      </c>
      <c r="AW4298" s="4">
        <v>42578</v>
      </c>
      <c r="BD4298">
        <v>0</v>
      </c>
      <c r="BN4298" t="s">
        <v>74</v>
      </c>
    </row>
    <row r="4299" spans="1:66" hidden="1">
      <c r="A4299">
        <v>101541</v>
      </c>
      <c r="B4299" s="3" t="s">
        <v>467</v>
      </c>
      <c r="C4299" s="1">
        <v>43300101</v>
      </c>
      <c r="D4299" t="s">
        <v>67</v>
      </c>
      <c r="H4299" t="str">
        <f t="shared" si="460"/>
        <v>08230471008</v>
      </c>
      <c r="I4299" t="str">
        <f t="shared" si="460"/>
        <v>08230471008</v>
      </c>
      <c r="K4299" t="str">
        <f>""</f>
        <v/>
      </c>
      <c r="M4299" t="s">
        <v>68</v>
      </c>
      <c r="N4299" t="str">
        <f t="shared" si="457"/>
        <v>FOR</v>
      </c>
      <c r="O4299" t="s">
        <v>69</v>
      </c>
      <c r="P4299" s="3" t="s">
        <v>75</v>
      </c>
      <c r="Q4299">
        <v>2015</v>
      </c>
      <c r="R4299" s="2">
        <v>42247</v>
      </c>
      <c r="S4299" s="2">
        <v>42254</v>
      </c>
      <c r="T4299" s="2">
        <v>42251</v>
      </c>
      <c r="U4299" s="2">
        <v>42311</v>
      </c>
      <c r="V4299" t="s">
        <v>71</v>
      </c>
      <c r="W4299" t="str">
        <f>"               55341"</f>
        <v xml:space="preserve">               55341</v>
      </c>
      <c r="X4299">
        <v>305</v>
      </c>
      <c r="Y4299">
        <v>0</v>
      </c>
      <c r="Z4299"/>
      <c r="AB4299"/>
      <c r="AC4299">
        <v>250</v>
      </c>
      <c r="AD4299">
        <v>267</v>
      </c>
      <c r="AE4299" s="1">
        <v>66750</v>
      </c>
      <c r="AF4299">
        <v>0</v>
      </c>
      <c r="AJ4299">
        <v>0</v>
      </c>
      <c r="AK4299">
        <v>0</v>
      </c>
      <c r="AL4299">
        <v>0</v>
      </c>
      <c r="AM4299">
        <v>0</v>
      </c>
      <c r="AN4299">
        <v>0</v>
      </c>
      <c r="AO4299">
        <v>0</v>
      </c>
      <c r="AP4299" s="2">
        <v>42746</v>
      </c>
      <c r="AQ4299" t="s">
        <v>72</v>
      </c>
      <c r="AR4299" t="s">
        <v>72</v>
      </c>
      <c r="AS4299">
        <v>1996</v>
      </c>
      <c r="AT4299" s="4">
        <v>42578</v>
      </c>
      <c r="AU4299" t="s">
        <v>73</v>
      </c>
      <c r="AV4299">
        <v>1996</v>
      </c>
      <c r="AW4299" s="4">
        <v>42578</v>
      </c>
      <c r="BD4299">
        <v>0</v>
      </c>
      <c r="BN4299" t="s">
        <v>74</v>
      </c>
    </row>
    <row r="4300" spans="1:66" hidden="1">
      <c r="A4300">
        <v>101541</v>
      </c>
      <c r="B4300" s="3" t="s">
        <v>467</v>
      </c>
      <c r="C4300" s="1">
        <v>43300101</v>
      </c>
      <c r="D4300" t="s">
        <v>67</v>
      </c>
      <c r="H4300" t="str">
        <f t="shared" si="460"/>
        <v>08230471008</v>
      </c>
      <c r="I4300" t="str">
        <f t="shared" si="460"/>
        <v>08230471008</v>
      </c>
      <c r="K4300" t="str">
        <f>""</f>
        <v/>
      </c>
      <c r="M4300" t="s">
        <v>68</v>
      </c>
      <c r="N4300" t="str">
        <f t="shared" si="457"/>
        <v>FOR</v>
      </c>
      <c r="O4300" t="s">
        <v>69</v>
      </c>
      <c r="P4300" s="3" t="s">
        <v>75</v>
      </c>
      <c r="Q4300">
        <v>2015</v>
      </c>
      <c r="R4300" s="2">
        <v>42247</v>
      </c>
      <c r="S4300" s="2">
        <v>42251</v>
      </c>
      <c r="T4300" s="2">
        <v>42251</v>
      </c>
      <c r="U4300" s="2">
        <v>42311</v>
      </c>
      <c r="V4300" t="s">
        <v>71</v>
      </c>
      <c r="W4300" t="str">
        <f>"               55342"</f>
        <v xml:space="preserve">               55342</v>
      </c>
      <c r="X4300">
        <v>305</v>
      </c>
      <c r="Y4300">
        <v>0</v>
      </c>
      <c r="Z4300"/>
      <c r="AB4300"/>
      <c r="AC4300">
        <v>250</v>
      </c>
      <c r="AD4300">
        <v>267</v>
      </c>
      <c r="AE4300" s="1">
        <v>66750</v>
      </c>
      <c r="AF4300">
        <v>0</v>
      </c>
      <c r="AJ4300">
        <v>0</v>
      </c>
      <c r="AK4300">
        <v>0</v>
      </c>
      <c r="AL4300">
        <v>0</v>
      </c>
      <c r="AM4300">
        <v>0</v>
      </c>
      <c r="AN4300">
        <v>0</v>
      </c>
      <c r="AO4300">
        <v>0</v>
      </c>
      <c r="AP4300" s="2">
        <v>42746</v>
      </c>
      <c r="AQ4300" t="s">
        <v>72</v>
      </c>
      <c r="AR4300" t="s">
        <v>72</v>
      </c>
      <c r="AS4300">
        <v>1996</v>
      </c>
      <c r="AT4300" s="4">
        <v>42578</v>
      </c>
      <c r="AU4300" t="s">
        <v>73</v>
      </c>
      <c r="AV4300">
        <v>1996</v>
      </c>
      <c r="AW4300" s="4">
        <v>42578</v>
      </c>
      <c r="BD4300">
        <v>0</v>
      </c>
      <c r="BN4300" t="s">
        <v>74</v>
      </c>
    </row>
    <row r="4301" spans="1:66" hidden="1">
      <c r="A4301">
        <v>101541</v>
      </c>
      <c r="B4301" s="3" t="s">
        <v>467</v>
      </c>
      <c r="C4301" s="1">
        <v>43300101</v>
      </c>
      <c r="D4301" t="s">
        <v>67</v>
      </c>
      <c r="H4301" t="str">
        <f t="shared" si="460"/>
        <v>08230471008</v>
      </c>
      <c r="I4301" t="str">
        <f t="shared" si="460"/>
        <v>08230471008</v>
      </c>
      <c r="K4301" t="str">
        <f>""</f>
        <v/>
      </c>
      <c r="M4301" t="s">
        <v>68</v>
      </c>
      <c r="N4301" t="str">
        <f t="shared" si="457"/>
        <v>FOR</v>
      </c>
      <c r="O4301" t="s">
        <v>69</v>
      </c>
      <c r="P4301" s="3" t="s">
        <v>75</v>
      </c>
      <c r="Q4301">
        <v>2015</v>
      </c>
      <c r="R4301" s="2">
        <v>42247</v>
      </c>
      <c r="S4301" s="2">
        <v>42254</v>
      </c>
      <c r="T4301" s="2">
        <v>42251</v>
      </c>
      <c r="U4301" s="2">
        <v>42311</v>
      </c>
      <c r="V4301" t="s">
        <v>71</v>
      </c>
      <c r="W4301" t="str">
        <f>"               55343"</f>
        <v xml:space="preserve">               55343</v>
      </c>
      <c r="X4301" s="1">
        <v>4575</v>
      </c>
      <c r="Y4301">
        <v>0</v>
      </c>
      <c r="Z4301"/>
      <c r="AB4301"/>
      <c r="AC4301" s="1">
        <v>3750</v>
      </c>
      <c r="AD4301">
        <v>267</v>
      </c>
      <c r="AE4301" s="1">
        <v>1001250</v>
      </c>
      <c r="AF4301">
        <v>0</v>
      </c>
      <c r="AJ4301">
        <v>0</v>
      </c>
      <c r="AK4301">
        <v>0</v>
      </c>
      <c r="AL4301">
        <v>0</v>
      </c>
      <c r="AM4301">
        <v>0</v>
      </c>
      <c r="AN4301">
        <v>0</v>
      </c>
      <c r="AO4301">
        <v>0</v>
      </c>
      <c r="AP4301" s="2">
        <v>42746</v>
      </c>
      <c r="AQ4301" t="s">
        <v>72</v>
      </c>
      <c r="AR4301" t="s">
        <v>72</v>
      </c>
      <c r="AS4301">
        <v>1996</v>
      </c>
      <c r="AT4301" s="4">
        <v>42578</v>
      </c>
      <c r="AU4301" t="s">
        <v>73</v>
      </c>
      <c r="AV4301">
        <v>1996</v>
      </c>
      <c r="AW4301" s="4">
        <v>42578</v>
      </c>
      <c r="BD4301">
        <v>0</v>
      </c>
      <c r="BN4301" t="s">
        <v>74</v>
      </c>
    </row>
    <row r="4302" spans="1:66" hidden="1">
      <c r="A4302">
        <v>101541</v>
      </c>
      <c r="B4302" s="3" t="s">
        <v>467</v>
      </c>
      <c r="C4302" s="1">
        <v>43300101</v>
      </c>
      <c r="D4302" t="s">
        <v>67</v>
      </c>
      <c r="H4302" t="str">
        <f t="shared" si="460"/>
        <v>08230471008</v>
      </c>
      <c r="I4302" t="str">
        <f t="shared" si="460"/>
        <v>08230471008</v>
      </c>
      <c r="K4302" t="str">
        <f>""</f>
        <v/>
      </c>
      <c r="M4302" t="s">
        <v>68</v>
      </c>
      <c r="N4302" t="str">
        <f t="shared" si="457"/>
        <v>FOR</v>
      </c>
      <c r="O4302" t="s">
        <v>69</v>
      </c>
      <c r="P4302" s="3" t="s">
        <v>75</v>
      </c>
      <c r="Q4302">
        <v>2015</v>
      </c>
      <c r="R4302" s="2">
        <v>42258</v>
      </c>
      <c r="S4302" s="2">
        <v>42282</v>
      </c>
      <c r="T4302" s="2">
        <v>42269</v>
      </c>
      <c r="U4302" s="2">
        <v>42329</v>
      </c>
      <c r="V4302" t="s">
        <v>71</v>
      </c>
      <c r="W4302" t="str">
        <f>"               55701"</f>
        <v xml:space="preserve">               55701</v>
      </c>
      <c r="X4302" s="1">
        <v>15555</v>
      </c>
      <c r="Y4302">
        <v>0</v>
      </c>
      <c r="Z4302"/>
      <c r="AB4302"/>
      <c r="AC4302" s="1">
        <v>12750</v>
      </c>
      <c r="AD4302">
        <v>290</v>
      </c>
      <c r="AE4302" s="1">
        <v>3697500</v>
      </c>
      <c r="AF4302">
        <v>0</v>
      </c>
      <c r="AJ4302">
        <v>0</v>
      </c>
      <c r="AK4302">
        <v>0</v>
      </c>
      <c r="AL4302">
        <v>0</v>
      </c>
      <c r="AM4302">
        <v>0</v>
      </c>
      <c r="AN4302">
        <v>0</v>
      </c>
      <c r="AO4302">
        <v>0</v>
      </c>
      <c r="AP4302" s="2">
        <v>42746</v>
      </c>
      <c r="AQ4302" t="s">
        <v>72</v>
      </c>
      <c r="AR4302" t="s">
        <v>72</v>
      </c>
      <c r="AS4302">
        <v>2277</v>
      </c>
      <c r="AT4302" s="4">
        <v>42619</v>
      </c>
      <c r="AU4302" t="s">
        <v>73</v>
      </c>
      <c r="AV4302">
        <v>2277</v>
      </c>
      <c r="AW4302" s="4">
        <v>42619</v>
      </c>
      <c r="BD4302">
        <v>0</v>
      </c>
      <c r="BN4302" t="s">
        <v>74</v>
      </c>
    </row>
    <row r="4303" spans="1:66" hidden="1">
      <c r="A4303">
        <v>101541</v>
      </c>
      <c r="B4303" s="3" t="s">
        <v>467</v>
      </c>
      <c r="C4303" s="1">
        <v>43300101</v>
      </c>
      <c r="D4303" t="s">
        <v>67</v>
      </c>
      <c r="H4303" t="str">
        <f t="shared" si="460"/>
        <v>08230471008</v>
      </c>
      <c r="I4303" t="str">
        <f t="shared" si="460"/>
        <v>08230471008</v>
      </c>
      <c r="K4303" t="str">
        <f>""</f>
        <v/>
      </c>
      <c r="M4303" t="s">
        <v>68</v>
      </c>
      <c r="N4303" t="str">
        <f t="shared" si="457"/>
        <v>FOR</v>
      </c>
      <c r="O4303" t="s">
        <v>69</v>
      </c>
      <c r="P4303" s="3" t="s">
        <v>75</v>
      </c>
      <c r="Q4303">
        <v>2015</v>
      </c>
      <c r="R4303" s="2">
        <v>42258</v>
      </c>
      <c r="S4303" s="2">
        <v>42265</v>
      </c>
      <c r="T4303" s="2">
        <v>42265</v>
      </c>
      <c r="U4303" s="2">
        <v>42325</v>
      </c>
      <c r="V4303" t="s">
        <v>71</v>
      </c>
      <c r="W4303" t="str">
        <f>"               55702"</f>
        <v xml:space="preserve">               55702</v>
      </c>
      <c r="X4303">
        <v>305</v>
      </c>
      <c r="Y4303">
        <v>0</v>
      </c>
      <c r="Z4303"/>
      <c r="AB4303"/>
      <c r="AC4303">
        <v>250</v>
      </c>
      <c r="AD4303">
        <v>294</v>
      </c>
      <c r="AE4303" s="1">
        <v>73500</v>
      </c>
      <c r="AF4303">
        <v>0</v>
      </c>
      <c r="AJ4303">
        <v>0</v>
      </c>
      <c r="AK4303">
        <v>0</v>
      </c>
      <c r="AL4303">
        <v>0</v>
      </c>
      <c r="AM4303">
        <v>0</v>
      </c>
      <c r="AN4303">
        <v>0</v>
      </c>
      <c r="AO4303">
        <v>0</v>
      </c>
      <c r="AP4303" s="2">
        <v>42746</v>
      </c>
      <c r="AQ4303" t="s">
        <v>72</v>
      </c>
      <c r="AR4303" t="s">
        <v>72</v>
      </c>
      <c r="AS4303">
        <v>2277</v>
      </c>
      <c r="AT4303" s="4">
        <v>42619</v>
      </c>
      <c r="AU4303" t="s">
        <v>73</v>
      </c>
      <c r="AV4303">
        <v>2277</v>
      </c>
      <c r="AW4303" s="4">
        <v>42619</v>
      </c>
      <c r="BD4303">
        <v>0</v>
      </c>
      <c r="BN4303" t="s">
        <v>74</v>
      </c>
    </row>
    <row r="4304" spans="1:66" hidden="1">
      <c r="A4304">
        <v>101541</v>
      </c>
      <c r="B4304" s="3" t="s">
        <v>467</v>
      </c>
      <c r="C4304" s="1">
        <v>43300101</v>
      </c>
      <c r="D4304" t="s">
        <v>67</v>
      </c>
      <c r="H4304" t="str">
        <f t="shared" si="460"/>
        <v>08230471008</v>
      </c>
      <c r="I4304" t="str">
        <f t="shared" si="460"/>
        <v>08230471008</v>
      </c>
      <c r="K4304" t="str">
        <f>""</f>
        <v/>
      </c>
      <c r="M4304" t="s">
        <v>68</v>
      </c>
      <c r="N4304" t="str">
        <f t="shared" ref="N4304:N4367" si="461">"FOR"</f>
        <v>FOR</v>
      </c>
      <c r="O4304" t="s">
        <v>69</v>
      </c>
      <c r="P4304" s="3" t="s">
        <v>75</v>
      </c>
      <c r="Q4304">
        <v>2015</v>
      </c>
      <c r="R4304" s="2">
        <v>42258</v>
      </c>
      <c r="S4304" s="2">
        <v>42265</v>
      </c>
      <c r="T4304" s="2">
        <v>42265</v>
      </c>
      <c r="U4304" s="2">
        <v>42325</v>
      </c>
      <c r="V4304" t="s">
        <v>71</v>
      </c>
      <c r="W4304" t="str">
        <f>"               55703"</f>
        <v xml:space="preserve">               55703</v>
      </c>
      <c r="X4304">
        <v>305</v>
      </c>
      <c r="Y4304">
        <v>0</v>
      </c>
      <c r="Z4304"/>
      <c r="AB4304"/>
      <c r="AC4304">
        <v>250</v>
      </c>
      <c r="AD4304">
        <v>294</v>
      </c>
      <c r="AE4304" s="1">
        <v>73500</v>
      </c>
      <c r="AF4304">
        <v>0</v>
      </c>
      <c r="AJ4304">
        <v>0</v>
      </c>
      <c r="AK4304">
        <v>0</v>
      </c>
      <c r="AL4304">
        <v>0</v>
      </c>
      <c r="AM4304">
        <v>0</v>
      </c>
      <c r="AN4304">
        <v>0</v>
      </c>
      <c r="AO4304">
        <v>0</v>
      </c>
      <c r="AP4304" s="2">
        <v>42746</v>
      </c>
      <c r="AQ4304" t="s">
        <v>72</v>
      </c>
      <c r="AR4304" t="s">
        <v>72</v>
      </c>
      <c r="AS4304">
        <v>2277</v>
      </c>
      <c r="AT4304" s="4">
        <v>42619</v>
      </c>
      <c r="AU4304" t="s">
        <v>73</v>
      </c>
      <c r="AV4304">
        <v>2277</v>
      </c>
      <c r="AW4304" s="4">
        <v>42619</v>
      </c>
      <c r="BD4304">
        <v>0</v>
      </c>
      <c r="BN4304" t="s">
        <v>74</v>
      </c>
    </row>
    <row r="4305" spans="1:66" hidden="1">
      <c r="A4305">
        <v>101541</v>
      </c>
      <c r="B4305" s="3" t="s">
        <v>467</v>
      </c>
      <c r="C4305" s="1">
        <v>43300101</v>
      </c>
      <c r="D4305" t="s">
        <v>67</v>
      </c>
      <c r="H4305" t="str">
        <f t="shared" si="460"/>
        <v>08230471008</v>
      </c>
      <c r="I4305" t="str">
        <f t="shared" si="460"/>
        <v>08230471008</v>
      </c>
      <c r="K4305" t="str">
        <f>""</f>
        <v/>
      </c>
      <c r="M4305" t="s">
        <v>68</v>
      </c>
      <c r="N4305" t="str">
        <f t="shared" si="461"/>
        <v>FOR</v>
      </c>
      <c r="O4305" t="s">
        <v>69</v>
      </c>
      <c r="P4305" s="3" t="s">
        <v>75</v>
      </c>
      <c r="Q4305">
        <v>2015</v>
      </c>
      <c r="R4305" s="2">
        <v>42258</v>
      </c>
      <c r="S4305" s="2">
        <v>42268</v>
      </c>
      <c r="T4305" s="2">
        <v>42265</v>
      </c>
      <c r="U4305" s="2">
        <v>42325</v>
      </c>
      <c r="V4305" t="s">
        <v>71</v>
      </c>
      <c r="W4305" t="str">
        <f>"               55704"</f>
        <v xml:space="preserve">               55704</v>
      </c>
      <c r="X4305">
        <v>305</v>
      </c>
      <c r="Y4305">
        <v>0</v>
      </c>
      <c r="Z4305"/>
      <c r="AB4305"/>
      <c r="AC4305">
        <v>250</v>
      </c>
      <c r="AD4305">
        <v>294</v>
      </c>
      <c r="AE4305" s="1">
        <v>73500</v>
      </c>
      <c r="AF4305">
        <v>0</v>
      </c>
      <c r="AJ4305">
        <v>0</v>
      </c>
      <c r="AK4305">
        <v>0</v>
      </c>
      <c r="AL4305">
        <v>0</v>
      </c>
      <c r="AM4305">
        <v>0</v>
      </c>
      <c r="AN4305">
        <v>0</v>
      </c>
      <c r="AO4305">
        <v>0</v>
      </c>
      <c r="AP4305" s="2">
        <v>42746</v>
      </c>
      <c r="AQ4305" t="s">
        <v>72</v>
      </c>
      <c r="AR4305" t="s">
        <v>72</v>
      </c>
      <c r="AS4305">
        <v>2277</v>
      </c>
      <c r="AT4305" s="4">
        <v>42619</v>
      </c>
      <c r="AU4305" t="s">
        <v>73</v>
      </c>
      <c r="AV4305">
        <v>2277</v>
      </c>
      <c r="AW4305" s="4">
        <v>42619</v>
      </c>
      <c r="BD4305">
        <v>0</v>
      </c>
      <c r="BN4305" t="s">
        <v>74</v>
      </c>
    </row>
    <row r="4306" spans="1:66" hidden="1">
      <c r="A4306">
        <v>101541</v>
      </c>
      <c r="B4306" s="3" t="s">
        <v>467</v>
      </c>
      <c r="C4306" s="1">
        <v>43300101</v>
      </c>
      <c r="D4306" t="s">
        <v>67</v>
      </c>
      <c r="H4306" t="str">
        <f t="shared" si="460"/>
        <v>08230471008</v>
      </c>
      <c r="I4306" t="str">
        <f t="shared" si="460"/>
        <v>08230471008</v>
      </c>
      <c r="K4306" t="str">
        <f>""</f>
        <v/>
      </c>
      <c r="M4306" t="s">
        <v>68</v>
      </c>
      <c r="N4306" t="str">
        <f t="shared" si="461"/>
        <v>FOR</v>
      </c>
      <c r="O4306" t="s">
        <v>69</v>
      </c>
      <c r="P4306" s="3" t="s">
        <v>75</v>
      </c>
      <c r="Q4306">
        <v>2015</v>
      </c>
      <c r="R4306" s="2">
        <v>42258</v>
      </c>
      <c r="S4306" s="2">
        <v>42268</v>
      </c>
      <c r="T4306" s="2">
        <v>42265</v>
      </c>
      <c r="U4306" s="2">
        <v>42325</v>
      </c>
      <c r="V4306" t="s">
        <v>71</v>
      </c>
      <c r="W4306" t="str">
        <f>"               55705"</f>
        <v xml:space="preserve">               55705</v>
      </c>
      <c r="X4306">
        <v>305</v>
      </c>
      <c r="Y4306">
        <v>0</v>
      </c>
      <c r="Z4306"/>
      <c r="AB4306"/>
      <c r="AC4306">
        <v>250</v>
      </c>
      <c r="AD4306">
        <v>294</v>
      </c>
      <c r="AE4306" s="1">
        <v>73500</v>
      </c>
      <c r="AF4306">
        <v>0</v>
      </c>
      <c r="AJ4306">
        <v>0</v>
      </c>
      <c r="AK4306">
        <v>0</v>
      </c>
      <c r="AL4306">
        <v>0</v>
      </c>
      <c r="AM4306">
        <v>0</v>
      </c>
      <c r="AN4306">
        <v>0</v>
      </c>
      <c r="AO4306">
        <v>0</v>
      </c>
      <c r="AP4306" s="2">
        <v>42746</v>
      </c>
      <c r="AQ4306" t="s">
        <v>72</v>
      </c>
      <c r="AR4306" t="s">
        <v>72</v>
      </c>
      <c r="AS4306">
        <v>2277</v>
      </c>
      <c r="AT4306" s="4">
        <v>42619</v>
      </c>
      <c r="AU4306" t="s">
        <v>73</v>
      </c>
      <c r="AV4306">
        <v>2277</v>
      </c>
      <c r="AW4306" s="4">
        <v>42619</v>
      </c>
      <c r="BD4306">
        <v>0</v>
      </c>
      <c r="BN4306" t="s">
        <v>74</v>
      </c>
    </row>
    <row r="4307" spans="1:66" hidden="1">
      <c r="A4307">
        <v>101541</v>
      </c>
      <c r="B4307" s="3" t="s">
        <v>467</v>
      </c>
      <c r="C4307" s="1">
        <v>43300101</v>
      </c>
      <c r="D4307" t="s">
        <v>67</v>
      </c>
      <c r="H4307" t="str">
        <f t="shared" si="460"/>
        <v>08230471008</v>
      </c>
      <c r="I4307" t="str">
        <f t="shared" si="460"/>
        <v>08230471008</v>
      </c>
      <c r="K4307" t="str">
        <f>""</f>
        <v/>
      </c>
      <c r="M4307" t="s">
        <v>68</v>
      </c>
      <c r="N4307" t="str">
        <f t="shared" si="461"/>
        <v>FOR</v>
      </c>
      <c r="O4307" t="s">
        <v>69</v>
      </c>
      <c r="P4307" s="3" t="s">
        <v>75</v>
      </c>
      <c r="Q4307">
        <v>2015</v>
      </c>
      <c r="R4307" s="2">
        <v>42265</v>
      </c>
      <c r="S4307" s="2">
        <v>42272</v>
      </c>
      <c r="T4307" s="2">
        <v>42272</v>
      </c>
      <c r="U4307" s="2">
        <v>42332</v>
      </c>
      <c r="V4307" t="s">
        <v>71</v>
      </c>
      <c r="W4307" t="str">
        <f>"               55953"</f>
        <v xml:space="preserve">               55953</v>
      </c>
      <c r="X4307">
        <v>305</v>
      </c>
      <c r="Y4307">
        <v>0</v>
      </c>
      <c r="Z4307"/>
      <c r="AB4307"/>
      <c r="AC4307">
        <v>250</v>
      </c>
      <c r="AD4307">
        <v>287</v>
      </c>
      <c r="AE4307" s="1">
        <v>71750</v>
      </c>
      <c r="AF4307">
        <v>0</v>
      </c>
      <c r="AJ4307">
        <v>0</v>
      </c>
      <c r="AK4307">
        <v>0</v>
      </c>
      <c r="AL4307">
        <v>0</v>
      </c>
      <c r="AM4307">
        <v>0</v>
      </c>
      <c r="AN4307">
        <v>0</v>
      </c>
      <c r="AO4307">
        <v>0</v>
      </c>
      <c r="AP4307" s="2">
        <v>42746</v>
      </c>
      <c r="AQ4307" t="s">
        <v>72</v>
      </c>
      <c r="AR4307" t="s">
        <v>72</v>
      </c>
      <c r="AS4307">
        <v>2277</v>
      </c>
      <c r="AT4307" s="4">
        <v>42619</v>
      </c>
      <c r="AU4307" t="s">
        <v>73</v>
      </c>
      <c r="AV4307">
        <v>2277</v>
      </c>
      <c r="AW4307" s="4">
        <v>42619</v>
      </c>
      <c r="BD4307">
        <v>0</v>
      </c>
      <c r="BN4307" t="s">
        <v>74</v>
      </c>
    </row>
    <row r="4308" spans="1:66" hidden="1">
      <c r="A4308">
        <v>101541</v>
      </c>
      <c r="B4308" s="3" t="s">
        <v>467</v>
      </c>
      <c r="C4308" s="1">
        <v>43300101</v>
      </c>
      <c r="D4308" t="s">
        <v>67</v>
      </c>
      <c r="H4308" t="str">
        <f t="shared" si="460"/>
        <v>08230471008</v>
      </c>
      <c r="I4308" t="str">
        <f t="shared" si="460"/>
        <v>08230471008</v>
      </c>
      <c r="K4308" t="str">
        <f>""</f>
        <v/>
      </c>
      <c r="M4308" t="s">
        <v>68</v>
      </c>
      <c r="N4308" t="str">
        <f t="shared" si="461"/>
        <v>FOR</v>
      </c>
      <c r="O4308" t="s">
        <v>69</v>
      </c>
      <c r="P4308" s="3" t="s">
        <v>75</v>
      </c>
      <c r="Q4308">
        <v>2015</v>
      </c>
      <c r="R4308" s="2">
        <v>42265</v>
      </c>
      <c r="S4308" s="2">
        <v>42275</v>
      </c>
      <c r="T4308" s="2">
        <v>42272</v>
      </c>
      <c r="U4308" s="2">
        <v>42332</v>
      </c>
      <c r="V4308" t="s">
        <v>71</v>
      </c>
      <c r="W4308" t="str">
        <f>"               55954"</f>
        <v xml:space="preserve">               55954</v>
      </c>
      <c r="X4308">
        <v>305</v>
      </c>
      <c r="Y4308">
        <v>0</v>
      </c>
      <c r="Z4308"/>
      <c r="AB4308"/>
      <c r="AC4308">
        <v>250</v>
      </c>
      <c r="AD4308">
        <v>287</v>
      </c>
      <c r="AE4308" s="1">
        <v>71750</v>
      </c>
      <c r="AF4308">
        <v>0</v>
      </c>
      <c r="AJ4308">
        <v>0</v>
      </c>
      <c r="AK4308">
        <v>0</v>
      </c>
      <c r="AL4308">
        <v>0</v>
      </c>
      <c r="AM4308">
        <v>0</v>
      </c>
      <c r="AN4308">
        <v>0</v>
      </c>
      <c r="AO4308">
        <v>0</v>
      </c>
      <c r="AP4308" s="2">
        <v>42746</v>
      </c>
      <c r="AQ4308" t="s">
        <v>72</v>
      </c>
      <c r="AR4308" t="s">
        <v>72</v>
      </c>
      <c r="AS4308">
        <v>2277</v>
      </c>
      <c r="AT4308" s="4">
        <v>42619</v>
      </c>
      <c r="AU4308" t="s">
        <v>73</v>
      </c>
      <c r="AV4308">
        <v>2277</v>
      </c>
      <c r="AW4308" s="4">
        <v>42619</v>
      </c>
      <c r="BD4308">
        <v>0</v>
      </c>
      <c r="BN4308" t="s">
        <v>74</v>
      </c>
    </row>
    <row r="4309" spans="1:66" hidden="1">
      <c r="A4309">
        <v>101541</v>
      </c>
      <c r="B4309" s="3" t="s">
        <v>467</v>
      </c>
      <c r="C4309" s="1">
        <v>43300101</v>
      </c>
      <c r="D4309" t="s">
        <v>67</v>
      </c>
      <c r="H4309" t="str">
        <f t="shared" si="460"/>
        <v>08230471008</v>
      </c>
      <c r="I4309" t="str">
        <f t="shared" si="460"/>
        <v>08230471008</v>
      </c>
      <c r="K4309" t="str">
        <f>""</f>
        <v/>
      </c>
      <c r="M4309" t="s">
        <v>68</v>
      </c>
      <c r="N4309" t="str">
        <f t="shared" si="461"/>
        <v>FOR</v>
      </c>
      <c r="O4309" t="s">
        <v>69</v>
      </c>
      <c r="P4309" s="3" t="s">
        <v>75</v>
      </c>
      <c r="Q4309">
        <v>2015</v>
      </c>
      <c r="R4309" s="2">
        <v>42265</v>
      </c>
      <c r="S4309" s="2">
        <v>42272</v>
      </c>
      <c r="T4309" s="2">
        <v>42272</v>
      </c>
      <c r="U4309" s="2">
        <v>42332</v>
      </c>
      <c r="V4309" t="s">
        <v>71</v>
      </c>
      <c r="W4309" t="str">
        <f>"               55955"</f>
        <v xml:space="preserve">               55955</v>
      </c>
      <c r="X4309">
        <v>305</v>
      </c>
      <c r="Y4309">
        <v>0</v>
      </c>
      <c r="Z4309"/>
      <c r="AB4309"/>
      <c r="AC4309">
        <v>250</v>
      </c>
      <c r="AD4309">
        <v>287</v>
      </c>
      <c r="AE4309" s="1">
        <v>71750</v>
      </c>
      <c r="AF4309">
        <v>0</v>
      </c>
      <c r="AJ4309">
        <v>0</v>
      </c>
      <c r="AK4309">
        <v>0</v>
      </c>
      <c r="AL4309">
        <v>0</v>
      </c>
      <c r="AM4309">
        <v>0</v>
      </c>
      <c r="AN4309">
        <v>0</v>
      </c>
      <c r="AO4309">
        <v>0</v>
      </c>
      <c r="AP4309" s="2">
        <v>42746</v>
      </c>
      <c r="AQ4309" t="s">
        <v>72</v>
      </c>
      <c r="AR4309" t="s">
        <v>72</v>
      </c>
      <c r="AS4309">
        <v>2277</v>
      </c>
      <c r="AT4309" s="4">
        <v>42619</v>
      </c>
      <c r="AU4309" t="s">
        <v>73</v>
      </c>
      <c r="AV4309">
        <v>2277</v>
      </c>
      <c r="AW4309" s="4">
        <v>42619</v>
      </c>
      <c r="BD4309">
        <v>0</v>
      </c>
      <c r="BN4309" t="s">
        <v>74</v>
      </c>
    </row>
    <row r="4310" spans="1:66" hidden="1">
      <c r="A4310">
        <v>101541</v>
      </c>
      <c r="B4310" s="3" t="s">
        <v>467</v>
      </c>
      <c r="C4310" s="1">
        <v>43300101</v>
      </c>
      <c r="D4310" t="s">
        <v>67</v>
      </c>
      <c r="H4310" t="str">
        <f t="shared" si="460"/>
        <v>08230471008</v>
      </c>
      <c r="I4310" t="str">
        <f t="shared" si="460"/>
        <v>08230471008</v>
      </c>
      <c r="K4310" t="str">
        <f>""</f>
        <v/>
      </c>
      <c r="M4310" t="s">
        <v>68</v>
      </c>
      <c r="N4310" t="str">
        <f t="shared" si="461"/>
        <v>FOR</v>
      </c>
      <c r="O4310" t="s">
        <v>69</v>
      </c>
      <c r="P4310" s="3" t="s">
        <v>75</v>
      </c>
      <c r="Q4310">
        <v>2015</v>
      </c>
      <c r="R4310" s="2">
        <v>42265</v>
      </c>
      <c r="S4310" s="2">
        <v>42272</v>
      </c>
      <c r="T4310" s="2">
        <v>42272</v>
      </c>
      <c r="U4310" s="2">
        <v>42332</v>
      </c>
      <c r="V4310" t="s">
        <v>71</v>
      </c>
      <c r="W4310" t="str">
        <f>"               55956"</f>
        <v xml:space="preserve">               55956</v>
      </c>
      <c r="X4310">
        <v>305</v>
      </c>
      <c r="Y4310">
        <v>0</v>
      </c>
      <c r="Z4310"/>
      <c r="AB4310"/>
      <c r="AC4310">
        <v>250</v>
      </c>
      <c r="AD4310">
        <v>287</v>
      </c>
      <c r="AE4310" s="1">
        <v>71750</v>
      </c>
      <c r="AF4310">
        <v>0</v>
      </c>
      <c r="AJ4310">
        <v>0</v>
      </c>
      <c r="AK4310">
        <v>0</v>
      </c>
      <c r="AL4310">
        <v>0</v>
      </c>
      <c r="AM4310">
        <v>0</v>
      </c>
      <c r="AN4310">
        <v>0</v>
      </c>
      <c r="AO4310">
        <v>0</v>
      </c>
      <c r="AP4310" s="2">
        <v>42746</v>
      </c>
      <c r="AQ4310" t="s">
        <v>72</v>
      </c>
      <c r="AR4310" t="s">
        <v>72</v>
      </c>
      <c r="AS4310">
        <v>2277</v>
      </c>
      <c r="AT4310" s="4">
        <v>42619</v>
      </c>
      <c r="AU4310" t="s">
        <v>73</v>
      </c>
      <c r="AV4310">
        <v>2277</v>
      </c>
      <c r="AW4310" s="4">
        <v>42619</v>
      </c>
      <c r="BD4310">
        <v>0</v>
      </c>
      <c r="BN4310" t="s">
        <v>74</v>
      </c>
    </row>
    <row r="4311" spans="1:66" hidden="1">
      <c r="A4311">
        <v>101541</v>
      </c>
      <c r="B4311" s="3" t="s">
        <v>467</v>
      </c>
      <c r="C4311" s="1">
        <v>43300101</v>
      </c>
      <c r="D4311" t="s">
        <v>67</v>
      </c>
      <c r="H4311" t="str">
        <f t="shared" si="460"/>
        <v>08230471008</v>
      </c>
      <c r="I4311" t="str">
        <f t="shared" si="460"/>
        <v>08230471008</v>
      </c>
      <c r="K4311" t="str">
        <f>""</f>
        <v/>
      </c>
      <c r="M4311" t="s">
        <v>68</v>
      </c>
      <c r="N4311" t="str">
        <f t="shared" si="461"/>
        <v>FOR</v>
      </c>
      <c r="O4311" t="s">
        <v>69</v>
      </c>
      <c r="P4311" s="3" t="s">
        <v>75</v>
      </c>
      <c r="Q4311">
        <v>2015</v>
      </c>
      <c r="R4311" s="2">
        <v>42265</v>
      </c>
      <c r="S4311" s="2">
        <v>42272</v>
      </c>
      <c r="T4311" s="2">
        <v>42272</v>
      </c>
      <c r="U4311" s="2">
        <v>42332</v>
      </c>
      <c r="V4311" t="s">
        <v>71</v>
      </c>
      <c r="W4311" t="str">
        <f>"               55957"</f>
        <v xml:space="preserve">               55957</v>
      </c>
      <c r="X4311">
        <v>305</v>
      </c>
      <c r="Y4311">
        <v>0</v>
      </c>
      <c r="Z4311"/>
      <c r="AB4311"/>
      <c r="AC4311">
        <v>250</v>
      </c>
      <c r="AD4311">
        <v>287</v>
      </c>
      <c r="AE4311" s="1">
        <v>71750</v>
      </c>
      <c r="AF4311">
        <v>0</v>
      </c>
      <c r="AJ4311">
        <v>0</v>
      </c>
      <c r="AK4311">
        <v>0</v>
      </c>
      <c r="AL4311">
        <v>0</v>
      </c>
      <c r="AM4311">
        <v>0</v>
      </c>
      <c r="AN4311">
        <v>0</v>
      </c>
      <c r="AO4311">
        <v>0</v>
      </c>
      <c r="AP4311" s="2">
        <v>42746</v>
      </c>
      <c r="AQ4311" t="s">
        <v>72</v>
      </c>
      <c r="AR4311" t="s">
        <v>72</v>
      </c>
      <c r="AS4311">
        <v>2277</v>
      </c>
      <c r="AT4311" s="4">
        <v>42619</v>
      </c>
      <c r="AU4311" t="s">
        <v>73</v>
      </c>
      <c r="AV4311">
        <v>2277</v>
      </c>
      <c r="AW4311" s="4">
        <v>42619</v>
      </c>
      <c r="BD4311">
        <v>0</v>
      </c>
      <c r="BN4311" t="s">
        <v>74</v>
      </c>
    </row>
    <row r="4312" spans="1:66" hidden="1">
      <c r="A4312">
        <v>101541</v>
      </c>
      <c r="B4312" s="3" t="s">
        <v>467</v>
      </c>
      <c r="C4312" s="1">
        <v>43300101</v>
      </c>
      <c r="D4312" t="s">
        <v>67</v>
      </c>
      <c r="H4312" t="str">
        <f t="shared" si="460"/>
        <v>08230471008</v>
      </c>
      <c r="I4312" t="str">
        <f t="shared" si="460"/>
        <v>08230471008</v>
      </c>
      <c r="K4312" t="str">
        <f>""</f>
        <v/>
      </c>
      <c r="M4312" t="s">
        <v>68</v>
      </c>
      <c r="N4312" t="str">
        <f t="shared" si="461"/>
        <v>FOR</v>
      </c>
      <c r="O4312" t="s">
        <v>69</v>
      </c>
      <c r="P4312" s="3" t="s">
        <v>75</v>
      </c>
      <c r="Q4312">
        <v>2015</v>
      </c>
      <c r="R4312" s="2">
        <v>42272</v>
      </c>
      <c r="S4312" s="2">
        <v>42283</v>
      </c>
      <c r="T4312" s="2">
        <v>42279</v>
      </c>
      <c r="U4312" s="2">
        <v>42339</v>
      </c>
      <c r="V4312" t="s">
        <v>71</v>
      </c>
      <c r="W4312" t="str">
        <f>"               56268"</f>
        <v xml:space="preserve">               56268</v>
      </c>
      <c r="X4312">
        <v>305</v>
      </c>
      <c r="Y4312">
        <v>0</v>
      </c>
      <c r="Z4312"/>
      <c r="AB4312"/>
      <c r="AC4312">
        <v>250</v>
      </c>
      <c r="AD4312">
        <v>280</v>
      </c>
      <c r="AE4312" s="1">
        <v>70000</v>
      </c>
      <c r="AF4312">
        <v>0</v>
      </c>
      <c r="AJ4312">
        <v>0</v>
      </c>
      <c r="AK4312">
        <v>0</v>
      </c>
      <c r="AL4312">
        <v>0</v>
      </c>
      <c r="AM4312">
        <v>0</v>
      </c>
      <c r="AN4312">
        <v>0</v>
      </c>
      <c r="AO4312">
        <v>0</v>
      </c>
      <c r="AP4312" s="2">
        <v>42746</v>
      </c>
      <c r="AQ4312" t="s">
        <v>72</v>
      </c>
      <c r="AR4312" t="s">
        <v>72</v>
      </c>
      <c r="AS4312">
        <v>2277</v>
      </c>
      <c r="AT4312" s="4">
        <v>42619</v>
      </c>
      <c r="AU4312" t="s">
        <v>73</v>
      </c>
      <c r="AV4312">
        <v>2277</v>
      </c>
      <c r="AW4312" s="4">
        <v>42619</v>
      </c>
      <c r="BD4312">
        <v>0</v>
      </c>
      <c r="BN4312" t="s">
        <v>74</v>
      </c>
    </row>
    <row r="4313" spans="1:66" hidden="1">
      <c r="A4313">
        <v>101541</v>
      </c>
      <c r="B4313" s="3" t="s">
        <v>467</v>
      </c>
      <c r="C4313" s="1">
        <v>43300101</v>
      </c>
      <c r="D4313" t="s">
        <v>67</v>
      </c>
      <c r="H4313" t="str">
        <f t="shared" si="460"/>
        <v>08230471008</v>
      </c>
      <c r="I4313" t="str">
        <f t="shared" si="460"/>
        <v>08230471008</v>
      </c>
      <c r="K4313" t="str">
        <f>""</f>
        <v/>
      </c>
      <c r="M4313" t="s">
        <v>68</v>
      </c>
      <c r="N4313" t="str">
        <f t="shared" si="461"/>
        <v>FOR</v>
      </c>
      <c r="O4313" t="s">
        <v>69</v>
      </c>
      <c r="P4313" s="3" t="s">
        <v>75</v>
      </c>
      <c r="Q4313">
        <v>2015</v>
      </c>
      <c r="R4313" s="2">
        <v>42272</v>
      </c>
      <c r="S4313" s="2">
        <v>42283</v>
      </c>
      <c r="T4313" s="2">
        <v>42279</v>
      </c>
      <c r="U4313" s="2">
        <v>42339</v>
      </c>
      <c r="V4313" t="s">
        <v>71</v>
      </c>
      <c r="W4313" t="str">
        <f>"               56269"</f>
        <v xml:space="preserve">               56269</v>
      </c>
      <c r="X4313">
        <v>305</v>
      </c>
      <c r="Y4313">
        <v>0</v>
      </c>
      <c r="Z4313"/>
      <c r="AB4313"/>
      <c r="AC4313">
        <v>250</v>
      </c>
      <c r="AD4313">
        <v>280</v>
      </c>
      <c r="AE4313" s="1">
        <v>70000</v>
      </c>
      <c r="AF4313">
        <v>0</v>
      </c>
      <c r="AJ4313">
        <v>0</v>
      </c>
      <c r="AK4313">
        <v>0</v>
      </c>
      <c r="AL4313">
        <v>0</v>
      </c>
      <c r="AM4313">
        <v>0</v>
      </c>
      <c r="AN4313">
        <v>0</v>
      </c>
      <c r="AO4313">
        <v>0</v>
      </c>
      <c r="AP4313" s="2">
        <v>42746</v>
      </c>
      <c r="AQ4313" t="s">
        <v>72</v>
      </c>
      <c r="AR4313" t="s">
        <v>72</v>
      </c>
      <c r="AS4313">
        <v>2277</v>
      </c>
      <c r="AT4313" s="4">
        <v>42619</v>
      </c>
      <c r="AU4313" t="s">
        <v>73</v>
      </c>
      <c r="AV4313">
        <v>2277</v>
      </c>
      <c r="AW4313" s="4">
        <v>42619</v>
      </c>
      <c r="BD4313">
        <v>0</v>
      </c>
      <c r="BN4313" t="s">
        <v>74</v>
      </c>
    </row>
    <row r="4314" spans="1:66" hidden="1">
      <c r="A4314">
        <v>101541</v>
      </c>
      <c r="B4314" s="3" t="s">
        <v>467</v>
      </c>
      <c r="C4314" s="1">
        <v>43300101</v>
      </c>
      <c r="D4314" t="s">
        <v>67</v>
      </c>
      <c r="H4314" t="str">
        <f t="shared" si="460"/>
        <v>08230471008</v>
      </c>
      <c r="I4314" t="str">
        <f t="shared" si="460"/>
        <v>08230471008</v>
      </c>
      <c r="K4314" t="str">
        <f>""</f>
        <v/>
      </c>
      <c r="M4314" t="s">
        <v>68</v>
      </c>
      <c r="N4314" t="str">
        <f t="shared" si="461"/>
        <v>FOR</v>
      </c>
      <c r="O4314" t="s">
        <v>69</v>
      </c>
      <c r="P4314" s="3" t="s">
        <v>75</v>
      </c>
      <c r="Q4314">
        <v>2015</v>
      </c>
      <c r="R4314" s="2">
        <v>42272</v>
      </c>
      <c r="S4314" s="2">
        <v>42282</v>
      </c>
      <c r="T4314" s="2">
        <v>42279</v>
      </c>
      <c r="U4314" s="2">
        <v>42339</v>
      </c>
      <c r="V4314" t="s">
        <v>71</v>
      </c>
      <c r="W4314" t="str">
        <f>"               56270"</f>
        <v xml:space="preserve">               56270</v>
      </c>
      <c r="X4314">
        <v>305</v>
      </c>
      <c r="Y4314">
        <v>0</v>
      </c>
      <c r="Z4314"/>
      <c r="AB4314"/>
      <c r="AC4314">
        <v>250</v>
      </c>
      <c r="AD4314">
        <v>280</v>
      </c>
      <c r="AE4314" s="1">
        <v>70000</v>
      </c>
      <c r="AF4314">
        <v>0</v>
      </c>
      <c r="AJ4314">
        <v>0</v>
      </c>
      <c r="AK4314">
        <v>0</v>
      </c>
      <c r="AL4314">
        <v>0</v>
      </c>
      <c r="AM4314">
        <v>0</v>
      </c>
      <c r="AN4314">
        <v>0</v>
      </c>
      <c r="AO4314">
        <v>0</v>
      </c>
      <c r="AP4314" s="2">
        <v>42746</v>
      </c>
      <c r="AQ4314" t="s">
        <v>72</v>
      </c>
      <c r="AR4314" t="s">
        <v>72</v>
      </c>
      <c r="AS4314">
        <v>2277</v>
      </c>
      <c r="AT4314" s="4">
        <v>42619</v>
      </c>
      <c r="AU4314" t="s">
        <v>73</v>
      </c>
      <c r="AV4314">
        <v>2277</v>
      </c>
      <c r="AW4314" s="4">
        <v>42619</v>
      </c>
      <c r="BD4314">
        <v>0</v>
      </c>
      <c r="BN4314" t="s">
        <v>74</v>
      </c>
    </row>
    <row r="4315" spans="1:66" hidden="1">
      <c r="A4315">
        <v>101541</v>
      </c>
      <c r="B4315" s="3" t="s">
        <v>467</v>
      </c>
      <c r="C4315" s="1">
        <v>43300101</v>
      </c>
      <c r="D4315" t="s">
        <v>67</v>
      </c>
      <c r="H4315" t="str">
        <f t="shared" si="460"/>
        <v>08230471008</v>
      </c>
      <c r="I4315" t="str">
        <f t="shared" si="460"/>
        <v>08230471008</v>
      </c>
      <c r="K4315" t="str">
        <f>""</f>
        <v/>
      </c>
      <c r="M4315" t="s">
        <v>68</v>
      </c>
      <c r="N4315" t="str">
        <f t="shared" si="461"/>
        <v>FOR</v>
      </c>
      <c r="O4315" t="s">
        <v>69</v>
      </c>
      <c r="P4315" s="3" t="s">
        <v>75</v>
      </c>
      <c r="Q4315">
        <v>2015</v>
      </c>
      <c r="R4315" s="2">
        <v>42272</v>
      </c>
      <c r="S4315" s="2">
        <v>42283</v>
      </c>
      <c r="T4315" s="2">
        <v>42279</v>
      </c>
      <c r="U4315" s="2">
        <v>42339</v>
      </c>
      <c r="V4315" t="s">
        <v>71</v>
      </c>
      <c r="W4315" t="str">
        <f>"               56271"</f>
        <v xml:space="preserve">               56271</v>
      </c>
      <c r="X4315">
        <v>305</v>
      </c>
      <c r="Y4315">
        <v>0</v>
      </c>
      <c r="Z4315"/>
      <c r="AB4315"/>
      <c r="AC4315">
        <v>250</v>
      </c>
      <c r="AD4315">
        <v>280</v>
      </c>
      <c r="AE4315" s="1">
        <v>70000</v>
      </c>
      <c r="AF4315">
        <v>0</v>
      </c>
      <c r="AJ4315">
        <v>0</v>
      </c>
      <c r="AK4315">
        <v>0</v>
      </c>
      <c r="AL4315">
        <v>0</v>
      </c>
      <c r="AM4315">
        <v>0</v>
      </c>
      <c r="AN4315">
        <v>0</v>
      </c>
      <c r="AO4315">
        <v>0</v>
      </c>
      <c r="AP4315" s="2">
        <v>42746</v>
      </c>
      <c r="AQ4315" t="s">
        <v>72</v>
      </c>
      <c r="AR4315" t="s">
        <v>72</v>
      </c>
      <c r="AS4315">
        <v>2277</v>
      </c>
      <c r="AT4315" s="4">
        <v>42619</v>
      </c>
      <c r="AU4315" t="s">
        <v>73</v>
      </c>
      <c r="AV4315">
        <v>2277</v>
      </c>
      <c r="AW4315" s="4">
        <v>42619</v>
      </c>
      <c r="BD4315">
        <v>0</v>
      </c>
      <c r="BN4315" t="s">
        <v>74</v>
      </c>
    </row>
    <row r="4316" spans="1:66" hidden="1">
      <c r="A4316">
        <v>101541</v>
      </c>
      <c r="B4316" s="3" t="s">
        <v>467</v>
      </c>
      <c r="C4316" s="1">
        <v>43300101</v>
      </c>
      <c r="D4316" t="s">
        <v>67</v>
      </c>
      <c r="H4316" t="str">
        <f t="shared" si="460"/>
        <v>08230471008</v>
      </c>
      <c r="I4316" t="str">
        <f t="shared" si="460"/>
        <v>08230471008</v>
      </c>
      <c r="K4316" t="str">
        <f>""</f>
        <v/>
      </c>
      <c r="M4316" t="s">
        <v>68</v>
      </c>
      <c r="N4316" t="str">
        <f t="shared" si="461"/>
        <v>FOR</v>
      </c>
      <c r="O4316" t="s">
        <v>69</v>
      </c>
      <c r="P4316" s="3" t="s">
        <v>75</v>
      </c>
      <c r="Q4316">
        <v>2015</v>
      </c>
      <c r="R4316" s="2">
        <v>42277</v>
      </c>
      <c r="S4316" s="2">
        <v>42286</v>
      </c>
      <c r="T4316" s="2">
        <v>42286</v>
      </c>
      <c r="U4316" s="2">
        <v>42346</v>
      </c>
      <c r="V4316" t="s">
        <v>71</v>
      </c>
      <c r="W4316" t="str">
        <f>"               56407"</f>
        <v xml:space="preserve">               56407</v>
      </c>
      <c r="X4316">
        <v>305</v>
      </c>
      <c r="Y4316">
        <v>0</v>
      </c>
      <c r="Z4316"/>
      <c r="AB4316"/>
      <c r="AC4316">
        <v>250</v>
      </c>
      <c r="AD4316">
        <v>273</v>
      </c>
      <c r="AE4316" s="1">
        <v>68250</v>
      </c>
      <c r="AF4316">
        <v>0</v>
      </c>
      <c r="AJ4316">
        <v>0</v>
      </c>
      <c r="AK4316">
        <v>0</v>
      </c>
      <c r="AL4316">
        <v>0</v>
      </c>
      <c r="AM4316">
        <v>0</v>
      </c>
      <c r="AN4316">
        <v>0</v>
      </c>
      <c r="AO4316">
        <v>0</v>
      </c>
      <c r="AP4316" s="2">
        <v>42746</v>
      </c>
      <c r="AQ4316" t="s">
        <v>72</v>
      </c>
      <c r="AR4316" t="s">
        <v>72</v>
      </c>
      <c r="AS4316">
        <v>2277</v>
      </c>
      <c r="AT4316" s="4">
        <v>42619</v>
      </c>
      <c r="AU4316" t="s">
        <v>73</v>
      </c>
      <c r="AV4316">
        <v>2277</v>
      </c>
      <c r="AW4316" s="4">
        <v>42619</v>
      </c>
      <c r="BD4316">
        <v>0</v>
      </c>
      <c r="BN4316" t="s">
        <v>74</v>
      </c>
    </row>
    <row r="4317" spans="1:66" hidden="1">
      <c r="A4317">
        <v>101541</v>
      </c>
      <c r="B4317" s="3" t="s">
        <v>467</v>
      </c>
      <c r="C4317" s="1">
        <v>43300101</v>
      </c>
      <c r="D4317" t="s">
        <v>67</v>
      </c>
      <c r="H4317" t="str">
        <f t="shared" si="460"/>
        <v>08230471008</v>
      </c>
      <c r="I4317" t="str">
        <f t="shared" si="460"/>
        <v>08230471008</v>
      </c>
      <c r="K4317" t="str">
        <f>""</f>
        <v/>
      </c>
      <c r="M4317" t="s">
        <v>68</v>
      </c>
      <c r="N4317" t="str">
        <f t="shared" si="461"/>
        <v>FOR</v>
      </c>
      <c r="O4317" t="s">
        <v>69</v>
      </c>
      <c r="P4317" s="3" t="s">
        <v>75</v>
      </c>
      <c r="Q4317">
        <v>2015</v>
      </c>
      <c r="R4317" s="2">
        <v>42277</v>
      </c>
      <c r="S4317" s="2">
        <v>42286</v>
      </c>
      <c r="T4317" s="2">
        <v>42286</v>
      </c>
      <c r="U4317" s="2">
        <v>42346</v>
      </c>
      <c r="V4317" t="s">
        <v>71</v>
      </c>
      <c r="W4317" t="str">
        <f>"               56408"</f>
        <v xml:space="preserve">               56408</v>
      </c>
      <c r="X4317">
        <v>305</v>
      </c>
      <c r="Y4317">
        <v>0</v>
      </c>
      <c r="Z4317"/>
      <c r="AB4317"/>
      <c r="AC4317">
        <v>250</v>
      </c>
      <c r="AD4317">
        <v>273</v>
      </c>
      <c r="AE4317" s="1">
        <v>68250</v>
      </c>
      <c r="AF4317">
        <v>0</v>
      </c>
      <c r="AJ4317">
        <v>0</v>
      </c>
      <c r="AK4317">
        <v>0</v>
      </c>
      <c r="AL4317">
        <v>0</v>
      </c>
      <c r="AM4317">
        <v>0</v>
      </c>
      <c r="AN4317">
        <v>0</v>
      </c>
      <c r="AO4317">
        <v>0</v>
      </c>
      <c r="AP4317" s="2">
        <v>42746</v>
      </c>
      <c r="AQ4317" t="s">
        <v>72</v>
      </c>
      <c r="AR4317" t="s">
        <v>72</v>
      </c>
      <c r="AS4317">
        <v>2277</v>
      </c>
      <c r="AT4317" s="4">
        <v>42619</v>
      </c>
      <c r="AU4317" t="s">
        <v>73</v>
      </c>
      <c r="AV4317">
        <v>2277</v>
      </c>
      <c r="AW4317" s="4">
        <v>42619</v>
      </c>
      <c r="BD4317">
        <v>0</v>
      </c>
      <c r="BN4317" t="s">
        <v>74</v>
      </c>
    </row>
    <row r="4318" spans="1:66" hidden="1">
      <c r="A4318">
        <v>101541</v>
      </c>
      <c r="B4318" s="3" t="s">
        <v>467</v>
      </c>
      <c r="C4318" s="1">
        <v>43300101</v>
      </c>
      <c r="D4318" t="s">
        <v>67</v>
      </c>
      <c r="H4318" t="str">
        <f t="shared" ref="H4318:I4337" si="462">"08230471008"</f>
        <v>08230471008</v>
      </c>
      <c r="I4318" t="str">
        <f t="shared" si="462"/>
        <v>08230471008</v>
      </c>
      <c r="K4318" t="str">
        <f>""</f>
        <v/>
      </c>
      <c r="M4318" t="s">
        <v>68</v>
      </c>
      <c r="N4318" t="str">
        <f t="shared" si="461"/>
        <v>FOR</v>
      </c>
      <c r="O4318" t="s">
        <v>69</v>
      </c>
      <c r="P4318" s="3" t="s">
        <v>75</v>
      </c>
      <c r="Q4318">
        <v>2015</v>
      </c>
      <c r="R4318" s="2">
        <v>42277</v>
      </c>
      <c r="S4318" s="2">
        <v>42289</v>
      </c>
      <c r="T4318" s="2">
        <v>42286</v>
      </c>
      <c r="U4318" s="2">
        <v>42346</v>
      </c>
      <c r="V4318" t="s">
        <v>71</v>
      </c>
      <c r="W4318" t="str">
        <f>"               56409"</f>
        <v xml:space="preserve">               56409</v>
      </c>
      <c r="X4318">
        <v>305</v>
      </c>
      <c r="Y4318">
        <v>0</v>
      </c>
      <c r="Z4318"/>
      <c r="AB4318"/>
      <c r="AC4318">
        <v>250</v>
      </c>
      <c r="AD4318">
        <v>273</v>
      </c>
      <c r="AE4318" s="1">
        <v>68250</v>
      </c>
      <c r="AF4318">
        <v>0</v>
      </c>
      <c r="AJ4318">
        <v>0</v>
      </c>
      <c r="AK4318">
        <v>0</v>
      </c>
      <c r="AL4318">
        <v>0</v>
      </c>
      <c r="AM4318">
        <v>0</v>
      </c>
      <c r="AN4318">
        <v>0</v>
      </c>
      <c r="AO4318">
        <v>0</v>
      </c>
      <c r="AP4318" s="2">
        <v>42746</v>
      </c>
      <c r="AQ4318" t="s">
        <v>72</v>
      </c>
      <c r="AR4318" t="s">
        <v>72</v>
      </c>
      <c r="AS4318">
        <v>2277</v>
      </c>
      <c r="AT4318" s="4">
        <v>42619</v>
      </c>
      <c r="AU4318" t="s">
        <v>73</v>
      </c>
      <c r="AV4318">
        <v>2277</v>
      </c>
      <c r="AW4318" s="4">
        <v>42619</v>
      </c>
      <c r="BD4318">
        <v>0</v>
      </c>
      <c r="BN4318" t="s">
        <v>74</v>
      </c>
    </row>
    <row r="4319" spans="1:66" hidden="1">
      <c r="A4319">
        <v>101541</v>
      </c>
      <c r="B4319" s="3" t="s">
        <v>467</v>
      </c>
      <c r="C4319" s="1">
        <v>43300101</v>
      </c>
      <c r="D4319" t="s">
        <v>67</v>
      </c>
      <c r="H4319" t="str">
        <f t="shared" si="462"/>
        <v>08230471008</v>
      </c>
      <c r="I4319" t="str">
        <f t="shared" si="462"/>
        <v>08230471008</v>
      </c>
      <c r="K4319" t="str">
        <f>""</f>
        <v/>
      </c>
      <c r="M4319" t="s">
        <v>68</v>
      </c>
      <c r="N4319" t="str">
        <f t="shared" si="461"/>
        <v>FOR</v>
      </c>
      <c r="O4319" t="s">
        <v>69</v>
      </c>
      <c r="P4319" s="3" t="s">
        <v>75</v>
      </c>
      <c r="Q4319">
        <v>2015</v>
      </c>
      <c r="R4319" s="2">
        <v>42277</v>
      </c>
      <c r="S4319" s="2">
        <v>42289</v>
      </c>
      <c r="T4319" s="2">
        <v>42286</v>
      </c>
      <c r="U4319" s="2">
        <v>42346</v>
      </c>
      <c r="V4319" t="s">
        <v>71</v>
      </c>
      <c r="W4319" t="str">
        <f>"               56410"</f>
        <v xml:space="preserve">               56410</v>
      </c>
      <c r="X4319">
        <v>305</v>
      </c>
      <c r="Y4319">
        <v>0</v>
      </c>
      <c r="Z4319"/>
      <c r="AB4319"/>
      <c r="AC4319">
        <v>250</v>
      </c>
      <c r="AD4319">
        <v>273</v>
      </c>
      <c r="AE4319" s="1">
        <v>68250</v>
      </c>
      <c r="AF4319">
        <v>0</v>
      </c>
      <c r="AJ4319">
        <v>0</v>
      </c>
      <c r="AK4319">
        <v>0</v>
      </c>
      <c r="AL4319">
        <v>0</v>
      </c>
      <c r="AM4319">
        <v>0</v>
      </c>
      <c r="AN4319">
        <v>0</v>
      </c>
      <c r="AO4319">
        <v>0</v>
      </c>
      <c r="AP4319" s="2">
        <v>42746</v>
      </c>
      <c r="AQ4319" t="s">
        <v>72</v>
      </c>
      <c r="AR4319" t="s">
        <v>72</v>
      </c>
      <c r="AS4319">
        <v>2277</v>
      </c>
      <c r="AT4319" s="4">
        <v>42619</v>
      </c>
      <c r="AU4319" t="s">
        <v>73</v>
      </c>
      <c r="AV4319">
        <v>2277</v>
      </c>
      <c r="AW4319" s="4">
        <v>42619</v>
      </c>
      <c r="BD4319">
        <v>0</v>
      </c>
      <c r="BN4319" t="s">
        <v>74</v>
      </c>
    </row>
    <row r="4320" spans="1:66" hidden="1">
      <c r="A4320">
        <v>101541</v>
      </c>
      <c r="B4320" s="3" t="s">
        <v>467</v>
      </c>
      <c r="C4320" s="1">
        <v>43300101</v>
      </c>
      <c r="D4320" t="s">
        <v>67</v>
      </c>
      <c r="H4320" t="str">
        <f t="shared" si="462"/>
        <v>08230471008</v>
      </c>
      <c r="I4320" t="str">
        <f t="shared" si="462"/>
        <v>08230471008</v>
      </c>
      <c r="K4320" t="str">
        <f>""</f>
        <v/>
      </c>
      <c r="M4320" t="s">
        <v>68</v>
      </c>
      <c r="N4320" t="str">
        <f t="shared" si="461"/>
        <v>FOR</v>
      </c>
      <c r="O4320" t="s">
        <v>69</v>
      </c>
      <c r="P4320" s="3" t="s">
        <v>75</v>
      </c>
      <c r="Q4320">
        <v>2015</v>
      </c>
      <c r="R4320" s="2">
        <v>42277</v>
      </c>
      <c r="S4320" s="2">
        <v>42286</v>
      </c>
      <c r="T4320" s="2">
        <v>42286</v>
      </c>
      <c r="U4320" s="2">
        <v>42346</v>
      </c>
      <c r="V4320" t="s">
        <v>71</v>
      </c>
      <c r="W4320" t="str">
        <f>"               56411"</f>
        <v xml:space="preserve">               56411</v>
      </c>
      <c r="X4320">
        <v>305</v>
      </c>
      <c r="Y4320">
        <v>0</v>
      </c>
      <c r="Z4320"/>
      <c r="AB4320"/>
      <c r="AC4320">
        <v>250</v>
      </c>
      <c r="AD4320">
        <v>273</v>
      </c>
      <c r="AE4320" s="1">
        <v>68250</v>
      </c>
      <c r="AF4320">
        <v>0</v>
      </c>
      <c r="AJ4320">
        <v>0</v>
      </c>
      <c r="AK4320">
        <v>0</v>
      </c>
      <c r="AL4320">
        <v>0</v>
      </c>
      <c r="AM4320">
        <v>0</v>
      </c>
      <c r="AN4320">
        <v>0</v>
      </c>
      <c r="AO4320">
        <v>0</v>
      </c>
      <c r="AP4320" s="2">
        <v>42746</v>
      </c>
      <c r="AQ4320" t="s">
        <v>72</v>
      </c>
      <c r="AR4320" t="s">
        <v>72</v>
      </c>
      <c r="AS4320">
        <v>2277</v>
      </c>
      <c r="AT4320" s="4">
        <v>42619</v>
      </c>
      <c r="AU4320" t="s">
        <v>73</v>
      </c>
      <c r="AV4320">
        <v>2277</v>
      </c>
      <c r="AW4320" s="4">
        <v>42619</v>
      </c>
      <c r="BD4320">
        <v>0</v>
      </c>
      <c r="BN4320" t="s">
        <v>74</v>
      </c>
    </row>
    <row r="4321" spans="1:66" hidden="1">
      <c r="A4321">
        <v>101541</v>
      </c>
      <c r="B4321" s="3" t="s">
        <v>467</v>
      </c>
      <c r="C4321" s="1">
        <v>43300101</v>
      </c>
      <c r="D4321" t="s">
        <v>67</v>
      </c>
      <c r="H4321" t="str">
        <f t="shared" si="462"/>
        <v>08230471008</v>
      </c>
      <c r="I4321" t="str">
        <f t="shared" si="462"/>
        <v>08230471008</v>
      </c>
      <c r="K4321" t="str">
        <f>""</f>
        <v/>
      </c>
      <c r="M4321" t="s">
        <v>68</v>
      </c>
      <c r="N4321" t="str">
        <f t="shared" si="461"/>
        <v>FOR</v>
      </c>
      <c r="O4321" t="s">
        <v>69</v>
      </c>
      <c r="P4321" s="3" t="s">
        <v>75</v>
      </c>
      <c r="Q4321">
        <v>2015</v>
      </c>
      <c r="R4321" s="2">
        <v>42277</v>
      </c>
      <c r="S4321" s="2">
        <v>42286</v>
      </c>
      <c r="T4321" s="2">
        <v>42286</v>
      </c>
      <c r="U4321" s="2">
        <v>42346</v>
      </c>
      <c r="V4321" t="s">
        <v>71</v>
      </c>
      <c r="W4321" t="str">
        <f>"               56412"</f>
        <v xml:space="preserve">               56412</v>
      </c>
      <c r="X4321" s="1">
        <v>1586</v>
      </c>
      <c r="Y4321">
        <v>0</v>
      </c>
      <c r="Z4321"/>
      <c r="AB4321"/>
      <c r="AC4321" s="1">
        <v>1300</v>
      </c>
      <c r="AD4321">
        <v>273</v>
      </c>
      <c r="AE4321" s="1">
        <v>354900</v>
      </c>
      <c r="AF4321">
        <v>0</v>
      </c>
      <c r="AJ4321">
        <v>0</v>
      </c>
      <c r="AK4321">
        <v>0</v>
      </c>
      <c r="AL4321">
        <v>0</v>
      </c>
      <c r="AM4321">
        <v>0</v>
      </c>
      <c r="AN4321">
        <v>0</v>
      </c>
      <c r="AO4321">
        <v>0</v>
      </c>
      <c r="AP4321" s="2">
        <v>42746</v>
      </c>
      <c r="AQ4321" t="s">
        <v>72</v>
      </c>
      <c r="AR4321" t="s">
        <v>72</v>
      </c>
      <c r="AS4321">
        <v>2277</v>
      </c>
      <c r="AT4321" s="4">
        <v>42619</v>
      </c>
      <c r="AU4321" t="s">
        <v>73</v>
      </c>
      <c r="AV4321">
        <v>2277</v>
      </c>
      <c r="AW4321" s="4">
        <v>42619</v>
      </c>
      <c r="BD4321">
        <v>0</v>
      </c>
      <c r="BN4321" t="s">
        <v>74</v>
      </c>
    </row>
    <row r="4322" spans="1:66">
      <c r="A4322">
        <v>101541</v>
      </c>
      <c r="B4322" s="3" t="s">
        <v>467</v>
      </c>
      <c r="C4322" s="1">
        <v>43300101</v>
      </c>
      <c r="D4322" t="s">
        <v>67</v>
      </c>
      <c r="H4322" t="str">
        <f t="shared" si="462"/>
        <v>08230471008</v>
      </c>
      <c r="I4322" t="str">
        <f t="shared" si="462"/>
        <v>08230471008</v>
      </c>
      <c r="K4322" t="str">
        <f>""</f>
        <v/>
      </c>
      <c r="M4322" t="s">
        <v>68</v>
      </c>
      <c r="N4322" t="str">
        <f t="shared" si="461"/>
        <v>FOR</v>
      </c>
      <c r="O4322" t="s">
        <v>69</v>
      </c>
      <c r="P4322" s="3" t="s">
        <v>75</v>
      </c>
      <c r="Q4322">
        <v>2015</v>
      </c>
      <c r="R4322" s="2">
        <v>42297</v>
      </c>
      <c r="S4322" s="2">
        <v>42300</v>
      </c>
      <c r="T4322" s="2">
        <v>42300</v>
      </c>
      <c r="U4322" s="2">
        <v>42360</v>
      </c>
      <c r="V4322" t="s">
        <v>71</v>
      </c>
      <c r="W4322" t="str">
        <f>"               56908"</f>
        <v xml:space="preserve">               56908</v>
      </c>
      <c r="X4322" s="1">
        <v>1586</v>
      </c>
      <c r="Y4322">
        <v>0</v>
      </c>
      <c r="Z4322" s="5">
        <v>1300</v>
      </c>
      <c r="AA4322">
        <v>287</v>
      </c>
      <c r="AB4322" s="5">
        <v>373100</v>
      </c>
      <c r="AC4322" s="1">
        <v>1300</v>
      </c>
      <c r="AD4322">
        <v>287</v>
      </c>
      <c r="AE4322" s="1">
        <v>373100</v>
      </c>
      <c r="AF4322">
        <v>0</v>
      </c>
      <c r="AJ4322">
        <v>0</v>
      </c>
      <c r="AK4322">
        <v>0</v>
      </c>
      <c r="AL4322">
        <v>0</v>
      </c>
      <c r="AM4322">
        <v>0</v>
      </c>
      <c r="AN4322">
        <v>0</v>
      </c>
      <c r="AO4322">
        <v>0</v>
      </c>
      <c r="AP4322" s="2">
        <v>42746</v>
      </c>
      <c r="AQ4322" t="s">
        <v>72</v>
      </c>
      <c r="AR4322" t="s">
        <v>72</v>
      </c>
      <c r="AS4322">
        <v>2632</v>
      </c>
      <c r="AT4322" s="4">
        <v>42647</v>
      </c>
      <c r="AU4322" t="s">
        <v>73</v>
      </c>
      <c r="AV4322">
        <v>2632</v>
      </c>
      <c r="AW4322" s="4">
        <v>42647</v>
      </c>
      <c r="BD4322">
        <v>0</v>
      </c>
      <c r="BN4322" t="s">
        <v>74</v>
      </c>
    </row>
    <row r="4323" spans="1:66">
      <c r="A4323">
        <v>101541</v>
      </c>
      <c r="B4323" s="3" t="s">
        <v>467</v>
      </c>
      <c r="C4323" s="1">
        <v>43300101</v>
      </c>
      <c r="D4323" t="s">
        <v>67</v>
      </c>
      <c r="H4323" t="str">
        <f t="shared" si="462"/>
        <v>08230471008</v>
      </c>
      <c r="I4323" t="str">
        <f t="shared" si="462"/>
        <v>08230471008</v>
      </c>
      <c r="K4323" t="str">
        <f>""</f>
        <v/>
      </c>
      <c r="M4323" t="s">
        <v>68</v>
      </c>
      <c r="N4323" t="str">
        <f t="shared" si="461"/>
        <v>FOR</v>
      </c>
      <c r="O4323" t="s">
        <v>69</v>
      </c>
      <c r="P4323" s="3" t="s">
        <v>75</v>
      </c>
      <c r="Q4323">
        <v>2015</v>
      </c>
      <c r="R4323" s="2">
        <v>42297</v>
      </c>
      <c r="S4323" s="2">
        <v>42300</v>
      </c>
      <c r="T4323" s="2">
        <v>42300</v>
      </c>
      <c r="U4323" s="2">
        <v>42360</v>
      </c>
      <c r="V4323" t="s">
        <v>71</v>
      </c>
      <c r="W4323" t="str">
        <f>"               56909"</f>
        <v xml:space="preserve">               56909</v>
      </c>
      <c r="X4323">
        <v>305</v>
      </c>
      <c r="Y4323">
        <v>0</v>
      </c>
      <c r="Z4323" s="3">
        <v>250</v>
      </c>
      <c r="AA4323">
        <v>287</v>
      </c>
      <c r="AB4323" s="5">
        <v>71750</v>
      </c>
      <c r="AC4323">
        <v>250</v>
      </c>
      <c r="AD4323">
        <v>287</v>
      </c>
      <c r="AE4323" s="1">
        <v>71750</v>
      </c>
      <c r="AF4323">
        <v>0</v>
      </c>
      <c r="AJ4323">
        <v>0</v>
      </c>
      <c r="AK4323">
        <v>0</v>
      </c>
      <c r="AL4323">
        <v>0</v>
      </c>
      <c r="AM4323">
        <v>0</v>
      </c>
      <c r="AN4323">
        <v>0</v>
      </c>
      <c r="AO4323">
        <v>0</v>
      </c>
      <c r="AP4323" s="2">
        <v>42746</v>
      </c>
      <c r="AQ4323" t="s">
        <v>72</v>
      </c>
      <c r="AR4323" t="s">
        <v>72</v>
      </c>
      <c r="AS4323">
        <v>2632</v>
      </c>
      <c r="AT4323" s="4">
        <v>42647</v>
      </c>
      <c r="AU4323" t="s">
        <v>73</v>
      </c>
      <c r="AV4323">
        <v>2632</v>
      </c>
      <c r="AW4323" s="4">
        <v>42647</v>
      </c>
      <c r="BD4323">
        <v>0</v>
      </c>
      <c r="BN4323" t="s">
        <v>74</v>
      </c>
    </row>
    <row r="4324" spans="1:66">
      <c r="A4324">
        <v>101541</v>
      </c>
      <c r="B4324" s="3" t="s">
        <v>467</v>
      </c>
      <c r="C4324" s="1">
        <v>43300101</v>
      </c>
      <c r="D4324" t="s">
        <v>67</v>
      </c>
      <c r="H4324" t="str">
        <f t="shared" si="462"/>
        <v>08230471008</v>
      </c>
      <c r="I4324" t="str">
        <f t="shared" si="462"/>
        <v>08230471008</v>
      </c>
      <c r="K4324" t="str">
        <f>""</f>
        <v/>
      </c>
      <c r="M4324" t="s">
        <v>68</v>
      </c>
      <c r="N4324" t="str">
        <f t="shared" si="461"/>
        <v>FOR</v>
      </c>
      <c r="O4324" t="s">
        <v>69</v>
      </c>
      <c r="P4324" s="3" t="s">
        <v>75</v>
      </c>
      <c r="Q4324">
        <v>2015</v>
      </c>
      <c r="R4324" s="2">
        <v>42297</v>
      </c>
      <c r="S4324" s="2">
        <v>42300</v>
      </c>
      <c r="T4324" s="2">
        <v>42300</v>
      </c>
      <c r="U4324" s="2">
        <v>42360</v>
      </c>
      <c r="V4324" t="s">
        <v>71</v>
      </c>
      <c r="W4324" t="str">
        <f>"               56910"</f>
        <v xml:space="preserve">               56910</v>
      </c>
      <c r="X4324">
        <v>305</v>
      </c>
      <c r="Y4324">
        <v>0</v>
      </c>
      <c r="Z4324" s="3">
        <v>250</v>
      </c>
      <c r="AA4324">
        <v>287</v>
      </c>
      <c r="AB4324" s="5">
        <v>71750</v>
      </c>
      <c r="AC4324">
        <v>250</v>
      </c>
      <c r="AD4324">
        <v>287</v>
      </c>
      <c r="AE4324" s="1">
        <v>71750</v>
      </c>
      <c r="AF4324">
        <v>0</v>
      </c>
      <c r="AJ4324">
        <v>0</v>
      </c>
      <c r="AK4324">
        <v>0</v>
      </c>
      <c r="AL4324">
        <v>0</v>
      </c>
      <c r="AM4324">
        <v>0</v>
      </c>
      <c r="AN4324">
        <v>0</v>
      </c>
      <c r="AO4324">
        <v>0</v>
      </c>
      <c r="AP4324" s="2">
        <v>42746</v>
      </c>
      <c r="AQ4324" t="s">
        <v>72</v>
      </c>
      <c r="AR4324" t="s">
        <v>72</v>
      </c>
      <c r="AS4324">
        <v>2632</v>
      </c>
      <c r="AT4324" s="4">
        <v>42647</v>
      </c>
      <c r="AU4324" t="s">
        <v>73</v>
      </c>
      <c r="AV4324">
        <v>2632</v>
      </c>
      <c r="AW4324" s="4">
        <v>42647</v>
      </c>
      <c r="BD4324">
        <v>0</v>
      </c>
      <c r="BN4324" t="s">
        <v>74</v>
      </c>
    </row>
    <row r="4325" spans="1:66">
      <c r="A4325">
        <v>101541</v>
      </c>
      <c r="B4325" s="3" t="s">
        <v>467</v>
      </c>
      <c r="C4325" s="1">
        <v>43300101</v>
      </c>
      <c r="D4325" t="s">
        <v>67</v>
      </c>
      <c r="H4325" t="str">
        <f t="shared" si="462"/>
        <v>08230471008</v>
      </c>
      <c r="I4325" t="str">
        <f t="shared" si="462"/>
        <v>08230471008</v>
      </c>
      <c r="K4325" t="str">
        <f>""</f>
        <v/>
      </c>
      <c r="M4325" t="s">
        <v>68</v>
      </c>
      <c r="N4325" t="str">
        <f t="shared" si="461"/>
        <v>FOR</v>
      </c>
      <c r="O4325" t="s">
        <v>69</v>
      </c>
      <c r="P4325" s="3" t="s">
        <v>75</v>
      </c>
      <c r="Q4325">
        <v>2015</v>
      </c>
      <c r="R4325" s="2">
        <v>42297</v>
      </c>
      <c r="S4325" s="2">
        <v>42300</v>
      </c>
      <c r="T4325" s="2">
        <v>42300</v>
      </c>
      <c r="U4325" s="2">
        <v>42360</v>
      </c>
      <c r="V4325" t="s">
        <v>71</v>
      </c>
      <c r="W4325" t="str">
        <f>"               56911"</f>
        <v xml:space="preserve">               56911</v>
      </c>
      <c r="X4325">
        <v>305</v>
      </c>
      <c r="Y4325">
        <v>0</v>
      </c>
      <c r="Z4325" s="3">
        <v>250</v>
      </c>
      <c r="AA4325">
        <v>287</v>
      </c>
      <c r="AB4325" s="5">
        <v>71750</v>
      </c>
      <c r="AC4325">
        <v>250</v>
      </c>
      <c r="AD4325">
        <v>287</v>
      </c>
      <c r="AE4325" s="1">
        <v>71750</v>
      </c>
      <c r="AF4325">
        <v>0</v>
      </c>
      <c r="AJ4325">
        <v>0</v>
      </c>
      <c r="AK4325">
        <v>0</v>
      </c>
      <c r="AL4325">
        <v>0</v>
      </c>
      <c r="AM4325">
        <v>0</v>
      </c>
      <c r="AN4325">
        <v>0</v>
      </c>
      <c r="AO4325">
        <v>0</v>
      </c>
      <c r="AP4325" s="2">
        <v>42746</v>
      </c>
      <c r="AQ4325" t="s">
        <v>72</v>
      </c>
      <c r="AR4325" t="s">
        <v>72</v>
      </c>
      <c r="AS4325">
        <v>2632</v>
      </c>
      <c r="AT4325" s="4">
        <v>42647</v>
      </c>
      <c r="AU4325" t="s">
        <v>73</v>
      </c>
      <c r="AV4325">
        <v>2632</v>
      </c>
      <c r="AW4325" s="4">
        <v>42647</v>
      </c>
      <c r="BD4325">
        <v>0</v>
      </c>
      <c r="BN4325" t="s">
        <v>74</v>
      </c>
    </row>
    <row r="4326" spans="1:66">
      <c r="A4326">
        <v>101541</v>
      </c>
      <c r="B4326" s="3" t="s">
        <v>467</v>
      </c>
      <c r="C4326" s="1">
        <v>43300101</v>
      </c>
      <c r="D4326" t="s">
        <v>67</v>
      </c>
      <c r="H4326" t="str">
        <f t="shared" si="462"/>
        <v>08230471008</v>
      </c>
      <c r="I4326" t="str">
        <f t="shared" si="462"/>
        <v>08230471008</v>
      </c>
      <c r="K4326" t="str">
        <f>""</f>
        <v/>
      </c>
      <c r="M4326" t="s">
        <v>68</v>
      </c>
      <c r="N4326" t="str">
        <f t="shared" si="461"/>
        <v>FOR</v>
      </c>
      <c r="O4326" t="s">
        <v>69</v>
      </c>
      <c r="P4326" s="3" t="s">
        <v>75</v>
      </c>
      <c r="Q4326">
        <v>2015</v>
      </c>
      <c r="R4326" s="2">
        <v>42297</v>
      </c>
      <c r="S4326" s="2">
        <v>42300</v>
      </c>
      <c r="T4326" s="2">
        <v>42300</v>
      </c>
      <c r="U4326" s="2">
        <v>42360</v>
      </c>
      <c r="V4326" t="s">
        <v>71</v>
      </c>
      <c r="W4326" t="str">
        <f>"               56912"</f>
        <v xml:space="preserve">               56912</v>
      </c>
      <c r="X4326">
        <v>305</v>
      </c>
      <c r="Y4326">
        <v>0</v>
      </c>
      <c r="Z4326" s="3">
        <v>250</v>
      </c>
      <c r="AA4326">
        <v>287</v>
      </c>
      <c r="AB4326" s="5">
        <v>71750</v>
      </c>
      <c r="AC4326">
        <v>250</v>
      </c>
      <c r="AD4326">
        <v>287</v>
      </c>
      <c r="AE4326" s="1">
        <v>71750</v>
      </c>
      <c r="AF4326">
        <v>0</v>
      </c>
      <c r="AJ4326">
        <v>0</v>
      </c>
      <c r="AK4326">
        <v>0</v>
      </c>
      <c r="AL4326">
        <v>0</v>
      </c>
      <c r="AM4326">
        <v>0</v>
      </c>
      <c r="AN4326">
        <v>0</v>
      </c>
      <c r="AO4326">
        <v>0</v>
      </c>
      <c r="AP4326" s="2">
        <v>42746</v>
      </c>
      <c r="AQ4326" t="s">
        <v>72</v>
      </c>
      <c r="AR4326" t="s">
        <v>72</v>
      </c>
      <c r="AS4326">
        <v>2632</v>
      </c>
      <c r="AT4326" s="4">
        <v>42647</v>
      </c>
      <c r="AU4326" t="s">
        <v>73</v>
      </c>
      <c r="AV4326">
        <v>2632</v>
      </c>
      <c r="AW4326" s="4">
        <v>42647</v>
      </c>
      <c r="BD4326">
        <v>0</v>
      </c>
      <c r="BN4326" t="s">
        <v>74</v>
      </c>
    </row>
    <row r="4327" spans="1:66">
      <c r="A4327">
        <v>101541</v>
      </c>
      <c r="B4327" s="3" t="s">
        <v>467</v>
      </c>
      <c r="C4327" s="1">
        <v>43300101</v>
      </c>
      <c r="D4327" t="s">
        <v>67</v>
      </c>
      <c r="H4327" t="str">
        <f t="shared" si="462"/>
        <v>08230471008</v>
      </c>
      <c r="I4327" t="str">
        <f t="shared" si="462"/>
        <v>08230471008</v>
      </c>
      <c r="K4327" t="str">
        <f>""</f>
        <v/>
      </c>
      <c r="M4327" t="s">
        <v>68</v>
      </c>
      <c r="N4327" t="str">
        <f t="shared" si="461"/>
        <v>FOR</v>
      </c>
      <c r="O4327" t="s">
        <v>69</v>
      </c>
      <c r="P4327" s="3" t="s">
        <v>75</v>
      </c>
      <c r="Q4327">
        <v>2015</v>
      </c>
      <c r="R4327" s="2">
        <v>42297</v>
      </c>
      <c r="S4327" s="2">
        <v>42300</v>
      </c>
      <c r="T4327" s="2">
        <v>42300</v>
      </c>
      <c r="U4327" s="2">
        <v>42360</v>
      </c>
      <c r="V4327" t="s">
        <v>71</v>
      </c>
      <c r="W4327" t="str">
        <f>"               56913"</f>
        <v xml:space="preserve">               56913</v>
      </c>
      <c r="X4327">
        <v>305</v>
      </c>
      <c r="Y4327">
        <v>0</v>
      </c>
      <c r="Z4327" s="3">
        <v>250</v>
      </c>
      <c r="AA4327">
        <v>287</v>
      </c>
      <c r="AB4327" s="5">
        <v>71750</v>
      </c>
      <c r="AC4327">
        <v>250</v>
      </c>
      <c r="AD4327">
        <v>287</v>
      </c>
      <c r="AE4327" s="1">
        <v>71750</v>
      </c>
      <c r="AF4327">
        <v>0</v>
      </c>
      <c r="AJ4327">
        <v>0</v>
      </c>
      <c r="AK4327">
        <v>0</v>
      </c>
      <c r="AL4327">
        <v>0</v>
      </c>
      <c r="AM4327">
        <v>0</v>
      </c>
      <c r="AN4327">
        <v>0</v>
      </c>
      <c r="AO4327">
        <v>0</v>
      </c>
      <c r="AP4327" s="2">
        <v>42746</v>
      </c>
      <c r="AQ4327" t="s">
        <v>72</v>
      </c>
      <c r="AR4327" t="s">
        <v>72</v>
      </c>
      <c r="AS4327">
        <v>2632</v>
      </c>
      <c r="AT4327" s="4">
        <v>42647</v>
      </c>
      <c r="AU4327" t="s">
        <v>73</v>
      </c>
      <c r="AV4327">
        <v>2632</v>
      </c>
      <c r="AW4327" s="4">
        <v>42647</v>
      </c>
      <c r="BD4327">
        <v>0</v>
      </c>
      <c r="BN4327" t="s">
        <v>74</v>
      </c>
    </row>
    <row r="4328" spans="1:66">
      <c r="A4328">
        <v>101541</v>
      </c>
      <c r="B4328" s="3" t="s">
        <v>467</v>
      </c>
      <c r="C4328" s="1">
        <v>43300101</v>
      </c>
      <c r="D4328" t="s">
        <v>67</v>
      </c>
      <c r="H4328" t="str">
        <f t="shared" si="462"/>
        <v>08230471008</v>
      </c>
      <c r="I4328" t="str">
        <f t="shared" si="462"/>
        <v>08230471008</v>
      </c>
      <c r="K4328" t="str">
        <f>""</f>
        <v/>
      </c>
      <c r="M4328" t="s">
        <v>68</v>
      </c>
      <c r="N4328" t="str">
        <f t="shared" si="461"/>
        <v>FOR</v>
      </c>
      <c r="O4328" t="s">
        <v>69</v>
      </c>
      <c r="P4328" s="3" t="s">
        <v>75</v>
      </c>
      <c r="Q4328">
        <v>2015</v>
      </c>
      <c r="R4328" s="2">
        <v>42297</v>
      </c>
      <c r="S4328" s="2">
        <v>42300</v>
      </c>
      <c r="T4328" s="2">
        <v>42300</v>
      </c>
      <c r="U4328" s="2">
        <v>42360</v>
      </c>
      <c r="V4328" t="s">
        <v>71</v>
      </c>
      <c r="W4328" t="str">
        <f>"               56914"</f>
        <v xml:space="preserve">               56914</v>
      </c>
      <c r="X4328">
        <v>305</v>
      </c>
      <c r="Y4328">
        <v>0</v>
      </c>
      <c r="Z4328" s="3">
        <v>250</v>
      </c>
      <c r="AA4328">
        <v>287</v>
      </c>
      <c r="AB4328" s="5">
        <v>71750</v>
      </c>
      <c r="AC4328">
        <v>250</v>
      </c>
      <c r="AD4328">
        <v>287</v>
      </c>
      <c r="AE4328" s="1">
        <v>71750</v>
      </c>
      <c r="AF4328">
        <v>0</v>
      </c>
      <c r="AJ4328">
        <v>0</v>
      </c>
      <c r="AK4328">
        <v>0</v>
      </c>
      <c r="AL4328">
        <v>0</v>
      </c>
      <c r="AM4328">
        <v>0</v>
      </c>
      <c r="AN4328">
        <v>0</v>
      </c>
      <c r="AO4328">
        <v>0</v>
      </c>
      <c r="AP4328" s="2">
        <v>42746</v>
      </c>
      <c r="AQ4328" t="s">
        <v>72</v>
      </c>
      <c r="AR4328" t="s">
        <v>72</v>
      </c>
      <c r="AS4328">
        <v>2632</v>
      </c>
      <c r="AT4328" s="4">
        <v>42647</v>
      </c>
      <c r="AU4328" t="s">
        <v>73</v>
      </c>
      <c r="AV4328">
        <v>2632</v>
      </c>
      <c r="AW4328" s="4">
        <v>42647</v>
      </c>
      <c r="BD4328">
        <v>0</v>
      </c>
      <c r="BN4328" t="s">
        <v>74</v>
      </c>
    </row>
    <row r="4329" spans="1:66">
      <c r="A4329">
        <v>101541</v>
      </c>
      <c r="B4329" s="3" t="s">
        <v>467</v>
      </c>
      <c r="C4329" s="1">
        <v>43300101</v>
      </c>
      <c r="D4329" t="s">
        <v>67</v>
      </c>
      <c r="H4329" t="str">
        <f t="shared" si="462"/>
        <v>08230471008</v>
      </c>
      <c r="I4329" t="str">
        <f t="shared" si="462"/>
        <v>08230471008</v>
      </c>
      <c r="K4329" t="str">
        <f>""</f>
        <v/>
      </c>
      <c r="M4329" t="s">
        <v>68</v>
      </c>
      <c r="N4329" t="str">
        <f t="shared" si="461"/>
        <v>FOR</v>
      </c>
      <c r="O4329" t="s">
        <v>69</v>
      </c>
      <c r="P4329" s="3" t="s">
        <v>75</v>
      </c>
      <c r="Q4329">
        <v>2015</v>
      </c>
      <c r="R4329" s="2">
        <v>42297</v>
      </c>
      <c r="S4329" s="2">
        <v>42300</v>
      </c>
      <c r="T4329" s="2">
        <v>42300</v>
      </c>
      <c r="U4329" s="2">
        <v>42360</v>
      </c>
      <c r="V4329" t="s">
        <v>71</v>
      </c>
      <c r="W4329" t="str">
        <f>"               56915"</f>
        <v xml:space="preserve">               56915</v>
      </c>
      <c r="X4329">
        <v>305</v>
      </c>
      <c r="Y4329">
        <v>0</v>
      </c>
      <c r="Z4329" s="3">
        <v>250</v>
      </c>
      <c r="AA4329">
        <v>287</v>
      </c>
      <c r="AB4329" s="5">
        <v>71750</v>
      </c>
      <c r="AC4329">
        <v>250</v>
      </c>
      <c r="AD4329">
        <v>287</v>
      </c>
      <c r="AE4329" s="1">
        <v>71750</v>
      </c>
      <c r="AF4329">
        <v>0</v>
      </c>
      <c r="AJ4329">
        <v>0</v>
      </c>
      <c r="AK4329">
        <v>0</v>
      </c>
      <c r="AL4329">
        <v>0</v>
      </c>
      <c r="AM4329">
        <v>0</v>
      </c>
      <c r="AN4329">
        <v>0</v>
      </c>
      <c r="AO4329">
        <v>0</v>
      </c>
      <c r="AP4329" s="2">
        <v>42746</v>
      </c>
      <c r="AQ4329" t="s">
        <v>72</v>
      </c>
      <c r="AR4329" t="s">
        <v>72</v>
      </c>
      <c r="AS4329">
        <v>2632</v>
      </c>
      <c r="AT4329" s="4">
        <v>42647</v>
      </c>
      <c r="AU4329" t="s">
        <v>73</v>
      </c>
      <c r="AV4329">
        <v>2632</v>
      </c>
      <c r="AW4329" s="4">
        <v>42647</v>
      </c>
      <c r="BD4329">
        <v>0</v>
      </c>
      <c r="BN4329" t="s">
        <v>74</v>
      </c>
    </row>
    <row r="4330" spans="1:66">
      <c r="A4330">
        <v>101541</v>
      </c>
      <c r="B4330" s="3" t="s">
        <v>467</v>
      </c>
      <c r="C4330" s="1">
        <v>43300101</v>
      </c>
      <c r="D4330" t="s">
        <v>67</v>
      </c>
      <c r="H4330" t="str">
        <f t="shared" si="462"/>
        <v>08230471008</v>
      </c>
      <c r="I4330" t="str">
        <f t="shared" si="462"/>
        <v>08230471008</v>
      </c>
      <c r="K4330" t="str">
        <f>""</f>
        <v/>
      </c>
      <c r="M4330" t="s">
        <v>68</v>
      </c>
      <c r="N4330" t="str">
        <f t="shared" si="461"/>
        <v>FOR</v>
      </c>
      <c r="O4330" t="s">
        <v>69</v>
      </c>
      <c r="P4330" s="3" t="s">
        <v>75</v>
      </c>
      <c r="Q4330">
        <v>2015</v>
      </c>
      <c r="R4330" s="2">
        <v>42297</v>
      </c>
      <c r="S4330" s="2">
        <v>42300</v>
      </c>
      <c r="T4330" s="2">
        <v>42300</v>
      </c>
      <c r="U4330" s="2">
        <v>42360</v>
      </c>
      <c r="V4330" t="s">
        <v>71</v>
      </c>
      <c r="W4330" t="str">
        <f>"               56916"</f>
        <v xml:space="preserve">               56916</v>
      </c>
      <c r="X4330">
        <v>305</v>
      </c>
      <c r="Y4330">
        <v>0</v>
      </c>
      <c r="Z4330" s="3">
        <v>250</v>
      </c>
      <c r="AA4330">
        <v>287</v>
      </c>
      <c r="AB4330" s="5">
        <v>71750</v>
      </c>
      <c r="AC4330">
        <v>250</v>
      </c>
      <c r="AD4330">
        <v>287</v>
      </c>
      <c r="AE4330" s="1">
        <v>71750</v>
      </c>
      <c r="AF4330">
        <v>0</v>
      </c>
      <c r="AJ4330">
        <v>0</v>
      </c>
      <c r="AK4330">
        <v>0</v>
      </c>
      <c r="AL4330">
        <v>0</v>
      </c>
      <c r="AM4330">
        <v>0</v>
      </c>
      <c r="AN4330">
        <v>0</v>
      </c>
      <c r="AO4330">
        <v>0</v>
      </c>
      <c r="AP4330" s="2">
        <v>42746</v>
      </c>
      <c r="AQ4330" t="s">
        <v>72</v>
      </c>
      <c r="AR4330" t="s">
        <v>72</v>
      </c>
      <c r="AS4330">
        <v>2632</v>
      </c>
      <c r="AT4330" s="4">
        <v>42647</v>
      </c>
      <c r="AU4330" t="s">
        <v>73</v>
      </c>
      <c r="AV4330">
        <v>2632</v>
      </c>
      <c r="AW4330" s="4">
        <v>42647</v>
      </c>
      <c r="BD4330">
        <v>0</v>
      </c>
      <c r="BN4330" t="s">
        <v>74</v>
      </c>
    </row>
    <row r="4331" spans="1:66">
      <c r="A4331">
        <v>101541</v>
      </c>
      <c r="B4331" s="3" t="s">
        <v>467</v>
      </c>
      <c r="C4331" s="1">
        <v>43300101</v>
      </c>
      <c r="D4331" t="s">
        <v>67</v>
      </c>
      <c r="H4331" t="str">
        <f t="shared" si="462"/>
        <v>08230471008</v>
      </c>
      <c r="I4331" t="str">
        <f t="shared" si="462"/>
        <v>08230471008</v>
      </c>
      <c r="K4331" t="str">
        <f>""</f>
        <v/>
      </c>
      <c r="M4331" t="s">
        <v>68</v>
      </c>
      <c r="N4331" t="str">
        <f t="shared" si="461"/>
        <v>FOR</v>
      </c>
      <c r="O4331" t="s">
        <v>69</v>
      </c>
      <c r="P4331" s="3" t="s">
        <v>75</v>
      </c>
      <c r="Q4331">
        <v>2015</v>
      </c>
      <c r="R4331" s="2">
        <v>42297</v>
      </c>
      <c r="S4331" s="2">
        <v>42300</v>
      </c>
      <c r="T4331" s="2">
        <v>42300</v>
      </c>
      <c r="U4331" s="2">
        <v>42360</v>
      </c>
      <c r="V4331" t="s">
        <v>71</v>
      </c>
      <c r="W4331" t="str">
        <f>"               56917"</f>
        <v xml:space="preserve">               56917</v>
      </c>
      <c r="X4331">
        <v>305</v>
      </c>
      <c r="Y4331">
        <v>0</v>
      </c>
      <c r="Z4331" s="3">
        <v>250</v>
      </c>
      <c r="AA4331">
        <v>287</v>
      </c>
      <c r="AB4331" s="5">
        <v>71750</v>
      </c>
      <c r="AC4331">
        <v>250</v>
      </c>
      <c r="AD4331">
        <v>287</v>
      </c>
      <c r="AE4331" s="1">
        <v>71750</v>
      </c>
      <c r="AF4331">
        <v>0</v>
      </c>
      <c r="AJ4331">
        <v>0</v>
      </c>
      <c r="AK4331">
        <v>0</v>
      </c>
      <c r="AL4331">
        <v>0</v>
      </c>
      <c r="AM4331">
        <v>0</v>
      </c>
      <c r="AN4331">
        <v>0</v>
      </c>
      <c r="AO4331">
        <v>0</v>
      </c>
      <c r="AP4331" s="2">
        <v>42746</v>
      </c>
      <c r="AQ4331" t="s">
        <v>72</v>
      </c>
      <c r="AR4331" t="s">
        <v>72</v>
      </c>
      <c r="AS4331">
        <v>2632</v>
      </c>
      <c r="AT4331" s="4">
        <v>42647</v>
      </c>
      <c r="AU4331" t="s">
        <v>73</v>
      </c>
      <c r="AV4331">
        <v>2632</v>
      </c>
      <c r="AW4331" s="4">
        <v>42647</v>
      </c>
      <c r="BD4331">
        <v>0</v>
      </c>
      <c r="BN4331" t="s">
        <v>74</v>
      </c>
    </row>
    <row r="4332" spans="1:66">
      <c r="A4332">
        <v>101541</v>
      </c>
      <c r="B4332" s="3" t="s">
        <v>467</v>
      </c>
      <c r="C4332" s="1">
        <v>43300101</v>
      </c>
      <c r="D4332" t="s">
        <v>67</v>
      </c>
      <c r="H4332" t="str">
        <f t="shared" si="462"/>
        <v>08230471008</v>
      </c>
      <c r="I4332" t="str">
        <f t="shared" si="462"/>
        <v>08230471008</v>
      </c>
      <c r="K4332" t="str">
        <f>""</f>
        <v/>
      </c>
      <c r="M4332" t="s">
        <v>68</v>
      </c>
      <c r="N4332" t="str">
        <f t="shared" si="461"/>
        <v>FOR</v>
      </c>
      <c r="O4332" t="s">
        <v>69</v>
      </c>
      <c r="P4332" s="3" t="s">
        <v>75</v>
      </c>
      <c r="Q4332">
        <v>2015</v>
      </c>
      <c r="R4332" s="2">
        <v>42297</v>
      </c>
      <c r="S4332" s="2">
        <v>42324</v>
      </c>
      <c r="T4332" s="2">
        <v>42321</v>
      </c>
      <c r="U4332" s="2">
        <v>42381</v>
      </c>
      <c r="V4332" t="s">
        <v>71</v>
      </c>
      <c r="W4332" t="str">
        <f>"               56918"</f>
        <v xml:space="preserve">               56918</v>
      </c>
      <c r="X4332">
        <v>305</v>
      </c>
      <c r="Y4332">
        <v>0</v>
      </c>
      <c r="Z4332" s="3">
        <v>250</v>
      </c>
      <c r="AA4332">
        <v>266</v>
      </c>
      <c r="AB4332" s="5">
        <v>66500</v>
      </c>
      <c r="AC4332">
        <v>250</v>
      </c>
      <c r="AD4332">
        <v>266</v>
      </c>
      <c r="AE4332" s="1">
        <v>66500</v>
      </c>
      <c r="AF4332">
        <v>0</v>
      </c>
      <c r="AJ4332">
        <v>0</v>
      </c>
      <c r="AK4332">
        <v>0</v>
      </c>
      <c r="AL4332">
        <v>0</v>
      </c>
      <c r="AM4332">
        <v>0</v>
      </c>
      <c r="AN4332">
        <v>0</v>
      </c>
      <c r="AO4332">
        <v>0</v>
      </c>
      <c r="AP4332" s="2">
        <v>42746</v>
      </c>
      <c r="AQ4332" t="s">
        <v>72</v>
      </c>
      <c r="AR4332" t="s">
        <v>72</v>
      </c>
      <c r="AS4332">
        <v>2632</v>
      </c>
      <c r="AT4332" s="4">
        <v>42647</v>
      </c>
      <c r="AU4332" t="s">
        <v>73</v>
      </c>
      <c r="AV4332">
        <v>2632</v>
      </c>
      <c r="AW4332" s="4">
        <v>42647</v>
      </c>
      <c r="BD4332">
        <v>0</v>
      </c>
      <c r="BN4332" t="s">
        <v>74</v>
      </c>
    </row>
    <row r="4333" spans="1:66">
      <c r="A4333">
        <v>101541</v>
      </c>
      <c r="B4333" s="3" t="s">
        <v>467</v>
      </c>
      <c r="C4333" s="1">
        <v>43300101</v>
      </c>
      <c r="D4333" t="s">
        <v>67</v>
      </c>
      <c r="H4333" t="str">
        <f t="shared" si="462"/>
        <v>08230471008</v>
      </c>
      <c r="I4333" t="str">
        <f t="shared" si="462"/>
        <v>08230471008</v>
      </c>
      <c r="K4333" t="str">
        <f>""</f>
        <v/>
      </c>
      <c r="M4333" t="s">
        <v>68</v>
      </c>
      <c r="N4333" t="str">
        <f t="shared" si="461"/>
        <v>FOR</v>
      </c>
      <c r="O4333" t="s">
        <v>69</v>
      </c>
      <c r="P4333" s="3" t="s">
        <v>75</v>
      </c>
      <c r="Q4333">
        <v>2015</v>
      </c>
      <c r="R4333" s="2">
        <v>42297</v>
      </c>
      <c r="S4333" s="2">
        <v>42300</v>
      </c>
      <c r="T4333" s="2">
        <v>42300</v>
      </c>
      <c r="U4333" s="2">
        <v>42360</v>
      </c>
      <c r="V4333" t="s">
        <v>71</v>
      </c>
      <c r="W4333" t="str">
        <f>"               56919"</f>
        <v xml:space="preserve">               56919</v>
      </c>
      <c r="X4333">
        <v>305</v>
      </c>
      <c r="Y4333">
        <v>0</v>
      </c>
      <c r="Z4333" s="3">
        <v>250</v>
      </c>
      <c r="AA4333">
        <v>287</v>
      </c>
      <c r="AB4333" s="5">
        <v>71750</v>
      </c>
      <c r="AC4333">
        <v>250</v>
      </c>
      <c r="AD4333">
        <v>287</v>
      </c>
      <c r="AE4333" s="1">
        <v>71750</v>
      </c>
      <c r="AF4333">
        <v>0</v>
      </c>
      <c r="AJ4333">
        <v>0</v>
      </c>
      <c r="AK4333">
        <v>0</v>
      </c>
      <c r="AL4333">
        <v>0</v>
      </c>
      <c r="AM4333">
        <v>0</v>
      </c>
      <c r="AN4333">
        <v>0</v>
      </c>
      <c r="AO4333">
        <v>0</v>
      </c>
      <c r="AP4333" s="2">
        <v>42746</v>
      </c>
      <c r="AQ4333" t="s">
        <v>72</v>
      </c>
      <c r="AR4333" t="s">
        <v>72</v>
      </c>
      <c r="AS4333">
        <v>2632</v>
      </c>
      <c r="AT4333" s="4">
        <v>42647</v>
      </c>
      <c r="AU4333" t="s">
        <v>73</v>
      </c>
      <c r="AV4333">
        <v>2632</v>
      </c>
      <c r="AW4333" s="4">
        <v>42647</v>
      </c>
      <c r="BD4333">
        <v>0</v>
      </c>
      <c r="BN4333" t="s">
        <v>74</v>
      </c>
    </row>
    <row r="4334" spans="1:66">
      <c r="A4334">
        <v>101541</v>
      </c>
      <c r="B4334" s="3" t="s">
        <v>467</v>
      </c>
      <c r="C4334" s="1">
        <v>43300101</v>
      </c>
      <c r="D4334" t="s">
        <v>67</v>
      </c>
      <c r="H4334" t="str">
        <f t="shared" si="462"/>
        <v>08230471008</v>
      </c>
      <c r="I4334" t="str">
        <f t="shared" si="462"/>
        <v>08230471008</v>
      </c>
      <c r="K4334" t="str">
        <f>""</f>
        <v/>
      </c>
      <c r="M4334" t="s">
        <v>68</v>
      </c>
      <c r="N4334" t="str">
        <f t="shared" si="461"/>
        <v>FOR</v>
      </c>
      <c r="O4334" t="s">
        <v>69</v>
      </c>
      <c r="P4334" s="3" t="s">
        <v>75</v>
      </c>
      <c r="Q4334">
        <v>2015</v>
      </c>
      <c r="R4334" s="2">
        <v>42300</v>
      </c>
      <c r="S4334" s="2">
        <v>42310</v>
      </c>
      <c r="T4334" s="2">
        <v>42307</v>
      </c>
      <c r="U4334" s="2">
        <v>42367</v>
      </c>
      <c r="V4334" t="s">
        <v>71</v>
      </c>
      <c r="W4334" t="str">
        <f>"               57120"</f>
        <v xml:space="preserve">               57120</v>
      </c>
      <c r="X4334">
        <v>671</v>
      </c>
      <c r="Y4334">
        <v>0</v>
      </c>
      <c r="Z4334" s="3">
        <v>550</v>
      </c>
      <c r="AA4334">
        <v>280</v>
      </c>
      <c r="AB4334" s="5">
        <v>154000</v>
      </c>
      <c r="AC4334">
        <v>550</v>
      </c>
      <c r="AD4334">
        <v>280</v>
      </c>
      <c r="AE4334" s="1">
        <v>154000</v>
      </c>
      <c r="AF4334">
        <v>0</v>
      </c>
      <c r="AJ4334">
        <v>0</v>
      </c>
      <c r="AK4334">
        <v>0</v>
      </c>
      <c r="AL4334">
        <v>0</v>
      </c>
      <c r="AM4334">
        <v>0</v>
      </c>
      <c r="AN4334">
        <v>0</v>
      </c>
      <c r="AO4334">
        <v>0</v>
      </c>
      <c r="AP4334" s="2">
        <v>42746</v>
      </c>
      <c r="AQ4334" t="s">
        <v>72</v>
      </c>
      <c r="AR4334" t="s">
        <v>72</v>
      </c>
      <c r="AS4334">
        <v>2632</v>
      </c>
      <c r="AT4334" s="4">
        <v>42647</v>
      </c>
      <c r="AU4334" t="s">
        <v>73</v>
      </c>
      <c r="AV4334">
        <v>2632</v>
      </c>
      <c r="AW4334" s="4">
        <v>42647</v>
      </c>
      <c r="BD4334">
        <v>0</v>
      </c>
      <c r="BN4334" t="s">
        <v>74</v>
      </c>
    </row>
    <row r="4335" spans="1:66">
      <c r="A4335">
        <v>101541</v>
      </c>
      <c r="B4335" s="3" t="s">
        <v>467</v>
      </c>
      <c r="C4335" s="1">
        <v>43300101</v>
      </c>
      <c r="D4335" t="s">
        <v>67</v>
      </c>
      <c r="H4335" t="str">
        <f t="shared" si="462"/>
        <v>08230471008</v>
      </c>
      <c r="I4335" t="str">
        <f t="shared" si="462"/>
        <v>08230471008</v>
      </c>
      <c r="K4335" t="str">
        <f>""</f>
        <v/>
      </c>
      <c r="M4335" t="s">
        <v>68</v>
      </c>
      <c r="N4335" t="str">
        <f t="shared" si="461"/>
        <v>FOR</v>
      </c>
      <c r="O4335" t="s">
        <v>69</v>
      </c>
      <c r="P4335" s="3" t="s">
        <v>75</v>
      </c>
      <c r="Q4335">
        <v>2015</v>
      </c>
      <c r="R4335" s="2">
        <v>42300</v>
      </c>
      <c r="S4335" s="2">
        <v>42310</v>
      </c>
      <c r="T4335" s="2">
        <v>42307</v>
      </c>
      <c r="U4335" s="2">
        <v>42367</v>
      </c>
      <c r="V4335" t="s">
        <v>71</v>
      </c>
      <c r="W4335" t="str">
        <f>"               57121"</f>
        <v xml:space="preserve">               57121</v>
      </c>
      <c r="X4335">
        <v>728</v>
      </c>
      <c r="Y4335">
        <v>0</v>
      </c>
      <c r="Z4335" s="3">
        <v>700</v>
      </c>
      <c r="AA4335">
        <v>280</v>
      </c>
      <c r="AB4335" s="5">
        <v>196000</v>
      </c>
      <c r="AC4335">
        <v>700</v>
      </c>
      <c r="AD4335">
        <v>280</v>
      </c>
      <c r="AE4335" s="1">
        <v>196000</v>
      </c>
      <c r="AF4335">
        <v>0</v>
      </c>
      <c r="AJ4335">
        <v>0</v>
      </c>
      <c r="AK4335">
        <v>0</v>
      </c>
      <c r="AL4335">
        <v>0</v>
      </c>
      <c r="AM4335">
        <v>0</v>
      </c>
      <c r="AN4335">
        <v>0</v>
      </c>
      <c r="AO4335">
        <v>0</v>
      </c>
      <c r="AP4335" s="2">
        <v>42746</v>
      </c>
      <c r="AQ4335" t="s">
        <v>72</v>
      </c>
      <c r="AR4335" t="s">
        <v>72</v>
      </c>
      <c r="AS4335">
        <v>2632</v>
      </c>
      <c r="AT4335" s="4">
        <v>42647</v>
      </c>
      <c r="AU4335" t="s">
        <v>73</v>
      </c>
      <c r="AV4335">
        <v>2632</v>
      </c>
      <c r="AW4335" s="4">
        <v>42647</v>
      </c>
      <c r="BD4335">
        <v>0</v>
      </c>
      <c r="BN4335" t="s">
        <v>74</v>
      </c>
    </row>
    <row r="4336" spans="1:66">
      <c r="A4336">
        <v>101541</v>
      </c>
      <c r="B4336" s="3" t="s">
        <v>467</v>
      </c>
      <c r="C4336" s="1">
        <v>43300101</v>
      </c>
      <c r="D4336" t="s">
        <v>67</v>
      </c>
      <c r="H4336" t="str">
        <f t="shared" si="462"/>
        <v>08230471008</v>
      </c>
      <c r="I4336" t="str">
        <f t="shared" si="462"/>
        <v>08230471008</v>
      </c>
      <c r="K4336" t="str">
        <f>""</f>
        <v/>
      </c>
      <c r="M4336" t="s">
        <v>68</v>
      </c>
      <c r="N4336" t="str">
        <f t="shared" si="461"/>
        <v>FOR</v>
      </c>
      <c r="O4336" t="s">
        <v>69</v>
      </c>
      <c r="P4336" s="3" t="s">
        <v>75</v>
      </c>
      <c r="Q4336">
        <v>2015</v>
      </c>
      <c r="R4336" s="2">
        <v>42300</v>
      </c>
      <c r="S4336" s="2">
        <v>42310</v>
      </c>
      <c r="T4336" s="2">
        <v>42307</v>
      </c>
      <c r="U4336" s="2">
        <v>42367</v>
      </c>
      <c r="V4336" t="s">
        <v>71</v>
      </c>
      <c r="W4336" t="str">
        <f>"               57122"</f>
        <v xml:space="preserve">               57122</v>
      </c>
      <c r="X4336">
        <v>305</v>
      </c>
      <c r="Y4336">
        <v>0</v>
      </c>
      <c r="Z4336" s="3">
        <v>250</v>
      </c>
      <c r="AA4336">
        <v>280</v>
      </c>
      <c r="AB4336" s="5">
        <v>70000</v>
      </c>
      <c r="AC4336">
        <v>250</v>
      </c>
      <c r="AD4336">
        <v>280</v>
      </c>
      <c r="AE4336" s="1">
        <v>70000</v>
      </c>
      <c r="AF4336">
        <v>0</v>
      </c>
      <c r="AJ4336">
        <v>0</v>
      </c>
      <c r="AK4336">
        <v>0</v>
      </c>
      <c r="AL4336">
        <v>0</v>
      </c>
      <c r="AM4336">
        <v>0</v>
      </c>
      <c r="AN4336">
        <v>0</v>
      </c>
      <c r="AO4336">
        <v>0</v>
      </c>
      <c r="AP4336" s="2">
        <v>42746</v>
      </c>
      <c r="AQ4336" t="s">
        <v>72</v>
      </c>
      <c r="AR4336" t="s">
        <v>72</v>
      </c>
      <c r="AS4336">
        <v>2632</v>
      </c>
      <c r="AT4336" s="4">
        <v>42647</v>
      </c>
      <c r="AU4336" t="s">
        <v>73</v>
      </c>
      <c r="AV4336">
        <v>2632</v>
      </c>
      <c r="AW4336" s="4">
        <v>42647</v>
      </c>
      <c r="BD4336">
        <v>0</v>
      </c>
      <c r="BN4336" t="s">
        <v>74</v>
      </c>
    </row>
    <row r="4337" spans="1:66">
      <c r="A4337">
        <v>101541</v>
      </c>
      <c r="B4337" s="3" t="s">
        <v>467</v>
      </c>
      <c r="C4337" s="1">
        <v>43300101</v>
      </c>
      <c r="D4337" t="s">
        <v>67</v>
      </c>
      <c r="H4337" t="str">
        <f t="shared" si="462"/>
        <v>08230471008</v>
      </c>
      <c r="I4337" t="str">
        <f t="shared" si="462"/>
        <v>08230471008</v>
      </c>
      <c r="K4337" t="str">
        <f>""</f>
        <v/>
      </c>
      <c r="M4337" t="s">
        <v>68</v>
      </c>
      <c r="N4337" t="str">
        <f t="shared" si="461"/>
        <v>FOR</v>
      </c>
      <c r="O4337" t="s">
        <v>69</v>
      </c>
      <c r="P4337" s="3" t="s">
        <v>75</v>
      </c>
      <c r="Q4337">
        <v>2015</v>
      </c>
      <c r="R4337" s="2">
        <v>42300</v>
      </c>
      <c r="S4337" s="2">
        <v>42310</v>
      </c>
      <c r="T4337" s="2">
        <v>42307</v>
      </c>
      <c r="U4337" s="2">
        <v>42367</v>
      </c>
      <c r="V4337" t="s">
        <v>71</v>
      </c>
      <c r="W4337" t="str">
        <f>"               57123"</f>
        <v xml:space="preserve">               57123</v>
      </c>
      <c r="X4337">
        <v>305</v>
      </c>
      <c r="Y4337">
        <v>0</v>
      </c>
      <c r="Z4337" s="3">
        <v>250</v>
      </c>
      <c r="AA4337">
        <v>280</v>
      </c>
      <c r="AB4337" s="5">
        <v>70000</v>
      </c>
      <c r="AC4337">
        <v>250</v>
      </c>
      <c r="AD4337">
        <v>280</v>
      </c>
      <c r="AE4337" s="1">
        <v>70000</v>
      </c>
      <c r="AF4337">
        <v>0</v>
      </c>
      <c r="AJ4337">
        <v>0</v>
      </c>
      <c r="AK4337">
        <v>0</v>
      </c>
      <c r="AL4337">
        <v>0</v>
      </c>
      <c r="AM4337">
        <v>0</v>
      </c>
      <c r="AN4337">
        <v>0</v>
      </c>
      <c r="AO4337">
        <v>0</v>
      </c>
      <c r="AP4337" s="2">
        <v>42746</v>
      </c>
      <c r="AQ4337" t="s">
        <v>72</v>
      </c>
      <c r="AR4337" t="s">
        <v>72</v>
      </c>
      <c r="AS4337">
        <v>2632</v>
      </c>
      <c r="AT4337" s="4">
        <v>42647</v>
      </c>
      <c r="AU4337" t="s">
        <v>73</v>
      </c>
      <c r="AV4337">
        <v>2632</v>
      </c>
      <c r="AW4337" s="4">
        <v>42647</v>
      </c>
      <c r="BD4337">
        <v>0</v>
      </c>
      <c r="BN4337" t="s">
        <v>74</v>
      </c>
    </row>
    <row r="4338" spans="1:66">
      <c r="A4338">
        <v>101541</v>
      </c>
      <c r="B4338" s="3" t="s">
        <v>467</v>
      </c>
      <c r="C4338" s="1">
        <v>43300101</v>
      </c>
      <c r="D4338" t="s">
        <v>67</v>
      </c>
      <c r="H4338" t="str">
        <f t="shared" ref="H4338:I4357" si="463">"08230471008"</f>
        <v>08230471008</v>
      </c>
      <c r="I4338" t="str">
        <f t="shared" si="463"/>
        <v>08230471008</v>
      </c>
      <c r="K4338" t="str">
        <f>""</f>
        <v/>
      </c>
      <c r="M4338" t="s">
        <v>68</v>
      </c>
      <c r="N4338" t="str">
        <f t="shared" si="461"/>
        <v>FOR</v>
      </c>
      <c r="O4338" t="s">
        <v>69</v>
      </c>
      <c r="P4338" s="3" t="s">
        <v>75</v>
      </c>
      <c r="Q4338">
        <v>2015</v>
      </c>
      <c r="R4338" s="2">
        <v>42300</v>
      </c>
      <c r="S4338" s="2">
        <v>42310</v>
      </c>
      <c r="T4338" s="2">
        <v>42307</v>
      </c>
      <c r="U4338" s="2">
        <v>42367</v>
      </c>
      <c r="V4338" t="s">
        <v>71</v>
      </c>
      <c r="W4338" t="str">
        <f>"               57124"</f>
        <v xml:space="preserve">               57124</v>
      </c>
      <c r="X4338">
        <v>305</v>
      </c>
      <c r="Y4338">
        <v>0</v>
      </c>
      <c r="Z4338" s="3">
        <v>250</v>
      </c>
      <c r="AA4338">
        <v>280</v>
      </c>
      <c r="AB4338" s="5">
        <v>70000</v>
      </c>
      <c r="AC4338">
        <v>250</v>
      </c>
      <c r="AD4338">
        <v>280</v>
      </c>
      <c r="AE4338" s="1">
        <v>70000</v>
      </c>
      <c r="AF4338">
        <v>0</v>
      </c>
      <c r="AJ4338">
        <v>0</v>
      </c>
      <c r="AK4338">
        <v>0</v>
      </c>
      <c r="AL4338">
        <v>0</v>
      </c>
      <c r="AM4338">
        <v>0</v>
      </c>
      <c r="AN4338">
        <v>0</v>
      </c>
      <c r="AO4338">
        <v>0</v>
      </c>
      <c r="AP4338" s="2">
        <v>42746</v>
      </c>
      <c r="AQ4338" t="s">
        <v>72</v>
      </c>
      <c r="AR4338" t="s">
        <v>72</v>
      </c>
      <c r="AS4338">
        <v>2632</v>
      </c>
      <c r="AT4338" s="4">
        <v>42647</v>
      </c>
      <c r="AU4338" t="s">
        <v>73</v>
      </c>
      <c r="AV4338">
        <v>2632</v>
      </c>
      <c r="AW4338" s="4">
        <v>42647</v>
      </c>
      <c r="BD4338">
        <v>0</v>
      </c>
      <c r="BN4338" t="s">
        <v>74</v>
      </c>
    </row>
    <row r="4339" spans="1:66">
      <c r="A4339">
        <v>101541</v>
      </c>
      <c r="B4339" s="3" t="s">
        <v>467</v>
      </c>
      <c r="C4339" s="1">
        <v>43300101</v>
      </c>
      <c r="D4339" t="s">
        <v>67</v>
      </c>
      <c r="H4339" t="str">
        <f t="shared" si="463"/>
        <v>08230471008</v>
      </c>
      <c r="I4339" t="str">
        <f t="shared" si="463"/>
        <v>08230471008</v>
      </c>
      <c r="K4339" t="str">
        <f>""</f>
        <v/>
      </c>
      <c r="M4339" t="s">
        <v>68</v>
      </c>
      <c r="N4339" t="str">
        <f t="shared" si="461"/>
        <v>FOR</v>
      </c>
      <c r="O4339" t="s">
        <v>69</v>
      </c>
      <c r="P4339" s="3" t="s">
        <v>75</v>
      </c>
      <c r="Q4339">
        <v>2015</v>
      </c>
      <c r="R4339" s="2">
        <v>42300</v>
      </c>
      <c r="S4339" s="2">
        <v>42310</v>
      </c>
      <c r="T4339" s="2">
        <v>42307</v>
      </c>
      <c r="U4339" s="2">
        <v>42367</v>
      </c>
      <c r="V4339" t="s">
        <v>71</v>
      </c>
      <c r="W4339" t="str">
        <f>"               57125"</f>
        <v xml:space="preserve">               57125</v>
      </c>
      <c r="X4339">
        <v>305</v>
      </c>
      <c r="Y4339">
        <v>0</v>
      </c>
      <c r="Z4339" s="3">
        <v>250</v>
      </c>
      <c r="AA4339">
        <v>280</v>
      </c>
      <c r="AB4339" s="5">
        <v>70000</v>
      </c>
      <c r="AC4339">
        <v>250</v>
      </c>
      <c r="AD4339">
        <v>280</v>
      </c>
      <c r="AE4339" s="1">
        <v>70000</v>
      </c>
      <c r="AF4339">
        <v>0</v>
      </c>
      <c r="AJ4339">
        <v>0</v>
      </c>
      <c r="AK4339">
        <v>0</v>
      </c>
      <c r="AL4339">
        <v>0</v>
      </c>
      <c r="AM4339">
        <v>0</v>
      </c>
      <c r="AN4339">
        <v>0</v>
      </c>
      <c r="AO4339">
        <v>0</v>
      </c>
      <c r="AP4339" s="2">
        <v>42746</v>
      </c>
      <c r="AQ4339" t="s">
        <v>72</v>
      </c>
      <c r="AR4339" t="s">
        <v>72</v>
      </c>
      <c r="AS4339">
        <v>2632</v>
      </c>
      <c r="AT4339" s="4">
        <v>42647</v>
      </c>
      <c r="AU4339" t="s">
        <v>73</v>
      </c>
      <c r="AV4339">
        <v>2632</v>
      </c>
      <c r="AW4339" s="4">
        <v>42647</v>
      </c>
      <c r="BD4339">
        <v>0</v>
      </c>
      <c r="BN4339" t="s">
        <v>74</v>
      </c>
    </row>
    <row r="4340" spans="1:66">
      <c r="A4340">
        <v>101541</v>
      </c>
      <c r="B4340" s="3" t="s">
        <v>467</v>
      </c>
      <c r="C4340" s="1">
        <v>43300101</v>
      </c>
      <c r="D4340" t="s">
        <v>67</v>
      </c>
      <c r="H4340" t="str">
        <f t="shared" si="463"/>
        <v>08230471008</v>
      </c>
      <c r="I4340" t="str">
        <f t="shared" si="463"/>
        <v>08230471008</v>
      </c>
      <c r="K4340" t="str">
        <f>""</f>
        <v/>
      </c>
      <c r="M4340" t="s">
        <v>68</v>
      </c>
      <c r="N4340" t="str">
        <f t="shared" si="461"/>
        <v>FOR</v>
      </c>
      <c r="O4340" t="s">
        <v>69</v>
      </c>
      <c r="P4340" s="3" t="s">
        <v>75</v>
      </c>
      <c r="Q4340">
        <v>2015</v>
      </c>
      <c r="R4340" s="2">
        <v>42300</v>
      </c>
      <c r="S4340" s="2">
        <v>42310</v>
      </c>
      <c r="T4340" s="2">
        <v>42307</v>
      </c>
      <c r="U4340" s="2">
        <v>42367</v>
      </c>
      <c r="V4340" t="s">
        <v>71</v>
      </c>
      <c r="W4340" t="str">
        <f>"               57126"</f>
        <v xml:space="preserve">               57126</v>
      </c>
      <c r="X4340">
        <v>305</v>
      </c>
      <c r="Y4340">
        <v>0</v>
      </c>
      <c r="Z4340" s="3">
        <v>250</v>
      </c>
      <c r="AA4340">
        <v>280</v>
      </c>
      <c r="AB4340" s="5">
        <v>70000</v>
      </c>
      <c r="AC4340">
        <v>250</v>
      </c>
      <c r="AD4340">
        <v>280</v>
      </c>
      <c r="AE4340" s="1">
        <v>70000</v>
      </c>
      <c r="AF4340">
        <v>0</v>
      </c>
      <c r="AJ4340">
        <v>0</v>
      </c>
      <c r="AK4340">
        <v>0</v>
      </c>
      <c r="AL4340">
        <v>0</v>
      </c>
      <c r="AM4340">
        <v>0</v>
      </c>
      <c r="AN4340">
        <v>0</v>
      </c>
      <c r="AO4340">
        <v>0</v>
      </c>
      <c r="AP4340" s="2">
        <v>42746</v>
      </c>
      <c r="AQ4340" t="s">
        <v>72</v>
      </c>
      <c r="AR4340" t="s">
        <v>72</v>
      </c>
      <c r="AS4340">
        <v>2632</v>
      </c>
      <c r="AT4340" s="4">
        <v>42647</v>
      </c>
      <c r="AU4340" t="s">
        <v>73</v>
      </c>
      <c r="AV4340">
        <v>2632</v>
      </c>
      <c r="AW4340" s="4">
        <v>42647</v>
      </c>
      <c r="BD4340">
        <v>0</v>
      </c>
      <c r="BN4340" t="s">
        <v>74</v>
      </c>
    </row>
    <row r="4341" spans="1:66">
      <c r="A4341">
        <v>101541</v>
      </c>
      <c r="B4341" s="3" t="s">
        <v>467</v>
      </c>
      <c r="C4341" s="1">
        <v>43300101</v>
      </c>
      <c r="D4341" t="s">
        <v>67</v>
      </c>
      <c r="H4341" t="str">
        <f t="shared" si="463"/>
        <v>08230471008</v>
      </c>
      <c r="I4341" t="str">
        <f t="shared" si="463"/>
        <v>08230471008</v>
      </c>
      <c r="K4341" t="str">
        <f>""</f>
        <v/>
      </c>
      <c r="M4341" t="s">
        <v>68</v>
      </c>
      <c r="N4341" t="str">
        <f t="shared" si="461"/>
        <v>FOR</v>
      </c>
      <c r="O4341" t="s">
        <v>69</v>
      </c>
      <c r="P4341" s="3" t="s">
        <v>75</v>
      </c>
      <c r="Q4341">
        <v>2015</v>
      </c>
      <c r="R4341" s="2">
        <v>42300</v>
      </c>
      <c r="S4341" s="2">
        <v>42310</v>
      </c>
      <c r="T4341" s="2">
        <v>42307</v>
      </c>
      <c r="U4341" s="2">
        <v>42367</v>
      </c>
      <c r="V4341" t="s">
        <v>71</v>
      </c>
      <c r="W4341" t="str">
        <f>"               57127"</f>
        <v xml:space="preserve">               57127</v>
      </c>
      <c r="X4341">
        <v>305</v>
      </c>
      <c r="Y4341">
        <v>0</v>
      </c>
      <c r="Z4341" s="3">
        <v>250</v>
      </c>
      <c r="AA4341">
        <v>280</v>
      </c>
      <c r="AB4341" s="5">
        <v>70000</v>
      </c>
      <c r="AC4341">
        <v>250</v>
      </c>
      <c r="AD4341">
        <v>280</v>
      </c>
      <c r="AE4341" s="1">
        <v>70000</v>
      </c>
      <c r="AF4341">
        <v>0</v>
      </c>
      <c r="AJ4341">
        <v>0</v>
      </c>
      <c r="AK4341">
        <v>0</v>
      </c>
      <c r="AL4341">
        <v>0</v>
      </c>
      <c r="AM4341">
        <v>0</v>
      </c>
      <c r="AN4341">
        <v>0</v>
      </c>
      <c r="AO4341">
        <v>0</v>
      </c>
      <c r="AP4341" s="2">
        <v>42746</v>
      </c>
      <c r="AQ4341" t="s">
        <v>72</v>
      </c>
      <c r="AR4341" t="s">
        <v>72</v>
      </c>
      <c r="AS4341">
        <v>2632</v>
      </c>
      <c r="AT4341" s="4">
        <v>42647</v>
      </c>
      <c r="AU4341" t="s">
        <v>73</v>
      </c>
      <c r="AV4341">
        <v>2632</v>
      </c>
      <c r="AW4341" s="4">
        <v>42647</v>
      </c>
      <c r="BD4341">
        <v>0</v>
      </c>
      <c r="BN4341" t="s">
        <v>74</v>
      </c>
    </row>
    <row r="4342" spans="1:66">
      <c r="A4342">
        <v>101541</v>
      </c>
      <c r="B4342" s="3" t="s">
        <v>467</v>
      </c>
      <c r="C4342" s="1">
        <v>43300101</v>
      </c>
      <c r="D4342" t="s">
        <v>67</v>
      </c>
      <c r="H4342" t="str">
        <f t="shared" si="463"/>
        <v>08230471008</v>
      </c>
      <c r="I4342" t="str">
        <f t="shared" si="463"/>
        <v>08230471008</v>
      </c>
      <c r="K4342" t="str">
        <f>""</f>
        <v/>
      </c>
      <c r="M4342" t="s">
        <v>68</v>
      </c>
      <c r="N4342" t="str">
        <f t="shared" si="461"/>
        <v>FOR</v>
      </c>
      <c r="O4342" t="s">
        <v>69</v>
      </c>
      <c r="P4342" s="3" t="s">
        <v>75</v>
      </c>
      <c r="Q4342">
        <v>2015</v>
      </c>
      <c r="R4342" s="2">
        <v>42300</v>
      </c>
      <c r="S4342" s="2">
        <v>42310</v>
      </c>
      <c r="T4342" s="2">
        <v>42307</v>
      </c>
      <c r="U4342" s="2">
        <v>42367</v>
      </c>
      <c r="V4342" t="s">
        <v>71</v>
      </c>
      <c r="W4342" t="str">
        <f>"               57128"</f>
        <v xml:space="preserve">               57128</v>
      </c>
      <c r="X4342">
        <v>305</v>
      </c>
      <c r="Y4342">
        <v>0</v>
      </c>
      <c r="Z4342" s="3">
        <v>250</v>
      </c>
      <c r="AA4342">
        <v>280</v>
      </c>
      <c r="AB4342" s="5">
        <v>70000</v>
      </c>
      <c r="AC4342">
        <v>250</v>
      </c>
      <c r="AD4342">
        <v>280</v>
      </c>
      <c r="AE4342" s="1">
        <v>70000</v>
      </c>
      <c r="AF4342">
        <v>0</v>
      </c>
      <c r="AJ4342">
        <v>0</v>
      </c>
      <c r="AK4342">
        <v>0</v>
      </c>
      <c r="AL4342">
        <v>0</v>
      </c>
      <c r="AM4342">
        <v>0</v>
      </c>
      <c r="AN4342">
        <v>0</v>
      </c>
      <c r="AO4342">
        <v>0</v>
      </c>
      <c r="AP4342" s="2">
        <v>42746</v>
      </c>
      <c r="AQ4342" t="s">
        <v>72</v>
      </c>
      <c r="AR4342" t="s">
        <v>72</v>
      </c>
      <c r="AS4342">
        <v>2632</v>
      </c>
      <c r="AT4342" s="4">
        <v>42647</v>
      </c>
      <c r="AU4342" t="s">
        <v>73</v>
      </c>
      <c r="AV4342">
        <v>2632</v>
      </c>
      <c r="AW4342" s="4">
        <v>42647</v>
      </c>
      <c r="BD4342">
        <v>0</v>
      </c>
      <c r="BN4342" t="s">
        <v>74</v>
      </c>
    </row>
    <row r="4343" spans="1:66">
      <c r="A4343">
        <v>101541</v>
      </c>
      <c r="B4343" s="3" t="s">
        <v>467</v>
      </c>
      <c r="C4343" s="1">
        <v>43300101</v>
      </c>
      <c r="D4343" t="s">
        <v>67</v>
      </c>
      <c r="H4343" t="str">
        <f t="shared" si="463"/>
        <v>08230471008</v>
      </c>
      <c r="I4343" t="str">
        <f t="shared" si="463"/>
        <v>08230471008</v>
      </c>
      <c r="K4343" t="str">
        <f>""</f>
        <v/>
      </c>
      <c r="M4343" t="s">
        <v>68</v>
      </c>
      <c r="N4343" t="str">
        <f t="shared" si="461"/>
        <v>FOR</v>
      </c>
      <c r="O4343" t="s">
        <v>69</v>
      </c>
      <c r="P4343" s="3" t="s">
        <v>75</v>
      </c>
      <c r="Q4343">
        <v>2015</v>
      </c>
      <c r="R4343" s="2">
        <v>42300</v>
      </c>
      <c r="S4343" s="2">
        <v>42310</v>
      </c>
      <c r="T4343" s="2">
        <v>42307</v>
      </c>
      <c r="U4343" s="2">
        <v>42367</v>
      </c>
      <c r="V4343" t="s">
        <v>71</v>
      </c>
      <c r="W4343" t="str">
        <f>"               57129"</f>
        <v xml:space="preserve">               57129</v>
      </c>
      <c r="X4343">
        <v>305</v>
      </c>
      <c r="Y4343">
        <v>0</v>
      </c>
      <c r="Z4343" s="3">
        <v>250</v>
      </c>
      <c r="AA4343">
        <v>280</v>
      </c>
      <c r="AB4343" s="5">
        <v>70000</v>
      </c>
      <c r="AC4343">
        <v>250</v>
      </c>
      <c r="AD4343">
        <v>280</v>
      </c>
      <c r="AE4343" s="1">
        <v>70000</v>
      </c>
      <c r="AF4343">
        <v>0</v>
      </c>
      <c r="AJ4343">
        <v>0</v>
      </c>
      <c r="AK4343">
        <v>0</v>
      </c>
      <c r="AL4343">
        <v>0</v>
      </c>
      <c r="AM4343">
        <v>0</v>
      </c>
      <c r="AN4343">
        <v>0</v>
      </c>
      <c r="AO4343">
        <v>0</v>
      </c>
      <c r="AP4343" s="2">
        <v>42746</v>
      </c>
      <c r="AQ4343" t="s">
        <v>72</v>
      </c>
      <c r="AR4343" t="s">
        <v>72</v>
      </c>
      <c r="AS4343">
        <v>2632</v>
      </c>
      <c r="AT4343" s="4">
        <v>42647</v>
      </c>
      <c r="AU4343" t="s">
        <v>73</v>
      </c>
      <c r="AV4343">
        <v>2632</v>
      </c>
      <c r="AW4343" s="4">
        <v>42647</v>
      </c>
      <c r="BD4343">
        <v>0</v>
      </c>
      <c r="BN4343" t="s">
        <v>74</v>
      </c>
    </row>
    <row r="4344" spans="1:66">
      <c r="A4344">
        <v>101541</v>
      </c>
      <c r="B4344" s="3" t="s">
        <v>467</v>
      </c>
      <c r="C4344" s="1">
        <v>43300101</v>
      </c>
      <c r="D4344" t="s">
        <v>67</v>
      </c>
      <c r="H4344" t="str">
        <f t="shared" si="463"/>
        <v>08230471008</v>
      </c>
      <c r="I4344" t="str">
        <f t="shared" si="463"/>
        <v>08230471008</v>
      </c>
      <c r="K4344" t="str">
        <f>""</f>
        <v/>
      </c>
      <c r="M4344" t="s">
        <v>68</v>
      </c>
      <c r="N4344" t="str">
        <f t="shared" si="461"/>
        <v>FOR</v>
      </c>
      <c r="O4344" t="s">
        <v>69</v>
      </c>
      <c r="P4344" s="3" t="s">
        <v>75</v>
      </c>
      <c r="Q4344">
        <v>2015</v>
      </c>
      <c r="R4344" s="2">
        <v>42308</v>
      </c>
      <c r="S4344" s="2">
        <v>42318</v>
      </c>
      <c r="T4344" s="2">
        <v>42315</v>
      </c>
      <c r="U4344" s="2">
        <v>42375</v>
      </c>
      <c r="V4344" t="s">
        <v>71</v>
      </c>
      <c r="W4344" t="str">
        <f>"               57651"</f>
        <v xml:space="preserve">               57651</v>
      </c>
      <c r="X4344" s="1">
        <v>5941.32</v>
      </c>
      <c r="Y4344">
        <v>0</v>
      </c>
      <c r="Z4344" s="5">
        <v>5016</v>
      </c>
      <c r="AA4344">
        <v>272</v>
      </c>
      <c r="AB4344" s="5">
        <v>1364352</v>
      </c>
      <c r="AC4344" s="1">
        <v>5016</v>
      </c>
      <c r="AD4344">
        <v>272</v>
      </c>
      <c r="AE4344" s="1">
        <v>1364352</v>
      </c>
      <c r="AF4344">
        <v>0</v>
      </c>
      <c r="AJ4344">
        <v>0</v>
      </c>
      <c r="AK4344">
        <v>0</v>
      </c>
      <c r="AL4344">
        <v>0</v>
      </c>
      <c r="AM4344">
        <v>0</v>
      </c>
      <c r="AN4344">
        <v>0</v>
      </c>
      <c r="AO4344">
        <v>0</v>
      </c>
      <c r="AP4344" s="2">
        <v>42746</v>
      </c>
      <c r="AQ4344" t="s">
        <v>72</v>
      </c>
      <c r="AR4344" t="s">
        <v>72</v>
      </c>
      <c r="AS4344">
        <v>2632</v>
      </c>
      <c r="AT4344" s="4">
        <v>42647</v>
      </c>
      <c r="AU4344" t="s">
        <v>73</v>
      </c>
      <c r="AV4344">
        <v>2632</v>
      </c>
      <c r="AW4344" s="4">
        <v>42647</v>
      </c>
      <c r="BD4344">
        <v>0</v>
      </c>
      <c r="BN4344" t="s">
        <v>74</v>
      </c>
    </row>
    <row r="4345" spans="1:66">
      <c r="A4345">
        <v>101541</v>
      </c>
      <c r="B4345" s="3" t="s">
        <v>467</v>
      </c>
      <c r="C4345" s="1">
        <v>43300101</v>
      </c>
      <c r="D4345" t="s">
        <v>67</v>
      </c>
      <c r="H4345" t="str">
        <f t="shared" si="463"/>
        <v>08230471008</v>
      </c>
      <c r="I4345" t="str">
        <f t="shared" si="463"/>
        <v>08230471008</v>
      </c>
      <c r="K4345" t="str">
        <f>""</f>
        <v/>
      </c>
      <c r="M4345" t="s">
        <v>68</v>
      </c>
      <c r="N4345" t="str">
        <f t="shared" si="461"/>
        <v>FOR</v>
      </c>
      <c r="O4345" t="s">
        <v>69</v>
      </c>
      <c r="P4345" s="3" t="s">
        <v>75</v>
      </c>
      <c r="Q4345">
        <v>2015</v>
      </c>
      <c r="R4345" s="2">
        <v>42314</v>
      </c>
      <c r="S4345" s="2">
        <v>42324</v>
      </c>
      <c r="T4345" s="2">
        <v>42321</v>
      </c>
      <c r="U4345" s="2">
        <v>42381</v>
      </c>
      <c r="V4345" t="s">
        <v>71</v>
      </c>
      <c r="W4345" t="str">
        <f>"               57866"</f>
        <v xml:space="preserve">               57866</v>
      </c>
      <c r="X4345">
        <v>305</v>
      </c>
      <c r="Y4345">
        <v>0</v>
      </c>
      <c r="Z4345" s="3">
        <v>250</v>
      </c>
      <c r="AA4345">
        <v>301</v>
      </c>
      <c r="AB4345" s="5">
        <v>75250</v>
      </c>
      <c r="AC4345">
        <v>250</v>
      </c>
      <c r="AD4345">
        <v>301</v>
      </c>
      <c r="AE4345" s="1">
        <v>75250</v>
      </c>
      <c r="AF4345">
        <v>0</v>
      </c>
      <c r="AJ4345">
        <v>0</v>
      </c>
      <c r="AK4345">
        <v>0</v>
      </c>
      <c r="AL4345">
        <v>0</v>
      </c>
      <c r="AM4345">
        <v>0</v>
      </c>
      <c r="AN4345">
        <v>0</v>
      </c>
      <c r="AO4345">
        <v>0</v>
      </c>
      <c r="AP4345" s="2">
        <v>42746</v>
      </c>
      <c r="AQ4345" t="s">
        <v>72</v>
      </c>
      <c r="AR4345" t="s">
        <v>72</v>
      </c>
      <c r="AS4345">
        <v>2969</v>
      </c>
      <c r="AT4345" s="4">
        <v>42682</v>
      </c>
      <c r="AU4345" t="s">
        <v>73</v>
      </c>
      <c r="AV4345">
        <v>2969</v>
      </c>
      <c r="AW4345" s="4">
        <v>42682</v>
      </c>
      <c r="BD4345">
        <v>0</v>
      </c>
      <c r="BN4345" t="s">
        <v>74</v>
      </c>
    </row>
    <row r="4346" spans="1:66">
      <c r="A4346">
        <v>101541</v>
      </c>
      <c r="B4346" s="3" t="s">
        <v>467</v>
      </c>
      <c r="C4346" s="1">
        <v>43300101</v>
      </c>
      <c r="D4346" t="s">
        <v>67</v>
      </c>
      <c r="H4346" t="str">
        <f t="shared" si="463"/>
        <v>08230471008</v>
      </c>
      <c r="I4346" t="str">
        <f t="shared" si="463"/>
        <v>08230471008</v>
      </c>
      <c r="K4346" t="str">
        <f>""</f>
        <v/>
      </c>
      <c r="M4346" t="s">
        <v>68</v>
      </c>
      <c r="N4346" t="str">
        <f t="shared" si="461"/>
        <v>FOR</v>
      </c>
      <c r="O4346" t="s">
        <v>69</v>
      </c>
      <c r="P4346" s="3" t="s">
        <v>75</v>
      </c>
      <c r="Q4346">
        <v>2015</v>
      </c>
      <c r="R4346" s="2">
        <v>42314</v>
      </c>
      <c r="S4346" s="2">
        <v>42324</v>
      </c>
      <c r="T4346" s="2">
        <v>42321</v>
      </c>
      <c r="U4346" s="2">
        <v>42381</v>
      </c>
      <c r="V4346" t="s">
        <v>71</v>
      </c>
      <c r="W4346" t="str">
        <f>"               57867"</f>
        <v xml:space="preserve">               57867</v>
      </c>
      <c r="X4346">
        <v>305</v>
      </c>
      <c r="Y4346">
        <v>0</v>
      </c>
      <c r="Z4346" s="3">
        <v>250</v>
      </c>
      <c r="AA4346">
        <v>301</v>
      </c>
      <c r="AB4346" s="5">
        <v>75250</v>
      </c>
      <c r="AC4346">
        <v>250</v>
      </c>
      <c r="AD4346">
        <v>301</v>
      </c>
      <c r="AE4346" s="1">
        <v>75250</v>
      </c>
      <c r="AF4346">
        <v>0</v>
      </c>
      <c r="AJ4346">
        <v>0</v>
      </c>
      <c r="AK4346">
        <v>0</v>
      </c>
      <c r="AL4346">
        <v>0</v>
      </c>
      <c r="AM4346">
        <v>0</v>
      </c>
      <c r="AN4346">
        <v>0</v>
      </c>
      <c r="AO4346">
        <v>0</v>
      </c>
      <c r="AP4346" s="2">
        <v>42746</v>
      </c>
      <c r="AQ4346" t="s">
        <v>72</v>
      </c>
      <c r="AR4346" t="s">
        <v>72</v>
      </c>
      <c r="AS4346">
        <v>2969</v>
      </c>
      <c r="AT4346" s="4">
        <v>42682</v>
      </c>
      <c r="AU4346" t="s">
        <v>73</v>
      </c>
      <c r="AV4346">
        <v>2969</v>
      </c>
      <c r="AW4346" s="4">
        <v>42682</v>
      </c>
      <c r="BD4346">
        <v>0</v>
      </c>
      <c r="BN4346" t="s">
        <v>74</v>
      </c>
    </row>
    <row r="4347" spans="1:66">
      <c r="A4347">
        <v>101541</v>
      </c>
      <c r="B4347" s="3" t="s">
        <v>467</v>
      </c>
      <c r="C4347" s="1">
        <v>43300101</v>
      </c>
      <c r="D4347" t="s">
        <v>67</v>
      </c>
      <c r="H4347" t="str">
        <f t="shared" si="463"/>
        <v>08230471008</v>
      </c>
      <c r="I4347" t="str">
        <f t="shared" si="463"/>
        <v>08230471008</v>
      </c>
      <c r="K4347" t="str">
        <f>""</f>
        <v/>
      </c>
      <c r="M4347" t="s">
        <v>68</v>
      </c>
      <c r="N4347" t="str">
        <f t="shared" si="461"/>
        <v>FOR</v>
      </c>
      <c r="O4347" t="s">
        <v>69</v>
      </c>
      <c r="P4347" s="3" t="s">
        <v>75</v>
      </c>
      <c r="Q4347">
        <v>2015</v>
      </c>
      <c r="R4347" s="2">
        <v>42321</v>
      </c>
      <c r="S4347" s="2">
        <v>42331</v>
      </c>
      <c r="T4347" s="2">
        <v>42331</v>
      </c>
      <c r="U4347" s="2">
        <v>42391</v>
      </c>
      <c r="V4347" t="s">
        <v>71</v>
      </c>
      <c r="W4347" t="str">
        <f>"               57964"</f>
        <v xml:space="preserve">               57964</v>
      </c>
      <c r="X4347">
        <v>356.24</v>
      </c>
      <c r="Y4347">
        <v>0</v>
      </c>
      <c r="Z4347" s="3">
        <v>292</v>
      </c>
      <c r="AA4347">
        <v>291</v>
      </c>
      <c r="AB4347" s="5">
        <v>84972</v>
      </c>
      <c r="AC4347">
        <v>292</v>
      </c>
      <c r="AD4347">
        <v>291</v>
      </c>
      <c r="AE4347" s="1">
        <v>84972</v>
      </c>
      <c r="AF4347">
        <v>0</v>
      </c>
      <c r="AJ4347">
        <v>0</v>
      </c>
      <c r="AK4347">
        <v>0</v>
      </c>
      <c r="AL4347">
        <v>0</v>
      </c>
      <c r="AM4347">
        <v>0</v>
      </c>
      <c r="AN4347">
        <v>0</v>
      </c>
      <c r="AO4347">
        <v>0</v>
      </c>
      <c r="AP4347" s="2">
        <v>42746</v>
      </c>
      <c r="AQ4347" t="s">
        <v>72</v>
      </c>
      <c r="AR4347" t="s">
        <v>72</v>
      </c>
      <c r="AS4347">
        <v>2969</v>
      </c>
      <c r="AT4347" s="4">
        <v>42682</v>
      </c>
      <c r="AU4347" t="s">
        <v>73</v>
      </c>
      <c r="AV4347">
        <v>2969</v>
      </c>
      <c r="AW4347" s="4">
        <v>42682</v>
      </c>
      <c r="BD4347">
        <v>0</v>
      </c>
      <c r="BN4347" t="s">
        <v>74</v>
      </c>
    </row>
    <row r="4348" spans="1:66">
      <c r="A4348">
        <v>101541</v>
      </c>
      <c r="B4348" s="3" t="s">
        <v>467</v>
      </c>
      <c r="C4348" s="1">
        <v>43300101</v>
      </c>
      <c r="D4348" t="s">
        <v>67</v>
      </c>
      <c r="H4348" t="str">
        <f t="shared" si="463"/>
        <v>08230471008</v>
      </c>
      <c r="I4348" t="str">
        <f t="shared" si="463"/>
        <v>08230471008</v>
      </c>
      <c r="K4348" t="str">
        <f>""</f>
        <v/>
      </c>
      <c r="M4348" t="s">
        <v>68</v>
      </c>
      <c r="N4348" t="str">
        <f t="shared" si="461"/>
        <v>FOR</v>
      </c>
      <c r="O4348" t="s">
        <v>69</v>
      </c>
      <c r="P4348" s="3" t="s">
        <v>75</v>
      </c>
      <c r="Q4348">
        <v>2015</v>
      </c>
      <c r="R4348" s="2">
        <v>42321</v>
      </c>
      <c r="S4348" s="2">
        <v>42331</v>
      </c>
      <c r="T4348" s="2">
        <v>42331</v>
      </c>
      <c r="U4348" s="2">
        <v>42391</v>
      </c>
      <c r="V4348" t="s">
        <v>71</v>
      </c>
      <c r="W4348" t="str">
        <f>"               57965"</f>
        <v xml:space="preserve">               57965</v>
      </c>
      <c r="X4348">
        <v>305</v>
      </c>
      <c r="Y4348">
        <v>0</v>
      </c>
      <c r="Z4348" s="3">
        <v>250</v>
      </c>
      <c r="AA4348">
        <v>291</v>
      </c>
      <c r="AB4348" s="5">
        <v>72750</v>
      </c>
      <c r="AC4348">
        <v>250</v>
      </c>
      <c r="AD4348">
        <v>291</v>
      </c>
      <c r="AE4348" s="1">
        <v>72750</v>
      </c>
      <c r="AF4348">
        <v>0</v>
      </c>
      <c r="AJ4348">
        <v>0</v>
      </c>
      <c r="AK4348">
        <v>0</v>
      </c>
      <c r="AL4348">
        <v>0</v>
      </c>
      <c r="AM4348">
        <v>0</v>
      </c>
      <c r="AN4348">
        <v>0</v>
      </c>
      <c r="AO4348">
        <v>0</v>
      </c>
      <c r="AP4348" s="2">
        <v>42746</v>
      </c>
      <c r="AQ4348" t="s">
        <v>72</v>
      </c>
      <c r="AR4348" t="s">
        <v>72</v>
      </c>
      <c r="AS4348">
        <v>2969</v>
      </c>
      <c r="AT4348" s="4">
        <v>42682</v>
      </c>
      <c r="AU4348" t="s">
        <v>73</v>
      </c>
      <c r="AV4348">
        <v>2969</v>
      </c>
      <c r="AW4348" s="4">
        <v>42682</v>
      </c>
      <c r="BD4348">
        <v>0</v>
      </c>
      <c r="BN4348" t="s">
        <v>74</v>
      </c>
    </row>
    <row r="4349" spans="1:66">
      <c r="A4349">
        <v>101541</v>
      </c>
      <c r="B4349" s="3" t="s">
        <v>467</v>
      </c>
      <c r="C4349" s="1">
        <v>43300101</v>
      </c>
      <c r="D4349" t="s">
        <v>67</v>
      </c>
      <c r="H4349" t="str">
        <f t="shared" si="463"/>
        <v>08230471008</v>
      </c>
      <c r="I4349" t="str">
        <f t="shared" si="463"/>
        <v>08230471008</v>
      </c>
      <c r="K4349" t="str">
        <f>""</f>
        <v/>
      </c>
      <c r="M4349" t="s">
        <v>68</v>
      </c>
      <c r="N4349" t="str">
        <f t="shared" si="461"/>
        <v>FOR</v>
      </c>
      <c r="O4349" t="s">
        <v>69</v>
      </c>
      <c r="P4349" s="3" t="s">
        <v>75</v>
      </c>
      <c r="Q4349">
        <v>2015</v>
      </c>
      <c r="R4349" s="2">
        <v>42328</v>
      </c>
      <c r="S4349" s="2">
        <v>42338</v>
      </c>
      <c r="T4349" s="2">
        <v>42335</v>
      </c>
      <c r="U4349" s="2">
        <v>42395</v>
      </c>
      <c r="V4349" t="s">
        <v>71</v>
      </c>
      <c r="W4349" t="str">
        <f>"               58172"</f>
        <v xml:space="preserve">               58172</v>
      </c>
      <c r="X4349">
        <v>305</v>
      </c>
      <c r="Y4349">
        <v>0</v>
      </c>
      <c r="Z4349" s="3">
        <v>250</v>
      </c>
      <c r="AA4349">
        <v>287</v>
      </c>
      <c r="AB4349" s="5">
        <v>71750</v>
      </c>
      <c r="AC4349">
        <v>250</v>
      </c>
      <c r="AD4349">
        <v>287</v>
      </c>
      <c r="AE4349" s="1">
        <v>71750</v>
      </c>
      <c r="AF4349">
        <v>0</v>
      </c>
      <c r="AJ4349">
        <v>0</v>
      </c>
      <c r="AK4349">
        <v>0</v>
      </c>
      <c r="AL4349">
        <v>0</v>
      </c>
      <c r="AM4349">
        <v>0</v>
      </c>
      <c r="AN4349">
        <v>0</v>
      </c>
      <c r="AO4349">
        <v>0</v>
      </c>
      <c r="AP4349" s="2">
        <v>42746</v>
      </c>
      <c r="AQ4349" t="s">
        <v>72</v>
      </c>
      <c r="AR4349" t="s">
        <v>72</v>
      </c>
      <c r="AS4349">
        <v>2969</v>
      </c>
      <c r="AT4349" s="4">
        <v>42682</v>
      </c>
      <c r="AU4349" t="s">
        <v>73</v>
      </c>
      <c r="AV4349">
        <v>2969</v>
      </c>
      <c r="AW4349" s="4">
        <v>42682</v>
      </c>
      <c r="BD4349">
        <v>0</v>
      </c>
      <c r="BN4349" t="s">
        <v>74</v>
      </c>
    </row>
    <row r="4350" spans="1:66">
      <c r="A4350">
        <v>101541</v>
      </c>
      <c r="B4350" s="3" t="s">
        <v>467</v>
      </c>
      <c r="C4350" s="1">
        <v>43300101</v>
      </c>
      <c r="D4350" t="s">
        <v>67</v>
      </c>
      <c r="H4350" t="str">
        <f t="shared" si="463"/>
        <v>08230471008</v>
      </c>
      <c r="I4350" t="str">
        <f t="shared" si="463"/>
        <v>08230471008</v>
      </c>
      <c r="K4350" t="str">
        <f>""</f>
        <v/>
      </c>
      <c r="M4350" t="s">
        <v>68</v>
      </c>
      <c r="N4350" t="str">
        <f t="shared" si="461"/>
        <v>FOR</v>
      </c>
      <c r="O4350" t="s">
        <v>69</v>
      </c>
      <c r="P4350" s="3" t="s">
        <v>75</v>
      </c>
      <c r="Q4350">
        <v>2015</v>
      </c>
      <c r="R4350" s="2">
        <v>42328</v>
      </c>
      <c r="S4350" s="2">
        <v>42338</v>
      </c>
      <c r="T4350" s="2">
        <v>42335</v>
      </c>
      <c r="U4350" s="2">
        <v>42395</v>
      </c>
      <c r="V4350" t="s">
        <v>71</v>
      </c>
      <c r="W4350" t="str">
        <f>"               58173"</f>
        <v xml:space="preserve">               58173</v>
      </c>
      <c r="X4350">
        <v>305</v>
      </c>
      <c r="Y4350">
        <v>0</v>
      </c>
      <c r="Z4350" s="3">
        <v>250</v>
      </c>
      <c r="AA4350">
        <v>287</v>
      </c>
      <c r="AB4350" s="5">
        <v>71750</v>
      </c>
      <c r="AC4350">
        <v>250</v>
      </c>
      <c r="AD4350">
        <v>287</v>
      </c>
      <c r="AE4350" s="1">
        <v>71750</v>
      </c>
      <c r="AF4350">
        <v>0</v>
      </c>
      <c r="AJ4350">
        <v>0</v>
      </c>
      <c r="AK4350">
        <v>0</v>
      </c>
      <c r="AL4350">
        <v>0</v>
      </c>
      <c r="AM4350">
        <v>0</v>
      </c>
      <c r="AN4350">
        <v>0</v>
      </c>
      <c r="AO4350">
        <v>0</v>
      </c>
      <c r="AP4350" s="2">
        <v>42746</v>
      </c>
      <c r="AQ4350" t="s">
        <v>72</v>
      </c>
      <c r="AR4350" t="s">
        <v>72</v>
      </c>
      <c r="AS4350">
        <v>2969</v>
      </c>
      <c r="AT4350" s="4">
        <v>42682</v>
      </c>
      <c r="AU4350" t="s">
        <v>73</v>
      </c>
      <c r="AV4350">
        <v>2969</v>
      </c>
      <c r="AW4350" s="4">
        <v>42682</v>
      </c>
      <c r="BD4350">
        <v>0</v>
      </c>
      <c r="BN4350" t="s">
        <v>74</v>
      </c>
    </row>
    <row r="4351" spans="1:66">
      <c r="A4351">
        <v>101541</v>
      </c>
      <c r="B4351" s="3" t="s">
        <v>467</v>
      </c>
      <c r="C4351" s="1">
        <v>43300101</v>
      </c>
      <c r="D4351" t="s">
        <v>67</v>
      </c>
      <c r="H4351" t="str">
        <f t="shared" si="463"/>
        <v>08230471008</v>
      </c>
      <c r="I4351" t="str">
        <f t="shared" si="463"/>
        <v>08230471008</v>
      </c>
      <c r="K4351" t="str">
        <f>""</f>
        <v/>
      </c>
      <c r="M4351" t="s">
        <v>68</v>
      </c>
      <c r="N4351" t="str">
        <f t="shared" si="461"/>
        <v>FOR</v>
      </c>
      <c r="O4351" t="s">
        <v>69</v>
      </c>
      <c r="P4351" s="3" t="s">
        <v>75</v>
      </c>
      <c r="Q4351">
        <v>2015</v>
      </c>
      <c r="R4351" s="2">
        <v>42328</v>
      </c>
      <c r="S4351" s="2">
        <v>42338</v>
      </c>
      <c r="T4351" s="2">
        <v>42335</v>
      </c>
      <c r="U4351" s="2">
        <v>42395</v>
      </c>
      <c r="V4351" t="s">
        <v>71</v>
      </c>
      <c r="W4351" t="str">
        <f>"               58174"</f>
        <v xml:space="preserve">               58174</v>
      </c>
      <c r="X4351">
        <v>305</v>
      </c>
      <c r="Y4351">
        <v>0</v>
      </c>
      <c r="Z4351" s="3">
        <v>250</v>
      </c>
      <c r="AA4351">
        <v>287</v>
      </c>
      <c r="AB4351" s="5">
        <v>71750</v>
      </c>
      <c r="AC4351">
        <v>250</v>
      </c>
      <c r="AD4351">
        <v>287</v>
      </c>
      <c r="AE4351" s="1">
        <v>71750</v>
      </c>
      <c r="AF4351">
        <v>0</v>
      </c>
      <c r="AJ4351">
        <v>0</v>
      </c>
      <c r="AK4351">
        <v>0</v>
      </c>
      <c r="AL4351">
        <v>0</v>
      </c>
      <c r="AM4351">
        <v>0</v>
      </c>
      <c r="AN4351">
        <v>0</v>
      </c>
      <c r="AO4351">
        <v>0</v>
      </c>
      <c r="AP4351" s="2">
        <v>42746</v>
      </c>
      <c r="AQ4351" t="s">
        <v>72</v>
      </c>
      <c r="AR4351" t="s">
        <v>72</v>
      </c>
      <c r="AS4351">
        <v>2969</v>
      </c>
      <c r="AT4351" s="4">
        <v>42682</v>
      </c>
      <c r="AU4351" t="s">
        <v>73</v>
      </c>
      <c r="AV4351">
        <v>2969</v>
      </c>
      <c r="AW4351" s="4">
        <v>42682</v>
      </c>
      <c r="BD4351">
        <v>0</v>
      </c>
      <c r="BN4351" t="s">
        <v>74</v>
      </c>
    </row>
    <row r="4352" spans="1:66">
      <c r="A4352">
        <v>101541</v>
      </c>
      <c r="B4352" s="3" t="s">
        <v>467</v>
      </c>
      <c r="C4352" s="1">
        <v>43300101</v>
      </c>
      <c r="D4352" t="s">
        <v>67</v>
      </c>
      <c r="H4352" t="str">
        <f t="shared" si="463"/>
        <v>08230471008</v>
      </c>
      <c r="I4352" t="str">
        <f t="shared" si="463"/>
        <v>08230471008</v>
      </c>
      <c r="K4352" t="str">
        <f>""</f>
        <v/>
      </c>
      <c r="M4352" t="s">
        <v>68</v>
      </c>
      <c r="N4352" t="str">
        <f t="shared" si="461"/>
        <v>FOR</v>
      </c>
      <c r="O4352" t="s">
        <v>69</v>
      </c>
      <c r="P4352" s="3" t="s">
        <v>75</v>
      </c>
      <c r="Q4352">
        <v>2015</v>
      </c>
      <c r="R4352" s="2">
        <v>42328</v>
      </c>
      <c r="S4352" s="2">
        <v>42338</v>
      </c>
      <c r="T4352" s="2">
        <v>42336</v>
      </c>
      <c r="U4352" s="2">
        <v>42396</v>
      </c>
      <c r="V4352" t="s">
        <v>71</v>
      </c>
      <c r="W4352" t="str">
        <f>"               58175"</f>
        <v xml:space="preserve">               58175</v>
      </c>
      <c r="X4352">
        <v>305</v>
      </c>
      <c r="Y4352">
        <v>0</v>
      </c>
      <c r="Z4352" s="3">
        <v>250</v>
      </c>
      <c r="AA4352">
        <v>286</v>
      </c>
      <c r="AB4352" s="5">
        <v>71500</v>
      </c>
      <c r="AC4352">
        <v>250</v>
      </c>
      <c r="AD4352">
        <v>286</v>
      </c>
      <c r="AE4352" s="1">
        <v>71500</v>
      </c>
      <c r="AF4352">
        <v>0</v>
      </c>
      <c r="AJ4352">
        <v>0</v>
      </c>
      <c r="AK4352">
        <v>0</v>
      </c>
      <c r="AL4352">
        <v>0</v>
      </c>
      <c r="AM4352">
        <v>0</v>
      </c>
      <c r="AN4352">
        <v>0</v>
      </c>
      <c r="AO4352">
        <v>0</v>
      </c>
      <c r="AP4352" s="2">
        <v>42746</v>
      </c>
      <c r="AQ4352" t="s">
        <v>72</v>
      </c>
      <c r="AR4352" t="s">
        <v>72</v>
      </c>
      <c r="AS4352">
        <v>2969</v>
      </c>
      <c r="AT4352" s="4">
        <v>42682</v>
      </c>
      <c r="AU4352" t="s">
        <v>73</v>
      </c>
      <c r="AV4352">
        <v>2969</v>
      </c>
      <c r="AW4352" s="4">
        <v>42682</v>
      </c>
      <c r="BD4352">
        <v>0</v>
      </c>
      <c r="BN4352" t="s">
        <v>74</v>
      </c>
    </row>
    <row r="4353" spans="1:66">
      <c r="A4353">
        <v>101541</v>
      </c>
      <c r="B4353" s="3" t="s">
        <v>467</v>
      </c>
      <c r="C4353" s="1">
        <v>43300101</v>
      </c>
      <c r="D4353" t="s">
        <v>67</v>
      </c>
      <c r="H4353" t="str">
        <f t="shared" si="463"/>
        <v>08230471008</v>
      </c>
      <c r="I4353" t="str">
        <f t="shared" si="463"/>
        <v>08230471008</v>
      </c>
      <c r="K4353" t="str">
        <f>""</f>
        <v/>
      </c>
      <c r="M4353" t="s">
        <v>68</v>
      </c>
      <c r="N4353" t="str">
        <f t="shared" si="461"/>
        <v>FOR</v>
      </c>
      <c r="O4353" t="s">
        <v>69</v>
      </c>
      <c r="P4353" s="3" t="s">
        <v>75</v>
      </c>
      <c r="Q4353">
        <v>2015</v>
      </c>
      <c r="R4353" s="2">
        <v>42328</v>
      </c>
      <c r="S4353" s="2">
        <v>42338</v>
      </c>
      <c r="T4353" s="2">
        <v>42335</v>
      </c>
      <c r="U4353" s="2">
        <v>42395</v>
      </c>
      <c r="V4353" t="s">
        <v>71</v>
      </c>
      <c r="W4353" t="str">
        <f>"               58176"</f>
        <v xml:space="preserve">               58176</v>
      </c>
      <c r="X4353">
        <v>305</v>
      </c>
      <c r="Y4353">
        <v>0</v>
      </c>
      <c r="Z4353" s="3">
        <v>250</v>
      </c>
      <c r="AA4353">
        <v>287</v>
      </c>
      <c r="AB4353" s="5">
        <v>71750</v>
      </c>
      <c r="AC4353">
        <v>250</v>
      </c>
      <c r="AD4353">
        <v>287</v>
      </c>
      <c r="AE4353" s="1">
        <v>71750</v>
      </c>
      <c r="AF4353">
        <v>0</v>
      </c>
      <c r="AJ4353">
        <v>0</v>
      </c>
      <c r="AK4353">
        <v>0</v>
      </c>
      <c r="AL4353">
        <v>0</v>
      </c>
      <c r="AM4353">
        <v>0</v>
      </c>
      <c r="AN4353">
        <v>0</v>
      </c>
      <c r="AO4353">
        <v>0</v>
      </c>
      <c r="AP4353" s="2">
        <v>42746</v>
      </c>
      <c r="AQ4353" t="s">
        <v>72</v>
      </c>
      <c r="AR4353" t="s">
        <v>72</v>
      </c>
      <c r="AS4353">
        <v>2969</v>
      </c>
      <c r="AT4353" s="4">
        <v>42682</v>
      </c>
      <c r="AU4353" t="s">
        <v>73</v>
      </c>
      <c r="AV4353">
        <v>2969</v>
      </c>
      <c r="AW4353" s="4">
        <v>42682</v>
      </c>
      <c r="BD4353">
        <v>0</v>
      </c>
      <c r="BN4353" t="s">
        <v>74</v>
      </c>
    </row>
    <row r="4354" spans="1:66">
      <c r="A4354">
        <v>101541</v>
      </c>
      <c r="B4354" s="3" t="s">
        <v>467</v>
      </c>
      <c r="C4354" s="1">
        <v>43300101</v>
      </c>
      <c r="D4354" t="s">
        <v>67</v>
      </c>
      <c r="H4354" t="str">
        <f t="shared" si="463"/>
        <v>08230471008</v>
      </c>
      <c r="I4354" t="str">
        <f t="shared" si="463"/>
        <v>08230471008</v>
      </c>
      <c r="K4354" t="str">
        <f>""</f>
        <v/>
      </c>
      <c r="M4354" t="s">
        <v>68</v>
      </c>
      <c r="N4354" t="str">
        <f t="shared" si="461"/>
        <v>FOR</v>
      </c>
      <c r="O4354" t="s">
        <v>69</v>
      </c>
      <c r="P4354" s="3" t="s">
        <v>75</v>
      </c>
      <c r="Q4354">
        <v>2015</v>
      </c>
      <c r="R4354" s="2">
        <v>42328</v>
      </c>
      <c r="S4354" s="2">
        <v>42338</v>
      </c>
      <c r="T4354" s="2">
        <v>42335</v>
      </c>
      <c r="U4354" s="2">
        <v>42395</v>
      </c>
      <c r="V4354" t="s">
        <v>71</v>
      </c>
      <c r="W4354" t="str">
        <f>"               58177"</f>
        <v xml:space="preserve">               58177</v>
      </c>
      <c r="X4354">
        <v>305</v>
      </c>
      <c r="Y4354">
        <v>0</v>
      </c>
      <c r="Z4354" s="3">
        <v>250</v>
      </c>
      <c r="AA4354">
        <v>287</v>
      </c>
      <c r="AB4354" s="5">
        <v>71750</v>
      </c>
      <c r="AC4354">
        <v>250</v>
      </c>
      <c r="AD4354">
        <v>287</v>
      </c>
      <c r="AE4354" s="1">
        <v>71750</v>
      </c>
      <c r="AF4354">
        <v>0</v>
      </c>
      <c r="AJ4354">
        <v>0</v>
      </c>
      <c r="AK4354">
        <v>0</v>
      </c>
      <c r="AL4354">
        <v>0</v>
      </c>
      <c r="AM4354">
        <v>0</v>
      </c>
      <c r="AN4354">
        <v>0</v>
      </c>
      <c r="AO4354">
        <v>0</v>
      </c>
      <c r="AP4354" s="2">
        <v>42746</v>
      </c>
      <c r="AQ4354" t="s">
        <v>72</v>
      </c>
      <c r="AR4354" t="s">
        <v>72</v>
      </c>
      <c r="AS4354">
        <v>2969</v>
      </c>
      <c r="AT4354" s="4">
        <v>42682</v>
      </c>
      <c r="AU4354" t="s">
        <v>73</v>
      </c>
      <c r="AV4354">
        <v>2969</v>
      </c>
      <c r="AW4354" s="4">
        <v>42682</v>
      </c>
      <c r="BD4354">
        <v>0</v>
      </c>
      <c r="BN4354" t="s">
        <v>74</v>
      </c>
    </row>
    <row r="4355" spans="1:66">
      <c r="A4355">
        <v>101541</v>
      </c>
      <c r="B4355" s="3" t="s">
        <v>467</v>
      </c>
      <c r="C4355" s="1">
        <v>43300101</v>
      </c>
      <c r="D4355" t="s">
        <v>67</v>
      </c>
      <c r="H4355" t="str">
        <f t="shared" si="463"/>
        <v>08230471008</v>
      </c>
      <c r="I4355" t="str">
        <f t="shared" si="463"/>
        <v>08230471008</v>
      </c>
      <c r="K4355" t="str">
        <f>""</f>
        <v/>
      </c>
      <c r="M4355" t="s">
        <v>68</v>
      </c>
      <c r="N4355" t="str">
        <f t="shared" si="461"/>
        <v>FOR</v>
      </c>
      <c r="O4355" t="s">
        <v>69</v>
      </c>
      <c r="P4355" s="3" t="s">
        <v>75</v>
      </c>
      <c r="Q4355">
        <v>2015</v>
      </c>
      <c r="R4355" s="2">
        <v>42328</v>
      </c>
      <c r="S4355" s="2">
        <v>42338</v>
      </c>
      <c r="T4355" s="2">
        <v>42335</v>
      </c>
      <c r="U4355" s="2">
        <v>42395</v>
      </c>
      <c r="V4355" t="s">
        <v>71</v>
      </c>
      <c r="W4355" t="str">
        <f>"               58178"</f>
        <v xml:space="preserve">               58178</v>
      </c>
      <c r="X4355">
        <v>305</v>
      </c>
      <c r="Y4355">
        <v>0</v>
      </c>
      <c r="Z4355" s="3">
        <v>250</v>
      </c>
      <c r="AA4355">
        <v>287</v>
      </c>
      <c r="AB4355" s="5">
        <v>71750</v>
      </c>
      <c r="AC4355">
        <v>250</v>
      </c>
      <c r="AD4355">
        <v>287</v>
      </c>
      <c r="AE4355" s="1">
        <v>71750</v>
      </c>
      <c r="AF4355">
        <v>0</v>
      </c>
      <c r="AJ4355">
        <v>0</v>
      </c>
      <c r="AK4355">
        <v>0</v>
      </c>
      <c r="AL4355">
        <v>0</v>
      </c>
      <c r="AM4355">
        <v>0</v>
      </c>
      <c r="AN4355">
        <v>0</v>
      </c>
      <c r="AO4355">
        <v>0</v>
      </c>
      <c r="AP4355" s="2">
        <v>42746</v>
      </c>
      <c r="AQ4355" t="s">
        <v>72</v>
      </c>
      <c r="AR4355" t="s">
        <v>72</v>
      </c>
      <c r="AS4355">
        <v>2969</v>
      </c>
      <c r="AT4355" s="4">
        <v>42682</v>
      </c>
      <c r="AU4355" t="s">
        <v>73</v>
      </c>
      <c r="AV4355">
        <v>2969</v>
      </c>
      <c r="AW4355" s="4">
        <v>42682</v>
      </c>
      <c r="BD4355">
        <v>0</v>
      </c>
      <c r="BN4355" t="s">
        <v>74</v>
      </c>
    </row>
    <row r="4356" spans="1:66">
      <c r="A4356">
        <v>101541</v>
      </c>
      <c r="B4356" s="3" t="s">
        <v>467</v>
      </c>
      <c r="C4356" s="1">
        <v>43300101</v>
      </c>
      <c r="D4356" t="s">
        <v>67</v>
      </c>
      <c r="H4356" t="str">
        <f t="shared" si="463"/>
        <v>08230471008</v>
      </c>
      <c r="I4356" t="str">
        <f t="shared" si="463"/>
        <v>08230471008</v>
      </c>
      <c r="K4356" t="str">
        <f>""</f>
        <v/>
      </c>
      <c r="M4356" t="s">
        <v>68</v>
      </c>
      <c r="N4356" t="str">
        <f t="shared" si="461"/>
        <v>FOR</v>
      </c>
      <c r="O4356" t="s">
        <v>69</v>
      </c>
      <c r="P4356" s="3" t="s">
        <v>75</v>
      </c>
      <c r="Q4356">
        <v>2015</v>
      </c>
      <c r="R4356" s="2">
        <v>42328</v>
      </c>
      <c r="S4356" s="2">
        <v>42338</v>
      </c>
      <c r="T4356" s="2">
        <v>42335</v>
      </c>
      <c r="U4356" s="2">
        <v>42395</v>
      </c>
      <c r="V4356" t="s">
        <v>71</v>
      </c>
      <c r="W4356" t="str">
        <f>"               58179"</f>
        <v xml:space="preserve">               58179</v>
      </c>
      <c r="X4356">
        <v>305</v>
      </c>
      <c r="Y4356">
        <v>0</v>
      </c>
      <c r="Z4356" s="3">
        <v>250</v>
      </c>
      <c r="AA4356">
        <v>287</v>
      </c>
      <c r="AB4356" s="5">
        <v>71750</v>
      </c>
      <c r="AC4356">
        <v>250</v>
      </c>
      <c r="AD4356">
        <v>287</v>
      </c>
      <c r="AE4356" s="1">
        <v>71750</v>
      </c>
      <c r="AF4356">
        <v>0</v>
      </c>
      <c r="AJ4356">
        <v>0</v>
      </c>
      <c r="AK4356">
        <v>0</v>
      </c>
      <c r="AL4356">
        <v>0</v>
      </c>
      <c r="AM4356">
        <v>0</v>
      </c>
      <c r="AN4356">
        <v>0</v>
      </c>
      <c r="AO4356">
        <v>0</v>
      </c>
      <c r="AP4356" s="2">
        <v>42746</v>
      </c>
      <c r="AQ4356" t="s">
        <v>72</v>
      </c>
      <c r="AR4356" t="s">
        <v>72</v>
      </c>
      <c r="AS4356">
        <v>2969</v>
      </c>
      <c r="AT4356" s="4">
        <v>42682</v>
      </c>
      <c r="AU4356" t="s">
        <v>73</v>
      </c>
      <c r="AV4356">
        <v>2969</v>
      </c>
      <c r="AW4356" s="4">
        <v>42682</v>
      </c>
      <c r="BD4356">
        <v>0</v>
      </c>
      <c r="BN4356" t="s">
        <v>74</v>
      </c>
    </row>
    <row r="4357" spans="1:66">
      <c r="A4357">
        <v>101541</v>
      </c>
      <c r="B4357" s="3" t="s">
        <v>467</v>
      </c>
      <c r="C4357" s="1">
        <v>43300101</v>
      </c>
      <c r="D4357" t="s">
        <v>67</v>
      </c>
      <c r="H4357" t="str">
        <f t="shared" si="463"/>
        <v>08230471008</v>
      </c>
      <c r="I4357" t="str">
        <f t="shared" si="463"/>
        <v>08230471008</v>
      </c>
      <c r="K4357" t="str">
        <f>""</f>
        <v/>
      </c>
      <c r="M4357" t="s">
        <v>68</v>
      </c>
      <c r="N4357" t="str">
        <f t="shared" si="461"/>
        <v>FOR</v>
      </c>
      <c r="O4357" t="s">
        <v>69</v>
      </c>
      <c r="P4357" s="3" t="s">
        <v>75</v>
      </c>
      <c r="Q4357">
        <v>2015</v>
      </c>
      <c r="R4357" s="2">
        <v>42328</v>
      </c>
      <c r="S4357" s="2">
        <v>42338</v>
      </c>
      <c r="T4357" s="2">
        <v>42335</v>
      </c>
      <c r="U4357" s="2">
        <v>42395</v>
      </c>
      <c r="V4357" t="s">
        <v>71</v>
      </c>
      <c r="W4357" t="str">
        <f>"               58180"</f>
        <v xml:space="preserve">               58180</v>
      </c>
      <c r="X4357">
        <v>305</v>
      </c>
      <c r="Y4357">
        <v>0</v>
      </c>
      <c r="Z4357" s="3">
        <v>250</v>
      </c>
      <c r="AA4357">
        <v>287</v>
      </c>
      <c r="AB4357" s="5">
        <v>71750</v>
      </c>
      <c r="AC4357">
        <v>250</v>
      </c>
      <c r="AD4357">
        <v>287</v>
      </c>
      <c r="AE4357" s="1">
        <v>71750</v>
      </c>
      <c r="AF4357">
        <v>0</v>
      </c>
      <c r="AJ4357">
        <v>0</v>
      </c>
      <c r="AK4357">
        <v>0</v>
      </c>
      <c r="AL4357">
        <v>0</v>
      </c>
      <c r="AM4357">
        <v>0</v>
      </c>
      <c r="AN4357">
        <v>0</v>
      </c>
      <c r="AO4357">
        <v>0</v>
      </c>
      <c r="AP4357" s="2">
        <v>42746</v>
      </c>
      <c r="AQ4357" t="s">
        <v>72</v>
      </c>
      <c r="AR4357" t="s">
        <v>72</v>
      </c>
      <c r="AS4357">
        <v>2969</v>
      </c>
      <c r="AT4357" s="4">
        <v>42682</v>
      </c>
      <c r="AU4357" t="s">
        <v>73</v>
      </c>
      <c r="AV4357">
        <v>2969</v>
      </c>
      <c r="AW4357" s="4">
        <v>42682</v>
      </c>
      <c r="BD4357">
        <v>0</v>
      </c>
      <c r="BN4357" t="s">
        <v>74</v>
      </c>
    </row>
    <row r="4358" spans="1:66">
      <c r="A4358">
        <v>101541</v>
      </c>
      <c r="B4358" s="3" t="s">
        <v>467</v>
      </c>
      <c r="C4358" s="1">
        <v>43300101</v>
      </c>
      <c r="D4358" t="s">
        <v>67</v>
      </c>
      <c r="H4358" t="str">
        <f t="shared" ref="H4358:I4377" si="464">"08230471008"</f>
        <v>08230471008</v>
      </c>
      <c r="I4358" t="str">
        <f t="shared" si="464"/>
        <v>08230471008</v>
      </c>
      <c r="K4358" t="str">
        <f>""</f>
        <v/>
      </c>
      <c r="M4358" t="s">
        <v>68</v>
      </c>
      <c r="N4358" t="str">
        <f t="shared" si="461"/>
        <v>FOR</v>
      </c>
      <c r="O4358" t="s">
        <v>69</v>
      </c>
      <c r="P4358" s="3" t="s">
        <v>75</v>
      </c>
      <c r="Q4358">
        <v>2015</v>
      </c>
      <c r="R4358" s="2">
        <v>42328</v>
      </c>
      <c r="S4358" s="2">
        <v>42338</v>
      </c>
      <c r="T4358" s="2">
        <v>42336</v>
      </c>
      <c r="U4358" s="2">
        <v>42396</v>
      </c>
      <c r="V4358" t="s">
        <v>71</v>
      </c>
      <c r="W4358" t="str">
        <f>"               58181"</f>
        <v xml:space="preserve">               58181</v>
      </c>
      <c r="X4358">
        <v>305</v>
      </c>
      <c r="Y4358">
        <v>0</v>
      </c>
      <c r="Z4358" s="3">
        <v>250</v>
      </c>
      <c r="AA4358">
        <v>286</v>
      </c>
      <c r="AB4358" s="5">
        <v>71500</v>
      </c>
      <c r="AC4358">
        <v>250</v>
      </c>
      <c r="AD4358">
        <v>286</v>
      </c>
      <c r="AE4358" s="1">
        <v>71500</v>
      </c>
      <c r="AF4358">
        <v>0</v>
      </c>
      <c r="AJ4358">
        <v>0</v>
      </c>
      <c r="AK4358">
        <v>0</v>
      </c>
      <c r="AL4358">
        <v>0</v>
      </c>
      <c r="AM4358">
        <v>0</v>
      </c>
      <c r="AN4358">
        <v>0</v>
      </c>
      <c r="AO4358">
        <v>0</v>
      </c>
      <c r="AP4358" s="2">
        <v>42746</v>
      </c>
      <c r="AQ4358" t="s">
        <v>72</v>
      </c>
      <c r="AR4358" t="s">
        <v>72</v>
      </c>
      <c r="AS4358">
        <v>2969</v>
      </c>
      <c r="AT4358" s="4">
        <v>42682</v>
      </c>
      <c r="AU4358" t="s">
        <v>73</v>
      </c>
      <c r="AV4358">
        <v>2969</v>
      </c>
      <c r="AW4358" s="4">
        <v>42682</v>
      </c>
      <c r="BD4358">
        <v>0</v>
      </c>
      <c r="BN4358" t="s">
        <v>74</v>
      </c>
    </row>
    <row r="4359" spans="1:66">
      <c r="A4359">
        <v>101541</v>
      </c>
      <c r="B4359" s="3" t="s">
        <v>467</v>
      </c>
      <c r="C4359" s="1">
        <v>43300101</v>
      </c>
      <c r="D4359" t="s">
        <v>67</v>
      </c>
      <c r="H4359" t="str">
        <f t="shared" si="464"/>
        <v>08230471008</v>
      </c>
      <c r="I4359" t="str">
        <f t="shared" si="464"/>
        <v>08230471008</v>
      </c>
      <c r="K4359" t="str">
        <f>""</f>
        <v/>
      </c>
      <c r="M4359" t="s">
        <v>68</v>
      </c>
      <c r="N4359" t="str">
        <f t="shared" si="461"/>
        <v>FOR</v>
      </c>
      <c r="O4359" t="s">
        <v>69</v>
      </c>
      <c r="P4359" s="3" t="s">
        <v>75</v>
      </c>
      <c r="Q4359">
        <v>2015</v>
      </c>
      <c r="R4359" s="2">
        <v>42328</v>
      </c>
      <c r="S4359" s="2">
        <v>42338</v>
      </c>
      <c r="T4359" s="2">
        <v>42335</v>
      </c>
      <c r="U4359" s="2">
        <v>42395</v>
      </c>
      <c r="V4359" t="s">
        <v>71</v>
      </c>
      <c r="W4359" t="str">
        <f>"               58182"</f>
        <v xml:space="preserve">               58182</v>
      </c>
      <c r="X4359">
        <v>305</v>
      </c>
      <c r="Y4359">
        <v>0</v>
      </c>
      <c r="Z4359" s="3">
        <v>250</v>
      </c>
      <c r="AA4359">
        <v>287</v>
      </c>
      <c r="AB4359" s="5">
        <v>71750</v>
      </c>
      <c r="AC4359">
        <v>250</v>
      </c>
      <c r="AD4359">
        <v>287</v>
      </c>
      <c r="AE4359" s="1">
        <v>71750</v>
      </c>
      <c r="AF4359">
        <v>0</v>
      </c>
      <c r="AJ4359">
        <v>0</v>
      </c>
      <c r="AK4359">
        <v>0</v>
      </c>
      <c r="AL4359">
        <v>0</v>
      </c>
      <c r="AM4359">
        <v>0</v>
      </c>
      <c r="AN4359">
        <v>0</v>
      </c>
      <c r="AO4359">
        <v>0</v>
      </c>
      <c r="AP4359" s="2">
        <v>42746</v>
      </c>
      <c r="AQ4359" t="s">
        <v>72</v>
      </c>
      <c r="AR4359" t="s">
        <v>72</v>
      </c>
      <c r="AS4359">
        <v>2969</v>
      </c>
      <c r="AT4359" s="4">
        <v>42682</v>
      </c>
      <c r="AU4359" t="s">
        <v>73</v>
      </c>
      <c r="AV4359">
        <v>2969</v>
      </c>
      <c r="AW4359" s="4">
        <v>42682</v>
      </c>
      <c r="BD4359">
        <v>0</v>
      </c>
      <c r="BN4359" t="s">
        <v>74</v>
      </c>
    </row>
    <row r="4360" spans="1:66">
      <c r="A4360">
        <v>101541</v>
      </c>
      <c r="B4360" s="3" t="s">
        <v>467</v>
      </c>
      <c r="C4360" s="1">
        <v>43300101</v>
      </c>
      <c r="D4360" t="s">
        <v>67</v>
      </c>
      <c r="H4360" t="str">
        <f t="shared" si="464"/>
        <v>08230471008</v>
      </c>
      <c r="I4360" t="str">
        <f t="shared" si="464"/>
        <v>08230471008</v>
      </c>
      <c r="K4360" t="str">
        <f>""</f>
        <v/>
      </c>
      <c r="M4360" t="s">
        <v>68</v>
      </c>
      <c r="N4360" t="str">
        <f t="shared" si="461"/>
        <v>FOR</v>
      </c>
      <c r="O4360" t="s">
        <v>69</v>
      </c>
      <c r="P4360" s="3" t="s">
        <v>75</v>
      </c>
      <c r="Q4360">
        <v>2015</v>
      </c>
      <c r="R4360" s="2">
        <v>42335</v>
      </c>
      <c r="S4360" s="2">
        <v>42345</v>
      </c>
      <c r="T4360" s="2">
        <v>42342</v>
      </c>
      <c r="U4360" s="2">
        <v>42402</v>
      </c>
      <c r="V4360" t="s">
        <v>71</v>
      </c>
      <c r="W4360" t="str">
        <f>"               58471"</f>
        <v xml:space="preserve">               58471</v>
      </c>
      <c r="X4360">
        <v>305</v>
      </c>
      <c r="Y4360">
        <v>0</v>
      </c>
      <c r="Z4360" s="3">
        <v>250</v>
      </c>
      <c r="AA4360">
        <v>280</v>
      </c>
      <c r="AB4360" s="5">
        <v>70000</v>
      </c>
      <c r="AC4360">
        <v>250</v>
      </c>
      <c r="AD4360">
        <v>280</v>
      </c>
      <c r="AE4360" s="1">
        <v>70000</v>
      </c>
      <c r="AF4360">
        <v>0</v>
      </c>
      <c r="AJ4360">
        <v>0</v>
      </c>
      <c r="AK4360">
        <v>0</v>
      </c>
      <c r="AL4360">
        <v>0</v>
      </c>
      <c r="AM4360">
        <v>0</v>
      </c>
      <c r="AN4360">
        <v>0</v>
      </c>
      <c r="AO4360">
        <v>0</v>
      </c>
      <c r="AP4360" s="2">
        <v>42746</v>
      </c>
      <c r="AQ4360" t="s">
        <v>72</v>
      </c>
      <c r="AR4360" t="s">
        <v>72</v>
      </c>
      <c r="AS4360">
        <v>2969</v>
      </c>
      <c r="AT4360" s="4">
        <v>42682</v>
      </c>
      <c r="AU4360" t="s">
        <v>73</v>
      </c>
      <c r="AV4360">
        <v>2969</v>
      </c>
      <c r="AW4360" s="4">
        <v>42682</v>
      </c>
      <c r="BD4360">
        <v>0</v>
      </c>
      <c r="BN4360" t="s">
        <v>74</v>
      </c>
    </row>
    <row r="4361" spans="1:66">
      <c r="A4361">
        <v>101541</v>
      </c>
      <c r="B4361" s="3" t="s">
        <v>467</v>
      </c>
      <c r="C4361" s="1">
        <v>43300101</v>
      </c>
      <c r="D4361" t="s">
        <v>67</v>
      </c>
      <c r="H4361" t="str">
        <f t="shared" si="464"/>
        <v>08230471008</v>
      </c>
      <c r="I4361" t="str">
        <f t="shared" si="464"/>
        <v>08230471008</v>
      </c>
      <c r="K4361" t="str">
        <f>""</f>
        <v/>
      </c>
      <c r="M4361" t="s">
        <v>68</v>
      </c>
      <c r="N4361" t="str">
        <f t="shared" si="461"/>
        <v>FOR</v>
      </c>
      <c r="O4361" t="s">
        <v>69</v>
      </c>
      <c r="P4361" s="3" t="s">
        <v>75</v>
      </c>
      <c r="Q4361">
        <v>2015</v>
      </c>
      <c r="R4361" s="2">
        <v>42335</v>
      </c>
      <c r="S4361" s="2">
        <v>42345</v>
      </c>
      <c r="T4361" s="2">
        <v>42342</v>
      </c>
      <c r="U4361" s="2">
        <v>42402</v>
      </c>
      <c r="V4361" t="s">
        <v>71</v>
      </c>
      <c r="W4361" t="str">
        <f>"               58472"</f>
        <v xml:space="preserve">               58472</v>
      </c>
      <c r="X4361">
        <v>728</v>
      </c>
      <c r="Y4361">
        <v>0</v>
      </c>
      <c r="Z4361" s="3">
        <v>700</v>
      </c>
      <c r="AA4361">
        <v>280</v>
      </c>
      <c r="AB4361" s="5">
        <v>196000</v>
      </c>
      <c r="AC4361">
        <v>700</v>
      </c>
      <c r="AD4361">
        <v>280</v>
      </c>
      <c r="AE4361" s="1">
        <v>196000</v>
      </c>
      <c r="AF4361">
        <v>0</v>
      </c>
      <c r="AJ4361">
        <v>0</v>
      </c>
      <c r="AK4361">
        <v>0</v>
      </c>
      <c r="AL4361">
        <v>0</v>
      </c>
      <c r="AM4361">
        <v>0</v>
      </c>
      <c r="AN4361">
        <v>0</v>
      </c>
      <c r="AO4361">
        <v>0</v>
      </c>
      <c r="AP4361" s="2">
        <v>42746</v>
      </c>
      <c r="AQ4361" t="s">
        <v>72</v>
      </c>
      <c r="AR4361" t="s">
        <v>72</v>
      </c>
      <c r="AS4361">
        <v>2969</v>
      </c>
      <c r="AT4361" s="4">
        <v>42682</v>
      </c>
      <c r="AU4361" t="s">
        <v>73</v>
      </c>
      <c r="AV4361">
        <v>2969</v>
      </c>
      <c r="AW4361" s="4">
        <v>42682</v>
      </c>
      <c r="BD4361">
        <v>0</v>
      </c>
      <c r="BN4361" t="s">
        <v>74</v>
      </c>
    </row>
    <row r="4362" spans="1:66">
      <c r="A4362">
        <v>101541</v>
      </c>
      <c r="B4362" s="3" t="s">
        <v>467</v>
      </c>
      <c r="C4362" s="1">
        <v>43300101</v>
      </c>
      <c r="D4362" t="s">
        <v>67</v>
      </c>
      <c r="H4362" t="str">
        <f t="shared" si="464"/>
        <v>08230471008</v>
      </c>
      <c r="I4362" t="str">
        <f t="shared" si="464"/>
        <v>08230471008</v>
      </c>
      <c r="K4362" t="str">
        <f>""</f>
        <v/>
      </c>
      <c r="M4362" t="s">
        <v>68</v>
      </c>
      <c r="N4362" t="str">
        <f t="shared" si="461"/>
        <v>FOR</v>
      </c>
      <c r="O4362" t="s">
        <v>69</v>
      </c>
      <c r="P4362" s="3" t="s">
        <v>75</v>
      </c>
      <c r="Q4362">
        <v>2015</v>
      </c>
      <c r="R4362" s="2">
        <v>42335</v>
      </c>
      <c r="S4362" s="2">
        <v>42345</v>
      </c>
      <c r="T4362" s="2">
        <v>42342</v>
      </c>
      <c r="U4362" s="2">
        <v>42402</v>
      </c>
      <c r="V4362" t="s">
        <v>71</v>
      </c>
      <c r="W4362" t="str">
        <f>"               58473"</f>
        <v xml:space="preserve">               58473</v>
      </c>
      <c r="X4362">
        <v>728</v>
      </c>
      <c r="Y4362">
        <v>0</v>
      </c>
      <c r="Z4362" s="3">
        <v>700</v>
      </c>
      <c r="AA4362">
        <v>280</v>
      </c>
      <c r="AB4362" s="5">
        <v>196000</v>
      </c>
      <c r="AC4362">
        <v>700</v>
      </c>
      <c r="AD4362">
        <v>280</v>
      </c>
      <c r="AE4362" s="1">
        <v>196000</v>
      </c>
      <c r="AF4362">
        <v>0</v>
      </c>
      <c r="AJ4362">
        <v>0</v>
      </c>
      <c r="AK4362">
        <v>0</v>
      </c>
      <c r="AL4362">
        <v>0</v>
      </c>
      <c r="AM4362">
        <v>0</v>
      </c>
      <c r="AN4362">
        <v>0</v>
      </c>
      <c r="AO4362">
        <v>0</v>
      </c>
      <c r="AP4362" s="2">
        <v>42746</v>
      </c>
      <c r="AQ4362" t="s">
        <v>72</v>
      </c>
      <c r="AR4362" t="s">
        <v>72</v>
      </c>
      <c r="AS4362">
        <v>2969</v>
      </c>
      <c r="AT4362" s="4">
        <v>42682</v>
      </c>
      <c r="AU4362" t="s">
        <v>73</v>
      </c>
      <c r="AV4362">
        <v>2969</v>
      </c>
      <c r="AW4362" s="4">
        <v>42682</v>
      </c>
      <c r="BD4362">
        <v>0</v>
      </c>
      <c r="BN4362" t="s">
        <v>74</v>
      </c>
    </row>
    <row r="4363" spans="1:66">
      <c r="A4363">
        <v>101541</v>
      </c>
      <c r="B4363" s="3" t="s">
        <v>467</v>
      </c>
      <c r="C4363" s="1">
        <v>43300101</v>
      </c>
      <c r="D4363" t="s">
        <v>67</v>
      </c>
      <c r="H4363" t="str">
        <f t="shared" si="464"/>
        <v>08230471008</v>
      </c>
      <c r="I4363" t="str">
        <f t="shared" si="464"/>
        <v>08230471008</v>
      </c>
      <c r="K4363" t="str">
        <f>""</f>
        <v/>
      </c>
      <c r="M4363" t="s">
        <v>68</v>
      </c>
      <c r="N4363" t="str">
        <f t="shared" si="461"/>
        <v>FOR</v>
      </c>
      <c r="O4363" t="s">
        <v>69</v>
      </c>
      <c r="P4363" s="3" t="s">
        <v>75</v>
      </c>
      <c r="Q4363">
        <v>2015</v>
      </c>
      <c r="R4363" s="2">
        <v>42335</v>
      </c>
      <c r="S4363" s="2">
        <v>42342</v>
      </c>
      <c r="T4363" s="2">
        <v>42342</v>
      </c>
      <c r="U4363" s="2">
        <v>42402</v>
      </c>
      <c r="V4363" t="s">
        <v>71</v>
      </c>
      <c r="W4363" t="str">
        <f>"               58474"</f>
        <v xml:space="preserve">               58474</v>
      </c>
      <c r="X4363">
        <v>305</v>
      </c>
      <c r="Y4363">
        <v>0</v>
      </c>
      <c r="Z4363" s="3">
        <v>250</v>
      </c>
      <c r="AA4363">
        <v>280</v>
      </c>
      <c r="AB4363" s="5">
        <v>70000</v>
      </c>
      <c r="AC4363">
        <v>250</v>
      </c>
      <c r="AD4363">
        <v>280</v>
      </c>
      <c r="AE4363" s="1">
        <v>70000</v>
      </c>
      <c r="AF4363">
        <v>0</v>
      </c>
      <c r="AJ4363">
        <v>0</v>
      </c>
      <c r="AK4363">
        <v>0</v>
      </c>
      <c r="AL4363">
        <v>0</v>
      </c>
      <c r="AM4363">
        <v>0</v>
      </c>
      <c r="AN4363">
        <v>0</v>
      </c>
      <c r="AO4363">
        <v>0</v>
      </c>
      <c r="AP4363" s="2">
        <v>42746</v>
      </c>
      <c r="AQ4363" t="s">
        <v>72</v>
      </c>
      <c r="AR4363" t="s">
        <v>72</v>
      </c>
      <c r="AS4363">
        <v>2969</v>
      </c>
      <c r="AT4363" s="4">
        <v>42682</v>
      </c>
      <c r="AU4363" t="s">
        <v>73</v>
      </c>
      <c r="AV4363">
        <v>2969</v>
      </c>
      <c r="AW4363" s="4">
        <v>42682</v>
      </c>
      <c r="BD4363">
        <v>0</v>
      </c>
      <c r="BN4363" t="s">
        <v>74</v>
      </c>
    </row>
    <row r="4364" spans="1:66">
      <c r="A4364">
        <v>101541</v>
      </c>
      <c r="B4364" s="3" t="s">
        <v>467</v>
      </c>
      <c r="C4364" s="1">
        <v>43300101</v>
      </c>
      <c r="D4364" t="s">
        <v>67</v>
      </c>
      <c r="H4364" t="str">
        <f t="shared" si="464"/>
        <v>08230471008</v>
      </c>
      <c r="I4364" t="str">
        <f t="shared" si="464"/>
        <v>08230471008</v>
      </c>
      <c r="K4364" t="str">
        <f>""</f>
        <v/>
      </c>
      <c r="M4364" t="s">
        <v>68</v>
      </c>
      <c r="N4364" t="str">
        <f t="shared" si="461"/>
        <v>FOR</v>
      </c>
      <c r="O4364" t="s">
        <v>69</v>
      </c>
      <c r="P4364" s="3" t="s">
        <v>75</v>
      </c>
      <c r="Q4364">
        <v>2015</v>
      </c>
      <c r="R4364" s="2">
        <v>42335</v>
      </c>
      <c r="S4364" s="2">
        <v>42345</v>
      </c>
      <c r="T4364" s="2">
        <v>42342</v>
      </c>
      <c r="U4364" s="2">
        <v>42402</v>
      </c>
      <c r="V4364" t="s">
        <v>71</v>
      </c>
      <c r="W4364" t="str">
        <f>"               58475"</f>
        <v xml:space="preserve">               58475</v>
      </c>
      <c r="X4364">
        <v>305</v>
      </c>
      <c r="Y4364">
        <v>0</v>
      </c>
      <c r="Z4364" s="3">
        <v>250</v>
      </c>
      <c r="AA4364">
        <v>280</v>
      </c>
      <c r="AB4364" s="5">
        <v>70000</v>
      </c>
      <c r="AC4364">
        <v>250</v>
      </c>
      <c r="AD4364">
        <v>280</v>
      </c>
      <c r="AE4364" s="1">
        <v>70000</v>
      </c>
      <c r="AF4364">
        <v>0</v>
      </c>
      <c r="AJ4364">
        <v>0</v>
      </c>
      <c r="AK4364">
        <v>0</v>
      </c>
      <c r="AL4364">
        <v>0</v>
      </c>
      <c r="AM4364">
        <v>0</v>
      </c>
      <c r="AN4364">
        <v>0</v>
      </c>
      <c r="AO4364">
        <v>0</v>
      </c>
      <c r="AP4364" s="2">
        <v>42746</v>
      </c>
      <c r="AQ4364" t="s">
        <v>72</v>
      </c>
      <c r="AR4364" t="s">
        <v>72</v>
      </c>
      <c r="AS4364">
        <v>2969</v>
      </c>
      <c r="AT4364" s="4">
        <v>42682</v>
      </c>
      <c r="AU4364" t="s">
        <v>73</v>
      </c>
      <c r="AV4364">
        <v>2969</v>
      </c>
      <c r="AW4364" s="4">
        <v>42682</v>
      </c>
      <c r="BD4364">
        <v>0</v>
      </c>
      <c r="BN4364" t="s">
        <v>74</v>
      </c>
    </row>
    <row r="4365" spans="1:66">
      <c r="A4365">
        <v>101541</v>
      </c>
      <c r="B4365" s="3" t="s">
        <v>467</v>
      </c>
      <c r="C4365" s="1">
        <v>43300101</v>
      </c>
      <c r="D4365" t="s">
        <v>67</v>
      </c>
      <c r="H4365" t="str">
        <f t="shared" si="464"/>
        <v>08230471008</v>
      </c>
      <c r="I4365" t="str">
        <f t="shared" si="464"/>
        <v>08230471008</v>
      </c>
      <c r="K4365" t="str">
        <f>""</f>
        <v/>
      </c>
      <c r="M4365" t="s">
        <v>68</v>
      </c>
      <c r="N4365" t="str">
        <f t="shared" si="461"/>
        <v>FOR</v>
      </c>
      <c r="O4365" t="s">
        <v>69</v>
      </c>
      <c r="P4365" s="3" t="s">
        <v>75</v>
      </c>
      <c r="Q4365">
        <v>2015</v>
      </c>
      <c r="R4365" s="2">
        <v>42335</v>
      </c>
      <c r="S4365" s="2">
        <v>42345</v>
      </c>
      <c r="T4365" s="2">
        <v>42342</v>
      </c>
      <c r="U4365" s="2">
        <v>42402</v>
      </c>
      <c r="V4365" t="s">
        <v>71</v>
      </c>
      <c r="W4365" t="str">
        <f>"               58476"</f>
        <v xml:space="preserve">               58476</v>
      </c>
      <c r="X4365" s="1">
        <v>7625</v>
      </c>
      <c r="Y4365">
        <v>0</v>
      </c>
      <c r="Z4365" s="5">
        <v>6250</v>
      </c>
      <c r="AA4365">
        <v>280</v>
      </c>
      <c r="AB4365" s="5">
        <v>1750000</v>
      </c>
      <c r="AC4365" s="1">
        <v>6250</v>
      </c>
      <c r="AD4365">
        <v>280</v>
      </c>
      <c r="AE4365" s="1">
        <v>1750000</v>
      </c>
      <c r="AF4365">
        <v>0</v>
      </c>
      <c r="AJ4365">
        <v>0</v>
      </c>
      <c r="AK4365">
        <v>0</v>
      </c>
      <c r="AL4365">
        <v>0</v>
      </c>
      <c r="AM4365">
        <v>0</v>
      </c>
      <c r="AN4365">
        <v>0</v>
      </c>
      <c r="AO4365">
        <v>0</v>
      </c>
      <c r="AP4365" s="2">
        <v>42746</v>
      </c>
      <c r="AQ4365" t="s">
        <v>72</v>
      </c>
      <c r="AR4365" t="s">
        <v>72</v>
      </c>
      <c r="AS4365">
        <v>2969</v>
      </c>
      <c r="AT4365" s="4">
        <v>42682</v>
      </c>
      <c r="AU4365" t="s">
        <v>73</v>
      </c>
      <c r="AV4365">
        <v>2969</v>
      </c>
      <c r="AW4365" s="4">
        <v>42682</v>
      </c>
      <c r="BD4365">
        <v>0</v>
      </c>
      <c r="BN4365" t="s">
        <v>74</v>
      </c>
    </row>
    <row r="4366" spans="1:66">
      <c r="A4366">
        <v>101541</v>
      </c>
      <c r="B4366" s="3" t="s">
        <v>467</v>
      </c>
      <c r="C4366" s="1">
        <v>43300101</v>
      </c>
      <c r="D4366" t="s">
        <v>67</v>
      </c>
      <c r="H4366" t="str">
        <f t="shared" si="464"/>
        <v>08230471008</v>
      </c>
      <c r="I4366" t="str">
        <f t="shared" si="464"/>
        <v>08230471008</v>
      </c>
      <c r="K4366" t="str">
        <f>""</f>
        <v/>
      </c>
      <c r="M4366" t="s">
        <v>68</v>
      </c>
      <c r="N4366" t="str">
        <f t="shared" si="461"/>
        <v>FOR</v>
      </c>
      <c r="O4366" t="s">
        <v>69</v>
      </c>
      <c r="P4366" s="3" t="s">
        <v>75</v>
      </c>
      <c r="Q4366">
        <v>2015</v>
      </c>
      <c r="R4366" s="2">
        <v>42338</v>
      </c>
      <c r="S4366" s="2">
        <v>42345</v>
      </c>
      <c r="T4366" s="2">
        <v>42342</v>
      </c>
      <c r="U4366" s="2">
        <v>42402</v>
      </c>
      <c r="V4366" t="s">
        <v>71</v>
      </c>
      <c r="W4366" t="str">
        <f>"               58684"</f>
        <v xml:space="preserve">               58684</v>
      </c>
      <c r="X4366">
        <v>305</v>
      </c>
      <c r="Y4366">
        <v>0</v>
      </c>
      <c r="Z4366" s="3">
        <v>250</v>
      </c>
      <c r="AA4366">
        <v>280</v>
      </c>
      <c r="AB4366" s="5">
        <v>70000</v>
      </c>
      <c r="AC4366">
        <v>250</v>
      </c>
      <c r="AD4366">
        <v>280</v>
      </c>
      <c r="AE4366" s="1">
        <v>70000</v>
      </c>
      <c r="AF4366">
        <v>0</v>
      </c>
      <c r="AJ4366">
        <v>0</v>
      </c>
      <c r="AK4366">
        <v>0</v>
      </c>
      <c r="AL4366">
        <v>0</v>
      </c>
      <c r="AM4366">
        <v>0</v>
      </c>
      <c r="AN4366">
        <v>0</v>
      </c>
      <c r="AO4366">
        <v>0</v>
      </c>
      <c r="AP4366" s="2">
        <v>42746</v>
      </c>
      <c r="AQ4366" t="s">
        <v>72</v>
      </c>
      <c r="AR4366" t="s">
        <v>72</v>
      </c>
      <c r="AS4366">
        <v>2969</v>
      </c>
      <c r="AT4366" s="4">
        <v>42682</v>
      </c>
      <c r="AU4366" t="s">
        <v>73</v>
      </c>
      <c r="AV4366">
        <v>2969</v>
      </c>
      <c r="AW4366" s="4">
        <v>42682</v>
      </c>
      <c r="BD4366">
        <v>0</v>
      </c>
      <c r="BN4366" t="s">
        <v>74</v>
      </c>
    </row>
    <row r="4367" spans="1:66">
      <c r="A4367">
        <v>101541</v>
      </c>
      <c r="B4367" s="3" t="s">
        <v>467</v>
      </c>
      <c r="C4367" s="1">
        <v>43300101</v>
      </c>
      <c r="D4367" t="s">
        <v>67</v>
      </c>
      <c r="H4367" t="str">
        <f t="shared" si="464"/>
        <v>08230471008</v>
      </c>
      <c r="I4367" t="str">
        <f t="shared" si="464"/>
        <v>08230471008</v>
      </c>
      <c r="K4367" t="str">
        <f>""</f>
        <v/>
      </c>
      <c r="M4367" t="s">
        <v>68</v>
      </c>
      <c r="N4367" t="str">
        <f t="shared" si="461"/>
        <v>FOR</v>
      </c>
      <c r="O4367" t="s">
        <v>69</v>
      </c>
      <c r="P4367" s="3" t="s">
        <v>75</v>
      </c>
      <c r="Q4367">
        <v>2015</v>
      </c>
      <c r="R4367" s="2">
        <v>42338</v>
      </c>
      <c r="S4367" s="2">
        <v>42345</v>
      </c>
      <c r="T4367" s="2">
        <v>42342</v>
      </c>
      <c r="U4367" s="2">
        <v>42402</v>
      </c>
      <c r="V4367" t="s">
        <v>71</v>
      </c>
      <c r="W4367" t="str">
        <f>"               58685"</f>
        <v xml:space="preserve">               58685</v>
      </c>
      <c r="X4367">
        <v>305</v>
      </c>
      <c r="Y4367">
        <v>0</v>
      </c>
      <c r="Z4367" s="3">
        <v>250</v>
      </c>
      <c r="AA4367">
        <v>280</v>
      </c>
      <c r="AB4367" s="5">
        <v>70000</v>
      </c>
      <c r="AC4367">
        <v>250</v>
      </c>
      <c r="AD4367">
        <v>280</v>
      </c>
      <c r="AE4367" s="1">
        <v>70000</v>
      </c>
      <c r="AF4367">
        <v>0</v>
      </c>
      <c r="AJ4367">
        <v>0</v>
      </c>
      <c r="AK4367">
        <v>0</v>
      </c>
      <c r="AL4367">
        <v>0</v>
      </c>
      <c r="AM4367">
        <v>0</v>
      </c>
      <c r="AN4367">
        <v>0</v>
      </c>
      <c r="AO4367">
        <v>0</v>
      </c>
      <c r="AP4367" s="2">
        <v>42746</v>
      </c>
      <c r="AQ4367" t="s">
        <v>72</v>
      </c>
      <c r="AR4367" t="s">
        <v>72</v>
      </c>
      <c r="AS4367">
        <v>2969</v>
      </c>
      <c r="AT4367" s="4">
        <v>42682</v>
      </c>
      <c r="AU4367" t="s">
        <v>73</v>
      </c>
      <c r="AV4367">
        <v>2969</v>
      </c>
      <c r="AW4367" s="4">
        <v>42682</v>
      </c>
      <c r="BD4367">
        <v>0</v>
      </c>
      <c r="BN4367" t="s">
        <v>74</v>
      </c>
    </row>
    <row r="4368" spans="1:66">
      <c r="A4368">
        <v>101541</v>
      </c>
      <c r="B4368" s="3" t="s">
        <v>467</v>
      </c>
      <c r="C4368" s="1">
        <v>43300101</v>
      </c>
      <c r="D4368" t="s">
        <v>67</v>
      </c>
      <c r="H4368" t="str">
        <f t="shared" si="464"/>
        <v>08230471008</v>
      </c>
      <c r="I4368" t="str">
        <f t="shared" si="464"/>
        <v>08230471008</v>
      </c>
      <c r="K4368" t="str">
        <f>""</f>
        <v/>
      </c>
      <c r="M4368" t="s">
        <v>68</v>
      </c>
      <c r="N4368" t="str">
        <f t="shared" ref="N4368:N4431" si="465">"FOR"</f>
        <v>FOR</v>
      </c>
      <c r="O4368" t="s">
        <v>69</v>
      </c>
      <c r="P4368" s="3" t="s">
        <v>75</v>
      </c>
      <c r="Q4368">
        <v>2015</v>
      </c>
      <c r="R4368" s="2">
        <v>42338</v>
      </c>
      <c r="S4368" s="2">
        <v>42345</v>
      </c>
      <c r="T4368" s="2">
        <v>42342</v>
      </c>
      <c r="U4368" s="2">
        <v>42402</v>
      </c>
      <c r="V4368" t="s">
        <v>71</v>
      </c>
      <c r="W4368" t="str">
        <f>"               58686"</f>
        <v xml:space="preserve">               58686</v>
      </c>
      <c r="X4368">
        <v>305</v>
      </c>
      <c r="Y4368">
        <v>0</v>
      </c>
      <c r="Z4368" s="3">
        <v>250</v>
      </c>
      <c r="AA4368">
        <v>280</v>
      </c>
      <c r="AB4368" s="5">
        <v>70000</v>
      </c>
      <c r="AC4368">
        <v>250</v>
      </c>
      <c r="AD4368">
        <v>280</v>
      </c>
      <c r="AE4368" s="1">
        <v>70000</v>
      </c>
      <c r="AF4368">
        <v>0</v>
      </c>
      <c r="AJ4368">
        <v>0</v>
      </c>
      <c r="AK4368">
        <v>0</v>
      </c>
      <c r="AL4368">
        <v>0</v>
      </c>
      <c r="AM4368">
        <v>0</v>
      </c>
      <c r="AN4368">
        <v>0</v>
      </c>
      <c r="AO4368">
        <v>0</v>
      </c>
      <c r="AP4368" s="2">
        <v>42746</v>
      </c>
      <c r="AQ4368" t="s">
        <v>72</v>
      </c>
      <c r="AR4368" t="s">
        <v>72</v>
      </c>
      <c r="AS4368">
        <v>2969</v>
      </c>
      <c r="AT4368" s="4">
        <v>42682</v>
      </c>
      <c r="AU4368" t="s">
        <v>73</v>
      </c>
      <c r="AV4368">
        <v>2969</v>
      </c>
      <c r="AW4368" s="4">
        <v>42682</v>
      </c>
      <c r="BD4368">
        <v>0</v>
      </c>
      <c r="BN4368" t="s">
        <v>74</v>
      </c>
    </row>
    <row r="4369" spans="1:66">
      <c r="A4369">
        <v>101541</v>
      </c>
      <c r="B4369" s="3" t="s">
        <v>467</v>
      </c>
      <c r="C4369" s="1">
        <v>43300101</v>
      </c>
      <c r="D4369" t="s">
        <v>67</v>
      </c>
      <c r="H4369" t="str">
        <f t="shared" si="464"/>
        <v>08230471008</v>
      </c>
      <c r="I4369" t="str">
        <f t="shared" si="464"/>
        <v>08230471008</v>
      </c>
      <c r="K4369" t="str">
        <f>""</f>
        <v/>
      </c>
      <c r="M4369" t="s">
        <v>68</v>
      </c>
      <c r="N4369" t="str">
        <f t="shared" si="465"/>
        <v>FOR</v>
      </c>
      <c r="O4369" t="s">
        <v>69</v>
      </c>
      <c r="P4369" s="3" t="s">
        <v>75</v>
      </c>
      <c r="Q4369">
        <v>2015</v>
      </c>
      <c r="R4369" s="2">
        <v>42338</v>
      </c>
      <c r="S4369" s="2">
        <v>42342</v>
      </c>
      <c r="T4369" s="2">
        <v>42342</v>
      </c>
      <c r="U4369" s="2">
        <v>42402</v>
      </c>
      <c r="V4369" t="s">
        <v>71</v>
      </c>
      <c r="W4369" t="str">
        <f>"               58687"</f>
        <v xml:space="preserve">               58687</v>
      </c>
      <c r="X4369">
        <v>305</v>
      </c>
      <c r="Y4369">
        <v>0</v>
      </c>
      <c r="Z4369" s="3">
        <v>250</v>
      </c>
      <c r="AA4369">
        <v>280</v>
      </c>
      <c r="AB4369" s="5">
        <v>70000</v>
      </c>
      <c r="AC4369">
        <v>250</v>
      </c>
      <c r="AD4369">
        <v>280</v>
      </c>
      <c r="AE4369" s="1">
        <v>70000</v>
      </c>
      <c r="AF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 s="2">
        <v>42746</v>
      </c>
      <c r="AQ4369" t="s">
        <v>72</v>
      </c>
      <c r="AR4369" t="s">
        <v>72</v>
      </c>
      <c r="AS4369">
        <v>2969</v>
      </c>
      <c r="AT4369" s="4">
        <v>42682</v>
      </c>
      <c r="AU4369" t="s">
        <v>73</v>
      </c>
      <c r="AV4369">
        <v>2969</v>
      </c>
      <c r="AW4369" s="4">
        <v>42682</v>
      </c>
      <c r="BD4369">
        <v>0</v>
      </c>
      <c r="BN4369" t="s">
        <v>74</v>
      </c>
    </row>
    <row r="4370" spans="1:66">
      <c r="A4370">
        <v>101541</v>
      </c>
      <c r="B4370" s="3" t="s">
        <v>467</v>
      </c>
      <c r="C4370" s="1">
        <v>43300101</v>
      </c>
      <c r="D4370" t="s">
        <v>67</v>
      </c>
      <c r="H4370" t="str">
        <f t="shared" si="464"/>
        <v>08230471008</v>
      </c>
      <c r="I4370" t="str">
        <f t="shared" si="464"/>
        <v>08230471008</v>
      </c>
      <c r="K4370" t="str">
        <f>""</f>
        <v/>
      </c>
      <c r="M4370" t="s">
        <v>68</v>
      </c>
      <c r="N4370" t="str">
        <f t="shared" si="465"/>
        <v>FOR</v>
      </c>
      <c r="O4370" t="s">
        <v>69</v>
      </c>
      <c r="P4370" s="3" t="s">
        <v>75</v>
      </c>
      <c r="Q4370">
        <v>2015</v>
      </c>
      <c r="R4370" s="2">
        <v>42338</v>
      </c>
      <c r="S4370" s="2">
        <v>42342</v>
      </c>
      <c r="T4370" s="2">
        <v>42342</v>
      </c>
      <c r="U4370" s="2">
        <v>42402</v>
      </c>
      <c r="V4370" t="s">
        <v>71</v>
      </c>
      <c r="W4370" t="str">
        <f>"               58688"</f>
        <v xml:space="preserve">               58688</v>
      </c>
      <c r="X4370">
        <v>305</v>
      </c>
      <c r="Y4370">
        <v>0</v>
      </c>
      <c r="Z4370" s="3">
        <v>250</v>
      </c>
      <c r="AA4370">
        <v>280</v>
      </c>
      <c r="AB4370" s="5">
        <v>70000</v>
      </c>
      <c r="AC4370">
        <v>250</v>
      </c>
      <c r="AD4370">
        <v>280</v>
      </c>
      <c r="AE4370" s="1">
        <v>70000</v>
      </c>
      <c r="AF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0</v>
      </c>
      <c r="AP4370" s="2">
        <v>42746</v>
      </c>
      <c r="AQ4370" t="s">
        <v>72</v>
      </c>
      <c r="AR4370" t="s">
        <v>72</v>
      </c>
      <c r="AS4370">
        <v>2969</v>
      </c>
      <c r="AT4370" s="4">
        <v>42682</v>
      </c>
      <c r="AU4370" t="s">
        <v>73</v>
      </c>
      <c r="AV4370">
        <v>2969</v>
      </c>
      <c r="AW4370" s="4">
        <v>42682</v>
      </c>
      <c r="BD4370">
        <v>0</v>
      </c>
      <c r="BN4370" t="s">
        <v>74</v>
      </c>
    </row>
    <row r="4371" spans="1:66">
      <c r="A4371">
        <v>101541</v>
      </c>
      <c r="B4371" s="3" t="s">
        <v>467</v>
      </c>
      <c r="C4371" s="1">
        <v>43300101</v>
      </c>
      <c r="D4371" t="s">
        <v>67</v>
      </c>
      <c r="H4371" t="str">
        <f t="shared" si="464"/>
        <v>08230471008</v>
      </c>
      <c r="I4371" t="str">
        <f t="shared" si="464"/>
        <v>08230471008</v>
      </c>
      <c r="K4371" t="str">
        <f>""</f>
        <v/>
      </c>
      <c r="M4371" t="s">
        <v>68</v>
      </c>
      <c r="N4371" t="str">
        <f t="shared" si="465"/>
        <v>FOR</v>
      </c>
      <c r="O4371" t="s">
        <v>69</v>
      </c>
      <c r="P4371" s="3" t="s">
        <v>75</v>
      </c>
      <c r="Q4371">
        <v>2015</v>
      </c>
      <c r="R4371" s="2">
        <v>42338</v>
      </c>
      <c r="S4371" s="2">
        <v>42345</v>
      </c>
      <c r="T4371" s="2">
        <v>42342</v>
      </c>
      <c r="U4371" s="2">
        <v>42402</v>
      </c>
      <c r="V4371" t="s">
        <v>71</v>
      </c>
      <c r="W4371" t="str">
        <f>"               58689"</f>
        <v xml:space="preserve">               58689</v>
      </c>
      <c r="X4371">
        <v>728</v>
      </c>
      <c r="Y4371">
        <v>0</v>
      </c>
      <c r="Z4371" s="3">
        <v>700</v>
      </c>
      <c r="AA4371">
        <v>280</v>
      </c>
      <c r="AB4371" s="5">
        <v>196000</v>
      </c>
      <c r="AC4371">
        <v>700</v>
      </c>
      <c r="AD4371">
        <v>280</v>
      </c>
      <c r="AE4371" s="1">
        <v>196000</v>
      </c>
      <c r="AF4371">
        <v>0</v>
      </c>
      <c r="AJ4371">
        <v>0</v>
      </c>
      <c r="AK4371">
        <v>0</v>
      </c>
      <c r="AL4371">
        <v>0</v>
      </c>
      <c r="AM4371">
        <v>0</v>
      </c>
      <c r="AN4371">
        <v>0</v>
      </c>
      <c r="AO4371">
        <v>0</v>
      </c>
      <c r="AP4371" s="2">
        <v>42746</v>
      </c>
      <c r="AQ4371" t="s">
        <v>72</v>
      </c>
      <c r="AR4371" t="s">
        <v>72</v>
      </c>
      <c r="AS4371">
        <v>2969</v>
      </c>
      <c r="AT4371" s="4">
        <v>42682</v>
      </c>
      <c r="AU4371" t="s">
        <v>73</v>
      </c>
      <c r="AV4371">
        <v>2969</v>
      </c>
      <c r="AW4371" s="4">
        <v>42682</v>
      </c>
      <c r="BD4371">
        <v>0</v>
      </c>
      <c r="BN4371" t="s">
        <v>74</v>
      </c>
    </row>
    <row r="4372" spans="1:66">
      <c r="A4372">
        <v>101541</v>
      </c>
      <c r="B4372" s="3" t="s">
        <v>467</v>
      </c>
      <c r="C4372" s="1">
        <v>43300101</v>
      </c>
      <c r="D4372" t="s">
        <v>67</v>
      </c>
      <c r="H4372" t="str">
        <f t="shared" si="464"/>
        <v>08230471008</v>
      </c>
      <c r="I4372" t="str">
        <f t="shared" si="464"/>
        <v>08230471008</v>
      </c>
      <c r="K4372" t="str">
        <f>""</f>
        <v/>
      </c>
      <c r="M4372" t="s">
        <v>68</v>
      </c>
      <c r="N4372" t="str">
        <f t="shared" si="465"/>
        <v>FOR</v>
      </c>
      <c r="O4372" t="s">
        <v>69</v>
      </c>
      <c r="P4372" s="3" t="s">
        <v>75</v>
      </c>
      <c r="Q4372">
        <v>2015</v>
      </c>
      <c r="R4372" s="2">
        <v>42338</v>
      </c>
      <c r="S4372" s="2">
        <v>42345</v>
      </c>
      <c r="T4372" s="2">
        <v>42342</v>
      </c>
      <c r="U4372" s="2">
        <v>42402</v>
      </c>
      <c r="V4372" t="s">
        <v>71</v>
      </c>
      <c r="W4372" t="str">
        <f>"               58690"</f>
        <v xml:space="preserve">               58690</v>
      </c>
      <c r="X4372">
        <v>305</v>
      </c>
      <c r="Y4372">
        <v>0</v>
      </c>
      <c r="Z4372" s="3">
        <v>250</v>
      </c>
      <c r="AA4372">
        <v>280</v>
      </c>
      <c r="AB4372" s="5">
        <v>70000</v>
      </c>
      <c r="AC4372">
        <v>250</v>
      </c>
      <c r="AD4372">
        <v>280</v>
      </c>
      <c r="AE4372" s="1">
        <v>70000</v>
      </c>
      <c r="AF4372">
        <v>0</v>
      </c>
      <c r="AJ4372">
        <v>0</v>
      </c>
      <c r="AK4372">
        <v>0</v>
      </c>
      <c r="AL4372">
        <v>0</v>
      </c>
      <c r="AM4372">
        <v>0</v>
      </c>
      <c r="AN4372">
        <v>0</v>
      </c>
      <c r="AO4372">
        <v>0</v>
      </c>
      <c r="AP4372" s="2">
        <v>42746</v>
      </c>
      <c r="AQ4372" t="s">
        <v>72</v>
      </c>
      <c r="AR4372" t="s">
        <v>72</v>
      </c>
      <c r="AS4372">
        <v>2969</v>
      </c>
      <c r="AT4372" s="4">
        <v>42682</v>
      </c>
      <c r="AU4372" t="s">
        <v>73</v>
      </c>
      <c r="AV4372">
        <v>2969</v>
      </c>
      <c r="AW4372" s="4">
        <v>42682</v>
      </c>
      <c r="BD4372">
        <v>0</v>
      </c>
      <c r="BN4372" t="s">
        <v>74</v>
      </c>
    </row>
    <row r="4373" spans="1:66">
      <c r="A4373">
        <v>101541</v>
      </c>
      <c r="B4373" s="3" t="s">
        <v>467</v>
      </c>
      <c r="C4373" s="1">
        <v>43300101</v>
      </c>
      <c r="D4373" t="s">
        <v>67</v>
      </c>
      <c r="H4373" t="str">
        <f t="shared" si="464"/>
        <v>08230471008</v>
      </c>
      <c r="I4373" t="str">
        <f t="shared" si="464"/>
        <v>08230471008</v>
      </c>
      <c r="K4373" t="str">
        <f>""</f>
        <v/>
      </c>
      <c r="M4373" t="s">
        <v>68</v>
      </c>
      <c r="N4373" t="str">
        <f t="shared" si="465"/>
        <v>FOR</v>
      </c>
      <c r="O4373" t="s">
        <v>69</v>
      </c>
      <c r="P4373" s="3" t="s">
        <v>75</v>
      </c>
      <c r="Q4373">
        <v>2015</v>
      </c>
      <c r="R4373" s="2">
        <v>42338</v>
      </c>
      <c r="S4373" s="2">
        <v>42342</v>
      </c>
      <c r="T4373" s="2">
        <v>42342</v>
      </c>
      <c r="U4373" s="2">
        <v>42402</v>
      </c>
      <c r="V4373" t="s">
        <v>71</v>
      </c>
      <c r="W4373" t="str">
        <f>"               58691"</f>
        <v xml:space="preserve">               58691</v>
      </c>
      <c r="X4373">
        <v>305</v>
      </c>
      <c r="Y4373">
        <v>0</v>
      </c>
      <c r="Z4373" s="3">
        <v>250</v>
      </c>
      <c r="AA4373">
        <v>280</v>
      </c>
      <c r="AB4373" s="5">
        <v>70000</v>
      </c>
      <c r="AC4373">
        <v>250</v>
      </c>
      <c r="AD4373">
        <v>280</v>
      </c>
      <c r="AE4373" s="1">
        <v>70000</v>
      </c>
      <c r="AF4373">
        <v>0</v>
      </c>
      <c r="AJ4373">
        <v>0</v>
      </c>
      <c r="AK4373">
        <v>0</v>
      </c>
      <c r="AL4373">
        <v>0</v>
      </c>
      <c r="AM4373">
        <v>0</v>
      </c>
      <c r="AN4373">
        <v>0</v>
      </c>
      <c r="AO4373">
        <v>0</v>
      </c>
      <c r="AP4373" s="2">
        <v>42746</v>
      </c>
      <c r="AQ4373" t="s">
        <v>72</v>
      </c>
      <c r="AR4373" t="s">
        <v>72</v>
      </c>
      <c r="AS4373">
        <v>2969</v>
      </c>
      <c r="AT4373" s="4">
        <v>42682</v>
      </c>
      <c r="AU4373" t="s">
        <v>73</v>
      </c>
      <c r="AV4373">
        <v>2969</v>
      </c>
      <c r="AW4373" s="4">
        <v>42682</v>
      </c>
      <c r="BD4373">
        <v>0</v>
      </c>
      <c r="BN4373" t="s">
        <v>74</v>
      </c>
    </row>
    <row r="4374" spans="1:66">
      <c r="A4374">
        <v>101541</v>
      </c>
      <c r="B4374" s="3" t="s">
        <v>467</v>
      </c>
      <c r="C4374" s="1">
        <v>43300101</v>
      </c>
      <c r="D4374" t="s">
        <v>67</v>
      </c>
      <c r="H4374" t="str">
        <f t="shared" si="464"/>
        <v>08230471008</v>
      </c>
      <c r="I4374" t="str">
        <f t="shared" si="464"/>
        <v>08230471008</v>
      </c>
      <c r="K4374" t="str">
        <f>""</f>
        <v/>
      </c>
      <c r="M4374" t="s">
        <v>68</v>
      </c>
      <c r="N4374" t="str">
        <f t="shared" si="465"/>
        <v>FOR</v>
      </c>
      <c r="O4374" t="s">
        <v>69</v>
      </c>
      <c r="P4374" s="3" t="s">
        <v>75</v>
      </c>
      <c r="Q4374">
        <v>2015</v>
      </c>
      <c r="R4374" s="2">
        <v>42338</v>
      </c>
      <c r="S4374" s="2">
        <v>42366</v>
      </c>
      <c r="T4374" s="2">
        <v>42366</v>
      </c>
      <c r="U4374" s="2">
        <v>42426</v>
      </c>
      <c r="V4374" t="s">
        <v>71</v>
      </c>
      <c r="W4374" t="str">
        <f>"               58692"</f>
        <v xml:space="preserve">               58692</v>
      </c>
      <c r="X4374">
        <v>305</v>
      </c>
      <c r="Y4374">
        <v>0</v>
      </c>
      <c r="Z4374" s="3">
        <v>250</v>
      </c>
      <c r="AA4374">
        <v>256</v>
      </c>
      <c r="AB4374" s="5">
        <v>64000</v>
      </c>
      <c r="AC4374">
        <v>250</v>
      </c>
      <c r="AD4374">
        <v>256</v>
      </c>
      <c r="AE4374" s="1">
        <v>64000</v>
      </c>
      <c r="AF4374">
        <v>0</v>
      </c>
      <c r="AJ4374">
        <v>0</v>
      </c>
      <c r="AK4374">
        <v>0</v>
      </c>
      <c r="AL4374">
        <v>0</v>
      </c>
      <c r="AM4374">
        <v>0</v>
      </c>
      <c r="AN4374">
        <v>0</v>
      </c>
      <c r="AO4374">
        <v>0</v>
      </c>
      <c r="AP4374" s="2">
        <v>42746</v>
      </c>
      <c r="AQ4374" t="s">
        <v>72</v>
      </c>
      <c r="AR4374" t="s">
        <v>72</v>
      </c>
      <c r="AS4374">
        <v>2969</v>
      </c>
      <c r="AT4374" s="4">
        <v>42682</v>
      </c>
      <c r="AU4374" t="s">
        <v>73</v>
      </c>
      <c r="AV4374">
        <v>2969</v>
      </c>
      <c r="AW4374" s="4">
        <v>42682</v>
      </c>
      <c r="BD4374">
        <v>0</v>
      </c>
      <c r="BN4374" t="s">
        <v>74</v>
      </c>
    </row>
    <row r="4375" spans="1:66">
      <c r="A4375">
        <v>101541</v>
      </c>
      <c r="B4375" s="3" t="s">
        <v>467</v>
      </c>
      <c r="C4375" s="1">
        <v>43300101</v>
      </c>
      <c r="D4375" t="s">
        <v>67</v>
      </c>
      <c r="H4375" t="str">
        <f t="shared" si="464"/>
        <v>08230471008</v>
      </c>
      <c r="I4375" t="str">
        <f t="shared" si="464"/>
        <v>08230471008</v>
      </c>
      <c r="K4375" t="str">
        <f>""</f>
        <v/>
      </c>
      <c r="M4375" t="s">
        <v>68</v>
      </c>
      <c r="N4375" t="str">
        <f t="shared" si="465"/>
        <v>FOR</v>
      </c>
      <c r="O4375" t="s">
        <v>69</v>
      </c>
      <c r="P4375" s="3" t="s">
        <v>75</v>
      </c>
      <c r="Q4375">
        <v>2015</v>
      </c>
      <c r="R4375" s="2">
        <v>42349</v>
      </c>
      <c r="S4375" s="2">
        <v>42359</v>
      </c>
      <c r="T4375" s="2">
        <v>42356</v>
      </c>
      <c r="U4375" s="2">
        <v>42416</v>
      </c>
      <c r="V4375" t="s">
        <v>71</v>
      </c>
      <c r="W4375" t="str">
        <f>"               59064"</f>
        <v xml:space="preserve">               59064</v>
      </c>
      <c r="X4375">
        <v>305</v>
      </c>
      <c r="Y4375">
        <v>0</v>
      </c>
      <c r="Z4375" s="3">
        <v>250</v>
      </c>
      <c r="AA4375">
        <v>266</v>
      </c>
      <c r="AB4375" s="5">
        <v>66500</v>
      </c>
      <c r="AC4375">
        <v>250</v>
      </c>
      <c r="AD4375">
        <v>266</v>
      </c>
      <c r="AE4375" s="1">
        <v>66500</v>
      </c>
      <c r="AF4375">
        <v>0</v>
      </c>
      <c r="AJ4375">
        <v>0</v>
      </c>
      <c r="AK4375">
        <v>0</v>
      </c>
      <c r="AL4375">
        <v>0</v>
      </c>
      <c r="AM4375">
        <v>0</v>
      </c>
      <c r="AN4375">
        <v>0</v>
      </c>
      <c r="AO4375">
        <v>0</v>
      </c>
      <c r="AP4375" s="2">
        <v>42746</v>
      </c>
      <c r="AQ4375" t="s">
        <v>72</v>
      </c>
      <c r="AR4375" t="s">
        <v>72</v>
      </c>
      <c r="AS4375">
        <v>2969</v>
      </c>
      <c r="AT4375" s="4">
        <v>42682</v>
      </c>
      <c r="AU4375" t="s">
        <v>73</v>
      </c>
      <c r="AV4375">
        <v>2969</v>
      </c>
      <c r="AW4375" s="4">
        <v>42682</v>
      </c>
      <c r="BD4375">
        <v>0</v>
      </c>
      <c r="BN4375" t="s">
        <v>74</v>
      </c>
    </row>
    <row r="4376" spans="1:66">
      <c r="A4376">
        <v>101541</v>
      </c>
      <c r="B4376" s="3" t="s">
        <v>467</v>
      </c>
      <c r="C4376" s="1">
        <v>43300101</v>
      </c>
      <c r="D4376" t="s">
        <v>67</v>
      </c>
      <c r="H4376" t="str">
        <f t="shared" si="464"/>
        <v>08230471008</v>
      </c>
      <c r="I4376" t="str">
        <f t="shared" si="464"/>
        <v>08230471008</v>
      </c>
      <c r="K4376" t="str">
        <f>""</f>
        <v/>
      </c>
      <c r="M4376" t="s">
        <v>68</v>
      </c>
      <c r="N4376" t="str">
        <f t="shared" si="465"/>
        <v>FOR</v>
      </c>
      <c r="O4376" t="s">
        <v>69</v>
      </c>
      <c r="P4376" s="3" t="s">
        <v>75</v>
      </c>
      <c r="Q4376">
        <v>2015</v>
      </c>
      <c r="R4376" s="2">
        <v>42349</v>
      </c>
      <c r="S4376" s="2">
        <v>42359</v>
      </c>
      <c r="T4376" s="2">
        <v>42356</v>
      </c>
      <c r="U4376" s="2">
        <v>42416</v>
      </c>
      <c r="V4376" t="s">
        <v>71</v>
      </c>
      <c r="W4376" t="str">
        <f>"               59065"</f>
        <v xml:space="preserve">               59065</v>
      </c>
      <c r="X4376">
        <v>305</v>
      </c>
      <c r="Y4376">
        <v>0</v>
      </c>
      <c r="Z4376" s="3">
        <v>250</v>
      </c>
      <c r="AA4376">
        <v>266</v>
      </c>
      <c r="AB4376" s="5">
        <v>66500</v>
      </c>
      <c r="AC4376">
        <v>250</v>
      </c>
      <c r="AD4376">
        <v>266</v>
      </c>
      <c r="AE4376" s="1">
        <v>66500</v>
      </c>
      <c r="AF4376">
        <v>0</v>
      </c>
      <c r="AJ4376">
        <v>0</v>
      </c>
      <c r="AK4376">
        <v>0</v>
      </c>
      <c r="AL4376">
        <v>0</v>
      </c>
      <c r="AM4376">
        <v>0</v>
      </c>
      <c r="AN4376">
        <v>0</v>
      </c>
      <c r="AO4376">
        <v>0</v>
      </c>
      <c r="AP4376" s="2">
        <v>42746</v>
      </c>
      <c r="AQ4376" t="s">
        <v>72</v>
      </c>
      <c r="AR4376" t="s">
        <v>72</v>
      </c>
      <c r="AS4376">
        <v>2969</v>
      </c>
      <c r="AT4376" s="4">
        <v>42682</v>
      </c>
      <c r="AU4376" t="s">
        <v>73</v>
      </c>
      <c r="AV4376">
        <v>2969</v>
      </c>
      <c r="AW4376" s="4">
        <v>42682</v>
      </c>
      <c r="BD4376">
        <v>0</v>
      </c>
      <c r="BN4376" t="s">
        <v>74</v>
      </c>
    </row>
    <row r="4377" spans="1:66">
      <c r="A4377">
        <v>101541</v>
      </c>
      <c r="B4377" s="3" t="s">
        <v>467</v>
      </c>
      <c r="C4377" s="1">
        <v>43300101</v>
      </c>
      <c r="D4377" t="s">
        <v>67</v>
      </c>
      <c r="H4377" t="str">
        <f t="shared" si="464"/>
        <v>08230471008</v>
      </c>
      <c r="I4377" t="str">
        <f t="shared" si="464"/>
        <v>08230471008</v>
      </c>
      <c r="K4377" t="str">
        <f>""</f>
        <v/>
      </c>
      <c r="M4377" t="s">
        <v>68</v>
      </c>
      <c r="N4377" t="str">
        <f t="shared" si="465"/>
        <v>FOR</v>
      </c>
      <c r="O4377" t="s">
        <v>69</v>
      </c>
      <c r="P4377" s="3" t="s">
        <v>75</v>
      </c>
      <c r="Q4377">
        <v>2015</v>
      </c>
      <c r="R4377" s="2">
        <v>42356</v>
      </c>
      <c r="S4377" s="2">
        <v>42366</v>
      </c>
      <c r="T4377" s="2">
        <v>42366</v>
      </c>
      <c r="U4377" s="2">
        <v>42426</v>
      </c>
      <c r="V4377" t="s">
        <v>71</v>
      </c>
      <c r="W4377" t="str">
        <f>"               59223"</f>
        <v xml:space="preserve">               59223</v>
      </c>
      <c r="X4377">
        <v>305</v>
      </c>
      <c r="Y4377">
        <v>0</v>
      </c>
      <c r="Z4377" s="3">
        <v>250</v>
      </c>
      <c r="AA4377">
        <v>256</v>
      </c>
      <c r="AB4377" s="5">
        <v>64000</v>
      </c>
      <c r="AC4377">
        <v>250</v>
      </c>
      <c r="AD4377">
        <v>256</v>
      </c>
      <c r="AE4377" s="1">
        <v>64000</v>
      </c>
      <c r="AF4377">
        <v>0</v>
      </c>
      <c r="AJ4377">
        <v>0</v>
      </c>
      <c r="AK4377">
        <v>0</v>
      </c>
      <c r="AL4377">
        <v>0</v>
      </c>
      <c r="AM4377">
        <v>0</v>
      </c>
      <c r="AN4377">
        <v>0</v>
      </c>
      <c r="AO4377">
        <v>0</v>
      </c>
      <c r="AP4377" s="2">
        <v>42746</v>
      </c>
      <c r="AQ4377" t="s">
        <v>72</v>
      </c>
      <c r="AR4377" t="s">
        <v>72</v>
      </c>
      <c r="AS4377">
        <v>2969</v>
      </c>
      <c r="AT4377" s="4">
        <v>42682</v>
      </c>
      <c r="AU4377" t="s">
        <v>73</v>
      </c>
      <c r="AV4377">
        <v>2969</v>
      </c>
      <c r="AW4377" s="4">
        <v>42682</v>
      </c>
      <c r="BD4377">
        <v>0</v>
      </c>
      <c r="BN4377" t="s">
        <v>74</v>
      </c>
    </row>
    <row r="4378" spans="1:66">
      <c r="A4378">
        <v>101541</v>
      </c>
      <c r="B4378" s="3" t="s">
        <v>467</v>
      </c>
      <c r="C4378" s="1">
        <v>43300101</v>
      </c>
      <c r="D4378" t="s">
        <v>67</v>
      </c>
      <c r="H4378" t="str">
        <f t="shared" ref="H4378:I4397" si="466">"08230471008"</f>
        <v>08230471008</v>
      </c>
      <c r="I4378" t="str">
        <f t="shared" si="466"/>
        <v>08230471008</v>
      </c>
      <c r="K4378" t="str">
        <f>""</f>
        <v/>
      </c>
      <c r="M4378" t="s">
        <v>68</v>
      </c>
      <c r="N4378" t="str">
        <f t="shared" si="465"/>
        <v>FOR</v>
      </c>
      <c r="O4378" t="s">
        <v>69</v>
      </c>
      <c r="P4378" s="3" t="s">
        <v>75</v>
      </c>
      <c r="Q4378">
        <v>2015</v>
      </c>
      <c r="R4378" s="2">
        <v>42356</v>
      </c>
      <c r="S4378" s="2">
        <v>42366</v>
      </c>
      <c r="T4378" s="2">
        <v>42366</v>
      </c>
      <c r="U4378" s="2">
        <v>42426</v>
      </c>
      <c r="V4378" t="s">
        <v>71</v>
      </c>
      <c r="W4378" t="str">
        <f>"               59224"</f>
        <v xml:space="preserve">               59224</v>
      </c>
      <c r="X4378">
        <v>305</v>
      </c>
      <c r="Y4378">
        <v>0</v>
      </c>
      <c r="Z4378" s="3">
        <v>250</v>
      </c>
      <c r="AA4378">
        <v>256</v>
      </c>
      <c r="AB4378" s="5">
        <v>64000</v>
      </c>
      <c r="AC4378">
        <v>250</v>
      </c>
      <c r="AD4378">
        <v>256</v>
      </c>
      <c r="AE4378" s="1">
        <v>64000</v>
      </c>
      <c r="AF4378">
        <v>0</v>
      </c>
      <c r="AJ4378">
        <v>0</v>
      </c>
      <c r="AK4378">
        <v>0</v>
      </c>
      <c r="AL4378">
        <v>0</v>
      </c>
      <c r="AM4378">
        <v>0</v>
      </c>
      <c r="AN4378">
        <v>0</v>
      </c>
      <c r="AO4378">
        <v>0</v>
      </c>
      <c r="AP4378" s="2">
        <v>42746</v>
      </c>
      <c r="AQ4378" t="s">
        <v>72</v>
      </c>
      <c r="AR4378" t="s">
        <v>72</v>
      </c>
      <c r="AS4378">
        <v>2969</v>
      </c>
      <c r="AT4378" s="4">
        <v>42682</v>
      </c>
      <c r="AU4378" t="s">
        <v>73</v>
      </c>
      <c r="AV4378">
        <v>2969</v>
      </c>
      <c r="AW4378" s="4">
        <v>42682</v>
      </c>
      <c r="BD4378">
        <v>0</v>
      </c>
      <c r="BN4378" t="s">
        <v>74</v>
      </c>
    </row>
    <row r="4379" spans="1:66">
      <c r="A4379">
        <v>101541</v>
      </c>
      <c r="B4379" s="3" t="s">
        <v>467</v>
      </c>
      <c r="C4379" s="1">
        <v>43300101</v>
      </c>
      <c r="D4379" t="s">
        <v>67</v>
      </c>
      <c r="H4379" t="str">
        <f t="shared" si="466"/>
        <v>08230471008</v>
      </c>
      <c r="I4379" t="str">
        <f t="shared" si="466"/>
        <v>08230471008</v>
      </c>
      <c r="K4379" t="str">
        <f>""</f>
        <v/>
      </c>
      <c r="M4379" t="s">
        <v>68</v>
      </c>
      <c r="N4379" t="str">
        <f t="shared" si="465"/>
        <v>FOR</v>
      </c>
      <c r="O4379" t="s">
        <v>69</v>
      </c>
      <c r="P4379" s="3" t="s">
        <v>75</v>
      </c>
      <c r="Q4379">
        <v>2015</v>
      </c>
      <c r="R4379" s="2">
        <v>42356</v>
      </c>
      <c r="S4379" s="2">
        <v>42366</v>
      </c>
      <c r="T4379" s="2">
        <v>42366</v>
      </c>
      <c r="U4379" s="2">
        <v>42426</v>
      </c>
      <c r="V4379" t="s">
        <v>71</v>
      </c>
      <c r="W4379" t="str">
        <f>"               59225"</f>
        <v xml:space="preserve">               59225</v>
      </c>
      <c r="X4379">
        <v>305</v>
      </c>
      <c r="Y4379">
        <v>0</v>
      </c>
      <c r="Z4379" s="3">
        <v>250</v>
      </c>
      <c r="AA4379">
        <v>256</v>
      </c>
      <c r="AB4379" s="5">
        <v>64000</v>
      </c>
      <c r="AC4379">
        <v>250</v>
      </c>
      <c r="AD4379">
        <v>256</v>
      </c>
      <c r="AE4379" s="1">
        <v>64000</v>
      </c>
      <c r="AF4379">
        <v>0</v>
      </c>
      <c r="AJ4379">
        <v>0</v>
      </c>
      <c r="AK4379">
        <v>0</v>
      </c>
      <c r="AL4379">
        <v>0</v>
      </c>
      <c r="AM4379">
        <v>0</v>
      </c>
      <c r="AN4379">
        <v>0</v>
      </c>
      <c r="AO4379">
        <v>0</v>
      </c>
      <c r="AP4379" s="2">
        <v>42746</v>
      </c>
      <c r="AQ4379" t="s">
        <v>72</v>
      </c>
      <c r="AR4379" t="s">
        <v>72</v>
      </c>
      <c r="AS4379">
        <v>2969</v>
      </c>
      <c r="AT4379" s="4">
        <v>42682</v>
      </c>
      <c r="AU4379" t="s">
        <v>73</v>
      </c>
      <c r="AV4379">
        <v>2969</v>
      </c>
      <c r="AW4379" s="4">
        <v>42682</v>
      </c>
      <c r="BD4379">
        <v>0</v>
      </c>
      <c r="BN4379" t="s">
        <v>74</v>
      </c>
    </row>
    <row r="4380" spans="1:66">
      <c r="A4380">
        <v>101541</v>
      </c>
      <c r="B4380" s="3" t="s">
        <v>467</v>
      </c>
      <c r="C4380" s="1">
        <v>43300101</v>
      </c>
      <c r="D4380" t="s">
        <v>67</v>
      </c>
      <c r="H4380" t="str">
        <f t="shared" si="466"/>
        <v>08230471008</v>
      </c>
      <c r="I4380" t="str">
        <f t="shared" si="466"/>
        <v>08230471008</v>
      </c>
      <c r="K4380" t="str">
        <f>""</f>
        <v/>
      </c>
      <c r="M4380" t="s">
        <v>68</v>
      </c>
      <c r="N4380" t="str">
        <f t="shared" si="465"/>
        <v>FOR</v>
      </c>
      <c r="O4380" t="s">
        <v>69</v>
      </c>
      <c r="P4380" s="3" t="s">
        <v>75</v>
      </c>
      <c r="Q4380">
        <v>2015</v>
      </c>
      <c r="R4380" s="2">
        <v>42356</v>
      </c>
      <c r="S4380" s="2">
        <v>42366</v>
      </c>
      <c r="T4380" s="2">
        <v>42366</v>
      </c>
      <c r="U4380" s="2">
        <v>42426</v>
      </c>
      <c r="V4380" t="s">
        <v>71</v>
      </c>
      <c r="W4380" t="str">
        <f>"               59226"</f>
        <v xml:space="preserve">               59226</v>
      </c>
      <c r="X4380">
        <v>305</v>
      </c>
      <c r="Y4380">
        <v>0</v>
      </c>
      <c r="Z4380" s="3">
        <v>250</v>
      </c>
      <c r="AA4380">
        <v>256</v>
      </c>
      <c r="AB4380" s="5">
        <v>64000</v>
      </c>
      <c r="AC4380">
        <v>250</v>
      </c>
      <c r="AD4380">
        <v>256</v>
      </c>
      <c r="AE4380" s="1">
        <v>64000</v>
      </c>
      <c r="AF4380">
        <v>0</v>
      </c>
      <c r="AJ4380">
        <v>0</v>
      </c>
      <c r="AK4380">
        <v>0</v>
      </c>
      <c r="AL4380">
        <v>0</v>
      </c>
      <c r="AM4380">
        <v>0</v>
      </c>
      <c r="AN4380">
        <v>0</v>
      </c>
      <c r="AO4380">
        <v>0</v>
      </c>
      <c r="AP4380" s="2">
        <v>42746</v>
      </c>
      <c r="AQ4380" t="s">
        <v>72</v>
      </c>
      <c r="AR4380" t="s">
        <v>72</v>
      </c>
      <c r="AS4380">
        <v>2969</v>
      </c>
      <c r="AT4380" s="4">
        <v>42682</v>
      </c>
      <c r="AU4380" t="s">
        <v>73</v>
      </c>
      <c r="AV4380">
        <v>2969</v>
      </c>
      <c r="AW4380" s="4">
        <v>42682</v>
      </c>
      <c r="BD4380">
        <v>0</v>
      </c>
      <c r="BN4380" t="s">
        <v>74</v>
      </c>
    </row>
    <row r="4381" spans="1:66">
      <c r="A4381">
        <v>101541</v>
      </c>
      <c r="B4381" s="3" t="s">
        <v>467</v>
      </c>
      <c r="C4381" s="1">
        <v>43300101</v>
      </c>
      <c r="D4381" t="s">
        <v>67</v>
      </c>
      <c r="H4381" t="str">
        <f t="shared" si="466"/>
        <v>08230471008</v>
      </c>
      <c r="I4381" t="str">
        <f t="shared" si="466"/>
        <v>08230471008</v>
      </c>
      <c r="K4381" t="str">
        <f>""</f>
        <v/>
      </c>
      <c r="M4381" t="s">
        <v>68</v>
      </c>
      <c r="N4381" t="str">
        <f t="shared" si="465"/>
        <v>FOR</v>
      </c>
      <c r="O4381" t="s">
        <v>69</v>
      </c>
      <c r="P4381" s="3" t="s">
        <v>75</v>
      </c>
      <c r="Q4381">
        <v>2015</v>
      </c>
      <c r="R4381" s="2">
        <v>42356</v>
      </c>
      <c r="S4381" s="2">
        <v>42366</v>
      </c>
      <c r="T4381" s="2">
        <v>42366</v>
      </c>
      <c r="U4381" s="2">
        <v>42426</v>
      </c>
      <c r="V4381" t="s">
        <v>71</v>
      </c>
      <c r="W4381" t="str">
        <f>"               59227"</f>
        <v xml:space="preserve">               59227</v>
      </c>
      <c r="X4381">
        <v>305</v>
      </c>
      <c r="Y4381">
        <v>0</v>
      </c>
      <c r="Z4381" s="3">
        <v>250</v>
      </c>
      <c r="AA4381">
        <v>256</v>
      </c>
      <c r="AB4381" s="5">
        <v>64000</v>
      </c>
      <c r="AC4381">
        <v>250</v>
      </c>
      <c r="AD4381">
        <v>256</v>
      </c>
      <c r="AE4381" s="1">
        <v>64000</v>
      </c>
      <c r="AF4381">
        <v>0</v>
      </c>
      <c r="AJ4381">
        <v>0</v>
      </c>
      <c r="AK4381">
        <v>0</v>
      </c>
      <c r="AL4381">
        <v>0</v>
      </c>
      <c r="AM4381">
        <v>0</v>
      </c>
      <c r="AN4381">
        <v>0</v>
      </c>
      <c r="AO4381">
        <v>0</v>
      </c>
      <c r="AP4381" s="2">
        <v>42746</v>
      </c>
      <c r="AQ4381" t="s">
        <v>72</v>
      </c>
      <c r="AR4381" t="s">
        <v>72</v>
      </c>
      <c r="AS4381">
        <v>2969</v>
      </c>
      <c r="AT4381" s="4">
        <v>42682</v>
      </c>
      <c r="AU4381" t="s">
        <v>73</v>
      </c>
      <c r="AV4381">
        <v>2969</v>
      </c>
      <c r="AW4381" s="4">
        <v>42682</v>
      </c>
      <c r="BD4381">
        <v>0</v>
      </c>
      <c r="BN4381" t="s">
        <v>74</v>
      </c>
    </row>
    <row r="4382" spans="1:66">
      <c r="A4382">
        <v>101541</v>
      </c>
      <c r="B4382" s="3" t="s">
        <v>467</v>
      </c>
      <c r="C4382" s="1">
        <v>43300101</v>
      </c>
      <c r="D4382" t="s">
        <v>67</v>
      </c>
      <c r="H4382" t="str">
        <f t="shared" si="466"/>
        <v>08230471008</v>
      </c>
      <c r="I4382" t="str">
        <f t="shared" si="466"/>
        <v>08230471008</v>
      </c>
      <c r="K4382" t="str">
        <f>""</f>
        <v/>
      </c>
      <c r="M4382" t="s">
        <v>68</v>
      </c>
      <c r="N4382" t="str">
        <f t="shared" si="465"/>
        <v>FOR</v>
      </c>
      <c r="O4382" t="s">
        <v>69</v>
      </c>
      <c r="P4382" s="3" t="s">
        <v>75</v>
      </c>
      <c r="Q4382">
        <v>2015</v>
      </c>
      <c r="R4382" s="2">
        <v>42356</v>
      </c>
      <c r="S4382" s="2">
        <v>42366</v>
      </c>
      <c r="T4382" s="2">
        <v>42366</v>
      </c>
      <c r="U4382" s="2">
        <v>42426</v>
      </c>
      <c r="V4382" t="s">
        <v>71</v>
      </c>
      <c r="W4382" t="str">
        <f>"               59228"</f>
        <v xml:space="preserve">               59228</v>
      </c>
      <c r="X4382">
        <v>728</v>
      </c>
      <c r="Y4382">
        <v>0</v>
      </c>
      <c r="Z4382" s="3">
        <v>700</v>
      </c>
      <c r="AA4382">
        <v>256</v>
      </c>
      <c r="AB4382" s="5">
        <v>179200</v>
      </c>
      <c r="AC4382">
        <v>700</v>
      </c>
      <c r="AD4382">
        <v>256</v>
      </c>
      <c r="AE4382" s="1">
        <v>179200</v>
      </c>
      <c r="AF4382">
        <v>0</v>
      </c>
      <c r="AJ4382">
        <v>0</v>
      </c>
      <c r="AK4382">
        <v>0</v>
      </c>
      <c r="AL4382">
        <v>0</v>
      </c>
      <c r="AM4382">
        <v>0</v>
      </c>
      <c r="AN4382">
        <v>0</v>
      </c>
      <c r="AO4382">
        <v>0</v>
      </c>
      <c r="AP4382" s="2">
        <v>42746</v>
      </c>
      <c r="AQ4382" t="s">
        <v>72</v>
      </c>
      <c r="AR4382" t="s">
        <v>72</v>
      </c>
      <c r="AS4382">
        <v>2969</v>
      </c>
      <c r="AT4382" s="4">
        <v>42682</v>
      </c>
      <c r="AU4382" t="s">
        <v>73</v>
      </c>
      <c r="AV4382">
        <v>2969</v>
      </c>
      <c r="AW4382" s="4">
        <v>42682</v>
      </c>
      <c r="BD4382">
        <v>0</v>
      </c>
      <c r="BN4382" t="s">
        <v>74</v>
      </c>
    </row>
    <row r="4383" spans="1:66">
      <c r="A4383">
        <v>101541</v>
      </c>
      <c r="B4383" s="3" t="s">
        <v>467</v>
      </c>
      <c r="C4383" s="1">
        <v>43300101</v>
      </c>
      <c r="D4383" t="s">
        <v>67</v>
      </c>
      <c r="H4383" t="str">
        <f t="shared" si="466"/>
        <v>08230471008</v>
      </c>
      <c r="I4383" t="str">
        <f t="shared" si="466"/>
        <v>08230471008</v>
      </c>
      <c r="K4383" t="str">
        <f>""</f>
        <v/>
      </c>
      <c r="M4383" t="s">
        <v>68</v>
      </c>
      <c r="N4383" t="str">
        <f t="shared" si="465"/>
        <v>FOR</v>
      </c>
      <c r="O4383" t="s">
        <v>69</v>
      </c>
      <c r="P4383" s="3" t="s">
        <v>75</v>
      </c>
      <c r="Q4383">
        <v>2015</v>
      </c>
      <c r="R4383" s="2">
        <v>42356</v>
      </c>
      <c r="S4383" s="2">
        <v>42366</v>
      </c>
      <c r="T4383" s="2">
        <v>42366</v>
      </c>
      <c r="U4383" s="2">
        <v>42426</v>
      </c>
      <c r="V4383" t="s">
        <v>71</v>
      </c>
      <c r="W4383" t="str">
        <f>"               59229"</f>
        <v xml:space="preserve">               59229</v>
      </c>
      <c r="X4383">
        <v>728</v>
      </c>
      <c r="Y4383">
        <v>0</v>
      </c>
      <c r="Z4383" s="3">
        <v>700</v>
      </c>
      <c r="AA4383">
        <v>256</v>
      </c>
      <c r="AB4383" s="5">
        <v>179200</v>
      </c>
      <c r="AC4383">
        <v>700</v>
      </c>
      <c r="AD4383">
        <v>256</v>
      </c>
      <c r="AE4383" s="1">
        <v>179200</v>
      </c>
      <c r="AF4383">
        <v>0</v>
      </c>
      <c r="AJ4383">
        <v>0</v>
      </c>
      <c r="AK4383">
        <v>0</v>
      </c>
      <c r="AL4383">
        <v>0</v>
      </c>
      <c r="AM4383">
        <v>0</v>
      </c>
      <c r="AN4383">
        <v>0</v>
      </c>
      <c r="AO4383">
        <v>0</v>
      </c>
      <c r="AP4383" s="2">
        <v>42746</v>
      </c>
      <c r="AQ4383" t="s">
        <v>72</v>
      </c>
      <c r="AR4383" t="s">
        <v>72</v>
      </c>
      <c r="AS4383">
        <v>2969</v>
      </c>
      <c r="AT4383" s="4">
        <v>42682</v>
      </c>
      <c r="AU4383" t="s">
        <v>73</v>
      </c>
      <c r="AV4383">
        <v>2969</v>
      </c>
      <c r="AW4383" s="4">
        <v>42682</v>
      </c>
      <c r="BD4383">
        <v>0</v>
      </c>
      <c r="BN4383" t="s">
        <v>74</v>
      </c>
    </row>
    <row r="4384" spans="1:66">
      <c r="A4384">
        <v>101541</v>
      </c>
      <c r="B4384" s="3" t="s">
        <v>467</v>
      </c>
      <c r="C4384" s="1">
        <v>43300101</v>
      </c>
      <c r="D4384" t="s">
        <v>67</v>
      </c>
      <c r="H4384" t="str">
        <f t="shared" si="466"/>
        <v>08230471008</v>
      </c>
      <c r="I4384" t="str">
        <f t="shared" si="466"/>
        <v>08230471008</v>
      </c>
      <c r="K4384" t="str">
        <f>""</f>
        <v/>
      </c>
      <c r="M4384" t="s">
        <v>68</v>
      </c>
      <c r="N4384" t="str">
        <f t="shared" si="465"/>
        <v>FOR</v>
      </c>
      <c r="O4384" t="s">
        <v>69</v>
      </c>
      <c r="P4384" s="3" t="s">
        <v>75</v>
      </c>
      <c r="Q4384">
        <v>2015</v>
      </c>
      <c r="R4384" s="2">
        <v>42356</v>
      </c>
      <c r="S4384" s="2">
        <v>42366</v>
      </c>
      <c r="T4384" s="2">
        <v>42366</v>
      </c>
      <c r="U4384" s="2">
        <v>42426</v>
      </c>
      <c r="V4384" t="s">
        <v>71</v>
      </c>
      <c r="W4384" t="str">
        <f>"               59230"</f>
        <v xml:space="preserve">               59230</v>
      </c>
      <c r="X4384">
        <v>305</v>
      </c>
      <c r="Y4384">
        <v>0</v>
      </c>
      <c r="Z4384" s="3">
        <v>250</v>
      </c>
      <c r="AA4384">
        <v>256</v>
      </c>
      <c r="AB4384" s="5">
        <v>64000</v>
      </c>
      <c r="AC4384">
        <v>250</v>
      </c>
      <c r="AD4384">
        <v>256</v>
      </c>
      <c r="AE4384" s="1">
        <v>64000</v>
      </c>
      <c r="AF4384">
        <v>0</v>
      </c>
      <c r="AJ4384">
        <v>0</v>
      </c>
      <c r="AK4384">
        <v>0</v>
      </c>
      <c r="AL4384">
        <v>0</v>
      </c>
      <c r="AM4384">
        <v>0</v>
      </c>
      <c r="AN4384">
        <v>0</v>
      </c>
      <c r="AO4384">
        <v>0</v>
      </c>
      <c r="AP4384" s="2">
        <v>42746</v>
      </c>
      <c r="AQ4384" t="s">
        <v>72</v>
      </c>
      <c r="AR4384" t="s">
        <v>72</v>
      </c>
      <c r="AS4384">
        <v>2969</v>
      </c>
      <c r="AT4384" s="4">
        <v>42682</v>
      </c>
      <c r="AU4384" t="s">
        <v>73</v>
      </c>
      <c r="AV4384">
        <v>2969</v>
      </c>
      <c r="AW4384" s="4">
        <v>42682</v>
      </c>
      <c r="BD4384">
        <v>0</v>
      </c>
      <c r="BN4384" t="s">
        <v>74</v>
      </c>
    </row>
    <row r="4385" spans="1:66">
      <c r="A4385">
        <v>101541</v>
      </c>
      <c r="B4385" s="3" t="s">
        <v>467</v>
      </c>
      <c r="C4385" s="1">
        <v>43300101</v>
      </c>
      <c r="D4385" t="s">
        <v>67</v>
      </c>
      <c r="H4385" t="str">
        <f t="shared" si="466"/>
        <v>08230471008</v>
      </c>
      <c r="I4385" t="str">
        <f t="shared" si="466"/>
        <v>08230471008</v>
      </c>
      <c r="K4385" t="str">
        <f>""</f>
        <v/>
      </c>
      <c r="M4385" t="s">
        <v>68</v>
      </c>
      <c r="N4385" t="str">
        <f t="shared" si="465"/>
        <v>FOR</v>
      </c>
      <c r="O4385" t="s">
        <v>69</v>
      </c>
      <c r="P4385" s="3" t="s">
        <v>75</v>
      </c>
      <c r="Q4385">
        <v>2015</v>
      </c>
      <c r="R4385" s="2">
        <v>42367</v>
      </c>
      <c r="S4385" s="2">
        <v>42369</v>
      </c>
      <c r="T4385" s="2">
        <v>42369</v>
      </c>
      <c r="U4385" s="2">
        <v>42429</v>
      </c>
      <c r="V4385" t="s">
        <v>71</v>
      </c>
      <c r="W4385" t="str">
        <f>"               59629"</f>
        <v xml:space="preserve">               59629</v>
      </c>
      <c r="X4385">
        <v>305</v>
      </c>
      <c r="Y4385">
        <v>0</v>
      </c>
      <c r="Z4385" s="3">
        <v>250</v>
      </c>
      <c r="AA4385">
        <v>253</v>
      </c>
      <c r="AB4385" s="5">
        <v>63250</v>
      </c>
      <c r="AC4385">
        <v>250</v>
      </c>
      <c r="AD4385">
        <v>253</v>
      </c>
      <c r="AE4385" s="1">
        <v>63250</v>
      </c>
      <c r="AF4385">
        <v>0</v>
      </c>
      <c r="AJ4385">
        <v>0</v>
      </c>
      <c r="AK4385">
        <v>0</v>
      </c>
      <c r="AL4385">
        <v>0</v>
      </c>
      <c r="AM4385">
        <v>0</v>
      </c>
      <c r="AN4385">
        <v>0</v>
      </c>
      <c r="AO4385">
        <v>0</v>
      </c>
      <c r="AP4385" s="2">
        <v>42746</v>
      </c>
      <c r="AQ4385" t="s">
        <v>72</v>
      </c>
      <c r="AR4385" t="s">
        <v>72</v>
      </c>
      <c r="AS4385">
        <v>2969</v>
      </c>
      <c r="AT4385" s="4">
        <v>42682</v>
      </c>
      <c r="AU4385" t="s">
        <v>73</v>
      </c>
      <c r="AV4385">
        <v>2969</v>
      </c>
      <c r="AW4385" s="4">
        <v>42682</v>
      </c>
      <c r="BD4385">
        <v>0</v>
      </c>
      <c r="BN4385" t="s">
        <v>74</v>
      </c>
    </row>
    <row r="4386" spans="1:66">
      <c r="A4386">
        <v>101541</v>
      </c>
      <c r="B4386" s="3" t="s">
        <v>467</v>
      </c>
      <c r="C4386" s="1">
        <v>43300101</v>
      </c>
      <c r="D4386" t="s">
        <v>67</v>
      </c>
      <c r="H4386" t="str">
        <f t="shared" si="466"/>
        <v>08230471008</v>
      </c>
      <c r="I4386" t="str">
        <f t="shared" si="466"/>
        <v>08230471008</v>
      </c>
      <c r="K4386" t="str">
        <f>""</f>
        <v/>
      </c>
      <c r="M4386" t="s">
        <v>68</v>
      </c>
      <c r="N4386" t="str">
        <f t="shared" si="465"/>
        <v>FOR</v>
      </c>
      <c r="O4386" t="s">
        <v>69</v>
      </c>
      <c r="P4386" s="3" t="s">
        <v>75</v>
      </c>
      <c r="Q4386">
        <v>2015</v>
      </c>
      <c r="R4386" s="2">
        <v>42367</v>
      </c>
      <c r="S4386" s="2">
        <v>42369</v>
      </c>
      <c r="T4386" s="2">
        <v>42369</v>
      </c>
      <c r="U4386" s="2">
        <v>42429</v>
      </c>
      <c r="V4386" t="s">
        <v>71</v>
      </c>
      <c r="W4386" t="str">
        <f>"               59630"</f>
        <v xml:space="preserve">               59630</v>
      </c>
      <c r="X4386">
        <v>305</v>
      </c>
      <c r="Y4386">
        <v>0</v>
      </c>
      <c r="Z4386" s="3">
        <v>250</v>
      </c>
      <c r="AA4386">
        <v>253</v>
      </c>
      <c r="AB4386" s="5">
        <v>63250</v>
      </c>
      <c r="AC4386">
        <v>250</v>
      </c>
      <c r="AD4386">
        <v>253</v>
      </c>
      <c r="AE4386" s="1">
        <v>63250</v>
      </c>
      <c r="AF4386">
        <v>0</v>
      </c>
      <c r="AJ4386">
        <v>0</v>
      </c>
      <c r="AK4386">
        <v>0</v>
      </c>
      <c r="AL4386">
        <v>0</v>
      </c>
      <c r="AM4386">
        <v>0</v>
      </c>
      <c r="AN4386">
        <v>0</v>
      </c>
      <c r="AO4386">
        <v>0</v>
      </c>
      <c r="AP4386" s="2">
        <v>42746</v>
      </c>
      <c r="AQ4386" t="s">
        <v>72</v>
      </c>
      <c r="AR4386" t="s">
        <v>72</v>
      </c>
      <c r="AS4386">
        <v>2969</v>
      </c>
      <c r="AT4386" s="4">
        <v>42682</v>
      </c>
      <c r="AU4386" t="s">
        <v>73</v>
      </c>
      <c r="AV4386">
        <v>2969</v>
      </c>
      <c r="AW4386" s="4">
        <v>42682</v>
      </c>
      <c r="BD4386">
        <v>0</v>
      </c>
      <c r="BN4386" t="s">
        <v>74</v>
      </c>
    </row>
    <row r="4387" spans="1:66">
      <c r="A4387">
        <v>101541</v>
      </c>
      <c r="B4387" s="3" t="s">
        <v>467</v>
      </c>
      <c r="C4387" s="1">
        <v>43300101</v>
      </c>
      <c r="D4387" t="s">
        <v>67</v>
      </c>
      <c r="H4387" t="str">
        <f t="shared" si="466"/>
        <v>08230471008</v>
      </c>
      <c r="I4387" t="str">
        <f t="shared" si="466"/>
        <v>08230471008</v>
      </c>
      <c r="K4387" t="str">
        <f>""</f>
        <v/>
      </c>
      <c r="M4387" t="s">
        <v>68</v>
      </c>
      <c r="N4387" t="str">
        <f t="shared" si="465"/>
        <v>FOR</v>
      </c>
      <c r="O4387" t="s">
        <v>69</v>
      </c>
      <c r="P4387" s="3" t="s">
        <v>75</v>
      </c>
      <c r="Q4387">
        <v>2015</v>
      </c>
      <c r="R4387" s="2">
        <v>42367</v>
      </c>
      <c r="S4387" s="2">
        <v>42369</v>
      </c>
      <c r="T4387" s="2">
        <v>42369</v>
      </c>
      <c r="U4387" s="2">
        <v>42429</v>
      </c>
      <c r="V4387" t="s">
        <v>71</v>
      </c>
      <c r="W4387" t="str">
        <f>"               59631"</f>
        <v xml:space="preserve">               59631</v>
      </c>
      <c r="X4387">
        <v>305</v>
      </c>
      <c r="Y4387">
        <v>0</v>
      </c>
      <c r="Z4387" s="3">
        <v>250</v>
      </c>
      <c r="AA4387">
        <v>253</v>
      </c>
      <c r="AB4387" s="5">
        <v>63250</v>
      </c>
      <c r="AC4387">
        <v>250</v>
      </c>
      <c r="AD4387">
        <v>253</v>
      </c>
      <c r="AE4387" s="1">
        <v>63250</v>
      </c>
      <c r="AF4387">
        <v>0</v>
      </c>
      <c r="AJ4387">
        <v>0</v>
      </c>
      <c r="AK4387">
        <v>0</v>
      </c>
      <c r="AL4387">
        <v>0</v>
      </c>
      <c r="AM4387">
        <v>0</v>
      </c>
      <c r="AN4387">
        <v>0</v>
      </c>
      <c r="AO4387">
        <v>0</v>
      </c>
      <c r="AP4387" s="2">
        <v>42746</v>
      </c>
      <c r="AQ4387" t="s">
        <v>72</v>
      </c>
      <c r="AR4387" t="s">
        <v>72</v>
      </c>
      <c r="AS4387">
        <v>2969</v>
      </c>
      <c r="AT4387" s="4">
        <v>42682</v>
      </c>
      <c r="AU4387" t="s">
        <v>73</v>
      </c>
      <c r="AV4387">
        <v>2969</v>
      </c>
      <c r="AW4387" s="4">
        <v>42682</v>
      </c>
      <c r="BD4387">
        <v>0</v>
      </c>
      <c r="BN4387" t="s">
        <v>74</v>
      </c>
    </row>
    <row r="4388" spans="1:66">
      <c r="A4388">
        <v>101541</v>
      </c>
      <c r="B4388" s="3" t="s">
        <v>467</v>
      </c>
      <c r="C4388" s="1">
        <v>43300101</v>
      </c>
      <c r="D4388" t="s">
        <v>67</v>
      </c>
      <c r="H4388" t="str">
        <f t="shared" si="466"/>
        <v>08230471008</v>
      </c>
      <c r="I4388" t="str">
        <f t="shared" si="466"/>
        <v>08230471008</v>
      </c>
      <c r="K4388" t="str">
        <f>""</f>
        <v/>
      </c>
      <c r="M4388" t="s">
        <v>68</v>
      </c>
      <c r="N4388" t="str">
        <f t="shared" si="465"/>
        <v>FOR</v>
      </c>
      <c r="O4388" t="s">
        <v>69</v>
      </c>
      <c r="P4388" s="3" t="s">
        <v>75</v>
      </c>
      <c r="Q4388">
        <v>2015</v>
      </c>
      <c r="R4388" s="2">
        <v>42367</v>
      </c>
      <c r="S4388" s="2">
        <v>42369</v>
      </c>
      <c r="T4388" s="2">
        <v>42369</v>
      </c>
      <c r="U4388" s="2">
        <v>42429</v>
      </c>
      <c r="V4388" t="s">
        <v>71</v>
      </c>
      <c r="W4388" t="str">
        <f>"               59632"</f>
        <v xml:space="preserve">               59632</v>
      </c>
      <c r="X4388">
        <v>305</v>
      </c>
      <c r="Y4388">
        <v>0</v>
      </c>
      <c r="Z4388" s="3">
        <v>250</v>
      </c>
      <c r="AA4388">
        <v>253</v>
      </c>
      <c r="AB4388" s="5">
        <v>63250</v>
      </c>
      <c r="AC4388">
        <v>250</v>
      </c>
      <c r="AD4388">
        <v>253</v>
      </c>
      <c r="AE4388" s="1">
        <v>63250</v>
      </c>
      <c r="AF4388">
        <v>0</v>
      </c>
      <c r="AJ4388">
        <v>0</v>
      </c>
      <c r="AK4388">
        <v>0</v>
      </c>
      <c r="AL4388">
        <v>0</v>
      </c>
      <c r="AM4388">
        <v>0</v>
      </c>
      <c r="AN4388">
        <v>0</v>
      </c>
      <c r="AO4388">
        <v>0</v>
      </c>
      <c r="AP4388" s="2">
        <v>42746</v>
      </c>
      <c r="AQ4388" t="s">
        <v>72</v>
      </c>
      <c r="AR4388" t="s">
        <v>72</v>
      </c>
      <c r="AS4388">
        <v>2969</v>
      </c>
      <c r="AT4388" s="4">
        <v>42682</v>
      </c>
      <c r="AU4388" t="s">
        <v>73</v>
      </c>
      <c r="AV4388">
        <v>2969</v>
      </c>
      <c r="AW4388" s="4">
        <v>42682</v>
      </c>
      <c r="BD4388">
        <v>0</v>
      </c>
      <c r="BN4388" t="s">
        <v>74</v>
      </c>
    </row>
    <row r="4389" spans="1:66">
      <c r="A4389">
        <v>101541</v>
      </c>
      <c r="B4389" s="3" t="s">
        <v>467</v>
      </c>
      <c r="C4389" s="1">
        <v>43300101</v>
      </c>
      <c r="D4389" t="s">
        <v>67</v>
      </c>
      <c r="H4389" t="str">
        <f t="shared" si="466"/>
        <v>08230471008</v>
      </c>
      <c r="I4389" t="str">
        <f t="shared" si="466"/>
        <v>08230471008</v>
      </c>
      <c r="K4389" t="str">
        <f>""</f>
        <v/>
      </c>
      <c r="M4389" t="s">
        <v>68</v>
      </c>
      <c r="N4389" t="str">
        <f t="shared" si="465"/>
        <v>FOR</v>
      </c>
      <c r="O4389" t="s">
        <v>69</v>
      </c>
      <c r="P4389" s="3" t="s">
        <v>75</v>
      </c>
      <c r="Q4389">
        <v>2015</v>
      </c>
      <c r="R4389" s="2">
        <v>42367</v>
      </c>
      <c r="S4389" s="2">
        <v>42369</v>
      </c>
      <c r="T4389" s="2">
        <v>42369</v>
      </c>
      <c r="U4389" s="2">
        <v>42429</v>
      </c>
      <c r="V4389" t="s">
        <v>71</v>
      </c>
      <c r="W4389" t="str">
        <f>"               59633"</f>
        <v xml:space="preserve">               59633</v>
      </c>
      <c r="X4389">
        <v>305</v>
      </c>
      <c r="Y4389">
        <v>0</v>
      </c>
      <c r="Z4389" s="3">
        <v>250</v>
      </c>
      <c r="AA4389">
        <v>253</v>
      </c>
      <c r="AB4389" s="5">
        <v>63250</v>
      </c>
      <c r="AC4389">
        <v>250</v>
      </c>
      <c r="AD4389">
        <v>253</v>
      </c>
      <c r="AE4389" s="1">
        <v>63250</v>
      </c>
      <c r="AF4389">
        <v>0</v>
      </c>
      <c r="AJ4389">
        <v>0</v>
      </c>
      <c r="AK4389">
        <v>0</v>
      </c>
      <c r="AL4389">
        <v>0</v>
      </c>
      <c r="AM4389">
        <v>0</v>
      </c>
      <c r="AN4389">
        <v>0</v>
      </c>
      <c r="AO4389">
        <v>0</v>
      </c>
      <c r="AP4389" s="2">
        <v>42746</v>
      </c>
      <c r="AQ4389" t="s">
        <v>72</v>
      </c>
      <c r="AR4389" t="s">
        <v>72</v>
      </c>
      <c r="AS4389">
        <v>2969</v>
      </c>
      <c r="AT4389" s="4">
        <v>42682</v>
      </c>
      <c r="AU4389" t="s">
        <v>73</v>
      </c>
      <c r="AV4389">
        <v>2969</v>
      </c>
      <c r="AW4389" s="4">
        <v>42682</v>
      </c>
      <c r="BD4389">
        <v>0</v>
      </c>
      <c r="BN4389" t="s">
        <v>74</v>
      </c>
    </row>
    <row r="4390" spans="1:66">
      <c r="A4390">
        <v>101541</v>
      </c>
      <c r="B4390" s="3" t="s">
        <v>467</v>
      </c>
      <c r="C4390" s="1">
        <v>43300101</v>
      </c>
      <c r="D4390" t="s">
        <v>67</v>
      </c>
      <c r="H4390" t="str">
        <f t="shared" si="466"/>
        <v>08230471008</v>
      </c>
      <c r="I4390" t="str">
        <f t="shared" si="466"/>
        <v>08230471008</v>
      </c>
      <c r="K4390" t="str">
        <f>""</f>
        <v/>
      </c>
      <c r="M4390" t="s">
        <v>68</v>
      </c>
      <c r="N4390" t="str">
        <f t="shared" si="465"/>
        <v>FOR</v>
      </c>
      <c r="O4390" t="s">
        <v>69</v>
      </c>
      <c r="P4390" s="3" t="s">
        <v>75</v>
      </c>
      <c r="Q4390">
        <v>2015</v>
      </c>
      <c r="R4390" s="2">
        <v>42367</v>
      </c>
      <c r="S4390" s="2">
        <v>42369</v>
      </c>
      <c r="T4390" s="2">
        <v>42369</v>
      </c>
      <c r="U4390" s="2">
        <v>42429</v>
      </c>
      <c r="V4390" t="s">
        <v>71</v>
      </c>
      <c r="W4390" t="str">
        <f>"               59634"</f>
        <v xml:space="preserve">               59634</v>
      </c>
      <c r="X4390">
        <v>305</v>
      </c>
      <c r="Y4390">
        <v>0</v>
      </c>
      <c r="Z4390" s="3">
        <v>250</v>
      </c>
      <c r="AA4390">
        <v>253</v>
      </c>
      <c r="AB4390" s="5">
        <v>63250</v>
      </c>
      <c r="AC4390">
        <v>250</v>
      </c>
      <c r="AD4390">
        <v>253</v>
      </c>
      <c r="AE4390" s="1">
        <v>63250</v>
      </c>
      <c r="AF4390">
        <v>0</v>
      </c>
      <c r="AJ4390">
        <v>0</v>
      </c>
      <c r="AK4390">
        <v>0</v>
      </c>
      <c r="AL4390">
        <v>0</v>
      </c>
      <c r="AM4390">
        <v>0</v>
      </c>
      <c r="AN4390">
        <v>0</v>
      </c>
      <c r="AO4390">
        <v>0</v>
      </c>
      <c r="AP4390" s="2">
        <v>42746</v>
      </c>
      <c r="AQ4390" t="s">
        <v>72</v>
      </c>
      <c r="AR4390" t="s">
        <v>72</v>
      </c>
      <c r="AS4390">
        <v>2969</v>
      </c>
      <c r="AT4390" s="4">
        <v>42682</v>
      </c>
      <c r="AU4390" t="s">
        <v>73</v>
      </c>
      <c r="AV4390">
        <v>2969</v>
      </c>
      <c r="AW4390" s="4">
        <v>42682</v>
      </c>
      <c r="BD4390">
        <v>0</v>
      </c>
      <c r="BN4390" t="s">
        <v>74</v>
      </c>
    </row>
    <row r="4391" spans="1:66">
      <c r="A4391">
        <v>101541</v>
      </c>
      <c r="B4391" s="3" t="s">
        <v>467</v>
      </c>
      <c r="C4391" s="1">
        <v>43300101</v>
      </c>
      <c r="D4391" t="s">
        <v>67</v>
      </c>
      <c r="H4391" t="str">
        <f t="shared" si="466"/>
        <v>08230471008</v>
      </c>
      <c r="I4391" t="str">
        <f t="shared" si="466"/>
        <v>08230471008</v>
      </c>
      <c r="K4391" t="str">
        <f>""</f>
        <v/>
      </c>
      <c r="M4391" t="s">
        <v>68</v>
      </c>
      <c r="N4391" t="str">
        <f t="shared" si="465"/>
        <v>FOR</v>
      </c>
      <c r="O4391" t="s">
        <v>69</v>
      </c>
      <c r="P4391" s="3" t="s">
        <v>75</v>
      </c>
      <c r="Q4391">
        <v>2015</v>
      </c>
      <c r="R4391" s="2">
        <v>42367</v>
      </c>
      <c r="S4391" s="2">
        <v>42369</v>
      </c>
      <c r="T4391" s="2">
        <v>42369</v>
      </c>
      <c r="U4391" s="2">
        <v>42429</v>
      </c>
      <c r="V4391" t="s">
        <v>71</v>
      </c>
      <c r="W4391" t="str">
        <f>"               59635"</f>
        <v xml:space="preserve">               59635</v>
      </c>
      <c r="X4391">
        <v>305</v>
      </c>
      <c r="Y4391">
        <v>0</v>
      </c>
      <c r="Z4391" s="3">
        <v>250</v>
      </c>
      <c r="AA4391">
        <v>253</v>
      </c>
      <c r="AB4391" s="5">
        <v>63250</v>
      </c>
      <c r="AC4391">
        <v>250</v>
      </c>
      <c r="AD4391">
        <v>253</v>
      </c>
      <c r="AE4391" s="1">
        <v>63250</v>
      </c>
      <c r="AF4391">
        <v>0</v>
      </c>
      <c r="AJ4391">
        <v>0</v>
      </c>
      <c r="AK4391">
        <v>0</v>
      </c>
      <c r="AL4391">
        <v>0</v>
      </c>
      <c r="AM4391">
        <v>0</v>
      </c>
      <c r="AN4391">
        <v>0</v>
      </c>
      <c r="AO4391">
        <v>0</v>
      </c>
      <c r="AP4391" s="2">
        <v>42746</v>
      </c>
      <c r="AQ4391" t="s">
        <v>72</v>
      </c>
      <c r="AR4391" t="s">
        <v>72</v>
      </c>
      <c r="AS4391">
        <v>2969</v>
      </c>
      <c r="AT4391" s="4">
        <v>42682</v>
      </c>
      <c r="AU4391" t="s">
        <v>73</v>
      </c>
      <c r="AV4391">
        <v>2969</v>
      </c>
      <c r="AW4391" s="4">
        <v>42682</v>
      </c>
      <c r="BD4391">
        <v>0</v>
      </c>
      <c r="BN4391" t="s">
        <v>74</v>
      </c>
    </row>
    <row r="4392" spans="1:66">
      <c r="A4392">
        <v>101541</v>
      </c>
      <c r="B4392" s="3" t="s">
        <v>467</v>
      </c>
      <c r="C4392" s="1">
        <v>43300101</v>
      </c>
      <c r="D4392" t="s">
        <v>67</v>
      </c>
      <c r="H4392" t="str">
        <f t="shared" si="466"/>
        <v>08230471008</v>
      </c>
      <c r="I4392" t="str">
        <f t="shared" si="466"/>
        <v>08230471008</v>
      </c>
      <c r="K4392" t="str">
        <f>""</f>
        <v/>
      </c>
      <c r="M4392" t="s">
        <v>68</v>
      </c>
      <c r="N4392" t="str">
        <f t="shared" si="465"/>
        <v>FOR</v>
      </c>
      <c r="O4392" t="s">
        <v>69</v>
      </c>
      <c r="P4392" s="3" t="s">
        <v>75</v>
      </c>
      <c r="Q4392">
        <v>2015</v>
      </c>
      <c r="R4392" s="2">
        <v>42367</v>
      </c>
      <c r="S4392" s="2">
        <v>42369</v>
      </c>
      <c r="T4392" s="2">
        <v>42369</v>
      </c>
      <c r="U4392" s="2">
        <v>42429</v>
      </c>
      <c r="V4392" t="s">
        <v>71</v>
      </c>
      <c r="W4392" t="str">
        <f>"               59636"</f>
        <v xml:space="preserve">               59636</v>
      </c>
      <c r="X4392">
        <v>305</v>
      </c>
      <c r="Y4392">
        <v>0</v>
      </c>
      <c r="Z4392" s="3">
        <v>250</v>
      </c>
      <c r="AA4392">
        <v>253</v>
      </c>
      <c r="AB4392" s="5">
        <v>63250</v>
      </c>
      <c r="AC4392">
        <v>250</v>
      </c>
      <c r="AD4392">
        <v>253</v>
      </c>
      <c r="AE4392" s="1">
        <v>63250</v>
      </c>
      <c r="AF4392">
        <v>0</v>
      </c>
      <c r="AJ4392">
        <v>0</v>
      </c>
      <c r="AK4392">
        <v>0</v>
      </c>
      <c r="AL4392">
        <v>0</v>
      </c>
      <c r="AM4392">
        <v>0</v>
      </c>
      <c r="AN4392">
        <v>0</v>
      </c>
      <c r="AO4392">
        <v>0</v>
      </c>
      <c r="AP4392" s="2">
        <v>42746</v>
      </c>
      <c r="AQ4392" t="s">
        <v>72</v>
      </c>
      <c r="AR4392" t="s">
        <v>72</v>
      </c>
      <c r="AS4392">
        <v>2969</v>
      </c>
      <c r="AT4392" s="4">
        <v>42682</v>
      </c>
      <c r="AU4392" t="s">
        <v>73</v>
      </c>
      <c r="AV4392">
        <v>2969</v>
      </c>
      <c r="AW4392" s="4">
        <v>42682</v>
      </c>
      <c r="BD4392">
        <v>0</v>
      </c>
      <c r="BN4392" t="s">
        <v>74</v>
      </c>
    </row>
    <row r="4393" spans="1:66">
      <c r="A4393">
        <v>101541</v>
      </c>
      <c r="B4393" s="3" t="s">
        <v>467</v>
      </c>
      <c r="C4393" s="1">
        <v>43300101</v>
      </c>
      <c r="D4393" t="s">
        <v>67</v>
      </c>
      <c r="H4393" t="str">
        <f t="shared" si="466"/>
        <v>08230471008</v>
      </c>
      <c r="I4393" t="str">
        <f t="shared" si="466"/>
        <v>08230471008</v>
      </c>
      <c r="K4393" t="str">
        <f>""</f>
        <v/>
      </c>
      <c r="M4393" t="s">
        <v>68</v>
      </c>
      <c r="N4393" t="str">
        <f t="shared" si="465"/>
        <v>FOR</v>
      </c>
      <c r="O4393" t="s">
        <v>69</v>
      </c>
      <c r="P4393" s="3" t="s">
        <v>75</v>
      </c>
      <c r="Q4393">
        <v>2015</v>
      </c>
      <c r="R4393" s="2">
        <v>42367</v>
      </c>
      <c r="S4393" s="2">
        <v>42369</v>
      </c>
      <c r="T4393" s="2">
        <v>42369</v>
      </c>
      <c r="U4393" s="2">
        <v>42429</v>
      </c>
      <c r="V4393" t="s">
        <v>71</v>
      </c>
      <c r="W4393" t="str">
        <f>"               59637"</f>
        <v xml:space="preserve">               59637</v>
      </c>
      <c r="X4393">
        <v>305</v>
      </c>
      <c r="Y4393">
        <v>0</v>
      </c>
      <c r="Z4393" s="3">
        <v>250</v>
      </c>
      <c r="AA4393">
        <v>253</v>
      </c>
      <c r="AB4393" s="5">
        <v>63250</v>
      </c>
      <c r="AC4393">
        <v>250</v>
      </c>
      <c r="AD4393">
        <v>253</v>
      </c>
      <c r="AE4393" s="1">
        <v>63250</v>
      </c>
      <c r="AF4393">
        <v>0</v>
      </c>
      <c r="AJ4393">
        <v>0</v>
      </c>
      <c r="AK4393">
        <v>0</v>
      </c>
      <c r="AL4393">
        <v>0</v>
      </c>
      <c r="AM4393">
        <v>0</v>
      </c>
      <c r="AN4393">
        <v>0</v>
      </c>
      <c r="AO4393">
        <v>0</v>
      </c>
      <c r="AP4393" s="2">
        <v>42746</v>
      </c>
      <c r="AQ4393" t="s">
        <v>72</v>
      </c>
      <c r="AR4393" t="s">
        <v>72</v>
      </c>
      <c r="AS4393">
        <v>2969</v>
      </c>
      <c r="AT4393" s="4">
        <v>42682</v>
      </c>
      <c r="AU4393" t="s">
        <v>73</v>
      </c>
      <c r="AV4393">
        <v>2969</v>
      </c>
      <c r="AW4393" s="4">
        <v>42682</v>
      </c>
      <c r="BD4393">
        <v>0</v>
      </c>
      <c r="BN4393" t="s">
        <v>74</v>
      </c>
    </row>
    <row r="4394" spans="1:66">
      <c r="A4394">
        <v>101541</v>
      </c>
      <c r="B4394" s="3" t="s">
        <v>467</v>
      </c>
      <c r="C4394" s="1">
        <v>43300101</v>
      </c>
      <c r="D4394" t="s">
        <v>67</v>
      </c>
      <c r="H4394" t="str">
        <f t="shared" si="466"/>
        <v>08230471008</v>
      </c>
      <c r="I4394" t="str">
        <f t="shared" si="466"/>
        <v>08230471008</v>
      </c>
      <c r="K4394" t="str">
        <f>""</f>
        <v/>
      </c>
      <c r="M4394" t="s">
        <v>68</v>
      </c>
      <c r="N4394" t="str">
        <f t="shared" si="465"/>
        <v>FOR</v>
      </c>
      <c r="O4394" t="s">
        <v>69</v>
      </c>
      <c r="P4394" s="3" t="s">
        <v>75</v>
      </c>
      <c r="Q4394">
        <v>2015</v>
      </c>
      <c r="R4394" s="2">
        <v>42367</v>
      </c>
      <c r="S4394" s="2">
        <v>42369</v>
      </c>
      <c r="T4394" s="2">
        <v>42369</v>
      </c>
      <c r="U4394" s="2">
        <v>42429</v>
      </c>
      <c r="V4394" t="s">
        <v>71</v>
      </c>
      <c r="W4394" t="str">
        <f>"               59638"</f>
        <v xml:space="preserve">               59638</v>
      </c>
      <c r="X4394">
        <v>305</v>
      </c>
      <c r="Y4394">
        <v>0</v>
      </c>
      <c r="Z4394" s="3">
        <v>250</v>
      </c>
      <c r="AA4394">
        <v>253</v>
      </c>
      <c r="AB4394" s="5">
        <v>63250</v>
      </c>
      <c r="AC4394">
        <v>250</v>
      </c>
      <c r="AD4394">
        <v>253</v>
      </c>
      <c r="AE4394" s="1">
        <v>63250</v>
      </c>
      <c r="AF4394">
        <v>0</v>
      </c>
      <c r="AJ4394">
        <v>0</v>
      </c>
      <c r="AK4394">
        <v>0</v>
      </c>
      <c r="AL4394">
        <v>0</v>
      </c>
      <c r="AM4394">
        <v>0</v>
      </c>
      <c r="AN4394">
        <v>0</v>
      </c>
      <c r="AO4394">
        <v>0</v>
      </c>
      <c r="AP4394" s="2">
        <v>42746</v>
      </c>
      <c r="AQ4394" t="s">
        <v>72</v>
      </c>
      <c r="AR4394" t="s">
        <v>72</v>
      </c>
      <c r="AS4394">
        <v>2969</v>
      </c>
      <c r="AT4394" s="4">
        <v>42682</v>
      </c>
      <c r="AU4394" t="s">
        <v>73</v>
      </c>
      <c r="AV4394">
        <v>2969</v>
      </c>
      <c r="AW4394" s="4">
        <v>42682</v>
      </c>
      <c r="BD4394">
        <v>0</v>
      </c>
      <c r="BN4394" t="s">
        <v>74</v>
      </c>
    </row>
    <row r="4395" spans="1:66">
      <c r="A4395">
        <v>101541</v>
      </c>
      <c r="B4395" s="3" t="s">
        <v>467</v>
      </c>
      <c r="C4395" s="1">
        <v>43300101</v>
      </c>
      <c r="D4395" t="s">
        <v>67</v>
      </c>
      <c r="H4395" t="str">
        <f t="shared" si="466"/>
        <v>08230471008</v>
      </c>
      <c r="I4395" t="str">
        <f t="shared" si="466"/>
        <v>08230471008</v>
      </c>
      <c r="K4395" t="str">
        <f>""</f>
        <v/>
      </c>
      <c r="M4395" t="s">
        <v>68</v>
      </c>
      <c r="N4395" t="str">
        <f t="shared" si="465"/>
        <v>FOR</v>
      </c>
      <c r="O4395" t="s">
        <v>69</v>
      </c>
      <c r="P4395" s="3" t="s">
        <v>75</v>
      </c>
      <c r="Q4395">
        <v>2015</v>
      </c>
      <c r="R4395" s="2">
        <v>42367</v>
      </c>
      <c r="S4395" s="2">
        <v>42369</v>
      </c>
      <c r="T4395" s="2">
        <v>42369</v>
      </c>
      <c r="U4395" s="2">
        <v>42429</v>
      </c>
      <c r="V4395" t="s">
        <v>71</v>
      </c>
      <c r="W4395" t="str">
        <f>"               59639"</f>
        <v xml:space="preserve">               59639</v>
      </c>
      <c r="X4395">
        <v>305</v>
      </c>
      <c r="Y4395">
        <v>0</v>
      </c>
      <c r="Z4395" s="3">
        <v>250</v>
      </c>
      <c r="AA4395">
        <v>253</v>
      </c>
      <c r="AB4395" s="5">
        <v>63250</v>
      </c>
      <c r="AC4395">
        <v>250</v>
      </c>
      <c r="AD4395">
        <v>253</v>
      </c>
      <c r="AE4395" s="1">
        <v>63250</v>
      </c>
      <c r="AF4395">
        <v>0</v>
      </c>
      <c r="AJ4395">
        <v>0</v>
      </c>
      <c r="AK4395">
        <v>0</v>
      </c>
      <c r="AL4395">
        <v>0</v>
      </c>
      <c r="AM4395">
        <v>0</v>
      </c>
      <c r="AN4395">
        <v>0</v>
      </c>
      <c r="AO4395">
        <v>0</v>
      </c>
      <c r="AP4395" s="2">
        <v>42746</v>
      </c>
      <c r="AQ4395" t="s">
        <v>72</v>
      </c>
      <c r="AR4395" t="s">
        <v>72</v>
      </c>
      <c r="AS4395">
        <v>2969</v>
      </c>
      <c r="AT4395" s="4">
        <v>42682</v>
      </c>
      <c r="AU4395" t="s">
        <v>73</v>
      </c>
      <c r="AV4395">
        <v>2969</v>
      </c>
      <c r="AW4395" s="4">
        <v>42682</v>
      </c>
      <c r="BD4395">
        <v>0</v>
      </c>
      <c r="BN4395" t="s">
        <v>74</v>
      </c>
    </row>
    <row r="4396" spans="1:66">
      <c r="A4396">
        <v>101541</v>
      </c>
      <c r="B4396" s="3" t="s">
        <v>467</v>
      </c>
      <c r="C4396" s="1">
        <v>43300101</v>
      </c>
      <c r="D4396" t="s">
        <v>67</v>
      </c>
      <c r="H4396" t="str">
        <f t="shared" si="466"/>
        <v>08230471008</v>
      </c>
      <c r="I4396" t="str">
        <f t="shared" si="466"/>
        <v>08230471008</v>
      </c>
      <c r="K4396" t="str">
        <f>""</f>
        <v/>
      </c>
      <c r="M4396" t="s">
        <v>68</v>
      </c>
      <c r="N4396" t="str">
        <f t="shared" si="465"/>
        <v>FOR</v>
      </c>
      <c r="O4396" t="s">
        <v>69</v>
      </c>
      <c r="P4396" s="3" t="s">
        <v>75</v>
      </c>
      <c r="Q4396">
        <v>2015</v>
      </c>
      <c r="R4396" s="2">
        <v>42367</v>
      </c>
      <c r="S4396" s="2">
        <v>42369</v>
      </c>
      <c r="T4396" s="2">
        <v>42369</v>
      </c>
      <c r="U4396" s="2">
        <v>42429</v>
      </c>
      <c r="V4396" t="s">
        <v>71</v>
      </c>
      <c r="W4396" t="str">
        <f>"               59640"</f>
        <v xml:space="preserve">               59640</v>
      </c>
      <c r="X4396">
        <v>305</v>
      </c>
      <c r="Y4396">
        <v>0</v>
      </c>
      <c r="Z4396" s="3">
        <v>250</v>
      </c>
      <c r="AA4396">
        <v>253</v>
      </c>
      <c r="AB4396" s="5">
        <v>63250</v>
      </c>
      <c r="AC4396">
        <v>250</v>
      </c>
      <c r="AD4396">
        <v>253</v>
      </c>
      <c r="AE4396" s="1">
        <v>63250</v>
      </c>
      <c r="AF4396">
        <v>0</v>
      </c>
      <c r="AJ4396">
        <v>0</v>
      </c>
      <c r="AK4396">
        <v>0</v>
      </c>
      <c r="AL4396">
        <v>0</v>
      </c>
      <c r="AM4396">
        <v>0</v>
      </c>
      <c r="AN4396">
        <v>0</v>
      </c>
      <c r="AO4396">
        <v>0</v>
      </c>
      <c r="AP4396" s="2">
        <v>42746</v>
      </c>
      <c r="AQ4396" t="s">
        <v>72</v>
      </c>
      <c r="AR4396" t="s">
        <v>72</v>
      </c>
      <c r="AS4396">
        <v>2969</v>
      </c>
      <c r="AT4396" s="4">
        <v>42682</v>
      </c>
      <c r="AU4396" t="s">
        <v>73</v>
      </c>
      <c r="AV4396">
        <v>2969</v>
      </c>
      <c r="AW4396" s="4">
        <v>42682</v>
      </c>
      <c r="BD4396">
        <v>0</v>
      </c>
      <c r="BN4396" t="s">
        <v>74</v>
      </c>
    </row>
    <row r="4397" spans="1:66">
      <c r="A4397">
        <v>101541</v>
      </c>
      <c r="B4397" s="3" t="s">
        <v>467</v>
      </c>
      <c r="C4397" s="1">
        <v>43300101</v>
      </c>
      <c r="D4397" t="s">
        <v>67</v>
      </c>
      <c r="H4397" t="str">
        <f t="shared" si="466"/>
        <v>08230471008</v>
      </c>
      <c r="I4397" t="str">
        <f t="shared" si="466"/>
        <v>08230471008</v>
      </c>
      <c r="K4397" t="str">
        <f>""</f>
        <v/>
      </c>
      <c r="M4397" t="s">
        <v>68</v>
      </c>
      <c r="N4397" t="str">
        <f t="shared" si="465"/>
        <v>FOR</v>
      </c>
      <c r="O4397" t="s">
        <v>69</v>
      </c>
      <c r="P4397" s="3" t="s">
        <v>75</v>
      </c>
      <c r="Q4397">
        <v>2015</v>
      </c>
      <c r="R4397" s="2">
        <v>42367</v>
      </c>
      <c r="S4397" s="2">
        <v>42369</v>
      </c>
      <c r="T4397" s="2">
        <v>42369</v>
      </c>
      <c r="U4397" s="2">
        <v>42429</v>
      </c>
      <c r="V4397" t="s">
        <v>71</v>
      </c>
      <c r="W4397" t="str">
        <f>"               59641"</f>
        <v xml:space="preserve">               59641</v>
      </c>
      <c r="X4397">
        <v>305</v>
      </c>
      <c r="Y4397">
        <v>0</v>
      </c>
      <c r="Z4397" s="3">
        <v>250</v>
      </c>
      <c r="AA4397">
        <v>253</v>
      </c>
      <c r="AB4397" s="5">
        <v>63250</v>
      </c>
      <c r="AC4397">
        <v>250</v>
      </c>
      <c r="AD4397">
        <v>253</v>
      </c>
      <c r="AE4397" s="1">
        <v>63250</v>
      </c>
      <c r="AF4397">
        <v>0</v>
      </c>
      <c r="AJ4397">
        <v>0</v>
      </c>
      <c r="AK4397">
        <v>0</v>
      </c>
      <c r="AL4397">
        <v>0</v>
      </c>
      <c r="AM4397">
        <v>0</v>
      </c>
      <c r="AN4397">
        <v>0</v>
      </c>
      <c r="AO4397">
        <v>0</v>
      </c>
      <c r="AP4397" s="2">
        <v>42746</v>
      </c>
      <c r="AQ4397" t="s">
        <v>72</v>
      </c>
      <c r="AR4397" t="s">
        <v>72</v>
      </c>
      <c r="AS4397">
        <v>2969</v>
      </c>
      <c r="AT4397" s="4">
        <v>42682</v>
      </c>
      <c r="AU4397" t="s">
        <v>73</v>
      </c>
      <c r="AV4397">
        <v>2969</v>
      </c>
      <c r="AW4397" s="4">
        <v>42682</v>
      </c>
      <c r="BD4397">
        <v>0</v>
      </c>
      <c r="BN4397" t="s">
        <v>74</v>
      </c>
    </row>
    <row r="4398" spans="1:66">
      <c r="A4398">
        <v>101541</v>
      </c>
      <c r="B4398" s="3" t="s">
        <v>467</v>
      </c>
      <c r="C4398" s="1">
        <v>43300101</v>
      </c>
      <c r="D4398" t="s">
        <v>67</v>
      </c>
      <c r="H4398" t="str">
        <f t="shared" ref="H4398:I4417" si="467">"08230471008"</f>
        <v>08230471008</v>
      </c>
      <c r="I4398" t="str">
        <f t="shared" si="467"/>
        <v>08230471008</v>
      </c>
      <c r="K4398" t="str">
        <f>""</f>
        <v/>
      </c>
      <c r="M4398" t="s">
        <v>68</v>
      </c>
      <c r="N4398" t="str">
        <f t="shared" si="465"/>
        <v>FOR</v>
      </c>
      <c r="O4398" t="s">
        <v>69</v>
      </c>
      <c r="P4398" s="3" t="s">
        <v>75</v>
      </c>
      <c r="Q4398">
        <v>2015</v>
      </c>
      <c r="R4398" s="2">
        <v>42367</v>
      </c>
      <c r="S4398" s="2">
        <v>42369</v>
      </c>
      <c r="T4398" s="2">
        <v>42369</v>
      </c>
      <c r="U4398" s="2">
        <v>42429</v>
      </c>
      <c r="V4398" t="s">
        <v>71</v>
      </c>
      <c r="W4398" t="str">
        <f>"               59642"</f>
        <v xml:space="preserve">               59642</v>
      </c>
      <c r="X4398">
        <v>728</v>
      </c>
      <c r="Y4398">
        <v>0</v>
      </c>
      <c r="Z4398" s="3">
        <v>700</v>
      </c>
      <c r="AA4398">
        <v>253</v>
      </c>
      <c r="AB4398" s="5">
        <v>177100</v>
      </c>
      <c r="AC4398">
        <v>700</v>
      </c>
      <c r="AD4398">
        <v>253</v>
      </c>
      <c r="AE4398" s="1">
        <v>177100</v>
      </c>
      <c r="AF4398">
        <v>0</v>
      </c>
      <c r="AJ4398">
        <v>0</v>
      </c>
      <c r="AK4398">
        <v>0</v>
      </c>
      <c r="AL4398">
        <v>0</v>
      </c>
      <c r="AM4398">
        <v>0</v>
      </c>
      <c r="AN4398">
        <v>0</v>
      </c>
      <c r="AO4398">
        <v>0</v>
      </c>
      <c r="AP4398" s="2">
        <v>42746</v>
      </c>
      <c r="AQ4398" t="s">
        <v>72</v>
      </c>
      <c r="AR4398" t="s">
        <v>72</v>
      </c>
      <c r="AS4398">
        <v>2969</v>
      </c>
      <c r="AT4398" s="4">
        <v>42682</v>
      </c>
      <c r="AU4398" t="s">
        <v>73</v>
      </c>
      <c r="AV4398">
        <v>2969</v>
      </c>
      <c r="AW4398" s="4">
        <v>42682</v>
      </c>
      <c r="BD4398">
        <v>0</v>
      </c>
      <c r="BN4398" t="s">
        <v>74</v>
      </c>
    </row>
    <row r="4399" spans="1:66">
      <c r="A4399">
        <v>101541</v>
      </c>
      <c r="B4399" s="3" t="s">
        <v>467</v>
      </c>
      <c r="C4399" s="1">
        <v>43300101</v>
      </c>
      <c r="D4399" t="s">
        <v>67</v>
      </c>
      <c r="H4399" t="str">
        <f t="shared" si="467"/>
        <v>08230471008</v>
      </c>
      <c r="I4399" t="str">
        <f t="shared" si="467"/>
        <v>08230471008</v>
      </c>
      <c r="K4399" t="str">
        <f>""</f>
        <v/>
      </c>
      <c r="M4399" t="s">
        <v>68</v>
      </c>
      <c r="N4399" t="str">
        <f t="shared" si="465"/>
        <v>FOR</v>
      </c>
      <c r="O4399" t="s">
        <v>69</v>
      </c>
      <c r="P4399" s="3" t="s">
        <v>75</v>
      </c>
      <c r="Q4399">
        <v>2015</v>
      </c>
      <c r="R4399" s="2">
        <v>42367</v>
      </c>
      <c r="S4399" s="2">
        <v>42369</v>
      </c>
      <c r="T4399" s="2">
        <v>42369</v>
      </c>
      <c r="U4399" s="2">
        <v>42429</v>
      </c>
      <c r="V4399" t="s">
        <v>71</v>
      </c>
      <c r="W4399" t="str">
        <f>"               59643"</f>
        <v xml:space="preserve">               59643</v>
      </c>
      <c r="X4399">
        <v>305</v>
      </c>
      <c r="Y4399">
        <v>0</v>
      </c>
      <c r="Z4399" s="3">
        <v>250</v>
      </c>
      <c r="AA4399">
        <v>253</v>
      </c>
      <c r="AB4399" s="5">
        <v>63250</v>
      </c>
      <c r="AC4399">
        <v>250</v>
      </c>
      <c r="AD4399">
        <v>253</v>
      </c>
      <c r="AE4399" s="1">
        <v>63250</v>
      </c>
      <c r="AF4399">
        <v>0</v>
      </c>
      <c r="AJ4399">
        <v>0</v>
      </c>
      <c r="AK4399">
        <v>0</v>
      </c>
      <c r="AL4399">
        <v>0</v>
      </c>
      <c r="AM4399">
        <v>0</v>
      </c>
      <c r="AN4399">
        <v>0</v>
      </c>
      <c r="AO4399">
        <v>0</v>
      </c>
      <c r="AP4399" s="2">
        <v>42746</v>
      </c>
      <c r="AQ4399" t="s">
        <v>72</v>
      </c>
      <c r="AR4399" t="s">
        <v>72</v>
      </c>
      <c r="AS4399">
        <v>2969</v>
      </c>
      <c r="AT4399" s="4">
        <v>42682</v>
      </c>
      <c r="AU4399" t="s">
        <v>73</v>
      </c>
      <c r="AV4399">
        <v>2969</v>
      </c>
      <c r="AW4399" s="4">
        <v>42682</v>
      </c>
      <c r="BD4399">
        <v>0</v>
      </c>
      <c r="BN4399" t="s">
        <v>74</v>
      </c>
    </row>
    <row r="4400" spans="1:66">
      <c r="A4400">
        <v>101541</v>
      </c>
      <c r="B4400" s="3" t="s">
        <v>467</v>
      </c>
      <c r="C4400" s="1">
        <v>43300101</v>
      </c>
      <c r="D4400" t="s">
        <v>67</v>
      </c>
      <c r="H4400" t="str">
        <f t="shared" si="467"/>
        <v>08230471008</v>
      </c>
      <c r="I4400" t="str">
        <f t="shared" si="467"/>
        <v>08230471008</v>
      </c>
      <c r="K4400" t="str">
        <f>""</f>
        <v/>
      </c>
      <c r="M4400" t="s">
        <v>68</v>
      </c>
      <c r="N4400" t="str">
        <f t="shared" si="465"/>
        <v>FOR</v>
      </c>
      <c r="O4400" t="s">
        <v>69</v>
      </c>
      <c r="P4400" s="3" t="s">
        <v>75</v>
      </c>
      <c r="Q4400">
        <v>2015</v>
      </c>
      <c r="R4400" s="2">
        <v>42367</v>
      </c>
      <c r="S4400" s="2">
        <v>42369</v>
      </c>
      <c r="T4400" s="2">
        <v>42369</v>
      </c>
      <c r="U4400" s="2">
        <v>42429</v>
      </c>
      <c r="V4400" t="s">
        <v>71</v>
      </c>
      <c r="W4400" t="str">
        <f>"               59644"</f>
        <v xml:space="preserve">               59644</v>
      </c>
      <c r="X4400">
        <v>305</v>
      </c>
      <c r="Y4400">
        <v>0</v>
      </c>
      <c r="Z4400" s="3">
        <v>250</v>
      </c>
      <c r="AA4400">
        <v>253</v>
      </c>
      <c r="AB4400" s="5">
        <v>63250</v>
      </c>
      <c r="AC4400">
        <v>250</v>
      </c>
      <c r="AD4400">
        <v>253</v>
      </c>
      <c r="AE4400" s="1">
        <v>63250</v>
      </c>
      <c r="AF4400">
        <v>0</v>
      </c>
      <c r="AJ4400">
        <v>0</v>
      </c>
      <c r="AK4400">
        <v>0</v>
      </c>
      <c r="AL4400">
        <v>0</v>
      </c>
      <c r="AM4400">
        <v>0</v>
      </c>
      <c r="AN4400">
        <v>0</v>
      </c>
      <c r="AO4400">
        <v>0</v>
      </c>
      <c r="AP4400" s="2">
        <v>42746</v>
      </c>
      <c r="AQ4400" t="s">
        <v>72</v>
      </c>
      <c r="AR4400" t="s">
        <v>72</v>
      </c>
      <c r="AS4400">
        <v>2969</v>
      </c>
      <c r="AT4400" s="4">
        <v>42682</v>
      </c>
      <c r="AU4400" t="s">
        <v>73</v>
      </c>
      <c r="AV4400">
        <v>2969</v>
      </c>
      <c r="AW4400" s="4">
        <v>42682</v>
      </c>
      <c r="BD4400">
        <v>0</v>
      </c>
      <c r="BN4400" t="s">
        <v>74</v>
      </c>
    </row>
    <row r="4401" spans="1:66">
      <c r="A4401">
        <v>101541</v>
      </c>
      <c r="B4401" s="3" t="s">
        <v>467</v>
      </c>
      <c r="C4401" s="1">
        <v>43300101</v>
      </c>
      <c r="D4401" t="s">
        <v>67</v>
      </c>
      <c r="H4401" t="str">
        <f t="shared" si="467"/>
        <v>08230471008</v>
      </c>
      <c r="I4401" t="str">
        <f t="shared" si="467"/>
        <v>08230471008</v>
      </c>
      <c r="K4401" t="str">
        <f>""</f>
        <v/>
      </c>
      <c r="M4401" t="s">
        <v>68</v>
      </c>
      <c r="N4401" t="str">
        <f t="shared" si="465"/>
        <v>FOR</v>
      </c>
      <c r="O4401" t="s">
        <v>69</v>
      </c>
      <c r="P4401" s="3" t="s">
        <v>75</v>
      </c>
      <c r="Q4401">
        <v>2015</v>
      </c>
      <c r="R4401" s="2">
        <v>42367</v>
      </c>
      <c r="S4401" s="2">
        <v>42369</v>
      </c>
      <c r="T4401" s="2">
        <v>42369</v>
      </c>
      <c r="U4401" s="2">
        <v>42429</v>
      </c>
      <c r="V4401" t="s">
        <v>71</v>
      </c>
      <c r="W4401" t="str">
        <f>"               59645"</f>
        <v xml:space="preserve">               59645</v>
      </c>
      <c r="X4401">
        <v>305</v>
      </c>
      <c r="Y4401">
        <v>0</v>
      </c>
      <c r="Z4401" s="3">
        <v>250</v>
      </c>
      <c r="AA4401">
        <v>253</v>
      </c>
      <c r="AB4401" s="5">
        <v>63250</v>
      </c>
      <c r="AC4401">
        <v>250</v>
      </c>
      <c r="AD4401">
        <v>253</v>
      </c>
      <c r="AE4401" s="1">
        <v>63250</v>
      </c>
      <c r="AF4401">
        <v>0</v>
      </c>
      <c r="AJ4401">
        <v>0</v>
      </c>
      <c r="AK4401">
        <v>0</v>
      </c>
      <c r="AL4401">
        <v>0</v>
      </c>
      <c r="AM4401">
        <v>0</v>
      </c>
      <c r="AN4401">
        <v>0</v>
      </c>
      <c r="AO4401">
        <v>0</v>
      </c>
      <c r="AP4401" s="2">
        <v>42746</v>
      </c>
      <c r="AQ4401" t="s">
        <v>72</v>
      </c>
      <c r="AR4401" t="s">
        <v>72</v>
      </c>
      <c r="AS4401">
        <v>2969</v>
      </c>
      <c r="AT4401" s="4">
        <v>42682</v>
      </c>
      <c r="AU4401" t="s">
        <v>73</v>
      </c>
      <c r="AV4401">
        <v>2969</v>
      </c>
      <c r="AW4401" s="4">
        <v>42682</v>
      </c>
      <c r="BD4401">
        <v>0</v>
      </c>
      <c r="BN4401" t="s">
        <v>74</v>
      </c>
    </row>
    <row r="4402" spans="1:66">
      <c r="A4402">
        <v>101541</v>
      </c>
      <c r="B4402" s="3" t="s">
        <v>467</v>
      </c>
      <c r="C4402" s="1">
        <v>43300101</v>
      </c>
      <c r="D4402" t="s">
        <v>67</v>
      </c>
      <c r="H4402" t="str">
        <f t="shared" si="467"/>
        <v>08230471008</v>
      </c>
      <c r="I4402" t="str">
        <f t="shared" si="467"/>
        <v>08230471008</v>
      </c>
      <c r="K4402" t="str">
        <f>""</f>
        <v/>
      </c>
      <c r="M4402" t="s">
        <v>68</v>
      </c>
      <c r="N4402" t="str">
        <f t="shared" si="465"/>
        <v>FOR</v>
      </c>
      <c r="O4402" t="s">
        <v>69</v>
      </c>
      <c r="P4402" s="3" t="s">
        <v>75</v>
      </c>
      <c r="Q4402">
        <v>2015</v>
      </c>
      <c r="R4402" s="2">
        <v>42369</v>
      </c>
      <c r="S4402" s="2">
        <v>42369</v>
      </c>
      <c r="T4402" s="2">
        <v>42369</v>
      </c>
      <c r="U4402" s="2">
        <v>42429</v>
      </c>
      <c r="V4402" t="s">
        <v>71</v>
      </c>
      <c r="W4402" t="str">
        <f>"               59922"</f>
        <v xml:space="preserve">               59922</v>
      </c>
      <c r="X4402">
        <v>305</v>
      </c>
      <c r="Y4402">
        <v>0</v>
      </c>
      <c r="Z4402" s="3">
        <v>250</v>
      </c>
      <c r="AA4402">
        <v>253</v>
      </c>
      <c r="AB4402" s="5">
        <v>63250</v>
      </c>
      <c r="AC4402">
        <v>250</v>
      </c>
      <c r="AD4402">
        <v>253</v>
      </c>
      <c r="AE4402" s="1">
        <v>63250</v>
      </c>
      <c r="AF4402">
        <v>0</v>
      </c>
      <c r="AJ4402">
        <v>0</v>
      </c>
      <c r="AK4402">
        <v>0</v>
      </c>
      <c r="AL4402">
        <v>0</v>
      </c>
      <c r="AM4402">
        <v>0</v>
      </c>
      <c r="AN4402">
        <v>0</v>
      </c>
      <c r="AO4402">
        <v>0</v>
      </c>
      <c r="AP4402" s="2">
        <v>42746</v>
      </c>
      <c r="AQ4402" t="s">
        <v>72</v>
      </c>
      <c r="AR4402" t="s">
        <v>72</v>
      </c>
      <c r="AS4402">
        <v>2969</v>
      </c>
      <c r="AT4402" s="4">
        <v>42682</v>
      </c>
      <c r="AU4402" t="s">
        <v>73</v>
      </c>
      <c r="AV4402">
        <v>2969</v>
      </c>
      <c r="AW4402" s="4">
        <v>42682</v>
      </c>
      <c r="BD4402">
        <v>0</v>
      </c>
      <c r="BN4402" t="s">
        <v>74</v>
      </c>
    </row>
    <row r="4403" spans="1:66">
      <c r="A4403">
        <v>101541</v>
      </c>
      <c r="B4403" s="3" t="s">
        <v>467</v>
      </c>
      <c r="C4403" s="1">
        <v>43300101</v>
      </c>
      <c r="D4403" t="s">
        <v>67</v>
      </c>
      <c r="H4403" t="str">
        <f t="shared" si="467"/>
        <v>08230471008</v>
      </c>
      <c r="I4403" t="str">
        <f t="shared" si="467"/>
        <v>08230471008</v>
      </c>
      <c r="K4403" t="str">
        <f>""</f>
        <v/>
      </c>
      <c r="M4403" t="s">
        <v>68</v>
      </c>
      <c r="N4403" t="str">
        <f t="shared" si="465"/>
        <v>FOR</v>
      </c>
      <c r="O4403" t="s">
        <v>69</v>
      </c>
      <c r="P4403" s="3" t="s">
        <v>75</v>
      </c>
      <c r="Q4403">
        <v>2015</v>
      </c>
      <c r="R4403" s="2">
        <v>42369</v>
      </c>
      <c r="S4403" s="2">
        <v>42369</v>
      </c>
      <c r="T4403" s="2">
        <v>42369</v>
      </c>
      <c r="U4403" s="2">
        <v>42429</v>
      </c>
      <c r="V4403" t="s">
        <v>71</v>
      </c>
      <c r="W4403" t="str">
        <f>"               59923"</f>
        <v xml:space="preserve">               59923</v>
      </c>
      <c r="X4403">
        <v>305</v>
      </c>
      <c r="Y4403">
        <v>0</v>
      </c>
      <c r="Z4403" s="3">
        <v>250</v>
      </c>
      <c r="AA4403">
        <v>253</v>
      </c>
      <c r="AB4403" s="5">
        <v>63250</v>
      </c>
      <c r="AC4403">
        <v>250</v>
      </c>
      <c r="AD4403">
        <v>253</v>
      </c>
      <c r="AE4403" s="1">
        <v>63250</v>
      </c>
      <c r="AF4403">
        <v>0</v>
      </c>
      <c r="AJ4403">
        <v>0</v>
      </c>
      <c r="AK4403">
        <v>0</v>
      </c>
      <c r="AL4403">
        <v>0</v>
      </c>
      <c r="AM4403">
        <v>0</v>
      </c>
      <c r="AN4403">
        <v>0</v>
      </c>
      <c r="AO4403">
        <v>0</v>
      </c>
      <c r="AP4403" s="2">
        <v>42746</v>
      </c>
      <c r="AQ4403" t="s">
        <v>72</v>
      </c>
      <c r="AR4403" t="s">
        <v>72</v>
      </c>
      <c r="AS4403">
        <v>2969</v>
      </c>
      <c r="AT4403" s="4">
        <v>42682</v>
      </c>
      <c r="AU4403" t="s">
        <v>73</v>
      </c>
      <c r="AV4403">
        <v>2969</v>
      </c>
      <c r="AW4403" s="4">
        <v>42682</v>
      </c>
      <c r="BD4403">
        <v>0</v>
      </c>
      <c r="BN4403" t="s">
        <v>74</v>
      </c>
    </row>
    <row r="4404" spans="1:66">
      <c r="A4404">
        <v>101541</v>
      </c>
      <c r="B4404" s="3" t="s">
        <v>467</v>
      </c>
      <c r="C4404" s="1">
        <v>43300101</v>
      </c>
      <c r="D4404" t="s">
        <v>67</v>
      </c>
      <c r="H4404" t="str">
        <f t="shared" si="467"/>
        <v>08230471008</v>
      </c>
      <c r="I4404" t="str">
        <f t="shared" si="467"/>
        <v>08230471008</v>
      </c>
      <c r="K4404" t="str">
        <f>""</f>
        <v/>
      </c>
      <c r="M4404" t="s">
        <v>68</v>
      </c>
      <c r="N4404" t="str">
        <f t="shared" si="465"/>
        <v>FOR</v>
      </c>
      <c r="O4404" t="s">
        <v>69</v>
      </c>
      <c r="P4404" s="3" t="s">
        <v>75</v>
      </c>
      <c r="Q4404">
        <v>2015</v>
      </c>
      <c r="R4404" s="2">
        <v>42369</v>
      </c>
      <c r="S4404" s="2">
        <v>42369</v>
      </c>
      <c r="T4404" s="2">
        <v>42369</v>
      </c>
      <c r="U4404" s="2">
        <v>42429</v>
      </c>
      <c r="V4404" t="s">
        <v>71</v>
      </c>
      <c r="W4404" t="str">
        <f>"               59924"</f>
        <v xml:space="preserve">               59924</v>
      </c>
      <c r="X4404">
        <v>305</v>
      </c>
      <c r="Y4404">
        <v>0</v>
      </c>
      <c r="Z4404" s="3">
        <v>250</v>
      </c>
      <c r="AA4404">
        <v>253</v>
      </c>
      <c r="AB4404" s="5">
        <v>63250</v>
      </c>
      <c r="AC4404">
        <v>250</v>
      </c>
      <c r="AD4404">
        <v>253</v>
      </c>
      <c r="AE4404" s="1">
        <v>63250</v>
      </c>
      <c r="AF4404">
        <v>0</v>
      </c>
      <c r="AJ4404">
        <v>0</v>
      </c>
      <c r="AK4404">
        <v>0</v>
      </c>
      <c r="AL4404">
        <v>0</v>
      </c>
      <c r="AM4404">
        <v>0</v>
      </c>
      <c r="AN4404">
        <v>0</v>
      </c>
      <c r="AO4404">
        <v>0</v>
      </c>
      <c r="AP4404" s="2">
        <v>42746</v>
      </c>
      <c r="AQ4404" t="s">
        <v>72</v>
      </c>
      <c r="AR4404" t="s">
        <v>72</v>
      </c>
      <c r="AS4404">
        <v>2969</v>
      </c>
      <c r="AT4404" s="4">
        <v>42682</v>
      </c>
      <c r="AU4404" t="s">
        <v>73</v>
      </c>
      <c r="AV4404">
        <v>2969</v>
      </c>
      <c r="AW4404" s="4">
        <v>42682</v>
      </c>
      <c r="BD4404">
        <v>0</v>
      </c>
      <c r="BN4404" t="s">
        <v>74</v>
      </c>
    </row>
    <row r="4405" spans="1:66">
      <c r="A4405">
        <v>101541</v>
      </c>
      <c r="B4405" s="3" t="s">
        <v>467</v>
      </c>
      <c r="C4405" s="1">
        <v>43300101</v>
      </c>
      <c r="D4405" t="s">
        <v>67</v>
      </c>
      <c r="H4405" t="str">
        <f t="shared" si="467"/>
        <v>08230471008</v>
      </c>
      <c r="I4405" t="str">
        <f t="shared" si="467"/>
        <v>08230471008</v>
      </c>
      <c r="K4405" t="str">
        <f>""</f>
        <v/>
      </c>
      <c r="M4405" t="s">
        <v>68</v>
      </c>
      <c r="N4405" t="str">
        <f t="shared" si="465"/>
        <v>FOR</v>
      </c>
      <c r="O4405" t="s">
        <v>69</v>
      </c>
      <c r="P4405" s="3" t="s">
        <v>75</v>
      </c>
      <c r="Q4405">
        <v>2015</v>
      </c>
      <c r="R4405" s="2">
        <v>42369</v>
      </c>
      <c r="S4405" s="2">
        <v>42369</v>
      </c>
      <c r="T4405" s="2">
        <v>42369</v>
      </c>
      <c r="U4405" s="2">
        <v>42429</v>
      </c>
      <c r="V4405" t="s">
        <v>71</v>
      </c>
      <c r="W4405" t="str">
        <f>"               59925"</f>
        <v xml:space="preserve">               59925</v>
      </c>
      <c r="X4405">
        <v>305</v>
      </c>
      <c r="Y4405">
        <v>0</v>
      </c>
      <c r="Z4405" s="3">
        <v>250</v>
      </c>
      <c r="AA4405">
        <v>253</v>
      </c>
      <c r="AB4405" s="5">
        <v>63250</v>
      </c>
      <c r="AC4405">
        <v>250</v>
      </c>
      <c r="AD4405">
        <v>253</v>
      </c>
      <c r="AE4405" s="1">
        <v>63250</v>
      </c>
      <c r="AF4405">
        <v>0</v>
      </c>
      <c r="AJ4405">
        <v>0</v>
      </c>
      <c r="AK4405">
        <v>0</v>
      </c>
      <c r="AL4405">
        <v>0</v>
      </c>
      <c r="AM4405">
        <v>0</v>
      </c>
      <c r="AN4405">
        <v>0</v>
      </c>
      <c r="AO4405">
        <v>0</v>
      </c>
      <c r="AP4405" s="2">
        <v>42746</v>
      </c>
      <c r="AQ4405" t="s">
        <v>72</v>
      </c>
      <c r="AR4405" t="s">
        <v>72</v>
      </c>
      <c r="AS4405">
        <v>2969</v>
      </c>
      <c r="AT4405" s="4">
        <v>42682</v>
      </c>
      <c r="AU4405" t="s">
        <v>73</v>
      </c>
      <c r="AV4405">
        <v>2969</v>
      </c>
      <c r="AW4405" s="4">
        <v>42682</v>
      </c>
      <c r="BD4405">
        <v>0</v>
      </c>
      <c r="BN4405" t="s">
        <v>74</v>
      </c>
    </row>
    <row r="4406" spans="1:66">
      <c r="A4406">
        <v>101541</v>
      </c>
      <c r="B4406" s="3" t="s">
        <v>467</v>
      </c>
      <c r="C4406" s="1">
        <v>43300101</v>
      </c>
      <c r="D4406" t="s">
        <v>67</v>
      </c>
      <c r="H4406" t="str">
        <f t="shared" si="467"/>
        <v>08230471008</v>
      </c>
      <c r="I4406" t="str">
        <f t="shared" si="467"/>
        <v>08230471008</v>
      </c>
      <c r="K4406" t="str">
        <f>""</f>
        <v/>
      </c>
      <c r="M4406" t="s">
        <v>68</v>
      </c>
      <c r="N4406" t="str">
        <f t="shared" si="465"/>
        <v>FOR</v>
      </c>
      <c r="O4406" t="s">
        <v>69</v>
      </c>
      <c r="P4406" s="3" t="s">
        <v>75</v>
      </c>
      <c r="Q4406">
        <v>2015</v>
      </c>
      <c r="R4406" s="2">
        <v>42369</v>
      </c>
      <c r="S4406" s="2">
        <v>42369</v>
      </c>
      <c r="T4406" s="2">
        <v>42369</v>
      </c>
      <c r="U4406" s="2">
        <v>42429</v>
      </c>
      <c r="V4406" t="s">
        <v>71</v>
      </c>
      <c r="W4406" t="str">
        <f>"               59926"</f>
        <v xml:space="preserve">               59926</v>
      </c>
      <c r="X4406">
        <v>305</v>
      </c>
      <c r="Y4406">
        <v>0</v>
      </c>
      <c r="Z4406" s="3">
        <v>250</v>
      </c>
      <c r="AA4406">
        <v>253</v>
      </c>
      <c r="AB4406" s="5">
        <v>63250</v>
      </c>
      <c r="AC4406">
        <v>250</v>
      </c>
      <c r="AD4406">
        <v>253</v>
      </c>
      <c r="AE4406" s="1">
        <v>63250</v>
      </c>
      <c r="AF4406">
        <v>0</v>
      </c>
      <c r="AJ4406">
        <v>0</v>
      </c>
      <c r="AK4406">
        <v>0</v>
      </c>
      <c r="AL4406">
        <v>0</v>
      </c>
      <c r="AM4406">
        <v>0</v>
      </c>
      <c r="AN4406">
        <v>0</v>
      </c>
      <c r="AO4406">
        <v>0</v>
      </c>
      <c r="AP4406" s="2">
        <v>42746</v>
      </c>
      <c r="AQ4406" t="s">
        <v>72</v>
      </c>
      <c r="AR4406" t="s">
        <v>72</v>
      </c>
      <c r="AS4406">
        <v>2969</v>
      </c>
      <c r="AT4406" s="4">
        <v>42682</v>
      </c>
      <c r="AU4406" t="s">
        <v>73</v>
      </c>
      <c r="AV4406">
        <v>2969</v>
      </c>
      <c r="AW4406" s="4">
        <v>42682</v>
      </c>
      <c r="BD4406">
        <v>0</v>
      </c>
      <c r="BN4406" t="s">
        <v>74</v>
      </c>
    </row>
    <row r="4407" spans="1:66">
      <c r="A4407">
        <v>101541</v>
      </c>
      <c r="B4407" s="3" t="s">
        <v>467</v>
      </c>
      <c r="C4407" s="1">
        <v>43300101</v>
      </c>
      <c r="D4407" t="s">
        <v>67</v>
      </c>
      <c r="H4407" t="str">
        <f t="shared" si="467"/>
        <v>08230471008</v>
      </c>
      <c r="I4407" t="str">
        <f t="shared" si="467"/>
        <v>08230471008</v>
      </c>
      <c r="K4407" t="str">
        <f>""</f>
        <v/>
      </c>
      <c r="M4407" t="s">
        <v>68</v>
      </c>
      <c r="N4407" t="str">
        <f t="shared" si="465"/>
        <v>FOR</v>
      </c>
      <c r="O4407" t="s">
        <v>69</v>
      </c>
      <c r="P4407" s="3" t="s">
        <v>75</v>
      </c>
      <c r="Q4407">
        <v>2016</v>
      </c>
      <c r="R4407" s="2">
        <v>42391</v>
      </c>
      <c r="S4407" s="2">
        <v>42401</v>
      </c>
      <c r="T4407" s="2">
        <v>42398</v>
      </c>
      <c r="U4407" s="2">
        <v>42458</v>
      </c>
      <c r="V4407" t="s">
        <v>71</v>
      </c>
      <c r="W4407" t="str">
        <f>"               50080"</f>
        <v xml:space="preserve">               50080</v>
      </c>
      <c r="X4407">
        <v>305</v>
      </c>
      <c r="Y4407">
        <v>0</v>
      </c>
      <c r="Z4407" s="3">
        <v>250</v>
      </c>
      <c r="AA4407">
        <v>224</v>
      </c>
      <c r="AB4407" s="5">
        <v>56000</v>
      </c>
      <c r="AC4407">
        <v>250</v>
      </c>
      <c r="AD4407">
        <v>224</v>
      </c>
      <c r="AE4407" s="1">
        <v>56000</v>
      </c>
      <c r="AF4407">
        <v>0</v>
      </c>
      <c r="AJ4407">
        <v>0</v>
      </c>
      <c r="AK4407">
        <v>0</v>
      </c>
      <c r="AL4407">
        <v>0</v>
      </c>
      <c r="AM4407">
        <v>305</v>
      </c>
      <c r="AN4407">
        <v>305</v>
      </c>
      <c r="AO4407">
        <v>305</v>
      </c>
      <c r="AP4407" s="2">
        <v>42746</v>
      </c>
      <c r="AQ4407" t="s">
        <v>72</v>
      </c>
      <c r="AR4407" t="s">
        <v>72</v>
      </c>
      <c r="AS4407">
        <v>2969</v>
      </c>
      <c r="AT4407" s="4">
        <v>42682</v>
      </c>
      <c r="AU4407" t="s">
        <v>73</v>
      </c>
      <c r="AV4407">
        <v>2969</v>
      </c>
      <c r="AW4407" s="4">
        <v>42682</v>
      </c>
      <c r="BD4407">
        <v>0</v>
      </c>
      <c r="BN4407" t="s">
        <v>74</v>
      </c>
    </row>
    <row r="4408" spans="1:66">
      <c r="A4408">
        <v>101541</v>
      </c>
      <c r="B4408" s="3" t="s">
        <v>467</v>
      </c>
      <c r="C4408" s="1">
        <v>43300101</v>
      </c>
      <c r="D4408" t="s">
        <v>67</v>
      </c>
      <c r="H4408" t="str">
        <f t="shared" si="467"/>
        <v>08230471008</v>
      </c>
      <c r="I4408" t="str">
        <f t="shared" si="467"/>
        <v>08230471008</v>
      </c>
      <c r="K4408" t="str">
        <f>""</f>
        <v/>
      </c>
      <c r="M4408" t="s">
        <v>68</v>
      </c>
      <c r="N4408" t="str">
        <f t="shared" si="465"/>
        <v>FOR</v>
      </c>
      <c r="O4408" t="s">
        <v>69</v>
      </c>
      <c r="P4408" s="3" t="s">
        <v>75</v>
      </c>
      <c r="Q4408">
        <v>2016</v>
      </c>
      <c r="R4408" s="2">
        <v>42391</v>
      </c>
      <c r="S4408" s="2">
        <v>42401</v>
      </c>
      <c r="T4408" s="2">
        <v>42398</v>
      </c>
      <c r="U4408" s="2">
        <v>42458</v>
      </c>
      <c r="V4408" t="s">
        <v>71</v>
      </c>
      <c r="W4408" t="str">
        <f>"               50081"</f>
        <v xml:space="preserve">               50081</v>
      </c>
      <c r="X4408">
        <v>305</v>
      </c>
      <c r="Y4408">
        <v>0</v>
      </c>
      <c r="Z4408" s="3">
        <v>250</v>
      </c>
      <c r="AA4408">
        <v>224</v>
      </c>
      <c r="AB4408" s="5">
        <v>56000</v>
      </c>
      <c r="AC4408">
        <v>250</v>
      </c>
      <c r="AD4408">
        <v>224</v>
      </c>
      <c r="AE4408" s="1">
        <v>56000</v>
      </c>
      <c r="AF4408">
        <v>0</v>
      </c>
      <c r="AJ4408">
        <v>0</v>
      </c>
      <c r="AK4408">
        <v>0</v>
      </c>
      <c r="AL4408">
        <v>0</v>
      </c>
      <c r="AM4408">
        <v>305</v>
      </c>
      <c r="AN4408">
        <v>305</v>
      </c>
      <c r="AO4408">
        <v>305</v>
      </c>
      <c r="AP4408" s="2">
        <v>42746</v>
      </c>
      <c r="AQ4408" t="s">
        <v>72</v>
      </c>
      <c r="AR4408" t="s">
        <v>72</v>
      </c>
      <c r="AS4408">
        <v>2969</v>
      </c>
      <c r="AT4408" s="4">
        <v>42682</v>
      </c>
      <c r="AU4408" t="s">
        <v>73</v>
      </c>
      <c r="AV4408">
        <v>2969</v>
      </c>
      <c r="AW4408" s="4">
        <v>42682</v>
      </c>
      <c r="BD4408">
        <v>0</v>
      </c>
      <c r="BN4408" t="s">
        <v>74</v>
      </c>
    </row>
    <row r="4409" spans="1:66">
      <c r="A4409">
        <v>101541</v>
      </c>
      <c r="B4409" s="3" t="s">
        <v>467</v>
      </c>
      <c r="C4409" s="1">
        <v>43300101</v>
      </c>
      <c r="D4409" t="s">
        <v>67</v>
      </c>
      <c r="H4409" t="str">
        <f t="shared" si="467"/>
        <v>08230471008</v>
      </c>
      <c r="I4409" t="str">
        <f t="shared" si="467"/>
        <v>08230471008</v>
      </c>
      <c r="K4409" t="str">
        <f>""</f>
        <v/>
      </c>
      <c r="M4409" t="s">
        <v>68</v>
      </c>
      <c r="N4409" t="str">
        <f t="shared" si="465"/>
        <v>FOR</v>
      </c>
      <c r="O4409" t="s">
        <v>69</v>
      </c>
      <c r="P4409" s="3" t="s">
        <v>75</v>
      </c>
      <c r="Q4409">
        <v>2016</v>
      </c>
      <c r="R4409" s="2">
        <v>42391</v>
      </c>
      <c r="S4409" s="2">
        <v>42401</v>
      </c>
      <c r="T4409" s="2">
        <v>42398</v>
      </c>
      <c r="U4409" s="2">
        <v>42458</v>
      </c>
      <c r="V4409" t="s">
        <v>71</v>
      </c>
      <c r="W4409" t="str">
        <f>"               50082"</f>
        <v xml:space="preserve">               50082</v>
      </c>
      <c r="X4409">
        <v>305</v>
      </c>
      <c r="Y4409">
        <v>0</v>
      </c>
      <c r="Z4409" s="3">
        <v>250</v>
      </c>
      <c r="AA4409">
        <v>224</v>
      </c>
      <c r="AB4409" s="5">
        <v>56000</v>
      </c>
      <c r="AC4409">
        <v>250</v>
      </c>
      <c r="AD4409">
        <v>224</v>
      </c>
      <c r="AE4409" s="1">
        <v>56000</v>
      </c>
      <c r="AF4409">
        <v>0</v>
      </c>
      <c r="AJ4409">
        <v>0</v>
      </c>
      <c r="AK4409">
        <v>0</v>
      </c>
      <c r="AL4409">
        <v>0</v>
      </c>
      <c r="AM4409">
        <v>305</v>
      </c>
      <c r="AN4409">
        <v>305</v>
      </c>
      <c r="AO4409">
        <v>305</v>
      </c>
      <c r="AP4409" s="2">
        <v>42746</v>
      </c>
      <c r="AQ4409" t="s">
        <v>72</v>
      </c>
      <c r="AR4409" t="s">
        <v>72</v>
      </c>
      <c r="AS4409">
        <v>2969</v>
      </c>
      <c r="AT4409" s="4">
        <v>42682</v>
      </c>
      <c r="AU4409" t="s">
        <v>73</v>
      </c>
      <c r="AV4409">
        <v>2969</v>
      </c>
      <c r="AW4409" s="4">
        <v>42682</v>
      </c>
      <c r="BD4409">
        <v>0</v>
      </c>
      <c r="BN4409" t="s">
        <v>74</v>
      </c>
    </row>
    <row r="4410" spans="1:66">
      <c r="A4410">
        <v>101541</v>
      </c>
      <c r="B4410" s="3" t="s">
        <v>467</v>
      </c>
      <c r="C4410" s="1">
        <v>43300101</v>
      </c>
      <c r="D4410" t="s">
        <v>67</v>
      </c>
      <c r="H4410" t="str">
        <f t="shared" si="467"/>
        <v>08230471008</v>
      </c>
      <c r="I4410" t="str">
        <f t="shared" si="467"/>
        <v>08230471008</v>
      </c>
      <c r="K4410" t="str">
        <f>""</f>
        <v/>
      </c>
      <c r="M4410" t="s">
        <v>68</v>
      </c>
      <c r="N4410" t="str">
        <f t="shared" si="465"/>
        <v>FOR</v>
      </c>
      <c r="O4410" t="s">
        <v>69</v>
      </c>
      <c r="P4410" s="3" t="s">
        <v>75</v>
      </c>
      <c r="Q4410">
        <v>2016</v>
      </c>
      <c r="R4410" s="2">
        <v>42391</v>
      </c>
      <c r="S4410" s="2">
        <v>42401</v>
      </c>
      <c r="T4410" s="2">
        <v>42398</v>
      </c>
      <c r="U4410" s="2">
        <v>42458</v>
      </c>
      <c r="V4410" t="s">
        <v>71</v>
      </c>
      <c r="W4410" t="str">
        <f>"               50083"</f>
        <v xml:space="preserve">               50083</v>
      </c>
      <c r="X4410">
        <v>305</v>
      </c>
      <c r="Y4410">
        <v>0</v>
      </c>
      <c r="Z4410" s="3">
        <v>250</v>
      </c>
      <c r="AA4410">
        <v>224</v>
      </c>
      <c r="AB4410" s="5">
        <v>56000</v>
      </c>
      <c r="AC4410">
        <v>250</v>
      </c>
      <c r="AD4410">
        <v>224</v>
      </c>
      <c r="AE4410" s="1">
        <v>56000</v>
      </c>
      <c r="AF4410">
        <v>0</v>
      </c>
      <c r="AJ4410">
        <v>0</v>
      </c>
      <c r="AK4410">
        <v>0</v>
      </c>
      <c r="AL4410">
        <v>0</v>
      </c>
      <c r="AM4410">
        <v>305</v>
      </c>
      <c r="AN4410">
        <v>305</v>
      </c>
      <c r="AO4410">
        <v>305</v>
      </c>
      <c r="AP4410" s="2">
        <v>42746</v>
      </c>
      <c r="AQ4410" t="s">
        <v>72</v>
      </c>
      <c r="AR4410" t="s">
        <v>72</v>
      </c>
      <c r="AS4410">
        <v>2969</v>
      </c>
      <c r="AT4410" s="4">
        <v>42682</v>
      </c>
      <c r="AU4410" t="s">
        <v>73</v>
      </c>
      <c r="AV4410">
        <v>2969</v>
      </c>
      <c r="AW4410" s="4">
        <v>42682</v>
      </c>
      <c r="BD4410">
        <v>0</v>
      </c>
      <c r="BN4410" t="s">
        <v>74</v>
      </c>
    </row>
    <row r="4411" spans="1:66">
      <c r="A4411">
        <v>101541</v>
      </c>
      <c r="B4411" s="3" t="s">
        <v>467</v>
      </c>
      <c r="C4411" s="1">
        <v>43300101</v>
      </c>
      <c r="D4411" t="s">
        <v>67</v>
      </c>
      <c r="H4411" t="str">
        <f t="shared" si="467"/>
        <v>08230471008</v>
      </c>
      <c r="I4411" t="str">
        <f t="shared" si="467"/>
        <v>08230471008</v>
      </c>
      <c r="K4411" t="str">
        <f>""</f>
        <v/>
      </c>
      <c r="M4411" t="s">
        <v>68</v>
      </c>
      <c r="N4411" t="str">
        <f t="shared" si="465"/>
        <v>FOR</v>
      </c>
      <c r="O4411" t="s">
        <v>69</v>
      </c>
      <c r="P4411" s="3" t="s">
        <v>75</v>
      </c>
      <c r="Q4411">
        <v>2016</v>
      </c>
      <c r="R4411" s="2">
        <v>42391</v>
      </c>
      <c r="S4411" s="2">
        <v>42403</v>
      </c>
      <c r="T4411" s="2">
        <v>42398</v>
      </c>
      <c r="U4411" s="2">
        <v>42458</v>
      </c>
      <c r="V4411" t="s">
        <v>71</v>
      </c>
      <c r="W4411" t="str">
        <f>"               50084"</f>
        <v xml:space="preserve">               50084</v>
      </c>
      <c r="X4411">
        <v>305</v>
      </c>
      <c r="Y4411">
        <v>0</v>
      </c>
      <c r="Z4411" s="3">
        <v>250</v>
      </c>
      <c r="AA4411">
        <v>224</v>
      </c>
      <c r="AB4411" s="5">
        <v>56000</v>
      </c>
      <c r="AC4411">
        <v>250</v>
      </c>
      <c r="AD4411">
        <v>224</v>
      </c>
      <c r="AE4411" s="1">
        <v>56000</v>
      </c>
      <c r="AF4411">
        <v>0</v>
      </c>
      <c r="AJ4411">
        <v>0</v>
      </c>
      <c r="AK4411">
        <v>0</v>
      </c>
      <c r="AL4411">
        <v>0</v>
      </c>
      <c r="AM4411">
        <v>305</v>
      </c>
      <c r="AN4411">
        <v>305</v>
      </c>
      <c r="AO4411">
        <v>305</v>
      </c>
      <c r="AP4411" s="2">
        <v>42746</v>
      </c>
      <c r="AQ4411" t="s">
        <v>72</v>
      </c>
      <c r="AR4411" t="s">
        <v>72</v>
      </c>
      <c r="AS4411">
        <v>2969</v>
      </c>
      <c r="AT4411" s="4">
        <v>42682</v>
      </c>
      <c r="AU4411" t="s">
        <v>73</v>
      </c>
      <c r="AV4411">
        <v>2969</v>
      </c>
      <c r="AW4411" s="4">
        <v>42682</v>
      </c>
      <c r="BD4411">
        <v>0</v>
      </c>
      <c r="BN4411" t="s">
        <v>74</v>
      </c>
    </row>
    <row r="4412" spans="1:66">
      <c r="A4412">
        <v>101541</v>
      </c>
      <c r="B4412" s="3" t="s">
        <v>467</v>
      </c>
      <c r="C4412" s="1">
        <v>43300101</v>
      </c>
      <c r="D4412" t="s">
        <v>67</v>
      </c>
      <c r="H4412" t="str">
        <f t="shared" si="467"/>
        <v>08230471008</v>
      </c>
      <c r="I4412" t="str">
        <f t="shared" si="467"/>
        <v>08230471008</v>
      </c>
      <c r="K4412" t="str">
        <f>""</f>
        <v/>
      </c>
      <c r="M4412" t="s">
        <v>68</v>
      </c>
      <c r="N4412" t="str">
        <f t="shared" si="465"/>
        <v>FOR</v>
      </c>
      <c r="O4412" t="s">
        <v>69</v>
      </c>
      <c r="P4412" s="3" t="s">
        <v>75</v>
      </c>
      <c r="Q4412">
        <v>2016</v>
      </c>
      <c r="R4412" s="2">
        <v>42391</v>
      </c>
      <c r="S4412" s="2">
        <v>42401</v>
      </c>
      <c r="T4412" s="2">
        <v>42398</v>
      </c>
      <c r="U4412" s="2">
        <v>42458</v>
      </c>
      <c r="V4412" t="s">
        <v>71</v>
      </c>
      <c r="W4412" t="str">
        <f>"               50085"</f>
        <v xml:space="preserve">               50085</v>
      </c>
      <c r="X4412">
        <v>305</v>
      </c>
      <c r="Y4412">
        <v>0</v>
      </c>
      <c r="Z4412" s="3">
        <v>250</v>
      </c>
      <c r="AA4412">
        <v>224</v>
      </c>
      <c r="AB4412" s="5">
        <v>56000</v>
      </c>
      <c r="AC4412">
        <v>250</v>
      </c>
      <c r="AD4412">
        <v>224</v>
      </c>
      <c r="AE4412" s="1">
        <v>56000</v>
      </c>
      <c r="AF4412">
        <v>0</v>
      </c>
      <c r="AJ4412">
        <v>0</v>
      </c>
      <c r="AK4412">
        <v>0</v>
      </c>
      <c r="AL4412">
        <v>0</v>
      </c>
      <c r="AM4412">
        <v>305</v>
      </c>
      <c r="AN4412">
        <v>305</v>
      </c>
      <c r="AO4412">
        <v>305</v>
      </c>
      <c r="AP4412" s="2">
        <v>42746</v>
      </c>
      <c r="AQ4412" t="s">
        <v>72</v>
      </c>
      <c r="AR4412" t="s">
        <v>72</v>
      </c>
      <c r="AS4412">
        <v>2969</v>
      </c>
      <c r="AT4412" s="4">
        <v>42682</v>
      </c>
      <c r="AU4412" t="s">
        <v>73</v>
      </c>
      <c r="AV4412">
        <v>2969</v>
      </c>
      <c r="AW4412" s="4">
        <v>42682</v>
      </c>
      <c r="BD4412">
        <v>0</v>
      </c>
      <c r="BN4412" t="s">
        <v>74</v>
      </c>
    </row>
    <row r="4413" spans="1:66">
      <c r="A4413">
        <v>101541</v>
      </c>
      <c r="B4413" s="3" t="s">
        <v>467</v>
      </c>
      <c r="C4413" s="1">
        <v>43300101</v>
      </c>
      <c r="D4413" t="s">
        <v>67</v>
      </c>
      <c r="H4413" t="str">
        <f t="shared" si="467"/>
        <v>08230471008</v>
      </c>
      <c r="I4413" t="str">
        <f t="shared" si="467"/>
        <v>08230471008</v>
      </c>
      <c r="K4413" t="str">
        <f>""</f>
        <v/>
      </c>
      <c r="M4413" t="s">
        <v>68</v>
      </c>
      <c r="N4413" t="str">
        <f t="shared" si="465"/>
        <v>FOR</v>
      </c>
      <c r="O4413" t="s">
        <v>69</v>
      </c>
      <c r="P4413" s="3" t="s">
        <v>75</v>
      </c>
      <c r="Q4413">
        <v>2016</v>
      </c>
      <c r="R4413" s="2">
        <v>42391</v>
      </c>
      <c r="S4413" s="2">
        <v>42401</v>
      </c>
      <c r="T4413" s="2">
        <v>42398</v>
      </c>
      <c r="U4413" s="2">
        <v>42458</v>
      </c>
      <c r="V4413" t="s">
        <v>71</v>
      </c>
      <c r="W4413" t="str">
        <f>"               50086"</f>
        <v xml:space="preserve">               50086</v>
      </c>
      <c r="X4413">
        <v>305</v>
      </c>
      <c r="Y4413">
        <v>0</v>
      </c>
      <c r="Z4413" s="3">
        <v>250</v>
      </c>
      <c r="AA4413">
        <v>224</v>
      </c>
      <c r="AB4413" s="5">
        <v>56000</v>
      </c>
      <c r="AC4413">
        <v>250</v>
      </c>
      <c r="AD4413">
        <v>224</v>
      </c>
      <c r="AE4413" s="1">
        <v>56000</v>
      </c>
      <c r="AF4413">
        <v>0</v>
      </c>
      <c r="AJ4413">
        <v>0</v>
      </c>
      <c r="AK4413">
        <v>0</v>
      </c>
      <c r="AL4413">
        <v>0</v>
      </c>
      <c r="AM4413">
        <v>305</v>
      </c>
      <c r="AN4413">
        <v>305</v>
      </c>
      <c r="AO4413">
        <v>305</v>
      </c>
      <c r="AP4413" s="2">
        <v>42746</v>
      </c>
      <c r="AQ4413" t="s">
        <v>72</v>
      </c>
      <c r="AR4413" t="s">
        <v>72</v>
      </c>
      <c r="AS4413">
        <v>2969</v>
      </c>
      <c r="AT4413" s="4">
        <v>42682</v>
      </c>
      <c r="AU4413" t="s">
        <v>73</v>
      </c>
      <c r="AV4413">
        <v>2969</v>
      </c>
      <c r="AW4413" s="4">
        <v>42682</v>
      </c>
      <c r="BD4413">
        <v>0</v>
      </c>
      <c r="BN4413" t="s">
        <v>74</v>
      </c>
    </row>
    <row r="4414" spans="1:66">
      <c r="A4414">
        <v>101541</v>
      </c>
      <c r="B4414" s="3" t="s">
        <v>467</v>
      </c>
      <c r="C4414" s="1">
        <v>43300101</v>
      </c>
      <c r="D4414" t="s">
        <v>67</v>
      </c>
      <c r="H4414" t="str">
        <f t="shared" si="467"/>
        <v>08230471008</v>
      </c>
      <c r="I4414" t="str">
        <f t="shared" si="467"/>
        <v>08230471008</v>
      </c>
      <c r="K4414" t="str">
        <f>""</f>
        <v/>
      </c>
      <c r="M4414" t="s">
        <v>68</v>
      </c>
      <c r="N4414" t="str">
        <f t="shared" si="465"/>
        <v>FOR</v>
      </c>
      <c r="O4414" t="s">
        <v>69</v>
      </c>
      <c r="P4414" s="3" t="s">
        <v>75</v>
      </c>
      <c r="Q4414">
        <v>2016</v>
      </c>
      <c r="R4414" s="2">
        <v>42391</v>
      </c>
      <c r="S4414" s="2">
        <v>42401</v>
      </c>
      <c r="T4414" s="2">
        <v>42398</v>
      </c>
      <c r="U4414" s="2">
        <v>42458</v>
      </c>
      <c r="V4414" t="s">
        <v>71</v>
      </c>
      <c r="W4414" t="str">
        <f>"               50087"</f>
        <v xml:space="preserve">               50087</v>
      </c>
      <c r="X4414">
        <v>305</v>
      </c>
      <c r="Y4414">
        <v>0</v>
      </c>
      <c r="Z4414" s="3">
        <v>250</v>
      </c>
      <c r="AA4414">
        <v>224</v>
      </c>
      <c r="AB4414" s="5">
        <v>56000</v>
      </c>
      <c r="AC4414">
        <v>250</v>
      </c>
      <c r="AD4414">
        <v>224</v>
      </c>
      <c r="AE4414" s="1">
        <v>56000</v>
      </c>
      <c r="AF4414">
        <v>0</v>
      </c>
      <c r="AJ4414">
        <v>0</v>
      </c>
      <c r="AK4414">
        <v>0</v>
      </c>
      <c r="AL4414">
        <v>0</v>
      </c>
      <c r="AM4414">
        <v>305</v>
      </c>
      <c r="AN4414">
        <v>305</v>
      </c>
      <c r="AO4414">
        <v>305</v>
      </c>
      <c r="AP4414" s="2">
        <v>42746</v>
      </c>
      <c r="AQ4414" t="s">
        <v>72</v>
      </c>
      <c r="AR4414" t="s">
        <v>72</v>
      </c>
      <c r="AS4414">
        <v>2969</v>
      </c>
      <c r="AT4414" s="4">
        <v>42682</v>
      </c>
      <c r="AU4414" t="s">
        <v>73</v>
      </c>
      <c r="AV4414">
        <v>2969</v>
      </c>
      <c r="AW4414" s="4">
        <v>42682</v>
      </c>
      <c r="BD4414">
        <v>0</v>
      </c>
      <c r="BN4414" t="s">
        <v>74</v>
      </c>
    </row>
    <row r="4415" spans="1:66">
      <c r="A4415">
        <v>101541</v>
      </c>
      <c r="B4415" s="3" t="s">
        <v>467</v>
      </c>
      <c r="C4415" s="1">
        <v>43300101</v>
      </c>
      <c r="D4415" t="s">
        <v>67</v>
      </c>
      <c r="H4415" t="str">
        <f t="shared" si="467"/>
        <v>08230471008</v>
      </c>
      <c r="I4415" t="str">
        <f t="shared" si="467"/>
        <v>08230471008</v>
      </c>
      <c r="K4415" t="str">
        <f>""</f>
        <v/>
      </c>
      <c r="M4415" t="s">
        <v>68</v>
      </c>
      <c r="N4415" t="str">
        <f t="shared" si="465"/>
        <v>FOR</v>
      </c>
      <c r="O4415" t="s">
        <v>69</v>
      </c>
      <c r="P4415" s="3" t="s">
        <v>75</v>
      </c>
      <c r="Q4415">
        <v>2016</v>
      </c>
      <c r="R4415" s="2">
        <v>42391</v>
      </c>
      <c r="S4415" s="2">
        <v>42401</v>
      </c>
      <c r="T4415" s="2">
        <v>42398</v>
      </c>
      <c r="U4415" s="2">
        <v>42458</v>
      </c>
      <c r="V4415" t="s">
        <v>71</v>
      </c>
      <c r="W4415" t="str">
        <f>"               50088"</f>
        <v xml:space="preserve">               50088</v>
      </c>
      <c r="X4415">
        <v>305</v>
      </c>
      <c r="Y4415">
        <v>0</v>
      </c>
      <c r="Z4415" s="3">
        <v>250</v>
      </c>
      <c r="AA4415">
        <v>224</v>
      </c>
      <c r="AB4415" s="5">
        <v>56000</v>
      </c>
      <c r="AC4415">
        <v>250</v>
      </c>
      <c r="AD4415">
        <v>224</v>
      </c>
      <c r="AE4415" s="1">
        <v>56000</v>
      </c>
      <c r="AF4415">
        <v>0</v>
      </c>
      <c r="AJ4415">
        <v>0</v>
      </c>
      <c r="AK4415">
        <v>0</v>
      </c>
      <c r="AL4415">
        <v>0</v>
      </c>
      <c r="AM4415">
        <v>305</v>
      </c>
      <c r="AN4415">
        <v>305</v>
      </c>
      <c r="AO4415">
        <v>305</v>
      </c>
      <c r="AP4415" s="2">
        <v>42746</v>
      </c>
      <c r="AQ4415" t="s">
        <v>72</v>
      </c>
      <c r="AR4415" t="s">
        <v>72</v>
      </c>
      <c r="AS4415">
        <v>2969</v>
      </c>
      <c r="AT4415" s="4">
        <v>42682</v>
      </c>
      <c r="AU4415" t="s">
        <v>73</v>
      </c>
      <c r="AV4415">
        <v>2969</v>
      </c>
      <c r="AW4415" s="4">
        <v>42682</v>
      </c>
      <c r="BD4415">
        <v>0</v>
      </c>
      <c r="BN4415" t="s">
        <v>74</v>
      </c>
    </row>
    <row r="4416" spans="1:66">
      <c r="A4416">
        <v>101541</v>
      </c>
      <c r="B4416" s="3" t="s">
        <v>467</v>
      </c>
      <c r="C4416" s="1">
        <v>43300101</v>
      </c>
      <c r="D4416" t="s">
        <v>67</v>
      </c>
      <c r="H4416" t="str">
        <f t="shared" si="467"/>
        <v>08230471008</v>
      </c>
      <c r="I4416" t="str">
        <f t="shared" si="467"/>
        <v>08230471008</v>
      </c>
      <c r="K4416" t="str">
        <f>""</f>
        <v/>
      </c>
      <c r="M4416" t="s">
        <v>68</v>
      </c>
      <c r="N4416" t="str">
        <f t="shared" si="465"/>
        <v>FOR</v>
      </c>
      <c r="O4416" t="s">
        <v>69</v>
      </c>
      <c r="P4416" s="3" t="s">
        <v>75</v>
      </c>
      <c r="Q4416">
        <v>2016</v>
      </c>
      <c r="R4416" s="2">
        <v>42391</v>
      </c>
      <c r="S4416" s="2">
        <v>42401</v>
      </c>
      <c r="T4416" s="2">
        <v>42398</v>
      </c>
      <c r="U4416" s="2">
        <v>42458</v>
      </c>
      <c r="V4416" t="s">
        <v>71</v>
      </c>
      <c r="W4416" t="str">
        <f>"               50089"</f>
        <v xml:space="preserve">               50089</v>
      </c>
      <c r="X4416">
        <v>728</v>
      </c>
      <c r="Y4416">
        <v>0</v>
      </c>
      <c r="Z4416" s="3">
        <v>700</v>
      </c>
      <c r="AA4416">
        <v>224</v>
      </c>
      <c r="AB4416" s="5">
        <v>156800</v>
      </c>
      <c r="AC4416">
        <v>700</v>
      </c>
      <c r="AD4416">
        <v>224</v>
      </c>
      <c r="AE4416" s="1">
        <v>156800</v>
      </c>
      <c r="AF4416">
        <v>0</v>
      </c>
      <c r="AJ4416">
        <v>0</v>
      </c>
      <c r="AK4416">
        <v>0</v>
      </c>
      <c r="AL4416">
        <v>0</v>
      </c>
      <c r="AM4416">
        <v>728</v>
      </c>
      <c r="AN4416">
        <v>728</v>
      </c>
      <c r="AO4416">
        <v>728</v>
      </c>
      <c r="AP4416" s="2">
        <v>42746</v>
      </c>
      <c r="AQ4416" t="s">
        <v>72</v>
      </c>
      <c r="AR4416" t="s">
        <v>72</v>
      </c>
      <c r="AS4416">
        <v>2969</v>
      </c>
      <c r="AT4416" s="4">
        <v>42682</v>
      </c>
      <c r="AU4416" t="s">
        <v>73</v>
      </c>
      <c r="AV4416">
        <v>2969</v>
      </c>
      <c r="AW4416" s="4">
        <v>42682</v>
      </c>
      <c r="BD4416">
        <v>0</v>
      </c>
      <c r="BN4416" t="s">
        <v>74</v>
      </c>
    </row>
    <row r="4417" spans="1:66">
      <c r="A4417">
        <v>101541</v>
      </c>
      <c r="B4417" s="3" t="s">
        <v>467</v>
      </c>
      <c r="C4417" s="1">
        <v>43300101</v>
      </c>
      <c r="D4417" t="s">
        <v>67</v>
      </c>
      <c r="H4417" t="str">
        <f t="shared" si="467"/>
        <v>08230471008</v>
      </c>
      <c r="I4417" t="str">
        <f t="shared" si="467"/>
        <v>08230471008</v>
      </c>
      <c r="K4417" t="str">
        <f>""</f>
        <v/>
      </c>
      <c r="M4417" t="s">
        <v>68</v>
      </c>
      <c r="N4417" t="str">
        <f t="shared" si="465"/>
        <v>FOR</v>
      </c>
      <c r="O4417" t="s">
        <v>69</v>
      </c>
      <c r="P4417" s="3" t="s">
        <v>75</v>
      </c>
      <c r="Q4417">
        <v>2016</v>
      </c>
      <c r="R4417" s="2">
        <v>42391</v>
      </c>
      <c r="S4417" s="2">
        <v>42401</v>
      </c>
      <c r="T4417" s="2">
        <v>42398</v>
      </c>
      <c r="U4417" s="2">
        <v>42458</v>
      </c>
      <c r="V4417" t="s">
        <v>71</v>
      </c>
      <c r="W4417" t="str">
        <f>"               50090"</f>
        <v xml:space="preserve">               50090</v>
      </c>
      <c r="X4417">
        <v>305</v>
      </c>
      <c r="Y4417">
        <v>0</v>
      </c>
      <c r="Z4417" s="3">
        <v>250</v>
      </c>
      <c r="AA4417">
        <v>224</v>
      </c>
      <c r="AB4417" s="5">
        <v>56000</v>
      </c>
      <c r="AC4417">
        <v>250</v>
      </c>
      <c r="AD4417">
        <v>224</v>
      </c>
      <c r="AE4417" s="1">
        <v>56000</v>
      </c>
      <c r="AF4417">
        <v>0</v>
      </c>
      <c r="AJ4417">
        <v>0</v>
      </c>
      <c r="AK4417">
        <v>0</v>
      </c>
      <c r="AL4417">
        <v>0</v>
      </c>
      <c r="AM4417">
        <v>305</v>
      </c>
      <c r="AN4417">
        <v>305</v>
      </c>
      <c r="AO4417">
        <v>305</v>
      </c>
      <c r="AP4417" s="2">
        <v>42746</v>
      </c>
      <c r="AQ4417" t="s">
        <v>72</v>
      </c>
      <c r="AR4417" t="s">
        <v>72</v>
      </c>
      <c r="AS4417">
        <v>2969</v>
      </c>
      <c r="AT4417" s="4">
        <v>42682</v>
      </c>
      <c r="AU4417" t="s">
        <v>73</v>
      </c>
      <c r="AV4417">
        <v>2969</v>
      </c>
      <c r="AW4417" s="4">
        <v>42682</v>
      </c>
      <c r="BD4417">
        <v>0</v>
      </c>
      <c r="BN4417" t="s">
        <v>74</v>
      </c>
    </row>
    <row r="4418" spans="1:66">
      <c r="A4418">
        <v>101541</v>
      </c>
      <c r="B4418" s="3" t="s">
        <v>467</v>
      </c>
      <c r="C4418" s="1">
        <v>43300101</v>
      </c>
      <c r="D4418" t="s">
        <v>67</v>
      </c>
      <c r="H4418" t="str">
        <f t="shared" ref="H4418:I4437" si="468">"08230471008"</f>
        <v>08230471008</v>
      </c>
      <c r="I4418" t="str">
        <f t="shared" si="468"/>
        <v>08230471008</v>
      </c>
      <c r="K4418" t="str">
        <f>""</f>
        <v/>
      </c>
      <c r="M4418" t="s">
        <v>68</v>
      </c>
      <c r="N4418" t="str">
        <f t="shared" si="465"/>
        <v>FOR</v>
      </c>
      <c r="O4418" t="s">
        <v>69</v>
      </c>
      <c r="P4418" s="3" t="s">
        <v>75</v>
      </c>
      <c r="Q4418">
        <v>2016</v>
      </c>
      <c r="R4418" s="2">
        <v>42391</v>
      </c>
      <c r="S4418" s="2">
        <v>42403</v>
      </c>
      <c r="T4418" s="2">
        <v>42398</v>
      </c>
      <c r="U4418" s="2">
        <v>42458</v>
      </c>
      <c r="V4418" t="s">
        <v>71</v>
      </c>
      <c r="W4418" t="str">
        <f>"               50091"</f>
        <v xml:space="preserve">               50091</v>
      </c>
      <c r="X4418">
        <v>728</v>
      </c>
      <c r="Y4418">
        <v>0</v>
      </c>
      <c r="Z4418" s="3">
        <v>700</v>
      </c>
      <c r="AA4418">
        <v>224</v>
      </c>
      <c r="AB4418" s="5">
        <v>156800</v>
      </c>
      <c r="AC4418">
        <v>700</v>
      </c>
      <c r="AD4418">
        <v>224</v>
      </c>
      <c r="AE4418" s="1">
        <v>156800</v>
      </c>
      <c r="AF4418">
        <v>0</v>
      </c>
      <c r="AJ4418">
        <v>0</v>
      </c>
      <c r="AK4418">
        <v>0</v>
      </c>
      <c r="AL4418">
        <v>0</v>
      </c>
      <c r="AM4418">
        <v>728</v>
      </c>
      <c r="AN4418">
        <v>728</v>
      </c>
      <c r="AO4418">
        <v>728</v>
      </c>
      <c r="AP4418" s="2">
        <v>42746</v>
      </c>
      <c r="AQ4418" t="s">
        <v>72</v>
      </c>
      <c r="AR4418" t="s">
        <v>72</v>
      </c>
      <c r="AS4418">
        <v>2969</v>
      </c>
      <c r="AT4418" s="4">
        <v>42682</v>
      </c>
      <c r="AU4418" t="s">
        <v>73</v>
      </c>
      <c r="AV4418">
        <v>2969</v>
      </c>
      <c r="AW4418" s="4">
        <v>42682</v>
      </c>
      <c r="BD4418">
        <v>0</v>
      </c>
      <c r="BN4418" t="s">
        <v>74</v>
      </c>
    </row>
    <row r="4419" spans="1:66">
      <c r="A4419">
        <v>101541</v>
      </c>
      <c r="B4419" s="3" t="s">
        <v>467</v>
      </c>
      <c r="C4419" s="1">
        <v>43300101</v>
      </c>
      <c r="D4419" t="s">
        <v>67</v>
      </c>
      <c r="H4419" t="str">
        <f t="shared" si="468"/>
        <v>08230471008</v>
      </c>
      <c r="I4419" t="str">
        <f t="shared" si="468"/>
        <v>08230471008</v>
      </c>
      <c r="K4419" t="str">
        <f>""</f>
        <v/>
      </c>
      <c r="M4419" t="s">
        <v>68</v>
      </c>
      <c r="N4419" t="str">
        <f t="shared" si="465"/>
        <v>FOR</v>
      </c>
      <c r="O4419" t="s">
        <v>69</v>
      </c>
      <c r="P4419" s="3" t="s">
        <v>75</v>
      </c>
      <c r="Q4419">
        <v>2016</v>
      </c>
      <c r="R4419" s="2">
        <v>42391</v>
      </c>
      <c r="S4419" s="2">
        <v>42401</v>
      </c>
      <c r="T4419" s="2">
        <v>42398</v>
      </c>
      <c r="U4419" s="2">
        <v>42458</v>
      </c>
      <c r="V4419" t="s">
        <v>71</v>
      </c>
      <c r="W4419" t="str">
        <f>"               50092"</f>
        <v xml:space="preserve">               50092</v>
      </c>
      <c r="X4419">
        <v>305</v>
      </c>
      <c r="Y4419">
        <v>0</v>
      </c>
      <c r="Z4419" s="3">
        <v>250</v>
      </c>
      <c r="AA4419">
        <v>224</v>
      </c>
      <c r="AB4419" s="5">
        <v>56000</v>
      </c>
      <c r="AC4419">
        <v>250</v>
      </c>
      <c r="AD4419">
        <v>224</v>
      </c>
      <c r="AE4419" s="1">
        <v>56000</v>
      </c>
      <c r="AF4419">
        <v>0</v>
      </c>
      <c r="AJ4419">
        <v>0</v>
      </c>
      <c r="AK4419">
        <v>0</v>
      </c>
      <c r="AL4419">
        <v>0</v>
      </c>
      <c r="AM4419">
        <v>305</v>
      </c>
      <c r="AN4419">
        <v>305</v>
      </c>
      <c r="AO4419">
        <v>305</v>
      </c>
      <c r="AP4419" s="2">
        <v>42746</v>
      </c>
      <c r="AQ4419" t="s">
        <v>72</v>
      </c>
      <c r="AR4419" t="s">
        <v>72</v>
      </c>
      <c r="AS4419">
        <v>2969</v>
      </c>
      <c r="AT4419" s="4">
        <v>42682</v>
      </c>
      <c r="AU4419" t="s">
        <v>73</v>
      </c>
      <c r="AV4419">
        <v>2969</v>
      </c>
      <c r="AW4419" s="4">
        <v>42682</v>
      </c>
      <c r="BD4419">
        <v>0</v>
      </c>
      <c r="BN4419" t="s">
        <v>74</v>
      </c>
    </row>
    <row r="4420" spans="1:66">
      <c r="A4420">
        <v>101541</v>
      </c>
      <c r="B4420" s="3" t="s">
        <v>467</v>
      </c>
      <c r="C4420" s="1">
        <v>43300101</v>
      </c>
      <c r="D4420" t="s">
        <v>67</v>
      </c>
      <c r="H4420" t="str">
        <f t="shared" si="468"/>
        <v>08230471008</v>
      </c>
      <c r="I4420" t="str">
        <f t="shared" si="468"/>
        <v>08230471008</v>
      </c>
      <c r="K4420" t="str">
        <f>""</f>
        <v/>
      </c>
      <c r="M4420" t="s">
        <v>68</v>
      </c>
      <c r="N4420" t="str">
        <f t="shared" si="465"/>
        <v>FOR</v>
      </c>
      <c r="O4420" t="s">
        <v>69</v>
      </c>
      <c r="P4420" s="3" t="s">
        <v>75</v>
      </c>
      <c r="Q4420">
        <v>2016</v>
      </c>
      <c r="R4420" s="2">
        <v>42391</v>
      </c>
      <c r="S4420" s="2">
        <v>42401</v>
      </c>
      <c r="T4420" s="2">
        <v>42398</v>
      </c>
      <c r="U4420" s="2">
        <v>42458</v>
      </c>
      <c r="V4420" t="s">
        <v>71</v>
      </c>
      <c r="W4420" t="str">
        <f>"               50093"</f>
        <v xml:space="preserve">               50093</v>
      </c>
      <c r="X4420">
        <v>305</v>
      </c>
      <c r="Y4420">
        <v>0</v>
      </c>
      <c r="Z4420" s="3">
        <v>250</v>
      </c>
      <c r="AA4420">
        <v>224</v>
      </c>
      <c r="AB4420" s="5">
        <v>56000</v>
      </c>
      <c r="AC4420">
        <v>250</v>
      </c>
      <c r="AD4420">
        <v>224</v>
      </c>
      <c r="AE4420" s="1">
        <v>56000</v>
      </c>
      <c r="AF4420">
        <v>0</v>
      </c>
      <c r="AJ4420">
        <v>0</v>
      </c>
      <c r="AK4420">
        <v>0</v>
      </c>
      <c r="AL4420">
        <v>0</v>
      </c>
      <c r="AM4420">
        <v>305</v>
      </c>
      <c r="AN4420">
        <v>305</v>
      </c>
      <c r="AO4420">
        <v>305</v>
      </c>
      <c r="AP4420" s="2">
        <v>42746</v>
      </c>
      <c r="AQ4420" t="s">
        <v>72</v>
      </c>
      <c r="AR4420" t="s">
        <v>72</v>
      </c>
      <c r="AS4420">
        <v>2969</v>
      </c>
      <c r="AT4420" s="4">
        <v>42682</v>
      </c>
      <c r="AU4420" t="s">
        <v>73</v>
      </c>
      <c r="AV4420">
        <v>2969</v>
      </c>
      <c r="AW4420" s="4">
        <v>42682</v>
      </c>
      <c r="BD4420">
        <v>0</v>
      </c>
      <c r="BN4420" t="s">
        <v>74</v>
      </c>
    </row>
    <row r="4421" spans="1:66">
      <c r="A4421">
        <v>101541</v>
      </c>
      <c r="B4421" s="3" t="s">
        <v>467</v>
      </c>
      <c r="C4421" s="1">
        <v>43300101</v>
      </c>
      <c r="D4421" t="s">
        <v>67</v>
      </c>
      <c r="H4421" t="str">
        <f t="shared" si="468"/>
        <v>08230471008</v>
      </c>
      <c r="I4421" t="str">
        <f t="shared" si="468"/>
        <v>08230471008</v>
      </c>
      <c r="K4421" t="str">
        <f>""</f>
        <v/>
      </c>
      <c r="M4421" t="s">
        <v>68</v>
      </c>
      <c r="N4421" t="str">
        <f t="shared" si="465"/>
        <v>FOR</v>
      </c>
      <c r="O4421" t="s">
        <v>69</v>
      </c>
      <c r="P4421" s="3" t="s">
        <v>75</v>
      </c>
      <c r="Q4421">
        <v>2016</v>
      </c>
      <c r="R4421" s="2">
        <v>42391</v>
      </c>
      <c r="S4421" s="2">
        <v>42401</v>
      </c>
      <c r="T4421" s="2">
        <v>42398</v>
      </c>
      <c r="U4421" s="2">
        <v>42458</v>
      </c>
      <c r="V4421" t="s">
        <v>71</v>
      </c>
      <c r="W4421" t="str">
        <f>"               50094"</f>
        <v xml:space="preserve">               50094</v>
      </c>
      <c r="X4421">
        <v>305</v>
      </c>
      <c r="Y4421">
        <v>0</v>
      </c>
      <c r="Z4421" s="3">
        <v>250</v>
      </c>
      <c r="AA4421">
        <v>224</v>
      </c>
      <c r="AB4421" s="5">
        <v>56000</v>
      </c>
      <c r="AC4421">
        <v>250</v>
      </c>
      <c r="AD4421">
        <v>224</v>
      </c>
      <c r="AE4421" s="1">
        <v>56000</v>
      </c>
      <c r="AF4421">
        <v>0</v>
      </c>
      <c r="AJ4421">
        <v>0</v>
      </c>
      <c r="AK4421">
        <v>0</v>
      </c>
      <c r="AL4421">
        <v>0</v>
      </c>
      <c r="AM4421">
        <v>305</v>
      </c>
      <c r="AN4421">
        <v>305</v>
      </c>
      <c r="AO4421">
        <v>305</v>
      </c>
      <c r="AP4421" s="2">
        <v>42746</v>
      </c>
      <c r="AQ4421" t="s">
        <v>72</v>
      </c>
      <c r="AR4421" t="s">
        <v>72</v>
      </c>
      <c r="AS4421">
        <v>2969</v>
      </c>
      <c r="AT4421" s="4">
        <v>42682</v>
      </c>
      <c r="AU4421" t="s">
        <v>73</v>
      </c>
      <c r="AV4421">
        <v>2969</v>
      </c>
      <c r="AW4421" s="4">
        <v>42682</v>
      </c>
      <c r="BD4421">
        <v>0</v>
      </c>
      <c r="BN4421" t="s">
        <v>74</v>
      </c>
    </row>
    <row r="4422" spans="1:66">
      <c r="A4422">
        <v>101541</v>
      </c>
      <c r="B4422" s="3" t="s">
        <v>467</v>
      </c>
      <c r="C4422" s="1">
        <v>43300101</v>
      </c>
      <c r="D4422" t="s">
        <v>67</v>
      </c>
      <c r="H4422" t="str">
        <f t="shared" si="468"/>
        <v>08230471008</v>
      </c>
      <c r="I4422" t="str">
        <f t="shared" si="468"/>
        <v>08230471008</v>
      </c>
      <c r="K4422" t="str">
        <f>""</f>
        <v/>
      </c>
      <c r="M4422" t="s">
        <v>68</v>
      </c>
      <c r="N4422" t="str">
        <f t="shared" si="465"/>
        <v>FOR</v>
      </c>
      <c r="O4422" t="s">
        <v>69</v>
      </c>
      <c r="P4422" s="3" t="s">
        <v>75</v>
      </c>
      <c r="Q4422">
        <v>2016</v>
      </c>
      <c r="R4422" s="2">
        <v>42391</v>
      </c>
      <c r="S4422" s="2">
        <v>42401</v>
      </c>
      <c r="T4422" s="2">
        <v>42398</v>
      </c>
      <c r="U4422" s="2">
        <v>42458</v>
      </c>
      <c r="V4422" t="s">
        <v>71</v>
      </c>
      <c r="W4422" t="str">
        <f>"               50095"</f>
        <v xml:space="preserve">               50095</v>
      </c>
      <c r="X4422" s="1">
        <v>6100</v>
      </c>
      <c r="Y4422">
        <v>0</v>
      </c>
      <c r="Z4422" s="5">
        <v>5000</v>
      </c>
      <c r="AA4422">
        <v>224</v>
      </c>
      <c r="AB4422" s="5">
        <v>1120000</v>
      </c>
      <c r="AC4422" s="1">
        <v>5000</v>
      </c>
      <c r="AD4422">
        <v>224</v>
      </c>
      <c r="AE4422" s="1">
        <v>1120000</v>
      </c>
      <c r="AF4422">
        <v>0</v>
      </c>
      <c r="AJ4422">
        <v>0</v>
      </c>
      <c r="AK4422">
        <v>0</v>
      </c>
      <c r="AL4422">
        <v>0</v>
      </c>
      <c r="AM4422" s="1">
        <v>6100</v>
      </c>
      <c r="AN4422" s="1">
        <v>6100</v>
      </c>
      <c r="AO4422" s="1">
        <v>6100</v>
      </c>
      <c r="AP4422" s="2">
        <v>42746</v>
      </c>
      <c r="AQ4422" t="s">
        <v>72</v>
      </c>
      <c r="AR4422" t="s">
        <v>72</v>
      </c>
      <c r="AS4422">
        <v>2969</v>
      </c>
      <c r="AT4422" s="4">
        <v>42682</v>
      </c>
      <c r="AU4422" t="s">
        <v>73</v>
      </c>
      <c r="AV4422">
        <v>2969</v>
      </c>
      <c r="AW4422" s="4">
        <v>42682</v>
      </c>
      <c r="BD4422">
        <v>0</v>
      </c>
      <c r="BN4422" t="s">
        <v>74</v>
      </c>
    </row>
    <row r="4423" spans="1:66">
      <c r="A4423">
        <v>101541</v>
      </c>
      <c r="B4423" s="3" t="s">
        <v>467</v>
      </c>
      <c r="C4423" s="1">
        <v>43300101</v>
      </c>
      <c r="D4423" t="s">
        <v>67</v>
      </c>
      <c r="H4423" t="str">
        <f t="shared" si="468"/>
        <v>08230471008</v>
      </c>
      <c r="I4423" t="str">
        <f t="shared" si="468"/>
        <v>08230471008</v>
      </c>
      <c r="K4423" t="str">
        <f>""</f>
        <v/>
      </c>
      <c r="M4423" t="s">
        <v>68</v>
      </c>
      <c r="N4423" t="str">
        <f t="shared" si="465"/>
        <v>FOR</v>
      </c>
      <c r="O4423" t="s">
        <v>69</v>
      </c>
      <c r="P4423" s="3" t="s">
        <v>75</v>
      </c>
      <c r="Q4423">
        <v>2016</v>
      </c>
      <c r="R4423" s="2">
        <v>42391</v>
      </c>
      <c r="S4423" s="2">
        <v>42401</v>
      </c>
      <c r="T4423" s="2">
        <v>42398</v>
      </c>
      <c r="U4423" s="2">
        <v>42458</v>
      </c>
      <c r="V4423" t="s">
        <v>71</v>
      </c>
      <c r="W4423" t="str">
        <f>"               50096"</f>
        <v xml:space="preserve">               50096</v>
      </c>
      <c r="X4423">
        <v>305</v>
      </c>
      <c r="Y4423">
        <v>0</v>
      </c>
      <c r="Z4423" s="3">
        <v>250</v>
      </c>
      <c r="AA4423">
        <v>224</v>
      </c>
      <c r="AB4423" s="5">
        <v>56000</v>
      </c>
      <c r="AC4423">
        <v>250</v>
      </c>
      <c r="AD4423">
        <v>224</v>
      </c>
      <c r="AE4423" s="1">
        <v>56000</v>
      </c>
      <c r="AF4423">
        <v>0</v>
      </c>
      <c r="AJ4423">
        <v>0</v>
      </c>
      <c r="AK4423">
        <v>0</v>
      </c>
      <c r="AL4423">
        <v>0</v>
      </c>
      <c r="AM4423">
        <v>305</v>
      </c>
      <c r="AN4423">
        <v>305</v>
      </c>
      <c r="AO4423">
        <v>305</v>
      </c>
      <c r="AP4423" s="2">
        <v>42746</v>
      </c>
      <c r="AQ4423" t="s">
        <v>72</v>
      </c>
      <c r="AR4423" t="s">
        <v>72</v>
      </c>
      <c r="AS4423">
        <v>2969</v>
      </c>
      <c r="AT4423" s="4">
        <v>42682</v>
      </c>
      <c r="AU4423" t="s">
        <v>73</v>
      </c>
      <c r="AV4423">
        <v>2969</v>
      </c>
      <c r="AW4423" s="4">
        <v>42682</v>
      </c>
      <c r="BD4423">
        <v>0</v>
      </c>
      <c r="BN4423" t="s">
        <v>74</v>
      </c>
    </row>
    <row r="4424" spans="1:66">
      <c r="A4424">
        <v>101541</v>
      </c>
      <c r="B4424" s="3" t="s">
        <v>467</v>
      </c>
      <c r="C4424" s="1">
        <v>43300101</v>
      </c>
      <c r="D4424" t="s">
        <v>67</v>
      </c>
      <c r="H4424" t="str">
        <f t="shared" si="468"/>
        <v>08230471008</v>
      </c>
      <c r="I4424" t="str">
        <f t="shared" si="468"/>
        <v>08230471008</v>
      </c>
      <c r="K4424" t="str">
        <f>""</f>
        <v/>
      </c>
      <c r="M4424" t="s">
        <v>68</v>
      </c>
      <c r="N4424" t="str">
        <f t="shared" si="465"/>
        <v>FOR</v>
      </c>
      <c r="O4424" t="s">
        <v>69</v>
      </c>
      <c r="P4424" s="3" t="s">
        <v>75</v>
      </c>
      <c r="Q4424">
        <v>2016</v>
      </c>
      <c r="R4424" s="2">
        <v>42391</v>
      </c>
      <c r="S4424" s="2">
        <v>42401</v>
      </c>
      <c r="T4424" s="2">
        <v>42398</v>
      </c>
      <c r="U4424" s="2">
        <v>42458</v>
      </c>
      <c r="V4424" t="s">
        <v>71</v>
      </c>
      <c r="W4424" t="str">
        <f>"               50097"</f>
        <v xml:space="preserve">               50097</v>
      </c>
      <c r="X4424">
        <v>305</v>
      </c>
      <c r="Y4424">
        <v>0</v>
      </c>
      <c r="Z4424" s="3">
        <v>250</v>
      </c>
      <c r="AA4424">
        <v>224</v>
      </c>
      <c r="AB4424" s="5">
        <v>56000</v>
      </c>
      <c r="AC4424">
        <v>250</v>
      </c>
      <c r="AD4424">
        <v>224</v>
      </c>
      <c r="AE4424" s="1">
        <v>56000</v>
      </c>
      <c r="AF4424">
        <v>0</v>
      </c>
      <c r="AJ4424">
        <v>0</v>
      </c>
      <c r="AK4424">
        <v>0</v>
      </c>
      <c r="AL4424">
        <v>0</v>
      </c>
      <c r="AM4424">
        <v>305</v>
      </c>
      <c r="AN4424">
        <v>305</v>
      </c>
      <c r="AO4424">
        <v>305</v>
      </c>
      <c r="AP4424" s="2">
        <v>42746</v>
      </c>
      <c r="AQ4424" t="s">
        <v>72</v>
      </c>
      <c r="AR4424" t="s">
        <v>72</v>
      </c>
      <c r="AS4424">
        <v>2969</v>
      </c>
      <c r="AT4424" s="4">
        <v>42682</v>
      </c>
      <c r="AU4424" t="s">
        <v>73</v>
      </c>
      <c r="AV4424">
        <v>2969</v>
      </c>
      <c r="AW4424" s="4">
        <v>42682</v>
      </c>
      <c r="BD4424">
        <v>0</v>
      </c>
      <c r="BN4424" t="s">
        <v>74</v>
      </c>
    </row>
    <row r="4425" spans="1:66">
      <c r="A4425">
        <v>101541</v>
      </c>
      <c r="B4425" s="3" t="s">
        <v>467</v>
      </c>
      <c r="C4425" s="1">
        <v>43300101</v>
      </c>
      <c r="D4425" t="s">
        <v>67</v>
      </c>
      <c r="H4425" t="str">
        <f t="shared" si="468"/>
        <v>08230471008</v>
      </c>
      <c r="I4425" t="str">
        <f t="shared" si="468"/>
        <v>08230471008</v>
      </c>
      <c r="K4425" t="str">
        <f>""</f>
        <v/>
      </c>
      <c r="M4425" t="s">
        <v>68</v>
      </c>
      <c r="N4425" t="str">
        <f t="shared" si="465"/>
        <v>FOR</v>
      </c>
      <c r="O4425" t="s">
        <v>69</v>
      </c>
      <c r="P4425" s="3" t="s">
        <v>75</v>
      </c>
      <c r="Q4425">
        <v>2016</v>
      </c>
      <c r="R4425" s="2">
        <v>42391</v>
      </c>
      <c r="S4425" s="2">
        <v>42401</v>
      </c>
      <c r="T4425" s="2">
        <v>42398</v>
      </c>
      <c r="U4425" s="2">
        <v>42458</v>
      </c>
      <c r="V4425" t="s">
        <v>71</v>
      </c>
      <c r="W4425" t="str">
        <f>"               50098"</f>
        <v xml:space="preserve">               50098</v>
      </c>
      <c r="X4425">
        <v>305</v>
      </c>
      <c r="Y4425">
        <v>0</v>
      </c>
      <c r="Z4425" s="3">
        <v>250</v>
      </c>
      <c r="AA4425">
        <v>224</v>
      </c>
      <c r="AB4425" s="5">
        <v>56000</v>
      </c>
      <c r="AC4425">
        <v>250</v>
      </c>
      <c r="AD4425">
        <v>224</v>
      </c>
      <c r="AE4425" s="1">
        <v>56000</v>
      </c>
      <c r="AF4425">
        <v>0</v>
      </c>
      <c r="AJ4425">
        <v>0</v>
      </c>
      <c r="AK4425">
        <v>0</v>
      </c>
      <c r="AL4425">
        <v>0</v>
      </c>
      <c r="AM4425">
        <v>305</v>
      </c>
      <c r="AN4425">
        <v>305</v>
      </c>
      <c r="AO4425">
        <v>305</v>
      </c>
      <c r="AP4425" s="2">
        <v>42746</v>
      </c>
      <c r="AQ4425" t="s">
        <v>72</v>
      </c>
      <c r="AR4425" t="s">
        <v>72</v>
      </c>
      <c r="AS4425">
        <v>2969</v>
      </c>
      <c r="AT4425" s="4">
        <v>42682</v>
      </c>
      <c r="AU4425" t="s">
        <v>73</v>
      </c>
      <c r="AV4425">
        <v>2969</v>
      </c>
      <c r="AW4425" s="4">
        <v>42682</v>
      </c>
      <c r="BD4425">
        <v>0</v>
      </c>
      <c r="BN4425" t="s">
        <v>74</v>
      </c>
    </row>
    <row r="4426" spans="1:66">
      <c r="A4426">
        <v>101541</v>
      </c>
      <c r="B4426" s="3" t="s">
        <v>467</v>
      </c>
      <c r="C4426" s="1">
        <v>43300101</v>
      </c>
      <c r="D4426" t="s">
        <v>67</v>
      </c>
      <c r="H4426" t="str">
        <f t="shared" si="468"/>
        <v>08230471008</v>
      </c>
      <c r="I4426" t="str">
        <f t="shared" si="468"/>
        <v>08230471008</v>
      </c>
      <c r="K4426" t="str">
        <f>""</f>
        <v/>
      </c>
      <c r="M4426" t="s">
        <v>68</v>
      </c>
      <c r="N4426" t="str">
        <f t="shared" si="465"/>
        <v>FOR</v>
      </c>
      <c r="O4426" t="s">
        <v>69</v>
      </c>
      <c r="P4426" s="3" t="s">
        <v>75</v>
      </c>
      <c r="Q4426">
        <v>2016</v>
      </c>
      <c r="R4426" s="2">
        <v>42391</v>
      </c>
      <c r="S4426" s="2">
        <v>42401</v>
      </c>
      <c r="T4426" s="2">
        <v>42398</v>
      </c>
      <c r="U4426" s="2">
        <v>42458</v>
      </c>
      <c r="V4426" t="s">
        <v>71</v>
      </c>
      <c r="W4426" t="str">
        <f>"               50099"</f>
        <v xml:space="preserve">               50099</v>
      </c>
      <c r="X4426">
        <v>305</v>
      </c>
      <c r="Y4426">
        <v>0</v>
      </c>
      <c r="Z4426" s="3">
        <v>250</v>
      </c>
      <c r="AA4426">
        <v>224</v>
      </c>
      <c r="AB4426" s="5">
        <v>56000</v>
      </c>
      <c r="AC4426">
        <v>250</v>
      </c>
      <c r="AD4426">
        <v>224</v>
      </c>
      <c r="AE4426" s="1">
        <v>56000</v>
      </c>
      <c r="AF4426">
        <v>0</v>
      </c>
      <c r="AJ4426">
        <v>0</v>
      </c>
      <c r="AK4426">
        <v>0</v>
      </c>
      <c r="AL4426">
        <v>0</v>
      </c>
      <c r="AM4426">
        <v>305</v>
      </c>
      <c r="AN4426">
        <v>305</v>
      </c>
      <c r="AO4426">
        <v>305</v>
      </c>
      <c r="AP4426" s="2">
        <v>42746</v>
      </c>
      <c r="AQ4426" t="s">
        <v>72</v>
      </c>
      <c r="AR4426" t="s">
        <v>72</v>
      </c>
      <c r="AS4426">
        <v>2969</v>
      </c>
      <c r="AT4426" s="4">
        <v>42682</v>
      </c>
      <c r="AU4426" t="s">
        <v>73</v>
      </c>
      <c r="AV4426">
        <v>2969</v>
      </c>
      <c r="AW4426" s="4">
        <v>42682</v>
      </c>
      <c r="BD4426">
        <v>0</v>
      </c>
      <c r="BN4426" t="s">
        <v>74</v>
      </c>
    </row>
    <row r="4427" spans="1:66">
      <c r="A4427">
        <v>101541</v>
      </c>
      <c r="B4427" s="3" t="s">
        <v>467</v>
      </c>
      <c r="C4427" s="1">
        <v>43300101</v>
      </c>
      <c r="D4427" t="s">
        <v>67</v>
      </c>
      <c r="H4427" t="str">
        <f t="shared" si="468"/>
        <v>08230471008</v>
      </c>
      <c r="I4427" t="str">
        <f t="shared" si="468"/>
        <v>08230471008</v>
      </c>
      <c r="K4427" t="str">
        <f>""</f>
        <v/>
      </c>
      <c r="M4427" t="s">
        <v>68</v>
      </c>
      <c r="N4427" t="str">
        <f t="shared" si="465"/>
        <v>FOR</v>
      </c>
      <c r="O4427" t="s">
        <v>69</v>
      </c>
      <c r="P4427" s="3" t="s">
        <v>75</v>
      </c>
      <c r="Q4427">
        <v>2016</v>
      </c>
      <c r="R4427" s="2">
        <v>42391</v>
      </c>
      <c r="S4427" s="2">
        <v>42401</v>
      </c>
      <c r="T4427" s="2">
        <v>42398</v>
      </c>
      <c r="U4427" s="2">
        <v>42458</v>
      </c>
      <c r="V4427" t="s">
        <v>71</v>
      </c>
      <c r="W4427" t="str">
        <f>"               50100"</f>
        <v xml:space="preserve">               50100</v>
      </c>
      <c r="X4427">
        <v>305</v>
      </c>
      <c r="Y4427">
        <v>0</v>
      </c>
      <c r="Z4427" s="3">
        <v>250</v>
      </c>
      <c r="AA4427">
        <v>224</v>
      </c>
      <c r="AB4427" s="5">
        <v>56000</v>
      </c>
      <c r="AC4427">
        <v>250</v>
      </c>
      <c r="AD4427">
        <v>224</v>
      </c>
      <c r="AE4427" s="1">
        <v>56000</v>
      </c>
      <c r="AF4427">
        <v>0</v>
      </c>
      <c r="AJ4427">
        <v>0</v>
      </c>
      <c r="AK4427">
        <v>0</v>
      </c>
      <c r="AL4427">
        <v>0</v>
      </c>
      <c r="AM4427">
        <v>305</v>
      </c>
      <c r="AN4427">
        <v>305</v>
      </c>
      <c r="AO4427">
        <v>305</v>
      </c>
      <c r="AP4427" s="2">
        <v>42746</v>
      </c>
      <c r="AQ4427" t="s">
        <v>72</v>
      </c>
      <c r="AR4427" t="s">
        <v>72</v>
      </c>
      <c r="AS4427">
        <v>2969</v>
      </c>
      <c r="AT4427" s="4">
        <v>42682</v>
      </c>
      <c r="AU4427" t="s">
        <v>73</v>
      </c>
      <c r="AV4427">
        <v>2969</v>
      </c>
      <c r="AW4427" s="4">
        <v>42682</v>
      </c>
      <c r="BD4427">
        <v>0</v>
      </c>
      <c r="BN4427" t="s">
        <v>74</v>
      </c>
    </row>
    <row r="4428" spans="1:66">
      <c r="A4428">
        <v>101541</v>
      </c>
      <c r="B4428" s="3" t="s">
        <v>467</v>
      </c>
      <c r="C4428" s="1">
        <v>43300101</v>
      </c>
      <c r="D4428" t="s">
        <v>67</v>
      </c>
      <c r="H4428" t="str">
        <f t="shared" si="468"/>
        <v>08230471008</v>
      </c>
      <c r="I4428" t="str">
        <f t="shared" si="468"/>
        <v>08230471008</v>
      </c>
      <c r="K4428" t="str">
        <f>""</f>
        <v/>
      </c>
      <c r="M4428" t="s">
        <v>68</v>
      </c>
      <c r="N4428" t="str">
        <f t="shared" si="465"/>
        <v>FOR</v>
      </c>
      <c r="O4428" t="s">
        <v>69</v>
      </c>
      <c r="P4428" s="3" t="s">
        <v>75</v>
      </c>
      <c r="Q4428">
        <v>2016</v>
      </c>
      <c r="R4428" s="2">
        <v>42398</v>
      </c>
      <c r="S4428" s="2">
        <v>42410</v>
      </c>
      <c r="T4428" s="2">
        <v>42405</v>
      </c>
      <c r="U4428" s="2">
        <v>42465</v>
      </c>
      <c r="V4428" t="s">
        <v>71</v>
      </c>
      <c r="W4428" t="str">
        <f>"               50428"</f>
        <v xml:space="preserve">               50428</v>
      </c>
      <c r="X4428">
        <v>305</v>
      </c>
      <c r="Y4428">
        <v>0</v>
      </c>
      <c r="Z4428" s="3">
        <v>250</v>
      </c>
      <c r="AA4428">
        <v>217</v>
      </c>
      <c r="AB4428" s="5">
        <v>54250</v>
      </c>
      <c r="AC4428">
        <v>250</v>
      </c>
      <c r="AD4428">
        <v>217</v>
      </c>
      <c r="AE4428" s="1">
        <v>54250</v>
      </c>
      <c r="AF4428">
        <v>0</v>
      </c>
      <c r="AJ4428">
        <v>0</v>
      </c>
      <c r="AK4428">
        <v>0</v>
      </c>
      <c r="AL4428">
        <v>0</v>
      </c>
      <c r="AM4428">
        <v>305</v>
      </c>
      <c r="AN4428">
        <v>305</v>
      </c>
      <c r="AO4428">
        <v>305</v>
      </c>
      <c r="AP4428" s="2">
        <v>42746</v>
      </c>
      <c r="AQ4428" t="s">
        <v>72</v>
      </c>
      <c r="AR4428" t="s">
        <v>72</v>
      </c>
      <c r="AS4428">
        <v>2969</v>
      </c>
      <c r="AT4428" s="4">
        <v>42682</v>
      </c>
      <c r="AU4428" t="s">
        <v>73</v>
      </c>
      <c r="AV4428">
        <v>2969</v>
      </c>
      <c r="AW4428" s="4">
        <v>42682</v>
      </c>
      <c r="BD4428">
        <v>0</v>
      </c>
      <c r="BN4428" t="s">
        <v>74</v>
      </c>
    </row>
    <row r="4429" spans="1:66">
      <c r="A4429">
        <v>101541</v>
      </c>
      <c r="B4429" s="3" t="s">
        <v>467</v>
      </c>
      <c r="C4429" s="1">
        <v>43300101</v>
      </c>
      <c r="D4429" t="s">
        <v>67</v>
      </c>
      <c r="H4429" t="str">
        <f t="shared" si="468"/>
        <v>08230471008</v>
      </c>
      <c r="I4429" t="str">
        <f t="shared" si="468"/>
        <v>08230471008</v>
      </c>
      <c r="K4429" t="str">
        <f>""</f>
        <v/>
      </c>
      <c r="M4429" t="s">
        <v>68</v>
      </c>
      <c r="N4429" t="str">
        <f t="shared" si="465"/>
        <v>FOR</v>
      </c>
      <c r="O4429" t="s">
        <v>69</v>
      </c>
      <c r="P4429" s="3" t="s">
        <v>75</v>
      </c>
      <c r="Q4429">
        <v>2016</v>
      </c>
      <c r="R4429" s="2">
        <v>42398</v>
      </c>
      <c r="S4429" s="2">
        <v>42410</v>
      </c>
      <c r="T4429" s="2">
        <v>42405</v>
      </c>
      <c r="U4429" s="2">
        <v>42465</v>
      </c>
      <c r="V4429" t="s">
        <v>71</v>
      </c>
      <c r="W4429" t="str">
        <f>"               50429"</f>
        <v xml:space="preserve">               50429</v>
      </c>
      <c r="X4429">
        <v>305</v>
      </c>
      <c r="Y4429">
        <v>0</v>
      </c>
      <c r="Z4429" s="3">
        <v>250</v>
      </c>
      <c r="AA4429">
        <v>217</v>
      </c>
      <c r="AB4429" s="5">
        <v>54250</v>
      </c>
      <c r="AC4429">
        <v>250</v>
      </c>
      <c r="AD4429">
        <v>217</v>
      </c>
      <c r="AE4429" s="1">
        <v>54250</v>
      </c>
      <c r="AF4429">
        <v>0</v>
      </c>
      <c r="AJ4429">
        <v>0</v>
      </c>
      <c r="AK4429">
        <v>0</v>
      </c>
      <c r="AL4429">
        <v>0</v>
      </c>
      <c r="AM4429">
        <v>305</v>
      </c>
      <c r="AN4429">
        <v>305</v>
      </c>
      <c r="AO4429">
        <v>305</v>
      </c>
      <c r="AP4429" s="2">
        <v>42746</v>
      </c>
      <c r="AQ4429" t="s">
        <v>72</v>
      </c>
      <c r="AR4429" t="s">
        <v>72</v>
      </c>
      <c r="AS4429">
        <v>2969</v>
      </c>
      <c r="AT4429" s="4">
        <v>42682</v>
      </c>
      <c r="AU4429" t="s">
        <v>73</v>
      </c>
      <c r="AV4429">
        <v>2969</v>
      </c>
      <c r="AW4429" s="4">
        <v>42682</v>
      </c>
      <c r="BD4429">
        <v>0</v>
      </c>
      <c r="BN4429" t="s">
        <v>74</v>
      </c>
    </row>
    <row r="4430" spans="1:66">
      <c r="A4430">
        <v>101541</v>
      </c>
      <c r="B4430" s="3" t="s">
        <v>467</v>
      </c>
      <c r="C4430" s="1">
        <v>43300101</v>
      </c>
      <c r="D4430" t="s">
        <v>67</v>
      </c>
      <c r="H4430" t="str">
        <f t="shared" si="468"/>
        <v>08230471008</v>
      </c>
      <c r="I4430" t="str">
        <f t="shared" si="468"/>
        <v>08230471008</v>
      </c>
      <c r="K4430" t="str">
        <f>""</f>
        <v/>
      </c>
      <c r="M4430" t="s">
        <v>68</v>
      </c>
      <c r="N4430" t="str">
        <f t="shared" si="465"/>
        <v>FOR</v>
      </c>
      <c r="O4430" t="s">
        <v>69</v>
      </c>
      <c r="P4430" s="3" t="s">
        <v>75</v>
      </c>
      <c r="Q4430">
        <v>2016</v>
      </c>
      <c r="R4430" s="2">
        <v>42398</v>
      </c>
      <c r="S4430" s="2">
        <v>42410</v>
      </c>
      <c r="T4430" s="2">
        <v>42405</v>
      </c>
      <c r="U4430" s="2">
        <v>42465</v>
      </c>
      <c r="V4430" t="s">
        <v>71</v>
      </c>
      <c r="W4430" t="str">
        <f>"               50430"</f>
        <v xml:space="preserve">               50430</v>
      </c>
      <c r="X4430">
        <v>305</v>
      </c>
      <c r="Y4430">
        <v>0</v>
      </c>
      <c r="Z4430" s="3">
        <v>250</v>
      </c>
      <c r="AA4430">
        <v>217</v>
      </c>
      <c r="AB4430" s="5">
        <v>54250</v>
      </c>
      <c r="AC4430">
        <v>250</v>
      </c>
      <c r="AD4430">
        <v>217</v>
      </c>
      <c r="AE4430" s="1">
        <v>54250</v>
      </c>
      <c r="AF4430">
        <v>0</v>
      </c>
      <c r="AJ4430">
        <v>0</v>
      </c>
      <c r="AK4430">
        <v>0</v>
      </c>
      <c r="AL4430">
        <v>0</v>
      </c>
      <c r="AM4430">
        <v>305</v>
      </c>
      <c r="AN4430">
        <v>305</v>
      </c>
      <c r="AO4430">
        <v>305</v>
      </c>
      <c r="AP4430" s="2">
        <v>42746</v>
      </c>
      <c r="AQ4430" t="s">
        <v>72</v>
      </c>
      <c r="AR4430" t="s">
        <v>72</v>
      </c>
      <c r="AS4430">
        <v>2969</v>
      </c>
      <c r="AT4430" s="4">
        <v>42682</v>
      </c>
      <c r="AU4430" t="s">
        <v>73</v>
      </c>
      <c r="AV4430">
        <v>2969</v>
      </c>
      <c r="AW4430" s="4">
        <v>42682</v>
      </c>
      <c r="BD4430">
        <v>0</v>
      </c>
      <c r="BN4430" t="s">
        <v>74</v>
      </c>
    </row>
    <row r="4431" spans="1:66">
      <c r="A4431">
        <v>101541</v>
      </c>
      <c r="B4431" s="3" t="s">
        <v>467</v>
      </c>
      <c r="C4431" s="1">
        <v>43300101</v>
      </c>
      <c r="D4431" t="s">
        <v>67</v>
      </c>
      <c r="H4431" t="str">
        <f t="shared" si="468"/>
        <v>08230471008</v>
      </c>
      <c r="I4431" t="str">
        <f t="shared" si="468"/>
        <v>08230471008</v>
      </c>
      <c r="K4431" t="str">
        <f>""</f>
        <v/>
      </c>
      <c r="M4431" t="s">
        <v>68</v>
      </c>
      <c r="N4431" t="str">
        <f t="shared" si="465"/>
        <v>FOR</v>
      </c>
      <c r="O4431" t="s">
        <v>69</v>
      </c>
      <c r="P4431" s="3" t="s">
        <v>75</v>
      </c>
      <c r="Q4431">
        <v>2016</v>
      </c>
      <c r="R4431" s="2">
        <v>42400</v>
      </c>
      <c r="S4431" s="2">
        <v>42410</v>
      </c>
      <c r="T4431" s="2">
        <v>42405</v>
      </c>
      <c r="U4431" s="2">
        <v>42465</v>
      </c>
      <c r="V4431" t="s">
        <v>71</v>
      </c>
      <c r="W4431" t="str">
        <f>"               50657"</f>
        <v xml:space="preserve">               50657</v>
      </c>
      <c r="X4431">
        <v>305</v>
      </c>
      <c r="Y4431">
        <v>0</v>
      </c>
      <c r="Z4431" s="3">
        <v>250</v>
      </c>
      <c r="AA4431">
        <v>217</v>
      </c>
      <c r="AB4431" s="5">
        <v>54250</v>
      </c>
      <c r="AC4431">
        <v>250</v>
      </c>
      <c r="AD4431">
        <v>217</v>
      </c>
      <c r="AE4431" s="1">
        <v>54250</v>
      </c>
      <c r="AF4431">
        <v>0</v>
      </c>
      <c r="AJ4431">
        <v>0</v>
      </c>
      <c r="AK4431">
        <v>0</v>
      </c>
      <c r="AL4431">
        <v>0</v>
      </c>
      <c r="AM4431">
        <v>305</v>
      </c>
      <c r="AN4431">
        <v>305</v>
      </c>
      <c r="AO4431">
        <v>305</v>
      </c>
      <c r="AP4431" s="2">
        <v>42746</v>
      </c>
      <c r="AQ4431" t="s">
        <v>72</v>
      </c>
      <c r="AR4431" t="s">
        <v>72</v>
      </c>
      <c r="AS4431">
        <v>2969</v>
      </c>
      <c r="AT4431" s="4">
        <v>42682</v>
      </c>
      <c r="AU4431" t="s">
        <v>73</v>
      </c>
      <c r="AV4431">
        <v>2969</v>
      </c>
      <c r="AW4431" s="4">
        <v>42682</v>
      </c>
      <c r="BD4431">
        <v>0</v>
      </c>
      <c r="BN4431" t="s">
        <v>74</v>
      </c>
    </row>
    <row r="4432" spans="1:66">
      <c r="A4432">
        <v>101541</v>
      </c>
      <c r="B4432" s="3" t="s">
        <v>467</v>
      </c>
      <c r="C4432" s="1">
        <v>43300101</v>
      </c>
      <c r="D4432" t="s">
        <v>67</v>
      </c>
      <c r="H4432" t="str">
        <f t="shared" si="468"/>
        <v>08230471008</v>
      </c>
      <c r="I4432" t="str">
        <f t="shared" si="468"/>
        <v>08230471008</v>
      </c>
      <c r="K4432" t="str">
        <f>""</f>
        <v/>
      </c>
      <c r="M4432" t="s">
        <v>68</v>
      </c>
      <c r="N4432" t="str">
        <f t="shared" ref="N4432:N4468" si="469">"FOR"</f>
        <v>FOR</v>
      </c>
      <c r="O4432" t="s">
        <v>69</v>
      </c>
      <c r="P4432" s="3" t="s">
        <v>75</v>
      </c>
      <c r="Q4432">
        <v>2016</v>
      </c>
      <c r="R4432" s="2">
        <v>42400</v>
      </c>
      <c r="S4432" s="2">
        <v>42410</v>
      </c>
      <c r="T4432" s="2">
        <v>42405</v>
      </c>
      <c r="U4432" s="2">
        <v>42465</v>
      </c>
      <c r="V4432" t="s">
        <v>71</v>
      </c>
      <c r="W4432" t="str">
        <f>"               50658"</f>
        <v xml:space="preserve">               50658</v>
      </c>
      <c r="X4432">
        <v>305</v>
      </c>
      <c r="Y4432">
        <v>0</v>
      </c>
      <c r="Z4432" s="3">
        <v>250</v>
      </c>
      <c r="AA4432">
        <v>217</v>
      </c>
      <c r="AB4432" s="5">
        <v>54250</v>
      </c>
      <c r="AC4432">
        <v>250</v>
      </c>
      <c r="AD4432">
        <v>217</v>
      </c>
      <c r="AE4432" s="1">
        <v>54250</v>
      </c>
      <c r="AF4432">
        <v>0</v>
      </c>
      <c r="AJ4432">
        <v>0</v>
      </c>
      <c r="AK4432">
        <v>0</v>
      </c>
      <c r="AL4432">
        <v>0</v>
      </c>
      <c r="AM4432">
        <v>305</v>
      </c>
      <c r="AN4432">
        <v>305</v>
      </c>
      <c r="AO4432">
        <v>305</v>
      </c>
      <c r="AP4432" s="2">
        <v>42746</v>
      </c>
      <c r="AQ4432" t="s">
        <v>72</v>
      </c>
      <c r="AR4432" t="s">
        <v>72</v>
      </c>
      <c r="AS4432">
        <v>2969</v>
      </c>
      <c r="AT4432" s="4">
        <v>42682</v>
      </c>
      <c r="AU4432" t="s">
        <v>73</v>
      </c>
      <c r="AV4432">
        <v>2969</v>
      </c>
      <c r="AW4432" s="4">
        <v>42682</v>
      </c>
      <c r="BD4432">
        <v>0</v>
      </c>
      <c r="BN4432" t="s">
        <v>74</v>
      </c>
    </row>
    <row r="4433" spans="1:66">
      <c r="A4433">
        <v>101541</v>
      </c>
      <c r="B4433" s="3" t="s">
        <v>467</v>
      </c>
      <c r="C4433" s="1">
        <v>43300101</v>
      </c>
      <c r="D4433" t="s">
        <v>67</v>
      </c>
      <c r="H4433" t="str">
        <f t="shared" si="468"/>
        <v>08230471008</v>
      </c>
      <c r="I4433" t="str">
        <f t="shared" si="468"/>
        <v>08230471008</v>
      </c>
      <c r="K4433" t="str">
        <f>""</f>
        <v/>
      </c>
      <c r="M4433" t="s">
        <v>68</v>
      </c>
      <c r="N4433" t="str">
        <f t="shared" si="469"/>
        <v>FOR</v>
      </c>
      <c r="O4433" t="s">
        <v>69</v>
      </c>
      <c r="P4433" s="3" t="s">
        <v>75</v>
      </c>
      <c r="Q4433">
        <v>2016</v>
      </c>
      <c r="R4433" s="2">
        <v>42400</v>
      </c>
      <c r="S4433" s="2">
        <v>42410</v>
      </c>
      <c r="T4433" s="2">
        <v>42405</v>
      </c>
      <c r="U4433" s="2">
        <v>42465</v>
      </c>
      <c r="V4433" t="s">
        <v>71</v>
      </c>
      <c r="W4433" t="str">
        <f>"               50659"</f>
        <v xml:space="preserve">               50659</v>
      </c>
      <c r="X4433">
        <v>305</v>
      </c>
      <c r="Y4433">
        <v>0</v>
      </c>
      <c r="Z4433" s="3">
        <v>250</v>
      </c>
      <c r="AA4433">
        <v>217</v>
      </c>
      <c r="AB4433" s="5">
        <v>54250</v>
      </c>
      <c r="AC4433">
        <v>250</v>
      </c>
      <c r="AD4433">
        <v>217</v>
      </c>
      <c r="AE4433" s="1">
        <v>54250</v>
      </c>
      <c r="AF4433">
        <v>0</v>
      </c>
      <c r="AJ4433">
        <v>0</v>
      </c>
      <c r="AK4433">
        <v>0</v>
      </c>
      <c r="AL4433">
        <v>0</v>
      </c>
      <c r="AM4433">
        <v>305</v>
      </c>
      <c r="AN4433">
        <v>305</v>
      </c>
      <c r="AO4433">
        <v>305</v>
      </c>
      <c r="AP4433" s="2">
        <v>42746</v>
      </c>
      <c r="AQ4433" t="s">
        <v>72</v>
      </c>
      <c r="AR4433" t="s">
        <v>72</v>
      </c>
      <c r="AS4433">
        <v>2969</v>
      </c>
      <c r="AT4433" s="4">
        <v>42682</v>
      </c>
      <c r="AU4433" t="s">
        <v>73</v>
      </c>
      <c r="AV4433">
        <v>2969</v>
      </c>
      <c r="AW4433" s="4">
        <v>42682</v>
      </c>
      <c r="BD4433">
        <v>0</v>
      </c>
      <c r="BN4433" t="s">
        <v>74</v>
      </c>
    </row>
    <row r="4434" spans="1:66">
      <c r="A4434">
        <v>101541</v>
      </c>
      <c r="B4434" s="3" t="s">
        <v>467</v>
      </c>
      <c r="C4434" s="1">
        <v>43300101</v>
      </c>
      <c r="D4434" t="s">
        <v>67</v>
      </c>
      <c r="H4434" t="str">
        <f t="shared" si="468"/>
        <v>08230471008</v>
      </c>
      <c r="I4434" t="str">
        <f t="shared" si="468"/>
        <v>08230471008</v>
      </c>
      <c r="K4434" t="str">
        <f>""</f>
        <v/>
      </c>
      <c r="M4434" t="s">
        <v>68</v>
      </c>
      <c r="N4434" t="str">
        <f t="shared" si="469"/>
        <v>FOR</v>
      </c>
      <c r="O4434" t="s">
        <v>69</v>
      </c>
      <c r="P4434" s="3" t="s">
        <v>75</v>
      </c>
      <c r="Q4434">
        <v>2016</v>
      </c>
      <c r="R4434" s="2">
        <v>42400</v>
      </c>
      <c r="S4434" s="2">
        <v>42410</v>
      </c>
      <c r="T4434" s="2">
        <v>42405</v>
      </c>
      <c r="U4434" s="2">
        <v>42465</v>
      </c>
      <c r="V4434" t="s">
        <v>71</v>
      </c>
      <c r="W4434" t="str">
        <f>"               50660"</f>
        <v xml:space="preserve">               50660</v>
      </c>
      <c r="X4434">
        <v>305</v>
      </c>
      <c r="Y4434">
        <v>0</v>
      </c>
      <c r="Z4434" s="3">
        <v>250</v>
      </c>
      <c r="AA4434">
        <v>217</v>
      </c>
      <c r="AB4434" s="5">
        <v>54250</v>
      </c>
      <c r="AC4434">
        <v>250</v>
      </c>
      <c r="AD4434">
        <v>217</v>
      </c>
      <c r="AE4434" s="1">
        <v>54250</v>
      </c>
      <c r="AF4434">
        <v>0</v>
      </c>
      <c r="AJ4434">
        <v>0</v>
      </c>
      <c r="AK4434">
        <v>0</v>
      </c>
      <c r="AL4434">
        <v>0</v>
      </c>
      <c r="AM4434">
        <v>305</v>
      </c>
      <c r="AN4434">
        <v>305</v>
      </c>
      <c r="AO4434">
        <v>305</v>
      </c>
      <c r="AP4434" s="2">
        <v>42746</v>
      </c>
      <c r="AQ4434" t="s">
        <v>72</v>
      </c>
      <c r="AR4434" t="s">
        <v>72</v>
      </c>
      <c r="AS4434">
        <v>2969</v>
      </c>
      <c r="AT4434" s="4">
        <v>42682</v>
      </c>
      <c r="AU4434" t="s">
        <v>73</v>
      </c>
      <c r="AV4434">
        <v>2969</v>
      </c>
      <c r="AW4434" s="4">
        <v>42682</v>
      </c>
      <c r="BD4434">
        <v>0</v>
      </c>
      <c r="BN4434" t="s">
        <v>74</v>
      </c>
    </row>
    <row r="4435" spans="1:66">
      <c r="A4435">
        <v>101541</v>
      </c>
      <c r="B4435" s="3" t="s">
        <v>467</v>
      </c>
      <c r="C4435" s="1">
        <v>43300101</v>
      </c>
      <c r="D4435" t="s">
        <v>67</v>
      </c>
      <c r="H4435" t="str">
        <f t="shared" si="468"/>
        <v>08230471008</v>
      </c>
      <c r="I4435" t="str">
        <f t="shared" si="468"/>
        <v>08230471008</v>
      </c>
      <c r="K4435" t="str">
        <f>""</f>
        <v/>
      </c>
      <c r="M4435" t="s">
        <v>68</v>
      </c>
      <c r="N4435" t="str">
        <f t="shared" si="469"/>
        <v>FOR</v>
      </c>
      <c r="O4435" t="s">
        <v>69</v>
      </c>
      <c r="P4435" s="3" t="s">
        <v>75</v>
      </c>
      <c r="Q4435">
        <v>2016</v>
      </c>
      <c r="R4435" s="2">
        <v>42400</v>
      </c>
      <c r="S4435" s="2">
        <v>42410</v>
      </c>
      <c r="T4435" s="2">
        <v>42405</v>
      </c>
      <c r="U4435" s="2">
        <v>42465</v>
      </c>
      <c r="V4435" t="s">
        <v>71</v>
      </c>
      <c r="W4435" t="str">
        <f>"               50661"</f>
        <v xml:space="preserve">               50661</v>
      </c>
      <c r="X4435" s="1">
        <v>6344</v>
      </c>
      <c r="Y4435">
        <v>0</v>
      </c>
      <c r="Z4435" s="5">
        <v>5200</v>
      </c>
      <c r="AA4435">
        <v>217</v>
      </c>
      <c r="AB4435" s="5">
        <v>1128400</v>
      </c>
      <c r="AC4435" s="1">
        <v>5200</v>
      </c>
      <c r="AD4435">
        <v>217</v>
      </c>
      <c r="AE4435" s="1">
        <v>1128400</v>
      </c>
      <c r="AF4435">
        <v>0</v>
      </c>
      <c r="AJ4435">
        <v>0</v>
      </c>
      <c r="AK4435">
        <v>0</v>
      </c>
      <c r="AL4435">
        <v>0</v>
      </c>
      <c r="AM4435" s="1">
        <v>6344</v>
      </c>
      <c r="AN4435" s="1">
        <v>6344</v>
      </c>
      <c r="AO4435" s="1">
        <v>6344</v>
      </c>
      <c r="AP4435" s="2">
        <v>42746</v>
      </c>
      <c r="AQ4435" t="s">
        <v>72</v>
      </c>
      <c r="AR4435" t="s">
        <v>72</v>
      </c>
      <c r="AS4435">
        <v>2969</v>
      </c>
      <c r="AT4435" s="4">
        <v>42682</v>
      </c>
      <c r="AU4435" t="s">
        <v>73</v>
      </c>
      <c r="AV4435">
        <v>2969</v>
      </c>
      <c r="AW4435" s="4">
        <v>42682</v>
      </c>
      <c r="BD4435">
        <v>0</v>
      </c>
      <c r="BN4435" t="s">
        <v>74</v>
      </c>
    </row>
    <row r="4436" spans="1:66">
      <c r="A4436">
        <v>101541</v>
      </c>
      <c r="B4436" s="3" t="s">
        <v>467</v>
      </c>
      <c r="C4436" s="1">
        <v>43300101</v>
      </c>
      <c r="D4436" t="s">
        <v>67</v>
      </c>
      <c r="H4436" t="str">
        <f t="shared" si="468"/>
        <v>08230471008</v>
      </c>
      <c r="I4436" t="str">
        <f t="shared" si="468"/>
        <v>08230471008</v>
      </c>
      <c r="K4436" t="str">
        <f>""</f>
        <v/>
      </c>
      <c r="M4436" t="s">
        <v>68</v>
      </c>
      <c r="N4436" t="str">
        <f t="shared" si="469"/>
        <v>FOR</v>
      </c>
      <c r="O4436" t="s">
        <v>69</v>
      </c>
      <c r="P4436" s="3" t="s">
        <v>75</v>
      </c>
      <c r="Q4436">
        <v>2016</v>
      </c>
      <c r="R4436" s="2">
        <v>42412</v>
      </c>
      <c r="S4436" s="2">
        <v>42422</v>
      </c>
      <c r="T4436" s="2">
        <v>42419</v>
      </c>
      <c r="U4436" s="2">
        <v>42479</v>
      </c>
      <c r="V4436" t="s">
        <v>71</v>
      </c>
      <c r="W4436" t="str">
        <f>"               51182"</f>
        <v xml:space="preserve">               51182</v>
      </c>
      <c r="X4436">
        <v>305</v>
      </c>
      <c r="Y4436">
        <v>0</v>
      </c>
      <c r="Z4436" s="3">
        <v>250</v>
      </c>
      <c r="AA4436">
        <v>239</v>
      </c>
      <c r="AB4436" s="5">
        <v>59750</v>
      </c>
      <c r="AC4436">
        <v>250</v>
      </c>
      <c r="AD4436">
        <v>239</v>
      </c>
      <c r="AE4436" s="1">
        <v>59750</v>
      </c>
      <c r="AF4436">
        <v>55</v>
      </c>
      <c r="AJ4436">
        <v>0</v>
      </c>
      <c r="AK4436">
        <v>0</v>
      </c>
      <c r="AL4436">
        <v>0</v>
      </c>
      <c r="AM4436">
        <v>305</v>
      </c>
      <c r="AN4436">
        <v>305</v>
      </c>
      <c r="AO4436">
        <v>305</v>
      </c>
      <c r="AP4436" s="2">
        <v>42746</v>
      </c>
      <c r="AQ4436" t="s">
        <v>72</v>
      </c>
      <c r="AR4436" t="s">
        <v>72</v>
      </c>
      <c r="AS4436">
        <v>3474</v>
      </c>
      <c r="AT4436" s="4">
        <v>42718</v>
      </c>
      <c r="AU4436" t="s">
        <v>73</v>
      </c>
      <c r="AV4436">
        <v>3474</v>
      </c>
      <c r="AW4436" s="4">
        <v>42718</v>
      </c>
      <c r="BD4436">
        <v>55</v>
      </c>
      <c r="BN4436" t="s">
        <v>74</v>
      </c>
    </row>
    <row r="4437" spans="1:66">
      <c r="A4437">
        <v>101541</v>
      </c>
      <c r="B4437" s="3" t="s">
        <v>467</v>
      </c>
      <c r="C4437" s="1">
        <v>43300101</v>
      </c>
      <c r="D4437" t="s">
        <v>67</v>
      </c>
      <c r="H4437" t="str">
        <f t="shared" si="468"/>
        <v>08230471008</v>
      </c>
      <c r="I4437" t="str">
        <f t="shared" si="468"/>
        <v>08230471008</v>
      </c>
      <c r="K4437" t="str">
        <f>""</f>
        <v/>
      </c>
      <c r="M4437" t="s">
        <v>68</v>
      </c>
      <c r="N4437" t="str">
        <f t="shared" si="469"/>
        <v>FOR</v>
      </c>
      <c r="O4437" t="s">
        <v>69</v>
      </c>
      <c r="P4437" s="3" t="s">
        <v>75</v>
      </c>
      <c r="Q4437">
        <v>2016</v>
      </c>
      <c r="R4437" s="2">
        <v>42412</v>
      </c>
      <c r="S4437" s="2">
        <v>42422</v>
      </c>
      <c r="T4437" s="2">
        <v>42419</v>
      </c>
      <c r="U4437" s="2">
        <v>42479</v>
      </c>
      <c r="V4437" t="s">
        <v>71</v>
      </c>
      <c r="W4437" t="str">
        <f>"               51183"</f>
        <v xml:space="preserve">               51183</v>
      </c>
      <c r="X4437">
        <v>305</v>
      </c>
      <c r="Y4437">
        <v>0</v>
      </c>
      <c r="Z4437" s="3">
        <v>250</v>
      </c>
      <c r="AA4437">
        <v>239</v>
      </c>
      <c r="AB4437" s="5">
        <v>59750</v>
      </c>
      <c r="AC4437">
        <v>250</v>
      </c>
      <c r="AD4437">
        <v>239</v>
      </c>
      <c r="AE4437" s="1">
        <v>59750</v>
      </c>
      <c r="AF4437">
        <v>55</v>
      </c>
      <c r="AJ4437">
        <v>0</v>
      </c>
      <c r="AK4437">
        <v>0</v>
      </c>
      <c r="AL4437">
        <v>0</v>
      </c>
      <c r="AM4437">
        <v>305</v>
      </c>
      <c r="AN4437">
        <v>305</v>
      </c>
      <c r="AO4437">
        <v>305</v>
      </c>
      <c r="AP4437" s="2">
        <v>42746</v>
      </c>
      <c r="AQ4437" t="s">
        <v>72</v>
      </c>
      <c r="AR4437" t="s">
        <v>72</v>
      </c>
      <c r="AS4437">
        <v>3474</v>
      </c>
      <c r="AT4437" s="4">
        <v>42718</v>
      </c>
      <c r="AU4437" t="s">
        <v>73</v>
      </c>
      <c r="AV4437">
        <v>3474</v>
      </c>
      <c r="AW4437" s="4">
        <v>42718</v>
      </c>
      <c r="BD4437">
        <v>55</v>
      </c>
      <c r="BN4437" t="s">
        <v>74</v>
      </c>
    </row>
    <row r="4438" spans="1:66">
      <c r="A4438">
        <v>101541</v>
      </c>
      <c r="B4438" s="3" t="s">
        <v>467</v>
      </c>
      <c r="C4438" s="1">
        <v>43300101</v>
      </c>
      <c r="D4438" t="s">
        <v>67</v>
      </c>
      <c r="H4438" t="str">
        <f t="shared" ref="H4438:I4457" si="470">"08230471008"</f>
        <v>08230471008</v>
      </c>
      <c r="I4438" t="str">
        <f t="shared" si="470"/>
        <v>08230471008</v>
      </c>
      <c r="K4438" t="str">
        <f>""</f>
        <v/>
      </c>
      <c r="M4438" t="s">
        <v>68</v>
      </c>
      <c r="N4438" t="str">
        <f t="shared" si="469"/>
        <v>FOR</v>
      </c>
      <c r="O4438" t="s">
        <v>69</v>
      </c>
      <c r="P4438" s="3" t="s">
        <v>75</v>
      </c>
      <c r="Q4438">
        <v>2016</v>
      </c>
      <c r="R4438" s="2">
        <v>42412</v>
      </c>
      <c r="S4438" s="2">
        <v>42422</v>
      </c>
      <c r="T4438" s="2">
        <v>42419</v>
      </c>
      <c r="U4438" s="2">
        <v>42479</v>
      </c>
      <c r="V4438" t="s">
        <v>71</v>
      </c>
      <c r="W4438" t="str">
        <f>"               51184"</f>
        <v xml:space="preserve">               51184</v>
      </c>
      <c r="X4438">
        <v>305</v>
      </c>
      <c r="Y4438">
        <v>0</v>
      </c>
      <c r="Z4438" s="3">
        <v>250</v>
      </c>
      <c r="AA4438">
        <v>239</v>
      </c>
      <c r="AB4438" s="5">
        <v>59750</v>
      </c>
      <c r="AC4438">
        <v>250</v>
      </c>
      <c r="AD4438">
        <v>239</v>
      </c>
      <c r="AE4438" s="1">
        <v>59750</v>
      </c>
      <c r="AF4438">
        <v>55</v>
      </c>
      <c r="AJ4438">
        <v>0</v>
      </c>
      <c r="AK4438">
        <v>0</v>
      </c>
      <c r="AL4438">
        <v>0</v>
      </c>
      <c r="AM4438">
        <v>305</v>
      </c>
      <c r="AN4438">
        <v>305</v>
      </c>
      <c r="AO4438">
        <v>305</v>
      </c>
      <c r="AP4438" s="2">
        <v>42746</v>
      </c>
      <c r="AQ4438" t="s">
        <v>72</v>
      </c>
      <c r="AR4438" t="s">
        <v>72</v>
      </c>
      <c r="AS4438">
        <v>3474</v>
      </c>
      <c r="AT4438" s="4">
        <v>42718</v>
      </c>
      <c r="AU4438" t="s">
        <v>73</v>
      </c>
      <c r="AV4438">
        <v>3474</v>
      </c>
      <c r="AW4438" s="4">
        <v>42718</v>
      </c>
      <c r="BD4438">
        <v>55</v>
      </c>
      <c r="BN4438" t="s">
        <v>74</v>
      </c>
    </row>
    <row r="4439" spans="1:66">
      <c r="A4439">
        <v>101541</v>
      </c>
      <c r="B4439" s="3" t="s">
        <v>467</v>
      </c>
      <c r="C4439" s="1">
        <v>43300101</v>
      </c>
      <c r="D4439" t="s">
        <v>67</v>
      </c>
      <c r="H4439" t="str">
        <f t="shared" si="470"/>
        <v>08230471008</v>
      </c>
      <c r="I4439" t="str">
        <f t="shared" si="470"/>
        <v>08230471008</v>
      </c>
      <c r="K4439" t="str">
        <f>""</f>
        <v/>
      </c>
      <c r="M4439" t="s">
        <v>68</v>
      </c>
      <c r="N4439" t="str">
        <f t="shared" si="469"/>
        <v>FOR</v>
      </c>
      <c r="O4439" t="s">
        <v>69</v>
      </c>
      <c r="P4439" s="3" t="s">
        <v>75</v>
      </c>
      <c r="Q4439">
        <v>2016</v>
      </c>
      <c r="R4439" s="2">
        <v>42412</v>
      </c>
      <c r="S4439" s="2">
        <v>42422</v>
      </c>
      <c r="T4439" s="2">
        <v>42419</v>
      </c>
      <c r="U4439" s="2">
        <v>42479</v>
      </c>
      <c r="V4439" t="s">
        <v>71</v>
      </c>
      <c r="W4439" t="str">
        <f>"               51185"</f>
        <v xml:space="preserve">               51185</v>
      </c>
      <c r="X4439">
        <v>305</v>
      </c>
      <c r="Y4439">
        <v>0</v>
      </c>
      <c r="Z4439" s="3">
        <v>250</v>
      </c>
      <c r="AA4439">
        <v>239</v>
      </c>
      <c r="AB4439" s="5">
        <v>59750</v>
      </c>
      <c r="AC4439">
        <v>250</v>
      </c>
      <c r="AD4439">
        <v>239</v>
      </c>
      <c r="AE4439" s="1">
        <v>59750</v>
      </c>
      <c r="AF4439">
        <v>55</v>
      </c>
      <c r="AJ4439">
        <v>0</v>
      </c>
      <c r="AK4439">
        <v>0</v>
      </c>
      <c r="AL4439">
        <v>0</v>
      </c>
      <c r="AM4439">
        <v>305</v>
      </c>
      <c r="AN4439">
        <v>305</v>
      </c>
      <c r="AO4439">
        <v>305</v>
      </c>
      <c r="AP4439" s="2">
        <v>42746</v>
      </c>
      <c r="AQ4439" t="s">
        <v>72</v>
      </c>
      <c r="AR4439" t="s">
        <v>72</v>
      </c>
      <c r="AS4439">
        <v>3474</v>
      </c>
      <c r="AT4439" s="4">
        <v>42718</v>
      </c>
      <c r="AU4439" t="s">
        <v>73</v>
      </c>
      <c r="AV4439">
        <v>3474</v>
      </c>
      <c r="AW4439" s="4">
        <v>42718</v>
      </c>
      <c r="BD4439">
        <v>55</v>
      </c>
      <c r="BN4439" t="s">
        <v>74</v>
      </c>
    </row>
    <row r="4440" spans="1:66">
      <c r="A4440">
        <v>101541</v>
      </c>
      <c r="B4440" s="3" t="s">
        <v>467</v>
      </c>
      <c r="C4440" s="1">
        <v>43300101</v>
      </c>
      <c r="D4440" t="s">
        <v>67</v>
      </c>
      <c r="H4440" t="str">
        <f t="shared" si="470"/>
        <v>08230471008</v>
      </c>
      <c r="I4440" t="str">
        <f t="shared" si="470"/>
        <v>08230471008</v>
      </c>
      <c r="K4440" t="str">
        <f>""</f>
        <v/>
      </c>
      <c r="M4440" t="s">
        <v>68</v>
      </c>
      <c r="N4440" t="str">
        <f t="shared" si="469"/>
        <v>FOR</v>
      </c>
      <c r="O4440" t="s">
        <v>69</v>
      </c>
      <c r="P4440" s="3" t="s">
        <v>75</v>
      </c>
      <c r="Q4440">
        <v>2016</v>
      </c>
      <c r="R4440" s="2">
        <v>42412</v>
      </c>
      <c r="S4440" s="2">
        <v>42422</v>
      </c>
      <c r="T4440" s="2">
        <v>42419</v>
      </c>
      <c r="U4440" s="2">
        <v>42479</v>
      </c>
      <c r="V4440" t="s">
        <v>71</v>
      </c>
      <c r="W4440" t="str">
        <f>"               51186"</f>
        <v xml:space="preserve">               51186</v>
      </c>
      <c r="X4440">
        <v>305</v>
      </c>
      <c r="Y4440">
        <v>0</v>
      </c>
      <c r="Z4440" s="3">
        <v>250</v>
      </c>
      <c r="AA4440">
        <v>239</v>
      </c>
      <c r="AB4440" s="5">
        <v>59750</v>
      </c>
      <c r="AC4440">
        <v>250</v>
      </c>
      <c r="AD4440">
        <v>239</v>
      </c>
      <c r="AE4440" s="1">
        <v>59750</v>
      </c>
      <c r="AF4440">
        <v>55</v>
      </c>
      <c r="AJ4440">
        <v>0</v>
      </c>
      <c r="AK4440">
        <v>0</v>
      </c>
      <c r="AL4440">
        <v>0</v>
      </c>
      <c r="AM4440">
        <v>305</v>
      </c>
      <c r="AN4440">
        <v>305</v>
      </c>
      <c r="AO4440">
        <v>305</v>
      </c>
      <c r="AP4440" s="2">
        <v>42746</v>
      </c>
      <c r="AQ4440" t="s">
        <v>72</v>
      </c>
      <c r="AR4440" t="s">
        <v>72</v>
      </c>
      <c r="AS4440">
        <v>3474</v>
      </c>
      <c r="AT4440" s="4">
        <v>42718</v>
      </c>
      <c r="AU4440" t="s">
        <v>73</v>
      </c>
      <c r="AV4440">
        <v>3474</v>
      </c>
      <c r="AW4440" s="4">
        <v>42718</v>
      </c>
      <c r="BD4440">
        <v>55</v>
      </c>
      <c r="BN4440" t="s">
        <v>74</v>
      </c>
    </row>
    <row r="4441" spans="1:66">
      <c r="A4441">
        <v>101541</v>
      </c>
      <c r="B4441" s="3" t="s">
        <v>467</v>
      </c>
      <c r="C4441" s="1">
        <v>43300101</v>
      </c>
      <c r="D4441" t="s">
        <v>67</v>
      </c>
      <c r="H4441" t="str">
        <f t="shared" si="470"/>
        <v>08230471008</v>
      </c>
      <c r="I4441" t="str">
        <f t="shared" si="470"/>
        <v>08230471008</v>
      </c>
      <c r="K4441" t="str">
        <f>""</f>
        <v/>
      </c>
      <c r="M4441" t="s">
        <v>68</v>
      </c>
      <c r="N4441" t="str">
        <f t="shared" si="469"/>
        <v>FOR</v>
      </c>
      <c r="O4441" t="s">
        <v>69</v>
      </c>
      <c r="P4441" s="3" t="s">
        <v>75</v>
      </c>
      <c r="Q4441">
        <v>2016</v>
      </c>
      <c r="R4441" s="2">
        <v>42412</v>
      </c>
      <c r="S4441" s="2">
        <v>42422</v>
      </c>
      <c r="T4441" s="2">
        <v>42419</v>
      </c>
      <c r="U4441" s="2">
        <v>42479</v>
      </c>
      <c r="V4441" t="s">
        <v>71</v>
      </c>
      <c r="W4441" t="str">
        <f>"               51187"</f>
        <v xml:space="preserve">               51187</v>
      </c>
      <c r="X4441">
        <v>305</v>
      </c>
      <c r="Y4441">
        <v>0</v>
      </c>
      <c r="Z4441" s="3">
        <v>250</v>
      </c>
      <c r="AA4441">
        <v>239</v>
      </c>
      <c r="AB4441" s="5">
        <v>59750</v>
      </c>
      <c r="AC4441">
        <v>250</v>
      </c>
      <c r="AD4441">
        <v>239</v>
      </c>
      <c r="AE4441" s="1">
        <v>59750</v>
      </c>
      <c r="AF4441">
        <v>55</v>
      </c>
      <c r="AJ4441">
        <v>0</v>
      </c>
      <c r="AK4441">
        <v>0</v>
      </c>
      <c r="AL4441">
        <v>0</v>
      </c>
      <c r="AM4441">
        <v>305</v>
      </c>
      <c r="AN4441">
        <v>305</v>
      </c>
      <c r="AO4441">
        <v>305</v>
      </c>
      <c r="AP4441" s="2">
        <v>42746</v>
      </c>
      <c r="AQ4441" t="s">
        <v>72</v>
      </c>
      <c r="AR4441" t="s">
        <v>72</v>
      </c>
      <c r="AS4441">
        <v>3474</v>
      </c>
      <c r="AT4441" s="4">
        <v>42718</v>
      </c>
      <c r="AU4441" t="s">
        <v>73</v>
      </c>
      <c r="AV4441">
        <v>3474</v>
      </c>
      <c r="AW4441" s="4">
        <v>42718</v>
      </c>
      <c r="BD4441">
        <v>55</v>
      </c>
      <c r="BN4441" t="s">
        <v>74</v>
      </c>
    </row>
    <row r="4442" spans="1:66">
      <c r="A4442">
        <v>101541</v>
      </c>
      <c r="B4442" s="3" t="s">
        <v>467</v>
      </c>
      <c r="C4442" s="1">
        <v>43300101</v>
      </c>
      <c r="D4442" t="s">
        <v>67</v>
      </c>
      <c r="H4442" t="str">
        <f t="shared" si="470"/>
        <v>08230471008</v>
      </c>
      <c r="I4442" t="str">
        <f t="shared" si="470"/>
        <v>08230471008</v>
      </c>
      <c r="K4442" t="str">
        <f>""</f>
        <v/>
      </c>
      <c r="M4442" t="s">
        <v>68</v>
      </c>
      <c r="N4442" t="str">
        <f t="shared" si="469"/>
        <v>FOR</v>
      </c>
      <c r="O4442" t="s">
        <v>69</v>
      </c>
      <c r="P4442" s="3" t="s">
        <v>75</v>
      </c>
      <c r="Q4442">
        <v>2016</v>
      </c>
      <c r="R4442" s="2">
        <v>42412</v>
      </c>
      <c r="S4442" s="2">
        <v>42422</v>
      </c>
      <c r="T4442" s="2">
        <v>42419</v>
      </c>
      <c r="U4442" s="2">
        <v>42479</v>
      </c>
      <c r="V4442" t="s">
        <v>71</v>
      </c>
      <c r="W4442" t="str">
        <f>"               51188"</f>
        <v xml:space="preserve">               51188</v>
      </c>
      <c r="X4442">
        <v>305</v>
      </c>
      <c r="Y4442">
        <v>0</v>
      </c>
      <c r="Z4442" s="3">
        <v>250</v>
      </c>
      <c r="AA4442">
        <v>239</v>
      </c>
      <c r="AB4442" s="5">
        <v>59750</v>
      </c>
      <c r="AC4442">
        <v>250</v>
      </c>
      <c r="AD4442">
        <v>239</v>
      </c>
      <c r="AE4442" s="1">
        <v>59750</v>
      </c>
      <c r="AF4442">
        <v>55</v>
      </c>
      <c r="AJ4442">
        <v>0</v>
      </c>
      <c r="AK4442">
        <v>0</v>
      </c>
      <c r="AL4442">
        <v>0</v>
      </c>
      <c r="AM4442">
        <v>305</v>
      </c>
      <c r="AN4442">
        <v>305</v>
      </c>
      <c r="AO4442">
        <v>305</v>
      </c>
      <c r="AP4442" s="2">
        <v>42746</v>
      </c>
      <c r="AQ4442" t="s">
        <v>72</v>
      </c>
      <c r="AR4442" t="s">
        <v>72</v>
      </c>
      <c r="AS4442">
        <v>3474</v>
      </c>
      <c r="AT4442" s="4">
        <v>42718</v>
      </c>
      <c r="AU4442" t="s">
        <v>73</v>
      </c>
      <c r="AV4442">
        <v>3474</v>
      </c>
      <c r="AW4442" s="4">
        <v>42718</v>
      </c>
      <c r="BD4442">
        <v>55</v>
      </c>
      <c r="BN4442" t="s">
        <v>74</v>
      </c>
    </row>
    <row r="4443" spans="1:66">
      <c r="A4443">
        <v>101541</v>
      </c>
      <c r="B4443" s="3" t="s">
        <v>467</v>
      </c>
      <c r="C4443" s="1">
        <v>43300101</v>
      </c>
      <c r="D4443" t="s">
        <v>67</v>
      </c>
      <c r="H4443" t="str">
        <f t="shared" si="470"/>
        <v>08230471008</v>
      </c>
      <c r="I4443" t="str">
        <f t="shared" si="470"/>
        <v>08230471008</v>
      </c>
      <c r="K4443" t="str">
        <f>""</f>
        <v/>
      </c>
      <c r="M4443" t="s">
        <v>68</v>
      </c>
      <c r="N4443" t="str">
        <f t="shared" si="469"/>
        <v>FOR</v>
      </c>
      <c r="O4443" t="s">
        <v>69</v>
      </c>
      <c r="P4443" s="3" t="s">
        <v>75</v>
      </c>
      <c r="Q4443">
        <v>2016</v>
      </c>
      <c r="R4443" s="2">
        <v>42412</v>
      </c>
      <c r="S4443" s="2">
        <v>42422</v>
      </c>
      <c r="T4443" s="2">
        <v>42419</v>
      </c>
      <c r="U4443" s="2">
        <v>42479</v>
      </c>
      <c r="V4443" t="s">
        <v>71</v>
      </c>
      <c r="W4443" t="str">
        <f>"               51189"</f>
        <v xml:space="preserve">               51189</v>
      </c>
      <c r="X4443">
        <v>305</v>
      </c>
      <c r="Y4443">
        <v>0</v>
      </c>
      <c r="Z4443" s="3">
        <v>250</v>
      </c>
      <c r="AA4443">
        <v>239</v>
      </c>
      <c r="AB4443" s="5">
        <v>59750</v>
      </c>
      <c r="AC4443">
        <v>250</v>
      </c>
      <c r="AD4443">
        <v>239</v>
      </c>
      <c r="AE4443" s="1">
        <v>59750</v>
      </c>
      <c r="AF4443">
        <v>55</v>
      </c>
      <c r="AJ4443">
        <v>0</v>
      </c>
      <c r="AK4443">
        <v>0</v>
      </c>
      <c r="AL4443">
        <v>0</v>
      </c>
      <c r="AM4443">
        <v>305</v>
      </c>
      <c r="AN4443">
        <v>305</v>
      </c>
      <c r="AO4443">
        <v>305</v>
      </c>
      <c r="AP4443" s="2">
        <v>42746</v>
      </c>
      <c r="AQ4443" t="s">
        <v>72</v>
      </c>
      <c r="AR4443" t="s">
        <v>72</v>
      </c>
      <c r="AS4443">
        <v>3474</v>
      </c>
      <c r="AT4443" s="4">
        <v>42718</v>
      </c>
      <c r="AU4443" t="s">
        <v>73</v>
      </c>
      <c r="AV4443">
        <v>3474</v>
      </c>
      <c r="AW4443" s="4">
        <v>42718</v>
      </c>
      <c r="BD4443">
        <v>55</v>
      </c>
      <c r="BN4443" t="s">
        <v>74</v>
      </c>
    </row>
    <row r="4444" spans="1:66">
      <c r="A4444">
        <v>101541</v>
      </c>
      <c r="B4444" s="3" t="s">
        <v>467</v>
      </c>
      <c r="C4444" s="1">
        <v>43300101</v>
      </c>
      <c r="D4444" t="s">
        <v>67</v>
      </c>
      <c r="H4444" t="str">
        <f t="shared" si="470"/>
        <v>08230471008</v>
      </c>
      <c r="I4444" t="str">
        <f t="shared" si="470"/>
        <v>08230471008</v>
      </c>
      <c r="K4444" t="str">
        <f>""</f>
        <v/>
      </c>
      <c r="M4444" t="s">
        <v>68</v>
      </c>
      <c r="N4444" t="str">
        <f t="shared" si="469"/>
        <v>FOR</v>
      </c>
      <c r="O4444" t="s">
        <v>69</v>
      </c>
      <c r="P4444" s="3" t="s">
        <v>75</v>
      </c>
      <c r="Q4444">
        <v>2016</v>
      </c>
      <c r="R4444" s="2">
        <v>42412</v>
      </c>
      <c r="S4444" s="2">
        <v>42422</v>
      </c>
      <c r="T4444" s="2">
        <v>42419</v>
      </c>
      <c r="U4444" s="2">
        <v>42479</v>
      </c>
      <c r="V4444" t="s">
        <v>71</v>
      </c>
      <c r="W4444" t="str">
        <f>"               51190"</f>
        <v xml:space="preserve">               51190</v>
      </c>
      <c r="X4444">
        <v>305</v>
      </c>
      <c r="Y4444">
        <v>0</v>
      </c>
      <c r="Z4444" s="3">
        <v>250</v>
      </c>
      <c r="AA4444">
        <v>239</v>
      </c>
      <c r="AB4444" s="5">
        <v>59750</v>
      </c>
      <c r="AC4444">
        <v>250</v>
      </c>
      <c r="AD4444">
        <v>239</v>
      </c>
      <c r="AE4444" s="1">
        <v>59750</v>
      </c>
      <c r="AF4444">
        <v>55</v>
      </c>
      <c r="AJ4444">
        <v>0</v>
      </c>
      <c r="AK4444">
        <v>0</v>
      </c>
      <c r="AL4444">
        <v>0</v>
      </c>
      <c r="AM4444">
        <v>305</v>
      </c>
      <c r="AN4444">
        <v>305</v>
      </c>
      <c r="AO4444">
        <v>305</v>
      </c>
      <c r="AP4444" s="2">
        <v>42746</v>
      </c>
      <c r="AQ4444" t="s">
        <v>72</v>
      </c>
      <c r="AR4444" t="s">
        <v>72</v>
      </c>
      <c r="AS4444">
        <v>3474</v>
      </c>
      <c r="AT4444" s="4">
        <v>42718</v>
      </c>
      <c r="AU4444" t="s">
        <v>73</v>
      </c>
      <c r="AV4444">
        <v>3474</v>
      </c>
      <c r="AW4444" s="4">
        <v>42718</v>
      </c>
      <c r="BD4444">
        <v>55</v>
      </c>
      <c r="BN4444" t="s">
        <v>74</v>
      </c>
    </row>
    <row r="4445" spans="1:66">
      <c r="A4445">
        <v>101541</v>
      </c>
      <c r="B4445" s="3" t="s">
        <v>467</v>
      </c>
      <c r="C4445" s="1">
        <v>43300101</v>
      </c>
      <c r="D4445" t="s">
        <v>67</v>
      </c>
      <c r="H4445" t="str">
        <f t="shared" si="470"/>
        <v>08230471008</v>
      </c>
      <c r="I4445" t="str">
        <f t="shared" si="470"/>
        <v>08230471008</v>
      </c>
      <c r="K4445" t="str">
        <f>""</f>
        <v/>
      </c>
      <c r="M4445" t="s">
        <v>68</v>
      </c>
      <c r="N4445" t="str">
        <f t="shared" si="469"/>
        <v>FOR</v>
      </c>
      <c r="O4445" t="s">
        <v>69</v>
      </c>
      <c r="P4445" s="3" t="s">
        <v>75</v>
      </c>
      <c r="Q4445">
        <v>2016</v>
      </c>
      <c r="R4445" s="2">
        <v>42412</v>
      </c>
      <c r="S4445" s="2">
        <v>42422</v>
      </c>
      <c r="T4445" s="2">
        <v>42419</v>
      </c>
      <c r="U4445" s="2">
        <v>42479</v>
      </c>
      <c r="V4445" t="s">
        <v>71</v>
      </c>
      <c r="W4445" t="str">
        <f>"               51191"</f>
        <v xml:space="preserve">               51191</v>
      </c>
      <c r="X4445">
        <v>305</v>
      </c>
      <c r="Y4445">
        <v>0</v>
      </c>
      <c r="Z4445" s="3">
        <v>250</v>
      </c>
      <c r="AA4445">
        <v>239</v>
      </c>
      <c r="AB4445" s="5">
        <v>59750</v>
      </c>
      <c r="AC4445">
        <v>250</v>
      </c>
      <c r="AD4445">
        <v>239</v>
      </c>
      <c r="AE4445" s="1">
        <v>59750</v>
      </c>
      <c r="AF4445">
        <v>55</v>
      </c>
      <c r="AJ4445">
        <v>0</v>
      </c>
      <c r="AK4445">
        <v>0</v>
      </c>
      <c r="AL4445">
        <v>0</v>
      </c>
      <c r="AM4445">
        <v>305</v>
      </c>
      <c r="AN4445">
        <v>305</v>
      </c>
      <c r="AO4445">
        <v>305</v>
      </c>
      <c r="AP4445" s="2">
        <v>42746</v>
      </c>
      <c r="AQ4445" t="s">
        <v>72</v>
      </c>
      <c r="AR4445" t="s">
        <v>72</v>
      </c>
      <c r="AS4445">
        <v>3474</v>
      </c>
      <c r="AT4445" s="4">
        <v>42718</v>
      </c>
      <c r="AU4445" t="s">
        <v>73</v>
      </c>
      <c r="AV4445">
        <v>3474</v>
      </c>
      <c r="AW4445" s="4">
        <v>42718</v>
      </c>
      <c r="BD4445">
        <v>55</v>
      </c>
      <c r="BN4445" t="s">
        <v>74</v>
      </c>
    </row>
    <row r="4446" spans="1:66">
      <c r="A4446">
        <v>101541</v>
      </c>
      <c r="B4446" s="3" t="s">
        <v>467</v>
      </c>
      <c r="C4446" s="1">
        <v>43300101</v>
      </c>
      <c r="D4446" t="s">
        <v>67</v>
      </c>
      <c r="H4446" t="str">
        <f t="shared" si="470"/>
        <v>08230471008</v>
      </c>
      <c r="I4446" t="str">
        <f t="shared" si="470"/>
        <v>08230471008</v>
      </c>
      <c r="K4446" t="str">
        <f>""</f>
        <v/>
      </c>
      <c r="M4446" t="s">
        <v>68</v>
      </c>
      <c r="N4446" t="str">
        <f t="shared" si="469"/>
        <v>FOR</v>
      </c>
      <c r="O4446" t="s">
        <v>69</v>
      </c>
      <c r="P4446" s="3" t="s">
        <v>75</v>
      </c>
      <c r="Q4446">
        <v>2016</v>
      </c>
      <c r="R4446" s="2">
        <v>42412</v>
      </c>
      <c r="S4446" s="2">
        <v>42422</v>
      </c>
      <c r="T4446" s="2">
        <v>42419</v>
      </c>
      <c r="U4446" s="2">
        <v>42479</v>
      </c>
      <c r="V4446" t="s">
        <v>71</v>
      </c>
      <c r="W4446" t="str">
        <f>"               51192"</f>
        <v xml:space="preserve">               51192</v>
      </c>
      <c r="X4446">
        <v>305</v>
      </c>
      <c r="Y4446">
        <v>0</v>
      </c>
      <c r="Z4446" s="3">
        <v>250</v>
      </c>
      <c r="AA4446">
        <v>239</v>
      </c>
      <c r="AB4446" s="5">
        <v>59750</v>
      </c>
      <c r="AC4446">
        <v>250</v>
      </c>
      <c r="AD4446">
        <v>239</v>
      </c>
      <c r="AE4446" s="1">
        <v>59750</v>
      </c>
      <c r="AF4446">
        <v>55</v>
      </c>
      <c r="AJ4446">
        <v>0</v>
      </c>
      <c r="AK4446">
        <v>0</v>
      </c>
      <c r="AL4446">
        <v>0</v>
      </c>
      <c r="AM4446">
        <v>305</v>
      </c>
      <c r="AN4446">
        <v>305</v>
      </c>
      <c r="AO4446">
        <v>305</v>
      </c>
      <c r="AP4446" s="2">
        <v>42746</v>
      </c>
      <c r="AQ4446" t="s">
        <v>72</v>
      </c>
      <c r="AR4446" t="s">
        <v>72</v>
      </c>
      <c r="AS4446">
        <v>3474</v>
      </c>
      <c r="AT4446" s="4">
        <v>42718</v>
      </c>
      <c r="AU4446" t="s">
        <v>73</v>
      </c>
      <c r="AV4446">
        <v>3474</v>
      </c>
      <c r="AW4446" s="4">
        <v>42718</v>
      </c>
      <c r="BD4446">
        <v>55</v>
      </c>
      <c r="BN4446" t="s">
        <v>74</v>
      </c>
    </row>
    <row r="4447" spans="1:66">
      <c r="A4447">
        <v>101541</v>
      </c>
      <c r="B4447" s="3" t="s">
        <v>467</v>
      </c>
      <c r="C4447" s="1">
        <v>43300101</v>
      </c>
      <c r="D4447" t="s">
        <v>67</v>
      </c>
      <c r="H4447" t="str">
        <f t="shared" si="470"/>
        <v>08230471008</v>
      </c>
      <c r="I4447" t="str">
        <f t="shared" si="470"/>
        <v>08230471008</v>
      </c>
      <c r="K4447" t="str">
        <f>""</f>
        <v/>
      </c>
      <c r="M4447" t="s">
        <v>68</v>
      </c>
      <c r="N4447" t="str">
        <f t="shared" si="469"/>
        <v>FOR</v>
      </c>
      <c r="O4447" t="s">
        <v>69</v>
      </c>
      <c r="P4447" s="3" t="s">
        <v>75</v>
      </c>
      <c r="Q4447">
        <v>2016</v>
      </c>
      <c r="R4447" s="2">
        <v>42419</v>
      </c>
      <c r="S4447" s="2">
        <v>42436</v>
      </c>
      <c r="T4447" s="2">
        <v>42426</v>
      </c>
      <c r="U4447" s="2">
        <v>42486</v>
      </c>
      <c r="V4447" t="s">
        <v>71</v>
      </c>
      <c r="W4447" t="str">
        <f>"               51411"</f>
        <v xml:space="preserve">               51411</v>
      </c>
      <c r="X4447">
        <v>305</v>
      </c>
      <c r="Y4447">
        <v>0</v>
      </c>
      <c r="Z4447" s="3">
        <v>250</v>
      </c>
      <c r="AA4447">
        <v>232</v>
      </c>
      <c r="AB4447" s="5">
        <v>58000</v>
      </c>
      <c r="AC4447">
        <v>250</v>
      </c>
      <c r="AD4447">
        <v>232</v>
      </c>
      <c r="AE4447" s="1">
        <v>58000</v>
      </c>
      <c r="AF4447">
        <v>55</v>
      </c>
      <c r="AJ4447">
        <v>0</v>
      </c>
      <c r="AK4447">
        <v>0</v>
      </c>
      <c r="AL4447">
        <v>0</v>
      </c>
      <c r="AM4447">
        <v>305</v>
      </c>
      <c r="AN4447">
        <v>305</v>
      </c>
      <c r="AO4447">
        <v>305</v>
      </c>
      <c r="AP4447" s="2">
        <v>42746</v>
      </c>
      <c r="AQ4447" t="s">
        <v>72</v>
      </c>
      <c r="AR4447" t="s">
        <v>72</v>
      </c>
      <c r="AS4447">
        <v>3474</v>
      </c>
      <c r="AT4447" s="4">
        <v>42718</v>
      </c>
      <c r="AU4447" t="s">
        <v>73</v>
      </c>
      <c r="AV4447">
        <v>3474</v>
      </c>
      <c r="AW4447" s="4">
        <v>42718</v>
      </c>
      <c r="BD4447">
        <v>55</v>
      </c>
      <c r="BN4447" t="s">
        <v>74</v>
      </c>
    </row>
    <row r="4448" spans="1:66">
      <c r="A4448">
        <v>101541</v>
      </c>
      <c r="B4448" s="3" t="s">
        <v>467</v>
      </c>
      <c r="C4448" s="1">
        <v>43300101</v>
      </c>
      <c r="D4448" t="s">
        <v>67</v>
      </c>
      <c r="H4448" t="str">
        <f t="shared" si="470"/>
        <v>08230471008</v>
      </c>
      <c r="I4448" t="str">
        <f t="shared" si="470"/>
        <v>08230471008</v>
      </c>
      <c r="K4448" t="str">
        <f>""</f>
        <v/>
      </c>
      <c r="M4448" t="s">
        <v>68</v>
      </c>
      <c r="N4448" t="str">
        <f t="shared" si="469"/>
        <v>FOR</v>
      </c>
      <c r="O4448" t="s">
        <v>69</v>
      </c>
      <c r="P4448" s="3" t="s">
        <v>75</v>
      </c>
      <c r="Q4448">
        <v>2016</v>
      </c>
      <c r="R4448" s="2">
        <v>42419</v>
      </c>
      <c r="S4448" s="2">
        <v>42436</v>
      </c>
      <c r="T4448" s="2">
        <v>42426</v>
      </c>
      <c r="U4448" s="2">
        <v>42486</v>
      </c>
      <c r="V4448" t="s">
        <v>71</v>
      </c>
      <c r="W4448" t="str">
        <f>"               51412"</f>
        <v xml:space="preserve">               51412</v>
      </c>
      <c r="X4448">
        <v>305</v>
      </c>
      <c r="Y4448">
        <v>0</v>
      </c>
      <c r="Z4448" s="3">
        <v>250</v>
      </c>
      <c r="AA4448">
        <v>232</v>
      </c>
      <c r="AB4448" s="5">
        <v>58000</v>
      </c>
      <c r="AC4448">
        <v>250</v>
      </c>
      <c r="AD4448">
        <v>232</v>
      </c>
      <c r="AE4448" s="1">
        <v>58000</v>
      </c>
      <c r="AF4448">
        <v>55</v>
      </c>
      <c r="AJ4448">
        <v>0</v>
      </c>
      <c r="AK4448">
        <v>0</v>
      </c>
      <c r="AL4448">
        <v>0</v>
      </c>
      <c r="AM4448">
        <v>305</v>
      </c>
      <c r="AN4448">
        <v>305</v>
      </c>
      <c r="AO4448">
        <v>305</v>
      </c>
      <c r="AP4448" s="2">
        <v>42746</v>
      </c>
      <c r="AQ4448" t="s">
        <v>72</v>
      </c>
      <c r="AR4448" t="s">
        <v>72</v>
      </c>
      <c r="AS4448">
        <v>3474</v>
      </c>
      <c r="AT4448" s="4">
        <v>42718</v>
      </c>
      <c r="AU4448" t="s">
        <v>73</v>
      </c>
      <c r="AV4448">
        <v>3474</v>
      </c>
      <c r="AW4448" s="4">
        <v>42718</v>
      </c>
      <c r="BD4448">
        <v>55</v>
      </c>
      <c r="BN4448" t="s">
        <v>74</v>
      </c>
    </row>
    <row r="4449" spans="1:66">
      <c r="A4449">
        <v>101541</v>
      </c>
      <c r="B4449" s="3" t="s">
        <v>467</v>
      </c>
      <c r="C4449" s="1">
        <v>43300101</v>
      </c>
      <c r="D4449" t="s">
        <v>67</v>
      </c>
      <c r="H4449" t="str">
        <f t="shared" si="470"/>
        <v>08230471008</v>
      </c>
      <c r="I4449" t="str">
        <f t="shared" si="470"/>
        <v>08230471008</v>
      </c>
      <c r="K4449" t="str">
        <f>""</f>
        <v/>
      </c>
      <c r="M4449" t="s">
        <v>68</v>
      </c>
      <c r="N4449" t="str">
        <f t="shared" si="469"/>
        <v>FOR</v>
      </c>
      <c r="O4449" t="s">
        <v>69</v>
      </c>
      <c r="P4449" s="3" t="s">
        <v>75</v>
      </c>
      <c r="Q4449">
        <v>2016</v>
      </c>
      <c r="R4449" s="2">
        <v>42419</v>
      </c>
      <c r="S4449" s="2">
        <v>42436</v>
      </c>
      <c r="T4449" s="2">
        <v>42426</v>
      </c>
      <c r="U4449" s="2">
        <v>42486</v>
      </c>
      <c r="V4449" t="s">
        <v>71</v>
      </c>
      <c r="W4449" t="str">
        <f>"               51413"</f>
        <v xml:space="preserve">               51413</v>
      </c>
      <c r="X4449">
        <v>728</v>
      </c>
      <c r="Y4449">
        <v>0</v>
      </c>
      <c r="Z4449" s="3">
        <v>700</v>
      </c>
      <c r="AA4449">
        <v>232</v>
      </c>
      <c r="AB4449" s="5">
        <v>162400</v>
      </c>
      <c r="AC4449">
        <v>700</v>
      </c>
      <c r="AD4449">
        <v>232</v>
      </c>
      <c r="AE4449" s="1">
        <v>162400</v>
      </c>
      <c r="AF4449">
        <v>28</v>
      </c>
      <c r="AJ4449">
        <v>0</v>
      </c>
      <c r="AK4449">
        <v>0</v>
      </c>
      <c r="AL4449">
        <v>0</v>
      </c>
      <c r="AM4449">
        <v>728</v>
      </c>
      <c r="AN4449">
        <v>728</v>
      </c>
      <c r="AO4449">
        <v>728</v>
      </c>
      <c r="AP4449" s="2">
        <v>42746</v>
      </c>
      <c r="AQ4449" t="s">
        <v>72</v>
      </c>
      <c r="AR4449" t="s">
        <v>72</v>
      </c>
      <c r="AS4449">
        <v>3474</v>
      </c>
      <c r="AT4449" s="4">
        <v>42718</v>
      </c>
      <c r="AU4449" t="s">
        <v>73</v>
      </c>
      <c r="AV4449">
        <v>3474</v>
      </c>
      <c r="AW4449" s="4">
        <v>42718</v>
      </c>
      <c r="BD4449">
        <v>28</v>
      </c>
      <c r="BN4449" t="s">
        <v>74</v>
      </c>
    </row>
    <row r="4450" spans="1:66">
      <c r="A4450">
        <v>101541</v>
      </c>
      <c r="B4450" s="3" t="s">
        <v>467</v>
      </c>
      <c r="C4450" s="1">
        <v>43300101</v>
      </c>
      <c r="D4450" t="s">
        <v>67</v>
      </c>
      <c r="H4450" t="str">
        <f t="shared" si="470"/>
        <v>08230471008</v>
      </c>
      <c r="I4450" t="str">
        <f t="shared" si="470"/>
        <v>08230471008</v>
      </c>
      <c r="K4450" t="str">
        <f>""</f>
        <v/>
      </c>
      <c r="M4450" t="s">
        <v>68</v>
      </c>
      <c r="N4450" t="str">
        <f t="shared" si="469"/>
        <v>FOR</v>
      </c>
      <c r="O4450" t="s">
        <v>69</v>
      </c>
      <c r="P4450" s="3" t="s">
        <v>75</v>
      </c>
      <c r="Q4450">
        <v>2016</v>
      </c>
      <c r="R4450" s="2">
        <v>42419</v>
      </c>
      <c r="S4450" s="2">
        <v>42436</v>
      </c>
      <c r="T4450" s="2">
        <v>42426</v>
      </c>
      <c r="U4450" s="2">
        <v>42486</v>
      </c>
      <c r="V4450" t="s">
        <v>71</v>
      </c>
      <c r="W4450" t="str">
        <f>"               51414"</f>
        <v xml:space="preserve">               51414</v>
      </c>
      <c r="X4450">
        <v>728</v>
      </c>
      <c r="Y4450">
        <v>0</v>
      </c>
      <c r="Z4450" s="3">
        <v>700</v>
      </c>
      <c r="AA4450">
        <v>232</v>
      </c>
      <c r="AB4450" s="5">
        <v>162400</v>
      </c>
      <c r="AC4450">
        <v>700</v>
      </c>
      <c r="AD4450">
        <v>232</v>
      </c>
      <c r="AE4450" s="1">
        <v>162400</v>
      </c>
      <c r="AF4450">
        <v>28</v>
      </c>
      <c r="AJ4450">
        <v>0</v>
      </c>
      <c r="AK4450">
        <v>0</v>
      </c>
      <c r="AL4450">
        <v>0</v>
      </c>
      <c r="AM4450">
        <v>728</v>
      </c>
      <c r="AN4450">
        <v>728</v>
      </c>
      <c r="AO4450">
        <v>728</v>
      </c>
      <c r="AP4450" s="2">
        <v>42746</v>
      </c>
      <c r="AQ4450" t="s">
        <v>72</v>
      </c>
      <c r="AR4450" t="s">
        <v>72</v>
      </c>
      <c r="AS4450">
        <v>3474</v>
      </c>
      <c r="AT4450" s="4">
        <v>42718</v>
      </c>
      <c r="AU4450" t="s">
        <v>73</v>
      </c>
      <c r="AV4450">
        <v>3474</v>
      </c>
      <c r="AW4450" s="4">
        <v>42718</v>
      </c>
      <c r="BD4450">
        <v>28</v>
      </c>
      <c r="BN4450" t="s">
        <v>74</v>
      </c>
    </row>
    <row r="4451" spans="1:66">
      <c r="A4451">
        <v>101541</v>
      </c>
      <c r="B4451" s="3" t="s">
        <v>467</v>
      </c>
      <c r="C4451" s="1">
        <v>43300101</v>
      </c>
      <c r="D4451" t="s">
        <v>67</v>
      </c>
      <c r="H4451" t="str">
        <f t="shared" si="470"/>
        <v>08230471008</v>
      </c>
      <c r="I4451" t="str">
        <f t="shared" si="470"/>
        <v>08230471008</v>
      </c>
      <c r="K4451" t="str">
        <f>""</f>
        <v/>
      </c>
      <c r="M4451" t="s">
        <v>68</v>
      </c>
      <c r="N4451" t="str">
        <f t="shared" si="469"/>
        <v>FOR</v>
      </c>
      <c r="O4451" t="s">
        <v>69</v>
      </c>
      <c r="P4451" s="3" t="s">
        <v>75</v>
      </c>
      <c r="Q4451">
        <v>2016</v>
      </c>
      <c r="R4451" s="2">
        <v>42419</v>
      </c>
      <c r="S4451" s="2">
        <v>42436</v>
      </c>
      <c r="T4451" s="2">
        <v>42426</v>
      </c>
      <c r="U4451" s="2">
        <v>42486</v>
      </c>
      <c r="V4451" t="s">
        <v>71</v>
      </c>
      <c r="W4451" t="str">
        <f>"               51415"</f>
        <v xml:space="preserve">               51415</v>
      </c>
      <c r="X4451">
        <v>305</v>
      </c>
      <c r="Y4451">
        <v>0</v>
      </c>
      <c r="Z4451" s="3">
        <v>250</v>
      </c>
      <c r="AA4451">
        <v>232</v>
      </c>
      <c r="AB4451" s="5">
        <v>58000</v>
      </c>
      <c r="AC4451">
        <v>250</v>
      </c>
      <c r="AD4451">
        <v>232</v>
      </c>
      <c r="AE4451" s="1">
        <v>58000</v>
      </c>
      <c r="AF4451">
        <v>55</v>
      </c>
      <c r="AJ4451">
        <v>0</v>
      </c>
      <c r="AK4451">
        <v>0</v>
      </c>
      <c r="AL4451">
        <v>0</v>
      </c>
      <c r="AM4451">
        <v>305</v>
      </c>
      <c r="AN4451">
        <v>305</v>
      </c>
      <c r="AO4451">
        <v>305</v>
      </c>
      <c r="AP4451" s="2">
        <v>42746</v>
      </c>
      <c r="AQ4451" t="s">
        <v>72</v>
      </c>
      <c r="AR4451" t="s">
        <v>72</v>
      </c>
      <c r="AS4451">
        <v>3474</v>
      </c>
      <c r="AT4451" s="4">
        <v>42718</v>
      </c>
      <c r="AU4451" t="s">
        <v>73</v>
      </c>
      <c r="AV4451">
        <v>3474</v>
      </c>
      <c r="AW4451" s="4">
        <v>42718</v>
      </c>
      <c r="BD4451">
        <v>55</v>
      </c>
      <c r="BN4451" t="s">
        <v>74</v>
      </c>
    </row>
    <row r="4452" spans="1:66">
      <c r="A4452">
        <v>101541</v>
      </c>
      <c r="B4452" s="3" t="s">
        <v>467</v>
      </c>
      <c r="C4452" s="1">
        <v>43300101</v>
      </c>
      <c r="D4452" t="s">
        <v>67</v>
      </c>
      <c r="H4452" t="str">
        <f t="shared" si="470"/>
        <v>08230471008</v>
      </c>
      <c r="I4452" t="str">
        <f t="shared" si="470"/>
        <v>08230471008</v>
      </c>
      <c r="K4452" t="str">
        <f>""</f>
        <v/>
      </c>
      <c r="M4452" t="s">
        <v>68</v>
      </c>
      <c r="N4452" t="str">
        <f t="shared" si="469"/>
        <v>FOR</v>
      </c>
      <c r="O4452" t="s">
        <v>69</v>
      </c>
      <c r="P4452" s="3" t="s">
        <v>75</v>
      </c>
      <c r="Q4452">
        <v>2016</v>
      </c>
      <c r="R4452" s="2">
        <v>42419</v>
      </c>
      <c r="S4452" s="2">
        <v>42436</v>
      </c>
      <c r="T4452" s="2">
        <v>42426</v>
      </c>
      <c r="U4452" s="2">
        <v>42486</v>
      </c>
      <c r="V4452" t="s">
        <v>71</v>
      </c>
      <c r="W4452" t="str">
        <f>"               51416"</f>
        <v xml:space="preserve">               51416</v>
      </c>
      <c r="X4452">
        <v>305</v>
      </c>
      <c r="Y4452">
        <v>0</v>
      </c>
      <c r="Z4452" s="3">
        <v>250</v>
      </c>
      <c r="AA4452">
        <v>232</v>
      </c>
      <c r="AB4452" s="5">
        <v>58000</v>
      </c>
      <c r="AC4452">
        <v>250</v>
      </c>
      <c r="AD4452">
        <v>232</v>
      </c>
      <c r="AE4452" s="1">
        <v>58000</v>
      </c>
      <c r="AF4452">
        <v>55</v>
      </c>
      <c r="AJ4452">
        <v>0</v>
      </c>
      <c r="AK4452">
        <v>0</v>
      </c>
      <c r="AL4452">
        <v>0</v>
      </c>
      <c r="AM4452">
        <v>305</v>
      </c>
      <c r="AN4452">
        <v>305</v>
      </c>
      <c r="AO4452">
        <v>305</v>
      </c>
      <c r="AP4452" s="2">
        <v>42746</v>
      </c>
      <c r="AQ4452" t="s">
        <v>72</v>
      </c>
      <c r="AR4452" t="s">
        <v>72</v>
      </c>
      <c r="AS4452">
        <v>3474</v>
      </c>
      <c r="AT4452" s="4">
        <v>42718</v>
      </c>
      <c r="AU4452" t="s">
        <v>73</v>
      </c>
      <c r="AV4452">
        <v>3474</v>
      </c>
      <c r="AW4452" s="4">
        <v>42718</v>
      </c>
      <c r="BD4452">
        <v>55</v>
      </c>
      <c r="BN4452" t="s">
        <v>74</v>
      </c>
    </row>
    <row r="4453" spans="1:66">
      <c r="A4453">
        <v>101541</v>
      </c>
      <c r="B4453" s="3" t="s">
        <v>467</v>
      </c>
      <c r="C4453" s="1">
        <v>43300101</v>
      </c>
      <c r="D4453" t="s">
        <v>67</v>
      </c>
      <c r="H4453" t="str">
        <f t="shared" si="470"/>
        <v>08230471008</v>
      </c>
      <c r="I4453" t="str">
        <f t="shared" si="470"/>
        <v>08230471008</v>
      </c>
      <c r="K4453" t="str">
        <f>""</f>
        <v/>
      </c>
      <c r="M4453" t="s">
        <v>68</v>
      </c>
      <c r="N4453" t="str">
        <f t="shared" si="469"/>
        <v>FOR</v>
      </c>
      <c r="O4453" t="s">
        <v>69</v>
      </c>
      <c r="P4453" s="3" t="s">
        <v>75</v>
      </c>
      <c r="Q4453">
        <v>2016</v>
      </c>
      <c r="R4453" s="2">
        <v>42419</v>
      </c>
      <c r="S4453" s="2">
        <v>42436</v>
      </c>
      <c r="T4453" s="2">
        <v>42426</v>
      </c>
      <c r="U4453" s="2">
        <v>42486</v>
      </c>
      <c r="V4453" t="s">
        <v>71</v>
      </c>
      <c r="W4453" t="str">
        <f>"               51417"</f>
        <v xml:space="preserve">               51417</v>
      </c>
      <c r="X4453">
        <v>335.5</v>
      </c>
      <c r="Y4453">
        <v>0</v>
      </c>
      <c r="Z4453" s="3">
        <v>275</v>
      </c>
      <c r="AA4453">
        <v>232</v>
      </c>
      <c r="AB4453" s="5">
        <v>63800</v>
      </c>
      <c r="AC4453">
        <v>275</v>
      </c>
      <c r="AD4453">
        <v>232</v>
      </c>
      <c r="AE4453" s="1">
        <v>63800</v>
      </c>
      <c r="AF4453">
        <v>60.5</v>
      </c>
      <c r="AJ4453">
        <v>0</v>
      </c>
      <c r="AK4453">
        <v>0</v>
      </c>
      <c r="AL4453">
        <v>0</v>
      </c>
      <c r="AM4453">
        <v>335.5</v>
      </c>
      <c r="AN4453">
        <v>335.5</v>
      </c>
      <c r="AO4453">
        <v>335.5</v>
      </c>
      <c r="AP4453" s="2">
        <v>42746</v>
      </c>
      <c r="AQ4453" t="s">
        <v>72</v>
      </c>
      <c r="AR4453" t="s">
        <v>72</v>
      </c>
      <c r="AS4453">
        <v>3474</v>
      </c>
      <c r="AT4453" s="4">
        <v>42718</v>
      </c>
      <c r="AU4453" t="s">
        <v>73</v>
      </c>
      <c r="AV4453">
        <v>3474</v>
      </c>
      <c r="AW4453" s="4">
        <v>42718</v>
      </c>
      <c r="BD4453">
        <v>60.5</v>
      </c>
      <c r="BN4453" t="s">
        <v>74</v>
      </c>
    </row>
    <row r="4454" spans="1:66">
      <c r="A4454">
        <v>101541</v>
      </c>
      <c r="B4454" s="3" t="s">
        <v>467</v>
      </c>
      <c r="C4454" s="1">
        <v>43300101</v>
      </c>
      <c r="D4454" t="s">
        <v>67</v>
      </c>
      <c r="H4454" t="str">
        <f t="shared" si="470"/>
        <v>08230471008</v>
      </c>
      <c r="I4454" t="str">
        <f t="shared" si="470"/>
        <v>08230471008</v>
      </c>
      <c r="K4454" t="str">
        <f>""</f>
        <v/>
      </c>
      <c r="M4454" t="s">
        <v>68</v>
      </c>
      <c r="N4454" t="str">
        <f t="shared" si="469"/>
        <v>FOR</v>
      </c>
      <c r="O4454" t="s">
        <v>69</v>
      </c>
      <c r="P4454" s="3" t="s">
        <v>75</v>
      </c>
      <c r="Q4454">
        <v>2016</v>
      </c>
      <c r="R4454" s="2">
        <v>42426</v>
      </c>
      <c r="S4454" s="2">
        <v>42436</v>
      </c>
      <c r="T4454" s="2">
        <v>42433</v>
      </c>
      <c r="U4454" s="2">
        <v>42493</v>
      </c>
      <c r="V4454" t="s">
        <v>71</v>
      </c>
      <c r="W4454" t="str">
        <f>"               51681"</f>
        <v xml:space="preserve">               51681</v>
      </c>
      <c r="X4454">
        <v>305</v>
      </c>
      <c r="Y4454">
        <v>0</v>
      </c>
      <c r="Z4454" s="3">
        <v>250</v>
      </c>
      <c r="AA4454">
        <v>225</v>
      </c>
      <c r="AB4454" s="5">
        <v>56250</v>
      </c>
      <c r="AC4454">
        <v>250</v>
      </c>
      <c r="AD4454">
        <v>225</v>
      </c>
      <c r="AE4454" s="1">
        <v>56250</v>
      </c>
      <c r="AF4454">
        <v>55</v>
      </c>
      <c r="AJ4454">
        <v>0</v>
      </c>
      <c r="AK4454">
        <v>0</v>
      </c>
      <c r="AL4454">
        <v>0</v>
      </c>
      <c r="AM4454">
        <v>305</v>
      </c>
      <c r="AN4454">
        <v>305</v>
      </c>
      <c r="AO4454">
        <v>305</v>
      </c>
      <c r="AP4454" s="2">
        <v>42746</v>
      </c>
      <c r="AQ4454" t="s">
        <v>72</v>
      </c>
      <c r="AR4454" t="s">
        <v>72</v>
      </c>
      <c r="AS4454">
        <v>3474</v>
      </c>
      <c r="AT4454" s="4">
        <v>42718</v>
      </c>
      <c r="AU4454" t="s">
        <v>73</v>
      </c>
      <c r="AV4454">
        <v>3474</v>
      </c>
      <c r="AW4454" s="4">
        <v>42718</v>
      </c>
      <c r="BD4454">
        <v>55</v>
      </c>
      <c r="BN4454" t="s">
        <v>74</v>
      </c>
    </row>
    <row r="4455" spans="1:66">
      <c r="A4455">
        <v>101541</v>
      </c>
      <c r="B4455" s="3" t="s">
        <v>467</v>
      </c>
      <c r="C4455" s="1">
        <v>43300101</v>
      </c>
      <c r="D4455" t="s">
        <v>67</v>
      </c>
      <c r="H4455" t="str">
        <f t="shared" si="470"/>
        <v>08230471008</v>
      </c>
      <c r="I4455" t="str">
        <f t="shared" si="470"/>
        <v>08230471008</v>
      </c>
      <c r="K4455" t="str">
        <f>""</f>
        <v/>
      </c>
      <c r="M4455" t="s">
        <v>68</v>
      </c>
      <c r="N4455" t="str">
        <f t="shared" si="469"/>
        <v>FOR</v>
      </c>
      <c r="O4455" t="s">
        <v>69</v>
      </c>
      <c r="P4455" s="3" t="s">
        <v>75</v>
      </c>
      <c r="Q4455">
        <v>2016</v>
      </c>
      <c r="R4455" s="2">
        <v>42426</v>
      </c>
      <c r="S4455" s="2">
        <v>42436</v>
      </c>
      <c r="T4455" s="2">
        <v>42433</v>
      </c>
      <c r="U4455" s="2">
        <v>42493</v>
      </c>
      <c r="V4455" t="s">
        <v>71</v>
      </c>
      <c r="W4455" t="str">
        <f>"               51682"</f>
        <v xml:space="preserve">               51682</v>
      </c>
      <c r="X4455">
        <v>305</v>
      </c>
      <c r="Y4455">
        <v>0</v>
      </c>
      <c r="Z4455" s="3">
        <v>250</v>
      </c>
      <c r="AA4455">
        <v>225</v>
      </c>
      <c r="AB4455" s="5">
        <v>56250</v>
      </c>
      <c r="AC4455">
        <v>250</v>
      </c>
      <c r="AD4455">
        <v>225</v>
      </c>
      <c r="AE4455" s="1">
        <v>56250</v>
      </c>
      <c r="AF4455">
        <v>55</v>
      </c>
      <c r="AJ4455">
        <v>0</v>
      </c>
      <c r="AK4455">
        <v>0</v>
      </c>
      <c r="AL4455">
        <v>0</v>
      </c>
      <c r="AM4455">
        <v>305</v>
      </c>
      <c r="AN4455">
        <v>305</v>
      </c>
      <c r="AO4455">
        <v>305</v>
      </c>
      <c r="AP4455" s="2">
        <v>42746</v>
      </c>
      <c r="AQ4455" t="s">
        <v>72</v>
      </c>
      <c r="AR4455" t="s">
        <v>72</v>
      </c>
      <c r="AS4455">
        <v>3474</v>
      </c>
      <c r="AT4455" s="4">
        <v>42718</v>
      </c>
      <c r="AU4455" t="s">
        <v>73</v>
      </c>
      <c r="AV4455">
        <v>3474</v>
      </c>
      <c r="AW4455" s="4">
        <v>42718</v>
      </c>
      <c r="BD4455">
        <v>55</v>
      </c>
      <c r="BN4455" t="s">
        <v>74</v>
      </c>
    </row>
    <row r="4456" spans="1:66">
      <c r="A4456">
        <v>101541</v>
      </c>
      <c r="B4456" s="3" t="s">
        <v>467</v>
      </c>
      <c r="C4456" s="1">
        <v>43300101</v>
      </c>
      <c r="D4456" t="s">
        <v>67</v>
      </c>
      <c r="H4456" t="str">
        <f t="shared" si="470"/>
        <v>08230471008</v>
      </c>
      <c r="I4456" t="str">
        <f t="shared" si="470"/>
        <v>08230471008</v>
      </c>
      <c r="K4456" t="str">
        <f>""</f>
        <v/>
      </c>
      <c r="M4456" t="s">
        <v>68</v>
      </c>
      <c r="N4456" t="str">
        <f t="shared" si="469"/>
        <v>FOR</v>
      </c>
      <c r="O4456" t="s">
        <v>69</v>
      </c>
      <c r="P4456" s="3" t="s">
        <v>75</v>
      </c>
      <c r="Q4456">
        <v>2016</v>
      </c>
      <c r="R4456" s="2">
        <v>42426</v>
      </c>
      <c r="S4456" s="2">
        <v>42436</v>
      </c>
      <c r="T4456" s="2">
        <v>42433</v>
      </c>
      <c r="U4456" s="2">
        <v>42493</v>
      </c>
      <c r="V4456" t="s">
        <v>71</v>
      </c>
      <c r="W4456" t="str">
        <f>"               51683"</f>
        <v xml:space="preserve">               51683</v>
      </c>
      <c r="X4456">
        <v>305</v>
      </c>
      <c r="Y4456">
        <v>0</v>
      </c>
      <c r="Z4456" s="3">
        <v>250</v>
      </c>
      <c r="AA4456">
        <v>225</v>
      </c>
      <c r="AB4456" s="5">
        <v>56250</v>
      </c>
      <c r="AC4456">
        <v>250</v>
      </c>
      <c r="AD4456">
        <v>225</v>
      </c>
      <c r="AE4456" s="1">
        <v>56250</v>
      </c>
      <c r="AF4456">
        <v>55</v>
      </c>
      <c r="AJ4456">
        <v>0</v>
      </c>
      <c r="AK4456">
        <v>0</v>
      </c>
      <c r="AL4456">
        <v>0</v>
      </c>
      <c r="AM4456">
        <v>305</v>
      </c>
      <c r="AN4456">
        <v>305</v>
      </c>
      <c r="AO4456">
        <v>305</v>
      </c>
      <c r="AP4456" s="2">
        <v>42746</v>
      </c>
      <c r="AQ4456" t="s">
        <v>72</v>
      </c>
      <c r="AR4456" t="s">
        <v>72</v>
      </c>
      <c r="AS4456">
        <v>3474</v>
      </c>
      <c r="AT4456" s="4">
        <v>42718</v>
      </c>
      <c r="AU4456" t="s">
        <v>73</v>
      </c>
      <c r="AV4456">
        <v>3474</v>
      </c>
      <c r="AW4456" s="4">
        <v>42718</v>
      </c>
      <c r="BD4456">
        <v>55</v>
      </c>
      <c r="BN4456" t="s">
        <v>74</v>
      </c>
    </row>
    <row r="4457" spans="1:66">
      <c r="A4457">
        <v>101541</v>
      </c>
      <c r="B4457" s="3" t="s">
        <v>467</v>
      </c>
      <c r="C4457" s="1">
        <v>43300101</v>
      </c>
      <c r="D4457" t="s">
        <v>67</v>
      </c>
      <c r="H4457" t="str">
        <f t="shared" si="470"/>
        <v>08230471008</v>
      </c>
      <c r="I4457" t="str">
        <f t="shared" si="470"/>
        <v>08230471008</v>
      </c>
      <c r="K4457" t="str">
        <f>""</f>
        <v/>
      </c>
      <c r="M4457" t="s">
        <v>68</v>
      </c>
      <c r="N4457" t="str">
        <f t="shared" si="469"/>
        <v>FOR</v>
      </c>
      <c r="O4457" t="s">
        <v>69</v>
      </c>
      <c r="P4457" s="3" t="s">
        <v>75</v>
      </c>
      <c r="Q4457">
        <v>2016</v>
      </c>
      <c r="R4457" s="2">
        <v>42426</v>
      </c>
      <c r="S4457" s="2">
        <v>42436</v>
      </c>
      <c r="T4457" s="2">
        <v>42433</v>
      </c>
      <c r="U4457" s="2">
        <v>42493</v>
      </c>
      <c r="V4457" t="s">
        <v>71</v>
      </c>
      <c r="W4457" t="str">
        <f>"               51684"</f>
        <v xml:space="preserve">               51684</v>
      </c>
      <c r="X4457">
        <v>305</v>
      </c>
      <c r="Y4457">
        <v>0</v>
      </c>
      <c r="Z4457" s="3">
        <v>250</v>
      </c>
      <c r="AA4457">
        <v>225</v>
      </c>
      <c r="AB4457" s="5">
        <v>56250</v>
      </c>
      <c r="AC4457">
        <v>250</v>
      </c>
      <c r="AD4457">
        <v>225</v>
      </c>
      <c r="AE4457" s="1">
        <v>56250</v>
      </c>
      <c r="AF4457">
        <v>55</v>
      </c>
      <c r="AJ4457">
        <v>0</v>
      </c>
      <c r="AK4457">
        <v>0</v>
      </c>
      <c r="AL4457">
        <v>0</v>
      </c>
      <c r="AM4457">
        <v>305</v>
      </c>
      <c r="AN4457">
        <v>305</v>
      </c>
      <c r="AO4457">
        <v>305</v>
      </c>
      <c r="AP4457" s="2">
        <v>42746</v>
      </c>
      <c r="AQ4457" t="s">
        <v>72</v>
      </c>
      <c r="AR4457" t="s">
        <v>72</v>
      </c>
      <c r="AS4457">
        <v>3474</v>
      </c>
      <c r="AT4457" s="4">
        <v>42718</v>
      </c>
      <c r="AU4457" t="s">
        <v>73</v>
      </c>
      <c r="AV4457">
        <v>3474</v>
      </c>
      <c r="AW4457" s="4">
        <v>42718</v>
      </c>
      <c r="BD4457">
        <v>55</v>
      </c>
      <c r="BN4457" t="s">
        <v>74</v>
      </c>
    </row>
    <row r="4458" spans="1:66">
      <c r="A4458">
        <v>101541</v>
      </c>
      <c r="B4458" s="3" t="s">
        <v>467</v>
      </c>
      <c r="C4458" s="1">
        <v>43300101</v>
      </c>
      <c r="D4458" t="s">
        <v>67</v>
      </c>
      <c r="H4458" t="str">
        <f t="shared" ref="H4458:I4466" si="471">"08230471008"</f>
        <v>08230471008</v>
      </c>
      <c r="I4458" t="str">
        <f t="shared" si="471"/>
        <v>08230471008</v>
      </c>
      <c r="K4458" t="str">
        <f>""</f>
        <v/>
      </c>
      <c r="M4458" t="s">
        <v>68</v>
      </c>
      <c r="N4458" t="str">
        <f t="shared" si="469"/>
        <v>FOR</v>
      </c>
      <c r="O4458" t="s">
        <v>69</v>
      </c>
      <c r="P4458" s="3" t="s">
        <v>75</v>
      </c>
      <c r="Q4458">
        <v>2016</v>
      </c>
      <c r="R4458" s="2">
        <v>42426</v>
      </c>
      <c r="S4458" s="2">
        <v>42436</v>
      </c>
      <c r="T4458" s="2">
        <v>42433</v>
      </c>
      <c r="U4458" s="2">
        <v>42493</v>
      </c>
      <c r="V4458" t="s">
        <v>71</v>
      </c>
      <c r="W4458" t="str">
        <f>"               51685"</f>
        <v xml:space="preserve">               51685</v>
      </c>
      <c r="X4458">
        <v>305</v>
      </c>
      <c r="Y4458">
        <v>0</v>
      </c>
      <c r="Z4458" s="3">
        <v>250</v>
      </c>
      <c r="AA4458">
        <v>225</v>
      </c>
      <c r="AB4458" s="5">
        <v>56250</v>
      </c>
      <c r="AC4458">
        <v>250</v>
      </c>
      <c r="AD4458">
        <v>225</v>
      </c>
      <c r="AE4458" s="1">
        <v>56250</v>
      </c>
      <c r="AF4458">
        <v>55</v>
      </c>
      <c r="AJ4458">
        <v>0</v>
      </c>
      <c r="AK4458">
        <v>0</v>
      </c>
      <c r="AL4458">
        <v>0</v>
      </c>
      <c r="AM4458">
        <v>305</v>
      </c>
      <c r="AN4458">
        <v>305</v>
      </c>
      <c r="AO4458">
        <v>305</v>
      </c>
      <c r="AP4458" s="2">
        <v>42746</v>
      </c>
      <c r="AQ4458" t="s">
        <v>72</v>
      </c>
      <c r="AR4458" t="s">
        <v>72</v>
      </c>
      <c r="AS4458">
        <v>3474</v>
      </c>
      <c r="AT4458" s="4">
        <v>42718</v>
      </c>
      <c r="AU4458" t="s">
        <v>73</v>
      </c>
      <c r="AV4458">
        <v>3474</v>
      </c>
      <c r="AW4458" s="4">
        <v>42718</v>
      </c>
      <c r="BD4458">
        <v>55</v>
      </c>
      <c r="BN4458" t="s">
        <v>74</v>
      </c>
    </row>
    <row r="4459" spans="1:66">
      <c r="A4459">
        <v>101541</v>
      </c>
      <c r="B4459" s="3" t="s">
        <v>467</v>
      </c>
      <c r="C4459" s="1">
        <v>43300101</v>
      </c>
      <c r="D4459" t="s">
        <v>67</v>
      </c>
      <c r="H4459" t="str">
        <f t="shared" si="471"/>
        <v>08230471008</v>
      </c>
      <c r="I4459" t="str">
        <f t="shared" si="471"/>
        <v>08230471008</v>
      </c>
      <c r="K4459" t="str">
        <f>""</f>
        <v/>
      </c>
      <c r="M4459" t="s">
        <v>68</v>
      </c>
      <c r="N4459" t="str">
        <f t="shared" si="469"/>
        <v>FOR</v>
      </c>
      <c r="O4459" t="s">
        <v>69</v>
      </c>
      <c r="P4459" s="3" t="s">
        <v>75</v>
      </c>
      <c r="Q4459">
        <v>2016</v>
      </c>
      <c r="R4459" s="2">
        <v>42426</v>
      </c>
      <c r="S4459" s="2">
        <v>42436</v>
      </c>
      <c r="T4459" s="2">
        <v>42433</v>
      </c>
      <c r="U4459" s="2">
        <v>42493</v>
      </c>
      <c r="V4459" t="s">
        <v>71</v>
      </c>
      <c r="W4459" t="str">
        <f>"               51686"</f>
        <v xml:space="preserve">               51686</v>
      </c>
      <c r="X4459">
        <v>305</v>
      </c>
      <c r="Y4459">
        <v>0</v>
      </c>
      <c r="Z4459" s="3">
        <v>250</v>
      </c>
      <c r="AA4459">
        <v>225</v>
      </c>
      <c r="AB4459" s="5">
        <v>56250</v>
      </c>
      <c r="AC4459">
        <v>250</v>
      </c>
      <c r="AD4459">
        <v>225</v>
      </c>
      <c r="AE4459" s="1">
        <v>56250</v>
      </c>
      <c r="AF4459">
        <v>55</v>
      </c>
      <c r="AJ4459">
        <v>0</v>
      </c>
      <c r="AK4459">
        <v>0</v>
      </c>
      <c r="AL4459">
        <v>0</v>
      </c>
      <c r="AM4459">
        <v>305</v>
      </c>
      <c r="AN4459">
        <v>305</v>
      </c>
      <c r="AO4459">
        <v>305</v>
      </c>
      <c r="AP4459" s="2">
        <v>42746</v>
      </c>
      <c r="AQ4459" t="s">
        <v>72</v>
      </c>
      <c r="AR4459" t="s">
        <v>72</v>
      </c>
      <c r="AS4459">
        <v>3474</v>
      </c>
      <c r="AT4459" s="4">
        <v>42718</v>
      </c>
      <c r="AU4459" t="s">
        <v>73</v>
      </c>
      <c r="AV4459">
        <v>3474</v>
      </c>
      <c r="AW4459" s="4">
        <v>42718</v>
      </c>
      <c r="BD4459">
        <v>55</v>
      </c>
      <c r="BN4459" t="s">
        <v>74</v>
      </c>
    </row>
    <row r="4460" spans="1:66">
      <c r="A4460">
        <v>101541</v>
      </c>
      <c r="B4460" s="3" t="s">
        <v>467</v>
      </c>
      <c r="C4460" s="1">
        <v>43300101</v>
      </c>
      <c r="D4460" t="s">
        <v>67</v>
      </c>
      <c r="H4460" t="str">
        <f t="shared" si="471"/>
        <v>08230471008</v>
      </c>
      <c r="I4460" t="str">
        <f t="shared" si="471"/>
        <v>08230471008</v>
      </c>
      <c r="K4460" t="str">
        <f>""</f>
        <v/>
      </c>
      <c r="M4460" t="s">
        <v>68</v>
      </c>
      <c r="N4460" t="str">
        <f t="shared" si="469"/>
        <v>FOR</v>
      </c>
      <c r="O4460" t="s">
        <v>69</v>
      </c>
      <c r="P4460" s="3" t="s">
        <v>75</v>
      </c>
      <c r="Q4460">
        <v>2016</v>
      </c>
      <c r="R4460" s="2">
        <v>42429</v>
      </c>
      <c r="S4460" s="2">
        <v>42436</v>
      </c>
      <c r="T4460" s="2">
        <v>42433</v>
      </c>
      <c r="U4460" s="2">
        <v>42493</v>
      </c>
      <c r="V4460" t="s">
        <v>71</v>
      </c>
      <c r="W4460" t="str">
        <f>"               51990"</f>
        <v xml:space="preserve">               51990</v>
      </c>
      <c r="X4460">
        <v>671</v>
      </c>
      <c r="Y4460">
        <v>0</v>
      </c>
      <c r="Z4460" s="3">
        <v>550</v>
      </c>
      <c r="AA4460">
        <v>225</v>
      </c>
      <c r="AB4460" s="5">
        <v>123750</v>
      </c>
      <c r="AC4460">
        <v>550</v>
      </c>
      <c r="AD4460">
        <v>225</v>
      </c>
      <c r="AE4460" s="1">
        <v>123750</v>
      </c>
      <c r="AF4460">
        <v>121</v>
      </c>
      <c r="AJ4460">
        <v>0</v>
      </c>
      <c r="AK4460">
        <v>0</v>
      </c>
      <c r="AL4460">
        <v>0</v>
      </c>
      <c r="AM4460">
        <v>671</v>
      </c>
      <c r="AN4460">
        <v>671</v>
      </c>
      <c r="AO4460">
        <v>671</v>
      </c>
      <c r="AP4460" s="2">
        <v>42746</v>
      </c>
      <c r="AQ4460" t="s">
        <v>72</v>
      </c>
      <c r="AR4460" t="s">
        <v>72</v>
      </c>
      <c r="AS4460">
        <v>3474</v>
      </c>
      <c r="AT4460" s="4">
        <v>42718</v>
      </c>
      <c r="AU4460" t="s">
        <v>73</v>
      </c>
      <c r="AV4460">
        <v>3474</v>
      </c>
      <c r="AW4460" s="4">
        <v>42718</v>
      </c>
      <c r="BD4460">
        <v>121</v>
      </c>
      <c r="BN4460" t="s">
        <v>74</v>
      </c>
    </row>
    <row r="4461" spans="1:66">
      <c r="A4461">
        <v>101541</v>
      </c>
      <c r="B4461" s="3" t="s">
        <v>467</v>
      </c>
      <c r="C4461" s="1">
        <v>43300101</v>
      </c>
      <c r="D4461" t="s">
        <v>67</v>
      </c>
      <c r="H4461" t="str">
        <f t="shared" si="471"/>
        <v>08230471008</v>
      </c>
      <c r="I4461" t="str">
        <f t="shared" si="471"/>
        <v>08230471008</v>
      </c>
      <c r="K4461" t="str">
        <f>""</f>
        <v/>
      </c>
      <c r="M4461" t="s">
        <v>68</v>
      </c>
      <c r="N4461" t="str">
        <f t="shared" si="469"/>
        <v>FOR</v>
      </c>
      <c r="O4461" t="s">
        <v>69</v>
      </c>
      <c r="P4461" s="3" t="s">
        <v>75</v>
      </c>
      <c r="Q4461">
        <v>2016</v>
      </c>
      <c r="R4461" s="2">
        <v>42429</v>
      </c>
      <c r="S4461" s="2">
        <v>42436</v>
      </c>
      <c r="T4461" s="2">
        <v>42433</v>
      </c>
      <c r="U4461" s="2">
        <v>42493</v>
      </c>
      <c r="V4461" t="s">
        <v>71</v>
      </c>
      <c r="W4461" t="str">
        <f>"               51991"</f>
        <v xml:space="preserve">               51991</v>
      </c>
      <c r="X4461">
        <v>671</v>
      </c>
      <c r="Y4461">
        <v>0</v>
      </c>
      <c r="Z4461" s="3">
        <v>550</v>
      </c>
      <c r="AA4461">
        <v>225</v>
      </c>
      <c r="AB4461" s="5">
        <v>123750</v>
      </c>
      <c r="AC4461">
        <v>550</v>
      </c>
      <c r="AD4461">
        <v>225</v>
      </c>
      <c r="AE4461" s="1">
        <v>123750</v>
      </c>
      <c r="AF4461">
        <v>121</v>
      </c>
      <c r="AJ4461">
        <v>0</v>
      </c>
      <c r="AK4461">
        <v>0</v>
      </c>
      <c r="AL4461">
        <v>0</v>
      </c>
      <c r="AM4461">
        <v>671</v>
      </c>
      <c r="AN4461">
        <v>671</v>
      </c>
      <c r="AO4461">
        <v>671</v>
      </c>
      <c r="AP4461" s="2">
        <v>42746</v>
      </c>
      <c r="AQ4461" t="s">
        <v>72</v>
      </c>
      <c r="AR4461" t="s">
        <v>72</v>
      </c>
      <c r="AS4461">
        <v>3474</v>
      </c>
      <c r="AT4461" s="4">
        <v>42718</v>
      </c>
      <c r="AU4461" t="s">
        <v>73</v>
      </c>
      <c r="AV4461">
        <v>3474</v>
      </c>
      <c r="AW4461" s="4">
        <v>42718</v>
      </c>
      <c r="BD4461">
        <v>121</v>
      </c>
      <c r="BN4461" t="s">
        <v>74</v>
      </c>
    </row>
    <row r="4462" spans="1:66">
      <c r="A4462">
        <v>101541</v>
      </c>
      <c r="B4462" s="3" t="s">
        <v>467</v>
      </c>
      <c r="C4462" s="1">
        <v>43300101</v>
      </c>
      <c r="D4462" t="s">
        <v>67</v>
      </c>
      <c r="H4462" t="str">
        <f t="shared" si="471"/>
        <v>08230471008</v>
      </c>
      <c r="I4462" t="str">
        <f t="shared" si="471"/>
        <v>08230471008</v>
      </c>
      <c r="K4462" t="str">
        <f>""</f>
        <v/>
      </c>
      <c r="M4462" t="s">
        <v>68</v>
      </c>
      <c r="N4462" t="str">
        <f t="shared" si="469"/>
        <v>FOR</v>
      </c>
      <c r="O4462" t="s">
        <v>69</v>
      </c>
      <c r="P4462" s="3" t="s">
        <v>75</v>
      </c>
      <c r="Q4462">
        <v>2016</v>
      </c>
      <c r="R4462" s="2">
        <v>42429</v>
      </c>
      <c r="S4462" s="2">
        <v>42436</v>
      </c>
      <c r="T4462" s="2">
        <v>42433</v>
      </c>
      <c r="U4462" s="2">
        <v>42493</v>
      </c>
      <c r="V4462" t="s">
        <v>71</v>
      </c>
      <c r="W4462" t="str">
        <f>"               51992"</f>
        <v xml:space="preserve">               51992</v>
      </c>
      <c r="X4462">
        <v>305</v>
      </c>
      <c r="Y4462">
        <v>0</v>
      </c>
      <c r="Z4462" s="3">
        <v>250</v>
      </c>
      <c r="AA4462">
        <v>225</v>
      </c>
      <c r="AB4462" s="5">
        <v>56250</v>
      </c>
      <c r="AC4462">
        <v>250</v>
      </c>
      <c r="AD4462">
        <v>225</v>
      </c>
      <c r="AE4462" s="1">
        <v>56250</v>
      </c>
      <c r="AF4462">
        <v>55</v>
      </c>
      <c r="AJ4462">
        <v>0</v>
      </c>
      <c r="AK4462">
        <v>0</v>
      </c>
      <c r="AL4462">
        <v>0</v>
      </c>
      <c r="AM4462">
        <v>305</v>
      </c>
      <c r="AN4462">
        <v>305</v>
      </c>
      <c r="AO4462">
        <v>305</v>
      </c>
      <c r="AP4462" s="2">
        <v>42746</v>
      </c>
      <c r="AQ4462" t="s">
        <v>72</v>
      </c>
      <c r="AR4462" t="s">
        <v>72</v>
      </c>
      <c r="AS4462">
        <v>3474</v>
      </c>
      <c r="AT4462" s="4">
        <v>42718</v>
      </c>
      <c r="AU4462" t="s">
        <v>73</v>
      </c>
      <c r="AV4462">
        <v>3474</v>
      </c>
      <c r="AW4462" s="4">
        <v>42718</v>
      </c>
      <c r="BD4462">
        <v>55</v>
      </c>
      <c r="BN4462" t="s">
        <v>74</v>
      </c>
    </row>
    <row r="4463" spans="1:66">
      <c r="A4463">
        <v>101541</v>
      </c>
      <c r="B4463" s="3" t="s">
        <v>467</v>
      </c>
      <c r="C4463" s="1">
        <v>43300101</v>
      </c>
      <c r="D4463" t="s">
        <v>67</v>
      </c>
      <c r="H4463" t="str">
        <f t="shared" si="471"/>
        <v>08230471008</v>
      </c>
      <c r="I4463" t="str">
        <f t="shared" si="471"/>
        <v>08230471008</v>
      </c>
      <c r="K4463" t="str">
        <f>""</f>
        <v/>
      </c>
      <c r="M4463" t="s">
        <v>68</v>
      </c>
      <c r="N4463" t="str">
        <f t="shared" si="469"/>
        <v>FOR</v>
      </c>
      <c r="O4463" t="s">
        <v>69</v>
      </c>
      <c r="P4463" s="3" t="s">
        <v>75</v>
      </c>
      <c r="Q4463">
        <v>2016</v>
      </c>
      <c r="R4463" s="2">
        <v>42429</v>
      </c>
      <c r="S4463" s="2">
        <v>42436</v>
      </c>
      <c r="T4463" s="2">
        <v>42433</v>
      </c>
      <c r="U4463" s="2">
        <v>42493</v>
      </c>
      <c r="V4463" t="s">
        <v>71</v>
      </c>
      <c r="W4463" t="str">
        <f>"               51993"</f>
        <v xml:space="preserve">               51993</v>
      </c>
      <c r="X4463">
        <v>305</v>
      </c>
      <c r="Y4463">
        <v>0</v>
      </c>
      <c r="Z4463" s="3">
        <v>250</v>
      </c>
      <c r="AA4463">
        <v>225</v>
      </c>
      <c r="AB4463" s="5">
        <v>56250</v>
      </c>
      <c r="AC4463">
        <v>250</v>
      </c>
      <c r="AD4463">
        <v>225</v>
      </c>
      <c r="AE4463" s="1">
        <v>56250</v>
      </c>
      <c r="AF4463">
        <v>55</v>
      </c>
      <c r="AJ4463">
        <v>0</v>
      </c>
      <c r="AK4463">
        <v>0</v>
      </c>
      <c r="AL4463">
        <v>0</v>
      </c>
      <c r="AM4463">
        <v>305</v>
      </c>
      <c r="AN4463">
        <v>305</v>
      </c>
      <c r="AO4463">
        <v>305</v>
      </c>
      <c r="AP4463" s="2">
        <v>42746</v>
      </c>
      <c r="AQ4463" t="s">
        <v>72</v>
      </c>
      <c r="AR4463" t="s">
        <v>72</v>
      </c>
      <c r="AS4463">
        <v>3474</v>
      </c>
      <c r="AT4463" s="4">
        <v>42718</v>
      </c>
      <c r="AU4463" t="s">
        <v>73</v>
      </c>
      <c r="AV4463">
        <v>3474</v>
      </c>
      <c r="AW4463" s="4">
        <v>42718</v>
      </c>
      <c r="BD4463">
        <v>55</v>
      </c>
      <c r="BN4463" t="s">
        <v>74</v>
      </c>
    </row>
    <row r="4464" spans="1:66">
      <c r="A4464">
        <v>101541</v>
      </c>
      <c r="B4464" s="3" t="s">
        <v>467</v>
      </c>
      <c r="C4464" s="1">
        <v>43300101</v>
      </c>
      <c r="D4464" t="s">
        <v>67</v>
      </c>
      <c r="H4464" t="str">
        <f t="shared" si="471"/>
        <v>08230471008</v>
      </c>
      <c r="I4464" t="str">
        <f t="shared" si="471"/>
        <v>08230471008</v>
      </c>
      <c r="K4464" t="str">
        <f>""</f>
        <v/>
      </c>
      <c r="M4464" t="s">
        <v>68</v>
      </c>
      <c r="N4464" t="str">
        <f t="shared" si="469"/>
        <v>FOR</v>
      </c>
      <c r="O4464" t="s">
        <v>69</v>
      </c>
      <c r="P4464" s="3" t="s">
        <v>75</v>
      </c>
      <c r="Q4464">
        <v>2016</v>
      </c>
      <c r="R4464" s="2">
        <v>42429</v>
      </c>
      <c r="S4464" s="2">
        <v>42436</v>
      </c>
      <c r="T4464" s="2">
        <v>42433</v>
      </c>
      <c r="U4464" s="2">
        <v>42493</v>
      </c>
      <c r="V4464" t="s">
        <v>71</v>
      </c>
      <c r="W4464" t="str">
        <f>"               51994"</f>
        <v xml:space="preserve">               51994</v>
      </c>
      <c r="X4464">
        <v>305</v>
      </c>
      <c r="Y4464">
        <v>0</v>
      </c>
      <c r="Z4464" s="3">
        <v>250</v>
      </c>
      <c r="AA4464">
        <v>225</v>
      </c>
      <c r="AB4464" s="5">
        <v>56250</v>
      </c>
      <c r="AC4464">
        <v>250</v>
      </c>
      <c r="AD4464">
        <v>225</v>
      </c>
      <c r="AE4464" s="1">
        <v>56250</v>
      </c>
      <c r="AF4464">
        <v>55</v>
      </c>
      <c r="AJ4464">
        <v>0</v>
      </c>
      <c r="AK4464">
        <v>0</v>
      </c>
      <c r="AL4464">
        <v>0</v>
      </c>
      <c r="AM4464">
        <v>305</v>
      </c>
      <c r="AN4464">
        <v>305</v>
      </c>
      <c r="AO4464">
        <v>305</v>
      </c>
      <c r="AP4464" s="2">
        <v>42746</v>
      </c>
      <c r="AQ4464" t="s">
        <v>72</v>
      </c>
      <c r="AR4464" t="s">
        <v>72</v>
      </c>
      <c r="AS4464">
        <v>3474</v>
      </c>
      <c r="AT4464" s="4">
        <v>42718</v>
      </c>
      <c r="AU4464" t="s">
        <v>73</v>
      </c>
      <c r="AV4464">
        <v>3474</v>
      </c>
      <c r="AW4464" s="4">
        <v>42718</v>
      </c>
      <c r="BD4464">
        <v>55</v>
      </c>
      <c r="BN4464" t="s">
        <v>74</v>
      </c>
    </row>
    <row r="4465" spans="1:66">
      <c r="A4465">
        <v>101541</v>
      </c>
      <c r="B4465" s="3" t="s">
        <v>467</v>
      </c>
      <c r="C4465" s="1">
        <v>43300101</v>
      </c>
      <c r="D4465" t="s">
        <v>67</v>
      </c>
      <c r="H4465" t="str">
        <f t="shared" si="471"/>
        <v>08230471008</v>
      </c>
      <c r="I4465" t="str">
        <f t="shared" si="471"/>
        <v>08230471008</v>
      </c>
      <c r="K4465" t="str">
        <f>""</f>
        <v/>
      </c>
      <c r="M4465" t="s">
        <v>68</v>
      </c>
      <c r="N4465" t="str">
        <f t="shared" si="469"/>
        <v>FOR</v>
      </c>
      <c r="O4465" t="s">
        <v>69</v>
      </c>
      <c r="P4465" s="3" t="s">
        <v>75</v>
      </c>
      <c r="Q4465">
        <v>2016</v>
      </c>
      <c r="R4465" s="2">
        <v>42429</v>
      </c>
      <c r="S4465" s="2">
        <v>42436</v>
      </c>
      <c r="T4465" s="2">
        <v>42433</v>
      </c>
      <c r="U4465" s="2">
        <v>42493</v>
      </c>
      <c r="V4465" t="s">
        <v>71</v>
      </c>
      <c r="W4465" t="str">
        <f>"               51995"</f>
        <v xml:space="preserve">               51995</v>
      </c>
      <c r="X4465">
        <v>305</v>
      </c>
      <c r="Y4465">
        <v>0</v>
      </c>
      <c r="Z4465" s="3">
        <v>250</v>
      </c>
      <c r="AA4465">
        <v>225</v>
      </c>
      <c r="AB4465" s="5">
        <v>56250</v>
      </c>
      <c r="AC4465">
        <v>250</v>
      </c>
      <c r="AD4465">
        <v>225</v>
      </c>
      <c r="AE4465" s="1">
        <v>56250</v>
      </c>
      <c r="AF4465">
        <v>55</v>
      </c>
      <c r="AJ4465">
        <v>0</v>
      </c>
      <c r="AK4465">
        <v>0</v>
      </c>
      <c r="AL4465">
        <v>0</v>
      </c>
      <c r="AM4465">
        <v>305</v>
      </c>
      <c r="AN4465">
        <v>305</v>
      </c>
      <c r="AO4465">
        <v>305</v>
      </c>
      <c r="AP4465" s="2">
        <v>42746</v>
      </c>
      <c r="AQ4465" t="s">
        <v>72</v>
      </c>
      <c r="AR4465" t="s">
        <v>72</v>
      </c>
      <c r="AS4465">
        <v>3474</v>
      </c>
      <c r="AT4465" s="4">
        <v>42718</v>
      </c>
      <c r="AU4465" t="s">
        <v>73</v>
      </c>
      <c r="AV4465">
        <v>3474</v>
      </c>
      <c r="AW4465" s="4">
        <v>42718</v>
      </c>
      <c r="BD4465">
        <v>55</v>
      </c>
      <c r="BN4465" t="s">
        <v>74</v>
      </c>
    </row>
    <row r="4466" spans="1:66">
      <c r="A4466">
        <v>101541</v>
      </c>
      <c r="B4466" s="3" t="s">
        <v>467</v>
      </c>
      <c r="C4466" s="1">
        <v>43300101</v>
      </c>
      <c r="D4466" t="s">
        <v>67</v>
      </c>
      <c r="H4466" t="str">
        <f t="shared" si="471"/>
        <v>08230471008</v>
      </c>
      <c r="I4466" t="str">
        <f t="shared" si="471"/>
        <v>08230471008</v>
      </c>
      <c r="K4466" t="str">
        <f>""</f>
        <v/>
      </c>
      <c r="M4466" t="s">
        <v>68</v>
      </c>
      <c r="N4466" t="str">
        <f t="shared" si="469"/>
        <v>FOR</v>
      </c>
      <c r="O4466" t="s">
        <v>69</v>
      </c>
      <c r="P4466" s="3" t="s">
        <v>75</v>
      </c>
      <c r="Q4466">
        <v>2016</v>
      </c>
      <c r="R4466" s="2">
        <v>42429</v>
      </c>
      <c r="S4466" s="2">
        <v>42436</v>
      </c>
      <c r="T4466" s="2">
        <v>42433</v>
      </c>
      <c r="U4466" s="2">
        <v>42493</v>
      </c>
      <c r="V4466" t="s">
        <v>71</v>
      </c>
      <c r="W4466" t="str">
        <f>"               51996"</f>
        <v xml:space="preserve">               51996</v>
      </c>
      <c r="X4466">
        <v>305</v>
      </c>
      <c r="Y4466">
        <v>0</v>
      </c>
      <c r="Z4466" s="3">
        <v>250</v>
      </c>
      <c r="AA4466">
        <v>225</v>
      </c>
      <c r="AB4466" s="5">
        <v>56250</v>
      </c>
      <c r="AC4466">
        <v>250</v>
      </c>
      <c r="AD4466">
        <v>225</v>
      </c>
      <c r="AE4466" s="1">
        <v>56250</v>
      </c>
      <c r="AF4466">
        <v>55</v>
      </c>
      <c r="AJ4466">
        <v>0</v>
      </c>
      <c r="AK4466">
        <v>0</v>
      </c>
      <c r="AL4466">
        <v>0</v>
      </c>
      <c r="AM4466">
        <v>305</v>
      </c>
      <c r="AN4466">
        <v>305</v>
      </c>
      <c r="AO4466">
        <v>305</v>
      </c>
      <c r="AP4466" s="2">
        <v>42746</v>
      </c>
      <c r="AQ4466" t="s">
        <v>72</v>
      </c>
      <c r="AR4466" t="s">
        <v>72</v>
      </c>
      <c r="AS4466">
        <v>3474</v>
      </c>
      <c r="AT4466" s="4">
        <v>42718</v>
      </c>
      <c r="AU4466" t="s">
        <v>73</v>
      </c>
      <c r="AV4466">
        <v>3474</v>
      </c>
      <c r="AW4466" s="4">
        <v>42718</v>
      </c>
      <c r="BD4466">
        <v>55</v>
      </c>
      <c r="BN4466" t="s">
        <v>74</v>
      </c>
    </row>
    <row r="4467" spans="1:66" hidden="1">
      <c r="A4467">
        <v>101543</v>
      </c>
      <c r="B4467" s="3" t="s">
        <v>468</v>
      </c>
      <c r="C4467" s="1">
        <v>43300101</v>
      </c>
      <c r="D4467" t="s">
        <v>67</v>
      </c>
      <c r="H4467" t="str">
        <f>"00872190624"</f>
        <v>00872190624</v>
      </c>
      <c r="I4467" t="str">
        <f>"00872190624"</f>
        <v>00872190624</v>
      </c>
      <c r="K4467" t="str">
        <f>""</f>
        <v/>
      </c>
      <c r="M4467" t="s">
        <v>68</v>
      </c>
      <c r="N4467" t="str">
        <f t="shared" si="469"/>
        <v>FOR</v>
      </c>
      <c r="O4467" t="s">
        <v>69</v>
      </c>
      <c r="P4467" s="3" t="s">
        <v>75</v>
      </c>
      <c r="Q4467">
        <v>2016</v>
      </c>
      <c r="R4467" s="2">
        <v>42439</v>
      </c>
      <c r="S4467" s="2">
        <v>42443</v>
      </c>
      <c r="T4467" s="2">
        <v>42441</v>
      </c>
      <c r="U4467" s="2">
        <v>42501</v>
      </c>
      <c r="V4467" t="s">
        <v>71</v>
      </c>
      <c r="W4467" t="str">
        <f>"       000001-2016-1"</f>
        <v xml:space="preserve">       000001-2016-1</v>
      </c>
      <c r="X4467">
        <v>123</v>
      </c>
      <c r="Y4467">
        <v>0</v>
      </c>
      <c r="Z4467"/>
      <c r="AB4467"/>
      <c r="AC4467">
        <v>123</v>
      </c>
      <c r="AD4467">
        <v>65</v>
      </c>
      <c r="AE4467" s="1">
        <v>7995</v>
      </c>
      <c r="AF4467">
        <v>0</v>
      </c>
      <c r="AJ4467">
        <v>0</v>
      </c>
      <c r="AK4467">
        <v>0</v>
      </c>
      <c r="AL4467">
        <v>0</v>
      </c>
      <c r="AM4467">
        <v>123</v>
      </c>
      <c r="AN4467">
        <v>123</v>
      </c>
      <c r="AO4467">
        <v>123</v>
      </c>
      <c r="AP4467" s="2">
        <v>42746</v>
      </c>
      <c r="AQ4467" t="s">
        <v>72</v>
      </c>
      <c r="AR4467" t="s">
        <v>72</v>
      </c>
      <c r="AS4467">
        <v>1771</v>
      </c>
      <c r="AT4467" s="4">
        <v>42566</v>
      </c>
      <c r="AU4467" t="s">
        <v>73</v>
      </c>
      <c r="AV4467">
        <v>1771</v>
      </c>
      <c r="AW4467" s="4">
        <v>42566</v>
      </c>
      <c r="BD4467">
        <v>0</v>
      </c>
      <c r="BN4467" t="s">
        <v>74</v>
      </c>
    </row>
    <row r="4468" spans="1:66" hidden="1">
      <c r="A4468">
        <v>101544</v>
      </c>
      <c r="B4468" s="3" t="s">
        <v>469</v>
      </c>
      <c r="C4468" s="1">
        <v>43300101</v>
      </c>
      <c r="D4468" t="s">
        <v>67</v>
      </c>
      <c r="H4468" t="str">
        <f>"01879020517"</f>
        <v>01879020517</v>
      </c>
      <c r="I4468" t="str">
        <f>"01879020517"</f>
        <v>01879020517</v>
      </c>
      <c r="K4468" t="str">
        <f>""</f>
        <v/>
      </c>
      <c r="M4468" t="s">
        <v>68</v>
      </c>
      <c r="N4468" t="str">
        <f t="shared" si="469"/>
        <v>FOR</v>
      </c>
      <c r="O4468" t="s">
        <v>69</v>
      </c>
      <c r="P4468" s="3" t="s">
        <v>75</v>
      </c>
      <c r="Q4468">
        <v>2016</v>
      </c>
      <c r="R4468" s="2">
        <v>42585</v>
      </c>
      <c r="S4468" s="2">
        <v>42600</v>
      </c>
      <c r="T4468" s="2">
        <v>42593</v>
      </c>
      <c r="U4468" s="2">
        <v>42653</v>
      </c>
      <c r="V4468" t="s">
        <v>71</v>
      </c>
      <c r="W4468" t="str">
        <f>"       2016PM0000764"</f>
        <v xml:space="preserve">       2016PM0000764</v>
      </c>
      <c r="X4468">
        <v>610</v>
      </c>
      <c r="Y4468">
        <v>0</v>
      </c>
      <c r="Z4468"/>
      <c r="AB4468"/>
      <c r="AC4468">
        <v>500</v>
      </c>
      <c r="AD4468">
        <v>-33</v>
      </c>
      <c r="AE4468" s="1">
        <v>-16500</v>
      </c>
      <c r="AF4468">
        <v>0</v>
      </c>
      <c r="AJ4468">
        <v>0</v>
      </c>
      <c r="AK4468">
        <v>0</v>
      </c>
      <c r="AL4468">
        <v>0</v>
      </c>
      <c r="AM4468">
        <v>610</v>
      </c>
      <c r="AN4468">
        <v>610</v>
      </c>
      <c r="AO4468">
        <v>610</v>
      </c>
      <c r="AP4468" s="2">
        <v>42746</v>
      </c>
      <c r="AQ4468" t="s">
        <v>72</v>
      </c>
      <c r="AR4468" t="s">
        <v>72</v>
      </c>
      <c r="AS4468">
        <v>2328</v>
      </c>
      <c r="AT4468" s="4">
        <v>42620</v>
      </c>
      <c r="AV4468">
        <v>2328</v>
      </c>
      <c r="AW4468" s="4">
        <v>42620</v>
      </c>
      <c r="BD4468">
        <v>0</v>
      </c>
      <c r="BN4468" t="s">
        <v>74</v>
      </c>
    </row>
    <row r="4469" spans="1:66" hidden="1">
      <c r="A4469">
        <v>101555</v>
      </c>
      <c r="B4469" s="3" t="s">
        <v>470</v>
      </c>
      <c r="C4469" s="1">
        <v>43500101</v>
      </c>
      <c r="D4469" t="s">
        <v>113</v>
      </c>
      <c r="H4469" t="str">
        <f t="shared" ref="H4469:H4480" si="472">"PCRDLF42L14A509G"</f>
        <v>PCRDLF42L14A509G</v>
      </c>
      <c r="I4469" t="str">
        <f>""</f>
        <v/>
      </c>
      <c r="K4469" t="str">
        <f>""</f>
        <v/>
      </c>
      <c r="M4469" t="s">
        <v>68</v>
      </c>
      <c r="N4469" t="str">
        <f t="shared" ref="N4469:N4480" si="473">"ALT"</f>
        <v>ALT</v>
      </c>
      <c r="O4469" t="s">
        <v>114</v>
      </c>
      <c r="P4469" s="3" t="s">
        <v>84</v>
      </c>
      <c r="Q4469">
        <v>2016</v>
      </c>
      <c r="R4469" s="2">
        <v>42389</v>
      </c>
      <c r="S4469" s="2">
        <v>42390</v>
      </c>
      <c r="T4469" s="2">
        <v>42390</v>
      </c>
      <c r="U4469" s="2">
        <v>42450</v>
      </c>
      <c r="V4469" t="s">
        <v>71</v>
      </c>
      <c r="W4469" t="str">
        <f>"                0120"</f>
        <v xml:space="preserve">                0120</v>
      </c>
      <c r="X4469">
        <v>0</v>
      </c>
      <c r="Y4469">
        <v>180.75</v>
      </c>
      <c r="Z4469"/>
      <c r="AB4469"/>
      <c r="AC4469">
        <v>180.75</v>
      </c>
      <c r="AD4469">
        <v>-60</v>
      </c>
      <c r="AE4469" s="1">
        <v>-10845</v>
      </c>
      <c r="AF4469">
        <v>0</v>
      </c>
      <c r="AJ4469">
        <v>0</v>
      </c>
      <c r="AK4469">
        <v>0</v>
      </c>
      <c r="AL4469">
        <v>0</v>
      </c>
      <c r="AM4469">
        <v>180.75</v>
      </c>
      <c r="AN4469">
        <v>180.75</v>
      </c>
      <c r="AO4469">
        <v>180.75</v>
      </c>
      <c r="AP4469" s="2">
        <v>42746</v>
      </c>
      <c r="AQ4469" t="s">
        <v>72</v>
      </c>
      <c r="AR4469" t="s">
        <v>72</v>
      </c>
      <c r="AS4469">
        <v>78</v>
      </c>
      <c r="AT4469" s="4">
        <v>42390</v>
      </c>
      <c r="AV4469">
        <v>78</v>
      </c>
      <c r="AW4469" s="4">
        <v>42390</v>
      </c>
      <c r="BD4469">
        <v>0</v>
      </c>
      <c r="BN4469" t="s">
        <v>74</v>
      </c>
    </row>
    <row r="4470" spans="1:66" hidden="1">
      <c r="A4470">
        <v>101555</v>
      </c>
      <c r="B4470" s="3" t="s">
        <v>470</v>
      </c>
      <c r="C4470" s="1">
        <v>43500101</v>
      </c>
      <c r="D4470" t="s">
        <v>113</v>
      </c>
      <c r="H4470" t="str">
        <f t="shared" si="472"/>
        <v>PCRDLF42L14A509G</v>
      </c>
      <c r="I4470" t="str">
        <f>""</f>
        <v/>
      </c>
      <c r="K4470" t="str">
        <f>""</f>
        <v/>
      </c>
      <c r="M4470" t="s">
        <v>68</v>
      </c>
      <c r="N4470" t="str">
        <f t="shared" si="473"/>
        <v>ALT</v>
      </c>
      <c r="O4470" t="s">
        <v>114</v>
      </c>
      <c r="P4470" s="3" t="s">
        <v>85</v>
      </c>
      <c r="Q4470">
        <v>2016</v>
      </c>
      <c r="R4470" s="2">
        <v>42422</v>
      </c>
      <c r="S4470" s="2">
        <v>42422</v>
      </c>
      <c r="T4470" s="2">
        <v>42422</v>
      </c>
      <c r="U4470" s="2">
        <v>42482</v>
      </c>
      <c r="V4470" t="s">
        <v>71</v>
      </c>
      <c r="W4470" t="str">
        <f>"                0222"</f>
        <v xml:space="preserve">                0222</v>
      </c>
      <c r="X4470">
        <v>0</v>
      </c>
      <c r="Y4470">
        <v>180.75</v>
      </c>
      <c r="Z4470"/>
      <c r="AB4470"/>
      <c r="AC4470">
        <v>180.75</v>
      </c>
      <c r="AD4470">
        <v>-58</v>
      </c>
      <c r="AE4470" s="1">
        <v>-10483.5</v>
      </c>
      <c r="AF4470">
        <v>0</v>
      </c>
      <c r="AJ4470">
        <v>0</v>
      </c>
      <c r="AK4470">
        <v>0</v>
      </c>
      <c r="AL4470">
        <v>0</v>
      </c>
      <c r="AM4470">
        <v>180.75</v>
      </c>
      <c r="AN4470">
        <v>180.75</v>
      </c>
      <c r="AO4470">
        <v>180.75</v>
      </c>
      <c r="AP4470" s="2">
        <v>42746</v>
      </c>
      <c r="AQ4470" t="s">
        <v>72</v>
      </c>
      <c r="AR4470" t="s">
        <v>72</v>
      </c>
      <c r="AS4470">
        <v>522</v>
      </c>
      <c r="AT4470" s="4">
        <v>42424</v>
      </c>
      <c r="AV4470">
        <v>522</v>
      </c>
      <c r="AW4470" s="4">
        <v>42424</v>
      </c>
      <c r="BD4470">
        <v>0</v>
      </c>
      <c r="BN4470" t="s">
        <v>74</v>
      </c>
    </row>
    <row r="4471" spans="1:66" hidden="1">
      <c r="A4471">
        <v>101555</v>
      </c>
      <c r="B4471" s="3" t="s">
        <v>470</v>
      </c>
      <c r="C4471" s="1">
        <v>43500101</v>
      </c>
      <c r="D4471" t="s">
        <v>113</v>
      </c>
      <c r="H4471" t="str">
        <f t="shared" si="472"/>
        <v>PCRDLF42L14A509G</v>
      </c>
      <c r="I4471" t="str">
        <f>""</f>
        <v/>
      </c>
      <c r="K4471" t="str">
        <f>""</f>
        <v/>
      </c>
      <c r="M4471" t="s">
        <v>68</v>
      </c>
      <c r="N4471" t="str">
        <f t="shared" si="473"/>
        <v>ALT</v>
      </c>
      <c r="O4471" t="s">
        <v>114</v>
      </c>
      <c r="P4471" s="3" t="s">
        <v>86</v>
      </c>
      <c r="Q4471">
        <v>2016</v>
      </c>
      <c r="R4471" s="2">
        <v>42450</v>
      </c>
      <c r="S4471" s="2">
        <v>42450</v>
      </c>
      <c r="T4471" s="2">
        <v>42450</v>
      </c>
      <c r="U4471" s="2">
        <v>42510</v>
      </c>
      <c r="V4471" t="s">
        <v>71</v>
      </c>
      <c r="W4471" t="str">
        <f>"                0321"</f>
        <v xml:space="preserve">                0321</v>
      </c>
      <c r="X4471">
        <v>0</v>
      </c>
      <c r="Y4471">
        <v>180.75</v>
      </c>
      <c r="Z4471"/>
      <c r="AB4471"/>
      <c r="AC4471">
        <v>180.75</v>
      </c>
      <c r="AD4471">
        <v>-57</v>
      </c>
      <c r="AE4471" s="1">
        <v>-10302.75</v>
      </c>
      <c r="AF4471">
        <v>0</v>
      </c>
      <c r="AJ4471">
        <v>0</v>
      </c>
      <c r="AK4471">
        <v>0</v>
      </c>
      <c r="AL4471">
        <v>0</v>
      </c>
      <c r="AM4471">
        <v>180.75</v>
      </c>
      <c r="AN4471">
        <v>180.75</v>
      </c>
      <c r="AO4471">
        <v>180.75</v>
      </c>
      <c r="AP4471" s="2">
        <v>42746</v>
      </c>
      <c r="AQ4471" t="s">
        <v>72</v>
      </c>
      <c r="AR4471" t="s">
        <v>72</v>
      </c>
      <c r="AS4471">
        <v>944</v>
      </c>
      <c r="AT4471" s="4">
        <v>42453</v>
      </c>
      <c r="AV4471">
        <v>944</v>
      </c>
      <c r="AW4471" s="4">
        <v>42453</v>
      </c>
      <c r="BD4471">
        <v>0</v>
      </c>
      <c r="BN4471" t="s">
        <v>74</v>
      </c>
    </row>
    <row r="4472" spans="1:66" hidden="1">
      <c r="A4472">
        <v>101555</v>
      </c>
      <c r="B4472" s="3" t="s">
        <v>470</v>
      </c>
      <c r="C4472" s="1">
        <v>43500101</v>
      </c>
      <c r="D4472" t="s">
        <v>113</v>
      </c>
      <c r="H4472" t="str">
        <f t="shared" si="472"/>
        <v>PCRDLF42L14A509G</v>
      </c>
      <c r="I4472" t="str">
        <f>""</f>
        <v/>
      </c>
      <c r="K4472" t="str">
        <f>""</f>
        <v/>
      </c>
      <c r="M4472" t="s">
        <v>68</v>
      </c>
      <c r="N4472" t="str">
        <f t="shared" si="473"/>
        <v>ALT</v>
      </c>
      <c r="O4472" t="s">
        <v>114</v>
      </c>
      <c r="P4472" s="3" t="s">
        <v>87</v>
      </c>
      <c r="Q4472">
        <v>2016</v>
      </c>
      <c r="R4472" s="2">
        <v>42481</v>
      </c>
      <c r="S4472" s="2">
        <v>42481</v>
      </c>
      <c r="T4472" s="2">
        <v>42481</v>
      </c>
      <c r="U4472" s="2">
        <v>42541</v>
      </c>
      <c r="V4472" t="s">
        <v>71</v>
      </c>
      <c r="W4472" t="str">
        <f>"                0421"</f>
        <v xml:space="preserve">                0421</v>
      </c>
      <c r="X4472">
        <v>0</v>
      </c>
      <c r="Y4472">
        <v>180.75</v>
      </c>
      <c r="Z4472"/>
      <c r="AB4472"/>
      <c r="AC4472">
        <v>180.75</v>
      </c>
      <c r="AD4472">
        <v>-60</v>
      </c>
      <c r="AE4472" s="1">
        <v>-10845</v>
      </c>
      <c r="AF4472">
        <v>0</v>
      </c>
      <c r="AJ4472">
        <v>0</v>
      </c>
      <c r="AK4472">
        <v>0</v>
      </c>
      <c r="AL4472">
        <v>0</v>
      </c>
      <c r="AM4472">
        <v>180.75</v>
      </c>
      <c r="AN4472">
        <v>180.75</v>
      </c>
      <c r="AO4472">
        <v>180.75</v>
      </c>
      <c r="AP4472" s="2">
        <v>42746</v>
      </c>
      <c r="AQ4472" t="s">
        <v>72</v>
      </c>
      <c r="AR4472" t="s">
        <v>72</v>
      </c>
      <c r="AS4472">
        <v>1109</v>
      </c>
      <c r="AT4472" s="4">
        <v>42481</v>
      </c>
      <c r="AV4472">
        <v>1109</v>
      </c>
      <c r="AW4472" s="4">
        <v>42481</v>
      </c>
      <c r="BD4472">
        <v>0</v>
      </c>
      <c r="BN4472" t="s">
        <v>74</v>
      </c>
    </row>
    <row r="4473" spans="1:66" hidden="1">
      <c r="A4473">
        <v>101555</v>
      </c>
      <c r="B4473" s="3" t="s">
        <v>470</v>
      </c>
      <c r="C4473" s="1">
        <v>43500101</v>
      </c>
      <c r="D4473" t="s">
        <v>113</v>
      </c>
      <c r="H4473" t="str">
        <f t="shared" si="472"/>
        <v>PCRDLF42L14A509G</v>
      </c>
      <c r="I4473" t="str">
        <f>""</f>
        <v/>
      </c>
      <c r="K4473" t="str">
        <f>""</f>
        <v/>
      </c>
      <c r="M4473" t="s">
        <v>68</v>
      </c>
      <c r="N4473" t="str">
        <f t="shared" si="473"/>
        <v>ALT</v>
      </c>
      <c r="O4473" t="s">
        <v>114</v>
      </c>
      <c r="P4473" s="3" t="s">
        <v>88</v>
      </c>
      <c r="Q4473">
        <v>2016</v>
      </c>
      <c r="R4473" s="2">
        <v>42508</v>
      </c>
      <c r="S4473" s="2">
        <v>42510</v>
      </c>
      <c r="T4473" s="2">
        <v>42510</v>
      </c>
      <c r="U4473" s="2">
        <v>42570</v>
      </c>
      <c r="V4473" t="s">
        <v>71</v>
      </c>
      <c r="W4473" t="str">
        <f>"                0518"</f>
        <v xml:space="preserve">                0518</v>
      </c>
      <c r="X4473">
        <v>0</v>
      </c>
      <c r="Y4473">
        <v>180.75</v>
      </c>
      <c r="Z4473"/>
      <c r="AB4473"/>
      <c r="AC4473">
        <v>180.75</v>
      </c>
      <c r="AD4473">
        <v>-57</v>
      </c>
      <c r="AE4473" s="1">
        <v>-10302.75</v>
      </c>
      <c r="AF4473">
        <v>0</v>
      </c>
      <c r="AJ4473">
        <v>0</v>
      </c>
      <c r="AK4473">
        <v>0</v>
      </c>
      <c r="AL4473">
        <v>0</v>
      </c>
      <c r="AM4473">
        <v>180.75</v>
      </c>
      <c r="AN4473">
        <v>180.75</v>
      </c>
      <c r="AO4473">
        <v>180.75</v>
      </c>
      <c r="AP4473" s="2">
        <v>42746</v>
      </c>
      <c r="AQ4473" t="s">
        <v>72</v>
      </c>
      <c r="AR4473" t="s">
        <v>72</v>
      </c>
      <c r="AS4473">
        <v>1347</v>
      </c>
      <c r="AT4473" s="4">
        <v>42513</v>
      </c>
      <c r="AV4473">
        <v>1347</v>
      </c>
      <c r="AW4473" s="4">
        <v>42513</v>
      </c>
      <c r="BD4473">
        <v>0</v>
      </c>
      <c r="BN4473" t="s">
        <v>74</v>
      </c>
    </row>
    <row r="4474" spans="1:66" hidden="1">
      <c r="A4474">
        <v>101555</v>
      </c>
      <c r="B4474" s="3" t="s">
        <v>470</v>
      </c>
      <c r="C4474" s="1">
        <v>43500101</v>
      </c>
      <c r="D4474" t="s">
        <v>113</v>
      </c>
      <c r="H4474" t="str">
        <f t="shared" si="472"/>
        <v>PCRDLF42L14A509G</v>
      </c>
      <c r="I4474" t="str">
        <f>""</f>
        <v/>
      </c>
      <c r="K4474" t="str">
        <f>""</f>
        <v/>
      </c>
      <c r="M4474" t="s">
        <v>68</v>
      </c>
      <c r="N4474" t="str">
        <f t="shared" si="473"/>
        <v>ALT</v>
      </c>
      <c r="O4474" t="s">
        <v>114</v>
      </c>
      <c r="P4474" s="3" t="s">
        <v>89</v>
      </c>
      <c r="Q4474">
        <v>2016</v>
      </c>
      <c r="R4474" s="2">
        <v>42548</v>
      </c>
      <c r="S4474" s="2">
        <v>42543</v>
      </c>
      <c r="T4474" s="2">
        <v>42543</v>
      </c>
      <c r="U4474" s="2">
        <v>42603</v>
      </c>
      <c r="V4474" t="s">
        <v>71</v>
      </c>
      <c r="W4474" t="str">
        <f>"                0627"</f>
        <v xml:space="preserve">                0627</v>
      </c>
      <c r="X4474">
        <v>0</v>
      </c>
      <c r="Y4474">
        <v>180.75</v>
      </c>
      <c r="Z4474"/>
      <c r="AB4474"/>
      <c r="AC4474">
        <v>180.75</v>
      </c>
      <c r="AD4474">
        <v>-47</v>
      </c>
      <c r="AE4474" s="1">
        <v>-8495.25</v>
      </c>
      <c r="AF4474">
        <v>0</v>
      </c>
      <c r="AJ4474">
        <v>0</v>
      </c>
      <c r="AK4474">
        <v>0</v>
      </c>
      <c r="AL4474">
        <v>0</v>
      </c>
      <c r="AM4474">
        <v>180.75</v>
      </c>
      <c r="AN4474">
        <v>180.75</v>
      </c>
      <c r="AO4474">
        <v>180.75</v>
      </c>
      <c r="AP4474" s="2">
        <v>42746</v>
      </c>
      <c r="AQ4474" t="s">
        <v>72</v>
      </c>
      <c r="AR4474" t="s">
        <v>72</v>
      </c>
      <c r="AS4474">
        <v>1730</v>
      </c>
      <c r="AT4474" s="4">
        <v>42556</v>
      </c>
      <c r="AV4474">
        <v>1730</v>
      </c>
      <c r="AW4474" s="4">
        <v>42556</v>
      </c>
      <c r="BD4474">
        <v>0</v>
      </c>
      <c r="BN4474" t="s">
        <v>74</v>
      </c>
    </row>
    <row r="4475" spans="1:66" hidden="1">
      <c r="A4475">
        <v>101555</v>
      </c>
      <c r="B4475" s="3" t="s">
        <v>470</v>
      </c>
      <c r="C4475" s="1">
        <v>43500101</v>
      </c>
      <c r="D4475" t="s">
        <v>113</v>
      </c>
      <c r="H4475" t="str">
        <f t="shared" si="472"/>
        <v>PCRDLF42L14A509G</v>
      </c>
      <c r="I4475" t="str">
        <f>""</f>
        <v/>
      </c>
      <c r="K4475" t="str">
        <f>""</f>
        <v/>
      </c>
      <c r="M4475" t="s">
        <v>68</v>
      </c>
      <c r="N4475" t="str">
        <f t="shared" si="473"/>
        <v>ALT</v>
      </c>
      <c r="O4475" t="s">
        <v>114</v>
      </c>
      <c r="P4475" s="3" t="s">
        <v>90</v>
      </c>
      <c r="Q4475">
        <v>2016</v>
      </c>
      <c r="R4475" s="2">
        <v>42573</v>
      </c>
      <c r="S4475" s="2">
        <v>42573</v>
      </c>
      <c r="T4475" s="2">
        <v>42573</v>
      </c>
      <c r="U4475" s="2">
        <v>42633</v>
      </c>
      <c r="V4475" t="s">
        <v>71</v>
      </c>
      <c r="W4475" t="str">
        <f>"                0722"</f>
        <v xml:space="preserve">                0722</v>
      </c>
      <c r="X4475">
        <v>0</v>
      </c>
      <c r="Y4475">
        <v>180.75</v>
      </c>
      <c r="Z4475"/>
      <c r="AB4475"/>
      <c r="AC4475">
        <v>180.75</v>
      </c>
      <c r="AD4475">
        <v>-48</v>
      </c>
      <c r="AE4475" s="1">
        <v>-8676</v>
      </c>
      <c r="AF4475">
        <v>0</v>
      </c>
      <c r="AJ4475">
        <v>0</v>
      </c>
      <c r="AK4475">
        <v>0</v>
      </c>
      <c r="AL4475">
        <v>0</v>
      </c>
      <c r="AM4475">
        <v>180.75</v>
      </c>
      <c r="AN4475">
        <v>180.75</v>
      </c>
      <c r="AO4475">
        <v>180.75</v>
      </c>
      <c r="AP4475" s="2">
        <v>42746</v>
      </c>
      <c r="AQ4475" t="s">
        <v>72</v>
      </c>
      <c r="AR4475" t="s">
        <v>72</v>
      </c>
      <c r="AS4475">
        <v>2129</v>
      </c>
      <c r="AT4475" s="4">
        <v>42585</v>
      </c>
      <c r="AV4475">
        <v>2129</v>
      </c>
      <c r="AW4475" s="4">
        <v>42585</v>
      </c>
      <c r="BD4475">
        <v>0</v>
      </c>
      <c r="BN4475" t="s">
        <v>74</v>
      </c>
    </row>
    <row r="4476" spans="1:66" hidden="1">
      <c r="A4476">
        <v>101555</v>
      </c>
      <c r="B4476" s="3" t="s">
        <v>470</v>
      </c>
      <c r="C4476" s="1">
        <v>43500101</v>
      </c>
      <c r="D4476" t="s">
        <v>113</v>
      </c>
      <c r="H4476" t="str">
        <f t="shared" si="472"/>
        <v>PCRDLF42L14A509G</v>
      </c>
      <c r="I4476" t="str">
        <f>""</f>
        <v/>
      </c>
      <c r="K4476" t="str">
        <f>""</f>
        <v/>
      </c>
      <c r="M4476" t="s">
        <v>68</v>
      </c>
      <c r="N4476" t="str">
        <f t="shared" si="473"/>
        <v>ALT</v>
      </c>
      <c r="O4476" t="s">
        <v>114</v>
      </c>
      <c r="P4476" s="3" t="s">
        <v>91</v>
      </c>
      <c r="Q4476">
        <v>2016</v>
      </c>
      <c r="R4476" s="2">
        <v>42592</v>
      </c>
      <c r="S4476" s="2">
        <v>42598</v>
      </c>
      <c r="T4476" s="2">
        <v>42598</v>
      </c>
      <c r="U4476" s="2">
        <v>42658</v>
      </c>
      <c r="V4476" t="s">
        <v>71</v>
      </c>
      <c r="W4476" t="str">
        <f>"                0810"</f>
        <v xml:space="preserve">                0810</v>
      </c>
      <c r="X4476">
        <v>0</v>
      </c>
      <c r="Y4476">
        <v>180.75</v>
      </c>
      <c r="Z4476"/>
      <c r="AB4476"/>
      <c r="AC4476">
        <v>180.75</v>
      </c>
      <c r="AD4476">
        <v>-60</v>
      </c>
      <c r="AE4476" s="1">
        <v>-10845</v>
      </c>
      <c r="AF4476">
        <v>0</v>
      </c>
      <c r="AJ4476">
        <v>0</v>
      </c>
      <c r="AK4476">
        <v>0</v>
      </c>
      <c r="AL4476">
        <v>0</v>
      </c>
      <c r="AM4476">
        <v>180.75</v>
      </c>
      <c r="AN4476">
        <v>180.75</v>
      </c>
      <c r="AO4476">
        <v>180.75</v>
      </c>
      <c r="AP4476" s="2">
        <v>42746</v>
      </c>
      <c r="AQ4476" t="s">
        <v>72</v>
      </c>
      <c r="AR4476" t="s">
        <v>72</v>
      </c>
      <c r="AS4476">
        <v>2212</v>
      </c>
      <c r="AT4476" s="4">
        <v>42598</v>
      </c>
      <c r="AV4476">
        <v>2212</v>
      </c>
      <c r="AW4476" s="4">
        <v>42598</v>
      </c>
      <c r="BD4476">
        <v>0</v>
      </c>
      <c r="BN4476" t="s">
        <v>74</v>
      </c>
    </row>
    <row r="4477" spans="1:66" hidden="1">
      <c r="A4477">
        <v>101555</v>
      </c>
      <c r="B4477" s="3" t="s">
        <v>470</v>
      </c>
      <c r="C4477" s="1">
        <v>43500101</v>
      </c>
      <c r="D4477" t="s">
        <v>113</v>
      </c>
      <c r="H4477" t="str">
        <f t="shared" si="472"/>
        <v>PCRDLF42L14A509G</v>
      </c>
      <c r="I4477" t="str">
        <f>""</f>
        <v/>
      </c>
      <c r="K4477" t="str">
        <f>""</f>
        <v/>
      </c>
      <c r="M4477" t="s">
        <v>68</v>
      </c>
      <c r="N4477" t="str">
        <f t="shared" si="473"/>
        <v>ALT</v>
      </c>
      <c r="O4477" t="s">
        <v>114</v>
      </c>
      <c r="P4477" s="3" t="s">
        <v>92</v>
      </c>
      <c r="Q4477">
        <v>2016</v>
      </c>
      <c r="R4477" s="2">
        <v>42633</v>
      </c>
      <c r="S4477" s="2">
        <v>42634</v>
      </c>
      <c r="T4477" s="2">
        <v>42634</v>
      </c>
      <c r="U4477" s="2">
        <v>42694</v>
      </c>
      <c r="V4477" t="s">
        <v>71</v>
      </c>
      <c r="W4477" t="str">
        <f>"                0920"</f>
        <v xml:space="preserve">                0920</v>
      </c>
      <c r="X4477">
        <v>0</v>
      </c>
      <c r="Y4477">
        <v>180.75</v>
      </c>
      <c r="Z4477"/>
      <c r="AB4477"/>
      <c r="AC4477">
        <v>180.75</v>
      </c>
      <c r="AD4477">
        <v>-60</v>
      </c>
      <c r="AE4477" s="1">
        <v>-10845</v>
      </c>
      <c r="AF4477">
        <v>0</v>
      </c>
      <c r="AJ4477">
        <v>0</v>
      </c>
      <c r="AK4477">
        <v>0</v>
      </c>
      <c r="AL4477">
        <v>0</v>
      </c>
      <c r="AM4477">
        <v>180.75</v>
      </c>
      <c r="AN4477">
        <v>180.75</v>
      </c>
      <c r="AO4477">
        <v>180.75</v>
      </c>
      <c r="AP4477" s="2">
        <v>42746</v>
      </c>
      <c r="AQ4477" t="s">
        <v>72</v>
      </c>
      <c r="AR4477" t="s">
        <v>72</v>
      </c>
      <c r="AS4477">
        <v>2485</v>
      </c>
      <c r="AT4477" s="4">
        <v>42634</v>
      </c>
      <c r="AV4477">
        <v>2485</v>
      </c>
      <c r="AW4477" s="4">
        <v>42634</v>
      </c>
      <c r="BD4477">
        <v>0</v>
      </c>
      <c r="BN4477" t="s">
        <v>74</v>
      </c>
    </row>
    <row r="4478" spans="1:66" hidden="1">
      <c r="A4478">
        <v>101555</v>
      </c>
      <c r="B4478" s="3" t="s">
        <v>470</v>
      </c>
      <c r="C4478" s="1">
        <v>43500101</v>
      </c>
      <c r="D4478" t="s">
        <v>113</v>
      </c>
      <c r="H4478" t="str">
        <f t="shared" si="472"/>
        <v>PCRDLF42L14A509G</v>
      </c>
      <c r="I4478" t="str">
        <f>""</f>
        <v/>
      </c>
      <c r="K4478" t="str">
        <f>""</f>
        <v/>
      </c>
      <c r="M4478" t="s">
        <v>68</v>
      </c>
      <c r="N4478" t="str">
        <f t="shared" si="473"/>
        <v>ALT</v>
      </c>
      <c r="O4478" t="s">
        <v>114</v>
      </c>
      <c r="P4478" s="3" t="s">
        <v>93</v>
      </c>
      <c r="Q4478">
        <v>2016</v>
      </c>
      <c r="R4478" s="2">
        <v>42664</v>
      </c>
      <c r="S4478" s="2">
        <v>42667</v>
      </c>
      <c r="T4478" s="2">
        <v>42667</v>
      </c>
      <c r="U4478" s="2">
        <v>42727</v>
      </c>
      <c r="V4478" t="s">
        <v>71</v>
      </c>
      <c r="W4478" t="str">
        <f>"                1021"</f>
        <v xml:space="preserve">                1021</v>
      </c>
      <c r="X4478">
        <v>0</v>
      </c>
      <c r="Y4478">
        <v>180.75</v>
      </c>
      <c r="Z4478" s="3">
        <v>180.75</v>
      </c>
      <c r="AA4478">
        <v>-60</v>
      </c>
      <c r="AB4478" s="5">
        <v>-10845</v>
      </c>
      <c r="AC4478">
        <v>180.75</v>
      </c>
      <c r="AD4478">
        <v>-60</v>
      </c>
      <c r="AE4478" s="1">
        <v>-10845</v>
      </c>
      <c r="AF4478">
        <v>0</v>
      </c>
      <c r="AJ4478">
        <v>180.75</v>
      </c>
      <c r="AK4478">
        <v>180.75</v>
      </c>
      <c r="AL4478">
        <v>180.75</v>
      </c>
      <c r="AM4478">
        <v>180.75</v>
      </c>
      <c r="AN4478">
        <v>180.75</v>
      </c>
      <c r="AO4478">
        <v>180.75</v>
      </c>
      <c r="AP4478" s="2">
        <v>42746</v>
      </c>
      <c r="AQ4478" t="s">
        <v>72</v>
      </c>
      <c r="AR4478" t="s">
        <v>72</v>
      </c>
      <c r="AS4478">
        <v>2833</v>
      </c>
      <c r="AT4478" s="4">
        <v>42667</v>
      </c>
      <c r="AV4478">
        <v>2833</v>
      </c>
      <c r="AW4478" s="4">
        <v>42667</v>
      </c>
      <c r="BD4478">
        <v>0</v>
      </c>
      <c r="BN4478" t="s">
        <v>74</v>
      </c>
    </row>
    <row r="4479" spans="1:66" hidden="1">
      <c r="A4479">
        <v>101555</v>
      </c>
      <c r="B4479" s="3" t="s">
        <v>470</v>
      </c>
      <c r="C4479" s="1">
        <v>43500101</v>
      </c>
      <c r="D4479" t="s">
        <v>113</v>
      </c>
      <c r="H4479" t="str">
        <f t="shared" si="472"/>
        <v>PCRDLF42L14A509G</v>
      </c>
      <c r="I4479" t="str">
        <f>""</f>
        <v/>
      </c>
      <c r="K4479" t="str">
        <f>""</f>
        <v/>
      </c>
      <c r="M4479" t="s">
        <v>68</v>
      </c>
      <c r="N4479" t="str">
        <f t="shared" si="473"/>
        <v>ALT</v>
      </c>
      <c r="O4479" t="s">
        <v>114</v>
      </c>
      <c r="P4479" s="3" t="s">
        <v>94</v>
      </c>
      <c r="Q4479">
        <v>2016</v>
      </c>
      <c r="R4479" s="2">
        <v>42696</v>
      </c>
      <c r="S4479" s="2">
        <v>42696</v>
      </c>
      <c r="T4479" s="2">
        <v>42696</v>
      </c>
      <c r="U4479" s="2">
        <v>42756</v>
      </c>
      <c r="V4479" t="s">
        <v>71</v>
      </c>
      <c r="W4479" t="str">
        <f>"                1122"</f>
        <v xml:space="preserve">                1122</v>
      </c>
      <c r="X4479">
        <v>0</v>
      </c>
      <c r="Y4479">
        <v>180.75</v>
      </c>
      <c r="Z4479" s="3">
        <v>180.75</v>
      </c>
      <c r="AA4479">
        <v>-59</v>
      </c>
      <c r="AB4479" s="5">
        <v>-10664.25</v>
      </c>
      <c r="AC4479">
        <v>180.75</v>
      </c>
      <c r="AD4479">
        <v>-59</v>
      </c>
      <c r="AE4479" s="1">
        <v>-10664.25</v>
      </c>
      <c r="AF4479">
        <v>0</v>
      </c>
      <c r="AJ4479">
        <v>180.75</v>
      </c>
      <c r="AK4479">
        <v>180.75</v>
      </c>
      <c r="AL4479">
        <v>180.75</v>
      </c>
      <c r="AM4479">
        <v>180.75</v>
      </c>
      <c r="AN4479">
        <v>180.75</v>
      </c>
      <c r="AO4479">
        <v>180.75</v>
      </c>
      <c r="AP4479" s="2">
        <v>42746</v>
      </c>
      <c r="AQ4479" t="s">
        <v>72</v>
      </c>
      <c r="AR4479" t="s">
        <v>72</v>
      </c>
      <c r="AS4479">
        <v>3271</v>
      </c>
      <c r="AT4479" s="4">
        <v>42697</v>
      </c>
      <c r="AV4479">
        <v>3271</v>
      </c>
      <c r="AW4479" s="4">
        <v>42697</v>
      </c>
      <c r="BD4479">
        <v>0</v>
      </c>
      <c r="BN4479" t="s">
        <v>74</v>
      </c>
    </row>
    <row r="4480" spans="1:66" hidden="1">
      <c r="A4480">
        <v>101555</v>
      </c>
      <c r="B4480" s="3" t="s">
        <v>470</v>
      </c>
      <c r="C4480" s="1">
        <v>43500101</v>
      </c>
      <c r="D4480" t="s">
        <v>113</v>
      </c>
      <c r="H4480" t="str">
        <f t="shared" si="472"/>
        <v>PCRDLF42L14A509G</v>
      </c>
      <c r="I4480" t="str">
        <f>""</f>
        <v/>
      </c>
      <c r="K4480" t="str">
        <f>""</f>
        <v/>
      </c>
      <c r="M4480" t="s">
        <v>68</v>
      </c>
      <c r="N4480" t="str">
        <f t="shared" si="473"/>
        <v>ALT</v>
      </c>
      <c r="O4480" t="s">
        <v>114</v>
      </c>
      <c r="P4480" s="3" t="s">
        <v>95</v>
      </c>
      <c r="Q4480">
        <v>2016</v>
      </c>
      <c r="R4480" s="2">
        <v>42717</v>
      </c>
      <c r="S4480" s="2">
        <v>42717</v>
      </c>
      <c r="T4480" s="2">
        <v>42717</v>
      </c>
      <c r="U4480" s="2">
        <v>42777</v>
      </c>
      <c r="V4480" t="s">
        <v>71</v>
      </c>
      <c r="W4480" t="str">
        <f>"                1213"</f>
        <v xml:space="preserve">                1213</v>
      </c>
      <c r="X4480">
        <v>0</v>
      </c>
      <c r="Y4480">
        <v>180.75</v>
      </c>
      <c r="Z4480" s="3">
        <v>180.75</v>
      </c>
      <c r="AA4480">
        <v>-59</v>
      </c>
      <c r="AB4480" s="5">
        <v>-10664.25</v>
      </c>
      <c r="AC4480">
        <v>180.75</v>
      </c>
      <c r="AD4480">
        <v>-59</v>
      </c>
      <c r="AE4480" s="1">
        <v>-10664.25</v>
      </c>
      <c r="AF4480">
        <v>0</v>
      </c>
      <c r="AJ4480">
        <v>180.75</v>
      </c>
      <c r="AK4480">
        <v>180.75</v>
      </c>
      <c r="AL4480">
        <v>180.75</v>
      </c>
      <c r="AM4480">
        <v>180.75</v>
      </c>
      <c r="AN4480">
        <v>180.75</v>
      </c>
      <c r="AO4480">
        <v>180.75</v>
      </c>
      <c r="AP4480" s="2">
        <v>42746</v>
      </c>
      <c r="AQ4480" t="s">
        <v>72</v>
      </c>
      <c r="AR4480" t="s">
        <v>72</v>
      </c>
      <c r="AS4480">
        <v>3428</v>
      </c>
      <c r="AT4480" s="4">
        <v>42718</v>
      </c>
      <c r="AV4480">
        <v>3428</v>
      </c>
      <c r="AW4480" s="4">
        <v>42718</v>
      </c>
      <c r="BD4480">
        <v>0</v>
      </c>
      <c r="BN4480" t="s">
        <v>74</v>
      </c>
    </row>
    <row r="4481" spans="1:66" hidden="1">
      <c r="A4481">
        <v>101556</v>
      </c>
      <c r="B4481" s="3" t="s">
        <v>471</v>
      </c>
      <c r="C4481" s="1">
        <v>43300101</v>
      </c>
      <c r="D4481" t="s">
        <v>67</v>
      </c>
      <c r="H4481" t="str">
        <f t="shared" ref="H4481:I4500" si="474">"01471180628"</f>
        <v>01471180628</v>
      </c>
      <c r="I4481" t="str">
        <f t="shared" si="474"/>
        <v>01471180628</v>
      </c>
      <c r="K4481" t="str">
        <f>""</f>
        <v/>
      </c>
      <c r="M4481" t="s">
        <v>68</v>
      </c>
      <c r="N4481" t="str">
        <f t="shared" ref="N4481:N4517" si="475">"FOR"</f>
        <v>FOR</v>
      </c>
      <c r="O4481" t="s">
        <v>69</v>
      </c>
      <c r="P4481" s="3" t="s">
        <v>75</v>
      </c>
      <c r="Q4481">
        <v>2015</v>
      </c>
      <c r="R4481" s="2">
        <v>42278</v>
      </c>
      <c r="S4481" s="2">
        <v>42279</v>
      </c>
      <c r="T4481" s="2">
        <v>42278</v>
      </c>
      <c r="U4481" s="2">
        <v>42338</v>
      </c>
      <c r="V4481" t="s">
        <v>71</v>
      </c>
      <c r="W4481" t="str">
        <f>"              321/PA"</f>
        <v xml:space="preserve">              321/PA</v>
      </c>
      <c r="X4481">
        <v>90.21</v>
      </c>
      <c r="Y4481">
        <v>0</v>
      </c>
      <c r="Z4481"/>
      <c r="AB4481"/>
      <c r="AC4481">
        <v>73.94</v>
      </c>
      <c r="AD4481">
        <v>65</v>
      </c>
      <c r="AE4481" s="1">
        <v>4806.1000000000004</v>
      </c>
      <c r="AF4481">
        <v>16.27</v>
      </c>
      <c r="AJ4481">
        <v>0</v>
      </c>
      <c r="AK4481">
        <v>0</v>
      </c>
      <c r="AL4481">
        <v>0</v>
      </c>
      <c r="AM4481">
        <v>0</v>
      </c>
      <c r="AN4481">
        <v>0</v>
      </c>
      <c r="AO4481">
        <v>0</v>
      </c>
      <c r="AP4481" s="2">
        <v>42746</v>
      </c>
      <c r="AQ4481" t="s">
        <v>72</v>
      </c>
      <c r="AR4481" t="s">
        <v>72</v>
      </c>
      <c r="AS4481">
        <v>212</v>
      </c>
      <c r="AT4481" s="4">
        <v>42403</v>
      </c>
      <c r="AU4481" t="s">
        <v>73</v>
      </c>
      <c r="AV4481">
        <v>212</v>
      </c>
      <c r="AW4481" s="4">
        <v>42403</v>
      </c>
      <c r="BD4481">
        <v>16.27</v>
      </c>
      <c r="BN4481" t="s">
        <v>74</v>
      </c>
    </row>
    <row r="4482" spans="1:66" hidden="1">
      <c r="A4482">
        <v>101556</v>
      </c>
      <c r="B4482" s="3" t="s">
        <v>471</v>
      </c>
      <c r="C4482" s="1">
        <v>43300101</v>
      </c>
      <c r="D4482" t="s">
        <v>67</v>
      </c>
      <c r="H4482" t="str">
        <f t="shared" si="474"/>
        <v>01471180628</v>
      </c>
      <c r="I4482" t="str">
        <f t="shared" si="474"/>
        <v>01471180628</v>
      </c>
      <c r="K4482" t="str">
        <f>""</f>
        <v/>
      </c>
      <c r="M4482" t="s">
        <v>68</v>
      </c>
      <c r="N4482" t="str">
        <f t="shared" si="475"/>
        <v>FOR</v>
      </c>
      <c r="O4482" t="s">
        <v>69</v>
      </c>
      <c r="P4482" s="3" t="s">
        <v>75</v>
      </c>
      <c r="Q4482">
        <v>2015</v>
      </c>
      <c r="R4482" s="2">
        <v>42278</v>
      </c>
      <c r="S4482" s="2">
        <v>42279</v>
      </c>
      <c r="T4482" s="2">
        <v>42278</v>
      </c>
      <c r="U4482" s="2">
        <v>42338</v>
      </c>
      <c r="V4482" t="s">
        <v>71</v>
      </c>
      <c r="W4482" t="str">
        <f>"              322/PA"</f>
        <v xml:space="preserve">              322/PA</v>
      </c>
      <c r="X4482">
        <v>477.01</v>
      </c>
      <c r="Y4482">
        <v>0</v>
      </c>
      <c r="Z4482"/>
      <c r="AB4482"/>
      <c r="AC4482">
        <v>390.99</v>
      </c>
      <c r="AD4482">
        <v>65</v>
      </c>
      <c r="AE4482" s="1">
        <v>25414.35</v>
      </c>
      <c r="AF4482">
        <v>86.02</v>
      </c>
      <c r="AJ4482">
        <v>0</v>
      </c>
      <c r="AK4482">
        <v>0</v>
      </c>
      <c r="AL4482">
        <v>0</v>
      </c>
      <c r="AM4482">
        <v>0</v>
      </c>
      <c r="AN4482">
        <v>0</v>
      </c>
      <c r="AO4482">
        <v>0</v>
      </c>
      <c r="AP4482" s="2">
        <v>42746</v>
      </c>
      <c r="AQ4482" t="s">
        <v>72</v>
      </c>
      <c r="AR4482" t="s">
        <v>72</v>
      </c>
      <c r="AS4482">
        <v>212</v>
      </c>
      <c r="AT4482" s="4">
        <v>42403</v>
      </c>
      <c r="AU4482" t="s">
        <v>73</v>
      </c>
      <c r="AV4482">
        <v>212</v>
      </c>
      <c r="AW4482" s="4">
        <v>42403</v>
      </c>
      <c r="BD4482">
        <v>86.02</v>
      </c>
      <c r="BN4482" t="s">
        <v>74</v>
      </c>
    </row>
    <row r="4483" spans="1:66" hidden="1">
      <c r="A4483">
        <v>101556</v>
      </c>
      <c r="B4483" s="3" t="s">
        <v>471</v>
      </c>
      <c r="C4483" s="1">
        <v>43300101</v>
      </c>
      <c r="D4483" t="s">
        <v>67</v>
      </c>
      <c r="H4483" t="str">
        <f t="shared" si="474"/>
        <v>01471180628</v>
      </c>
      <c r="I4483" t="str">
        <f t="shared" si="474"/>
        <v>01471180628</v>
      </c>
      <c r="K4483" t="str">
        <f>""</f>
        <v/>
      </c>
      <c r="M4483" t="s">
        <v>68</v>
      </c>
      <c r="N4483" t="str">
        <f t="shared" si="475"/>
        <v>FOR</v>
      </c>
      <c r="O4483" t="s">
        <v>69</v>
      </c>
      <c r="P4483" s="3" t="s">
        <v>75</v>
      </c>
      <c r="Q4483">
        <v>2015</v>
      </c>
      <c r="R4483" s="2">
        <v>42283</v>
      </c>
      <c r="S4483" s="2">
        <v>42283</v>
      </c>
      <c r="T4483" s="2">
        <v>42283</v>
      </c>
      <c r="U4483" s="2">
        <v>42343</v>
      </c>
      <c r="V4483" t="s">
        <v>71</v>
      </c>
      <c r="W4483" t="str">
        <f>"              324/PA"</f>
        <v xml:space="preserve">              324/PA</v>
      </c>
      <c r="X4483">
        <v>115.9</v>
      </c>
      <c r="Y4483">
        <v>0</v>
      </c>
      <c r="Z4483"/>
      <c r="AB4483"/>
      <c r="AC4483">
        <v>95</v>
      </c>
      <c r="AD4483">
        <v>60</v>
      </c>
      <c r="AE4483" s="1">
        <v>5700</v>
      </c>
      <c r="AF4483">
        <v>20.9</v>
      </c>
      <c r="AJ4483">
        <v>0</v>
      </c>
      <c r="AK4483">
        <v>0</v>
      </c>
      <c r="AL4483">
        <v>0</v>
      </c>
      <c r="AM4483">
        <v>0</v>
      </c>
      <c r="AN4483">
        <v>0</v>
      </c>
      <c r="AO4483">
        <v>0</v>
      </c>
      <c r="AP4483" s="2">
        <v>42746</v>
      </c>
      <c r="AQ4483" t="s">
        <v>72</v>
      </c>
      <c r="AR4483" t="s">
        <v>72</v>
      </c>
      <c r="AS4483">
        <v>212</v>
      </c>
      <c r="AT4483" s="4">
        <v>42403</v>
      </c>
      <c r="AU4483" t="s">
        <v>73</v>
      </c>
      <c r="AV4483">
        <v>212</v>
      </c>
      <c r="AW4483" s="4">
        <v>42403</v>
      </c>
      <c r="BD4483">
        <v>20.9</v>
      </c>
      <c r="BN4483" t="s">
        <v>74</v>
      </c>
    </row>
    <row r="4484" spans="1:66" hidden="1">
      <c r="A4484">
        <v>101556</v>
      </c>
      <c r="B4484" s="3" t="s">
        <v>471</v>
      </c>
      <c r="C4484" s="1">
        <v>43300101</v>
      </c>
      <c r="D4484" t="s">
        <v>67</v>
      </c>
      <c r="H4484" t="str">
        <f t="shared" si="474"/>
        <v>01471180628</v>
      </c>
      <c r="I4484" t="str">
        <f t="shared" si="474"/>
        <v>01471180628</v>
      </c>
      <c r="K4484" t="str">
        <f>""</f>
        <v/>
      </c>
      <c r="M4484" t="s">
        <v>68</v>
      </c>
      <c r="N4484" t="str">
        <f t="shared" si="475"/>
        <v>FOR</v>
      </c>
      <c r="O4484" t="s">
        <v>69</v>
      </c>
      <c r="P4484" s="3" t="s">
        <v>75</v>
      </c>
      <c r="Q4484">
        <v>2015</v>
      </c>
      <c r="R4484" s="2">
        <v>42292</v>
      </c>
      <c r="S4484" s="2">
        <v>42293</v>
      </c>
      <c r="T4484" s="2">
        <v>42292</v>
      </c>
      <c r="U4484" s="2">
        <v>42352</v>
      </c>
      <c r="V4484" t="s">
        <v>71</v>
      </c>
      <c r="W4484" t="str">
        <f>"              330/PA"</f>
        <v xml:space="preserve">              330/PA</v>
      </c>
      <c r="X4484">
        <v>318.01</v>
      </c>
      <c r="Y4484">
        <v>0</v>
      </c>
      <c r="Z4484"/>
      <c r="AB4484"/>
      <c r="AC4484">
        <v>260.66000000000003</v>
      </c>
      <c r="AD4484">
        <v>51</v>
      </c>
      <c r="AE4484" s="1">
        <v>13293.66</v>
      </c>
      <c r="AF4484">
        <v>57.35</v>
      </c>
      <c r="AJ4484">
        <v>0</v>
      </c>
      <c r="AK4484">
        <v>0</v>
      </c>
      <c r="AL4484">
        <v>0</v>
      </c>
      <c r="AM4484">
        <v>0</v>
      </c>
      <c r="AN4484">
        <v>0</v>
      </c>
      <c r="AO4484">
        <v>0</v>
      </c>
      <c r="AP4484" s="2">
        <v>42746</v>
      </c>
      <c r="AQ4484" t="s">
        <v>72</v>
      </c>
      <c r="AR4484" t="s">
        <v>72</v>
      </c>
      <c r="AS4484">
        <v>212</v>
      </c>
      <c r="AT4484" s="4">
        <v>42403</v>
      </c>
      <c r="AU4484" t="s">
        <v>73</v>
      </c>
      <c r="AV4484">
        <v>212</v>
      </c>
      <c r="AW4484" s="4">
        <v>42403</v>
      </c>
      <c r="BD4484">
        <v>57.35</v>
      </c>
      <c r="BN4484" t="s">
        <v>74</v>
      </c>
    </row>
    <row r="4485" spans="1:66" hidden="1">
      <c r="A4485">
        <v>101556</v>
      </c>
      <c r="B4485" s="3" t="s">
        <v>471</v>
      </c>
      <c r="C4485" s="1">
        <v>43300101</v>
      </c>
      <c r="D4485" t="s">
        <v>67</v>
      </c>
      <c r="H4485" t="str">
        <f t="shared" si="474"/>
        <v>01471180628</v>
      </c>
      <c r="I4485" t="str">
        <f t="shared" si="474"/>
        <v>01471180628</v>
      </c>
      <c r="K4485" t="str">
        <f>""</f>
        <v/>
      </c>
      <c r="M4485" t="s">
        <v>68</v>
      </c>
      <c r="N4485" t="str">
        <f t="shared" si="475"/>
        <v>FOR</v>
      </c>
      <c r="O4485" t="s">
        <v>69</v>
      </c>
      <c r="P4485" s="3" t="s">
        <v>75</v>
      </c>
      <c r="Q4485">
        <v>2015</v>
      </c>
      <c r="R4485" s="2">
        <v>42305</v>
      </c>
      <c r="S4485" s="2">
        <v>42310</v>
      </c>
      <c r="T4485" s="2">
        <v>42310</v>
      </c>
      <c r="U4485" s="2">
        <v>42370</v>
      </c>
      <c r="V4485" t="s">
        <v>71</v>
      </c>
      <c r="W4485" t="str">
        <f>"              341/PA"</f>
        <v xml:space="preserve">              341/PA</v>
      </c>
      <c r="X4485">
        <v>60.34</v>
      </c>
      <c r="Y4485">
        <v>0</v>
      </c>
      <c r="Z4485"/>
      <c r="AB4485"/>
      <c r="AC4485">
        <v>49.46</v>
      </c>
      <c r="AD4485">
        <v>33</v>
      </c>
      <c r="AE4485" s="1">
        <v>1632.18</v>
      </c>
      <c r="AF4485">
        <v>10.88</v>
      </c>
      <c r="AJ4485">
        <v>0</v>
      </c>
      <c r="AK4485">
        <v>0</v>
      </c>
      <c r="AL4485">
        <v>0</v>
      </c>
      <c r="AM4485">
        <v>0</v>
      </c>
      <c r="AN4485">
        <v>0</v>
      </c>
      <c r="AO4485">
        <v>0</v>
      </c>
      <c r="AP4485" s="2">
        <v>42746</v>
      </c>
      <c r="AQ4485" t="s">
        <v>72</v>
      </c>
      <c r="AR4485" t="s">
        <v>72</v>
      </c>
      <c r="AS4485">
        <v>212</v>
      </c>
      <c r="AT4485" s="4">
        <v>42403</v>
      </c>
      <c r="AU4485" t="s">
        <v>73</v>
      </c>
      <c r="AV4485">
        <v>212</v>
      </c>
      <c r="AW4485" s="4">
        <v>42403</v>
      </c>
      <c r="BD4485">
        <v>10.88</v>
      </c>
      <c r="BN4485" t="s">
        <v>74</v>
      </c>
    </row>
    <row r="4486" spans="1:66" hidden="1">
      <c r="A4486">
        <v>101556</v>
      </c>
      <c r="B4486" s="3" t="s">
        <v>471</v>
      </c>
      <c r="C4486" s="1">
        <v>43300101</v>
      </c>
      <c r="D4486" t="s">
        <v>67</v>
      </c>
      <c r="H4486" t="str">
        <f t="shared" si="474"/>
        <v>01471180628</v>
      </c>
      <c r="I4486" t="str">
        <f t="shared" si="474"/>
        <v>01471180628</v>
      </c>
      <c r="K4486" t="str">
        <f>""</f>
        <v/>
      </c>
      <c r="M4486" t="s">
        <v>68</v>
      </c>
      <c r="N4486" t="str">
        <f t="shared" si="475"/>
        <v>FOR</v>
      </c>
      <c r="O4486" t="s">
        <v>69</v>
      </c>
      <c r="P4486" s="3" t="s">
        <v>75</v>
      </c>
      <c r="Q4486">
        <v>2015</v>
      </c>
      <c r="R4486" s="2">
        <v>42305</v>
      </c>
      <c r="S4486" s="2">
        <v>42307</v>
      </c>
      <c r="T4486" s="2">
        <v>42306</v>
      </c>
      <c r="U4486" s="2">
        <v>42366</v>
      </c>
      <c r="V4486" t="s">
        <v>71</v>
      </c>
      <c r="W4486" t="str">
        <f>"              342/PA"</f>
        <v xml:space="preserve">              342/PA</v>
      </c>
      <c r="X4486">
        <v>477.01</v>
      </c>
      <c r="Y4486">
        <v>0</v>
      </c>
      <c r="Z4486"/>
      <c r="AB4486"/>
      <c r="AC4486">
        <v>390.99</v>
      </c>
      <c r="AD4486">
        <v>37</v>
      </c>
      <c r="AE4486" s="1">
        <v>14466.63</v>
      </c>
      <c r="AF4486">
        <v>86.02</v>
      </c>
      <c r="AJ4486">
        <v>0</v>
      </c>
      <c r="AK4486">
        <v>0</v>
      </c>
      <c r="AL4486">
        <v>0</v>
      </c>
      <c r="AM4486">
        <v>0</v>
      </c>
      <c r="AN4486">
        <v>0</v>
      </c>
      <c r="AO4486">
        <v>0</v>
      </c>
      <c r="AP4486" s="2">
        <v>42746</v>
      </c>
      <c r="AQ4486" t="s">
        <v>72</v>
      </c>
      <c r="AR4486" t="s">
        <v>72</v>
      </c>
      <c r="AS4486">
        <v>212</v>
      </c>
      <c r="AT4486" s="4">
        <v>42403</v>
      </c>
      <c r="AU4486" t="s">
        <v>73</v>
      </c>
      <c r="AV4486">
        <v>212</v>
      </c>
      <c r="AW4486" s="4">
        <v>42403</v>
      </c>
      <c r="BD4486">
        <v>86.02</v>
      </c>
      <c r="BN4486" t="s">
        <v>74</v>
      </c>
    </row>
    <row r="4487" spans="1:66" hidden="1">
      <c r="A4487">
        <v>101556</v>
      </c>
      <c r="B4487" s="3" t="s">
        <v>471</v>
      </c>
      <c r="C4487" s="1">
        <v>43300101</v>
      </c>
      <c r="D4487" t="s">
        <v>67</v>
      </c>
      <c r="H4487" t="str">
        <f t="shared" si="474"/>
        <v>01471180628</v>
      </c>
      <c r="I4487" t="str">
        <f t="shared" si="474"/>
        <v>01471180628</v>
      </c>
      <c r="K4487" t="str">
        <f>""</f>
        <v/>
      </c>
      <c r="M4487" t="s">
        <v>68</v>
      </c>
      <c r="N4487" t="str">
        <f t="shared" si="475"/>
        <v>FOR</v>
      </c>
      <c r="O4487" t="s">
        <v>69</v>
      </c>
      <c r="P4487" s="3" t="s">
        <v>75</v>
      </c>
      <c r="Q4487">
        <v>2015</v>
      </c>
      <c r="R4487" s="2">
        <v>42307</v>
      </c>
      <c r="S4487" s="2">
        <v>42310</v>
      </c>
      <c r="T4487" s="2">
        <v>42310</v>
      </c>
      <c r="U4487" s="2">
        <v>42370</v>
      </c>
      <c r="V4487" t="s">
        <v>71</v>
      </c>
      <c r="W4487" t="str">
        <f>"              344/PA"</f>
        <v xml:space="preserve">              344/PA</v>
      </c>
      <c r="X4487">
        <v>545.34</v>
      </c>
      <c r="Y4487">
        <v>0</v>
      </c>
      <c r="Z4487"/>
      <c r="AB4487"/>
      <c r="AC4487">
        <v>447</v>
      </c>
      <c r="AD4487">
        <v>33</v>
      </c>
      <c r="AE4487" s="1">
        <v>14751</v>
      </c>
      <c r="AF4487">
        <v>98.34</v>
      </c>
      <c r="AJ4487">
        <v>0</v>
      </c>
      <c r="AK4487">
        <v>0</v>
      </c>
      <c r="AL4487">
        <v>0</v>
      </c>
      <c r="AM4487">
        <v>0</v>
      </c>
      <c r="AN4487">
        <v>0</v>
      </c>
      <c r="AO4487">
        <v>0</v>
      </c>
      <c r="AP4487" s="2">
        <v>42746</v>
      </c>
      <c r="AQ4487" t="s">
        <v>72</v>
      </c>
      <c r="AR4487" t="s">
        <v>72</v>
      </c>
      <c r="AS4487">
        <v>212</v>
      </c>
      <c r="AT4487" s="4">
        <v>42403</v>
      </c>
      <c r="AU4487" t="s">
        <v>73</v>
      </c>
      <c r="AV4487">
        <v>212</v>
      </c>
      <c r="AW4487" s="4">
        <v>42403</v>
      </c>
      <c r="BD4487">
        <v>98.34</v>
      </c>
      <c r="BN4487" t="s">
        <v>74</v>
      </c>
    </row>
    <row r="4488" spans="1:66" hidden="1">
      <c r="A4488">
        <v>101556</v>
      </c>
      <c r="B4488" s="3" t="s">
        <v>471</v>
      </c>
      <c r="C4488" s="1">
        <v>43300101</v>
      </c>
      <c r="D4488" t="s">
        <v>67</v>
      </c>
      <c r="H4488" t="str">
        <f t="shared" si="474"/>
        <v>01471180628</v>
      </c>
      <c r="I4488" t="str">
        <f t="shared" si="474"/>
        <v>01471180628</v>
      </c>
      <c r="K4488" t="str">
        <f>""</f>
        <v/>
      </c>
      <c r="M4488" t="s">
        <v>68</v>
      </c>
      <c r="N4488" t="str">
        <f t="shared" si="475"/>
        <v>FOR</v>
      </c>
      <c r="O4488" t="s">
        <v>69</v>
      </c>
      <c r="P4488" s="3" t="s">
        <v>75</v>
      </c>
      <c r="Q4488">
        <v>2015</v>
      </c>
      <c r="R4488" s="2">
        <v>42317</v>
      </c>
      <c r="S4488" s="2">
        <v>42317</v>
      </c>
      <c r="T4488" s="2">
        <v>42317</v>
      </c>
      <c r="U4488" s="2">
        <v>42377</v>
      </c>
      <c r="V4488" t="s">
        <v>71</v>
      </c>
      <c r="W4488" t="str">
        <f>"              361/PA"</f>
        <v xml:space="preserve">              361/PA</v>
      </c>
      <c r="X4488">
        <v>139.96</v>
      </c>
      <c r="Y4488">
        <v>0</v>
      </c>
      <c r="Z4488"/>
      <c r="AB4488"/>
      <c r="AC4488">
        <v>114.72</v>
      </c>
      <c r="AD4488">
        <v>26</v>
      </c>
      <c r="AE4488" s="1">
        <v>2982.72</v>
      </c>
      <c r="AF4488">
        <v>25.24</v>
      </c>
      <c r="AJ4488">
        <v>0</v>
      </c>
      <c r="AK4488">
        <v>0</v>
      </c>
      <c r="AL4488">
        <v>0</v>
      </c>
      <c r="AM4488">
        <v>0</v>
      </c>
      <c r="AN4488">
        <v>0</v>
      </c>
      <c r="AO4488">
        <v>0</v>
      </c>
      <c r="AP4488" s="2">
        <v>42746</v>
      </c>
      <c r="AQ4488" t="s">
        <v>72</v>
      </c>
      <c r="AR4488" t="s">
        <v>72</v>
      </c>
      <c r="AS4488">
        <v>212</v>
      </c>
      <c r="AT4488" s="4">
        <v>42403</v>
      </c>
      <c r="AU4488" t="s">
        <v>73</v>
      </c>
      <c r="AV4488">
        <v>212</v>
      </c>
      <c r="AW4488" s="4">
        <v>42403</v>
      </c>
      <c r="BD4488">
        <v>25.24</v>
      </c>
      <c r="BN4488" t="s">
        <v>74</v>
      </c>
    </row>
    <row r="4489" spans="1:66" hidden="1">
      <c r="A4489">
        <v>101556</v>
      </c>
      <c r="B4489" s="3" t="s">
        <v>471</v>
      </c>
      <c r="C4489" s="1">
        <v>43300101</v>
      </c>
      <c r="D4489" t="s">
        <v>67</v>
      </c>
      <c r="H4489" t="str">
        <f t="shared" si="474"/>
        <v>01471180628</v>
      </c>
      <c r="I4489" t="str">
        <f t="shared" si="474"/>
        <v>01471180628</v>
      </c>
      <c r="K4489" t="str">
        <f>""</f>
        <v/>
      </c>
      <c r="M4489" t="s">
        <v>68</v>
      </c>
      <c r="N4489" t="str">
        <f t="shared" si="475"/>
        <v>FOR</v>
      </c>
      <c r="O4489" t="s">
        <v>69</v>
      </c>
      <c r="P4489" s="3" t="s">
        <v>75</v>
      </c>
      <c r="Q4489">
        <v>2015</v>
      </c>
      <c r="R4489" s="2">
        <v>42318</v>
      </c>
      <c r="S4489" s="2">
        <v>42318</v>
      </c>
      <c r="T4489" s="2">
        <v>42318</v>
      </c>
      <c r="U4489" s="2">
        <v>42378</v>
      </c>
      <c r="V4489" t="s">
        <v>71</v>
      </c>
      <c r="W4489" t="str">
        <f>"              363/PA"</f>
        <v xml:space="preserve">              363/PA</v>
      </c>
      <c r="X4489">
        <v>488</v>
      </c>
      <c r="Y4489">
        <v>0</v>
      </c>
      <c r="Z4489"/>
      <c r="AB4489"/>
      <c r="AC4489">
        <v>400</v>
      </c>
      <c r="AD4489">
        <v>25</v>
      </c>
      <c r="AE4489" s="1">
        <v>10000</v>
      </c>
      <c r="AF4489">
        <v>88</v>
      </c>
      <c r="AJ4489">
        <v>0</v>
      </c>
      <c r="AK4489">
        <v>0</v>
      </c>
      <c r="AL4489">
        <v>0</v>
      </c>
      <c r="AM4489">
        <v>0</v>
      </c>
      <c r="AN4489">
        <v>0</v>
      </c>
      <c r="AO4489">
        <v>0</v>
      </c>
      <c r="AP4489" s="2">
        <v>42746</v>
      </c>
      <c r="AQ4489" t="s">
        <v>72</v>
      </c>
      <c r="AR4489" t="s">
        <v>72</v>
      </c>
      <c r="AS4489">
        <v>212</v>
      </c>
      <c r="AT4489" s="4">
        <v>42403</v>
      </c>
      <c r="AU4489" t="s">
        <v>73</v>
      </c>
      <c r="AV4489">
        <v>212</v>
      </c>
      <c r="AW4489" s="4">
        <v>42403</v>
      </c>
      <c r="BD4489">
        <v>88</v>
      </c>
      <c r="BN4489" t="s">
        <v>74</v>
      </c>
    </row>
    <row r="4490" spans="1:66" hidden="1">
      <c r="A4490">
        <v>101556</v>
      </c>
      <c r="B4490" s="3" t="s">
        <v>471</v>
      </c>
      <c r="C4490" s="1">
        <v>43300101</v>
      </c>
      <c r="D4490" t="s">
        <v>67</v>
      </c>
      <c r="H4490" t="str">
        <f t="shared" si="474"/>
        <v>01471180628</v>
      </c>
      <c r="I4490" t="str">
        <f t="shared" si="474"/>
        <v>01471180628</v>
      </c>
      <c r="K4490" t="str">
        <f>""</f>
        <v/>
      </c>
      <c r="M4490" t="s">
        <v>68</v>
      </c>
      <c r="N4490" t="str">
        <f t="shared" si="475"/>
        <v>FOR</v>
      </c>
      <c r="O4490" t="s">
        <v>69</v>
      </c>
      <c r="P4490" s="3" t="s">
        <v>75</v>
      </c>
      <c r="Q4490">
        <v>2015</v>
      </c>
      <c r="R4490" s="2">
        <v>42318</v>
      </c>
      <c r="S4490" s="2">
        <v>42318</v>
      </c>
      <c r="T4490" s="2">
        <v>42318</v>
      </c>
      <c r="U4490" s="2">
        <v>42378</v>
      </c>
      <c r="V4490" t="s">
        <v>71</v>
      </c>
      <c r="W4490" t="str">
        <f>"              364/PA"</f>
        <v xml:space="preserve">              364/PA</v>
      </c>
      <c r="X4490">
        <v>30.5</v>
      </c>
      <c r="Y4490">
        <v>0</v>
      </c>
      <c r="Z4490"/>
      <c r="AB4490"/>
      <c r="AC4490">
        <v>25</v>
      </c>
      <c r="AD4490">
        <v>25</v>
      </c>
      <c r="AE4490">
        <v>625</v>
      </c>
      <c r="AF4490">
        <v>5.5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 s="2">
        <v>42746</v>
      </c>
      <c r="AQ4490" t="s">
        <v>72</v>
      </c>
      <c r="AR4490" t="s">
        <v>72</v>
      </c>
      <c r="AS4490">
        <v>212</v>
      </c>
      <c r="AT4490" s="4">
        <v>42403</v>
      </c>
      <c r="AU4490" t="s">
        <v>73</v>
      </c>
      <c r="AV4490">
        <v>212</v>
      </c>
      <c r="AW4490" s="4">
        <v>42403</v>
      </c>
      <c r="BD4490">
        <v>5.5</v>
      </c>
      <c r="BN4490" t="s">
        <v>74</v>
      </c>
    </row>
    <row r="4491" spans="1:66" hidden="1">
      <c r="A4491">
        <v>101556</v>
      </c>
      <c r="B4491" s="3" t="s">
        <v>471</v>
      </c>
      <c r="C4491" s="1">
        <v>43300101</v>
      </c>
      <c r="D4491" t="s">
        <v>67</v>
      </c>
      <c r="H4491" t="str">
        <f t="shared" si="474"/>
        <v>01471180628</v>
      </c>
      <c r="I4491" t="str">
        <f t="shared" si="474"/>
        <v>01471180628</v>
      </c>
      <c r="K4491" t="str">
        <f>""</f>
        <v/>
      </c>
      <c r="M4491" t="s">
        <v>68</v>
      </c>
      <c r="N4491" t="str">
        <f t="shared" si="475"/>
        <v>FOR</v>
      </c>
      <c r="O4491" t="s">
        <v>69</v>
      </c>
      <c r="P4491" s="3" t="s">
        <v>75</v>
      </c>
      <c r="Q4491">
        <v>2015</v>
      </c>
      <c r="R4491" s="2">
        <v>42318</v>
      </c>
      <c r="S4491" s="2">
        <v>42318</v>
      </c>
      <c r="T4491" s="2">
        <v>42318</v>
      </c>
      <c r="U4491" s="2">
        <v>42378</v>
      </c>
      <c r="V4491" t="s">
        <v>71</v>
      </c>
      <c r="W4491" t="str">
        <f>"              365/PA"</f>
        <v xml:space="preserve">              365/PA</v>
      </c>
      <c r="X4491">
        <v>159</v>
      </c>
      <c r="Y4491">
        <v>0</v>
      </c>
      <c r="Z4491"/>
      <c r="AB4491"/>
      <c r="AC4491">
        <v>130.33000000000001</v>
      </c>
      <c r="AD4491">
        <v>25</v>
      </c>
      <c r="AE4491" s="1">
        <v>3258.25</v>
      </c>
      <c r="AF4491">
        <v>28.67</v>
      </c>
      <c r="AJ4491">
        <v>0</v>
      </c>
      <c r="AK4491">
        <v>0</v>
      </c>
      <c r="AL4491">
        <v>0</v>
      </c>
      <c r="AM4491">
        <v>0</v>
      </c>
      <c r="AN4491">
        <v>0</v>
      </c>
      <c r="AO4491">
        <v>0</v>
      </c>
      <c r="AP4491" s="2">
        <v>42746</v>
      </c>
      <c r="AQ4491" t="s">
        <v>72</v>
      </c>
      <c r="AR4491" t="s">
        <v>72</v>
      </c>
      <c r="AS4491">
        <v>212</v>
      </c>
      <c r="AT4491" s="4">
        <v>42403</v>
      </c>
      <c r="AU4491" t="s">
        <v>73</v>
      </c>
      <c r="AV4491">
        <v>212</v>
      </c>
      <c r="AW4491" s="4">
        <v>42403</v>
      </c>
      <c r="BD4491">
        <v>28.67</v>
      </c>
      <c r="BN4491" t="s">
        <v>74</v>
      </c>
    </row>
    <row r="4492" spans="1:66" hidden="1">
      <c r="A4492">
        <v>101556</v>
      </c>
      <c r="B4492" s="3" t="s">
        <v>471</v>
      </c>
      <c r="C4492" s="1">
        <v>43300101</v>
      </c>
      <c r="D4492" t="s">
        <v>67</v>
      </c>
      <c r="H4492" t="str">
        <f t="shared" si="474"/>
        <v>01471180628</v>
      </c>
      <c r="I4492" t="str">
        <f t="shared" si="474"/>
        <v>01471180628</v>
      </c>
      <c r="K4492" t="str">
        <f>""</f>
        <v/>
      </c>
      <c r="M4492" t="s">
        <v>68</v>
      </c>
      <c r="N4492" t="str">
        <f t="shared" si="475"/>
        <v>FOR</v>
      </c>
      <c r="O4492" t="s">
        <v>69</v>
      </c>
      <c r="P4492" s="3" t="s">
        <v>75</v>
      </c>
      <c r="Q4492">
        <v>2015</v>
      </c>
      <c r="R4492" s="2">
        <v>42353</v>
      </c>
      <c r="S4492" s="2">
        <v>42354</v>
      </c>
      <c r="T4492" s="2">
        <v>42353</v>
      </c>
      <c r="U4492" s="2">
        <v>42413</v>
      </c>
      <c r="V4492" t="s">
        <v>71</v>
      </c>
      <c r="W4492" t="str">
        <f>"              399/PA"</f>
        <v xml:space="preserve">              399/PA</v>
      </c>
      <c r="X4492">
        <v>159</v>
      </c>
      <c r="Y4492">
        <v>0</v>
      </c>
      <c r="Z4492"/>
      <c r="AB4492"/>
      <c r="AC4492">
        <v>130.33000000000001</v>
      </c>
      <c r="AD4492">
        <v>-10</v>
      </c>
      <c r="AE4492" s="1">
        <v>-1303.3</v>
      </c>
      <c r="AF4492">
        <v>28.67</v>
      </c>
      <c r="AJ4492">
        <v>0</v>
      </c>
      <c r="AK4492">
        <v>0</v>
      </c>
      <c r="AL4492">
        <v>0</v>
      </c>
      <c r="AM4492">
        <v>0</v>
      </c>
      <c r="AN4492">
        <v>0</v>
      </c>
      <c r="AO4492">
        <v>0</v>
      </c>
      <c r="AP4492" s="2">
        <v>42746</v>
      </c>
      <c r="AQ4492" t="s">
        <v>72</v>
      </c>
      <c r="AR4492" t="s">
        <v>72</v>
      </c>
      <c r="AS4492">
        <v>212</v>
      </c>
      <c r="AT4492" s="4">
        <v>42403</v>
      </c>
      <c r="AV4492">
        <v>212</v>
      </c>
      <c r="AW4492" s="4">
        <v>42403</v>
      </c>
      <c r="BD4492">
        <v>28.67</v>
      </c>
      <c r="BN4492" t="s">
        <v>74</v>
      </c>
    </row>
    <row r="4493" spans="1:66" hidden="1">
      <c r="A4493">
        <v>101556</v>
      </c>
      <c r="B4493" s="3" t="s">
        <v>471</v>
      </c>
      <c r="C4493" s="1">
        <v>43300101</v>
      </c>
      <c r="D4493" t="s">
        <v>67</v>
      </c>
      <c r="H4493" t="str">
        <f t="shared" si="474"/>
        <v>01471180628</v>
      </c>
      <c r="I4493" t="str">
        <f t="shared" si="474"/>
        <v>01471180628</v>
      </c>
      <c r="K4493" t="str">
        <f>""</f>
        <v/>
      </c>
      <c r="M4493" t="s">
        <v>68</v>
      </c>
      <c r="N4493" t="str">
        <f t="shared" si="475"/>
        <v>FOR</v>
      </c>
      <c r="O4493" t="s">
        <v>69</v>
      </c>
      <c r="P4493" s="3" t="s">
        <v>75</v>
      </c>
      <c r="Q4493">
        <v>2015</v>
      </c>
      <c r="R4493" s="2">
        <v>42359</v>
      </c>
      <c r="S4493" s="2">
        <v>42360</v>
      </c>
      <c r="T4493" s="2">
        <v>42359</v>
      </c>
      <c r="U4493" s="2">
        <v>42419</v>
      </c>
      <c r="V4493" t="s">
        <v>71</v>
      </c>
      <c r="W4493" t="str">
        <f>"              403/PA"</f>
        <v xml:space="preserve">              403/PA</v>
      </c>
      <c r="X4493">
        <v>378.6</v>
      </c>
      <c r="Y4493">
        <v>0</v>
      </c>
      <c r="Z4493"/>
      <c r="AB4493"/>
      <c r="AC4493">
        <v>310.33</v>
      </c>
      <c r="AD4493">
        <v>-16</v>
      </c>
      <c r="AE4493" s="1">
        <v>-4965.28</v>
      </c>
      <c r="AF4493">
        <v>68.27</v>
      </c>
      <c r="AJ4493">
        <v>0</v>
      </c>
      <c r="AK4493">
        <v>0</v>
      </c>
      <c r="AL4493">
        <v>0</v>
      </c>
      <c r="AM4493">
        <v>0</v>
      </c>
      <c r="AN4493">
        <v>0</v>
      </c>
      <c r="AO4493">
        <v>0</v>
      </c>
      <c r="AP4493" s="2">
        <v>42746</v>
      </c>
      <c r="AQ4493" t="s">
        <v>72</v>
      </c>
      <c r="AR4493" t="s">
        <v>72</v>
      </c>
      <c r="AS4493">
        <v>212</v>
      </c>
      <c r="AT4493" s="4">
        <v>42403</v>
      </c>
      <c r="AV4493">
        <v>212</v>
      </c>
      <c r="AW4493" s="4">
        <v>42403</v>
      </c>
      <c r="BD4493">
        <v>68.27</v>
      </c>
      <c r="BN4493" t="s">
        <v>74</v>
      </c>
    </row>
    <row r="4494" spans="1:66" hidden="1">
      <c r="A4494">
        <v>101556</v>
      </c>
      <c r="B4494" s="3" t="s">
        <v>471</v>
      </c>
      <c r="C4494" s="1">
        <v>43300101</v>
      </c>
      <c r="D4494" t="s">
        <v>67</v>
      </c>
      <c r="H4494" t="str">
        <f t="shared" si="474"/>
        <v>01471180628</v>
      </c>
      <c r="I4494" t="str">
        <f t="shared" si="474"/>
        <v>01471180628</v>
      </c>
      <c r="K4494" t="str">
        <f>""</f>
        <v/>
      </c>
      <c r="M4494" t="s">
        <v>68</v>
      </c>
      <c r="N4494" t="str">
        <f t="shared" si="475"/>
        <v>FOR</v>
      </c>
      <c r="O4494" t="s">
        <v>69</v>
      </c>
      <c r="P4494" s="3" t="s">
        <v>75</v>
      </c>
      <c r="Q4494">
        <v>2015</v>
      </c>
      <c r="R4494" s="2">
        <v>42361</v>
      </c>
      <c r="S4494" s="2">
        <v>42368</v>
      </c>
      <c r="T4494" s="2">
        <v>42361</v>
      </c>
      <c r="U4494" s="2">
        <v>42421</v>
      </c>
      <c r="V4494" t="s">
        <v>71</v>
      </c>
      <c r="W4494" t="str">
        <f>"              407/PA"</f>
        <v xml:space="preserve">              407/PA</v>
      </c>
      <c r="X4494">
        <v>107.85</v>
      </c>
      <c r="Y4494">
        <v>0</v>
      </c>
      <c r="Z4494"/>
      <c r="AB4494"/>
      <c r="AC4494">
        <v>88.4</v>
      </c>
      <c r="AD4494">
        <v>145</v>
      </c>
      <c r="AE4494" s="1">
        <v>12818</v>
      </c>
      <c r="AF4494">
        <v>19.45</v>
      </c>
      <c r="AJ4494">
        <v>0</v>
      </c>
      <c r="AK4494">
        <v>0</v>
      </c>
      <c r="AL4494">
        <v>0</v>
      </c>
      <c r="AM4494">
        <v>0</v>
      </c>
      <c r="AN4494">
        <v>0</v>
      </c>
      <c r="AO4494">
        <v>0</v>
      </c>
      <c r="AP4494" s="2">
        <v>42746</v>
      </c>
      <c r="AQ4494" t="s">
        <v>72</v>
      </c>
      <c r="AR4494" t="s">
        <v>72</v>
      </c>
      <c r="AS4494">
        <v>1771</v>
      </c>
      <c r="AT4494" s="4">
        <v>42566</v>
      </c>
      <c r="AU4494" t="s">
        <v>73</v>
      </c>
      <c r="AV4494">
        <v>1771</v>
      </c>
      <c r="AW4494" s="4">
        <v>42566</v>
      </c>
      <c r="BD4494">
        <v>19.45</v>
      </c>
      <c r="BN4494" t="s">
        <v>74</v>
      </c>
    </row>
    <row r="4495" spans="1:66" hidden="1">
      <c r="A4495">
        <v>101556</v>
      </c>
      <c r="B4495" s="3" t="s">
        <v>471</v>
      </c>
      <c r="C4495" s="1">
        <v>43300101</v>
      </c>
      <c r="D4495" t="s">
        <v>67</v>
      </c>
      <c r="H4495" t="str">
        <f t="shared" si="474"/>
        <v>01471180628</v>
      </c>
      <c r="I4495" t="str">
        <f t="shared" si="474"/>
        <v>01471180628</v>
      </c>
      <c r="K4495" t="str">
        <f>""</f>
        <v/>
      </c>
      <c r="M4495" t="s">
        <v>68</v>
      </c>
      <c r="N4495" t="str">
        <f t="shared" si="475"/>
        <v>FOR</v>
      </c>
      <c r="O4495" t="s">
        <v>69</v>
      </c>
      <c r="P4495" s="3" t="s">
        <v>75</v>
      </c>
      <c r="Q4495">
        <v>2016</v>
      </c>
      <c r="R4495" s="2">
        <v>42397</v>
      </c>
      <c r="S4495" s="2">
        <v>42424</v>
      </c>
      <c r="T4495" s="2">
        <v>42397</v>
      </c>
      <c r="U4495" s="2">
        <v>42457</v>
      </c>
      <c r="V4495" t="s">
        <v>71</v>
      </c>
      <c r="W4495" t="str">
        <f>"               21/PA"</f>
        <v xml:space="preserve">               21/PA</v>
      </c>
      <c r="X4495">
        <v>318.01</v>
      </c>
      <c r="Y4495">
        <v>0</v>
      </c>
      <c r="Z4495"/>
      <c r="AB4495"/>
      <c r="AC4495">
        <v>260.66000000000003</v>
      </c>
      <c r="AD4495">
        <v>109</v>
      </c>
      <c r="AE4495" s="1">
        <v>28411.94</v>
      </c>
      <c r="AF4495">
        <v>57.35</v>
      </c>
      <c r="AJ4495">
        <v>0</v>
      </c>
      <c r="AK4495">
        <v>0</v>
      </c>
      <c r="AL4495">
        <v>0</v>
      </c>
      <c r="AM4495">
        <v>318.01</v>
      </c>
      <c r="AN4495">
        <v>318.01</v>
      </c>
      <c r="AO4495">
        <v>318.01</v>
      </c>
      <c r="AP4495" s="2">
        <v>42746</v>
      </c>
      <c r="AQ4495" t="s">
        <v>72</v>
      </c>
      <c r="AR4495" t="s">
        <v>72</v>
      </c>
      <c r="AS4495">
        <v>1771</v>
      </c>
      <c r="AT4495" s="4">
        <v>42566</v>
      </c>
      <c r="AU4495" t="s">
        <v>73</v>
      </c>
      <c r="AV4495">
        <v>1771</v>
      </c>
      <c r="AW4495" s="4">
        <v>42566</v>
      </c>
      <c r="BD4495">
        <v>57.35</v>
      </c>
      <c r="BN4495" t="s">
        <v>74</v>
      </c>
    </row>
    <row r="4496" spans="1:66" hidden="1">
      <c r="A4496">
        <v>101556</v>
      </c>
      <c r="B4496" s="3" t="s">
        <v>471</v>
      </c>
      <c r="C4496" s="1">
        <v>43300101</v>
      </c>
      <c r="D4496" t="s">
        <v>67</v>
      </c>
      <c r="H4496" t="str">
        <f t="shared" si="474"/>
        <v>01471180628</v>
      </c>
      <c r="I4496" t="str">
        <f t="shared" si="474"/>
        <v>01471180628</v>
      </c>
      <c r="K4496" t="str">
        <f>""</f>
        <v/>
      </c>
      <c r="M4496" t="s">
        <v>68</v>
      </c>
      <c r="N4496" t="str">
        <f t="shared" si="475"/>
        <v>FOR</v>
      </c>
      <c r="O4496" t="s">
        <v>69</v>
      </c>
      <c r="P4496" s="3" t="s">
        <v>75</v>
      </c>
      <c r="Q4496">
        <v>2016</v>
      </c>
      <c r="R4496" s="2">
        <v>42402</v>
      </c>
      <c r="S4496" s="2">
        <v>42402</v>
      </c>
      <c r="T4496" s="2">
        <v>42402</v>
      </c>
      <c r="U4496" s="2">
        <v>42462</v>
      </c>
      <c r="V4496" t="s">
        <v>71</v>
      </c>
      <c r="W4496" t="str">
        <f>"               29/PA"</f>
        <v xml:space="preserve">               29/PA</v>
      </c>
      <c r="X4496">
        <v>278.67</v>
      </c>
      <c r="Y4496">
        <v>0</v>
      </c>
      <c r="Z4496"/>
      <c r="AB4496"/>
      <c r="AC4496">
        <v>228.42</v>
      </c>
      <c r="AD4496">
        <v>104</v>
      </c>
      <c r="AE4496" s="1">
        <v>23755.68</v>
      </c>
      <c r="AF4496">
        <v>50.25</v>
      </c>
      <c r="AJ4496">
        <v>0</v>
      </c>
      <c r="AK4496">
        <v>0</v>
      </c>
      <c r="AL4496">
        <v>0</v>
      </c>
      <c r="AM4496">
        <v>278.67</v>
      </c>
      <c r="AN4496">
        <v>278.67</v>
      </c>
      <c r="AO4496">
        <v>278.67</v>
      </c>
      <c r="AP4496" s="2">
        <v>42746</v>
      </c>
      <c r="AQ4496" t="s">
        <v>72</v>
      </c>
      <c r="AR4496" t="s">
        <v>72</v>
      </c>
      <c r="AS4496">
        <v>1771</v>
      </c>
      <c r="AT4496" s="4">
        <v>42566</v>
      </c>
      <c r="AU4496" t="s">
        <v>73</v>
      </c>
      <c r="AV4496">
        <v>1771</v>
      </c>
      <c r="AW4496" s="4">
        <v>42566</v>
      </c>
      <c r="BD4496">
        <v>50.25</v>
      </c>
      <c r="BN4496" t="s">
        <v>74</v>
      </c>
    </row>
    <row r="4497" spans="1:66" hidden="1">
      <c r="A4497">
        <v>101556</v>
      </c>
      <c r="B4497" s="3" t="s">
        <v>471</v>
      </c>
      <c r="C4497" s="1">
        <v>43300101</v>
      </c>
      <c r="D4497" t="s">
        <v>67</v>
      </c>
      <c r="H4497" t="str">
        <f t="shared" si="474"/>
        <v>01471180628</v>
      </c>
      <c r="I4497" t="str">
        <f t="shared" si="474"/>
        <v>01471180628</v>
      </c>
      <c r="K4497" t="str">
        <f>""</f>
        <v/>
      </c>
      <c r="M4497" t="s">
        <v>68</v>
      </c>
      <c r="N4497" t="str">
        <f t="shared" si="475"/>
        <v>FOR</v>
      </c>
      <c r="O4497" t="s">
        <v>69</v>
      </c>
      <c r="P4497" s="3" t="s">
        <v>75</v>
      </c>
      <c r="Q4497">
        <v>2016</v>
      </c>
      <c r="R4497" s="2">
        <v>42402</v>
      </c>
      <c r="S4497" s="2">
        <v>42402</v>
      </c>
      <c r="T4497" s="2">
        <v>42402</v>
      </c>
      <c r="U4497" s="2">
        <v>42462</v>
      </c>
      <c r="V4497" t="s">
        <v>71</v>
      </c>
      <c r="W4497" t="str">
        <f>"               31/PA"</f>
        <v xml:space="preserve">               31/PA</v>
      </c>
      <c r="X4497">
        <v>125.97</v>
      </c>
      <c r="Y4497">
        <v>0</v>
      </c>
      <c r="Z4497"/>
      <c r="AB4497"/>
      <c r="AC4497">
        <v>103.25</v>
      </c>
      <c r="AD4497">
        <v>104</v>
      </c>
      <c r="AE4497" s="1">
        <v>10738</v>
      </c>
      <c r="AF4497">
        <v>22.72</v>
      </c>
      <c r="AJ4497">
        <v>0</v>
      </c>
      <c r="AK4497">
        <v>0</v>
      </c>
      <c r="AL4497">
        <v>0</v>
      </c>
      <c r="AM4497">
        <v>125.97</v>
      </c>
      <c r="AN4497">
        <v>125.97</v>
      </c>
      <c r="AO4497">
        <v>125.97</v>
      </c>
      <c r="AP4497" s="2">
        <v>42746</v>
      </c>
      <c r="AQ4497" t="s">
        <v>72</v>
      </c>
      <c r="AR4497" t="s">
        <v>72</v>
      </c>
      <c r="AS4497">
        <v>1771</v>
      </c>
      <c r="AT4497" s="4">
        <v>42566</v>
      </c>
      <c r="AU4497" t="s">
        <v>73</v>
      </c>
      <c r="AV4497">
        <v>1771</v>
      </c>
      <c r="AW4497" s="4">
        <v>42566</v>
      </c>
      <c r="BD4497">
        <v>22.72</v>
      </c>
      <c r="BN4497" t="s">
        <v>74</v>
      </c>
    </row>
    <row r="4498" spans="1:66" hidden="1">
      <c r="A4498">
        <v>101556</v>
      </c>
      <c r="B4498" s="3" t="s">
        <v>471</v>
      </c>
      <c r="C4498" s="1">
        <v>43300101</v>
      </c>
      <c r="D4498" t="s">
        <v>67</v>
      </c>
      <c r="H4498" t="str">
        <f t="shared" si="474"/>
        <v>01471180628</v>
      </c>
      <c r="I4498" t="str">
        <f t="shared" si="474"/>
        <v>01471180628</v>
      </c>
      <c r="K4498" t="str">
        <f>""</f>
        <v/>
      </c>
      <c r="M4498" t="s">
        <v>68</v>
      </c>
      <c r="N4498" t="str">
        <f t="shared" si="475"/>
        <v>FOR</v>
      </c>
      <c r="O4498" t="s">
        <v>69</v>
      </c>
      <c r="P4498" s="3" t="s">
        <v>75</v>
      </c>
      <c r="Q4498">
        <v>2016</v>
      </c>
      <c r="R4498" s="2">
        <v>42408</v>
      </c>
      <c r="S4498" s="2">
        <v>42409</v>
      </c>
      <c r="T4498" s="2">
        <v>42408</v>
      </c>
      <c r="U4498" s="2">
        <v>42468</v>
      </c>
      <c r="V4498" t="s">
        <v>71</v>
      </c>
      <c r="W4498" t="str">
        <f>"               39/PA"</f>
        <v xml:space="preserve">               39/PA</v>
      </c>
      <c r="X4498" s="1">
        <v>8723</v>
      </c>
      <c r="Y4498">
        <v>0</v>
      </c>
      <c r="Z4498"/>
      <c r="AB4498"/>
      <c r="AC4498" s="1">
        <v>7150</v>
      </c>
      <c r="AD4498">
        <v>52</v>
      </c>
      <c r="AE4498" s="1">
        <v>371800</v>
      </c>
      <c r="AF4498">
        <v>0</v>
      </c>
      <c r="AJ4498">
        <v>0</v>
      </c>
      <c r="AK4498">
        <v>0</v>
      </c>
      <c r="AL4498">
        <v>0</v>
      </c>
      <c r="AM4498" s="1">
        <v>8723</v>
      </c>
      <c r="AN4498" s="1">
        <v>8723</v>
      </c>
      <c r="AO4498" s="1">
        <v>8723</v>
      </c>
      <c r="AP4498" s="2">
        <v>42746</v>
      </c>
      <c r="AQ4498" t="s">
        <v>72</v>
      </c>
      <c r="AR4498" t="s">
        <v>72</v>
      </c>
      <c r="AS4498">
        <v>1413</v>
      </c>
      <c r="AT4498" s="4">
        <v>42520</v>
      </c>
      <c r="AU4498" t="s">
        <v>73</v>
      </c>
      <c r="AV4498">
        <v>1413</v>
      </c>
      <c r="AW4498" s="4">
        <v>42520</v>
      </c>
      <c r="BD4498">
        <v>0</v>
      </c>
      <c r="BN4498" t="s">
        <v>74</v>
      </c>
    </row>
    <row r="4499" spans="1:66" hidden="1">
      <c r="A4499">
        <v>101556</v>
      </c>
      <c r="B4499" s="3" t="s">
        <v>471</v>
      </c>
      <c r="C4499" s="1">
        <v>43300101</v>
      </c>
      <c r="D4499" t="s">
        <v>67</v>
      </c>
      <c r="H4499" t="str">
        <f t="shared" si="474"/>
        <v>01471180628</v>
      </c>
      <c r="I4499" t="str">
        <f t="shared" si="474"/>
        <v>01471180628</v>
      </c>
      <c r="K4499" t="str">
        <f>""</f>
        <v/>
      </c>
      <c r="M4499" t="s">
        <v>68</v>
      </c>
      <c r="N4499" t="str">
        <f t="shared" si="475"/>
        <v>FOR</v>
      </c>
      <c r="O4499" t="s">
        <v>69</v>
      </c>
      <c r="P4499" s="3" t="s">
        <v>75</v>
      </c>
      <c r="Q4499">
        <v>2016</v>
      </c>
      <c r="R4499" s="2">
        <v>42411</v>
      </c>
      <c r="S4499" s="2">
        <v>42415</v>
      </c>
      <c r="T4499" s="2">
        <v>42413</v>
      </c>
      <c r="U4499" s="2">
        <v>42473</v>
      </c>
      <c r="V4499" t="s">
        <v>71</v>
      </c>
      <c r="W4499" t="str">
        <f>"               40/PA"</f>
        <v xml:space="preserve">               40/PA</v>
      </c>
      <c r="X4499">
        <v>69.69</v>
      </c>
      <c r="Y4499">
        <v>0</v>
      </c>
      <c r="Z4499"/>
      <c r="AB4499"/>
      <c r="AC4499">
        <v>57.12</v>
      </c>
      <c r="AD4499">
        <v>93</v>
      </c>
      <c r="AE4499" s="1">
        <v>5312.16</v>
      </c>
      <c r="AF4499">
        <v>12.57</v>
      </c>
      <c r="AJ4499">
        <v>0</v>
      </c>
      <c r="AK4499">
        <v>0</v>
      </c>
      <c r="AL4499">
        <v>0</v>
      </c>
      <c r="AM4499">
        <v>69.69</v>
      </c>
      <c r="AN4499">
        <v>69.69</v>
      </c>
      <c r="AO4499">
        <v>69.69</v>
      </c>
      <c r="AP4499" s="2">
        <v>42746</v>
      </c>
      <c r="AQ4499" t="s">
        <v>72</v>
      </c>
      <c r="AR4499" t="s">
        <v>72</v>
      </c>
      <c r="AS4499">
        <v>1771</v>
      </c>
      <c r="AT4499" s="4">
        <v>42566</v>
      </c>
      <c r="AU4499" t="s">
        <v>73</v>
      </c>
      <c r="AV4499">
        <v>1771</v>
      </c>
      <c r="AW4499" s="4">
        <v>42566</v>
      </c>
      <c r="BD4499">
        <v>12.57</v>
      </c>
      <c r="BN4499" t="s">
        <v>74</v>
      </c>
    </row>
    <row r="4500" spans="1:66" hidden="1">
      <c r="A4500">
        <v>101556</v>
      </c>
      <c r="B4500" s="3" t="s">
        <v>471</v>
      </c>
      <c r="C4500" s="1">
        <v>43300101</v>
      </c>
      <c r="D4500" t="s">
        <v>67</v>
      </c>
      <c r="H4500" t="str">
        <f t="shared" si="474"/>
        <v>01471180628</v>
      </c>
      <c r="I4500" t="str">
        <f t="shared" si="474"/>
        <v>01471180628</v>
      </c>
      <c r="K4500" t="str">
        <f>""</f>
        <v/>
      </c>
      <c r="M4500" t="s">
        <v>68</v>
      </c>
      <c r="N4500" t="str">
        <f t="shared" si="475"/>
        <v>FOR</v>
      </c>
      <c r="O4500" t="s">
        <v>69</v>
      </c>
      <c r="P4500" s="3" t="s">
        <v>75</v>
      </c>
      <c r="Q4500">
        <v>2016</v>
      </c>
      <c r="R4500" s="2">
        <v>42418</v>
      </c>
      <c r="S4500" s="2">
        <v>42419</v>
      </c>
      <c r="T4500" s="2">
        <v>42419</v>
      </c>
      <c r="U4500" s="2">
        <v>42479</v>
      </c>
      <c r="V4500" t="s">
        <v>71</v>
      </c>
      <c r="W4500" t="str">
        <f>"               45/PA"</f>
        <v xml:space="preserve">               45/PA</v>
      </c>
      <c r="X4500">
        <v>159</v>
      </c>
      <c r="Y4500">
        <v>0</v>
      </c>
      <c r="Z4500"/>
      <c r="AB4500"/>
      <c r="AC4500">
        <v>130.33000000000001</v>
      </c>
      <c r="AD4500">
        <v>87</v>
      </c>
      <c r="AE4500" s="1">
        <v>11338.71</v>
      </c>
      <c r="AF4500">
        <v>28.67</v>
      </c>
      <c r="AJ4500">
        <v>0</v>
      </c>
      <c r="AK4500">
        <v>0</v>
      </c>
      <c r="AL4500">
        <v>0</v>
      </c>
      <c r="AM4500">
        <v>159</v>
      </c>
      <c r="AN4500">
        <v>159</v>
      </c>
      <c r="AO4500">
        <v>159</v>
      </c>
      <c r="AP4500" s="2">
        <v>42746</v>
      </c>
      <c r="AQ4500" t="s">
        <v>72</v>
      </c>
      <c r="AR4500" t="s">
        <v>72</v>
      </c>
      <c r="AS4500">
        <v>1771</v>
      </c>
      <c r="AT4500" s="4">
        <v>42566</v>
      </c>
      <c r="AU4500" t="s">
        <v>73</v>
      </c>
      <c r="AV4500">
        <v>1771</v>
      </c>
      <c r="AW4500" s="4">
        <v>42566</v>
      </c>
      <c r="BD4500">
        <v>28.67</v>
      </c>
      <c r="BN4500" t="s">
        <v>74</v>
      </c>
    </row>
    <row r="4501" spans="1:66" hidden="1">
      <c r="A4501">
        <v>101556</v>
      </c>
      <c r="B4501" s="3" t="s">
        <v>471</v>
      </c>
      <c r="C4501" s="1">
        <v>43300101</v>
      </c>
      <c r="D4501" t="s">
        <v>67</v>
      </c>
      <c r="H4501" t="str">
        <f t="shared" ref="H4501:I4516" si="476">"01471180628"</f>
        <v>01471180628</v>
      </c>
      <c r="I4501" t="str">
        <f t="shared" si="476"/>
        <v>01471180628</v>
      </c>
      <c r="K4501" t="str">
        <f>""</f>
        <v/>
      </c>
      <c r="M4501" t="s">
        <v>68</v>
      </c>
      <c r="N4501" t="str">
        <f t="shared" si="475"/>
        <v>FOR</v>
      </c>
      <c r="O4501" t="s">
        <v>69</v>
      </c>
      <c r="P4501" s="3" t="s">
        <v>75</v>
      </c>
      <c r="Q4501">
        <v>2016</v>
      </c>
      <c r="R4501" s="2">
        <v>42418</v>
      </c>
      <c r="S4501" s="2">
        <v>42419</v>
      </c>
      <c r="T4501" s="2">
        <v>42419</v>
      </c>
      <c r="U4501" s="2">
        <v>42479</v>
      </c>
      <c r="V4501" t="s">
        <v>71</v>
      </c>
      <c r="W4501" t="str">
        <f>"               46/PA"</f>
        <v xml:space="preserve">               46/PA</v>
      </c>
      <c r="X4501">
        <v>85.4</v>
      </c>
      <c r="Y4501">
        <v>0</v>
      </c>
      <c r="Z4501"/>
      <c r="AB4501"/>
      <c r="AC4501">
        <v>70</v>
      </c>
      <c r="AD4501">
        <v>87</v>
      </c>
      <c r="AE4501" s="1">
        <v>6090</v>
      </c>
      <c r="AF4501">
        <v>15.4</v>
      </c>
      <c r="AJ4501">
        <v>0</v>
      </c>
      <c r="AK4501">
        <v>0</v>
      </c>
      <c r="AL4501">
        <v>0</v>
      </c>
      <c r="AM4501">
        <v>85.4</v>
      </c>
      <c r="AN4501">
        <v>85.4</v>
      </c>
      <c r="AO4501">
        <v>85.4</v>
      </c>
      <c r="AP4501" s="2">
        <v>42746</v>
      </c>
      <c r="AQ4501" t="s">
        <v>72</v>
      </c>
      <c r="AR4501" t="s">
        <v>72</v>
      </c>
      <c r="AS4501">
        <v>1771</v>
      </c>
      <c r="AT4501" s="4">
        <v>42566</v>
      </c>
      <c r="AU4501" t="s">
        <v>73</v>
      </c>
      <c r="AV4501">
        <v>1771</v>
      </c>
      <c r="AW4501" s="4">
        <v>42566</v>
      </c>
      <c r="BD4501">
        <v>15.4</v>
      </c>
      <c r="BN4501" t="s">
        <v>74</v>
      </c>
    </row>
    <row r="4502" spans="1:66" hidden="1">
      <c r="A4502">
        <v>101556</v>
      </c>
      <c r="B4502" s="3" t="s">
        <v>471</v>
      </c>
      <c r="C4502" s="1">
        <v>43300101</v>
      </c>
      <c r="D4502" t="s">
        <v>67</v>
      </c>
      <c r="H4502" t="str">
        <f t="shared" si="476"/>
        <v>01471180628</v>
      </c>
      <c r="I4502" t="str">
        <f t="shared" si="476"/>
        <v>01471180628</v>
      </c>
      <c r="K4502" t="str">
        <f>""</f>
        <v/>
      </c>
      <c r="M4502" t="s">
        <v>68</v>
      </c>
      <c r="N4502" t="str">
        <f t="shared" si="475"/>
        <v>FOR</v>
      </c>
      <c r="O4502" t="s">
        <v>69</v>
      </c>
      <c r="P4502" s="3" t="s">
        <v>75</v>
      </c>
      <c r="Q4502">
        <v>2016</v>
      </c>
      <c r="R4502" s="2">
        <v>42418</v>
      </c>
      <c r="S4502" s="2">
        <v>42419</v>
      </c>
      <c r="T4502" s="2">
        <v>42419</v>
      </c>
      <c r="U4502" s="2">
        <v>42479</v>
      </c>
      <c r="V4502" t="s">
        <v>71</v>
      </c>
      <c r="W4502" t="str">
        <f>"               47/PA"</f>
        <v xml:space="preserve">               47/PA</v>
      </c>
      <c r="X4502">
        <v>159</v>
      </c>
      <c r="Y4502">
        <v>0</v>
      </c>
      <c r="Z4502"/>
      <c r="AB4502"/>
      <c r="AC4502">
        <v>130.33000000000001</v>
      </c>
      <c r="AD4502">
        <v>87</v>
      </c>
      <c r="AE4502" s="1">
        <v>11338.71</v>
      </c>
      <c r="AF4502">
        <v>28.67</v>
      </c>
      <c r="AJ4502">
        <v>0</v>
      </c>
      <c r="AK4502">
        <v>0</v>
      </c>
      <c r="AL4502">
        <v>0</v>
      </c>
      <c r="AM4502">
        <v>159</v>
      </c>
      <c r="AN4502">
        <v>159</v>
      </c>
      <c r="AO4502">
        <v>159</v>
      </c>
      <c r="AP4502" s="2">
        <v>42746</v>
      </c>
      <c r="AQ4502" t="s">
        <v>72</v>
      </c>
      <c r="AR4502" t="s">
        <v>72</v>
      </c>
      <c r="AS4502">
        <v>1771</v>
      </c>
      <c r="AT4502" s="4">
        <v>42566</v>
      </c>
      <c r="AU4502" t="s">
        <v>73</v>
      </c>
      <c r="AV4502">
        <v>1771</v>
      </c>
      <c r="AW4502" s="4">
        <v>42566</v>
      </c>
      <c r="BD4502">
        <v>28.67</v>
      </c>
      <c r="BN4502" t="s">
        <v>74</v>
      </c>
    </row>
    <row r="4503" spans="1:66" hidden="1">
      <c r="A4503">
        <v>101556</v>
      </c>
      <c r="B4503" s="3" t="s">
        <v>471</v>
      </c>
      <c r="C4503" s="1">
        <v>43300101</v>
      </c>
      <c r="D4503" t="s">
        <v>67</v>
      </c>
      <c r="H4503" t="str">
        <f t="shared" si="476"/>
        <v>01471180628</v>
      </c>
      <c r="I4503" t="str">
        <f t="shared" si="476"/>
        <v>01471180628</v>
      </c>
      <c r="K4503" t="str">
        <f>""</f>
        <v/>
      </c>
      <c r="M4503" t="s">
        <v>68</v>
      </c>
      <c r="N4503" t="str">
        <f t="shared" si="475"/>
        <v>FOR</v>
      </c>
      <c r="O4503" t="s">
        <v>69</v>
      </c>
      <c r="P4503" s="3" t="s">
        <v>75</v>
      </c>
      <c r="Q4503">
        <v>2016</v>
      </c>
      <c r="R4503" s="2">
        <v>42426</v>
      </c>
      <c r="S4503" s="2">
        <v>42436</v>
      </c>
      <c r="T4503" s="2">
        <v>42429</v>
      </c>
      <c r="U4503" s="2">
        <v>42489</v>
      </c>
      <c r="V4503" t="s">
        <v>71</v>
      </c>
      <c r="W4503" t="str">
        <f>"               50/PA"</f>
        <v xml:space="preserve">               50/PA</v>
      </c>
      <c r="X4503">
        <v>79.3</v>
      </c>
      <c r="Y4503">
        <v>0</v>
      </c>
      <c r="Z4503"/>
      <c r="AB4503"/>
      <c r="AC4503">
        <v>65</v>
      </c>
      <c r="AD4503">
        <v>77</v>
      </c>
      <c r="AE4503" s="1">
        <v>5005</v>
      </c>
      <c r="AF4503">
        <v>14.3</v>
      </c>
      <c r="AJ4503">
        <v>0</v>
      </c>
      <c r="AK4503">
        <v>0</v>
      </c>
      <c r="AL4503">
        <v>0</v>
      </c>
      <c r="AM4503">
        <v>79.3</v>
      </c>
      <c r="AN4503">
        <v>79.3</v>
      </c>
      <c r="AO4503">
        <v>79.3</v>
      </c>
      <c r="AP4503" s="2">
        <v>42746</v>
      </c>
      <c r="AQ4503" t="s">
        <v>72</v>
      </c>
      <c r="AR4503" t="s">
        <v>72</v>
      </c>
      <c r="AS4503">
        <v>1771</v>
      </c>
      <c r="AT4503" s="4">
        <v>42566</v>
      </c>
      <c r="AU4503" t="s">
        <v>73</v>
      </c>
      <c r="AV4503">
        <v>1771</v>
      </c>
      <c r="AW4503" s="4">
        <v>42566</v>
      </c>
      <c r="BD4503">
        <v>14.3</v>
      </c>
      <c r="BN4503" t="s">
        <v>74</v>
      </c>
    </row>
    <row r="4504" spans="1:66" hidden="1">
      <c r="A4504">
        <v>101556</v>
      </c>
      <c r="B4504" s="3" t="s">
        <v>471</v>
      </c>
      <c r="C4504" s="1">
        <v>43300101</v>
      </c>
      <c r="D4504" t="s">
        <v>67</v>
      </c>
      <c r="H4504" t="str">
        <f t="shared" si="476"/>
        <v>01471180628</v>
      </c>
      <c r="I4504" t="str">
        <f t="shared" si="476"/>
        <v>01471180628</v>
      </c>
      <c r="K4504" t="str">
        <f>""</f>
        <v/>
      </c>
      <c r="M4504" t="s">
        <v>68</v>
      </c>
      <c r="N4504" t="str">
        <f t="shared" si="475"/>
        <v>FOR</v>
      </c>
      <c r="O4504" t="s">
        <v>69</v>
      </c>
      <c r="P4504" s="3" t="s">
        <v>75</v>
      </c>
      <c r="Q4504">
        <v>2016</v>
      </c>
      <c r="R4504" s="2">
        <v>42429</v>
      </c>
      <c r="S4504" s="2">
        <v>42436</v>
      </c>
      <c r="T4504" s="2">
        <v>42429</v>
      </c>
      <c r="U4504" s="2">
        <v>42489</v>
      </c>
      <c r="V4504" t="s">
        <v>71</v>
      </c>
      <c r="W4504" t="str">
        <f>"               51/PA"</f>
        <v xml:space="preserve">               51/PA</v>
      </c>
      <c r="X4504">
        <v>318.01</v>
      </c>
      <c r="Y4504">
        <v>0</v>
      </c>
      <c r="Z4504"/>
      <c r="AB4504"/>
      <c r="AC4504">
        <v>260.66000000000003</v>
      </c>
      <c r="AD4504">
        <v>77</v>
      </c>
      <c r="AE4504" s="1">
        <v>20070.82</v>
      </c>
      <c r="AF4504">
        <v>57.35</v>
      </c>
      <c r="AJ4504">
        <v>0</v>
      </c>
      <c r="AK4504">
        <v>0</v>
      </c>
      <c r="AL4504">
        <v>0</v>
      </c>
      <c r="AM4504">
        <v>318.01</v>
      </c>
      <c r="AN4504">
        <v>318.01</v>
      </c>
      <c r="AO4504">
        <v>318.01</v>
      </c>
      <c r="AP4504" s="2">
        <v>42746</v>
      </c>
      <c r="AQ4504" t="s">
        <v>72</v>
      </c>
      <c r="AR4504" t="s">
        <v>72</v>
      </c>
      <c r="AS4504">
        <v>1771</v>
      </c>
      <c r="AT4504" s="4">
        <v>42566</v>
      </c>
      <c r="AU4504" t="s">
        <v>73</v>
      </c>
      <c r="AV4504">
        <v>1771</v>
      </c>
      <c r="AW4504" s="4">
        <v>42566</v>
      </c>
      <c r="BD4504">
        <v>57.35</v>
      </c>
      <c r="BN4504" t="s">
        <v>74</v>
      </c>
    </row>
    <row r="4505" spans="1:66" hidden="1">
      <c r="A4505">
        <v>101556</v>
      </c>
      <c r="B4505" s="3" t="s">
        <v>471</v>
      </c>
      <c r="C4505" s="1">
        <v>43300101</v>
      </c>
      <c r="D4505" t="s">
        <v>67</v>
      </c>
      <c r="H4505" t="str">
        <f t="shared" si="476"/>
        <v>01471180628</v>
      </c>
      <c r="I4505" t="str">
        <f t="shared" si="476"/>
        <v>01471180628</v>
      </c>
      <c r="K4505" t="str">
        <f>""</f>
        <v/>
      </c>
      <c r="M4505" t="s">
        <v>68</v>
      </c>
      <c r="N4505" t="str">
        <f t="shared" si="475"/>
        <v>FOR</v>
      </c>
      <c r="O4505" t="s">
        <v>69</v>
      </c>
      <c r="P4505" s="3" t="s">
        <v>75</v>
      </c>
      <c r="Q4505">
        <v>2016</v>
      </c>
      <c r="R4505" s="2">
        <v>42429</v>
      </c>
      <c r="S4505" s="2">
        <v>42436</v>
      </c>
      <c r="T4505" s="2">
        <v>42429</v>
      </c>
      <c r="U4505" s="2">
        <v>42489</v>
      </c>
      <c r="V4505" t="s">
        <v>71</v>
      </c>
      <c r="W4505" t="str">
        <f>"               52/PA"</f>
        <v xml:space="preserve">               52/PA</v>
      </c>
      <c r="X4505">
        <v>159</v>
      </c>
      <c r="Y4505">
        <v>0</v>
      </c>
      <c r="Z4505"/>
      <c r="AB4505"/>
      <c r="AC4505">
        <v>130.33000000000001</v>
      </c>
      <c r="AD4505">
        <v>77</v>
      </c>
      <c r="AE4505" s="1">
        <v>10035.41</v>
      </c>
      <c r="AF4505">
        <v>28.67</v>
      </c>
      <c r="AJ4505">
        <v>0</v>
      </c>
      <c r="AK4505">
        <v>0</v>
      </c>
      <c r="AL4505">
        <v>0</v>
      </c>
      <c r="AM4505">
        <v>159</v>
      </c>
      <c r="AN4505">
        <v>159</v>
      </c>
      <c r="AO4505">
        <v>159</v>
      </c>
      <c r="AP4505" s="2">
        <v>42746</v>
      </c>
      <c r="AQ4505" t="s">
        <v>72</v>
      </c>
      <c r="AR4505" t="s">
        <v>72</v>
      </c>
      <c r="AS4505">
        <v>1771</v>
      </c>
      <c r="AT4505" s="4">
        <v>42566</v>
      </c>
      <c r="AU4505" t="s">
        <v>73</v>
      </c>
      <c r="AV4505">
        <v>1771</v>
      </c>
      <c r="AW4505" s="4">
        <v>42566</v>
      </c>
      <c r="BD4505">
        <v>28.67</v>
      </c>
      <c r="BN4505" t="s">
        <v>74</v>
      </c>
    </row>
    <row r="4506" spans="1:66" hidden="1">
      <c r="A4506">
        <v>101556</v>
      </c>
      <c r="B4506" s="3" t="s">
        <v>471</v>
      </c>
      <c r="C4506" s="1">
        <v>43300101</v>
      </c>
      <c r="D4506" t="s">
        <v>67</v>
      </c>
      <c r="H4506" t="str">
        <f t="shared" si="476"/>
        <v>01471180628</v>
      </c>
      <c r="I4506" t="str">
        <f t="shared" si="476"/>
        <v>01471180628</v>
      </c>
      <c r="K4506" t="str">
        <f>""</f>
        <v/>
      </c>
      <c r="M4506" t="s">
        <v>68</v>
      </c>
      <c r="N4506" t="str">
        <f t="shared" si="475"/>
        <v>FOR</v>
      </c>
      <c r="O4506" t="s">
        <v>69</v>
      </c>
      <c r="P4506" s="3" t="s">
        <v>75</v>
      </c>
      <c r="Q4506">
        <v>2016</v>
      </c>
      <c r="R4506" s="2">
        <v>42440</v>
      </c>
      <c r="S4506" s="2">
        <v>42443</v>
      </c>
      <c r="T4506" s="2">
        <v>42441</v>
      </c>
      <c r="U4506" s="2">
        <v>42501</v>
      </c>
      <c r="V4506" t="s">
        <v>71</v>
      </c>
      <c r="W4506" t="str">
        <f>"               75/PA"</f>
        <v xml:space="preserve">               75/PA</v>
      </c>
      <c r="X4506">
        <v>318.01</v>
      </c>
      <c r="Y4506">
        <v>0</v>
      </c>
      <c r="Z4506"/>
      <c r="AB4506"/>
      <c r="AC4506">
        <v>260.66000000000003</v>
      </c>
      <c r="AD4506">
        <v>65</v>
      </c>
      <c r="AE4506" s="1">
        <v>16942.900000000001</v>
      </c>
      <c r="AF4506">
        <v>57.35</v>
      </c>
      <c r="AJ4506">
        <v>0</v>
      </c>
      <c r="AK4506">
        <v>0</v>
      </c>
      <c r="AL4506">
        <v>0</v>
      </c>
      <c r="AM4506">
        <v>318.01</v>
      </c>
      <c r="AN4506">
        <v>318.01</v>
      </c>
      <c r="AO4506">
        <v>318.01</v>
      </c>
      <c r="AP4506" s="2">
        <v>42746</v>
      </c>
      <c r="AQ4506" t="s">
        <v>72</v>
      </c>
      <c r="AR4506" t="s">
        <v>72</v>
      </c>
      <c r="AS4506">
        <v>1771</v>
      </c>
      <c r="AT4506" s="4">
        <v>42566</v>
      </c>
      <c r="AU4506" t="s">
        <v>73</v>
      </c>
      <c r="AV4506">
        <v>1771</v>
      </c>
      <c r="AW4506" s="4">
        <v>42566</v>
      </c>
      <c r="BD4506">
        <v>57.35</v>
      </c>
      <c r="BN4506" t="s">
        <v>74</v>
      </c>
    </row>
    <row r="4507" spans="1:66">
      <c r="A4507">
        <v>101556</v>
      </c>
      <c r="B4507" s="3" t="s">
        <v>471</v>
      </c>
      <c r="C4507" s="1">
        <v>43300101</v>
      </c>
      <c r="D4507" t="s">
        <v>67</v>
      </c>
      <c r="H4507" t="str">
        <f t="shared" si="476"/>
        <v>01471180628</v>
      </c>
      <c r="I4507" t="str">
        <f t="shared" si="476"/>
        <v>01471180628</v>
      </c>
      <c r="K4507" t="str">
        <f>""</f>
        <v/>
      </c>
      <c r="M4507" t="s">
        <v>68</v>
      </c>
      <c r="N4507" t="str">
        <f t="shared" si="475"/>
        <v>FOR</v>
      </c>
      <c r="O4507" t="s">
        <v>69</v>
      </c>
      <c r="P4507" s="3" t="s">
        <v>75</v>
      </c>
      <c r="Q4507">
        <v>2016</v>
      </c>
      <c r="R4507" s="2">
        <v>42454</v>
      </c>
      <c r="S4507" s="2">
        <v>42465</v>
      </c>
      <c r="T4507" s="2">
        <v>42461</v>
      </c>
      <c r="U4507" s="2">
        <v>42521</v>
      </c>
      <c r="V4507" t="s">
        <v>71</v>
      </c>
      <c r="W4507" t="str">
        <f>"               86/PA"</f>
        <v xml:space="preserve">               86/PA</v>
      </c>
      <c r="X4507">
        <v>186.56</v>
      </c>
      <c r="Y4507">
        <v>0</v>
      </c>
      <c r="Z4507" s="3">
        <v>152.91999999999999</v>
      </c>
      <c r="AA4507">
        <v>160</v>
      </c>
      <c r="AB4507" s="5">
        <v>24467.200000000001</v>
      </c>
      <c r="AC4507">
        <v>152.91999999999999</v>
      </c>
      <c r="AD4507">
        <v>160</v>
      </c>
      <c r="AE4507" s="1">
        <v>24467.200000000001</v>
      </c>
      <c r="AF4507">
        <v>33.64</v>
      </c>
      <c r="AJ4507">
        <v>0</v>
      </c>
      <c r="AK4507">
        <v>0</v>
      </c>
      <c r="AL4507">
        <v>0</v>
      </c>
      <c r="AM4507">
        <v>186.56</v>
      </c>
      <c r="AN4507">
        <v>186.56</v>
      </c>
      <c r="AO4507">
        <v>186.56</v>
      </c>
      <c r="AP4507" s="2">
        <v>42746</v>
      </c>
      <c r="AQ4507" t="s">
        <v>72</v>
      </c>
      <c r="AR4507" t="s">
        <v>72</v>
      </c>
      <c r="AS4507">
        <v>2946</v>
      </c>
      <c r="AT4507" s="4">
        <v>42681</v>
      </c>
      <c r="AU4507" t="s">
        <v>73</v>
      </c>
      <c r="AV4507">
        <v>2946</v>
      </c>
      <c r="AW4507" s="4">
        <v>42681</v>
      </c>
      <c r="BD4507">
        <v>33.64</v>
      </c>
      <c r="BN4507" t="s">
        <v>74</v>
      </c>
    </row>
    <row r="4508" spans="1:66">
      <c r="A4508">
        <v>101556</v>
      </c>
      <c r="B4508" s="3" t="s">
        <v>471</v>
      </c>
      <c r="C4508" s="1">
        <v>43300101</v>
      </c>
      <c r="D4508" t="s">
        <v>67</v>
      </c>
      <c r="H4508" t="str">
        <f t="shared" si="476"/>
        <v>01471180628</v>
      </c>
      <c r="I4508" t="str">
        <f t="shared" si="476"/>
        <v>01471180628</v>
      </c>
      <c r="K4508" t="str">
        <f>""</f>
        <v/>
      </c>
      <c r="M4508" t="s">
        <v>68</v>
      </c>
      <c r="N4508" t="str">
        <f t="shared" si="475"/>
        <v>FOR</v>
      </c>
      <c r="O4508" t="s">
        <v>69</v>
      </c>
      <c r="P4508" s="3" t="s">
        <v>75</v>
      </c>
      <c r="Q4508">
        <v>2016</v>
      </c>
      <c r="R4508" s="2">
        <v>42474</v>
      </c>
      <c r="S4508" s="2">
        <v>42475</v>
      </c>
      <c r="T4508" s="2">
        <v>42474</v>
      </c>
      <c r="U4508" s="2">
        <v>42534</v>
      </c>
      <c r="V4508" t="s">
        <v>71</v>
      </c>
      <c r="W4508" t="str">
        <f>"              112/PA"</f>
        <v xml:space="preserve">              112/PA</v>
      </c>
      <c r="X4508">
        <v>477.01</v>
      </c>
      <c r="Y4508">
        <v>0</v>
      </c>
      <c r="Z4508" s="3">
        <v>390.99</v>
      </c>
      <c r="AA4508">
        <v>147</v>
      </c>
      <c r="AB4508" s="5">
        <v>57475.53</v>
      </c>
      <c r="AC4508">
        <v>390.99</v>
      </c>
      <c r="AD4508">
        <v>147</v>
      </c>
      <c r="AE4508" s="1">
        <v>57475.53</v>
      </c>
      <c r="AF4508">
        <v>86.02</v>
      </c>
      <c r="AJ4508">
        <v>0</v>
      </c>
      <c r="AK4508">
        <v>0</v>
      </c>
      <c r="AL4508">
        <v>0</v>
      </c>
      <c r="AM4508">
        <v>477.01</v>
      </c>
      <c r="AN4508">
        <v>477.01</v>
      </c>
      <c r="AO4508">
        <v>477.01</v>
      </c>
      <c r="AP4508" s="2">
        <v>42746</v>
      </c>
      <c r="AQ4508" t="s">
        <v>72</v>
      </c>
      <c r="AR4508" t="s">
        <v>72</v>
      </c>
      <c r="AS4508">
        <v>2946</v>
      </c>
      <c r="AT4508" s="4">
        <v>42681</v>
      </c>
      <c r="AU4508" t="s">
        <v>73</v>
      </c>
      <c r="AV4508">
        <v>2946</v>
      </c>
      <c r="AW4508" s="4">
        <v>42681</v>
      </c>
      <c r="BD4508">
        <v>86.02</v>
      </c>
      <c r="BN4508" t="s">
        <v>74</v>
      </c>
    </row>
    <row r="4509" spans="1:66">
      <c r="A4509">
        <v>101556</v>
      </c>
      <c r="B4509" s="3" t="s">
        <v>471</v>
      </c>
      <c r="C4509" s="1">
        <v>43300101</v>
      </c>
      <c r="D4509" t="s">
        <v>67</v>
      </c>
      <c r="H4509" t="str">
        <f t="shared" si="476"/>
        <v>01471180628</v>
      </c>
      <c r="I4509" t="str">
        <f t="shared" si="476"/>
        <v>01471180628</v>
      </c>
      <c r="K4509" t="str">
        <f>""</f>
        <v/>
      </c>
      <c r="M4509" t="s">
        <v>68</v>
      </c>
      <c r="N4509" t="str">
        <f t="shared" si="475"/>
        <v>FOR</v>
      </c>
      <c r="O4509" t="s">
        <v>69</v>
      </c>
      <c r="P4509" s="3" t="s">
        <v>75</v>
      </c>
      <c r="Q4509">
        <v>2016</v>
      </c>
      <c r="R4509" s="2">
        <v>42478</v>
      </c>
      <c r="S4509" s="2">
        <v>42480</v>
      </c>
      <c r="T4509" s="2">
        <v>42479</v>
      </c>
      <c r="U4509" s="2">
        <v>42539</v>
      </c>
      <c r="V4509" t="s">
        <v>71</v>
      </c>
      <c r="W4509" t="str">
        <f>"              115/PA"</f>
        <v xml:space="preserve">              115/PA</v>
      </c>
      <c r="X4509">
        <v>159</v>
      </c>
      <c r="Y4509">
        <v>0</v>
      </c>
      <c r="Z4509" s="3">
        <v>130.33000000000001</v>
      </c>
      <c r="AA4509">
        <v>142</v>
      </c>
      <c r="AB4509" s="5">
        <v>18506.86</v>
      </c>
      <c r="AC4509">
        <v>130.33000000000001</v>
      </c>
      <c r="AD4509">
        <v>142</v>
      </c>
      <c r="AE4509" s="1">
        <v>18506.86</v>
      </c>
      <c r="AF4509">
        <v>28.67</v>
      </c>
      <c r="AJ4509">
        <v>0</v>
      </c>
      <c r="AK4509">
        <v>0</v>
      </c>
      <c r="AL4509">
        <v>0</v>
      </c>
      <c r="AM4509">
        <v>159</v>
      </c>
      <c r="AN4509">
        <v>159</v>
      </c>
      <c r="AO4509">
        <v>159</v>
      </c>
      <c r="AP4509" s="2">
        <v>42746</v>
      </c>
      <c r="AQ4509" t="s">
        <v>72</v>
      </c>
      <c r="AR4509" t="s">
        <v>72</v>
      </c>
      <c r="AS4509">
        <v>2946</v>
      </c>
      <c r="AT4509" s="4">
        <v>42681</v>
      </c>
      <c r="AU4509" t="s">
        <v>73</v>
      </c>
      <c r="AV4509">
        <v>2946</v>
      </c>
      <c r="AW4509" s="4">
        <v>42681</v>
      </c>
      <c r="BD4509">
        <v>28.67</v>
      </c>
      <c r="BN4509" t="s">
        <v>74</v>
      </c>
    </row>
    <row r="4510" spans="1:66">
      <c r="A4510">
        <v>101556</v>
      </c>
      <c r="B4510" s="3" t="s">
        <v>471</v>
      </c>
      <c r="C4510" s="1">
        <v>43300101</v>
      </c>
      <c r="D4510" t="s">
        <v>67</v>
      </c>
      <c r="H4510" t="str">
        <f t="shared" si="476"/>
        <v>01471180628</v>
      </c>
      <c r="I4510" t="str">
        <f t="shared" si="476"/>
        <v>01471180628</v>
      </c>
      <c r="K4510" t="str">
        <f>""</f>
        <v/>
      </c>
      <c r="M4510" t="s">
        <v>68</v>
      </c>
      <c r="N4510" t="str">
        <f t="shared" si="475"/>
        <v>FOR</v>
      </c>
      <c r="O4510" t="s">
        <v>69</v>
      </c>
      <c r="P4510" s="3" t="s">
        <v>75</v>
      </c>
      <c r="Q4510">
        <v>2016</v>
      </c>
      <c r="R4510" s="2">
        <v>42478</v>
      </c>
      <c r="S4510" s="2">
        <v>42480</v>
      </c>
      <c r="T4510" s="2">
        <v>42479</v>
      </c>
      <c r="U4510" s="2">
        <v>42539</v>
      </c>
      <c r="V4510" t="s">
        <v>71</v>
      </c>
      <c r="W4510" t="str">
        <f>"              116/PA"</f>
        <v xml:space="preserve">              116/PA</v>
      </c>
      <c r="X4510">
        <v>98.36</v>
      </c>
      <c r="Y4510">
        <v>0</v>
      </c>
      <c r="Z4510" s="3">
        <v>80.62</v>
      </c>
      <c r="AA4510">
        <v>142</v>
      </c>
      <c r="AB4510" s="5">
        <v>11448.04</v>
      </c>
      <c r="AC4510">
        <v>80.62</v>
      </c>
      <c r="AD4510">
        <v>142</v>
      </c>
      <c r="AE4510" s="1">
        <v>11448.04</v>
      </c>
      <c r="AF4510">
        <v>17.739999999999998</v>
      </c>
      <c r="AJ4510">
        <v>0</v>
      </c>
      <c r="AK4510">
        <v>0</v>
      </c>
      <c r="AL4510">
        <v>0</v>
      </c>
      <c r="AM4510">
        <v>98.36</v>
      </c>
      <c r="AN4510">
        <v>98.36</v>
      </c>
      <c r="AO4510">
        <v>98.36</v>
      </c>
      <c r="AP4510" s="2">
        <v>42746</v>
      </c>
      <c r="AQ4510" t="s">
        <v>72</v>
      </c>
      <c r="AR4510" t="s">
        <v>72</v>
      </c>
      <c r="AS4510">
        <v>2946</v>
      </c>
      <c r="AT4510" s="4">
        <v>42681</v>
      </c>
      <c r="AU4510" t="s">
        <v>73</v>
      </c>
      <c r="AV4510">
        <v>2946</v>
      </c>
      <c r="AW4510" s="4">
        <v>42681</v>
      </c>
      <c r="BD4510">
        <v>17.739999999999998</v>
      </c>
      <c r="BN4510" t="s">
        <v>74</v>
      </c>
    </row>
    <row r="4511" spans="1:66">
      <c r="A4511">
        <v>101556</v>
      </c>
      <c r="B4511" s="3" t="s">
        <v>471</v>
      </c>
      <c r="C4511" s="1">
        <v>43300101</v>
      </c>
      <c r="D4511" t="s">
        <v>67</v>
      </c>
      <c r="H4511" t="str">
        <f t="shared" si="476"/>
        <v>01471180628</v>
      </c>
      <c r="I4511" t="str">
        <f t="shared" si="476"/>
        <v>01471180628</v>
      </c>
      <c r="K4511" t="str">
        <f>""</f>
        <v/>
      </c>
      <c r="M4511" t="s">
        <v>68</v>
      </c>
      <c r="N4511" t="str">
        <f t="shared" si="475"/>
        <v>FOR</v>
      </c>
      <c r="O4511" t="s">
        <v>69</v>
      </c>
      <c r="P4511" s="3" t="s">
        <v>75</v>
      </c>
      <c r="Q4511">
        <v>2016</v>
      </c>
      <c r="R4511" s="2">
        <v>42478</v>
      </c>
      <c r="S4511" s="2">
        <v>42480</v>
      </c>
      <c r="T4511" s="2">
        <v>42479</v>
      </c>
      <c r="U4511" s="2">
        <v>42539</v>
      </c>
      <c r="V4511" t="s">
        <v>71</v>
      </c>
      <c r="W4511" t="str">
        <f>"              118/PA"</f>
        <v xml:space="preserve">              118/PA</v>
      </c>
      <c r="X4511">
        <v>159</v>
      </c>
      <c r="Y4511">
        <v>0</v>
      </c>
      <c r="Z4511" s="3">
        <v>130.33000000000001</v>
      </c>
      <c r="AA4511">
        <v>142</v>
      </c>
      <c r="AB4511" s="5">
        <v>18506.86</v>
      </c>
      <c r="AC4511">
        <v>130.33000000000001</v>
      </c>
      <c r="AD4511">
        <v>142</v>
      </c>
      <c r="AE4511" s="1">
        <v>18506.86</v>
      </c>
      <c r="AF4511">
        <v>28.67</v>
      </c>
      <c r="AJ4511">
        <v>0</v>
      </c>
      <c r="AK4511">
        <v>0</v>
      </c>
      <c r="AL4511">
        <v>0</v>
      </c>
      <c r="AM4511">
        <v>159</v>
      </c>
      <c r="AN4511">
        <v>159</v>
      </c>
      <c r="AO4511">
        <v>159</v>
      </c>
      <c r="AP4511" s="2">
        <v>42746</v>
      </c>
      <c r="AQ4511" t="s">
        <v>72</v>
      </c>
      <c r="AR4511" t="s">
        <v>72</v>
      </c>
      <c r="AS4511">
        <v>2946</v>
      </c>
      <c r="AT4511" s="4">
        <v>42681</v>
      </c>
      <c r="AU4511" t="s">
        <v>73</v>
      </c>
      <c r="AV4511">
        <v>2946</v>
      </c>
      <c r="AW4511" s="4">
        <v>42681</v>
      </c>
      <c r="BD4511">
        <v>28.67</v>
      </c>
      <c r="BN4511" t="s">
        <v>74</v>
      </c>
    </row>
    <row r="4512" spans="1:66">
      <c r="A4512">
        <v>101556</v>
      </c>
      <c r="B4512" s="3" t="s">
        <v>471</v>
      </c>
      <c r="C4512" s="1">
        <v>43300101</v>
      </c>
      <c r="D4512" t="s">
        <v>67</v>
      </c>
      <c r="H4512" t="str">
        <f t="shared" si="476"/>
        <v>01471180628</v>
      </c>
      <c r="I4512" t="str">
        <f t="shared" si="476"/>
        <v>01471180628</v>
      </c>
      <c r="K4512" t="str">
        <f>""</f>
        <v/>
      </c>
      <c r="M4512" t="s">
        <v>68</v>
      </c>
      <c r="N4512" t="str">
        <f t="shared" si="475"/>
        <v>FOR</v>
      </c>
      <c r="O4512" t="s">
        <v>69</v>
      </c>
      <c r="P4512" s="3" t="s">
        <v>75</v>
      </c>
      <c r="Q4512">
        <v>2016</v>
      </c>
      <c r="R4512" s="2">
        <v>42480</v>
      </c>
      <c r="S4512" s="2">
        <v>42481</v>
      </c>
      <c r="T4512" s="2">
        <v>42481</v>
      </c>
      <c r="U4512" s="2">
        <v>42541</v>
      </c>
      <c r="V4512" t="s">
        <v>71</v>
      </c>
      <c r="W4512" t="str">
        <f>"              119/PA"</f>
        <v xml:space="preserve">              119/PA</v>
      </c>
      <c r="X4512">
        <v>119.07</v>
      </c>
      <c r="Y4512">
        <v>0</v>
      </c>
      <c r="Z4512" s="3">
        <v>97.6</v>
      </c>
      <c r="AA4512">
        <v>140</v>
      </c>
      <c r="AB4512" s="5">
        <v>13664</v>
      </c>
      <c r="AC4512">
        <v>97.6</v>
      </c>
      <c r="AD4512">
        <v>140</v>
      </c>
      <c r="AE4512" s="1">
        <v>13664</v>
      </c>
      <c r="AF4512">
        <v>21.47</v>
      </c>
      <c r="AJ4512">
        <v>0</v>
      </c>
      <c r="AK4512">
        <v>0</v>
      </c>
      <c r="AL4512">
        <v>0</v>
      </c>
      <c r="AM4512">
        <v>119.07</v>
      </c>
      <c r="AN4512">
        <v>119.07</v>
      </c>
      <c r="AO4512">
        <v>119.07</v>
      </c>
      <c r="AP4512" s="2">
        <v>42746</v>
      </c>
      <c r="AQ4512" t="s">
        <v>72</v>
      </c>
      <c r="AR4512" t="s">
        <v>72</v>
      </c>
      <c r="AS4512">
        <v>2946</v>
      </c>
      <c r="AT4512" s="4">
        <v>42681</v>
      </c>
      <c r="AU4512" t="s">
        <v>73</v>
      </c>
      <c r="AV4512">
        <v>2946</v>
      </c>
      <c r="AW4512" s="4">
        <v>42681</v>
      </c>
      <c r="BD4512">
        <v>21.47</v>
      </c>
      <c r="BN4512" t="s">
        <v>74</v>
      </c>
    </row>
    <row r="4513" spans="1:66">
      <c r="A4513">
        <v>101556</v>
      </c>
      <c r="B4513" s="3" t="s">
        <v>471</v>
      </c>
      <c r="C4513" s="1">
        <v>43300101</v>
      </c>
      <c r="D4513" t="s">
        <v>67</v>
      </c>
      <c r="H4513" t="str">
        <f t="shared" si="476"/>
        <v>01471180628</v>
      </c>
      <c r="I4513" t="str">
        <f t="shared" si="476"/>
        <v>01471180628</v>
      </c>
      <c r="K4513" t="str">
        <f>""</f>
        <v/>
      </c>
      <c r="M4513" t="s">
        <v>68</v>
      </c>
      <c r="N4513" t="str">
        <f t="shared" si="475"/>
        <v>FOR</v>
      </c>
      <c r="O4513" t="s">
        <v>69</v>
      </c>
      <c r="P4513" s="3" t="s">
        <v>75</v>
      </c>
      <c r="Q4513">
        <v>2016</v>
      </c>
      <c r="R4513" s="2">
        <v>42496</v>
      </c>
      <c r="S4513" s="2">
        <v>42500</v>
      </c>
      <c r="T4513" s="2">
        <v>42499</v>
      </c>
      <c r="U4513" s="2">
        <v>42559</v>
      </c>
      <c r="V4513" t="s">
        <v>71</v>
      </c>
      <c r="W4513" t="str">
        <f>"              142/PA"</f>
        <v xml:space="preserve">              142/PA</v>
      </c>
      <c r="X4513">
        <v>129.36000000000001</v>
      </c>
      <c r="Y4513">
        <v>0</v>
      </c>
      <c r="Z4513" s="3">
        <v>106.03</v>
      </c>
      <c r="AA4513">
        <v>122</v>
      </c>
      <c r="AB4513" s="5">
        <v>12935.66</v>
      </c>
      <c r="AC4513">
        <v>106.03</v>
      </c>
      <c r="AD4513">
        <v>122</v>
      </c>
      <c r="AE4513" s="1">
        <v>12935.66</v>
      </c>
      <c r="AF4513">
        <v>23.33</v>
      </c>
      <c r="AJ4513">
        <v>0</v>
      </c>
      <c r="AK4513">
        <v>0</v>
      </c>
      <c r="AL4513">
        <v>0</v>
      </c>
      <c r="AM4513">
        <v>129.36000000000001</v>
      </c>
      <c r="AN4513">
        <v>129.36000000000001</v>
      </c>
      <c r="AO4513">
        <v>129.36000000000001</v>
      </c>
      <c r="AP4513" s="2">
        <v>42746</v>
      </c>
      <c r="AQ4513" t="s">
        <v>72</v>
      </c>
      <c r="AR4513" t="s">
        <v>72</v>
      </c>
      <c r="AS4513">
        <v>2946</v>
      </c>
      <c r="AT4513" s="4">
        <v>42681</v>
      </c>
      <c r="AU4513" t="s">
        <v>73</v>
      </c>
      <c r="AV4513">
        <v>2946</v>
      </c>
      <c r="AW4513" s="4">
        <v>42681</v>
      </c>
      <c r="BC4513">
        <v>23.33</v>
      </c>
      <c r="BD4513">
        <v>0</v>
      </c>
      <c r="BN4513" t="s">
        <v>74</v>
      </c>
    </row>
    <row r="4514" spans="1:66">
      <c r="A4514">
        <v>101556</v>
      </c>
      <c r="B4514" s="3" t="s">
        <v>471</v>
      </c>
      <c r="C4514" s="1">
        <v>43300101</v>
      </c>
      <c r="D4514" t="s">
        <v>67</v>
      </c>
      <c r="H4514" t="str">
        <f t="shared" si="476"/>
        <v>01471180628</v>
      </c>
      <c r="I4514" t="str">
        <f t="shared" si="476"/>
        <v>01471180628</v>
      </c>
      <c r="K4514" t="str">
        <f>""</f>
        <v/>
      </c>
      <c r="M4514" t="s">
        <v>68</v>
      </c>
      <c r="N4514" t="str">
        <f t="shared" si="475"/>
        <v>FOR</v>
      </c>
      <c r="O4514" t="s">
        <v>69</v>
      </c>
      <c r="P4514" s="3" t="s">
        <v>75</v>
      </c>
      <c r="Q4514">
        <v>2016</v>
      </c>
      <c r="R4514" s="2">
        <v>42501</v>
      </c>
      <c r="S4514" s="2">
        <v>42501</v>
      </c>
      <c r="T4514" s="2">
        <v>42501</v>
      </c>
      <c r="U4514" s="2">
        <v>42561</v>
      </c>
      <c r="V4514" t="s">
        <v>71</v>
      </c>
      <c r="W4514" t="str">
        <f>"              146/PA"</f>
        <v xml:space="preserve">              146/PA</v>
      </c>
      <c r="X4514">
        <v>56.97</v>
      </c>
      <c r="Y4514">
        <v>0</v>
      </c>
      <c r="Z4514" s="3">
        <v>46.7</v>
      </c>
      <c r="AA4514">
        <v>120</v>
      </c>
      <c r="AB4514" s="5">
        <v>5604</v>
      </c>
      <c r="AC4514">
        <v>46.7</v>
      </c>
      <c r="AD4514">
        <v>120</v>
      </c>
      <c r="AE4514" s="1">
        <v>5604</v>
      </c>
      <c r="AF4514">
        <v>10.27</v>
      </c>
      <c r="AJ4514">
        <v>0</v>
      </c>
      <c r="AK4514">
        <v>0</v>
      </c>
      <c r="AL4514">
        <v>0</v>
      </c>
      <c r="AM4514">
        <v>56.97</v>
      </c>
      <c r="AN4514">
        <v>56.97</v>
      </c>
      <c r="AO4514">
        <v>56.97</v>
      </c>
      <c r="AP4514" s="2">
        <v>42746</v>
      </c>
      <c r="AQ4514" t="s">
        <v>72</v>
      </c>
      <c r="AR4514" t="s">
        <v>72</v>
      </c>
      <c r="AS4514">
        <v>2946</v>
      </c>
      <c r="AT4514" s="4">
        <v>42681</v>
      </c>
      <c r="AU4514" t="s">
        <v>73</v>
      </c>
      <c r="AV4514">
        <v>2946</v>
      </c>
      <c r="AW4514" s="4">
        <v>42681</v>
      </c>
      <c r="BC4514">
        <v>10.27</v>
      </c>
      <c r="BD4514">
        <v>0</v>
      </c>
      <c r="BN4514" t="s">
        <v>74</v>
      </c>
    </row>
    <row r="4515" spans="1:66">
      <c r="A4515">
        <v>101556</v>
      </c>
      <c r="B4515" s="3" t="s">
        <v>471</v>
      </c>
      <c r="C4515" s="1">
        <v>43300101</v>
      </c>
      <c r="D4515" t="s">
        <v>67</v>
      </c>
      <c r="H4515" t="str">
        <f t="shared" si="476"/>
        <v>01471180628</v>
      </c>
      <c r="I4515" t="str">
        <f t="shared" si="476"/>
        <v>01471180628</v>
      </c>
      <c r="K4515" t="str">
        <f>""</f>
        <v/>
      </c>
      <c r="M4515" t="s">
        <v>68</v>
      </c>
      <c r="N4515" t="str">
        <f t="shared" si="475"/>
        <v>FOR</v>
      </c>
      <c r="O4515" t="s">
        <v>69</v>
      </c>
      <c r="P4515" s="3" t="s">
        <v>75</v>
      </c>
      <c r="Q4515">
        <v>2016</v>
      </c>
      <c r="R4515" s="2">
        <v>42517</v>
      </c>
      <c r="S4515" s="2">
        <v>42521</v>
      </c>
      <c r="T4515" s="2">
        <v>42520</v>
      </c>
      <c r="U4515" s="2">
        <v>42580</v>
      </c>
      <c r="V4515" t="s">
        <v>71</v>
      </c>
      <c r="W4515" t="str">
        <f>"              163/PA"</f>
        <v xml:space="preserve">              163/PA</v>
      </c>
      <c r="X4515">
        <v>318.01</v>
      </c>
      <c r="Y4515">
        <v>0</v>
      </c>
      <c r="Z4515" s="3">
        <v>260.66000000000003</v>
      </c>
      <c r="AA4515">
        <v>101</v>
      </c>
      <c r="AB4515" s="5">
        <v>26326.66</v>
      </c>
      <c r="AC4515">
        <v>260.66000000000003</v>
      </c>
      <c r="AD4515">
        <v>101</v>
      </c>
      <c r="AE4515" s="1">
        <v>26326.66</v>
      </c>
      <c r="AF4515">
        <v>57.35</v>
      </c>
      <c r="AJ4515">
        <v>0</v>
      </c>
      <c r="AK4515">
        <v>0</v>
      </c>
      <c r="AL4515">
        <v>0</v>
      </c>
      <c r="AM4515">
        <v>318.01</v>
      </c>
      <c r="AN4515">
        <v>318.01</v>
      </c>
      <c r="AO4515">
        <v>318.01</v>
      </c>
      <c r="AP4515" s="2">
        <v>42746</v>
      </c>
      <c r="AQ4515" t="s">
        <v>72</v>
      </c>
      <c r="AR4515" t="s">
        <v>72</v>
      </c>
      <c r="AS4515">
        <v>2946</v>
      </c>
      <c r="AT4515" s="4">
        <v>42681</v>
      </c>
      <c r="AU4515" t="s">
        <v>73</v>
      </c>
      <c r="AV4515">
        <v>2946</v>
      </c>
      <c r="AW4515" s="4">
        <v>42681</v>
      </c>
      <c r="BC4515">
        <v>57.35</v>
      </c>
      <c r="BD4515">
        <v>0</v>
      </c>
      <c r="BN4515" t="s">
        <v>74</v>
      </c>
    </row>
    <row r="4516" spans="1:66">
      <c r="A4516">
        <v>101556</v>
      </c>
      <c r="B4516" s="3" t="s">
        <v>471</v>
      </c>
      <c r="C4516" s="1">
        <v>43300101</v>
      </c>
      <c r="D4516" t="s">
        <v>67</v>
      </c>
      <c r="H4516" t="str">
        <f t="shared" si="476"/>
        <v>01471180628</v>
      </c>
      <c r="I4516" t="str">
        <f t="shared" si="476"/>
        <v>01471180628</v>
      </c>
      <c r="K4516" t="str">
        <f>""</f>
        <v/>
      </c>
      <c r="M4516" t="s">
        <v>68</v>
      </c>
      <c r="N4516" t="str">
        <f t="shared" si="475"/>
        <v>FOR</v>
      </c>
      <c r="O4516" t="s">
        <v>69</v>
      </c>
      <c r="P4516" s="3" t="s">
        <v>75</v>
      </c>
      <c r="Q4516">
        <v>2016</v>
      </c>
      <c r="R4516" s="2">
        <v>42517</v>
      </c>
      <c r="S4516" s="2">
        <v>42521</v>
      </c>
      <c r="T4516" s="2">
        <v>42520</v>
      </c>
      <c r="U4516" s="2">
        <v>42580</v>
      </c>
      <c r="V4516" t="s">
        <v>71</v>
      </c>
      <c r="W4516" t="str">
        <f>"              164/PA"</f>
        <v xml:space="preserve">              164/PA</v>
      </c>
      <c r="X4516">
        <v>318.01</v>
      </c>
      <c r="Y4516">
        <v>0</v>
      </c>
      <c r="Z4516" s="3">
        <v>260.66000000000003</v>
      </c>
      <c r="AA4516">
        <v>101</v>
      </c>
      <c r="AB4516" s="5">
        <v>26326.66</v>
      </c>
      <c r="AC4516">
        <v>260.66000000000003</v>
      </c>
      <c r="AD4516">
        <v>101</v>
      </c>
      <c r="AE4516" s="1">
        <v>26326.66</v>
      </c>
      <c r="AF4516">
        <v>57.35</v>
      </c>
      <c r="AJ4516">
        <v>0</v>
      </c>
      <c r="AK4516">
        <v>0</v>
      </c>
      <c r="AL4516">
        <v>0</v>
      </c>
      <c r="AM4516">
        <v>318.01</v>
      </c>
      <c r="AN4516">
        <v>318.01</v>
      </c>
      <c r="AO4516">
        <v>318.01</v>
      </c>
      <c r="AP4516" s="2">
        <v>42746</v>
      </c>
      <c r="AQ4516" t="s">
        <v>72</v>
      </c>
      <c r="AR4516" t="s">
        <v>72</v>
      </c>
      <c r="AS4516">
        <v>2946</v>
      </c>
      <c r="AT4516" s="4">
        <v>42681</v>
      </c>
      <c r="AU4516" t="s">
        <v>73</v>
      </c>
      <c r="AV4516">
        <v>2946</v>
      </c>
      <c r="AW4516" s="4">
        <v>42681</v>
      </c>
      <c r="BC4516">
        <v>57.35</v>
      </c>
      <c r="BD4516">
        <v>0</v>
      </c>
      <c r="BN4516" t="s">
        <v>74</v>
      </c>
    </row>
    <row r="4517" spans="1:66" hidden="1">
      <c r="A4517">
        <v>101562</v>
      </c>
      <c r="B4517" s="3" t="s">
        <v>472</v>
      </c>
      <c r="C4517" s="1">
        <v>43300101</v>
      </c>
      <c r="D4517" t="s">
        <v>67</v>
      </c>
      <c r="H4517" t="str">
        <f>"04709610150"</f>
        <v>04709610150</v>
      </c>
      <c r="I4517" t="str">
        <f>"13181610158"</f>
        <v>13181610158</v>
      </c>
      <c r="K4517" t="str">
        <f>""</f>
        <v/>
      </c>
      <c r="M4517" t="s">
        <v>68</v>
      </c>
      <c r="N4517" t="str">
        <f t="shared" si="475"/>
        <v>FOR</v>
      </c>
      <c r="O4517" t="s">
        <v>69</v>
      </c>
      <c r="P4517" s="3" t="s">
        <v>75</v>
      </c>
      <c r="Q4517">
        <v>2016</v>
      </c>
      <c r="R4517" s="2">
        <v>42424</v>
      </c>
      <c r="S4517" s="2">
        <v>42438</v>
      </c>
      <c r="T4517" s="2">
        <v>42436</v>
      </c>
      <c r="U4517" s="2">
        <v>42496</v>
      </c>
      <c r="V4517" t="s">
        <v>71</v>
      </c>
      <c r="W4517" t="str">
        <f>"              413 /P"</f>
        <v xml:space="preserve">              413 /P</v>
      </c>
      <c r="X4517">
        <v>17.57</v>
      </c>
      <c r="Y4517">
        <v>0</v>
      </c>
      <c r="Z4517"/>
      <c r="AB4517"/>
      <c r="AC4517">
        <v>14.4</v>
      </c>
      <c r="AD4517">
        <v>87</v>
      </c>
      <c r="AE4517" s="1">
        <v>1252.8</v>
      </c>
      <c r="AF4517">
        <v>0</v>
      </c>
      <c r="AJ4517">
        <v>0</v>
      </c>
      <c r="AK4517">
        <v>0</v>
      </c>
      <c r="AL4517">
        <v>0</v>
      </c>
      <c r="AM4517">
        <v>17.57</v>
      </c>
      <c r="AN4517">
        <v>17.57</v>
      </c>
      <c r="AO4517">
        <v>17.57</v>
      </c>
      <c r="AP4517" s="2">
        <v>42746</v>
      </c>
      <c r="AQ4517" t="s">
        <v>72</v>
      </c>
      <c r="AR4517" t="s">
        <v>72</v>
      </c>
      <c r="AS4517">
        <v>2055</v>
      </c>
      <c r="AT4517" s="4">
        <v>42583</v>
      </c>
      <c r="AU4517" t="s">
        <v>73</v>
      </c>
      <c r="AV4517">
        <v>2055</v>
      </c>
      <c r="AW4517" s="4">
        <v>42583</v>
      </c>
      <c r="BD4517">
        <v>0</v>
      </c>
      <c r="BN4517" t="s">
        <v>74</v>
      </c>
    </row>
    <row r="4518" spans="1:66" hidden="1">
      <c r="A4518">
        <v>101570</v>
      </c>
      <c r="B4518" s="3" t="s">
        <v>473</v>
      </c>
      <c r="C4518" s="1">
        <v>43500101</v>
      </c>
      <c r="D4518" t="s">
        <v>113</v>
      </c>
      <c r="H4518" t="str">
        <f t="shared" ref="H4518:H4528" si="477">"FRNDRS72E67Z133J"</f>
        <v>FRNDRS72E67Z133J</v>
      </c>
      <c r="I4518" t="str">
        <f t="shared" ref="I4518:I4528" si="478">"01638330629"</f>
        <v>01638330629</v>
      </c>
      <c r="K4518" t="str">
        <f>""</f>
        <v/>
      </c>
      <c r="M4518" t="s">
        <v>68</v>
      </c>
      <c r="N4518" t="str">
        <f t="shared" ref="N4518:N4528" si="479">"ALTPRO"</f>
        <v>ALTPRO</v>
      </c>
      <c r="O4518" t="s">
        <v>132</v>
      </c>
      <c r="P4518" s="3" t="s">
        <v>75</v>
      </c>
      <c r="Q4518">
        <v>2016</v>
      </c>
      <c r="R4518" s="2">
        <v>42373</v>
      </c>
      <c r="S4518" s="2">
        <v>42382</v>
      </c>
      <c r="T4518" s="2">
        <v>42382</v>
      </c>
      <c r="U4518" s="2">
        <v>42442</v>
      </c>
      <c r="V4518" t="s">
        <v>71</v>
      </c>
      <c r="W4518" t="str">
        <f>"         FATTPA 1_16"</f>
        <v xml:space="preserve">         FATTPA 1_16</v>
      </c>
      <c r="X4518">
        <v>737</v>
      </c>
      <c r="Y4518">
        <v>0</v>
      </c>
      <c r="Z4518"/>
      <c r="AB4518"/>
      <c r="AC4518">
        <v>737</v>
      </c>
      <c r="AD4518">
        <v>-45</v>
      </c>
      <c r="AE4518" s="1">
        <v>-33165</v>
      </c>
      <c r="AF4518">
        <v>0</v>
      </c>
      <c r="AJ4518">
        <v>0</v>
      </c>
      <c r="AK4518">
        <v>0</v>
      </c>
      <c r="AL4518">
        <v>0</v>
      </c>
      <c r="AM4518">
        <v>737</v>
      </c>
      <c r="AN4518">
        <v>737</v>
      </c>
      <c r="AO4518">
        <v>737</v>
      </c>
      <c r="AP4518" s="2">
        <v>42746</v>
      </c>
      <c r="AQ4518" t="s">
        <v>72</v>
      </c>
      <c r="AR4518" t="s">
        <v>72</v>
      </c>
      <c r="AS4518">
        <v>151</v>
      </c>
      <c r="AT4518" s="4">
        <v>42397</v>
      </c>
      <c r="AV4518">
        <v>151</v>
      </c>
      <c r="AW4518" s="4">
        <v>42397</v>
      </c>
      <c r="BD4518">
        <v>0</v>
      </c>
      <c r="BN4518" t="s">
        <v>74</v>
      </c>
    </row>
    <row r="4519" spans="1:66" hidden="1">
      <c r="A4519">
        <v>101570</v>
      </c>
      <c r="B4519" s="3" t="s">
        <v>473</v>
      </c>
      <c r="C4519" s="1">
        <v>43500101</v>
      </c>
      <c r="D4519" t="s">
        <v>113</v>
      </c>
      <c r="H4519" t="str">
        <f t="shared" si="477"/>
        <v>FRNDRS72E67Z133J</v>
      </c>
      <c r="I4519" t="str">
        <f t="shared" si="478"/>
        <v>01638330629</v>
      </c>
      <c r="K4519" t="str">
        <f>""</f>
        <v/>
      </c>
      <c r="M4519" t="s">
        <v>68</v>
      </c>
      <c r="N4519" t="str">
        <f t="shared" si="479"/>
        <v>ALTPRO</v>
      </c>
      <c r="O4519" t="s">
        <v>132</v>
      </c>
      <c r="P4519" s="3" t="s">
        <v>75</v>
      </c>
      <c r="Q4519">
        <v>2016</v>
      </c>
      <c r="R4519" s="2">
        <v>42401</v>
      </c>
      <c r="S4519" s="2">
        <v>42408</v>
      </c>
      <c r="T4519" s="2">
        <v>42401</v>
      </c>
      <c r="U4519" s="2">
        <v>42461</v>
      </c>
      <c r="V4519" t="s">
        <v>71</v>
      </c>
      <c r="W4519" t="str">
        <f>"         FATTPA 2_16"</f>
        <v xml:space="preserve">         FATTPA 2_16</v>
      </c>
      <c r="X4519">
        <v>737</v>
      </c>
      <c r="Y4519">
        <v>0</v>
      </c>
      <c r="Z4519"/>
      <c r="AB4519"/>
      <c r="AC4519">
        <v>737</v>
      </c>
      <c r="AD4519">
        <v>-10</v>
      </c>
      <c r="AE4519" s="1">
        <v>-7370</v>
      </c>
      <c r="AF4519">
        <v>0</v>
      </c>
      <c r="AJ4519">
        <v>0</v>
      </c>
      <c r="AK4519">
        <v>0</v>
      </c>
      <c r="AL4519">
        <v>0</v>
      </c>
      <c r="AM4519">
        <v>737</v>
      </c>
      <c r="AN4519">
        <v>737</v>
      </c>
      <c r="AO4519">
        <v>737</v>
      </c>
      <c r="AP4519" s="2">
        <v>42746</v>
      </c>
      <c r="AQ4519" t="s">
        <v>72</v>
      </c>
      <c r="AR4519" t="s">
        <v>72</v>
      </c>
      <c r="AS4519">
        <v>715</v>
      </c>
      <c r="AT4519" s="4">
        <v>42451</v>
      </c>
      <c r="AV4519">
        <v>715</v>
      </c>
      <c r="AW4519" s="4">
        <v>42451</v>
      </c>
      <c r="BD4519">
        <v>0</v>
      </c>
      <c r="BN4519" t="s">
        <v>74</v>
      </c>
    </row>
    <row r="4520" spans="1:66" hidden="1">
      <c r="A4520">
        <v>101570</v>
      </c>
      <c r="B4520" s="3" t="s">
        <v>473</v>
      </c>
      <c r="C4520" s="1">
        <v>43500101</v>
      </c>
      <c r="D4520" t="s">
        <v>113</v>
      </c>
      <c r="H4520" t="str">
        <f t="shared" si="477"/>
        <v>FRNDRS72E67Z133J</v>
      </c>
      <c r="I4520" t="str">
        <f t="shared" si="478"/>
        <v>01638330629</v>
      </c>
      <c r="K4520" t="str">
        <f>""</f>
        <v/>
      </c>
      <c r="M4520" t="s">
        <v>68</v>
      </c>
      <c r="N4520" t="str">
        <f t="shared" si="479"/>
        <v>ALTPRO</v>
      </c>
      <c r="O4520" t="s">
        <v>132</v>
      </c>
      <c r="P4520" s="3" t="s">
        <v>75</v>
      </c>
      <c r="Q4520">
        <v>2016</v>
      </c>
      <c r="R4520" s="2">
        <v>42430</v>
      </c>
      <c r="S4520" s="2">
        <v>42436</v>
      </c>
      <c r="T4520" s="2">
        <v>42430</v>
      </c>
      <c r="U4520" s="2">
        <v>42490</v>
      </c>
      <c r="V4520" t="s">
        <v>71</v>
      </c>
      <c r="W4520" t="str">
        <f>"         FATTPA 3_16"</f>
        <v xml:space="preserve">         FATTPA 3_16</v>
      </c>
      <c r="X4520">
        <v>737</v>
      </c>
      <c r="Y4520">
        <v>0</v>
      </c>
      <c r="Z4520"/>
      <c r="AB4520"/>
      <c r="AC4520">
        <v>737</v>
      </c>
      <c r="AD4520">
        <v>-39</v>
      </c>
      <c r="AE4520" s="1">
        <v>-28743</v>
      </c>
      <c r="AF4520">
        <v>0</v>
      </c>
      <c r="AJ4520">
        <v>0</v>
      </c>
      <c r="AK4520">
        <v>0</v>
      </c>
      <c r="AL4520">
        <v>0</v>
      </c>
      <c r="AM4520">
        <v>737</v>
      </c>
      <c r="AN4520">
        <v>737</v>
      </c>
      <c r="AO4520">
        <v>737</v>
      </c>
      <c r="AP4520" s="2">
        <v>42746</v>
      </c>
      <c r="AQ4520" t="s">
        <v>72</v>
      </c>
      <c r="AR4520" t="s">
        <v>72</v>
      </c>
      <c r="AS4520">
        <v>715</v>
      </c>
      <c r="AT4520" s="4">
        <v>42451</v>
      </c>
      <c r="AV4520">
        <v>715</v>
      </c>
      <c r="AW4520" s="4">
        <v>42451</v>
      </c>
      <c r="BD4520">
        <v>0</v>
      </c>
      <c r="BN4520" t="s">
        <v>74</v>
      </c>
    </row>
    <row r="4521" spans="1:66" hidden="1">
      <c r="A4521">
        <v>101570</v>
      </c>
      <c r="B4521" s="3" t="s">
        <v>473</v>
      </c>
      <c r="C4521" s="1">
        <v>43500101</v>
      </c>
      <c r="D4521" t="s">
        <v>113</v>
      </c>
      <c r="H4521" t="str">
        <f t="shared" si="477"/>
        <v>FRNDRS72E67Z133J</v>
      </c>
      <c r="I4521" t="str">
        <f t="shared" si="478"/>
        <v>01638330629</v>
      </c>
      <c r="K4521" t="str">
        <f>""</f>
        <v/>
      </c>
      <c r="M4521" t="s">
        <v>68</v>
      </c>
      <c r="N4521" t="str">
        <f t="shared" si="479"/>
        <v>ALTPRO</v>
      </c>
      <c r="O4521" t="s">
        <v>132</v>
      </c>
      <c r="P4521" s="3" t="s">
        <v>75</v>
      </c>
      <c r="Q4521">
        <v>2016</v>
      </c>
      <c r="R4521" s="2">
        <v>42461</v>
      </c>
      <c r="S4521" s="2">
        <v>42465</v>
      </c>
      <c r="T4521" s="2">
        <v>42461</v>
      </c>
      <c r="U4521" s="2">
        <v>42521</v>
      </c>
      <c r="V4521" t="s">
        <v>71</v>
      </c>
      <c r="W4521" t="str">
        <f>"         FATTPA 4_16"</f>
        <v xml:space="preserve">         FATTPA 4_16</v>
      </c>
      <c r="X4521">
        <v>737</v>
      </c>
      <c r="Y4521">
        <v>0</v>
      </c>
      <c r="Z4521"/>
      <c r="AB4521"/>
      <c r="AC4521">
        <v>737</v>
      </c>
      <c r="AD4521">
        <v>-34</v>
      </c>
      <c r="AE4521" s="1">
        <v>-25058</v>
      </c>
      <c r="AF4521">
        <v>0</v>
      </c>
      <c r="AJ4521">
        <v>0</v>
      </c>
      <c r="AK4521">
        <v>0</v>
      </c>
      <c r="AL4521">
        <v>0</v>
      </c>
      <c r="AM4521">
        <v>737</v>
      </c>
      <c r="AN4521">
        <v>737</v>
      </c>
      <c r="AO4521">
        <v>737</v>
      </c>
      <c r="AP4521" s="2">
        <v>42746</v>
      </c>
      <c r="AQ4521" t="s">
        <v>72</v>
      </c>
      <c r="AR4521" t="s">
        <v>72</v>
      </c>
      <c r="AS4521">
        <v>1156</v>
      </c>
      <c r="AT4521" s="4">
        <v>42487</v>
      </c>
      <c r="AV4521">
        <v>1156</v>
      </c>
      <c r="AW4521" s="4">
        <v>42487</v>
      </c>
      <c r="BD4521">
        <v>0</v>
      </c>
      <c r="BN4521" t="s">
        <v>74</v>
      </c>
    </row>
    <row r="4522" spans="1:66" hidden="1">
      <c r="A4522">
        <v>101570</v>
      </c>
      <c r="B4522" s="3" t="s">
        <v>473</v>
      </c>
      <c r="C4522" s="1">
        <v>43500101</v>
      </c>
      <c r="D4522" t="s">
        <v>113</v>
      </c>
      <c r="H4522" t="str">
        <f t="shared" si="477"/>
        <v>FRNDRS72E67Z133J</v>
      </c>
      <c r="I4522" t="str">
        <f t="shared" si="478"/>
        <v>01638330629</v>
      </c>
      <c r="K4522" t="str">
        <f>""</f>
        <v/>
      </c>
      <c r="M4522" t="s">
        <v>68</v>
      </c>
      <c r="N4522" t="str">
        <f t="shared" si="479"/>
        <v>ALTPRO</v>
      </c>
      <c r="O4522" t="s">
        <v>132</v>
      </c>
      <c r="P4522" s="3" t="s">
        <v>75</v>
      </c>
      <c r="Q4522">
        <v>2016</v>
      </c>
      <c r="R4522" s="2">
        <v>42492</v>
      </c>
      <c r="S4522" s="2">
        <v>42492</v>
      </c>
      <c r="T4522" s="2">
        <v>42492</v>
      </c>
      <c r="U4522" s="2">
        <v>42552</v>
      </c>
      <c r="V4522" t="s">
        <v>71</v>
      </c>
      <c r="W4522" t="str">
        <f>"         FATTPA 5_16"</f>
        <v xml:space="preserve">         FATTPA 5_16</v>
      </c>
      <c r="X4522">
        <v>737</v>
      </c>
      <c r="Y4522">
        <v>0</v>
      </c>
      <c r="Z4522"/>
      <c r="AB4522"/>
      <c r="AC4522">
        <v>737</v>
      </c>
      <c r="AD4522">
        <v>-32</v>
      </c>
      <c r="AE4522" s="1">
        <v>-23584</v>
      </c>
      <c r="AF4522">
        <v>0</v>
      </c>
      <c r="AJ4522">
        <v>0</v>
      </c>
      <c r="AK4522">
        <v>0</v>
      </c>
      <c r="AL4522">
        <v>0</v>
      </c>
      <c r="AM4522">
        <v>737</v>
      </c>
      <c r="AN4522">
        <v>737</v>
      </c>
      <c r="AO4522">
        <v>737</v>
      </c>
      <c r="AP4522" s="2">
        <v>42746</v>
      </c>
      <c r="AQ4522" t="s">
        <v>72</v>
      </c>
      <c r="AR4522" t="s">
        <v>72</v>
      </c>
      <c r="AS4522">
        <v>1403</v>
      </c>
      <c r="AT4522" s="4">
        <v>42520</v>
      </c>
      <c r="AV4522">
        <v>1403</v>
      </c>
      <c r="AW4522" s="4">
        <v>42520</v>
      </c>
      <c r="BD4522">
        <v>0</v>
      </c>
      <c r="BN4522" t="s">
        <v>74</v>
      </c>
    </row>
    <row r="4523" spans="1:66" hidden="1">
      <c r="A4523">
        <v>101570</v>
      </c>
      <c r="B4523" s="3" t="s">
        <v>473</v>
      </c>
      <c r="C4523" s="1">
        <v>43500101</v>
      </c>
      <c r="D4523" t="s">
        <v>113</v>
      </c>
      <c r="H4523" t="str">
        <f t="shared" si="477"/>
        <v>FRNDRS72E67Z133J</v>
      </c>
      <c r="I4523" t="str">
        <f t="shared" si="478"/>
        <v>01638330629</v>
      </c>
      <c r="K4523" t="str">
        <f>""</f>
        <v/>
      </c>
      <c r="M4523" t="s">
        <v>68</v>
      </c>
      <c r="N4523" t="str">
        <f t="shared" si="479"/>
        <v>ALTPRO</v>
      </c>
      <c r="O4523" t="s">
        <v>132</v>
      </c>
      <c r="P4523" s="3" t="s">
        <v>75</v>
      </c>
      <c r="Q4523">
        <v>2016</v>
      </c>
      <c r="R4523" s="2">
        <v>42524</v>
      </c>
      <c r="S4523" s="2">
        <v>42527</v>
      </c>
      <c r="T4523" s="2">
        <v>42524</v>
      </c>
      <c r="U4523" s="2">
        <v>42584</v>
      </c>
      <c r="V4523" t="s">
        <v>71</v>
      </c>
      <c r="W4523" t="str">
        <f>"         FATTPA 6_16"</f>
        <v xml:space="preserve">         FATTPA 6_16</v>
      </c>
      <c r="X4523">
        <v>737</v>
      </c>
      <c r="Y4523">
        <v>0</v>
      </c>
      <c r="Z4523"/>
      <c r="AB4523"/>
      <c r="AC4523">
        <v>737</v>
      </c>
      <c r="AD4523">
        <v>-32</v>
      </c>
      <c r="AE4523" s="1">
        <v>-23584</v>
      </c>
      <c r="AF4523">
        <v>0</v>
      </c>
      <c r="AJ4523">
        <v>0</v>
      </c>
      <c r="AK4523">
        <v>0</v>
      </c>
      <c r="AL4523">
        <v>0</v>
      </c>
      <c r="AM4523">
        <v>737</v>
      </c>
      <c r="AN4523">
        <v>737</v>
      </c>
      <c r="AO4523">
        <v>737</v>
      </c>
      <c r="AP4523" s="2">
        <v>42746</v>
      </c>
      <c r="AQ4523" t="s">
        <v>72</v>
      </c>
      <c r="AR4523" t="s">
        <v>72</v>
      </c>
      <c r="AS4523">
        <v>1657</v>
      </c>
      <c r="AT4523" s="4">
        <v>42552</v>
      </c>
      <c r="AV4523">
        <v>1657</v>
      </c>
      <c r="AW4523" s="4">
        <v>42552</v>
      </c>
      <c r="BD4523">
        <v>0</v>
      </c>
      <c r="BN4523" t="s">
        <v>74</v>
      </c>
    </row>
    <row r="4524" spans="1:66" hidden="1">
      <c r="A4524">
        <v>101570</v>
      </c>
      <c r="B4524" s="3" t="s">
        <v>473</v>
      </c>
      <c r="C4524" s="1">
        <v>43500101</v>
      </c>
      <c r="D4524" t="s">
        <v>113</v>
      </c>
      <c r="H4524" t="str">
        <f t="shared" si="477"/>
        <v>FRNDRS72E67Z133J</v>
      </c>
      <c r="I4524" t="str">
        <f t="shared" si="478"/>
        <v>01638330629</v>
      </c>
      <c r="K4524" t="str">
        <f>""</f>
        <v/>
      </c>
      <c r="M4524" t="s">
        <v>68</v>
      </c>
      <c r="N4524" t="str">
        <f t="shared" si="479"/>
        <v>ALTPRO</v>
      </c>
      <c r="O4524" t="s">
        <v>132</v>
      </c>
      <c r="P4524" s="3" t="s">
        <v>75</v>
      </c>
      <c r="Q4524">
        <v>2016</v>
      </c>
      <c r="R4524" s="2">
        <v>42544</v>
      </c>
      <c r="S4524" s="2">
        <v>42545</v>
      </c>
      <c r="T4524" s="2">
        <v>42544</v>
      </c>
      <c r="U4524" s="2">
        <v>42604</v>
      </c>
      <c r="V4524" t="s">
        <v>71</v>
      </c>
      <c r="W4524" t="str">
        <f>"         FATTPA 7_16"</f>
        <v xml:space="preserve">         FATTPA 7_16</v>
      </c>
      <c r="X4524">
        <v>352</v>
      </c>
      <c r="Y4524">
        <v>0</v>
      </c>
      <c r="Z4524"/>
      <c r="AB4524"/>
      <c r="AC4524">
        <v>352</v>
      </c>
      <c r="AD4524">
        <v>14</v>
      </c>
      <c r="AE4524" s="1">
        <v>4928</v>
      </c>
      <c r="AF4524">
        <v>0</v>
      </c>
      <c r="AJ4524">
        <v>0</v>
      </c>
      <c r="AK4524">
        <v>0</v>
      </c>
      <c r="AL4524">
        <v>0</v>
      </c>
      <c r="AM4524">
        <v>352</v>
      </c>
      <c r="AN4524">
        <v>352</v>
      </c>
      <c r="AO4524">
        <v>352</v>
      </c>
      <c r="AP4524" s="2">
        <v>42746</v>
      </c>
      <c r="AQ4524" t="s">
        <v>72</v>
      </c>
      <c r="AR4524" t="s">
        <v>72</v>
      </c>
      <c r="AS4524">
        <v>2250</v>
      </c>
      <c r="AT4524" s="4">
        <v>42618</v>
      </c>
      <c r="AU4524" t="s">
        <v>73</v>
      </c>
      <c r="AV4524">
        <v>2250</v>
      </c>
      <c r="AW4524" s="4">
        <v>42618</v>
      </c>
      <c r="BD4524">
        <v>0</v>
      </c>
      <c r="BN4524" t="s">
        <v>74</v>
      </c>
    </row>
    <row r="4525" spans="1:66">
      <c r="A4525">
        <v>101570</v>
      </c>
      <c r="B4525" s="3" t="s">
        <v>473</v>
      </c>
      <c r="C4525" s="1">
        <v>43500101</v>
      </c>
      <c r="D4525" t="s">
        <v>113</v>
      </c>
      <c r="H4525" t="str">
        <f t="shared" si="477"/>
        <v>FRNDRS72E67Z133J</v>
      </c>
      <c r="I4525" t="str">
        <f t="shared" si="478"/>
        <v>01638330629</v>
      </c>
      <c r="K4525" t="str">
        <f>""</f>
        <v/>
      </c>
      <c r="M4525" t="s">
        <v>68</v>
      </c>
      <c r="N4525" t="str">
        <f t="shared" si="479"/>
        <v>ALTPRO</v>
      </c>
      <c r="O4525" t="s">
        <v>132</v>
      </c>
      <c r="P4525" s="3" t="s">
        <v>75</v>
      </c>
      <c r="Q4525">
        <v>2016</v>
      </c>
      <c r="R4525" s="2">
        <v>42614</v>
      </c>
      <c r="S4525" s="2">
        <v>42619</v>
      </c>
      <c r="T4525" s="2">
        <v>42619</v>
      </c>
      <c r="U4525" s="2">
        <v>42679</v>
      </c>
      <c r="V4525" t="s">
        <v>71</v>
      </c>
      <c r="W4525" t="str">
        <f>"         FATTPA 8_16"</f>
        <v xml:space="preserve">         FATTPA 8_16</v>
      </c>
      <c r="X4525" s="1">
        <v>1102.5</v>
      </c>
      <c r="Y4525">
        <v>0</v>
      </c>
      <c r="Z4525" s="5">
        <v>1102.5</v>
      </c>
      <c r="AA4525">
        <v>-33</v>
      </c>
      <c r="AB4525" s="5">
        <v>-36382.5</v>
      </c>
      <c r="AC4525" s="1">
        <v>1102.5</v>
      </c>
      <c r="AD4525">
        <v>-33</v>
      </c>
      <c r="AE4525" s="1">
        <v>-36382.5</v>
      </c>
      <c r="AF4525">
        <v>0</v>
      </c>
      <c r="AJ4525">
        <v>0</v>
      </c>
      <c r="AK4525">
        <v>0</v>
      </c>
      <c r="AL4525">
        <v>0</v>
      </c>
      <c r="AM4525" s="1">
        <v>1102.5</v>
      </c>
      <c r="AN4525" s="1">
        <v>1102.5</v>
      </c>
      <c r="AO4525" s="1">
        <v>1102.5</v>
      </c>
      <c r="AP4525" s="2">
        <v>42746</v>
      </c>
      <c r="AQ4525" t="s">
        <v>72</v>
      </c>
      <c r="AR4525" t="s">
        <v>72</v>
      </c>
      <c r="AS4525">
        <v>2541</v>
      </c>
      <c r="AT4525" s="4">
        <v>42646</v>
      </c>
      <c r="AV4525">
        <v>2541</v>
      </c>
      <c r="AW4525" s="4">
        <v>42646</v>
      </c>
      <c r="BD4525">
        <v>0</v>
      </c>
      <c r="BN4525" t="s">
        <v>74</v>
      </c>
    </row>
    <row r="4526" spans="1:66">
      <c r="A4526">
        <v>101570</v>
      </c>
      <c r="B4526" s="3" t="s">
        <v>473</v>
      </c>
      <c r="C4526" s="1">
        <v>43500101</v>
      </c>
      <c r="D4526" t="s">
        <v>113</v>
      </c>
      <c r="H4526" t="str">
        <f t="shared" si="477"/>
        <v>FRNDRS72E67Z133J</v>
      </c>
      <c r="I4526" t="str">
        <f t="shared" si="478"/>
        <v>01638330629</v>
      </c>
      <c r="K4526" t="str">
        <f>""</f>
        <v/>
      </c>
      <c r="M4526" t="s">
        <v>68</v>
      </c>
      <c r="N4526" t="str">
        <f t="shared" si="479"/>
        <v>ALTPRO</v>
      </c>
      <c r="O4526" t="s">
        <v>132</v>
      </c>
      <c r="P4526" s="3" t="s">
        <v>75</v>
      </c>
      <c r="Q4526">
        <v>2016</v>
      </c>
      <c r="R4526" s="2">
        <v>42646</v>
      </c>
      <c r="S4526" s="2">
        <v>42646</v>
      </c>
      <c r="T4526" s="2">
        <v>42646</v>
      </c>
      <c r="U4526" s="2">
        <v>42706</v>
      </c>
      <c r="V4526" t="s">
        <v>71</v>
      </c>
      <c r="W4526" t="str">
        <f>"         FATTPA 9_16"</f>
        <v xml:space="preserve">         FATTPA 9_16</v>
      </c>
      <c r="X4526">
        <v>735</v>
      </c>
      <c r="Y4526">
        <v>0</v>
      </c>
      <c r="Z4526" s="3">
        <v>735</v>
      </c>
      <c r="AA4526">
        <v>-37</v>
      </c>
      <c r="AB4526" s="5">
        <v>-27195</v>
      </c>
      <c r="AC4526">
        <v>735</v>
      </c>
      <c r="AD4526">
        <v>-37</v>
      </c>
      <c r="AE4526" s="1">
        <v>-27195</v>
      </c>
      <c r="AF4526">
        <v>0</v>
      </c>
      <c r="AJ4526">
        <v>0</v>
      </c>
      <c r="AK4526">
        <v>735</v>
      </c>
      <c r="AL4526">
        <v>735</v>
      </c>
      <c r="AM4526">
        <v>735</v>
      </c>
      <c r="AN4526">
        <v>735</v>
      </c>
      <c r="AO4526">
        <v>735</v>
      </c>
      <c r="AP4526" s="2">
        <v>42746</v>
      </c>
      <c r="AQ4526" t="s">
        <v>72</v>
      </c>
      <c r="AR4526" t="s">
        <v>72</v>
      </c>
      <c r="AS4526">
        <v>2884</v>
      </c>
      <c r="AT4526" s="4">
        <v>42669</v>
      </c>
      <c r="AV4526">
        <v>2884</v>
      </c>
      <c r="AW4526" s="4">
        <v>42669</v>
      </c>
      <c r="BD4526">
        <v>0</v>
      </c>
      <c r="BN4526" t="s">
        <v>74</v>
      </c>
    </row>
    <row r="4527" spans="1:66">
      <c r="A4527">
        <v>101570</v>
      </c>
      <c r="B4527" s="3" t="s">
        <v>473</v>
      </c>
      <c r="C4527" s="1">
        <v>43500101</v>
      </c>
      <c r="D4527" t="s">
        <v>113</v>
      </c>
      <c r="H4527" t="str">
        <f t="shared" si="477"/>
        <v>FRNDRS72E67Z133J</v>
      </c>
      <c r="I4527" t="str">
        <f t="shared" si="478"/>
        <v>01638330629</v>
      </c>
      <c r="K4527" t="str">
        <f>""</f>
        <v/>
      </c>
      <c r="M4527" t="s">
        <v>68</v>
      </c>
      <c r="N4527" t="str">
        <f t="shared" si="479"/>
        <v>ALTPRO</v>
      </c>
      <c r="O4527" t="s">
        <v>132</v>
      </c>
      <c r="P4527" s="3" t="s">
        <v>75</v>
      </c>
      <c r="Q4527">
        <v>2016</v>
      </c>
      <c r="R4527" s="2">
        <v>42677</v>
      </c>
      <c r="S4527" s="2">
        <v>42678</v>
      </c>
      <c r="T4527" s="2">
        <v>42677</v>
      </c>
      <c r="U4527" s="2">
        <v>42737</v>
      </c>
      <c r="V4527" t="s">
        <v>71</v>
      </c>
      <c r="W4527" t="str">
        <f>"        FATTPA 10_16"</f>
        <v xml:space="preserve">        FATTPA 10_16</v>
      </c>
      <c r="X4527">
        <v>735</v>
      </c>
      <c r="Y4527">
        <v>0</v>
      </c>
      <c r="Z4527" s="3">
        <v>735</v>
      </c>
      <c r="AA4527">
        <v>-48</v>
      </c>
      <c r="AB4527" s="5">
        <v>-35280</v>
      </c>
      <c r="AC4527">
        <v>735</v>
      </c>
      <c r="AD4527">
        <v>-48</v>
      </c>
      <c r="AE4527" s="1">
        <v>-35280</v>
      </c>
      <c r="AF4527">
        <v>0</v>
      </c>
      <c r="AJ4527">
        <v>735</v>
      </c>
      <c r="AK4527">
        <v>735</v>
      </c>
      <c r="AL4527">
        <v>735</v>
      </c>
      <c r="AM4527">
        <v>735</v>
      </c>
      <c r="AN4527">
        <v>735</v>
      </c>
      <c r="AO4527">
        <v>735</v>
      </c>
      <c r="AP4527" s="2">
        <v>42746</v>
      </c>
      <c r="AQ4527" t="s">
        <v>72</v>
      </c>
      <c r="AR4527" t="s">
        <v>72</v>
      </c>
      <c r="AS4527">
        <v>3088</v>
      </c>
      <c r="AT4527" s="4">
        <v>42689</v>
      </c>
      <c r="AV4527">
        <v>3088</v>
      </c>
      <c r="AW4527" s="4">
        <v>42689</v>
      </c>
      <c r="BD4527">
        <v>0</v>
      </c>
      <c r="BN4527" t="s">
        <v>74</v>
      </c>
    </row>
    <row r="4528" spans="1:66">
      <c r="A4528">
        <v>101570</v>
      </c>
      <c r="B4528" s="3" t="s">
        <v>473</v>
      </c>
      <c r="C4528" s="1">
        <v>43500101</v>
      </c>
      <c r="D4528" t="s">
        <v>113</v>
      </c>
      <c r="H4528" t="str">
        <f t="shared" si="477"/>
        <v>FRNDRS72E67Z133J</v>
      </c>
      <c r="I4528" t="str">
        <f t="shared" si="478"/>
        <v>01638330629</v>
      </c>
      <c r="K4528" t="str">
        <f>""</f>
        <v/>
      </c>
      <c r="M4528" t="s">
        <v>68</v>
      </c>
      <c r="N4528" t="str">
        <f t="shared" si="479"/>
        <v>ALTPRO</v>
      </c>
      <c r="O4528" t="s">
        <v>132</v>
      </c>
      <c r="P4528" s="3" t="s">
        <v>75</v>
      </c>
      <c r="Q4528">
        <v>2016</v>
      </c>
      <c r="R4528" s="2">
        <v>42705</v>
      </c>
      <c r="S4528" s="2">
        <v>42706</v>
      </c>
      <c r="T4528" s="2">
        <v>42705</v>
      </c>
      <c r="U4528" s="2">
        <v>42765</v>
      </c>
      <c r="V4528" t="s">
        <v>71</v>
      </c>
      <c r="W4528" t="str">
        <f>"        FATTPA 11_16"</f>
        <v xml:space="preserve">        FATTPA 11_16</v>
      </c>
      <c r="X4528">
        <v>735</v>
      </c>
      <c r="Y4528">
        <v>0</v>
      </c>
      <c r="Z4528" s="3">
        <v>735</v>
      </c>
      <c r="AA4528">
        <v>-54</v>
      </c>
      <c r="AB4528" s="5">
        <v>-39690</v>
      </c>
      <c r="AC4528">
        <v>735</v>
      </c>
      <c r="AD4528">
        <v>-54</v>
      </c>
      <c r="AE4528" s="1">
        <v>-39690</v>
      </c>
      <c r="AF4528">
        <v>0</v>
      </c>
      <c r="AJ4528">
        <v>735</v>
      </c>
      <c r="AK4528">
        <v>735</v>
      </c>
      <c r="AL4528">
        <v>735</v>
      </c>
      <c r="AM4528">
        <v>735</v>
      </c>
      <c r="AN4528">
        <v>735</v>
      </c>
      <c r="AO4528">
        <v>735</v>
      </c>
      <c r="AP4528" s="2">
        <v>42746</v>
      </c>
      <c r="AQ4528" t="s">
        <v>72</v>
      </c>
      <c r="AR4528" t="s">
        <v>72</v>
      </c>
      <c r="AS4528">
        <v>3359</v>
      </c>
      <c r="AT4528" s="4">
        <v>42711</v>
      </c>
      <c r="AV4528">
        <v>3359</v>
      </c>
      <c r="AW4528" s="4">
        <v>42711</v>
      </c>
      <c r="BD4528">
        <v>0</v>
      </c>
      <c r="BN4528" t="s">
        <v>74</v>
      </c>
    </row>
    <row r="4529" spans="1:66" hidden="1">
      <c r="A4529">
        <v>101573</v>
      </c>
      <c r="B4529" s="3" t="s">
        <v>474</v>
      </c>
      <c r="C4529" s="1">
        <v>43300101</v>
      </c>
      <c r="D4529" t="s">
        <v>67</v>
      </c>
      <c r="H4529" t="str">
        <f t="shared" ref="H4529:I4559" si="480">"00176010346"</f>
        <v>00176010346</v>
      </c>
      <c r="I4529" t="str">
        <f t="shared" si="480"/>
        <v>00176010346</v>
      </c>
      <c r="K4529" t="str">
        <f>""</f>
        <v/>
      </c>
      <c r="M4529" t="s">
        <v>68</v>
      </c>
      <c r="N4529" t="str">
        <f t="shared" ref="N4529:N4564" si="481">"FOR"</f>
        <v>FOR</v>
      </c>
      <c r="O4529" t="s">
        <v>69</v>
      </c>
      <c r="P4529" s="3" t="s">
        <v>75</v>
      </c>
      <c r="Q4529">
        <v>2015</v>
      </c>
      <c r="R4529" s="2">
        <v>42102</v>
      </c>
      <c r="S4529" s="2">
        <v>42116</v>
      </c>
      <c r="T4529" s="2">
        <v>42115</v>
      </c>
      <c r="U4529" s="2">
        <v>42175</v>
      </c>
      <c r="V4529" t="s">
        <v>71</v>
      </c>
      <c r="W4529" t="str">
        <f>"                8440"</f>
        <v xml:space="preserve">                8440</v>
      </c>
      <c r="X4529" s="1">
        <v>4607.2</v>
      </c>
      <c r="Y4529">
        <v>0</v>
      </c>
      <c r="Z4529"/>
      <c r="AB4529"/>
      <c r="AC4529" s="1">
        <v>4430</v>
      </c>
      <c r="AD4529">
        <v>277</v>
      </c>
      <c r="AE4529" s="1">
        <v>1227110</v>
      </c>
      <c r="AF4529">
        <v>0</v>
      </c>
      <c r="AJ4529">
        <v>0</v>
      </c>
      <c r="AK4529">
        <v>0</v>
      </c>
      <c r="AL4529">
        <v>0</v>
      </c>
      <c r="AM4529">
        <v>0</v>
      </c>
      <c r="AN4529">
        <v>0</v>
      </c>
      <c r="AO4529">
        <v>0</v>
      </c>
      <c r="AP4529" s="2">
        <v>42746</v>
      </c>
      <c r="AQ4529" t="s">
        <v>72</v>
      </c>
      <c r="AR4529" t="s">
        <v>72</v>
      </c>
      <c r="AS4529">
        <v>800</v>
      </c>
      <c r="AT4529" s="4">
        <v>42452</v>
      </c>
      <c r="AU4529" t="s">
        <v>73</v>
      </c>
      <c r="AV4529">
        <v>800</v>
      </c>
      <c r="AW4529" s="4">
        <v>42452</v>
      </c>
      <c r="BD4529">
        <v>0</v>
      </c>
      <c r="BN4529" t="s">
        <v>74</v>
      </c>
    </row>
    <row r="4530" spans="1:66" hidden="1">
      <c r="A4530">
        <v>101573</v>
      </c>
      <c r="B4530" s="3" t="s">
        <v>474</v>
      </c>
      <c r="C4530" s="1">
        <v>43300101</v>
      </c>
      <c r="D4530" t="s">
        <v>67</v>
      </c>
      <c r="H4530" t="str">
        <f t="shared" si="480"/>
        <v>00176010346</v>
      </c>
      <c r="I4530" t="str">
        <f t="shared" si="480"/>
        <v>00176010346</v>
      </c>
      <c r="K4530" t="str">
        <f>""</f>
        <v/>
      </c>
      <c r="M4530" t="s">
        <v>68</v>
      </c>
      <c r="N4530" t="str">
        <f t="shared" si="481"/>
        <v>FOR</v>
      </c>
      <c r="O4530" t="s">
        <v>69</v>
      </c>
      <c r="P4530" s="3" t="s">
        <v>75</v>
      </c>
      <c r="Q4530">
        <v>2015</v>
      </c>
      <c r="R4530" s="2">
        <v>42121</v>
      </c>
      <c r="S4530" s="2">
        <v>42142</v>
      </c>
      <c r="T4530" s="2">
        <v>42137</v>
      </c>
      <c r="U4530" s="2">
        <v>42197</v>
      </c>
      <c r="V4530" t="s">
        <v>71</v>
      </c>
      <c r="W4530" t="str">
        <f>"                9574"</f>
        <v xml:space="preserve">                9574</v>
      </c>
      <c r="X4530" s="1">
        <v>4607.2</v>
      </c>
      <c r="Y4530">
        <v>0</v>
      </c>
      <c r="Z4530"/>
      <c r="AB4530"/>
      <c r="AC4530" s="1">
        <v>4430</v>
      </c>
      <c r="AD4530">
        <v>255</v>
      </c>
      <c r="AE4530" s="1">
        <v>1129650</v>
      </c>
      <c r="AF4530">
        <v>0</v>
      </c>
      <c r="AJ4530">
        <v>0</v>
      </c>
      <c r="AK4530">
        <v>0</v>
      </c>
      <c r="AL4530">
        <v>0</v>
      </c>
      <c r="AM4530">
        <v>0</v>
      </c>
      <c r="AN4530">
        <v>0</v>
      </c>
      <c r="AO4530">
        <v>0</v>
      </c>
      <c r="AP4530" s="2">
        <v>42746</v>
      </c>
      <c r="AQ4530" t="s">
        <v>72</v>
      </c>
      <c r="AR4530" t="s">
        <v>72</v>
      </c>
      <c r="AS4530">
        <v>800</v>
      </c>
      <c r="AT4530" s="4">
        <v>42452</v>
      </c>
      <c r="AU4530" t="s">
        <v>73</v>
      </c>
      <c r="AV4530">
        <v>800</v>
      </c>
      <c r="AW4530" s="4">
        <v>42452</v>
      </c>
      <c r="BD4530">
        <v>0</v>
      </c>
      <c r="BN4530" t="s">
        <v>74</v>
      </c>
    </row>
    <row r="4531" spans="1:66" hidden="1">
      <c r="A4531">
        <v>101573</v>
      </c>
      <c r="B4531" s="3" t="s">
        <v>474</v>
      </c>
      <c r="C4531" s="1">
        <v>43300101</v>
      </c>
      <c r="D4531" t="s">
        <v>67</v>
      </c>
      <c r="H4531" t="str">
        <f t="shared" si="480"/>
        <v>00176010346</v>
      </c>
      <c r="I4531" t="str">
        <f t="shared" si="480"/>
        <v>00176010346</v>
      </c>
      <c r="K4531" t="str">
        <f>""</f>
        <v/>
      </c>
      <c r="M4531" t="s">
        <v>68</v>
      </c>
      <c r="N4531" t="str">
        <f t="shared" si="481"/>
        <v>FOR</v>
      </c>
      <c r="O4531" t="s">
        <v>69</v>
      </c>
      <c r="P4531" s="3" t="s">
        <v>75</v>
      </c>
      <c r="Q4531">
        <v>2015</v>
      </c>
      <c r="R4531" s="2">
        <v>42124</v>
      </c>
      <c r="S4531" s="2">
        <v>42131</v>
      </c>
      <c r="T4531" s="2">
        <v>42130</v>
      </c>
      <c r="U4531" s="2">
        <v>42190</v>
      </c>
      <c r="V4531" t="s">
        <v>71</v>
      </c>
      <c r="W4531" t="str">
        <f>"               10463"</f>
        <v xml:space="preserve">               10463</v>
      </c>
      <c r="X4531" s="1">
        <v>7025.2</v>
      </c>
      <c r="Y4531">
        <v>0</v>
      </c>
      <c r="Z4531"/>
      <c r="AB4531"/>
      <c r="AC4531" s="1">
        <v>6755</v>
      </c>
      <c r="AD4531">
        <v>262</v>
      </c>
      <c r="AE4531" s="1">
        <v>1769810</v>
      </c>
      <c r="AF4531">
        <v>0</v>
      </c>
      <c r="AJ4531">
        <v>0</v>
      </c>
      <c r="AK4531">
        <v>0</v>
      </c>
      <c r="AL4531">
        <v>0</v>
      </c>
      <c r="AM4531">
        <v>0</v>
      </c>
      <c r="AN4531">
        <v>0</v>
      </c>
      <c r="AO4531">
        <v>0</v>
      </c>
      <c r="AP4531" s="2">
        <v>42746</v>
      </c>
      <c r="AQ4531" t="s">
        <v>72</v>
      </c>
      <c r="AR4531" t="s">
        <v>72</v>
      </c>
      <c r="AS4531">
        <v>800</v>
      </c>
      <c r="AT4531" s="4">
        <v>42452</v>
      </c>
      <c r="AU4531" t="s">
        <v>73</v>
      </c>
      <c r="AV4531">
        <v>800</v>
      </c>
      <c r="AW4531" s="4">
        <v>42452</v>
      </c>
      <c r="BD4531">
        <v>0</v>
      </c>
      <c r="BN4531" t="s">
        <v>74</v>
      </c>
    </row>
    <row r="4532" spans="1:66" hidden="1">
      <c r="A4532">
        <v>101573</v>
      </c>
      <c r="B4532" s="3" t="s">
        <v>474</v>
      </c>
      <c r="C4532" s="1">
        <v>43300101</v>
      </c>
      <c r="D4532" t="s">
        <v>67</v>
      </c>
      <c r="H4532" t="str">
        <f t="shared" si="480"/>
        <v>00176010346</v>
      </c>
      <c r="I4532" t="str">
        <f t="shared" si="480"/>
        <v>00176010346</v>
      </c>
      <c r="K4532" t="str">
        <f>""</f>
        <v/>
      </c>
      <c r="M4532" t="s">
        <v>68</v>
      </c>
      <c r="N4532" t="str">
        <f t="shared" si="481"/>
        <v>FOR</v>
      </c>
      <c r="O4532" t="s">
        <v>69</v>
      </c>
      <c r="P4532" s="3" t="s">
        <v>75</v>
      </c>
      <c r="Q4532">
        <v>2015</v>
      </c>
      <c r="R4532" s="2">
        <v>42151</v>
      </c>
      <c r="S4532" s="2">
        <v>42191</v>
      </c>
      <c r="T4532" s="2">
        <v>42185</v>
      </c>
      <c r="U4532" s="2">
        <v>42245</v>
      </c>
      <c r="V4532" t="s">
        <v>71</v>
      </c>
      <c r="W4532" t="str">
        <f>"               11984"</f>
        <v xml:space="preserve">               11984</v>
      </c>
      <c r="X4532" s="1">
        <v>4165.2</v>
      </c>
      <c r="Y4532">
        <v>0</v>
      </c>
      <c r="Z4532"/>
      <c r="AB4532"/>
      <c r="AC4532" s="1">
        <v>4005</v>
      </c>
      <c r="AD4532">
        <v>207</v>
      </c>
      <c r="AE4532" s="1">
        <v>829035</v>
      </c>
      <c r="AF4532">
        <v>0</v>
      </c>
      <c r="AJ4532">
        <v>0</v>
      </c>
      <c r="AK4532">
        <v>0</v>
      </c>
      <c r="AL4532">
        <v>0</v>
      </c>
      <c r="AM4532">
        <v>0</v>
      </c>
      <c r="AN4532">
        <v>0</v>
      </c>
      <c r="AO4532">
        <v>0</v>
      </c>
      <c r="AP4532" s="2">
        <v>42746</v>
      </c>
      <c r="AQ4532" t="s">
        <v>72</v>
      </c>
      <c r="AR4532" t="s">
        <v>72</v>
      </c>
      <c r="AS4532">
        <v>800</v>
      </c>
      <c r="AT4532" s="4">
        <v>42452</v>
      </c>
      <c r="AU4532" t="s">
        <v>73</v>
      </c>
      <c r="AV4532">
        <v>800</v>
      </c>
      <c r="AW4532" s="4">
        <v>42452</v>
      </c>
      <c r="BD4532">
        <v>0</v>
      </c>
      <c r="BN4532" t="s">
        <v>74</v>
      </c>
    </row>
    <row r="4533" spans="1:66" hidden="1">
      <c r="A4533">
        <v>101573</v>
      </c>
      <c r="B4533" s="3" t="s">
        <v>474</v>
      </c>
      <c r="C4533" s="1">
        <v>43300101</v>
      </c>
      <c r="D4533" t="s">
        <v>67</v>
      </c>
      <c r="H4533" t="str">
        <f t="shared" si="480"/>
        <v>00176010346</v>
      </c>
      <c r="I4533" t="str">
        <f t="shared" si="480"/>
        <v>00176010346</v>
      </c>
      <c r="K4533" t="str">
        <f>""</f>
        <v/>
      </c>
      <c r="M4533" t="s">
        <v>68</v>
      </c>
      <c r="N4533" t="str">
        <f t="shared" si="481"/>
        <v>FOR</v>
      </c>
      <c r="O4533" t="s">
        <v>69</v>
      </c>
      <c r="P4533" s="3" t="s">
        <v>75</v>
      </c>
      <c r="Q4533">
        <v>2015</v>
      </c>
      <c r="R4533" s="2">
        <v>42170</v>
      </c>
      <c r="S4533" s="2">
        <v>42172</v>
      </c>
      <c r="T4533" s="2">
        <v>42171</v>
      </c>
      <c r="U4533" s="2">
        <v>42231</v>
      </c>
      <c r="V4533" t="s">
        <v>71</v>
      </c>
      <c r="W4533" t="str">
        <f>"               13725"</f>
        <v xml:space="preserve">               13725</v>
      </c>
      <c r="X4533" s="1">
        <v>4165.2</v>
      </c>
      <c r="Y4533">
        <v>0</v>
      </c>
      <c r="Z4533"/>
      <c r="AB4533"/>
      <c r="AC4533" s="1">
        <v>4005</v>
      </c>
      <c r="AD4533">
        <v>261</v>
      </c>
      <c r="AE4533" s="1">
        <v>1045305</v>
      </c>
      <c r="AF4533">
        <v>0</v>
      </c>
      <c r="AJ4533">
        <v>0</v>
      </c>
      <c r="AK4533">
        <v>0</v>
      </c>
      <c r="AL4533">
        <v>0</v>
      </c>
      <c r="AM4533">
        <v>0</v>
      </c>
      <c r="AN4533">
        <v>0</v>
      </c>
      <c r="AO4533">
        <v>0</v>
      </c>
      <c r="AP4533" s="2">
        <v>42746</v>
      </c>
      <c r="AQ4533" t="s">
        <v>72</v>
      </c>
      <c r="AR4533" t="s">
        <v>72</v>
      </c>
      <c r="AS4533">
        <v>1232</v>
      </c>
      <c r="AT4533" s="4">
        <v>42492</v>
      </c>
      <c r="AU4533" t="s">
        <v>73</v>
      </c>
      <c r="AV4533">
        <v>1232</v>
      </c>
      <c r="AW4533" s="4">
        <v>42492</v>
      </c>
      <c r="BD4533">
        <v>0</v>
      </c>
      <c r="BN4533" t="s">
        <v>74</v>
      </c>
    </row>
    <row r="4534" spans="1:66" hidden="1">
      <c r="A4534">
        <v>101573</v>
      </c>
      <c r="B4534" s="3" t="s">
        <v>474</v>
      </c>
      <c r="C4534" s="1">
        <v>43300101</v>
      </c>
      <c r="D4534" t="s">
        <v>67</v>
      </c>
      <c r="H4534" t="str">
        <f t="shared" si="480"/>
        <v>00176010346</v>
      </c>
      <c r="I4534" t="str">
        <f t="shared" si="480"/>
        <v>00176010346</v>
      </c>
      <c r="K4534" t="str">
        <f>""</f>
        <v/>
      </c>
      <c r="M4534" t="s">
        <v>68</v>
      </c>
      <c r="N4534" t="str">
        <f t="shared" si="481"/>
        <v>FOR</v>
      </c>
      <c r="O4534" t="s">
        <v>69</v>
      </c>
      <c r="P4534" s="3" t="s">
        <v>75</v>
      </c>
      <c r="Q4534">
        <v>2015</v>
      </c>
      <c r="R4534" s="2">
        <v>42174</v>
      </c>
      <c r="S4534" s="2">
        <v>42178</v>
      </c>
      <c r="T4534" s="2">
        <v>42175</v>
      </c>
      <c r="U4534" s="2">
        <v>42235</v>
      </c>
      <c r="V4534" t="s">
        <v>71</v>
      </c>
      <c r="W4534" t="str">
        <f>"               14095"</f>
        <v xml:space="preserve">               14095</v>
      </c>
      <c r="X4534">
        <v>873.6</v>
      </c>
      <c r="Y4534">
        <v>0</v>
      </c>
      <c r="Z4534"/>
      <c r="AB4534"/>
      <c r="AC4534">
        <v>840</v>
      </c>
      <c r="AD4534">
        <v>257</v>
      </c>
      <c r="AE4534" s="1">
        <v>215880</v>
      </c>
      <c r="AF4534">
        <v>0</v>
      </c>
      <c r="AJ4534">
        <v>0</v>
      </c>
      <c r="AK4534">
        <v>0</v>
      </c>
      <c r="AL4534">
        <v>0</v>
      </c>
      <c r="AM4534">
        <v>0</v>
      </c>
      <c r="AN4534">
        <v>0</v>
      </c>
      <c r="AO4534">
        <v>0</v>
      </c>
      <c r="AP4534" s="2">
        <v>42746</v>
      </c>
      <c r="AQ4534" t="s">
        <v>72</v>
      </c>
      <c r="AR4534" t="s">
        <v>72</v>
      </c>
      <c r="AS4534">
        <v>1232</v>
      </c>
      <c r="AT4534" s="4">
        <v>42492</v>
      </c>
      <c r="AU4534" t="s">
        <v>73</v>
      </c>
      <c r="AV4534">
        <v>1232</v>
      </c>
      <c r="AW4534" s="4">
        <v>42492</v>
      </c>
      <c r="BD4534">
        <v>0</v>
      </c>
      <c r="BN4534" t="s">
        <v>74</v>
      </c>
    </row>
    <row r="4535" spans="1:66" hidden="1">
      <c r="A4535">
        <v>101573</v>
      </c>
      <c r="B4535" s="3" t="s">
        <v>474</v>
      </c>
      <c r="C4535" s="1">
        <v>43300101</v>
      </c>
      <c r="D4535" t="s">
        <v>67</v>
      </c>
      <c r="H4535" t="str">
        <f t="shared" si="480"/>
        <v>00176010346</v>
      </c>
      <c r="I4535" t="str">
        <f t="shared" si="480"/>
        <v>00176010346</v>
      </c>
      <c r="K4535" t="str">
        <f>""</f>
        <v/>
      </c>
      <c r="M4535" t="s">
        <v>68</v>
      </c>
      <c r="N4535" t="str">
        <f t="shared" si="481"/>
        <v>FOR</v>
      </c>
      <c r="O4535" t="s">
        <v>69</v>
      </c>
      <c r="P4535" s="3" t="s">
        <v>75</v>
      </c>
      <c r="Q4535">
        <v>2015</v>
      </c>
      <c r="R4535" s="2">
        <v>42174</v>
      </c>
      <c r="S4535" s="2">
        <v>42178</v>
      </c>
      <c r="T4535" s="2">
        <v>42175</v>
      </c>
      <c r="U4535" s="2">
        <v>42235</v>
      </c>
      <c r="V4535" t="s">
        <v>71</v>
      </c>
      <c r="W4535" t="str">
        <f>"               14096"</f>
        <v xml:space="preserve">               14096</v>
      </c>
      <c r="X4535">
        <v>790.4</v>
      </c>
      <c r="Y4535">
        <v>0</v>
      </c>
      <c r="Z4535"/>
      <c r="AB4535"/>
      <c r="AC4535">
        <v>760</v>
      </c>
      <c r="AD4535">
        <v>257</v>
      </c>
      <c r="AE4535" s="1">
        <v>195320</v>
      </c>
      <c r="AF4535">
        <v>0</v>
      </c>
      <c r="AJ4535">
        <v>0</v>
      </c>
      <c r="AK4535">
        <v>0</v>
      </c>
      <c r="AL4535">
        <v>0</v>
      </c>
      <c r="AM4535">
        <v>0</v>
      </c>
      <c r="AN4535">
        <v>0</v>
      </c>
      <c r="AO4535">
        <v>0</v>
      </c>
      <c r="AP4535" s="2">
        <v>42746</v>
      </c>
      <c r="AQ4535" t="s">
        <v>72</v>
      </c>
      <c r="AR4535" t="s">
        <v>72</v>
      </c>
      <c r="AS4535">
        <v>1232</v>
      </c>
      <c r="AT4535" s="4">
        <v>42492</v>
      </c>
      <c r="AU4535" t="s">
        <v>73</v>
      </c>
      <c r="AV4535">
        <v>1232</v>
      </c>
      <c r="AW4535" s="4">
        <v>42492</v>
      </c>
      <c r="BD4535">
        <v>0</v>
      </c>
      <c r="BN4535" t="s">
        <v>74</v>
      </c>
    </row>
    <row r="4536" spans="1:66" hidden="1">
      <c r="A4536">
        <v>101573</v>
      </c>
      <c r="B4536" s="3" t="s">
        <v>474</v>
      </c>
      <c r="C4536" s="1">
        <v>43300101</v>
      </c>
      <c r="D4536" t="s">
        <v>67</v>
      </c>
      <c r="H4536" t="str">
        <f t="shared" si="480"/>
        <v>00176010346</v>
      </c>
      <c r="I4536" t="str">
        <f t="shared" si="480"/>
        <v>00176010346</v>
      </c>
      <c r="K4536" t="str">
        <f>""</f>
        <v/>
      </c>
      <c r="M4536" t="s">
        <v>68</v>
      </c>
      <c r="N4536" t="str">
        <f t="shared" si="481"/>
        <v>FOR</v>
      </c>
      <c r="O4536" t="s">
        <v>69</v>
      </c>
      <c r="P4536" s="3" t="s">
        <v>75</v>
      </c>
      <c r="Q4536">
        <v>2015</v>
      </c>
      <c r="R4536" s="2">
        <v>42199</v>
      </c>
      <c r="S4536" s="2">
        <v>42202</v>
      </c>
      <c r="T4536" s="2">
        <v>42200</v>
      </c>
      <c r="U4536" s="2">
        <v>42260</v>
      </c>
      <c r="V4536" t="s">
        <v>71</v>
      </c>
      <c r="W4536" t="str">
        <f>"               16206"</f>
        <v xml:space="preserve">               16206</v>
      </c>
      <c r="X4536" s="1">
        <v>5662.8</v>
      </c>
      <c r="Y4536">
        <v>0</v>
      </c>
      <c r="Z4536"/>
      <c r="AB4536"/>
      <c r="AC4536" s="1">
        <v>5445</v>
      </c>
      <c r="AD4536">
        <v>318</v>
      </c>
      <c r="AE4536" s="1">
        <v>1731510</v>
      </c>
      <c r="AF4536">
        <v>0</v>
      </c>
      <c r="AJ4536">
        <v>0</v>
      </c>
      <c r="AK4536">
        <v>0</v>
      </c>
      <c r="AL4536">
        <v>0</v>
      </c>
      <c r="AM4536">
        <v>0</v>
      </c>
      <c r="AN4536">
        <v>0</v>
      </c>
      <c r="AO4536">
        <v>0</v>
      </c>
      <c r="AP4536" s="2">
        <v>42746</v>
      </c>
      <c r="AQ4536" t="s">
        <v>72</v>
      </c>
      <c r="AR4536" t="s">
        <v>72</v>
      </c>
      <c r="AS4536">
        <v>1995</v>
      </c>
      <c r="AT4536" s="4">
        <v>42578</v>
      </c>
      <c r="AU4536" t="s">
        <v>73</v>
      </c>
      <c r="AV4536">
        <v>1995</v>
      </c>
      <c r="AW4536" s="4">
        <v>42578</v>
      </c>
      <c r="BD4536">
        <v>0</v>
      </c>
      <c r="BN4536" t="s">
        <v>74</v>
      </c>
    </row>
    <row r="4537" spans="1:66" hidden="1">
      <c r="A4537">
        <v>101573</v>
      </c>
      <c r="B4537" s="3" t="s">
        <v>474</v>
      </c>
      <c r="C4537" s="1">
        <v>43300101</v>
      </c>
      <c r="D4537" t="s">
        <v>67</v>
      </c>
      <c r="H4537" t="str">
        <f t="shared" si="480"/>
        <v>00176010346</v>
      </c>
      <c r="I4537" t="str">
        <f t="shared" si="480"/>
        <v>00176010346</v>
      </c>
      <c r="K4537" t="str">
        <f>""</f>
        <v/>
      </c>
      <c r="M4537" t="s">
        <v>68</v>
      </c>
      <c r="N4537" t="str">
        <f t="shared" si="481"/>
        <v>FOR</v>
      </c>
      <c r="O4537" t="s">
        <v>69</v>
      </c>
      <c r="P4537" s="3" t="s">
        <v>75</v>
      </c>
      <c r="Q4537">
        <v>2015</v>
      </c>
      <c r="R4537" s="2">
        <v>42209</v>
      </c>
      <c r="S4537" s="2">
        <v>42215</v>
      </c>
      <c r="T4537" s="2">
        <v>42213</v>
      </c>
      <c r="U4537" s="2">
        <v>42273</v>
      </c>
      <c r="V4537" t="s">
        <v>71</v>
      </c>
      <c r="W4537" t="str">
        <f>"               17150"</f>
        <v xml:space="preserve">               17150</v>
      </c>
      <c r="X4537" s="1">
        <v>4576</v>
      </c>
      <c r="Y4537">
        <v>0</v>
      </c>
      <c r="Z4537"/>
      <c r="AB4537"/>
      <c r="AC4537" s="1">
        <v>4400</v>
      </c>
      <c r="AD4537">
        <v>305</v>
      </c>
      <c r="AE4537" s="1">
        <v>1342000</v>
      </c>
      <c r="AF4537">
        <v>0</v>
      </c>
      <c r="AJ4537">
        <v>0</v>
      </c>
      <c r="AK4537">
        <v>0</v>
      </c>
      <c r="AL4537">
        <v>0</v>
      </c>
      <c r="AM4537">
        <v>0</v>
      </c>
      <c r="AN4537">
        <v>0</v>
      </c>
      <c r="AO4537">
        <v>0</v>
      </c>
      <c r="AP4537" s="2">
        <v>42746</v>
      </c>
      <c r="AQ4537" t="s">
        <v>72</v>
      </c>
      <c r="AR4537" t="s">
        <v>72</v>
      </c>
      <c r="AS4537">
        <v>1995</v>
      </c>
      <c r="AT4537" s="4">
        <v>42578</v>
      </c>
      <c r="AU4537" t="s">
        <v>73</v>
      </c>
      <c r="AV4537">
        <v>1995</v>
      </c>
      <c r="AW4537" s="4">
        <v>42578</v>
      </c>
      <c r="BD4537">
        <v>0</v>
      </c>
      <c r="BN4537" t="s">
        <v>74</v>
      </c>
    </row>
    <row r="4538" spans="1:66" hidden="1">
      <c r="A4538">
        <v>101573</v>
      </c>
      <c r="B4538" s="3" t="s">
        <v>474</v>
      </c>
      <c r="C4538" s="1">
        <v>43300101</v>
      </c>
      <c r="D4538" t="s">
        <v>67</v>
      </c>
      <c r="H4538" t="str">
        <f t="shared" si="480"/>
        <v>00176010346</v>
      </c>
      <c r="I4538" t="str">
        <f t="shared" si="480"/>
        <v>00176010346</v>
      </c>
      <c r="K4538" t="str">
        <f>""</f>
        <v/>
      </c>
      <c r="M4538" t="s">
        <v>68</v>
      </c>
      <c r="N4538" t="str">
        <f t="shared" si="481"/>
        <v>FOR</v>
      </c>
      <c r="O4538" t="s">
        <v>69</v>
      </c>
      <c r="P4538" s="3" t="s">
        <v>75</v>
      </c>
      <c r="Q4538">
        <v>2015</v>
      </c>
      <c r="R4538" s="2">
        <v>42209</v>
      </c>
      <c r="S4538" s="2">
        <v>42215</v>
      </c>
      <c r="T4538" s="2">
        <v>42213</v>
      </c>
      <c r="U4538" s="2">
        <v>42273</v>
      </c>
      <c r="V4538" t="s">
        <v>71</v>
      </c>
      <c r="W4538" t="str">
        <f>"               17151"</f>
        <v xml:space="preserve">               17151</v>
      </c>
      <c r="X4538" s="1">
        <v>1847.04</v>
      </c>
      <c r="Y4538">
        <v>0</v>
      </c>
      <c r="Z4538"/>
      <c r="AB4538"/>
      <c r="AC4538" s="1">
        <v>1776</v>
      </c>
      <c r="AD4538">
        <v>305</v>
      </c>
      <c r="AE4538" s="1">
        <v>541680</v>
      </c>
      <c r="AF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 s="2">
        <v>42746</v>
      </c>
      <c r="AQ4538" t="s">
        <v>72</v>
      </c>
      <c r="AR4538" t="s">
        <v>72</v>
      </c>
      <c r="AS4538">
        <v>1995</v>
      </c>
      <c r="AT4538" s="4">
        <v>42578</v>
      </c>
      <c r="AU4538" t="s">
        <v>73</v>
      </c>
      <c r="AV4538">
        <v>1995</v>
      </c>
      <c r="AW4538" s="4">
        <v>42578</v>
      </c>
      <c r="BD4538">
        <v>0</v>
      </c>
      <c r="BN4538" t="s">
        <v>74</v>
      </c>
    </row>
    <row r="4539" spans="1:66" hidden="1">
      <c r="A4539">
        <v>101573</v>
      </c>
      <c r="B4539" s="3" t="s">
        <v>474</v>
      </c>
      <c r="C4539" s="1">
        <v>43300101</v>
      </c>
      <c r="D4539" t="s">
        <v>67</v>
      </c>
      <c r="H4539" t="str">
        <f t="shared" si="480"/>
        <v>00176010346</v>
      </c>
      <c r="I4539" t="str">
        <f t="shared" si="480"/>
        <v>00176010346</v>
      </c>
      <c r="K4539" t="str">
        <f>""</f>
        <v/>
      </c>
      <c r="M4539" t="s">
        <v>68</v>
      </c>
      <c r="N4539" t="str">
        <f t="shared" si="481"/>
        <v>FOR</v>
      </c>
      <c r="O4539" t="s">
        <v>69</v>
      </c>
      <c r="P4539" s="3" t="s">
        <v>75</v>
      </c>
      <c r="Q4539">
        <v>2015</v>
      </c>
      <c r="R4539" s="2">
        <v>42209</v>
      </c>
      <c r="S4539" s="2">
        <v>42215</v>
      </c>
      <c r="T4539" s="2">
        <v>42213</v>
      </c>
      <c r="U4539" s="2">
        <v>42273</v>
      </c>
      <c r="V4539" t="s">
        <v>71</v>
      </c>
      <c r="W4539" t="str">
        <f>"               17152"</f>
        <v xml:space="preserve">               17152</v>
      </c>
      <c r="X4539" s="1">
        <v>4925.4399999999996</v>
      </c>
      <c r="Y4539">
        <v>0</v>
      </c>
      <c r="Z4539"/>
      <c r="AB4539"/>
      <c r="AC4539" s="1">
        <v>4736</v>
      </c>
      <c r="AD4539">
        <v>305</v>
      </c>
      <c r="AE4539" s="1">
        <v>1444480</v>
      </c>
      <c r="AF4539">
        <v>0</v>
      </c>
      <c r="AJ4539">
        <v>0</v>
      </c>
      <c r="AK4539">
        <v>0</v>
      </c>
      <c r="AL4539">
        <v>0</v>
      </c>
      <c r="AM4539">
        <v>0</v>
      </c>
      <c r="AN4539">
        <v>0</v>
      </c>
      <c r="AO4539">
        <v>0</v>
      </c>
      <c r="AP4539" s="2">
        <v>42746</v>
      </c>
      <c r="AQ4539" t="s">
        <v>72</v>
      </c>
      <c r="AR4539" t="s">
        <v>72</v>
      </c>
      <c r="AS4539">
        <v>1995</v>
      </c>
      <c r="AT4539" s="4">
        <v>42578</v>
      </c>
      <c r="AU4539" t="s">
        <v>73</v>
      </c>
      <c r="AV4539">
        <v>1995</v>
      </c>
      <c r="AW4539" s="4">
        <v>42578</v>
      </c>
      <c r="BD4539">
        <v>0</v>
      </c>
      <c r="BN4539" t="s">
        <v>74</v>
      </c>
    </row>
    <row r="4540" spans="1:66" hidden="1">
      <c r="A4540">
        <v>101573</v>
      </c>
      <c r="B4540" s="3" t="s">
        <v>474</v>
      </c>
      <c r="C4540" s="1">
        <v>43300101</v>
      </c>
      <c r="D4540" t="s">
        <v>67</v>
      </c>
      <c r="H4540" t="str">
        <f t="shared" si="480"/>
        <v>00176010346</v>
      </c>
      <c r="I4540" t="str">
        <f t="shared" si="480"/>
        <v>00176010346</v>
      </c>
      <c r="K4540" t="str">
        <f>""</f>
        <v/>
      </c>
      <c r="M4540" t="s">
        <v>68</v>
      </c>
      <c r="N4540" t="str">
        <f t="shared" si="481"/>
        <v>FOR</v>
      </c>
      <c r="O4540" t="s">
        <v>69</v>
      </c>
      <c r="P4540" s="3" t="s">
        <v>75</v>
      </c>
      <c r="Q4540">
        <v>2015</v>
      </c>
      <c r="R4540" s="2">
        <v>42216</v>
      </c>
      <c r="S4540" s="2">
        <v>42219</v>
      </c>
      <c r="T4540" s="2">
        <v>42217</v>
      </c>
      <c r="U4540" s="2">
        <v>42277</v>
      </c>
      <c r="V4540" t="s">
        <v>71</v>
      </c>
      <c r="W4540" t="str">
        <f>"               17784"</f>
        <v xml:space="preserve">               17784</v>
      </c>
      <c r="X4540" s="1">
        <v>1976</v>
      </c>
      <c r="Y4540">
        <v>0</v>
      </c>
      <c r="Z4540"/>
      <c r="AB4540"/>
      <c r="AC4540" s="1">
        <v>1900</v>
      </c>
      <c r="AD4540">
        <v>301</v>
      </c>
      <c r="AE4540" s="1">
        <v>571900</v>
      </c>
      <c r="AF4540">
        <v>0</v>
      </c>
      <c r="AJ4540">
        <v>0</v>
      </c>
      <c r="AK4540">
        <v>0</v>
      </c>
      <c r="AL4540">
        <v>0</v>
      </c>
      <c r="AM4540">
        <v>0</v>
      </c>
      <c r="AN4540">
        <v>0</v>
      </c>
      <c r="AO4540">
        <v>0</v>
      </c>
      <c r="AP4540" s="2">
        <v>42746</v>
      </c>
      <c r="AQ4540" t="s">
        <v>72</v>
      </c>
      <c r="AR4540" t="s">
        <v>72</v>
      </c>
      <c r="AS4540">
        <v>1995</v>
      </c>
      <c r="AT4540" s="4">
        <v>42578</v>
      </c>
      <c r="AU4540" t="s">
        <v>73</v>
      </c>
      <c r="AV4540">
        <v>1995</v>
      </c>
      <c r="AW4540" s="4">
        <v>42578</v>
      </c>
      <c r="BD4540">
        <v>0</v>
      </c>
      <c r="BN4540" t="s">
        <v>74</v>
      </c>
    </row>
    <row r="4541" spans="1:66" hidden="1">
      <c r="A4541">
        <v>101573</v>
      </c>
      <c r="B4541" s="3" t="s">
        <v>474</v>
      </c>
      <c r="C4541" s="1">
        <v>43300101</v>
      </c>
      <c r="D4541" t="s">
        <v>67</v>
      </c>
      <c r="H4541" t="str">
        <f t="shared" si="480"/>
        <v>00176010346</v>
      </c>
      <c r="I4541" t="str">
        <f t="shared" si="480"/>
        <v>00176010346</v>
      </c>
      <c r="K4541" t="str">
        <f>""</f>
        <v/>
      </c>
      <c r="M4541" t="s">
        <v>68</v>
      </c>
      <c r="N4541" t="str">
        <f t="shared" si="481"/>
        <v>FOR</v>
      </c>
      <c r="O4541" t="s">
        <v>69</v>
      </c>
      <c r="P4541" s="3" t="s">
        <v>75</v>
      </c>
      <c r="Q4541">
        <v>2015</v>
      </c>
      <c r="R4541" s="2">
        <v>42235</v>
      </c>
      <c r="S4541" s="2">
        <v>42236</v>
      </c>
      <c r="T4541" s="2">
        <v>42236</v>
      </c>
      <c r="U4541" s="2">
        <v>42296</v>
      </c>
      <c r="V4541" t="s">
        <v>71</v>
      </c>
      <c r="W4541" t="str">
        <f>"               19854"</f>
        <v xml:space="preserve">               19854</v>
      </c>
      <c r="X4541" s="1">
        <v>7343.44</v>
      </c>
      <c r="Y4541">
        <v>0</v>
      </c>
      <c r="Z4541"/>
      <c r="AB4541"/>
      <c r="AC4541" s="1">
        <v>7061</v>
      </c>
      <c r="AD4541">
        <v>282</v>
      </c>
      <c r="AE4541" s="1">
        <v>1991202</v>
      </c>
      <c r="AF4541">
        <v>0</v>
      </c>
      <c r="AJ4541">
        <v>0</v>
      </c>
      <c r="AK4541">
        <v>0</v>
      </c>
      <c r="AL4541">
        <v>0</v>
      </c>
      <c r="AM4541">
        <v>0</v>
      </c>
      <c r="AN4541">
        <v>0</v>
      </c>
      <c r="AO4541">
        <v>0</v>
      </c>
      <c r="AP4541" s="2">
        <v>42746</v>
      </c>
      <c r="AQ4541" t="s">
        <v>72</v>
      </c>
      <c r="AR4541" t="s">
        <v>72</v>
      </c>
      <c r="AS4541">
        <v>1995</v>
      </c>
      <c r="AT4541" s="4">
        <v>42578</v>
      </c>
      <c r="AU4541" t="s">
        <v>73</v>
      </c>
      <c r="AV4541">
        <v>1995</v>
      </c>
      <c r="AW4541" s="4">
        <v>42578</v>
      </c>
      <c r="BD4541">
        <v>0</v>
      </c>
      <c r="BN4541" t="s">
        <v>74</v>
      </c>
    </row>
    <row r="4542" spans="1:66" hidden="1">
      <c r="A4542">
        <v>101573</v>
      </c>
      <c r="B4542" s="3" t="s">
        <v>474</v>
      </c>
      <c r="C4542" s="1">
        <v>43300101</v>
      </c>
      <c r="D4542" t="s">
        <v>67</v>
      </c>
      <c r="H4542" t="str">
        <f t="shared" si="480"/>
        <v>00176010346</v>
      </c>
      <c r="I4542" t="str">
        <f t="shared" si="480"/>
        <v>00176010346</v>
      </c>
      <c r="K4542" t="str">
        <f>""</f>
        <v/>
      </c>
      <c r="M4542" t="s">
        <v>68</v>
      </c>
      <c r="N4542" t="str">
        <f t="shared" si="481"/>
        <v>FOR</v>
      </c>
      <c r="O4542" t="s">
        <v>69</v>
      </c>
      <c r="P4542" s="3" t="s">
        <v>75</v>
      </c>
      <c r="Q4542">
        <v>2015</v>
      </c>
      <c r="R4542" s="2">
        <v>42237</v>
      </c>
      <c r="S4542" s="2">
        <v>42241</v>
      </c>
      <c r="T4542" s="2">
        <v>42238</v>
      </c>
      <c r="U4542" s="2">
        <v>42298</v>
      </c>
      <c r="V4542" t="s">
        <v>71</v>
      </c>
      <c r="W4542" t="str">
        <f>"               20093"</f>
        <v xml:space="preserve">               20093</v>
      </c>
      <c r="X4542">
        <v>546</v>
      </c>
      <c r="Y4542">
        <v>0</v>
      </c>
      <c r="Z4542"/>
      <c r="AB4542"/>
      <c r="AC4542">
        <v>525</v>
      </c>
      <c r="AD4542">
        <v>280</v>
      </c>
      <c r="AE4542" s="1">
        <v>147000</v>
      </c>
      <c r="AF4542">
        <v>0</v>
      </c>
      <c r="AJ4542">
        <v>0</v>
      </c>
      <c r="AK4542">
        <v>0</v>
      </c>
      <c r="AL4542">
        <v>0</v>
      </c>
      <c r="AM4542">
        <v>0</v>
      </c>
      <c r="AN4542">
        <v>0</v>
      </c>
      <c r="AO4542">
        <v>0</v>
      </c>
      <c r="AP4542" s="2">
        <v>42746</v>
      </c>
      <c r="AQ4542" t="s">
        <v>72</v>
      </c>
      <c r="AR4542" t="s">
        <v>72</v>
      </c>
      <c r="AS4542">
        <v>1995</v>
      </c>
      <c r="AT4542" s="4">
        <v>42578</v>
      </c>
      <c r="AU4542" t="s">
        <v>73</v>
      </c>
      <c r="AV4542">
        <v>1995</v>
      </c>
      <c r="AW4542" s="4">
        <v>42578</v>
      </c>
      <c r="BD4542">
        <v>0</v>
      </c>
      <c r="BN4542" t="s">
        <v>74</v>
      </c>
    </row>
    <row r="4543" spans="1:66" hidden="1">
      <c r="A4543">
        <v>101573</v>
      </c>
      <c r="B4543" s="3" t="s">
        <v>474</v>
      </c>
      <c r="C4543" s="1">
        <v>43300101</v>
      </c>
      <c r="D4543" t="s">
        <v>67</v>
      </c>
      <c r="H4543" t="str">
        <f t="shared" si="480"/>
        <v>00176010346</v>
      </c>
      <c r="I4543" t="str">
        <f t="shared" si="480"/>
        <v>00176010346</v>
      </c>
      <c r="K4543" t="str">
        <f>""</f>
        <v/>
      </c>
      <c r="M4543" t="s">
        <v>68</v>
      </c>
      <c r="N4543" t="str">
        <f t="shared" si="481"/>
        <v>FOR</v>
      </c>
      <c r="O4543" t="s">
        <v>69</v>
      </c>
      <c r="P4543" s="3" t="s">
        <v>75</v>
      </c>
      <c r="Q4543">
        <v>2015</v>
      </c>
      <c r="R4543" s="2">
        <v>42244</v>
      </c>
      <c r="S4543" s="2">
        <v>42251</v>
      </c>
      <c r="T4543" s="2">
        <v>42245</v>
      </c>
      <c r="U4543" s="2">
        <v>42305</v>
      </c>
      <c r="V4543" t="s">
        <v>71</v>
      </c>
      <c r="W4543" t="str">
        <f>"               20413"</f>
        <v xml:space="preserve">               20413</v>
      </c>
      <c r="X4543">
        <v>327.60000000000002</v>
      </c>
      <c r="Y4543">
        <v>0</v>
      </c>
      <c r="Z4543"/>
      <c r="AB4543"/>
      <c r="AC4543">
        <v>315</v>
      </c>
      <c r="AD4543">
        <v>273</v>
      </c>
      <c r="AE4543" s="1">
        <v>85995</v>
      </c>
      <c r="AF4543">
        <v>0</v>
      </c>
      <c r="AJ4543">
        <v>0</v>
      </c>
      <c r="AK4543">
        <v>0</v>
      </c>
      <c r="AL4543">
        <v>0</v>
      </c>
      <c r="AM4543">
        <v>0</v>
      </c>
      <c r="AN4543">
        <v>0</v>
      </c>
      <c r="AO4543">
        <v>0</v>
      </c>
      <c r="AP4543" s="2">
        <v>42746</v>
      </c>
      <c r="AQ4543" t="s">
        <v>72</v>
      </c>
      <c r="AR4543" t="s">
        <v>72</v>
      </c>
      <c r="AS4543">
        <v>1995</v>
      </c>
      <c r="AT4543" s="4">
        <v>42578</v>
      </c>
      <c r="AU4543" t="s">
        <v>73</v>
      </c>
      <c r="AV4543">
        <v>1995</v>
      </c>
      <c r="AW4543" s="4">
        <v>42578</v>
      </c>
      <c r="BD4543">
        <v>0</v>
      </c>
      <c r="BN4543" t="s">
        <v>74</v>
      </c>
    </row>
    <row r="4544" spans="1:66" hidden="1">
      <c r="A4544">
        <v>101573</v>
      </c>
      <c r="B4544" s="3" t="s">
        <v>474</v>
      </c>
      <c r="C4544" s="1">
        <v>43300101</v>
      </c>
      <c r="D4544" t="s">
        <v>67</v>
      </c>
      <c r="H4544" t="str">
        <f t="shared" si="480"/>
        <v>00176010346</v>
      </c>
      <c r="I4544" t="str">
        <f t="shared" si="480"/>
        <v>00176010346</v>
      </c>
      <c r="K4544" t="str">
        <f>""</f>
        <v/>
      </c>
      <c r="M4544" t="s">
        <v>68</v>
      </c>
      <c r="N4544" t="str">
        <f t="shared" si="481"/>
        <v>FOR</v>
      </c>
      <c r="O4544" t="s">
        <v>69</v>
      </c>
      <c r="P4544" s="3" t="s">
        <v>75</v>
      </c>
      <c r="Q4544">
        <v>2015</v>
      </c>
      <c r="R4544" s="2">
        <v>42244</v>
      </c>
      <c r="S4544" s="2">
        <v>42245</v>
      </c>
      <c r="T4544" s="2">
        <v>42245</v>
      </c>
      <c r="U4544" s="2">
        <v>42305</v>
      </c>
      <c r="V4544" t="s">
        <v>71</v>
      </c>
      <c r="W4544" t="str">
        <f>"               20414"</f>
        <v xml:space="preserve">               20414</v>
      </c>
      <c r="X4544" s="1">
        <v>2418</v>
      </c>
      <c r="Y4544">
        <v>0</v>
      </c>
      <c r="Z4544"/>
      <c r="AB4544"/>
      <c r="AC4544" s="1">
        <v>2325</v>
      </c>
      <c r="AD4544">
        <v>273</v>
      </c>
      <c r="AE4544" s="1">
        <v>634725</v>
      </c>
      <c r="AF4544">
        <v>0</v>
      </c>
      <c r="AJ4544">
        <v>0</v>
      </c>
      <c r="AK4544">
        <v>0</v>
      </c>
      <c r="AL4544">
        <v>0</v>
      </c>
      <c r="AM4544">
        <v>0</v>
      </c>
      <c r="AN4544">
        <v>0</v>
      </c>
      <c r="AO4544">
        <v>0</v>
      </c>
      <c r="AP4544" s="2">
        <v>42746</v>
      </c>
      <c r="AQ4544" t="s">
        <v>72</v>
      </c>
      <c r="AR4544" t="s">
        <v>72</v>
      </c>
      <c r="AS4544">
        <v>1995</v>
      </c>
      <c r="AT4544" s="4">
        <v>42578</v>
      </c>
      <c r="AU4544" t="s">
        <v>73</v>
      </c>
      <c r="AV4544">
        <v>1995</v>
      </c>
      <c r="AW4544" s="4">
        <v>42578</v>
      </c>
      <c r="BD4544">
        <v>0</v>
      </c>
      <c r="BN4544" t="s">
        <v>74</v>
      </c>
    </row>
    <row r="4545" spans="1:66" hidden="1">
      <c r="A4545">
        <v>101573</v>
      </c>
      <c r="B4545" s="3" t="s">
        <v>474</v>
      </c>
      <c r="C4545" s="1">
        <v>43300101</v>
      </c>
      <c r="D4545" t="s">
        <v>67</v>
      </c>
      <c r="H4545" t="str">
        <f t="shared" si="480"/>
        <v>00176010346</v>
      </c>
      <c r="I4545" t="str">
        <f t="shared" si="480"/>
        <v>00176010346</v>
      </c>
      <c r="K4545" t="str">
        <f>""</f>
        <v/>
      </c>
      <c r="M4545" t="s">
        <v>68</v>
      </c>
      <c r="N4545" t="str">
        <f t="shared" si="481"/>
        <v>FOR</v>
      </c>
      <c r="O4545" t="s">
        <v>69</v>
      </c>
      <c r="P4545" s="3" t="s">
        <v>75</v>
      </c>
      <c r="Q4545">
        <v>2015</v>
      </c>
      <c r="R4545" s="2">
        <v>42256</v>
      </c>
      <c r="S4545" s="2">
        <v>42258</v>
      </c>
      <c r="T4545" s="2">
        <v>42257</v>
      </c>
      <c r="U4545" s="2">
        <v>42317</v>
      </c>
      <c r="V4545" t="s">
        <v>71</v>
      </c>
      <c r="W4545" t="str">
        <f>"               21472"</f>
        <v xml:space="preserve">               21472</v>
      </c>
      <c r="X4545" s="1">
        <v>1092</v>
      </c>
      <c r="Y4545">
        <v>0</v>
      </c>
      <c r="Z4545"/>
      <c r="AB4545"/>
      <c r="AC4545" s="1">
        <v>1050</v>
      </c>
      <c r="AD4545">
        <v>302</v>
      </c>
      <c r="AE4545" s="1">
        <v>317100</v>
      </c>
      <c r="AF4545">
        <v>0</v>
      </c>
      <c r="AJ4545">
        <v>0</v>
      </c>
      <c r="AK4545">
        <v>0</v>
      </c>
      <c r="AL4545">
        <v>0</v>
      </c>
      <c r="AM4545">
        <v>0</v>
      </c>
      <c r="AN4545">
        <v>0</v>
      </c>
      <c r="AO4545">
        <v>0</v>
      </c>
      <c r="AP4545" s="2">
        <v>42746</v>
      </c>
      <c r="AQ4545" t="s">
        <v>72</v>
      </c>
      <c r="AR4545" t="s">
        <v>72</v>
      </c>
      <c r="AS4545">
        <v>2284</v>
      </c>
      <c r="AT4545" s="4">
        <v>42619</v>
      </c>
      <c r="AU4545" t="s">
        <v>73</v>
      </c>
      <c r="AV4545">
        <v>2284</v>
      </c>
      <c r="AW4545" s="4">
        <v>42619</v>
      </c>
      <c r="BD4545">
        <v>0</v>
      </c>
      <c r="BN4545" t="s">
        <v>74</v>
      </c>
    </row>
    <row r="4546" spans="1:66" hidden="1">
      <c r="A4546">
        <v>101573</v>
      </c>
      <c r="B4546" s="3" t="s">
        <v>474</v>
      </c>
      <c r="C4546" s="1">
        <v>43300101</v>
      </c>
      <c r="D4546" t="s">
        <v>67</v>
      </c>
      <c r="H4546" t="str">
        <f t="shared" si="480"/>
        <v>00176010346</v>
      </c>
      <c r="I4546" t="str">
        <f t="shared" si="480"/>
        <v>00176010346</v>
      </c>
      <c r="K4546" t="str">
        <f>""</f>
        <v/>
      </c>
      <c r="M4546" t="s">
        <v>68</v>
      </c>
      <c r="N4546" t="str">
        <f t="shared" si="481"/>
        <v>FOR</v>
      </c>
      <c r="O4546" t="s">
        <v>69</v>
      </c>
      <c r="P4546" s="3" t="s">
        <v>75</v>
      </c>
      <c r="Q4546">
        <v>2015</v>
      </c>
      <c r="R4546" s="2">
        <v>42263</v>
      </c>
      <c r="S4546" s="2">
        <v>42265</v>
      </c>
      <c r="T4546" s="2">
        <v>42264</v>
      </c>
      <c r="U4546" s="2">
        <v>42324</v>
      </c>
      <c r="V4546" t="s">
        <v>71</v>
      </c>
      <c r="W4546" t="str">
        <f>"               21910"</f>
        <v xml:space="preserve">               21910</v>
      </c>
      <c r="X4546" s="1">
        <v>4500.08</v>
      </c>
      <c r="Y4546">
        <v>0</v>
      </c>
      <c r="Z4546"/>
      <c r="AB4546"/>
      <c r="AC4546" s="1">
        <v>4327</v>
      </c>
      <c r="AD4546">
        <v>295</v>
      </c>
      <c r="AE4546" s="1">
        <v>1276465</v>
      </c>
      <c r="AF4546">
        <v>0</v>
      </c>
      <c r="AJ4546">
        <v>0</v>
      </c>
      <c r="AK4546">
        <v>0</v>
      </c>
      <c r="AL4546">
        <v>0</v>
      </c>
      <c r="AM4546">
        <v>0</v>
      </c>
      <c r="AN4546">
        <v>0</v>
      </c>
      <c r="AO4546">
        <v>0</v>
      </c>
      <c r="AP4546" s="2">
        <v>42746</v>
      </c>
      <c r="AQ4546" t="s">
        <v>72</v>
      </c>
      <c r="AR4546" t="s">
        <v>72</v>
      </c>
      <c r="AS4546">
        <v>2284</v>
      </c>
      <c r="AT4546" s="4">
        <v>42619</v>
      </c>
      <c r="AU4546" t="s">
        <v>73</v>
      </c>
      <c r="AV4546">
        <v>2284</v>
      </c>
      <c r="AW4546" s="4">
        <v>42619</v>
      </c>
      <c r="BD4546">
        <v>0</v>
      </c>
      <c r="BN4546" t="s">
        <v>74</v>
      </c>
    </row>
    <row r="4547" spans="1:66" hidden="1">
      <c r="A4547">
        <v>101573</v>
      </c>
      <c r="B4547" s="3" t="s">
        <v>474</v>
      </c>
      <c r="C4547" s="1">
        <v>43300101</v>
      </c>
      <c r="D4547" t="s">
        <v>67</v>
      </c>
      <c r="H4547" t="str">
        <f t="shared" si="480"/>
        <v>00176010346</v>
      </c>
      <c r="I4547" t="str">
        <f t="shared" si="480"/>
        <v>00176010346</v>
      </c>
      <c r="K4547" t="str">
        <f>""</f>
        <v/>
      </c>
      <c r="M4547" t="s">
        <v>68</v>
      </c>
      <c r="N4547" t="str">
        <f t="shared" si="481"/>
        <v>FOR</v>
      </c>
      <c r="O4547" t="s">
        <v>69</v>
      </c>
      <c r="P4547" s="3" t="s">
        <v>75</v>
      </c>
      <c r="Q4547">
        <v>2015</v>
      </c>
      <c r="R4547" s="2">
        <v>42269</v>
      </c>
      <c r="S4547" s="2">
        <v>42272</v>
      </c>
      <c r="T4547" s="2">
        <v>42270</v>
      </c>
      <c r="U4547" s="2">
        <v>42330</v>
      </c>
      <c r="V4547" t="s">
        <v>71</v>
      </c>
      <c r="W4547" t="str">
        <f>"               22375"</f>
        <v xml:space="preserve">               22375</v>
      </c>
      <c r="X4547" s="1">
        <v>1612</v>
      </c>
      <c r="Y4547">
        <v>0</v>
      </c>
      <c r="Z4547"/>
      <c r="AB4547"/>
      <c r="AC4547" s="1">
        <v>1550</v>
      </c>
      <c r="AD4547">
        <v>289</v>
      </c>
      <c r="AE4547" s="1">
        <v>447950</v>
      </c>
      <c r="AF4547">
        <v>0</v>
      </c>
      <c r="AJ4547">
        <v>0</v>
      </c>
      <c r="AK4547">
        <v>0</v>
      </c>
      <c r="AL4547">
        <v>0</v>
      </c>
      <c r="AM4547">
        <v>0</v>
      </c>
      <c r="AN4547">
        <v>0</v>
      </c>
      <c r="AO4547">
        <v>0</v>
      </c>
      <c r="AP4547" s="2">
        <v>42746</v>
      </c>
      <c r="AQ4547" t="s">
        <v>72</v>
      </c>
      <c r="AR4547" t="s">
        <v>72</v>
      </c>
      <c r="AS4547">
        <v>2284</v>
      </c>
      <c r="AT4547" s="4">
        <v>42619</v>
      </c>
      <c r="AU4547" t="s">
        <v>73</v>
      </c>
      <c r="AV4547">
        <v>2284</v>
      </c>
      <c r="AW4547" s="4">
        <v>42619</v>
      </c>
      <c r="BD4547">
        <v>0</v>
      </c>
      <c r="BN4547" t="s">
        <v>74</v>
      </c>
    </row>
    <row r="4548" spans="1:66" hidden="1">
      <c r="A4548">
        <v>101573</v>
      </c>
      <c r="B4548" s="3" t="s">
        <v>474</v>
      </c>
      <c r="C4548" s="1">
        <v>43300101</v>
      </c>
      <c r="D4548" t="s">
        <v>67</v>
      </c>
      <c r="H4548" t="str">
        <f t="shared" si="480"/>
        <v>00176010346</v>
      </c>
      <c r="I4548" t="str">
        <f t="shared" si="480"/>
        <v>00176010346</v>
      </c>
      <c r="K4548" t="str">
        <f>""</f>
        <v/>
      </c>
      <c r="M4548" t="s">
        <v>68</v>
      </c>
      <c r="N4548" t="str">
        <f t="shared" si="481"/>
        <v>FOR</v>
      </c>
      <c r="O4548" t="s">
        <v>69</v>
      </c>
      <c r="P4548" s="3" t="s">
        <v>75</v>
      </c>
      <c r="Q4548">
        <v>2015</v>
      </c>
      <c r="R4548" s="2">
        <v>42275</v>
      </c>
      <c r="S4548" s="2">
        <v>42277</v>
      </c>
      <c r="T4548" s="2">
        <v>42277</v>
      </c>
      <c r="U4548" s="2">
        <v>42337</v>
      </c>
      <c r="V4548" t="s">
        <v>71</v>
      </c>
      <c r="W4548" t="str">
        <f>"               22653"</f>
        <v xml:space="preserve">               22653</v>
      </c>
      <c r="X4548">
        <v>436.8</v>
      </c>
      <c r="Y4548">
        <v>0</v>
      </c>
      <c r="Z4548"/>
      <c r="AB4548"/>
      <c r="AC4548">
        <v>420</v>
      </c>
      <c r="AD4548">
        <v>282</v>
      </c>
      <c r="AE4548" s="1">
        <v>118440</v>
      </c>
      <c r="AF4548">
        <v>0</v>
      </c>
      <c r="AJ4548">
        <v>0</v>
      </c>
      <c r="AK4548">
        <v>0</v>
      </c>
      <c r="AL4548">
        <v>0</v>
      </c>
      <c r="AM4548">
        <v>0</v>
      </c>
      <c r="AN4548">
        <v>0</v>
      </c>
      <c r="AO4548">
        <v>0</v>
      </c>
      <c r="AP4548" s="2">
        <v>42746</v>
      </c>
      <c r="AQ4548" t="s">
        <v>72</v>
      </c>
      <c r="AR4548" t="s">
        <v>72</v>
      </c>
      <c r="AS4548">
        <v>2284</v>
      </c>
      <c r="AT4548" s="4">
        <v>42619</v>
      </c>
      <c r="AU4548" t="s">
        <v>73</v>
      </c>
      <c r="AV4548">
        <v>2284</v>
      </c>
      <c r="AW4548" s="4">
        <v>42619</v>
      </c>
      <c r="BD4548">
        <v>0</v>
      </c>
      <c r="BN4548" t="s">
        <v>74</v>
      </c>
    </row>
    <row r="4549" spans="1:66" hidden="1">
      <c r="A4549">
        <v>101573</v>
      </c>
      <c r="B4549" s="3" t="s">
        <v>474</v>
      </c>
      <c r="C4549" s="1">
        <v>43300101</v>
      </c>
      <c r="D4549" t="s">
        <v>67</v>
      </c>
      <c r="H4549" t="str">
        <f t="shared" si="480"/>
        <v>00176010346</v>
      </c>
      <c r="I4549" t="str">
        <f t="shared" si="480"/>
        <v>00176010346</v>
      </c>
      <c r="K4549" t="str">
        <f>""</f>
        <v/>
      </c>
      <c r="M4549" t="s">
        <v>68</v>
      </c>
      <c r="N4549" t="str">
        <f t="shared" si="481"/>
        <v>FOR</v>
      </c>
      <c r="O4549" t="s">
        <v>69</v>
      </c>
      <c r="P4549" s="3" t="s">
        <v>75</v>
      </c>
      <c r="Q4549">
        <v>2015</v>
      </c>
      <c r="R4549" s="2">
        <v>42276</v>
      </c>
      <c r="S4549" s="2">
        <v>42277</v>
      </c>
      <c r="T4549" s="2">
        <v>42277</v>
      </c>
      <c r="U4549" s="2">
        <v>42337</v>
      </c>
      <c r="V4549" t="s">
        <v>71</v>
      </c>
      <c r="W4549" t="str">
        <f>"               23391"</f>
        <v xml:space="preserve">               23391</v>
      </c>
      <c r="X4549">
        <v>806</v>
      </c>
      <c r="Y4549">
        <v>0</v>
      </c>
      <c r="Z4549"/>
      <c r="AB4549"/>
      <c r="AC4549">
        <v>775</v>
      </c>
      <c r="AD4549">
        <v>282</v>
      </c>
      <c r="AE4549" s="1">
        <v>218550</v>
      </c>
      <c r="AF4549">
        <v>0</v>
      </c>
      <c r="AJ4549">
        <v>0</v>
      </c>
      <c r="AK4549">
        <v>0</v>
      </c>
      <c r="AL4549">
        <v>0</v>
      </c>
      <c r="AM4549">
        <v>0</v>
      </c>
      <c r="AN4549">
        <v>0</v>
      </c>
      <c r="AO4549">
        <v>0</v>
      </c>
      <c r="AP4549" s="2">
        <v>42746</v>
      </c>
      <c r="AQ4549" t="s">
        <v>72</v>
      </c>
      <c r="AR4549" t="s">
        <v>72</v>
      </c>
      <c r="AS4549">
        <v>2284</v>
      </c>
      <c r="AT4549" s="4">
        <v>42619</v>
      </c>
      <c r="AU4549" t="s">
        <v>73</v>
      </c>
      <c r="AV4549">
        <v>2284</v>
      </c>
      <c r="AW4549" s="4">
        <v>42619</v>
      </c>
      <c r="BD4549">
        <v>0</v>
      </c>
      <c r="BN4549" t="s">
        <v>74</v>
      </c>
    </row>
    <row r="4550" spans="1:66">
      <c r="A4550">
        <v>101573</v>
      </c>
      <c r="B4550" s="3" t="s">
        <v>474</v>
      </c>
      <c r="C4550" s="1">
        <v>43300101</v>
      </c>
      <c r="D4550" t="s">
        <v>67</v>
      </c>
      <c r="H4550" t="str">
        <f t="shared" si="480"/>
        <v>00176010346</v>
      </c>
      <c r="I4550" t="str">
        <f t="shared" si="480"/>
        <v>00176010346</v>
      </c>
      <c r="K4550" t="str">
        <f>""</f>
        <v/>
      </c>
      <c r="M4550" t="s">
        <v>68</v>
      </c>
      <c r="N4550" t="str">
        <f t="shared" si="481"/>
        <v>FOR</v>
      </c>
      <c r="O4550" t="s">
        <v>69</v>
      </c>
      <c r="P4550" s="3" t="s">
        <v>75</v>
      </c>
      <c r="Q4550">
        <v>2015</v>
      </c>
      <c r="R4550" s="2">
        <v>42283</v>
      </c>
      <c r="S4550" s="2">
        <v>42284</v>
      </c>
      <c r="T4550" s="2">
        <v>42284</v>
      </c>
      <c r="U4550" s="2">
        <v>42344</v>
      </c>
      <c r="V4550" t="s">
        <v>71</v>
      </c>
      <c r="W4550" t="str">
        <f>"               23817"</f>
        <v xml:space="preserve">               23817</v>
      </c>
      <c r="X4550" s="1">
        <v>6398.08</v>
      </c>
      <c r="Y4550">
        <v>0</v>
      </c>
      <c r="Z4550" s="5">
        <v>6152</v>
      </c>
      <c r="AA4550">
        <v>303</v>
      </c>
      <c r="AB4550" s="5">
        <v>1864056</v>
      </c>
      <c r="AC4550" s="1">
        <v>6152</v>
      </c>
      <c r="AD4550">
        <v>303</v>
      </c>
      <c r="AE4550" s="1">
        <v>1864056</v>
      </c>
      <c r="AF4550">
        <v>0</v>
      </c>
      <c r="AJ4550">
        <v>0</v>
      </c>
      <c r="AK4550">
        <v>0</v>
      </c>
      <c r="AL4550">
        <v>0</v>
      </c>
      <c r="AM4550">
        <v>0</v>
      </c>
      <c r="AN4550">
        <v>0</v>
      </c>
      <c r="AO4550">
        <v>0</v>
      </c>
      <c r="AP4550" s="2">
        <v>42746</v>
      </c>
      <c r="AQ4550" t="s">
        <v>72</v>
      </c>
      <c r="AR4550" t="s">
        <v>72</v>
      </c>
      <c r="AS4550">
        <v>2624</v>
      </c>
      <c r="AT4550" s="4">
        <v>42647</v>
      </c>
      <c r="AU4550" t="s">
        <v>73</v>
      </c>
      <c r="AV4550">
        <v>2624</v>
      </c>
      <c r="AW4550" s="4">
        <v>42647</v>
      </c>
      <c r="BD4550">
        <v>0</v>
      </c>
      <c r="BN4550" t="s">
        <v>74</v>
      </c>
    </row>
    <row r="4551" spans="1:66">
      <c r="A4551">
        <v>101573</v>
      </c>
      <c r="B4551" s="3" t="s">
        <v>474</v>
      </c>
      <c r="C4551" s="1">
        <v>43300101</v>
      </c>
      <c r="D4551" t="s">
        <v>67</v>
      </c>
      <c r="H4551" t="str">
        <f t="shared" si="480"/>
        <v>00176010346</v>
      </c>
      <c r="I4551" t="str">
        <f t="shared" si="480"/>
        <v>00176010346</v>
      </c>
      <c r="K4551" t="str">
        <f>""</f>
        <v/>
      </c>
      <c r="M4551" t="s">
        <v>68</v>
      </c>
      <c r="N4551" t="str">
        <f t="shared" si="481"/>
        <v>FOR</v>
      </c>
      <c r="O4551" t="s">
        <v>69</v>
      </c>
      <c r="P4551" s="3" t="s">
        <v>75</v>
      </c>
      <c r="Q4551">
        <v>2015</v>
      </c>
      <c r="R4551" s="2">
        <v>42293</v>
      </c>
      <c r="S4551" s="2">
        <v>42296</v>
      </c>
      <c r="T4551" s="2">
        <v>42294</v>
      </c>
      <c r="U4551" s="2">
        <v>42354</v>
      </c>
      <c r="V4551" t="s">
        <v>71</v>
      </c>
      <c r="W4551" t="str">
        <f>"               24811"</f>
        <v xml:space="preserve">               24811</v>
      </c>
      <c r="X4551" s="1">
        <v>4690.3999999999996</v>
      </c>
      <c r="Y4551">
        <v>0</v>
      </c>
      <c r="Z4551" s="5">
        <v>4510</v>
      </c>
      <c r="AA4551">
        <v>293</v>
      </c>
      <c r="AB4551" s="5">
        <v>1321430</v>
      </c>
      <c r="AC4551" s="1">
        <v>4510</v>
      </c>
      <c r="AD4551">
        <v>293</v>
      </c>
      <c r="AE4551" s="1">
        <v>1321430</v>
      </c>
      <c r="AF4551">
        <v>0</v>
      </c>
      <c r="AJ4551">
        <v>0</v>
      </c>
      <c r="AK4551">
        <v>0</v>
      </c>
      <c r="AL4551">
        <v>0</v>
      </c>
      <c r="AM4551">
        <v>0</v>
      </c>
      <c r="AN4551">
        <v>0</v>
      </c>
      <c r="AO4551">
        <v>0</v>
      </c>
      <c r="AP4551" s="2">
        <v>42746</v>
      </c>
      <c r="AQ4551" t="s">
        <v>72</v>
      </c>
      <c r="AR4551" t="s">
        <v>72</v>
      </c>
      <c r="AS4551">
        <v>2624</v>
      </c>
      <c r="AT4551" s="4">
        <v>42647</v>
      </c>
      <c r="AU4551" t="s">
        <v>73</v>
      </c>
      <c r="AV4551">
        <v>2624</v>
      </c>
      <c r="AW4551" s="4">
        <v>42647</v>
      </c>
      <c r="BD4551">
        <v>0</v>
      </c>
      <c r="BN4551" t="s">
        <v>74</v>
      </c>
    </row>
    <row r="4552" spans="1:66">
      <c r="A4552">
        <v>101573</v>
      </c>
      <c r="B4552" s="3" t="s">
        <v>474</v>
      </c>
      <c r="C4552" s="1">
        <v>43300101</v>
      </c>
      <c r="D4552" t="s">
        <v>67</v>
      </c>
      <c r="H4552" t="str">
        <f t="shared" si="480"/>
        <v>00176010346</v>
      </c>
      <c r="I4552" t="str">
        <f t="shared" si="480"/>
        <v>00176010346</v>
      </c>
      <c r="K4552" t="str">
        <f>""</f>
        <v/>
      </c>
      <c r="M4552" t="s">
        <v>68</v>
      </c>
      <c r="N4552" t="str">
        <f t="shared" si="481"/>
        <v>FOR</v>
      </c>
      <c r="O4552" t="s">
        <v>69</v>
      </c>
      <c r="P4552" s="3" t="s">
        <v>75</v>
      </c>
      <c r="Q4552">
        <v>2015</v>
      </c>
      <c r="R4552" s="2">
        <v>42293</v>
      </c>
      <c r="S4552" s="2">
        <v>42296</v>
      </c>
      <c r="T4552" s="2">
        <v>42294</v>
      </c>
      <c r="U4552" s="2">
        <v>42354</v>
      </c>
      <c r="V4552" t="s">
        <v>71</v>
      </c>
      <c r="W4552" t="str">
        <f>"               24812"</f>
        <v xml:space="preserve">               24812</v>
      </c>
      <c r="X4552" s="1">
        <v>2418</v>
      </c>
      <c r="Y4552">
        <v>0</v>
      </c>
      <c r="Z4552" s="5">
        <v>2325</v>
      </c>
      <c r="AA4552">
        <v>293</v>
      </c>
      <c r="AB4552" s="5">
        <v>681225</v>
      </c>
      <c r="AC4552" s="1">
        <v>2325</v>
      </c>
      <c r="AD4552">
        <v>293</v>
      </c>
      <c r="AE4552" s="1">
        <v>681225</v>
      </c>
      <c r="AF4552">
        <v>0</v>
      </c>
      <c r="AJ4552">
        <v>0</v>
      </c>
      <c r="AK4552">
        <v>0</v>
      </c>
      <c r="AL4552">
        <v>0</v>
      </c>
      <c r="AM4552">
        <v>0</v>
      </c>
      <c r="AN4552">
        <v>0</v>
      </c>
      <c r="AO4552">
        <v>0</v>
      </c>
      <c r="AP4552" s="2">
        <v>42746</v>
      </c>
      <c r="AQ4552" t="s">
        <v>72</v>
      </c>
      <c r="AR4552" t="s">
        <v>72</v>
      </c>
      <c r="AS4552">
        <v>2624</v>
      </c>
      <c r="AT4552" s="4">
        <v>42647</v>
      </c>
      <c r="AU4552" t="s">
        <v>73</v>
      </c>
      <c r="AV4552">
        <v>2624</v>
      </c>
      <c r="AW4552" s="4">
        <v>42647</v>
      </c>
      <c r="BD4552">
        <v>0</v>
      </c>
      <c r="BN4552" t="s">
        <v>74</v>
      </c>
    </row>
    <row r="4553" spans="1:66">
      <c r="A4553">
        <v>101573</v>
      </c>
      <c r="B4553" s="3" t="s">
        <v>474</v>
      </c>
      <c r="C4553" s="1">
        <v>43300101</v>
      </c>
      <c r="D4553" t="s">
        <v>67</v>
      </c>
      <c r="H4553" t="str">
        <f t="shared" si="480"/>
        <v>00176010346</v>
      </c>
      <c r="I4553" t="str">
        <f t="shared" si="480"/>
        <v>00176010346</v>
      </c>
      <c r="K4553" t="str">
        <f>""</f>
        <v/>
      </c>
      <c r="M4553" t="s">
        <v>68</v>
      </c>
      <c r="N4553" t="str">
        <f t="shared" si="481"/>
        <v>FOR</v>
      </c>
      <c r="O4553" t="s">
        <v>69</v>
      </c>
      <c r="P4553" s="3" t="s">
        <v>75</v>
      </c>
      <c r="Q4553">
        <v>2015</v>
      </c>
      <c r="R4553" s="2">
        <v>42307</v>
      </c>
      <c r="S4553" s="2">
        <v>42310</v>
      </c>
      <c r="T4553" s="2">
        <v>42309</v>
      </c>
      <c r="U4553" s="2">
        <v>42369</v>
      </c>
      <c r="V4553" t="s">
        <v>71</v>
      </c>
      <c r="W4553" t="str">
        <f>"               26075"</f>
        <v xml:space="preserve">               26075</v>
      </c>
      <c r="X4553" s="1">
        <v>6588.4</v>
      </c>
      <c r="Y4553">
        <v>0</v>
      </c>
      <c r="Z4553" s="5">
        <v>6335</v>
      </c>
      <c r="AA4553">
        <v>278</v>
      </c>
      <c r="AB4553" s="5">
        <v>1761130</v>
      </c>
      <c r="AC4553" s="1">
        <v>6335</v>
      </c>
      <c r="AD4553">
        <v>278</v>
      </c>
      <c r="AE4553" s="1">
        <v>1761130</v>
      </c>
      <c r="AF4553">
        <v>0</v>
      </c>
      <c r="AJ4553">
        <v>0</v>
      </c>
      <c r="AK4553">
        <v>0</v>
      </c>
      <c r="AL4553">
        <v>0</v>
      </c>
      <c r="AM4553">
        <v>0</v>
      </c>
      <c r="AN4553">
        <v>0</v>
      </c>
      <c r="AO4553">
        <v>0</v>
      </c>
      <c r="AP4553" s="2">
        <v>42746</v>
      </c>
      <c r="AQ4553" t="s">
        <v>72</v>
      </c>
      <c r="AR4553" t="s">
        <v>72</v>
      </c>
      <c r="AS4553">
        <v>2624</v>
      </c>
      <c r="AT4553" s="4">
        <v>42647</v>
      </c>
      <c r="AU4553" t="s">
        <v>73</v>
      </c>
      <c r="AV4553">
        <v>2624</v>
      </c>
      <c r="AW4553" s="4">
        <v>42647</v>
      </c>
      <c r="BD4553">
        <v>0</v>
      </c>
      <c r="BN4553" t="s">
        <v>74</v>
      </c>
    </row>
    <row r="4554" spans="1:66">
      <c r="A4554">
        <v>101573</v>
      </c>
      <c r="B4554" s="3" t="s">
        <v>474</v>
      </c>
      <c r="C4554" s="1">
        <v>43300101</v>
      </c>
      <c r="D4554" t="s">
        <v>67</v>
      </c>
      <c r="H4554" t="str">
        <f t="shared" si="480"/>
        <v>00176010346</v>
      </c>
      <c r="I4554" t="str">
        <f t="shared" si="480"/>
        <v>00176010346</v>
      </c>
      <c r="K4554" t="str">
        <f>""</f>
        <v/>
      </c>
      <c r="M4554" t="s">
        <v>68</v>
      </c>
      <c r="N4554" t="str">
        <f t="shared" si="481"/>
        <v>FOR</v>
      </c>
      <c r="O4554" t="s">
        <v>69</v>
      </c>
      <c r="P4554" s="3" t="s">
        <v>75</v>
      </c>
      <c r="Q4554">
        <v>2015</v>
      </c>
      <c r="R4554" s="2">
        <v>42307</v>
      </c>
      <c r="S4554" s="2">
        <v>42310</v>
      </c>
      <c r="T4554" s="2">
        <v>42309</v>
      </c>
      <c r="U4554" s="2">
        <v>42369</v>
      </c>
      <c r="V4554" t="s">
        <v>71</v>
      </c>
      <c r="W4554" t="str">
        <f>"               26076"</f>
        <v xml:space="preserve">               26076</v>
      </c>
      <c r="X4554" s="1">
        <v>3276</v>
      </c>
      <c r="Y4554">
        <v>0</v>
      </c>
      <c r="Z4554" s="5">
        <v>3150</v>
      </c>
      <c r="AA4554">
        <v>278</v>
      </c>
      <c r="AB4554" s="5">
        <v>875700</v>
      </c>
      <c r="AC4554" s="1">
        <v>3150</v>
      </c>
      <c r="AD4554">
        <v>278</v>
      </c>
      <c r="AE4554" s="1">
        <v>875700</v>
      </c>
      <c r="AF4554">
        <v>0</v>
      </c>
      <c r="AJ4554">
        <v>0</v>
      </c>
      <c r="AK4554">
        <v>0</v>
      </c>
      <c r="AL4554">
        <v>0</v>
      </c>
      <c r="AM4554">
        <v>0</v>
      </c>
      <c r="AN4554">
        <v>0</v>
      </c>
      <c r="AO4554">
        <v>0</v>
      </c>
      <c r="AP4554" s="2">
        <v>42746</v>
      </c>
      <c r="AQ4554" t="s">
        <v>72</v>
      </c>
      <c r="AR4554" t="s">
        <v>72</v>
      </c>
      <c r="AS4554">
        <v>2624</v>
      </c>
      <c r="AT4554" s="4">
        <v>42647</v>
      </c>
      <c r="AU4554" t="s">
        <v>73</v>
      </c>
      <c r="AV4554">
        <v>2624</v>
      </c>
      <c r="AW4554" s="4">
        <v>42647</v>
      </c>
      <c r="BD4554">
        <v>0</v>
      </c>
      <c r="BN4554" t="s">
        <v>74</v>
      </c>
    </row>
    <row r="4555" spans="1:66">
      <c r="A4555">
        <v>101573</v>
      </c>
      <c r="B4555" s="3" t="s">
        <v>474</v>
      </c>
      <c r="C4555" s="1">
        <v>43300101</v>
      </c>
      <c r="D4555" t="s">
        <v>67</v>
      </c>
      <c r="H4555" t="str">
        <f t="shared" si="480"/>
        <v>00176010346</v>
      </c>
      <c r="I4555" t="str">
        <f t="shared" si="480"/>
        <v>00176010346</v>
      </c>
      <c r="K4555" t="str">
        <f>""</f>
        <v/>
      </c>
      <c r="M4555" t="s">
        <v>68</v>
      </c>
      <c r="N4555" t="str">
        <f t="shared" si="481"/>
        <v>FOR</v>
      </c>
      <c r="O4555" t="s">
        <v>69</v>
      </c>
      <c r="P4555" s="3" t="s">
        <v>75</v>
      </c>
      <c r="Q4555">
        <v>2015</v>
      </c>
      <c r="R4555" s="2">
        <v>42319</v>
      </c>
      <c r="S4555" s="2">
        <v>42320</v>
      </c>
      <c r="T4555" s="2">
        <v>42320</v>
      </c>
      <c r="U4555" s="2">
        <v>42380</v>
      </c>
      <c r="V4555" t="s">
        <v>71</v>
      </c>
      <c r="W4555" t="str">
        <f>"               27570"</f>
        <v xml:space="preserve">               27570</v>
      </c>
      <c r="X4555" s="1">
        <v>7644</v>
      </c>
      <c r="Y4555">
        <v>0</v>
      </c>
      <c r="Z4555" s="5">
        <v>7350</v>
      </c>
      <c r="AA4555">
        <v>298</v>
      </c>
      <c r="AB4555" s="5">
        <v>2190300</v>
      </c>
      <c r="AC4555" s="1">
        <v>7350</v>
      </c>
      <c r="AD4555">
        <v>298</v>
      </c>
      <c r="AE4555" s="1">
        <v>2190300</v>
      </c>
      <c r="AF4555">
        <v>0</v>
      </c>
      <c r="AJ4555">
        <v>0</v>
      </c>
      <c r="AK4555">
        <v>0</v>
      </c>
      <c r="AL4555">
        <v>0</v>
      </c>
      <c r="AM4555">
        <v>0</v>
      </c>
      <c r="AN4555">
        <v>0</v>
      </c>
      <c r="AO4555">
        <v>0</v>
      </c>
      <c r="AP4555" s="2">
        <v>42746</v>
      </c>
      <c r="AQ4555" t="s">
        <v>72</v>
      </c>
      <c r="AR4555" t="s">
        <v>72</v>
      </c>
      <c r="AS4555">
        <v>2928</v>
      </c>
      <c r="AT4555" s="4">
        <v>42678</v>
      </c>
      <c r="AU4555" t="s">
        <v>73</v>
      </c>
      <c r="AV4555">
        <v>2928</v>
      </c>
      <c r="AW4555" s="4">
        <v>42678</v>
      </c>
      <c r="BD4555">
        <v>0</v>
      </c>
      <c r="BN4555" t="s">
        <v>74</v>
      </c>
    </row>
    <row r="4556" spans="1:66">
      <c r="A4556">
        <v>101573</v>
      </c>
      <c r="B4556" s="3" t="s">
        <v>474</v>
      </c>
      <c r="C4556" s="1">
        <v>43300101</v>
      </c>
      <c r="D4556" t="s">
        <v>67</v>
      </c>
      <c r="H4556" t="str">
        <f t="shared" si="480"/>
        <v>00176010346</v>
      </c>
      <c r="I4556" t="str">
        <f t="shared" si="480"/>
        <v>00176010346</v>
      </c>
      <c r="K4556" t="str">
        <f>""</f>
        <v/>
      </c>
      <c r="M4556" t="s">
        <v>68</v>
      </c>
      <c r="N4556" t="str">
        <f t="shared" si="481"/>
        <v>FOR</v>
      </c>
      <c r="O4556" t="s">
        <v>69</v>
      </c>
      <c r="P4556" s="3" t="s">
        <v>75</v>
      </c>
      <c r="Q4556">
        <v>2015</v>
      </c>
      <c r="R4556" s="2">
        <v>42332</v>
      </c>
      <c r="S4556" s="2">
        <v>42333</v>
      </c>
      <c r="T4556" s="2">
        <v>42333</v>
      </c>
      <c r="U4556" s="2">
        <v>42393</v>
      </c>
      <c r="V4556" t="s">
        <v>71</v>
      </c>
      <c r="W4556" t="str">
        <f>"               29299"</f>
        <v xml:space="preserve">               29299</v>
      </c>
      <c r="X4556" s="1">
        <v>12144.08</v>
      </c>
      <c r="Y4556">
        <v>0</v>
      </c>
      <c r="Z4556" s="5">
        <v>11677</v>
      </c>
      <c r="AA4556">
        <v>285</v>
      </c>
      <c r="AB4556" s="5">
        <v>3327945</v>
      </c>
      <c r="AC4556" s="1">
        <v>11677</v>
      </c>
      <c r="AD4556">
        <v>285</v>
      </c>
      <c r="AE4556" s="1">
        <v>3327945</v>
      </c>
      <c r="AF4556">
        <v>0</v>
      </c>
      <c r="AJ4556">
        <v>0</v>
      </c>
      <c r="AK4556">
        <v>0</v>
      </c>
      <c r="AL4556">
        <v>0</v>
      </c>
      <c r="AM4556">
        <v>0</v>
      </c>
      <c r="AN4556">
        <v>0</v>
      </c>
      <c r="AO4556">
        <v>0</v>
      </c>
      <c r="AP4556" s="2">
        <v>42746</v>
      </c>
      <c r="AQ4556" t="s">
        <v>72</v>
      </c>
      <c r="AR4556" t="s">
        <v>72</v>
      </c>
      <c r="AS4556">
        <v>2928</v>
      </c>
      <c r="AT4556" s="4">
        <v>42678</v>
      </c>
      <c r="AU4556" t="s">
        <v>73</v>
      </c>
      <c r="AV4556">
        <v>2928</v>
      </c>
      <c r="AW4556" s="4">
        <v>42678</v>
      </c>
      <c r="BD4556">
        <v>0</v>
      </c>
      <c r="BN4556" t="s">
        <v>74</v>
      </c>
    </row>
    <row r="4557" spans="1:66" hidden="1">
      <c r="A4557">
        <v>101573</v>
      </c>
      <c r="B4557" s="3" t="s">
        <v>474</v>
      </c>
      <c r="C4557" s="1">
        <v>43300101</v>
      </c>
      <c r="D4557" t="s">
        <v>67</v>
      </c>
      <c r="H4557" t="str">
        <f t="shared" si="480"/>
        <v>00176010346</v>
      </c>
      <c r="I4557" t="str">
        <f t="shared" si="480"/>
        <v>00176010346</v>
      </c>
      <c r="K4557" t="str">
        <f>""</f>
        <v/>
      </c>
      <c r="M4557" t="s">
        <v>68</v>
      </c>
      <c r="N4557" t="str">
        <f t="shared" si="481"/>
        <v>FOR</v>
      </c>
      <c r="O4557" t="s">
        <v>69</v>
      </c>
      <c r="P4557" s="3" t="s">
        <v>70</v>
      </c>
      <c r="Q4557">
        <v>2015</v>
      </c>
      <c r="R4557" s="2">
        <v>42086</v>
      </c>
      <c r="S4557" s="2">
        <v>42109</v>
      </c>
      <c r="T4557" s="2">
        <v>42109</v>
      </c>
      <c r="U4557" s="2">
        <v>42169</v>
      </c>
      <c r="V4557" t="s">
        <v>71</v>
      </c>
      <c r="W4557" t="str">
        <f>"               90185"</f>
        <v xml:space="preserve">               90185</v>
      </c>
      <c r="X4557" s="1">
        <v>7765.3</v>
      </c>
      <c r="Y4557">
        <v>0</v>
      </c>
      <c r="Z4557"/>
      <c r="AB4557"/>
      <c r="AC4557" s="1">
        <v>6365</v>
      </c>
      <c r="AD4557">
        <v>235</v>
      </c>
      <c r="AE4557" s="1">
        <v>1495775</v>
      </c>
      <c r="AF4557">
        <v>0</v>
      </c>
      <c r="AJ4557">
        <v>0</v>
      </c>
      <c r="AK4557">
        <v>0</v>
      </c>
      <c r="AL4557">
        <v>0</v>
      </c>
      <c r="AM4557">
        <v>0</v>
      </c>
      <c r="AN4557">
        <v>0</v>
      </c>
      <c r="AO4557">
        <v>0</v>
      </c>
      <c r="AP4557" s="2">
        <v>42746</v>
      </c>
      <c r="AQ4557" t="s">
        <v>72</v>
      </c>
      <c r="AR4557" t="s">
        <v>72</v>
      </c>
      <c r="AS4557">
        <v>262</v>
      </c>
      <c r="AT4557" s="4">
        <v>42404</v>
      </c>
      <c r="AU4557" t="s">
        <v>73</v>
      </c>
      <c r="AV4557">
        <v>262</v>
      </c>
      <c r="AW4557" s="4">
        <v>42404</v>
      </c>
      <c r="BD4557">
        <v>0</v>
      </c>
      <c r="BN4557" t="s">
        <v>74</v>
      </c>
    </row>
    <row r="4558" spans="1:66" hidden="1">
      <c r="A4558">
        <v>101573</v>
      </c>
      <c r="B4558" s="3" t="s">
        <v>474</v>
      </c>
      <c r="C4558" s="1">
        <v>43300101</v>
      </c>
      <c r="D4558" t="s">
        <v>67</v>
      </c>
      <c r="H4558" t="str">
        <f t="shared" si="480"/>
        <v>00176010346</v>
      </c>
      <c r="I4558" t="str">
        <f t="shared" si="480"/>
        <v>00176010346</v>
      </c>
      <c r="K4558" t="str">
        <f>""</f>
        <v/>
      </c>
      <c r="M4558" t="s">
        <v>68</v>
      </c>
      <c r="N4558" t="str">
        <f t="shared" si="481"/>
        <v>FOR</v>
      </c>
      <c r="O4558" t="s">
        <v>69</v>
      </c>
      <c r="P4558" s="3" t="s">
        <v>75</v>
      </c>
      <c r="Q4558">
        <v>2015</v>
      </c>
      <c r="R4558" s="2">
        <v>42171</v>
      </c>
      <c r="S4558" s="2">
        <v>42177</v>
      </c>
      <c r="T4558" s="2">
        <v>42173</v>
      </c>
      <c r="U4558" s="2">
        <v>42233</v>
      </c>
      <c r="V4558" t="s">
        <v>71</v>
      </c>
      <c r="W4558" t="str">
        <f>"               90488"</f>
        <v xml:space="preserve">               90488</v>
      </c>
      <c r="X4558" s="1">
        <v>7765.3</v>
      </c>
      <c r="Y4558">
        <v>0</v>
      </c>
      <c r="Z4558"/>
      <c r="AB4558"/>
      <c r="AC4558" s="1">
        <v>6365</v>
      </c>
      <c r="AD4558">
        <v>259</v>
      </c>
      <c r="AE4558" s="1">
        <v>1648535</v>
      </c>
      <c r="AF4558">
        <v>0</v>
      </c>
      <c r="AJ4558">
        <v>0</v>
      </c>
      <c r="AK4558">
        <v>0</v>
      </c>
      <c r="AL4558">
        <v>0</v>
      </c>
      <c r="AM4558">
        <v>0</v>
      </c>
      <c r="AN4558">
        <v>0</v>
      </c>
      <c r="AO4558">
        <v>0</v>
      </c>
      <c r="AP4558" s="2">
        <v>42746</v>
      </c>
      <c r="AQ4558" t="s">
        <v>72</v>
      </c>
      <c r="AR4558" t="s">
        <v>72</v>
      </c>
      <c r="AS4558">
        <v>1232</v>
      </c>
      <c r="AT4558" s="4">
        <v>42492</v>
      </c>
      <c r="AU4558" t="s">
        <v>73</v>
      </c>
      <c r="AV4558">
        <v>1232</v>
      </c>
      <c r="AW4558" s="4">
        <v>42492</v>
      </c>
      <c r="BD4558">
        <v>0</v>
      </c>
      <c r="BN4558" t="s">
        <v>74</v>
      </c>
    </row>
    <row r="4559" spans="1:66" hidden="1">
      <c r="A4559">
        <v>101573</v>
      </c>
      <c r="B4559" s="3" t="s">
        <v>474</v>
      </c>
      <c r="C4559" s="1">
        <v>43300101</v>
      </c>
      <c r="D4559" t="s">
        <v>67</v>
      </c>
      <c r="H4559" t="str">
        <f t="shared" si="480"/>
        <v>00176010346</v>
      </c>
      <c r="I4559" t="str">
        <f t="shared" si="480"/>
        <v>00176010346</v>
      </c>
      <c r="K4559" t="str">
        <f>""</f>
        <v/>
      </c>
      <c r="M4559" t="s">
        <v>68</v>
      </c>
      <c r="N4559" t="str">
        <f t="shared" si="481"/>
        <v>FOR</v>
      </c>
      <c r="O4559" t="s">
        <v>69</v>
      </c>
      <c r="P4559" s="3" t="s">
        <v>70</v>
      </c>
      <c r="Q4559">
        <v>2015</v>
      </c>
      <c r="R4559" s="2">
        <v>42269</v>
      </c>
      <c r="S4559" s="2">
        <v>42275</v>
      </c>
      <c r="T4559" s="2">
        <v>42275</v>
      </c>
      <c r="U4559" s="2">
        <v>42335</v>
      </c>
      <c r="V4559" t="s">
        <v>71</v>
      </c>
      <c r="W4559" t="str">
        <f>"               90832"</f>
        <v xml:space="preserve">               90832</v>
      </c>
      <c r="X4559" s="1">
        <v>7765.3</v>
      </c>
      <c r="Y4559">
        <v>0</v>
      </c>
      <c r="Z4559"/>
      <c r="AB4559"/>
      <c r="AC4559" s="1">
        <v>6365</v>
      </c>
      <c r="AD4559">
        <v>284</v>
      </c>
      <c r="AE4559" s="1">
        <v>1807660</v>
      </c>
      <c r="AF4559">
        <v>0</v>
      </c>
      <c r="AJ4559">
        <v>0</v>
      </c>
      <c r="AK4559">
        <v>0</v>
      </c>
      <c r="AL4559">
        <v>0</v>
      </c>
      <c r="AM4559">
        <v>0</v>
      </c>
      <c r="AN4559">
        <v>0</v>
      </c>
      <c r="AO4559">
        <v>0</v>
      </c>
      <c r="AP4559" s="2">
        <v>42746</v>
      </c>
      <c r="AQ4559" t="s">
        <v>72</v>
      </c>
      <c r="AR4559" t="s">
        <v>72</v>
      </c>
      <c r="AS4559">
        <v>2284</v>
      </c>
      <c r="AT4559" s="4">
        <v>42619</v>
      </c>
      <c r="AU4559" t="s">
        <v>73</v>
      </c>
      <c r="AV4559">
        <v>2284</v>
      </c>
      <c r="AW4559" s="4">
        <v>42619</v>
      </c>
      <c r="BD4559">
        <v>0</v>
      </c>
      <c r="BN4559" t="s">
        <v>74</v>
      </c>
    </row>
    <row r="4560" spans="1:66" hidden="1">
      <c r="A4560">
        <v>101574</v>
      </c>
      <c r="B4560" s="3" t="s">
        <v>475</v>
      </c>
      <c r="C4560" s="1">
        <v>43300101</v>
      </c>
      <c r="D4560" t="s">
        <v>67</v>
      </c>
      <c r="H4560" t="str">
        <f>"02404790392"</f>
        <v>02404790392</v>
      </c>
      <c r="I4560" t="str">
        <f>"02404790392"</f>
        <v>02404790392</v>
      </c>
      <c r="K4560" t="str">
        <f>""</f>
        <v/>
      </c>
      <c r="M4560" t="s">
        <v>68</v>
      </c>
      <c r="N4560" t="str">
        <f t="shared" si="481"/>
        <v>FOR</v>
      </c>
      <c r="O4560" t="s">
        <v>69</v>
      </c>
      <c r="P4560" s="3" t="s">
        <v>476</v>
      </c>
      <c r="Q4560">
        <v>2016</v>
      </c>
      <c r="R4560" s="2">
        <v>42419</v>
      </c>
      <c r="S4560" s="2">
        <v>42424</v>
      </c>
      <c r="T4560" s="2">
        <v>42424</v>
      </c>
      <c r="U4560" s="2">
        <v>42484</v>
      </c>
      <c r="V4560" t="s">
        <v>71</v>
      </c>
      <c r="W4560" t="str">
        <f>"              39 P16"</f>
        <v xml:space="preserve">              39 P16</v>
      </c>
      <c r="X4560" s="1">
        <v>81921.78</v>
      </c>
      <c r="Y4560">
        <v>0</v>
      </c>
      <c r="Z4560"/>
      <c r="AB4560"/>
      <c r="AC4560" s="1">
        <v>67149</v>
      </c>
      <c r="AD4560">
        <v>45</v>
      </c>
      <c r="AE4560" s="1">
        <v>3021705</v>
      </c>
      <c r="AF4560">
        <v>0</v>
      </c>
      <c r="AJ4560">
        <v>0</v>
      </c>
      <c r="AK4560">
        <v>0</v>
      </c>
      <c r="AL4560">
        <v>0</v>
      </c>
      <c r="AM4560" s="1">
        <v>81921.78</v>
      </c>
      <c r="AN4560" s="1">
        <v>81921.78</v>
      </c>
      <c r="AO4560" s="1">
        <v>81921.78</v>
      </c>
      <c r="AP4560" s="2">
        <v>42746</v>
      </c>
      <c r="AQ4560" t="s">
        <v>72</v>
      </c>
      <c r="AR4560" t="s">
        <v>72</v>
      </c>
      <c r="AS4560">
        <v>1580</v>
      </c>
      <c r="AT4560" s="4">
        <v>42529</v>
      </c>
      <c r="AU4560" t="s">
        <v>73</v>
      </c>
      <c r="AV4560">
        <v>1580</v>
      </c>
      <c r="AW4560" s="4">
        <v>42529</v>
      </c>
      <c r="BD4560">
        <v>0</v>
      </c>
      <c r="BN4560" t="s">
        <v>74</v>
      </c>
    </row>
    <row r="4561" spans="1:66">
      <c r="A4561">
        <v>101576</v>
      </c>
      <c r="B4561" s="3" t="s">
        <v>477</v>
      </c>
      <c r="C4561" s="1">
        <v>43300101</v>
      </c>
      <c r="D4561" t="s">
        <v>67</v>
      </c>
      <c r="H4561" t="str">
        <f t="shared" ref="H4561:I4564" si="482">"13088630150"</f>
        <v>13088630150</v>
      </c>
      <c r="I4561" t="str">
        <f t="shared" si="482"/>
        <v>13088630150</v>
      </c>
      <c r="K4561" t="str">
        <f>""</f>
        <v/>
      </c>
      <c r="M4561" t="s">
        <v>68</v>
      </c>
      <c r="N4561" t="str">
        <f t="shared" si="481"/>
        <v>FOR</v>
      </c>
      <c r="O4561" t="s">
        <v>69</v>
      </c>
      <c r="P4561" s="3" t="s">
        <v>78</v>
      </c>
      <c r="Q4561">
        <v>2013</v>
      </c>
      <c r="R4561" s="2">
        <v>41359</v>
      </c>
      <c r="S4561" s="2">
        <v>41407</v>
      </c>
      <c r="T4561" s="2">
        <v>41407</v>
      </c>
      <c r="U4561" s="2">
        <v>41497</v>
      </c>
      <c r="V4561" t="s">
        <v>71</v>
      </c>
      <c r="W4561" t="str">
        <f>"             3164536"</f>
        <v xml:space="preserve">             3164536</v>
      </c>
      <c r="X4561" s="1">
        <v>7046.85</v>
      </c>
      <c r="Y4561">
        <v>0</v>
      </c>
      <c r="Z4561" s="5">
        <v>7046.85</v>
      </c>
      <c r="AA4561">
        <v>1171</v>
      </c>
      <c r="AB4561" s="5">
        <v>8251861.3499999996</v>
      </c>
      <c r="AC4561" s="1">
        <v>7046.85</v>
      </c>
      <c r="AD4561">
        <v>1171</v>
      </c>
      <c r="AE4561" s="1">
        <v>8251861.3499999996</v>
      </c>
      <c r="AF4561">
        <v>0</v>
      </c>
      <c r="AJ4561">
        <v>0</v>
      </c>
      <c r="AK4561">
        <v>0</v>
      </c>
      <c r="AL4561">
        <v>0</v>
      </c>
      <c r="AM4561">
        <v>0</v>
      </c>
      <c r="AN4561">
        <v>0</v>
      </c>
      <c r="AO4561">
        <v>0</v>
      </c>
      <c r="AP4561" s="2">
        <v>42746</v>
      </c>
      <c r="AQ4561" t="s">
        <v>72</v>
      </c>
      <c r="AR4561" t="s">
        <v>72</v>
      </c>
      <c r="AS4561">
        <v>2877</v>
      </c>
      <c r="AT4561" s="4">
        <v>42668</v>
      </c>
      <c r="AU4561" t="s">
        <v>73</v>
      </c>
      <c r="AV4561">
        <v>2877</v>
      </c>
      <c r="AW4561" s="4">
        <v>42668</v>
      </c>
      <c r="BD4561">
        <v>0</v>
      </c>
      <c r="BN4561" t="s">
        <v>74</v>
      </c>
    </row>
    <row r="4562" spans="1:66">
      <c r="A4562">
        <v>101576</v>
      </c>
      <c r="B4562" s="3" t="s">
        <v>477</v>
      </c>
      <c r="C4562" s="1">
        <v>43300101</v>
      </c>
      <c r="D4562" t="s">
        <v>67</v>
      </c>
      <c r="H4562" t="str">
        <f t="shared" si="482"/>
        <v>13088630150</v>
      </c>
      <c r="I4562" t="str">
        <f t="shared" si="482"/>
        <v>13088630150</v>
      </c>
      <c r="K4562" t="str">
        <f>""</f>
        <v/>
      </c>
      <c r="M4562" t="s">
        <v>68</v>
      </c>
      <c r="N4562" t="str">
        <f t="shared" si="481"/>
        <v>FOR</v>
      </c>
      <c r="O4562" t="s">
        <v>69</v>
      </c>
      <c r="P4562" s="3" t="s">
        <v>78</v>
      </c>
      <c r="Q4562">
        <v>2013</v>
      </c>
      <c r="R4562" s="2">
        <v>41390</v>
      </c>
      <c r="S4562" s="2">
        <v>41396</v>
      </c>
      <c r="T4562" s="2">
        <v>41396</v>
      </c>
      <c r="U4562" s="2">
        <v>41486</v>
      </c>
      <c r="V4562" t="s">
        <v>71</v>
      </c>
      <c r="W4562" t="str">
        <f>"             3188546"</f>
        <v xml:space="preserve">             3188546</v>
      </c>
      <c r="X4562" s="1">
        <v>1461.08</v>
      </c>
      <c r="Y4562">
        <v>0</v>
      </c>
      <c r="Z4562" s="5">
        <v>1461.08</v>
      </c>
      <c r="AA4562">
        <v>1182</v>
      </c>
      <c r="AB4562" s="5">
        <v>1726996.56</v>
      </c>
      <c r="AC4562" s="1">
        <v>1461.08</v>
      </c>
      <c r="AD4562">
        <v>1182</v>
      </c>
      <c r="AE4562" s="1">
        <v>1726996.56</v>
      </c>
      <c r="AF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 s="2">
        <v>42746</v>
      </c>
      <c r="AQ4562" t="s">
        <v>72</v>
      </c>
      <c r="AR4562" t="s">
        <v>72</v>
      </c>
      <c r="AS4562">
        <v>2877</v>
      </c>
      <c r="AT4562" s="4">
        <v>42668</v>
      </c>
      <c r="AU4562" t="s">
        <v>73</v>
      </c>
      <c r="AV4562">
        <v>2877</v>
      </c>
      <c r="AW4562" s="4">
        <v>42668</v>
      </c>
      <c r="BD4562">
        <v>0</v>
      </c>
      <c r="BN4562" t="s">
        <v>74</v>
      </c>
    </row>
    <row r="4563" spans="1:66">
      <c r="A4563">
        <v>101576</v>
      </c>
      <c r="B4563" s="3" t="s">
        <v>477</v>
      </c>
      <c r="C4563" s="1">
        <v>43300101</v>
      </c>
      <c r="D4563" t="s">
        <v>67</v>
      </c>
      <c r="H4563" t="str">
        <f t="shared" si="482"/>
        <v>13088630150</v>
      </c>
      <c r="I4563" t="str">
        <f t="shared" si="482"/>
        <v>13088630150</v>
      </c>
      <c r="K4563" t="str">
        <f>""</f>
        <v/>
      </c>
      <c r="M4563" t="s">
        <v>68</v>
      </c>
      <c r="N4563" t="str">
        <f t="shared" si="481"/>
        <v>FOR</v>
      </c>
      <c r="O4563" t="s">
        <v>69</v>
      </c>
      <c r="P4563" s="3" t="s">
        <v>70</v>
      </c>
      <c r="Q4563">
        <v>2015</v>
      </c>
      <c r="R4563" s="2">
        <v>42193</v>
      </c>
      <c r="S4563" s="2">
        <v>42626</v>
      </c>
      <c r="T4563" s="2">
        <v>42626</v>
      </c>
      <c r="U4563" s="2">
        <v>42686</v>
      </c>
      <c r="V4563" t="s">
        <v>71</v>
      </c>
      <c r="W4563" t="str">
        <f>"          4104439045"</f>
        <v xml:space="preserve">          4104439045</v>
      </c>
      <c r="X4563">
        <v>876.21</v>
      </c>
      <c r="Y4563">
        <v>0</v>
      </c>
      <c r="Z4563" s="3">
        <v>745.38</v>
      </c>
      <c r="AA4563">
        <v>-18</v>
      </c>
      <c r="AB4563" s="5">
        <v>-13416.84</v>
      </c>
      <c r="AC4563">
        <v>745.38</v>
      </c>
      <c r="AD4563">
        <v>-18</v>
      </c>
      <c r="AE4563" s="1">
        <v>-13416.84</v>
      </c>
      <c r="AF4563">
        <v>0</v>
      </c>
      <c r="AJ4563">
        <v>0</v>
      </c>
      <c r="AK4563">
        <v>0</v>
      </c>
      <c r="AL4563">
        <v>0</v>
      </c>
      <c r="AM4563">
        <v>0</v>
      </c>
      <c r="AN4563">
        <v>876.21</v>
      </c>
      <c r="AO4563">
        <v>0</v>
      </c>
      <c r="AP4563" s="2">
        <v>42746</v>
      </c>
      <c r="AQ4563" t="s">
        <v>72</v>
      </c>
      <c r="AR4563" t="s">
        <v>72</v>
      </c>
      <c r="AS4563">
        <v>2877</v>
      </c>
      <c r="AT4563" s="4">
        <v>42668</v>
      </c>
      <c r="AV4563">
        <v>2877</v>
      </c>
      <c r="AW4563" s="4">
        <v>42668</v>
      </c>
      <c r="BD4563">
        <v>0</v>
      </c>
      <c r="BN4563" t="s">
        <v>74</v>
      </c>
    </row>
    <row r="4564" spans="1:66">
      <c r="A4564">
        <v>101576</v>
      </c>
      <c r="B4564" s="3" t="s">
        <v>477</v>
      </c>
      <c r="C4564" s="1">
        <v>43300101</v>
      </c>
      <c r="D4564" t="s">
        <v>67</v>
      </c>
      <c r="H4564" t="str">
        <f t="shared" si="482"/>
        <v>13088630150</v>
      </c>
      <c r="I4564" t="str">
        <f t="shared" si="482"/>
        <v>13088630150</v>
      </c>
      <c r="K4564" t="str">
        <f>""</f>
        <v/>
      </c>
      <c r="M4564" t="s">
        <v>68</v>
      </c>
      <c r="N4564" t="str">
        <f t="shared" si="481"/>
        <v>FOR</v>
      </c>
      <c r="O4564" t="s">
        <v>69</v>
      </c>
      <c r="P4564" s="3" t="s">
        <v>70</v>
      </c>
      <c r="Q4564">
        <v>2015</v>
      </c>
      <c r="R4564" s="2">
        <v>42209</v>
      </c>
      <c r="S4564" s="2">
        <v>42626</v>
      </c>
      <c r="T4564" s="2">
        <v>42626</v>
      </c>
      <c r="U4564" s="2">
        <v>42686</v>
      </c>
      <c r="V4564" t="s">
        <v>71</v>
      </c>
      <c r="W4564" t="str">
        <f>"          4104451434"</f>
        <v xml:space="preserve">          4104451434</v>
      </c>
      <c r="X4564">
        <v>37.33</v>
      </c>
      <c r="Y4564">
        <v>0</v>
      </c>
      <c r="Z4564" s="3">
        <v>30.6</v>
      </c>
      <c r="AA4564">
        <v>-18</v>
      </c>
      <c r="AB4564" s="3">
        <v>-550.79999999999995</v>
      </c>
      <c r="AC4564">
        <v>30.6</v>
      </c>
      <c r="AD4564">
        <v>-18</v>
      </c>
      <c r="AE4564">
        <v>-550.79999999999995</v>
      </c>
      <c r="AF4564">
        <v>0</v>
      </c>
      <c r="AJ4564">
        <v>0</v>
      </c>
      <c r="AK4564">
        <v>0</v>
      </c>
      <c r="AL4564">
        <v>0</v>
      </c>
      <c r="AM4564">
        <v>0</v>
      </c>
      <c r="AN4564">
        <v>37.33</v>
      </c>
      <c r="AO4564">
        <v>0</v>
      </c>
      <c r="AP4564" s="2">
        <v>42746</v>
      </c>
      <c r="AQ4564" t="s">
        <v>72</v>
      </c>
      <c r="AR4564" t="s">
        <v>72</v>
      </c>
      <c r="AS4564">
        <v>2877</v>
      </c>
      <c r="AT4564" s="4">
        <v>42668</v>
      </c>
      <c r="AV4564">
        <v>2877</v>
      </c>
      <c r="AW4564" s="4">
        <v>42668</v>
      </c>
      <c r="BD4564">
        <v>0</v>
      </c>
      <c r="BN4564" t="s">
        <v>74</v>
      </c>
    </row>
    <row r="4565" spans="1:66" hidden="1">
      <c r="A4565">
        <v>101585</v>
      </c>
      <c r="B4565" s="3" t="s">
        <v>478</v>
      </c>
      <c r="C4565" s="1">
        <v>43500101</v>
      </c>
      <c r="D4565" t="s">
        <v>113</v>
      </c>
      <c r="H4565" t="str">
        <f t="shared" ref="H4565:I4568" si="483">"11210661002"</f>
        <v>11210661002</v>
      </c>
      <c r="I4565" t="str">
        <f t="shared" si="483"/>
        <v>11210661002</v>
      </c>
      <c r="K4565" t="str">
        <f>""</f>
        <v/>
      </c>
      <c r="M4565" t="s">
        <v>68</v>
      </c>
      <c r="N4565" t="str">
        <f>"ALT"</f>
        <v>ALT</v>
      </c>
      <c r="O4565" t="s">
        <v>114</v>
      </c>
      <c r="P4565" s="3" t="s">
        <v>479</v>
      </c>
      <c r="Q4565">
        <v>2016</v>
      </c>
      <c r="R4565" s="2">
        <v>42433</v>
      </c>
      <c r="S4565" s="2">
        <v>42433</v>
      </c>
      <c r="T4565" s="2">
        <v>42433</v>
      </c>
      <c r="U4565" s="2">
        <v>42493</v>
      </c>
      <c r="V4565" t="s">
        <v>71</v>
      </c>
      <c r="W4565" t="str">
        <f>"                  57"</f>
        <v xml:space="preserve">                  57</v>
      </c>
      <c r="X4565">
        <v>0</v>
      </c>
      <c r="Y4565" s="1">
        <v>2809.55</v>
      </c>
      <c r="Z4565"/>
      <c r="AB4565"/>
      <c r="AC4565" s="1">
        <v>2809.55</v>
      </c>
      <c r="AD4565">
        <v>-60</v>
      </c>
      <c r="AE4565" s="1">
        <v>-168573</v>
      </c>
      <c r="AF4565">
        <v>0</v>
      </c>
      <c r="AJ4565">
        <v>0</v>
      </c>
      <c r="AK4565">
        <v>0</v>
      </c>
      <c r="AL4565">
        <v>0</v>
      </c>
      <c r="AM4565" s="1">
        <v>2809.55</v>
      </c>
      <c r="AN4565" s="1">
        <v>2809.55</v>
      </c>
      <c r="AO4565" s="1">
        <v>2809.55</v>
      </c>
      <c r="AP4565" s="2">
        <v>42746</v>
      </c>
      <c r="AQ4565" t="s">
        <v>72</v>
      </c>
      <c r="AR4565" t="s">
        <v>72</v>
      </c>
      <c r="AS4565">
        <v>671</v>
      </c>
      <c r="AT4565" s="4">
        <v>42433</v>
      </c>
      <c r="AV4565">
        <v>671</v>
      </c>
      <c r="AW4565" s="4">
        <v>42433</v>
      </c>
      <c r="BD4565">
        <v>0</v>
      </c>
      <c r="BN4565" t="s">
        <v>74</v>
      </c>
    </row>
    <row r="4566" spans="1:66" hidden="1">
      <c r="A4566">
        <v>101585</v>
      </c>
      <c r="B4566" s="3" t="s">
        <v>478</v>
      </c>
      <c r="C4566" s="1">
        <v>43500101</v>
      </c>
      <c r="D4566" t="s">
        <v>113</v>
      </c>
      <c r="H4566" t="str">
        <f t="shared" si="483"/>
        <v>11210661002</v>
      </c>
      <c r="I4566" t="str">
        <f t="shared" si="483"/>
        <v>11210661002</v>
      </c>
      <c r="K4566" t="str">
        <f>""</f>
        <v/>
      </c>
      <c r="M4566" t="s">
        <v>68</v>
      </c>
      <c r="N4566" t="str">
        <f>"ALT"</f>
        <v>ALT</v>
      </c>
      <c r="O4566" t="s">
        <v>114</v>
      </c>
      <c r="P4566" s="3" t="s">
        <v>93</v>
      </c>
      <c r="Q4566">
        <v>2016</v>
      </c>
      <c r="R4566" s="2">
        <v>42664</v>
      </c>
      <c r="S4566" s="2">
        <v>42667</v>
      </c>
      <c r="T4566" s="2">
        <v>42667</v>
      </c>
      <c r="U4566" s="2">
        <v>42727</v>
      </c>
      <c r="V4566" t="s">
        <v>71</v>
      </c>
      <c r="W4566" t="str">
        <f>"                1021"</f>
        <v xml:space="preserve">                1021</v>
      </c>
      <c r="X4566">
        <v>0</v>
      </c>
      <c r="Y4566" s="1">
        <v>1000</v>
      </c>
      <c r="Z4566" s="5">
        <v>1000</v>
      </c>
      <c r="AA4566">
        <v>-60</v>
      </c>
      <c r="AB4566" s="5">
        <v>-60000</v>
      </c>
      <c r="AC4566" s="1">
        <v>1000</v>
      </c>
      <c r="AD4566">
        <v>-60</v>
      </c>
      <c r="AE4566" s="1">
        <v>-60000</v>
      </c>
      <c r="AF4566">
        <v>0</v>
      </c>
      <c r="AJ4566" s="1">
        <v>1000</v>
      </c>
      <c r="AK4566" s="1">
        <v>1000</v>
      </c>
      <c r="AL4566" s="1">
        <v>1000</v>
      </c>
      <c r="AM4566" s="1">
        <v>1000</v>
      </c>
      <c r="AN4566" s="1">
        <v>1000</v>
      </c>
      <c r="AO4566" s="1">
        <v>1000</v>
      </c>
      <c r="AP4566" s="2">
        <v>42746</v>
      </c>
      <c r="AQ4566" t="s">
        <v>72</v>
      </c>
      <c r="AR4566" t="s">
        <v>72</v>
      </c>
      <c r="AS4566">
        <v>2807</v>
      </c>
      <c r="AT4566" s="4">
        <v>42667</v>
      </c>
      <c r="AV4566">
        <v>2807</v>
      </c>
      <c r="AW4566" s="4">
        <v>42667</v>
      </c>
      <c r="BD4566">
        <v>0</v>
      </c>
      <c r="BN4566" t="s">
        <v>74</v>
      </c>
    </row>
    <row r="4567" spans="1:66" hidden="1">
      <c r="A4567">
        <v>101585</v>
      </c>
      <c r="B4567" s="3" t="s">
        <v>478</v>
      </c>
      <c r="C4567" s="1">
        <v>43500101</v>
      </c>
      <c r="D4567" t="s">
        <v>113</v>
      </c>
      <c r="H4567" t="str">
        <f t="shared" si="483"/>
        <v>11210661002</v>
      </c>
      <c r="I4567" t="str">
        <f t="shared" si="483"/>
        <v>11210661002</v>
      </c>
      <c r="K4567" t="str">
        <f>""</f>
        <v/>
      </c>
      <c r="M4567" t="s">
        <v>68</v>
      </c>
      <c r="N4567" t="str">
        <f>"ALT"</f>
        <v>ALT</v>
      </c>
      <c r="O4567" t="s">
        <v>114</v>
      </c>
      <c r="P4567" s="3" t="s">
        <v>94</v>
      </c>
      <c r="Q4567">
        <v>2016</v>
      </c>
      <c r="R4567" s="2">
        <v>42696</v>
      </c>
      <c r="S4567" s="2">
        <v>42696</v>
      </c>
      <c r="T4567" s="2">
        <v>42696</v>
      </c>
      <c r="U4567" s="2">
        <v>42756</v>
      </c>
      <c r="V4567" t="s">
        <v>71</v>
      </c>
      <c r="W4567" t="str">
        <f>"                1122"</f>
        <v xml:space="preserve">                1122</v>
      </c>
      <c r="X4567">
        <v>0</v>
      </c>
      <c r="Y4567" s="1">
        <v>1000</v>
      </c>
      <c r="Z4567" s="5">
        <v>1000</v>
      </c>
      <c r="AA4567">
        <v>-59</v>
      </c>
      <c r="AB4567" s="5">
        <v>-59000</v>
      </c>
      <c r="AC4567" s="1">
        <v>1000</v>
      </c>
      <c r="AD4567">
        <v>-59</v>
      </c>
      <c r="AE4567" s="1">
        <v>-59000</v>
      </c>
      <c r="AF4567">
        <v>0</v>
      </c>
      <c r="AJ4567" s="1">
        <v>1000</v>
      </c>
      <c r="AK4567" s="1">
        <v>1000</v>
      </c>
      <c r="AL4567" s="1">
        <v>1000</v>
      </c>
      <c r="AM4567" s="1">
        <v>1000</v>
      </c>
      <c r="AN4567" s="1">
        <v>1000</v>
      </c>
      <c r="AO4567" s="1">
        <v>1000</v>
      </c>
      <c r="AP4567" s="2">
        <v>42746</v>
      </c>
      <c r="AQ4567" t="s">
        <v>72</v>
      </c>
      <c r="AR4567" t="s">
        <v>72</v>
      </c>
      <c r="AS4567">
        <v>3244</v>
      </c>
      <c r="AT4567" s="4">
        <v>42697</v>
      </c>
      <c r="AV4567">
        <v>3244</v>
      </c>
      <c r="AW4567" s="4">
        <v>42697</v>
      </c>
      <c r="BD4567">
        <v>0</v>
      </c>
      <c r="BN4567" t="s">
        <v>74</v>
      </c>
    </row>
    <row r="4568" spans="1:66" hidden="1">
      <c r="A4568">
        <v>101585</v>
      </c>
      <c r="B4568" s="3" t="s">
        <v>478</v>
      </c>
      <c r="C4568" s="1">
        <v>43500101</v>
      </c>
      <c r="D4568" t="s">
        <v>113</v>
      </c>
      <c r="H4568" t="str">
        <f t="shared" si="483"/>
        <v>11210661002</v>
      </c>
      <c r="I4568" t="str">
        <f t="shared" si="483"/>
        <v>11210661002</v>
      </c>
      <c r="K4568" t="str">
        <f>""</f>
        <v/>
      </c>
      <c r="M4568" t="s">
        <v>68</v>
      </c>
      <c r="N4568" t="str">
        <f>"ALT"</f>
        <v>ALT</v>
      </c>
      <c r="O4568" t="s">
        <v>114</v>
      </c>
      <c r="P4568" s="3" t="s">
        <v>95</v>
      </c>
      <c r="Q4568">
        <v>2016</v>
      </c>
      <c r="R4568" s="2">
        <v>42717</v>
      </c>
      <c r="S4568" s="2">
        <v>42717</v>
      </c>
      <c r="T4568" s="2">
        <v>42717</v>
      </c>
      <c r="U4568" s="2">
        <v>42777</v>
      </c>
      <c r="V4568" t="s">
        <v>71</v>
      </c>
      <c r="W4568" t="str">
        <f>"                1213"</f>
        <v xml:space="preserve">                1213</v>
      </c>
      <c r="X4568">
        <v>0</v>
      </c>
      <c r="Y4568" s="1">
        <v>1000</v>
      </c>
      <c r="Z4568" s="5">
        <v>1000</v>
      </c>
      <c r="AA4568">
        <v>-59</v>
      </c>
      <c r="AB4568" s="5">
        <v>-59000</v>
      </c>
      <c r="AC4568" s="1">
        <v>1000</v>
      </c>
      <c r="AD4568">
        <v>-59</v>
      </c>
      <c r="AE4568" s="1">
        <v>-59000</v>
      </c>
      <c r="AF4568">
        <v>0</v>
      </c>
      <c r="AJ4568" s="1">
        <v>1000</v>
      </c>
      <c r="AK4568" s="1">
        <v>1000</v>
      </c>
      <c r="AL4568" s="1">
        <v>1000</v>
      </c>
      <c r="AM4568" s="1">
        <v>1000</v>
      </c>
      <c r="AN4568" s="1">
        <v>1000</v>
      </c>
      <c r="AO4568" s="1">
        <v>1000</v>
      </c>
      <c r="AP4568" s="2">
        <v>42746</v>
      </c>
      <c r="AQ4568" t="s">
        <v>72</v>
      </c>
      <c r="AR4568" t="s">
        <v>72</v>
      </c>
      <c r="AS4568">
        <v>3403</v>
      </c>
      <c r="AT4568" s="4">
        <v>42718</v>
      </c>
      <c r="AV4568">
        <v>3403</v>
      </c>
      <c r="AW4568" s="4">
        <v>42718</v>
      </c>
      <c r="BD4568">
        <v>0</v>
      </c>
      <c r="BN4568" t="s">
        <v>74</v>
      </c>
    </row>
    <row r="4569" spans="1:66" hidden="1">
      <c r="A4569">
        <v>101586</v>
      </c>
      <c r="B4569" s="3" t="s">
        <v>480</v>
      </c>
      <c r="C4569" s="1">
        <v>43300101</v>
      </c>
      <c r="D4569" t="s">
        <v>67</v>
      </c>
      <c r="H4569" t="str">
        <f t="shared" ref="H4569:I4588" si="484">"05102540019"</f>
        <v>05102540019</v>
      </c>
      <c r="I4569" t="str">
        <f t="shared" si="484"/>
        <v>05102540019</v>
      </c>
      <c r="K4569" t="str">
        <f>""</f>
        <v/>
      </c>
      <c r="M4569" t="s">
        <v>68</v>
      </c>
      <c r="N4569" t="str">
        <f t="shared" ref="N4569:N4610" si="485">"FOR"</f>
        <v>FOR</v>
      </c>
      <c r="O4569" t="s">
        <v>69</v>
      </c>
      <c r="P4569" s="3" t="s">
        <v>70</v>
      </c>
      <c r="Q4569">
        <v>2015</v>
      </c>
      <c r="R4569" s="2">
        <v>42041</v>
      </c>
      <c r="S4569" s="2">
        <v>42053</v>
      </c>
      <c r="T4569" s="2">
        <v>42053</v>
      </c>
      <c r="U4569" s="2">
        <v>42113</v>
      </c>
      <c r="V4569" t="s">
        <v>71</v>
      </c>
      <c r="W4569" t="str">
        <f>"                 360"</f>
        <v xml:space="preserve">                 360</v>
      </c>
      <c r="X4569" s="1">
        <v>2616.9</v>
      </c>
      <c r="Y4569">
        <v>0</v>
      </c>
      <c r="Z4569"/>
      <c r="AB4569"/>
      <c r="AC4569" s="1">
        <v>2145</v>
      </c>
      <c r="AD4569">
        <v>292</v>
      </c>
      <c r="AE4569" s="1">
        <v>626340</v>
      </c>
      <c r="AF4569">
        <v>0</v>
      </c>
      <c r="AJ4569">
        <v>0</v>
      </c>
      <c r="AK4569">
        <v>0</v>
      </c>
      <c r="AL4569">
        <v>0</v>
      </c>
      <c r="AM4569">
        <v>0</v>
      </c>
      <c r="AN4569">
        <v>0</v>
      </c>
      <c r="AO4569">
        <v>0</v>
      </c>
      <c r="AP4569" s="2">
        <v>42746</v>
      </c>
      <c r="AQ4569" t="s">
        <v>72</v>
      </c>
      <c r="AR4569" t="s">
        <v>72</v>
      </c>
      <c r="AS4569">
        <v>289</v>
      </c>
      <c r="AT4569" s="4">
        <v>42405</v>
      </c>
      <c r="AU4569" t="s">
        <v>73</v>
      </c>
      <c r="AV4569">
        <v>289</v>
      </c>
      <c r="AW4569" s="4">
        <v>42405</v>
      </c>
      <c r="BD4569">
        <v>0</v>
      </c>
      <c r="BN4569" t="s">
        <v>74</v>
      </c>
    </row>
    <row r="4570" spans="1:66" hidden="1">
      <c r="A4570">
        <v>101586</v>
      </c>
      <c r="B4570" s="3" t="s">
        <v>480</v>
      </c>
      <c r="C4570" s="1">
        <v>43300101</v>
      </c>
      <c r="D4570" t="s">
        <v>67</v>
      </c>
      <c r="H4570" t="str">
        <f t="shared" si="484"/>
        <v>05102540019</v>
      </c>
      <c r="I4570" t="str">
        <f t="shared" si="484"/>
        <v>05102540019</v>
      </c>
      <c r="K4570" t="str">
        <f>""</f>
        <v/>
      </c>
      <c r="M4570" t="s">
        <v>68</v>
      </c>
      <c r="N4570" t="str">
        <f t="shared" si="485"/>
        <v>FOR</v>
      </c>
      <c r="O4570" t="s">
        <v>69</v>
      </c>
      <c r="P4570" s="3" t="s">
        <v>70</v>
      </c>
      <c r="Q4570">
        <v>2015</v>
      </c>
      <c r="R4570" s="2">
        <v>42045</v>
      </c>
      <c r="S4570" s="2">
        <v>42053</v>
      </c>
      <c r="T4570" s="2">
        <v>42053</v>
      </c>
      <c r="U4570" s="2">
        <v>42113</v>
      </c>
      <c r="V4570" t="s">
        <v>71</v>
      </c>
      <c r="W4570" t="str">
        <f>"                 433"</f>
        <v xml:space="preserve">                 433</v>
      </c>
      <c r="X4570" s="1">
        <v>1024.8</v>
      </c>
      <c r="Y4570">
        <v>0</v>
      </c>
      <c r="Z4570"/>
      <c r="AB4570"/>
      <c r="AC4570">
        <v>840</v>
      </c>
      <c r="AD4570">
        <v>292</v>
      </c>
      <c r="AE4570" s="1">
        <v>245280</v>
      </c>
      <c r="AF4570">
        <v>0</v>
      </c>
      <c r="AJ4570">
        <v>0</v>
      </c>
      <c r="AK4570">
        <v>0</v>
      </c>
      <c r="AL4570">
        <v>0</v>
      </c>
      <c r="AM4570">
        <v>0</v>
      </c>
      <c r="AN4570">
        <v>0</v>
      </c>
      <c r="AO4570">
        <v>0</v>
      </c>
      <c r="AP4570" s="2">
        <v>42746</v>
      </c>
      <c r="AQ4570" t="s">
        <v>72</v>
      </c>
      <c r="AR4570" t="s">
        <v>72</v>
      </c>
      <c r="AS4570">
        <v>289</v>
      </c>
      <c r="AT4570" s="4">
        <v>42405</v>
      </c>
      <c r="AU4570" t="s">
        <v>73</v>
      </c>
      <c r="AV4570">
        <v>289</v>
      </c>
      <c r="AW4570" s="4">
        <v>42405</v>
      </c>
      <c r="BD4570">
        <v>0</v>
      </c>
      <c r="BN4570" t="s">
        <v>74</v>
      </c>
    </row>
    <row r="4571" spans="1:66" hidden="1">
      <c r="A4571">
        <v>101586</v>
      </c>
      <c r="B4571" s="3" t="s">
        <v>480</v>
      </c>
      <c r="C4571" s="1">
        <v>43300101</v>
      </c>
      <c r="D4571" t="s">
        <v>67</v>
      </c>
      <c r="H4571" t="str">
        <f t="shared" si="484"/>
        <v>05102540019</v>
      </c>
      <c r="I4571" t="str">
        <f t="shared" si="484"/>
        <v>05102540019</v>
      </c>
      <c r="K4571" t="str">
        <f>""</f>
        <v/>
      </c>
      <c r="M4571" t="s">
        <v>68</v>
      </c>
      <c r="N4571" t="str">
        <f t="shared" si="485"/>
        <v>FOR</v>
      </c>
      <c r="O4571" t="s">
        <v>69</v>
      </c>
      <c r="P4571" s="3" t="s">
        <v>70</v>
      </c>
      <c r="Q4571">
        <v>2015</v>
      </c>
      <c r="R4571" s="2">
        <v>42045</v>
      </c>
      <c r="S4571" s="2">
        <v>42053</v>
      </c>
      <c r="T4571" s="2">
        <v>42053</v>
      </c>
      <c r="U4571" s="2">
        <v>42113</v>
      </c>
      <c r="V4571" t="s">
        <v>71</v>
      </c>
      <c r="W4571" t="str">
        <f>"                 439"</f>
        <v xml:space="preserve">                 439</v>
      </c>
      <c r="X4571">
        <v>475.8</v>
      </c>
      <c r="Y4571">
        <v>0</v>
      </c>
      <c r="Z4571"/>
      <c r="AB4571"/>
      <c r="AC4571">
        <v>390</v>
      </c>
      <c r="AD4571">
        <v>292</v>
      </c>
      <c r="AE4571" s="1">
        <v>113880</v>
      </c>
      <c r="AF4571">
        <v>0</v>
      </c>
      <c r="AJ4571">
        <v>0</v>
      </c>
      <c r="AK4571">
        <v>0</v>
      </c>
      <c r="AL4571">
        <v>0</v>
      </c>
      <c r="AM4571">
        <v>0</v>
      </c>
      <c r="AN4571">
        <v>0</v>
      </c>
      <c r="AO4571">
        <v>0</v>
      </c>
      <c r="AP4571" s="2">
        <v>42746</v>
      </c>
      <c r="AQ4571" t="s">
        <v>72</v>
      </c>
      <c r="AR4571" t="s">
        <v>72</v>
      </c>
      <c r="AS4571">
        <v>289</v>
      </c>
      <c r="AT4571" s="4">
        <v>42405</v>
      </c>
      <c r="AU4571" t="s">
        <v>73</v>
      </c>
      <c r="AV4571">
        <v>289</v>
      </c>
      <c r="AW4571" s="4">
        <v>42405</v>
      </c>
      <c r="BD4571">
        <v>0</v>
      </c>
      <c r="BN4571" t="s">
        <v>74</v>
      </c>
    </row>
    <row r="4572" spans="1:66" hidden="1">
      <c r="A4572">
        <v>101586</v>
      </c>
      <c r="B4572" s="3" t="s">
        <v>480</v>
      </c>
      <c r="C4572" s="1">
        <v>43300101</v>
      </c>
      <c r="D4572" t="s">
        <v>67</v>
      </c>
      <c r="H4572" t="str">
        <f t="shared" si="484"/>
        <v>05102540019</v>
      </c>
      <c r="I4572" t="str">
        <f t="shared" si="484"/>
        <v>05102540019</v>
      </c>
      <c r="K4572" t="str">
        <f>""</f>
        <v/>
      </c>
      <c r="M4572" t="s">
        <v>68</v>
      </c>
      <c r="N4572" t="str">
        <f t="shared" si="485"/>
        <v>FOR</v>
      </c>
      <c r="O4572" t="s">
        <v>69</v>
      </c>
      <c r="P4572" s="3" t="s">
        <v>70</v>
      </c>
      <c r="Q4572">
        <v>2015</v>
      </c>
      <c r="R4572" s="2">
        <v>42051</v>
      </c>
      <c r="S4572" s="2">
        <v>42061</v>
      </c>
      <c r="T4572" s="2">
        <v>42061</v>
      </c>
      <c r="U4572" s="2">
        <v>42121</v>
      </c>
      <c r="V4572" t="s">
        <v>71</v>
      </c>
      <c r="W4572" t="str">
        <f>"                 536"</f>
        <v xml:space="preserve">                 536</v>
      </c>
      <c r="X4572">
        <v>475.8</v>
      </c>
      <c r="Y4572">
        <v>0</v>
      </c>
      <c r="Z4572"/>
      <c r="AB4572"/>
      <c r="AC4572">
        <v>390</v>
      </c>
      <c r="AD4572">
        <v>284</v>
      </c>
      <c r="AE4572" s="1">
        <v>110760</v>
      </c>
      <c r="AF4572">
        <v>0</v>
      </c>
      <c r="AJ4572">
        <v>0</v>
      </c>
      <c r="AK4572">
        <v>0</v>
      </c>
      <c r="AL4572">
        <v>0</v>
      </c>
      <c r="AM4572">
        <v>0</v>
      </c>
      <c r="AN4572">
        <v>0</v>
      </c>
      <c r="AO4572">
        <v>0</v>
      </c>
      <c r="AP4572" s="2">
        <v>42746</v>
      </c>
      <c r="AQ4572" t="s">
        <v>72</v>
      </c>
      <c r="AR4572" t="s">
        <v>72</v>
      </c>
      <c r="AS4572">
        <v>289</v>
      </c>
      <c r="AT4572" s="4">
        <v>42405</v>
      </c>
      <c r="AU4572" t="s">
        <v>73</v>
      </c>
      <c r="AV4572">
        <v>289</v>
      </c>
      <c r="AW4572" s="4">
        <v>42405</v>
      </c>
      <c r="BD4572">
        <v>0</v>
      </c>
      <c r="BN4572" t="s">
        <v>74</v>
      </c>
    </row>
    <row r="4573" spans="1:66" hidden="1">
      <c r="A4573">
        <v>101586</v>
      </c>
      <c r="B4573" s="3" t="s">
        <v>480</v>
      </c>
      <c r="C4573" s="1">
        <v>43300101</v>
      </c>
      <c r="D4573" t="s">
        <v>67</v>
      </c>
      <c r="H4573" t="str">
        <f t="shared" si="484"/>
        <v>05102540019</v>
      </c>
      <c r="I4573" t="str">
        <f t="shared" si="484"/>
        <v>05102540019</v>
      </c>
      <c r="K4573" t="str">
        <f>""</f>
        <v/>
      </c>
      <c r="M4573" t="s">
        <v>68</v>
      </c>
      <c r="N4573" t="str">
        <f t="shared" si="485"/>
        <v>FOR</v>
      </c>
      <c r="O4573" t="s">
        <v>69</v>
      </c>
      <c r="P4573" s="3" t="s">
        <v>70</v>
      </c>
      <c r="Q4573">
        <v>2015</v>
      </c>
      <c r="R4573" s="2">
        <v>42062</v>
      </c>
      <c r="S4573" s="2">
        <v>42080</v>
      </c>
      <c r="T4573" s="2">
        <v>42080</v>
      </c>
      <c r="U4573" s="2">
        <v>42140</v>
      </c>
      <c r="V4573" t="s">
        <v>71</v>
      </c>
      <c r="W4573" t="str">
        <f>"                 669"</f>
        <v xml:space="preserve">                 669</v>
      </c>
      <c r="X4573">
        <v>463.6</v>
      </c>
      <c r="Y4573">
        <v>0</v>
      </c>
      <c r="Z4573"/>
      <c r="AB4573"/>
      <c r="AC4573">
        <v>380</v>
      </c>
      <c r="AD4573">
        <v>265</v>
      </c>
      <c r="AE4573" s="1">
        <v>100700</v>
      </c>
      <c r="AF4573">
        <v>0</v>
      </c>
      <c r="AJ4573">
        <v>0</v>
      </c>
      <c r="AK4573">
        <v>0</v>
      </c>
      <c r="AL4573">
        <v>0</v>
      </c>
      <c r="AM4573">
        <v>0</v>
      </c>
      <c r="AN4573">
        <v>0</v>
      </c>
      <c r="AO4573">
        <v>0</v>
      </c>
      <c r="AP4573" s="2">
        <v>42746</v>
      </c>
      <c r="AQ4573" t="s">
        <v>72</v>
      </c>
      <c r="AR4573" t="s">
        <v>72</v>
      </c>
      <c r="AS4573">
        <v>289</v>
      </c>
      <c r="AT4573" s="4">
        <v>42405</v>
      </c>
      <c r="AU4573" t="s">
        <v>73</v>
      </c>
      <c r="AV4573">
        <v>289</v>
      </c>
      <c r="AW4573" s="4">
        <v>42405</v>
      </c>
      <c r="BD4573">
        <v>0</v>
      </c>
      <c r="BN4573" t="s">
        <v>74</v>
      </c>
    </row>
    <row r="4574" spans="1:66" hidden="1">
      <c r="A4574">
        <v>101586</v>
      </c>
      <c r="B4574" s="3" t="s">
        <v>480</v>
      </c>
      <c r="C4574" s="1">
        <v>43300101</v>
      </c>
      <c r="D4574" t="s">
        <v>67</v>
      </c>
      <c r="H4574" t="str">
        <f t="shared" si="484"/>
        <v>05102540019</v>
      </c>
      <c r="I4574" t="str">
        <f t="shared" si="484"/>
        <v>05102540019</v>
      </c>
      <c r="K4574" t="str">
        <f>""</f>
        <v/>
      </c>
      <c r="M4574" t="s">
        <v>68</v>
      </c>
      <c r="N4574" t="str">
        <f t="shared" si="485"/>
        <v>FOR</v>
      </c>
      <c r="O4574" t="s">
        <v>69</v>
      </c>
      <c r="P4574" s="3" t="s">
        <v>75</v>
      </c>
      <c r="Q4574">
        <v>2015</v>
      </c>
      <c r="R4574" s="2">
        <v>42094</v>
      </c>
      <c r="S4574" s="2">
        <v>42107</v>
      </c>
      <c r="T4574" s="2">
        <v>42103</v>
      </c>
      <c r="U4574" s="2">
        <v>42163</v>
      </c>
      <c r="V4574" t="s">
        <v>71</v>
      </c>
      <c r="W4574" t="str">
        <f>"              1085/F"</f>
        <v xml:space="preserve">              1085/F</v>
      </c>
      <c r="X4574" s="1">
        <v>3111</v>
      </c>
      <c r="Y4574">
        <v>0</v>
      </c>
      <c r="Z4574"/>
      <c r="AB4574"/>
      <c r="AC4574" s="1">
        <v>2550</v>
      </c>
      <c r="AD4574">
        <v>289</v>
      </c>
      <c r="AE4574" s="1">
        <v>736950</v>
      </c>
      <c r="AF4574">
        <v>0</v>
      </c>
      <c r="AJ4574">
        <v>0</v>
      </c>
      <c r="AK4574">
        <v>0</v>
      </c>
      <c r="AL4574">
        <v>0</v>
      </c>
      <c r="AM4574">
        <v>0</v>
      </c>
      <c r="AN4574">
        <v>0</v>
      </c>
      <c r="AO4574">
        <v>0</v>
      </c>
      <c r="AP4574" s="2">
        <v>42746</v>
      </c>
      <c r="AQ4574" t="s">
        <v>72</v>
      </c>
      <c r="AR4574" t="s">
        <v>72</v>
      </c>
      <c r="AS4574">
        <v>762</v>
      </c>
      <c r="AT4574" s="4">
        <v>42452</v>
      </c>
      <c r="AU4574" t="s">
        <v>73</v>
      </c>
      <c r="AV4574">
        <v>762</v>
      </c>
      <c r="AW4574" s="4">
        <v>42452</v>
      </c>
      <c r="BD4574">
        <v>0</v>
      </c>
      <c r="BN4574" t="s">
        <v>74</v>
      </c>
    </row>
    <row r="4575" spans="1:66" hidden="1">
      <c r="A4575">
        <v>101586</v>
      </c>
      <c r="B4575" s="3" t="s">
        <v>480</v>
      </c>
      <c r="C4575" s="1">
        <v>43300101</v>
      </c>
      <c r="D4575" t="s">
        <v>67</v>
      </c>
      <c r="H4575" t="str">
        <f t="shared" si="484"/>
        <v>05102540019</v>
      </c>
      <c r="I4575" t="str">
        <f t="shared" si="484"/>
        <v>05102540019</v>
      </c>
      <c r="K4575" t="str">
        <f>""</f>
        <v/>
      </c>
      <c r="M4575" t="s">
        <v>68</v>
      </c>
      <c r="N4575" t="str">
        <f t="shared" si="485"/>
        <v>FOR</v>
      </c>
      <c r="O4575" t="s">
        <v>69</v>
      </c>
      <c r="P4575" s="3" t="s">
        <v>75</v>
      </c>
      <c r="Q4575">
        <v>2015</v>
      </c>
      <c r="R4575" s="2">
        <v>42121</v>
      </c>
      <c r="S4575" s="2">
        <v>42128</v>
      </c>
      <c r="T4575" s="2">
        <v>42124</v>
      </c>
      <c r="U4575" s="2">
        <v>42184</v>
      </c>
      <c r="V4575" t="s">
        <v>71</v>
      </c>
      <c r="W4575" t="str">
        <f>"              1354/F"</f>
        <v xml:space="preserve">              1354/F</v>
      </c>
      <c r="X4575">
        <v>701.5</v>
      </c>
      <c r="Y4575">
        <v>0</v>
      </c>
      <c r="Z4575"/>
      <c r="AB4575"/>
      <c r="AC4575">
        <v>575</v>
      </c>
      <c r="AD4575">
        <v>268</v>
      </c>
      <c r="AE4575" s="1">
        <v>154100</v>
      </c>
      <c r="AF4575">
        <v>0</v>
      </c>
      <c r="AJ4575">
        <v>0</v>
      </c>
      <c r="AK4575">
        <v>0</v>
      </c>
      <c r="AL4575">
        <v>0</v>
      </c>
      <c r="AM4575">
        <v>0</v>
      </c>
      <c r="AN4575">
        <v>0</v>
      </c>
      <c r="AO4575">
        <v>0</v>
      </c>
      <c r="AP4575" s="2">
        <v>42746</v>
      </c>
      <c r="AQ4575" t="s">
        <v>72</v>
      </c>
      <c r="AR4575" t="s">
        <v>72</v>
      </c>
      <c r="AS4575">
        <v>762</v>
      </c>
      <c r="AT4575" s="4">
        <v>42452</v>
      </c>
      <c r="AU4575" t="s">
        <v>73</v>
      </c>
      <c r="AV4575">
        <v>762</v>
      </c>
      <c r="AW4575" s="4">
        <v>42452</v>
      </c>
      <c r="BD4575">
        <v>0</v>
      </c>
      <c r="BN4575" t="s">
        <v>74</v>
      </c>
    </row>
    <row r="4576" spans="1:66" hidden="1">
      <c r="A4576">
        <v>101586</v>
      </c>
      <c r="B4576" s="3" t="s">
        <v>480</v>
      </c>
      <c r="C4576" s="1">
        <v>43300101</v>
      </c>
      <c r="D4576" t="s">
        <v>67</v>
      </c>
      <c r="H4576" t="str">
        <f t="shared" si="484"/>
        <v>05102540019</v>
      </c>
      <c r="I4576" t="str">
        <f t="shared" si="484"/>
        <v>05102540019</v>
      </c>
      <c r="K4576" t="str">
        <f>""</f>
        <v/>
      </c>
      <c r="M4576" t="s">
        <v>68</v>
      </c>
      <c r="N4576" t="str">
        <f t="shared" si="485"/>
        <v>FOR</v>
      </c>
      <c r="O4576" t="s">
        <v>69</v>
      </c>
      <c r="P4576" s="3" t="s">
        <v>75</v>
      </c>
      <c r="Q4576">
        <v>2015</v>
      </c>
      <c r="R4576" s="2">
        <v>42130</v>
      </c>
      <c r="S4576" s="2">
        <v>42131</v>
      </c>
      <c r="T4576" s="2">
        <v>42130</v>
      </c>
      <c r="U4576" s="2">
        <v>42190</v>
      </c>
      <c r="V4576" t="s">
        <v>71</v>
      </c>
      <c r="W4576" t="str">
        <f>"              1534/F"</f>
        <v xml:space="preserve">              1534/F</v>
      </c>
      <c r="X4576">
        <v>988.2</v>
      </c>
      <c r="Y4576">
        <v>0</v>
      </c>
      <c r="Z4576"/>
      <c r="AB4576"/>
      <c r="AC4576">
        <v>810</v>
      </c>
      <c r="AD4576">
        <v>262</v>
      </c>
      <c r="AE4576" s="1">
        <v>212220</v>
      </c>
      <c r="AF4576">
        <v>0</v>
      </c>
      <c r="AJ4576">
        <v>0</v>
      </c>
      <c r="AK4576">
        <v>0</v>
      </c>
      <c r="AL4576">
        <v>0</v>
      </c>
      <c r="AM4576">
        <v>0</v>
      </c>
      <c r="AN4576">
        <v>0</v>
      </c>
      <c r="AO4576">
        <v>0</v>
      </c>
      <c r="AP4576" s="2">
        <v>42746</v>
      </c>
      <c r="AQ4576" t="s">
        <v>72</v>
      </c>
      <c r="AR4576" t="s">
        <v>72</v>
      </c>
      <c r="AS4576">
        <v>828</v>
      </c>
      <c r="AT4576" s="4">
        <v>42452</v>
      </c>
      <c r="AU4576" t="s">
        <v>73</v>
      </c>
      <c r="AV4576">
        <v>828</v>
      </c>
      <c r="AW4576" s="4">
        <v>42452</v>
      </c>
      <c r="BD4576">
        <v>0</v>
      </c>
      <c r="BN4576" t="s">
        <v>74</v>
      </c>
    </row>
    <row r="4577" spans="1:66" hidden="1">
      <c r="A4577">
        <v>101586</v>
      </c>
      <c r="B4577" s="3" t="s">
        <v>480</v>
      </c>
      <c r="C4577" s="1">
        <v>43300101</v>
      </c>
      <c r="D4577" t="s">
        <v>67</v>
      </c>
      <c r="H4577" t="str">
        <f t="shared" si="484"/>
        <v>05102540019</v>
      </c>
      <c r="I4577" t="str">
        <f t="shared" si="484"/>
        <v>05102540019</v>
      </c>
      <c r="K4577" t="str">
        <f>""</f>
        <v/>
      </c>
      <c r="M4577" t="s">
        <v>68</v>
      </c>
      <c r="N4577" t="str">
        <f t="shared" si="485"/>
        <v>FOR</v>
      </c>
      <c r="O4577" t="s">
        <v>69</v>
      </c>
      <c r="P4577" s="3" t="s">
        <v>75</v>
      </c>
      <c r="Q4577">
        <v>2015</v>
      </c>
      <c r="R4577" s="2">
        <v>42136</v>
      </c>
      <c r="S4577" s="2">
        <v>42139</v>
      </c>
      <c r="T4577" s="2">
        <v>42137</v>
      </c>
      <c r="U4577" s="2">
        <v>42197</v>
      </c>
      <c r="V4577" t="s">
        <v>71</v>
      </c>
      <c r="W4577" t="str">
        <f>"              1641/F"</f>
        <v xml:space="preserve">              1641/F</v>
      </c>
      <c r="X4577">
        <v>237.9</v>
      </c>
      <c r="Y4577">
        <v>0</v>
      </c>
      <c r="Z4577"/>
      <c r="AB4577"/>
      <c r="AC4577">
        <v>195</v>
      </c>
      <c r="AD4577">
        <v>255</v>
      </c>
      <c r="AE4577" s="1">
        <v>49725</v>
      </c>
      <c r="AF4577">
        <v>0</v>
      </c>
      <c r="AJ4577">
        <v>0</v>
      </c>
      <c r="AK4577">
        <v>0</v>
      </c>
      <c r="AL4577">
        <v>0</v>
      </c>
      <c r="AM4577">
        <v>0</v>
      </c>
      <c r="AN4577">
        <v>0</v>
      </c>
      <c r="AO4577">
        <v>0</v>
      </c>
      <c r="AP4577" s="2">
        <v>42746</v>
      </c>
      <c r="AQ4577" t="s">
        <v>72</v>
      </c>
      <c r="AR4577" t="s">
        <v>72</v>
      </c>
      <c r="AS4577">
        <v>828</v>
      </c>
      <c r="AT4577" s="4">
        <v>42452</v>
      </c>
      <c r="AU4577" t="s">
        <v>73</v>
      </c>
      <c r="AV4577">
        <v>828</v>
      </c>
      <c r="AW4577" s="4">
        <v>42452</v>
      </c>
      <c r="BD4577">
        <v>0</v>
      </c>
      <c r="BN4577" t="s">
        <v>74</v>
      </c>
    </row>
    <row r="4578" spans="1:66" hidden="1">
      <c r="A4578">
        <v>101586</v>
      </c>
      <c r="B4578" s="3" t="s">
        <v>480</v>
      </c>
      <c r="C4578" s="1">
        <v>43300101</v>
      </c>
      <c r="D4578" t="s">
        <v>67</v>
      </c>
      <c r="H4578" t="str">
        <f t="shared" si="484"/>
        <v>05102540019</v>
      </c>
      <c r="I4578" t="str">
        <f t="shared" si="484"/>
        <v>05102540019</v>
      </c>
      <c r="K4578" t="str">
        <f>""</f>
        <v/>
      </c>
      <c r="M4578" t="s">
        <v>68</v>
      </c>
      <c r="N4578" t="str">
        <f t="shared" si="485"/>
        <v>FOR</v>
      </c>
      <c r="O4578" t="s">
        <v>69</v>
      </c>
      <c r="P4578" s="3" t="s">
        <v>75</v>
      </c>
      <c r="Q4578">
        <v>2015</v>
      </c>
      <c r="R4578" s="2">
        <v>42143</v>
      </c>
      <c r="S4578" s="2">
        <v>42165</v>
      </c>
      <c r="T4578" s="2">
        <v>42143</v>
      </c>
      <c r="U4578" s="2">
        <v>42203</v>
      </c>
      <c r="V4578" t="s">
        <v>71</v>
      </c>
      <c r="W4578" t="str">
        <f>"              1679/F"</f>
        <v xml:space="preserve">              1679/F</v>
      </c>
      <c r="X4578" s="1">
        <v>3111</v>
      </c>
      <c r="Y4578">
        <v>0</v>
      </c>
      <c r="Z4578"/>
      <c r="AB4578"/>
      <c r="AC4578" s="1">
        <v>2550</v>
      </c>
      <c r="AD4578">
        <v>249</v>
      </c>
      <c r="AE4578" s="1">
        <v>634950</v>
      </c>
      <c r="AF4578">
        <v>0</v>
      </c>
      <c r="AJ4578">
        <v>0</v>
      </c>
      <c r="AK4578">
        <v>0</v>
      </c>
      <c r="AL4578">
        <v>0</v>
      </c>
      <c r="AM4578">
        <v>0</v>
      </c>
      <c r="AN4578">
        <v>0</v>
      </c>
      <c r="AO4578">
        <v>0</v>
      </c>
      <c r="AP4578" s="2">
        <v>42746</v>
      </c>
      <c r="AQ4578" t="s">
        <v>72</v>
      </c>
      <c r="AR4578" t="s">
        <v>72</v>
      </c>
      <c r="AS4578">
        <v>828</v>
      </c>
      <c r="AT4578" s="4">
        <v>42452</v>
      </c>
      <c r="AU4578" t="s">
        <v>73</v>
      </c>
      <c r="AV4578">
        <v>828</v>
      </c>
      <c r="AW4578" s="4">
        <v>42452</v>
      </c>
      <c r="BD4578">
        <v>0</v>
      </c>
      <c r="BN4578" t="s">
        <v>74</v>
      </c>
    </row>
    <row r="4579" spans="1:66" hidden="1">
      <c r="A4579">
        <v>101586</v>
      </c>
      <c r="B4579" s="3" t="s">
        <v>480</v>
      </c>
      <c r="C4579" s="1">
        <v>43300101</v>
      </c>
      <c r="D4579" t="s">
        <v>67</v>
      </c>
      <c r="H4579" t="str">
        <f t="shared" si="484"/>
        <v>05102540019</v>
      </c>
      <c r="I4579" t="str">
        <f t="shared" si="484"/>
        <v>05102540019</v>
      </c>
      <c r="K4579" t="str">
        <f>""</f>
        <v/>
      </c>
      <c r="M4579" t="s">
        <v>68</v>
      </c>
      <c r="N4579" t="str">
        <f t="shared" si="485"/>
        <v>FOR</v>
      </c>
      <c r="O4579" t="s">
        <v>69</v>
      </c>
      <c r="P4579" s="3" t="s">
        <v>75</v>
      </c>
      <c r="Q4579">
        <v>2015</v>
      </c>
      <c r="R4579" s="2">
        <v>42150</v>
      </c>
      <c r="S4579" s="2">
        <v>42165</v>
      </c>
      <c r="T4579" s="2">
        <v>42153</v>
      </c>
      <c r="U4579" s="2">
        <v>42213</v>
      </c>
      <c r="V4579" t="s">
        <v>71</v>
      </c>
      <c r="W4579" t="str">
        <f>"              1805/F"</f>
        <v xml:space="preserve">              1805/F</v>
      </c>
      <c r="X4579">
        <v>939.4</v>
      </c>
      <c r="Y4579">
        <v>0</v>
      </c>
      <c r="Z4579"/>
      <c r="AB4579"/>
      <c r="AC4579">
        <v>770</v>
      </c>
      <c r="AD4579">
        <v>239</v>
      </c>
      <c r="AE4579" s="1">
        <v>184030</v>
      </c>
      <c r="AF4579">
        <v>0</v>
      </c>
      <c r="AJ4579">
        <v>0</v>
      </c>
      <c r="AK4579">
        <v>0</v>
      </c>
      <c r="AL4579">
        <v>0</v>
      </c>
      <c r="AM4579">
        <v>0</v>
      </c>
      <c r="AN4579">
        <v>0</v>
      </c>
      <c r="AO4579">
        <v>0</v>
      </c>
      <c r="AP4579" s="2">
        <v>42746</v>
      </c>
      <c r="AQ4579" t="s">
        <v>72</v>
      </c>
      <c r="AR4579" t="s">
        <v>72</v>
      </c>
      <c r="AS4579">
        <v>828</v>
      </c>
      <c r="AT4579" s="4">
        <v>42452</v>
      </c>
      <c r="AU4579" t="s">
        <v>73</v>
      </c>
      <c r="AV4579">
        <v>828</v>
      </c>
      <c r="AW4579" s="4">
        <v>42452</v>
      </c>
      <c r="BD4579">
        <v>0</v>
      </c>
      <c r="BN4579" t="s">
        <v>74</v>
      </c>
    </row>
    <row r="4580" spans="1:66" hidden="1">
      <c r="A4580">
        <v>101586</v>
      </c>
      <c r="B4580" s="3" t="s">
        <v>480</v>
      </c>
      <c r="C4580" s="1">
        <v>43300101</v>
      </c>
      <c r="D4580" t="s">
        <v>67</v>
      </c>
      <c r="H4580" t="str">
        <f t="shared" si="484"/>
        <v>05102540019</v>
      </c>
      <c r="I4580" t="str">
        <f t="shared" si="484"/>
        <v>05102540019</v>
      </c>
      <c r="K4580" t="str">
        <f>""</f>
        <v/>
      </c>
      <c r="M4580" t="s">
        <v>68</v>
      </c>
      <c r="N4580" t="str">
        <f t="shared" si="485"/>
        <v>FOR</v>
      </c>
      <c r="O4580" t="s">
        <v>69</v>
      </c>
      <c r="P4580" s="3" t="s">
        <v>75</v>
      </c>
      <c r="Q4580">
        <v>2015</v>
      </c>
      <c r="R4580" s="2">
        <v>42153</v>
      </c>
      <c r="S4580" s="2">
        <v>42165</v>
      </c>
      <c r="T4580" s="2">
        <v>42153</v>
      </c>
      <c r="U4580" s="2">
        <v>42213</v>
      </c>
      <c r="V4580" t="s">
        <v>71</v>
      </c>
      <c r="W4580" t="str">
        <f>"              1908/F"</f>
        <v xml:space="preserve">              1908/F</v>
      </c>
      <c r="X4580">
        <v>512.4</v>
      </c>
      <c r="Y4580">
        <v>0</v>
      </c>
      <c r="Z4580"/>
      <c r="AB4580"/>
      <c r="AC4580">
        <v>420</v>
      </c>
      <c r="AD4580">
        <v>239</v>
      </c>
      <c r="AE4580" s="1">
        <v>100380</v>
      </c>
      <c r="AF4580">
        <v>0</v>
      </c>
      <c r="AJ4580">
        <v>0</v>
      </c>
      <c r="AK4580">
        <v>0</v>
      </c>
      <c r="AL4580">
        <v>0</v>
      </c>
      <c r="AM4580">
        <v>0</v>
      </c>
      <c r="AN4580">
        <v>0</v>
      </c>
      <c r="AO4580">
        <v>0</v>
      </c>
      <c r="AP4580" s="2">
        <v>42746</v>
      </c>
      <c r="AQ4580" t="s">
        <v>72</v>
      </c>
      <c r="AR4580" t="s">
        <v>72</v>
      </c>
      <c r="AS4580">
        <v>828</v>
      </c>
      <c r="AT4580" s="4">
        <v>42452</v>
      </c>
      <c r="AU4580" t="s">
        <v>73</v>
      </c>
      <c r="AV4580">
        <v>828</v>
      </c>
      <c r="AW4580" s="4">
        <v>42452</v>
      </c>
      <c r="BD4580">
        <v>0</v>
      </c>
      <c r="BN4580" t="s">
        <v>74</v>
      </c>
    </row>
    <row r="4581" spans="1:66" hidden="1">
      <c r="A4581">
        <v>101586</v>
      </c>
      <c r="B4581" s="3" t="s">
        <v>480</v>
      </c>
      <c r="C4581" s="1">
        <v>43300101</v>
      </c>
      <c r="D4581" t="s">
        <v>67</v>
      </c>
      <c r="H4581" t="str">
        <f t="shared" si="484"/>
        <v>05102540019</v>
      </c>
      <c r="I4581" t="str">
        <f t="shared" si="484"/>
        <v>05102540019</v>
      </c>
      <c r="K4581" t="str">
        <f>""</f>
        <v/>
      </c>
      <c r="M4581" t="s">
        <v>68</v>
      </c>
      <c r="N4581" t="str">
        <f t="shared" si="485"/>
        <v>FOR</v>
      </c>
      <c r="O4581" t="s">
        <v>69</v>
      </c>
      <c r="P4581" s="3" t="s">
        <v>75</v>
      </c>
      <c r="Q4581">
        <v>2015</v>
      </c>
      <c r="R4581" s="2">
        <v>42166</v>
      </c>
      <c r="S4581" s="2">
        <v>42167</v>
      </c>
      <c r="T4581" s="2">
        <v>42166</v>
      </c>
      <c r="U4581" s="2">
        <v>42226</v>
      </c>
      <c r="V4581" t="s">
        <v>71</v>
      </c>
      <c r="W4581" t="str">
        <f>"              1996/F"</f>
        <v xml:space="preserve">              1996/F</v>
      </c>
      <c r="X4581">
        <v>951.6</v>
      </c>
      <c r="Y4581">
        <v>0</v>
      </c>
      <c r="Z4581"/>
      <c r="AB4581"/>
      <c r="AC4581">
        <v>780</v>
      </c>
      <c r="AD4581">
        <v>294</v>
      </c>
      <c r="AE4581" s="1">
        <v>229320</v>
      </c>
      <c r="AF4581">
        <v>0</v>
      </c>
      <c r="AJ4581">
        <v>0</v>
      </c>
      <c r="AK4581">
        <v>0</v>
      </c>
      <c r="AL4581">
        <v>0</v>
      </c>
      <c r="AM4581">
        <v>0</v>
      </c>
      <c r="AN4581">
        <v>0</v>
      </c>
      <c r="AO4581">
        <v>0</v>
      </c>
      <c r="AP4581" s="2">
        <v>42746</v>
      </c>
      <c r="AQ4581" t="s">
        <v>72</v>
      </c>
      <c r="AR4581" t="s">
        <v>72</v>
      </c>
      <c r="AS4581">
        <v>1408</v>
      </c>
      <c r="AT4581" s="4">
        <v>42520</v>
      </c>
      <c r="AU4581" t="s">
        <v>73</v>
      </c>
      <c r="AV4581">
        <v>1408</v>
      </c>
      <c r="AW4581" s="4">
        <v>42520</v>
      </c>
      <c r="BD4581">
        <v>0</v>
      </c>
      <c r="BN4581" t="s">
        <v>74</v>
      </c>
    </row>
    <row r="4582" spans="1:66" hidden="1">
      <c r="A4582">
        <v>101586</v>
      </c>
      <c r="B4582" s="3" t="s">
        <v>480</v>
      </c>
      <c r="C4582" s="1">
        <v>43300101</v>
      </c>
      <c r="D4582" t="s">
        <v>67</v>
      </c>
      <c r="H4582" t="str">
        <f t="shared" si="484"/>
        <v>05102540019</v>
      </c>
      <c r="I4582" t="str">
        <f t="shared" si="484"/>
        <v>05102540019</v>
      </c>
      <c r="K4582" t="str">
        <f>""</f>
        <v/>
      </c>
      <c r="M4582" t="s">
        <v>68</v>
      </c>
      <c r="N4582" t="str">
        <f t="shared" si="485"/>
        <v>FOR</v>
      </c>
      <c r="O4582" t="s">
        <v>69</v>
      </c>
      <c r="P4582" s="3" t="s">
        <v>75</v>
      </c>
      <c r="Q4582">
        <v>2015</v>
      </c>
      <c r="R4582" s="2">
        <v>42181</v>
      </c>
      <c r="S4582" s="2">
        <v>42186</v>
      </c>
      <c r="T4582" s="2">
        <v>42181</v>
      </c>
      <c r="U4582" s="2">
        <v>42241</v>
      </c>
      <c r="V4582" t="s">
        <v>71</v>
      </c>
      <c r="W4582" t="str">
        <f>"              2221/F"</f>
        <v xml:space="preserve">              2221/F</v>
      </c>
      <c r="X4582">
        <v>701.5</v>
      </c>
      <c r="Y4582">
        <v>0</v>
      </c>
      <c r="Z4582"/>
      <c r="AB4582"/>
      <c r="AC4582">
        <v>575</v>
      </c>
      <c r="AD4582">
        <v>279</v>
      </c>
      <c r="AE4582" s="1">
        <v>160425</v>
      </c>
      <c r="AF4582">
        <v>0</v>
      </c>
      <c r="AJ4582">
        <v>0</v>
      </c>
      <c r="AK4582">
        <v>0</v>
      </c>
      <c r="AL4582">
        <v>0</v>
      </c>
      <c r="AM4582">
        <v>0</v>
      </c>
      <c r="AN4582">
        <v>0</v>
      </c>
      <c r="AO4582">
        <v>0</v>
      </c>
      <c r="AP4582" s="2">
        <v>42746</v>
      </c>
      <c r="AQ4582" t="s">
        <v>72</v>
      </c>
      <c r="AR4582" t="s">
        <v>72</v>
      </c>
      <c r="AS4582">
        <v>1408</v>
      </c>
      <c r="AT4582" s="4">
        <v>42520</v>
      </c>
      <c r="AU4582" t="s">
        <v>73</v>
      </c>
      <c r="AV4582">
        <v>1408</v>
      </c>
      <c r="AW4582" s="4">
        <v>42520</v>
      </c>
      <c r="BD4582">
        <v>0</v>
      </c>
      <c r="BN4582" t="s">
        <v>74</v>
      </c>
    </row>
    <row r="4583" spans="1:66" hidden="1">
      <c r="A4583">
        <v>101586</v>
      </c>
      <c r="B4583" s="3" t="s">
        <v>480</v>
      </c>
      <c r="C4583" s="1">
        <v>43300101</v>
      </c>
      <c r="D4583" t="s">
        <v>67</v>
      </c>
      <c r="H4583" t="str">
        <f t="shared" si="484"/>
        <v>05102540019</v>
      </c>
      <c r="I4583" t="str">
        <f t="shared" si="484"/>
        <v>05102540019</v>
      </c>
      <c r="K4583" t="str">
        <f>""</f>
        <v/>
      </c>
      <c r="M4583" t="s">
        <v>68</v>
      </c>
      <c r="N4583" t="str">
        <f t="shared" si="485"/>
        <v>FOR</v>
      </c>
      <c r="O4583" t="s">
        <v>69</v>
      </c>
      <c r="P4583" s="3" t="s">
        <v>75</v>
      </c>
      <c r="Q4583">
        <v>2015</v>
      </c>
      <c r="R4583" s="2">
        <v>42193</v>
      </c>
      <c r="S4583" s="2">
        <v>42198</v>
      </c>
      <c r="T4583" s="2">
        <v>42196</v>
      </c>
      <c r="U4583" s="2">
        <v>42256</v>
      </c>
      <c r="V4583" t="s">
        <v>71</v>
      </c>
      <c r="W4583" t="str">
        <f>"              2351/F"</f>
        <v xml:space="preserve">              2351/F</v>
      </c>
      <c r="X4583">
        <v>988.2</v>
      </c>
      <c r="Y4583">
        <v>0</v>
      </c>
      <c r="Z4583"/>
      <c r="AB4583"/>
      <c r="AC4583">
        <v>810</v>
      </c>
      <c r="AD4583">
        <v>296</v>
      </c>
      <c r="AE4583" s="1">
        <v>239760</v>
      </c>
      <c r="AF4583">
        <v>0</v>
      </c>
      <c r="AJ4583">
        <v>0</v>
      </c>
      <c r="AK4583">
        <v>0</v>
      </c>
      <c r="AL4583">
        <v>0</v>
      </c>
      <c r="AM4583">
        <v>0</v>
      </c>
      <c r="AN4583">
        <v>0</v>
      </c>
      <c r="AO4583">
        <v>0</v>
      </c>
      <c r="AP4583" s="2">
        <v>42746</v>
      </c>
      <c r="AQ4583" t="s">
        <v>72</v>
      </c>
      <c r="AR4583" t="s">
        <v>72</v>
      </c>
      <c r="AS4583">
        <v>1670</v>
      </c>
      <c r="AT4583" s="4">
        <v>42552</v>
      </c>
      <c r="AU4583" t="s">
        <v>73</v>
      </c>
      <c r="AV4583">
        <v>1670</v>
      </c>
      <c r="AW4583" s="4">
        <v>42552</v>
      </c>
      <c r="BD4583">
        <v>0</v>
      </c>
      <c r="BN4583" t="s">
        <v>74</v>
      </c>
    </row>
    <row r="4584" spans="1:66" hidden="1">
      <c r="A4584">
        <v>101586</v>
      </c>
      <c r="B4584" s="3" t="s">
        <v>480</v>
      </c>
      <c r="C4584" s="1">
        <v>43300101</v>
      </c>
      <c r="D4584" t="s">
        <v>67</v>
      </c>
      <c r="H4584" t="str">
        <f t="shared" si="484"/>
        <v>05102540019</v>
      </c>
      <c r="I4584" t="str">
        <f t="shared" si="484"/>
        <v>05102540019</v>
      </c>
      <c r="K4584" t="str">
        <f>""</f>
        <v/>
      </c>
      <c r="M4584" t="s">
        <v>68</v>
      </c>
      <c r="N4584" t="str">
        <f t="shared" si="485"/>
        <v>FOR</v>
      </c>
      <c r="O4584" t="s">
        <v>69</v>
      </c>
      <c r="P4584" s="3" t="s">
        <v>75</v>
      </c>
      <c r="Q4584">
        <v>2015</v>
      </c>
      <c r="R4584" s="2">
        <v>42193</v>
      </c>
      <c r="S4584" s="2">
        <v>42198</v>
      </c>
      <c r="T4584" s="2">
        <v>42196</v>
      </c>
      <c r="U4584" s="2">
        <v>42256</v>
      </c>
      <c r="V4584" t="s">
        <v>71</v>
      </c>
      <c r="W4584" t="str">
        <f>"              2360/F"</f>
        <v xml:space="preserve">              2360/F</v>
      </c>
      <c r="X4584" s="1">
        <v>5392.4</v>
      </c>
      <c r="Y4584">
        <v>0</v>
      </c>
      <c r="Z4584"/>
      <c r="AB4584"/>
      <c r="AC4584" s="1">
        <v>4420</v>
      </c>
      <c r="AD4584">
        <v>296</v>
      </c>
      <c r="AE4584" s="1">
        <v>1308320</v>
      </c>
      <c r="AF4584">
        <v>0</v>
      </c>
      <c r="AJ4584">
        <v>0</v>
      </c>
      <c r="AK4584">
        <v>0</v>
      </c>
      <c r="AL4584">
        <v>0</v>
      </c>
      <c r="AM4584">
        <v>0</v>
      </c>
      <c r="AN4584">
        <v>0</v>
      </c>
      <c r="AO4584">
        <v>0</v>
      </c>
      <c r="AP4584" s="2">
        <v>42746</v>
      </c>
      <c r="AQ4584" t="s">
        <v>72</v>
      </c>
      <c r="AR4584" t="s">
        <v>72</v>
      </c>
      <c r="AS4584">
        <v>1670</v>
      </c>
      <c r="AT4584" s="4">
        <v>42552</v>
      </c>
      <c r="AU4584" t="s">
        <v>73</v>
      </c>
      <c r="AV4584">
        <v>1670</v>
      </c>
      <c r="AW4584" s="4">
        <v>42552</v>
      </c>
      <c r="BD4584">
        <v>0</v>
      </c>
      <c r="BN4584" t="s">
        <v>74</v>
      </c>
    </row>
    <row r="4585" spans="1:66" hidden="1">
      <c r="A4585">
        <v>101586</v>
      </c>
      <c r="B4585" s="3" t="s">
        <v>480</v>
      </c>
      <c r="C4585" s="1">
        <v>43300101</v>
      </c>
      <c r="D4585" t="s">
        <v>67</v>
      </c>
      <c r="H4585" t="str">
        <f t="shared" si="484"/>
        <v>05102540019</v>
      </c>
      <c r="I4585" t="str">
        <f t="shared" si="484"/>
        <v>05102540019</v>
      </c>
      <c r="K4585" t="str">
        <f>""</f>
        <v/>
      </c>
      <c r="M4585" t="s">
        <v>68</v>
      </c>
      <c r="N4585" t="str">
        <f t="shared" si="485"/>
        <v>FOR</v>
      </c>
      <c r="O4585" t="s">
        <v>69</v>
      </c>
      <c r="P4585" s="3" t="s">
        <v>75</v>
      </c>
      <c r="Q4585">
        <v>2015</v>
      </c>
      <c r="R4585" s="2">
        <v>42205</v>
      </c>
      <c r="S4585" s="2">
        <v>42207</v>
      </c>
      <c r="T4585" s="2">
        <v>42207</v>
      </c>
      <c r="U4585" s="2">
        <v>42267</v>
      </c>
      <c r="V4585" t="s">
        <v>71</v>
      </c>
      <c r="W4585" t="str">
        <f>"              2496/F"</f>
        <v xml:space="preserve">              2496/F</v>
      </c>
      <c r="X4585">
        <v>463.6</v>
      </c>
      <c r="Y4585">
        <v>0</v>
      </c>
      <c r="Z4585"/>
      <c r="AB4585"/>
      <c r="AC4585">
        <v>380</v>
      </c>
      <c r="AD4585">
        <v>285</v>
      </c>
      <c r="AE4585" s="1">
        <v>108300</v>
      </c>
      <c r="AF4585">
        <v>0</v>
      </c>
      <c r="AJ4585">
        <v>0</v>
      </c>
      <c r="AK4585">
        <v>0</v>
      </c>
      <c r="AL4585">
        <v>0</v>
      </c>
      <c r="AM4585">
        <v>0</v>
      </c>
      <c r="AN4585">
        <v>0</v>
      </c>
      <c r="AO4585">
        <v>0</v>
      </c>
      <c r="AP4585" s="2">
        <v>42746</v>
      </c>
      <c r="AQ4585" t="s">
        <v>72</v>
      </c>
      <c r="AR4585" t="s">
        <v>72</v>
      </c>
      <c r="AS4585">
        <v>1670</v>
      </c>
      <c r="AT4585" s="4">
        <v>42552</v>
      </c>
      <c r="AU4585" t="s">
        <v>73</v>
      </c>
      <c r="AV4585">
        <v>1670</v>
      </c>
      <c r="AW4585" s="4">
        <v>42552</v>
      </c>
      <c r="BD4585">
        <v>0</v>
      </c>
      <c r="BN4585" t="s">
        <v>74</v>
      </c>
    </row>
    <row r="4586" spans="1:66" hidden="1">
      <c r="A4586">
        <v>101586</v>
      </c>
      <c r="B4586" s="3" t="s">
        <v>480</v>
      </c>
      <c r="C4586" s="1">
        <v>43300101</v>
      </c>
      <c r="D4586" t="s">
        <v>67</v>
      </c>
      <c r="H4586" t="str">
        <f t="shared" si="484"/>
        <v>05102540019</v>
      </c>
      <c r="I4586" t="str">
        <f t="shared" si="484"/>
        <v>05102540019</v>
      </c>
      <c r="K4586" t="str">
        <f>""</f>
        <v/>
      </c>
      <c r="M4586" t="s">
        <v>68</v>
      </c>
      <c r="N4586" t="str">
        <f t="shared" si="485"/>
        <v>FOR</v>
      </c>
      <c r="O4586" t="s">
        <v>69</v>
      </c>
      <c r="P4586" s="3" t="s">
        <v>75</v>
      </c>
      <c r="Q4586">
        <v>2015</v>
      </c>
      <c r="R4586" s="2">
        <v>42213</v>
      </c>
      <c r="S4586" s="2">
        <v>42220</v>
      </c>
      <c r="T4586" s="2">
        <v>42219</v>
      </c>
      <c r="U4586" s="2">
        <v>42279</v>
      </c>
      <c r="V4586" t="s">
        <v>71</v>
      </c>
      <c r="W4586" t="str">
        <f>"              2645/F"</f>
        <v xml:space="preserve">              2645/F</v>
      </c>
      <c r="X4586" s="1">
        <v>1500.6</v>
      </c>
      <c r="Y4586">
        <v>0</v>
      </c>
      <c r="Z4586"/>
      <c r="AB4586"/>
      <c r="AC4586" s="1">
        <v>1230</v>
      </c>
      <c r="AD4586">
        <v>273</v>
      </c>
      <c r="AE4586" s="1">
        <v>335790</v>
      </c>
      <c r="AF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 s="2">
        <v>42746</v>
      </c>
      <c r="AQ4586" t="s">
        <v>72</v>
      </c>
      <c r="AR4586" t="s">
        <v>72</v>
      </c>
      <c r="AS4586">
        <v>1670</v>
      </c>
      <c r="AT4586" s="4">
        <v>42552</v>
      </c>
      <c r="AU4586" t="s">
        <v>73</v>
      </c>
      <c r="AV4586">
        <v>1670</v>
      </c>
      <c r="AW4586" s="4">
        <v>42552</v>
      </c>
      <c r="BD4586">
        <v>0</v>
      </c>
      <c r="BN4586" t="s">
        <v>74</v>
      </c>
    </row>
    <row r="4587" spans="1:66" hidden="1">
      <c r="A4587">
        <v>101586</v>
      </c>
      <c r="B4587" s="3" t="s">
        <v>480</v>
      </c>
      <c r="C4587" s="1">
        <v>43300101</v>
      </c>
      <c r="D4587" t="s">
        <v>67</v>
      </c>
      <c r="H4587" t="str">
        <f t="shared" si="484"/>
        <v>05102540019</v>
      </c>
      <c r="I4587" t="str">
        <f t="shared" si="484"/>
        <v>05102540019</v>
      </c>
      <c r="K4587" t="str">
        <f>""</f>
        <v/>
      </c>
      <c r="M4587" t="s">
        <v>68</v>
      </c>
      <c r="N4587" t="str">
        <f t="shared" si="485"/>
        <v>FOR</v>
      </c>
      <c r="O4587" t="s">
        <v>69</v>
      </c>
      <c r="P4587" s="3" t="s">
        <v>75</v>
      </c>
      <c r="Q4587">
        <v>2015</v>
      </c>
      <c r="R4587" s="2">
        <v>42213</v>
      </c>
      <c r="S4587" s="2">
        <v>42220</v>
      </c>
      <c r="T4587" s="2">
        <v>42219</v>
      </c>
      <c r="U4587" s="2">
        <v>42279</v>
      </c>
      <c r="V4587" t="s">
        <v>71</v>
      </c>
      <c r="W4587" t="str">
        <f>"              2661/F"</f>
        <v xml:space="preserve">              2661/F</v>
      </c>
      <c r="X4587">
        <v>237.9</v>
      </c>
      <c r="Y4587">
        <v>0</v>
      </c>
      <c r="Z4587"/>
      <c r="AB4587"/>
      <c r="AC4587">
        <v>195</v>
      </c>
      <c r="AD4587">
        <v>273</v>
      </c>
      <c r="AE4587" s="1">
        <v>53235</v>
      </c>
      <c r="AF4587">
        <v>0</v>
      </c>
      <c r="AJ4587">
        <v>0</v>
      </c>
      <c r="AK4587">
        <v>0</v>
      </c>
      <c r="AL4587">
        <v>0</v>
      </c>
      <c r="AM4587">
        <v>0</v>
      </c>
      <c r="AN4587">
        <v>0</v>
      </c>
      <c r="AO4587">
        <v>0</v>
      </c>
      <c r="AP4587" s="2">
        <v>42746</v>
      </c>
      <c r="AQ4587" t="s">
        <v>72</v>
      </c>
      <c r="AR4587" t="s">
        <v>72</v>
      </c>
      <c r="AS4587">
        <v>1670</v>
      </c>
      <c r="AT4587" s="4">
        <v>42552</v>
      </c>
      <c r="AU4587" t="s">
        <v>73</v>
      </c>
      <c r="AV4587">
        <v>1670</v>
      </c>
      <c r="AW4587" s="4">
        <v>42552</v>
      </c>
      <c r="BD4587">
        <v>0</v>
      </c>
      <c r="BN4587" t="s">
        <v>74</v>
      </c>
    </row>
    <row r="4588" spans="1:66" hidden="1">
      <c r="A4588">
        <v>101586</v>
      </c>
      <c r="B4588" s="3" t="s">
        <v>480</v>
      </c>
      <c r="C4588" s="1">
        <v>43300101</v>
      </c>
      <c r="D4588" t="s">
        <v>67</v>
      </c>
      <c r="H4588" t="str">
        <f t="shared" si="484"/>
        <v>05102540019</v>
      </c>
      <c r="I4588" t="str">
        <f t="shared" si="484"/>
        <v>05102540019</v>
      </c>
      <c r="K4588" t="str">
        <f>""</f>
        <v/>
      </c>
      <c r="M4588" t="s">
        <v>68</v>
      </c>
      <c r="N4588" t="str">
        <f t="shared" si="485"/>
        <v>FOR</v>
      </c>
      <c r="O4588" t="s">
        <v>69</v>
      </c>
      <c r="P4588" s="3" t="s">
        <v>75</v>
      </c>
      <c r="Q4588">
        <v>2015</v>
      </c>
      <c r="R4588" s="2">
        <v>42220</v>
      </c>
      <c r="S4588" s="2">
        <v>42228</v>
      </c>
      <c r="T4588" s="2">
        <v>42222</v>
      </c>
      <c r="U4588" s="2">
        <v>42282</v>
      </c>
      <c r="V4588" t="s">
        <v>71</v>
      </c>
      <c r="W4588" t="str">
        <f>"              2741/F"</f>
        <v xml:space="preserve">              2741/F</v>
      </c>
      <c r="X4588">
        <v>237.9</v>
      </c>
      <c r="Y4588">
        <v>0</v>
      </c>
      <c r="Z4588"/>
      <c r="AB4588"/>
      <c r="AC4588">
        <v>195</v>
      </c>
      <c r="AD4588">
        <v>297</v>
      </c>
      <c r="AE4588" s="1">
        <v>57915</v>
      </c>
      <c r="AF4588">
        <v>0</v>
      </c>
      <c r="AJ4588">
        <v>0</v>
      </c>
      <c r="AK4588">
        <v>0</v>
      </c>
      <c r="AL4588">
        <v>0</v>
      </c>
      <c r="AM4588">
        <v>0</v>
      </c>
      <c r="AN4588">
        <v>0</v>
      </c>
      <c r="AO4588">
        <v>0</v>
      </c>
      <c r="AP4588" s="2">
        <v>42746</v>
      </c>
      <c r="AQ4588" t="s">
        <v>72</v>
      </c>
      <c r="AR4588" t="s">
        <v>72</v>
      </c>
      <c r="AS4588">
        <v>1999</v>
      </c>
      <c r="AT4588" s="4">
        <v>42579</v>
      </c>
      <c r="AU4588" t="s">
        <v>73</v>
      </c>
      <c r="AV4588">
        <v>1999</v>
      </c>
      <c r="AW4588" s="4">
        <v>42579</v>
      </c>
      <c r="BD4588">
        <v>0</v>
      </c>
      <c r="BN4588" t="s">
        <v>74</v>
      </c>
    </row>
    <row r="4589" spans="1:66" hidden="1">
      <c r="A4589">
        <v>101586</v>
      </c>
      <c r="B4589" s="3" t="s">
        <v>480</v>
      </c>
      <c r="C4589" s="1">
        <v>43300101</v>
      </c>
      <c r="D4589" t="s">
        <v>67</v>
      </c>
      <c r="H4589" t="str">
        <f t="shared" ref="H4589:I4603" si="486">"05102540019"</f>
        <v>05102540019</v>
      </c>
      <c r="I4589" t="str">
        <f t="shared" si="486"/>
        <v>05102540019</v>
      </c>
      <c r="K4589" t="str">
        <f>""</f>
        <v/>
      </c>
      <c r="M4589" t="s">
        <v>68</v>
      </c>
      <c r="N4589" t="str">
        <f t="shared" si="485"/>
        <v>FOR</v>
      </c>
      <c r="O4589" t="s">
        <v>69</v>
      </c>
      <c r="P4589" s="3" t="s">
        <v>75</v>
      </c>
      <c r="Q4589">
        <v>2015</v>
      </c>
      <c r="R4589" s="2">
        <v>42226</v>
      </c>
      <c r="S4589" s="2">
        <v>42229</v>
      </c>
      <c r="T4589" s="2">
        <v>42227</v>
      </c>
      <c r="U4589" s="2">
        <v>42287</v>
      </c>
      <c r="V4589" t="s">
        <v>71</v>
      </c>
      <c r="W4589" t="str">
        <f>"              2796/F"</f>
        <v xml:space="preserve">              2796/F</v>
      </c>
      <c r="X4589">
        <v>237.9</v>
      </c>
      <c r="Y4589">
        <v>0</v>
      </c>
      <c r="Z4589"/>
      <c r="AB4589"/>
      <c r="AC4589">
        <v>195</v>
      </c>
      <c r="AD4589">
        <v>292</v>
      </c>
      <c r="AE4589" s="1">
        <v>56940</v>
      </c>
      <c r="AF4589">
        <v>0</v>
      </c>
      <c r="AJ4589">
        <v>0</v>
      </c>
      <c r="AK4589">
        <v>0</v>
      </c>
      <c r="AL4589">
        <v>0</v>
      </c>
      <c r="AM4589">
        <v>0</v>
      </c>
      <c r="AN4589">
        <v>0</v>
      </c>
      <c r="AO4589">
        <v>0</v>
      </c>
      <c r="AP4589" s="2">
        <v>42746</v>
      </c>
      <c r="AQ4589" t="s">
        <v>72</v>
      </c>
      <c r="AR4589" t="s">
        <v>72</v>
      </c>
      <c r="AS4589">
        <v>1999</v>
      </c>
      <c r="AT4589" s="4">
        <v>42579</v>
      </c>
      <c r="AU4589" t="s">
        <v>73</v>
      </c>
      <c r="AV4589">
        <v>1999</v>
      </c>
      <c r="AW4589" s="4">
        <v>42579</v>
      </c>
      <c r="BD4589">
        <v>0</v>
      </c>
      <c r="BN4589" t="s">
        <v>74</v>
      </c>
    </row>
    <row r="4590" spans="1:66" hidden="1">
      <c r="A4590">
        <v>101586</v>
      </c>
      <c r="B4590" s="3" t="s">
        <v>480</v>
      </c>
      <c r="C4590" s="1">
        <v>43300101</v>
      </c>
      <c r="D4590" t="s">
        <v>67</v>
      </c>
      <c r="H4590" t="str">
        <f t="shared" si="486"/>
        <v>05102540019</v>
      </c>
      <c r="I4590" t="str">
        <f t="shared" si="486"/>
        <v>05102540019</v>
      </c>
      <c r="K4590" t="str">
        <f>""</f>
        <v/>
      </c>
      <c r="M4590" t="s">
        <v>68</v>
      </c>
      <c r="N4590" t="str">
        <f t="shared" si="485"/>
        <v>FOR</v>
      </c>
      <c r="O4590" t="s">
        <v>69</v>
      </c>
      <c r="P4590" s="3" t="s">
        <v>75</v>
      </c>
      <c r="Q4590">
        <v>2015</v>
      </c>
      <c r="R4590" s="2">
        <v>42241</v>
      </c>
      <c r="S4590" s="2">
        <v>42251</v>
      </c>
      <c r="T4590" s="2">
        <v>42250</v>
      </c>
      <c r="U4590" s="2">
        <v>42310</v>
      </c>
      <c r="V4590" t="s">
        <v>71</v>
      </c>
      <c r="W4590" t="str">
        <f>"              2896/F"</f>
        <v xml:space="preserve">              2896/F</v>
      </c>
      <c r="X4590" s="1">
        <v>2440</v>
      </c>
      <c r="Y4590">
        <v>0</v>
      </c>
      <c r="Z4590"/>
      <c r="AB4590"/>
      <c r="AC4590" s="1">
        <v>2000</v>
      </c>
      <c r="AD4590">
        <v>269</v>
      </c>
      <c r="AE4590" s="1">
        <v>538000</v>
      </c>
      <c r="AF4590">
        <v>0</v>
      </c>
      <c r="AJ4590">
        <v>0</v>
      </c>
      <c r="AK4590">
        <v>0</v>
      </c>
      <c r="AL4590">
        <v>0</v>
      </c>
      <c r="AM4590">
        <v>0</v>
      </c>
      <c r="AN4590">
        <v>0</v>
      </c>
      <c r="AO4590">
        <v>0</v>
      </c>
      <c r="AP4590" s="2">
        <v>42746</v>
      </c>
      <c r="AQ4590" t="s">
        <v>72</v>
      </c>
      <c r="AR4590" t="s">
        <v>72</v>
      </c>
      <c r="AS4590">
        <v>1999</v>
      </c>
      <c r="AT4590" s="4">
        <v>42579</v>
      </c>
      <c r="AU4590" t="s">
        <v>73</v>
      </c>
      <c r="AV4590">
        <v>1999</v>
      </c>
      <c r="AW4590" s="4">
        <v>42579</v>
      </c>
      <c r="BD4590">
        <v>0</v>
      </c>
      <c r="BN4590" t="s">
        <v>74</v>
      </c>
    </row>
    <row r="4591" spans="1:66" hidden="1">
      <c r="A4591">
        <v>101586</v>
      </c>
      <c r="B4591" s="3" t="s">
        <v>480</v>
      </c>
      <c r="C4591" s="1">
        <v>43300101</v>
      </c>
      <c r="D4591" t="s">
        <v>67</v>
      </c>
      <c r="H4591" t="str">
        <f t="shared" si="486"/>
        <v>05102540019</v>
      </c>
      <c r="I4591" t="str">
        <f t="shared" si="486"/>
        <v>05102540019</v>
      </c>
      <c r="K4591" t="str">
        <f>""</f>
        <v/>
      </c>
      <c r="M4591" t="s">
        <v>68</v>
      </c>
      <c r="N4591" t="str">
        <f t="shared" si="485"/>
        <v>FOR</v>
      </c>
      <c r="O4591" t="s">
        <v>69</v>
      </c>
      <c r="P4591" s="3" t="s">
        <v>75</v>
      </c>
      <c r="Q4591">
        <v>2015</v>
      </c>
      <c r="R4591" s="2">
        <v>42247</v>
      </c>
      <c r="S4591" s="2">
        <v>42254</v>
      </c>
      <c r="T4591" s="2">
        <v>42250</v>
      </c>
      <c r="U4591" s="2">
        <v>42310</v>
      </c>
      <c r="V4591" t="s">
        <v>71</v>
      </c>
      <c r="W4591" t="str">
        <f>"              2992/F"</f>
        <v xml:space="preserve">              2992/F</v>
      </c>
      <c r="X4591">
        <v>951.6</v>
      </c>
      <c r="Y4591">
        <v>0</v>
      </c>
      <c r="Z4591"/>
      <c r="AB4591"/>
      <c r="AC4591">
        <v>780</v>
      </c>
      <c r="AD4591">
        <v>269</v>
      </c>
      <c r="AE4591" s="1">
        <v>209820</v>
      </c>
      <c r="AF4591">
        <v>0</v>
      </c>
      <c r="AJ4591">
        <v>0</v>
      </c>
      <c r="AK4591">
        <v>0</v>
      </c>
      <c r="AL4591">
        <v>0</v>
      </c>
      <c r="AM4591">
        <v>0</v>
      </c>
      <c r="AN4591">
        <v>0</v>
      </c>
      <c r="AO4591">
        <v>0</v>
      </c>
      <c r="AP4591" s="2">
        <v>42746</v>
      </c>
      <c r="AQ4591" t="s">
        <v>72</v>
      </c>
      <c r="AR4591" t="s">
        <v>72</v>
      </c>
      <c r="AS4591">
        <v>1999</v>
      </c>
      <c r="AT4591" s="4">
        <v>42579</v>
      </c>
      <c r="AU4591" t="s">
        <v>73</v>
      </c>
      <c r="AV4591">
        <v>1999</v>
      </c>
      <c r="AW4591" s="4">
        <v>42579</v>
      </c>
      <c r="BD4591">
        <v>0</v>
      </c>
      <c r="BN4591" t="s">
        <v>74</v>
      </c>
    </row>
    <row r="4592" spans="1:66" hidden="1">
      <c r="A4592">
        <v>101586</v>
      </c>
      <c r="B4592" s="3" t="s">
        <v>480</v>
      </c>
      <c r="C4592" s="1">
        <v>43300101</v>
      </c>
      <c r="D4592" t="s">
        <v>67</v>
      </c>
      <c r="H4592" t="str">
        <f t="shared" si="486"/>
        <v>05102540019</v>
      </c>
      <c r="I4592" t="str">
        <f t="shared" si="486"/>
        <v>05102540019</v>
      </c>
      <c r="K4592" t="str">
        <f>""</f>
        <v/>
      </c>
      <c r="M4592" t="s">
        <v>68</v>
      </c>
      <c r="N4592" t="str">
        <f t="shared" si="485"/>
        <v>FOR</v>
      </c>
      <c r="O4592" t="s">
        <v>69</v>
      </c>
      <c r="P4592" s="3" t="s">
        <v>75</v>
      </c>
      <c r="Q4592">
        <v>2015</v>
      </c>
      <c r="R4592" s="2">
        <v>42268</v>
      </c>
      <c r="S4592" s="2">
        <v>42269</v>
      </c>
      <c r="T4592" s="2">
        <v>42269</v>
      </c>
      <c r="U4592" s="2">
        <v>42329</v>
      </c>
      <c r="V4592" t="s">
        <v>71</v>
      </c>
      <c r="W4592" t="str">
        <f>"              3276/F"</f>
        <v xml:space="preserve">              3276/F</v>
      </c>
      <c r="X4592">
        <v>512.4</v>
      </c>
      <c r="Y4592">
        <v>0</v>
      </c>
      <c r="Z4592"/>
      <c r="AB4592"/>
      <c r="AC4592">
        <v>420</v>
      </c>
      <c r="AD4592">
        <v>291</v>
      </c>
      <c r="AE4592" s="1">
        <v>122220</v>
      </c>
      <c r="AF4592">
        <v>0</v>
      </c>
      <c r="AJ4592">
        <v>0</v>
      </c>
      <c r="AK4592">
        <v>0</v>
      </c>
      <c r="AL4592">
        <v>0</v>
      </c>
      <c r="AM4592">
        <v>0</v>
      </c>
      <c r="AN4592">
        <v>0</v>
      </c>
      <c r="AO4592">
        <v>0</v>
      </c>
      <c r="AP4592" s="2">
        <v>42746</v>
      </c>
      <c r="AQ4592" t="s">
        <v>72</v>
      </c>
      <c r="AR4592" t="s">
        <v>72</v>
      </c>
      <c r="AS4592">
        <v>2350</v>
      </c>
      <c r="AT4592" s="4">
        <v>42620</v>
      </c>
      <c r="AU4592" t="s">
        <v>73</v>
      </c>
      <c r="AV4592">
        <v>2350</v>
      </c>
      <c r="AW4592" s="4">
        <v>42620</v>
      </c>
      <c r="BD4592">
        <v>0</v>
      </c>
      <c r="BN4592" t="s">
        <v>74</v>
      </c>
    </row>
    <row r="4593" spans="1:66" hidden="1">
      <c r="A4593">
        <v>101586</v>
      </c>
      <c r="B4593" s="3" t="s">
        <v>480</v>
      </c>
      <c r="C4593" s="1">
        <v>43300101</v>
      </c>
      <c r="D4593" t="s">
        <v>67</v>
      </c>
      <c r="H4593" t="str">
        <f t="shared" si="486"/>
        <v>05102540019</v>
      </c>
      <c r="I4593" t="str">
        <f t="shared" si="486"/>
        <v>05102540019</v>
      </c>
      <c r="K4593" t="str">
        <f>""</f>
        <v/>
      </c>
      <c r="M4593" t="s">
        <v>68</v>
      </c>
      <c r="N4593" t="str">
        <f t="shared" si="485"/>
        <v>FOR</v>
      </c>
      <c r="O4593" t="s">
        <v>69</v>
      </c>
      <c r="P4593" s="3" t="s">
        <v>75</v>
      </c>
      <c r="Q4593">
        <v>2015</v>
      </c>
      <c r="R4593" s="2">
        <v>42277</v>
      </c>
      <c r="S4593" s="2">
        <v>42286</v>
      </c>
      <c r="T4593" s="2">
        <v>42284</v>
      </c>
      <c r="U4593" s="2">
        <v>42344</v>
      </c>
      <c r="V4593" t="s">
        <v>71</v>
      </c>
      <c r="W4593" t="str">
        <f>"              3384/F"</f>
        <v xml:space="preserve">              3384/F</v>
      </c>
      <c r="X4593">
        <v>237.9</v>
      </c>
      <c r="Y4593">
        <v>0</v>
      </c>
      <c r="Z4593"/>
      <c r="AB4593"/>
      <c r="AC4593">
        <v>195</v>
      </c>
      <c r="AD4593">
        <v>276</v>
      </c>
      <c r="AE4593" s="1">
        <v>53820</v>
      </c>
      <c r="AF4593">
        <v>0</v>
      </c>
      <c r="AJ4593">
        <v>0</v>
      </c>
      <c r="AK4593">
        <v>0</v>
      </c>
      <c r="AL4593">
        <v>0</v>
      </c>
      <c r="AM4593">
        <v>0</v>
      </c>
      <c r="AN4593">
        <v>0</v>
      </c>
      <c r="AO4593">
        <v>0</v>
      </c>
      <c r="AP4593" s="2">
        <v>42746</v>
      </c>
      <c r="AQ4593" t="s">
        <v>72</v>
      </c>
      <c r="AR4593" t="s">
        <v>72</v>
      </c>
      <c r="AS4593">
        <v>2350</v>
      </c>
      <c r="AT4593" s="4">
        <v>42620</v>
      </c>
      <c r="AU4593" t="s">
        <v>73</v>
      </c>
      <c r="AV4593">
        <v>2350</v>
      </c>
      <c r="AW4593" s="4">
        <v>42620</v>
      </c>
      <c r="BD4593">
        <v>0</v>
      </c>
      <c r="BN4593" t="s">
        <v>74</v>
      </c>
    </row>
    <row r="4594" spans="1:66">
      <c r="A4594">
        <v>101586</v>
      </c>
      <c r="B4594" s="3" t="s">
        <v>480</v>
      </c>
      <c r="C4594" s="1">
        <v>43300101</v>
      </c>
      <c r="D4594" t="s">
        <v>67</v>
      </c>
      <c r="H4594" t="str">
        <f t="shared" si="486"/>
        <v>05102540019</v>
      </c>
      <c r="I4594" t="str">
        <f t="shared" si="486"/>
        <v>05102540019</v>
      </c>
      <c r="K4594" t="str">
        <f>""</f>
        <v/>
      </c>
      <c r="M4594" t="s">
        <v>68</v>
      </c>
      <c r="N4594" t="str">
        <f t="shared" si="485"/>
        <v>FOR</v>
      </c>
      <c r="O4594" t="s">
        <v>69</v>
      </c>
      <c r="P4594" s="3" t="s">
        <v>75</v>
      </c>
      <c r="Q4594">
        <v>2015</v>
      </c>
      <c r="R4594" s="2">
        <v>42293</v>
      </c>
      <c r="S4594" s="2">
        <v>42296</v>
      </c>
      <c r="T4594" s="2">
        <v>42296</v>
      </c>
      <c r="U4594" s="2">
        <v>42356</v>
      </c>
      <c r="V4594" t="s">
        <v>71</v>
      </c>
      <c r="W4594" t="str">
        <f>"              3626/F"</f>
        <v xml:space="preserve">              3626/F</v>
      </c>
      <c r="X4594">
        <v>500.2</v>
      </c>
      <c r="Y4594">
        <v>0</v>
      </c>
      <c r="Z4594" s="3">
        <v>410</v>
      </c>
      <c r="AA4594">
        <v>292</v>
      </c>
      <c r="AB4594" s="5">
        <v>119720</v>
      </c>
      <c r="AC4594">
        <v>410</v>
      </c>
      <c r="AD4594">
        <v>292</v>
      </c>
      <c r="AE4594" s="1">
        <v>119720</v>
      </c>
      <c r="AF4594">
        <v>0</v>
      </c>
      <c r="AJ4594">
        <v>0</v>
      </c>
      <c r="AK4594">
        <v>0</v>
      </c>
      <c r="AL4594">
        <v>0</v>
      </c>
      <c r="AM4594">
        <v>0</v>
      </c>
      <c r="AN4594">
        <v>0</v>
      </c>
      <c r="AO4594">
        <v>0</v>
      </c>
      <c r="AP4594" s="2">
        <v>42746</v>
      </c>
      <c r="AQ4594" t="s">
        <v>72</v>
      </c>
      <c r="AR4594" t="s">
        <v>72</v>
      </c>
      <c r="AS4594">
        <v>2701</v>
      </c>
      <c r="AT4594" s="4">
        <v>42648</v>
      </c>
      <c r="AU4594" t="s">
        <v>73</v>
      </c>
      <c r="AV4594">
        <v>2701</v>
      </c>
      <c r="AW4594" s="4">
        <v>42648</v>
      </c>
      <c r="BD4594">
        <v>0</v>
      </c>
      <c r="BN4594" t="s">
        <v>74</v>
      </c>
    </row>
    <row r="4595" spans="1:66">
      <c r="A4595">
        <v>101586</v>
      </c>
      <c r="B4595" s="3" t="s">
        <v>480</v>
      </c>
      <c r="C4595" s="1">
        <v>43300101</v>
      </c>
      <c r="D4595" t="s">
        <v>67</v>
      </c>
      <c r="H4595" t="str">
        <f t="shared" si="486"/>
        <v>05102540019</v>
      </c>
      <c r="I4595" t="str">
        <f t="shared" si="486"/>
        <v>05102540019</v>
      </c>
      <c r="K4595" t="str">
        <f>""</f>
        <v/>
      </c>
      <c r="M4595" t="s">
        <v>68</v>
      </c>
      <c r="N4595" t="str">
        <f t="shared" si="485"/>
        <v>FOR</v>
      </c>
      <c r="O4595" t="s">
        <v>69</v>
      </c>
      <c r="P4595" s="3" t="s">
        <v>75</v>
      </c>
      <c r="Q4595">
        <v>2015</v>
      </c>
      <c r="R4595" s="2">
        <v>42298</v>
      </c>
      <c r="S4595" s="2">
        <v>42300</v>
      </c>
      <c r="T4595" s="2">
        <v>42299</v>
      </c>
      <c r="U4595" s="2">
        <v>42359</v>
      </c>
      <c r="V4595" t="s">
        <v>71</v>
      </c>
      <c r="W4595" t="str">
        <f>"              3668/F"</f>
        <v xml:space="preserve">              3668/F</v>
      </c>
      <c r="X4595">
        <v>237.9</v>
      </c>
      <c r="Y4595">
        <v>0</v>
      </c>
      <c r="Z4595" s="3">
        <v>195</v>
      </c>
      <c r="AA4595">
        <v>289</v>
      </c>
      <c r="AB4595" s="5">
        <v>56355</v>
      </c>
      <c r="AC4595">
        <v>195</v>
      </c>
      <c r="AD4595">
        <v>289</v>
      </c>
      <c r="AE4595" s="1">
        <v>56355</v>
      </c>
      <c r="AF4595">
        <v>0</v>
      </c>
      <c r="AJ4595">
        <v>0</v>
      </c>
      <c r="AK4595">
        <v>0</v>
      </c>
      <c r="AL4595">
        <v>0</v>
      </c>
      <c r="AM4595">
        <v>0</v>
      </c>
      <c r="AN4595">
        <v>0</v>
      </c>
      <c r="AO4595">
        <v>0</v>
      </c>
      <c r="AP4595" s="2">
        <v>42746</v>
      </c>
      <c r="AQ4595" t="s">
        <v>72</v>
      </c>
      <c r="AR4595" t="s">
        <v>72</v>
      </c>
      <c r="AS4595">
        <v>2701</v>
      </c>
      <c r="AT4595" s="4">
        <v>42648</v>
      </c>
      <c r="AU4595" t="s">
        <v>73</v>
      </c>
      <c r="AV4595">
        <v>2701</v>
      </c>
      <c r="AW4595" s="4">
        <v>42648</v>
      </c>
      <c r="BD4595">
        <v>0</v>
      </c>
      <c r="BN4595" t="s">
        <v>74</v>
      </c>
    </row>
    <row r="4596" spans="1:66">
      <c r="A4596">
        <v>101586</v>
      </c>
      <c r="B4596" s="3" t="s">
        <v>480</v>
      </c>
      <c r="C4596" s="1">
        <v>43300101</v>
      </c>
      <c r="D4596" t="s">
        <v>67</v>
      </c>
      <c r="H4596" t="str">
        <f t="shared" si="486"/>
        <v>05102540019</v>
      </c>
      <c r="I4596" t="str">
        <f t="shared" si="486"/>
        <v>05102540019</v>
      </c>
      <c r="K4596" t="str">
        <f>""</f>
        <v/>
      </c>
      <c r="M4596" t="s">
        <v>68</v>
      </c>
      <c r="N4596" t="str">
        <f t="shared" si="485"/>
        <v>FOR</v>
      </c>
      <c r="O4596" t="s">
        <v>69</v>
      </c>
      <c r="P4596" s="3" t="s">
        <v>75</v>
      </c>
      <c r="Q4596">
        <v>2015</v>
      </c>
      <c r="R4596" s="2">
        <v>42298</v>
      </c>
      <c r="S4596" s="2">
        <v>42300</v>
      </c>
      <c r="T4596" s="2">
        <v>42299</v>
      </c>
      <c r="U4596" s="2">
        <v>42359</v>
      </c>
      <c r="V4596" t="s">
        <v>71</v>
      </c>
      <c r="W4596" t="str">
        <f>"              3692/F"</f>
        <v xml:space="preserve">              3692/F</v>
      </c>
      <c r="X4596">
        <v>512.4</v>
      </c>
      <c r="Y4596">
        <v>0</v>
      </c>
      <c r="Z4596" s="3">
        <v>420</v>
      </c>
      <c r="AA4596">
        <v>289</v>
      </c>
      <c r="AB4596" s="5">
        <v>121380</v>
      </c>
      <c r="AC4596">
        <v>420</v>
      </c>
      <c r="AD4596">
        <v>289</v>
      </c>
      <c r="AE4596" s="1">
        <v>121380</v>
      </c>
      <c r="AF4596">
        <v>0</v>
      </c>
      <c r="AJ4596">
        <v>0</v>
      </c>
      <c r="AK4596">
        <v>0</v>
      </c>
      <c r="AL4596">
        <v>0</v>
      </c>
      <c r="AM4596">
        <v>0</v>
      </c>
      <c r="AN4596">
        <v>0</v>
      </c>
      <c r="AO4596">
        <v>0</v>
      </c>
      <c r="AP4596" s="2">
        <v>42746</v>
      </c>
      <c r="AQ4596" t="s">
        <v>72</v>
      </c>
      <c r="AR4596" t="s">
        <v>72</v>
      </c>
      <c r="AS4596">
        <v>2701</v>
      </c>
      <c r="AT4596" s="4">
        <v>42648</v>
      </c>
      <c r="AU4596" t="s">
        <v>73</v>
      </c>
      <c r="AV4596">
        <v>2701</v>
      </c>
      <c r="AW4596" s="4">
        <v>42648</v>
      </c>
      <c r="BD4596">
        <v>0</v>
      </c>
      <c r="BN4596" t="s">
        <v>74</v>
      </c>
    </row>
    <row r="4597" spans="1:66">
      <c r="A4597">
        <v>101586</v>
      </c>
      <c r="B4597" s="3" t="s">
        <v>480</v>
      </c>
      <c r="C4597" s="1">
        <v>43300101</v>
      </c>
      <c r="D4597" t="s">
        <v>67</v>
      </c>
      <c r="H4597" t="str">
        <f t="shared" si="486"/>
        <v>05102540019</v>
      </c>
      <c r="I4597" t="str">
        <f t="shared" si="486"/>
        <v>05102540019</v>
      </c>
      <c r="K4597" t="str">
        <f>""</f>
        <v/>
      </c>
      <c r="M4597" t="s">
        <v>68</v>
      </c>
      <c r="N4597" t="str">
        <f t="shared" si="485"/>
        <v>FOR</v>
      </c>
      <c r="O4597" t="s">
        <v>69</v>
      </c>
      <c r="P4597" s="3" t="s">
        <v>75</v>
      </c>
      <c r="Q4597">
        <v>2015</v>
      </c>
      <c r="R4597" s="2">
        <v>42304</v>
      </c>
      <c r="S4597" s="2">
        <v>42307</v>
      </c>
      <c r="T4597" s="2">
        <v>42305</v>
      </c>
      <c r="U4597" s="2">
        <v>42365</v>
      </c>
      <c r="V4597" t="s">
        <v>71</v>
      </c>
      <c r="W4597" t="str">
        <f>"              3734/F"</f>
        <v xml:space="preserve">              3734/F</v>
      </c>
      <c r="X4597">
        <v>237.9</v>
      </c>
      <c r="Y4597">
        <v>0</v>
      </c>
      <c r="Z4597" s="3">
        <v>195</v>
      </c>
      <c r="AA4597">
        <v>283</v>
      </c>
      <c r="AB4597" s="5">
        <v>55185</v>
      </c>
      <c r="AC4597">
        <v>195</v>
      </c>
      <c r="AD4597">
        <v>283</v>
      </c>
      <c r="AE4597" s="1">
        <v>55185</v>
      </c>
      <c r="AF4597">
        <v>0</v>
      </c>
      <c r="AJ4597">
        <v>0</v>
      </c>
      <c r="AK4597">
        <v>0</v>
      </c>
      <c r="AL4597">
        <v>0</v>
      </c>
      <c r="AM4597">
        <v>0</v>
      </c>
      <c r="AN4597">
        <v>0</v>
      </c>
      <c r="AO4597">
        <v>0</v>
      </c>
      <c r="AP4597" s="2">
        <v>42746</v>
      </c>
      <c r="AQ4597" t="s">
        <v>72</v>
      </c>
      <c r="AR4597" t="s">
        <v>72</v>
      </c>
      <c r="AS4597">
        <v>2701</v>
      </c>
      <c r="AT4597" s="4">
        <v>42648</v>
      </c>
      <c r="AU4597" t="s">
        <v>73</v>
      </c>
      <c r="AV4597">
        <v>2701</v>
      </c>
      <c r="AW4597" s="4">
        <v>42648</v>
      </c>
      <c r="BD4597">
        <v>0</v>
      </c>
      <c r="BN4597" t="s">
        <v>74</v>
      </c>
    </row>
    <row r="4598" spans="1:66">
      <c r="A4598">
        <v>101586</v>
      </c>
      <c r="B4598" s="3" t="s">
        <v>480</v>
      </c>
      <c r="C4598" s="1">
        <v>43300101</v>
      </c>
      <c r="D4598" t="s">
        <v>67</v>
      </c>
      <c r="H4598" t="str">
        <f t="shared" si="486"/>
        <v>05102540019</v>
      </c>
      <c r="I4598" t="str">
        <f t="shared" si="486"/>
        <v>05102540019</v>
      </c>
      <c r="K4598" t="str">
        <f>""</f>
        <v/>
      </c>
      <c r="M4598" t="s">
        <v>68</v>
      </c>
      <c r="N4598" t="str">
        <f t="shared" si="485"/>
        <v>FOR</v>
      </c>
      <c r="O4598" t="s">
        <v>69</v>
      </c>
      <c r="P4598" s="3" t="s">
        <v>75</v>
      </c>
      <c r="Q4598">
        <v>2015</v>
      </c>
      <c r="R4598" s="2">
        <v>42320</v>
      </c>
      <c r="S4598" s="2">
        <v>42326</v>
      </c>
      <c r="T4598" s="2">
        <v>42324</v>
      </c>
      <c r="U4598" s="2">
        <v>42384</v>
      </c>
      <c r="V4598" t="s">
        <v>71</v>
      </c>
      <c r="W4598" t="str">
        <f>"              3915/F"</f>
        <v xml:space="preserve">              3915/F</v>
      </c>
      <c r="X4598">
        <v>963.8</v>
      </c>
      <c r="Y4598">
        <v>0</v>
      </c>
      <c r="Z4598" s="3">
        <v>790</v>
      </c>
      <c r="AA4598">
        <v>294</v>
      </c>
      <c r="AB4598" s="5">
        <v>232260</v>
      </c>
      <c r="AC4598">
        <v>790</v>
      </c>
      <c r="AD4598">
        <v>294</v>
      </c>
      <c r="AE4598" s="1">
        <v>232260</v>
      </c>
      <c r="AF4598">
        <v>0</v>
      </c>
      <c r="AJ4598">
        <v>0</v>
      </c>
      <c r="AK4598">
        <v>0</v>
      </c>
      <c r="AL4598">
        <v>0</v>
      </c>
      <c r="AM4598">
        <v>0</v>
      </c>
      <c r="AN4598">
        <v>0</v>
      </c>
      <c r="AO4598">
        <v>0</v>
      </c>
      <c r="AP4598" s="2">
        <v>42746</v>
      </c>
      <c r="AQ4598" t="s">
        <v>72</v>
      </c>
      <c r="AR4598" t="s">
        <v>72</v>
      </c>
      <c r="AS4598">
        <v>2936</v>
      </c>
      <c r="AT4598" s="4">
        <v>42678</v>
      </c>
      <c r="AU4598" t="s">
        <v>73</v>
      </c>
      <c r="AV4598">
        <v>2936</v>
      </c>
      <c r="AW4598" s="4">
        <v>42678</v>
      </c>
      <c r="BD4598">
        <v>0</v>
      </c>
      <c r="BN4598" t="s">
        <v>74</v>
      </c>
    </row>
    <row r="4599" spans="1:66">
      <c r="A4599">
        <v>101586</v>
      </c>
      <c r="B4599" s="3" t="s">
        <v>480</v>
      </c>
      <c r="C4599" s="1">
        <v>43300101</v>
      </c>
      <c r="D4599" t="s">
        <v>67</v>
      </c>
      <c r="H4599" t="str">
        <f t="shared" si="486"/>
        <v>05102540019</v>
      </c>
      <c r="I4599" t="str">
        <f t="shared" si="486"/>
        <v>05102540019</v>
      </c>
      <c r="K4599" t="str">
        <f>""</f>
        <v/>
      </c>
      <c r="M4599" t="s">
        <v>68</v>
      </c>
      <c r="N4599" t="str">
        <f t="shared" si="485"/>
        <v>FOR</v>
      </c>
      <c r="O4599" t="s">
        <v>69</v>
      </c>
      <c r="P4599" s="3" t="s">
        <v>75</v>
      </c>
      <c r="Q4599">
        <v>2015</v>
      </c>
      <c r="R4599" s="2">
        <v>42327</v>
      </c>
      <c r="S4599" s="2">
        <v>42328</v>
      </c>
      <c r="T4599" s="2">
        <v>42328</v>
      </c>
      <c r="U4599" s="2">
        <v>42388</v>
      </c>
      <c r="V4599" t="s">
        <v>71</v>
      </c>
      <c r="W4599" t="str">
        <f>"              4042/F"</f>
        <v xml:space="preserve">              4042/F</v>
      </c>
      <c r="X4599" s="1">
        <v>1024.8</v>
      </c>
      <c r="Y4599">
        <v>0</v>
      </c>
      <c r="Z4599" s="3">
        <v>840</v>
      </c>
      <c r="AA4599">
        <v>290</v>
      </c>
      <c r="AB4599" s="5">
        <v>243600</v>
      </c>
      <c r="AC4599">
        <v>840</v>
      </c>
      <c r="AD4599">
        <v>290</v>
      </c>
      <c r="AE4599" s="1">
        <v>243600</v>
      </c>
      <c r="AF4599">
        <v>0</v>
      </c>
      <c r="AJ4599">
        <v>0</v>
      </c>
      <c r="AK4599">
        <v>0</v>
      </c>
      <c r="AL4599">
        <v>0</v>
      </c>
      <c r="AM4599">
        <v>0</v>
      </c>
      <c r="AN4599">
        <v>0</v>
      </c>
      <c r="AO4599">
        <v>0</v>
      </c>
      <c r="AP4599" s="2">
        <v>42746</v>
      </c>
      <c r="AQ4599" t="s">
        <v>72</v>
      </c>
      <c r="AR4599" t="s">
        <v>72</v>
      </c>
      <c r="AS4599">
        <v>2936</v>
      </c>
      <c r="AT4599" s="4">
        <v>42678</v>
      </c>
      <c r="AU4599" t="s">
        <v>73</v>
      </c>
      <c r="AV4599">
        <v>2936</v>
      </c>
      <c r="AW4599" s="4">
        <v>42678</v>
      </c>
      <c r="BD4599">
        <v>0</v>
      </c>
      <c r="BN4599" t="s">
        <v>74</v>
      </c>
    </row>
    <row r="4600" spans="1:66">
      <c r="A4600">
        <v>101586</v>
      </c>
      <c r="B4600" s="3" t="s">
        <v>480</v>
      </c>
      <c r="C4600" s="1">
        <v>43300101</v>
      </c>
      <c r="D4600" t="s">
        <v>67</v>
      </c>
      <c r="H4600" t="str">
        <f t="shared" si="486"/>
        <v>05102540019</v>
      </c>
      <c r="I4600" t="str">
        <f t="shared" si="486"/>
        <v>05102540019</v>
      </c>
      <c r="K4600" t="str">
        <f>""</f>
        <v/>
      </c>
      <c r="M4600" t="s">
        <v>68</v>
      </c>
      <c r="N4600" t="str">
        <f t="shared" si="485"/>
        <v>FOR</v>
      </c>
      <c r="O4600" t="s">
        <v>69</v>
      </c>
      <c r="P4600" s="3" t="s">
        <v>75</v>
      </c>
      <c r="Q4600">
        <v>2015</v>
      </c>
      <c r="R4600" s="2">
        <v>42331</v>
      </c>
      <c r="S4600" s="2">
        <v>42338</v>
      </c>
      <c r="T4600" s="2">
        <v>42334</v>
      </c>
      <c r="U4600" s="2">
        <v>42394</v>
      </c>
      <c r="V4600" t="s">
        <v>71</v>
      </c>
      <c r="W4600" t="str">
        <f>"              4106/F"</f>
        <v xml:space="preserve">              4106/F</v>
      </c>
      <c r="X4600">
        <v>475.8</v>
      </c>
      <c r="Y4600">
        <v>0</v>
      </c>
      <c r="Z4600" s="3">
        <v>390</v>
      </c>
      <c r="AA4600">
        <v>284</v>
      </c>
      <c r="AB4600" s="5">
        <v>110760</v>
      </c>
      <c r="AC4600">
        <v>390</v>
      </c>
      <c r="AD4600">
        <v>284</v>
      </c>
      <c r="AE4600" s="1">
        <v>110760</v>
      </c>
      <c r="AF4600">
        <v>0</v>
      </c>
      <c r="AJ4600">
        <v>0</v>
      </c>
      <c r="AK4600">
        <v>0</v>
      </c>
      <c r="AL4600">
        <v>0</v>
      </c>
      <c r="AM4600">
        <v>0</v>
      </c>
      <c r="AN4600">
        <v>0</v>
      </c>
      <c r="AO4600">
        <v>0</v>
      </c>
      <c r="AP4600" s="2">
        <v>42746</v>
      </c>
      <c r="AQ4600" t="s">
        <v>72</v>
      </c>
      <c r="AR4600" t="s">
        <v>72</v>
      </c>
      <c r="AS4600">
        <v>2936</v>
      </c>
      <c r="AT4600" s="4">
        <v>42678</v>
      </c>
      <c r="AU4600" t="s">
        <v>73</v>
      </c>
      <c r="AV4600">
        <v>2936</v>
      </c>
      <c r="AW4600" s="4">
        <v>42678</v>
      </c>
      <c r="BD4600">
        <v>0</v>
      </c>
      <c r="BN4600" t="s">
        <v>74</v>
      </c>
    </row>
    <row r="4601" spans="1:66">
      <c r="A4601">
        <v>101586</v>
      </c>
      <c r="B4601" s="3" t="s">
        <v>480</v>
      </c>
      <c r="C4601" s="1">
        <v>43300101</v>
      </c>
      <c r="D4601" t="s">
        <v>67</v>
      </c>
      <c r="H4601" t="str">
        <f t="shared" si="486"/>
        <v>05102540019</v>
      </c>
      <c r="I4601" t="str">
        <f t="shared" si="486"/>
        <v>05102540019</v>
      </c>
      <c r="K4601" t="str">
        <f>""</f>
        <v/>
      </c>
      <c r="M4601" t="s">
        <v>68</v>
      </c>
      <c r="N4601" t="str">
        <f t="shared" si="485"/>
        <v>FOR</v>
      </c>
      <c r="O4601" t="s">
        <v>69</v>
      </c>
      <c r="P4601" s="3" t="s">
        <v>75</v>
      </c>
      <c r="Q4601">
        <v>2015</v>
      </c>
      <c r="R4601" s="2">
        <v>42347</v>
      </c>
      <c r="S4601" s="2">
        <v>42355</v>
      </c>
      <c r="T4601" s="2">
        <v>42354</v>
      </c>
      <c r="U4601" s="2">
        <v>42414</v>
      </c>
      <c r="V4601" t="s">
        <v>71</v>
      </c>
      <c r="W4601" t="str">
        <f>"              4229/F"</f>
        <v xml:space="preserve">              4229/F</v>
      </c>
      <c r="X4601">
        <v>463.6</v>
      </c>
      <c r="Y4601">
        <v>0</v>
      </c>
      <c r="Z4601" s="3">
        <v>380</v>
      </c>
      <c r="AA4601">
        <v>276</v>
      </c>
      <c r="AB4601" s="5">
        <v>104880</v>
      </c>
      <c r="AC4601">
        <v>380</v>
      </c>
      <c r="AD4601">
        <v>276</v>
      </c>
      <c r="AE4601" s="1">
        <v>104880</v>
      </c>
      <c r="AF4601">
        <v>0</v>
      </c>
      <c r="AJ4601">
        <v>0</v>
      </c>
      <c r="AK4601">
        <v>0</v>
      </c>
      <c r="AL4601">
        <v>0</v>
      </c>
      <c r="AM4601">
        <v>0</v>
      </c>
      <c r="AN4601">
        <v>0</v>
      </c>
      <c r="AO4601">
        <v>0</v>
      </c>
      <c r="AP4601" s="2">
        <v>42746</v>
      </c>
      <c r="AQ4601" t="s">
        <v>72</v>
      </c>
      <c r="AR4601" t="s">
        <v>72</v>
      </c>
      <c r="AS4601">
        <v>3128</v>
      </c>
      <c r="AT4601" s="4">
        <v>42690</v>
      </c>
      <c r="AU4601" t="s">
        <v>73</v>
      </c>
      <c r="AV4601">
        <v>3128</v>
      </c>
      <c r="AW4601" s="4">
        <v>42690</v>
      </c>
      <c r="BD4601">
        <v>0</v>
      </c>
      <c r="BN4601" t="s">
        <v>74</v>
      </c>
    </row>
    <row r="4602" spans="1:66">
      <c r="A4602">
        <v>101586</v>
      </c>
      <c r="B4602" s="3" t="s">
        <v>480</v>
      </c>
      <c r="C4602" s="1">
        <v>43300101</v>
      </c>
      <c r="D4602" t="s">
        <v>67</v>
      </c>
      <c r="H4602" t="str">
        <f t="shared" si="486"/>
        <v>05102540019</v>
      </c>
      <c r="I4602" t="str">
        <f t="shared" si="486"/>
        <v>05102540019</v>
      </c>
      <c r="K4602" t="str">
        <f>""</f>
        <v/>
      </c>
      <c r="M4602" t="s">
        <v>68</v>
      </c>
      <c r="N4602" t="str">
        <f t="shared" si="485"/>
        <v>FOR</v>
      </c>
      <c r="O4602" t="s">
        <v>69</v>
      </c>
      <c r="P4602" s="3" t="s">
        <v>75</v>
      </c>
      <c r="Q4602">
        <v>2015</v>
      </c>
      <c r="R4602" s="2">
        <v>42353</v>
      </c>
      <c r="S4602" s="2">
        <v>42359</v>
      </c>
      <c r="T4602" s="2">
        <v>42355</v>
      </c>
      <c r="U4602" s="2">
        <v>42415</v>
      </c>
      <c r="V4602" t="s">
        <v>71</v>
      </c>
      <c r="W4602" t="str">
        <f>"              4367/F"</f>
        <v xml:space="preserve">              4367/F</v>
      </c>
      <c r="X4602">
        <v>512.4</v>
      </c>
      <c r="Y4602">
        <v>0</v>
      </c>
      <c r="Z4602" s="3">
        <v>420</v>
      </c>
      <c r="AA4602">
        <v>275</v>
      </c>
      <c r="AB4602" s="5">
        <v>115500</v>
      </c>
      <c r="AC4602">
        <v>420</v>
      </c>
      <c r="AD4602">
        <v>275</v>
      </c>
      <c r="AE4602" s="1">
        <v>115500</v>
      </c>
      <c r="AF4602">
        <v>0</v>
      </c>
      <c r="AJ4602">
        <v>0</v>
      </c>
      <c r="AK4602">
        <v>0</v>
      </c>
      <c r="AL4602">
        <v>0</v>
      </c>
      <c r="AM4602">
        <v>0</v>
      </c>
      <c r="AN4602">
        <v>0</v>
      </c>
      <c r="AO4602">
        <v>0</v>
      </c>
      <c r="AP4602" s="2">
        <v>42746</v>
      </c>
      <c r="AQ4602" t="s">
        <v>72</v>
      </c>
      <c r="AR4602" t="s">
        <v>72</v>
      </c>
      <c r="AS4602">
        <v>3128</v>
      </c>
      <c r="AT4602" s="4">
        <v>42690</v>
      </c>
      <c r="AU4602" t="s">
        <v>73</v>
      </c>
      <c r="AV4602">
        <v>3128</v>
      </c>
      <c r="AW4602" s="4">
        <v>42690</v>
      </c>
      <c r="BD4602">
        <v>0</v>
      </c>
      <c r="BN4602" t="s">
        <v>74</v>
      </c>
    </row>
    <row r="4603" spans="1:66">
      <c r="A4603">
        <v>101586</v>
      </c>
      <c r="B4603" s="3" t="s">
        <v>480</v>
      </c>
      <c r="C4603" s="1">
        <v>43300101</v>
      </c>
      <c r="D4603" t="s">
        <v>67</v>
      </c>
      <c r="H4603" t="str">
        <f t="shared" si="486"/>
        <v>05102540019</v>
      </c>
      <c r="I4603" t="str">
        <f t="shared" si="486"/>
        <v>05102540019</v>
      </c>
      <c r="K4603" t="str">
        <f>""</f>
        <v/>
      </c>
      <c r="M4603" t="s">
        <v>68</v>
      </c>
      <c r="N4603" t="str">
        <f t="shared" si="485"/>
        <v>FOR</v>
      </c>
      <c r="O4603" t="s">
        <v>69</v>
      </c>
      <c r="P4603" s="3" t="s">
        <v>75</v>
      </c>
      <c r="Q4603">
        <v>2015</v>
      </c>
      <c r="R4603" s="2">
        <v>42368</v>
      </c>
      <c r="S4603" s="2">
        <v>42369</v>
      </c>
      <c r="T4603" s="2">
        <v>42368</v>
      </c>
      <c r="U4603" s="2">
        <v>42428</v>
      </c>
      <c r="V4603" t="s">
        <v>71</v>
      </c>
      <c r="W4603" t="str">
        <f>"              4531/F"</f>
        <v xml:space="preserve">              4531/F</v>
      </c>
      <c r="X4603" s="1">
        <v>6533.1</v>
      </c>
      <c r="Y4603">
        <v>0</v>
      </c>
      <c r="Z4603" s="5">
        <v>5355</v>
      </c>
      <c r="AA4603">
        <v>262</v>
      </c>
      <c r="AB4603" s="5">
        <v>1403010</v>
      </c>
      <c r="AC4603" s="1">
        <v>5355</v>
      </c>
      <c r="AD4603">
        <v>262</v>
      </c>
      <c r="AE4603" s="1">
        <v>1403010</v>
      </c>
      <c r="AF4603">
        <v>0</v>
      </c>
      <c r="AJ4603">
        <v>0</v>
      </c>
      <c r="AK4603">
        <v>0</v>
      </c>
      <c r="AL4603">
        <v>0</v>
      </c>
      <c r="AM4603">
        <v>0</v>
      </c>
      <c r="AN4603">
        <v>0</v>
      </c>
      <c r="AO4603">
        <v>0</v>
      </c>
      <c r="AP4603" s="2">
        <v>42746</v>
      </c>
      <c r="AQ4603" t="s">
        <v>72</v>
      </c>
      <c r="AR4603" t="s">
        <v>72</v>
      </c>
      <c r="AS4603">
        <v>3128</v>
      </c>
      <c r="AT4603" s="4">
        <v>42690</v>
      </c>
      <c r="AU4603" t="s">
        <v>73</v>
      </c>
      <c r="AV4603">
        <v>3128</v>
      </c>
      <c r="AW4603" s="4">
        <v>42690</v>
      </c>
      <c r="BD4603">
        <v>0</v>
      </c>
      <c r="BN4603" t="s">
        <v>74</v>
      </c>
    </row>
    <row r="4604" spans="1:66" hidden="1">
      <c r="A4604">
        <v>101594</v>
      </c>
      <c r="B4604" s="3" t="s">
        <v>481</v>
      </c>
      <c r="C4604" s="1">
        <v>43300101</v>
      </c>
      <c r="D4604" t="s">
        <v>67</v>
      </c>
      <c r="H4604" t="str">
        <f t="shared" ref="H4604:I4610" si="487">"01432450623"</f>
        <v>01432450623</v>
      </c>
      <c r="I4604" t="str">
        <f t="shared" si="487"/>
        <v>01432450623</v>
      </c>
      <c r="K4604" t="str">
        <f>""</f>
        <v/>
      </c>
      <c r="M4604" t="s">
        <v>68</v>
      </c>
      <c r="N4604" t="str">
        <f t="shared" si="485"/>
        <v>FOR</v>
      </c>
      <c r="O4604" t="s">
        <v>69</v>
      </c>
      <c r="P4604" s="3" t="s">
        <v>70</v>
      </c>
      <c r="Q4604">
        <v>2014</v>
      </c>
      <c r="R4604" s="2">
        <v>41858</v>
      </c>
      <c r="S4604" s="2">
        <v>42556</v>
      </c>
      <c r="T4604" s="2">
        <v>42556</v>
      </c>
      <c r="U4604" s="2">
        <v>42616</v>
      </c>
      <c r="V4604" t="s">
        <v>71</v>
      </c>
      <c r="W4604" t="str">
        <f>"            792/2014"</f>
        <v xml:space="preserve">            792/2014</v>
      </c>
      <c r="X4604" s="1">
        <v>5538.8</v>
      </c>
      <c r="Y4604">
        <v>0</v>
      </c>
      <c r="Z4604"/>
      <c r="AB4604"/>
      <c r="AC4604" s="1">
        <v>5538.8</v>
      </c>
      <c r="AD4604">
        <v>-51</v>
      </c>
      <c r="AE4604" s="1">
        <v>-282478.8</v>
      </c>
      <c r="AF4604">
        <v>0</v>
      </c>
      <c r="AJ4604">
        <v>0</v>
      </c>
      <c r="AK4604">
        <v>0</v>
      </c>
      <c r="AL4604">
        <v>0</v>
      </c>
      <c r="AM4604">
        <v>0</v>
      </c>
      <c r="AN4604" s="1">
        <v>5538.8</v>
      </c>
      <c r="AO4604">
        <v>0</v>
      </c>
      <c r="AP4604" s="2">
        <v>42746</v>
      </c>
      <c r="AQ4604" t="s">
        <v>72</v>
      </c>
      <c r="AR4604" t="s">
        <v>72</v>
      </c>
      <c r="AS4604">
        <v>1770</v>
      </c>
      <c r="AT4604" s="4">
        <v>42565</v>
      </c>
      <c r="AV4604">
        <v>1770</v>
      </c>
      <c r="AW4604" s="4">
        <v>42565</v>
      </c>
      <c r="BD4604">
        <v>0</v>
      </c>
      <c r="BN4604" t="s">
        <v>74</v>
      </c>
    </row>
    <row r="4605" spans="1:66" hidden="1">
      <c r="A4605">
        <v>101594</v>
      </c>
      <c r="B4605" s="3" t="s">
        <v>481</v>
      </c>
      <c r="C4605" s="1">
        <v>43300101</v>
      </c>
      <c r="D4605" t="s">
        <v>67</v>
      </c>
      <c r="H4605" t="str">
        <f t="shared" si="487"/>
        <v>01432450623</v>
      </c>
      <c r="I4605" t="str">
        <f t="shared" si="487"/>
        <v>01432450623</v>
      </c>
      <c r="K4605" t="str">
        <f>""</f>
        <v/>
      </c>
      <c r="M4605" t="s">
        <v>68</v>
      </c>
      <c r="N4605" t="str">
        <f t="shared" si="485"/>
        <v>FOR</v>
      </c>
      <c r="O4605" t="s">
        <v>69</v>
      </c>
      <c r="P4605" s="3" t="s">
        <v>70</v>
      </c>
      <c r="Q4605">
        <v>2014</v>
      </c>
      <c r="R4605" s="2">
        <v>41858</v>
      </c>
      <c r="S4605" s="2">
        <v>42556</v>
      </c>
      <c r="T4605" s="2">
        <v>42556</v>
      </c>
      <c r="U4605" s="2">
        <v>42616</v>
      </c>
      <c r="V4605" t="s">
        <v>71</v>
      </c>
      <c r="W4605" t="str">
        <f>"            793/2014"</f>
        <v xml:space="preserve">            793/2014</v>
      </c>
      <c r="X4605" s="1">
        <v>6254.94</v>
      </c>
      <c r="Y4605">
        <v>0</v>
      </c>
      <c r="Z4605"/>
      <c r="AB4605"/>
      <c r="AC4605" s="1">
        <v>6254.94</v>
      </c>
      <c r="AD4605">
        <v>-51</v>
      </c>
      <c r="AE4605" s="1">
        <v>-319001.94</v>
      </c>
      <c r="AF4605">
        <v>0</v>
      </c>
      <c r="AJ4605">
        <v>0</v>
      </c>
      <c r="AK4605">
        <v>0</v>
      </c>
      <c r="AL4605">
        <v>0</v>
      </c>
      <c r="AM4605">
        <v>0</v>
      </c>
      <c r="AN4605" s="1">
        <v>6254.94</v>
      </c>
      <c r="AO4605">
        <v>0</v>
      </c>
      <c r="AP4605" s="2">
        <v>42746</v>
      </c>
      <c r="AQ4605" t="s">
        <v>72</v>
      </c>
      <c r="AR4605" t="s">
        <v>72</v>
      </c>
      <c r="AS4605">
        <v>1770</v>
      </c>
      <c r="AT4605" s="4">
        <v>42565</v>
      </c>
      <c r="AV4605">
        <v>1770</v>
      </c>
      <c r="AW4605" s="4">
        <v>42565</v>
      </c>
      <c r="BD4605">
        <v>0</v>
      </c>
      <c r="BN4605" t="s">
        <v>74</v>
      </c>
    </row>
    <row r="4606" spans="1:66" hidden="1">
      <c r="A4606">
        <v>101594</v>
      </c>
      <c r="B4606" s="3" t="s">
        <v>481</v>
      </c>
      <c r="C4606" s="1">
        <v>43300101</v>
      </c>
      <c r="D4606" t="s">
        <v>67</v>
      </c>
      <c r="H4606" t="str">
        <f t="shared" si="487"/>
        <v>01432450623</v>
      </c>
      <c r="I4606" t="str">
        <f t="shared" si="487"/>
        <v>01432450623</v>
      </c>
      <c r="K4606" t="str">
        <f>""</f>
        <v/>
      </c>
      <c r="M4606" t="s">
        <v>68</v>
      </c>
      <c r="N4606" t="str">
        <f t="shared" si="485"/>
        <v>FOR</v>
      </c>
      <c r="O4606" t="s">
        <v>69</v>
      </c>
      <c r="P4606" s="3" t="s">
        <v>70</v>
      </c>
      <c r="Q4606">
        <v>2014</v>
      </c>
      <c r="R4606" s="2">
        <v>42004</v>
      </c>
      <c r="S4606" s="2">
        <v>42556</v>
      </c>
      <c r="T4606" s="2">
        <v>42556</v>
      </c>
      <c r="U4606" s="2">
        <v>42616</v>
      </c>
      <c r="V4606" t="s">
        <v>71</v>
      </c>
      <c r="W4606" t="str">
        <f>"           1270/2014"</f>
        <v xml:space="preserve">           1270/2014</v>
      </c>
      <c r="X4606" s="1">
        <v>6143.92</v>
      </c>
      <c r="Y4606">
        <v>0</v>
      </c>
      <c r="Z4606"/>
      <c r="AB4606"/>
      <c r="AC4606" s="1">
        <v>6143.92</v>
      </c>
      <c r="AD4606">
        <v>-51</v>
      </c>
      <c r="AE4606" s="1">
        <v>-313339.92</v>
      </c>
      <c r="AF4606">
        <v>0</v>
      </c>
      <c r="AJ4606">
        <v>0</v>
      </c>
      <c r="AK4606">
        <v>0</v>
      </c>
      <c r="AL4606">
        <v>0</v>
      </c>
      <c r="AM4606">
        <v>0</v>
      </c>
      <c r="AN4606" s="1">
        <v>6143.92</v>
      </c>
      <c r="AO4606">
        <v>0</v>
      </c>
      <c r="AP4606" s="2">
        <v>42746</v>
      </c>
      <c r="AQ4606" t="s">
        <v>72</v>
      </c>
      <c r="AR4606" t="s">
        <v>72</v>
      </c>
      <c r="AS4606">
        <v>1770</v>
      </c>
      <c r="AT4606" s="4">
        <v>42565</v>
      </c>
      <c r="AV4606">
        <v>1770</v>
      </c>
      <c r="AW4606" s="4">
        <v>42565</v>
      </c>
      <c r="BD4606">
        <v>0</v>
      </c>
      <c r="BN4606" t="s">
        <v>74</v>
      </c>
    </row>
    <row r="4607" spans="1:66">
      <c r="A4607">
        <v>101594</v>
      </c>
      <c r="B4607" s="3" t="s">
        <v>481</v>
      </c>
      <c r="C4607" s="1">
        <v>43300101</v>
      </c>
      <c r="D4607" t="s">
        <v>67</v>
      </c>
      <c r="H4607" t="str">
        <f t="shared" si="487"/>
        <v>01432450623</v>
      </c>
      <c r="I4607" t="str">
        <f t="shared" si="487"/>
        <v>01432450623</v>
      </c>
      <c r="K4607" t="str">
        <f>""</f>
        <v/>
      </c>
      <c r="M4607" t="s">
        <v>68</v>
      </c>
      <c r="N4607" t="str">
        <f t="shared" si="485"/>
        <v>FOR</v>
      </c>
      <c r="O4607" t="s">
        <v>69</v>
      </c>
      <c r="P4607" s="3" t="s">
        <v>75</v>
      </c>
      <c r="Q4607">
        <v>2016</v>
      </c>
      <c r="R4607" s="2">
        <v>42419</v>
      </c>
      <c r="S4607" s="2">
        <v>42424</v>
      </c>
      <c r="T4607" s="2">
        <v>42423</v>
      </c>
      <c r="U4607" s="2">
        <v>42483</v>
      </c>
      <c r="V4607" t="s">
        <v>71</v>
      </c>
      <c r="W4607" t="str">
        <f>"                 3/8"</f>
        <v xml:space="preserve">                 3/8</v>
      </c>
      <c r="X4607" s="1">
        <v>1506.02</v>
      </c>
      <c r="Y4607">
        <v>0</v>
      </c>
      <c r="Z4607" s="5">
        <v>1234.44</v>
      </c>
      <c r="AA4607">
        <v>235</v>
      </c>
      <c r="AB4607" s="5">
        <v>290093.40000000002</v>
      </c>
      <c r="AC4607" s="1">
        <v>1234.44</v>
      </c>
      <c r="AD4607">
        <v>235</v>
      </c>
      <c r="AE4607" s="1">
        <v>290093.40000000002</v>
      </c>
      <c r="AF4607">
        <v>271.58</v>
      </c>
      <c r="AJ4607">
        <v>0</v>
      </c>
      <c r="AK4607">
        <v>0</v>
      </c>
      <c r="AL4607">
        <v>0</v>
      </c>
      <c r="AM4607" s="1">
        <v>1506.02</v>
      </c>
      <c r="AN4607" s="1">
        <v>1506.02</v>
      </c>
      <c r="AO4607" s="1">
        <v>1506.02</v>
      </c>
      <c r="AP4607" s="2">
        <v>42746</v>
      </c>
      <c r="AQ4607" t="s">
        <v>72</v>
      </c>
      <c r="AR4607" t="s">
        <v>72</v>
      </c>
      <c r="AS4607">
        <v>3466</v>
      </c>
      <c r="AT4607" s="4">
        <v>42718</v>
      </c>
      <c r="AU4607" t="s">
        <v>73</v>
      </c>
      <c r="AV4607">
        <v>3466</v>
      </c>
      <c r="AW4607" s="4">
        <v>42718</v>
      </c>
      <c r="BD4607">
        <v>271.58</v>
      </c>
      <c r="BN4607" t="s">
        <v>74</v>
      </c>
    </row>
    <row r="4608" spans="1:66">
      <c r="A4608">
        <v>101594</v>
      </c>
      <c r="B4608" s="3" t="s">
        <v>481</v>
      </c>
      <c r="C4608" s="1">
        <v>43300101</v>
      </c>
      <c r="D4608" t="s">
        <v>67</v>
      </c>
      <c r="H4608" t="str">
        <f t="shared" si="487"/>
        <v>01432450623</v>
      </c>
      <c r="I4608" t="str">
        <f t="shared" si="487"/>
        <v>01432450623</v>
      </c>
      <c r="K4608" t="str">
        <f>""</f>
        <v/>
      </c>
      <c r="M4608" t="s">
        <v>68</v>
      </c>
      <c r="N4608" t="str">
        <f t="shared" si="485"/>
        <v>FOR</v>
      </c>
      <c r="O4608" t="s">
        <v>69</v>
      </c>
      <c r="P4608" s="3" t="s">
        <v>75</v>
      </c>
      <c r="Q4608">
        <v>2016</v>
      </c>
      <c r="R4608" s="2">
        <v>42549</v>
      </c>
      <c r="S4608" s="2">
        <v>42549</v>
      </c>
      <c r="T4608" s="2">
        <v>42549</v>
      </c>
      <c r="U4608" s="2">
        <v>42609</v>
      </c>
      <c r="V4608" t="s">
        <v>71</v>
      </c>
      <c r="W4608" t="str">
        <f>"                3/46"</f>
        <v xml:space="preserve">                3/46</v>
      </c>
      <c r="X4608" s="1">
        <v>6615.45</v>
      </c>
      <c r="Y4608">
        <v>0</v>
      </c>
      <c r="Z4608" s="5">
        <v>5422.5</v>
      </c>
      <c r="AA4608">
        <v>110</v>
      </c>
      <c r="AB4608" s="5">
        <v>596475</v>
      </c>
      <c r="AC4608" s="1">
        <v>5422.5</v>
      </c>
      <c r="AD4608">
        <v>110</v>
      </c>
      <c r="AE4608" s="1">
        <v>596475</v>
      </c>
      <c r="AF4608" s="1">
        <v>1192.95</v>
      </c>
      <c r="AJ4608">
        <v>0</v>
      </c>
      <c r="AK4608">
        <v>0</v>
      </c>
      <c r="AL4608">
        <v>0</v>
      </c>
      <c r="AM4608" s="1">
        <v>6615.45</v>
      </c>
      <c r="AN4608" s="1">
        <v>6615.45</v>
      </c>
      <c r="AO4608" s="1">
        <v>6615.45</v>
      </c>
      <c r="AP4608" s="2">
        <v>42746</v>
      </c>
      <c r="AQ4608" t="s">
        <v>72</v>
      </c>
      <c r="AR4608" t="s">
        <v>72</v>
      </c>
      <c r="AS4608">
        <v>3505</v>
      </c>
      <c r="AT4608" s="4">
        <v>42719</v>
      </c>
      <c r="AU4608" t="s">
        <v>73</v>
      </c>
      <c r="AV4608">
        <v>3505</v>
      </c>
      <c r="AW4608" s="4">
        <v>42719</v>
      </c>
      <c r="BB4608" s="1">
        <v>1192.95</v>
      </c>
      <c r="BD4608">
        <v>0</v>
      </c>
      <c r="BN4608" t="s">
        <v>74</v>
      </c>
    </row>
    <row r="4609" spans="1:66">
      <c r="A4609">
        <v>101594</v>
      </c>
      <c r="B4609" s="3" t="s">
        <v>481</v>
      </c>
      <c r="C4609" s="1">
        <v>43300101</v>
      </c>
      <c r="D4609" t="s">
        <v>67</v>
      </c>
      <c r="H4609" t="str">
        <f t="shared" si="487"/>
        <v>01432450623</v>
      </c>
      <c r="I4609" t="str">
        <f t="shared" si="487"/>
        <v>01432450623</v>
      </c>
      <c r="K4609" t="str">
        <f>""</f>
        <v/>
      </c>
      <c r="M4609" t="s">
        <v>68</v>
      </c>
      <c r="N4609" t="str">
        <f t="shared" si="485"/>
        <v>FOR</v>
      </c>
      <c r="O4609" t="s">
        <v>69</v>
      </c>
      <c r="P4609" s="3" t="s">
        <v>75</v>
      </c>
      <c r="Q4609">
        <v>2016</v>
      </c>
      <c r="R4609" s="2">
        <v>42641</v>
      </c>
      <c r="S4609" s="2">
        <v>42642</v>
      </c>
      <c r="T4609" s="2">
        <v>42641</v>
      </c>
      <c r="U4609" s="2">
        <v>42701</v>
      </c>
      <c r="V4609" t="s">
        <v>71</v>
      </c>
      <c r="W4609" t="str">
        <f>"                3/63"</f>
        <v xml:space="preserve">                3/63</v>
      </c>
      <c r="X4609" s="1">
        <v>1085.8</v>
      </c>
      <c r="Y4609">
        <v>0</v>
      </c>
      <c r="Z4609" s="3">
        <v>890</v>
      </c>
      <c r="AA4609">
        <v>18</v>
      </c>
      <c r="AB4609" s="5">
        <v>16020</v>
      </c>
      <c r="AC4609">
        <v>890</v>
      </c>
      <c r="AD4609">
        <v>18</v>
      </c>
      <c r="AE4609" s="1">
        <v>16020</v>
      </c>
      <c r="AF4609">
        <v>195.8</v>
      </c>
      <c r="AJ4609">
        <v>0</v>
      </c>
      <c r="AK4609">
        <v>0</v>
      </c>
      <c r="AL4609">
        <v>0</v>
      </c>
      <c r="AM4609" s="1">
        <v>1085.8</v>
      </c>
      <c r="AN4609" s="1">
        <v>1085.8</v>
      </c>
      <c r="AO4609" s="1">
        <v>1085.8</v>
      </c>
      <c r="AP4609" s="2">
        <v>42746</v>
      </c>
      <c r="AQ4609" t="s">
        <v>72</v>
      </c>
      <c r="AR4609" t="s">
        <v>72</v>
      </c>
      <c r="AS4609">
        <v>3505</v>
      </c>
      <c r="AT4609" s="4">
        <v>42719</v>
      </c>
      <c r="AU4609" t="s">
        <v>73</v>
      </c>
      <c r="AV4609">
        <v>3505</v>
      </c>
      <c r="AW4609" s="4">
        <v>42719</v>
      </c>
      <c r="AY4609">
        <v>195.8</v>
      </c>
      <c r="BD4609">
        <v>0</v>
      </c>
      <c r="BN4609" t="s">
        <v>74</v>
      </c>
    </row>
    <row r="4610" spans="1:66">
      <c r="A4610">
        <v>101594</v>
      </c>
      <c r="B4610" s="3" t="s">
        <v>481</v>
      </c>
      <c r="C4610" s="1">
        <v>43300101</v>
      </c>
      <c r="D4610" t="s">
        <v>67</v>
      </c>
      <c r="H4610" t="str">
        <f t="shared" si="487"/>
        <v>01432450623</v>
      </c>
      <c r="I4610" t="str">
        <f t="shared" si="487"/>
        <v>01432450623</v>
      </c>
      <c r="K4610" t="str">
        <f>""</f>
        <v/>
      </c>
      <c r="M4610" t="s">
        <v>68</v>
      </c>
      <c r="N4610" t="str">
        <f t="shared" si="485"/>
        <v>FOR</v>
      </c>
      <c r="O4610" t="s">
        <v>69</v>
      </c>
      <c r="P4610" s="3" t="s">
        <v>75</v>
      </c>
      <c r="Q4610">
        <v>2016</v>
      </c>
      <c r="R4610" s="2">
        <v>42668</v>
      </c>
      <c r="S4610" s="2">
        <v>42670</v>
      </c>
      <c r="T4610" s="2">
        <v>42668</v>
      </c>
      <c r="U4610" s="2">
        <v>42728</v>
      </c>
      <c r="V4610" t="s">
        <v>71</v>
      </c>
      <c r="W4610" t="str">
        <f>"                3/72"</f>
        <v xml:space="preserve">                3/72</v>
      </c>
      <c r="X4610" s="1">
        <v>1137.8499999999999</v>
      </c>
      <c r="Y4610">
        <v>0</v>
      </c>
      <c r="Z4610" s="5">
        <v>1137.8499999999999</v>
      </c>
      <c r="AA4610">
        <v>-57</v>
      </c>
      <c r="AB4610" s="5">
        <v>-64857.45</v>
      </c>
      <c r="AC4610" s="1">
        <v>1137.8499999999999</v>
      </c>
      <c r="AD4610">
        <v>-57</v>
      </c>
      <c r="AE4610" s="1">
        <v>-64857.45</v>
      </c>
      <c r="AF4610">
        <v>0</v>
      </c>
      <c r="AJ4610" s="1">
        <v>1137.8499999999999</v>
      </c>
      <c r="AK4610" s="1">
        <v>1137.8499999999999</v>
      </c>
      <c r="AL4610" s="1">
        <v>1137.8499999999999</v>
      </c>
      <c r="AM4610" s="1">
        <v>1137.8499999999999</v>
      </c>
      <c r="AN4610" s="1">
        <v>1137.8499999999999</v>
      </c>
      <c r="AO4610" s="1">
        <v>1137.8499999999999</v>
      </c>
      <c r="AP4610" s="2">
        <v>42746</v>
      </c>
      <c r="AQ4610" t="s">
        <v>72</v>
      </c>
      <c r="AR4610" t="s">
        <v>72</v>
      </c>
      <c r="AS4610">
        <v>2897</v>
      </c>
      <c r="AT4610" s="4">
        <v>42671</v>
      </c>
      <c r="AV4610">
        <v>2897</v>
      </c>
      <c r="AW4610" s="4">
        <v>42671</v>
      </c>
      <c r="BD4610">
        <v>0</v>
      </c>
      <c r="BN4610" t="s">
        <v>74</v>
      </c>
    </row>
    <row r="4611" spans="1:66" hidden="1">
      <c r="A4611">
        <v>101600</v>
      </c>
      <c r="B4611" s="3" t="s">
        <v>482</v>
      </c>
      <c r="C4611" s="1">
        <v>43500101</v>
      </c>
      <c r="D4611" t="s">
        <v>113</v>
      </c>
      <c r="H4611" t="str">
        <f>"01646370708"</f>
        <v>01646370708</v>
      </c>
      <c r="I4611" t="str">
        <f>"01646370708"</f>
        <v>01646370708</v>
      </c>
      <c r="K4611" t="str">
        <f>""</f>
        <v/>
      </c>
      <c r="M4611" t="s">
        <v>68</v>
      </c>
      <c r="N4611" t="str">
        <f>"ALTPRO"</f>
        <v>ALTPRO</v>
      </c>
      <c r="O4611" t="s">
        <v>132</v>
      </c>
      <c r="P4611" s="3" t="s">
        <v>75</v>
      </c>
      <c r="Q4611">
        <v>2016</v>
      </c>
      <c r="R4611" s="2">
        <v>42444</v>
      </c>
      <c r="S4611" s="2">
        <v>42445</v>
      </c>
      <c r="T4611" s="2">
        <v>42444</v>
      </c>
      <c r="U4611" s="2">
        <v>42504</v>
      </c>
      <c r="V4611" t="s">
        <v>71</v>
      </c>
      <c r="W4611" t="str">
        <f>"              6/2016"</f>
        <v xml:space="preserve">              6/2016</v>
      </c>
      <c r="X4611">
        <v>622.64</v>
      </c>
      <c r="Y4611">
        <v>-93.15</v>
      </c>
      <c r="Z4611"/>
      <c r="AB4611"/>
      <c r="AC4611">
        <v>529.49</v>
      </c>
      <c r="AD4611">
        <v>-17</v>
      </c>
      <c r="AE4611" s="1">
        <v>-9001.33</v>
      </c>
      <c r="AF4611">
        <v>0</v>
      </c>
      <c r="AJ4611">
        <v>0</v>
      </c>
      <c r="AK4611">
        <v>0</v>
      </c>
      <c r="AL4611">
        <v>0</v>
      </c>
      <c r="AM4611">
        <v>529.49</v>
      </c>
      <c r="AN4611">
        <v>529.49</v>
      </c>
      <c r="AO4611">
        <v>529.49</v>
      </c>
      <c r="AP4611" s="2">
        <v>42746</v>
      </c>
      <c r="AQ4611" t="s">
        <v>72</v>
      </c>
      <c r="AR4611" t="s">
        <v>72</v>
      </c>
      <c r="AS4611">
        <v>1169</v>
      </c>
      <c r="AT4611" s="4">
        <v>42487</v>
      </c>
      <c r="AV4611">
        <v>1169</v>
      </c>
      <c r="AW4611" s="4">
        <v>42487</v>
      </c>
      <c r="BD4611">
        <v>0</v>
      </c>
      <c r="BN4611" t="s">
        <v>74</v>
      </c>
    </row>
    <row r="4612" spans="1:66" hidden="1">
      <c r="A4612">
        <v>101601</v>
      </c>
      <c r="B4612" s="3" t="s">
        <v>483</v>
      </c>
      <c r="C4612" s="1">
        <v>43300101</v>
      </c>
      <c r="D4612" t="s">
        <v>67</v>
      </c>
      <c r="H4612" t="str">
        <f>"03898780378"</f>
        <v>03898780378</v>
      </c>
      <c r="I4612" t="str">
        <f>"00674091202"</f>
        <v>00674091202</v>
      </c>
      <c r="K4612" t="str">
        <f>""</f>
        <v/>
      </c>
      <c r="M4612" t="s">
        <v>68</v>
      </c>
      <c r="N4612" t="str">
        <f t="shared" ref="N4612:N4658" si="488">"FOR"</f>
        <v>FOR</v>
      </c>
      <c r="O4612" t="s">
        <v>69</v>
      </c>
      <c r="P4612" s="3" t="s">
        <v>75</v>
      </c>
      <c r="Q4612">
        <v>2015</v>
      </c>
      <c r="R4612" s="2">
        <v>42185</v>
      </c>
      <c r="S4612" s="2">
        <v>42198</v>
      </c>
      <c r="T4612" s="2">
        <v>42195</v>
      </c>
      <c r="U4612" s="2">
        <v>42255</v>
      </c>
      <c r="V4612" t="s">
        <v>71</v>
      </c>
      <c r="W4612" t="str">
        <f>"             2480/00"</f>
        <v xml:space="preserve">             2480/00</v>
      </c>
      <c r="X4612" s="1">
        <v>10482.01</v>
      </c>
      <c r="Y4612">
        <v>0</v>
      </c>
      <c r="Z4612"/>
      <c r="AB4612"/>
      <c r="AC4612" s="1">
        <v>8591.81</v>
      </c>
      <c r="AD4612">
        <v>232</v>
      </c>
      <c r="AE4612" s="1">
        <v>1993299.92</v>
      </c>
      <c r="AF4612">
        <v>0</v>
      </c>
      <c r="AJ4612">
        <v>0</v>
      </c>
      <c r="AK4612">
        <v>0</v>
      </c>
      <c r="AL4612">
        <v>0</v>
      </c>
      <c r="AM4612">
        <v>0</v>
      </c>
      <c r="AN4612">
        <v>0</v>
      </c>
      <c r="AO4612">
        <v>0</v>
      </c>
      <c r="AP4612" s="2">
        <v>42746</v>
      </c>
      <c r="AQ4612" t="s">
        <v>72</v>
      </c>
      <c r="AR4612" t="s">
        <v>72</v>
      </c>
      <c r="AS4612">
        <v>1205</v>
      </c>
      <c r="AT4612" s="4">
        <v>42487</v>
      </c>
      <c r="AU4612" t="s">
        <v>73</v>
      </c>
      <c r="AV4612">
        <v>1205</v>
      </c>
      <c r="AW4612" s="4">
        <v>42487</v>
      </c>
      <c r="BD4612">
        <v>0</v>
      </c>
      <c r="BN4612" t="s">
        <v>74</v>
      </c>
    </row>
    <row r="4613" spans="1:66" hidden="1">
      <c r="A4613">
        <v>101601</v>
      </c>
      <c r="B4613" s="3" t="s">
        <v>483</v>
      </c>
      <c r="C4613" s="1">
        <v>43300101</v>
      </c>
      <c r="D4613" t="s">
        <v>67</v>
      </c>
      <c r="H4613" t="str">
        <f>"03898780378"</f>
        <v>03898780378</v>
      </c>
      <c r="I4613" t="str">
        <f>"00674091202"</f>
        <v>00674091202</v>
      </c>
      <c r="K4613" t="str">
        <f>""</f>
        <v/>
      </c>
      <c r="M4613" t="s">
        <v>68</v>
      </c>
      <c r="N4613" t="str">
        <f t="shared" si="488"/>
        <v>FOR</v>
      </c>
      <c r="O4613" t="s">
        <v>69</v>
      </c>
      <c r="P4613" s="3" t="s">
        <v>75</v>
      </c>
      <c r="Q4613">
        <v>2015</v>
      </c>
      <c r="R4613" s="2">
        <v>42215</v>
      </c>
      <c r="S4613" s="2">
        <v>42216</v>
      </c>
      <c r="T4613" s="2">
        <v>42215</v>
      </c>
      <c r="U4613" s="2">
        <v>42275</v>
      </c>
      <c r="V4613" t="s">
        <v>71</v>
      </c>
      <c r="W4613" t="str">
        <f>"             2583/00"</f>
        <v xml:space="preserve">             2583/00</v>
      </c>
      <c r="X4613" s="1">
        <v>3343.78</v>
      </c>
      <c r="Y4613">
        <v>0</v>
      </c>
      <c r="Z4613"/>
      <c r="AB4613"/>
      <c r="AC4613" s="1">
        <v>2740.8</v>
      </c>
      <c r="AD4613">
        <v>177</v>
      </c>
      <c r="AE4613" s="1">
        <v>485121.6</v>
      </c>
      <c r="AF4613">
        <v>0</v>
      </c>
      <c r="AJ4613">
        <v>0</v>
      </c>
      <c r="AK4613">
        <v>0</v>
      </c>
      <c r="AL4613">
        <v>0</v>
      </c>
      <c r="AM4613">
        <v>0</v>
      </c>
      <c r="AN4613">
        <v>0</v>
      </c>
      <c r="AO4613">
        <v>0</v>
      </c>
      <c r="AP4613" s="2">
        <v>42746</v>
      </c>
      <c r="AQ4613" t="s">
        <v>72</v>
      </c>
      <c r="AR4613" t="s">
        <v>72</v>
      </c>
      <c r="AS4613">
        <v>758</v>
      </c>
      <c r="AT4613" s="4">
        <v>42452</v>
      </c>
      <c r="AU4613" t="s">
        <v>73</v>
      </c>
      <c r="AV4613">
        <v>758</v>
      </c>
      <c r="AW4613" s="4">
        <v>42452</v>
      </c>
      <c r="BD4613">
        <v>0</v>
      </c>
      <c r="BN4613" t="s">
        <v>74</v>
      </c>
    </row>
    <row r="4614" spans="1:66" hidden="1">
      <c r="A4614">
        <v>101603</v>
      </c>
      <c r="B4614" s="3" t="s">
        <v>484</v>
      </c>
      <c r="C4614" s="1">
        <v>43300101</v>
      </c>
      <c r="D4614" t="s">
        <v>67</v>
      </c>
      <c r="H4614" t="str">
        <f>"12870770158"</f>
        <v>12870770158</v>
      </c>
      <c r="I4614" t="str">
        <f>"12870770158"</f>
        <v>12870770158</v>
      </c>
      <c r="K4614" t="str">
        <f>""</f>
        <v/>
      </c>
      <c r="M4614" t="s">
        <v>68</v>
      </c>
      <c r="N4614" t="str">
        <f t="shared" si="488"/>
        <v>FOR</v>
      </c>
      <c r="O4614" t="s">
        <v>69</v>
      </c>
      <c r="P4614" s="3" t="s">
        <v>75</v>
      </c>
      <c r="Q4614">
        <v>2015</v>
      </c>
      <c r="R4614" s="2">
        <v>42360</v>
      </c>
      <c r="S4614" s="2">
        <v>42408</v>
      </c>
      <c r="T4614" s="2">
        <v>42360</v>
      </c>
      <c r="U4614" s="2">
        <v>42420</v>
      </c>
      <c r="V4614" t="s">
        <v>71</v>
      </c>
      <c r="W4614" t="str">
        <f>"            00000572"</f>
        <v xml:space="preserve">            00000572</v>
      </c>
      <c r="X4614" s="1">
        <v>22592.76</v>
      </c>
      <c r="Y4614">
        <v>0</v>
      </c>
      <c r="Z4614"/>
      <c r="AB4614"/>
      <c r="AC4614" s="1">
        <v>22592.76</v>
      </c>
      <c r="AD4614">
        <v>-10</v>
      </c>
      <c r="AE4614" s="1">
        <v>-225927.6</v>
      </c>
      <c r="AF4614">
        <v>0</v>
      </c>
      <c r="AJ4614">
        <v>0</v>
      </c>
      <c r="AK4614">
        <v>0</v>
      </c>
      <c r="AL4614">
        <v>0</v>
      </c>
      <c r="AM4614" s="1">
        <v>-52716.45</v>
      </c>
      <c r="AN4614" s="1">
        <v>22592.76</v>
      </c>
      <c r="AO4614" s="1">
        <v>-52716.45</v>
      </c>
      <c r="AP4614" s="2">
        <v>42746</v>
      </c>
      <c r="AQ4614" t="s">
        <v>72</v>
      </c>
      <c r="AR4614" t="s">
        <v>72</v>
      </c>
      <c r="AS4614">
        <v>341</v>
      </c>
      <c r="AT4614" s="4">
        <v>42410</v>
      </c>
      <c r="AV4614">
        <v>341</v>
      </c>
      <c r="AW4614" s="4">
        <v>42410</v>
      </c>
      <c r="BD4614">
        <v>0</v>
      </c>
      <c r="BN4614" t="s">
        <v>74</v>
      </c>
    </row>
    <row r="4615" spans="1:66">
      <c r="A4615">
        <v>101604</v>
      </c>
      <c r="B4615" s="3" t="s">
        <v>485</v>
      </c>
      <c r="C4615" s="1">
        <v>43300101</v>
      </c>
      <c r="D4615" t="s">
        <v>67</v>
      </c>
      <c r="H4615" t="str">
        <f t="shared" ref="H4615:I4642" si="489">"10804870151"</f>
        <v>10804870151</v>
      </c>
      <c r="I4615" t="str">
        <f t="shared" si="489"/>
        <v>10804870151</v>
      </c>
      <c r="K4615" t="str">
        <f>""</f>
        <v/>
      </c>
      <c r="M4615" t="s">
        <v>68</v>
      </c>
      <c r="N4615" t="str">
        <f t="shared" si="488"/>
        <v>FOR</v>
      </c>
      <c r="O4615" t="s">
        <v>69</v>
      </c>
      <c r="P4615" s="3" t="s">
        <v>78</v>
      </c>
      <c r="Q4615">
        <v>2014</v>
      </c>
      <c r="R4615" s="2">
        <v>41882</v>
      </c>
      <c r="S4615" s="2">
        <v>41920</v>
      </c>
      <c r="T4615" s="2">
        <v>41920</v>
      </c>
      <c r="U4615" s="2">
        <v>42010</v>
      </c>
      <c r="V4615" t="s">
        <v>71</v>
      </c>
      <c r="W4615" t="str">
        <f>"            40900530"</f>
        <v xml:space="preserve">            40900530</v>
      </c>
      <c r="X4615">
        <v>148.44</v>
      </c>
      <c r="Y4615">
        <v>0</v>
      </c>
      <c r="Z4615" s="3">
        <v>148.44</v>
      </c>
      <c r="AA4615">
        <v>679</v>
      </c>
      <c r="AB4615" s="5">
        <v>100790.76</v>
      </c>
      <c r="AC4615">
        <v>148.44</v>
      </c>
      <c r="AD4615">
        <v>679</v>
      </c>
      <c r="AE4615" s="1">
        <v>100790.76</v>
      </c>
      <c r="AF4615">
        <v>0</v>
      </c>
      <c r="AJ4615">
        <v>0</v>
      </c>
      <c r="AK4615">
        <v>0</v>
      </c>
      <c r="AL4615">
        <v>0</v>
      </c>
      <c r="AM4615">
        <v>0</v>
      </c>
      <c r="AN4615">
        <v>0</v>
      </c>
      <c r="AO4615">
        <v>0</v>
      </c>
      <c r="AP4615" s="2">
        <v>42746</v>
      </c>
      <c r="AQ4615" t="s">
        <v>72</v>
      </c>
      <c r="AR4615" t="s">
        <v>72</v>
      </c>
      <c r="AS4615">
        <v>3101</v>
      </c>
      <c r="AT4615" s="4">
        <v>42689</v>
      </c>
      <c r="AU4615" t="s">
        <v>73</v>
      </c>
      <c r="AV4615">
        <v>3101</v>
      </c>
      <c r="AW4615" s="4">
        <v>42689</v>
      </c>
      <c r="BD4615">
        <v>0</v>
      </c>
      <c r="BN4615" t="s">
        <v>74</v>
      </c>
    </row>
    <row r="4616" spans="1:66">
      <c r="A4616">
        <v>101604</v>
      </c>
      <c r="B4616" s="3" t="s">
        <v>485</v>
      </c>
      <c r="C4616" s="1">
        <v>43300101</v>
      </c>
      <c r="D4616" t="s">
        <v>67</v>
      </c>
      <c r="H4616" t="str">
        <f t="shared" si="489"/>
        <v>10804870151</v>
      </c>
      <c r="I4616" t="str">
        <f t="shared" si="489"/>
        <v>10804870151</v>
      </c>
      <c r="K4616" t="str">
        <f>""</f>
        <v/>
      </c>
      <c r="M4616" t="s">
        <v>68</v>
      </c>
      <c r="N4616" t="str">
        <f t="shared" si="488"/>
        <v>FOR</v>
      </c>
      <c r="O4616" t="s">
        <v>69</v>
      </c>
      <c r="P4616" s="3" t="s">
        <v>70</v>
      </c>
      <c r="Q4616">
        <v>2014</v>
      </c>
      <c r="R4616" s="2">
        <v>41912</v>
      </c>
      <c r="S4616" s="2">
        <v>41929</v>
      </c>
      <c r="T4616" s="2">
        <v>41929</v>
      </c>
      <c r="U4616" s="2">
        <v>41989</v>
      </c>
      <c r="V4616" t="s">
        <v>71</v>
      </c>
      <c r="W4616" t="str">
        <f>"            40900621"</f>
        <v xml:space="preserve">            40900621</v>
      </c>
      <c r="X4616">
        <v>148.44</v>
      </c>
      <c r="Y4616">
        <v>0</v>
      </c>
      <c r="Z4616" s="3">
        <v>148.44</v>
      </c>
      <c r="AA4616">
        <v>700</v>
      </c>
      <c r="AB4616" s="5">
        <v>103908</v>
      </c>
      <c r="AC4616">
        <v>148.44</v>
      </c>
      <c r="AD4616">
        <v>700</v>
      </c>
      <c r="AE4616" s="1">
        <v>103908</v>
      </c>
      <c r="AF4616">
        <v>0</v>
      </c>
      <c r="AJ4616">
        <v>0</v>
      </c>
      <c r="AK4616">
        <v>0</v>
      </c>
      <c r="AL4616">
        <v>0</v>
      </c>
      <c r="AM4616">
        <v>0</v>
      </c>
      <c r="AN4616">
        <v>0</v>
      </c>
      <c r="AO4616">
        <v>0</v>
      </c>
      <c r="AP4616" s="2">
        <v>42746</v>
      </c>
      <c r="AQ4616" t="s">
        <v>72</v>
      </c>
      <c r="AR4616" t="s">
        <v>72</v>
      </c>
      <c r="AS4616">
        <v>3101</v>
      </c>
      <c r="AT4616" s="4">
        <v>42689</v>
      </c>
      <c r="AU4616" t="s">
        <v>73</v>
      </c>
      <c r="AV4616">
        <v>3101</v>
      </c>
      <c r="AW4616" s="4">
        <v>42689</v>
      </c>
      <c r="BD4616">
        <v>0</v>
      </c>
      <c r="BN4616" t="s">
        <v>74</v>
      </c>
    </row>
    <row r="4617" spans="1:66">
      <c r="A4617">
        <v>101604</v>
      </c>
      <c r="B4617" s="3" t="s">
        <v>485</v>
      </c>
      <c r="C4617" s="1">
        <v>43300101</v>
      </c>
      <c r="D4617" t="s">
        <v>67</v>
      </c>
      <c r="H4617" t="str">
        <f t="shared" si="489"/>
        <v>10804870151</v>
      </c>
      <c r="I4617" t="str">
        <f t="shared" si="489"/>
        <v>10804870151</v>
      </c>
      <c r="K4617" t="str">
        <f>""</f>
        <v/>
      </c>
      <c r="M4617" t="s">
        <v>68</v>
      </c>
      <c r="N4617" t="str">
        <f t="shared" si="488"/>
        <v>FOR</v>
      </c>
      <c r="O4617" t="s">
        <v>69</v>
      </c>
      <c r="P4617" s="3" t="s">
        <v>70</v>
      </c>
      <c r="Q4617">
        <v>2014</v>
      </c>
      <c r="R4617" s="2">
        <v>41943</v>
      </c>
      <c r="S4617" s="2">
        <v>41964</v>
      </c>
      <c r="T4617" s="2">
        <v>41964</v>
      </c>
      <c r="U4617" s="2">
        <v>42024</v>
      </c>
      <c r="V4617" t="s">
        <v>71</v>
      </c>
      <c r="W4617" t="str">
        <f>"            40900706"</f>
        <v xml:space="preserve">            40900706</v>
      </c>
      <c r="X4617">
        <v>148.44</v>
      </c>
      <c r="Y4617">
        <v>0</v>
      </c>
      <c r="Z4617" s="3">
        <v>148.44</v>
      </c>
      <c r="AA4617">
        <v>665</v>
      </c>
      <c r="AB4617" s="5">
        <v>98712.6</v>
      </c>
      <c r="AC4617">
        <v>148.44</v>
      </c>
      <c r="AD4617">
        <v>665</v>
      </c>
      <c r="AE4617" s="1">
        <v>98712.6</v>
      </c>
      <c r="AF4617">
        <v>0</v>
      </c>
      <c r="AJ4617">
        <v>0</v>
      </c>
      <c r="AK4617">
        <v>0</v>
      </c>
      <c r="AL4617">
        <v>0</v>
      </c>
      <c r="AM4617">
        <v>0</v>
      </c>
      <c r="AN4617">
        <v>0</v>
      </c>
      <c r="AO4617">
        <v>0</v>
      </c>
      <c r="AP4617" s="2">
        <v>42746</v>
      </c>
      <c r="AQ4617" t="s">
        <v>72</v>
      </c>
      <c r="AR4617" t="s">
        <v>72</v>
      </c>
      <c r="AS4617">
        <v>3101</v>
      </c>
      <c r="AT4617" s="4">
        <v>42689</v>
      </c>
      <c r="AU4617" t="s">
        <v>73</v>
      </c>
      <c r="AV4617">
        <v>3101</v>
      </c>
      <c r="AW4617" s="4">
        <v>42689</v>
      </c>
      <c r="BD4617">
        <v>0</v>
      </c>
      <c r="BN4617" t="s">
        <v>74</v>
      </c>
    </row>
    <row r="4618" spans="1:66">
      <c r="A4618">
        <v>101604</v>
      </c>
      <c r="B4618" s="3" t="s">
        <v>485</v>
      </c>
      <c r="C4618" s="1">
        <v>43300101</v>
      </c>
      <c r="D4618" t="s">
        <v>67</v>
      </c>
      <c r="H4618" t="str">
        <f t="shared" si="489"/>
        <v>10804870151</v>
      </c>
      <c r="I4618" t="str">
        <f t="shared" si="489"/>
        <v>10804870151</v>
      </c>
      <c r="K4618" t="str">
        <f>""</f>
        <v/>
      </c>
      <c r="M4618" t="s">
        <v>68</v>
      </c>
      <c r="N4618" t="str">
        <f t="shared" si="488"/>
        <v>FOR</v>
      </c>
      <c r="O4618" t="s">
        <v>69</v>
      </c>
      <c r="P4618" s="3" t="s">
        <v>70</v>
      </c>
      <c r="Q4618">
        <v>2014</v>
      </c>
      <c r="R4618" s="2">
        <v>41973</v>
      </c>
      <c r="S4618" s="2">
        <v>42032</v>
      </c>
      <c r="T4618" s="2">
        <v>42032</v>
      </c>
      <c r="U4618" s="2">
        <v>42092</v>
      </c>
      <c r="V4618" t="s">
        <v>71</v>
      </c>
      <c r="W4618" t="str">
        <f>"            40900766"</f>
        <v xml:space="preserve">            40900766</v>
      </c>
      <c r="X4618">
        <v>148.44</v>
      </c>
      <c r="Y4618">
        <v>0</v>
      </c>
      <c r="Z4618" s="3">
        <v>148.44</v>
      </c>
      <c r="AA4618">
        <v>597</v>
      </c>
      <c r="AB4618" s="5">
        <v>88618.68</v>
      </c>
      <c r="AC4618">
        <v>148.44</v>
      </c>
      <c r="AD4618">
        <v>597</v>
      </c>
      <c r="AE4618" s="1">
        <v>88618.68</v>
      </c>
      <c r="AF4618">
        <v>0</v>
      </c>
      <c r="AJ4618">
        <v>0</v>
      </c>
      <c r="AK4618">
        <v>0</v>
      </c>
      <c r="AL4618">
        <v>0</v>
      </c>
      <c r="AM4618">
        <v>0</v>
      </c>
      <c r="AN4618">
        <v>0</v>
      </c>
      <c r="AO4618">
        <v>0</v>
      </c>
      <c r="AP4618" s="2">
        <v>42746</v>
      </c>
      <c r="AQ4618" t="s">
        <v>72</v>
      </c>
      <c r="AR4618" t="s">
        <v>72</v>
      </c>
      <c r="AS4618">
        <v>3101</v>
      </c>
      <c r="AT4618" s="4">
        <v>42689</v>
      </c>
      <c r="AU4618" t="s">
        <v>73</v>
      </c>
      <c r="AV4618">
        <v>3101</v>
      </c>
      <c r="AW4618" s="4">
        <v>42689</v>
      </c>
      <c r="BD4618">
        <v>0</v>
      </c>
      <c r="BN4618" t="s">
        <v>74</v>
      </c>
    </row>
    <row r="4619" spans="1:66">
      <c r="A4619">
        <v>101604</v>
      </c>
      <c r="B4619" s="3" t="s">
        <v>485</v>
      </c>
      <c r="C4619" s="1">
        <v>43300101</v>
      </c>
      <c r="D4619" t="s">
        <v>67</v>
      </c>
      <c r="H4619" t="str">
        <f t="shared" si="489"/>
        <v>10804870151</v>
      </c>
      <c r="I4619" t="str">
        <f t="shared" si="489"/>
        <v>10804870151</v>
      </c>
      <c r="K4619" t="str">
        <f>""</f>
        <v/>
      </c>
      <c r="M4619" t="s">
        <v>68</v>
      </c>
      <c r="N4619" t="str">
        <f t="shared" si="488"/>
        <v>FOR</v>
      </c>
      <c r="O4619" t="s">
        <v>69</v>
      </c>
      <c r="P4619" s="3" t="s">
        <v>70</v>
      </c>
      <c r="Q4619">
        <v>2014</v>
      </c>
      <c r="R4619" s="2">
        <v>41711</v>
      </c>
      <c r="S4619" s="2">
        <v>42437</v>
      </c>
      <c r="T4619" s="2">
        <v>42437</v>
      </c>
      <c r="U4619" s="2">
        <v>42497</v>
      </c>
      <c r="V4619" t="s">
        <v>71</v>
      </c>
      <c r="W4619" t="str">
        <f>"           140300813"</f>
        <v xml:space="preserve">           140300813</v>
      </c>
      <c r="X4619" s="1">
        <v>2745</v>
      </c>
      <c r="Y4619">
        <v>0</v>
      </c>
      <c r="Z4619" s="5">
        <v>2745</v>
      </c>
      <c r="AA4619">
        <v>192</v>
      </c>
      <c r="AB4619" s="5">
        <v>527040</v>
      </c>
      <c r="AC4619" s="1">
        <v>2745</v>
      </c>
      <c r="AD4619">
        <v>192</v>
      </c>
      <c r="AE4619" s="1">
        <v>527040</v>
      </c>
      <c r="AF4619">
        <v>0</v>
      </c>
      <c r="AJ4619">
        <v>0</v>
      </c>
      <c r="AK4619">
        <v>0</v>
      </c>
      <c r="AL4619">
        <v>0</v>
      </c>
      <c r="AM4619">
        <v>0</v>
      </c>
      <c r="AN4619" s="1">
        <v>2745</v>
      </c>
      <c r="AO4619">
        <v>0</v>
      </c>
      <c r="AP4619" s="2">
        <v>42746</v>
      </c>
      <c r="AQ4619" t="s">
        <v>72</v>
      </c>
      <c r="AR4619" t="s">
        <v>72</v>
      </c>
      <c r="AS4619">
        <v>3102</v>
      </c>
      <c r="AT4619" s="4">
        <v>42689</v>
      </c>
      <c r="AU4619" t="s">
        <v>73</v>
      </c>
      <c r="AV4619">
        <v>3102</v>
      </c>
      <c r="AW4619" s="4">
        <v>42689</v>
      </c>
      <c r="BD4619">
        <v>0</v>
      </c>
      <c r="BN4619" t="s">
        <v>74</v>
      </c>
    </row>
    <row r="4620" spans="1:66">
      <c r="A4620">
        <v>101604</v>
      </c>
      <c r="B4620" s="3" t="s">
        <v>485</v>
      </c>
      <c r="C4620" s="1">
        <v>43300101</v>
      </c>
      <c r="D4620" t="s">
        <v>67</v>
      </c>
      <c r="H4620" t="str">
        <f t="shared" si="489"/>
        <v>10804870151</v>
      </c>
      <c r="I4620" t="str">
        <f t="shared" si="489"/>
        <v>10804870151</v>
      </c>
      <c r="K4620" t="str">
        <f>""</f>
        <v/>
      </c>
      <c r="M4620" t="s">
        <v>68</v>
      </c>
      <c r="N4620" t="str">
        <f t="shared" si="488"/>
        <v>FOR</v>
      </c>
      <c r="O4620" t="s">
        <v>69</v>
      </c>
      <c r="P4620" s="3" t="s">
        <v>70</v>
      </c>
      <c r="Q4620">
        <v>2014</v>
      </c>
      <c r="R4620" s="2">
        <v>42004</v>
      </c>
      <c r="S4620" s="2">
        <v>42030</v>
      </c>
      <c r="T4620" s="2">
        <v>42030</v>
      </c>
      <c r="U4620" s="2">
        <v>42090</v>
      </c>
      <c r="V4620" t="s">
        <v>71</v>
      </c>
      <c r="W4620" t="str">
        <f>"           140900833"</f>
        <v xml:space="preserve">           140900833</v>
      </c>
      <c r="X4620">
        <v>148.44</v>
      </c>
      <c r="Y4620">
        <v>0</v>
      </c>
      <c r="Z4620" s="3">
        <v>148.44</v>
      </c>
      <c r="AA4620">
        <v>599</v>
      </c>
      <c r="AB4620" s="5">
        <v>88915.56</v>
      </c>
      <c r="AC4620">
        <v>148.44</v>
      </c>
      <c r="AD4620">
        <v>599</v>
      </c>
      <c r="AE4620" s="1">
        <v>88915.56</v>
      </c>
      <c r="AF4620">
        <v>0</v>
      </c>
      <c r="AJ4620">
        <v>0</v>
      </c>
      <c r="AK4620">
        <v>0</v>
      </c>
      <c r="AL4620">
        <v>0</v>
      </c>
      <c r="AM4620">
        <v>0</v>
      </c>
      <c r="AN4620">
        <v>0</v>
      </c>
      <c r="AO4620">
        <v>0</v>
      </c>
      <c r="AP4620" s="2">
        <v>42746</v>
      </c>
      <c r="AQ4620" t="s">
        <v>72</v>
      </c>
      <c r="AR4620" t="s">
        <v>72</v>
      </c>
      <c r="AS4620">
        <v>3101</v>
      </c>
      <c r="AT4620" s="4">
        <v>42689</v>
      </c>
      <c r="AU4620" t="s">
        <v>73</v>
      </c>
      <c r="AV4620">
        <v>3101</v>
      </c>
      <c r="AW4620" s="4">
        <v>42689</v>
      </c>
      <c r="BD4620">
        <v>0</v>
      </c>
      <c r="BN4620" t="s">
        <v>74</v>
      </c>
    </row>
    <row r="4621" spans="1:66" hidden="1">
      <c r="A4621">
        <v>101604</v>
      </c>
      <c r="B4621" s="3" t="s">
        <v>485</v>
      </c>
      <c r="C4621" s="1">
        <v>43300101</v>
      </c>
      <c r="D4621" t="s">
        <v>67</v>
      </c>
      <c r="H4621" t="str">
        <f t="shared" si="489"/>
        <v>10804870151</v>
      </c>
      <c r="I4621" t="str">
        <f t="shared" si="489"/>
        <v>10804870151</v>
      </c>
      <c r="K4621" t="str">
        <f>""</f>
        <v/>
      </c>
      <c r="M4621" t="s">
        <v>68</v>
      </c>
      <c r="N4621" t="str">
        <f t="shared" si="488"/>
        <v>FOR</v>
      </c>
      <c r="O4621" t="s">
        <v>69</v>
      </c>
      <c r="P4621" s="3" t="s">
        <v>70</v>
      </c>
      <c r="Q4621">
        <v>2015</v>
      </c>
      <c r="R4621" s="2">
        <v>42048</v>
      </c>
      <c r="S4621" s="2">
        <v>42086</v>
      </c>
      <c r="T4621" s="2">
        <v>42086</v>
      </c>
      <c r="U4621" s="2">
        <v>42146</v>
      </c>
      <c r="V4621" t="s">
        <v>71</v>
      </c>
      <c r="W4621" t="str">
        <f>"           150500098"</f>
        <v xml:space="preserve">           150500098</v>
      </c>
      <c r="X4621" s="1">
        <v>14457</v>
      </c>
      <c r="Y4621">
        <v>0</v>
      </c>
      <c r="Z4621"/>
      <c r="AB4621"/>
      <c r="AC4621" s="1">
        <v>11850</v>
      </c>
      <c r="AD4621">
        <v>255</v>
      </c>
      <c r="AE4621" s="1">
        <v>3021750</v>
      </c>
      <c r="AF4621">
        <v>0</v>
      </c>
      <c r="AJ4621">
        <v>0</v>
      </c>
      <c r="AK4621">
        <v>0</v>
      </c>
      <c r="AL4621">
        <v>0</v>
      </c>
      <c r="AM4621">
        <v>0</v>
      </c>
      <c r="AN4621">
        <v>0</v>
      </c>
      <c r="AO4621">
        <v>0</v>
      </c>
      <c r="AP4621" s="2">
        <v>42746</v>
      </c>
      <c r="AQ4621" t="s">
        <v>72</v>
      </c>
      <c r="AR4621" t="s">
        <v>72</v>
      </c>
      <c r="AS4621">
        <v>183</v>
      </c>
      <c r="AT4621" s="4">
        <v>42401</v>
      </c>
      <c r="AU4621" t="s">
        <v>73</v>
      </c>
      <c r="AV4621">
        <v>183</v>
      </c>
      <c r="AW4621" s="4">
        <v>42401</v>
      </c>
      <c r="BD4621">
        <v>0</v>
      </c>
      <c r="BN4621" t="s">
        <v>74</v>
      </c>
    </row>
    <row r="4622" spans="1:66" hidden="1">
      <c r="A4622">
        <v>101604</v>
      </c>
      <c r="B4622" s="3" t="s">
        <v>485</v>
      </c>
      <c r="C4622" s="1">
        <v>43300101</v>
      </c>
      <c r="D4622" t="s">
        <v>67</v>
      </c>
      <c r="H4622" t="str">
        <f t="shared" si="489"/>
        <v>10804870151</v>
      </c>
      <c r="I4622" t="str">
        <f t="shared" si="489"/>
        <v>10804870151</v>
      </c>
      <c r="K4622" t="str">
        <f>""</f>
        <v/>
      </c>
      <c r="M4622" t="s">
        <v>68</v>
      </c>
      <c r="N4622" t="str">
        <f t="shared" si="488"/>
        <v>FOR</v>
      </c>
      <c r="O4622" t="s">
        <v>69</v>
      </c>
      <c r="P4622" s="3" t="s">
        <v>70</v>
      </c>
      <c r="Q4622">
        <v>2015</v>
      </c>
      <c r="R4622" s="2">
        <v>42060</v>
      </c>
      <c r="S4622" s="2">
        <v>42086</v>
      </c>
      <c r="T4622" s="2">
        <v>42086</v>
      </c>
      <c r="U4622" s="2">
        <v>42146</v>
      </c>
      <c r="V4622" t="s">
        <v>71</v>
      </c>
      <c r="W4622" t="str">
        <f>"           150500147"</f>
        <v xml:space="preserve">           150500147</v>
      </c>
      <c r="X4622" s="1">
        <v>2775.5</v>
      </c>
      <c r="Y4622">
        <v>0</v>
      </c>
      <c r="Z4622"/>
      <c r="AB4622"/>
      <c r="AC4622" s="1">
        <v>2275</v>
      </c>
      <c r="AD4622">
        <v>255</v>
      </c>
      <c r="AE4622" s="1">
        <v>580125</v>
      </c>
      <c r="AF4622">
        <v>0</v>
      </c>
      <c r="AJ4622">
        <v>0</v>
      </c>
      <c r="AK4622">
        <v>0</v>
      </c>
      <c r="AL4622">
        <v>0</v>
      </c>
      <c r="AM4622">
        <v>0</v>
      </c>
      <c r="AN4622">
        <v>0</v>
      </c>
      <c r="AO4622">
        <v>0</v>
      </c>
      <c r="AP4622" s="2">
        <v>42746</v>
      </c>
      <c r="AQ4622" t="s">
        <v>72</v>
      </c>
      <c r="AR4622" t="s">
        <v>72</v>
      </c>
      <c r="AS4622">
        <v>183</v>
      </c>
      <c r="AT4622" s="4">
        <v>42401</v>
      </c>
      <c r="AU4622" t="s">
        <v>73</v>
      </c>
      <c r="AV4622">
        <v>183</v>
      </c>
      <c r="AW4622" s="4">
        <v>42401</v>
      </c>
      <c r="BD4622">
        <v>0</v>
      </c>
      <c r="BN4622" t="s">
        <v>74</v>
      </c>
    </row>
    <row r="4623" spans="1:66" hidden="1">
      <c r="A4623">
        <v>101604</v>
      </c>
      <c r="B4623" s="3" t="s">
        <v>485</v>
      </c>
      <c r="C4623" s="1">
        <v>43300101</v>
      </c>
      <c r="D4623" t="s">
        <v>67</v>
      </c>
      <c r="H4623" t="str">
        <f t="shared" si="489"/>
        <v>10804870151</v>
      </c>
      <c r="I4623" t="str">
        <f t="shared" si="489"/>
        <v>10804870151</v>
      </c>
      <c r="K4623" t="str">
        <f>""</f>
        <v/>
      </c>
      <c r="M4623" t="s">
        <v>68</v>
      </c>
      <c r="N4623" t="str">
        <f t="shared" si="488"/>
        <v>FOR</v>
      </c>
      <c r="O4623" t="s">
        <v>69</v>
      </c>
      <c r="P4623" s="3" t="s">
        <v>70</v>
      </c>
      <c r="Q4623">
        <v>2015</v>
      </c>
      <c r="R4623" s="2">
        <v>42089</v>
      </c>
      <c r="S4623" s="2">
        <v>42115</v>
      </c>
      <c r="T4623" s="2">
        <v>42115</v>
      </c>
      <c r="U4623" s="2">
        <v>42175</v>
      </c>
      <c r="V4623" t="s">
        <v>71</v>
      </c>
      <c r="W4623" t="str">
        <f>"           150500254"</f>
        <v xml:space="preserve">           150500254</v>
      </c>
      <c r="X4623" s="1">
        <v>8052</v>
      </c>
      <c r="Y4623">
        <v>0</v>
      </c>
      <c r="Z4623"/>
      <c r="AB4623"/>
      <c r="AC4623" s="1">
        <v>6600</v>
      </c>
      <c r="AD4623">
        <v>240</v>
      </c>
      <c r="AE4623" s="1">
        <v>1584000</v>
      </c>
      <c r="AF4623">
        <v>0</v>
      </c>
      <c r="AJ4623">
        <v>0</v>
      </c>
      <c r="AK4623">
        <v>0</v>
      </c>
      <c r="AL4623">
        <v>0</v>
      </c>
      <c r="AM4623">
        <v>0</v>
      </c>
      <c r="AN4623">
        <v>0</v>
      </c>
      <c r="AO4623">
        <v>0</v>
      </c>
      <c r="AP4623" s="2">
        <v>42746</v>
      </c>
      <c r="AQ4623" t="s">
        <v>72</v>
      </c>
      <c r="AR4623" t="s">
        <v>72</v>
      </c>
      <c r="AS4623">
        <v>393</v>
      </c>
      <c r="AT4623" s="4">
        <v>42415</v>
      </c>
      <c r="AU4623" t="s">
        <v>73</v>
      </c>
      <c r="AV4623">
        <v>393</v>
      </c>
      <c r="AW4623" s="4">
        <v>42415</v>
      </c>
      <c r="BD4623">
        <v>0</v>
      </c>
      <c r="BN4623" t="s">
        <v>74</v>
      </c>
    </row>
    <row r="4624" spans="1:66" hidden="1">
      <c r="A4624">
        <v>101604</v>
      </c>
      <c r="B4624" s="3" t="s">
        <v>485</v>
      </c>
      <c r="C4624" s="1">
        <v>43300101</v>
      </c>
      <c r="D4624" t="s">
        <v>67</v>
      </c>
      <c r="H4624" t="str">
        <f t="shared" si="489"/>
        <v>10804870151</v>
      </c>
      <c r="I4624" t="str">
        <f t="shared" si="489"/>
        <v>10804870151</v>
      </c>
      <c r="K4624" t="str">
        <f>""</f>
        <v/>
      </c>
      <c r="M4624" t="s">
        <v>68</v>
      </c>
      <c r="N4624" t="str">
        <f t="shared" si="488"/>
        <v>FOR</v>
      </c>
      <c r="O4624" t="s">
        <v>69</v>
      </c>
      <c r="P4624" s="3" t="s">
        <v>75</v>
      </c>
      <c r="Q4624">
        <v>2015</v>
      </c>
      <c r="R4624" s="2">
        <v>42107</v>
      </c>
      <c r="S4624" s="2">
        <v>42262</v>
      </c>
      <c r="T4624" s="2">
        <v>42258</v>
      </c>
      <c r="U4624" s="2">
        <v>42318</v>
      </c>
      <c r="V4624" t="s">
        <v>71</v>
      </c>
      <c r="W4624" t="str">
        <f>"           150500313"</f>
        <v xml:space="preserve">           150500313</v>
      </c>
      <c r="X4624" s="1">
        <v>1976.4</v>
      </c>
      <c r="Y4624">
        <v>0</v>
      </c>
      <c r="Z4624"/>
      <c r="AB4624"/>
      <c r="AC4624" s="1">
        <v>1620</v>
      </c>
      <c r="AD4624">
        <v>134</v>
      </c>
      <c r="AE4624" s="1">
        <v>217080</v>
      </c>
      <c r="AF4624">
        <v>0</v>
      </c>
      <c r="AJ4624">
        <v>0</v>
      </c>
      <c r="AK4624">
        <v>0</v>
      </c>
      <c r="AL4624">
        <v>0</v>
      </c>
      <c r="AM4624">
        <v>0</v>
      </c>
      <c r="AN4624">
        <v>0</v>
      </c>
      <c r="AO4624">
        <v>0</v>
      </c>
      <c r="AP4624" s="2">
        <v>42746</v>
      </c>
      <c r="AQ4624" t="s">
        <v>72</v>
      </c>
      <c r="AR4624" t="s">
        <v>72</v>
      </c>
      <c r="AS4624">
        <v>774</v>
      </c>
      <c r="AT4624" s="4">
        <v>42452</v>
      </c>
      <c r="AU4624" t="s">
        <v>73</v>
      </c>
      <c r="AV4624">
        <v>774</v>
      </c>
      <c r="AW4624" s="4">
        <v>42452</v>
      </c>
      <c r="BD4624">
        <v>0</v>
      </c>
      <c r="BN4624" t="s">
        <v>74</v>
      </c>
    </row>
    <row r="4625" spans="1:66" hidden="1">
      <c r="A4625">
        <v>101604</v>
      </c>
      <c r="B4625" s="3" t="s">
        <v>485</v>
      </c>
      <c r="C4625" s="1">
        <v>43300101</v>
      </c>
      <c r="D4625" t="s">
        <v>67</v>
      </c>
      <c r="H4625" t="str">
        <f t="shared" si="489"/>
        <v>10804870151</v>
      </c>
      <c r="I4625" t="str">
        <f t="shared" si="489"/>
        <v>10804870151</v>
      </c>
      <c r="K4625" t="str">
        <f>""</f>
        <v/>
      </c>
      <c r="M4625" t="s">
        <v>68</v>
      </c>
      <c r="N4625" t="str">
        <f t="shared" si="488"/>
        <v>FOR</v>
      </c>
      <c r="O4625" t="s">
        <v>69</v>
      </c>
      <c r="P4625" s="3" t="s">
        <v>75</v>
      </c>
      <c r="Q4625">
        <v>2015</v>
      </c>
      <c r="R4625" s="2">
        <v>42116</v>
      </c>
      <c r="S4625" s="2">
        <v>42262</v>
      </c>
      <c r="T4625" s="2">
        <v>42261</v>
      </c>
      <c r="U4625" s="2">
        <v>42321</v>
      </c>
      <c r="V4625" t="s">
        <v>71</v>
      </c>
      <c r="W4625" t="str">
        <f>"           150500357"</f>
        <v xml:space="preserve">           150500357</v>
      </c>
      <c r="X4625" s="1">
        <v>3599</v>
      </c>
      <c r="Y4625">
        <v>0</v>
      </c>
      <c r="Z4625"/>
      <c r="AB4625"/>
      <c r="AC4625" s="1">
        <v>2950</v>
      </c>
      <c r="AD4625">
        <v>131</v>
      </c>
      <c r="AE4625" s="1">
        <v>386450</v>
      </c>
      <c r="AF4625">
        <v>0</v>
      </c>
      <c r="AJ4625">
        <v>0</v>
      </c>
      <c r="AK4625">
        <v>0</v>
      </c>
      <c r="AL4625">
        <v>0</v>
      </c>
      <c r="AM4625">
        <v>0</v>
      </c>
      <c r="AN4625">
        <v>0</v>
      </c>
      <c r="AO4625">
        <v>0</v>
      </c>
      <c r="AP4625" s="2">
        <v>42746</v>
      </c>
      <c r="AQ4625" t="s">
        <v>72</v>
      </c>
      <c r="AR4625" t="s">
        <v>72</v>
      </c>
      <c r="AS4625">
        <v>774</v>
      </c>
      <c r="AT4625" s="4">
        <v>42452</v>
      </c>
      <c r="AU4625" t="s">
        <v>73</v>
      </c>
      <c r="AV4625">
        <v>774</v>
      </c>
      <c r="AW4625" s="4">
        <v>42452</v>
      </c>
      <c r="BD4625">
        <v>0</v>
      </c>
      <c r="BN4625" t="s">
        <v>74</v>
      </c>
    </row>
    <row r="4626" spans="1:66" hidden="1">
      <c r="A4626">
        <v>101604</v>
      </c>
      <c r="B4626" s="3" t="s">
        <v>485</v>
      </c>
      <c r="C4626" s="1">
        <v>43300101</v>
      </c>
      <c r="D4626" t="s">
        <v>67</v>
      </c>
      <c r="H4626" t="str">
        <f t="shared" si="489"/>
        <v>10804870151</v>
      </c>
      <c r="I4626" t="str">
        <f t="shared" si="489"/>
        <v>10804870151</v>
      </c>
      <c r="K4626" t="str">
        <f>""</f>
        <v/>
      </c>
      <c r="M4626" t="s">
        <v>68</v>
      </c>
      <c r="N4626" t="str">
        <f t="shared" si="488"/>
        <v>FOR</v>
      </c>
      <c r="O4626" t="s">
        <v>69</v>
      </c>
      <c r="P4626" s="3" t="s">
        <v>75</v>
      </c>
      <c r="Q4626">
        <v>2015</v>
      </c>
      <c r="R4626" s="2">
        <v>42152</v>
      </c>
      <c r="S4626" s="2">
        <v>42207</v>
      </c>
      <c r="T4626" s="2">
        <v>42205</v>
      </c>
      <c r="U4626" s="2">
        <v>42265</v>
      </c>
      <c r="V4626" t="s">
        <v>71</v>
      </c>
      <c r="W4626" t="str">
        <f>"           150500516"</f>
        <v xml:space="preserve">           150500516</v>
      </c>
      <c r="X4626" s="1">
        <v>3599</v>
      </c>
      <c r="Y4626">
        <v>0</v>
      </c>
      <c r="Z4626"/>
      <c r="AB4626"/>
      <c r="AC4626" s="1">
        <v>2950</v>
      </c>
      <c r="AD4626">
        <v>187</v>
      </c>
      <c r="AE4626" s="1">
        <v>551650</v>
      </c>
      <c r="AF4626">
        <v>0</v>
      </c>
      <c r="AJ4626">
        <v>0</v>
      </c>
      <c r="AK4626">
        <v>0</v>
      </c>
      <c r="AL4626">
        <v>0</v>
      </c>
      <c r="AM4626">
        <v>0</v>
      </c>
      <c r="AN4626">
        <v>0</v>
      </c>
      <c r="AO4626">
        <v>0</v>
      </c>
      <c r="AP4626" s="2">
        <v>42746</v>
      </c>
      <c r="AQ4626" t="s">
        <v>72</v>
      </c>
      <c r="AR4626" t="s">
        <v>72</v>
      </c>
      <c r="AS4626">
        <v>774</v>
      </c>
      <c r="AT4626" s="4">
        <v>42452</v>
      </c>
      <c r="AU4626" t="s">
        <v>73</v>
      </c>
      <c r="AV4626">
        <v>774</v>
      </c>
      <c r="AW4626" s="4">
        <v>42452</v>
      </c>
      <c r="BD4626">
        <v>0</v>
      </c>
      <c r="BN4626" t="s">
        <v>74</v>
      </c>
    </row>
    <row r="4627" spans="1:66" hidden="1">
      <c r="A4627">
        <v>101604</v>
      </c>
      <c r="B4627" s="3" t="s">
        <v>485</v>
      </c>
      <c r="C4627" s="1">
        <v>43300101</v>
      </c>
      <c r="D4627" t="s">
        <v>67</v>
      </c>
      <c r="H4627" t="str">
        <f t="shared" si="489"/>
        <v>10804870151</v>
      </c>
      <c r="I4627" t="str">
        <f t="shared" si="489"/>
        <v>10804870151</v>
      </c>
      <c r="K4627" t="str">
        <f>""</f>
        <v/>
      </c>
      <c r="M4627" t="s">
        <v>68</v>
      </c>
      <c r="N4627" t="str">
        <f t="shared" si="488"/>
        <v>FOR</v>
      </c>
      <c r="O4627" t="s">
        <v>69</v>
      </c>
      <c r="P4627" s="3" t="s">
        <v>75</v>
      </c>
      <c r="Q4627">
        <v>2015</v>
      </c>
      <c r="R4627" s="2">
        <v>42152</v>
      </c>
      <c r="S4627" s="2">
        <v>42207</v>
      </c>
      <c r="T4627" s="2">
        <v>42205</v>
      </c>
      <c r="U4627" s="2">
        <v>42265</v>
      </c>
      <c r="V4627" t="s">
        <v>71</v>
      </c>
      <c r="W4627" t="str">
        <f>"           150500517"</f>
        <v xml:space="preserve">           150500517</v>
      </c>
      <c r="X4627" s="1">
        <v>1647</v>
      </c>
      <c r="Y4627">
        <v>0</v>
      </c>
      <c r="Z4627"/>
      <c r="AB4627"/>
      <c r="AC4627" s="1">
        <v>1350</v>
      </c>
      <c r="AD4627">
        <v>187</v>
      </c>
      <c r="AE4627" s="1">
        <v>252450</v>
      </c>
      <c r="AF4627">
        <v>0</v>
      </c>
      <c r="AJ4627">
        <v>0</v>
      </c>
      <c r="AK4627">
        <v>0</v>
      </c>
      <c r="AL4627">
        <v>0</v>
      </c>
      <c r="AM4627">
        <v>0</v>
      </c>
      <c r="AN4627">
        <v>0</v>
      </c>
      <c r="AO4627">
        <v>0</v>
      </c>
      <c r="AP4627" s="2">
        <v>42746</v>
      </c>
      <c r="AQ4627" t="s">
        <v>72</v>
      </c>
      <c r="AR4627" t="s">
        <v>72</v>
      </c>
      <c r="AS4627">
        <v>774</v>
      </c>
      <c r="AT4627" s="4">
        <v>42452</v>
      </c>
      <c r="AU4627" t="s">
        <v>73</v>
      </c>
      <c r="AV4627">
        <v>774</v>
      </c>
      <c r="AW4627" s="4">
        <v>42452</v>
      </c>
      <c r="BD4627">
        <v>0</v>
      </c>
      <c r="BN4627" t="s">
        <v>74</v>
      </c>
    </row>
    <row r="4628" spans="1:66" hidden="1">
      <c r="A4628">
        <v>101604</v>
      </c>
      <c r="B4628" s="3" t="s">
        <v>485</v>
      </c>
      <c r="C4628" s="1">
        <v>43300101</v>
      </c>
      <c r="D4628" t="s">
        <v>67</v>
      </c>
      <c r="H4628" t="str">
        <f t="shared" si="489"/>
        <v>10804870151</v>
      </c>
      <c r="I4628" t="str">
        <f t="shared" si="489"/>
        <v>10804870151</v>
      </c>
      <c r="K4628" t="str">
        <f>""</f>
        <v/>
      </c>
      <c r="M4628" t="s">
        <v>68</v>
      </c>
      <c r="N4628" t="str">
        <f t="shared" si="488"/>
        <v>FOR</v>
      </c>
      <c r="O4628" t="s">
        <v>69</v>
      </c>
      <c r="P4628" s="3" t="s">
        <v>75</v>
      </c>
      <c r="Q4628">
        <v>2015</v>
      </c>
      <c r="R4628" s="2">
        <v>42171</v>
      </c>
      <c r="S4628" s="2">
        <v>42230</v>
      </c>
      <c r="T4628" s="2">
        <v>42223</v>
      </c>
      <c r="U4628" s="2">
        <v>42283</v>
      </c>
      <c r="V4628" t="s">
        <v>71</v>
      </c>
      <c r="W4628" t="str">
        <f>"           150500600"</f>
        <v xml:space="preserve">           150500600</v>
      </c>
      <c r="X4628" s="1">
        <v>1799.5</v>
      </c>
      <c r="Y4628">
        <v>0</v>
      </c>
      <c r="Z4628"/>
      <c r="AB4628"/>
      <c r="AC4628" s="1">
        <v>1475</v>
      </c>
      <c r="AD4628">
        <v>237</v>
      </c>
      <c r="AE4628" s="1">
        <v>349575</v>
      </c>
      <c r="AF4628">
        <v>0</v>
      </c>
      <c r="AJ4628">
        <v>0</v>
      </c>
      <c r="AK4628">
        <v>0</v>
      </c>
      <c r="AL4628">
        <v>0</v>
      </c>
      <c r="AM4628">
        <v>0</v>
      </c>
      <c r="AN4628">
        <v>0</v>
      </c>
      <c r="AO4628">
        <v>0</v>
      </c>
      <c r="AP4628" s="2">
        <v>42746</v>
      </c>
      <c r="AQ4628" t="s">
        <v>72</v>
      </c>
      <c r="AR4628" t="s">
        <v>72</v>
      </c>
      <c r="AS4628">
        <v>1443</v>
      </c>
      <c r="AT4628" s="4">
        <v>42520</v>
      </c>
      <c r="AU4628" t="s">
        <v>73</v>
      </c>
      <c r="AV4628">
        <v>1443</v>
      </c>
      <c r="AW4628" s="4">
        <v>42520</v>
      </c>
      <c r="BD4628">
        <v>0</v>
      </c>
      <c r="BN4628" t="s">
        <v>74</v>
      </c>
    </row>
    <row r="4629" spans="1:66" hidden="1">
      <c r="A4629">
        <v>101604</v>
      </c>
      <c r="B4629" s="3" t="s">
        <v>485</v>
      </c>
      <c r="C4629" s="1">
        <v>43300101</v>
      </c>
      <c r="D4629" t="s">
        <v>67</v>
      </c>
      <c r="H4629" t="str">
        <f t="shared" si="489"/>
        <v>10804870151</v>
      </c>
      <c r="I4629" t="str">
        <f t="shared" si="489"/>
        <v>10804870151</v>
      </c>
      <c r="K4629" t="str">
        <f>""</f>
        <v/>
      </c>
      <c r="M4629" t="s">
        <v>68</v>
      </c>
      <c r="N4629" t="str">
        <f t="shared" si="488"/>
        <v>FOR</v>
      </c>
      <c r="O4629" t="s">
        <v>69</v>
      </c>
      <c r="P4629" s="3" t="s">
        <v>75</v>
      </c>
      <c r="Q4629">
        <v>2015</v>
      </c>
      <c r="R4629" s="2">
        <v>42198</v>
      </c>
      <c r="S4629" s="2">
        <v>42207</v>
      </c>
      <c r="T4629" s="2">
        <v>42205</v>
      </c>
      <c r="U4629" s="2">
        <v>42265</v>
      </c>
      <c r="V4629" t="s">
        <v>71</v>
      </c>
      <c r="W4629" t="str">
        <f>"           150500715"</f>
        <v xml:space="preserve">           150500715</v>
      </c>
      <c r="X4629" s="1">
        <v>7228.5</v>
      </c>
      <c r="Y4629">
        <v>0</v>
      </c>
      <c r="Z4629"/>
      <c r="AB4629"/>
      <c r="AC4629" s="1">
        <v>5925</v>
      </c>
      <c r="AD4629">
        <v>311</v>
      </c>
      <c r="AE4629" s="1">
        <v>1842675</v>
      </c>
      <c r="AF4629">
        <v>0</v>
      </c>
      <c r="AJ4629">
        <v>0</v>
      </c>
      <c r="AK4629">
        <v>0</v>
      </c>
      <c r="AL4629">
        <v>0</v>
      </c>
      <c r="AM4629">
        <v>0</v>
      </c>
      <c r="AN4629">
        <v>0</v>
      </c>
      <c r="AO4629">
        <v>0</v>
      </c>
      <c r="AP4629" s="2">
        <v>42746</v>
      </c>
      <c r="AQ4629" t="s">
        <v>72</v>
      </c>
      <c r="AR4629" t="s">
        <v>72</v>
      </c>
      <c r="AS4629">
        <v>1917</v>
      </c>
      <c r="AT4629" s="4">
        <v>42576</v>
      </c>
      <c r="AU4629" t="s">
        <v>73</v>
      </c>
      <c r="AV4629">
        <v>1917</v>
      </c>
      <c r="AW4629" s="4">
        <v>42576</v>
      </c>
      <c r="BD4629">
        <v>0</v>
      </c>
      <c r="BN4629" t="s">
        <v>74</v>
      </c>
    </row>
    <row r="4630" spans="1:66" hidden="1">
      <c r="A4630">
        <v>101604</v>
      </c>
      <c r="B4630" s="3" t="s">
        <v>485</v>
      </c>
      <c r="C4630" s="1">
        <v>43300101</v>
      </c>
      <c r="D4630" t="s">
        <v>67</v>
      </c>
      <c r="H4630" t="str">
        <f t="shared" si="489"/>
        <v>10804870151</v>
      </c>
      <c r="I4630" t="str">
        <f t="shared" si="489"/>
        <v>10804870151</v>
      </c>
      <c r="K4630" t="str">
        <f>""</f>
        <v/>
      </c>
      <c r="M4630" t="s">
        <v>68</v>
      </c>
      <c r="N4630" t="str">
        <f t="shared" si="488"/>
        <v>FOR</v>
      </c>
      <c r="O4630" t="s">
        <v>69</v>
      </c>
      <c r="P4630" s="3" t="s">
        <v>75</v>
      </c>
      <c r="Q4630">
        <v>2015</v>
      </c>
      <c r="R4630" s="2">
        <v>42205</v>
      </c>
      <c r="S4630" s="2">
        <v>42227</v>
      </c>
      <c r="T4630" s="2">
        <v>42213</v>
      </c>
      <c r="U4630" s="2">
        <v>42273</v>
      </c>
      <c r="V4630" t="s">
        <v>71</v>
      </c>
      <c r="W4630" t="str">
        <f>"           150500733"</f>
        <v xml:space="preserve">           150500733</v>
      </c>
      <c r="X4630" s="1">
        <v>7228.5</v>
      </c>
      <c r="Y4630">
        <v>0</v>
      </c>
      <c r="Z4630"/>
      <c r="AB4630"/>
      <c r="AC4630" s="1">
        <v>5925</v>
      </c>
      <c r="AD4630">
        <v>303</v>
      </c>
      <c r="AE4630" s="1">
        <v>1795275</v>
      </c>
      <c r="AF4630">
        <v>0</v>
      </c>
      <c r="AJ4630">
        <v>0</v>
      </c>
      <c r="AK4630">
        <v>0</v>
      </c>
      <c r="AL4630">
        <v>0</v>
      </c>
      <c r="AM4630">
        <v>0</v>
      </c>
      <c r="AN4630">
        <v>0</v>
      </c>
      <c r="AO4630">
        <v>0</v>
      </c>
      <c r="AP4630" s="2">
        <v>42746</v>
      </c>
      <c r="AQ4630" t="s">
        <v>72</v>
      </c>
      <c r="AR4630" t="s">
        <v>72</v>
      </c>
      <c r="AS4630">
        <v>1917</v>
      </c>
      <c r="AT4630" s="4">
        <v>42576</v>
      </c>
      <c r="AU4630" t="s">
        <v>73</v>
      </c>
      <c r="AV4630">
        <v>1917</v>
      </c>
      <c r="AW4630" s="4">
        <v>42576</v>
      </c>
      <c r="BD4630">
        <v>0</v>
      </c>
      <c r="BN4630" t="s">
        <v>74</v>
      </c>
    </row>
    <row r="4631" spans="1:66" hidden="1">
      <c r="A4631">
        <v>101604</v>
      </c>
      <c r="B4631" s="3" t="s">
        <v>485</v>
      </c>
      <c r="C4631" s="1">
        <v>43300101</v>
      </c>
      <c r="D4631" t="s">
        <v>67</v>
      </c>
      <c r="H4631" t="str">
        <f t="shared" si="489"/>
        <v>10804870151</v>
      </c>
      <c r="I4631" t="str">
        <f t="shared" si="489"/>
        <v>10804870151</v>
      </c>
      <c r="K4631" t="str">
        <f>""</f>
        <v/>
      </c>
      <c r="M4631" t="s">
        <v>68</v>
      </c>
      <c r="N4631" t="str">
        <f t="shared" si="488"/>
        <v>FOR</v>
      </c>
      <c r="O4631" t="s">
        <v>69</v>
      </c>
      <c r="P4631" s="3" t="s">
        <v>75</v>
      </c>
      <c r="Q4631">
        <v>2015</v>
      </c>
      <c r="R4631" s="2">
        <v>42243</v>
      </c>
      <c r="S4631" s="2">
        <v>42262</v>
      </c>
      <c r="T4631" s="2">
        <v>42261</v>
      </c>
      <c r="U4631" s="2">
        <v>42321</v>
      </c>
      <c r="V4631" t="s">
        <v>71</v>
      </c>
      <c r="W4631" t="str">
        <f>"           150500813"</f>
        <v xml:space="preserve">           150500813</v>
      </c>
      <c r="X4631" s="1">
        <v>3751.5</v>
      </c>
      <c r="Y4631">
        <v>0</v>
      </c>
      <c r="Z4631"/>
      <c r="AB4631"/>
      <c r="AC4631" s="1">
        <v>3075</v>
      </c>
      <c r="AD4631">
        <v>258</v>
      </c>
      <c r="AE4631" s="1">
        <v>793350</v>
      </c>
      <c r="AF4631">
        <v>0</v>
      </c>
      <c r="AJ4631">
        <v>0</v>
      </c>
      <c r="AK4631">
        <v>0</v>
      </c>
      <c r="AL4631">
        <v>0</v>
      </c>
      <c r="AM4631">
        <v>0</v>
      </c>
      <c r="AN4631">
        <v>0</v>
      </c>
      <c r="AO4631">
        <v>0</v>
      </c>
      <c r="AP4631" s="2">
        <v>42746</v>
      </c>
      <c r="AQ4631" t="s">
        <v>72</v>
      </c>
      <c r="AR4631" t="s">
        <v>72</v>
      </c>
      <c r="AS4631">
        <v>2003</v>
      </c>
      <c r="AT4631" s="4">
        <v>42579</v>
      </c>
      <c r="AU4631" t="s">
        <v>73</v>
      </c>
      <c r="AV4631">
        <v>2003</v>
      </c>
      <c r="AW4631" s="4">
        <v>42579</v>
      </c>
      <c r="BD4631">
        <v>0</v>
      </c>
      <c r="BN4631" t="s">
        <v>74</v>
      </c>
    </row>
    <row r="4632" spans="1:66">
      <c r="A4632">
        <v>101604</v>
      </c>
      <c r="B4632" s="3" t="s">
        <v>485</v>
      </c>
      <c r="C4632" s="1">
        <v>43300101</v>
      </c>
      <c r="D4632" t="s">
        <v>67</v>
      </c>
      <c r="H4632" t="str">
        <f t="shared" si="489"/>
        <v>10804870151</v>
      </c>
      <c r="I4632" t="str">
        <f t="shared" si="489"/>
        <v>10804870151</v>
      </c>
      <c r="K4632" t="str">
        <f>""</f>
        <v/>
      </c>
      <c r="M4632" t="s">
        <v>68</v>
      </c>
      <c r="N4632" t="str">
        <f t="shared" si="488"/>
        <v>FOR</v>
      </c>
      <c r="O4632" t="s">
        <v>69</v>
      </c>
      <c r="P4632" s="3" t="s">
        <v>70</v>
      </c>
      <c r="Q4632">
        <v>2015</v>
      </c>
      <c r="R4632" s="2">
        <v>42268</v>
      </c>
      <c r="S4632" s="2">
        <v>42272</v>
      </c>
      <c r="T4632" s="2">
        <v>42272</v>
      </c>
      <c r="U4632" s="2">
        <v>42332</v>
      </c>
      <c r="V4632" t="s">
        <v>71</v>
      </c>
      <c r="W4632" t="str">
        <f>"           150500856"</f>
        <v xml:space="preserve">           150500856</v>
      </c>
      <c r="X4632" s="1">
        <v>8052</v>
      </c>
      <c r="Y4632">
        <v>0</v>
      </c>
      <c r="Z4632" s="5">
        <v>6600</v>
      </c>
      <c r="AA4632">
        <v>386</v>
      </c>
      <c r="AB4632" s="5">
        <v>2547600</v>
      </c>
      <c r="AC4632" s="1">
        <v>6600</v>
      </c>
      <c r="AD4632">
        <v>386</v>
      </c>
      <c r="AE4632" s="1">
        <v>2547600</v>
      </c>
      <c r="AF4632" s="1">
        <v>1452</v>
      </c>
      <c r="AJ4632">
        <v>0</v>
      </c>
      <c r="AK4632">
        <v>0</v>
      </c>
      <c r="AL4632">
        <v>0</v>
      </c>
      <c r="AM4632">
        <v>0</v>
      </c>
      <c r="AN4632">
        <v>0</v>
      </c>
      <c r="AO4632">
        <v>0</v>
      </c>
      <c r="AP4632" s="2">
        <v>42746</v>
      </c>
      <c r="AQ4632" t="s">
        <v>72</v>
      </c>
      <c r="AR4632" t="s">
        <v>72</v>
      </c>
      <c r="AS4632">
        <v>3494</v>
      </c>
      <c r="AT4632" s="4">
        <v>42718</v>
      </c>
      <c r="AU4632" t="s">
        <v>73</v>
      </c>
      <c r="AV4632">
        <v>3494</v>
      </c>
      <c r="AW4632" s="4">
        <v>42718</v>
      </c>
      <c r="BD4632" s="1">
        <v>1452</v>
      </c>
      <c r="BN4632" t="s">
        <v>74</v>
      </c>
    </row>
    <row r="4633" spans="1:66" hidden="1">
      <c r="A4633">
        <v>101604</v>
      </c>
      <c r="B4633" s="3" t="s">
        <v>485</v>
      </c>
      <c r="C4633" s="1">
        <v>43300101</v>
      </c>
      <c r="D4633" t="s">
        <v>67</v>
      </c>
      <c r="H4633" t="str">
        <f t="shared" si="489"/>
        <v>10804870151</v>
      </c>
      <c r="I4633" t="str">
        <f t="shared" si="489"/>
        <v>10804870151</v>
      </c>
      <c r="K4633" t="str">
        <f>""</f>
        <v/>
      </c>
      <c r="M4633" t="s">
        <v>68</v>
      </c>
      <c r="N4633" t="str">
        <f t="shared" si="488"/>
        <v>FOR</v>
      </c>
      <c r="O4633" t="s">
        <v>69</v>
      </c>
      <c r="P4633" s="3" t="s">
        <v>75</v>
      </c>
      <c r="Q4633">
        <v>2015</v>
      </c>
      <c r="R4633" s="2">
        <v>42277</v>
      </c>
      <c r="S4633" s="2">
        <v>42289</v>
      </c>
      <c r="T4633" s="2">
        <v>42286</v>
      </c>
      <c r="U4633" s="2">
        <v>42346</v>
      </c>
      <c r="V4633" t="s">
        <v>71</v>
      </c>
      <c r="W4633" t="str">
        <f>"           150500883"</f>
        <v xml:space="preserve">           150500883</v>
      </c>
      <c r="X4633" s="1">
        <v>5727.9</v>
      </c>
      <c r="Y4633">
        <v>0</v>
      </c>
      <c r="Z4633"/>
      <c r="AB4633"/>
      <c r="AC4633" s="1">
        <v>4695</v>
      </c>
      <c r="AD4633">
        <v>273</v>
      </c>
      <c r="AE4633" s="1">
        <v>1281735</v>
      </c>
      <c r="AF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 s="2">
        <v>42746</v>
      </c>
      <c r="AQ4633" t="s">
        <v>72</v>
      </c>
      <c r="AR4633" t="s">
        <v>72</v>
      </c>
      <c r="AS4633">
        <v>2295</v>
      </c>
      <c r="AT4633" s="4">
        <v>42619</v>
      </c>
      <c r="AU4633" t="s">
        <v>73</v>
      </c>
      <c r="AV4633">
        <v>2295</v>
      </c>
      <c r="AW4633" s="4">
        <v>42619</v>
      </c>
      <c r="BD4633">
        <v>0</v>
      </c>
      <c r="BN4633" t="s">
        <v>74</v>
      </c>
    </row>
    <row r="4634" spans="1:66" hidden="1">
      <c r="A4634">
        <v>101604</v>
      </c>
      <c r="B4634" s="3" t="s">
        <v>485</v>
      </c>
      <c r="C4634" s="1">
        <v>43300101</v>
      </c>
      <c r="D4634" t="s">
        <v>67</v>
      </c>
      <c r="H4634" t="str">
        <f t="shared" si="489"/>
        <v>10804870151</v>
      </c>
      <c r="I4634" t="str">
        <f t="shared" si="489"/>
        <v>10804870151</v>
      </c>
      <c r="K4634" t="str">
        <f>""</f>
        <v/>
      </c>
      <c r="M4634" t="s">
        <v>68</v>
      </c>
      <c r="N4634" t="str">
        <f t="shared" si="488"/>
        <v>FOR</v>
      </c>
      <c r="O4634" t="s">
        <v>69</v>
      </c>
      <c r="P4634" s="3" t="s">
        <v>75</v>
      </c>
      <c r="Q4634">
        <v>2015</v>
      </c>
      <c r="R4634" s="2">
        <v>42277</v>
      </c>
      <c r="S4634" s="2">
        <v>42289</v>
      </c>
      <c r="T4634" s="2">
        <v>42286</v>
      </c>
      <c r="U4634" s="2">
        <v>42346</v>
      </c>
      <c r="V4634" t="s">
        <v>71</v>
      </c>
      <c r="W4634" t="str">
        <f>"           150500884"</f>
        <v xml:space="preserve">           150500884</v>
      </c>
      <c r="X4634" s="1">
        <v>8052</v>
      </c>
      <c r="Y4634">
        <v>0</v>
      </c>
      <c r="Z4634"/>
      <c r="AB4634"/>
      <c r="AC4634" s="1">
        <v>6600</v>
      </c>
      <c r="AD4634">
        <v>273</v>
      </c>
      <c r="AE4634" s="1">
        <v>1801800</v>
      </c>
      <c r="AF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 s="2">
        <v>42746</v>
      </c>
      <c r="AQ4634" t="s">
        <v>72</v>
      </c>
      <c r="AR4634" t="s">
        <v>72</v>
      </c>
      <c r="AS4634">
        <v>2295</v>
      </c>
      <c r="AT4634" s="4">
        <v>42619</v>
      </c>
      <c r="AU4634" t="s">
        <v>73</v>
      </c>
      <c r="AV4634">
        <v>2295</v>
      </c>
      <c r="AW4634" s="4">
        <v>42619</v>
      </c>
      <c r="BD4634">
        <v>0</v>
      </c>
      <c r="BN4634" t="s">
        <v>74</v>
      </c>
    </row>
    <row r="4635" spans="1:66">
      <c r="A4635">
        <v>101604</v>
      </c>
      <c r="B4635" s="3" t="s">
        <v>485</v>
      </c>
      <c r="C4635" s="1">
        <v>43300101</v>
      </c>
      <c r="D4635" t="s">
        <v>67</v>
      </c>
      <c r="H4635" t="str">
        <f t="shared" si="489"/>
        <v>10804870151</v>
      </c>
      <c r="I4635" t="str">
        <f t="shared" si="489"/>
        <v>10804870151</v>
      </c>
      <c r="K4635" t="str">
        <f>""</f>
        <v/>
      </c>
      <c r="M4635" t="s">
        <v>68</v>
      </c>
      <c r="N4635" t="str">
        <f t="shared" si="488"/>
        <v>FOR</v>
      </c>
      <c r="O4635" t="s">
        <v>69</v>
      </c>
      <c r="P4635" s="3" t="s">
        <v>70</v>
      </c>
      <c r="Q4635">
        <v>2015</v>
      </c>
      <c r="R4635" s="2">
        <v>42035</v>
      </c>
      <c r="S4635" s="2">
        <v>42053</v>
      </c>
      <c r="T4635" s="2">
        <v>42053</v>
      </c>
      <c r="U4635" s="2">
        <v>42113</v>
      </c>
      <c r="V4635" t="s">
        <v>71</v>
      </c>
      <c r="W4635" t="str">
        <f>"           150900004"</f>
        <v xml:space="preserve">           150900004</v>
      </c>
      <c r="X4635">
        <v>148.44</v>
      </c>
      <c r="Y4635">
        <v>0</v>
      </c>
      <c r="Z4635" s="3">
        <v>121.67</v>
      </c>
      <c r="AA4635">
        <v>576</v>
      </c>
      <c r="AB4635" s="5">
        <v>70081.919999999998</v>
      </c>
      <c r="AC4635">
        <v>121.67</v>
      </c>
      <c r="AD4635">
        <v>576</v>
      </c>
      <c r="AE4635" s="1">
        <v>70081.919999999998</v>
      </c>
      <c r="AF4635">
        <v>0</v>
      </c>
      <c r="AJ4635">
        <v>0</v>
      </c>
      <c r="AK4635">
        <v>0</v>
      </c>
      <c r="AL4635">
        <v>0</v>
      </c>
      <c r="AM4635">
        <v>0</v>
      </c>
      <c r="AN4635">
        <v>0</v>
      </c>
      <c r="AO4635">
        <v>0</v>
      </c>
      <c r="AP4635" s="2">
        <v>42746</v>
      </c>
      <c r="AQ4635" t="s">
        <v>72</v>
      </c>
      <c r="AR4635" t="s">
        <v>72</v>
      </c>
      <c r="AS4635">
        <v>3101</v>
      </c>
      <c r="AT4635" s="4">
        <v>42689</v>
      </c>
      <c r="AU4635" t="s">
        <v>73</v>
      </c>
      <c r="AV4635">
        <v>3101</v>
      </c>
      <c r="AW4635" s="4">
        <v>42689</v>
      </c>
      <c r="BD4635">
        <v>0</v>
      </c>
      <c r="BN4635" t="s">
        <v>74</v>
      </c>
    </row>
    <row r="4636" spans="1:66">
      <c r="A4636">
        <v>101604</v>
      </c>
      <c r="B4636" s="3" t="s">
        <v>485</v>
      </c>
      <c r="C4636" s="1">
        <v>43300101</v>
      </c>
      <c r="D4636" t="s">
        <v>67</v>
      </c>
      <c r="H4636" t="str">
        <f t="shared" si="489"/>
        <v>10804870151</v>
      </c>
      <c r="I4636" t="str">
        <f t="shared" si="489"/>
        <v>10804870151</v>
      </c>
      <c r="K4636" t="str">
        <f>""</f>
        <v/>
      </c>
      <c r="M4636" t="s">
        <v>68</v>
      </c>
      <c r="N4636" t="str">
        <f t="shared" si="488"/>
        <v>FOR</v>
      </c>
      <c r="O4636" t="s">
        <v>69</v>
      </c>
      <c r="P4636" s="3" t="s">
        <v>70</v>
      </c>
      <c r="Q4636">
        <v>2015</v>
      </c>
      <c r="R4636" s="2">
        <v>42063</v>
      </c>
      <c r="S4636" s="2">
        <v>42086</v>
      </c>
      <c r="T4636" s="2">
        <v>42086</v>
      </c>
      <c r="U4636" s="2">
        <v>42146</v>
      </c>
      <c r="V4636" t="s">
        <v>71</v>
      </c>
      <c r="W4636" t="str">
        <f>"           150900038"</f>
        <v xml:space="preserve">           150900038</v>
      </c>
      <c r="X4636">
        <v>148.44</v>
      </c>
      <c r="Y4636">
        <v>0</v>
      </c>
      <c r="Z4636" s="3">
        <v>121.67</v>
      </c>
      <c r="AA4636">
        <v>543</v>
      </c>
      <c r="AB4636" s="5">
        <v>66066.81</v>
      </c>
      <c r="AC4636">
        <v>121.67</v>
      </c>
      <c r="AD4636">
        <v>543</v>
      </c>
      <c r="AE4636" s="1">
        <v>66066.81</v>
      </c>
      <c r="AF4636">
        <v>0</v>
      </c>
      <c r="AJ4636">
        <v>0</v>
      </c>
      <c r="AK4636">
        <v>0</v>
      </c>
      <c r="AL4636">
        <v>0</v>
      </c>
      <c r="AM4636">
        <v>0</v>
      </c>
      <c r="AN4636">
        <v>0</v>
      </c>
      <c r="AO4636">
        <v>0</v>
      </c>
      <c r="AP4636" s="2">
        <v>42746</v>
      </c>
      <c r="AQ4636" t="s">
        <v>72</v>
      </c>
      <c r="AR4636" t="s">
        <v>72</v>
      </c>
      <c r="AS4636">
        <v>3101</v>
      </c>
      <c r="AT4636" s="4">
        <v>42689</v>
      </c>
      <c r="AU4636" t="s">
        <v>73</v>
      </c>
      <c r="AV4636">
        <v>3101</v>
      </c>
      <c r="AW4636" s="4">
        <v>42689</v>
      </c>
      <c r="BD4636">
        <v>0</v>
      </c>
      <c r="BN4636" t="s">
        <v>74</v>
      </c>
    </row>
    <row r="4637" spans="1:66">
      <c r="A4637">
        <v>101604</v>
      </c>
      <c r="B4637" s="3" t="s">
        <v>485</v>
      </c>
      <c r="C4637" s="1">
        <v>43300101</v>
      </c>
      <c r="D4637" t="s">
        <v>67</v>
      </c>
      <c r="H4637" t="str">
        <f t="shared" si="489"/>
        <v>10804870151</v>
      </c>
      <c r="I4637" t="str">
        <f t="shared" si="489"/>
        <v>10804870151</v>
      </c>
      <c r="K4637" t="str">
        <f>""</f>
        <v/>
      </c>
      <c r="M4637" t="s">
        <v>68</v>
      </c>
      <c r="N4637" t="str">
        <f t="shared" si="488"/>
        <v>FOR</v>
      </c>
      <c r="O4637" t="s">
        <v>69</v>
      </c>
      <c r="P4637" s="3" t="s">
        <v>75</v>
      </c>
      <c r="Q4637">
        <v>2015</v>
      </c>
      <c r="R4637" s="2">
        <v>42123</v>
      </c>
      <c r="S4637" s="2">
        <v>42227</v>
      </c>
      <c r="T4637" s="2">
        <v>42215</v>
      </c>
      <c r="U4637" s="2">
        <v>42275</v>
      </c>
      <c r="V4637" t="s">
        <v>71</v>
      </c>
      <c r="W4637" t="str">
        <f>"           150900201"</f>
        <v xml:space="preserve">           150900201</v>
      </c>
      <c r="X4637">
        <v>148.44</v>
      </c>
      <c r="Y4637">
        <v>0</v>
      </c>
      <c r="Z4637" s="3">
        <v>121.67</v>
      </c>
      <c r="AA4637">
        <v>414</v>
      </c>
      <c r="AB4637" s="5">
        <v>50371.38</v>
      </c>
      <c r="AC4637">
        <v>121.67</v>
      </c>
      <c r="AD4637">
        <v>414</v>
      </c>
      <c r="AE4637" s="1">
        <v>50371.38</v>
      </c>
      <c r="AF4637">
        <v>0</v>
      </c>
      <c r="AJ4637">
        <v>0</v>
      </c>
      <c r="AK4637">
        <v>0</v>
      </c>
      <c r="AL4637">
        <v>0</v>
      </c>
      <c r="AM4637">
        <v>0</v>
      </c>
      <c r="AN4637">
        <v>0</v>
      </c>
      <c r="AO4637">
        <v>0</v>
      </c>
      <c r="AP4637" s="2">
        <v>42746</v>
      </c>
      <c r="AQ4637" t="s">
        <v>72</v>
      </c>
      <c r="AR4637" t="s">
        <v>72</v>
      </c>
      <c r="AS4637">
        <v>3102</v>
      </c>
      <c r="AT4637" s="4">
        <v>42689</v>
      </c>
      <c r="AU4637" t="s">
        <v>73</v>
      </c>
      <c r="AV4637">
        <v>3102</v>
      </c>
      <c r="AW4637" s="4">
        <v>42689</v>
      </c>
      <c r="BD4637">
        <v>0</v>
      </c>
      <c r="BN4637" t="s">
        <v>74</v>
      </c>
    </row>
    <row r="4638" spans="1:66">
      <c r="A4638">
        <v>101604</v>
      </c>
      <c r="B4638" s="3" t="s">
        <v>485</v>
      </c>
      <c r="C4638" s="1">
        <v>43300101</v>
      </c>
      <c r="D4638" t="s">
        <v>67</v>
      </c>
      <c r="H4638" t="str">
        <f t="shared" si="489"/>
        <v>10804870151</v>
      </c>
      <c r="I4638" t="str">
        <f t="shared" si="489"/>
        <v>10804870151</v>
      </c>
      <c r="K4638" t="str">
        <f>""</f>
        <v/>
      </c>
      <c r="M4638" t="s">
        <v>68</v>
      </c>
      <c r="N4638" t="str">
        <f t="shared" si="488"/>
        <v>FOR</v>
      </c>
      <c r="O4638" t="s">
        <v>69</v>
      </c>
      <c r="P4638" s="3" t="s">
        <v>70</v>
      </c>
      <c r="Q4638">
        <v>2015</v>
      </c>
      <c r="R4638" s="2">
        <v>42124</v>
      </c>
      <c r="S4638" s="2">
        <v>42261</v>
      </c>
      <c r="T4638" s="2">
        <v>42261</v>
      </c>
      <c r="U4638" s="2">
        <v>42321</v>
      </c>
      <c r="V4638" t="s">
        <v>71</v>
      </c>
      <c r="W4638" t="str">
        <f>"           150900246"</f>
        <v xml:space="preserve">           150900246</v>
      </c>
      <c r="X4638">
        <v>148.44</v>
      </c>
      <c r="Y4638">
        <v>0</v>
      </c>
      <c r="Z4638" s="3">
        <v>121.67</v>
      </c>
      <c r="AA4638">
        <v>368</v>
      </c>
      <c r="AB4638" s="5">
        <v>44774.559999999998</v>
      </c>
      <c r="AC4638">
        <v>121.67</v>
      </c>
      <c r="AD4638">
        <v>368</v>
      </c>
      <c r="AE4638" s="1">
        <v>44774.559999999998</v>
      </c>
      <c r="AF4638">
        <v>0</v>
      </c>
      <c r="AJ4638">
        <v>0</v>
      </c>
      <c r="AK4638">
        <v>0</v>
      </c>
      <c r="AL4638">
        <v>0</v>
      </c>
      <c r="AM4638">
        <v>0</v>
      </c>
      <c r="AN4638">
        <v>0</v>
      </c>
      <c r="AO4638">
        <v>0</v>
      </c>
      <c r="AP4638" s="2">
        <v>42746</v>
      </c>
      <c r="AQ4638" t="s">
        <v>72</v>
      </c>
      <c r="AR4638" t="s">
        <v>72</v>
      </c>
      <c r="AS4638">
        <v>3102</v>
      </c>
      <c r="AT4638" s="4">
        <v>42689</v>
      </c>
      <c r="AU4638" t="s">
        <v>73</v>
      </c>
      <c r="AV4638">
        <v>3102</v>
      </c>
      <c r="AW4638" s="4">
        <v>42689</v>
      </c>
      <c r="BD4638">
        <v>0</v>
      </c>
      <c r="BN4638" t="s">
        <v>74</v>
      </c>
    </row>
    <row r="4639" spans="1:66">
      <c r="A4639">
        <v>101604</v>
      </c>
      <c r="B4639" s="3" t="s">
        <v>485</v>
      </c>
      <c r="C4639" s="1">
        <v>43300101</v>
      </c>
      <c r="D4639" t="s">
        <v>67</v>
      </c>
      <c r="H4639" t="str">
        <f t="shared" si="489"/>
        <v>10804870151</v>
      </c>
      <c r="I4639" t="str">
        <f t="shared" si="489"/>
        <v>10804870151</v>
      </c>
      <c r="K4639" t="str">
        <f>""</f>
        <v/>
      </c>
      <c r="M4639" t="s">
        <v>68</v>
      </c>
      <c r="N4639" t="str">
        <f t="shared" si="488"/>
        <v>FOR</v>
      </c>
      <c r="O4639" t="s">
        <v>69</v>
      </c>
      <c r="P4639" s="3" t="s">
        <v>70</v>
      </c>
      <c r="Q4639">
        <v>2015</v>
      </c>
      <c r="R4639" s="2">
        <v>42155</v>
      </c>
      <c r="S4639" s="2">
        <v>42233</v>
      </c>
      <c r="T4639" s="2">
        <v>42233</v>
      </c>
      <c r="U4639" s="2">
        <v>42293</v>
      </c>
      <c r="V4639" t="s">
        <v>71</v>
      </c>
      <c r="W4639" t="str">
        <f>"           150900301"</f>
        <v xml:space="preserve">           150900301</v>
      </c>
      <c r="X4639">
        <v>148.44</v>
      </c>
      <c r="Y4639">
        <v>0</v>
      </c>
      <c r="Z4639" s="3">
        <v>121.67</v>
      </c>
      <c r="AA4639">
        <v>396</v>
      </c>
      <c r="AB4639" s="5">
        <v>48181.32</v>
      </c>
      <c r="AC4639">
        <v>121.67</v>
      </c>
      <c r="AD4639">
        <v>396</v>
      </c>
      <c r="AE4639" s="1">
        <v>48181.32</v>
      </c>
      <c r="AF4639">
        <v>0</v>
      </c>
      <c r="AJ4639">
        <v>0</v>
      </c>
      <c r="AK4639">
        <v>0</v>
      </c>
      <c r="AL4639">
        <v>0</v>
      </c>
      <c r="AM4639">
        <v>0</v>
      </c>
      <c r="AN4639">
        <v>0</v>
      </c>
      <c r="AO4639">
        <v>0</v>
      </c>
      <c r="AP4639" s="2">
        <v>42746</v>
      </c>
      <c r="AQ4639" t="s">
        <v>72</v>
      </c>
      <c r="AR4639" t="s">
        <v>72</v>
      </c>
      <c r="AS4639">
        <v>3102</v>
      </c>
      <c r="AT4639" s="4">
        <v>42689</v>
      </c>
      <c r="AU4639" t="s">
        <v>73</v>
      </c>
      <c r="AV4639">
        <v>3102</v>
      </c>
      <c r="AW4639" s="4">
        <v>42689</v>
      </c>
      <c r="BD4639">
        <v>0</v>
      </c>
      <c r="BN4639" t="s">
        <v>74</v>
      </c>
    </row>
    <row r="4640" spans="1:66">
      <c r="A4640">
        <v>101604</v>
      </c>
      <c r="B4640" s="3" t="s">
        <v>485</v>
      </c>
      <c r="C4640" s="1">
        <v>43300101</v>
      </c>
      <c r="D4640" t="s">
        <v>67</v>
      </c>
      <c r="H4640" t="str">
        <f t="shared" si="489"/>
        <v>10804870151</v>
      </c>
      <c r="I4640" t="str">
        <f t="shared" si="489"/>
        <v>10804870151</v>
      </c>
      <c r="K4640" t="str">
        <f>""</f>
        <v/>
      </c>
      <c r="M4640" t="s">
        <v>68</v>
      </c>
      <c r="N4640" t="str">
        <f t="shared" si="488"/>
        <v>FOR</v>
      </c>
      <c r="O4640" t="s">
        <v>69</v>
      </c>
      <c r="P4640" s="3" t="s">
        <v>70</v>
      </c>
      <c r="Q4640">
        <v>2015</v>
      </c>
      <c r="R4640" s="2">
        <v>42185</v>
      </c>
      <c r="S4640" s="2">
        <v>42261</v>
      </c>
      <c r="T4640" s="2">
        <v>42261</v>
      </c>
      <c r="U4640" s="2">
        <v>42321</v>
      </c>
      <c r="V4640" t="s">
        <v>71</v>
      </c>
      <c r="W4640" t="str">
        <f>"           150900379"</f>
        <v xml:space="preserve">           150900379</v>
      </c>
      <c r="X4640">
        <v>148.44</v>
      </c>
      <c r="Y4640">
        <v>0</v>
      </c>
      <c r="Z4640" s="3">
        <v>121.67</v>
      </c>
      <c r="AA4640">
        <v>368</v>
      </c>
      <c r="AB4640" s="5">
        <v>44774.559999999998</v>
      </c>
      <c r="AC4640">
        <v>121.67</v>
      </c>
      <c r="AD4640">
        <v>368</v>
      </c>
      <c r="AE4640" s="1">
        <v>44774.559999999998</v>
      </c>
      <c r="AF4640">
        <v>0</v>
      </c>
      <c r="AJ4640">
        <v>0</v>
      </c>
      <c r="AK4640">
        <v>0</v>
      </c>
      <c r="AL4640">
        <v>0</v>
      </c>
      <c r="AM4640">
        <v>0</v>
      </c>
      <c r="AN4640">
        <v>0</v>
      </c>
      <c r="AO4640">
        <v>0</v>
      </c>
      <c r="AP4640" s="2">
        <v>42746</v>
      </c>
      <c r="AQ4640" t="s">
        <v>72</v>
      </c>
      <c r="AR4640" t="s">
        <v>72</v>
      </c>
      <c r="AS4640">
        <v>3102</v>
      </c>
      <c r="AT4640" s="4">
        <v>42689</v>
      </c>
      <c r="AU4640" t="s">
        <v>73</v>
      </c>
      <c r="AV4640">
        <v>3102</v>
      </c>
      <c r="AW4640" s="4">
        <v>42689</v>
      </c>
      <c r="BD4640">
        <v>0</v>
      </c>
      <c r="BN4640" t="s">
        <v>74</v>
      </c>
    </row>
    <row r="4641" spans="1:66">
      <c r="A4641">
        <v>101604</v>
      </c>
      <c r="B4641" s="3" t="s">
        <v>485</v>
      </c>
      <c r="C4641" s="1">
        <v>43300101</v>
      </c>
      <c r="D4641" t="s">
        <v>67</v>
      </c>
      <c r="H4641" t="str">
        <f t="shared" si="489"/>
        <v>10804870151</v>
      </c>
      <c r="I4641" t="str">
        <f t="shared" si="489"/>
        <v>10804870151</v>
      </c>
      <c r="K4641" t="str">
        <f>""</f>
        <v/>
      </c>
      <c r="M4641" t="s">
        <v>68</v>
      </c>
      <c r="N4641" t="str">
        <f t="shared" si="488"/>
        <v>FOR</v>
      </c>
      <c r="O4641" t="s">
        <v>69</v>
      </c>
      <c r="P4641" s="3" t="s">
        <v>75</v>
      </c>
      <c r="Q4641">
        <v>2015</v>
      </c>
      <c r="R4641" s="2">
        <v>42216</v>
      </c>
      <c r="S4641" s="2">
        <v>42327</v>
      </c>
      <c r="T4641" s="2">
        <v>42326</v>
      </c>
      <c r="U4641" s="2">
        <v>42386</v>
      </c>
      <c r="V4641" t="s">
        <v>71</v>
      </c>
      <c r="W4641" t="str">
        <f>"           150900432"</f>
        <v xml:space="preserve">           150900432</v>
      </c>
      <c r="X4641">
        <v>148.38999999999999</v>
      </c>
      <c r="Y4641">
        <v>0</v>
      </c>
      <c r="Z4641" s="3">
        <v>121.63</v>
      </c>
      <c r="AA4641">
        <v>303</v>
      </c>
      <c r="AB4641" s="5">
        <v>36853.89</v>
      </c>
      <c r="AC4641">
        <v>121.63</v>
      </c>
      <c r="AD4641">
        <v>303</v>
      </c>
      <c r="AE4641" s="1">
        <v>36853.89</v>
      </c>
      <c r="AF4641">
        <v>0</v>
      </c>
      <c r="AJ4641">
        <v>0</v>
      </c>
      <c r="AK4641">
        <v>0</v>
      </c>
      <c r="AL4641">
        <v>0</v>
      </c>
      <c r="AM4641">
        <v>0</v>
      </c>
      <c r="AN4641">
        <v>0</v>
      </c>
      <c r="AO4641">
        <v>0</v>
      </c>
      <c r="AP4641" s="2">
        <v>42746</v>
      </c>
      <c r="AQ4641" t="s">
        <v>72</v>
      </c>
      <c r="AR4641" t="s">
        <v>72</v>
      </c>
      <c r="AS4641">
        <v>3102</v>
      </c>
      <c r="AT4641" s="4">
        <v>42689</v>
      </c>
      <c r="AU4641" t="s">
        <v>73</v>
      </c>
      <c r="AV4641">
        <v>3102</v>
      </c>
      <c r="AW4641" s="4">
        <v>42689</v>
      </c>
      <c r="BD4641">
        <v>0</v>
      </c>
      <c r="BN4641" t="s">
        <v>74</v>
      </c>
    </row>
    <row r="4642" spans="1:66">
      <c r="A4642">
        <v>101604</v>
      </c>
      <c r="B4642" s="3" t="s">
        <v>485</v>
      </c>
      <c r="C4642" s="1">
        <v>43300101</v>
      </c>
      <c r="D4642" t="s">
        <v>67</v>
      </c>
      <c r="H4642" t="str">
        <f t="shared" si="489"/>
        <v>10804870151</v>
      </c>
      <c r="I4642" t="str">
        <f t="shared" si="489"/>
        <v>10804870151</v>
      </c>
      <c r="K4642" t="str">
        <f>""</f>
        <v/>
      </c>
      <c r="M4642" t="s">
        <v>68</v>
      </c>
      <c r="N4642" t="str">
        <f t="shared" si="488"/>
        <v>FOR</v>
      </c>
      <c r="O4642" t="s">
        <v>69</v>
      </c>
      <c r="P4642" s="3" t="s">
        <v>75</v>
      </c>
      <c r="Q4642">
        <v>2015</v>
      </c>
      <c r="R4642" s="2">
        <v>42308</v>
      </c>
      <c r="S4642" s="2">
        <v>42331</v>
      </c>
      <c r="T4642" s="2">
        <v>42328</v>
      </c>
      <c r="U4642" s="2">
        <v>42388</v>
      </c>
      <c r="V4642" t="s">
        <v>71</v>
      </c>
      <c r="W4642" t="str">
        <f>"           150900542"</f>
        <v xml:space="preserve">           150900542</v>
      </c>
      <c r="X4642">
        <v>445.31</v>
      </c>
      <c r="Y4642">
        <v>0</v>
      </c>
      <c r="Z4642" s="3">
        <v>365</v>
      </c>
      <c r="AA4642">
        <v>301</v>
      </c>
      <c r="AB4642" s="5">
        <v>109865</v>
      </c>
      <c r="AC4642">
        <v>365</v>
      </c>
      <c r="AD4642">
        <v>301</v>
      </c>
      <c r="AE4642" s="1">
        <v>109865</v>
      </c>
      <c r="AF4642">
        <v>0</v>
      </c>
      <c r="AJ4642">
        <v>0</v>
      </c>
      <c r="AK4642">
        <v>0</v>
      </c>
      <c r="AL4642">
        <v>0</v>
      </c>
      <c r="AM4642">
        <v>0</v>
      </c>
      <c r="AN4642">
        <v>0</v>
      </c>
      <c r="AO4642">
        <v>0</v>
      </c>
      <c r="AP4642" s="2">
        <v>42746</v>
      </c>
      <c r="AQ4642" t="s">
        <v>72</v>
      </c>
      <c r="AR4642" t="s">
        <v>72</v>
      </c>
      <c r="AS4642">
        <v>3102</v>
      </c>
      <c r="AT4642" s="4">
        <v>42689</v>
      </c>
      <c r="AU4642" t="s">
        <v>73</v>
      </c>
      <c r="AV4642">
        <v>3102</v>
      </c>
      <c r="AW4642" s="4">
        <v>42689</v>
      </c>
      <c r="BD4642">
        <v>0</v>
      </c>
      <c r="BN4642" t="s">
        <v>74</v>
      </c>
    </row>
    <row r="4643" spans="1:66" hidden="1">
      <c r="A4643">
        <v>101625</v>
      </c>
      <c r="B4643" s="3" t="s">
        <v>486</v>
      </c>
      <c r="C4643" s="1">
        <v>43300101</v>
      </c>
      <c r="D4643" t="s">
        <v>67</v>
      </c>
      <c r="H4643" t="str">
        <f>""</f>
        <v/>
      </c>
      <c r="I4643" t="str">
        <f>"01441530621"</f>
        <v>01441530621</v>
      </c>
      <c r="K4643" t="str">
        <f>""</f>
        <v/>
      </c>
      <c r="M4643" t="s">
        <v>68</v>
      </c>
      <c r="N4643" t="str">
        <f t="shared" si="488"/>
        <v>FOR</v>
      </c>
      <c r="O4643" t="s">
        <v>69</v>
      </c>
      <c r="P4643" s="3" t="s">
        <v>487</v>
      </c>
      <c r="Q4643">
        <v>2016</v>
      </c>
      <c r="R4643" s="2">
        <v>42699</v>
      </c>
      <c r="S4643" s="2">
        <v>42699</v>
      </c>
      <c r="T4643" s="2">
        <v>42699</v>
      </c>
      <c r="U4643" s="2">
        <v>42759</v>
      </c>
      <c r="V4643" t="s">
        <v>71</v>
      </c>
      <c r="W4643" t="str">
        <f>"                 277"</f>
        <v xml:space="preserve">                 277</v>
      </c>
      <c r="X4643">
        <v>0</v>
      </c>
      <c r="Y4643">
        <v>100</v>
      </c>
      <c r="Z4643" s="3">
        <v>100</v>
      </c>
      <c r="AA4643">
        <v>-39</v>
      </c>
      <c r="AB4643" s="5">
        <v>-3900</v>
      </c>
      <c r="AC4643">
        <v>100</v>
      </c>
      <c r="AD4643">
        <v>-39</v>
      </c>
      <c r="AE4643" s="1">
        <v>-3900</v>
      </c>
      <c r="AF4643">
        <v>0</v>
      </c>
      <c r="AJ4643">
        <v>100</v>
      </c>
      <c r="AK4643">
        <v>100</v>
      </c>
      <c r="AL4643">
        <v>100</v>
      </c>
      <c r="AM4643">
        <v>100</v>
      </c>
      <c r="AN4643">
        <v>100</v>
      </c>
      <c r="AO4643">
        <v>100</v>
      </c>
      <c r="AP4643" s="2">
        <v>42746</v>
      </c>
      <c r="AQ4643" t="s">
        <v>72</v>
      </c>
      <c r="AR4643" t="s">
        <v>72</v>
      </c>
      <c r="AS4643">
        <v>3556</v>
      </c>
      <c r="AT4643" s="4">
        <v>42720</v>
      </c>
      <c r="AV4643">
        <v>3556</v>
      </c>
      <c r="AW4643" s="4">
        <v>42720</v>
      </c>
      <c r="BD4643">
        <v>0</v>
      </c>
      <c r="BN4643" t="s">
        <v>74</v>
      </c>
    </row>
    <row r="4644" spans="1:66">
      <c r="A4644">
        <v>101636</v>
      </c>
      <c r="B4644" s="3" t="s">
        <v>488</v>
      </c>
      <c r="C4644" s="1">
        <v>43300101</v>
      </c>
      <c r="D4644" t="s">
        <v>67</v>
      </c>
      <c r="H4644" t="str">
        <f t="shared" ref="H4644:I4654" si="490">"01446930628"</f>
        <v>01446930628</v>
      </c>
      <c r="I4644" t="str">
        <f t="shared" si="490"/>
        <v>01446930628</v>
      </c>
      <c r="K4644" t="str">
        <f>""</f>
        <v/>
      </c>
      <c r="M4644" t="s">
        <v>68</v>
      </c>
      <c r="N4644" t="str">
        <f t="shared" si="488"/>
        <v>FOR</v>
      </c>
      <c r="O4644" t="s">
        <v>69</v>
      </c>
      <c r="P4644" s="3" t="s">
        <v>75</v>
      </c>
      <c r="Q4644">
        <v>2015</v>
      </c>
      <c r="R4644" s="2">
        <v>42369</v>
      </c>
      <c r="S4644" s="2">
        <v>42369</v>
      </c>
      <c r="T4644" s="2">
        <v>42369</v>
      </c>
      <c r="U4644" s="2">
        <v>42429</v>
      </c>
      <c r="V4644" t="s">
        <v>71</v>
      </c>
      <c r="W4644" t="str">
        <f>"                  61"</f>
        <v xml:space="preserve">                  61</v>
      </c>
      <c r="X4644" s="1">
        <v>1595.76</v>
      </c>
      <c r="Y4644">
        <v>0</v>
      </c>
      <c r="Z4644" s="5">
        <v>1308</v>
      </c>
      <c r="AA4644">
        <v>263</v>
      </c>
      <c r="AB4644" s="5">
        <v>344004</v>
      </c>
      <c r="AC4644" s="1">
        <v>1308</v>
      </c>
      <c r="AD4644">
        <v>263</v>
      </c>
      <c r="AE4644" s="1">
        <v>344004</v>
      </c>
      <c r="AF4644">
        <v>0</v>
      </c>
      <c r="AJ4644">
        <v>0</v>
      </c>
      <c r="AK4644">
        <v>0</v>
      </c>
      <c r="AL4644">
        <v>0</v>
      </c>
      <c r="AM4644">
        <v>0</v>
      </c>
      <c r="AN4644">
        <v>0</v>
      </c>
      <c r="AO4644">
        <v>0</v>
      </c>
      <c r="AP4644" s="2">
        <v>42746</v>
      </c>
      <c r="AQ4644" t="s">
        <v>72</v>
      </c>
      <c r="AR4644" t="s">
        <v>72</v>
      </c>
      <c r="AS4644">
        <v>3186</v>
      </c>
      <c r="AT4644" s="4">
        <v>42692</v>
      </c>
      <c r="AU4644" t="s">
        <v>73</v>
      </c>
      <c r="AV4644">
        <v>3186</v>
      </c>
      <c r="AW4644" s="4">
        <v>42692</v>
      </c>
      <c r="BD4644">
        <v>0</v>
      </c>
      <c r="BN4644" t="s">
        <v>74</v>
      </c>
    </row>
    <row r="4645" spans="1:66" hidden="1">
      <c r="A4645">
        <v>101636</v>
      </c>
      <c r="B4645" s="3" t="s">
        <v>488</v>
      </c>
      <c r="C4645" s="1">
        <v>43300101</v>
      </c>
      <c r="D4645" t="s">
        <v>67</v>
      </c>
      <c r="H4645" t="str">
        <f t="shared" si="490"/>
        <v>01446930628</v>
      </c>
      <c r="I4645" t="str">
        <f t="shared" si="490"/>
        <v>01446930628</v>
      </c>
      <c r="K4645" t="str">
        <f>""</f>
        <v/>
      </c>
      <c r="M4645" t="s">
        <v>68</v>
      </c>
      <c r="N4645" t="str">
        <f t="shared" si="488"/>
        <v>FOR</v>
      </c>
      <c r="O4645" t="s">
        <v>69</v>
      </c>
      <c r="P4645" s="3" t="s">
        <v>70</v>
      </c>
      <c r="Q4645">
        <v>2015</v>
      </c>
      <c r="R4645" s="2">
        <v>42064</v>
      </c>
      <c r="S4645" s="2">
        <v>42164</v>
      </c>
      <c r="T4645" s="2">
        <v>42164</v>
      </c>
      <c r="U4645" s="2">
        <v>42224</v>
      </c>
      <c r="V4645" t="s">
        <v>71</v>
      </c>
      <c r="W4645" t="str">
        <f>"               8 BIS"</f>
        <v xml:space="preserve">               8 BIS</v>
      </c>
      <c r="X4645" s="1">
        <v>2593.11</v>
      </c>
      <c r="Y4645">
        <v>0</v>
      </c>
      <c r="Z4645"/>
      <c r="AB4645"/>
      <c r="AC4645" s="1">
        <v>2125.5</v>
      </c>
      <c r="AD4645">
        <v>180</v>
      </c>
      <c r="AE4645" s="1">
        <v>382590</v>
      </c>
      <c r="AF4645">
        <v>0</v>
      </c>
      <c r="AJ4645">
        <v>0</v>
      </c>
      <c r="AK4645">
        <v>0</v>
      </c>
      <c r="AL4645">
        <v>0</v>
      </c>
      <c r="AM4645">
        <v>0</v>
      </c>
      <c r="AN4645">
        <v>0</v>
      </c>
      <c r="AO4645">
        <v>0</v>
      </c>
      <c r="AP4645" s="2">
        <v>42746</v>
      </c>
      <c r="AQ4645" t="s">
        <v>72</v>
      </c>
      <c r="AR4645" t="s">
        <v>72</v>
      </c>
      <c r="AS4645">
        <v>271</v>
      </c>
      <c r="AT4645" s="4">
        <v>42404</v>
      </c>
      <c r="AU4645" t="s">
        <v>73</v>
      </c>
      <c r="AV4645">
        <v>271</v>
      </c>
      <c r="AW4645" s="4">
        <v>42404</v>
      </c>
      <c r="BD4645">
        <v>0</v>
      </c>
      <c r="BN4645" t="s">
        <v>74</v>
      </c>
    </row>
    <row r="4646" spans="1:66" hidden="1">
      <c r="A4646">
        <v>101636</v>
      </c>
      <c r="B4646" s="3" t="s">
        <v>488</v>
      </c>
      <c r="C4646" s="1">
        <v>43300101</v>
      </c>
      <c r="D4646" t="s">
        <v>67</v>
      </c>
      <c r="H4646" t="str">
        <f t="shared" si="490"/>
        <v>01446930628</v>
      </c>
      <c r="I4646" t="str">
        <f t="shared" si="490"/>
        <v>01446930628</v>
      </c>
      <c r="K4646" t="str">
        <f>""</f>
        <v/>
      </c>
      <c r="M4646" t="s">
        <v>68</v>
      </c>
      <c r="N4646" t="str">
        <f t="shared" si="488"/>
        <v>FOR</v>
      </c>
      <c r="O4646" t="s">
        <v>69</v>
      </c>
      <c r="P4646" s="3" t="s">
        <v>70</v>
      </c>
      <c r="Q4646">
        <v>2015</v>
      </c>
      <c r="R4646" s="2">
        <v>42093</v>
      </c>
      <c r="S4646" s="2">
        <v>42164</v>
      </c>
      <c r="T4646" s="2">
        <v>42164</v>
      </c>
      <c r="U4646" s="2">
        <v>42224</v>
      </c>
      <c r="V4646" t="s">
        <v>71</v>
      </c>
      <c r="W4646" t="str">
        <f>"              14 BIS"</f>
        <v xml:space="preserve">              14 BIS</v>
      </c>
      <c r="X4646" s="1">
        <v>2393.64</v>
      </c>
      <c r="Y4646">
        <v>0</v>
      </c>
      <c r="Z4646"/>
      <c r="AB4646"/>
      <c r="AC4646" s="1">
        <v>1962</v>
      </c>
      <c r="AD4646">
        <v>180</v>
      </c>
      <c r="AE4646" s="1">
        <v>353160</v>
      </c>
      <c r="AF4646">
        <v>0</v>
      </c>
      <c r="AJ4646">
        <v>0</v>
      </c>
      <c r="AK4646">
        <v>0</v>
      </c>
      <c r="AL4646">
        <v>0</v>
      </c>
      <c r="AM4646">
        <v>0</v>
      </c>
      <c r="AN4646">
        <v>0</v>
      </c>
      <c r="AO4646">
        <v>0</v>
      </c>
      <c r="AP4646" s="2">
        <v>42746</v>
      </c>
      <c r="AQ4646" t="s">
        <v>72</v>
      </c>
      <c r="AR4646" t="s">
        <v>72</v>
      </c>
      <c r="AS4646">
        <v>271</v>
      </c>
      <c r="AT4646" s="4">
        <v>42404</v>
      </c>
      <c r="AU4646" t="s">
        <v>73</v>
      </c>
      <c r="AV4646">
        <v>271</v>
      </c>
      <c r="AW4646" s="4">
        <v>42404</v>
      </c>
      <c r="BD4646">
        <v>0</v>
      </c>
      <c r="BN4646" t="s">
        <v>74</v>
      </c>
    </row>
    <row r="4647" spans="1:66">
      <c r="A4647">
        <v>101636</v>
      </c>
      <c r="B4647" s="3" t="s">
        <v>488</v>
      </c>
      <c r="C4647" s="1">
        <v>43300101</v>
      </c>
      <c r="D4647" t="s">
        <v>67</v>
      </c>
      <c r="H4647" t="str">
        <f t="shared" si="490"/>
        <v>01446930628</v>
      </c>
      <c r="I4647" t="str">
        <f t="shared" si="490"/>
        <v>01446930628</v>
      </c>
      <c r="K4647" t="str">
        <f>""</f>
        <v/>
      </c>
      <c r="M4647" t="s">
        <v>68</v>
      </c>
      <c r="N4647" t="str">
        <f t="shared" si="488"/>
        <v>FOR</v>
      </c>
      <c r="O4647" t="s">
        <v>69</v>
      </c>
      <c r="P4647" s="3" t="s">
        <v>75</v>
      </c>
      <c r="Q4647">
        <v>2015</v>
      </c>
      <c r="R4647" s="2">
        <v>42352</v>
      </c>
      <c r="S4647" s="2">
        <v>42353</v>
      </c>
      <c r="T4647" s="2">
        <v>42352</v>
      </c>
      <c r="U4647" s="2">
        <v>42412</v>
      </c>
      <c r="V4647" t="s">
        <v>71</v>
      </c>
      <c r="W4647" t="str">
        <f>"             51/2015"</f>
        <v xml:space="preserve">             51/2015</v>
      </c>
      <c r="X4647" s="1">
        <v>2526.62</v>
      </c>
      <c r="Y4647">
        <v>0</v>
      </c>
      <c r="Z4647" s="5">
        <v>2071</v>
      </c>
      <c r="AA4647">
        <v>280</v>
      </c>
      <c r="AB4647" s="5">
        <v>579880</v>
      </c>
      <c r="AC4647" s="1">
        <v>2071</v>
      </c>
      <c r="AD4647">
        <v>280</v>
      </c>
      <c r="AE4647" s="1">
        <v>579880</v>
      </c>
      <c r="AF4647">
        <v>0</v>
      </c>
      <c r="AJ4647">
        <v>0</v>
      </c>
      <c r="AK4647">
        <v>0</v>
      </c>
      <c r="AL4647">
        <v>0</v>
      </c>
      <c r="AM4647">
        <v>0</v>
      </c>
      <c r="AN4647">
        <v>0</v>
      </c>
      <c r="AO4647">
        <v>0</v>
      </c>
      <c r="AP4647" s="2">
        <v>42746</v>
      </c>
      <c r="AQ4647" t="s">
        <v>72</v>
      </c>
      <c r="AR4647" t="s">
        <v>72</v>
      </c>
      <c r="AS4647">
        <v>3186</v>
      </c>
      <c r="AT4647" s="4">
        <v>42692</v>
      </c>
      <c r="AU4647" t="s">
        <v>73</v>
      </c>
      <c r="AV4647">
        <v>3186</v>
      </c>
      <c r="AW4647" s="4">
        <v>42692</v>
      </c>
      <c r="BD4647">
        <v>0</v>
      </c>
      <c r="BN4647" t="s">
        <v>74</v>
      </c>
    </row>
    <row r="4648" spans="1:66">
      <c r="A4648">
        <v>101636</v>
      </c>
      <c r="B4648" s="3" t="s">
        <v>488</v>
      </c>
      <c r="C4648" s="1">
        <v>43300101</v>
      </c>
      <c r="D4648" t="s">
        <v>67</v>
      </c>
      <c r="H4648" t="str">
        <f t="shared" si="490"/>
        <v>01446930628</v>
      </c>
      <c r="I4648" t="str">
        <f t="shared" si="490"/>
        <v>01446930628</v>
      </c>
      <c r="K4648" t="str">
        <f>""</f>
        <v/>
      </c>
      <c r="M4648" t="s">
        <v>68</v>
      </c>
      <c r="N4648" t="str">
        <f t="shared" si="488"/>
        <v>FOR</v>
      </c>
      <c r="O4648" t="s">
        <v>69</v>
      </c>
      <c r="P4648" s="3" t="s">
        <v>75</v>
      </c>
      <c r="Q4648">
        <v>2015</v>
      </c>
      <c r="R4648" s="2">
        <v>42352</v>
      </c>
      <c r="S4648" s="2">
        <v>42353</v>
      </c>
      <c r="T4648" s="2">
        <v>42352</v>
      </c>
      <c r="U4648" s="2">
        <v>42412</v>
      </c>
      <c r="V4648" t="s">
        <v>71</v>
      </c>
      <c r="W4648" t="str">
        <f>"             52/2015"</f>
        <v xml:space="preserve">             52/2015</v>
      </c>
      <c r="X4648" s="1">
        <v>2925.56</v>
      </c>
      <c r="Y4648">
        <v>0</v>
      </c>
      <c r="Z4648" s="5">
        <v>2398</v>
      </c>
      <c r="AA4648">
        <v>280</v>
      </c>
      <c r="AB4648" s="5">
        <v>671440</v>
      </c>
      <c r="AC4648" s="1">
        <v>2398</v>
      </c>
      <c r="AD4648">
        <v>280</v>
      </c>
      <c r="AE4648" s="1">
        <v>671440</v>
      </c>
      <c r="AF4648">
        <v>0</v>
      </c>
      <c r="AJ4648">
        <v>0</v>
      </c>
      <c r="AK4648">
        <v>0</v>
      </c>
      <c r="AL4648">
        <v>0</v>
      </c>
      <c r="AM4648">
        <v>0</v>
      </c>
      <c r="AN4648">
        <v>0</v>
      </c>
      <c r="AO4648">
        <v>0</v>
      </c>
      <c r="AP4648" s="2">
        <v>42746</v>
      </c>
      <c r="AQ4648" t="s">
        <v>72</v>
      </c>
      <c r="AR4648" t="s">
        <v>72</v>
      </c>
      <c r="AS4648">
        <v>3186</v>
      </c>
      <c r="AT4648" s="4">
        <v>42692</v>
      </c>
      <c r="AU4648" t="s">
        <v>73</v>
      </c>
      <c r="AV4648">
        <v>3186</v>
      </c>
      <c r="AW4648" s="4">
        <v>42692</v>
      </c>
      <c r="BD4648">
        <v>0</v>
      </c>
      <c r="BN4648" t="s">
        <v>74</v>
      </c>
    </row>
    <row r="4649" spans="1:66">
      <c r="A4649">
        <v>101636</v>
      </c>
      <c r="B4649" s="3" t="s">
        <v>488</v>
      </c>
      <c r="C4649" s="1">
        <v>43300101</v>
      </c>
      <c r="D4649" t="s">
        <v>67</v>
      </c>
      <c r="H4649" t="str">
        <f t="shared" si="490"/>
        <v>01446930628</v>
      </c>
      <c r="I4649" t="str">
        <f t="shared" si="490"/>
        <v>01446930628</v>
      </c>
      <c r="K4649" t="str">
        <f>""</f>
        <v/>
      </c>
      <c r="M4649" t="s">
        <v>68</v>
      </c>
      <c r="N4649" t="str">
        <f t="shared" si="488"/>
        <v>FOR</v>
      </c>
      <c r="O4649" t="s">
        <v>69</v>
      </c>
      <c r="P4649" s="3" t="s">
        <v>75</v>
      </c>
      <c r="Q4649">
        <v>2015</v>
      </c>
      <c r="R4649" s="2">
        <v>42352</v>
      </c>
      <c r="S4649" s="2">
        <v>42356</v>
      </c>
      <c r="T4649" s="2">
        <v>42355</v>
      </c>
      <c r="U4649" s="2">
        <v>42415</v>
      </c>
      <c r="V4649" t="s">
        <v>71</v>
      </c>
      <c r="W4649" t="str">
        <f>"             53/2015"</f>
        <v xml:space="preserve">             53/2015</v>
      </c>
      <c r="X4649" s="1">
        <v>2327.15</v>
      </c>
      <c r="Y4649">
        <v>0</v>
      </c>
      <c r="Z4649" s="5">
        <v>1907.5</v>
      </c>
      <c r="AA4649">
        <v>277</v>
      </c>
      <c r="AB4649" s="5">
        <v>528377.5</v>
      </c>
      <c r="AC4649" s="1">
        <v>1907.5</v>
      </c>
      <c r="AD4649">
        <v>277</v>
      </c>
      <c r="AE4649" s="1">
        <v>528377.5</v>
      </c>
      <c r="AF4649">
        <v>0</v>
      </c>
      <c r="AJ4649">
        <v>0</v>
      </c>
      <c r="AK4649">
        <v>0</v>
      </c>
      <c r="AL4649">
        <v>0</v>
      </c>
      <c r="AM4649">
        <v>0</v>
      </c>
      <c r="AN4649">
        <v>0</v>
      </c>
      <c r="AO4649">
        <v>0</v>
      </c>
      <c r="AP4649" s="2">
        <v>42746</v>
      </c>
      <c r="AQ4649" t="s">
        <v>72</v>
      </c>
      <c r="AR4649" t="s">
        <v>72</v>
      </c>
      <c r="AS4649">
        <v>3186</v>
      </c>
      <c r="AT4649" s="4">
        <v>42692</v>
      </c>
      <c r="AU4649" t="s">
        <v>73</v>
      </c>
      <c r="AV4649">
        <v>3186</v>
      </c>
      <c r="AW4649" s="4">
        <v>42692</v>
      </c>
      <c r="BD4649">
        <v>0</v>
      </c>
      <c r="BN4649" t="s">
        <v>74</v>
      </c>
    </row>
    <row r="4650" spans="1:66">
      <c r="A4650">
        <v>101636</v>
      </c>
      <c r="B4650" s="3" t="s">
        <v>488</v>
      </c>
      <c r="C4650" s="1">
        <v>43300101</v>
      </c>
      <c r="D4650" t="s">
        <v>67</v>
      </c>
      <c r="H4650" t="str">
        <f t="shared" si="490"/>
        <v>01446930628</v>
      </c>
      <c r="I4650" t="str">
        <f t="shared" si="490"/>
        <v>01446930628</v>
      </c>
      <c r="K4650" t="str">
        <f>""</f>
        <v/>
      </c>
      <c r="M4650" t="s">
        <v>68</v>
      </c>
      <c r="N4650" t="str">
        <f t="shared" si="488"/>
        <v>FOR</v>
      </c>
      <c r="O4650" t="s">
        <v>69</v>
      </c>
      <c r="P4650" s="3" t="s">
        <v>75</v>
      </c>
      <c r="Q4650">
        <v>2015</v>
      </c>
      <c r="R4650" s="2">
        <v>42352</v>
      </c>
      <c r="S4650" s="2">
        <v>42356</v>
      </c>
      <c r="T4650" s="2">
        <v>42355</v>
      </c>
      <c r="U4650" s="2">
        <v>42415</v>
      </c>
      <c r="V4650" t="s">
        <v>71</v>
      </c>
      <c r="W4650" t="str">
        <f>"             54/2015"</f>
        <v xml:space="preserve">             54/2015</v>
      </c>
      <c r="X4650" s="1">
        <v>1462.78</v>
      </c>
      <c r="Y4650">
        <v>0</v>
      </c>
      <c r="Z4650" s="5">
        <v>1199</v>
      </c>
      <c r="AA4650">
        <v>277</v>
      </c>
      <c r="AB4650" s="5">
        <v>332123</v>
      </c>
      <c r="AC4650" s="1">
        <v>1199</v>
      </c>
      <c r="AD4650">
        <v>277</v>
      </c>
      <c r="AE4650" s="1">
        <v>332123</v>
      </c>
      <c r="AF4650">
        <v>0</v>
      </c>
      <c r="AJ4650">
        <v>0</v>
      </c>
      <c r="AK4650">
        <v>0</v>
      </c>
      <c r="AL4650">
        <v>0</v>
      </c>
      <c r="AM4650">
        <v>0</v>
      </c>
      <c r="AN4650">
        <v>0</v>
      </c>
      <c r="AO4650">
        <v>0</v>
      </c>
      <c r="AP4650" s="2">
        <v>42746</v>
      </c>
      <c r="AQ4650" t="s">
        <v>72</v>
      </c>
      <c r="AR4650" t="s">
        <v>72</v>
      </c>
      <c r="AS4650">
        <v>3186</v>
      </c>
      <c r="AT4650" s="4">
        <v>42692</v>
      </c>
      <c r="AU4650" t="s">
        <v>73</v>
      </c>
      <c r="AV4650">
        <v>3186</v>
      </c>
      <c r="AW4650" s="4">
        <v>42692</v>
      </c>
      <c r="BD4650">
        <v>0</v>
      </c>
      <c r="BN4650" t="s">
        <v>74</v>
      </c>
    </row>
    <row r="4651" spans="1:66">
      <c r="A4651">
        <v>101636</v>
      </c>
      <c r="B4651" s="3" t="s">
        <v>488</v>
      </c>
      <c r="C4651" s="1">
        <v>43300101</v>
      </c>
      <c r="D4651" t="s">
        <v>67</v>
      </c>
      <c r="H4651" t="str">
        <f t="shared" si="490"/>
        <v>01446930628</v>
      </c>
      <c r="I4651" t="str">
        <f t="shared" si="490"/>
        <v>01446930628</v>
      </c>
      <c r="K4651" t="str">
        <f>""</f>
        <v/>
      </c>
      <c r="M4651" t="s">
        <v>68</v>
      </c>
      <c r="N4651" t="str">
        <f t="shared" si="488"/>
        <v>FOR</v>
      </c>
      <c r="O4651" t="s">
        <v>69</v>
      </c>
      <c r="P4651" s="3" t="s">
        <v>75</v>
      </c>
      <c r="Q4651">
        <v>2015</v>
      </c>
      <c r="R4651" s="2">
        <v>42352</v>
      </c>
      <c r="S4651" s="2">
        <v>42356</v>
      </c>
      <c r="T4651" s="2">
        <v>42355</v>
      </c>
      <c r="U4651" s="2">
        <v>42415</v>
      </c>
      <c r="V4651" t="s">
        <v>71</v>
      </c>
      <c r="W4651" t="str">
        <f>"             55/2015"</f>
        <v xml:space="preserve">             55/2015</v>
      </c>
      <c r="X4651" s="1">
        <v>2925.56</v>
      </c>
      <c r="Y4651">
        <v>0</v>
      </c>
      <c r="Z4651" s="5">
        <v>2398</v>
      </c>
      <c r="AA4651">
        <v>277</v>
      </c>
      <c r="AB4651" s="5">
        <v>664246</v>
      </c>
      <c r="AC4651" s="1">
        <v>2398</v>
      </c>
      <c r="AD4651">
        <v>277</v>
      </c>
      <c r="AE4651" s="1">
        <v>664246</v>
      </c>
      <c r="AF4651">
        <v>0</v>
      </c>
      <c r="AJ4651">
        <v>0</v>
      </c>
      <c r="AK4651">
        <v>0</v>
      </c>
      <c r="AL4651">
        <v>0</v>
      </c>
      <c r="AM4651">
        <v>0</v>
      </c>
      <c r="AN4651">
        <v>0</v>
      </c>
      <c r="AO4651">
        <v>0</v>
      </c>
      <c r="AP4651" s="2">
        <v>42746</v>
      </c>
      <c r="AQ4651" t="s">
        <v>72</v>
      </c>
      <c r="AR4651" t="s">
        <v>72</v>
      </c>
      <c r="AS4651">
        <v>3186</v>
      </c>
      <c r="AT4651" s="4">
        <v>42692</v>
      </c>
      <c r="AU4651" t="s">
        <v>73</v>
      </c>
      <c r="AV4651">
        <v>3186</v>
      </c>
      <c r="AW4651" s="4">
        <v>42692</v>
      </c>
      <c r="BD4651">
        <v>0</v>
      </c>
      <c r="BN4651" t="s">
        <v>74</v>
      </c>
    </row>
    <row r="4652" spans="1:66">
      <c r="A4652">
        <v>101636</v>
      </c>
      <c r="B4652" s="3" t="s">
        <v>488</v>
      </c>
      <c r="C4652" s="1">
        <v>43300101</v>
      </c>
      <c r="D4652" t="s">
        <v>67</v>
      </c>
      <c r="H4652" t="str">
        <f t="shared" si="490"/>
        <v>01446930628</v>
      </c>
      <c r="I4652" t="str">
        <f t="shared" si="490"/>
        <v>01446930628</v>
      </c>
      <c r="K4652" t="str">
        <f>""</f>
        <v/>
      </c>
      <c r="M4652" t="s">
        <v>68</v>
      </c>
      <c r="N4652" t="str">
        <f t="shared" si="488"/>
        <v>FOR</v>
      </c>
      <c r="O4652" t="s">
        <v>69</v>
      </c>
      <c r="P4652" s="3" t="s">
        <v>75</v>
      </c>
      <c r="Q4652">
        <v>2015</v>
      </c>
      <c r="R4652" s="2">
        <v>42352</v>
      </c>
      <c r="S4652" s="2">
        <v>42356</v>
      </c>
      <c r="T4652" s="2">
        <v>42355</v>
      </c>
      <c r="U4652" s="2">
        <v>42415</v>
      </c>
      <c r="V4652" t="s">
        <v>71</v>
      </c>
      <c r="W4652" t="str">
        <f>"             56/2015"</f>
        <v xml:space="preserve">             56/2015</v>
      </c>
      <c r="X4652" s="1">
        <v>2526.62</v>
      </c>
      <c r="Y4652">
        <v>0</v>
      </c>
      <c r="Z4652" s="5">
        <v>2071</v>
      </c>
      <c r="AA4652">
        <v>277</v>
      </c>
      <c r="AB4652" s="5">
        <v>573667</v>
      </c>
      <c r="AC4652" s="1">
        <v>2071</v>
      </c>
      <c r="AD4652">
        <v>277</v>
      </c>
      <c r="AE4652" s="1">
        <v>573667</v>
      </c>
      <c r="AF4652">
        <v>0</v>
      </c>
      <c r="AJ4652">
        <v>0</v>
      </c>
      <c r="AK4652">
        <v>0</v>
      </c>
      <c r="AL4652">
        <v>0</v>
      </c>
      <c r="AM4652">
        <v>0</v>
      </c>
      <c r="AN4652">
        <v>0</v>
      </c>
      <c r="AO4652">
        <v>0</v>
      </c>
      <c r="AP4652" s="2">
        <v>42746</v>
      </c>
      <c r="AQ4652" t="s">
        <v>72</v>
      </c>
      <c r="AR4652" t="s">
        <v>72</v>
      </c>
      <c r="AS4652">
        <v>3186</v>
      </c>
      <c r="AT4652" s="4">
        <v>42692</v>
      </c>
      <c r="AU4652" t="s">
        <v>73</v>
      </c>
      <c r="AV4652">
        <v>3186</v>
      </c>
      <c r="AW4652" s="4">
        <v>42692</v>
      </c>
      <c r="BD4652">
        <v>0</v>
      </c>
      <c r="BN4652" t="s">
        <v>74</v>
      </c>
    </row>
    <row r="4653" spans="1:66">
      <c r="A4653">
        <v>101636</v>
      </c>
      <c r="B4653" s="3" t="s">
        <v>488</v>
      </c>
      <c r="C4653" s="1">
        <v>43300101</v>
      </c>
      <c r="D4653" t="s">
        <v>67</v>
      </c>
      <c r="H4653" t="str">
        <f t="shared" si="490"/>
        <v>01446930628</v>
      </c>
      <c r="I4653" t="str">
        <f t="shared" si="490"/>
        <v>01446930628</v>
      </c>
      <c r="K4653" t="str">
        <f>""</f>
        <v/>
      </c>
      <c r="M4653" t="s">
        <v>68</v>
      </c>
      <c r="N4653" t="str">
        <f t="shared" si="488"/>
        <v>FOR</v>
      </c>
      <c r="O4653" t="s">
        <v>69</v>
      </c>
      <c r="P4653" s="3" t="s">
        <v>75</v>
      </c>
      <c r="Q4653">
        <v>2015</v>
      </c>
      <c r="R4653" s="2">
        <v>42352</v>
      </c>
      <c r="S4653" s="2">
        <v>42356</v>
      </c>
      <c r="T4653" s="2">
        <v>42355</v>
      </c>
      <c r="U4653" s="2">
        <v>42415</v>
      </c>
      <c r="V4653" t="s">
        <v>71</v>
      </c>
      <c r="W4653" t="str">
        <f>"             57/2015"</f>
        <v xml:space="preserve">             57/2015</v>
      </c>
      <c r="X4653" s="1">
        <v>3058.54</v>
      </c>
      <c r="Y4653">
        <v>0</v>
      </c>
      <c r="Z4653" s="5">
        <v>2507</v>
      </c>
      <c r="AA4653">
        <v>277</v>
      </c>
      <c r="AB4653" s="5">
        <v>694439</v>
      </c>
      <c r="AC4653" s="1">
        <v>2507</v>
      </c>
      <c r="AD4653">
        <v>277</v>
      </c>
      <c r="AE4653" s="1">
        <v>694439</v>
      </c>
      <c r="AF4653">
        <v>0</v>
      </c>
      <c r="AJ4653">
        <v>0</v>
      </c>
      <c r="AK4653">
        <v>0</v>
      </c>
      <c r="AL4653">
        <v>0</v>
      </c>
      <c r="AM4653">
        <v>0</v>
      </c>
      <c r="AN4653">
        <v>0</v>
      </c>
      <c r="AO4653">
        <v>0</v>
      </c>
      <c r="AP4653" s="2">
        <v>42746</v>
      </c>
      <c r="AQ4653" t="s">
        <v>72</v>
      </c>
      <c r="AR4653" t="s">
        <v>72</v>
      </c>
      <c r="AS4653">
        <v>3186</v>
      </c>
      <c r="AT4653" s="4">
        <v>42692</v>
      </c>
      <c r="AU4653" t="s">
        <v>73</v>
      </c>
      <c r="AV4653">
        <v>3186</v>
      </c>
      <c r="AW4653" s="4">
        <v>42692</v>
      </c>
      <c r="BD4653">
        <v>0</v>
      </c>
      <c r="BN4653" t="s">
        <v>74</v>
      </c>
    </row>
    <row r="4654" spans="1:66" hidden="1">
      <c r="A4654">
        <v>101636</v>
      </c>
      <c r="B4654" s="3" t="s">
        <v>488</v>
      </c>
      <c r="C4654" s="1">
        <v>43300101</v>
      </c>
      <c r="D4654" t="s">
        <v>67</v>
      </c>
      <c r="H4654" t="str">
        <f t="shared" si="490"/>
        <v>01446930628</v>
      </c>
      <c r="I4654" t="str">
        <f t="shared" si="490"/>
        <v>01446930628</v>
      </c>
      <c r="K4654" t="str">
        <f>""</f>
        <v/>
      </c>
      <c r="M4654" t="s">
        <v>68</v>
      </c>
      <c r="N4654" t="str">
        <f t="shared" si="488"/>
        <v>FOR</v>
      </c>
      <c r="O4654" t="s">
        <v>69</v>
      </c>
      <c r="P4654" s="3" t="s">
        <v>75</v>
      </c>
      <c r="Q4654">
        <v>2015</v>
      </c>
      <c r="R4654" s="2">
        <v>42125</v>
      </c>
      <c r="S4654" s="2">
        <v>42163</v>
      </c>
      <c r="T4654" s="2">
        <v>42152</v>
      </c>
      <c r="U4654" s="2">
        <v>42212</v>
      </c>
      <c r="V4654" t="s">
        <v>71</v>
      </c>
      <c r="W4654" t="str">
        <f>"          19BIS/2015"</f>
        <v xml:space="preserve">          19BIS/2015</v>
      </c>
      <c r="X4654" s="1">
        <v>3324.5</v>
      </c>
      <c r="Y4654">
        <v>0</v>
      </c>
      <c r="Z4654"/>
      <c r="AB4654"/>
      <c r="AC4654" s="1">
        <v>2725</v>
      </c>
      <c r="AD4654">
        <v>241</v>
      </c>
      <c r="AE4654" s="1">
        <v>656725</v>
      </c>
      <c r="AF4654">
        <v>0</v>
      </c>
      <c r="AJ4654">
        <v>0</v>
      </c>
      <c r="AK4654">
        <v>0</v>
      </c>
      <c r="AL4654">
        <v>0</v>
      </c>
      <c r="AM4654">
        <v>0</v>
      </c>
      <c r="AN4654">
        <v>0</v>
      </c>
      <c r="AO4654">
        <v>0</v>
      </c>
      <c r="AP4654" s="2">
        <v>42746</v>
      </c>
      <c r="AQ4654" t="s">
        <v>72</v>
      </c>
      <c r="AR4654" t="s">
        <v>72</v>
      </c>
      <c r="AS4654">
        <v>842</v>
      </c>
      <c r="AT4654" s="4">
        <v>42453</v>
      </c>
      <c r="AU4654" t="s">
        <v>73</v>
      </c>
      <c r="AV4654">
        <v>842</v>
      </c>
      <c r="AW4654" s="4">
        <v>42453</v>
      </c>
      <c r="BD4654">
        <v>0</v>
      </c>
      <c r="BN4654" t="s">
        <v>74</v>
      </c>
    </row>
    <row r="4655" spans="1:66" hidden="1">
      <c r="A4655">
        <v>101643</v>
      </c>
      <c r="B4655" s="3" t="s">
        <v>489</v>
      </c>
      <c r="C4655" s="1">
        <v>43300101</v>
      </c>
      <c r="D4655" t="s">
        <v>67</v>
      </c>
      <c r="H4655" t="str">
        <f t="shared" ref="H4655:I4658" si="491">"07220700962"</f>
        <v>07220700962</v>
      </c>
      <c r="I4655" t="str">
        <f t="shared" si="491"/>
        <v>07220700962</v>
      </c>
      <c r="K4655" t="str">
        <f>""</f>
        <v/>
      </c>
      <c r="M4655" t="s">
        <v>68</v>
      </c>
      <c r="N4655" t="str">
        <f t="shared" si="488"/>
        <v>FOR</v>
      </c>
      <c r="O4655" t="s">
        <v>69</v>
      </c>
      <c r="P4655" s="3" t="s">
        <v>75</v>
      </c>
      <c r="Q4655">
        <v>2015</v>
      </c>
      <c r="R4655" s="2">
        <v>42268</v>
      </c>
      <c r="S4655" s="2">
        <v>42269</v>
      </c>
      <c r="T4655" s="2">
        <v>42268</v>
      </c>
      <c r="U4655" s="2">
        <v>42328</v>
      </c>
      <c r="V4655" t="s">
        <v>71</v>
      </c>
      <c r="W4655" t="str">
        <f>"          CD15029807"</f>
        <v xml:space="preserve">          CD15029807</v>
      </c>
      <c r="X4655" s="1">
        <v>1027.24</v>
      </c>
      <c r="Y4655">
        <v>0</v>
      </c>
      <c r="Z4655"/>
      <c r="AB4655"/>
      <c r="AC4655">
        <v>842</v>
      </c>
      <c r="AD4655">
        <v>124</v>
      </c>
      <c r="AE4655" s="1">
        <v>104408</v>
      </c>
      <c r="AF4655">
        <v>0</v>
      </c>
      <c r="AJ4655">
        <v>0</v>
      </c>
      <c r="AK4655">
        <v>0</v>
      </c>
      <c r="AL4655">
        <v>0</v>
      </c>
      <c r="AM4655">
        <v>0</v>
      </c>
      <c r="AN4655">
        <v>0</v>
      </c>
      <c r="AO4655">
        <v>0</v>
      </c>
      <c r="AP4655" s="2">
        <v>42746</v>
      </c>
      <c r="AQ4655" t="s">
        <v>72</v>
      </c>
      <c r="AR4655" t="s">
        <v>72</v>
      </c>
      <c r="AS4655">
        <v>782</v>
      </c>
      <c r="AT4655" s="4">
        <v>42452</v>
      </c>
      <c r="AU4655" t="s">
        <v>73</v>
      </c>
      <c r="AV4655">
        <v>782</v>
      </c>
      <c r="AW4655" s="4">
        <v>42452</v>
      </c>
      <c r="BD4655">
        <v>0</v>
      </c>
      <c r="BN4655" t="s">
        <v>74</v>
      </c>
    </row>
    <row r="4656" spans="1:66" hidden="1">
      <c r="A4656">
        <v>101643</v>
      </c>
      <c r="B4656" s="3" t="s">
        <v>489</v>
      </c>
      <c r="C4656" s="1">
        <v>43300101</v>
      </c>
      <c r="D4656" t="s">
        <v>67</v>
      </c>
      <c r="H4656" t="str">
        <f t="shared" si="491"/>
        <v>07220700962</v>
      </c>
      <c r="I4656" t="str">
        <f t="shared" si="491"/>
        <v>07220700962</v>
      </c>
      <c r="K4656" t="str">
        <f>""</f>
        <v/>
      </c>
      <c r="M4656" t="s">
        <v>68</v>
      </c>
      <c r="N4656" t="str">
        <f t="shared" si="488"/>
        <v>FOR</v>
      </c>
      <c r="O4656" t="s">
        <v>69</v>
      </c>
      <c r="P4656" s="3" t="s">
        <v>75</v>
      </c>
      <c r="Q4656">
        <v>2016</v>
      </c>
      <c r="R4656" s="2">
        <v>42387</v>
      </c>
      <c r="S4656" s="2">
        <v>42389</v>
      </c>
      <c r="T4656" s="2">
        <v>42387</v>
      </c>
      <c r="U4656" s="2">
        <v>42447</v>
      </c>
      <c r="V4656" t="s">
        <v>71</v>
      </c>
      <c r="W4656" t="str">
        <f>"          CD16001622"</f>
        <v xml:space="preserve">          CD16001622</v>
      </c>
      <c r="X4656" s="1">
        <v>1851.35</v>
      </c>
      <c r="Y4656">
        <v>0</v>
      </c>
      <c r="Z4656"/>
      <c r="AB4656"/>
      <c r="AC4656" s="1">
        <v>1517.5</v>
      </c>
      <c r="AD4656">
        <v>81</v>
      </c>
      <c r="AE4656" s="1">
        <v>122917.5</v>
      </c>
      <c r="AF4656">
        <v>0</v>
      </c>
      <c r="AJ4656">
        <v>0</v>
      </c>
      <c r="AK4656">
        <v>0</v>
      </c>
      <c r="AL4656">
        <v>0</v>
      </c>
      <c r="AM4656" s="1">
        <v>1851.35</v>
      </c>
      <c r="AN4656" s="1">
        <v>1851.35</v>
      </c>
      <c r="AO4656" s="1">
        <v>1851.35</v>
      </c>
      <c r="AP4656" s="2">
        <v>42746</v>
      </c>
      <c r="AQ4656" t="s">
        <v>72</v>
      </c>
      <c r="AR4656" t="s">
        <v>72</v>
      </c>
      <c r="AS4656">
        <v>1560</v>
      </c>
      <c r="AT4656" s="4">
        <v>42528</v>
      </c>
      <c r="AU4656" t="s">
        <v>73</v>
      </c>
      <c r="AV4656">
        <v>1560</v>
      </c>
      <c r="AW4656" s="4">
        <v>42528</v>
      </c>
      <c r="BD4656">
        <v>0</v>
      </c>
      <c r="BN4656" t="s">
        <v>74</v>
      </c>
    </row>
    <row r="4657" spans="1:66" hidden="1">
      <c r="A4657">
        <v>101643</v>
      </c>
      <c r="B4657" s="3" t="s">
        <v>489</v>
      </c>
      <c r="C4657" s="1">
        <v>43300101</v>
      </c>
      <c r="D4657" t="s">
        <v>67</v>
      </c>
      <c r="H4657" t="str">
        <f t="shared" si="491"/>
        <v>07220700962</v>
      </c>
      <c r="I4657" t="str">
        <f t="shared" si="491"/>
        <v>07220700962</v>
      </c>
      <c r="K4657" t="str">
        <f>""</f>
        <v/>
      </c>
      <c r="M4657" t="s">
        <v>68</v>
      </c>
      <c r="N4657" t="str">
        <f t="shared" si="488"/>
        <v>FOR</v>
      </c>
      <c r="O4657" t="s">
        <v>69</v>
      </c>
      <c r="P4657" s="3" t="s">
        <v>75</v>
      </c>
      <c r="Q4657">
        <v>2016</v>
      </c>
      <c r="R4657" s="2">
        <v>42563</v>
      </c>
      <c r="S4657" s="2">
        <v>42565</v>
      </c>
      <c r="T4657" s="2">
        <v>42563</v>
      </c>
      <c r="U4657" s="2">
        <v>42623</v>
      </c>
      <c r="V4657" t="s">
        <v>71</v>
      </c>
      <c r="W4657" t="str">
        <f>"          CD16021782"</f>
        <v xml:space="preserve">          CD16021782</v>
      </c>
      <c r="X4657">
        <v>322.08</v>
      </c>
      <c r="Y4657">
        <v>0</v>
      </c>
      <c r="Z4657"/>
      <c r="AB4657"/>
      <c r="AC4657">
        <v>264</v>
      </c>
      <c r="AD4657">
        <v>-2</v>
      </c>
      <c r="AE4657">
        <v>-528</v>
      </c>
      <c r="AF4657">
        <v>0</v>
      </c>
      <c r="AJ4657">
        <v>0</v>
      </c>
      <c r="AK4657">
        <v>0</v>
      </c>
      <c r="AL4657">
        <v>0</v>
      </c>
      <c r="AM4657">
        <v>322.08</v>
      </c>
      <c r="AN4657">
        <v>322.08</v>
      </c>
      <c r="AO4657">
        <v>322.08</v>
      </c>
      <c r="AP4657" s="2">
        <v>42746</v>
      </c>
      <c r="AQ4657" t="s">
        <v>72</v>
      </c>
      <c r="AR4657" t="s">
        <v>72</v>
      </c>
      <c r="AS4657">
        <v>2387</v>
      </c>
      <c r="AT4657" s="4">
        <v>42621</v>
      </c>
      <c r="AV4657">
        <v>2387</v>
      </c>
      <c r="AW4657" s="4">
        <v>42621</v>
      </c>
      <c r="BD4657">
        <v>0</v>
      </c>
      <c r="BN4657" t="s">
        <v>74</v>
      </c>
    </row>
    <row r="4658" spans="1:66">
      <c r="A4658">
        <v>101643</v>
      </c>
      <c r="B4658" s="3" t="s">
        <v>489</v>
      </c>
      <c r="C4658" s="1">
        <v>43300101</v>
      </c>
      <c r="D4658" t="s">
        <v>67</v>
      </c>
      <c r="H4658" t="str">
        <f t="shared" si="491"/>
        <v>07220700962</v>
      </c>
      <c r="I4658" t="str">
        <f t="shared" si="491"/>
        <v>07220700962</v>
      </c>
      <c r="K4658" t="str">
        <f>""</f>
        <v/>
      </c>
      <c r="M4658" t="s">
        <v>68</v>
      </c>
      <c r="N4658" t="str">
        <f t="shared" si="488"/>
        <v>FOR</v>
      </c>
      <c r="O4658" t="s">
        <v>69</v>
      </c>
      <c r="P4658" s="3" t="s">
        <v>75</v>
      </c>
      <c r="Q4658">
        <v>2016</v>
      </c>
      <c r="R4658" s="2">
        <v>42656</v>
      </c>
      <c r="S4658" s="2">
        <v>42661</v>
      </c>
      <c r="T4658" s="2">
        <v>42657</v>
      </c>
      <c r="U4658" s="2">
        <v>42717</v>
      </c>
      <c r="V4658" t="s">
        <v>71</v>
      </c>
      <c r="W4658" t="str">
        <f>"          CD16031560"</f>
        <v xml:space="preserve">          CD16031560</v>
      </c>
      <c r="X4658">
        <v>620.98</v>
      </c>
      <c r="Y4658">
        <v>0</v>
      </c>
      <c r="Z4658" s="3">
        <v>509</v>
      </c>
      <c r="AA4658">
        <v>2</v>
      </c>
      <c r="AB4658" s="5">
        <v>1018</v>
      </c>
      <c r="AC4658">
        <v>509</v>
      </c>
      <c r="AD4658">
        <v>2</v>
      </c>
      <c r="AE4658" s="1">
        <v>1018</v>
      </c>
      <c r="AF4658">
        <v>111.98</v>
      </c>
      <c r="AJ4658">
        <v>620.98</v>
      </c>
      <c r="AK4658">
        <v>620.98</v>
      </c>
      <c r="AL4658">
        <v>620.98</v>
      </c>
      <c r="AM4658">
        <v>620.98</v>
      </c>
      <c r="AN4658">
        <v>620.98</v>
      </c>
      <c r="AO4658">
        <v>620.98</v>
      </c>
      <c r="AP4658" s="2">
        <v>42746</v>
      </c>
      <c r="AQ4658" t="s">
        <v>72</v>
      </c>
      <c r="AR4658" t="s">
        <v>72</v>
      </c>
      <c r="AS4658">
        <v>3504</v>
      </c>
      <c r="AT4658" s="4">
        <v>42719</v>
      </c>
      <c r="AU4658" t="s">
        <v>73</v>
      </c>
      <c r="AV4658">
        <v>3504</v>
      </c>
      <c r="AW4658" s="4">
        <v>42719</v>
      </c>
      <c r="AX4658">
        <v>111.98</v>
      </c>
      <c r="BD4658">
        <v>0</v>
      </c>
      <c r="BN4658" t="s">
        <v>74</v>
      </c>
    </row>
    <row r="4659" spans="1:66" hidden="1">
      <c r="A4659">
        <v>101671</v>
      </c>
      <c r="B4659" s="3" t="s">
        <v>490</v>
      </c>
      <c r="C4659" s="1">
        <v>43201231</v>
      </c>
      <c r="D4659" t="s">
        <v>461</v>
      </c>
      <c r="H4659" t="str">
        <f>"90062670725"</f>
        <v>90062670725</v>
      </c>
      <c r="I4659" t="str">
        <f>"06391740724"</f>
        <v>06391740724</v>
      </c>
      <c r="K4659" t="str">
        <f>""</f>
        <v/>
      </c>
      <c r="M4659" t="s">
        <v>68</v>
      </c>
      <c r="N4659" t="str">
        <f>"AZI"</f>
        <v>AZI</v>
      </c>
      <c r="O4659" t="s">
        <v>462</v>
      </c>
      <c r="P4659" s="3" t="s">
        <v>491</v>
      </c>
      <c r="Q4659">
        <v>2016</v>
      </c>
      <c r="R4659" s="2">
        <v>42506</v>
      </c>
      <c r="S4659" s="2">
        <v>42506</v>
      </c>
      <c r="T4659" s="2">
        <v>42506</v>
      </c>
      <c r="U4659" s="2">
        <v>42566</v>
      </c>
      <c r="V4659" t="s">
        <v>71</v>
      </c>
      <c r="W4659" t="str">
        <f>"                 111"</f>
        <v xml:space="preserve">                 111</v>
      </c>
      <c r="X4659">
        <v>0</v>
      </c>
      <c r="Y4659">
        <v>316.83</v>
      </c>
      <c r="Z4659"/>
      <c r="AB4659"/>
      <c r="AC4659">
        <v>316.83</v>
      </c>
      <c r="AD4659">
        <v>-46</v>
      </c>
      <c r="AE4659" s="1">
        <v>-14574.18</v>
      </c>
      <c r="AF4659">
        <v>0</v>
      </c>
      <c r="AJ4659">
        <v>0</v>
      </c>
      <c r="AK4659">
        <v>0</v>
      </c>
      <c r="AL4659">
        <v>0</v>
      </c>
      <c r="AM4659">
        <v>316.83</v>
      </c>
      <c r="AN4659">
        <v>316.83</v>
      </c>
      <c r="AO4659">
        <v>316.83</v>
      </c>
      <c r="AP4659" s="2">
        <v>42746</v>
      </c>
      <c r="AQ4659" t="s">
        <v>72</v>
      </c>
      <c r="AR4659" t="s">
        <v>72</v>
      </c>
      <c r="AS4659">
        <v>1397</v>
      </c>
      <c r="AT4659" s="4">
        <v>42520</v>
      </c>
      <c r="AV4659">
        <v>1397</v>
      </c>
      <c r="AW4659" s="4">
        <v>42520</v>
      </c>
      <c r="BD4659">
        <v>0</v>
      </c>
      <c r="BN4659" t="s">
        <v>74</v>
      </c>
    </row>
    <row r="4660" spans="1:66">
      <c r="A4660">
        <v>101676</v>
      </c>
      <c r="B4660" s="3" t="s">
        <v>492</v>
      </c>
      <c r="C4660" s="1">
        <v>43500101</v>
      </c>
      <c r="D4660" t="s">
        <v>113</v>
      </c>
      <c r="H4660" t="str">
        <f t="shared" ref="H4660:H4665" si="492">"STFFNC74M08A783F"</f>
        <v>STFFNC74M08A783F</v>
      </c>
      <c r="I4660" t="str">
        <f t="shared" ref="I4660:I4665" si="493">"01099440628"</f>
        <v>01099440628</v>
      </c>
      <c r="K4660" t="str">
        <f>""</f>
        <v/>
      </c>
      <c r="M4660" t="s">
        <v>68</v>
      </c>
      <c r="N4660" t="str">
        <f t="shared" ref="N4660:N4671" si="494">"ALTPRO"</f>
        <v>ALTPRO</v>
      </c>
      <c r="O4660" t="s">
        <v>132</v>
      </c>
      <c r="P4660" s="3" t="s">
        <v>146</v>
      </c>
      <c r="Q4660">
        <v>2016</v>
      </c>
      <c r="R4660" s="2">
        <v>42644</v>
      </c>
      <c r="S4660" s="2">
        <v>42646</v>
      </c>
      <c r="T4660" s="2">
        <v>42644</v>
      </c>
      <c r="U4660" s="2">
        <v>42704</v>
      </c>
      <c r="V4660" t="s">
        <v>71</v>
      </c>
      <c r="W4660" t="str">
        <f>"                 90E"</f>
        <v xml:space="preserve">                 90E</v>
      </c>
      <c r="X4660" s="1">
        <v>1310.56</v>
      </c>
      <c r="Y4660">
        <v>-206.58</v>
      </c>
      <c r="Z4660" s="5">
        <v>1103.98</v>
      </c>
      <c r="AA4660">
        <v>-57</v>
      </c>
      <c r="AB4660" s="5">
        <v>-62926.86</v>
      </c>
      <c r="AC4660" s="1">
        <v>1103.98</v>
      </c>
      <c r="AD4660">
        <v>-57</v>
      </c>
      <c r="AE4660" s="1">
        <v>-62926.86</v>
      </c>
      <c r="AF4660">
        <v>0</v>
      </c>
      <c r="AJ4660" s="1">
        <v>1103.98</v>
      </c>
      <c r="AK4660" s="1">
        <v>1103.98</v>
      </c>
      <c r="AL4660" s="1">
        <v>1103.98</v>
      </c>
      <c r="AM4660" s="1">
        <v>1103.98</v>
      </c>
      <c r="AN4660" s="1">
        <v>1103.98</v>
      </c>
      <c r="AO4660" s="1">
        <v>1103.98</v>
      </c>
      <c r="AP4660" s="2">
        <v>42746</v>
      </c>
      <c r="AQ4660" t="s">
        <v>72</v>
      </c>
      <c r="AR4660" t="s">
        <v>72</v>
      </c>
      <c r="AS4660">
        <v>2586</v>
      </c>
      <c r="AT4660" s="4">
        <v>42647</v>
      </c>
      <c r="AV4660">
        <v>2586</v>
      </c>
      <c r="AW4660" s="4">
        <v>42647</v>
      </c>
      <c r="BD4660">
        <v>0</v>
      </c>
      <c r="BN4660" t="s">
        <v>74</v>
      </c>
    </row>
    <row r="4661" spans="1:66" hidden="1">
      <c r="A4661">
        <v>101676</v>
      </c>
      <c r="B4661" s="3" t="s">
        <v>492</v>
      </c>
      <c r="C4661" s="1">
        <v>43500101</v>
      </c>
      <c r="D4661" t="s">
        <v>113</v>
      </c>
      <c r="H4661" t="str">
        <f t="shared" si="492"/>
        <v>STFFNC74M08A783F</v>
      </c>
      <c r="I4661" t="str">
        <f t="shared" si="493"/>
        <v>01099440628</v>
      </c>
      <c r="K4661" t="str">
        <f>""</f>
        <v/>
      </c>
      <c r="M4661" t="s">
        <v>68</v>
      </c>
      <c r="N4661" t="str">
        <f t="shared" si="494"/>
        <v>ALTPRO</v>
      </c>
      <c r="O4661" t="s">
        <v>132</v>
      </c>
      <c r="P4661" s="3" t="s">
        <v>146</v>
      </c>
      <c r="Q4661">
        <v>2016</v>
      </c>
      <c r="R4661" s="2">
        <v>42555</v>
      </c>
      <c r="S4661" s="2">
        <v>42557</v>
      </c>
      <c r="T4661" s="2">
        <v>42555</v>
      </c>
      <c r="U4661" s="2">
        <v>42615</v>
      </c>
      <c r="V4661" t="s">
        <v>71</v>
      </c>
      <c r="W4661" t="str">
        <f>"                71/E"</f>
        <v xml:space="preserve">                71/E</v>
      </c>
      <c r="X4661" s="1">
        <v>1255.94</v>
      </c>
      <c r="Y4661">
        <v>-197.97</v>
      </c>
      <c r="Z4661"/>
      <c r="AB4661"/>
      <c r="AC4661" s="1">
        <v>1057.97</v>
      </c>
      <c r="AD4661">
        <v>-49</v>
      </c>
      <c r="AE4661" s="1">
        <v>-51840.53</v>
      </c>
      <c r="AF4661">
        <v>0</v>
      </c>
      <c r="AJ4661">
        <v>0</v>
      </c>
      <c r="AK4661">
        <v>0</v>
      </c>
      <c r="AL4661">
        <v>0</v>
      </c>
      <c r="AM4661" s="1">
        <v>1057.97</v>
      </c>
      <c r="AN4661" s="1">
        <v>1057.97</v>
      </c>
      <c r="AO4661" s="1">
        <v>1057.97</v>
      </c>
      <c r="AP4661" s="2">
        <v>42746</v>
      </c>
      <c r="AQ4661" t="s">
        <v>72</v>
      </c>
      <c r="AR4661" t="s">
        <v>72</v>
      </c>
      <c r="AS4661">
        <v>1773</v>
      </c>
      <c r="AT4661" s="4">
        <v>42566</v>
      </c>
      <c r="AV4661">
        <v>1773</v>
      </c>
      <c r="AW4661" s="4">
        <v>42566</v>
      </c>
      <c r="BD4661">
        <v>0</v>
      </c>
      <c r="BN4661" t="s">
        <v>74</v>
      </c>
    </row>
    <row r="4662" spans="1:66" hidden="1">
      <c r="A4662">
        <v>101676</v>
      </c>
      <c r="B4662" s="3" t="s">
        <v>492</v>
      </c>
      <c r="C4662" s="1">
        <v>43500101</v>
      </c>
      <c r="D4662" t="s">
        <v>113</v>
      </c>
      <c r="H4662" t="str">
        <f t="shared" si="492"/>
        <v>STFFNC74M08A783F</v>
      </c>
      <c r="I4662" t="str">
        <f t="shared" si="493"/>
        <v>01099440628</v>
      </c>
      <c r="K4662" t="str">
        <f>""</f>
        <v/>
      </c>
      <c r="M4662" t="s">
        <v>68</v>
      </c>
      <c r="N4662" t="str">
        <f t="shared" si="494"/>
        <v>ALTPRO</v>
      </c>
      <c r="O4662" t="s">
        <v>132</v>
      </c>
      <c r="P4662" s="3" t="s">
        <v>146</v>
      </c>
      <c r="Q4662">
        <v>2016</v>
      </c>
      <c r="R4662" s="2">
        <v>42580</v>
      </c>
      <c r="S4662" s="2">
        <v>42584</v>
      </c>
      <c r="T4662" s="2">
        <v>42580</v>
      </c>
      <c r="U4662" s="2">
        <v>42640</v>
      </c>
      <c r="V4662" t="s">
        <v>71</v>
      </c>
      <c r="W4662" t="str">
        <f>"                78/E"</f>
        <v xml:space="preserve">                78/E</v>
      </c>
      <c r="X4662" s="1">
        <v>1059.3699999999999</v>
      </c>
      <c r="Y4662">
        <v>-166.99</v>
      </c>
      <c r="Z4662"/>
      <c r="AB4662"/>
      <c r="AC4662">
        <v>892.38</v>
      </c>
      <c r="AD4662">
        <v>-22</v>
      </c>
      <c r="AE4662" s="1">
        <v>-19632.36</v>
      </c>
      <c r="AF4662">
        <v>0</v>
      </c>
      <c r="AJ4662">
        <v>0</v>
      </c>
      <c r="AK4662">
        <v>0</v>
      </c>
      <c r="AL4662">
        <v>0</v>
      </c>
      <c r="AM4662">
        <v>892.38</v>
      </c>
      <c r="AN4662">
        <v>892.38</v>
      </c>
      <c r="AO4662">
        <v>892.38</v>
      </c>
      <c r="AP4662" s="2">
        <v>42746</v>
      </c>
      <c r="AQ4662" t="s">
        <v>72</v>
      </c>
      <c r="AR4662" t="s">
        <v>72</v>
      </c>
      <c r="AS4662">
        <v>2251</v>
      </c>
      <c r="AT4662" s="4">
        <v>42618</v>
      </c>
      <c r="AV4662">
        <v>2251</v>
      </c>
      <c r="AW4662" s="4">
        <v>42618</v>
      </c>
      <c r="BD4662">
        <v>0</v>
      </c>
      <c r="BN4662" t="s">
        <v>74</v>
      </c>
    </row>
    <row r="4663" spans="1:66" hidden="1">
      <c r="A4663">
        <v>101676</v>
      </c>
      <c r="B4663" s="3" t="s">
        <v>492</v>
      </c>
      <c r="C4663" s="1">
        <v>43500101</v>
      </c>
      <c r="D4663" t="s">
        <v>113</v>
      </c>
      <c r="H4663" t="str">
        <f t="shared" si="492"/>
        <v>STFFNC74M08A783F</v>
      </c>
      <c r="I4663" t="str">
        <f t="shared" si="493"/>
        <v>01099440628</v>
      </c>
      <c r="K4663" t="str">
        <f>""</f>
        <v/>
      </c>
      <c r="M4663" t="s">
        <v>68</v>
      </c>
      <c r="N4663" t="str">
        <f t="shared" si="494"/>
        <v>ALTPRO</v>
      </c>
      <c r="O4663" t="s">
        <v>132</v>
      </c>
      <c r="P4663" s="3" t="s">
        <v>146</v>
      </c>
      <c r="Q4663">
        <v>2016</v>
      </c>
      <c r="R4663" s="2">
        <v>42613</v>
      </c>
      <c r="S4663" s="2">
        <v>42614</v>
      </c>
      <c r="T4663" s="2">
        <v>42613</v>
      </c>
      <c r="U4663" s="2">
        <v>42673</v>
      </c>
      <c r="V4663" t="s">
        <v>71</v>
      </c>
      <c r="W4663" t="str">
        <f>"                84/E"</f>
        <v xml:space="preserve">                84/E</v>
      </c>
      <c r="X4663" s="1">
        <v>1310.56</v>
      </c>
      <c r="Y4663">
        <v>-206.58</v>
      </c>
      <c r="Z4663"/>
      <c r="AB4663"/>
      <c r="AC4663" s="1">
        <v>1103.98</v>
      </c>
      <c r="AD4663">
        <v>-55</v>
      </c>
      <c r="AE4663" s="1">
        <v>-60718.9</v>
      </c>
      <c r="AF4663">
        <v>0</v>
      </c>
      <c r="AJ4663">
        <v>0</v>
      </c>
      <c r="AK4663">
        <v>0</v>
      </c>
      <c r="AL4663">
        <v>0</v>
      </c>
      <c r="AM4663" s="1">
        <v>1103.98</v>
      </c>
      <c r="AN4663" s="1">
        <v>1103.98</v>
      </c>
      <c r="AO4663" s="1">
        <v>1103.98</v>
      </c>
      <c r="AP4663" s="2">
        <v>42746</v>
      </c>
      <c r="AQ4663" t="s">
        <v>72</v>
      </c>
      <c r="AR4663" t="s">
        <v>72</v>
      </c>
      <c r="AS4663">
        <v>2251</v>
      </c>
      <c r="AT4663" s="4">
        <v>42618</v>
      </c>
      <c r="AV4663">
        <v>2251</v>
      </c>
      <c r="AW4663" s="4">
        <v>42618</v>
      </c>
      <c r="BD4663">
        <v>0</v>
      </c>
      <c r="BN4663" t="s">
        <v>74</v>
      </c>
    </row>
    <row r="4664" spans="1:66">
      <c r="A4664">
        <v>101676</v>
      </c>
      <c r="B4664" s="3" t="s">
        <v>492</v>
      </c>
      <c r="C4664" s="1">
        <v>43500101</v>
      </c>
      <c r="D4664" t="s">
        <v>113</v>
      </c>
      <c r="H4664" t="str">
        <f t="shared" si="492"/>
        <v>STFFNC74M08A783F</v>
      </c>
      <c r="I4664" t="str">
        <f t="shared" si="493"/>
        <v>01099440628</v>
      </c>
      <c r="K4664" t="str">
        <f>""</f>
        <v/>
      </c>
      <c r="M4664" t="s">
        <v>68</v>
      </c>
      <c r="N4664" t="str">
        <f t="shared" si="494"/>
        <v>ALTPRO</v>
      </c>
      <c r="O4664" t="s">
        <v>132</v>
      </c>
      <c r="P4664" s="3" t="s">
        <v>146</v>
      </c>
      <c r="Q4664">
        <v>2016</v>
      </c>
      <c r="R4664" s="2">
        <v>42674</v>
      </c>
      <c r="S4664" s="2">
        <v>42676</v>
      </c>
      <c r="T4664" s="2">
        <v>42674</v>
      </c>
      <c r="U4664" s="2">
        <v>42734</v>
      </c>
      <c r="V4664" t="s">
        <v>71</v>
      </c>
      <c r="W4664" t="str">
        <f>"               105/E"</f>
        <v xml:space="preserve">               105/E</v>
      </c>
      <c r="X4664" s="1">
        <v>1310.56</v>
      </c>
      <c r="Y4664">
        <v>-206.58</v>
      </c>
      <c r="Z4664" s="5">
        <v>1103.98</v>
      </c>
      <c r="AA4664">
        <v>-50</v>
      </c>
      <c r="AB4664" s="5">
        <v>-55199</v>
      </c>
      <c r="AC4664" s="1">
        <v>1103.98</v>
      </c>
      <c r="AD4664">
        <v>-50</v>
      </c>
      <c r="AE4664" s="1">
        <v>-55199</v>
      </c>
      <c r="AF4664">
        <v>0</v>
      </c>
      <c r="AJ4664" s="1">
        <v>1103.98</v>
      </c>
      <c r="AK4664" s="1">
        <v>1103.98</v>
      </c>
      <c r="AL4664" s="1">
        <v>1103.98</v>
      </c>
      <c r="AM4664" s="1">
        <v>1103.98</v>
      </c>
      <c r="AN4664" s="1">
        <v>1103.98</v>
      </c>
      <c r="AO4664" s="1">
        <v>1103.98</v>
      </c>
      <c r="AP4664" s="2">
        <v>42746</v>
      </c>
      <c r="AQ4664" t="s">
        <v>72</v>
      </c>
      <c r="AR4664" t="s">
        <v>72</v>
      </c>
      <c r="AS4664">
        <v>3038</v>
      </c>
      <c r="AT4664" s="4">
        <v>42684</v>
      </c>
      <c r="AV4664">
        <v>3038</v>
      </c>
      <c r="AW4664" s="4">
        <v>42684</v>
      </c>
      <c r="BD4664">
        <v>0</v>
      </c>
      <c r="BN4664" t="s">
        <v>74</v>
      </c>
    </row>
    <row r="4665" spans="1:66">
      <c r="A4665">
        <v>101676</v>
      </c>
      <c r="B4665" s="3" t="s">
        <v>492</v>
      </c>
      <c r="C4665" s="1">
        <v>43500101</v>
      </c>
      <c r="D4665" t="s">
        <v>113</v>
      </c>
      <c r="H4665" t="str">
        <f t="shared" si="492"/>
        <v>STFFNC74M08A783F</v>
      </c>
      <c r="I4665" t="str">
        <f t="shared" si="493"/>
        <v>01099440628</v>
      </c>
      <c r="K4665" t="str">
        <f>""</f>
        <v/>
      </c>
      <c r="M4665" t="s">
        <v>68</v>
      </c>
      <c r="N4665" t="str">
        <f t="shared" si="494"/>
        <v>ALTPRO</v>
      </c>
      <c r="O4665" t="s">
        <v>132</v>
      </c>
      <c r="P4665" s="3" t="s">
        <v>146</v>
      </c>
      <c r="Q4665">
        <v>2016</v>
      </c>
      <c r="R4665" s="2">
        <v>42704</v>
      </c>
      <c r="S4665" s="2">
        <v>42705</v>
      </c>
      <c r="T4665" s="2">
        <v>42705</v>
      </c>
      <c r="U4665" s="2">
        <v>42765</v>
      </c>
      <c r="V4665" t="s">
        <v>71</v>
      </c>
      <c r="W4665" t="str">
        <f>"               107/E"</f>
        <v xml:space="preserve">               107/E</v>
      </c>
      <c r="X4665" s="1">
        <v>1310.56</v>
      </c>
      <c r="Y4665">
        <v>-206.58</v>
      </c>
      <c r="Z4665" s="5">
        <v>1103.98</v>
      </c>
      <c r="AA4665">
        <v>-47</v>
      </c>
      <c r="AB4665" s="5">
        <v>-51887.06</v>
      </c>
      <c r="AC4665" s="1">
        <v>1103.98</v>
      </c>
      <c r="AD4665">
        <v>-47</v>
      </c>
      <c r="AE4665" s="1">
        <v>-51887.06</v>
      </c>
      <c r="AF4665">
        <v>0</v>
      </c>
      <c r="AJ4665" s="1">
        <v>1103.98</v>
      </c>
      <c r="AK4665" s="1">
        <v>1103.98</v>
      </c>
      <c r="AL4665" s="1">
        <v>1103.98</v>
      </c>
      <c r="AM4665" s="1">
        <v>1103.98</v>
      </c>
      <c r="AN4665" s="1">
        <v>1103.98</v>
      </c>
      <c r="AO4665" s="1">
        <v>1103.98</v>
      </c>
      <c r="AP4665" s="2">
        <v>42746</v>
      </c>
      <c r="AQ4665" t="s">
        <v>72</v>
      </c>
      <c r="AR4665" t="s">
        <v>72</v>
      </c>
      <c r="AS4665">
        <v>3447</v>
      </c>
      <c r="AT4665" s="4">
        <v>42718</v>
      </c>
      <c r="AV4665">
        <v>3447</v>
      </c>
      <c r="AW4665" s="4">
        <v>42718</v>
      </c>
      <c r="BD4665">
        <v>0</v>
      </c>
      <c r="BN4665" t="s">
        <v>74</v>
      </c>
    </row>
    <row r="4666" spans="1:66" hidden="1">
      <c r="A4666">
        <v>101681</v>
      </c>
      <c r="B4666" s="3" t="s">
        <v>493</v>
      </c>
      <c r="C4666" s="1">
        <v>43500101</v>
      </c>
      <c r="D4666" t="s">
        <v>113</v>
      </c>
      <c r="H4666" t="str">
        <f t="shared" ref="H4666:H4671" si="495">"DLGGVR80T62F839C"</f>
        <v>DLGGVR80T62F839C</v>
      </c>
      <c r="I4666" t="str">
        <f t="shared" ref="I4666:I4671" si="496">"06617261216"</f>
        <v>06617261216</v>
      </c>
      <c r="K4666" t="str">
        <f>""</f>
        <v/>
      </c>
      <c r="M4666" t="s">
        <v>68</v>
      </c>
      <c r="N4666" t="str">
        <f t="shared" si="494"/>
        <v>ALTPRO</v>
      </c>
      <c r="O4666" t="s">
        <v>132</v>
      </c>
      <c r="P4666" s="3" t="s">
        <v>75</v>
      </c>
      <c r="Q4666">
        <v>2016</v>
      </c>
      <c r="R4666" s="2">
        <v>42379</v>
      </c>
      <c r="S4666" s="2">
        <v>42408</v>
      </c>
      <c r="T4666" s="2">
        <v>42406</v>
      </c>
      <c r="U4666" s="2">
        <v>42466</v>
      </c>
      <c r="V4666" t="s">
        <v>71</v>
      </c>
      <c r="W4666" t="str">
        <f>"         FATTPA 1_16"</f>
        <v xml:space="preserve">         FATTPA 1_16</v>
      </c>
      <c r="X4666" s="1">
        <v>1426.47</v>
      </c>
      <c r="Y4666">
        <v>0</v>
      </c>
      <c r="Z4666"/>
      <c r="AB4666"/>
      <c r="AC4666" s="1">
        <v>1426.47</v>
      </c>
      <c r="AD4666">
        <v>-40</v>
      </c>
      <c r="AE4666" s="1">
        <v>-57058.8</v>
      </c>
      <c r="AF4666">
        <v>0</v>
      </c>
      <c r="AJ4666">
        <v>0</v>
      </c>
      <c r="AK4666">
        <v>0</v>
      </c>
      <c r="AL4666">
        <v>0</v>
      </c>
      <c r="AM4666">
        <v>0</v>
      </c>
      <c r="AN4666" s="1">
        <v>1426.47</v>
      </c>
      <c r="AO4666" s="1">
        <v>1426.47</v>
      </c>
      <c r="AP4666" s="2">
        <v>42746</v>
      </c>
      <c r="AQ4666" t="s">
        <v>72</v>
      </c>
      <c r="AR4666" t="s">
        <v>72</v>
      </c>
      <c r="AS4666">
        <v>569</v>
      </c>
      <c r="AT4666" s="4">
        <v>42426</v>
      </c>
      <c r="AV4666">
        <v>569</v>
      </c>
      <c r="AW4666" s="4">
        <v>42426</v>
      </c>
      <c r="BD4666">
        <v>0</v>
      </c>
      <c r="BN4666" t="s">
        <v>74</v>
      </c>
    </row>
    <row r="4667" spans="1:66" hidden="1">
      <c r="A4667">
        <v>101681</v>
      </c>
      <c r="B4667" s="3" t="s">
        <v>493</v>
      </c>
      <c r="C4667" s="1">
        <v>43500101</v>
      </c>
      <c r="D4667" t="s">
        <v>113</v>
      </c>
      <c r="H4667" t="str">
        <f t="shared" si="495"/>
        <v>DLGGVR80T62F839C</v>
      </c>
      <c r="I4667" t="str">
        <f t="shared" si="496"/>
        <v>06617261216</v>
      </c>
      <c r="K4667" t="str">
        <f>""</f>
        <v/>
      </c>
      <c r="M4667" t="s">
        <v>68</v>
      </c>
      <c r="N4667" t="str">
        <f t="shared" si="494"/>
        <v>ALTPRO</v>
      </c>
      <c r="O4667" t="s">
        <v>132</v>
      </c>
      <c r="P4667" s="3" t="s">
        <v>75</v>
      </c>
      <c r="Q4667">
        <v>2016</v>
      </c>
      <c r="R4667" s="2">
        <v>42406</v>
      </c>
      <c r="S4667" s="2">
        <v>42408</v>
      </c>
      <c r="T4667" s="2">
        <v>42406</v>
      </c>
      <c r="U4667" s="2">
        <v>42466</v>
      </c>
      <c r="V4667" t="s">
        <v>71</v>
      </c>
      <c r="W4667" t="str">
        <f>"         FATTPA 2_16"</f>
        <v xml:space="preserve">         FATTPA 2_16</v>
      </c>
      <c r="X4667" s="1">
        <v>1433.5</v>
      </c>
      <c r="Y4667">
        <v>0</v>
      </c>
      <c r="Z4667"/>
      <c r="AB4667"/>
      <c r="AC4667" s="1">
        <v>1433.5</v>
      </c>
      <c r="AD4667">
        <v>-40</v>
      </c>
      <c r="AE4667" s="1">
        <v>-57340</v>
      </c>
      <c r="AF4667">
        <v>0</v>
      </c>
      <c r="AJ4667">
        <v>0</v>
      </c>
      <c r="AK4667">
        <v>0</v>
      </c>
      <c r="AL4667">
        <v>0</v>
      </c>
      <c r="AM4667" s="1">
        <v>1433.5</v>
      </c>
      <c r="AN4667" s="1">
        <v>1433.5</v>
      </c>
      <c r="AO4667" s="1">
        <v>1433.5</v>
      </c>
      <c r="AP4667" s="2">
        <v>42746</v>
      </c>
      <c r="AQ4667" t="s">
        <v>72</v>
      </c>
      <c r="AR4667" t="s">
        <v>72</v>
      </c>
      <c r="AS4667">
        <v>569</v>
      </c>
      <c r="AT4667" s="4">
        <v>42426</v>
      </c>
      <c r="AV4667">
        <v>569</v>
      </c>
      <c r="AW4667" s="4">
        <v>42426</v>
      </c>
      <c r="BD4667">
        <v>0</v>
      </c>
      <c r="BN4667" t="s">
        <v>74</v>
      </c>
    </row>
    <row r="4668" spans="1:66" hidden="1">
      <c r="A4668">
        <v>101681</v>
      </c>
      <c r="B4668" s="3" t="s">
        <v>493</v>
      </c>
      <c r="C4668" s="1">
        <v>43500101</v>
      </c>
      <c r="D4668" t="s">
        <v>113</v>
      </c>
      <c r="H4668" t="str">
        <f t="shared" si="495"/>
        <v>DLGGVR80T62F839C</v>
      </c>
      <c r="I4668" t="str">
        <f t="shared" si="496"/>
        <v>06617261216</v>
      </c>
      <c r="K4668" t="str">
        <f>""</f>
        <v/>
      </c>
      <c r="M4668" t="s">
        <v>68</v>
      </c>
      <c r="N4668" t="str">
        <f t="shared" si="494"/>
        <v>ALTPRO</v>
      </c>
      <c r="O4668" t="s">
        <v>132</v>
      </c>
      <c r="P4668" s="3" t="s">
        <v>75</v>
      </c>
      <c r="Q4668">
        <v>2016</v>
      </c>
      <c r="R4668" s="2">
        <v>42441</v>
      </c>
      <c r="S4668" s="2">
        <v>42443</v>
      </c>
      <c r="T4668" s="2">
        <v>42441</v>
      </c>
      <c r="U4668" s="2">
        <v>42501</v>
      </c>
      <c r="V4668" t="s">
        <v>71</v>
      </c>
      <c r="W4668" t="str">
        <f>"         FATTPA 3_16"</f>
        <v xml:space="preserve">         FATTPA 3_16</v>
      </c>
      <c r="X4668" s="1">
        <v>1763.27</v>
      </c>
      <c r="Y4668">
        <v>0</v>
      </c>
      <c r="Z4668"/>
      <c r="AB4668"/>
      <c r="AC4668" s="1">
        <v>1763.27</v>
      </c>
      <c r="AD4668">
        <v>-50</v>
      </c>
      <c r="AE4668" s="1">
        <v>-88163.5</v>
      </c>
      <c r="AF4668">
        <v>0</v>
      </c>
      <c r="AJ4668">
        <v>0</v>
      </c>
      <c r="AK4668">
        <v>0</v>
      </c>
      <c r="AL4668">
        <v>0</v>
      </c>
      <c r="AM4668" s="1">
        <v>1763.27</v>
      </c>
      <c r="AN4668" s="1">
        <v>1763.27</v>
      </c>
      <c r="AO4668" s="1">
        <v>1763.27</v>
      </c>
      <c r="AP4668" s="2">
        <v>42746</v>
      </c>
      <c r="AQ4668" t="s">
        <v>72</v>
      </c>
      <c r="AR4668" t="s">
        <v>72</v>
      </c>
      <c r="AS4668">
        <v>737</v>
      </c>
      <c r="AT4668" s="4">
        <v>42451</v>
      </c>
      <c r="AV4668">
        <v>737</v>
      </c>
      <c r="AW4668" s="4">
        <v>42451</v>
      </c>
      <c r="BD4668">
        <v>0</v>
      </c>
      <c r="BN4668" t="s">
        <v>74</v>
      </c>
    </row>
    <row r="4669" spans="1:66" hidden="1">
      <c r="A4669">
        <v>101681</v>
      </c>
      <c r="B4669" s="3" t="s">
        <v>493</v>
      </c>
      <c r="C4669" s="1">
        <v>43500101</v>
      </c>
      <c r="D4669" t="s">
        <v>113</v>
      </c>
      <c r="H4669" t="str">
        <f t="shared" si="495"/>
        <v>DLGGVR80T62F839C</v>
      </c>
      <c r="I4669" t="str">
        <f t="shared" si="496"/>
        <v>06617261216</v>
      </c>
      <c r="K4669" t="str">
        <f>""</f>
        <v/>
      </c>
      <c r="M4669" t="s">
        <v>68</v>
      </c>
      <c r="N4669" t="str">
        <f t="shared" si="494"/>
        <v>ALTPRO</v>
      </c>
      <c r="O4669" t="s">
        <v>132</v>
      </c>
      <c r="P4669" s="3" t="s">
        <v>75</v>
      </c>
      <c r="Q4669">
        <v>2016</v>
      </c>
      <c r="R4669" s="2">
        <v>42475</v>
      </c>
      <c r="S4669" s="2">
        <v>42478</v>
      </c>
      <c r="T4669" s="2">
        <v>42475</v>
      </c>
      <c r="U4669" s="2">
        <v>42535</v>
      </c>
      <c r="V4669" t="s">
        <v>71</v>
      </c>
      <c r="W4669" t="str">
        <f>"         FATTPA 4_16"</f>
        <v xml:space="preserve">         FATTPA 4_16</v>
      </c>
      <c r="X4669" s="1">
        <v>1630.88</v>
      </c>
      <c r="Y4669">
        <v>0</v>
      </c>
      <c r="Z4669"/>
      <c r="AB4669"/>
      <c r="AC4669" s="1">
        <v>1630.88</v>
      </c>
      <c r="AD4669">
        <v>-48</v>
      </c>
      <c r="AE4669" s="1">
        <v>-78282.240000000005</v>
      </c>
      <c r="AF4669">
        <v>0</v>
      </c>
      <c r="AJ4669">
        <v>0</v>
      </c>
      <c r="AK4669">
        <v>0</v>
      </c>
      <c r="AL4669">
        <v>0</v>
      </c>
      <c r="AM4669" s="1">
        <v>1630.88</v>
      </c>
      <c r="AN4669" s="1">
        <v>1630.88</v>
      </c>
      <c r="AO4669" s="1">
        <v>1630.88</v>
      </c>
      <c r="AP4669" s="2">
        <v>42746</v>
      </c>
      <c r="AQ4669" t="s">
        <v>72</v>
      </c>
      <c r="AR4669" t="s">
        <v>72</v>
      </c>
      <c r="AS4669">
        <v>1132</v>
      </c>
      <c r="AT4669" s="4">
        <v>42487</v>
      </c>
      <c r="AV4669">
        <v>1132</v>
      </c>
      <c r="AW4669" s="4">
        <v>42487</v>
      </c>
      <c r="BD4669">
        <v>0</v>
      </c>
      <c r="BN4669" t="s">
        <v>74</v>
      </c>
    </row>
    <row r="4670" spans="1:66" hidden="1">
      <c r="A4670">
        <v>101681</v>
      </c>
      <c r="B4670" s="3" t="s">
        <v>493</v>
      </c>
      <c r="C4670" s="1">
        <v>43500101</v>
      </c>
      <c r="D4670" t="s">
        <v>113</v>
      </c>
      <c r="H4670" t="str">
        <f t="shared" si="495"/>
        <v>DLGGVR80T62F839C</v>
      </c>
      <c r="I4670" t="str">
        <f t="shared" si="496"/>
        <v>06617261216</v>
      </c>
      <c r="K4670" t="str">
        <f>""</f>
        <v/>
      </c>
      <c r="M4670" t="s">
        <v>68</v>
      </c>
      <c r="N4670" t="str">
        <f t="shared" si="494"/>
        <v>ALTPRO</v>
      </c>
      <c r="O4670" t="s">
        <v>132</v>
      </c>
      <c r="P4670" s="3" t="s">
        <v>75</v>
      </c>
      <c r="Q4670">
        <v>2016</v>
      </c>
      <c r="R4670" s="2">
        <v>42586</v>
      </c>
      <c r="S4670" s="2">
        <v>42613</v>
      </c>
      <c r="T4670" s="2">
        <v>42613</v>
      </c>
      <c r="U4670" s="2">
        <v>42673</v>
      </c>
      <c r="V4670" t="s">
        <v>71</v>
      </c>
      <c r="W4670" t="str">
        <f>"         FATTPA 6_16"</f>
        <v xml:space="preserve">         FATTPA 6_16</v>
      </c>
      <c r="X4670" s="1">
        <v>1176</v>
      </c>
      <c r="Y4670">
        <v>0</v>
      </c>
      <c r="Z4670"/>
      <c r="AB4670"/>
      <c r="AC4670" s="1">
        <v>1176</v>
      </c>
      <c r="AD4670">
        <v>-55</v>
      </c>
      <c r="AE4670" s="1">
        <v>-64680</v>
      </c>
      <c r="AF4670">
        <v>0</v>
      </c>
      <c r="AJ4670">
        <v>0</v>
      </c>
      <c r="AK4670">
        <v>0</v>
      </c>
      <c r="AL4670">
        <v>0</v>
      </c>
      <c r="AM4670" s="1">
        <v>1176</v>
      </c>
      <c r="AN4670" s="1">
        <v>1176</v>
      </c>
      <c r="AO4670" s="1">
        <v>1176</v>
      </c>
      <c r="AP4670" s="2">
        <v>42746</v>
      </c>
      <c r="AQ4670" t="s">
        <v>72</v>
      </c>
      <c r="AR4670" t="s">
        <v>72</v>
      </c>
      <c r="AS4670">
        <v>2239</v>
      </c>
      <c r="AT4670" s="4">
        <v>42618</v>
      </c>
      <c r="AV4670">
        <v>2239</v>
      </c>
      <c r="AW4670" s="4">
        <v>42618</v>
      </c>
      <c r="BD4670">
        <v>0</v>
      </c>
      <c r="BN4670" t="s">
        <v>74</v>
      </c>
    </row>
    <row r="4671" spans="1:66" hidden="1">
      <c r="A4671">
        <v>101681</v>
      </c>
      <c r="B4671" s="3" t="s">
        <v>493</v>
      </c>
      <c r="C4671" s="1">
        <v>43500101</v>
      </c>
      <c r="D4671" t="s">
        <v>113</v>
      </c>
      <c r="H4671" t="str">
        <f t="shared" si="495"/>
        <v>DLGGVR80T62F839C</v>
      </c>
      <c r="I4671" t="str">
        <f t="shared" si="496"/>
        <v>06617261216</v>
      </c>
      <c r="K4671" t="str">
        <f>""</f>
        <v/>
      </c>
      <c r="M4671" t="s">
        <v>68</v>
      </c>
      <c r="N4671" t="str">
        <f t="shared" si="494"/>
        <v>ALTPRO</v>
      </c>
      <c r="O4671" t="s">
        <v>132</v>
      </c>
      <c r="P4671" s="3" t="s">
        <v>75</v>
      </c>
      <c r="Q4671">
        <v>2016</v>
      </c>
      <c r="R4671" s="2">
        <v>42586</v>
      </c>
      <c r="S4671" s="2">
        <v>42613</v>
      </c>
      <c r="T4671" s="2">
        <v>42613</v>
      </c>
      <c r="U4671" s="2">
        <v>42673</v>
      </c>
      <c r="V4671" t="s">
        <v>71</v>
      </c>
      <c r="W4671" t="str">
        <f>"         FATTPA 7_16"</f>
        <v xml:space="preserve">         FATTPA 7_16</v>
      </c>
      <c r="X4671" s="1">
        <v>1283.47</v>
      </c>
      <c r="Y4671">
        <v>0</v>
      </c>
      <c r="Z4671"/>
      <c r="AB4671"/>
      <c r="AC4671" s="1">
        <v>1283.47</v>
      </c>
      <c r="AD4671">
        <v>-55</v>
      </c>
      <c r="AE4671" s="1">
        <v>-70590.850000000006</v>
      </c>
      <c r="AF4671">
        <v>0</v>
      </c>
      <c r="AJ4671">
        <v>0</v>
      </c>
      <c r="AK4671">
        <v>0</v>
      </c>
      <c r="AL4671">
        <v>0</v>
      </c>
      <c r="AM4671" s="1">
        <v>1283.47</v>
      </c>
      <c r="AN4671" s="1">
        <v>1283.47</v>
      </c>
      <c r="AO4671" s="1">
        <v>1283.47</v>
      </c>
      <c r="AP4671" s="2">
        <v>42746</v>
      </c>
      <c r="AQ4671" t="s">
        <v>72</v>
      </c>
      <c r="AR4671" t="s">
        <v>72</v>
      </c>
      <c r="AS4671">
        <v>2239</v>
      </c>
      <c r="AT4671" s="4">
        <v>42618</v>
      </c>
      <c r="AV4671">
        <v>2239</v>
      </c>
      <c r="AW4671" s="4">
        <v>42618</v>
      </c>
      <c r="BD4671">
        <v>0</v>
      </c>
      <c r="BN4671" t="s">
        <v>74</v>
      </c>
    </row>
    <row r="4672" spans="1:66" hidden="1">
      <c r="A4672">
        <v>101684</v>
      </c>
      <c r="B4672" s="3" t="s">
        <v>494</v>
      </c>
      <c r="C4672" s="1">
        <v>43300101</v>
      </c>
      <c r="D4672" t="s">
        <v>67</v>
      </c>
      <c r="H4672" t="str">
        <f>"05330341214"</f>
        <v>05330341214</v>
      </c>
      <c r="I4672" t="str">
        <f>"05330341214"</f>
        <v>05330341214</v>
      </c>
      <c r="K4672" t="str">
        <f>""</f>
        <v/>
      </c>
      <c r="M4672" t="s">
        <v>68</v>
      </c>
      <c r="N4672" t="str">
        <f>"FOR"</f>
        <v>FOR</v>
      </c>
      <c r="O4672" t="s">
        <v>69</v>
      </c>
      <c r="P4672" s="3" t="s">
        <v>75</v>
      </c>
      <c r="Q4672">
        <v>2016</v>
      </c>
      <c r="R4672" s="2">
        <v>42400</v>
      </c>
      <c r="S4672" s="2">
        <v>42460</v>
      </c>
      <c r="T4672" s="2">
        <v>42446</v>
      </c>
      <c r="U4672" s="2">
        <v>42506</v>
      </c>
      <c r="V4672" t="s">
        <v>71</v>
      </c>
      <c r="W4672" t="str">
        <f>"                1/PA"</f>
        <v xml:space="preserve">                1/PA</v>
      </c>
      <c r="X4672" s="1">
        <v>4977.6000000000004</v>
      </c>
      <c r="Y4672">
        <v>0</v>
      </c>
      <c r="Z4672"/>
      <c r="AB4672"/>
      <c r="AC4672" s="1">
        <v>4080</v>
      </c>
      <c r="AD4672">
        <v>72</v>
      </c>
      <c r="AE4672" s="1">
        <v>293760</v>
      </c>
      <c r="AF4672">
        <v>0</v>
      </c>
      <c r="AJ4672">
        <v>0</v>
      </c>
      <c r="AK4672">
        <v>0</v>
      </c>
      <c r="AL4672">
        <v>0</v>
      </c>
      <c r="AM4672">
        <v>0</v>
      </c>
      <c r="AN4672" s="1">
        <v>4977.6000000000004</v>
      </c>
      <c r="AO4672" s="1">
        <v>4977.6000000000004</v>
      </c>
      <c r="AP4672" s="2">
        <v>42746</v>
      </c>
      <c r="AQ4672" t="s">
        <v>72</v>
      </c>
      <c r="AR4672" t="s">
        <v>72</v>
      </c>
      <c r="AS4672">
        <v>1984</v>
      </c>
      <c r="AT4672" s="4">
        <v>42578</v>
      </c>
      <c r="AU4672" t="s">
        <v>73</v>
      </c>
      <c r="AV4672">
        <v>1984</v>
      </c>
      <c r="AW4672" s="4">
        <v>42578</v>
      </c>
      <c r="BD4672">
        <v>0</v>
      </c>
      <c r="BN4672" t="s">
        <v>74</v>
      </c>
    </row>
    <row r="4673" spans="1:66" hidden="1">
      <c r="A4673">
        <v>101700</v>
      </c>
      <c r="B4673" s="3" t="s">
        <v>495</v>
      </c>
      <c r="C4673" s="1">
        <v>43500101</v>
      </c>
      <c r="D4673" t="s">
        <v>113</v>
      </c>
      <c r="H4673" t="str">
        <f t="shared" ref="H4673:H4682" si="497">"PRRRFL82P13A783D"</f>
        <v>PRRRFL82P13A783D</v>
      </c>
      <c r="I4673" t="str">
        <f t="shared" ref="I4673:I4682" si="498">"01523240628"</f>
        <v>01523240628</v>
      </c>
      <c r="K4673" t="str">
        <f>""</f>
        <v/>
      </c>
      <c r="M4673" t="s">
        <v>68</v>
      </c>
      <c r="N4673" t="str">
        <f t="shared" ref="N4673:N4693" si="499">"ALTPRO"</f>
        <v>ALTPRO</v>
      </c>
      <c r="O4673" t="s">
        <v>132</v>
      </c>
      <c r="P4673" s="3" t="s">
        <v>75</v>
      </c>
      <c r="Q4673">
        <v>2015</v>
      </c>
      <c r="R4673" s="2">
        <v>42359</v>
      </c>
      <c r="S4673" s="2">
        <v>42360</v>
      </c>
      <c r="T4673" s="2">
        <v>42359</v>
      </c>
      <c r="U4673" s="2">
        <v>42419</v>
      </c>
      <c r="V4673" t="s">
        <v>71</v>
      </c>
      <c r="W4673" t="str">
        <f>"     006-2015-PERRAF"</f>
        <v xml:space="preserve">     006-2015-PERRAF</v>
      </c>
      <c r="X4673" s="1">
        <v>2373.94</v>
      </c>
      <c r="Y4673">
        <v>-474.79</v>
      </c>
      <c r="Z4673"/>
      <c r="AB4673"/>
      <c r="AC4673" s="1">
        <v>1899.15</v>
      </c>
      <c r="AD4673">
        <v>-39</v>
      </c>
      <c r="AE4673" s="1">
        <v>-74066.850000000006</v>
      </c>
      <c r="AF4673">
        <v>0</v>
      </c>
      <c r="AJ4673">
        <v>0</v>
      </c>
      <c r="AK4673">
        <v>0</v>
      </c>
      <c r="AL4673">
        <v>0</v>
      </c>
      <c r="AM4673">
        <v>0</v>
      </c>
      <c r="AN4673">
        <v>0</v>
      </c>
      <c r="AO4673">
        <v>0</v>
      </c>
      <c r="AP4673" s="2">
        <v>42746</v>
      </c>
      <c r="AQ4673" t="s">
        <v>72</v>
      </c>
      <c r="AR4673" t="s">
        <v>72</v>
      </c>
      <c r="AS4673">
        <v>4</v>
      </c>
      <c r="AT4673" s="4">
        <v>42380</v>
      </c>
      <c r="AV4673">
        <v>4</v>
      </c>
      <c r="AW4673" s="4">
        <v>42380</v>
      </c>
      <c r="BD4673">
        <v>0</v>
      </c>
      <c r="BN4673" t="s">
        <v>74</v>
      </c>
    </row>
    <row r="4674" spans="1:66" hidden="1">
      <c r="A4674">
        <v>101700</v>
      </c>
      <c r="B4674" s="3" t="s">
        <v>495</v>
      </c>
      <c r="C4674" s="1">
        <v>43500101</v>
      </c>
      <c r="D4674" t="s">
        <v>113</v>
      </c>
      <c r="H4674" t="str">
        <f t="shared" si="497"/>
        <v>PRRRFL82P13A783D</v>
      </c>
      <c r="I4674" t="str">
        <f t="shared" si="498"/>
        <v>01523240628</v>
      </c>
      <c r="K4674" t="str">
        <f>""</f>
        <v/>
      </c>
      <c r="M4674" t="s">
        <v>68</v>
      </c>
      <c r="N4674" t="str">
        <f t="shared" si="499"/>
        <v>ALTPRO</v>
      </c>
      <c r="O4674" t="s">
        <v>132</v>
      </c>
      <c r="P4674" s="3" t="s">
        <v>75</v>
      </c>
      <c r="Q4674">
        <v>2015</v>
      </c>
      <c r="R4674" s="2">
        <v>42366</v>
      </c>
      <c r="S4674" s="2">
        <v>42369</v>
      </c>
      <c r="T4674" s="2">
        <v>42366</v>
      </c>
      <c r="U4674" s="2">
        <v>42426</v>
      </c>
      <c r="V4674" t="s">
        <v>71</v>
      </c>
      <c r="W4674" t="str">
        <f>"     007-2015-PERRAF"</f>
        <v xml:space="preserve">     007-2015-PERRAF</v>
      </c>
      <c r="X4674">
        <v>378.58</v>
      </c>
      <c r="Y4674">
        <v>-75.72</v>
      </c>
      <c r="Z4674"/>
      <c r="AB4674"/>
      <c r="AC4674">
        <v>302.86</v>
      </c>
      <c r="AD4674">
        <v>-29</v>
      </c>
      <c r="AE4674" s="1">
        <v>-8782.94</v>
      </c>
      <c r="AF4674">
        <v>0</v>
      </c>
      <c r="AJ4674">
        <v>0</v>
      </c>
      <c r="AK4674">
        <v>0</v>
      </c>
      <c r="AL4674">
        <v>0</v>
      </c>
      <c r="AM4674">
        <v>0</v>
      </c>
      <c r="AN4674">
        <v>0</v>
      </c>
      <c r="AO4674">
        <v>0</v>
      </c>
      <c r="AP4674" s="2">
        <v>42746</v>
      </c>
      <c r="AQ4674" t="s">
        <v>72</v>
      </c>
      <c r="AR4674" t="s">
        <v>72</v>
      </c>
      <c r="AS4674">
        <v>124</v>
      </c>
      <c r="AT4674" s="4">
        <v>42397</v>
      </c>
      <c r="AV4674">
        <v>124</v>
      </c>
      <c r="AW4674" s="4">
        <v>42397</v>
      </c>
      <c r="BD4674">
        <v>0</v>
      </c>
      <c r="BN4674" t="s">
        <v>74</v>
      </c>
    </row>
    <row r="4675" spans="1:66" hidden="1">
      <c r="A4675">
        <v>101700</v>
      </c>
      <c r="B4675" s="3" t="s">
        <v>495</v>
      </c>
      <c r="C4675" s="1">
        <v>43500101</v>
      </c>
      <c r="D4675" t="s">
        <v>113</v>
      </c>
      <c r="H4675" t="str">
        <f t="shared" si="497"/>
        <v>PRRRFL82P13A783D</v>
      </c>
      <c r="I4675" t="str">
        <f t="shared" si="498"/>
        <v>01523240628</v>
      </c>
      <c r="K4675" t="str">
        <f>""</f>
        <v/>
      </c>
      <c r="M4675" t="s">
        <v>68</v>
      </c>
      <c r="N4675" t="str">
        <f t="shared" si="499"/>
        <v>ALTPRO</v>
      </c>
      <c r="O4675" t="s">
        <v>132</v>
      </c>
      <c r="P4675" s="3" t="s">
        <v>75</v>
      </c>
      <c r="Q4675">
        <v>2016</v>
      </c>
      <c r="R4675" s="2">
        <v>42388</v>
      </c>
      <c r="S4675" s="2">
        <v>42389</v>
      </c>
      <c r="T4675" s="2">
        <v>42388</v>
      </c>
      <c r="U4675" s="2">
        <v>42448</v>
      </c>
      <c r="V4675" t="s">
        <v>71</v>
      </c>
      <c r="W4675" t="str">
        <f>"     001-2016-PERRAF"</f>
        <v xml:space="preserve">     001-2016-PERRAF</v>
      </c>
      <c r="X4675" s="1">
        <v>1999.21</v>
      </c>
      <c r="Y4675">
        <v>-399.84</v>
      </c>
      <c r="Z4675"/>
      <c r="AB4675"/>
      <c r="AC4675" s="1">
        <v>1599.37</v>
      </c>
      <c r="AD4675">
        <v>-51</v>
      </c>
      <c r="AE4675" s="1">
        <v>-81567.87</v>
      </c>
      <c r="AF4675">
        <v>0</v>
      </c>
      <c r="AJ4675">
        <v>0</v>
      </c>
      <c r="AK4675">
        <v>0</v>
      </c>
      <c r="AL4675">
        <v>0</v>
      </c>
      <c r="AM4675">
        <v>-399.84</v>
      </c>
      <c r="AN4675" s="1">
        <v>1599.37</v>
      </c>
      <c r="AO4675" s="1">
        <v>1599.37</v>
      </c>
      <c r="AP4675" s="2">
        <v>42746</v>
      </c>
      <c r="AQ4675" t="s">
        <v>72</v>
      </c>
      <c r="AR4675" t="s">
        <v>72</v>
      </c>
      <c r="AS4675">
        <v>157</v>
      </c>
      <c r="AT4675" s="4">
        <v>42397</v>
      </c>
      <c r="AV4675">
        <v>157</v>
      </c>
      <c r="AW4675" s="4">
        <v>42397</v>
      </c>
      <c r="BD4675">
        <v>0</v>
      </c>
      <c r="BN4675" t="s">
        <v>74</v>
      </c>
    </row>
    <row r="4676" spans="1:66" hidden="1">
      <c r="A4676">
        <v>101700</v>
      </c>
      <c r="B4676" s="3" t="s">
        <v>495</v>
      </c>
      <c r="C4676" s="1">
        <v>43500101</v>
      </c>
      <c r="D4676" t="s">
        <v>113</v>
      </c>
      <c r="H4676" t="str">
        <f t="shared" si="497"/>
        <v>PRRRFL82P13A783D</v>
      </c>
      <c r="I4676" t="str">
        <f t="shared" si="498"/>
        <v>01523240628</v>
      </c>
      <c r="K4676" t="str">
        <f>""</f>
        <v/>
      </c>
      <c r="M4676" t="s">
        <v>68</v>
      </c>
      <c r="N4676" t="str">
        <f t="shared" si="499"/>
        <v>ALTPRO</v>
      </c>
      <c r="O4676" t="s">
        <v>132</v>
      </c>
      <c r="P4676" s="3" t="s">
        <v>75</v>
      </c>
      <c r="Q4676">
        <v>2016</v>
      </c>
      <c r="R4676" s="2">
        <v>42438</v>
      </c>
      <c r="S4676" s="2">
        <v>42438</v>
      </c>
      <c r="T4676" s="2">
        <v>42438</v>
      </c>
      <c r="U4676" s="2">
        <v>42498</v>
      </c>
      <c r="V4676" t="s">
        <v>71</v>
      </c>
      <c r="W4676" t="str">
        <f>"     002-2016-PERRAF"</f>
        <v xml:space="preserve">     002-2016-PERRAF</v>
      </c>
      <c r="X4676" s="1">
        <v>5001.8</v>
      </c>
      <c r="Y4676" s="1">
        <v>-1000.36</v>
      </c>
      <c r="Z4676"/>
      <c r="AB4676"/>
      <c r="AC4676" s="1">
        <v>4001.44</v>
      </c>
      <c r="AD4676">
        <v>-47</v>
      </c>
      <c r="AE4676" s="1">
        <v>-188067.68</v>
      </c>
      <c r="AF4676">
        <v>0</v>
      </c>
      <c r="AJ4676">
        <v>0</v>
      </c>
      <c r="AK4676">
        <v>0</v>
      </c>
      <c r="AL4676">
        <v>0</v>
      </c>
      <c r="AM4676" s="1">
        <v>4001.44</v>
      </c>
      <c r="AN4676" s="1">
        <v>4001.44</v>
      </c>
      <c r="AO4676" s="1">
        <v>4001.44</v>
      </c>
      <c r="AP4676" s="2">
        <v>42746</v>
      </c>
      <c r="AQ4676" t="s">
        <v>72</v>
      </c>
      <c r="AR4676" t="s">
        <v>72</v>
      </c>
      <c r="AS4676">
        <v>711</v>
      </c>
      <c r="AT4676" s="4">
        <v>42451</v>
      </c>
      <c r="AV4676">
        <v>711</v>
      </c>
      <c r="AW4676" s="4">
        <v>42451</v>
      </c>
      <c r="BD4676">
        <v>0</v>
      </c>
      <c r="BN4676" t="s">
        <v>74</v>
      </c>
    </row>
    <row r="4677" spans="1:66" hidden="1">
      <c r="A4677">
        <v>101700</v>
      </c>
      <c r="B4677" s="3" t="s">
        <v>495</v>
      </c>
      <c r="C4677" s="1">
        <v>43500101</v>
      </c>
      <c r="D4677" t="s">
        <v>113</v>
      </c>
      <c r="H4677" t="str">
        <f t="shared" si="497"/>
        <v>PRRRFL82P13A783D</v>
      </c>
      <c r="I4677" t="str">
        <f t="shared" si="498"/>
        <v>01523240628</v>
      </c>
      <c r="K4677" t="str">
        <f>""</f>
        <v/>
      </c>
      <c r="M4677" t="s">
        <v>68</v>
      </c>
      <c r="N4677" t="str">
        <f t="shared" si="499"/>
        <v>ALTPRO</v>
      </c>
      <c r="O4677" t="s">
        <v>132</v>
      </c>
      <c r="P4677" s="3" t="s">
        <v>75</v>
      </c>
      <c r="Q4677">
        <v>2016</v>
      </c>
      <c r="R4677" s="2">
        <v>42471</v>
      </c>
      <c r="S4677" s="2">
        <v>42475</v>
      </c>
      <c r="T4677" s="2">
        <v>42473</v>
      </c>
      <c r="U4677" s="2">
        <v>42533</v>
      </c>
      <c r="V4677" t="s">
        <v>71</v>
      </c>
      <c r="W4677" t="str">
        <f>"  000003-2016-PERRAF"</f>
        <v xml:space="preserve">  000003-2016-PERRAF</v>
      </c>
      <c r="X4677" s="1">
        <v>2527.48</v>
      </c>
      <c r="Y4677">
        <v>-505.1</v>
      </c>
      <c r="Z4677"/>
      <c r="AB4677"/>
      <c r="AC4677" s="1">
        <v>2022.38</v>
      </c>
      <c r="AD4677">
        <v>-46</v>
      </c>
      <c r="AE4677" s="1">
        <v>-93029.48</v>
      </c>
      <c r="AF4677">
        <v>0</v>
      </c>
      <c r="AJ4677">
        <v>0</v>
      </c>
      <c r="AK4677">
        <v>0</v>
      </c>
      <c r="AL4677">
        <v>0</v>
      </c>
      <c r="AM4677" s="1">
        <v>2022.38</v>
      </c>
      <c r="AN4677" s="1">
        <v>2022.38</v>
      </c>
      <c r="AO4677" s="1">
        <v>2022.38</v>
      </c>
      <c r="AP4677" s="2">
        <v>42746</v>
      </c>
      <c r="AQ4677" t="s">
        <v>72</v>
      </c>
      <c r="AR4677" t="s">
        <v>72</v>
      </c>
      <c r="AS4677">
        <v>1135</v>
      </c>
      <c r="AT4677" s="4">
        <v>42487</v>
      </c>
      <c r="AV4677">
        <v>1135</v>
      </c>
      <c r="AW4677" s="4">
        <v>42487</v>
      </c>
      <c r="BD4677">
        <v>0</v>
      </c>
      <c r="BN4677" t="s">
        <v>74</v>
      </c>
    </row>
    <row r="4678" spans="1:66" hidden="1">
      <c r="A4678">
        <v>101700</v>
      </c>
      <c r="B4678" s="3" t="s">
        <v>495</v>
      </c>
      <c r="C4678" s="1">
        <v>43500101</v>
      </c>
      <c r="D4678" t="s">
        <v>113</v>
      </c>
      <c r="H4678" t="str">
        <f t="shared" si="497"/>
        <v>PRRRFL82P13A783D</v>
      </c>
      <c r="I4678" t="str">
        <f t="shared" si="498"/>
        <v>01523240628</v>
      </c>
      <c r="K4678" t="str">
        <f>""</f>
        <v/>
      </c>
      <c r="M4678" t="s">
        <v>68</v>
      </c>
      <c r="N4678" t="str">
        <f t="shared" si="499"/>
        <v>ALTPRO</v>
      </c>
      <c r="O4678" t="s">
        <v>132</v>
      </c>
      <c r="P4678" s="3" t="s">
        <v>75</v>
      </c>
      <c r="Q4678">
        <v>2016</v>
      </c>
      <c r="R4678" s="2">
        <v>42502</v>
      </c>
      <c r="S4678" s="2">
        <v>42507</v>
      </c>
      <c r="T4678" s="2">
        <v>42502</v>
      </c>
      <c r="U4678" s="2">
        <v>42562</v>
      </c>
      <c r="V4678" t="s">
        <v>71</v>
      </c>
      <c r="W4678" t="str">
        <f>"  000004-2016-PERRAF"</f>
        <v xml:space="preserve">  000004-2016-PERRAF</v>
      </c>
      <c r="X4678" s="1">
        <v>2044.23</v>
      </c>
      <c r="Y4678">
        <v>-408.45</v>
      </c>
      <c r="Z4678"/>
      <c r="AB4678"/>
      <c r="AC4678" s="1">
        <v>1635.78</v>
      </c>
      <c r="AD4678">
        <v>-46</v>
      </c>
      <c r="AE4678" s="1">
        <v>-75245.88</v>
      </c>
      <c r="AF4678">
        <v>0</v>
      </c>
      <c r="AJ4678">
        <v>0</v>
      </c>
      <c r="AK4678">
        <v>0</v>
      </c>
      <c r="AL4678">
        <v>0</v>
      </c>
      <c r="AM4678" s="1">
        <v>1635.78</v>
      </c>
      <c r="AN4678" s="1">
        <v>1635.78</v>
      </c>
      <c r="AO4678" s="1">
        <v>1635.78</v>
      </c>
      <c r="AP4678" s="2">
        <v>42746</v>
      </c>
      <c r="AQ4678" t="s">
        <v>72</v>
      </c>
      <c r="AR4678" t="s">
        <v>72</v>
      </c>
      <c r="AS4678">
        <v>1368</v>
      </c>
      <c r="AT4678" s="4">
        <v>42516</v>
      </c>
      <c r="AV4678">
        <v>1368</v>
      </c>
      <c r="AW4678" s="4">
        <v>42516</v>
      </c>
      <c r="BD4678">
        <v>0</v>
      </c>
      <c r="BN4678" t="s">
        <v>74</v>
      </c>
    </row>
    <row r="4679" spans="1:66" hidden="1">
      <c r="A4679">
        <v>101700</v>
      </c>
      <c r="B4679" s="3" t="s">
        <v>495</v>
      </c>
      <c r="C4679" s="1">
        <v>43500101</v>
      </c>
      <c r="D4679" t="s">
        <v>113</v>
      </c>
      <c r="H4679" t="str">
        <f t="shared" si="497"/>
        <v>PRRRFL82P13A783D</v>
      </c>
      <c r="I4679" t="str">
        <f t="shared" si="498"/>
        <v>01523240628</v>
      </c>
      <c r="K4679" t="str">
        <f>""</f>
        <v/>
      </c>
      <c r="M4679" t="s">
        <v>68</v>
      </c>
      <c r="N4679" t="str">
        <f t="shared" si="499"/>
        <v>ALTPRO</v>
      </c>
      <c r="O4679" t="s">
        <v>132</v>
      </c>
      <c r="P4679" s="3" t="s">
        <v>75</v>
      </c>
      <c r="Q4679">
        <v>2016</v>
      </c>
      <c r="R4679" s="2">
        <v>42556</v>
      </c>
      <c r="S4679" s="2">
        <v>42556</v>
      </c>
      <c r="T4679" s="2">
        <v>42556</v>
      </c>
      <c r="U4679" s="2">
        <v>42616</v>
      </c>
      <c r="V4679" t="s">
        <v>71</v>
      </c>
      <c r="W4679" t="str">
        <f>"  000005-2016-PERRAF"</f>
        <v xml:space="preserve">  000005-2016-PERRAF</v>
      </c>
      <c r="X4679" s="1">
        <v>4907.68</v>
      </c>
      <c r="Y4679">
        <v>-981.14</v>
      </c>
      <c r="Z4679"/>
      <c r="AB4679"/>
      <c r="AC4679" s="1">
        <v>3926.54</v>
      </c>
      <c r="AD4679">
        <v>-50</v>
      </c>
      <c r="AE4679" s="1">
        <v>-196327</v>
      </c>
      <c r="AF4679">
        <v>0</v>
      </c>
      <c r="AJ4679">
        <v>0</v>
      </c>
      <c r="AK4679">
        <v>0</v>
      </c>
      <c r="AL4679">
        <v>0</v>
      </c>
      <c r="AM4679" s="1">
        <v>3926.54</v>
      </c>
      <c r="AN4679" s="1">
        <v>3926.54</v>
      </c>
      <c r="AO4679" s="1">
        <v>3926.54</v>
      </c>
      <c r="AP4679" s="2">
        <v>42746</v>
      </c>
      <c r="AQ4679" t="s">
        <v>72</v>
      </c>
      <c r="AR4679" t="s">
        <v>72</v>
      </c>
      <c r="AS4679">
        <v>1787</v>
      </c>
      <c r="AT4679" s="4">
        <v>42566</v>
      </c>
      <c r="AV4679">
        <v>1787</v>
      </c>
      <c r="AW4679" s="4">
        <v>42566</v>
      </c>
      <c r="BD4679">
        <v>0</v>
      </c>
      <c r="BN4679" t="s">
        <v>74</v>
      </c>
    </row>
    <row r="4680" spans="1:66" hidden="1">
      <c r="A4680">
        <v>101700</v>
      </c>
      <c r="B4680" s="3" t="s">
        <v>495</v>
      </c>
      <c r="C4680" s="1">
        <v>43500101</v>
      </c>
      <c r="D4680" t="s">
        <v>113</v>
      </c>
      <c r="H4680" t="str">
        <f t="shared" si="497"/>
        <v>PRRRFL82P13A783D</v>
      </c>
      <c r="I4680" t="str">
        <f t="shared" si="498"/>
        <v>01523240628</v>
      </c>
      <c r="K4680" t="str">
        <f>""</f>
        <v/>
      </c>
      <c r="M4680" t="s">
        <v>68</v>
      </c>
      <c r="N4680" t="str">
        <f t="shared" si="499"/>
        <v>ALTPRO</v>
      </c>
      <c r="O4680" t="s">
        <v>132</v>
      </c>
      <c r="P4680" s="3" t="s">
        <v>75</v>
      </c>
      <c r="Q4680">
        <v>2016</v>
      </c>
      <c r="R4680" s="2">
        <v>42584</v>
      </c>
      <c r="S4680" s="2">
        <v>42587</v>
      </c>
      <c r="T4680" s="2">
        <v>42587</v>
      </c>
      <c r="U4680" s="2">
        <v>42647</v>
      </c>
      <c r="V4680" t="s">
        <v>71</v>
      </c>
      <c r="W4680" t="str">
        <f>"  000008-2016-PERRAF"</f>
        <v xml:space="preserve">  000008-2016-PERRAF</v>
      </c>
      <c r="X4680" s="1">
        <v>2109.1999999999998</v>
      </c>
      <c r="Y4680">
        <v>-421.44</v>
      </c>
      <c r="Z4680"/>
      <c r="AB4680"/>
      <c r="AC4680" s="1">
        <v>1687.76</v>
      </c>
      <c r="AD4680">
        <v>-29</v>
      </c>
      <c r="AE4680" s="1">
        <v>-48945.04</v>
      </c>
      <c r="AF4680">
        <v>0</v>
      </c>
      <c r="AJ4680">
        <v>0</v>
      </c>
      <c r="AK4680">
        <v>0</v>
      </c>
      <c r="AL4680">
        <v>0</v>
      </c>
      <c r="AM4680" s="1">
        <v>1687.76</v>
      </c>
      <c r="AN4680" s="1">
        <v>1687.76</v>
      </c>
      <c r="AO4680" s="1">
        <v>1687.76</v>
      </c>
      <c r="AP4680" s="2">
        <v>42746</v>
      </c>
      <c r="AQ4680" t="s">
        <v>72</v>
      </c>
      <c r="AR4680" t="s">
        <v>72</v>
      </c>
      <c r="AS4680">
        <v>2246</v>
      </c>
      <c r="AT4680" s="4">
        <v>42618</v>
      </c>
      <c r="AV4680">
        <v>2246</v>
      </c>
      <c r="AW4680" s="4">
        <v>42618</v>
      </c>
      <c r="BD4680">
        <v>0</v>
      </c>
      <c r="BN4680" t="s">
        <v>74</v>
      </c>
    </row>
    <row r="4681" spans="1:66">
      <c r="A4681">
        <v>101700</v>
      </c>
      <c r="B4681" s="3" t="s">
        <v>495</v>
      </c>
      <c r="C4681" s="1">
        <v>43500101</v>
      </c>
      <c r="D4681" t="s">
        <v>113</v>
      </c>
      <c r="H4681" t="str">
        <f t="shared" si="497"/>
        <v>PRRRFL82P13A783D</v>
      </c>
      <c r="I4681" t="str">
        <f t="shared" si="498"/>
        <v>01523240628</v>
      </c>
      <c r="K4681" t="str">
        <f>""</f>
        <v/>
      </c>
      <c r="M4681" t="s">
        <v>68</v>
      </c>
      <c r="N4681" t="str">
        <f t="shared" si="499"/>
        <v>ALTPRO</v>
      </c>
      <c r="O4681" t="s">
        <v>132</v>
      </c>
      <c r="P4681" s="3" t="s">
        <v>75</v>
      </c>
      <c r="Q4681">
        <v>2016</v>
      </c>
      <c r="R4681" s="2">
        <v>42627</v>
      </c>
      <c r="S4681" s="2">
        <v>42627</v>
      </c>
      <c r="T4681" s="2">
        <v>42627</v>
      </c>
      <c r="U4681" s="2">
        <v>42687</v>
      </c>
      <c r="V4681" t="s">
        <v>71</v>
      </c>
      <c r="W4681" t="str">
        <f>"  000009-2016-PERRAF"</f>
        <v xml:space="preserve">  000009-2016-PERRAF</v>
      </c>
      <c r="X4681" s="1">
        <v>1713.05</v>
      </c>
      <c r="Y4681">
        <v>-342.21</v>
      </c>
      <c r="Z4681" s="5">
        <v>1370.84</v>
      </c>
      <c r="AA4681">
        <v>-41</v>
      </c>
      <c r="AB4681" s="5">
        <v>-56204.44</v>
      </c>
      <c r="AC4681" s="1">
        <v>1370.84</v>
      </c>
      <c r="AD4681">
        <v>-41</v>
      </c>
      <c r="AE4681" s="1">
        <v>-56204.44</v>
      </c>
      <c r="AF4681">
        <v>0</v>
      </c>
      <c r="AJ4681">
        <v>0</v>
      </c>
      <c r="AK4681">
        <v>0</v>
      </c>
      <c r="AL4681">
        <v>0</v>
      </c>
      <c r="AM4681" s="1">
        <v>1370.84</v>
      </c>
      <c r="AN4681" s="1">
        <v>1370.84</v>
      </c>
      <c r="AO4681" s="1">
        <v>1370.84</v>
      </c>
      <c r="AP4681" s="2">
        <v>42746</v>
      </c>
      <c r="AQ4681" t="s">
        <v>72</v>
      </c>
      <c r="AR4681" t="s">
        <v>72</v>
      </c>
      <c r="AS4681">
        <v>2506</v>
      </c>
      <c r="AT4681" s="4">
        <v>42646</v>
      </c>
      <c r="AV4681">
        <v>2506</v>
      </c>
      <c r="AW4681" s="4">
        <v>42646</v>
      </c>
      <c r="BD4681">
        <v>0</v>
      </c>
      <c r="BN4681" t="s">
        <v>74</v>
      </c>
    </row>
    <row r="4682" spans="1:66">
      <c r="A4682">
        <v>101700</v>
      </c>
      <c r="B4682" s="3" t="s">
        <v>495</v>
      </c>
      <c r="C4682" s="1">
        <v>43500101</v>
      </c>
      <c r="D4682" t="s">
        <v>113</v>
      </c>
      <c r="H4682" t="str">
        <f t="shared" si="497"/>
        <v>PRRRFL82P13A783D</v>
      </c>
      <c r="I4682" t="str">
        <f t="shared" si="498"/>
        <v>01523240628</v>
      </c>
      <c r="K4682" t="str">
        <f>""</f>
        <v/>
      </c>
      <c r="M4682" t="s">
        <v>68</v>
      </c>
      <c r="N4682" t="str">
        <f t="shared" si="499"/>
        <v>ALTPRO</v>
      </c>
      <c r="O4682" t="s">
        <v>132</v>
      </c>
      <c r="P4682" s="3" t="s">
        <v>75</v>
      </c>
      <c r="Q4682">
        <v>2016</v>
      </c>
      <c r="R4682" s="2">
        <v>42684</v>
      </c>
      <c r="S4682" s="2">
        <v>42684</v>
      </c>
      <c r="T4682" s="2">
        <v>42684</v>
      </c>
      <c r="U4682" s="2">
        <v>42744</v>
      </c>
      <c r="V4682" t="s">
        <v>71</v>
      </c>
      <c r="W4682" t="str">
        <f>"  000012-2016-PERRAF"</f>
        <v xml:space="preserve">  000012-2016-PERRAF</v>
      </c>
      <c r="X4682" s="1">
        <v>4818.29</v>
      </c>
      <c r="Y4682">
        <v>-963.66</v>
      </c>
      <c r="Z4682" s="5">
        <v>3854.63</v>
      </c>
      <c r="AA4682">
        <v>-55</v>
      </c>
      <c r="AB4682" s="5">
        <v>-212004.65</v>
      </c>
      <c r="AC4682" s="1">
        <v>3854.63</v>
      </c>
      <c r="AD4682">
        <v>-55</v>
      </c>
      <c r="AE4682" s="1">
        <v>-212004.65</v>
      </c>
      <c r="AF4682">
        <v>0</v>
      </c>
      <c r="AJ4682">
        <v>-963.66</v>
      </c>
      <c r="AK4682" s="1">
        <v>3854.63</v>
      </c>
      <c r="AL4682" s="1">
        <v>3854.63</v>
      </c>
      <c r="AM4682" s="1">
        <v>3854.63</v>
      </c>
      <c r="AN4682" s="1">
        <v>3854.63</v>
      </c>
      <c r="AO4682" s="1">
        <v>3854.63</v>
      </c>
      <c r="AP4682" s="2">
        <v>42746</v>
      </c>
      <c r="AQ4682" t="s">
        <v>72</v>
      </c>
      <c r="AR4682" t="s">
        <v>72</v>
      </c>
      <c r="AS4682">
        <v>3108</v>
      </c>
      <c r="AT4682" s="4">
        <v>42689</v>
      </c>
      <c r="AV4682">
        <v>3108</v>
      </c>
      <c r="AW4682" s="4">
        <v>42689</v>
      </c>
      <c r="BD4682">
        <v>0</v>
      </c>
      <c r="BN4682" t="s">
        <v>74</v>
      </c>
    </row>
    <row r="4683" spans="1:66" hidden="1">
      <c r="A4683">
        <v>101701</v>
      </c>
      <c r="B4683" s="3" t="s">
        <v>496</v>
      </c>
      <c r="C4683" s="1">
        <v>43500101</v>
      </c>
      <c r="D4683" t="s">
        <v>113</v>
      </c>
      <c r="H4683" t="str">
        <f t="shared" ref="H4683:H4693" si="500">"PRCVCN79D42A783I"</f>
        <v>PRCVCN79D42A783I</v>
      </c>
      <c r="I4683" t="str">
        <f t="shared" ref="I4683:I4693" si="501">"01509880629"</f>
        <v>01509880629</v>
      </c>
      <c r="K4683" t="str">
        <f>""</f>
        <v/>
      </c>
      <c r="M4683" t="s">
        <v>68</v>
      </c>
      <c r="N4683" t="str">
        <f t="shared" si="499"/>
        <v>ALTPRO</v>
      </c>
      <c r="O4683" t="s">
        <v>132</v>
      </c>
      <c r="P4683" s="3" t="s">
        <v>146</v>
      </c>
      <c r="Q4683">
        <v>2016</v>
      </c>
      <c r="R4683" s="2">
        <v>42388</v>
      </c>
      <c r="S4683" s="2">
        <v>42388</v>
      </c>
      <c r="T4683" s="2">
        <v>42388</v>
      </c>
      <c r="U4683" s="2">
        <v>42448</v>
      </c>
      <c r="V4683" t="s">
        <v>71</v>
      </c>
      <c r="W4683" t="str">
        <f>"         FATTPA 1_16"</f>
        <v xml:space="preserve">         FATTPA 1_16</v>
      </c>
      <c r="X4683" s="1">
        <v>2530.64</v>
      </c>
      <c r="Y4683">
        <v>-505.73</v>
      </c>
      <c r="Z4683"/>
      <c r="AB4683"/>
      <c r="AC4683" s="1">
        <v>2024.91</v>
      </c>
      <c r="AD4683">
        <v>-51</v>
      </c>
      <c r="AE4683" s="1">
        <v>-103270.41</v>
      </c>
      <c r="AF4683">
        <v>0</v>
      </c>
      <c r="AJ4683">
        <v>0</v>
      </c>
      <c r="AK4683">
        <v>0</v>
      </c>
      <c r="AL4683">
        <v>0</v>
      </c>
      <c r="AM4683">
        <v>-505.73</v>
      </c>
      <c r="AN4683" s="1">
        <v>2024.91</v>
      </c>
      <c r="AO4683" s="1">
        <v>2024.91</v>
      </c>
      <c r="AP4683" s="2">
        <v>42746</v>
      </c>
      <c r="AQ4683" t="s">
        <v>72</v>
      </c>
      <c r="AR4683" t="s">
        <v>72</v>
      </c>
      <c r="AS4683">
        <v>158</v>
      </c>
      <c r="AT4683" s="4">
        <v>42397</v>
      </c>
      <c r="AV4683">
        <v>158</v>
      </c>
      <c r="AW4683" s="4">
        <v>42397</v>
      </c>
      <c r="BD4683">
        <v>0</v>
      </c>
      <c r="BN4683" t="s">
        <v>74</v>
      </c>
    </row>
    <row r="4684" spans="1:66" hidden="1">
      <c r="A4684">
        <v>101701</v>
      </c>
      <c r="B4684" s="3" t="s">
        <v>496</v>
      </c>
      <c r="C4684" s="1">
        <v>43500101</v>
      </c>
      <c r="D4684" t="s">
        <v>113</v>
      </c>
      <c r="H4684" t="str">
        <f t="shared" si="500"/>
        <v>PRCVCN79D42A783I</v>
      </c>
      <c r="I4684" t="str">
        <f t="shared" si="501"/>
        <v>01509880629</v>
      </c>
      <c r="K4684" t="str">
        <f>""</f>
        <v/>
      </c>
      <c r="M4684" t="s">
        <v>68</v>
      </c>
      <c r="N4684" t="str">
        <f t="shared" si="499"/>
        <v>ALTPRO</v>
      </c>
      <c r="O4684" t="s">
        <v>132</v>
      </c>
      <c r="P4684" s="3" t="s">
        <v>75</v>
      </c>
      <c r="Q4684">
        <v>2016</v>
      </c>
      <c r="R4684" s="2">
        <v>42404</v>
      </c>
      <c r="S4684" s="2">
        <v>42405</v>
      </c>
      <c r="T4684" s="2">
        <v>42404</v>
      </c>
      <c r="U4684" s="2">
        <v>42464</v>
      </c>
      <c r="V4684" t="s">
        <v>71</v>
      </c>
      <c r="W4684" t="str">
        <f>"         FATTPA 2_16"</f>
        <v xml:space="preserve">         FATTPA 2_16</v>
      </c>
      <c r="X4684" s="1">
        <v>2530.64</v>
      </c>
      <c r="Y4684">
        <v>-505.73</v>
      </c>
      <c r="Z4684"/>
      <c r="AB4684"/>
      <c r="AC4684" s="1">
        <v>2024.91</v>
      </c>
      <c r="AD4684">
        <v>-38</v>
      </c>
      <c r="AE4684" s="1">
        <v>-76946.58</v>
      </c>
      <c r="AF4684">
        <v>0</v>
      </c>
      <c r="AJ4684">
        <v>0</v>
      </c>
      <c r="AK4684">
        <v>0</v>
      </c>
      <c r="AL4684">
        <v>0</v>
      </c>
      <c r="AM4684" s="1">
        <v>2024.91</v>
      </c>
      <c r="AN4684" s="1">
        <v>2024.91</v>
      </c>
      <c r="AO4684" s="1">
        <v>2024.91</v>
      </c>
      <c r="AP4684" s="2">
        <v>42746</v>
      </c>
      <c r="AQ4684" t="s">
        <v>72</v>
      </c>
      <c r="AR4684" t="s">
        <v>72</v>
      </c>
      <c r="AS4684">
        <v>574</v>
      </c>
      <c r="AT4684" s="4">
        <v>42426</v>
      </c>
      <c r="AV4684">
        <v>574</v>
      </c>
      <c r="AW4684" s="4">
        <v>42426</v>
      </c>
      <c r="BD4684">
        <v>0</v>
      </c>
      <c r="BN4684" t="s">
        <v>74</v>
      </c>
    </row>
    <row r="4685" spans="1:66" hidden="1">
      <c r="A4685">
        <v>101701</v>
      </c>
      <c r="B4685" s="3" t="s">
        <v>496</v>
      </c>
      <c r="C4685" s="1">
        <v>43500101</v>
      </c>
      <c r="D4685" t="s">
        <v>113</v>
      </c>
      <c r="H4685" t="str">
        <f t="shared" si="500"/>
        <v>PRCVCN79D42A783I</v>
      </c>
      <c r="I4685" t="str">
        <f t="shared" si="501"/>
        <v>01509880629</v>
      </c>
      <c r="K4685" t="str">
        <f>""</f>
        <v/>
      </c>
      <c r="M4685" t="s">
        <v>68</v>
      </c>
      <c r="N4685" t="str">
        <f t="shared" si="499"/>
        <v>ALTPRO</v>
      </c>
      <c r="O4685" t="s">
        <v>132</v>
      </c>
      <c r="P4685" s="3" t="s">
        <v>75</v>
      </c>
      <c r="Q4685">
        <v>2016</v>
      </c>
      <c r="R4685" s="2">
        <v>42450</v>
      </c>
      <c r="S4685" s="2">
        <v>42460</v>
      </c>
      <c r="T4685" s="2">
        <v>42450</v>
      </c>
      <c r="U4685" s="2">
        <v>42510</v>
      </c>
      <c r="V4685" t="s">
        <v>71</v>
      </c>
      <c r="W4685" t="str">
        <f>"         FATTPA 3_16"</f>
        <v xml:space="preserve">         FATTPA 3_16</v>
      </c>
      <c r="X4685" s="1">
        <v>2545.04</v>
      </c>
      <c r="Y4685">
        <v>-508.61</v>
      </c>
      <c r="Z4685"/>
      <c r="AB4685"/>
      <c r="AC4685" s="1">
        <v>2036.43</v>
      </c>
      <c r="AD4685">
        <v>-23</v>
      </c>
      <c r="AE4685" s="1">
        <v>-46837.89</v>
      </c>
      <c r="AF4685">
        <v>0</v>
      </c>
      <c r="AJ4685">
        <v>0</v>
      </c>
      <c r="AK4685">
        <v>0</v>
      </c>
      <c r="AL4685">
        <v>0</v>
      </c>
      <c r="AM4685" s="1">
        <v>2036.43</v>
      </c>
      <c r="AN4685" s="1">
        <v>2036.43</v>
      </c>
      <c r="AO4685" s="1">
        <v>2036.43</v>
      </c>
      <c r="AP4685" s="2">
        <v>42746</v>
      </c>
      <c r="AQ4685" t="s">
        <v>72</v>
      </c>
      <c r="AR4685" t="s">
        <v>72</v>
      </c>
      <c r="AS4685">
        <v>1130</v>
      </c>
      <c r="AT4685" s="4">
        <v>42487</v>
      </c>
      <c r="AV4685">
        <v>1130</v>
      </c>
      <c r="AW4685" s="4">
        <v>42487</v>
      </c>
      <c r="BD4685">
        <v>0</v>
      </c>
      <c r="BN4685" t="s">
        <v>74</v>
      </c>
    </row>
    <row r="4686" spans="1:66" hidden="1">
      <c r="A4686">
        <v>101701</v>
      </c>
      <c r="B4686" s="3" t="s">
        <v>496</v>
      </c>
      <c r="C4686" s="1">
        <v>43500101</v>
      </c>
      <c r="D4686" t="s">
        <v>113</v>
      </c>
      <c r="H4686" t="str">
        <f t="shared" si="500"/>
        <v>PRCVCN79D42A783I</v>
      </c>
      <c r="I4686" t="str">
        <f t="shared" si="501"/>
        <v>01509880629</v>
      </c>
      <c r="K4686" t="str">
        <f>""</f>
        <v/>
      </c>
      <c r="M4686" t="s">
        <v>68</v>
      </c>
      <c r="N4686" t="str">
        <f t="shared" si="499"/>
        <v>ALTPRO</v>
      </c>
      <c r="O4686" t="s">
        <v>132</v>
      </c>
      <c r="P4686" s="3" t="s">
        <v>75</v>
      </c>
      <c r="Q4686">
        <v>2016</v>
      </c>
      <c r="R4686" s="2">
        <v>42478</v>
      </c>
      <c r="S4686" s="2">
        <v>42478</v>
      </c>
      <c r="T4686" s="2">
        <v>42478</v>
      </c>
      <c r="U4686" s="2">
        <v>42538</v>
      </c>
      <c r="V4686" t="s">
        <v>71</v>
      </c>
      <c r="W4686" t="str">
        <f>"         FATTPA 4_16"</f>
        <v xml:space="preserve">         FATTPA 4_16</v>
      </c>
      <c r="X4686" s="1">
        <v>2741.36</v>
      </c>
      <c r="Y4686">
        <v>-547.87</v>
      </c>
      <c r="Z4686"/>
      <c r="AB4686"/>
      <c r="AC4686" s="1">
        <v>2193.4899999999998</v>
      </c>
      <c r="AD4686">
        <v>-51</v>
      </c>
      <c r="AE4686" s="1">
        <v>-111867.99</v>
      </c>
      <c r="AF4686">
        <v>0</v>
      </c>
      <c r="AJ4686">
        <v>0</v>
      </c>
      <c r="AK4686">
        <v>0</v>
      </c>
      <c r="AL4686">
        <v>0</v>
      </c>
      <c r="AM4686" s="1">
        <v>2193.4899999999998</v>
      </c>
      <c r="AN4686" s="1">
        <v>2193.4899999999998</v>
      </c>
      <c r="AO4686" s="1">
        <v>2193.4899999999998</v>
      </c>
      <c r="AP4686" s="2">
        <v>42746</v>
      </c>
      <c r="AQ4686" t="s">
        <v>72</v>
      </c>
      <c r="AR4686" t="s">
        <v>72</v>
      </c>
      <c r="AS4686">
        <v>1130</v>
      </c>
      <c r="AT4686" s="4">
        <v>42487</v>
      </c>
      <c r="AV4686">
        <v>1130</v>
      </c>
      <c r="AW4686" s="4">
        <v>42487</v>
      </c>
      <c r="BD4686">
        <v>0</v>
      </c>
      <c r="BN4686" t="s">
        <v>74</v>
      </c>
    </row>
    <row r="4687" spans="1:66" hidden="1">
      <c r="A4687">
        <v>101701</v>
      </c>
      <c r="B4687" s="3" t="s">
        <v>496</v>
      </c>
      <c r="C4687" s="1">
        <v>43500101</v>
      </c>
      <c r="D4687" t="s">
        <v>113</v>
      </c>
      <c r="H4687" t="str">
        <f t="shared" si="500"/>
        <v>PRCVCN79D42A783I</v>
      </c>
      <c r="I4687" t="str">
        <f t="shared" si="501"/>
        <v>01509880629</v>
      </c>
      <c r="K4687" t="str">
        <f>""</f>
        <v/>
      </c>
      <c r="M4687" t="s">
        <v>68</v>
      </c>
      <c r="N4687" t="str">
        <f t="shared" si="499"/>
        <v>ALTPRO</v>
      </c>
      <c r="O4687" t="s">
        <v>132</v>
      </c>
      <c r="P4687" s="3" t="s">
        <v>75</v>
      </c>
      <c r="Q4687">
        <v>2016</v>
      </c>
      <c r="R4687" s="2">
        <v>42516</v>
      </c>
      <c r="S4687" s="2">
        <v>42520</v>
      </c>
      <c r="T4687" s="2">
        <v>42516</v>
      </c>
      <c r="U4687" s="2">
        <v>42576</v>
      </c>
      <c r="V4687" t="s">
        <v>71</v>
      </c>
      <c r="W4687" t="str">
        <f>"         FATTPA 5_16"</f>
        <v xml:space="preserve">         FATTPA 5_16</v>
      </c>
      <c r="X4687" s="1">
        <v>2636</v>
      </c>
      <c r="Y4687">
        <v>-526.79999999999995</v>
      </c>
      <c r="Z4687"/>
      <c r="AB4687"/>
      <c r="AC4687" s="1">
        <v>2109.1999999999998</v>
      </c>
      <c r="AD4687">
        <v>-49</v>
      </c>
      <c r="AE4687" s="1">
        <v>-103350.8</v>
      </c>
      <c r="AF4687">
        <v>0</v>
      </c>
      <c r="AJ4687">
        <v>0</v>
      </c>
      <c r="AK4687">
        <v>0</v>
      </c>
      <c r="AL4687">
        <v>0</v>
      </c>
      <c r="AM4687" s="1">
        <v>2109.1999999999998</v>
      </c>
      <c r="AN4687" s="1">
        <v>2109.1999999999998</v>
      </c>
      <c r="AO4687" s="1">
        <v>2109.1999999999998</v>
      </c>
      <c r="AP4687" s="2">
        <v>42746</v>
      </c>
      <c r="AQ4687" t="s">
        <v>72</v>
      </c>
      <c r="AR4687" t="s">
        <v>72</v>
      </c>
      <c r="AS4687">
        <v>1482</v>
      </c>
      <c r="AT4687" s="4">
        <v>42527</v>
      </c>
      <c r="AV4687">
        <v>1482</v>
      </c>
      <c r="AW4687" s="4">
        <v>42527</v>
      </c>
      <c r="BD4687">
        <v>0</v>
      </c>
      <c r="BN4687" t="s">
        <v>74</v>
      </c>
    </row>
    <row r="4688" spans="1:66" hidden="1">
      <c r="A4688">
        <v>101701</v>
      </c>
      <c r="B4688" s="3" t="s">
        <v>496</v>
      </c>
      <c r="C4688" s="1">
        <v>43500101</v>
      </c>
      <c r="D4688" t="s">
        <v>113</v>
      </c>
      <c r="H4688" t="str">
        <f t="shared" si="500"/>
        <v>PRCVCN79D42A783I</v>
      </c>
      <c r="I4688" t="str">
        <f t="shared" si="501"/>
        <v>01509880629</v>
      </c>
      <c r="K4688" t="str">
        <f>""</f>
        <v/>
      </c>
      <c r="M4688" t="s">
        <v>68</v>
      </c>
      <c r="N4688" t="str">
        <f t="shared" si="499"/>
        <v>ALTPRO</v>
      </c>
      <c r="O4688" t="s">
        <v>132</v>
      </c>
      <c r="P4688" s="3" t="s">
        <v>75</v>
      </c>
      <c r="Q4688">
        <v>2016</v>
      </c>
      <c r="R4688" s="2">
        <v>42566</v>
      </c>
      <c r="S4688" s="2">
        <v>42577</v>
      </c>
      <c r="T4688" s="2">
        <v>42568</v>
      </c>
      <c r="U4688" s="2">
        <v>42628</v>
      </c>
      <c r="V4688" t="s">
        <v>71</v>
      </c>
      <c r="W4688" t="str">
        <f>"         FATTPA 6_16"</f>
        <v xml:space="preserve">         FATTPA 6_16</v>
      </c>
      <c r="X4688" s="1">
        <v>5297.93</v>
      </c>
      <c r="Y4688" s="1">
        <v>-1059.19</v>
      </c>
      <c r="Z4688"/>
      <c r="AB4688"/>
      <c r="AC4688" s="1">
        <v>4238.74</v>
      </c>
      <c r="AD4688">
        <v>-50</v>
      </c>
      <c r="AE4688" s="1">
        <v>-211937</v>
      </c>
      <c r="AF4688">
        <v>0</v>
      </c>
      <c r="AJ4688">
        <v>0</v>
      </c>
      <c r="AK4688">
        <v>0</v>
      </c>
      <c r="AL4688">
        <v>0</v>
      </c>
      <c r="AM4688" s="1">
        <v>4238.74</v>
      </c>
      <c r="AN4688" s="1">
        <v>4238.74</v>
      </c>
      <c r="AO4688" s="1">
        <v>4238.74</v>
      </c>
      <c r="AP4688" s="2">
        <v>42746</v>
      </c>
      <c r="AQ4688" t="s">
        <v>72</v>
      </c>
      <c r="AR4688" t="s">
        <v>72</v>
      </c>
      <c r="AS4688">
        <v>1979</v>
      </c>
      <c r="AT4688" s="4">
        <v>42578</v>
      </c>
      <c r="AV4688">
        <v>1979</v>
      </c>
      <c r="AW4688" s="4">
        <v>42578</v>
      </c>
      <c r="BD4688">
        <v>0</v>
      </c>
      <c r="BN4688" t="s">
        <v>74</v>
      </c>
    </row>
    <row r="4689" spans="1:66">
      <c r="A4689">
        <v>101701</v>
      </c>
      <c r="B4689" s="3" t="s">
        <v>496</v>
      </c>
      <c r="C4689" s="1">
        <v>43500101</v>
      </c>
      <c r="D4689" t="s">
        <v>113</v>
      </c>
      <c r="H4689" t="str">
        <f t="shared" si="500"/>
        <v>PRCVCN79D42A783I</v>
      </c>
      <c r="I4689" t="str">
        <f t="shared" si="501"/>
        <v>01509880629</v>
      </c>
      <c r="K4689" t="str">
        <f>""</f>
        <v/>
      </c>
      <c r="M4689" t="s">
        <v>68</v>
      </c>
      <c r="N4689" t="str">
        <f t="shared" si="499"/>
        <v>ALTPRO</v>
      </c>
      <c r="O4689" t="s">
        <v>132</v>
      </c>
      <c r="P4689" s="3" t="s">
        <v>75</v>
      </c>
      <c r="Q4689">
        <v>2016</v>
      </c>
      <c r="R4689" s="2">
        <v>42615</v>
      </c>
      <c r="S4689" s="2">
        <v>42620</v>
      </c>
      <c r="T4689" s="2">
        <v>42620</v>
      </c>
      <c r="U4689" s="2">
        <v>42680</v>
      </c>
      <c r="V4689" t="s">
        <v>71</v>
      </c>
      <c r="W4689" t="str">
        <f>"         FATTPA 7_16"</f>
        <v xml:space="preserve">         FATTPA 7_16</v>
      </c>
      <c r="X4689" s="1">
        <v>2277.89</v>
      </c>
      <c r="Y4689">
        <v>-455.58</v>
      </c>
      <c r="Z4689" s="5">
        <v>1822.31</v>
      </c>
      <c r="AA4689">
        <v>-34</v>
      </c>
      <c r="AB4689" s="5">
        <v>-61958.54</v>
      </c>
      <c r="AC4689" s="1">
        <v>1822.31</v>
      </c>
      <c r="AD4689">
        <v>-34</v>
      </c>
      <c r="AE4689" s="1">
        <v>-61958.54</v>
      </c>
      <c r="AF4689">
        <v>0</v>
      </c>
      <c r="AJ4689">
        <v>0</v>
      </c>
      <c r="AK4689">
        <v>0</v>
      </c>
      <c r="AL4689">
        <v>0</v>
      </c>
      <c r="AM4689" s="1">
        <v>1822.31</v>
      </c>
      <c r="AN4689" s="1">
        <v>1822.31</v>
      </c>
      <c r="AO4689" s="1">
        <v>1822.31</v>
      </c>
      <c r="AP4689" s="2">
        <v>42746</v>
      </c>
      <c r="AQ4689" t="s">
        <v>72</v>
      </c>
      <c r="AR4689" t="s">
        <v>72</v>
      </c>
      <c r="AS4689">
        <v>2505</v>
      </c>
      <c r="AT4689" s="4">
        <v>42646</v>
      </c>
      <c r="AV4689">
        <v>2505</v>
      </c>
      <c r="AW4689" s="4">
        <v>42646</v>
      </c>
      <c r="BD4689">
        <v>0</v>
      </c>
      <c r="BN4689" t="s">
        <v>74</v>
      </c>
    </row>
    <row r="4690" spans="1:66">
      <c r="A4690">
        <v>101701</v>
      </c>
      <c r="B4690" s="3" t="s">
        <v>496</v>
      </c>
      <c r="C4690" s="1">
        <v>43500101</v>
      </c>
      <c r="D4690" t="s">
        <v>113</v>
      </c>
      <c r="H4690" t="str">
        <f t="shared" si="500"/>
        <v>PRCVCN79D42A783I</v>
      </c>
      <c r="I4690" t="str">
        <f t="shared" si="501"/>
        <v>01509880629</v>
      </c>
      <c r="K4690" t="str">
        <f>""</f>
        <v/>
      </c>
      <c r="M4690" t="s">
        <v>68</v>
      </c>
      <c r="N4690" t="str">
        <f t="shared" si="499"/>
        <v>ALTPRO</v>
      </c>
      <c r="O4690" t="s">
        <v>132</v>
      </c>
      <c r="P4690" s="3" t="s">
        <v>75</v>
      </c>
      <c r="Q4690">
        <v>2016</v>
      </c>
      <c r="R4690" s="2">
        <v>42615</v>
      </c>
      <c r="S4690" s="2">
        <v>42620</v>
      </c>
      <c r="T4690" s="2">
        <v>42620</v>
      </c>
      <c r="U4690" s="2">
        <v>42680</v>
      </c>
      <c r="V4690" t="s">
        <v>71</v>
      </c>
      <c r="W4690" t="str">
        <f>"         FATTPA 8_16"</f>
        <v xml:space="preserve">         FATTPA 8_16</v>
      </c>
      <c r="X4690" s="1">
        <v>2282.8000000000002</v>
      </c>
      <c r="Y4690">
        <v>-456.56</v>
      </c>
      <c r="Z4690" s="5">
        <v>1826.24</v>
      </c>
      <c r="AA4690">
        <v>-34</v>
      </c>
      <c r="AB4690" s="5">
        <v>-62092.160000000003</v>
      </c>
      <c r="AC4690" s="1">
        <v>1826.24</v>
      </c>
      <c r="AD4690">
        <v>-34</v>
      </c>
      <c r="AE4690" s="1">
        <v>-62092.160000000003</v>
      </c>
      <c r="AF4690">
        <v>0</v>
      </c>
      <c r="AJ4690">
        <v>0</v>
      </c>
      <c r="AK4690">
        <v>0</v>
      </c>
      <c r="AL4690">
        <v>0</v>
      </c>
      <c r="AM4690" s="1">
        <v>1826.24</v>
      </c>
      <c r="AN4690" s="1">
        <v>1826.24</v>
      </c>
      <c r="AO4690" s="1">
        <v>1826.24</v>
      </c>
      <c r="AP4690" s="2">
        <v>42746</v>
      </c>
      <c r="AQ4690" t="s">
        <v>72</v>
      </c>
      <c r="AR4690" t="s">
        <v>72</v>
      </c>
      <c r="AS4690">
        <v>2505</v>
      </c>
      <c r="AT4690" s="4">
        <v>42646</v>
      </c>
      <c r="AV4690">
        <v>2505</v>
      </c>
      <c r="AW4690" s="4">
        <v>42646</v>
      </c>
      <c r="BD4690">
        <v>0</v>
      </c>
      <c r="BN4690" t="s">
        <v>74</v>
      </c>
    </row>
    <row r="4691" spans="1:66">
      <c r="A4691">
        <v>101701</v>
      </c>
      <c r="B4691" s="3" t="s">
        <v>496</v>
      </c>
      <c r="C4691" s="1">
        <v>43500101</v>
      </c>
      <c r="D4691" t="s">
        <v>113</v>
      </c>
      <c r="H4691" t="str">
        <f t="shared" si="500"/>
        <v>PRCVCN79D42A783I</v>
      </c>
      <c r="I4691" t="str">
        <f t="shared" si="501"/>
        <v>01509880629</v>
      </c>
      <c r="K4691" t="str">
        <f>""</f>
        <v/>
      </c>
      <c r="M4691" t="s">
        <v>68</v>
      </c>
      <c r="N4691" t="str">
        <f t="shared" si="499"/>
        <v>ALTPRO</v>
      </c>
      <c r="O4691" t="s">
        <v>132</v>
      </c>
      <c r="P4691" s="3" t="s">
        <v>75</v>
      </c>
      <c r="Q4691">
        <v>2016</v>
      </c>
      <c r="R4691" s="2">
        <v>42664</v>
      </c>
      <c r="S4691" s="2">
        <v>42684</v>
      </c>
      <c r="T4691" s="2">
        <v>42683</v>
      </c>
      <c r="U4691" s="2">
        <v>42743</v>
      </c>
      <c r="V4691" t="s">
        <v>71</v>
      </c>
      <c r="W4691" t="str">
        <f>"         FATTPA 9_16"</f>
        <v xml:space="preserve">         FATTPA 9_16</v>
      </c>
      <c r="X4691" s="1">
        <v>1502.97</v>
      </c>
      <c r="Y4691">
        <v>-300.58999999999997</v>
      </c>
      <c r="Z4691" s="5">
        <v>1202.3800000000001</v>
      </c>
      <c r="AA4691">
        <v>-59</v>
      </c>
      <c r="AB4691" s="5">
        <v>-70940.42</v>
      </c>
      <c r="AC4691" s="1">
        <v>1202.3800000000001</v>
      </c>
      <c r="AD4691">
        <v>-59</v>
      </c>
      <c r="AE4691" s="1">
        <v>-70940.42</v>
      </c>
      <c r="AF4691">
        <v>0</v>
      </c>
      <c r="AJ4691" s="1">
        <v>1202.3800000000001</v>
      </c>
      <c r="AK4691" s="1">
        <v>1202.3800000000001</v>
      </c>
      <c r="AL4691" s="1">
        <v>1202.3800000000001</v>
      </c>
      <c r="AM4691" s="1">
        <v>1202.3800000000001</v>
      </c>
      <c r="AN4691" s="1">
        <v>1202.3800000000001</v>
      </c>
      <c r="AO4691" s="1">
        <v>1202.3800000000001</v>
      </c>
      <c r="AP4691" s="2">
        <v>42746</v>
      </c>
      <c r="AQ4691" t="s">
        <v>72</v>
      </c>
      <c r="AR4691" t="s">
        <v>72</v>
      </c>
      <c r="AS4691">
        <v>3066</v>
      </c>
      <c r="AT4691" s="4">
        <v>42684</v>
      </c>
      <c r="AV4691">
        <v>3066</v>
      </c>
      <c r="AW4691" s="4">
        <v>42684</v>
      </c>
      <c r="BD4691">
        <v>0</v>
      </c>
      <c r="BN4691" t="s">
        <v>74</v>
      </c>
    </row>
    <row r="4692" spans="1:66">
      <c r="A4692">
        <v>101701</v>
      </c>
      <c r="B4692" s="3" t="s">
        <v>496</v>
      </c>
      <c r="C4692" s="1">
        <v>43500101</v>
      </c>
      <c r="D4692" t="s">
        <v>113</v>
      </c>
      <c r="H4692" t="str">
        <f t="shared" si="500"/>
        <v>PRCVCN79D42A783I</v>
      </c>
      <c r="I4692" t="str">
        <f t="shared" si="501"/>
        <v>01509880629</v>
      </c>
      <c r="K4692" t="str">
        <f>""</f>
        <v/>
      </c>
      <c r="M4692" t="s">
        <v>68</v>
      </c>
      <c r="N4692" t="str">
        <f t="shared" si="499"/>
        <v>ALTPRO</v>
      </c>
      <c r="O4692" t="s">
        <v>132</v>
      </c>
      <c r="P4692" s="3" t="s">
        <v>75</v>
      </c>
      <c r="Q4692">
        <v>2016</v>
      </c>
      <c r="R4692" s="2">
        <v>42683</v>
      </c>
      <c r="S4692" s="2">
        <v>42684</v>
      </c>
      <c r="T4692" s="2">
        <v>42683</v>
      </c>
      <c r="U4692" s="2">
        <v>42743</v>
      </c>
      <c r="V4692" t="s">
        <v>71</v>
      </c>
      <c r="W4692" t="str">
        <f>"        FATTPA 10_16"</f>
        <v xml:space="preserve">        FATTPA 10_16</v>
      </c>
      <c r="X4692" s="1">
        <v>2581.3200000000002</v>
      </c>
      <c r="Y4692">
        <v>-516.26</v>
      </c>
      <c r="Z4692" s="5">
        <v>2065.06</v>
      </c>
      <c r="AA4692">
        <v>-59</v>
      </c>
      <c r="AB4692" s="5">
        <v>-121838.54</v>
      </c>
      <c r="AC4692" s="1">
        <v>2065.06</v>
      </c>
      <c r="AD4692">
        <v>-59</v>
      </c>
      <c r="AE4692" s="1">
        <v>-121838.54</v>
      </c>
      <c r="AF4692">
        <v>0</v>
      </c>
      <c r="AJ4692" s="1">
        <v>2065.06</v>
      </c>
      <c r="AK4692" s="1">
        <v>2065.06</v>
      </c>
      <c r="AL4692" s="1">
        <v>2065.06</v>
      </c>
      <c r="AM4692" s="1">
        <v>2065.06</v>
      </c>
      <c r="AN4692" s="1">
        <v>2065.06</v>
      </c>
      <c r="AO4692" s="1">
        <v>2065.06</v>
      </c>
      <c r="AP4692" s="2">
        <v>42746</v>
      </c>
      <c r="AQ4692" t="s">
        <v>72</v>
      </c>
      <c r="AR4692" t="s">
        <v>72</v>
      </c>
      <c r="AS4692">
        <v>3066</v>
      </c>
      <c r="AT4692" s="4">
        <v>42684</v>
      </c>
      <c r="AV4692">
        <v>3066</v>
      </c>
      <c r="AW4692" s="4">
        <v>42684</v>
      </c>
      <c r="BD4692">
        <v>0</v>
      </c>
      <c r="BN4692" t="s">
        <v>74</v>
      </c>
    </row>
    <row r="4693" spans="1:66">
      <c r="A4693">
        <v>101701</v>
      </c>
      <c r="B4693" s="3" t="s">
        <v>496</v>
      </c>
      <c r="C4693" s="1">
        <v>43500101</v>
      </c>
      <c r="D4693" t="s">
        <v>113</v>
      </c>
      <c r="H4693" t="str">
        <f t="shared" si="500"/>
        <v>PRCVCN79D42A783I</v>
      </c>
      <c r="I4693" t="str">
        <f t="shared" si="501"/>
        <v>01509880629</v>
      </c>
      <c r="K4693" t="str">
        <f>""</f>
        <v/>
      </c>
      <c r="M4693" t="s">
        <v>68</v>
      </c>
      <c r="N4693" t="str">
        <f t="shared" si="499"/>
        <v>ALTPRO</v>
      </c>
      <c r="O4693" t="s">
        <v>132</v>
      </c>
      <c r="P4693" s="3" t="s">
        <v>75</v>
      </c>
      <c r="Q4693">
        <v>2016</v>
      </c>
      <c r="R4693" s="2">
        <v>42716</v>
      </c>
      <c r="S4693" s="2">
        <v>42717</v>
      </c>
      <c r="T4693" s="2">
        <v>42716</v>
      </c>
      <c r="U4693" s="2">
        <v>42776</v>
      </c>
      <c r="V4693" t="s">
        <v>71</v>
      </c>
      <c r="W4693" t="str">
        <f>"        FATTPA 11_16"</f>
        <v xml:space="preserve">        FATTPA 11_16</v>
      </c>
      <c r="X4693" s="1">
        <v>2335.48</v>
      </c>
      <c r="Y4693">
        <v>-467.1</v>
      </c>
      <c r="Z4693" s="5">
        <v>1868.38</v>
      </c>
      <c r="AA4693">
        <v>-58</v>
      </c>
      <c r="AB4693" s="5">
        <v>-108366.04</v>
      </c>
      <c r="AC4693" s="1">
        <v>1868.38</v>
      </c>
      <c r="AD4693">
        <v>-58</v>
      </c>
      <c r="AE4693" s="1">
        <v>-108366.04</v>
      </c>
      <c r="AF4693">
        <v>0</v>
      </c>
      <c r="AJ4693" s="1">
        <v>1868.38</v>
      </c>
      <c r="AK4693" s="1">
        <v>1868.38</v>
      </c>
      <c r="AL4693" s="1">
        <v>1868.38</v>
      </c>
      <c r="AM4693" s="1">
        <v>1868.38</v>
      </c>
      <c r="AN4693" s="1">
        <v>1868.38</v>
      </c>
      <c r="AO4693" s="1">
        <v>1868.38</v>
      </c>
      <c r="AP4693" s="2">
        <v>42746</v>
      </c>
      <c r="AQ4693" t="s">
        <v>72</v>
      </c>
      <c r="AR4693" t="s">
        <v>72</v>
      </c>
      <c r="AS4693">
        <v>3452</v>
      </c>
      <c r="AT4693" s="4">
        <v>42718</v>
      </c>
      <c r="AV4693">
        <v>3452</v>
      </c>
      <c r="AW4693" s="4">
        <v>42718</v>
      </c>
      <c r="BD4693">
        <v>0</v>
      </c>
      <c r="BN4693" t="s">
        <v>74</v>
      </c>
    </row>
    <row r="4694" spans="1:66" hidden="1">
      <c r="A4694">
        <v>101703</v>
      </c>
      <c r="B4694" s="3" t="s">
        <v>497</v>
      </c>
      <c r="C4694" s="1">
        <v>43300101</v>
      </c>
      <c r="D4694" t="s">
        <v>67</v>
      </c>
      <c r="H4694" t="str">
        <f>"09549001007"</f>
        <v>09549001007</v>
      </c>
      <c r="I4694" t="str">
        <f>"09549001007"</f>
        <v>09549001007</v>
      </c>
      <c r="K4694" t="str">
        <f>""</f>
        <v/>
      </c>
      <c r="M4694" t="s">
        <v>68</v>
      </c>
      <c r="N4694" t="str">
        <f t="shared" ref="N4694:N4717" si="502">"FOR"</f>
        <v>FOR</v>
      </c>
      <c r="O4694" t="s">
        <v>69</v>
      </c>
      <c r="P4694" s="3" t="s">
        <v>75</v>
      </c>
      <c r="Q4694">
        <v>2015</v>
      </c>
      <c r="R4694" s="2">
        <v>42201</v>
      </c>
      <c r="S4694" s="2">
        <v>42369</v>
      </c>
      <c r="T4694" s="2">
        <v>42369</v>
      </c>
      <c r="U4694" s="2">
        <v>42429</v>
      </c>
      <c r="V4694" t="s">
        <v>71</v>
      </c>
      <c r="W4694" t="str">
        <f>"                  17"</f>
        <v xml:space="preserve">                  17</v>
      </c>
      <c r="X4694" s="1">
        <v>5124</v>
      </c>
      <c r="Y4694">
        <v>0</v>
      </c>
      <c r="Z4694"/>
      <c r="AB4694"/>
      <c r="AC4694" s="1">
        <v>4200</v>
      </c>
      <c r="AD4694">
        <v>-13</v>
      </c>
      <c r="AE4694" s="1">
        <v>-54600</v>
      </c>
      <c r="AF4694">
        <v>0</v>
      </c>
      <c r="AJ4694">
        <v>0</v>
      </c>
      <c r="AK4694">
        <v>0</v>
      </c>
      <c r="AL4694">
        <v>0</v>
      </c>
      <c r="AM4694">
        <v>0</v>
      </c>
      <c r="AN4694">
        <v>0</v>
      </c>
      <c r="AO4694">
        <v>0</v>
      </c>
      <c r="AP4694" s="2">
        <v>42746</v>
      </c>
      <c r="AQ4694" t="s">
        <v>72</v>
      </c>
      <c r="AR4694" t="s">
        <v>72</v>
      </c>
      <c r="AS4694">
        <v>429</v>
      </c>
      <c r="AT4694" s="4">
        <v>42416</v>
      </c>
      <c r="AV4694">
        <v>429</v>
      </c>
      <c r="AW4694" s="4">
        <v>42416</v>
      </c>
      <c r="BD4694">
        <v>0</v>
      </c>
      <c r="BN4694" t="s">
        <v>74</v>
      </c>
    </row>
    <row r="4695" spans="1:66" hidden="1">
      <c r="A4695">
        <v>101709</v>
      </c>
      <c r="B4695" s="3" t="s">
        <v>498</v>
      </c>
      <c r="C4695" s="1">
        <v>43300101</v>
      </c>
      <c r="D4695" t="s">
        <v>67</v>
      </c>
      <c r="H4695" t="str">
        <f>"06088781213"</f>
        <v>06088781213</v>
      </c>
      <c r="I4695" t="str">
        <f>"06088781213"</f>
        <v>06088781213</v>
      </c>
      <c r="K4695" t="str">
        <f>""</f>
        <v/>
      </c>
      <c r="M4695" t="s">
        <v>68</v>
      </c>
      <c r="N4695" t="str">
        <f t="shared" si="502"/>
        <v>FOR</v>
      </c>
      <c r="O4695" t="s">
        <v>69</v>
      </c>
      <c r="P4695" s="3" t="s">
        <v>75</v>
      </c>
      <c r="Q4695">
        <v>2015</v>
      </c>
      <c r="R4695" s="2">
        <v>42299</v>
      </c>
      <c r="S4695" s="2">
        <v>42317</v>
      </c>
      <c r="T4695" s="2">
        <v>42313</v>
      </c>
      <c r="U4695" s="2">
        <v>42373</v>
      </c>
      <c r="V4695" t="s">
        <v>71</v>
      </c>
      <c r="W4695" t="str">
        <f>"                3/86"</f>
        <v xml:space="preserve">                3/86</v>
      </c>
      <c r="X4695" s="1">
        <v>2562</v>
      </c>
      <c r="Y4695">
        <v>0</v>
      </c>
      <c r="Z4695"/>
      <c r="AB4695"/>
      <c r="AC4695" s="1">
        <v>2100</v>
      </c>
      <c r="AD4695">
        <v>42</v>
      </c>
      <c r="AE4695" s="1">
        <v>88200</v>
      </c>
      <c r="AF4695">
        <v>0</v>
      </c>
      <c r="AJ4695">
        <v>0</v>
      </c>
      <c r="AK4695">
        <v>0</v>
      </c>
      <c r="AL4695">
        <v>0</v>
      </c>
      <c r="AM4695">
        <v>0</v>
      </c>
      <c r="AN4695">
        <v>0</v>
      </c>
      <c r="AO4695">
        <v>0</v>
      </c>
      <c r="AP4695" s="2">
        <v>42746</v>
      </c>
      <c r="AQ4695" t="s">
        <v>72</v>
      </c>
      <c r="AR4695" t="s">
        <v>72</v>
      </c>
      <c r="AS4695">
        <v>379</v>
      </c>
      <c r="AT4695" s="4">
        <v>42415</v>
      </c>
      <c r="AU4695" t="s">
        <v>73</v>
      </c>
      <c r="AV4695">
        <v>379</v>
      </c>
      <c r="AW4695" s="4">
        <v>42415</v>
      </c>
      <c r="BD4695">
        <v>0</v>
      </c>
      <c r="BN4695" t="s">
        <v>74</v>
      </c>
    </row>
    <row r="4696" spans="1:66" hidden="1">
      <c r="A4696">
        <v>101709</v>
      </c>
      <c r="B4696" s="3" t="s">
        <v>498</v>
      </c>
      <c r="C4696" s="1">
        <v>43300101</v>
      </c>
      <c r="D4696" t="s">
        <v>67</v>
      </c>
      <c r="H4696" t="str">
        <f>"06088781213"</f>
        <v>06088781213</v>
      </c>
      <c r="I4696" t="str">
        <f>"06088781213"</f>
        <v>06088781213</v>
      </c>
      <c r="K4696" t="str">
        <f>""</f>
        <v/>
      </c>
      <c r="M4696" t="s">
        <v>68</v>
      </c>
      <c r="N4696" t="str">
        <f t="shared" si="502"/>
        <v>FOR</v>
      </c>
      <c r="O4696" t="s">
        <v>69</v>
      </c>
      <c r="P4696" s="3" t="s">
        <v>75</v>
      </c>
      <c r="Q4696">
        <v>2015</v>
      </c>
      <c r="R4696" s="2">
        <v>42369</v>
      </c>
      <c r="S4696" s="2">
        <v>42403</v>
      </c>
      <c r="T4696" s="2">
        <v>42402</v>
      </c>
      <c r="U4696" s="2">
        <v>42462</v>
      </c>
      <c r="V4696" t="s">
        <v>71</v>
      </c>
      <c r="W4696" t="str">
        <f>"               3/112"</f>
        <v xml:space="preserve">               3/112</v>
      </c>
      <c r="X4696" s="1">
        <v>1952</v>
      </c>
      <c r="Y4696">
        <v>0</v>
      </c>
      <c r="Z4696"/>
      <c r="AB4696"/>
      <c r="AC4696" s="1">
        <v>1600</v>
      </c>
      <c r="AD4696">
        <v>-47</v>
      </c>
      <c r="AE4696" s="1">
        <v>-75200</v>
      </c>
      <c r="AF4696">
        <v>0</v>
      </c>
      <c r="AJ4696">
        <v>0</v>
      </c>
      <c r="AK4696">
        <v>0</v>
      </c>
      <c r="AL4696">
        <v>0</v>
      </c>
      <c r="AM4696">
        <v>0</v>
      </c>
      <c r="AN4696" s="1">
        <v>1952</v>
      </c>
      <c r="AO4696">
        <v>0</v>
      </c>
      <c r="AP4696" s="2">
        <v>42746</v>
      </c>
      <c r="AQ4696" t="s">
        <v>72</v>
      </c>
      <c r="AR4696" t="s">
        <v>72</v>
      </c>
      <c r="AS4696">
        <v>379</v>
      </c>
      <c r="AT4696" s="4">
        <v>42415</v>
      </c>
      <c r="AV4696">
        <v>379</v>
      </c>
      <c r="AW4696" s="4">
        <v>42415</v>
      </c>
      <c r="BD4696">
        <v>0</v>
      </c>
      <c r="BN4696" t="s">
        <v>74</v>
      </c>
    </row>
    <row r="4697" spans="1:66">
      <c r="A4697">
        <v>101710</v>
      </c>
      <c r="B4697" s="3" t="s">
        <v>499</v>
      </c>
      <c r="C4697" s="1">
        <v>43300101</v>
      </c>
      <c r="D4697" t="s">
        <v>67</v>
      </c>
      <c r="H4697" t="str">
        <f t="shared" ref="H4697:I4703" si="503">"07275210636"</f>
        <v>07275210636</v>
      </c>
      <c r="I4697" t="str">
        <f t="shared" si="503"/>
        <v>07275210636</v>
      </c>
      <c r="K4697" t="str">
        <f>""</f>
        <v/>
      </c>
      <c r="M4697" t="s">
        <v>68</v>
      </c>
      <c r="N4697" t="str">
        <f t="shared" si="502"/>
        <v>FOR</v>
      </c>
      <c r="O4697" t="s">
        <v>69</v>
      </c>
      <c r="P4697" s="3" t="s">
        <v>75</v>
      </c>
      <c r="Q4697">
        <v>2015</v>
      </c>
      <c r="R4697" s="2">
        <v>42353</v>
      </c>
      <c r="S4697" s="2">
        <v>42369</v>
      </c>
      <c r="T4697" s="2">
        <v>42369</v>
      </c>
      <c r="U4697" s="2">
        <v>42429</v>
      </c>
      <c r="V4697" t="s">
        <v>71</v>
      </c>
      <c r="W4697" t="str">
        <f>"               2/RIP"</f>
        <v xml:space="preserve">               2/RIP</v>
      </c>
      <c r="X4697" s="1">
        <v>1417.64</v>
      </c>
      <c r="Y4697">
        <v>0</v>
      </c>
      <c r="Z4697" s="5">
        <v>1162</v>
      </c>
      <c r="AA4697">
        <v>261</v>
      </c>
      <c r="AB4697" s="5">
        <v>303282</v>
      </c>
      <c r="AC4697" s="1">
        <v>1162</v>
      </c>
      <c r="AD4697">
        <v>261</v>
      </c>
      <c r="AE4697" s="1">
        <v>303282</v>
      </c>
      <c r="AF4697">
        <v>0</v>
      </c>
      <c r="AJ4697">
        <v>0</v>
      </c>
      <c r="AK4697">
        <v>0</v>
      </c>
      <c r="AL4697">
        <v>0</v>
      </c>
      <c r="AM4697">
        <v>0</v>
      </c>
      <c r="AN4697">
        <v>0</v>
      </c>
      <c r="AO4697">
        <v>0</v>
      </c>
      <c r="AP4697" s="2">
        <v>42746</v>
      </c>
      <c r="AQ4697" t="s">
        <v>72</v>
      </c>
      <c r="AR4697" t="s">
        <v>72</v>
      </c>
      <c r="AS4697">
        <v>3151</v>
      </c>
      <c r="AT4697" s="4">
        <v>42690</v>
      </c>
      <c r="AU4697" t="s">
        <v>73</v>
      </c>
      <c r="AV4697">
        <v>3151</v>
      </c>
      <c r="AW4697" s="4">
        <v>42690</v>
      </c>
      <c r="BD4697">
        <v>0</v>
      </c>
      <c r="BN4697" t="s">
        <v>74</v>
      </c>
    </row>
    <row r="4698" spans="1:66" hidden="1">
      <c r="A4698">
        <v>101710</v>
      </c>
      <c r="B4698" s="3" t="s">
        <v>499</v>
      </c>
      <c r="C4698" s="1">
        <v>43300101</v>
      </c>
      <c r="D4698" t="s">
        <v>67</v>
      </c>
      <c r="H4698" t="str">
        <f t="shared" si="503"/>
        <v>07275210636</v>
      </c>
      <c r="I4698" t="str">
        <f t="shared" si="503"/>
        <v>07275210636</v>
      </c>
      <c r="K4698" t="str">
        <f>""</f>
        <v/>
      </c>
      <c r="M4698" t="s">
        <v>68</v>
      </c>
      <c r="N4698" t="str">
        <f t="shared" si="502"/>
        <v>FOR</v>
      </c>
      <c r="O4698" t="s">
        <v>69</v>
      </c>
      <c r="P4698" s="3" t="s">
        <v>70</v>
      </c>
      <c r="Q4698">
        <v>2015</v>
      </c>
      <c r="R4698" s="2">
        <v>42083</v>
      </c>
      <c r="S4698" s="2">
        <v>42089</v>
      </c>
      <c r="T4698" s="2">
        <v>42089</v>
      </c>
      <c r="U4698" s="2">
        <v>42149</v>
      </c>
      <c r="V4698" t="s">
        <v>71</v>
      </c>
      <c r="W4698" t="str">
        <f>"               87/CV"</f>
        <v xml:space="preserve">               87/CV</v>
      </c>
      <c r="X4698" s="1">
        <v>36240.339999999997</v>
      </c>
      <c r="Y4698">
        <v>0</v>
      </c>
      <c r="Z4698"/>
      <c r="AB4698"/>
      <c r="AC4698" s="1">
        <v>29705.200000000001</v>
      </c>
      <c r="AD4698">
        <v>254</v>
      </c>
      <c r="AE4698" s="1">
        <v>7545120.7999999998</v>
      </c>
      <c r="AF4698">
        <v>0</v>
      </c>
      <c r="AJ4698">
        <v>0</v>
      </c>
      <c r="AK4698">
        <v>0</v>
      </c>
      <c r="AL4698">
        <v>0</v>
      </c>
      <c r="AM4698">
        <v>0</v>
      </c>
      <c r="AN4698">
        <v>0</v>
      </c>
      <c r="AO4698">
        <v>0</v>
      </c>
      <c r="AP4698" s="2">
        <v>42746</v>
      </c>
      <c r="AQ4698" t="s">
        <v>72</v>
      </c>
      <c r="AR4698" t="s">
        <v>72</v>
      </c>
      <c r="AS4698">
        <v>223</v>
      </c>
      <c r="AT4698" s="4">
        <v>42403</v>
      </c>
      <c r="AU4698" t="s">
        <v>73</v>
      </c>
      <c r="AV4698">
        <v>223</v>
      </c>
      <c r="AW4698" s="4">
        <v>42403</v>
      </c>
      <c r="BD4698">
        <v>0</v>
      </c>
      <c r="BN4698" t="s">
        <v>74</v>
      </c>
    </row>
    <row r="4699" spans="1:66" hidden="1">
      <c r="A4699">
        <v>101710</v>
      </c>
      <c r="B4699" s="3" t="s">
        <v>499</v>
      </c>
      <c r="C4699" s="1">
        <v>43300101</v>
      </c>
      <c r="D4699" t="s">
        <v>67</v>
      </c>
      <c r="H4699" t="str">
        <f t="shared" si="503"/>
        <v>07275210636</v>
      </c>
      <c r="I4699" t="str">
        <f t="shared" si="503"/>
        <v>07275210636</v>
      </c>
      <c r="K4699" t="str">
        <f>""</f>
        <v/>
      </c>
      <c r="M4699" t="s">
        <v>68</v>
      </c>
      <c r="N4699" t="str">
        <f t="shared" si="502"/>
        <v>FOR</v>
      </c>
      <c r="O4699" t="s">
        <v>69</v>
      </c>
      <c r="P4699" s="3" t="s">
        <v>75</v>
      </c>
      <c r="Q4699">
        <v>2015</v>
      </c>
      <c r="R4699" s="2">
        <v>42181</v>
      </c>
      <c r="S4699" s="2">
        <v>42187</v>
      </c>
      <c r="T4699" s="2">
        <v>42184</v>
      </c>
      <c r="U4699" s="2">
        <v>42244</v>
      </c>
      <c r="V4699" t="s">
        <v>71</v>
      </c>
      <c r="W4699" t="str">
        <f>"              198/CV"</f>
        <v xml:space="preserve">              198/CV</v>
      </c>
      <c r="X4699" s="1">
        <v>41724</v>
      </c>
      <c r="Y4699">
        <v>0</v>
      </c>
      <c r="Z4699"/>
      <c r="AB4699"/>
      <c r="AC4699" s="1">
        <v>34200</v>
      </c>
      <c r="AD4699">
        <v>276</v>
      </c>
      <c r="AE4699" s="1">
        <v>9439200</v>
      </c>
      <c r="AF4699">
        <v>0</v>
      </c>
      <c r="AJ4699">
        <v>0</v>
      </c>
      <c r="AK4699">
        <v>0</v>
      </c>
      <c r="AL4699">
        <v>0</v>
      </c>
      <c r="AM4699">
        <v>0</v>
      </c>
      <c r="AN4699">
        <v>0</v>
      </c>
      <c r="AO4699">
        <v>0</v>
      </c>
      <c r="AP4699" s="2">
        <v>42746</v>
      </c>
      <c r="AQ4699" t="s">
        <v>72</v>
      </c>
      <c r="AR4699" t="s">
        <v>72</v>
      </c>
      <c r="AS4699">
        <v>1469</v>
      </c>
      <c r="AT4699" s="4">
        <v>42520</v>
      </c>
      <c r="AU4699" t="s">
        <v>73</v>
      </c>
      <c r="AV4699">
        <v>1469</v>
      </c>
      <c r="AW4699" s="4">
        <v>42520</v>
      </c>
      <c r="BD4699">
        <v>0</v>
      </c>
      <c r="BN4699" t="s">
        <v>74</v>
      </c>
    </row>
    <row r="4700" spans="1:66" hidden="1">
      <c r="A4700">
        <v>101710</v>
      </c>
      <c r="B4700" s="3" t="s">
        <v>499</v>
      </c>
      <c r="C4700" s="1">
        <v>43300101</v>
      </c>
      <c r="D4700" t="s">
        <v>67</v>
      </c>
      <c r="H4700" t="str">
        <f t="shared" si="503"/>
        <v>07275210636</v>
      </c>
      <c r="I4700" t="str">
        <f t="shared" si="503"/>
        <v>07275210636</v>
      </c>
      <c r="K4700" t="str">
        <f>""</f>
        <v/>
      </c>
      <c r="M4700" t="s">
        <v>68</v>
      </c>
      <c r="N4700" t="str">
        <f t="shared" si="502"/>
        <v>FOR</v>
      </c>
      <c r="O4700" t="s">
        <v>69</v>
      </c>
      <c r="P4700" s="3" t="s">
        <v>75</v>
      </c>
      <c r="Q4700">
        <v>2015</v>
      </c>
      <c r="R4700" s="2">
        <v>42185</v>
      </c>
      <c r="S4700" s="2">
        <v>42198</v>
      </c>
      <c r="T4700" s="2">
        <v>42193</v>
      </c>
      <c r="U4700" s="2">
        <v>42253</v>
      </c>
      <c r="V4700" t="s">
        <v>71</v>
      </c>
      <c r="W4700" t="str">
        <f>"              203/CV"</f>
        <v xml:space="preserve">              203/CV</v>
      </c>
      <c r="X4700" s="1">
        <v>4636</v>
      </c>
      <c r="Y4700">
        <v>0</v>
      </c>
      <c r="Z4700"/>
      <c r="AB4700"/>
      <c r="AC4700" s="1">
        <v>3800</v>
      </c>
      <c r="AD4700">
        <v>267</v>
      </c>
      <c r="AE4700" s="1">
        <v>1014600</v>
      </c>
      <c r="AF4700">
        <v>0</v>
      </c>
      <c r="AJ4700">
        <v>0</v>
      </c>
      <c r="AK4700">
        <v>0</v>
      </c>
      <c r="AL4700">
        <v>0</v>
      </c>
      <c r="AM4700">
        <v>0</v>
      </c>
      <c r="AN4700">
        <v>0</v>
      </c>
      <c r="AO4700">
        <v>0</v>
      </c>
      <c r="AP4700" s="2">
        <v>42746</v>
      </c>
      <c r="AQ4700" t="s">
        <v>72</v>
      </c>
      <c r="AR4700" t="s">
        <v>72</v>
      </c>
      <c r="AS4700">
        <v>1469</v>
      </c>
      <c r="AT4700" s="4">
        <v>42520</v>
      </c>
      <c r="AU4700" t="s">
        <v>73</v>
      </c>
      <c r="AV4700">
        <v>1469</v>
      </c>
      <c r="AW4700" s="4">
        <v>42520</v>
      </c>
      <c r="BD4700">
        <v>0</v>
      </c>
      <c r="BN4700" t="s">
        <v>74</v>
      </c>
    </row>
    <row r="4701" spans="1:66">
      <c r="A4701">
        <v>101710</v>
      </c>
      <c r="B4701" s="3" t="s">
        <v>499</v>
      </c>
      <c r="C4701" s="1">
        <v>43300101</v>
      </c>
      <c r="D4701" t="s">
        <v>67</v>
      </c>
      <c r="H4701" t="str">
        <f t="shared" si="503"/>
        <v>07275210636</v>
      </c>
      <c r="I4701" t="str">
        <f t="shared" si="503"/>
        <v>07275210636</v>
      </c>
      <c r="K4701" t="str">
        <f>""</f>
        <v/>
      </c>
      <c r="M4701" t="s">
        <v>68</v>
      </c>
      <c r="N4701" t="str">
        <f t="shared" si="502"/>
        <v>FOR</v>
      </c>
      <c r="O4701" t="s">
        <v>69</v>
      </c>
      <c r="P4701" s="3" t="s">
        <v>75</v>
      </c>
      <c r="Q4701">
        <v>2015</v>
      </c>
      <c r="R4701" s="2">
        <v>42307</v>
      </c>
      <c r="S4701" s="2">
        <v>42312</v>
      </c>
      <c r="T4701" s="2">
        <v>42312</v>
      </c>
      <c r="U4701" s="2">
        <v>42372</v>
      </c>
      <c r="V4701" t="s">
        <v>71</v>
      </c>
      <c r="W4701" t="str">
        <f>"              301/CV"</f>
        <v xml:space="preserve">              301/CV</v>
      </c>
      <c r="X4701" s="1">
        <v>23619.200000000001</v>
      </c>
      <c r="Y4701">
        <v>0</v>
      </c>
      <c r="Z4701" s="5">
        <v>19360</v>
      </c>
      <c r="AA4701">
        <v>275</v>
      </c>
      <c r="AB4701" s="5">
        <v>5324000</v>
      </c>
      <c r="AC4701" s="1">
        <v>19360</v>
      </c>
      <c r="AD4701">
        <v>275</v>
      </c>
      <c r="AE4701" s="1">
        <v>5324000</v>
      </c>
      <c r="AF4701">
        <v>0</v>
      </c>
      <c r="AJ4701">
        <v>0</v>
      </c>
      <c r="AK4701">
        <v>0</v>
      </c>
      <c r="AL4701">
        <v>0</v>
      </c>
      <c r="AM4701">
        <v>0</v>
      </c>
      <c r="AN4701">
        <v>0</v>
      </c>
      <c r="AO4701">
        <v>0</v>
      </c>
      <c r="AP4701" s="2">
        <v>42746</v>
      </c>
      <c r="AQ4701" t="s">
        <v>72</v>
      </c>
      <c r="AR4701" t="s">
        <v>72</v>
      </c>
      <c r="AS4701">
        <v>2649</v>
      </c>
      <c r="AT4701" s="4">
        <v>42647</v>
      </c>
      <c r="AU4701" t="s">
        <v>73</v>
      </c>
      <c r="AV4701">
        <v>2649</v>
      </c>
      <c r="AW4701" s="4">
        <v>42647</v>
      </c>
      <c r="BD4701">
        <v>0</v>
      </c>
      <c r="BN4701" t="s">
        <v>74</v>
      </c>
    </row>
    <row r="4702" spans="1:66">
      <c r="A4702">
        <v>101710</v>
      </c>
      <c r="B4702" s="3" t="s">
        <v>499</v>
      </c>
      <c r="C4702" s="1">
        <v>43300101</v>
      </c>
      <c r="D4702" t="s">
        <v>67</v>
      </c>
      <c r="H4702" t="str">
        <f t="shared" si="503"/>
        <v>07275210636</v>
      </c>
      <c r="I4702" t="str">
        <f t="shared" si="503"/>
        <v>07275210636</v>
      </c>
      <c r="K4702" t="str">
        <f>""</f>
        <v/>
      </c>
      <c r="M4702" t="s">
        <v>68</v>
      </c>
      <c r="N4702" t="str">
        <f t="shared" si="502"/>
        <v>FOR</v>
      </c>
      <c r="O4702" t="s">
        <v>69</v>
      </c>
      <c r="P4702" s="3" t="s">
        <v>75</v>
      </c>
      <c r="Q4702">
        <v>2015</v>
      </c>
      <c r="R4702" s="2">
        <v>42314</v>
      </c>
      <c r="S4702" s="2">
        <v>42326</v>
      </c>
      <c r="T4702" s="2">
        <v>42324</v>
      </c>
      <c r="U4702" s="2">
        <v>42384</v>
      </c>
      <c r="V4702" t="s">
        <v>71</v>
      </c>
      <c r="W4702" t="str">
        <f>"              307/CV"</f>
        <v xml:space="preserve">              307/CV</v>
      </c>
      <c r="X4702" s="1">
        <v>7839.72</v>
      </c>
      <c r="Y4702">
        <v>0</v>
      </c>
      <c r="Z4702" s="5">
        <v>6426</v>
      </c>
      <c r="AA4702">
        <v>298</v>
      </c>
      <c r="AB4702" s="5">
        <v>1914948</v>
      </c>
      <c r="AC4702" s="1">
        <v>6426</v>
      </c>
      <c r="AD4702">
        <v>298</v>
      </c>
      <c r="AE4702" s="1">
        <v>1914948</v>
      </c>
      <c r="AF4702">
        <v>0</v>
      </c>
      <c r="AJ4702">
        <v>0</v>
      </c>
      <c r="AK4702">
        <v>0</v>
      </c>
      <c r="AL4702">
        <v>0</v>
      </c>
      <c r="AM4702">
        <v>0</v>
      </c>
      <c r="AN4702">
        <v>0</v>
      </c>
      <c r="AO4702">
        <v>0</v>
      </c>
      <c r="AP4702" s="2">
        <v>42746</v>
      </c>
      <c r="AQ4702" t="s">
        <v>72</v>
      </c>
      <c r="AR4702" t="s">
        <v>72</v>
      </c>
      <c r="AS4702">
        <v>2993</v>
      </c>
      <c r="AT4702" s="4">
        <v>42682</v>
      </c>
      <c r="AU4702" t="s">
        <v>73</v>
      </c>
      <c r="AV4702">
        <v>2993</v>
      </c>
      <c r="AW4702" s="4">
        <v>42682</v>
      </c>
      <c r="BD4702">
        <v>0</v>
      </c>
      <c r="BN4702" t="s">
        <v>74</v>
      </c>
    </row>
    <row r="4703" spans="1:66">
      <c r="A4703">
        <v>101710</v>
      </c>
      <c r="B4703" s="3" t="s">
        <v>499</v>
      </c>
      <c r="C4703" s="1">
        <v>43300101</v>
      </c>
      <c r="D4703" t="s">
        <v>67</v>
      </c>
      <c r="H4703" t="str">
        <f t="shared" si="503"/>
        <v>07275210636</v>
      </c>
      <c r="I4703" t="str">
        <f t="shared" si="503"/>
        <v>07275210636</v>
      </c>
      <c r="K4703" t="str">
        <f>""</f>
        <v/>
      </c>
      <c r="M4703" t="s">
        <v>68</v>
      </c>
      <c r="N4703" t="str">
        <f t="shared" si="502"/>
        <v>FOR</v>
      </c>
      <c r="O4703" t="s">
        <v>69</v>
      </c>
      <c r="P4703" s="3" t="s">
        <v>75</v>
      </c>
      <c r="Q4703">
        <v>2015</v>
      </c>
      <c r="R4703" s="2">
        <v>42360</v>
      </c>
      <c r="S4703" s="2">
        <v>42368</v>
      </c>
      <c r="T4703" s="2">
        <v>42367</v>
      </c>
      <c r="U4703" s="2">
        <v>42427</v>
      </c>
      <c r="V4703" t="s">
        <v>71</v>
      </c>
      <c r="W4703" t="str">
        <f>"              347/CV"</f>
        <v xml:space="preserve">              347/CV</v>
      </c>
      <c r="X4703" s="1">
        <v>1220</v>
      </c>
      <c r="Y4703">
        <v>0</v>
      </c>
      <c r="Z4703" s="5">
        <v>1000</v>
      </c>
      <c r="AA4703">
        <v>263</v>
      </c>
      <c r="AB4703" s="5">
        <v>263000</v>
      </c>
      <c r="AC4703" s="1">
        <v>1000</v>
      </c>
      <c r="AD4703">
        <v>263</v>
      </c>
      <c r="AE4703" s="1">
        <v>263000</v>
      </c>
      <c r="AF4703">
        <v>0</v>
      </c>
      <c r="AJ4703">
        <v>0</v>
      </c>
      <c r="AK4703">
        <v>0</v>
      </c>
      <c r="AL4703">
        <v>0</v>
      </c>
      <c r="AM4703">
        <v>0</v>
      </c>
      <c r="AN4703">
        <v>0</v>
      </c>
      <c r="AO4703">
        <v>0</v>
      </c>
      <c r="AP4703" s="2">
        <v>42746</v>
      </c>
      <c r="AQ4703" t="s">
        <v>72</v>
      </c>
      <c r="AR4703" t="s">
        <v>72</v>
      </c>
      <c r="AS4703">
        <v>3151</v>
      </c>
      <c r="AT4703" s="4">
        <v>42690</v>
      </c>
      <c r="AU4703" t="s">
        <v>73</v>
      </c>
      <c r="AV4703">
        <v>3151</v>
      </c>
      <c r="AW4703" s="4">
        <v>42690</v>
      </c>
      <c r="BD4703">
        <v>0</v>
      </c>
      <c r="BN4703" t="s">
        <v>74</v>
      </c>
    </row>
    <row r="4704" spans="1:66" hidden="1">
      <c r="A4704">
        <v>101711</v>
      </c>
      <c r="B4704" s="3" t="s">
        <v>500</v>
      </c>
      <c r="C4704" s="1">
        <v>43300101</v>
      </c>
      <c r="D4704" t="s">
        <v>67</v>
      </c>
      <c r="H4704" t="str">
        <f t="shared" ref="H4704:I4717" si="504">"06436131210"</f>
        <v>06436131210</v>
      </c>
      <c r="I4704" t="str">
        <f t="shared" si="504"/>
        <v>06436131210</v>
      </c>
      <c r="K4704" t="str">
        <f>""</f>
        <v/>
      </c>
      <c r="M4704" t="s">
        <v>68</v>
      </c>
      <c r="N4704" t="str">
        <f t="shared" si="502"/>
        <v>FOR</v>
      </c>
      <c r="O4704" t="s">
        <v>69</v>
      </c>
      <c r="P4704" s="3" t="s">
        <v>75</v>
      </c>
      <c r="Q4704">
        <v>2015</v>
      </c>
      <c r="R4704" s="2">
        <v>42117</v>
      </c>
      <c r="S4704" s="2">
        <v>42172</v>
      </c>
      <c r="T4704" s="2">
        <v>42138</v>
      </c>
      <c r="U4704" s="2">
        <v>42198</v>
      </c>
      <c r="V4704" t="s">
        <v>71</v>
      </c>
      <c r="W4704" t="str">
        <f>"               PA028"</f>
        <v xml:space="preserve">               PA028</v>
      </c>
      <c r="X4704" s="1">
        <v>3074.4</v>
      </c>
      <c r="Y4704">
        <v>0</v>
      </c>
      <c r="Z4704"/>
      <c r="AB4704"/>
      <c r="AC4704" s="1">
        <v>2520</v>
      </c>
      <c r="AD4704">
        <v>203</v>
      </c>
      <c r="AE4704" s="1">
        <v>511560</v>
      </c>
      <c r="AF4704">
        <v>0</v>
      </c>
      <c r="AJ4704">
        <v>0</v>
      </c>
      <c r="AK4704">
        <v>0</v>
      </c>
      <c r="AL4704">
        <v>0</v>
      </c>
      <c r="AM4704">
        <v>0</v>
      </c>
      <c r="AN4704">
        <v>0</v>
      </c>
      <c r="AO4704">
        <v>0</v>
      </c>
      <c r="AP4704" s="2">
        <v>42746</v>
      </c>
      <c r="AQ4704" t="s">
        <v>72</v>
      </c>
      <c r="AR4704" t="s">
        <v>72</v>
      </c>
      <c r="AS4704">
        <v>170</v>
      </c>
      <c r="AT4704" s="4">
        <v>42401</v>
      </c>
      <c r="AU4704" t="s">
        <v>73</v>
      </c>
      <c r="AV4704">
        <v>170</v>
      </c>
      <c r="AW4704" s="4">
        <v>42401</v>
      </c>
      <c r="BD4704">
        <v>0</v>
      </c>
      <c r="BN4704" t="s">
        <v>74</v>
      </c>
    </row>
    <row r="4705" spans="1:66" hidden="1">
      <c r="A4705">
        <v>101711</v>
      </c>
      <c r="B4705" s="3" t="s">
        <v>500</v>
      </c>
      <c r="C4705" s="1">
        <v>43300101</v>
      </c>
      <c r="D4705" t="s">
        <v>67</v>
      </c>
      <c r="H4705" t="str">
        <f t="shared" si="504"/>
        <v>06436131210</v>
      </c>
      <c r="I4705" t="str">
        <f t="shared" si="504"/>
        <v>06436131210</v>
      </c>
      <c r="K4705" t="str">
        <f>""</f>
        <v/>
      </c>
      <c r="M4705" t="s">
        <v>68</v>
      </c>
      <c r="N4705" t="str">
        <f t="shared" si="502"/>
        <v>FOR</v>
      </c>
      <c r="O4705" t="s">
        <v>69</v>
      </c>
      <c r="P4705" s="3" t="s">
        <v>75</v>
      </c>
      <c r="Q4705">
        <v>2015</v>
      </c>
      <c r="R4705" s="2">
        <v>42205</v>
      </c>
      <c r="S4705" s="2">
        <v>42233</v>
      </c>
      <c r="T4705" s="2">
        <v>42207</v>
      </c>
      <c r="U4705" s="2">
        <v>42267</v>
      </c>
      <c r="V4705" t="s">
        <v>71</v>
      </c>
      <c r="W4705" t="str">
        <f>"               PA132"</f>
        <v xml:space="preserve">               PA132</v>
      </c>
      <c r="X4705" s="1">
        <v>1942</v>
      </c>
      <c r="Y4705">
        <v>0</v>
      </c>
      <c r="Z4705"/>
      <c r="AB4705"/>
      <c r="AC4705" s="1">
        <v>1591.8</v>
      </c>
      <c r="AD4705">
        <v>134</v>
      </c>
      <c r="AE4705" s="1">
        <v>213301.2</v>
      </c>
      <c r="AF4705">
        <v>0</v>
      </c>
      <c r="AJ4705">
        <v>0</v>
      </c>
      <c r="AK4705">
        <v>0</v>
      </c>
      <c r="AL4705">
        <v>0</v>
      </c>
      <c r="AM4705">
        <v>0</v>
      </c>
      <c r="AN4705">
        <v>0</v>
      </c>
      <c r="AO4705">
        <v>0</v>
      </c>
      <c r="AP4705" s="2">
        <v>42746</v>
      </c>
      <c r="AQ4705" t="s">
        <v>72</v>
      </c>
      <c r="AR4705" t="s">
        <v>72</v>
      </c>
      <c r="AS4705">
        <v>170</v>
      </c>
      <c r="AT4705" s="4">
        <v>42401</v>
      </c>
      <c r="AU4705" t="s">
        <v>73</v>
      </c>
      <c r="AV4705">
        <v>170</v>
      </c>
      <c r="AW4705" s="4">
        <v>42401</v>
      </c>
      <c r="BD4705">
        <v>0</v>
      </c>
      <c r="BN4705" t="s">
        <v>74</v>
      </c>
    </row>
    <row r="4706" spans="1:66" hidden="1">
      <c r="A4706">
        <v>101711</v>
      </c>
      <c r="B4706" s="3" t="s">
        <v>500</v>
      </c>
      <c r="C4706" s="1">
        <v>43300101</v>
      </c>
      <c r="D4706" t="s">
        <v>67</v>
      </c>
      <c r="H4706" t="str">
        <f t="shared" si="504"/>
        <v>06436131210</v>
      </c>
      <c r="I4706" t="str">
        <f t="shared" si="504"/>
        <v>06436131210</v>
      </c>
      <c r="K4706" t="str">
        <f>""</f>
        <v/>
      </c>
      <c r="M4706" t="s">
        <v>68</v>
      </c>
      <c r="N4706" t="str">
        <f t="shared" si="502"/>
        <v>FOR</v>
      </c>
      <c r="O4706" t="s">
        <v>69</v>
      </c>
      <c r="P4706" s="3" t="s">
        <v>75</v>
      </c>
      <c r="Q4706">
        <v>2015</v>
      </c>
      <c r="R4706" s="2">
        <v>42237</v>
      </c>
      <c r="S4706" s="2">
        <v>42258</v>
      </c>
      <c r="T4706" s="2">
        <v>42256</v>
      </c>
      <c r="U4706" s="2">
        <v>42316</v>
      </c>
      <c r="V4706" t="s">
        <v>71</v>
      </c>
      <c r="W4706" t="str">
        <f>"               PA187"</f>
        <v xml:space="preserve">               PA187</v>
      </c>
      <c r="X4706" s="1">
        <v>1801.8</v>
      </c>
      <c r="Y4706">
        <v>0</v>
      </c>
      <c r="Z4706"/>
      <c r="AB4706"/>
      <c r="AC4706" s="1">
        <v>1732.5</v>
      </c>
      <c r="AD4706">
        <v>171</v>
      </c>
      <c r="AE4706" s="1">
        <v>296257.5</v>
      </c>
      <c r="AF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0</v>
      </c>
      <c r="AP4706" s="2">
        <v>42746</v>
      </c>
      <c r="AQ4706" t="s">
        <v>72</v>
      </c>
      <c r="AR4706" t="s">
        <v>72</v>
      </c>
      <c r="AS4706">
        <v>1208</v>
      </c>
      <c r="AT4706" s="4">
        <v>42487</v>
      </c>
      <c r="AU4706" t="s">
        <v>73</v>
      </c>
      <c r="AV4706">
        <v>1208</v>
      </c>
      <c r="AW4706" s="4">
        <v>42487</v>
      </c>
      <c r="BD4706">
        <v>0</v>
      </c>
      <c r="BN4706" t="s">
        <v>74</v>
      </c>
    </row>
    <row r="4707" spans="1:66" hidden="1">
      <c r="A4707">
        <v>101711</v>
      </c>
      <c r="B4707" s="3" t="s">
        <v>500</v>
      </c>
      <c r="C4707" s="1">
        <v>43300101</v>
      </c>
      <c r="D4707" t="s">
        <v>67</v>
      </c>
      <c r="H4707" t="str">
        <f t="shared" si="504"/>
        <v>06436131210</v>
      </c>
      <c r="I4707" t="str">
        <f t="shared" si="504"/>
        <v>06436131210</v>
      </c>
      <c r="K4707" t="str">
        <f>""</f>
        <v/>
      </c>
      <c r="M4707" t="s">
        <v>68</v>
      </c>
      <c r="N4707" t="str">
        <f t="shared" si="502"/>
        <v>FOR</v>
      </c>
      <c r="O4707" t="s">
        <v>69</v>
      </c>
      <c r="P4707" s="3" t="s">
        <v>75</v>
      </c>
      <c r="Q4707">
        <v>2015</v>
      </c>
      <c r="R4707" s="2">
        <v>42270</v>
      </c>
      <c r="S4707" s="2">
        <v>42282</v>
      </c>
      <c r="T4707" s="2">
        <v>42278</v>
      </c>
      <c r="U4707" s="2">
        <v>42338</v>
      </c>
      <c r="V4707" t="s">
        <v>71</v>
      </c>
      <c r="W4707" t="str">
        <f>"               PA207"</f>
        <v xml:space="preserve">               PA207</v>
      </c>
      <c r="X4707" s="1">
        <v>1801.8</v>
      </c>
      <c r="Y4707">
        <v>0</v>
      </c>
      <c r="Z4707"/>
      <c r="AB4707"/>
      <c r="AC4707" s="1">
        <v>1732.5</v>
      </c>
      <c r="AD4707">
        <v>214</v>
      </c>
      <c r="AE4707" s="1">
        <v>370755</v>
      </c>
      <c r="AF4707">
        <v>0</v>
      </c>
      <c r="AJ4707">
        <v>0</v>
      </c>
      <c r="AK4707">
        <v>0</v>
      </c>
      <c r="AL4707">
        <v>0</v>
      </c>
      <c r="AM4707">
        <v>0</v>
      </c>
      <c r="AN4707">
        <v>0</v>
      </c>
      <c r="AO4707">
        <v>0</v>
      </c>
      <c r="AP4707" s="2">
        <v>42746</v>
      </c>
      <c r="AQ4707" t="s">
        <v>72</v>
      </c>
      <c r="AR4707" t="s">
        <v>72</v>
      </c>
      <c r="AS4707">
        <v>1662</v>
      </c>
      <c r="AT4707" s="4">
        <v>42552</v>
      </c>
      <c r="AU4707" t="s">
        <v>73</v>
      </c>
      <c r="AV4707">
        <v>1662</v>
      </c>
      <c r="AW4707" s="4">
        <v>42552</v>
      </c>
      <c r="BD4707">
        <v>0</v>
      </c>
      <c r="BN4707" t="s">
        <v>74</v>
      </c>
    </row>
    <row r="4708" spans="1:66" hidden="1">
      <c r="A4708">
        <v>101711</v>
      </c>
      <c r="B4708" s="3" t="s">
        <v>500</v>
      </c>
      <c r="C4708" s="1">
        <v>43300101</v>
      </c>
      <c r="D4708" t="s">
        <v>67</v>
      </c>
      <c r="H4708" t="str">
        <f t="shared" si="504"/>
        <v>06436131210</v>
      </c>
      <c r="I4708" t="str">
        <f t="shared" si="504"/>
        <v>06436131210</v>
      </c>
      <c r="K4708" t="str">
        <f>""</f>
        <v/>
      </c>
      <c r="M4708" t="s">
        <v>68</v>
      </c>
      <c r="N4708" t="str">
        <f t="shared" si="502"/>
        <v>FOR</v>
      </c>
      <c r="O4708" t="s">
        <v>69</v>
      </c>
      <c r="P4708" s="3" t="s">
        <v>75</v>
      </c>
      <c r="Q4708">
        <v>2015</v>
      </c>
      <c r="R4708" s="2">
        <v>42277</v>
      </c>
      <c r="S4708" s="2">
        <v>42282</v>
      </c>
      <c r="T4708" s="2">
        <v>42278</v>
      </c>
      <c r="U4708" s="2">
        <v>42338</v>
      </c>
      <c r="V4708" t="s">
        <v>71</v>
      </c>
      <c r="W4708" t="str">
        <f>"               PA213"</f>
        <v xml:space="preserve">               PA213</v>
      </c>
      <c r="X4708" s="1">
        <v>1342</v>
      </c>
      <c r="Y4708">
        <v>0</v>
      </c>
      <c r="Z4708"/>
      <c r="AB4708"/>
      <c r="AC4708" s="1">
        <v>1100</v>
      </c>
      <c r="AD4708">
        <v>214</v>
      </c>
      <c r="AE4708" s="1">
        <v>235400</v>
      </c>
      <c r="AF4708">
        <v>0</v>
      </c>
      <c r="AJ4708">
        <v>0</v>
      </c>
      <c r="AK4708">
        <v>0</v>
      </c>
      <c r="AL4708">
        <v>0</v>
      </c>
      <c r="AM4708">
        <v>0</v>
      </c>
      <c r="AN4708">
        <v>0</v>
      </c>
      <c r="AO4708">
        <v>0</v>
      </c>
      <c r="AP4708" s="2">
        <v>42746</v>
      </c>
      <c r="AQ4708" t="s">
        <v>72</v>
      </c>
      <c r="AR4708" t="s">
        <v>72</v>
      </c>
      <c r="AS4708">
        <v>1662</v>
      </c>
      <c r="AT4708" s="4">
        <v>42552</v>
      </c>
      <c r="AU4708" t="s">
        <v>73</v>
      </c>
      <c r="AV4708">
        <v>1662</v>
      </c>
      <c r="AW4708" s="4">
        <v>42552</v>
      </c>
      <c r="BD4708">
        <v>0</v>
      </c>
      <c r="BN4708" t="s">
        <v>74</v>
      </c>
    </row>
    <row r="4709" spans="1:66" hidden="1">
      <c r="A4709">
        <v>101711</v>
      </c>
      <c r="B4709" s="3" t="s">
        <v>500</v>
      </c>
      <c r="C4709" s="1">
        <v>43300101</v>
      </c>
      <c r="D4709" t="s">
        <v>67</v>
      </c>
      <c r="H4709" t="str">
        <f t="shared" si="504"/>
        <v>06436131210</v>
      </c>
      <c r="I4709" t="str">
        <f t="shared" si="504"/>
        <v>06436131210</v>
      </c>
      <c r="K4709" t="str">
        <f>""</f>
        <v/>
      </c>
      <c r="M4709" t="s">
        <v>68</v>
      </c>
      <c r="N4709" t="str">
        <f t="shared" si="502"/>
        <v>FOR</v>
      </c>
      <c r="O4709" t="s">
        <v>69</v>
      </c>
      <c r="P4709" s="3" t="s">
        <v>75</v>
      </c>
      <c r="Q4709">
        <v>2015</v>
      </c>
      <c r="R4709" s="2">
        <v>42283</v>
      </c>
      <c r="S4709" s="2">
        <v>42286</v>
      </c>
      <c r="T4709" s="2">
        <v>42285</v>
      </c>
      <c r="U4709" s="2">
        <v>42345</v>
      </c>
      <c r="V4709" t="s">
        <v>71</v>
      </c>
      <c r="W4709" t="str">
        <f>"               PA222"</f>
        <v xml:space="preserve">               PA222</v>
      </c>
      <c r="X4709">
        <v>933.3</v>
      </c>
      <c r="Y4709">
        <v>0</v>
      </c>
      <c r="Z4709"/>
      <c r="AB4709"/>
      <c r="AC4709">
        <v>765</v>
      </c>
      <c r="AD4709">
        <v>232</v>
      </c>
      <c r="AE4709" s="1">
        <v>177480</v>
      </c>
      <c r="AF4709">
        <v>0</v>
      </c>
      <c r="AJ4709">
        <v>0</v>
      </c>
      <c r="AK4709">
        <v>0</v>
      </c>
      <c r="AL4709">
        <v>0</v>
      </c>
      <c r="AM4709">
        <v>0</v>
      </c>
      <c r="AN4709">
        <v>0</v>
      </c>
      <c r="AO4709">
        <v>0</v>
      </c>
      <c r="AP4709" s="2">
        <v>42746</v>
      </c>
      <c r="AQ4709" t="s">
        <v>72</v>
      </c>
      <c r="AR4709" t="s">
        <v>72</v>
      </c>
      <c r="AS4709">
        <v>1966</v>
      </c>
      <c r="AT4709" s="4">
        <v>42577</v>
      </c>
      <c r="AU4709" t="s">
        <v>73</v>
      </c>
      <c r="AV4709">
        <v>1966</v>
      </c>
      <c r="AW4709" s="4">
        <v>42577</v>
      </c>
      <c r="BD4709">
        <v>0</v>
      </c>
      <c r="BN4709" t="s">
        <v>74</v>
      </c>
    </row>
    <row r="4710" spans="1:66" hidden="1">
      <c r="A4710">
        <v>101711</v>
      </c>
      <c r="B4710" s="3" t="s">
        <v>500</v>
      </c>
      <c r="C4710" s="1">
        <v>43300101</v>
      </c>
      <c r="D4710" t="s">
        <v>67</v>
      </c>
      <c r="H4710" t="str">
        <f t="shared" si="504"/>
        <v>06436131210</v>
      </c>
      <c r="I4710" t="str">
        <f t="shared" si="504"/>
        <v>06436131210</v>
      </c>
      <c r="K4710" t="str">
        <f>""</f>
        <v/>
      </c>
      <c r="M4710" t="s">
        <v>68</v>
      </c>
      <c r="N4710" t="str">
        <f t="shared" si="502"/>
        <v>FOR</v>
      </c>
      <c r="O4710" t="s">
        <v>69</v>
      </c>
      <c r="P4710" s="3" t="s">
        <v>75</v>
      </c>
      <c r="Q4710">
        <v>2015</v>
      </c>
      <c r="R4710" s="2">
        <v>42283</v>
      </c>
      <c r="S4710" s="2">
        <v>42292</v>
      </c>
      <c r="T4710" s="2">
        <v>42291</v>
      </c>
      <c r="U4710" s="2">
        <v>42351</v>
      </c>
      <c r="V4710" t="s">
        <v>71</v>
      </c>
      <c r="W4710" t="str">
        <f>"               PA225"</f>
        <v xml:space="preserve">               PA225</v>
      </c>
      <c r="X4710" s="1">
        <v>8296</v>
      </c>
      <c r="Y4710">
        <v>0</v>
      </c>
      <c r="Z4710"/>
      <c r="AB4710"/>
      <c r="AC4710" s="1">
        <v>6800</v>
      </c>
      <c r="AD4710">
        <v>226</v>
      </c>
      <c r="AE4710" s="1">
        <v>1536800</v>
      </c>
      <c r="AF4710">
        <v>0</v>
      </c>
      <c r="AJ4710">
        <v>0</v>
      </c>
      <c r="AK4710">
        <v>0</v>
      </c>
      <c r="AL4710">
        <v>0</v>
      </c>
      <c r="AM4710">
        <v>0</v>
      </c>
      <c r="AN4710">
        <v>0</v>
      </c>
      <c r="AO4710">
        <v>0</v>
      </c>
      <c r="AP4710" s="2">
        <v>42746</v>
      </c>
      <c r="AQ4710" t="s">
        <v>72</v>
      </c>
      <c r="AR4710" t="s">
        <v>72</v>
      </c>
      <c r="AS4710">
        <v>1966</v>
      </c>
      <c r="AT4710" s="4">
        <v>42577</v>
      </c>
      <c r="AU4710" t="s">
        <v>73</v>
      </c>
      <c r="AV4710">
        <v>1966</v>
      </c>
      <c r="AW4710" s="4">
        <v>42577</v>
      </c>
      <c r="BD4710">
        <v>0</v>
      </c>
      <c r="BN4710" t="s">
        <v>74</v>
      </c>
    </row>
    <row r="4711" spans="1:66" hidden="1">
      <c r="A4711">
        <v>101711</v>
      </c>
      <c r="B4711" s="3" t="s">
        <v>500</v>
      </c>
      <c r="C4711" s="1">
        <v>43300101</v>
      </c>
      <c r="D4711" t="s">
        <v>67</v>
      </c>
      <c r="H4711" t="str">
        <f t="shared" si="504"/>
        <v>06436131210</v>
      </c>
      <c r="I4711" t="str">
        <f t="shared" si="504"/>
        <v>06436131210</v>
      </c>
      <c r="K4711" t="str">
        <f>""</f>
        <v/>
      </c>
      <c r="M4711" t="s">
        <v>68</v>
      </c>
      <c r="N4711" t="str">
        <f t="shared" si="502"/>
        <v>FOR</v>
      </c>
      <c r="O4711" t="s">
        <v>69</v>
      </c>
      <c r="P4711" s="3" t="s">
        <v>75</v>
      </c>
      <c r="Q4711">
        <v>2015</v>
      </c>
      <c r="R4711" s="2">
        <v>42283</v>
      </c>
      <c r="S4711" s="2">
        <v>42292</v>
      </c>
      <c r="T4711" s="2">
        <v>42291</v>
      </c>
      <c r="U4711" s="2">
        <v>42351</v>
      </c>
      <c r="V4711" t="s">
        <v>71</v>
      </c>
      <c r="W4711" t="str">
        <f>"               PA226"</f>
        <v xml:space="preserve">               PA226</v>
      </c>
      <c r="X4711" s="1">
        <v>1342</v>
      </c>
      <c r="Y4711">
        <v>0</v>
      </c>
      <c r="Z4711"/>
      <c r="AB4711"/>
      <c r="AC4711" s="1">
        <v>1100</v>
      </c>
      <c r="AD4711">
        <v>226</v>
      </c>
      <c r="AE4711" s="1">
        <v>248600</v>
      </c>
      <c r="AF4711">
        <v>0</v>
      </c>
      <c r="AJ4711">
        <v>0</v>
      </c>
      <c r="AK4711">
        <v>0</v>
      </c>
      <c r="AL4711">
        <v>0</v>
      </c>
      <c r="AM4711">
        <v>0</v>
      </c>
      <c r="AN4711">
        <v>0</v>
      </c>
      <c r="AO4711">
        <v>0</v>
      </c>
      <c r="AP4711" s="2">
        <v>42746</v>
      </c>
      <c r="AQ4711" t="s">
        <v>72</v>
      </c>
      <c r="AR4711" t="s">
        <v>72</v>
      </c>
      <c r="AS4711">
        <v>1966</v>
      </c>
      <c r="AT4711" s="4">
        <v>42577</v>
      </c>
      <c r="AU4711" t="s">
        <v>73</v>
      </c>
      <c r="AV4711">
        <v>1966</v>
      </c>
      <c r="AW4711" s="4">
        <v>42577</v>
      </c>
      <c r="BD4711">
        <v>0</v>
      </c>
      <c r="BN4711" t="s">
        <v>74</v>
      </c>
    </row>
    <row r="4712" spans="1:66" hidden="1">
      <c r="A4712">
        <v>101711</v>
      </c>
      <c r="B4712" s="3" t="s">
        <v>500</v>
      </c>
      <c r="C4712" s="1">
        <v>43300101</v>
      </c>
      <c r="D4712" t="s">
        <v>67</v>
      </c>
      <c r="H4712" t="str">
        <f t="shared" si="504"/>
        <v>06436131210</v>
      </c>
      <c r="I4712" t="str">
        <f t="shared" si="504"/>
        <v>06436131210</v>
      </c>
      <c r="K4712" t="str">
        <f>""</f>
        <v/>
      </c>
      <c r="M4712" t="s">
        <v>68</v>
      </c>
      <c r="N4712" t="str">
        <f t="shared" si="502"/>
        <v>FOR</v>
      </c>
      <c r="O4712" t="s">
        <v>69</v>
      </c>
      <c r="P4712" s="3" t="s">
        <v>75</v>
      </c>
      <c r="Q4712">
        <v>2015</v>
      </c>
      <c r="R4712" s="2">
        <v>42299</v>
      </c>
      <c r="S4712" s="2">
        <v>42331</v>
      </c>
      <c r="T4712" s="2">
        <v>42328</v>
      </c>
      <c r="U4712" s="2">
        <v>42388</v>
      </c>
      <c r="V4712" t="s">
        <v>71</v>
      </c>
      <c r="W4712" t="str">
        <f>"               PA249"</f>
        <v xml:space="preserve">               PA249</v>
      </c>
      <c r="X4712" s="1">
        <v>1060.18</v>
      </c>
      <c r="Y4712">
        <v>0</v>
      </c>
      <c r="Z4712"/>
      <c r="AB4712"/>
      <c r="AC4712">
        <v>869</v>
      </c>
      <c r="AD4712">
        <v>189</v>
      </c>
      <c r="AE4712" s="1">
        <v>164241</v>
      </c>
      <c r="AF4712">
        <v>0</v>
      </c>
      <c r="AJ4712">
        <v>0</v>
      </c>
      <c r="AK4712">
        <v>0</v>
      </c>
      <c r="AL4712">
        <v>0</v>
      </c>
      <c r="AM4712">
        <v>0</v>
      </c>
      <c r="AN4712">
        <v>0</v>
      </c>
      <c r="AO4712">
        <v>0</v>
      </c>
      <c r="AP4712" s="2">
        <v>42746</v>
      </c>
      <c r="AQ4712" t="s">
        <v>72</v>
      </c>
      <c r="AR4712" t="s">
        <v>72</v>
      </c>
      <c r="AS4712">
        <v>1966</v>
      </c>
      <c r="AT4712" s="4">
        <v>42577</v>
      </c>
      <c r="AU4712" t="s">
        <v>73</v>
      </c>
      <c r="AV4712">
        <v>1966</v>
      </c>
      <c r="AW4712" s="4">
        <v>42577</v>
      </c>
      <c r="BD4712">
        <v>0</v>
      </c>
      <c r="BN4712" t="s">
        <v>74</v>
      </c>
    </row>
    <row r="4713" spans="1:66">
      <c r="A4713">
        <v>101711</v>
      </c>
      <c r="B4713" s="3" t="s">
        <v>500</v>
      </c>
      <c r="C4713" s="1">
        <v>43300101</v>
      </c>
      <c r="D4713" t="s">
        <v>67</v>
      </c>
      <c r="H4713" t="str">
        <f t="shared" si="504"/>
        <v>06436131210</v>
      </c>
      <c r="I4713" t="str">
        <f t="shared" si="504"/>
        <v>06436131210</v>
      </c>
      <c r="K4713" t="str">
        <f>""</f>
        <v/>
      </c>
      <c r="M4713" t="s">
        <v>68</v>
      </c>
      <c r="N4713" t="str">
        <f t="shared" si="502"/>
        <v>FOR</v>
      </c>
      <c r="O4713" t="s">
        <v>69</v>
      </c>
      <c r="P4713" s="3" t="s">
        <v>75</v>
      </c>
      <c r="Q4713">
        <v>2016</v>
      </c>
      <c r="R4713" s="2">
        <v>42429</v>
      </c>
      <c r="S4713" s="2">
        <v>42438</v>
      </c>
      <c r="T4713" s="2">
        <v>42436</v>
      </c>
      <c r="U4713" s="2">
        <v>42496</v>
      </c>
      <c r="V4713" t="s">
        <v>71</v>
      </c>
      <c r="W4713" t="str">
        <f>"               PA046"</f>
        <v xml:space="preserve">               PA046</v>
      </c>
      <c r="X4713" s="1">
        <v>4479.53</v>
      </c>
      <c r="Y4713">
        <v>0</v>
      </c>
      <c r="Z4713" s="5">
        <v>3671.75</v>
      </c>
      <c r="AA4713">
        <v>187</v>
      </c>
      <c r="AB4713" s="5">
        <v>686617.25</v>
      </c>
      <c r="AC4713" s="1">
        <v>3671.75</v>
      </c>
      <c r="AD4713">
        <v>187</v>
      </c>
      <c r="AE4713" s="1">
        <v>686617.25</v>
      </c>
      <c r="AF4713">
        <v>0</v>
      </c>
      <c r="AJ4713">
        <v>0</v>
      </c>
      <c r="AK4713">
        <v>-235.77</v>
      </c>
      <c r="AL4713">
        <v>0</v>
      </c>
      <c r="AM4713" s="1">
        <v>4479.53</v>
      </c>
      <c r="AN4713" s="1">
        <v>4479.53</v>
      </c>
      <c r="AO4713" s="1">
        <v>4479.53</v>
      </c>
      <c r="AP4713" s="2">
        <v>42746</v>
      </c>
      <c r="AQ4713" t="s">
        <v>72</v>
      </c>
      <c r="AR4713" t="s">
        <v>72</v>
      </c>
      <c r="AS4713">
        <v>3008</v>
      </c>
      <c r="AT4713" s="4">
        <v>42683</v>
      </c>
      <c r="AU4713" t="s">
        <v>73</v>
      </c>
      <c r="AV4713">
        <v>3008</v>
      </c>
      <c r="AW4713" s="4">
        <v>42683</v>
      </c>
      <c r="BD4713">
        <v>0</v>
      </c>
      <c r="BN4713" t="s">
        <v>74</v>
      </c>
    </row>
    <row r="4714" spans="1:66" hidden="1">
      <c r="A4714">
        <v>101711</v>
      </c>
      <c r="B4714" s="3" t="s">
        <v>500</v>
      </c>
      <c r="C4714" s="1">
        <v>43300101</v>
      </c>
      <c r="D4714" t="s">
        <v>67</v>
      </c>
      <c r="H4714" t="str">
        <f t="shared" si="504"/>
        <v>06436131210</v>
      </c>
      <c r="I4714" t="str">
        <f t="shared" si="504"/>
        <v>06436131210</v>
      </c>
      <c r="K4714" t="str">
        <f>""</f>
        <v/>
      </c>
      <c r="M4714" t="s">
        <v>68</v>
      </c>
      <c r="N4714" t="str">
        <f t="shared" si="502"/>
        <v>FOR</v>
      </c>
      <c r="O4714" t="s">
        <v>69</v>
      </c>
      <c r="P4714" s="3" t="s">
        <v>75</v>
      </c>
      <c r="Q4714">
        <v>2016</v>
      </c>
      <c r="R4714" s="2">
        <v>42451</v>
      </c>
      <c r="S4714" s="2">
        <v>42464</v>
      </c>
      <c r="T4714" s="2">
        <v>42459</v>
      </c>
      <c r="U4714" s="2">
        <v>42519</v>
      </c>
      <c r="V4714" t="s">
        <v>71</v>
      </c>
      <c r="W4714" t="str">
        <f>"               PA081"</f>
        <v xml:space="preserve">               PA081</v>
      </c>
      <c r="X4714" s="1">
        <v>1537.2</v>
      </c>
      <c r="Y4714">
        <v>0</v>
      </c>
      <c r="Z4714"/>
      <c r="AB4714"/>
      <c r="AC4714" s="1">
        <v>1260</v>
      </c>
      <c r="AD4714">
        <v>101</v>
      </c>
      <c r="AE4714" s="1">
        <v>127260</v>
      </c>
      <c r="AF4714">
        <v>0</v>
      </c>
      <c r="AJ4714">
        <v>0</v>
      </c>
      <c r="AK4714">
        <v>0</v>
      </c>
      <c r="AL4714">
        <v>0</v>
      </c>
      <c r="AM4714" s="1">
        <v>1537.2</v>
      </c>
      <c r="AN4714" s="1">
        <v>1537.2</v>
      </c>
      <c r="AO4714" s="1">
        <v>1537.2</v>
      </c>
      <c r="AP4714" s="2">
        <v>42746</v>
      </c>
      <c r="AQ4714" t="s">
        <v>72</v>
      </c>
      <c r="AR4714" t="s">
        <v>72</v>
      </c>
      <c r="AS4714">
        <v>2311</v>
      </c>
      <c r="AT4714" s="4">
        <v>42620</v>
      </c>
      <c r="AU4714" t="s">
        <v>73</v>
      </c>
      <c r="AV4714">
        <v>2311</v>
      </c>
      <c r="AW4714" s="4">
        <v>42620</v>
      </c>
      <c r="BD4714">
        <v>0</v>
      </c>
      <c r="BN4714" t="s">
        <v>74</v>
      </c>
    </row>
    <row r="4715" spans="1:66" hidden="1">
      <c r="A4715">
        <v>101711</v>
      </c>
      <c r="B4715" s="3" t="s">
        <v>500</v>
      </c>
      <c r="C4715" s="1">
        <v>43300101</v>
      </c>
      <c r="D4715" t="s">
        <v>67</v>
      </c>
      <c r="H4715" t="str">
        <f t="shared" si="504"/>
        <v>06436131210</v>
      </c>
      <c r="I4715" t="str">
        <f t="shared" si="504"/>
        <v>06436131210</v>
      </c>
      <c r="K4715" t="str">
        <f>""</f>
        <v/>
      </c>
      <c r="M4715" t="s">
        <v>68</v>
      </c>
      <c r="N4715" t="str">
        <f t="shared" si="502"/>
        <v>FOR</v>
      </c>
      <c r="O4715" t="s">
        <v>69</v>
      </c>
      <c r="P4715" s="3" t="s">
        <v>75</v>
      </c>
      <c r="Q4715">
        <v>2016</v>
      </c>
      <c r="R4715" s="2">
        <v>42535</v>
      </c>
      <c r="S4715" s="2">
        <v>42565</v>
      </c>
      <c r="T4715" s="2">
        <v>42563</v>
      </c>
      <c r="U4715" s="2">
        <v>42623</v>
      </c>
      <c r="V4715" t="s">
        <v>71</v>
      </c>
      <c r="W4715" t="str">
        <f>"               PA238"</f>
        <v xml:space="preserve">               PA238</v>
      </c>
      <c r="X4715">
        <v>294.83999999999997</v>
      </c>
      <c r="Y4715">
        <v>0</v>
      </c>
      <c r="Z4715"/>
      <c r="AB4715"/>
      <c r="AC4715">
        <v>283.5</v>
      </c>
      <c r="AD4715">
        <v>-3</v>
      </c>
      <c r="AE4715">
        <v>-850.5</v>
      </c>
      <c r="AF4715">
        <v>0</v>
      </c>
      <c r="AJ4715">
        <v>0</v>
      </c>
      <c r="AK4715">
        <v>0</v>
      </c>
      <c r="AL4715">
        <v>0</v>
      </c>
      <c r="AM4715">
        <v>294.83999999999997</v>
      </c>
      <c r="AN4715">
        <v>294.83999999999997</v>
      </c>
      <c r="AO4715">
        <v>294.83999999999997</v>
      </c>
      <c r="AP4715" s="2">
        <v>42746</v>
      </c>
      <c r="AQ4715" t="s">
        <v>72</v>
      </c>
      <c r="AR4715" t="s">
        <v>72</v>
      </c>
      <c r="AS4715">
        <v>2311</v>
      </c>
      <c r="AT4715" s="4">
        <v>42620</v>
      </c>
      <c r="AV4715">
        <v>2311</v>
      </c>
      <c r="AW4715" s="4">
        <v>42620</v>
      </c>
      <c r="BD4715">
        <v>0</v>
      </c>
      <c r="BN4715" t="s">
        <v>74</v>
      </c>
    </row>
    <row r="4716" spans="1:66">
      <c r="A4716">
        <v>101711</v>
      </c>
      <c r="B4716" s="3" t="s">
        <v>500</v>
      </c>
      <c r="C4716" s="1">
        <v>43300101</v>
      </c>
      <c r="D4716" t="s">
        <v>67</v>
      </c>
      <c r="H4716" t="str">
        <f t="shared" si="504"/>
        <v>06436131210</v>
      </c>
      <c r="I4716" t="str">
        <f t="shared" si="504"/>
        <v>06436131210</v>
      </c>
      <c r="K4716" t="str">
        <f>""</f>
        <v/>
      </c>
      <c r="M4716" t="s">
        <v>68</v>
      </c>
      <c r="N4716" t="str">
        <f t="shared" si="502"/>
        <v>FOR</v>
      </c>
      <c r="O4716" t="s">
        <v>69</v>
      </c>
      <c r="P4716" s="3" t="s">
        <v>75</v>
      </c>
      <c r="Q4716">
        <v>2016</v>
      </c>
      <c r="R4716" s="2">
        <v>42628</v>
      </c>
      <c r="S4716" s="2">
        <v>42634</v>
      </c>
      <c r="T4716" s="2">
        <v>42632</v>
      </c>
      <c r="U4716" s="2">
        <v>42692</v>
      </c>
      <c r="V4716" t="s">
        <v>71</v>
      </c>
      <c r="W4716" t="str">
        <f>"               PA363"</f>
        <v xml:space="preserve">               PA363</v>
      </c>
      <c r="X4716">
        <v>530.71</v>
      </c>
      <c r="Y4716">
        <v>0</v>
      </c>
      <c r="Z4716" s="3">
        <v>510.3</v>
      </c>
      <c r="AA4716">
        <v>-9</v>
      </c>
      <c r="AB4716" s="5">
        <v>-4592.7</v>
      </c>
      <c r="AC4716">
        <v>510.3</v>
      </c>
      <c r="AD4716">
        <v>-9</v>
      </c>
      <c r="AE4716" s="1">
        <v>-4592.7</v>
      </c>
      <c r="AF4716">
        <v>0</v>
      </c>
      <c r="AJ4716">
        <v>0</v>
      </c>
      <c r="AK4716">
        <v>0</v>
      </c>
      <c r="AL4716">
        <v>0</v>
      </c>
      <c r="AM4716">
        <v>530.71</v>
      </c>
      <c r="AN4716">
        <v>530.71</v>
      </c>
      <c r="AO4716">
        <v>530.71</v>
      </c>
      <c r="AP4716" s="2">
        <v>42746</v>
      </c>
      <c r="AQ4716" t="s">
        <v>72</v>
      </c>
      <c r="AR4716" t="s">
        <v>72</v>
      </c>
      <c r="AS4716">
        <v>3008</v>
      </c>
      <c r="AT4716" s="4">
        <v>42683</v>
      </c>
      <c r="AV4716">
        <v>3008</v>
      </c>
      <c r="AW4716" s="4">
        <v>42683</v>
      </c>
      <c r="BD4716">
        <v>0</v>
      </c>
      <c r="BN4716" t="s">
        <v>74</v>
      </c>
    </row>
    <row r="4717" spans="1:66">
      <c r="A4717">
        <v>101711</v>
      </c>
      <c r="B4717" s="3" t="s">
        <v>500</v>
      </c>
      <c r="C4717" s="1">
        <v>43300101</v>
      </c>
      <c r="D4717" t="s">
        <v>67</v>
      </c>
      <c r="H4717" t="str">
        <f t="shared" si="504"/>
        <v>06436131210</v>
      </c>
      <c r="I4717" t="str">
        <f t="shared" si="504"/>
        <v>06436131210</v>
      </c>
      <c r="K4717" t="str">
        <f>""</f>
        <v/>
      </c>
      <c r="M4717" t="s">
        <v>68</v>
      </c>
      <c r="N4717" t="str">
        <f t="shared" si="502"/>
        <v>FOR</v>
      </c>
      <c r="O4717" t="s">
        <v>69</v>
      </c>
      <c r="P4717" s="3" t="s">
        <v>75</v>
      </c>
      <c r="Q4717">
        <v>2016</v>
      </c>
      <c r="R4717" s="2">
        <v>42628</v>
      </c>
      <c r="S4717" s="2">
        <v>42633</v>
      </c>
      <c r="T4717" s="2">
        <v>42632</v>
      </c>
      <c r="U4717" s="2">
        <v>42692</v>
      </c>
      <c r="V4717" t="s">
        <v>71</v>
      </c>
      <c r="W4717" t="str">
        <f>"               PA364"</f>
        <v xml:space="preserve">               PA364</v>
      </c>
      <c r="X4717" s="1">
        <v>2851.98</v>
      </c>
      <c r="Y4717">
        <v>0</v>
      </c>
      <c r="Z4717" s="5">
        <v>2337.69</v>
      </c>
      <c r="AA4717">
        <v>26</v>
      </c>
      <c r="AB4717" s="5">
        <v>60779.94</v>
      </c>
      <c r="AC4717" s="1">
        <v>2337.69</v>
      </c>
      <c r="AD4717">
        <v>26</v>
      </c>
      <c r="AE4717" s="1">
        <v>60779.94</v>
      </c>
      <c r="AF4717">
        <v>514.29</v>
      </c>
      <c r="AJ4717">
        <v>0</v>
      </c>
      <c r="AK4717">
        <v>0</v>
      </c>
      <c r="AL4717">
        <v>0</v>
      </c>
      <c r="AM4717" s="1">
        <v>2851.98</v>
      </c>
      <c r="AN4717" s="1">
        <v>2851.98</v>
      </c>
      <c r="AO4717" s="1">
        <v>2851.98</v>
      </c>
      <c r="AP4717" s="2">
        <v>42746</v>
      </c>
      <c r="AQ4717" t="s">
        <v>72</v>
      </c>
      <c r="AR4717" t="s">
        <v>72</v>
      </c>
      <c r="AS4717">
        <v>3475</v>
      </c>
      <c r="AT4717" s="4">
        <v>42718</v>
      </c>
      <c r="AU4717" t="s">
        <v>73</v>
      </c>
      <c r="AV4717">
        <v>3475</v>
      </c>
      <c r="AW4717" s="4">
        <v>42718</v>
      </c>
      <c r="AY4717">
        <v>514.29</v>
      </c>
      <c r="BD4717">
        <v>0</v>
      </c>
      <c r="BN4717" t="s">
        <v>74</v>
      </c>
    </row>
    <row r="4718" spans="1:66" hidden="1">
      <c r="A4718">
        <v>101713</v>
      </c>
      <c r="B4718" s="3" t="s">
        <v>501</v>
      </c>
      <c r="C4718" s="1">
        <v>43500101</v>
      </c>
      <c r="D4718" t="s">
        <v>113</v>
      </c>
      <c r="H4718" t="str">
        <f t="shared" ref="H4718:H4730" si="505">"CRFNGL58A13A024M"</f>
        <v>CRFNGL58A13A024M</v>
      </c>
      <c r="I4718" t="str">
        <f>""</f>
        <v/>
      </c>
      <c r="K4718" t="str">
        <f>""</f>
        <v/>
      </c>
      <c r="M4718" t="s">
        <v>68</v>
      </c>
      <c r="N4718" t="str">
        <f t="shared" ref="N4718:N4730" si="506">"ALTPRO"</f>
        <v>ALTPRO</v>
      </c>
      <c r="O4718" t="s">
        <v>132</v>
      </c>
      <c r="P4718" s="3" t="s">
        <v>502</v>
      </c>
      <c r="Q4718">
        <v>2015</v>
      </c>
      <c r="R4718" s="2">
        <v>42366</v>
      </c>
      <c r="S4718" s="2">
        <v>42366</v>
      </c>
      <c r="T4718" s="2">
        <v>42366</v>
      </c>
      <c r="U4718" s="2">
        <v>42426</v>
      </c>
      <c r="V4718" t="s">
        <v>71</v>
      </c>
      <c r="W4718" t="str">
        <f>"                 301"</f>
        <v xml:space="preserve">                 301</v>
      </c>
      <c r="X4718">
        <v>0</v>
      </c>
      <c r="Y4718" s="1">
        <v>1258.98</v>
      </c>
      <c r="Z4718"/>
      <c r="AB4718"/>
      <c r="AC4718" s="1">
        <v>1258.98</v>
      </c>
      <c r="AD4718">
        <v>-46</v>
      </c>
      <c r="AE4718" s="1">
        <v>-57913.08</v>
      </c>
      <c r="AF4718">
        <v>0</v>
      </c>
      <c r="AJ4718">
        <v>0</v>
      </c>
      <c r="AK4718">
        <v>0</v>
      </c>
      <c r="AL4718">
        <v>0</v>
      </c>
      <c r="AM4718">
        <v>0</v>
      </c>
      <c r="AN4718">
        <v>0</v>
      </c>
      <c r="AO4718">
        <v>0</v>
      </c>
      <c r="AP4718" s="2">
        <v>42746</v>
      </c>
      <c r="AQ4718" t="s">
        <v>72</v>
      </c>
      <c r="AR4718" t="s">
        <v>72</v>
      </c>
      <c r="AS4718">
        <v>7</v>
      </c>
      <c r="AT4718" s="4">
        <v>42380</v>
      </c>
      <c r="AV4718">
        <v>7</v>
      </c>
      <c r="AW4718" s="4">
        <v>42380</v>
      </c>
      <c r="BD4718">
        <v>0</v>
      </c>
      <c r="BN4718" t="s">
        <v>74</v>
      </c>
    </row>
    <row r="4719" spans="1:66" hidden="1">
      <c r="A4719">
        <v>101713</v>
      </c>
      <c r="B4719" s="3" t="s">
        <v>501</v>
      </c>
      <c r="C4719" s="1">
        <v>43500101</v>
      </c>
      <c r="D4719" t="s">
        <v>113</v>
      </c>
      <c r="H4719" t="str">
        <f t="shared" si="505"/>
        <v>CRFNGL58A13A024M</v>
      </c>
      <c r="I4719" t="str">
        <f>""</f>
        <v/>
      </c>
      <c r="K4719" t="str">
        <f>""</f>
        <v/>
      </c>
      <c r="M4719" t="s">
        <v>68</v>
      </c>
      <c r="N4719" t="str">
        <f t="shared" si="506"/>
        <v>ALTPRO</v>
      </c>
      <c r="O4719" t="s">
        <v>132</v>
      </c>
      <c r="P4719" s="3" t="s">
        <v>503</v>
      </c>
      <c r="Q4719">
        <v>2016</v>
      </c>
      <c r="R4719" s="2">
        <v>42394</v>
      </c>
      <c r="S4719" s="2">
        <v>42394</v>
      </c>
      <c r="T4719" s="2">
        <v>42394</v>
      </c>
      <c r="U4719" s="2">
        <v>42454</v>
      </c>
      <c r="V4719" t="s">
        <v>71</v>
      </c>
      <c r="W4719" t="str">
        <f>"                   5"</f>
        <v xml:space="preserve">                   5</v>
      </c>
      <c r="X4719">
        <v>0</v>
      </c>
      <c r="Y4719" s="1">
        <v>1258.98</v>
      </c>
      <c r="Z4719"/>
      <c r="AB4719"/>
      <c r="AC4719" s="1">
        <v>1258.98</v>
      </c>
      <c r="AD4719">
        <v>-57</v>
      </c>
      <c r="AE4719" s="1">
        <v>-71761.86</v>
      </c>
      <c r="AF4719">
        <v>0</v>
      </c>
      <c r="AJ4719">
        <v>0</v>
      </c>
      <c r="AK4719">
        <v>0</v>
      </c>
      <c r="AL4719">
        <v>0</v>
      </c>
      <c r="AM4719" s="1">
        <v>1258.98</v>
      </c>
      <c r="AN4719" s="1">
        <v>1258.98</v>
      </c>
      <c r="AO4719" s="1">
        <v>1258.98</v>
      </c>
      <c r="AP4719" s="2">
        <v>42746</v>
      </c>
      <c r="AQ4719" t="s">
        <v>72</v>
      </c>
      <c r="AR4719" t="s">
        <v>72</v>
      </c>
      <c r="AS4719">
        <v>147</v>
      </c>
      <c r="AT4719" s="4">
        <v>42397</v>
      </c>
      <c r="AV4719">
        <v>147</v>
      </c>
      <c r="AW4719" s="4">
        <v>42397</v>
      </c>
      <c r="BD4719">
        <v>0</v>
      </c>
      <c r="BN4719" t="s">
        <v>74</v>
      </c>
    </row>
    <row r="4720" spans="1:66" hidden="1">
      <c r="A4720">
        <v>101713</v>
      </c>
      <c r="B4720" s="3" t="s">
        <v>501</v>
      </c>
      <c r="C4720" s="1">
        <v>43500101</v>
      </c>
      <c r="D4720" t="s">
        <v>113</v>
      </c>
      <c r="H4720" t="str">
        <f t="shared" si="505"/>
        <v>CRFNGL58A13A024M</v>
      </c>
      <c r="I4720" t="str">
        <f>""</f>
        <v/>
      </c>
      <c r="K4720" t="str">
        <f>""</f>
        <v/>
      </c>
      <c r="M4720" t="s">
        <v>68</v>
      </c>
      <c r="N4720" t="str">
        <f t="shared" si="506"/>
        <v>ALTPRO</v>
      </c>
      <c r="O4720" t="s">
        <v>132</v>
      </c>
      <c r="P4720" s="3" t="s">
        <v>503</v>
      </c>
      <c r="Q4720">
        <v>2016</v>
      </c>
      <c r="R4720" s="2">
        <v>42426</v>
      </c>
      <c r="S4720" s="2">
        <v>42426</v>
      </c>
      <c r="T4720" s="2">
        <v>42426</v>
      </c>
      <c r="U4720" s="2">
        <v>42486</v>
      </c>
      <c r="V4720" t="s">
        <v>71</v>
      </c>
      <c r="W4720" t="str">
        <f>"                  23"</f>
        <v xml:space="preserve">                  23</v>
      </c>
      <c r="X4720">
        <v>0</v>
      </c>
      <c r="Y4720" s="1">
        <v>1258.98</v>
      </c>
      <c r="Z4720"/>
      <c r="AB4720"/>
      <c r="AC4720" s="1">
        <v>1258.98</v>
      </c>
      <c r="AD4720">
        <v>-60</v>
      </c>
      <c r="AE4720" s="1">
        <v>-75538.8</v>
      </c>
      <c r="AF4720">
        <v>0</v>
      </c>
      <c r="AJ4720">
        <v>0</v>
      </c>
      <c r="AK4720">
        <v>0</v>
      </c>
      <c r="AL4720">
        <v>0</v>
      </c>
      <c r="AM4720" s="1">
        <v>1258.98</v>
      </c>
      <c r="AN4720" s="1">
        <v>1258.98</v>
      </c>
      <c r="AO4720" s="1">
        <v>1258.98</v>
      </c>
      <c r="AP4720" s="2">
        <v>42746</v>
      </c>
      <c r="AQ4720" t="s">
        <v>72</v>
      </c>
      <c r="AR4720" t="s">
        <v>72</v>
      </c>
      <c r="AS4720">
        <v>554</v>
      </c>
      <c r="AT4720" s="4">
        <v>42426</v>
      </c>
      <c r="AV4720">
        <v>554</v>
      </c>
      <c r="AW4720" s="4">
        <v>42426</v>
      </c>
      <c r="BD4720">
        <v>0</v>
      </c>
      <c r="BN4720" t="s">
        <v>74</v>
      </c>
    </row>
    <row r="4721" spans="1:66" hidden="1">
      <c r="A4721">
        <v>101713</v>
      </c>
      <c r="B4721" s="3" t="s">
        <v>501</v>
      </c>
      <c r="C4721" s="1">
        <v>43500101</v>
      </c>
      <c r="D4721" t="s">
        <v>113</v>
      </c>
      <c r="H4721" t="str">
        <f t="shared" si="505"/>
        <v>CRFNGL58A13A024M</v>
      </c>
      <c r="I4721" t="str">
        <f>""</f>
        <v/>
      </c>
      <c r="K4721" t="str">
        <f>""</f>
        <v/>
      </c>
      <c r="M4721" t="s">
        <v>68</v>
      </c>
      <c r="N4721" t="str">
        <f t="shared" si="506"/>
        <v>ALTPRO</v>
      </c>
      <c r="O4721" t="s">
        <v>132</v>
      </c>
      <c r="P4721" s="3" t="s">
        <v>502</v>
      </c>
      <c r="Q4721">
        <v>2016</v>
      </c>
      <c r="R4721" s="2">
        <v>42459</v>
      </c>
      <c r="S4721" s="2">
        <v>42459</v>
      </c>
      <c r="T4721" s="2">
        <v>42459</v>
      </c>
      <c r="U4721" s="2">
        <v>42519</v>
      </c>
      <c r="V4721" t="s">
        <v>71</v>
      </c>
      <c r="W4721" t="str">
        <f>"                  64"</f>
        <v xml:space="preserve">                  64</v>
      </c>
      <c r="X4721">
        <v>0</v>
      </c>
      <c r="Y4721" s="1">
        <v>1258.98</v>
      </c>
      <c r="Z4721"/>
      <c r="AB4721"/>
      <c r="AC4721" s="1">
        <v>1258.98</v>
      </c>
      <c r="AD4721">
        <v>-60</v>
      </c>
      <c r="AE4721" s="1">
        <v>-75538.8</v>
      </c>
      <c r="AF4721">
        <v>0</v>
      </c>
      <c r="AJ4721">
        <v>0</v>
      </c>
      <c r="AK4721">
        <v>0</v>
      </c>
      <c r="AL4721">
        <v>0</v>
      </c>
      <c r="AM4721" s="1">
        <v>1258.98</v>
      </c>
      <c r="AN4721" s="1">
        <v>1258.98</v>
      </c>
      <c r="AO4721" s="1">
        <v>1258.98</v>
      </c>
      <c r="AP4721" s="2">
        <v>42746</v>
      </c>
      <c r="AQ4721" t="s">
        <v>72</v>
      </c>
      <c r="AR4721" t="s">
        <v>72</v>
      </c>
      <c r="AS4721">
        <v>977</v>
      </c>
      <c r="AT4721" s="4">
        <v>42459</v>
      </c>
      <c r="AV4721">
        <v>977</v>
      </c>
      <c r="AW4721" s="4">
        <v>42459</v>
      </c>
      <c r="BD4721">
        <v>0</v>
      </c>
      <c r="BN4721" t="s">
        <v>74</v>
      </c>
    </row>
    <row r="4722" spans="1:66" hidden="1">
      <c r="A4722">
        <v>101713</v>
      </c>
      <c r="B4722" s="3" t="s">
        <v>501</v>
      </c>
      <c r="C4722" s="1">
        <v>43500101</v>
      </c>
      <c r="D4722" t="s">
        <v>113</v>
      </c>
      <c r="H4722" t="str">
        <f t="shared" si="505"/>
        <v>CRFNGL58A13A024M</v>
      </c>
      <c r="I4722" t="str">
        <f>""</f>
        <v/>
      </c>
      <c r="K4722" t="str">
        <f>""</f>
        <v/>
      </c>
      <c r="M4722" t="s">
        <v>68</v>
      </c>
      <c r="N4722" t="str">
        <f t="shared" si="506"/>
        <v>ALTPRO</v>
      </c>
      <c r="O4722" t="s">
        <v>132</v>
      </c>
      <c r="P4722" s="3" t="s">
        <v>503</v>
      </c>
      <c r="Q4722">
        <v>2016</v>
      </c>
      <c r="R4722" s="2">
        <v>42489</v>
      </c>
      <c r="S4722" s="2">
        <v>42489</v>
      </c>
      <c r="T4722" s="2">
        <v>42489</v>
      </c>
      <c r="U4722" s="2">
        <v>42549</v>
      </c>
      <c r="V4722" t="s">
        <v>71</v>
      </c>
      <c r="W4722" t="str">
        <f>"                 104"</f>
        <v xml:space="preserve">                 104</v>
      </c>
      <c r="X4722">
        <v>0</v>
      </c>
      <c r="Y4722" s="1">
        <v>1258.98</v>
      </c>
      <c r="Z4722"/>
      <c r="AB4722"/>
      <c r="AC4722" s="1">
        <v>1258.98</v>
      </c>
      <c r="AD4722">
        <v>-57</v>
      </c>
      <c r="AE4722" s="1">
        <v>-71761.86</v>
      </c>
      <c r="AF4722">
        <v>0</v>
      </c>
      <c r="AJ4722">
        <v>0</v>
      </c>
      <c r="AK4722">
        <v>0</v>
      </c>
      <c r="AL4722">
        <v>0</v>
      </c>
      <c r="AM4722" s="1">
        <v>1258.98</v>
      </c>
      <c r="AN4722" s="1">
        <v>1258.98</v>
      </c>
      <c r="AO4722" s="1">
        <v>1258.98</v>
      </c>
      <c r="AP4722" s="2">
        <v>42746</v>
      </c>
      <c r="AQ4722" t="s">
        <v>72</v>
      </c>
      <c r="AR4722" t="s">
        <v>72</v>
      </c>
      <c r="AS4722">
        <v>1217</v>
      </c>
      <c r="AT4722" s="4">
        <v>42492</v>
      </c>
      <c r="AV4722">
        <v>1217</v>
      </c>
      <c r="AW4722" s="4">
        <v>42492</v>
      </c>
      <c r="BD4722">
        <v>0</v>
      </c>
      <c r="BN4722" t="s">
        <v>74</v>
      </c>
    </row>
    <row r="4723" spans="1:66" hidden="1">
      <c r="A4723">
        <v>101713</v>
      </c>
      <c r="B4723" s="3" t="s">
        <v>501</v>
      </c>
      <c r="C4723" s="1">
        <v>43500101</v>
      </c>
      <c r="D4723" t="s">
        <v>113</v>
      </c>
      <c r="H4723" t="str">
        <f t="shared" si="505"/>
        <v>CRFNGL58A13A024M</v>
      </c>
      <c r="I4723" t="str">
        <f>""</f>
        <v/>
      </c>
      <c r="K4723" t="str">
        <f>""</f>
        <v/>
      </c>
      <c r="M4723" t="s">
        <v>68</v>
      </c>
      <c r="N4723" t="str">
        <f t="shared" si="506"/>
        <v>ALTPRO</v>
      </c>
      <c r="O4723" t="s">
        <v>132</v>
      </c>
      <c r="P4723" s="3" t="s">
        <v>502</v>
      </c>
      <c r="Q4723">
        <v>2016</v>
      </c>
      <c r="R4723" s="2">
        <v>42524</v>
      </c>
      <c r="S4723" s="2">
        <v>42524</v>
      </c>
      <c r="T4723" s="2">
        <v>42524</v>
      </c>
      <c r="U4723" s="2">
        <v>42584</v>
      </c>
      <c r="V4723" t="s">
        <v>71</v>
      </c>
      <c r="W4723" t="str">
        <f>"                 133"</f>
        <v xml:space="preserve">                 133</v>
      </c>
      <c r="X4723">
        <v>0</v>
      </c>
      <c r="Y4723" s="1">
        <v>1258.98</v>
      </c>
      <c r="Z4723"/>
      <c r="AB4723"/>
      <c r="AC4723" s="1">
        <v>1258.98</v>
      </c>
      <c r="AD4723">
        <v>-57</v>
      </c>
      <c r="AE4723" s="1">
        <v>-71761.86</v>
      </c>
      <c r="AF4723">
        <v>0</v>
      </c>
      <c r="AJ4723">
        <v>0</v>
      </c>
      <c r="AK4723">
        <v>0</v>
      </c>
      <c r="AL4723">
        <v>0</v>
      </c>
      <c r="AM4723" s="1">
        <v>1258.98</v>
      </c>
      <c r="AN4723" s="1">
        <v>1258.98</v>
      </c>
      <c r="AO4723" s="1">
        <v>1258.98</v>
      </c>
      <c r="AP4723" s="2">
        <v>42746</v>
      </c>
      <c r="AQ4723" t="s">
        <v>72</v>
      </c>
      <c r="AR4723" t="s">
        <v>72</v>
      </c>
      <c r="AS4723">
        <v>1480</v>
      </c>
      <c r="AT4723" s="4">
        <v>42527</v>
      </c>
      <c r="AV4723">
        <v>1480</v>
      </c>
      <c r="AW4723" s="4">
        <v>42527</v>
      </c>
      <c r="BD4723">
        <v>0</v>
      </c>
      <c r="BN4723" t="s">
        <v>74</v>
      </c>
    </row>
    <row r="4724" spans="1:66" hidden="1">
      <c r="A4724">
        <v>101713</v>
      </c>
      <c r="B4724" s="3" t="s">
        <v>501</v>
      </c>
      <c r="C4724" s="1">
        <v>43500101</v>
      </c>
      <c r="D4724" t="s">
        <v>113</v>
      </c>
      <c r="H4724" t="str">
        <f t="shared" si="505"/>
        <v>CRFNGL58A13A024M</v>
      </c>
      <c r="I4724" t="str">
        <f>""</f>
        <v/>
      </c>
      <c r="K4724" t="str">
        <f>""</f>
        <v/>
      </c>
      <c r="M4724" t="s">
        <v>68</v>
      </c>
      <c r="N4724" t="str">
        <f t="shared" si="506"/>
        <v>ALTPRO</v>
      </c>
      <c r="O4724" t="s">
        <v>132</v>
      </c>
      <c r="P4724" s="3" t="s">
        <v>502</v>
      </c>
      <c r="Q4724">
        <v>2016</v>
      </c>
      <c r="R4724" s="2">
        <v>42551</v>
      </c>
      <c r="S4724" s="2">
        <v>42551</v>
      </c>
      <c r="T4724" s="2">
        <v>42551</v>
      </c>
      <c r="U4724" s="2">
        <v>42611</v>
      </c>
      <c r="V4724" t="s">
        <v>71</v>
      </c>
      <c r="W4724" t="str">
        <f>"                 157"</f>
        <v xml:space="preserve">                 157</v>
      </c>
      <c r="X4724">
        <v>0</v>
      </c>
      <c r="Y4724" s="1">
        <v>1258.98</v>
      </c>
      <c r="Z4724"/>
      <c r="AB4724"/>
      <c r="AC4724" s="1">
        <v>1258.98</v>
      </c>
      <c r="AD4724">
        <v>-59</v>
      </c>
      <c r="AE4724" s="1">
        <v>-74279.820000000007</v>
      </c>
      <c r="AF4724">
        <v>0</v>
      </c>
      <c r="AJ4724">
        <v>0</v>
      </c>
      <c r="AK4724">
        <v>0</v>
      </c>
      <c r="AL4724">
        <v>0</v>
      </c>
      <c r="AM4724" s="1">
        <v>1258.98</v>
      </c>
      <c r="AN4724" s="1">
        <v>1258.98</v>
      </c>
      <c r="AO4724" s="1">
        <v>1258.98</v>
      </c>
      <c r="AP4724" s="2">
        <v>42746</v>
      </c>
      <c r="AQ4724" t="s">
        <v>72</v>
      </c>
      <c r="AR4724" t="s">
        <v>72</v>
      </c>
      <c r="AS4724">
        <v>1634</v>
      </c>
      <c r="AT4724" s="4">
        <v>42552</v>
      </c>
      <c r="AV4724">
        <v>1634</v>
      </c>
      <c r="AW4724" s="4">
        <v>42552</v>
      </c>
      <c r="BD4724">
        <v>0</v>
      </c>
      <c r="BN4724" t="s">
        <v>74</v>
      </c>
    </row>
    <row r="4725" spans="1:66" hidden="1">
      <c r="A4725">
        <v>101713</v>
      </c>
      <c r="B4725" s="3" t="s">
        <v>501</v>
      </c>
      <c r="C4725" s="1">
        <v>43500101</v>
      </c>
      <c r="D4725" t="s">
        <v>113</v>
      </c>
      <c r="H4725" t="str">
        <f t="shared" si="505"/>
        <v>CRFNGL58A13A024M</v>
      </c>
      <c r="I4725" t="str">
        <f>""</f>
        <v/>
      </c>
      <c r="K4725" t="str">
        <f>""</f>
        <v/>
      </c>
      <c r="M4725" t="s">
        <v>68</v>
      </c>
      <c r="N4725" t="str">
        <f t="shared" si="506"/>
        <v>ALTPRO</v>
      </c>
      <c r="O4725" t="s">
        <v>132</v>
      </c>
      <c r="P4725" s="3" t="s">
        <v>502</v>
      </c>
      <c r="Q4725">
        <v>2016</v>
      </c>
      <c r="R4725" s="2">
        <v>42576</v>
      </c>
      <c r="S4725" s="2">
        <v>42576</v>
      </c>
      <c r="T4725" s="2">
        <v>42576</v>
      </c>
      <c r="U4725" s="2">
        <v>42636</v>
      </c>
      <c r="V4725" t="s">
        <v>71</v>
      </c>
      <c r="W4725" t="str">
        <f>"                 168"</f>
        <v xml:space="preserve">                 168</v>
      </c>
      <c r="X4725">
        <v>0</v>
      </c>
      <c r="Y4725" s="1">
        <v>1258.98</v>
      </c>
      <c r="Z4725"/>
      <c r="AB4725"/>
      <c r="AC4725" s="1">
        <v>1258.98</v>
      </c>
      <c r="AD4725">
        <v>-58</v>
      </c>
      <c r="AE4725" s="1">
        <v>-73020.84</v>
      </c>
      <c r="AF4725">
        <v>0</v>
      </c>
      <c r="AJ4725">
        <v>0</v>
      </c>
      <c r="AK4725">
        <v>0</v>
      </c>
      <c r="AL4725">
        <v>0</v>
      </c>
      <c r="AM4725" s="1">
        <v>1258.98</v>
      </c>
      <c r="AN4725" s="1">
        <v>1258.98</v>
      </c>
      <c r="AO4725" s="1">
        <v>1258.98</v>
      </c>
      <c r="AP4725" s="2">
        <v>42746</v>
      </c>
      <c r="AQ4725" t="s">
        <v>72</v>
      </c>
      <c r="AR4725" t="s">
        <v>72</v>
      </c>
      <c r="AS4725">
        <v>1976</v>
      </c>
      <c r="AT4725" s="4">
        <v>42578</v>
      </c>
      <c r="AV4725">
        <v>1976</v>
      </c>
      <c r="AW4725" s="4">
        <v>42578</v>
      </c>
      <c r="BD4725">
        <v>0</v>
      </c>
      <c r="BN4725" t="s">
        <v>74</v>
      </c>
    </row>
    <row r="4726" spans="1:66" hidden="1">
      <c r="A4726">
        <v>101713</v>
      </c>
      <c r="B4726" s="3" t="s">
        <v>501</v>
      </c>
      <c r="C4726" s="1">
        <v>43500101</v>
      </c>
      <c r="D4726" t="s">
        <v>113</v>
      </c>
      <c r="H4726" t="str">
        <f t="shared" si="505"/>
        <v>CRFNGL58A13A024M</v>
      </c>
      <c r="I4726" t="str">
        <f>""</f>
        <v/>
      </c>
      <c r="K4726" t="str">
        <f>""</f>
        <v/>
      </c>
      <c r="M4726" t="s">
        <v>68</v>
      </c>
      <c r="N4726" t="str">
        <f t="shared" si="506"/>
        <v>ALTPRO</v>
      </c>
      <c r="O4726" t="s">
        <v>132</v>
      </c>
      <c r="P4726" s="3" t="s">
        <v>504</v>
      </c>
      <c r="Q4726">
        <v>2016</v>
      </c>
      <c r="R4726" s="2">
        <v>42619</v>
      </c>
      <c r="S4726" s="2">
        <v>42619</v>
      </c>
      <c r="T4726" s="2">
        <v>42619</v>
      </c>
      <c r="U4726" s="2">
        <v>42679</v>
      </c>
      <c r="V4726" t="s">
        <v>71</v>
      </c>
      <c r="W4726" t="str">
        <f>"                 194"</f>
        <v xml:space="preserve">                 194</v>
      </c>
      <c r="X4726">
        <v>0</v>
      </c>
      <c r="Y4726" s="1">
        <v>1258.98</v>
      </c>
      <c r="Z4726"/>
      <c r="AB4726"/>
      <c r="AC4726" s="1">
        <v>1258.98</v>
      </c>
      <c r="AD4726">
        <v>-59</v>
      </c>
      <c r="AE4726" s="1">
        <v>-74279.820000000007</v>
      </c>
      <c r="AF4726">
        <v>0</v>
      </c>
      <c r="AJ4726">
        <v>0</v>
      </c>
      <c r="AK4726">
        <v>0</v>
      </c>
      <c r="AL4726">
        <v>0</v>
      </c>
      <c r="AM4726" s="1">
        <v>1258.98</v>
      </c>
      <c r="AN4726" s="1">
        <v>1258.98</v>
      </c>
      <c r="AO4726" s="1">
        <v>1258.98</v>
      </c>
      <c r="AP4726" s="2">
        <v>42746</v>
      </c>
      <c r="AQ4726" t="s">
        <v>72</v>
      </c>
      <c r="AR4726" t="s">
        <v>72</v>
      </c>
      <c r="AS4726">
        <v>2304</v>
      </c>
      <c r="AT4726" s="4">
        <v>42620</v>
      </c>
      <c r="AV4726">
        <v>2304</v>
      </c>
      <c r="AW4726" s="4">
        <v>42620</v>
      </c>
      <c r="BD4726">
        <v>0</v>
      </c>
      <c r="BN4726" t="s">
        <v>74</v>
      </c>
    </row>
    <row r="4727" spans="1:66">
      <c r="A4727">
        <v>101713</v>
      </c>
      <c r="B4727" s="3" t="s">
        <v>501</v>
      </c>
      <c r="C4727" s="1">
        <v>43500101</v>
      </c>
      <c r="D4727" t="s">
        <v>113</v>
      </c>
      <c r="H4727" t="str">
        <f t="shared" si="505"/>
        <v>CRFNGL58A13A024M</v>
      </c>
      <c r="I4727" t="str">
        <f>""</f>
        <v/>
      </c>
      <c r="K4727" t="str">
        <f>""</f>
        <v/>
      </c>
      <c r="M4727" t="s">
        <v>68</v>
      </c>
      <c r="N4727" t="str">
        <f t="shared" si="506"/>
        <v>ALTPRO</v>
      </c>
      <c r="O4727" t="s">
        <v>132</v>
      </c>
      <c r="P4727" s="3" t="s">
        <v>502</v>
      </c>
      <c r="Q4727">
        <v>2016</v>
      </c>
      <c r="R4727" s="2">
        <v>42641</v>
      </c>
      <c r="S4727" s="2">
        <v>42641</v>
      </c>
      <c r="T4727" s="2">
        <v>42641</v>
      </c>
      <c r="U4727" s="2">
        <v>42701</v>
      </c>
      <c r="V4727" t="s">
        <v>71</v>
      </c>
      <c r="W4727" t="str">
        <f>"                 216"</f>
        <v xml:space="preserve">                 216</v>
      </c>
      <c r="X4727">
        <v>0</v>
      </c>
      <c r="Y4727" s="1">
        <v>1258.98</v>
      </c>
      <c r="Z4727" s="5">
        <v>1258.98</v>
      </c>
      <c r="AA4727">
        <v>-55</v>
      </c>
      <c r="AB4727" s="5">
        <v>-69243.899999999994</v>
      </c>
      <c r="AC4727" s="1">
        <v>1258.98</v>
      </c>
      <c r="AD4727">
        <v>-55</v>
      </c>
      <c r="AE4727" s="1">
        <v>-69243.899999999994</v>
      </c>
      <c r="AF4727">
        <v>0</v>
      </c>
      <c r="AJ4727">
        <v>0</v>
      </c>
      <c r="AK4727">
        <v>0</v>
      </c>
      <c r="AL4727">
        <v>0</v>
      </c>
      <c r="AM4727" s="1">
        <v>1258.98</v>
      </c>
      <c r="AN4727" s="1">
        <v>1258.98</v>
      </c>
      <c r="AO4727" s="1">
        <v>1258.98</v>
      </c>
      <c r="AP4727" s="2">
        <v>42746</v>
      </c>
      <c r="AQ4727" t="s">
        <v>72</v>
      </c>
      <c r="AR4727" t="s">
        <v>72</v>
      </c>
      <c r="AS4727">
        <v>2529</v>
      </c>
      <c r="AT4727" s="4">
        <v>42646</v>
      </c>
      <c r="AV4727">
        <v>2529</v>
      </c>
      <c r="AW4727" s="4">
        <v>42646</v>
      </c>
      <c r="BD4727">
        <v>0</v>
      </c>
      <c r="BN4727" t="s">
        <v>74</v>
      </c>
    </row>
    <row r="4728" spans="1:66">
      <c r="A4728">
        <v>101713</v>
      </c>
      <c r="B4728" s="3" t="s">
        <v>501</v>
      </c>
      <c r="C4728" s="1">
        <v>43500101</v>
      </c>
      <c r="D4728" t="s">
        <v>113</v>
      </c>
      <c r="H4728" t="str">
        <f t="shared" si="505"/>
        <v>CRFNGL58A13A024M</v>
      </c>
      <c r="I4728" t="str">
        <f>""</f>
        <v/>
      </c>
      <c r="K4728" t="str">
        <f>""</f>
        <v/>
      </c>
      <c r="M4728" t="s">
        <v>68</v>
      </c>
      <c r="N4728" t="str">
        <f t="shared" si="506"/>
        <v>ALTPRO</v>
      </c>
      <c r="O4728" t="s">
        <v>132</v>
      </c>
      <c r="P4728" s="3" t="s">
        <v>503</v>
      </c>
      <c r="Q4728">
        <v>2016</v>
      </c>
      <c r="R4728" s="2">
        <v>42668</v>
      </c>
      <c r="S4728" s="2">
        <v>42668</v>
      </c>
      <c r="T4728" s="2">
        <v>42668</v>
      </c>
      <c r="U4728" s="2">
        <v>42728</v>
      </c>
      <c r="V4728" t="s">
        <v>71</v>
      </c>
      <c r="W4728" t="str">
        <f>"                 252"</f>
        <v xml:space="preserve">                 252</v>
      </c>
      <c r="X4728">
        <v>0</v>
      </c>
      <c r="Y4728" s="1">
        <v>1258.98</v>
      </c>
      <c r="Z4728" s="5">
        <v>1258.98</v>
      </c>
      <c r="AA4728">
        <v>-60</v>
      </c>
      <c r="AB4728" s="5">
        <v>-75538.8</v>
      </c>
      <c r="AC4728" s="1">
        <v>1258.98</v>
      </c>
      <c r="AD4728">
        <v>-60</v>
      </c>
      <c r="AE4728" s="1">
        <v>-75538.8</v>
      </c>
      <c r="AF4728">
        <v>0</v>
      </c>
      <c r="AJ4728" s="1">
        <v>1258.98</v>
      </c>
      <c r="AK4728" s="1">
        <v>1258.98</v>
      </c>
      <c r="AL4728" s="1">
        <v>1258.98</v>
      </c>
      <c r="AM4728" s="1">
        <v>1258.98</v>
      </c>
      <c r="AN4728" s="1">
        <v>1258.98</v>
      </c>
      <c r="AO4728" s="1">
        <v>1258.98</v>
      </c>
      <c r="AP4728" s="2">
        <v>42746</v>
      </c>
      <c r="AQ4728" t="s">
        <v>72</v>
      </c>
      <c r="AR4728" t="s">
        <v>72</v>
      </c>
      <c r="AS4728">
        <v>2849</v>
      </c>
      <c r="AT4728" s="4">
        <v>42668</v>
      </c>
      <c r="AV4728">
        <v>2849</v>
      </c>
      <c r="AW4728" s="4">
        <v>42668</v>
      </c>
      <c r="BD4728">
        <v>0</v>
      </c>
      <c r="BN4728" t="s">
        <v>74</v>
      </c>
    </row>
    <row r="4729" spans="1:66">
      <c r="A4729">
        <v>101713</v>
      </c>
      <c r="B4729" s="3" t="s">
        <v>501</v>
      </c>
      <c r="C4729" s="1">
        <v>43500101</v>
      </c>
      <c r="D4729" t="s">
        <v>113</v>
      </c>
      <c r="H4729" t="str">
        <f t="shared" si="505"/>
        <v>CRFNGL58A13A024M</v>
      </c>
      <c r="I4729" t="str">
        <f>""</f>
        <v/>
      </c>
      <c r="K4729" t="str">
        <f>""</f>
        <v/>
      </c>
      <c r="M4729" t="s">
        <v>68</v>
      </c>
      <c r="N4729" t="str">
        <f t="shared" si="506"/>
        <v>ALTPRO</v>
      </c>
      <c r="O4729" t="s">
        <v>132</v>
      </c>
      <c r="P4729" s="3" t="s">
        <v>503</v>
      </c>
      <c r="Q4729">
        <v>2016</v>
      </c>
      <c r="R4729" s="2">
        <v>42702</v>
      </c>
      <c r="S4729" s="2">
        <v>42702</v>
      </c>
      <c r="T4729" s="2">
        <v>42702</v>
      </c>
      <c r="U4729" s="2">
        <v>42762</v>
      </c>
      <c r="V4729" t="s">
        <v>71</v>
      </c>
      <c r="W4729" t="str">
        <f>"                 279"</f>
        <v xml:space="preserve">                 279</v>
      </c>
      <c r="X4729">
        <v>0</v>
      </c>
      <c r="Y4729" s="1">
        <v>1258.98</v>
      </c>
      <c r="Z4729" s="5">
        <v>1258.98</v>
      </c>
      <c r="AA4729">
        <v>-53</v>
      </c>
      <c r="AB4729" s="5">
        <v>-66725.94</v>
      </c>
      <c r="AC4729" s="1">
        <v>1258.98</v>
      </c>
      <c r="AD4729">
        <v>-53</v>
      </c>
      <c r="AE4729" s="1">
        <v>-66725.94</v>
      </c>
      <c r="AF4729">
        <v>0</v>
      </c>
      <c r="AJ4729" s="1">
        <v>1258.98</v>
      </c>
      <c r="AK4729" s="1">
        <v>1258.98</v>
      </c>
      <c r="AL4729" s="1">
        <v>1258.98</v>
      </c>
      <c r="AM4729" s="1">
        <v>1258.98</v>
      </c>
      <c r="AN4729" s="1">
        <v>1258.98</v>
      </c>
      <c r="AO4729" s="1">
        <v>1258.98</v>
      </c>
      <c r="AP4729" s="2">
        <v>42746</v>
      </c>
      <c r="AQ4729" t="s">
        <v>72</v>
      </c>
      <c r="AR4729" t="s">
        <v>72</v>
      </c>
      <c r="AS4729">
        <v>3323</v>
      </c>
      <c r="AT4729" s="4">
        <v>42709</v>
      </c>
      <c r="AV4729">
        <v>3323</v>
      </c>
      <c r="AW4729" s="4">
        <v>42709</v>
      </c>
      <c r="BD4729">
        <v>0</v>
      </c>
      <c r="BN4729" t="s">
        <v>74</v>
      </c>
    </row>
    <row r="4730" spans="1:66">
      <c r="A4730">
        <v>101713</v>
      </c>
      <c r="B4730" s="3" t="s">
        <v>501</v>
      </c>
      <c r="C4730" s="1">
        <v>43500101</v>
      </c>
      <c r="D4730" t="s">
        <v>113</v>
      </c>
      <c r="H4730" t="str">
        <f t="shared" si="505"/>
        <v>CRFNGL58A13A024M</v>
      </c>
      <c r="I4730" t="str">
        <f>""</f>
        <v/>
      </c>
      <c r="K4730" t="str">
        <f>""</f>
        <v/>
      </c>
      <c r="M4730" t="s">
        <v>68</v>
      </c>
      <c r="N4730" t="str">
        <f t="shared" si="506"/>
        <v>ALTPRO</v>
      </c>
      <c r="O4730" t="s">
        <v>132</v>
      </c>
      <c r="P4730" s="3" t="s">
        <v>502</v>
      </c>
      <c r="Q4730">
        <v>2016</v>
      </c>
      <c r="R4730" s="2">
        <v>42724</v>
      </c>
      <c r="S4730" s="2">
        <v>42724</v>
      </c>
      <c r="T4730" s="2">
        <v>42724</v>
      </c>
      <c r="U4730" s="2">
        <v>42784</v>
      </c>
      <c r="V4730" t="s">
        <v>71</v>
      </c>
      <c r="W4730" t="str">
        <f>"                 300"</f>
        <v xml:space="preserve">                 300</v>
      </c>
      <c r="X4730">
        <v>0</v>
      </c>
      <c r="Y4730" s="1">
        <v>1258.98</v>
      </c>
      <c r="Z4730" s="5">
        <v>1258.98</v>
      </c>
      <c r="AA4730">
        <v>-60</v>
      </c>
      <c r="AB4730" s="5">
        <v>-75538.8</v>
      </c>
      <c r="AC4730" s="1">
        <v>1258.98</v>
      </c>
      <c r="AD4730">
        <v>-60</v>
      </c>
      <c r="AE4730" s="1">
        <v>-75538.8</v>
      </c>
      <c r="AF4730">
        <v>0</v>
      </c>
      <c r="AJ4730" s="1">
        <v>1258.98</v>
      </c>
      <c r="AK4730" s="1">
        <v>1258.98</v>
      </c>
      <c r="AL4730" s="1">
        <v>1258.98</v>
      </c>
      <c r="AM4730" s="1">
        <v>1258.98</v>
      </c>
      <c r="AN4730" s="1">
        <v>1258.98</v>
      </c>
      <c r="AO4730" s="1">
        <v>1258.98</v>
      </c>
      <c r="AP4730" s="2">
        <v>42746</v>
      </c>
      <c r="AQ4730" t="s">
        <v>72</v>
      </c>
      <c r="AR4730" t="s">
        <v>72</v>
      </c>
      <c r="AS4730">
        <v>3648</v>
      </c>
      <c r="AT4730" s="4">
        <v>42724</v>
      </c>
      <c r="AV4730">
        <v>3648</v>
      </c>
      <c r="AW4730" s="4">
        <v>42724</v>
      </c>
      <c r="BD4730">
        <v>0</v>
      </c>
      <c r="BN4730" t="s">
        <v>74</v>
      </c>
    </row>
    <row r="4731" spans="1:66" hidden="1">
      <c r="A4731">
        <v>101716</v>
      </c>
      <c r="B4731" s="3" t="s">
        <v>505</v>
      </c>
      <c r="C4731" s="1">
        <v>43300101</v>
      </c>
      <c r="D4731" t="s">
        <v>67</v>
      </c>
      <c r="H4731" t="str">
        <f>"01425920624"</f>
        <v>01425920624</v>
      </c>
      <c r="I4731" t="str">
        <f>"01425920624"</f>
        <v>01425920624</v>
      </c>
      <c r="K4731" t="str">
        <f>""</f>
        <v/>
      </c>
      <c r="M4731" t="s">
        <v>68</v>
      </c>
      <c r="N4731" t="str">
        <f>"FOR"</f>
        <v>FOR</v>
      </c>
      <c r="O4731" t="s">
        <v>69</v>
      </c>
      <c r="P4731" s="3" t="s">
        <v>75</v>
      </c>
      <c r="Q4731">
        <v>2016</v>
      </c>
      <c r="R4731" s="2">
        <v>42501</v>
      </c>
      <c r="S4731" s="2">
        <v>42502</v>
      </c>
      <c r="T4731" s="2">
        <v>42501</v>
      </c>
      <c r="U4731" s="2">
        <v>42561</v>
      </c>
      <c r="V4731" t="s">
        <v>71</v>
      </c>
      <c r="W4731" t="str">
        <f>"                  16"</f>
        <v xml:space="preserve">                  16</v>
      </c>
      <c r="X4731" s="1">
        <v>1342</v>
      </c>
      <c r="Y4731">
        <v>0</v>
      </c>
      <c r="Z4731"/>
      <c r="AB4731"/>
      <c r="AC4731" s="1">
        <v>1100</v>
      </c>
      <c r="AD4731">
        <v>16</v>
      </c>
      <c r="AE4731" s="1">
        <v>17600</v>
      </c>
      <c r="AF4731">
        <v>0</v>
      </c>
      <c r="AJ4731">
        <v>0</v>
      </c>
      <c r="AK4731">
        <v>0</v>
      </c>
      <c r="AL4731">
        <v>0</v>
      </c>
      <c r="AM4731" s="1">
        <v>1342</v>
      </c>
      <c r="AN4731" s="1">
        <v>1342</v>
      </c>
      <c r="AO4731" s="1">
        <v>1342</v>
      </c>
      <c r="AP4731" s="2">
        <v>42746</v>
      </c>
      <c r="AQ4731" t="s">
        <v>72</v>
      </c>
      <c r="AR4731" t="s">
        <v>72</v>
      </c>
      <c r="AS4731">
        <v>1954</v>
      </c>
      <c r="AT4731" s="4">
        <v>42577</v>
      </c>
      <c r="AU4731" t="s">
        <v>73</v>
      </c>
      <c r="AV4731">
        <v>1954</v>
      </c>
      <c r="AW4731" s="4">
        <v>42577</v>
      </c>
      <c r="BD4731">
        <v>0</v>
      </c>
      <c r="BN4731" t="s">
        <v>74</v>
      </c>
    </row>
    <row r="4732" spans="1:66" hidden="1">
      <c r="A4732">
        <v>101717</v>
      </c>
      <c r="B4732" s="3" t="s">
        <v>506</v>
      </c>
      <c r="C4732" s="1">
        <v>43300101</v>
      </c>
      <c r="D4732" t="s">
        <v>67</v>
      </c>
      <c r="H4732" t="str">
        <f>"04552920482"</f>
        <v>04552920482</v>
      </c>
      <c r="I4732" t="str">
        <f>"01573850516"</f>
        <v>01573850516</v>
      </c>
      <c r="K4732" t="str">
        <f>""</f>
        <v/>
      </c>
      <c r="M4732" t="s">
        <v>68</v>
      </c>
      <c r="N4732" t="str">
        <f>"FOR"</f>
        <v>FOR</v>
      </c>
      <c r="O4732" t="s">
        <v>69</v>
      </c>
      <c r="P4732" s="3" t="s">
        <v>75</v>
      </c>
      <c r="Q4732">
        <v>2015</v>
      </c>
      <c r="R4732" s="2">
        <v>42338</v>
      </c>
      <c r="S4732" s="2">
        <v>42360</v>
      </c>
      <c r="T4732" s="2">
        <v>42355</v>
      </c>
      <c r="U4732" s="2">
        <v>42415</v>
      </c>
      <c r="V4732" t="s">
        <v>71</v>
      </c>
      <c r="W4732" t="str">
        <f>"       2015PA0012078"</f>
        <v xml:space="preserve">       2015PA0012078</v>
      </c>
      <c r="X4732">
        <v>49.95</v>
      </c>
      <c r="Y4732">
        <v>0</v>
      </c>
      <c r="Z4732"/>
      <c r="AB4732"/>
      <c r="AC4732">
        <v>40.94</v>
      </c>
      <c r="AD4732">
        <v>151</v>
      </c>
      <c r="AE4732" s="1">
        <v>6181.94</v>
      </c>
      <c r="AF4732">
        <v>9.01</v>
      </c>
      <c r="AJ4732">
        <v>0</v>
      </c>
      <c r="AK4732">
        <v>0</v>
      </c>
      <c r="AL4732">
        <v>0</v>
      </c>
      <c r="AM4732">
        <v>0</v>
      </c>
      <c r="AN4732">
        <v>0</v>
      </c>
      <c r="AO4732">
        <v>0</v>
      </c>
      <c r="AP4732" s="2">
        <v>42746</v>
      </c>
      <c r="AQ4732" t="s">
        <v>72</v>
      </c>
      <c r="AR4732" t="s">
        <v>72</v>
      </c>
      <c r="AS4732">
        <v>1771</v>
      </c>
      <c r="AT4732" s="4">
        <v>42566</v>
      </c>
      <c r="AU4732" t="s">
        <v>73</v>
      </c>
      <c r="AV4732">
        <v>1771</v>
      </c>
      <c r="AW4732" s="4">
        <v>42566</v>
      </c>
      <c r="BD4732">
        <v>9.01</v>
      </c>
      <c r="BN4732" t="s">
        <v>74</v>
      </c>
    </row>
    <row r="4733" spans="1:66">
      <c r="A4733">
        <v>101717</v>
      </c>
      <c r="B4733" s="3" t="s">
        <v>506</v>
      </c>
      <c r="C4733" s="1">
        <v>43300101</v>
      </c>
      <c r="D4733" t="s">
        <v>67</v>
      </c>
      <c r="H4733" t="str">
        <f>"04552920482"</f>
        <v>04552920482</v>
      </c>
      <c r="I4733" t="str">
        <f>"01573850516"</f>
        <v>01573850516</v>
      </c>
      <c r="K4733" t="str">
        <f>""</f>
        <v/>
      </c>
      <c r="M4733" t="s">
        <v>68</v>
      </c>
      <c r="N4733" t="str">
        <f>"FOR"</f>
        <v>FOR</v>
      </c>
      <c r="O4733" t="s">
        <v>69</v>
      </c>
      <c r="P4733" s="3" t="s">
        <v>75</v>
      </c>
      <c r="Q4733">
        <v>2016</v>
      </c>
      <c r="R4733" s="2">
        <v>42654</v>
      </c>
      <c r="S4733" s="2">
        <v>42660</v>
      </c>
      <c r="T4733" s="2">
        <v>42660</v>
      </c>
      <c r="U4733" s="2">
        <v>42720</v>
      </c>
      <c r="V4733" t="s">
        <v>71</v>
      </c>
      <c r="W4733" t="str">
        <f>"       2016PM0001293"</f>
        <v xml:space="preserve">       2016PM0001293</v>
      </c>
      <c r="X4733" s="1">
        <v>3202.5</v>
      </c>
      <c r="Y4733">
        <v>0</v>
      </c>
      <c r="Z4733" s="5">
        <v>2625</v>
      </c>
      <c r="AA4733">
        <v>-1</v>
      </c>
      <c r="AB4733" s="5">
        <v>-2625</v>
      </c>
      <c r="AC4733" s="1">
        <v>2625</v>
      </c>
      <c r="AD4733">
        <v>-1</v>
      </c>
      <c r="AE4733" s="1">
        <v>-2625</v>
      </c>
      <c r="AF4733">
        <v>577.5</v>
      </c>
      <c r="AJ4733">
        <v>0</v>
      </c>
      <c r="AK4733" s="1">
        <v>3202.5</v>
      </c>
      <c r="AL4733" s="1">
        <v>3202.5</v>
      </c>
      <c r="AM4733" s="1">
        <v>3202.5</v>
      </c>
      <c r="AN4733" s="1">
        <v>3202.5</v>
      </c>
      <c r="AO4733" s="1">
        <v>3202.5</v>
      </c>
      <c r="AP4733" s="2">
        <v>42746</v>
      </c>
      <c r="AQ4733" t="s">
        <v>72</v>
      </c>
      <c r="AR4733" t="s">
        <v>72</v>
      </c>
      <c r="AS4733">
        <v>3501</v>
      </c>
      <c r="AT4733" s="4">
        <v>42719</v>
      </c>
      <c r="AV4733">
        <v>3501</v>
      </c>
      <c r="AW4733" s="4">
        <v>42719</v>
      </c>
      <c r="AX4733">
        <v>577.5</v>
      </c>
      <c r="BD4733">
        <v>0</v>
      </c>
      <c r="BN4733" t="s">
        <v>74</v>
      </c>
    </row>
    <row r="4734" spans="1:66" hidden="1">
      <c r="A4734">
        <v>101728</v>
      </c>
      <c r="B4734" s="3" t="s">
        <v>507</v>
      </c>
      <c r="C4734" s="1">
        <v>43500101</v>
      </c>
      <c r="D4734" t="s">
        <v>113</v>
      </c>
      <c r="H4734" t="str">
        <f>"06263410638"</f>
        <v>06263410638</v>
      </c>
      <c r="I4734" t="str">
        <f>"06263410638"</f>
        <v>06263410638</v>
      </c>
      <c r="K4734" t="str">
        <f>""</f>
        <v/>
      </c>
      <c r="M4734" t="s">
        <v>68</v>
      </c>
      <c r="N4734" t="str">
        <f>"ALTPRO"</f>
        <v>ALTPRO</v>
      </c>
      <c r="O4734" t="s">
        <v>132</v>
      </c>
      <c r="P4734" s="3" t="s">
        <v>75</v>
      </c>
      <c r="Q4734">
        <v>2016</v>
      </c>
      <c r="R4734" s="2">
        <v>42408</v>
      </c>
      <c r="S4734" s="2">
        <v>42410</v>
      </c>
      <c r="T4734" s="2">
        <v>42408</v>
      </c>
      <c r="U4734" s="2">
        <v>42468</v>
      </c>
      <c r="V4734" t="s">
        <v>71</v>
      </c>
      <c r="W4734" t="str">
        <f>"      16 elettronica"</f>
        <v xml:space="preserve">      16 elettronica</v>
      </c>
      <c r="X4734" s="1">
        <v>9306.27</v>
      </c>
      <c r="Y4734" s="1">
        <v>-1466.94</v>
      </c>
      <c r="Z4734"/>
      <c r="AB4734"/>
      <c r="AC4734" s="1">
        <v>7839.33</v>
      </c>
      <c r="AD4734">
        <v>-35</v>
      </c>
      <c r="AE4734" s="1">
        <v>-274376.55</v>
      </c>
      <c r="AF4734">
        <v>0</v>
      </c>
      <c r="AJ4734">
        <v>0</v>
      </c>
      <c r="AK4734">
        <v>0</v>
      </c>
      <c r="AL4734">
        <v>0</v>
      </c>
      <c r="AM4734" s="1">
        <v>7839.33</v>
      </c>
      <c r="AN4734" s="1">
        <v>7839.33</v>
      </c>
      <c r="AO4734" s="1">
        <v>7839.33</v>
      </c>
      <c r="AP4734" s="2">
        <v>42746</v>
      </c>
      <c r="AQ4734" t="s">
        <v>72</v>
      </c>
      <c r="AR4734" t="s">
        <v>72</v>
      </c>
      <c r="AS4734">
        <v>667</v>
      </c>
      <c r="AT4734" s="4">
        <v>42433</v>
      </c>
      <c r="AV4734">
        <v>667</v>
      </c>
      <c r="AW4734" s="4">
        <v>42433</v>
      </c>
      <c r="BD4734">
        <v>0</v>
      </c>
      <c r="BN4734" t="s">
        <v>74</v>
      </c>
    </row>
    <row r="4735" spans="1:66" hidden="1">
      <c r="A4735">
        <v>101728</v>
      </c>
      <c r="B4735" s="3" t="s">
        <v>507</v>
      </c>
      <c r="C4735" s="1">
        <v>43500101</v>
      </c>
      <c r="D4735" t="s">
        <v>113</v>
      </c>
      <c r="H4735" t="str">
        <f>"06263410638"</f>
        <v>06263410638</v>
      </c>
      <c r="I4735" t="str">
        <f>"06263410638"</f>
        <v>06263410638</v>
      </c>
      <c r="K4735" t="str">
        <f>""</f>
        <v/>
      </c>
      <c r="M4735" t="s">
        <v>68</v>
      </c>
      <c r="N4735" t="str">
        <f>"ALTPRO"</f>
        <v>ALTPRO</v>
      </c>
      <c r="O4735" t="s">
        <v>132</v>
      </c>
      <c r="P4735" s="3" t="s">
        <v>70</v>
      </c>
      <c r="Q4735">
        <v>2016</v>
      </c>
      <c r="R4735" s="2">
        <v>42431</v>
      </c>
      <c r="S4735" s="2">
        <v>42436</v>
      </c>
      <c r="T4735" s="2">
        <v>42436</v>
      </c>
      <c r="U4735" s="2">
        <v>42496</v>
      </c>
      <c r="V4735" t="s">
        <v>71</v>
      </c>
      <c r="W4735" t="str">
        <f>"      18 elettronica"</f>
        <v xml:space="preserve">      18 elettronica</v>
      </c>
      <c r="X4735" s="1">
        <v>5769.66</v>
      </c>
      <c r="Y4735">
        <v>-874</v>
      </c>
      <c r="Z4735"/>
      <c r="AB4735"/>
      <c r="AC4735" s="1">
        <v>4895.66</v>
      </c>
      <c r="AD4735">
        <v>-45</v>
      </c>
      <c r="AE4735" s="1">
        <v>-220304.7</v>
      </c>
      <c r="AF4735">
        <v>0</v>
      </c>
      <c r="AJ4735">
        <v>0</v>
      </c>
      <c r="AK4735">
        <v>0</v>
      </c>
      <c r="AL4735">
        <v>0</v>
      </c>
      <c r="AM4735" s="1">
        <v>4895.66</v>
      </c>
      <c r="AN4735" s="1">
        <v>4895.66</v>
      </c>
      <c r="AO4735" s="1">
        <v>4895.66</v>
      </c>
      <c r="AP4735" s="2">
        <v>42746</v>
      </c>
      <c r="AQ4735" t="s">
        <v>72</v>
      </c>
      <c r="AR4735" t="s">
        <v>72</v>
      </c>
      <c r="AS4735">
        <v>752</v>
      </c>
      <c r="AT4735" s="4">
        <v>42451</v>
      </c>
      <c r="AV4735">
        <v>752</v>
      </c>
      <c r="AW4735" s="4">
        <v>42451</v>
      </c>
      <c r="BD4735">
        <v>0</v>
      </c>
      <c r="BN4735" t="s">
        <v>74</v>
      </c>
    </row>
    <row r="4736" spans="1:66">
      <c r="A4736">
        <v>101729</v>
      </c>
      <c r="B4736" s="3" t="s">
        <v>508</v>
      </c>
      <c r="C4736" s="1">
        <v>43300101</v>
      </c>
      <c r="D4736" t="s">
        <v>67</v>
      </c>
      <c r="H4736" t="str">
        <f t="shared" ref="H4736:I4738" si="507">"00840200158"</f>
        <v>00840200158</v>
      </c>
      <c r="I4736" t="str">
        <f t="shared" si="507"/>
        <v>00840200158</v>
      </c>
      <c r="K4736" t="str">
        <f>""</f>
        <v/>
      </c>
      <c r="M4736" t="s">
        <v>68</v>
      </c>
      <c r="N4736" t="str">
        <f t="shared" ref="N4736:N4799" si="508">"FOR"</f>
        <v>FOR</v>
      </c>
      <c r="O4736" t="s">
        <v>69</v>
      </c>
      <c r="P4736" s="3" t="s">
        <v>75</v>
      </c>
      <c r="Q4736">
        <v>2015</v>
      </c>
      <c r="R4736" s="2">
        <v>42304</v>
      </c>
      <c r="S4736" s="2">
        <v>42310</v>
      </c>
      <c r="T4736" s="2">
        <v>42307</v>
      </c>
      <c r="U4736" s="2">
        <v>42367</v>
      </c>
      <c r="V4736" t="s">
        <v>71</v>
      </c>
      <c r="W4736" t="str">
        <f>"          2015F00144"</f>
        <v xml:space="preserve">          2015F00144</v>
      </c>
      <c r="X4736" s="1">
        <v>1342</v>
      </c>
      <c r="Y4736">
        <v>0</v>
      </c>
      <c r="Z4736" s="5">
        <v>1100</v>
      </c>
      <c r="AA4736">
        <v>280</v>
      </c>
      <c r="AB4736" s="5">
        <v>308000</v>
      </c>
      <c r="AC4736" s="1">
        <v>1100</v>
      </c>
      <c r="AD4736">
        <v>280</v>
      </c>
      <c r="AE4736" s="1">
        <v>308000</v>
      </c>
      <c r="AF4736">
        <v>0</v>
      </c>
      <c r="AJ4736">
        <v>0</v>
      </c>
      <c r="AK4736">
        <v>0</v>
      </c>
      <c r="AL4736">
        <v>0</v>
      </c>
      <c r="AM4736">
        <v>0</v>
      </c>
      <c r="AN4736">
        <v>0</v>
      </c>
      <c r="AO4736">
        <v>0</v>
      </c>
      <c r="AP4736" s="2">
        <v>42746</v>
      </c>
      <c r="AQ4736" t="s">
        <v>72</v>
      </c>
      <c r="AR4736" t="s">
        <v>72</v>
      </c>
      <c r="AS4736">
        <v>2639</v>
      </c>
      <c r="AT4736" s="4">
        <v>42647</v>
      </c>
      <c r="AU4736" t="s">
        <v>73</v>
      </c>
      <c r="AV4736">
        <v>2639</v>
      </c>
      <c r="AW4736" s="4">
        <v>42647</v>
      </c>
      <c r="BD4736">
        <v>0</v>
      </c>
      <c r="BN4736" t="s">
        <v>74</v>
      </c>
    </row>
    <row r="4737" spans="1:66">
      <c r="A4737">
        <v>101729</v>
      </c>
      <c r="B4737" s="3" t="s">
        <v>508</v>
      </c>
      <c r="C4737" s="1">
        <v>43300101</v>
      </c>
      <c r="D4737" t="s">
        <v>67</v>
      </c>
      <c r="H4737" t="str">
        <f t="shared" si="507"/>
        <v>00840200158</v>
      </c>
      <c r="I4737" t="str">
        <f t="shared" si="507"/>
        <v>00840200158</v>
      </c>
      <c r="K4737" t="str">
        <f>""</f>
        <v/>
      </c>
      <c r="M4737" t="s">
        <v>68</v>
      </c>
      <c r="N4737" t="str">
        <f t="shared" si="508"/>
        <v>FOR</v>
      </c>
      <c r="O4737" t="s">
        <v>69</v>
      </c>
      <c r="P4737" s="3" t="s">
        <v>75</v>
      </c>
      <c r="Q4737">
        <v>2015</v>
      </c>
      <c r="R4737" s="2">
        <v>42304</v>
      </c>
      <c r="S4737" s="2">
        <v>42310</v>
      </c>
      <c r="T4737" s="2">
        <v>42307</v>
      </c>
      <c r="U4737" s="2">
        <v>42367</v>
      </c>
      <c r="V4737" t="s">
        <v>71</v>
      </c>
      <c r="W4737" t="str">
        <f>"          2015F00145"</f>
        <v xml:space="preserve">          2015F00145</v>
      </c>
      <c r="X4737" s="1">
        <v>12078</v>
      </c>
      <c r="Y4737">
        <v>0</v>
      </c>
      <c r="Z4737" s="5">
        <v>9900</v>
      </c>
      <c r="AA4737">
        <v>280</v>
      </c>
      <c r="AB4737" s="5">
        <v>2772000</v>
      </c>
      <c r="AC4737" s="1">
        <v>9900</v>
      </c>
      <c r="AD4737">
        <v>280</v>
      </c>
      <c r="AE4737" s="1">
        <v>2772000</v>
      </c>
      <c r="AF4737">
        <v>0</v>
      </c>
      <c r="AJ4737">
        <v>0</v>
      </c>
      <c r="AK4737">
        <v>0</v>
      </c>
      <c r="AL4737">
        <v>0</v>
      </c>
      <c r="AM4737">
        <v>0</v>
      </c>
      <c r="AN4737">
        <v>0</v>
      </c>
      <c r="AO4737">
        <v>0</v>
      </c>
      <c r="AP4737" s="2">
        <v>42746</v>
      </c>
      <c r="AQ4737" t="s">
        <v>72</v>
      </c>
      <c r="AR4737" t="s">
        <v>72</v>
      </c>
      <c r="AS4737">
        <v>2639</v>
      </c>
      <c r="AT4737" s="4">
        <v>42647</v>
      </c>
      <c r="AU4737" t="s">
        <v>73</v>
      </c>
      <c r="AV4737">
        <v>2639</v>
      </c>
      <c r="AW4737" s="4">
        <v>42647</v>
      </c>
      <c r="BD4737">
        <v>0</v>
      </c>
      <c r="BN4737" t="s">
        <v>74</v>
      </c>
    </row>
    <row r="4738" spans="1:66" hidden="1">
      <c r="A4738">
        <v>101729</v>
      </c>
      <c r="B4738" s="3" t="s">
        <v>508</v>
      </c>
      <c r="C4738" s="1">
        <v>43300101</v>
      </c>
      <c r="D4738" t="s">
        <v>67</v>
      </c>
      <c r="H4738" t="str">
        <f t="shared" si="507"/>
        <v>00840200158</v>
      </c>
      <c r="I4738" t="str">
        <f t="shared" si="507"/>
        <v>00840200158</v>
      </c>
      <c r="K4738" t="str">
        <f>""</f>
        <v/>
      </c>
      <c r="M4738" t="s">
        <v>68</v>
      </c>
      <c r="N4738" t="str">
        <f t="shared" si="508"/>
        <v>FOR</v>
      </c>
      <c r="O4738" t="s">
        <v>69</v>
      </c>
      <c r="P4738" s="3" t="s">
        <v>70</v>
      </c>
      <c r="Q4738">
        <v>2015</v>
      </c>
      <c r="R4738" s="2">
        <v>42093</v>
      </c>
      <c r="S4738" s="2">
        <v>42102</v>
      </c>
      <c r="T4738" s="2">
        <v>42102</v>
      </c>
      <c r="U4738" s="2">
        <v>42162</v>
      </c>
      <c r="V4738" t="s">
        <v>71</v>
      </c>
      <c r="W4738" t="str">
        <f>"          2015V00089"</f>
        <v xml:space="preserve">          2015V00089</v>
      </c>
      <c r="X4738" s="1">
        <v>1576.53</v>
      </c>
      <c r="Y4738">
        <v>0</v>
      </c>
      <c r="Z4738"/>
      <c r="AB4738"/>
      <c r="AC4738" s="1">
        <v>1292.24</v>
      </c>
      <c r="AD4738">
        <v>242</v>
      </c>
      <c r="AE4738" s="1">
        <v>312722.08</v>
      </c>
      <c r="AF4738">
        <v>0</v>
      </c>
      <c r="AJ4738">
        <v>0</v>
      </c>
      <c r="AK4738">
        <v>0</v>
      </c>
      <c r="AL4738">
        <v>0</v>
      </c>
      <c r="AM4738">
        <v>0</v>
      </c>
      <c r="AN4738">
        <v>0</v>
      </c>
      <c r="AO4738">
        <v>0</v>
      </c>
      <c r="AP4738" s="2">
        <v>42746</v>
      </c>
      <c r="AQ4738" t="s">
        <v>72</v>
      </c>
      <c r="AR4738" t="s">
        <v>72</v>
      </c>
      <c r="AS4738">
        <v>263</v>
      </c>
      <c r="AT4738" s="4">
        <v>42404</v>
      </c>
      <c r="AU4738" t="s">
        <v>73</v>
      </c>
      <c r="AV4738">
        <v>263</v>
      </c>
      <c r="AW4738" s="4">
        <v>42404</v>
      </c>
      <c r="BD4738">
        <v>0</v>
      </c>
      <c r="BN4738" t="s">
        <v>74</v>
      </c>
    </row>
    <row r="4739" spans="1:66" hidden="1">
      <c r="A4739">
        <v>101732</v>
      </c>
      <c r="B4739" s="3" t="s">
        <v>509</v>
      </c>
      <c r="C4739" s="1">
        <v>43300101</v>
      </c>
      <c r="D4739" t="s">
        <v>67</v>
      </c>
      <c r="H4739" t="str">
        <f t="shared" ref="H4739:H4745" si="509">"01270690587"</f>
        <v>01270690587</v>
      </c>
      <c r="I4739" t="str">
        <f t="shared" ref="I4739:I4745" si="510">"00980351001"</f>
        <v>00980351001</v>
      </c>
      <c r="K4739" t="str">
        <f>""</f>
        <v/>
      </c>
      <c r="M4739" t="s">
        <v>68</v>
      </c>
      <c r="N4739" t="str">
        <f t="shared" si="508"/>
        <v>FOR</v>
      </c>
      <c r="O4739" t="s">
        <v>69</v>
      </c>
      <c r="P4739" s="3" t="s">
        <v>70</v>
      </c>
      <c r="Q4739">
        <v>2015</v>
      </c>
      <c r="R4739" s="2">
        <v>42062</v>
      </c>
      <c r="S4739" s="2">
        <v>42412</v>
      </c>
      <c r="T4739" s="2">
        <v>42412</v>
      </c>
      <c r="U4739" s="2">
        <v>42472</v>
      </c>
      <c r="V4739" t="s">
        <v>71</v>
      </c>
      <c r="W4739" t="str">
        <f>"                 208"</f>
        <v xml:space="preserve">                 208</v>
      </c>
      <c r="X4739" s="1">
        <v>3172</v>
      </c>
      <c r="Y4739">
        <v>0</v>
      </c>
      <c r="Z4739"/>
      <c r="AB4739"/>
      <c r="AC4739" s="1">
        <v>2600</v>
      </c>
      <c r="AD4739">
        <v>-43</v>
      </c>
      <c r="AE4739" s="1">
        <v>-111800</v>
      </c>
      <c r="AF4739">
        <v>0</v>
      </c>
      <c r="AJ4739">
        <v>0</v>
      </c>
      <c r="AK4739">
        <v>0</v>
      </c>
      <c r="AL4739">
        <v>0</v>
      </c>
      <c r="AM4739">
        <v>0</v>
      </c>
      <c r="AN4739" s="1">
        <v>3172</v>
      </c>
      <c r="AO4739">
        <v>0</v>
      </c>
      <c r="AP4739" s="2">
        <v>42746</v>
      </c>
      <c r="AQ4739" t="s">
        <v>72</v>
      </c>
      <c r="AR4739" t="s">
        <v>72</v>
      </c>
      <c r="AS4739">
        <v>596</v>
      </c>
      <c r="AT4739" s="4">
        <v>42429</v>
      </c>
      <c r="AV4739">
        <v>596</v>
      </c>
      <c r="AW4739" s="4">
        <v>42429</v>
      </c>
      <c r="BD4739">
        <v>0</v>
      </c>
      <c r="BN4739" t="s">
        <v>74</v>
      </c>
    </row>
    <row r="4740" spans="1:66" hidden="1">
      <c r="A4740">
        <v>101732</v>
      </c>
      <c r="B4740" s="3" t="s">
        <v>509</v>
      </c>
      <c r="C4740" s="1">
        <v>43300101</v>
      </c>
      <c r="D4740" t="s">
        <v>67</v>
      </c>
      <c r="H4740" t="str">
        <f t="shared" si="509"/>
        <v>01270690587</v>
      </c>
      <c r="I4740" t="str">
        <f t="shared" si="510"/>
        <v>00980351001</v>
      </c>
      <c r="K4740" t="str">
        <f>""</f>
        <v/>
      </c>
      <c r="M4740" t="s">
        <v>68</v>
      </c>
      <c r="N4740" t="str">
        <f t="shared" si="508"/>
        <v>FOR</v>
      </c>
      <c r="O4740" t="s">
        <v>69</v>
      </c>
      <c r="P4740" s="3" t="s">
        <v>75</v>
      </c>
      <c r="Q4740">
        <v>2015</v>
      </c>
      <c r="R4740" s="2">
        <v>42124</v>
      </c>
      <c r="S4740" s="2">
        <v>42142</v>
      </c>
      <c r="T4740" s="2">
        <v>42138</v>
      </c>
      <c r="U4740" s="2">
        <v>42198</v>
      </c>
      <c r="V4740" t="s">
        <v>71</v>
      </c>
      <c r="W4740" t="str">
        <f>"              387/00"</f>
        <v xml:space="preserve">              387/00</v>
      </c>
      <c r="X4740" s="1">
        <v>3172</v>
      </c>
      <c r="Y4740">
        <v>0</v>
      </c>
      <c r="Z4740"/>
      <c r="AB4740"/>
      <c r="AC4740" s="1">
        <v>2600</v>
      </c>
      <c r="AD4740">
        <v>203</v>
      </c>
      <c r="AE4740" s="1">
        <v>527800</v>
      </c>
      <c r="AF4740">
        <v>0</v>
      </c>
      <c r="AJ4740">
        <v>0</v>
      </c>
      <c r="AK4740">
        <v>0</v>
      </c>
      <c r="AL4740">
        <v>0</v>
      </c>
      <c r="AM4740">
        <v>0</v>
      </c>
      <c r="AN4740">
        <v>0</v>
      </c>
      <c r="AO4740">
        <v>0</v>
      </c>
      <c r="AP4740" s="2">
        <v>42746</v>
      </c>
      <c r="AQ4740" t="s">
        <v>72</v>
      </c>
      <c r="AR4740" t="s">
        <v>72</v>
      </c>
      <c r="AS4740">
        <v>165</v>
      </c>
      <c r="AT4740" s="4">
        <v>42401</v>
      </c>
      <c r="AU4740" t="s">
        <v>73</v>
      </c>
      <c r="AV4740">
        <v>165</v>
      </c>
      <c r="AW4740" s="4">
        <v>42401</v>
      </c>
      <c r="BD4740">
        <v>0</v>
      </c>
      <c r="BN4740" t="s">
        <v>74</v>
      </c>
    </row>
    <row r="4741" spans="1:66" hidden="1">
      <c r="A4741">
        <v>101732</v>
      </c>
      <c r="B4741" s="3" t="s">
        <v>509</v>
      </c>
      <c r="C4741" s="1">
        <v>43300101</v>
      </c>
      <c r="D4741" t="s">
        <v>67</v>
      </c>
      <c r="H4741" t="str">
        <f t="shared" si="509"/>
        <v>01270690587</v>
      </c>
      <c r="I4741" t="str">
        <f t="shared" si="510"/>
        <v>00980351001</v>
      </c>
      <c r="K4741" t="str">
        <f>""</f>
        <v/>
      </c>
      <c r="M4741" t="s">
        <v>68</v>
      </c>
      <c r="N4741" t="str">
        <f t="shared" si="508"/>
        <v>FOR</v>
      </c>
      <c r="O4741" t="s">
        <v>69</v>
      </c>
      <c r="P4741" s="3" t="s">
        <v>75</v>
      </c>
      <c r="Q4741">
        <v>2015</v>
      </c>
      <c r="R4741" s="2">
        <v>42185</v>
      </c>
      <c r="S4741" s="2">
        <v>42191</v>
      </c>
      <c r="T4741" s="2">
        <v>42188</v>
      </c>
      <c r="U4741" s="2">
        <v>42248</v>
      </c>
      <c r="V4741" t="s">
        <v>71</v>
      </c>
      <c r="W4741" t="str">
        <f>"              549/00"</f>
        <v xml:space="preserve">              549/00</v>
      </c>
      <c r="X4741" s="1">
        <v>3172</v>
      </c>
      <c r="Y4741">
        <v>0</v>
      </c>
      <c r="Z4741"/>
      <c r="AB4741"/>
      <c r="AC4741" s="1">
        <v>2600</v>
      </c>
      <c r="AD4741">
        <v>153</v>
      </c>
      <c r="AE4741" s="1">
        <v>397800</v>
      </c>
      <c r="AF4741">
        <v>0</v>
      </c>
      <c r="AJ4741">
        <v>0</v>
      </c>
      <c r="AK4741">
        <v>0</v>
      </c>
      <c r="AL4741">
        <v>0</v>
      </c>
      <c r="AM4741">
        <v>0</v>
      </c>
      <c r="AN4741">
        <v>0</v>
      </c>
      <c r="AO4741">
        <v>0</v>
      </c>
      <c r="AP4741" s="2">
        <v>42746</v>
      </c>
      <c r="AQ4741" t="s">
        <v>72</v>
      </c>
      <c r="AR4741" t="s">
        <v>72</v>
      </c>
      <c r="AS4741">
        <v>165</v>
      </c>
      <c r="AT4741" s="4">
        <v>42401</v>
      </c>
      <c r="AU4741" t="s">
        <v>73</v>
      </c>
      <c r="AV4741">
        <v>165</v>
      </c>
      <c r="AW4741" s="4">
        <v>42401</v>
      </c>
      <c r="BD4741">
        <v>0</v>
      </c>
      <c r="BN4741" t="s">
        <v>74</v>
      </c>
    </row>
    <row r="4742" spans="1:66">
      <c r="A4742">
        <v>101732</v>
      </c>
      <c r="B4742" s="3" t="s">
        <v>509</v>
      </c>
      <c r="C4742" s="1">
        <v>43300101</v>
      </c>
      <c r="D4742" t="s">
        <v>67</v>
      </c>
      <c r="H4742" t="str">
        <f t="shared" si="509"/>
        <v>01270690587</v>
      </c>
      <c r="I4742" t="str">
        <f t="shared" si="510"/>
        <v>00980351001</v>
      </c>
      <c r="K4742" t="str">
        <f>""</f>
        <v/>
      </c>
      <c r="M4742" t="s">
        <v>68</v>
      </c>
      <c r="N4742" t="str">
        <f t="shared" si="508"/>
        <v>FOR</v>
      </c>
      <c r="O4742" t="s">
        <v>69</v>
      </c>
      <c r="P4742" s="3" t="s">
        <v>75</v>
      </c>
      <c r="Q4742">
        <v>2015</v>
      </c>
      <c r="R4742" s="2">
        <v>42307</v>
      </c>
      <c r="S4742" s="2">
        <v>42317</v>
      </c>
      <c r="T4742" s="2">
        <v>42314</v>
      </c>
      <c r="U4742" s="2">
        <v>42374</v>
      </c>
      <c r="V4742" t="s">
        <v>71</v>
      </c>
      <c r="W4742" t="str">
        <f>"              950/00"</f>
        <v xml:space="preserve">              950/00</v>
      </c>
      <c r="X4742" s="1">
        <v>3172</v>
      </c>
      <c r="Y4742">
        <v>0</v>
      </c>
      <c r="Z4742" s="5">
        <v>2600</v>
      </c>
      <c r="AA4742">
        <v>273</v>
      </c>
      <c r="AB4742" s="5">
        <v>709800</v>
      </c>
      <c r="AC4742" s="1">
        <v>2600</v>
      </c>
      <c r="AD4742">
        <v>273</v>
      </c>
      <c r="AE4742" s="1">
        <v>709800</v>
      </c>
      <c r="AF4742">
        <v>0</v>
      </c>
      <c r="AJ4742">
        <v>0</v>
      </c>
      <c r="AK4742">
        <v>0</v>
      </c>
      <c r="AL4742">
        <v>0</v>
      </c>
      <c r="AM4742">
        <v>0</v>
      </c>
      <c r="AN4742">
        <v>0</v>
      </c>
      <c r="AO4742">
        <v>0</v>
      </c>
      <c r="AP4742" s="2">
        <v>42746</v>
      </c>
      <c r="AQ4742" t="s">
        <v>72</v>
      </c>
      <c r="AR4742" t="s">
        <v>72</v>
      </c>
      <c r="AS4742">
        <v>2603</v>
      </c>
      <c r="AT4742" s="4">
        <v>42647</v>
      </c>
      <c r="AU4742" t="s">
        <v>73</v>
      </c>
      <c r="AV4742">
        <v>2603</v>
      </c>
      <c r="AW4742" s="4">
        <v>42647</v>
      </c>
      <c r="BD4742">
        <v>0</v>
      </c>
      <c r="BN4742" t="s">
        <v>74</v>
      </c>
    </row>
    <row r="4743" spans="1:66">
      <c r="A4743">
        <v>101732</v>
      </c>
      <c r="B4743" s="3" t="s">
        <v>509</v>
      </c>
      <c r="C4743" s="1">
        <v>43300101</v>
      </c>
      <c r="D4743" t="s">
        <v>67</v>
      </c>
      <c r="H4743" t="str">
        <f t="shared" si="509"/>
        <v>01270690587</v>
      </c>
      <c r="I4743" t="str">
        <f t="shared" si="510"/>
        <v>00980351001</v>
      </c>
      <c r="K4743" t="str">
        <f>""</f>
        <v/>
      </c>
      <c r="M4743" t="s">
        <v>68</v>
      </c>
      <c r="N4743" t="str">
        <f t="shared" si="508"/>
        <v>FOR</v>
      </c>
      <c r="O4743" t="s">
        <v>69</v>
      </c>
      <c r="P4743" s="3" t="s">
        <v>75</v>
      </c>
      <c r="Q4743">
        <v>2015</v>
      </c>
      <c r="R4743" s="2">
        <v>42338</v>
      </c>
      <c r="S4743" s="2">
        <v>42345</v>
      </c>
      <c r="T4743" s="2">
        <v>42342</v>
      </c>
      <c r="U4743" s="2">
        <v>42402</v>
      </c>
      <c r="V4743" t="s">
        <v>71</v>
      </c>
      <c r="W4743" t="str">
        <f>"             1045/00"</f>
        <v xml:space="preserve">             1045/00</v>
      </c>
      <c r="X4743" s="1">
        <v>3172</v>
      </c>
      <c r="Y4743">
        <v>0</v>
      </c>
      <c r="Z4743" s="5">
        <v>2600</v>
      </c>
      <c r="AA4743">
        <v>245</v>
      </c>
      <c r="AB4743" s="5">
        <v>637000</v>
      </c>
      <c r="AC4743" s="1">
        <v>2600</v>
      </c>
      <c r="AD4743">
        <v>245</v>
      </c>
      <c r="AE4743" s="1">
        <v>637000</v>
      </c>
      <c r="AF4743">
        <v>0</v>
      </c>
      <c r="AJ4743">
        <v>0</v>
      </c>
      <c r="AK4743">
        <v>0</v>
      </c>
      <c r="AL4743">
        <v>0</v>
      </c>
      <c r="AM4743">
        <v>0</v>
      </c>
      <c r="AN4743">
        <v>0</v>
      </c>
      <c r="AO4743">
        <v>0</v>
      </c>
      <c r="AP4743" s="2">
        <v>42746</v>
      </c>
      <c r="AQ4743" t="s">
        <v>72</v>
      </c>
      <c r="AR4743" t="s">
        <v>72</v>
      </c>
      <c r="AS4743">
        <v>2603</v>
      </c>
      <c r="AT4743" s="4">
        <v>42647</v>
      </c>
      <c r="AU4743" t="s">
        <v>73</v>
      </c>
      <c r="AV4743">
        <v>2603</v>
      </c>
      <c r="AW4743" s="4">
        <v>42647</v>
      </c>
      <c r="BD4743">
        <v>0</v>
      </c>
      <c r="BN4743" t="s">
        <v>74</v>
      </c>
    </row>
    <row r="4744" spans="1:66" hidden="1">
      <c r="A4744">
        <v>101732</v>
      </c>
      <c r="B4744" s="3" t="s">
        <v>509</v>
      </c>
      <c r="C4744" s="1">
        <v>43300101</v>
      </c>
      <c r="D4744" t="s">
        <v>67</v>
      </c>
      <c r="H4744" t="str">
        <f t="shared" si="509"/>
        <v>01270690587</v>
      </c>
      <c r="I4744" t="str">
        <f t="shared" si="510"/>
        <v>00980351001</v>
      </c>
      <c r="K4744" t="str">
        <f>""</f>
        <v/>
      </c>
      <c r="M4744" t="s">
        <v>68</v>
      </c>
      <c r="N4744" t="str">
        <f t="shared" si="508"/>
        <v>FOR</v>
      </c>
      <c r="O4744" t="s">
        <v>69</v>
      </c>
      <c r="P4744" s="3" t="s">
        <v>75</v>
      </c>
      <c r="Q4744">
        <v>2016</v>
      </c>
      <c r="R4744" s="2">
        <v>42400</v>
      </c>
      <c r="S4744" s="2">
        <v>42410</v>
      </c>
      <c r="T4744" s="2">
        <v>42410</v>
      </c>
      <c r="U4744" s="2">
        <v>42470</v>
      </c>
      <c r="V4744" t="s">
        <v>71</v>
      </c>
      <c r="W4744" t="str">
        <f>"                1/PA"</f>
        <v xml:space="preserve">                1/PA</v>
      </c>
      <c r="X4744" s="1">
        <v>3172</v>
      </c>
      <c r="Y4744">
        <v>0</v>
      </c>
      <c r="Z4744"/>
      <c r="AB4744"/>
      <c r="AC4744" s="1">
        <v>2600</v>
      </c>
      <c r="AD4744">
        <v>-17</v>
      </c>
      <c r="AE4744" s="1">
        <v>-44200</v>
      </c>
      <c r="AF4744">
        <v>0</v>
      </c>
      <c r="AJ4744">
        <v>0</v>
      </c>
      <c r="AK4744">
        <v>0</v>
      </c>
      <c r="AL4744">
        <v>0</v>
      </c>
      <c r="AM4744" s="1">
        <v>3172</v>
      </c>
      <c r="AN4744" s="1">
        <v>3172</v>
      </c>
      <c r="AO4744" s="1">
        <v>3172</v>
      </c>
      <c r="AP4744" s="2">
        <v>42746</v>
      </c>
      <c r="AQ4744" t="s">
        <v>72</v>
      </c>
      <c r="AR4744" t="s">
        <v>72</v>
      </c>
      <c r="AS4744">
        <v>876</v>
      </c>
      <c r="AT4744" s="4">
        <v>42453</v>
      </c>
      <c r="AV4744">
        <v>876</v>
      </c>
      <c r="AW4744" s="4">
        <v>42453</v>
      </c>
      <c r="BD4744">
        <v>0</v>
      </c>
      <c r="BN4744" t="s">
        <v>74</v>
      </c>
    </row>
    <row r="4745" spans="1:66">
      <c r="A4745">
        <v>101732</v>
      </c>
      <c r="B4745" s="3" t="s">
        <v>509</v>
      </c>
      <c r="C4745" s="1">
        <v>43300101</v>
      </c>
      <c r="D4745" t="s">
        <v>67</v>
      </c>
      <c r="H4745" t="str">
        <f t="shared" si="509"/>
        <v>01270690587</v>
      </c>
      <c r="I4745" t="str">
        <f t="shared" si="510"/>
        <v>00980351001</v>
      </c>
      <c r="K4745" t="str">
        <f>""</f>
        <v/>
      </c>
      <c r="M4745" t="s">
        <v>68</v>
      </c>
      <c r="N4745" t="str">
        <f t="shared" si="508"/>
        <v>FOR</v>
      </c>
      <c r="O4745" t="s">
        <v>69</v>
      </c>
      <c r="P4745" s="3" t="s">
        <v>75</v>
      </c>
      <c r="Q4745">
        <v>2016</v>
      </c>
      <c r="R4745" s="2">
        <v>42429</v>
      </c>
      <c r="S4745" s="2">
        <v>42443</v>
      </c>
      <c r="T4745" s="2">
        <v>42441</v>
      </c>
      <c r="U4745" s="2">
        <v>42501</v>
      </c>
      <c r="V4745" t="s">
        <v>71</v>
      </c>
      <c r="W4745" t="str">
        <f>"                6/PA"</f>
        <v xml:space="preserve">                6/PA</v>
      </c>
      <c r="X4745" s="1">
        <v>3172</v>
      </c>
      <c r="Y4745">
        <v>0</v>
      </c>
      <c r="Z4745" s="5">
        <v>2600</v>
      </c>
      <c r="AA4745">
        <v>217</v>
      </c>
      <c r="AB4745" s="5">
        <v>564200</v>
      </c>
      <c r="AC4745" s="1">
        <v>2600</v>
      </c>
      <c r="AD4745">
        <v>217</v>
      </c>
      <c r="AE4745" s="1">
        <v>564200</v>
      </c>
      <c r="AF4745">
        <v>572</v>
      </c>
      <c r="AJ4745">
        <v>0</v>
      </c>
      <c r="AK4745">
        <v>0</v>
      </c>
      <c r="AL4745">
        <v>0</v>
      </c>
      <c r="AM4745" s="1">
        <v>3172</v>
      </c>
      <c r="AN4745" s="1">
        <v>3172</v>
      </c>
      <c r="AO4745" s="1">
        <v>3172</v>
      </c>
      <c r="AP4745" s="2">
        <v>42746</v>
      </c>
      <c r="AQ4745" t="s">
        <v>72</v>
      </c>
      <c r="AR4745" t="s">
        <v>72</v>
      </c>
      <c r="AS4745">
        <v>3482</v>
      </c>
      <c r="AT4745" s="4">
        <v>42718</v>
      </c>
      <c r="AU4745" t="s">
        <v>73</v>
      </c>
      <c r="AV4745">
        <v>3482</v>
      </c>
      <c r="AW4745" s="4">
        <v>42718</v>
      </c>
      <c r="BD4745">
        <v>572</v>
      </c>
      <c r="BN4745" t="s">
        <v>74</v>
      </c>
    </row>
    <row r="4746" spans="1:66" hidden="1">
      <c r="A4746">
        <v>101735</v>
      </c>
      <c r="B4746" s="3" t="s">
        <v>510</v>
      </c>
      <c r="C4746" s="1">
        <v>43300101</v>
      </c>
      <c r="D4746" t="s">
        <v>67</v>
      </c>
      <c r="H4746" t="str">
        <f t="shared" ref="H4746:I4750" si="511">"03581091216"</f>
        <v>03581091216</v>
      </c>
      <c r="I4746" t="str">
        <f t="shared" si="511"/>
        <v>03581091216</v>
      </c>
      <c r="K4746" t="str">
        <f>""</f>
        <v/>
      </c>
      <c r="M4746" t="s">
        <v>68</v>
      </c>
      <c r="N4746" t="str">
        <f t="shared" si="508"/>
        <v>FOR</v>
      </c>
      <c r="O4746" t="s">
        <v>69</v>
      </c>
      <c r="P4746" s="3" t="s">
        <v>75</v>
      </c>
      <c r="Q4746">
        <v>2015</v>
      </c>
      <c r="R4746" s="2">
        <v>42186</v>
      </c>
      <c r="S4746" s="2">
        <v>42202</v>
      </c>
      <c r="T4746" s="2">
        <v>42201</v>
      </c>
      <c r="U4746" s="2">
        <v>42261</v>
      </c>
      <c r="V4746" t="s">
        <v>71</v>
      </c>
      <c r="W4746" t="str">
        <f>"                   7"</f>
        <v xml:space="preserve">                   7</v>
      </c>
      <c r="X4746" s="1">
        <v>7764.48</v>
      </c>
      <c r="Y4746">
        <v>0</v>
      </c>
      <c r="Z4746"/>
      <c r="AB4746"/>
      <c r="AC4746" s="1">
        <v>6364.33</v>
      </c>
      <c r="AD4746">
        <v>140</v>
      </c>
      <c r="AE4746" s="1">
        <v>891006.2</v>
      </c>
      <c r="AF4746">
        <v>0</v>
      </c>
      <c r="AJ4746">
        <v>0</v>
      </c>
      <c r="AK4746">
        <v>0</v>
      </c>
      <c r="AL4746">
        <v>0</v>
      </c>
      <c r="AM4746">
        <v>0</v>
      </c>
      <c r="AN4746">
        <v>0</v>
      </c>
      <c r="AO4746">
        <v>0</v>
      </c>
      <c r="AP4746" s="2">
        <v>42746</v>
      </c>
      <c r="AQ4746" t="s">
        <v>72</v>
      </c>
      <c r="AR4746" t="s">
        <v>72</v>
      </c>
      <c r="AS4746">
        <v>177</v>
      </c>
      <c r="AT4746" s="4">
        <v>42401</v>
      </c>
      <c r="AU4746" t="s">
        <v>73</v>
      </c>
      <c r="AV4746">
        <v>177</v>
      </c>
      <c r="AW4746" s="4">
        <v>42401</v>
      </c>
      <c r="BD4746">
        <v>0</v>
      </c>
      <c r="BN4746" t="s">
        <v>74</v>
      </c>
    </row>
    <row r="4747" spans="1:66" hidden="1">
      <c r="A4747">
        <v>101735</v>
      </c>
      <c r="B4747" s="3" t="s">
        <v>510</v>
      </c>
      <c r="C4747" s="1">
        <v>43300101</v>
      </c>
      <c r="D4747" t="s">
        <v>67</v>
      </c>
      <c r="H4747" t="str">
        <f t="shared" si="511"/>
        <v>03581091216</v>
      </c>
      <c r="I4747" t="str">
        <f t="shared" si="511"/>
        <v>03581091216</v>
      </c>
      <c r="K4747" t="str">
        <f>""</f>
        <v/>
      </c>
      <c r="M4747" t="s">
        <v>68</v>
      </c>
      <c r="N4747" t="str">
        <f t="shared" si="508"/>
        <v>FOR</v>
      </c>
      <c r="O4747" t="s">
        <v>69</v>
      </c>
      <c r="P4747" s="3" t="s">
        <v>75</v>
      </c>
      <c r="Q4747">
        <v>2015</v>
      </c>
      <c r="R4747" s="2">
        <v>42205</v>
      </c>
      <c r="S4747" s="2">
        <v>42205</v>
      </c>
      <c r="T4747" s="2">
        <v>42205</v>
      </c>
      <c r="U4747" s="2">
        <v>42265</v>
      </c>
      <c r="V4747" t="s">
        <v>71</v>
      </c>
      <c r="W4747" t="str">
        <f>"                   9"</f>
        <v xml:space="preserve">                   9</v>
      </c>
      <c r="X4747" s="1">
        <v>7764.48</v>
      </c>
      <c r="Y4747">
        <v>0</v>
      </c>
      <c r="Z4747"/>
      <c r="AB4747"/>
      <c r="AC4747" s="1">
        <v>6364.33</v>
      </c>
      <c r="AD4747">
        <v>136</v>
      </c>
      <c r="AE4747" s="1">
        <v>865548.88</v>
      </c>
      <c r="AF4747">
        <v>0</v>
      </c>
      <c r="AJ4747">
        <v>0</v>
      </c>
      <c r="AK4747">
        <v>0</v>
      </c>
      <c r="AL4747">
        <v>0</v>
      </c>
      <c r="AM4747">
        <v>0</v>
      </c>
      <c r="AN4747">
        <v>0</v>
      </c>
      <c r="AO4747">
        <v>0</v>
      </c>
      <c r="AP4747" s="2">
        <v>42746</v>
      </c>
      <c r="AQ4747" t="s">
        <v>72</v>
      </c>
      <c r="AR4747" t="s">
        <v>72</v>
      </c>
      <c r="AS4747">
        <v>177</v>
      </c>
      <c r="AT4747" s="4">
        <v>42401</v>
      </c>
      <c r="AU4747" t="s">
        <v>73</v>
      </c>
      <c r="AV4747">
        <v>177</v>
      </c>
      <c r="AW4747" s="4">
        <v>42401</v>
      </c>
      <c r="BD4747">
        <v>0</v>
      </c>
      <c r="BN4747" t="s">
        <v>74</v>
      </c>
    </row>
    <row r="4748" spans="1:66">
      <c r="A4748">
        <v>101735</v>
      </c>
      <c r="B4748" s="3" t="s">
        <v>510</v>
      </c>
      <c r="C4748" s="1">
        <v>43300101</v>
      </c>
      <c r="D4748" t="s">
        <v>67</v>
      </c>
      <c r="H4748" t="str">
        <f t="shared" si="511"/>
        <v>03581091216</v>
      </c>
      <c r="I4748" t="str">
        <f t="shared" si="511"/>
        <v>03581091216</v>
      </c>
      <c r="K4748" t="str">
        <f>""</f>
        <v/>
      </c>
      <c r="M4748" t="s">
        <v>68</v>
      </c>
      <c r="N4748" t="str">
        <f t="shared" si="508"/>
        <v>FOR</v>
      </c>
      <c r="O4748" t="s">
        <v>69</v>
      </c>
      <c r="P4748" s="3" t="s">
        <v>75</v>
      </c>
      <c r="Q4748">
        <v>2015</v>
      </c>
      <c r="R4748" s="2">
        <v>42335</v>
      </c>
      <c r="S4748" s="2">
        <v>42338</v>
      </c>
      <c r="T4748" s="2">
        <v>42335</v>
      </c>
      <c r="U4748" s="2">
        <v>42395</v>
      </c>
      <c r="V4748" t="s">
        <v>71</v>
      </c>
      <c r="W4748" t="str">
        <f>"                  24"</f>
        <v xml:space="preserve">                  24</v>
      </c>
      <c r="X4748" s="1">
        <v>7764.48</v>
      </c>
      <c r="Y4748">
        <v>0</v>
      </c>
      <c r="Z4748" s="5">
        <v>6364.33</v>
      </c>
      <c r="AA4748">
        <v>283</v>
      </c>
      <c r="AB4748" s="5">
        <v>1801105.39</v>
      </c>
      <c r="AC4748" s="1">
        <v>6364.33</v>
      </c>
      <c r="AD4748">
        <v>283</v>
      </c>
      <c r="AE4748" s="1">
        <v>1801105.39</v>
      </c>
      <c r="AF4748">
        <v>0</v>
      </c>
      <c r="AJ4748">
        <v>0</v>
      </c>
      <c r="AK4748">
        <v>0</v>
      </c>
      <c r="AL4748">
        <v>0</v>
      </c>
      <c r="AM4748">
        <v>0</v>
      </c>
      <c r="AN4748">
        <v>0</v>
      </c>
      <c r="AO4748">
        <v>0</v>
      </c>
      <c r="AP4748" s="2">
        <v>42746</v>
      </c>
      <c r="AQ4748" t="s">
        <v>72</v>
      </c>
      <c r="AR4748" t="s">
        <v>72</v>
      </c>
      <c r="AS4748">
        <v>2929</v>
      </c>
      <c r="AT4748" s="4">
        <v>42678</v>
      </c>
      <c r="AU4748" t="s">
        <v>73</v>
      </c>
      <c r="AV4748">
        <v>2929</v>
      </c>
      <c r="AW4748" s="4">
        <v>42678</v>
      </c>
      <c r="BD4748">
        <v>0</v>
      </c>
      <c r="BN4748" t="s">
        <v>74</v>
      </c>
    </row>
    <row r="4749" spans="1:66">
      <c r="A4749">
        <v>101735</v>
      </c>
      <c r="B4749" s="3" t="s">
        <v>510</v>
      </c>
      <c r="C4749" s="1">
        <v>43300101</v>
      </c>
      <c r="D4749" t="s">
        <v>67</v>
      </c>
      <c r="H4749" t="str">
        <f t="shared" si="511"/>
        <v>03581091216</v>
      </c>
      <c r="I4749" t="str">
        <f t="shared" si="511"/>
        <v>03581091216</v>
      </c>
      <c r="K4749" t="str">
        <f>""</f>
        <v/>
      </c>
      <c r="M4749" t="s">
        <v>68</v>
      </c>
      <c r="N4749" t="str">
        <f t="shared" si="508"/>
        <v>FOR</v>
      </c>
      <c r="O4749" t="s">
        <v>69</v>
      </c>
      <c r="P4749" s="3" t="s">
        <v>75</v>
      </c>
      <c r="Q4749">
        <v>2015</v>
      </c>
      <c r="R4749" s="2">
        <v>42335</v>
      </c>
      <c r="S4749" s="2">
        <v>42338</v>
      </c>
      <c r="T4749" s="2">
        <v>42335</v>
      </c>
      <c r="U4749" s="2">
        <v>42395</v>
      </c>
      <c r="V4749" t="s">
        <v>71</v>
      </c>
      <c r="W4749" t="str">
        <f>"                  25"</f>
        <v xml:space="preserve">                  25</v>
      </c>
      <c r="X4749" s="1">
        <v>7764.48</v>
      </c>
      <c r="Y4749">
        <v>0</v>
      </c>
      <c r="Z4749" s="5">
        <v>6364.33</v>
      </c>
      <c r="AA4749">
        <v>283</v>
      </c>
      <c r="AB4749" s="5">
        <v>1801105.39</v>
      </c>
      <c r="AC4749" s="1">
        <v>6364.33</v>
      </c>
      <c r="AD4749">
        <v>283</v>
      </c>
      <c r="AE4749" s="1">
        <v>1801105.39</v>
      </c>
      <c r="AF4749">
        <v>0</v>
      </c>
      <c r="AJ4749">
        <v>0</v>
      </c>
      <c r="AK4749">
        <v>0</v>
      </c>
      <c r="AL4749">
        <v>0</v>
      </c>
      <c r="AM4749">
        <v>0</v>
      </c>
      <c r="AN4749">
        <v>0</v>
      </c>
      <c r="AO4749">
        <v>0</v>
      </c>
      <c r="AP4749" s="2">
        <v>42746</v>
      </c>
      <c r="AQ4749" t="s">
        <v>72</v>
      </c>
      <c r="AR4749" t="s">
        <v>72</v>
      </c>
      <c r="AS4749">
        <v>2929</v>
      </c>
      <c r="AT4749" s="4">
        <v>42678</v>
      </c>
      <c r="AU4749" t="s">
        <v>73</v>
      </c>
      <c r="AV4749">
        <v>2929</v>
      </c>
      <c r="AW4749" s="4">
        <v>42678</v>
      </c>
      <c r="BD4749">
        <v>0</v>
      </c>
      <c r="BN4749" t="s">
        <v>74</v>
      </c>
    </row>
    <row r="4750" spans="1:66">
      <c r="A4750">
        <v>101735</v>
      </c>
      <c r="B4750" s="3" t="s">
        <v>510</v>
      </c>
      <c r="C4750" s="1">
        <v>43300101</v>
      </c>
      <c r="D4750" t="s">
        <v>67</v>
      </c>
      <c r="H4750" t="str">
        <f t="shared" si="511"/>
        <v>03581091216</v>
      </c>
      <c r="I4750" t="str">
        <f t="shared" si="511"/>
        <v>03581091216</v>
      </c>
      <c r="K4750" t="str">
        <f>""</f>
        <v/>
      </c>
      <c r="M4750" t="s">
        <v>68</v>
      </c>
      <c r="N4750" t="str">
        <f t="shared" si="508"/>
        <v>FOR</v>
      </c>
      <c r="O4750" t="s">
        <v>69</v>
      </c>
      <c r="P4750" s="3" t="s">
        <v>75</v>
      </c>
      <c r="Q4750">
        <v>2016</v>
      </c>
      <c r="R4750" s="2">
        <v>42371</v>
      </c>
      <c r="S4750" s="2">
        <v>42377</v>
      </c>
      <c r="T4750" s="2">
        <v>42376</v>
      </c>
      <c r="U4750" s="2">
        <v>42436</v>
      </c>
      <c r="V4750" t="s">
        <v>71</v>
      </c>
      <c r="W4750" t="str">
        <f>"                  29"</f>
        <v xml:space="preserve">                  29</v>
      </c>
      <c r="X4750" s="1">
        <v>7764.48</v>
      </c>
      <c r="Y4750">
        <v>0</v>
      </c>
      <c r="Z4750" s="5">
        <v>6364.33</v>
      </c>
      <c r="AA4750">
        <v>254</v>
      </c>
      <c r="AB4750" s="5">
        <v>1616539.82</v>
      </c>
      <c r="AC4750" s="1">
        <v>6364.33</v>
      </c>
      <c r="AD4750">
        <v>254</v>
      </c>
      <c r="AE4750" s="1">
        <v>1616539.82</v>
      </c>
      <c r="AF4750">
        <v>0</v>
      </c>
      <c r="AJ4750">
        <v>0</v>
      </c>
      <c r="AK4750">
        <v>0</v>
      </c>
      <c r="AL4750">
        <v>0</v>
      </c>
      <c r="AM4750">
        <v>0</v>
      </c>
      <c r="AN4750" s="1">
        <v>7764.48</v>
      </c>
      <c r="AO4750" s="1">
        <v>7764.48</v>
      </c>
      <c r="AP4750" s="2">
        <v>42746</v>
      </c>
      <c r="AQ4750" t="s">
        <v>72</v>
      </c>
      <c r="AR4750" t="s">
        <v>72</v>
      </c>
      <c r="AS4750">
        <v>3153</v>
      </c>
      <c r="AT4750" s="4">
        <v>42690</v>
      </c>
      <c r="AU4750" t="s">
        <v>73</v>
      </c>
      <c r="AV4750">
        <v>3153</v>
      </c>
      <c r="AW4750" s="4">
        <v>42690</v>
      </c>
      <c r="BD4750">
        <v>0</v>
      </c>
      <c r="BN4750" t="s">
        <v>74</v>
      </c>
    </row>
    <row r="4751" spans="1:66" hidden="1">
      <c r="A4751">
        <v>101741</v>
      </c>
      <c r="B4751" s="3" t="s">
        <v>511</v>
      </c>
      <c r="C4751" s="1">
        <v>43300101</v>
      </c>
      <c r="D4751" t="s">
        <v>67</v>
      </c>
      <c r="H4751" t="str">
        <f t="shared" ref="H4751:I4759" si="512">"01487150623"</f>
        <v>01487150623</v>
      </c>
      <c r="I4751" t="str">
        <f t="shared" si="512"/>
        <v>01487150623</v>
      </c>
      <c r="K4751" t="str">
        <f>""</f>
        <v/>
      </c>
      <c r="M4751" t="s">
        <v>68</v>
      </c>
      <c r="N4751" t="str">
        <f t="shared" si="508"/>
        <v>FOR</v>
      </c>
      <c r="O4751" t="s">
        <v>69</v>
      </c>
      <c r="P4751" s="3" t="s">
        <v>75</v>
      </c>
      <c r="Q4751">
        <v>2015</v>
      </c>
      <c r="R4751" s="2">
        <v>42139</v>
      </c>
      <c r="S4751" s="2">
        <v>42165</v>
      </c>
      <c r="T4751" s="2">
        <v>42139</v>
      </c>
      <c r="U4751" s="2">
        <v>42199</v>
      </c>
      <c r="V4751" t="s">
        <v>71</v>
      </c>
      <c r="W4751" t="str">
        <f>"              072015"</f>
        <v xml:space="preserve">              072015</v>
      </c>
      <c r="X4751" s="1">
        <v>110166</v>
      </c>
      <c r="Y4751">
        <v>0</v>
      </c>
      <c r="Z4751"/>
      <c r="AB4751"/>
      <c r="AC4751" s="1">
        <v>90300</v>
      </c>
      <c r="AD4751">
        <v>265</v>
      </c>
      <c r="AE4751" s="1">
        <v>23929500</v>
      </c>
      <c r="AF4751">
        <v>0</v>
      </c>
      <c r="AJ4751">
        <v>0</v>
      </c>
      <c r="AK4751">
        <v>0</v>
      </c>
      <c r="AL4751">
        <v>0</v>
      </c>
      <c r="AM4751">
        <v>0</v>
      </c>
      <c r="AN4751">
        <v>0</v>
      </c>
      <c r="AO4751">
        <v>0</v>
      </c>
      <c r="AP4751" s="2">
        <v>42746</v>
      </c>
      <c r="AQ4751" t="s">
        <v>72</v>
      </c>
      <c r="AR4751" t="s">
        <v>72</v>
      </c>
      <c r="AS4751">
        <v>994</v>
      </c>
      <c r="AT4751" s="4">
        <v>42464</v>
      </c>
      <c r="AU4751" t="s">
        <v>73</v>
      </c>
      <c r="AV4751">
        <v>994</v>
      </c>
      <c r="AW4751" s="4">
        <v>42464</v>
      </c>
      <c r="BD4751">
        <v>0</v>
      </c>
      <c r="BN4751" t="s">
        <v>74</v>
      </c>
    </row>
    <row r="4752" spans="1:66" hidden="1">
      <c r="A4752">
        <v>101741</v>
      </c>
      <c r="B4752" s="3" t="s">
        <v>511</v>
      </c>
      <c r="C4752" s="1">
        <v>43300101</v>
      </c>
      <c r="D4752" t="s">
        <v>67</v>
      </c>
      <c r="H4752" t="str">
        <f t="shared" si="512"/>
        <v>01487150623</v>
      </c>
      <c r="I4752" t="str">
        <f t="shared" si="512"/>
        <v>01487150623</v>
      </c>
      <c r="K4752" t="str">
        <f>""</f>
        <v/>
      </c>
      <c r="M4752" t="s">
        <v>68</v>
      </c>
      <c r="N4752" t="str">
        <f t="shared" si="508"/>
        <v>FOR</v>
      </c>
      <c r="O4752" t="s">
        <v>69</v>
      </c>
      <c r="P4752" s="3" t="s">
        <v>75</v>
      </c>
      <c r="Q4752">
        <v>2015</v>
      </c>
      <c r="R4752" s="2">
        <v>42229</v>
      </c>
      <c r="S4752" s="2">
        <v>42233</v>
      </c>
      <c r="T4752" s="2">
        <v>42229</v>
      </c>
      <c r="U4752" s="2">
        <v>42289</v>
      </c>
      <c r="V4752" t="s">
        <v>71</v>
      </c>
      <c r="W4752" t="str">
        <f>"              122015"</f>
        <v xml:space="preserve">              122015</v>
      </c>
      <c r="X4752" s="1">
        <v>116266</v>
      </c>
      <c r="Y4752">
        <v>0</v>
      </c>
      <c r="Z4752"/>
      <c r="AB4752"/>
      <c r="AC4752" s="1">
        <v>95300</v>
      </c>
      <c r="AD4752">
        <v>288</v>
      </c>
      <c r="AE4752" s="1">
        <v>27446400</v>
      </c>
      <c r="AF4752">
        <v>0</v>
      </c>
      <c r="AJ4752">
        <v>0</v>
      </c>
      <c r="AK4752">
        <v>0</v>
      </c>
      <c r="AL4752">
        <v>0</v>
      </c>
      <c r="AM4752">
        <v>0</v>
      </c>
      <c r="AN4752">
        <v>0</v>
      </c>
      <c r="AO4752">
        <v>0</v>
      </c>
      <c r="AP4752" s="2">
        <v>42746</v>
      </c>
      <c r="AQ4752" t="s">
        <v>72</v>
      </c>
      <c r="AR4752" t="s">
        <v>72</v>
      </c>
      <c r="AS4752">
        <v>1936</v>
      </c>
      <c r="AT4752" s="4">
        <v>42577</v>
      </c>
      <c r="AU4752" t="s">
        <v>73</v>
      </c>
      <c r="AV4752">
        <v>1936</v>
      </c>
      <c r="AW4752" s="4">
        <v>42577</v>
      </c>
      <c r="BD4752">
        <v>0</v>
      </c>
      <c r="BN4752" t="s">
        <v>74</v>
      </c>
    </row>
    <row r="4753" spans="1:66">
      <c r="A4753">
        <v>101741</v>
      </c>
      <c r="B4753" s="3" t="s">
        <v>511</v>
      </c>
      <c r="C4753" s="1">
        <v>43300101</v>
      </c>
      <c r="D4753" t="s">
        <v>67</v>
      </c>
      <c r="H4753" t="str">
        <f t="shared" si="512"/>
        <v>01487150623</v>
      </c>
      <c r="I4753" t="str">
        <f t="shared" si="512"/>
        <v>01487150623</v>
      </c>
      <c r="K4753" t="str">
        <f>""</f>
        <v/>
      </c>
      <c r="M4753" t="s">
        <v>68</v>
      </c>
      <c r="N4753" t="str">
        <f t="shared" si="508"/>
        <v>FOR</v>
      </c>
      <c r="O4753" t="s">
        <v>69</v>
      </c>
      <c r="P4753" s="3" t="s">
        <v>75</v>
      </c>
      <c r="Q4753">
        <v>2015</v>
      </c>
      <c r="R4753" s="2">
        <v>42308</v>
      </c>
      <c r="S4753" s="2">
        <v>42312</v>
      </c>
      <c r="T4753" s="2">
        <v>42308</v>
      </c>
      <c r="U4753" s="2">
        <v>42368</v>
      </c>
      <c r="V4753" t="s">
        <v>71</v>
      </c>
      <c r="W4753" t="str">
        <f>"              142015"</f>
        <v xml:space="preserve">              142015</v>
      </c>
      <c r="X4753" s="1">
        <v>50850.06</v>
      </c>
      <c r="Y4753">
        <v>0</v>
      </c>
      <c r="Z4753" s="5">
        <v>41680.379999999997</v>
      </c>
      <c r="AA4753">
        <v>278</v>
      </c>
      <c r="AB4753" s="5">
        <v>11587145.640000001</v>
      </c>
      <c r="AC4753" s="1">
        <v>41680.379999999997</v>
      </c>
      <c r="AD4753">
        <v>278</v>
      </c>
      <c r="AE4753" s="1">
        <v>11587145.640000001</v>
      </c>
      <c r="AF4753">
        <v>0</v>
      </c>
      <c r="AJ4753">
        <v>0</v>
      </c>
      <c r="AK4753">
        <v>0</v>
      </c>
      <c r="AL4753">
        <v>0</v>
      </c>
      <c r="AM4753">
        <v>0</v>
      </c>
      <c r="AN4753">
        <v>0</v>
      </c>
      <c r="AO4753">
        <v>0</v>
      </c>
      <c r="AP4753" s="2">
        <v>42746</v>
      </c>
      <c r="AQ4753" t="s">
        <v>72</v>
      </c>
      <c r="AR4753" t="s">
        <v>72</v>
      </c>
      <c r="AS4753">
        <v>2547</v>
      </c>
      <c r="AT4753" s="4">
        <v>42646</v>
      </c>
      <c r="AU4753" t="s">
        <v>73</v>
      </c>
      <c r="AV4753">
        <v>2547</v>
      </c>
      <c r="AW4753" s="4">
        <v>42646</v>
      </c>
      <c r="BD4753">
        <v>0</v>
      </c>
      <c r="BN4753" t="s">
        <v>74</v>
      </c>
    </row>
    <row r="4754" spans="1:66" hidden="1">
      <c r="A4754">
        <v>101741</v>
      </c>
      <c r="B4754" s="3" t="s">
        <v>511</v>
      </c>
      <c r="C4754" s="1">
        <v>43300101</v>
      </c>
      <c r="D4754" t="s">
        <v>67</v>
      </c>
      <c r="H4754" t="str">
        <f t="shared" si="512"/>
        <v>01487150623</v>
      </c>
      <c r="I4754" t="str">
        <f t="shared" si="512"/>
        <v>01487150623</v>
      </c>
      <c r="K4754" t="str">
        <f>""</f>
        <v/>
      </c>
      <c r="M4754" t="s">
        <v>68</v>
      </c>
      <c r="N4754" t="str">
        <f t="shared" si="508"/>
        <v>FOR</v>
      </c>
      <c r="O4754" t="s">
        <v>69</v>
      </c>
      <c r="P4754" s="3" t="s">
        <v>75</v>
      </c>
      <c r="Q4754">
        <v>2015</v>
      </c>
      <c r="R4754" s="2">
        <v>42124</v>
      </c>
      <c r="S4754" s="2">
        <v>42191</v>
      </c>
      <c r="T4754" s="2">
        <v>42188</v>
      </c>
      <c r="U4754" s="2">
        <v>42248</v>
      </c>
      <c r="V4754" t="s">
        <v>71</v>
      </c>
      <c r="W4754" t="str">
        <f>"             05 2015"</f>
        <v xml:space="preserve">             05 2015</v>
      </c>
      <c r="X4754" s="1">
        <v>50850.06</v>
      </c>
      <c r="Y4754">
        <v>0</v>
      </c>
      <c r="Z4754"/>
      <c r="AB4754"/>
      <c r="AC4754" s="1">
        <v>41680.379999999997</v>
      </c>
      <c r="AD4754">
        <v>155</v>
      </c>
      <c r="AE4754" s="1">
        <v>6460458.9000000004</v>
      </c>
      <c r="AF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 s="2">
        <v>42746</v>
      </c>
      <c r="AQ4754" t="s">
        <v>72</v>
      </c>
      <c r="AR4754" t="s">
        <v>72</v>
      </c>
      <c r="AS4754">
        <v>237</v>
      </c>
      <c r="AT4754" s="4">
        <v>42403</v>
      </c>
      <c r="AU4754" t="s">
        <v>73</v>
      </c>
      <c r="AV4754">
        <v>237</v>
      </c>
      <c r="AW4754" s="4">
        <v>42403</v>
      </c>
      <c r="BD4754">
        <v>0</v>
      </c>
      <c r="BN4754" t="s">
        <v>74</v>
      </c>
    </row>
    <row r="4755" spans="1:66" hidden="1">
      <c r="A4755">
        <v>101741</v>
      </c>
      <c r="B4755" s="3" t="s">
        <v>511</v>
      </c>
      <c r="C4755" s="1">
        <v>43300101</v>
      </c>
      <c r="D4755" t="s">
        <v>67</v>
      </c>
      <c r="H4755" t="str">
        <f t="shared" si="512"/>
        <v>01487150623</v>
      </c>
      <c r="I4755" t="str">
        <f t="shared" si="512"/>
        <v>01487150623</v>
      </c>
      <c r="K4755" t="str">
        <f>""</f>
        <v/>
      </c>
      <c r="M4755" t="s">
        <v>68</v>
      </c>
      <c r="N4755" t="str">
        <f t="shared" si="508"/>
        <v>FOR</v>
      </c>
      <c r="O4755" t="s">
        <v>69</v>
      </c>
      <c r="P4755" s="3" t="s">
        <v>75</v>
      </c>
      <c r="Q4755">
        <v>2015</v>
      </c>
      <c r="R4755" s="2">
        <v>42185</v>
      </c>
      <c r="S4755" s="2">
        <v>42187</v>
      </c>
      <c r="T4755" s="2">
        <v>42185</v>
      </c>
      <c r="U4755" s="2">
        <v>42245</v>
      </c>
      <c r="V4755" t="s">
        <v>71</v>
      </c>
      <c r="W4755" t="str">
        <f>"             10/2015"</f>
        <v xml:space="preserve">             10/2015</v>
      </c>
      <c r="X4755" s="1">
        <v>50850.06</v>
      </c>
      <c r="Y4755">
        <v>0</v>
      </c>
      <c r="Z4755"/>
      <c r="AB4755"/>
      <c r="AC4755" s="1">
        <v>41680.379999999997</v>
      </c>
      <c r="AD4755">
        <v>247</v>
      </c>
      <c r="AE4755" s="1">
        <v>10295053.859999999</v>
      </c>
      <c r="AF4755">
        <v>0</v>
      </c>
      <c r="AJ4755">
        <v>0</v>
      </c>
      <c r="AK4755">
        <v>0</v>
      </c>
      <c r="AL4755">
        <v>0</v>
      </c>
      <c r="AM4755">
        <v>0</v>
      </c>
      <c r="AN4755">
        <v>0</v>
      </c>
      <c r="AO4755">
        <v>0</v>
      </c>
      <c r="AP4755" s="2">
        <v>42746</v>
      </c>
      <c r="AQ4755" t="s">
        <v>72</v>
      </c>
      <c r="AR4755" t="s">
        <v>72</v>
      </c>
      <c r="AS4755">
        <v>1233</v>
      </c>
      <c r="AT4755" s="4">
        <v>42492</v>
      </c>
      <c r="AU4755" t="s">
        <v>73</v>
      </c>
      <c r="AV4755">
        <v>1233</v>
      </c>
      <c r="AW4755" s="4">
        <v>42492</v>
      </c>
      <c r="BD4755">
        <v>0</v>
      </c>
      <c r="BN4755" t="s">
        <v>74</v>
      </c>
    </row>
    <row r="4756" spans="1:66" hidden="1">
      <c r="A4756">
        <v>101741</v>
      </c>
      <c r="B4756" s="3" t="s">
        <v>511</v>
      </c>
      <c r="C4756" s="1">
        <v>43300101</v>
      </c>
      <c r="D4756" t="s">
        <v>67</v>
      </c>
      <c r="H4756" t="str">
        <f t="shared" si="512"/>
        <v>01487150623</v>
      </c>
      <c r="I4756" t="str">
        <f t="shared" si="512"/>
        <v>01487150623</v>
      </c>
      <c r="K4756" t="str">
        <f>""</f>
        <v/>
      </c>
      <c r="M4756" t="s">
        <v>68</v>
      </c>
      <c r="N4756" t="str">
        <f t="shared" si="508"/>
        <v>FOR</v>
      </c>
      <c r="O4756" t="s">
        <v>69</v>
      </c>
      <c r="P4756" s="3" t="s">
        <v>75</v>
      </c>
      <c r="Q4756">
        <v>2015</v>
      </c>
      <c r="R4756" s="2">
        <v>42247</v>
      </c>
      <c r="S4756" s="2">
        <v>42248</v>
      </c>
      <c r="T4756" s="2">
        <v>42247</v>
      </c>
      <c r="U4756" s="2">
        <v>42307</v>
      </c>
      <c r="V4756" t="s">
        <v>71</v>
      </c>
      <c r="W4756" t="str">
        <f>"             13/2015"</f>
        <v xml:space="preserve">             13/2015</v>
      </c>
      <c r="X4756" s="1">
        <v>50850.06</v>
      </c>
      <c r="Y4756">
        <v>0</v>
      </c>
      <c r="Z4756"/>
      <c r="AB4756"/>
      <c r="AC4756" s="1">
        <v>41680.379999999997</v>
      </c>
      <c r="AD4756">
        <v>221</v>
      </c>
      <c r="AE4756" s="1">
        <v>9211363.9800000004</v>
      </c>
      <c r="AF4756">
        <v>0</v>
      </c>
      <c r="AJ4756">
        <v>0</v>
      </c>
      <c r="AK4756">
        <v>0</v>
      </c>
      <c r="AL4756">
        <v>0</v>
      </c>
      <c r="AM4756">
        <v>0</v>
      </c>
      <c r="AN4756">
        <v>0</v>
      </c>
      <c r="AO4756">
        <v>0</v>
      </c>
      <c r="AP4756" s="2">
        <v>42746</v>
      </c>
      <c r="AQ4756" t="s">
        <v>72</v>
      </c>
      <c r="AR4756" t="s">
        <v>72</v>
      </c>
      <c r="AS4756">
        <v>1557</v>
      </c>
      <c r="AT4756" s="4">
        <v>42528</v>
      </c>
      <c r="AU4756" t="s">
        <v>73</v>
      </c>
      <c r="AV4756">
        <v>1557</v>
      </c>
      <c r="AW4756" s="4">
        <v>42528</v>
      </c>
      <c r="BD4756">
        <v>0</v>
      </c>
      <c r="BN4756" t="s">
        <v>74</v>
      </c>
    </row>
    <row r="4757" spans="1:66">
      <c r="A4757">
        <v>101741</v>
      </c>
      <c r="B4757" s="3" t="s">
        <v>511</v>
      </c>
      <c r="C4757" s="1">
        <v>43300101</v>
      </c>
      <c r="D4757" t="s">
        <v>67</v>
      </c>
      <c r="H4757" t="str">
        <f t="shared" si="512"/>
        <v>01487150623</v>
      </c>
      <c r="I4757" t="str">
        <f t="shared" si="512"/>
        <v>01487150623</v>
      </c>
      <c r="K4757" t="str">
        <f>""</f>
        <v/>
      </c>
      <c r="M4757" t="s">
        <v>68</v>
      </c>
      <c r="N4757" t="str">
        <f t="shared" si="508"/>
        <v>FOR</v>
      </c>
      <c r="O4757" t="s">
        <v>69</v>
      </c>
      <c r="P4757" s="3" t="s">
        <v>75</v>
      </c>
      <c r="Q4757">
        <v>2016</v>
      </c>
      <c r="R4757" s="2">
        <v>42371</v>
      </c>
      <c r="S4757" s="2">
        <v>42377</v>
      </c>
      <c r="T4757" s="2">
        <v>42376</v>
      </c>
      <c r="U4757" s="2">
        <v>42436</v>
      </c>
      <c r="V4757" t="s">
        <v>71</v>
      </c>
      <c r="W4757" t="str">
        <f>"              012016"</f>
        <v xml:space="preserve">              012016</v>
      </c>
      <c r="X4757" s="1">
        <v>50850.06</v>
      </c>
      <c r="Y4757">
        <v>0</v>
      </c>
      <c r="Z4757" s="5">
        <v>41680.379999999997</v>
      </c>
      <c r="AA4757">
        <v>246</v>
      </c>
      <c r="AB4757" s="5">
        <v>10253373.48</v>
      </c>
      <c r="AC4757" s="1">
        <v>41680.379999999997</v>
      </c>
      <c r="AD4757">
        <v>246</v>
      </c>
      <c r="AE4757" s="1">
        <v>10253373.48</v>
      </c>
      <c r="AF4757">
        <v>0</v>
      </c>
      <c r="AJ4757">
        <v>0</v>
      </c>
      <c r="AK4757">
        <v>0</v>
      </c>
      <c r="AL4757">
        <v>0</v>
      </c>
      <c r="AM4757">
        <v>0</v>
      </c>
      <c r="AN4757" s="1">
        <v>50850.06</v>
      </c>
      <c r="AO4757" s="1">
        <v>50850.06</v>
      </c>
      <c r="AP4757" s="2">
        <v>42746</v>
      </c>
      <c r="AQ4757" t="s">
        <v>72</v>
      </c>
      <c r="AR4757" t="s">
        <v>72</v>
      </c>
      <c r="AS4757">
        <v>2952</v>
      </c>
      <c r="AT4757" s="4">
        <v>42682</v>
      </c>
      <c r="AU4757" t="s">
        <v>73</v>
      </c>
      <c r="AV4757">
        <v>2952</v>
      </c>
      <c r="AW4757" s="4">
        <v>42682</v>
      </c>
      <c r="BD4757">
        <v>0</v>
      </c>
      <c r="BN4757" t="s">
        <v>74</v>
      </c>
    </row>
    <row r="4758" spans="1:66">
      <c r="A4758">
        <v>101741</v>
      </c>
      <c r="B4758" s="3" t="s">
        <v>511</v>
      </c>
      <c r="C4758" s="1">
        <v>43300101</v>
      </c>
      <c r="D4758" t="s">
        <v>67</v>
      </c>
      <c r="H4758" t="str">
        <f t="shared" si="512"/>
        <v>01487150623</v>
      </c>
      <c r="I4758" t="str">
        <f t="shared" si="512"/>
        <v>01487150623</v>
      </c>
      <c r="K4758" t="str">
        <f>""</f>
        <v/>
      </c>
      <c r="M4758" t="s">
        <v>68</v>
      </c>
      <c r="N4758" t="str">
        <f t="shared" si="508"/>
        <v>FOR</v>
      </c>
      <c r="O4758" t="s">
        <v>69</v>
      </c>
      <c r="P4758" s="3" t="s">
        <v>75</v>
      </c>
      <c r="Q4758">
        <v>2016</v>
      </c>
      <c r="R4758" s="2">
        <v>42373</v>
      </c>
      <c r="S4758" s="2">
        <v>42377</v>
      </c>
      <c r="T4758" s="2">
        <v>42376</v>
      </c>
      <c r="U4758" s="2">
        <v>42436</v>
      </c>
      <c r="V4758" t="s">
        <v>71</v>
      </c>
      <c r="W4758" t="str">
        <f>"              022016"</f>
        <v xml:space="preserve">              022016</v>
      </c>
      <c r="X4758" s="1">
        <v>10980</v>
      </c>
      <c r="Y4758">
        <v>0</v>
      </c>
      <c r="Z4758" s="5">
        <v>9000</v>
      </c>
      <c r="AA4758">
        <v>246</v>
      </c>
      <c r="AB4758" s="5">
        <v>2214000</v>
      </c>
      <c r="AC4758" s="1">
        <v>9000</v>
      </c>
      <c r="AD4758">
        <v>246</v>
      </c>
      <c r="AE4758" s="1">
        <v>2214000</v>
      </c>
      <c r="AF4758">
        <v>0</v>
      </c>
      <c r="AJ4758">
        <v>0</v>
      </c>
      <c r="AK4758">
        <v>0</v>
      </c>
      <c r="AL4758">
        <v>0</v>
      </c>
      <c r="AM4758">
        <v>0</v>
      </c>
      <c r="AN4758" s="1">
        <v>10980</v>
      </c>
      <c r="AO4758" s="1">
        <v>10980</v>
      </c>
      <c r="AP4758" s="2">
        <v>42746</v>
      </c>
      <c r="AQ4758" t="s">
        <v>72</v>
      </c>
      <c r="AR4758" t="s">
        <v>72</v>
      </c>
      <c r="AS4758">
        <v>2952</v>
      </c>
      <c r="AT4758" s="4">
        <v>42682</v>
      </c>
      <c r="AU4758" t="s">
        <v>73</v>
      </c>
      <c r="AV4758">
        <v>2952</v>
      </c>
      <c r="AW4758" s="4">
        <v>42682</v>
      </c>
      <c r="BD4758">
        <v>0</v>
      </c>
      <c r="BN4758" t="s">
        <v>74</v>
      </c>
    </row>
    <row r="4759" spans="1:66">
      <c r="A4759">
        <v>101741</v>
      </c>
      <c r="B4759" s="3" t="s">
        <v>511</v>
      </c>
      <c r="C4759" s="1">
        <v>43300101</v>
      </c>
      <c r="D4759" t="s">
        <v>67</v>
      </c>
      <c r="H4759" t="str">
        <f t="shared" si="512"/>
        <v>01487150623</v>
      </c>
      <c r="I4759" t="str">
        <f t="shared" si="512"/>
        <v>01487150623</v>
      </c>
      <c r="K4759" t="str">
        <f>""</f>
        <v/>
      </c>
      <c r="M4759" t="s">
        <v>68</v>
      </c>
      <c r="N4759" t="str">
        <f t="shared" si="508"/>
        <v>FOR</v>
      </c>
      <c r="O4759" t="s">
        <v>69</v>
      </c>
      <c r="P4759" s="3" t="s">
        <v>75</v>
      </c>
      <c r="Q4759">
        <v>2016</v>
      </c>
      <c r="R4759" s="2">
        <v>42429</v>
      </c>
      <c r="S4759" s="2">
        <v>42433</v>
      </c>
      <c r="T4759" s="2">
        <v>42429</v>
      </c>
      <c r="U4759" s="2">
        <v>42489</v>
      </c>
      <c r="V4759" t="s">
        <v>71</v>
      </c>
      <c r="W4759" t="str">
        <f>"              042016"</f>
        <v xml:space="preserve">              042016</v>
      </c>
      <c r="X4759" s="1">
        <v>50850.06</v>
      </c>
      <c r="Y4759">
        <v>0</v>
      </c>
      <c r="Z4759" s="5">
        <v>41680.379999999997</v>
      </c>
      <c r="AA4759">
        <v>231</v>
      </c>
      <c r="AB4759" s="5">
        <v>9628167.7799999993</v>
      </c>
      <c r="AC4759" s="1">
        <v>41680.379999999997</v>
      </c>
      <c r="AD4759">
        <v>231</v>
      </c>
      <c r="AE4759" s="1">
        <v>9628167.7799999993</v>
      </c>
      <c r="AF4759" s="1">
        <v>9169.68</v>
      </c>
      <c r="AJ4759">
        <v>0</v>
      </c>
      <c r="AK4759">
        <v>0</v>
      </c>
      <c r="AL4759">
        <v>0</v>
      </c>
      <c r="AM4759" s="1">
        <v>50850.06</v>
      </c>
      <c r="AN4759" s="1">
        <v>50850.06</v>
      </c>
      <c r="AO4759" s="1">
        <v>50850.06</v>
      </c>
      <c r="AP4759" s="2">
        <v>42746</v>
      </c>
      <c r="AQ4759" t="s">
        <v>72</v>
      </c>
      <c r="AR4759" t="s">
        <v>72</v>
      </c>
      <c r="AS4759">
        <v>3544</v>
      </c>
      <c r="AT4759" s="4">
        <v>42720</v>
      </c>
      <c r="AU4759" t="s">
        <v>73</v>
      </c>
      <c r="AV4759">
        <v>3544</v>
      </c>
      <c r="AW4759" s="4">
        <v>42720</v>
      </c>
      <c r="BD4759" s="1">
        <v>9169.68</v>
      </c>
      <c r="BN4759" t="s">
        <v>74</v>
      </c>
    </row>
    <row r="4760" spans="1:66" hidden="1">
      <c r="A4760">
        <v>101744</v>
      </c>
      <c r="B4760" s="3" t="s">
        <v>512</v>
      </c>
      <c r="C4760" s="1">
        <v>43300101</v>
      </c>
      <c r="D4760" t="s">
        <v>67</v>
      </c>
      <c r="H4760" t="str">
        <f>"01040690156"</f>
        <v>01040690156</v>
      </c>
      <c r="I4760" t="str">
        <f>"01040690156"</f>
        <v>01040690156</v>
      </c>
      <c r="K4760" t="str">
        <f>""</f>
        <v/>
      </c>
      <c r="M4760" t="s">
        <v>68</v>
      </c>
      <c r="N4760" t="str">
        <f t="shared" si="508"/>
        <v>FOR</v>
      </c>
      <c r="O4760" t="s">
        <v>69</v>
      </c>
      <c r="P4760" s="3" t="s">
        <v>75</v>
      </c>
      <c r="Q4760">
        <v>2015</v>
      </c>
      <c r="R4760" s="2">
        <v>42282</v>
      </c>
      <c r="S4760" s="2">
        <v>42297</v>
      </c>
      <c r="T4760" s="2">
        <v>42297</v>
      </c>
      <c r="U4760" s="2">
        <v>42357</v>
      </c>
      <c r="V4760" t="s">
        <v>71</v>
      </c>
      <c r="W4760" t="str">
        <f>"                 394"</f>
        <v xml:space="preserve">                 394</v>
      </c>
      <c r="X4760" s="1">
        <v>4965.5200000000004</v>
      </c>
      <c r="Y4760">
        <v>0</v>
      </c>
      <c r="Z4760"/>
      <c r="AB4760"/>
      <c r="AC4760" s="1">
        <v>4070.1</v>
      </c>
      <c r="AD4760">
        <v>264</v>
      </c>
      <c r="AE4760" s="1">
        <v>1074506.3999999999</v>
      </c>
      <c r="AF4760">
        <v>0</v>
      </c>
      <c r="AJ4760">
        <v>0</v>
      </c>
      <c r="AK4760">
        <v>0</v>
      </c>
      <c r="AL4760">
        <v>0</v>
      </c>
      <c r="AM4760">
        <v>0</v>
      </c>
      <c r="AN4760">
        <v>0</v>
      </c>
      <c r="AO4760">
        <v>0</v>
      </c>
      <c r="AP4760" s="2">
        <v>42746</v>
      </c>
      <c r="AQ4760" t="s">
        <v>72</v>
      </c>
      <c r="AR4760" t="s">
        <v>72</v>
      </c>
      <c r="AS4760">
        <v>2359</v>
      </c>
      <c r="AT4760" s="4">
        <v>42621</v>
      </c>
      <c r="AU4760" t="s">
        <v>73</v>
      </c>
      <c r="AV4760">
        <v>2359</v>
      </c>
      <c r="AW4760" s="4">
        <v>42621</v>
      </c>
      <c r="BD4760">
        <v>0</v>
      </c>
      <c r="BN4760" t="s">
        <v>74</v>
      </c>
    </row>
    <row r="4761" spans="1:66" hidden="1">
      <c r="A4761">
        <v>101747</v>
      </c>
      <c r="B4761" s="3" t="s">
        <v>513</v>
      </c>
      <c r="C4761" s="1">
        <v>43300101</v>
      </c>
      <c r="D4761" t="s">
        <v>67</v>
      </c>
      <c r="H4761" t="str">
        <f t="shared" ref="H4761:H4773" si="513">"ZTTRSM69D02L254H"</f>
        <v>ZTTRSM69D02L254H</v>
      </c>
      <c r="I4761" t="str">
        <f t="shared" ref="I4761:I4773" si="514">"01018080620"</f>
        <v>01018080620</v>
      </c>
      <c r="K4761" t="str">
        <f>""</f>
        <v/>
      </c>
      <c r="M4761" t="s">
        <v>68</v>
      </c>
      <c r="N4761" t="str">
        <f t="shared" si="508"/>
        <v>FOR</v>
      </c>
      <c r="O4761" t="s">
        <v>69</v>
      </c>
      <c r="P4761" s="3" t="s">
        <v>75</v>
      </c>
      <c r="Q4761">
        <v>2015</v>
      </c>
      <c r="R4761" s="2">
        <v>42094</v>
      </c>
      <c r="S4761" s="2">
        <v>42345</v>
      </c>
      <c r="T4761" s="2">
        <v>42344</v>
      </c>
      <c r="U4761" s="2">
        <v>42404</v>
      </c>
      <c r="V4761" t="s">
        <v>71</v>
      </c>
      <c r="W4761" t="str">
        <f>"             68/2015"</f>
        <v xml:space="preserve">             68/2015</v>
      </c>
      <c r="X4761">
        <v>43.1</v>
      </c>
      <c r="Y4761">
        <v>0</v>
      </c>
      <c r="Z4761"/>
      <c r="AB4761"/>
      <c r="AC4761">
        <v>35.33</v>
      </c>
      <c r="AD4761">
        <v>-1</v>
      </c>
      <c r="AE4761">
        <v>-35.33</v>
      </c>
      <c r="AF4761">
        <v>7.77</v>
      </c>
      <c r="AJ4761">
        <v>0</v>
      </c>
      <c r="AK4761">
        <v>0</v>
      </c>
      <c r="AL4761">
        <v>0</v>
      </c>
      <c r="AM4761">
        <v>0</v>
      </c>
      <c r="AN4761">
        <v>0</v>
      </c>
      <c r="AO4761">
        <v>0</v>
      </c>
      <c r="AP4761" s="2">
        <v>42746</v>
      </c>
      <c r="AQ4761" t="s">
        <v>72</v>
      </c>
      <c r="AR4761" t="s">
        <v>72</v>
      </c>
      <c r="AS4761">
        <v>212</v>
      </c>
      <c r="AT4761" s="4">
        <v>42403</v>
      </c>
      <c r="AV4761">
        <v>212</v>
      </c>
      <c r="AW4761" s="4">
        <v>42403</v>
      </c>
      <c r="BD4761">
        <v>7.77</v>
      </c>
      <c r="BN4761" t="s">
        <v>74</v>
      </c>
    </row>
    <row r="4762" spans="1:66" hidden="1">
      <c r="A4762">
        <v>101747</v>
      </c>
      <c r="B4762" s="3" t="s">
        <v>513</v>
      </c>
      <c r="C4762" s="1">
        <v>43300101</v>
      </c>
      <c r="D4762" t="s">
        <v>67</v>
      </c>
      <c r="H4762" t="str">
        <f t="shared" si="513"/>
        <v>ZTTRSM69D02L254H</v>
      </c>
      <c r="I4762" t="str">
        <f t="shared" si="514"/>
        <v>01018080620</v>
      </c>
      <c r="K4762" t="str">
        <f>""</f>
        <v/>
      </c>
      <c r="M4762" t="s">
        <v>68</v>
      </c>
      <c r="N4762" t="str">
        <f t="shared" si="508"/>
        <v>FOR</v>
      </c>
      <c r="O4762" t="s">
        <v>69</v>
      </c>
      <c r="P4762" s="3" t="s">
        <v>75</v>
      </c>
      <c r="Q4762">
        <v>2015</v>
      </c>
      <c r="R4762" s="2">
        <v>42124</v>
      </c>
      <c r="S4762" s="2">
        <v>42345</v>
      </c>
      <c r="T4762" s="2">
        <v>42344</v>
      </c>
      <c r="U4762" s="2">
        <v>42404</v>
      </c>
      <c r="V4762" t="s">
        <v>71</v>
      </c>
      <c r="W4762" t="str">
        <f>"             97/2015"</f>
        <v xml:space="preserve">             97/2015</v>
      </c>
      <c r="X4762">
        <v>134.41</v>
      </c>
      <c r="Y4762">
        <v>0</v>
      </c>
      <c r="Z4762"/>
      <c r="AB4762"/>
      <c r="AC4762">
        <v>110.17</v>
      </c>
      <c r="AD4762">
        <v>-1</v>
      </c>
      <c r="AE4762">
        <v>-110.17</v>
      </c>
      <c r="AF4762">
        <v>24.24</v>
      </c>
      <c r="AJ4762">
        <v>0</v>
      </c>
      <c r="AK4762">
        <v>0</v>
      </c>
      <c r="AL4762">
        <v>0</v>
      </c>
      <c r="AM4762">
        <v>0</v>
      </c>
      <c r="AN4762">
        <v>0</v>
      </c>
      <c r="AO4762">
        <v>0</v>
      </c>
      <c r="AP4762" s="2">
        <v>42746</v>
      </c>
      <c r="AQ4762" t="s">
        <v>72</v>
      </c>
      <c r="AR4762" t="s">
        <v>72</v>
      </c>
      <c r="AS4762">
        <v>212</v>
      </c>
      <c r="AT4762" s="4">
        <v>42403</v>
      </c>
      <c r="AV4762">
        <v>212</v>
      </c>
      <c r="AW4762" s="4">
        <v>42403</v>
      </c>
      <c r="BD4762">
        <v>24.24</v>
      </c>
      <c r="BN4762" t="s">
        <v>74</v>
      </c>
    </row>
    <row r="4763" spans="1:66" hidden="1">
      <c r="A4763">
        <v>101747</v>
      </c>
      <c r="B4763" s="3" t="s">
        <v>513</v>
      </c>
      <c r="C4763" s="1">
        <v>43300101</v>
      </c>
      <c r="D4763" t="s">
        <v>67</v>
      </c>
      <c r="H4763" t="str">
        <f t="shared" si="513"/>
        <v>ZTTRSM69D02L254H</v>
      </c>
      <c r="I4763" t="str">
        <f t="shared" si="514"/>
        <v>01018080620</v>
      </c>
      <c r="K4763" t="str">
        <f>""</f>
        <v/>
      </c>
      <c r="M4763" t="s">
        <v>68</v>
      </c>
      <c r="N4763" t="str">
        <f t="shared" si="508"/>
        <v>FOR</v>
      </c>
      <c r="O4763" t="s">
        <v>69</v>
      </c>
      <c r="P4763" s="3" t="s">
        <v>75</v>
      </c>
      <c r="Q4763">
        <v>2015</v>
      </c>
      <c r="R4763" s="2">
        <v>42185</v>
      </c>
      <c r="S4763" s="2">
        <v>42345</v>
      </c>
      <c r="T4763" s="2">
        <v>42344</v>
      </c>
      <c r="U4763" s="2">
        <v>42404</v>
      </c>
      <c r="V4763" t="s">
        <v>71</v>
      </c>
      <c r="W4763" t="str">
        <f>"            151/2015"</f>
        <v xml:space="preserve">            151/2015</v>
      </c>
      <c r="X4763">
        <v>39</v>
      </c>
      <c r="Y4763">
        <v>0</v>
      </c>
      <c r="Z4763"/>
      <c r="AB4763"/>
      <c r="AC4763">
        <v>31.97</v>
      </c>
      <c r="AD4763">
        <v>-1</v>
      </c>
      <c r="AE4763">
        <v>-31.97</v>
      </c>
      <c r="AF4763">
        <v>7.03</v>
      </c>
      <c r="AJ4763">
        <v>0</v>
      </c>
      <c r="AK4763">
        <v>0</v>
      </c>
      <c r="AL4763">
        <v>0</v>
      </c>
      <c r="AM4763">
        <v>0</v>
      </c>
      <c r="AN4763">
        <v>0</v>
      </c>
      <c r="AO4763">
        <v>0</v>
      </c>
      <c r="AP4763" s="2">
        <v>42746</v>
      </c>
      <c r="AQ4763" t="s">
        <v>72</v>
      </c>
      <c r="AR4763" t="s">
        <v>72</v>
      </c>
      <c r="AS4763">
        <v>212</v>
      </c>
      <c r="AT4763" s="4">
        <v>42403</v>
      </c>
      <c r="AV4763">
        <v>212</v>
      </c>
      <c r="AW4763" s="4">
        <v>42403</v>
      </c>
      <c r="BD4763">
        <v>7.03</v>
      </c>
      <c r="BN4763" t="s">
        <v>74</v>
      </c>
    </row>
    <row r="4764" spans="1:66" hidden="1">
      <c r="A4764">
        <v>101747</v>
      </c>
      <c r="B4764" s="3" t="s">
        <v>513</v>
      </c>
      <c r="C4764" s="1">
        <v>43300101</v>
      </c>
      <c r="D4764" t="s">
        <v>67</v>
      </c>
      <c r="H4764" t="str">
        <f t="shared" si="513"/>
        <v>ZTTRSM69D02L254H</v>
      </c>
      <c r="I4764" t="str">
        <f t="shared" si="514"/>
        <v>01018080620</v>
      </c>
      <c r="K4764" t="str">
        <f>""</f>
        <v/>
      </c>
      <c r="M4764" t="s">
        <v>68</v>
      </c>
      <c r="N4764" t="str">
        <f t="shared" si="508"/>
        <v>FOR</v>
      </c>
      <c r="O4764" t="s">
        <v>69</v>
      </c>
      <c r="P4764" s="3" t="s">
        <v>75</v>
      </c>
      <c r="Q4764">
        <v>2015</v>
      </c>
      <c r="R4764" s="2">
        <v>42216</v>
      </c>
      <c r="S4764" s="2">
        <v>42345</v>
      </c>
      <c r="T4764" s="2">
        <v>42344</v>
      </c>
      <c r="U4764" s="2">
        <v>42404</v>
      </c>
      <c r="V4764" t="s">
        <v>71</v>
      </c>
      <c r="W4764" t="str">
        <f>"            184/2015"</f>
        <v xml:space="preserve">            184/2015</v>
      </c>
      <c r="X4764">
        <v>41.01</v>
      </c>
      <c r="Y4764">
        <v>0</v>
      </c>
      <c r="Z4764"/>
      <c r="AB4764"/>
      <c r="AC4764">
        <v>33.61</v>
      </c>
      <c r="AD4764">
        <v>-1</v>
      </c>
      <c r="AE4764">
        <v>-33.61</v>
      </c>
      <c r="AF4764">
        <v>7.4</v>
      </c>
      <c r="AJ4764">
        <v>0</v>
      </c>
      <c r="AK4764">
        <v>0</v>
      </c>
      <c r="AL4764">
        <v>0</v>
      </c>
      <c r="AM4764">
        <v>0</v>
      </c>
      <c r="AN4764">
        <v>0</v>
      </c>
      <c r="AO4764">
        <v>0</v>
      </c>
      <c r="AP4764" s="2">
        <v>42746</v>
      </c>
      <c r="AQ4764" t="s">
        <v>72</v>
      </c>
      <c r="AR4764" t="s">
        <v>72</v>
      </c>
      <c r="AS4764">
        <v>212</v>
      </c>
      <c r="AT4764" s="4">
        <v>42403</v>
      </c>
      <c r="AV4764">
        <v>212</v>
      </c>
      <c r="AW4764" s="4">
        <v>42403</v>
      </c>
      <c r="BD4764">
        <v>7.4</v>
      </c>
      <c r="BN4764" t="s">
        <v>74</v>
      </c>
    </row>
    <row r="4765" spans="1:66" hidden="1">
      <c r="A4765">
        <v>101747</v>
      </c>
      <c r="B4765" s="3" t="s">
        <v>513</v>
      </c>
      <c r="C4765" s="1">
        <v>43300101</v>
      </c>
      <c r="D4765" t="s">
        <v>67</v>
      </c>
      <c r="H4765" t="str">
        <f t="shared" si="513"/>
        <v>ZTTRSM69D02L254H</v>
      </c>
      <c r="I4765" t="str">
        <f t="shared" si="514"/>
        <v>01018080620</v>
      </c>
      <c r="K4765" t="str">
        <f>""</f>
        <v/>
      </c>
      <c r="M4765" t="s">
        <v>68</v>
      </c>
      <c r="N4765" t="str">
        <f t="shared" si="508"/>
        <v>FOR</v>
      </c>
      <c r="O4765" t="s">
        <v>69</v>
      </c>
      <c r="P4765" s="3" t="s">
        <v>75</v>
      </c>
      <c r="Q4765">
        <v>2015</v>
      </c>
      <c r="R4765" s="2">
        <v>42247</v>
      </c>
      <c r="S4765" s="2">
        <v>42345</v>
      </c>
      <c r="T4765" s="2">
        <v>42344</v>
      </c>
      <c r="U4765" s="2">
        <v>42404</v>
      </c>
      <c r="V4765" t="s">
        <v>71</v>
      </c>
      <c r="W4765" t="str">
        <f>"            207/2015"</f>
        <v xml:space="preserve">            207/2015</v>
      </c>
      <c r="X4765">
        <v>75.75</v>
      </c>
      <c r="Y4765">
        <v>0</v>
      </c>
      <c r="Z4765"/>
      <c r="AB4765"/>
      <c r="AC4765">
        <v>62.09</v>
      </c>
      <c r="AD4765">
        <v>-1</v>
      </c>
      <c r="AE4765">
        <v>-62.09</v>
      </c>
      <c r="AF4765">
        <v>13.66</v>
      </c>
      <c r="AJ4765">
        <v>0</v>
      </c>
      <c r="AK4765">
        <v>0</v>
      </c>
      <c r="AL4765">
        <v>0</v>
      </c>
      <c r="AM4765">
        <v>0</v>
      </c>
      <c r="AN4765">
        <v>0</v>
      </c>
      <c r="AO4765">
        <v>0</v>
      </c>
      <c r="AP4765" s="2">
        <v>42746</v>
      </c>
      <c r="AQ4765" t="s">
        <v>72</v>
      </c>
      <c r="AR4765" t="s">
        <v>72</v>
      </c>
      <c r="AS4765">
        <v>212</v>
      </c>
      <c r="AT4765" s="4">
        <v>42403</v>
      </c>
      <c r="AV4765">
        <v>212</v>
      </c>
      <c r="AW4765" s="4">
        <v>42403</v>
      </c>
      <c r="BD4765">
        <v>13.66</v>
      </c>
      <c r="BN4765" t="s">
        <v>74</v>
      </c>
    </row>
    <row r="4766" spans="1:66" hidden="1">
      <c r="A4766">
        <v>101747</v>
      </c>
      <c r="B4766" s="3" t="s">
        <v>513</v>
      </c>
      <c r="C4766" s="1">
        <v>43300101</v>
      </c>
      <c r="D4766" t="s">
        <v>67</v>
      </c>
      <c r="H4766" t="str">
        <f t="shared" si="513"/>
        <v>ZTTRSM69D02L254H</v>
      </c>
      <c r="I4766" t="str">
        <f t="shared" si="514"/>
        <v>01018080620</v>
      </c>
      <c r="K4766" t="str">
        <f>""</f>
        <v/>
      </c>
      <c r="M4766" t="s">
        <v>68</v>
      </c>
      <c r="N4766" t="str">
        <f t="shared" si="508"/>
        <v>FOR</v>
      </c>
      <c r="O4766" t="s">
        <v>69</v>
      </c>
      <c r="P4766" s="3" t="s">
        <v>75</v>
      </c>
      <c r="Q4766">
        <v>2015</v>
      </c>
      <c r="R4766" s="2">
        <v>42277</v>
      </c>
      <c r="S4766" s="2">
        <v>42345</v>
      </c>
      <c r="T4766" s="2">
        <v>42345</v>
      </c>
      <c r="U4766" s="2">
        <v>42405</v>
      </c>
      <c r="V4766" t="s">
        <v>71</v>
      </c>
      <c r="W4766" t="str">
        <f>"            246/2015"</f>
        <v xml:space="preserve">            246/2015</v>
      </c>
      <c r="X4766">
        <v>698.48</v>
      </c>
      <c r="Y4766">
        <v>0</v>
      </c>
      <c r="Z4766"/>
      <c r="AB4766"/>
      <c r="AC4766">
        <v>572.52</v>
      </c>
      <c r="AD4766">
        <v>-2</v>
      </c>
      <c r="AE4766" s="1">
        <v>-1145.04</v>
      </c>
      <c r="AF4766">
        <v>125.96</v>
      </c>
      <c r="AJ4766">
        <v>0</v>
      </c>
      <c r="AK4766">
        <v>0</v>
      </c>
      <c r="AL4766">
        <v>0</v>
      </c>
      <c r="AM4766">
        <v>0</v>
      </c>
      <c r="AN4766">
        <v>0</v>
      </c>
      <c r="AO4766">
        <v>0</v>
      </c>
      <c r="AP4766" s="2">
        <v>42746</v>
      </c>
      <c r="AQ4766" t="s">
        <v>72</v>
      </c>
      <c r="AR4766" t="s">
        <v>72</v>
      </c>
      <c r="AS4766">
        <v>212</v>
      </c>
      <c r="AT4766" s="4">
        <v>42403</v>
      </c>
      <c r="AV4766">
        <v>212</v>
      </c>
      <c r="AW4766" s="4">
        <v>42403</v>
      </c>
      <c r="BD4766">
        <v>125.96</v>
      </c>
      <c r="BN4766" t="s">
        <v>74</v>
      </c>
    </row>
    <row r="4767" spans="1:66" hidden="1">
      <c r="A4767">
        <v>101747</v>
      </c>
      <c r="B4767" s="3" t="s">
        <v>513</v>
      </c>
      <c r="C4767" s="1">
        <v>43300101</v>
      </c>
      <c r="D4767" t="s">
        <v>67</v>
      </c>
      <c r="H4767" t="str">
        <f t="shared" si="513"/>
        <v>ZTTRSM69D02L254H</v>
      </c>
      <c r="I4767" t="str">
        <f t="shared" si="514"/>
        <v>01018080620</v>
      </c>
      <c r="K4767" t="str">
        <f>""</f>
        <v/>
      </c>
      <c r="M4767" t="s">
        <v>68</v>
      </c>
      <c r="N4767" t="str">
        <f t="shared" si="508"/>
        <v>FOR</v>
      </c>
      <c r="O4767" t="s">
        <v>69</v>
      </c>
      <c r="P4767" s="3" t="s">
        <v>75</v>
      </c>
      <c r="Q4767">
        <v>2015</v>
      </c>
      <c r="R4767" s="2">
        <v>42308</v>
      </c>
      <c r="S4767" s="2">
        <v>42352</v>
      </c>
      <c r="T4767" s="2">
        <v>42347</v>
      </c>
      <c r="U4767" s="2">
        <v>42407</v>
      </c>
      <c r="V4767" t="s">
        <v>71</v>
      </c>
      <c r="W4767" t="str">
        <f>"            293/2015"</f>
        <v xml:space="preserve">            293/2015</v>
      </c>
      <c r="X4767">
        <v>288.83999999999997</v>
      </c>
      <c r="Y4767">
        <v>0</v>
      </c>
      <c r="Z4767"/>
      <c r="AB4767"/>
      <c r="AC4767">
        <v>236.75</v>
      </c>
      <c r="AD4767">
        <v>-4</v>
      </c>
      <c r="AE4767">
        <v>-947</v>
      </c>
      <c r="AF4767">
        <v>52.09</v>
      </c>
      <c r="AJ4767">
        <v>0</v>
      </c>
      <c r="AK4767">
        <v>0</v>
      </c>
      <c r="AL4767">
        <v>0</v>
      </c>
      <c r="AM4767">
        <v>0</v>
      </c>
      <c r="AN4767">
        <v>0</v>
      </c>
      <c r="AO4767">
        <v>0</v>
      </c>
      <c r="AP4767" s="2">
        <v>42746</v>
      </c>
      <c r="AQ4767" t="s">
        <v>72</v>
      </c>
      <c r="AR4767" t="s">
        <v>72</v>
      </c>
      <c r="AS4767">
        <v>212</v>
      </c>
      <c r="AT4767" s="4">
        <v>42403</v>
      </c>
      <c r="AV4767">
        <v>212</v>
      </c>
      <c r="AW4767" s="4">
        <v>42403</v>
      </c>
      <c r="BD4767">
        <v>52.09</v>
      </c>
      <c r="BN4767" t="s">
        <v>74</v>
      </c>
    </row>
    <row r="4768" spans="1:66" hidden="1">
      <c r="A4768">
        <v>101747</v>
      </c>
      <c r="B4768" s="3" t="s">
        <v>513</v>
      </c>
      <c r="C4768" s="1">
        <v>43300101</v>
      </c>
      <c r="D4768" t="s">
        <v>67</v>
      </c>
      <c r="H4768" t="str">
        <f t="shared" si="513"/>
        <v>ZTTRSM69D02L254H</v>
      </c>
      <c r="I4768" t="str">
        <f t="shared" si="514"/>
        <v>01018080620</v>
      </c>
      <c r="K4768" t="str">
        <f>""</f>
        <v/>
      </c>
      <c r="M4768" t="s">
        <v>68</v>
      </c>
      <c r="N4768" t="str">
        <f t="shared" si="508"/>
        <v>FOR</v>
      </c>
      <c r="O4768" t="s">
        <v>69</v>
      </c>
      <c r="P4768" s="3" t="s">
        <v>75</v>
      </c>
      <c r="Q4768">
        <v>2015</v>
      </c>
      <c r="R4768" s="2">
        <v>42338</v>
      </c>
      <c r="S4768" s="2">
        <v>42352</v>
      </c>
      <c r="T4768" s="2">
        <v>42347</v>
      </c>
      <c r="U4768" s="2">
        <v>42407</v>
      </c>
      <c r="V4768" t="s">
        <v>71</v>
      </c>
      <c r="W4768" t="str">
        <f>"            316/2015"</f>
        <v xml:space="preserve">            316/2015</v>
      </c>
      <c r="X4768">
        <v>16.510000000000002</v>
      </c>
      <c r="Y4768">
        <v>0</v>
      </c>
      <c r="Z4768"/>
      <c r="AB4768"/>
      <c r="AC4768">
        <v>13.53</v>
      </c>
      <c r="AD4768">
        <v>-4</v>
      </c>
      <c r="AE4768">
        <v>-54.12</v>
      </c>
      <c r="AF4768">
        <v>2.98</v>
      </c>
      <c r="AJ4768">
        <v>0</v>
      </c>
      <c r="AK4768">
        <v>0</v>
      </c>
      <c r="AL4768">
        <v>0</v>
      </c>
      <c r="AM4768">
        <v>0</v>
      </c>
      <c r="AN4768">
        <v>0</v>
      </c>
      <c r="AO4768">
        <v>0</v>
      </c>
      <c r="AP4768" s="2">
        <v>42746</v>
      </c>
      <c r="AQ4768" t="s">
        <v>72</v>
      </c>
      <c r="AR4768" t="s">
        <v>72</v>
      </c>
      <c r="AS4768">
        <v>212</v>
      </c>
      <c r="AT4768" s="4">
        <v>42403</v>
      </c>
      <c r="AV4768">
        <v>212</v>
      </c>
      <c r="AW4768" s="4">
        <v>42403</v>
      </c>
      <c r="BD4768">
        <v>2.98</v>
      </c>
      <c r="BN4768" t="s">
        <v>74</v>
      </c>
    </row>
    <row r="4769" spans="1:66" hidden="1">
      <c r="A4769">
        <v>101747</v>
      </c>
      <c r="B4769" s="3" t="s">
        <v>513</v>
      </c>
      <c r="C4769" s="1">
        <v>43300101</v>
      </c>
      <c r="D4769" t="s">
        <v>67</v>
      </c>
      <c r="H4769" t="str">
        <f t="shared" si="513"/>
        <v>ZTTRSM69D02L254H</v>
      </c>
      <c r="I4769" t="str">
        <f t="shared" si="514"/>
        <v>01018080620</v>
      </c>
      <c r="K4769" t="str">
        <f>""</f>
        <v/>
      </c>
      <c r="M4769" t="s">
        <v>68</v>
      </c>
      <c r="N4769" t="str">
        <f t="shared" si="508"/>
        <v>FOR</v>
      </c>
      <c r="O4769" t="s">
        <v>69</v>
      </c>
      <c r="P4769" s="3" t="s">
        <v>75</v>
      </c>
      <c r="Q4769">
        <v>2015</v>
      </c>
      <c r="R4769" s="2">
        <v>42354</v>
      </c>
      <c r="S4769" s="2">
        <v>42356</v>
      </c>
      <c r="T4769" s="2">
        <v>42354</v>
      </c>
      <c r="U4769" s="2">
        <v>42414</v>
      </c>
      <c r="V4769" t="s">
        <v>71</v>
      </c>
      <c r="W4769" t="str">
        <f>"            335/2015"</f>
        <v xml:space="preserve">            335/2015</v>
      </c>
      <c r="X4769">
        <v>80.760000000000005</v>
      </c>
      <c r="Y4769">
        <v>0</v>
      </c>
      <c r="Z4769"/>
      <c r="AB4769"/>
      <c r="AC4769">
        <v>66.2</v>
      </c>
      <c r="AD4769">
        <v>152</v>
      </c>
      <c r="AE4769" s="1">
        <v>10062.4</v>
      </c>
      <c r="AF4769">
        <v>14.56</v>
      </c>
      <c r="AJ4769">
        <v>0</v>
      </c>
      <c r="AK4769">
        <v>0</v>
      </c>
      <c r="AL4769">
        <v>0</v>
      </c>
      <c r="AM4769">
        <v>0</v>
      </c>
      <c r="AN4769">
        <v>0</v>
      </c>
      <c r="AO4769">
        <v>0</v>
      </c>
      <c r="AP4769" s="2">
        <v>42746</v>
      </c>
      <c r="AQ4769" t="s">
        <v>72</v>
      </c>
      <c r="AR4769" t="s">
        <v>72</v>
      </c>
      <c r="AS4769">
        <v>1771</v>
      </c>
      <c r="AT4769" s="4">
        <v>42566</v>
      </c>
      <c r="AU4769" t="s">
        <v>73</v>
      </c>
      <c r="AV4769">
        <v>1771</v>
      </c>
      <c r="AW4769" s="4">
        <v>42566</v>
      </c>
      <c r="BD4769">
        <v>14.56</v>
      </c>
      <c r="BN4769" t="s">
        <v>74</v>
      </c>
    </row>
    <row r="4770" spans="1:66">
      <c r="A4770">
        <v>101747</v>
      </c>
      <c r="B4770" s="3" t="s">
        <v>513</v>
      </c>
      <c r="C4770" s="1">
        <v>43300101</v>
      </c>
      <c r="D4770" t="s">
        <v>67</v>
      </c>
      <c r="H4770" t="str">
        <f t="shared" si="513"/>
        <v>ZTTRSM69D02L254H</v>
      </c>
      <c r="I4770" t="str">
        <f t="shared" si="514"/>
        <v>01018080620</v>
      </c>
      <c r="K4770" t="str">
        <f>""</f>
        <v/>
      </c>
      <c r="M4770" t="s">
        <v>68</v>
      </c>
      <c r="N4770" t="str">
        <f t="shared" si="508"/>
        <v>FOR</v>
      </c>
      <c r="O4770" t="s">
        <v>69</v>
      </c>
      <c r="P4770" s="3" t="s">
        <v>75</v>
      </c>
      <c r="Q4770">
        <v>2016</v>
      </c>
      <c r="R4770" s="2">
        <v>42400</v>
      </c>
      <c r="S4770" s="2">
        <v>42513</v>
      </c>
      <c r="T4770" s="2">
        <v>42511</v>
      </c>
      <c r="U4770" s="2">
        <v>42571</v>
      </c>
      <c r="V4770" t="s">
        <v>71</v>
      </c>
      <c r="W4770" t="str">
        <f>"             31/2016"</f>
        <v xml:space="preserve">             31/2016</v>
      </c>
      <c r="X4770">
        <v>63.55</v>
      </c>
      <c r="Y4770">
        <v>0</v>
      </c>
      <c r="Z4770" s="3">
        <v>52.09</v>
      </c>
      <c r="AA4770">
        <v>110</v>
      </c>
      <c r="AB4770" s="5">
        <v>5729.9</v>
      </c>
      <c r="AC4770">
        <v>52.09</v>
      </c>
      <c r="AD4770">
        <v>110</v>
      </c>
      <c r="AE4770" s="1">
        <v>5729.9</v>
      </c>
      <c r="AF4770">
        <v>11.46</v>
      </c>
      <c r="AJ4770">
        <v>0</v>
      </c>
      <c r="AK4770">
        <v>0</v>
      </c>
      <c r="AL4770">
        <v>0</v>
      </c>
      <c r="AM4770">
        <v>63.55</v>
      </c>
      <c r="AN4770">
        <v>63.55</v>
      </c>
      <c r="AO4770">
        <v>63.55</v>
      </c>
      <c r="AP4770" s="2">
        <v>42746</v>
      </c>
      <c r="AQ4770" t="s">
        <v>72</v>
      </c>
      <c r="AR4770" t="s">
        <v>72</v>
      </c>
      <c r="AS4770">
        <v>2946</v>
      </c>
      <c r="AT4770" s="4">
        <v>42681</v>
      </c>
      <c r="AU4770" t="s">
        <v>73</v>
      </c>
      <c r="AV4770">
        <v>2946</v>
      </c>
      <c r="AW4770" s="4">
        <v>42681</v>
      </c>
      <c r="BC4770">
        <v>11.46</v>
      </c>
      <c r="BD4770">
        <v>0</v>
      </c>
      <c r="BN4770" t="s">
        <v>74</v>
      </c>
    </row>
    <row r="4771" spans="1:66">
      <c r="A4771">
        <v>101747</v>
      </c>
      <c r="B4771" s="3" t="s">
        <v>513</v>
      </c>
      <c r="C4771" s="1">
        <v>43300101</v>
      </c>
      <c r="D4771" t="s">
        <v>67</v>
      </c>
      <c r="H4771" t="str">
        <f t="shared" si="513"/>
        <v>ZTTRSM69D02L254H</v>
      </c>
      <c r="I4771" t="str">
        <f t="shared" si="514"/>
        <v>01018080620</v>
      </c>
      <c r="K4771" t="str">
        <f>""</f>
        <v/>
      </c>
      <c r="M4771" t="s">
        <v>68</v>
      </c>
      <c r="N4771" t="str">
        <f t="shared" si="508"/>
        <v>FOR</v>
      </c>
      <c r="O4771" t="s">
        <v>69</v>
      </c>
      <c r="P4771" s="3" t="s">
        <v>75</v>
      </c>
      <c r="Q4771">
        <v>2016</v>
      </c>
      <c r="R4771" s="2">
        <v>42429</v>
      </c>
      <c r="S4771" s="2">
        <v>42513</v>
      </c>
      <c r="T4771" s="2">
        <v>42511</v>
      </c>
      <c r="U4771" s="2">
        <v>42571</v>
      </c>
      <c r="V4771" t="s">
        <v>71</v>
      </c>
      <c r="W4771" t="str">
        <f>"             61/2016"</f>
        <v xml:space="preserve">             61/2016</v>
      </c>
      <c r="X4771">
        <v>53.61</v>
      </c>
      <c r="Y4771">
        <v>0</v>
      </c>
      <c r="Z4771" s="3">
        <v>43.94</v>
      </c>
      <c r="AA4771">
        <v>110</v>
      </c>
      <c r="AB4771" s="5">
        <v>4833.3999999999996</v>
      </c>
      <c r="AC4771">
        <v>43.94</v>
      </c>
      <c r="AD4771">
        <v>110</v>
      </c>
      <c r="AE4771" s="1">
        <v>4833.3999999999996</v>
      </c>
      <c r="AF4771">
        <v>9.67</v>
      </c>
      <c r="AJ4771">
        <v>0</v>
      </c>
      <c r="AK4771">
        <v>0</v>
      </c>
      <c r="AL4771">
        <v>0</v>
      </c>
      <c r="AM4771">
        <v>53.61</v>
      </c>
      <c r="AN4771">
        <v>53.61</v>
      </c>
      <c r="AO4771">
        <v>53.61</v>
      </c>
      <c r="AP4771" s="2">
        <v>42746</v>
      </c>
      <c r="AQ4771" t="s">
        <v>72</v>
      </c>
      <c r="AR4771" t="s">
        <v>72</v>
      </c>
      <c r="AS4771">
        <v>2946</v>
      </c>
      <c r="AT4771" s="4">
        <v>42681</v>
      </c>
      <c r="AU4771" t="s">
        <v>73</v>
      </c>
      <c r="AV4771">
        <v>2946</v>
      </c>
      <c r="AW4771" s="4">
        <v>42681</v>
      </c>
      <c r="BC4771">
        <v>9.67</v>
      </c>
      <c r="BD4771">
        <v>0</v>
      </c>
      <c r="BN4771" t="s">
        <v>74</v>
      </c>
    </row>
    <row r="4772" spans="1:66">
      <c r="A4772">
        <v>101747</v>
      </c>
      <c r="B4772" s="3" t="s">
        <v>513</v>
      </c>
      <c r="C4772" s="1">
        <v>43300101</v>
      </c>
      <c r="D4772" t="s">
        <v>67</v>
      </c>
      <c r="H4772" t="str">
        <f t="shared" si="513"/>
        <v>ZTTRSM69D02L254H</v>
      </c>
      <c r="I4772" t="str">
        <f t="shared" si="514"/>
        <v>01018080620</v>
      </c>
      <c r="K4772" t="str">
        <f>""</f>
        <v/>
      </c>
      <c r="M4772" t="s">
        <v>68</v>
      </c>
      <c r="N4772" t="str">
        <f t="shared" si="508"/>
        <v>FOR</v>
      </c>
      <c r="O4772" t="s">
        <v>69</v>
      </c>
      <c r="P4772" s="3" t="s">
        <v>75</v>
      </c>
      <c r="Q4772">
        <v>2016</v>
      </c>
      <c r="R4772" s="2">
        <v>42460</v>
      </c>
      <c r="S4772" s="2">
        <v>42513</v>
      </c>
      <c r="T4772" s="2">
        <v>42511</v>
      </c>
      <c r="U4772" s="2">
        <v>42571</v>
      </c>
      <c r="V4772" t="s">
        <v>71</v>
      </c>
      <c r="W4772" t="str">
        <f>"             85/2016"</f>
        <v xml:space="preserve">             85/2016</v>
      </c>
      <c r="X4772">
        <v>325.57</v>
      </c>
      <c r="Y4772">
        <v>0</v>
      </c>
      <c r="Z4772" s="3">
        <v>266.86</v>
      </c>
      <c r="AA4772">
        <v>110</v>
      </c>
      <c r="AB4772" s="5">
        <v>29354.6</v>
      </c>
      <c r="AC4772">
        <v>266.86</v>
      </c>
      <c r="AD4772">
        <v>110</v>
      </c>
      <c r="AE4772" s="1">
        <v>29354.6</v>
      </c>
      <c r="AF4772">
        <v>58.71</v>
      </c>
      <c r="AJ4772">
        <v>0</v>
      </c>
      <c r="AK4772">
        <v>0</v>
      </c>
      <c r="AL4772">
        <v>0</v>
      </c>
      <c r="AM4772">
        <v>325.57</v>
      </c>
      <c r="AN4772">
        <v>325.57</v>
      </c>
      <c r="AO4772">
        <v>325.57</v>
      </c>
      <c r="AP4772" s="2">
        <v>42746</v>
      </c>
      <c r="AQ4772" t="s">
        <v>72</v>
      </c>
      <c r="AR4772" t="s">
        <v>72</v>
      </c>
      <c r="AS4772">
        <v>2946</v>
      </c>
      <c r="AT4772" s="4">
        <v>42681</v>
      </c>
      <c r="AU4772" t="s">
        <v>73</v>
      </c>
      <c r="AV4772">
        <v>2946</v>
      </c>
      <c r="AW4772" s="4">
        <v>42681</v>
      </c>
      <c r="BC4772">
        <v>58.71</v>
      </c>
      <c r="BD4772">
        <v>0</v>
      </c>
      <c r="BN4772" t="s">
        <v>74</v>
      </c>
    </row>
    <row r="4773" spans="1:66">
      <c r="A4773">
        <v>101747</v>
      </c>
      <c r="B4773" s="3" t="s">
        <v>513</v>
      </c>
      <c r="C4773" s="1">
        <v>43300101</v>
      </c>
      <c r="D4773" t="s">
        <v>67</v>
      </c>
      <c r="H4773" t="str">
        <f t="shared" si="513"/>
        <v>ZTTRSM69D02L254H</v>
      </c>
      <c r="I4773" t="str">
        <f t="shared" si="514"/>
        <v>01018080620</v>
      </c>
      <c r="K4773" t="str">
        <f>""</f>
        <v/>
      </c>
      <c r="M4773" t="s">
        <v>68</v>
      </c>
      <c r="N4773" t="str">
        <f t="shared" si="508"/>
        <v>FOR</v>
      </c>
      <c r="O4773" t="s">
        <v>69</v>
      </c>
      <c r="P4773" s="3" t="s">
        <v>75</v>
      </c>
      <c r="Q4773">
        <v>2016</v>
      </c>
      <c r="R4773" s="2">
        <v>42490</v>
      </c>
      <c r="S4773" s="2">
        <v>42513</v>
      </c>
      <c r="T4773" s="2">
        <v>42511</v>
      </c>
      <c r="U4773" s="2">
        <v>42571</v>
      </c>
      <c r="V4773" t="s">
        <v>71</v>
      </c>
      <c r="W4773" t="str">
        <f>"            112/2016"</f>
        <v xml:space="preserve">            112/2016</v>
      </c>
      <c r="X4773">
        <v>90.57</v>
      </c>
      <c r="Y4773">
        <v>0</v>
      </c>
      <c r="Z4773" s="3">
        <v>74.239999999999995</v>
      </c>
      <c r="AA4773">
        <v>110</v>
      </c>
      <c r="AB4773" s="5">
        <v>8166.4</v>
      </c>
      <c r="AC4773">
        <v>74.239999999999995</v>
      </c>
      <c r="AD4773">
        <v>110</v>
      </c>
      <c r="AE4773" s="1">
        <v>8166.4</v>
      </c>
      <c r="AF4773">
        <v>16.329999999999998</v>
      </c>
      <c r="AJ4773">
        <v>0</v>
      </c>
      <c r="AK4773">
        <v>0</v>
      </c>
      <c r="AL4773">
        <v>0</v>
      </c>
      <c r="AM4773">
        <v>90.57</v>
      </c>
      <c r="AN4773">
        <v>90.57</v>
      </c>
      <c r="AO4773">
        <v>90.57</v>
      </c>
      <c r="AP4773" s="2">
        <v>42746</v>
      </c>
      <c r="AQ4773" t="s">
        <v>72</v>
      </c>
      <c r="AR4773" t="s">
        <v>72</v>
      </c>
      <c r="AS4773">
        <v>2946</v>
      </c>
      <c r="AT4773" s="4">
        <v>42681</v>
      </c>
      <c r="AU4773" t="s">
        <v>73</v>
      </c>
      <c r="AV4773">
        <v>2946</v>
      </c>
      <c r="AW4773" s="4">
        <v>42681</v>
      </c>
      <c r="BC4773">
        <v>16.329999999999998</v>
      </c>
      <c r="BD4773">
        <v>0</v>
      </c>
      <c r="BN4773" t="s">
        <v>74</v>
      </c>
    </row>
    <row r="4774" spans="1:66" hidden="1">
      <c r="A4774">
        <v>101754</v>
      </c>
      <c r="B4774" s="3" t="s">
        <v>514</v>
      </c>
      <c r="C4774" s="1">
        <v>43300101</v>
      </c>
      <c r="D4774" t="s">
        <v>67</v>
      </c>
      <c r="H4774" t="str">
        <f t="shared" ref="H4774:I4793" si="515">"07328871210"</f>
        <v>07328871210</v>
      </c>
      <c r="I4774" t="str">
        <f t="shared" si="515"/>
        <v>07328871210</v>
      </c>
      <c r="K4774" t="str">
        <f>""</f>
        <v/>
      </c>
      <c r="M4774" t="s">
        <v>68</v>
      </c>
      <c r="N4774" t="str">
        <f t="shared" si="508"/>
        <v>FOR</v>
      </c>
      <c r="O4774" t="s">
        <v>69</v>
      </c>
      <c r="P4774" s="3" t="s">
        <v>70</v>
      </c>
      <c r="Q4774">
        <v>2015</v>
      </c>
      <c r="R4774" s="2">
        <v>42062</v>
      </c>
      <c r="S4774" s="2">
        <v>42108</v>
      </c>
      <c r="T4774" s="2">
        <v>42108</v>
      </c>
      <c r="U4774" s="2">
        <v>42168</v>
      </c>
      <c r="V4774" t="s">
        <v>71</v>
      </c>
      <c r="W4774" t="str">
        <f>"                 572"</f>
        <v xml:space="preserve">                 572</v>
      </c>
      <c r="X4774" s="1">
        <v>1043.0999999999999</v>
      </c>
      <c r="Y4774">
        <v>0</v>
      </c>
      <c r="Z4774"/>
      <c r="AB4774"/>
      <c r="AC4774">
        <v>855</v>
      </c>
      <c r="AD4774">
        <v>236</v>
      </c>
      <c r="AE4774" s="1">
        <v>201780</v>
      </c>
      <c r="AF4774">
        <v>0</v>
      </c>
      <c r="AJ4774">
        <v>0</v>
      </c>
      <c r="AK4774">
        <v>0</v>
      </c>
      <c r="AL4774">
        <v>0</v>
      </c>
      <c r="AM4774">
        <v>0</v>
      </c>
      <c r="AN4774">
        <v>0</v>
      </c>
      <c r="AO4774">
        <v>0</v>
      </c>
      <c r="AP4774" s="2">
        <v>42746</v>
      </c>
      <c r="AQ4774" t="s">
        <v>72</v>
      </c>
      <c r="AR4774" t="s">
        <v>72</v>
      </c>
      <c r="AS4774">
        <v>247</v>
      </c>
      <c r="AT4774" s="4">
        <v>42404</v>
      </c>
      <c r="AU4774" t="s">
        <v>73</v>
      </c>
      <c r="AV4774">
        <v>247</v>
      </c>
      <c r="AW4774" s="4">
        <v>42404</v>
      </c>
      <c r="BD4774">
        <v>0</v>
      </c>
      <c r="BN4774" t="s">
        <v>74</v>
      </c>
    </row>
    <row r="4775" spans="1:66" hidden="1">
      <c r="A4775">
        <v>101754</v>
      </c>
      <c r="B4775" s="3" t="s">
        <v>514</v>
      </c>
      <c r="C4775" s="1">
        <v>43300101</v>
      </c>
      <c r="D4775" t="s">
        <v>67</v>
      </c>
      <c r="H4775" t="str">
        <f t="shared" si="515"/>
        <v>07328871210</v>
      </c>
      <c r="I4775" t="str">
        <f t="shared" si="515"/>
        <v>07328871210</v>
      </c>
      <c r="K4775" t="str">
        <f>""</f>
        <v/>
      </c>
      <c r="M4775" t="s">
        <v>68</v>
      </c>
      <c r="N4775" t="str">
        <f t="shared" si="508"/>
        <v>FOR</v>
      </c>
      <c r="O4775" t="s">
        <v>69</v>
      </c>
      <c r="P4775" s="3" t="s">
        <v>70</v>
      </c>
      <c r="Q4775">
        <v>2015</v>
      </c>
      <c r="R4775" s="2">
        <v>42062</v>
      </c>
      <c r="S4775" s="2">
        <v>42108</v>
      </c>
      <c r="T4775" s="2">
        <v>42108</v>
      </c>
      <c r="U4775" s="2">
        <v>42168</v>
      </c>
      <c r="V4775" t="s">
        <v>71</v>
      </c>
      <c r="W4775" t="str">
        <f>"                 573"</f>
        <v xml:space="preserve">                 573</v>
      </c>
      <c r="X4775" s="1">
        <v>1244.4000000000001</v>
      </c>
      <c r="Y4775">
        <v>0</v>
      </c>
      <c r="Z4775"/>
      <c r="AB4775"/>
      <c r="AC4775" s="1">
        <v>1020</v>
      </c>
      <c r="AD4775">
        <v>236</v>
      </c>
      <c r="AE4775" s="1">
        <v>240720</v>
      </c>
      <c r="AF4775">
        <v>0</v>
      </c>
      <c r="AJ4775">
        <v>0</v>
      </c>
      <c r="AK4775">
        <v>0</v>
      </c>
      <c r="AL4775">
        <v>0</v>
      </c>
      <c r="AM4775">
        <v>0</v>
      </c>
      <c r="AN4775">
        <v>0</v>
      </c>
      <c r="AO4775">
        <v>0</v>
      </c>
      <c r="AP4775" s="2">
        <v>42746</v>
      </c>
      <c r="AQ4775" t="s">
        <v>72</v>
      </c>
      <c r="AR4775" t="s">
        <v>72</v>
      </c>
      <c r="AS4775">
        <v>247</v>
      </c>
      <c r="AT4775" s="4">
        <v>42404</v>
      </c>
      <c r="AU4775" t="s">
        <v>73</v>
      </c>
      <c r="AV4775">
        <v>247</v>
      </c>
      <c r="AW4775" s="4">
        <v>42404</v>
      </c>
      <c r="BD4775">
        <v>0</v>
      </c>
      <c r="BN4775" t="s">
        <v>74</v>
      </c>
    </row>
    <row r="4776" spans="1:66" hidden="1">
      <c r="A4776">
        <v>101754</v>
      </c>
      <c r="B4776" s="3" t="s">
        <v>514</v>
      </c>
      <c r="C4776" s="1">
        <v>43300101</v>
      </c>
      <c r="D4776" t="s">
        <v>67</v>
      </c>
      <c r="H4776" t="str">
        <f t="shared" si="515"/>
        <v>07328871210</v>
      </c>
      <c r="I4776" t="str">
        <f t="shared" si="515"/>
        <v>07328871210</v>
      </c>
      <c r="K4776" t="str">
        <f>""</f>
        <v/>
      </c>
      <c r="M4776" t="s">
        <v>68</v>
      </c>
      <c r="N4776" t="str">
        <f t="shared" si="508"/>
        <v>FOR</v>
      </c>
      <c r="O4776" t="s">
        <v>69</v>
      </c>
      <c r="P4776" s="3" t="s">
        <v>70</v>
      </c>
      <c r="Q4776">
        <v>2015</v>
      </c>
      <c r="R4776" s="2">
        <v>42062</v>
      </c>
      <c r="S4776" s="2">
        <v>42108</v>
      </c>
      <c r="T4776" s="2">
        <v>42108</v>
      </c>
      <c r="U4776" s="2">
        <v>42168</v>
      </c>
      <c r="V4776" t="s">
        <v>71</v>
      </c>
      <c r="W4776" t="str">
        <f>"                 574"</f>
        <v xml:space="preserve">                 574</v>
      </c>
      <c r="X4776" s="1">
        <v>1769</v>
      </c>
      <c r="Y4776">
        <v>0</v>
      </c>
      <c r="Z4776"/>
      <c r="AB4776"/>
      <c r="AC4776" s="1">
        <v>1450</v>
      </c>
      <c r="AD4776">
        <v>236</v>
      </c>
      <c r="AE4776" s="1">
        <v>342200</v>
      </c>
      <c r="AF4776">
        <v>0</v>
      </c>
      <c r="AJ4776">
        <v>0</v>
      </c>
      <c r="AK4776">
        <v>0</v>
      </c>
      <c r="AL4776">
        <v>0</v>
      </c>
      <c r="AM4776">
        <v>0</v>
      </c>
      <c r="AN4776">
        <v>0</v>
      </c>
      <c r="AO4776">
        <v>0</v>
      </c>
      <c r="AP4776" s="2">
        <v>42746</v>
      </c>
      <c r="AQ4776" t="s">
        <v>72</v>
      </c>
      <c r="AR4776" t="s">
        <v>72</v>
      </c>
      <c r="AS4776">
        <v>247</v>
      </c>
      <c r="AT4776" s="4">
        <v>42404</v>
      </c>
      <c r="AU4776" t="s">
        <v>73</v>
      </c>
      <c r="AV4776">
        <v>247</v>
      </c>
      <c r="AW4776" s="4">
        <v>42404</v>
      </c>
      <c r="BD4776">
        <v>0</v>
      </c>
      <c r="BN4776" t="s">
        <v>74</v>
      </c>
    </row>
    <row r="4777" spans="1:66" hidden="1">
      <c r="A4777">
        <v>101754</v>
      </c>
      <c r="B4777" s="3" t="s">
        <v>514</v>
      </c>
      <c r="C4777" s="1">
        <v>43300101</v>
      </c>
      <c r="D4777" t="s">
        <v>67</v>
      </c>
      <c r="H4777" t="str">
        <f t="shared" si="515"/>
        <v>07328871210</v>
      </c>
      <c r="I4777" t="str">
        <f t="shared" si="515"/>
        <v>07328871210</v>
      </c>
      <c r="K4777" t="str">
        <f>""</f>
        <v/>
      </c>
      <c r="M4777" t="s">
        <v>68</v>
      </c>
      <c r="N4777" t="str">
        <f t="shared" si="508"/>
        <v>FOR</v>
      </c>
      <c r="O4777" t="s">
        <v>69</v>
      </c>
      <c r="P4777" s="3" t="s">
        <v>70</v>
      </c>
      <c r="Q4777">
        <v>2015</v>
      </c>
      <c r="R4777" s="2">
        <v>42093</v>
      </c>
      <c r="S4777" s="2">
        <v>42108</v>
      </c>
      <c r="T4777" s="2">
        <v>42108</v>
      </c>
      <c r="U4777" s="2">
        <v>42168</v>
      </c>
      <c r="V4777" t="s">
        <v>71</v>
      </c>
      <c r="W4777" t="str">
        <f>"                 932"</f>
        <v xml:space="preserve">                 932</v>
      </c>
      <c r="X4777">
        <v>414.8</v>
      </c>
      <c r="Y4777">
        <v>0</v>
      </c>
      <c r="Z4777"/>
      <c r="AB4777"/>
      <c r="AC4777">
        <v>340</v>
      </c>
      <c r="AD4777">
        <v>240</v>
      </c>
      <c r="AE4777" s="1">
        <v>81600</v>
      </c>
      <c r="AF4777">
        <v>0</v>
      </c>
      <c r="AJ4777">
        <v>0</v>
      </c>
      <c r="AK4777">
        <v>0</v>
      </c>
      <c r="AL4777">
        <v>0</v>
      </c>
      <c r="AM4777">
        <v>0</v>
      </c>
      <c r="AN4777">
        <v>0</v>
      </c>
      <c r="AO4777">
        <v>0</v>
      </c>
      <c r="AP4777" s="2">
        <v>42746</v>
      </c>
      <c r="AQ4777" t="s">
        <v>72</v>
      </c>
      <c r="AR4777" t="s">
        <v>72</v>
      </c>
      <c r="AS4777">
        <v>337</v>
      </c>
      <c r="AT4777" s="4">
        <v>42408</v>
      </c>
      <c r="AU4777" t="s">
        <v>73</v>
      </c>
      <c r="AV4777">
        <v>337</v>
      </c>
      <c r="AW4777" s="4">
        <v>42408</v>
      </c>
      <c r="BD4777">
        <v>0</v>
      </c>
      <c r="BN4777" t="s">
        <v>74</v>
      </c>
    </row>
    <row r="4778" spans="1:66" hidden="1">
      <c r="A4778">
        <v>101754</v>
      </c>
      <c r="B4778" s="3" t="s">
        <v>514</v>
      </c>
      <c r="C4778" s="1">
        <v>43300101</v>
      </c>
      <c r="D4778" t="s">
        <v>67</v>
      </c>
      <c r="H4778" t="str">
        <f t="shared" si="515"/>
        <v>07328871210</v>
      </c>
      <c r="I4778" t="str">
        <f t="shared" si="515"/>
        <v>07328871210</v>
      </c>
      <c r="K4778" t="str">
        <f>""</f>
        <v/>
      </c>
      <c r="M4778" t="s">
        <v>68</v>
      </c>
      <c r="N4778" t="str">
        <f t="shared" si="508"/>
        <v>FOR</v>
      </c>
      <c r="O4778" t="s">
        <v>69</v>
      </c>
      <c r="P4778" s="3" t="s">
        <v>70</v>
      </c>
      <c r="Q4778">
        <v>2015</v>
      </c>
      <c r="R4778" s="2">
        <v>42093</v>
      </c>
      <c r="S4778" s="2">
        <v>42108</v>
      </c>
      <c r="T4778" s="2">
        <v>42108</v>
      </c>
      <c r="U4778" s="2">
        <v>42168</v>
      </c>
      <c r="V4778" t="s">
        <v>71</v>
      </c>
      <c r="W4778" t="str">
        <f>"                 933"</f>
        <v xml:space="preserve">                 933</v>
      </c>
      <c r="X4778">
        <v>508.74</v>
      </c>
      <c r="Y4778">
        <v>0</v>
      </c>
      <c r="Z4778"/>
      <c r="AB4778"/>
      <c r="AC4778">
        <v>417</v>
      </c>
      <c r="AD4778">
        <v>240</v>
      </c>
      <c r="AE4778" s="1">
        <v>100080</v>
      </c>
      <c r="AF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 s="2">
        <v>42746</v>
      </c>
      <c r="AQ4778" t="s">
        <v>72</v>
      </c>
      <c r="AR4778" t="s">
        <v>72</v>
      </c>
      <c r="AS4778">
        <v>337</v>
      </c>
      <c r="AT4778" s="4">
        <v>42408</v>
      </c>
      <c r="AU4778" t="s">
        <v>73</v>
      </c>
      <c r="AV4778">
        <v>337</v>
      </c>
      <c r="AW4778" s="4">
        <v>42408</v>
      </c>
      <c r="BD4778">
        <v>0</v>
      </c>
      <c r="BN4778" t="s">
        <v>74</v>
      </c>
    </row>
    <row r="4779" spans="1:66" hidden="1">
      <c r="A4779">
        <v>101754</v>
      </c>
      <c r="B4779" s="3" t="s">
        <v>514</v>
      </c>
      <c r="C4779" s="1">
        <v>43300101</v>
      </c>
      <c r="D4779" t="s">
        <v>67</v>
      </c>
      <c r="H4779" t="str">
        <f t="shared" si="515"/>
        <v>07328871210</v>
      </c>
      <c r="I4779" t="str">
        <f t="shared" si="515"/>
        <v>07328871210</v>
      </c>
      <c r="K4779" t="str">
        <f>""</f>
        <v/>
      </c>
      <c r="M4779" t="s">
        <v>68</v>
      </c>
      <c r="N4779" t="str">
        <f t="shared" si="508"/>
        <v>FOR</v>
      </c>
      <c r="O4779" t="s">
        <v>69</v>
      </c>
      <c r="P4779" s="3" t="s">
        <v>70</v>
      </c>
      <c r="Q4779">
        <v>2015</v>
      </c>
      <c r="R4779" s="2">
        <v>42093</v>
      </c>
      <c r="S4779" s="2">
        <v>42108</v>
      </c>
      <c r="T4779" s="2">
        <v>42108</v>
      </c>
      <c r="U4779" s="2">
        <v>42168</v>
      </c>
      <c r="V4779" t="s">
        <v>71</v>
      </c>
      <c r="W4779" t="str">
        <f>"                 934"</f>
        <v xml:space="preserve">                 934</v>
      </c>
      <c r="X4779">
        <v>695.4</v>
      </c>
      <c r="Y4779">
        <v>0</v>
      </c>
      <c r="Z4779"/>
      <c r="AB4779"/>
      <c r="AC4779">
        <v>570</v>
      </c>
      <c r="AD4779">
        <v>240</v>
      </c>
      <c r="AE4779" s="1">
        <v>136800</v>
      </c>
      <c r="AF4779">
        <v>0</v>
      </c>
      <c r="AJ4779">
        <v>0</v>
      </c>
      <c r="AK4779">
        <v>0</v>
      </c>
      <c r="AL4779">
        <v>0</v>
      </c>
      <c r="AM4779">
        <v>0</v>
      </c>
      <c r="AN4779">
        <v>0</v>
      </c>
      <c r="AO4779">
        <v>0</v>
      </c>
      <c r="AP4779" s="2">
        <v>42746</v>
      </c>
      <c r="AQ4779" t="s">
        <v>72</v>
      </c>
      <c r="AR4779" t="s">
        <v>72</v>
      </c>
      <c r="AS4779">
        <v>337</v>
      </c>
      <c r="AT4779" s="4">
        <v>42408</v>
      </c>
      <c r="AU4779" t="s">
        <v>73</v>
      </c>
      <c r="AV4779">
        <v>337</v>
      </c>
      <c r="AW4779" s="4">
        <v>42408</v>
      </c>
      <c r="BD4779">
        <v>0</v>
      </c>
      <c r="BN4779" t="s">
        <v>74</v>
      </c>
    </row>
    <row r="4780" spans="1:66" hidden="1">
      <c r="A4780">
        <v>101754</v>
      </c>
      <c r="B4780" s="3" t="s">
        <v>514</v>
      </c>
      <c r="C4780" s="1">
        <v>43300101</v>
      </c>
      <c r="D4780" t="s">
        <v>67</v>
      </c>
      <c r="H4780" t="str">
        <f t="shared" si="515"/>
        <v>07328871210</v>
      </c>
      <c r="I4780" t="str">
        <f t="shared" si="515"/>
        <v>07328871210</v>
      </c>
      <c r="K4780" t="str">
        <f>""</f>
        <v/>
      </c>
      <c r="M4780" t="s">
        <v>68</v>
      </c>
      <c r="N4780" t="str">
        <f t="shared" si="508"/>
        <v>FOR</v>
      </c>
      <c r="O4780" t="s">
        <v>69</v>
      </c>
      <c r="P4780" s="3" t="s">
        <v>70</v>
      </c>
      <c r="Q4780">
        <v>2015</v>
      </c>
      <c r="R4780" s="2">
        <v>42093</v>
      </c>
      <c r="S4780" s="2">
        <v>42108</v>
      </c>
      <c r="T4780" s="2">
        <v>42108</v>
      </c>
      <c r="U4780" s="2">
        <v>42168</v>
      </c>
      <c r="V4780" t="s">
        <v>71</v>
      </c>
      <c r="W4780" t="str">
        <f>"                1073"</f>
        <v xml:space="preserve">                1073</v>
      </c>
      <c r="X4780" s="1">
        <v>1244.4000000000001</v>
      </c>
      <c r="Y4780">
        <v>0</v>
      </c>
      <c r="Z4780"/>
      <c r="AB4780"/>
      <c r="AC4780" s="1">
        <v>1020</v>
      </c>
      <c r="AD4780">
        <v>240</v>
      </c>
      <c r="AE4780" s="1">
        <v>244800</v>
      </c>
      <c r="AF4780">
        <v>0</v>
      </c>
      <c r="AJ4780">
        <v>0</v>
      </c>
      <c r="AK4780">
        <v>0</v>
      </c>
      <c r="AL4780">
        <v>0</v>
      </c>
      <c r="AM4780">
        <v>0</v>
      </c>
      <c r="AN4780">
        <v>0</v>
      </c>
      <c r="AO4780">
        <v>0</v>
      </c>
      <c r="AP4780" s="2">
        <v>42746</v>
      </c>
      <c r="AQ4780" t="s">
        <v>72</v>
      </c>
      <c r="AR4780" t="s">
        <v>72</v>
      </c>
      <c r="AS4780">
        <v>337</v>
      </c>
      <c r="AT4780" s="4">
        <v>42408</v>
      </c>
      <c r="AU4780" t="s">
        <v>73</v>
      </c>
      <c r="AV4780">
        <v>337</v>
      </c>
      <c r="AW4780" s="4">
        <v>42408</v>
      </c>
      <c r="BD4780">
        <v>0</v>
      </c>
      <c r="BN4780" t="s">
        <v>74</v>
      </c>
    </row>
    <row r="4781" spans="1:66" hidden="1">
      <c r="A4781">
        <v>101754</v>
      </c>
      <c r="B4781" s="3" t="s">
        <v>514</v>
      </c>
      <c r="C4781" s="1">
        <v>43300101</v>
      </c>
      <c r="D4781" t="s">
        <v>67</v>
      </c>
      <c r="H4781" t="str">
        <f t="shared" si="515"/>
        <v>07328871210</v>
      </c>
      <c r="I4781" t="str">
        <f t="shared" si="515"/>
        <v>07328871210</v>
      </c>
      <c r="K4781" t="str">
        <f>""</f>
        <v/>
      </c>
      <c r="M4781" t="s">
        <v>68</v>
      </c>
      <c r="N4781" t="str">
        <f t="shared" si="508"/>
        <v>FOR</v>
      </c>
      <c r="O4781" t="s">
        <v>69</v>
      </c>
      <c r="P4781" s="3" t="s">
        <v>70</v>
      </c>
      <c r="Q4781">
        <v>2015</v>
      </c>
      <c r="R4781" s="2">
        <v>42093</v>
      </c>
      <c r="S4781" s="2">
        <v>42108</v>
      </c>
      <c r="T4781" s="2">
        <v>42108</v>
      </c>
      <c r="U4781" s="2">
        <v>42168</v>
      </c>
      <c r="V4781" t="s">
        <v>71</v>
      </c>
      <c r="W4781" t="str">
        <f>"                1074"</f>
        <v xml:space="preserve">                1074</v>
      </c>
      <c r="X4781" s="1">
        <v>1692.87</v>
      </c>
      <c r="Y4781">
        <v>0</v>
      </c>
      <c r="Z4781"/>
      <c r="AB4781"/>
      <c r="AC4781" s="1">
        <v>1387.6</v>
      </c>
      <c r="AD4781">
        <v>240</v>
      </c>
      <c r="AE4781" s="1">
        <v>333024</v>
      </c>
      <c r="AF4781">
        <v>0</v>
      </c>
      <c r="AJ4781">
        <v>0</v>
      </c>
      <c r="AK4781">
        <v>0</v>
      </c>
      <c r="AL4781">
        <v>0</v>
      </c>
      <c r="AM4781">
        <v>0</v>
      </c>
      <c r="AN4781">
        <v>0</v>
      </c>
      <c r="AO4781">
        <v>0</v>
      </c>
      <c r="AP4781" s="2">
        <v>42746</v>
      </c>
      <c r="AQ4781" t="s">
        <v>72</v>
      </c>
      <c r="AR4781" t="s">
        <v>72</v>
      </c>
      <c r="AS4781">
        <v>337</v>
      </c>
      <c r="AT4781" s="4">
        <v>42408</v>
      </c>
      <c r="AU4781" t="s">
        <v>73</v>
      </c>
      <c r="AV4781">
        <v>337</v>
      </c>
      <c r="AW4781" s="4">
        <v>42408</v>
      </c>
      <c r="BD4781">
        <v>0</v>
      </c>
      <c r="BN4781" t="s">
        <v>74</v>
      </c>
    </row>
    <row r="4782" spans="1:66" hidden="1">
      <c r="A4782">
        <v>101754</v>
      </c>
      <c r="B4782" s="3" t="s">
        <v>514</v>
      </c>
      <c r="C4782" s="1">
        <v>43300101</v>
      </c>
      <c r="D4782" t="s">
        <v>67</v>
      </c>
      <c r="H4782" t="str">
        <f t="shared" si="515"/>
        <v>07328871210</v>
      </c>
      <c r="I4782" t="str">
        <f t="shared" si="515"/>
        <v>07328871210</v>
      </c>
      <c r="K4782" t="str">
        <f>""</f>
        <v/>
      </c>
      <c r="M4782" t="s">
        <v>68</v>
      </c>
      <c r="N4782" t="str">
        <f t="shared" si="508"/>
        <v>FOR</v>
      </c>
      <c r="O4782" t="s">
        <v>69</v>
      </c>
      <c r="P4782" s="3" t="s">
        <v>70</v>
      </c>
      <c r="Q4782">
        <v>2015</v>
      </c>
      <c r="R4782" s="2">
        <v>42093</v>
      </c>
      <c r="S4782" s="2">
        <v>42108</v>
      </c>
      <c r="T4782" s="2">
        <v>42108</v>
      </c>
      <c r="U4782" s="2">
        <v>42168</v>
      </c>
      <c r="V4782" t="s">
        <v>71</v>
      </c>
      <c r="W4782" t="str">
        <f>"                1075"</f>
        <v xml:space="preserve">                1075</v>
      </c>
      <c r="X4782">
        <v>166.53</v>
      </c>
      <c r="Y4782">
        <v>0</v>
      </c>
      <c r="Z4782"/>
      <c r="AB4782"/>
      <c r="AC4782">
        <v>136.5</v>
      </c>
      <c r="AD4782">
        <v>240</v>
      </c>
      <c r="AE4782" s="1">
        <v>32760</v>
      </c>
      <c r="AF4782">
        <v>0</v>
      </c>
      <c r="AJ4782">
        <v>0</v>
      </c>
      <c r="AK4782">
        <v>0</v>
      </c>
      <c r="AL4782">
        <v>0</v>
      </c>
      <c r="AM4782">
        <v>0</v>
      </c>
      <c r="AN4782">
        <v>0</v>
      </c>
      <c r="AO4782">
        <v>0</v>
      </c>
      <c r="AP4782" s="2">
        <v>42746</v>
      </c>
      <c r="AQ4782" t="s">
        <v>72</v>
      </c>
      <c r="AR4782" t="s">
        <v>72</v>
      </c>
      <c r="AS4782">
        <v>337</v>
      </c>
      <c r="AT4782" s="4">
        <v>42408</v>
      </c>
      <c r="AU4782" t="s">
        <v>73</v>
      </c>
      <c r="AV4782">
        <v>337</v>
      </c>
      <c r="AW4782" s="4">
        <v>42408</v>
      </c>
      <c r="BD4782">
        <v>0</v>
      </c>
      <c r="BN4782" t="s">
        <v>74</v>
      </c>
    </row>
    <row r="4783" spans="1:66" hidden="1">
      <c r="A4783">
        <v>101754</v>
      </c>
      <c r="B4783" s="3" t="s">
        <v>514</v>
      </c>
      <c r="C4783" s="1">
        <v>43300101</v>
      </c>
      <c r="D4783" t="s">
        <v>67</v>
      </c>
      <c r="H4783" t="str">
        <f t="shared" si="515"/>
        <v>07328871210</v>
      </c>
      <c r="I4783" t="str">
        <f t="shared" si="515"/>
        <v>07328871210</v>
      </c>
      <c r="K4783" t="str">
        <f>""</f>
        <v/>
      </c>
      <c r="M4783" t="s">
        <v>68</v>
      </c>
      <c r="N4783" t="str">
        <f t="shared" si="508"/>
        <v>FOR</v>
      </c>
      <c r="O4783" t="s">
        <v>69</v>
      </c>
      <c r="P4783" s="3" t="s">
        <v>75</v>
      </c>
      <c r="Q4783">
        <v>2015</v>
      </c>
      <c r="R4783" s="2">
        <v>42121</v>
      </c>
      <c r="S4783" s="2">
        <v>42131</v>
      </c>
      <c r="T4783" s="2">
        <v>42130</v>
      </c>
      <c r="U4783" s="2">
        <v>42190</v>
      </c>
      <c r="V4783" t="s">
        <v>71</v>
      </c>
      <c r="W4783" t="str">
        <f>"               9/FEP"</f>
        <v xml:space="preserve">               9/FEP</v>
      </c>
      <c r="X4783">
        <v>163.97</v>
      </c>
      <c r="Y4783">
        <v>0</v>
      </c>
      <c r="Z4783"/>
      <c r="AB4783"/>
      <c r="AC4783">
        <v>134.4</v>
      </c>
      <c r="AD4783">
        <v>241</v>
      </c>
      <c r="AE4783" s="1">
        <v>32390.400000000001</v>
      </c>
      <c r="AF4783">
        <v>0</v>
      </c>
      <c r="AJ4783">
        <v>0</v>
      </c>
      <c r="AK4783">
        <v>0</v>
      </c>
      <c r="AL4783">
        <v>0</v>
      </c>
      <c r="AM4783">
        <v>0</v>
      </c>
      <c r="AN4783">
        <v>0</v>
      </c>
      <c r="AO4783">
        <v>0</v>
      </c>
      <c r="AP4783" s="2">
        <v>42746</v>
      </c>
      <c r="AQ4783" t="s">
        <v>72</v>
      </c>
      <c r="AR4783" t="s">
        <v>72</v>
      </c>
      <c r="AS4783">
        <v>635</v>
      </c>
      <c r="AT4783" s="4">
        <v>42431</v>
      </c>
      <c r="AU4783" t="s">
        <v>73</v>
      </c>
      <c r="AV4783">
        <v>635</v>
      </c>
      <c r="AW4783" s="4">
        <v>42431</v>
      </c>
      <c r="BD4783">
        <v>0</v>
      </c>
      <c r="BN4783" t="s">
        <v>74</v>
      </c>
    </row>
    <row r="4784" spans="1:66" hidden="1">
      <c r="A4784">
        <v>101754</v>
      </c>
      <c r="B4784" s="3" t="s">
        <v>514</v>
      </c>
      <c r="C4784" s="1">
        <v>43300101</v>
      </c>
      <c r="D4784" t="s">
        <v>67</v>
      </c>
      <c r="H4784" t="str">
        <f t="shared" si="515"/>
        <v>07328871210</v>
      </c>
      <c r="I4784" t="str">
        <f t="shared" si="515"/>
        <v>07328871210</v>
      </c>
      <c r="K4784" t="str">
        <f>""</f>
        <v/>
      </c>
      <c r="M4784" t="s">
        <v>68</v>
      </c>
      <c r="N4784" t="str">
        <f t="shared" si="508"/>
        <v>FOR</v>
      </c>
      <c r="O4784" t="s">
        <v>69</v>
      </c>
      <c r="P4784" s="3" t="s">
        <v>75</v>
      </c>
      <c r="Q4784">
        <v>2015</v>
      </c>
      <c r="R4784" s="2">
        <v>42121</v>
      </c>
      <c r="S4784" s="2">
        <v>42131</v>
      </c>
      <c r="T4784" s="2">
        <v>42130</v>
      </c>
      <c r="U4784" s="2">
        <v>42190</v>
      </c>
      <c r="V4784" t="s">
        <v>71</v>
      </c>
      <c r="W4784" t="str">
        <f>"              10/FEP"</f>
        <v xml:space="preserve">              10/FEP</v>
      </c>
      <c r="X4784">
        <v>573.89</v>
      </c>
      <c r="Y4784">
        <v>0</v>
      </c>
      <c r="Z4784"/>
      <c r="AB4784"/>
      <c r="AC4784">
        <v>470.4</v>
      </c>
      <c r="AD4784">
        <v>241</v>
      </c>
      <c r="AE4784" s="1">
        <v>113366.39999999999</v>
      </c>
      <c r="AF4784">
        <v>0</v>
      </c>
      <c r="AJ4784">
        <v>0</v>
      </c>
      <c r="AK4784">
        <v>0</v>
      </c>
      <c r="AL4784">
        <v>0</v>
      </c>
      <c r="AM4784">
        <v>0</v>
      </c>
      <c r="AN4784">
        <v>0</v>
      </c>
      <c r="AO4784">
        <v>0</v>
      </c>
      <c r="AP4784" s="2">
        <v>42746</v>
      </c>
      <c r="AQ4784" t="s">
        <v>72</v>
      </c>
      <c r="AR4784" t="s">
        <v>72</v>
      </c>
      <c r="AS4784">
        <v>635</v>
      </c>
      <c r="AT4784" s="4">
        <v>42431</v>
      </c>
      <c r="AU4784" t="s">
        <v>73</v>
      </c>
      <c r="AV4784">
        <v>635</v>
      </c>
      <c r="AW4784" s="4">
        <v>42431</v>
      </c>
      <c r="BD4784">
        <v>0</v>
      </c>
      <c r="BN4784" t="s">
        <v>74</v>
      </c>
    </row>
    <row r="4785" spans="1:66" hidden="1">
      <c r="A4785">
        <v>101754</v>
      </c>
      <c r="B4785" s="3" t="s">
        <v>514</v>
      </c>
      <c r="C4785" s="1">
        <v>43300101</v>
      </c>
      <c r="D4785" t="s">
        <v>67</v>
      </c>
      <c r="H4785" t="str">
        <f t="shared" si="515"/>
        <v>07328871210</v>
      </c>
      <c r="I4785" t="str">
        <f t="shared" si="515"/>
        <v>07328871210</v>
      </c>
      <c r="K4785" t="str">
        <f>""</f>
        <v/>
      </c>
      <c r="M4785" t="s">
        <v>68</v>
      </c>
      <c r="N4785" t="str">
        <f t="shared" si="508"/>
        <v>FOR</v>
      </c>
      <c r="O4785" t="s">
        <v>69</v>
      </c>
      <c r="P4785" s="3" t="s">
        <v>75</v>
      </c>
      <c r="Q4785">
        <v>2015</v>
      </c>
      <c r="R4785" s="2">
        <v>42136</v>
      </c>
      <c r="S4785" s="2">
        <v>42139</v>
      </c>
      <c r="T4785" s="2">
        <v>42137</v>
      </c>
      <c r="U4785" s="2">
        <v>42197</v>
      </c>
      <c r="V4785" t="s">
        <v>71</v>
      </c>
      <c r="W4785" t="str">
        <f>"              89/FEP"</f>
        <v xml:space="preserve">              89/FEP</v>
      </c>
      <c r="X4785" s="1">
        <v>1659.2</v>
      </c>
      <c r="Y4785">
        <v>0</v>
      </c>
      <c r="Z4785"/>
      <c r="AB4785"/>
      <c r="AC4785" s="1">
        <v>1360</v>
      </c>
      <c r="AD4785">
        <v>255</v>
      </c>
      <c r="AE4785" s="1">
        <v>346800</v>
      </c>
      <c r="AF4785">
        <v>0</v>
      </c>
      <c r="AJ4785">
        <v>0</v>
      </c>
      <c r="AK4785">
        <v>0</v>
      </c>
      <c r="AL4785">
        <v>0</v>
      </c>
      <c r="AM4785">
        <v>0</v>
      </c>
      <c r="AN4785">
        <v>0</v>
      </c>
      <c r="AO4785">
        <v>0</v>
      </c>
      <c r="AP4785" s="2">
        <v>42746</v>
      </c>
      <c r="AQ4785" t="s">
        <v>72</v>
      </c>
      <c r="AR4785" t="s">
        <v>72</v>
      </c>
      <c r="AS4785">
        <v>831</v>
      </c>
      <c r="AT4785" s="4">
        <v>42452</v>
      </c>
      <c r="AU4785" t="s">
        <v>73</v>
      </c>
      <c r="AV4785">
        <v>831</v>
      </c>
      <c r="AW4785" s="4">
        <v>42452</v>
      </c>
      <c r="BD4785">
        <v>0</v>
      </c>
      <c r="BN4785" t="s">
        <v>74</v>
      </c>
    </row>
    <row r="4786" spans="1:66" hidden="1">
      <c r="A4786">
        <v>101754</v>
      </c>
      <c r="B4786" s="3" t="s">
        <v>514</v>
      </c>
      <c r="C4786" s="1">
        <v>43300101</v>
      </c>
      <c r="D4786" t="s">
        <v>67</v>
      </c>
      <c r="H4786" t="str">
        <f t="shared" si="515"/>
        <v>07328871210</v>
      </c>
      <c r="I4786" t="str">
        <f t="shared" si="515"/>
        <v>07328871210</v>
      </c>
      <c r="K4786" t="str">
        <f>""</f>
        <v/>
      </c>
      <c r="M4786" t="s">
        <v>68</v>
      </c>
      <c r="N4786" t="str">
        <f t="shared" si="508"/>
        <v>FOR</v>
      </c>
      <c r="O4786" t="s">
        <v>69</v>
      </c>
      <c r="P4786" s="3" t="s">
        <v>75</v>
      </c>
      <c r="Q4786">
        <v>2015</v>
      </c>
      <c r="R4786" s="2">
        <v>42136</v>
      </c>
      <c r="S4786" s="2">
        <v>42139</v>
      </c>
      <c r="T4786" s="2">
        <v>42137</v>
      </c>
      <c r="U4786" s="2">
        <v>42197</v>
      </c>
      <c r="V4786" t="s">
        <v>71</v>
      </c>
      <c r="W4786" t="str">
        <f>"              90/FEP"</f>
        <v xml:space="preserve">              90/FEP</v>
      </c>
      <c r="X4786" s="1">
        <v>1769</v>
      </c>
      <c r="Y4786">
        <v>0</v>
      </c>
      <c r="Z4786"/>
      <c r="AB4786"/>
      <c r="AC4786" s="1">
        <v>1450</v>
      </c>
      <c r="AD4786">
        <v>255</v>
      </c>
      <c r="AE4786" s="1">
        <v>369750</v>
      </c>
      <c r="AF4786">
        <v>0</v>
      </c>
      <c r="AJ4786">
        <v>0</v>
      </c>
      <c r="AK4786">
        <v>0</v>
      </c>
      <c r="AL4786">
        <v>0</v>
      </c>
      <c r="AM4786">
        <v>0</v>
      </c>
      <c r="AN4786">
        <v>0</v>
      </c>
      <c r="AO4786">
        <v>0</v>
      </c>
      <c r="AP4786" s="2">
        <v>42746</v>
      </c>
      <c r="AQ4786" t="s">
        <v>72</v>
      </c>
      <c r="AR4786" t="s">
        <v>72</v>
      </c>
      <c r="AS4786">
        <v>831</v>
      </c>
      <c r="AT4786" s="4">
        <v>42452</v>
      </c>
      <c r="AU4786" t="s">
        <v>73</v>
      </c>
      <c r="AV4786">
        <v>831</v>
      </c>
      <c r="AW4786" s="4">
        <v>42452</v>
      </c>
      <c r="BD4786">
        <v>0</v>
      </c>
      <c r="BN4786" t="s">
        <v>74</v>
      </c>
    </row>
    <row r="4787" spans="1:66" hidden="1">
      <c r="A4787">
        <v>101754</v>
      </c>
      <c r="B4787" s="3" t="s">
        <v>514</v>
      </c>
      <c r="C4787" s="1">
        <v>43300101</v>
      </c>
      <c r="D4787" t="s">
        <v>67</v>
      </c>
      <c r="H4787" t="str">
        <f t="shared" si="515"/>
        <v>07328871210</v>
      </c>
      <c r="I4787" t="str">
        <f t="shared" si="515"/>
        <v>07328871210</v>
      </c>
      <c r="K4787" t="str">
        <f>""</f>
        <v/>
      </c>
      <c r="M4787" t="s">
        <v>68</v>
      </c>
      <c r="N4787" t="str">
        <f t="shared" si="508"/>
        <v>FOR</v>
      </c>
      <c r="O4787" t="s">
        <v>69</v>
      </c>
      <c r="P4787" s="3" t="s">
        <v>75</v>
      </c>
      <c r="Q4787">
        <v>2015</v>
      </c>
      <c r="R4787" s="2">
        <v>42150</v>
      </c>
      <c r="S4787" s="2">
        <v>42160</v>
      </c>
      <c r="T4787" s="2">
        <v>42152</v>
      </c>
      <c r="U4787" s="2">
        <v>42212</v>
      </c>
      <c r="V4787" t="s">
        <v>71</v>
      </c>
      <c r="W4787" t="str">
        <f>"             159/FEP"</f>
        <v xml:space="preserve">             159/FEP</v>
      </c>
      <c r="X4787">
        <v>491.9</v>
      </c>
      <c r="Y4787">
        <v>0</v>
      </c>
      <c r="Z4787"/>
      <c r="AB4787"/>
      <c r="AC4787">
        <v>403.2</v>
      </c>
      <c r="AD4787">
        <v>240</v>
      </c>
      <c r="AE4787" s="1">
        <v>96768</v>
      </c>
      <c r="AF4787">
        <v>0</v>
      </c>
      <c r="AJ4787">
        <v>0</v>
      </c>
      <c r="AK4787">
        <v>0</v>
      </c>
      <c r="AL4787">
        <v>0</v>
      </c>
      <c r="AM4787">
        <v>0</v>
      </c>
      <c r="AN4787">
        <v>0</v>
      </c>
      <c r="AO4787">
        <v>0</v>
      </c>
      <c r="AP4787" s="2">
        <v>42746</v>
      </c>
      <c r="AQ4787" t="s">
        <v>72</v>
      </c>
      <c r="AR4787" t="s">
        <v>72</v>
      </c>
      <c r="AS4787">
        <v>831</v>
      </c>
      <c r="AT4787" s="4">
        <v>42452</v>
      </c>
      <c r="AU4787" t="s">
        <v>73</v>
      </c>
      <c r="AV4787">
        <v>831</v>
      </c>
      <c r="AW4787" s="4">
        <v>42452</v>
      </c>
      <c r="BD4787">
        <v>0</v>
      </c>
      <c r="BN4787" t="s">
        <v>74</v>
      </c>
    </row>
    <row r="4788" spans="1:66" hidden="1">
      <c r="A4788">
        <v>101754</v>
      </c>
      <c r="B4788" s="3" t="s">
        <v>514</v>
      </c>
      <c r="C4788" s="1">
        <v>43300101</v>
      </c>
      <c r="D4788" t="s">
        <v>67</v>
      </c>
      <c r="H4788" t="str">
        <f t="shared" si="515"/>
        <v>07328871210</v>
      </c>
      <c r="I4788" t="str">
        <f t="shared" si="515"/>
        <v>07328871210</v>
      </c>
      <c r="K4788" t="str">
        <f>""</f>
        <v/>
      </c>
      <c r="M4788" t="s">
        <v>68</v>
      </c>
      <c r="N4788" t="str">
        <f t="shared" si="508"/>
        <v>FOR</v>
      </c>
      <c r="O4788" t="s">
        <v>69</v>
      </c>
      <c r="P4788" s="3" t="s">
        <v>75</v>
      </c>
      <c r="Q4788">
        <v>2015</v>
      </c>
      <c r="R4788" s="2">
        <v>42153</v>
      </c>
      <c r="S4788" s="2">
        <v>42171</v>
      </c>
      <c r="T4788" s="2">
        <v>42170</v>
      </c>
      <c r="U4788" s="2">
        <v>42230</v>
      </c>
      <c r="V4788" t="s">
        <v>71</v>
      </c>
      <c r="W4788" t="str">
        <f>"             188/FEP"</f>
        <v xml:space="preserve">             188/FEP</v>
      </c>
      <c r="X4788" s="1">
        <v>1073.5999999999999</v>
      </c>
      <c r="Y4788">
        <v>0</v>
      </c>
      <c r="Z4788"/>
      <c r="AB4788"/>
      <c r="AC4788">
        <v>880</v>
      </c>
      <c r="AD4788">
        <v>222</v>
      </c>
      <c r="AE4788" s="1">
        <v>195360</v>
      </c>
      <c r="AF4788">
        <v>0</v>
      </c>
      <c r="AJ4788">
        <v>0</v>
      </c>
      <c r="AK4788">
        <v>0</v>
      </c>
      <c r="AL4788">
        <v>0</v>
      </c>
      <c r="AM4788">
        <v>0</v>
      </c>
      <c r="AN4788">
        <v>0</v>
      </c>
      <c r="AO4788">
        <v>0</v>
      </c>
      <c r="AP4788" s="2">
        <v>42746</v>
      </c>
      <c r="AQ4788" t="s">
        <v>72</v>
      </c>
      <c r="AR4788" t="s">
        <v>72</v>
      </c>
      <c r="AS4788">
        <v>831</v>
      </c>
      <c r="AT4788" s="4">
        <v>42452</v>
      </c>
      <c r="AU4788" t="s">
        <v>73</v>
      </c>
      <c r="AV4788">
        <v>831</v>
      </c>
      <c r="AW4788" s="4">
        <v>42452</v>
      </c>
      <c r="BD4788">
        <v>0</v>
      </c>
      <c r="BN4788" t="s">
        <v>74</v>
      </c>
    </row>
    <row r="4789" spans="1:66" hidden="1">
      <c r="A4789">
        <v>101754</v>
      </c>
      <c r="B4789" s="3" t="s">
        <v>514</v>
      </c>
      <c r="C4789" s="1">
        <v>43300101</v>
      </c>
      <c r="D4789" t="s">
        <v>67</v>
      </c>
      <c r="H4789" t="str">
        <f t="shared" si="515"/>
        <v>07328871210</v>
      </c>
      <c r="I4789" t="str">
        <f t="shared" si="515"/>
        <v>07328871210</v>
      </c>
      <c r="K4789" t="str">
        <f>""</f>
        <v/>
      </c>
      <c r="M4789" t="s">
        <v>68</v>
      </c>
      <c r="N4789" t="str">
        <f t="shared" si="508"/>
        <v>FOR</v>
      </c>
      <c r="O4789" t="s">
        <v>69</v>
      </c>
      <c r="P4789" s="3" t="s">
        <v>75</v>
      </c>
      <c r="Q4789">
        <v>2015</v>
      </c>
      <c r="R4789" s="2">
        <v>42167</v>
      </c>
      <c r="S4789" s="2">
        <v>42171</v>
      </c>
      <c r="T4789" s="2">
        <v>42170</v>
      </c>
      <c r="U4789" s="2">
        <v>42230</v>
      </c>
      <c r="V4789" t="s">
        <v>71</v>
      </c>
      <c r="W4789" t="str">
        <f>"             222/FEP"</f>
        <v xml:space="preserve">             222/FEP</v>
      </c>
      <c r="X4789">
        <v>122.98</v>
      </c>
      <c r="Y4789">
        <v>0</v>
      </c>
      <c r="Z4789"/>
      <c r="AB4789"/>
      <c r="AC4789">
        <v>100.8</v>
      </c>
      <c r="AD4789">
        <v>257</v>
      </c>
      <c r="AE4789" s="1">
        <v>25905.599999999999</v>
      </c>
      <c r="AF4789">
        <v>0</v>
      </c>
      <c r="AJ4789">
        <v>0</v>
      </c>
      <c r="AK4789">
        <v>0</v>
      </c>
      <c r="AL4789">
        <v>0</v>
      </c>
      <c r="AM4789">
        <v>0</v>
      </c>
      <c r="AN4789">
        <v>0</v>
      </c>
      <c r="AO4789">
        <v>0</v>
      </c>
      <c r="AP4789" s="2">
        <v>42746</v>
      </c>
      <c r="AQ4789" t="s">
        <v>72</v>
      </c>
      <c r="AR4789" t="s">
        <v>72</v>
      </c>
      <c r="AS4789">
        <v>1206</v>
      </c>
      <c r="AT4789" s="4">
        <v>42487</v>
      </c>
      <c r="AU4789" t="s">
        <v>73</v>
      </c>
      <c r="AV4789">
        <v>1206</v>
      </c>
      <c r="AW4789" s="4">
        <v>42487</v>
      </c>
      <c r="BD4789">
        <v>0</v>
      </c>
      <c r="BN4789" t="s">
        <v>74</v>
      </c>
    </row>
    <row r="4790" spans="1:66" hidden="1">
      <c r="A4790">
        <v>101754</v>
      </c>
      <c r="B4790" s="3" t="s">
        <v>514</v>
      </c>
      <c r="C4790" s="1">
        <v>43300101</v>
      </c>
      <c r="D4790" t="s">
        <v>67</v>
      </c>
      <c r="H4790" t="str">
        <f t="shared" si="515"/>
        <v>07328871210</v>
      </c>
      <c r="I4790" t="str">
        <f t="shared" si="515"/>
        <v>07328871210</v>
      </c>
      <c r="K4790" t="str">
        <f>""</f>
        <v/>
      </c>
      <c r="M4790" t="s">
        <v>68</v>
      </c>
      <c r="N4790" t="str">
        <f t="shared" si="508"/>
        <v>FOR</v>
      </c>
      <c r="O4790" t="s">
        <v>69</v>
      </c>
      <c r="P4790" s="3" t="s">
        <v>75</v>
      </c>
      <c r="Q4790">
        <v>2015</v>
      </c>
      <c r="R4790" s="2">
        <v>42167</v>
      </c>
      <c r="S4790" s="2">
        <v>42171</v>
      </c>
      <c r="T4790" s="2">
        <v>42170</v>
      </c>
      <c r="U4790" s="2">
        <v>42230</v>
      </c>
      <c r="V4790" t="s">
        <v>71</v>
      </c>
      <c r="W4790" t="str">
        <f>"             223/FEP"</f>
        <v xml:space="preserve">             223/FEP</v>
      </c>
      <c r="X4790" s="1">
        <v>2543.6999999999998</v>
      </c>
      <c r="Y4790">
        <v>0</v>
      </c>
      <c r="Z4790"/>
      <c r="AB4790"/>
      <c r="AC4790" s="1">
        <v>2085</v>
      </c>
      <c r="AD4790">
        <v>257</v>
      </c>
      <c r="AE4790" s="1">
        <v>535845</v>
      </c>
      <c r="AF4790">
        <v>0</v>
      </c>
      <c r="AJ4790">
        <v>0</v>
      </c>
      <c r="AK4790">
        <v>0</v>
      </c>
      <c r="AL4790">
        <v>0</v>
      </c>
      <c r="AM4790">
        <v>0</v>
      </c>
      <c r="AN4790">
        <v>0</v>
      </c>
      <c r="AO4790">
        <v>0</v>
      </c>
      <c r="AP4790" s="2">
        <v>42746</v>
      </c>
      <c r="AQ4790" t="s">
        <v>72</v>
      </c>
      <c r="AR4790" t="s">
        <v>72</v>
      </c>
      <c r="AS4790">
        <v>1206</v>
      </c>
      <c r="AT4790" s="4">
        <v>42487</v>
      </c>
      <c r="AU4790" t="s">
        <v>73</v>
      </c>
      <c r="AV4790">
        <v>1206</v>
      </c>
      <c r="AW4790" s="4">
        <v>42487</v>
      </c>
      <c r="BD4790">
        <v>0</v>
      </c>
      <c r="BN4790" t="s">
        <v>74</v>
      </c>
    </row>
    <row r="4791" spans="1:66" hidden="1">
      <c r="A4791">
        <v>101754</v>
      </c>
      <c r="B4791" s="3" t="s">
        <v>514</v>
      </c>
      <c r="C4791" s="1">
        <v>43300101</v>
      </c>
      <c r="D4791" t="s">
        <v>67</v>
      </c>
      <c r="H4791" t="str">
        <f t="shared" si="515"/>
        <v>07328871210</v>
      </c>
      <c r="I4791" t="str">
        <f t="shared" si="515"/>
        <v>07328871210</v>
      </c>
      <c r="K4791" t="str">
        <f>""</f>
        <v/>
      </c>
      <c r="M4791" t="s">
        <v>68</v>
      </c>
      <c r="N4791" t="str">
        <f t="shared" si="508"/>
        <v>FOR</v>
      </c>
      <c r="O4791" t="s">
        <v>69</v>
      </c>
      <c r="P4791" s="3" t="s">
        <v>75</v>
      </c>
      <c r="Q4791">
        <v>2015</v>
      </c>
      <c r="R4791" s="2">
        <v>42185</v>
      </c>
      <c r="S4791" s="2">
        <v>42215</v>
      </c>
      <c r="T4791" s="2">
        <v>42214</v>
      </c>
      <c r="U4791" s="2">
        <v>42274</v>
      </c>
      <c r="V4791" t="s">
        <v>71</v>
      </c>
      <c r="W4791" t="str">
        <f>"             303/FEP"</f>
        <v xml:space="preserve">             303/FEP</v>
      </c>
      <c r="X4791" s="1">
        <v>1390.8</v>
      </c>
      <c r="Y4791">
        <v>0</v>
      </c>
      <c r="Z4791"/>
      <c r="AB4791"/>
      <c r="AC4791" s="1">
        <v>1140</v>
      </c>
      <c r="AD4791">
        <v>213</v>
      </c>
      <c r="AE4791" s="1">
        <v>242820</v>
      </c>
      <c r="AF4791">
        <v>0</v>
      </c>
      <c r="AJ4791">
        <v>0</v>
      </c>
      <c r="AK4791">
        <v>0</v>
      </c>
      <c r="AL4791">
        <v>0</v>
      </c>
      <c r="AM4791">
        <v>0</v>
      </c>
      <c r="AN4791">
        <v>0</v>
      </c>
      <c r="AO4791">
        <v>0</v>
      </c>
      <c r="AP4791" s="2">
        <v>42746</v>
      </c>
      <c r="AQ4791" t="s">
        <v>72</v>
      </c>
      <c r="AR4791" t="s">
        <v>72</v>
      </c>
      <c r="AS4791">
        <v>1206</v>
      </c>
      <c r="AT4791" s="4">
        <v>42487</v>
      </c>
      <c r="AU4791" t="s">
        <v>73</v>
      </c>
      <c r="AV4791">
        <v>1206</v>
      </c>
      <c r="AW4791" s="4">
        <v>42487</v>
      </c>
      <c r="BD4791">
        <v>0</v>
      </c>
      <c r="BN4791" t="s">
        <v>74</v>
      </c>
    </row>
    <row r="4792" spans="1:66" hidden="1">
      <c r="A4792">
        <v>101754</v>
      </c>
      <c r="B4792" s="3" t="s">
        <v>514</v>
      </c>
      <c r="C4792" s="1">
        <v>43300101</v>
      </c>
      <c r="D4792" t="s">
        <v>67</v>
      </c>
      <c r="H4792" t="str">
        <f t="shared" si="515"/>
        <v>07328871210</v>
      </c>
      <c r="I4792" t="str">
        <f t="shared" si="515"/>
        <v>07328871210</v>
      </c>
      <c r="K4792" t="str">
        <f>""</f>
        <v/>
      </c>
      <c r="M4792" t="s">
        <v>68</v>
      </c>
      <c r="N4792" t="str">
        <f t="shared" si="508"/>
        <v>FOR</v>
      </c>
      <c r="O4792" t="s">
        <v>69</v>
      </c>
      <c r="P4792" s="3" t="s">
        <v>75</v>
      </c>
      <c r="Q4792">
        <v>2015</v>
      </c>
      <c r="R4792" s="2">
        <v>42185</v>
      </c>
      <c r="S4792" s="2">
        <v>42215</v>
      </c>
      <c r="T4792" s="2">
        <v>42214</v>
      </c>
      <c r="U4792" s="2">
        <v>42274</v>
      </c>
      <c r="V4792" t="s">
        <v>71</v>
      </c>
      <c r="W4792" t="str">
        <f>"             304/FEP"</f>
        <v xml:space="preserve">             304/FEP</v>
      </c>
      <c r="X4792">
        <v>819.84</v>
      </c>
      <c r="Y4792">
        <v>0</v>
      </c>
      <c r="Z4792"/>
      <c r="AB4792"/>
      <c r="AC4792">
        <v>672</v>
      </c>
      <c r="AD4792">
        <v>213</v>
      </c>
      <c r="AE4792" s="1">
        <v>143136</v>
      </c>
      <c r="AF4792">
        <v>0</v>
      </c>
      <c r="AJ4792">
        <v>0</v>
      </c>
      <c r="AK4792">
        <v>0</v>
      </c>
      <c r="AL4792">
        <v>0</v>
      </c>
      <c r="AM4792">
        <v>0</v>
      </c>
      <c r="AN4792">
        <v>0</v>
      </c>
      <c r="AO4792">
        <v>0</v>
      </c>
      <c r="AP4792" s="2">
        <v>42746</v>
      </c>
      <c r="AQ4792" t="s">
        <v>72</v>
      </c>
      <c r="AR4792" t="s">
        <v>72</v>
      </c>
      <c r="AS4792">
        <v>1206</v>
      </c>
      <c r="AT4792" s="4">
        <v>42487</v>
      </c>
      <c r="AU4792" t="s">
        <v>73</v>
      </c>
      <c r="AV4792">
        <v>1206</v>
      </c>
      <c r="AW4792" s="4">
        <v>42487</v>
      </c>
      <c r="BD4792">
        <v>0</v>
      </c>
      <c r="BN4792" t="s">
        <v>74</v>
      </c>
    </row>
    <row r="4793" spans="1:66" hidden="1">
      <c r="A4793">
        <v>101754</v>
      </c>
      <c r="B4793" s="3" t="s">
        <v>514</v>
      </c>
      <c r="C4793" s="1">
        <v>43300101</v>
      </c>
      <c r="D4793" t="s">
        <v>67</v>
      </c>
      <c r="H4793" t="str">
        <f t="shared" si="515"/>
        <v>07328871210</v>
      </c>
      <c r="I4793" t="str">
        <f t="shared" si="515"/>
        <v>07328871210</v>
      </c>
      <c r="K4793" t="str">
        <f>""</f>
        <v/>
      </c>
      <c r="M4793" t="s">
        <v>68</v>
      </c>
      <c r="N4793" t="str">
        <f t="shared" si="508"/>
        <v>FOR</v>
      </c>
      <c r="O4793" t="s">
        <v>69</v>
      </c>
      <c r="P4793" s="3" t="s">
        <v>75</v>
      </c>
      <c r="Q4793">
        <v>2015</v>
      </c>
      <c r="R4793" s="2">
        <v>42205</v>
      </c>
      <c r="S4793" s="2">
        <v>42215</v>
      </c>
      <c r="T4793" s="2">
        <v>42212</v>
      </c>
      <c r="U4793" s="2">
        <v>42272</v>
      </c>
      <c r="V4793" t="s">
        <v>71</v>
      </c>
      <c r="W4793" t="str">
        <f>"             337/FEP"</f>
        <v xml:space="preserve">             337/FEP</v>
      </c>
      <c r="X4793">
        <v>245.95</v>
      </c>
      <c r="Y4793">
        <v>0</v>
      </c>
      <c r="Z4793"/>
      <c r="AB4793"/>
      <c r="AC4793">
        <v>201.6</v>
      </c>
      <c r="AD4793">
        <v>294</v>
      </c>
      <c r="AE4793" s="1">
        <v>59270.400000000001</v>
      </c>
      <c r="AF4793">
        <v>0</v>
      </c>
      <c r="AJ4793">
        <v>0</v>
      </c>
      <c r="AK4793">
        <v>0</v>
      </c>
      <c r="AL4793">
        <v>0</v>
      </c>
      <c r="AM4793">
        <v>0</v>
      </c>
      <c r="AN4793">
        <v>0</v>
      </c>
      <c r="AO4793">
        <v>0</v>
      </c>
      <c r="AP4793" s="2">
        <v>42746</v>
      </c>
      <c r="AQ4793" t="s">
        <v>72</v>
      </c>
      <c r="AR4793" t="s">
        <v>72</v>
      </c>
      <c r="AS4793">
        <v>1814</v>
      </c>
      <c r="AT4793" s="4">
        <v>42566</v>
      </c>
      <c r="AU4793" t="s">
        <v>73</v>
      </c>
      <c r="AV4793">
        <v>1814</v>
      </c>
      <c r="AW4793" s="4">
        <v>42566</v>
      </c>
      <c r="BD4793">
        <v>0</v>
      </c>
      <c r="BN4793" t="s">
        <v>74</v>
      </c>
    </row>
    <row r="4794" spans="1:66" hidden="1">
      <c r="A4794">
        <v>101754</v>
      </c>
      <c r="B4794" s="3" t="s">
        <v>514</v>
      </c>
      <c r="C4794" s="1">
        <v>43300101</v>
      </c>
      <c r="D4794" t="s">
        <v>67</v>
      </c>
      <c r="H4794" t="str">
        <f t="shared" ref="H4794:I4813" si="516">"07328871210"</f>
        <v>07328871210</v>
      </c>
      <c r="I4794" t="str">
        <f t="shared" si="516"/>
        <v>07328871210</v>
      </c>
      <c r="K4794" t="str">
        <f>""</f>
        <v/>
      </c>
      <c r="M4794" t="s">
        <v>68</v>
      </c>
      <c r="N4794" t="str">
        <f t="shared" si="508"/>
        <v>FOR</v>
      </c>
      <c r="O4794" t="s">
        <v>69</v>
      </c>
      <c r="P4794" s="3" t="s">
        <v>75</v>
      </c>
      <c r="Q4794">
        <v>2015</v>
      </c>
      <c r="R4794" s="2">
        <v>42205</v>
      </c>
      <c r="S4794" s="2">
        <v>42215</v>
      </c>
      <c r="T4794" s="2">
        <v>42212</v>
      </c>
      <c r="U4794" s="2">
        <v>42272</v>
      </c>
      <c r="V4794" t="s">
        <v>71</v>
      </c>
      <c r="W4794" t="str">
        <f>"             338/FEP"</f>
        <v xml:space="preserve">             338/FEP</v>
      </c>
      <c r="X4794">
        <v>166.53</v>
      </c>
      <c r="Y4794">
        <v>0</v>
      </c>
      <c r="Z4794"/>
      <c r="AB4794"/>
      <c r="AC4794">
        <v>136.5</v>
      </c>
      <c r="AD4794">
        <v>294</v>
      </c>
      <c r="AE4794" s="1">
        <v>40131</v>
      </c>
      <c r="AF4794">
        <v>0</v>
      </c>
      <c r="AJ4794">
        <v>0</v>
      </c>
      <c r="AK4794">
        <v>0</v>
      </c>
      <c r="AL4794">
        <v>0</v>
      </c>
      <c r="AM4794">
        <v>0</v>
      </c>
      <c r="AN4794">
        <v>0</v>
      </c>
      <c r="AO4794">
        <v>0</v>
      </c>
      <c r="AP4794" s="2">
        <v>42746</v>
      </c>
      <c r="AQ4794" t="s">
        <v>72</v>
      </c>
      <c r="AR4794" t="s">
        <v>72</v>
      </c>
      <c r="AS4794">
        <v>1814</v>
      </c>
      <c r="AT4794" s="4">
        <v>42566</v>
      </c>
      <c r="AU4794" t="s">
        <v>73</v>
      </c>
      <c r="AV4794">
        <v>1814</v>
      </c>
      <c r="AW4794" s="4">
        <v>42566</v>
      </c>
      <c r="BD4794">
        <v>0</v>
      </c>
      <c r="BN4794" t="s">
        <v>74</v>
      </c>
    </row>
    <row r="4795" spans="1:66" hidden="1">
      <c r="A4795">
        <v>101754</v>
      </c>
      <c r="B4795" s="3" t="s">
        <v>514</v>
      </c>
      <c r="C4795" s="1">
        <v>43300101</v>
      </c>
      <c r="D4795" t="s">
        <v>67</v>
      </c>
      <c r="H4795" t="str">
        <f t="shared" si="516"/>
        <v>07328871210</v>
      </c>
      <c r="I4795" t="str">
        <f t="shared" si="516"/>
        <v>07328871210</v>
      </c>
      <c r="K4795" t="str">
        <f>""</f>
        <v/>
      </c>
      <c r="M4795" t="s">
        <v>68</v>
      </c>
      <c r="N4795" t="str">
        <f t="shared" si="508"/>
        <v>FOR</v>
      </c>
      <c r="O4795" t="s">
        <v>69</v>
      </c>
      <c r="P4795" s="3" t="s">
        <v>75</v>
      </c>
      <c r="Q4795">
        <v>2015</v>
      </c>
      <c r="R4795" s="2">
        <v>42205</v>
      </c>
      <c r="S4795" s="2">
        <v>42215</v>
      </c>
      <c r="T4795" s="2">
        <v>42212</v>
      </c>
      <c r="U4795" s="2">
        <v>42272</v>
      </c>
      <c r="V4795" t="s">
        <v>71</v>
      </c>
      <c r="W4795" t="str">
        <f>"             339/FEP"</f>
        <v xml:space="preserve">             339/FEP</v>
      </c>
      <c r="X4795">
        <v>725.9</v>
      </c>
      <c r="Y4795">
        <v>0</v>
      </c>
      <c r="Z4795"/>
      <c r="AB4795"/>
      <c r="AC4795">
        <v>595</v>
      </c>
      <c r="AD4795">
        <v>294</v>
      </c>
      <c r="AE4795" s="1">
        <v>174930</v>
      </c>
      <c r="AF4795">
        <v>0</v>
      </c>
      <c r="AJ4795">
        <v>0</v>
      </c>
      <c r="AK4795">
        <v>0</v>
      </c>
      <c r="AL4795">
        <v>0</v>
      </c>
      <c r="AM4795">
        <v>0</v>
      </c>
      <c r="AN4795">
        <v>0</v>
      </c>
      <c r="AO4795">
        <v>0</v>
      </c>
      <c r="AP4795" s="2">
        <v>42746</v>
      </c>
      <c r="AQ4795" t="s">
        <v>72</v>
      </c>
      <c r="AR4795" t="s">
        <v>72</v>
      </c>
      <c r="AS4795">
        <v>1814</v>
      </c>
      <c r="AT4795" s="4">
        <v>42566</v>
      </c>
      <c r="AU4795" t="s">
        <v>73</v>
      </c>
      <c r="AV4795">
        <v>1814</v>
      </c>
      <c r="AW4795" s="4">
        <v>42566</v>
      </c>
      <c r="BD4795">
        <v>0</v>
      </c>
      <c r="BN4795" t="s">
        <v>74</v>
      </c>
    </row>
    <row r="4796" spans="1:66" hidden="1">
      <c r="A4796">
        <v>101754</v>
      </c>
      <c r="B4796" s="3" t="s">
        <v>514</v>
      </c>
      <c r="C4796" s="1">
        <v>43300101</v>
      </c>
      <c r="D4796" t="s">
        <v>67</v>
      </c>
      <c r="H4796" t="str">
        <f t="shared" si="516"/>
        <v>07328871210</v>
      </c>
      <c r="I4796" t="str">
        <f t="shared" si="516"/>
        <v>07328871210</v>
      </c>
      <c r="K4796" t="str">
        <f>""</f>
        <v/>
      </c>
      <c r="M4796" t="s">
        <v>68</v>
      </c>
      <c r="N4796" t="str">
        <f t="shared" si="508"/>
        <v>FOR</v>
      </c>
      <c r="O4796" t="s">
        <v>69</v>
      </c>
      <c r="P4796" s="3" t="s">
        <v>75</v>
      </c>
      <c r="Q4796">
        <v>2015</v>
      </c>
      <c r="R4796" s="2">
        <v>42205</v>
      </c>
      <c r="S4796" s="2">
        <v>42215</v>
      </c>
      <c r="T4796" s="2">
        <v>42212</v>
      </c>
      <c r="U4796" s="2">
        <v>42272</v>
      </c>
      <c r="V4796" t="s">
        <v>71</v>
      </c>
      <c r="W4796" t="str">
        <f>"             340/FEP"</f>
        <v xml:space="preserve">             340/FEP</v>
      </c>
      <c r="X4796">
        <v>829.6</v>
      </c>
      <c r="Y4796">
        <v>0</v>
      </c>
      <c r="Z4796"/>
      <c r="AB4796"/>
      <c r="AC4796">
        <v>680</v>
      </c>
      <c r="AD4796">
        <v>294</v>
      </c>
      <c r="AE4796" s="1">
        <v>199920</v>
      </c>
      <c r="AF4796">
        <v>0</v>
      </c>
      <c r="AJ4796">
        <v>0</v>
      </c>
      <c r="AK4796">
        <v>0</v>
      </c>
      <c r="AL4796">
        <v>0</v>
      </c>
      <c r="AM4796">
        <v>0</v>
      </c>
      <c r="AN4796">
        <v>0</v>
      </c>
      <c r="AO4796">
        <v>0</v>
      </c>
      <c r="AP4796" s="2">
        <v>42746</v>
      </c>
      <c r="AQ4796" t="s">
        <v>72</v>
      </c>
      <c r="AR4796" t="s">
        <v>72</v>
      </c>
      <c r="AS4796">
        <v>1814</v>
      </c>
      <c r="AT4796" s="4">
        <v>42566</v>
      </c>
      <c r="AU4796" t="s">
        <v>73</v>
      </c>
      <c r="AV4796">
        <v>1814</v>
      </c>
      <c r="AW4796" s="4">
        <v>42566</v>
      </c>
      <c r="BD4796">
        <v>0</v>
      </c>
      <c r="BN4796" t="s">
        <v>74</v>
      </c>
    </row>
    <row r="4797" spans="1:66" hidden="1">
      <c r="A4797">
        <v>101754</v>
      </c>
      <c r="B4797" s="3" t="s">
        <v>514</v>
      </c>
      <c r="C4797" s="1">
        <v>43300101</v>
      </c>
      <c r="D4797" t="s">
        <v>67</v>
      </c>
      <c r="H4797" t="str">
        <f t="shared" si="516"/>
        <v>07328871210</v>
      </c>
      <c r="I4797" t="str">
        <f t="shared" si="516"/>
        <v>07328871210</v>
      </c>
      <c r="K4797" t="str">
        <f>""</f>
        <v/>
      </c>
      <c r="M4797" t="s">
        <v>68</v>
      </c>
      <c r="N4797" t="str">
        <f t="shared" si="508"/>
        <v>FOR</v>
      </c>
      <c r="O4797" t="s">
        <v>69</v>
      </c>
      <c r="P4797" s="3" t="s">
        <v>75</v>
      </c>
      <c r="Q4797">
        <v>2015</v>
      </c>
      <c r="R4797" s="2">
        <v>42205</v>
      </c>
      <c r="S4797" s="2">
        <v>42215</v>
      </c>
      <c r="T4797" s="2">
        <v>42212</v>
      </c>
      <c r="U4797" s="2">
        <v>42272</v>
      </c>
      <c r="V4797" t="s">
        <v>71</v>
      </c>
      <c r="W4797" t="str">
        <f>"             341/FEP"</f>
        <v xml:space="preserve">             341/FEP</v>
      </c>
      <c r="X4797" s="1">
        <v>1244.4000000000001</v>
      </c>
      <c r="Y4797">
        <v>0</v>
      </c>
      <c r="Z4797"/>
      <c r="AB4797"/>
      <c r="AC4797" s="1">
        <v>1020</v>
      </c>
      <c r="AD4797">
        <v>294</v>
      </c>
      <c r="AE4797" s="1">
        <v>299880</v>
      </c>
      <c r="AF4797">
        <v>0</v>
      </c>
      <c r="AJ4797">
        <v>0</v>
      </c>
      <c r="AK4797">
        <v>0</v>
      </c>
      <c r="AL4797">
        <v>0</v>
      </c>
      <c r="AM4797">
        <v>0</v>
      </c>
      <c r="AN4797">
        <v>0</v>
      </c>
      <c r="AO4797">
        <v>0</v>
      </c>
      <c r="AP4797" s="2">
        <v>42746</v>
      </c>
      <c r="AQ4797" t="s">
        <v>72</v>
      </c>
      <c r="AR4797" t="s">
        <v>72</v>
      </c>
      <c r="AS4797">
        <v>1814</v>
      </c>
      <c r="AT4797" s="4">
        <v>42566</v>
      </c>
      <c r="AU4797" t="s">
        <v>73</v>
      </c>
      <c r="AV4797">
        <v>1814</v>
      </c>
      <c r="AW4797" s="4">
        <v>42566</v>
      </c>
      <c r="BD4797">
        <v>0</v>
      </c>
      <c r="BN4797" t="s">
        <v>74</v>
      </c>
    </row>
    <row r="4798" spans="1:66" hidden="1">
      <c r="A4798">
        <v>101754</v>
      </c>
      <c r="B4798" s="3" t="s">
        <v>514</v>
      </c>
      <c r="C4798" s="1">
        <v>43300101</v>
      </c>
      <c r="D4798" t="s">
        <v>67</v>
      </c>
      <c r="H4798" t="str">
        <f t="shared" si="516"/>
        <v>07328871210</v>
      </c>
      <c r="I4798" t="str">
        <f t="shared" si="516"/>
        <v>07328871210</v>
      </c>
      <c r="K4798" t="str">
        <f>""</f>
        <v/>
      </c>
      <c r="M4798" t="s">
        <v>68</v>
      </c>
      <c r="N4798" t="str">
        <f t="shared" si="508"/>
        <v>FOR</v>
      </c>
      <c r="O4798" t="s">
        <v>69</v>
      </c>
      <c r="P4798" s="3" t="s">
        <v>75</v>
      </c>
      <c r="Q4798">
        <v>2015</v>
      </c>
      <c r="R4798" s="2">
        <v>42205</v>
      </c>
      <c r="S4798" s="2">
        <v>42215</v>
      </c>
      <c r="T4798" s="2">
        <v>42212</v>
      </c>
      <c r="U4798" s="2">
        <v>42272</v>
      </c>
      <c r="V4798" t="s">
        <v>71</v>
      </c>
      <c r="W4798" t="str">
        <f>"             342/FEP"</f>
        <v xml:space="preserve">             342/FEP</v>
      </c>
      <c r="X4798">
        <v>829.6</v>
      </c>
      <c r="Y4798">
        <v>0</v>
      </c>
      <c r="Z4798"/>
      <c r="AB4798"/>
      <c r="AC4798">
        <v>680</v>
      </c>
      <c r="AD4798">
        <v>294</v>
      </c>
      <c r="AE4798" s="1">
        <v>199920</v>
      </c>
      <c r="AF4798">
        <v>0</v>
      </c>
      <c r="AJ4798">
        <v>0</v>
      </c>
      <c r="AK4798">
        <v>0</v>
      </c>
      <c r="AL4798">
        <v>0</v>
      </c>
      <c r="AM4798">
        <v>0</v>
      </c>
      <c r="AN4798">
        <v>0</v>
      </c>
      <c r="AO4798">
        <v>0</v>
      </c>
      <c r="AP4798" s="2">
        <v>42746</v>
      </c>
      <c r="AQ4798" t="s">
        <v>72</v>
      </c>
      <c r="AR4798" t="s">
        <v>72</v>
      </c>
      <c r="AS4798">
        <v>1814</v>
      </c>
      <c r="AT4798" s="4">
        <v>42566</v>
      </c>
      <c r="AU4798" t="s">
        <v>73</v>
      </c>
      <c r="AV4798">
        <v>1814</v>
      </c>
      <c r="AW4798" s="4">
        <v>42566</v>
      </c>
      <c r="BD4798">
        <v>0</v>
      </c>
      <c r="BN4798" t="s">
        <v>74</v>
      </c>
    </row>
    <row r="4799" spans="1:66" hidden="1">
      <c r="A4799">
        <v>101754</v>
      </c>
      <c r="B4799" s="3" t="s">
        <v>514</v>
      </c>
      <c r="C4799" s="1">
        <v>43300101</v>
      </c>
      <c r="D4799" t="s">
        <v>67</v>
      </c>
      <c r="H4799" t="str">
        <f t="shared" si="516"/>
        <v>07328871210</v>
      </c>
      <c r="I4799" t="str">
        <f t="shared" si="516"/>
        <v>07328871210</v>
      </c>
      <c r="K4799" t="str">
        <f>""</f>
        <v/>
      </c>
      <c r="M4799" t="s">
        <v>68</v>
      </c>
      <c r="N4799" t="str">
        <f t="shared" si="508"/>
        <v>FOR</v>
      </c>
      <c r="O4799" t="s">
        <v>69</v>
      </c>
      <c r="P4799" s="3" t="s">
        <v>75</v>
      </c>
      <c r="Q4799">
        <v>2015</v>
      </c>
      <c r="R4799" s="2">
        <v>42216</v>
      </c>
      <c r="S4799" s="2">
        <v>42248</v>
      </c>
      <c r="T4799" s="2">
        <v>42247</v>
      </c>
      <c r="U4799" s="2">
        <v>42307</v>
      </c>
      <c r="V4799" t="s">
        <v>71</v>
      </c>
      <c r="W4799" t="str">
        <f>"             393/FEP"</f>
        <v xml:space="preserve">             393/FEP</v>
      </c>
      <c r="X4799">
        <v>166.53</v>
      </c>
      <c r="Y4799">
        <v>0</v>
      </c>
      <c r="Z4799"/>
      <c r="AB4799"/>
      <c r="AC4799">
        <v>136.5</v>
      </c>
      <c r="AD4799">
        <v>259</v>
      </c>
      <c r="AE4799" s="1">
        <v>35353.5</v>
      </c>
      <c r="AF4799">
        <v>0</v>
      </c>
      <c r="AJ4799">
        <v>0</v>
      </c>
      <c r="AK4799">
        <v>0</v>
      </c>
      <c r="AL4799">
        <v>0</v>
      </c>
      <c r="AM4799">
        <v>0</v>
      </c>
      <c r="AN4799">
        <v>0</v>
      </c>
      <c r="AO4799">
        <v>0</v>
      </c>
      <c r="AP4799" s="2">
        <v>42746</v>
      </c>
      <c r="AQ4799" t="s">
        <v>72</v>
      </c>
      <c r="AR4799" t="s">
        <v>72</v>
      </c>
      <c r="AS4799">
        <v>1814</v>
      </c>
      <c r="AT4799" s="4">
        <v>42566</v>
      </c>
      <c r="AU4799" t="s">
        <v>73</v>
      </c>
      <c r="AV4799">
        <v>1814</v>
      </c>
      <c r="AW4799" s="4">
        <v>42566</v>
      </c>
      <c r="BD4799">
        <v>0</v>
      </c>
      <c r="BN4799" t="s">
        <v>74</v>
      </c>
    </row>
    <row r="4800" spans="1:66" hidden="1">
      <c r="A4800">
        <v>101754</v>
      </c>
      <c r="B4800" s="3" t="s">
        <v>514</v>
      </c>
      <c r="C4800" s="1">
        <v>43300101</v>
      </c>
      <c r="D4800" t="s">
        <v>67</v>
      </c>
      <c r="H4800" t="str">
        <f t="shared" si="516"/>
        <v>07328871210</v>
      </c>
      <c r="I4800" t="str">
        <f t="shared" si="516"/>
        <v>07328871210</v>
      </c>
      <c r="K4800" t="str">
        <f>""</f>
        <v/>
      </c>
      <c r="M4800" t="s">
        <v>68</v>
      </c>
      <c r="N4800" t="str">
        <f t="shared" ref="N4800:N4863" si="517">"FOR"</f>
        <v>FOR</v>
      </c>
      <c r="O4800" t="s">
        <v>69</v>
      </c>
      <c r="P4800" s="3" t="s">
        <v>75</v>
      </c>
      <c r="Q4800">
        <v>2015</v>
      </c>
      <c r="R4800" s="2">
        <v>42216</v>
      </c>
      <c r="S4800" s="2">
        <v>42248</v>
      </c>
      <c r="T4800" s="2">
        <v>42247</v>
      </c>
      <c r="U4800" s="2">
        <v>42307</v>
      </c>
      <c r="V4800" t="s">
        <v>71</v>
      </c>
      <c r="W4800" t="str">
        <f>"             394/FEP"</f>
        <v xml:space="preserve">             394/FEP</v>
      </c>
      <c r="X4800">
        <v>414.8</v>
      </c>
      <c r="Y4800">
        <v>0</v>
      </c>
      <c r="Z4800"/>
      <c r="AB4800"/>
      <c r="AC4800">
        <v>340</v>
      </c>
      <c r="AD4800">
        <v>259</v>
      </c>
      <c r="AE4800" s="1">
        <v>88060</v>
      </c>
      <c r="AF4800">
        <v>0</v>
      </c>
      <c r="AJ4800">
        <v>0</v>
      </c>
      <c r="AK4800">
        <v>0</v>
      </c>
      <c r="AL4800">
        <v>0</v>
      </c>
      <c r="AM4800">
        <v>0</v>
      </c>
      <c r="AN4800">
        <v>0</v>
      </c>
      <c r="AO4800">
        <v>0</v>
      </c>
      <c r="AP4800" s="2">
        <v>42746</v>
      </c>
      <c r="AQ4800" t="s">
        <v>72</v>
      </c>
      <c r="AR4800" t="s">
        <v>72</v>
      </c>
      <c r="AS4800">
        <v>1814</v>
      </c>
      <c r="AT4800" s="4">
        <v>42566</v>
      </c>
      <c r="AU4800" t="s">
        <v>73</v>
      </c>
      <c r="AV4800">
        <v>1814</v>
      </c>
      <c r="AW4800" s="4">
        <v>42566</v>
      </c>
      <c r="BD4800">
        <v>0</v>
      </c>
      <c r="BN4800" t="s">
        <v>74</v>
      </c>
    </row>
    <row r="4801" spans="1:66" hidden="1">
      <c r="A4801">
        <v>101754</v>
      </c>
      <c r="B4801" s="3" t="s">
        <v>514</v>
      </c>
      <c r="C4801" s="1">
        <v>43300101</v>
      </c>
      <c r="D4801" t="s">
        <v>67</v>
      </c>
      <c r="H4801" t="str">
        <f t="shared" si="516"/>
        <v>07328871210</v>
      </c>
      <c r="I4801" t="str">
        <f t="shared" si="516"/>
        <v>07328871210</v>
      </c>
      <c r="K4801" t="str">
        <f>""</f>
        <v/>
      </c>
      <c r="M4801" t="s">
        <v>68</v>
      </c>
      <c r="N4801" t="str">
        <f t="shared" si="517"/>
        <v>FOR</v>
      </c>
      <c r="O4801" t="s">
        <v>69</v>
      </c>
      <c r="P4801" s="3" t="s">
        <v>75</v>
      </c>
      <c r="Q4801">
        <v>2015</v>
      </c>
      <c r="R4801" s="2">
        <v>42216</v>
      </c>
      <c r="S4801" s="2">
        <v>42248</v>
      </c>
      <c r="T4801" s="2">
        <v>42247</v>
      </c>
      <c r="U4801" s="2">
        <v>42307</v>
      </c>
      <c r="V4801" t="s">
        <v>71</v>
      </c>
      <c r="W4801" t="str">
        <f>"             395/FEP"</f>
        <v xml:space="preserve">             395/FEP</v>
      </c>
      <c r="X4801" s="1">
        <v>2812.1</v>
      </c>
      <c r="Y4801">
        <v>0</v>
      </c>
      <c r="Z4801"/>
      <c r="AB4801"/>
      <c r="AC4801" s="1">
        <v>2305</v>
      </c>
      <c r="AD4801">
        <v>259</v>
      </c>
      <c r="AE4801" s="1">
        <v>596995</v>
      </c>
      <c r="AF4801">
        <v>0</v>
      </c>
      <c r="AJ4801">
        <v>0</v>
      </c>
      <c r="AK4801">
        <v>0</v>
      </c>
      <c r="AL4801">
        <v>0</v>
      </c>
      <c r="AM4801">
        <v>0</v>
      </c>
      <c r="AN4801">
        <v>0</v>
      </c>
      <c r="AO4801">
        <v>0</v>
      </c>
      <c r="AP4801" s="2">
        <v>42746</v>
      </c>
      <c r="AQ4801" t="s">
        <v>72</v>
      </c>
      <c r="AR4801" t="s">
        <v>72</v>
      </c>
      <c r="AS4801">
        <v>1814</v>
      </c>
      <c r="AT4801" s="4">
        <v>42566</v>
      </c>
      <c r="AU4801" t="s">
        <v>73</v>
      </c>
      <c r="AV4801">
        <v>1814</v>
      </c>
      <c r="AW4801" s="4">
        <v>42566</v>
      </c>
      <c r="BD4801">
        <v>0</v>
      </c>
      <c r="BN4801" t="s">
        <v>74</v>
      </c>
    </row>
    <row r="4802" spans="1:66" hidden="1">
      <c r="A4802">
        <v>101754</v>
      </c>
      <c r="B4802" s="3" t="s">
        <v>514</v>
      </c>
      <c r="C4802" s="1">
        <v>43300101</v>
      </c>
      <c r="D4802" t="s">
        <v>67</v>
      </c>
      <c r="H4802" t="str">
        <f t="shared" si="516"/>
        <v>07328871210</v>
      </c>
      <c r="I4802" t="str">
        <f t="shared" si="516"/>
        <v>07328871210</v>
      </c>
      <c r="K4802" t="str">
        <f>""</f>
        <v/>
      </c>
      <c r="M4802" t="s">
        <v>68</v>
      </c>
      <c r="N4802" t="str">
        <f t="shared" si="517"/>
        <v>FOR</v>
      </c>
      <c r="O4802" t="s">
        <v>69</v>
      </c>
      <c r="P4802" s="3" t="s">
        <v>75</v>
      </c>
      <c r="Q4802">
        <v>2015</v>
      </c>
      <c r="R4802" s="2">
        <v>42247</v>
      </c>
      <c r="S4802" s="2">
        <v>42268</v>
      </c>
      <c r="T4802" s="2">
        <v>42265</v>
      </c>
      <c r="U4802" s="2">
        <v>42325</v>
      </c>
      <c r="V4802" t="s">
        <v>71</v>
      </c>
      <c r="W4802" t="str">
        <f>"             474/FEP"</f>
        <v xml:space="preserve">             474/FEP</v>
      </c>
      <c r="X4802">
        <v>453.11</v>
      </c>
      <c r="Y4802">
        <v>0</v>
      </c>
      <c r="Z4802"/>
      <c r="AB4802"/>
      <c r="AC4802">
        <v>371.4</v>
      </c>
      <c r="AD4802">
        <v>254</v>
      </c>
      <c r="AE4802" s="1">
        <v>94335.6</v>
      </c>
      <c r="AF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 s="2">
        <v>42746</v>
      </c>
      <c r="AQ4802" t="s">
        <v>72</v>
      </c>
      <c r="AR4802" t="s">
        <v>72</v>
      </c>
      <c r="AS4802">
        <v>2000</v>
      </c>
      <c r="AT4802" s="4">
        <v>42579</v>
      </c>
      <c r="AU4802" t="s">
        <v>73</v>
      </c>
      <c r="AV4802">
        <v>2000</v>
      </c>
      <c r="AW4802" s="4">
        <v>42579</v>
      </c>
      <c r="BD4802">
        <v>0</v>
      </c>
      <c r="BN4802" t="s">
        <v>74</v>
      </c>
    </row>
    <row r="4803" spans="1:66" hidden="1">
      <c r="A4803">
        <v>101754</v>
      </c>
      <c r="B4803" s="3" t="s">
        <v>514</v>
      </c>
      <c r="C4803" s="1">
        <v>43300101</v>
      </c>
      <c r="D4803" t="s">
        <v>67</v>
      </c>
      <c r="H4803" t="str">
        <f t="shared" si="516"/>
        <v>07328871210</v>
      </c>
      <c r="I4803" t="str">
        <f t="shared" si="516"/>
        <v>07328871210</v>
      </c>
      <c r="K4803" t="str">
        <f>""</f>
        <v/>
      </c>
      <c r="M4803" t="s">
        <v>68</v>
      </c>
      <c r="N4803" t="str">
        <f t="shared" si="517"/>
        <v>FOR</v>
      </c>
      <c r="O4803" t="s">
        <v>69</v>
      </c>
      <c r="P4803" s="3" t="s">
        <v>75</v>
      </c>
      <c r="Q4803">
        <v>2015</v>
      </c>
      <c r="R4803" s="2">
        <v>42247</v>
      </c>
      <c r="S4803" s="2">
        <v>42268</v>
      </c>
      <c r="T4803" s="2">
        <v>42265</v>
      </c>
      <c r="U4803" s="2">
        <v>42325</v>
      </c>
      <c r="V4803" t="s">
        <v>71</v>
      </c>
      <c r="W4803" t="str">
        <f>"             475/FEP"</f>
        <v xml:space="preserve">             475/FEP</v>
      </c>
      <c r="X4803">
        <v>614.88</v>
      </c>
      <c r="Y4803">
        <v>0</v>
      </c>
      <c r="Z4803"/>
      <c r="AB4803"/>
      <c r="AC4803">
        <v>504</v>
      </c>
      <c r="AD4803">
        <v>254</v>
      </c>
      <c r="AE4803" s="1">
        <v>128016</v>
      </c>
      <c r="AF4803">
        <v>0</v>
      </c>
      <c r="AJ4803">
        <v>0</v>
      </c>
      <c r="AK4803">
        <v>0</v>
      </c>
      <c r="AL4803">
        <v>0</v>
      </c>
      <c r="AM4803">
        <v>0</v>
      </c>
      <c r="AN4803">
        <v>0</v>
      </c>
      <c r="AO4803">
        <v>0</v>
      </c>
      <c r="AP4803" s="2">
        <v>42746</v>
      </c>
      <c r="AQ4803" t="s">
        <v>72</v>
      </c>
      <c r="AR4803" t="s">
        <v>72</v>
      </c>
      <c r="AS4803">
        <v>2000</v>
      </c>
      <c r="AT4803" s="4">
        <v>42579</v>
      </c>
      <c r="AU4803" t="s">
        <v>73</v>
      </c>
      <c r="AV4803">
        <v>2000</v>
      </c>
      <c r="AW4803" s="4">
        <v>42579</v>
      </c>
      <c r="BD4803">
        <v>0</v>
      </c>
      <c r="BN4803" t="s">
        <v>74</v>
      </c>
    </row>
    <row r="4804" spans="1:66" hidden="1">
      <c r="A4804">
        <v>101754</v>
      </c>
      <c r="B4804" s="3" t="s">
        <v>514</v>
      </c>
      <c r="C4804" s="1">
        <v>43300101</v>
      </c>
      <c r="D4804" t="s">
        <v>67</v>
      </c>
      <c r="H4804" t="str">
        <f t="shared" si="516"/>
        <v>07328871210</v>
      </c>
      <c r="I4804" t="str">
        <f t="shared" si="516"/>
        <v>07328871210</v>
      </c>
      <c r="K4804" t="str">
        <f>""</f>
        <v/>
      </c>
      <c r="M4804" t="s">
        <v>68</v>
      </c>
      <c r="N4804" t="str">
        <f t="shared" si="517"/>
        <v>FOR</v>
      </c>
      <c r="O4804" t="s">
        <v>69</v>
      </c>
      <c r="P4804" s="3" t="s">
        <v>75</v>
      </c>
      <c r="Q4804">
        <v>2015</v>
      </c>
      <c r="R4804" s="2">
        <v>42269</v>
      </c>
      <c r="S4804" s="2">
        <v>42291</v>
      </c>
      <c r="T4804" s="2">
        <v>42290</v>
      </c>
      <c r="U4804" s="2">
        <v>42350</v>
      </c>
      <c r="V4804" t="s">
        <v>71</v>
      </c>
      <c r="W4804" t="str">
        <f>"             538/FEP"</f>
        <v xml:space="preserve">             538/FEP</v>
      </c>
      <c r="X4804" s="1">
        <v>1390.8</v>
      </c>
      <c r="Y4804">
        <v>0</v>
      </c>
      <c r="Z4804"/>
      <c r="AB4804"/>
      <c r="AC4804" s="1">
        <v>1140</v>
      </c>
      <c r="AD4804">
        <v>271</v>
      </c>
      <c r="AE4804" s="1">
        <v>308940</v>
      </c>
      <c r="AF4804">
        <v>0</v>
      </c>
      <c r="AJ4804">
        <v>0</v>
      </c>
      <c r="AK4804">
        <v>0</v>
      </c>
      <c r="AL4804">
        <v>0</v>
      </c>
      <c r="AM4804">
        <v>0</v>
      </c>
      <c r="AN4804">
        <v>0</v>
      </c>
      <c r="AO4804">
        <v>0</v>
      </c>
      <c r="AP4804" s="2">
        <v>42746</v>
      </c>
      <c r="AQ4804" t="s">
        <v>72</v>
      </c>
      <c r="AR4804" t="s">
        <v>72</v>
      </c>
      <c r="AS4804">
        <v>2394</v>
      </c>
      <c r="AT4804" s="4">
        <v>42621</v>
      </c>
      <c r="AU4804" t="s">
        <v>73</v>
      </c>
      <c r="AV4804">
        <v>2394</v>
      </c>
      <c r="AW4804" s="4">
        <v>42621</v>
      </c>
      <c r="BD4804">
        <v>0</v>
      </c>
      <c r="BN4804" t="s">
        <v>74</v>
      </c>
    </row>
    <row r="4805" spans="1:66" hidden="1">
      <c r="A4805">
        <v>101754</v>
      </c>
      <c r="B4805" s="3" t="s">
        <v>514</v>
      </c>
      <c r="C4805" s="1">
        <v>43300101</v>
      </c>
      <c r="D4805" t="s">
        <v>67</v>
      </c>
      <c r="H4805" t="str">
        <f t="shared" si="516"/>
        <v>07328871210</v>
      </c>
      <c r="I4805" t="str">
        <f t="shared" si="516"/>
        <v>07328871210</v>
      </c>
      <c r="K4805" t="str">
        <f>""</f>
        <v/>
      </c>
      <c r="M4805" t="s">
        <v>68</v>
      </c>
      <c r="N4805" t="str">
        <f t="shared" si="517"/>
        <v>FOR</v>
      </c>
      <c r="O4805" t="s">
        <v>69</v>
      </c>
      <c r="P4805" s="3" t="s">
        <v>75</v>
      </c>
      <c r="Q4805">
        <v>2015</v>
      </c>
      <c r="R4805" s="2">
        <v>42277</v>
      </c>
      <c r="S4805" s="2">
        <v>42291</v>
      </c>
      <c r="T4805" s="2">
        <v>42290</v>
      </c>
      <c r="U4805" s="2">
        <v>42350</v>
      </c>
      <c r="V4805" t="s">
        <v>71</v>
      </c>
      <c r="W4805" t="str">
        <f>"             563/FEP"</f>
        <v xml:space="preserve">             563/FEP</v>
      </c>
      <c r="X4805">
        <v>245.95</v>
      </c>
      <c r="Y4805">
        <v>0</v>
      </c>
      <c r="Z4805"/>
      <c r="AB4805"/>
      <c r="AC4805">
        <v>201.6</v>
      </c>
      <c r="AD4805">
        <v>271</v>
      </c>
      <c r="AE4805" s="1">
        <v>54633.599999999999</v>
      </c>
      <c r="AF4805">
        <v>0</v>
      </c>
      <c r="AJ4805">
        <v>0</v>
      </c>
      <c r="AK4805">
        <v>0</v>
      </c>
      <c r="AL4805">
        <v>0</v>
      </c>
      <c r="AM4805">
        <v>0</v>
      </c>
      <c r="AN4805">
        <v>0</v>
      </c>
      <c r="AO4805">
        <v>0</v>
      </c>
      <c r="AP4805" s="2">
        <v>42746</v>
      </c>
      <c r="AQ4805" t="s">
        <v>72</v>
      </c>
      <c r="AR4805" t="s">
        <v>72</v>
      </c>
      <c r="AS4805">
        <v>2394</v>
      </c>
      <c r="AT4805" s="4">
        <v>42621</v>
      </c>
      <c r="AU4805" t="s">
        <v>73</v>
      </c>
      <c r="AV4805">
        <v>2394</v>
      </c>
      <c r="AW4805" s="4">
        <v>42621</v>
      </c>
      <c r="BD4805">
        <v>0</v>
      </c>
      <c r="BN4805" t="s">
        <v>74</v>
      </c>
    </row>
    <row r="4806" spans="1:66">
      <c r="A4806">
        <v>101754</v>
      </c>
      <c r="B4806" s="3" t="s">
        <v>514</v>
      </c>
      <c r="C4806" s="1">
        <v>43300101</v>
      </c>
      <c r="D4806" t="s">
        <v>67</v>
      </c>
      <c r="H4806" t="str">
        <f t="shared" si="516"/>
        <v>07328871210</v>
      </c>
      <c r="I4806" t="str">
        <f t="shared" si="516"/>
        <v>07328871210</v>
      </c>
      <c r="K4806" t="str">
        <f>""</f>
        <v/>
      </c>
      <c r="M4806" t="s">
        <v>68</v>
      </c>
      <c r="N4806" t="str">
        <f t="shared" si="517"/>
        <v>FOR</v>
      </c>
      <c r="O4806" t="s">
        <v>69</v>
      </c>
      <c r="P4806" s="3" t="s">
        <v>75</v>
      </c>
      <c r="Q4806">
        <v>2015</v>
      </c>
      <c r="R4806" s="2">
        <v>42292</v>
      </c>
      <c r="S4806" s="2">
        <v>42311</v>
      </c>
      <c r="T4806" s="2">
        <v>42311</v>
      </c>
      <c r="U4806" s="2">
        <v>42371</v>
      </c>
      <c r="V4806" t="s">
        <v>71</v>
      </c>
      <c r="W4806" t="str">
        <f>"             598/FEP"</f>
        <v xml:space="preserve">             598/FEP</v>
      </c>
      <c r="X4806" s="1">
        <v>1659.2</v>
      </c>
      <c r="Y4806">
        <v>0</v>
      </c>
      <c r="Z4806" s="5">
        <v>1360</v>
      </c>
      <c r="AA4806">
        <v>277</v>
      </c>
      <c r="AB4806" s="5">
        <v>376720</v>
      </c>
      <c r="AC4806" s="1">
        <v>1360</v>
      </c>
      <c r="AD4806">
        <v>277</v>
      </c>
      <c r="AE4806" s="1">
        <v>376720</v>
      </c>
      <c r="AF4806">
        <v>0</v>
      </c>
      <c r="AJ4806">
        <v>0</v>
      </c>
      <c r="AK4806">
        <v>0</v>
      </c>
      <c r="AL4806">
        <v>0</v>
      </c>
      <c r="AM4806">
        <v>0</v>
      </c>
      <c r="AN4806">
        <v>0</v>
      </c>
      <c r="AO4806">
        <v>0</v>
      </c>
      <c r="AP4806" s="2">
        <v>42746</v>
      </c>
      <c r="AQ4806" t="s">
        <v>72</v>
      </c>
      <c r="AR4806" t="s">
        <v>72</v>
      </c>
      <c r="AS4806">
        <v>2682</v>
      </c>
      <c r="AT4806" s="4">
        <v>42648</v>
      </c>
      <c r="AU4806" t="s">
        <v>73</v>
      </c>
      <c r="AV4806">
        <v>2682</v>
      </c>
      <c r="AW4806" s="4">
        <v>42648</v>
      </c>
      <c r="BD4806">
        <v>0</v>
      </c>
      <c r="BN4806" t="s">
        <v>74</v>
      </c>
    </row>
    <row r="4807" spans="1:66">
      <c r="A4807">
        <v>101754</v>
      </c>
      <c r="B4807" s="3" t="s">
        <v>514</v>
      </c>
      <c r="C4807" s="1">
        <v>43300101</v>
      </c>
      <c r="D4807" t="s">
        <v>67</v>
      </c>
      <c r="H4807" t="str">
        <f t="shared" si="516"/>
        <v>07328871210</v>
      </c>
      <c r="I4807" t="str">
        <f t="shared" si="516"/>
        <v>07328871210</v>
      </c>
      <c r="K4807" t="str">
        <f>""</f>
        <v/>
      </c>
      <c r="M4807" t="s">
        <v>68</v>
      </c>
      <c r="N4807" t="str">
        <f t="shared" si="517"/>
        <v>FOR</v>
      </c>
      <c r="O4807" t="s">
        <v>69</v>
      </c>
      <c r="P4807" s="3" t="s">
        <v>75</v>
      </c>
      <c r="Q4807">
        <v>2015</v>
      </c>
      <c r="R4807" s="2">
        <v>42292</v>
      </c>
      <c r="S4807" s="2">
        <v>42311</v>
      </c>
      <c r="T4807" s="2">
        <v>42311</v>
      </c>
      <c r="U4807" s="2">
        <v>42371</v>
      </c>
      <c r="V4807" t="s">
        <v>71</v>
      </c>
      <c r="W4807" t="str">
        <f>"             599/FEP"</f>
        <v xml:space="preserve">             599/FEP</v>
      </c>
      <c r="X4807">
        <v>819.84</v>
      </c>
      <c r="Y4807">
        <v>0</v>
      </c>
      <c r="Z4807" s="3">
        <v>672</v>
      </c>
      <c r="AA4807">
        <v>277</v>
      </c>
      <c r="AB4807" s="5">
        <v>186144</v>
      </c>
      <c r="AC4807">
        <v>672</v>
      </c>
      <c r="AD4807">
        <v>277</v>
      </c>
      <c r="AE4807" s="1">
        <v>186144</v>
      </c>
      <c r="AF4807">
        <v>0</v>
      </c>
      <c r="AJ4807">
        <v>0</v>
      </c>
      <c r="AK4807">
        <v>0</v>
      </c>
      <c r="AL4807">
        <v>0</v>
      </c>
      <c r="AM4807">
        <v>0</v>
      </c>
      <c r="AN4807">
        <v>0</v>
      </c>
      <c r="AO4807">
        <v>0</v>
      </c>
      <c r="AP4807" s="2">
        <v>42746</v>
      </c>
      <c r="AQ4807" t="s">
        <v>72</v>
      </c>
      <c r="AR4807" t="s">
        <v>72</v>
      </c>
      <c r="AS4807">
        <v>2682</v>
      </c>
      <c r="AT4807" s="4">
        <v>42648</v>
      </c>
      <c r="AU4807" t="s">
        <v>73</v>
      </c>
      <c r="AV4807">
        <v>2682</v>
      </c>
      <c r="AW4807" s="4">
        <v>42648</v>
      </c>
      <c r="BD4807">
        <v>0</v>
      </c>
      <c r="BN4807" t="s">
        <v>74</v>
      </c>
    </row>
    <row r="4808" spans="1:66">
      <c r="A4808">
        <v>101754</v>
      </c>
      <c r="B4808" s="3" t="s">
        <v>514</v>
      </c>
      <c r="C4808" s="1">
        <v>43300101</v>
      </c>
      <c r="D4808" t="s">
        <v>67</v>
      </c>
      <c r="H4808" t="str">
        <f t="shared" si="516"/>
        <v>07328871210</v>
      </c>
      <c r="I4808" t="str">
        <f t="shared" si="516"/>
        <v>07328871210</v>
      </c>
      <c r="K4808" t="str">
        <f>""</f>
        <v/>
      </c>
      <c r="M4808" t="s">
        <v>68</v>
      </c>
      <c r="N4808" t="str">
        <f t="shared" si="517"/>
        <v>FOR</v>
      </c>
      <c r="O4808" t="s">
        <v>69</v>
      </c>
      <c r="P4808" s="3" t="s">
        <v>75</v>
      </c>
      <c r="Q4808">
        <v>2015</v>
      </c>
      <c r="R4808" s="2">
        <v>42307</v>
      </c>
      <c r="S4808" s="2">
        <v>42311</v>
      </c>
      <c r="T4808" s="2">
        <v>42311</v>
      </c>
      <c r="U4808" s="2">
        <v>42371</v>
      </c>
      <c r="V4808" t="s">
        <v>71</v>
      </c>
      <c r="W4808" t="str">
        <f>"             640/FEP"</f>
        <v xml:space="preserve">             640/FEP</v>
      </c>
      <c r="X4808">
        <v>302.07</v>
      </c>
      <c r="Y4808">
        <v>0</v>
      </c>
      <c r="Z4808" s="3">
        <v>247.6</v>
      </c>
      <c r="AA4808">
        <v>277</v>
      </c>
      <c r="AB4808" s="5">
        <v>68585.2</v>
      </c>
      <c r="AC4808">
        <v>247.6</v>
      </c>
      <c r="AD4808">
        <v>277</v>
      </c>
      <c r="AE4808" s="1">
        <v>68585.2</v>
      </c>
      <c r="AF4808">
        <v>0</v>
      </c>
      <c r="AJ4808">
        <v>0</v>
      </c>
      <c r="AK4808">
        <v>0</v>
      </c>
      <c r="AL4808">
        <v>0</v>
      </c>
      <c r="AM4808">
        <v>0</v>
      </c>
      <c r="AN4808">
        <v>0</v>
      </c>
      <c r="AO4808">
        <v>0</v>
      </c>
      <c r="AP4808" s="2">
        <v>42746</v>
      </c>
      <c r="AQ4808" t="s">
        <v>72</v>
      </c>
      <c r="AR4808" t="s">
        <v>72</v>
      </c>
      <c r="AS4808">
        <v>2682</v>
      </c>
      <c r="AT4808" s="4">
        <v>42648</v>
      </c>
      <c r="AU4808" t="s">
        <v>73</v>
      </c>
      <c r="AV4808">
        <v>2682</v>
      </c>
      <c r="AW4808" s="4">
        <v>42648</v>
      </c>
      <c r="BD4808">
        <v>0</v>
      </c>
      <c r="BN4808" t="s">
        <v>74</v>
      </c>
    </row>
    <row r="4809" spans="1:66">
      <c r="A4809">
        <v>101754</v>
      </c>
      <c r="B4809" s="3" t="s">
        <v>514</v>
      </c>
      <c r="C4809" s="1">
        <v>43300101</v>
      </c>
      <c r="D4809" t="s">
        <v>67</v>
      </c>
      <c r="H4809" t="str">
        <f t="shared" si="516"/>
        <v>07328871210</v>
      </c>
      <c r="I4809" t="str">
        <f t="shared" si="516"/>
        <v>07328871210</v>
      </c>
      <c r="K4809" t="str">
        <f>""</f>
        <v/>
      </c>
      <c r="M4809" t="s">
        <v>68</v>
      </c>
      <c r="N4809" t="str">
        <f t="shared" si="517"/>
        <v>FOR</v>
      </c>
      <c r="O4809" t="s">
        <v>69</v>
      </c>
      <c r="P4809" s="3" t="s">
        <v>75</v>
      </c>
      <c r="Q4809">
        <v>2015</v>
      </c>
      <c r="R4809" s="2">
        <v>42324</v>
      </c>
      <c r="S4809" s="2">
        <v>42340</v>
      </c>
      <c r="T4809" s="2">
        <v>42339</v>
      </c>
      <c r="U4809" s="2">
        <v>42399</v>
      </c>
      <c r="V4809" t="s">
        <v>71</v>
      </c>
      <c r="W4809" t="str">
        <f>"             689/FEP"</f>
        <v xml:space="preserve">             689/FEP</v>
      </c>
      <c r="X4809" s="1">
        <v>1526.22</v>
      </c>
      <c r="Y4809">
        <v>0</v>
      </c>
      <c r="Z4809" s="5">
        <v>1251</v>
      </c>
      <c r="AA4809">
        <v>279</v>
      </c>
      <c r="AB4809" s="5">
        <v>349029</v>
      </c>
      <c r="AC4809" s="1">
        <v>1251</v>
      </c>
      <c r="AD4809">
        <v>279</v>
      </c>
      <c r="AE4809" s="1">
        <v>349029</v>
      </c>
      <c r="AF4809">
        <v>0</v>
      </c>
      <c r="AJ4809">
        <v>0</v>
      </c>
      <c r="AK4809">
        <v>0</v>
      </c>
      <c r="AL4809">
        <v>0</v>
      </c>
      <c r="AM4809">
        <v>0</v>
      </c>
      <c r="AN4809">
        <v>0</v>
      </c>
      <c r="AO4809">
        <v>0</v>
      </c>
      <c r="AP4809" s="2">
        <v>42746</v>
      </c>
      <c r="AQ4809" t="s">
        <v>72</v>
      </c>
      <c r="AR4809" t="s">
        <v>72</v>
      </c>
      <c r="AS4809">
        <v>2917</v>
      </c>
      <c r="AT4809" s="4">
        <v>42678</v>
      </c>
      <c r="AU4809" t="s">
        <v>73</v>
      </c>
      <c r="AV4809">
        <v>2917</v>
      </c>
      <c r="AW4809" s="4">
        <v>42678</v>
      </c>
      <c r="BD4809">
        <v>0</v>
      </c>
      <c r="BN4809" t="s">
        <v>74</v>
      </c>
    </row>
    <row r="4810" spans="1:66">
      <c r="A4810">
        <v>101754</v>
      </c>
      <c r="B4810" s="3" t="s">
        <v>514</v>
      </c>
      <c r="C4810" s="1">
        <v>43300101</v>
      </c>
      <c r="D4810" t="s">
        <v>67</v>
      </c>
      <c r="H4810" t="str">
        <f t="shared" si="516"/>
        <v>07328871210</v>
      </c>
      <c r="I4810" t="str">
        <f t="shared" si="516"/>
        <v>07328871210</v>
      </c>
      <c r="K4810" t="str">
        <f>""</f>
        <v/>
      </c>
      <c r="M4810" t="s">
        <v>68</v>
      </c>
      <c r="N4810" t="str">
        <f t="shared" si="517"/>
        <v>FOR</v>
      </c>
      <c r="O4810" t="s">
        <v>69</v>
      </c>
      <c r="P4810" s="3" t="s">
        <v>75</v>
      </c>
      <c r="Q4810">
        <v>2015</v>
      </c>
      <c r="R4810" s="2">
        <v>42324</v>
      </c>
      <c r="S4810" s="2">
        <v>42340</v>
      </c>
      <c r="T4810" s="2">
        <v>42339</v>
      </c>
      <c r="U4810" s="2">
        <v>42399</v>
      </c>
      <c r="V4810" t="s">
        <v>71</v>
      </c>
      <c r="W4810" t="str">
        <f>"             690/FEP"</f>
        <v xml:space="preserve">             690/FEP</v>
      </c>
      <c r="X4810">
        <v>151.04</v>
      </c>
      <c r="Y4810">
        <v>0</v>
      </c>
      <c r="Z4810" s="3">
        <v>123.8</v>
      </c>
      <c r="AA4810">
        <v>279</v>
      </c>
      <c r="AB4810" s="5">
        <v>34540.199999999997</v>
      </c>
      <c r="AC4810">
        <v>123.8</v>
      </c>
      <c r="AD4810">
        <v>279</v>
      </c>
      <c r="AE4810" s="1">
        <v>34540.199999999997</v>
      </c>
      <c r="AF4810">
        <v>0</v>
      </c>
      <c r="AJ4810">
        <v>0</v>
      </c>
      <c r="AK4810">
        <v>0</v>
      </c>
      <c r="AL4810">
        <v>0</v>
      </c>
      <c r="AM4810">
        <v>0</v>
      </c>
      <c r="AN4810">
        <v>0</v>
      </c>
      <c r="AO4810">
        <v>0</v>
      </c>
      <c r="AP4810" s="2">
        <v>42746</v>
      </c>
      <c r="AQ4810" t="s">
        <v>72</v>
      </c>
      <c r="AR4810" t="s">
        <v>72</v>
      </c>
      <c r="AS4810">
        <v>2917</v>
      </c>
      <c r="AT4810" s="4">
        <v>42678</v>
      </c>
      <c r="AU4810" t="s">
        <v>73</v>
      </c>
      <c r="AV4810">
        <v>2917</v>
      </c>
      <c r="AW4810" s="4">
        <v>42678</v>
      </c>
      <c r="BD4810">
        <v>0</v>
      </c>
      <c r="BN4810" t="s">
        <v>74</v>
      </c>
    </row>
    <row r="4811" spans="1:66">
      <c r="A4811">
        <v>101754</v>
      </c>
      <c r="B4811" s="3" t="s">
        <v>514</v>
      </c>
      <c r="C4811" s="1">
        <v>43300101</v>
      </c>
      <c r="D4811" t="s">
        <v>67</v>
      </c>
      <c r="H4811" t="str">
        <f t="shared" si="516"/>
        <v>07328871210</v>
      </c>
      <c r="I4811" t="str">
        <f t="shared" si="516"/>
        <v>07328871210</v>
      </c>
      <c r="K4811" t="str">
        <f>""</f>
        <v/>
      </c>
      <c r="M4811" t="s">
        <v>68</v>
      </c>
      <c r="N4811" t="str">
        <f t="shared" si="517"/>
        <v>FOR</v>
      </c>
      <c r="O4811" t="s">
        <v>69</v>
      </c>
      <c r="P4811" s="3" t="s">
        <v>75</v>
      </c>
      <c r="Q4811">
        <v>2015</v>
      </c>
      <c r="R4811" s="2">
        <v>42324</v>
      </c>
      <c r="S4811" s="2">
        <v>42340</v>
      </c>
      <c r="T4811" s="2">
        <v>42339</v>
      </c>
      <c r="U4811" s="2">
        <v>42399</v>
      </c>
      <c r="V4811" t="s">
        <v>71</v>
      </c>
      <c r="W4811" t="str">
        <f>"             691/FEP"</f>
        <v xml:space="preserve">             691/FEP</v>
      </c>
      <c r="X4811">
        <v>725.9</v>
      </c>
      <c r="Y4811">
        <v>0</v>
      </c>
      <c r="Z4811" s="3">
        <v>595</v>
      </c>
      <c r="AA4811">
        <v>279</v>
      </c>
      <c r="AB4811" s="5">
        <v>166005</v>
      </c>
      <c r="AC4811">
        <v>595</v>
      </c>
      <c r="AD4811">
        <v>279</v>
      </c>
      <c r="AE4811" s="1">
        <v>166005</v>
      </c>
      <c r="AF4811">
        <v>0</v>
      </c>
      <c r="AJ4811">
        <v>0</v>
      </c>
      <c r="AK4811">
        <v>0</v>
      </c>
      <c r="AL4811">
        <v>0</v>
      </c>
      <c r="AM4811">
        <v>0</v>
      </c>
      <c r="AN4811">
        <v>0</v>
      </c>
      <c r="AO4811">
        <v>0</v>
      </c>
      <c r="AP4811" s="2">
        <v>42746</v>
      </c>
      <c r="AQ4811" t="s">
        <v>72</v>
      </c>
      <c r="AR4811" t="s">
        <v>72</v>
      </c>
      <c r="AS4811">
        <v>2917</v>
      </c>
      <c r="AT4811" s="4">
        <v>42678</v>
      </c>
      <c r="AU4811" t="s">
        <v>73</v>
      </c>
      <c r="AV4811">
        <v>2917</v>
      </c>
      <c r="AW4811" s="4">
        <v>42678</v>
      </c>
      <c r="BD4811">
        <v>0</v>
      </c>
      <c r="BN4811" t="s">
        <v>74</v>
      </c>
    </row>
    <row r="4812" spans="1:66">
      <c r="A4812">
        <v>101754</v>
      </c>
      <c r="B4812" s="3" t="s">
        <v>514</v>
      </c>
      <c r="C4812" s="1">
        <v>43300101</v>
      </c>
      <c r="D4812" t="s">
        <v>67</v>
      </c>
      <c r="H4812" t="str">
        <f t="shared" si="516"/>
        <v>07328871210</v>
      </c>
      <c r="I4812" t="str">
        <f t="shared" si="516"/>
        <v>07328871210</v>
      </c>
      <c r="K4812" t="str">
        <f>""</f>
        <v/>
      </c>
      <c r="M4812" t="s">
        <v>68</v>
      </c>
      <c r="N4812" t="str">
        <f t="shared" si="517"/>
        <v>FOR</v>
      </c>
      <c r="O4812" t="s">
        <v>69</v>
      </c>
      <c r="P4812" s="3" t="s">
        <v>75</v>
      </c>
      <c r="Q4812">
        <v>2015</v>
      </c>
      <c r="R4812" s="2">
        <v>42324</v>
      </c>
      <c r="S4812" s="2">
        <v>42340</v>
      </c>
      <c r="T4812" s="2">
        <v>42339</v>
      </c>
      <c r="U4812" s="2">
        <v>42399</v>
      </c>
      <c r="V4812" t="s">
        <v>71</v>
      </c>
      <c r="W4812" t="str">
        <f>"             692/FEP"</f>
        <v xml:space="preserve">             692/FEP</v>
      </c>
      <c r="X4812">
        <v>409.92</v>
      </c>
      <c r="Y4812">
        <v>0</v>
      </c>
      <c r="Z4812" s="3">
        <v>336</v>
      </c>
      <c r="AA4812">
        <v>279</v>
      </c>
      <c r="AB4812" s="5">
        <v>93744</v>
      </c>
      <c r="AC4812">
        <v>336</v>
      </c>
      <c r="AD4812">
        <v>279</v>
      </c>
      <c r="AE4812" s="1">
        <v>93744</v>
      </c>
      <c r="AF4812">
        <v>0</v>
      </c>
      <c r="AJ4812">
        <v>0</v>
      </c>
      <c r="AK4812">
        <v>0</v>
      </c>
      <c r="AL4812">
        <v>0</v>
      </c>
      <c r="AM4812">
        <v>0</v>
      </c>
      <c r="AN4812">
        <v>0</v>
      </c>
      <c r="AO4812">
        <v>0</v>
      </c>
      <c r="AP4812" s="2">
        <v>42746</v>
      </c>
      <c r="AQ4812" t="s">
        <v>72</v>
      </c>
      <c r="AR4812" t="s">
        <v>72</v>
      </c>
      <c r="AS4812">
        <v>2917</v>
      </c>
      <c r="AT4812" s="4">
        <v>42678</v>
      </c>
      <c r="AU4812" t="s">
        <v>73</v>
      </c>
      <c r="AV4812">
        <v>2917</v>
      </c>
      <c r="AW4812" s="4">
        <v>42678</v>
      </c>
      <c r="BD4812">
        <v>0</v>
      </c>
      <c r="BN4812" t="s">
        <v>74</v>
      </c>
    </row>
    <row r="4813" spans="1:66">
      <c r="A4813">
        <v>101754</v>
      </c>
      <c r="B4813" s="3" t="s">
        <v>514</v>
      </c>
      <c r="C4813" s="1">
        <v>43300101</v>
      </c>
      <c r="D4813" t="s">
        <v>67</v>
      </c>
      <c r="H4813" t="str">
        <f t="shared" si="516"/>
        <v>07328871210</v>
      </c>
      <c r="I4813" t="str">
        <f t="shared" si="516"/>
        <v>07328871210</v>
      </c>
      <c r="K4813" t="str">
        <f>""</f>
        <v/>
      </c>
      <c r="M4813" t="s">
        <v>68</v>
      </c>
      <c r="N4813" t="str">
        <f t="shared" si="517"/>
        <v>FOR</v>
      </c>
      <c r="O4813" t="s">
        <v>69</v>
      </c>
      <c r="P4813" s="3" t="s">
        <v>75</v>
      </c>
      <c r="Q4813">
        <v>2015</v>
      </c>
      <c r="R4813" s="2">
        <v>42334</v>
      </c>
      <c r="S4813" s="2">
        <v>42340</v>
      </c>
      <c r="T4813" s="2">
        <v>42339</v>
      </c>
      <c r="U4813" s="2">
        <v>42399</v>
      </c>
      <c r="V4813" t="s">
        <v>71</v>
      </c>
      <c r="W4813" t="str">
        <f>"             735/FEP"</f>
        <v xml:space="preserve">             735/FEP</v>
      </c>
      <c r="X4813">
        <v>166.53</v>
      </c>
      <c r="Y4813">
        <v>0</v>
      </c>
      <c r="Z4813" s="3">
        <v>136.5</v>
      </c>
      <c r="AA4813">
        <v>279</v>
      </c>
      <c r="AB4813" s="5">
        <v>38083.5</v>
      </c>
      <c r="AC4813">
        <v>136.5</v>
      </c>
      <c r="AD4813">
        <v>279</v>
      </c>
      <c r="AE4813" s="1">
        <v>38083.5</v>
      </c>
      <c r="AF4813">
        <v>0</v>
      </c>
      <c r="AJ4813">
        <v>0</v>
      </c>
      <c r="AK4813">
        <v>0</v>
      </c>
      <c r="AL4813">
        <v>0</v>
      </c>
      <c r="AM4813">
        <v>0</v>
      </c>
      <c r="AN4813">
        <v>0</v>
      </c>
      <c r="AO4813">
        <v>0</v>
      </c>
      <c r="AP4813" s="2">
        <v>42746</v>
      </c>
      <c r="AQ4813" t="s">
        <v>72</v>
      </c>
      <c r="AR4813" t="s">
        <v>72</v>
      </c>
      <c r="AS4813">
        <v>2917</v>
      </c>
      <c r="AT4813" s="4">
        <v>42678</v>
      </c>
      <c r="AU4813" t="s">
        <v>73</v>
      </c>
      <c r="AV4813">
        <v>2917</v>
      </c>
      <c r="AW4813" s="4">
        <v>42678</v>
      </c>
      <c r="BD4813">
        <v>0</v>
      </c>
      <c r="BN4813" t="s">
        <v>74</v>
      </c>
    </row>
    <row r="4814" spans="1:66">
      <c r="A4814">
        <v>101754</v>
      </c>
      <c r="B4814" s="3" t="s">
        <v>514</v>
      </c>
      <c r="C4814" s="1">
        <v>43300101</v>
      </c>
      <c r="D4814" t="s">
        <v>67</v>
      </c>
      <c r="H4814" t="str">
        <f t="shared" ref="H4814:I4828" si="518">"07328871210"</f>
        <v>07328871210</v>
      </c>
      <c r="I4814" t="str">
        <f t="shared" si="518"/>
        <v>07328871210</v>
      </c>
      <c r="K4814" t="str">
        <f>""</f>
        <v/>
      </c>
      <c r="M4814" t="s">
        <v>68</v>
      </c>
      <c r="N4814" t="str">
        <f t="shared" si="517"/>
        <v>FOR</v>
      </c>
      <c r="O4814" t="s">
        <v>69</v>
      </c>
      <c r="P4814" s="3" t="s">
        <v>75</v>
      </c>
      <c r="Q4814">
        <v>2015</v>
      </c>
      <c r="R4814" s="2">
        <v>42334</v>
      </c>
      <c r="S4814" s="2">
        <v>42340</v>
      </c>
      <c r="T4814" s="2">
        <v>42339</v>
      </c>
      <c r="U4814" s="2">
        <v>42399</v>
      </c>
      <c r="V4814" t="s">
        <v>71</v>
      </c>
      <c r="W4814" t="str">
        <f>"             737/FEP"</f>
        <v xml:space="preserve">             737/FEP</v>
      </c>
      <c r="X4814">
        <v>829.6</v>
      </c>
      <c r="Y4814">
        <v>0</v>
      </c>
      <c r="Z4814" s="3">
        <v>680</v>
      </c>
      <c r="AA4814">
        <v>279</v>
      </c>
      <c r="AB4814" s="5">
        <v>189720</v>
      </c>
      <c r="AC4814">
        <v>680</v>
      </c>
      <c r="AD4814">
        <v>279</v>
      </c>
      <c r="AE4814" s="1">
        <v>189720</v>
      </c>
      <c r="AF4814">
        <v>0</v>
      </c>
      <c r="AJ4814">
        <v>0</v>
      </c>
      <c r="AK4814">
        <v>0</v>
      </c>
      <c r="AL4814">
        <v>0</v>
      </c>
      <c r="AM4814">
        <v>0</v>
      </c>
      <c r="AN4814">
        <v>0</v>
      </c>
      <c r="AO4814">
        <v>0</v>
      </c>
      <c r="AP4814" s="2">
        <v>42746</v>
      </c>
      <c r="AQ4814" t="s">
        <v>72</v>
      </c>
      <c r="AR4814" t="s">
        <v>72</v>
      </c>
      <c r="AS4814">
        <v>2917</v>
      </c>
      <c r="AT4814" s="4">
        <v>42678</v>
      </c>
      <c r="AU4814" t="s">
        <v>73</v>
      </c>
      <c r="AV4814">
        <v>2917</v>
      </c>
      <c r="AW4814" s="4">
        <v>42678</v>
      </c>
      <c r="BD4814">
        <v>0</v>
      </c>
      <c r="BN4814" t="s">
        <v>74</v>
      </c>
    </row>
    <row r="4815" spans="1:66">
      <c r="A4815">
        <v>101754</v>
      </c>
      <c r="B4815" s="3" t="s">
        <v>514</v>
      </c>
      <c r="C4815" s="1">
        <v>43300101</v>
      </c>
      <c r="D4815" t="s">
        <v>67</v>
      </c>
      <c r="H4815" t="str">
        <f t="shared" si="518"/>
        <v>07328871210</v>
      </c>
      <c r="I4815" t="str">
        <f t="shared" si="518"/>
        <v>07328871210</v>
      </c>
      <c r="K4815" t="str">
        <f>""</f>
        <v/>
      </c>
      <c r="M4815" t="s">
        <v>68</v>
      </c>
      <c r="N4815" t="str">
        <f t="shared" si="517"/>
        <v>FOR</v>
      </c>
      <c r="O4815" t="s">
        <v>69</v>
      </c>
      <c r="P4815" s="3" t="s">
        <v>75</v>
      </c>
      <c r="Q4815">
        <v>2015</v>
      </c>
      <c r="R4815" s="2">
        <v>42338</v>
      </c>
      <c r="S4815" s="2">
        <v>42340</v>
      </c>
      <c r="T4815" s="2">
        <v>42339</v>
      </c>
      <c r="U4815" s="2">
        <v>42399</v>
      </c>
      <c r="V4815" t="s">
        <v>71</v>
      </c>
      <c r="W4815" t="str">
        <f>"             776/FEP"</f>
        <v xml:space="preserve">             776/FEP</v>
      </c>
      <c r="X4815">
        <v>245.95</v>
      </c>
      <c r="Y4815">
        <v>0</v>
      </c>
      <c r="Z4815" s="3">
        <v>201.6</v>
      </c>
      <c r="AA4815">
        <v>279</v>
      </c>
      <c r="AB4815" s="5">
        <v>56246.400000000001</v>
      </c>
      <c r="AC4815">
        <v>201.6</v>
      </c>
      <c r="AD4815">
        <v>279</v>
      </c>
      <c r="AE4815" s="1">
        <v>56246.400000000001</v>
      </c>
      <c r="AF4815">
        <v>0</v>
      </c>
      <c r="AJ4815">
        <v>0</v>
      </c>
      <c r="AK4815">
        <v>0</v>
      </c>
      <c r="AL4815">
        <v>0</v>
      </c>
      <c r="AM4815">
        <v>0</v>
      </c>
      <c r="AN4815">
        <v>0</v>
      </c>
      <c r="AO4815">
        <v>0</v>
      </c>
      <c r="AP4815" s="2">
        <v>42746</v>
      </c>
      <c r="AQ4815" t="s">
        <v>72</v>
      </c>
      <c r="AR4815" t="s">
        <v>72</v>
      </c>
      <c r="AS4815">
        <v>2917</v>
      </c>
      <c r="AT4815" s="4">
        <v>42678</v>
      </c>
      <c r="AU4815" t="s">
        <v>73</v>
      </c>
      <c r="AV4815">
        <v>2917</v>
      </c>
      <c r="AW4815" s="4">
        <v>42678</v>
      </c>
      <c r="BD4815">
        <v>0</v>
      </c>
      <c r="BN4815" t="s">
        <v>74</v>
      </c>
    </row>
    <row r="4816" spans="1:66">
      <c r="A4816">
        <v>101754</v>
      </c>
      <c r="B4816" s="3" t="s">
        <v>514</v>
      </c>
      <c r="C4816" s="1">
        <v>43300101</v>
      </c>
      <c r="D4816" t="s">
        <v>67</v>
      </c>
      <c r="H4816" t="str">
        <f t="shared" si="518"/>
        <v>07328871210</v>
      </c>
      <c r="I4816" t="str">
        <f t="shared" si="518"/>
        <v>07328871210</v>
      </c>
      <c r="K4816" t="str">
        <f>""</f>
        <v/>
      </c>
      <c r="M4816" t="s">
        <v>68</v>
      </c>
      <c r="N4816" t="str">
        <f t="shared" si="517"/>
        <v>FOR</v>
      </c>
      <c r="O4816" t="s">
        <v>69</v>
      </c>
      <c r="P4816" s="3" t="s">
        <v>75</v>
      </c>
      <c r="Q4816">
        <v>2015</v>
      </c>
      <c r="R4816" s="2">
        <v>42352</v>
      </c>
      <c r="S4816" s="2">
        <v>42359</v>
      </c>
      <c r="T4816" s="2">
        <v>42355</v>
      </c>
      <c r="U4816" s="2">
        <v>42415</v>
      </c>
      <c r="V4816" t="s">
        <v>71</v>
      </c>
      <c r="W4816" t="str">
        <f>"             792/FEP"</f>
        <v xml:space="preserve">             792/FEP</v>
      </c>
      <c r="X4816" s="1">
        <v>2116.6999999999998</v>
      </c>
      <c r="Y4816">
        <v>0</v>
      </c>
      <c r="Z4816" s="5">
        <v>1735</v>
      </c>
      <c r="AA4816">
        <v>263</v>
      </c>
      <c r="AB4816" s="5">
        <v>456305</v>
      </c>
      <c r="AC4816" s="1">
        <v>1735</v>
      </c>
      <c r="AD4816">
        <v>263</v>
      </c>
      <c r="AE4816" s="1">
        <v>456305</v>
      </c>
      <c r="AF4816">
        <v>0</v>
      </c>
      <c r="AJ4816">
        <v>0</v>
      </c>
      <c r="AK4816">
        <v>0</v>
      </c>
      <c r="AL4816">
        <v>0</v>
      </c>
      <c r="AM4816">
        <v>0</v>
      </c>
      <c r="AN4816">
        <v>0</v>
      </c>
      <c r="AO4816">
        <v>0</v>
      </c>
      <c r="AP4816" s="2">
        <v>42746</v>
      </c>
      <c r="AQ4816" t="s">
        <v>72</v>
      </c>
      <c r="AR4816" t="s">
        <v>72</v>
      </c>
      <c r="AS4816">
        <v>2917</v>
      </c>
      <c r="AT4816" s="4">
        <v>42678</v>
      </c>
      <c r="AU4816" t="s">
        <v>73</v>
      </c>
      <c r="AV4816">
        <v>2917</v>
      </c>
      <c r="AW4816" s="4">
        <v>42678</v>
      </c>
      <c r="BD4816">
        <v>0</v>
      </c>
      <c r="BN4816" t="s">
        <v>74</v>
      </c>
    </row>
    <row r="4817" spans="1:66">
      <c r="A4817">
        <v>101754</v>
      </c>
      <c r="B4817" s="3" t="s">
        <v>514</v>
      </c>
      <c r="C4817" s="1">
        <v>43300101</v>
      </c>
      <c r="D4817" t="s">
        <v>67</v>
      </c>
      <c r="H4817" t="str">
        <f t="shared" si="518"/>
        <v>07328871210</v>
      </c>
      <c r="I4817" t="str">
        <f t="shared" si="518"/>
        <v>07328871210</v>
      </c>
      <c r="K4817" t="str">
        <f>""</f>
        <v/>
      </c>
      <c r="M4817" t="s">
        <v>68</v>
      </c>
      <c r="N4817" t="str">
        <f t="shared" si="517"/>
        <v>FOR</v>
      </c>
      <c r="O4817" t="s">
        <v>69</v>
      </c>
      <c r="P4817" s="3" t="s">
        <v>75</v>
      </c>
      <c r="Q4817">
        <v>2015</v>
      </c>
      <c r="R4817" s="2">
        <v>42352</v>
      </c>
      <c r="S4817" s="2">
        <v>42359</v>
      </c>
      <c r="T4817" s="2">
        <v>42355</v>
      </c>
      <c r="U4817" s="2">
        <v>42415</v>
      </c>
      <c r="V4817" t="s">
        <v>71</v>
      </c>
      <c r="W4817" t="str">
        <f>"             793/FEP"</f>
        <v xml:space="preserve">             793/FEP</v>
      </c>
      <c r="X4817" s="1">
        <v>1017.48</v>
      </c>
      <c r="Y4817">
        <v>0</v>
      </c>
      <c r="Z4817" s="3">
        <v>834</v>
      </c>
      <c r="AA4817">
        <v>263</v>
      </c>
      <c r="AB4817" s="5">
        <v>219342</v>
      </c>
      <c r="AC4817">
        <v>834</v>
      </c>
      <c r="AD4817">
        <v>263</v>
      </c>
      <c r="AE4817" s="1">
        <v>219342</v>
      </c>
      <c r="AF4817">
        <v>0</v>
      </c>
      <c r="AJ4817">
        <v>0</v>
      </c>
      <c r="AK4817">
        <v>0</v>
      </c>
      <c r="AL4817">
        <v>0</v>
      </c>
      <c r="AM4817">
        <v>0</v>
      </c>
      <c r="AN4817">
        <v>0</v>
      </c>
      <c r="AO4817">
        <v>0</v>
      </c>
      <c r="AP4817" s="2">
        <v>42746</v>
      </c>
      <c r="AQ4817" t="s">
        <v>72</v>
      </c>
      <c r="AR4817" t="s">
        <v>72</v>
      </c>
      <c r="AS4817">
        <v>2917</v>
      </c>
      <c r="AT4817" s="4">
        <v>42678</v>
      </c>
      <c r="AU4817" t="s">
        <v>73</v>
      </c>
      <c r="AV4817">
        <v>2917</v>
      </c>
      <c r="AW4817" s="4">
        <v>42678</v>
      </c>
      <c r="BD4817">
        <v>0</v>
      </c>
      <c r="BN4817" t="s">
        <v>74</v>
      </c>
    </row>
    <row r="4818" spans="1:66">
      <c r="A4818">
        <v>101754</v>
      </c>
      <c r="B4818" s="3" t="s">
        <v>514</v>
      </c>
      <c r="C4818" s="1">
        <v>43300101</v>
      </c>
      <c r="D4818" t="s">
        <v>67</v>
      </c>
      <c r="H4818" t="str">
        <f t="shared" si="518"/>
        <v>07328871210</v>
      </c>
      <c r="I4818" t="str">
        <f t="shared" si="518"/>
        <v>07328871210</v>
      </c>
      <c r="K4818" t="str">
        <f>""</f>
        <v/>
      </c>
      <c r="M4818" t="s">
        <v>68</v>
      </c>
      <c r="N4818" t="str">
        <f t="shared" si="517"/>
        <v>FOR</v>
      </c>
      <c r="O4818" t="s">
        <v>69</v>
      </c>
      <c r="P4818" s="3" t="s">
        <v>75</v>
      </c>
      <c r="Q4818">
        <v>2016</v>
      </c>
      <c r="R4818" s="2">
        <v>42396</v>
      </c>
      <c r="S4818" s="2">
        <v>42401</v>
      </c>
      <c r="T4818" s="2">
        <v>42398</v>
      </c>
      <c r="U4818" s="2">
        <v>42458</v>
      </c>
      <c r="V4818" t="s">
        <v>71</v>
      </c>
      <c r="W4818" t="str">
        <f>"               2/FEP"</f>
        <v xml:space="preserve">               2/FEP</v>
      </c>
      <c r="X4818">
        <v>997.47</v>
      </c>
      <c r="Y4818">
        <v>0</v>
      </c>
      <c r="Z4818" s="3">
        <v>817.6</v>
      </c>
      <c r="AA4818">
        <v>220</v>
      </c>
      <c r="AB4818" s="5">
        <v>179872</v>
      </c>
      <c r="AC4818">
        <v>817.6</v>
      </c>
      <c r="AD4818">
        <v>220</v>
      </c>
      <c r="AE4818" s="1">
        <v>179872</v>
      </c>
      <c r="AF4818">
        <v>0</v>
      </c>
      <c r="AJ4818">
        <v>0</v>
      </c>
      <c r="AK4818">
        <v>0</v>
      </c>
      <c r="AL4818">
        <v>0</v>
      </c>
      <c r="AM4818">
        <v>997.47</v>
      </c>
      <c r="AN4818">
        <v>997.47</v>
      </c>
      <c r="AO4818">
        <v>997.47</v>
      </c>
      <c r="AP4818" s="2">
        <v>42746</v>
      </c>
      <c r="AQ4818" t="s">
        <v>72</v>
      </c>
      <c r="AR4818" t="s">
        <v>72</v>
      </c>
      <c r="AS4818">
        <v>2917</v>
      </c>
      <c r="AT4818" s="4">
        <v>42678</v>
      </c>
      <c r="AU4818" t="s">
        <v>73</v>
      </c>
      <c r="AV4818">
        <v>2917</v>
      </c>
      <c r="AW4818" s="4">
        <v>42678</v>
      </c>
      <c r="BD4818">
        <v>0</v>
      </c>
      <c r="BN4818" t="s">
        <v>74</v>
      </c>
    </row>
    <row r="4819" spans="1:66">
      <c r="A4819">
        <v>101754</v>
      </c>
      <c r="B4819" s="3" t="s">
        <v>514</v>
      </c>
      <c r="C4819" s="1">
        <v>43300101</v>
      </c>
      <c r="D4819" t="s">
        <v>67</v>
      </c>
      <c r="H4819" t="str">
        <f t="shared" si="518"/>
        <v>07328871210</v>
      </c>
      <c r="I4819" t="str">
        <f t="shared" si="518"/>
        <v>07328871210</v>
      </c>
      <c r="K4819" t="str">
        <f>""</f>
        <v/>
      </c>
      <c r="M4819" t="s">
        <v>68</v>
      </c>
      <c r="N4819" t="str">
        <f t="shared" si="517"/>
        <v>FOR</v>
      </c>
      <c r="O4819" t="s">
        <v>69</v>
      </c>
      <c r="P4819" s="3" t="s">
        <v>75</v>
      </c>
      <c r="Q4819">
        <v>2016</v>
      </c>
      <c r="R4819" s="2">
        <v>42396</v>
      </c>
      <c r="S4819" s="2">
        <v>42401</v>
      </c>
      <c r="T4819" s="2">
        <v>42398</v>
      </c>
      <c r="U4819" s="2">
        <v>42458</v>
      </c>
      <c r="V4819" t="s">
        <v>71</v>
      </c>
      <c r="W4819" t="str">
        <f>"               3/FEP"</f>
        <v xml:space="preserve">               3/FEP</v>
      </c>
      <c r="X4819" s="1">
        <v>1244.4000000000001</v>
      </c>
      <c r="Y4819">
        <v>0</v>
      </c>
      <c r="Z4819" s="5">
        <v>1020</v>
      </c>
      <c r="AA4819">
        <v>220</v>
      </c>
      <c r="AB4819" s="5">
        <v>224400</v>
      </c>
      <c r="AC4819" s="1">
        <v>1020</v>
      </c>
      <c r="AD4819">
        <v>220</v>
      </c>
      <c r="AE4819" s="1">
        <v>224400</v>
      </c>
      <c r="AF4819">
        <v>0</v>
      </c>
      <c r="AJ4819">
        <v>0</v>
      </c>
      <c r="AK4819">
        <v>0</v>
      </c>
      <c r="AL4819">
        <v>0</v>
      </c>
      <c r="AM4819" s="1">
        <v>1244.4000000000001</v>
      </c>
      <c r="AN4819" s="1">
        <v>1244.4000000000001</v>
      </c>
      <c r="AO4819" s="1">
        <v>1244.4000000000001</v>
      </c>
      <c r="AP4819" s="2">
        <v>42746</v>
      </c>
      <c r="AQ4819" t="s">
        <v>72</v>
      </c>
      <c r="AR4819" t="s">
        <v>72</v>
      </c>
      <c r="AS4819">
        <v>2917</v>
      </c>
      <c r="AT4819" s="4">
        <v>42678</v>
      </c>
      <c r="AU4819" t="s">
        <v>73</v>
      </c>
      <c r="AV4819">
        <v>2917</v>
      </c>
      <c r="AW4819" s="4">
        <v>42678</v>
      </c>
      <c r="BD4819">
        <v>0</v>
      </c>
      <c r="BN4819" t="s">
        <v>74</v>
      </c>
    </row>
    <row r="4820" spans="1:66">
      <c r="A4820">
        <v>101754</v>
      </c>
      <c r="B4820" s="3" t="s">
        <v>514</v>
      </c>
      <c r="C4820" s="1">
        <v>43300101</v>
      </c>
      <c r="D4820" t="s">
        <v>67</v>
      </c>
      <c r="H4820" t="str">
        <f t="shared" si="518"/>
        <v>07328871210</v>
      </c>
      <c r="I4820" t="str">
        <f t="shared" si="518"/>
        <v>07328871210</v>
      </c>
      <c r="K4820" t="str">
        <f>""</f>
        <v/>
      </c>
      <c r="M4820" t="s">
        <v>68</v>
      </c>
      <c r="N4820" t="str">
        <f t="shared" si="517"/>
        <v>FOR</v>
      </c>
      <c r="O4820" t="s">
        <v>69</v>
      </c>
      <c r="P4820" s="3" t="s">
        <v>75</v>
      </c>
      <c r="Q4820">
        <v>2016</v>
      </c>
      <c r="R4820" s="2">
        <v>42396</v>
      </c>
      <c r="S4820" s="2">
        <v>42545</v>
      </c>
      <c r="T4820" s="2">
        <v>42398</v>
      </c>
      <c r="U4820" s="2">
        <v>42458</v>
      </c>
      <c r="V4820" t="s">
        <v>71</v>
      </c>
      <c r="W4820" t="str">
        <f>"               4/FEP"</f>
        <v xml:space="preserve">               4/FEP</v>
      </c>
      <c r="X4820" s="1">
        <v>2086.1999999999998</v>
      </c>
      <c r="Y4820">
        <v>0</v>
      </c>
      <c r="Z4820" s="5">
        <v>1710</v>
      </c>
      <c r="AA4820">
        <v>220</v>
      </c>
      <c r="AB4820" s="5">
        <v>376200</v>
      </c>
      <c r="AC4820" s="1">
        <v>1710</v>
      </c>
      <c r="AD4820">
        <v>220</v>
      </c>
      <c r="AE4820" s="1">
        <v>376200</v>
      </c>
      <c r="AF4820">
        <v>0</v>
      </c>
      <c r="AJ4820">
        <v>0</v>
      </c>
      <c r="AK4820">
        <v>0</v>
      </c>
      <c r="AL4820">
        <v>0</v>
      </c>
      <c r="AM4820" s="1">
        <v>2086.1999999999998</v>
      </c>
      <c r="AN4820" s="1">
        <v>2086.1999999999998</v>
      </c>
      <c r="AO4820" s="1">
        <v>2086.1999999999998</v>
      </c>
      <c r="AP4820" s="2">
        <v>42746</v>
      </c>
      <c r="AQ4820" t="s">
        <v>72</v>
      </c>
      <c r="AR4820" t="s">
        <v>72</v>
      </c>
      <c r="AS4820">
        <v>2917</v>
      </c>
      <c r="AT4820" s="4">
        <v>42678</v>
      </c>
      <c r="AU4820" t="s">
        <v>73</v>
      </c>
      <c r="AV4820">
        <v>2917</v>
      </c>
      <c r="AW4820" s="4">
        <v>42678</v>
      </c>
      <c r="BD4820">
        <v>0</v>
      </c>
      <c r="BN4820" t="s">
        <v>74</v>
      </c>
    </row>
    <row r="4821" spans="1:66">
      <c r="A4821">
        <v>101754</v>
      </c>
      <c r="B4821" s="3" t="s">
        <v>514</v>
      </c>
      <c r="C4821" s="1">
        <v>43300101</v>
      </c>
      <c r="D4821" t="s">
        <v>67</v>
      </c>
      <c r="H4821" t="str">
        <f t="shared" si="518"/>
        <v>07328871210</v>
      </c>
      <c r="I4821" t="str">
        <f t="shared" si="518"/>
        <v>07328871210</v>
      </c>
      <c r="K4821" t="str">
        <f>""</f>
        <v/>
      </c>
      <c r="M4821" t="s">
        <v>68</v>
      </c>
      <c r="N4821" t="str">
        <f t="shared" si="517"/>
        <v>FOR</v>
      </c>
      <c r="O4821" t="s">
        <v>69</v>
      </c>
      <c r="P4821" s="3" t="s">
        <v>75</v>
      </c>
      <c r="Q4821">
        <v>2016</v>
      </c>
      <c r="R4821" s="2">
        <v>42398</v>
      </c>
      <c r="S4821" s="2">
        <v>42401</v>
      </c>
      <c r="T4821" s="2">
        <v>42398</v>
      </c>
      <c r="U4821" s="2">
        <v>42458</v>
      </c>
      <c r="V4821" t="s">
        <v>71</v>
      </c>
      <c r="W4821" t="str">
        <f>"              54/FEP"</f>
        <v xml:space="preserve">              54/FEP</v>
      </c>
      <c r="X4821">
        <v>245.95</v>
      </c>
      <c r="Y4821">
        <v>0</v>
      </c>
      <c r="Z4821" s="3">
        <v>201.6</v>
      </c>
      <c r="AA4821">
        <v>220</v>
      </c>
      <c r="AB4821" s="5">
        <v>44352</v>
      </c>
      <c r="AC4821">
        <v>201.6</v>
      </c>
      <c r="AD4821">
        <v>220</v>
      </c>
      <c r="AE4821" s="1">
        <v>44352</v>
      </c>
      <c r="AF4821">
        <v>0</v>
      </c>
      <c r="AJ4821">
        <v>0</v>
      </c>
      <c r="AK4821">
        <v>0</v>
      </c>
      <c r="AL4821">
        <v>0</v>
      </c>
      <c r="AM4821">
        <v>245.95</v>
      </c>
      <c r="AN4821">
        <v>245.95</v>
      </c>
      <c r="AO4821">
        <v>245.95</v>
      </c>
      <c r="AP4821" s="2">
        <v>42746</v>
      </c>
      <c r="AQ4821" t="s">
        <v>72</v>
      </c>
      <c r="AR4821" t="s">
        <v>72</v>
      </c>
      <c r="AS4821">
        <v>2917</v>
      </c>
      <c r="AT4821" s="4">
        <v>42678</v>
      </c>
      <c r="AU4821" t="s">
        <v>73</v>
      </c>
      <c r="AV4821">
        <v>2917</v>
      </c>
      <c r="AW4821" s="4">
        <v>42678</v>
      </c>
      <c r="BD4821">
        <v>0</v>
      </c>
      <c r="BN4821" t="s">
        <v>74</v>
      </c>
    </row>
    <row r="4822" spans="1:66">
      <c r="A4822">
        <v>101754</v>
      </c>
      <c r="B4822" s="3" t="s">
        <v>514</v>
      </c>
      <c r="C4822" s="1">
        <v>43300101</v>
      </c>
      <c r="D4822" t="s">
        <v>67</v>
      </c>
      <c r="H4822" t="str">
        <f t="shared" si="518"/>
        <v>07328871210</v>
      </c>
      <c r="I4822" t="str">
        <f t="shared" si="518"/>
        <v>07328871210</v>
      </c>
      <c r="K4822" t="str">
        <f>""</f>
        <v/>
      </c>
      <c r="M4822" t="s">
        <v>68</v>
      </c>
      <c r="N4822" t="str">
        <f t="shared" si="517"/>
        <v>FOR</v>
      </c>
      <c r="O4822" t="s">
        <v>69</v>
      </c>
      <c r="P4822" s="3" t="s">
        <v>75</v>
      </c>
      <c r="Q4822">
        <v>2016</v>
      </c>
      <c r="R4822" s="2">
        <v>42416</v>
      </c>
      <c r="S4822" s="2">
        <v>42425</v>
      </c>
      <c r="T4822" s="2">
        <v>42422</v>
      </c>
      <c r="U4822" s="2">
        <v>42482</v>
      </c>
      <c r="V4822" t="s">
        <v>71</v>
      </c>
      <c r="W4822" t="str">
        <f>"              72/FEP"</f>
        <v xml:space="preserve">              72/FEP</v>
      </c>
      <c r="X4822">
        <v>333.06</v>
      </c>
      <c r="Y4822">
        <v>0</v>
      </c>
      <c r="Z4822" s="3">
        <v>273</v>
      </c>
      <c r="AA4822">
        <v>236</v>
      </c>
      <c r="AB4822" s="5">
        <v>64428</v>
      </c>
      <c r="AC4822">
        <v>273</v>
      </c>
      <c r="AD4822">
        <v>236</v>
      </c>
      <c r="AE4822" s="1">
        <v>64428</v>
      </c>
      <c r="AF4822">
        <v>60.06</v>
      </c>
      <c r="AJ4822">
        <v>0</v>
      </c>
      <c r="AK4822">
        <v>0</v>
      </c>
      <c r="AL4822">
        <v>0</v>
      </c>
      <c r="AM4822">
        <v>333.06</v>
      </c>
      <c r="AN4822">
        <v>333.06</v>
      </c>
      <c r="AO4822">
        <v>333.06</v>
      </c>
      <c r="AP4822" s="2">
        <v>42746</v>
      </c>
      <c r="AQ4822" t="s">
        <v>72</v>
      </c>
      <c r="AR4822" t="s">
        <v>72</v>
      </c>
      <c r="AS4822">
        <v>3471</v>
      </c>
      <c r="AT4822" s="4">
        <v>42718</v>
      </c>
      <c r="AU4822" t="s">
        <v>73</v>
      </c>
      <c r="AV4822">
        <v>3471</v>
      </c>
      <c r="AW4822" s="4">
        <v>42718</v>
      </c>
      <c r="BD4822">
        <v>60.06</v>
      </c>
      <c r="BN4822" t="s">
        <v>74</v>
      </c>
    </row>
    <row r="4823" spans="1:66">
      <c r="A4823">
        <v>101754</v>
      </c>
      <c r="B4823" s="3" t="s">
        <v>514</v>
      </c>
      <c r="C4823" s="1">
        <v>43300101</v>
      </c>
      <c r="D4823" t="s">
        <v>67</v>
      </c>
      <c r="H4823" t="str">
        <f t="shared" si="518"/>
        <v>07328871210</v>
      </c>
      <c r="I4823" t="str">
        <f t="shared" si="518"/>
        <v>07328871210</v>
      </c>
      <c r="K4823" t="str">
        <f>""</f>
        <v/>
      </c>
      <c r="M4823" t="s">
        <v>68</v>
      </c>
      <c r="N4823" t="str">
        <f t="shared" si="517"/>
        <v>FOR</v>
      </c>
      <c r="O4823" t="s">
        <v>69</v>
      </c>
      <c r="P4823" s="3" t="s">
        <v>75</v>
      </c>
      <c r="Q4823">
        <v>2016</v>
      </c>
      <c r="R4823" s="2">
        <v>42426</v>
      </c>
      <c r="S4823" s="2">
        <v>42436</v>
      </c>
      <c r="T4823" s="2">
        <v>42426</v>
      </c>
      <c r="U4823" s="2">
        <v>42486</v>
      </c>
      <c r="V4823" t="s">
        <v>71</v>
      </c>
      <c r="W4823" t="str">
        <f>"             116/FEP"</f>
        <v xml:space="preserve">             116/FEP</v>
      </c>
      <c r="X4823">
        <v>819.84</v>
      </c>
      <c r="Y4823">
        <v>0</v>
      </c>
      <c r="Z4823" s="3">
        <v>672</v>
      </c>
      <c r="AA4823">
        <v>232</v>
      </c>
      <c r="AB4823" s="5">
        <v>155904</v>
      </c>
      <c r="AC4823">
        <v>672</v>
      </c>
      <c r="AD4823">
        <v>232</v>
      </c>
      <c r="AE4823" s="1">
        <v>155904</v>
      </c>
      <c r="AF4823">
        <v>147.84</v>
      </c>
      <c r="AJ4823">
        <v>0</v>
      </c>
      <c r="AK4823">
        <v>0</v>
      </c>
      <c r="AL4823">
        <v>0</v>
      </c>
      <c r="AM4823">
        <v>819.84</v>
      </c>
      <c r="AN4823">
        <v>819.84</v>
      </c>
      <c r="AO4823">
        <v>819.84</v>
      </c>
      <c r="AP4823" s="2">
        <v>42746</v>
      </c>
      <c r="AQ4823" t="s">
        <v>72</v>
      </c>
      <c r="AR4823" t="s">
        <v>72</v>
      </c>
      <c r="AS4823">
        <v>3471</v>
      </c>
      <c r="AT4823" s="4">
        <v>42718</v>
      </c>
      <c r="AU4823" t="s">
        <v>73</v>
      </c>
      <c r="AV4823">
        <v>3471</v>
      </c>
      <c r="AW4823" s="4">
        <v>42718</v>
      </c>
      <c r="BD4823">
        <v>147.84</v>
      </c>
      <c r="BN4823" t="s">
        <v>74</v>
      </c>
    </row>
    <row r="4824" spans="1:66">
      <c r="A4824">
        <v>101754</v>
      </c>
      <c r="B4824" s="3" t="s">
        <v>514</v>
      </c>
      <c r="C4824" s="1">
        <v>43300101</v>
      </c>
      <c r="D4824" t="s">
        <v>67</v>
      </c>
      <c r="H4824" t="str">
        <f t="shared" si="518"/>
        <v>07328871210</v>
      </c>
      <c r="I4824" t="str">
        <f t="shared" si="518"/>
        <v>07328871210</v>
      </c>
      <c r="K4824" t="str">
        <f>""</f>
        <v/>
      </c>
      <c r="M4824" t="s">
        <v>68</v>
      </c>
      <c r="N4824" t="str">
        <f t="shared" si="517"/>
        <v>FOR</v>
      </c>
      <c r="O4824" t="s">
        <v>69</v>
      </c>
      <c r="P4824" s="3" t="s">
        <v>75</v>
      </c>
      <c r="Q4824">
        <v>2016</v>
      </c>
      <c r="R4824" s="2">
        <v>42439</v>
      </c>
      <c r="S4824" s="2">
        <v>42452</v>
      </c>
      <c r="T4824" s="2">
        <v>42451</v>
      </c>
      <c r="U4824" s="2">
        <v>42511</v>
      </c>
      <c r="V4824" t="s">
        <v>71</v>
      </c>
      <c r="W4824" t="str">
        <f>"             161/FEP"</f>
        <v xml:space="preserve">             161/FEP</v>
      </c>
      <c r="X4824">
        <v>414.8</v>
      </c>
      <c r="Y4824">
        <v>0</v>
      </c>
      <c r="Z4824" s="3">
        <v>340</v>
      </c>
      <c r="AA4824">
        <v>207</v>
      </c>
      <c r="AB4824" s="5">
        <v>70380</v>
      </c>
      <c r="AC4824">
        <v>340</v>
      </c>
      <c r="AD4824">
        <v>207</v>
      </c>
      <c r="AE4824" s="1">
        <v>70380</v>
      </c>
      <c r="AF4824">
        <v>74.8</v>
      </c>
      <c r="AJ4824">
        <v>0</v>
      </c>
      <c r="AK4824">
        <v>0</v>
      </c>
      <c r="AL4824">
        <v>0</v>
      </c>
      <c r="AM4824">
        <v>414.8</v>
      </c>
      <c r="AN4824">
        <v>414.8</v>
      </c>
      <c r="AO4824">
        <v>414.8</v>
      </c>
      <c r="AP4824" s="2">
        <v>42746</v>
      </c>
      <c r="AQ4824" t="s">
        <v>72</v>
      </c>
      <c r="AR4824" t="s">
        <v>72</v>
      </c>
      <c r="AS4824">
        <v>3471</v>
      </c>
      <c r="AT4824" s="4">
        <v>42718</v>
      </c>
      <c r="AU4824" t="s">
        <v>73</v>
      </c>
      <c r="AV4824">
        <v>3471</v>
      </c>
      <c r="AW4824" s="4">
        <v>42718</v>
      </c>
      <c r="BD4824">
        <v>74.8</v>
      </c>
      <c r="BN4824" t="s">
        <v>74</v>
      </c>
    </row>
    <row r="4825" spans="1:66">
      <c r="A4825">
        <v>101754</v>
      </c>
      <c r="B4825" s="3" t="s">
        <v>514</v>
      </c>
      <c r="C4825" s="1">
        <v>43300101</v>
      </c>
      <c r="D4825" t="s">
        <v>67</v>
      </c>
      <c r="H4825" t="str">
        <f t="shared" si="518"/>
        <v>07328871210</v>
      </c>
      <c r="I4825" t="str">
        <f t="shared" si="518"/>
        <v>07328871210</v>
      </c>
      <c r="K4825" t="str">
        <f>""</f>
        <v/>
      </c>
      <c r="M4825" t="s">
        <v>68</v>
      </c>
      <c r="N4825" t="str">
        <f t="shared" si="517"/>
        <v>FOR</v>
      </c>
      <c r="O4825" t="s">
        <v>69</v>
      </c>
      <c r="P4825" s="3" t="s">
        <v>75</v>
      </c>
      <c r="Q4825">
        <v>2016</v>
      </c>
      <c r="R4825" s="2">
        <v>42453</v>
      </c>
      <c r="S4825" s="2">
        <v>42454</v>
      </c>
      <c r="T4825" s="2">
        <v>42454</v>
      </c>
      <c r="U4825" s="2">
        <v>42514</v>
      </c>
      <c r="V4825" t="s">
        <v>71</v>
      </c>
      <c r="W4825" t="str">
        <f>"             198/FEP"</f>
        <v xml:space="preserve">             198/FEP</v>
      </c>
      <c r="X4825">
        <v>409.92</v>
      </c>
      <c r="Y4825">
        <v>0</v>
      </c>
      <c r="Z4825" s="3">
        <v>336</v>
      </c>
      <c r="AA4825">
        <v>204</v>
      </c>
      <c r="AB4825" s="5">
        <v>68544</v>
      </c>
      <c r="AC4825">
        <v>336</v>
      </c>
      <c r="AD4825">
        <v>204</v>
      </c>
      <c r="AE4825" s="1">
        <v>68544</v>
      </c>
      <c r="AF4825">
        <v>73.92</v>
      </c>
      <c r="AJ4825">
        <v>0</v>
      </c>
      <c r="AK4825">
        <v>0</v>
      </c>
      <c r="AL4825">
        <v>0</v>
      </c>
      <c r="AM4825">
        <v>409.92</v>
      </c>
      <c r="AN4825">
        <v>409.92</v>
      </c>
      <c r="AO4825">
        <v>409.92</v>
      </c>
      <c r="AP4825" s="2">
        <v>42746</v>
      </c>
      <c r="AQ4825" t="s">
        <v>72</v>
      </c>
      <c r="AR4825" t="s">
        <v>72</v>
      </c>
      <c r="AS4825">
        <v>3471</v>
      </c>
      <c r="AT4825" s="4">
        <v>42718</v>
      </c>
      <c r="AU4825" t="s">
        <v>73</v>
      </c>
      <c r="AV4825">
        <v>3471</v>
      </c>
      <c r="AW4825" s="4">
        <v>42718</v>
      </c>
      <c r="BD4825">
        <v>73.92</v>
      </c>
      <c r="BN4825" t="s">
        <v>74</v>
      </c>
    </row>
    <row r="4826" spans="1:66">
      <c r="A4826">
        <v>101754</v>
      </c>
      <c r="B4826" s="3" t="s">
        <v>514</v>
      </c>
      <c r="C4826" s="1">
        <v>43300101</v>
      </c>
      <c r="D4826" t="s">
        <v>67</v>
      </c>
      <c r="H4826" t="str">
        <f t="shared" si="518"/>
        <v>07328871210</v>
      </c>
      <c r="I4826" t="str">
        <f t="shared" si="518"/>
        <v>07328871210</v>
      </c>
      <c r="K4826" t="str">
        <f>""</f>
        <v/>
      </c>
      <c r="M4826" t="s">
        <v>68</v>
      </c>
      <c r="N4826" t="str">
        <f t="shared" si="517"/>
        <v>FOR</v>
      </c>
      <c r="O4826" t="s">
        <v>69</v>
      </c>
      <c r="P4826" s="3" t="s">
        <v>75</v>
      </c>
      <c r="Q4826">
        <v>2016</v>
      </c>
      <c r="R4826" s="2">
        <v>42453</v>
      </c>
      <c r="S4826" s="2">
        <v>42454</v>
      </c>
      <c r="T4826" s="2">
        <v>42454</v>
      </c>
      <c r="U4826" s="2">
        <v>42514</v>
      </c>
      <c r="V4826" t="s">
        <v>71</v>
      </c>
      <c r="W4826" t="str">
        <f>"             199/FEP"</f>
        <v xml:space="preserve">             199/FEP</v>
      </c>
      <c r="X4826" s="1">
        <v>1572.34</v>
      </c>
      <c r="Y4826">
        <v>0</v>
      </c>
      <c r="Z4826" s="5">
        <v>1288.8</v>
      </c>
      <c r="AA4826">
        <v>204</v>
      </c>
      <c r="AB4826" s="5">
        <v>262915.20000000001</v>
      </c>
      <c r="AC4826" s="1">
        <v>1288.8</v>
      </c>
      <c r="AD4826">
        <v>204</v>
      </c>
      <c r="AE4826" s="1">
        <v>262915.20000000001</v>
      </c>
      <c r="AF4826">
        <v>283.54000000000002</v>
      </c>
      <c r="AJ4826">
        <v>0</v>
      </c>
      <c r="AK4826">
        <v>0</v>
      </c>
      <c r="AL4826">
        <v>0</v>
      </c>
      <c r="AM4826" s="1">
        <v>1572.34</v>
      </c>
      <c r="AN4826" s="1">
        <v>1572.34</v>
      </c>
      <c r="AO4826" s="1">
        <v>1572.34</v>
      </c>
      <c r="AP4826" s="2">
        <v>42746</v>
      </c>
      <c r="AQ4826" t="s">
        <v>72</v>
      </c>
      <c r="AR4826" t="s">
        <v>72</v>
      </c>
      <c r="AS4826">
        <v>3471</v>
      </c>
      <c r="AT4826" s="4">
        <v>42718</v>
      </c>
      <c r="AU4826" t="s">
        <v>73</v>
      </c>
      <c r="AV4826">
        <v>3471</v>
      </c>
      <c r="AW4826" s="4">
        <v>42718</v>
      </c>
      <c r="BD4826">
        <v>283.54000000000002</v>
      </c>
      <c r="BN4826" t="s">
        <v>74</v>
      </c>
    </row>
    <row r="4827" spans="1:66">
      <c r="A4827">
        <v>101754</v>
      </c>
      <c r="B4827" s="3" t="s">
        <v>514</v>
      </c>
      <c r="C4827" s="1">
        <v>43300101</v>
      </c>
      <c r="D4827" t="s">
        <v>67</v>
      </c>
      <c r="H4827" t="str">
        <f t="shared" si="518"/>
        <v>07328871210</v>
      </c>
      <c r="I4827" t="str">
        <f t="shared" si="518"/>
        <v>07328871210</v>
      </c>
      <c r="K4827" t="str">
        <f>""</f>
        <v/>
      </c>
      <c r="M4827" t="s">
        <v>68</v>
      </c>
      <c r="N4827" t="str">
        <f t="shared" si="517"/>
        <v>FOR</v>
      </c>
      <c r="O4827" t="s">
        <v>69</v>
      </c>
      <c r="P4827" s="3" t="s">
        <v>75</v>
      </c>
      <c r="Q4827">
        <v>2016</v>
      </c>
      <c r="R4827" s="2">
        <v>42453</v>
      </c>
      <c r="S4827" s="2">
        <v>42454</v>
      </c>
      <c r="T4827" s="2">
        <v>42454</v>
      </c>
      <c r="U4827" s="2">
        <v>42514</v>
      </c>
      <c r="V4827" t="s">
        <v>71</v>
      </c>
      <c r="W4827" t="str">
        <f>"             200/FEP"</f>
        <v xml:space="preserve">             200/FEP</v>
      </c>
      <c r="X4827" s="1">
        <v>1073.5999999999999</v>
      </c>
      <c r="Y4827">
        <v>0</v>
      </c>
      <c r="Z4827" s="3">
        <v>880</v>
      </c>
      <c r="AA4827">
        <v>204</v>
      </c>
      <c r="AB4827" s="5">
        <v>179520</v>
      </c>
      <c r="AC4827">
        <v>880</v>
      </c>
      <c r="AD4827">
        <v>204</v>
      </c>
      <c r="AE4827" s="1">
        <v>179520</v>
      </c>
      <c r="AF4827">
        <v>193.6</v>
      </c>
      <c r="AJ4827">
        <v>0</v>
      </c>
      <c r="AK4827">
        <v>0</v>
      </c>
      <c r="AL4827">
        <v>0</v>
      </c>
      <c r="AM4827" s="1">
        <v>1073.5999999999999</v>
      </c>
      <c r="AN4827" s="1">
        <v>1073.5999999999999</v>
      </c>
      <c r="AO4827" s="1">
        <v>1073.5999999999999</v>
      </c>
      <c r="AP4827" s="2">
        <v>42746</v>
      </c>
      <c r="AQ4827" t="s">
        <v>72</v>
      </c>
      <c r="AR4827" t="s">
        <v>72</v>
      </c>
      <c r="AS4827">
        <v>3471</v>
      </c>
      <c r="AT4827" s="4">
        <v>42718</v>
      </c>
      <c r="AU4827" t="s">
        <v>73</v>
      </c>
      <c r="AV4827">
        <v>3471</v>
      </c>
      <c r="AW4827" s="4">
        <v>42718</v>
      </c>
      <c r="BD4827">
        <v>193.6</v>
      </c>
      <c r="BN4827" t="s">
        <v>74</v>
      </c>
    </row>
    <row r="4828" spans="1:66">
      <c r="A4828">
        <v>101754</v>
      </c>
      <c r="B4828" s="3" t="s">
        <v>514</v>
      </c>
      <c r="C4828" s="1">
        <v>43300101</v>
      </c>
      <c r="D4828" t="s">
        <v>67</v>
      </c>
      <c r="H4828" t="str">
        <f t="shared" si="518"/>
        <v>07328871210</v>
      </c>
      <c r="I4828" t="str">
        <f t="shared" si="518"/>
        <v>07328871210</v>
      </c>
      <c r="K4828" t="str">
        <f>""</f>
        <v/>
      </c>
      <c r="M4828" t="s">
        <v>68</v>
      </c>
      <c r="N4828" t="str">
        <f t="shared" si="517"/>
        <v>FOR</v>
      </c>
      <c r="O4828" t="s">
        <v>69</v>
      </c>
      <c r="P4828" s="3" t="s">
        <v>75</v>
      </c>
      <c r="Q4828">
        <v>2016</v>
      </c>
      <c r="R4828" s="2">
        <v>42453</v>
      </c>
      <c r="S4828" s="2">
        <v>42454</v>
      </c>
      <c r="T4828" s="2">
        <v>42454</v>
      </c>
      <c r="U4828" s="2">
        <v>42514</v>
      </c>
      <c r="V4828" t="s">
        <v>71</v>
      </c>
      <c r="W4828" t="str">
        <f>"             201/FEP"</f>
        <v xml:space="preserve">             201/FEP</v>
      </c>
      <c r="X4828">
        <v>829.6</v>
      </c>
      <c r="Y4828">
        <v>0</v>
      </c>
      <c r="Z4828" s="3">
        <v>680</v>
      </c>
      <c r="AA4828">
        <v>204</v>
      </c>
      <c r="AB4828" s="5">
        <v>138720</v>
      </c>
      <c r="AC4828">
        <v>680</v>
      </c>
      <c r="AD4828">
        <v>204</v>
      </c>
      <c r="AE4828" s="1">
        <v>138720</v>
      </c>
      <c r="AF4828">
        <v>149.6</v>
      </c>
      <c r="AJ4828">
        <v>0</v>
      </c>
      <c r="AK4828">
        <v>0</v>
      </c>
      <c r="AL4828">
        <v>0</v>
      </c>
      <c r="AM4828">
        <v>829.6</v>
      </c>
      <c r="AN4828">
        <v>829.6</v>
      </c>
      <c r="AO4828">
        <v>829.6</v>
      </c>
      <c r="AP4828" s="2">
        <v>42746</v>
      </c>
      <c r="AQ4828" t="s">
        <v>72</v>
      </c>
      <c r="AR4828" t="s">
        <v>72</v>
      </c>
      <c r="AS4828">
        <v>3471</v>
      </c>
      <c r="AT4828" s="4">
        <v>42718</v>
      </c>
      <c r="AU4828" t="s">
        <v>73</v>
      </c>
      <c r="AV4828">
        <v>3471</v>
      </c>
      <c r="AW4828" s="4">
        <v>42718</v>
      </c>
      <c r="BD4828">
        <v>149.6</v>
      </c>
      <c r="BN4828" t="s">
        <v>74</v>
      </c>
    </row>
    <row r="4829" spans="1:66" hidden="1">
      <c r="A4829">
        <v>101759</v>
      </c>
      <c r="B4829" s="3" t="s">
        <v>515</v>
      </c>
      <c r="C4829" s="1">
        <v>43300101</v>
      </c>
      <c r="D4829" t="s">
        <v>67</v>
      </c>
      <c r="H4829" t="str">
        <f t="shared" ref="H4829:H4847" si="519">"VRSCMN80T31A783K"</f>
        <v>VRSCMN80T31A783K</v>
      </c>
      <c r="I4829" t="str">
        <f t="shared" ref="I4829:I4847" si="520">"01308430626"</f>
        <v>01308430626</v>
      </c>
      <c r="K4829" t="str">
        <f>""</f>
        <v/>
      </c>
      <c r="M4829" t="s">
        <v>68</v>
      </c>
      <c r="N4829" t="str">
        <f t="shared" si="517"/>
        <v>FOR</v>
      </c>
      <c r="O4829" t="s">
        <v>69</v>
      </c>
      <c r="P4829" s="3" t="s">
        <v>70</v>
      </c>
      <c r="Q4829">
        <v>2015</v>
      </c>
      <c r="R4829" s="2">
        <v>42090</v>
      </c>
      <c r="S4829" s="2">
        <v>42095</v>
      </c>
      <c r="T4829" s="2">
        <v>42095</v>
      </c>
      <c r="U4829" s="2">
        <v>42155</v>
      </c>
      <c r="V4829" t="s">
        <v>71</v>
      </c>
      <c r="W4829" t="str">
        <f>"                 230"</f>
        <v xml:space="preserve">                 230</v>
      </c>
      <c r="X4829">
        <v>931.02</v>
      </c>
      <c r="Y4829">
        <v>0</v>
      </c>
      <c r="Z4829"/>
      <c r="AB4829"/>
      <c r="AC4829">
        <v>763.13</v>
      </c>
      <c r="AD4829">
        <v>249</v>
      </c>
      <c r="AE4829" s="1">
        <v>190019.37</v>
      </c>
      <c r="AF4829">
        <v>0</v>
      </c>
      <c r="AJ4829">
        <v>0</v>
      </c>
      <c r="AK4829">
        <v>0</v>
      </c>
      <c r="AL4829">
        <v>0</v>
      </c>
      <c r="AM4829">
        <v>0</v>
      </c>
      <c r="AN4829">
        <v>0</v>
      </c>
      <c r="AO4829">
        <v>0</v>
      </c>
      <c r="AP4829" s="2">
        <v>42746</v>
      </c>
      <c r="AQ4829" t="s">
        <v>72</v>
      </c>
      <c r="AR4829" t="s">
        <v>72</v>
      </c>
      <c r="AS4829">
        <v>277</v>
      </c>
      <c r="AT4829" s="4">
        <v>42404</v>
      </c>
      <c r="AU4829" t="s">
        <v>73</v>
      </c>
      <c r="AV4829">
        <v>277</v>
      </c>
      <c r="AW4829" s="4">
        <v>42404</v>
      </c>
      <c r="BD4829">
        <v>0</v>
      </c>
      <c r="BN4829" t="s">
        <v>74</v>
      </c>
    </row>
    <row r="4830" spans="1:66" hidden="1">
      <c r="A4830">
        <v>101759</v>
      </c>
      <c r="B4830" s="3" t="s">
        <v>515</v>
      </c>
      <c r="C4830" s="1">
        <v>43300101</v>
      </c>
      <c r="D4830" t="s">
        <v>67</v>
      </c>
      <c r="H4830" t="str">
        <f t="shared" si="519"/>
        <v>VRSCMN80T31A783K</v>
      </c>
      <c r="I4830" t="str">
        <f t="shared" si="520"/>
        <v>01308430626</v>
      </c>
      <c r="K4830" t="str">
        <f>""</f>
        <v/>
      </c>
      <c r="M4830" t="s">
        <v>68</v>
      </c>
      <c r="N4830" t="str">
        <f t="shared" si="517"/>
        <v>FOR</v>
      </c>
      <c r="O4830" t="s">
        <v>69</v>
      </c>
      <c r="P4830" s="3" t="s">
        <v>75</v>
      </c>
      <c r="Q4830">
        <v>2015</v>
      </c>
      <c r="R4830" s="2">
        <v>42144</v>
      </c>
      <c r="S4830" s="2">
        <v>42165</v>
      </c>
      <c r="T4830" s="2">
        <v>42144</v>
      </c>
      <c r="U4830" s="2">
        <v>42204</v>
      </c>
      <c r="V4830" t="s">
        <v>71</v>
      </c>
      <c r="W4830" t="str">
        <f>"                0154"</f>
        <v xml:space="preserve">                0154</v>
      </c>
      <c r="X4830">
        <v>525.35</v>
      </c>
      <c r="Y4830">
        <v>0</v>
      </c>
      <c r="Z4830"/>
      <c r="AB4830"/>
      <c r="AC4830">
        <v>430.61</v>
      </c>
      <c r="AD4830">
        <v>249</v>
      </c>
      <c r="AE4830" s="1">
        <v>107221.89</v>
      </c>
      <c r="AF4830">
        <v>0</v>
      </c>
      <c r="AJ4830">
        <v>0</v>
      </c>
      <c r="AK4830">
        <v>0</v>
      </c>
      <c r="AL4830">
        <v>0</v>
      </c>
      <c r="AM4830">
        <v>0</v>
      </c>
      <c r="AN4830">
        <v>0</v>
      </c>
      <c r="AO4830">
        <v>0</v>
      </c>
      <c r="AP4830" s="2">
        <v>42746</v>
      </c>
      <c r="AQ4830" t="s">
        <v>72</v>
      </c>
      <c r="AR4830" t="s">
        <v>72</v>
      </c>
      <c r="AS4830">
        <v>854</v>
      </c>
      <c r="AT4830" s="4">
        <v>42453</v>
      </c>
      <c r="AU4830" t="s">
        <v>73</v>
      </c>
      <c r="AV4830">
        <v>854</v>
      </c>
      <c r="AW4830" s="4">
        <v>42453</v>
      </c>
      <c r="BD4830">
        <v>0</v>
      </c>
      <c r="BN4830" t="s">
        <v>74</v>
      </c>
    </row>
    <row r="4831" spans="1:66" hidden="1">
      <c r="A4831">
        <v>101759</v>
      </c>
      <c r="B4831" s="3" t="s">
        <v>515</v>
      </c>
      <c r="C4831" s="1">
        <v>43300101</v>
      </c>
      <c r="D4831" t="s">
        <v>67</v>
      </c>
      <c r="H4831" t="str">
        <f t="shared" si="519"/>
        <v>VRSCMN80T31A783K</v>
      </c>
      <c r="I4831" t="str">
        <f t="shared" si="520"/>
        <v>01308430626</v>
      </c>
      <c r="K4831" t="str">
        <f>""</f>
        <v/>
      </c>
      <c r="M4831" t="s">
        <v>68</v>
      </c>
      <c r="N4831" t="str">
        <f t="shared" si="517"/>
        <v>FOR</v>
      </c>
      <c r="O4831" t="s">
        <v>69</v>
      </c>
      <c r="P4831" s="3" t="s">
        <v>75</v>
      </c>
      <c r="Q4831">
        <v>2015</v>
      </c>
      <c r="R4831" s="2">
        <v>42179</v>
      </c>
      <c r="S4831" s="2">
        <v>42185</v>
      </c>
      <c r="T4831" s="2">
        <v>42181</v>
      </c>
      <c r="U4831" s="2">
        <v>42241</v>
      </c>
      <c r="V4831" t="s">
        <v>71</v>
      </c>
      <c r="W4831" t="str">
        <f>"                0249"</f>
        <v xml:space="preserve">                0249</v>
      </c>
      <c r="X4831">
        <v>722.18</v>
      </c>
      <c r="Y4831">
        <v>0</v>
      </c>
      <c r="Z4831"/>
      <c r="AB4831"/>
      <c r="AC4831">
        <v>591.95000000000005</v>
      </c>
      <c r="AD4831">
        <v>246</v>
      </c>
      <c r="AE4831" s="1">
        <v>145619.70000000001</v>
      </c>
      <c r="AF4831">
        <v>0</v>
      </c>
      <c r="AJ4831">
        <v>0</v>
      </c>
      <c r="AK4831">
        <v>0</v>
      </c>
      <c r="AL4831">
        <v>0</v>
      </c>
      <c r="AM4831">
        <v>0</v>
      </c>
      <c r="AN4831">
        <v>0</v>
      </c>
      <c r="AO4831">
        <v>0</v>
      </c>
      <c r="AP4831" s="2">
        <v>42746</v>
      </c>
      <c r="AQ4831" t="s">
        <v>72</v>
      </c>
      <c r="AR4831" t="s">
        <v>72</v>
      </c>
      <c r="AS4831">
        <v>1188</v>
      </c>
      <c r="AT4831" s="4">
        <v>42487</v>
      </c>
      <c r="AU4831" t="s">
        <v>73</v>
      </c>
      <c r="AV4831">
        <v>1188</v>
      </c>
      <c r="AW4831" s="4">
        <v>42487</v>
      </c>
      <c r="BD4831">
        <v>0</v>
      </c>
      <c r="BN4831" t="s">
        <v>74</v>
      </c>
    </row>
    <row r="4832" spans="1:66" hidden="1">
      <c r="A4832">
        <v>101759</v>
      </c>
      <c r="B4832" s="3" t="s">
        <v>515</v>
      </c>
      <c r="C4832" s="1">
        <v>43300101</v>
      </c>
      <c r="D4832" t="s">
        <v>67</v>
      </c>
      <c r="H4832" t="str">
        <f t="shared" si="519"/>
        <v>VRSCMN80T31A783K</v>
      </c>
      <c r="I4832" t="str">
        <f t="shared" si="520"/>
        <v>01308430626</v>
      </c>
      <c r="K4832" t="str">
        <f>""</f>
        <v/>
      </c>
      <c r="M4832" t="s">
        <v>68</v>
      </c>
      <c r="N4832" t="str">
        <f t="shared" si="517"/>
        <v>FOR</v>
      </c>
      <c r="O4832" t="s">
        <v>69</v>
      </c>
      <c r="P4832" s="3" t="s">
        <v>75</v>
      </c>
      <c r="Q4832">
        <v>2015</v>
      </c>
      <c r="R4832" s="2">
        <v>42202</v>
      </c>
      <c r="S4832" s="2">
        <v>42233</v>
      </c>
      <c r="T4832" s="2">
        <v>42205</v>
      </c>
      <c r="U4832" s="2">
        <v>42265</v>
      </c>
      <c r="V4832" t="s">
        <v>71</v>
      </c>
      <c r="W4832" t="str">
        <f>"                0331"</f>
        <v xml:space="preserve">                0331</v>
      </c>
      <c r="X4832">
        <v>698.1</v>
      </c>
      <c r="Y4832">
        <v>0</v>
      </c>
      <c r="Z4832"/>
      <c r="AB4832"/>
      <c r="AC4832">
        <v>572.21</v>
      </c>
      <c r="AD4832">
        <v>222</v>
      </c>
      <c r="AE4832" s="1">
        <v>127030.62</v>
      </c>
      <c r="AF4832">
        <v>0</v>
      </c>
      <c r="AJ4832">
        <v>0</v>
      </c>
      <c r="AK4832">
        <v>0</v>
      </c>
      <c r="AL4832">
        <v>0</v>
      </c>
      <c r="AM4832">
        <v>0</v>
      </c>
      <c r="AN4832">
        <v>0</v>
      </c>
      <c r="AO4832">
        <v>0</v>
      </c>
      <c r="AP4832" s="2">
        <v>42746</v>
      </c>
      <c r="AQ4832" t="s">
        <v>72</v>
      </c>
      <c r="AR4832" t="s">
        <v>72</v>
      </c>
      <c r="AS4832">
        <v>1188</v>
      </c>
      <c r="AT4832" s="4">
        <v>42487</v>
      </c>
      <c r="AU4832" t="s">
        <v>73</v>
      </c>
      <c r="AV4832">
        <v>1188</v>
      </c>
      <c r="AW4832" s="4">
        <v>42487</v>
      </c>
      <c r="BD4832">
        <v>0</v>
      </c>
      <c r="BN4832" t="s">
        <v>74</v>
      </c>
    </row>
    <row r="4833" spans="1:66" hidden="1">
      <c r="A4833">
        <v>101759</v>
      </c>
      <c r="B4833" s="3" t="s">
        <v>515</v>
      </c>
      <c r="C4833" s="1">
        <v>43300101</v>
      </c>
      <c r="D4833" t="s">
        <v>67</v>
      </c>
      <c r="H4833" t="str">
        <f t="shared" si="519"/>
        <v>VRSCMN80T31A783K</v>
      </c>
      <c r="I4833" t="str">
        <f t="shared" si="520"/>
        <v>01308430626</v>
      </c>
      <c r="K4833" t="str">
        <f>""</f>
        <v/>
      </c>
      <c r="M4833" t="s">
        <v>68</v>
      </c>
      <c r="N4833" t="str">
        <f t="shared" si="517"/>
        <v>FOR</v>
      </c>
      <c r="O4833" t="s">
        <v>69</v>
      </c>
      <c r="P4833" s="3" t="s">
        <v>75</v>
      </c>
      <c r="Q4833">
        <v>2015</v>
      </c>
      <c r="R4833" s="2">
        <v>42224</v>
      </c>
      <c r="S4833" s="2">
        <v>42241</v>
      </c>
      <c r="T4833" s="2">
        <v>42240</v>
      </c>
      <c r="U4833" s="2">
        <v>42300</v>
      </c>
      <c r="V4833" t="s">
        <v>71</v>
      </c>
      <c r="W4833" t="str">
        <f>"                0379"</f>
        <v xml:space="preserve">                0379</v>
      </c>
      <c r="X4833" s="1">
        <v>1065.4100000000001</v>
      </c>
      <c r="Y4833">
        <v>0</v>
      </c>
      <c r="Z4833"/>
      <c r="AB4833"/>
      <c r="AC4833">
        <v>873.29</v>
      </c>
      <c r="AD4833">
        <v>187</v>
      </c>
      <c r="AE4833" s="1">
        <v>163305.23000000001</v>
      </c>
      <c r="AF4833">
        <v>0</v>
      </c>
      <c r="AJ4833">
        <v>0</v>
      </c>
      <c r="AK4833">
        <v>0</v>
      </c>
      <c r="AL4833">
        <v>0</v>
      </c>
      <c r="AM4833">
        <v>0</v>
      </c>
      <c r="AN4833">
        <v>0</v>
      </c>
      <c r="AO4833">
        <v>0</v>
      </c>
      <c r="AP4833" s="2">
        <v>42746</v>
      </c>
      <c r="AQ4833" t="s">
        <v>72</v>
      </c>
      <c r="AR4833" t="s">
        <v>72</v>
      </c>
      <c r="AS4833">
        <v>1188</v>
      </c>
      <c r="AT4833" s="4">
        <v>42487</v>
      </c>
      <c r="AU4833" t="s">
        <v>73</v>
      </c>
      <c r="AV4833">
        <v>1188</v>
      </c>
      <c r="AW4833" s="4">
        <v>42487</v>
      </c>
      <c r="BD4833">
        <v>0</v>
      </c>
      <c r="BN4833" t="s">
        <v>74</v>
      </c>
    </row>
    <row r="4834" spans="1:66" hidden="1">
      <c r="A4834">
        <v>101759</v>
      </c>
      <c r="B4834" s="3" t="s">
        <v>515</v>
      </c>
      <c r="C4834" s="1">
        <v>43300101</v>
      </c>
      <c r="D4834" t="s">
        <v>67</v>
      </c>
      <c r="H4834" t="str">
        <f t="shared" si="519"/>
        <v>VRSCMN80T31A783K</v>
      </c>
      <c r="I4834" t="str">
        <f t="shared" si="520"/>
        <v>01308430626</v>
      </c>
      <c r="K4834" t="str">
        <f>""</f>
        <v/>
      </c>
      <c r="M4834" t="s">
        <v>68</v>
      </c>
      <c r="N4834" t="str">
        <f t="shared" si="517"/>
        <v>FOR</v>
      </c>
      <c r="O4834" t="s">
        <v>69</v>
      </c>
      <c r="P4834" s="3" t="s">
        <v>75</v>
      </c>
      <c r="Q4834">
        <v>2015</v>
      </c>
      <c r="R4834" s="2">
        <v>42270</v>
      </c>
      <c r="S4834" s="2">
        <v>42272</v>
      </c>
      <c r="T4834" s="2">
        <v>42270</v>
      </c>
      <c r="U4834" s="2">
        <v>42330</v>
      </c>
      <c r="V4834" t="s">
        <v>71</v>
      </c>
      <c r="W4834" t="str">
        <f>"                0440"</f>
        <v xml:space="preserve">                0440</v>
      </c>
      <c r="X4834">
        <v>423.34</v>
      </c>
      <c r="Y4834">
        <v>0</v>
      </c>
      <c r="Z4834"/>
      <c r="AB4834"/>
      <c r="AC4834">
        <v>347</v>
      </c>
      <c r="AD4834">
        <v>157</v>
      </c>
      <c r="AE4834" s="1">
        <v>54479</v>
      </c>
      <c r="AF4834">
        <v>0</v>
      </c>
      <c r="AJ4834">
        <v>0</v>
      </c>
      <c r="AK4834">
        <v>0</v>
      </c>
      <c r="AL4834">
        <v>0</v>
      </c>
      <c r="AM4834">
        <v>0</v>
      </c>
      <c r="AN4834">
        <v>0</v>
      </c>
      <c r="AO4834">
        <v>0</v>
      </c>
      <c r="AP4834" s="2">
        <v>42746</v>
      </c>
      <c r="AQ4834" t="s">
        <v>72</v>
      </c>
      <c r="AR4834" t="s">
        <v>72</v>
      </c>
      <c r="AS4834">
        <v>1188</v>
      </c>
      <c r="AT4834" s="4">
        <v>42487</v>
      </c>
      <c r="AU4834" t="s">
        <v>73</v>
      </c>
      <c r="AV4834">
        <v>1188</v>
      </c>
      <c r="AW4834" s="4">
        <v>42487</v>
      </c>
      <c r="BD4834">
        <v>0</v>
      </c>
      <c r="BN4834" t="s">
        <v>74</v>
      </c>
    </row>
    <row r="4835" spans="1:66" hidden="1">
      <c r="A4835">
        <v>101759</v>
      </c>
      <c r="B4835" s="3" t="s">
        <v>515</v>
      </c>
      <c r="C4835" s="1">
        <v>43300101</v>
      </c>
      <c r="D4835" t="s">
        <v>67</v>
      </c>
      <c r="H4835" t="str">
        <f t="shared" si="519"/>
        <v>VRSCMN80T31A783K</v>
      </c>
      <c r="I4835" t="str">
        <f t="shared" si="520"/>
        <v>01308430626</v>
      </c>
      <c r="K4835" t="str">
        <f>""</f>
        <v/>
      </c>
      <c r="M4835" t="s">
        <v>68</v>
      </c>
      <c r="N4835" t="str">
        <f t="shared" si="517"/>
        <v>FOR</v>
      </c>
      <c r="O4835" t="s">
        <v>69</v>
      </c>
      <c r="P4835" s="3" t="s">
        <v>75</v>
      </c>
      <c r="Q4835">
        <v>2015</v>
      </c>
      <c r="R4835" s="2">
        <v>42303</v>
      </c>
      <c r="S4835" s="2">
        <v>42305</v>
      </c>
      <c r="T4835" s="2">
        <v>42303</v>
      </c>
      <c r="U4835" s="2">
        <v>42363</v>
      </c>
      <c r="V4835" t="s">
        <v>71</v>
      </c>
      <c r="W4835" t="str">
        <f>"             0506/EL"</f>
        <v xml:space="preserve">             0506/EL</v>
      </c>
      <c r="X4835">
        <v>819.01</v>
      </c>
      <c r="Y4835">
        <v>0</v>
      </c>
      <c r="Z4835"/>
      <c r="AB4835"/>
      <c r="AC4835">
        <v>671.32</v>
      </c>
      <c r="AD4835">
        <v>124</v>
      </c>
      <c r="AE4835" s="1">
        <v>83243.679999999993</v>
      </c>
      <c r="AF4835">
        <v>0</v>
      </c>
      <c r="AJ4835">
        <v>0</v>
      </c>
      <c r="AK4835">
        <v>0</v>
      </c>
      <c r="AL4835">
        <v>0</v>
      </c>
      <c r="AM4835">
        <v>0</v>
      </c>
      <c r="AN4835">
        <v>0</v>
      </c>
      <c r="AO4835">
        <v>0</v>
      </c>
      <c r="AP4835" s="2">
        <v>42746</v>
      </c>
      <c r="AQ4835" t="s">
        <v>72</v>
      </c>
      <c r="AR4835" t="s">
        <v>72</v>
      </c>
      <c r="AS4835">
        <v>1188</v>
      </c>
      <c r="AT4835" s="4">
        <v>42487</v>
      </c>
      <c r="AU4835" t="s">
        <v>73</v>
      </c>
      <c r="AV4835">
        <v>1188</v>
      </c>
      <c r="AW4835" s="4">
        <v>42487</v>
      </c>
      <c r="BD4835">
        <v>0</v>
      </c>
      <c r="BN4835" t="s">
        <v>74</v>
      </c>
    </row>
    <row r="4836" spans="1:66" hidden="1">
      <c r="A4836">
        <v>101759</v>
      </c>
      <c r="B4836" s="3" t="s">
        <v>515</v>
      </c>
      <c r="C4836" s="1">
        <v>43300101</v>
      </c>
      <c r="D4836" t="s">
        <v>67</v>
      </c>
      <c r="H4836" t="str">
        <f t="shared" si="519"/>
        <v>VRSCMN80T31A783K</v>
      </c>
      <c r="I4836" t="str">
        <f t="shared" si="520"/>
        <v>01308430626</v>
      </c>
      <c r="K4836" t="str">
        <f>""</f>
        <v/>
      </c>
      <c r="M4836" t="s">
        <v>68</v>
      </c>
      <c r="N4836" t="str">
        <f t="shared" si="517"/>
        <v>FOR</v>
      </c>
      <c r="O4836" t="s">
        <v>69</v>
      </c>
      <c r="P4836" s="3" t="s">
        <v>75</v>
      </c>
      <c r="Q4836">
        <v>2015</v>
      </c>
      <c r="R4836" s="2">
        <v>42304</v>
      </c>
      <c r="S4836" s="2">
        <v>42305</v>
      </c>
      <c r="T4836" s="2">
        <v>42304</v>
      </c>
      <c r="U4836" s="2">
        <v>42364</v>
      </c>
      <c r="V4836" t="s">
        <v>71</v>
      </c>
      <c r="W4836" t="str">
        <f>"             0509/EL"</f>
        <v xml:space="preserve">             0509/EL</v>
      </c>
      <c r="X4836">
        <v>681.67</v>
      </c>
      <c r="Y4836">
        <v>0</v>
      </c>
      <c r="Z4836"/>
      <c r="AB4836"/>
      <c r="AC4836">
        <v>558.75</v>
      </c>
      <c r="AD4836">
        <v>123</v>
      </c>
      <c r="AE4836" s="1">
        <v>68726.25</v>
      </c>
      <c r="AF4836">
        <v>0</v>
      </c>
      <c r="AJ4836">
        <v>0</v>
      </c>
      <c r="AK4836">
        <v>0</v>
      </c>
      <c r="AL4836">
        <v>0</v>
      </c>
      <c r="AM4836">
        <v>0</v>
      </c>
      <c r="AN4836">
        <v>0</v>
      </c>
      <c r="AO4836">
        <v>0</v>
      </c>
      <c r="AP4836" s="2">
        <v>42746</v>
      </c>
      <c r="AQ4836" t="s">
        <v>72</v>
      </c>
      <c r="AR4836" t="s">
        <v>72</v>
      </c>
      <c r="AS4836">
        <v>1188</v>
      </c>
      <c r="AT4836" s="4">
        <v>42487</v>
      </c>
      <c r="AU4836" t="s">
        <v>73</v>
      </c>
      <c r="AV4836">
        <v>1188</v>
      </c>
      <c r="AW4836" s="4">
        <v>42487</v>
      </c>
      <c r="BD4836">
        <v>0</v>
      </c>
      <c r="BN4836" t="s">
        <v>74</v>
      </c>
    </row>
    <row r="4837" spans="1:66" hidden="1">
      <c r="A4837">
        <v>101759</v>
      </c>
      <c r="B4837" s="3" t="s">
        <v>515</v>
      </c>
      <c r="C4837" s="1">
        <v>43300101</v>
      </c>
      <c r="D4837" t="s">
        <v>67</v>
      </c>
      <c r="H4837" t="str">
        <f t="shared" si="519"/>
        <v>VRSCMN80T31A783K</v>
      </c>
      <c r="I4837" t="str">
        <f t="shared" si="520"/>
        <v>01308430626</v>
      </c>
      <c r="K4837" t="str">
        <f>""</f>
        <v/>
      </c>
      <c r="M4837" t="s">
        <v>68</v>
      </c>
      <c r="N4837" t="str">
        <f t="shared" si="517"/>
        <v>FOR</v>
      </c>
      <c r="O4837" t="s">
        <v>69</v>
      </c>
      <c r="P4837" s="3" t="s">
        <v>75</v>
      </c>
      <c r="Q4837">
        <v>2015</v>
      </c>
      <c r="R4837" s="2">
        <v>42335</v>
      </c>
      <c r="S4837" s="2">
        <v>42338</v>
      </c>
      <c r="T4837" s="2">
        <v>42335</v>
      </c>
      <c r="U4837" s="2">
        <v>42395</v>
      </c>
      <c r="V4837" t="s">
        <v>71</v>
      </c>
      <c r="W4837" t="str">
        <f>"             0569/EL"</f>
        <v xml:space="preserve">             0569/EL</v>
      </c>
      <c r="X4837">
        <v>416.75</v>
      </c>
      <c r="Y4837">
        <v>0</v>
      </c>
      <c r="Z4837"/>
      <c r="AB4837"/>
      <c r="AC4837">
        <v>341.6</v>
      </c>
      <c r="AD4837">
        <v>92</v>
      </c>
      <c r="AE4837" s="1">
        <v>31427.200000000001</v>
      </c>
      <c r="AF4837">
        <v>0</v>
      </c>
      <c r="AJ4837">
        <v>0</v>
      </c>
      <c r="AK4837">
        <v>0</v>
      </c>
      <c r="AL4837">
        <v>0</v>
      </c>
      <c r="AM4837">
        <v>0</v>
      </c>
      <c r="AN4837">
        <v>0</v>
      </c>
      <c r="AO4837">
        <v>0</v>
      </c>
      <c r="AP4837" s="2">
        <v>42746</v>
      </c>
      <c r="AQ4837" t="s">
        <v>72</v>
      </c>
      <c r="AR4837" t="s">
        <v>72</v>
      </c>
      <c r="AS4837">
        <v>1188</v>
      </c>
      <c r="AT4837" s="4">
        <v>42487</v>
      </c>
      <c r="AU4837" t="s">
        <v>73</v>
      </c>
      <c r="AV4837">
        <v>1188</v>
      </c>
      <c r="AW4837" s="4">
        <v>42487</v>
      </c>
      <c r="BD4837">
        <v>0</v>
      </c>
      <c r="BN4837" t="s">
        <v>74</v>
      </c>
    </row>
    <row r="4838" spans="1:66">
      <c r="A4838">
        <v>101759</v>
      </c>
      <c r="B4838" s="3" t="s">
        <v>515</v>
      </c>
      <c r="C4838" s="1">
        <v>43300101</v>
      </c>
      <c r="D4838" t="s">
        <v>67</v>
      </c>
      <c r="H4838" t="str">
        <f t="shared" si="519"/>
        <v>VRSCMN80T31A783K</v>
      </c>
      <c r="I4838" t="str">
        <f t="shared" si="520"/>
        <v>01308430626</v>
      </c>
      <c r="K4838" t="str">
        <f>""</f>
        <v/>
      </c>
      <c r="M4838" t="s">
        <v>68</v>
      </c>
      <c r="N4838" t="str">
        <f t="shared" si="517"/>
        <v>FOR</v>
      </c>
      <c r="O4838" t="s">
        <v>69</v>
      </c>
      <c r="P4838" s="3" t="s">
        <v>75</v>
      </c>
      <c r="Q4838">
        <v>2016</v>
      </c>
      <c r="R4838" s="2">
        <v>42391</v>
      </c>
      <c r="S4838" s="2">
        <v>42394</v>
      </c>
      <c r="T4838" s="2">
        <v>42391</v>
      </c>
      <c r="U4838" s="2">
        <v>42451</v>
      </c>
      <c r="V4838" t="s">
        <v>71</v>
      </c>
      <c r="W4838" t="str">
        <f>"             0041/EL"</f>
        <v xml:space="preserve">             0041/EL</v>
      </c>
      <c r="X4838">
        <v>442.86</v>
      </c>
      <c r="Y4838">
        <v>0</v>
      </c>
      <c r="Z4838" s="3">
        <v>363</v>
      </c>
      <c r="AA4838">
        <v>196</v>
      </c>
      <c r="AB4838" s="5">
        <v>71148</v>
      </c>
      <c r="AC4838">
        <v>363</v>
      </c>
      <c r="AD4838">
        <v>196</v>
      </c>
      <c r="AE4838" s="1">
        <v>71148</v>
      </c>
      <c r="AF4838">
        <v>0</v>
      </c>
      <c r="AJ4838">
        <v>0</v>
      </c>
      <c r="AK4838">
        <v>0</v>
      </c>
      <c r="AL4838">
        <v>0</v>
      </c>
      <c r="AM4838">
        <v>0</v>
      </c>
      <c r="AN4838">
        <v>442.86</v>
      </c>
      <c r="AO4838">
        <v>442.86</v>
      </c>
      <c r="AP4838" s="2">
        <v>42746</v>
      </c>
      <c r="AQ4838" t="s">
        <v>72</v>
      </c>
      <c r="AR4838" t="s">
        <v>72</v>
      </c>
      <c r="AS4838">
        <v>2594</v>
      </c>
      <c r="AT4838" s="4">
        <v>42647</v>
      </c>
      <c r="AU4838" t="s">
        <v>73</v>
      </c>
      <c r="AV4838">
        <v>2594</v>
      </c>
      <c r="AW4838" s="4">
        <v>42647</v>
      </c>
      <c r="BD4838">
        <v>0</v>
      </c>
      <c r="BN4838" t="s">
        <v>74</v>
      </c>
    </row>
    <row r="4839" spans="1:66" hidden="1">
      <c r="A4839">
        <v>101759</v>
      </c>
      <c r="B4839" s="3" t="s">
        <v>515</v>
      </c>
      <c r="C4839" s="1">
        <v>43300101</v>
      </c>
      <c r="D4839" t="s">
        <v>67</v>
      </c>
      <c r="H4839" t="str">
        <f t="shared" si="519"/>
        <v>VRSCMN80T31A783K</v>
      </c>
      <c r="I4839" t="str">
        <f t="shared" si="520"/>
        <v>01308430626</v>
      </c>
      <c r="K4839" t="str">
        <f>""</f>
        <v/>
      </c>
      <c r="M4839" t="s">
        <v>68</v>
      </c>
      <c r="N4839" t="str">
        <f t="shared" si="517"/>
        <v>FOR</v>
      </c>
      <c r="O4839" t="s">
        <v>69</v>
      </c>
      <c r="P4839" s="3" t="s">
        <v>75</v>
      </c>
      <c r="Q4839">
        <v>2016</v>
      </c>
      <c r="R4839" s="2">
        <v>42403</v>
      </c>
      <c r="S4839" s="2">
        <v>42404</v>
      </c>
      <c r="T4839" s="2">
        <v>42403</v>
      </c>
      <c r="U4839" s="2">
        <v>42463</v>
      </c>
      <c r="V4839" t="s">
        <v>71</v>
      </c>
      <c r="W4839" t="str">
        <f>"             0074/EL"</f>
        <v xml:space="preserve">             0074/EL</v>
      </c>
      <c r="X4839">
        <v>270</v>
      </c>
      <c r="Y4839">
        <v>0</v>
      </c>
      <c r="Z4839"/>
      <c r="AB4839"/>
      <c r="AC4839">
        <v>221.31</v>
      </c>
      <c r="AD4839">
        <v>103</v>
      </c>
      <c r="AE4839" s="1">
        <v>22794.93</v>
      </c>
      <c r="AF4839">
        <v>48.69</v>
      </c>
      <c r="AJ4839">
        <v>0</v>
      </c>
      <c r="AK4839">
        <v>0</v>
      </c>
      <c r="AL4839">
        <v>0</v>
      </c>
      <c r="AM4839">
        <v>270</v>
      </c>
      <c r="AN4839">
        <v>270</v>
      </c>
      <c r="AO4839">
        <v>270</v>
      </c>
      <c r="AP4839" s="2">
        <v>42746</v>
      </c>
      <c r="AQ4839" t="s">
        <v>72</v>
      </c>
      <c r="AR4839" t="s">
        <v>72</v>
      </c>
      <c r="AS4839">
        <v>1771</v>
      </c>
      <c r="AT4839" s="4">
        <v>42566</v>
      </c>
      <c r="AU4839" t="s">
        <v>73</v>
      </c>
      <c r="AV4839">
        <v>1771</v>
      </c>
      <c r="AW4839" s="4">
        <v>42566</v>
      </c>
      <c r="BD4839">
        <v>48.69</v>
      </c>
      <c r="BN4839" t="s">
        <v>74</v>
      </c>
    </row>
    <row r="4840" spans="1:66">
      <c r="A4840">
        <v>101759</v>
      </c>
      <c r="B4840" s="3" t="s">
        <v>515</v>
      </c>
      <c r="C4840" s="1">
        <v>43300101</v>
      </c>
      <c r="D4840" t="s">
        <v>67</v>
      </c>
      <c r="H4840" t="str">
        <f t="shared" si="519"/>
        <v>VRSCMN80T31A783K</v>
      </c>
      <c r="I4840" t="str">
        <f t="shared" si="520"/>
        <v>01308430626</v>
      </c>
      <c r="K4840" t="str">
        <f>""</f>
        <v/>
      </c>
      <c r="M4840" t="s">
        <v>68</v>
      </c>
      <c r="N4840" t="str">
        <f t="shared" si="517"/>
        <v>FOR</v>
      </c>
      <c r="O4840" t="s">
        <v>69</v>
      </c>
      <c r="P4840" s="3" t="s">
        <v>75</v>
      </c>
      <c r="Q4840">
        <v>2016</v>
      </c>
      <c r="R4840" s="2">
        <v>42417</v>
      </c>
      <c r="S4840" s="2">
        <v>42419</v>
      </c>
      <c r="T4840" s="2">
        <v>42417</v>
      </c>
      <c r="U4840" s="2">
        <v>42477</v>
      </c>
      <c r="V4840" t="s">
        <v>71</v>
      </c>
      <c r="W4840" t="str">
        <f>"             0118/EL"</f>
        <v xml:space="preserve">             0118/EL</v>
      </c>
      <c r="X4840">
        <v>915.4</v>
      </c>
      <c r="Y4840">
        <v>0</v>
      </c>
      <c r="Z4840" s="3">
        <v>750.33</v>
      </c>
      <c r="AA4840">
        <v>170</v>
      </c>
      <c r="AB4840" s="5">
        <v>127556.1</v>
      </c>
      <c r="AC4840">
        <v>750.33</v>
      </c>
      <c r="AD4840">
        <v>170</v>
      </c>
      <c r="AE4840" s="1">
        <v>127556.1</v>
      </c>
      <c r="AF4840">
        <v>0</v>
      </c>
      <c r="AJ4840">
        <v>0</v>
      </c>
      <c r="AK4840">
        <v>0</v>
      </c>
      <c r="AL4840">
        <v>0</v>
      </c>
      <c r="AM4840">
        <v>915.4</v>
      </c>
      <c r="AN4840">
        <v>915.4</v>
      </c>
      <c r="AO4840">
        <v>915.4</v>
      </c>
      <c r="AP4840" s="2">
        <v>42746</v>
      </c>
      <c r="AQ4840" t="s">
        <v>72</v>
      </c>
      <c r="AR4840" t="s">
        <v>72</v>
      </c>
      <c r="AS4840">
        <v>2594</v>
      </c>
      <c r="AT4840" s="4">
        <v>42647</v>
      </c>
      <c r="AU4840" t="s">
        <v>73</v>
      </c>
      <c r="AV4840">
        <v>2594</v>
      </c>
      <c r="AW4840" s="4">
        <v>42647</v>
      </c>
      <c r="BD4840">
        <v>0</v>
      </c>
      <c r="BN4840" t="s">
        <v>74</v>
      </c>
    </row>
    <row r="4841" spans="1:66">
      <c r="A4841">
        <v>101759</v>
      </c>
      <c r="B4841" s="3" t="s">
        <v>515</v>
      </c>
      <c r="C4841" s="1">
        <v>43300101</v>
      </c>
      <c r="D4841" t="s">
        <v>67</v>
      </c>
      <c r="H4841" t="str">
        <f t="shared" si="519"/>
        <v>VRSCMN80T31A783K</v>
      </c>
      <c r="I4841" t="str">
        <f t="shared" si="520"/>
        <v>01308430626</v>
      </c>
      <c r="K4841" t="str">
        <f>""</f>
        <v/>
      </c>
      <c r="M4841" t="s">
        <v>68</v>
      </c>
      <c r="N4841" t="str">
        <f t="shared" si="517"/>
        <v>FOR</v>
      </c>
      <c r="O4841" t="s">
        <v>69</v>
      </c>
      <c r="P4841" s="3" t="s">
        <v>75</v>
      </c>
      <c r="Q4841">
        <v>2016</v>
      </c>
      <c r="R4841" s="2">
        <v>42481</v>
      </c>
      <c r="S4841" s="2">
        <v>42486</v>
      </c>
      <c r="T4841" s="2">
        <v>42481</v>
      </c>
      <c r="U4841" s="2">
        <v>42541</v>
      </c>
      <c r="V4841" t="s">
        <v>71</v>
      </c>
      <c r="W4841" t="str">
        <f>"             0246/EL"</f>
        <v xml:space="preserve">             0246/EL</v>
      </c>
      <c r="X4841" s="1">
        <v>1040.04</v>
      </c>
      <c r="Y4841">
        <v>0</v>
      </c>
      <c r="Z4841" s="3">
        <v>852.49</v>
      </c>
      <c r="AA4841">
        <v>106</v>
      </c>
      <c r="AB4841" s="5">
        <v>90363.94</v>
      </c>
      <c r="AC4841">
        <v>852.49</v>
      </c>
      <c r="AD4841">
        <v>106</v>
      </c>
      <c r="AE4841" s="1">
        <v>90363.94</v>
      </c>
      <c r="AF4841">
        <v>0</v>
      </c>
      <c r="AJ4841">
        <v>0</v>
      </c>
      <c r="AK4841">
        <v>0</v>
      </c>
      <c r="AL4841">
        <v>0</v>
      </c>
      <c r="AM4841" s="1">
        <v>1040.04</v>
      </c>
      <c r="AN4841" s="1">
        <v>1040.04</v>
      </c>
      <c r="AO4841" s="1">
        <v>1040.04</v>
      </c>
      <c r="AP4841" s="2">
        <v>42746</v>
      </c>
      <c r="AQ4841" t="s">
        <v>72</v>
      </c>
      <c r="AR4841" t="s">
        <v>72</v>
      </c>
      <c r="AS4841">
        <v>2594</v>
      </c>
      <c r="AT4841" s="4">
        <v>42647</v>
      </c>
      <c r="AU4841" t="s">
        <v>73</v>
      </c>
      <c r="AV4841">
        <v>2594</v>
      </c>
      <c r="AW4841" s="4">
        <v>42647</v>
      </c>
      <c r="BD4841">
        <v>0</v>
      </c>
      <c r="BN4841" t="s">
        <v>74</v>
      </c>
    </row>
    <row r="4842" spans="1:66">
      <c r="A4842">
        <v>101759</v>
      </c>
      <c r="B4842" s="3" t="s">
        <v>515</v>
      </c>
      <c r="C4842" s="1">
        <v>43300101</v>
      </c>
      <c r="D4842" t="s">
        <v>67</v>
      </c>
      <c r="H4842" t="str">
        <f t="shared" si="519"/>
        <v>VRSCMN80T31A783K</v>
      </c>
      <c r="I4842" t="str">
        <f t="shared" si="520"/>
        <v>01308430626</v>
      </c>
      <c r="K4842" t="str">
        <f>""</f>
        <v/>
      </c>
      <c r="M4842" t="s">
        <v>68</v>
      </c>
      <c r="N4842" t="str">
        <f t="shared" si="517"/>
        <v>FOR</v>
      </c>
      <c r="O4842" t="s">
        <v>69</v>
      </c>
      <c r="P4842" s="3" t="s">
        <v>75</v>
      </c>
      <c r="Q4842">
        <v>2016</v>
      </c>
      <c r="R4842" s="2">
        <v>42499</v>
      </c>
      <c r="S4842" s="2">
        <v>42500</v>
      </c>
      <c r="T4842" s="2">
        <v>42499</v>
      </c>
      <c r="U4842" s="2">
        <v>42559</v>
      </c>
      <c r="V4842" t="s">
        <v>71</v>
      </c>
      <c r="W4842" t="str">
        <f>"             0296/EL"</f>
        <v xml:space="preserve">             0296/EL</v>
      </c>
      <c r="X4842">
        <v>85.4</v>
      </c>
      <c r="Y4842">
        <v>0</v>
      </c>
      <c r="Z4842" s="3">
        <v>70</v>
      </c>
      <c r="AA4842">
        <v>122</v>
      </c>
      <c r="AB4842" s="5">
        <v>8540</v>
      </c>
      <c r="AC4842">
        <v>70</v>
      </c>
      <c r="AD4842">
        <v>122</v>
      </c>
      <c r="AE4842" s="1">
        <v>8540</v>
      </c>
      <c r="AF4842">
        <v>15.4</v>
      </c>
      <c r="AJ4842">
        <v>0</v>
      </c>
      <c r="AK4842">
        <v>0</v>
      </c>
      <c r="AL4842">
        <v>0</v>
      </c>
      <c r="AM4842">
        <v>85.4</v>
      </c>
      <c r="AN4842">
        <v>85.4</v>
      </c>
      <c r="AO4842">
        <v>85.4</v>
      </c>
      <c r="AP4842" s="2">
        <v>42746</v>
      </c>
      <c r="AQ4842" t="s">
        <v>72</v>
      </c>
      <c r="AR4842" t="s">
        <v>72</v>
      </c>
      <c r="AS4842">
        <v>2946</v>
      </c>
      <c r="AT4842" s="4">
        <v>42681</v>
      </c>
      <c r="AU4842" t="s">
        <v>73</v>
      </c>
      <c r="AV4842">
        <v>2946</v>
      </c>
      <c r="AW4842" s="4">
        <v>42681</v>
      </c>
      <c r="BC4842">
        <v>15.4</v>
      </c>
      <c r="BD4842">
        <v>0</v>
      </c>
      <c r="BN4842" t="s">
        <v>74</v>
      </c>
    </row>
    <row r="4843" spans="1:66">
      <c r="A4843">
        <v>101759</v>
      </c>
      <c r="B4843" s="3" t="s">
        <v>515</v>
      </c>
      <c r="C4843" s="1">
        <v>43300101</v>
      </c>
      <c r="D4843" t="s">
        <v>67</v>
      </c>
      <c r="H4843" t="str">
        <f t="shared" si="519"/>
        <v>VRSCMN80T31A783K</v>
      </c>
      <c r="I4843" t="str">
        <f t="shared" si="520"/>
        <v>01308430626</v>
      </c>
      <c r="K4843" t="str">
        <f>""</f>
        <v/>
      </c>
      <c r="M4843" t="s">
        <v>68</v>
      </c>
      <c r="N4843" t="str">
        <f t="shared" si="517"/>
        <v>FOR</v>
      </c>
      <c r="O4843" t="s">
        <v>69</v>
      </c>
      <c r="P4843" s="3" t="s">
        <v>75</v>
      </c>
      <c r="Q4843">
        <v>2016</v>
      </c>
      <c r="R4843" s="2">
        <v>42516</v>
      </c>
      <c r="S4843" s="2">
        <v>42520</v>
      </c>
      <c r="T4843" s="2">
        <v>42516</v>
      </c>
      <c r="U4843" s="2">
        <v>42576</v>
      </c>
      <c r="V4843" t="s">
        <v>71</v>
      </c>
      <c r="W4843" t="str">
        <f>"             0363/EL"</f>
        <v xml:space="preserve">             0363/EL</v>
      </c>
      <c r="X4843">
        <v>796.09</v>
      </c>
      <c r="Y4843">
        <v>0</v>
      </c>
      <c r="Z4843" s="3">
        <v>652.53</v>
      </c>
      <c r="AA4843">
        <v>116</v>
      </c>
      <c r="AB4843" s="5">
        <v>75693.48</v>
      </c>
      <c r="AC4843">
        <v>652.53</v>
      </c>
      <c r="AD4843">
        <v>116</v>
      </c>
      <c r="AE4843" s="1">
        <v>75693.48</v>
      </c>
      <c r="AF4843">
        <v>0</v>
      </c>
      <c r="AJ4843">
        <v>0</v>
      </c>
      <c r="AK4843">
        <v>0</v>
      </c>
      <c r="AL4843">
        <v>0</v>
      </c>
      <c r="AM4843">
        <v>796.09</v>
      </c>
      <c r="AN4843">
        <v>796.09</v>
      </c>
      <c r="AO4843">
        <v>796.09</v>
      </c>
      <c r="AP4843" s="2">
        <v>42746</v>
      </c>
      <c r="AQ4843" t="s">
        <v>72</v>
      </c>
      <c r="AR4843" t="s">
        <v>72</v>
      </c>
      <c r="AS4843">
        <v>3170</v>
      </c>
      <c r="AT4843" s="4">
        <v>42692</v>
      </c>
      <c r="AU4843" t="s">
        <v>73</v>
      </c>
      <c r="AV4843">
        <v>3170</v>
      </c>
      <c r="AW4843" s="4">
        <v>42692</v>
      </c>
      <c r="BD4843">
        <v>0</v>
      </c>
      <c r="BN4843" t="s">
        <v>74</v>
      </c>
    </row>
    <row r="4844" spans="1:66">
      <c r="A4844">
        <v>101759</v>
      </c>
      <c r="B4844" s="3" t="s">
        <v>515</v>
      </c>
      <c r="C4844" s="1">
        <v>43300101</v>
      </c>
      <c r="D4844" t="s">
        <v>67</v>
      </c>
      <c r="H4844" t="str">
        <f t="shared" si="519"/>
        <v>VRSCMN80T31A783K</v>
      </c>
      <c r="I4844" t="str">
        <f t="shared" si="520"/>
        <v>01308430626</v>
      </c>
      <c r="K4844" t="str">
        <f>""</f>
        <v/>
      </c>
      <c r="M4844" t="s">
        <v>68</v>
      </c>
      <c r="N4844" t="str">
        <f t="shared" si="517"/>
        <v>FOR</v>
      </c>
      <c r="O4844" t="s">
        <v>69</v>
      </c>
      <c r="P4844" s="3" t="s">
        <v>75</v>
      </c>
      <c r="Q4844">
        <v>2016</v>
      </c>
      <c r="R4844" s="2">
        <v>42552</v>
      </c>
      <c r="S4844" s="2">
        <v>42555</v>
      </c>
      <c r="T4844" s="2">
        <v>42555</v>
      </c>
      <c r="U4844" s="2">
        <v>42615</v>
      </c>
      <c r="V4844" t="s">
        <v>71</v>
      </c>
      <c r="W4844" t="str">
        <f>"             0480/EL"</f>
        <v xml:space="preserve">             0480/EL</v>
      </c>
      <c r="X4844">
        <v>966.34</v>
      </c>
      <c r="Y4844">
        <v>0</v>
      </c>
      <c r="Z4844" s="3">
        <v>792.08</v>
      </c>
      <c r="AA4844">
        <v>77</v>
      </c>
      <c r="AB4844" s="5">
        <v>60990.16</v>
      </c>
      <c r="AC4844">
        <v>792.08</v>
      </c>
      <c r="AD4844">
        <v>77</v>
      </c>
      <c r="AE4844" s="1">
        <v>60990.16</v>
      </c>
      <c r="AF4844">
        <v>0</v>
      </c>
      <c r="AJ4844">
        <v>0</v>
      </c>
      <c r="AK4844">
        <v>0</v>
      </c>
      <c r="AL4844">
        <v>0</v>
      </c>
      <c r="AM4844">
        <v>966.34</v>
      </c>
      <c r="AN4844">
        <v>966.34</v>
      </c>
      <c r="AO4844">
        <v>966.34</v>
      </c>
      <c r="AP4844" s="2">
        <v>42746</v>
      </c>
      <c r="AQ4844" t="s">
        <v>72</v>
      </c>
      <c r="AR4844" t="s">
        <v>72</v>
      </c>
      <c r="AS4844">
        <v>3170</v>
      </c>
      <c r="AT4844" s="4">
        <v>42692</v>
      </c>
      <c r="AU4844" t="s">
        <v>73</v>
      </c>
      <c r="AV4844">
        <v>3170</v>
      </c>
      <c r="AW4844" s="4">
        <v>42692</v>
      </c>
      <c r="BD4844">
        <v>0</v>
      </c>
      <c r="BN4844" t="s">
        <v>74</v>
      </c>
    </row>
    <row r="4845" spans="1:66">
      <c r="A4845">
        <v>101759</v>
      </c>
      <c r="B4845" s="3" t="s">
        <v>515</v>
      </c>
      <c r="C4845" s="1">
        <v>43300101</v>
      </c>
      <c r="D4845" t="s">
        <v>67</v>
      </c>
      <c r="H4845" t="str">
        <f t="shared" si="519"/>
        <v>VRSCMN80T31A783K</v>
      </c>
      <c r="I4845" t="str">
        <f t="shared" si="520"/>
        <v>01308430626</v>
      </c>
      <c r="K4845" t="str">
        <f>""</f>
        <v/>
      </c>
      <c r="M4845" t="s">
        <v>68</v>
      </c>
      <c r="N4845" t="str">
        <f t="shared" si="517"/>
        <v>FOR</v>
      </c>
      <c r="O4845" t="s">
        <v>69</v>
      </c>
      <c r="P4845" s="3" t="s">
        <v>75</v>
      </c>
      <c r="Q4845">
        <v>2016</v>
      </c>
      <c r="R4845" s="2">
        <v>42578</v>
      </c>
      <c r="S4845" s="2">
        <v>42583</v>
      </c>
      <c r="T4845" s="2">
        <v>42580</v>
      </c>
      <c r="U4845" s="2">
        <v>42640</v>
      </c>
      <c r="V4845" t="s">
        <v>71</v>
      </c>
      <c r="W4845" t="str">
        <f>"             0532/EL"</f>
        <v xml:space="preserve">             0532/EL</v>
      </c>
      <c r="X4845">
        <v>575.89</v>
      </c>
      <c r="Y4845">
        <v>0</v>
      </c>
      <c r="Z4845" s="3">
        <v>472.04</v>
      </c>
      <c r="AA4845">
        <v>52</v>
      </c>
      <c r="AB4845" s="5">
        <v>24546.080000000002</v>
      </c>
      <c r="AC4845">
        <v>472.04</v>
      </c>
      <c r="AD4845">
        <v>52</v>
      </c>
      <c r="AE4845" s="1">
        <v>24546.080000000002</v>
      </c>
      <c r="AF4845">
        <v>0</v>
      </c>
      <c r="AJ4845">
        <v>0</v>
      </c>
      <c r="AK4845">
        <v>0</v>
      </c>
      <c r="AL4845">
        <v>0</v>
      </c>
      <c r="AM4845">
        <v>575.89</v>
      </c>
      <c r="AN4845">
        <v>575.89</v>
      </c>
      <c r="AO4845">
        <v>575.89</v>
      </c>
      <c r="AP4845" s="2">
        <v>42746</v>
      </c>
      <c r="AQ4845" t="s">
        <v>72</v>
      </c>
      <c r="AR4845" t="s">
        <v>72</v>
      </c>
      <c r="AS4845">
        <v>3170</v>
      </c>
      <c r="AT4845" s="4">
        <v>42692</v>
      </c>
      <c r="AU4845" t="s">
        <v>73</v>
      </c>
      <c r="AV4845">
        <v>3170</v>
      </c>
      <c r="AW4845" s="4">
        <v>42692</v>
      </c>
      <c r="BD4845">
        <v>0</v>
      </c>
      <c r="BN4845" t="s">
        <v>74</v>
      </c>
    </row>
    <row r="4846" spans="1:66">
      <c r="A4846">
        <v>101759</v>
      </c>
      <c r="B4846" s="3" t="s">
        <v>515</v>
      </c>
      <c r="C4846" s="1">
        <v>43300101</v>
      </c>
      <c r="D4846" t="s">
        <v>67</v>
      </c>
      <c r="H4846" t="str">
        <f t="shared" si="519"/>
        <v>VRSCMN80T31A783K</v>
      </c>
      <c r="I4846" t="str">
        <f t="shared" si="520"/>
        <v>01308430626</v>
      </c>
      <c r="K4846" t="str">
        <f>""</f>
        <v/>
      </c>
      <c r="M4846" t="s">
        <v>68</v>
      </c>
      <c r="N4846" t="str">
        <f t="shared" si="517"/>
        <v>FOR</v>
      </c>
      <c r="O4846" t="s">
        <v>69</v>
      </c>
      <c r="P4846" s="3" t="s">
        <v>75</v>
      </c>
      <c r="Q4846">
        <v>2016</v>
      </c>
      <c r="R4846" s="2">
        <v>42584</v>
      </c>
      <c r="S4846" s="2">
        <v>42585</v>
      </c>
      <c r="T4846" s="2">
        <v>42584</v>
      </c>
      <c r="U4846" s="2">
        <v>42644</v>
      </c>
      <c r="V4846" t="s">
        <v>71</v>
      </c>
      <c r="W4846" t="str">
        <f>"             0548/EL"</f>
        <v xml:space="preserve">             0548/EL</v>
      </c>
      <c r="X4846">
        <v>161.52000000000001</v>
      </c>
      <c r="Y4846">
        <v>0</v>
      </c>
      <c r="Z4846" s="3">
        <v>132.38999999999999</v>
      </c>
      <c r="AA4846">
        <v>48</v>
      </c>
      <c r="AB4846" s="5">
        <v>6354.72</v>
      </c>
      <c r="AC4846">
        <v>132.38999999999999</v>
      </c>
      <c r="AD4846">
        <v>48</v>
      </c>
      <c r="AE4846" s="1">
        <v>6354.72</v>
      </c>
      <c r="AF4846">
        <v>0</v>
      </c>
      <c r="AJ4846">
        <v>0</v>
      </c>
      <c r="AK4846">
        <v>0</v>
      </c>
      <c r="AL4846">
        <v>0</v>
      </c>
      <c r="AM4846">
        <v>161.52000000000001</v>
      </c>
      <c r="AN4846">
        <v>161.52000000000001</v>
      </c>
      <c r="AO4846">
        <v>161.52000000000001</v>
      </c>
      <c r="AP4846" s="2">
        <v>42746</v>
      </c>
      <c r="AQ4846" t="s">
        <v>72</v>
      </c>
      <c r="AR4846" t="s">
        <v>72</v>
      </c>
      <c r="AS4846">
        <v>3170</v>
      </c>
      <c r="AT4846" s="4">
        <v>42692</v>
      </c>
      <c r="AU4846" t="s">
        <v>73</v>
      </c>
      <c r="AV4846">
        <v>3170</v>
      </c>
      <c r="AW4846" s="4">
        <v>42692</v>
      </c>
      <c r="BD4846">
        <v>0</v>
      </c>
      <c r="BN4846" t="s">
        <v>74</v>
      </c>
    </row>
    <row r="4847" spans="1:66">
      <c r="A4847">
        <v>101759</v>
      </c>
      <c r="B4847" s="3" t="s">
        <v>515</v>
      </c>
      <c r="C4847" s="1">
        <v>43300101</v>
      </c>
      <c r="D4847" t="s">
        <v>67</v>
      </c>
      <c r="H4847" t="str">
        <f t="shared" si="519"/>
        <v>VRSCMN80T31A783K</v>
      </c>
      <c r="I4847" t="str">
        <f t="shared" si="520"/>
        <v>01308430626</v>
      </c>
      <c r="K4847" t="str">
        <f>""</f>
        <v/>
      </c>
      <c r="M4847" t="s">
        <v>68</v>
      </c>
      <c r="N4847" t="str">
        <f t="shared" si="517"/>
        <v>FOR</v>
      </c>
      <c r="O4847" t="s">
        <v>69</v>
      </c>
      <c r="P4847" s="3" t="s">
        <v>75</v>
      </c>
      <c r="Q4847">
        <v>2016</v>
      </c>
      <c r="R4847" s="2">
        <v>42647</v>
      </c>
      <c r="S4847" s="2">
        <v>42647</v>
      </c>
      <c r="T4847" s="2">
        <v>42647</v>
      </c>
      <c r="U4847" s="2">
        <v>42707</v>
      </c>
      <c r="V4847" t="s">
        <v>71</v>
      </c>
      <c r="W4847" t="str">
        <f>"             0707/EL"</f>
        <v xml:space="preserve">             0707/EL</v>
      </c>
      <c r="X4847">
        <v>644.99</v>
      </c>
      <c r="Y4847">
        <v>0</v>
      </c>
      <c r="Z4847" s="3">
        <v>528.67999999999995</v>
      </c>
      <c r="AA4847">
        <v>-15</v>
      </c>
      <c r="AB4847" s="5">
        <v>-7930.2</v>
      </c>
      <c r="AC4847">
        <v>528.67999999999995</v>
      </c>
      <c r="AD4847">
        <v>-15</v>
      </c>
      <c r="AE4847" s="1">
        <v>-7930.2</v>
      </c>
      <c r="AF4847">
        <v>0</v>
      </c>
      <c r="AJ4847">
        <v>644.99</v>
      </c>
      <c r="AK4847">
        <v>644.99</v>
      </c>
      <c r="AL4847">
        <v>644.99</v>
      </c>
      <c r="AM4847">
        <v>644.99</v>
      </c>
      <c r="AN4847">
        <v>644.99</v>
      </c>
      <c r="AO4847">
        <v>644.99</v>
      </c>
      <c r="AP4847" s="2">
        <v>42746</v>
      </c>
      <c r="AQ4847" t="s">
        <v>72</v>
      </c>
      <c r="AR4847" t="s">
        <v>72</v>
      </c>
      <c r="AS4847">
        <v>3170</v>
      </c>
      <c r="AT4847" s="4">
        <v>42692</v>
      </c>
      <c r="AV4847">
        <v>3170</v>
      </c>
      <c r="AW4847" s="4">
        <v>42692</v>
      </c>
      <c r="BD4847">
        <v>0</v>
      </c>
      <c r="BN4847" t="s">
        <v>74</v>
      </c>
    </row>
    <row r="4848" spans="1:66" hidden="1">
      <c r="A4848">
        <v>101769</v>
      </c>
      <c r="B4848" s="3" t="s">
        <v>516</v>
      </c>
      <c r="C4848" s="1">
        <v>43300101</v>
      </c>
      <c r="D4848" t="s">
        <v>67</v>
      </c>
      <c r="H4848" t="str">
        <f t="shared" ref="H4848:I4852" si="521">"01525990626"</f>
        <v>01525990626</v>
      </c>
      <c r="I4848" t="str">
        <f t="shared" si="521"/>
        <v>01525990626</v>
      </c>
      <c r="K4848" t="str">
        <f>""</f>
        <v/>
      </c>
      <c r="M4848" t="s">
        <v>68</v>
      </c>
      <c r="N4848" t="str">
        <f t="shared" si="517"/>
        <v>FOR</v>
      </c>
      <c r="O4848" t="s">
        <v>69</v>
      </c>
      <c r="P4848" s="3" t="s">
        <v>70</v>
      </c>
      <c r="Q4848">
        <v>2015</v>
      </c>
      <c r="R4848" s="2">
        <v>42167</v>
      </c>
      <c r="S4848" s="2">
        <v>42354</v>
      </c>
      <c r="T4848" s="2">
        <v>42354</v>
      </c>
      <c r="U4848" s="2">
        <v>42414</v>
      </c>
      <c r="V4848" t="s">
        <v>71</v>
      </c>
      <c r="W4848" t="str">
        <f>"                 669"</f>
        <v xml:space="preserve">                 669</v>
      </c>
      <c r="X4848" s="1">
        <v>1400</v>
      </c>
      <c r="Y4848">
        <v>0</v>
      </c>
      <c r="Z4848"/>
      <c r="AB4848"/>
      <c r="AC4848" s="1">
        <v>1147.54</v>
      </c>
      <c r="AD4848">
        <v>-11</v>
      </c>
      <c r="AE4848" s="1">
        <v>-12622.94</v>
      </c>
      <c r="AF4848">
        <v>252.46</v>
      </c>
      <c r="AJ4848">
        <v>0</v>
      </c>
      <c r="AK4848">
        <v>0</v>
      </c>
      <c r="AL4848">
        <v>0</v>
      </c>
      <c r="AM4848">
        <v>0</v>
      </c>
      <c r="AN4848">
        <v>0</v>
      </c>
      <c r="AO4848">
        <v>0</v>
      </c>
      <c r="AP4848" s="2">
        <v>42746</v>
      </c>
      <c r="AQ4848" t="s">
        <v>72</v>
      </c>
      <c r="AR4848" t="s">
        <v>72</v>
      </c>
      <c r="AS4848">
        <v>212</v>
      </c>
      <c r="AT4848" s="4">
        <v>42403</v>
      </c>
      <c r="AV4848">
        <v>212</v>
      </c>
      <c r="AW4848" s="4">
        <v>42403</v>
      </c>
      <c r="BD4848">
        <v>252.46</v>
      </c>
      <c r="BN4848" t="s">
        <v>74</v>
      </c>
    </row>
    <row r="4849" spans="1:66" hidden="1">
      <c r="A4849">
        <v>101769</v>
      </c>
      <c r="B4849" s="3" t="s">
        <v>516</v>
      </c>
      <c r="C4849" s="1">
        <v>43300101</v>
      </c>
      <c r="D4849" t="s">
        <v>67</v>
      </c>
      <c r="H4849" t="str">
        <f t="shared" si="521"/>
        <v>01525990626</v>
      </c>
      <c r="I4849" t="str">
        <f t="shared" si="521"/>
        <v>01525990626</v>
      </c>
      <c r="K4849" t="str">
        <f>""</f>
        <v/>
      </c>
      <c r="M4849" t="s">
        <v>68</v>
      </c>
      <c r="N4849" t="str">
        <f t="shared" si="517"/>
        <v>FOR</v>
      </c>
      <c r="O4849" t="s">
        <v>69</v>
      </c>
      <c r="P4849" s="3" t="s">
        <v>70</v>
      </c>
      <c r="Q4849">
        <v>2015</v>
      </c>
      <c r="R4849" s="2">
        <v>42350</v>
      </c>
      <c r="S4849" s="2">
        <v>42353</v>
      </c>
      <c r="T4849" s="2">
        <v>42353</v>
      </c>
      <c r="U4849" s="2">
        <v>42413</v>
      </c>
      <c r="V4849" t="s">
        <v>71</v>
      </c>
      <c r="W4849" t="str">
        <f>"                1390"</f>
        <v xml:space="preserve">                1390</v>
      </c>
      <c r="X4849">
        <v>360</v>
      </c>
      <c r="Y4849">
        <v>0</v>
      </c>
      <c r="Z4849"/>
      <c r="AB4849"/>
      <c r="AC4849">
        <v>295.08</v>
      </c>
      <c r="AD4849">
        <v>-10</v>
      </c>
      <c r="AE4849" s="1">
        <v>-2950.8</v>
      </c>
      <c r="AF4849">
        <v>64.92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 s="2">
        <v>42746</v>
      </c>
      <c r="AQ4849" t="s">
        <v>72</v>
      </c>
      <c r="AR4849" t="s">
        <v>72</v>
      </c>
      <c r="AS4849">
        <v>212</v>
      </c>
      <c r="AT4849" s="4">
        <v>42403</v>
      </c>
      <c r="AV4849">
        <v>212</v>
      </c>
      <c r="AW4849" s="4">
        <v>42403</v>
      </c>
      <c r="BD4849">
        <v>64.92</v>
      </c>
      <c r="BN4849" t="s">
        <v>74</v>
      </c>
    </row>
    <row r="4850" spans="1:66" hidden="1">
      <c r="A4850">
        <v>101769</v>
      </c>
      <c r="B4850" s="3" t="s">
        <v>516</v>
      </c>
      <c r="C4850" s="1">
        <v>43300101</v>
      </c>
      <c r="D4850" t="s">
        <v>67</v>
      </c>
      <c r="H4850" t="str">
        <f t="shared" si="521"/>
        <v>01525990626</v>
      </c>
      <c r="I4850" t="str">
        <f t="shared" si="521"/>
        <v>01525990626</v>
      </c>
      <c r="K4850" t="str">
        <f>""</f>
        <v/>
      </c>
      <c r="M4850" t="s">
        <v>68</v>
      </c>
      <c r="N4850" t="str">
        <f t="shared" si="517"/>
        <v>FOR</v>
      </c>
      <c r="O4850" t="s">
        <v>69</v>
      </c>
      <c r="P4850" s="3" t="s">
        <v>70</v>
      </c>
      <c r="Q4850">
        <v>2015</v>
      </c>
      <c r="R4850" s="2">
        <v>42354</v>
      </c>
      <c r="S4850" s="2">
        <v>42354</v>
      </c>
      <c r="T4850" s="2">
        <v>42354</v>
      </c>
      <c r="U4850" s="2">
        <v>42414</v>
      </c>
      <c r="V4850" t="s">
        <v>71</v>
      </c>
      <c r="W4850" t="str">
        <f>"                1413"</f>
        <v xml:space="preserve">                1413</v>
      </c>
      <c r="X4850">
        <v>700</v>
      </c>
      <c r="Y4850">
        <v>0</v>
      </c>
      <c r="Z4850"/>
      <c r="AB4850"/>
      <c r="AC4850">
        <v>573.77</v>
      </c>
      <c r="AD4850">
        <v>-11</v>
      </c>
      <c r="AE4850" s="1">
        <v>-6311.47</v>
      </c>
      <c r="AF4850">
        <v>126.23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 s="2">
        <v>42746</v>
      </c>
      <c r="AQ4850" t="s">
        <v>72</v>
      </c>
      <c r="AR4850" t="s">
        <v>72</v>
      </c>
      <c r="AS4850">
        <v>212</v>
      </c>
      <c r="AT4850" s="4">
        <v>42403</v>
      </c>
      <c r="AV4850">
        <v>212</v>
      </c>
      <c r="AW4850" s="4">
        <v>42403</v>
      </c>
      <c r="BD4850">
        <v>126.23</v>
      </c>
      <c r="BN4850" t="s">
        <v>74</v>
      </c>
    </row>
    <row r="4851" spans="1:66" hidden="1">
      <c r="A4851">
        <v>101769</v>
      </c>
      <c r="B4851" s="3" t="s">
        <v>516</v>
      </c>
      <c r="C4851" s="1">
        <v>43300101</v>
      </c>
      <c r="D4851" t="s">
        <v>67</v>
      </c>
      <c r="H4851" t="str">
        <f t="shared" si="521"/>
        <v>01525990626</v>
      </c>
      <c r="I4851" t="str">
        <f t="shared" si="521"/>
        <v>01525990626</v>
      </c>
      <c r="K4851" t="str">
        <f>""</f>
        <v/>
      </c>
      <c r="M4851" t="s">
        <v>68</v>
      </c>
      <c r="N4851" t="str">
        <f t="shared" si="517"/>
        <v>FOR</v>
      </c>
      <c r="O4851" t="s">
        <v>69</v>
      </c>
      <c r="P4851" s="3" t="s">
        <v>70</v>
      </c>
      <c r="Q4851">
        <v>2015</v>
      </c>
      <c r="R4851" s="2">
        <v>42360</v>
      </c>
      <c r="S4851" s="2">
        <v>42369</v>
      </c>
      <c r="T4851" s="2">
        <v>42369</v>
      </c>
      <c r="U4851" s="2">
        <v>42429</v>
      </c>
      <c r="V4851" t="s">
        <v>71</v>
      </c>
      <c r="W4851" t="str">
        <f>"                1440"</f>
        <v xml:space="preserve">                1440</v>
      </c>
      <c r="X4851">
        <v>300</v>
      </c>
      <c r="Y4851">
        <v>0</v>
      </c>
      <c r="Z4851"/>
      <c r="AB4851"/>
      <c r="AC4851">
        <v>245.9</v>
      </c>
      <c r="AD4851">
        <v>137</v>
      </c>
      <c r="AE4851" s="1">
        <v>33688.300000000003</v>
      </c>
      <c r="AF4851">
        <v>54.1</v>
      </c>
      <c r="AJ4851">
        <v>0</v>
      </c>
      <c r="AK4851">
        <v>0</v>
      </c>
      <c r="AL4851">
        <v>0</v>
      </c>
      <c r="AM4851">
        <v>0</v>
      </c>
      <c r="AN4851">
        <v>0</v>
      </c>
      <c r="AO4851">
        <v>0</v>
      </c>
      <c r="AP4851" s="2">
        <v>42746</v>
      </c>
      <c r="AQ4851" t="s">
        <v>72</v>
      </c>
      <c r="AR4851" t="s">
        <v>72</v>
      </c>
      <c r="AS4851">
        <v>1771</v>
      </c>
      <c r="AT4851" s="4">
        <v>42566</v>
      </c>
      <c r="AU4851" t="s">
        <v>73</v>
      </c>
      <c r="AV4851">
        <v>1771</v>
      </c>
      <c r="AW4851" s="4">
        <v>42566</v>
      </c>
      <c r="BD4851">
        <v>54.1</v>
      </c>
      <c r="BN4851" t="s">
        <v>74</v>
      </c>
    </row>
    <row r="4852" spans="1:66">
      <c r="A4852">
        <v>101769</v>
      </c>
      <c r="B4852" s="3" t="s">
        <v>516</v>
      </c>
      <c r="C4852" s="1">
        <v>43300101</v>
      </c>
      <c r="D4852" t="s">
        <v>67</v>
      </c>
      <c r="H4852" t="str">
        <f t="shared" si="521"/>
        <v>01525990626</v>
      </c>
      <c r="I4852" t="str">
        <f t="shared" si="521"/>
        <v>01525990626</v>
      </c>
      <c r="K4852" t="str">
        <f>""</f>
        <v/>
      </c>
      <c r="M4852" t="s">
        <v>68</v>
      </c>
      <c r="N4852" t="str">
        <f t="shared" si="517"/>
        <v>FOR</v>
      </c>
      <c r="O4852" t="s">
        <v>69</v>
      </c>
      <c r="P4852" s="3" t="s">
        <v>70</v>
      </c>
      <c r="Q4852">
        <v>2016</v>
      </c>
      <c r="R4852" s="2">
        <v>42501</v>
      </c>
      <c r="S4852" s="2">
        <v>42507</v>
      </c>
      <c r="T4852" s="2">
        <v>42507</v>
      </c>
      <c r="U4852" s="2">
        <v>42567</v>
      </c>
      <c r="V4852" t="s">
        <v>71</v>
      </c>
      <c r="W4852" t="str">
        <f>"                 9/A"</f>
        <v xml:space="preserve">                 9/A</v>
      </c>
      <c r="X4852">
        <v>320</v>
      </c>
      <c r="Y4852">
        <v>0</v>
      </c>
      <c r="Z4852" s="3">
        <v>262.3</v>
      </c>
      <c r="AA4852">
        <v>114</v>
      </c>
      <c r="AB4852" s="5">
        <v>29902.2</v>
      </c>
      <c r="AC4852">
        <v>262.3</v>
      </c>
      <c r="AD4852">
        <v>114</v>
      </c>
      <c r="AE4852" s="1">
        <v>29902.2</v>
      </c>
      <c r="AF4852">
        <v>57.7</v>
      </c>
      <c r="AJ4852">
        <v>0</v>
      </c>
      <c r="AK4852">
        <v>0</v>
      </c>
      <c r="AL4852">
        <v>0</v>
      </c>
      <c r="AM4852">
        <v>320</v>
      </c>
      <c r="AN4852">
        <v>320</v>
      </c>
      <c r="AO4852">
        <v>320</v>
      </c>
      <c r="AP4852" s="2">
        <v>42746</v>
      </c>
      <c r="AQ4852" t="s">
        <v>72</v>
      </c>
      <c r="AR4852" t="s">
        <v>72</v>
      </c>
      <c r="AS4852">
        <v>2946</v>
      </c>
      <c r="AT4852" s="4">
        <v>42681</v>
      </c>
      <c r="AU4852" t="s">
        <v>73</v>
      </c>
      <c r="AV4852">
        <v>2946</v>
      </c>
      <c r="AW4852" s="4">
        <v>42681</v>
      </c>
      <c r="BC4852">
        <v>57.7</v>
      </c>
      <c r="BD4852">
        <v>0</v>
      </c>
      <c r="BN4852" t="s">
        <v>74</v>
      </c>
    </row>
    <row r="4853" spans="1:66" hidden="1">
      <c r="A4853">
        <v>101778</v>
      </c>
      <c r="B4853" s="3" t="s">
        <v>517</v>
      </c>
      <c r="C4853" s="1">
        <v>43300101</v>
      </c>
      <c r="D4853" t="s">
        <v>67</v>
      </c>
      <c r="H4853" t="str">
        <f t="shared" ref="H4853:I4858" si="522">"01791230152"</f>
        <v>01791230152</v>
      </c>
      <c r="I4853" t="str">
        <f t="shared" si="522"/>
        <v>01791230152</v>
      </c>
      <c r="K4853" t="str">
        <f>""</f>
        <v/>
      </c>
      <c r="M4853" t="s">
        <v>68</v>
      </c>
      <c r="N4853" t="str">
        <f t="shared" si="517"/>
        <v>FOR</v>
      </c>
      <c r="O4853" t="s">
        <v>69</v>
      </c>
      <c r="P4853" s="3" t="s">
        <v>75</v>
      </c>
      <c r="Q4853">
        <v>2015</v>
      </c>
      <c r="R4853" s="2">
        <v>42277</v>
      </c>
      <c r="S4853" s="2">
        <v>42282</v>
      </c>
      <c r="T4853" s="2">
        <v>42278</v>
      </c>
      <c r="U4853" s="2">
        <v>42338</v>
      </c>
      <c r="V4853" t="s">
        <v>71</v>
      </c>
      <c r="W4853" t="str">
        <f>"              X00072"</f>
        <v xml:space="preserve">              X00072</v>
      </c>
      <c r="X4853" s="1">
        <v>1647</v>
      </c>
      <c r="Y4853">
        <v>0</v>
      </c>
      <c r="Z4853"/>
      <c r="AB4853"/>
      <c r="AC4853" s="1">
        <v>1350</v>
      </c>
      <c r="AD4853">
        <v>77</v>
      </c>
      <c r="AE4853" s="1">
        <v>103950</v>
      </c>
      <c r="AF4853">
        <v>0</v>
      </c>
      <c r="AJ4853">
        <v>0</v>
      </c>
      <c r="AK4853">
        <v>0</v>
      </c>
      <c r="AL4853">
        <v>0</v>
      </c>
      <c r="AM4853">
        <v>0</v>
      </c>
      <c r="AN4853">
        <v>0</v>
      </c>
      <c r="AO4853">
        <v>0</v>
      </c>
      <c r="AP4853" s="2">
        <v>42746</v>
      </c>
      <c r="AQ4853" t="s">
        <v>72</v>
      </c>
      <c r="AR4853" t="s">
        <v>72</v>
      </c>
      <c r="AS4853">
        <v>372</v>
      </c>
      <c r="AT4853" s="4">
        <v>42415</v>
      </c>
      <c r="AU4853" t="s">
        <v>73</v>
      </c>
      <c r="AV4853">
        <v>372</v>
      </c>
      <c r="AW4853" s="4">
        <v>42415</v>
      </c>
      <c r="BD4853">
        <v>0</v>
      </c>
      <c r="BN4853" t="s">
        <v>74</v>
      </c>
    </row>
    <row r="4854" spans="1:66" hidden="1">
      <c r="A4854">
        <v>101778</v>
      </c>
      <c r="B4854" s="3" t="s">
        <v>517</v>
      </c>
      <c r="C4854" s="1">
        <v>43300101</v>
      </c>
      <c r="D4854" t="s">
        <v>67</v>
      </c>
      <c r="H4854" t="str">
        <f t="shared" si="522"/>
        <v>01791230152</v>
      </c>
      <c r="I4854" t="str">
        <f t="shared" si="522"/>
        <v>01791230152</v>
      </c>
      <c r="K4854" t="str">
        <f>""</f>
        <v/>
      </c>
      <c r="M4854" t="s">
        <v>68</v>
      </c>
      <c r="N4854" t="str">
        <f t="shared" si="517"/>
        <v>FOR</v>
      </c>
      <c r="O4854" t="s">
        <v>69</v>
      </c>
      <c r="P4854" s="3" t="s">
        <v>75</v>
      </c>
      <c r="Q4854">
        <v>2015</v>
      </c>
      <c r="R4854" s="2">
        <v>42352</v>
      </c>
      <c r="S4854" s="2">
        <v>42356</v>
      </c>
      <c r="T4854" s="2">
        <v>42356</v>
      </c>
      <c r="U4854" s="2">
        <v>42416</v>
      </c>
      <c r="V4854" t="s">
        <v>71</v>
      </c>
      <c r="W4854" t="str">
        <f>"              X00091"</f>
        <v xml:space="preserve">              X00091</v>
      </c>
      <c r="X4854" s="1">
        <v>1647</v>
      </c>
      <c r="Y4854">
        <v>0</v>
      </c>
      <c r="Z4854"/>
      <c r="AB4854"/>
      <c r="AC4854" s="1">
        <v>1350</v>
      </c>
      <c r="AD4854">
        <v>-1</v>
      </c>
      <c r="AE4854" s="1">
        <v>-1350</v>
      </c>
      <c r="AF4854">
        <v>0</v>
      </c>
      <c r="AJ4854">
        <v>0</v>
      </c>
      <c r="AK4854">
        <v>0</v>
      </c>
      <c r="AL4854">
        <v>0</v>
      </c>
      <c r="AM4854">
        <v>0</v>
      </c>
      <c r="AN4854">
        <v>0</v>
      </c>
      <c r="AO4854">
        <v>0</v>
      </c>
      <c r="AP4854" s="2">
        <v>42746</v>
      </c>
      <c r="AQ4854" t="s">
        <v>72</v>
      </c>
      <c r="AR4854" t="s">
        <v>72</v>
      </c>
      <c r="AS4854">
        <v>372</v>
      </c>
      <c r="AT4854" s="4">
        <v>42415</v>
      </c>
      <c r="AV4854">
        <v>372</v>
      </c>
      <c r="AW4854" s="4">
        <v>42415</v>
      </c>
      <c r="BD4854">
        <v>0</v>
      </c>
      <c r="BN4854" t="s">
        <v>74</v>
      </c>
    </row>
    <row r="4855" spans="1:66" hidden="1">
      <c r="A4855">
        <v>101778</v>
      </c>
      <c r="B4855" s="3" t="s">
        <v>517</v>
      </c>
      <c r="C4855" s="1">
        <v>43300101</v>
      </c>
      <c r="D4855" t="s">
        <v>67</v>
      </c>
      <c r="H4855" t="str">
        <f t="shared" si="522"/>
        <v>01791230152</v>
      </c>
      <c r="I4855" t="str">
        <f t="shared" si="522"/>
        <v>01791230152</v>
      </c>
      <c r="K4855" t="str">
        <f>""</f>
        <v/>
      </c>
      <c r="M4855" t="s">
        <v>68</v>
      </c>
      <c r="N4855" t="str">
        <f t="shared" si="517"/>
        <v>FOR</v>
      </c>
      <c r="O4855" t="s">
        <v>69</v>
      </c>
      <c r="P4855" s="3" t="s">
        <v>75</v>
      </c>
      <c r="Q4855">
        <v>2016</v>
      </c>
      <c r="R4855" s="2">
        <v>42424</v>
      </c>
      <c r="S4855" s="2">
        <v>42426</v>
      </c>
      <c r="T4855" s="2">
        <v>42425</v>
      </c>
      <c r="U4855" s="2">
        <v>42485</v>
      </c>
      <c r="V4855" t="s">
        <v>71</v>
      </c>
      <c r="W4855" t="str">
        <f>"              X00013"</f>
        <v xml:space="preserve">              X00013</v>
      </c>
      <c r="X4855" s="1">
        <v>3196.4</v>
      </c>
      <c r="Y4855">
        <v>0</v>
      </c>
      <c r="Z4855"/>
      <c r="AB4855"/>
      <c r="AC4855" s="1">
        <v>2620</v>
      </c>
      <c r="AD4855">
        <v>91</v>
      </c>
      <c r="AE4855" s="1">
        <v>238420</v>
      </c>
      <c r="AF4855">
        <v>0</v>
      </c>
      <c r="AJ4855">
        <v>0</v>
      </c>
      <c r="AK4855">
        <v>0</v>
      </c>
      <c r="AL4855">
        <v>0</v>
      </c>
      <c r="AM4855" s="1">
        <v>3196.4</v>
      </c>
      <c r="AN4855" s="1">
        <v>3196.4</v>
      </c>
      <c r="AO4855" s="1">
        <v>3196.4</v>
      </c>
      <c r="AP4855" s="2">
        <v>42746</v>
      </c>
      <c r="AQ4855" t="s">
        <v>72</v>
      </c>
      <c r="AR4855" t="s">
        <v>72</v>
      </c>
      <c r="AS4855">
        <v>1894</v>
      </c>
      <c r="AT4855" s="4">
        <v>42576</v>
      </c>
      <c r="AU4855" t="s">
        <v>73</v>
      </c>
      <c r="AV4855">
        <v>1894</v>
      </c>
      <c r="AW4855" s="4">
        <v>42576</v>
      </c>
      <c r="BD4855">
        <v>0</v>
      </c>
      <c r="BN4855" t="s">
        <v>74</v>
      </c>
    </row>
    <row r="4856" spans="1:66">
      <c r="A4856">
        <v>101778</v>
      </c>
      <c r="B4856" s="3" t="s">
        <v>517</v>
      </c>
      <c r="C4856" s="1">
        <v>43300101</v>
      </c>
      <c r="D4856" t="s">
        <v>67</v>
      </c>
      <c r="H4856" t="str">
        <f t="shared" si="522"/>
        <v>01791230152</v>
      </c>
      <c r="I4856" t="str">
        <f t="shared" si="522"/>
        <v>01791230152</v>
      </c>
      <c r="K4856" t="str">
        <f>""</f>
        <v/>
      </c>
      <c r="M4856" t="s">
        <v>68</v>
      </c>
      <c r="N4856" t="str">
        <f t="shared" si="517"/>
        <v>FOR</v>
      </c>
      <c r="O4856" t="s">
        <v>69</v>
      </c>
      <c r="P4856" s="3" t="s">
        <v>75</v>
      </c>
      <c r="Q4856">
        <v>2016</v>
      </c>
      <c r="R4856" s="2">
        <v>42537</v>
      </c>
      <c r="S4856" s="2">
        <v>42541</v>
      </c>
      <c r="T4856" s="2">
        <v>42538</v>
      </c>
      <c r="U4856" s="2">
        <v>42598</v>
      </c>
      <c r="V4856" t="s">
        <v>71</v>
      </c>
      <c r="W4856" t="str">
        <f>"              X00073"</f>
        <v xml:space="preserve">              X00073</v>
      </c>
      <c r="X4856" s="1">
        <v>1769</v>
      </c>
      <c r="Y4856">
        <v>0</v>
      </c>
      <c r="Z4856" s="5">
        <v>1450</v>
      </c>
      <c r="AA4856">
        <v>86</v>
      </c>
      <c r="AB4856" s="5">
        <v>124700</v>
      </c>
      <c r="AC4856" s="1">
        <v>1450</v>
      </c>
      <c r="AD4856">
        <v>86</v>
      </c>
      <c r="AE4856" s="1">
        <v>124700</v>
      </c>
      <c r="AF4856">
        <v>0</v>
      </c>
      <c r="AJ4856">
        <v>0</v>
      </c>
      <c r="AK4856">
        <v>0</v>
      </c>
      <c r="AL4856">
        <v>0</v>
      </c>
      <c r="AM4856" s="1">
        <v>1769</v>
      </c>
      <c r="AN4856" s="1">
        <v>1769</v>
      </c>
      <c r="AO4856" s="1">
        <v>1769</v>
      </c>
      <c r="AP4856" s="2">
        <v>42746</v>
      </c>
      <c r="AQ4856" t="s">
        <v>72</v>
      </c>
      <c r="AR4856" t="s">
        <v>72</v>
      </c>
      <c r="AS4856">
        <v>3041</v>
      </c>
      <c r="AT4856" s="4">
        <v>42684</v>
      </c>
      <c r="AU4856" t="s">
        <v>73</v>
      </c>
      <c r="AV4856">
        <v>3041</v>
      </c>
      <c r="AW4856" s="4">
        <v>42684</v>
      </c>
      <c r="BD4856">
        <v>0</v>
      </c>
      <c r="BN4856" t="s">
        <v>74</v>
      </c>
    </row>
    <row r="4857" spans="1:66">
      <c r="A4857">
        <v>101778</v>
      </c>
      <c r="B4857" s="3" t="s">
        <v>517</v>
      </c>
      <c r="C4857" s="1">
        <v>43300101</v>
      </c>
      <c r="D4857" t="s">
        <v>67</v>
      </c>
      <c r="H4857" t="str">
        <f t="shared" si="522"/>
        <v>01791230152</v>
      </c>
      <c r="I4857" t="str">
        <f t="shared" si="522"/>
        <v>01791230152</v>
      </c>
      <c r="K4857" t="str">
        <f>""</f>
        <v/>
      </c>
      <c r="M4857" t="s">
        <v>68</v>
      </c>
      <c r="N4857" t="str">
        <f t="shared" si="517"/>
        <v>FOR</v>
      </c>
      <c r="O4857" t="s">
        <v>69</v>
      </c>
      <c r="P4857" s="3" t="s">
        <v>75</v>
      </c>
      <c r="Q4857">
        <v>2016</v>
      </c>
      <c r="R4857" s="2">
        <v>42545</v>
      </c>
      <c r="S4857" s="2">
        <v>42551</v>
      </c>
      <c r="T4857" s="2">
        <v>42550</v>
      </c>
      <c r="U4857" s="2">
        <v>42610</v>
      </c>
      <c r="V4857" t="s">
        <v>71</v>
      </c>
      <c r="W4857" t="str">
        <f>"              X00079"</f>
        <v xml:space="preserve">              X00079</v>
      </c>
      <c r="X4857" s="1">
        <v>1805.6</v>
      </c>
      <c r="Y4857">
        <v>0</v>
      </c>
      <c r="Z4857" s="5">
        <v>1480</v>
      </c>
      <c r="AA4857">
        <v>74</v>
      </c>
      <c r="AB4857" s="5">
        <v>109520</v>
      </c>
      <c r="AC4857" s="1">
        <v>1480</v>
      </c>
      <c r="AD4857">
        <v>74</v>
      </c>
      <c r="AE4857" s="1">
        <v>109520</v>
      </c>
      <c r="AF4857">
        <v>0</v>
      </c>
      <c r="AJ4857">
        <v>0</v>
      </c>
      <c r="AK4857">
        <v>0</v>
      </c>
      <c r="AL4857">
        <v>0</v>
      </c>
      <c r="AM4857" s="1">
        <v>1805.6</v>
      </c>
      <c r="AN4857" s="1">
        <v>1805.6</v>
      </c>
      <c r="AO4857" s="1">
        <v>1805.6</v>
      </c>
      <c r="AP4857" s="2">
        <v>42746</v>
      </c>
      <c r="AQ4857" t="s">
        <v>72</v>
      </c>
      <c r="AR4857" t="s">
        <v>72</v>
      </c>
      <c r="AS4857">
        <v>3041</v>
      </c>
      <c r="AT4857" s="4">
        <v>42684</v>
      </c>
      <c r="AU4857" t="s">
        <v>73</v>
      </c>
      <c r="AV4857">
        <v>3041</v>
      </c>
      <c r="AW4857" s="4">
        <v>42684</v>
      </c>
      <c r="BD4857">
        <v>0</v>
      </c>
      <c r="BN4857" t="s">
        <v>74</v>
      </c>
    </row>
    <row r="4858" spans="1:66">
      <c r="A4858">
        <v>101778</v>
      </c>
      <c r="B4858" s="3" t="s">
        <v>517</v>
      </c>
      <c r="C4858" s="1">
        <v>43300101</v>
      </c>
      <c r="D4858" t="s">
        <v>67</v>
      </c>
      <c r="H4858" t="str">
        <f t="shared" si="522"/>
        <v>01791230152</v>
      </c>
      <c r="I4858" t="str">
        <f t="shared" si="522"/>
        <v>01791230152</v>
      </c>
      <c r="K4858" t="str">
        <f>""</f>
        <v/>
      </c>
      <c r="M4858" t="s">
        <v>68</v>
      </c>
      <c r="N4858" t="str">
        <f t="shared" si="517"/>
        <v>FOR</v>
      </c>
      <c r="O4858" t="s">
        <v>69</v>
      </c>
      <c r="P4858" s="3" t="s">
        <v>75</v>
      </c>
      <c r="Q4858">
        <v>2016</v>
      </c>
      <c r="R4858" s="2">
        <v>42633</v>
      </c>
      <c r="S4858" s="2">
        <v>42635</v>
      </c>
      <c r="T4858" s="2">
        <v>42633</v>
      </c>
      <c r="U4858" s="2">
        <v>42693</v>
      </c>
      <c r="V4858" t="s">
        <v>71</v>
      </c>
      <c r="W4858" t="str">
        <f>"              X00116"</f>
        <v xml:space="preserve">              X00116</v>
      </c>
      <c r="X4858">
        <v>868.88</v>
      </c>
      <c r="Y4858">
        <v>0</v>
      </c>
      <c r="Z4858" s="3">
        <v>712.2</v>
      </c>
      <c r="AA4858">
        <v>-9</v>
      </c>
      <c r="AB4858" s="5">
        <v>-6409.8</v>
      </c>
      <c r="AC4858">
        <v>712.2</v>
      </c>
      <c r="AD4858">
        <v>-9</v>
      </c>
      <c r="AE4858" s="1">
        <v>-6409.8</v>
      </c>
      <c r="AF4858">
        <v>0</v>
      </c>
      <c r="AJ4858">
        <v>0</v>
      </c>
      <c r="AK4858">
        <v>0</v>
      </c>
      <c r="AL4858">
        <v>0</v>
      </c>
      <c r="AM4858">
        <v>868.88</v>
      </c>
      <c r="AN4858">
        <v>868.88</v>
      </c>
      <c r="AO4858">
        <v>868.88</v>
      </c>
      <c r="AP4858" s="2">
        <v>42746</v>
      </c>
      <c r="AQ4858" t="s">
        <v>72</v>
      </c>
      <c r="AR4858" t="s">
        <v>72</v>
      </c>
      <c r="AS4858">
        <v>3041</v>
      </c>
      <c r="AT4858" s="4">
        <v>42684</v>
      </c>
      <c r="AV4858">
        <v>3041</v>
      </c>
      <c r="AW4858" s="4">
        <v>42684</v>
      </c>
      <c r="BD4858">
        <v>0</v>
      </c>
      <c r="BN4858" t="s">
        <v>74</v>
      </c>
    </row>
    <row r="4859" spans="1:66" hidden="1">
      <c r="A4859">
        <v>101780</v>
      </c>
      <c r="B4859" s="3" t="s">
        <v>518</v>
      </c>
      <c r="C4859" s="1">
        <v>43300101</v>
      </c>
      <c r="D4859" t="s">
        <v>67</v>
      </c>
      <c r="H4859" t="str">
        <f t="shared" ref="H4859:I4871" si="523">"00873670152"</f>
        <v>00873670152</v>
      </c>
      <c r="I4859" t="str">
        <f t="shared" si="523"/>
        <v>00873670152</v>
      </c>
      <c r="K4859" t="str">
        <f>""</f>
        <v/>
      </c>
      <c r="M4859" t="s">
        <v>68</v>
      </c>
      <c r="N4859" t="str">
        <f t="shared" si="517"/>
        <v>FOR</v>
      </c>
      <c r="O4859" t="s">
        <v>69</v>
      </c>
      <c r="P4859" s="3" t="s">
        <v>78</v>
      </c>
      <c r="Q4859">
        <v>2014</v>
      </c>
      <c r="R4859" s="2">
        <v>41829</v>
      </c>
      <c r="S4859" s="2">
        <v>41842</v>
      </c>
      <c r="T4859" s="2">
        <v>41842</v>
      </c>
      <c r="U4859" s="2">
        <v>41932</v>
      </c>
      <c r="V4859" t="s">
        <v>71</v>
      </c>
      <c r="W4859" t="str">
        <f>"            91400589"</f>
        <v xml:space="preserve">            91400589</v>
      </c>
      <c r="X4859" s="1">
        <v>7271.2</v>
      </c>
      <c r="Y4859">
        <v>0</v>
      </c>
      <c r="Z4859"/>
      <c r="AB4859"/>
      <c r="AC4859" s="1">
        <v>7271.2</v>
      </c>
      <c r="AD4859">
        <v>598</v>
      </c>
      <c r="AE4859" s="1">
        <v>4348177.5999999996</v>
      </c>
      <c r="AF4859">
        <v>0</v>
      </c>
      <c r="AJ4859">
        <v>0</v>
      </c>
      <c r="AK4859">
        <v>0</v>
      </c>
      <c r="AL4859">
        <v>0</v>
      </c>
      <c r="AM4859">
        <v>0</v>
      </c>
      <c r="AN4859">
        <v>0</v>
      </c>
      <c r="AO4859">
        <v>0</v>
      </c>
      <c r="AP4859" s="2">
        <v>42746</v>
      </c>
      <c r="AQ4859" t="s">
        <v>72</v>
      </c>
      <c r="AR4859" t="s">
        <v>72</v>
      </c>
      <c r="AS4859">
        <v>1604</v>
      </c>
      <c r="AT4859" s="4">
        <v>42530</v>
      </c>
      <c r="AU4859" t="s">
        <v>73</v>
      </c>
      <c r="AV4859">
        <v>1604</v>
      </c>
      <c r="AW4859" s="4">
        <v>42530</v>
      </c>
      <c r="BD4859">
        <v>0</v>
      </c>
      <c r="BN4859" t="s">
        <v>74</v>
      </c>
    </row>
    <row r="4860" spans="1:66" hidden="1">
      <c r="A4860">
        <v>101780</v>
      </c>
      <c r="B4860" s="3" t="s">
        <v>518</v>
      </c>
      <c r="C4860" s="1">
        <v>43300101</v>
      </c>
      <c r="D4860" t="s">
        <v>67</v>
      </c>
      <c r="H4860" t="str">
        <f t="shared" si="523"/>
        <v>00873670152</v>
      </c>
      <c r="I4860" t="str">
        <f t="shared" si="523"/>
        <v>00873670152</v>
      </c>
      <c r="K4860" t="str">
        <f>""</f>
        <v/>
      </c>
      <c r="M4860" t="s">
        <v>68</v>
      </c>
      <c r="N4860" t="str">
        <f t="shared" si="517"/>
        <v>FOR</v>
      </c>
      <c r="O4860" t="s">
        <v>69</v>
      </c>
      <c r="P4860" s="3" t="s">
        <v>70</v>
      </c>
      <c r="Q4860">
        <v>2014</v>
      </c>
      <c r="R4860" s="2">
        <v>41935</v>
      </c>
      <c r="S4860" s="2">
        <v>41950</v>
      </c>
      <c r="T4860" s="2">
        <v>41950</v>
      </c>
      <c r="U4860" s="2">
        <v>42010</v>
      </c>
      <c r="V4860" t="s">
        <v>71</v>
      </c>
      <c r="W4860" t="str">
        <f>"            91400845"</f>
        <v xml:space="preserve">            91400845</v>
      </c>
      <c r="X4860" s="1">
        <v>3635.6</v>
      </c>
      <c r="Y4860">
        <v>0</v>
      </c>
      <c r="Z4860"/>
      <c r="AB4860"/>
      <c r="AC4860" s="1">
        <v>3635.6</v>
      </c>
      <c r="AD4860">
        <v>520</v>
      </c>
      <c r="AE4860" s="1">
        <v>1890512</v>
      </c>
      <c r="AF4860">
        <v>0</v>
      </c>
      <c r="AJ4860">
        <v>0</v>
      </c>
      <c r="AK4860">
        <v>0</v>
      </c>
      <c r="AL4860">
        <v>0</v>
      </c>
      <c r="AM4860">
        <v>0</v>
      </c>
      <c r="AN4860">
        <v>0</v>
      </c>
      <c r="AO4860">
        <v>0</v>
      </c>
      <c r="AP4860" s="2">
        <v>42746</v>
      </c>
      <c r="AQ4860" t="s">
        <v>72</v>
      </c>
      <c r="AR4860" t="s">
        <v>72</v>
      </c>
      <c r="AS4860">
        <v>1604</v>
      </c>
      <c r="AT4860" s="4">
        <v>42530</v>
      </c>
      <c r="AU4860" t="s">
        <v>73</v>
      </c>
      <c r="AV4860">
        <v>1604</v>
      </c>
      <c r="AW4860" s="4">
        <v>42530</v>
      </c>
      <c r="BD4860">
        <v>0</v>
      </c>
      <c r="BN4860" t="s">
        <v>74</v>
      </c>
    </row>
    <row r="4861" spans="1:66" hidden="1">
      <c r="A4861">
        <v>101780</v>
      </c>
      <c r="B4861" s="3" t="s">
        <v>518</v>
      </c>
      <c r="C4861" s="1">
        <v>43300101</v>
      </c>
      <c r="D4861" t="s">
        <v>67</v>
      </c>
      <c r="H4861" t="str">
        <f t="shared" si="523"/>
        <v>00873670152</v>
      </c>
      <c r="I4861" t="str">
        <f t="shared" si="523"/>
        <v>00873670152</v>
      </c>
      <c r="K4861" t="str">
        <f>""</f>
        <v/>
      </c>
      <c r="M4861" t="s">
        <v>68</v>
      </c>
      <c r="N4861" t="str">
        <f t="shared" si="517"/>
        <v>FOR</v>
      </c>
      <c r="O4861" t="s">
        <v>69</v>
      </c>
      <c r="P4861" s="3" t="s">
        <v>70</v>
      </c>
      <c r="Q4861">
        <v>2014</v>
      </c>
      <c r="R4861" s="2">
        <v>41969</v>
      </c>
      <c r="S4861" s="2">
        <v>41976</v>
      </c>
      <c r="T4861" s="2">
        <v>41976</v>
      </c>
      <c r="U4861" s="2">
        <v>42036</v>
      </c>
      <c r="V4861" t="s">
        <v>71</v>
      </c>
      <c r="W4861" t="str">
        <f>"            91400922"</f>
        <v xml:space="preserve">            91400922</v>
      </c>
      <c r="X4861" s="1">
        <v>1817.8</v>
      </c>
      <c r="Y4861">
        <v>0</v>
      </c>
      <c r="Z4861"/>
      <c r="AB4861"/>
      <c r="AC4861" s="1">
        <v>1817.8</v>
      </c>
      <c r="AD4861">
        <v>494</v>
      </c>
      <c r="AE4861" s="1">
        <v>897993.2</v>
      </c>
      <c r="AF4861">
        <v>0</v>
      </c>
      <c r="AJ4861">
        <v>0</v>
      </c>
      <c r="AK4861">
        <v>0</v>
      </c>
      <c r="AL4861">
        <v>0</v>
      </c>
      <c r="AM4861">
        <v>0</v>
      </c>
      <c r="AN4861">
        <v>0</v>
      </c>
      <c r="AO4861">
        <v>0</v>
      </c>
      <c r="AP4861" s="2">
        <v>42746</v>
      </c>
      <c r="AQ4861" t="s">
        <v>72</v>
      </c>
      <c r="AR4861" t="s">
        <v>72</v>
      </c>
      <c r="AS4861">
        <v>1604</v>
      </c>
      <c r="AT4861" s="4">
        <v>42530</v>
      </c>
      <c r="AU4861" t="s">
        <v>73</v>
      </c>
      <c r="AV4861">
        <v>1604</v>
      </c>
      <c r="AW4861" s="4">
        <v>42530</v>
      </c>
      <c r="BD4861">
        <v>0</v>
      </c>
      <c r="BN4861" t="s">
        <v>74</v>
      </c>
    </row>
    <row r="4862" spans="1:66" hidden="1">
      <c r="A4862">
        <v>101780</v>
      </c>
      <c r="B4862" s="3" t="s">
        <v>518</v>
      </c>
      <c r="C4862" s="1">
        <v>43300101</v>
      </c>
      <c r="D4862" t="s">
        <v>67</v>
      </c>
      <c r="H4862" t="str">
        <f t="shared" si="523"/>
        <v>00873670152</v>
      </c>
      <c r="I4862" t="str">
        <f t="shared" si="523"/>
        <v>00873670152</v>
      </c>
      <c r="K4862" t="str">
        <f>""</f>
        <v/>
      </c>
      <c r="M4862" t="s">
        <v>68</v>
      </c>
      <c r="N4862" t="str">
        <f t="shared" si="517"/>
        <v>FOR</v>
      </c>
      <c r="O4862" t="s">
        <v>69</v>
      </c>
      <c r="P4862" s="3" t="s">
        <v>78</v>
      </c>
      <c r="Q4862">
        <v>2015</v>
      </c>
      <c r="R4862" s="2">
        <v>42058</v>
      </c>
      <c r="S4862" s="2">
        <v>42060</v>
      </c>
      <c r="T4862" s="2">
        <v>42060</v>
      </c>
      <c r="U4862" s="2">
        <v>42120</v>
      </c>
      <c r="V4862" t="s">
        <v>71</v>
      </c>
      <c r="W4862" t="str">
        <f>"            91500123"</f>
        <v xml:space="preserve">            91500123</v>
      </c>
      <c r="X4862" s="1">
        <v>3635.6</v>
      </c>
      <c r="Y4862">
        <v>0</v>
      </c>
      <c r="Z4862"/>
      <c r="AB4862"/>
      <c r="AC4862" s="1">
        <v>2980</v>
      </c>
      <c r="AD4862">
        <v>288</v>
      </c>
      <c r="AE4862" s="1">
        <v>858240</v>
      </c>
      <c r="AF4862">
        <v>0</v>
      </c>
      <c r="AJ4862">
        <v>0</v>
      </c>
      <c r="AK4862">
        <v>0</v>
      </c>
      <c r="AL4862">
        <v>0</v>
      </c>
      <c r="AM4862">
        <v>0</v>
      </c>
      <c r="AN4862">
        <v>0</v>
      </c>
      <c r="AO4862">
        <v>0</v>
      </c>
      <c r="AP4862" s="2">
        <v>42746</v>
      </c>
      <c r="AQ4862" t="s">
        <v>72</v>
      </c>
      <c r="AR4862" t="s">
        <v>72</v>
      </c>
      <c r="AS4862">
        <v>317</v>
      </c>
      <c r="AT4862" s="4">
        <v>42408</v>
      </c>
      <c r="AU4862" t="s">
        <v>73</v>
      </c>
      <c r="AV4862">
        <v>317</v>
      </c>
      <c r="AW4862" s="4">
        <v>42408</v>
      </c>
      <c r="BD4862">
        <v>0</v>
      </c>
      <c r="BN4862" t="s">
        <v>74</v>
      </c>
    </row>
    <row r="4863" spans="1:66" hidden="1">
      <c r="A4863">
        <v>101780</v>
      </c>
      <c r="B4863" s="3" t="s">
        <v>518</v>
      </c>
      <c r="C4863" s="1">
        <v>43300101</v>
      </c>
      <c r="D4863" t="s">
        <v>67</v>
      </c>
      <c r="H4863" t="str">
        <f t="shared" si="523"/>
        <v>00873670152</v>
      </c>
      <c r="I4863" t="str">
        <f t="shared" si="523"/>
        <v>00873670152</v>
      </c>
      <c r="K4863" t="str">
        <f>""</f>
        <v/>
      </c>
      <c r="M4863" t="s">
        <v>68</v>
      </c>
      <c r="N4863" t="str">
        <f t="shared" si="517"/>
        <v>FOR</v>
      </c>
      <c r="O4863" t="s">
        <v>69</v>
      </c>
      <c r="P4863" s="3" t="s">
        <v>70</v>
      </c>
      <c r="Q4863">
        <v>2015</v>
      </c>
      <c r="R4863" s="2">
        <v>42083</v>
      </c>
      <c r="S4863" s="2">
        <v>42087</v>
      </c>
      <c r="T4863" s="2">
        <v>42087</v>
      </c>
      <c r="U4863" s="2">
        <v>42147</v>
      </c>
      <c r="V4863" t="s">
        <v>71</v>
      </c>
      <c r="W4863" t="str">
        <f>"            91500201"</f>
        <v xml:space="preserve">            91500201</v>
      </c>
      <c r="X4863" s="1">
        <v>3635.6</v>
      </c>
      <c r="Y4863">
        <v>0</v>
      </c>
      <c r="Z4863"/>
      <c r="AB4863"/>
      <c r="AC4863" s="1">
        <v>2980</v>
      </c>
      <c r="AD4863">
        <v>268</v>
      </c>
      <c r="AE4863" s="1">
        <v>798640</v>
      </c>
      <c r="AF4863">
        <v>0</v>
      </c>
      <c r="AJ4863">
        <v>0</v>
      </c>
      <c r="AK4863">
        <v>0</v>
      </c>
      <c r="AL4863">
        <v>0</v>
      </c>
      <c r="AM4863">
        <v>0</v>
      </c>
      <c r="AN4863">
        <v>0</v>
      </c>
      <c r="AO4863">
        <v>0</v>
      </c>
      <c r="AP4863" s="2">
        <v>42746</v>
      </c>
      <c r="AQ4863" t="s">
        <v>72</v>
      </c>
      <c r="AR4863" t="s">
        <v>72</v>
      </c>
      <c r="AS4863">
        <v>392</v>
      </c>
      <c r="AT4863" s="4">
        <v>42415</v>
      </c>
      <c r="AU4863" t="s">
        <v>73</v>
      </c>
      <c r="AV4863">
        <v>392</v>
      </c>
      <c r="AW4863" s="4">
        <v>42415</v>
      </c>
      <c r="BD4863">
        <v>0</v>
      </c>
      <c r="BN4863" t="s">
        <v>74</v>
      </c>
    </row>
    <row r="4864" spans="1:66" hidden="1">
      <c r="A4864">
        <v>101780</v>
      </c>
      <c r="B4864" s="3" t="s">
        <v>518</v>
      </c>
      <c r="C4864" s="1">
        <v>43300101</v>
      </c>
      <c r="D4864" t="s">
        <v>67</v>
      </c>
      <c r="H4864" t="str">
        <f t="shared" si="523"/>
        <v>00873670152</v>
      </c>
      <c r="I4864" t="str">
        <f t="shared" si="523"/>
        <v>00873670152</v>
      </c>
      <c r="K4864" t="str">
        <f>""</f>
        <v/>
      </c>
      <c r="M4864" t="s">
        <v>68</v>
      </c>
      <c r="N4864" t="str">
        <f t="shared" ref="N4864:N4927" si="524">"FOR"</f>
        <v>FOR</v>
      </c>
      <c r="O4864" t="s">
        <v>69</v>
      </c>
      <c r="P4864" s="3" t="s">
        <v>75</v>
      </c>
      <c r="Q4864">
        <v>2015</v>
      </c>
      <c r="R4864" s="2">
        <v>42153</v>
      </c>
      <c r="S4864" s="2">
        <v>42178</v>
      </c>
      <c r="T4864" s="2">
        <v>42178</v>
      </c>
      <c r="U4864" s="2">
        <v>42238</v>
      </c>
      <c r="V4864" t="s">
        <v>71</v>
      </c>
      <c r="W4864" t="str">
        <f>"            91500375"</f>
        <v xml:space="preserve">            91500375</v>
      </c>
      <c r="X4864" s="1">
        <v>2908.48</v>
      </c>
      <c r="Y4864">
        <v>0</v>
      </c>
      <c r="Z4864"/>
      <c r="AB4864"/>
      <c r="AC4864" s="1">
        <v>2384</v>
      </c>
      <c r="AD4864">
        <v>214</v>
      </c>
      <c r="AE4864" s="1">
        <v>510176</v>
      </c>
      <c r="AF4864">
        <v>0</v>
      </c>
      <c r="AJ4864">
        <v>0</v>
      </c>
      <c r="AK4864">
        <v>0</v>
      </c>
      <c r="AL4864">
        <v>0</v>
      </c>
      <c r="AM4864">
        <v>0</v>
      </c>
      <c r="AN4864">
        <v>0</v>
      </c>
      <c r="AO4864">
        <v>0</v>
      </c>
      <c r="AP4864" s="2">
        <v>42746</v>
      </c>
      <c r="AQ4864" t="s">
        <v>72</v>
      </c>
      <c r="AR4864" t="s">
        <v>72</v>
      </c>
      <c r="AS4864">
        <v>825</v>
      </c>
      <c r="AT4864" s="4">
        <v>42452</v>
      </c>
      <c r="AU4864" t="s">
        <v>73</v>
      </c>
      <c r="AV4864">
        <v>825</v>
      </c>
      <c r="AW4864" s="4">
        <v>42452</v>
      </c>
      <c r="BD4864">
        <v>0</v>
      </c>
      <c r="BN4864" t="s">
        <v>74</v>
      </c>
    </row>
    <row r="4865" spans="1:66" hidden="1">
      <c r="A4865">
        <v>101780</v>
      </c>
      <c r="B4865" s="3" t="s">
        <v>518</v>
      </c>
      <c r="C4865" s="1">
        <v>43300101</v>
      </c>
      <c r="D4865" t="s">
        <v>67</v>
      </c>
      <c r="H4865" t="str">
        <f t="shared" si="523"/>
        <v>00873670152</v>
      </c>
      <c r="I4865" t="str">
        <f t="shared" si="523"/>
        <v>00873670152</v>
      </c>
      <c r="K4865" t="str">
        <f>""</f>
        <v/>
      </c>
      <c r="M4865" t="s">
        <v>68</v>
      </c>
      <c r="N4865" t="str">
        <f t="shared" si="524"/>
        <v>FOR</v>
      </c>
      <c r="O4865" t="s">
        <v>69</v>
      </c>
      <c r="P4865" s="3" t="s">
        <v>75</v>
      </c>
      <c r="Q4865">
        <v>2015</v>
      </c>
      <c r="R4865" s="2">
        <v>42179</v>
      </c>
      <c r="S4865" s="2">
        <v>42186</v>
      </c>
      <c r="T4865" s="2">
        <v>42181</v>
      </c>
      <c r="U4865" s="2">
        <v>42241</v>
      </c>
      <c r="V4865" t="s">
        <v>71</v>
      </c>
      <c r="W4865" t="str">
        <f>"            91500458"</f>
        <v xml:space="preserve">            91500458</v>
      </c>
      <c r="X4865" s="1">
        <v>1817.8</v>
      </c>
      <c r="Y4865">
        <v>0</v>
      </c>
      <c r="Z4865"/>
      <c r="AB4865"/>
      <c r="AC4865" s="1">
        <v>1490</v>
      </c>
      <c r="AD4865">
        <v>286</v>
      </c>
      <c r="AE4865" s="1">
        <v>426140</v>
      </c>
      <c r="AF4865">
        <v>0</v>
      </c>
      <c r="AJ4865">
        <v>0</v>
      </c>
      <c r="AK4865">
        <v>0</v>
      </c>
      <c r="AL4865">
        <v>0</v>
      </c>
      <c r="AM4865">
        <v>0</v>
      </c>
      <c r="AN4865">
        <v>0</v>
      </c>
      <c r="AO4865">
        <v>0</v>
      </c>
      <c r="AP4865" s="2">
        <v>42746</v>
      </c>
      <c r="AQ4865" t="s">
        <v>72</v>
      </c>
      <c r="AR4865" t="s">
        <v>72</v>
      </c>
      <c r="AS4865">
        <v>1501</v>
      </c>
      <c r="AT4865" s="4">
        <v>42527</v>
      </c>
      <c r="AU4865" t="s">
        <v>73</v>
      </c>
      <c r="AV4865">
        <v>1501</v>
      </c>
      <c r="AW4865" s="4">
        <v>42527</v>
      </c>
      <c r="BD4865">
        <v>0</v>
      </c>
      <c r="BN4865" t="s">
        <v>74</v>
      </c>
    </row>
    <row r="4866" spans="1:66" hidden="1">
      <c r="A4866">
        <v>101780</v>
      </c>
      <c r="B4866" s="3" t="s">
        <v>518</v>
      </c>
      <c r="C4866" s="1">
        <v>43300101</v>
      </c>
      <c r="D4866" t="s">
        <v>67</v>
      </c>
      <c r="H4866" t="str">
        <f t="shared" si="523"/>
        <v>00873670152</v>
      </c>
      <c r="I4866" t="str">
        <f t="shared" si="523"/>
        <v>00873670152</v>
      </c>
      <c r="K4866" t="str">
        <f>""</f>
        <v/>
      </c>
      <c r="M4866" t="s">
        <v>68</v>
      </c>
      <c r="N4866" t="str">
        <f t="shared" si="524"/>
        <v>FOR</v>
      </c>
      <c r="O4866" t="s">
        <v>69</v>
      </c>
      <c r="P4866" s="3" t="s">
        <v>75</v>
      </c>
      <c r="Q4866">
        <v>2015</v>
      </c>
      <c r="R4866" s="2">
        <v>42192</v>
      </c>
      <c r="S4866" s="2">
        <v>42193</v>
      </c>
      <c r="T4866" s="2">
        <v>42193</v>
      </c>
      <c r="U4866" s="2">
        <v>42253</v>
      </c>
      <c r="V4866" t="s">
        <v>71</v>
      </c>
      <c r="W4866" t="str">
        <f>"            91500484"</f>
        <v xml:space="preserve">            91500484</v>
      </c>
      <c r="X4866">
        <v>727.12</v>
      </c>
      <c r="Y4866">
        <v>0</v>
      </c>
      <c r="Z4866"/>
      <c r="AB4866"/>
      <c r="AC4866">
        <v>596</v>
      </c>
      <c r="AD4866">
        <v>274</v>
      </c>
      <c r="AE4866" s="1">
        <v>163304</v>
      </c>
      <c r="AF4866">
        <v>0</v>
      </c>
      <c r="AJ4866">
        <v>0</v>
      </c>
      <c r="AK4866">
        <v>0</v>
      </c>
      <c r="AL4866">
        <v>0</v>
      </c>
      <c r="AM4866">
        <v>0</v>
      </c>
      <c r="AN4866">
        <v>0</v>
      </c>
      <c r="AO4866">
        <v>0</v>
      </c>
      <c r="AP4866" s="2">
        <v>42746</v>
      </c>
      <c r="AQ4866" t="s">
        <v>72</v>
      </c>
      <c r="AR4866" t="s">
        <v>72</v>
      </c>
      <c r="AS4866">
        <v>1501</v>
      </c>
      <c r="AT4866" s="4">
        <v>42527</v>
      </c>
      <c r="AU4866" t="s">
        <v>73</v>
      </c>
      <c r="AV4866">
        <v>1501</v>
      </c>
      <c r="AW4866" s="4">
        <v>42527</v>
      </c>
      <c r="BD4866">
        <v>0</v>
      </c>
      <c r="BN4866" t="s">
        <v>74</v>
      </c>
    </row>
    <row r="4867" spans="1:66" hidden="1">
      <c r="A4867">
        <v>101780</v>
      </c>
      <c r="B4867" s="3" t="s">
        <v>518</v>
      </c>
      <c r="C4867" s="1">
        <v>43300101</v>
      </c>
      <c r="D4867" t="s">
        <v>67</v>
      </c>
      <c r="H4867" t="str">
        <f t="shared" si="523"/>
        <v>00873670152</v>
      </c>
      <c r="I4867" t="str">
        <f t="shared" si="523"/>
        <v>00873670152</v>
      </c>
      <c r="K4867" t="str">
        <f>""</f>
        <v/>
      </c>
      <c r="M4867" t="s">
        <v>68</v>
      </c>
      <c r="N4867" t="str">
        <f t="shared" si="524"/>
        <v>FOR</v>
      </c>
      <c r="O4867" t="s">
        <v>69</v>
      </c>
      <c r="P4867" s="3" t="s">
        <v>75</v>
      </c>
      <c r="Q4867">
        <v>2015</v>
      </c>
      <c r="R4867" s="2">
        <v>42215</v>
      </c>
      <c r="S4867" s="2">
        <v>42216</v>
      </c>
      <c r="T4867" s="2">
        <v>42216</v>
      </c>
      <c r="U4867" s="2">
        <v>42276</v>
      </c>
      <c r="V4867" t="s">
        <v>71</v>
      </c>
      <c r="W4867" t="str">
        <f>"            91500534"</f>
        <v xml:space="preserve">            91500534</v>
      </c>
      <c r="X4867" s="1">
        <v>3635.6</v>
      </c>
      <c r="Y4867">
        <v>0</v>
      </c>
      <c r="Z4867"/>
      <c r="AB4867"/>
      <c r="AC4867" s="1">
        <v>2980</v>
      </c>
      <c r="AD4867">
        <v>251</v>
      </c>
      <c r="AE4867" s="1">
        <v>747980</v>
      </c>
      <c r="AF4867">
        <v>0</v>
      </c>
      <c r="AJ4867">
        <v>0</v>
      </c>
      <c r="AK4867">
        <v>0</v>
      </c>
      <c r="AL4867">
        <v>0</v>
      </c>
      <c r="AM4867">
        <v>0</v>
      </c>
      <c r="AN4867">
        <v>0</v>
      </c>
      <c r="AO4867">
        <v>0</v>
      </c>
      <c r="AP4867" s="2">
        <v>42746</v>
      </c>
      <c r="AQ4867" t="s">
        <v>72</v>
      </c>
      <c r="AR4867" t="s">
        <v>72</v>
      </c>
      <c r="AS4867">
        <v>1501</v>
      </c>
      <c r="AT4867" s="4">
        <v>42527</v>
      </c>
      <c r="AU4867" t="s">
        <v>73</v>
      </c>
      <c r="AV4867">
        <v>1501</v>
      </c>
      <c r="AW4867" s="4">
        <v>42527</v>
      </c>
      <c r="BD4867">
        <v>0</v>
      </c>
      <c r="BN4867" t="s">
        <v>74</v>
      </c>
    </row>
    <row r="4868" spans="1:66" hidden="1">
      <c r="A4868">
        <v>101780</v>
      </c>
      <c r="B4868" s="3" t="s">
        <v>518</v>
      </c>
      <c r="C4868" s="1">
        <v>43300101</v>
      </c>
      <c r="D4868" t="s">
        <v>67</v>
      </c>
      <c r="H4868" t="str">
        <f t="shared" si="523"/>
        <v>00873670152</v>
      </c>
      <c r="I4868" t="str">
        <f t="shared" si="523"/>
        <v>00873670152</v>
      </c>
      <c r="K4868" t="str">
        <f>""</f>
        <v/>
      </c>
      <c r="M4868" t="s">
        <v>68</v>
      </c>
      <c r="N4868" t="str">
        <f t="shared" si="524"/>
        <v>FOR</v>
      </c>
      <c r="O4868" t="s">
        <v>69</v>
      </c>
      <c r="P4868" s="3" t="s">
        <v>75</v>
      </c>
      <c r="Q4868">
        <v>2015</v>
      </c>
      <c r="R4868" s="2">
        <v>42258</v>
      </c>
      <c r="S4868" s="2">
        <v>42410</v>
      </c>
      <c r="T4868" s="2">
        <v>42405</v>
      </c>
      <c r="U4868" s="2">
        <v>42465</v>
      </c>
      <c r="V4868" t="s">
        <v>71</v>
      </c>
      <c r="W4868" t="str">
        <f>"            91500596"</f>
        <v xml:space="preserve">            91500596</v>
      </c>
      <c r="X4868" s="1">
        <v>3635.6</v>
      </c>
      <c r="Y4868">
        <v>0</v>
      </c>
      <c r="Z4868"/>
      <c r="AB4868"/>
      <c r="AC4868" s="1">
        <v>2980</v>
      </c>
      <c r="AD4868">
        <v>156</v>
      </c>
      <c r="AE4868" s="1">
        <v>464880</v>
      </c>
      <c r="AF4868">
        <v>0</v>
      </c>
      <c r="AJ4868">
        <v>0</v>
      </c>
      <c r="AK4868">
        <v>0</v>
      </c>
      <c r="AL4868">
        <v>0</v>
      </c>
      <c r="AM4868">
        <v>0</v>
      </c>
      <c r="AN4868" s="1">
        <v>3635.6</v>
      </c>
      <c r="AO4868">
        <v>0</v>
      </c>
      <c r="AP4868" s="2">
        <v>42746</v>
      </c>
      <c r="AQ4868" t="s">
        <v>72</v>
      </c>
      <c r="AR4868" t="s">
        <v>72</v>
      </c>
      <c r="AS4868">
        <v>2366</v>
      </c>
      <c r="AT4868" s="4">
        <v>42621</v>
      </c>
      <c r="AU4868" t="s">
        <v>73</v>
      </c>
      <c r="AV4868">
        <v>2366</v>
      </c>
      <c r="AW4868" s="4">
        <v>42621</v>
      </c>
      <c r="BD4868">
        <v>0</v>
      </c>
      <c r="BN4868" t="s">
        <v>74</v>
      </c>
    </row>
    <row r="4869" spans="1:66">
      <c r="A4869">
        <v>101780</v>
      </c>
      <c r="B4869" s="3" t="s">
        <v>518</v>
      </c>
      <c r="C4869" s="1">
        <v>43300101</v>
      </c>
      <c r="D4869" t="s">
        <v>67</v>
      </c>
      <c r="H4869" t="str">
        <f t="shared" si="523"/>
        <v>00873670152</v>
      </c>
      <c r="I4869" t="str">
        <f t="shared" si="523"/>
        <v>00873670152</v>
      </c>
      <c r="K4869" t="str">
        <f>""</f>
        <v/>
      </c>
      <c r="M4869" t="s">
        <v>68</v>
      </c>
      <c r="N4869" t="str">
        <f t="shared" si="524"/>
        <v>FOR</v>
      </c>
      <c r="O4869" t="s">
        <v>69</v>
      </c>
      <c r="P4869" s="3" t="s">
        <v>75</v>
      </c>
      <c r="Q4869">
        <v>2015</v>
      </c>
      <c r="R4869" s="2">
        <v>42300</v>
      </c>
      <c r="S4869" s="2">
        <v>42305</v>
      </c>
      <c r="T4869" s="2">
        <v>42301</v>
      </c>
      <c r="U4869" s="2">
        <v>42361</v>
      </c>
      <c r="V4869" t="s">
        <v>71</v>
      </c>
      <c r="W4869" t="str">
        <f>"            91500694"</f>
        <v xml:space="preserve">            91500694</v>
      </c>
      <c r="X4869" s="1">
        <v>2544.92</v>
      </c>
      <c r="Y4869">
        <v>0</v>
      </c>
      <c r="Z4869" s="5">
        <v>2086</v>
      </c>
      <c r="AA4869">
        <v>287</v>
      </c>
      <c r="AB4869" s="5">
        <v>598682</v>
      </c>
      <c r="AC4869" s="1">
        <v>2086</v>
      </c>
      <c r="AD4869">
        <v>287</v>
      </c>
      <c r="AE4869" s="1">
        <v>598682</v>
      </c>
      <c r="AF4869">
        <v>0</v>
      </c>
      <c r="AJ4869">
        <v>0</v>
      </c>
      <c r="AK4869">
        <v>0</v>
      </c>
      <c r="AL4869">
        <v>0</v>
      </c>
      <c r="AM4869">
        <v>0</v>
      </c>
      <c r="AN4869">
        <v>0</v>
      </c>
      <c r="AO4869">
        <v>0</v>
      </c>
      <c r="AP4869" s="2">
        <v>42746</v>
      </c>
      <c r="AQ4869" t="s">
        <v>72</v>
      </c>
      <c r="AR4869" t="s">
        <v>72</v>
      </c>
      <c r="AS4869">
        <v>2696</v>
      </c>
      <c r="AT4869" s="4">
        <v>42648</v>
      </c>
      <c r="AU4869" t="s">
        <v>73</v>
      </c>
      <c r="AV4869">
        <v>2696</v>
      </c>
      <c r="AW4869" s="4">
        <v>42648</v>
      </c>
      <c r="BD4869">
        <v>0</v>
      </c>
      <c r="BN4869" t="s">
        <v>74</v>
      </c>
    </row>
    <row r="4870" spans="1:66">
      <c r="A4870">
        <v>101780</v>
      </c>
      <c r="B4870" s="3" t="s">
        <v>518</v>
      </c>
      <c r="C4870" s="1">
        <v>43300101</v>
      </c>
      <c r="D4870" t="s">
        <v>67</v>
      </c>
      <c r="H4870" t="str">
        <f t="shared" si="523"/>
        <v>00873670152</v>
      </c>
      <c r="I4870" t="str">
        <f t="shared" si="523"/>
        <v>00873670152</v>
      </c>
      <c r="K4870" t="str">
        <f>""</f>
        <v/>
      </c>
      <c r="M4870" t="s">
        <v>68</v>
      </c>
      <c r="N4870" t="str">
        <f t="shared" si="524"/>
        <v>FOR</v>
      </c>
      <c r="O4870" t="s">
        <v>69</v>
      </c>
      <c r="P4870" s="3" t="s">
        <v>75</v>
      </c>
      <c r="Q4870">
        <v>2015</v>
      </c>
      <c r="R4870" s="2">
        <v>42326</v>
      </c>
      <c r="S4870" s="2">
        <v>42327</v>
      </c>
      <c r="T4870" s="2">
        <v>42327</v>
      </c>
      <c r="U4870" s="2">
        <v>42387</v>
      </c>
      <c r="V4870" t="s">
        <v>71</v>
      </c>
      <c r="W4870" t="str">
        <f>"            91500738"</f>
        <v xml:space="preserve">            91500738</v>
      </c>
      <c r="X4870" s="1">
        <v>3272.04</v>
      </c>
      <c r="Y4870">
        <v>0</v>
      </c>
      <c r="Z4870" s="5">
        <v>2682</v>
      </c>
      <c r="AA4870">
        <v>261</v>
      </c>
      <c r="AB4870" s="5">
        <v>700002</v>
      </c>
      <c r="AC4870" s="1">
        <v>2682</v>
      </c>
      <c r="AD4870">
        <v>261</v>
      </c>
      <c r="AE4870" s="1">
        <v>700002</v>
      </c>
      <c r="AF4870">
        <v>0</v>
      </c>
      <c r="AJ4870">
        <v>0</v>
      </c>
      <c r="AK4870">
        <v>0</v>
      </c>
      <c r="AL4870">
        <v>0</v>
      </c>
      <c r="AM4870">
        <v>0</v>
      </c>
      <c r="AN4870">
        <v>0</v>
      </c>
      <c r="AO4870">
        <v>0</v>
      </c>
      <c r="AP4870" s="2">
        <v>42746</v>
      </c>
      <c r="AQ4870" t="s">
        <v>72</v>
      </c>
      <c r="AR4870" t="s">
        <v>72</v>
      </c>
      <c r="AS4870">
        <v>2696</v>
      </c>
      <c r="AT4870" s="4">
        <v>42648</v>
      </c>
      <c r="AU4870" t="s">
        <v>73</v>
      </c>
      <c r="AV4870">
        <v>2696</v>
      </c>
      <c r="AW4870" s="4">
        <v>42648</v>
      </c>
      <c r="BD4870">
        <v>0</v>
      </c>
      <c r="BN4870" t="s">
        <v>74</v>
      </c>
    </row>
    <row r="4871" spans="1:66">
      <c r="A4871">
        <v>101780</v>
      </c>
      <c r="B4871" s="3" t="s">
        <v>518</v>
      </c>
      <c r="C4871" s="1">
        <v>43300101</v>
      </c>
      <c r="D4871" t="s">
        <v>67</v>
      </c>
      <c r="H4871" t="str">
        <f t="shared" si="523"/>
        <v>00873670152</v>
      </c>
      <c r="I4871" t="str">
        <f t="shared" si="523"/>
        <v>00873670152</v>
      </c>
      <c r="K4871" t="str">
        <f>""</f>
        <v/>
      </c>
      <c r="M4871" t="s">
        <v>68</v>
      </c>
      <c r="N4871" t="str">
        <f t="shared" si="524"/>
        <v>FOR</v>
      </c>
      <c r="O4871" t="s">
        <v>69</v>
      </c>
      <c r="P4871" s="3" t="s">
        <v>75</v>
      </c>
      <c r="Q4871">
        <v>2016</v>
      </c>
      <c r="R4871" s="2">
        <v>42389</v>
      </c>
      <c r="S4871" s="2">
        <v>42395</v>
      </c>
      <c r="T4871" s="2">
        <v>42390</v>
      </c>
      <c r="U4871" s="2">
        <v>42450</v>
      </c>
      <c r="V4871" t="s">
        <v>71</v>
      </c>
      <c r="W4871" t="str">
        <f>"            91600031"</f>
        <v xml:space="preserve">            91600031</v>
      </c>
      <c r="X4871" s="1">
        <v>3635.6</v>
      </c>
      <c r="Y4871">
        <v>0</v>
      </c>
      <c r="Z4871" s="5">
        <v>2980</v>
      </c>
      <c r="AA4871">
        <v>273</v>
      </c>
      <c r="AB4871" s="5">
        <v>813540</v>
      </c>
      <c r="AC4871" s="1">
        <v>2980</v>
      </c>
      <c r="AD4871">
        <v>273</v>
      </c>
      <c r="AE4871" s="1">
        <v>813540</v>
      </c>
      <c r="AF4871">
        <v>655.6</v>
      </c>
      <c r="AJ4871">
        <v>0</v>
      </c>
      <c r="AK4871">
        <v>0</v>
      </c>
      <c r="AL4871">
        <v>0</v>
      </c>
      <c r="AM4871" s="1">
        <v>3635.6</v>
      </c>
      <c r="AN4871" s="1">
        <v>3635.6</v>
      </c>
      <c r="AO4871" s="1">
        <v>3635.6</v>
      </c>
      <c r="AP4871" s="2">
        <v>42746</v>
      </c>
      <c r="AQ4871" t="s">
        <v>72</v>
      </c>
      <c r="AR4871" t="s">
        <v>72</v>
      </c>
      <c r="AS4871">
        <v>3622</v>
      </c>
      <c r="AT4871" s="4">
        <v>42723</v>
      </c>
      <c r="AU4871" t="s">
        <v>73</v>
      </c>
      <c r="AV4871">
        <v>3622</v>
      </c>
      <c r="AW4871" s="4">
        <v>42723</v>
      </c>
      <c r="BD4871">
        <v>655.6</v>
      </c>
      <c r="BN4871" t="s">
        <v>74</v>
      </c>
    </row>
    <row r="4872" spans="1:66">
      <c r="A4872">
        <v>101787</v>
      </c>
      <c r="B4872" s="3" t="s">
        <v>519</v>
      </c>
      <c r="C4872" s="1">
        <v>43300101</v>
      </c>
      <c r="D4872" t="s">
        <v>67</v>
      </c>
      <c r="H4872" t="str">
        <f t="shared" ref="H4872:I4883" si="525">"09275090158"</f>
        <v>09275090158</v>
      </c>
      <c r="I4872" t="str">
        <f t="shared" si="525"/>
        <v>09275090158</v>
      </c>
      <c r="K4872" t="str">
        <f>""</f>
        <v/>
      </c>
      <c r="M4872" t="s">
        <v>68</v>
      </c>
      <c r="N4872" t="str">
        <f t="shared" si="524"/>
        <v>FOR</v>
      </c>
      <c r="O4872" t="s">
        <v>69</v>
      </c>
      <c r="P4872" s="3" t="s">
        <v>234</v>
      </c>
      <c r="Q4872">
        <v>2015</v>
      </c>
      <c r="R4872" s="2">
        <v>42151</v>
      </c>
      <c r="S4872" s="2">
        <v>42186</v>
      </c>
      <c r="T4872" s="2">
        <v>42182</v>
      </c>
      <c r="U4872" s="2">
        <v>42242</v>
      </c>
      <c r="V4872" t="s">
        <v>71</v>
      </c>
      <c r="W4872" t="str">
        <f>"          7715010458"</f>
        <v xml:space="preserve">          7715010458</v>
      </c>
      <c r="X4872" s="1">
        <v>1907.06</v>
      </c>
      <c r="Y4872">
        <v>0</v>
      </c>
      <c r="Z4872" s="5">
        <v>1563.16</v>
      </c>
      <c r="AA4872">
        <v>446</v>
      </c>
      <c r="AB4872" s="5">
        <v>697169.36</v>
      </c>
      <c r="AC4872" s="1">
        <v>1563.16</v>
      </c>
      <c r="AD4872">
        <v>446</v>
      </c>
      <c r="AE4872" s="1">
        <v>697169.36</v>
      </c>
      <c r="AF4872">
        <v>0</v>
      </c>
      <c r="AJ4872">
        <v>0</v>
      </c>
      <c r="AK4872">
        <v>0</v>
      </c>
      <c r="AL4872">
        <v>0</v>
      </c>
      <c r="AM4872">
        <v>0</v>
      </c>
      <c r="AN4872">
        <v>0</v>
      </c>
      <c r="AO4872">
        <v>0</v>
      </c>
      <c r="AP4872" s="2">
        <v>42746</v>
      </c>
      <c r="AQ4872" t="s">
        <v>72</v>
      </c>
      <c r="AR4872" t="s">
        <v>72</v>
      </c>
      <c r="AS4872">
        <v>3078</v>
      </c>
      <c r="AT4872" s="4">
        <v>42688</v>
      </c>
      <c r="AU4872" t="s">
        <v>73</v>
      </c>
      <c r="AV4872">
        <v>3078</v>
      </c>
      <c r="AW4872" s="4">
        <v>42688</v>
      </c>
      <c r="BD4872">
        <v>0</v>
      </c>
      <c r="BN4872" t="s">
        <v>74</v>
      </c>
    </row>
    <row r="4873" spans="1:66">
      <c r="A4873">
        <v>101787</v>
      </c>
      <c r="B4873" s="3" t="s">
        <v>519</v>
      </c>
      <c r="C4873" s="1">
        <v>43300101</v>
      </c>
      <c r="D4873" t="s">
        <v>67</v>
      </c>
      <c r="H4873" t="str">
        <f t="shared" si="525"/>
        <v>09275090158</v>
      </c>
      <c r="I4873" t="str">
        <f t="shared" si="525"/>
        <v>09275090158</v>
      </c>
      <c r="K4873" t="str">
        <f>""</f>
        <v/>
      </c>
      <c r="M4873" t="s">
        <v>68</v>
      </c>
      <c r="N4873" t="str">
        <f t="shared" si="524"/>
        <v>FOR</v>
      </c>
      <c r="O4873" t="s">
        <v>69</v>
      </c>
      <c r="P4873" s="3" t="s">
        <v>234</v>
      </c>
      <c r="Q4873">
        <v>2015</v>
      </c>
      <c r="R4873" s="2">
        <v>42151</v>
      </c>
      <c r="S4873" s="2">
        <v>42186</v>
      </c>
      <c r="T4873" s="2">
        <v>42182</v>
      </c>
      <c r="U4873" s="2">
        <v>42242</v>
      </c>
      <c r="V4873" t="s">
        <v>71</v>
      </c>
      <c r="W4873" t="str">
        <f>"          7715010459"</f>
        <v xml:space="preserve">          7715010459</v>
      </c>
      <c r="X4873">
        <v>953.53</v>
      </c>
      <c r="Y4873">
        <v>0</v>
      </c>
      <c r="Z4873" s="3">
        <v>781.58</v>
      </c>
      <c r="AA4873">
        <v>446</v>
      </c>
      <c r="AB4873" s="5">
        <v>348584.68</v>
      </c>
      <c r="AC4873">
        <v>781.58</v>
      </c>
      <c r="AD4873">
        <v>446</v>
      </c>
      <c r="AE4873" s="1">
        <v>348584.68</v>
      </c>
      <c r="AF4873">
        <v>0</v>
      </c>
      <c r="AJ4873">
        <v>0</v>
      </c>
      <c r="AK4873">
        <v>0</v>
      </c>
      <c r="AL4873">
        <v>0</v>
      </c>
      <c r="AM4873">
        <v>0</v>
      </c>
      <c r="AN4873">
        <v>0</v>
      </c>
      <c r="AO4873">
        <v>0</v>
      </c>
      <c r="AP4873" s="2">
        <v>42746</v>
      </c>
      <c r="AQ4873" t="s">
        <v>72</v>
      </c>
      <c r="AR4873" t="s">
        <v>72</v>
      </c>
      <c r="AS4873">
        <v>3078</v>
      </c>
      <c r="AT4873" s="4">
        <v>42688</v>
      </c>
      <c r="AU4873" t="s">
        <v>73</v>
      </c>
      <c r="AV4873">
        <v>3078</v>
      </c>
      <c r="AW4873" s="4">
        <v>42688</v>
      </c>
      <c r="BD4873">
        <v>0</v>
      </c>
      <c r="BN4873" t="s">
        <v>74</v>
      </c>
    </row>
    <row r="4874" spans="1:66">
      <c r="A4874">
        <v>101787</v>
      </c>
      <c r="B4874" s="3" t="s">
        <v>519</v>
      </c>
      <c r="C4874" s="1">
        <v>43300101</v>
      </c>
      <c r="D4874" t="s">
        <v>67</v>
      </c>
      <c r="H4874" t="str">
        <f t="shared" si="525"/>
        <v>09275090158</v>
      </c>
      <c r="I4874" t="str">
        <f t="shared" si="525"/>
        <v>09275090158</v>
      </c>
      <c r="K4874" t="str">
        <f>""</f>
        <v/>
      </c>
      <c r="M4874" t="s">
        <v>68</v>
      </c>
      <c r="N4874" t="str">
        <f t="shared" si="524"/>
        <v>FOR</v>
      </c>
      <c r="O4874" t="s">
        <v>69</v>
      </c>
      <c r="P4874" s="3" t="s">
        <v>70</v>
      </c>
      <c r="Q4874">
        <v>2015</v>
      </c>
      <c r="R4874" s="2">
        <v>42240</v>
      </c>
      <c r="S4874" s="2">
        <v>42243</v>
      </c>
      <c r="T4874" s="2">
        <v>42243</v>
      </c>
      <c r="U4874" s="2">
        <v>42303</v>
      </c>
      <c r="V4874" t="s">
        <v>71</v>
      </c>
      <c r="W4874" t="str">
        <f>"          7715017933"</f>
        <v xml:space="preserve">          7715017933</v>
      </c>
      <c r="X4874" s="1">
        <v>1907.06</v>
      </c>
      <c r="Y4874">
        <v>0</v>
      </c>
      <c r="Z4874" s="5">
        <v>1563.16</v>
      </c>
      <c r="AA4874">
        <v>385</v>
      </c>
      <c r="AB4874" s="5">
        <v>601816.6</v>
      </c>
      <c r="AC4874" s="1">
        <v>1563.16</v>
      </c>
      <c r="AD4874">
        <v>385</v>
      </c>
      <c r="AE4874" s="1">
        <v>601816.6</v>
      </c>
      <c r="AF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 s="2">
        <v>42746</v>
      </c>
      <c r="AQ4874" t="s">
        <v>72</v>
      </c>
      <c r="AR4874" t="s">
        <v>72</v>
      </c>
      <c r="AS4874">
        <v>3078</v>
      </c>
      <c r="AT4874" s="4">
        <v>42688</v>
      </c>
      <c r="AU4874" t="s">
        <v>73</v>
      </c>
      <c r="AV4874">
        <v>3078</v>
      </c>
      <c r="AW4874" s="4">
        <v>42688</v>
      </c>
      <c r="BD4874">
        <v>0</v>
      </c>
      <c r="BN4874" t="s">
        <v>74</v>
      </c>
    </row>
    <row r="4875" spans="1:66">
      <c r="A4875">
        <v>101787</v>
      </c>
      <c r="B4875" s="3" t="s">
        <v>519</v>
      </c>
      <c r="C4875" s="1">
        <v>43300101</v>
      </c>
      <c r="D4875" t="s">
        <v>67</v>
      </c>
      <c r="H4875" t="str">
        <f t="shared" si="525"/>
        <v>09275090158</v>
      </c>
      <c r="I4875" t="str">
        <f t="shared" si="525"/>
        <v>09275090158</v>
      </c>
      <c r="K4875" t="str">
        <f>""</f>
        <v/>
      </c>
      <c r="M4875" t="s">
        <v>68</v>
      </c>
      <c r="N4875" t="str">
        <f t="shared" si="524"/>
        <v>FOR</v>
      </c>
      <c r="O4875" t="s">
        <v>69</v>
      </c>
      <c r="P4875" s="3" t="s">
        <v>70</v>
      </c>
      <c r="Q4875">
        <v>2015</v>
      </c>
      <c r="R4875" s="2">
        <v>42240</v>
      </c>
      <c r="S4875" s="2">
        <v>42243</v>
      </c>
      <c r="T4875" s="2">
        <v>42243</v>
      </c>
      <c r="U4875" s="2">
        <v>42303</v>
      </c>
      <c r="V4875" t="s">
        <v>71</v>
      </c>
      <c r="W4875" t="str">
        <f>"          7715017934"</f>
        <v xml:space="preserve">          7715017934</v>
      </c>
      <c r="X4875">
        <v>953.53</v>
      </c>
      <c r="Y4875">
        <v>0</v>
      </c>
      <c r="Z4875" s="3">
        <v>781.58</v>
      </c>
      <c r="AA4875">
        <v>385</v>
      </c>
      <c r="AB4875" s="5">
        <v>300908.3</v>
      </c>
      <c r="AC4875">
        <v>781.58</v>
      </c>
      <c r="AD4875">
        <v>385</v>
      </c>
      <c r="AE4875" s="1">
        <v>300908.3</v>
      </c>
      <c r="AF4875">
        <v>0</v>
      </c>
      <c r="AJ4875">
        <v>0</v>
      </c>
      <c r="AK4875">
        <v>0</v>
      </c>
      <c r="AL4875">
        <v>0</v>
      </c>
      <c r="AM4875">
        <v>0</v>
      </c>
      <c r="AN4875">
        <v>0</v>
      </c>
      <c r="AO4875">
        <v>0</v>
      </c>
      <c r="AP4875" s="2">
        <v>42746</v>
      </c>
      <c r="AQ4875" t="s">
        <v>72</v>
      </c>
      <c r="AR4875" t="s">
        <v>72</v>
      </c>
      <c r="AS4875">
        <v>3078</v>
      </c>
      <c r="AT4875" s="4">
        <v>42688</v>
      </c>
      <c r="AU4875" t="s">
        <v>73</v>
      </c>
      <c r="AV4875">
        <v>3078</v>
      </c>
      <c r="AW4875" s="4">
        <v>42688</v>
      </c>
      <c r="BD4875">
        <v>0</v>
      </c>
      <c r="BN4875" t="s">
        <v>74</v>
      </c>
    </row>
    <row r="4876" spans="1:66">
      <c r="A4876">
        <v>101787</v>
      </c>
      <c r="B4876" s="3" t="s">
        <v>519</v>
      </c>
      <c r="C4876" s="1">
        <v>43300101</v>
      </c>
      <c r="D4876" t="s">
        <v>67</v>
      </c>
      <c r="H4876" t="str">
        <f t="shared" si="525"/>
        <v>09275090158</v>
      </c>
      <c r="I4876" t="str">
        <f t="shared" si="525"/>
        <v>09275090158</v>
      </c>
      <c r="K4876" t="str">
        <f>""</f>
        <v/>
      </c>
      <c r="M4876" t="s">
        <v>68</v>
      </c>
      <c r="N4876" t="str">
        <f t="shared" si="524"/>
        <v>FOR</v>
      </c>
      <c r="O4876" t="s">
        <v>69</v>
      </c>
      <c r="P4876" s="3" t="s">
        <v>70</v>
      </c>
      <c r="Q4876">
        <v>2015</v>
      </c>
      <c r="R4876" s="2">
        <v>42328</v>
      </c>
      <c r="S4876" s="2">
        <v>42339</v>
      </c>
      <c r="T4876" s="2">
        <v>42339</v>
      </c>
      <c r="U4876" s="2">
        <v>42399</v>
      </c>
      <c r="V4876" t="s">
        <v>71</v>
      </c>
      <c r="W4876" t="str">
        <f>"          7715024254"</f>
        <v xml:space="preserve">          7715024254</v>
      </c>
      <c r="X4876" s="1">
        <v>1907.06</v>
      </c>
      <c r="Y4876">
        <v>0</v>
      </c>
      <c r="Z4876" s="5">
        <v>1563.16</v>
      </c>
      <c r="AA4876">
        <v>289</v>
      </c>
      <c r="AB4876" s="5">
        <v>451753.24</v>
      </c>
      <c r="AC4876" s="1">
        <v>1563.16</v>
      </c>
      <c r="AD4876">
        <v>289</v>
      </c>
      <c r="AE4876" s="1">
        <v>451753.24</v>
      </c>
      <c r="AF4876">
        <v>0</v>
      </c>
      <c r="AJ4876">
        <v>0</v>
      </c>
      <c r="AK4876">
        <v>0</v>
      </c>
      <c r="AL4876">
        <v>0</v>
      </c>
      <c r="AM4876">
        <v>0</v>
      </c>
      <c r="AN4876">
        <v>0</v>
      </c>
      <c r="AO4876">
        <v>0</v>
      </c>
      <c r="AP4876" s="2">
        <v>42746</v>
      </c>
      <c r="AQ4876" t="s">
        <v>72</v>
      </c>
      <c r="AR4876" t="s">
        <v>72</v>
      </c>
      <c r="AS4876">
        <v>3078</v>
      </c>
      <c r="AT4876" s="4">
        <v>42688</v>
      </c>
      <c r="AU4876" t="s">
        <v>73</v>
      </c>
      <c r="AV4876">
        <v>3078</v>
      </c>
      <c r="AW4876" s="4">
        <v>42688</v>
      </c>
      <c r="BD4876">
        <v>0</v>
      </c>
      <c r="BN4876" t="s">
        <v>74</v>
      </c>
    </row>
    <row r="4877" spans="1:66">
      <c r="A4877">
        <v>101787</v>
      </c>
      <c r="B4877" s="3" t="s">
        <v>519</v>
      </c>
      <c r="C4877" s="1">
        <v>43300101</v>
      </c>
      <c r="D4877" t="s">
        <v>67</v>
      </c>
      <c r="H4877" t="str">
        <f t="shared" si="525"/>
        <v>09275090158</v>
      </c>
      <c r="I4877" t="str">
        <f t="shared" si="525"/>
        <v>09275090158</v>
      </c>
      <c r="K4877" t="str">
        <f>""</f>
        <v/>
      </c>
      <c r="M4877" t="s">
        <v>68</v>
      </c>
      <c r="N4877" t="str">
        <f t="shared" si="524"/>
        <v>FOR</v>
      </c>
      <c r="O4877" t="s">
        <v>69</v>
      </c>
      <c r="P4877" s="3" t="s">
        <v>70</v>
      </c>
      <c r="Q4877">
        <v>2015</v>
      </c>
      <c r="R4877" s="2">
        <v>42328</v>
      </c>
      <c r="S4877" s="2">
        <v>42339</v>
      </c>
      <c r="T4877" s="2">
        <v>42339</v>
      </c>
      <c r="U4877" s="2">
        <v>42399</v>
      </c>
      <c r="V4877" t="s">
        <v>71</v>
      </c>
      <c r="W4877" t="str">
        <f>"          7715024255"</f>
        <v xml:space="preserve">          7715024255</v>
      </c>
      <c r="X4877">
        <v>953.53</v>
      </c>
      <c r="Y4877">
        <v>0</v>
      </c>
      <c r="Z4877" s="3">
        <v>781.58</v>
      </c>
      <c r="AA4877">
        <v>289</v>
      </c>
      <c r="AB4877" s="5">
        <v>225876.62</v>
      </c>
      <c r="AC4877">
        <v>781.58</v>
      </c>
      <c r="AD4877">
        <v>289</v>
      </c>
      <c r="AE4877" s="1">
        <v>225876.62</v>
      </c>
      <c r="AF4877">
        <v>0</v>
      </c>
      <c r="AJ4877">
        <v>0</v>
      </c>
      <c r="AK4877">
        <v>0</v>
      </c>
      <c r="AL4877">
        <v>0</v>
      </c>
      <c r="AM4877">
        <v>0</v>
      </c>
      <c r="AN4877">
        <v>0</v>
      </c>
      <c r="AO4877">
        <v>0</v>
      </c>
      <c r="AP4877" s="2">
        <v>42746</v>
      </c>
      <c r="AQ4877" t="s">
        <v>72</v>
      </c>
      <c r="AR4877" t="s">
        <v>72</v>
      </c>
      <c r="AS4877">
        <v>3078</v>
      </c>
      <c r="AT4877" s="4">
        <v>42688</v>
      </c>
      <c r="AU4877" t="s">
        <v>73</v>
      </c>
      <c r="AV4877">
        <v>3078</v>
      </c>
      <c r="AW4877" s="4">
        <v>42688</v>
      </c>
      <c r="BD4877">
        <v>0</v>
      </c>
      <c r="BN4877" t="s">
        <v>74</v>
      </c>
    </row>
    <row r="4878" spans="1:66">
      <c r="A4878">
        <v>101787</v>
      </c>
      <c r="B4878" s="3" t="s">
        <v>519</v>
      </c>
      <c r="C4878" s="1">
        <v>43300101</v>
      </c>
      <c r="D4878" t="s">
        <v>67</v>
      </c>
      <c r="H4878" t="str">
        <f t="shared" si="525"/>
        <v>09275090158</v>
      </c>
      <c r="I4878" t="str">
        <f t="shared" si="525"/>
        <v>09275090158</v>
      </c>
      <c r="K4878" t="str">
        <f>""</f>
        <v/>
      </c>
      <c r="M4878" t="s">
        <v>68</v>
      </c>
      <c r="N4878" t="str">
        <f t="shared" si="524"/>
        <v>FOR</v>
      </c>
      <c r="O4878" t="s">
        <v>69</v>
      </c>
      <c r="P4878" s="3" t="s">
        <v>70</v>
      </c>
      <c r="Q4878">
        <v>2016</v>
      </c>
      <c r="R4878" s="2">
        <v>42423</v>
      </c>
      <c r="S4878" s="2">
        <v>42486</v>
      </c>
      <c r="T4878" s="2">
        <v>42486</v>
      </c>
      <c r="U4878" s="2">
        <v>42546</v>
      </c>
      <c r="V4878" t="s">
        <v>71</v>
      </c>
      <c r="W4878" t="str">
        <f>"          7716003521"</f>
        <v xml:space="preserve">          7716003521</v>
      </c>
      <c r="X4878" s="1">
        <v>1907.06</v>
      </c>
      <c r="Y4878">
        <v>0</v>
      </c>
      <c r="Z4878" s="5">
        <v>1563.16</v>
      </c>
      <c r="AA4878">
        <v>142</v>
      </c>
      <c r="AB4878" s="5">
        <v>221968.72</v>
      </c>
      <c r="AC4878" s="1">
        <v>1563.16</v>
      </c>
      <c r="AD4878">
        <v>142</v>
      </c>
      <c r="AE4878" s="1">
        <v>221968.72</v>
      </c>
      <c r="AF4878">
        <v>0</v>
      </c>
      <c r="AJ4878">
        <v>0</v>
      </c>
      <c r="AK4878">
        <v>0</v>
      </c>
      <c r="AL4878">
        <v>0</v>
      </c>
      <c r="AM4878" s="1">
        <v>1907.06</v>
      </c>
      <c r="AN4878" s="1">
        <v>1907.06</v>
      </c>
      <c r="AO4878" s="1">
        <v>1907.06</v>
      </c>
      <c r="AP4878" s="2">
        <v>42746</v>
      </c>
      <c r="AQ4878" t="s">
        <v>72</v>
      </c>
      <c r="AR4878" t="s">
        <v>72</v>
      </c>
      <c r="AS4878">
        <v>3078</v>
      </c>
      <c r="AT4878" s="4">
        <v>42688</v>
      </c>
      <c r="AU4878" t="s">
        <v>73</v>
      </c>
      <c r="AV4878">
        <v>3078</v>
      </c>
      <c r="AW4878" s="4">
        <v>42688</v>
      </c>
      <c r="BD4878">
        <v>0</v>
      </c>
      <c r="BN4878" t="s">
        <v>74</v>
      </c>
    </row>
    <row r="4879" spans="1:66">
      <c r="A4879">
        <v>101787</v>
      </c>
      <c r="B4879" s="3" t="s">
        <v>519</v>
      </c>
      <c r="C4879" s="1">
        <v>43300101</v>
      </c>
      <c r="D4879" t="s">
        <v>67</v>
      </c>
      <c r="H4879" t="str">
        <f t="shared" si="525"/>
        <v>09275090158</v>
      </c>
      <c r="I4879" t="str">
        <f t="shared" si="525"/>
        <v>09275090158</v>
      </c>
      <c r="K4879" t="str">
        <f>""</f>
        <v/>
      </c>
      <c r="M4879" t="s">
        <v>68</v>
      </c>
      <c r="N4879" t="str">
        <f t="shared" si="524"/>
        <v>FOR</v>
      </c>
      <c r="O4879" t="s">
        <v>69</v>
      </c>
      <c r="P4879" s="3" t="s">
        <v>70</v>
      </c>
      <c r="Q4879">
        <v>2016</v>
      </c>
      <c r="R4879" s="2">
        <v>42423</v>
      </c>
      <c r="S4879" s="2">
        <v>42486</v>
      </c>
      <c r="T4879" s="2">
        <v>42486</v>
      </c>
      <c r="U4879" s="2">
        <v>42546</v>
      </c>
      <c r="V4879" t="s">
        <v>71</v>
      </c>
      <c r="W4879" t="str">
        <f>"          7716003522"</f>
        <v xml:space="preserve">          7716003522</v>
      </c>
      <c r="X4879">
        <v>953.53</v>
      </c>
      <c r="Y4879">
        <v>0</v>
      </c>
      <c r="Z4879" s="3">
        <v>781.58</v>
      </c>
      <c r="AA4879">
        <v>142</v>
      </c>
      <c r="AB4879" s="5">
        <v>110984.36</v>
      </c>
      <c r="AC4879">
        <v>781.58</v>
      </c>
      <c r="AD4879">
        <v>142</v>
      </c>
      <c r="AE4879" s="1">
        <v>110984.36</v>
      </c>
      <c r="AF4879">
        <v>0</v>
      </c>
      <c r="AJ4879">
        <v>0</v>
      </c>
      <c r="AK4879">
        <v>0</v>
      </c>
      <c r="AL4879">
        <v>0</v>
      </c>
      <c r="AM4879">
        <v>953.53</v>
      </c>
      <c r="AN4879">
        <v>953.53</v>
      </c>
      <c r="AO4879">
        <v>953.53</v>
      </c>
      <c r="AP4879" s="2">
        <v>42746</v>
      </c>
      <c r="AQ4879" t="s">
        <v>72</v>
      </c>
      <c r="AR4879" t="s">
        <v>72</v>
      </c>
      <c r="AS4879">
        <v>3078</v>
      </c>
      <c r="AT4879" s="4">
        <v>42688</v>
      </c>
      <c r="AU4879" t="s">
        <v>73</v>
      </c>
      <c r="AV4879">
        <v>3078</v>
      </c>
      <c r="AW4879" s="4">
        <v>42688</v>
      </c>
      <c r="BD4879">
        <v>0</v>
      </c>
      <c r="BN4879" t="s">
        <v>74</v>
      </c>
    </row>
    <row r="4880" spans="1:66">
      <c r="A4880">
        <v>101787</v>
      </c>
      <c r="B4880" s="3" t="s">
        <v>519</v>
      </c>
      <c r="C4880" s="1">
        <v>43300101</v>
      </c>
      <c r="D4880" t="s">
        <v>67</v>
      </c>
      <c r="H4880" t="str">
        <f t="shared" si="525"/>
        <v>09275090158</v>
      </c>
      <c r="I4880" t="str">
        <f t="shared" si="525"/>
        <v>09275090158</v>
      </c>
      <c r="K4880" t="str">
        <f>""</f>
        <v/>
      </c>
      <c r="M4880" t="s">
        <v>68</v>
      </c>
      <c r="N4880" t="str">
        <f t="shared" si="524"/>
        <v>FOR</v>
      </c>
      <c r="O4880" t="s">
        <v>69</v>
      </c>
      <c r="P4880" s="3" t="s">
        <v>70</v>
      </c>
      <c r="Q4880">
        <v>2016</v>
      </c>
      <c r="R4880" s="2">
        <v>42517</v>
      </c>
      <c r="S4880" s="2">
        <v>42527</v>
      </c>
      <c r="T4880" s="2">
        <v>42527</v>
      </c>
      <c r="U4880" s="2">
        <v>42587</v>
      </c>
      <c r="V4880" t="s">
        <v>71</v>
      </c>
      <c r="W4880" t="str">
        <f>"          7716011998"</f>
        <v xml:space="preserve">          7716011998</v>
      </c>
      <c r="X4880" s="1">
        <v>1907.06</v>
      </c>
      <c r="Y4880">
        <v>0</v>
      </c>
      <c r="Z4880" s="5">
        <v>1563.16</v>
      </c>
      <c r="AA4880">
        <v>101</v>
      </c>
      <c r="AB4880" s="5">
        <v>157879.16</v>
      </c>
      <c r="AC4880" s="1">
        <v>1563.16</v>
      </c>
      <c r="AD4880">
        <v>101</v>
      </c>
      <c r="AE4880" s="1">
        <v>157879.16</v>
      </c>
      <c r="AF4880">
        <v>0</v>
      </c>
      <c r="AJ4880">
        <v>0</v>
      </c>
      <c r="AK4880">
        <v>0</v>
      </c>
      <c r="AL4880">
        <v>0</v>
      </c>
      <c r="AM4880" s="1">
        <v>1907.06</v>
      </c>
      <c r="AN4880" s="1">
        <v>1907.06</v>
      </c>
      <c r="AO4880" s="1">
        <v>1907.06</v>
      </c>
      <c r="AP4880" s="2">
        <v>42746</v>
      </c>
      <c r="AQ4880" t="s">
        <v>72</v>
      </c>
      <c r="AR4880" t="s">
        <v>72</v>
      </c>
      <c r="AS4880">
        <v>3078</v>
      </c>
      <c r="AT4880" s="4">
        <v>42688</v>
      </c>
      <c r="AU4880" t="s">
        <v>73</v>
      </c>
      <c r="AV4880">
        <v>3078</v>
      </c>
      <c r="AW4880" s="4">
        <v>42688</v>
      </c>
      <c r="BD4880">
        <v>0</v>
      </c>
      <c r="BN4880" t="s">
        <v>74</v>
      </c>
    </row>
    <row r="4881" spans="1:66">
      <c r="A4881">
        <v>101787</v>
      </c>
      <c r="B4881" s="3" t="s">
        <v>519</v>
      </c>
      <c r="C4881" s="1">
        <v>43300101</v>
      </c>
      <c r="D4881" t="s">
        <v>67</v>
      </c>
      <c r="H4881" t="str">
        <f t="shared" si="525"/>
        <v>09275090158</v>
      </c>
      <c r="I4881" t="str">
        <f t="shared" si="525"/>
        <v>09275090158</v>
      </c>
      <c r="K4881" t="str">
        <f>""</f>
        <v/>
      </c>
      <c r="M4881" t="s">
        <v>68</v>
      </c>
      <c r="N4881" t="str">
        <f t="shared" si="524"/>
        <v>FOR</v>
      </c>
      <c r="O4881" t="s">
        <v>69</v>
      </c>
      <c r="P4881" s="3" t="s">
        <v>70</v>
      </c>
      <c r="Q4881">
        <v>2016</v>
      </c>
      <c r="R4881" s="2">
        <v>42517</v>
      </c>
      <c r="S4881" s="2">
        <v>42527</v>
      </c>
      <c r="T4881" s="2">
        <v>42527</v>
      </c>
      <c r="U4881" s="2">
        <v>42587</v>
      </c>
      <c r="V4881" t="s">
        <v>71</v>
      </c>
      <c r="W4881" t="str">
        <f>"          7716011999"</f>
        <v xml:space="preserve">          7716011999</v>
      </c>
      <c r="X4881">
        <v>953.53</v>
      </c>
      <c r="Y4881">
        <v>0</v>
      </c>
      <c r="Z4881" s="3">
        <v>781.58</v>
      </c>
      <c r="AA4881">
        <v>101</v>
      </c>
      <c r="AB4881" s="5">
        <v>78939.58</v>
      </c>
      <c r="AC4881">
        <v>781.58</v>
      </c>
      <c r="AD4881">
        <v>101</v>
      </c>
      <c r="AE4881" s="1">
        <v>78939.58</v>
      </c>
      <c r="AF4881">
        <v>0</v>
      </c>
      <c r="AJ4881">
        <v>0</v>
      </c>
      <c r="AK4881">
        <v>0</v>
      </c>
      <c r="AL4881">
        <v>0</v>
      </c>
      <c r="AM4881">
        <v>953.53</v>
      </c>
      <c r="AN4881">
        <v>953.53</v>
      </c>
      <c r="AO4881">
        <v>953.53</v>
      </c>
      <c r="AP4881" s="2">
        <v>42746</v>
      </c>
      <c r="AQ4881" t="s">
        <v>72</v>
      </c>
      <c r="AR4881" t="s">
        <v>72</v>
      </c>
      <c r="AS4881">
        <v>3078</v>
      </c>
      <c r="AT4881" s="4">
        <v>42688</v>
      </c>
      <c r="AU4881" t="s">
        <v>73</v>
      </c>
      <c r="AV4881">
        <v>3078</v>
      </c>
      <c r="AW4881" s="4">
        <v>42688</v>
      </c>
      <c r="BD4881">
        <v>0</v>
      </c>
      <c r="BN4881" t="s">
        <v>74</v>
      </c>
    </row>
    <row r="4882" spans="1:66">
      <c r="A4882">
        <v>101787</v>
      </c>
      <c r="B4882" s="3" t="s">
        <v>519</v>
      </c>
      <c r="C4882" s="1">
        <v>43300101</v>
      </c>
      <c r="D4882" t="s">
        <v>67</v>
      </c>
      <c r="H4882" t="str">
        <f t="shared" si="525"/>
        <v>09275090158</v>
      </c>
      <c r="I4882" t="str">
        <f t="shared" si="525"/>
        <v>09275090158</v>
      </c>
      <c r="K4882" t="str">
        <f>""</f>
        <v/>
      </c>
      <c r="M4882" t="s">
        <v>68</v>
      </c>
      <c r="N4882" t="str">
        <f t="shared" si="524"/>
        <v>FOR</v>
      </c>
      <c r="O4882" t="s">
        <v>69</v>
      </c>
      <c r="P4882" s="3" t="s">
        <v>70</v>
      </c>
      <c r="Q4882">
        <v>2016</v>
      </c>
      <c r="R4882" s="2">
        <v>42612</v>
      </c>
      <c r="S4882" s="2">
        <v>42621</v>
      </c>
      <c r="T4882" s="2">
        <v>42621</v>
      </c>
      <c r="U4882" s="2">
        <v>42681</v>
      </c>
      <c r="V4882" t="s">
        <v>71</v>
      </c>
      <c r="W4882" t="str">
        <f>"          7716019963"</f>
        <v xml:space="preserve">          7716019963</v>
      </c>
      <c r="X4882" s="1">
        <v>1907.06</v>
      </c>
      <c r="Y4882">
        <v>0</v>
      </c>
      <c r="Z4882" s="5">
        <v>1563.16</v>
      </c>
      <c r="AA4882">
        <v>7</v>
      </c>
      <c r="AB4882" s="5">
        <v>10942.12</v>
      </c>
      <c r="AC4882" s="1">
        <v>1563.16</v>
      </c>
      <c r="AD4882">
        <v>7</v>
      </c>
      <c r="AE4882" s="1">
        <v>10942.12</v>
      </c>
      <c r="AF4882">
        <v>0</v>
      </c>
      <c r="AJ4882">
        <v>0</v>
      </c>
      <c r="AK4882">
        <v>0</v>
      </c>
      <c r="AL4882">
        <v>0</v>
      </c>
      <c r="AM4882" s="1">
        <v>1907.06</v>
      </c>
      <c r="AN4882" s="1">
        <v>1907.06</v>
      </c>
      <c r="AO4882" s="1">
        <v>1907.06</v>
      </c>
      <c r="AP4882" s="2">
        <v>42746</v>
      </c>
      <c r="AQ4882" t="s">
        <v>72</v>
      </c>
      <c r="AR4882" t="s">
        <v>72</v>
      </c>
      <c r="AS4882">
        <v>3078</v>
      </c>
      <c r="AT4882" s="4">
        <v>42688</v>
      </c>
      <c r="AU4882" t="s">
        <v>73</v>
      </c>
      <c r="AV4882">
        <v>3078</v>
      </c>
      <c r="AW4882" s="4">
        <v>42688</v>
      </c>
      <c r="BD4882">
        <v>0</v>
      </c>
      <c r="BN4882" t="s">
        <v>74</v>
      </c>
    </row>
    <row r="4883" spans="1:66">
      <c r="A4883">
        <v>101787</v>
      </c>
      <c r="B4883" s="3" t="s">
        <v>519</v>
      </c>
      <c r="C4883" s="1">
        <v>43300101</v>
      </c>
      <c r="D4883" t="s">
        <v>67</v>
      </c>
      <c r="H4883" t="str">
        <f t="shared" si="525"/>
        <v>09275090158</v>
      </c>
      <c r="I4883" t="str">
        <f t="shared" si="525"/>
        <v>09275090158</v>
      </c>
      <c r="K4883" t="str">
        <f>""</f>
        <v/>
      </c>
      <c r="M4883" t="s">
        <v>68</v>
      </c>
      <c r="N4883" t="str">
        <f t="shared" si="524"/>
        <v>FOR</v>
      </c>
      <c r="O4883" t="s">
        <v>69</v>
      </c>
      <c r="P4883" s="3" t="s">
        <v>70</v>
      </c>
      <c r="Q4883">
        <v>2016</v>
      </c>
      <c r="R4883" s="2">
        <v>42612</v>
      </c>
      <c r="S4883" s="2">
        <v>42621</v>
      </c>
      <c r="T4883" s="2">
        <v>42621</v>
      </c>
      <c r="U4883" s="2">
        <v>42681</v>
      </c>
      <c r="V4883" t="s">
        <v>71</v>
      </c>
      <c r="W4883" t="str">
        <f>"          7716019964"</f>
        <v xml:space="preserve">          7716019964</v>
      </c>
      <c r="X4883">
        <v>953.53</v>
      </c>
      <c r="Y4883">
        <v>0</v>
      </c>
      <c r="Z4883" s="3">
        <v>781.58</v>
      </c>
      <c r="AA4883">
        <v>7</v>
      </c>
      <c r="AB4883" s="5">
        <v>5471.06</v>
      </c>
      <c r="AC4883">
        <v>781.58</v>
      </c>
      <c r="AD4883">
        <v>7</v>
      </c>
      <c r="AE4883" s="1">
        <v>5471.06</v>
      </c>
      <c r="AF4883">
        <v>0</v>
      </c>
      <c r="AJ4883">
        <v>0</v>
      </c>
      <c r="AK4883">
        <v>0</v>
      </c>
      <c r="AL4883">
        <v>0</v>
      </c>
      <c r="AM4883">
        <v>953.53</v>
      </c>
      <c r="AN4883">
        <v>953.53</v>
      </c>
      <c r="AO4883">
        <v>953.53</v>
      </c>
      <c r="AP4883" s="2">
        <v>42746</v>
      </c>
      <c r="AQ4883" t="s">
        <v>72</v>
      </c>
      <c r="AR4883" t="s">
        <v>72</v>
      </c>
      <c r="AS4883">
        <v>3078</v>
      </c>
      <c r="AT4883" s="4">
        <v>42688</v>
      </c>
      <c r="AU4883" t="s">
        <v>73</v>
      </c>
      <c r="AV4883">
        <v>3078</v>
      </c>
      <c r="AW4883" s="4">
        <v>42688</v>
      </c>
      <c r="BD4883">
        <v>0</v>
      </c>
      <c r="BN4883" t="s">
        <v>74</v>
      </c>
    </row>
    <row r="4884" spans="1:66" hidden="1">
      <c r="A4884">
        <v>101788</v>
      </c>
      <c r="B4884" s="3" t="s">
        <v>520</v>
      </c>
      <c r="C4884" s="1">
        <v>43300101</v>
      </c>
      <c r="D4884" t="s">
        <v>67</v>
      </c>
      <c r="H4884" t="str">
        <f>"01322850627"</f>
        <v>01322850627</v>
      </c>
      <c r="I4884" t="str">
        <f>"01322850627"</f>
        <v>01322850627</v>
      </c>
      <c r="K4884" t="str">
        <f>""</f>
        <v/>
      </c>
      <c r="M4884" t="s">
        <v>68</v>
      </c>
      <c r="N4884" t="str">
        <f t="shared" si="524"/>
        <v>FOR</v>
      </c>
      <c r="O4884" t="s">
        <v>69</v>
      </c>
      <c r="P4884" s="3" t="s">
        <v>75</v>
      </c>
      <c r="Q4884">
        <v>2015</v>
      </c>
      <c r="R4884" s="2">
        <v>42202</v>
      </c>
      <c r="S4884" s="2">
        <v>42227</v>
      </c>
      <c r="T4884" s="2">
        <v>42216</v>
      </c>
      <c r="U4884" s="2">
        <v>42276</v>
      </c>
      <c r="V4884" t="s">
        <v>71</v>
      </c>
      <c r="W4884" t="str">
        <f>"         FATTPA 1_15"</f>
        <v xml:space="preserve">         FATTPA 1_15</v>
      </c>
      <c r="X4884" s="1">
        <v>5246</v>
      </c>
      <c r="Y4884">
        <v>0</v>
      </c>
      <c r="Z4884"/>
      <c r="AB4884"/>
      <c r="AC4884" s="1">
        <v>4300</v>
      </c>
      <c r="AD4884">
        <v>301</v>
      </c>
      <c r="AE4884" s="1">
        <v>1294300</v>
      </c>
      <c r="AF4884">
        <v>0</v>
      </c>
      <c r="AJ4884">
        <v>0</v>
      </c>
      <c r="AK4884">
        <v>0</v>
      </c>
      <c r="AL4884">
        <v>0</v>
      </c>
      <c r="AM4884">
        <v>0</v>
      </c>
      <c r="AN4884">
        <v>0</v>
      </c>
      <c r="AO4884">
        <v>0</v>
      </c>
      <c r="AP4884" s="2">
        <v>42746</v>
      </c>
      <c r="AQ4884" t="s">
        <v>72</v>
      </c>
      <c r="AR4884" t="s">
        <v>72</v>
      </c>
      <c r="AS4884">
        <v>1945</v>
      </c>
      <c r="AT4884" s="4">
        <v>42577</v>
      </c>
      <c r="AU4884" t="s">
        <v>73</v>
      </c>
      <c r="AV4884">
        <v>1945</v>
      </c>
      <c r="AW4884" s="4">
        <v>42577</v>
      </c>
      <c r="BD4884">
        <v>0</v>
      </c>
      <c r="BN4884" t="s">
        <v>74</v>
      </c>
    </row>
    <row r="4885" spans="1:66" hidden="1">
      <c r="A4885">
        <v>101789</v>
      </c>
      <c r="B4885" s="3" t="s">
        <v>521</v>
      </c>
      <c r="C4885" s="1">
        <v>43300101</v>
      </c>
      <c r="D4885" t="s">
        <v>67</v>
      </c>
      <c r="H4885" t="str">
        <f t="shared" ref="H4885:I4895" si="526">"01553270628"</f>
        <v>01553270628</v>
      </c>
      <c r="I4885" t="str">
        <f t="shared" si="526"/>
        <v>01553270628</v>
      </c>
      <c r="K4885" t="str">
        <f>""</f>
        <v/>
      </c>
      <c r="M4885" t="s">
        <v>68</v>
      </c>
      <c r="N4885" t="str">
        <f t="shared" si="524"/>
        <v>FOR</v>
      </c>
      <c r="O4885" t="s">
        <v>69</v>
      </c>
      <c r="P4885" s="3" t="s">
        <v>75</v>
      </c>
      <c r="Q4885">
        <v>2015</v>
      </c>
      <c r="R4885" s="2">
        <v>42287</v>
      </c>
      <c r="S4885" s="2">
        <v>42289</v>
      </c>
      <c r="T4885" s="2">
        <v>42287</v>
      </c>
      <c r="U4885" s="2">
        <v>42347</v>
      </c>
      <c r="V4885" t="s">
        <v>71</v>
      </c>
      <c r="W4885" t="str">
        <f>"         000006/2015"</f>
        <v xml:space="preserve">         000006/2015</v>
      </c>
      <c r="X4885">
        <v>330.13</v>
      </c>
      <c r="Y4885">
        <v>0</v>
      </c>
      <c r="Z4885"/>
      <c r="AB4885"/>
      <c r="AC4885">
        <v>270.60000000000002</v>
      </c>
      <c r="AD4885">
        <v>56</v>
      </c>
      <c r="AE4885" s="1">
        <v>15153.6</v>
      </c>
      <c r="AF4885">
        <v>59.53</v>
      </c>
      <c r="AJ4885">
        <v>0</v>
      </c>
      <c r="AK4885">
        <v>0</v>
      </c>
      <c r="AL4885">
        <v>0</v>
      </c>
      <c r="AM4885">
        <v>0</v>
      </c>
      <c r="AN4885">
        <v>0</v>
      </c>
      <c r="AO4885">
        <v>0</v>
      </c>
      <c r="AP4885" s="2">
        <v>42746</v>
      </c>
      <c r="AQ4885" t="s">
        <v>72</v>
      </c>
      <c r="AR4885" t="s">
        <v>72</v>
      </c>
      <c r="AS4885">
        <v>212</v>
      </c>
      <c r="AT4885" s="4">
        <v>42403</v>
      </c>
      <c r="AU4885" t="s">
        <v>73</v>
      </c>
      <c r="AV4885">
        <v>212</v>
      </c>
      <c r="AW4885" s="4">
        <v>42403</v>
      </c>
      <c r="BD4885">
        <v>59.53</v>
      </c>
      <c r="BN4885" t="s">
        <v>74</v>
      </c>
    </row>
    <row r="4886" spans="1:66" hidden="1">
      <c r="A4886">
        <v>101789</v>
      </c>
      <c r="B4886" s="3" t="s">
        <v>521</v>
      </c>
      <c r="C4886" s="1">
        <v>43300101</v>
      </c>
      <c r="D4886" t="s">
        <v>67</v>
      </c>
      <c r="H4886" t="str">
        <f t="shared" si="526"/>
        <v>01553270628</v>
      </c>
      <c r="I4886" t="str">
        <f t="shared" si="526"/>
        <v>01553270628</v>
      </c>
      <c r="K4886" t="str">
        <f>""</f>
        <v/>
      </c>
      <c r="M4886" t="s">
        <v>68</v>
      </c>
      <c r="N4886" t="str">
        <f t="shared" si="524"/>
        <v>FOR</v>
      </c>
      <c r="O4886" t="s">
        <v>69</v>
      </c>
      <c r="P4886" s="3" t="s">
        <v>75</v>
      </c>
      <c r="Q4886">
        <v>2015</v>
      </c>
      <c r="R4886" s="2">
        <v>42287</v>
      </c>
      <c r="S4886" s="2">
        <v>42289</v>
      </c>
      <c r="T4886" s="2">
        <v>42287</v>
      </c>
      <c r="U4886" s="2">
        <v>42347</v>
      </c>
      <c r="V4886" t="s">
        <v>71</v>
      </c>
      <c r="W4886" t="str">
        <f>"         000007/2015"</f>
        <v xml:space="preserve">         000007/2015</v>
      </c>
      <c r="X4886">
        <v>120.05</v>
      </c>
      <c r="Y4886">
        <v>0</v>
      </c>
      <c r="Z4886"/>
      <c r="AB4886"/>
      <c r="AC4886">
        <v>98.4</v>
      </c>
      <c r="AD4886">
        <v>56</v>
      </c>
      <c r="AE4886" s="1">
        <v>5510.4</v>
      </c>
      <c r="AF4886">
        <v>21.65</v>
      </c>
      <c r="AJ4886">
        <v>0</v>
      </c>
      <c r="AK4886">
        <v>0</v>
      </c>
      <c r="AL4886">
        <v>0</v>
      </c>
      <c r="AM4886">
        <v>0</v>
      </c>
      <c r="AN4886">
        <v>0</v>
      </c>
      <c r="AO4886">
        <v>0</v>
      </c>
      <c r="AP4886" s="2">
        <v>42746</v>
      </c>
      <c r="AQ4886" t="s">
        <v>72</v>
      </c>
      <c r="AR4886" t="s">
        <v>72</v>
      </c>
      <c r="AS4886">
        <v>212</v>
      </c>
      <c r="AT4886" s="4">
        <v>42403</v>
      </c>
      <c r="AU4886" t="s">
        <v>73</v>
      </c>
      <c r="AV4886">
        <v>212</v>
      </c>
      <c r="AW4886" s="4">
        <v>42403</v>
      </c>
      <c r="BD4886">
        <v>21.65</v>
      </c>
      <c r="BN4886" t="s">
        <v>74</v>
      </c>
    </row>
    <row r="4887" spans="1:66" hidden="1">
      <c r="A4887">
        <v>101789</v>
      </c>
      <c r="B4887" s="3" t="s">
        <v>521</v>
      </c>
      <c r="C4887" s="1">
        <v>43300101</v>
      </c>
      <c r="D4887" t="s">
        <v>67</v>
      </c>
      <c r="H4887" t="str">
        <f t="shared" si="526"/>
        <v>01553270628</v>
      </c>
      <c r="I4887" t="str">
        <f t="shared" si="526"/>
        <v>01553270628</v>
      </c>
      <c r="K4887" t="str">
        <f>""</f>
        <v/>
      </c>
      <c r="M4887" t="s">
        <v>68</v>
      </c>
      <c r="N4887" t="str">
        <f t="shared" si="524"/>
        <v>FOR</v>
      </c>
      <c r="O4887" t="s">
        <v>69</v>
      </c>
      <c r="P4887" s="3" t="s">
        <v>75</v>
      </c>
      <c r="Q4887">
        <v>2015</v>
      </c>
      <c r="R4887" s="2">
        <v>42287</v>
      </c>
      <c r="S4887" s="2">
        <v>42289</v>
      </c>
      <c r="T4887" s="2">
        <v>42287</v>
      </c>
      <c r="U4887" s="2">
        <v>42347</v>
      </c>
      <c r="V4887" t="s">
        <v>71</v>
      </c>
      <c r="W4887" t="str">
        <f>"         000008/2015"</f>
        <v xml:space="preserve">         000008/2015</v>
      </c>
      <c r="X4887">
        <v>120.05</v>
      </c>
      <c r="Y4887">
        <v>0</v>
      </c>
      <c r="Z4887"/>
      <c r="AB4887"/>
      <c r="AC4887">
        <v>98.4</v>
      </c>
      <c r="AD4887">
        <v>56</v>
      </c>
      <c r="AE4887" s="1">
        <v>5510.4</v>
      </c>
      <c r="AF4887">
        <v>21.65</v>
      </c>
      <c r="AJ4887">
        <v>0</v>
      </c>
      <c r="AK4887">
        <v>0</v>
      </c>
      <c r="AL4887">
        <v>0</v>
      </c>
      <c r="AM4887">
        <v>0</v>
      </c>
      <c r="AN4887">
        <v>0</v>
      </c>
      <c r="AO4887">
        <v>0</v>
      </c>
      <c r="AP4887" s="2">
        <v>42746</v>
      </c>
      <c r="AQ4887" t="s">
        <v>72</v>
      </c>
      <c r="AR4887" t="s">
        <v>72</v>
      </c>
      <c r="AS4887">
        <v>212</v>
      </c>
      <c r="AT4887" s="4">
        <v>42403</v>
      </c>
      <c r="AU4887" t="s">
        <v>73</v>
      </c>
      <c r="AV4887">
        <v>212</v>
      </c>
      <c r="AW4887" s="4">
        <v>42403</v>
      </c>
      <c r="BD4887">
        <v>21.65</v>
      </c>
      <c r="BN4887" t="s">
        <v>74</v>
      </c>
    </row>
    <row r="4888" spans="1:66" hidden="1">
      <c r="A4888">
        <v>101789</v>
      </c>
      <c r="B4888" s="3" t="s">
        <v>521</v>
      </c>
      <c r="C4888" s="1">
        <v>43300101</v>
      </c>
      <c r="D4888" t="s">
        <v>67</v>
      </c>
      <c r="H4888" t="str">
        <f t="shared" si="526"/>
        <v>01553270628</v>
      </c>
      <c r="I4888" t="str">
        <f t="shared" si="526"/>
        <v>01553270628</v>
      </c>
      <c r="K4888" t="str">
        <f>""</f>
        <v/>
      </c>
      <c r="M4888" t="s">
        <v>68</v>
      </c>
      <c r="N4888" t="str">
        <f t="shared" si="524"/>
        <v>FOR</v>
      </c>
      <c r="O4888" t="s">
        <v>69</v>
      </c>
      <c r="P4888" s="3" t="s">
        <v>75</v>
      </c>
      <c r="Q4888">
        <v>2015</v>
      </c>
      <c r="R4888" s="2">
        <v>42324</v>
      </c>
      <c r="S4888" s="2">
        <v>42325</v>
      </c>
      <c r="T4888" s="2">
        <v>42324</v>
      </c>
      <c r="U4888" s="2">
        <v>42384</v>
      </c>
      <c r="V4888" t="s">
        <v>71</v>
      </c>
      <c r="W4888" t="str">
        <f>"         000010/2015"</f>
        <v xml:space="preserve">         000010/2015</v>
      </c>
      <c r="X4888">
        <v>359.9</v>
      </c>
      <c r="Y4888">
        <v>0</v>
      </c>
      <c r="Z4888"/>
      <c r="AB4888"/>
      <c r="AC4888">
        <v>295</v>
      </c>
      <c r="AD4888">
        <v>19</v>
      </c>
      <c r="AE4888" s="1">
        <v>5605</v>
      </c>
      <c r="AF4888">
        <v>64.900000000000006</v>
      </c>
      <c r="AJ4888">
        <v>0</v>
      </c>
      <c r="AK4888">
        <v>0</v>
      </c>
      <c r="AL4888">
        <v>0</v>
      </c>
      <c r="AM4888">
        <v>0</v>
      </c>
      <c r="AN4888">
        <v>0</v>
      </c>
      <c r="AO4888">
        <v>0</v>
      </c>
      <c r="AP4888" s="2">
        <v>42746</v>
      </c>
      <c r="AQ4888" t="s">
        <v>72</v>
      </c>
      <c r="AR4888" t="s">
        <v>72</v>
      </c>
      <c r="AS4888">
        <v>212</v>
      </c>
      <c r="AT4888" s="4">
        <v>42403</v>
      </c>
      <c r="AU4888" t="s">
        <v>73</v>
      </c>
      <c r="AV4888">
        <v>212</v>
      </c>
      <c r="AW4888" s="4">
        <v>42403</v>
      </c>
      <c r="BD4888">
        <v>64.900000000000006</v>
      </c>
      <c r="BN4888" t="s">
        <v>74</v>
      </c>
    </row>
    <row r="4889" spans="1:66" hidden="1">
      <c r="A4889">
        <v>101789</v>
      </c>
      <c r="B4889" s="3" t="s">
        <v>521</v>
      </c>
      <c r="C4889" s="1">
        <v>43300101</v>
      </c>
      <c r="D4889" t="s">
        <v>67</v>
      </c>
      <c r="H4889" t="str">
        <f t="shared" si="526"/>
        <v>01553270628</v>
      </c>
      <c r="I4889" t="str">
        <f t="shared" si="526"/>
        <v>01553270628</v>
      </c>
      <c r="K4889" t="str">
        <f>""</f>
        <v/>
      </c>
      <c r="M4889" t="s">
        <v>68</v>
      </c>
      <c r="N4889" t="str">
        <f t="shared" si="524"/>
        <v>FOR</v>
      </c>
      <c r="O4889" t="s">
        <v>69</v>
      </c>
      <c r="P4889" s="3" t="s">
        <v>75</v>
      </c>
      <c r="Q4889">
        <v>2016</v>
      </c>
      <c r="R4889" s="2">
        <v>42424</v>
      </c>
      <c r="S4889" s="2">
        <v>42426</v>
      </c>
      <c r="T4889" s="2">
        <v>42424</v>
      </c>
      <c r="U4889" s="2">
        <v>42484</v>
      </c>
      <c r="V4889" t="s">
        <v>71</v>
      </c>
      <c r="W4889" t="str">
        <f>"          00001/2016"</f>
        <v xml:space="preserve">          00001/2016</v>
      </c>
      <c r="X4889">
        <v>91.5</v>
      </c>
      <c r="Y4889">
        <v>0</v>
      </c>
      <c r="Z4889"/>
      <c r="AB4889"/>
      <c r="AC4889">
        <v>75</v>
      </c>
      <c r="AD4889">
        <v>82</v>
      </c>
      <c r="AE4889" s="1">
        <v>6150</v>
      </c>
      <c r="AF4889">
        <v>16.5</v>
      </c>
      <c r="AJ4889">
        <v>0</v>
      </c>
      <c r="AK4889">
        <v>0</v>
      </c>
      <c r="AL4889">
        <v>0</v>
      </c>
      <c r="AM4889">
        <v>91.5</v>
      </c>
      <c r="AN4889">
        <v>91.5</v>
      </c>
      <c r="AO4889">
        <v>91.5</v>
      </c>
      <c r="AP4889" s="2">
        <v>42746</v>
      </c>
      <c r="AQ4889" t="s">
        <v>72</v>
      </c>
      <c r="AR4889" t="s">
        <v>72</v>
      </c>
      <c r="AS4889">
        <v>1771</v>
      </c>
      <c r="AT4889" s="4">
        <v>42566</v>
      </c>
      <c r="AU4889" t="s">
        <v>73</v>
      </c>
      <c r="AV4889">
        <v>1771</v>
      </c>
      <c r="AW4889" s="4">
        <v>42566</v>
      </c>
      <c r="BD4889">
        <v>16.5</v>
      </c>
      <c r="BN4889" t="s">
        <v>74</v>
      </c>
    </row>
    <row r="4890" spans="1:66" hidden="1">
      <c r="A4890">
        <v>101789</v>
      </c>
      <c r="B4890" s="3" t="s">
        <v>521</v>
      </c>
      <c r="C4890" s="1">
        <v>43300101</v>
      </c>
      <c r="D4890" t="s">
        <v>67</v>
      </c>
      <c r="H4890" t="str">
        <f t="shared" si="526"/>
        <v>01553270628</v>
      </c>
      <c r="I4890" t="str">
        <f t="shared" si="526"/>
        <v>01553270628</v>
      </c>
      <c r="K4890" t="str">
        <f>""</f>
        <v/>
      </c>
      <c r="M4890" t="s">
        <v>68</v>
      </c>
      <c r="N4890" t="str">
        <f t="shared" si="524"/>
        <v>FOR</v>
      </c>
      <c r="O4890" t="s">
        <v>69</v>
      </c>
      <c r="P4890" s="3" t="s">
        <v>75</v>
      </c>
      <c r="Q4890">
        <v>2016</v>
      </c>
      <c r="R4890" s="2">
        <v>42424</v>
      </c>
      <c r="S4890" s="2">
        <v>42426</v>
      </c>
      <c r="T4890" s="2">
        <v>42424</v>
      </c>
      <c r="U4890" s="2">
        <v>42484</v>
      </c>
      <c r="V4890" t="s">
        <v>71</v>
      </c>
      <c r="W4890" t="str">
        <f>"          00002/2016"</f>
        <v xml:space="preserve">          00002/2016</v>
      </c>
      <c r="X4890">
        <v>222.04</v>
      </c>
      <c r="Y4890">
        <v>0</v>
      </c>
      <c r="Z4890"/>
      <c r="AB4890"/>
      <c r="AC4890">
        <v>182</v>
      </c>
      <c r="AD4890">
        <v>82</v>
      </c>
      <c r="AE4890" s="1">
        <v>14924</v>
      </c>
      <c r="AF4890">
        <v>40.04</v>
      </c>
      <c r="AJ4890">
        <v>0</v>
      </c>
      <c r="AK4890">
        <v>0</v>
      </c>
      <c r="AL4890">
        <v>0</v>
      </c>
      <c r="AM4890">
        <v>222.04</v>
      </c>
      <c r="AN4890">
        <v>222.04</v>
      </c>
      <c r="AO4890">
        <v>222.04</v>
      </c>
      <c r="AP4890" s="2">
        <v>42746</v>
      </c>
      <c r="AQ4890" t="s">
        <v>72</v>
      </c>
      <c r="AR4890" t="s">
        <v>72</v>
      </c>
      <c r="AS4890">
        <v>1771</v>
      </c>
      <c r="AT4890" s="4">
        <v>42566</v>
      </c>
      <c r="AU4890" t="s">
        <v>73</v>
      </c>
      <c r="AV4890">
        <v>1771</v>
      </c>
      <c r="AW4890" s="4">
        <v>42566</v>
      </c>
      <c r="BD4890">
        <v>40.04</v>
      </c>
      <c r="BN4890" t="s">
        <v>74</v>
      </c>
    </row>
    <row r="4891" spans="1:66" hidden="1">
      <c r="A4891">
        <v>101789</v>
      </c>
      <c r="B4891" s="3" t="s">
        <v>521</v>
      </c>
      <c r="C4891" s="1">
        <v>43300101</v>
      </c>
      <c r="D4891" t="s">
        <v>67</v>
      </c>
      <c r="H4891" t="str">
        <f t="shared" si="526"/>
        <v>01553270628</v>
      </c>
      <c r="I4891" t="str">
        <f t="shared" si="526"/>
        <v>01553270628</v>
      </c>
      <c r="K4891" t="str">
        <f>""</f>
        <v/>
      </c>
      <c r="M4891" t="s">
        <v>68</v>
      </c>
      <c r="N4891" t="str">
        <f t="shared" si="524"/>
        <v>FOR</v>
      </c>
      <c r="O4891" t="s">
        <v>69</v>
      </c>
      <c r="P4891" s="3" t="s">
        <v>75</v>
      </c>
      <c r="Q4891">
        <v>2016</v>
      </c>
      <c r="R4891" s="2">
        <v>42426</v>
      </c>
      <c r="S4891" s="2">
        <v>42429</v>
      </c>
      <c r="T4891" s="2">
        <v>42426</v>
      </c>
      <c r="U4891" s="2">
        <v>42486</v>
      </c>
      <c r="V4891" t="s">
        <v>71</v>
      </c>
      <c r="W4891" t="str">
        <f>"          00003/2016"</f>
        <v xml:space="preserve">          00003/2016</v>
      </c>
      <c r="X4891">
        <v>276.5</v>
      </c>
      <c r="Y4891">
        <v>0</v>
      </c>
      <c r="Z4891"/>
      <c r="AB4891"/>
      <c r="AC4891">
        <v>226.64</v>
      </c>
      <c r="AD4891">
        <v>80</v>
      </c>
      <c r="AE4891" s="1">
        <v>18131.2</v>
      </c>
      <c r="AF4891">
        <v>49.86</v>
      </c>
      <c r="AJ4891">
        <v>0</v>
      </c>
      <c r="AK4891">
        <v>0</v>
      </c>
      <c r="AL4891">
        <v>0</v>
      </c>
      <c r="AM4891">
        <v>276.5</v>
      </c>
      <c r="AN4891">
        <v>276.5</v>
      </c>
      <c r="AO4891">
        <v>276.5</v>
      </c>
      <c r="AP4891" s="2">
        <v>42746</v>
      </c>
      <c r="AQ4891" t="s">
        <v>72</v>
      </c>
      <c r="AR4891" t="s">
        <v>72</v>
      </c>
      <c r="AS4891">
        <v>1771</v>
      </c>
      <c r="AT4891" s="4">
        <v>42566</v>
      </c>
      <c r="AU4891" t="s">
        <v>73</v>
      </c>
      <c r="AV4891">
        <v>1771</v>
      </c>
      <c r="AW4891" s="4">
        <v>42566</v>
      </c>
      <c r="BD4891">
        <v>49.86</v>
      </c>
      <c r="BN4891" t="s">
        <v>74</v>
      </c>
    </row>
    <row r="4892" spans="1:66" hidden="1">
      <c r="A4892">
        <v>101789</v>
      </c>
      <c r="B4892" s="3" t="s">
        <v>521</v>
      </c>
      <c r="C4892" s="1">
        <v>43300101</v>
      </c>
      <c r="D4892" t="s">
        <v>67</v>
      </c>
      <c r="H4892" t="str">
        <f t="shared" si="526"/>
        <v>01553270628</v>
      </c>
      <c r="I4892" t="str">
        <f t="shared" si="526"/>
        <v>01553270628</v>
      </c>
      <c r="K4892" t="str">
        <f>""</f>
        <v/>
      </c>
      <c r="M4892" t="s">
        <v>68</v>
      </c>
      <c r="N4892" t="str">
        <f t="shared" si="524"/>
        <v>FOR</v>
      </c>
      <c r="O4892" t="s">
        <v>69</v>
      </c>
      <c r="P4892" s="3" t="s">
        <v>75</v>
      </c>
      <c r="Q4892">
        <v>2016</v>
      </c>
      <c r="R4892" s="2">
        <v>42444</v>
      </c>
      <c r="S4892" s="2">
        <v>42445</v>
      </c>
      <c r="T4892" s="2">
        <v>42444</v>
      </c>
      <c r="U4892" s="2">
        <v>42504</v>
      </c>
      <c r="V4892" t="s">
        <v>71</v>
      </c>
      <c r="W4892" t="str">
        <f>"          00004/2016"</f>
        <v xml:space="preserve">          00004/2016</v>
      </c>
      <c r="X4892">
        <v>292.8</v>
      </c>
      <c r="Y4892">
        <v>0</v>
      </c>
      <c r="Z4892"/>
      <c r="AB4892"/>
      <c r="AC4892">
        <v>240</v>
      </c>
      <c r="AD4892">
        <v>62</v>
      </c>
      <c r="AE4892" s="1">
        <v>14880</v>
      </c>
      <c r="AF4892">
        <v>52.8</v>
      </c>
      <c r="AJ4892">
        <v>0</v>
      </c>
      <c r="AK4892">
        <v>0</v>
      </c>
      <c r="AL4892">
        <v>0</v>
      </c>
      <c r="AM4892">
        <v>292.8</v>
      </c>
      <c r="AN4892">
        <v>292.8</v>
      </c>
      <c r="AO4892">
        <v>292.8</v>
      </c>
      <c r="AP4892" s="2">
        <v>42746</v>
      </c>
      <c r="AQ4892" t="s">
        <v>72</v>
      </c>
      <c r="AR4892" t="s">
        <v>72</v>
      </c>
      <c r="AS4892">
        <v>1771</v>
      </c>
      <c r="AT4892" s="4">
        <v>42566</v>
      </c>
      <c r="AU4892" t="s">
        <v>73</v>
      </c>
      <c r="AV4892">
        <v>1771</v>
      </c>
      <c r="AW4892" s="4">
        <v>42566</v>
      </c>
      <c r="BD4892">
        <v>52.8</v>
      </c>
      <c r="BN4892" t="s">
        <v>74</v>
      </c>
    </row>
    <row r="4893" spans="1:66">
      <c r="A4893">
        <v>101789</v>
      </c>
      <c r="B4893" s="3" t="s">
        <v>521</v>
      </c>
      <c r="C4893" s="1">
        <v>43300101</v>
      </c>
      <c r="D4893" t="s">
        <v>67</v>
      </c>
      <c r="H4893" t="str">
        <f t="shared" si="526"/>
        <v>01553270628</v>
      </c>
      <c r="I4893" t="str">
        <f t="shared" si="526"/>
        <v>01553270628</v>
      </c>
      <c r="K4893" t="str">
        <f>""</f>
        <v/>
      </c>
      <c r="M4893" t="s">
        <v>68</v>
      </c>
      <c r="N4893" t="str">
        <f t="shared" si="524"/>
        <v>FOR</v>
      </c>
      <c r="O4893" t="s">
        <v>69</v>
      </c>
      <c r="P4893" s="3" t="s">
        <v>75</v>
      </c>
      <c r="Q4893">
        <v>2016</v>
      </c>
      <c r="R4893" s="2">
        <v>42499</v>
      </c>
      <c r="S4893" s="2">
        <v>42500</v>
      </c>
      <c r="T4893" s="2">
        <v>42499</v>
      </c>
      <c r="U4893" s="2">
        <v>42559</v>
      </c>
      <c r="V4893" t="s">
        <v>71</v>
      </c>
      <c r="W4893" t="str">
        <f>"          00006/2016"</f>
        <v xml:space="preserve">          00006/2016</v>
      </c>
      <c r="X4893">
        <v>42.7</v>
      </c>
      <c r="Y4893">
        <v>0</v>
      </c>
      <c r="Z4893" s="3">
        <v>35</v>
      </c>
      <c r="AA4893">
        <v>122</v>
      </c>
      <c r="AB4893" s="5">
        <v>4270</v>
      </c>
      <c r="AC4893">
        <v>35</v>
      </c>
      <c r="AD4893">
        <v>122</v>
      </c>
      <c r="AE4893" s="1">
        <v>4270</v>
      </c>
      <c r="AF4893">
        <v>7.7</v>
      </c>
      <c r="AJ4893">
        <v>0</v>
      </c>
      <c r="AK4893">
        <v>0</v>
      </c>
      <c r="AL4893">
        <v>0</v>
      </c>
      <c r="AM4893">
        <v>42.7</v>
      </c>
      <c r="AN4893">
        <v>42.7</v>
      </c>
      <c r="AO4893">
        <v>42.7</v>
      </c>
      <c r="AP4893" s="2">
        <v>42746</v>
      </c>
      <c r="AQ4893" t="s">
        <v>72</v>
      </c>
      <c r="AR4893" t="s">
        <v>72</v>
      </c>
      <c r="AS4893">
        <v>2946</v>
      </c>
      <c r="AT4893" s="4">
        <v>42681</v>
      </c>
      <c r="AU4893" t="s">
        <v>73</v>
      </c>
      <c r="AV4893">
        <v>2946</v>
      </c>
      <c r="AW4893" s="4">
        <v>42681</v>
      </c>
      <c r="BC4893">
        <v>7.7</v>
      </c>
      <c r="BD4893">
        <v>0</v>
      </c>
      <c r="BN4893" t="s">
        <v>74</v>
      </c>
    </row>
    <row r="4894" spans="1:66">
      <c r="A4894">
        <v>101789</v>
      </c>
      <c r="B4894" s="3" t="s">
        <v>521</v>
      </c>
      <c r="C4894" s="1">
        <v>43300101</v>
      </c>
      <c r="D4894" t="s">
        <v>67</v>
      </c>
      <c r="H4894" t="str">
        <f t="shared" si="526"/>
        <v>01553270628</v>
      </c>
      <c r="I4894" t="str">
        <f t="shared" si="526"/>
        <v>01553270628</v>
      </c>
      <c r="K4894" t="str">
        <f>""</f>
        <v/>
      </c>
      <c r="M4894" t="s">
        <v>68</v>
      </c>
      <c r="N4894" t="str">
        <f t="shared" si="524"/>
        <v>FOR</v>
      </c>
      <c r="O4894" t="s">
        <v>69</v>
      </c>
      <c r="P4894" s="3" t="s">
        <v>75</v>
      </c>
      <c r="Q4894">
        <v>2016</v>
      </c>
      <c r="R4894" s="2">
        <v>42499</v>
      </c>
      <c r="S4894" s="2">
        <v>42500</v>
      </c>
      <c r="T4894" s="2">
        <v>42499</v>
      </c>
      <c r="U4894" s="2">
        <v>42559</v>
      </c>
      <c r="V4894" t="s">
        <v>71</v>
      </c>
      <c r="W4894" t="str">
        <f>"          00007/2016"</f>
        <v xml:space="preserve">          00007/2016</v>
      </c>
      <c r="X4894">
        <v>85.4</v>
      </c>
      <c r="Y4894">
        <v>0</v>
      </c>
      <c r="Z4894" s="3">
        <v>70</v>
      </c>
      <c r="AA4894">
        <v>122</v>
      </c>
      <c r="AB4894" s="5">
        <v>8540</v>
      </c>
      <c r="AC4894">
        <v>70</v>
      </c>
      <c r="AD4894">
        <v>122</v>
      </c>
      <c r="AE4894" s="1">
        <v>8540</v>
      </c>
      <c r="AF4894">
        <v>15.4</v>
      </c>
      <c r="AJ4894">
        <v>0</v>
      </c>
      <c r="AK4894">
        <v>0</v>
      </c>
      <c r="AL4894">
        <v>0</v>
      </c>
      <c r="AM4894">
        <v>85.4</v>
      </c>
      <c r="AN4894">
        <v>85.4</v>
      </c>
      <c r="AO4894">
        <v>85.4</v>
      </c>
      <c r="AP4894" s="2">
        <v>42746</v>
      </c>
      <c r="AQ4894" t="s">
        <v>72</v>
      </c>
      <c r="AR4894" t="s">
        <v>72</v>
      </c>
      <c r="AS4894">
        <v>2946</v>
      </c>
      <c r="AT4894" s="4">
        <v>42681</v>
      </c>
      <c r="AU4894" t="s">
        <v>73</v>
      </c>
      <c r="AV4894">
        <v>2946</v>
      </c>
      <c r="AW4894" s="4">
        <v>42681</v>
      </c>
      <c r="BC4894">
        <v>15.4</v>
      </c>
      <c r="BD4894">
        <v>0</v>
      </c>
      <c r="BN4894" t="s">
        <v>74</v>
      </c>
    </row>
    <row r="4895" spans="1:66">
      <c r="A4895">
        <v>101789</v>
      </c>
      <c r="B4895" s="3" t="s">
        <v>521</v>
      </c>
      <c r="C4895" s="1">
        <v>43300101</v>
      </c>
      <c r="D4895" t="s">
        <v>67</v>
      </c>
      <c r="H4895" t="str">
        <f t="shared" si="526"/>
        <v>01553270628</v>
      </c>
      <c r="I4895" t="str">
        <f t="shared" si="526"/>
        <v>01553270628</v>
      </c>
      <c r="K4895" t="str">
        <f>""</f>
        <v/>
      </c>
      <c r="M4895" t="s">
        <v>68</v>
      </c>
      <c r="N4895" t="str">
        <f t="shared" si="524"/>
        <v>FOR</v>
      </c>
      <c r="O4895" t="s">
        <v>69</v>
      </c>
      <c r="P4895" s="3" t="s">
        <v>75</v>
      </c>
      <c r="Q4895">
        <v>2016</v>
      </c>
      <c r="R4895" s="2">
        <v>42513</v>
      </c>
      <c r="S4895" s="2">
        <v>42513</v>
      </c>
      <c r="T4895" s="2">
        <v>42513</v>
      </c>
      <c r="U4895" s="2">
        <v>42573</v>
      </c>
      <c r="V4895" t="s">
        <v>71</v>
      </c>
      <c r="W4895" t="str">
        <f>"          00008/2016"</f>
        <v xml:space="preserve">          00008/2016</v>
      </c>
      <c r="X4895">
        <v>73.08</v>
      </c>
      <c r="Y4895">
        <v>0</v>
      </c>
      <c r="Z4895" s="3">
        <v>59.9</v>
      </c>
      <c r="AA4895">
        <v>108</v>
      </c>
      <c r="AB4895" s="5">
        <v>6469.2</v>
      </c>
      <c r="AC4895">
        <v>59.9</v>
      </c>
      <c r="AD4895">
        <v>108</v>
      </c>
      <c r="AE4895" s="1">
        <v>6469.2</v>
      </c>
      <c r="AF4895">
        <v>13.18</v>
      </c>
      <c r="AJ4895">
        <v>0</v>
      </c>
      <c r="AK4895">
        <v>0</v>
      </c>
      <c r="AL4895">
        <v>0</v>
      </c>
      <c r="AM4895">
        <v>73.08</v>
      </c>
      <c r="AN4895">
        <v>73.08</v>
      </c>
      <c r="AO4895">
        <v>73.08</v>
      </c>
      <c r="AP4895" s="2">
        <v>42746</v>
      </c>
      <c r="AQ4895" t="s">
        <v>72</v>
      </c>
      <c r="AR4895" t="s">
        <v>72</v>
      </c>
      <c r="AS4895">
        <v>2946</v>
      </c>
      <c r="AT4895" s="4">
        <v>42681</v>
      </c>
      <c r="AU4895" t="s">
        <v>73</v>
      </c>
      <c r="AV4895">
        <v>2946</v>
      </c>
      <c r="AW4895" s="4">
        <v>42681</v>
      </c>
      <c r="BC4895">
        <v>13.18</v>
      </c>
      <c r="BD4895">
        <v>0</v>
      </c>
      <c r="BN4895" t="s">
        <v>74</v>
      </c>
    </row>
    <row r="4896" spans="1:66" hidden="1">
      <c r="A4896">
        <v>101802</v>
      </c>
      <c r="B4896" s="3" t="s">
        <v>522</v>
      </c>
      <c r="C4896" s="1">
        <v>43300101</v>
      </c>
      <c r="D4896" t="s">
        <v>67</v>
      </c>
      <c r="H4896" t="str">
        <f t="shared" ref="H4896:I4905" si="527">"01433030705"</f>
        <v>01433030705</v>
      </c>
      <c r="I4896" t="str">
        <f t="shared" si="527"/>
        <v>01433030705</v>
      </c>
      <c r="K4896" t="str">
        <f>""</f>
        <v/>
      </c>
      <c r="M4896" t="s">
        <v>68</v>
      </c>
      <c r="N4896" t="str">
        <f t="shared" si="524"/>
        <v>FOR</v>
      </c>
      <c r="O4896" t="s">
        <v>69</v>
      </c>
      <c r="P4896" s="3" t="s">
        <v>75</v>
      </c>
      <c r="Q4896">
        <v>2015</v>
      </c>
      <c r="R4896" s="2">
        <v>42265</v>
      </c>
      <c r="S4896" s="2">
        <v>42272</v>
      </c>
      <c r="T4896" s="2">
        <v>42269</v>
      </c>
      <c r="U4896" s="2">
        <v>42329</v>
      </c>
      <c r="V4896" t="s">
        <v>71</v>
      </c>
      <c r="W4896" t="str">
        <f>"              325/07"</f>
        <v xml:space="preserve">              325/07</v>
      </c>
      <c r="X4896">
        <v>542.9</v>
      </c>
      <c r="Y4896">
        <v>0</v>
      </c>
      <c r="Z4896"/>
      <c r="AB4896"/>
      <c r="AC4896">
        <v>445</v>
      </c>
      <c r="AD4896">
        <v>191</v>
      </c>
      <c r="AE4896" s="1">
        <v>84995</v>
      </c>
      <c r="AF4896">
        <v>0</v>
      </c>
      <c r="AJ4896">
        <v>0</v>
      </c>
      <c r="AK4896">
        <v>0</v>
      </c>
      <c r="AL4896">
        <v>0</v>
      </c>
      <c r="AM4896">
        <v>0</v>
      </c>
      <c r="AN4896">
        <v>0</v>
      </c>
      <c r="AO4896">
        <v>0</v>
      </c>
      <c r="AP4896" s="2">
        <v>42746</v>
      </c>
      <c r="AQ4896" t="s">
        <v>72</v>
      </c>
      <c r="AR4896" t="s">
        <v>72</v>
      </c>
      <c r="AS4896">
        <v>1417</v>
      </c>
      <c r="AT4896" s="4">
        <v>42520</v>
      </c>
      <c r="AU4896" t="s">
        <v>73</v>
      </c>
      <c r="AV4896">
        <v>1417</v>
      </c>
      <c r="AW4896" s="4">
        <v>42520</v>
      </c>
      <c r="BD4896">
        <v>0</v>
      </c>
      <c r="BN4896" t="s">
        <v>74</v>
      </c>
    </row>
    <row r="4897" spans="1:66" hidden="1">
      <c r="A4897">
        <v>101802</v>
      </c>
      <c r="B4897" s="3" t="s">
        <v>522</v>
      </c>
      <c r="C4897" s="1">
        <v>43300101</v>
      </c>
      <c r="D4897" t="s">
        <v>67</v>
      </c>
      <c r="H4897" t="str">
        <f t="shared" si="527"/>
        <v>01433030705</v>
      </c>
      <c r="I4897" t="str">
        <f t="shared" si="527"/>
        <v>01433030705</v>
      </c>
      <c r="K4897" t="str">
        <f>""</f>
        <v/>
      </c>
      <c r="M4897" t="s">
        <v>68</v>
      </c>
      <c r="N4897" t="str">
        <f t="shared" si="524"/>
        <v>FOR</v>
      </c>
      <c r="O4897" t="s">
        <v>69</v>
      </c>
      <c r="P4897" s="3" t="s">
        <v>75</v>
      </c>
      <c r="Q4897">
        <v>2015</v>
      </c>
      <c r="R4897" s="2">
        <v>42300</v>
      </c>
      <c r="S4897" s="2">
        <v>42305</v>
      </c>
      <c r="T4897" s="2">
        <v>42303</v>
      </c>
      <c r="U4897" s="2">
        <v>42363</v>
      </c>
      <c r="V4897" t="s">
        <v>71</v>
      </c>
      <c r="W4897" t="str">
        <f>"              407/07"</f>
        <v xml:space="preserve">              407/07</v>
      </c>
      <c r="X4897">
        <v>549</v>
      </c>
      <c r="Y4897">
        <v>0</v>
      </c>
      <c r="Z4897"/>
      <c r="AB4897"/>
      <c r="AC4897">
        <v>450</v>
      </c>
      <c r="AD4897">
        <v>157</v>
      </c>
      <c r="AE4897" s="1">
        <v>70650</v>
      </c>
      <c r="AF4897">
        <v>0</v>
      </c>
      <c r="AJ4897">
        <v>0</v>
      </c>
      <c r="AK4897">
        <v>0</v>
      </c>
      <c r="AL4897">
        <v>0</v>
      </c>
      <c r="AM4897">
        <v>0</v>
      </c>
      <c r="AN4897">
        <v>0</v>
      </c>
      <c r="AO4897">
        <v>0</v>
      </c>
      <c r="AP4897" s="2">
        <v>42746</v>
      </c>
      <c r="AQ4897" t="s">
        <v>72</v>
      </c>
      <c r="AR4897" t="s">
        <v>72</v>
      </c>
      <c r="AS4897">
        <v>1417</v>
      </c>
      <c r="AT4897" s="4">
        <v>42520</v>
      </c>
      <c r="AU4897" t="s">
        <v>73</v>
      </c>
      <c r="AV4897">
        <v>1417</v>
      </c>
      <c r="AW4897" s="4">
        <v>42520</v>
      </c>
      <c r="BD4897">
        <v>0</v>
      </c>
      <c r="BN4897" t="s">
        <v>74</v>
      </c>
    </row>
    <row r="4898" spans="1:66" hidden="1">
      <c r="A4898">
        <v>101802</v>
      </c>
      <c r="B4898" s="3" t="s">
        <v>522</v>
      </c>
      <c r="C4898" s="1">
        <v>43300101</v>
      </c>
      <c r="D4898" t="s">
        <v>67</v>
      </c>
      <c r="H4898" t="str">
        <f t="shared" si="527"/>
        <v>01433030705</v>
      </c>
      <c r="I4898" t="str">
        <f t="shared" si="527"/>
        <v>01433030705</v>
      </c>
      <c r="K4898" t="str">
        <f>""</f>
        <v/>
      </c>
      <c r="M4898" t="s">
        <v>68</v>
      </c>
      <c r="N4898" t="str">
        <f t="shared" si="524"/>
        <v>FOR</v>
      </c>
      <c r="O4898" t="s">
        <v>69</v>
      </c>
      <c r="P4898" s="3" t="s">
        <v>75</v>
      </c>
      <c r="Q4898">
        <v>2015</v>
      </c>
      <c r="R4898" s="2">
        <v>42353</v>
      </c>
      <c r="S4898" s="2">
        <v>42356</v>
      </c>
      <c r="T4898" s="2">
        <v>42355</v>
      </c>
      <c r="U4898" s="2">
        <v>42415</v>
      </c>
      <c r="V4898" t="s">
        <v>71</v>
      </c>
      <c r="W4898" t="str">
        <f>"              495/07"</f>
        <v xml:space="preserve">              495/07</v>
      </c>
      <c r="X4898">
        <v>549</v>
      </c>
      <c r="Y4898">
        <v>0</v>
      </c>
      <c r="Z4898"/>
      <c r="AB4898"/>
      <c r="AC4898">
        <v>450</v>
      </c>
      <c r="AD4898">
        <v>105</v>
      </c>
      <c r="AE4898" s="1">
        <v>47250</v>
      </c>
      <c r="AF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 s="2">
        <v>42746</v>
      </c>
      <c r="AQ4898" t="s">
        <v>72</v>
      </c>
      <c r="AR4898" t="s">
        <v>72</v>
      </c>
      <c r="AS4898">
        <v>1417</v>
      </c>
      <c r="AT4898" s="4">
        <v>42520</v>
      </c>
      <c r="AU4898" t="s">
        <v>73</v>
      </c>
      <c r="AV4898">
        <v>1417</v>
      </c>
      <c r="AW4898" s="4">
        <v>42520</v>
      </c>
      <c r="BD4898">
        <v>0</v>
      </c>
      <c r="BN4898" t="s">
        <v>74</v>
      </c>
    </row>
    <row r="4899" spans="1:66" hidden="1">
      <c r="A4899">
        <v>101802</v>
      </c>
      <c r="B4899" s="3" t="s">
        <v>522</v>
      </c>
      <c r="C4899" s="1">
        <v>43300101</v>
      </c>
      <c r="D4899" t="s">
        <v>67</v>
      </c>
      <c r="H4899" t="str">
        <f t="shared" si="527"/>
        <v>01433030705</v>
      </c>
      <c r="I4899" t="str">
        <f t="shared" si="527"/>
        <v>01433030705</v>
      </c>
      <c r="K4899" t="str">
        <f>""</f>
        <v/>
      </c>
      <c r="M4899" t="s">
        <v>68</v>
      </c>
      <c r="N4899" t="str">
        <f t="shared" si="524"/>
        <v>FOR</v>
      </c>
      <c r="O4899" t="s">
        <v>69</v>
      </c>
      <c r="P4899" s="3" t="s">
        <v>75</v>
      </c>
      <c r="Q4899">
        <v>2015</v>
      </c>
      <c r="R4899" s="2">
        <v>42355</v>
      </c>
      <c r="S4899" s="2">
        <v>42368</v>
      </c>
      <c r="T4899" s="2">
        <v>42360</v>
      </c>
      <c r="U4899" s="2">
        <v>42420</v>
      </c>
      <c r="V4899" t="s">
        <v>71</v>
      </c>
      <c r="W4899" t="str">
        <f>"              497/07"</f>
        <v xml:space="preserve">              497/07</v>
      </c>
      <c r="X4899">
        <v>750.3</v>
      </c>
      <c r="Y4899">
        <v>0</v>
      </c>
      <c r="Z4899"/>
      <c r="AB4899"/>
      <c r="AC4899">
        <v>615</v>
      </c>
      <c r="AD4899">
        <v>100</v>
      </c>
      <c r="AE4899" s="1">
        <v>61500</v>
      </c>
      <c r="AF4899">
        <v>0</v>
      </c>
      <c r="AJ4899">
        <v>0</v>
      </c>
      <c r="AK4899">
        <v>0</v>
      </c>
      <c r="AL4899">
        <v>0</v>
      </c>
      <c r="AM4899">
        <v>0</v>
      </c>
      <c r="AN4899">
        <v>0</v>
      </c>
      <c r="AO4899">
        <v>0</v>
      </c>
      <c r="AP4899" s="2">
        <v>42746</v>
      </c>
      <c r="AQ4899" t="s">
        <v>72</v>
      </c>
      <c r="AR4899" t="s">
        <v>72</v>
      </c>
      <c r="AS4899">
        <v>1417</v>
      </c>
      <c r="AT4899" s="4">
        <v>42520</v>
      </c>
      <c r="AU4899" t="s">
        <v>73</v>
      </c>
      <c r="AV4899">
        <v>1417</v>
      </c>
      <c r="AW4899" s="4">
        <v>42520</v>
      </c>
      <c r="BD4899">
        <v>0</v>
      </c>
      <c r="BN4899" t="s">
        <v>74</v>
      </c>
    </row>
    <row r="4900" spans="1:66">
      <c r="A4900">
        <v>101802</v>
      </c>
      <c r="B4900" s="3" t="s">
        <v>522</v>
      </c>
      <c r="C4900" s="1">
        <v>43300101</v>
      </c>
      <c r="D4900" t="s">
        <v>67</v>
      </c>
      <c r="H4900" t="str">
        <f t="shared" si="527"/>
        <v>01433030705</v>
      </c>
      <c r="I4900" t="str">
        <f t="shared" si="527"/>
        <v>01433030705</v>
      </c>
      <c r="K4900" t="str">
        <f>""</f>
        <v/>
      </c>
      <c r="M4900" t="s">
        <v>68</v>
      </c>
      <c r="N4900" t="str">
        <f t="shared" si="524"/>
        <v>FOR</v>
      </c>
      <c r="O4900" t="s">
        <v>69</v>
      </c>
      <c r="P4900" s="3" t="s">
        <v>75</v>
      </c>
      <c r="Q4900">
        <v>2016</v>
      </c>
      <c r="R4900" s="2">
        <v>42437</v>
      </c>
      <c r="S4900" s="2">
        <v>42443</v>
      </c>
      <c r="T4900" s="2">
        <v>42441</v>
      </c>
      <c r="U4900" s="2">
        <v>42501</v>
      </c>
      <c r="V4900" t="s">
        <v>71</v>
      </c>
      <c r="W4900" t="str">
        <f>"               83/07"</f>
        <v xml:space="preserve">               83/07</v>
      </c>
      <c r="X4900">
        <v>549</v>
      </c>
      <c r="Y4900">
        <v>0</v>
      </c>
      <c r="Z4900" s="3">
        <v>450</v>
      </c>
      <c r="AA4900">
        <v>183</v>
      </c>
      <c r="AB4900" s="5">
        <v>82350</v>
      </c>
      <c r="AC4900">
        <v>450</v>
      </c>
      <c r="AD4900">
        <v>183</v>
      </c>
      <c r="AE4900" s="1">
        <v>82350</v>
      </c>
      <c r="AF4900">
        <v>0</v>
      </c>
      <c r="AJ4900">
        <v>0</v>
      </c>
      <c r="AK4900">
        <v>0</v>
      </c>
      <c r="AL4900">
        <v>0</v>
      </c>
      <c r="AM4900">
        <v>549</v>
      </c>
      <c r="AN4900">
        <v>549</v>
      </c>
      <c r="AO4900">
        <v>549</v>
      </c>
      <c r="AP4900" s="2">
        <v>42746</v>
      </c>
      <c r="AQ4900" t="s">
        <v>72</v>
      </c>
      <c r="AR4900" t="s">
        <v>72</v>
      </c>
      <c r="AS4900">
        <v>3048</v>
      </c>
      <c r="AT4900" s="4">
        <v>42684</v>
      </c>
      <c r="AU4900" t="s">
        <v>73</v>
      </c>
      <c r="AV4900">
        <v>3048</v>
      </c>
      <c r="AW4900" s="4">
        <v>42684</v>
      </c>
      <c r="BD4900">
        <v>0</v>
      </c>
      <c r="BN4900" t="s">
        <v>74</v>
      </c>
    </row>
    <row r="4901" spans="1:66">
      <c r="A4901">
        <v>101802</v>
      </c>
      <c r="B4901" s="3" t="s">
        <v>522</v>
      </c>
      <c r="C4901" s="1">
        <v>43300101</v>
      </c>
      <c r="D4901" t="s">
        <v>67</v>
      </c>
      <c r="H4901" t="str">
        <f t="shared" si="527"/>
        <v>01433030705</v>
      </c>
      <c r="I4901" t="str">
        <f t="shared" si="527"/>
        <v>01433030705</v>
      </c>
      <c r="K4901" t="str">
        <f>""</f>
        <v/>
      </c>
      <c r="M4901" t="s">
        <v>68</v>
      </c>
      <c r="N4901" t="str">
        <f t="shared" si="524"/>
        <v>FOR</v>
      </c>
      <c r="O4901" t="s">
        <v>69</v>
      </c>
      <c r="P4901" s="3" t="s">
        <v>75</v>
      </c>
      <c r="Q4901">
        <v>2016</v>
      </c>
      <c r="R4901" s="2">
        <v>42439</v>
      </c>
      <c r="S4901" s="2">
        <v>42443</v>
      </c>
      <c r="T4901" s="2">
        <v>42441</v>
      </c>
      <c r="U4901" s="2">
        <v>42501</v>
      </c>
      <c r="V4901" t="s">
        <v>71</v>
      </c>
      <c r="W4901" t="str">
        <f>"               89/07"</f>
        <v xml:space="preserve">               89/07</v>
      </c>
      <c r="X4901">
        <v>244</v>
      </c>
      <c r="Y4901">
        <v>0</v>
      </c>
      <c r="Z4901" s="3">
        <v>200</v>
      </c>
      <c r="AA4901">
        <v>183</v>
      </c>
      <c r="AB4901" s="5">
        <v>36600</v>
      </c>
      <c r="AC4901">
        <v>200</v>
      </c>
      <c r="AD4901">
        <v>183</v>
      </c>
      <c r="AE4901" s="1">
        <v>36600</v>
      </c>
      <c r="AF4901">
        <v>0</v>
      </c>
      <c r="AJ4901">
        <v>0</v>
      </c>
      <c r="AK4901">
        <v>0</v>
      </c>
      <c r="AL4901">
        <v>0</v>
      </c>
      <c r="AM4901">
        <v>244</v>
      </c>
      <c r="AN4901">
        <v>244</v>
      </c>
      <c r="AO4901">
        <v>244</v>
      </c>
      <c r="AP4901" s="2">
        <v>42746</v>
      </c>
      <c r="AQ4901" t="s">
        <v>72</v>
      </c>
      <c r="AR4901" t="s">
        <v>72</v>
      </c>
      <c r="AS4901">
        <v>3048</v>
      </c>
      <c r="AT4901" s="4">
        <v>42684</v>
      </c>
      <c r="AU4901" t="s">
        <v>73</v>
      </c>
      <c r="AV4901">
        <v>3048</v>
      </c>
      <c r="AW4901" s="4">
        <v>42684</v>
      </c>
      <c r="BD4901">
        <v>0</v>
      </c>
      <c r="BN4901" t="s">
        <v>74</v>
      </c>
    </row>
    <row r="4902" spans="1:66">
      <c r="A4902">
        <v>101802</v>
      </c>
      <c r="B4902" s="3" t="s">
        <v>522</v>
      </c>
      <c r="C4902" s="1">
        <v>43300101</v>
      </c>
      <c r="D4902" t="s">
        <v>67</v>
      </c>
      <c r="H4902" t="str">
        <f t="shared" si="527"/>
        <v>01433030705</v>
      </c>
      <c r="I4902" t="str">
        <f t="shared" si="527"/>
        <v>01433030705</v>
      </c>
      <c r="K4902" t="str">
        <f>""</f>
        <v/>
      </c>
      <c r="M4902" t="s">
        <v>68</v>
      </c>
      <c r="N4902" t="str">
        <f t="shared" si="524"/>
        <v>FOR</v>
      </c>
      <c r="O4902" t="s">
        <v>69</v>
      </c>
      <c r="P4902" s="3" t="s">
        <v>75</v>
      </c>
      <c r="Q4902">
        <v>2016</v>
      </c>
      <c r="R4902" s="2">
        <v>42479</v>
      </c>
      <c r="S4902" s="2">
        <v>42489</v>
      </c>
      <c r="T4902" s="2">
        <v>42488</v>
      </c>
      <c r="U4902" s="2">
        <v>42548</v>
      </c>
      <c r="V4902" t="s">
        <v>71</v>
      </c>
      <c r="W4902" t="str">
        <f>"              159/07"</f>
        <v xml:space="preserve">              159/07</v>
      </c>
      <c r="X4902">
        <v>732</v>
      </c>
      <c r="Y4902">
        <v>0</v>
      </c>
      <c r="Z4902" s="3">
        <v>600</v>
      </c>
      <c r="AA4902">
        <v>136</v>
      </c>
      <c r="AB4902" s="5">
        <v>81600</v>
      </c>
      <c r="AC4902">
        <v>600</v>
      </c>
      <c r="AD4902">
        <v>136</v>
      </c>
      <c r="AE4902" s="1">
        <v>81600</v>
      </c>
      <c r="AF4902">
        <v>0</v>
      </c>
      <c r="AJ4902">
        <v>0</v>
      </c>
      <c r="AK4902">
        <v>0</v>
      </c>
      <c r="AL4902">
        <v>0</v>
      </c>
      <c r="AM4902">
        <v>732</v>
      </c>
      <c r="AN4902">
        <v>732</v>
      </c>
      <c r="AO4902">
        <v>732</v>
      </c>
      <c r="AP4902" s="2">
        <v>42746</v>
      </c>
      <c r="AQ4902" t="s">
        <v>72</v>
      </c>
      <c r="AR4902" t="s">
        <v>72</v>
      </c>
      <c r="AS4902">
        <v>3048</v>
      </c>
      <c r="AT4902" s="4">
        <v>42684</v>
      </c>
      <c r="AU4902" t="s">
        <v>73</v>
      </c>
      <c r="AV4902">
        <v>3048</v>
      </c>
      <c r="AW4902" s="4">
        <v>42684</v>
      </c>
      <c r="BD4902">
        <v>0</v>
      </c>
      <c r="BN4902" t="s">
        <v>74</v>
      </c>
    </row>
    <row r="4903" spans="1:66">
      <c r="A4903">
        <v>101802</v>
      </c>
      <c r="B4903" s="3" t="s">
        <v>522</v>
      </c>
      <c r="C4903" s="1">
        <v>43300101</v>
      </c>
      <c r="D4903" t="s">
        <v>67</v>
      </c>
      <c r="H4903" t="str">
        <f t="shared" si="527"/>
        <v>01433030705</v>
      </c>
      <c r="I4903" t="str">
        <f t="shared" si="527"/>
        <v>01433030705</v>
      </c>
      <c r="K4903" t="str">
        <f>""</f>
        <v/>
      </c>
      <c r="M4903" t="s">
        <v>68</v>
      </c>
      <c r="N4903" t="str">
        <f t="shared" si="524"/>
        <v>FOR</v>
      </c>
      <c r="O4903" t="s">
        <v>69</v>
      </c>
      <c r="P4903" s="3" t="s">
        <v>75</v>
      </c>
      <c r="Q4903">
        <v>2016</v>
      </c>
      <c r="R4903" s="2">
        <v>42501</v>
      </c>
      <c r="S4903" s="2">
        <v>42507</v>
      </c>
      <c r="T4903" s="2">
        <v>42503</v>
      </c>
      <c r="U4903" s="2">
        <v>42563</v>
      </c>
      <c r="V4903" t="s">
        <v>71</v>
      </c>
      <c r="W4903" t="str">
        <f>"              189/07"</f>
        <v xml:space="preserve">              189/07</v>
      </c>
      <c r="X4903">
        <v>732</v>
      </c>
      <c r="Y4903">
        <v>0</v>
      </c>
      <c r="Z4903" s="3">
        <v>600</v>
      </c>
      <c r="AA4903">
        <v>121</v>
      </c>
      <c r="AB4903" s="5">
        <v>72600</v>
      </c>
      <c r="AC4903">
        <v>600</v>
      </c>
      <c r="AD4903">
        <v>121</v>
      </c>
      <c r="AE4903" s="1">
        <v>72600</v>
      </c>
      <c r="AF4903">
        <v>0</v>
      </c>
      <c r="AJ4903">
        <v>0</v>
      </c>
      <c r="AK4903">
        <v>0</v>
      </c>
      <c r="AL4903">
        <v>0</v>
      </c>
      <c r="AM4903">
        <v>732</v>
      </c>
      <c r="AN4903">
        <v>732</v>
      </c>
      <c r="AO4903">
        <v>732</v>
      </c>
      <c r="AP4903" s="2">
        <v>42746</v>
      </c>
      <c r="AQ4903" t="s">
        <v>72</v>
      </c>
      <c r="AR4903" t="s">
        <v>72</v>
      </c>
      <c r="AS4903">
        <v>3048</v>
      </c>
      <c r="AT4903" s="4">
        <v>42684</v>
      </c>
      <c r="AU4903" t="s">
        <v>73</v>
      </c>
      <c r="AV4903">
        <v>3048</v>
      </c>
      <c r="AW4903" s="4">
        <v>42684</v>
      </c>
      <c r="BD4903">
        <v>0</v>
      </c>
      <c r="BN4903" t="s">
        <v>74</v>
      </c>
    </row>
    <row r="4904" spans="1:66">
      <c r="A4904">
        <v>101802</v>
      </c>
      <c r="B4904" s="3" t="s">
        <v>522</v>
      </c>
      <c r="C4904" s="1">
        <v>43300101</v>
      </c>
      <c r="D4904" t="s">
        <v>67</v>
      </c>
      <c r="H4904" t="str">
        <f t="shared" si="527"/>
        <v>01433030705</v>
      </c>
      <c r="I4904" t="str">
        <f t="shared" si="527"/>
        <v>01433030705</v>
      </c>
      <c r="K4904" t="str">
        <f>""</f>
        <v/>
      </c>
      <c r="M4904" t="s">
        <v>68</v>
      </c>
      <c r="N4904" t="str">
        <f t="shared" si="524"/>
        <v>FOR</v>
      </c>
      <c r="O4904" t="s">
        <v>69</v>
      </c>
      <c r="P4904" s="3" t="s">
        <v>75</v>
      </c>
      <c r="Q4904">
        <v>2016</v>
      </c>
      <c r="R4904" s="2">
        <v>42557</v>
      </c>
      <c r="S4904" s="2">
        <v>42577</v>
      </c>
      <c r="T4904" s="2">
        <v>42567</v>
      </c>
      <c r="U4904" s="2">
        <v>42627</v>
      </c>
      <c r="V4904" t="s">
        <v>71</v>
      </c>
      <c r="W4904" t="str">
        <f>"              267/07"</f>
        <v xml:space="preserve">              267/07</v>
      </c>
      <c r="X4904">
        <v>732</v>
      </c>
      <c r="Y4904">
        <v>0</v>
      </c>
      <c r="Z4904" s="3">
        <v>600</v>
      </c>
      <c r="AA4904">
        <v>91</v>
      </c>
      <c r="AB4904" s="5">
        <v>54600</v>
      </c>
      <c r="AC4904">
        <v>600</v>
      </c>
      <c r="AD4904">
        <v>91</v>
      </c>
      <c r="AE4904" s="1">
        <v>54600</v>
      </c>
      <c r="AF4904">
        <v>132</v>
      </c>
      <c r="AJ4904">
        <v>0</v>
      </c>
      <c r="AK4904">
        <v>0</v>
      </c>
      <c r="AL4904">
        <v>0</v>
      </c>
      <c r="AM4904">
        <v>732</v>
      </c>
      <c r="AN4904">
        <v>732</v>
      </c>
      <c r="AO4904">
        <v>732</v>
      </c>
      <c r="AP4904" s="2">
        <v>42746</v>
      </c>
      <c r="AQ4904" t="s">
        <v>72</v>
      </c>
      <c r="AR4904" t="s">
        <v>72</v>
      </c>
      <c r="AS4904">
        <v>3463</v>
      </c>
      <c r="AT4904" s="4">
        <v>42718</v>
      </c>
      <c r="AU4904" t="s">
        <v>73</v>
      </c>
      <c r="AV4904">
        <v>3463</v>
      </c>
      <c r="AW4904" s="4">
        <v>42718</v>
      </c>
      <c r="BA4904">
        <v>132</v>
      </c>
      <c r="BD4904">
        <v>0</v>
      </c>
      <c r="BN4904" t="s">
        <v>74</v>
      </c>
    </row>
    <row r="4905" spans="1:66">
      <c r="A4905">
        <v>101802</v>
      </c>
      <c r="B4905" s="3" t="s">
        <v>522</v>
      </c>
      <c r="C4905" s="1">
        <v>43300101</v>
      </c>
      <c r="D4905" t="s">
        <v>67</v>
      </c>
      <c r="H4905" t="str">
        <f t="shared" si="527"/>
        <v>01433030705</v>
      </c>
      <c r="I4905" t="str">
        <f t="shared" si="527"/>
        <v>01433030705</v>
      </c>
      <c r="K4905" t="str">
        <f>""</f>
        <v/>
      </c>
      <c r="M4905" t="s">
        <v>68</v>
      </c>
      <c r="N4905" t="str">
        <f t="shared" si="524"/>
        <v>FOR</v>
      </c>
      <c r="O4905" t="s">
        <v>69</v>
      </c>
      <c r="P4905" s="3" t="s">
        <v>75</v>
      </c>
      <c r="Q4905">
        <v>2016</v>
      </c>
      <c r="R4905" s="2">
        <v>42577</v>
      </c>
      <c r="S4905" s="2">
        <v>42578</v>
      </c>
      <c r="T4905" s="2">
        <v>42578</v>
      </c>
      <c r="U4905" s="2">
        <v>42638</v>
      </c>
      <c r="V4905" t="s">
        <v>71</v>
      </c>
      <c r="W4905" t="str">
        <f>"              280/07"</f>
        <v xml:space="preserve">              280/07</v>
      </c>
      <c r="X4905">
        <v>652.70000000000005</v>
      </c>
      <c r="Y4905">
        <v>0</v>
      </c>
      <c r="Z4905" s="3">
        <v>535</v>
      </c>
      <c r="AA4905">
        <v>80</v>
      </c>
      <c r="AB4905" s="5">
        <v>42800</v>
      </c>
      <c r="AC4905">
        <v>535</v>
      </c>
      <c r="AD4905">
        <v>80</v>
      </c>
      <c r="AE4905" s="1">
        <v>42800</v>
      </c>
      <c r="AF4905">
        <v>117.7</v>
      </c>
      <c r="AJ4905">
        <v>0</v>
      </c>
      <c r="AK4905">
        <v>0</v>
      </c>
      <c r="AL4905">
        <v>0</v>
      </c>
      <c r="AM4905">
        <v>652.70000000000005</v>
      </c>
      <c r="AN4905">
        <v>652.70000000000005</v>
      </c>
      <c r="AO4905">
        <v>652.70000000000005</v>
      </c>
      <c r="AP4905" s="2">
        <v>42746</v>
      </c>
      <c r="AQ4905" t="s">
        <v>72</v>
      </c>
      <c r="AR4905" t="s">
        <v>72</v>
      </c>
      <c r="AS4905">
        <v>3463</v>
      </c>
      <c r="AT4905" s="4">
        <v>42718</v>
      </c>
      <c r="AU4905" t="s">
        <v>73</v>
      </c>
      <c r="AV4905">
        <v>3463</v>
      </c>
      <c r="AW4905" s="4">
        <v>42718</v>
      </c>
      <c r="BA4905">
        <v>117.7</v>
      </c>
      <c r="BD4905">
        <v>0</v>
      </c>
      <c r="BN4905" t="s">
        <v>74</v>
      </c>
    </row>
    <row r="4906" spans="1:66" hidden="1">
      <c r="A4906">
        <v>101805</v>
      </c>
      <c r="B4906" s="3" t="s">
        <v>523</v>
      </c>
      <c r="C4906" s="1">
        <v>43300101</v>
      </c>
      <c r="D4906" t="s">
        <v>67</v>
      </c>
      <c r="H4906" t="str">
        <f>"03057400362"</f>
        <v>03057400362</v>
      </c>
      <c r="I4906" t="str">
        <f>"03057400362"</f>
        <v>03057400362</v>
      </c>
      <c r="K4906" t="str">
        <f>""</f>
        <v/>
      </c>
      <c r="M4906" t="s">
        <v>68</v>
      </c>
      <c r="N4906" t="str">
        <f t="shared" si="524"/>
        <v>FOR</v>
      </c>
      <c r="O4906" t="s">
        <v>69</v>
      </c>
      <c r="P4906" s="3" t="s">
        <v>75</v>
      </c>
      <c r="Q4906">
        <v>2015</v>
      </c>
      <c r="R4906" s="2">
        <v>42275</v>
      </c>
      <c r="S4906" s="2">
        <v>42275</v>
      </c>
      <c r="T4906" s="2">
        <v>42275</v>
      </c>
      <c r="U4906" s="2">
        <v>42335</v>
      </c>
      <c r="V4906" t="s">
        <v>71</v>
      </c>
      <c r="W4906" t="str">
        <f>"               57/PA"</f>
        <v xml:space="preserve">               57/PA</v>
      </c>
      <c r="X4906" s="1">
        <v>3172</v>
      </c>
      <c r="Y4906">
        <v>0</v>
      </c>
      <c r="Z4906"/>
      <c r="AB4906"/>
      <c r="AC4906" s="1">
        <v>2600</v>
      </c>
      <c r="AD4906">
        <v>284</v>
      </c>
      <c r="AE4906" s="1">
        <v>738400</v>
      </c>
      <c r="AF4906">
        <v>0</v>
      </c>
      <c r="AJ4906">
        <v>0</v>
      </c>
      <c r="AK4906">
        <v>0</v>
      </c>
      <c r="AL4906">
        <v>0</v>
      </c>
      <c r="AM4906">
        <v>0</v>
      </c>
      <c r="AN4906">
        <v>0</v>
      </c>
      <c r="AO4906">
        <v>0</v>
      </c>
      <c r="AP4906" s="2">
        <v>42746</v>
      </c>
      <c r="AQ4906" t="s">
        <v>72</v>
      </c>
      <c r="AR4906" t="s">
        <v>72</v>
      </c>
      <c r="AS4906">
        <v>2288</v>
      </c>
      <c r="AT4906" s="4">
        <v>42619</v>
      </c>
      <c r="AU4906" t="s">
        <v>73</v>
      </c>
      <c r="AV4906">
        <v>2288</v>
      </c>
      <c r="AW4906" s="4">
        <v>42619</v>
      </c>
      <c r="BD4906">
        <v>0</v>
      </c>
      <c r="BN4906" t="s">
        <v>74</v>
      </c>
    </row>
    <row r="4907" spans="1:66" hidden="1">
      <c r="A4907">
        <v>101805</v>
      </c>
      <c r="B4907" s="3" t="s">
        <v>523</v>
      </c>
      <c r="C4907" s="1">
        <v>43300101</v>
      </c>
      <c r="D4907" t="s">
        <v>67</v>
      </c>
      <c r="H4907" t="str">
        <f>"03057400362"</f>
        <v>03057400362</v>
      </c>
      <c r="I4907" t="str">
        <f>"03057400362"</f>
        <v>03057400362</v>
      </c>
      <c r="K4907" t="str">
        <f>""</f>
        <v/>
      </c>
      <c r="M4907" t="s">
        <v>68</v>
      </c>
      <c r="N4907" t="str">
        <f t="shared" si="524"/>
        <v>FOR</v>
      </c>
      <c r="O4907" t="s">
        <v>69</v>
      </c>
      <c r="P4907" s="3" t="s">
        <v>75</v>
      </c>
      <c r="Q4907">
        <v>2015</v>
      </c>
      <c r="R4907" s="2">
        <v>42349</v>
      </c>
      <c r="S4907" s="2">
        <v>42354</v>
      </c>
      <c r="T4907" s="2">
        <v>42352</v>
      </c>
      <c r="U4907" s="2">
        <v>42412</v>
      </c>
      <c r="V4907" t="s">
        <v>71</v>
      </c>
      <c r="W4907" t="str">
        <f>"               85/PA"</f>
        <v xml:space="preserve">               85/PA</v>
      </c>
      <c r="X4907" s="1">
        <v>9333</v>
      </c>
      <c r="Y4907">
        <v>0</v>
      </c>
      <c r="Z4907"/>
      <c r="AB4907"/>
      <c r="AC4907" s="1">
        <v>7650</v>
      </c>
      <c r="AD4907">
        <v>207</v>
      </c>
      <c r="AE4907" s="1">
        <v>1583550</v>
      </c>
      <c r="AF4907">
        <v>0</v>
      </c>
      <c r="AJ4907">
        <v>0</v>
      </c>
      <c r="AK4907">
        <v>0</v>
      </c>
      <c r="AL4907">
        <v>0</v>
      </c>
      <c r="AM4907">
        <v>0</v>
      </c>
      <c r="AN4907">
        <v>0</v>
      </c>
      <c r="AO4907">
        <v>0</v>
      </c>
      <c r="AP4907" s="2">
        <v>42746</v>
      </c>
      <c r="AQ4907" t="s">
        <v>72</v>
      </c>
      <c r="AR4907" t="s">
        <v>72</v>
      </c>
      <c r="AS4907">
        <v>2288</v>
      </c>
      <c r="AT4907" s="4">
        <v>42619</v>
      </c>
      <c r="AU4907" t="s">
        <v>73</v>
      </c>
      <c r="AV4907">
        <v>2288</v>
      </c>
      <c r="AW4907" s="4">
        <v>42619</v>
      </c>
      <c r="BD4907">
        <v>0</v>
      </c>
      <c r="BN4907" t="s">
        <v>74</v>
      </c>
    </row>
    <row r="4908" spans="1:66">
      <c r="A4908">
        <v>101808</v>
      </c>
      <c r="B4908" s="3" t="s">
        <v>524</v>
      </c>
      <c r="C4908" s="1">
        <v>43300101</v>
      </c>
      <c r="D4908" t="s">
        <v>67</v>
      </c>
      <c r="H4908" t="str">
        <f t="shared" ref="H4908:H4931" si="528">"00248660599"</f>
        <v>00248660599</v>
      </c>
      <c r="I4908" t="str">
        <f t="shared" ref="I4908:I4931" si="529">"02405380102"</f>
        <v>02405380102</v>
      </c>
      <c r="K4908" t="str">
        <f>""</f>
        <v/>
      </c>
      <c r="M4908" t="s">
        <v>68</v>
      </c>
      <c r="N4908" t="str">
        <f t="shared" si="524"/>
        <v>FOR</v>
      </c>
      <c r="O4908" t="s">
        <v>69</v>
      </c>
      <c r="P4908" s="3" t="s">
        <v>78</v>
      </c>
      <c r="Q4908">
        <v>2012</v>
      </c>
      <c r="R4908" s="2">
        <v>41045</v>
      </c>
      <c r="S4908" s="2">
        <v>41060</v>
      </c>
      <c r="T4908" s="2">
        <v>41060</v>
      </c>
      <c r="U4908" s="2">
        <v>41150</v>
      </c>
      <c r="V4908" t="s">
        <v>71</v>
      </c>
      <c r="W4908" t="str">
        <f>"              204142"</f>
        <v xml:space="preserve">              204142</v>
      </c>
      <c r="X4908" s="1">
        <v>13711.12</v>
      </c>
      <c r="Y4908">
        <v>0</v>
      </c>
      <c r="Z4908" s="5">
        <v>13711.12</v>
      </c>
      <c r="AA4908">
        <v>1518</v>
      </c>
      <c r="AB4908" s="5">
        <v>20813480.16</v>
      </c>
      <c r="AC4908" s="1">
        <v>13711.12</v>
      </c>
      <c r="AD4908">
        <v>1518</v>
      </c>
      <c r="AE4908" s="1">
        <v>20813480.16</v>
      </c>
      <c r="AF4908">
        <v>0</v>
      </c>
      <c r="AJ4908">
        <v>0</v>
      </c>
      <c r="AK4908">
        <v>0</v>
      </c>
      <c r="AL4908">
        <v>0</v>
      </c>
      <c r="AM4908">
        <v>0</v>
      </c>
      <c r="AN4908">
        <v>0</v>
      </c>
      <c r="AO4908">
        <v>0</v>
      </c>
      <c r="AP4908" s="2">
        <v>42746</v>
      </c>
      <c r="AQ4908" t="s">
        <v>72</v>
      </c>
      <c r="AR4908" t="s">
        <v>72</v>
      </c>
      <c r="AS4908">
        <v>2876</v>
      </c>
      <c r="AT4908" s="4">
        <v>42668</v>
      </c>
      <c r="AU4908" t="s">
        <v>73</v>
      </c>
      <c r="AV4908">
        <v>2876</v>
      </c>
      <c r="AW4908" s="4">
        <v>42668</v>
      </c>
      <c r="BD4908">
        <v>0</v>
      </c>
      <c r="BN4908" t="s">
        <v>74</v>
      </c>
    </row>
    <row r="4909" spans="1:66">
      <c r="A4909">
        <v>101808</v>
      </c>
      <c r="B4909" s="3" t="s">
        <v>524</v>
      </c>
      <c r="C4909" s="1">
        <v>43300101</v>
      </c>
      <c r="D4909" t="s">
        <v>67</v>
      </c>
      <c r="H4909" t="str">
        <f t="shared" si="528"/>
        <v>00248660599</v>
      </c>
      <c r="I4909" t="str">
        <f t="shared" si="529"/>
        <v>02405380102</v>
      </c>
      <c r="K4909" t="str">
        <f>""</f>
        <v/>
      </c>
      <c r="M4909" t="s">
        <v>68</v>
      </c>
      <c r="N4909" t="str">
        <f t="shared" si="524"/>
        <v>FOR</v>
      </c>
      <c r="O4909" t="s">
        <v>69</v>
      </c>
      <c r="P4909" s="3" t="s">
        <v>78</v>
      </c>
      <c r="Q4909">
        <v>2012</v>
      </c>
      <c r="R4909" s="2">
        <v>41045</v>
      </c>
      <c r="S4909" s="2">
        <v>41060</v>
      </c>
      <c r="T4909" s="2">
        <v>41060</v>
      </c>
      <c r="U4909" s="2">
        <v>41150</v>
      </c>
      <c r="V4909" t="s">
        <v>71</v>
      </c>
      <c r="W4909" t="str">
        <f>"              204143"</f>
        <v xml:space="preserve">              204143</v>
      </c>
      <c r="X4909" s="1">
        <v>13369.57</v>
      </c>
      <c r="Y4909">
        <v>0</v>
      </c>
      <c r="Z4909" s="5">
        <v>13369.57</v>
      </c>
      <c r="AA4909">
        <v>1518</v>
      </c>
      <c r="AB4909" s="5">
        <v>20295007.260000002</v>
      </c>
      <c r="AC4909" s="1">
        <v>13369.57</v>
      </c>
      <c r="AD4909">
        <v>1518</v>
      </c>
      <c r="AE4909" s="1">
        <v>20295007.260000002</v>
      </c>
      <c r="AF4909">
        <v>0</v>
      </c>
      <c r="AJ4909">
        <v>0</v>
      </c>
      <c r="AK4909">
        <v>0</v>
      </c>
      <c r="AL4909">
        <v>0</v>
      </c>
      <c r="AM4909">
        <v>0</v>
      </c>
      <c r="AN4909">
        <v>0</v>
      </c>
      <c r="AO4909">
        <v>0</v>
      </c>
      <c r="AP4909" s="2">
        <v>42746</v>
      </c>
      <c r="AQ4909" t="s">
        <v>72</v>
      </c>
      <c r="AR4909" t="s">
        <v>72</v>
      </c>
      <c r="AS4909">
        <v>2876</v>
      </c>
      <c r="AT4909" s="4">
        <v>42668</v>
      </c>
      <c r="AU4909" t="s">
        <v>73</v>
      </c>
      <c r="AV4909">
        <v>2876</v>
      </c>
      <c r="AW4909" s="4">
        <v>42668</v>
      </c>
      <c r="BD4909">
        <v>0</v>
      </c>
      <c r="BN4909" t="s">
        <v>74</v>
      </c>
    </row>
    <row r="4910" spans="1:66" hidden="1">
      <c r="A4910">
        <v>101808</v>
      </c>
      <c r="B4910" s="3" t="s">
        <v>524</v>
      </c>
      <c r="C4910" s="1">
        <v>43300101</v>
      </c>
      <c r="D4910" t="s">
        <v>67</v>
      </c>
      <c r="H4910" t="str">
        <f t="shared" si="528"/>
        <v>00248660599</v>
      </c>
      <c r="I4910" t="str">
        <f t="shared" si="529"/>
        <v>02405380102</v>
      </c>
      <c r="K4910" t="str">
        <f>""</f>
        <v/>
      </c>
      <c r="M4910" t="s">
        <v>68</v>
      </c>
      <c r="N4910" t="str">
        <f t="shared" si="524"/>
        <v>FOR</v>
      </c>
      <c r="O4910" t="s">
        <v>69</v>
      </c>
      <c r="P4910" s="3" t="s">
        <v>70</v>
      </c>
      <c r="Q4910">
        <v>2015</v>
      </c>
      <c r="R4910" s="2">
        <v>42051</v>
      </c>
      <c r="S4910" s="2">
        <v>42086</v>
      </c>
      <c r="T4910" s="2">
        <v>42086</v>
      </c>
      <c r="U4910" s="2">
        <v>42146</v>
      </c>
      <c r="V4910" t="s">
        <v>71</v>
      </c>
      <c r="W4910" t="str">
        <f>"              200883"</f>
        <v xml:space="preserve">              200883</v>
      </c>
      <c r="X4910">
        <v>88.66</v>
      </c>
      <c r="Y4910">
        <v>0</v>
      </c>
      <c r="Z4910"/>
      <c r="AB4910"/>
      <c r="AC4910">
        <v>72.67</v>
      </c>
      <c r="AD4910">
        <v>262</v>
      </c>
      <c r="AE4910" s="1">
        <v>19039.54</v>
      </c>
      <c r="AF4910">
        <v>0</v>
      </c>
      <c r="AJ4910">
        <v>0</v>
      </c>
      <c r="AK4910">
        <v>0</v>
      </c>
      <c r="AL4910">
        <v>0</v>
      </c>
      <c r="AM4910">
        <v>0</v>
      </c>
      <c r="AN4910">
        <v>0</v>
      </c>
      <c r="AO4910">
        <v>0</v>
      </c>
      <c r="AP4910" s="2">
        <v>42746</v>
      </c>
      <c r="AQ4910" t="s">
        <v>72</v>
      </c>
      <c r="AR4910" t="s">
        <v>72</v>
      </c>
      <c r="AS4910">
        <v>313</v>
      </c>
      <c r="AT4910" s="4">
        <v>42408</v>
      </c>
      <c r="AU4910" t="s">
        <v>73</v>
      </c>
      <c r="AV4910">
        <v>313</v>
      </c>
      <c r="AW4910" s="4">
        <v>42408</v>
      </c>
      <c r="BD4910">
        <v>0</v>
      </c>
      <c r="BN4910" t="s">
        <v>74</v>
      </c>
    </row>
    <row r="4911" spans="1:66" hidden="1">
      <c r="A4911">
        <v>101808</v>
      </c>
      <c r="B4911" s="3" t="s">
        <v>524</v>
      </c>
      <c r="C4911" s="1">
        <v>43300101</v>
      </c>
      <c r="D4911" t="s">
        <v>67</v>
      </c>
      <c r="H4911" t="str">
        <f t="shared" si="528"/>
        <v>00248660599</v>
      </c>
      <c r="I4911" t="str">
        <f t="shared" si="529"/>
        <v>02405380102</v>
      </c>
      <c r="K4911" t="str">
        <f>""</f>
        <v/>
      </c>
      <c r="M4911" t="s">
        <v>68</v>
      </c>
      <c r="N4911" t="str">
        <f t="shared" si="524"/>
        <v>FOR</v>
      </c>
      <c r="O4911" t="s">
        <v>69</v>
      </c>
      <c r="P4911" s="3" t="s">
        <v>70</v>
      </c>
      <c r="Q4911">
        <v>2015</v>
      </c>
      <c r="R4911" s="2">
        <v>42060</v>
      </c>
      <c r="S4911" s="2">
        <v>42086</v>
      </c>
      <c r="T4911" s="2">
        <v>42086</v>
      </c>
      <c r="U4911" s="2">
        <v>42146</v>
      </c>
      <c r="V4911" t="s">
        <v>71</v>
      </c>
      <c r="W4911" t="str">
        <f>"              201180"</f>
        <v xml:space="preserve">              201180</v>
      </c>
      <c r="X4911">
        <v>972.95</v>
      </c>
      <c r="Y4911">
        <v>0</v>
      </c>
      <c r="Z4911"/>
      <c r="AB4911"/>
      <c r="AC4911">
        <v>797.5</v>
      </c>
      <c r="AD4911">
        <v>262</v>
      </c>
      <c r="AE4911" s="1">
        <v>208945</v>
      </c>
      <c r="AF4911">
        <v>0</v>
      </c>
      <c r="AJ4911">
        <v>0</v>
      </c>
      <c r="AK4911">
        <v>0</v>
      </c>
      <c r="AL4911">
        <v>0</v>
      </c>
      <c r="AM4911">
        <v>0</v>
      </c>
      <c r="AN4911">
        <v>0</v>
      </c>
      <c r="AO4911">
        <v>0</v>
      </c>
      <c r="AP4911" s="2">
        <v>42746</v>
      </c>
      <c r="AQ4911" t="s">
        <v>72</v>
      </c>
      <c r="AR4911" t="s">
        <v>72</v>
      </c>
      <c r="AS4911">
        <v>313</v>
      </c>
      <c r="AT4911" s="4">
        <v>42408</v>
      </c>
      <c r="AU4911" t="s">
        <v>73</v>
      </c>
      <c r="AV4911">
        <v>313</v>
      </c>
      <c r="AW4911" s="4">
        <v>42408</v>
      </c>
      <c r="BD4911">
        <v>0</v>
      </c>
      <c r="BN4911" t="s">
        <v>74</v>
      </c>
    </row>
    <row r="4912" spans="1:66" hidden="1">
      <c r="A4912">
        <v>101808</v>
      </c>
      <c r="B4912" s="3" t="s">
        <v>524</v>
      </c>
      <c r="C4912" s="1">
        <v>43300101</v>
      </c>
      <c r="D4912" t="s">
        <v>67</v>
      </c>
      <c r="H4912" t="str">
        <f t="shared" si="528"/>
        <v>00248660599</v>
      </c>
      <c r="I4912" t="str">
        <f t="shared" si="529"/>
        <v>02405380102</v>
      </c>
      <c r="K4912" t="str">
        <f>""</f>
        <v/>
      </c>
      <c r="M4912" t="s">
        <v>68</v>
      </c>
      <c r="N4912" t="str">
        <f t="shared" si="524"/>
        <v>FOR</v>
      </c>
      <c r="O4912" t="s">
        <v>69</v>
      </c>
      <c r="P4912" s="3" t="s">
        <v>70</v>
      </c>
      <c r="Q4912">
        <v>2015</v>
      </c>
      <c r="R4912" s="2">
        <v>42083</v>
      </c>
      <c r="S4912" s="2">
        <v>42109</v>
      </c>
      <c r="T4912" s="2">
        <v>42109</v>
      </c>
      <c r="U4912" s="2">
        <v>42169</v>
      </c>
      <c r="V4912" t="s">
        <v>71</v>
      </c>
      <c r="W4912" t="str">
        <f>"              201713"</f>
        <v xml:space="preserve">              201713</v>
      </c>
      <c r="X4912">
        <v>457.5</v>
      </c>
      <c r="Y4912">
        <v>0</v>
      </c>
      <c r="Z4912"/>
      <c r="AB4912"/>
      <c r="AC4912">
        <v>375</v>
      </c>
      <c r="AD4912">
        <v>239</v>
      </c>
      <c r="AE4912" s="1">
        <v>89625</v>
      </c>
      <c r="AF4912">
        <v>0</v>
      </c>
      <c r="AJ4912">
        <v>0</v>
      </c>
      <c r="AK4912">
        <v>0</v>
      </c>
      <c r="AL4912">
        <v>0</v>
      </c>
      <c r="AM4912">
        <v>0</v>
      </c>
      <c r="AN4912">
        <v>0</v>
      </c>
      <c r="AO4912">
        <v>0</v>
      </c>
      <c r="AP4912" s="2">
        <v>42746</v>
      </c>
      <c r="AQ4912" t="s">
        <v>72</v>
      </c>
      <c r="AR4912" t="s">
        <v>72</v>
      </c>
      <c r="AS4912">
        <v>313</v>
      </c>
      <c r="AT4912" s="4">
        <v>42408</v>
      </c>
      <c r="AU4912" t="s">
        <v>73</v>
      </c>
      <c r="AV4912">
        <v>313</v>
      </c>
      <c r="AW4912" s="4">
        <v>42408</v>
      </c>
      <c r="BD4912">
        <v>0</v>
      </c>
      <c r="BN4912" t="s">
        <v>74</v>
      </c>
    </row>
    <row r="4913" spans="1:66">
      <c r="A4913">
        <v>101808</v>
      </c>
      <c r="B4913" s="3" t="s">
        <v>524</v>
      </c>
      <c r="C4913" s="1">
        <v>43300101</v>
      </c>
      <c r="D4913" t="s">
        <v>67</v>
      </c>
      <c r="H4913" t="str">
        <f t="shared" si="528"/>
        <v>00248660599</v>
      </c>
      <c r="I4913" t="str">
        <f t="shared" si="529"/>
        <v>02405380102</v>
      </c>
      <c r="K4913" t="str">
        <f>""</f>
        <v/>
      </c>
      <c r="M4913" t="s">
        <v>68</v>
      </c>
      <c r="N4913" t="str">
        <f t="shared" si="524"/>
        <v>FOR</v>
      </c>
      <c r="O4913" t="s">
        <v>69</v>
      </c>
      <c r="P4913" s="3" t="s">
        <v>70</v>
      </c>
      <c r="Q4913">
        <v>2015</v>
      </c>
      <c r="R4913" s="2">
        <v>42093</v>
      </c>
      <c r="S4913" s="2">
        <v>42115</v>
      </c>
      <c r="T4913" s="2">
        <v>42115</v>
      </c>
      <c r="U4913" s="2">
        <v>42175</v>
      </c>
      <c r="V4913" t="s">
        <v>71</v>
      </c>
      <c r="W4913" t="str">
        <f>"              202042"</f>
        <v xml:space="preserve">              202042</v>
      </c>
      <c r="X4913" s="1">
        <v>2424.75</v>
      </c>
      <c r="Y4913">
        <v>0</v>
      </c>
      <c r="Z4913" s="5">
        <v>1987.5</v>
      </c>
      <c r="AA4913">
        <v>473</v>
      </c>
      <c r="AB4913" s="5">
        <v>940087.5</v>
      </c>
      <c r="AC4913" s="1">
        <v>1987.5</v>
      </c>
      <c r="AD4913">
        <v>473</v>
      </c>
      <c r="AE4913" s="1">
        <v>940087.5</v>
      </c>
      <c r="AF4913">
        <v>0</v>
      </c>
      <c r="AJ4913">
        <v>0</v>
      </c>
      <c r="AK4913">
        <v>0</v>
      </c>
      <c r="AL4913">
        <v>0</v>
      </c>
      <c r="AM4913">
        <v>0</v>
      </c>
      <c r="AN4913">
        <v>0</v>
      </c>
      <c r="AO4913">
        <v>0</v>
      </c>
      <c r="AP4913" s="2">
        <v>42746</v>
      </c>
      <c r="AQ4913" t="s">
        <v>72</v>
      </c>
      <c r="AR4913" t="s">
        <v>72</v>
      </c>
      <c r="AS4913">
        <v>2671</v>
      </c>
      <c r="AT4913" s="4">
        <v>42648</v>
      </c>
      <c r="AU4913" t="s">
        <v>73</v>
      </c>
      <c r="AV4913">
        <v>2671</v>
      </c>
      <c r="AW4913" s="4">
        <v>42648</v>
      </c>
      <c r="BD4913">
        <v>0</v>
      </c>
      <c r="BN4913" t="s">
        <v>74</v>
      </c>
    </row>
    <row r="4914" spans="1:66" hidden="1">
      <c r="A4914">
        <v>101808</v>
      </c>
      <c r="B4914" s="3" t="s">
        <v>524</v>
      </c>
      <c r="C4914" s="1">
        <v>43300101</v>
      </c>
      <c r="D4914" t="s">
        <v>67</v>
      </c>
      <c r="H4914" t="str">
        <f t="shared" si="528"/>
        <v>00248660599</v>
      </c>
      <c r="I4914" t="str">
        <f t="shared" si="529"/>
        <v>02405380102</v>
      </c>
      <c r="K4914" t="str">
        <f>""</f>
        <v/>
      </c>
      <c r="M4914" t="s">
        <v>68</v>
      </c>
      <c r="N4914" t="str">
        <f t="shared" si="524"/>
        <v>FOR</v>
      </c>
      <c r="O4914" t="s">
        <v>69</v>
      </c>
      <c r="P4914" s="3" t="s">
        <v>75</v>
      </c>
      <c r="Q4914">
        <v>2015</v>
      </c>
      <c r="R4914" s="2">
        <v>42101</v>
      </c>
      <c r="S4914" s="2">
        <v>42107</v>
      </c>
      <c r="T4914" s="2">
        <v>42103</v>
      </c>
      <c r="U4914" s="2">
        <v>42163</v>
      </c>
      <c r="V4914" t="s">
        <v>71</v>
      </c>
      <c r="W4914" t="str">
        <f>"           15/E00131"</f>
        <v xml:space="preserve">           15/E00131</v>
      </c>
      <c r="X4914" s="1">
        <v>16979.349999999999</v>
      </c>
      <c r="Y4914">
        <v>0</v>
      </c>
      <c r="Z4914"/>
      <c r="AB4914"/>
      <c r="AC4914" s="1">
        <v>13917.5</v>
      </c>
      <c r="AD4914">
        <v>290</v>
      </c>
      <c r="AE4914" s="1">
        <v>4036075</v>
      </c>
      <c r="AF4914">
        <v>0</v>
      </c>
      <c r="AJ4914">
        <v>0</v>
      </c>
      <c r="AK4914">
        <v>0</v>
      </c>
      <c r="AL4914">
        <v>0</v>
      </c>
      <c r="AM4914">
        <v>0</v>
      </c>
      <c r="AN4914">
        <v>0</v>
      </c>
      <c r="AO4914">
        <v>0</v>
      </c>
      <c r="AP4914" s="2">
        <v>42746</v>
      </c>
      <c r="AQ4914" t="s">
        <v>72</v>
      </c>
      <c r="AR4914" t="s">
        <v>72</v>
      </c>
      <c r="AS4914">
        <v>871</v>
      </c>
      <c r="AT4914" s="4">
        <v>42453</v>
      </c>
      <c r="AU4914" t="s">
        <v>73</v>
      </c>
      <c r="AV4914">
        <v>871</v>
      </c>
      <c r="AW4914" s="4">
        <v>42453</v>
      </c>
      <c r="BD4914">
        <v>0</v>
      </c>
      <c r="BN4914" t="s">
        <v>74</v>
      </c>
    </row>
    <row r="4915" spans="1:66" hidden="1">
      <c r="A4915">
        <v>101808</v>
      </c>
      <c r="B4915" s="3" t="s">
        <v>524</v>
      </c>
      <c r="C4915" s="1">
        <v>43300101</v>
      </c>
      <c r="D4915" t="s">
        <v>67</v>
      </c>
      <c r="H4915" t="str">
        <f t="shared" si="528"/>
        <v>00248660599</v>
      </c>
      <c r="I4915" t="str">
        <f t="shared" si="529"/>
        <v>02405380102</v>
      </c>
      <c r="K4915" t="str">
        <f>""</f>
        <v/>
      </c>
      <c r="M4915" t="s">
        <v>68</v>
      </c>
      <c r="N4915" t="str">
        <f t="shared" si="524"/>
        <v>FOR</v>
      </c>
      <c r="O4915" t="s">
        <v>69</v>
      </c>
      <c r="P4915" s="3" t="s">
        <v>75</v>
      </c>
      <c r="Q4915">
        <v>2015</v>
      </c>
      <c r="R4915" s="2">
        <v>42109</v>
      </c>
      <c r="S4915" s="2">
        <v>42115</v>
      </c>
      <c r="T4915" s="2">
        <v>42110</v>
      </c>
      <c r="U4915" s="2">
        <v>42170</v>
      </c>
      <c r="V4915" t="s">
        <v>71</v>
      </c>
      <c r="W4915" t="str">
        <f>"           15/E00302"</f>
        <v xml:space="preserve">           15/E00302</v>
      </c>
      <c r="X4915" s="1">
        <v>3738.08</v>
      </c>
      <c r="Y4915">
        <v>0</v>
      </c>
      <c r="Z4915"/>
      <c r="AB4915"/>
      <c r="AC4915" s="1">
        <v>3064</v>
      </c>
      <c r="AD4915">
        <v>283</v>
      </c>
      <c r="AE4915" s="1">
        <v>867112</v>
      </c>
      <c r="AF4915">
        <v>0</v>
      </c>
      <c r="AJ4915">
        <v>0</v>
      </c>
      <c r="AK4915">
        <v>0</v>
      </c>
      <c r="AL4915">
        <v>0</v>
      </c>
      <c r="AM4915">
        <v>0</v>
      </c>
      <c r="AN4915">
        <v>0</v>
      </c>
      <c r="AO4915">
        <v>0</v>
      </c>
      <c r="AP4915" s="2">
        <v>42746</v>
      </c>
      <c r="AQ4915" t="s">
        <v>72</v>
      </c>
      <c r="AR4915" t="s">
        <v>72</v>
      </c>
      <c r="AS4915">
        <v>871</v>
      </c>
      <c r="AT4915" s="4">
        <v>42453</v>
      </c>
      <c r="AU4915" t="s">
        <v>73</v>
      </c>
      <c r="AV4915">
        <v>871</v>
      </c>
      <c r="AW4915" s="4">
        <v>42453</v>
      </c>
      <c r="BD4915">
        <v>0</v>
      </c>
      <c r="BN4915" t="s">
        <v>74</v>
      </c>
    </row>
    <row r="4916" spans="1:66" hidden="1">
      <c r="A4916">
        <v>101808</v>
      </c>
      <c r="B4916" s="3" t="s">
        <v>524</v>
      </c>
      <c r="C4916" s="1">
        <v>43300101</v>
      </c>
      <c r="D4916" t="s">
        <v>67</v>
      </c>
      <c r="H4916" t="str">
        <f t="shared" si="528"/>
        <v>00248660599</v>
      </c>
      <c r="I4916" t="str">
        <f t="shared" si="529"/>
        <v>02405380102</v>
      </c>
      <c r="K4916" t="str">
        <f>""</f>
        <v/>
      </c>
      <c r="M4916" t="s">
        <v>68</v>
      </c>
      <c r="N4916" t="str">
        <f t="shared" si="524"/>
        <v>FOR</v>
      </c>
      <c r="O4916" t="s">
        <v>69</v>
      </c>
      <c r="P4916" s="3" t="s">
        <v>75</v>
      </c>
      <c r="Q4916">
        <v>2015</v>
      </c>
      <c r="R4916" s="2">
        <v>42109</v>
      </c>
      <c r="S4916" s="2">
        <v>42115</v>
      </c>
      <c r="T4916" s="2">
        <v>42114</v>
      </c>
      <c r="U4916" s="2">
        <v>42174</v>
      </c>
      <c r="V4916" t="s">
        <v>71</v>
      </c>
      <c r="W4916" t="str">
        <f>"           15/E00303"</f>
        <v xml:space="preserve">           15/E00303</v>
      </c>
      <c r="X4916" s="1">
        <v>9851.49</v>
      </c>
      <c r="Y4916">
        <v>0</v>
      </c>
      <c r="Z4916"/>
      <c r="AB4916"/>
      <c r="AC4916" s="1">
        <v>8074.99</v>
      </c>
      <c r="AD4916">
        <v>279</v>
      </c>
      <c r="AE4916" s="1">
        <v>2252922.21</v>
      </c>
      <c r="AF4916">
        <v>0</v>
      </c>
      <c r="AJ4916">
        <v>0</v>
      </c>
      <c r="AK4916">
        <v>0</v>
      </c>
      <c r="AL4916">
        <v>0</v>
      </c>
      <c r="AM4916">
        <v>0</v>
      </c>
      <c r="AN4916">
        <v>0</v>
      </c>
      <c r="AO4916">
        <v>0</v>
      </c>
      <c r="AP4916" s="2">
        <v>42746</v>
      </c>
      <c r="AQ4916" t="s">
        <v>72</v>
      </c>
      <c r="AR4916" t="s">
        <v>72</v>
      </c>
      <c r="AS4916">
        <v>871</v>
      </c>
      <c r="AT4916" s="4">
        <v>42453</v>
      </c>
      <c r="AU4916" t="s">
        <v>73</v>
      </c>
      <c r="AV4916">
        <v>871</v>
      </c>
      <c r="AW4916" s="4">
        <v>42453</v>
      </c>
      <c r="BD4916">
        <v>0</v>
      </c>
      <c r="BN4916" t="s">
        <v>74</v>
      </c>
    </row>
    <row r="4917" spans="1:66" hidden="1">
      <c r="A4917">
        <v>101808</v>
      </c>
      <c r="B4917" s="3" t="s">
        <v>524</v>
      </c>
      <c r="C4917" s="1">
        <v>43300101</v>
      </c>
      <c r="D4917" t="s">
        <v>67</v>
      </c>
      <c r="H4917" t="str">
        <f t="shared" si="528"/>
        <v>00248660599</v>
      </c>
      <c r="I4917" t="str">
        <f t="shared" si="529"/>
        <v>02405380102</v>
      </c>
      <c r="K4917" t="str">
        <f>""</f>
        <v/>
      </c>
      <c r="M4917" t="s">
        <v>68</v>
      </c>
      <c r="N4917" t="str">
        <f t="shared" si="524"/>
        <v>FOR</v>
      </c>
      <c r="O4917" t="s">
        <v>69</v>
      </c>
      <c r="P4917" s="3" t="s">
        <v>75</v>
      </c>
      <c r="Q4917">
        <v>2015</v>
      </c>
      <c r="R4917" s="2">
        <v>42145</v>
      </c>
      <c r="S4917" s="2">
        <v>42160</v>
      </c>
      <c r="T4917" s="2">
        <v>42146</v>
      </c>
      <c r="U4917" s="2">
        <v>42206</v>
      </c>
      <c r="V4917" t="s">
        <v>71</v>
      </c>
      <c r="W4917" t="str">
        <f>"           15/E01057"</f>
        <v xml:space="preserve">           15/E01057</v>
      </c>
      <c r="X4917" s="1">
        <v>2542.48</v>
      </c>
      <c r="Y4917">
        <v>0</v>
      </c>
      <c r="Z4917"/>
      <c r="AB4917"/>
      <c r="AC4917" s="1">
        <v>2084</v>
      </c>
      <c r="AD4917">
        <v>247</v>
      </c>
      <c r="AE4917" s="1">
        <v>514748</v>
      </c>
      <c r="AF4917">
        <v>0</v>
      </c>
      <c r="AJ4917">
        <v>0</v>
      </c>
      <c r="AK4917">
        <v>0</v>
      </c>
      <c r="AL4917">
        <v>0</v>
      </c>
      <c r="AM4917">
        <v>0</v>
      </c>
      <c r="AN4917">
        <v>0</v>
      </c>
      <c r="AO4917">
        <v>0</v>
      </c>
      <c r="AP4917" s="2">
        <v>42746</v>
      </c>
      <c r="AQ4917" t="s">
        <v>72</v>
      </c>
      <c r="AR4917" t="s">
        <v>72</v>
      </c>
      <c r="AS4917">
        <v>871</v>
      </c>
      <c r="AT4917" s="4">
        <v>42453</v>
      </c>
      <c r="AU4917" t="s">
        <v>73</v>
      </c>
      <c r="AV4917">
        <v>871</v>
      </c>
      <c r="AW4917" s="4">
        <v>42453</v>
      </c>
      <c r="BD4917">
        <v>0</v>
      </c>
      <c r="BN4917" t="s">
        <v>74</v>
      </c>
    </row>
    <row r="4918" spans="1:66" hidden="1">
      <c r="A4918">
        <v>101808</v>
      </c>
      <c r="B4918" s="3" t="s">
        <v>524</v>
      </c>
      <c r="C4918" s="1">
        <v>43300101</v>
      </c>
      <c r="D4918" t="s">
        <v>67</v>
      </c>
      <c r="H4918" t="str">
        <f t="shared" si="528"/>
        <v>00248660599</v>
      </c>
      <c r="I4918" t="str">
        <f t="shared" si="529"/>
        <v>02405380102</v>
      </c>
      <c r="K4918" t="str">
        <f>""</f>
        <v/>
      </c>
      <c r="M4918" t="s">
        <v>68</v>
      </c>
      <c r="N4918" t="str">
        <f t="shared" si="524"/>
        <v>FOR</v>
      </c>
      <c r="O4918" t="s">
        <v>69</v>
      </c>
      <c r="P4918" s="3" t="s">
        <v>75</v>
      </c>
      <c r="Q4918">
        <v>2015</v>
      </c>
      <c r="R4918" s="2">
        <v>42170</v>
      </c>
      <c r="S4918" s="2">
        <v>42172</v>
      </c>
      <c r="T4918" s="2">
        <v>42171</v>
      </c>
      <c r="U4918" s="2">
        <v>42231</v>
      </c>
      <c r="V4918" t="s">
        <v>71</v>
      </c>
      <c r="W4918" t="str">
        <f>"           15/E01593"</f>
        <v xml:space="preserve">           15/E01593</v>
      </c>
      <c r="X4918" s="1">
        <v>8782.3799999999992</v>
      </c>
      <c r="Y4918">
        <v>0</v>
      </c>
      <c r="Z4918"/>
      <c r="AB4918"/>
      <c r="AC4918" s="1">
        <v>7198.67</v>
      </c>
      <c r="AD4918">
        <v>296</v>
      </c>
      <c r="AE4918" s="1">
        <v>2130806.3199999998</v>
      </c>
      <c r="AF4918">
        <v>0</v>
      </c>
      <c r="AJ4918">
        <v>0</v>
      </c>
      <c r="AK4918">
        <v>0</v>
      </c>
      <c r="AL4918">
        <v>0</v>
      </c>
      <c r="AM4918">
        <v>0</v>
      </c>
      <c r="AN4918">
        <v>0</v>
      </c>
      <c r="AO4918">
        <v>0</v>
      </c>
      <c r="AP4918" s="2">
        <v>42746</v>
      </c>
      <c r="AQ4918" t="s">
        <v>72</v>
      </c>
      <c r="AR4918" t="s">
        <v>72</v>
      </c>
      <c r="AS4918">
        <v>1526</v>
      </c>
      <c r="AT4918" s="4">
        <v>42527</v>
      </c>
      <c r="AU4918" t="s">
        <v>73</v>
      </c>
      <c r="AV4918">
        <v>1526</v>
      </c>
      <c r="AW4918" s="4">
        <v>42527</v>
      </c>
      <c r="BD4918">
        <v>0</v>
      </c>
      <c r="BN4918" t="s">
        <v>74</v>
      </c>
    </row>
    <row r="4919" spans="1:66">
      <c r="A4919">
        <v>101808</v>
      </c>
      <c r="B4919" s="3" t="s">
        <v>524</v>
      </c>
      <c r="C4919" s="1">
        <v>43300101</v>
      </c>
      <c r="D4919" t="s">
        <v>67</v>
      </c>
      <c r="H4919" t="str">
        <f t="shared" si="528"/>
        <v>00248660599</v>
      </c>
      <c r="I4919" t="str">
        <f t="shared" si="529"/>
        <v>02405380102</v>
      </c>
      <c r="K4919" t="str">
        <f>""</f>
        <v/>
      </c>
      <c r="M4919" t="s">
        <v>68</v>
      </c>
      <c r="N4919" t="str">
        <f t="shared" si="524"/>
        <v>FOR</v>
      </c>
      <c r="O4919" t="s">
        <v>69</v>
      </c>
      <c r="P4919" s="3" t="s">
        <v>75</v>
      </c>
      <c r="Q4919">
        <v>2015</v>
      </c>
      <c r="R4919" s="2">
        <v>42177</v>
      </c>
      <c r="S4919" s="2">
        <v>42180</v>
      </c>
      <c r="T4919" s="2">
        <v>42178</v>
      </c>
      <c r="U4919" s="2">
        <v>42238</v>
      </c>
      <c r="V4919" t="s">
        <v>71</v>
      </c>
      <c r="W4919" t="str">
        <f>"           15/E01746"</f>
        <v xml:space="preserve">           15/E01746</v>
      </c>
      <c r="X4919" s="1">
        <v>1830</v>
      </c>
      <c r="Y4919">
        <v>0</v>
      </c>
      <c r="Z4919" s="5">
        <v>1500</v>
      </c>
      <c r="AA4919">
        <v>480</v>
      </c>
      <c r="AB4919" s="5">
        <v>720000</v>
      </c>
      <c r="AC4919" s="1">
        <v>1500</v>
      </c>
      <c r="AD4919">
        <v>480</v>
      </c>
      <c r="AE4919" s="1">
        <v>720000</v>
      </c>
      <c r="AF4919">
        <v>330</v>
      </c>
      <c r="AJ4919">
        <v>0</v>
      </c>
      <c r="AK4919">
        <v>0</v>
      </c>
      <c r="AL4919">
        <v>0</v>
      </c>
      <c r="AM4919">
        <v>0</v>
      </c>
      <c r="AN4919">
        <v>0</v>
      </c>
      <c r="AO4919">
        <v>0</v>
      </c>
      <c r="AP4919" s="2">
        <v>42746</v>
      </c>
      <c r="AQ4919" t="s">
        <v>72</v>
      </c>
      <c r="AR4919" t="s">
        <v>72</v>
      </c>
      <c r="AS4919">
        <v>3459</v>
      </c>
      <c r="AT4919" s="4">
        <v>42718</v>
      </c>
      <c r="AU4919" t="s">
        <v>73</v>
      </c>
      <c r="AV4919">
        <v>3459</v>
      </c>
      <c r="AW4919" s="4">
        <v>42718</v>
      </c>
      <c r="BD4919">
        <v>330</v>
      </c>
      <c r="BN4919" t="s">
        <v>74</v>
      </c>
    </row>
    <row r="4920" spans="1:66" hidden="1">
      <c r="A4920">
        <v>101808</v>
      </c>
      <c r="B4920" s="3" t="s">
        <v>524</v>
      </c>
      <c r="C4920" s="1">
        <v>43300101</v>
      </c>
      <c r="D4920" t="s">
        <v>67</v>
      </c>
      <c r="H4920" t="str">
        <f t="shared" si="528"/>
        <v>00248660599</v>
      </c>
      <c r="I4920" t="str">
        <f t="shared" si="529"/>
        <v>02405380102</v>
      </c>
      <c r="K4920" t="str">
        <f>""</f>
        <v/>
      </c>
      <c r="M4920" t="s">
        <v>68</v>
      </c>
      <c r="N4920" t="str">
        <f t="shared" si="524"/>
        <v>FOR</v>
      </c>
      <c r="O4920" t="s">
        <v>69</v>
      </c>
      <c r="P4920" s="3" t="s">
        <v>75</v>
      </c>
      <c r="Q4920">
        <v>2015</v>
      </c>
      <c r="R4920" s="2">
        <v>42184</v>
      </c>
      <c r="S4920" s="2">
        <v>42191</v>
      </c>
      <c r="T4920" s="2">
        <v>42186</v>
      </c>
      <c r="U4920" s="2">
        <v>42246</v>
      </c>
      <c r="V4920" t="s">
        <v>71</v>
      </c>
      <c r="W4920" t="str">
        <f>"           15/E01976"</f>
        <v xml:space="preserve">           15/E01976</v>
      </c>
      <c r="X4920">
        <v>354.62</v>
      </c>
      <c r="Y4920">
        <v>0</v>
      </c>
      <c r="Z4920"/>
      <c r="AB4920"/>
      <c r="AC4920">
        <v>290.67</v>
      </c>
      <c r="AD4920">
        <v>281</v>
      </c>
      <c r="AE4920" s="1">
        <v>81678.27</v>
      </c>
      <c r="AF4920">
        <v>0</v>
      </c>
      <c r="AJ4920">
        <v>0</v>
      </c>
      <c r="AK4920">
        <v>0</v>
      </c>
      <c r="AL4920">
        <v>0</v>
      </c>
      <c r="AM4920">
        <v>0</v>
      </c>
      <c r="AN4920">
        <v>0</v>
      </c>
      <c r="AO4920">
        <v>0</v>
      </c>
      <c r="AP4920" s="2">
        <v>42746</v>
      </c>
      <c r="AQ4920" t="s">
        <v>72</v>
      </c>
      <c r="AR4920" t="s">
        <v>72</v>
      </c>
      <c r="AS4920">
        <v>1526</v>
      </c>
      <c r="AT4920" s="4">
        <v>42527</v>
      </c>
      <c r="AU4920" t="s">
        <v>73</v>
      </c>
      <c r="AV4920">
        <v>1526</v>
      </c>
      <c r="AW4920" s="4">
        <v>42527</v>
      </c>
      <c r="BD4920">
        <v>0</v>
      </c>
      <c r="BN4920" t="s">
        <v>74</v>
      </c>
    </row>
    <row r="4921" spans="1:66" hidden="1">
      <c r="A4921">
        <v>101808</v>
      </c>
      <c r="B4921" s="3" t="s">
        <v>524</v>
      </c>
      <c r="C4921" s="1">
        <v>43300101</v>
      </c>
      <c r="D4921" t="s">
        <v>67</v>
      </c>
      <c r="H4921" t="str">
        <f t="shared" si="528"/>
        <v>00248660599</v>
      </c>
      <c r="I4921" t="str">
        <f t="shared" si="529"/>
        <v>02405380102</v>
      </c>
      <c r="K4921" t="str">
        <f>""</f>
        <v/>
      </c>
      <c r="M4921" t="s">
        <v>68</v>
      </c>
      <c r="N4921" t="str">
        <f t="shared" si="524"/>
        <v>FOR</v>
      </c>
      <c r="O4921" t="s">
        <v>69</v>
      </c>
      <c r="P4921" s="3" t="s">
        <v>75</v>
      </c>
      <c r="Q4921">
        <v>2015</v>
      </c>
      <c r="R4921" s="2">
        <v>42213</v>
      </c>
      <c r="S4921" s="2">
        <v>42217</v>
      </c>
      <c r="T4921" s="2">
        <v>42216</v>
      </c>
      <c r="U4921" s="2">
        <v>42276</v>
      </c>
      <c r="V4921" t="s">
        <v>71</v>
      </c>
      <c r="W4921" t="str">
        <f>"           15/E02823"</f>
        <v xml:space="preserve">           15/E02823</v>
      </c>
      <c r="X4921" s="1">
        <v>8904.1200000000008</v>
      </c>
      <c r="Y4921">
        <v>0</v>
      </c>
      <c r="Z4921"/>
      <c r="AB4921"/>
      <c r="AC4921" s="1">
        <v>7298.46</v>
      </c>
      <c r="AD4921">
        <v>290</v>
      </c>
      <c r="AE4921" s="1">
        <v>2116553.4</v>
      </c>
      <c r="AF4921">
        <v>0</v>
      </c>
      <c r="AJ4921">
        <v>0</v>
      </c>
      <c r="AK4921">
        <v>0</v>
      </c>
      <c r="AL4921">
        <v>0</v>
      </c>
      <c r="AM4921">
        <v>0</v>
      </c>
      <c r="AN4921">
        <v>0</v>
      </c>
      <c r="AO4921">
        <v>0</v>
      </c>
      <c r="AP4921" s="2">
        <v>42746</v>
      </c>
      <c r="AQ4921" t="s">
        <v>72</v>
      </c>
      <c r="AR4921" t="s">
        <v>72</v>
      </c>
      <c r="AS4921">
        <v>1826</v>
      </c>
      <c r="AT4921" s="4">
        <v>42566</v>
      </c>
      <c r="AU4921" t="s">
        <v>73</v>
      </c>
      <c r="AV4921">
        <v>1826</v>
      </c>
      <c r="AW4921" s="4">
        <v>42566</v>
      </c>
      <c r="BD4921">
        <v>0</v>
      </c>
      <c r="BN4921" t="s">
        <v>74</v>
      </c>
    </row>
    <row r="4922" spans="1:66" hidden="1">
      <c r="A4922">
        <v>101808</v>
      </c>
      <c r="B4922" s="3" t="s">
        <v>524</v>
      </c>
      <c r="C4922" s="1">
        <v>43300101</v>
      </c>
      <c r="D4922" t="s">
        <v>67</v>
      </c>
      <c r="H4922" t="str">
        <f t="shared" si="528"/>
        <v>00248660599</v>
      </c>
      <c r="I4922" t="str">
        <f t="shared" si="529"/>
        <v>02405380102</v>
      </c>
      <c r="K4922" t="str">
        <f>""</f>
        <v/>
      </c>
      <c r="M4922" t="s">
        <v>68</v>
      </c>
      <c r="N4922" t="str">
        <f t="shared" si="524"/>
        <v>FOR</v>
      </c>
      <c r="O4922" t="s">
        <v>69</v>
      </c>
      <c r="P4922" s="3" t="s">
        <v>75</v>
      </c>
      <c r="Q4922">
        <v>2015</v>
      </c>
      <c r="R4922" s="2">
        <v>42226</v>
      </c>
      <c r="S4922" s="2">
        <v>42229</v>
      </c>
      <c r="T4922" s="2">
        <v>42227</v>
      </c>
      <c r="U4922" s="2">
        <v>42287</v>
      </c>
      <c r="V4922" t="s">
        <v>71</v>
      </c>
      <c r="W4922" t="str">
        <f>"           15/E03173"</f>
        <v xml:space="preserve">           15/E03173</v>
      </c>
      <c r="X4922">
        <v>88.66</v>
      </c>
      <c r="Y4922">
        <v>0</v>
      </c>
      <c r="Z4922"/>
      <c r="AB4922"/>
      <c r="AC4922">
        <v>72.67</v>
      </c>
      <c r="AD4922">
        <v>279</v>
      </c>
      <c r="AE4922" s="1">
        <v>20274.93</v>
      </c>
      <c r="AF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 s="2">
        <v>42746</v>
      </c>
      <c r="AQ4922" t="s">
        <v>72</v>
      </c>
      <c r="AR4922" t="s">
        <v>72</v>
      </c>
      <c r="AS4922">
        <v>1826</v>
      </c>
      <c r="AT4922" s="4">
        <v>42566</v>
      </c>
      <c r="AU4922" t="s">
        <v>73</v>
      </c>
      <c r="AV4922">
        <v>1826</v>
      </c>
      <c r="AW4922" s="4">
        <v>42566</v>
      </c>
      <c r="BD4922">
        <v>0</v>
      </c>
      <c r="BN4922" t="s">
        <v>74</v>
      </c>
    </row>
    <row r="4923" spans="1:66">
      <c r="A4923">
        <v>101808</v>
      </c>
      <c r="B4923" s="3" t="s">
        <v>524</v>
      </c>
      <c r="C4923" s="1">
        <v>43300101</v>
      </c>
      <c r="D4923" t="s">
        <v>67</v>
      </c>
      <c r="H4923" t="str">
        <f t="shared" si="528"/>
        <v>00248660599</v>
      </c>
      <c r="I4923" t="str">
        <f t="shared" si="529"/>
        <v>02405380102</v>
      </c>
      <c r="K4923" t="str">
        <f>""</f>
        <v/>
      </c>
      <c r="M4923" t="s">
        <v>68</v>
      </c>
      <c r="N4923" t="str">
        <f t="shared" si="524"/>
        <v>FOR</v>
      </c>
      <c r="O4923" t="s">
        <v>69</v>
      </c>
      <c r="P4923" s="3" t="s">
        <v>75</v>
      </c>
      <c r="Q4923">
        <v>2015</v>
      </c>
      <c r="R4923" s="2">
        <v>42286</v>
      </c>
      <c r="S4923" s="2">
        <v>42291</v>
      </c>
      <c r="T4923" s="2">
        <v>42291</v>
      </c>
      <c r="U4923" s="2">
        <v>42351</v>
      </c>
      <c r="V4923" t="s">
        <v>71</v>
      </c>
      <c r="W4923" t="str">
        <f>"           15/E04442"</f>
        <v xml:space="preserve">           15/E04442</v>
      </c>
      <c r="X4923" s="1">
        <v>7707.36</v>
      </c>
      <c r="Y4923">
        <v>0</v>
      </c>
      <c r="Z4923" s="5">
        <v>6317.51</v>
      </c>
      <c r="AA4923">
        <v>297</v>
      </c>
      <c r="AB4923" s="5">
        <v>1876300.47</v>
      </c>
      <c r="AC4923" s="1">
        <v>6317.51</v>
      </c>
      <c r="AD4923">
        <v>297</v>
      </c>
      <c r="AE4923" s="1">
        <v>1876300.47</v>
      </c>
      <c r="AF4923">
        <v>0</v>
      </c>
      <c r="AJ4923">
        <v>0</v>
      </c>
      <c r="AK4923">
        <v>0</v>
      </c>
      <c r="AL4923">
        <v>0</v>
      </c>
      <c r="AM4923">
        <v>0</v>
      </c>
      <c r="AN4923">
        <v>0</v>
      </c>
      <c r="AO4923">
        <v>0</v>
      </c>
      <c r="AP4923" s="2">
        <v>42746</v>
      </c>
      <c r="AQ4923" t="s">
        <v>72</v>
      </c>
      <c r="AR4923" t="s">
        <v>72</v>
      </c>
      <c r="AS4923">
        <v>2671</v>
      </c>
      <c r="AT4923" s="4">
        <v>42648</v>
      </c>
      <c r="AU4923" t="s">
        <v>73</v>
      </c>
      <c r="AV4923">
        <v>2671</v>
      </c>
      <c r="AW4923" s="4">
        <v>42648</v>
      </c>
      <c r="BD4923">
        <v>0</v>
      </c>
      <c r="BN4923" t="s">
        <v>74</v>
      </c>
    </row>
    <row r="4924" spans="1:66">
      <c r="A4924">
        <v>101808</v>
      </c>
      <c r="B4924" s="3" t="s">
        <v>524</v>
      </c>
      <c r="C4924" s="1">
        <v>43300101</v>
      </c>
      <c r="D4924" t="s">
        <v>67</v>
      </c>
      <c r="H4924" t="str">
        <f t="shared" si="528"/>
        <v>00248660599</v>
      </c>
      <c r="I4924" t="str">
        <f t="shared" si="529"/>
        <v>02405380102</v>
      </c>
      <c r="K4924" t="str">
        <f>""</f>
        <v/>
      </c>
      <c r="M4924" t="s">
        <v>68</v>
      </c>
      <c r="N4924" t="str">
        <f t="shared" si="524"/>
        <v>FOR</v>
      </c>
      <c r="O4924" t="s">
        <v>69</v>
      </c>
      <c r="P4924" s="3" t="s">
        <v>75</v>
      </c>
      <c r="Q4924">
        <v>2015</v>
      </c>
      <c r="R4924" s="2">
        <v>42354</v>
      </c>
      <c r="S4924" s="2">
        <v>42359</v>
      </c>
      <c r="T4924" s="2">
        <v>42356</v>
      </c>
      <c r="U4924" s="2">
        <v>42416</v>
      </c>
      <c r="V4924" t="s">
        <v>71</v>
      </c>
      <c r="W4924" t="str">
        <f>"           15/E05807"</f>
        <v xml:space="preserve">           15/E05807</v>
      </c>
      <c r="X4924" s="1">
        <v>1830</v>
      </c>
      <c r="Y4924">
        <v>0</v>
      </c>
      <c r="Z4924" s="5">
        <v>1500</v>
      </c>
      <c r="AA4924">
        <v>302</v>
      </c>
      <c r="AB4924" s="5">
        <v>453000</v>
      </c>
      <c r="AC4924" s="1">
        <v>1500</v>
      </c>
      <c r="AD4924">
        <v>302</v>
      </c>
      <c r="AE4924" s="1">
        <v>453000</v>
      </c>
      <c r="AF4924">
        <v>330</v>
      </c>
      <c r="AJ4924">
        <v>0</v>
      </c>
      <c r="AK4924">
        <v>0</v>
      </c>
      <c r="AL4924">
        <v>0</v>
      </c>
      <c r="AM4924">
        <v>0</v>
      </c>
      <c r="AN4924">
        <v>0</v>
      </c>
      <c r="AO4924">
        <v>0</v>
      </c>
      <c r="AP4924" s="2">
        <v>42746</v>
      </c>
      <c r="AQ4924" t="s">
        <v>72</v>
      </c>
      <c r="AR4924" t="s">
        <v>72</v>
      </c>
      <c r="AS4924">
        <v>3459</v>
      </c>
      <c r="AT4924" s="4">
        <v>42718</v>
      </c>
      <c r="AU4924" t="s">
        <v>73</v>
      </c>
      <c r="AV4924">
        <v>3459</v>
      </c>
      <c r="AW4924" s="4">
        <v>42718</v>
      </c>
      <c r="BD4924">
        <v>330</v>
      </c>
      <c r="BN4924" t="s">
        <v>74</v>
      </c>
    </row>
    <row r="4925" spans="1:66">
      <c r="A4925">
        <v>101808</v>
      </c>
      <c r="B4925" s="3" t="s">
        <v>524</v>
      </c>
      <c r="C4925" s="1">
        <v>43300101</v>
      </c>
      <c r="D4925" t="s">
        <v>67</v>
      </c>
      <c r="H4925" t="str">
        <f t="shared" si="528"/>
        <v>00248660599</v>
      </c>
      <c r="I4925" t="str">
        <f t="shared" si="529"/>
        <v>02405380102</v>
      </c>
      <c r="K4925" t="str">
        <f>""</f>
        <v/>
      </c>
      <c r="M4925" t="s">
        <v>68</v>
      </c>
      <c r="N4925" t="str">
        <f t="shared" si="524"/>
        <v>FOR</v>
      </c>
      <c r="O4925" t="s">
        <v>69</v>
      </c>
      <c r="P4925" s="3" t="s">
        <v>75</v>
      </c>
      <c r="Q4925">
        <v>2016</v>
      </c>
      <c r="R4925" s="2">
        <v>42396</v>
      </c>
      <c r="S4925" s="2">
        <v>42401</v>
      </c>
      <c r="T4925" s="2">
        <v>42397</v>
      </c>
      <c r="U4925" s="2">
        <v>42457</v>
      </c>
      <c r="V4925" t="s">
        <v>71</v>
      </c>
      <c r="W4925" t="str">
        <f>"           16/E00438"</f>
        <v xml:space="preserve">           16/E00438</v>
      </c>
      <c r="X4925" s="1">
        <v>8286.9699999999993</v>
      </c>
      <c r="Y4925">
        <v>0</v>
      </c>
      <c r="Z4925" s="5">
        <v>6792.6</v>
      </c>
      <c r="AA4925">
        <v>221</v>
      </c>
      <c r="AB4925" s="5">
        <v>1501164.6</v>
      </c>
      <c r="AC4925" s="1">
        <v>6792.6</v>
      </c>
      <c r="AD4925">
        <v>221</v>
      </c>
      <c r="AE4925" s="1">
        <v>1501164.6</v>
      </c>
      <c r="AF4925">
        <v>0</v>
      </c>
      <c r="AJ4925">
        <v>0</v>
      </c>
      <c r="AK4925">
        <v>0</v>
      </c>
      <c r="AL4925">
        <v>0</v>
      </c>
      <c r="AM4925" s="1">
        <v>8286.9699999999993</v>
      </c>
      <c r="AN4925" s="1">
        <v>8286.9699999999993</v>
      </c>
      <c r="AO4925" s="1">
        <v>8286.9699999999993</v>
      </c>
      <c r="AP4925" s="2">
        <v>42746</v>
      </c>
      <c r="AQ4925" t="s">
        <v>72</v>
      </c>
      <c r="AR4925" t="s">
        <v>72</v>
      </c>
      <c r="AS4925">
        <v>2940</v>
      </c>
      <c r="AT4925" s="4">
        <v>42678</v>
      </c>
      <c r="AU4925" t="s">
        <v>73</v>
      </c>
      <c r="AV4925">
        <v>2940</v>
      </c>
      <c r="AW4925" s="4">
        <v>42678</v>
      </c>
      <c r="BD4925">
        <v>0</v>
      </c>
      <c r="BN4925" t="s">
        <v>74</v>
      </c>
    </row>
    <row r="4926" spans="1:66">
      <c r="A4926">
        <v>101808</v>
      </c>
      <c r="B4926" s="3" t="s">
        <v>524</v>
      </c>
      <c r="C4926" s="1">
        <v>43300101</v>
      </c>
      <c r="D4926" t="s">
        <v>67</v>
      </c>
      <c r="H4926" t="str">
        <f t="shared" si="528"/>
        <v>00248660599</v>
      </c>
      <c r="I4926" t="str">
        <f t="shared" si="529"/>
        <v>02405380102</v>
      </c>
      <c r="K4926" t="str">
        <f>""</f>
        <v/>
      </c>
      <c r="M4926" t="s">
        <v>68</v>
      </c>
      <c r="N4926" t="str">
        <f t="shared" si="524"/>
        <v>FOR</v>
      </c>
      <c r="O4926" t="s">
        <v>69</v>
      </c>
      <c r="P4926" s="3" t="s">
        <v>75</v>
      </c>
      <c r="Q4926">
        <v>2016</v>
      </c>
      <c r="R4926" s="2">
        <v>42396</v>
      </c>
      <c r="S4926" s="2">
        <v>42401</v>
      </c>
      <c r="T4926" s="2">
        <v>42397</v>
      </c>
      <c r="U4926" s="2">
        <v>42457</v>
      </c>
      <c r="V4926" t="s">
        <v>71</v>
      </c>
      <c r="W4926" t="str">
        <f>"           16/E00439"</f>
        <v xml:space="preserve">           16/E00439</v>
      </c>
      <c r="X4926" s="1">
        <v>18440.09</v>
      </c>
      <c r="Y4926">
        <v>0</v>
      </c>
      <c r="Z4926" s="5">
        <v>15114.83</v>
      </c>
      <c r="AA4926">
        <v>221</v>
      </c>
      <c r="AB4926" s="5">
        <v>3340377.43</v>
      </c>
      <c r="AC4926" s="1">
        <v>15114.83</v>
      </c>
      <c r="AD4926">
        <v>221</v>
      </c>
      <c r="AE4926" s="1">
        <v>3340377.43</v>
      </c>
      <c r="AF4926">
        <v>0</v>
      </c>
      <c r="AJ4926">
        <v>0</v>
      </c>
      <c r="AK4926">
        <v>0</v>
      </c>
      <c r="AL4926">
        <v>0</v>
      </c>
      <c r="AM4926" s="1">
        <v>18440.09</v>
      </c>
      <c r="AN4926" s="1">
        <v>18440.09</v>
      </c>
      <c r="AO4926" s="1">
        <v>18440.09</v>
      </c>
      <c r="AP4926" s="2">
        <v>42746</v>
      </c>
      <c r="AQ4926" t="s">
        <v>72</v>
      </c>
      <c r="AR4926" t="s">
        <v>72</v>
      </c>
      <c r="AS4926">
        <v>2940</v>
      </c>
      <c r="AT4926" s="4">
        <v>42678</v>
      </c>
      <c r="AU4926" t="s">
        <v>73</v>
      </c>
      <c r="AV4926">
        <v>2940</v>
      </c>
      <c r="AW4926" s="4">
        <v>42678</v>
      </c>
      <c r="BD4926">
        <v>0</v>
      </c>
      <c r="BN4926" t="s">
        <v>74</v>
      </c>
    </row>
    <row r="4927" spans="1:66">
      <c r="A4927">
        <v>101808</v>
      </c>
      <c r="B4927" s="3" t="s">
        <v>524</v>
      </c>
      <c r="C4927" s="1">
        <v>43300101</v>
      </c>
      <c r="D4927" t="s">
        <v>67</v>
      </c>
      <c r="H4927" t="str">
        <f t="shared" si="528"/>
        <v>00248660599</v>
      </c>
      <c r="I4927" t="str">
        <f t="shared" si="529"/>
        <v>02405380102</v>
      </c>
      <c r="K4927" t="str">
        <f>""</f>
        <v/>
      </c>
      <c r="M4927" t="s">
        <v>68</v>
      </c>
      <c r="N4927" t="str">
        <f t="shared" si="524"/>
        <v>FOR</v>
      </c>
      <c r="O4927" t="s">
        <v>69</v>
      </c>
      <c r="P4927" s="3" t="s">
        <v>75</v>
      </c>
      <c r="Q4927">
        <v>2016</v>
      </c>
      <c r="R4927" s="2">
        <v>42404</v>
      </c>
      <c r="S4927" s="2">
        <v>42410</v>
      </c>
      <c r="T4927" s="2">
        <v>42405</v>
      </c>
      <c r="U4927" s="2">
        <v>42465</v>
      </c>
      <c r="V4927" t="s">
        <v>71</v>
      </c>
      <c r="W4927" t="str">
        <f>"           16/E00655"</f>
        <v xml:space="preserve">           16/E00655</v>
      </c>
      <c r="X4927">
        <v>265.97000000000003</v>
      </c>
      <c r="Y4927">
        <v>0</v>
      </c>
      <c r="Z4927" s="3">
        <v>218.01</v>
      </c>
      <c r="AA4927">
        <v>213</v>
      </c>
      <c r="AB4927" s="5">
        <v>46436.13</v>
      </c>
      <c r="AC4927">
        <v>218.01</v>
      </c>
      <c r="AD4927">
        <v>213</v>
      </c>
      <c r="AE4927" s="1">
        <v>46436.13</v>
      </c>
      <c r="AF4927">
        <v>0</v>
      </c>
      <c r="AJ4927">
        <v>0</v>
      </c>
      <c r="AK4927">
        <v>0</v>
      </c>
      <c r="AL4927">
        <v>0</v>
      </c>
      <c r="AM4927">
        <v>265.97000000000003</v>
      </c>
      <c r="AN4927">
        <v>265.97000000000003</v>
      </c>
      <c r="AO4927">
        <v>265.97000000000003</v>
      </c>
      <c r="AP4927" s="2">
        <v>42746</v>
      </c>
      <c r="AQ4927" t="s">
        <v>72</v>
      </c>
      <c r="AR4927" t="s">
        <v>72</v>
      </c>
      <c r="AS4927">
        <v>2940</v>
      </c>
      <c r="AT4927" s="4">
        <v>42678</v>
      </c>
      <c r="AU4927" t="s">
        <v>73</v>
      </c>
      <c r="AV4927">
        <v>2940</v>
      </c>
      <c r="AW4927" s="4">
        <v>42678</v>
      </c>
      <c r="BD4927">
        <v>0</v>
      </c>
      <c r="BN4927" t="s">
        <v>74</v>
      </c>
    </row>
    <row r="4928" spans="1:66">
      <c r="A4928">
        <v>101808</v>
      </c>
      <c r="B4928" s="3" t="s">
        <v>524</v>
      </c>
      <c r="C4928" s="1">
        <v>43300101</v>
      </c>
      <c r="D4928" t="s">
        <v>67</v>
      </c>
      <c r="H4928" t="str">
        <f t="shared" si="528"/>
        <v>00248660599</v>
      </c>
      <c r="I4928" t="str">
        <f t="shared" si="529"/>
        <v>02405380102</v>
      </c>
      <c r="K4928" t="str">
        <f>""</f>
        <v/>
      </c>
      <c r="M4928" t="s">
        <v>68</v>
      </c>
      <c r="N4928" t="str">
        <f t="shared" ref="N4928:N4991" si="530">"FOR"</f>
        <v>FOR</v>
      </c>
      <c r="O4928" t="s">
        <v>69</v>
      </c>
      <c r="P4928" s="3" t="s">
        <v>75</v>
      </c>
      <c r="Q4928">
        <v>2016</v>
      </c>
      <c r="R4928" s="2">
        <v>42404</v>
      </c>
      <c r="S4928" s="2">
        <v>42410</v>
      </c>
      <c r="T4928" s="2">
        <v>42405</v>
      </c>
      <c r="U4928" s="2">
        <v>42465</v>
      </c>
      <c r="V4928" t="s">
        <v>71</v>
      </c>
      <c r="W4928" t="str">
        <f>"           16/E00656"</f>
        <v xml:space="preserve">           16/E00656</v>
      </c>
      <c r="X4928">
        <v>265.97000000000003</v>
      </c>
      <c r="Y4928">
        <v>0</v>
      </c>
      <c r="Z4928" s="3">
        <v>218.01</v>
      </c>
      <c r="AA4928">
        <v>213</v>
      </c>
      <c r="AB4928" s="5">
        <v>46436.13</v>
      </c>
      <c r="AC4928">
        <v>218.01</v>
      </c>
      <c r="AD4928">
        <v>213</v>
      </c>
      <c r="AE4928" s="1">
        <v>46436.13</v>
      </c>
      <c r="AF4928">
        <v>0</v>
      </c>
      <c r="AJ4928">
        <v>0</v>
      </c>
      <c r="AK4928">
        <v>0</v>
      </c>
      <c r="AL4928">
        <v>0</v>
      </c>
      <c r="AM4928">
        <v>265.97000000000003</v>
      </c>
      <c r="AN4928">
        <v>265.97000000000003</v>
      </c>
      <c r="AO4928">
        <v>265.97000000000003</v>
      </c>
      <c r="AP4928" s="2">
        <v>42746</v>
      </c>
      <c r="AQ4928" t="s">
        <v>72</v>
      </c>
      <c r="AR4928" t="s">
        <v>72</v>
      </c>
      <c r="AS4928">
        <v>2940</v>
      </c>
      <c r="AT4928" s="4">
        <v>42678</v>
      </c>
      <c r="AU4928" t="s">
        <v>73</v>
      </c>
      <c r="AV4928">
        <v>2940</v>
      </c>
      <c r="AW4928" s="4">
        <v>42678</v>
      </c>
      <c r="BD4928">
        <v>0</v>
      </c>
      <c r="BN4928" t="s">
        <v>74</v>
      </c>
    </row>
    <row r="4929" spans="1:66">
      <c r="A4929">
        <v>101808</v>
      </c>
      <c r="B4929" s="3" t="s">
        <v>524</v>
      </c>
      <c r="C4929" s="1">
        <v>43300101</v>
      </c>
      <c r="D4929" t="s">
        <v>67</v>
      </c>
      <c r="H4929" t="str">
        <f t="shared" si="528"/>
        <v>00248660599</v>
      </c>
      <c r="I4929" t="str">
        <f t="shared" si="529"/>
        <v>02405380102</v>
      </c>
      <c r="K4929" t="str">
        <f>""</f>
        <v/>
      </c>
      <c r="M4929" t="s">
        <v>68</v>
      </c>
      <c r="N4929" t="str">
        <f t="shared" si="530"/>
        <v>FOR</v>
      </c>
      <c r="O4929" t="s">
        <v>69</v>
      </c>
      <c r="P4929" s="3" t="s">
        <v>75</v>
      </c>
      <c r="Q4929">
        <v>2016</v>
      </c>
      <c r="R4929" s="2">
        <v>42415</v>
      </c>
      <c r="S4929" s="2">
        <v>42422</v>
      </c>
      <c r="T4929" s="2">
        <v>42417</v>
      </c>
      <c r="U4929" s="2">
        <v>42477</v>
      </c>
      <c r="V4929" t="s">
        <v>71</v>
      </c>
      <c r="W4929" t="str">
        <f>"           16/E00910"</f>
        <v xml:space="preserve">           16/E00910</v>
      </c>
      <c r="X4929">
        <v>886.55</v>
      </c>
      <c r="Y4929">
        <v>0</v>
      </c>
      <c r="Z4929" s="3">
        <v>726.68</v>
      </c>
      <c r="AA4929">
        <v>201</v>
      </c>
      <c r="AB4929" s="5">
        <v>146062.68</v>
      </c>
      <c r="AC4929">
        <v>726.68</v>
      </c>
      <c r="AD4929">
        <v>201</v>
      </c>
      <c r="AE4929" s="1">
        <v>146062.68</v>
      </c>
      <c r="AF4929">
        <v>0</v>
      </c>
      <c r="AJ4929">
        <v>0</v>
      </c>
      <c r="AK4929">
        <v>0</v>
      </c>
      <c r="AL4929">
        <v>0</v>
      </c>
      <c r="AM4929">
        <v>886.55</v>
      </c>
      <c r="AN4929">
        <v>886.55</v>
      </c>
      <c r="AO4929">
        <v>886.55</v>
      </c>
      <c r="AP4929" s="2">
        <v>42746</v>
      </c>
      <c r="AQ4929" t="s">
        <v>72</v>
      </c>
      <c r="AR4929" t="s">
        <v>72</v>
      </c>
      <c r="AS4929">
        <v>2940</v>
      </c>
      <c r="AT4929" s="4">
        <v>42678</v>
      </c>
      <c r="AU4929" t="s">
        <v>73</v>
      </c>
      <c r="AV4929">
        <v>2940</v>
      </c>
      <c r="AW4929" s="4">
        <v>42678</v>
      </c>
      <c r="BD4929">
        <v>0</v>
      </c>
      <c r="BN4929" t="s">
        <v>74</v>
      </c>
    </row>
    <row r="4930" spans="1:66">
      <c r="A4930">
        <v>101808</v>
      </c>
      <c r="B4930" s="3" t="s">
        <v>524</v>
      </c>
      <c r="C4930" s="1">
        <v>43300101</v>
      </c>
      <c r="D4930" t="s">
        <v>67</v>
      </c>
      <c r="H4930" t="str">
        <f t="shared" si="528"/>
        <v>00248660599</v>
      </c>
      <c r="I4930" t="str">
        <f t="shared" si="529"/>
        <v>02405380102</v>
      </c>
      <c r="K4930" t="str">
        <f>""</f>
        <v/>
      </c>
      <c r="M4930" t="s">
        <v>68</v>
      </c>
      <c r="N4930" t="str">
        <f t="shared" si="530"/>
        <v>FOR</v>
      </c>
      <c r="O4930" t="s">
        <v>69</v>
      </c>
      <c r="P4930" s="3" t="s">
        <v>75</v>
      </c>
      <c r="Q4930">
        <v>2016</v>
      </c>
      <c r="R4930" s="2">
        <v>42481</v>
      </c>
      <c r="S4930" s="2">
        <v>42487</v>
      </c>
      <c r="T4930" s="2">
        <v>42482</v>
      </c>
      <c r="U4930" s="2">
        <v>42542</v>
      </c>
      <c r="V4930" t="s">
        <v>71</v>
      </c>
      <c r="W4930" t="str">
        <f>"           16/E02422"</f>
        <v xml:space="preserve">           16/E02422</v>
      </c>
      <c r="X4930" s="1">
        <v>17124.740000000002</v>
      </c>
      <c r="Y4930">
        <v>0</v>
      </c>
      <c r="Z4930" s="5">
        <v>14036.67</v>
      </c>
      <c r="AA4930">
        <v>176</v>
      </c>
      <c r="AB4930" s="5">
        <v>2470453.92</v>
      </c>
      <c r="AC4930" s="1">
        <v>14036.67</v>
      </c>
      <c r="AD4930">
        <v>176</v>
      </c>
      <c r="AE4930" s="1">
        <v>2470453.92</v>
      </c>
      <c r="AF4930" s="1">
        <v>3088.07</v>
      </c>
      <c r="AJ4930">
        <v>0</v>
      </c>
      <c r="AK4930">
        <v>0</v>
      </c>
      <c r="AL4930">
        <v>0</v>
      </c>
      <c r="AM4930" s="1">
        <v>17124.740000000002</v>
      </c>
      <c r="AN4930" s="1">
        <v>17124.740000000002</v>
      </c>
      <c r="AO4930" s="1">
        <v>17124.740000000002</v>
      </c>
      <c r="AP4930" s="2">
        <v>42746</v>
      </c>
      <c r="AQ4930" t="s">
        <v>72</v>
      </c>
      <c r="AR4930" t="s">
        <v>72</v>
      </c>
      <c r="AS4930">
        <v>3459</v>
      </c>
      <c r="AT4930" s="4">
        <v>42718</v>
      </c>
      <c r="AU4930" t="s">
        <v>73</v>
      </c>
      <c r="AV4930">
        <v>3459</v>
      </c>
      <c r="AW4930" s="4">
        <v>42718</v>
      </c>
      <c r="BD4930" s="1">
        <v>3088.07</v>
      </c>
      <c r="BN4930" t="s">
        <v>74</v>
      </c>
    </row>
    <row r="4931" spans="1:66">
      <c r="A4931">
        <v>101808</v>
      </c>
      <c r="B4931" s="3" t="s">
        <v>524</v>
      </c>
      <c r="C4931" s="1">
        <v>43300101</v>
      </c>
      <c r="D4931" t="s">
        <v>67</v>
      </c>
      <c r="H4931" t="str">
        <f t="shared" si="528"/>
        <v>00248660599</v>
      </c>
      <c r="I4931" t="str">
        <f t="shared" si="529"/>
        <v>02405380102</v>
      </c>
      <c r="K4931" t="str">
        <f>""</f>
        <v/>
      </c>
      <c r="M4931" t="s">
        <v>68</v>
      </c>
      <c r="N4931" t="str">
        <f t="shared" si="530"/>
        <v>FOR</v>
      </c>
      <c r="O4931" t="s">
        <v>69</v>
      </c>
      <c r="P4931" s="3" t="s">
        <v>75</v>
      </c>
      <c r="Q4931">
        <v>2016</v>
      </c>
      <c r="R4931" s="2">
        <v>42494</v>
      </c>
      <c r="S4931" s="2">
        <v>42501</v>
      </c>
      <c r="T4931" s="2">
        <v>42495</v>
      </c>
      <c r="U4931" s="2">
        <v>42555</v>
      </c>
      <c r="V4931" t="s">
        <v>71</v>
      </c>
      <c r="W4931" t="str">
        <f>"           16/E02709"</f>
        <v xml:space="preserve">           16/E02709</v>
      </c>
      <c r="X4931" s="1">
        <v>1152.52</v>
      </c>
      <c r="Y4931">
        <v>0</v>
      </c>
      <c r="Z4931" s="3">
        <v>944.69</v>
      </c>
      <c r="AA4931">
        <v>170</v>
      </c>
      <c r="AB4931" s="5">
        <v>160597.29999999999</v>
      </c>
      <c r="AC4931">
        <v>944.69</v>
      </c>
      <c r="AD4931">
        <v>170</v>
      </c>
      <c r="AE4931" s="1">
        <v>160597.29999999999</v>
      </c>
      <c r="AF4931">
        <v>207.83</v>
      </c>
      <c r="AJ4931">
        <v>0</v>
      </c>
      <c r="AK4931">
        <v>0</v>
      </c>
      <c r="AL4931">
        <v>0</v>
      </c>
      <c r="AM4931" s="1">
        <v>1152.52</v>
      </c>
      <c r="AN4931" s="1">
        <v>1152.52</v>
      </c>
      <c r="AO4931" s="1">
        <v>1152.52</v>
      </c>
      <c r="AP4931" s="2">
        <v>42746</v>
      </c>
      <c r="AQ4931" t="s">
        <v>72</v>
      </c>
      <c r="AR4931" t="s">
        <v>72</v>
      </c>
      <c r="AS4931">
        <v>3657</v>
      </c>
      <c r="AT4931" s="4">
        <v>42725</v>
      </c>
      <c r="AU4931" t="s">
        <v>73</v>
      </c>
      <c r="AV4931">
        <v>3657</v>
      </c>
      <c r="AW4931" s="4">
        <v>42725</v>
      </c>
      <c r="BC4931">
        <v>207.83</v>
      </c>
      <c r="BD4931">
        <v>0</v>
      </c>
      <c r="BN4931" t="s">
        <v>74</v>
      </c>
    </row>
    <row r="4932" spans="1:66" hidden="1">
      <c r="A4932">
        <v>101809</v>
      </c>
      <c r="B4932" s="3" t="s">
        <v>525</v>
      </c>
      <c r="C4932" s="1">
        <v>43300101</v>
      </c>
      <c r="D4932" t="s">
        <v>67</v>
      </c>
      <c r="H4932" t="str">
        <f t="shared" ref="H4932:H4942" si="531">"00967720285"</f>
        <v>00967720285</v>
      </c>
      <c r="I4932" t="str">
        <f t="shared" ref="I4932:I4942" si="532">"05724831002"</f>
        <v>05724831002</v>
      </c>
      <c r="K4932" t="str">
        <f>""</f>
        <v/>
      </c>
      <c r="M4932" t="s">
        <v>68</v>
      </c>
      <c r="N4932" t="str">
        <f t="shared" si="530"/>
        <v>FOR</v>
      </c>
      <c r="O4932" t="s">
        <v>69</v>
      </c>
      <c r="P4932" s="3" t="s">
        <v>75</v>
      </c>
      <c r="Q4932">
        <v>2015</v>
      </c>
      <c r="R4932" s="2">
        <v>42216</v>
      </c>
      <c r="S4932" s="2">
        <v>42228</v>
      </c>
      <c r="T4932" s="2">
        <v>42222</v>
      </c>
      <c r="U4932" s="2">
        <v>42282</v>
      </c>
      <c r="V4932" t="s">
        <v>71</v>
      </c>
      <c r="W4932" t="str">
        <f>"          2015901813"</f>
        <v xml:space="preserve">          2015901813</v>
      </c>
      <c r="X4932" s="1">
        <v>6503.26</v>
      </c>
      <c r="Y4932">
        <v>0</v>
      </c>
      <c r="Z4932"/>
      <c r="AB4932"/>
      <c r="AC4932" s="1">
        <v>5330.54</v>
      </c>
      <c r="AD4932">
        <v>121</v>
      </c>
      <c r="AE4932" s="1">
        <v>644995.34</v>
      </c>
      <c r="AF4932">
        <v>0</v>
      </c>
      <c r="AJ4932">
        <v>0</v>
      </c>
      <c r="AK4932">
        <v>0</v>
      </c>
      <c r="AL4932">
        <v>0</v>
      </c>
      <c r="AM4932">
        <v>0</v>
      </c>
      <c r="AN4932">
        <v>0</v>
      </c>
      <c r="AO4932">
        <v>0</v>
      </c>
      <c r="AP4932" s="2">
        <v>42746</v>
      </c>
      <c r="AQ4932" t="s">
        <v>72</v>
      </c>
      <c r="AR4932" t="s">
        <v>72</v>
      </c>
      <c r="AS4932">
        <v>231</v>
      </c>
      <c r="AT4932" s="4">
        <v>42403</v>
      </c>
      <c r="AU4932" t="s">
        <v>73</v>
      </c>
      <c r="AV4932">
        <v>231</v>
      </c>
      <c r="AW4932" s="4">
        <v>42403</v>
      </c>
      <c r="BD4932">
        <v>0</v>
      </c>
      <c r="BN4932" t="s">
        <v>74</v>
      </c>
    </row>
    <row r="4933" spans="1:66" hidden="1">
      <c r="A4933">
        <v>101809</v>
      </c>
      <c r="B4933" s="3" t="s">
        <v>525</v>
      </c>
      <c r="C4933" s="1">
        <v>43300101</v>
      </c>
      <c r="D4933" t="s">
        <v>67</v>
      </c>
      <c r="H4933" t="str">
        <f t="shared" si="531"/>
        <v>00967720285</v>
      </c>
      <c r="I4933" t="str">
        <f t="shared" si="532"/>
        <v>05724831002</v>
      </c>
      <c r="K4933" t="str">
        <f>""</f>
        <v/>
      </c>
      <c r="M4933" t="s">
        <v>68</v>
      </c>
      <c r="N4933" t="str">
        <f t="shared" si="530"/>
        <v>FOR</v>
      </c>
      <c r="O4933" t="s">
        <v>69</v>
      </c>
      <c r="P4933" s="3" t="s">
        <v>75</v>
      </c>
      <c r="Q4933">
        <v>2015</v>
      </c>
      <c r="R4933" s="2">
        <v>42247</v>
      </c>
      <c r="S4933" s="2">
        <v>42261</v>
      </c>
      <c r="T4933" s="2">
        <v>42257</v>
      </c>
      <c r="U4933" s="2">
        <v>42317</v>
      </c>
      <c r="V4933" t="s">
        <v>71</v>
      </c>
      <c r="W4933" t="str">
        <f>"          2015902145"</f>
        <v xml:space="preserve">          2015902145</v>
      </c>
      <c r="X4933" s="1">
        <v>6503.26</v>
      </c>
      <c r="Y4933">
        <v>0</v>
      </c>
      <c r="Z4933"/>
      <c r="AB4933"/>
      <c r="AC4933" s="1">
        <v>5330.54</v>
      </c>
      <c r="AD4933">
        <v>99</v>
      </c>
      <c r="AE4933" s="1">
        <v>527723.46</v>
      </c>
      <c r="AF4933">
        <v>0</v>
      </c>
      <c r="AJ4933">
        <v>0</v>
      </c>
      <c r="AK4933">
        <v>0</v>
      </c>
      <c r="AL4933">
        <v>0</v>
      </c>
      <c r="AM4933">
        <v>0</v>
      </c>
      <c r="AN4933">
        <v>0</v>
      </c>
      <c r="AO4933">
        <v>0</v>
      </c>
      <c r="AP4933" s="2">
        <v>42746</v>
      </c>
      <c r="AQ4933" t="s">
        <v>72</v>
      </c>
      <c r="AR4933" t="s">
        <v>72</v>
      </c>
      <c r="AS4933">
        <v>419</v>
      </c>
      <c r="AT4933" s="4">
        <v>42416</v>
      </c>
      <c r="AU4933" t="s">
        <v>73</v>
      </c>
      <c r="AV4933">
        <v>419</v>
      </c>
      <c r="AW4933" s="4">
        <v>42416</v>
      </c>
      <c r="BD4933">
        <v>0</v>
      </c>
      <c r="BN4933" t="s">
        <v>74</v>
      </c>
    </row>
    <row r="4934" spans="1:66" hidden="1">
      <c r="A4934">
        <v>101809</v>
      </c>
      <c r="B4934" s="3" t="s">
        <v>525</v>
      </c>
      <c r="C4934" s="1">
        <v>43300101</v>
      </c>
      <c r="D4934" t="s">
        <v>67</v>
      </c>
      <c r="H4934" t="str">
        <f t="shared" si="531"/>
        <v>00967720285</v>
      </c>
      <c r="I4934" t="str">
        <f t="shared" si="532"/>
        <v>05724831002</v>
      </c>
      <c r="K4934" t="str">
        <f>""</f>
        <v/>
      </c>
      <c r="M4934" t="s">
        <v>68</v>
      </c>
      <c r="N4934" t="str">
        <f t="shared" si="530"/>
        <v>FOR</v>
      </c>
      <c r="O4934" t="s">
        <v>69</v>
      </c>
      <c r="P4934" s="3" t="s">
        <v>75</v>
      </c>
      <c r="Q4934">
        <v>2015</v>
      </c>
      <c r="R4934" s="2">
        <v>42277</v>
      </c>
      <c r="S4934" s="2">
        <v>42286</v>
      </c>
      <c r="T4934" s="2">
        <v>42285</v>
      </c>
      <c r="U4934" s="2">
        <v>42345</v>
      </c>
      <c r="V4934" t="s">
        <v>71</v>
      </c>
      <c r="W4934" t="str">
        <f>"          2015902431"</f>
        <v xml:space="preserve">          2015902431</v>
      </c>
      <c r="X4934" s="1">
        <v>6503.26</v>
      </c>
      <c r="Y4934">
        <v>0</v>
      </c>
      <c r="Z4934"/>
      <c r="AB4934"/>
      <c r="AC4934" s="1">
        <v>5330.54</v>
      </c>
      <c r="AD4934">
        <v>108</v>
      </c>
      <c r="AE4934" s="1">
        <v>575698.31999999995</v>
      </c>
      <c r="AF4934">
        <v>0</v>
      </c>
      <c r="AJ4934">
        <v>0</v>
      </c>
      <c r="AK4934">
        <v>0</v>
      </c>
      <c r="AL4934">
        <v>0</v>
      </c>
      <c r="AM4934">
        <v>0</v>
      </c>
      <c r="AN4934">
        <v>0</v>
      </c>
      <c r="AO4934">
        <v>0</v>
      </c>
      <c r="AP4934" s="2">
        <v>42746</v>
      </c>
      <c r="AQ4934" t="s">
        <v>72</v>
      </c>
      <c r="AR4934" t="s">
        <v>72</v>
      </c>
      <c r="AS4934">
        <v>850</v>
      </c>
      <c r="AT4934" s="4">
        <v>42453</v>
      </c>
      <c r="AU4934" t="s">
        <v>73</v>
      </c>
      <c r="AV4934">
        <v>850</v>
      </c>
      <c r="AW4934" s="4">
        <v>42453</v>
      </c>
      <c r="BD4934">
        <v>0</v>
      </c>
      <c r="BN4934" t="s">
        <v>74</v>
      </c>
    </row>
    <row r="4935" spans="1:66" hidden="1">
      <c r="A4935">
        <v>101809</v>
      </c>
      <c r="B4935" s="3" t="s">
        <v>525</v>
      </c>
      <c r="C4935" s="1">
        <v>43300101</v>
      </c>
      <c r="D4935" t="s">
        <v>67</v>
      </c>
      <c r="H4935" t="str">
        <f t="shared" si="531"/>
        <v>00967720285</v>
      </c>
      <c r="I4935" t="str">
        <f t="shared" si="532"/>
        <v>05724831002</v>
      </c>
      <c r="K4935" t="str">
        <f>""</f>
        <v/>
      </c>
      <c r="M4935" t="s">
        <v>68</v>
      </c>
      <c r="N4935" t="str">
        <f t="shared" si="530"/>
        <v>FOR</v>
      </c>
      <c r="O4935" t="s">
        <v>69</v>
      </c>
      <c r="P4935" s="3" t="s">
        <v>75</v>
      </c>
      <c r="Q4935">
        <v>2015</v>
      </c>
      <c r="R4935" s="2">
        <v>42308</v>
      </c>
      <c r="S4935" s="2">
        <v>42320</v>
      </c>
      <c r="T4935" s="2">
        <v>42318</v>
      </c>
      <c r="U4935" s="2">
        <v>42378</v>
      </c>
      <c r="V4935" t="s">
        <v>71</v>
      </c>
      <c r="W4935" t="str">
        <f>"          2015902926"</f>
        <v xml:space="preserve">          2015902926</v>
      </c>
      <c r="X4935" s="1">
        <v>6503.26</v>
      </c>
      <c r="Y4935">
        <v>0</v>
      </c>
      <c r="Z4935"/>
      <c r="AB4935"/>
      <c r="AC4935" s="1">
        <v>5330.54</v>
      </c>
      <c r="AD4935">
        <v>142</v>
      </c>
      <c r="AE4935" s="1">
        <v>756936.68</v>
      </c>
      <c r="AF4935">
        <v>0</v>
      </c>
      <c r="AJ4935">
        <v>0</v>
      </c>
      <c r="AK4935">
        <v>0</v>
      </c>
      <c r="AL4935">
        <v>0</v>
      </c>
      <c r="AM4935">
        <v>0</v>
      </c>
      <c r="AN4935">
        <v>0</v>
      </c>
      <c r="AO4935">
        <v>0</v>
      </c>
      <c r="AP4935" s="2">
        <v>42746</v>
      </c>
      <c r="AQ4935" t="s">
        <v>72</v>
      </c>
      <c r="AR4935" t="s">
        <v>72</v>
      </c>
      <c r="AS4935">
        <v>1453</v>
      </c>
      <c r="AT4935" s="4">
        <v>42520</v>
      </c>
      <c r="AU4935" t="s">
        <v>73</v>
      </c>
      <c r="AV4935">
        <v>1453</v>
      </c>
      <c r="AW4935" s="4">
        <v>42520</v>
      </c>
      <c r="BD4935">
        <v>0</v>
      </c>
      <c r="BN4935" t="s">
        <v>74</v>
      </c>
    </row>
    <row r="4936" spans="1:66" hidden="1">
      <c r="A4936">
        <v>101809</v>
      </c>
      <c r="B4936" s="3" t="s">
        <v>525</v>
      </c>
      <c r="C4936" s="1">
        <v>43300101</v>
      </c>
      <c r="D4936" t="s">
        <v>67</v>
      </c>
      <c r="H4936" t="str">
        <f t="shared" si="531"/>
        <v>00967720285</v>
      </c>
      <c r="I4936" t="str">
        <f t="shared" si="532"/>
        <v>05724831002</v>
      </c>
      <c r="K4936" t="str">
        <f>""</f>
        <v/>
      </c>
      <c r="M4936" t="s">
        <v>68</v>
      </c>
      <c r="N4936" t="str">
        <f t="shared" si="530"/>
        <v>FOR</v>
      </c>
      <c r="O4936" t="s">
        <v>69</v>
      </c>
      <c r="P4936" s="3" t="s">
        <v>75</v>
      </c>
      <c r="Q4936">
        <v>2015</v>
      </c>
      <c r="R4936" s="2">
        <v>42338</v>
      </c>
      <c r="S4936" s="2">
        <v>42352</v>
      </c>
      <c r="T4936" s="2">
        <v>42352</v>
      </c>
      <c r="U4936" s="2">
        <v>42412</v>
      </c>
      <c r="V4936" t="s">
        <v>71</v>
      </c>
      <c r="W4936" t="str">
        <f>"          2015903472"</f>
        <v xml:space="preserve">          2015903472</v>
      </c>
      <c r="X4936" s="1">
        <v>6503.26</v>
      </c>
      <c r="Y4936">
        <v>0</v>
      </c>
      <c r="Z4936"/>
      <c r="AB4936"/>
      <c r="AC4936" s="1">
        <v>5330.54</v>
      </c>
      <c r="AD4936">
        <v>108</v>
      </c>
      <c r="AE4936" s="1">
        <v>575698.31999999995</v>
      </c>
      <c r="AF4936">
        <v>0</v>
      </c>
      <c r="AJ4936">
        <v>0</v>
      </c>
      <c r="AK4936">
        <v>0</v>
      </c>
      <c r="AL4936">
        <v>0</v>
      </c>
      <c r="AM4936">
        <v>0</v>
      </c>
      <c r="AN4936">
        <v>0</v>
      </c>
      <c r="AO4936">
        <v>0</v>
      </c>
      <c r="AP4936" s="2">
        <v>42746</v>
      </c>
      <c r="AQ4936" t="s">
        <v>72</v>
      </c>
      <c r="AR4936" t="s">
        <v>72</v>
      </c>
      <c r="AS4936">
        <v>1453</v>
      </c>
      <c r="AT4936" s="4">
        <v>42520</v>
      </c>
      <c r="AU4936" t="s">
        <v>73</v>
      </c>
      <c r="AV4936">
        <v>1453</v>
      </c>
      <c r="AW4936" s="4">
        <v>42520</v>
      </c>
      <c r="BD4936">
        <v>0</v>
      </c>
      <c r="BN4936" t="s">
        <v>74</v>
      </c>
    </row>
    <row r="4937" spans="1:66" hidden="1">
      <c r="A4937">
        <v>101809</v>
      </c>
      <c r="B4937" s="3" t="s">
        <v>525</v>
      </c>
      <c r="C4937" s="1">
        <v>43300101</v>
      </c>
      <c r="D4937" t="s">
        <v>67</v>
      </c>
      <c r="H4937" t="str">
        <f t="shared" si="531"/>
        <v>00967720285</v>
      </c>
      <c r="I4937" t="str">
        <f t="shared" si="532"/>
        <v>05724831002</v>
      </c>
      <c r="K4937" t="str">
        <f>""</f>
        <v/>
      </c>
      <c r="M4937" t="s">
        <v>68</v>
      </c>
      <c r="N4937" t="str">
        <f t="shared" si="530"/>
        <v>FOR</v>
      </c>
      <c r="O4937" t="s">
        <v>69</v>
      </c>
      <c r="P4937" s="3" t="s">
        <v>75</v>
      </c>
      <c r="Q4937">
        <v>2015</v>
      </c>
      <c r="R4937" s="2">
        <v>42369</v>
      </c>
      <c r="S4937" s="2">
        <v>42369</v>
      </c>
      <c r="T4937" s="2">
        <v>42369</v>
      </c>
      <c r="U4937" s="2">
        <v>42429</v>
      </c>
      <c r="V4937" t="s">
        <v>71</v>
      </c>
      <c r="W4937" t="str">
        <f>"          2015903909"</f>
        <v xml:space="preserve">          2015903909</v>
      </c>
      <c r="X4937" s="1">
        <v>6503.26</v>
      </c>
      <c r="Y4937">
        <v>0</v>
      </c>
      <c r="Z4937"/>
      <c r="AB4937"/>
      <c r="AC4937" s="1">
        <v>5330.54</v>
      </c>
      <c r="AD4937">
        <v>147</v>
      </c>
      <c r="AE4937" s="1">
        <v>783589.38</v>
      </c>
      <c r="AF4937">
        <v>0</v>
      </c>
      <c r="AJ4937">
        <v>0</v>
      </c>
      <c r="AK4937">
        <v>0</v>
      </c>
      <c r="AL4937">
        <v>0</v>
      </c>
      <c r="AM4937">
        <v>0</v>
      </c>
      <c r="AN4937">
        <v>0</v>
      </c>
      <c r="AO4937">
        <v>0</v>
      </c>
      <c r="AP4937" s="2">
        <v>42746</v>
      </c>
      <c r="AQ4937" t="s">
        <v>72</v>
      </c>
      <c r="AR4937" t="s">
        <v>72</v>
      </c>
      <c r="AS4937">
        <v>1903</v>
      </c>
      <c r="AT4937" s="4">
        <v>42576</v>
      </c>
      <c r="AU4937" t="s">
        <v>73</v>
      </c>
      <c r="AV4937">
        <v>1903</v>
      </c>
      <c r="AW4937" s="4">
        <v>42576</v>
      </c>
      <c r="BD4937">
        <v>0</v>
      </c>
      <c r="BN4937" t="s">
        <v>74</v>
      </c>
    </row>
    <row r="4938" spans="1:66" hidden="1">
      <c r="A4938">
        <v>101809</v>
      </c>
      <c r="B4938" s="3" t="s">
        <v>525</v>
      </c>
      <c r="C4938" s="1">
        <v>43300101</v>
      </c>
      <c r="D4938" t="s">
        <v>67</v>
      </c>
      <c r="H4938" t="str">
        <f t="shared" si="531"/>
        <v>00967720285</v>
      </c>
      <c r="I4938" t="str">
        <f t="shared" si="532"/>
        <v>05724831002</v>
      </c>
      <c r="K4938" t="str">
        <f>""</f>
        <v/>
      </c>
      <c r="M4938" t="s">
        <v>68</v>
      </c>
      <c r="N4938" t="str">
        <f t="shared" si="530"/>
        <v>FOR</v>
      </c>
      <c r="O4938" t="s">
        <v>69</v>
      </c>
      <c r="P4938" s="3" t="s">
        <v>75</v>
      </c>
      <c r="Q4938">
        <v>2016</v>
      </c>
      <c r="R4938" s="2">
        <v>42429</v>
      </c>
      <c r="S4938" s="2">
        <v>42436</v>
      </c>
      <c r="T4938" s="2">
        <v>42433</v>
      </c>
      <c r="U4938" s="2">
        <v>42493</v>
      </c>
      <c r="V4938" t="s">
        <v>71</v>
      </c>
      <c r="W4938" t="str">
        <f>"          2016900659"</f>
        <v xml:space="preserve">          2016900659</v>
      </c>
      <c r="X4938" s="1">
        <v>6503.26</v>
      </c>
      <c r="Y4938">
        <v>0</v>
      </c>
      <c r="Z4938"/>
      <c r="AB4938"/>
      <c r="AC4938" s="1">
        <v>5330.54</v>
      </c>
      <c r="AD4938">
        <v>126</v>
      </c>
      <c r="AE4938" s="1">
        <v>671648.04</v>
      </c>
      <c r="AF4938">
        <v>0</v>
      </c>
      <c r="AJ4938">
        <v>0</v>
      </c>
      <c r="AK4938">
        <v>0</v>
      </c>
      <c r="AL4938">
        <v>0</v>
      </c>
      <c r="AM4938" s="1">
        <v>6503.26</v>
      </c>
      <c r="AN4938" s="1">
        <v>6503.26</v>
      </c>
      <c r="AO4938" s="1">
        <v>6503.26</v>
      </c>
      <c r="AP4938" s="2">
        <v>42746</v>
      </c>
      <c r="AQ4938" t="s">
        <v>72</v>
      </c>
      <c r="AR4938" t="s">
        <v>72</v>
      </c>
      <c r="AS4938">
        <v>2275</v>
      </c>
      <c r="AT4938" s="4">
        <v>42619</v>
      </c>
      <c r="AU4938" t="s">
        <v>73</v>
      </c>
      <c r="AV4938">
        <v>2275</v>
      </c>
      <c r="AW4938" s="4">
        <v>42619</v>
      </c>
      <c r="BD4938">
        <v>0</v>
      </c>
      <c r="BN4938" t="s">
        <v>74</v>
      </c>
    </row>
    <row r="4939" spans="1:66" hidden="1">
      <c r="A4939">
        <v>101809</v>
      </c>
      <c r="B4939" s="3" t="s">
        <v>525</v>
      </c>
      <c r="C4939" s="1">
        <v>43300101</v>
      </c>
      <c r="D4939" t="s">
        <v>67</v>
      </c>
      <c r="H4939" t="str">
        <f t="shared" si="531"/>
        <v>00967720285</v>
      </c>
      <c r="I4939" t="str">
        <f t="shared" si="532"/>
        <v>05724831002</v>
      </c>
      <c r="K4939" t="str">
        <f>""</f>
        <v/>
      </c>
      <c r="M4939" t="s">
        <v>68</v>
      </c>
      <c r="N4939" t="str">
        <f t="shared" si="530"/>
        <v>FOR</v>
      </c>
      <c r="O4939" t="s">
        <v>69</v>
      </c>
      <c r="P4939" s="3" t="s">
        <v>75</v>
      </c>
      <c r="Q4939">
        <v>2016</v>
      </c>
      <c r="R4939" s="2">
        <v>42429</v>
      </c>
      <c r="S4939" s="2">
        <v>42443</v>
      </c>
      <c r="T4939" s="2">
        <v>42441</v>
      </c>
      <c r="U4939" s="2">
        <v>42501</v>
      </c>
      <c r="V4939" t="s">
        <v>71</v>
      </c>
      <c r="W4939" t="str">
        <f>"          2016900699"</f>
        <v xml:space="preserve">          2016900699</v>
      </c>
      <c r="X4939" s="1">
        <v>6503.26</v>
      </c>
      <c r="Y4939">
        <v>0</v>
      </c>
      <c r="Z4939"/>
      <c r="AB4939"/>
      <c r="AC4939" s="1">
        <v>5330.54</v>
      </c>
      <c r="AD4939">
        <v>118</v>
      </c>
      <c r="AE4939" s="1">
        <v>629003.72</v>
      </c>
      <c r="AF4939">
        <v>0</v>
      </c>
      <c r="AJ4939">
        <v>0</v>
      </c>
      <c r="AK4939">
        <v>0</v>
      </c>
      <c r="AL4939">
        <v>0</v>
      </c>
      <c r="AM4939" s="1">
        <v>6503.26</v>
      </c>
      <c r="AN4939" s="1">
        <v>6503.26</v>
      </c>
      <c r="AO4939" s="1">
        <v>6503.26</v>
      </c>
      <c r="AP4939" s="2">
        <v>42746</v>
      </c>
      <c r="AQ4939" t="s">
        <v>72</v>
      </c>
      <c r="AR4939" t="s">
        <v>72</v>
      </c>
      <c r="AS4939">
        <v>2275</v>
      </c>
      <c r="AT4939" s="4">
        <v>42619</v>
      </c>
      <c r="AU4939" t="s">
        <v>73</v>
      </c>
      <c r="AV4939">
        <v>2275</v>
      </c>
      <c r="AW4939" s="4">
        <v>42619</v>
      </c>
      <c r="BD4939">
        <v>0</v>
      </c>
      <c r="BN4939" t="s">
        <v>74</v>
      </c>
    </row>
    <row r="4940" spans="1:66">
      <c r="A4940">
        <v>101809</v>
      </c>
      <c r="B4940" s="3" t="s">
        <v>525</v>
      </c>
      <c r="C4940" s="1">
        <v>43300101</v>
      </c>
      <c r="D4940" t="s">
        <v>67</v>
      </c>
      <c r="H4940" t="str">
        <f t="shared" si="531"/>
        <v>00967720285</v>
      </c>
      <c r="I4940" t="str">
        <f t="shared" si="532"/>
        <v>05724831002</v>
      </c>
      <c r="K4940" t="str">
        <f>""</f>
        <v/>
      </c>
      <c r="M4940" t="s">
        <v>68</v>
      </c>
      <c r="N4940" t="str">
        <f t="shared" si="530"/>
        <v>FOR</v>
      </c>
      <c r="O4940" t="s">
        <v>69</v>
      </c>
      <c r="P4940" s="3" t="s">
        <v>75</v>
      </c>
      <c r="Q4940">
        <v>2016</v>
      </c>
      <c r="R4940" s="2">
        <v>42460</v>
      </c>
      <c r="S4940" s="2">
        <v>42471</v>
      </c>
      <c r="T4940" s="2">
        <v>42471</v>
      </c>
      <c r="U4940" s="2">
        <v>42531</v>
      </c>
      <c r="V4940" t="s">
        <v>71</v>
      </c>
      <c r="W4940" t="str">
        <f>"          2016901020"</f>
        <v xml:space="preserve">          2016901020</v>
      </c>
      <c r="X4940" s="1">
        <v>6503.26</v>
      </c>
      <c r="Y4940">
        <v>0</v>
      </c>
      <c r="Z4940" s="5">
        <v>5330.54</v>
      </c>
      <c r="AA4940">
        <v>161</v>
      </c>
      <c r="AB4940" s="5">
        <v>858216.94</v>
      </c>
      <c r="AC4940" s="1">
        <v>5330.54</v>
      </c>
      <c r="AD4940">
        <v>161</v>
      </c>
      <c r="AE4940" s="1">
        <v>858216.94</v>
      </c>
      <c r="AF4940">
        <v>0</v>
      </c>
      <c r="AJ4940">
        <v>0</v>
      </c>
      <c r="AK4940">
        <v>0</v>
      </c>
      <c r="AL4940">
        <v>0</v>
      </c>
      <c r="AM4940" s="1">
        <v>6503.26</v>
      </c>
      <c r="AN4940" s="1">
        <v>6503.26</v>
      </c>
      <c r="AO4940" s="1">
        <v>6503.26</v>
      </c>
      <c r="AP4940" s="2">
        <v>42746</v>
      </c>
      <c r="AQ4940" t="s">
        <v>72</v>
      </c>
      <c r="AR4940" t="s">
        <v>72</v>
      </c>
      <c r="AS4940">
        <v>3174</v>
      </c>
      <c r="AT4940" s="4">
        <v>42692</v>
      </c>
      <c r="AU4940" t="s">
        <v>73</v>
      </c>
      <c r="AV4940">
        <v>3174</v>
      </c>
      <c r="AW4940" s="4">
        <v>42692</v>
      </c>
      <c r="BD4940">
        <v>0</v>
      </c>
      <c r="BN4940" t="s">
        <v>74</v>
      </c>
    </row>
    <row r="4941" spans="1:66">
      <c r="A4941">
        <v>101809</v>
      </c>
      <c r="B4941" s="3" t="s">
        <v>525</v>
      </c>
      <c r="C4941" s="1">
        <v>43300101</v>
      </c>
      <c r="D4941" t="s">
        <v>67</v>
      </c>
      <c r="H4941" t="str">
        <f t="shared" si="531"/>
        <v>00967720285</v>
      </c>
      <c r="I4941" t="str">
        <f t="shared" si="532"/>
        <v>05724831002</v>
      </c>
      <c r="K4941" t="str">
        <f>""</f>
        <v/>
      </c>
      <c r="M4941" t="s">
        <v>68</v>
      </c>
      <c r="N4941" t="str">
        <f t="shared" si="530"/>
        <v>FOR</v>
      </c>
      <c r="O4941" t="s">
        <v>69</v>
      </c>
      <c r="P4941" s="3" t="s">
        <v>75</v>
      </c>
      <c r="Q4941">
        <v>2016</v>
      </c>
      <c r="R4941" s="2">
        <v>42490</v>
      </c>
      <c r="S4941" s="2">
        <v>42502</v>
      </c>
      <c r="T4941" s="2">
        <v>42502</v>
      </c>
      <c r="U4941" s="2">
        <v>42562</v>
      </c>
      <c r="V4941" t="s">
        <v>71</v>
      </c>
      <c r="W4941" t="str">
        <f>"          2016901455"</f>
        <v xml:space="preserve">          2016901455</v>
      </c>
      <c r="X4941" s="1">
        <v>6503.26</v>
      </c>
      <c r="Y4941">
        <v>0</v>
      </c>
      <c r="Z4941" s="5">
        <v>5330.54</v>
      </c>
      <c r="AA4941">
        <v>130</v>
      </c>
      <c r="AB4941" s="5">
        <v>692970.2</v>
      </c>
      <c r="AC4941" s="1">
        <v>5330.54</v>
      </c>
      <c r="AD4941">
        <v>130</v>
      </c>
      <c r="AE4941" s="1">
        <v>692970.2</v>
      </c>
      <c r="AF4941">
        <v>0</v>
      </c>
      <c r="AJ4941">
        <v>0</v>
      </c>
      <c r="AK4941">
        <v>0</v>
      </c>
      <c r="AL4941">
        <v>0</v>
      </c>
      <c r="AM4941" s="1">
        <v>6503.26</v>
      </c>
      <c r="AN4941" s="1">
        <v>6503.26</v>
      </c>
      <c r="AO4941" s="1">
        <v>6503.26</v>
      </c>
      <c r="AP4941" s="2">
        <v>42746</v>
      </c>
      <c r="AQ4941" t="s">
        <v>72</v>
      </c>
      <c r="AR4941" t="s">
        <v>72</v>
      </c>
      <c r="AS4941">
        <v>3174</v>
      </c>
      <c r="AT4941" s="4">
        <v>42692</v>
      </c>
      <c r="AU4941" t="s">
        <v>73</v>
      </c>
      <c r="AV4941">
        <v>3174</v>
      </c>
      <c r="AW4941" s="4">
        <v>42692</v>
      </c>
      <c r="BD4941">
        <v>0</v>
      </c>
      <c r="BN4941" t="s">
        <v>74</v>
      </c>
    </row>
    <row r="4942" spans="1:66">
      <c r="A4942">
        <v>101809</v>
      </c>
      <c r="B4942" s="3" t="s">
        <v>525</v>
      </c>
      <c r="C4942" s="1">
        <v>43300101</v>
      </c>
      <c r="D4942" t="s">
        <v>67</v>
      </c>
      <c r="H4942" t="str">
        <f t="shared" si="531"/>
        <v>00967720285</v>
      </c>
      <c r="I4942" t="str">
        <f t="shared" si="532"/>
        <v>05724831002</v>
      </c>
      <c r="K4942" t="str">
        <f>""</f>
        <v/>
      </c>
      <c r="M4942" t="s">
        <v>68</v>
      </c>
      <c r="N4942" t="str">
        <f t="shared" si="530"/>
        <v>FOR</v>
      </c>
      <c r="O4942" t="s">
        <v>69</v>
      </c>
      <c r="P4942" s="3" t="s">
        <v>75</v>
      </c>
      <c r="Q4942">
        <v>2016</v>
      </c>
      <c r="R4942" s="2">
        <v>42521</v>
      </c>
      <c r="S4942" s="2">
        <v>42534</v>
      </c>
      <c r="T4942" s="2">
        <v>42531</v>
      </c>
      <c r="U4942" s="2">
        <v>42591</v>
      </c>
      <c r="V4942" t="s">
        <v>71</v>
      </c>
      <c r="W4942" t="str">
        <f>"          2016901868"</f>
        <v xml:space="preserve">          2016901868</v>
      </c>
      <c r="X4942" s="1">
        <v>6503.26</v>
      </c>
      <c r="Y4942">
        <v>0</v>
      </c>
      <c r="Z4942" s="5">
        <v>5330.54</v>
      </c>
      <c r="AA4942">
        <v>134</v>
      </c>
      <c r="AB4942" s="5">
        <v>714292.36</v>
      </c>
      <c r="AC4942" s="1">
        <v>5330.54</v>
      </c>
      <c r="AD4942">
        <v>134</v>
      </c>
      <c r="AE4942" s="1">
        <v>714292.36</v>
      </c>
      <c r="AF4942" s="1">
        <v>1172.72</v>
      </c>
      <c r="AJ4942">
        <v>0</v>
      </c>
      <c r="AK4942">
        <v>0</v>
      </c>
      <c r="AL4942">
        <v>0</v>
      </c>
      <c r="AM4942" s="1">
        <v>6503.26</v>
      </c>
      <c r="AN4942" s="1">
        <v>6503.26</v>
      </c>
      <c r="AO4942" s="1">
        <v>6503.26</v>
      </c>
      <c r="AP4942" s="2">
        <v>42746</v>
      </c>
      <c r="AQ4942" t="s">
        <v>72</v>
      </c>
      <c r="AR4942" t="s">
        <v>72</v>
      </c>
      <c r="AS4942">
        <v>3655</v>
      </c>
      <c r="AT4942" s="4">
        <v>42725</v>
      </c>
      <c r="AU4942" t="s">
        <v>73</v>
      </c>
      <c r="AV4942">
        <v>3655</v>
      </c>
      <c r="AW4942" s="4">
        <v>42725</v>
      </c>
      <c r="BB4942" s="1">
        <v>1172.72</v>
      </c>
      <c r="BD4942">
        <v>0</v>
      </c>
      <c r="BN4942" t="s">
        <v>74</v>
      </c>
    </row>
    <row r="4943" spans="1:66" hidden="1">
      <c r="A4943">
        <v>101810</v>
      </c>
      <c r="B4943" s="3" t="s">
        <v>526</v>
      </c>
      <c r="C4943" s="1">
        <v>43300101</v>
      </c>
      <c r="D4943" t="s">
        <v>67</v>
      </c>
      <c r="H4943" t="str">
        <f>"02722690647"</f>
        <v>02722690647</v>
      </c>
      <c r="I4943" t="str">
        <f>"02722690647"</f>
        <v>02722690647</v>
      </c>
      <c r="K4943" t="str">
        <f>""</f>
        <v/>
      </c>
      <c r="M4943" t="s">
        <v>68</v>
      </c>
      <c r="N4943" t="str">
        <f t="shared" si="530"/>
        <v>FOR</v>
      </c>
      <c r="O4943" t="s">
        <v>69</v>
      </c>
      <c r="P4943" s="3" t="s">
        <v>75</v>
      </c>
      <c r="Q4943">
        <v>2016</v>
      </c>
      <c r="R4943" s="2">
        <v>42404</v>
      </c>
      <c r="S4943" s="2">
        <v>42415</v>
      </c>
      <c r="T4943" s="2">
        <v>42413</v>
      </c>
      <c r="U4943" s="2">
        <v>42473</v>
      </c>
      <c r="V4943" t="s">
        <v>71</v>
      </c>
      <c r="W4943" t="str">
        <f>"                   6"</f>
        <v xml:space="preserve">                   6</v>
      </c>
      <c r="X4943" s="1">
        <v>5246</v>
      </c>
      <c r="Y4943">
        <v>0</v>
      </c>
      <c r="Z4943"/>
      <c r="AB4943"/>
      <c r="AC4943" s="1">
        <v>4300</v>
      </c>
      <c r="AD4943">
        <v>-20</v>
      </c>
      <c r="AE4943" s="1">
        <v>-86000</v>
      </c>
      <c r="AF4943">
        <v>0</v>
      </c>
      <c r="AJ4943">
        <v>0</v>
      </c>
      <c r="AK4943">
        <v>0</v>
      </c>
      <c r="AL4943">
        <v>0</v>
      </c>
      <c r="AM4943">
        <v>0</v>
      </c>
      <c r="AN4943" s="1">
        <v>5246</v>
      </c>
      <c r="AO4943" s="1">
        <v>5246</v>
      </c>
      <c r="AP4943" s="2">
        <v>42746</v>
      </c>
      <c r="AQ4943" t="s">
        <v>72</v>
      </c>
      <c r="AR4943" t="s">
        <v>72</v>
      </c>
      <c r="AS4943">
        <v>884</v>
      </c>
      <c r="AT4943" s="4">
        <v>42453</v>
      </c>
      <c r="AV4943">
        <v>884</v>
      </c>
      <c r="AW4943" s="4">
        <v>42453</v>
      </c>
      <c r="BD4943">
        <v>0</v>
      </c>
      <c r="BN4943" t="s">
        <v>74</v>
      </c>
    </row>
    <row r="4944" spans="1:66" hidden="1">
      <c r="A4944">
        <v>101812</v>
      </c>
      <c r="B4944" s="3" t="s">
        <v>527</v>
      </c>
      <c r="C4944" s="1">
        <v>43300101</v>
      </c>
      <c r="D4944" t="s">
        <v>67</v>
      </c>
      <c r="H4944" t="str">
        <f t="shared" ref="H4944:I4962" si="533">"02764431215"</f>
        <v>02764431215</v>
      </c>
      <c r="I4944" t="str">
        <f t="shared" si="533"/>
        <v>02764431215</v>
      </c>
      <c r="K4944" t="str">
        <f>""</f>
        <v/>
      </c>
      <c r="M4944" t="s">
        <v>68</v>
      </c>
      <c r="N4944" t="str">
        <f t="shared" si="530"/>
        <v>FOR</v>
      </c>
      <c r="O4944" t="s">
        <v>69</v>
      </c>
      <c r="P4944" s="3" t="s">
        <v>75</v>
      </c>
      <c r="Q4944">
        <v>2015</v>
      </c>
      <c r="R4944" s="2">
        <v>42110</v>
      </c>
      <c r="S4944" s="2">
        <v>42116</v>
      </c>
      <c r="T4944" s="2">
        <v>42113</v>
      </c>
      <c r="U4944" s="2">
        <v>42173</v>
      </c>
      <c r="V4944" t="s">
        <v>71</v>
      </c>
      <c r="W4944" t="str">
        <f>"                1/PA"</f>
        <v xml:space="preserve">                1/PA</v>
      </c>
      <c r="X4944" s="1">
        <v>14673.09</v>
      </c>
      <c r="Y4944">
        <v>0</v>
      </c>
      <c r="Z4944"/>
      <c r="AB4944"/>
      <c r="AC4944" s="1">
        <v>12027.12</v>
      </c>
      <c r="AD4944">
        <v>230</v>
      </c>
      <c r="AE4944" s="1">
        <v>2766237.6</v>
      </c>
      <c r="AF4944">
        <v>0</v>
      </c>
      <c r="AJ4944">
        <v>0</v>
      </c>
      <c r="AK4944">
        <v>0</v>
      </c>
      <c r="AL4944">
        <v>0</v>
      </c>
      <c r="AM4944">
        <v>0</v>
      </c>
      <c r="AN4944">
        <v>0</v>
      </c>
      <c r="AO4944">
        <v>0</v>
      </c>
      <c r="AP4944" s="2">
        <v>42746</v>
      </c>
      <c r="AQ4944" t="s">
        <v>72</v>
      </c>
      <c r="AR4944" t="s">
        <v>72</v>
      </c>
      <c r="AS4944">
        <v>238</v>
      </c>
      <c r="AT4944" s="4">
        <v>42403</v>
      </c>
      <c r="AU4944" t="s">
        <v>73</v>
      </c>
      <c r="AV4944">
        <v>238</v>
      </c>
      <c r="AW4944" s="4">
        <v>42403</v>
      </c>
      <c r="BD4944">
        <v>0</v>
      </c>
      <c r="BN4944" t="s">
        <v>74</v>
      </c>
    </row>
    <row r="4945" spans="1:66" hidden="1">
      <c r="A4945">
        <v>101812</v>
      </c>
      <c r="B4945" s="3" t="s">
        <v>527</v>
      </c>
      <c r="C4945" s="1">
        <v>43300101</v>
      </c>
      <c r="D4945" t="s">
        <v>67</v>
      </c>
      <c r="H4945" t="str">
        <f t="shared" si="533"/>
        <v>02764431215</v>
      </c>
      <c r="I4945" t="str">
        <f t="shared" si="533"/>
        <v>02764431215</v>
      </c>
      <c r="K4945" t="str">
        <f>""</f>
        <v/>
      </c>
      <c r="M4945" t="s">
        <v>68</v>
      </c>
      <c r="N4945" t="str">
        <f t="shared" si="530"/>
        <v>FOR</v>
      </c>
      <c r="O4945" t="s">
        <v>69</v>
      </c>
      <c r="P4945" s="3" t="s">
        <v>75</v>
      </c>
      <c r="Q4945">
        <v>2015</v>
      </c>
      <c r="R4945" s="2">
        <v>42123</v>
      </c>
      <c r="S4945" s="2">
        <v>42124</v>
      </c>
      <c r="T4945" s="2">
        <v>42123</v>
      </c>
      <c r="U4945" s="2">
        <v>42183</v>
      </c>
      <c r="V4945" t="s">
        <v>71</v>
      </c>
      <c r="W4945" t="str">
        <f>"                4/PA"</f>
        <v xml:space="preserve">                4/PA</v>
      </c>
      <c r="X4945" s="1">
        <v>10864.72</v>
      </c>
      <c r="Y4945">
        <v>0</v>
      </c>
      <c r="Z4945"/>
      <c r="AB4945"/>
      <c r="AC4945" s="1">
        <v>8905.51</v>
      </c>
      <c r="AD4945">
        <v>220</v>
      </c>
      <c r="AE4945" s="1">
        <v>1959212.2</v>
      </c>
      <c r="AF4945">
        <v>0</v>
      </c>
      <c r="AJ4945">
        <v>0</v>
      </c>
      <c r="AK4945">
        <v>0</v>
      </c>
      <c r="AL4945">
        <v>0</v>
      </c>
      <c r="AM4945">
        <v>0</v>
      </c>
      <c r="AN4945">
        <v>0</v>
      </c>
      <c r="AO4945">
        <v>0</v>
      </c>
      <c r="AP4945" s="2">
        <v>42746</v>
      </c>
      <c r="AQ4945" t="s">
        <v>72</v>
      </c>
      <c r="AR4945" t="s">
        <v>72</v>
      </c>
      <c r="AS4945">
        <v>238</v>
      </c>
      <c r="AT4945" s="4">
        <v>42403</v>
      </c>
      <c r="AU4945" t="s">
        <v>73</v>
      </c>
      <c r="AV4945">
        <v>238</v>
      </c>
      <c r="AW4945" s="4">
        <v>42403</v>
      </c>
      <c r="BD4945">
        <v>0</v>
      </c>
      <c r="BN4945" t="s">
        <v>74</v>
      </c>
    </row>
    <row r="4946" spans="1:66" hidden="1">
      <c r="A4946">
        <v>101812</v>
      </c>
      <c r="B4946" s="3" t="s">
        <v>527</v>
      </c>
      <c r="C4946" s="1">
        <v>43300101</v>
      </c>
      <c r="D4946" t="s">
        <v>67</v>
      </c>
      <c r="H4946" t="str">
        <f t="shared" si="533"/>
        <v>02764431215</v>
      </c>
      <c r="I4946" t="str">
        <f t="shared" si="533"/>
        <v>02764431215</v>
      </c>
      <c r="K4946" t="str">
        <f>""</f>
        <v/>
      </c>
      <c r="M4946" t="s">
        <v>68</v>
      </c>
      <c r="N4946" t="str">
        <f t="shared" si="530"/>
        <v>FOR</v>
      </c>
      <c r="O4946" t="s">
        <v>69</v>
      </c>
      <c r="P4946" s="3" t="s">
        <v>75</v>
      </c>
      <c r="Q4946">
        <v>2015</v>
      </c>
      <c r="R4946" s="2">
        <v>42124</v>
      </c>
      <c r="S4946" s="2">
        <v>42124</v>
      </c>
      <c r="T4946" s="2">
        <v>42124</v>
      </c>
      <c r="U4946" s="2">
        <v>42184</v>
      </c>
      <c r="V4946" t="s">
        <v>71</v>
      </c>
      <c r="W4946" t="str">
        <f>"                5/PA"</f>
        <v xml:space="preserve">                5/PA</v>
      </c>
      <c r="X4946" s="1">
        <v>53493.38</v>
      </c>
      <c r="Y4946">
        <v>0</v>
      </c>
      <c r="Z4946"/>
      <c r="AB4946"/>
      <c r="AC4946" s="1">
        <v>43847.03</v>
      </c>
      <c r="AD4946">
        <v>232</v>
      </c>
      <c r="AE4946" s="1">
        <v>10172510.960000001</v>
      </c>
      <c r="AF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 s="2">
        <v>42746</v>
      </c>
      <c r="AQ4946" t="s">
        <v>72</v>
      </c>
      <c r="AR4946" t="s">
        <v>72</v>
      </c>
      <c r="AS4946">
        <v>450</v>
      </c>
      <c r="AT4946" s="4">
        <v>42416</v>
      </c>
      <c r="AU4946" t="s">
        <v>73</v>
      </c>
      <c r="AV4946">
        <v>450</v>
      </c>
      <c r="AW4946" s="4">
        <v>42416</v>
      </c>
      <c r="BD4946">
        <v>0</v>
      </c>
      <c r="BN4946" t="s">
        <v>74</v>
      </c>
    </row>
    <row r="4947" spans="1:66" hidden="1">
      <c r="A4947">
        <v>101812</v>
      </c>
      <c r="B4947" s="3" t="s">
        <v>527</v>
      </c>
      <c r="C4947" s="1">
        <v>43300101</v>
      </c>
      <c r="D4947" t="s">
        <v>67</v>
      </c>
      <c r="H4947" t="str">
        <f t="shared" si="533"/>
        <v>02764431215</v>
      </c>
      <c r="I4947" t="str">
        <f t="shared" si="533"/>
        <v>02764431215</v>
      </c>
      <c r="K4947" t="str">
        <f>""</f>
        <v/>
      </c>
      <c r="M4947" t="s">
        <v>68</v>
      </c>
      <c r="N4947" t="str">
        <f t="shared" si="530"/>
        <v>FOR</v>
      </c>
      <c r="O4947" t="s">
        <v>69</v>
      </c>
      <c r="P4947" s="3" t="s">
        <v>75</v>
      </c>
      <c r="Q4947">
        <v>2015</v>
      </c>
      <c r="R4947" s="2">
        <v>42154</v>
      </c>
      <c r="S4947" s="2">
        <v>42166</v>
      </c>
      <c r="T4947" s="2">
        <v>42164</v>
      </c>
      <c r="U4947" s="2">
        <v>42224</v>
      </c>
      <c r="V4947" t="s">
        <v>71</v>
      </c>
      <c r="W4947" t="str">
        <f>"                7/PA"</f>
        <v xml:space="preserve">                7/PA</v>
      </c>
      <c r="X4947" s="1">
        <v>21498.400000000001</v>
      </c>
      <c r="Y4947">
        <v>0</v>
      </c>
      <c r="Z4947"/>
      <c r="AB4947"/>
      <c r="AC4947" s="1">
        <v>17621.64</v>
      </c>
      <c r="AD4947">
        <v>229</v>
      </c>
      <c r="AE4947" s="1">
        <v>4035355.56</v>
      </c>
      <c r="AF4947">
        <v>0</v>
      </c>
      <c r="AJ4947">
        <v>0</v>
      </c>
      <c r="AK4947">
        <v>0</v>
      </c>
      <c r="AL4947">
        <v>0</v>
      </c>
      <c r="AM4947">
        <v>0</v>
      </c>
      <c r="AN4947">
        <v>0</v>
      </c>
      <c r="AO4947">
        <v>0</v>
      </c>
      <c r="AP4947" s="2">
        <v>42746</v>
      </c>
      <c r="AQ4947" t="s">
        <v>72</v>
      </c>
      <c r="AR4947" t="s">
        <v>72</v>
      </c>
      <c r="AS4947">
        <v>862</v>
      </c>
      <c r="AT4947" s="4">
        <v>42453</v>
      </c>
      <c r="AU4947" t="s">
        <v>73</v>
      </c>
      <c r="AV4947">
        <v>862</v>
      </c>
      <c r="AW4947" s="4">
        <v>42453</v>
      </c>
      <c r="BD4947">
        <v>0</v>
      </c>
      <c r="BN4947" t="s">
        <v>74</v>
      </c>
    </row>
    <row r="4948" spans="1:66" hidden="1">
      <c r="A4948">
        <v>101812</v>
      </c>
      <c r="B4948" s="3" t="s">
        <v>527</v>
      </c>
      <c r="C4948" s="1">
        <v>43300101</v>
      </c>
      <c r="D4948" t="s">
        <v>67</v>
      </c>
      <c r="H4948" t="str">
        <f t="shared" si="533"/>
        <v>02764431215</v>
      </c>
      <c r="I4948" t="str">
        <f t="shared" si="533"/>
        <v>02764431215</v>
      </c>
      <c r="K4948" t="str">
        <f>""</f>
        <v/>
      </c>
      <c r="M4948" t="s">
        <v>68</v>
      </c>
      <c r="N4948" t="str">
        <f t="shared" si="530"/>
        <v>FOR</v>
      </c>
      <c r="O4948" t="s">
        <v>69</v>
      </c>
      <c r="P4948" s="3" t="s">
        <v>75</v>
      </c>
      <c r="Q4948">
        <v>2015</v>
      </c>
      <c r="R4948" s="2">
        <v>42185</v>
      </c>
      <c r="S4948" s="2">
        <v>42188</v>
      </c>
      <c r="T4948" s="2">
        <v>42187</v>
      </c>
      <c r="U4948" s="2">
        <v>42247</v>
      </c>
      <c r="V4948" t="s">
        <v>71</v>
      </c>
      <c r="W4948" t="str">
        <f>"                8/PA"</f>
        <v xml:space="preserve">                8/PA</v>
      </c>
      <c r="X4948" s="1">
        <v>53493.38</v>
      </c>
      <c r="Y4948">
        <v>0</v>
      </c>
      <c r="Z4948"/>
      <c r="AB4948"/>
      <c r="AC4948" s="1">
        <v>43847.03</v>
      </c>
      <c r="AD4948">
        <v>245</v>
      </c>
      <c r="AE4948" s="1">
        <v>10742522.35</v>
      </c>
      <c r="AF4948">
        <v>0</v>
      </c>
      <c r="AJ4948">
        <v>0</v>
      </c>
      <c r="AK4948">
        <v>0</v>
      </c>
      <c r="AL4948">
        <v>0</v>
      </c>
      <c r="AM4948">
        <v>0</v>
      </c>
      <c r="AN4948">
        <v>0</v>
      </c>
      <c r="AO4948">
        <v>0</v>
      </c>
      <c r="AP4948" s="2">
        <v>42746</v>
      </c>
      <c r="AQ4948" t="s">
        <v>72</v>
      </c>
      <c r="AR4948" t="s">
        <v>72</v>
      </c>
      <c r="AS4948">
        <v>1230</v>
      </c>
      <c r="AT4948" s="4">
        <v>42492</v>
      </c>
      <c r="AU4948" t="s">
        <v>73</v>
      </c>
      <c r="AV4948">
        <v>1230</v>
      </c>
      <c r="AW4948" s="4">
        <v>42492</v>
      </c>
      <c r="BD4948">
        <v>0</v>
      </c>
      <c r="BN4948" t="s">
        <v>74</v>
      </c>
    </row>
    <row r="4949" spans="1:66" hidden="1">
      <c r="A4949">
        <v>101812</v>
      </c>
      <c r="B4949" s="3" t="s">
        <v>527</v>
      </c>
      <c r="C4949" s="1">
        <v>43300101</v>
      </c>
      <c r="D4949" t="s">
        <v>67</v>
      </c>
      <c r="H4949" t="str">
        <f t="shared" si="533"/>
        <v>02764431215</v>
      </c>
      <c r="I4949" t="str">
        <f t="shared" si="533"/>
        <v>02764431215</v>
      </c>
      <c r="K4949" t="str">
        <f>""</f>
        <v/>
      </c>
      <c r="M4949" t="s">
        <v>68</v>
      </c>
      <c r="N4949" t="str">
        <f t="shared" si="530"/>
        <v>FOR</v>
      </c>
      <c r="O4949" t="s">
        <v>69</v>
      </c>
      <c r="P4949" s="3" t="s">
        <v>75</v>
      </c>
      <c r="Q4949">
        <v>2015</v>
      </c>
      <c r="R4949" s="2">
        <v>42201</v>
      </c>
      <c r="S4949" s="2">
        <v>42202</v>
      </c>
      <c r="T4949" s="2">
        <v>42201</v>
      </c>
      <c r="U4949" s="2">
        <v>42261</v>
      </c>
      <c r="V4949" t="s">
        <v>71</v>
      </c>
      <c r="W4949" t="str">
        <f>"               11/PA"</f>
        <v xml:space="preserve">               11/PA</v>
      </c>
      <c r="X4949" s="1">
        <v>3436.18</v>
      </c>
      <c r="Y4949">
        <v>0</v>
      </c>
      <c r="Z4949"/>
      <c r="AB4949"/>
      <c r="AC4949" s="1">
        <v>2816.54</v>
      </c>
      <c r="AD4949">
        <v>239</v>
      </c>
      <c r="AE4949" s="1">
        <v>673153.06</v>
      </c>
      <c r="AF4949">
        <v>0</v>
      </c>
      <c r="AJ4949">
        <v>0</v>
      </c>
      <c r="AK4949">
        <v>0</v>
      </c>
      <c r="AL4949">
        <v>0</v>
      </c>
      <c r="AM4949">
        <v>0</v>
      </c>
      <c r="AN4949">
        <v>0</v>
      </c>
      <c r="AO4949">
        <v>0</v>
      </c>
      <c r="AP4949" s="2">
        <v>42746</v>
      </c>
      <c r="AQ4949" t="s">
        <v>72</v>
      </c>
      <c r="AR4949" t="s">
        <v>72</v>
      </c>
      <c r="AS4949">
        <v>1276</v>
      </c>
      <c r="AT4949" s="4">
        <v>42500</v>
      </c>
      <c r="AU4949" t="s">
        <v>73</v>
      </c>
      <c r="AV4949">
        <v>1276</v>
      </c>
      <c r="AW4949" s="4">
        <v>42500</v>
      </c>
      <c r="BD4949">
        <v>0</v>
      </c>
      <c r="BN4949" t="s">
        <v>74</v>
      </c>
    </row>
    <row r="4950" spans="1:66" hidden="1">
      <c r="A4950">
        <v>101812</v>
      </c>
      <c r="B4950" s="3" t="s">
        <v>527</v>
      </c>
      <c r="C4950" s="1">
        <v>43300101</v>
      </c>
      <c r="D4950" t="s">
        <v>67</v>
      </c>
      <c r="H4950" t="str">
        <f t="shared" si="533"/>
        <v>02764431215</v>
      </c>
      <c r="I4950" t="str">
        <f t="shared" si="533"/>
        <v>02764431215</v>
      </c>
      <c r="K4950" t="str">
        <f>""</f>
        <v/>
      </c>
      <c r="M4950" t="s">
        <v>68</v>
      </c>
      <c r="N4950" t="str">
        <f t="shared" si="530"/>
        <v>FOR</v>
      </c>
      <c r="O4950" t="s">
        <v>69</v>
      </c>
      <c r="P4950" s="3" t="s">
        <v>75</v>
      </c>
      <c r="Q4950">
        <v>2015</v>
      </c>
      <c r="R4950" s="2">
        <v>42235</v>
      </c>
      <c r="S4950" s="2">
        <v>42236</v>
      </c>
      <c r="T4950" s="2">
        <v>42235</v>
      </c>
      <c r="U4950" s="2">
        <v>42295</v>
      </c>
      <c r="V4950" t="s">
        <v>71</v>
      </c>
      <c r="W4950" t="str">
        <f>"               14/PA"</f>
        <v xml:space="preserve">               14/PA</v>
      </c>
      <c r="X4950" s="1">
        <v>21201.95</v>
      </c>
      <c r="Y4950">
        <v>0</v>
      </c>
      <c r="Z4950"/>
      <c r="AB4950"/>
      <c r="AC4950" s="1">
        <v>17378.650000000001</v>
      </c>
      <c r="AD4950">
        <v>205</v>
      </c>
      <c r="AE4950" s="1">
        <v>3562623.25</v>
      </c>
      <c r="AF4950">
        <v>0</v>
      </c>
      <c r="AJ4950">
        <v>0</v>
      </c>
      <c r="AK4950">
        <v>0</v>
      </c>
      <c r="AL4950">
        <v>0</v>
      </c>
      <c r="AM4950">
        <v>0</v>
      </c>
      <c r="AN4950">
        <v>0</v>
      </c>
      <c r="AO4950">
        <v>0</v>
      </c>
      <c r="AP4950" s="2">
        <v>42746</v>
      </c>
      <c r="AQ4950" t="s">
        <v>72</v>
      </c>
      <c r="AR4950" t="s">
        <v>72</v>
      </c>
      <c r="AS4950">
        <v>1276</v>
      </c>
      <c r="AT4950" s="4">
        <v>42500</v>
      </c>
      <c r="AU4950" t="s">
        <v>73</v>
      </c>
      <c r="AV4950">
        <v>1276</v>
      </c>
      <c r="AW4950" s="4">
        <v>42500</v>
      </c>
      <c r="BD4950">
        <v>0</v>
      </c>
      <c r="BN4950" t="s">
        <v>74</v>
      </c>
    </row>
    <row r="4951" spans="1:66" hidden="1">
      <c r="A4951">
        <v>101812</v>
      </c>
      <c r="B4951" s="3" t="s">
        <v>527</v>
      </c>
      <c r="C4951" s="1">
        <v>43300101</v>
      </c>
      <c r="D4951" t="s">
        <v>67</v>
      </c>
      <c r="H4951" t="str">
        <f t="shared" si="533"/>
        <v>02764431215</v>
      </c>
      <c r="I4951" t="str">
        <f t="shared" si="533"/>
        <v>02764431215</v>
      </c>
      <c r="K4951" t="str">
        <f>""</f>
        <v/>
      </c>
      <c r="M4951" t="s">
        <v>68</v>
      </c>
      <c r="N4951" t="str">
        <f t="shared" si="530"/>
        <v>FOR</v>
      </c>
      <c r="O4951" t="s">
        <v>69</v>
      </c>
      <c r="P4951" s="3" t="s">
        <v>70</v>
      </c>
      <c r="Q4951">
        <v>2015</v>
      </c>
      <c r="R4951" s="2">
        <v>42247</v>
      </c>
      <c r="S4951" s="2">
        <v>42248</v>
      </c>
      <c r="T4951" s="2">
        <v>42248</v>
      </c>
      <c r="U4951" s="2">
        <v>42308</v>
      </c>
      <c r="V4951" t="s">
        <v>71</v>
      </c>
      <c r="W4951" t="str">
        <f>"               15/PA"</f>
        <v xml:space="preserve">               15/PA</v>
      </c>
      <c r="X4951" s="1">
        <v>53493.38</v>
      </c>
      <c r="Y4951">
        <v>0</v>
      </c>
      <c r="Z4951"/>
      <c r="AB4951"/>
      <c r="AC4951" s="1">
        <v>43847.03</v>
      </c>
      <c r="AD4951">
        <v>220</v>
      </c>
      <c r="AE4951" s="1">
        <v>9646346.5999999996</v>
      </c>
      <c r="AF4951">
        <v>0</v>
      </c>
      <c r="AJ4951">
        <v>0</v>
      </c>
      <c r="AK4951">
        <v>0</v>
      </c>
      <c r="AL4951">
        <v>0</v>
      </c>
      <c r="AM4951">
        <v>0</v>
      </c>
      <c r="AN4951">
        <v>0</v>
      </c>
      <c r="AO4951">
        <v>0</v>
      </c>
      <c r="AP4951" s="2">
        <v>42746</v>
      </c>
      <c r="AQ4951" t="s">
        <v>72</v>
      </c>
      <c r="AR4951" t="s">
        <v>72</v>
      </c>
      <c r="AS4951">
        <v>1559</v>
      </c>
      <c r="AT4951" s="4">
        <v>42528</v>
      </c>
      <c r="AU4951" t="s">
        <v>73</v>
      </c>
      <c r="AV4951">
        <v>1559</v>
      </c>
      <c r="AW4951" s="4">
        <v>42528</v>
      </c>
      <c r="BD4951">
        <v>0</v>
      </c>
      <c r="BN4951" t="s">
        <v>74</v>
      </c>
    </row>
    <row r="4952" spans="1:66" hidden="1">
      <c r="A4952">
        <v>101812</v>
      </c>
      <c r="B4952" s="3" t="s">
        <v>527</v>
      </c>
      <c r="C4952" s="1">
        <v>43300101</v>
      </c>
      <c r="D4952" t="s">
        <v>67</v>
      </c>
      <c r="H4952" t="str">
        <f t="shared" si="533"/>
        <v>02764431215</v>
      </c>
      <c r="I4952" t="str">
        <f t="shared" si="533"/>
        <v>02764431215</v>
      </c>
      <c r="K4952" t="str">
        <f>""</f>
        <v/>
      </c>
      <c r="M4952" t="s">
        <v>68</v>
      </c>
      <c r="N4952" t="str">
        <f t="shared" si="530"/>
        <v>FOR</v>
      </c>
      <c r="O4952" t="s">
        <v>69</v>
      </c>
      <c r="P4952" s="3" t="s">
        <v>75</v>
      </c>
      <c r="Q4952">
        <v>2015</v>
      </c>
      <c r="R4952" s="2">
        <v>42276</v>
      </c>
      <c r="S4952" s="2">
        <v>42277</v>
      </c>
      <c r="T4952" s="2">
        <v>42276</v>
      </c>
      <c r="U4952" s="2">
        <v>42336</v>
      </c>
      <c r="V4952" t="s">
        <v>71</v>
      </c>
      <c r="W4952" t="str">
        <f>"               19/PA"</f>
        <v xml:space="preserve">               19/PA</v>
      </c>
      <c r="X4952" s="1">
        <v>36773.230000000003</v>
      </c>
      <c r="Y4952">
        <v>0</v>
      </c>
      <c r="Z4952"/>
      <c r="AB4952"/>
      <c r="AC4952" s="1">
        <v>30141.99</v>
      </c>
      <c r="AD4952">
        <v>241</v>
      </c>
      <c r="AE4952" s="1">
        <v>7264219.5899999999</v>
      </c>
      <c r="AF4952">
        <v>0</v>
      </c>
      <c r="AJ4952">
        <v>0</v>
      </c>
      <c r="AK4952">
        <v>0</v>
      </c>
      <c r="AL4952">
        <v>0</v>
      </c>
      <c r="AM4952">
        <v>0</v>
      </c>
      <c r="AN4952">
        <v>0</v>
      </c>
      <c r="AO4952">
        <v>0</v>
      </c>
      <c r="AP4952" s="2">
        <v>42746</v>
      </c>
      <c r="AQ4952" t="s">
        <v>72</v>
      </c>
      <c r="AR4952" t="s">
        <v>72</v>
      </c>
      <c r="AS4952">
        <v>1923</v>
      </c>
      <c r="AT4952" s="4">
        <v>42577</v>
      </c>
      <c r="AU4952" t="s">
        <v>73</v>
      </c>
      <c r="AV4952">
        <v>1923</v>
      </c>
      <c r="AW4952" s="4">
        <v>42577</v>
      </c>
      <c r="BD4952">
        <v>0</v>
      </c>
      <c r="BN4952" t="s">
        <v>74</v>
      </c>
    </row>
    <row r="4953" spans="1:66" hidden="1">
      <c r="A4953">
        <v>101812</v>
      </c>
      <c r="B4953" s="3" t="s">
        <v>527</v>
      </c>
      <c r="C4953" s="1">
        <v>43300101</v>
      </c>
      <c r="D4953" t="s">
        <v>67</v>
      </c>
      <c r="H4953" t="str">
        <f t="shared" si="533"/>
        <v>02764431215</v>
      </c>
      <c r="I4953" t="str">
        <f t="shared" si="533"/>
        <v>02764431215</v>
      </c>
      <c r="K4953" t="str">
        <f>""</f>
        <v/>
      </c>
      <c r="M4953" t="s">
        <v>68</v>
      </c>
      <c r="N4953" t="str">
        <f t="shared" si="530"/>
        <v>FOR</v>
      </c>
      <c r="O4953" t="s">
        <v>69</v>
      </c>
      <c r="P4953" s="3" t="s">
        <v>75</v>
      </c>
      <c r="Q4953">
        <v>2015</v>
      </c>
      <c r="R4953" s="2">
        <v>42312</v>
      </c>
      <c r="S4953" s="2">
        <v>42313</v>
      </c>
      <c r="T4953" s="2">
        <v>42313</v>
      </c>
      <c r="U4953" s="2">
        <v>42373</v>
      </c>
      <c r="V4953" t="s">
        <v>71</v>
      </c>
      <c r="W4953" t="str">
        <f>"               22/PA"</f>
        <v xml:space="preserve">               22/PA</v>
      </c>
      <c r="X4953" s="1">
        <v>11784.3</v>
      </c>
      <c r="Y4953">
        <v>0</v>
      </c>
      <c r="Z4953"/>
      <c r="AB4953"/>
      <c r="AC4953" s="1">
        <v>9659.26</v>
      </c>
      <c r="AD4953">
        <v>205</v>
      </c>
      <c r="AE4953" s="1">
        <v>1980148.3</v>
      </c>
      <c r="AF4953">
        <v>0</v>
      </c>
      <c r="AJ4953">
        <v>0</v>
      </c>
      <c r="AK4953">
        <v>0</v>
      </c>
      <c r="AL4953">
        <v>0</v>
      </c>
      <c r="AM4953">
        <v>0</v>
      </c>
      <c r="AN4953">
        <v>0</v>
      </c>
      <c r="AO4953">
        <v>0</v>
      </c>
      <c r="AP4953" s="2">
        <v>42746</v>
      </c>
      <c r="AQ4953" t="s">
        <v>72</v>
      </c>
      <c r="AR4953" t="s">
        <v>72</v>
      </c>
      <c r="AS4953">
        <v>1978</v>
      </c>
      <c r="AT4953" s="4">
        <v>42578</v>
      </c>
      <c r="AU4953" t="s">
        <v>73</v>
      </c>
      <c r="AV4953">
        <v>1978</v>
      </c>
      <c r="AW4953" s="4">
        <v>42578</v>
      </c>
      <c r="BD4953">
        <v>0</v>
      </c>
      <c r="BN4953" t="s">
        <v>74</v>
      </c>
    </row>
    <row r="4954" spans="1:66" hidden="1">
      <c r="A4954">
        <v>101812</v>
      </c>
      <c r="B4954" s="3" t="s">
        <v>527</v>
      </c>
      <c r="C4954" s="1">
        <v>43300101</v>
      </c>
      <c r="D4954" t="s">
        <v>67</v>
      </c>
      <c r="H4954" t="str">
        <f t="shared" si="533"/>
        <v>02764431215</v>
      </c>
      <c r="I4954" t="str">
        <f t="shared" si="533"/>
        <v>02764431215</v>
      </c>
      <c r="K4954" t="str">
        <f>""</f>
        <v/>
      </c>
      <c r="M4954" t="s">
        <v>68</v>
      </c>
      <c r="N4954" t="str">
        <f t="shared" si="530"/>
        <v>FOR</v>
      </c>
      <c r="O4954" t="s">
        <v>69</v>
      </c>
      <c r="P4954" s="3" t="s">
        <v>70</v>
      </c>
      <c r="Q4954">
        <v>2015</v>
      </c>
      <c r="R4954" s="2">
        <v>42333</v>
      </c>
      <c r="S4954" s="2">
        <v>42334</v>
      </c>
      <c r="T4954" s="2">
        <v>42334</v>
      </c>
      <c r="U4954" s="2">
        <v>42394</v>
      </c>
      <c r="V4954" t="s">
        <v>71</v>
      </c>
      <c r="W4954" t="str">
        <f>"               23/PA"</f>
        <v xml:space="preserve">               23/PA</v>
      </c>
      <c r="X4954" s="1">
        <v>53493.38</v>
      </c>
      <c r="Y4954">
        <v>0</v>
      </c>
      <c r="Z4954"/>
      <c r="AB4954"/>
      <c r="AC4954" s="1">
        <v>43847.03</v>
      </c>
      <c r="AD4954">
        <v>226</v>
      </c>
      <c r="AE4954" s="1">
        <v>9909428.7799999993</v>
      </c>
      <c r="AF4954">
        <v>0</v>
      </c>
      <c r="AJ4954">
        <v>0</v>
      </c>
      <c r="AK4954">
        <v>0</v>
      </c>
      <c r="AL4954">
        <v>0</v>
      </c>
      <c r="AM4954">
        <v>0</v>
      </c>
      <c r="AN4954">
        <v>0</v>
      </c>
      <c r="AO4954">
        <v>0</v>
      </c>
      <c r="AP4954" s="2">
        <v>42746</v>
      </c>
      <c r="AQ4954" t="s">
        <v>72</v>
      </c>
      <c r="AR4954" t="s">
        <v>72</v>
      </c>
      <c r="AS4954">
        <v>2315</v>
      </c>
      <c r="AT4954" s="4">
        <v>42620</v>
      </c>
      <c r="AU4954" t="s">
        <v>73</v>
      </c>
      <c r="AV4954">
        <v>2315</v>
      </c>
      <c r="AW4954" s="4">
        <v>42620</v>
      </c>
      <c r="BD4954">
        <v>0</v>
      </c>
      <c r="BN4954" t="s">
        <v>74</v>
      </c>
    </row>
    <row r="4955" spans="1:66">
      <c r="A4955">
        <v>101812</v>
      </c>
      <c r="B4955" s="3" t="s">
        <v>527</v>
      </c>
      <c r="C4955" s="1">
        <v>43300101</v>
      </c>
      <c r="D4955" t="s">
        <v>67</v>
      </c>
      <c r="H4955" t="str">
        <f t="shared" si="533"/>
        <v>02764431215</v>
      </c>
      <c r="I4955" t="str">
        <f t="shared" si="533"/>
        <v>02764431215</v>
      </c>
      <c r="K4955" t="str">
        <f>""</f>
        <v/>
      </c>
      <c r="M4955" t="s">
        <v>68</v>
      </c>
      <c r="N4955" t="str">
        <f t="shared" si="530"/>
        <v>FOR</v>
      </c>
      <c r="O4955" t="s">
        <v>69</v>
      </c>
      <c r="P4955" s="3" t="s">
        <v>75</v>
      </c>
      <c r="Q4955">
        <v>2015</v>
      </c>
      <c r="R4955" s="2">
        <v>42348</v>
      </c>
      <c r="S4955" s="2">
        <v>42352</v>
      </c>
      <c r="T4955" s="2">
        <v>42348</v>
      </c>
      <c r="U4955" s="2">
        <v>42408</v>
      </c>
      <c r="V4955" t="s">
        <v>71</v>
      </c>
      <c r="W4955" t="str">
        <f>"               24/PA"</f>
        <v xml:space="preserve">               24/PA</v>
      </c>
      <c r="X4955" s="1">
        <v>25737.21</v>
      </c>
      <c r="Y4955">
        <v>0</v>
      </c>
      <c r="Z4955" s="5">
        <v>21096.07</v>
      </c>
      <c r="AA4955">
        <v>239</v>
      </c>
      <c r="AB4955" s="5">
        <v>5041960.7300000004</v>
      </c>
      <c r="AC4955" s="1">
        <v>21096.07</v>
      </c>
      <c r="AD4955">
        <v>239</v>
      </c>
      <c r="AE4955" s="1">
        <v>5041960.7300000004</v>
      </c>
      <c r="AF4955">
        <v>0</v>
      </c>
      <c r="AJ4955">
        <v>0</v>
      </c>
      <c r="AK4955">
        <v>0</v>
      </c>
      <c r="AL4955">
        <v>0</v>
      </c>
      <c r="AM4955">
        <v>0</v>
      </c>
      <c r="AN4955">
        <v>0</v>
      </c>
      <c r="AO4955">
        <v>0</v>
      </c>
      <c r="AP4955" s="2">
        <v>42746</v>
      </c>
      <c r="AQ4955" t="s">
        <v>72</v>
      </c>
      <c r="AR4955" t="s">
        <v>72</v>
      </c>
      <c r="AS4955">
        <v>2627</v>
      </c>
      <c r="AT4955" s="4">
        <v>42647</v>
      </c>
      <c r="AU4955" t="s">
        <v>73</v>
      </c>
      <c r="AV4955">
        <v>2627</v>
      </c>
      <c r="AW4955" s="4">
        <v>42647</v>
      </c>
      <c r="BD4955">
        <v>0</v>
      </c>
      <c r="BN4955" t="s">
        <v>74</v>
      </c>
    </row>
    <row r="4956" spans="1:66">
      <c r="A4956">
        <v>101812</v>
      </c>
      <c r="B4956" s="3" t="s">
        <v>527</v>
      </c>
      <c r="C4956" s="1">
        <v>43300101</v>
      </c>
      <c r="D4956" t="s">
        <v>67</v>
      </c>
      <c r="H4956" t="str">
        <f t="shared" si="533"/>
        <v>02764431215</v>
      </c>
      <c r="I4956" t="str">
        <f t="shared" si="533"/>
        <v>02764431215</v>
      </c>
      <c r="K4956" t="str">
        <f>""</f>
        <v/>
      </c>
      <c r="M4956" t="s">
        <v>68</v>
      </c>
      <c r="N4956" t="str">
        <f t="shared" si="530"/>
        <v>FOR</v>
      </c>
      <c r="O4956" t="s">
        <v>69</v>
      </c>
      <c r="P4956" s="3" t="s">
        <v>70</v>
      </c>
      <c r="Q4956">
        <v>2016</v>
      </c>
      <c r="R4956" s="2">
        <v>42380</v>
      </c>
      <c r="S4956" s="2">
        <v>42382</v>
      </c>
      <c r="T4956" s="2">
        <v>42382</v>
      </c>
      <c r="U4956" s="2">
        <v>42442</v>
      </c>
      <c r="V4956" t="s">
        <v>71</v>
      </c>
      <c r="W4956" t="str">
        <f>"                1/PA"</f>
        <v xml:space="preserve">                1/PA</v>
      </c>
      <c r="X4956" s="1">
        <v>53493.38</v>
      </c>
      <c r="Y4956">
        <v>0</v>
      </c>
      <c r="Z4956" s="5">
        <v>43847.03</v>
      </c>
      <c r="AA4956">
        <v>206</v>
      </c>
      <c r="AB4956" s="5">
        <v>9032488.1799999997</v>
      </c>
      <c r="AC4956" s="1">
        <v>43847.03</v>
      </c>
      <c r="AD4956">
        <v>206</v>
      </c>
      <c r="AE4956" s="1">
        <v>9032488.1799999997</v>
      </c>
      <c r="AF4956">
        <v>0</v>
      </c>
      <c r="AJ4956">
        <v>0</v>
      </c>
      <c r="AK4956">
        <v>0</v>
      </c>
      <c r="AL4956">
        <v>0</v>
      </c>
      <c r="AM4956">
        <v>0</v>
      </c>
      <c r="AN4956" s="1">
        <v>53493.38</v>
      </c>
      <c r="AO4956" s="1">
        <v>53493.38</v>
      </c>
      <c r="AP4956" s="2">
        <v>42746</v>
      </c>
      <c r="AQ4956" t="s">
        <v>72</v>
      </c>
      <c r="AR4956" t="s">
        <v>72</v>
      </c>
      <c r="AS4956">
        <v>2702</v>
      </c>
      <c r="AT4956" s="4">
        <v>42648</v>
      </c>
      <c r="AU4956" t="s">
        <v>73</v>
      </c>
      <c r="AV4956">
        <v>2702</v>
      </c>
      <c r="AW4956" s="4">
        <v>42648</v>
      </c>
      <c r="BD4956">
        <v>0</v>
      </c>
      <c r="BN4956" t="s">
        <v>74</v>
      </c>
    </row>
    <row r="4957" spans="1:66">
      <c r="A4957">
        <v>101812</v>
      </c>
      <c r="B4957" s="3" t="s">
        <v>527</v>
      </c>
      <c r="C4957" s="1">
        <v>43300101</v>
      </c>
      <c r="D4957" t="s">
        <v>67</v>
      </c>
      <c r="H4957" t="str">
        <f t="shared" si="533"/>
        <v>02764431215</v>
      </c>
      <c r="I4957" t="str">
        <f t="shared" si="533"/>
        <v>02764431215</v>
      </c>
      <c r="K4957" t="str">
        <f>""</f>
        <v/>
      </c>
      <c r="M4957" t="s">
        <v>68</v>
      </c>
      <c r="N4957" t="str">
        <f t="shared" si="530"/>
        <v>FOR</v>
      </c>
      <c r="O4957" t="s">
        <v>69</v>
      </c>
      <c r="P4957" s="3" t="s">
        <v>75</v>
      </c>
      <c r="Q4957">
        <v>2016</v>
      </c>
      <c r="R4957" s="2">
        <v>42399</v>
      </c>
      <c r="S4957" s="2">
        <v>42404</v>
      </c>
      <c r="T4957" s="2">
        <v>42402</v>
      </c>
      <c r="U4957" s="2">
        <v>42462</v>
      </c>
      <c r="V4957" t="s">
        <v>71</v>
      </c>
      <c r="W4957" t="str">
        <f>"                5/PA"</f>
        <v xml:space="preserve">                5/PA</v>
      </c>
      <c r="X4957" s="1">
        <v>27403.360000000001</v>
      </c>
      <c r="Y4957">
        <v>0</v>
      </c>
      <c r="Z4957" s="5">
        <v>22461.77</v>
      </c>
      <c r="AA4957">
        <v>221</v>
      </c>
      <c r="AB4957" s="5">
        <v>4964051.17</v>
      </c>
      <c r="AC4957" s="1">
        <v>22461.77</v>
      </c>
      <c r="AD4957">
        <v>221</v>
      </c>
      <c r="AE4957" s="1">
        <v>4964051.17</v>
      </c>
      <c r="AF4957">
        <v>0</v>
      </c>
      <c r="AJ4957">
        <v>0</v>
      </c>
      <c r="AK4957">
        <v>0</v>
      </c>
      <c r="AL4957">
        <v>0</v>
      </c>
      <c r="AM4957">
        <v>0</v>
      </c>
      <c r="AN4957" s="1">
        <v>27403.360000000001</v>
      </c>
      <c r="AO4957" s="1">
        <v>27403.360000000001</v>
      </c>
      <c r="AP4957" s="2">
        <v>42746</v>
      </c>
      <c r="AQ4957" t="s">
        <v>72</v>
      </c>
      <c r="AR4957" t="s">
        <v>72</v>
      </c>
      <c r="AS4957">
        <v>3019</v>
      </c>
      <c r="AT4957" s="4">
        <v>42683</v>
      </c>
      <c r="AU4957" t="s">
        <v>73</v>
      </c>
      <c r="AV4957">
        <v>3019</v>
      </c>
      <c r="AW4957" s="4">
        <v>42683</v>
      </c>
      <c r="BD4957">
        <v>0</v>
      </c>
      <c r="BN4957" t="s">
        <v>74</v>
      </c>
    </row>
    <row r="4958" spans="1:66">
      <c r="A4958">
        <v>101812</v>
      </c>
      <c r="B4958" s="3" t="s">
        <v>527</v>
      </c>
      <c r="C4958" s="1">
        <v>43300101</v>
      </c>
      <c r="D4958" t="s">
        <v>67</v>
      </c>
      <c r="H4958" t="str">
        <f t="shared" si="533"/>
        <v>02764431215</v>
      </c>
      <c r="I4958" t="str">
        <f t="shared" si="533"/>
        <v>02764431215</v>
      </c>
      <c r="K4958" t="str">
        <f>""</f>
        <v/>
      </c>
      <c r="M4958" t="s">
        <v>68</v>
      </c>
      <c r="N4958" t="str">
        <f t="shared" si="530"/>
        <v>FOR</v>
      </c>
      <c r="O4958" t="s">
        <v>69</v>
      </c>
      <c r="P4958" s="3" t="s">
        <v>75</v>
      </c>
      <c r="Q4958">
        <v>2016</v>
      </c>
      <c r="R4958" s="2">
        <v>42412</v>
      </c>
      <c r="S4958" s="2">
        <v>42415</v>
      </c>
      <c r="T4958" s="2">
        <v>42415</v>
      </c>
      <c r="U4958" s="2">
        <v>42475</v>
      </c>
      <c r="V4958" t="s">
        <v>71</v>
      </c>
      <c r="W4958" t="str">
        <f>"                8/PA"</f>
        <v xml:space="preserve">                8/PA</v>
      </c>
      <c r="X4958" s="1">
        <v>1560.66</v>
      </c>
      <c r="Y4958">
        <v>0</v>
      </c>
      <c r="Z4958" s="5">
        <v>1279.23</v>
      </c>
      <c r="AA4958">
        <v>208</v>
      </c>
      <c r="AB4958" s="5">
        <v>266079.84000000003</v>
      </c>
      <c r="AC4958" s="1">
        <v>1279.23</v>
      </c>
      <c r="AD4958">
        <v>208</v>
      </c>
      <c r="AE4958" s="1">
        <v>266079.84000000003</v>
      </c>
      <c r="AF4958">
        <v>0</v>
      </c>
      <c r="AJ4958">
        <v>0</v>
      </c>
      <c r="AK4958">
        <v>0</v>
      </c>
      <c r="AL4958">
        <v>0</v>
      </c>
      <c r="AM4958" s="1">
        <v>1560.66</v>
      </c>
      <c r="AN4958" s="1">
        <v>1560.66</v>
      </c>
      <c r="AO4958" s="1">
        <v>1560.66</v>
      </c>
      <c r="AP4958" s="2">
        <v>42746</v>
      </c>
      <c r="AQ4958" t="s">
        <v>72</v>
      </c>
      <c r="AR4958" t="s">
        <v>72</v>
      </c>
      <c r="AS4958">
        <v>3019</v>
      </c>
      <c r="AT4958" s="4">
        <v>42683</v>
      </c>
      <c r="AU4958" t="s">
        <v>73</v>
      </c>
      <c r="AV4958">
        <v>3019</v>
      </c>
      <c r="AW4958" s="4">
        <v>42683</v>
      </c>
      <c r="BD4958">
        <v>0</v>
      </c>
      <c r="BN4958" t="s">
        <v>74</v>
      </c>
    </row>
    <row r="4959" spans="1:66">
      <c r="A4959">
        <v>101812</v>
      </c>
      <c r="B4959" s="3" t="s">
        <v>527</v>
      </c>
      <c r="C4959" s="1">
        <v>43300101</v>
      </c>
      <c r="D4959" t="s">
        <v>67</v>
      </c>
      <c r="H4959" t="str">
        <f t="shared" si="533"/>
        <v>02764431215</v>
      </c>
      <c r="I4959" t="str">
        <f t="shared" si="533"/>
        <v>02764431215</v>
      </c>
      <c r="K4959" t="str">
        <f>""</f>
        <v/>
      </c>
      <c r="M4959" t="s">
        <v>68</v>
      </c>
      <c r="N4959" t="str">
        <f t="shared" si="530"/>
        <v>FOR</v>
      </c>
      <c r="O4959" t="s">
        <v>69</v>
      </c>
      <c r="P4959" s="3" t="s">
        <v>75</v>
      </c>
      <c r="Q4959">
        <v>2016</v>
      </c>
      <c r="R4959" s="2">
        <v>42412</v>
      </c>
      <c r="S4959" s="2">
        <v>42415</v>
      </c>
      <c r="T4959" s="2">
        <v>42415</v>
      </c>
      <c r="U4959" s="2">
        <v>42475</v>
      </c>
      <c r="V4959" t="s">
        <v>71</v>
      </c>
      <c r="W4959" t="str">
        <f>"                9/PA"</f>
        <v xml:space="preserve">                9/PA</v>
      </c>
      <c r="X4959" s="1">
        <v>7934.72</v>
      </c>
      <c r="Y4959">
        <v>0</v>
      </c>
      <c r="Z4959" s="5">
        <v>6503.87</v>
      </c>
      <c r="AA4959">
        <v>208</v>
      </c>
      <c r="AB4959" s="5">
        <v>1352804.96</v>
      </c>
      <c r="AC4959" s="1">
        <v>6503.87</v>
      </c>
      <c r="AD4959">
        <v>208</v>
      </c>
      <c r="AE4959" s="1">
        <v>1352804.96</v>
      </c>
      <c r="AF4959">
        <v>0</v>
      </c>
      <c r="AJ4959">
        <v>0</v>
      </c>
      <c r="AK4959">
        <v>0</v>
      </c>
      <c r="AL4959">
        <v>0</v>
      </c>
      <c r="AM4959" s="1">
        <v>7934.72</v>
      </c>
      <c r="AN4959" s="1">
        <v>7934.72</v>
      </c>
      <c r="AO4959" s="1">
        <v>7934.72</v>
      </c>
      <c r="AP4959" s="2">
        <v>42746</v>
      </c>
      <c r="AQ4959" t="s">
        <v>72</v>
      </c>
      <c r="AR4959" t="s">
        <v>72</v>
      </c>
      <c r="AS4959">
        <v>3019</v>
      </c>
      <c r="AT4959" s="4">
        <v>42683</v>
      </c>
      <c r="AU4959" t="s">
        <v>73</v>
      </c>
      <c r="AV4959">
        <v>3019</v>
      </c>
      <c r="AW4959" s="4">
        <v>42683</v>
      </c>
      <c r="BD4959">
        <v>0</v>
      </c>
      <c r="BN4959" t="s">
        <v>74</v>
      </c>
    </row>
    <row r="4960" spans="1:66">
      <c r="A4960">
        <v>101812</v>
      </c>
      <c r="B4960" s="3" t="s">
        <v>527</v>
      </c>
      <c r="C4960" s="1">
        <v>43300101</v>
      </c>
      <c r="D4960" t="s">
        <v>67</v>
      </c>
      <c r="H4960" t="str">
        <f t="shared" si="533"/>
        <v>02764431215</v>
      </c>
      <c r="I4960" t="str">
        <f t="shared" si="533"/>
        <v>02764431215</v>
      </c>
      <c r="K4960" t="str">
        <f>""</f>
        <v/>
      </c>
      <c r="M4960" t="s">
        <v>68</v>
      </c>
      <c r="N4960" t="str">
        <f t="shared" si="530"/>
        <v>FOR</v>
      </c>
      <c r="O4960" t="s">
        <v>69</v>
      </c>
      <c r="P4960" s="3" t="s">
        <v>70</v>
      </c>
      <c r="Q4960">
        <v>2016</v>
      </c>
      <c r="R4960" s="2">
        <v>42429</v>
      </c>
      <c r="S4960" s="2">
        <v>42436</v>
      </c>
      <c r="T4960" s="2">
        <v>42436</v>
      </c>
      <c r="U4960" s="2">
        <v>42496</v>
      </c>
      <c r="V4960" t="s">
        <v>71</v>
      </c>
      <c r="W4960" t="str">
        <f>"               13/PA"</f>
        <v xml:space="preserve">               13/PA</v>
      </c>
      <c r="X4960" s="1">
        <v>53493.38</v>
      </c>
      <c r="Y4960">
        <v>0</v>
      </c>
      <c r="Z4960" s="5">
        <v>43847.03</v>
      </c>
      <c r="AA4960">
        <v>222</v>
      </c>
      <c r="AB4960" s="5">
        <v>9734040.6600000001</v>
      </c>
      <c r="AC4960" s="1">
        <v>43847.03</v>
      </c>
      <c r="AD4960">
        <v>222</v>
      </c>
      <c r="AE4960" s="1">
        <v>9734040.6600000001</v>
      </c>
      <c r="AF4960" s="1">
        <v>9646.35</v>
      </c>
      <c r="AJ4960">
        <v>0</v>
      </c>
      <c r="AK4960">
        <v>0</v>
      </c>
      <c r="AL4960">
        <v>0</v>
      </c>
      <c r="AM4960" s="1">
        <v>53493.38</v>
      </c>
      <c r="AN4960" s="1">
        <v>53493.38</v>
      </c>
      <c r="AO4960" s="1">
        <v>53493.38</v>
      </c>
      <c r="AP4960" s="2">
        <v>42746</v>
      </c>
      <c r="AQ4960" t="s">
        <v>72</v>
      </c>
      <c r="AR4960" t="s">
        <v>72</v>
      </c>
      <c r="AS4960">
        <v>3456</v>
      </c>
      <c r="AT4960" s="4">
        <v>42718</v>
      </c>
      <c r="AU4960" t="s">
        <v>73</v>
      </c>
      <c r="AV4960">
        <v>3456</v>
      </c>
      <c r="AW4960" s="4">
        <v>42718</v>
      </c>
      <c r="BD4960" s="1">
        <v>9646.35</v>
      </c>
      <c r="BN4960" t="s">
        <v>74</v>
      </c>
    </row>
    <row r="4961" spans="1:66">
      <c r="A4961">
        <v>101812</v>
      </c>
      <c r="B4961" s="3" t="s">
        <v>527</v>
      </c>
      <c r="C4961" s="1">
        <v>43300101</v>
      </c>
      <c r="D4961" t="s">
        <v>67</v>
      </c>
      <c r="H4961" t="str">
        <f t="shared" si="533"/>
        <v>02764431215</v>
      </c>
      <c r="I4961" t="str">
        <f t="shared" si="533"/>
        <v>02764431215</v>
      </c>
      <c r="K4961" t="str">
        <f>""</f>
        <v/>
      </c>
      <c r="M4961" t="s">
        <v>68</v>
      </c>
      <c r="N4961" t="str">
        <f t="shared" si="530"/>
        <v>FOR</v>
      </c>
      <c r="O4961" t="s">
        <v>69</v>
      </c>
      <c r="P4961" s="3" t="s">
        <v>75</v>
      </c>
      <c r="Q4961">
        <v>2016</v>
      </c>
      <c r="R4961" s="2">
        <v>42446</v>
      </c>
      <c r="S4961" s="2">
        <v>42460</v>
      </c>
      <c r="T4961" s="2">
        <v>42446</v>
      </c>
      <c r="U4961" s="2">
        <v>42506</v>
      </c>
      <c r="V4961" t="s">
        <v>71</v>
      </c>
      <c r="W4961" t="str">
        <f>"               15/PA"</f>
        <v xml:space="preserve">               15/PA</v>
      </c>
      <c r="X4961" s="1">
        <v>28864.29</v>
      </c>
      <c r="Y4961">
        <v>0</v>
      </c>
      <c r="Z4961" s="5">
        <v>23659.25</v>
      </c>
      <c r="AA4961">
        <v>212</v>
      </c>
      <c r="AB4961" s="5">
        <v>5015761</v>
      </c>
      <c r="AC4961" s="1">
        <v>23659.25</v>
      </c>
      <c r="AD4961">
        <v>212</v>
      </c>
      <c r="AE4961" s="1">
        <v>5015761</v>
      </c>
      <c r="AF4961" s="1">
        <v>5205.04</v>
      </c>
      <c r="AJ4961">
        <v>0</v>
      </c>
      <c r="AK4961">
        <v>0</v>
      </c>
      <c r="AL4961">
        <v>0</v>
      </c>
      <c r="AM4961" s="1">
        <v>28864.29</v>
      </c>
      <c r="AN4961" s="1">
        <v>28864.29</v>
      </c>
      <c r="AO4961" s="1">
        <v>28864.29</v>
      </c>
      <c r="AP4961" s="2">
        <v>42746</v>
      </c>
      <c r="AQ4961" t="s">
        <v>72</v>
      </c>
      <c r="AR4961" t="s">
        <v>72</v>
      </c>
      <c r="AS4961">
        <v>3456</v>
      </c>
      <c r="AT4961" s="4">
        <v>42718</v>
      </c>
      <c r="AU4961" t="s">
        <v>73</v>
      </c>
      <c r="AV4961">
        <v>3456</v>
      </c>
      <c r="AW4961" s="4">
        <v>42718</v>
      </c>
      <c r="BD4961" s="1">
        <v>5205.04</v>
      </c>
      <c r="BN4961" t="s">
        <v>74</v>
      </c>
    </row>
    <row r="4962" spans="1:66">
      <c r="A4962">
        <v>101812</v>
      </c>
      <c r="B4962" s="3" t="s">
        <v>527</v>
      </c>
      <c r="C4962" s="1">
        <v>43300101</v>
      </c>
      <c r="D4962" t="s">
        <v>67</v>
      </c>
      <c r="H4962" t="str">
        <f t="shared" si="533"/>
        <v>02764431215</v>
      </c>
      <c r="I4962" t="str">
        <f t="shared" si="533"/>
        <v>02764431215</v>
      </c>
      <c r="K4962" t="str">
        <f>""</f>
        <v/>
      </c>
      <c r="M4962" t="s">
        <v>68</v>
      </c>
      <c r="N4962" t="str">
        <f t="shared" si="530"/>
        <v>FOR</v>
      </c>
      <c r="O4962" t="s">
        <v>69</v>
      </c>
      <c r="P4962" s="3" t="s">
        <v>75</v>
      </c>
      <c r="Q4962">
        <v>2016</v>
      </c>
      <c r="R4962" s="2">
        <v>42446</v>
      </c>
      <c r="S4962" s="2">
        <v>42460</v>
      </c>
      <c r="T4962" s="2">
        <v>42446</v>
      </c>
      <c r="U4962" s="2">
        <v>42506</v>
      </c>
      <c r="V4962" t="s">
        <v>71</v>
      </c>
      <c r="W4962" t="str">
        <f>"               16/PA"</f>
        <v xml:space="preserve">               16/PA</v>
      </c>
      <c r="X4962" s="1">
        <v>10013.49</v>
      </c>
      <c r="Y4962">
        <v>0</v>
      </c>
      <c r="Z4962" s="5">
        <v>8207.7800000000007</v>
      </c>
      <c r="AA4962">
        <v>212</v>
      </c>
      <c r="AB4962" s="5">
        <v>1740049.36</v>
      </c>
      <c r="AC4962" s="1">
        <v>8207.7800000000007</v>
      </c>
      <c r="AD4962">
        <v>212</v>
      </c>
      <c r="AE4962" s="1">
        <v>1740049.36</v>
      </c>
      <c r="AF4962" s="1">
        <v>1805.71</v>
      </c>
      <c r="AJ4962">
        <v>0</v>
      </c>
      <c r="AK4962">
        <v>0</v>
      </c>
      <c r="AL4962">
        <v>0</v>
      </c>
      <c r="AM4962" s="1">
        <v>10013.49</v>
      </c>
      <c r="AN4962" s="1">
        <v>10013.49</v>
      </c>
      <c r="AO4962" s="1">
        <v>10013.49</v>
      </c>
      <c r="AP4962" s="2">
        <v>42746</v>
      </c>
      <c r="AQ4962" t="s">
        <v>72</v>
      </c>
      <c r="AR4962" t="s">
        <v>72</v>
      </c>
      <c r="AS4962">
        <v>3456</v>
      </c>
      <c r="AT4962" s="4">
        <v>42718</v>
      </c>
      <c r="AU4962" t="s">
        <v>73</v>
      </c>
      <c r="AV4962">
        <v>3456</v>
      </c>
      <c r="AW4962" s="4">
        <v>42718</v>
      </c>
      <c r="BD4962" s="1">
        <v>1805.71</v>
      </c>
      <c r="BN4962" t="s">
        <v>74</v>
      </c>
    </row>
    <row r="4963" spans="1:66" hidden="1">
      <c r="A4963">
        <v>101813</v>
      </c>
      <c r="B4963" s="3" t="s">
        <v>528</v>
      </c>
      <c r="C4963" s="1">
        <v>43300101</v>
      </c>
      <c r="D4963" t="s">
        <v>67</v>
      </c>
      <c r="H4963" t="str">
        <f t="shared" ref="H4963:I4968" si="534">"07754770639"</f>
        <v>07754770639</v>
      </c>
      <c r="I4963" t="str">
        <f t="shared" si="534"/>
        <v>07754770639</v>
      </c>
      <c r="K4963" t="str">
        <f>""</f>
        <v/>
      </c>
      <c r="M4963" t="s">
        <v>68</v>
      </c>
      <c r="N4963" t="str">
        <f t="shared" si="530"/>
        <v>FOR</v>
      </c>
      <c r="O4963" t="s">
        <v>69</v>
      </c>
      <c r="P4963" s="3" t="s">
        <v>75</v>
      </c>
      <c r="Q4963">
        <v>2015</v>
      </c>
      <c r="R4963" s="2">
        <v>42185</v>
      </c>
      <c r="S4963" s="2">
        <v>42191</v>
      </c>
      <c r="T4963" s="2">
        <v>42191</v>
      </c>
      <c r="U4963" s="2">
        <v>42251</v>
      </c>
      <c r="V4963" t="s">
        <v>71</v>
      </c>
      <c r="W4963" t="str">
        <f>"               8/004"</f>
        <v xml:space="preserve">               8/004</v>
      </c>
      <c r="X4963" s="1">
        <v>13373.35</v>
      </c>
      <c r="Y4963">
        <v>0</v>
      </c>
      <c r="Z4963"/>
      <c r="AB4963"/>
      <c r="AC4963" s="1">
        <v>10961.76</v>
      </c>
      <c r="AD4963">
        <v>241</v>
      </c>
      <c r="AE4963" s="1">
        <v>2641784.16</v>
      </c>
      <c r="AF4963">
        <v>0</v>
      </c>
      <c r="AJ4963">
        <v>0</v>
      </c>
      <c r="AK4963">
        <v>0</v>
      </c>
      <c r="AL4963">
        <v>0</v>
      </c>
      <c r="AM4963">
        <v>0</v>
      </c>
      <c r="AN4963">
        <v>0</v>
      </c>
      <c r="AO4963">
        <v>0</v>
      </c>
      <c r="AP4963" s="2">
        <v>42746</v>
      </c>
      <c r="AQ4963" t="s">
        <v>72</v>
      </c>
      <c r="AR4963" t="s">
        <v>72</v>
      </c>
      <c r="AS4963">
        <v>1231</v>
      </c>
      <c r="AT4963" s="4">
        <v>42492</v>
      </c>
      <c r="AU4963" t="s">
        <v>73</v>
      </c>
      <c r="AV4963">
        <v>1231</v>
      </c>
      <c r="AW4963" s="4">
        <v>42492</v>
      </c>
      <c r="BD4963">
        <v>0</v>
      </c>
      <c r="BN4963" t="s">
        <v>74</v>
      </c>
    </row>
    <row r="4964" spans="1:66" hidden="1">
      <c r="A4964">
        <v>101813</v>
      </c>
      <c r="B4964" s="3" t="s">
        <v>528</v>
      </c>
      <c r="C4964" s="1">
        <v>43300101</v>
      </c>
      <c r="D4964" t="s">
        <v>67</v>
      </c>
      <c r="H4964" t="str">
        <f t="shared" si="534"/>
        <v>07754770639</v>
      </c>
      <c r="I4964" t="str">
        <f t="shared" si="534"/>
        <v>07754770639</v>
      </c>
      <c r="K4964" t="str">
        <f>""</f>
        <v/>
      </c>
      <c r="M4964" t="s">
        <v>68</v>
      </c>
      <c r="N4964" t="str">
        <f t="shared" si="530"/>
        <v>FOR</v>
      </c>
      <c r="O4964" t="s">
        <v>69</v>
      </c>
      <c r="P4964" s="3" t="s">
        <v>75</v>
      </c>
      <c r="Q4964">
        <v>2015</v>
      </c>
      <c r="R4964" s="2">
        <v>42247</v>
      </c>
      <c r="S4964" s="2">
        <v>42249</v>
      </c>
      <c r="T4964" s="2">
        <v>42248</v>
      </c>
      <c r="U4964" s="2">
        <v>42308</v>
      </c>
      <c r="V4964" t="s">
        <v>71</v>
      </c>
      <c r="W4964" t="str">
        <f>"              13/004"</f>
        <v xml:space="preserve">              13/004</v>
      </c>
      <c r="X4964" s="1">
        <v>13373.35</v>
      </c>
      <c r="Y4964">
        <v>0</v>
      </c>
      <c r="Z4964"/>
      <c r="AB4964"/>
      <c r="AC4964" s="1">
        <v>10961.76</v>
      </c>
      <c r="AD4964">
        <v>221</v>
      </c>
      <c r="AE4964" s="1">
        <v>2422548.96</v>
      </c>
      <c r="AF4964">
        <v>0</v>
      </c>
      <c r="AJ4964">
        <v>0</v>
      </c>
      <c r="AK4964">
        <v>0</v>
      </c>
      <c r="AL4964">
        <v>0</v>
      </c>
      <c r="AM4964">
        <v>0</v>
      </c>
      <c r="AN4964">
        <v>0</v>
      </c>
      <c r="AO4964">
        <v>0</v>
      </c>
      <c r="AP4964" s="2">
        <v>42746</v>
      </c>
      <c r="AQ4964" t="s">
        <v>72</v>
      </c>
      <c r="AR4964" t="s">
        <v>72</v>
      </c>
      <c r="AS4964">
        <v>1589</v>
      </c>
      <c r="AT4964" s="4">
        <v>42529</v>
      </c>
      <c r="AU4964" t="s">
        <v>73</v>
      </c>
      <c r="AV4964">
        <v>1589</v>
      </c>
      <c r="AW4964" s="4">
        <v>42529</v>
      </c>
      <c r="BD4964">
        <v>0</v>
      </c>
      <c r="BN4964" t="s">
        <v>74</v>
      </c>
    </row>
    <row r="4965" spans="1:66" hidden="1">
      <c r="A4965">
        <v>101813</v>
      </c>
      <c r="B4965" s="3" t="s">
        <v>528</v>
      </c>
      <c r="C4965" s="1">
        <v>43300101</v>
      </c>
      <c r="D4965" t="s">
        <v>67</v>
      </c>
      <c r="H4965" t="str">
        <f t="shared" si="534"/>
        <v>07754770639</v>
      </c>
      <c r="I4965" t="str">
        <f t="shared" si="534"/>
        <v>07754770639</v>
      </c>
      <c r="K4965" t="str">
        <f>""</f>
        <v/>
      </c>
      <c r="M4965" t="s">
        <v>68</v>
      </c>
      <c r="N4965" t="str">
        <f t="shared" si="530"/>
        <v>FOR</v>
      </c>
      <c r="O4965" t="s">
        <v>69</v>
      </c>
      <c r="P4965" s="3" t="s">
        <v>75</v>
      </c>
      <c r="Q4965">
        <v>2015</v>
      </c>
      <c r="R4965" s="2">
        <v>42308</v>
      </c>
      <c r="S4965" s="2">
        <v>42320</v>
      </c>
      <c r="T4965" s="2">
        <v>42318</v>
      </c>
      <c r="U4965" s="2">
        <v>42378</v>
      </c>
      <c r="V4965" t="s">
        <v>71</v>
      </c>
      <c r="W4965" t="str">
        <f>"              18/004"</f>
        <v xml:space="preserve">              18/004</v>
      </c>
      <c r="X4965" s="1">
        <v>13373.35</v>
      </c>
      <c r="Y4965">
        <v>0</v>
      </c>
      <c r="Z4965"/>
      <c r="AB4965"/>
      <c r="AC4965" s="1">
        <v>10961.76</v>
      </c>
      <c r="AD4965">
        <v>199</v>
      </c>
      <c r="AE4965" s="1">
        <v>2181390.2400000002</v>
      </c>
      <c r="AF4965">
        <v>0</v>
      </c>
      <c r="AJ4965">
        <v>0</v>
      </c>
      <c r="AK4965">
        <v>0</v>
      </c>
      <c r="AL4965">
        <v>0</v>
      </c>
      <c r="AM4965">
        <v>0</v>
      </c>
      <c r="AN4965">
        <v>0</v>
      </c>
      <c r="AO4965">
        <v>0</v>
      </c>
      <c r="AP4965" s="2">
        <v>42746</v>
      </c>
      <c r="AQ4965" t="s">
        <v>72</v>
      </c>
      <c r="AR4965" t="s">
        <v>72</v>
      </c>
      <c r="AS4965">
        <v>1942</v>
      </c>
      <c r="AT4965" s="4">
        <v>42577</v>
      </c>
      <c r="AU4965" t="s">
        <v>73</v>
      </c>
      <c r="AV4965">
        <v>1942</v>
      </c>
      <c r="AW4965" s="4">
        <v>42577</v>
      </c>
      <c r="BD4965">
        <v>0</v>
      </c>
      <c r="BN4965" t="s">
        <v>74</v>
      </c>
    </row>
    <row r="4966" spans="1:66">
      <c r="A4966">
        <v>101813</v>
      </c>
      <c r="B4966" s="3" t="s">
        <v>528</v>
      </c>
      <c r="C4966" s="1">
        <v>43300101</v>
      </c>
      <c r="D4966" t="s">
        <v>67</v>
      </c>
      <c r="H4966" t="str">
        <f t="shared" si="534"/>
        <v>07754770639</v>
      </c>
      <c r="I4966" t="str">
        <f t="shared" si="534"/>
        <v>07754770639</v>
      </c>
      <c r="K4966" t="str">
        <f>""</f>
        <v/>
      </c>
      <c r="M4966" t="s">
        <v>68</v>
      </c>
      <c r="N4966" t="str">
        <f t="shared" si="530"/>
        <v>FOR</v>
      </c>
      <c r="O4966" t="s">
        <v>69</v>
      </c>
      <c r="P4966" s="3" t="s">
        <v>70</v>
      </c>
      <c r="Q4966">
        <v>2015</v>
      </c>
      <c r="R4966" s="2">
        <v>42369</v>
      </c>
      <c r="S4966" s="2">
        <v>42471</v>
      </c>
      <c r="T4966" s="2">
        <v>42471</v>
      </c>
      <c r="U4966" s="2">
        <v>42531</v>
      </c>
      <c r="V4966" t="s">
        <v>71</v>
      </c>
      <c r="W4966" t="str">
        <f>"              24/004"</f>
        <v xml:space="preserve">              24/004</v>
      </c>
      <c r="X4966" s="1">
        <v>13373.35</v>
      </c>
      <c r="Y4966">
        <v>0</v>
      </c>
      <c r="Z4966" s="5">
        <v>10961.76</v>
      </c>
      <c r="AA4966">
        <v>116</v>
      </c>
      <c r="AB4966" s="5">
        <v>1271564.1599999999</v>
      </c>
      <c r="AC4966" s="1">
        <v>10961.76</v>
      </c>
      <c r="AD4966">
        <v>116</v>
      </c>
      <c r="AE4966" s="1">
        <v>1271564.1599999999</v>
      </c>
      <c r="AF4966">
        <v>0</v>
      </c>
      <c r="AJ4966">
        <v>0</v>
      </c>
      <c r="AK4966">
        <v>0</v>
      </c>
      <c r="AL4966">
        <v>0</v>
      </c>
      <c r="AM4966">
        <v>0</v>
      </c>
      <c r="AN4966" s="1">
        <v>13373.35</v>
      </c>
      <c r="AO4966">
        <v>0</v>
      </c>
      <c r="AP4966" s="2">
        <v>42746</v>
      </c>
      <c r="AQ4966" t="s">
        <v>72</v>
      </c>
      <c r="AR4966" t="s">
        <v>72</v>
      </c>
      <c r="AS4966">
        <v>2648</v>
      </c>
      <c r="AT4966" s="4">
        <v>42647</v>
      </c>
      <c r="AU4966" t="s">
        <v>73</v>
      </c>
      <c r="AV4966">
        <v>2648</v>
      </c>
      <c r="AW4966" s="4">
        <v>42647</v>
      </c>
      <c r="BD4966">
        <v>0</v>
      </c>
      <c r="BN4966" t="s">
        <v>74</v>
      </c>
    </row>
    <row r="4967" spans="1:66">
      <c r="A4967">
        <v>101813</v>
      </c>
      <c r="B4967" s="3" t="s">
        <v>528</v>
      </c>
      <c r="C4967" s="1">
        <v>43300101</v>
      </c>
      <c r="D4967" t="s">
        <v>67</v>
      </c>
      <c r="H4967" t="str">
        <f t="shared" si="534"/>
        <v>07754770639</v>
      </c>
      <c r="I4967" t="str">
        <f t="shared" si="534"/>
        <v>07754770639</v>
      </c>
      <c r="K4967" t="str">
        <f>""</f>
        <v/>
      </c>
      <c r="M4967" t="s">
        <v>68</v>
      </c>
      <c r="N4967" t="str">
        <f t="shared" si="530"/>
        <v>FOR</v>
      </c>
      <c r="O4967" t="s">
        <v>69</v>
      </c>
      <c r="P4967" s="3" t="s">
        <v>75</v>
      </c>
      <c r="Q4967">
        <v>2016</v>
      </c>
      <c r="R4967" s="2">
        <v>42490</v>
      </c>
      <c r="S4967" s="2">
        <v>42499</v>
      </c>
      <c r="T4967" s="2">
        <v>42496</v>
      </c>
      <c r="U4967" s="2">
        <v>42556</v>
      </c>
      <c r="V4967" t="s">
        <v>71</v>
      </c>
      <c r="W4967" t="str">
        <f>"                   8"</f>
        <v xml:space="preserve">                   8</v>
      </c>
      <c r="X4967" s="1">
        <v>13373.35</v>
      </c>
      <c r="Y4967">
        <v>0</v>
      </c>
      <c r="Z4967" s="5">
        <v>10961.76</v>
      </c>
      <c r="AA4967">
        <v>163</v>
      </c>
      <c r="AB4967" s="5">
        <v>1786766.88</v>
      </c>
      <c r="AC4967" s="1">
        <v>10961.76</v>
      </c>
      <c r="AD4967">
        <v>163</v>
      </c>
      <c r="AE4967" s="1">
        <v>1786766.88</v>
      </c>
      <c r="AF4967" s="1">
        <v>2411.59</v>
      </c>
      <c r="AJ4967">
        <v>0</v>
      </c>
      <c r="AK4967">
        <v>0</v>
      </c>
      <c r="AL4967">
        <v>0</v>
      </c>
      <c r="AM4967" s="1">
        <v>13373.35</v>
      </c>
      <c r="AN4967" s="1">
        <v>13373.35</v>
      </c>
      <c r="AO4967" s="1">
        <v>13373.35</v>
      </c>
      <c r="AP4967" s="2">
        <v>42746</v>
      </c>
      <c r="AQ4967" t="s">
        <v>72</v>
      </c>
      <c r="AR4967" t="s">
        <v>72</v>
      </c>
      <c r="AS4967">
        <v>3520</v>
      </c>
      <c r="AT4967" s="4">
        <v>42719</v>
      </c>
      <c r="AU4967" t="s">
        <v>73</v>
      </c>
      <c r="AV4967">
        <v>3520</v>
      </c>
      <c r="AW4967" s="4">
        <v>42719</v>
      </c>
      <c r="BC4967" s="1">
        <v>2411.59</v>
      </c>
      <c r="BD4967">
        <v>0</v>
      </c>
      <c r="BN4967" t="s">
        <v>74</v>
      </c>
    </row>
    <row r="4968" spans="1:66">
      <c r="A4968">
        <v>101813</v>
      </c>
      <c r="B4968" s="3" t="s">
        <v>528</v>
      </c>
      <c r="C4968" s="1">
        <v>43300101</v>
      </c>
      <c r="D4968" t="s">
        <v>67</v>
      </c>
      <c r="H4968" t="str">
        <f t="shared" si="534"/>
        <v>07754770639</v>
      </c>
      <c r="I4968" t="str">
        <f t="shared" si="534"/>
        <v>07754770639</v>
      </c>
      <c r="K4968" t="str">
        <f>""</f>
        <v/>
      </c>
      <c r="M4968" t="s">
        <v>68</v>
      </c>
      <c r="N4968" t="str">
        <f t="shared" si="530"/>
        <v>FOR</v>
      </c>
      <c r="O4968" t="s">
        <v>69</v>
      </c>
      <c r="P4968" s="3" t="s">
        <v>75</v>
      </c>
      <c r="Q4968">
        <v>2016</v>
      </c>
      <c r="R4968" s="2">
        <v>42429</v>
      </c>
      <c r="S4968" s="2">
        <v>42461</v>
      </c>
      <c r="T4968" s="2">
        <v>42458</v>
      </c>
      <c r="U4968" s="2">
        <v>42518</v>
      </c>
      <c r="V4968" t="s">
        <v>71</v>
      </c>
      <c r="W4968" t="str">
        <f>"              05/004"</f>
        <v xml:space="preserve">              05/004</v>
      </c>
      <c r="X4968" s="1">
        <v>13373.35</v>
      </c>
      <c r="Y4968">
        <v>0</v>
      </c>
      <c r="Z4968" s="5">
        <v>10961.76</v>
      </c>
      <c r="AA4968">
        <v>201</v>
      </c>
      <c r="AB4968" s="5">
        <v>2203313.7599999998</v>
      </c>
      <c r="AC4968" s="1">
        <v>10961.76</v>
      </c>
      <c r="AD4968">
        <v>201</v>
      </c>
      <c r="AE4968" s="1">
        <v>2203313.7599999998</v>
      </c>
      <c r="AF4968" s="1">
        <v>2411.59</v>
      </c>
      <c r="AJ4968">
        <v>0</v>
      </c>
      <c r="AK4968">
        <v>0</v>
      </c>
      <c r="AL4968">
        <v>0</v>
      </c>
      <c r="AM4968" s="1">
        <v>13373.35</v>
      </c>
      <c r="AN4968" s="1">
        <v>13373.35</v>
      </c>
      <c r="AO4968" s="1">
        <v>13373.35</v>
      </c>
      <c r="AP4968" s="2">
        <v>42746</v>
      </c>
      <c r="AQ4968" t="s">
        <v>72</v>
      </c>
      <c r="AR4968" t="s">
        <v>72</v>
      </c>
      <c r="AS4968">
        <v>3520</v>
      </c>
      <c r="AT4968" s="4">
        <v>42719</v>
      </c>
      <c r="AU4968" t="s">
        <v>73</v>
      </c>
      <c r="AV4968">
        <v>3520</v>
      </c>
      <c r="AW4968" s="4">
        <v>42719</v>
      </c>
      <c r="BD4968" s="1">
        <v>2411.59</v>
      </c>
      <c r="BN4968" t="s">
        <v>74</v>
      </c>
    </row>
    <row r="4969" spans="1:66" hidden="1">
      <c r="A4969">
        <v>101814</v>
      </c>
      <c r="B4969" s="3" t="s">
        <v>529</v>
      </c>
      <c r="C4969" s="1">
        <v>43300101</v>
      </c>
      <c r="D4969" t="s">
        <v>67</v>
      </c>
      <c r="H4969" t="str">
        <f t="shared" ref="H4969:I4971" si="535">"06060070015"</f>
        <v>06060070015</v>
      </c>
      <c r="I4969" t="str">
        <f t="shared" si="535"/>
        <v>06060070015</v>
      </c>
      <c r="K4969" t="str">
        <f>""</f>
        <v/>
      </c>
      <c r="M4969" t="s">
        <v>68</v>
      </c>
      <c r="N4969" t="str">
        <f t="shared" si="530"/>
        <v>FOR</v>
      </c>
      <c r="O4969" t="s">
        <v>69</v>
      </c>
      <c r="P4969" s="3" t="s">
        <v>75</v>
      </c>
      <c r="Q4969">
        <v>2015</v>
      </c>
      <c r="R4969" s="2">
        <v>42139</v>
      </c>
      <c r="S4969" s="2">
        <v>42165</v>
      </c>
      <c r="T4969" s="2">
        <v>42145</v>
      </c>
      <c r="U4969" s="2">
        <v>42205</v>
      </c>
      <c r="V4969" t="s">
        <v>71</v>
      </c>
      <c r="W4969" t="str">
        <f>"         20150000666"</f>
        <v xml:space="preserve">         20150000666</v>
      </c>
      <c r="X4969" s="1">
        <v>1342</v>
      </c>
      <c r="Y4969">
        <v>0</v>
      </c>
      <c r="Z4969"/>
      <c r="AB4969"/>
      <c r="AC4969" s="1">
        <v>1100</v>
      </c>
      <c r="AD4969">
        <v>248</v>
      </c>
      <c r="AE4969" s="1">
        <v>272800</v>
      </c>
      <c r="AF4969">
        <v>0</v>
      </c>
      <c r="AJ4969">
        <v>0</v>
      </c>
      <c r="AK4969">
        <v>0</v>
      </c>
      <c r="AL4969">
        <v>0</v>
      </c>
      <c r="AM4969">
        <v>0</v>
      </c>
      <c r="AN4969">
        <v>0</v>
      </c>
      <c r="AO4969">
        <v>0</v>
      </c>
      <c r="AP4969" s="2">
        <v>42746</v>
      </c>
      <c r="AQ4969" t="s">
        <v>72</v>
      </c>
      <c r="AR4969" t="s">
        <v>72</v>
      </c>
      <c r="AS4969">
        <v>845</v>
      </c>
      <c r="AT4969" s="4">
        <v>42453</v>
      </c>
      <c r="AU4969" t="s">
        <v>73</v>
      </c>
      <c r="AV4969">
        <v>845</v>
      </c>
      <c r="AW4969" s="4">
        <v>42453</v>
      </c>
      <c r="BD4969">
        <v>0</v>
      </c>
      <c r="BN4969" t="s">
        <v>74</v>
      </c>
    </row>
    <row r="4970" spans="1:66">
      <c r="A4970">
        <v>101814</v>
      </c>
      <c r="B4970" s="3" t="s">
        <v>529</v>
      </c>
      <c r="C4970" s="1">
        <v>43300101</v>
      </c>
      <c r="D4970" t="s">
        <v>67</v>
      </c>
      <c r="H4970" t="str">
        <f t="shared" si="535"/>
        <v>06060070015</v>
      </c>
      <c r="I4970" t="str">
        <f t="shared" si="535"/>
        <v>06060070015</v>
      </c>
      <c r="K4970" t="str">
        <f>""</f>
        <v/>
      </c>
      <c r="M4970" t="s">
        <v>68</v>
      </c>
      <c r="N4970" t="str">
        <f t="shared" si="530"/>
        <v>FOR</v>
      </c>
      <c r="O4970" t="s">
        <v>69</v>
      </c>
      <c r="P4970" s="3" t="s">
        <v>75</v>
      </c>
      <c r="Q4970">
        <v>2015</v>
      </c>
      <c r="R4970" s="2">
        <v>42307</v>
      </c>
      <c r="S4970" s="2">
        <v>42320</v>
      </c>
      <c r="T4970" s="2">
        <v>42319</v>
      </c>
      <c r="U4970" s="2">
        <v>42379</v>
      </c>
      <c r="V4970" t="s">
        <v>71</v>
      </c>
      <c r="W4970" t="str">
        <f>"         20150001466"</f>
        <v xml:space="preserve">         20150001466</v>
      </c>
      <c r="X4970" s="1">
        <v>2135</v>
      </c>
      <c r="Y4970">
        <v>0</v>
      </c>
      <c r="Z4970" s="5">
        <v>1750</v>
      </c>
      <c r="AA4970">
        <v>268</v>
      </c>
      <c r="AB4970" s="5">
        <v>469000</v>
      </c>
      <c r="AC4970" s="1">
        <v>1750</v>
      </c>
      <c r="AD4970">
        <v>268</v>
      </c>
      <c r="AE4970" s="1">
        <v>469000</v>
      </c>
      <c r="AF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 s="2">
        <v>42746</v>
      </c>
      <c r="AQ4970" t="s">
        <v>72</v>
      </c>
      <c r="AR4970" t="s">
        <v>72</v>
      </c>
      <c r="AS4970">
        <v>2609</v>
      </c>
      <c r="AT4970" s="4">
        <v>42647</v>
      </c>
      <c r="AU4970" t="s">
        <v>73</v>
      </c>
      <c r="AV4970">
        <v>2609</v>
      </c>
      <c r="AW4970" s="4">
        <v>42647</v>
      </c>
      <c r="BD4970">
        <v>0</v>
      </c>
      <c r="BN4970" t="s">
        <v>74</v>
      </c>
    </row>
    <row r="4971" spans="1:66">
      <c r="A4971">
        <v>101814</v>
      </c>
      <c r="B4971" s="3" t="s">
        <v>529</v>
      </c>
      <c r="C4971" s="1">
        <v>43300101</v>
      </c>
      <c r="D4971" t="s">
        <v>67</v>
      </c>
      <c r="H4971" t="str">
        <f t="shared" si="535"/>
        <v>06060070015</v>
      </c>
      <c r="I4971" t="str">
        <f t="shared" si="535"/>
        <v>06060070015</v>
      </c>
      <c r="K4971" t="str">
        <f>""</f>
        <v/>
      </c>
      <c r="M4971" t="s">
        <v>68</v>
      </c>
      <c r="N4971" t="str">
        <f t="shared" si="530"/>
        <v>FOR</v>
      </c>
      <c r="O4971" t="s">
        <v>69</v>
      </c>
      <c r="P4971" s="3" t="s">
        <v>75</v>
      </c>
      <c r="Q4971">
        <v>2016</v>
      </c>
      <c r="R4971" s="2">
        <v>42460</v>
      </c>
      <c r="S4971" s="2">
        <v>42478</v>
      </c>
      <c r="T4971" s="2">
        <v>42474</v>
      </c>
      <c r="U4971" s="2">
        <v>42534</v>
      </c>
      <c r="V4971" t="s">
        <v>71</v>
      </c>
      <c r="W4971" t="str">
        <f>"         20160000378"</f>
        <v xml:space="preserve">         20160000378</v>
      </c>
      <c r="X4971" s="1">
        <v>4270</v>
      </c>
      <c r="Y4971">
        <v>0</v>
      </c>
      <c r="Z4971" s="5">
        <v>3500</v>
      </c>
      <c r="AA4971">
        <v>113</v>
      </c>
      <c r="AB4971" s="5">
        <v>395500</v>
      </c>
      <c r="AC4971" s="1">
        <v>3500</v>
      </c>
      <c r="AD4971">
        <v>113</v>
      </c>
      <c r="AE4971" s="1">
        <v>395500</v>
      </c>
      <c r="AF4971">
        <v>0</v>
      </c>
      <c r="AJ4971">
        <v>0</v>
      </c>
      <c r="AK4971">
        <v>0</v>
      </c>
      <c r="AL4971">
        <v>0</v>
      </c>
      <c r="AM4971" s="1">
        <v>4270</v>
      </c>
      <c r="AN4971" s="1">
        <v>4270</v>
      </c>
      <c r="AO4971" s="1">
        <v>4270</v>
      </c>
      <c r="AP4971" s="2">
        <v>42746</v>
      </c>
      <c r="AQ4971" t="s">
        <v>72</v>
      </c>
      <c r="AR4971" t="s">
        <v>72</v>
      </c>
      <c r="AS4971">
        <v>2609</v>
      </c>
      <c r="AT4971" s="4">
        <v>42647</v>
      </c>
      <c r="AU4971" t="s">
        <v>73</v>
      </c>
      <c r="AV4971">
        <v>2609</v>
      </c>
      <c r="AW4971" s="4">
        <v>42647</v>
      </c>
      <c r="BD4971">
        <v>0</v>
      </c>
      <c r="BN4971" t="s">
        <v>74</v>
      </c>
    </row>
    <row r="4972" spans="1:66">
      <c r="A4972">
        <v>101815</v>
      </c>
      <c r="B4972" s="3" t="s">
        <v>530</v>
      </c>
      <c r="C4972" s="1">
        <v>43300101</v>
      </c>
      <c r="D4972" t="s">
        <v>67</v>
      </c>
      <c r="H4972" t="str">
        <f>"04124411218"</f>
        <v>04124411218</v>
      </c>
      <c r="I4972" t="str">
        <f>"04124411218"</f>
        <v>04124411218</v>
      </c>
      <c r="K4972" t="str">
        <f>""</f>
        <v/>
      </c>
      <c r="M4972" t="s">
        <v>68</v>
      </c>
      <c r="N4972" t="str">
        <f t="shared" si="530"/>
        <v>FOR</v>
      </c>
      <c r="O4972" t="s">
        <v>69</v>
      </c>
      <c r="P4972" s="3" t="s">
        <v>75</v>
      </c>
      <c r="Q4972">
        <v>2016</v>
      </c>
      <c r="R4972" s="2">
        <v>42556</v>
      </c>
      <c r="S4972" s="2">
        <v>42558</v>
      </c>
      <c r="T4972" s="2">
        <v>42556</v>
      </c>
      <c r="U4972" s="2">
        <v>42616</v>
      </c>
      <c r="V4972" t="s">
        <v>71</v>
      </c>
      <c r="W4972" t="str">
        <f>"               16/PA"</f>
        <v xml:space="preserve">               16/PA</v>
      </c>
      <c r="X4972" s="1">
        <v>3513.6</v>
      </c>
      <c r="Y4972">
        <v>0</v>
      </c>
      <c r="Z4972" s="5">
        <v>2880</v>
      </c>
      <c r="AA4972">
        <v>32</v>
      </c>
      <c r="AB4972" s="5">
        <v>92160</v>
      </c>
      <c r="AC4972" s="1">
        <v>2880</v>
      </c>
      <c r="AD4972">
        <v>32</v>
      </c>
      <c r="AE4972" s="1">
        <v>92160</v>
      </c>
      <c r="AF4972">
        <v>0</v>
      </c>
      <c r="AJ4972">
        <v>0</v>
      </c>
      <c r="AK4972">
        <v>0</v>
      </c>
      <c r="AL4972">
        <v>0</v>
      </c>
      <c r="AM4972" s="1">
        <v>3513.6</v>
      </c>
      <c r="AN4972" s="1">
        <v>3513.6</v>
      </c>
      <c r="AO4972" s="1">
        <v>3513.6</v>
      </c>
      <c r="AP4972" s="2">
        <v>42746</v>
      </c>
      <c r="AQ4972" t="s">
        <v>72</v>
      </c>
      <c r="AR4972" t="s">
        <v>72</v>
      </c>
      <c r="AS4972">
        <v>2663</v>
      </c>
      <c r="AT4972" s="4">
        <v>42648</v>
      </c>
      <c r="AU4972" t="s">
        <v>73</v>
      </c>
      <c r="AV4972">
        <v>2663</v>
      </c>
      <c r="AW4972" s="4">
        <v>42648</v>
      </c>
      <c r="BD4972">
        <v>0</v>
      </c>
      <c r="BN4972" t="s">
        <v>74</v>
      </c>
    </row>
    <row r="4973" spans="1:66" hidden="1">
      <c r="A4973">
        <v>101820</v>
      </c>
      <c r="B4973" s="3" t="s">
        <v>531</v>
      </c>
      <c r="C4973" s="1">
        <v>43300101</v>
      </c>
      <c r="D4973" t="s">
        <v>67</v>
      </c>
      <c r="H4973" t="str">
        <f>"04411460639"</f>
        <v>04411460639</v>
      </c>
      <c r="I4973" t="str">
        <f>"01550070617"</f>
        <v>01550070617</v>
      </c>
      <c r="K4973" t="str">
        <f>""</f>
        <v/>
      </c>
      <c r="M4973" t="s">
        <v>68</v>
      </c>
      <c r="N4973" t="str">
        <f t="shared" si="530"/>
        <v>FOR</v>
      </c>
      <c r="O4973" t="s">
        <v>69</v>
      </c>
      <c r="P4973" s="3" t="s">
        <v>75</v>
      </c>
      <c r="Q4973">
        <v>2015</v>
      </c>
      <c r="R4973" s="2">
        <v>42185</v>
      </c>
      <c r="S4973" s="2">
        <v>42192</v>
      </c>
      <c r="T4973" s="2">
        <v>42191</v>
      </c>
      <c r="U4973" s="2">
        <v>42251</v>
      </c>
      <c r="V4973" t="s">
        <v>71</v>
      </c>
      <c r="W4973" t="str">
        <f>"           15/309739"</f>
        <v xml:space="preserve">           15/309739</v>
      </c>
      <c r="X4973" s="1">
        <v>3640</v>
      </c>
      <c r="Y4973">
        <v>0</v>
      </c>
      <c r="Z4973"/>
      <c r="AB4973"/>
      <c r="AC4973" s="1">
        <v>3500</v>
      </c>
      <c r="AD4973">
        <v>201</v>
      </c>
      <c r="AE4973" s="1">
        <v>703500</v>
      </c>
      <c r="AF4973">
        <v>0</v>
      </c>
      <c r="AJ4973">
        <v>0</v>
      </c>
      <c r="AK4973">
        <v>0</v>
      </c>
      <c r="AL4973">
        <v>0</v>
      </c>
      <c r="AM4973">
        <v>0</v>
      </c>
      <c r="AN4973">
        <v>0</v>
      </c>
      <c r="AO4973">
        <v>0</v>
      </c>
      <c r="AP4973" s="2">
        <v>42746</v>
      </c>
      <c r="AQ4973" t="s">
        <v>72</v>
      </c>
      <c r="AR4973" t="s">
        <v>72</v>
      </c>
      <c r="AS4973">
        <v>806</v>
      </c>
      <c r="AT4973" s="4">
        <v>42452</v>
      </c>
      <c r="AU4973" t="s">
        <v>73</v>
      </c>
      <c r="AV4973">
        <v>806</v>
      </c>
      <c r="AW4973" s="4">
        <v>42452</v>
      </c>
      <c r="BD4973">
        <v>0</v>
      </c>
      <c r="BN4973" t="s">
        <v>74</v>
      </c>
    </row>
    <row r="4974" spans="1:66">
      <c r="A4974">
        <v>101820</v>
      </c>
      <c r="B4974" s="3" t="s">
        <v>531</v>
      </c>
      <c r="C4974" s="1">
        <v>43300101</v>
      </c>
      <c r="D4974" t="s">
        <v>67</v>
      </c>
      <c r="H4974" t="str">
        <f>"04411460639"</f>
        <v>04411460639</v>
      </c>
      <c r="I4974" t="str">
        <f>"01550070617"</f>
        <v>01550070617</v>
      </c>
      <c r="K4974" t="str">
        <f>""</f>
        <v/>
      </c>
      <c r="M4974" t="s">
        <v>68</v>
      </c>
      <c r="N4974" t="str">
        <f t="shared" si="530"/>
        <v>FOR</v>
      </c>
      <c r="O4974" t="s">
        <v>69</v>
      </c>
      <c r="P4974" s="3" t="s">
        <v>75</v>
      </c>
      <c r="Q4974">
        <v>2015</v>
      </c>
      <c r="R4974" s="2">
        <v>42369</v>
      </c>
      <c r="S4974" s="2">
        <v>42369</v>
      </c>
      <c r="T4974" s="2">
        <v>42369</v>
      </c>
      <c r="U4974" s="2">
        <v>42429</v>
      </c>
      <c r="V4974" t="s">
        <v>71</v>
      </c>
      <c r="W4974" t="str">
        <f>"           15/326126"</f>
        <v xml:space="preserve">           15/326126</v>
      </c>
      <c r="X4974" s="1">
        <v>3640</v>
      </c>
      <c r="Y4974">
        <v>0</v>
      </c>
      <c r="Z4974" s="5">
        <v>3500</v>
      </c>
      <c r="AA4974">
        <v>255</v>
      </c>
      <c r="AB4974" s="5">
        <v>892500</v>
      </c>
      <c r="AC4974" s="1">
        <v>3500</v>
      </c>
      <c r="AD4974">
        <v>255</v>
      </c>
      <c r="AE4974" s="1">
        <v>892500</v>
      </c>
      <c r="AF4974">
        <v>0</v>
      </c>
      <c r="AJ4974">
        <v>0</v>
      </c>
      <c r="AK4974">
        <v>0</v>
      </c>
      <c r="AL4974">
        <v>0</v>
      </c>
      <c r="AM4974">
        <v>0</v>
      </c>
      <c r="AN4974">
        <v>0</v>
      </c>
      <c r="AO4974">
        <v>0</v>
      </c>
      <c r="AP4974" s="2">
        <v>42746</v>
      </c>
      <c r="AQ4974" t="s">
        <v>72</v>
      </c>
      <c r="AR4974" t="s">
        <v>72</v>
      </c>
      <c r="AS4974">
        <v>3062</v>
      </c>
      <c r="AT4974" s="4">
        <v>42684</v>
      </c>
      <c r="AU4974" t="s">
        <v>73</v>
      </c>
      <c r="AV4974">
        <v>3062</v>
      </c>
      <c r="AW4974" s="4">
        <v>42684</v>
      </c>
      <c r="BD4974">
        <v>0</v>
      </c>
      <c r="BN4974" t="s">
        <v>74</v>
      </c>
    </row>
    <row r="4975" spans="1:66">
      <c r="A4975">
        <v>101820</v>
      </c>
      <c r="B4975" s="3" t="s">
        <v>531</v>
      </c>
      <c r="C4975" s="1">
        <v>43300101</v>
      </c>
      <c r="D4975" t="s">
        <v>67</v>
      </c>
      <c r="H4975" t="str">
        <f>"04411460639"</f>
        <v>04411460639</v>
      </c>
      <c r="I4975" t="str">
        <f>"01550070617"</f>
        <v>01550070617</v>
      </c>
      <c r="K4975" t="str">
        <f>""</f>
        <v/>
      </c>
      <c r="M4975" t="s">
        <v>68</v>
      </c>
      <c r="N4975" t="str">
        <f t="shared" si="530"/>
        <v>FOR</v>
      </c>
      <c r="O4975" t="s">
        <v>69</v>
      </c>
      <c r="P4975" s="3" t="s">
        <v>75</v>
      </c>
      <c r="Q4975">
        <v>2016</v>
      </c>
      <c r="R4975" s="2">
        <v>42400</v>
      </c>
      <c r="S4975" s="2">
        <v>42410</v>
      </c>
      <c r="T4975" s="2">
        <v>42403</v>
      </c>
      <c r="U4975" s="2">
        <v>42463</v>
      </c>
      <c r="V4975" t="s">
        <v>71</v>
      </c>
      <c r="W4975" t="str">
        <f>"           16/300181"</f>
        <v xml:space="preserve">           16/300181</v>
      </c>
      <c r="X4975" s="1">
        <v>9784.32</v>
      </c>
      <c r="Y4975">
        <v>0</v>
      </c>
      <c r="Z4975" s="5">
        <v>9408</v>
      </c>
      <c r="AA4975">
        <v>260</v>
      </c>
      <c r="AB4975" s="5">
        <v>2446080</v>
      </c>
      <c r="AC4975" s="1">
        <v>9408</v>
      </c>
      <c r="AD4975">
        <v>260</v>
      </c>
      <c r="AE4975" s="1">
        <v>2446080</v>
      </c>
      <c r="AF4975">
        <v>376.32</v>
      </c>
      <c r="AJ4975">
        <v>0</v>
      </c>
      <c r="AK4975">
        <v>0</v>
      </c>
      <c r="AL4975">
        <v>0</v>
      </c>
      <c r="AM4975">
        <v>0</v>
      </c>
      <c r="AN4975" s="1">
        <v>9784.32</v>
      </c>
      <c r="AO4975" s="1">
        <v>9784.32</v>
      </c>
      <c r="AP4975" s="2">
        <v>42746</v>
      </c>
      <c r="AQ4975" t="s">
        <v>72</v>
      </c>
      <c r="AR4975" t="s">
        <v>72</v>
      </c>
      <c r="AS4975">
        <v>3584</v>
      </c>
      <c r="AT4975" s="4">
        <v>42723</v>
      </c>
      <c r="AU4975" t="s">
        <v>73</v>
      </c>
      <c r="AV4975">
        <v>3584</v>
      </c>
      <c r="AW4975" s="4">
        <v>42723</v>
      </c>
      <c r="BD4975">
        <v>376.32</v>
      </c>
      <c r="BN4975" t="s">
        <v>74</v>
      </c>
    </row>
    <row r="4976" spans="1:66">
      <c r="A4976">
        <v>101820</v>
      </c>
      <c r="B4976" s="3" t="s">
        <v>531</v>
      </c>
      <c r="C4976" s="1">
        <v>43300101</v>
      </c>
      <c r="D4976" t="s">
        <v>67</v>
      </c>
      <c r="H4976" t="str">
        <f>"04411460639"</f>
        <v>04411460639</v>
      </c>
      <c r="I4976" t="str">
        <f>"01550070617"</f>
        <v>01550070617</v>
      </c>
      <c r="K4976" t="str">
        <f>""</f>
        <v/>
      </c>
      <c r="M4976" t="s">
        <v>68</v>
      </c>
      <c r="N4976" t="str">
        <f t="shared" si="530"/>
        <v>FOR</v>
      </c>
      <c r="O4976" t="s">
        <v>69</v>
      </c>
      <c r="P4976" s="3" t="s">
        <v>75</v>
      </c>
      <c r="Q4976">
        <v>2016</v>
      </c>
      <c r="R4976" s="2">
        <v>42400</v>
      </c>
      <c r="S4976" s="2">
        <v>42410</v>
      </c>
      <c r="T4976" s="2">
        <v>42403</v>
      </c>
      <c r="U4976" s="2">
        <v>42463</v>
      </c>
      <c r="V4976" t="s">
        <v>71</v>
      </c>
      <c r="W4976" t="str">
        <f>"           16/300182"</f>
        <v xml:space="preserve">           16/300182</v>
      </c>
      <c r="X4976" s="1">
        <v>1202.6600000000001</v>
      </c>
      <c r="Y4976">
        <v>0</v>
      </c>
      <c r="Z4976" s="5">
        <v>1156.4000000000001</v>
      </c>
      <c r="AA4976">
        <v>260</v>
      </c>
      <c r="AB4976" s="5">
        <v>300664</v>
      </c>
      <c r="AC4976" s="1">
        <v>1156.4000000000001</v>
      </c>
      <c r="AD4976">
        <v>260</v>
      </c>
      <c r="AE4976" s="1">
        <v>300664</v>
      </c>
      <c r="AF4976">
        <v>46.26</v>
      </c>
      <c r="AJ4976">
        <v>0</v>
      </c>
      <c r="AK4976">
        <v>0</v>
      </c>
      <c r="AL4976">
        <v>0</v>
      </c>
      <c r="AM4976" s="1">
        <v>1202.6600000000001</v>
      </c>
      <c r="AN4976" s="1">
        <v>1202.6600000000001</v>
      </c>
      <c r="AO4976" s="1">
        <v>1202.6600000000001</v>
      </c>
      <c r="AP4976" s="2">
        <v>42746</v>
      </c>
      <c r="AQ4976" t="s">
        <v>72</v>
      </c>
      <c r="AR4976" t="s">
        <v>72</v>
      </c>
      <c r="AS4976">
        <v>3584</v>
      </c>
      <c r="AT4976" s="4">
        <v>42723</v>
      </c>
      <c r="AU4976" t="s">
        <v>73</v>
      </c>
      <c r="AV4976">
        <v>3584</v>
      </c>
      <c r="AW4976" s="4">
        <v>42723</v>
      </c>
      <c r="BD4976">
        <v>46.26</v>
      </c>
      <c r="BN4976" t="s">
        <v>74</v>
      </c>
    </row>
    <row r="4977" spans="1:66">
      <c r="A4977">
        <v>101820</v>
      </c>
      <c r="B4977" s="3" t="s">
        <v>531</v>
      </c>
      <c r="C4977" s="1">
        <v>43300101</v>
      </c>
      <c r="D4977" t="s">
        <v>67</v>
      </c>
      <c r="H4977" t="str">
        <f>"04411460639"</f>
        <v>04411460639</v>
      </c>
      <c r="I4977" t="str">
        <f>"01550070617"</f>
        <v>01550070617</v>
      </c>
      <c r="K4977" t="str">
        <f>""</f>
        <v/>
      </c>
      <c r="M4977" t="s">
        <v>68</v>
      </c>
      <c r="N4977" t="str">
        <f t="shared" si="530"/>
        <v>FOR</v>
      </c>
      <c r="O4977" t="s">
        <v>69</v>
      </c>
      <c r="P4977" s="3" t="s">
        <v>75</v>
      </c>
      <c r="Q4977">
        <v>2016</v>
      </c>
      <c r="R4977" s="2">
        <v>42429</v>
      </c>
      <c r="S4977" s="2">
        <v>42436</v>
      </c>
      <c r="T4977" s="2">
        <v>42433</v>
      </c>
      <c r="U4977" s="2">
        <v>42493</v>
      </c>
      <c r="V4977" t="s">
        <v>71</v>
      </c>
      <c r="W4977" t="str">
        <f>"           16/303073"</f>
        <v xml:space="preserve">           16/303073</v>
      </c>
      <c r="X4977" s="1">
        <v>7266.9</v>
      </c>
      <c r="Y4977">
        <v>0</v>
      </c>
      <c r="Z4977" s="5">
        <v>6987.4</v>
      </c>
      <c r="AA4977">
        <v>230</v>
      </c>
      <c r="AB4977" s="5">
        <v>1607102</v>
      </c>
      <c r="AC4977" s="1">
        <v>6987.4</v>
      </c>
      <c r="AD4977">
        <v>230</v>
      </c>
      <c r="AE4977" s="1">
        <v>1607102</v>
      </c>
      <c r="AF4977">
        <v>279.5</v>
      </c>
      <c r="AJ4977">
        <v>0</v>
      </c>
      <c r="AK4977">
        <v>0</v>
      </c>
      <c r="AL4977">
        <v>0</v>
      </c>
      <c r="AM4977" s="1">
        <v>7266.9</v>
      </c>
      <c r="AN4977" s="1">
        <v>7266.9</v>
      </c>
      <c r="AO4977" s="1">
        <v>7266.9</v>
      </c>
      <c r="AP4977" s="2">
        <v>42746</v>
      </c>
      <c r="AQ4977" t="s">
        <v>72</v>
      </c>
      <c r="AR4977" t="s">
        <v>72</v>
      </c>
      <c r="AS4977">
        <v>3584</v>
      </c>
      <c r="AT4977" s="4">
        <v>42723</v>
      </c>
      <c r="AU4977" t="s">
        <v>73</v>
      </c>
      <c r="AV4977">
        <v>3584</v>
      </c>
      <c r="AW4977" s="4">
        <v>42723</v>
      </c>
      <c r="BD4977">
        <v>279.5</v>
      </c>
      <c r="BN4977" t="s">
        <v>74</v>
      </c>
    </row>
    <row r="4978" spans="1:66" hidden="1">
      <c r="A4978">
        <v>101821</v>
      </c>
      <c r="B4978" s="3" t="s">
        <v>532</v>
      </c>
      <c r="C4978" s="1">
        <v>43300101</v>
      </c>
      <c r="D4978" t="s">
        <v>67</v>
      </c>
      <c r="H4978" t="str">
        <f>"05006121007"</f>
        <v>05006121007</v>
      </c>
      <c r="I4978" t="str">
        <f>"05006121007"</f>
        <v>05006121007</v>
      </c>
      <c r="K4978" t="str">
        <f>""</f>
        <v/>
      </c>
      <c r="M4978" t="s">
        <v>68</v>
      </c>
      <c r="N4978" t="str">
        <f t="shared" si="530"/>
        <v>FOR</v>
      </c>
      <c r="O4978" t="s">
        <v>69</v>
      </c>
      <c r="P4978" s="3" t="s">
        <v>78</v>
      </c>
      <c r="Q4978">
        <v>2014</v>
      </c>
      <c r="R4978" s="2">
        <v>41768</v>
      </c>
      <c r="S4978" s="2">
        <v>41778</v>
      </c>
      <c r="T4978" s="2">
        <v>41778</v>
      </c>
      <c r="U4978" s="2">
        <v>41868</v>
      </c>
      <c r="V4978" t="s">
        <v>71</v>
      </c>
      <c r="W4978" t="str">
        <f>"                  99"</f>
        <v xml:space="preserve">                  99</v>
      </c>
      <c r="X4978">
        <v>865</v>
      </c>
      <c r="Y4978">
        <v>0</v>
      </c>
      <c r="Z4978"/>
      <c r="AB4978"/>
      <c r="AC4978">
        <v>865</v>
      </c>
      <c r="AD4978">
        <v>540</v>
      </c>
      <c r="AE4978" s="1">
        <v>467100</v>
      </c>
      <c r="AF4978">
        <v>0</v>
      </c>
      <c r="AJ4978">
        <v>0</v>
      </c>
      <c r="AK4978">
        <v>0</v>
      </c>
      <c r="AL4978">
        <v>0</v>
      </c>
      <c r="AM4978">
        <v>0</v>
      </c>
      <c r="AN4978">
        <v>0</v>
      </c>
      <c r="AO4978">
        <v>0</v>
      </c>
      <c r="AP4978" s="2">
        <v>42746</v>
      </c>
      <c r="AQ4978" t="s">
        <v>72</v>
      </c>
      <c r="AR4978" t="s">
        <v>72</v>
      </c>
      <c r="AS4978">
        <v>320</v>
      </c>
      <c r="AT4978" s="4">
        <v>42408</v>
      </c>
      <c r="AU4978" t="s">
        <v>73</v>
      </c>
      <c r="AV4978">
        <v>320</v>
      </c>
      <c r="AW4978" s="4">
        <v>42408</v>
      </c>
      <c r="BD4978">
        <v>0</v>
      </c>
      <c r="BN4978" t="s">
        <v>74</v>
      </c>
    </row>
    <row r="4979" spans="1:66" hidden="1">
      <c r="A4979">
        <v>101825</v>
      </c>
      <c r="B4979" s="3" t="s">
        <v>533</v>
      </c>
      <c r="C4979" s="1">
        <v>43300101</v>
      </c>
      <c r="D4979" t="s">
        <v>67</v>
      </c>
      <c r="H4979" t="str">
        <f>"03936000714"</f>
        <v>03936000714</v>
      </c>
      <c r="I4979" t="str">
        <f>"03936000714"</f>
        <v>03936000714</v>
      </c>
      <c r="K4979" t="str">
        <f>""</f>
        <v/>
      </c>
      <c r="M4979" t="s">
        <v>68</v>
      </c>
      <c r="N4979" t="str">
        <f t="shared" si="530"/>
        <v>FOR</v>
      </c>
      <c r="O4979" t="s">
        <v>69</v>
      </c>
      <c r="P4979" s="3" t="s">
        <v>75</v>
      </c>
      <c r="Q4979">
        <v>2015</v>
      </c>
      <c r="R4979" s="2">
        <v>42341</v>
      </c>
      <c r="S4979" s="2">
        <v>42354</v>
      </c>
      <c r="T4979" s="2">
        <v>42353</v>
      </c>
      <c r="U4979" s="2">
        <v>42413</v>
      </c>
      <c r="V4979" t="s">
        <v>71</v>
      </c>
      <c r="W4979" t="str">
        <f>"               27/PA"</f>
        <v xml:space="preserve">               27/PA</v>
      </c>
      <c r="X4979" s="1">
        <v>2342.4</v>
      </c>
      <c r="Y4979">
        <v>0</v>
      </c>
      <c r="Z4979"/>
      <c r="AB4979"/>
      <c r="AC4979" s="1">
        <v>1920</v>
      </c>
      <c r="AD4979">
        <v>107</v>
      </c>
      <c r="AE4979" s="1">
        <v>205440</v>
      </c>
      <c r="AF4979">
        <v>0</v>
      </c>
      <c r="AJ4979">
        <v>0</v>
      </c>
      <c r="AK4979">
        <v>0</v>
      </c>
      <c r="AL4979">
        <v>0</v>
      </c>
      <c r="AM4979">
        <v>0</v>
      </c>
      <c r="AN4979">
        <v>0</v>
      </c>
      <c r="AO4979">
        <v>0</v>
      </c>
      <c r="AP4979" s="2">
        <v>42746</v>
      </c>
      <c r="AQ4979" t="s">
        <v>72</v>
      </c>
      <c r="AR4979" t="s">
        <v>72</v>
      </c>
      <c r="AS4979">
        <v>1407</v>
      </c>
      <c r="AT4979" s="4">
        <v>42520</v>
      </c>
      <c r="AU4979" t="s">
        <v>73</v>
      </c>
      <c r="AV4979">
        <v>1407</v>
      </c>
      <c r="AW4979" s="4">
        <v>42520</v>
      </c>
      <c r="BD4979">
        <v>0</v>
      </c>
      <c r="BN4979" t="s">
        <v>74</v>
      </c>
    </row>
    <row r="4980" spans="1:66" hidden="1">
      <c r="A4980">
        <v>101830</v>
      </c>
      <c r="B4980" s="3" t="s">
        <v>534</v>
      </c>
      <c r="C4980" s="1">
        <v>43300101</v>
      </c>
      <c r="D4980" t="s">
        <v>67</v>
      </c>
      <c r="H4980" t="str">
        <f t="shared" ref="H4980:I4985" si="536">"02972330365"</f>
        <v>02972330365</v>
      </c>
      <c r="I4980" t="str">
        <f t="shared" si="536"/>
        <v>02972330365</v>
      </c>
      <c r="K4980" t="str">
        <f>""</f>
        <v/>
      </c>
      <c r="M4980" t="s">
        <v>68</v>
      </c>
      <c r="N4980" t="str">
        <f t="shared" si="530"/>
        <v>FOR</v>
      </c>
      <c r="O4980" t="s">
        <v>69</v>
      </c>
      <c r="P4980" s="3" t="s">
        <v>75</v>
      </c>
      <c r="Q4980">
        <v>2015</v>
      </c>
      <c r="R4980" s="2">
        <v>42277</v>
      </c>
      <c r="S4980" s="2">
        <v>42290</v>
      </c>
      <c r="T4980" s="2">
        <v>42290</v>
      </c>
      <c r="U4980" s="2">
        <v>42350</v>
      </c>
      <c r="V4980" t="s">
        <v>71</v>
      </c>
      <c r="W4980" t="str">
        <f>"              250/PA"</f>
        <v xml:space="preserve">              250/PA</v>
      </c>
      <c r="X4980" s="1">
        <v>1220</v>
      </c>
      <c r="Y4980">
        <v>0</v>
      </c>
      <c r="Z4980"/>
      <c r="AB4980"/>
      <c r="AC4980" s="1">
        <v>1000</v>
      </c>
      <c r="AD4980">
        <v>137</v>
      </c>
      <c r="AE4980" s="1">
        <v>137000</v>
      </c>
      <c r="AF4980">
        <v>0</v>
      </c>
      <c r="AJ4980">
        <v>0</v>
      </c>
      <c r="AK4980">
        <v>0</v>
      </c>
      <c r="AL4980">
        <v>0</v>
      </c>
      <c r="AM4980">
        <v>0</v>
      </c>
      <c r="AN4980">
        <v>0</v>
      </c>
      <c r="AO4980">
        <v>0</v>
      </c>
      <c r="AP4980" s="2">
        <v>42746</v>
      </c>
      <c r="AQ4980" t="s">
        <v>72</v>
      </c>
      <c r="AR4980" t="s">
        <v>72</v>
      </c>
      <c r="AS4980">
        <v>1187</v>
      </c>
      <c r="AT4980" s="4">
        <v>42487</v>
      </c>
      <c r="AU4980" t="s">
        <v>73</v>
      </c>
      <c r="AV4980">
        <v>1187</v>
      </c>
      <c r="AW4980" s="4">
        <v>42487</v>
      </c>
      <c r="BD4980">
        <v>0</v>
      </c>
      <c r="BN4980" t="s">
        <v>74</v>
      </c>
    </row>
    <row r="4981" spans="1:66" hidden="1">
      <c r="A4981">
        <v>101830</v>
      </c>
      <c r="B4981" s="3" t="s">
        <v>534</v>
      </c>
      <c r="C4981" s="1">
        <v>43300101</v>
      </c>
      <c r="D4981" t="s">
        <v>67</v>
      </c>
      <c r="H4981" t="str">
        <f t="shared" si="536"/>
        <v>02972330365</v>
      </c>
      <c r="I4981" t="str">
        <f t="shared" si="536"/>
        <v>02972330365</v>
      </c>
      <c r="K4981" t="str">
        <f>""</f>
        <v/>
      </c>
      <c r="M4981" t="s">
        <v>68</v>
      </c>
      <c r="N4981" t="str">
        <f t="shared" si="530"/>
        <v>FOR</v>
      </c>
      <c r="O4981" t="s">
        <v>69</v>
      </c>
      <c r="P4981" s="3" t="s">
        <v>75</v>
      </c>
      <c r="Q4981">
        <v>2015</v>
      </c>
      <c r="R4981" s="2">
        <v>42369</v>
      </c>
      <c r="S4981" s="2">
        <v>42369</v>
      </c>
      <c r="T4981" s="2">
        <v>42369</v>
      </c>
      <c r="U4981" s="2">
        <v>42429</v>
      </c>
      <c r="V4981" t="s">
        <v>71</v>
      </c>
      <c r="W4981" t="str">
        <f>"              398/PA"</f>
        <v xml:space="preserve">              398/PA</v>
      </c>
      <c r="X4981">
        <v>528.66</v>
      </c>
      <c r="Y4981">
        <v>0</v>
      </c>
      <c r="Z4981"/>
      <c r="AB4981"/>
      <c r="AC4981">
        <v>433.33</v>
      </c>
      <c r="AD4981">
        <v>58</v>
      </c>
      <c r="AE4981" s="1">
        <v>25133.14</v>
      </c>
      <c r="AF4981">
        <v>0</v>
      </c>
      <c r="AJ4981">
        <v>0</v>
      </c>
      <c r="AK4981">
        <v>0</v>
      </c>
      <c r="AL4981">
        <v>0</v>
      </c>
      <c r="AM4981">
        <v>0</v>
      </c>
      <c r="AN4981">
        <v>0</v>
      </c>
      <c r="AO4981">
        <v>0</v>
      </c>
      <c r="AP4981" s="2">
        <v>42746</v>
      </c>
      <c r="AQ4981" t="s">
        <v>72</v>
      </c>
      <c r="AR4981" t="s">
        <v>72</v>
      </c>
      <c r="AS4981">
        <v>1187</v>
      </c>
      <c r="AT4981" s="4">
        <v>42487</v>
      </c>
      <c r="AU4981" t="s">
        <v>73</v>
      </c>
      <c r="AV4981">
        <v>1187</v>
      </c>
      <c r="AW4981" s="4">
        <v>42487</v>
      </c>
      <c r="BD4981">
        <v>0</v>
      </c>
      <c r="BN4981" t="s">
        <v>74</v>
      </c>
    </row>
    <row r="4982" spans="1:66">
      <c r="A4982">
        <v>101830</v>
      </c>
      <c r="B4982" s="3" t="s">
        <v>534</v>
      </c>
      <c r="C4982" s="1">
        <v>43300101</v>
      </c>
      <c r="D4982" t="s">
        <v>67</v>
      </c>
      <c r="H4982" t="str">
        <f t="shared" si="536"/>
        <v>02972330365</v>
      </c>
      <c r="I4982" t="str">
        <f t="shared" si="536"/>
        <v>02972330365</v>
      </c>
      <c r="K4982" t="str">
        <f>""</f>
        <v/>
      </c>
      <c r="M4982" t="s">
        <v>68</v>
      </c>
      <c r="N4982" t="str">
        <f t="shared" si="530"/>
        <v>FOR</v>
      </c>
      <c r="O4982" t="s">
        <v>69</v>
      </c>
      <c r="P4982" s="3" t="s">
        <v>75</v>
      </c>
      <c r="Q4982">
        <v>2016</v>
      </c>
      <c r="R4982" s="2">
        <v>42460</v>
      </c>
      <c r="S4982" s="2">
        <v>42475</v>
      </c>
      <c r="T4982" s="2">
        <v>42473</v>
      </c>
      <c r="U4982" s="2">
        <v>42533</v>
      </c>
      <c r="V4982" t="s">
        <v>71</v>
      </c>
      <c r="W4982" t="str">
        <f>"               87/PA"</f>
        <v xml:space="preserve">               87/PA</v>
      </c>
      <c r="X4982">
        <v>396.5</v>
      </c>
      <c r="Y4982">
        <v>0</v>
      </c>
      <c r="Z4982" s="3">
        <v>325</v>
      </c>
      <c r="AA4982">
        <v>114</v>
      </c>
      <c r="AB4982" s="5">
        <v>37050</v>
      </c>
      <c r="AC4982">
        <v>325</v>
      </c>
      <c r="AD4982">
        <v>114</v>
      </c>
      <c r="AE4982" s="1">
        <v>37050</v>
      </c>
      <c r="AF4982">
        <v>0</v>
      </c>
      <c r="AJ4982">
        <v>0</v>
      </c>
      <c r="AK4982">
        <v>0</v>
      </c>
      <c r="AL4982">
        <v>0</v>
      </c>
      <c r="AM4982">
        <v>396.5</v>
      </c>
      <c r="AN4982">
        <v>396.5</v>
      </c>
      <c r="AO4982">
        <v>396.5</v>
      </c>
      <c r="AP4982" s="2">
        <v>42746</v>
      </c>
      <c r="AQ4982" t="s">
        <v>72</v>
      </c>
      <c r="AR4982" t="s">
        <v>72</v>
      </c>
      <c r="AS4982">
        <v>2593</v>
      </c>
      <c r="AT4982" s="4">
        <v>42647</v>
      </c>
      <c r="AU4982" t="s">
        <v>73</v>
      </c>
      <c r="AV4982">
        <v>2593</v>
      </c>
      <c r="AW4982" s="4">
        <v>42647</v>
      </c>
      <c r="BD4982">
        <v>0</v>
      </c>
      <c r="BN4982" t="s">
        <v>74</v>
      </c>
    </row>
    <row r="4983" spans="1:66">
      <c r="A4983">
        <v>101830</v>
      </c>
      <c r="B4983" s="3" t="s">
        <v>534</v>
      </c>
      <c r="C4983" s="1">
        <v>43300101</v>
      </c>
      <c r="D4983" t="s">
        <v>67</v>
      </c>
      <c r="H4983" t="str">
        <f t="shared" si="536"/>
        <v>02972330365</v>
      </c>
      <c r="I4983" t="str">
        <f t="shared" si="536"/>
        <v>02972330365</v>
      </c>
      <c r="K4983" t="str">
        <f>""</f>
        <v/>
      </c>
      <c r="M4983" t="s">
        <v>68</v>
      </c>
      <c r="N4983" t="str">
        <f t="shared" si="530"/>
        <v>FOR</v>
      </c>
      <c r="O4983" t="s">
        <v>69</v>
      </c>
      <c r="P4983" s="3" t="s">
        <v>75</v>
      </c>
      <c r="Q4983">
        <v>2016</v>
      </c>
      <c r="R4983" s="2">
        <v>42460</v>
      </c>
      <c r="S4983" s="2">
        <v>42475</v>
      </c>
      <c r="T4983" s="2">
        <v>42473</v>
      </c>
      <c r="U4983" s="2">
        <v>42533</v>
      </c>
      <c r="V4983" t="s">
        <v>71</v>
      </c>
      <c r="W4983" t="str">
        <f>"               88/PA"</f>
        <v xml:space="preserve">               88/PA</v>
      </c>
      <c r="X4983" s="1">
        <v>1220</v>
      </c>
      <c r="Y4983">
        <v>0</v>
      </c>
      <c r="Z4983" s="5">
        <v>1000</v>
      </c>
      <c r="AA4983">
        <v>114</v>
      </c>
      <c r="AB4983" s="5">
        <v>114000</v>
      </c>
      <c r="AC4983" s="1">
        <v>1000</v>
      </c>
      <c r="AD4983">
        <v>114</v>
      </c>
      <c r="AE4983" s="1">
        <v>114000</v>
      </c>
      <c r="AF4983">
        <v>0</v>
      </c>
      <c r="AJ4983">
        <v>0</v>
      </c>
      <c r="AK4983">
        <v>0</v>
      </c>
      <c r="AL4983">
        <v>0</v>
      </c>
      <c r="AM4983" s="1">
        <v>1220</v>
      </c>
      <c r="AN4983" s="1">
        <v>1220</v>
      </c>
      <c r="AO4983" s="1">
        <v>1220</v>
      </c>
      <c r="AP4983" s="2">
        <v>42746</v>
      </c>
      <c r="AQ4983" t="s">
        <v>72</v>
      </c>
      <c r="AR4983" t="s">
        <v>72</v>
      </c>
      <c r="AS4983">
        <v>2593</v>
      </c>
      <c r="AT4983" s="4">
        <v>42647</v>
      </c>
      <c r="AU4983" t="s">
        <v>73</v>
      </c>
      <c r="AV4983">
        <v>2593</v>
      </c>
      <c r="AW4983" s="4">
        <v>42647</v>
      </c>
      <c r="BD4983">
        <v>0</v>
      </c>
      <c r="BN4983" t="s">
        <v>74</v>
      </c>
    </row>
    <row r="4984" spans="1:66">
      <c r="A4984">
        <v>101830</v>
      </c>
      <c r="B4984" s="3" t="s">
        <v>534</v>
      </c>
      <c r="C4984" s="1">
        <v>43300101</v>
      </c>
      <c r="D4984" t="s">
        <v>67</v>
      </c>
      <c r="H4984" t="str">
        <f t="shared" si="536"/>
        <v>02972330365</v>
      </c>
      <c r="I4984" t="str">
        <f t="shared" si="536"/>
        <v>02972330365</v>
      </c>
      <c r="K4984" t="str">
        <f>""</f>
        <v/>
      </c>
      <c r="M4984" t="s">
        <v>68</v>
      </c>
      <c r="N4984" t="str">
        <f t="shared" si="530"/>
        <v>FOR</v>
      </c>
      <c r="O4984" t="s">
        <v>69</v>
      </c>
      <c r="P4984" s="3" t="s">
        <v>75</v>
      </c>
      <c r="Q4984">
        <v>2016</v>
      </c>
      <c r="R4984" s="2">
        <v>42551</v>
      </c>
      <c r="S4984" s="2">
        <v>42577</v>
      </c>
      <c r="T4984" s="2">
        <v>42568</v>
      </c>
      <c r="U4984" s="2">
        <v>42628</v>
      </c>
      <c r="V4984" t="s">
        <v>71</v>
      </c>
      <c r="W4984" t="str">
        <f>"              238/PA"</f>
        <v xml:space="preserve">              238/PA</v>
      </c>
      <c r="X4984" s="1">
        <v>1220</v>
      </c>
      <c r="Y4984">
        <v>0</v>
      </c>
      <c r="Z4984" s="5">
        <v>1000</v>
      </c>
      <c r="AA4984">
        <v>19</v>
      </c>
      <c r="AB4984" s="5">
        <v>19000</v>
      </c>
      <c r="AC4984" s="1">
        <v>1000</v>
      </c>
      <c r="AD4984">
        <v>19</v>
      </c>
      <c r="AE4984" s="1">
        <v>19000</v>
      </c>
      <c r="AF4984">
        <v>0</v>
      </c>
      <c r="AJ4984">
        <v>0</v>
      </c>
      <c r="AK4984">
        <v>0</v>
      </c>
      <c r="AL4984">
        <v>0</v>
      </c>
      <c r="AM4984" s="1">
        <v>1220</v>
      </c>
      <c r="AN4984" s="1">
        <v>1220</v>
      </c>
      <c r="AO4984" s="1">
        <v>1220</v>
      </c>
      <c r="AP4984" s="2">
        <v>42746</v>
      </c>
      <c r="AQ4984" t="s">
        <v>72</v>
      </c>
      <c r="AR4984" t="s">
        <v>72</v>
      </c>
      <c r="AS4984">
        <v>2593</v>
      </c>
      <c r="AT4984" s="4">
        <v>42647</v>
      </c>
      <c r="AU4984" t="s">
        <v>73</v>
      </c>
      <c r="AV4984">
        <v>2593</v>
      </c>
      <c r="AW4984" s="4">
        <v>42647</v>
      </c>
      <c r="BD4984">
        <v>0</v>
      </c>
      <c r="BN4984" t="s">
        <v>74</v>
      </c>
    </row>
    <row r="4985" spans="1:66">
      <c r="A4985">
        <v>101830</v>
      </c>
      <c r="B4985" s="3" t="s">
        <v>534</v>
      </c>
      <c r="C4985" s="1">
        <v>43300101</v>
      </c>
      <c r="D4985" t="s">
        <v>67</v>
      </c>
      <c r="H4985" t="str">
        <f t="shared" si="536"/>
        <v>02972330365</v>
      </c>
      <c r="I4985" t="str">
        <f t="shared" si="536"/>
        <v>02972330365</v>
      </c>
      <c r="K4985" t="str">
        <f>""</f>
        <v/>
      </c>
      <c r="M4985" t="s">
        <v>68</v>
      </c>
      <c r="N4985" t="str">
        <f t="shared" si="530"/>
        <v>FOR</v>
      </c>
      <c r="O4985" t="s">
        <v>69</v>
      </c>
      <c r="P4985" s="3" t="s">
        <v>75</v>
      </c>
      <c r="Q4985">
        <v>2016</v>
      </c>
      <c r="R4985" s="2">
        <v>42551</v>
      </c>
      <c r="S4985" s="2">
        <v>42577</v>
      </c>
      <c r="T4985" s="2">
        <v>42568</v>
      </c>
      <c r="U4985" s="2">
        <v>42628</v>
      </c>
      <c r="V4985" t="s">
        <v>71</v>
      </c>
      <c r="W4985" t="str">
        <f>"              239/PA"</f>
        <v xml:space="preserve">              239/PA</v>
      </c>
      <c r="X4985">
        <v>396.5</v>
      </c>
      <c r="Y4985">
        <v>0</v>
      </c>
      <c r="Z4985" s="3">
        <v>325</v>
      </c>
      <c r="AA4985">
        <v>19</v>
      </c>
      <c r="AB4985" s="5">
        <v>6175</v>
      </c>
      <c r="AC4985">
        <v>325</v>
      </c>
      <c r="AD4985">
        <v>19</v>
      </c>
      <c r="AE4985" s="1">
        <v>6175</v>
      </c>
      <c r="AF4985">
        <v>0</v>
      </c>
      <c r="AJ4985">
        <v>0</v>
      </c>
      <c r="AK4985">
        <v>0</v>
      </c>
      <c r="AL4985">
        <v>0</v>
      </c>
      <c r="AM4985">
        <v>396.5</v>
      </c>
      <c r="AN4985">
        <v>396.5</v>
      </c>
      <c r="AO4985">
        <v>396.5</v>
      </c>
      <c r="AP4985" s="2">
        <v>42746</v>
      </c>
      <c r="AQ4985" t="s">
        <v>72</v>
      </c>
      <c r="AR4985" t="s">
        <v>72</v>
      </c>
      <c r="AS4985">
        <v>2593</v>
      </c>
      <c r="AT4985" s="4">
        <v>42647</v>
      </c>
      <c r="AU4985" t="s">
        <v>73</v>
      </c>
      <c r="AV4985">
        <v>2593</v>
      </c>
      <c r="AW4985" s="4">
        <v>42647</v>
      </c>
      <c r="BD4985">
        <v>0</v>
      </c>
      <c r="BN4985" t="s">
        <v>74</v>
      </c>
    </row>
    <row r="4986" spans="1:66" hidden="1">
      <c r="A4986">
        <v>101831</v>
      </c>
      <c r="B4986" s="3" t="s">
        <v>535</v>
      </c>
      <c r="C4986" s="1">
        <v>43300101</v>
      </c>
      <c r="D4986" t="s">
        <v>67</v>
      </c>
      <c r="H4986" t="str">
        <f>"02948410838"</f>
        <v>02948410838</v>
      </c>
      <c r="I4986" t="str">
        <f>"02948410838"</f>
        <v>02948410838</v>
      </c>
      <c r="K4986" t="str">
        <f>""</f>
        <v/>
      </c>
      <c r="M4986" t="s">
        <v>68</v>
      </c>
      <c r="N4986" t="str">
        <f t="shared" si="530"/>
        <v>FOR</v>
      </c>
      <c r="O4986" t="s">
        <v>69</v>
      </c>
      <c r="P4986" s="3" t="s">
        <v>70</v>
      </c>
      <c r="Q4986">
        <v>2016</v>
      </c>
      <c r="R4986" s="2">
        <v>42452</v>
      </c>
      <c r="S4986" s="2">
        <v>42545</v>
      </c>
      <c r="T4986" s="2">
        <v>42545</v>
      </c>
      <c r="U4986" s="2">
        <v>42605</v>
      </c>
      <c r="V4986" t="s">
        <v>71</v>
      </c>
      <c r="W4986" t="str">
        <f>"                  68"</f>
        <v xml:space="preserve">                  68</v>
      </c>
      <c r="X4986">
        <v>393.45</v>
      </c>
      <c r="Y4986">
        <v>0</v>
      </c>
      <c r="Z4986"/>
      <c r="AB4986"/>
      <c r="AC4986">
        <v>322.5</v>
      </c>
      <c r="AD4986">
        <v>-28</v>
      </c>
      <c r="AE4986" s="1">
        <v>-9030</v>
      </c>
      <c r="AF4986">
        <v>0</v>
      </c>
      <c r="AJ4986">
        <v>0</v>
      </c>
      <c r="AK4986">
        <v>0</v>
      </c>
      <c r="AL4986">
        <v>0</v>
      </c>
      <c r="AM4986">
        <v>393.45</v>
      </c>
      <c r="AN4986">
        <v>393.45</v>
      </c>
      <c r="AO4986">
        <v>393.45</v>
      </c>
      <c r="AP4986" s="2">
        <v>42746</v>
      </c>
      <c r="AQ4986" t="s">
        <v>72</v>
      </c>
      <c r="AR4986" t="s">
        <v>72</v>
      </c>
      <c r="AS4986">
        <v>1962</v>
      </c>
      <c r="AT4986" s="4">
        <v>42577</v>
      </c>
      <c r="AV4986">
        <v>1962</v>
      </c>
      <c r="AW4986" s="4">
        <v>42577</v>
      </c>
      <c r="BD4986">
        <v>0</v>
      </c>
      <c r="BN4986" t="s">
        <v>74</v>
      </c>
    </row>
    <row r="4987" spans="1:66" hidden="1">
      <c r="A4987">
        <v>101832</v>
      </c>
      <c r="B4987" s="3" t="s">
        <v>536</v>
      </c>
      <c r="C4987" s="1">
        <v>43300101</v>
      </c>
      <c r="D4987" t="s">
        <v>67</v>
      </c>
      <c r="H4987" t="str">
        <f>"00987750502"</f>
        <v>00987750502</v>
      </c>
      <c r="I4987" t="str">
        <f>"00987750502"</f>
        <v>00987750502</v>
      </c>
      <c r="K4987" t="str">
        <f>""</f>
        <v/>
      </c>
      <c r="M4987" t="s">
        <v>68</v>
      </c>
      <c r="N4987" t="str">
        <f t="shared" si="530"/>
        <v>FOR</v>
      </c>
      <c r="O4987" t="s">
        <v>69</v>
      </c>
      <c r="P4987" s="3" t="s">
        <v>75</v>
      </c>
      <c r="Q4987">
        <v>2015</v>
      </c>
      <c r="R4987" s="2">
        <v>42276</v>
      </c>
      <c r="S4987" s="2">
        <v>42279</v>
      </c>
      <c r="T4987" s="2">
        <v>42278</v>
      </c>
      <c r="U4987" s="2">
        <v>42338</v>
      </c>
      <c r="V4987" t="s">
        <v>71</v>
      </c>
      <c r="W4987" t="str">
        <f>"                3749"</f>
        <v xml:space="preserve">                3749</v>
      </c>
      <c r="X4987" s="1">
        <v>4518.2700000000004</v>
      </c>
      <c r="Y4987">
        <v>0</v>
      </c>
      <c r="Z4987"/>
      <c r="AB4987"/>
      <c r="AC4987" s="1">
        <v>3703.5</v>
      </c>
      <c r="AD4987">
        <v>282</v>
      </c>
      <c r="AE4987" s="1">
        <v>1044387</v>
      </c>
      <c r="AF4987">
        <v>0</v>
      </c>
      <c r="AJ4987">
        <v>0</v>
      </c>
      <c r="AK4987">
        <v>0</v>
      </c>
      <c r="AL4987">
        <v>0</v>
      </c>
      <c r="AM4987">
        <v>0</v>
      </c>
      <c r="AN4987">
        <v>0</v>
      </c>
      <c r="AO4987">
        <v>0</v>
      </c>
      <c r="AP4987" s="2">
        <v>42746</v>
      </c>
      <c r="AQ4987" t="s">
        <v>72</v>
      </c>
      <c r="AR4987" t="s">
        <v>72</v>
      </c>
      <c r="AS4987">
        <v>2338</v>
      </c>
      <c r="AT4987" s="4">
        <v>42620</v>
      </c>
      <c r="AU4987" t="s">
        <v>73</v>
      </c>
      <c r="AV4987">
        <v>2338</v>
      </c>
      <c r="AW4987" s="4">
        <v>42620</v>
      </c>
      <c r="BD4987">
        <v>0</v>
      </c>
      <c r="BN4987" t="s">
        <v>74</v>
      </c>
    </row>
    <row r="4988" spans="1:66" hidden="1">
      <c r="A4988">
        <v>101851</v>
      </c>
      <c r="B4988" s="3" t="s">
        <v>537</v>
      </c>
      <c r="C4988" s="1">
        <v>43300101</v>
      </c>
      <c r="D4988" t="s">
        <v>67</v>
      </c>
      <c r="H4988" t="str">
        <f t="shared" ref="H4988:I5007" si="537">"11667890153"</f>
        <v>11667890153</v>
      </c>
      <c r="I4988" t="str">
        <f t="shared" si="537"/>
        <v>11667890153</v>
      </c>
      <c r="K4988" t="str">
        <f>""</f>
        <v/>
      </c>
      <c r="M4988" t="s">
        <v>68</v>
      </c>
      <c r="N4988" t="str">
        <f t="shared" si="530"/>
        <v>FOR</v>
      </c>
      <c r="O4988" t="s">
        <v>69</v>
      </c>
      <c r="P4988" s="3" t="s">
        <v>78</v>
      </c>
      <c r="Q4988">
        <v>2014</v>
      </c>
      <c r="R4988" s="2">
        <v>41830</v>
      </c>
      <c r="S4988" s="2">
        <v>41844</v>
      </c>
      <c r="T4988" s="2">
        <v>41844</v>
      </c>
      <c r="U4988" s="2">
        <v>41934</v>
      </c>
      <c r="V4988" t="s">
        <v>71</v>
      </c>
      <c r="W4988" t="str">
        <f>"            14015783"</f>
        <v xml:space="preserve">            14015783</v>
      </c>
      <c r="X4988" s="1">
        <v>1795.2</v>
      </c>
      <c r="Y4988">
        <v>0</v>
      </c>
      <c r="Z4988"/>
      <c r="AB4988"/>
      <c r="AC4988" s="1">
        <v>1795.2</v>
      </c>
      <c r="AD4988">
        <v>596</v>
      </c>
      <c r="AE4988" s="1">
        <v>1069939.2</v>
      </c>
      <c r="AF4988">
        <v>0</v>
      </c>
      <c r="AJ4988">
        <v>0</v>
      </c>
      <c r="AK4988">
        <v>0</v>
      </c>
      <c r="AL4988">
        <v>0</v>
      </c>
      <c r="AM4988">
        <v>0</v>
      </c>
      <c r="AN4988">
        <v>0</v>
      </c>
      <c r="AO4988">
        <v>0</v>
      </c>
      <c r="AP4988" s="2">
        <v>42746</v>
      </c>
      <c r="AQ4988" t="s">
        <v>72</v>
      </c>
      <c r="AR4988" t="s">
        <v>72</v>
      </c>
      <c r="AS4988">
        <v>1601</v>
      </c>
      <c r="AT4988" s="4">
        <v>42530</v>
      </c>
      <c r="AU4988" t="s">
        <v>73</v>
      </c>
      <c r="AV4988">
        <v>1601</v>
      </c>
      <c r="AW4988" s="4">
        <v>42530</v>
      </c>
      <c r="BD4988">
        <v>0</v>
      </c>
      <c r="BN4988" t="s">
        <v>74</v>
      </c>
    </row>
    <row r="4989" spans="1:66" hidden="1">
      <c r="A4989">
        <v>101851</v>
      </c>
      <c r="B4989" s="3" t="s">
        <v>537</v>
      </c>
      <c r="C4989" s="1">
        <v>43300101</v>
      </c>
      <c r="D4989" t="s">
        <v>67</v>
      </c>
      <c r="H4989" t="str">
        <f t="shared" si="537"/>
        <v>11667890153</v>
      </c>
      <c r="I4989" t="str">
        <f t="shared" si="537"/>
        <v>11667890153</v>
      </c>
      <c r="K4989" t="str">
        <f>""</f>
        <v/>
      </c>
      <c r="M4989" t="s">
        <v>68</v>
      </c>
      <c r="N4989" t="str">
        <f t="shared" si="530"/>
        <v>FOR</v>
      </c>
      <c r="O4989" t="s">
        <v>69</v>
      </c>
      <c r="P4989" s="3" t="s">
        <v>78</v>
      </c>
      <c r="Q4989">
        <v>2014</v>
      </c>
      <c r="R4989" s="2">
        <v>41834</v>
      </c>
      <c r="S4989" s="2">
        <v>41849</v>
      </c>
      <c r="T4989" s="2">
        <v>41849</v>
      </c>
      <c r="U4989" s="2">
        <v>41939</v>
      </c>
      <c r="V4989" t="s">
        <v>71</v>
      </c>
      <c r="W4989" t="str">
        <f>"            14016077"</f>
        <v xml:space="preserve">            14016077</v>
      </c>
      <c r="X4989">
        <v>939.4</v>
      </c>
      <c r="Y4989">
        <v>0</v>
      </c>
      <c r="Z4989"/>
      <c r="AB4989"/>
      <c r="AC4989">
        <v>939.4</v>
      </c>
      <c r="AD4989">
        <v>591</v>
      </c>
      <c r="AE4989" s="1">
        <v>555185.4</v>
      </c>
      <c r="AF4989">
        <v>0</v>
      </c>
      <c r="AJ4989">
        <v>0</v>
      </c>
      <c r="AK4989">
        <v>0</v>
      </c>
      <c r="AL4989">
        <v>0</v>
      </c>
      <c r="AM4989">
        <v>0</v>
      </c>
      <c r="AN4989">
        <v>0</v>
      </c>
      <c r="AO4989">
        <v>0</v>
      </c>
      <c r="AP4989" s="2">
        <v>42746</v>
      </c>
      <c r="AQ4989" t="s">
        <v>72</v>
      </c>
      <c r="AR4989" t="s">
        <v>72</v>
      </c>
      <c r="AS4989">
        <v>1601</v>
      </c>
      <c r="AT4989" s="4">
        <v>42530</v>
      </c>
      <c r="AU4989" t="s">
        <v>73</v>
      </c>
      <c r="AV4989">
        <v>1601</v>
      </c>
      <c r="AW4989" s="4">
        <v>42530</v>
      </c>
      <c r="BD4989">
        <v>0</v>
      </c>
      <c r="BN4989" t="s">
        <v>74</v>
      </c>
    </row>
    <row r="4990" spans="1:66" hidden="1">
      <c r="A4990">
        <v>101851</v>
      </c>
      <c r="B4990" s="3" t="s">
        <v>537</v>
      </c>
      <c r="C4990" s="1">
        <v>43300101</v>
      </c>
      <c r="D4990" t="s">
        <v>67</v>
      </c>
      <c r="H4990" t="str">
        <f t="shared" si="537"/>
        <v>11667890153</v>
      </c>
      <c r="I4990" t="str">
        <f t="shared" si="537"/>
        <v>11667890153</v>
      </c>
      <c r="K4990" t="str">
        <f>""</f>
        <v/>
      </c>
      <c r="M4990" t="s">
        <v>68</v>
      </c>
      <c r="N4990" t="str">
        <f t="shared" si="530"/>
        <v>FOR</v>
      </c>
      <c r="O4990" t="s">
        <v>69</v>
      </c>
      <c r="P4990" s="3" t="s">
        <v>70</v>
      </c>
      <c r="Q4990">
        <v>2014</v>
      </c>
      <c r="R4990" s="2">
        <v>41845</v>
      </c>
      <c r="S4990" s="2">
        <v>42534</v>
      </c>
      <c r="T4990" s="2">
        <v>42534</v>
      </c>
      <c r="U4990" s="2">
        <v>42594</v>
      </c>
      <c r="V4990" t="s">
        <v>71</v>
      </c>
      <c r="W4990" t="str">
        <f>"            14017294"</f>
        <v xml:space="preserve">            14017294</v>
      </c>
      <c r="X4990" s="1">
        <v>2277</v>
      </c>
      <c r="Y4990">
        <v>0</v>
      </c>
      <c r="Z4990"/>
      <c r="AB4990"/>
      <c r="AC4990" s="1">
        <v>2277</v>
      </c>
      <c r="AD4990">
        <v>-59</v>
      </c>
      <c r="AE4990" s="1">
        <v>-134343</v>
      </c>
      <c r="AF4990">
        <v>0</v>
      </c>
      <c r="AJ4990">
        <v>0</v>
      </c>
      <c r="AK4990">
        <v>0</v>
      </c>
      <c r="AL4990">
        <v>0</v>
      </c>
      <c r="AM4990">
        <v>0</v>
      </c>
      <c r="AN4990" s="1">
        <v>2277</v>
      </c>
      <c r="AO4990">
        <v>0</v>
      </c>
      <c r="AP4990" s="2">
        <v>42746</v>
      </c>
      <c r="AQ4990" t="s">
        <v>72</v>
      </c>
      <c r="AR4990" t="s">
        <v>72</v>
      </c>
      <c r="AS4990">
        <v>1612</v>
      </c>
      <c r="AT4990" s="4">
        <v>42535</v>
      </c>
      <c r="AV4990">
        <v>1612</v>
      </c>
      <c r="AW4990" s="4">
        <v>42535</v>
      </c>
      <c r="BD4990">
        <v>0</v>
      </c>
      <c r="BN4990" t="s">
        <v>74</v>
      </c>
    </row>
    <row r="4991" spans="1:66" hidden="1">
      <c r="A4991">
        <v>101851</v>
      </c>
      <c r="B4991" s="3" t="s">
        <v>537</v>
      </c>
      <c r="C4991" s="1">
        <v>43300101</v>
      </c>
      <c r="D4991" t="s">
        <v>67</v>
      </c>
      <c r="H4991" t="str">
        <f t="shared" si="537"/>
        <v>11667890153</v>
      </c>
      <c r="I4991" t="str">
        <f t="shared" si="537"/>
        <v>11667890153</v>
      </c>
      <c r="K4991" t="str">
        <f>""</f>
        <v/>
      </c>
      <c r="M4991" t="s">
        <v>68</v>
      </c>
      <c r="N4991" t="str">
        <f t="shared" si="530"/>
        <v>FOR</v>
      </c>
      <c r="O4991" t="s">
        <v>69</v>
      </c>
      <c r="P4991" s="3" t="s">
        <v>78</v>
      </c>
      <c r="Q4991">
        <v>2014</v>
      </c>
      <c r="R4991" s="2">
        <v>41850</v>
      </c>
      <c r="S4991" s="2">
        <v>41878</v>
      </c>
      <c r="T4991" s="2">
        <v>41878</v>
      </c>
      <c r="U4991" s="2">
        <v>41968</v>
      </c>
      <c r="V4991" t="s">
        <v>71</v>
      </c>
      <c r="W4991" t="str">
        <f>"            14017767"</f>
        <v xml:space="preserve">            14017767</v>
      </c>
      <c r="X4991">
        <v>427.94</v>
      </c>
      <c r="Y4991">
        <v>0</v>
      </c>
      <c r="Z4991"/>
      <c r="AB4991"/>
      <c r="AC4991">
        <v>427.94</v>
      </c>
      <c r="AD4991">
        <v>562</v>
      </c>
      <c r="AE4991" s="1">
        <v>240502.28</v>
      </c>
      <c r="AF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 s="2">
        <v>42746</v>
      </c>
      <c r="AQ4991" t="s">
        <v>72</v>
      </c>
      <c r="AR4991" t="s">
        <v>72</v>
      </c>
      <c r="AS4991">
        <v>1601</v>
      </c>
      <c r="AT4991" s="4">
        <v>42530</v>
      </c>
      <c r="AU4991" t="s">
        <v>73</v>
      </c>
      <c r="AV4991">
        <v>1601</v>
      </c>
      <c r="AW4991" s="4">
        <v>42530</v>
      </c>
      <c r="BD4991">
        <v>0</v>
      </c>
      <c r="BN4991" t="s">
        <v>74</v>
      </c>
    </row>
    <row r="4992" spans="1:66" hidden="1">
      <c r="A4992">
        <v>101851</v>
      </c>
      <c r="B4992" s="3" t="s">
        <v>537</v>
      </c>
      <c r="C4992" s="1">
        <v>43300101</v>
      </c>
      <c r="D4992" t="s">
        <v>67</v>
      </c>
      <c r="H4992" t="str">
        <f t="shared" si="537"/>
        <v>11667890153</v>
      </c>
      <c r="I4992" t="str">
        <f t="shared" si="537"/>
        <v>11667890153</v>
      </c>
      <c r="K4992" t="str">
        <f>""</f>
        <v/>
      </c>
      <c r="M4992" t="s">
        <v>68</v>
      </c>
      <c r="N4992" t="str">
        <f t="shared" ref="N4992:N5055" si="538">"FOR"</f>
        <v>FOR</v>
      </c>
      <c r="O4992" t="s">
        <v>69</v>
      </c>
      <c r="P4992" s="3" t="s">
        <v>78</v>
      </c>
      <c r="Q4992">
        <v>2014</v>
      </c>
      <c r="R4992" s="2">
        <v>41863</v>
      </c>
      <c r="S4992" s="2">
        <v>41886</v>
      </c>
      <c r="T4992" s="2">
        <v>41886</v>
      </c>
      <c r="U4992" s="2">
        <v>41976</v>
      </c>
      <c r="V4992" t="s">
        <v>71</v>
      </c>
      <c r="W4992" t="str">
        <f>"            14018776"</f>
        <v xml:space="preserve">            14018776</v>
      </c>
      <c r="X4992" s="1">
        <v>2587.1999999999998</v>
      </c>
      <c r="Y4992">
        <v>0</v>
      </c>
      <c r="Z4992"/>
      <c r="AB4992"/>
      <c r="AC4992" s="1">
        <v>2587.1999999999998</v>
      </c>
      <c r="AD4992">
        <v>554</v>
      </c>
      <c r="AE4992" s="1">
        <v>1433308.8</v>
      </c>
      <c r="AF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 s="2">
        <v>42746</v>
      </c>
      <c r="AQ4992" t="s">
        <v>72</v>
      </c>
      <c r="AR4992" t="s">
        <v>72</v>
      </c>
      <c r="AS4992">
        <v>1601</v>
      </c>
      <c r="AT4992" s="4">
        <v>42530</v>
      </c>
      <c r="AU4992" t="s">
        <v>73</v>
      </c>
      <c r="AV4992">
        <v>1601</v>
      </c>
      <c r="AW4992" s="4">
        <v>42530</v>
      </c>
      <c r="BD4992">
        <v>0</v>
      </c>
      <c r="BN4992" t="s">
        <v>74</v>
      </c>
    </row>
    <row r="4993" spans="1:66" hidden="1">
      <c r="A4993">
        <v>101851</v>
      </c>
      <c r="B4993" s="3" t="s">
        <v>537</v>
      </c>
      <c r="C4993" s="1">
        <v>43300101</v>
      </c>
      <c r="D4993" t="s">
        <v>67</v>
      </c>
      <c r="H4993" t="str">
        <f t="shared" si="537"/>
        <v>11667890153</v>
      </c>
      <c r="I4993" t="str">
        <f t="shared" si="537"/>
        <v>11667890153</v>
      </c>
      <c r="K4993" t="str">
        <f>""</f>
        <v/>
      </c>
      <c r="M4993" t="s">
        <v>68</v>
      </c>
      <c r="N4993" t="str">
        <f t="shared" si="538"/>
        <v>FOR</v>
      </c>
      <c r="O4993" t="s">
        <v>69</v>
      </c>
      <c r="P4993" s="3" t="s">
        <v>78</v>
      </c>
      <c r="Q4993">
        <v>2014</v>
      </c>
      <c r="R4993" s="2">
        <v>41880</v>
      </c>
      <c r="S4993" s="2">
        <v>41893</v>
      </c>
      <c r="T4993" s="2">
        <v>41893</v>
      </c>
      <c r="U4993" s="2">
        <v>41983</v>
      </c>
      <c r="V4993" t="s">
        <v>71</v>
      </c>
      <c r="W4993" t="str">
        <f>"            14019818"</f>
        <v xml:space="preserve">            14019818</v>
      </c>
      <c r="X4993" s="1">
        <v>2587.1999999999998</v>
      </c>
      <c r="Y4993">
        <v>0</v>
      </c>
      <c r="Z4993"/>
      <c r="AB4993"/>
      <c r="AC4993" s="1">
        <v>2587.1999999999998</v>
      </c>
      <c r="AD4993">
        <v>547</v>
      </c>
      <c r="AE4993" s="1">
        <v>1415198.4</v>
      </c>
      <c r="AF4993">
        <v>0</v>
      </c>
      <c r="AJ4993">
        <v>0</v>
      </c>
      <c r="AK4993">
        <v>0</v>
      </c>
      <c r="AL4993">
        <v>0</v>
      </c>
      <c r="AM4993">
        <v>0</v>
      </c>
      <c r="AN4993">
        <v>0</v>
      </c>
      <c r="AO4993">
        <v>0</v>
      </c>
      <c r="AP4993" s="2">
        <v>42746</v>
      </c>
      <c r="AQ4993" t="s">
        <v>72</v>
      </c>
      <c r="AR4993" t="s">
        <v>72</v>
      </c>
      <c r="AS4993">
        <v>1601</v>
      </c>
      <c r="AT4993" s="4">
        <v>42530</v>
      </c>
      <c r="AU4993" t="s">
        <v>73</v>
      </c>
      <c r="AV4993">
        <v>1601</v>
      </c>
      <c r="AW4993" s="4">
        <v>42530</v>
      </c>
      <c r="BD4993">
        <v>0</v>
      </c>
      <c r="BN4993" t="s">
        <v>74</v>
      </c>
    </row>
    <row r="4994" spans="1:66" hidden="1">
      <c r="A4994">
        <v>101851</v>
      </c>
      <c r="B4994" s="3" t="s">
        <v>537</v>
      </c>
      <c r="C4994" s="1">
        <v>43300101</v>
      </c>
      <c r="D4994" t="s">
        <v>67</v>
      </c>
      <c r="H4994" t="str">
        <f t="shared" si="537"/>
        <v>11667890153</v>
      </c>
      <c r="I4994" t="str">
        <f t="shared" si="537"/>
        <v>11667890153</v>
      </c>
      <c r="K4994" t="str">
        <f>""</f>
        <v/>
      </c>
      <c r="M4994" t="s">
        <v>68</v>
      </c>
      <c r="N4994" t="str">
        <f t="shared" si="538"/>
        <v>FOR</v>
      </c>
      <c r="O4994" t="s">
        <v>69</v>
      </c>
      <c r="P4994" s="3" t="s">
        <v>78</v>
      </c>
      <c r="Q4994">
        <v>2014</v>
      </c>
      <c r="R4994" s="2">
        <v>41890</v>
      </c>
      <c r="S4994" s="2">
        <v>41904</v>
      </c>
      <c r="T4994" s="2">
        <v>41904</v>
      </c>
      <c r="U4994" s="2">
        <v>41994</v>
      </c>
      <c r="V4994" t="s">
        <v>71</v>
      </c>
      <c r="W4994" t="str">
        <f>"            14020253"</f>
        <v xml:space="preserve">            14020253</v>
      </c>
      <c r="X4994" s="1">
        <v>2222.88</v>
      </c>
      <c r="Y4994">
        <v>0</v>
      </c>
      <c r="Z4994"/>
      <c r="AB4994"/>
      <c r="AC4994" s="1">
        <v>2222.88</v>
      </c>
      <c r="AD4994">
        <v>536</v>
      </c>
      <c r="AE4994" s="1">
        <v>1191463.68</v>
      </c>
      <c r="AF4994">
        <v>0</v>
      </c>
      <c r="AJ4994">
        <v>0</v>
      </c>
      <c r="AK4994">
        <v>0</v>
      </c>
      <c r="AL4994">
        <v>0</v>
      </c>
      <c r="AM4994">
        <v>0</v>
      </c>
      <c r="AN4994">
        <v>0</v>
      </c>
      <c r="AO4994">
        <v>0</v>
      </c>
      <c r="AP4994" s="2">
        <v>42746</v>
      </c>
      <c r="AQ4994" t="s">
        <v>72</v>
      </c>
      <c r="AR4994" t="s">
        <v>72</v>
      </c>
      <c r="AS4994">
        <v>1601</v>
      </c>
      <c r="AT4994" s="4">
        <v>42530</v>
      </c>
      <c r="AU4994" t="s">
        <v>73</v>
      </c>
      <c r="AV4994">
        <v>1601</v>
      </c>
      <c r="AW4994" s="4">
        <v>42530</v>
      </c>
      <c r="BD4994">
        <v>0</v>
      </c>
      <c r="BN4994" t="s">
        <v>74</v>
      </c>
    </row>
    <row r="4995" spans="1:66" hidden="1">
      <c r="A4995">
        <v>101851</v>
      </c>
      <c r="B4995" s="3" t="s">
        <v>537</v>
      </c>
      <c r="C4995" s="1">
        <v>43300101</v>
      </c>
      <c r="D4995" t="s">
        <v>67</v>
      </c>
      <c r="H4995" t="str">
        <f t="shared" si="537"/>
        <v>11667890153</v>
      </c>
      <c r="I4995" t="str">
        <f t="shared" si="537"/>
        <v>11667890153</v>
      </c>
      <c r="K4995" t="str">
        <f>""</f>
        <v/>
      </c>
      <c r="M4995" t="s">
        <v>68</v>
      </c>
      <c r="N4995" t="str">
        <f t="shared" si="538"/>
        <v>FOR</v>
      </c>
      <c r="O4995" t="s">
        <v>69</v>
      </c>
      <c r="P4995" s="3" t="s">
        <v>70</v>
      </c>
      <c r="Q4995">
        <v>2014</v>
      </c>
      <c r="R4995" s="2">
        <v>41941</v>
      </c>
      <c r="S4995" s="2">
        <v>41964</v>
      </c>
      <c r="T4995" s="2">
        <v>41964</v>
      </c>
      <c r="U4995" s="2">
        <v>42024</v>
      </c>
      <c r="V4995" t="s">
        <v>71</v>
      </c>
      <c r="W4995" t="str">
        <f>"            14024598"</f>
        <v xml:space="preserve">            14024598</v>
      </c>
      <c r="X4995" s="1">
        <v>1491.6</v>
      </c>
      <c r="Y4995">
        <v>0</v>
      </c>
      <c r="Z4995"/>
      <c r="AB4995"/>
      <c r="AC4995" s="1">
        <v>1491.6</v>
      </c>
      <c r="AD4995">
        <v>506</v>
      </c>
      <c r="AE4995" s="1">
        <v>754749.6</v>
      </c>
      <c r="AF4995">
        <v>0</v>
      </c>
      <c r="AJ4995">
        <v>0</v>
      </c>
      <c r="AK4995">
        <v>0</v>
      </c>
      <c r="AL4995">
        <v>0</v>
      </c>
      <c r="AM4995">
        <v>0</v>
      </c>
      <c r="AN4995">
        <v>0</v>
      </c>
      <c r="AO4995">
        <v>0</v>
      </c>
      <c r="AP4995" s="2">
        <v>42746</v>
      </c>
      <c r="AQ4995" t="s">
        <v>72</v>
      </c>
      <c r="AR4995" t="s">
        <v>72</v>
      </c>
      <c r="AS4995">
        <v>1601</v>
      </c>
      <c r="AT4995" s="4">
        <v>42530</v>
      </c>
      <c r="AU4995" t="s">
        <v>73</v>
      </c>
      <c r="AV4995">
        <v>1601</v>
      </c>
      <c r="AW4995" s="4">
        <v>42530</v>
      </c>
      <c r="BD4995">
        <v>0</v>
      </c>
      <c r="BN4995" t="s">
        <v>74</v>
      </c>
    </row>
    <row r="4996" spans="1:66" hidden="1">
      <c r="A4996">
        <v>101851</v>
      </c>
      <c r="B4996" s="3" t="s">
        <v>537</v>
      </c>
      <c r="C4996" s="1">
        <v>43300101</v>
      </c>
      <c r="D4996" t="s">
        <v>67</v>
      </c>
      <c r="H4996" t="str">
        <f t="shared" si="537"/>
        <v>11667890153</v>
      </c>
      <c r="I4996" t="str">
        <f t="shared" si="537"/>
        <v>11667890153</v>
      </c>
      <c r="K4996" t="str">
        <f>""</f>
        <v/>
      </c>
      <c r="M4996" t="s">
        <v>68</v>
      </c>
      <c r="N4996" t="str">
        <f t="shared" si="538"/>
        <v>FOR</v>
      </c>
      <c r="O4996" t="s">
        <v>69</v>
      </c>
      <c r="P4996" s="3" t="s">
        <v>70</v>
      </c>
      <c r="Q4996">
        <v>2014</v>
      </c>
      <c r="R4996" s="2">
        <v>41962</v>
      </c>
      <c r="S4996" s="2">
        <v>41984</v>
      </c>
      <c r="T4996" s="2">
        <v>41984</v>
      </c>
      <c r="U4996" s="2">
        <v>42044</v>
      </c>
      <c r="V4996" t="s">
        <v>71</v>
      </c>
      <c r="W4996" t="str">
        <f>"            14026607"</f>
        <v xml:space="preserve">            14026607</v>
      </c>
      <c r="X4996" s="1">
        <v>1887.6</v>
      </c>
      <c r="Y4996">
        <v>0</v>
      </c>
      <c r="Z4996"/>
      <c r="AB4996"/>
      <c r="AC4996" s="1">
        <v>1887.6</v>
      </c>
      <c r="AD4996">
        <v>486</v>
      </c>
      <c r="AE4996" s="1">
        <v>917373.6</v>
      </c>
      <c r="AF4996">
        <v>0</v>
      </c>
      <c r="AJ4996">
        <v>0</v>
      </c>
      <c r="AK4996">
        <v>0</v>
      </c>
      <c r="AL4996">
        <v>0</v>
      </c>
      <c r="AM4996">
        <v>0</v>
      </c>
      <c r="AN4996">
        <v>0</v>
      </c>
      <c r="AO4996">
        <v>0</v>
      </c>
      <c r="AP4996" s="2">
        <v>42746</v>
      </c>
      <c r="AQ4996" t="s">
        <v>72</v>
      </c>
      <c r="AR4996" t="s">
        <v>72</v>
      </c>
      <c r="AS4996">
        <v>1601</v>
      </c>
      <c r="AT4996" s="4">
        <v>42530</v>
      </c>
      <c r="AU4996" t="s">
        <v>73</v>
      </c>
      <c r="AV4996">
        <v>1601</v>
      </c>
      <c r="AW4996" s="4">
        <v>42530</v>
      </c>
      <c r="BD4996">
        <v>0</v>
      </c>
      <c r="BN4996" t="s">
        <v>74</v>
      </c>
    </row>
    <row r="4997" spans="1:66" hidden="1">
      <c r="A4997">
        <v>101851</v>
      </c>
      <c r="B4997" s="3" t="s">
        <v>537</v>
      </c>
      <c r="C4997" s="1">
        <v>43300101</v>
      </c>
      <c r="D4997" t="s">
        <v>67</v>
      </c>
      <c r="H4997" t="str">
        <f t="shared" si="537"/>
        <v>11667890153</v>
      </c>
      <c r="I4997" t="str">
        <f t="shared" si="537"/>
        <v>11667890153</v>
      </c>
      <c r="K4997" t="str">
        <f>""</f>
        <v/>
      </c>
      <c r="M4997" t="s">
        <v>68</v>
      </c>
      <c r="N4997" t="str">
        <f t="shared" si="538"/>
        <v>FOR</v>
      </c>
      <c r="O4997" t="s">
        <v>69</v>
      </c>
      <c r="P4997" s="3" t="s">
        <v>70</v>
      </c>
      <c r="Q4997">
        <v>2014</v>
      </c>
      <c r="R4997" s="2">
        <v>41976</v>
      </c>
      <c r="S4997" s="2">
        <v>42002</v>
      </c>
      <c r="T4997" s="2">
        <v>42002</v>
      </c>
      <c r="U4997" s="2">
        <v>42062</v>
      </c>
      <c r="V4997" t="s">
        <v>71</v>
      </c>
      <c r="W4997" t="str">
        <f>"            14027754"</f>
        <v xml:space="preserve">            14027754</v>
      </c>
      <c r="X4997">
        <v>484</v>
      </c>
      <c r="Y4997">
        <v>0</v>
      </c>
      <c r="Z4997"/>
      <c r="AB4997"/>
      <c r="AC4997">
        <v>484</v>
      </c>
      <c r="AD4997">
        <v>468</v>
      </c>
      <c r="AE4997" s="1">
        <v>226512</v>
      </c>
      <c r="AF4997">
        <v>0</v>
      </c>
      <c r="AJ4997">
        <v>0</v>
      </c>
      <c r="AK4997">
        <v>0</v>
      </c>
      <c r="AL4997">
        <v>0</v>
      </c>
      <c r="AM4997">
        <v>0</v>
      </c>
      <c r="AN4997">
        <v>0</v>
      </c>
      <c r="AO4997">
        <v>0</v>
      </c>
      <c r="AP4997" s="2">
        <v>42746</v>
      </c>
      <c r="AQ4997" t="s">
        <v>72</v>
      </c>
      <c r="AR4997" t="s">
        <v>72</v>
      </c>
      <c r="AS4997">
        <v>1601</v>
      </c>
      <c r="AT4997" s="4">
        <v>42530</v>
      </c>
      <c r="AU4997" t="s">
        <v>73</v>
      </c>
      <c r="AV4997">
        <v>1601</v>
      </c>
      <c r="AW4997" s="4">
        <v>42530</v>
      </c>
      <c r="BD4997">
        <v>0</v>
      </c>
      <c r="BN4997" t="s">
        <v>74</v>
      </c>
    </row>
    <row r="4998" spans="1:66" hidden="1">
      <c r="A4998">
        <v>101851</v>
      </c>
      <c r="B4998" s="3" t="s">
        <v>537</v>
      </c>
      <c r="C4998" s="1">
        <v>43300101</v>
      </c>
      <c r="D4998" t="s">
        <v>67</v>
      </c>
      <c r="H4998" t="str">
        <f t="shared" si="537"/>
        <v>11667890153</v>
      </c>
      <c r="I4998" t="str">
        <f t="shared" si="537"/>
        <v>11667890153</v>
      </c>
      <c r="K4998" t="str">
        <f>""</f>
        <v/>
      </c>
      <c r="M4998" t="s">
        <v>68</v>
      </c>
      <c r="N4998" t="str">
        <f t="shared" si="538"/>
        <v>FOR</v>
      </c>
      <c r="O4998" t="s">
        <v>69</v>
      </c>
      <c r="P4998" s="3" t="s">
        <v>70</v>
      </c>
      <c r="Q4998">
        <v>2014</v>
      </c>
      <c r="R4998" s="2">
        <v>41978</v>
      </c>
      <c r="S4998" s="2">
        <v>42002</v>
      </c>
      <c r="T4998" s="2">
        <v>42002</v>
      </c>
      <c r="U4998" s="2">
        <v>42062</v>
      </c>
      <c r="V4998" t="s">
        <v>71</v>
      </c>
      <c r="W4998" t="str">
        <f>"            14028061"</f>
        <v xml:space="preserve">            14028061</v>
      </c>
      <c r="X4998" s="1">
        <v>2191.1999999999998</v>
      </c>
      <c r="Y4998">
        <v>0</v>
      </c>
      <c r="Z4998"/>
      <c r="AB4998"/>
      <c r="AC4998" s="1">
        <v>2191.1999999999998</v>
      </c>
      <c r="AD4998">
        <v>468</v>
      </c>
      <c r="AE4998" s="1">
        <v>1025481.6</v>
      </c>
      <c r="AF4998">
        <v>0</v>
      </c>
      <c r="AJ4998">
        <v>0</v>
      </c>
      <c r="AK4998">
        <v>0</v>
      </c>
      <c r="AL4998">
        <v>0</v>
      </c>
      <c r="AM4998">
        <v>0</v>
      </c>
      <c r="AN4998">
        <v>0</v>
      </c>
      <c r="AO4998">
        <v>0</v>
      </c>
      <c r="AP4998" s="2">
        <v>42746</v>
      </c>
      <c r="AQ4998" t="s">
        <v>72</v>
      </c>
      <c r="AR4998" t="s">
        <v>72</v>
      </c>
      <c r="AS4998">
        <v>1601</v>
      </c>
      <c r="AT4998" s="4">
        <v>42530</v>
      </c>
      <c r="AU4998" t="s">
        <v>73</v>
      </c>
      <c r="AV4998">
        <v>1601</v>
      </c>
      <c r="AW4998" s="4">
        <v>42530</v>
      </c>
      <c r="BD4998">
        <v>0</v>
      </c>
      <c r="BN4998" t="s">
        <v>74</v>
      </c>
    </row>
    <row r="4999" spans="1:66" hidden="1">
      <c r="A4999">
        <v>101851</v>
      </c>
      <c r="B4999" s="3" t="s">
        <v>537</v>
      </c>
      <c r="C4999" s="1">
        <v>43300101</v>
      </c>
      <c r="D4999" t="s">
        <v>67</v>
      </c>
      <c r="H4999" t="str">
        <f t="shared" si="537"/>
        <v>11667890153</v>
      </c>
      <c r="I4999" t="str">
        <f t="shared" si="537"/>
        <v>11667890153</v>
      </c>
      <c r="K4999" t="str">
        <f>""</f>
        <v/>
      </c>
      <c r="M4999" t="s">
        <v>68</v>
      </c>
      <c r="N4999" t="str">
        <f t="shared" si="538"/>
        <v>FOR</v>
      </c>
      <c r="O4999" t="s">
        <v>69</v>
      </c>
      <c r="P4999" s="3" t="s">
        <v>70</v>
      </c>
      <c r="Q4999">
        <v>2015</v>
      </c>
      <c r="R4999" s="2">
        <v>42041</v>
      </c>
      <c r="S4999" s="2">
        <v>42068</v>
      </c>
      <c r="T4999" s="2">
        <v>42068</v>
      </c>
      <c r="U4999" s="2">
        <v>42128</v>
      </c>
      <c r="V4999" t="s">
        <v>71</v>
      </c>
      <c r="W4999" t="str">
        <f>"            15002850"</f>
        <v xml:space="preserve">            15002850</v>
      </c>
      <c r="X4999" s="1">
        <v>1409.1</v>
      </c>
      <c r="Y4999">
        <v>0</v>
      </c>
      <c r="Z4999"/>
      <c r="AB4999"/>
      <c r="AC4999" s="1">
        <v>1155</v>
      </c>
      <c r="AD4999">
        <v>277</v>
      </c>
      <c r="AE4999" s="1">
        <v>319935</v>
      </c>
      <c r="AF4999">
        <v>0</v>
      </c>
      <c r="AJ4999">
        <v>0</v>
      </c>
      <c r="AK4999">
        <v>0</v>
      </c>
      <c r="AL4999">
        <v>0</v>
      </c>
      <c r="AM4999">
        <v>0</v>
      </c>
      <c r="AN4999">
        <v>0</v>
      </c>
      <c r="AO4999">
        <v>0</v>
      </c>
      <c r="AP4999" s="2">
        <v>42746</v>
      </c>
      <c r="AQ4999" t="s">
        <v>72</v>
      </c>
      <c r="AR4999" t="s">
        <v>72</v>
      </c>
      <c r="AS4999">
        <v>286</v>
      </c>
      <c r="AT4999" s="4">
        <v>42405</v>
      </c>
      <c r="AU4999" t="s">
        <v>73</v>
      </c>
      <c r="AV4999">
        <v>286</v>
      </c>
      <c r="AW4999" s="4">
        <v>42405</v>
      </c>
      <c r="BD4999">
        <v>0</v>
      </c>
      <c r="BN4999" t="s">
        <v>74</v>
      </c>
    </row>
    <row r="5000" spans="1:66" hidden="1">
      <c r="A5000">
        <v>101851</v>
      </c>
      <c r="B5000" s="3" t="s">
        <v>537</v>
      </c>
      <c r="C5000" s="1">
        <v>43300101</v>
      </c>
      <c r="D5000" t="s">
        <v>67</v>
      </c>
      <c r="H5000" t="str">
        <f t="shared" si="537"/>
        <v>11667890153</v>
      </c>
      <c r="I5000" t="str">
        <f t="shared" si="537"/>
        <v>11667890153</v>
      </c>
      <c r="K5000" t="str">
        <f>""</f>
        <v/>
      </c>
      <c r="M5000" t="s">
        <v>68</v>
      </c>
      <c r="N5000" t="str">
        <f t="shared" si="538"/>
        <v>FOR</v>
      </c>
      <c r="O5000" t="s">
        <v>69</v>
      </c>
      <c r="P5000" s="3" t="s">
        <v>70</v>
      </c>
      <c r="Q5000">
        <v>2015</v>
      </c>
      <c r="R5000" s="2">
        <v>42048</v>
      </c>
      <c r="S5000" s="2">
        <v>42068</v>
      </c>
      <c r="T5000" s="2">
        <v>42068</v>
      </c>
      <c r="U5000" s="2">
        <v>42128</v>
      </c>
      <c r="V5000" t="s">
        <v>71</v>
      </c>
      <c r="W5000" t="str">
        <f>"            15003575"</f>
        <v xml:space="preserve">            15003575</v>
      </c>
      <c r="X5000">
        <v>484</v>
      </c>
      <c r="Y5000">
        <v>0</v>
      </c>
      <c r="Z5000"/>
      <c r="AB5000"/>
      <c r="AC5000">
        <v>440</v>
      </c>
      <c r="AD5000">
        <v>277</v>
      </c>
      <c r="AE5000" s="1">
        <v>121880</v>
      </c>
      <c r="AF5000">
        <v>0</v>
      </c>
      <c r="AJ5000">
        <v>0</v>
      </c>
      <c r="AK5000">
        <v>0</v>
      </c>
      <c r="AL5000">
        <v>0</v>
      </c>
      <c r="AM5000">
        <v>0</v>
      </c>
      <c r="AN5000">
        <v>0</v>
      </c>
      <c r="AO5000">
        <v>0</v>
      </c>
      <c r="AP5000" s="2">
        <v>42746</v>
      </c>
      <c r="AQ5000" t="s">
        <v>72</v>
      </c>
      <c r="AR5000" t="s">
        <v>72</v>
      </c>
      <c r="AS5000">
        <v>286</v>
      </c>
      <c r="AT5000" s="4">
        <v>42405</v>
      </c>
      <c r="AU5000" t="s">
        <v>73</v>
      </c>
      <c r="AV5000">
        <v>286</v>
      </c>
      <c r="AW5000" s="4">
        <v>42405</v>
      </c>
      <c r="BD5000">
        <v>0</v>
      </c>
      <c r="BN5000" t="s">
        <v>74</v>
      </c>
    </row>
    <row r="5001" spans="1:66" hidden="1">
      <c r="A5001">
        <v>101851</v>
      </c>
      <c r="B5001" s="3" t="s">
        <v>537</v>
      </c>
      <c r="C5001" s="1">
        <v>43300101</v>
      </c>
      <c r="D5001" t="s">
        <v>67</v>
      </c>
      <c r="H5001" t="str">
        <f t="shared" si="537"/>
        <v>11667890153</v>
      </c>
      <c r="I5001" t="str">
        <f t="shared" si="537"/>
        <v>11667890153</v>
      </c>
      <c r="K5001" t="str">
        <f>""</f>
        <v/>
      </c>
      <c r="M5001" t="s">
        <v>68</v>
      </c>
      <c r="N5001" t="str">
        <f t="shared" si="538"/>
        <v>FOR</v>
      </c>
      <c r="O5001" t="s">
        <v>69</v>
      </c>
      <c r="P5001" s="3" t="s">
        <v>70</v>
      </c>
      <c r="Q5001">
        <v>2015</v>
      </c>
      <c r="R5001" s="2">
        <v>42058</v>
      </c>
      <c r="S5001" s="2">
        <v>42080</v>
      </c>
      <c r="T5001" s="2">
        <v>42080</v>
      </c>
      <c r="U5001" s="2">
        <v>42140</v>
      </c>
      <c r="V5001" t="s">
        <v>71</v>
      </c>
      <c r="W5001" t="str">
        <f>"            15004320"</f>
        <v xml:space="preserve">            15004320</v>
      </c>
      <c r="X5001" s="1">
        <v>2191.1999999999998</v>
      </c>
      <c r="Y5001">
        <v>0</v>
      </c>
      <c r="Z5001"/>
      <c r="AB5001"/>
      <c r="AC5001" s="1">
        <v>1992</v>
      </c>
      <c r="AD5001">
        <v>265</v>
      </c>
      <c r="AE5001" s="1">
        <v>527880</v>
      </c>
      <c r="AF5001">
        <v>0</v>
      </c>
      <c r="AJ5001">
        <v>0</v>
      </c>
      <c r="AK5001">
        <v>0</v>
      </c>
      <c r="AL5001">
        <v>0</v>
      </c>
      <c r="AM5001">
        <v>0</v>
      </c>
      <c r="AN5001">
        <v>0</v>
      </c>
      <c r="AO5001">
        <v>0</v>
      </c>
      <c r="AP5001" s="2">
        <v>42746</v>
      </c>
      <c r="AQ5001" t="s">
        <v>72</v>
      </c>
      <c r="AR5001" t="s">
        <v>72</v>
      </c>
      <c r="AS5001">
        <v>286</v>
      </c>
      <c r="AT5001" s="4">
        <v>42405</v>
      </c>
      <c r="AU5001" t="s">
        <v>73</v>
      </c>
      <c r="AV5001">
        <v>286</v>
      </c>
      <c r="AW5001" s="4">
        <v>42405</v>
      </c>
      <c r="BD5001">
        <v>0</v>
      </c>
      <c r="BN5001" t="s">
        <v>74</v>
      </c>
    </row>
    <row r="5002" spans="1:66" hidden="1">
      <c r="A5002">
        <v>101851</v>
      </c>
      <c r="B5002" s="3" t="s">
        <v>537</v>
      </c>
      <c r="C5002" s="1">
        <v>43300101</v>
      </c>
      <c r="D5002" t="s">
        <v>67</v>
      </c>
      <c r="H5002" t="str">
        <f t="shared" si="537"/>
        <v>11667890153</v>
      </c>
      <c r="I5002" t="str">
        <f t="shared" si="537"/>
        <v>11667890153</v>
      </c>
      <c r="K5002" t="str">
        <f>""</f>
        <v/>
      </c>
      <c r="M5002" t="s">
        <v>68</v>
      </c>
      <c r="N5002" t="str">
        <f t="shared" si="538"/>
        <v>FOR</v>
      </c>
      <c r="O5002" t="s">
        <v>69</v>
      </c>
      <c r="P5002" s="3" t="s">
        <v>70</v>
      </c>
      <c r="Q5002">
        <v>2015</v>
      </c>
      <c r="R5002" s="2">
        <v>42079</v>
      </c>
      <c r="S5002" s="2">
        <v>42094</v>
      </c>
      <c r="T5002" s="2">
        <v>42094</v>
      </c>
      <c r="U5002" s="2">
        <v>42154</v>
      </c>
      <c r="V5002" t="s">
        <v>71</v>
      </c>
      <c r="W5002" t="str">
        <f>"            15006332"</f>
        <v xml:space="preserve">            15006332</v>
      </c>
      <c r="X5002" s="1">
        <v>1188</v>
      </c>
      <c r="Y5002">
        <v>0</v>
      </c>
      <c r="Z5002"/>
      <c r="AB5002"/>
      <c r="AC5002" s="1">
        <v>1080</v>
      </c>
      <c r="AD5002">
        <v>261</v>
      </c>
      <c r="AE5002" s="1">
        <v>281880</v>
      </c>
      <c r="AF5002">
        <v>0</v>
      </c>
      <c r="AJ5002">
        <v>0</v>
      </c>
      <c r="AK5002">
        <v>0</v>
      </c>
      <c r="AL5002">
        <v>0</v>
      </c>
      <c r="AM5002">
        <v>0</v>
      </c>
      <c r="AN5002">
        <v>0</v>
      </c>
      <c r="AO5002">
        <v>0</v>
      </c>
      <c r="AP5002" s="2">
        <v>42746</v>
      </c>
      <c r="AQ5002" t="s">
        <v>72</v>
      </c>
      <c r="AR5002" t="s">
        <v>72</v>
      </c>
      <c r="AS5002">
        <v>353</v>
      </c>
      <c r="AT5002" s="4">
        <v>42415</v>
      </c>
      <c r="AU5002" t="s">
        <v>73</v>
      </c>
      <c r="AV5002">
        <v>353</v>
      </c>
      <c r="AW5002" s="4">
        <v>42415</v>
      </c>
      <c r="BD5002">
        <v>0</v>
      </c>
      <c r="BN5002" t="s">
        <v>74</v>
      </c>
    </row>
    <row r="5003" spans="1:66" hidden="1">
      <c r="A5003">
        <v>101851</v>
      </c>
      <c r="B5003" s="3" t="s">
        <v>537</v>
      </c>
      <c r="C5003" s="1">
        <v>43300101</v>
      </c>
      <c r="D5003" t="s">
        <v>67</v>
      </c>
      <c r="H5003" t="str">
        <f t="shared" si="537"/>
        <v>11667890153</v>
      </c>
      <c r="I5003" t="str">
        <f t="shared" si="537"/>
        <v>11667890153</v>
      </c>
      <c r="K5003" t="str">
        <f>""</f>
        <v/>
      </c>
      <c r="M5003" t="s">
        <v>68</v>
      </c>
      <c r="N5003" t="str">
        <f t="shared" si="538"/>
        <v>FOR</v>
      </c>
      <c r="O5003" t="s">
        <v>69</v>
      </c>
      <c r="P5003" s="3" t="s">
        <v>70</v>
      </c>
      <c r="Q5003">
        <v>2015</v>
      </c>
      <c r="R5003" s="2">
        <v>42090</v>
      </c>
      <c r="S5003" s="2">
        <v>42118</v>
      </c>
      <c r="T5003" s="2">
        <v>42118</v>
      </c>
      <c r="U5003" s="2">
        <v>42178</v>
      </c>
      <c r="V5003" t="s">
        <v>71</v>
      </c>
      <c r="W5003" t="str">
        <f>"            15007404"</f>
        <v xml:space="preserve">            15007404</v>
      </c>
      <c r="X5003">
        <v>792</v>
      </c>
      <c r="Y5003">
        <v>0</v>
      </c>
      <c r="Z5003"/>
      <c r="AB5003"/>
      <c r="AC5003">
        <v>720</v>
      </c>
      <c r="AD5003">
        <v>237</v>
      </c>
      <c r="AE5003" s="1">
        <v>170640</v>
      </c>
      <c r="AF5003">
        <v>0</v>
      </c>
      <c r="AJ5003">
        <v>0</v>
      </c>
      <c r="AK5003">
        <v>0</v>
      </c>
      <c r="AL5003">
        <v>0</v>
      </c>
      <c r="AM5003">
        <v>0</v>
      </c>
      <c r="AN5003">
        <v>0</v>
      </c>
      <c r="AO5003">
        <v>0</v>
      </c>
      <c r="AP5003" s="2">
        <v>42746</v>
      </c>
      <c r="AQ5003" t="s">
        <v>72</v>
      </c>
      <c r="AR5003" t="s">
        <v>72</v>
      </c>
      <c r="AS5003">
        <v>353</v>
      </c>
      <c r="AT5003" s="4">
        <v>42415</v>
      </c>
      <c r="AU5003" t="s">
        <v>73</v>
      </c>
      <c r="AV5003">
        <v>353</v>
      </c>
      <c r="AW5003" s="4">
        <v>42415</v>
      </c>
      <c r="BD5003">
        <v>0</v>
      </c>
      <c r="BN5003" t="s">
        <v>74</v>
      </c>
    </row>
    <row r="5004" spans="1:66" hidden="1">
      <c r="A5004">
        <v>101851</v>
      </c>
      <c r="B5004" s="3" t="s">
        <v>537</v>
      </c>
      <c r="C5004" s="1">
        <v>43300101</v>
      </c>
      <c r="D5004" t="s">
        <v>67</v>
      </c>
      <c r="H5004" t="str">
        <f t="shared" si="537"/>
        <v>11667890153</v>
      </c>
      <c r="I5004" t="str">
        <f t="shared" si="537"/>
        <v>11667890153</v>
      </c>
      <c r="K5004" t="str">
        <f>""</f>
        <v/>
      </c>
      <c r="M5004" t="s">
        <v>68</v>
      </c>
      <c r="N5004" t="str">
        <f t="shared" si="538"/>
        <v>FOR</v>
      </c>
      <c r="O5004" t="s">
        <v>69</v>
      </c>
      <c r="P5004" s="3" t="s">
        <v>75</v>
      </c>
      <c r="Q5004">
        <v>2015</v>
      </c>
      <c r="R5004" s="2">
        <v>42107</v>
      </c>
      <c r="S5004" s="2">
        <v>42139</v>
      </c>
      <c r="T5004" s="2">
        <v>42137</v>
      </c>
      <c r="U5004" s="2">
        <v>42197</v>
      </c>
      <c r="V5004" t="s">
        <v>71</v>
      </c>
      <c r="W5004" t="str">
        <f>"         RH/15008593"</f>
        <v xml:space="preserve">         RH/15008593</v>
      </c>
      <c r="X5004" s="1">
        <v>3676.2</v>
      </c>
      <c r="Y5004">
        <v>0</v>
      </c>
      <c r="Z5004"/>
      <c r="AB5004"/>
      <c r="AC5004" s="1">
        <v>3342</v>
      </c>
      <c r="AD5004">
        <v>255</v>
      </c>
      <c r="AE5004" s="1">
        <v>852210</v>
      </c>
      <c r="AF5004">
        <v>0</v>
      </c>
      <c r="AJ5004">
        <v>0</v>
      </c>
      <c r="AK5004">
        <v>0</v>
      </c>
      <c r="AL5004">
        <v>0</v>
      </c>
      <c r="AM5004">
        <v>0</v>
      </c>
      <c r="AN5004">
        <v>0</v>
      </c>
      <c r="AO5004">
        <v>0</v>
      </c>
      <c r="AP5004" s="2">
        <v>42746</v>
      </c>
      <c r="AQ5004" t="s">
        <v>72</v>
      </c>
      <c r="AR5004" t="s">
        <v>72</v>
      </c>
      <c r="AS5004">
        <v>833</v>
      </c>
      <c r="AT5004" s="4">
        <v>42452</v>
      </c>
      <c r="AU5004" t="s">
        <v>73</v>
      </c>
      <c r="AV5004">
        <v>833</v>
      </c>
      <c r="AW5004" s="4">
        <v>42452</v>
      </c>
      <c r="BD5004">
        <v>0</v>
      </c>
      <c r="BN5004" t="s">
        <v>74</v>
      </c>
    </row>
    <row r="5005" spans="1:66" hidden="1">
      <c r="A5005">
        <v>101851</v>
      </c>
      <c r="B5005" s="3" t="s">
        <v>537</v>
      </c>
      <c r="C5005" s="1">
        <v>43300101</v>
      </c>
      <c r="D5005" t="s">
        <v>67</v>
      </c>
      <c r="H5005" t="str">
        <f t="shared" si="537"/>
        <v>11667890153</v>
      </c>
      <c r="I5005" t="str">
        <f t="shared" si="537"/>
        <v>11667890153</v>
      </c>
      <c r="K5005" t="str">
        <f>""</f>
        <v/>
      </c>
      <c r="M5005" t="s">
        <v>68</v>
      </c>
      <c r="N5005" t="str">
        <f t="shared" si="538"/>
        <v>FOR</v>
      </c>
      <c r="O5005" t="s">
        <v>69</v>
      </c>
      <c r="P5005" s="3" t="s">
        <v>75</v>
      </c>
      <c r="Q5005">
        <v>2015</v>
      </c>
      <c r="R5005" s="2">
        <v>42131</v>
      </c>
      <c r="S5005" s="2">
        <v>42139</v>
      </c>
      <c r="T5005" s="2">
        <v>42137</v>
      </c>
      <c r="U5005" s="2">
        <v>42197</v>
      </c>
      <c r="V5005" t="s">
        <v>71</v>
      </c>
      <c r="W5005" t="str">
        <f>"         RH/15010788"</f>
        <v xml:space="preserve">         RH/15010788</v>
      </c>
      <c r="X5005">
        <v>298.32</v>
      </c>
      <c r="Y5005">
        <v>0</v>
      </c>
      <c r="Z5005"/>
      <c r="AB5005"/>
      <c r="AC5005">
        <v>271.2</v>
      </c>
      <c r="AD5005">
        <v>255</v>
      </c>
      <c r="AE5005" s="1">
        <v>69156</v>
      </c>
      <c r="AF5005">
        <v>0</v>
      </c>
      <c r="AJ5005">
        <v>0</v>
      </c>
      <c r="AK5005">
        <v>0</v>
      </c>
      <c r="AL5005">
        <v>0</v>
      </c>
      <c r="AM5005">
        <v>0</v>
      </c>
      <c r="AN5005">
        <v>0</v>
      </c>
      <c r="AO5005">
        <v>0</v>
      </c>
      <c r="AP5005" s="2">
        <v>42746</v>
      </c>
      <c r="AQ5005" t="s">
        <v>72</v>
      </c>
      <c r="AR5005" t="s">
        <v>72</v>
      </c>
      <c r="AS5005">
        <v>833</v>
      </c>
      <c r="AT5005" s="4">
        <v>42452</v>
      </c>
      <c r="AU5005" t="s">
        <v>73</v>
      </c>
      <c r="AV5005">
        <v>833</v>
      </c>
      <c r="AW5005" s="4">
        <v>42452</v>
      </c>
      <c r="BD5005">
        <v>0</v>
      </c>
      <c r="BN5005" t="s">
        <v>74</v>
      </c>
    </row>
    <row r="5006" spans="1:66" hidden="1">
      <c r="A5006">
        <v>101851</v>
      </c>
      <c r="B5006" s="3" t="s">
        <v>537</v>
      </c>
      <c r="C5006" s="1">
        <v>43300101</v>
      </c>
      <c r="D5006" t="s">
        <v>67</v>
      </c>
      <c r="H5006" t="str">
        <f t="shared" si="537"/>
        <v>11667890153</v>
      </c>
      <c r="I5006" t="str">
        <f t="shared" si="537"/>
        <v>11667890153</v>
      </c>
      <c r="K5006" t="str">
        <f>""</f>
        <v/>
      </c>
      <c r="M5006" t="s">
        <v>68</v>
      </c>
      <c r="N5006" t="str">
        <f t="shared" si="538"/>
        <v>FOR</v>
      </c>
      <c r="O5006" t="s">
        <v>69</v>
      </c>
      <c r="P5006" s="3" t="s">
        <v>75</v>
      </c>
      <c r="Q5006">
        <v>2015</v>
      </c>
      <c r="R5006" s="2">
        <v>42135</v>
      </c>
      <c r="S5006" s="2">
        <v>42139</v>
      </c>
      <c r="T5006" s="2">
        <v>42137</v>
      </c>
      <c r="U5006" s="2">
        <v>42197</v>
      </c>
      <c r="V5006" t="s">
        <v>71</v>
      </c>
      <c r="W5006" t="str">
        <f>"         RH/15010946"</f>
        <v xml:space="preserve">         RH/15010946</v>
      </c>
      <c r="X5006" s="1">
        <v>1193.28</v>
      </c>
      <c r="Y5006">
        <v>0</v>
      </c>
      <c r="Z5006"/>
      <c r="AB5006"/>
      <c r="AC5006" s="1">
        <v>1084.8</v>
      </c>
      <c r="AD5006">
        <v>255</v>
      </c>
      <c r="AE5006" s="1">
        <v>276624</v>
      </c>
      <c r="AF5006">
        <v>0</v>
      </c>
      <c r="AJ5006">
        <v>0</v>
      </c>
      <c r="AK5006">
        <v>0</v>
      </c>
      <c r="AL5006">
        <v>0</v>
      </c>
      <c r="AM5006">
        <v>0</v>
      </c>
      <c r="AN5006">
        <v>0</v>
      </c>
      <c r="AO5006">
        <v>0</v>
      </c>
      <c r="AP5006" s="2">
        <v>42746</v>
      </c>
      <c r="AQ5006" t="s">
        <v>72</v>
      </c>
      <c r="AR5006" t="s">
        <v>72</v>
      </c>
      <c r="AS5006">
        <v>833</v>
      </c>
      <c r="AT5006" s="4">
        <v>42452</v>
      </c>
      <c r="AU5006" t="s">
        <v>73</v>
      </c>
      <c r="AV5006">
        <v>833</v>
      </c>
      <c r="AW5006" s="4">
        <v>42452</v>
      </c>
      <c r="BD5006">
        <v>0</v>
      </c>
      <c r="BN5006" t="s">
        <v>74</v>
      </c>
    </row>
    <row r="5007" spans="1:66" hidden="1">
      <c r="A5007">
        <v>101851</v>
      </c>
      <c r="B5007" s="3" t="s">
        <v>537</v>
      </c>
      <c r="C5007" s="1">
        <v>43300101</v>
      </c>
      <c r="D5007" t="s">
        <v>67</v>
      </c>
      <c r="H5007" t="str">
        <f t="shared" si="537"/>
        <v>11667890153</v>
      </c>
      <c r="I5007" t="str">
        <f t="shared" si="537"/>
        <v>11667890153</v>
      </c>
      <c r="K5007" t="str">
        <f>""</f>
        <v/>
      </c>
      <c r="M5007" t="s">
        <v>68</v>
      </c>
      <c r="N5007" t="str">
        <f t="shared" si="538"/>
        <v>FOR</v>
      </c>
      <c r="O5007" t="s">
        <v>69</v>
      </c>
      <c r="P5007" s="3" t="s">
        <v>75</v>
      </c>
      <c r="Q5007">
        <v>2015</v>
      </c>
      <c r="R5007" s="2">
        <v>42149</v>
      </c>
      <c r="S5007" s="2">
        <v>42160</v>
      </c>
      <c r="T5007" s="2">
        <v>42152</v>
      </c>
      <c r="U5007" s="2">
        <v>42212</v>
      </c>
      <c r="V5007" t="s">
        <v>71</v>
      </c>
      <c r="W5007" t="str">
        <f>"         RH/15012462"</f>
        <v xml:space="preserve">         RH/15012462</v>
      </c>
      <c r="X5007" s="1">
        <v>3379.2</v>
      </c>
      <c r="Y5007">
        <v>0</v>
      </c>
      <c r="Z5007"/>
      <c r="AB5007"/>
      <c r="AC5007" s="1">
        <v>3072</v>
      </c>
      <c r="AD5007">
        <v>240</v>
      </c>
      <c r="AE5007" s="1">
        <v>737280</v>
      </c>
      <c r="AF5007">
        <v>0</v>
      </c>
      <c r="AJ5007">
        <v>0</v>
      </c>
      <c r="AK5007">
        <v>0</v>
      </c>
      <c r="AL5007">
        <v>0</v>
      </c>
      <c r="AM5007">
        <v>0</v>
      </c>
      <c r="AN5007">
        <v>0</v>
      </c>
      <c r="AO5007">
        <v>0</v>
      </c>
      <c r="AP5007" s="2">
        <v>42746</v>
      </c>
      <c r="AQ5007" t="s">
        <v>72</v>
      </c>
      <c r="AR5007" t="s">
        <v>72</v>
      </c>
      <c r="AS5007">
        <v>833</v>
      </c>
      <c r="AT5007" s="4">
        <v>42452</v>
      </c>
      <c r="AU5007" t="s">
        <v>73</v>
      </c>
      <c r="AV5007">
        <v>833</v>
      </c>
      <c r="AW5007" s="4">
        <v>42452</v>
      </c>
      <c r="BD5007">
        <v>0</v>
      </c>
      <c r="BN5007" t="s">
        <v>74</v>
      </c>
    </row>
    <row r="5008" spans="1:66" hidden="1">
      <c r="A5008">
        <v>101851</v>
      </c>
      <c r="B5008" s="3" t="s">
        <v>537</v>
      </c>
      <c r="C5008" s="1">
        <v>43300101</v>
      </c>
      <c r="D5008" t="s">
        <v>67</v>
      </c>
      <c r="H5008" t="str">
        <f t="shared" ref="H5008:I5030" si="539">"11667890153"</f>
        <v>11667890153</v>
      </c>
      <c r="I5008" t="str">
        <f t="shared" si="539"/>
        <v>11667890153</v>
      </c>
      <c r="K5008" t="str">
        <f>""</f>
        <v/>
      </c>
      <c r="M5008" t="s">
        <v>68</v>
      </c>
      <c r="N5008" t="str">
        <f t="shared" si="538"/>
        <v>FOR</v>
      </c>
      <c r="O5008" t="s">
        <v>69</v>
      </c>
      <c r="P5008" s="3" t="s">
        <v>75</v>
      </c>
      <c r="Q5008">
        <v>2015</v>
      </c>
      <c r="R5008" s="2">
        <v>42160</v>
      </c>
      <c r="S5008" s="2">
        <v>42164</v>
      </c>
      <c r="T5008" s="2">
        <v>42163</v>
      </c>
      <c r="U5008" s="2">
        <v>42223</v>
      </c>
      <c r="V5008" t="s">
        <v>71</v>
      </c>
      <c r="W5008" t="str">
        <f>"         RH/15013593"</f>
        <v xml:space="preserve">         RH/15013593</v>
      </c>
      <c r="X5008">
        <v>107.8</v>
      </c>
      <c r="Y5008">
        <v>0</v>
      </c>
      <c r="Z5008"/>
      <c r="AB5008"/>
      <c r="AC5008">
        <v>98</v>
      </c>
      <c r="AD5008">
        <v>304</v>
      </c>
      <c r="AE5008" s="1">
        <v>29792</v>
      </c>
      <c r="AF5008">
        <v>0</v>
      </c>
      <c r="AJ5008">
        <v>0</v>
      </c>
      <c r="AK5008">
        <v>0</v>
      </c>
      <c r="AL5008">
        <v>0</v>
      </c>
      <c r="AM5008">
        <v>0</v>
      </c>
      <c r="AN5008">
        <v>0</v>
      </c>
      <c r="AO5008">
        <v>0</v>
      </c>
      <c r="AP5008" s="2">
        <v>42746</v>
      </c>
      <c r="AQ5008" t="s">
        <v>72</v>
      </c>
      <c r="AR5008" t="s">
        <v>72</v>
      </c>
      <c r="AS5008">
        <v>1528</v>
      </c>
      <c r="AT5008" s="4">
        <v>42527</v>
      </c>
      <c r="AU5008" t="s">
        <v>73</v>
      </c>
      <c r="AV5008">
        <v>1528</v>
      </c>
      <c r="AW5008" s="4">
        <v>42527</v>
      </c>
      <c r="BD5008">
        <v>0</v>
      </c>
      <c r="BN5008" t="s">
        <v>74</v>
      </c>
    </row>
    <row r="5009" spans="1:66" hidden="1">
      <c r="A5009">
        <v>101851</v>
      </c>
      <c r="B5009" s="3" t="s">
        <v>537</v>
      </c>
      <c r="C5009" s="1">
        <v>43300101</v>
      </c>
      <c r="D5009" t="s">
        <v>67</v>
      </c>
      <c r="H5009" t="str">
        <f t="shared" si="539"/>
        <v>11667890153</v>
      </c>
      <c r="I5009" t="str">
        <f t="shared" si="539"/>
        <v>11667890153</v>
      </c>
      <c r="K5009" t="str">
        <f>""</f>
        <v/>
      </c>
      <c r="M5009" t="s">
        <v>68</v>
      </c>
      <c r="N5009" t="str">
        <f t="shared" si="538"/>
        <v>FOR</v>
      </c>
      <c r="O5009" t="s">
        <v>69</v>
      </c>
      <c r="P5009" s="3" t="s">
        <v>75</v>
      </c>
      <c r="Q5009">
        <v>2015</v>
      </c>
      <c r="R5009" s="2">
        <v>42177</v>
      </c>
      <c r="S5009" s="2">
        <v>42178</v>
      </c>
      <c r="T5009" s="2">
        <v>42178</v>
      </c>
      <c r="U5009" s="2">
        <v>42238</v>
      </c>
      <c r="V5009" t="s">
        <v>71</v>
      </c>
      <c r="W5009" t="str">
        <f>"         RH/15015094"</f>
        <v xml:space="preserve">         RH/15015094</v>
      </c>
      <c r="X5009" s="1">
        <v>2587.1999999999998</v>
      </c>
      <c r="Y5009">
        <v>0</v>
      </c>
      <c r="Z5009"/>
      <c r="AB5009"/>
      <c r="AC5009" s="1">
        <v>2352</v>
      </c>
      <c r="AD5009">
        <v>289</v>
      </c>
      <c r="AE5009" s="1">
        <v>679728</v>
      </c>
      <c r="AF5009">
        <v>0</v>
      </c>
      <c r="AJ5009">
        <v>0</v>
      </c>
      <c r="AK5009">
        <v>0</v>
      </c>
      <c r="AL5009">
        <v>0</v>
      </c>
      <c r="AM5009">
        <v>0</v>
      </c>
      <c r="AN5009">
        <v>0</v>
      </c>
      <c r="AO5009">
        <v>0</v>
      </c>
      <c r="AP5009" s="2">
        <v>42746</v>
      </c>
      <c r="AQ5009" t="s">
        <v>72</v>
      </c>
      <c r="AR5009" t="s">
        <v>72</v>
      </c>
      <c r="AS5009">
        <v>1528</v>
      </c>
      <c r="AT5009" s="4">
        <v>42527</v>
      </c>
      <c r="AU5009" t="s">
        <v>73</v>
      </c>
      <c r="AV5009">
        <v>1528</v>
      </c>
      <c r="AW5009" s="4">
        <v>42527</v>
      </c>
      <c r="BD5009">
        <v>0</v>
      </c>
      <c r="BN5009" t="s">
        <v>74</v>
      </c>
    </row>
    <row r="5010" spans="1:66" hidden="1">
      <c r="A5010">
        <v>101851</v>
      </c>
      <c r="B5010" s="3" t="s">
        <v>537</v>
      </c>
      <c r="C5010" s="1">
        <v>43300101</v>
      </c>
      <c r="D5010" t="s">
        <v>67</v>
      </c>
      <c r="H5010" t="str">
        <f t="shared" si="539"/>
        <v>11667890153</v>
      </c>
      <c r="I5010" t="str">
        <f t="shared" si="539"/>
        <v>11667890153</v>
      </c>
      <c r="K5010" t="str">
        <f>""</f>
        <v/>
      </c>
      <c r="M5010" t="s">
        <v>68</v>
      </c>
      <c r="N5010" t="str">
        <f t="shared" si="538"/>
        <v>FOR</v>
      </c>
      <c r="O5010" t="s">
        <v>69</v>
      </c>
      <c r="P5010" s="3" t="s">
        <v>75</v>
      </c>
      <c r="Q5010">
        <v>2015</v>
      </c>
      <c r="R5010" s="2">
        <v>42193</v>
      </c>
      <c r="S5010" s="2">
        <v>42195</v>
      </c>
      <c r="T5010" s="2">
        <v>42194</v>
      </c>
      <c r="U5010" s="2">
        <v>42254</v>
      </c>
      <c r="V5010" t="s">
        <v>71</v>
      </c>
      <c r="W5010" t="str">
        <f>"         RH/15016774"</f>
        <v xml:space="preserve">         RH/15016774</v>
      </c>
      <c r="X5010">
        <v>215.6</v>
      </c>
      <c r="Y5010">
        <v>0</v>
      </c>
      <c r="Z5010"/>
      <c r="AB5010"/>
      <c r="AC5010">
        <v>196</v>
      </c>
      <c r="AD5010">
        <v>315</v>
      </c>
      <c r="AE5010" s="1">
        <v>61740</v>
      </c>
      <c r="AF5010">
        <v>0</v>
      </c>
      <c r="AJ5010">
        <v>0</v>
      </c>
      <c r="AK5010">
        <v>0</v>
      </c>
      <c r="AL5010">
        <v>0</v>
      </c>
      <c r="AM5010">
        <v>0</v>
      </c>
      <c r="AN5010">
        <v>0</v>
      </c>
      <c r="AO5010">
        <v>0</v>
      </c>
      <c r="AP5010" s="2">
        <v>42746</v>
      </c>
      <c r="AQ5010" t="s">
        <v>72</v>
      </c>
      <c r="AR5010" t="s">
        <v>72</v>
      </c>
      <c r="AS5010">
        <v>1854</v>
      </c>
      <c r="AT5010" s="4">
        <v>42569</v>
      </c>
      <c r="AU5010" t="s">
        <v>73</v>
      </c>
      <c r="AV5010">
        <v>1854</v>
      </c>
      <c r="AW5010" s="4">
        <v>42569</v>
      </c>
      <c r="BD5010">
        <v>0</v>
      </c>
      <c r="BN5010" t="s">
        <v>74</v>
      </c>
    </row>
    <row r="5011" spans="1:66" hidden="1">
      <c r="A5011">
        <v>101851</v>
      </c>
      <c r="B5011" s="3" t="s">
        <v>537</v>
      </c>
      <c r="C5011" s="1">
        <v>43300101</v>
      </c>
      <c r="D5011" t="s">
        <v>67</v>
      </c>
      <c r="H5011" t="str">
        <f t="shared" si="539"/>
        <v>11667890153</v>
      </c>
      <c r="I5011" t="str">
        <f t="shared" si="539"/>
        <v>11667890153</v>
      </c>
      <c r="K5011" t="str">
        <f>""</f>
        <v/>
      </c>
      <c r="M5011" t="s">
        <v>68</v>
      </c>
      <c r="N5011" t="str">
        <f t="shared" si="538"/>
        <v>FOR</v>
      </c>
      <c r="O5011" t="s">
        <v>69</v>
      </c>
      <c r="P5011" s="3" t="s">
        <v>75</v>
      </c>
      <c r="Q5011">
        <v>2015</v>
      </c>
      <c r="R5011" s="2">
        <v>42199</v>
      </c>
      <c r="S5011" s="2">
        <v>42202</v>
      </c>
      <c r="T5011" s="2">
        <v>42200</v>
      </c>
      <c r="U5011" s="2">
        <v>42260</v>
      </c>
      <c r="V5011" t="s">
        <v>71</v>
      </c>
      <c r="W5011" t="str">
        <f>"         RH/15017345"</f>
        <v xml:space="preserve">         RH/15017345</v>
      </c>
      <c r="X5011" s="1">
        <v>1878.8</v>
      </c>
      <c r="Y5011">
        <v>0</v>
      </c>
      <c r="Z5011"/>
      <c r="AB5011"/>
      <c r="AC5011" s="1">
        <v>1540</v>
      </c>
      <c r="AD5011">
        <v>309</v>
      </c>
      <c r="AE5011" s="1">
        <v>475860</v>
      </c>
      <c r="AF5011">
        <v>0</v>
      </c>
      <c r="AJ5011">
        <v>0</v>
      </c>
      <c r="AK5011">
        <v>0</v>
      </c>
      <c r="AL5011">
        <v>0</v>
      </c>
      <c r="AM5011">
        <v>0</v>
      </c>
      <c r="AN5011">
        <v>0</v>
      </c>
      <c r="AO5011">
        <v>0</v>
      </c>
      <c r="AP5011" s="2">
        <v>42746</v>
      </c>
      <c r="AQ5011" t="s">
        <v>72</v>
      </c>
      <c r="AR5011" t="s">
        <v>72</v>
      </c>
      <c r="AS5011">
        <v>1854</v>
      </c>
      <c r="AT5011" s="4">
        <v>42569</v>
      </c>
      <c r="AU5011" t="s">
        <v>73</v>
      </c>
      <c r="AV5011">
        <v>1854</v>
      </c>
      <c r="AW5011" s="4">
        <v>42569</v>
      </c>
      <c r="BD5011">
        <v>0</v>
      </c>
      <c r="BN5011" t="s">
        <v>74</v>
      </c>
    </row>
    <row r="5012" spans="1:66" hidden="1">
      <c r="A5012">
        <v>101851</v>
      </c>
      <c r="B5012" s="3" t="s">
        <v>537</v>
      </c>
      <c r="C5012" s="1">
        <v>43300101</v>
      </c>
      <c r="D5012" t="s">
        <v>67</v>
      </c>
      <c r="H5012" t="str">
        <f t="shared" si="539"/>
        <v>11667890153</v>
      </c>
      <c r="I5012" t="str">
        <f t="shared" si="539"/>
        <v>11667890153</v>
      </c>
      <c r="K5012" t="str">
        <f>""</f>
        <v/>
      </c>
      <c r="M5012" t="s">
        <v>68</v>
      </c>
      <c r="N5012" t="str">
        <f t="shared" si="538"/>
        <v>FOR</v>
      </c>
      <c r="O5012" t="s">
        <v>69</v>
      </c>
      <c r="P5012" s="3" t="s">
        <v>75</v>
      </c>
      <c r="Q5012">
        <v>2015</v>
      </c>
      <c r="R5012" s="2">
        <v>42209</v>
      </c>
      <c r="S5012" s="2">
        <v>42212</v>
      </c>
      <c r="T5012" s="2">
        <v>42212</v>
      </c>
      <c r="U5012" s="2">
        <v>42272</v>
      </c>
      <c r="V5012" t="s">
        <v>71</v>
      </c>
      <c r="W5012" t="str">
        <f>"         RH/15018622"</f>
        <v xml:space="preserve">         RH/15018622</v>
      </c>
      <c r="X5012" s="1">
        <v>2191.1999999999998</v>
      </c>
      <c r="Y5012">
        <v>0</v>
      </c>
      <c r="Z5012"/>
      <c r="AB5012"/>
      <c r="AC5012" s="1">
        <v>1992</v>
      </c>
      <c r="AD5012">
        <v>297</v>
      </c>
      <c r="AE5012" s="1">
        <v>591624</v>
      </c>
      <c r="AF5012">
        <v>0</v>
      </c>
      <c r="AJ5012">
        <v>0</v>
      </c>
      <c r="AK5012">
        <v>0</v>
      </c>
      <c r="AL5012">
        <v>0</v>
      </c>
      <c r="AM5012">
        <v>0</v>
      </c>
      <c r="AN5012">
        <v>0</v>
      </c>
      <c r="AO5012">
        <v>0</v>
      </c>
      <c r="AP5012" s="2">
        <v>42746</v>
      </c>
      <c r="AQ5012" t="s">
        <v>72</v>
      </c>
      <c r="AR5012" t="s">
        <v>72</v>
      </c>
      <c r="AS5012">
        <v>1854</v>
      </c>
      <c r="AT5012" s="4">
        <v>42569</v>
      </c>
      <c r="AU5012" t="s">
        <v>73</v>
      </c>
      <c r="AV5012">
        <v>1854</v>
      </c>
      <c r="AW5012" s="4">
        <v>42569</v>
      </c>
      <c r="BD5012">
        <v>0</v>
      </c>
      <c r="BN5012" t="s">
        <v>74</v>
      </c>
    </row>
    <row r="5013" spans="1:66" hidden="1">
      <c r="A5013">
        <v>101851</v>
      </c>
      <c r="B5013" s="3" t="s">
        <v>537</v>
      </c>
      <c r="C5013" s="1">
        <v>43300101</v>
      </c>
      <c r="D5013" t="s">
        <v>67</v>
      </c>
      <c r="H5013" t="str">
        <f t="shared" si="539"/>
        <v>11667890153</v>
      </c>
      <c r="I5013" t="str">
        <f t="shared" si="539"/>
        <v>11667890153</v>
      </c>
      <c r="K5013" t="str">
        <f>""</f>
        <v/>
      </c>
      <c r="M5013" t="s">
        <v>68</v>
      </c>
      <c r="N5013" t="str">
        <f t="shared" si="538"/>
        <v>FOR</v>
      </c>
      <c r="O5013" t="s">
        <v>69</v>
      </c>
      <c r="P5013" s="3" t="s">
        <v>75</v>
      </c>
      <c r="Q5013">
        <v>2015</v>
      </c>
      <c r="R5013" s="2">
        <v>42242</v>
      </c>
      <c r="S5013" s="2">
        <v>42243</v>
      </c>
      <c r="T5013" s="2">
        <v>42243</v>
      </c>
      <c r="U5013" s="2">
        <v>42303</v>
      </c>
      <c r="V5013" t="s">
        <v>71</v>
      </c>
      <c r="W5013" t="str">
        <f>"         RH/15021142"</f>
        <v xml:space="preserve">         RH/15021142</v>
      </c>
      <c r="X5013" s="1">
        <v>1003.2</v>
      </c>
      <c r="Y5013">
        <v>0</v>
      </c>
      <c r="Z5013"/>
      <c r="AB5013"/>
      <c r="AC5013">
        <v>912</v>
      </c>
      <c r="AD5013">
        <v>276</v>
      </c>
      <c r="AE5013" s="1">
        <v>251712</v>
      </c>
      <c r="AF5013">
        <v>0</v>
      </c>
      <c r="AJ5013">
        <v>0</v>
      </c>
      <c r="AK5013">
        <v>0</v>
      </c>
      <c r="AL5013">
        <v>0</v>
      </c>
      <c r="AM5013">
        <v>0</v>
      </c>
      <c r="AN5013">
        <v>0</v>
      </c>
      <c r="AO5013">
        <v>0</v>
      </c>
      <c r="AP5013" s="2">
        <v>42746</v>
      </c>
      <c r="AQ5013" t="s">
        <v>72</v>
      </c>
      <c r="AR5013" t="s">
        <v>72</v>
      </c>
      <c r="AS5013">
        <v>2014</v>
      </c>
      <c r="AT5013" s="4">
        <v>42579</v>
      </c>
      <c r="AU5013" t="s">
        <v>73</v>
      </c>
      <c r="AV5013">
        <v>2014</v>
      </c>
      <c r="AW5013" s="4">
        <v>42579</v>
      </c>
      <c r="BD5013">
        <v>0</v>
      </c>
      <c r="BN5013" t="s">
        <v>74</v>
      </c>
    </row>
    <row r="5014" spans="1:66" hidden="1">
      <c r="A5014">
        <v>101851</v>
      </c>
      <c r="B5014" s="3" t="s">
        <v>537</v>
      </c>
      <c r="C5014" s="1">
        <v>43300101</v>
      </c>
      <c r="D5014" t="s">
        <v>67</v>
      </c>
      <c r="H5014" t="str">
        <f t="shared" si="539"/>
        <v>11667890153</v>
      </c>
      <c r="I5014" t="str">
        <f t="shared" si="539"/>
        <v>11667890153</v>
      </c>
      <c r="K5014" t="str">
        <f>""</f>
        <v/>
      </c>
      <c r="M5014" t="s">
        <v>68</v>
      </c>
      <c r="N5014" t="str">
        <f t="shared" si="538"/>
        <v>FOR</v>
      </c>
      <c r="O5014" t="s">
        <v>69</v>
      </c>
      <c r="P5014" s="3" t="s">
        <v>75</v>
      </c>
      <c r="Q5014">
        <v>2015</v>
      </c>
      <c r="R5014" s="2">
        <v>42254</v>
      </c>
      <c r="S5014" s="2">
        <v>42255</v>
      </c>
      <c r="T5014" s="2">
        <v>42255</v>
      </c>
      <c r="U5014" s="2">
        <v>42315</v>
      </c>
      <c r="V5014" t="s">
        <v>71</v>
      </c>
      <c r="W5014" t="str">
        <f>"         RH/15022046"</f>
        <v xml:space="preserve">         RH/15022046</v>
      </c>
      <c r="X5014" s="1">
        <v>1782</v>
      </c>
      <c r="Y5014">
        <v>0</v>
      </c>
      <c r="Z5014"/>
      <c r="AB5014"/>
      <c r="AC5014" s="1">
        <v>1620</v>
      </c>
      <c r="AD5014">
        <v>305</v>
      </c>
      <c r="AE5014" s="1">
        <v>494100</v>
      </c>
      <c r="AF5014">
        <v>0</v>
      </c>
      <c r="AJ5014">
        <v>0</v>
      </c>
      <c r="AK5014">
        <v>0</v>
      </c>
      <c r="AL5014">
        <v>0</v>
      </c>
      <c r="AM5014">
        <v>0</v>
      </c>
      <c r="AN5014">
        <v>0</v>
      </c>
      <c r="AO5014">
        <v>0</v>
      </c>
      <c r="AP5014" s="2">
        <v>42746</v>
      </c>
      <c r="AQ5014" t="s">
        <v>72</v>
      </c>
      <c r="AR5014" t="s">
        <v>72</v>
      </c>
      <c r="AS5014">
        <v>2348</v>
      </c>
      <c r="AT5014" s="4">
        <v>42620</v>
      </c>
      <c r="AU5014" t="s">
        <v>73</v>
      </c>
      <c r="AV5014">
        <v>2348</v>
      </c>
      <c r="AW5014" s="4">
        <v>42620</v>
      </c>
      <c r="BD5014">
        <v>0</v>
      </c>
      <c r="BN5014" t="s">
        <v>74</v>
      </c>
    </row>
    <row r="5015" spans="1:66">
      <c r="A5015">
        <v>101851</v>
      </c>
      <c r="B5015" s="3" t="s">
        <v>537</v>
      </c>
      <c r="C5015" s="1">
        <v>43300101</v>
      </c>
      <c r="D5015" t="s">
        <v>67</v>
      </c>
      <c r="H5015" t="str">
        <f t="shared" si="539"/>
        <v>11667890153</v>
      </c>
      <c r="I5015" t="str">
        <f t="shared" si="539"/>
        <v>11667890153</v>
      </c>
      <c r="K5015" t="str">
        <f>""</f>
        <v/>
      </c>
      <c r="M5015" t="s">
        <v>68</v>
      </c>
      <c r="N5015" t="str">
        <f t="shared" si="538"/>
        <v>FOR</v>
      </c>
      <c r="O5015" t="s">
        <v>69</v>
      </c>
      <c r="P5015" s="3" t="s">
        <v>75</v>
      </c>
      <c r="Q5015">
        <v>2015</v>
      </c>
      <c r="R5015" s="2">
        <v>42296</v>
      </c>
      <c r="S5015" s="2">
        <v>42298</v>
      </c>
      <c r="T5015" s="2">
        <v>42297</v>
      </c>
      <c r="U5015" s="2">
        <v>42357</v>
      </c>
      <c r="V5015" t="s">
        <v>71</v>
      </c>
      <c r="W5015" t="str">
        <f>"         RH/15025967"</f>
        <v xml:space="preserve">         RH/15025967</v>
      </c>
      <c r="X5015" s="1">
        <v>1795.2</v>
      </c>
      <c r="Y5015">
        <v>0</v>
      </c>
      <c r="Z5015" s="5">
        <v>1632</v>
      </c>
      <c r="AA5015">
        <v>291</v>
      </c>
      <c r="AB5015" s="5">
        <v>474912</v>
      </c>
      <c r="AC5015" s="1">
        <v>1632</v>
      </c>
      <c r="AD5015">
        <v>291</v>
      </c>
      <c r="AE5015" s="1">
        <v>474912</v>
      </c>
      <c r="AF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 s="2">
        <v>42746</v>
      </c>
      <c r="AQ5015" t="s">
        <v>72</v>
      </c>
      <c r="AR5015" t="s">
        <v>72</v>
      </c>
      <c r="AS5015">
        <v>2653</v>
      </c>
      <c r="AT5015" s="4">
        <v>42648</v>
      </c>
      <c r="AU5015" t="s">
        <v>73</v>
      </c>
      <c r="AV5015">
        <v>2653</v>
      </c>
      <c r="AW5015" s="4">
        <v>42648</v>
      </c>
      <c r="BD5015">
        <v>0</v>
      </c>
      <c r="BN5015" t="s">
        <v>74</v>
      </c>
    </row>
    <row r="5016" spans="1:66">
      <c r="A5016">
        <v>101851</v>
      </c>
      <c r="B5016" s="3" t="s">
        <v>537</v>
      </c>
      <c r="C5016" s="1">
        <v>43300101</v>
      </c>
      <c r="D5016" t="s">
        <v>67</v>
      </c>
      <c r="H5016" t="str">
        <f t="shared" si="539"/>
        <v>11667890153</v>
      </c>
      <c r="I5016" t="str">
        <f t="shared" si="539"/>
        <v>11667890153</v>
      </c>
      <c r="K5016" t="str">
        <f>""</f>
        <v/>
      </c>
      <c r="M5016" t="s">
        <v>68</v>
      </c>
      <c r="N5016" t="str">
        <f t="shared" si="538"/>
        <v>FOR</v>
      </c>
      <c r="O5016" t="s">
        <v>69</v>
      </c>
      <c r="P5016" s="3" t="s">
        <v>75</v>
      </c>
      <c r="Q5016">
        <v>2015</v>
      </c>
      <c r="R5016" s="2">
        <v>42310</v>
      </c>
      <c r="S5016" s="2">
        <v>42312</v>
      </c>
      <c r="T5016" s="2">
        <v>42311</v>
      </c>
      <c r="U5016" s="2">
        <v>42371</v>
      </c>
      <c r="V5016" t="s">
        <v>71</v>
      </c>
      <c r="W5016" t="str">
        <f>"         RH/15027273"</f>
        <v xml:space="preserve">         RH/15027273</v>
      </c>
      <c r="X5016">
        <v>396</v>
      </c>
      <c r="Y5016">
        <v>0</v>
      </c>
      <c r="Z5016" s="3">
        <v>360</v>
      </c>
      <c r="AA5016">
        <v>326</v>
      </c>
      <c r="AB5016" s="5">
        <v>117360</v>
      </c>
      <c r="AC5016">
        <v>360</v>
      </c>
      <c r="AD5016">
        <v>326</v>
      </c>
      <c r="AE5016" s="1">
        <v>117360</v>
      </c>
      <c r="AF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 s="2">
        <v>42746</v>
      </c>
      <c r="AQ5016" t="s">
        <v>72</v>
      </c>
      <c r="AR5016" t="s">
        <v>72</v>
      </c>
      <c r="AS5016">
        <v>3296</v>
      </c>
      <c r="AT5016" s="4">
        <v>42697</v>
      </c>
      <c r="AU5016" t="s">
        <v>73</v>
      </c>
      <c r="AV5016">
        <v>3296</v>
      </c>
      <c r="AW5016" s="4">
        <v>42697</v>
      </c>
      <c r="BD5016">
        <v>0</v>
      </c>
      <c r="BN5016" t="s">
        <v>74</v>
      </c>
    </row>
    <row r="5017" spans="1:66">
      <c r="A5017">
        <v>101851</v>
      </c>
      <c r="B5017" s="3" t="s">
        <v>537</v>
      </c>
      <c r="C5017" s="1">
        <v>43300101</v>
      </c>
      <c r="D5017" t="s">
        <v>67</v>
      </c>
      <c r="H5017" t="str">
        <f t="shared" si="539"/>
        <v>11667890153</v>
      </c>
      <c r="I5017" t="str">
        <f t="shared" si="539"/>
        <v>11667890153</v>
      </c>
      <c r="K5017" t="str">
        <f>""</f>
        <v/>
      </c>
      <c r="M5017" t="s">
        <v>68</v>
      </c>
      <c r="N5017" t="str">
        <f t="shared" si="538"/>
        <v>FOR</v>
      </c>
      <c r="O5017" t="s">
        <v>69</v>
      </c>
      <c r="P5017" s="3" t="s">
        <v>75</v>
      </c>
      <c r="Q5017">
        <v>2015</v>
      </c>
      <c r="R5017" s="2">
        <v>42317</v>
      </c>
      <c r="S5017" s="2">
        <v>42318</v>
      </c>
      <c r="T5017" s="2">
        <v>42318</v>
      </c>
      <c r="U5017" s="2">
        <v>42378</v>
      </c>
      <c r="V5017" t="s">
        <v>71</v>
      </c>
      <c r="W5017" t="str">
        <f>"         RH/15027972"</f>
        <v xml:space="preserve">         RH/15027972</v>
      </c>
      <c r="X5017" s="1">
        <v>1485</v>
      </c>
      <c r="Y5017">
        <v>0</v>
      </c>
      <c r="Z5017" s="5">
        <v>1350</v>
      </c>
      <c r="AA5017">
        <v>319</v>
      </c>
      <c r="AB5017" s="5">
        <v>430650</v>
      </c>
      <c r="AC5017" s="1">
        <v>1350</v>
      </c>
      <c r="AD5017">
        <v>319</v>
      </c>
      <c r="AE5017" s="1">
        <v>430650</v>
      </c>
      <c r="AF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 s="2">
        <v>42746</v>
      </c>
      <c r="AQ5017" t="s">
        <v>72</v>
      </c>
      <c r="AR5017" t="s">
        <v>72</v>
      </c>
      <c r="AS5017">
        <v>3296</v>
      </c>
      <c r="AT5017" s="4">
        <v>42697</v>
      </c>
      <c r="AU5017" t="s">
        <v>73</v>
      </c>
      <c r="AV5017">
        <v>3296</v>
      </c>
      <c r="AW5017" s="4">
        <v>42697</v>
      </c>
      <c r="BD5017">
        <v>0</v>
      </c>
      <c r="BN5017" t="s">
        <v>74</v>
      </c>
    </row>
    <row r="5018" spans="1:66">
      <c r="A5018">
        <v>101851</v>
      </c>
      <c r="B5018" s="3" t="s">
        <v>537</v>
      </c>
      <c r="C5018" s="1">
        <v>43300101</v>
      </c>
      <c r="D5018" t="s">
        <v>67</v>
      </c>
      <c r="H5018" t="str">
        <f t="shared" si="539"/>
        <v>11667890153</v>
      </c>
      <c r="I5018" t="str">
        <f t="shared" si="539"/>
        <v>11667890153</v>
      </c>
      <c r="K5018" t="str">
        <f>""</f>
        <v/>
      </c>
      <c r="M5018" t="s">
        <v>68</v>
      </c>
      <c r="N5018" t="str">
        <f t="shared" si="538"/>
        <v>FOR</v>
      </c>
      <c r="O5018" t="s">
        <v>69</v>
      </c>
      <c r="P5018" s="3" t="s">
        <v>75</v>
      </c>
      <c r="Q5018">
        <v>2015</v>
      </c>
      <c r="R5018" s="2">
        <v>42334</v>
      </c>
      <c r="S5018" s="2">
        <v>42338</v>
      </c>
      <c r="T5018" s="2">
        <v>42338</v>
      </c>
      <c r="U5018" s="2">
        <v>42398</v>
      </c>
      <c r="V5018" t="s">
        <v>71</v>
      </c>
      <c r="W5018" t="str">
        <f>"         RH/15029680"</f>
        <v xml:space="preserve">         RH/15029680</v>
      </c>
      <c r="X5018" s="1">
        <v>1399.2</v>
      </c>
      <c r="Y5018">
        <v>0</v>
      </c>
      <c r="Z5018" s="5">
        <v>1272</v>
      </c>
      <c r="AA5018">
        <v>299</v>
      </c>
      <c r="AB5018" s="5">
        <v>380328</v>
      </c>
      <c r="AC5018" s="1">
        <v>1272</v>
      </c>
      <c r="AD5018">
        <v>299</v>
      </c>
      <c r="AE5018" s="1">
        <v>380328</v>
      </c>
      <c r="AF5018">
        <v>0</v>
      </c>
      <c r="AJ5018">
        <v>0</v>
      </c>
      <c r="AK5018">
        <v>0</v>
      </c>
      <c r="AL5018">
        <v>0</v>
      </c>
      <c r="AM5018">
        <v>0</v>
      </c>
      <c r="AN5018">
        <v>0</v>
      </c>
      <c r="AO5018">
        <v>0</v>
      </c>
      <c r="AP5018" s="2">
        <v>42746</v>
      </c>
      <c r="AQ5018" t="s">
        <v>72</v>
      </c>
      <c r="AR5018" t="s">
        <v>72</v>
      </c>
      <c r="AS5018">
        <v>3296</v>
      </c>
      <c r="AT5018" s="4">
        <v>42697</v>
      </c>
      <c r="AU5018" t="s">
        <v>73</v>
      </c>
      <c r="AV5018">
        <v>3296</v>
      </c>
      <c r="AW5018" s="4">
        <v>42697</v>
      </c>
      <c r="BD5018">
        <v>0</v>
      </c>
      <c r="BN5018" t="s">
        <v>74</v>
      </c>
    </row>
    <row r="5019" spans="1:66">
      <c r="A5019">
        <v>101851</v>
      </c>
      <c r="B5019" s="3" t="s">
        <v>537</v>
      </c>
      <c r="C5019" s="1">
        <v>43300101</v>
      </c>
      <c r="D5019" t="s">
        <v>67</v>
      </c>
      <c r="H5019" t="str">
        <f t="shared" si="539"/>
        <v>11667890153</v>
      </c>
      <c r="I5019" t="str">
        <f t="shared" si="539"/>
        <v>11667890153</v>
      </c>
      <c r="K5019" t="str">
        <f>""</f>
        <v/>
      </c>
      <c r="M5019" t="s">
        <v>68</v>
      </c>
      <c r="N5019" t="str">
        <f t="shared" si="538"/>
        <v>FOR</v>
      </c>
      <c r="O5019" t="s">
        <v>69</v>
      </c>
      <c r="P5019" s="3" t="s">
        <v>75</v>
      </c>
      <c r="Q5019">
        <v>2015</v>
      </c>
      <c r="R5019" s="2">
        <v>42348</v>
      </c>
      <c r="S5019" s="2">
        <v>42353</v>
      </c>
      <c r="T5019" s="2">
        <v>42349</v>
      </c>
      <c r="U5019" s="2">
        <v>42409</v>
      </c>
      <c r="V5019" t="s">
        <v>71</v>
      </c>
      <c r="W5019" t="str">
        <f>"         RH/15030763"</f>
        <v xml:space="preserve">         RH/15030763</v>
      </c>
      <c r="X5019" s="1">
        <v>1485</v>
      </c>
      <c r="Y5019">
        <v>0</v>
      </c>
      <c r="Z5019" s="5">
        <v>1350</v>
      </c>
      <c r="AA5019">
        <v>288</v>
      </c>
      <c r="AB5019" s="5">
        <v>388800</v>
      </c>
      <c r="AC5019" s="1">
        <v>1350</v>
      </c>
      <c r="AD5019">
        <v>288</v>
      </c>
      <c r="AE5019" s="1">
        <v>388800</v>
      </c>
      <c r="AF5019">
        <v>0</v>
      </c>
      <c r="AJ5019">
        <v>0</v>
      </c>
      <c r="AK5019">
        <v>0</v>
      </c>
      <c r="AL5019">
        <v>0</v>
      </c>
      <c r="AM5019">
        <v>0</v>
      </c>
      <c r="AN5019">
        <v>0</v>
      </c>
      <c r="AO5019">
        <v>0</v>
      </c>
      <c r="AP5019" s="2">
        <v>42746</v>
      </c>
      <c r="AQ5019" t="s">
        <v>72</v>
      </c>
      <c r="AR5019" t="s">
        <v>72</v>
      </c>
      <c r="AS5019">
        <v>3296</v>
      </c>
      <c r="AT5019" s="4">
        <v>42697</v>
      </c>
      <c r="AU5019" t="s">
        <v>73</v>
      </c>
      <c r="AV5019">
        <v>3296</v>
      </c>
      <c r="AW5019" s="4">
        <v>42697</v>
      </c>
      <c r="BD5019">
        <v>0</v>
      </c>
      <c r="BN5019" t="s">
        <v>74</v>
      </c>
    </row>
    <row r="5020" spans="1:66">
      <c r="A5020">
        <v>101851</v>
      </c>
      <c r="B5020" s="3" t="s">
        <v>537</v>
      </c>
      <c r="C5020" s="1">
        <v>43300101</v>
      </c>
      <c r="D5020" t="s">
        <v>67</v>
      </c>
      <c r="H5020" t="str">
        <f t="shared" si="539"/>
        <v>11667890153</v>
      </c>
      <c r="I5020" t="str">
        <f t="shared" si="539"/>
        <v>11667890153</v>
      </c>
      <c r="K5020" t="str">
        <f>""</f>
        <v/>
      </c>
      <c r="M5020" t="s">
        <v>68</v>
      </c>
      <c r="N5020" t="str">
        <f t="shared" si="538"/>
        <v>FOR</v>
      </c>
      <c r="O5020" t="s">
        <v>69</v>
      </c>
      <c r="P5020" s="3" t="s">
        <v>75</v>
      </c>
      <c r="Q5020">
        <v>2015</v>
      </c>
      <c r="R5020" s="2">
        <v>42366</v>
      </c>
      <c r="S5020" s="2">
        <v>42369</v>
      </c>
      <c r="T5020" s="2">
        <v>42369</v>
      </c>
      <c r="U5020" s="2">
        <v>42429</v>
      </c>
      <c r="V5020" t="s">
        <v>71</v>
      </c>
      <c r="W5020" t="str">
        <f>"         RH/15032590"</f>
        <v xml:space="preserve">         RH/15032590</v>
      </c>
      <c r="X5020">
        <v>594</v>
      </c>
      <c r="Y5020">
        <v>0</v>
      </c>
      <c r="Z5020" s="3">
        <v>540</v>
      </c>
      <c r="AA5020">
        <v>268</v>
      </c>
      <c r="AB5020" s="5">
        <v>144720</v>
      </c>
      <c r="AC5020">
        <v>540</v>
      </c>
      <c r="AD5020">
        <v>268</v>
      </c>
      <c r="AE5020" s="1">
        <v>144720</v>
      </c>
      <c r="AF5020">
        <v>0</v>
      </c>
      <c r="AJ5020">
        <v>0</v>
      </c>
      <c r="AK5020">
        <v>0</v>
      </c>
      <c r="AL5020">
        <v>0</v>
      </c>
      <c r="AM5020">
        <v>0</v>
      </c>
      <c r="AN5020">
        <v>0</v>
      </c>
      <c r="AO5020">
        <v>0</v>
      </c>
      <c r="AP5020" s="2">
        <v>42746</v>
      </c>
      <c r="AQ5020" t="s">
        <v>72</v>
      </c>
      <c r="AR5020" t="s">
        <v>72</v>
      </c>
      <c r="AS5020">
        <v>3296</v>
      </c>
      <c r="AT5020" s="4">
        <v>42697</v>
      </c>
      <c r="AU5020" t="s">
        <v>73</v>
      </c>
      <c r="AV5020">
        <v>3296</v>
      </c>
      <c r="AW5020" s="4">
        <v>42697</v>
      </c>
      <c r="BD5020">
        <v>0</v>
      </c>
      <c r="BN5020" t="s">
        <v>74</v>
      </c>
    </row>
    <row r="5021" spans="1:66">
      <c r="A5021">
        <v>101851</v>
      </c>
      <c r="B5021" s="3" t="s">
        <v>537</v>
      </c>
      <c r="C5021" s="1">
        <v>43300101</v>
      </c>
      <c r="D5021" t="s">
        <v>67</v>
      </c>
      <c r="H5021" t="str">
        <f t="shared" si="539"/>
        <v>11667890153</v>
      </c>
      <c r="I5021" t="str">
        <f t="shared" si="539"/>
        <v>11667890153</v>
      </c>
      <c r="K5021" t="str">
        <f>""</f>
        <v/>
      </c>
      <c r="M5021" t="s">
        <v>68</v>
      </c>
      <c r="N5021" t="str">
        <f t="shared" si="538"/>
        <v>FOR</v>
      </c>
      <c r="O5021" t="s">
        <v>69</v>
      </c>
      <c r="P5021" s="3" t="s">
        <v>75</v>
      </c>
      <c r="Q5021">
        <v>2015</v>
      </c>
      <c r="R5021" s="2">
        <v>42369</v>
      </c>
      <c r="S5021" s="2">
        <v>42369</v>
      </c>
      <c r="T5021" s="2">
        <v>42369</v>
      </c>
      <c r="U5021" s="2">
        <v>42429</v>
      </c>
      <c r="V5021" t="s">
        <v>71</v>
      </c>
      <c r="W5021" t="str">
        <f>"         RH/15032741"</f>
        <v xml:space="preserve">         RH/15032741</v>
      </c>
      <c r="X5021" s="1">
        <v>1399.2</v>
      </c>
      <c r="Y5021">
        <v>0</v>
      </c>
      <c r="Z5021" s="5">
        <v>1272</v>
      </c>
      <c r="AA5021">
        <v>268</v>
      </c>
      <c r="AB5021" s="5">
        <v>340896</v>
      </c>
      <c r="AC5021" s="1">
        <v>1272</v>
      </c>
      <c r="AD5021">
        <v>268</v>
      </c>
      <c r="AE5021" s="1">
        <v>340896</v>
      </c>
      <c r="AF5021">
        <v>0</v>
      </c>
      <c r="AJ5021">
        <v>0</v>
      </c>
      <c r="AK5021">
        <v>0</v>
      </c>
      <c r="AL5021">
        <v>0</v>
      </c>
      <c r="AM5021">
        <v>0</v>
      </c>
      <c r="AN5021">
        <v>0</v>
      </c>
      <c r="AO5021">
        <v>0</v>
      </c>
      <c r="AP5021" s="2">
        <v>42746</v>
      </c>
      <c r="AQ5021" t="s">
        <v>72</v>
      </c>
      <c r="AR5021" t="s">
        <v>72</v>
      </c>
      <c r="AS5021">
        <v>3296</v>
      </c>
      <c r="AT5021" s="4">
        <v>42697</v>
      </c>
      <c r="AU5021" t="s">
        <v>73</v>
      </c>
      <c r="AV5021">
        <v>3296</v>
      </c>
      <c r="AW5021" s="4">
        <v>42697</v>
      </c>
      <c r="BD5021">
        <v>0</v>
      </c>
      <c r="BN5021" t="s">
        <v>74</v>
      </c>
    </row>
    <row r="5022" spans="1:66">
      <c r="A5022">
        <v>101851</v>
      </c>
      <c r="B5022" s="3" t="s">
        <v>537</v>
      </c>
      <c r="C5022" s="1">
        <v>43300101</v>
      </c>
      <c r="D5022" t="s">
        <v>67</v>
      </c>
      <c r="H5022" t="str">
        <f t="shared" si="539"/>
        <v>11667890153</v>
      </c>
      <c r="I5022" t="str">
        <f t="shared" si="539"/>
        <v>11667890153</v>
      </c>
      <c r="K5022" t="str">
        <f>""</f>
        <v/>
      </c>
      <c r="M5022" t="s">
        <v>68</v>
      </c>
      <c r="N5022" t="str">
        <f t="shared" si="538"/>
        <v>FOR</v>
      </c>
      <c r="O5022" t="s">
        <v>69</v>
      </c>
      <c r="P5022" s="3" t="s">
        <v>75</v>
      </c>
      <c r="Q5022">
        <v>2016</v>
      </c>
      <c r="R5022" s="2">
        <v>42388</v>
      </c>
      <c r="S5022" s="2">
        <v>42396</v>
      </c>
      <c r="T5022" s="2">
        <v>42395</v>
      </c>
      <c r="U5022" s="2">
        <v>42455</v>
      </c>
      <c r="V5022" t="s">
        <v>71</v>
      </c>
      <c r="W5022" t="str">
        <f>"         RH/16000986"</f>
        <v xml:space="preserve">         RH/16000986</v>
      </c>
      <c r="X5022" s="1">
        <v>2092.1999999999998</v>
      </c>
      <c r="Y5022">
        <v>0</v>
      </c>
      <c r="Z5022" s="5">
        <v>1902</v>
      </c>
      <c r="AA5022">
        <v>242</v>
      </c>
      <c r="AB5022" s="5">
        <v>460284</v>
      </c>
      <c r="AC5022" s="1">
        <v>1902</v>
      </c>
      <c r="AD5022">
        <v>242</v>
      </c>
      <c r="AE5022" s="1">
        <v>460284</v>
      </c>
      <c r="AF5022">
        <v>0</v>
      </c>
      <c r="AJ5022">
        <v>0</v>
      </c>
      <c r="AK5022">
        <v>0</v>
      </c>
      <c r="AL5022">
        <v>0</v>
      </c>
      <c r="AM5022" s="1">
        <v>2092.1999999999998</v>
      </c>
      <c r="AN5022" s="1">
        <v>2092.1999999999998</v>
      </c>
      <c r="AO5022" s="1">
        <v>2092.1999999999998</v>
      </c>
      <c r="AP5022" s="2">
        <v>42746</v>
      </c>
      <c r="AQ5022" t="s">
        <v>72</v>
      </c>
      <c r="AR5022" t="s">
        <v>72</v>
      </c>
      <c r="AS5022">
        <v>3296</v>
      </c>
      <c r="AT5022" s="4">
        <v>42697</v>
      </c>
      <c r="AU5022" t="s">
        <v>73</v>
      </c>
      <c r="AV5022">
        <v>3296</v>
      </c>
      <c r="AW5022" s="4">
        <v>42697</v>
      </c>
      <c r="BD5022">
        <v>0</v>
      </c>
      <c r="BN5022" t="s">
        <v>74</v>
      </c>
    </row>
    <row r="5023" spans="1:66">
      <c r="A5023">
        <v>101851</v>
      </c>
      <c r="B5023" s="3" t="s">
        <v>537</v>
      </c>
      <c r="C5023" s="1">
        <v>43300101</v>
      </c>
      <c r="D5023" t="s">
        <v>67</v>
      </c>
      <c r="H5023" t="str">
        <f t="shared" si="539"/>
        <v>11667890153</v>
      </c>
      <c r="I5023" t="str">
        <f t="shared" si="539"/>
        <v>11667890153</v>
      </c>
      <c r="K5023" t="str">
        <f>""</f>
        <v/>
      </c>
      <c r="M5023" t="s">
        <v>68</v>
      </c>
      <c r="N5023" t="str">
        <f t="shared" si="538"/>
        <v>FOR</v>
      </c>
      <c r="O5023" t="s">
        <v>69</v>
      </c>
      <c r="P5023" s="3" t="s">
        <v>75</v>
      </c>
      <c r="Q5023">
        <v>2016</v>
      </c>
      <c r="R5023" s="2">
        <v>42402</v>
      </c>
      <c r="S5023" s="2">
        <v>42422</v>
      </c>
      <c r="T5023" s="2">
        <v>42417</v>
      </c>
      <c r="U5023" s="2">
        <v>42477</v>
      </c>
      <c r="V5023" t="s">
        <v>71</v>
      </c>
      <c r="W5023" t="str">
        <f>"         RH/16002432"</f>
        <v xml:space="preserve">         RH/16002432</v>
      </c>
      <c r="X5023" s="1">
        <v>1782</v>
      </c>
      <c r="Y5023">
        <v>0</v>
      </c>
      <c r="Z5023" s="5">
        <v>1620</v>
      </c>
      <c r="AA5023">
        <v>241</v>
      </c>
      <c r="AB5023" s="5">
        <v>390420</v>
      </c>
      <c r="AC5023" s="1">
        <v>1620</v>
      </c>
      <c r="AD5023">
        <v>241</v>
      </c>
      <c r="AE5023" s="1">
        <v>390420</v>
      </c>
      <c r="AF5023">
        <v>162</v>
      </c>
      <c r="AJ5023">
        <v>0</v>
      </c>
      <c r="AK5023">
        <v>0</v>
      </c>
      <c r="AL5023">
        <v>0</v>
      </c>
      <c r="AM5023" s="1">
        <v>1782</v>
      </c>
      <c r="AN5023" s="1">
        <v>1782</v>
      </c>
      <c r="AO5023" s="1">
        <v>1782</v>
      </c>
      <c r="AP5023" s="2">
        <v>42746</v>
      </c>
      <c r="AQ5023" t="s">
        <v>72</v>
      </c>
      <c r="AR5023" t="s">
        <v>72</v>
      </c>
      <c r="AS5023">
        <v>3472</v>
      </c>
      <c r="AT5023" s="4">
        <v>42718</v>
      </c>
      <c r="AU5023" t="s">
        <v>73</v>
      </c>
      <c r="AV5023">
        <v>3472</v>
      </c>
      <c r="AW5023" s="4">
        <v>42718</v>
      </c>
      <c r="BD5023">
        <v>162</v>
      </c>
      <c r="BN5023" t="s">
        <v>74</v>
      </c>
    </row>
    <row r="5024" spans="1:66">
      <c r="A5024">
        <v>101851</v>
      </c>
      <c r="B5024" s="3" t="s">
        <v>537</v>
      </c>
      <c r="C5024" s="1">
        <v>43300101</v>
      </c>
      <c r="D5024" t="s">
        <v>67</v>
      </c>
      <c r="H5024" t="str">
        <f t="shared" si="539"/>
        <v>11667890153</v>
      </c>
      <c r="I5024" t="str">
        <f t="shared" si="539"/>
        <v>11667890153</v>
      </c>
      <c r="K5024" t="str">
        <f>""</f>
        <v/>
      </c>
      <c r="M5024" t="s">
        <v>68</v>
      </c>
      <c r="N5024" t="str">
        <f t="shared" si="538"/>
        <v>FOR</v>
      </c>
      <c r="O5024" t="s">
        <v>69</v>
      </c>
      <c r="P5024" s="3" t="s">
        <v>75</v>
      </c>
      <c r="Q5024">
        <v>2016</v>
      </c>
      <c r="R5024" s="2">
        <v>42409</v>
      </c>
      <c r="S5024" s="2">
        <v>42422</v>
      </c>
      <c r="T5024" s="2">
        <v>42417</v>
      </c>
      <c r="U5024" s="2">
        <v>42477</v>
      </c>
      <c r="V5024" t="s">
        <v>71</v>
      </c>
      <c r="W5024" t="str">
        <f>"         RH/16002905"</f>
        <v xml:space="preserve">         RH/16002905</v>
      </c>
      <c r="X5024">
        <v>396</v>
      </c>
      <c r="Y5024">
        <v>0</v>
      </c>
      <c r="Z5024" s="3">
        <v>360</v>
      </c>
      <c r="AA5024">
        <v>241</v>
      </c>
      <c r="AB5024" s="5">
        <v>86760</v>
      </c>
      <c r="AC5024">
        <v>360</v>
      </c>
      <c r="AD5024">
        <v>241</v>
      </c>
      <c r="AE5024" s="1">
        <v>86760</v>
      </c>
      <c r="AF5024">
        <v>36</v>
      </c>
      <c r="AJ5024">
        <v>0</v>
      </c>
      <c r="AK5024">
        <v>0</v>
      </c>
      <c r="AL5024">
        <v>0</v>
      </c>
      <c r="AM5024">
        <v>396</v>
      </c>
      <c r="AN5024">
        <v>396</v>
      </c>
      <c r="AO5024">
        <v>396</v>
      </c>
      <c r="AP5024" s="2">
        <v>42746</v>
      </c>
      <c r="AQ5024" t="s">
        <v>72</v>
      </c>
      <c r="AR5024" t="s">
        <v>72</v>
      </c>
      <c r="AS5024">
        <v>3472</v>
      </c>
      <c r="AT5024" s="4">
        <v>42718</v>
      </c>
      <c r="AU5024" t="s">
        <v>73</v>
      </c>
      <c r="AV5024">
        <v>3472</v>
      </c>
      <c r="AW5024" s="4">
        <v>42718</v>
      </c>
      <c r="BD5024">
        <v>36</v>
      </c>
      <c r="BN5024" t="s">
        <v>74</v>
      </c>
    </row>
    <row r="5025" spans="1:66">
      <c r="A5025">
        <v>101851</v>
      </c>
      <c r="B5025" s="3" t="s">
        <v>537</v>
      </c>
      <c r="C5025" s="1">
        <v>43300101</v>
      </c>
      <c r="D5025" t="s">
        <v>67</v>
      </c>
      <c r="H5025" t="str">
        <f t="shared" si="539"/>
        <v>11667890153</v>
      </c>
      <c r="I5025" t="str">
        <f t="shared" si="539"/>
        <v>11667890153</v>
      </c>
      <c r="K5025" t="str">
        <f>""</f>
        <v/>
      </c>
      <c r="M5025" t="s">
        <v>68</v>
      </c>
      <c r="N5025" t="str">
        <f t="shared" si="538"/>
        <v>FOR</v>
      </c>
      <c r="O5025" t="s">
        <v>69</v>
      </c>
      <c r="P5025" s="3" t="s">
        <v>75</v>
      </c>
      <c r="Q5025">
        <v>2016</v>
      </c>
      <c r="R5025" s="2">
        <v>42422</v>
      </c>
      <c r="S5025" s="2">
        <v>42436</v>
      </c>
      <c r="T5025" s="2">
        <v>42426</v>
      </c>
      <c r="U5025" s="2">
        <v>42486</v>
      </c>
      <c r="V5025" t="s">
        <v>71</v>
      </c>
      <c r="W5025" t="str">
        <f>"         RH/16004239"</f>
        <v xml:space="preserve">         RH/16004239</v>
      </c>
      <c r="X5025" s="1">
        <v>1306.8</v>
      </c>
      <c r="Y5025">
        <v>0</v>
      </c>
      <c r="Z5025" s="5">
        <v>1188</v>
      </c>
      <c r="AA5025">
        <v>232</v>
      </c>
      <c r="AB5025" s="5">
        <v>275616</v>
      </c>
      <c r="AC5025" s="1">
        <v>1188</v>
      </c>
      <c r="AD5025">
        <v>232</v>
      </c>
      <c r="AE5025" s="1">
        <v>275616</v>
      </c>
      <c r="AF5025">
        <v>118.8</v>
      </c>
      <c r="AJ5025">
        <v>0</v>
      </c>
      <c r="AK5025">
        <v>0</v>
      </c>
      <c r="AL5025">
        <v>0</v>
      </c>
      <c r="AM5025" s="1">
        <v>1306.8</v>
      </c>
      <c r="AN5025" s="1">
        <v>1306.8</v>
      </c>
      <c r="AO5025" s="1">
        <v>1306.8</v>
      </c>
      <c r="AP5025" s="2">
        <v>42746</v>
      </c>
      <c r="AQ5025" t="s">
        <v>72</v>
      </c>
      <c r="AR5025" t="s">
        <v>72</v>
      </c>
      <c r="AS5025">
        <v>3472</v>
      </c>
      <c r="AT5025" s="4">
        <v>42718</v>
      </c>
      <c r="AU5025" t="s">
        <v>73</v>
      </c>
      <c r="AV5025">
        <v>3472</v>
      </c>
      <c r="AW5025" s="4">
        <v>42718</v>
      </c>
      <c r="BD5025">
        <v>118.8</v>
      </c>
      <c r="BN5025" t="s">
        <v>74</v>
      </c>
    </row>
    <row r="5026" spans="1:66">
      <c r="A5026">
        <v>101851</v>
      </c>
      <c r="B5026" s="3" t="s">
        <v>537</v>
      </c>
      <c r="C5026" s="1">
        <v>43300101</v>
      </c>
      <c r="D5026" t="s">
        <v>67</v>
      </c>
      <c r="H5026" t="str">
        <f t="shared" si="539"/>
        <v>11667890153</v>
      </c>
      <c r="I5026" t="str">
        <f t="shared" si="539"/>
        <v>11667890153</v>
      </c>
      <c r="K5026" t="str">
        <f>""</f>
        <v/>
      </c>
      <c r="M5026" t="s">
        <v>68</v>
      </c>
      <c r="N5026" t="str">
        <f t="shared" si="538"/>
        <v>FOR</v>
      </c>
      <c r="O5026" t="s">
        <v>69</v>
      </c>
      <c r="P5026" s="3" t="s">
        <v>75</v>
      </c>
      <c r="Q5026">
        <v>2016</v>
      </c>
      <c r="R5026" s="2">
        <v>42433</v>
      </c>
      <c r="S5026" s="2">
        <v>42438</v>
      </c>
      <c r="T5026" s="2">
        <v>42436</v>
      </c>
      <c r="U5026" s="2">
        <v>42496</v>
      </c>
      <c r="V5026" t="s">
        <v>71</v>
      </c>
      <c r="W5026" t="str">
        <f>"         RH/16005425"</f>
        <v xml:space="preserve">         RH/16005425</v>
      </c>
      <c r="X5026" s="1">
        <v>1782</v>
      </c>
      <c r="Y5026">
        <v>0</v>
      </c>
      <c r="Z5026" s="5">
        <v>1620</v>
      </c>
      <c r="AA5026">
        <v>222</v>
      </c>
      <c r="AB5026" s="5">
        <v>359640</v>
      </c>
      <c r="AC5026" s="1">
        <v>1620</v>
      </c>
      <c r="AD5026">
        <v>222</v>
      </c>
      <c r="AE5026" s="1">
        <v>359640</v>
      </c>
      <c r="AF5026">
        <v>162</v>
      </c>
      <c r="AJ5026">
        <v>0</v>
      </c>
      <c r="AK5026">
        <v>0</v>
      </c>
      <c r="AL5026">
        <v>0</v>
      </c>
      <c r="AM5026" s="1">
        <v>1782</v>
      </c>
      <c r="AN5026" s="1">
        <v>1782</v>
      </c>
      <c r="AO5026" s="1">
        <v>1782</v>
      </c>
      <c r="AP5026" s="2">
        <v>42746</v>
      </c>
      <c r="AQ5026" t="s">
        <v>72</v>
      </c>
      <c r="AR5026" t="s">
        <v>72</v>
      </c>
      <c r="AS5026">
        <v>3472</v>
      </c>
      <c r="AT5026" s="4">
        <v>42718</v>
      </c>
      <c r="AU5026" t="s">
        <v>73</v>
      </c>
      <c r="AV5026">
        <v>3472</v>
      </c>
      <c r="AW5026" s="4">
        <v>42718</v>
      </c>
      <c r="BD5026">
        <v>162</v>
      </c>
      <c r="BN5026" t="s">
        <v>74</v>
      </c>
    </row>
    <row r="5027" spans="1:66">
      <c r="A5027">
        <v>101851</v>
      </c>
      <c r="B5027" s="3" t="s">
        <v>537</v>
      </c>
      <c r="C5027" s="1">
        <v>43300101</v>
      </c>
      <c r="D5027" t="s">
        <v>67</v>
      </c>
      <c r="H5027" t="str">
        <f t="shared" si="539"/>
        <v>11667890153</v>
      </c>
      <c r="I5027" t="str">
        <f t="shared" si="539"/>
        <v>11667890153</v>
      </c>
      <c r="K5027" t="str">
        <f>""</f>
        <v/>
      </c>
      <c r="M5027" t="s">
        <v>68</v>
      </c>
      <c r="N5027" t="str">
        <f t="shared" si="538"/>
        <v>FOR</v>
      </c>
      <c r="O5027" t="s">
        <v>69</v>
      </c>
      <c r="P5027" s="3" t="s">
        <v>75</v>
      </c>
      <c r="Q5027">
        <v>2016</v>
      </c>
      <c r="R5027" s="2">
        <v>42436</v>
      </c>
      <c r="S5027" s="2">
        <v>42443</v>
      </c>
      <c r="T5027" s="2">
        <v>42438</v>
      </c>
      <c r="U5027" s="2">
        <v>42498</v>
      </c>
      <c r="V5027" t="s">
        <v>71</v>
      </c>
      <c r="W5027" t="str">
        <f>"         RH/16005637"</f>
        <v xml:space="preserve">         RH/16005637</v>
      </c>
      <c r="X5027">
        <v>242</v>
      </c>
      <c r="Y5027">
        <v>0</v>
      </c>
      <c r="Z5027" s="3">
        <v>220</v>
      </c>
      <c r="AA5027">
        <v>220</v>
      </c>
      <c r="AB5027" s="5">
        <v>48400</v>
      </c>
      <c r="AC5027">
        <v>220</v>
      </c>
      <c r="AD5027">
        <v>220</v>
      </c>
      <c r="AE5027" s="1">
        <v>48400</v>
      </c>
      <c r="AF5027">
        <v>22</v>
      </c>
      <c r="AJ5027">
        <v>0</v>
      </c>
      <c r="AK5027">
        <v>0</v>
      </c>
      <c r="AL5027">
        <v>0</v>
      </c>
      <c r="AM5027">
        <v>242</v>
      </c>
      <c r="AN5027">
        <v>242</v>
      </c>
      <c r="AO5027">
        <v>242</v>
      </c>
      <c r="AP5027" s="2">
        <v>42746</v>
      </c>
      <c r="AQ5027" t="s">
        <v>72</v>
      </c>
      <c r="AR5027" t="s">
        <v>72</v>
      </c>
      <c r="AS5027">
        <v>3472</v>
      </c>
      <c r="AT5027" s="4">
        <v>42718</v>
      </c>
      <c r="AU5027" t="s">
        <v>73</v>
      </c>
      <c r="AV5027">
        <v>3472</v>
      </c>
      <c r="AW5027" s="4">
        <v>42718</v>
      </c>
      <c r="BD5027">
        <v>22</v>
      </c>
      <c r="BN5027" t="s">
        <v>74</v>
      </c>
    </row>
    <row r="5028" spans="1:66">
      <c r="A5028">
        <v>101851</v>
      </c>
      <c r="B5028" s="3" t="s">
        <v>537</v>
      </c>
      <c r="C5028" s="1">
        <v>43300101</v>
      </c>
      <c r="D5028" t="s">
        <v>67</v>
      </c>
      <c r="H5028" t="str">
        <f t="shared" si="539"/>
        <v>11667890153</v>
      </c>
      <c r="I5028" t="str">
        <f t="shared" si="539"/>
        <v>11667890153</v>
      </c>
      <c r="K5028" t="str">
        <f>""</f>
        <v/>
      </c>
      <c r="M5028" t="s">
        <v>68</v>
      </c>
      <c r="N5028" t="str">
        <f t="shared" si="538"/>
        <v>FOR</v>
      </c>
      <c r="O5028" t="s">
        <v>69</v>
      </c>
      <c r="P5028" s="3" t="s">
        <v>75</v>
      </c>
      <c r="Q5028">
        <v>2016</v>
      </c>
      <c r="R5028" s="2">
        <v>42444</v>
      </c>
      <c r="S5028" s="2">
        <v>42446</v>
      </c>
      <c r="T5028" s="2">
        <v>42445</v>
      </c>
      <c r="U5028" s="2">
        <v>42505</v>
      </c>
      <c r="V5028" t="s">
        <v>71</v>
      </c>
      <c r="W5028" t="str">
        <f>"         RH/16006474"</f>
        <v xml:space="preserve">         RH/16006474</v>
      </c>
      <c r="X5028">
        <v>138.6</v>
      </c>
      <c r="Y5028">
        <v>0</v>
      </c>
      <c r="Z5028" s="3">
        <v>126</v>
      </c>
      <c r="AA5028">
        <v>213</v>
      </c>
      <c r="AB5028" s="5">
        <v>26838</v>
      </c>
      <c r="AC5028">
        <v>126</v>
      </c>
      <c r="AD5028">
        <v>213</v>
      </c>
      <c r="AE5028" s="1">
        <v>26838</v>
      </c>
      <c r="AF5028">
        <v>12.6</v>
      </c>
      <c r="AJ5028">
        <v>0</v>
      </c>
      <c r="AK5028">
        <v>0</v>
      </c>
      <c r="AL5028">
        <v>0</v>
      </c>
      <c r="AM5028">
        <v>138.6</v>
      </c>
      <c r="AN5028">
        <v>138.6</v>
      </c>
      <c r="AO5028">
        <v>138.6</v>
      </c>
      <c r="AP5028" s="2">
        <v>42746</v>
      </c>
      <c r="AQ5028" t="s">
        <v>72</v>
      </c>
      <c r="AR5028" t="s">
        <v>72</v>
      </c>
      <c r="AS5028">
        <v>3472</v>
      </c>
      <c r="AT5028" s="4">
        <v>42718</v>
      </c>
      <c r="AU5028" t="s">
        <v>73</v>
      </c>
      <c r="AV5028">
        <v>3472</v>
      </c>
      <c r="AW5028" s="4">
        <v>42718</v>
      </c>
      <c r="BD5028">
        <v>12.6</v>
      </c>
      <c r="BN5028" t="s">
        <v>74</v>
      </c>
    </row>
    <row r="5029" spans="1:66">
      <c r="A5029">
        <v>101851</v>
      </c>
      <c r="B5029" s="3" t="s">
        <v>537</v>
      </c>
      <c r="C5029" s="1">
        <v>43300101</v>
      </c>
      <c r="D5029" t="s">
        <v>67</v>
      </c>
      <c r="H5029" t="str">
        <f t="shared" si="539"/>
        <v>11667890153</v>
      </c>
      <c r="I5029" t="str">
        <f t="shared" si="539"/>
        <v>11667890153</v>
      </c>
      <c r="K5029" t="str">
        <f>""</f>
        <v/>
      </c>
      <c r="M5029" t="s">
        <v>68</v>
      </c>
      <c r="N5029" t="str">
        <f t="shared" si="538"/>
        <v>FOR</v>
      </c>
      <c r="O5029" t="s">
        <v>69</v>
      </c>
      <c r="P5029" s="3" t="s">
        <v>75</v>
      </c>
      <c r="Q5029">
        <v>2016</v>
      </c>
      <c r="R5029" s="2">
        <v>42465</v>
      </c>
      <c r="S5029" s="2">
        <v>42473</v>
      </c>
      <c r="T5029" s="2">
        <v>42466</v>
      </c>
      <c r="U5029" s="2">
        <v>42526</v>
      </c>
      <c r="V5029" t="s">
        <v>71</v>
      </c>
      <c r="W5029" t="str">
        <f>"         RH/16008454"</f>
        <v xml:space="preserve">         RH/16008454</v>
      </c>
      <c r="X5029" s="1">
        <v>1003.2</v>
      </c>
      <c r="Y5029">
        <v>0</v>
      </c>
      <c r="Z5029" s="3">
        <v>912</v>
      </c>
      <c r="AA5029">
        <v>192</v>
      </c>
      <c r="AB5029" s="5">
        <v>175104</v>
      </c>
      <c r="AC5029">
        <v>912</v>
      </c>
      <c r="AD5029">
        <v>192</v>
      </c>
      <c r="AE5029" s="1">
        <v>175104</v>
      </c>
      <c r="AF5029">
        <v>91.2</v>
      </c>
      <c r="AJ5029">
        <v>0</v>
      </c>
      <c r="AK5029">
        <v>0</v>
      </c>
      <c r="AL5029">
        <v>0</v>
      </c>
      <c r="AM5029" s="1">
        <v>1003.2</v>
      </c>
      <c r="AN5029" s="1">
        <v>1003.2</v>
      </c>
      <c r="AO5029" s="1">
        <v>1003.2</v>
      </c>
      <c r="AP5029" s="2">
        <v>42746</v>
      </c>
      <c r="AQ5029" t="s">
        <v>72</v>
      </c>
      <c r="AR5029" t="s">
        <v>72</v>
      </c>
      <c r="AS5029">
        <v>3472</v>
      </c>
      <c r="AT5029" s="4">
        <v>42718</v>
      </c>
      <c r="AU5029" t="s">
        <v>73</v>
      </c>
      <c r="AV5029">
        <v>3472</v>
      </c>
      <c r="AW5029" s="4">
        <v>42718</v>
      </c>
      <c r="BD5029">
        <v>91.2</v>
      </c>
      <c r="BN5029" t="s">
        <v>74</v>
      </c>
    </row>
    <row r="5030" spans="1:66">
      <c r="A5030">
        <v>101851</v>
      </c>
      <c r="B5030" s="3" t="s">
        <v>537</v>
      </c>
      <c r="C5030" s="1">
        <v>43300101</v>
      </c>
      <c r="D5030" t="s">
        <v>67</v>
      </c>
      <c r="H5030" t="str">
        <f t="shared" si="539"/>
        <v>11667890153</v>
      </c>
      <c r="I5030" t="str">
        <f t="shared" si="539"/>
        <v>11667890153</v>
      </c>
      <c r="K5030" t="str">
        <f>""</f>
        <v/>
      </c>
      <c r="M5030" t="s">
        <v>68</v>
      </c>
      <c r="N5030" t="str">
        <f t="shared" si="538"/>
        <v>FOR</v>
      </c>
      <c r="O5030" t="s">
        <v>69</v>
      </c>
      <c r="P5030" s="3" t="s">
        <v>75</v>
      </c>
      <c r="Q5030">
        <v>2016</v>
      </c>
      <c r="R5030" s="2">
        <v>42478</v>
      </c>
      <c r="S5030" s="2">
        <v>42481</v>
      </c>
      <c r="T5030" s="2">
        <v>42479</v>
      </c>
      <c r="U5030" s="2">
        <v>42539</v>
      </c>
      <c r="V5030" t="s">
        <v>71</v>
      </c>
      <c r="W5030" t="str">
        <f>"         RH/16009935"</f>
        <v xml:space="preserve">         RH/16009935</v>
      </c>
      <c r="X5030" s="1">
        <v>1782</v>
      </c>
      <c r="Y5030">
        <v>0</v>
      </c>
      <c r="Z5030" s="5">
        <v>1620</v>
      </c>
      <c r="AA5030">
        <v>179</v>
      </c>
      <c r="AB5030" s="5">
        <v>289980</v>
      </c>
      <c r="AC5030" s="1">
        <v>1620</v>
      </c>
      <c r="AD5030">
        <v>179</v>
      </c>
      <c r="AE5030" s="1">
        <v>289980</v>
      </c>
      <c r="AF5030">
        <v>162</v>
      </c>
      <c r="AJ5030">
        <v>0</v>
      </c>
      <c r="AK5030">
        <v>0</v>
      </c>
      <c r="AL5030">
        <v>0</v>
      </c>
      <c r="AM5030" s="1">
        <v>1782</v>
      </c>
      <c r="AN5030" s="1">
        <v>1782</v>
      </c>
      <c r="AO5030" s="1">
        <v>1782</v>
      </c>
      <c r="AP5030" s="2">
        <v>42746</v>
      </c>
      <c r="AQ5030" t="s">
        <v>72</v>
      </c>
      <c r="AR5030" t="s">
        <v>72</v>
      </c>
      <c r="AS5030">
        <v>3472</v>
      </c>
      <c r="AT5030" s="4">
        <v>42718</v>
      </c>
      <c r="AU5030" t="s">
        <v>73</v>
      </c>
      <c r="AV5030">
        <v>3472</v>
      </c>
      <c r="AW5030" s="4">
        <v>42718</v>
      </c>
      <c r="BD5030">
        <v>162</v>
      </c>
      <c r="BN5030" t="s">
        <v>74</v>
      </c>
    </row>
    <row r="5031" spans="1:66" hidden="1">
      <c r="A5031">
        <v>101907</v>
      </c>
      <c r="B5031" s="3" t="s">
        <v>538</v>
      </c>
      <c r="C5031" s="1">
        <v>43300101</v>
      </c>
      <c r="D5031" t="s">
        <v>67</v>
      </c>
      <c r="H5031" t="str">
        <f t="shared" ref="H5031:H5052" si="540">"01347430397"</f>
        <v>01347430397</v>
      </c>
      <c r="I5031" t="str">
        <f t="shared" ref="I5031:I5052" si="541">"04310690377"</f>
        <v>04310690377</v>
      </c>
      <c r="K5031" t="str">
        <f>""</f>
        <v/>
      </c>
      <c r="M5031" t="s">
        <v>68</v>
      </c>
      <c r="N5031" t="str">
        <f t="shared" si="538"/>
        <v>FOR</v>
      </c>
      <c r="O5031" t="s">
        <v>69</v>
      </c>
      <c r="P5031" s="3" t="s">
        <v>70</v>
      </c>
      <c r="Q5031">
        <v>2014</v>
      </c>
      <c r="R5031" s="2">
        <v>41939</v>
      </c>
      <c r="S5031" s="2">
        <v>42037</v>
      </c>
      <c r="T5031" s="2">
        <v>42037</v>
      </c>
      <c r="U5031" s="2">
        <v>42097</v>
      </c>
      <c r="V5031" t="s">
        <v>71</v>
      </c>
      <c r="W5031" t="str">
        <f>"                 338"</f>
        <v xml:space="preserve">                 338</v>
      </c>
      <c r="X5031" s="1">
        <v>5124</v>
      </c>
      <c r="Y5031">
        <v>0</v>
      </c>
      <c r="Z5031"/>
      <c r="AB5031"/>
      <c r="AC5031" s="1">
        <v>5124</v>
      </c>
      <c r="AD5031">
        <v>433</v>
      </c>
      <c r="AE5031" s="1">
        <v>2218692</v>
      </c>
      <c r="AF5031">
        <v>0</v>
      </c>
      <c r="AJ5031">
        <v>0</v>
      </c>
      <c r="AK5031">
        <v>0</v>
      </c>
      <c r="AL5031">
        <v>0</v>
      </c>
      <c r="AM5031">
        <v>0</v>
      </c>
      <c r="AN5031">
        <v>0</v>
      </c>
      <c r="AO5031">
        <v>0</v>
      </c>
      <c r="AP5031" s="2">
        <v>42746</v>
      </c>
      <c r="AQ5031" t="s">
        <v>72</v>
      </c>
      <c r="AR5031" t="s">
        <v>72</v>
      </c>
      <c r="AS5031">
        <v>1603</v>
      </c>
      <c r="AT5031" s="4">
        <v>42530</v>
      </c>
      <c r="AU5031" t="s">
        <v>73</v>
      </c>
      <c r="AV5031">
        <v>1603</v>
      </c>
      <c r="AW5031" s="4">
        <v>42530</v>
      </c>
      <c r="BD5031">
        <v>0</v>
      </c>
      <c r="BN5031" t="s">
        <v>74</v>
      </c>
    </row>
    <row r="5032" spans="1:66" hidden="1">
      <c r="A5032">
        <v>101907</v>
      </c>
      <c r="B5032" s="3" t="s">
        <v>538</v>
      </c>
      <c r="C5032" s="1">
        <v>43300101</v>
      </c>
      <c r="D5032" t="s">
        <v>67</v>
      </c>
      <c r="H5032" t="str">
        <f t="shared" si="540"/>
        <v>01347430397</v>
      </c>
      <c r="I5032" t="str">
        <f t="shared" si="541"/>
        <v>04310690377</v>
      </c>
      <c r="K5032" t="str">
        <f>""</f>
        <v/>
      </c>
      <c r="M5032" t="s">
        <v>68</v>
      </c>
      <c r="N5032" t="str">
        <f t="shared" si="538"/>
        <v>FOR</v>
      </c>
      <c r="O5032" t="s">
        <v>69</v>
      </c>
      <c r="P5032" s="3" t="s">
        <v>70</v>
      </c>
      <c r="Q5032">
        <v>2014</v>
      </c>
      <c r="R5032" s="2">
        <v>41961</v>
      </c>
      <c r="S5032" s="2">
        <v>42037</v>
      </c>
      <c r="T5032" s="2">
        <v>42037</v>
      </c>
      <c r="U5032" s="2">
        <v>42097</v>
      </c>
      <c r="V5032" t="s">
        <v>71</v>
      </c>
      <c r="W5032" t="str">
        <f>"                 378"</f>
        <v xml:space="preserve">                 378</v>
      </c>
      <c r="X5032" s="1">
        <v>3172</v>
      </c>
      <c r="Y5032">
        <v>0</v>
      </c>
      <c r="Z5032"/>
      <c r="AB5032"/>
      <c r="AC5032" s="1">
        <v>3172</v>
      </c>
      <c r="AD5032">
        <v>433</v>
      </c>
      <c r="AE5032" s="1">
        <v>1373476</v>
      </c>
      <c r="AF5032">
        <v>0</v>
      </c>
      <c r="AJ5032">
        <v>0</v>
      </c>
      <c r="AK5032">
        <v>0</v>
      </c>
      <c r="AL5032">
        <v>0</v>
      </c>
      <c r="AM5032">
        <v>0</v>
      </c>
      <c r="AN5032">
        <v>0</v>
      </c>
      <c r="AO5032">
        <v>0</v>
      </c>
      <c r="AP5032" s="2">
        <v>42746</v>
      </c>
      <c r="AQ5032" t="s">
        <v>72</v>
      </c>
      <c r="AR5032" t="s">
        <v>72</v>
      </c>
      <c r="AS5032">
        <v>1603</v>
      </c>
      <c r="AT5032" s="4">
        <v>42530</v>
      </c>
      <c r="AU5032" t="s">
        <v>73</v>
      </c>
      <c r="AV5032">
        <v>1603</v>
      </c>
      <c r="AW5032" s="4">
        <v>42530</v>
      </c>
      <c r="BD5032">
        <v>0</v>
      </c>
      <c r="BN5032" t="s">
        <v>74</v>
      </c>
    </row>
    <row r="5033" spans="1:66" hidden="1">
      <c r="A5033">
        <v>101907</v>
      </c>
      <c r="B5033" s="3" t="s">
        <v>538</v>
      </c>
      <c r="C5033" s="1">
        <v>43300101</v>
      </c>
      <c r="D5033" t="s">
        <v>67</v>
      </c>
      <c r="H5033" t="str">
        <f t="shared" si="540"/>
        <v>01347430397</v>
      </c>
      <c r="I5033" t="str">
        <f t="shared" si="541"/>
        <v>04310690377</v>
      </c>
      <c r="K5033" t="str">
        <f>""</f>
        <v/>
      </c>
      <c r="M5033" t="s">
        <v>68</v>
      </c>
      <c r="N5033" t="str">
        <f t="shared" si="538"/>
        <v>FOR</v>
      </c>
      <c r="O5033" t="s">
        <v>69</v>
      </c>
      <c r="P5033" s="3" t="s">
        <v>70</v>
      </c>
      <c r="Q5033">
        <v>2014</v>
      </c>
      <c r="R5033" s="2">
        <v>41983</v>
      </c>
      <c r="S5033" s="2">
        <v>42088</v>
      </c>
      <c r="T5033" s="2">
        <v>42088</v>
      </c>
      <c r="U5033" s="2">
        <v>42148</v>
      </c>
      <c r="V5033" t="s">
        <v>71</v>
      </c>
      <c r="W5033" t="str">
        <f>"                 434"</f>
        <v xml:space="preserve">                 434</v>
      </c>
      <c r="X5033" s="1">
        <v>2379</v>
      </c>
      <c r="Y5033">
        <v>0</v>
      </c>
      <c r="Z5033"/>
      <c r="AB5033"/>
      <c r="AC5033" s="1">
        <v>2379</v>
      </c>
      <c r="AD5033">
        <v>382</v>
      </c>
      <c r="AE5033" s="1">
        <v>908778</v>
      </c>
      <c r="AF5033">
        <v>0</v>
      </c>
      <c r="AJ5033">
        <v>0</v>
      </c>
      <c r="AK5033">
        <v>0</v>
      </c>
      <c r="AL5033">
        <v>0</v>
      </c>
      <c r="AM5033">
        <v>0</v>
      </c>
      <c r="AN5033">
        <v>0</v>
      </c>
      <c r="AO5033">
        <v>0</v>
      </c>
      <c r="AP5033" s="2">
        <v>42746</v>
      </c>
      <c r="AQ5033" t="s">
        <v>72</v>
      </c>
      <c r="AR5033" t="s">
        <v>72</v>
      </c>
      <c r="AS5033">
        <v>1603</v>
      </c>
      <c r="AT5033" s="4">
        <v>42530</v>
      </c>
      <c r="AU5033" t="s">
        <v>73</v>
      </c>
      <c r="AV5033">
        <v>1603</v>
      </c>
      <c r="AW5033" s="4">
        <v>42530</v>
      </c>
      <c r="BD5033">
        <v>0</v>
      </c>
      <c r="BN5033" t="s">
        <v>74</v>
      </c>
    </row>
    <row r="5034" spans="1:66" hidden="1">
      <c r="A5034">
        <v>101907</v>
      </c>
      <c r="B5034" s="3" t="s">
        <v>538</v>
      </c>
      <c r="C5034" s="1">
        <v>43300101</v>
      </c>
      <c r="D5034" t="s">
        <v>67</v>
      </c>
      <c r="H5034" t="str">
        <f t="shared" si="540"/>
        <v>01347430397</v>
      </c>
      <c r="I5034" t="str">
        <f t="shared" si="541"/>
        <v>04310690377</v>
      </c>
      <c r="K5034" t="str">
        <f>""</f>
        <v/>
      </c>
      <c r="M5034" t="s">
        <v>68</v>
      </c>
      <c r="N5034" t="str">
        <f t="shared" si="538"/>
        <v>FOR</v>
      </c>
      <c r="O5034" t="s">
        <v>69</v>
      </c>
      <c r="P5034" s="3" t="s">
        <v>70</v>
      </c>
      <c r="Q5034">
        <v>2014</v>
      </c>
      <c r="R5034" s="2">
        <v>41983</v>
      </c>
      <c r="S5034" s="2">
        <v>42030</v>
      </c>
      <c r="T5034" s="2">
        <v>42030</v>
      </c>
      <c r="U5034" s="2">
        <v>42090</v>
      </c>
      <c r="V5034" t="s">
        <v>71</v>
      </c>
      <c r="W5034" t="str">
        <f>"                 435"</f>
        <v xml:space="preserve">                 435</v>
      </c>
      <c r="X5034" s="1">
        <v>24156</v>
      </c>
      <c r="Y5034">
        <v>0</v>
      </c>
      <c r="Z5034"/>
      <c r="AB5034"/>
      <c r="AC5034" s="1">
        <v>24156</v>
      </c>
      <c r="AD5034">
        <v>440</v>
      </c>
      <c r="AE5034" s="1">
        <v>10628640</v>
      </c>
      <c r="AF5034">
        <v>0</v>
      </c>
      <c r="AJ5034">
        <v>0</v>
      </c>
      <c r="AK5034">
        <v>0</v>
      </c>
      <c r="AL5034">
        <v>0</v>
      </c>
      <c r="AM5034">
        <v>0</v>
      </c>
      <c r="AN5034">
        <v>0</v>
      </c>
      <c r="AO5034">
        <v>0</v>
      </c>
      <c r="AP5034" s="2">
        <v>42746</v>
      </c>
      <c r="AQ5034" t="s">
        <v>72</v>
      </c>
      <c r="AR5034" t="s">
        <v>72</v>
      </c>
      <c r="AS5034">
        <v>1603</v>
      </c>
      <c r="AT5034" s="4">
        <v>42530</v>
      </c>
      <c r="AU5034" t="s">
        <v>73</v>
      </c>
      <c r="AV5034">
        <v>1603</v>
      </c>
      <c r="AW5034" s="4">
        <v>42530</v>
      </c>
      <c r="BD5034">
        <v>0</v>
      </c>
      <c r="BN5034" t="s">
        <v>74</v>
      </c>
    </row>
    <row r="5035" spans="1:66" hidden="1">
      <c r="A5035">
        <v>101907</v>
      </c>
      <c r="B5035" s="3" t="s">
        <v>538</v>
      </c>
      <c r="C5035" s="1">
        <v>43300101</v>
      </c>
      <c r="D5035" t="s">
        <v>67</v>
      </c>
      <c r="H5035" t="str">
        <f t="shared" si="540"/>
        <v>01347430397</v>
      </c>
      <c r="I5035" t="str">
        <f t="shared" si="541"/>
        <v>04310690377</v>
      </c>
      <c r="K5035" t="str">
        <f>""</f>
        <v/>
      </c>
      <c r="M5035" t="s">
        <v>68</v>
      </c>
      <c r="N5035" t="str">
        <f t="shared" si="538"/>
        <v>FOR</v>
      </c>
      <c r="O5035" t="s">
        <v>69</v>
      </c>
      <c r="P5035" s="3" t="s">
        <v>70</v>
      </c>
      <c r="Q5035">
        <v>2014</v>
      </c>
      <c r="R5035" s="2">
        <v>42004</v>
      </c>
      <c r="S5035" s="2">
        <v>42088</v>
      </c>
      <c r="T5035" s="2">
        <v>42088</v>
      </c>
      <c r="U5035" s="2">
        <v>42148</v>
      </c>
      <c r="V5035" t="s">
        <v>71</v>
      </c>
      <c r="W5035" t="str">
        <f>"                 496"</f>
        <v xml:space="preserve">                 496</v>
      </c>
      <c r="X5035" s="1">
        <v>9638</v>
      </c>
      <c r="Y5035">
        <v>0</v>
      </c>
      <c r="Z5035"/>
      <c r="AB5035"/>
      <c r="AC5035" s="1">
        <v>9638</v>
      </c>
      <c r="AD5035">
        <v>382</v>
      </c>
      <c r="AE5035" s="1">
        <v>3681716</v>
      </c>
      <c r="AF5035">
        <v>0</v>
      </c>
      <c r="AJ5035">
        <v>0</v>
      </c>
      <c r="AK5035">
        <v>0</v>
      </c>
      <c r="AL5035">
        <v>0</v>
      </c>
      <c r="AM5035">
        <v>0</v>
      </c>
      <c r="AN5035">
        <v>0</v>
      </c>
      <c r="AO5035">
        <v>0</v>
      </c>
      <c r="AP5035" s="2">
        <v>42746</v>
      </c>
      <c r="AQ5035" t="s">
        <v>72</v>
      </c>
      <c r="AR5035" t="s">
        <v>72</v>
      </c>
      <c r="AS5035">
        <v>1603</v>
      </c>
      <c r="AT5035" s="4">
        <v>42530</v>
      </c>
      <c r="AU5035" t="s">
        <v>73</v>
      </c>
      <c r="AV5035">
        <v>1603</v>
      </c>
      <c r="AW5035" s="4">
        <v>42530</v>
      </c>
      <c r="BD5035">
        <v>0</v>
      </c>
      <c r="BN5035" t="s">
        <v>74</v>
      </c>
    </row>
    <row r="5036" spans="1:66" hidden="1">
      <c r="A5036">
        <v>101907</v>
      </c>
      <c r="B5036" s="3" t="s">
        <v>538</v>
      </c>
      <c r="C5036" s="1">
        <v>43300101</v>
      </c>
      <c r="D5036" t="s">
        <v>67</v>
      </c>
      <c r="H5036" t="str">
        <f t="shared" si="540"/>
        <v>01347430397</v>
      </c>
      <c r="I5036" t="str">
        <f t="shared" si="541"/>
        <v>04310690377</v>
      </c>
      <c r="K5036" t="str">
        <f>""</f>
        <v/>
      </c>
      <c r="M5036" t="s">
        <v>68</v>
      </c>
      <c r="N5036" t="str">
        <f t="shared" si="538"/>
        <v>FOR</v>
      </c>
      <c r="O5036" t="s">
        <v>69</v>
      </c>
      <c r="P5036" s="3" t="s">
        <v>70</v>
      </c>
      <c r="Q5036">
        <v>2014</v>
      </c>
      <c r="R5036" s="2">
        <v>41983</v>
      </c>
      <c r="S5036" s="2">
        <v>42030</v>
      </c>
      <c r="T5036" s="2">
        <v>42030</v>
      </c>
      <c r="U5036" s="2">
        <v>42090</v>
      </c>
      <c r="V5036" t="s">
        <v>71</v>
      </c>
      <c r="W5036" t="str">
        <f>"                 626"</f>
        <v xml:space="preserve">                 626</v>
      </c>
      <c r="X5036" s="1">
        <v>48678</v>
      </c>
      <c r="Y5036">
        <v>0</v>
      </c>
      <c r="Z5036"/>
      <c r="AB5036"/>
      <c r="AC5036" s="1">
        <v>48678</v>
      </c>
      <c r="AD5036">
        <v>440</v>
      </c>
      <c r="AE5036" s="1">
        <v>21418320</v>
      </c>
      <c r="AF5036">
        <v>0</v>
      </c>
      <c r="AJ5036">
        <v>0</v>
      </c>
      <c r="AK5036">
        <v>0</v>
      </c>
      <c r="AL5036">
        <v>0</v>
      </c>
      <c r="AM5036">
        <v>0</v>
      </c>
      <c r="AN5036">
        <v>0</v>
      </c>
      <c r="AO5036">
        <v>0</v>
      </c>
      <c r="AP5036" s="2">
        <v>42746</v>
      </c>
      <c r="AQ5036" t="s">
        <v>72</v>
      </c>
      <c r="AR5036" t="s">
        <v>72</v>
      </c>
      <c r="AS5036">
        <v>1603</v>
      </c>
      <c r="AT5036" s="4">
        <v>42530</v>
      </c>
      <c r="AU5036" t="s">
        <v>73</v>
      </c>
      <c r="AV5036">
        <v>1603</v>
      </c>
      <c r="AW5036" s="4">
        <v>42530</v>
      </c>
      <c r="BD5036">
        <v>0</v>
      </c>
      <c r="BN5036" t="s">
        <v>74</v>
      </c>
    </row>
    <row r="5037" spans="1:66" hidden="1">
      <c r="A5037">
        <v>101907</v>
      </c>
      <c r="B5037" s="3" t="s">
        <v>538</v>
      </c>
      <c r="C5037" s="1">
        <v>43300101</v>
      </c>
      <c r="D5037" t="s">
        <v>67</v>
      </c>
      <c r="H5037" t="str">
        <f t="shared" si="540"/>
        <v>01347430397</v>
      </c>
      <c r="I5037" t="str">
        <f t="shared" si="541"/>
        <v>04310690377</v>
      </c>
      <c r="K5037" t="str">
        <f>""</f>
        <v/>
      </c>
      <c r="M5037" t="s">
        <v>68</v>
      </c>
      <c r="N5037" t="str">
        <f t="shared" si="538"/>
        <v>FOR</v>
      </c>
      <c r="O5037" t="s">
        <v>69</v>
      </c>
      <c r="P5037" s="3" t="s">
        <v>70</v>
      </c>
      <c r="Q5037">
        <v>2014</v>
      </c>
      <c r="R5037" s="2">
        <v>41983</v>
      </c>
      <c r="S5037" s="2">
        <v>42030</v>
      </c>
      <c r="T5037" s="2">
        <v>42030</v>
      </c>
      <c r="U5037" s="2">
        <v>42090</v>
      </c>
      <c r="V5037" t="s">
        <v>71</v>
      </c>
      <c r="W5037" t="str">
        <f>"                 628"</f>
        <v xml:space="preserve">                 628</v>
      </c>
      <c r="X5037" s="1">
        <v>13932.4</v>
      </c>
      <c r="Y5037">
        <v>0</v>
      </c>
      <c r="Z5037"/>
      <c r="AB5037"/>
      <c r="AC5037" s="1">
        <v>13932.4</v>
      </c>
      <c r="AD5037">
        <v>440</v>
      </c>
      <c r="AE5037" s="1">
        <v>6130256</v>
      </c>
      <c r="AF5037">
        <v>0</v>
      </c>
      <c r="AJ5037">
        <v>0</v>
      </c>
      <c r="AK5037">
        <v>0</v>
      </c>
      <c r="AL5037">
        <v>0</v>
      </c>
      <c r="AM5037">
        <v>0</v>
      </c>
      <c r="AN5037">
        <v>0</v>
      </c>
      <c r="AO5037">
        <v>0</v>
      </c>
      <c r="AP5037" s="2">
        <v>42746</v>
      </c>
      <c r="AQ5037" t="s">
        <v>72</v>
      </c>
      <c r="AR5037" t="s">
        <v>72</v>
      </c>
      <c r="AS5037">
        <v>1603</v>
      </c>
      <c r="AT5037" s="4">
        <v>42530</v>
      </c>
      <c r="AU5037" t="s">
        <v>73</v>
      </c>
      <c r="AV5037">
        <v>1603</v>
      </c>
      <c r="AW5037" s="4">
        <v>42530</v>
      </c>
      <c r="BD5037">
        <v>0</v>
      </c>
      <c r="BN5037" t="s">
        <v>74</v>
      </c>
    </row>
    <row r="5038" spans="1:66" hidden="1">
      <c r="A5038">
        <v>101907</v>
      </c>
      <c r="B5038" s="3" t="s">
        <v>538</v>
      </c>
      <c r="C5038" s="1">
        <v>43300101</v>
      </c>
      <c r="D5038" t="s">
        <v>67</v>
      </c>
      <c r="H5038" t="str">
        <f t="shared" si="540"/>
        <v>01347430397</v>
      </c>
      <c r="I5038" t="str">
        <f t="shared" si="541"/>
        <v>04310690377</v>
      </c>
      <c r="K5038" t="str">
        <f>""</f>
        <v/>
      </c>
      <c r="M5038" t="s">
        <v>68</v>
      </c>
      <c r="N5038" t="str">
        <f t="shared" si="538"/>
        <v>FOR</v>
      </c>
      <c r="O5038" t="s">
        <v>69</v>
      </c>
      <c r="P5038" s="3" t="s">
        <v>70</v>
      </c>
      <c r="Q5038">
        <v>2015</v>
      </c>
      <c r="R5038" s="2">
        <v>42090</v>
      </c>
      <c r="S5038" s="2">
        <v>42109</v>
      </c>
      <c r="T5038" s="2">
        <v>42109</v>
      </c>
      <c r="U5038" s="2">
        <v>42169</v>
      </c>
      <c r="V5038" t="s">
        <v>71</v>
      </c>
      <c r="W5038" t="str">
        <f>"                 133"</f>
        <v xml:space="preserve">                 133</v>
      </c>
      <c r="X5038" s="1">
        <v>48781.7</v>
      </c>
      <c r="Y5038">
        <v>0</v>
      </c>
      <c r="Z5038"/>
      <c r="AB5038"/>
      <c r="AC5038" s="1">
        <v>39985</v>
      </c>
      <c r="AD5038">
        <v>233</v>
      </c>
      <c r="AE5038" s="1">
        <v>9316505</v>
      </c>
      <c r="AF5038">
        <v>0</v>
      </c>
      <c r="AJ5038">
        <v>0</v>
      </c>
      <c r="AK5038">
        <v>0</v>
      </c>
      <c r="AL5038">
        <v>0</v>
      </c>
      <c r="AM5038">
        <v>0</v>
      </c>
      <c r="AN5038">
        <v>0</v>
      </c>
      <c r="AO5038">
        <v>0</v>
      </c>
      <c r="AP5038" s="2">
        <v>42746</v>
      </c>
      <c r="AQ5038" t="s">
        <v>72</v>
      </c>
      <c r="AR5038" t="s">
        <v>72</v>
      </c>
      <c r="AS5038">
        <v>208</v>
      </c>
      <c r="AT5038" s="4">
        <v>42402</v>
      </c>
      <c r="AU5038" t="s">
        <v>73</v>
      </c>
      <c r="AV5038">
        <v>208</v>
      </c>
      <c r="AW5038" s="4">
        <v>42402</v>
      </c>
      <c r="BD5038">
        <v>0</v>
      </c>
      <c r="BN5038" t="s">
        <v>74</v>
      </c>
    </row>
    <row r="5039" spans="1:66" hidden="1">
      <c r="A5039">
        <v>101907</v>
      </c>
      <c r="B5039" s="3" t="s">
        <v>538</v>
      </c>
      <c r="C5039" s="1">
        <v>43300101</v>
      </c>
      <c r="D5039" t="s">
        <v>67</v>
      </c>
      <c r="H5039" t="str">
        <f t="shared" si="540"/>
        <v>01347430397</v>
      </c>
      <c r="I5039" t="str">
        <f t="shared" si="541"/>
        <v>04310690377</v>
      </c>
      <c r="K5039" t="str">
        <f>""</f>
        <v/>
      </c>
      <c r="M5039" t="s">
        <v>68</v>
      </c>
      <c r="N5039" t="str">
        <f t="shared" si="538"/>
        <v>FOR</v>
      </c>
      <c r="O5039" t="s">
        <v>69</v>
      </c>
      <c r="P5039" s="3" t="s">
        <v>70</v>
      </c>
      <c r="Q5039">
        <v>2015</v>
      </c>
      <c r="R5039" s="2">
        <v>42090</v>
      </c>
      <c r="S5039" s="2">
        <v>42191</v>
      </c>
      <c r="T5039" s="2">
        <v>42191</v>
      </c>
      <c r="U5039" s="2">
        <v>42251</v>
      </c>
      <c r="V5039" t="s">
        <v>71</v>
      </c>
      <c r="W5039" t="str">
        <f>"                 134"</f>
        <v xml:space="preserve">                 134</v>
      </c>
      <c r="X5039" s="1">
        <v>3660</v>
      </c>
      <c r="Y5039">
        <v>0</v>
      </c>
      <c r="Z5039"/>
      <c r="AB5039"/>
      <c r="AC5039" s="1">
        <v>3000</v>
      </c>
      <c r="AD5039">
        <v>151</v>
      </c>
      <c r="AE5039" s="1">
        <v>453000</v>
      </c>
      <c r="AF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 s="2">
        <v>42746</v>
      </c>
      <c r="AQ5039" t="s">
        <v>72</v>
      </c>
      <c r="AR5039" t="s">
        <v>72</v>
      </c>
      <c r="AS5039">
        <v>208</v>
      </c>
      <c r="AT5039" s="4">
        <v>42402</v>
      </c>
      <c r="AU5039" t="s">
        <v>73</v>
      </c>
      <c r="AV5039">
        <v>208</v>
      </c>
      <c r="AW5039" s="4">
        <v>42402</v>
      </c>
      <c r="BD5039">
        <v>0</v>
      </c>
      <c r="BN5039" t="s">
        <v>74</v>
      </c>
    </row>
    <row r="5040" spans="1:66" hidden="1">
      <c r="A5040">
        <v>101907</v>
      </c>
      <c r="B5040" s="3" t="s">
        <v>538</v>
      </c>
      <c r="C5040" s="1">
        <v>43300101</v>
      </c>
      <c r="D5040" t="s">
        <v>67</v>
      </c>
      <c r="H5040" t="str">
        <f t="shared" si="540"/>
        <v>01347430397</v>
      </c>
      <c r="I5040" t="str">
        <f t="shared" si="541"/>
        <v>04310690377</v>
      </c>
      <c r="K5040" t="str">
        <f>""</f>
        <v/>
      </c>
      <c r="M5040" t="s">
        <v>68</v>
      </c>
      <c r="N5040" t="str">
        <f t="shared" si="538"/>
        <v>FOR</v>
      </c>
      <c r="O5040" t="s">
        <v>69</v>
      </c>
      <c r="P5040" s="3" t="s">
        <v>75</v>
      </c>
      <c r="Q5040">
        <v>2015</v>
      </c>
      <c r="R5040" s="2">
        <v>42123</v>
      </c>
      <c r="S5040" s="2">
        <v>42142</v>
      </c>
      <c r="T5040" s="2">
        <v>42138</v>
      </c>
      <c r="U5040" s="2">
        <v>42198</v>
      </c>
      <c r="V5040" t="s">
        <v>71</v>
      </c>
      <c r="W5040" t="str">
        <f>"          162 - FCSP"</f>
        <v xml:space="preserve">          162 - FCSP</v>
      </c>
      <c r="X5040" s="1">
        <v>22923.8</v>
      </c>
      <c r="Y5040">
        <v>0</v>
      </c>
      <c r="Z5040"/>
      <c r="AB5040"/>
      <c r="AC5040" s="1">
        <v>18790</v>
      </c>
      <c r="AD5040">
        <v>218</v>
      </c>
      <c r="AE5040" s="1">
        <v>4096220</v>
      </c>
      <c r="AF5040">
        <v>0</v>
      </c>
      <c r="AJ5040">
        <v>0</v>
      </c>
      <c r="AK5040">
        <v>0</v>
      </c>
      <c r="AL5040">
        <v>0</v>
      </c>
      <c r="AM5040">
        <v>0</v>
      </c>
      <c r="AN5040">
        <v>0</v>
      </c>
      <c r="AO5040">
        <v>0</v>
      </c>
      <c r="AP5040" s="2">
        <v>42746</v>
      </c>
      <c r="AQ5040" t="s">
        <v>72</v>
      </c>
      <c r="AR5040" t="s">
        <v>72</v>
      </c>
      <c r="AS5040">
        <v>449</v>
      </c>
      <c r="AT5040" s="4">
        <v>42416</v>
      </c>
      <c r="AU5040" t="s">
        <v>73</v>
      </c>
      <c r="AV5040">
        <v>449</v>
      </c>
      <c r="AW5040" s="4">
        <v>42416</v>
      </c>
      <c r="BD5040">
        <v>0</v>
      </c>
      <c r="BN5040" t="s">
        <v>74</v>
      </c>
    </row>
    <row r="5041" spans="1:66" hidden="1">
      <c r="A5041">
        <v>101907</v>
      </c>
      <c r="B5041" s="3" t="s">
        <v>538</v>
      </c>
      <c r="C5041" s="1">
        <v>43300101</v>
      </c>
      <c r="D5041" t="s">
        <v>67</v>
      </c>
      <c r="H5041" t="str">
        <f t="shared" si="540"/>
        <v>01347430397</v>
      </c>
      <c r="I5041" t="str">
        <f t="shared" si="541"/>
        <v>04310690377</v>
      </c>
      <c r="K5041" t="str">
        <f>""</f>
        <v/>
      </c>
      <c r="M5041" t="s">
        <v>68</v>
      </c>
      <c r="N5041" t="str">
        <f t="shared" si="538"/>
        <v>FOR</v>
      </c>
      <c r="O5041" t="s">
        <v>69</v>
      </c>
      <c r="P5041" s="3" t="s">
        <v>75</v>
      </c>
      <c r="Q5041">
        <v>2015</v>
      </c>
      <c r="R5041" s="2">
        <v>42124</v>
      </c>
      <c r="S5041" s="2">
        <v>42142</v>
      </c>
      <c r="T5041" s="2">
        <v>42138</v>
      </c>
      <c r="U5041" s="2">
        <v>42198</v>
      </c>
      <c r="V5041" t="s">
        <v>71</v>
      </c>
      <c r="W5041" t="str">
        <f>"          163 - FCSP"</f>
        <v xml:space="preserve">          163 - FCSP</v>
      </c>
      <c r="X5041" s="1">
        <v>24783.08</v>
      </c>
      <c r="Y5041">
        <v>0</v>
      </c>
      <c r="Z5041"/>
      <c r="AB5041"/>
      <c r="AC5041" s="1">
        <v>20314</v>
      </c>
      <c r="AD5041">
        <v>218</v>
      </c>
      <c r="AE5041" s="1">
        <v>4428452</v>
      </c>
      <c r="AF5041">
        <v>0</v>
      </c>
      <c r="AJ5041">
        <v>0</v>
      </c>
      <c r="AK5041">
        <v>0</v>
      </c>
      <c r="AL5041">
        <v>0</v>
      </c>
      <c r="AM5041">
        <v>0</v>
      </c>
      <c r="AN5041">
        <v>0</v>
      </c>
      <c r="AO5041">
        <v>0</v>
      </c>
      <c r="AP5041" s="2">
        <v>42746</v>
      </c>
      <c r="AQ5041" t="s">
        <v>72</v>
      </c>
      <c r="AR5041" t="s">
        <v>72</v>
      </c>
      <c r="AS5041">
        <v>449</v>
      </c>
      <c r="AT5041" s="4">
        <v>42416</v>
      </c>
      <c r="AU5041" t="s">
        <v>73</v>
      </c>
      <c r="AV5041">
        <v>449</v>
      </c>
      <c r="AW5041" s="4">
        <v>42416</v>
      </c>
      <c r="BD5041">
        <v>0</v>
      </c>
      <c r="BN5041" t="s">
        <v>74</v>
      </c>
    </row>
    <row r="5042" spans="1:66" hidden="1">
      <c r="A5042">
        <v>101907</v>
      </c>
      <c r="B5042" s="3" t="s">
        <v>538</v>
      </c>
      <c r="C5042" s="1">
        <v>43300101</v>
      </c>
      <c r="D5042" t="s">
        <v>67</v>
      </c>
      <c r="H5042" t="str">
        <f t="shared" si="540"/>
        <v>01347430397</v>
      </c>
      <c r="I5042" t="str">
        <f t="shared" si="541"/>
        <v>04310690377</v>
      </c>
      <c r="K5042" t="str">
        <f>""</f>
        <v/>
      </c>
      <c r="M5042" t="s">
        <v>68</v>
      </c>
      <c r="N5042" t="str">
        <f t="shared" si="538"/>
        <v>FOR</v>
      </c>
      <c r="O5042" t="s">
        <v>69</v>
      </c>
      <c r="P5042" s="3" t="s">
        <v>75</v>
      </c>
      <c r="Q5042">
        <v>2015</v>
      </c>
      <c r="R5042" s="2">
        <v>42185</v>
      </c>
      <c r="S5042" s="2">
        <v>42187</v>
      </c>
      <c r="T5042" s="2">
        <v>42185</v>
      </c>
      <c r="U5042" s="2">
        <v>42245</v>
      </c>
      <c r="V5042" t="s">
        <v>71</v>
      </c>
      <c r="W5042" t="str">
        <f>"          262 - FCSP"</f>
        <v xml:space="preserve">          262 - FCSP</v>
      </c>
      <c r="X5042" s="1">
        <v>13932.4</v>
      </c>
      <c r="Y5042">
        <v>0</v>
      </c>
      <c r="Z5042"/>
      <c r="AB5042"/>
      <c r="AC5042" s="1">
        <v>11420</v>
      </c>
      <c r="AD5042">
        <v>247</v>
      </c>
      <c r="AE5042" s="1">
        <v>2820740</v>
      </c>
      <c r="AF5042">
        <v>0</v>
      </c>
      <c r="AJ5042">
        <v>0</v>
      </c>
      <c r="AK5042">
        <v>0</v>
      </c>
      <c r="AL5042">
        <v>0</v>
      </c>
      <c r="AM5042">
        <v>0</v>
      </c>
      <c r="AN5042">
        <v>0</v>
      </c>
      <c r="AO5042">
        <v>0</v>
      </c>
      <c r="AP5042" s="2">
        <v>42746</v>
      </c>
      <c r="AQ5042" t="s">
        <v>72</v>
      </c>
      <c r="AR5042" t="s">
        <v>72</v>
      </c>
      <c r="AS5042">
        <v>1229</v>
      </c>
      <c r="AT5042" s="4">
        <v>42492</v>
      </c>
      <c r="AU5042" t="s">
        <v>73</v>
      </c>
      <c r="AV5042">
        <v>1229</v>
      </c>
      <c r="AW5042" s="4">
        <v>42492</v>
      </c>
      <c r="BD5042">
        <v>0</v>
      </c>
      <c r="BN5042" t="s">
        <v>74</v>
      </c>
    </row>
    <row r="5043" spans="1:66" hidden="1">
      <c r="A5043">
        <v>101907</v>
      </c>
      <c r="B5043" s="3" t="s">
        <v>538</v>
      </c>
      <c r="C5043" s="1">
        <v>43300101</v>
      </c>
      <c r="D5043" t="s">
        <v>67</v>
      </c>
      <c r="H5043" t="str">
        <f t="shared" si="540"/>
        <v>01347430397</v>
      </c>
      <c r="I5043" t="str">
        <f t="shared" si="541"/>
        <v>04310690377</v>
      </c>
      <c r="K5043" t="str">
        <f>""</f>
        <v/>
      </c>
      <c r="M5043" t="s">
        <v>68</v>
      </c>
      <c r="N5043" t="str">
        <f t="shared" si="538"/>
        <v>FOR</v>
      </c>
      <c r="O5043" t="s">
        <v>69</v>
      </c>
      <c r="P5043" s="3" t="s">
        <v>75</v>
      </c>
      <c r="Q5043">
        <v>2015</v>
      </c>
      <c r="R5043" s="2">
        <v>42185</v>
      </c>
      <c r="S5043" s="2">
        <v>42191</v>
      </c>
      <c r="T5043" s="2">
        <v>42190</v>
      </c>
      <c r="U5043" s="2">
        <v>42250</v>
      </c>
      <c r="V5043" t="s">
        <v>71</v>
      </c>
      <c r="W5043" t="str">
        <f>"          279 - FCSP"</f>
        <v xml:space="preserve">          279 - FCSP</v>
      </c>
      <c r="X5043" s="1">
        <v>48678</v>
      </c>
      <c r="Y5043">
        <v>0</v>
      </c>
      <c r="Z5043"/>
      <c r="AB5043"/>
      <c r="AC5043" s="1">
        <v>39900</v>
      </c>
      <c r="AD5043">
        <v>242</v>
      </c>
      <c r="AE5043" s="1">
        <v>9655800</v>
      </c>
      <c r="AF5043">
        <v>0</v>
      </c>
      <c r="AJ5043">
        <v>0</v>
      </c>
      <c r="AK5043">
        <v>0</v>
      </c>
      <c r="AL5043">
        <v>0</v>
      </c>
      <c r="AM5043">
        <v>0</v>
      </c>
      <c r="AN5043">
        <v>0</v>
      </c>
      <c r="AO5043">
        <v>0</v>
      </c>
      <c r="AP5043" s="2">
        <v>42746</v>
      </c>
      <c r="AQ5043" t="s">
        <v>72</v>
      </c>
      <c r="AR5043" t="s">
        <v>72</v>
      </c>
      <c r="AS5043">
        <v>1229</v>
      </c>
      <c r="AT5043" s="4">
        <v>42492</v>
      </c>
      <c r="AU5043" t="s">
        <v>73</v>
      </c>
      <c r="AV5043">
        <v>1229</v>
      </c>
      <c r="AW5043" s="4">
        <v>42492</v>
      </c>
      <c r="BD5043">
        <v>0</v>
      </c>
      <c r="BN5043" t="s">
        <v>74</v>
      </c>
    </row>
    <row r="5044" spans="1:66" hidden="1">
      <c r="A5044">
        <v>101907</v>
      </c>
      <c r="B5044" s="3" t="s">
        <v>538</v>
      </c>
      <c r="C5044" s="1">
        <v>43300101</v>
      </c>
      <c r="D5044" t="s">
        <v>67</v>
      </c>
      <c r="H5044" t="str">
        <f t="shared" si="540"/>
        <v>01347430397</v>
      </c>
      <c r="I5044" t="str">
        <f t="shared" si="541"/>
        <v>04310690377</v>
      </c>
      <c r="K5044" t="str">
        <f>""</f>
        <v/>
      </c>
      <c r="M5044" t="s">
        <v>68</v>
      </c>
      <c r="N5044" t="str">
        <f t="shared" si="538"/>
        <v>FOR</v>
      </c>
      <c r="O5044" t="s">
        <v>69</v>
      </c>
      <c r="P5044" s="3" t="s">
        <v>75</v>
      </c>
      <c r="Q5044">
        <v>2015</v>
      </c>
      <c r="R5044" s="2">
        <v>42185</v>
      </c>
      <c r="S5044" s="2">
        <v>42191</v>
      </c>
      <c r="T5044" s="2">
        <v>42190</v>
      </c>
      <c r="U5044" s="2">
        <v>42250</v>
      </c>
      <c r="V5044" t="s">
        <v>71</v>
      </c>
      <c r="W5044" t="str">
        <f>"          284 - FCSP"</f>
        <v xml:space="preserve">          284 - FCSP</v>
      </c>
      <c r="X5044">
        <v>732</v>
      </c>
      <c r="Y5044">
        <v>0</v>
      </c>
      <c r="Z5044"/>
      <c r="AB5044"/>
      <c r="AC5044">
        <v>600</v>
      </c>
      <c r="AD5044">
        <v>242</v>
      </c>
      <c r="AE5044" s="1">
        <v>145200</v>
      </c>
      <c r="AF5044">
        <v>0</v>
      </c>
      <c r="AJ5044">
        <v>0</v>
      </c>
      <c r="AK5044">
        <v>0</v>
      </c>
      <c r="AL5044">
        <v>0</v>
      </c>
      <c r="AM5044">
        <v>0</v>
      </c>
      <c r="AN5044">
        <v>0</v>
      </c>
      <c r="AO5044">
        <v>0</v>
      </c>
      <c r="AP5044" s="2">
        <v>42746</v>
      </c>
      <c r="AQ5044" t="s">
        <v>72</v>
      </c>
      <c r="AR5044" t="s">
        <v>72</v>
      </c>
      <c r="AS5044">
        <v>1229</v>
      </c>
      <c r="AT5044" s="4">
        <v>42492</v>
      </c>
      <c r="AU5044" t="s">
        <v>73</v>
      </c>
      <c r="AV5044">
        <v>1229</v>
      </c>
      <c r="AW5044" s="4">
        <v>42492</v>
      </c>
      <c r="BD5044">
        <v>0</v>
      </c>
      <c r="BN5044" t="s">
        <v>74</v>
      </c>
    </row>
    <row r="5045" spans="1:66" hidden="1">
      <c r="A5045">
        <v>101907</v>
      </c>
      <c r="B5045" s="3" t="s">
        <v>538</v>
      </c>
      <c r="C5045" s="1">
        <v>43300101</v>
      </c>
      <c r="D5045" t="s">
        <v>67</v>
      </c>
      <c r="H5045" t="str">
        <f t="shared" si="540"/>
        <v>01347430397</v>
      </c>
      <c r="I5045" t="str">
        <f t="shared" si="541"/>
        <v>04310690377</v>
      </c>
      <c r="K5045" t="str">
        <f>""</f>
        <v/>
      </c>
      <c r="M5045" t="s">
        <v>68</v>
      </c>
      <c r="N5045" t="str">
        <f t="shared" si="538"/>
        <v>FOR</v>
      </c>
      <c r="O5045" t="s">
        <v>69</v>
      </c>
      <c r="P5045" s="3" t="s">
        <v>75</v>
      </c>
      <c r="Q5045">
        <v>2015</v>
      </c>
      <c r="R5045" s="2">
        <v>42185</v>
      </c>
      <c r="S5045" s="2">
        <v>42198</v>
      </c>
      <c r="T5045" s="2">
        <v>42196</v>
      </c>
      <c r="U5045" s="2">
        <v>42256</v>
      </c>
      <c r="V5045" t="s">
        <v>71</v>
      </c>
      <c r="W5045" t="str">
        <f>"          295 - FCSP"</f>
        <v xml:space="preserve">          295 - FCSP</v>
      </c>
      <c r="X5045" s="1">
        <v>6832</v>
      </c>
      <c r="Y5045">
        <v>0</v>
      </c>
      <c r="Z5045"/>
      <c r="AB5045"/>
      <c r="AC5045" s="1">
        <v>5600</v>
      </c>
      <c r="AD5045">
        <v>236</v>
      </c>
      <c r="AE5045" s="1">
        <v>1321600</v>
      </c>
      <c r="AF5045">
        <v>0</v>
      </c>
      <c r="AJ5045">
        <v>0</v>
      </c>
      <c r="AK5045">
        <v>0</v>
      </c>
      <c r="AL5045">
        <v>0</v>
      </c>
      <c r="AM5045">
        <v>0</v>
      </c>
      <c r="AN5045">
        <v>0</v>
      </c>
      <c r="AO5045">
        <v>0</v>
      </c>
      <c r="AP5045" s="2">
        <v>42746</v>
      </c>
      <c r="AQ5045" t="s">
        <v>72</v>
      </c>
      <c r="AR5045" t="s">
        <v>72</v>
      </c>
      <c r="AS5045">
        <v>1229</v>
      </c>
      <c r="AT5045" s="4">
        <v>42492</v>
      </c>
      <c r="AU5045" t="s">
        <v>73</v>
      </c>
      <c r="AV5045">
        <v>1229</v>
      </c>
      <c r="AW5045" s="4">
        <v>42492</v>
      </c>
      <c r="BD5045">
        <v>0</v>
      </c>
      <c r="BN5045" t="s">
        <v>74</v>
      </c>
    </row>
    <row r="5046" spans="1:66" hidden="1">
      <c r="A5046">
        <v>101907</v>
      </c>
      <c r="B5046" s="3" t="s">
        <v>538</v>
      </c>
      <c r="C5046" s="1">
        <v>43300101</v>
      </c>
      <c r="D5046" t="s">
        <v>67</v>
      </c>
      <c r="H5046" t="str">
        <f t="shared" si="540"/>
        <v>01347430397</v>
      </c>
      <c r="I5046" t="str">
        <f t="shared" si="541"/>
        <v>04310690377</v>
      </c>
      <c r="K5046" t="str">
        <f>""</f>
        <v/>
      </c>
      <c r="M5046" t="s">
        <v>68</v>
      </c>
      <c r="N5046" t="str">
        <f t="shared" si="538"/>
        <v>FOR</v>
      </c>
      <c r="O5046" t="s">
        <v>69</v>
      </c>
      <c r="P5046" s="3" t="s">
        <v>75</v>
      </c>
      <c r="Q5046">
        <v>2015</v>
      </c>
      <c r="R5046" s="2">
        <v>42277</v>
      </c>
      <c r="S5046" s="2">
        <v>42283</v>
      </c>
      <c r="T5046" s="2">
        <v>42282</v>
      </c>
      <c r="U5046" s="2">
        <v>42342</v>
      </c>
      <c r="V5046" t="s">
        <v>71</v>
      </c>
      <c r="W5046" t="str">
        <f>"          423 - FCSP"</f>
        <v xml:space="preserve">          423 - FCSP</v>
      </c>
      <c r="X5046" s="1">
        <v>12444</v>
      </c>
      <c r="Y5046">
        <v>0</v>
      </c>
      <c r="Z5046"/>
      <c r="AB5046"/>
      <c r="AC5046" s="1">
        <v>10200</v>
      </c>
      <c r="AD5046">
        <v>277</v>
      </c>
      <c r="AE5046" s="1">
        <v>2825400</v>
      </c>
      <c r="AF5046">
        <v>0</v>
      </c>
      <c r="AJ5046">
        <v>0</v>
      </c>
      <c r="AK5046">
        <v>0</v>
      </c>
      <c r="AL5046">
        <v>0</v>
      </c>
      <c r="AM5046">
        <v>0</v>
      </c>
      <c r="AN5046">
        <v>0</v>
      </c>
      <c r="AO5046">
        <v>0</v>
      </c>
      <c r="AP5046" s="2">
        <v>42746</v>
      </c>
      <c r="AQ5046" t="s">
        <v>72</v>
      </c>
      <c r="AR5046" t="s">
        <v>72</v>
      </c>
      <c r="AS5046">
        <v>2293</v>
      </c>
      <c r="AT5046" s="4">
        <v>42619</v>
      </c>
      <c r="AU5046" t="s">
        <v>73</v>
      </c>
      <c r="AV5046">
        <v>2293</v>
      </c>
      <c r="AW5046" s="4">
        <v>42619</v>
      </c>
      <c r="BD5046">
        <v>0</v>
      </c>
      <c r="BN5046" t="s">
        <v>74</v>
      </c>
    </row>
    <row r="5047" spans="1:66" hidden="1">
      <c r="A5047">
        <v>101907</v>
      </c>
      <c r="B5047" s="3" t="s">
        <v>538</v>
      </c>
      <c r="C5047" s="1">
        <v>43300101</v>
      </c>
      <c r="D5047" t="s">
        <v>67</v>
      </c>
      <c r="H5047" t="str">
        <f t="shared" si="540"/>
        <v>01347430397</v>
      </c>
      <c r="I5047" t="str">
        <f t="shared" si="541"/>
        <v>04310690377</v>
      </c>
      <c r="K5047" t="str">
        <f>""</f>
        <v/>
      </c>
      <c r="M5047" t="s">
        <v>68</v>
      </c>
      <c r="N5047" t="str">
        <f t="shared" si="538"/>
        <v>FOR</v>
      </c>
      <c r="O5047" t="s">
        <v>69</v>
      </c>
      <c r="P5047" s="3" t="s">
        <v>75</v>
      </c>
      <c r="Q5047">
        <v>2015</v>
      </c>
      <c r="R5047" s="2">
        <v>42277</v>
      </c>
      <c r="S5047" s="2">
        <v>42286</v>
      </c>
      <c r="T5047" s="2">
        <v>42283</v>
      </c>
      <c r="U5047" s="2">
        <v>42343</v>
      </c>
      <c r="V5047" t="s">
        <v>71</v>
      </c>
      <c r="W5047" t="str">
        <f>"          425 - FCSP"</f>
        <v xml:space="preserve">          425 - FCSP</v>
      </c>
      <c r="X5047" s="1">
        <v>5978</v>
      </c>
      <c r="Y5047">
        <v>0</v>
      </c>
      <c r="Z5047"/>
      <c r="AB5047"/>
      <c r="AC5047" s="1">
        <v>4900</v>
      </c>
      <c r="AD5047">
        <v>276</v>
      </c>
      <c r="AE5047" s="1">
        <v>1352400</v>
      </c>
      <c r="AF5047">
        <v>0</v>
      </c>
      <c r="AJ5047">
        <v>0</v>
      </c>
      <c r="AK5047">
        <v>0</v>
      </c>
      <c r="AL5047">
        <v>0</v>
      </c>
      <c r="AM5047">
        <v>0</v>
      </c>
      <c r="AN5047">
        <v>0</v>
      </c>
      <c r="AO5047">
        <v>0</v>
      </c>
      <c r="AP5047" s="2">
        <v>42746</v>
      </c>
      <c r="AQ5047" t="s">
        <v>72</v>
      </c>
      <c r="AR5047" t="s">
        <v>72</v>
      </c>
      <c r="AS5047">
        <v>2293</v>
      </c>
      <c r="AT5047" s="4">
        <v>42619</v>
      </c>
      <c r="AU5047" t="s">
        <v>73</v>
      </c>
      <c r="AV5047">
        <v>2293</v>
      </c>
      <c r="AW5047" s="4">
        <v>42619</v>
      </c>
      <c r="BD5047">
        <v>0</v>
      </c>
      <c r="BN5047" t="s">
        <v>74</v>
      </c>
    </row>
    <row r="5048" spans="1:66">
      <c r="A5048">
        <v>101907</v>
      </c>
      <c r="B5048" s="3" t="s">
        <v>538</v>
      </c>
      <c r="C5048" s="1">
        <v>43300101</v>
      </c>
      <c r="D5048" t="s">
        <v>67</v>
      </c>
      <c r="H5048" t="str">
        <f t="shared" si="540"/>
        <v>01347430397</v>
      </c>
      <c r="I5048" t="str">
        <f t="shared" si="541"/>
        <v>04310690377</v>
      </c>
      <c r="K5048" t="str">
        <f>""</f>
        <v/>
      </c>
      <c r="M5048" t="s">
        <v>68</v>
      </c>
      <c r="N5048" t="str">
        <f t="shared" si="538"/>
        <v>FOR</v>
      </c>
      <c r="O5048" t="s">
        <v>69</v>
      </c>
      <c r="P5048" s="3" t="s">
        <v>75</v>
      </c>
      <c r="Q5048">
        <v>2015</v>
      </c>
      <c r="R5048" s="2">
        <v>42320</v>
      </c>
      <c r="S5048" s="2">
        <v>42325</v>
      </c>
      <c r="T5048" s="2">
        <v>42321</v>
      </c>
      <c r="U5048" s="2">
        <v>42381</v>
      </c>
      <c r="V5048" t="s">
        <v>71</v>
      </c>
      <c r="W5048" t="str">
        <f>"          513 - FCSP"</f>
        <v xml:space="preserve">          513 - FCSP</v>
      </c>
      <c r="X5048" s="1">
        <v>5551</v>
      </c>
      <c r="Y5048">
        <v>0</v>
      </c>
      <c r="Z5048" s="5">
        <v>4550</v>
      </c>
      <c r="AA5048">
        <v>301</v>
      </c>
      <c r="AB5048" s="5">
        <v>1369550</v>
      </c>
      <c r="AC5048" s="1">
        <v>4550</v>
      </c>
      <c r="AD5048">
        <v>301</v>
      </c>
      <c r="AE5048" s="1">
        <v>1369550</v>
      </c>
      <c r="AF5048">
        <v>0</v>
      </c>
      <c r="AJ5048">
        <v>0</v>
      </c>
      <c r="AK5048">
        <v>0</v>
      </c>
      <c r="AL5048">
        <v>0</v>
      </c>
      <c r="AM5048">
        <v>0</v>
      </c>
      <c r="AN5048">
        <v>0</v>
      </c>
      <c r="AO5048">
        <v>0</v>
      </c>
      <c r="AP5048" s="2">
        <v>42746</v>
      </c>
      <c r="AQ5048" t="s">
        <v>72</v>
      </c>
      <c r="AR5048" t="s">
        <v>72</v>
      </c>
      <c r="AS5048">
        <v>2958</v>
      </c>
      <c r="AT5048" s="4">
        <v>42682</v>
      </c>
      <c r="AU5048" t="s">
        <v>73</v>
      </c>
      <c r="AV5048">
        <v>2958</v>
      </c>
      <c r="AW5048" s="4">
        <v>42682</v>
      </c>
      <c r="BD5048">
        <v>0</v>
      </c>
      <c r="BN5048" t="s">
        <v>74</v>
      </c>
    </row>
    <row r="5049" spans="1:66">
      <c r="A5049">
        <v>101907</v>
      </c>
      <c r="B5049" s="3" t="s">
        <v>538</v>
      </c>
      <c r="C5049" s="1">
        <v>43300101</v>
      </c>
      <c r="D5049" t="s">
        <v>67</v>
      </c>
      <c r="H5049" t="str">
        <f t="shared" si="540"/>
        <v>01347430397</v>
      </c>
      <c r="I5049" t="str">
        <f t="shared" si="541"/>
        <v>04310690377</v>
      </c>
      <c r="K5049" t="str">
        <f>""</f>
        <v/>
      </c>
      <c r="M5049" t="s">
        <v>68</v>
      </c>
      <c r="N5049" t="str">
        <f t="shared" si="538"/>
        <v>FOR</v>
      </c>
      <c r="O5049" t="s">
        <v>69</v>
      </c>
      <c r="P5049" s="3" t="s">
        <v>75</v>
      </c>
      <c r="Q5049">
        <v>2015</v>
      </c>
      <c r="R5049" s="2">
        <v>42360</v>
      </c>
      <c r="S5049" s="2">
        <v>42368</v>
      </c>
      <c r="T5049" s="2">
        <v>42360</v>
      </c>
      <c r="U5049" s="2">
        <v>42420</v>
      </c>
      <c r="V5049" t="s">
        <v>71</v>
      </c>
      <c r="W5049" t="str">
        <f>"          663 - FCSP"</f>
        <v xml:space="preserve">          663 - FCSP</v>
      </c>
      <c r="X5049" s="1">
        <v>2196</v>
      </c>
      <c r="Y5049">
        <v>0</v>
      </c>
      <c r="Z5049" s="5">
        <v>1800</v>
      </c>
      <c r="AA5049">
        <v>270</v>
      </c>
      <c r="AB5049" s="5">
        <v>486000</v>
      </c>
      <c r="AC5049" s="1">
        <v>1800</v>
      </c>
      <c r="AD5049">
        <v>270</v>
      </c>
      <c r="AE5049" s="1">
        <v>486000</v>
      </c>
      <c r="AF5049">
        <v>0</v>
      </c>
      <c r="AJ5049">
        <v>0</v>
      </c>
      <c r="AK5049">
        <v>0</v>
      </c>
      <c r="AL5049">
        <v>0</v>
      </c>
      <c r="AM5049">
        <v>0</v>
      </c>
      <c r="AN5049">
        <v>0</v>
      </c>
      <c r="AO5049">
        <v>0</v>
      </c>
      <c r="AP5049" s="2">
        <v>42746</v>
      </c>
      <c r="AQ5049" t="s">
        <v>72</v>
      </c>
      <c r="AR5049" t="s">
        <v>72</v>
      </c>
      <c r="AS5049">
        <v>3121</v>
      </c>
      <c r="AT5049" s="4">
        <v>42690</v>
      </c>
      <c r="AU5049" t="s">
        <v>73</v>
      </c>
      <c r="AV5049">
        <v>3121</v>
      </c>
      <c r="AW5049" s="4">
        <v>42690</v>
      </c>
      <c r="BD5049">
        <v>0</v>
      </c>
      <c r="BN5049" t="s">
        <v>74</v>
      </c>
    </row>
    <row r="5050" spans="1:66">
      <c r="A5050">
        <v>101907</v>
      </c>
      <c r="B5050" s="3" t="s">
        <v>538</v>
      </c>
      <c r="C5050" s="1">
        <v>43300101</v>
      </c>
      <c r="D5050" t="s">
        <v>67</v>
      </c>
      <c r="H5050" t="str">
        <f t="shared" si="540"/>
        <v>01347430397</v>
      </c>
      <c r="I5050" t="str">
        <f t="shared" si="541"/>
        <v>04310690377</v>
      </c>
      <c r="K5050" t="str">
        <f>""</f>
        <v/>
      </c>
      <c r="M5050" t="s">
        <v>68</v>
      </c>
      <c r="N5050" t="str">
        <f t="shared" si="538"/>
        <v>FOR</v>
      </c>
      <c r="O5050" t="s">
        <v>69</v>
      </c>
      <c r="P5050" s="3" t="s">
        <v>75</v>
      </c>
      <c r="Q5050">
        <v>2015</v>
      </c>
      <c r="R5050" s="2">
        <v>42369</v>
      </c>
      <c r="S5050" s="2">
        <v>42369</v>
      </c>
      <c r="T5050" s="2">
        <v>42369</v>
      </c>
      <c r="U5050" s="2">
        <v>42429</v>
      </c>
      <c r="V5050" t="s">
        <v>71</v>
      </c>
      <c r="W5050" t="str">
        <f>"          719 - FCSP"</f>
        <v xml:space="preserve">          719 - FCSP</v>
      </c>
      <c r="X5050" s="1">
        <v>3660</v>
      </c>
      <c r="Y5050">
        <v>0</v>
      </c>
      <c r="Z5050" s="5">
        <v>3000</v>
      </c>
      <c r="AA5050">
        <v>261</v>
      </c>
      <c r="AB5050" s="5">
        <v>783000</v>
      </c>
      <c r="AC5050" s="1">
        <v>3000</v>
      </c>
      <c r="AD5050">
        <v>261</v>
      </c>
      <c r="AE5050" s="1">
        <v>783000</v>
      </c>
      <c r="AF5050">
        <v>0</v>
      </c>
      <c r="AJ5050">
        <v>0</v>
      </c>
      <c r="AK5050">
        <v>0</v>
      </c>
      <c r="AL5050">
        <v>0</v>
      </c>
      <c r="AM5050">
        <v>0</v>
      </c>
      <c r="AN5050">
        <v>0</v>
      </c>
      <c r="AO5050">
        <v>0</v>
      </c>
      <c r="AP5050" s="2">
        <v>42746</v>
      </c>
      <c r="AQ5050" t="s">
        <v>72</v>
      </c>
      <c r="AR5050" t="s">
        <v>72</v>
      </c>
      <c r="AS5050">
        <v>3121</v>
      </c>
      <c r="AT5050" s="4">
        <v>42690</v>
      </c>
      <c r="AU5050" t="s">
        <v>73</v>
      </c>
      <c r="AV5050">
        <v>3121</v>
      </c>
      <c r="AW5050" s="4">
        <v>42690</v>
      </c>
      <c r="BD5050">
        <v>0</v>
      </c>
      <c r="BN5050" t="s">
        <v>74</v>
      </c>
    </row>
    <row r="5051" spans="1:66">
      <c r="A5051">
        <v>101907</v>
      </c>
      <c r="B5051" s="3" t="s">
        <v>538</v>
      </c>
      <c r="C5051" s="1">
        <v>43300101</v>
      </c>
      <c r="D5051" t="s">
        <v>67</v>
      </c>
      <c r="H5051" t="str">
        <f t="shared" si="540"/>
        <v>01347430397</v>
      </c>
      <c r="I5051" t="str">
        <f t="shared" si="541"/>
        <v>04310690377</v>
      </c>
      <c r="K5051" t="str">
        <f>""</f>
        <v/>
      </c>
      <c r="M5051" t="s">
        <v>68</v>
      </c>
      <c r="N5051" t="str">
        <f t="shared" si="538"/>
        <v>FOR</v>
      </c>
      <c r="O5051" t="s">
        <v>69</v>
      </c>
      <c r="P5051" s="3" t="s">
        <v>75</v>
      </c>
      <c r="Q5051">
        <v>2016</v>
      </c>
      <c r="R5051" s="2">
        <v>42398</v>
      </c>
      <c r="S5051" s="2">
        <v>42410</v>
      </c>
      <c r="T5051" s="2">
        <v>42408</v>
      </c>
      <c r="U5051" s="2">
        <v>42468</v>
      </c>
      <c r="V5051" t="s">
        <v>71</v>
      </c>
      <c r="W5051" t="str">
        <f>"           37 - FCSP"</f>
        <v xml:space="preserve">           37 - FCSP</v>
      </c>
      <c r="X5051" s="1">
        <v>2562</v>
      </c>
      <c r="Y5051">
        <v>0</v>
      </c>
      <c r="Z5051" s="5">
        <v>2100</v>
      </c>
      <c r="AA5051">
        <v>222</v>
      </c>
      <c r="AB5051" s="5">
        <v>466200</v>
      </c>
      <c r="AC5051" s="1">
        <v>2100</v>
      </c>
      <c r="AD5051">
        <v>222</v>
      </c>
      <c r="AE5051" s="1">
        <v>466200</v>
      </c>
      <c r="AF5051">
        <v>0</v>
      </c>
      <c r="AJ5051">
        <v>0</v>
      </c>
      <c r="AK5051">
        <v>0</v>
      </c>
      <c r="AL5051">
        <v>0</v>
      </c>
      <c r="AM5051" s="1">
        <v>2562</v>
      </c>
      <c r="AN5051" s="1">
        <v>2562</v>
      </c>
      <c r="AO5051" s="1">
        <v>2562</v>
      </c>
      <c r="AP5051" s="2">
        <v>42746</v>
      </c>
      <c r="AQ5051" t="s">
        <v>72</v>
      </c>
      <c r="AR5051" t="s">
        <v>72</v>
      </c>
      <c r="AS5051">
        <v>3121</v>
      </c>
      <c r="AT5051" s="4">
        <v>42690</v>
      </c>
      <c r="AU5051" t="s">
        <v>73</v>
      </c>
      <c r="AV5051">
        <v>3121</v>
      </c>
      <c r="AW5051" s="4">
        <v>42690</v>
      </c>
      <c r="BD5051">
        <v>0</v>
      </c>
      <c r="BN5051" t="s">
        <v>74</v>
      </c>
    </row>
    <row r="5052" spans="1:66">
      <c r="A5052">
        <v>101907</v>
      </c>
      <c r="B5052" s="3" t="s">
        <v>538</v>
      </c>
      <c r="C5052" s="1">
        <v>43300101</v>
      </c>
      <c r="D5052" t="s">
        <v>67</v>
      </c>
      <c r="H5052" t="str">
        <f t="shared" si="540"/>
        <v>01347430397</v>
      </c>
      <c r="I5052" t="str">
        <f t="shared" si="541"/>
        <v>04310690377</v>
      </c>
      <c r="K5052" t="str">
        <f>""</f>
        <v/>
      </c>
      <c r="M5052" t="s">
        <v>68</v>
      </c>
      <c r="N5052" t="str">
        <f t="shared" si="538"/>
        <v>FOR</v>
      </c>
      <c r="O5052" t="s">
        <v>69</v>
      </c>
      <c r="P5052" s="3" t="s">
        <v>75</v>
      </c>
      <c r="Q5052">
        <v>2016</v>
      </c>
      <c r="R5052" s="2">
        <v>42415</v>
      </c>
      <c r="S5052" s="2">
        <v>42418</v>
      </c>
      <c r="T5052" s="2">
        <v>42416</v>
      </c>
      <c r="U5052" s="2">
        <v>42476</v>
      </c>
      <c r="V5052" t="s">
        <v>71</v>
      </c>
      <c r="W5052" t="str">
        <f>"           68 - FCSP"</f>
        <v xml:space="preserve">           68 - FCSP</v>
      </c>
      <c r="X5052" s="1">
        <v>2379</v>
      </c>
      <c r="Y5052">
        <v>0</v>
      </c>
      <c r="Z5052" s="5">
        <v>1950</v>
      </c>
      <c r="AA5052">
        <v>214</v>
      </c>
      <c r="AB5052" s="5">
        <v>417300</v>
      </c>
      <c r="AC5052" s="1">
        <v>1950</v>
      </c>
      <c r="AD5052">
        <v>214</v>
      </c>
      <c r="AE5052" s="1">
        <v>417300</v>
      </c>
      <c r="AF5052">
        <v>0</v>
      </c>
      <c r="AJ5052">
        <v>0</v>
      </c>
      <c r="AK5052">
        <v>0</v>
      </c>
      <c r="AL5052">
        <v>0</v>
      </c>
      <c r="AM5052">
        <v>0</v>
      </c>
      <c r="AN5052" s="1">
        <v>2379</v>
      </c>
      <c r="AO5052" s="1">
        <v>2379</v>
      </c>
      <c r="AP5052" s="2">
        <v>42746</v>
      </c>
      <c r="AQ5052" t="s">
        <v>72</v>
      </c>
      <c r="AR5052" t="s">
        <v>72</v>
      </c>
      <c r="AS5052">
        <v>3121</v>
      </c>
      <c r="AT5052" s="4">
        <v>42690</v>
      </c>
      <c r="AU5052" t="s">
        <v>73</v>
      </c>
      <c r="AV5052">
        <v>3121</v>
      </c>
      <c r="AW5052" s="4">
        <v>42690</v>
      </c>
      <c r="BD5052">
        <v>0</v>
      </c>
      <c r="BN5052" t="s">
        <v>74</v>
      </c>
    </row>
    <row r="5053" spans="1:66" hidden="1">
      <c r="A5053">
        <v>101934</v>
      </c>
      <c r="B5053" s="3" t="s">
        <v>539</v>
      </c>
      <c r="C5053" s="1">
        <v>43300101</v>
      </c>
      <c r="D5053" t="s">
        <v>67</v>
      </c>
      <c r="H5053" t="str">
        <f t="shared" ref="H5053:I5072" si="542">"06175550638"</f>
        <v>06175550638</v>
      </c>
      <c r="I5053" t="str">
        <f t="shared" si="542"/>
        <v>06175550638</v>
      </c>
      <c r="K5053" t="str">
        <f>""</f>
        <v/>
      </c>
      <c r="M5053" t="s">
        <v>68</v>
      </c>
      <c r="N5053" t="str">
        <f t="shared" si="538"/>
        <v>FOR</v>
      </c>
      <c r="O5053" t="s">
        <v>69</v>
      </c>
      <c r="P5053" s="3" t="s">
        <v>70</v>
      </c>
      <c r="Q5053">
        <v>2015</v>
      </c>
      <c r="R5053" s="2">
        <v>42062</v>
      </c>
      <c r="S5053" s="2">
        <v>42086</v>
      </c>
      <c r="T5053" s="2">
        <v>42086</v>
      </c>
      <c r="U5053" s="2">
        <v>42146</v>
      </c>
      <c r="V5053" t="s">
        <v>71</v>
      </c>
      <c r="W5053" t="str">
        <f>"                 326"</f>
        <v xml:space="preserve">                 326</v>
      </c>
      <c r="X5053">
        <v>299.45999999999998</v>
      </c>
      <c r="Y5053">
        <v>0</v>
      </c>
      <c r="Z5053"/>
      <c r="AB5053"/>
      <c r="AC5053">
        <v>252.1</v>
      </c>
      <c r="AD5053">
        <v>262</v>
      </c>
      <c r="AE5053" s="1">
        <v>66050.2</v>
      </c>
      <c r="AF5053">
        <v>0</v>
      </c>
      <c r="AJ5053">
        <v>0</v>
      </c>
      <c r="AK5053">
        <v>0</v>
      </c>
      <c r="AL5053">
        <v>0</v>
      </c>
      <c r="AM5053">
        <v>0</v>
      </c>
      <c r="AN5053">
        <v>0</v>
      </c>
      <c r="AO5053">
        <v>0</v>
      </c>
      <c r="AP5053" s="2">
        <v>42746</v>
      </c>
      <c r="AQ5053" t="s">
        <v>72</v>
      </c>
      <c r="AR5053" t="s">
        <v>72</v>
      </c>
      <c r="AS5053">
        <v>331</v>
      </c>
      <c r="AT5053" s="4">
        <v>42408</v>
      </c>
      <c r="AU5053" t="s">
        <v>73</v>
      </c>
      <c r="AV5053">
        <v>331</v>
      </c>
      <c r="AW5053" s="4">
        <v>42408</v>
      </c>
      <c r="BD5053">
        <v>0</v>
      </c>
      <c r="BN5053" t="s">
        <v>74</v>
      </c>
    </row>
    <row r="5054" spans="1:66" hidden="1">
      <c r="A5054">
        <v>101934</v>
      </c>
      <c r="B5054" s="3" t="s">
        <v>539</v>
      </c>
      <c r="C5054" s="1">
        <v>43300101</v>
      </c>
      <c r="D5054" t="s">
        <v>67</v>
      </c>
      <c r="H5054" t="str">
        <f t="shared" si="542"/>
        <v>06175550638</v>
      </c>
      <c r="I5054" t="str">
        <f t="shared" si="542"/>
        <v>06175550638</v>
      </c>
      <c r="K5054" t="str">
        <f>""</f>
        <v/>
      </c>
      <c r="M5054" t="s">
        <v>68</v>
      </c>
      <c r="N5054" t="str">
        <f t="shared" si="538"/>
        <v>FOR</v>
      </c>
      <c r="O5054" t="s">
        <v>69</v>
      </c>
      <c r="P5054" s="3" t="s">
        <v>70</v>
      </c>
      <c r="Q5054">
        <v>2015</v>
      </c>
      <c r="R5054" s="2">
        <v>42093</v>
      </c>
      <c r="S5054" s="2">
        <v>42109</v>
      </c>
      <c r="T5054" s="2">
        <v>42109</v>
      </c>
      <c r="U5054" s="2">
        <v>42169</v>
      </c>
      <c r="V5054" t="s">
        <v>71</v>
      </c>
      <c r="W5054" t="str">
        <f>"                 598"</f>
        <v xml:space="preserve">                 598</v>
      </c>
      <c r="X5054">
        <v>150.80000000000001</v>
      </c>
      <c r="Y5054">
        <v>0</v>
      </c>
      <c r="Z5054"/>
      <c r="AB5054"/>
      <c r="AC5054">
        <v>145</v>
      </c>
      <c r="AD5054">
        <v>246</v>
      </c>
      <c r="AE5054" s="1">
        <v>35670</v>
      </c>
      <c r="AF5054">
        <v>0</v>
      </c>
      <c r="AJ5054">
        <v>0</v>
      </c>
      <c r="AK5054">
        <v>0</v>
      </c>
      <c r="AL5054">
        <v>0</v>
      </c>
      <c r="AM5054">
        <v>0</v>
      </c>
      <c r="AN5054">
        <v>0</v>
      </c>
      <c r="AO5054">
        <v>0</v>
      </c>
      <c r="AP5054" s="2">
        <v>42746</v>
      </c>
      <c r="AQ5054" t="s">
        <v>72</v>
      </c>
      <c r="AR5054" t="s">
        <v>72</v>
      </c>
      <c r="AS5054">
        <v>352</v>
      </c>
      <c r="AT5054" s="4">
        <v>42415</v>
      </c>
      <c r="AU5054" t="s">
        <v>73</v>
      </c>
      <c r="AV5054">
        <v>352</v>
      </c>
      <c r="AW5054" s="4">
        <v>42415</v>
      </c>
      <c r="BD5054">
        <v>0</v>
      </c>
      <c r="BN5054" t="s">
        <v>74</v>
      </c>
    </row>
    <row r="5055" spans="1:66" hidden="1">
      <c r="A5055">
        <v>101934</v>
      </c>
      <c r="B5055" s="3" t="s">
        <v>539</v>
      </c>
      <c r="C5055" s="1">
        <v>43300101</v>
      </c>
      <c r="D5055" t="s">
        <v>67</v>
      </c>
      <c r="H5055" t="str">
        <f t="shared" si="542"/>
        <v>06175550638</v>
      </c>
      <c r="I5055" t="str">
        <f t="shared" si="542"/>
        <v>06175550638</v>
      </c>
      <c r="K5055" t="str">
        <f>""</f>
        <v/>
      </c>
      <c r="M5055" t="s">
        <v>68</v>
      </c>
      <c r="N5055" t="str">
        <f t="shared" si="538"/>
        <v>FOR</v>
      </c>
      <c r="O5055" t="s">
        <v>69</v>
      </c>
      <c r="P5055" s="3" t="s">
        <v>70</v>
      </c>
      <c r="Q5055">
        <v>2015</v>
      </c>
      <c r="R5055" s="2">
        <v>42093</v>
      </c>
      <c r="S5055" s="2">
        <v>42109</v>
      </c>
      <c r="T5055" s="2">
        <v>42109</v>
      </c>
      <c r="U5055" s="2">
        <v>42169</v>
      </c>
      <c r="V5055" t="s">
        <v>71</v>
      </c>
      <c r="W5055" t="str">
        <f>"                 599"</f>
        <v xml:space="preserve">                 599</v>
      </c>
      <c r="X5055">
        <v>150.80000000000001</v>
      </c>
      <c r="Y5055">
        <v>0</v>
      </c>
      <c r="Z5055"/>
      <c r="AB5055"/>
      <c r="AC5055">
        <v>145</v>
      </c>
      <c r="AD5055">
        <v>246</v>
      </c>
      <c r="AE5055" s="1">
        <v>35670</v>
      </c>
      <c r="AF5055">
        <v>0</v>
      </c>
      <c r="AJ5055">
        <v>0</v>
      </c>
      <c r="AK5055">
        <v>0</v>
      </c>
      <c r="AL5055">
        <v>0</v>
      </c>
      <c r="AM5055">
        <v>0</v>
      </c>
      <c r="AN5055">
        <v>0</v>
      </c>
      <c r="AO5055">
        <v>0</v>
      </c>
      <c r="AP5055" s="2">
        <v>42746</v>
      </c>
      <c r="AQ5055" t="s">
        <v>72</v>
      </c>
      <c r="AR5055" t="s">
        <v>72</v>
      </c>
      <c r="AS5055">
        <v>352</v>
      </c>
      <c r="AT5055" s="4">
        <v>42415</v>
      </c>
      <c r="AU5055" t="s">
        <v>73</v>
      </c>
      <c r="AV5055">
        <v>352</v>
      </c>
      <c r="AW5055" s="4">
        <v>42415</v>
      </c>
      <c r="BD5055">
        <v>0</v>
      </c>
      <c r="BN5055" t="s">
        <v>74</v>
      </c>
    </row>
    <row r="5056" spans="1:66" hidden="1">
      <c r="A5056">
        <v>101934</v>
      </c>
      <c r="B5056" s="3" t="s">
        <v>539</v>
      </c>
      <c r="C5056" s="1">
        <v>43300101</v>
      </c>
      <c r="D5056" t="s">
        <v>67</v>
      </c>
      <c r="H5056" t="str">
        <f t="shared" si="542"/>
        <v>06175550638</v>
      </c>
      <c r="I5056" t="str">
        <f t="shared" si="542"/>
        <v>06175550638</v>
      </c>
      <c r="K5056" t="str">
        <f>""</f>
        <v/>
      </c>
      <c r="M5056" t="s">
        <v>68</v>
      </c>
      <c r="N5056" t="str">
        <f t="shared" ref="N5056:N5119" si="543">"FOR"</f>
        <v>FOR</v>
      </c>
      <c r="O5056" t="s">
        <v>69</v>
      </c>
      <c r="P5056" s="3" t="s">
        <v>70</v>
      </c>
      <c r="Q5056">
        <v>2015</v>
      </c>
      <c r="R5056" s="2">
        <v>42093</v>
      </c>
      <c r="S5056" s="2">
        <v>42109</v>
      </c>
      <c r="T5056" s="2">
        <v>42109</v>
      </c>
      <c r="U5056" s="2">
        <v>42169</v>
      </c>
      <c r="V5056" t="s">
        <v>71</v>
      </c>
      <c r="W5056" t="str">
        <f>"                 600"</f>
        <v xml:space="preserve">                 600</v>
      </c>
      <c r="X5056">
        <v>150.80000000000001</v>
      </c>
      <c r="Y5056">
        <v>0</v>
      </c>
      <c r="Z5056"/>
      <c r="AB5056"/>
      <c r="AC5056">
        <v>145</v>
      </c>
      <c r="AD5056">
        <v>246</v>
      </c>
      <c r="AE5056" s="1">
        <v>35670</v>
      </c>
      <c r="AF5056">
        <v>0</v>
      </c>
      <c r="AJ5056">
        <v>0</v>
      </c>
      <c r="AK5056">
        <v>0</v>
      </c>
      <c r="AL5056">
        <v>0</v>
      </c>
      <c r="AM5056">
        <v>0</v>
      </c>
      <c r="AN5056">
        <v>0</v>
      </c>
      <c r="AO5056">
        <v>0</v>
      </c>
      <c r="AP5056" s="2">
        <v>42746</v>
      </c>
      <c r="AQ5056" t="s">
        <v>72</v>
      </c>
      <c r="AR5056" t="s">
        <v>72</v>
      </c>
      <c r="AS5056">
        <v>352</v>
      </c>
      <c r="AT5056" s="4">
        <v>42415</v>
      </c>
      <c r="AU5056" t="s">
        <v>73</v>
      </c>
      <c r="AV5056">
        <v>352</v>
      </c>
      <c r="AW5056" s="4">
        <v>42415</v>
      </c>
      <c r="BD5056">
        <v>0</v>
      </c>
      <c r="BN5056" t="s">
        <v>74</v>
      </c>
    </row>
    <row r="5057" spans="1:66" hidden="1">
      <c r="A5057">
        <v>101934</v>
      </c>
      <c r="B5057" s="3" t="s">
        <v>539</v>
      </c>
      <c r="C5057" s="1">
        <v>43300101</v>
      </c>
      <c r="D5057" t="s">
        <v>67</v>
      </c>
      <c r="H5057" t="str">
        <f t="shared" si="542"/>
        <v>06175550638</v>
      </c>
      <c r="I5057" t="str">
        <f t="shared" si="542"/>
        <v>06175550638</v>
      </c>
      <c r="K5057" t="str">
        <f>""</f>
        <v/>
      </c>
      <c r="M5057" t="s">
        <v>68</v>
      </c>
      <c r="N5057" t="str">
        <f t="shared" si="543"/>
        <v>FOR</v>
      </c>
      <c r="O5057" t="s">
        <v>69</v>
      </c>
      <c r="P5057" s="3" t="s">
        <v>70</v>
      </c>
      <c r="Q5057">
        <v>2015</v>
      </c>
      <c r="R5057" s="2">
        <v>42093</v>
      </c>
      <c r="S5057" s="2">
        <v>42109</v>
      </c>
      <c r="T5057" s="2">
        <v>42109</v>
      </c>
      <c r="U5057" s="2">
        <v>42169</v>
      </c>
      <c r="V5057" t="s">
        <v>71</v>
      </c>
      <c r="W5057" t="str">
        <f>"                 601"</f>
        <v xml:space="preserve">                 601</v>
      </c>
      <c r="X5057">
        <v>150.80000000000001</v>
      </c>
      <c r="Y5057">
        <v>0</v>
      </c>
      <c r="Z5057"/>
      <c r="AB5057"/>
      <c r="AC5057">
        <v>145</v>
      </c>
      <c r="AD5057">
        <v>246</v>
      </c>
      <c r="AE5057" s="1">
        <v>35670</v>
      </c>
      <c r="AF5057">
        <v>0</v>
      </c>
      <c r="AJ5057">
        <v>0</v>
      </c>
      <c r="AK5057">
        <v>0</v>
      </c>
      <c r="AL5057">
        <v>0</v>
      </c>
      <c r="AM5057">
        <v>0</v>
      </c>
      <c r="AN5057">
        <v>0</v>
      </c>
      <c r="AO5057">
        <v>0</v>
      </c>
      <c r="AP5057" s="2">
        <v>42746</v>
      </c>
      <c r="AQ5057" t="s">
        <v>72</v>
      </c>
      <c r="AR5057" t="s">
        <v>72</v>
      </c>
      <c r="AS5057">
        <v>352</v>
      </c>
      <c r="AT5057" s="4">
        <v>42415</v>
      </c>
      <c r="AU5057" t="s">
        <v>73</v>
      </c>
      <c r="AV5057">
        <v>352</v>
      </c>
      <c r="AW5057" s="4">
        <v>42415</v>
      </c>
      <c r="BD5057">
        <v>0</v>
      </c>
      <c r="BN5057" t="s">
        <v>74</v>
      </c>
    </row>
    <row r="5058" spans="1:66" hidden="1">
      <c r="A5058">
        <v>101934</v>
      </c>
      <c r="B5058" s="3" t="s">
        <v>539</v>
      </c>
      <c r="C5058" s="1">
        <v>43300101</v>
      </c>
      <c r="D5058" t="s">
        <v>67</v>
      </c>
      <c r="H5058" t="str">
        <f t="shared" si="542"/>
        <v>06175550638</v>
      </c>
      <c r="I5058" t="str">
        <f t="shared" si="542"/>
        <v>06175550638</v>
      </c>
      <c r="K5058" t="str">
        <f>""</f>
        <v/>
      </c>
      <c r="M5058" t="s">
        <v>68</v>
      </c>
      <c r="N5058" t="str">
        <f t="shared" si="543"/>
        <v>FOR</v>
      </c>
      <c r="O5058" t="s">
        <v>69</v>
      </c>
      <c r="P5058" s="3" t="s">
        <v>70</v>
      </c>
      <c r="Q5058">
        <v>2015</v>
      </c>
      <c r="R5058" s="2">
        <v>42093</v>
      </c>
      <c r="S5058" s="2">
        <v>42109</v>
      </c>
      <c r="T5058" s="2">
        <v>42109</v>
      </c>
      <c r="U5058" s="2">
        <v>42169</v>
      </c>
      <c r="V5058" t="s">
        <v>71</v>
      </c>
      <c r="W5058" t="str">
        <f>"                 602"</f>
        <v xml:space="preserve">                 602</v>
      </c>
      <c r="X5058">
        <v>150.80000000000001</v>
      </c>
      <c r="Y5058">
        <v>0</v>
      </c>
      <c r="Z5058"/>
      <c r="AB5058"/>
      <c r="AC5058">
        <v>145</v>
      </c>
      <c r="AD5058">
        <v>246</v>
      </c>
      <c r="AE5058" s="1">
        <v>35670</v>
      </c>
      <c r="AF5058">
        <v>0</v>
      </c>
      <c r="AJ5058">
        <v>0</v>
      </c>
      <c r="AK5058">
        <v>0</v>
      </c>
      <c r="AL5058">
        <v>0</v>
      </c>
      <c r="AM5058">
        <v>0</v>
      </c>
      <c r="AN5058">
        <v>0</v>
      </c>
      <c r="AO5058">
        <v>0</v>
      </c>
      <c r="AP5058" s="2">
        <v>42746</v>
      </c>
      <c r="AQ5058" t="s">
        <v>72</v>
      </c>
      <c r="AR5058" t="s">
        <v>72</v>
      </c>
      <c r="AS5058">
        <v>352</v>
      </c>
      <c r="AT5058" s="4">
        <v>42415</v>
      </c>
      <c r="AU5058" t="s">
        <v>73</v>
      </c>
      <c r="AV5058">
        <v>352</v>
      </c>
      <c r="AW5058" s="4">
        <v>42415</v>
      </c>
      <c r="BD5058">
        <v>0</v>
      </c>
      <c r="BN5058" t="s">
        <v>74</v>
      </c>
    </row>
    <row r="5059" spans="1:66" hidden="1">
      <c r="A5059">
        <v>101934</v>
      </c>
      <c r="B5059" s="3" t="s">
        <v>539</v>
      </c>
      <c r="C5059" s="1">
        <v>43300101</v>
      </c>
      <c r="D5059" t="s">
        <v>67</v>
      </c>
      <c r="H5059" t="str">
        <f t="shared" si="542"/>
        <v>06175550638</v>
      </c>
      <c r="I5059" t="str">
        <f t="shared" si="542"/>
        <v>06175550638</v>
      </c>
      <c r="K5059" t="str">
        <f>""</f>
        <v/>
      </c>
      <c r="M5059" t="s">
        <v>68</v>
      </c>
      <c r="N5059" t="str">
        <f t="shared" si="543"/>
        <v>FOR</v>
      </c>
      <c r="O5059" t="s">
        <v>69</v>
      </c>
      <c r="P5059" s="3" t="s">
        <v>70</v>
      </c>
      <c r="Q5059">
        <v>2015</v>
      </c>
      <c r="R5059" s="2">
        <v>42093</v>
      </c>
      <c r="S5059" s="2">
        <v>42109</v>
      </c>
      <c r="T5059" s="2">
        <v>42109</v>
      </c>
      <c r="U5059" s="2">
        <v>42169</v>
      </c>
      <c r="V5059" t="s">
        <v>71</v>
      </c>
      <c r="W5059" t="str">
        <f>"                 603"</f>
        <v xml:space="preserve">                 603</v>
      </c>
      <c r="X5059">
        <v>150.80000000000001</v>
      </c>
      <c r="Y5059">
        <v>0</v>
      </c>
      <c r="Z5059"/>
      <c r="AB5059"/>
      <c r="AC5059">
        <v>145</v>
      </c>
      <c r="AD5059">
        <v>246</v>
      </c>
      <c r="AE5059" s="1">
        <v>35670</v>
      </c>
      <c r="AF5059">
        <v>0</v>
      </c>
      <c r="AJ5059">
        <v>0</v>
      </c>
      <c r="AK5059">
        <v>0</v>
      </c>
      <c r="AL5059">
        <v>0</v>
      </c>
      <c r="AM5059">
        <v>0</v>
      </c>
      <c r="AN5059">
        <v>0</v>
      </c>
      <c r="AO5059">
        <v>0</v>
      </c>
      <c r="AP5059" s="2">
        <v>42746</v>
      </c>
      <c r="AQ5059" t="s">
        <v>72</v>
      </c>
      <c r="AR5059" t="s">
        <v>72</v>
      </c>
      <c r="AS5059">
        <v>352</v>
      </c>
      <c r="AT5059" s="4">
        <v>42415</v>
      </c>
      <c r="AU5059" t="s">
        <v>73</v>
      </c>
      <c r="AV5059">
        <v>352</v>
      </c>
      <c r="AW5059" s="4">
        <v>42415</v>
      </c>
      <c r="BD5059">
        <v>0</v>
      </c>
      <c r="BN5059" t="s">
        <v>74</v>
      </c>
    </row>
    <row r="5060" spans="1:66" hidden="1">
      <c r="A5060">
        <v>101934</v>
      </c>
      <c r="B5060" s="3" t="s">
        <v>539</v>
      </c>
      <c r="C5060" s="1">
        <v>43300101</v>
      </c>
      <c r="D5060" t="s">
        <v>67</v>
      </c>
      <c r="H5060" t="str">
        <f t="shared" si="542"/>
        <v>06175550638</v>
      </c>
      <c r="I5060" t="str">
        <f t="shared" si="542"/>
        <v>06175550638</v>
      </c>
      <c r="K5060" t="str">
        <f>""</f>
        <v/>
      </c>
      <c r="M5060" t="s">
        <v>68</v>
      </c>
      <c r="N5060" t="str">
        <f t="shared" si="543"/>
        <v>FOR</v>
      </c>
      <c r="O5060" t="s">
        <v>69</v>
      </c>
      <c r="P5060" s="3" t="s">
        <v>70</v>
      </c>
      <c r="Q5060">
        <v>2015</v>
      </c>
      <c r="R5060" s="2">
        <v>42093</v>
      </c>
      <c r="S5060" s="2">
        <v>42109</v>
      </c>
      <c r="T5060" s="2">
        <v>42109</v>
      </c>
      <c r="U5060" s="2">
        <v>42169</v>
      </c>
      <c r="V5060" t="s">
        <v>71</v>
      </c>
      <c r="W5060" t="str">
        <f>"                 604"</f>
        <v xml:space="preserve">                 604</v>
      </c>
      <c r="X5060">
        <v>150.80000000000001</v>
      </c>
      <c r="Y5060">
        <v>0</v>
      </c>
      <c r="Z5060"/>
      <c r="AB5060"/>
      <c r="AC5060">
        <v>145</v>
      </c>
      <c r="AD5060">
        <v>246</v>
      </c>
      <c r="AE5060" s="1">
        <v>35670</v>
      </c>
      <c r="AF5060">
        <v>0</v>
      </c>
      <c r="AJ5060">
        <v>0</v>
      </c>
      <c r="AK5060">
        <v>0</v>
      </c>
      <c r="AL5060">
        <v>0</v>
      </c>
      <c r="AM5060">
        <v>0</v>
      </c>
      <c r="AN5060">
        <v>0</v>
      </c>
      <c r="AO5060">
        <v>0</v>
      </c>
      <c r="AP5060" s="2">
        <v>42746</v>
      </c>
      <c r="AQ5060" t="s">
        <v>72</v>
      </c>
      <c r="AR5060" t="s">
        <v>72</v>
      </c>
      <c r="AS5060">
        <v>352</v>
      </c>
      <c r="AT5060" s="4">
        <v>42415</v>
      </c>
      <c r="AU5060" t="s">
        <v>73</v>
      </c>
      <c r="AV5060">
        <v>352</v>
      </c>
      <c r="AW5060" s="4">
        <v>42415</v>
      </c>
      <c r="BD5060">
        <v>0</v>
      </c>
      <c r="BN5060" t="s">
        <v>74</v>
      </c>
    </row>
    <row r="5061" spans="1:66" hidden="1">
      <c r="A5061">
        <v>101934</v>
      </c>
      <c r="B5061" s="3" t="s">
        <v>539</v>
      </c>
      <c r="C5061" s="1">
        <v>43300101</v>
      </c>
      <c r="D5061" t="s">
        <v>67</v>
      </c>
      <c r="H5061" t="str">
        <f t="shared" si="542"/>
        <v>06175550638</v>
      </c>
      <c r="I5061" t="str">
        <f t="shared" si="542"/>
        <v>06175550638</v>
      </c>
      <c r="K5061" t="str">
        <f>""</f>
        <v/>
      </c>
      <c r="M5061" t="s">
        <v>68</v>
      </c>
      <c r="N5061" t="str">
        <f t="shared" si="543"/>
        <v>FOR</v>
      </c>
      <c r="O5061" t="s">
        <v>69</v>
      </c>
      <c r="P5061" s="3" t="s">
        <v>70</v>
      </c>
      <c r="Q5061">
        <v>2015</v>
      </c>
      <c r="R5061" s="2">
        <v>42093</v>
      </c>
      <c r="S5061" s="2">
        <v>42109</v>
      </c>
      <c r="T5061" s="2">
        <v>42109</v>
      </c>
      <c r="U5061" s="2">
        <v>42169</v>
      </c>
      <c r="V5061" t="s">
        <v>71</v>
      </c>
      <c r="W5061" t="str">
        <f>"                 605"</f>
        <v xml:space="preserve">                 605</v>
      </c>
      <c r="X5061">
        <v>150.80000000000001</v>
      </c>
      <c r="Y5061">
        <v>0</v>
      </c>
      <c r="Z5061"/>
      <c r="AB5061"/>
      <c r="AC5061">
        <v>145</v>
      </c>
      <c r="AD5061">
        <v>246</v>
      </c>
      <c r="AE5061" s="1">
        <v>35670</v>
      </c>
      <c r="AF5061">
        <v>0</v>
      </c>
      <c r="AJ5061">
        <v>0</v>
      </c>
      <c r="AK5061">
        <v>0</v>
      </c>
      <c r="AL5061">
        <v>0</v>
      </c>
      <c r="AM5061">
        <v>0</v>
      </c>
      <c r="AN5061">
        <v>0</v>
      </c>
      <c r="AO5061">
        <v>0</v>
      </c>
      <c r="AP5061" s="2">
        <v>42746</v>
      </c>
      <c r="AQ5061" t="s">
        <v>72</v>
      </c>
      <c r="AR5061" t="s">
        <v>72</v>
      </c>
      <c r="AS5061">
        <v>352</v>
      </c>
      <c r="AT5061" s="4">
        <v>42415</v>
      </c>
      <c r="AU5061" t="s">
        <v>73</v>
      </c>
      <c r="AV5061">
        <v>352</v>
      </c>
      <c r="AW5061" s="4">
        <v>42415</v>
      </c>
      <c r="BD5061">
        <v>0</v>
      </c>
      <c r="BN5061" t="s">
        <v>74</v>
      </c>
    </row>
    <row r="5062" spans="1:66" hidden="1">
      <c r="A5062">
        <v>101934</v>
      </c>
      <c r="B5062" s="3" t="s">
        <v>539</v>
      </c>
      <c r="C5062" s="1">
        <v>43300101</v>
      </c>
      <c r="D5062" t="s">
        <v>67</v>
      </c>
      <c r="H5062" t="str">
        <f t="shared" si="542"/>
        <v>06175550638</v>
      </c>
      <c r="I5062" t="str">
        <f t="shared" si="542"/>
        <v>06175550638</v>
      </c>
      <c r="K5062" t="str">
        <f>""</f>
        <v/>
      </c>
      <c r="M5062" t="s">
        <v>68</v>
      </c>
      <c r="N5062" t="str">
        <f t="shared" si="543"/>
        <v>FOR</v>
      </c>
      <c r="O5062" t="s">
        <v>69</v>
      </c>
      <c r="P5062" s="3" t="s">
        <v>70</v>
      </c>
      <c r="Q5062">
        <v>2015</v>
      </c>
      <c r="R5062" s="2">
        <v>42093</v>
      </c>
      <c r="S5062" s="2">
        <v>42109</v>
      </c>
      <c r="T5062" s="2">
        <v>42109</v>
      </c>
      <c r="U5062" s="2">
        <v>42169</v>
      </c>
      <c r="V5062" t="s">
        <v>71</v>
      </c>
      <c r="W5062" t="str">
        <f>"                 606"</f>
        <v xml:space="preserve">                 606</v>
      </c>
      <c r="X5062">
        <v>150.80000000000001</v>
      </c>
      <c r="Y5062">
        <v>0</v>
      </c>
      <c r="Z5062"/>
      <c r="AB5062"/>
      <c r="AC5062">
        <v>145</v>
      </c>
      <c r="AD5062">
        <v>246</v>
      </c>
      <c r="AE5062" s="1">
        <v>35670</v>
      </c>
      <c r="AF5062">
        <v>0</v>
      </c>
      <c r="AJ5062">
        <v>0</v>
      </c>
      <c r="AK5062">
        <v>0</v>
      </c>
      <c r="AL5062">
        <v>0</v>
      </c>
      <c r="AM5062">
        <v>0</v>
      </c>
      <c r="AN5062">
        <v>0</v>
      </c>
      <c r="AO5062">
        <v>0</v>
      </c>
      <c r="AP5062" s="2">
        <v>42746</v>
      </c>
      <c r="AQ5062" t="s">
        <v>72</v>
      </c>
      <c r="AR5062" t="s">
        <v>72</v>
      </c>
      <c r="AS5062">
        <v>352</v>
      </c>
      <c r="AT5062" s="4">
        <v>42415</v>
      </c>
      <c r="AU5062" t="s">
        <v>73</v>
      </c>
      <c r="AV5062">
        <v>352</v>
      </c>
      <c r="AW5062" s="4">
        <v>42415</v>
      </c>
      <c r="BD5062">
        <v>0</v>
      </c>
      <c r="BN5062" t="s">
        <v>74</v>
      </c>
    </row>
    <row r="5063" spans="1:66" hidden="1">
      <c r="A5063">
        <v>101934</v>
      </c>
      <c r="B5063" s="3" t="s">
        <v>539</v>
      </c>
      <c r="C5063" s="1">
        <v>43300101</v>
      </c>
      <c r="D5063" t="s">
        <v>67</v>
      </c>
      <c r="H5063" t="str">
        <f t="shared" si="542"/>
        <v>06175550638</v>
      </c>
      <c r="I5063" t="str">
        <f t="shared" si="542"/>
        <v>06175550638</v>
      </c>
      <c r="K5063" t="str">
        <f>""</f>
        <v/>
      </c>
      <c r="M5063" t="s">
        <v>68</v>
      </c>
      <c r="N5063" t="str">
        <f t="shared" si="543"/>
        <v>FOR</v>
      </c>
      <c r="O5063" t="s">
        <v>69</v>
      </c>
      <c r="P5063" s="3" t="s">
        <v>70</v>
      </c>
      <c r="Q5063">
        <v>2015</v>
      </c>
      <c r="R5063" s="2">
        <v>42093</v>
      </c>
      <c r="S5063" s="2">
        <v>42109</v>
      </c>
      <c r="T5063" s="2">
        <v>42109</v>
      </c>
      <c r="U5063" s="2">
        <v>42169</v>
      </c>
      <c r="V5063" t="s">
        <v>71</v>
      </c>
      <c r="W5063" t="str">
        <f>"                 607"</f>
        <v xml:space="preserve">                 607</v>
      </c>
      <c r="X5063">
        <v>150.80000000000001</v>
      </c>
      <c r="Y5063">
        <v>0</v>
      </c>
      <c r="Z5063"/>
      <c r="AB5063"/>
      <c r="AC5063">
        <v>145</v>
      </c>
      <c r="AD5063">
        <v>246</v>
      </c>
      <c r="AE5063" s="1">
        <v>35670</v>
      </c>
      <c r="AF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 s="2">
        <v>42746</v>
      </c>
      <c r="AQ5063" t="s">
        <v>72</v>
      </c>
      <c r="AR5063" t="s">
        <v>72</v>
      </c>
      <c r="AS5063">
        <v>352</v>
      </c>
      <c r="AT5063" s="4">
        <v>42415</v>
      </c>
      <c r="AU5063" t="s">
        <v>73</v>
      </c>
      <c r="AV5063">
        <v>352</v>
      </c>
      <c r="AW5063" s="4">
        <v>42415</v>
      </c>
      <c r="BD5063">
        <v>0</v>
      </c>
      <c r="BN5063" t="s">
        <v>74</v>
      </c>
    </row>
    <row r="5064" spans="1:66" hidden="1">
      <c r="A5064">
        <v>101934</v>
      </c>
      <c r="B5064" s="3" t="s">
        <v>539</v>
      </c>
      <c r="C5064" s="1">
        <v>43300101</v>
      </c>
      <c r="D5064" t="s">
        <v>67</v>
      </c>
      <c r="H5064" t="str">
        <f t="shared" si="542"/>
        <v>06175550638</v>
      </c>
      <c r="I5064" t="str">
        <f t="shared" si="542"/>
        <v>06175550638</v>
      </c>
      <c r="K5064" t="str">
        <f>""</f>
        <v/>
      </c>
      <c r="M5064" t="s">
        <v>68</v>
      </c>
      <c r="N5064" t="str">
        <f t="shared" si="543"/>
        <v>FOR</v>
      </c>
      <c r="O5064" t="s">
        <v>69</v>
      </c>
      <c r="P5064" s="3" t="s">
        <v>70</v>
      </c>
      <c r="Q5064">
        <v>2015</v>
      </c>
      <c r="R5064" s="2">
        <v>42093</v>
      </c>
      <c r="S5064" s="2">
        <v>42109</v>
      </c>
      <c r="T5064" s="2">
        <v>42109</v>
      </c>
      <c r="U5064" s="2">
        <v>42169</v>
      </c>
      <c r="V5064" t="s">
        <v>71</v>
      </c>
      <c r="W5064" t="str">
        <f>"                 608"</f>
        <v xml:space="preserve">                 608</v>
      </c>
      <c r="X5064">
        <v>150.80000000000001</v>
      </c>
      <c r="Y5064">
        <v>0</v>
      </c>
      <c r="Z5064"/>
      <c r="AB5064"/>
      <c r="AC5064">
        <v>145</v>
      </c>
      <c r="AD5064">
        <v>246</v>
      </c>
      <c r="AE5064" s="1">
        <v>35670</v>
      </c>
      <c r="AF5064">
        <v>0</v>
      </c>
      <c r="AJ5064">
        <v>0</v>
      </c>
      <c r="AK5064">
        <v>0</v>
      </c>
      <c r="AL5064">
        <v>0</v>
      </c>
      <c r="AM5064">
        <v>0</v>
      </c>
      <c r="AN5064">
        <v>0</v>
      </c>
      <c r="AO5064">
        <v>0</v>
      </c>
      <c r="AP5064" s="2">
        <v>42746</v>
      </c>
      <c r="AQ5064" t="s">
        <v>72</v>
      </c>
      <c r="AR5064" t="s">
        <v>72</v>
      </c>
      <c r="AS5064">
        <v>352</v>
      </c>
      <c r="AT5064" s="4">
        <v>42415</v>
      </c>
      <c r="AU5064" t="s">
        <v>73</v>
      </c>
      <c r="AV5064">
        <v>352</v>
      </c>
      <c r="AW5064" s="4">
        <v>42415</v>
      </c>
      <c r="BD5064">
        <v>0</v>
      </c>
      <c r="BN5064" t="s">
        <v>74</v>
      </c>
    </row>
    <row r="5065" spans="1:66" hidden="1">
      <c r="A5065">
        <v>101934</v>
      </c>
      <c r="B5065" s="3" t="s">
        <v>539</v>
      </c>
      <c r="C5065" s="1">
        <v>43300101</v>
      </c>
      <c r="D5065" t="s">
        <v>67</v>
      </c>
      <c r="H5065" t="str">
        <f t="shared" si="542"/>
        <v>06175550638</v>
      </c>
      <c r="I5065" t="str">
        <f t="shared" si="542"/>
        <v>06175550638</v>
      </c>
      <c r="K5065" t="str">
        <f>""</f>
        <v/>
      </c>
      <c r="M5065" t="s">
        <v>68</v>
      </c>
      <c r="N5065" t="str">
        <f t="shared" si="543"/>
        <v>FOR</v>
      </c>
      <c r="O5065" t="s">
        <v>69</v>
      </c>
      <c r="P5065" s="3" t="s">
        <v>70</v>
      </c>
      <c r="Q5065">
        <v>2015</v>
      </c>
      <c r="R5065" s="2">
        <v>42093</v>
      </c>
      <c r="S5065" s="2">
        <v>42109</v>
      </c>
      <c r="T5065" s="2">
        <v>42109</v>
      </c>
      <c r="U5065" s="2">
        <v>42169</v>
      </c>
      <c r="V5065" t="s">
        <v>71</v>
      </c>
      <c r="W5065" t="str">
        <f>"                 609"</f>
        <v xml:space="preserve">                 609</v>
      </c>
      <c r="X5065">
        <v>150.80000000000001</v>
      </c>
      <c r="Y5065">
        <v>0</v>
      </c>
      <c r="Z5065"/>
      <c r="AB5065"/>
      <c r="AC5065">
        <v>145</v>
      </c>
      <c r="AD5065">
        <v>246</v>
      </c>
      <c r="AE5065" s="1">
        <v>35670</v>
      </c>
      <c r="AF5065">
        <v>0</v>
      </c>
      <c r="AJ5065">
        <v>0</v>
      </c>
      <c r="AK5065">
        <v>0</v>
      </c>
      <c r="AL5065">
        <v>0</v>
      </c>
      <c r="AM5065">
        <v>0</v>
      </c>
      <c r="AN5065">
        <v>0</v>
      </c>
      <c r="AO5065">
        <v>0</v>
      </c>
      <c r="AP5065" s="2">
        <v>42746</v>
      </c>
      <c r="AQ5065" t="s">
        <v>72</v>
      </c>
      <c r="AR5065" t="s">
        <v>72</v>
      </c>
      <c r="AS5065">
        <v>352</v>
      </c>
      <c r="AT5065" s="4">
        <v>42415</v>
      </c>
      <c r="AU5065" t="s">
        <v>73</v>
      </c>
      <c r="AV5065">
        <v>352</v>
      </c>
      <c r="AW5065" s="4">
        <v>42415</v>
      </c>
      <c r="BD5065">
        <v>0</v>
      </c>
      <c r="BN5065" t="s">
        <v>74</v>
      </c>
    </row>
    <row r="5066" spans="1:66" hidden="1">
      <c r="A5066">
        <v>101934</v>
      </c>
      <c r="B5066" s="3" t="s">
        <v>539</v>
      </c>
      <c r="C5066" s="1">
        <v>43300101</v>
      </c>
      <c r="D5066" t="s">
        <v>67</v>
      </c>
      <c r="H5066" t="str">
        <f t="shared" si="542"/>
        <v>06175550638</v>
      </c>
      <c r="I5066" t="str">
        <f t="shared" si="542"/>
        <v>06175550638</v>
      </c>
      <c r="K5066" t="str">
        <f>""</f>
        <v/>
      </c>
      <c r="M5066" t="s">
        <v>68</v>
      </c>
      <c r="N5066" t="str">
        <f t="shared" si="543"/>
        <v>FOR</v>
      </c>
      <c r="O5066" t="s">
        <v>69</v>
      </c>
      <c r="P5066" s="3" t="s">
        <v>70</v>
      </c>
      <c r="Q5066">
        <v>2015</v>
      </c>
      <c r="R5066" s="2">
        <v>42093</v>
      </c>
      <c r="S5066" s="2">
        <v>42109</v>
      </c>
      <c r="T5066" s="2">
        <v>42109</v>
      </c>
      <c r="U5066" s="2">
        <v>42169</v>
      </c>
      <c r="V5066" t="s">
        <v>71</v>
      </c>
      <c r="W5066" t="str">
        <f>"                 610"</f>
        <v xml:space="preserve">                 610</v>
      </c>
      <c r="X5066">
        <v>150.80000000000001</v>
      </c>
      <c r="Y5066">
        <v>0</v>
      </c>
      <c r="Z5066"/>
      <c r="AB5066"/>
      <c r="AC5066">
        <v>145</v>
      </c>
      <c r="AD5066">
        <v>246</v>
      </c>
      <c r="AE5066" s="1">
        <v>35670</v>
      </c>
      <c r="AF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 s="2">
        <v>42746</v>
      </c>
      <c r="AQ5066" t="s">
        <v>72</v>
      </c>
      <c r="AR5066" t="s">
        <v>72</v>
      </c>
      <c r="AS5066">
        <v>352</v>
      </c>
      <c r="AT5066" s="4">
        <v>42415</v>
      </c>
      <c r="AU5066" t="s">
        <v>73</v>
      </c>
      <c r="AV5066">
        <v>352</v>
      </c>
      <c r="AW5066" s="4">
        <v>42415</v>
      </c>
      <c r="BD5066">
        <v>0</v>
      </c>
      <c r="BN5066" t="s">
        <v>74</v>
      </c>
    </row>
    <row r="5067" spans="1:66" hidden="1">
      <c r="A5067">
        <v>101934</v>
      </c>
      <c r="B5067" s="3" t="s">
        <v>539</v>
      </c>
      <c r="C5067" s="1">
        <v>43300101</v>
      </c>
      <c r="D5067" t="s">
        <v>67</v>
      </c>
      <c r="H5067" t="str">
        <f t="shared" si="542"/>
        <v>06175550638</v>
      </c>
      <c r="I5067" t="str">
        <f t="shared" si="542"/>
        <v>06175550638</v>
      </c>
      <c r="K5067" t="str">
        <f>""</f>
        <v/>
      </c>
      <c r="M5067" t="s">
        <v>68</v>
      </c>
      <c r="N5067" t="str">
        <f t="shared" si="543"/>
        <v>FOR</v>
      </c>
      <c r="O5067" t="s">
        <v>69</v>
      </c>
      <c r="P5067" s="3" t="s">
        <v>70</v>
      </c>
      <c r="Q5067">
        <v>2015</v>
      </c>
      <c r="R5067" s="2">
        <v>42093</v>
      </c>
      <c r="S5067" s="2">
        <v>42110</v>
      </c>
      <c r="T5067" s="2">
        <v>42110</v>
      </c>
      <c r="U5067" s="2">
        <v>42170</v>
      </c>
      <c r="V5067" t="s">
        <v>71</v>
      </c>
      <c r="W5067" t="str">
        <f>"                 611"</f>
        <v xml:space="preserve">                 611</v>
      </c>
      <c r="X5067">
        <v>150.80000000000001</v>
      </c>
      <c r="Y5067">
        <v>0</v>
      </c>
      <c r="Z5067"/>
      <c r="AB5067"/>
      <c r="AC5067">
        <v>145</v>
      </c>
      <c r="AD5067">
        <v>245</v>
      </c>
      <c r="AE5067" s="1">
        <v>35525</v>
      </c>
      <c r="AF5067">
        <v>0</v>
      </c>
      <c r="AJ5067">
        <v>0</v>
      </c>
      <c r="AK5067">
        <v>0</v>
      </c>
      <c r="AL5067">
        <v>0</v>
      </c>
      <c r="AM5067">
        <v>0</v>
      </c>
      <c r="AN5067">
        <v>0</v>
      </c>
      <c r="AO5067">
        <v>0</v>
      </c>
      <c r="AP5067" s="2">
        <v>42746</v>
      </c>
      <c r="AQ5067" t="s">
        <v>72</v>
      </c>
      <c r="AR5067" t="s">
        <v>72</v>
      </c>
      <c r="AS5067">
        <v>352</v>
      </c>
      <c r="AT5067" s="4">
        <v>42415</v>
      </c>
      <c r="AU5067" t="s">
        <v>73</v>
      </c>
      <c r="AV5067">
        <v>352</v>
      </c>
      <c r="AW5067" s="4">
        <v>42415</v>
      </c>
      <c r="BD5067">
        <v>0</v>
      </c>
      <c r="BN5067" t="s">
        <v>74</v>
      </c>
    </row>
    <row r="5068" spans="1:66" hidden="1">
      <c r="A5068">
        <v>101934</v>
      </c>
      <c r="B5068" s="3" t="s">
        <v>539</v>
      </c>
      <c r="C5068" s="1">
        <v>43300101</v>
      </c>
      <c r="D5068" t="s">
        <v>67</v>
      </c>
      <c r="H5068" t="str">
        <f t="shared" si="542"/>
        <v>06175550638</v>
      </c>
      <c r="I5068" t="str">
        <f t="shared" si="542"/>
        <v>06175550638</v>
      </c>
      <c r="K5068" t="str">
        <f>""</f>
        <v/>
      </c>
      <c r="M5068" t="s">
        <v>68</v>
      </c>
      <c r="N5068" t="str">
        <f t="shared" si="543"/>
        <v>FOR</v>
      </c>
      <c r="O5068" t="s">
        <v>69</v>
      </c>
      <c r="P5068" s="3" t="s">
        <v>70</v>
      </c>
      <c r="Q5068">
        <v>2015</v>
      </c>
      <c r="R5068" s="2">
        <v>42093</v>
      </c>
      <c r="S5068" s="2">
        <v>42110</v>
      </c>
      <c r="T5068" s="2">
        <v>42110</v>
      </c>
      <c r="U5068" s="2">
        <v>42170</v>
      </c>
      <c r="V5068" t="s">
        <v>71</v>
      </c>
      <c r="W5068" t="str">
        <f>"                 612"</f>
        <v xml:space="preserve">                 612</v>
      </c>
      <c r="X5068">
        <v>150.80000000000001</v>
      </c>
      <c r="Y5068">
        <v>0</v>
      </c>
      <c r="Z5068"/>
      <c r="AB5068"/>
      <c r="AC5068">
        <v>145</v>
      </c>
      <c r="AD5068">
        <v>245</v>
      </c>
      <c r="AE5068" s="1">
        <v>35525</v>
      </c>
      <c r="AF5068">
        <v>0</v>
      </c>
      <c r="AJ5068">
        <v>0</v>
      </c>
      <c r="AK5068">
        <v>0</v>
      </c>
      <c r="AL5068">
        <v>0</v>
      </c>
      <c r="AM5068">
        <v>0</v>
      </c>
      <c r="AN5068">
        <v>0</v>
      </c>
      <c r="AO5068">
        <v>0</v>
      </c>
      <c r="AP5068" s="2">
        <v>42746</v>
      </c>
      <c r="AQ5068" t="s">
        <v>72</v>
      </c>
      <c r="AR5068" t="s">
        <v>72</v>
      </c>
      <c r="AS5068">
        <v>352</v>
      </c>
      <c r="AT5068" s="4">
        <v>42415</v>
      </c>
      <c r="AU5068" t="s">
        <v>73</v>
      </c>
      <c r="AV5068">
        <v>352</v>
      </c>
      <c r="AW5068" s="4">
        <v>42415</v>
      </c>
      <c r="BD5068">
        <v>0</v>
      </c>
      <c r="BN5068" t="s">
        <v>74</v>
      </c>
    </row>
    <row r="5069" spans="1:66" hidden="1">
      <c r="A5069">
        <v>101934</v>
      </c>
      <c r="B5069" s="3" t="s">
        <v>539</v>
      </c>
      <c r="C5069" s="1">
        <v>43300101</v>
      </c>
      <c r="D5069" t="s">
        <v>67</v>
      </c>
      <c r="H5069" t="str">
        <f t="shared" si="542"/>
        <v>06175550638</v>
      </c>
      <c r="I5069" t="str">
        <f t="shared" si="542"/>
        <v>06175550638</v>
      </c>
      <c r="K5069" t="str">
        <f>""</f>
        <v/>
      </c>
      <c r="M5069" t="s">
        <v>68</v>
      </c>
      <c r="N5069" t="str">
        <f t="shared" si="543"/>
        <v>FOR</v>
      </c>
      <c r="O5069" t="s">
        <v>69</v>
      </c>
      <c r="P5069" s="3" t="s">
        <v>70</v>
      </c>
      <c r="Q5069">
        <v>2015</v>
      </c>
      <c r="R5069" s="2">
        <v>42093</v>
      </c>
      <c r="S5069" s="2">
        <v>42110</v>
      </c>
      <c r="T5069" s="2">
        <v>42110</v>
      </c>
      <c r="U5069" s="2">
        <v>42170</v>
      </c>
      <c r="V5069" t="s">
        <v>71</v>
      </c>
      <c r="W5069" t="str">
        <f>"                 613"</f>
        <v xml:space="preserve">                 613</v>
      </c>
      <c r="X5069">
        <v>150.80000000000001</v>
      </c>
      <c r="Y5069">
        <v>0</v>
      </c>
      <c r="Z5069"/>
      <c r="AB5069"/>
      <c r="AC5069">
        <v>145</v>
      </c>
      <c r="AD5069">
        <v>245</v>
      </c>
      <c r="AE5069" s="1">
        <v>35525</v>
      </c>
      <c r="AF5069">
        <v>0</v>
      </c>
      <c r="AJ5069">
        <v>0</v>
      </c>
      <c r="AK5069">
        <v>0</v>
      </c>
      <c r="AL5069">
        <v>0</v>
      </c>
      <c r="AM5069">
        <v>0</v>
      </c>
      <c r="AN5069">
        <v>0</v>
      </c>
      <c r="AO5069">
        <v>0</v>
      </c>
      <c r="AP5069" s="2">
        <v>42746</v>
      </c>
      <c r="AQ5069" t="s">
        <v>72</v>
      </c>
      <c r="AR5069" t="s">
        <v>72</v>
      </c>
      <c r="AS5069">
        <v>352</v>
      </c>
      <c r="AT5069" s="4">
        <v>42415</v>
      </c>
      <c r="AU5069" t="s">
        <v>73</v>
      </c>
      <c r="AV5069">
        <v>352</v>
      </c>
      <c r="AW5069" s="4">
        <v>42415</v>
      </c>
      <c r="BD5069">
        <v>0</v>
      </c>
      <c r="BN5069" t="s">
        <v>74</v>
      </c>
    </row>
    <row r="5070" spans="1:66" hidden="1">
      <c r="A5070">
        <v>101934</v>
      </c>
      <c r="B5070" s="3" t="s">
        <v>539</v>
      </c>
      <c r="C5070" s="1">
        <v>43300101</v>
      </c>
      <c r="D5070" t="s">
        <v>67</v>
      </c>
      <c r="H5070" t="str">
        <f t="shared" si="542"/>
        <v>06175550638</v>
      </c>
      <c r="I5070" t="str">
        <f t="shared" si="542"/>
        <v>06175550638</v>
      </c>
      <c r="K5070" t="str">
        <f>""</f>
        <v/>
      </c>
      <c r="M5070" t="s">
        <v>68</v>
      </c>
      <c r="N5070" t="str">
        <f t="shared" si="543"/>
        <v>FOR</v>
      </c>
      <c r="O5070" t="s">
        <v>69</v>
      </c>
      <c r="P5070" s="3" t="s">
        <v>70</v>
      </c>
      <c r="Q5070">
        <v>2015</v>
      </c>
      <c r="R5070" s="2">
        <v>42093</v>
      </c>
      <c r="S5070" s="2">
        <v>42110</v>
      </c>
      <c r="T5070" s="2">
        <v>42110</v>
      </c>
      <c r="U5070" s="2">
        <v>42170</v>
      </c>
      <c r="V5070" t="s">
        <v>71</v>
      </c>
      <c r="W5070" t="str">
        <f>"                 614"</f>
        <v xml:space="preserve">                 614</v>
      </c>
      <c r="X5070">
        <v>150.80000000000001</v>
      </c>
      <c r="Y5070">
        <v>0</v>
      </c>
      <c r="Z5070"/>
      <c r="AB5070"/>
      <c r="AC5070">
        <v>145</v>
      </c>
      <c r="AD5070">
        <v>245</v>
      </c>
      <c r="AE5070" s="1">
        <v>35525</v>
      </c>
      <c r="AF5070">
        <v>0</v>
      </c>
      <c r="AJ5070">
        <v>0</v>
      </c>
      <c r="AK5070">
        <v>0</v>
      </c>
      <c r="AL5070">
        <v>0</v>
      </c>
      <c r="AM5070">
        <v>0</v>
      </c>
      <c r="AN5070">
        <v>0</v>
      </c>
      <c r="AO5070">
        <v>0</v>
      </c>
      <c r="AP5070" s="2">
        <v>42746</v>
      </c>
      <c r="AQ5070" t="s">
        <v>72</v>
      </c>
      <c r="AR5070" t="s">
        <v>72</v>
      </c>
      <c r="AS5070">
        <v>352</v>
      </c>
      <c r="AT5070" s="4">
        <v>42415</v>
      </c>
      <c r="AU5070" t="s">
        <v>73</v>
      </c>
      <c r="AV5070">
        <v>352</v>
      </c>
      <c r="AW5070" s="4">
        <v>42415</v>
      </c>
      <c r="BD5070">
        <v>0</v>
      </c>
      <c r="BN5070" t="s">
        <v>74</v>
      </c>
    </row>
    <row r="5071" spans="1:66" hidden="1">
      <c r="A5071">
        <v>101934</v>
      </c>
      <c r="B5071" s="3" t="s">
        <v>539</v>
      </c>
      <c r="C5071" s="1">
        <v>43300101</v>
      </c>
      <c r="D5071" t="s">
        <v>67</v>
      </c>
      <c r="H5071" t="str">
        <f t="shared" si="542"/>
        <v>06175550638</v>
      </c>
      <c r="I5071" t="str">
        <f t="shared" si="542"/>
        <v>06175550638</v>
      </c>
      <c r="K5071" t="str">
        <f>""</f>
        <v/>
      </c>
      <c r="M5071" t="s">
        <v>68</v>
      </c>
      <c r="N5071" t="str">
        <f t="shared" si="543"/>
        <v>FOR</v>
      </c>
      <c r="O5071" t="s">
        <v>69</v>
      </c>
      <c r="P5071" s="3" t="s">
        <v>70</v>
      </c>
      <c r="Q5071">
        <v>2015</v>
      </c>
      <c r="R5071" s="2">
        <v>42093</v>
      </c>
      <c r="S5071" s="2">
        <v>42110</v>
      </c>
      <c r="T5071" s="2">
        <v>42110</v>
      </c>
      <c r="U5071" s="2">
        <v>42170</v>
      </c>
      <c r="V5071" t="s">
        <v>71</v>
      </c>
      <c r="W5071" t="str">
        <f>"                 615"</f>
        <v xml:space="preserve">                 615</v>
      </c>
      <c r="X5071">
        <v>150.80000000000001</v>
      </c>
      <c r="Y5071">
        <v>0</v>
      </c>
      <c r="Z5071"/>
      <c r="AB5071"/>
      <c r="AC5071">
        <v>145</v>
      </c>
      <c r="AD5071">
        <v>245</v>
      </c>
      <c r="AE5071" s="1">
        <v>35525</v>
      </c>
      <c r="AF5071">
        <v>0</v>
      </c>
      <c r="AJ5071">
        <v>0</v>
      </c>
      <c r="AK5071">
        <v>0</v>
      </c>
      <c r="AL5071">
        <v>0</v>
      </c>
      <c r="AM5071">
        <v>0</v>
      </c>
      <c r="AN5071">
        <v>0</v>
      </c>
      <c r="AO5071">
        <v>0</v>
      </c>
      <c r="AP5071" s="2">
        <v>42746</v>
      </c>
      <c r="AQ5071" t="s">
        <v>72</v>
      </c>
      <c r="AR5071" t="s">
        <v>72</v>
      </c>
      <c r="AS5071">
        <v>352</v>
      </c>
      <c r="AT5071" s="4">
        <v>42415</v>
      </c>
      <c r="AU5071" t="s">
        <v>73</v>
      </c>
      <c r="AV5071">
        <v>352</v>
      </c>
      <c r="AW5071" s="4">
        <v>42415</v>
      </c>
      <c r="BD5071">
        <v>0</v>
      </c>
      <c r="BN5071" t="s">
        <v>74</v>
      </c>
    </row>
    <row r="5072" spans="1:66" hidden="1">
      <c r="A5072">
        <v>101934</v>
      </c>
      <c r="B5072" s="3" t="s">
        <v>539</v>
      </c>
      <c r="C5072" s="1">
        <v>43300101</v>
      </c>
      <c r="D5072" t="s">
        <v>67</v>
      </c>
      <c r="H5072" t="str">
        <f t="shared" si="542"/>
        <v>06175550638</v>
      </c>
      <c r="I5072" t="str">
        <f t="shared" si="542"/>
        <v>06175550638</v>
      </c>
      <c r="K5072" t="str">
        <f>""</f>
        <v/>
      </c>
      <c r="M5072" t="s">
        <v>68</v>
      </c>
      <c r="N5072" t="str">
        <f t="shared" si="543"/>
        <v>FOR</v>
      </c>
      <c r="O5072" t="s">
        <v>69</v>
      </c>
      <c r="P5072" s="3" t="s">
        <v>70</v>
      </c>
      <c r="Q5072">
        <v>2015</v>
      </c>
      <c r="R5072" s="2">
        <v>42093</v>
      </c>
      <c r="S5072" s="2">
        <v>42110</v>
      </c>
      <c r="T5072" s="2">
        <v>42110</v>
      </c>
      <c r="U5072" s="2">
        <v>42170</v>
      </c>
      <c r="V5072" t="s">
        <v>71</v>
      </c>
      <c r="W5072" t="str">
        <f>"                 616"</f>
        <v xml:space="preserve">                 616</v>
      </c>
      <c r="X5072">
        <v>150.80000000000001</v>
      </c>
      <c r="Y5072">
        <v>0</v>
      </c>
      <c r="Z5072"/>
      <c r="AB5072"/>
      <c r="AC5072">
        <v>145</v>
      </c>
      <c r="AD5072">
        <v>245</v>
      </c>
      <c r="AE5072" s="1">
        <v>35525</v>
      </c>
      <c r="AF5072">
        <v>0</v>
      </c>
      <c r="AJ5072">
        <v>0</v>
      </c>
      <c r="AK5072">
        <v>0</v>
      </c>
      <c r="AL5072">
        <v>0</v>
      </c>
      <c r="AM5072">
        <v>0</v>
      </c>
      <c r="AN5072">
        <v>0</v>
      </c>
      <c r="AO5072">
        <v>0</v>
      </c>
      <c r="AP5072" s="2">
        <v>42746</v>
      </c>
      <c r="AQ5072" t="s">
        <v>72</v>
      </c>
      <c r="AR5072" t="s">
        <v>72</v>
      </c>
      <c r="AS5072">
        <v>352</v>
      </c>
      <c r="AT5072" s="4">
        <v>42415</v>
      </c>
      <c r="AU5072" t="s">
        <v>73</v>
      </c>
      <c r="AV5072">
        <v>352</v>
      </c>
      <c r="AW5072" s="4">
        <v>42415</v>
      </c>
      <c r="BD5072">
        <v>0</v>
      </c>
      <c r="BN5072" t="s">
        <v>74</v>
      </c>
    </row>
    <row r="5073" spans="1:66" hidden="1">
      <c r="A5073">
        <v>101934</v>
      </c>
      <c r="B5073" s="3" t="s">
        <v>539</v>
      </c>
      <c r="C5073" s="1">
        <v>43300101</v>
      </c>
      <c r="D5073" t="s">
        <v>67</v>
      </c>
      <c r="H5073" t="str">
        <f t="shared" ref="H5073:I5092" si="544">"06175550638"</f>
        <v>06175550638</v>
      </c>
      <c r="I5073" t="str">
        <f t="shared" si="544"/>
        <v>06175550638</v>
      </c>
      <c r="K5073" t="str">
        <f>""</f>
        <v/>
      </c>
      <c r="M5073" t="s">
        <v>68</v>
      </c>
      <c r="N5073" t="str">
        <f t="shared" si="543"/>
        <v>FOR</v>
      </c>
      <c r="O5073" t="s">
        <v>69</v>
      </c>
      <c r="P5073" s="3" t="s">
        <v>70</v>
      </c>
      <c r="Q5073">
        <v>2015</v>
      </c>
      <c r="R5073" s="2">
        <v>42093</v>
      </c>
      <c r="S5073" s="2">
        <v>42110</v>
      </c>
      <c r="T5073" s="2">
        <v>42110</v>
      </c>
      <c r="U5073" s="2">
        <v>42170</v>
      </c>
      <c r="V5073" t="s">
        <v>71</v>
      </c>
      <c r="W5073" t="str">
        <f>"                 617"</f>
        <v xml:space="preserve">                 617</v>
      </c>
      <c r="X5073">
        <v>150.80000000000001</v>
      </c>
      <c r="Y5073">
        <v>0</v>
      </c>
      <c r="Z5073"/>
      <c r="AB5073"/>
      <c r="AC5073">
        <v>145</v>
      </c>
      <c r="AD5073">
        <v>245</v>
      </c>
      <c r="AE5073" s="1">
        <v>35525</v>
      </c>
      <c r="AF5073">
        <v>0</v>
      </c>
      <c r="AJ5073">
        <v>0</v>
      </c>
      <c r="AK5073">
        <v>0</v>
      </c>
      <c r="AL5073">
        <v>0</v>
      </c>
      <c r="AM5073">
        <v>0</v>
      </c>
      <c r="AN5073">
        <v>0</v>
      </c>
      <c r="AO5073">
        <v>0</v>
      </c>
      <c r="AP5073" s="2">
        <v>42746</v>
      </c>
      <c r="AQ5073" t="s">
        <v>72</v>
      </c>
      <c r="AR5073" t="s">
        <v>72</v>
      </c>
      <c r="AS5073">
        <v>352</v>
      </c>
      <c r="AT5073" s="4">
        <v>42415</v>
      </c>
      <c r="AU5073" t="s">
        <v>73</v>
      </c>
      <c r="AV5073">
        <v>352</v>
      </c>
      <c r="AW5073" s="4">
        <v>42415</v>
      </c>
      <c r="BD5073">
        <v>0</v>
      </c>
      <c r="BN5073" t="s">
        <v>74</v>
      </c>
    </row>
    <row r="5074" spans="1:66" hidden="1">
      <c r="A5074">
        <v>101934</v>
      </c>
      <c r="B5074" s="3" t="s">
        <v>539</v>
      </c>
      <c r="C5074" s="1">
        <v>43300101</v>
      </c>
      <c r="D5074" t="s">
        <v>67</v>
      </c>
      <c r="H5074" t="str">
        <f t="shared" si="544"/>
        <v>06175550638</v>
      </c>
      <c r="I5074" t="str">
        <f t="shared" si="544"/>
        <v>06175550638</v>
      </c>
      <c r="K5074" t="str">
        <f>""</f>
        <v/>
      </c>
      <c r="M5074" t="s">
        <v>68</v>
      </c>
      <c r="N5074" t="str">
        <f t="shared" si="543"/>
        <v>FOR</v>
      </c>
      <c r="O5074" t="s">
        <v>69</v>
      </c>
      <c r="P5074" s="3" t="s">
        <v>70</v>
      </c>
      <c r="Q5074">
        <v>2015</v>
      </c>
      <c r="R5074" s="2">
        <v>42093</v>
      </c>
      <c r="S5074" s="2">
        <v>42110</v>
      </c>
      <c r="T5074" s="2">
        <v>42110</v>
      </c>
      <c r="U5074" s="2">
        <v>42170</v>
      </c>
      <c r="V5074" t="s">
        <v>71</v>
      </c>
      <c r="W5074" t="str">
        <f>"                 618"</f>
        <v xml:space="preserve">                 618</v>
      </c>
      <c r="X5074">
        <v>150.80000000000001</v>
      </c>
      <c r="Y5074">
        <v>0</v>
      </c>
      <c r="Z5074"/>
      <c r="AB5074"/>
      <c r="AC5074">
        <v>145</v>
      </c>
      <c r="AD5074">
        <v>245</v>
      </c>
      <c r="AE5074" s="1">
        <v>35525</v>
      </c>
      <c r="AF5074">
        <v>0</v>
      </c>
      <c r="AJ5074">
        <v>0</v>
      </c>
      <c r="AK5074">
        <v>0</v>
      </c>
      <c r="AL5074">
        <v>0</v>
      </c>
      <c r="AM5074">
        <v>0</v>
      </c>
      <c r="AN5074">
        <v>0</v>
      </c>
      <c r="AO5074">
        <v>0</v>
      </c>
      <c r="AP5074" s="2">
        <v>42746</v>
      </c>
      <c r="AQ5074" t="s">
        <v>72</v>
      </c>
      <c r="AR5074" t="s">
        <v>72</v>
      </c>
      <c r="AS5074">
        <v>352</v>
      </c>
      <c r="AT5074" s="4">
        <v>42415</v>
      </c>
      <c r="AU5074" t="s">
        <v>73</v>
      </c>
      <c r="AV5074">
        <v>352</v>
      </c>
      <c r="AW5074" s="4">
        <v>42415</v>
      </c>
      <c r="BD5074">
        <v>0</v>
      </c>
      <c r="BN5074" t="s">
        <v>74</v>
      </c>
    </row>
    <row r="5075" spans="1:66" hidden="1">
      <c r="A5075">
        <v>101934</v>
      </c>
      <c r="B5075" s="3" t="s">
        <v>539</v>
      </c>
      <c r="C5075" s="1">
        <v>43300101</v>
      </c>
      <c r="D5075" t="s">
        <v>67</v>
      </c>
      <c r="H5075" t="str">
        <f t="shared" si="544"/>
        <v>06175550638</v>
      </c>
      <c r="I5075" t="str">
        <f t="shared" si="544"/>
        <v>06175550638</v>
      </c>
      <c r="K5075" t="str">
        <f>""</f>
        <v/>
      </c>
      <c r="M5075" t="s">
        <v>68</v>
      </c>
      <c r="N5075" t="str">
        <f t="shared" si="543"/>
        <v>FOR</v>
      </c>
      <c r="O5075" t="s">
        <v>69</v>
      </c>
      <c r="P5075" s="3" t="s">
        <v>70</v>
      </c>
      <c r="Q5075">
        <v>2015</v>
      </c>
      <c r="R5075" s="2">
        <v>42093</v>
      </c>
      <c r="S5075" s="2">
        <v>42110</v>
      </c>
      <c r="T5075" s="2">
        <v>42110</v>
      </c>
      <c r="U5075" s="2">
        <v>42170</v>
      </c>
      <c r="V5075" t="s">
        <v>71</v>
      </c>
      <c r="W5075" t="str">
        <f>"                 628"</f>
        <v xml:space="preserve">                 628</v>
      </c>
      <c r="X5075">
        <v>150.80000000000001</v>
      </c>
      <c r="Y5075">
        <v>0</v>
      </c>
      <c r="Z5075"/>
      <c r="AB5075"/>
      <c r="AC5075">
        <v>145</v>
      </c>
      <c r="AD5075">
        <v>245</v>
      </c>
      <c r="AE5075" s="1">
        <v>35525</v>
      </c>
      <c r="AF5075">
        <v>0</v>
      </c>
      <c r="AJ5075">
        <v>0</v>
      </c>
      <c r="AK5075">
        <v>0</v>
      </c>
      <c r="AL5075">
        <v>0</v>
      </c>
      <c r="AM5075">
        <v>0</v>
      </c>
      <c r="AN5075">
        <v>0</v>
      </c>
      <c r="AO5075">
        <v>0</v>
      </c>
      <c r="AP5075" s="2">
        <v>42746</v>
      </c>
      <c r="AQ5075" t="s">
        <v>72</v>
      </c>
      <c r="AR5075" t="s">
        <v>72</v>
      </c>
      <c r="AS5075">
        <v>352</v>
      </c>
      <c r="AT5075" s="4">
        <v>42415</v>
      </c>
      <c r="AU5075" t="s">
        <v>73</v>
      </c>
      <c r="AV5075">
        <v>352</v>
      </c>
      <c r="AW5075" s="4">
        <v>42415</v>
      </c>
      <c r="BD5075">
        <v>0</v>
      </c>
      <c r="BN5075" t="s">
        <v>74</v>
      </c>
    </row>
    <row r="5076" spans="1:66" hidden="1">
      <c r="A5076">
        <v>101934</v>
      </c>
      <c r="B5076" s="3" t="s">
        <v>539</v>
      </c>
      <c r="C5076" s="1">
        <v>43300101</v>
      </c>
      <c r="D5076" t="s">
        <v>67</v>
      </c>
      <c r="H5076" t="str">
        <f t="shared" si="544"/>
        <v>06175550638</v>
      </c>
      <c r="I5076" t="str">
        <f t="shared" si="544"/>
        <v>06175550638</v>
      </c>
      <c r="K5076" t="str">
        <f>""</f>
        <v/>
      </c>
      <c r="M5076" t="s">
        <v>68</v>
      </c>
      <c r="N5076" t="str">
        <f t="shared" si="543"/>
        <v>FOR</v>
      </c>
      <c r="O5076" t="s">
        <v>69</v>
      </c>
      <c r="P5076" s="3" t="s">
        <v>70</v>
      </c>
      <c r="Q5076">
        <v>2015</v>
      </c>
      <c r="R5076" s="2">
        <v>42093</v>
      </c>
      <c r="S5076" s="2">
        <v>42110</v>
      </c>
      <c r="T5076" s="2">
        <v>42110</v>
      </c>
      <c r="U5076" s="2">
        <v>42170</v>
      </c>
      <c r="V5076" t="s">
        <v>71</v>
      </c>
      <c r="W5076" t="str">
        <f>"                 630"</f>
        <v xml:space="preserve">                 630</v>
      </c>
      <c r="X5076">
        <v>150.80000000000001</v>
      </c>
      <c r="Y5076">
        <v>0</v>
      </c>
      <c r="Z5076"/>
      <c r="AB5076"/>
      <c r="AC5076">
        <v>145</v>
      </c>
      <c r="AD5076">
        <v>245</v>
      </c>
      <c r="AE5076" s="1">
        <v>35525</v>
      </c>
      <c r="AF5076">
        <v>0</v>
      </c>
      <c r="AJ5076">
        <v>0</v>
      </c>
      <c r="AK5076">
        <v>0</v>
      </c>
      <c r="AL5076">
        <v>0</v>
      </c>
      <c r="AM5076">
        <v>0</v>
      </c>
      <c r="AN5076">
        <v>0</v>
      </c>
      <c r="AO5076">
        <v>0</v>
      </c>
      <c r="AP5076" s="2">
        <v>42746</v>
      </c>
      <c r="AQ5076" t="s">
        <v>72</v>
      </c>
      <c r="AR5076" t="s">
        <v>72</v>
      </c>
      <c r="AS5076">
        <v>352</v>
      </c>
      <c r="AT5076" s="4">
        <v>42415</v>
      </c>
      <c r="AU5076" t="s">
        <v>73</v>
      </c>
      <c r="AV5076">
        <v>352</v>
      </c>
      <c r="AW5076" s="4">
        <v>42415</v>
      </c>
      <c r="BD5076">
        <v>0</v>
      </c>
      <c r="BN5076" t="s">
        <v>74</v>
      </c>
    </row>
    <row r="5077" spans="1:66" hidden="1">
      <c r="A5077">
        <v>101934</v>
      </c>
      <c r="B5077" s="3" t="s">
        <v>539</v>
      </c>
      <c r="C5077" s="1">
        <v>43300101</v>
      </c>
      <c r="D5077" t="s">
        <v>67</v>
      </c>
      <c r="H5077" t="str">
        <f t="shared" si="544"/>
        <v>06175550638</v>
      </c>
      <c r="I5077" t="str">
        <f t="shared" si="544"/>
        <v>06175550638</v>
      </c>
      <c r="K5077" t="str">
        <f>""</f>
        <v/>
      </c>
      <c r="M5077" t="s">
        <v>68</v>
      </c>
      <c r="N5077" t="str">
        <f t="shared" si="543"/>
        <v>FOR</v>
      </c>
      <c r="O5077" t="s">
        <v>69</v>
      </c>
      <c r="P5077" s="3" t="s">
        <v>75</v>
      </c>
      <c r="Q5077">
        <v>2015</v>
      </c>
      <c r="R5077" s="2">
        <v>42124</v>
      </c>
      <c r="S5077" s="2">
        <v>42160</v>
      </c>
      <c r="T5077" s="2">
        <v>42143</v>
      </c>
      <c r="U5077" s="2">
        <v>42203</v>
      </c>
      <c r="V5077" t="s">
        <v>71</v>
      </c>
      <c r="W5077" t="str">
        <f>"               64/PA"</f>
        <v xml:space="preserve">               64/PA</v>
      </c>
      <c r="X5077">
        <v>150.80000000000001</v>
      </c>
      <c r="Y5077">
        <v>0</v>
      </c>
      <c r="Z5077"/>
      <c r="AB5077"/>
      <c r="AC5077">
        <v>145</v>
      </c>
      <c r="AD5077">
        <v>228</v>
      </c>
      <c r="AE5077" s="1">
        <v>33060</v>
      </c>
      <c r="AF5077">
        <v>0</v>
      </c>
      <c r="AJ5077">
        <v>0</v>
      </c>
      <c r="AK5077">
        <v>0</v>
      </c>
      <c r="AL5077">
        <v>0</v>
      </c>
      <c r="AM5077">
        <v>0</v>
      </c>
      <c r="AN5077">
        <v>0</v>
      </c>
      <c r="AO5077">
        <v>0</v>
      </c>
      <c r="AP5077" s="2">
        <v>42746</v>
      </c>
      <c r="AQ5077" t="s">
        <v>72</v>
      </c>
      <c r="AR5077" t="s">
        <v>72</v>
      </c>
      <c r="AS5077">
        <v>634</v>
      </c>
      <c r="AT5077" s="4">
        <v>42431</v>
      </c>
      <c r="AU5077" t="s">
        <v>73</v>
      </c>
      <c r="AV5077">
        <v>634</v>
      </c>
      <c r="AW5077" s="4">
        <v>42431</v>
      </c>
      <c r="BD5077">
        <v>0</v>
      </c>
      <c r="BN5077" t="s">
        <v>74</v>
      </c>
    </row>
    <row r="5078" spans="1:66" hidden="1">
      <c r="A5078">
        <v>101934</v>
      </c>
      <c r="B5078" s="3" t="s">
        <v>539</v>
      </c>
      <c r="C5078" s="1">
        <v>43300101</v>
      </c>
      <c r="D5078" t="s">
        <v>67</v>
      </c>
      <c r="H5078" t="str">
        <f t="shared" si="544"/>
        <v>06175550638</v>
      </c>
      <c r="I5078" t="str">
        <f t="shared" si="544"/>
        <v>06175550638</v>
      </c>
      <c r="K5078" t="str">
        <f>""</f>
        <v/>
      </c>
      <c r="M5078" t="s">
        <v>68</v>
      </c>
      <c r="N5078" t="str">
        <f t="shared" si="543"/>
        <v>FOR</v>
      </c>
      <c r="O5078" t="s">
        <v>69</v>
      </c>
      <c r="P5078" s="3" t="s">
        <v>75</v>
      </c>
      <c r="Q5078">
        <v>2015</v>
      </c>
      <c r="R5078" s="2">
        <v>42124</v>
      </c>
      <c r="S5078" s="2">
        <v>42160</v>
      </c>
      <c r="T5078" s="2">
        <v>42144</v>
      </c>
      <c r="U5078" s="2">
        <v>42204</v>
      </c>
      <c r="V5078" t="s">
        <v>71</v>
      </c>
      <c r="W5078" t="str">
        <f>"               65/PA"</f>
        <v xml:space="preserve">               65/PA</v>
      </c>
      <c r="X5078">
        <v>150.80000000000001</v>
      </c>
      <c r="Y5078">
        <v>0</v>
      </c>
      <c r="Z5078"/>
      <c r="AB5078"/>
      <c r="AC5078">
        <v>145</v>
      </c>
      <c r="AD5078">
        <v>227</v>
      </c>
      <c r="AE5078" s="1">
        <v>32915</v>
      </c>
      <c r="AF5078">
        <v>0</v>
      </c>
      <c r="AJ5078">
        <v>0</v>
      </c>
      <c r="AK5078">
        <v>0</v>
      </c>
      <c r="AL5078">
        <v>0</v>
      </c>
      <c r="AM5078">
        <v>0</v>
      </c>
      <c r="AN5078">
        <v>0</v>
      </c>
      <c r="AO5078">
        <v>0</v>
      </c>
      <c r="AP5078" s="2">
        <v>42746</v>
      </c>
      <c r="AQ5078" t="s">
        <v>72</v>
      </c>
      <c r="AR5078" t="s">
        <v>72</v>
      </c>
      <c r="AS5078">
        <v>634</v>
      </c>
      <c r="AT5078" s="4">
        <v>42431</v>
      </c>
      <c r="AU5078" t="s">
        <v>73</v>
      </c>
      <c r="AV5078">
        <v>634</v>
      </c>
      <c r="AW5078" s="4">
        <v>42431</v>
      </c>
      <c r="BD5078">
        <v>0</v>
      </c>
      <c r="BN5078" t="s">
        <v>74</v>
      </c>
    </row>
    <row r="5079" spans="1:66" hidden="1">
      <c r="A5079">
        <v>101934</v>
      </c>
      <c r="B5079" s="3" t="s">
        <v>539</v>
      </c>
      <c r="C5079" s="1">
        <v>43300101</v>
      </c>
      <c r="D5079" t="s">
        <v>67</v>
      </c>
      <c r="H5079" t="str">
        <f t="shared" si="544"/>
        <v>06175550638</v>
      </c>
      <c r="I5079" t="str">
        <f t="shared" si="544"/>
        <v>06175550638</v>
      </c>
      <c r="K5079" t="str">
        <f>""</f>
        <v/>
      </c>
      <c r="M5079" t="s">
        <v>68</v>
      </c>
      <c r="N5079" t="str">
        <f t="shared" si="543"/>
        <v>FOR</v>
      </c>
      <c r="O5079" t="s">
        <v>69</v>
      </c>
      <c r="P5079" s="3" t="s">
        <v>75</v>
      </c>
      <c r="Q5079">
        <v>2015</v>
      </c>
      <c r="R5079" s="2">
        <v>42124</v>
      </c>
      <c r="S5079" s="2">
        <v>42160</v>
      </c>
      <c r="T5079" s="2">
        <v>42144</v>
      </c>
      <c r="U5079" s="2">
        <v>42204</v>
      </c>
      <c r="V5079" t="s">
        <v>71</v>
      </c>
      <c r="W5079" t="str">
        <f>"               66/PA"</f>
        <v xml:space="preserve">               66/PA</v>
      </c>
      <c r="X5079">
        <v>150.80000000000001</v>
      </c>
      <c r="Y5079">
        <v>0</v>
      </c>
      <c r="Z5079"/>
      <c r="AB5079"/>
      <c r="AC5079">
        <v>145</v>
      </c>
      <c r="AD5079">
        <v>227</v>
      </c>
      <c r="AE5079" s="1">
        <v>32915</v>
      </c>
      <c r="AF5079">
        <v>0</v>
      </c>
      <c r="AJ5079">
        <v>0</v>
      </c>
      <c r="AK5079">
        <v>0</v>
      </c>
      <c r="AL5079">
        <v>0</v>
      </c>
      <c r="AM5079">
        <v>0</v>
      </c>
      <c r="AN5079">
        <v>0</v>
      </c>
      <c r="AO5079">
        <v>0</v>
      </c>
      <c r="AP5079" s="2">
        <v>42746</v>
      </c>
      <c r="AQ5079" t="s">
        <v>72</v>
      </c>
      <c r="AR5079" t="s">
        <v>72</v>
      </c>
      <c r="AS5079">
        <v>634</v>
      </c>
      <c r="AT5079" s="4">
        <v>42431</v>
      </c>
      <c r="AU5079" t="s">
        <v>73</v>
      </c>
      <c r="AV5079">
        <v>634</v>
      </c>
      <c r="AW5079" s="4">
        <v>42431</v>
      </c>
      <c r="BD5079">
        <v>0</v>
      </c>
      <c r="BN5079" t="s">
        <v>74</v>
      </c>
    </row>
    <row r="5080" spans="1:66" hidden="1">
      <c r="A5080">
        <v>101934</v>
      </c>
      <c r="B5080" s="3" t="s">
        <v>539</v>
      </c>
      <c r="C5080" s="1">
        <v>43300101</v>
      </c>
      <c r="D5080" t="s">
        <v>67</v>
      </c>
      <c r="H5080" t="str">
        <f t="shared" si="544"/>
        <v>06175550638</v>
      </c>
      <c r="I5080" t="str">
        <f t="shared" si="544"/>
        <v>06175550638</v>
      </c>
      <c r="K5080" t="str">
        <f>""</f>
        <v/>
      </c>
      <c r="M5080" t="s">
        <v>68</v>
      </c>
      <c r="N5080" t="str">
        <f t="shared" si="543"/>
        <v>FOR</v>
      </c>
      <c r="O5080" t="s">
        <v>69</v>
      </c>
      <c r="P5080" s="3" t="s">
        <v>75</v>
      </c>
      <c r="Q5080">
        <v>2015</v>
      </c>
      <c r="R5080" s="2">
        <v>42124</v>
      </c>
      <c r="S5080" s="2">
        <v>42158</v>
      </c>
      <c r="T5080" s="2">
        <v>42144</v>
      </c>
      <c r="U5080" s="2">
        <v>42204</v>
      </c>
      <c r="V5080" t="s">
        <v>71</v>
      </c>
      <c r="W5080" t="str">
        <f>"               67/PA"</f>
        <v xml:space="preserve">               67/PA</v>
      </c>
      <c r="X5080">
        <v>150.80000000000001</v>
      </c>
      <c r="Y5080">
        <v>0</v>
      </c>
      <c r="Z5080"/>
      <c r="AB5080"/>
      <c r="AC5080">
        <v>145</v>
      </c>
      <c r="AD5080">
        <v>227</v>
      </c>
      <c r="AE5080" s="1">
        <v>32915</v>
      </c>
      <c r="AF5080">
        <v>0</v>
      </c>
      <c r="AJ5080">
        <v>0</v>
      </c>
      <c r="AK5080">
        <v>0</v>
      </c>
      <c r="AL5080">
        <v>0</v>
      </c>
      <c r="AM5080">
        <v>0</v>
      </c>
      <c r="AN5080">
        <v>0</v>
      </c>
      <c r="AO5080">
        <v>0</v>
      </c>
      <c r="AP5080" s="2">
        <v>42746</v>
      </c>
      <c r="AQ5080" t="s">
        <v>72</v>
      </c>
      <c r="AR5080" t="s">
        <v>72</v>
      </c>
      <c r="AS5080">
        <v>634</v>
      </c>
      <c r="AT5080" s="4">
        <v>42431</v>
      </c>
      <c r="AU5080" t="s">
        <v>73</v>
      </c>
      <c r="AV5080">
        <v>634</v>
      </c>
      <c r="AW5080" s="4">
        <v>42431</v>
      </c>
      <c r="BD5080">
        <v>0</v>
      </c>
      <c r="BN5080" t="s">
        <v>74</v>
      </c>
    </row>
    <row r="5081" spans="1:66" hidden="1">
      <c r="A5081">
        <v>101934</v>
      </c>
      <c r="B5081" s="3" t="s">
        <v>539</v>
      </c>
      <c r="C5081" s="1">
        <v>43300101</v>
      </c>
      <c r="D5081" t="s">
        <v>67</v>
      </c>
      <c r="H5081" t="str">
        <f t="shared" si="544"/>
        <v>06175550638</v>
      </c>
      <c r="I5081" t="str">
        <f t="shared" si="544"/>
        <v>06175550638</v>
      </c>
      <c r="K5081" t="str">
        <f>""</f>
        <v/>
      </c>
      <c r="M5081" t="s">
        <v>68</v>
      </c>
      <c r="N5081" t="str">
        <f t="shared" si="543"/>
        <v>FOR</v>
      </c>
      <c r="O5081" t="s">
        <v>69</v>
      </c>
      <c r="P5081" s="3" t="s">
        <v>75</v>
      </c>
      <c r="Q5081">
        <v>2015</v>
      </c>
      <c r="R5081" s="2">
        <v>42124</v>
      </c>
      <c r="S5081" s="2">
        <v>42160</v>
      </c>
      <c r="T5081" s="2">
        <v>42143</v>
      </c>
      <c r="U5081" s="2">
        <v>42203</v>
      </c>
      <c r="V5081" t="s">
        <v>71</v>
      </c>
      <c r="W5081" t="str">
        <f>"               68/PA"</f>
        <v xml:space="preserve">               68/PA</v>
      </c>
      <c r="X5081">
        <v>150.80000000000001</v>
      </c>
      <c r="Y5081">
        <v>0</v>
      </c>
      <c r="Z5081"/>
      <c r="AB5081"/>
      <c r="AC5081">
        <v>145</v>
      </c>
      <c r="AD5081">
        <v>228</v>
      </c>
      <c r="AE5081" s="1">
        <v>33060</v>
      </c>
      <c r="AF5081">
        <v>0</v>
      </c>
      <c r="AJ5081">
        <v>0</v>
      </c>
      <c r="AK5081">
        <v>0</v>
      </c>
      <c r="AL5081">
        <v>0</v>
      </c>
      <c r="AM5081">
        <v>0</v>
      </c>
      <c r="AN5081">
        <v>0</v>
      </c>
      <c r="AO5081">
        <v>0</v>
      </c>
      <c r="AP5081" s="2">
        <v>42746</v>
      </c>
      <c r="AQ5081" t="s">
        <v>72</v>
      </c>
      <c r="AR5081" t="s">
        <v>72</v>
      </c>
      <c r="AS5081">
        <v>634</v>
      </c>
      <c r="AT5081" s="4">
        <v>42431</v>
      </c>
      <c r="AU5081" t="s">
        <v>73</v>
      </c>
      <c r="AV5081">
        <v>634</v>
      </c>
      <c r="AW5081" s="4">
        <v>42431</v>
      </c>
      <c r="BD5081">
        <v>0</v>
      </c>
      <c r="BN5081" t="s">
        <v>74</v>
      </c>
    </row>
    <row r="5082" spans="1:66" hidden="1">
      <c r="A5082">
        <v>101934</v>
      </c>
      <c r="B5082" s="3" t="s">
        <v>539</v>
      </c>
      <c r="C5082" s="1">
        <v>43300101</v>
      </c>
      <c r="D5082" t="s">
        <v>67</v>
      </c>
      <c r="H5082" t="str">
        <f t="shared" si="544"/>
        <v>06175550638</v>
      </c>
      <c r="I5082" t="str">
        <f t="shared" si="544"/>
        <v>06175550638</v>
      </c>
      <c r="K5082" t="str">
        <f>""</f>
        <v/>
      </c>
      <c r="M5082" t="s">
        <v>68</v>
      </c>
      <c r="N5082" t="str">
        <f t="shared" si="543"/>
        <v>FOR</v>
      </c>
      <c r="O5082" t="s">
        <v>69</v>
      </c>
      <c r="P5082" s="3" t="s">
        <v>75</v>
      </c>
      <c r="Q5082">
        <v>2015</v>
      </c>
      <c r="R5082" s="2">
        <v>42124</v>
      </c>
      <c r="S5082" s="2">
        <v>42160</v>
      </c>
      <c r="T5082" s="2">
        <v>42143</v>
      </c>
      <c r="U5082" s="2">
        <v>42203</v>
      </c>
      <c r="V5082" t="s">
        <v>71</v>
      </c>
      <c r="W5082" t="str">
        <f>"               69/PA"</f>
        <v xml:space="preserve">               69/PA</v>
      </c>
      <c r="X5082">
        <v>150.80000000000001</v>
      </c>
      <c r="Y5082">
        <v>0</v>
      </c>
      <c r="Z5082"/>
      <c r="AB5082"/>
      <c r="AC5082">
        <v>145</v>
      </c>
      <c r="AD5082">
        <v>228</v>
      </c>
      <c r="AE5082" s="1">
        <v>33060</v>
      </c>
      <c r="AF5082">
        <v>0</v>
      </c>
      <c r="AJ5082">
        <v>0</v>
      </c>
      <c r="AK5082">
        <v>0</v>
      </c>
      <c r="AL5082">
        <v>0</v>
      </c>
      <c r="AM5082">
        <v>0</v>
      </c>
      <c r="AN5082">
        <v>0</v>
      </c>
      <c r="AO5082">
        <v>0</v>
      </c>
      <c r="AP5082" s="2">
        <v>42746</v>
      </c>
      <c r="AQ5082" t="s">
        <v>72</v>
      </c>
      <c r="AR5082" t="s">
        <v>72</v>
      </c>
      <c r="AS5082">
        <v>634</v>
      </c>
      <c r="AT5082" s="4">
        <v>42431</v>
      </c>
      <c r="AU5082" t="s">
        <v>73</v>
      </c>
      <c r="AV5082">
        <v>634</v>
      </c>
      <c r="AW5082" s="4">
        <v>42431</v>
      </c>
      <c r="BD5082">
        <v>0</v>
      </c>
      <c r="BN5082" t="s">
        <v>74</v>
      </c>
    </row>
    <row r="5083" spans="1:66" hidden="1">
      <c r="A5083">
        <v>101934</v>
      </c>
      <c r="B5083" s="3" t="s">
        <v>539</v>
      </c>
      <c r="C5083" s="1">
        <v>43300101</v>
      </c>
      <c r="D5083" t="s">
        <v>67</v>
      </c>
      <c r="H5083" t="str">
        <f t="shared" si="544"/>
        <v>06175550638</v>
      </c>
      <c r="I5083" t="str">
        <f t="shared" si="544"/>
        <v>06175550638</v>
      </c>
      <c r="K5083" t="str">
        <f>""</f>
        <v/>
      </c>
      <c r="M5083" t="s">
        <v>68</v>
      </c>
      <c r="N5083" t="str">
        <f t="shared" si="543"/>
        <v>FOR</v>
      </c>
      <c r="O5083" t="s">
        <v>69</v>
      </c>
      <c r="P5083" s="3" t="s">
        <v>75</v>
      </c>
      <c r="Q5083">
        <v>2015</v>
      </c>
      <c r="R5083" s="2">
        <v>42124</v>
      </c>
      <c r="S5083" s="2">
        <v>42160</v>
      </c>
      <c r="T5083" s="2">
        <v>42143</v>
      </c>
      <c r="U5083" s="2">
        <v>42203</v>
      </c>
      <c r="V5083" t="s">
        <v>71</v>
      </c>
      <c r="W5083" t="str">
        <f>"               70/PA"</f>
        <v xml:space="preserve">               70/PA</v>
      </c>
      <c r="X5083">
        <v>150.80000000000001</v>
      </c>
      <c r="Y5083">
        <v>0</v>
      </c>
      <c r="Z5083"/>
      <c r="AB5083"/>
      <c r="AC5083">
        <v>145</v>
      </c>
      <c r="AD5083">
        <v>228</v>
      </c>
      <c r="AE5083" s="1">
        <v>33060</v>
      </c>
      <c r="AF5083">
        <v>0</v>
      </c>
      <c r="AJ5083">
        <v>0</v>
      </c>
      <c r="AK5083">
        <v>0</v>
      </c>
      <c r="AL5083">
        <v>0</v>
      </c>
      <c r="AM5083">
        <v>0</v>
      </c>
      <c r="AN5083">
        <v>0</v>
      </c>
      <c r="AO5083">
        <v>0</v>
      </c>
      <c r="AP5083" s="2">
        <v>42746</v>
      </c>
      <c r="AQ5083" t="s">
        <v>72</v>
      </c>
      <c r="AR5083" t="s">
        <v>72</v>
      </c>
      <c r="AS5083">
        <v>634</v>
      </c>
      <c r="AT5083" s="4">
        <v>42431</v>
      </c>
      <c r="AU5083" t="s">
        <v>73</v>
      </c>
      <c r="AV5083">
        <v>634</v>
      </c>
      <c r="AW5083" s="4">
        <v>42431</v>
      </c>
      <c r="BD5083">
        <v>0</v>
      </c>
      <c r="BN5083" t="s">
        <v>74</v>
      </c>
    </row>
    <row r="5084" spans="1:66" hidden="1">
      <c r="A5084">
        <v>101934</v>
      </c>
      <c r="B5084" s="3" t="s">
        <v>539</v>
      </c>
      <c r="C5084" s="1">
        <v>43300101</v>
      </c>
      <c r="D5084" t="s">
        <v>67</v>
      </c>
      <c r="H5084" t="str">
        <f t="shared" si="544"/>
        <v>06175550638</v>
      </c>
      <c r="I5084" t="str">
        <f t="shared" si="544"/>
        <v>06175550638</v>
      </c>
      <c r="K5084" t="str">
        <f>""</f>
        <v/>
      </c>
      <c r="M5084" t="s">
        <v>68</v>
      </c>
      <c r="N5084" t="str">
        <f t="shared" si="543"/>
        <v>FOR</v>
      </c>
      <c r="O5084" t="s">
        <v>69</v>
      </c>
      <c r="P5084" s="3" t="s">
        <v>75</v>
      </c>
      <c r="Q5084">
        <v>2015</v>
      </c>
      <c r="R5084" s="2">
        <v>42124</v>
      </c>
      <c r="S5084" s="2">
        <v>42160</v>
      </c>
      <c r="T5084" s="2">
        <v>42144</v>
      </c>
      <c r="U5084" s="2">
        <v>42204</v>
      </c>
      <c r="V5084" t="s">
        <v>71</v>
      </c>
      <c r="W5084" t="str">
        <f>"               71/PA"</f>
        <v xml:space="preserve">               71/PA</v>
      </c>
      <c r="X5084">
        <v>150.80000000000001</v>
      </c>
      <c r="Y5084">
        <v>0</v>
      </c>
      <c r="Z5084"/>
      <c r="AB5084"/>
      <c r="AC5084">
        <v>145</v>
      </c>
      <c r="AD5084">
        <v>227</v>
      </c>
      <c r="AE5084" s="1">
        <v>32915</v>
      </c>
      <c r="AF5084">
        <v>0</v>
      </c>
      <c r="AJ5084">
        <v>0</v>
      </c>
      <c r="AK5084">
        <v>0</v>
      </c>
      <c r="AL5084">
        <v>0</v>
      </c>
      <c r="AM5084">
        <v>0</v>
      </c>
      <c r="AN5084">
        <v>0</v>
      </c>
      <c r="AO5084">
        <v>0</v>
      </c>
      <c r="AP5084" s="2">
        <v>42746</v>
      </c>
      <c r="AQ5084" t="s">
        <v>72</v>
      </c>
      <c r="AR5084" t="s">
        <v>72</v>
      </c>
      <c r="AS5084">
        <v>634</v>
      </c>
      <c r="AT5084" s="4">
        <v>42431</v>
      </c>
      <c r="AU5084" t="s">
        <v>73</v>
      </c>
      <c r="AV5084">
        <v>634</v>
      </c>
      <c r="AW5084" s="4">
        <v>42431</v>
      </c>
      <c r="BD5084">
        <v>0</v>
      </c>
      <c r="BN5084" t="s">
        <v>74</v>
      </c>
    </row>
    <row r="5085" spans="1:66" hidden="1">
      <c r="A5085">
        <v>101934</v>
      </c>
      <c r="B5085" s="3" t="s">
        <v>539</v>
      </c>
      <c r="C5085" s="1">
        <v>43300101</v>
      </c>
      <c r="D5085" t="s">
        <v>67</v>
      </c>
      <c r="H5085" t="str">
        <f t="shared" si="544"/>
        <v>06175550638</v>
      </c>
      <c r="I5085" t="str">
        <f t="shared" si="544"/>
        <v>06175550638</v>
      </c>
      <c r="K5085" t="str">
        <f>""</f>
        <v/>
      </c>
      <c r="M5085" t="s">
        <v>68</v>
      </c>
      <c r="N5085" t="str">
        <f t="shared" si="543"/>
        <v>FOR</v>
      </c>
      <c r="O5085" t="s">
        <v>69</v>
      </c>
      <c r="P5085" s="3" t="s">
        <v>75</v>
      </c>
      <c r="Q5085">
        <v>2015</v>
      </c>
      <c r="R5085" s="2">
        <v>42124</v>
      </c>
      <c r="S5085" s="2">
        <v>42160</v>
      </c>
      <c r="T5085" s="2">
        <v>42143</v>
      </c>
      <c r="U5085" s="2">
        <v>42203</v>
      </c>
      <c r="V5085" t="s">
        <v>71</v>
      </c>
      <c r="W5085" t="str">
        <f>"               76/PA"</f>
        <v xml:space="preserve">               76/PA</v>
      </c>
      <c r="X5085">
        <v>150.80000000000001</v>
      </c>
      <c r="Y5085">
        <v>0</v>
      </c>
      <c r="Z5085"/>
      <c r="AB5085"/>
      <c r="AC5085">
        <v>145</v>
      </c>
      <c r="AD5085">
        <v>228</v>
      </c>
      <c r="AE5085" s="1">
        <v>33060</v>
      </c>
      <c r="AF5085">
        <v>0</v>
      </c>
      <c r="AJ5085">
        <v>0</v>
      </c>
      <c r="AK5085">
        <v>0</v>
      </c>
      <c r="AL5085">
        <v>0</v>
      </c>
      <c r="AM5085">
        <v>0</v>
      </c>
      <c r="AN5085">
        <v>0</v>
      </c>
      <c r="AO5085">
        <v>0</v>
      </c>
      <c r="AP5085" s="2">
        <v>42746</v>
      </c>
      <c r="AQ5085" t="s">
        <v>72</v>
      </c>
      <c r="AR5085" t="s">
        <v>72</v>
      </c>
      <c r="AS5085">
        <v>634</v>
      </c>
      <c r="AT5085" s="4">
        <v>42431</v>
      </c>
      <c r="AU5085" t="s">
        <v>73</v>
      </c>
      <c r="AV5085">
        <v>634</v>
      </c>
      <c r="AW5085" s="4">
        <v>42431</v>
      </c>
      <c r="BD5085">
        <v>0</v>
      </c>
      <c r="BN5085" t="s">
        <v>74</v>
      </c>
    </row>
    <row r="5086" spans="1:66" hidden="1">
      <c r="A5086">
        <v>101934</v>
      </c>
      <c r="B5086" s="3" t="s">
        <v>539</v>
      </c>
      <c r="C5086" s="1">
        <v>43300101</v>
      </c>
      <c r="D5086" t="s">
        <v>67</v>
      </c>
      <c r="H5086" t="str">
        <f t="shared" si="544"/>
        <v>06175550638</v>
      </c>
      <c r="I5086" t="str">
        <f t="shared" si="544"/>
        <v>06175550638</v>
      </c>
      <c r="K5086" t="str">
        <f>""</f>
        <v/>
      </c>
      <c r="M5086" t="s">
        <v>68</v>
      </c>
      <c r="N5086" t="str">
        <f t="shared" si="543"/>
        <v>FOR</v>
      </c>
      <c r="O5086" t="s">
        <v>69</v>
      </c>
      <c r="P5086" s="3" t="s">
        <v>75</v>
      </c>
      <c r="Q5086">
        <v>2015</v>
      </c>
      <c r="R5086" s="2">
        <v>42124</v>
      </c>
      <c r="S5086" s="2">
        <v>42158</v>
      </c>
      <c r="T5086" s="2">
        <v>42144</v>
      </c>
      <c r="U5086" s="2">
        <v>42204</v>
      </c>
      <c r="V5086" t="s">
        <v>71</v>
      </c>
      <c r="W5086" t="str">
        <f>"               77/PA"</f>
        <v xml:space="preserve">               77/PA</v>
      </c>
      <c r="X5086">
        <v>150.80000000000001</v>
      </c>
      <c r="Y5086">
        <v>0</v>
      </c>
      <c r="Z5086"/>
      <c r="AB5086"/>
      <c r="AC5086">
        <v>145</v>
      </c>
      <c r="AD5086">
        <v>227</v>
      </c>
      <c r="AE5086" s="1">
        <v>32915</v>
      </c>
      <c r="AF5086">
        <v>0</v>
      </c>
      <c r="AJ5086">
        <v>0</v>
      </c>
      <c r="AK5086">
        <v>0</v>
      </c>
      <c r="AL5086">
        <v>0</v>
      </c>
      <c r="AM5086">
        <v>0</v>
      </c>
      <c r="AN5086">
        <v>0</v>
      </c>
      <c r="AO5086">
        <v>0</v>
      </c>
      <c r="AP5086" s="2">
        <v>42746</v>
      </c>
      <c r="AQ5086" t="s">
        <v>72</v>
      </c>
      <c r="AR5086" t="s">
        <v>72</v>
      </c>
      <c r="AS5086">
        <v>634</v>
      </c>
      <c r="AT5086" s="4">
        <v>42431</v>
      </c>
      <c r="AU5086" t="s">
        <v>73</v>
      </c>
      <c r="AV5086">
        <v>634</v>
      </c>
      <c r="AW5086" s="4">
        <v>42431</v>
      </c>
      <c r="BD5086">
        <v>0</v>
      </c>
      <c r="BN5086" t="s">
        <v>74</v>
      </c>
    </row>
    <row r="5087" spans="1:66" hidden="1">
      <c r="A5087">
        <v>101934</v>
      </c>
      <c r="B5087" s="3" t="s">
        <v>539</v>
      </c>
      <c r="C5087" s="1">
        <v>43300101</v>
      </c>
      <c r="D5087" t="s">
        <v>67</v>
      </c>
      <c r="H5087" t="str">
        <f t="shared" si="544"/>
        <v>06175550638</v>
      </c>
      <c r="I5087" t="str">
        <f t="shared" si="544"/>
        <v>06175550638</v>
      </c>
      <c r="K5087" t="str">
        <f>""</f>
        <v/>
      </c>
      <c r="M5087" t="s">
        <v>68</v>
      </c>
      <c r="N5087" t="str">
        <f t="shared" si="543"/>
        <v>FOR</v>
      </c>
      <c r="O5087" t="s">
        <v>69</v>
      </c>
      <c r="P5087" s="3" t="s">
        <v>75</v>
      </c>
      <c r="Q5087">
        <v>2015</v>
      </c>
      <c r="R5087" s="2">
        <v>42124</v>
      </c>
      <c r="S5087" s="2">
        <v>42160</v>
      </c>
      <c r="T5087" s="2">
        <v>42143</v>
      </c>
      <c r="U5087" s="2">
        <v>42203</v>
      </c>
      <c r="V5087" t="s">
        <v>71</v>
      </c>
      <c r="W5087" t="str">
        <f>"               79/PA"</f>
        <v xml:space="preserve">               79/PA</v>
      </c>
      <c r="X5087">
        <v>150.80000000000001</v>
      </c>
      <c r="Y5087">
        <v>0</v>
      </c>
      <c r="Z5087"/>
      <c r="AB5087"/>
      <c r="AC5087">
        <v>145</v>
      </c>
      <c r="AD5087">
        <v>228</v>
      </c>
      <c r="AE5087" s="1">
        <v>33060</v>
      </c>
      <c r="AF5087">
        <v>0</v>
      </c>
      <c r="AJ5087">
        <v>0</v>
      </c>
      <c r="AK5087">
        <v>0</v>
      </c>
      <c r="AL5087">
        <v>0</v>
      </c>
      <c r="AM5087">
        <v>0</v>
      </c>
      <c r="AN5087">
        <v>0</v>
      </c>
      <c r="AO5087">
        <v>0</v>
      </c>
      <c r="AP5087" s="2">
        <v>42746</v>
      </c>
      <c r="AQ5087" t="s">
        <v>72</v>
      </c>
      <c r="AR5087" t="s">
        <v>72</v>
      </c>
      <c r="AS5087">
        <v>634</v>
      </c>
      <c r="AT5087" s="4">
        <v>42431</v>
      </c>
      <c r="AU5087" t="s">
        <v>73</v>
      </c>
      <c r="AV5087">
        <v>634</v>
      </c>
      <c r="AW5087" s="4">
        <v>42431</v>
      </c>
      <c r="BD5087">
        <v>0</v>
      </c>
      <c r="BN5087" t="s">
        <v>74</v>
      </c>
    </row>
    <row r="5088" spans="1:66" hidden="1">
      <c r="A5088">
        <v>101934</v>
      </c>
      <c r="B5088" s="3" t="s">
        <v>539</v>
      </c>
      <c r="C5088" s="1">
        <v>43300101</v>
      </c>
      <c r="D5088" t="s">
        <v>67</v>
      </c>
      <c r="H5088" t="str">
        <f t="shared" si="544"/>
        <v>06175550638</v>
      </c>
      <c r="I5088" t="str">
        <f t="shared" si="544"/>
        <v>06175550638</v>
      </c>
      <c r="K5088" t="str">
        <f>""</f>
        <v/>
      </c>
      <c r="M5088" t="s">
        <v>68</v>
      </c>
      <c r="N5088" t="str">
        <f t="shared" si="543"/>
        <v>FOR</v>
      </c>
      <c r="O5088" t="s">
        <v>69</v>
      </c>
      <c r="P5088" s="3" t="s">
        <v>75</v>
      </c>
      <c r="Q5088">
        <v>2015</v>
      </c>
      <c r="R5088" s="2">
        <v>42124</v>
      </c>
      <c r="S5088" s="2">
        <v>42160</v>
      </c>
      <c r="T5088" s="2">
        <v>42144</v>
      </c>
      <c r="U5088" s="2">
        <v>42204</v>
      </c>
      <c r="V5088" t="s">
        <v>71</v>
      </c>
      <c r="W5088" t="str">
        <f>"               80/PA"</f>
        <v xml:space="preserve">               80/PA</v>
      </c>
      <c r="X5088">
        <v>150.80000000000001</v>
      </c>
      <c r="Y5088">
        <v>0</v>
      </c>
      <c r="Z5088"/>
      <c r="AB5088"/>
      <c r="AC5088">
        <v>145</v>
      </c>
      <c r="AD5088">
        <v>227</v>
      </c>
      <c r="AE5088" s="1">
        <v>32915</v>
      </c>
      <c r="AF5088">
        <v>0</v>
      </c>
      <c r="AJ5088">
        <v>0</v>
      </c>
      <c r="AK5088">
        <v>0</v>
      </c>
      <c r="AL5088">
        <v>0</v>
      </c>
      <c r="AM5088">
        <v>0</v>
      </c>
      <c r="AN5088">
        <v>0</v>
      </c>
      <c r="AO5088">
        <v>0</v>
      </c>
      <c r="AP5088" s="2">
        <v>42746</v>
      </c>
      <c r="AQ5088" t="s">
        <v>72</v>
      </c>
      <c r="AR5088" t="s">
        <v>72</v>
      </c>
      <c r="AS5088">
        <v>634</v>
      </c>
      <c r="AT5088" s="4">
        <v>42431</v>
      </c>
      <c r="AU5088" t="s">
        <v>73</v>
      </c>
      <c r="AV5088">
        <v>634</v>
      </c>
      <c r="AW5088" s="4">
        <v>42431</v>
      </c>
      <c r="BD5088">
        <v>0</v>
      </c>
      <c r="BN5088" t="s">
        <v>74</v>
      </c>
    </row>
    <row r="5089" spans="1:66" hidden="1">
      <c r="A5089">
        <v>101934</v>
      </c>
      <c r="B5089" s="3" t="s">
        <v>539</v>
      </c>
      <c r="C5089" s="1">
        <v>43300101</v>
      </c>
      <c r="D5089" t="s">
        <v>67</v>
      </c>
      <c r="H5089" t="str">
        <f t="shared" si="544"/>
        <v>06175550638</v>
      </c>
      <c r="I5089" t="str">
        <f t="shared" si="544"/>
        <v>06175550638</v>
      </c>
      <c r="K5089" t="str">
        <f>""</f>
        <v/>
      </c>
      <c r="M5089" t="s">
        <v>68</v>
      </c>
      <c r="N5089" t="str">
        <f t="shared" si="543"/>
        <v>FOR</v>
      </c>
      <c r="O5089" t="s">
        <v>69</v>
      </c>
      <c r="P5089" s="3" t="s">
        <v>75</v>
      </c>
      <c r="Q5089">
        <v>2015</v>
      </c>
      <c r="R5089" s="2">
        <v>42124</v>
      </c>
      <c r="S5089" s="2">
        <v>42160</v>
      </c>
      <c r="T5089" s="2">
        <v>42144</v>
      </c>
      <c r="U5089" s="2">
        <v>42204</v>
      </c>
      <c r="V5089" t="s">
        <v>71</v>
      </c>
      <c r="W5089" t="str">
        <f>"               84/PA"</f>
        <v xml:space="preserve">               84/PA</v>
      </c>
      <c r="X5089">
        <v>150.80000000000001</v>
      </c>
      <c r="Y5089">
        <v>0</v>
      </c>
      <c r="Z5089"/>
      <c r="AB5089"/>
      <c r="AC5089">
        <v>145</v>
      </c>
      <c r="AD5089">
        <v>227</v>
      </c>
      <c r="AE5089" s="1">
        <v>32915</v>
      </c>
      <c r="AF5089">
        <v>0</v>
      </c>
      <c r="AJ5089">
        <v>0</v>
      </c>
      <c r="AK5089">
        <v>0</v>
      </c>
      <c r="AL5089">
        <v>0</v>
      </c>
      <c r="AM5089">
        <v>0</v>
      </c>
      <c r="AN5089">
        <v>0</v>
      </c>
      <c r="AO5089">
        <v>0</v>
      </c>
      <c r="AP5089" s="2">
        <v>42746</v>
      </c>
      <c r="AQ5089" t="s">
        <v>72</v>
      </c>
      <c r="AR5089" t="s">
        <v>72</v>
      </c>
      <c r="AS5089">
        <v>634</v>
      </c>
      <c r="AT5089" s="4">
        <v>42431</v>
      </c>
      <c r="AU5089" t="s">
        <v>73</v>
      </c>
      <c r="AV5089">
        <v>634</v>
      </c>
      <c r="AW5089" s="4">
        <v>42431</v>
      </c>
      <c r="BD5089">
        <v>0</v>
      </c>
      <c r="BN5089" t="s">
        <v>74</v>
      </c>
    </row>
    <row r="5090" spans="1:66" hidden="1">
      <c r="A5090">
        <v>101934</v>
      </c>
      <c r="B5090" s="3" t="s">
        <v>539</v>
      </c>
      <c r="C5090" s="1">
        <v>43300101</v>
      </c>
      <c r="D5090" t="s">
        <v>67</v>
      </c>
      <c r="H5090" t="str">
        <f t="shared" si="544"/>
        <v>06175550638</v>
      </c>
      <c r="I5090" t="str">
        <f t="shared" si="544"/>
        <v>06175550638</v>
      </c>
      <c r="K5090" t="str">
        <f>""</f>
        <v/>
      </c>
      <c r="M5090" t="s">
        <v>68</v>
      </c>
      <c r="N5090" t="str">
        <f t="shared" si="543"/>
        <v>FOR</v>
      </c>
      <c r="O5090" t="s">
        <v>69</v>
      </c>
      <c r="P5090" s="3" t="s">
        <v>75</v>
      </c>
      <c r="Q5090">
        <v>2015</v>
      </c>
      <c r="R5090" s="2">
        <v>42124</v>
      </c>
      <c r="S5090" s="2">
        <v>42160</v>
      </c>
      <c r="T5090" s="2">
        <v>42144</v>
      </c>
      <c r="U5090" s="2">
        <v>42204</v>
      </c>
      <c r="V5090" t="s">
        <v>71</v>
      </c>
      <c r="W5090" t="str">
        <f>"               85/PA"</f>
        <v xml:space="preserve">               85/PA</v>
      </c>
      <c r="X5090">
        <v>150.80000000000001</v>
      </c>
      <c r="Y5090">
        <v>0</v>
      </c>
      <c r="Z5090"/>
      <c r="AB5090"/>
      <c r="AC5090">
        <v>145</v>
      </c>
      <c r="AD5090">
        <v>227</v>
      </c>
      <c r="AE5090" s="1">
        <v>32915</v>
      </c>
      <c r="AF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0</v>
      </c>
      <c r="AP5090" s="2">
        <v>42746</v>
      </c>
      <c r="AQ5090" t="s">
        <v>72</v>
      </c>
      <c r="AR5090" t="s">
        <v>72</v>
      </c>
      <c r="AS5090">
        <v>634</v>
      </c>
      <c r="AT5090" s="4">
        <v>42431</v>
      </c>
      <c r="AU5090" t="s">
        <v>73</v>
      </c>
      <c r="AV5090">
        <v>634</v>
      </c>
      <c r="AW5090" s="4">
        <v>42431</v>
      </c>
      <c r="BD5090">
        <v>0</v>
      </c>
      <c r="BN5090" t="s">
        <v>74</v>
      </c>
    </row>
    <row r="5091" spans="1:66" hidden="1">
      <c r="A5091">
        <v>101934</v>
      </c>
      <c r="B5091" s="3" t="s">
        <v>539</v>
      </c>
      <c r="C5091" s="1">
        <v>43300101</v>
      </c>
      <c r="D5091" t="s">
        <v>67</v>
      </c>
      <c r="H5091" t="str">
        <f t="shared" si="544"/>
        <v>06175550638</v>
      </c>
      <c r="I5091" t="str">
        <f t="shared" si="544"/>
        <v>06175550638</v>
      </c>
      <c r="K5091" t="str">
        <f>""</f>
        <v/>
      </c>
      <c r="M5091" t="s">
        <v>68</v>
      </c>
      <c r="N5091" t="str">
        <f t="shared" si="543"/>
        <v>FOR</v>
      </c>
      <c r="O5091" t="s">
        <v>69</v>
      </c>
      <c r="P5091" s="3" t="s">
        <v>75</v>
      </c>
      <c r="Q5091">
        <v>2015</v>
      </c>
      <c r="R5091" s="2">
        <v>42124</v>
      </c>
      <c r="S5091" s="2">
        <v>42160</v>
      </c>
      <c r="T5091" s="2">
        <v>42144</v>
      </c>
      <c r="U5091" s="2">
        <v>42204</v>
      </c>
      <c r="V5091" t="s">
        <v>71</v>
      </c>
      <c r="W5091" t="str">
        <f>"               86/PA"</f>
        <v xml:space="preserve">               86/PA</v>
      </c>
      <c r="X5091">
        <v>150.80000000000001</v>
      </c>
      <c r="Y5091">
        <v>0</v>
      </c>
      <c r="Z5091"/>
      <c r="AB5091"/>
      <c r="AC5091">
        <v>145</v>
      </c>
      <c r="AD5091">
        <v>227</v>
      </c>
      <c r="AE5091" s="1">
        <v>32915</v>
      </c>
      <c r="AF5091">
        <v>0</v>
      </c>
      <c r="AJ5091">
        <v>0</v>
      </c>
      <c r="AK5091">
        <v>0</v>
      </c>
      <c r="AL5091">
        <v>0</v>
      </c>
      <c r="AM5091">
        <v>0</v>
      </c>
      <c r="AN5091">
        <v>0</v>
      </c>
      <c r="AO5091">
        <v>0</v>
      </c>
      <c r="AP5091" s="2">
        <v>42746</v>
      </c>
      <c r="AQ5091" t="s">
        <v>72</v>
      </c>
      <c r="AR5091" t="s">
        <v>72</v>
      </c>
      <c r="AS5091">
        <v>634</v>
      </c>
      <c r="AT5091" s="4">
        <v>42431</v>
      </c>
      <c r="AU5091" t="s">
        <v>73</v>
      </c>
      <c r="AV5091">
        <v>634</v>
      </c>
      <c r="AW5091" s="4">
        <v>42431</v>
      </c>
      <c r="BD5091">
        <v>0</v>
      </c>
      <c r="BN5091" t="s">
        <v>74</v>
      </c>
    </row>
    <row r="5092" spans="1:66" hidden="1">
      <c r="A5092">
        <v>101934</v>
      </c>
      <c r="B5092" s="3" t="s">
        <v>539</v>
      </c>
      <c r="C5092" s="1">
        <v>43300101</v>
      </c>
      <c r="D5092" t="s">
        <v>67</v>
      </c>
      <c r="H5092" t="str">
        <f t="shared" si="544"/>
        <v>06175550638</v>
      </c>
      <c r="I5092" t="str">
        <f t="shared" si="544"/>
        <v>06175550638</v>
      </c>
      <c r="K5092" t="str">
        <f>""</f>
        <v/>
      </c>
      <c r="M5092" t="s">
        <v>68</v>
      </c>
      <c r="N5092" t="str">
        <f t="shared" si="543"/>
        <v>FOR</v>
      </c>
      <c r="O5092" t="s">
        <v>69</v>
      </c>
      <c r="P5092" s="3" t="s">
        <v>75</v>
      </c>
      <c r="Q5092">
        <v>2015</v>
      </c>
      <c r="R5092" s="2">
        <v>42124</v>
      </c>
      <c r="S5092" s="2">
        <v>42160</v>
      </c>
      <c r="T5092" s="2">
        <v>42144</v>
      </c>
      <c r="U5092" s="2">
        <v>42204</v>
      </c>
      <c r="V5092" t="s">
        <v>71</v>
      </c>
      <c r="W5092" t="str">
        <f>"               97/PA"</f>
        <v xml:space="preserve">               97/PA</v>
      </c>
      <c r="X5092">
        <v>150.80000000000001</v>
      </c>
      <c r="Y5092">
        <v>0</v>
      </c>
      <c r="Z5092"/>
      <c r="AB5092"/>
      <c r="AC5092">
        <v>145</v>
      </c>
      <c r="AD5092">
        <v>227</v>
      </c>
      <c r="AE5092" s="1">
        <v>32915</v>
      </c>
      <c r="AF5092">
        <v>0</v>
      </c>
      <c r="AJ5092">
        <v>0</v>
      </c>
      <c r="AK5092">
        <v>0</v>
      </c>
      <c r="AL5092">
        <v>0</v>
      </c>
      <c r="AM5092">
        <v>0</v>
      </c>
      <c r="AN5092">
        <v>0</v>
      </c>
      <c r="AO5092">
        <v>0</v>
      </c>
      <c r="AP5092" s="2">
        <v>42746</v>
      </c>
      <c r="AQ5092" t="s">
        <v>72</v>
      </c>
      <c r="AR5092" t="s">
        <v>72</v>
      </c>
      <c r="AS5092">
        <v>634</v>
      </c>
      <c r="AT5092" s="4">
        <v>42431</v>
      </c>
      <c r="AU5092" t="s">
        <v>73</v>
      </c>
      <c r="AV5092">
        <v>634</v>
      </c>
      <c r="AW5092" s="4">
        <v>42431</v>
      </c>
      <c r="BD5092">
        <v>0</v>
      </c>
      <c r="BN5092" t="s">
        <v>74</v>
      </c>
    </row>
    <row r="5093" spans="1:66">
      <c r="A5093">
        <v>101934</v>
      </c>
      <c r="B5093" s="3" t="s">
        <v>539</v>
      </c>
      <c r="C5093" s="1">
        <v>43300101</v>
      </c>
      <c r="D5093" t="s">
        <v>67</v>
      </c>
      <c r="H5093" t="str">
        <f t="shared" ref="H5093:I5112" si="545">"06175550638"</f>
        <v>06175550638</v>
      </c>
      <c r="I5093" t="str">
        <f t="shared" si="545"/>
        <v>06175550638</v>
      </c>
      <c r="K5093" t="str">
        <f>""</f>
        <v/>
      </c>
      <c r="M5093" t="s">
        <v>68</v>
      </c>
      <c r="N5093" t="str">
        <f t="shared" si="543"/>
        <v>FOR</v>
      </c>
      <c r="O5093" t="s">
        <v>69</v>
      </c>
      <c r="P5093" s="3" t="s">
        <v>75</v>
      </c>
      <c r="Q5093">
        <v>2015</v>
      </c>
      <c r="R5093" s="2">
        <v>42146</v>
      </c>
      <c r="S5093" s="2">
        <v>42192</v>
      </c>
      <c r="T5093" s="2">
        <v>42191</v>
      </c>
      <c r="U5093" s="2">
        <v>42251</v>
      </c>
      <c r="V5093" t="s">
        <v>71</v>
      </c>
      <c r="W5093" t="str">
        <f>"              123/PA"</f>
        <v xml:space="preserve">              123/PA</v>
      </c>
      <c r="X5093">
        <v>150.80000000000001</v>
      </c>
      <c r="Y5093">
        <v>0</v>
      </c>
      <c r="Z5093" s="3">
        <v>145</v>
      </c>
      <c r="AA5093">
        <v>397</v>
      </c>
      <c r="AB5093" s="5">
        <v>57565</v>
      </c>
      <c r="AC5093">
        <v>145</v>
      </c>
      <c r="AD5093">
        <v>397</v>
      </c>
      <c r="AE5093" s="1">
        <v>57565</v>
      </c>
      <c r="AF5093">
        <v>0</v>
      </c>
      <c r="AJ5093">
        <v>0</v>
      </c>
      <c r="AK5093">
        <v>0</v>
      </c>
      <c r="AL5093">
        <v>0</v>
      </c>
      <c r="AM5093">
        <v>0</v>
      </c>
      <c r="AN5093">
        <v>0</v>
      </c>
      <c r="AO5093">
        <v>0</v>
      </c>
      <c r="AP5093" s="2">
        <v>42746</v>
      </c>
      <c r="AQ5093" t="s">
        <v>72</v>
      </c>
      <c r="AR5093" t="s">
        <v>72</v>
      </c>
      <c r="AS5093">
        <v>2687</v>
      </c>
      <c r="AT5093" s="4">
        <v>42648</v>
      </c>
      <c r="AU5093" t="s">
        <v>73</v>
      </c>
      <c r="AV5093">
        <v>2687</v>
      </c>
      <c r="AW5093" s="4">
        <v>42648</v>
      </c>
      <c r="BD5093">
        <v>0</v>
      </c>
      <c r="BN5093" t="s">
        <v>74</v>
      </c>
    </row>
    <row r="5094" spans="1:66" hidden="1">
      <c r="A5094">
        <v>101934</v>
      </c>
      <c r="B5094" s="3" t="s">
        <v>539</v>
      </c>
      <c r="C5094" s="1">
        <v>43300101</v>
      </c>
      <c r="D5094" t="s">
        <v>67</v>
      </c>
      <c r="H5094" t="str">
        <f t="shared" si="545"/>
        <v>06175550638</v>
      </c>
      <c r="I5094" t="str">
        <f t="shared" si="545"/>
        <v>06175550638</v>
      </c>
      <c r="K5094" t="str">
        <f>""</f>
        <v/>
      </c>
      <c r="M5094" t="s">
        <v>68</v>
      </c>
      <c r="N5094" t="str">
        <f t="shared" si="543"/>
        <v>FOR</v>
      </c>
      <c r="O5094" t="s">
        <v>69</v>
      </c>
      <c r="P5094" s="3" t="s">
        <v>75</v>
      </c>
      <c r="Q5094">
        <v>2015</v>
      </c>
      <c r="R5094" s="2">
        <v>42146</v>
      </c>
      <c r="S5094" s="2">
        <v>42192</v>
      </c>
      <c r="T5094" s="2">
        <v>42191</v>
      </c>
      <c r="U5094" s="2">
        <v>42251</v>
      </c>
      <c r="V5094" t="s">
        <v>71</v>
      </c>
      <c r="W5094" t="str">
        <f>"              124/PA"</f>
        <v xml:space="preserve">              124/PA</v>
      </c>
      <c r="X5094">
        <v>150.80000000000001</v>
      </c>
      <c r="Y5094">
        <v>0</v>
      </c>
      <c r="Z5094"/>
      <c r="AB5094"/>
      <c r="AC5094">
        <v>145</v>
      </c>
      <c r="AD5094">
        <v>201</v>
      </c>
      <c r="AE5094" s="1">
        <v>29145</v>
      </c>
      <c r="AF5094">
        <v>0</v>
      </c>
      <c r="AJ5094">
        <v>0</v>
      </c>
      <c r="AK5094">
        <v>0</v>
      </c>
      <c r="AL5094">
        <v>0</v>
      </c>
      <c r="AM5094">
        <v>0</v>
      </c>
      <c r="AN5094">
        <v>0</v>
      </c>
      <c r="AO5094">
        <v>0</v>
      </c>
      <c r="AP5094" s="2">
        <v>42746</v>
      </c>
      <c r="AQ5094" t="s">
        <v>72</v>
      </c>
      <c r="AR5094" t="s">
        <v>72</v>
      </c>
      <c r="AS5094">
        <v>826</v>
      </c>
      <c r="AT5094" s="4">
        <v>42452</v>
      </c>
      <c r="AU5094" t="s">
        <v>73</v>
      </c>
      <c r="AV5094">
        <v>826</v>
      </c>
      <c r="AW5094" s="4">
        <v>42452</v>
      </c>
      <c r="BD5094">
        <v>0</v>
      </c>
      <c r="BN5094" t="s">
        <v>74</v>
      </c>
    </row>
    <row r="5095" spans="1:66" hidden="1">
      <c r="A5095">
        <v>101934</v>
      </c>
      <c r="B5095" s="3" t="s">
        <v>539</v>
      </c>
      <c r="C5095" s="1">
        <v>43300101</v>
      </c>
      <c r="D5095" t="s">
        <v>67</v>
      </c>
      <c r="H5095" t="str">
        <f t="shared" si="545"/>
        <v>06175550638</v>
      </c>
      <c r="I5095" t="str">
        <f t="shared" si="545"/>
        <v>06175550638</v>
      </c>
      <c r="K5095" t="str">
        <f>""</f>
        <v/>
      </c>
      <c r="M5095" t="s">
        <v>68</v>
      </c>
      <c r="N5095" t="str">
        <f t="shared" si="543"/>
        <v>FOR</v>
      </c>
      <c r="O5095" t="s">
        <v>69</v>
      </c>
      <c r="P5095" s="3" t="s">
        <v>75</v>
      </c>
      <c r="Q5095">
        <v>2015</v>
      </c>
      <c r="R5095" s="2">
        <v>42146</v>
      </c>
      <c r="S5095" s="2">
        <v>42192</v>
      </c>
      <c r="T5095" s="2">
        <v>42191</v>
      </c>
      <c r="U5095" s="2">
        <v>42251</v>
      </c>
      <c r="V5095" t="s">
        <v>71</v>
      </c>
      <c r="W5095" t="str">
        <f>"              125/PA"</f>
        <v xml:space="preserve">              125/PA</v>
      </c>
      <c r="X5095">
        <v>150.80000000000001</v>
      </c>
      <c r="Y5095">
        <v>0</v>
      </c>
      <c r="Z5095"/>
      <c r="AB5095"/>
      <c r="AC5095">
        <v>145</v>
      </c>
      <c r="AD5095">
        <v>201</v>
      </c>
      <c r="AE5095" s="1">
        <v>29145</v>
      </c>
      <c r="AF5095">
        <v>0</v>
      </c>
      <c r="AJ5095">
        <v>0</v>
      </c>
      <c r="AK5095">
        <v>0</v>
      </c>
      <c r="AL5095">
        <v>0</v>
      </c>
      <c r="AM5095">
        <v>0</v>
      </c>
      <c r="AN5095">
        <v>0</v>
      </c>
      <c r="AO5095">
        <v>0</v>
      </c>
      <c r="AP5095" s="2">
        <v>42746</v>
      </c>
      <c r="AQ5095" t="s">
        <v>72</v>
      </c>
      <c r="AR5095" t="s">
        <v>72</v>
      </c>
      <c r="AS5095">
        <v>826</v>
      </c>
      <c r="AT5095" s="4">
        <v>42452</v>
      </c>
      <c r="AU5095" t="s">
        <v>73</v>
      </c>
      <c r="AV5095">
        <v>826</v>
      </c>
      <c r="AW5095" s="4">
        <v>42452</v>
      </c>
      <c r="BD5095">
        <v>0</v>
      </c>
      <c r="BN5095" t="s">
        <v>74</v>
      </c>
    </row>
    <row r="5096" spans="1:66" hidden="1">
      <c r="A5096">
        <v>101934</v>
      </c>
      <c r="B5096" s="3" t="s">
        <v>539</v>
      </c>
      <c r="C5096" s="1">
        <v>43300101</v>
      </c>
      <c r="D5096" t="s">
        <v>67</v>
      </c>
      <c r="H5096" t="str">
        <f t="shared" si="545"/>
        <v>06175550638</v>
      </c>
      <c r="I5096" t="str">
        <f t="shared" si="545"/>
        <v>06175550638</v>
      </c>
      <c r="K5096" t="str">
        <f>""</f>
        <v/>
      </c>
      <c r="M5096" t="s">
        <v>68</v>
      </c>
      <c r="N5096" t="str">
        <f t="shared" si="543"/>
        <v>FOR</v>
      </c>
      <c r="O5096" t="s">
        <v>69</v>
      </c>
      <c r="P5096" s="3" t="s">
        <v>75</v>
      </c>
      <c r="Q5096">
        <v>2015</v>
      </c>
      <c r="R5096" s="2">
        <v>42146</v>
      </c>
      <c r="S5096" s="2">
        <v>42163</v>
      </c>
      <c r="T5096" s="2">
        <v>42146</v>
      </c>
      <c r="U5096" s="2">
        <v>42206</v>
      </c>
      <c r="V5096" t="s">
        <v>71</v>
      </c>
      <c r="W5096" t="str">
        <f>"              126/PA"</f>
        <v xml:space="preserve">              126/PA</v>
      </c>
      <c r="X5096">
        <v>150.80000000000001</v>
      </c>
      <c r="Y5096">
        <v>0</v>
      </c>
      <c r="Z5096"/>
      <c r="AB5096"/>
      <c r="AC5096">
        <v>145</v>
      </c>
      <c r="AD5096">
        <v>246</v>
      </c>
      <c r="AE5096" s="1">
        <v>35670</v>
      </c>
      <c r="AF5096">
        <v>0</v>
      </c>
      <c r="AJ5096">
        <v>0</v>
      </c>
      <c r="AK5096">
        <v>0</v>
      </c>
      <c r="AL5096">
        <v>0</v>
      </c>
      <c r="AM5096">
        <v>0</v>
      </c>
      <c r="AN5096">
        <v>0</v>
      </c>
      <c r="AO5096">
        <v>0</v>
      </c>
      <c r="AP5096" s="2">
        <v>42746</v>
      </c>
      <c r="AQ5096" t="s">
        <v>72</v>
      </c>
      <c r="AR5096" t="s">
        <v>72</v>
      </c>
      <c r="AS5096">
        <v>826</v>
      </c>
      <c r="AT5096" s="4">
        <v>42452</v>
      </c>
      <c r="AU5096" t="s">
        <v>73</v>
      </c>
      <c r="AV5096">
        <v>826</v>
      </c>
      <c r="AW5096" s="4">
        <v>42452</v>
      </c>
      <c r="BD5096">
        <v>0</v>
      </c>
      <c r="BN5096" t="s">
        <v>74</v>
      </c>
    </row>
    <row r="5097" spans="1:66" hidden="1">
      <c r="A5097">
        <v>101934</v>
      </c>
      <c r="B5097" s="3" t="s">
        <v>539</v>
      </c>
      <c r="C5097" s="1">
        <v>43300101</v>
      </c>
      <c r="D5097" t="s">
        <v>67</v>
      </c>
      <c r="H5097" t="str">
        <f t="shared" si="545"/>
        <v>06175550638</v>
      </c>
      <c r="I5097" t="str">
        <f t="shared" si="545"/>
        <v>06175550638</v>
      </c>
      <c r="K5097" t="str">
        <f>""</f>
        <v/>
      </c>
      <c r="M5097" t="s">
        <v>68</v>
      </c>
      <c r="N5097" t="str">
        <f t="shared" si="543"/>
        <v>FOR</v>
      </c>
      <c r="O5097" t="s">
        <v>69</v>
      </c>
      <c r="P5097" s="3" t="s">
        <v>75</v>
      </c>
      <c r="Q5097">
        <v>2015</v>
      </c>
      <c r="R5097" s="2">
        <v>42150</v>
      </c>
      <c r="S5097" s="2">
        <v>42163</v>
      </c>
      <c r="T5097" s="2">
        <v>42151</v>
      </c>
      <c r="U5097" s="2">
        <v>42211</v>
      </c>
      <c r="V5097" t="s">
        <v>71</v>
      </c>
      <c r="W5097" t="str">
        <f>"              136/PA"</f>
        <v xml:space="preserve">              136/PA</v>
      </c>
      <c r="X5097">
        <v>150.80000000000001</v>
      </c>
      <c r="Y5097">
        <v>0</v>
      </c>
      <c r="Z5097"/>
      <c r="AB5097"/>
      <c r="AC5097">
        <v>145</v>
      </c>
      <c r="AD5097">
        <v>241</v>
      </c>
      <c r="AE5097" s="1">
        <v>34945</v>
      </c>
      <c r="AF5097">
        <v>0</v>
      </c>
      <c r="AJ5097">
        <v>0</v>
      </c>
      <c r="AK5097">
        <v>0</v>
      </c>
      <c r="AL5097">
        <v>0</v>
      </c>
      <c r="AM5097">
        <v>0</v>
      </c>
      <c r="AN5097">
        <v>0</v>
      </c>
      <c r="AO5097">
        <v>0</v>
      </c>
      <c r="AP5097" s="2">
        <v>42746</v>
      </c>
      <c r="AQ5097" t="s">
        <v>72</v>
      </c>
      <c r="AR5097" t="s">
        <v>72</v>
      </c>
      <c r="AS5097">
        <v>826</v>
      </c>
      <c r="AT5097" s="4">
        <v>42452</v>
      </c>
      <c r="AU5097" t="s">
        <v>73</v>
      </c>
      <c r="AV5097">
        <v>826</v>
      </c>
      <c r="AW5097" s="4">
        <v>42452</v>
      </c>
      <c r="BD5097">
        <v>0</v>
      </c>
      <c r="BN5097" t="s">
        <v>74</v>
      </c>
    </row>
    <row r="5098" spans="1:66" hidden="1">
      <c r="A5098">
        <v>101934</v>
      </c>
      <c r="B5098" s="3" t="s">
        <v>539</v>
      </c>
      <c r="C5098" s="1">
        <v>43300101</v>
      </c>
      <c r="D5098" t="s">
        <v>67</v>
      </c>
      <c r="H5098" t="str">
        <f t="shared" si="545"/>
        <v>06175550638</v>
      </c>
      <c r="I5098" t="str">
        <f t="shared" si="545"/>
        <v>06175550638</v>
      </c>
      <c r="K5098" t="str">
        <f>""</f>
        <v/>
      </c>
      <c r="M5098" t="s">
        <v>68</v>
      </c>
      <c r="N5098" t="str">
        <f t="shared" si="543"/>
        <v>FOR</v>
      </c>
      <c r="O5098" t="s">
        <v>69</v>
      </c>
      <c r="P5098" s="3" t="s">
        <v>75</v>
      </c>
      <c r="Q5098">
        <v>2015</v>
      </c>
      <c r="R5098" s="2">
        <v>42150</v>
      </c>
      <c r="S5098" s="2">
        <v>42163</v>
      </c>
      <c r="T5098" s="2">
        <v>42151</v>
      </c>
      <c r="U5098" s="2">
        <v>42211</v>
      </c>
      <c r="V5098" t="s">
        <v>71</v>
      </c>
      <c r="W5098" t="str">
        <f>"              137/PA"</f>
        <v xml:space="preserve">              137/PA</v>
      </c>
      <c r="X5098">
        <v>150.80000000000001</v>
      </c>
      <c r="Y5098">
        <v>0</v>
      </c>
      <c r="Z5098"/>
      <c r="AB5098"/>
      <c r="AC5098">
        <v>145</v>
      </c>
      <c r="AD5098">
        <v>241</v>
      </c>
      <c r="AE5098" s="1">
        <v>34945</v>
      </c>
      <c r="AF5098">
        <v>0</v>
      </c>
      <c r="AJ5098">
        <v>0</v>
      </c>
      <c r="AK5098">
        <v>0</v>
      </c>
      <c r="AL5098">
        <v>0</v>
      </c>
      <c r="AM5098">
        <v>0</v>
      </c>
      <c r="AN5098">
        <v>0</v>
      </c>
      <c r="AO5098">
        <v>0</v>
      </c>
      <c r="AP5098" s="2">
        <v>42746</v>
      </c>
      <c r="AQ5098" t="s">
        <v>72</v>
      </c>
      <c r="AR5098" t="s">
        <v>72</v>
      </c>
      <c r="AS5098">
        <v>826</v>
      </c>
      <c r="AT5098" s="4">
        <v>42452</v>
      </c>
      <c r="AU5098" t="s">
        <v>73</v>
      </c>
      <c r="AV5098">
        <v>826</v>
      </c>
      <c r="AW5098" s="4">
        <v>42452</v>
      </c>
      <c r="BD5098">
        <v>0</v>
      </c>
      <c r="BN5098" t="s">
        <v>74</v>
      </c>
    </row>
    <row r="5099" spans="1:66" hidden="1">
      <c r="A5099">
        <v>101934</v>
      </c>
      <c r="B5099" s="3" t="s">
        <v>539</v>
      </c>
      <c r="C5099" s="1">
        <v>43300101</v>
      </c>
      <c r="D5099" t="s">
        <v>67</v>
      </c>
      <c r="H5099" t="str">
        <f t="shared" si="545"/>
        <v>06175550638</v>
      </c>
      <c r="I5099" t="str">
        <f t="shared" si="545"/>
        <v>06175550638</v>
      </c>
      <c r="K5099" t="str">
        <f>""</f>
        <v/>
      </c>
      <c r="M5099" t="s">
        <v>68</v>
      </c>
      <c r="N5099" t="str">
        <f t="shared" si="543"/>
        <v>FOR</v>
      </c>
      <c r="O5099" t="s">
        <v>69</v>
      </c>
      <c r="P5099" s="3" t="s">
        <v>75</v>
      </c>
      <c r="Q5099">
        <v>2015</v>
      </c>
      <c r="R5099" s="2">
        <v>42150</v>
      </c>
      <c r="S5099" s="2">
        <v>42163</v>
      </c>
      <c r="T5099" s="2">
        <v>42151</v>
      </c>
      <c r="U5099" s="2">
        <v>42211</v>
      </c>
      <c r="V5099" t="s">
        <v>71</v>
      </c>
      <c r="W5099" t="str">
        <f>"              138/PA"</f>
        <v xml:space="preserve">              138/PA</v>
      </c>
      <c r="X5099">
        <v>150.80000000000001</v>
      </c>
      <c r="Y5099">
        <v>0</v>
      </c>
      <c r="Z5099"/>
      <c r="AB5099"/>
      <c r="AC5099">
        <v>145</v>
      </c>
      <c r="AD5099">
        <v>241</v>
      </c>
      <c r="AE5099" s="1">
        <v>34945</v>
      </c>
      <c r="AF5099">
        <v>0</v>
      </c>
      <c r="AJ5099">
        <v>0</v>
      </c>
      <c r="AK5099">
        <v>0</v>
      </c>
      <c r="AL5099">
        <v>0</v>
      </c>
      <c r="AM5099">
        <v>0</v>
      </c>
      <c r="AN5099">
        <v>0</v>
      </c>
      <c r="AO5099">
        <v>0</v>
      </c>
      <c r="AP5099" s="2">
        <v>42746</v>
      </c>
      <c r="AQ5099" t="s">
        <v>72</v>
      </c>
      <c r="AR5099" t="s">
        <v>72</v>
      </c>
      <c r="AS5099">
        <v>826</v>
      </c>
      <c r="AT5099" s="4">
        <v>42452</v>
      </c>
      <c r="AU5099" t="s">
        <v>73</v>
      </c>
      <c r="AV5099">
        <v>826</v>
      </c>
      <c r="AW5099" s="4">
        <v>42452</v>
      </c>
      <c r="BD5099">
        <v>0</v>
      </c>
      <c r="BN5099" t="s">
        <v>74</v>
      </c>
    </row>
    <row r="5100" spans="1:66" hidden="1">
      <c r="A5100">
        <v>101934</v>
      </c>
      <c r="B5100" s="3" t="s">
        <v>539</v>
      </c>
      <c r="C5100" s="1">
        <v>43300101</v>
      </c>
      <c r="D5100" t="s">
        <v>67</v>
      </c>
      <c r="H5100" t="str">
        <f t="shared" si="545"/>
        <v>06175550638</v>
      </c>
      <c r="I5100" t="str">
        <f t="shared" si="545"/>
        <v>06175550638</v>
      </c>
      <c r="K5100" t="str">
        <f>""</f>
        <v/>
      </c>
      <c r="M5100" t="s">
        <v>68</v>
      </c>
      <c r="N5100" t="str">
        <f t="shared" si="543"/>
        <v>FOR</v>
      </c>
      <c r="O5100" t="s">
        <v>69</v>
      </c>
      <c r="P5100" s="3" t="s">
        <v>75</v>
      </c>
      <c r="Q5100">
        <v>2015</v>
      </c>
      <c r="R5100" s="2">
        <v>42150</v>
      </c>
      <c r="S5100" s="2">
        <v>42163</v>
      </c>
      <c r="T5100" s="2">
        <v>42151</v>
      </c>
      <c r="U5100" s="2">
        <v>42211</v>
      </c>
      <c r="V5100" t="s">
        <v>71</v>
      </c>
      <c r="W5100" t="str">
        <f>"              139/PA"</f>
        <v xml:space="preserve">              139/PA</v>
      </c>
      <c r="X5100">
        <v>150.80000000000001</v>
      </c>
      <c r="Y5100">
        <v>0</v>
      </c>
      <c r="Z5100"/>
      <c r="AB5100"/>
      <c r="AC5100">
        <v>145</v>
      </c>
      <c r="AD5100">
        <v>241</v>
      </c>
      <c r="AE5100" s="1">
        <v>34945</v>
      </c>
      <c r="AF5100">
        <v>0</v>
      </c>
      <c r="AJ5100">
        <v>0</v>
      </c>
      <c r="AK5100">
        <v>0</v>
      </c>
      <c r="AL5100">
        <v>0</v>
      </c>
      <c r="AM5100">
        <v>0</v>
      </c>
      <c r="AN5100">
        <v>0</v>
      </c>
      <c r="AO5100">
        <v>0</v>
      </c>
      <c r="AP5100" s="2">
        <v>42746</v>
      </c>
      <c r="AQ5100" t="s">
        <v>72</v>
      </c>
      <c r="AR5100" t="s">
        <v>72</v>
      </c>
      <c r="AS5100">
        <v>826</v>
      </c>
      <c r="AT5100" s="4">
        <v>42452</v>
      </c>
      <c r="AU5100" t="s">
        <v>73</v>
      </c>
      <c r="AV5100">
        <v>826</v>
      </c>
      <c r="AW5100" s="4">
        <v>42452</v>
      </c>
      <c r="BD5100">
        <v>0</v>
      </c>
      <c r="BN5100" t="s">
        <v>74</v>
      </c>
    </row>
    <row r="5101" spans="1:66" hidden="1">
      <c r="A5101">
        <v>101934</v>
      </c>
      <c r="B5101" s="3" t="s">
        <v>539</v>
      </c>
      <c r="C5101" s="1">
        <v>43300101</v>
      </c>
      <c r="D5101" t="s">
        <v>67</v>
      </c>
      <c r="H5101" t="str">
        <f t="shared" si="545"/>
        <v>06175550638</v>
      </c>
      <c r="I5101" t="str">
        <f t="shared" si="545"/>
        <v>06175550638</v>
      </c>
      <c r="K5101" t="str">
        <f>""</f>
        <v/>
      </c>
      <c r="M5101" t="s">
        <v>68</v>
      </c>
      <c r="N5101" t="str">
        <f t="shared" si="543"/>
        <v>FOR</v>
      </c>
      <c r="O5101" t="s">
        <v>69</v>
      </c>
      <c r="P5101" s="3" t="s">
        <v>75</v>
      </c>
      <c r="Q5101">
        <v>2015</v>
      </c>
      <c r="R5101" s="2">
        <v>42150</v>
      </c>
      <c r="S5101" s="2">
        <v>42163</v>
      </c>
      <c r="T5101" s="2">
        <v>42151</v>
      </c>
      <c r="U5101" s="2">
        <v>42211</v>
      </c>
      <c r="V5101" t="s">
        <v>71</v>
      </c>
      <c r="W5101" t="str">
        <f>"              140/PA"</f>
        <v xml:space="preserve">              140/PA</v>
      </c>
      <c r="X5101">
        <v>150.80000000000001</v>
      </c>
      <c r="Y5101">
        <v>0</v>
      </c>
      <c r="Z5101"/>
      <c r="AB5101"/>
      <c r="AC5101">
        <v>145</v>
      </c>
      <c r="AD5101">
        <v>241</v>
      </c>
      <c r="AE5101" s="1">
        <v>34945</v>
      </c>
      <c r="AF5101">
        <v>0</v>
      </c>
      <c r="AJ5101">
        <v>0</v>
      </c>
      <c r="AK5101">
        <v>0</v>
      </c>
      <c r="AL5101">
        <v>0</v>
      </c>
      <c r="AM5101">
        <v>0</v>
      </c>
      <c r="AN5101">
        <v>0</v>
      </c>
      <c r="AO5101">
        <v>0</v>
      </c>
      <c r="AP5101" s="2">
        <v>42746</v>
      </c>
      <c r="AQ5101" t="s">
        <v>72</v>
      </c>
      <c r="AR5101" t="s">
        <v>72</v>
      </c>
      <c r="AS5101">
        <v>826</v>
      </c>
      <c r="AT5101" s="4">
        <v>42452</v>
      </c>
      <c r="AU5101" t="s">
        <v>73</v>
      </c>
      <c r="AV5101">
        <v>826</v>
      </c>
      <c r="AW5101" s="4">
        <v>42452</v>
      </c>
      <c r="BD5101">
        <v>0</v>
      </c>
      <c r="BN5101" t="s">
        <v>74</v>
      </c>
    </row>
    <row r="5102" spans="1:66" hidden="1">
      <c r="A5102">
        <v>101934</v>
      </c>
      <c r="B5102" s="3" t="s">
        <v>539</v>
      </c>
      <c r="C5102" s="1">
        <v>43300101</v>
      </c>
      <c r="D5102" t="s">
        <v>67</v>
      </c>
      <c r="H5102" t="str">
        <f t="shared" si="545"/>
        <v>06175550638</v>
      </c>
      <c r="I5102" t="str">
        <f t="shared" si="545"/>
        <v>06175550638</v>
      </c>
      <c r="K5102" t="str">
        <f>""</f>
        <v/>
      </c>
      <c r="M5102" t="s">
        <v>68</v>
      </c>
      <c r="N5102" t="str">
        <f t="shared" si="543"/>
        <v>FOR</v>
      </c>
      <c r="O5102" t="s">
        <v>69</v>
      </c>
      <c r="P5102" s="3" t="s">
        <v>75</v>
      </c>
      <c r="Q5102">
        <v>2015</v>
      </c>
      <c r="R5102" s="2">
        <v>42150</v>
      </c>
      <c r="S5102" s="2">
        <v>42163</v>
      </c>
      <c r="T5102" s="2">
        <v>42151</v>
      </c>
      <c r="U5102" s="2">
        <v>42211</v>
      </c>
      <c r="V5102" t="s">
        <v>71</v>
      </c>
      <c r="W5102" t="str">
        <f>"              141/PA"</f>
        <v xml:space="preserve">              141/PA</v>
      </c>
      <c r="X5102">
        <v>150.80000000000001</v>
      </c>
      <c r="Y5102">
        <v>0</v>
      </c>
      <c r="Z5102"/>
      <c r="AB5102"/>
      <c r="AC5102">
        <v>145</v>
      </c>
      <c r="AD5102">
        <v>241</v>
      </c>
      <c r="AE5102" s="1">
        <v>34945</v>
      </c>
      <c r="AF5102">
        <v>0</v>
      </c>
      <c r="AJ5102">
        <v>0</v>
      </c>
      <c r="AK5102">
        <v>0</v>
      </c>
      <c r="AL5102">
        <v>0</v>
      </c>
      <c r="AM5102">
        <v>0</v>
      </c>
      <c r="AN5102">
        <v>0</v>
      </c>
      <c r="AO5102">
        <v>0</v>
      </c>
      <c r="AP5102" s="2">
        <v>42746</v>
      </c>
      <c r="AQ5102" t="s">
        <v>72</v>
      </c>
      <c r="AR5102" t="s">
        <v>72</v>
      </c>
      <c r="AS5102">
        <v>826</v>
      </c>
      <c r="AT5102" s="4">
        <v>42452</v>
      </c>
      <c r="AU5102" t="s">
        <v>73</v>
      </c>
      <c r="AV5102">
        <v>826</v>
      </c>
      <c r="AW5102" s="4">
        <v>42452</v>
      </c>
      <c r="BD5102">
        <v>0</v>
      </c>
      <c r="BN5102" t="s">
        <v>74</v>
      </c>
    </row>
    <row r="5103" spans="1:66" hidden="1">
      <c r="A5103">
        <v>101934</v>
      </c>
      <c r="B5103" s="3" t="s">
        <v>539</v>
      </c>
      <c r="C5103" s="1">
        <v>43300101</v>
      </c>
      <c r="D5103" t="s">
        <v>67</v>
      </c>
      <c r="H5103" t="str">
        <f t="shared" si="545"/>
        <v>06175550638</v>
      </c>
      <c r="I5103" t="str">
        <f t="shared" si="545"/>
        <v>06175550638</v>
      </c>
      <c r="K5103" t="str">
        <f>""</f>
        <v/>
      </c>
      <c r="M5103" t="s">
        <v>68</v>
      </c>
      <c r="N5103" t="str">
        <f t="shared" si="543"/>
        <v>FOR</v>
      </c>
      <c r="O5103" t="s">
        <v>69</v>
      </c>
      <c r="P5103" s="3" t="s">
        <v>75</v>
      </c>
      <c r="Q5103">
        <v>2015</v>
      </c>
      <c r="R5103" s="2">
        <v>42150</v>
      </c>
      <c r="S5103" s="2">
        <v>42163</v>
      </c>
      <c r="T5103" s="2">
        <v>42151</v>
      </c>
      <c r="U5103" s="2">
        <v>42211</v>
      </c>
      <c r="V5103" t="s">
        <v>71</v>
      </c>
      <c r="W5103" t="str">
        <f>"              142/PA"</f>
        <v xml:space="preserve">              142/PA</v>
      </c>
      <c r="X5103">
        <v>150.80000000000001</v>
      </c>
      <c r="Y5103">
        <v>0</v>
      </c>
      <c r="Z5103"/>
      <c r="AB5103"/>
      <c r="AC5103">
        <v>145</v>
      </c>
      <c r="AD5103">
        <v>241</v>
      </c>
      <c r="AE5103" s="1">
        <v>34945</v>
      </c>
      <c r="AF5103">
        <v>0</v>
      </c>
      <c r="AJ5103">
        <v>0</v>
      </c>
      <c r="AK5103">
        <v>0</v>
      </c>
      <c r="AL5103">
        <v>0</v>
      </c>
      <c r="AM5103">
        <v>0</v>
      </c>
      <c r="AN5103">
        <v>0</v>
      </c>
      <c r="AO5103">
        <v>0</v>
      </c>
      <c r="AP5103" s="2">
        <v>42746</v>
      </c>
      <c r="AQ5103" t="s">
        <v>72</v>
      </c>
      <c r="AR5103" t="s">
        <v>72</v>
      </c>
      <c r="AS5103">
        <v>826</v>
      </c>
      <c r="AT5103" s="4">
        <v>42452</v>
      </c>
      <c r="AU5103" t="s">
        <v>73</v>
      </c>
      <c r="AV5103">
        <v>826</v>
      </c>
      <c r="AW5103" s="4">
        <v>42452</v>
      </c>
      <c r="BD5103">
        <v>0</v>
      </c>
      <c r="BN5103" t="s">
        <v>74</v>
      </c>
    </row>
    <row r="5104" spans="1:66" hidden="1">
      <c r="A5104">
        <v>101934</v>
      </c>
      <c r="B5104" s="3" t="s">
        <v>539</v>
      </c>
      <c r="C5104" s="1">
        <v>43300101</v>
      </c>
      <c r="D5104" t="s">
        <v>67</v>
      </c>
      <c r="H5104" t="str">
        <f t="shared" si="545"/>
        <v>06175550638</v>
      </c>
      <c r="I5104" t="str">
        <f t="shared" si="545"/>
        <v>06175550638</v>
      </c>
      <c r="K5104" t="str">
        <f>""</f>
        <v/>
      </c>
      <c r="M5104" t="s">
        <v>68</v>
      </c>
      <c r="N5104" t="str">
        <f t="shared" si="543"/>
        <v>FOR</v>
      </c>
      <c r="O5104" t="s">
        <v>69</v>
      </c>
      <c r="P5104" s="3" t="s">
        <v>75</v>
      </c>
      <c r="Q5104">
        <v>2015</v>
      </c>
      <c r="R5104" s="2">
        <v>42150</v>
      </c>
      <c r="S5104" s="2">
        <v>42163</v>
      </c>
      <c r="T5104" s="2">
        <v>42151</v>
      </c>
      <c r="U5104" s="2">
        <v>42211</v>
      </c>
      <c r="V5104" t="s">
        <v>71</v>
      </c>
      <c r="W5104" t="str">
        <f>"              143/PA"</f>
        <v xml:space="preserve">              143/PA</v>
      </c>
      <c r="X5104">
        <v>150.80000000000001</v>
      </c>
      <c r="Y5104">
        <v>0</v>
      </c>
      <c r="Z5104"/>
      <c r="AB5104"/>
      <c r="AC5104">
        <v>145</v>
      </c>
      <c r="AD5104">
        <v>241</v>
      </c>
      <c r="AE5104" s="1">
        <v>34945</v>
      </c>
      <c r="AF5104">
        <v>0</v>
      </c>
      <c r="AJ5104">
        <v>0</v>
      </c>
      <c r="AK5104">
        <v>0</v>
      </c>
      <c r="AL5104">
        <v>0</v>
      </c>
      <c r="AM5104">
        <v>0</v>
      </c>
      <c r="AN5104">
        <v>0</v>
      </c>
      <c r="AO5104">
        <v>0</v>
      </c>
      <c r="AP5104" s="2">
        <v>42746</v>
      </c>
      <c r="AQ5104" t="s">
        <v>72</v>
      </c>
      <c r="AR5104" t="s">
        <v>72</v>
      </c>
      <c r="AS5104">
        <v>826</v>
      </c>
      <c r="AT5104" s="4">
        <v>42452</v>
      </c>
      <c r="AU5104" t="s">
        <v>73</v>
      </c>
      <c r="AV5104">
        <v>826</v>
      </c>
      <c r="AW5104" s="4">
        <v>42452</v>
      </c>
      <c r="BD5104">
        <v>0</v>
      </c>
      <c r="BN5104" t="s">
        <v>74</v>
      </c>
    </row>
    <row r="5105" spans="1:66" hidden="1">
      <c r="A5105">
        <v>101934</v>
      </c>
      <c r="B5105" s="3" t="s">
        <v>539</v>
      </c>
      <c r="C5105" s="1">
        <v>43300101</v>
      </c>
      <c r="D5105" t="s">
        <v>67</v>
      </c>
      <c r="H5105" t="str">
        <f t="shared" si="545"/>
        <v>06175550638</v>
      </c>
      <c r="I5105" t="str">
        <f t="shared" si="545"/>
        <v>06175550638</v>
      </c>
      <c r="K5105" t="str">
        <f>""</f>
        <v/>
      </c>
      <c r="M5105" t="s">
        <v>68</v>
      </c>
      <c r="N5105" t="str">
        <f t="shared" si="543"/>
        <v>FOR</v>
      </c>
      <c r="O5105" t="s">
        <v>69</v>
      </c>
      <c r="P5105" s="3" t="s">
        <v>75</v>
      </c>
      <c r="Q5105">
        <v>2015</v>
      </c>
      <c r="R5105" s="2">
        <v>42150</v>
      </c>
      <c r="S5105" s="2">
        <v>42163</v>
      </c>
      <c r="T5105" s="2">
        <v>42151</v>
      </c>
      <c r="U5105" s="2">
        <v>42211</v>
      </c>
      <c r="V5105" t="s">
        <v>71</v>
      </c>
      <c r="W5105" t="str">
        <f>"              144/PA"</f>
        <v xml:space="preserve">              144/PA</v>
      </c>
      <c r="X5105">
        <v>150.80000000000001</v>
      </c>
      <c r="Y5105">
        <v>0</v>
      </c>
      <c r="Z5105"/>
      <c r="AB5105"/>
      <c r="AC5105">
        <v>145</v>
      </c>
      <c r="AD5105">
        <v>241</v>
      </c>
      <c r="AE5105" s="1">
        <v>34945</v>
      </c>
      <c r="AF5105">
        <v>0</v>
      </c>
      <c r="AJ5105">
        <v>0</v>
      </c>
      <c r="AK5105">
        <v>0</v>
      </c>
      <c r="AL5105">
        <v>0</v>
      </c>
      <c r="AM5105">
        <v>0</v>
      </c>
      <c r="AN5105">
        <v>0</v>
      </c>
      <c r="AO5105">
        <v>0</v>
      </c>
      <c r="AP5105" s="2">
        <v>42746</v>
      </c>
      <c r="AQ5105" t="s">
        <v>72</v>
      </c>
      <c r="AR5105" t="s">
        <v>72</v>
      </c>
      <c r="AS5105">
        <v>826</v>
      </c>
      <c r="AT5105" s="4">
        <v>42452</v>
      </c>
      <c r="AU5105" t="s">
        <v>73</v>
      </c>
      <c r="AV5105">
        <v>826</v>
      </c>
      <c r="AW5105" s="4">
        <v>42452</v>
      </c>
      <c r="BD5105">
        <v>0</v>
      </c>
      <c r="BN5105" t="s">
        <v>74</v>
      </c>
    </row>
    <row r="5106" spans="1:66" hidden="1">
      <c r="A5106">
        <v>101934</v>
      </c>
      <c r="B5106" s="3" t="s">
        <v>539</v>
      </c>
      <c r="C5106" s="1">
        <v>43300101</v>
      </c>
      <c r="D5106" t="s">
        <v>67</v>
      </c>
      <c r="H5106" t="str">
        <f t="shared" si="545"/>
        <v>06175550638</v>
      </c>
      <c r="I5106" t="str">
        <f t="shared" si="545"/>
        <v>06175550638</v>
      </c>
      <c r="K5106" t="str">
        <f>""</f>
        <v/>
      </c>
      <c r="M5106" t="s">
        <v>68</v>
      </c>
      <c r="N5106" t="str">
        <f t="shared" si="543"/>
        <v>FOR</v>
      </c>
      <c r="O5106" t="s">
        <v>69</v>
      </c>
      <c r="P5106" s="3" t="s">
        <v>75</v>
      </c>
      <c r="Q5106">
        <v>2015</v>
      </c>
      <c r="R5106" s="2">
        <v>42151</v>
      </c>
      <c r="S5106" s="2">
        <v>42163</v>
      </c>
      <c r="T5106" s="2">
        <v>42151</v>
      </c>
      <c r="U5106" s="2">
        <v>42211</v>
      </c>
      <c r="V5106" t="s">
        <v>71</v>
      </c>
      <c r="W5106" t="str">
        <f>"              150/PA"</f>
        <v xml:space="preserve">              150/PA</v>
      </c>
      <c r="X5106">
        <v>150.80000000000001</v>
      </c>
      <c r="Y5106">
        <v>0</v>
      </c>
      <c r="Z5106"/>
      <c r="AB5106"/>
      <c r="AC5106">
        <v>145</v>
      </c>
      <c r="AD5106">
        <v>241</v>
      </c>
      <c r="AE5106" s="1">
        <v>34945</v>
      </c>
      <c r="AF5106">
        <v>0</v>
      </c>
      <c r="AJ5106">
        <v>0</v>
      </c>
      <c r="AK5106">
        <v>0</v>
      </c>
      <c r="AL5106">
        <v>0</v>
      </c>
      <c r="AM5106">
        <v>0</v>
      </c>
      <c r="AN5106">
        <v>0</v>
      </c>
      <c r="AO5106">
        <v>0</v>
      </c>
      <c r="AP5106" s="2">
        <v>42746</v>
      </c>
      <c r="AQ5106" t="s">
        <v>72</v>
      </c>
      <c r="AR5106" t="s">
        <v>72</v>
      </c>
      <c r="AS5106">
        <v>826</v>
      </c>
      <c r="AT5106" s="4">
        <v>42452</v>
      </c>
      <c r="AU5106" t="s">
        <v>73</v>
      </c>
      <c r="AV5106">
        <v>826</v>
      </c>
      <c r="AW5106" s="4">
        <v>42452</v>
      </c>
      <c r="BD5106">
        <v>0</v>
      </c>
      <c r="BN5106" t="s">
        <v>74</v>
      </c>
    </row>
    <row r="5107" spans="1:66" hidden="1">
      <c r="A5107">
        <v>101934</v>
      </c>
      <c r="B5107" s="3" t="s">
        <v>539</v>
      </c>
      <c r="C5107" s="1">
        <v>43300101</v>
      </c>
      <c r="D5107" t="s">
        <v>67</v>
      </c>
      <c r="H5107" t="str">
        <f t="shared" si="545"/>
        <v>06175550638</v>
      </c>
      <c r="I5107" t="str">
        <f t="shared" si="545"/>
        <v>06175550638</v>
      </c>
      <c r="K5107" t="str">
        <f>""</f>
        <v/>
      </c>
      <c r="M5107" t="s">
        <v>68</v>
      </c>
      <c r="N5107" t="str">
        <f t="shared" si="543"/>
        <v>FOR</v>
      </c>
      <c r="O5107" t="s">
        <v>69</v>
      </c>
      <c r="P5107" s="3" t="s">
        <v>75</v>
      </c>
      <c r="Q5107">
        <v>2015</v>
      </c>
      <c r="R5107" s="2">
        <v>42151</v>
      </c>
      <c r="S5107" s="2">
        <v>42163</v>
      </c>
      <c r="T5107" s="2">
        <v>42151</v>
      </c>
      <c r="U5107" s="2">
        <v>42211</v>
      </c>
      <c r="V5107" t="s">
        <v>71</v>
      </c>
      <c r="W5107" t="str">
        <f>"              151/PA"</f>
        <v xml:space="preserve">              151/PA</v>
      </c>
      <c r="X5107">
        <v>150.80000000000001</v>
      </c>
      <c r="Y5107">
        <v>0</v>
      </c>
      <c r="Z5107"/>
      <c r="AB5107"/>
      <c r="AC5107">
        <v>145</v>
      </c>
      <c r="AD5107">
        <v>241</v>
      </c>
      <c r="AE5107" s="1">
        <v>34945</v>
      </c>
      <c r="AF5107">
        <v>0</v>
      </c>
      <c r="AJ5107">
        <v>0</v>
      </c>
      <c r="AK5107">
        <v>0</v>
      </c>
      <c r="AL5107">
        <v>0</v>
      </c>
      <c r="AM5107">
        <v>0</v>
      </c>
      <c r="AN5107">
        <v>0</v>
      </c>
      <c r="AO5107">
        <v>0</v>
      </c>
      <c r="AP5107" s="2">
        <v>42746</v>
      </c>
      <c r="AQ5107" t="s">
        <v>72</v>
      </c>
      <c r="AR5107" t="s">
        <v>72</v>
      </c>
      <c r="AS5107">
        <v>826</v>
      </c>
      <c r="AT5107" s="4">
        <v>42452</v>
      </c>
      <c r="AU5107" t="s">
        <v>73</v>
      </c>
      <c r="AV5107">
        <v>826</v>
      </c>
      <c r="AW5107" s="4">
        <v>42452</v>
      </c>
      <c r="BD5107">
        <v>0</v>
      </c>
      <c r="BN5107" t="s">
        <v>74</v>
      </c>
    </row>
    <row r="5108" spans="1:66" hidden="1">
      <c r="A5108">
        <v>101934</v>
      </c>
      <c r="B5108" s="3" t="s">
        <v>539</v>
      </c>
      <c r="C5108" s="1">
        <v>43300101</v>
      </c>
      <c r="D5108" t="s">
        <v>67</v>
      </c>
      <c r="H5108" t="str">
        <f t="shared" si="545"/>
        <v>06175550638</v>
      </c>
      <c r="I5108" t="str">
        <f t="shared" si="545"/>
        <v>06175550638</v>
      </c>
      <c r="K5108" t="str">
        <f>""</f>
        <v/>
      </c>
      <c r="M5108" t="s">
        <v>68</v>
      </c>
      <c r="N5108" t="str">
        <f t="shared" si="543"/>
        <v>FOR</v>
      </c>
      <c r="O5108" t="s">
        <v>69</v>
      </c>
      <c r="P5108" s="3" t="s">
        <v>75</v>
      </c>
      <c r="Q5108">
        <v>2015</v>
      </c>
      <c r="R5108" s="2">
        <v>42151</v>
      </c>
      <c r="S5108" s="2">
        <v>42163</v>
      </c>
      <c r="T5108" s="2">
        <v>42151</v>
      </c>
      <c r="U5108" s="2">
        <v>42211</v>
      </c>
      <c r="V5108" t="s">
        <v>71</v>
      </c>
      <c r="W5108" t="str">
        <f>"              152/PA"</f>
        <v xml:space="preserve">              152/PA</v>
      </c>
      <c r="X5108">
        <v>150.80000000000001</v>
      </c>
      <c r="Y5108">
        <v>0</v>
      </c>
      <c r="Z5108"/>
      <c r="AB5108"/>
      <c r="AC5108">
        <v>145</v>
      </c>
      <c r="AD5108">
        <v>241</v>
      </c>
      <c r="AE5108" s="1">
        <v>34945</v>
      </c>
      <c r="AF5108">
        <v>0</v>
      </c>
      <c r="AJ5108">
        <v>0</v>
      </c>
      <c r="AK5108">
        <v>0</v>
      </c>
      <c r="AL5108">
        <v>0</v>
      </c>
      <c r="AM5108">
        <v>0</v>
      </c>
      <c r="AN5108">
        <v>0</v>
      </c>
      <c r="AO5108">
        <v>0</v>
      </c>
      <c r="AP5108" s="2">
        <v>42746</v>
      </c>
      <c r="AQ5108" t="s">
        <v>72</v>
      </c>
      <c r="AR5108" t="s">
        <v>72</v>
      </c>
      <c r="AS5108">
        <v>826</v>
      </c>
      <c r="AT5108" s="4">
        <v>42452</v>
      </c>
      <c r="AU5108" t="s">
        <v>73</v>
      </c>
      <c r="AV5108">
        <v>826</v>
      </c>
      <c r="AW5108" s="4">
        <v>42452</v>
      </c>
      <c r="BD5108">
        <v>0</v>
      </c>
      <c r="BN5108" t="s">
        <v>74</v>
      </c>
    </row>
    <row r="5109" spans="1:66" hidden="1">
      <c r="A5109">
        <v>101934</v>
      </c>
      <c r="B5109" s="3" t="s">
        <v>539</v>
      </c>
      <c r="C5109" s="1">
        <v>43300101</v>
      </c>
      <c r="D5109" t="s">
        <v>67</v>
      </c>
      <c r="H5109" t="str">
        <f t="shared" si="545"/>
        <v>06175550638</v>
      </c>
      <c r="I5109" t="str">
        <f t="shared" si="545"/>
        <v>06175550638</v>
      </c>
      <c r="K5109" t="str">
        <f>""</f>
        <v/>
      </c>
      <c r="M5109" t="s">
        <v>68</v>
      </c>
      <c r="N5109" t="str">
        <f t="shared" si="543"/>
        <v>FOR</v>
      </c>
      <c r="O5109" t="s">
        <v>69</v>
      </c>
      <c r="P5109" s="3" t="s">
        <v>75</v>
      </c>
      <c r="Q5109">
        <v>2015</v>
      </c>
      <c r="R5109" s="2">
        <v>42151</v>
      </c>
      <c r="S5109" s="2">
        <v>42163</v>
      </c>
      <c r="T5109" s="2">
        <v>42151</v>
      </c>
      <c r="U5109" s="2">
        <v>42211</v>
      </c>
      <c r="V5109" t="s">
        <v>71</v>
      </c>
      <c r="W5109" t="str">
        <f>"              153/PA"</f>
        <v xml:space="preserve">              153/PA</v>
      </c>
      <c r="X5109">
        <v>150.80000000000001</v>
      </c>
      <c r="Y5109">
        <v>0</v>
      </c>
      <c r="Z5109"/>
      <c r="AB5109"/>
      <c r="AC5109">
        <v>145</v>
      </c>
      <c r="AD5109">
        <v>241</v>
      </c>
      <c r="AE5109" s="1">
        <v>34945</v>
      </c>
      <c r="AF5109">
        <v>0</v>
      </c>
      <c r="AJ5109">
        <v>0</v>
      </c>
      <c r="AK5109">
        <v>0</v>
      </c>
      <c r="AL5109">
        <v>0</v>
      </c>
      <c r="AM5109">
        <v>0</v>
      </c>
      <c r="AN5109">
        <v>0</v>
      </c>
      <c r="AO5109">
        <v>0</v>
      </c>
      <c r="AP5109" s="2">
        <v>42746</v>
      </c>
      <c r="AQ5109" t="s">
        <v>72</v>
      </c>
      <c r="AR5109" t="s">
        <v>72</v>
      </c>
      <c r="AS5109">
        <v>826</v>
      </c>
      <c r="AT5109" s="4">
        <v>42452</v>
      </c>
      <c r="AU5109" t="s">
        <v>73</v>
      </c>
      <c r="AV5109">
        <v>826</v>
      </c>
      <c r="AW5109" s="4">
        <v>42452</v>
      </c>
      <c r="BD5109">
        <v>0</v>
      </c>
      <c r="BN5109" t="s">
        <v>74</v>
      </c>
    </row>
    <row r="5110" spans="1:66" hidden="1">
      <c r="A5110">
        <v>101934</v>
      </c>
      <c r="B5110" s="3" t="s">
        <v>539</v>
      </c>
      <c r="C5110" s="1">
        <v>43300101</v>
      </c>
      <c r="D5110" t="s">
        <v>67</v>
      </c>
      <c r="H5110" t="str">
        <f t="shared" si="545"/>
        <v>06175550638</v>
      </c>
      <c r="I5110" t="str">
        <f t="shared" si="545"/>
        <v>06175550638</v>
      </c>
      <c r="K5110" t="str">
        <f>""</f>
        <v/>
      </c>
      <c r="M5110" t="s">
        <v>68</v>
      </c>
      <c r="N5110" t="str">
        <f t="shared" si="543"/>
        <v>FOR</v>
      </c>
      <c r="O5110" t="s">
        <v>69</v>
      </c>
      <c r="P5110" s="3" t="s">
        <v>75</v>
      </c>
      <c r="Q5110">
        <v>2015</v>
      </c>
      <c r="R5110" s="2">
        <v>42154</v>
      </c>
      <c r="S5110" s="2">
        <v>42163</v>
      </c>
      <c r="T5110" s="2">
        <v>42159</v>
      </c>
      <c r="U5110" s="2">
        <v>42219</v>
      </c>
      <c r="V5110" t="s">
        <v>71</v>
      </c>
      <c r="W5110" t="str">
        <f>"              172/PA"</f>
        <v xml:space="preserve">              172/PA</v>
      </c>
      <c r="X5110">
        <v>150.80000000000001</v>
      </c>
      <c r="Y5110">
        <v>0</v>
      </c>
      <c r="Z5110"/>
      <c r="AB5110"/>
      <c r="AC5110">
        <v>145</v>
      </c>
      <c r="AD5110">
        <v>233</v>
      </c>
      <c r="AE5110" s="1">
        <v>33785</v>
      </c>
      <c r="AF5110">
        <v>0</v>
      </c>
      <c r="AJ5110">
        <v>0</v>
      </c>
      <c r="AK5110">
        <v>0</v>
      </c>
      <c r="AL5110">
        <v>0</v>
      </c>
      <c r="AM5110">
        <v>0</v>
      </c>
      <c r="AN5110">
        <v>0</v>
      </c>
      <c r="AO5110">
        <v>0</v>
      </c>
      <c r="AP5110" s="2">
        <v>42746</v>
      </c>
      <c r="AQ5110" t="s">
        <v>72</v>
      </c>
      <c r="AR5110" t="s">
        <v>72</v>
      </c>
      <c r="AS5110">
        <v>826</v>
      </c>
      <c r="AT5110" s="4">
        <v>42452</v>
      </c>
      <c r="AU5110" t="s">
        <v>73</v>
      </c>
      <c r="AV5110">
        <v>826</v>
      </c>
      <c r="AW5110" s="4">
        <v>42452</v>
      </c>
      <c r="BD5110">
        <v>0</v>
      </c>
      <c r="BN5110" t="s">
        <v>74</v>
      </c>
    </row>
    <row r="5111" spans="1:66">
      <c r="A5111">
        <v>101934</v>
      </c>
      <c r="B5111" s="3" t="s">
        <v>539</v>
      </c>
      <c r="C5111" s="1">
        <v>43300101</v>
      </c>
      <c r="D5111" t="s">
        <v>67</v>
      </c>
      <c r="H5111" t="str">
        <f t="shared" si="545"/>
        <v>06175550638</v>
      </c>
      <c r="I5111" t="str">
        <f t="shared" si="545"/>
        <v>06175550638</v>
      </c>
      <c r="K5111" t="str">
        <f>""</f>
        <v/>
      </c>
      <c r="M5111" t="s">
        <v>68</v>
      </c>
      <c r="N5111" t="str">
        <f t="shared" si="543"/>
        <v>FOR</v>
      </c>
      <c r="O5111" t="s">
        <v>69</v>
      </c>
      <c r="P5111" s="3" t="s">
        <v>75</v>
      </c>
      <c r="Q5111">
        <v>2015</v>
      </c>
      <c r="R5111" s="2">
        <v>42167</v>
      </c>
      <c r="S5111" s="2">
        <v>42170</v>
      </c>
      <c r="T5111" s="2">
        <v>42168</v>
      </c>
      <c r="U5111" s="2">
        <v>42228</v>
      </c>
      <c r="V5111" t="s">
        <v>71</v>
      </c>
      <c r="W5111" t="str">
        <f>"              203/PA"</f>
        <v xml:space="preserve">              203/PA</v>
      </c>
      <c r="X5111">
        <v>150.80000000000001</v>
      </c>
      <c r="Y5111">
        <v>0</v>
      </c>
      <c r="Z5111" s="3">
        <v>145</v>
      </c>
      <c r="AA5111">
        <v>420</v>
      </c>
      <c r="AB5111" s="5">
        <v>60900</v>
      </c>
      <c r="AC5111">
        <v>145</v>
      </c>
      <c r="AD5111">
        <v>420</v>
      </c>
      <c r="AE5111" s="1">
        <v>60900</v>
      </c>
      <c r="AF5111">
        <v>0</v>
      </c>
      <c r="AJ5111">
        <v>0</v>
      </c>
      <c r="AK5111">
        <v>0</v>
      </c>
      <c r="AL5111">
        <v>0</v>
      </c>
      <c r="AM5111">
        <v>0</v>
      </c>
      <c r="AN5111">
        <v>0</v>
      </c>
      <c r="AO5111">
        <v>0</v>
      </c>
      <c r="AP5111" s="2">
        <v>42746</v>
      </c>
      <c r="AQ5111" t="s">
        <v>72</v>
      </c>
      <c r="AR5111" t="s">
        <v>72</v>
      </c>
      <c r="AS5111">
        <v>2687</v>
      </c>
      <c r="AT5111" s="4">
        <v>42648</v>
      </c>
      <c r="AU5111" t="s">
        <v>73</v>
      </c>
      <c r="AV5111">
        <v>2687</v>
      </c>
      <c r="AW5111" s="4">
        <v>42648</v>
      </c>
      <c r="BD5111">
        <v>0</v>
      </c>
      <c r="BN5111" t="s">
        <v>74</v>
      </c>
    </row>
    <row r="5112" spans="1:66" hidden="1">
      <c r="A5112">
        <v>101934</v>
      </c>
      <c r="B5112" s="3" t="s">
        <v>539</v>
      </c>
      <c r="C5112" s="1">
        <v>43300101</v>
      </c>
      <c r="D5112" t="s">
        <v>67</v>
      </c>
      <c r="H5112" t="str">
        <f t="shared" si="545"/>
        <v>06175550638</v>
      </c>
      <c r="I5112" t="str">
        <f t="shared" si="545"/>
        <v>06175550638</v>
      </c>
      <c r="K5112" t="str">
        <f>""</f>
        <v/>
      </c>
      <c r="M5112" t="s">
        <v>68</v>
      </c>
      <c r="N5112" t="str">
        <f t="shared" si="543"/>
        <v>FOR</v>
      </c>
      <c r="O5112" t="s">
        <v>69</v>
      </c>
      <c r="P5112" s="3" t="s">
        <v>75</v>
      </c>
      <c r="Q5112">
        <v>2015</v>
      </c>
      <c r="R5112" s="2">
        <v>42167</v>
      </c>
      <c r="S5112" s="2">
        <v>42170</v>
      </c>
      <c r="T5112" s="2">
        <v>42168</v>
      </c>
      <c r="U5112" s="2">
        <v>42228</v>
      </c>
      <c r="V5112" t="s">
        <v>71</v>
      </c>
      <c r="W5112" t="str">
        <f>"              204/PA"</f>
        <v xml:space="preserve">              204/PA</v>
      </c>
      <c r="X5112">
        <v>150.80000000000001</v>
      </c>
      <c r="Y5112">
        <v>0</v>
      </c>
      <c r="Z5112"/>
      <c r="AB5112"/>
      <c r="AC5112">
        <v>145</v>
      </c>
      <c r="AD5112">
        <v>299</v>
      </c>
      <c r="AE5112" s="1">
        <v>43355</v>
      </c>
      <c r="AF5112">
        <v>0</v>
      </c>
      <c r="AJ5112">
        <v>0</v>
      </c>
      <c r="AK5112">
        <v>0</v>
      </c>
      <c r="AL5112">
        <v>0</v>
      </c>
      <c r="AM5112">
        <v>0</v>
      </c>
      <c r="AN5112">
        <v>0</v>
      </c>
      <c r="AO5112">
        <v>0</v>
      </c>
      <c r="AP5112" s="2">
        <v>42746</v>
      </c>
      <c r="AQ5112" t="s">
        <v>72</v>
      </c>
      <c r="AR5112" t="s">
        <v>72</v>
      </c>
      <c r="AS5112">
        <v>1527</v>
      </c>
      <c r="AT5112" s="4">
        <v>42527</v>
      </c>
      <c r="AU5112" t="s">
        <v>73</v>
      </c>
      <c r="AV5112">
        <v>1527</v>
      </c>
      <c r="AW5112" s="4">
        <v>42527</v>
      </c>
      <c r="BD5112">
        <v>0</v>
      </c>
      <c r="BN5112" t="s">
        <v>74</v>
      </c>
    </row>
    <row r="5113" spans="1:66" hidden="1">
      <c r="A5113">
        <v>101934</v>
      </c>
      <c r="B5113" s="3" t="s">
        <v>539</v>
      </c>
      <c r="C5113" s="1">
        <v>43300101</v>
      </c>
      <c r="D5113" t="s">
        <v>67</v>
      </c>
      <c r="H5113" t="str">
        <f t="shared" ref="H5113:I5132" si="546">"06175550638"</f>
        <v>06175550638</v>
      </c>
      <c r="I5113" t="str">
        <f t="shared" si="546"/>
        <v>06175550638</v>
      </c>
      <c r="K5113" t="str">
        <f>""</f>
        <v/>
      </c>
      <c r="M5113" t="s">
        <v>68</v>
      </c>
      <c r="N5113" t="str">
        <f t="shared" si="543"/>
        <v>FOR</v>
      </c>
      <c r="O5113" t="s">
        <v>69</v>
      </c>
      <c r="P5113" s="3" t="s">
        <v>75</v>
      </c>
      <c r="Q5113">
        <v>2015</v>
      </c>
      <c r="R5113" s="2">
        <v>42167</v>
      </c>
      <c r="S5113" s="2">
        <v>42170</v>
      </c>
      <c r="T5113" s="2">
        <v>42168</v>
      </c>
      <c r="U5113" s="2">
        <v>42228</v>
      </c>
      <c r="V5113" t="s">
        <v>71</v>
      </c>
      <c r="W5113" t="str">
        <f>"              205/PA"</f>
        <v xml:space="preserve">              205/PA</v>
      </c>
      <c r="X5113">
        <v>150.80000000000001</v>
      </c>
      <c r="Y5113">
        <v>0</v>
      </c>
      <c r="Z5113"/>
      <c r="AB5113"/>
      <c r="AC5113">
        <v>145</v>
      </c>
      <c r="AD5113">
        <v>299</v>
      </c>
      <c r="AE5113" s="1">
        <v>43355</v>
      </c>
      <c r="AF5113">
        <v>0</v>
      </c>
      <c r="AJ5113">
        <v>0</v>
      </c>
      <c r="AK5113">
        <v>0</v>
      </c>
      <c r="AL5113">
        <v>0</v>
      </c>
      <c r="AM5113">
        <v>0</v>
      </c>
      <c r="AN5113">
        <v>0</v>
      </c>
      <c r="AO5113">
        <v>0</v>
      </c>
      <c r="AP5113" s="2">
        <v>42746</v>
      </c>
      <c r="AQ5113" t="s">
        <v>72</v>
      </c>
      <c r="AR5113" t="s">
        <v>72</v>
      </c>
      <c r="AS5113">
        <v>1527</v>
      </c>
      <c r="AT5113" s="4">
        <v>42527</v>
      </c>
      <c r="AU5113" t="s">
        <v>73</v>
      </c>
      <c r="AV5113">
        <v>1527</v>
      </c>
      <c r="AW5113" s="4">
        <v>42527</v>
      </c>
      <c r="BD5113">
        <v>0</v>
      </c>
      <c r="BN5113" t="s">
        <v>74</v>
      </c>
    </row>
    <row r="5114" spans="1:66" hidden="1">
      <c r="A5114">
        <v>101934</v>
      </c>
      <c r="B5114" s="3" t="s">
        <v>539</v>
      </c>
      <c r="C5114" s="1">
        <v>43300101</v>
      </c>
      <c r="D5114" t="s">
        <v>67</v>
      </c>
      <c r="H5114" t="str">
        <f t="shared" si="546"/>
        <v>06175550638</v>
      </c>
      <c r="I5114" t="str">
        <f t="shared" si="546"/>
        <v>06175550638</v>
      </c>
      <c r="K5114" t="str">
        <f>""</f>
        <v/>
      </c>
      <c r="M5114" t="s">
        <v>68</v>
      </c>
      <c r="N5114" t="str">
        <f t="shared" si="543"/>
        <v>FOR</v>
      </c>
      <c r="O5114" t="s">
        <v>69</v>
      </c>
      <c r="P5114" s="3" t="s">
        <v>75</v>
      </c>
      <c r="Q5114">
        <v>2015</v>
      </c>
      <c r="R5114" s="2">
        <v>42174</v>
      </c>
      <c r="S5114" s="2">
        <v>42177</v>
      </c>
      <c r="T5114" s="2">
        <v>42175</v>
      </c>
      <c r="U5114" s="2">
        <v>42235</v>
      </c>
      <c r="V5114" t="s">
        <v>71</v>
      </c>
      <c r="W5114" t="str">
        <f>"              223/PA"</f>
        <v xml:space="preserve">              223/PA</v>
      </c>
      <c r="X5114">
        <v>150.80000000000001</v>
      </c>
      <c r="Y5114">
        <v>0</v>
      </c>
      <c r="Z5114"/>
      <c r="AB5114"/>
      <c r="AC5114">
        <v>145</v>
      </c>
      <c r="AD5114">
        <v>292</v>
      </c>
      <c r="AE5114" s="1">
        <v>42340</v>
      </c>
      <c r="AF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0</v>
      </c>
      <c r="AP5114" s="2">
        <v>42746</v>
      </c>
      <c r="AQ5114" t="s">
        <v>72</v>
      </c>
      <c r="AR5114" t="s">
        <v>72</v>
      </c>
      <c r="AS5114">
        <v>1527</v>
      </c>
      <c r="AT5114" s="4">
        <v>42527</v>
      </c>
      <c r="AU5114" t="s">
        <v>73</v>
      </c>
      <c r="AV5114">
        <v>1527</v>
      </c>
      <c r="AW5114" s="4">
        <v>42527</v>
      </c>
      <c r="BD5114">
        <v>0</v>
      </c>
      <c r="BN5114" t="s">
        <v>74</v>
      </c>
    </row>
    <row r="5115" spans="1:66" hidden="1">
      <c r="A5115">
        <v>101934</v>
      </c>
      <c r="B5115" s="3" t="s">
        <v>539</v>
      </c>
      <c r="C5115" s="1">
        <v>43300101</v>
      </c>
      <c r="D5115" t="s">
        <v>67</v>
      </c>
      <c r="H5115" t="str">
        <f t="shared" si="546"/>
        <v>06175550638</v>
      </c>
      <c r="I5115" t="str">
        <f t="shared" si="546"/>
        <v>06175550638</v>
      </c>
      <c r="K5115" t="str">
        <f>""</f>
        <v/>
      </c>
      <c r="M5115" t="s">
        <v>68</v>
      </c>
      <c r="N5115" t="str">
        <f t="shared" si="543"/>
        <v>FOR</v>
      </c>
      <c r="O5115" t="s">
        <v>69</v>
      </c>
      <c r="P5115" s="3" t="s">
        <v>75</v>
      </c>
      <c r="Q5115">
        <v>2015</v>
      </c>
      <c r="R5115" s="2">
        <v>42174</v>
      </c>
      <c r="S5115" s="2">
        <v>42177</v>
      </c>
      <c r="T5115" s="2">
        <v>42175</v>
      </c>
      <c r="U5115" s="2">
        <v>42235</v>
      </c>
      <c r="V5115" t="s">
        <v>71</v>
      </c>
      <c r="W5115" t="str">
        <f>"              224/PA"</f>
        <v xml:space="preserve">              224/PA</v>
      </c>
      <c r="X5115">
        <v>150.80000000000001</v>
      </c>
      <c r="Y5115">
        <v>0</v>
      </c>
      <c r="Z5115"/>
      <c r="AB5115"/>
      <c r="AC5115">
        <v>145</v>
      </c>
      <c r="AD5115">
        <v>292</v>
      </c>
      <c r="AE5115" s="1">
        <v>42340</v>
      </c>
      <c r="AF5115">
        <v>0</v>
      </c>
      <c r="AJ5115">
        <v>0</v>
      </c>
      <c r="AK5115">
        <v>0</v>
      </c>
      <c r="AL5115">
        <v>0</v>
      </c>
      <c r="AM5115">
        <v>0</v>
      </c>
      <c r="AN5115">
        <v>0</v>
      </c>
      <c r="AO5115">
        <v>0</v>
      </c>
      <c r="AP5115" s="2">
        <v>42746</v>
      </c>
      <c r="AQ5115" t="s">
        <v>72</v>
      </c>
      <c r="AR5115" t="s">
        <v>72</v>
      </c>
      <c r="AS5115">
        <v>1527</v>
      </c>
      <c r="AT5115" s="4">
        <v>42527</v>
      </c>
      <c r="AU5115" t="s">
        <v>73</v>
      </c>
      <c r="AV5115">
        <v>1527</v>
      </c>
      <c r="AW5115" s="4">
        <v>42527</v>
      </c>
      <c r="BD5115">
        <v>0</v>
      </c>
      <c r="BN5115" t="s">
        <v>74</v>
      </c>
    </row>
    <row r="5116" spans="1:66" hidden="1">
      <c r="A5116">
        <v>101934</v>
      </c>
      <c r="B5116" s="3" t="s">
        <v>539</v>
      </c>
      <c r="C5116" s="1">
        <v>43300101</v>
      </c>
      <c r="D5116" t="s">
        <v>67</v>
      </c>
      <c r="H5116" t="str">
        <f t="shared" si="546"/>
        <v>06175550638</v>
      </c>
      <c r="I5116" t="str">
        <f t="shared" si="546"/>
        <v>06175550638</v>
      </c>
      <c r="K5116" t="str">
        <f>""</f>
        <v/>
      </c>
      <c r="M5116" t="s">
        <v>68</v>
      </c>
      <c r="N5116" t="str">
        <f t="shared" si="543"/>
        <v>FOR</v>
      </c>
      <c r="O5116" t="s">
        <v>69</v>
      </c>
      <c r="P5116" s="3" t="s">
        <v>75</v>
      </c>
      <c r="Q5116">
        <v>2015</v>
      </c>
      <c r="R5116" s="2">
        <v>42174</v>
      </c>
      <c r="S5116" s="2">
        <v>42177</v>
      </c>
      <c r="T5116" s="2">
        <v>42175</v>
      </c>
      <c r="U5116" s="2">
        <v>42235</v>
      </c>
      <c r="V5116" t="s">
        <v>71</v>
      </c>
      <c r="W5116" t="str">
        <f>"              230/PA"</f>
        <v xml:space="preserve">              230/PA</v>
      </c>
      <c r="X5116">
        <v>150.80000000000001</v>
      </c>
      <c r="Y5116">
        <v>0</v>
      </c>
      <c r="Z5116"/>
      <c r="AB5116"/>
      <c r="AC5116">
        <v>145</v>
      </c>
      <c r="AD5116">
        <v>292</v>
      </c>
      <c r="AE5116" s="1">
        <v>42340</v>
      </c>
      <c r="AF5116">
        <v>0</v>
      </c>
      <c r="AJ5116">
        <v>0</v>
      </c>
      <c r="AK5116">
        <v>0</v>
      </c>
      <c r="AL5116">
        <v>0</v>
      </c>
      <c r="AM5116">
        <v>0</v>
      </c>
      <c r="AN5116">
        <v>0</v>
      </c>
      <c r="AO5116">
        <v>0</v>
      </c>
      <c r="AP5116" s="2">
        <v>42746</v>
      </c>
      <c r="AQ5116" t="s">
        <v>72</v>
      </c>
      <c r="AR5116" t="s">
        <v>72</v>
      </c>
      <c r="AS5116">
        <v>1527</v>
      </c>
      <c r="AT5116" s="4">
        <v>42527</v>
      </c>
      <c r="AU5116" t="s">
        <v>73</v>
      </c>
      <c r="AV5116">
        <v>1527</v>
      </c>
      <c r="AW5116" s="4">
        <v>42527</v>
      </c>
      <c r="BD5116">
        <v>0</v>
      </c>
      <c r="BN5116" t="s">
        <v>74</v>
      </c>
    </row>
    <row r="5117" spans="1:66" hidden="1">
      <c r="A5117">
        <v>101934</v>
      </c>
      <c r="B5117" s="3" t="s">
        <v>539</v>
      </c>
      <c r="C5117" s="1">
        <v>43300101</v>
      </c>
      <c r="D5117" t="s">
        <v>67</v>
      </c>
      <c r="H5117" t="str">
        <f t="shared" si="546"/>
        <v>06175550638</v>
      </c>
      <c r="I5117" t="str">
        <f t="shared" si="546"/>
        <v>06175550638</v>
      </c>
      <c r="K5117" t="str">
        <f>""</f>
        <v/>
      </c>
      <c r="M5117" t="s">
        <v>68</v>
      </c>
      <c r="N5117" t="str">
        <f t="shared" si="543"/>
        <v>FOR</v>
      </c>
      <c r="O5117" t="s">
        <v>69</v>
      </c>
      <c r="P5117" s="3" t="s">
        <v>75</v>
      </c>
      <c r="Q5117">
        <v>2015</v>
      </c>
      <c r="R5117" s="2">
        <v>42177</v>
      </c>
      <c r="S5117" s="2">
        <v>42181</v>
      </c>
      <c r="T5117" s="2">
        <v>42178</v>
      </c>
      <c r="U5117" s="2">
        <v>42238</v>
      </c>
      <c r="V5117" t="s">
        <v>71</v>
      </c>
      <c r="W5117" t="str">
        <f>"              244/PA"</f>
        <v xml:space="preserve">              244/PA</v>
      </c>
      <c r="X5117">
        <v>150.80000000000001</v>
      </c>
      <c r="Y5117">
        <v>0</v>
      </c>
      <c r="Z5117"/>
      <c r="AB5117"/>
      <c r="AC5117">
        <v>145</v>
      </c>
      <c r="AD5117">
        <v>289</v>
      </c>
      <c r="AE5117" s="1">
        <v>41905</v>
      </c>
      <c r="AF5117">
        <v>0</v>
      </c>
      <c r="AJ5117">
        <v>0</v>
      </c>
      <c r="AK5117">
        <v>0</v>
      </c>
      <c r="AL5117">
        <v>0</v>
      </c>
      <c r="AM5117">
        <v>0</v>
      </c>
      <c r="AN5117">
        <v>0</v>
      </c>
      <c r="AO5117">
        <v>0</v>
      </c>
      <c r="AP5117" s="2">
        <v>42746</v>
      </c>
      <c r="AQ5117" t="s">
        <v>72</v>
      </c>
      <c r="AR5117" t="s">
        <v>72</v>
      </c>
      <c r="AS5117">
        <v>1527</v>
      </c>
      <c r="AT5117" s="4">
        <v>42527</v>
      </c>
      <c r="AU5117" t="s">
        <v>73</v>
      </c>
      <c r="AV5117">
        <v>1527</v>
      </c>
      <c r="AW5117" s="4">
        <v>42527</v>
      </c>
      <c r="BD5117">
        <v>0</v>
      </c>
      <c r="BN5117" t="s">
        <v>74</v>
      </c>
    </row>
    <row r="5118" spans="1:66" hidden="1">
      <c r="A5118">
        <v>101934</v>
      </c>
      <c r="B5118" s="3" t="s">
        <v>539</v>
      </c>
      <c r="C5118" s="1">
        <v>43300101</v>
      </c>
      <c r="D5118" t="s">
        <v>67</v>
      </c>
      <c r="H5118" t="str">
        <f t="shared" si="546"/>
        <v>06175550638</v>
      </c>
      <c r="I5118" t="str">
        <f t="shared" si="546"/>
        <v>06175550638</v>
      </c>
      <c r="K5118" t="str">
        <f>""</f>
        <v/>
      </c>
      <c r="M5118" t="s">
        <v>68</v>
      </c>
      <c r="N5118" t="str">
        <f t="shared" si="543"/>
        <v>FOR</v>
      </c>
      <c r="O5118" t="s">
        <v>69</v>
      </c>
      <c r="P5118" s="3" t="s">
        <v>75</v>
      </c>
      <c r="Q5118">
        <v>2015</v>
      </c>
      <c r="R5118" s="2">
        <v>42177</v>
      </c>
      <c r="S5118" s="2">
        <v>42181</v>
      </c>
      <c r="T5118" s="2">
        <v>42178</v>
      </c>
      <c r="U5118" s="2">
        <v>42238</v>
      </c>
      <c r="V5118" t="s">
        <v>71</v>
      </c>
      <c r="W5118" t="str">
        <f>"              245/PA"</f>
        <v xml:space="preserve">              245/PA</v>
      </c>
      <c r="X5118">
        <v>150.80000000000001</v>
      </c>
      <c r="Y5118">
        <v>0</v>
      </c>
      <c r="Z5118"/>
      <c r="AB5118"/>
      <c r="AC5118">
        <v>145</v>
      </c>
      <c r="AD5118">
        <v>289</v>
      </c>
      <c r="AE5118" s="1">
        <v>41905</v>
      </c>
      <c r="AF5118">
        <v>0</v>
      </c>
      <c r="AJ5118">
        <v>0</v>
      </c>
      <c r="AK5118">
        <v>0</v>
      </c>
      <c r="AL5118">
        <v>0</v>
      </c>
      <c r="AM5118">
        <v>0</v>
      </c>
      <c r="AN5118">
        <v>0</v>
      </c>
      <c r="AO5118">
        <v>0</v>
      </c>
      <c r="AP5118" s="2">
        <v>42746</v>
      </c>
      <c r="AQ5118" t="s">
        <v>72</v>
      </c>
      <c r="AR5118" t="s">
        <v>72</v>
      </c>
      <c r="AS5118">
        <v>1527</v>
      </c>
      <c r="AT5118" s="4">
        <v>42527</v>
      </c>
      <c r="AU5118" t="s">
        <v>73</v>
      </c>
      <c r="AV5118">
        <v>1527</v>
      </c>
      <c r="AW5118" s="4">
        <v>42527</v>
      </c>
      <c r="BD5118">
        <v>0</v>
      </c>
      <c r="BN5118" t="s">
        <v>74</v>
      </c>
    </row>
    <row r="5119" spans="1:66" hidden="1">
      <c r="A5119">
        <v>101934</v>
      </c>
      <c r="B5119" s="3" t="s">
        <v>539</v>
      </c>
      <c r="C5119" s="1">
        <v>43300101</v>
      </c>
      <c r="D5119" t="s">
        <v>67</v>
      </c>
      <c r="H5119" t="str">
        <f t="shared" si="546"/>
        <v>06175550638</v>
      </c>
      <c r="I5119" t="str">
        <f t="shared" si="546"/>
        <v>06175550638</v>
      </c>
      <c r="K5119" t="str">
        <f>""</f>
        <v/>
      </c>
      <c r="M5119" t="s">
        <v>68</v>
      </c>
      <c r="N5119" t="str">
        <f t="shared" si="543"/>
        <v>FOR</v>
      </c>
      <c r="O5119" t="s">
        <v>69</v>
      </c>
      <c r="P5119" s="3" t="s">
        <v>75</v>
      </c>
      <c r="Q5119">
        <v>2015</v>
      </c>
      <c r="R5119" s="2">
        <v>42177</v>
      </c>
      <c r="S5119" s="2">
        <v>42181</v>
      </c>
      <c r="T5119" s="2">
        <v>42178</v>
      </c>
      <c r="U5119" s="2">
        <v>42238</v>
      </c>
      <c r="V5119" t="s">
        <v>71</v>
      </c>
      <c r="W5119" t="str">
        <f>"              246/PA"</f>
        <v xml:space="preserve">              246/PA</v>
      </c>
      <c r="X5119">
        <v>150.80000000000001</v>
      </c>
      <c r="Y5119">
        <v>0</v>
      </c>
      <c r="Z5119"/>
      <c r="AB5119"/>
      <c r="AC5119">
        <v>145</v>
      </c>
      <c r="AD5119">
        <v>289</v>
      </c>
      <c r="AE5119" s="1">
        <v>41905</v>
      </c>
      <c r="AF5119">
        <v>0</v>
      </c>
      <c r="AJ5119">
        <v>0</v>
      </c>
      <c r="AK5119">
        <v>0</v>
      </c>
      <c r="AL5119">
        <v>0</v>
      </c>
      <c r="AM5119">
        <v>0</v>
      </c>
      <c r="AN5119">
        <v>0</v>
      </c>
      <c r="AO5119">
        <v>0</v>
      </c>
      <c r="AP5119" s="2">
        <v>42746</v>
      </c>
      <c r="AQ5119" t="s">
        <v>72</v>
      </c>
      <c r="AR5119" t="s">
        <v>72</v>
      </c>
      <c r="AS5119">
        <v>1527</v>
      </c>
      <c r="AT5119" s="4">
        <v>42527</v>
      </c>
      <c r="AU5119" t="s">
        <v>73</v>
      </c>
      <c r="AV5119">
        <v>1527</v>
      </c>
      <c r="AW5119" s="4">
        <v>42527</v>
      </c>
      <c r="BD5119">
        <v>0</v>
      </c>
      <c r="BN5119" t="s">
        <v>74</v>
      </c>
    </row>
    <row r="5120" spans="1:66" hidden="1">
      <c r="A5120">
        <v>101934</v>
      </c>
      <c r="B5120" s="3" t="s">
        <v>539</v>
      </c>
      <c r="C5120" s="1">
        <v>43300101</v>
      </c>
      <c r="D5120" t="s">
        <v>67</v>
      </c>
      <c r="H5120" t="str">
        <f t="shared" si="546"/>
        <v>06175550638</v>
      </c>
      <c r="I5120" t="str">
        <f t="shared" si="546"/>
        <v>06175550638</v>
      </c>
      <c r="K5120" t="str">
        <f>""</f>
        <v/>
      </c>
      <c r="M5120" t="s">
        <v>68</v>
      </c>
      <c r="N5120" t="str">
        <f t="shared" ref="N5120:N5183" si="547">"FOR"</f>
        <v>FOR</v>
      </c>
      <c r="O5120" t="s">
        <v>69</v>
      </c>
      <c r="P5120" s="3" t="s">
        <v>75</v>
      </c>
      <c r="Q5120">
        <v>2015</v>
      </c>
      <c r="R5120" s="2">
        <v>42177</v>
      </c>
      <c r="S5120" s="2">
        <v>42181</v>
      </c>
      <c r="T5120" s="2">
        <v>42178</v>
      </c>
      <c r="U5120" s="2">
        <v>42238</v>
      </c>
      <c r="V5120" t="s">
        <v>71</v>
      </c>
      <c r="W5120" t="str">
        <f>"              247/PA"</f>
        <v xml:space="preserve">              247/PA</v>
      </c>
      <c r="X5120">
        <v>150.80000000000001</v>
      </c>
      <c r="Y5120">
        <v>0</v>
      </c>
      <c r="Z5120"/>
      <c r="AB5120"/>
      <c r="AC5120">
        <v>145</v>
      </c>
      <c r="AD5120">
        <v>289</v>
      </c>
      <c r="AE5120" s="1">
        <v>41905</v>
      </c>
      <c r="AF5120">
        <v>0</v>
      </c>
      <c r="AJ5120">
        <v>0</v>
      </c>
      <c r="AK5120">
        <v>0</v>
      </c>
      <c r="AL5120">
        <v>0</v>
      </c>
      <c r="AM5120">
        <v>0</v>
      </c>
      <c r="AN5120">
        <v>0</v>
      </c>
      <c r="AO5120">
        <v>0</v>
      </c>
      <c r="AP5120" s="2">
        <v>42746</v>
      </c>
      <c r="AQ5120" t="s">
        <v>72</v>
      </c>
      <c r="AR5120" t="s">
        <v>72</v>
      </c>
      <c r="AS5120">
        <v>1527</v>
      </c>
      <c r="AT5120" s="4">
        <v>42527</v>
      </c>
      <c r="AU5120" t="s">
        <v>73</v>
      </c>
      <c r="AV5120">
        <v>1527</v>
      </c>
      <c r="AW5120" s="4">
        <v>42527</v>
      </c>
      <c r="BD5120">
        <v>0</v>
      </c>
      <c r="BN5120" t="s">
        <v>74</v>
      </c>
    </row>
    <row r="5121" spans="1:66" hidden="1">
      <c r="A5121">
        <v>101934</v>
      </c>
      <c r="B5121" s="3" t="s">
        <v>539</v>
      </c>
      <c r="C5121" s="1">
        <v>43300101</v>
      </c>
      <c r="D5121" t="s">
        <v>67</v>
      </c>
      <c r="H5121" t="str">
        <f t="shared" si="546"/>
        <v>06175550638</v>
      </c>
      <c r="I5121" t="str">
        <f t="shared" si="546"/>
        <v>06175550638</v>
      </c>
      <c r="K5121" t="str">
        <f>""</f>
        <v/>
      </c>
      <c r="M5121" t="s">
        <v>68</v>
      </c>
      <c r="N5121" t="str">
        <f t="shared" si="547"/>
        <v>FOR</v>
      </c>
      <c r="O5121" t="s">
        <v>69</v>
      </c>
      <c r="P5121" s="3" t="s">
        <v>75</v>
      </c>
      <c r="Q5121">
        <v>2015</v>
      </c>
      <c r="R5121" s="2">
        <v>42177</v>
      </c>
      <c r="S5121" s="2">
        <v>42181</v>
      </c>
      <c r="T5121" s="2">
        <v>42178</v>
      </c>
      <c r="U5121" s="2">
        <v>42238</v>
      </c>
      <c r="V5121" t="s">
        <v>71</v>
      </c>
      <c r="W5121" t="str">
        <f>"              248/PA"</f>
        <v xml:space="preserve">              248/PA</v>
      </c>
      <c r="X5121">
        <v>150.80000000000001</v>
      </c>
      <c r="Y5121">
        <v>0</v>
      </c>
      <c r="Z5121"/>
      <c r="AB5121"/>
      <c r="AC5121">
        <v>145</v>
      </c>
      <c r="AD5121">
        <v>289</v>
      </c>
      <c r="AE5121" s="1">
        <v>41905</v>
      </c>
      <c r="AF5121">
        <v>0</v>
      </c>
      <c r="AJ5121">
        <v>0</v>
      </c>
      <c r="AK5121">
        <v>0</v>
      </c>
      <c r="AL5121">
        <v>0</v>
      </c>
      <c r="AM5121">
        <v>0</v>
      </c>
      <c r="AN5121">
        <v>0</v>
      </c>
      <c r="AO5121">
        <v>0</v>
      </c>
      <c r="AP5121" s="2">
        <v>42746</v>
      </c>
      <c r="AQ5121" t="s">
        <v>72</v>
      </c>
      <c r="AR5121" t="s">
        <v>72</v>
      </c>
      <c r="AS5121">
        <v>1527</v>
      </c>
      <c r="AT5121" s="4">
        <v>42527</v>
      </c>
      <c r="AU5121" t="s">
        <v>73</v>
      </c>
      <c r="AV5121">
        <v>1527</v>
      </c>
      <c r="AW5121" s="4">
        <v>42527</v>
      </c>
      <c r="BD5121">
        <v>0</v>
      </c>
      <c r="BN5121" t="s">
        <v>74</v>
      </c>
    </row>
    <row r="5122" spans="1:66" hidden="1">
      <c r="A5122">
        <v>101934</v>
      </c>
      <c r="B5122" s="3" t="s">
        <v>539</v>
      </c>
      <c r="C5122" s="1">
        <v>43300101</v>
      </c>
      <c r="D5122" t="s">
        <v>67</v>
      </c>
      <c r="H5122" t="str">
        <f t="shared" si="546"/>
        <v>06175550638</v>
      </c>
      <c r="I5122" t="str">
        <f t="shared" si="546"/>
        <v>06175550638</v>
      </c>
      <c r="K5122" t="str">
        <f>""</f>
        <v/>
      </c>
      <c r="M5122" t="s">
        <v>68</v>
      </c>
      <c r="N5122" t="str">
        <f t="shared" si="547"/>
        <v>FOR</v>
      </c>
      <c r="O5122" t="s">
        <v>69</v>
      </c>
      <c r="P5122" s="3" t="s">
        <v>75</v>
      </c>
      <c r="Q5122">
        <v>2015</v>
      </c>
      <c r="R5122" s="2">
        <v>42179</v>
      </c>
      <c r="S5122" s="2">
        <v>42186</v>
      </c>
      <c r="T5122" s="2">
        <v>42182</v>
      </c>
      <c r="U5122" s="2">
        <v>42242</v>
      </c>
      <c r="V5122" t="s">
        <v>71</v>
      </c>
      <c r="W5122" t="str">
        <f>"              253/PA"</f>
        <v xml:space="preserve">              253/PA</v>
      </c>
      <c r="X5122">
        <v>150.80000000000001</v>
      </c>
      <c r="Y5122">
        <v>0</v>
      </c>
      <c r="Z5122"/>
      <c r="AB5122"/>
      <c r="AC5122">
        <v>145</v>
      </c>
      <c r="AD5122">
        <v>285</v>
      </c>
      <c r="AE5122" s="1">
        <v>41325</v>
      </c>
      <c r="AF5122">
        <v>0</v>
      </c>
      <c r="AJ5122">
        <v>0</v>
      </c>
      <c r="AK5122">
        <v>0</v>
      </c>
      <c r="AL5122">
        <v>0</v>
      </c>
      <c r="AM5122">
        <v>0</v>
      </c>
      <c r="AN5122">
        <v>0</v>
      </c>
      <c r="AO5122">
        <v>0</v>
      </c>
      <c r="AP5122" s="2">
        <v>42746</v>
      </c>
      <c r="AQ5122" t="s">
        <v>72</v>
      </c>
      <c r="AR5122" t="s">
        <v>72</v>
      </c>
      <c r="AS5122">
        <v>1527</v>
      </c>
      <c r="AT5122" s="4">
        <v>42527</v>
      </c>
      <c r="AU5122" t="s">
        <v>73</v>
      </c>
      <c r="AV5122">
        <v>1527</v>
      </c>
      <c r="AW5122" s="4">
        <v>42527</v>
      </c>
      <c r="BD5122">
        <v>0</v>
      </c>
      <c r="BN5122" t="s">
        <v>74</v>
      </c>
    </row>
    <row r="5123" spans="1:66" hidden="1">
      <c r="A5123">
        <v>101934</v>
      </c>
      <c r="B5123" s="3" t="s">
        <v>539</v>
      </c>
      <c r="C5123" s="1">
        <v>43300101</v>
      </c>
      <c r="D5123" t="s">
        <v>67</v>
      </c>
      <c r="H5123" t="str">
        <f t="shared" si="546"/>
        <v>06175550638</v>
      </c>
      <c r="I5123" t="str">
        <f t="shared" si="546"/>
        <v>06175550638</v>
      </c>
      <c r="K5123" t="str">
        <f>""</f>
        <v/>
      </c>
      <c r="M5123" t="s">
        <v>68</v>
      </c>
      <c r="N5123" t="str">
        <f t="shared" si="547"/>
        <v>FOR</v>
      </c>
      <c r="O5123" t="s">
        <v>69</v>
      </c>
      <c r="P5123" s="3" t="s">
        <v>75</v>
      </c>
      <c r="Q5123">
        <v>2015</v>
      </c>
      <c r="R5123" s="2">
        <v>42179</v>
      </c>
      <c r="S5123" s="2">
        <v>42186</v>
      </c>
      <c r="T5123" s="2">
        <v>42182</v>
      </c>
      <c r="U5123" s="2">
        <v>42242</v>
      </c>
      <c r="V5123" t="s">
        <v>71</v>
      </c>
      <c r="W5123" t="str">
        <f>"              254/PA"</f>
        <v xml:space="preserve">              254/PA</v>
      </c>
      <c r="X5123">
        <v>150.80000000000001</v>
      </c>
      <c r="Y5123">
        <v>0</v>
      </c>
      <c r="Z5123"/>
      <c r="AB5123"/>
      <c r="AC5123">
        <v>145</v>
      </c>
      <c r="AD5123">
        <v>285</v>
      </c>
      <c r="AE5123" s="1">
        <v>41325</v>
      </c>
      <c r="AF5123">
        <v>0</v>
      </c>
      <c r="AJ5123">
        <v>0</v>
      </c>
      <c r="AK5123">
        <v>0</v>
      </c>
      <c r="AL5123">
        <v>0</v>
      </c>
      <c r="AM5123">
        <v>0</v>
      </c>
      <c r="AN5123">
        <v>0</v>
      </c>
      <c r="AO5123">
        <v>0</v>
      </c>
      <c r="AP5123" s="2">
        <v>42746</v>
      </c>
      <c r="AQ5123" t="s">
        <v>72</v>
      </c>
      <c r="AR5123" t="s">
        <v>72</v>
      </c>
      <c r="AS5123">
        <v>1527</v>
      </c>
      <c r="AT5123" s="4">
        <v>42527</v>
      </c>
      <c r="AU5123" t="s">
        <v>73</v>
      </c>
      <c r="AV5123">
        <v>1527</v>
      </c>
      <c r="AW5123" s="4">
        <v>42527</v>
      </c>
      <c r="BD5123">
        <v>0</v>
      </c>
      <c r="BN5123" t="s">
        <v>74</v>
      </c>
    </row>
    <row r="5124" spans="1:66" hidden="1">
      <c r="A5124">
        <v>101934</v>
      </c>
      <c r="B5124" s="3" t="s">
        <v>539</v>
      </c>
      <c r="C5124" s="1">
        <v>43300101</v>
      </c>
      <c r="D5124" t="s">
        <v>67</v>
      </c>
      <c r="H5124" t="str">
        <f t="shared" si="546"/>
        <v>06175550638</v>
      </c>
      <c r="I5124" t="str">
        <f t="shared" si="546"/>
        <v>06175550638</v>
      </c>
      <c r="K5124" t="str">
        <f>""</f>
        <v/>
      </c>
      <c r="M5124" t="s">
        <v>68</v>
      </c>
      <c r="N5124" t="str">
        <f t="shared" si="547"/>
        <v>FOR</v>
      </c>
      <c r="O5124" t="s">
        <v>69</v>
      </c>
      <c r="P5124" s="3" t="s">
        <v>75</v>
      </c>
      <c r="Q5124">
        <v>2015</v>
      </c>
      <c r="R5124" s="2">
        <v>42179</v>
      </c>
      <c r="S5124" s="2">
        <v>42186</v>
      </c>
      <c r="T5124" s="2">
        <v>42182</v>
      </c>
      <c r="U5124" s="2">
        <v>42242</v>
      </c>
      <c r="V5124" t="s">
        <v>71</v>
      </c>
      <c r="W5124" t="str">
        <f>"              255/PA"</f>
        <v xml:space="preserve">              255/PA</v>
      </c>
      <c r="X5124">
        <v>150.80000000000001</v>
      </c>
      <c r="Y5124">
        <v>0</v>
      </c>
      <c r="Z5124"/>
      <c r="AB5124"/>
      <c r="AC5124">
        <v>145</v>
      </c>
      <c r="AD5124">
        <v>285</v>
      </c>
      <c r="AE5124" s="1">
        <v>41325</v>
      </c>
      <c r="AF5124">
        <v>0</v>
      </c>
      <c r="AJ5124">
        <v>0</v>
      </c>
      <c r="AK5124">
        <v>0</v>
      </c>
      <c r="AL5124">
        <v>0</v>
      </c>
      <c r="AM5124">
        <v>0</v>
      </c>
      <c r="AN5124">
        <v>0</v>
      </c>
      <c r="AO5124">
        <v>0</v>
      </c>
      <c r="AP5124" s="2">
        <v>42746</v>
      </c>
      <c r="AQ5124" t="s">
        <v>72</v>
      </c>
      <c r="AR5124" t="s">
        <v>72</v>
      </c>
      <c r="AS5124">
        <v>1527</v>
      </c>
      <c r="AT5124" s="4">
        <v>42527</v>
      </c>
      <c r="AU5124" t="s">
        <v>73</v>
      </c>
      <c r="AV5124">
        <v>1527</v>
      </c>
      <c r="AW5124" s="4">
        <v>42527</v>
      </c>
      <c r="BD5124">
        <v>0</v>
      </c>
      <c r="BN5124" t="s">
        <v>74</v>
      </c>
    </row>
    <row r="5125" spans="1:66" hidden="1">
      <c r="A5125">
        <v>101934</v>
      </c>
      <c r="B5125" s="3" t="s">
        <v>539</v>
      </c>
      <c r="C5125" s="1">
        <v>43300101</v>
      </c>
      <c r="D5125" t="s">
        <v>67</v>
      </c>
      <c r="H5125" t="str">
        <f t="shared" si="546"/>
        <v>06175550638</v>
      </c>
      <c r="I5125" t="str">
        <f t="shared" si="546"/>
        <v>06175550638</v>
      </c>
      <c r="K5125" t="str">
        <f>""</f>
        <v/>
      </c>
      <c r="M5125" t="s">
        <v>68</v>
      </c>
      <c r="N5125" t="str">
        <f t="shared" si="547"/>
        <v>FOR</v>
      </c>
      <c r="O5125" t="s">
        <v>69</v>
      </c>
      <c r="P5125" s="3" t="s">
        <v>75</v>
      </c>
      <c r="Q5125">
        <v>2015</v>
      </c>
      <c r="R5125" s="2">
        <v>42181</v>
      </c>
      <c r="S5125" s="2">
        <v>42187</v>
      </c>
      <c r="T5125" s="2">
        <v>42184</v>
      </c>
      <c r="U5125" s="2">
        <v>42244</v>
      </c>
      <c r="V5125" t="s">
        <v>71</v>
      </c>
      <c r="W5125" t="str">
        <f>"              272/PA"</f>
        <v xml:space="preserve">              272/PA</v>
      </c>
      <c r="X5125">
        <v>150.80000000000001</v>
      </c>
      <c r="Y5125">
        <v>0</v>
      </c>
      <c r="Z5125"/>
      <c r="AB5125"/>
      <c r="AC5125">
        <v>145</v>
      </c>
      <c r="AD5125">
        <v>283</v>
      </c>
      <c r="AE5125" s="1">
        <v>41035</v>
      </c>
      <c r="AF5125">
        <v>0</v>
      </c>
      <c r="AJ5125">
        <v>0</v>
      </c>
      <c r="AK5125">
        <v>0</v>
      </c>
      <c r="AL5125">
        <v>0</v>
      </c>
      <c r="AM5125">
        <v>0</v>
      </c>
      <c r="AN5125">
        <v>0</v>
      </c>
      <c r="AO5125">
        <v>0</v>
      </c>
      <c r="AP5125" s="2">
        <v>42746</v>
      </c>
      <c r="AQ5125" t="s">
        <v>72</v>
      </c>
      <c r="AR5125" t="s">
        <v>72</v>
      </c>
      <c r="AS5125">
        <v>1527</v>
      </c>
      <c r="AT5125" s="4">
        <v>42527</v>
      </c>
      <c r="AU5125" t="s">
        <v>73</v>
      </c>
      <c r="AV5125">
        <v>1527</v>
      </c>
      <c r="AW5125" s="4">
        <v>42527</v>
      </c>
      <c r="BD5125">
        <v>0</v>
      </c>
      <c r="BN5125" t="s">
        <v>74</v>
      </c>
    </row>
    <row r="5126" spans="1:66" hidden="1">
      <c r="A5126">
        <v>101934</v>
      </c>
      <c r="B5126" s="3" t="s">
        <v>539</v>
      </c>
      <c r="C5126" s="1">
        <v>43300101</v>
      </c>
      <c r="D5126" t="s">
        <v>67</v>
      </c>
      <c r="H5126" t="str">
        <f t="shared" si="546"/>
        <v>06175550638</v>
      </c>
      <c r="I5126" t="str">
        <f t="shared" si="546"/>
        <v>06175550638</v>
      </c>
      <c r="K5126" t="str">
        <f>""</f>
        <v/>
      </c>
      <c r="M5126" t="s">
        <v>68</v>
      </c>
      <c r="N5126" t="str">
        <f t="shared" si="547"/>
        <v>FOR</v>
      </c>
      <c r="O5126" t="s">
        <v>69</v>
      </c>
      <c r="P5126" s="3" t="s">
        <v>75</v>
      </c>
      <c r="Q5126">
        <v>2015</v>
      </c>
      <c r="R5126" s="2">
        <v>42185</v>
      </c>
      <c r="S5126" s="2">
        <v>42191</v>
      </c>
      <c r="T5126" s="2">
        <v>42190</v>
      </c>
      <c r="U5126" s="2">
        <v>42250</v>
      </c>
      <c r="V5126" t="s">
        <v>71</v>
      </c>
      <c r="W5126" t="str">
        <f>"              287/PA"</f>
        <v xml:space="preserve">              287/PA</v>
      </c>
      <c r="X5126">
        <v>150.80000000000001</v>
      </c>
      <c r="Y5126">
        <v>0</v>
      </c>
      <c r="Z5126"/>
      <c r="AB5126"/>
      <c r="AC5126">
        <v>145</v>
      </c>
      <c r="AD5126">
        <v>277</v>
      </c>
      <c r="AE5126" s="1">
        <v>40165</v>
      </c>
      <c r="AF5126">
        <v>0</v>
      </c>
      <c r="AJ5126">
        <v>0</v>
      </c>
      <c r="AK5126">
        <v>0</v>
      </c>
      <c r="AL5126">
        <v>0</v>
      </c>
      <c r="AM5126">
        <v>0</v>
      </c>
      <c r="AN5126">
        <v>0</v>
      </c>
      <c r="AO5126">
        <v>0</v>
      </c>
      <c r="AP5126" s="2">
        <v>42746</v>
      </c>
      <c r="AQ5126" t="s">
        <v>72</v>
      </c>
      <c r="AR5126" t="s">
        <v>72</v>
      </c>
      <c r="AS5126">
        <v>1527</v>
      </c>
      <c r="AT5126" s="4">
        <v>42527</v>
      </c>
      <c r="AU5126" t="s">
        <v>73</v>
      </c>
      <c r="AV5126">
        <v>1527</v>
      </c>
      <c r="AW5126" s="4">
        <v>42527</v>
      </c>
      <c r="BD5126">
        <v>0</v>
      </c>
      <c r="BN5126" t="s">
        <v>74</v>
      </c>
    </row>
    <row r="5127" spans="1:66" hidden="1">
      <c r="A5127">
        <v>101934</v>
      </c>
      <c r="B5127" s="3" t="s">
        <v>539</v>
      </c>
      <c r="C5127" s="1">
        <v>43300101</v>
      </c>
      <c r="D5127" t="s">
        <v>67</v>
      </c>
      <c r="H5127" t="str">
        <f t="shared" si="546"/>
        <v>06175550638</v>
      </c>
      <c r="I5127" t="str">
        <f t="shared" si="546"/>
        <v>06175550638</v>
      </c>
      <c r="K5127" t="str">
        <f>""</f>
        <v/>
      </c>
      <c r="M5127" t="s">
        <v>68</v>
      </c>
      <c r="N5127" t="str">
        <f t="shared" si="547"/>
        <v>FOR</v>
      </c>
      <c r="O5127" t="s">
        <v>69</v>
      </c>
      <c r="P5127" s="3" t="s">
        <v>75</v>
      </c>
      <c r="Q5127">
        <v>2015</v>
      </c>
      <c r="R5127" s="2">
        <v>42185</v>
      </c>
      <c r="S5127" s="2">
        <v>42191</v>
      </c>
      <c r="T5127" s="2">
        <v>42188</v>
      </c>
      <c r="U5127" s="2">
        <v>42248</v>
      </c>
      <c r="V5127" t="s">
        <v>71</v>
      </c>
      <c r="W5127" t="str">
        <f>"              288/PA"</f>
        <v xml:space="preserve">              288/PA</v>
      </c>
      <c r="X5127">
        <v>150.80000000000001</v>
      </c>
      <c r="Y5127">
        <v>0</v>
      </c>
      <c r="Z5127"/>
      <c r="AB5127"/>
      <c r="AC5127">
        <v>145</v>
      </c>
      <c r="AD5127">
        <v>279</v>
      </c>
      <c r="AE5127" s="1">
        <v>40455</v>
      </c>
      <c r="AF5127">
        <v>0</v>
      </c>
      <c r="AJ5127">
        <v>0</v>
      </c>
      <c r="AK5127">
        <v>0</v>
      </c>
      <c r="AL5127">
        <v>0</v>
      </c>
      <c r="AM5127">
        <v>0</v>
      </c>
      <c r="AN5127">
        <v>0</v>
      </c>
      <c r="AO5127">
        <v>0</v>
      </c>
      <c r="AP5127" s="2">
        <v>42746</v>
      </c>
      <c r="AQ5127" t="s">
        <v>72</v>
      </c>
      <c r="AR5127" t="s">
        <v>72</v>
      </c>
      <c r="AS5127">
        <v>1527</v>
      </c>
      <c r="AT5127" s="4">
        <v>42527</v>
      </c>
      <c r="AU5127" t="s">
        <v>73</v>
      </c>
      <c r="AV5127">
        <v>1527</v>
      </c>
      <c r="AW5127" s="4">
        <v>42527</v>
      </c>
      <c r="BD5127">
        <v>0</v>
      </c>
      <c r="BN5127" t="s">
        <v>74</v>
      </c>
    </row>
    <row r="5128" spans="1:66" hidden="1">
      <c r="A5128">
        <v>101934</v>
      </c>
      <c r="B5128" s="3" t="s">
        <v>539</v>
      </c>
      <c r="C5128" s="1">
        <v>43300101</v>
      </c>
      <c r="D5128" t="s">
        <v>67</v>
      </c>
      <c r="H5128" t="str">
        <f t="shared" si="546"/>
        <v>06175550638</v>
      </c>
      <c r="I5128" t="str">
        <f t="shared" si="546"/>
        <v>06175550638</v>
      </c>
      <c r="K5128" t="str">
        <f>""</f>
        <v/>
      </c>
      <c r="M5128" t="s">
        <v>68</v>
      </c>
      <c r="N5128" t="str">
        <f t="shared" si="547"/>
        <v>FOR</v>
      </c>
      <c r="O5128" t="s">
        <v>69</v>
      </c>
      <c r="P5128" s="3" t="s">
        <v>75</v>
      </c>
      <c r="Q5128">
        <v>2015</v>
      </c>
      <c r="R5128" s="2">
        <v>42185</v>
      </c>
      <c r="S5128" s="2">
        <v>42191</v>
      </c>
      <c r="T5128" s="2">
        <v>42188</v>
      </c>
      <c r="U5128" s="2">
        <v>42248</v>
      </c>
      <c r="V5128" t="s">
        <v>71</v>
      </c>
      <c r="W5128" t="str">
        <f>"              289/PA"</f>
        <v xml:space="preserve">              289/PA</v>
      </c>
      <c r="X5128">
        <v>150.80000000000001</v>
      </c>
      <c r="Y5128">
        <v>0</v>
      </c>
      <c r="Z5128"/>
      <c r="AB5128"/>
      <c r="AC5128">
        <v>145</v>
      </c>
      <c r="AD5128">
        <v>279</v>
      </c>
      <c r="AE5128" s="1">
        <v>40455</v>
      </c>
      <c r="AF5128">
        <v>0</v>
      </c>
      <c r="AJ5128">
        <v>0</v>
      </c>
      <c r="AK5128">
        <v>0</v>
      </c>
      <c r="AL5128">
        <v>0</v>
      </c>
      <c r="AM5128">
        <v>0</v>
      </c>
      <c r="AN5128">
        <v>0</v>
      </c>
      <c r="AO5128">
        <v>0</v>
      </c>
      <c r="AP5128" s="2">
        <v>42746</v>
      </c>
      <c r="AQ5128" t="s">
        <v>72</v>
      </c>
      <c r="AR5128" t="s">
        <v>72</v>
      </c>
      <c r="AS5128">
        <v>1527</v>
      </c>
      <c r="AT5128" s="4">
        <v>42527</v>
      </c>
      <c r="AU5128" t="s">
        <v>73</v>
      </c>
      <c r="AV5128">
        <v>1527</v>
      </c>
      <c r="AW5128" s="4">
        <v>42527</v>
      </c>
      <c r="BD5128">
        <v>0</v>
      </c>
      <c r="BN5128" t="s">
        <v>74</v>
      </c>
    </row>
    <row r="5129" spans="1:66" hidden="1">
      <c r="A5129">
        <v>101934</v>
      </c>
      <c r="B5129" s="3" t="s">
        <v>539</v>
      </c>
      <c r="C5129" s="1">
        <v>43300101</v>
      </c>
      <c r="D5129" t="s">
        <v>67</v>
      </c>
      <c r="H5129" t="str">
        <f t="shared" si="546"/>
        <v>06175550638</v>
      </c>
      <c r="I5129" t="str">
        <f t="shared" si="546"/>
        <v>06175550638</v>
      </c>
      <c r="K5129" t="str">
        <f>""</f>
        <v/>
      </c>
      <c r="M5129" t="s">
        <v>68</v>
      </c>
      <c r="N5129" t="str">
        <f t="shared" si="547"/>
        <v>FOR</v>
      </c>
      <c r="O5129" t="s">
        <v>69</v>
      </c>
      <c r="P5129" s="3" t="s">
        <v>75</v>
      </c>
      <c r="Q5129">
        <v>2015</v>
      </c>
      <c r="R5129" s="2">
        <v>42185</v>
      </c>
      <c r="S5129" s="2">
        <v>42191</v>
      </c>
      <c r="T5129" s="2">
        <v>42190</v>
      </c>
      <c r="U5129" s="2">
        <v>42250</v>
      </c>
      <c r="V5129" t="s">
        <v>71</v>
      </c>
      <c r="W5129" t="str">
        <f>"              290/PA"</f>
        <v xml:space="preserve">              290/PA</v>
      </c>
      <c r="X5129">
        <v>150.80000000000001</v>
      </c>
      <c r="Y5129">
        <v>0</v>
      </c>
      <c r="Z5129"/>
      <c r="AB5129"/>
      <c r="AC5129">
        <v>145</v>
      </c>
      <c r="AD5129">
        <v>277</v>
      </c>
      <c r="AE5129" s="1">
        <v>40165</v>
      </c>
      <c r="AF5129">
        <v>0</v>
      </c>
      <c r="AJ5129">
        <v>0</v>
      </c>
      <c r="AK5129">
        <v>0</v>
      </c>
      <c r="AL5129">
        <v>0</v>
      </c>
      <c r="AM5129">
        <v>0</v>
      </c>
      <c r="AN5129">
        <v>0</v>
      </c>
      <c r="AO5129">
        <v>0</v>
      </c>
      <c r="AP5129" s="2">
        <v>42746</v>
      </c>
      <c r="AQ5129" t="s">
        <v>72</v>
      </c>
      <c r="AR5129" t="s">
        <v>72</v>
      </c>
      <c r="AS5129">
        <v>1527</v>
      </c>
      <c r="AT5129" s="4">
        <v>42527</v>
      </c>
      <c r="AU5129" t="s">
        <v>73</v>
      </c>
      <c r="AV5129">
        <v>1527</v>
      </c>
      <c r="AW5129" s="4">
        <v>42527</v>
      </c>
      <c r="BD5129">
        <v>0</v>
      </c>
      <c r="BN5129" t="s">
        <v>74</v>
      </c>
    </row>
    <row r="5130" spans="1:66" hidden="1">
      <c r="A5130">
        <v>101934</v>
      </c>
      <c r="B5130" s="3" t="s">
        <v>539</v>
      </c>
      <c r="C5130" s="1">
        <v>43300101</v>
      </c>
      <c r="D5130" t="s">
        <v>67</v>
      </c>
      <c r="H5130" t="str">
        <f t="shared" si="546"/>
        <v>06175550638</v>
      </c>
      <c r="I5130" t="str">
        <f t="shared" si="546"/>
        <v>06175550638</v>
      </c>
      <c r="K5130" t="str">
        <f>""</f>
        <v/>
      </c>
      <c r="M5130" t="s">
        <v>68</v>
      </c>
      <c r="N5130" t="str">
        <f t="shared" si="547"/>
        <v>FOR</v>
      </c>
      <c r="O5130" t="s">
        <v>69</v>
      </c>
      <c r="P5130" s="3" t="s">
        <v>75</v>
      </c>
      <c r="Q5130">
        <v>2015</v>
      </c>
      <c r="R5130" s="2">
        <v>42202</v>
      </c>
      <c r="S5130" s="2">
        <v>42207</v>
      </c>
      <c r="T5130" s="2">
        <v>42205</v>
      </c>
      <c r="U5130" s="2">
        <v>42265</v>
      </c>
      <c r="V5130" t="s">
        <v>71</v>
      </c>
      <c r="W5130" t="str">
        <f>"              315/PA"</f>
        <v xml:space="preserve">              315/PA</v>
      </c>
      <c r="X5130">
        <v>150.80000000000001</v>
      </c>
      <c r="Y5130">
        <v>0</v>
      </c>
      <c r="Z5130"/>
      <c r="AB5130"/>
      <c r="AC5130">
        <v>145</v>
      </c>
      <c r="AD5130">
        <v>287</v>
      </c>
      <c r="AE5130" s="1">
        <v>41615</v>
      </c>
      <c r="AF5130">
        <v>0</v>
      </c>
      <c r="AJ5130">
        <v>0</v>
      </c>
      <c r="AK5130">
        <v>0</v>
      </c>
      <c r="AL5130">
        <v>0</v>
      </c>
      <c r="AM5130">
        <v>0</v>
      </c>
      <c r="AN5130">
        <v>0</v>
      </c>
      <c r="AO5130">
        <v>0</v>
      </c>
      <c r="AP5130" s="2">
        <v>42746</v>
      </c>
      <c r="AQ5130" t="s">
        <v>72</v>
      </c>
      <c r="AR5130" t="s">
        <v>72</v>
      </c>
      <c r="AS5130">
        <v>1665</v>
      </c>
      <c r="AT5130" s="4">
        <v>42552</v>
      </c>
      <c r="AU5130" t="s">
        <v>73</v>
      </c>
      <c r="AV5130">
        <v>1665</v>
      </c>
      <c r="AW5130" s="4">
        <v>42552</v>
      </c>
      <c r="BD5130">
        <v>0</v>
      </c>
      <c r="BN5130" t="s">
        <v>74</v>
      </c>
    </row>
    <row r="5131" spans="1:66" hidden="1">
      <c r="A5131">
        <v>101934</v>
      </c>
      <c r="B5131" s="3" t="s">
        <v>539</v>
      </c>
      <c r="C5131" s="1">
        <v>43300101</v>
      </c>
      <c r="D5131" t="s">
        <v>67</v>
      </c>
      <c r="H5131" t="str">
        <f t="shared" si="546"/>
        <v>06175550638</v>
      </c>
      <c r="I5131" t="str">
        <f t="shared" si="546"/>
        <v>06175550638</v>
      </c>
      <c r="K5131" t="str">
        <f>""</f>
        <v/>
      </c>
      <c r="M5131" t="s">
        <v>68</v>
      </c>
      <c r="N5131" t="str">
        <f t="shared" si="547"/>
        <v>FOR</v>
      </c>
      <c r="O5131" t="s">
        <v>69</v>
      </c>
      <c r="P5131" s="3" t="s">
        <v>75</v>
      </c>
      <c r="Q5131">
        <v>2015</v>
      </c>
      <c r="R5131" s="2">
        <v>42202</v>
      </c>
      <c r="S5131" s="2">
        <v>42206</v>
      </c>
      <c r="T5131" s="2">
        <v>42205</v>
      </c>
      <c r="U5131" s="2">
        <v>42265</v>
      </c>
      <c r="V5131" t="s">
        <v>71</v>
      </c>
      <c r="W5131" t="str">
        <f>"              316/PA"</f>
        <v xml:space="preserve">              316/PA</v>
      </c>
      <c r="X5131">
        <v>150.80000000000001</v>
      </c>
      <c r="Y5131">
        <v>0</v>
      </c>
      <c r="Z5131"/>
      <c r="AB5131"/>
      <c r="AC5131">
        <v>145</v>
      </c>
      <c r="AD5131">
        <v>287</v>
      </c>
      <c r="AE5131" s="1">
        <v>41615</v>
      </c>
      <c r="AF5131">
        <v>0</v>
      </c>
      <c r="AJ5131">
        <v>0</v>
      </c>
      <c r="AK5131">
        <v>0</v>
      </c>
      <c r="AL5131">
        <v>0</v>
      </c>
      <c r="AM5131">
        <v>0</v>
      </c>
      <c r="AN5131">
        <v>0</v>
      </c>
      <c r="AO5131">
        <v>0</v>
      </c>
      <c r="AP5131" s="2">
        <v>42746</v>
      </c>
      <c r="AQ5131" t="s">
        <v>72</v>
      </c>
      <c r="AR5131" t="s">
        <v>72</v>
      </c>
      <c r="AS5131">
        <v>1665</v>
      </c>
      <c r="AT5131" s="4">
        <v>42552</v>
      </c>
      <c r="AU5131" t="s">
        <v>73</v>
      </c>
      <c r="AV5131">
        <v>1665</v>
      </c>
      <c r="AW5131" s="4">
        <v>42552</v>
      </c>
      <c r="BD5131">
        <v>0</v>
      </c>
      <c r="BN5131" t="s">
        <v>74</v>
      </c>
    </row>
    <row r="5132" spans="1:66" hidden="1">
      <c r="A5132">
        <v>101934</v>
      </c>
      <c r="B5132" s="3" t="s">
        <v>539</v>
      </c>
      <c r="C5132" s="1">
        <v>43300101</v>
      </c>
      <c r="D5132" t="s">
        <v>67</v>
      </c>
      <c r="H5132" t="str">
        <f t="shared" si="546"/>
        <v>06175550638</v>
      </c>
      <c r="I5132" t="str">
        <f t="shared" si="546"/>
        <v>06175550638</v>
      </c>
      <c r="K5132" t="str">
        <f>""</f>
        <v/>
      </c>
      <c r="M5132" t="s">
        <v>68</v>
      </c>
      <c r="N5132" t="str">
        <f t="shared" si="547"/>
        <v>FOR</v>
      </c>
      <c r="O5132" t="s">
        <v>69</v>
      </c>
      <c r="P5132" s="3" t="s">
        <v>75</v>
      </c>
      <c r="Q5132">
        <v>2015</v>
      </c>
      <c r="R5132" s="2">
        <v>42202</v>
      </c>
      <c r="S5132" s="2">
        <v>42206</v>
      </c>
      <c r="T5132" s="2">
        <v>42205</v>
      </c>
      <c r="U5132" s="2">
        <v>42265</v>
      </c>
      <c r="V5132" t="s">
        <v>71</v>
      </c>
      <c r="W5132" t="str">
        <f>"              317/PA"</f>
        <v xml:space="preserve">              317/PA</v>
      </c>
      <c r="X5132">
        <v>150.80000000000001</v>
      </c>
      <c r="Y5132">
        <v>0</v>
      </c>
      <c r="Z5132"/>
      <c r="AB5132"/>
      <c r="AC5132">
        <v>145</v>
      </c>
      <c r="AD5132">
        <v>287</v>
      </c>
      <c r="AE5132" s="1">
        <v>41615</v>
      </c>
      <c r="AF5132">
        <v>0</v>
      </c>
      <c r="AJ5132">
        <v>0</v>
      </c>
      <c r="AK5132">
        <v>0</v>
      </c>
      <c r="AL5132">
        <v>0</v>
      </c>
      <c r="AM5132">
        <v>0</v>
      </c>
      <c r="AN5132">
        <v>0</v>
      </c>
      <c r="AO5132">
        <v>0</v>
      </c>
      <c r="AP5132" s="2">
        <v>42746</v>
      </c>
      <c r="AQ5132" t="s">
        <v>72</v>
      </c>
      <c r="AR5132" t="s">
        <v>72</v>
      </c>
      <c r="AS5132">
        <v>1665</v>
      </c>
      <c r="AT5132" s="4">
        <v>42552</v>
      </c>
      <c r="AU5132" t="s">
        <v>73</v>
      </c>
      <c r="AV5132">
        <v>1665</v>
      </c>
      <c r="AW5132" s="4">
        <v>42552</v>
      </c>
      <c r="BD5132">
        <v>0</v>
      </c>
      <c r="BN5132" t="s">
        <v>74</v>
      </c>
    </row>
    <row r="5133" spans="1:66" hidden="1">
      <c r="A5133">
        <v>101934</v>
      </c>
      <c r="B5133" s="3" t="s">
        <v>539</v>
      </c>
      <c r="C5133" s="1">
        <v>43300101</v>
      </c>
      <c r="D5133" t="s">
        <v>67</v>
      </c>
      <c r="H5133" t="str">
        <f t="shared" ref="H5133:I5152" si="548">"06175550638"</f>
        <v>06175550638</v>
      </c>
      <c r="I5133" t="str">
        <f t="shared" si="548"/>
        <v>06175550638</v>
      </c>
      <c r="K5133" t="str">
        <f>""</f>
        <v/>
      </c>
      <c r="M5133" t="s">
        <v>68</v>
      </c>
      <c r="N5133" t="str">
        <f t="shared" si="547"/>
        <v>FOR</v>
      </c>
      <c r="O5133" t="s">
        <v>69</v>
      </c>
      <c r="P5133" s="3" t="s">
        <v>75</v>
      </c>
      <c r="Q5133">
        <v>2015</v>
      </c>
      <c r="R5133" s="2">
        <v>42202</v>
      </c>
      <c r="S5133" s="2">
        <v>42206</v>
      </c>
      <c r="T5133" s="2">
        <v>42205</v>
      </c>
      <c r="U5133" s="2">
        <v>42265</v>
      </c>
      <c r="V5133" t="s">
        <v>71</v>
      </c>
      <c r="W5133" t="str">
        <f>"              318/PA"</f>
        <v xml:space="preserve">              318/PA</v>
      </c>
      <c r="X5133">
        <v>150.80000000000001</v>
      </c>
      <c r="Y5133">
        <v>0</v>
      </c>
      <c r="Z5133"/>
      <c r="AB5133"/>
      <c r="AC5133">
        <v>145</v>
      </c>
      <c r="AD5133">
        <v>287</v>
      </c>
      <c r="AE5133" s="1">
        <v>41615</v>
      </c>
      <c r="AF5133">
        <v>0</v>
      </c>
      <c r="AJ5133">
        <v>0</v>
      </c>
      <c r="AK5133">
        <v>0</v>
      </c>
      <c r="AL5133">
        <v>0</v>
      </c>
      <c r="AM5133">
        <v>0</v>
      </c>
      <c r="AN5133">
        <v>0</v>
      </c>
      <c r="AO5133">
        <v>0</v>
      </c>
      <c r="AP5133" s="2">
        <v>42746</v>
      </c>
      <c r="AQ5133" t="s">
        <v>72</v>
      </c>
      <c r="AR5133" t="s">
        <v>72</v>
      </c>
      <c r="AS5133">
        <v>1665</v>
      </c>
      <c r="AT5133" s="4">
        <v>42552</v>
      </c>
      <c r="AU5133" t="s">
        <v>73</v>
      </c>
      <c r="AV5133">
        <v>1665</v>
      </c>
      <c r="AW5133" s="4">
        <v>42552</v>
      </c>
      <c r="BD5133">
        <v>0</v>
      </c>
      <c r="BN5133" t="s">
        <v>74</v>
      </c>
    </row>
    <row r="5134" spans="1:66" hidden="1">
      <c r="A5134">
        <v>101934</v>
      </c>
      <c r="B5134" s="3" t="s">
        <v>539</v>
      </c>
      <c r="C5134" s="1">
        <v>43300101</v>
      </c>
      <c r="D5134" t="s">
        <v>67</v>
      </c>
      <c r="H5134" t="str">
        <f t="shared" si="548"/>
        <v>06175550638</v>
      </c>
      <c r="I5134" t="str">
        <f t="shared" si="548"/>
        <v>06175550638</v>
      </c>
      <c r="K5134" t="str">
        <f>""</f>
        <v/>
      </c>
      <c r="M5134" t="s">
        <v>68</v>
      </c>
      <c r="N5134" t="str">
        <f t="shared" si="547"/>
        <v>FOR</v>
      </c>
      <c r="O5134" t="s">
        <v>69</v>
      </c>
      <c r="P5134" s="3" t="s">
        <v>75</v>
      </c>
      <c r="Q5134">
        <v>2015</v>
      </c>
      <c r="R5134" s="2">
        <v>42216</v>
      </c>
      <c r="S5134" s="2">
        <v>42219</v>
      </c>
      <c r="T5134" s="2">
        <v>42219</v>
      </c>
      <c r="U5134" s="2">
        <v>42279</v>
      </c>
      <c r="V5134" t="s">
        <v>71</v>
      </c>
      <c r="W5134" t="str">
        <f>"              363/PA"</f>
        <v xml:space="preserve">              363/PA</v>
      </c>
      <c r="X5134">
        <v>150.80000000000001</v>
      </c>
      <c r="Y5134">
        <v>0</v>
      </c>
      <c r="Z5134"/>
      <c r="AB5134"/>
      <c r="AC5134">
        <v>145</v>
      </c>
      <c r="AD5134">
        <v>273</v>
      </c>
      <c r="AE5134" s="1">
        <v>39585</v>
      </c>
      <c r="AF5134">
        <v>0</v>
      </c>
      <c r="AJ5134">
        <v>0</v>
      </c>
      <c r="AK5134">
        <v>0</v>
      </c>
      <c r="AL5134">
        <v>0</v>
      </c>
      <c r="AM5134">
        <v>0</v>
      </c>
      <c r="AN5134">
        <v>0</v>
      </c>
      <c r="AO5134">
        <v>0</v>
      </c>
      <c r="AP5134" s="2">
        <v>42746</v>
      </c>
      <c r="AQ5134" t="s">
        <v>72</v>
      </c>
      <c r="AR5134" t="s">
        <v>72</v>
      </c>
      <c r="AS5134">
        <v>1665</v>
      </c>
      <c r="AT5134" s="4">
        <v>42552</v>
      </c>
      <c r="AU5134" t="s">
        <v>73</v>
      </c>
      <c r="AV5134">
        <v>1665</v>
      </c>
      <c r="AW5134" s="4">
        <v>42552</v>
      </c>
      <c r="BD5134">
        <v>0</v>
      </c>
      <c r="BN5134" t="s">
        <v>74</v>
      </c>
    </row>
    <row r="5135" spans="1:66" hidden="1">
      <c r="A5135">
        <v>101934</v>
      </c>
      <c r="B5135" s="3" t="s">
        <v>539</v>
      </c>
      <c r="C5135" s="1">
        <v>43300101</v>
      </c>
      <c r="D5135" t="s">
        <v>67</v>
      </c>
      <c r="H5135" t="str">
        <f t="shared" si="548"/>
        <v>06175550638</v>
      </c>
      <c r="I5135" t="str">
        <f t="shared" si="548"/>
        <v>06175550638</v>
      </c>
      <c r="K5135" t="str">
        <f>""</f>
        <v/>
      </c>
      <c r="M5135" t="s">
        <v>68</v>
      </c>
      <c r="N5135" t="str">
        <f t="shared" si="547"/>
        <v>FOR</v>
      </c>
      <c r="O5135" t="s">
        <v>69</v>
      </c>
      <c r="P5135" s="3" t="s">
        <v>75</v>
      </c>
      <c r="Q5135">
        <v>2015</v>
      </c>
      <c r="R5135" s="2">
        <v>42216</v>
      </c>
      <c r="S5135" s="2">
        <v>42219</v>
      </c>
      <c r="T5135" s="2">
        <v>42219</v>
      </c>
      <c r="U5135" s="2">
        <v>42279</v>
      </c>
      <c r="V5135" t="s">
        <v>71</v>
      </c>
      <c r="W5135" t="str">
        <f>"              364/PA"</f>
        <v xml:space="preserve">              364/PA</v>
      </c>
      <c r="X5135">
        <v>150.80000000000001</v>
      </c>
      <c r="Y5135">
        <v>0</v>
      </c>
      <c r="Z5135"/>
      <c r="AB5135"/>
      <c r="AC5135">
        <v>145</v>
      </c>
      <c r="AD5135">
        <v>273</v>
      </c>
      <c r="AE5135" s="1">
        <v>39585</v>
      </c>
      <c r="AF5135">
        <v>0</v>
      </c>
      <c r="AJ5135">
        <v>0</v>
      </c>
      <c r="AK5135">
        <v>0</v>
      </c>
      <c r="AL5135">
        <v>0</v>
      </c>
      <c r="AM5135">
        <v>0</v>
      </c>
      <c r="AN5135">
        <v>0</v>
      </c>
      <c r="AO5135">
        <v>0</v>
      </c>
      <c r="AP5135" s="2">
        <v>42746</v>
      </c>
      <c r="AQ5135" t="s">
        <v>72</v>
      </c>
      <c r="AR5135" t="s">
        <v>72</v>
      </c>
      <c r="AS5135">
        <v>1665</v>
      </c>
      <c r="AT5135" s="4">
        <v>42552</v>
      </c>
      <c r="AU5135" t="s">
        <v>73</v>
      </c>
      <c r="AV5135">
        <v>1665</v>
      </c>
      <c r="AW5135" s="4">
        <v>42552</v>
      </c>
      <c r="BD5135">
        <v>0</v>
      </c>
      <c r="BN5135" t="s">
        <v>74</v>
      </c>
    </row>
    <row r="5136" spans="1:66">
      <c r="A5136">
        <v>101934</v>
      </c>
      <c r="B5136" s="3" t="s">
        <v>539</v>
      </c>
      <c r="C5136" s="1">
        <v>43300101</v>
      </c>
      <c r="D5136" t="s">
        <v>67</v>
      </c>
      <c r="H5136" t="str">
        <f t="shared" si="548"/>
        <v>06175550638</v>
      </c>
      <c r="I5136" t="str">
        <f t="shared" si="548"/>
        <v>06175550638</v>
      </c>
      <c r="K5136" t="str">
        <f>""</f>
        <v/>
      </c>
      <c r="M5136" t="s">
        <v>68</v>
      </c>
      <c r="N5136" t="str">
        <f t="shared" si="547"/>
        <v>FOR</v>
      </c>
      <c r="O5136" t="s">
        <v>69</v>
      </c>
      <c r="P5136" s="3" t="s">
        <v>75</v>
      </c>
      <c r="Q5136">
        <v>2015</v>
      </c>
      <c r="R5136" s="2">
        <v>42306</v>
      </c>
      <c r="S5136" s="2">
        <v>42310</v>
      </c>
      <c r="T5136" s="2">
        <v>42310</v>
      </c>
      <c r="U5136" s="2">
        <v>42370</v>
      </c>
      <c r="V5136" t="s">
        <v>71</v>
      </c>
      <c r="W5136" t="str">
        <f>"              542/PA"</f>
        <v xml:space="preserve">              542/PA</v>
      </c>
      <c r="X5136">
        <v>150.80000000000001</v>
      </c>
      <c r="Y5136">
        <v>0</v>
      </c>
      <c r="Z5136" s="3">
        <v>145</v>
      </c>
      <c r="AA5136">
        <v>277</v>
      </c>
      <c r="AB5136" s="5">
        <v>40165</v>
      </c>
      <c r="AC5136">
        <v>145</v>
      </c>
      <c r="AD5136">
        <v>277</v>
      </c>
      <c r="AE5136" s="1">
        <v>40165</v>
      </c>
      <c r="AF5136">
        <v>0</v>
      </c>
      <c r="AJ5136">
        <v>0</v>
      </c>
      <c r="AK5136">
        <v>0</v>
      </c>
      <c r="AL5136">
        <v>0</v>
      </c>
      <c r="AM5136">
        <v>0</v>
      </c>
      <c r="AN5136">
        <v>0</v>
      </c>
      <c r="AO5136">
        <v>0</v>
      </c>
      <c r="AP5136" s="2">
        <v>42746</v>
      </c>
      <c r="AQ5136" t="s">
        <v>72</v>
      </c>
      <c r="AR5136" t="s">
        <v>72</v>
      </c>
      <c r="AS5136">
        <v>2596</v>
      </c>
      <c r="AT5136" s="4">
        <v>42647</v>
      </c>
      <c r="AU5136" t="s">
        <v>73</v>
      </c>
      <c r="AV5136">
        <v>2596</v>
      </c>
      <c r="AW5136" s="4">
        <v>42647</v>
      </c>
      <c r="BD5136">
        <v>0</v>
      </c>
      <c r="BN5136" t="s">
        <v>74</v>
      </c>
    </row>
    <row r="5137" spans="1:66">
      <c r="A5137">
        <v>101934</v>
      </c>
      <c r="B5137" s="3" t="s">
        <v>539</v>
      </c>
      <c r="C5137" s="1">
        <v>43300101</v>
      </c>
      <c r="D5137" t="s">
        <v>67</v>
      </c>
      <c r="H5137" t="str">
        <f t="shared" si="548"/>
        <v>06175550638</v>
      </c>
      <c r="I5137" t="str">
        <f t="shared" si="548"/>
        <v>06175550638</v>
      </c>
      <c r="K5137" t="str">
        <f>""</f>
        <v/>
      </c>
      <c r="M5137" t="s">
        <v>68</v>
      </c>
      <c r="N5137" t="str">
        <f t="shared" si="547"/>
        <v>FOR</v>
      </c>
      <c r="O5137" t="s">
        <v>69</v>
      </c>
      <c r="P5137" s="3" t="s">
        <v>75</v>
      </c>
      <c r="Q5137">
        <v>2015</v>
      </c>
      <c r="R5137" s="2">
        <v>42306</v>
      </c>
      <c r="S5137" s="2">
        <v>42310</v>
      </c>
      <c r="T5137" s="2">
        <v>42310</v>
      </c>
      <c r="U5137" s="2">
        <v>42370</v>
      </c>
      <c r="V5137" t="s">
        <v>71</v>
      </c>
      <c r="W5137" t="str">
        <f>"              543/PA"</f>
        <v xml:space="preserve">              543/PA</v>
      </c>
      <c r="X5137">
        <v>150.80000000000001</v>
      </c>
      <c r="Y5137">
        <v>0</v>
      </c>
      <c r="Z5137" s="3">
        <v>145</v>
      </c>
      <c r="AA5137">
        <v>277</v>
      </c>
      <c r="AB5137" s="5">
        <v>40165</v>
      </c>
      <c r="AC5137">
        <v>145</v>
      </c>
      <c r="AD5137">
        <v>277</v>
      </c>
      <c r="AE5137" s="1">
        <v>40165</v>
      </c>
      <c r="AF5137">
        <v>0</v>
      </c>
      <c r="AJ5137">
        <v>0</v>
      </c>
      <c r="AK5137">
        <v>0</v>
      </c>
      <c r="AL5137">
        <v>0</v>
      </c>
      <c r="AM5137">
        <v>0</v>
      </c>
      <c r="AN5137">
        <v>0</v>
      </c>
      <c r="AO5137">
        <v>0</v>
      </c>
      <c r="AP5137" s="2">
        <v>42746</v>
      </c>
      <c r="AQ5137" t="s">
        <v>72</v>
      </c>
      <c r="AR5137" t="s">
        <v>72</v>
      </c>
      <c r="AS5137">
        <v>2596</v>
      </c>
      <c r="AT5137" s="4">
        <v>42647</v>
      </c>
      <c r="AU5137" t="s">
        <v>73</v>
      </c>
      <c r="AV5137">
        <v>2596</v>
      </c>
      <c r="AW5137" s="4">
        <v>42647</v>
      </c>
      <c r="BD5137">
        <v>0</v>
      </c>
      <c r="BN5137" t="s">
        <v>74</v>
      </c>
    </row>
    <row r="5138" spans="1:66">
      <c r="A5138">
        <v>101934</v>
      </c>
      <c r="B5138" s="3" t="s">
        <v>539</v>
      </c>
      <c r="C5138" s="1">
        <v>43300101</v>
      </c>
      <c r="D5138" t="s">
        <v>67</v>
      </c>
      <c r="H5138" t="str">
        <f t="shared" si="548"/>
        <v>06175550638</v>
      </c>
      <c r="I5138" t="str">
        <f t="shared" si="548"/>
        <v>06175550638</v>
      </c>
      <c r="K5138" t="str">
        <f>""</f>
        <v/>
      </c>
      <c r="M5138" t="s">
        <v>68</v>
      </c>
      <c r="N5138" t="str">
        <f t="shared" si="547"/>
        <v>FOR</v>
      </c>
      <c r="O5138" t="s">
        <v>69</v>
      </c>
      <c r="P5138" s="3" t="s">
        <v>75</v>
      </c>
      <c r="Q5138">
        <v>2015</v>
      </c>
      <c r="R5138" s="2">
        <v>42306</v>
      </c>
      <c r="S5138" s="2">
        <v>42310</v>
      </c>
      <c r="T5138" s="2">
        <v>42310</v>
      </c>
      <c r="U5138" s="2">
        <v>42370</v>
      </c>
      <c r="V5138" t="s">
        <v>71</v>
      </c>
      <c r="W5138" t="str">
        <f>"              544/PA"</f>
        <v xml:space="preserve">              544/PA</v>
      </c>
      <c r="X5138">
        <v>150.80000000000001</v>
      </c>
      <c r="Y5138">
        <v>0</v>
      </c>
      <c r="Z5138" s="3">
        <v>145</v>
      </c>
      <c r="AA5138">
        <v>277</v>
      </c>
      <c r="AB5138" s="5">
        <v>40165</v>
      </c>
      <c r="AC5138">
        <v>145</v>
      </c>
      <c r="AD5138">
        <v>277</v>
      </c>
      <c r="AE5138" s="1">
        <v>40165</v>
      </c>
      <c r="AF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 s="2">
        <v>42746</v>
      </c>
      <c r="AQ5138" t="s">
        <v>72</v>
      </c>
      <c r="AR5138" t="s">
        <v>72</v>
      </c>
      <c r="AS5138">
        <v>2596</v>
      </c>
      <c r="AT5138" s="4">
        <v>42647</v>
      </c>
      <c r="AU5138" t="s">
        <v>73</v>
      </c>
      <c r="AV5138">
        <v>2596</v>
      </c>
      <c r="AW5138" s="4">
        <v>42647</v>
      </c>
      <c r="BD5138">
        <v>0</v>
      </c>
      <c r="BN5138" t="s">
        <v>74</v>
      </c>
    </row>
    <row r="5139" spans="1:66">
      <c r="A5139">
        <v>101934</v>
      </c>
      <c r="B5139" s="3" t="s">
        <v>539</v>
      </c>
      <c r="C5139" s="1">
        <v>43300101</v>
      </c>
      <c r="D5139" t="s">
        <v>67</v>
      </c>
      <c r="H5139" t="str">
        <f t="shared" si="548"/>
        <v>06175550638</v>
      </c>
      <c r="I5139" t="str">
        <f t="shared" si="548"/>
        <v>06175550638</v>
      </c>
      <c r="K5139" t="str">
        <f>""</f>
        <v/>
      </c>
      <c r="M5139" t="s">
        <v>68</v>
      </c>
      <c r="N5139" t="str">
        <f t="shared" si="547"/>
        <v>FOR</v>
      </c>
      <c r="O5139" t="s">
        <v>69</v>
      </c>
      <c r="P5139" s="3" t="s">
        <v>75</v>
      </c>
      <c r="Q5139">
        <v>2015</v>
      </c>
      <c r="R5139" s="2">
        <v>42306</v>
      </c>
      <c r="S5139" s="2">
        <v>42310</v>
      </c>
      <c r="T5139" s="2">
        <v>42310</v>
      </c>
      <c r="U5139" s="2">
        <v>42370</v>
      </c>
      <c r="V5139" t="s">
        <v>71</v>
      </c>
      <c r="W5139" t="str">
        <f>"              545/PA"</f>
        <v xml:space="preserve">              545/PA</v>
      </c>
      <c r="X5139">
        <v>150.80000000000001</v>
      </c>
      <c r="Y5139">
        <v>0</v>
      </c>
      <c r="Z5139" s="3">
        <v>145</v>
      </c>
      <c r="AA5139">
        <v>277</v>
      </c>
      <c r="AB5139" s="5">
        <v>40165</v>
      </c>
      <c r="AC5139">
        <v>145</v>
      </c>
      <c r="AD5139">
        <v>277</v>
      </c>
      <c r="AE5139" s="1">
        <v>40165</v>
      </c>
      <c r="AF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0</v>
      </c>
      <c r="AP5139" s="2">
        <v>42746</v>
      </c>
      <c r="AQ5139" t="s">
        <v>72</v>
      </c>
      <c r="AR5139" t="s">
        <v>72</v>
      </c>
      <c r="AS5139">
        <v>2596</v>
      </c>
      <c r="AT5139" s="4">
        <v>42647</v>
      </c>
      <c r="AU5139" t="s">
        <v>73</v>
      </c>
      <c r="AV5139">
        <v>2596</v>
      </c>
      <c r="AW5139" s="4">
        <v>42647</v>
      </c>
      <c r="BD5139">
        <v>0</v>
      </c>
      <c r="BN5139" t="s">
        <v>74</v>
      </c>
    </row>
    <row r="5140" spans="1:66">
      <c r="A5140">
        <v>101934</v>
      </c>
      <c r="B5140" s="3" t="s">
        <v>539</v>
      </c>
      <c r="C5140" s="1">
        <v>43300101</v>
      </c>
      <c r="D5140" t="s">
        <v>67</v>
      </c>
      <c r="H5140" t="str">
        <f t="shared" si="548"/>
        <v>06175550638</v>
      </c>
      <c r="I5140" t="str">
        <f t="shared" si="548"/>
        <v>06175550638</v>
      </c>
      <c r="K5140" t="str">
        <f>""</f>
        <v/>
      </c>
      <c r="M5140" t="s">
        <v>68</v>
      </c>
      <c r="N5140" t="str">
        <f t="shared" si="547"/>
        <v>FOR</v>
      </c>
      <c r="O5140" t="s">
        <v>69</v>
      </c>
      <c r="P5140" s="3" t="s">
        <v>75</v>
      </c>
      <c r="Q5140">
        <v>2015</v>
      </c>
      <c r="R5140" s="2">
        <v>42306</v>
      </c>
      <c r="S5140" s="2">
        <v>42310</v>
      </c>
      <c r="T5140" s="2">
        <v>42310</v>
      </c>
      <c r="U5140" s="2">
        <v>42370</v>
      </c>
      <c r="V5140" t="s">
        <v>71</v>
      </c>
      <c r="W5140" t="str">
        <f>"              546/PA"</f>
        <v xml:space="preserve">              546/PA</v>
      </c>
      <c r="X5140">
        <v>150.80000000000001</v>
      </c>
      <c r="Y5140">
        <v>0</v>
      </c>
      <c r="Z5140" s="3">
        <v>145</v>
      </c>
      <c r="AA5140">
        <v>277</v>
      </c>
      <c r="AB5140" s="5">
        <v>40165</v>
      </c>
      <c r="AC5140">
        <v>145</v>
      </c>
      <c r="AD5140">
        <v>277</v>
      </c>
      <c r="AE5140" s="1">
        <v>40165</v>
      </c>
      <c r="AF5140">
        <v>0</v>
      </c>
      <c r="AJ5140">
        <v>0</v>
      </c>
      <c r="AK5140">
        <v>0</v>
      </c>
      <c r="AL5140">
        <v>0</v>
      </c>
      <c r="AM5140">
        <v>0</v>
      </c>
      <c r="AN5140">
        <v>0</v>
      </c>
      <c r="AO5140">
        <v>0</v>
      </c>
      <c r="AP5140" s="2">
        <v>42746</v>
      </c>
      <c r="AQ5140" t="s">
        <v>72</v>
      </c>
      <c r="AR5140" t="s">
        <v>72</v>
      </c>
      <c r="AS5140">
        <v>2596</v>
      </c>
      <c r="AT5140" s="4">
        <v>42647</v>
      </c>
      <c r="AU5140" t="s">
        <v>73</v>
      </c>
      <c r="AV5140">
        <v>2596</v>
      </c>
      <c r="AW5140" s="4">
        <v>42647</v>
      </c>
      <c r="BD5140">
        <v>0</v>
      </c>
      <c r="BN5140" t="s">
        <v>74</v>
      </c>
    </row>
    <row r="5141" spans="1:66">
      <c r="A5141">
        <v>101934</v>
      </c>
      <c r="B5141" s="3" t="s">
        <v>539</v>
      </c>
      <c r="C5141" s="1">
        <v>43300101</v>
      </c>
      <c r="D5141" t="s">
        <v>67</v>
      </c>
      <c r="H5141" t="str">
        <f t="shared" si="548"/>
        <v>06175550638</v>
      </c>
      <c r="I5141" t="str">
        <f t="shared" si="548"/>
        <v>06175550638</v>
      </c>
      <c r="K5141" t="str">
        <f>""</f>
        <v/>
      </c>
      <c r="M5141" t="s">
        <v>68</v>
      </c>
      <c r="N5141" t="str">
        <f t="shared" si="547"/>
        <v>FOR</v>
      </c>
      <c r="O5141" t="s">
        <v>69</v>
      </c>
      <c r="P5141" s="3" t="s">
        <v>75</v>
      </c>
      <c r="Q5141">
        <v>2015</v>
      </c>
      <c r="R5141" s="2">
        <v>42306</v>
      </c>
      <c r="S5141" s="2">
        <v>42310</v>
      </c>
      <c r="T5141" s="2">
        <v>42310</v>
      </c>
      <c r="U5141" s="2">
        <v>42370</v>
      </c>
      <c r="V5141" t="s">
        <v>71</v>
      </c>
      <c r="W5141" t="str">
        <f>"              547/PA"</f>
        <v xml:space="preserve">              547/PA</v>
      </c>
      <c r="X5141">
        <v>150.80000000000001</v>
      </c>
      <c r="Y5141">
        <v>0</v>
      </c>
      <c r="Z5141" s="3">
        <v>145</v>
      </c>
      <c r="AA5141">
        <v>277</v>
      </c>
      <c r="AB5141" s="5">
        <v>40165</v>
      </c>
      <c r="AC5141">
        <v>145</v>
      </c>
      <c r="AD5141">
        <v>277</v>
      </c>
      <c r="AE5141" s="1">
        <v>40165</v>
      </c>
      <c r="AF5141">
        <v>0</v>
      </c>
      <c r="AJ5141">
        <v>0</v>
      </c>
      <c r="AK5141">
        <v>0</v>
      </c>
      <c r="AL5141">
        <v>0</v>
      </c>
      <c r="AM5141">
        <v>0</v>
      </c>
      <c r="AN5141">
        <v>0</v>
      </c>
      <c r="AO5141">
        <v>0</v>
      </c>
      <c r="AP5141" s="2">
        <v>42746</v>
      </c>
      <c r="AQ5141" t="s">
        <v>72</v>
      </c>
      <c r="AR5141" t="s">
        <v>72</v>
      </c>
      <c r="AS5141">
        <v>2596</v>
      </c>
      <c r="AT5141" s="4">
        <v>42647</v>
      </c>
      <c r="AU5141" t="s">
        <v>73</v>
      </c>
      <c r="AV5141">
        <v>2596</v>
      </c>
      <c r="AW5141" s="4">
        <v>42647</v>
      </c>
      <c r="BD5141">
        <v>0</v>
      </c>
      <c r="BN5141" t="s">
        <v>74</v>
      </c>
    </row>
    <row r="5142" spans="1:66">
      <c r="A5142">
        <v>101934</v>
      </c>
      <c r="B5142" s="3" t="s">
        <v>539</v>
      </c>
      <c r="C5142" s="1">
        <v>43300101</v>
      </c>
      <c r="D5142" t="s">
        <v>67</v>
      </c>
      <c r="H5142" t="str">
        <f t="shared" si="548"/>
        <v>06175550638</v>
      </c>
      <c r="I5142" t="str">
        <f t="shared" si="548"/>
        <v>06175550638</v>
      </c>
      <c r="K5142" t="str">
        <f>""</f>
        <v/>
      </c>
      <c r="M5142" t="s">
        <v>68</v>
      </c>
      <c r="N5142" t="str">
        <f t="shared" si="547"/>
        <v>FOR</v>
      </c>
      <c r="O5142" t="s">
        <v>69</v>
      </c>
      <c r="P5142" s="3" t="s">
        <v>75</v>
      </c>
      <c r="Q5142">
        <v>2015</v>
      </c>
      <c r="R5142" s="2">
        <v>42306</v>
      </c>
      <c r="S5142" s="2">
        <v>42310</v>
      </c>
      <c r="T5142" s="2">
        <v>42310</v>
      </c>
      <c r="U5142" s="2">
        <v>42370</v>
      </c>
      <c r="V5142" t="s">
        <v>71</v>
      </c>
      <c r="W5142" t="str">
        <f>"              548/PA"</f>
        <v xml:space="preserve">              548/PA</v>
      </c>
      <c r="X5142">
        <v>150.80000000000001</v>
      </c>
      <c r="Y5142">
        <v>0</v>
      </c>
      <c r="Z5142" s="3">
        <v>145</v>
      </c>
      <c r="AA5142">
        <v>277</v>
      </c>
      <c r="AB5142" s="5">
        <v>40165</v>
      </c>
      <c r="AC5142">
        <v>145</v>
      </c>
      <c r="AD5142">
        <v>277</v>
      </c>
      <c r="AE5142" s="1">
        <v>40165</v>
      </c>
      <c r="AF5142">
        <v>0</v>
      </c>
      <c r="AJ5142">
        <v>0</v>
      </c>
      <c r="AK5142">
        <v>0</v>
      </c>
      <c r="AL5142">
        <v>0</v>
      </c>
      <c r="AM5142">
        <v>0</v>
      </c>
      <c r="AN5142">
        <v>0</v>
      </c>
      <c r="AO5142">
        <v>0</v>
      </c>
      <c r="AP5142" s="2">
        <v>42746</v>
      </c>
      <c r="AQ5142" t="s">
        <v>72</v>
      </c>
      <c r="AR5142" t="s">
        <v>72</v>
      </c>
      <c r="AS5142">
        <v>2596</v>
      </c>
      <c r="AT5142" s="4">
        <v>42647</v>
      </c>
      <c r="AU5142" t="s">
        <v>73</v>
      </c>
      <c r="AV5142">
        <v>2596</v>
      </c>
      <c r="AW5142" s="4">
        <v>42647</v>
      </c>
      <c r="BD5142">
        <v>0</v>
      </c>
      <c r="BN5142" t="s">
        <v>74</v>
      </c>
    </row>
    <row r="5143" spans="1:66">
      <c r="A5143">
        <v>101934</v>
      </c>
      <c r="B5143" s="3" t="s">
        <v>539</v>
      </c>
      <c r="C5143" s="1">
        <v>43300101</v>
      </c>
      <c r="D5143" t="s">
        <v>67</v>
      </c>
      <c r="H5143" t="str">
        <f t="shared" si="548"/>
        <v>06175550638</v>
      </c>
      <c r="I5143" t="str">
        <f t="shared" si="548"/>
        <v>06175550638</v>
      </c>
      <c r="K5143" t="str">
        <f>""</f>
        <v/>
      </c>
      <c r="M5143" t="s">
        <v>68</v>
      </c>
      <c r="N5143" t="str">
        <f t="shared" si="547"/>
        <v>FOR</v>
      </c>
      <c r="O5143" t="s">
        <v>69</v>
      </c>
      <c r="P5143" s="3" t="s">
        <v>75</v>
      </c>
      <c r="Q5143">
        <v>2015</v>
      </c>
      <c r="R5143" s="2">
        <v>42306</v>
      </c>
      <c r="S5143" s="2">
        <v>42310</v>
      </c>
      <c r="T5143" s="2">
        <v>42310</v>
      </c>
      <c r="U5143" s="2">
        <v>42370</v>
      </c>
      <c r="V5143" t="s">
        <v>71</v>
      </c>
      <c r="W5143" t="str">
        <f>"              549/PA"</f>
        <v xml:space="preserve">              549/PA</v>
      </c>
      <c r="X5143">
        <v>150.80000000000001</v>
      </c>
      <c r="Y5143">
        <v>0</v>
      </c>
      <c r="Z5143" s="3">
        <v>145</v>
      </c>
      <c r="AA5143">
        <v>277</v>
      </c>
      <c r="AB5143" s="5">
        <v>40165</v>
      </c>
      <c r="AC5143">
        <v>145</v>
      </c>
      <c r="AD5143">
        <v>277</v>
      </c>
      <c r="AE5143" s="1">
        <v>40165</v>
      </c>
      <c r="AF5143">
        <v>0</v>
      </c>
      <c r="AJ5143">
        <v>0</v>
      </c>
      <c r="AK5143">
        <v>0</v>
      </c>
      <c r="AL5143">
        <v>0</v>
      </c>
      <c r="AM5143">
        <v>0</v>
      </c>
      <c r="AN5143">
        <v>0</v>
      </c>
      <c r="AO5143">
        <v>0</v>
      </c>
      <c r="AP5143" s="2">
        <v>42746</v>
      </c>
      <c r="AQ5143" t="s">
        <v>72</v>
      </c>
      <c r="AR5143" t="s">
        <v>72</v>
      </c>
      <c r="AS5143">
        <v>2596</v>
      </c>
      <c r="AT5143" s="4">
        <v>42647</v>
      </c>
      <c r="AU5143" t="s">
        <v>73</v>
      </c>
      <c r="AV5143">
        <v>2596</v>
      </c>
      <c r="AW5143" s="4">
        <v>42647</v>
      </c>
      <c r="BD5143">
        <v>0</v>
      </c>
      <c r="BN5143" t="s">
        <v>74</v>
      </c>
    </row>
    <row r="5144" spans="1:66">
      <c r="A5144">
        <v>101934</v>
      </c>
      <c r="B5144" s="3" t="s">
        <v>539</v>
      </c>
      <c r="C5144" s="1">
        <v>43300101</v>
      </c>
      <c r="D5144" t="s">
        <v>67</v>
      </c>
      <c r="H5144" t="str">
        <f t="shared" si="548"/>
        <v>06175550638</v>
      </c>
      <c r="I5144" t="str">
        <f t="shared" si="548"/>
        <v>06175550638</v>
      </c>
      <c r="K5144" t="str">
        <f>""</f>
        <v/>
      </c>
      <c r="M5144" t="s">
        <v>68</v>
      </c>
      <c r="N5144" t="str">
        <f t="shared" si="547"/>
        <v>FOR</v>
      </c>
      <c r="O5144" t="s">
        <v>69</v>
      </c>
      <c r="P5144" s="3" t="s">
        <v>75</v>
      </c>
      <c r="Q5144">
        <v>2015</v>
      </c>
      <c r="R5144" s="2">
        <v>42306</v>
      </c>
      <c r="S5144" s="2">
        <v>42310</v>
      </c>
      <c r="T5144" s="2">
        <v>42310</v>
      </c>
      <c r="U5144" s="2">
        <v>42370</v>
      </c>
      <c r="V5144" t="s">
        <v>71</v>
      </c>
      <c r="W5144" t="str">
        <f>"              550/PA"</f>
        <v xml:space="preserve">              550/PA</v>
      </c>
      <c r="X5144">
        <v>150.80000000000001</v>
      </c>
      <c r="Y5144">
        <v>0</v>
      </c>
      <c r="Z5144" s="3">
        <v>145</v>
      </c>
      <c r="AA5144">
        <v>277</v>
      </c>
      <c r="AB5144" s="5">
        <v>40165</v>
      </c>
      <c r="AC5144">
        <v>145</v>
      </c>
      <c r="AD5144">
        <v>277</v>
      </c>
      <c r="AE5144" s="1">
        <v>40165</v>
      </c>
      <c r="AF5144">
        <v>0</v>
      </c>
      <c r="AJ5144">
        <v>0</v>
      </c>
      <c r="AK5144">
        <v>0</v>
      </c>
      <c r="AL5144">
        <v>0</v>
      </c>
      <c r="AM5144">
        <v>0</v>
      </c>
      <c r="AN5144">
        <v>0</v>
      </c>
      <c r="AO5144">
        <v>0</v>
      </c>
      <c r="AP5144" s="2">
        <v>42746</v>
      </c>
      <c r="AQ5144" t="s">
        <v>72</v>
      </c>
      <c r="AR5144" t="s">
        <v>72</v>
      </c>
      <c r="AS5144">
        <v>2596</v>
      </c>
      <c r="AT5144" s="4">
        <v>42647</v>
      </c>
      <c r="AU5144" t="s">
        <v>73</v>
      </c>
      <c r="AV5144">
        <v>2596</v>
      </c>
      <c r="AW5144" s="4">
        <v>42647</v>
      </c>
      <c r="BD5144">
        <v>0</v>
      </c>
      <c r="BN5144" t="s">
        <v>74</v>
      </c>
    </row>
    <row r="5145" spans="1:66">
      <c r="A5145">
        <v>101934</v>
      </c>
      <c r="B5145" s="3" t="s">
        <v>539</v>
      </c>
      <c r="C5145" s="1">
        <v>43300101</v>
      </c>
      <c r="D5145" t="s">
        <v>67</v>
      </c>
      <c r="H5145" t="str">
        <f t="shared" si="548"/>
        <v>06175550638</v>
      </c>
      <c r="I5145" t="str">
        <f t="shared" si="548"/>
        <v>06175550638</v>
      </c>
      <c r="K5145" t="str">
        <f>""</f>
        <v/>
      </c>
      <c r="M5145" t="s">
        <v>68</v>
      </c>
      <c r="N5145" t="str">
        <f t="shared" si="547"/>
        <v>FOR</v>
      </c>
      <c r="O5145" t="s">
        <v>69</v>
      </c>
      <c r="P5145" s="3" t="s">
        <v>75</v>
      </c>
      <c r="Q5145">
        <v>2015</v>
      </c>
      <c r="R5145" s="2">
        <v>42333</v>
      </c>
      <c r="S5145" s="2">
        <v>42342</v>
      </c>
      <c r="T5145" s="2">
        <v>42333</v>
      </c>
      <c r="U5145" s="2">
        <v>42393</v>
      </c>
      <c r="V5145" t="s">
        <v>71</v>
      </c>
      <c r="W5145" t="str">
        <f>"              606/PA"</f>
        <v xml:space="preserve">              606/PA</v>
      </c>
      <c r="X5145">
        <v>54.9</v>
      </c>
      <c r="Y5145">
        <v>0</v>
      </c>
      <c r="Z5145" s="3">
        <v>45</v>
      </c>
      <c r="AA5145">
        <v>255</v>
      </c>
      <c r="AB5145" s="5">
        <v>11475</v>
      </c>
      <c r="AC5145">
        <v>45</v>
      </c>
      <c r="AD5145">
        <v>255</v>
      </c>
      <c r="AE5145" s="1">
        <v>11475</v>
      </c>
      <c r="AF5145">
        <v>0</v>
      </c>
      <c r="AJ5145">
        <v>0</v>
      </c>
      <c r="AK5145">
        <v>0</v>
      </c>
      <c r="AL5145">
        <v>0</v>
      </c>
      <c r="AM5145">
        <v>0</v>
      </c>
      <c r="AN5145">
        <v>0</v>
      </c>
      <c r="AO5145">
        <v>0</v>
      </c>
      <c r="AP5145" s="2">
        <v>42746</v>
      </c>
      <c r="AQ5145" t="s">
        <v>72</v>
      </c>
      <c r="AR5145" t="s">
        <v>72</v>
      </c>
      <c r="AS5145">
        <v>2687</v>
      </c>
      <c r="AT5145" s="4">
        <v>42648</v>
      </c>
      <c r="AU5145" t="s">
        <v>73</v>
      </c>
      <c r="AV5145">
        <v>2687</v>
      </c>
      <c r="AW5145" s="4">
        <v>42648</v>
      </c>
      <c r="BD5145">
        <v>0</v>
      </c>
      <c r="BN5145" t="s">
        <v>74</v>
      </c>
    </row>
    <row r="5146" spans="1:66">
      <c r="A5146">
        <v>101934</v>
      </c>
      <c r="B5146" s="3" t="s">
        <v>539</v>
      </c>
      <c r="C5146" s="1">
        <v>43300101</v>
      </c>
      <c r="D5146" t="s">
        <v>67</v>
      </c>
      <c r="H5146" t="str">
        <f t="shared" si="548"/>
        <v>06175550638</v>
      </c>
      <c r="I5146" t="str">
        <f t="shared" si="548"/>
        <v>06175550638</v>
      </c>
      <c r="K5146" t="str">
        <f>""</f>
        <v/>
      </c>
      <c r="M5146" t="s">
        <v>68</v>
      </c>
      <c r="N5146" t="str">
        <f t="shared" si="547"/>
        <v>FOR</v>
      </c>
      <c r="O5146" t="s">
        <v>69</v>
      </c>
      <c r="P5146" s="3" t="s">
        <v>75</v>
      </c>
      <c r="Q5146">
        <v>2015</v>
      </c>
      <c r="R5146" s="2">
        <v>42338</v>
      </c>
      <c r="S5146" s="2">
        <v>42341</v>
      </c>
      <c r="T5146" s="2">
        <v>42340</v>
      </c>
      <c r="U5146" s="2">
        <v>42400</v>
      </c>
      <c r="V5146" t="s">
        <v>71</v>
      </c>
      <c r="W5146" t="str">
        <f>"              636/PA"</f>
        <v xml:space="preserve">              636/PA</v>
      </c>
      <c r="X5146">
        <v>150.80000000000001</v>
      </c>
      <c r="Y5146">
        <v>0</v>
      </c>
      <c r="Z5146" s="3">
        <v>145</v>
      </c>
      <c r="AA5146">
        <v>248</v>
      </c>
      <c r="AB5146" s="5">
        <v>35960</v>
      </c>
      <c r="AC5146">
        <v>145</v>
      </c>
      <c r="AD5146">
        <v>248</v>
      </c>
      <c r="AE5146" s="1">
        <v>35960</v>
      </c>
      <c r="AF5146">
        <v>0</v>
      </c>
      <c r="AJ5146">
        <v>0</v>
      </c>
      <c r="AK5146">
        <v>0</v>
      </c>
      <c r="AL5146">
        <v>0</v>
      </c>
      <c r="AM5146">
        <v>0</v>
      </c>
      <c r="AN5146">
        <v>0</v>
      </c>
      <c r="AO5146">
        <v>0</v>
      </c>
      <c r="AP5146" s="2">
        <v>42746</v>
      </c>
      <c r="AQ5146" t="s">
        <v>72</v>
      </c>
      <c r="AR5146" t="s">
        <v>72</v>
      </c>
      <c r="AS5146">
        <v>2687</v>
      </c>
      <c r="AT5146" s="4">
        <v>42648</v>
      </c>
      <c r="AU5146" t="s">
        <v>73</v>
      </c>
      <c r="AV5146">
        <v>2687</v>
      </c>
      <c r="AW5146" s="4">
        <v>42648</v>
      </c>
      <c r="BD5146">
        <v>0</v>
      </c>
      <c r="BN5146" t="s">
        <v>74</v>
      </c>
    </row>
    <row r="5147" spans="1:66">
      <c r="A5147">
        <v>101934</v>
      </c>
      <c r="B5147" s="3" t="s">
        <v>539</v>
      </c>
      <c r="C5147" s="1">
        <v>43300101</v>
      </c>
      <c r="D5147" t="s">
        <v>67</v>
      </c>
      <c r="H5147" t="str">
        <f t="shared" si="548"/>
        <v>06175550638</v>
      </c>
      <c r="I5147" t="str">
        <f t="shared" si="548"/>
        <v>06175550638</v>
      </c>
      <c r="K5147" t="str">
        <f>""</f>
        <v/>
      </c>
      <c r="M5147" t="s">
        <v>68</v>
      </c>
      <c r="N5147" t="str">
        <f t="shared" si="547"/>
        <v>FOR</v>
      </c>
      <c r="O5147" t="s">
        <v>69</v>
      </c>
      <c r="P5147" s="3" t="s">
        <v>75</v>
      </c>
      <c r="Q5147">
        <v>2015</v>
      </c>
      <c r="R5147" s="2">
        <v>42338</v>
      </c>
      <c r="S5147" s="2">
        <v>42341</v>
      </c>
      <c r="T5147" s="2">
        <v>42340</v>
      </c>
      <c r="U5147" s="2">
        <v>42400</v>
      </c>
      <c r="V5147" t="s">
        <v>71</v>
      </c>
      <c r="W5147" t="str">
        <f>"              637/PA"</f>
        <v xml:space="preserve">              637/PA</v>
      </c>
      <c r="X5147">
        <v>150.80000000000001</v>
      </c>
      <c r="Y5147">
        <v>0</v>
      </c>
      <c r="Z5147" s="3">
        <v>145</v>
      </c>
      <c r="AA5147">
        <v>248</v>
      </c>
      <c r="AB5147" s="5">
        <v>35960</v>
      </c>
      <c r="AC5147">
        <v>145</v>
      </c>
      <c r="AD5147">
        <v>248</v>
      </c>
      <c r="AE5147" s="1">
        <v>35960</v>
      </c>
      <c r="AF5147">
        <v>0</v>
      </c>
      <c r="AJ5147">
        <v>0</v>
      </c>
      <c r="AK5147">
        <v>0</v>
      </c>
      <c r="AL5147">
        <v>0</v>
      </c>
      <c r="AM5147">
        <v>0</v>
      </c>
      <c r="AN5147">
        <v>0</v>
      </c>
      <c r="AO5147">
        <v>0</v>
      </c>
      <c r="AP5147" s="2">
        <v>42746</v>
      </c>
      <c r="AQ5147" t="s">
        <v>72</v>
      </c>
      <c r="AR5147" t="s">
        <v>72</v>
      </c>
      <c r="AS5147">
        <v>2687</v>
      </c>
      <c r="AT5147" s="4">
        <v>42648</v>
      </c>
      <c r="AU5147" t="s">
        <v>73</v>
      </c>
      <c r="AV5147">
        <v>2687</v>
      </c>
      <c r="AW5147" s="4">
        <v>42648</v>
      </c>
      <c r="BD5147">
        <v>0</v>
      </c>
      <c r="BN5147" t="s">
        <v>74</v>
      </c>
    </row>
    <row r="5148" spans="1:66">
      <c r="A5148">
        <v>101934</v>
      </c>
      <c r="B5148" s="3" t="s">
        <v>539</v>
      </c>
      <c r="C5148" s="1">
        <v>43300101</v>
      </c>
      <c r="D5148" t="s">
        <v>67</v>
      </c>
      <c r="H5148" t="str">
        <f t="shared" si="548"/>
        <v>06175550638</v>
      </c>
      <c r="I5148" t="str">
        <f t="shared" si="548"/>
        <v>06175550638</v>
      </c>
      <c r="K5148" t="str">
        <f>""</f>
        <v/>
      </c>
      <c r="M5148" t="s">
        <v>68</v>
      </c>
      <c r="N5148" t="str">
        <f t="shared" si="547"/>
        <v>FOR</v>
      </c>
      <c r="O5148" t="s">
        <v>69</v>
      </c>
      <c r="P5148" s="3" t="s">
        <v>75</v>
      </c>
      <c r="Q5148">
        <v>2015</v>
      </c>
      <c r="R5148" s="2">
        <v>42338</v>
      </c>
      <c r="S5148" s="2">
        <v>42341</v>
      </c>
      <c r="T5148" s="2">
        <v>42340</v>
      </c>
      <c r="U5148" s="2">
        <v>42400</v>
      </c>
      <c r="V5148" t="s">
        <v>71</v>
      </c>
      <c r="W5148" t="str">
        <f>"              638/PA"</f>
        <v xml:space="preserve">              638/PA</v>
      </c>
      <c r="X5148">
        <v>150.80000000000001</v>
      </c>
      <c r="Y5148">
        <v>0</v>
      </c>
      <c r="Z5148" s="3">
        <v>145</v>
      </c>
      <c r="AA5148">
        <v>248</v>
      </c>
      <c r="AB5148" s="5">
        <v>35960</v>
      </c>
      <c r="AC5148">
        <v>145</v>
      </c>
      <c r="AD5148">
        <v>248</v>
      </c>
      <c r="AE5148" s="1">
        <v>35960</v>
      </c>
      <c r="AF5148">
        <v>0</v>
      </c>
      <c r="AJ5148">
        <v>0</v>
      </c>
      <c r="AK5148">
        <v>0</v>
      </c>
      <c r="AL5148">
        <v>0</v>
      </c>
      <c r="AM5148">
        <v>0</v>
      </c>
      <c r="AN5148">
        <v>0</v>
      </c>
      <c r="AO5148">
        <v>0</v>
      </c>
      <c r="AP5148" s="2">
        <v>42746</v>
      </c>
      <c r="AQ5148" t="s">
        <v>72</v>
      </c>
      <c r="AR5148" t="s">
        <v>72</v>
      </c>
      <c r="AS5148">
        <v>2687</v>
      </c>
      <c r="AT5148" s="4">
        <v>42648</v>
      </c>
      <c r="AU5148" t="s">
        <v>73</v>
      </c>
      <c r="AV5148">
        <v>2687</v>
      </c>
      <c r="AW5148" s="4">
        <v>42648</v>
      </c>
      <c r="BD5148">
        <v>0</v>
      </c>
      <c r="BN5148" t="s">
        <v>74</v>
      </c>
    </row>
    <row r="5149" spans="1:66">
      <c r="A5149">
        <v>101934</v>
      </c>
      <c r="B5149" s="3" t="s">
        <v>539</v>
      </c>
      <c r="C5149" s="1">
        <v>43300101</v>
      </c>
      <c r="D5149" t="s">
        <v>67</v>
      </c>
      <c r="H5149" t="str">
        <f t="shared" si="548"/>
        <v>06175550638</v>
      </c>
      <c r="I5149" t="str">
        <f t="shared" si="548"/>
        <v>06175550638</v>
      </c>
      <c r="K5149" t="str">
        <f>""</f>
        <v/>
      </c>
      <c r="M5149" t="s">
        <v>68</v>
      </c>
      <c r="N5149" t="str">
        <f t="shared" si="547"/>
        <v>FOR</v>
      </c>
      <c r="O5149" t="s">
        <v>69</v>
      </c>
      <c r="P5149" s="3" t="s">
        <v>75</v>
      </c>
      <c r="Q5149">
        <v>2015</v>
      </c>
      <c r="R5149" s="2">
        <v>42338</v>
      </c>
      <c r="S5149" s="2">
        <v>42341</v>
      </c>
      <c r="T5149" s="2">
        <v>42340</v>
      </c>
      <c r="U5149" s="2">
        <v>42400</v>
      </c>
      <c r="V5149" t="s">
        <v>71</v>
      </c>
      <c r="W5149" t="str">
        <f>"              644/PA"</f>
        <v xml:space="preserve">              644/PA</v>
      </c>
      <c r="X5149">
        <v>150.80000000000001</v>
      </c>
      <c r="Y5149">
        <v>0</v>
      </c>
      <c r="Z5149" s="3">
        <v>145</v>
      </c>
      <c r="AA5149">
        <v>248</v>
      </c>
      <c r="AB5149" s="5">
        <v>35960</v>
      </c>
      <c r="AC5149">
        <v>145</v>
      </c>
      <c r="AD5149">
        <v>248</v>
      </c>
      <c r="AE5149" s="1">
        <v>35960</v>
      </c>
      <c r="AF5149">
        <v>0</v>
      </c>
      <c r="AJ5149">
        <v>0</v>
      </c>
      <c r="AK5149">
        <v>0</v>
      </c>
      <c r="AL5149">
        <v>0</v>
      </c>
      <c r="AM5149">
        <v>0</v>
      </c>
      <c r="AN5149">
        <v>0</v>
      </c>
      <c r="AO5149">
        <v>0</v>
      </c>
      <c r="AP5149" s="2">
        <v>42746</v>
      </c>
      <c r="AQ5149" t="s">
        <v>72</v>
      </c>
      <c r="AR5149" t="s">
        <v>72</v>
      </c>
      <c r="AS5149">
        <v>2687</v>
      </c>
      <c r="AT5149" s="4">
        <v>42648</v>
      </c>
      <c r="AU5149" t="s">
        <v>73</v>
      </c>
      <c r="AV5149">
        <v>2687</v>
      </c>
      <c r="AW5149" s="4">
        <v>42648</v>
      </c>
      <c r="BD5149">
        <v>0</v>
      </c>
      <c r="BN5149" t="s">
        <v>74</v>
      </c>
    </row>
    <row r="5150" spans="1:66">
      <c r="A5150">
        <v>101934</v>
      </c>
      <c r="B5150" s="3" t="s">
        <v>539</v>
      </c>
      <c r="C5150" s="1">
        <v>43300101</v>
      </c>
      <c r="D5150" t="s">
        <v>67</v>
      </c>
      <c r="H5150" t="str">
        <f t="shared" si="548"/>
        <v>06175550638</v>
      </c>
      <c r="I5150" t="str">
        <f t="shared" si="548"/>
        <v>06175550638</v>
      </c>
      <c r="K5150" t="str">
        <f>""</f>
        <v/>
      </c>
      <c r="M5150" t="s">
        <v>68</v>
      </c>
      <c r="N5150" t="str">
        <f t="shared" si="547"/>
        <v>FOR</v>
      </c>
      <c r="O5150" t="s">
        <v>69</v>
      </c>
      <c r="P5150" s="3" t="s">
        <v>75</v>
      </c>
      <c r="Q5150">
        <v>2015</v>
      </c>
      <c r="R5150" s="2">
        <v>42338</v>
      </c>
      <c r="S5150" s="2">
        <v>42341</v>
      </c>
      <c r="T5150" s="2">
        <v>42340</v>
      </c>
      <c r="U5150" s="2">
        <v>42400</v>
      </c>
      <c r="V5150" t="s">
        <v>71</v>
      </c>
      <c r="W5150" t="str">
        <f>"              645/PA"</f>
        <v xml:space="preserve">              645/PA</v>
      </c>
      <c r="X5150">
        <v>150.80000000000001</v>
      </c>
      <c r="Y5150">
        <v>0</v>
      </c>
      <c r="Z5150" s="3">
        <v>145</v>
      </c>
      <c r="AA5150">
        <v>248</v>
      </c>
      <c r="AB5150" s="5">
        <v>35960</v>
      </c>
      <c r="AC5150">
        <v>145</v>
      </c>
      <c r="AD5150">
        <v>248</v>
      </c>
      <c r="AE5150" s="1">
        <v>35960</v>
      </c>
      <c r="AF5150">
        <v>0</v>
      </c>
      <c r="AJ5150">
        <v>0</v>
      </c>
      <c r="AK5150">
        <v>0</v>
      </c>
      <c r="AL5150">
        <v>0</v>
      </c>
      <c r="AM5150">
        <v>0</v>
      </c>
      <c r="AN5150">
        <v>0</v>
      </c>
      <c r="AO5150">
        <v>0</v>
      </c>
      <c r="AP5150" s="2">
        <v>42746</v>
      </c>
      <c r="AQ5150" t="s">
        <v>72</v>
      </c>
      <c r="AR5150" t="s">
        <v>72</v>
      </c>
      <c r="AS5150">
        <v>2687</v>
      </c>
      <c r="AT5150" s="4">
        <v>42648</v>
      </c>
      <c r="AU5150" t="s">
        <v>73</v>
      </c>
      <c r="AV5150">
        <v>2687</v>
      </c>
      <c r="AW5150" s="4">
        <v>42648</v>
      </c>
      <c r="BD5150">
        <v>0</v>
      </c>
      <c r="BN5150" t="s">
        <v>74</v>
      </c>
    </row>
    <row r="5151" spans="1:66">
      <c r="A5151">
        <v>101934</v>
      </c>
      <c r="B5151" s="3" t="s">
        <v>539</v>
      </c>
      <c r="C5151" s="1">
        <v>43300101</v>
      </c>
      <c r="D5151" t="s">
        <v>67</v>
      </c>
      <c r="H5151" t="str">
        <f t="shared" si="548"/>
        <v>06175550638</v>
      </c>
      <c r="I5151" t="str">
        <f t="shared" si="548"/>
        <v>06175550638</v>
      </c>
      <c r="K5151" t="str">
        <f>""</f>
        <v/>
      </c>
      <c r="M5151" t="s">
        <v>68</v>
      </c>
      <c r="N5151" t="str">
        <f t="shared" si="547"/>
        <v>FOR</v>
      </c>
      <c r="O5151" t="s">
        <v>69</v>
      </c>
      <c r="P5151" s="3" t="s">
        <v>75</v>
      </c>
      <c r="Q5151">
        <v>2015</v>
      </c>
      <c r="R5151" s="2">
        <v>42338</v>
      </c>
      <c r="S5151" s="2">
        <v>42342</v>
      </c>
      <c r="T5151" s="2">
        <v>42341</v>
      </c>
      <c r="U5151" s="2">
        <v>42401</v>
      </c>
      <c r="V5151" t="s">
        <v>71</v>
      </c>
      <c r="W5151" t="str">
        <f>"              651/PA"</f>
        <v xml:space="preserve">              651/PA</v>
      </c>
      <c r="X5151">
        <v>150.80000000000001</v>
      </c>
      <c r="Y5151">
        <v>0</v>
      </c>
      <c r="Z5151" s="3">
        <v>145</v>
      </c>
      <c r="AA5151">
        <v>247</v>
      </c>
      <c r="AB5151" s="5">
        <v>35815</v>
      </c>
      <c r="AC5151">
        <v>145</v>
      </c>
      <c r="AD5151">
        <v>247</v>
      </c>
      <c r="AE5151" s="1">
        <v>35815</v>
      </c>
      <c r="AF5151">
        <v>0</v>
      </c>
      <c r="AJ5151">
        <v>0</v>
      </c>
      <c r="AK5151">
        <v>0</v>
      </c>
      <c r="AL5151">
        <v>0</v>
      </c>
      <c r="AM5151">
        <v>0</v>
      </c>
      <c r="AN5151">
        <v>0</v>
      </c>
      <c r="AO5151">
        <v>0</v>
      </c>
      <c r="AP5151" s="2">
        <v>42746</v>
      </c>
      <c r="AQ5151" t="s">
        <v>72</v>
      </c>
      <c r="AR5151" t="s">
        <v>72</v>
      </c>
      <c r="AS5151">
        <v>2687</v>
      </c>
      <c r="AT5151" s="4">
        <v>42648</v>
      </c>
      <c r="AU5151" t="s">
        <v>73</v>
      </c>
      <c r="AV5151">
        <v>2687</v>
      </c>
      <c r="AW5151" s="4">
        <v>42648</v>
      </c>
      <c r="BD5151">
        <v>0</v>
      </c>
      <c r="BN5151" t="s">
        <v>74</v>
      </c>
    </row>
    <row r="5152" spans="1:66">
      <c r="A5152">
        <v>101934</v>
      </c>
      <c r="B5152" s="3" t="s">
        <v>539</v>
      </c>
      <c r="C5152" s="1">
        <v>43300101</v>
      </c>
      <c r="D5152" t="s">
        <v>67</v>
      </c>
      <c r="H5152" t="str">
        <f t="shared" si="548"/>
        <v>06175550638</v>
      </c>
      <c r="I5152" t="str">
        <f t="shared" si="548"/>
        <v>06175550638</v>
      </c>
      <c r="K5152" t="str">
        <f>""</f>
        <v/>
      </c>
      <c r="M5152" t="s">
        <v>68</v>
      </c>
      <c r="N5152" t="str">
        <f t="shared" si="547"/>
        <v>FOR</v>
      </c>
      <c r="O5152" t="s">
        <v>69</v>
      </c>
      <c r="P5152" s="3" t="s">
        <v>75</v>
      </c>
      <c r="Q5152">
        <v>2015</v>
      </c>
      <c r="R5152" s="2">
        <v>42359</v>
      </c>
      <c r="S5152" s="2">
        <v>42369</v>
      </c>
      <c r="T5152" s="2">
        <v>42369</v>
      </c>
      <c r="U5152" s="2">
        <v>42429</v>
      </c>
      <c r="V5152" t="s">
        <v>71</v>
      </c>
      <c r="W5152" t="str">
        <f>"              690/PA"</f>
        <v xml:space="preserve">              690/PA</v>
      </c>
      <c r="X5152">
        <v>150.80000000000001</v>
      </c>
      <c r="Y5152">
        <v>0</v>
      </c>
      <c r="Z5152" s="3">
        <v>145</v>
      </c>
      <c r="AA5152">
        <v>249</v>
      </c>
      <c r="AB5152" s="5">
        <v>36105</v>
      </c>
      <c r="AC5152">
        <v>145</v>
      </c>
      <c r="AD5152">
        <v>249</v>
      </c>
      <c r="AE5152" s="1">
        <v>36105</v>
      </c>
      <c r="AF5152">
        <v>0</v>
      </c>
      <c r="AJ5152">
        <v>0</v>
      </c>
      <c r="AK5152">
        <v>0</v>
      </c>
      <c r="AL5152">
        <v>0</v>
      </c>
      <c r="AM5152">
        <v>0</v>
      </c>
      <c r="AN5152">
        <v>0</v>
      </c>
      <c r="AO5152">
        <v>0</v>
      </c>
      <c r="AP5152" s="2">
        <v>42746</v>
      </c>
      <c r="AQ5152" t="s">
        <v>72</v>
      </c>
      <c r="AR5152" t="s">
        <v>72</v>
      </c>
      <c r="AS5152">
        <v>2921</v>
      </c>
      <c r="AT5152" s="4">
        <v>42678</v>
      </c>
      <c r="AU5152" t="s">
        <v>73</v>
      </c>
      <c r="AV5152">
        <v>2921</v>
      </c>
      <c r="AW5152" s="4">
        <v>42678</v>
      </c>
      <c r="BD5152">
        <v>0</v>
      </c>
      <c r="BN5152" t="s">
        <v>74</v>
      </c>
    </row>
    <row r="5153" spans="1:66">
      <c r="A5153">
        <v>101934</v>
      </c>
      <c r="B5153" s="3" t="s">
        <v>539</v>
      </c>
      <c r="C5153" s="1">
        <v>43300101</v>
      </c>
      <c r="D5153" t="s">
        <v>67</v>
      </c>
      <c r="H5153" t="str">
        <f t="shared" ref="H5153:I5174" si="549">"06175550638"</f>
        <v>06175550638</v>
      </c>
      <c r="I5153" t="str">
        <f t="shared" si="549"/>
        <v>06175550638</v>
      </c>
      <c r="K5153" t="str">
        <f>""</f>
        <v/>
      </c>
      <c r="M5153" t="s">
        <v>68</v>
      </c>
      <c r="N5153" t="str">
        <f t="shared" si="547"/>
        <v>FOR</v>
      </c>
      <c r="O5153" t="s">
        <v>69</v>
      </c>
      <c r="P5153" s="3" t="s">
        <v>75</v>
      </c>
      <c r="Q5153">
        <v>2015</v>
      </c>
      <c r="R5153" s="2">
        <v>42359</v>
      </c>
      <c r="S5153" s="2">
        <v>42369</v>
      </c>
      <c r="T5153" s="2">
        <v>42369</v>
      </c>
      <c r="U5153" s="2">
        <v>42429</v>
      </c>
      <c r="V5153" t="s">
        <v>71</v>
      </c>
      <c r="W5153" t="str">
        <f>"              691/PA"</f>
        <v xml:space="preserve">              691/PA</v>
      </c>
      <c r="X5153">
        <v>150.80000000000001</v>
      </c>
      <c r="Y5153">
        <v>0</v>
      </c>
      <c r="Z5153" s="3">
        <v>145</v>
      </c>
      <c r="AA5153">
        <v>249</v>
      </c>
      <c r="AB5153" s="5">
        <v>36105</v>
      </c>
      <c r="AC5153">
        <v>145</v>
      </c>
      <c r="AD5153">
        <v>249</v>
      </c>
      <c r="AE5153" s="1">
        <v>36105</v>
      </c>
      <c r="AF5153">
        <v>0</v>
      </c>
      <c r="AJ5153">
        <v>0</v>
      </c>
      <c r="AK5153">
        <v>0</v>
      </c>
      <c r="AL5153">
        <v>0</v>
      </c>
      <c r="AM5153">
        <v>0</v>
      </c>
      <c r="AN5153">
        <v>0</v>
      </c>
      <c r="AO5153">
        <v>0</v>
      </c>
      <c r="AP5153" s="2">
        <v>42746</v>
      </c>
      <c r="AQ5153" t="s">
        <v>72</v>
      </c>
      <c r="AR5153" t="s">
        <v>72</v>
      </c>
      <c r="AS5153">
        <v>2921</v>
      </c>
      <c r="AT5153" s="4">
        <v>42678</v>
      </c>
      <c r="AU5153" t="s">
        <v>73</v>
      </c>
      <c r="AV5153">
        <v>2921</v>
      </c>
      <c r="AW5153" s="4">
        <v>42678</v>
      </c>
      <c r="BD5153">
        <v>0</v>
      </c>
      <c r="BN5153" t="s">
        <v>74</v>
      </c>
    </row>
    <row r="5154" spans="1:66">
      <c r="A5154">
        <v>101934</v>
      </c>
      <c r="B5154" s="3" t="s">
        <v>539</v>
      </c>
      <c r="C5154" s="1">
        <v>43300101</v>
      </c>
      <c r="D5154" t="s">
        <v>67</v>
      </c>
      <c r="H5154" t="str">
        <f t="shared" si="549"/>
        <v>06175550638</v>
      </c>
      <c r="I5154" t="str">
        <f t="shared" si="549"/>
        <v>06175550638</v>
      </c>
      <c r="K5154" t="str">
        <f>""</f>
        <v/>
      </c>
      <c r="M5154" t="s">
        <v>68</v>
      </c>
      <c r="N5154" t="str">
        <f t="shared" si="547"/>
        <v>FOR</v>
      </c>
      <c r="O5154" t="s">
        <v>69</v>
      </c>
      <c r="P5154" s="3" t="s">
        <v>75</v>
      </c>
      <c r="Q5154">
        <v>2015</v>
      </c>
      <c r="R5154" s="2">
        <v>42359</v>
      </c>
      <c r="S5154" s="2">
        <v>42369</v>
      </c>
      <c r="T5154" s="2">
        <v>42369</v>
      </c>
      <c r="U5154" s="2">
        <v>42429</v>
      </c>
      <c r="V5154" t="s">
        <v>71</v>
      </c>
      <c r="W5154" t="str">
        <f>"              692/PA"</f>
        <v xml:space="preserve">              692/PA</v>
      </c>
      <c r="X5154">
        <v>150.80000000000001</v>
      </c>
      <c r="Y5154">
        <v>0</v>
      </c>
      <c r="Z5154" s="3">
        <v>145</v>
      </c>
      <c r="AA5154">
        <v>249</v>
      </c>
      <c r="AB5154" s="5">
        <v>36105</v>
      </c>
      <c r="AC5154">
        <v>145</v>
      </c>
      <c r="AD5154">
        <v>249</v>
      </c>
      <c r="AE5154" s="1">
        <v>36105</v>
      </c>
      <c r="AF5154">
        <v>0</v>
      </c>
      <c r="AJ5154">
        <v>0</v>
      </c>
      <c r="AK5154">
        <v>0</v>
      </c>
      <c r="AL5154">
        <v>0</v>
      </c>
      <c r="AM5154">
        <v>0</v>
      </c>
      <c r="AN5154">
        <v>0</v>
      </c>
      <c r="AO5154">
        <v>0</v>
      </c>
      <c r="AP5154" s="2">
        <v>42746</v>
      </c>
      <c r="AQ5154" t="s">
        <v>72</v>
      </c>
      <c r="AR5154" t="s">
        <v>72</v>
      </c>
      <c r="AS5154">
        <v>2921</v>
      </c>
      <c r="AT5154" s="4">
        <v>42678</v>
      </c>
      <c r="AU5154" t="s">
        <v>73</v>
      </c>
      <c r="AV5154">
        <v>2921</v>
      </c>
      <c r="AW5154" s="4">
        <v>42678</v>
      </c>
      <c r="BD5154">
        <v>0</v>
      </c>
      <c r="BN5154" t="s">
        <v>74</v>
      </c>
    </row>
    <row r="5155" spans="1:66">
      <c r="A5155">
        <v>101934</v>
      </c>
      <c r="B5155" s="3" t="s">
        <v>539</v>
      </c>
      <c r="C5155" s="1">
        <v>43300101</v>
      </c>
      <c r="D5155" t="s">
        <v>67</v>
      </c>
      <c r="H5155" t="str">
        <f t="shared" si="549"/>
        <v>06175550638</v>
      </c>
      <c r="I5155" t="str">
        <f t="shared" si="549"/>
        <v>06175550638</v>
      </c>
      <c r="K5155" t="str">
        <f>""</f>
        <v/>
      </c>
      <c r="M5155" t="s">
        <v>68</v>
      </c>
      <c r="N5155" t="str">
        <f t="shared" si="547"/>
        <v>FOR</v>
      </c>
      <c r="O5155" t="s">
        <v>69</v>
      </c>
      <c r="P5155" s="3" t="s">
        <v>75</v>
      </c>
      <c r="Q5155">
        <v>2015</v>
      </c>
      <c r="R5155" s="2">
        <v>42359</v>
      </c>
      <c r="S5155" s="2">
        <v>42369</v>
      </c>
      <c r="T5155" s="2">
        <v>42369</v>
      </c>
      <c r="U5155" s="2">
        <v>42429</v>
      </c>
      <c r="V5155" t="s">
        <v>71</v>
      </c>
      <c r="W5155" t="str">
        <f>"              693/PA"</f>
        <v xml:space="preserve">              693/PA</v>
      </c>
      <c r="X5155">
        <v>150.80000000000001</v>
      </c>
      <c r="Y5155">
        <v>0</v>
      </c>
      <c r="Z5155" s="3">
        <v>145</v>
      </c>
      <c r="AA5155">
        <v>249</v>
      </c>
      <c r="AB5155" s="5">
        <v>36105</v>
      </c>
      <c r="AC5155">
        <v>145</v>
      </c>
      <c r="AD5155">
        <v>249</v>
      </c>
      <c r="AE5155" s="1">
        <v>36105</v>
      </c>
      <c r="AF5155">
        <v>0</v>
      </c>
      <c r="AJ5155">
        <v>0</v>
      </c>
      <c r="AK5155">
        <v>0</v>
      </c>
      <c r="AL5155">
        <v>0</v>
      </c>
      <c r="AM5155">
        <v>0</v>
      </c>
      <c r="AN5155">
        <v>0</v>
      </c>
      <c r="AO5155">
        <v>0</v>
      </c>
      <c r="AP5155" s="2">
        <v>42746</v>
      </c>
      <c r="AQ5155" t="s">
        <v>72</v>
      </c>
      <c r="AR5155" t="s">
        <v>72</v>
      </c>
      <c r="AS5155">
        <v>2921</v>
      </c>
      <c r="AT5155" s="4">
        <v>42678</v>
      </c>
      <c r="AU5155" t="s">
        <v>73</v>
      </c>
      <c r="AV5155">
        <v>2921</v>
      </c>
      <c r="AW5155" s="4">
        <v>42678</v>
      </c>
      <c r="BD5155">
        <v>0</v>
      </c>
      <c r="BN5155" t="s">
        <v>74</v>
      </c>
    </row>
    <row r="5156" spans="1:66">
      <c r="A5156">
        <v>101934</v>
      </c>
      <c r="B5156" s="3" t="s">
        <v>539</v>
      </c>
      <c r="C5156" s="1">
        <v>43300101</v>
      </c>
      <c r="D5156" t="s">
        <v>67</v>
      </c>
      <c r="H5156" t="str">
        <f t="shared" si="549"/>
        <v>06175550638</v>
      </c>
      <c r="I5156" t="str">
        <f t="shared" si="549"/>
        <v>06175550638</v>
      </c>
      <c r="K5156" t="str">
        <f>""</f>
        <v/>
      </c>
      <c r="M5156" t="s">
        <v>68</v>
      </c>
      <c r="N5156" t="str">
        <f t="shared" si="547"/>
        <v>FOR</v>
      </c>
      <c r="O5156" t="s">
        <v>69</v>
      </c>
      <c r="P5156" s="3" t="s">
        <v>75</v>
      </c>
      <c r="Q5156">
        <v>2015</v>
      </c>
      <c r="R5156" s="2">
        <v>42359</v>
      </c>
      <c r="S5156" s="2">
        <v>42369</v>
      </c>
      <c r="T5156" s="2">
        <v>42369</v>
      </c>
      <c r="U5156" s="2">
        <v>42429</v>
      </c>
      <c r="V5156" t="s">
        <v>71</v>
      </c>
      <c r="W5156" t="str">
        <f>"              694/PA"</f>
        <v xml:space="preserve">              694/PA</v>
      </c>
      <c r="X5156">
        <v>150.80000000000001</v>
      </c>
      <c r="Y5156">
        <v>0</v>
      </c>
      <c r="Z5156" s="3">
        <v>145</v>
      </c>
      <c r="AA5156">
        <v>249</v>
      </c>
      <c r="AB5156" s="5">
        <v>36105</v>
      </c>
      <c r="AC5156">
        <v>145</v>
      </c>
      <c r="AD5156">
        <v>249</v>
      </c>
      <c r="AE5156" s="1">
        <v>36105</v>
      </c>
      <c r="AF5156">
        <v>0</v>
      </c>
      <c r="AJ5156">
        <v>0</v>
      </c>
      <c r="AK5156">
        <v>0</v>
      </c>
      <c r="AL5156">
        <v>0</v>
      </c>
      <c r="AM5156">
        <v>0</v>
      </c>
      <c r="AN5156">
        <v>0</v>
      </c>
      <c r="AO5156">
        <v>0</v>
      </c>
      <c r="AP5156" s="2">
        <v>42746</v>
      </c>
      <c r="AQ5156" t="s">
        <v>72</v>
      </c>
      <c r="AR5156" t="s">
        <v>72</v>
      </c>
      <c r="AS5156">
        <v>2921</v>
      </c>
      <c r="AT5156" s="4">
        <v>42678</v>
      </c>
      <c r="AU5156" t="s">
        <v>73</v>
      </c>
      <c r="AV5156">
        <v>2921</v>
      </c>
      <c r="AW5156" s="4">
        <v>42678</v>
      </c>
      <c r="BD5156">
        <v>0</v>
      </c>
      <c r="BN5156" t="s">
        <v>74</v>
      </c>
    </row>
    <row r="5157" spans="1:66">
      <c r="A5157">
        <v>101934</v>
      </c>
      <c r="B5157" s="3" t="s">
        <v>539</v>
      </c>
      <c r="C5157" s="1">
        <v>43300101</v>
      </c>
      <c r="D5157" t="s">
        <v>67</v>
      </c>
      <c r="H5157" t="str">
        <f t="shared" si="549"/>
        <v>06175550638</v>
      </c>
      <c r="I5157" t="str">
        <f t="shared" si="549"/>
        <v>06175550638</v>
      </c>
      <c r="K5157" t="str">
        <f>""</f>
        <v/>
      </c>
      <c r="M5157" t="s">
        <v>68</v>
      </c>
      <c r="N5157" t="str">
        <f t="shared" si="547"/>
        <v>FOR</v>
      </c>
      <c r="O5157" t="s">
        <v>69</v>
      </c>
      <c r="P5157" s="3" t="s">
        <v>75</v>
      </c>
      <c r="Q5157">
        <v>2015</v>
      </c>
      <c r="R5157" s="2">
        <v>42359</v>
      </c>
      <c r="S5157" s="2">
        <v>42369</v>
      </c>
      <c r="T5157" s="2">
        <v>42369</v>
      </c>
      <c r="U5157" s="2">
        <v>42429</v>
      </c>
      <c r="V5157" t="s">
        <v>71</v>
      </c>
      <c r="W5157" t="str">
        <f>"              695/PA"</f>
        <v xml:space="preserve">              695/PA</v>
      </c>
      <c r="X5157">
        <v>150.80000000000001</v>
      </c>
      <c r="Y5157">
        <v>0</v>
      </c>
      <c r="Z5157" s="3">
        <v>145</v>
      </c>
      <c r="AA5157">
        <v>249</v>
      </c>
      <c r="AB5157" s="5">
        <v>36105</v>
      </c>
      <c r="AC5157">
        <v>145</v>
      </c>
      <c r="AD5157">
        <v>249</v>
      </c>
      <c r="AE5157" s="1">
        <v>36105</v>
      </c>
      <c r="AF5157">
        <v>0</v>
      </c>
      <c r="AJ5157">
        <v>0</v>
      </c>
      <c r="AK5157">
        <v>0</v>
      </c>
      <c r="AL5157">
        <v>0</v>
      </c>
      <c r="AM5157">
        <v>0</v>
      </c>
      <c r="AN5157">
        <v>0</v>
      </c>
      <c r="AO5157">
        <v>0</v>
      </c>
      <c r="AP5157" s="2">
        <v>42746</v>
      </c>
      <c r="AQ5157" t="s">
        <v>72</v>
      </c>
      <c r="AR5157" t="s">
        <v>72</v>
      </c>
      <c r="AS5157">
        <v>2921</v>
      </c>
      <c r="AT5157" s="4">
        <v>42678</v>
      </c>
      <c r="AU5157" t="s">
        <v>73</v>
      </c>
      <c r="AV5157">
        <v>2921</v>
      </c>
      <c r="AW5157" s="4">
        <v>42678</v>
      </c>
      <c r="BD5157">
        <v>0</v>
      </c>
      <c r="BN5157" t="s">
        <v>74</v>
      </c>
    </row>
    <row r="5158" spans="1:66">
      <c r="A5158">
        <v>101934</v>
      </c>
      <c r="B5158" s="3" t="s">
        <v>539</v>
      </c>
      <c r="C5158" s="1">
        <v>43300101</v>
      </c>
      <c r="D5158" t="s">
        <v>67</v>
      </c>
      <c r="H5158" t="str">
        <f t="shared" si="549"/>
        <v>06175550638</v>
      </c>
      <c r="I5158" t="str">
        <f t="shared" si="549"/>
        <v>06175550638</v>
      </c>
      <c r="K5158" t="str">
        <f>""</f>
        <v/>
      </c>
      <c r="M5158" t="s">
        <v>68</v>
      </c>
      <c r="N5158" t="str">
        <f t="shared" si="547"/>
        <v>FOR</v>
      </c>
      <c r="O5158" t="s">
        <v>69</v>
      </c>
      <c r="P5158" s="3" t="s">
        <v>75</v>
      </c>
      <c r="Q5158">
        <v>2015</v>
      </c>
      <c r="R5158" s="2">
        <v>42369</v>
      </c>
      <c r="S5158" s="2">
        <v>42369</v>
      </c>
      <c r="T5158" s="2">
        <v>42369</v>
      </c>
      <c r="U5158" s="2">
        <v>42429</v>
      </c>
      <c r="V5158" t="s">
        <v>71</v>
      </c>
      <c r="W5158" t="str">
        <f>"              709/PA"</f>
        <v xml:space="preserve">              709/PA</v>
      </c>
      <c r="X5158">
        <v>150.80000000000001</v>
      </c>
      <c r="Y5158">
        <v>0</v>
      </c>
      <c r="Z5158" s="3">
        <v>145</v>
      </c>
      <c r="AA5158">
        <v>249</v>
      </c>
      <c r="AB5158" s="5">
        <v>36105</v>
      </c>
      <c r="AC5158">
        <v>145</v>
      </c>
      <c r="AD5158">
        <v>249</v>
      </c>
      <c r="AE5158" s="1">
        <v>36105</v>
      </c>
      <c r="AF5158">
        <v>0</v>
      </c>
      <c r="AJ5158">
        <v>0</v>
      </c>
      <c r="AK5158">
        <v>0</v>
      </c>
      <c r="AL5158">
        <v>0</v>
      </c>
      <c r="AM5158">
        <v>0</v>
      </c>
      <c r="AN5158">
        <v>0</v>
      </c>
      <c r="AO5158">
        <v>0</v>
      </c>
      <c r="AP5158" s="2">
        <v>42746</v>
      </c>
      <c r="AQ5158" t="s">
        <v>72</v>
      </c>
      <c r="AR5158" t="s">
        <v>72</v>
      </c>
      <c r="AS5158">
        <v>2921</v>
      </c>
      <c r="AT5158" s="4">
        <v>42678</v>
      </c>
      <c r="AU5158" t="s">
        <v>73</v>
      </c>
      <c r="AV5158">
        <v>2921</v>
      </c>
      <c r="AW5158" s="4">
        <v>42678</v>
      </c>
      <c r="BD5158">
        <v>0</v>
      </c>
      <c r="BN5158" t="s">
        <v>74</v>
      </c>
    </row>
    <row r="5159" spans="1:66">
      <c r="A5159">
        <v>101934</v>
      </c>
      <c r="B5159" s="3" t="s">
        <v>539</v>
      </c>
      <c r="C5159" s="1">
        <v>43300101</v>
      </c>
      <c r="D5159" t="s">
        <v>67</v>
      </c>
      <c r="H5159" t="str">
        <f t="shared" si="549"/>
        <v>06175550638</v>
      </c>
      <c r="I5159" t="str">
        <f t="shared" si="549"/>
        <v>06175550638</v>
      </c>
      <c r="K5159" t="str">
        <f>""</f>
        <v/>
      </c>
      <c r="M5159" t="s">
        <v>68</v>
      </c>
      <c r="N5159" t="str">
        <f t="shared" si="547"/>
        <v>FOR</v>
      </c>
      <c r="O5159" t="s">
        <v>69</v>
      </c>
      <c r="P5159" s="3" t="s">
        <v>75</v>
      </c>
      <c r="Q5159">
        <v>2015</v>
      </c>
      <c r="R5159" s="2">
        <v>42369</v>
      </c>
      <c r="S5159" s="2">
        <v>42369</v>
      </c>
      <c r="T5159" s="2">
        <v>42369</v>
      </c>
      <c r="U5159" s="2">
        <v>42429</v>
      </c>
      <c r="V5159" t="s">
        <v>71</v>
      </c>
      <c r="W5159" t="str">
        <f>"              710/PA"</f>
        <v xml:space="preserve">              710/PA</v>
      </c>
      <c r="X5159">
        <v>150.80000000000001</v>
      </c>
      <c r="Y5159">
        <v>0</v>
      </c>
      <c r="Z5159" s="3">
        <v>145</v>
      </c>
      <c r="AA5159">
        <v>249</v>
      </c>
      <c r="AB5159" s="5">
        <v>36105</v>
      </c>
      <c r="AC5159">
        <v>145</v>
      </c>
      <c r="AD5159">
        <v>249</v>
      </c>
      <c r="AE5159" s="1">
        <v>36105</v>
      </c>
      <c r="AF5159">
        <v>0</v>
      </c>
      <c r="AJ5159">
        <v>0</v>
      </c>
      <c r="AK5159">
        <v>0</v>
      </c>
      <c r="AL5159">
        <v>0</v>
      </c>
      <c r="AM5159">
        <v>0</v>
      </c>
      <c r="AN5159">
        <v>0</v>
      </c>
      <c r="AO5159">
        <v>0</v>
      </c>
      <c r="AP5159" s="2">
        <v>42746</v>
      </c>
      <c r="AQ5159" t="s">
        <v>72</v>
      </c>
      <c r="AR5159" t="s">
        <v>72</v>
      </c>
      <c r="AS5159">
        <v>2921</v>
      </c>
      <c r="AT5159" s="4">
        <v>42678</v>
      </c>
      <c r="AU5159" t="s">
        <v>73</v>
      </c>
      <c r="AV5159">
        <v>2921</v>
      </c>
      <c r="AW5159" s="4">
        <v>42678</v>
      </c>
      <c r="BD5159">
        <v>0</v>
      </c>
      <c r="BN5159" t="s">
        <v>74</v>
      </c>
    </row>
    <row r="5160" spans="1:66">
      <c r="A5160">
        <v>101934</v>
      </c>
      <c r="B5160" s="3" t="s">
        <v>539</v>
      </c>
      <c r="C5160" s="1">
        <v>43300101</v>
      </c>
      <c r="D5160" t="s">
        <v>67</v>
      </c>
      <c r="H5160" t="str">
        <f t="shared" si="549"/>
        <v>06175550638</v>
      </c>
      <c r="I5160" t="str">
        <f t="shared" si="549"/>
        <v>06175550638</v>
      </c>
      <c r="K5160" t="str">
        <f>""</f>
        <v/>
      </c>
      <c r="M5160" t="s">
        <v>68</v>
      </c>
      <c r="N5160" t="str">
        <f t="shared" si="547"/>
        <v>FOR</v>
      </c>
      <c r="O5160" t="s">
        <v>69</v>
      </c>
      <c r="P5160" s="3" t="s">
        <v>75</v>
      </c>
      <c r="Q5160">
        <v>2015</v>
      </c>
      <c r="R5160" s="2">
        <v>42369</v>
      </c>
      <c r="S5160" s="2">
        <v>42369</v>
      </c>
      <c r="T5160" s="2">
        <v>42369</v>
      </c>
      <c r="U5160" s="2">
        <v>42429</v>
      </c>
      <c r="V5160" t="s">
        <v>71</v>
      </c>
      <c r="W5160" t="str">
        <f>"              711/PA"</f>
        <v xml:space="preserve">              711/PA</v>
      </c>
      <c r="X5160">
        <v>150.80000000000001</v>
      </c>
      <c r="Y5160">
        <v>0</v>
      </c>
      <c r="Z5160" s="3">
        <v>145</v>
      </c>
      <c r="AA5160">
        <v>249</v>
      </c>
      <c r="AB5160" s="5">
        <v>36105</v>
      </c>
      <c r="AC5160">
        <v>145</v>
      </c>
      <c r="AD5160">
        <v>249</v>
      </c>
      <c r="AE5160" s="1">
        <v>36105</v>
      </c>
      <c r="AF5160">
        <v>0</v>
      </c>
      <c r="AJ5160">
        <v>0</v>
      </c>
      <c r="AK5160">
        <v>0</v>
      </c>
      <c r="AL5160">
        <v>0</v>
      </c>
      <c r="AM5160">
        <v>0</v>
      </c>
      <c r="AN5160">
        <v>0</v>
      </c>
      <c r="AO5160">
        <v>0</v>
      </c>
      <c r="AP5160" s="2">
        <v>42746</v>
      </c>
      <c r="AQ5160" t="s">
        <v>72</v>
      </c>
      <c r="AR5160" t="s">
        <v>72</v>
      </c>
      <c r="AS5160">
        <v>2921</v>
      </c>
      <c r="AT5160" s="4">
        <v>42678</v>
      </c>
      <c r="AU5160" t="s">
        <v>73</v>
      </c>
      <c r="AV5160">
        <v>2921</v>
      </c>
      <c r="AW5160" s="4">
        <v>42678</v>
      </c>
      <c r="BD5160">
        <v>0</v>
      </c>
      <c r="BN5160" t="s">
        <v>74</v>
      </c>
    </row>
    <row r="5161" spans="1:66">
      <c r="A5161">
        <v>101934</v>
      </c>
      <c r="B5161" s="3" t="s">
        <v>539</v>
      </c>
      <c r="C5161" s="1">
        <v>43300101</v>
      </c>
      <c r="D5161" t="s">
        <v>67</v>
      </c>
      <c r="H5161" t="str">
        <f t="shared" si="549"/>
        <v>06175550638</v>
      </c>
      <c r="I5161" t="str">
        <f t="shared" si="549"/>
        <v>06175550638</v>
      </c>
      <c r="K5161" t="str">
        <f>""</f>
        <v/>
      </c>
      <c r="M5161" t="s">
        <v>68</v>
      </c>
      <c r="N5161" t="str">
        <f t="shared" si="547"/>
        <v>FOR</v>
      </c>
      <c r="O5161" t="s">
        <v>69</v>
      </c>
      <c r="P5161" s="3" t="s">
        <v>75</v>
      </c>
      <c r="Q5161">
        <v>2015</v>
      </c>
      <c r="R5161" s="2">
        <v>42369</v>
      </c>
      <c r="S5161" s="2">
        <v>42369</v>
      </c>
      <c r="T5161" s="2">
        <v>42369</v>
      </c>
      <c r="U5161" s="2">
        <v>42429</v>
      </c>
      <c r="V5161" t="s">
        <v>71</v>
      </c>
      <c r="W5161" t="str">
        <f>"              726/PA"</f>
        <v xml:space="preserve">              726/PA</v>
      </c>
      <c r="X5161" s="1">
        <v>37210</v>
      </c>
      <c r="Y5161">
        <v>0</v>
      </c>
      <c r="Z5161" s="5">
        <v>30500</v>
      </c>
      <c r="AA5161">
        <v>263</v>
      </c>
      <c r="AB5161" s="5">
        <v>8021500</v>
      </c>
      <c r="AC5161" s="1">
        <v>30500</v>
      </c>
      <c r="AD5161">
        <v>263</v>
      </c>
      <c r="AE5161" s="1">
        <v>8021500</v>
      </c>
      <c r="AF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 s="2">
        <v>42746</v>
      </c>
      <c r="AQ5161" t="s">
        <v>72</v>
      </c>
      <c r="AR5161" t="s">
        <v>72</v>
      </c>
      <c r="AS5161">
        <v>3172</v>
      </c>
      <c r="AT5161" s="4">
        <v>42692</v>
      </c>
      <c r="AU5161" t="s">
        <v>73</v>
      </c>
      <c r="AV5161">
        <v>3172</v>
      </c>
      <c r="AW5161" s="4">
        <v>42692</v>
      </c>
      <c r="BD5161">
        <v>0</v>
      </c>
      <c r="BN5161" t="s">
        <v>74</v>
      </c>
    </row>
    <row r="5162" spans="1:66">
      <c r="A5162">
        <v>101934</v>
      </c>
      <c r="B5162" s="3" t="s">
        <v>539</v>
      </c>
      <c r="C5162" s="1">
        <v>43300101</v>
      </c>
      <c r="D5162" t="s">
        <v>67</v>
      </c>
      <c r="H5162" t="str">
        <f t="shared" si="549"/>
        <v>06175550638</v>
      </c>
      <c r="I5162" t="str">
        <f t="shared" si="549"/>
        <v>06175550638</v>
      </c>
      <c r="K5162" t="str">
        <f>""</f>
        <v/>
      </c>
      <c r="M5162" t="s">
        <v>68</v>
      </c>
      <c r="N5162" t="str">
        <f t="shared" si="547"/>
        <v>FOR</v>
      </c>
      <c r="O5162" t="s">
        <v>69</v>
      </c>
      <c r="P5162" s="3" t="s">
        <v>75</v>
      </c>
      <c r="Q5162">
        <v>2015</v>
      </c>
      <c r="R5162" s="2">
        <v>42369</v>
      </c>
      <c r="S5162" s="2">
        <v>42369</v>
      </c>
      <c r="T5162" s="2">
        <v>42369</v>
      </c>
      <c r="U5162" s="2">
        <v>42429</v>
      </c>
      <c r="V5162" t="s">
        <v>71</v>
      </c>
      <c r="W5162" t="str">
        <f>"              738/PA"</f>
        <v xml:space="preserve">              738/PA</v>
      </c>
      <c r="X5162">
        <v>150.80000000000001</v>
      </c>
      <c r="Y5162">
        <v>0</v>
      </c>
      <c r="Z5162" s="3">
        <v>145</v>
      </c>
      <c r="AA5162">
        <v>249</v>
      </c>
      <c r="AB5162" s="5">
        <v>36105</v>
      </c>
      <c r="AC5162">
        <v>145</v>
      </c>
      <c r="AD5162">
        <v>249</v>
      </c>
      <c r="AE5162" s="1">
        <v>36105</v>
      </c>
      <c r="AF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 s="2">
        <v>42746</v>
      </c>
      <c r="AQ5162" t="s">
        <v>72</v>
      </c>
      <c r="AR5162" t="s">
        <v>72</v>
      </c>
      <c r="AS5162">
        <v>2921</v>
      </c>
      <c r="AT5162" s="4">
        <v>42678</v>
      </c>
      <c r="AU5162" t="s">
        <v>73</v>
      </c>
      <c r="AV5162">
        <v>2921</v>
      </c>
      <c r="AW5162" s="4">
        <v>42678</v>
      </c>
      <c r="BD5162">
        <v>0</v>
      </c>
      <c r="BN5162" t="s">
        <v>74</v>
      </c>
    </row>
    <row r="5163" spans="1:66">
      <c r="A5163">
        <v>101934</v>
      </c>
      <c r="B5163" s="3" t="s">
        <v>539</v>
      </c>
      <c r="C5163" s="1">
        <v>43300101</v>
      </c>
      <c r="D5163" t="s">
        <v>67</v>
      </c>
      <c r="H5163" t="str">
        <f t="shared" si="549"/>
        <v>06175550638</v>
      </c>
      <c r="I5163" t="str">
        <f t="shared" si="549"/>
        <v>06175550638</v>
      </c>
      <c r="K5163" t="str">
        <f>""</f>
        <v/>
      </c>
      <c r="M5163" t="s">
        <v>68</v>
      </c>
      <c r="N5163" t="str">
        <f t="shared" si="547"/>
        <v>FOR</v>
      </c>
      <c r="O5163" t="s">
        <v>69</v>
      </c>
      <c r="P5163" s="3" t="s">
        <v>75</v>
      </c>
      <c r="Q5163">
        <v>2015</v>
      </c>
      <c r="R5163" s="2">
        <v>42369</v>
      </c>
      <c r="S5163" s="2">
        <v>42369</v>
      </c>
      <c r="T5163" s="2">
        <v>42369</v>
      </c>
      <c r="U5163" s="2">
        <v>42429</v>
      </c>
      <c r="V5163" t="s">
        <v>71</v>
      </c>
      <c r="W5163" t="str">
        <f>"              739/PA"</f>
        <v xml:space="preserve">              739/PA</v>
      </c>
      <c r="X5163">
        <v>150.80000000000001</v>
      </c>
      <c r="Y5163">
        <v>0</v>
      </c>
      <c r="Z5163" s="3">
        <v>145</v>
      </c>
      <c r="AA5163">
        <v>249</v>
      </c>
      <c r="AB5163" s="5">
        <v>36105</v>
      </c>
      <c r="AC5163">
        <v>145</v>
      </c>
      <c r="AD5163">
        <v>249</v>
      </c>
      <c r="AE5163" s="1">
        <v>36105</v>
      </c>
      <c r="AF5163">
        <v>0</v>
      </c>
      <c r="AJ5163">
        <v>0</v>
      </c>
      <c r="AK5163">
        <v>0</v>
      </c>
      <c r="AL5163">
        <v>0</v>
      </c>
      <c r="AM5163">
        <v>0</v>
      </c>
      <c r="AN5163">
        <v>0</v>
      </c>
      <c r="AO5163">
        <v>0</v>
      </c>
      <c r="AP5163" s="2">
        <v>42746</v>
      </c>
      <c r="AQ5163" t="s">
        <v>72</v>
      </c>
      <c r="AR5163" t="s">
        <v>72</v>
      </c>
      <c r="AS5163">
        <v>2921</v>
      </c>
      <c r="AT5163" s="4">
        <v>42678</v>
      </c>
      <c r="AU5163" t="s">
        <v>73</v>
      </c>
      <c r="AV5163">
        <v>2921</v>
      </c>
      <c r="AW5163" s="4">
        <v>42678</v>
      </c>
      <c r="BD5163">
        <v>0</v>
      </c>
      <c r="BN5163" t="s">
        <v>74</v>
      </c>
    </row>
    <row r="5164" spans="1:66">
      <c r="A5164">
        <v>101934</v>
      </c>
      <c r="B5164" s="3" t="s">
        <v>539</v>
      </c>
      <c r="C5164" s="1">
        <v>43300101</v>
      </c>
      <c r="D5164" t="s">
        <v>67</v>
      </c>
      <c r="H5164" t="str">
        <f t="shared" si="549"/>
        <v>06175550638</v>
      </c>
      <c r="I5164" t="str">
        <f t="shared" si="549"/>
        <v>06175550638</v>
      </c>
      <c r="K5164" t="str">
        <f>""</f>
        <v/>
      </c>
      <c r="M5164" t="s">
        <v>68</v>
      </c>
      <c r="N5164" t="str">
        <f t="shared" si="547"/>
        <v>FOR</v>
      </c>
      <c r="O5164" t="s">
        <v>69</v>
      </c>
      <c r="P5164" s="3" t="s">
        <v>75</v>
      </c>
      <c r="Q5164">
        <v>2016</v>
      </c>
      <c r="R5164" s="2">
        <v>42397</v>
      </c>
      <c r="S5164" s="2">
        <v>42411</v>
      </c>
      <c r="T5164" s="2">
        <v>42397</v>
      </c>
      <c r="U5164" s="2">
        <v>42457</v>
      </c>
      <c r="V5164" t="s">
        <v>71</v>
      </c>
      <c r="W5164" t="str">
        <f>"               10/PA"</f>
        <v xml:space="preserve">               10/PA</v>
      </c>
      <c r="X5164">
        <v>647.16</v>
      </c>
      <c r="Y5164">
        <v>0</v>
      </c>
      <c r="Z5164" s="3">
        <v>537.1</v>
      </c>
      <c r="AA5164">
        <v>221</v>
      </c>
      <c r="AB5164" s="5">
        <v>118699.1</v>
      </c>
      <c r="AC5164">
        <v>537.1</v>
      </c>
      <c r="AD5164">
        <v>221</v>
      </c>
      <c r="AE5164" s="1">
        <v>118699.1</v>
      </c>
      <c r="AF5164">
        <v>0</v>
      </c>
      <c r="AJ5164">
        <v>0</v>
      </c>
      <c r="AK5164">
        <v>0</v>
      </c>
      <c r="AL5164">
        <v>0</v>
      </c>
      <c r="AM5164">
        <v>647.16</v>
      </c>
      <c r="AN5164">
        <v>647.16</v>
      </c>
      <c r="AO5164">
        <v>647.16</v>
      </c>
      <c r="AP5164" s="2">
        <v>42746</v>
      </c>
      <c r="AQ5164" t="s">
        <v>72</v>
      </c>
      <c r="AR5164" t="s">
        <v>72</v>
      </c>
      <c r="AS5164">
        <v>2921</v>
      </c>
      <c r="AT5164" s="4">
        <v>42678</v>
      </c>
      <c r="AU5164" t="s">
        <v>73</v>
      </c>
      <c r="AV5164">
        <v>2921</v>
      </c>
      <c r="AW5164" s="4">
        <v>42678</v>
      </c>
      <c r="BD5164">
        <v>0</v>
      </c>
      <c r="BN5164" t="s">
        <v>74</v>
      </c>
    </row>
    <row r="5165" spans="1:66">
      <c r="A5165">
        <v>101934</v>
      </c>
      <c r="B5165" s="3" t="s">
        <v>539</v>
      </c>
      <c r="C5165" s="1">
        <v>43300101</v>
      </c>
      <c r="D5165" t="s">
        <v>67</v>
      </c>
      <c r="H5165" t="str">
        <f t="shared" si="549"/>
        <v>06175550638</v>
      </c>
      <c r="I5165" t="str">
        <f t="shared" si="549"/>
        <v>06175550638</v>
      </c>
      <c r="K5165" t="str">
        <f>""</f>
        <v/>
      </c>
      <c r="M5165" t="s">
        <v>68</v>
      </c>
      <c r="N5165" t="str">
        <f t="shared" si="547"/>
        <v>FOR</v>
      </c>
      <c r="O5165" t="s">
        <v>69</v>
      </c>
      <c r="P5165" s="3" t="s">
        <v>75</v>
      </c>
      <c r="Q5165">
        <v>2016</v>
      </c>
      <c r="R5165" s="2">
        <v>42398</v>
      </c>
      <c r="S5165" s="2">
        <v>42410</v>
      </c>
      <c r="T5165" s="2">
        <v>42404</v>
      </c>
      <c r="U5165" s="2">
        <v>42464</v>
      </c>
      <c r="V5165" t="s">
        <v>71</v>
      </c>
      <c r="W5165" t="str">
        <f>"               33/PA"</f>
        <v xml:space="preserve">               33/PA</v>
      </c>
      <c r="X5165">
        <v>150.80000000000001</v>
      </c>
      <c r="Y5165">
        <v>0</v>
      </c>
      <c r="Z5165" s="3">
        <v>145</v>
      </c>
      <c r="AA5165">
        <v>214</v>
      </c>
      <c r="AB5165" s="5">
        <v>31030</v>
      </c>
      <c r="AC5165">
        <v>145</v>
      </c>
      <c r="AD5165">
        <v>214</v>
      </c>
      <c r="AE5165" s="1">
        <v>31030</v>
      </c>
      <c r="AF5165">
        <v>0</v>
      </c>
      <c r="AJ5165">
        <v>0</v>
      </c>
      <c r="AK5165">
        <v>0</v>
      </c>
      <c r="AL5165">
        <v>0</v>
      </c>
      <c r="AM5165">
        <v>150.80000000000001</v>
      </c>
      <c r="AN5165">
        <v>150.80000000000001</v>
      </c>
      <c r="AO5165">
        <v>150.80000000000001</v>
      </c>
      <c r="AP5165" s="2">
        <v>42746</v>
      </c>
      <c r="AQ5165" t="s">
        <v>72</v>
      </c>
      <c r="AR5165" t="s">
        <v>72</v>
      </c>
      <c r="AS5165">
        <v>2921</v>
      </c>
      <c r="AT5165" s="4">
        <v>42678</v>
      </c>
      <c r="AU5165" t="s">
        <v>73</v>
      </c>
      <c r="AV5165">
        <v>2921</v>
      </c>
      <c r="AW5165" s="4">
        <v>42678</v>
      </c>
      <c r="BD5165">
        <v>0</v>
      </c>
      <c r="BN5165" t="s">
        <v>74</v>
      </c>
    </row>
    <row r="5166" spans="1:66">
      <c r="A5166">
        <v>101934</v>
      </c>
      <c r="B5166" s="3" t="s">
        <v>539</v>
      </c>
      <c r="C5166" s="1">
        <v>43300101</v>
      </c>
      <c r="D5166" t="s">
        <v>67</v>
      </c>
      <c r="H5166" t="str">
        <f t="shared" si="549"/>
        <v>06175550638</v>
      </c>
      <c r="I5166" t="str">
        <f t="shared" si="549"/>
        <v>06175550638</v>
      </c>
      <c r="K5166" t="str">
        <f>""</f>
        <v/>
      </c>
      <c r="M5166" t="s">
        <v>68</v>
      </c>
      <c r="N5166" t="str">
        <f t="shared" si="547"/>
        <v>FOR</v>
      </c>
      <c r="O5166" t="s">
        <v>69</v>
      </c>
      <c r="P5166" s="3" t="s">
        <v>75</v>
      </c>
      <c r="Q5166">
        <v>2016</v>
      </c>
      <c r="R5166" s="2">
        <v>42398</v>
      </c>
      <c r="S5166" s="2">
        <v>42410</v>
      </c>
      <c r="T5166" s="2">
        <v>42404</v>
      </c>
      <c r="U5166" s="2">
        <v>42464</v>
      </c>
      <c r="V5166" t="s">
        <v>71</v>
      </c>
      <c r="W5166" t="str">
        <f>"               34/PA"</f>
        <v xml:space="preserve">               34/PA</v>
      </c>
      <c r="X5166">
        <v>150.80000000000001</v>
      </c>
      <c r="Y5166">
        <v>0</v>
      </c>
      <c r="Z5166" s="3">
        <v>145</v>
      </c>
      <c r="AA5166">
        <v>214</v>
      </c>
      <c r="AB5166" s="5">
        <v>31030</v>
      </c>
      <c r="AC5166">
        <v>145</v>
      </c>
      <c r="AD5166">
        <v>214</v>
      </c>
      <c r="AE5166" s="1">
        <v>31030</v>
      </c>
      <c r="AF5166">
        <v>0</v>
      </c>
      <c r="AJ5166">
        <v>0</v>
      </c>
      <c r="AK5166">
        <v>0</v>
      </c>
      <c r="AL5166">
        <v>0</v>
      </c>
      <c r="AM5166">
        <v>150.80000000000001</v>
      </c>
      <c r="AN5166">
        <v>150.80000000000001</v>
      </c>
      <c r="AO5166">
        <v>150.80000000000001</v>
      </c>
      <c r="AP5166" s="2">
        <v>42746</v>
      </c>
      <c r="AQ5166" t="s">
        <v>72</v>
      </c>
      <c r="AR5166" t="s">
        <v>72</v>
      </c>
      <c r="AS5166">
        <v>2921</v>
      </c>
      <c r="AT5166" s="4">
        <v>42678</v>
      </c>
      <c r="AU5166" t="s">
        <v>73</v>
      </c>
      <c r="AV5166">
        <v>2921</v>
      </c>
      <c r="AW5166" s="4">
        <v>42678</v>
      </c>
      <c r="BD5166">
        <v>0</v>
      </c>
      <c r="BN5166" t="s">
        <v>74</v>
      </c>
    </row>
    <row r="5167" spans="1:66">
      <c r="A5167">
        <v>101934</v>
      </c>
      <c r="B5167" s="3" t="s">
        <v>539</v>
      </c>
      <c r="C5167" s="1">
        <v>43300101</v>
      </c>
      <c r="D5167" t="s">
        <v>67</v>
      </c>
      <c r="H5167" t="str">
        <f t="shared" si="549"/>
        <v>06175550638</v>
      </c>
      <c r="I5167" t="str">
        <f t="shared" si="549"/>
        <v>06175550638</v>
      </c>
      <c r="K5167" t="str">
        <f>""</f>
        <v/>
      </c>
      <c r="M5167" t="s">
        <v>68</v>
      </c>
      <c r="N5167" t="str">
        <f t="shared" si="547"/>
        <v>FOR</v>
      </c>
      <c r="O5167" t="s">
        <v>69</v>
      </c>
      <c r="P5167" s="3" t="s">
        <v>75</v>
      </c>
      <c r="Q5167">
        <v>2016</v>
      </c>
      <c r="R5167" s="2">
        <v>42424</v>
      </c>
      <c r="S5167" s="2">
        <v>42425</v>
      </c>
      <c r="T5167" s="2">
        <v>42424</v>
      </c>
      <c r="U5167" s="2">
        <v>42484</v>
      </c>
      <c r="V5167" t="s">
        <v>71</v>
      </c>
      <c r="W5167" t="str">
        <f>"               60/PA"</f>
        <v xml:space="preserve">               60/PA</v>
      </c>
      <c r="X5167">
        <v>292.8</v>
      </c>
      <c r="Y5167">
        <v>0</v>
      </c>
      <c r="Z5167" s="3">
        <v>240</v>
      </c>
      <c r="AA5167">
        <v>239</v>
      </c>
      <c r="AB5167" s="5">
        <v>57360</v>
      </c>
      <c r="AC5167">
        <v>240</v>
      </c>
      <c r="AD5167">
        <v>239</v>
      </c>
      <c r="AE5167" s="1">
        <v>57360</v>
      </c>
      <c r="AF5167">
        <v>52.8</v>
      </c>
      <c r="AJ5167">
        <v>0</v>
      </c>
      <c r="AK5167">
        <v>0</v>
      </c>
      <c r="AL5167">
        <v>0</v>
      </c>
      <c r="AM5167">
        <v>292.8</v>
      </c>
      <c r="AN5167">
        <v>292.8</v>
      </c>
      <c r="AO5167">
        <v>292.8</v>
      </c>
      <c r="AP5167" s="2">
        <v>42746</v>
      </c>
      <c r="AQ5167" t="s">
        <v>72</v>
      </c>
      <c r="AR5167" t="s">
        <v>72</v>
      </c>
      <c r="AS5167">
        <v>3610</v>
      </c>
      <c r="AT5167" s="4">
        <v>42723</v>
      </c>
      <c r="AU5167" t="s">
        <v>73</v>
      </c>
      <c r="AV5167">
        <v>3610</v>
      </c>
      <c r="AW5167" s="4">
        <v>42723</v>
      </c>
      <c r="BD5167">
        <v>52.8</v>
      </c>
      <c r="BN5167" t="s">
        <v>74</v>
      </c>
    </row>
    <row r="5168" spans="1:66">
      <c r="A5168">
        <v>101934</v>
      </c>
      <c r="B5168" s="3" t="s">
        <v>539</v>
      </c>
      <c r="C5168" s="1">
        <v>43300101</v>
      </c>
      <c r="D5168" t="s">
        <v>67</v>
      </c>
      <c r="H5168" t="str">
        <f t="shared" si="549"/>
        <v>06175550638</v>
      </c>
      <c r="I5168" t="str">
        <f t="shared" si="549"/>
        <v>06175550638</v>
      </c>
      <c r="K5168" t="str">
        <f>""</f>
        <v/>
      </c>
      <c r="M5168" t="s">
        <v>68</v>
      </c>
      <c r="N5168" t="str">
        <f t="shared" si="547"/>
        <v>FOR</v>
      </c>
      <c r="O5168" t="s">
        <v>69</v>
      </c>
      <c r="P5168" s="3" t="s">
        <v>75</v>
      </c>
      <c r="Q5168">
        <v>2016</v>
      </c>
      <c r="R5168" s="2">
        <v>42429</v>
      </c>
      <c r="S5168" s="2">
        <v>42438</v>
      </c>
      <c r="T5168" s="2">
        <v>42430</v>
      </c>
      <c r="U5168" s="2">
        <v>42490</v>
      </c>
      <c r="V5168" t="s">
        <v>71</v>
      </c>
      <c r="W5168" t="str">
        <f>"               88/PA"</f>
        <v xml:space="preserve">               88/PA</v>
      </c>
      <c r="X5168">
        <v>92.23</v>
      </c>
      <c r="Y5168">
        <v>0</v>
      </c>
      <c r="Z5168" s="3">
        <v>75.599999999999994</v>
      </c>
      <c r="AA5168">
        <v>233</v>
      </c>
      <c r="AB5168" s="5">
        <v>17614.8</v>
      </c>
      <c r="AC5168">
        <v>75.599999999999994</v>
      </c>
      <c r="AD5168">
        <v>233</v>
      </c>
      <c r="AE5168" s="1">
        <v>17614.8</v>
      </c>
      <c r="AF5168">
        <v>16.63</v>
      </c>
      <c r="AJ5168">
        <v>0</v>
      </c>
      <c r="AK5168">
        <v>0</v>
      </c>
      <c r="AL5168">
        <v>0</v>
      </c>
      <c r="AM5168">
        <v>92.23</v>
      </c>
      <c r="AN5168">
        <v>92.23</v>
      </c>
      <c r="AO5168">
        <v>92.23</v>
      </c>
      <c r="AP5168" s="2">
        <v>42746</v>
      </c>
      <c r="AQ5168" t="s">
        <v>72</v>
      </c>
      <c r="AR5168" t="s">
        <v>72</v>
      </c>
      <c r="AS5168">
        <v>3610</v>
      </c>
      <c r="AT5168" s="4">
        <v>42723</v>
      </c>
      <c r="AU5168" t="s">
        <v>73</v>
      </c>
      <c r="AV5168">
        <v>3610</v>
      </c>
      <c r="AW5168" s="4">
        <v>42723</v>
      </c>
      <c r="BD5168">
        <v>16.63</v>
      </c>
      <c r="BN5168" t="s">
        <v>74</v>
      </c>
    </row>
    <row r="5169" spans="1:66">
      <c r="A5169">
        <v>101934</v>
      </c>
      <c r="B5169" s="3" t="s">
        <v>539</v>
      </c>
      <c r="C5169" s="1">
        <v>43300101</v>
      </c>
      <c r="D5169" t="s">
        <v>67</v>
      </c>
      <c r="H5169" t="str">
        <f t="shared" si="549"/>
        <v>06175550638</v>
      </c>
      <c r="I5169" t="str">
        <f t="shared" si="549"/>
        <v>06175550638</v>
      </c>
      <c r="K5169" t="str">
        <f>""</f>
        <v/>
      </c>
      <c r="M5169" t="s">
        <v>68</v>
      </c>
      <c r="N5169" t="str">
        <f t="shared" si="547"/>
        <v>FOR</v>
      </c>
      <c r="O5169" t="s">
        <v>69</v>
      </c>
      <c r="P5169" s="3" t="s">
        <v>75</v>
      </c>
      <c r="Q5169">
        <v>2016</v>
      </c>
      <c r="R5169" s="2">
        <v>42429</v>
      </c>
      <c r="S5169" s="2">
        <v>42436</v>
      </c>
      <c r="T5169" s="2">
        <v>42432</v>
      </c>
      <c r="U5169" s="2">
        <v>42492</v>
      </c>
      <c r="V5169" t="s">
        <v>71</v>
      </c>
      <c r="W5169" t="str">
        <f>"              124/PA"</f>
        <v xml:space="preserve">              124/PA</v>
      </c>
      <c r="X5169">
        <v>150.80000000000001</v>
      </c>
      <c r="Y5169">
        <v>0</v>
      </c>
      <c r="Z5169" s="3">
        <v>145</v>
      </c>
      <c r="AA5169">
        <v>231</v>
      </c>
      <c r="AB5169" s="5">
        <v>33495</v>
      </c>
      <c r="AC5169">
        <v>145</v>
      </c>
      <c r="AD5169">
        <v>231</v>
      </c>
      <c r="AE5169" s="1">
        <v>33495</v>
      </c>
      <c r="AF5169">
        <v>5.8</v>
      </c>
      <c r="AJ5169">
        <v>0</v>
      </c>
      <c r="AK5169">
        <v>0</v>
      </c>
      <c r="AL5169">
        <v>0</v>
      </c>
      <c r="AM5169">
        <v>150.80000000000001</v>
      </c>
      <c r="AN5169">
        <v>150.80000000000001</v>
      </c>
      <c r="AO5169">
        <v>150.80000000000001</v>
      </c>
      <c r="AP5169" s="2">
        <v>42746</v>
      </c>
      <c r="AQ5169" t="s">
        <v>72</v>
      </c>
      <c r="AR5169" t="s">
        <v>72</v>
      </c>
      <c r="AS5169">
        <v>3610</v>
      </c>
      <c r="AT5169" s="4">
        <v>42723</v>
      </c>
      <c r="AU5169" t="s">
        <v>73</v>
      </c>
      <c r="AV5169">
        <v>3610</v>
      </c>
      <c r="AW5169" s="4">
        <v>42723</v>
      </c>
      <c r="BD5169">
        <v>5.8</v>
      </c>
      <c r="BN5169" t="s">
        <v>74</v>
      </c>
    </row>
    <row r="5170" spans="1:66">
      <c r="A5170">
        <v>101934</v>
      </c>
      <c r="B5170" s="3" t="s">
        <v>539</v>
      </c>
      <c r="C5170" s="1">
        <v>43300101</v>
      </c>
      <c r="D5170" t="s">
        <v>67</v>
      </c>
      <c r="H5170" t="str">
        <f t="shared" si="549"/>
        <v>06175550638</v>
      </c>
      <c r="I5170" t="str">
        <f t="shared" si="549"/>
        <v>06175550638</v>
      </c>
      <c r="K5170" t="str">
        <f>""</f>
        <v/>
      </c>
      <c r="M5170" t="s">
        <v>68</v>
      </c>
      <c r="N5170" t="str">
        <f t="shared" si="547"/>
        <v>FOR</v>
      </c>
      <c r="O5170" t="s">
        <v>69</v>
      </c>
      <c r="P5170" s="3" t="s">
        <v>75</v>
      </c>
      <c r="Q5170">
        <v>2016</v>
      </c>
      <c r="R5170" s="2">
        <v>42429</v>
      </c>
      <c r="S5170" s="2">
        <v>42436</v>
      </c>
      <c r="T5170" s="2">
        <v>42432</v>
      </c>
      <c r="U5170" s="2">
        <v>42492</v>
      </c>
      <c r="V5170" t="s">
        <v>71</v>
      </c>
      <c r="W5170" t="str">
        <f>"              125/PA"</f>
        <v xml:space="preserve">              125/PA</v>
      </c>
      <c r="X5170">
        <v>150.80000000000001</v>
      </c>
      <c r="Y5170">
        <v>0</v>
      </c>
      <c r="Z5170" s="3">
        <v>145</v>
      </c>
      <c r="AA5170">
        <v>231</v>
      </c>
      <c r="AB5170" s="5">
        <v>33495</v>
      </c>
      <c r="AC5170">
        <v>145</v>
      </c>
      <c r="AD5170">
        <v>231</v>
      </c>
      <c r="AE5170" s="1">
        <v>33495</v>
      </c>
      <c r="AF5170">
        <v>5.8</v>
      </c>
      <c r="AJ5170">
        <v>0</v>
      </c>
      <c r="AK5170">
        <v>0</v>
      </c>
      <c r="AL5170">
        <v>0</v>
      </c>
      <c r="AM5170">
        <v>150.80000000000001</v>
      </c>
      <c r="AN5170">
        <v>150.80000000000001</v>
      </c>
      <c r="AO5170">
        <v>150.80000000000001</v>
      </c>
      <c r="AP5170" s="2">
        <v>42746</v>
      </c>
      <c r="AQ5170" t="s">
        <v>72</v>
      </c>
      <c r="AR5170" t="s">
        <v>72</v>
      </c>
      <c r="AS5170">
        <v>3610</v>
      </c>
      <c r="AT5170" s="4">
        <v>42723</v>
      </c>
      <c r="AU5170" t="s">
        <v>73</v>
      </c>
      <c r="AV5170">
        <v>3610</v>
      </c>
      <c r="AW5170" s="4">
        <v>42723</v>
      </c>
      <c r="BD5170">
        <v>5.8</v>
      </c>
      <c r="BN5170" t="s">
        <v>74</v>
      </c>
    </row>
    <row r="5171" spans="1:66">
      <c r="A5171">
        <v>101934</v>
      </c>
      <c r="B5171" s="3" t="s">
        <v>539</v>
      </c>
      <c r="C5171" s="1">
        <v>43300101</v>
      </c>
      <c r="D5171" t="s">
        <v>67</v>
      </c>
      <c r="H5171" t="str">
        <f t="shared" si="549"/>
        <v>06175550638</v>
      </c>
      <c r="I5171" t="str">
        <f t="shared" si="549"/>
        <v>06175550638</v>
      </c>
      <c r="K5171" t="str">
        <f>""</f>
        <v/>
      </c>
      <c r="M5171" t="s">
        <v>68</v>
      </c>
      <c r="N5171" t="str">
        <f t="shared" si="547"/>
        <v>FOR</v>
      </c>
      <c r="O5171" t="s">
        <v>69</v>
      </c>
      <c r="P5171" s="3" t="s">
        <v>75</v>
      </c>
      <c r="Q5171">
        <v>2016</v>
      </c>
      <c r="R5171" s="2">
        <v>42429</v>
      </c>
      <c r="S5171" s="2">
        <v>42436</v>
      </c>
      <c r="T5171" s="2">
        <v>42432</v>
      </c>
      <c r="U5171" s="2">
        <v>42492</v>
      </c>
      <c r="V5171" t="s">
        <v>71</v>
      </c>
      <c r="W5171" t="str">
        <f>"              126/PA"</f>
        <v xml:space="preserve">              126/PA</v>
      </c>
      <c r="X5171">
        <v>150.80000000000001</v>
      </c>
      <c r="Y5171">
        <v>0</v>
      </c>
      <c r="Z5171" s="3">
        <v>145</v>
      </c>
      <c r="AA5171">
        <v>231</v>
      </c>
      <c r="AB5171" s="5">
        <v>33495</v>
      </c>
      <c r="AC5171">
        <v>145</v>
      </c>
      <c r="AD5171">
        <v>231</v>
      </c>
      <c r="AE5171" s="1">
        <v>33495</v>
      </c>
      <c r="AF5171">
        <v>5.8</v>
      </c>
      <c r="AJ5171">
        <v>0</v>
      </c>
      <c r="AK5171">
        <v>0</v>
      </c>
      <c r="AL5171">
        <v>0</v>
      </c>
      <c r="AM5171">
        <v>150.80000000000001</v>
      </c>
      <c r="AN5171">
        <v>150.80000000000001</v>
      </c>
      <c r="AO5171">
        <v>150.80000000000001</v>
      </c>
      <c r="AP5171" s="2">
        <v>42746</v>
      </c>
      <c r="AQ5171" t="s">
        <v>72</v>
      </c>
      <c r="AR5171" t="s">
        <v>72</v>
      </c>
      <c r="AS5171">
        <v>3610</v>
      </c>
      <c r="AT5171" s="4">
        <v>42723</v>
      </c>
      <c r="AU5171" t="s">
        <v>73</v>
      </c>
      <c r="AV5171">
        <v>3610</v>
      </c>
      <c r="AW5171" s="4">
        <v>42723</v>
      </c>
      <c r="BD5171">
        <v>5.8</v>
      </c>
      <c r="BN5171" t="s">
        <v>74</v>
      </c>
    </row>
    <row r="5172" spans="1:66">
      <c r="A5172">
        <v>101934</v>
      </c>
      <c r="B5172" s="3" t="s">
        <v>539</v>
      </c>
      <c r="C5172" s="1">
        <v>43300101</v>
      </c>
      <c r="D5172" t="s">
        <v>67</v>
      </c>
      <c r="H5172" t="str">
        <f t="shared" si="549"/>
        <v>06175550638</v>
      </c>
      <c r="I5172" t="str">
        <f t="shared" si="549"/>
        <v>06175550638</v>
      </c>
      <c r="K5172" t="str">
        <f>""</f>
        <v/>
      </c>
      <c r="M5172" t="s">
        <v>68</v>
      </c>
      <c r="N5172" t="str">
        <f t="shared" si="547"/>
        <v>FOR</v>
      </c>
      <c r="O5172" t="s">
        <v>69</v>
      </c>
      <c r="P5172" s="3" t="s">
        <v>75</v>
      </c>
      <c r="Q5172">
        <v>2016</v>
      </c>
      <c r="R5172" s="2">
        <v>42429</v>
      </c>
      <c r="S5172" s="2">
        <v>42436</v>
      </c>
      <c r="T5172" s="2">
        <v>42432</v>
      </c>
      <c r="U5172" s="2">
        <v>42492</v>
      </c>
      <c r="V5172" t="s">
        <v>71</v>
      </c>
      <c r="W5172" t="str">
        <f>"              127/PA"</f>
        <v xml:space="preserve">              127/PA</v>
      </c>
      <c r="X5172">
        <v>150.80000000000001</v>
      </c>
      <c r="Y5172">
        <v>0</v>
      </c>
      <c r="Z5172" s="3">
        <v>145</v>
      </c>
      <c r="AA5172">
        <v>231</v>
      </c>
      <c r="AB5172" s="5">
        <v>33495</v>
      </c>
      <c r="AC5172">
        <v>145</v>
      </c>
      <c r="AD5172">
        <v>231</v>
      </c>
      <c r="AE5172" s="1">
        <v>33495</v>
      </c>
      <c r="AF5172">
        <v>5.8</v>
      </c>
      <c r="AJ5172">
        <v>0</v>
      </c>
      <c r="AK5172">
        <v>0</v>
      </c>
      <c r="AL5172">
        <v>0</v>
      </c>
      <c r="AM5172">
        <v>150.80000000000001</v>
      </c>
      <c r="AN5172">
        <v>150.80000000000001</v>
      </c>
      <c r="AO5172">
        <v>150.80000000000001</v>
      </c>
      <c r="AP5172" s="2">
        <v>42746</v>
      </c>
      <c r="AQ5172" t="s">
        <v>72</v>
      </c>
      <c r="AR5172" t="s">
        <v>72</v>
      </c>
      <c r="AS5172">
        <v>3610</v>
      </c>
      <c r="AT5172" s="4">
        <v>42723</v>
      </c>
      <c r="AU5172" t="s">
        <v>73</v>
      </c>
      <c r="AV5172">
        <v>3610</v>
      </c>
      <c r="AW5172" s="4">
        <v>42723</v>
      </c>
      <c r="BD5172">
        <v>5.8</v>
      </c>
      <c r="BN5172" t="s">
        <v>74</v>
      </c>
    </row>
    <row r="5173" spans="1:66">
      <c r="A5173">
        <v>101934</v>
      </c>
      <c r="B5173" s="3" t="s">
        <v>539</v>
      </c>
      <c r="C5173" s="1">
        <v>43300101</v>
      </c>
      <c r="D5173" t="s">
        <v>67</v>
      </c>
      <c r="H5173" t="str">
        <f t="shared" si="549"/>
        <v>06175550638</v>
      </c>
      <c r="I5173" t="str">
        <f t="shared" si="549"/>
        <v>06175550638</v>
      </c>
      <c r="K5173" t="str">
        <f>""</f>
        <v/>
      </c>
      <c r="M5173" t="s">
        <v>68</v>
      </c>
      <c r="N5173" t="str">
        <f t="shared" si="547"/>
        <v>FOR</v>
      </c>
      <c r="O5173" t="s">
        <v>69</v>
      </c>
      <c r="P5173" s="3" t="s">
        <v>75</v>
      </c>
      <c r="Q5173">
        <v>2016</v>
      </c>
      <c r="R5173" s="2">
        <v>42429</v>
      </c>
      <c r="S5173" s="2">
        <v>42436</v>
      </c>
      <c r="T5173" s="2">
        <v>42432</v>
      </c>
      <c r="U5173" s="2">
        <v>42492</v>
      </c>
      <c r="V5173" t="s">
        <v>71</v>
      </c>
      <c r="W5173" t="str">
        <f>"              128/PA"</f>
        <v xml:space="preserve">              128/PA</v>
      </c>
      <c r="X5173">
        <v>150.80000000000001</v>
      </c>
      <c r="Y5173">
        <v>0</v>
      </c>
      <c r="Z5173" s="3">
        <v>145</v>
      </c>
      <c r="AA5173">
        <v>231</v>
      </c>
      <c r="AB5173" s="5">
        <v>33495</v>
      </c>
      <c r="AC5173">
        <v>145</v>
      </c>
      <c r="AD5173">
        <v>231</v>
      </c>
      <c r="AE5173" s="1">
        <v>33495</v>
      </c>
      <c r="AF5173">
        <v>5.8</v>
      </c>
      <c r="AJ5173">
        <v>0</v>
      </c>
      <c r="AK5173">
        <v>0</v>
      </c>
      <c r="AL5173">
        <v>0</v>
      </c>
      <c r="AM5173">
        <v>150.80000000000001</v>
      </c>
      <c r="AN5173">
        <v>150.80000000000001</v>
      </c>
      <c r="AO5173">
        <v>150.80000000000001</v>
      </c>
      <c r="AP5173" s="2">
        <v>42746</v>
      </c>
      <c r="AQ5173" t="s">
        <v>72</v>
      </c>
      <c r="AR5173" t="s">
        <v>72</v>
      </c>
      <c r="AS5173">
        <v>3610</v>
      </c>
      <c r="AT5173" s="4">
        <v>42723</v>
      </c>
      <c r="AU5173" t="s">
        <v>73</v>
      </c>
      <c r="AV5173">
        <v>3610</v>
      </c>
      <c r="AW5173" s="4">
        <v>42723</v>
      </c>
      <c r="BD5173">
        <v>5.8</v>
      </c>
      <c r="BN5173" t="s">
        <v>74</v>
      </c>
    </row>
    <row r="5174" spans="1:66">
      <c r="A5174">
        <v>101934</v>
      </c>
      <c r="B5174" s="3" t="s">
        <v>539</v>
      </c>
      <c r="C5174" s="1">
        <v>43300101</v>
      </c>
      <c r="D5174" t="s">
        <v>67</v>
      </c>
      <c r="H5174" t="str">
        <f t="shared" si="549"/>
        <v>06175550638</v>
      </c>
      <c r="I5174" t="str">
        <f t="shared" si="549"/>
        <v>06175550638</v>
      </c>
      <c r="K5174" t="str">
        <f>""</f>
        <v/>
      </c>
      <c r="M5174" t="s">
        <v>68</v>
      </c>
      <c r="N5174" t="str">
        <f t="shared" si="547"/>
        <v>FOR</v>
      </c>
      <c r="O5174" t="s">
        <v>69</v>
      </c>
      <c r="P5174" s="3" t="s">
        <v>75</v>
      </c>
      <c r="Q5174">
        <v>2016</v>
      </c>
      <c r="R5174" s="2">
        <v>42429</v>
      </c>
      <c r="S5174" s="2">
        <v>42436</v>
      </c>
      <c r="T5174" s="2">
        <v>42432</v>
      </c>
      <c r="U5174" s="2">
        <v>42492</v>
      </c>
      <c r="V5174" t="s">
        <v>71</v>
      </c>
      <c r="W5174" t="str">
        <f>"              129/PA"</f>
        <v xml:space="preserve">              129/PA</v>
      </c>
      <c r="X5174">
        <v>150.80000000000001</v>
      </c>
      <c r="Y5174">
        <v>0</v>
      </c>
      <c r="Z5174" s="3">
        <v>145</v>
      </c>
      <c r="AA5174">
        <v>231</v>
      </c>
      <c r="AB5174" s="5">
        <v>33495</v>
      </c>
      <c r="AC5174">
        <v>145</v>
      </c>
      <c r="AD5174">
        <v>231</v>
      </c>
      <c r="AE5174" s="1">
        <v>33495</v>
      </c>
      <c r="AF5174">
        <v>5.8</v>
      </c>
      <c r="AJ5174">
        <v>0</v>
      </c>
      <c r="AK5174">
        <v>0</v>
      </c>
      <c r="AL5174">
        <v>0</v>
      </c>
      <c r="AM5174">
        <v>150.80000000000001</v>
      </c>
      <c r="AN5174">
        <v>150.80000000000001</v>
      </c>
      <c r="AO5174">
        <v>150.80000000000001</v>
      </c>
      <c r="AP5174" s="2">
        <v>42746</v>
      </c>
      <c r="AQ5174" t="s">
        <v>72</v>
      </c>
      <c r="AR5174" t="s">
        <v>72</v>
      </c>
      <c r="AS5174">
        <v>3610</v>
      </c>
      <c r="AT5174" s="4">
        <v>42723</v>
      </c>
      <c r="AU5174" t="s">
        <v>73</v>
      </c>
      <c r="AV5174">
        <v>3610</v>
      </c>
      <c r="AW5174" s="4">
        <v>42723</v>
      </c>
      <c r="BD5174">
        <v>5.8</v>
      </c>
      <c r="BN5174" t="s">
        <v>74</v>
      </c>
    </row>
    <row r="5175" spans="1:66" hidden="1">
      <c r="A5175">
        <v>101935</v>
      </c>
      <c r="B5175" s="3" t="s">
        <v>540</v>
      </c>
      <c r="C5175" s="1">
        <v>43300101</v>
      </c>
      <c r="D5175" t="s">
        <v>67</v>
      </c>
      <c r="H5175" t="str">
        <f t="shared" ref="H5175:I5186" si="550">"07516911000"</f>
        <v>07516911000</v>
      </c>
      <c r="I5175" t="str">
        <f t="shared" si="550"/>
        <v>07516911000</v>
      </c>
      <c r="K5175" t="str">
        <f>""</f>
        <v/>
      </c>
      <c r="M5175" t="s">
        <v>68</v>
      </c>
      <c r="N5175" t="str">
        <f t="shared" si="547"/>
        <v>FOR</v>
      </c>
      <c r="O5175" t="s">
        <v>69</v>
      </c>
      <c r="P5175" s="3" t="s">
        <v>75</v>
      </c>
      <c r="Q5175">
        <v>2015</v>
      </c>
      <c r="R5175" s="2">
        <v>42361</v>
      </c>
      <c r="S5175" s="2">
        <v>42369</v>
      </c>
      <c r="T5175" s="2">
        <v>42363</v>
      </c>
      <c r="U5175" s="2">
        <v>42423</v>
      </c>
      <c r="V5175" t="s">
        <v>71</v>
      </c>
      <c r="W5175" t="str">
        <f>"          900017080D"</f>
        <v xml:space="preserve">          900017080D</v>
      </c>
      <c r="X5175">
        <v>86.8</v>
      </c>
      <c r="Y5175">
        <v>0</v>
      </c>
      <c r="Z5175"/>
      <c r="AB5175"/>
      <c r="AC5175">
        <v>71.150000000000006</v>
      </c>
      <c r="AD5175">
        <v>-21</v>
      </c>
      <c r="AE5175" s="1">
        <v>-1494.15</v>
      </c>
      <c r="AF5175">
        <v>0</v>
      </c>
      <c r="AJ5175">
        <v>0</v>
      </c>
      <c r="AK5175">
        <v>0</v>
      </c>
      <c r="AL5175">
        <v>0</v>
      </c>
      <c r="AM5175">
        <v>0</v>
      </c>
      <c r="AN5175">
        <v>0</v>
      </c>
      <c r="AO5175">
        <v>0</v>
      </c>
      <c r="AP5175" s="2">
        <v>42746</v>
      </c>
      <c r="AQ5175" t="s">
        <v>72</v>
      </c>
      <c r="AR5175" t="s">
        <v>72</v>
      </c>
      <c r="AS5175">
        <v>202</v>
      </c>
      <c r="AT5175" s="4">
        <v>42402</v>
      </c>
      <c r="AV5175">
        <v>202</v>
      </c>
      <c r="AW5175" s="4">
        <v>42402</v>
      </c>
      <c r="BD5175">
        <v>0</v>
      </c>
      <c r="BN5175" t="s">
        <v>74</v>
      </c>
    </row>
    <row r="5176" spans="1:66" hidden="1">
      <c r="A5176">
        <v>101935</v>
      </c>
      <c r="B5176" s="3" t="s">
        <v>540</v>
      </c>
      <c r="C5176" s="1">
        <v>43300101</v>
      </c>
      <c r="D5176" t="s">
        <v>67</v>
      </c>
      <c r="H5176" t="str">
        <f t="shared" si="550"/>
        <v>07516911000</v>
      </c>
      <c r="I5176" t="str">
        <f t="shared" si="550"/>
        <v>07516911000</v>
      </c>
      <c r="K5176" t="str">
        <f>""</f>
        <v/>
      </c>
      <c r="M5176" t="s">
        <v>68</v>
      </c>
      <c r="N5176" t="str">
        <f t="shared" si="547"/>
        <v>FOR</v>
      </c>
      <c r="O5176" t="s">
        <v>69</v>
      </c>
      <c r="P5176" s="3" t="s">
        <v>75</v>
      </c>
      <c r="Q5176">
        <v>2016</v>
      </c>
      <c r="R5176" s="2">
        <v>42392</v>
      </c>
      <c r="S5176" s="2">
        <v>42395</v>
      </c>
      <c r="T5176" s="2">
        <v>42395</v>
      </c>
      <c r="U5176" s="2">
        <v>42455</v>
      </c>
      <c r="V5176" t="s">
        <v>71</v>
      </c>
      <c r="W5176" t="str">
        <f>"          900000556D"</f>
        <v xml:space="preserve">          900000556D</v>
      </c>
      <c r="X5176">
        <v>59.3</v>
      </c>
      <c r="Y5176">
        <v>0</v>
      </c>
      <c r="Z5176"/>
      <c r="AB5176"/>
      <c r="AC5176">
        <v>48.61</v>
      </c>
      <c r="AD5176">
        <v>-53</v>
      </c>
      <c r="AE5176" s="1">
        <v>-2576.33</v>
      </c>
      <c r="AF5176">
        <v>0</v>
      </c>
      <c r="AJ5176">
        <v>0</v>
      </c>
      <c r="AK5176">
        <v>0</v>
      </c>
      <c r="AL5176">
        <v>0</v>
      </c>
      <c r="AM5176">
        <v>0</v>
      </c>
      <c r="AN5176">
        <v>59.3</v>
      </c>
      <c r="AO5176">
        <v>59.3</v>
      </c>
      <c r="AP5176" s="2">
        <v>42746</v>
      </c>
      <c r="AQ5176" t="s">
        <v>72</v>
      </c>
      <c r="AR5176" t="s">
        <v>72</v>
      </c>
      <c r="AS5176">
        <v>202</v>
      </c>
      <c r="AT5176" s="4">
        <v>42402</v>
      </c>
      <c r="AV5176">
        <v>202</v>
      </c>
      <c r="AW5176" s="4">
        <v>42402</v>
      </c>
      <c r="BD5176">
        <v>0</v>
      </c>
      <c r="BN5176" t="s">
        <v>74</v>
      </c>
    </row>
    <row r="5177" spans="1:66" hidden="1">
      <c r="A5177">
        <v>101935</v>
      </c>
      <c r="B5177" s="3" t="s">
        <v>540</v>
      </c>
      <c r="C5177" s="1">
        <v>43300101</v>
      </c>
      <c r="D5177" t="s">
        <v>67</v>
      </c>
      <c r="H5177" t="str">
        <f t="shared" si="550"/>
        <v>07516911000</v>
      </c>
      <c r="I5177" t="str">
        <f t="shared" si="550"/>
        <v>07516911000</v>
      </c>
      <c r="K5177" t="str">
        <f>""</f>
        <v/>
      </c>
      <c r="M5177" t="s">
        <v>68</v>
      </c>
      <c r="N5177" t="str">
        <f t="shared" si="547"/>
        <v>FOR</v>
      </c>
      <c r="O5177" t="s">
        <v>69</v>
      </c>
      <c r="P5177" s="3" t="s">
        <v>75</v>
      </c>
      <c r="Q5177">
        <v>2016</v>
      </c>
      <c r="R5177" s="2">
        <v>42423</v>
      </c>
      <c r="S5177" s="2">
        <v>42426</v>
      </c>
      <c r="T5177" s="2">
        <v>42425</v>
      </c>
      <c r="U5177" s="2">
        <v>42485</v>
      </c>
      <c r="V5177" t="s">
        <v>71</v>
      </c>
      <c r="W5177" t="str">
        <f>"          900002861D"</f>
        <v xml:space="preserve">          900002861D</v>
      </c>
      <c r="X5177">
        <v>95</v>
      </c>
      <c r="Y5177">
        <v>0</v>
      </c>
      <c r="Z5177"/>
      <c r="AB5177"/>
      <c r="AC5177">
        <v>77.87</v>
      </c>
      <c r="AD5177">
        <v>-33</v>
      </c>
      <c r="AE5177" s="1">
        <v>-2569.71</v>
      </c>
      <c r="AF5177">
        <v>0</v>
      </c>
      <c r="AJ5177">
        <v>0</v>
      </c>
      <c r="AK5177">
        <v>0</v>
      </c>
      <c r="AL5177">
        <v>0</v>
      </c>
      <c r="AM5177">
        <v>95</v>
      </c>
      <c r="AN5177">
        <v>95</v>
      </c>
      <c r="AO5177">
        <v>95</v>
      </c>
      <c r="AP5177" s="2">
        <v>42746</v>
      </c>
      <c r="AQ5177" t="s">
        <v>72</v>
      </c>
      <c r="AR5177" t="s">
        <v>72</v>
      </c>
      <c r="AS5177">
        <v>756</v>
      </c>
      <c r="AT5177" s="4">
        <v>42452</v>
      </c>
      <c r="AV5177">
        <v>756</v>
      </c>
      <c r="AW5177" s="4">
        <v>42452</v>
      </c>
      <c r="BD5177">
        <v>0</v>
      </c>
      <c r="BN5177" t="s">
        <v>74</v>
      </c>
    </row>
    <row r="5178" spans="1:66" hidden="1">
      <c r="A5178">
        <v>101935</v>
      </c>
      <c r="B5178" s="3" t="s">
        <v>540</v>
      </c>
      <c r="C5178" s="1">
        <v>43300101</v>
      </c>
      <c r="D5178" t="s">
        <v>67</v>
      </c>
      <c r="H5178" t="str">
        <f t="shared" si="550"/>
        <v>07516911000</v>
      </c>
      <c r="I5178" t="str">
        <f t="shared" si="550"/>
        <v>07516911000</v>
      </c>
      <c r="K5178" t="str">
        <f>""</f>
        <v/>
      </c>
      <c r="M5178" t="s">
        <v>68</v>
      </c>
      <c r="N5178" t="str">
        <f t="shared" si="547"/>
        <v>FOR</v>
      </c>
      <c r="O5178" t="s">
        <v>69</v>
      </c>
      <c r="P5178" s="3" t="s">
        <v>75</v>
      </c>
      <c r="Q5178">
        <v>2016</v>
      </c>
      <c r="R5178" s="2">
        <v>42452</v>
      </c>
      <c r="S5178" s="2">
        <v>42461</v>
      </c>
      <c r="T5178" s="2">
        <v>42454</v>
      </c>
      <c r="U5178" s="2">
        <v>42514</v>
      </c>
      <c r="V5178" t="s">
        <v>71</v>
      </c>
      <c r="W5178" t="str">
        <f>"          900005230D"</f>
        <v xml:space="preserve">          900005230D</v>
      </c>
      <c r="X5178">
        <v>51.8</v>
      </c>
      <c r="Y5178">
        <v>0</v>
      </c>
      <c r="Z5178"/>
      <c r="AB5178"/>
      <c r="AC5178">
        <v>42.46</v>
      </c>
      <c r="AD5178">
        <v>-22</v>
      </c>
      <c r="AE5178">
        <v>-934.12</v>
      </c>
      <c r="AF5178">
        <v>0</v>
      </c>
      <c r="AJ5178">
        <v>0</v>
      </c>
      <c r="AK5178">
        <v>0</v>
      </c>
      <c r="AL5178">
        <v>0</v>
      </c>
      <c r="AM5178">
        <v>51.8</v>
      </c>
      <c r="AN5178">
        <v>51.8</v>
      </c>
      <c r="AO5178">
        <v>51.8</v>
      </c>
      <c r="AP5178" s="2">
        <v>42746</v>
      </c>
      <c r="AQ5178" t="s">
        <v>72</v>
      </c>
      <c r="AR5178" t="s">
        <v>72</v>
      </c>
      <c r="AS5178">
        <v>1250</v>
      </c>
      <c r="AT5178" s="4">
        <v>42492</v>
      </c>
      <c r="AV5178">
        <v>1250</v>
      </c>
      <c r="AW5178" s="4">
        <v>42492</v>
      </c>
      <c r="BD5178">
        <v>0</v>
      </c>
      <c r="BN5178" t="s">
        <v>74</v>
      </c>
    </row>
    <row r="5179" spans="1:66" hidden="1">
      <c r="A5179">
        <v>101935</v>
      </c>
      <c r="B5179" s="3" t="s">
        <v>540</v>
      </c>
      <c r="C5179" s="1">
        <v>43300101</v>
      </c>
      <c r="D5179" t="s">
        <v>67</v>
      </c>
      <c r="H5179" t="str">
        <f t="shared" si="550"/>
        <v>07516911000</v>
      </c>
      <c r="I5179" t="str">
        <f t="shared" si="550"/>
        <v>07516911000</v>
      </c>
      <c r="K5179" t="str">
        <f>""</f>
        <v/>
      </c>
      <c r="M5179" t="s">
        <v>68</v>
      </c>
      <c r="N5179" t="str">
        <f t="shared" si="547"/>
        <v>FOR</v>
      </c>
      <c r="O5179" t="s">
        <v>69</v>
      </c>
      <c r="P5179" s="3" t="s">
        <v>75</v>
      </c>
      <c r="Q5179">
        <v>2016</v>
      </c>
      <c r="R5179" s="2">
        <v>42483</v>
      </c>
      <c r="S5179" s="2">
        <v>42487</v>
      </c>
      <c r="T5179" s="2">
        <v>42487</v>
      </c>
      <c r="U5179" s="2">
        <v>42547</v>
      </c>
      <c r="V5179" t="s">
        <v>71</v>
      </c>
      <c r="W5179" t="str">
        <f>"          900007629D"</f>
        <v xml:space="preserve">          900007629D</v>
      </c>
      <c r="X5179">
        <v>76.349999999999994</v>
      </c>
      <c r="Y5179">
        <v>0</v>
      </c>
      <c r="Z5179"/>
      <c r="AB5179"/>
      <c r="AC5179">
        <v>62.58</v>
      </c>
      <c r="AD5179">
        <v>-55</v>
      </c>
      <c r="AE5179" s="1">
        <v>-3441.9</v>
      </c>
      <c r="AF5179">
        <v>0</v>
      </c>
      <c r="AJ5179">
        <v>0</v>
      </c>
      <c r="AK5179">
        <v>0</v>
      </c>
      <c r="AL5179">
        <v>0</v>
      </c>
      <c r="AM5179">
        <v>76.349999999999994</v>
      </c>
      <c r="AN5179">
        <v>76.349999999999994</v>
      </c>
      <c r="AO5179">
        <v>76.349999999999994</v>
      </c>
      <c r="AP5179" s="2">
        <v>42746</v>
      </c>
      <c r="AQ5179" t="s">
        <v>72</v>
      </c>
      <c r="AR5179" t="s">
        <v>72</v>
      </c>
      <c r="AS5179">
        <v>1250</v>
      </c>
      <c r="AT5179" s="4">
        <v>42492</v>
      </c>
      <c r="AV5179">
        <v>1250</v>
      </c>
      <c r="AW5179" s="4">
        <v>42492</v>
      </c>
      <c r="BD5179">
        <v>0</v>
      </c>
      <c r="BN5179" t="s">
        <v>74</v>
      </c>
    </row>
    <row r="5180" spans="1:66" hidden="1">
      <c r="A5180">
        <v>101935</v>
      </c>
      <c r="B5180" s="3" t="s">
        <v>540</v>
      </c>
      <c r="C5180" s="1">
        <v>43300101</v>
      </c>
      <c r="D5180" t="s">
        <v>67</v>
      </c>
      <c r="H5180" t="str">
        <f t="shared" si="550"/>
        <v>07516911000</v>
      </c>
      <c r="I5180" t="str">
        <f t="shared" si="550"/>
        <v>07516911000</v>
      </c>
      <c r="K5180" t="str">
        <f>""</f>
        <v/>
      </c>
      <c r="M5180" t="s">
        <v>68</v>
      </c>
      <c r="N5180" t="str">
        <f t="shared" si="547"/>
        <v>FOR</v>
      </c>
      <c r="O5180" t="s">
        <v>69</v>
      </c>
      <c r="P5180" s="3" t="s">
        <v>75</v>
      </c>
      <c r="Q5180">
        <v>2016</v>
      </c>
      <c r="R5180" s="2">
        <v>42513</v>
      </c>
      <c r="S5180" s="2">
        <v>42513</v>
      </c>
      <c r="T5180" s="2">
        <v>42513</v>
      </c>
      <c r="U5180" s="2">
        <v>42573</v>
      </c>
      <c r="V5180" t="s">
        <v>71</v>
      </c>
      <c r="W5180" t="str">
        <f>"          900010019D"</f>
        <v xml:space="preserve">          900010019D</v>
      </c>
      <c r="X5180">
        <v>120.05</v>
      </c>
      <c r="Y5180">
        <v>0</v>
      </c>
      <c r="Z5180"/>
      <c r="AB5180"/>
      <c r="AC5180">
        <v>98.4</v>
      </c>
      <c r="AD5180">
        <v>-53</v>
      </c>
      <c r="AE5180" s="1">
        <v>-5215.2</v>
      </c>
      <c r="AF5180">
        <v>0</v>
      </c>
      <c r="AJ5180">
        <v>0</v>
      </c>
      <c r="AK5180">
        <v>0</v>
      </c>
      <c r="AL5180">
        <v>0</v>
      </c>
      <c r="AM5180">
        <v>120.05</v>
      </c>
      <c r="AN5180">
        <v>120.05</v>
      </c>
      <c r="AO5180">
        <v>120.05</v>
      </c>
      <c r="AP5180" s="2">
        <v>42746</v>
      </c>
      <c r="AQ5180" t="s">
        <v>72</v>
      </c>
      <c r="AR5180" t="s">
        <v>72</v>
      </c>
      <c r="AS5180">
        <v>1434</v>
      </c>
      <c r="AT5180" s="4">
        <v>42520</v>
      </c>
      <c r="AV5180">
        <v>1434</v>
      </c>
      <c r="AW5180" s="4">
        <v>42520</v>
      </c>
      <c r="BD5180">
        <v>0</v>
      </c>
      <c r="BN5180" t="s">
        <v>74</v>
      </c>
    </row>
    <row r="5181" spans="1:66" hidden="1">
      <c r="A5181">
        <v>101935</v>
      </c>
      <c r="B5181" s="3" t="s">
        <v>540</v>
      </c>
      <c r="C5181" s="1">
        <v>43300101</v>
      </c>
      <c r="D5181" t="s">
        <v>67</v>
      </c>
      <c r="H5181" t="str">
        <f t="shared" si="550"/>
        <v>07516911000</v>
      </c>
      <c r="I5181" t="str">
        <f t="shared" si="550"/>
        <v>07516911000</v>
      </c>
      <c r="K5181" t="str">
        <f>""</f>
        <v/>
      </c>
      <c r="M5181" t="s">
        <v>68</v>
      </c>
      <c r="N5181" t="str">
        <f t="shared" si="547"/>
        <v>FOR</v>
      </c>
      <c r="O5181" t="s">
        <v>69</v>
      </c>
      <c r="P5181" s="3" t="s">
        <v>75</v>
      </c>
      <c r="Q5181">
        <v>2016</v>
      </c>
      <c r="R5181" s="2">
        <v>42544</v>
      </c>
      <c r="S5181" s="2">
        <v>42557</v>
      </c>
      <c r="T5181" s="2">
        <v>42549</v>
      </c>
      <c r="U5181" s="2">
        <v>42609</v>
      </c>
      <c r="V5181" t="s">
        <v>71</v>
      </c>
      <c r="W5181" t="str">
        <f>"          900013034D"</f>
        <v xml:space="preserve">          900013034D</v>
      </c>
      <c r="X5181">
        <v>31.2</v>
      </c>
      <c r="Y5181">
        <v>0</v>
      </c>
      <c r="Z5181"/>
      <c r="AB5181"/>
      <c r="AC5181">
        <v>25.57</v>
      </c>
      <c r="AD5181">
        <v>-43</v>
      </c>
      <c r="AE5181" s="1">
        <v>-1099.51</v>
      </c>
      <c r="AF5181">
        <v>0</v>
      </c>
      <c r="AJ5181">
        <v>0</v>
      </c>
      <c r="AK5181">
        <v>0</v>
      </c>
      <c r="AL5181">
        <v>0</v>
      </c>
      <c r="AM5181">
        <v>31.2</v>
      </c>
      <c r="AN5181">
        <v>31.2</v>
      </c>
      <c r="AO5181">
        <v>31.2</v>
      </c>
      <c r="AP5181" s="2">
        <v>42746</v>
      </c>
      <c r="AQ5181" t="s">
        <v>72</v>
      </c>
      <c r="AR5181" t="s">
        <v>72</v>
      </c>
      <c r="AS5181">
        <v>1811</v>
      </c>
      <c r="AT5181" s="4">
        <v>42566</v>
      </c>
      <c r="AV5181">
        <v>1811</v>
      </c>
      <c r="AW5181" s="4">
        <v>42566</v>
      </c>
      <c r="BD5181">
        <v>0</v>
      </c>
      <c r="BN5181" t="s">
        <v>74</v>
      </c>
    </row>
    <row r="5182" spans="1:66" hidden="1">
      <c r="A5182">
        <v>101935</v>
      </c>
      <c r="B5182" s="3" t="s">
        <v>540</v>
      </c>
      <c r="C5182" s="1">
        <v>43300101</v>
      </c>
      <c r="D5182" t="s">
        <v>67</v>
      </c>
      <c r="H5182" t="str">
        <f t="shared" si="550"/>
        <v>07516911000</v>
      </c>
      <c r="I5182" t="str">
        <f t="shared" si="550"/>
        <v>07516911000</v>
      </c>
      <c r="K5182" t="str">
        <f>""</f>
        <v/>
      </c>
      <c r="M5182" t="s">
        <v>68</v>
      </c>
      <c r="N5182" t="str">
        <f t="shared" si="547"/>
        <v>FOR</v>
      </c>
      <c r="O5182" t="s">
        <v>69</v>
      </c>
      <c r="P5182" s="3" t="s">
        <v>75</v>
      </c>
      <c r="Q5182">
        <v>2016</v>
      </c>
      <c r="R5182" s="2">
        <v>42574</v>
      </c>
      <c r="S5182" s="2">
        <v>42578</v>
      </c>
      <c r="T5182" s="2">
        <v>42577</v>
      </c>
      <c r="U5182" s="2">
        <v>42637</v>
      </c>
      <c r="V5182" t="s">
        <v>71</v>
      </c>
      <c r="W5182" t="str">
        <f>"          900015569D"</f>
        <v xml:space="preserve">          900015569D</v>
      </c>
      <c r="X5182">
        <v>76.05</v>
      </c>
      <c r="Y5182">
        <v>0</v>
      </c>
      <c r="Z5182"/>
      <c r="AB5182"/>
      <c r="AC5182">
        <v>62.34</v>
      </c>
      <c r="AD5182">
        <v>-59</v>
      </c>
      <c r="AE5182" s="1">
        <v>-3678.06</v>
      </c>
      <c r="AF5182">
        <v>0</v>
      </c>
      <c r="AJ5182">
        <v>0</v>
      </c>
      <c r="AK5182">
        <v>0</v>
      </c>
      <c r="AL5182">
        <v>0</v>
      </c>
      <c r="AM5182">
        <v>76.05</v>
      </c>
      <c r="AN5182">
        <v>76.05</v>
      </c>
      <c r="AO5182">
        <v>76.05</v>
      </c>
      <c r="AP5182" s="2">
        <v>42746</v>
      </c>
      <c r="AQ5182" t="s">
        <v>72</v>
      </c>
      <c r="AR5182" t="s">
        <v>72</v>
      </c>
      <c r="AS5182">
        <v>1990</v>
      </c>
      <c r="AT5182" s="4">
        <v>42578</v>
      </c>
      <c r="AV5182">
        <v>1990</v>
      </c>
      <c r="AW5182" s="4">
        <v>42578</v>
      </c>
      <c r="BD5182">
        <v>0</v>
      </c>
      <c r="BN5182" t="s">
        <v>74</v>
      </c>
    </row>
    <row r="5183" spans="1:66" hidden="1">
      <c r="A5183">
        <v>101935</v>
      </c>
      <c r="B5183" s="3" t="s">
        <v>540</v>
      </c>
      <c r="C5183" s="1">
        <v>43300101</v>
      </c>
      <c r="D5183" t="s">
        <v>67</v>
      </c>
      <c r="H5183" t="str">
        <f t="shared" si="550"/>
        <v>07516911000</v>
      </c>
      <c r="I5183" t="str">
        <f t="shared" si="550"/>
        <v>07516911000</v>
      </c>
      <c r="K5183" t="str">
        <f>""</f>
        <v/>
      </c>
      <c r="M5183" t="s">
        <v>68</v>
      </c>
      <c r="N5183" t="str">
        <f t="shared" si="547"/>
        <v>FOR</v>
      </c>
      <c r="O5183" t="s">
        <v>69</v>
      </c>
      <c r="P5183" s="3" t="s">
        <v>75</v>
      </c>
      <c r="Q5183">
        <v>2016</v>
      </c>
      <c r="R5183" s="2">
        <v>42605</v>
      </c>
      <c r="S5183" s="2">
        <v>42618</v>
      </c>
      <c r="T5183" s="2">
        <v>42616</v>
      </c>
      <c r="U5183" s="2">
        <v>42676</v>
      </c>
      <c r="V5183" t="s">
        <v>71</v>
      </c>
      <c r="W5183" t="str">
        <f>"          900017891D"</f>
        <v xml:space="preserve">          900017891D</v>
      </c>
      <c r="X5183">
        <v>55.9</v>
      </c>
      <c r="Y5183">
        <v>0</v>
      </c>
      <c r="Z5183"/>
      <c r="AB5183"/>
      <c r="AC5183">
        <v>45.82</v>
      </c>
      <c r="AD5183">
        <v>-57</v>
      </c>
      <c r="AE5183" s="1">
        <v>-2611.7399999999998</v>
      </c>
      <c r="AF5183">
        <v>0</v>
      </c>
      <c r="AJ5183">
        <v>0</v>
      </c>
      <c r="AK5183">
        <v>0</v>
      </c>
      <c r="AL5183">
        <v>0</v>
      </c>
      <c r="AM5183">
        <v>55.9</v>
      </c>
      <c r="AN5183">
        <v>55.9</v>
      </c>
      <c r="AO5183">
        <v>55.9</v>
      </c>
      <c r="AP5183" s="2">
        <v>42746</v>
      </c>
      <c r="AQ5183" t="s">
        <v>72</v>
      </c>
      <c r="AR5183" t="s">
        <v>72</v>
      </c>
      <c r="AS5183">
        <v>2262</v>
      </c>
      <c r="AT5183" s="4">
        <v>42619</v>
      </c>
      <c r="AV5183">
        <v>2262</v>
      </c>
      <c r="AW5183" s="4">
        <v>42619</v>
      </c>
      <c r="BD5183">
        <v>0</v>
      </c>
      <c r="BN5183" t="s">
        <v>74</v>
      </c>
    </row>
    <row r="5184" spans="1:66">
      <c r="A5184">
        <v>101935</v>
      </c>
      <c r="B5184" s="3" t="s">
        <v>540</v>
      </c>
      <c r="C5184" s="1">
        <v>43300101</v>
      </c>
      <c r="D5184" t="s">
        <v>67</v>
      </c>
      <c r="H5184" t="str">
        <f t="shared" si="550"/>
        <v>07516911000</v>
      </c>
      <c r="I5184" t="str">
        <f t="shared" si="550"/>
        <v>07516911000</v>
      </c>
      <c r="K5184" t="str">
        <f>""</f>
        <v/>
      </c>
      <c r="M5184" t="s">
        <v>68</v>
      </c>
      <c r="N5184" t="str">
        <f t="shared" ref="N5184:N5228" si="551">"FOR"</f>
        <v>FOR</v>
      </c>
      <c r="O5184" t="s">
        <v>69</v>
      </c>
      <c r="P5184" s="3" t="s">
        <v>75</v>
      </c>
      <c r="Q5184">
        <v>2016</v>
      </c>
      <c r="R5184" s="2">
        <v>42636</v>
      </c>
      <c r="S5184" s="2">
        <v>42639</v>
      </c>
      <c r="T5184" s="2">
        <v>42638</v>
      </c>
      <c r="U5184" s="2">
        <v>42698</v>
      </c>
      <c r="V5184" t="s">
        <v>71</v>
      </c>
      <c r="W5184" t="str">
        <f>"          900020071D"</f>
        <v xml:space="preserve">          900020071D</v>
      </c>
      <c r="X5184">
        <v>45.1</v>
      </c>
      <c r="Y5184">
        <v>0</v>
      </c>
      <c r="Z5184" s="3">
        <v>36.97</v>
      </c>
      <c r="AA5184">
        <v>-52</v>
      </c>
      <c r="AB5184" s="5">
        <v>-1922.44</v>
      </c>
      <c r="AC5184">
        <v>36.97</v>
      </c>
      <c r="AD5184">
        <v>-52</v>
      </c>
      <c r="AE5184" s="1">
        <v>-1922.44</v>
      </c>
      <c r="AF5184">
        <v>0</v>
      </c>
      <c r="AJ5184">
        <v>0</v>
      </c>
      <c r="AK5184">
        <v>0</v>
      </c>
      <c r="AL5184">
        <v>0</v>
      </c>
      <c r="AM5184">
        <v>45.1</v>
      </c>
      <c r="AN5184">
        <v>45.1</v>
      </c>
      <c r="AO5184">
        <v>45.1</v>
      </c>
      <c r="AP5184" s="2">
        <v>42746</v>
      </c>
      <c r="AQ5184" t="s">
        <v>72</v>
      </c>
      <c r="AR5184" t="s">
        <v>72</v>
      </c>
      <c r="AS5184">
        <v>2503</v>
      </c>
      <c r="AT5184" s="4">
        <v>42646</v>
      </c>
      <c r="AV5184">
        <v>2503</v>
      </c>
      <c r="AW5184" s="4">
        <v>42646</v>
      </c>
      <c r="BD5184">
        <v>0</v>
      </c>
      <c r="BN5184" t="s">
        <v>74</v>
      </c>
    </row>
    <row r="5185" spans="1:66">
      <c r="A5185">
        <v>101935</v>
      </c>
      <c r="B5185" s="3" t="s">
        <v>540</v>
      </c>
      <c r="C5185" s="1">
        <v>43300101</v>
      </c>
      <c r="D5185" t="s">
        <v>67</v>
      </c>
      <c r="H5185" t="str">
        <f t="shared" si="550"/>
        <v>07516911000</v>
      </c>
      <c r="I5185" t="str">
        <f t="shared" si="550"/>
        <v>07516911000</v>
      </c>
      <c r="K5185" t="str">
        <f>""</f>
        <v/>
      </c>
      <c r="M5185" t="s">
        <v>68</v>
      </c>
      <c r="N5185" t="str">
        <f t="shared" si="551"/>
        <v>FOR</v>
      </c>
      <c r="O5185" t="s">
        <v>69</v>
      </c>
      <c r="P5185" s="3" t="s">
        <v>75</v>
      </c>
      <c r="Q5185">
        <v>2016</v>
      </c>
      <c r="R5185" s="2">
        <v>42666</v>
      </c>
      <c r="S5185" s="2">
        <v>42670</v>
      </c>
      <c r="T5185" s="2">
        <v>42669</v>
      </c>
      <c r="U5185" s="2">
        <v>42729</v>
      </c>
      <c r="V5185" t="s">
        <v>71</v>
      </c>
      <c r="W5185" t="str">
        <f>"          900022361D"</f>
        <v xml:space="preserve">          900022361D</v>
      </c>
      <c r="X5185">
        <v>51.5</v>
      </c>
      <c r="Y5185">
        <v>0</v>
      </c>
      <c r="Z5185" s="3">
        <v>42.21</v>
      </c>
      <c r="AA5185">
        <v>-51</v>
      </c>
      <c r="AB5185" s="5">
        <v>-2152.71</v>
      </c>
      <c r="AC5185">
        <v>42.21</v>
      </c>
      <c r="AD5185">
        <v>-51</v>
      </c>
      <c r="AE5185" s="1">
        <v>-2152.71</v>
      </c>
      <c r="AF5185">
        <v>0</v>
      </c>
      <c r="AJ5185">
        <v>51.5</v>
      </c>
      <c r="AK5185">
        <v>51.5</v>
      </c>
      <c r="AL5185">
        <v>51.5</v>
      </c>
      <c r="AM5185">
        <v>51.5</v>
      </c>
      <c r="AN5185">
        <v>51.5</v>
      </c>
      <c r="AO5185">
        <v>51.5</v>
      </c>
      <c r="AP5185" s="2">
        <v>42746</v>
      </c>
      <c r="AQ5185" t="s">
        <v>72</v>
      </c>
      <c r="AR5185" t="s">
        <v>72</v>
      </c>
      <c r="AS5185">
        <v>2932</v>
      </c>
      <c r="AT5185" s="4">
        <v>42678</v>
      </c>
      <c r="AV5185">
        <v>2932</v>
      </c>
      <c r="AW5185" s="4">
        <v>42678</v>
      </c>
      <c r="BD5185">
        <v>0</v>
      </c>
      <c r="BN5185" t="s">
        <v>74</v>
      </c>
    </row>
    <row r="5186" spans="1:66">
      <c r="A5186">
        <v>101935</v>
      </c>
      <c r="B5186" s="3" t="s">
        <v>540</v>
      </c>
      <c r="C5186" s="1">
        <v>43300101</v>
      </c>
      <c r="D5186" t="s">
        <v>67</v>
      </c>
      <c r="H5186" t="str">
        <f t="shared" si="550"/>
        <v>07516911000</v>
      </c>
      <c r="I5186" t="str">
        <f t="shared" si="550"/>
        <v>07516911000</v>
      </c>
      <c r="K5186" t="str">
        <f>""</f>
        <v/>
      </c>
      <c r="M5186" t="s">
        <v>68</v>
      </c>
      <c r="N5186" t="str">
        <f t="shared" si="551"/>
        <v>FOR</v>
      </c>
      <c r="O5186" t="s">
        <v>69</v>
      </c>
      <c r="P5186" s="3" t="s">
        <v>75</v>
      </c>
      <c r="Q5186">
        <v>2016</v>
      </c>
      <c r="R5186" s="2">
        <v>42697</v>
      </c>
      <c r="S5186" s="2">
        <v>42702</v>
      </c>
      <c r="T5186" s="2">
        <v>42698</v>
      </c>
      <c r="U5186" s="2">
        <v>42758</v>
      </c>
      <c r="V5186" t="s">
        <v>71</v>
      </c>
      <c r="W5186" t="str">
        <f>"          900024727D"</f>
        <v xml:space="preserve">          900024727D</v>
      </c>
      <c r="X5186">
        <v>45.1</v>
      </c>
      <c r="Y5186">
        <v>0</v>
      </c>
      <c r="Z5186" s="3">
        <v>36.97</v>
      </c>
      <c r="AA5186">
        <v>-49</v>
      </c>
      <c r="AB5186" s="5">
        <v>-1811.53</v>
      </c>
      <c r="AC5186">
        <v>36.97</v>
      </c>
      <c r="AD5186">
        <v>-49</v>
      </c>
      <c r="AE5186" s="1">
        <v>-1811.53</v>
      </c>
      <c r="AF5186">
        <v>8.1300000000000008</v>
      </c>
      <c r="AJ5186">
        <v>45.1</v>
      </c>
      <c r="AK5186">
        <v>45.1</v>
      </c>
      <c r="AL5186">
        <v>45.1</v>
      </c>
      <c r="AM5186">
        <v>45.1</v>
      </c>
      <c r="AN5186">
        <v>45.1</v>
      </c>
      <c r="AO5186">
        <v>45.1</v>
      </c>
      <c r="AP5186" s="2">
        <v>42746</v>
      </c>
      <c r="AQ5186" t="s">
        <v>72</v>
      </c>
      <c r="AR5186" t="s">
        <v>72</v>
      </c>
      <c r="AS5186">
        <v>3326</v>
      </c>
      <c r="AT5186" s="4">
        <v>42709</v>
      </c>
      <c r="AV5186">
        <v>3326</v>
      </c>
      <c r="AW5186" s="4">
        <v>42709</v>
      </c>
      <c r="BD5186">
        <v>0</v>
      </c>
      <c r="BF5186">
        <v>8.1300000000000008</v>
      </c>
      <c r="BN5186" t="s">
        <v>74</v>
      </c>
    </row>
    <row r="5187" spans="1:66" hidden="1">
      <c r="A5187">
        <v>102084</v>
      </c>
      <c r="B5187" s="3" t="s">
        <v>541</v>
      </c>
      <c r="C5187" s="1">
        <v>43300101</v>
      </c>
      <c r="D5187" t="s">
        <v>67</v>
      </c>
      <c r="H5187" t="str">
        <f t="shared" ref="H5187:I5189" si="552">"01897730659"</f>
        <v>01897730659</v>
      </c>
      <c r="I5187" t="str">
        <f t="shared" si="552"/>
        <v>01897730659</v>
      </c>
      <c r="K5187" t="str">
        <f>""</f>
        <v/>
      </c>
      <c r="M5187" t="s">
        <v>68</v>
      </c>
      <c r="N5187" t="str">
        <f t="shared" si="551"/>
        <v>FOR</v>
      </c>
      <c r="O5187" t="s">
        <v>69</v>
      </c>
      <c r="P5187" s="3" t="s">
        <v>75</v>
      </c>
      <c r="Q5187">
        <v>2015</v>
      </c>
      <c r="R5187" s="2">
        <v>42124</v>
      </c>
      <c r="S5187" s="2">
        <v>42165</v>
      </c>
      <c r="T5187" s="2">
        <v>42139</v>
      </c>
      <c r="U5187" s="2">
        <v>42199</v>
      </c>
      <c r="V5187" t="s">
        <v>71</v>
      </c>
      <c r="W5187" t="str">
        <f>"        2015   143/b"</f>
        <v xml:space="preserve">        2015   143/b</v>
      </c>
      <c r="X5187" s="1">
        <v>4593.67</v>
      </c>
      <c r="Y5187">
        <v>0</v>
      </c>
      <c r="Z5187"/>
      <c r="AB5187"/>
      <c r="AC5187" s="1">
        <v>3765.3</v>
      </c>
      <c r="AD5187">
        <v>217</v>
      </c>
      <c r="AE5187" s="1">
        <v>817070.1</v>
      </c>
      <c r="AF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 s="2">
        <v>42746</v>
      </c>
      <c r="AQ5187" t="s">
        <v>72</v>
      </c>
      <c r="AR5187" t="s">
        <v>72</v>
      </c>
      <c r="AS5187">
        <v>436</v>
      </c>
      <c r="AT5187" s="4">
        <v>42416</v>
      </c>
      <c r="AU5187" t="s">
        <v>73</v>
      </c>
      <c r="AV5187">
        <v>436</v>
      </c>
      <c r="AW5187" s="4">
        <v>42416</v>
      </c>
      <c r="BD5187">
        <v>0</v>
      </c>
      <c r="BN5187" t="s">
        <v>74</v>
      </c>
    </row>
    <row r="5188" spans="1:66" hidden="1">
      <c r="A5188">
        <v>102084</v>
      </c>
      <c r="B5188" s="3" t="s">
        <v>541</v>
      </c>
      <c r="C5188" s="1">
        <v>43300101</v>
      </c>
      <c r="D5188" t="s">
        <v>67</v>
      </c>
      <c r="H5188" t="str">
        <f t="shared" si="552"/>
        <v>01897730659</v>
      </c>
      <c r="I5188" t="str">
        <f t="shared" si="552"/>
        <v>01897730659</v>
      </c>
      <c r="K5188" t="str">
        <f>""</f>
        <v/>
      </c>
      <c r="M5188" t="s">
        <v>68</v>
      </c>
      <c r="N5188" t="str">
        <f t="shared" si="551"/>
        <v>FOR</v>
      </c>
      <c r="O5188" t="s">
        <v>69</v>
      </c>
      <c r="P5188" s="3" t="s">
        <v>75</v>
      </c>
      <c r="Q5188">
        <v>2015</v>
      </c>
      <c r="R5188" s="2">
        <v>42150</v>
      </c>
      <c r="S5188" s="2">
        <v>42164</v>
      </c>
      <c r="T5188" s="2">
        <v>42159</v>
      </c>
      <c r="U5188" s="2">
        <v>42219</v>
      </c>
      <c r="V5188" t="s">
        <v>71</v>
      </c>
      <c r="W5188" t="str">
        <f>"        2015   173/b"</f>
        <v xml:space="preserve">        2015   173/b</v>
      </c>
      <c r="X5188" s="1">
        <v>1908.67</v>
      </c>
      <c r="Y5188">
        <v>0</v>
      </c>
      <c r="Z5188"/>
      <c r="AB5188"/>
      <c r="AC5188" s="1">
        <v>1564.48</v>
      </c>
      <c r="AD5188">
        <v>212</v>
      </c>
      <c r="AE5188" s="1">
        <v>331669.76000000001</v>
      </c>
      <c r="AF5188">
        <v>0</v>
      </c>
      <c r="AJ5188">
        <v>0</v>
      </c>
      <c r="AK5188">
        <v>0</v>
      </c>
      <c r="AL5188">
        <v>0</v>
      </c>
      <c r="AM5188">
        <v>0</v>
      </c>
      <c r="AN5188">
        <v>0</v>
      </c>
      <c r="AO5188">
        <v>0</v>
      </c>
      <c r="AP5188" s="2">
        <v>42746</v>
      </c>
      <c r="AQ5188" t="s">
        <v>72</v>
      </c>
      <c r="AR5188" t="s">
        <v>72</v>
      </c>
      <c r="AS5188">
        <v>636</v>
      </c>
      <c r="AT5188" s="4">
        <v>42431</v>
      </c>
      <c r="AU5188" t="s">
        <v>73</v>
      </c>
      <c r="AV5188">
        <v>636</v>
      </c>
      <c r="AW5188" s="4">
        <v>42431</v>
      </c>
      <c r="BD5188">
        <v>0</v>
      </c>
      <c r="BN5188" t="s">
        <v>74</v>
      </c>
    </row>
    <row r="5189" spans="1:66" hidden="1">
      <c r="A5189">
        <v>102084</v>
      </c>
      <c r="B5189" s="3" t="s">
        <v>541</v>
      </c>
      <c r="C5189" s="1">
        <v>43300101</v>
      </c>
      <c r="D5189" t="s">
        <v>67</v>
      </c>
      <c r="H5189" t="str">
        <f t="shared" si="552"/>
        <v>01897730659</v>
      </c>
      <c r="I5189" t="str">
        <f t="shared" si="552"/>
        <v>01897730659</v>
      </c>
      <c r="K5189" t="str">
        <f>""</f>
        <v/>
      </c>
      <c r="M5189" t="s">
        <v>68</v>
      </c>
      <c r="N5189" t="str">
        <f t="shared" si="551"/>
        <v>FOR</v>
      </c>
      <c r="O5189" t="s">
        <v>69</v>
      </c>
      <c r="P5189" s="3" t="s">
        <v>75</v>
      </c>
      <c r="Q5189">
        <v>2015</v>
      </c>
      <c r="R5189" s="2">
        <v>42221</v>
      </c>
      <c r="S5189" s="2">
        <v>42228</v>
      </c>
      <c r="T5189" s="2">
        <v>42223</v>
      </c>
      <c r="U5189" s="2">
        <v>42283</v>
      </c>
      <c r="V5189" t="s">
        <v>71</v>
      </c>
      <c r="W5189" t="str">
        <f>"        2015   253/b"</f>
        <v xml:space="preserve">        2015   253/b</v>
      </c>
      <c r="X5189">
        <v>607.55999999999995</v>
      </c>
      <c r="Y5189">
        <v>0</v>
      </c>
      <c r="Z5189"/>
      <c r="AB5189"/>
      <c r="AC5189">
        <v>498</v>
      </c>
      <c r="AD5189">
        <v>148</v>
      </c>
      <c r="AE5189" s="1">
        <v>73704</v>
      </c>
      <c r="AF5189">
        <v>0</v>
      </c>
      <c r="AJ5189">
        <v>0</v>
      </c>
      <c r="AK5189">
        <v>0</v>
      </c>
      <c r="AL5189">
        <v>0</v>
      </c>
      <c r="AM5189">
        <v>0</v>
      </c>
      <c r="AN5189">
        <v>0</v>
      </c>
      <c r="AO5189">
        <v>0</v>
      </c>
      <c r="AP5189" s="2">
        <v>42746</v>
      </c>
      <c r="AQ5189" t="s">
        <v>72</v>
      </c>
      <c r="AR5189" t="s">
        <v>72</v>
      </c>
      <c r="AS5189">
        <v>636</v>
      </c>
      <c r="AT5189" s="4">
        <v>42431</v>
      </c>
      <c r="AU5189" t="s">
        <v>73</v>
      </c>
      <c r="AV5189">
        <v>636</v>
      </c>
      <c r="AW5189" s="4">
        <v>42431</v>
      </c>
      <c r="BD5189">
        <v>0</v>
      </c>
      <c r="BN5189" t="s">
        <v>74</v>
      </c>
    </row>
    <row r="5190" spans="1:66" hidden="1">
      <c r="A5190">
        <v>102094</v>
      </c>
      <c r="B5190" s="3" t="s">
        <v>542</v>
      </c>
      <c r="C5190" s="1">
        <v>43300101</v>
      </c>
      <c r="D5190" t="s">
        <v>67</v>
      </c>
      <c r="H5190" t="str">
        <f t="shared" ref="H5190:I5216" si="553">"00784230872"</f>
        <v>00784230872</v>
      </c>
      <c r="I5190" t="str">
        <f t="shared" si="553"/>
        <v>00784230872</v>
      </c>
      <c r="K5190" t="str">
        <f>""</f>
        <v/>
      </c>
      <c r="M5190" t="s">
        <v>68</v>
      </c>
      <c r="N5190" t="str">
        <f t="shared" si="551"/>
        <v>FOR</v>
      </c>
      <c r="O5190" t="s">
        <v>69</v>
      </c>
      <c r="P5190" s="3" t="s">
        <v>75</v>
      </c>
      <c r="Q5190">
        <v>2015</v>
      </c>
      <c r="R5190" s="2">
        <v>42104</v>
      </c>
      <c r="S5190" s="2">
        <v>42115</v>
      </c>
      <c r="T5190" s="2">
        <v>42110</v>
      </c>
      <c r="U5190" s="2">
        <v>42170</v>
      </c>
      <c r="V5190" t="s">
        <v>71</v>
      </c>
      <c r="W5190" t="str">
        <f>"                 310"</f>
        <v xml:space="preserve">                 310</v>
      </c>
      <c r="X5190">
        <v>602.67999999999995</v>
      </c>
      <c r="Y5190">
        <v>0</v>
      </c>
      <c r="Z5190"/>
      <c r="AB5190"/>
      <c r="AC5190">
        <v>494</v>
      </c>
      <c r="AD5190">
        <v>245</v>
      </c>
      <c r="AE5190" s="1">
        <v>121030</v>
      </c>
      <c r="AF5190">
        <v>0</v>
      </c>
      <c r="AJ5190">
        <v>0</v>
      </c>
      <c r="AK5190">
        <v>0</v>
      </c>
      <c r="AL5190">
        <v>0</v>
      </c>
      <c r="AM5190">
        <v>0</v>
      </c>
      <c r="AN5190">
        <v>0</v>
      </c>
      <c r="AO5190">
        <v>0</v>
      </c>
      <c r="AP5190" s="2">
        <v>42746</v>
      </c>
      <c r="AQ5190" t="s">
        <v>72</v>
      </c>
      <c r="AR5190" t="s">
        <v>72</v>
      </c>
      <c r="AS5190">
        <v>373</v>
      </c>
      <c r="AT5190" s="4">
        <v>42415</v>
      </c>
      <c r="AU5190" t="s">
        <v>73</v>
      </c>
      <c r="AV5190">
        <v>373</v>
      </c>
      <c r="AW5190" s="4">
        <v>42415</v>
      </c>
      <c r="BD5190">
        <v>0</v>
      </c>
      <c r="BN5190" t="s">
        <v>74</v>
      </c>
    </row>
    <row r="5191" spans="1:66" hidden="1">
      <c r="A5191">
        <v>102094</v>
      </c>
      <c r="B5191" s="3" t="s">
        <v>542</v>
      </c>
      <c r="C5191" s="1">
        <v>43300101</v>
      </c>
      <c r="D5191" t="s">
        <v>67</v>
      </c>
      <c r="H5191" t="str">
        <f t="shared" si="553"/>
        <v>00784230872</v>
      </c>
      <c r="I5191" t="str">
        <f t="shared" si="553"/>
        <v>00784230872</v>
      </c>
      <c r="K5191" t="str">
        <f>""</f>
        <v/>
      </c>
      <c r="M5191" t="s">
        <v>68</v>
      </c>
      <c r="N5191" t="str">
        <f t="shared" si="551"/>
        <v>FOR</v>
      </c>
      <c r="O5191" t="s">
        <v>69</v>
      </c>
      <c r="P5191" s="3" t="s">
        <v>70</v>
      </c>
      <c r="Q5191">
        <v>2015</v>
      </c>
      <c r="R5191" s="2">
        <v>42045</v>
      </c>
      <c r="S5191" s="2">
        <v>42052</v>
      </c>
      <c r="T5191" s="2">
        <v>42052</v>
      </c>
      <c r="U5191" s="2">
        <v>42112</v>
      </c>
      <c r="V5191" t="s">
        <v>71</v>
      </c>
      <c r="W5191" t="str">
        <f>"                 652"</f>
        <v xml:space="preserve">                 652</v>
      </c>
      <c r="X5191">
        <v>907.68</v>
      </c>
      <c r="Y5191">
        <v>0</v>
      </c>
      <c r="Z5191"/>
      <c r="AB5191"/>
      <c r="AC5191">
        <v>744</v>
      </c>
      <c r="AD5191">
        <v>296</v>
      </c>
      <c r="AE5191" s="1">
        <v>220224</v>
      </c>
      <c r="AF5191">
        <v>0</v>
      </c>
      <c r="AJ5191">
        <v>0</v>
      </c>
      <c r="AK5191">
        <v>0</v>
      </c>
      <c r="AL5191">
        <v>0</v>
      </c>
      <c r="AM5191">
        <v>0</v>
      </c>
      <c r="AN5191">
        <v>0</v>
      </c>
      <c r="AO5191">
        <v>0</v>
      </c>
      <c r="AP5191" s="2">
        <v>42746</v>
      </c>
      <c r="AQ5191" t="s">
        <v>72</v>
      </c>
      <c r="AR5191" t="s">
        <v>72</v>
      </c>
      <c r="AS5191">
        <v>303</v>
      </c>
      <c r="AT5191" s="4">
        <v>42408</v>
      </c>
      <c r="AU5191" t="s">
        <v>73</v>
      </c>
      <c r="AV5191">
        <v>303</v>
      </c>
      <c r="AW5191" s="4">
        <v>42408</v>
      </c>
      <c r="BD5191">
        <v>0</v>
      </c>
      <c r="BN5191" t="s">
        <v>74</v>
      </c>
    </row>
    <row r="5192" spans="1:66" hidden="1">
      <c r="A5192">
        <v>102094</v>
      </c>
      <c r="B5192" s="3" t="s">
        <v>542</v>
      </c>
      <c r="C5192" s="1">
        <v>43300101</v>
      </c>
      <c r="D5192" t="s">
        <v>67</v>
      </c>
      <c r="H5192" t="str">
        <f t="shared" si="553"/>
        <v>00784230872</v>
      </c>
      <c r="I5192" t="str">
        <f t="shared" si="553"/>
        <v>00784230872</v>
      </c>
      <c r="K5192" t="str">
        <f>""</f>
        <v/>
      </c>
      <c r="M5192" t="s">
        <v>68</v>
      </c>
      <c r="N5192" t="str">
        <f t="shared" si="551"/>
        <v>FOR</v>
      </c>
      <c r="O5192" t="s">
        <v>69</v>
      </c>
      <c r="P5192" s="3" t="s">
        <v>70</v>
      </c>
      <c r="Q5192">
        <v>2015</v>
      </c>
      <c r="R5192" s="2">
        <v>42073</v>
      </c>
      <c r="S5192" s="2">
        <v>42081</v>
      </c>
      <c r="T5192" s="2">
        <v>42081</v>
      </c>
      <c r="U5192" s="2">
        <v>42141</v>
      </c>
      <c r="V5192" t="s">
        <v>71</v>
      </c>
      <c r="W5192" t="str">
        <f>"                1449"</f>
        <v xml:space="preserve">                1449</v>
      </c>
      <c r="X5192">
        <v>951.6</v>
      </c>
      <c r="Y5192">
        <v>0</v>
      </c>
      <c r="Z5192"/>
      <c r="AB5192"/>
      <c r="AC5192">
        <v>780</v>
      </c>
      <c r="AD5192">
        <v>274</v>
      </c>
      <c r="AE5192" s="1">
        <v>213720</v>
      </c>
      <c r="AF5192">
        <v>0</v>
      </c>
      <c r="AJ5192">
        <v>0</v>
      </c>
      <c r="AK5192">
        <v>0</v>
      </c>
      <c r="AL5192">
        <v>0</v>
      </c>
      <c r="AM5192">
        <v>0</v>
      </c>
      <c r="AN5192">
        <v>0</v>
      </c>
      <c r="AO5192">
        <v>0</v>
      </c>
      <c r="AP5192" s="2">
        <v>42746</v>
      </c>
      <c r="AQ5192" t="s">
        <v>72</v>
      </c>
      <c r="AR5192" t="s">
        <v>72</v>
      </c>
      <c r="AS5192">
        <v>373</v>
      </c>
      <c r="AT5192" s="4">
        <v>42415</v>
      </c>
      <c r="AU5192" t="s">
        <v>73</v>
      </c>
      <c r="AV5192">
        <v>373</v>
      </c>
      <c r="AW5192" s="4">
        <v>42415</v>
      </c>
      <c r="BD5192">
        <v>0</v>
      </c>
      <c r="BN5192" t="s">
        <v>74</v>
      </c>
    </row>
    <row r="5193" spans="1:66" hidden="1">
      <c r="A5193">
        <v>102094</v>
      </c>
      <c r="B5193" s="3" t="s">
        <v>542</v>
      </c>
      <c r="C5193" s="1">
        <v>43300101</v>
      </c>
      <c r="D5193" t="s">
        <v>67</v>
      </c>
      <c r="H5193" t="str">
        <f t="shared" si="553"/>
        <v>00784230872</v>
      </c>
      <c r="I5193" t="str">
        <f t="shared" si="553"/>
        <v>00784230872</v>
      </c>
      <c r="K5193" t="str">
        <f>""</f>
        <v/>
      </c>
      <c r="M5193" t="s">
        <v>68</v>
      </c>
      <c r="N5193" t="str">
        <f t="shared" si="551"/>
        <v>FOR</v>
      </c>
      <c r="O5193" t="s">
        <v>69</v>
      </c>
      <c r="P5193" s="3" t="s">
        <v>75</v>
      </c>
      <c r="Q5193">
        <v>2015</v>
      </c>
      <c r="R5193" s="2">
        <v>42132</v>
      </c>
      <c r="S5193" s="2">
        <v>42158</v>
      </c>
      <c r="T5193" s="2">
        <v>42138</v>
      </c>
      <c r="U5193" s="2">
        <v>42198</v>
      </c>
      <c r="V5193" t="s">
        <v>71</v>
      </c>
      <c r="W5193" t="str">
        <f>"              1008 E"</f>
        <v xml:space="preserve">              1008 E</v>
      </c>
      <c r="X5193">
        <v>907.68</v>
      </c>
      <c r="Y5193">
        <v>0</v>
      </c>
      <c r="Z5193"/>
      <c r="AB5193"/>
      <c r="AC5193">
        <v>744</v>
      </c>
      <c r="AD5193">
        <v>254</v>
      </c>
      <c r="AE5193" s="1">
        <v>188976</v>
      </c>
      <c r="AF5193">
        <v>0</v>
      </c>
      <c r="AJ5193">
        <v>0</v>
      </c>
      <c r="AK5193">
        <v>0</v>
      </c>
      <c r="AL5193">
        <v>0</v>
      </c>
      <c r="AM5193">
        <v>0</v>
      </c>
      <c r="AN5193">
        <v>0</v>
      </c>
      <c r="AO5193">
        <v>0</v>
      </c>
      <c r="AP5193" s="2">
        <v>42746</v>
      </c>
      <c r="AQ5193" t="s">
        <v>72</v>
      </c>
      <c r="AR5193" t="s">
        <v>72</v>
      </c>
      <c r="AS5193">
        <v>837</v>
      </c>
      <c r="AT5193" s="4">
        <v>42452</v>
      </c>
      <c r="AU5193" t="s">
        <v>73</v>
      </c>
      <c r="AV5193">
        <v>837</v>
      </c>
      <c r="AW5193" s="4">
        <v>42452</v>
      </c>
      <c r="BD5193">
        <v>0</v>
      </c>
      <c r="BN5193" t="s">
        <v>74</v>
      </c>
    </row>
    <row r="5194" spans="1:66" hidden="1">
      <c r="A5194">
        <v>102094</v>
      </c>
      <c r="B5194" s="3" t="s">
        <v>542</v>
      </c>
      <c r="C5194" s="1">
        <v>43300101</v>
      </c>
      <c r="D5194" t="s">
        <v>67</v>
      </c>
      <c r="H5194" t="str">
        <f t="shared" si="553"/>
        <v>00784230872</v>
      </c>
      <c r="I5194" t="str">
        <f t="shared" si="553"/>
        <v>00784230872</v>
      </c>
      <c r="K5194" t="str">
        <f>""</f>
        <v/>
      </c>
      <c r="M5194" t="s">
        <v>68</v>
      </c>
      <c r="N5194" t="str">
        <f t="shared" si="551"/>
        <v>FOR</v>
      </c>
      <c r="O5194" t="s">
        <v>69</v>
      </c>
      <c r="P5194" s="3" t="s">
        <v>75</v>
      </c>
      <c r="Q5194">
        <v>2015</v>
      </c>
      <c r="R5194" s="2">
        <v>42144</v>
      </c>
      <c r="S5194" s="2">
        <v>42160</v>
      </c>
      <c r="T5194" s="2">
        <v>42151</v>
      </c>
      <c r="U5194" s="2">
        <v>42211</v>
      </c>
      <c r="V5194" t="s">
        <v>71</v>
      </c>
      <c r="W5194" t="str">
        <f>"              1221 E"</f>
        <v xml:space="preserve">              1221 E</v>
      </c>
      <c r="X5194">
        <v>951.6</v>
      </c>
      <c r="Y5194">
        <v>0</v>
      </c>
      <c r="Z5194"/>
      <c r="AB5194"/>
      <c r="AC5194">
        <v>780</v>
      </c>
      <c r="AD5194">
        <v>241</v>
      </c>
      <c r="AE5194" s="1">
        <v>187980</v>
      </c>
      <c r="AF5194">
        <v>0</v>
      </c>
      <c r="AJ5194">
        <v>0</v>
      </c>
      <c r="AK5194">
        <v>0</v>
      </c>
      <c r="AL5194">
        <v>0</v>
      </c>
      <c r="AM5194">
        <v>0</v>
      </c>
      <c r="AN5194">
        <v>0</v>
      </c>
      <c r="AO5194">
        <v>0</v>
      </c>
      <c r="AP5194" s="2">
        <v>42746</v>
      </c>
      <c r="AQ5194" t="s">
        <v>72</v>
      </c>
      <c r="AR5194" t="s">
        <v>72</v>
      </c>
      <c r="AS5194">
        <v>837</v>
      </c>
      <c r="AT5194" s="4">
        <v>42452</v>
      </c>
      <c r="AU5194" t="s">
        <v>73</v>
      </c>
      <c r="AV5194">
        <v>837</v>
      </c>
      <c r="AW5194" s="4">
        <v>42452</v>
      </c>
      <c r="BD5194">
        <v>0</v>
      </c>
      <c r="BN5194" t="s">
        <v>74</v>
      </c>
    </row>
    <row r="5195" spans="1:66" hidden="1">
      <c r="A5195">
        <v>102094</v>
      </c>
      <c r="B5195" s="3" t="s">
        <v>542</v>
      </c>
      <c r="C5195" s="1">
        <v>43300101</v>
      </c>
      <c r="D5195" t="s">
        <v>67</v>
      </c>
      <c r="H5195" t="str">
        <f t="shared" si="553"/>
        <v>00784230872</v>
      </c>
      <c r="I5195" t="str">
        <f t="shared" si="553"/>
        <v>00784230872</v>
      </c>
      <c r="K5195" t="str">
        <f>""</f>
        <v/>
      </c>
      <c r="M5195" t="s">
        <v>68</v>
      </c>
      <c r="N5195" t="str">
        <f t="shared" si="551"/>
        <v>FOR</v>
      </c>
      <c r="O5195" t="s">
        <v>69</v>
      </c>
      <c r="P5195" s="3" t="s">
        <v>75</v>
      </c>
      <c r="Q5195">
        <v>2015</v>
      </c>
      <c r="R5195" s="2">
        <v>42165</v>
      </c>
      <c r="S5195" s="2">
        <v>42172</v>
      </c>
      <c r="T5195" s="2">
        <v>42171</v>
      </c>
      <c r="U5195" s="2">
        <v>42231</v>
      </c>
      <c r="V5195" t="s">
        <v>71</v>
      </c>
      <c r="W5195" t="str">
        <f>"              1813 E"</f>
        <v xml:space="preserve">              1813 E</v>
      </c>
      <c r="X5195">
        <v>363.07</v>
      </c>
      <c r="Y5195">
        <v>0</v>
      </c>
      <c r="Z5195"/>
      <c r="AB5195"/>
      <c r="AC5195">
        <v>297.60000000000002</v>
      </c>
      <c r="AD5195">
        <v>289</v>
      </c>
      <c r="AE5195" s="1">
        <v>86006.399999999994</v>
      </c>
      <c r="AF5195">
        <v>0</v>
      </c>
      <c r="AJ5195">
        <v>0</v>
      </c>
      <c r="AK5195">
        <v>0</v>
      </c>
      <c r="AL5195">
        <v>0</v>
      </c>
      <c r="AM5195">
        <v>0</v>
      </c>
      <c r="AN5195">
        <v>0</v>
      </c>
      <c r="AO5195">
        <v>0</v>
      </c>
      <c r="AP5195" s="2">
        <v>42746</v>
      </c>
      <c r="AQ5195" t="s">
        <v>72</v>
      </c>
      <c r="AR5195" t="s">
        <v>72</v>
      </c>
      <c r="AS5195">
        <v>1414</v>
      </c>
      <c r="AT5195" s="4">
        <v>42520</v>
      </c>
      <c r="AU5195" t="s">
        <v>73</v>
      </c>
      <c r="AV5195">
        <v>1414</v>
      </c>
      <c r="AW5195" s="4">
        <v>42520</v>
      </c>
      <c r="BD5195">
        <v>0</v>
      </c>
      <c r="BN5195" t="s">
        <v>74</v>
      </c>
    </row>
    <row r="5196" spans="1:66" hidden="1">
      <c r="A5196">
        <v>102094</v>
      </c>
      <c r="B5196" s="3" t="s">
        <v>542</v>
      </c>
      <c r="C5196" s="1">
        <v>43300101</v>
      </c>
      <c r="D5196" t="s">
        <v>67</v>
      </c>
      <c r="H5196" t="str">
        <f t="shared" si="553"/>
        <v>00784230872</v>
      </c>
      <c r="I5196" t="str">
        <f t="shared" si="553"/>
        <v>00784230872</v>
      </c>
      <c r="K5196" t="str">
        <f>""</f>
        <v/>
      </c>
      <c r="M5196" t="s">
        <v>68</v>
      </c>
      <c r="N5196" t="str">
        <f t="shared" si="551"/>
        <v>FOR</v>
      </c>
      <c r="O5196" t="s">
        <v>69</v>
      </c>
      <c r="P5196" s="3" t="s">
        <v>75</v>
      </c>
      <c r="Q5196">
        <v>2015</v>
      </c>
      <c r="R5196" s="2">
        <v>42195</v>
      </c>
      <c r="S5196" s="2">
        <v>42202</v>
      </c>
      <c r="T5196" s="2">
        <v>42200</v>
      </c>
      <c r="U5196" s="2">
        <v>42260</v>
      </c>
      <c r="V5196" t="s">
        <v>71</v>
      </c>
      <c r="W5196" t="str">
        <f>"              2621 E"</f>
        <v xml:space="preserve">              2621 E</v>
      </c>
      <c r="X5196" s="1">
        <v>1361.52</v>
      </c>
      <c r="Y5196">
        <v>0</v>
      </c>
      <c r="Z5196"/>
      <c r="AB5196"/>
      <c r="AC5196" s="1">
        <v>1116</v>
      </c>
      <c r="AD5196">
        <v>260</v>
      </c>
      <c r="AE5196" s="1">
        <v>290160</v>
      </c>
      <c r="AF5196">
        <v>0</v>
      </c>
      <c r="AJ5196">
        <v>0</v>
      </c>
      <c r="AK5196">
        <v>0</v>
      </c>
      <c r="AL5196">
        <v>0</v>
      </c>
      <c r="AM5196">
        <v>0</v>
      </c>
      <c r="AN5196">
        <v>0</v>
      </c>
      <c r="AO5196">
        <v>0</v>
      </c>
      <c r="AP5196" s="2">
        <v>42746</v>
      </c>
      <c r="AQ5196" t="s">
        <v>72</v>
      </c>
      <c r="AR5196" t="s">
        <v>72</v>
      </c>
      <c r="AS5196">
        <v>1414</v>
      </c>
      <c r="AT5196" s="4">
        <v>42520</v>
      </c>
      <c r="AU5196" t="s">
        <v>73</v>
      </c>
      <c r="AV5196">
        <v>1414</v>
      </c>
      <c r="AW5196" s="4">
        <v>42520</v>
      </c>
      <c r="BD5196">
        <v>0</v>
      </c>
      <c r="BN5196" t="s">
        <v>74</v>
      </c>
    </row>
    <row r="5197" spans="1:66" hidden="1">
      <c r="A5197">
        <v>102094</v>
      </c>
      <c r="B5197" s="3" t="s">
        <v>542</v>
      </c>
      <c r="C5197" s="1">
        <v>43300101</v>
      </c>
      <c r="D5197" t="s">
        <v>67</v>
      </c>
      <c r="H5197" t="str">
        <f t="shared" si="553"/>
        <v>00784230872</v>
      </c>
      <c r="I5197" t="str">
        <f t="shared" si="553"/>
        <v>00784230872</v>
      </c>
      <c r="K5197" t="str">
        <f>""</f>
        <v/>
      </c>
      <c r="M5197" t="s">
        <v>68</v>
      </c>
      <c r="N5197" t="str">
        <f t="shared" si="551"/>
        <v>FOR</v>
      </c>
      <c r="O5197" t="s">
        <v>69</v>
      </c>
      <c r="P5197" s="3" t="s">
        <v>75</v>
      </c>
      <c r="Q5197">
        <v>2015</v>
      </c>
      <c r="R5197" s="2">
        <v>42195</v>
      </c>
      <c r="S5197" s="2">
        <v>42202</v>
      </c>
      <c r="T5197" s="2">
        <v>42200</v>
      </c>
      <c r="U5197" s="2">
        <v>42260</v>
      </c>
      <c r="V5197" t="s">
        <v>71</v>
      </c>
      <c r="W5197" t="str">
        <f>"              2622 E"</f>
        <v xml:space="preserve">              2622 E</v>
      </c>
      <c r="X5197">
        <v>346.48</v>
      </c>
      <c r="Y5197">
        <v>0</v>
      </c>
      <c r="Z5197"/>
      <c r="AB5197"/>
      <c r="AC5197">
        <v>284</v>
      </c>
      <c r="AD5197">
        <v>260</v>
      </c>
      <c r="AE5197" s="1">
        <v>73840</v>
      </c>
      <c r="AF5197">
        <v>0</v>
      </c>
      <c r="AJ5197">
        <v>0</v>
      </c>
      <c r="AK5197">
        <v>0</v>
      </c>
      <c r="AL5197">
        <v>0</v>
      </c>
      <c r="AM5197">
        <v>0</v>
      </c>
      <c r="AN5197">
        <v>0</v>
      </c>
      <c r="AO5197">
        <v>0</v>
      </c>
      <c r="AP5197" s="2">
        <v>42746</v>
      </c>
      <c r="AQ5197" t="s">
        <v>72</v>
      </c>
      <c r="AR5197" t="s">
        <v>72</v>
      </c>
      <c r="AS5197">
        <v>1414</v>
      </c>
      <c r="AT5197" s="4">
        <v>42520</v>
      </c>
      <c r="AU5197" t="s">
        <v>73</v>
      </c>
      <c r="AV5197">
        <v>1414</v>
      </c>
      <c r="AW5197" s="4">
        <v>42520</v>
      </c>
      <c r="BD5197">
        <v>0</v>
      </c>
      <c r="BN5197" t="s">
        <v>74</v>
      </c>
    </row>
    <row r="5198" spans="1:66" hidden="1">
      <c r="A5198">
        <v>102094</v>
      </c>
      <c r="B5198" s="3" t="s">
        <v>542</v>
      </c>
      <c r="C5198" s="1">
        <v>43300101</v>
      </c>
      <c r="D5198" t="s">
        <v>67</v>
      </c>
      <c r="H5198" t="str">
        <f t="shared" si="553"/>
        <v>00784230872</v>
      </c>
      <c r="I5198" t="str">
        <f t="shared" si="553"/>
        <v>00784230872</v>
      </c>
      <c r="K5198" t="str">
        <f>""</f>
        <v/>
      </c>
      <c r="M5198" t="s">
        <v>68</v>
      </c>
      <c r="N5198" t="str">
        <f t="shared" si="551"/>
        <v>FOR</v>
      </c>
      <c r="O5198" t="s">
        <v>69</v>
      </c>
      <c r="P5198" s="3" t="s">
        <v>75</v>
      </c>
      <c r="Q5198">
        <v>2015</v>
      </c>
      <c r="R5198" s="2">
        <v>42216</v>
      </c>
      <c r="S5198" s="2">
        <v>42223</v>
      </c>
      <c r="T5198" s="2">
        <v>42223</v>
      </c>
      <c r="U5198" s="2">
        <v>42283</v>
      </c>
      <c r="V5198" t="s">
        <v>71</v>
      </c>
      <c r="W5198" t="str">
        <f>"              3214 E"</f>
        <v xml:space="preserve">              3214 E</v>
      </c>
      <c r="X5198" s="1">
        <v>1189.5</v>
      </c>
      <c r="Y5198">
        <v>0</v>
      </c>
      <c r="Z5198"/>
      <c r="AB5198"/>
      <c r="AC5198">
        <v>975</v>
      </c>
      <c r="AD5198">
        <v>237</v>
      </c>
      <c r="AE5198" s="1">
        <v>231075</v>
      </c>
      <c r="AF5198">
        <v>0</v>
      </c>
      <c r="AJ5198">
        <v>0</v>
      </c>
      <c r="AK5198">
        <v>0</v>
      </c>
      <c r="AL5198">
        <v>0</v>
      </c>
      <c r="AM5198">
        <v>0</v>
      </c>
      <c r="AN5198">
        <v>0</v>
      </c>
      <c r="AO5198">
        <v>0</v>
      </c>
      <c r="AP5198" s="2">
        <v>42746</v>
      </c>
      <c r="AQ5198" t="s">
        <v>72</v>
      </c>
      <c r="AR5198" t="s">
        <v>72</v>
      </c>
      <c r="AS5198">
        <v>1414</v>
      </c>
      <c r="AT5198" s="4">
        <v>42520</v>
      </c>
      <c r="AU5198" t="s">
        <v>73</v>
      </c>
      <c r="AV5198">
        <v>1414</v>
      </c>
      <c r="AW5198" s="4">
        <v>42520</v>
      </c>
      <c r="BD5198">
        <v>0</v>
      </c>
      <c r="BN5198" t="s">
        <v>74</v>
      </c>
    </row>
    <row r="5199" spans="1:66" hidden="1">
      <c r="A5199">
        <v>102094</v>
      </c>
      <c r="B5199" s="3" t="s">
        <v>542</v>
      </c>
      <c r="C5199" s="1">
        <v>43300101</v>
      </c>
      <c r="D5199" t="s">
        <v>67</v>
      </c>
      <c r="H5199" t="str">
        <f t="shared" si="553"/>
        <v>00784230872</v>
      </c>
      <c r="I5199" t="str">
        <f t="shared" si="553"/>
        <v>00784230872</v>
      </c>
      <c r="K5199" t="str">
        <f>""</f>
        <v/>
      </c>
      <c r="M5199" t="s">
        <v>68</v>
      </c>
      <c r="N5199" t="str">
        <f t="shared" si="551"/>
        <v>FOR</v>
      </c>
      <c r="O5199" t="s">
        <v>69</v>
      </c>
      <c r="P5199" s="3" t="s">
        <v>75</v>
      </c>
      <c r="Q5199">
        <v>2015</v>
      </c>
      <c r="R5199" s="2">
        <v>42257</v>
      </c>
      <c r="S5199" s="2">
        <v>42263</v>
      </c>
      <c r="T5199" s="2">
        <v>42262</v>
      </c>
      <c r="U5199" s="2">
        <v>42322</v>
      </c>
      <c r="V5199" t="s">
        <v>71</v>
      </c>
      <c r="W5199" t="str">
        <f>"              3965 E"</f>
        <v xml:space="preserve">              3965 E</v>
      </c>
      <c r="X5199">
        <v>128.1</v>
      </c>
      <c r="Y5199">
        <v>0</v>
      </c>
      <c r="Z5199"/>
      <c r="AB5199"/>
      <c r="AC5199">
        <v>105</v>
      </c>
      <c r="AD5199">
        <v>299</v>
      </c>
      <c r="AE5199" s="1">
        <v>31395</v>
      </c>
      <c r="AF5199">
        <v>0</v>
      </c>
      <c r="AJ5199">
        <v>0</v>
      </c>
      <c r="AK5199">
        <v>0</v>
      </c>
      <c r="AL5199">
        <v>0</v>
      </c>
      <c r="AM5199">
        <v>0</v>
      </c>
      <c r="AN5199">
        <v>0</v>
      </c>
      <c r="AO5199">
        <v>0</v>
      </c>
      <c r="AP5199" s="2">
        <v>42746</v>
      </c>
      <c r="AQ5199" t="s">
        <v>72</v>
      </c>
      <c r="AR5199" t="s">
        <v>72</v>
      </c>
      <c r="AS5199">
        <v>2390</v>
      </c>
      <c r="AT5199" s="4">
        <v>42621</v>
      </c>
      <c r="AU5199" t="s">
        <v>73</v>
      </c>
      <c r="AV5199">
        <v>2390</v>
      </c>
      <c r="AW5199" s="4">
        <v>42621</v>
      </c>
      <c r="BD5199">
        <v>0</v>
      </c>
      <c r="BN5199" t="s">
        <v>74</v>
      </c>
    </row>
    <row r="5200" spans="1:66" hidden="1">
      <c r="A5200">
        <v>102094</v>
      </c>
      <c r="B5200" s="3" t="s">
        <v>542</v>
      </c>
      <c r="C5200" s="1">
        <v>43300101</v>
      </c>
      <c r="D5200" t="s">
        <v>67</v>
      </c>
      <c r="H5200" t="str">
        <f t="shared" si="553"/>
        <v>00784230872</v>
      </c>
      <c r="I5200" t="str">
        <f t="shared" si="553"/>
        <v>00784230872</v>
      </c>
      <c r="K5200" t="str">
        <f>""</f>
        <v/>
      </c>
      <c r="M5200" t="s">
        <v>68</v>
      </c>
      <c r="N5200" t="str">
        <f t="shared" si="551"/>
        <v>FOR</v>
      </c>
      <c r="O5200" t="s">
        <v>69</v>
      </c>
      <c r="P5200" s="3" t="s">
        <v>75</v>
      </c>
      <c r="Q5200">
        <v>2015</v>
      </c>
      <c r="R5200" s="2">
        <v>42257</v>
      </c>
      <c r="S5200" s="2">
        <v>42263</v>
      </c>
      <c r="T5200" s="2">
        <v>42262</v>
      </c>
      <c r="U5200" s="2">
        <v>42322</v>
      </c>
      <c r="V5200" t="s">
        <v>71</v>
      </c>
      <c r="W5200" t="str">
        <f>"              3966 E"</f>
        <v xml:space="preserve">              3966 E</v>
      </c>
      <c r="X5200">
        <v>726.14</v>
      </c>
      <c r="Y5200">
        <v>0</v>
      </c>
      <c r="Z5200"/>
      <c r="AB5200"/>
      <c r="AC5200">
        <v>595.20000000000005</v>
      </c>
      <c r="AD5200">
        <v>299</v>
      </c>
      <c r="AE5200" s="1">
        <v>177964.79999999999</v>
      </c>
      <c r="AF5200">
        <v>0</v>
      </c>
      <c r="AJ5200">
        <v>0</v>
      </c>
      <c r="AK5200">
        <v>0</v>
      </c>
      <c r="AL5200">
        <v>0</v>
      </c>
      <c r="AM5200">
        <v>0</v>
      </c>
      <c r="AN5200">
        <v>0</v>
      </c>
      <c r="AO5200">
        <v>0</v>
      </c>
      <c r="AP5200" s="2">
        <v>42746</v>
      </c>
      <c r="AQ5200" t="s">
        <v>72</v>
      </c>
      <c r="AR5200" t="s">
        <v>72</v>
      </c>
      <c r="AS5200">
        <v>2390</v>
      </c>
      <c r="AT5200" s="4">
        <v>42621</v>
      </c>
      <c r="AU5200" t="s">
        <v>73</v>
      </c>
      <c r="AV5200">
        <v>2390</v>
      </c>
      <c r="AW5200" s="4">
        <v>42621</v>
      </c>
      <c r="BD5200">
        <v>0</v>
      </c>
      <c r="BN5200" t="s">
        <v>74</v>
      </c>
    </row>
    <row r="5201" spans="1:66" hidden="1">
      <c r="A5201">
        <v>102094</v>
      </c>
      <c r="B5201" s="3" t="s">
        <v>542</v>
      </c>
      <c r="C5201" s="1">
        <v>43300101</v>
      </c>
      <c r="D5201" t="s">
        <v>67</v>
      </c>
      <c r="H5201" t="str">
        <f t="shared" si="553"/>
        <v>00784230872</v>
      </c>
      <c r="I5201" t="str">
        <f t="shared" si="553"/>
        <v>00784230872</v>
      </c>
      <c r="K5201" t="str">
        <f>""</f>
        <v/>
      </c>
      <c r="M5201" t="s">
        <v>68</v>
      </c>
      <c r="N5201" t="str">
        <f t="shared" si="551"/>
        <v>FOR</v>
      </c>
      <c r="O5201" t="s">
        <v>69</v>
      </c>
      <c r="P5201" s="3" t="s">
        <v>75</v>
      </c>
      <c r="Q5201">
        <v>2015</v>
      </c>
      <c r="R5201" s="2">
        <v>42277</v>
      </c>
      <c r="S5201" s="2">
        <v>42283</v>
      </c>
      <c r="T5201" s="2">
        <v>42282</v>
      </c>
      <c r="U5201" s="2">
        <v>42342</v>
      </c>
      <c r="V5201" t="s">
        <v>71</v>
      </c>
      <c r="W5201" t="str">
        <f>"              4501 E"</f>
        <v xml:space="preserve">              4501 E</v>
      </c>
      <c r="X5201" s="1">
        <v>1139.48</v>
      </c>
      <c r="Y5201">
        <v>0</v>
      </c>
      <c r="Z5201"/>
      <c r="AB5201"/>
      <c r="AC5201">
        <v>934</v>
      </c>
      <c r="AD5201">
        <v>279</v>
      </c>
      <c r="AE5201" s="1">
        <v>260586</v>
      </c>
      <c r="AF5201">
        <v>0</v>
      </c>
      <c r="AJ5201">
        <v>0</v>
      </c>
      <c r="AK5201">
        <v>0</v>
      </c>
      <c r="AL5201">
        <v>0</v>
      </c>
      <c r="AM5201">
        <v>0</v>
      </c>
      <c r="AN5201">
        <v>0</v>
      </c>
      <c r="AO5201">
        <v>0</v>
      </c>
      <c r="AP5201" s="2">
        <v>42746</v>
      </c>
      <c r="AQ5201" t="s">
        <v>72</v>
      </c>
      <c r="AR5201" t="s">
        <v>72</v>
      </c>
      <c r="AS5201">
        <v>2390</v>
      </c>
      <c r="AT5201" s="4">
        <v>42621</v>
      </c>
      <c r="AU5201" t="s">
        <v>73</v>
      </c>
      <c r="AV5201">
        <v>2390</v>
      </c>
      <c r="AW5201" s="4">
        <v>42621</v>
      </c>
      <c r="BD5201">
        <v>0</v>
      </c>
      <c r="BN5201" t="s">
        <v>74</v>
      </c>
    </row>
    <row r="5202" spans="1:66" hidden="1">
      <c r="A5202">
        <v>102094</v>
      </c>
      <c r="B5202" s="3" t="s">
        <v>542</v>
      </c>
      <c r="C5202" s="1">
        <v>43300101</v>
      </c>
      <c r="D5202" t="s">
        <v>67</v>
      </c>
      <c r="H5202" t="str">
        <f t="shared" si="553"/>
        <v>00784230872</v>
      </c>
      <c r="I5202" t="str">
        <f t="shared" si="553"/>
        <v>00784230872</v>
      </c>
      <c r="K5202" t="str">
        <f>""</f>
        <v/>
      </c>
      <c r="M5202" t="s">
        <v>68</v>
      </c>
      <c r="N5202" t="str">
        <f t="shared" si="551"/>
        <v>FOR</v>
      </c>
      <c r="O5202" t="s">
        <v>69</v>
      </c>
      <c r="P5202" s="3" t="s">
        <v>75</v>
      </c>
      <c r="Q5202">
        <v>2015</v>
      </c>
      <c r="R5202" s="2">
        <v>42277</v>
      </c>
      <c r="S5202" s="2">
        <v>42283</v>
      </c>
      <c r="T5202" s="2">
        <v>42282</v>
      </c>
      <c r="U5202" s="2">
        <v>42342</v>
      </c>
      <c r="V5202" t="s">
        <v>71</v>
      </c>
      <c r="W5202" t="str">
        <f>"              4502 E"</f>
        <v xml:space="preserve">              4502 E</v>
      </c>
      <c r="X5202" s="1">
        <v>1361.52</v>
      </c>
      <c r="Y5202">
        <v>0</v>
      </c>
      <c r="Z5202"/>
      <c r="AB5202"/>
      <c r="AC5202" s="1">
        <v>1116</v>
      </c>
      <c r="AD5202">
        <v>279</v>
      </c>
      <c r="AE5202" s="1">
        <v>311364</v>
      </c>
      <c r="AF5202">
        <v>0</v>
      </c>
      <c r="AJ5202">
        <v>0</v>
      </c>
      <c r="AK5202">
        <v>0</v>
      </c>
      <c r="AL5202">
        <v>0</v>
      </c>
      <c r="AM5202">
        <v>0</v>
      </c>
      <c r="AN5202">
        <v>0</v>
      </c>
      <c r="AO5202">
        <v>0</v>
      </c>
      <c r="AP5202" s="2">
        <v>42746</v>
      </c>
      <c r="AQ5202" t="s">
        <v>72</v>
      </c>
      <c r="AR5202" t="s">
        <v>72</v>
      </c>
      <c r="AS5202">
        <v>2390</v>
      </c>
      <c r="AT5202" s="4">
        <v>42621</v>
      </c>
      <c r="AU5202" t="s">
        <v>73</v>
      </c>
      <c r="AV5202">
        <v>2390</v>
      </c>
      <c r="AW5202" s="4">
        <v>42621</v>
      </c>
      <c r="BD5202">
        <v>0</v>
      </c>
      <c r="BN5202" t="s">
        <v>74</v>
      </c>
    </row>
    <row r="5203" spans="1:66">
      <c r="A5203">
        <v>102094</v>
      </c>
      <c r="B5203" s="3" t="s">
        <v>542</v>
      </c>
      <c r="C5203" s="1">
        <v>43300101</v>
      </c>
      <c r="D5203" t="s">
        <v>67</v>
      </c>
      <c r="H5203" t="str">
        <f t="shared" si="553"/>
        <v>00784230872</v>
      </c>
      <c r="I5203" t="str">
        <f t="shared" si="553"/>
        <v>00784230872</v>
      </c>
      <c r="K5203" t="str">
        <f>""</f>
        <v/>
      </c>
      <c r="M5203" t="s">
        <v>68</v>
      </c>
      <c r="N5203" t="str">
        <f t="shared" si="551"/>
        <v>FOR</v>
      </c>
      <c r="O5203" t="s">
        <v>69</v>
      </c>
      <c r="P5203" s="3" t="s">
        <v>75</v>
      </c>
      <c r="Q5203">
        <v>2015</v>
      </c>
      <c r="R5203" s="2">
        <v>42328</v>
      </c>
      <c r="S5203" s="2">
        <v>42334</v>
      </c>
      <c r="T5203" s="2">
        <v>42333</v>
      </c>
      <c r="U5203" s="2">
        <v>42393</v>
      </c>
      <c r="V5203" t="s">
        <v>71</v>
      </c>
      <c r="W5203" t="str">
        <f>"              5870 E"</f>
        <v xml:space="preserve">              5870 E</v>
      </c>
      <c r="X5203">
        <v>907.68</v>
      </c>
      <c r="Y5203">
        <v>0</v>
      </c>
      <c r="Z5203" s="3">
        <v>744</v>
      </c>
      <c r="AA5203">
        <v>255</v>
      </c>
      <c r="AB5203" s="5">
        <v>189720</v>
      </c>
      <c r="AC5203">
        <v>744</v>
      </c>
      <c r="AD5203">
        <v>255</v>
      </c>
      <c r="AE5203" s="1">
        <v>189720</v>
      </c>
      <c r="AF5203">
        <v>0</v>
      </c>
      <c r="AJ5203">
        <v>0</v>
      </c>
      <c r="AK5203">
        <v>0</v>
      </c>
      <c r="AL5203">
        <v>0</v>
      </c>
      <c r="AM5203">
        <v>0</v>
      </c>
      <c r="AN5203">
        <v>0</v>
      </c>
      <c r="AO5203">
        <v>0</v>
      </c>
      <c r="AP5203" s="2">
        <v>42746</v>
      </c>
      <c r="AQ5203" t="s">
        <v>72</v>
      </c>
      <c r="AR5203" t="s">
        <v>72</v>
      </c>
      <c r="AS5203">
        <v>2689</v>
      </c>
      <c r="AT5203" s="4">
        <v>42648</v>
      </c>
      <c r="AU5203" t="s">
        <v>73</v>
      </c>
      <c r="AV5203">
        <v>2689</v>
      </c>
      <c r="AW5203" s="4">
        <v>42648</v>
      </c>
      <c r="BD5203">
        <v>0</v>
      </c>
      <c r="BN5203" t="s">
        <v>74</v>
      </c>
    </row>
    <row r="5204" spans="1:66">
      <c r="A5204">
        <v>102094</v>
      </c>
      <c r="B5204" s="3" t="s">
        <v>542</v>
      </c>
      <c r="C5204" s="1">
        <v>43300101</v>
      </c>
      <c r="D5204" t="s">
        <v>67</v>
      </c>
      <c r="H5204" t="str">
        <f t="shared" si="553"/>
        <v>00784230872</v>
      </c>
      <c r="I5204" t="str">
        <f t="shared" si="553"/>
        <v>00784230872</v>
      </c>
      <c r="K5204" t="str">
        <f>""</f>
        <v/>
      </c>
      <c r="M5204" t="s">
        <v>68</v>
      </c>
      <c r="N5204" t="str">
        <f t="shared" si="551"/>
        <v>FOR</v>
      </c>
      <c r="O5204" t="s">
        <v>69</v>
      </c>
      <c r="P5204" s="3" t="s">
        <v>75</v>
      </c>
      <c r="Q5204">
        <v>2015</v>
      </c>
      <c r="R5204" s="2">
        <v>42338</v>
      </c>
      <c r="S5204" s="2">
        <v>42342</v>
      </c>
      <c r="T5204" s="2">
        <v>42342</v>
      </c>
      <c r="U5204" s="2">
        <v>42402</v>
      </c>
      <c r="V5204" t="s">
        <v>71</v>
      </c>
      <c r="W5204" t="str">
        <f>"              6131 E"</f>
        <v xml:space="preserve">              6131 E</v>
      </c>
      <c r="X5204" s="1">
        <v>1499.87</v>
      </c>
      <c r="Y5204">
        <v>0</v>
      </c>
      <c r="Z5204" s="5">
        <v>1229.4000000000001</v>
      </c>
      <c r="AA5204">
        <v>246</v>
      </c>
      <c r="AB5204" s="5">
        <v>302432.40000000002</v>
      </c>
      <c r="AC5204" s="1">
        <v>1229.4000000000001</v>
      </c>
      <c r="AD5204">
        <v>246</v>
      </c>
      <c r="AE5204" s="1">
        <v>302432.40000000002</v>
      </c>
      <c r="AF5204">
        <v>0</v>
      </c>
      <c r="AJ5204">
        <v>0</v>
      </c>
      <c r="AK5204">
        <v>0</v>
      </c>
      <c r="AL5204">
        <v>0</v>
      </c>
      <c r="AM5204">
        <v>0</v>
      </c>
      <c r="AN5204">
        <v>0</v>
      </c>
      <c r="AO5204">
        <v>0</v>
      </c>
      <c r="AP5204" s="2">
        <v>42746</v>
      </c>
      <c r="AQ5204" t="s">
        <v>72</v>
      </c>
      <c r="AR5204" t="s">
        <v>72</v>
      </c>
      <c r="AS5204">
        <v>2689</v>
      </c>
      <c r="AT5204" s="4">
        <v>42648</v>
      </c>
      <c r="AU5204" t="s">
        <v>73</v>
      </c>
      <c r="AV5204">
        <v>2689</v>
      </c>
      <c r="AW5204" s="4">
        <v>42648</v>
      </c>
      <c r="BD5204">
        <v>0</v>
      </c>
      <c r="BN5204" t="s">
        <v>74</v>
      </c>
    </row>
    <row r="5205" spans="1:66">
      <c r="A5205">
        <v>102094</v>
      </c>
      <c r="B5205" s="3" t="s">
        <v>542</v>
      </c>
      <c r="C5205" s="1">
        <v>43300101</v>
      </c>
      <c r="D5205" t="s">
        <v>67</v>
      </c>
      <c r="H5205" t="str">
        <f t="shared" si="553"/>
        <v>00784230872</v>
      </c>
      <c r="I5205" t="str">
        <f t="shared" si="553"/>
        <v>00784230872</v>
      </c>
      <c r="K5205" t="str">
        <f>""</f>
        <v/>
      </c>
      <c r="M5205" t="s">
        <v>68</v>
      </c>
      <c r="N5205" t="str">
        <f t="shared" si="551"/>
        <v>FOR</v>
      </c>
      <c r="O5205" t="s">
        <v>69</v>
      </c>
      <c r="P5205" s="3" t="s">
        <v>75</v>
      </c>
      <c r="Q5205">
        <v>2016</v>
      </c>
      <c r="R5205" s="2">
        <v>42389</v>
      </c>
      <c r="S5205" s="2">
        <v>42401</v>
      </c>
      <c r="T5205" s="2">
        <v>42398</v>
      </c>
      <c r="U5205" s="2">
        <v>42458</v>
      </c>
      <c r="V5205" t="s">
        <v>71</v>
      </c>
      <c r="W5205" t="str">
        <f>"                24 E"</f>
        <v xml:space="preserve">                24 E</v>
      </c>
      <c r="X5205" s="1">
        <v>1189.5</v>
      </c>
      <c r="Y5205">
        <v>0</v>
      </c>
      <c r="Z5205" s="3">
        <v>975</v>
      </c>
      <c r="AA5205">
        <v>190</v>
      </c>
      <c r="AB5205" s="5">
        <v>185250</v>
      </c>
      <c r="AC5205">
        <v>975</v>
      </c>
      <c r="AD5205">
        <v>190</v>
      </c>
      <c r="AE5205" s="1">
        <v>185250</v>
      </c>
      <c r="AF5205">
        <v>0</v>
      </c>
      <c r="AJ5205">
        <v>0</v>
      </c>
      <c r="AK5205">
        <v>0</v>
      </c>
      <c r="AL5205">
        <v>0</v>
      </c>
      <c r="AM5205" s="1">
        <v>1189.5</v>
      </c>
      <c r="AN5205" s="1">
        <v>1189.5</v>
      </c>
      <c r="AO5205" s="1">
        <v>1189.5</v>
      </c>
      <c r="AP5205" s="2">
        <v>42746</v>
      </c>
      <c r="AQ5205" t="s">
        <v>72</v>
      </c>
      <c r="AR5205" t="s">
        <v>72</v>
      </c>
      <c r="AS5205">
        <v>2689</v>
      </c>
      <c r="AT5205" s="4">
        <v>42648</v>
      </c>
      <c r="AU5205" t="s">
        <v>73</v>
      </c>
      <c r="AV5205">
        <v>2689</v>
      </c>
      <c r="AW5205" s="4">
        <v>42648</v>
      </c>
      <c r="BD5205">
        <v>0</v>
      </c>
      <c r="BN5205" t="s">
        <v>74</v>
      </c>
    </row>
    <row r="5206" spans="1:66">
      <c r="A5206">
        <v>102094</v>
      </c>
      <c r="B5206" s="3" t="s">
        <v>542</v>
      </c>
      <c r="C5206" s="1">
        <v>43300101</v>
      </c>
      <c r="D5206" t="s">
        <v>67</v>
      </c>
      <c r="H5206" t="str">
        <f t="shared" si="553"/>
        <v>00784230872</v>
      </c>
      <c r="I5206" t="str">
        <f t="shared" si="553"/>
        <v>00784230872</v>
      </c>
      <c r="K5206" t="str">
        <f>""</f>
        <v/>
      </c>
      <c r="M5206" t="s">
        <v>68</v>
      </c>
      <c r="N5206" t="str">
        <f t="shared" si="551"/>
        <v>FOR</v>
      </c>
      <c r="O5206" t="s">
        <v>69</v>
      </c>
      <c r="P5206" s="3" t="s">
        <v>75</v>
      </c>
      <c r="Q5206">
        <v>2016</v>
      </c>
      <c r="R5206" s="2">
        <v>42389</v>
      </c>
      <c r="S5206" s="2">
        <v>42401</v>
      </c>
      <c r="T5206" s="2">
        <v>42398</v>
      </c>
      <c r="U5206" s="2">
        <v>42458</v>
      </c>
      <c r="V5206" t="s">
        <v>71</v>
      </c>
      <c r="W5206" t="str">
        <f>"                25 E"</f>
        <v xml:space="preserve">                25 E</v>
      </c>
      <c r="X5206">
        <v>907.68</v>
      </c>
      <c r="Y5206">
        <v>0</v>
      </c>
      <c r="Z5206" s="3">
        <v>744</v>
      </c>
      <c r="AA5206">
        <v>190</v>
      </c>
      <c r="AB5206" s="5">
        <v>141360</v>
      </c>
      <c r="AC5206">
        <v>744</v>
      </c>
      <c r="AD5206">
        <v>190</v>
      </c>
      <c r="AE5206" s="1">
        <v>141360</v>
      </c>
      <c r="AF5206">
        <v>0</v>
      </c>
      <c r="AJ5206">
        <v>0</v>
      </c>
      <c r="AK5206">
        <v>0</v>
      </c>
      <c r="AL5206">
        <v>0</v>
      </c>
      <c r="AM5206">
        <v>907.68</v>
      </c>
      <c r="AN5206">
        <v>907.68</v>
      </c>
      <c r="AO5206">
        <v>907.68</v>
      </c>
      <c r="AP5206" s="2">
        <v>42746</v>
      </c>
      <c r="AQ5206" t="s">
        <v>72</v>
      </c>
      <c r="AR5206" t="s">
        <v>72</v>
      </c>
      <c r="AS5206">
        <v>2689</v>
      </c>
      <c r="AT5206" s="4">
        <v>42648</v>
      </c>
      <c r="AU5206" t="s">
        <v>73</v>
      </c>
      <c r="AV5206">
        <v>2689</v>
      </c>
      <c r="AW5206" s="4">
        <v>42648</v>
      </c>
      <c r="BD5206">
        <v>0</v>
      </c>
      <c r="BN5206" t="s">
        <v>74</v>
      </c>
    </row>
    <row r="5207" spans="1:66">
      <c r="A5207">
        <v>102094</v>
      </c>
      <c r="B5207" s="3" t="s">
        <v>542</v>
      </c>
      <c r="C5207" s="1">
        <v>43300101</v>
      </c>
      <c r="D5207" t="s">
        <v>67</v>
      </c>
      <c r="H5207" t="str">
        <f t="shared" si="553"/>
        <v>00784230872</v>
      </c>
      <c r="I5207" t="str">
        <f t="shared" si="553"/>
        <v>00784230872</v>
      </c>
      <c r="K5207" t="str">
        <f>""</f>
        <v/>
      </c>
      <c r="M5207" t="s">
        <v>68</v>
      </c>
      <c r="N5207" t="str">
        <f t="shared" si="551"/>
        <v>FOR</v>
      </c>
      <c r="O5207" t="s">
        <v>69</v>
      </c>
      <c r="P5207" s="3" t="s">
        <v>75</v>
      </c>
      <c r="Q5207">
        <v>2016</v>
      </c>
      <c r="R5207" s="2">
        <v>42398</v>
      </c>
      <c r="S5207" s="2">
        <v>42410</v>
      </c>
      <c r="T5207" s="2">
        <v>42408</v>
      </c>
      <c r="U5207" s="2">
        <v>42468</v>
      </c>
      <c r="V5207" t="s">
        <v>71</v>
      </c>
      <c r="W5207" t="str">
        <f>"               414 E"</f>
        <v xml:space="preserve">               414 E</v>
      </c>
      <c r="X5207">
        <v>173.25</v>
      </c>
      <c r="Y5207">
        <v>0</v>
      </c>
      <c r="Z5207" s="3">
        <v>142.01</v>
      </c>
      <c r="AA5207">
        <v>180</v>
      </c>
      <c r="AB5207" s="5">
        <v>25561.8</v>
      </c>
      <c r="AC5207">
        <v>142.01</v>
      </c>
      <c r="AD5207">
        <v>180</v>
      </c>
      <c r="AE5207" s="1">
        <v>25561.8</v>
      </c>
      <c r="AF5207">
        <v>0</v>
      </c>
      <c r="AJ5207">
        <v>0</v>
      </c>
      <c r="AK5207">
        <v>0</v>
      </c>
      <c r="AL5207">
        <v>0</v>
      </c>
      <c r="AM5207">
        <v>173.25</v>
      </c>
      <c r="AN5207">
        <v>173.25</v>
      </c>
      <c r="AO5207">
        <v>173.25</v>
      </c>
      <c r="AP5207" s="2">
        <v>42746</v>
      </c>
      <c r="AQ5207" t="s">
        <v>72</v>
      </c>
      <c r="AR5207" t="s">
        <v>72</v>
      </c>
      <c r="AS5207">
        <v>2689</v>
      </c>
      <c r="AT5207" s="4">
        <v>42648</v>
      </c>
      <c r="AU5207" t="s">
        <v>73</v>
      </c>
      <c r="AV5207">
        <v>2689</v>
      </c>
      <c r="AW5207" s="4">
        <v>42648</v>
      </c>
      <c r="BD5207">
        <v>0</v>
      </c>
      <c r="BN5207" t="s">
        <v>74</v>
      </c>
    </row>
    <row r="5208" spans="1:66">
      <c r="A5208">
        <v>102094</v>
      </c>
      <c r="B5208" s="3" t="s">
        <v>542</v>
      </c>
      <c r="C5208" s="1">
        <v>43300101</v>
      </c>
      <c r="D5208" t="s">
        <v>67</v>
      </c>
      <c r="H5208" t="str">
        <f t="shared" si="553"/>
        <v>00784230872</v>
      </c>
      <c r="I5208" t="str">
        <f t="shared" si="553"/>
        <v>00784230872</v>
      </c>
      <c r="K5208" t="str">
        <f>""</f>
        <v/>
      </c>
      <c r="M5208" t="s">
        <v>68</v>
      </c>
      <c r="N5208" t="str">
        <f t="shared" si="551"/>
        <v>FOR</v>
      </c>
      <c r="O5208" t="s">
        <v>69</v>
      </c>
      <c r="P5208" s="3" t="s">
        <v>75</v>
      </c>
      <c r="Q5208">
        <v>2016</v>
      </c>
      <c r="R5208" s="2">
        <v>42439</v>
      </c>
      <c r="S5208" s="2">
        <v>42446</v>
      </c>
      <c r="T5208" s="2">
        <v>42446</v>
      </c>
      <c r="U5208" s="2">
        <v>42506</v>
      </c>
      <c r="V5208" t="s">
        <v>71</v>
      </c>
      <c r="W5208" t="str">
        <f>"              1477 E"</f>
        <v xml:space="preserve">              1477 E</v>
      </c>
      <c r="X5208" s="1">
        <v>1049.2</v>
      </c>
      <c r="Y5208">
        <v>0</v>
      </c>
      <c r="Z5208" s="3">
        <v>860</v>
      </c>
      <c r="AA5208">
        <v>142</v>
      </c>
      <c r="AB5208" s="5">
        <v>122120</v>
      </c>
      <c r="AC5208">
        <v>860</v>
      </c>
      <c r="AD5208">
        <v>142</v>
      </c>
      <c r="AE5208" s="1">
        <v>122120</v>
      </c>
      <c r="AF5208">
        <v>0</v>
      </c>
      <c r="AJ5208">
        <v>0</v>
      </c>
      <c r="AK5208">
        <v>0</v>
      </c>
      <c r="AL5208">
        <v>0</v>
      </c>
      <c r="AM5208" s="1">
        <v>1049.2</v>
      </c>
      <c r="AN5208" s="1">
        <v>1049.2</v>
      </c>
      <c r="AO5208" s="1">
        <v>1049.2</v>
      </c>
      <c r="AP5208" s="2">
        <v>42746</v>
      </c>
      <c r="AQ5208" t="s">
        <v>72</v>
      </c>
      <c r="AR5208" t="s">
        <v>72</v>
      </c>
      <c r="AS5208">
        <v>2689</v>
      </c>
      <c r="AT5208" s="4">
        <v>42648</v>
      </c>
      <c r="AU5208" t="s">
        <v>73</v>
      </c>
      <c r="AV5208">
        <v>2689</v>
      </c>
      <c r="AW5208" s="4">
        <v>42648</v>
      </c>
      <c r="BD5208">
        <v>0</v>
      </c>
      <c r="BN5208" t="s">
        <v>74</v>
      </c>
    </row>
    <row r="5209" spans="1:66">
      <c r="A5209">
        <v>102094</v>
      </c>
      <c r="B5209" s="3" t="s">
        <v>542</v>
      </c>
      <c r="C5209" s="1">
        <v>43300101</v>
      </c>
      <c r="D5209" t="s">
        <v>67</v>
      </c>
      <c r="H5209" t="str">
        <f t="shared" si="553"/>
        <v>00784230872</v>
      </c>
      <c r="I5209" t="str">
        <f t="shared" si="553"/>
        <v>00784230872</v>
      </c>
      <c r="K5209" t="str">
        <f>""</f>
        <v/>
      </c>
      <c r="M5209" t="s">
        <v>68</v>
      </c>
      <c r="N5209" t="str">
        <f t="shared" si="551"/>
        <v>FOR</v>
      </c>
      <c r="O5209" t="s">
        <v>69</v>
      </c>
      <c r="P5209" s="3" t="s">
        <v>75</v>
      </c>
      <c r="Q5209">
        <v>2016</v>
      </c>
      <c r="R5209" s="2">
        <v>42460</v>
      </c>
      <c r="S5209" s="2">
        <v>42472</v>
      </c>
      <c r="T5209" s="2">
        <v>42465</v>
      </c>
      <c r="U5209" s="2">
        <v>42525</v>
      </c>
      <c r="V5209" t="s">
        <v>71</v>
      </c>
      <c r="W5209" t="str">
        <f>"              1955 E"</f>
        <v xml:space="preserve">              1955 E</v>
      </c>
      <c r="X5209">
        <v>346.48</v>
      </c>
      <c r="Y5209">
        <v>0</v>
      </c>
      <c r="Z5209" s="3">
        <v>284</v>
      </c>
      <c r="AA5209">
        <v>123</v>
      </c>
      <c r="AB5209" s="5">
        <v>34932</v>
      </c>
      <c r="AC5209">
        <v>284</v>
      </c>
      <c r="AD5209">
        <v>123</v>
      </c>
      <c r="AE5209" s="1">
        <v>34932</v>
      </c>
      <c r="AF5209">
        <v>0</v>
      </c>
      <c r="AJ5209">
        <v>0</v>
      </c>
      <c r="AK5209">
        <v>0</v>
      </c>
      <c r="AL5209">
        <v>0</v>
      </c>
      <c r="AM5209">
        <v>346.48</v>
      </c>
      <c r="AN5209">
        <v>346.48</v>
      </c>
      <c r="AO5209">
        <v>346.48</v>
      </c>
      <c r="AP5209" s="2">
        <v>42746</v>
      </c>
      <c r="AQ5209" t="s">
        <v>72</v>
      </c>
      <c r="AR5209" t="s">
        <v>72</v>
      </c>
      <c r="AS5209">
        <v>2689</v>
      </c>
      <c r="AT5209" s="4">
        <v>42648</v>
      </c>
      <c r="AU5209" t="s">
        <v>73</v>
      </c>
      <c r="AV5209">
        <v>2689</v>
      </c>
      <c r="AW5209" s="4">
        <v>42648</v>
      </c>
      <c r="BD5209">
        <v>0</v>
      </c>
      <c r="BN5209" t="s">
        <v>74</v>
      </c>
    </row>
    <row r="5210" spans="1:66">
      <c r="A5210">
        <v>102094</v>
      </c>
      <c r="B5210" s="3" t="s">
        <v>542</v>
      </c>
      <c r="C5210" s="1">
        <v>43300101</v>
      </c>
      <c r="D5210" t="s">
        <v>67</v>
      </c>
      <c r="H5210" t="str">
        <f t="shared" si="553"/>
        <v>00784230872</v>
      </c>
      <c r="I5210" t="str">
        <f t="shared" si="553"/>
        <v>00784230872</v>
      </c>
      <c r="K5210" t="str">
        <f>""</f>
        <v/>
      </c>
      <c r="M5210" t="s">
        <v>68</v>
      </c>
      <c r="N5210" t="str">
        <f t="shared" si="551"/>
        <v>FOR</v>
      </c>
      <c r="O5210" t="s">
        <v>69</v>
      </c>
      <c r="P5210" s="3" t="s">
        <v>75</v>
      </c>
      <c r="Q5210">
        <v>2016</v>
      </c>
      <c r="R5210" s="2">
        <v>42460</v>
      </c>
      <c r="S5210" s="2">
        <v>42472</v>
      </c>
      <c r="T5210" s="2">
        <v>42465</v>
      </c>
      <c r="U5210" s="2">
        <v>42525</v>
      </c>
      <c r="V5210" t="s">
        <v>71</v>
      </c>
      <c r="W5210" t="str">
        <f>"              1956 E"</f>
        <v xml:space="preserve">              1956 E</v>
      </c>
      <c r="X5210">
        <v>907.68</v>
      </c>
      <c r="Y5210">
        <v>0</v>
      </c>
      <c r="Z5210" s="3">
        <v>744</v>
      </c>
      <c r="AA5210">
        <v>123</v>
      </c>
      <c r="AB5210" s="5">
        <v>91512</v>
      </c>
      <c r="AC5210">
        <v>744</v>
      </c>
      <c r="AD5210">
        <v>123</v>
      </c>
      <c r="AE5210" s="1">
        <v>91512</v>
      </c>
      <c r="AF5210">
        <v>0</v>
      </c>
      <c r="AJ5210">
        <v>0</v>
      </c>
      <c r="AK5210">
        <v>0</v>
      </c>
      <c r="AL5210">
        <v>0</v>
      </c>
      <c r="AM5210">
        <v>907.68</v>
      </c>
      <c r="AN5210">
        <v>907.68</v>
      </c>
      <c r="AO5210">
        <v>907.68</v>
      </c>
      <c r="AP5210" s="2">
        <v>42746</v>
      </c>
      <c r="AQ5210" t="s">
        <v>72</v>
      </c>
      <c r="AR5210" t="s">
        <v>72</v>
      </c>
      <c r="AS5210">
        <v>2689</v>
      </c>
      <c r="AT5210" s="4">
        <v>42648</v>
      </c>
      <c r="AU5210" t="s">
        <v>73</v>
      </c>
      <c r="AV5210">
        <v>2689</v>
      </c>
      <c r="AW5210" s="4">
        <v>42648</v>
      </c>
      <c r="BD5210">
        <v>0</v>
      </c>
      <c r="BN5210" t="s">
        <v>74</v>
      </c>
    </row>
    <row r="5211" spans="1:66">
      <c r="A5211">
        <v>102094</v>
      </c>
      <c r="B5211" s="3" t="s">
        <v>542</v>
      </c>
      <c r="C5211" s="1">
        <v>43300101</v>
      </c>
      <c r="D5211" t="s">
        <v>67</v>
      </c>
      <c r="H5211" t="str">
        <f t="shared" si="553"/>
        <v>00784230872</v>
      </c>
      <c r="I5211" t="str">
        <f t="shared" si="553"/>
        <v>00784230872</v>
      </c>
      <c r="K5211" t="str">
        <f>""</f>
        <v/>
      </c>
      <c r="M5211" t="s">
        <v>68</v>
      </c>
      <c r="N5211" t="str">
        <f t="shared" si="551"/>
        <v>FOR</v>
      </c>
      <c r="O5211" t="s">
        <v>69</v>
      </c>
      <c r="P5211" s="3" t="s">
        <v>75</v>
      </c>
      <c r="Q5211">
        <v>2016</v>
      </c>
      <c r="R5211" s="2">
        <v>42480</v>
      </c>
      <c r="S5211" s="2">
        <v>42492</v>
      </c>
      <c r="T5211" s="2">
        <v>42489</v>
      </c>
      <c r="U5211" s="2">
        <v>42549</v>
      </c>
      <c r="V5211" t="s">
        <v>71</v>
      </c>
      <c r="W5211" t="str">
        <f>"              2467 E"</f>
        <v xml:space="preserve">              2467 E</v>
      </c>
      <c r="X5211">
        <v>793</v>
      </c>
      <c r="Y5211">
        <v>0</v>
      </c>
      <c r="Z5211" s="3">
        <v>650</v>
      </c>
      <c r="AA5211">
        <v>99</v>
      </c>
      <c r="AB5211" s="5">
        <v>64350</v>
      </c>
      <c r="AC5211">
        <v>650</v>
      </c>
      <c r="AD5211">
        <v>99</v>
      </c>
      <c r="AE5211" s="1">
        <v>64350</v>
      </c>
      <c r="AF5211">
        <v>0</v>
      </c>
      <c r="AJ5211">
        <v>0</v>
      </c>
      <c r="AK5211">
        <v>0</v>
      </c>
      <c r="AL5211">
        <v>0</v>
      </c>
      <c r="AM5211">
        <v>793</v>
      </c>
      <c r="AN5211">
        <v>793</v>
      </c>
      <c r="AO5211">
        <v>793</v>
      </c>
      <c r="AP5211" s="2">
        <v>42746</v>
      </c>
      <c r="AQ5211" t="s">
        <v>72</v>
      </c>
      <c r="AR5211" t="s">
        <v>72</v>
      </c>
      <c r="AS5211">
        <v>2689</v>
      </c>
      <c r="AT5211" s="4">
        <v>42648</v>
      </c>
      <c r="AU5211" t="s">
        <v>73</v>
      </c>
      <c r="AV5211">
        <v>2689</v>
      </c>
      <c r="AW5211" s="4">
        <v>42648</v>
      </c>
      <c r="BD5211">
        <v>0</v>
      </c>
      <c r="BN5211" t="s">
        <v>74</v>
      </c>
    </row>
    <row r="5212" spans="1:66">
      <c r="A5212">
        <v>102094</v>
      </c>
      <c r="B5212" s="3" t="s">
        <v>542</v>
      </c>
      <c r="C5212" s="1">
        <v>43300101</v>
      </c>
      <c r="D5212" t="s">
        <v>67</v>
      </c>
      <c r="H5212" t="str">
        <f t="shared" si="553"/>
        <v>00784230872</v>
      </c>
      <c r="I5212" t="str">
        <f t="shared" si="553"/>
        <v>00784230872</v>
      </c>
      <c r="K5212" t="str">
        <f>""</f>
        <v/>
      </c>
      <c r="M5212" t="s">
        <v>68</v>
      </c>
      <c r="N5212" t="str">
        <f t="shared" si="551"/>
        <v>FOR</v>
      </c>
      <c r="O5212" t="s">
        <v>69</v>
      </c>
      <c r="P5212" s="3" t="s">
        <v>75</v>
      </c>
      <c r="Q5212">
        <v>2016</v>
      </c>
      <c r="R5212" s="2">
        <v>42500</v>
      </c>
      <c r="S5212" s="2">
        <v>42509</v>
      </c>
      <c r="T5212" s="2">
        <v>42509</v>
      </c>
      <c r="U5212" s="2">
        <v>42569</v>
      </c>
      <c r="V5212" t="s">
        <v>71</v>
      </c>
      <c r="W5212" t="str">
        <f>"              3055 E"</f>
        <v xml:space="preserve">              3055 E</v>
      </c>
      <c r="X5212">
        <v>907.68</v>
      </c>
      <c r="Y5212">
        <v>0</v>
      </c>
      <c r="Z5212" s="3">
        <v>744</v>
      </c>
      <c r="AA5212">
        <v>79</v>
      </c>
      <c r="AB5212" s="5">
        <v>58776</v>
      </c>
      <c r="AC5212">
        <v>744</v>
      </c>
      <c r="AD5212">
        <v>79</v>
      </c>
      <c r="AE5212" s="1">
        <v>58776</v>
      </c>
      <c r="AF5212">
        <v>0</v>
      </c>
      <c r="AJ5212">
        <v>0</v>
      </c>
      <c r="AK5212">
        <v>0</v>
      </c>
      <c r="AL5212">
        <v>0</v>
      </c>
      <c r="AM5212">
        <v>907.68</v>
      </c>
      <c r="AN5212">
        <v>907.68</v>
      </c>
      <c r="AO5212">
        <v>907.68</v>
      </c>
      <c r="AP5212" s="2">
        <v>42746</v>
      </c>
      <c r="AQ5212" t="s">
        <v>72</v>
      </c>
      <c r="AR5212" t="s">
        <v>72</v>
      </c>
      <c r="AS5212">
        <v>2689</v>
      </c>
      <c r="AT5212" s="4">
        <v>42648</v>
      </c>
      <c r="AU5212" t="s">
        <v>73</v>
      </c>
      <c r="AV5212">
        <v>2689</v>
      </c>
      <c r="AW5212" s="4">
        <v>42648</v>
      </c>
      <c r="BD5212">
        <v>0</v>
      </c>
      <c r="BN5212" t="s">
        <v>74</v>
      </c>
    </row>
    <row r="5213" spans="1:66">
      <c r="A5213">
        <v>102094</v>
      </c>
      <c r="B5213" s="3" t="s">
        <v>542</v>
      </c>
      <c r="C5213" s="1">
        <v>43300101</v>
      </c>
      <c r="D5213" t="s">
        <v>67</v>
      </c>
      <c r="H5213" t="str">
        <f t="shared" si="553"/>
        <v>00784230872</v>
      </c>
      <c r="I5213" t="str">
        <f t="shared" si="553"/>
        <v>00784230872</v>
      </c>
      <c r="K5213" t="str">
        <f>""</f>
        <v/>
      </c>
      <c r="M5213" t="s">
        <v>68</v>
      </c>
      <c r="N5213" t="str">
        <f t="shared" si="551"/>
        <v>FOR</v>
      </c>
      <c r="O5213" t="s">
        <v>69</v>
      </c>
      <c r="P5213" s="3" t="s">
        <v>75</v>
      </c>
      <c r="Q5213">
        <v>2016</v>
      </c>
      <c r="R5213" s="2">
        <v>42500</v>
      </c>
      <c r="S5213" s="2">
        <v>42509</v>
      </c>
      <c r="T5213" s="2">
        <v>42509</v>
      </c>
      <c r="U5213" s="2">
        <v>42569</v>
      </c>
      <c r="V5213" t="s">
        <v>71</v>
      </c>
      <c r="W5213" t="str">
        <f>"              3056 E"</f>
        <v xml:space="preserve">              3056 E</v>
      </c>
      <c r="X5213">
        <v>173.24</v>
      </c>
      <c r="Y5213">
        <v>0</v>
      </c>
      <c r="Z5213" s="3">
        <v>142</v>
      </c>
      <c r="AA5213">
        <v>79</v>
      </c>
      <c r="AB5213" s="5">
        <v>11218</v>
      </c>
      <c r="AC5213">
        <v>142</v>
      </c>
      <c r="AD5213">
        <v>79</v>
      </c>
      <c r="AE5213" s="1">
        <v>11218</v>
      </c>
      <c r="AF5213">
        <v>0</v>
      </c>
      <c r="AJ5213">
        <v>0</v>
      </c>
      <c r="AK5213">
        <v>0</v>
      </c>
      <c r="AL5213">
        <v>0</v>
      </c>
      <c r="AM5213">
        <v>173.24</v>
      </c>
      <c r="AN5213">
        <v>173.24</v>
      </c>
      <c r="AO5213">
        <v>173.24</v>
      </c>
      <c r="AP5213" s="2">
        <v>42746</v>
      </c>
      <c r="AQ5213" t="s">
        <v>72</v>
      </c>
      <c r="AR5213" t="s">
        <v>72</v>
      </c>
      <c r="AS5213">
        <v>2689</v>
      </c>
      <c r="AT5213" s="4">
        <v>42648</v>
      </c>
      <c r="AU5213" t="s">
        <v>73</v>
      </c>
      <c r="AV5213">
        <v>2689</v>
      </c>
      <c r="AW5213" s="4">
        <v>42648</v>
      </c>
      <c r="BD5213">
        <v>0</v>
      </c>
      <c r="BN5213" t="s">
        <v>74</v>
      </c>
    </row>
    <row r="5214" spans="1:66">
      <c r="A5214">
        <v>102094</v>
      </c>
      <c r="B5214" s="3" t="s">
        <v>542</v>
      </c>
      <c r="C5214" s="1">
        <v>43300101</v>
      </c>
      <c r="D5214" t="s">
        <v>67</v>
      </c>
      <c r="H5214" t="str">
        <f t="shared" si="553"/>
        <v>00784230872</v>
      </c>
      <c r="I5214" t="str">
        <f t="shared" si="553"/>
        <v>00784230872</v>
      </c>
      <c r="K5214" t="str">
        <f>""</f>
        <v/>
      </c>
      <c r="M5214" t="s">
        <v>68</v>
      </c>
      <c r="N5214" t="str">
        <f t="shared" si="551"/>
        <v>FOR</v>
      </c>
      <c r="O5214" t="s">
        <v>69</v>
      </c>
      <c r="P5214" s="3" t="s">
        <v>75</v>
      </c>
      <c r="Q5214">
        <v>2016</v>
      </c>
      <c r="R5214" s="2">
        <v>42521</v>
      </c>
      <c r="S5214" s="2">
        <v>42534</v>
      </c>
      <c r="T5214" s="2">
        <v>42530</v>
      </c>
      <c r="U5214" s="2">
        <v>42590</v>
      </c>
      <c r="V5214" t="s">
        <v>71</v>
      </c>
      <c r="W5214" t="str">
        <f>"              3581 E"</f>
        <v xml:space="preserve">              3581 E</v>
      </c>
      <c r="X5214">
        <v>951.6</v>
      </c>
      <c r="Y5214">
        <v>0</v>
      </c>
      <c r="Z5214" s="3">
        <v>780</v>
      </c>
      <c r="AA5214">
        <v>58</v>
      </c>
      <c r="AB5214" s="5">
        <v>45240</v>
      </c>
      <c r="AC5214">
        <v>780</v>
      </c>
      <c r="AD5214">
        <v>58</v>
      </c>
      <c r="AE5214" s="1">
        <v>45240</v>
      </c>
      <c r="AF5214">
        <v>0</v>
      </c>
      <c r="AJ5214">
        <v>0</v>
      </c>
      <c r="AK5214">
        <v>0</v>
      </c>
      <c r="AL5214">
        <v>0</v>
      </c>
      <c r="AM5214">
        <v>951.6</v>
      </c>
      <c r="AN5214">
        <v>951.6</v>
      </c>
      <c r="AO5214">
        <v>951.6</v>
      </c>
      <c r="AP5214" s="2">
        <v>42746</v>
      </c>
      <c r="AQ5214" t="s">
        <v>72</v>
      </c>
      <c r="AR5214" t="s">
        <v>72</v>
      </c>
      <c r="AS5214">
        <v>2689</v>
      </c>
      <c r="AT5214" s="4">
        <v>42648</v>
      </c>
      <c r="AU5214" t="s">
        <v>73</v>
      </c>
      <c r="AV5214">
        <v>2689</v>
      </c>
      <c r="AW5214" s="4">
        <v>42648</v>
      </c>
      <c r="BD5214">
        <v>0</v>
      </c>
      <c r="BN5214" t="s">
        <v>74</v>
      </c>
    </row>
    <row r="5215" spans="1:66">
      <c r="A5215">
        <v>102094</v>
      </c>
      <c r="B5215" s="3" t="s">
        <v>542</v>
      </c>
      <c r="C5215" s="1">
        <v>43300101</v>
      </c>
      <c r="D5215" t="s">
        <v>67</v>
      </c>
      <c r="H5215" t="str">
        <f t="shared" si="553"/>
        <v>00784230872</v>
      </c>
      <c r="I5215" t="str">
        <f t="shared" si="553"/>
        <v>00784230872</v>
      </c>
      <c r="K5215" t="str">
        <f>""</f>
        <v/>
      </c>
      <c r="M5215" t="s">
        <v>68</v>
      </c>
      <c r="N5215" t="str">
        <f t="shared" si="551"/>
        <v>FOR</v>
      </c>
      <c r="O5215" t="s">
        <v>69</v>
      </c>
      <c r="P5215" s="3" t="s">
        <v>75</v>
      </c>
      <c r="Q5215">
        <v>2016</v>
      </c>
      <c r="R5215" s="2">
        <v>42551</v>
      </c>
      <c r="S5215" s="2">
        <v>42563</v>
      </c>
      <c r="T5215" s="2">
        <v>42558</v>
      </c>
      <c r="U5215" s="2">
        <v>42618</v>
      </c>
      <c r="V5215" t="s">
        <v>71</v>
      </c>
      <c r="W5215" t="str">
        <f>"              4298 E"</f>
        <v xml:space="preserve">              4298 E</v>
      </c>
      <c r="X5215">
        <v>346.48</v>
      </c>
      <c r="Y5215">
        <v>0</v>
      </c>
      <c r="Z5215" s="3">
        <v>284</v>
      </c>
      <c r="AA5215">
        <v>30</v>
      </c>
      <c r="AB5215" s="5">
        <v>8520</v>
      </c>
      <c r="AC5215">
        <v>284</v>
      </c>
      <c r="AD5215">
        <v>30</v>
      </c>
      <c r="AE5215" s="1">
        <v>8520</v>
      </c>
      <c r="AF5215">
        <v>0</v>
      </c>
      <c r="AJ5215">
        <v>0</v>
      </c>
      <c r="AK5215">
        <v>0</v>
      </c>
      <c r="AL5215">
        <v>0</v>
      </c>
      <c r="AM5215">
        <v>346.48</v>
      </c>
      <c r="AN5215">
        <v>346.48</v>
      </c>
      <c r="AO5215">
        <v>346.48</v>
      </c>
      <c r="AP5215" s="2">
        <v>42746</v>
      </c>
      <c r="AQ5215" t="s">
        <v>72</v>
      </c>
      <c r="AR5215" t="s">
        <v>72</v>
      </c>
      <c r="AS5215">
        <v>2689</v>
      </c>
      <c r="AT5215" s="4">
        <v>42648</v>
      </c>
      <c r="AU5215" t="s">
        <v>73</v>
      </c>
      <c r="AV5215">
        <v>2689</v>
      </c>
      <c r="AW5215" s="4">
        <v>42648</v>
      </c>
      <c r="BD5215">
        <v>0</v>
      </c>
      <c r="BN5215" t="s">
        <v>74</v>
      </c>
    </row>
    <row r="5216" spans="1:66">
      <c r="A5216">
        <v>102094</v>
      </c>
      <c r="B5216" s="3" t="s">
        <v>542</v>
      </c>
      <c r="C5216" s="1">
        <v>43300101</v>
      </c>
      <c r="D5216" t="s">
        <v>67</v>
      </c>
      <c r="H5216" t="str">
        <f t="shared" si="553"/>
        <v>00784230872</v>
      </c>
      <c r="I5216" t="str">
        <f t="shared" si="553"/>
        <v>00784230872</v>
      </c>
      <c r="K5216" t="str">
        <f>""</f>
        <v/>
      </c>
      <c r="M5216" t="s">
        <v>68</v>
      </c>
      <c r="N5216" t="str">
        <f t="shared" si="551"/>
        <v>FOR</v>
      </c>
      <c r="O5216" t="s">
        <v>69</v>
      </c>
      <c r="P5216" s="3" t="s">
        <v>75</v>
      </c>
      <c r="Q5216">
        <v>2016</v>
      </c>
      <c r="R5216" s="2">
        <v>42571</v>
      </c>
      <c r="S5216" s="2">
        <v>42584</v>
      </c>
      <c r="T5216" s="2">
        <v>42583</v>
      </c>
      <c r="U5216" s="2">
        <v>42643</v>
      </c>
      <c r="V5216" t="s">
        <v>71</v>
      </c>
      <c r="W5216" t="str">
        <f>"              4831 E"</f>
        <v xml:space="preserve">              4831 E</v>
      </c>
      <c r="X5216">
        <v>907.68</v>
      </c>
      <c r="Y5216">
        <v>0</v>
      </c>
      <c r="Z5216" s="3">
        <v>744</v>
      </c>
      <c r="AA5216">
        <v>5</v>
      </c>
      <c r="AB5216" s="5">
        <v>3720</v>
      </c>
      <c r="AC5216">
        <v>744</v>
      </c>
      <c r="AD5216">
        <v>5</v>
      </c>
      <c r="AE5216" s="1">
        <v>3720</v>
      </c>
      <c r="AF5216">
        <v>0</v>
      </c>
      <c r="AJ5216">
        <v>0</v>
      </c>
      <c r="AK5216">
        <v>0</v>
      </c>
      <c r="AL5216">
        <v>0</v>
      </c>
      <c r="AM5216">
        <v>907.68</v>
      </c>
      <c r="AN5216">
        <v>907.68</v>
      </c>
      <c r="AO5216">
        <v>907.68</v>
      </c>
      <c r="AP5216" s="2">
        <v>42746</v>
      </c>
      <c r="AQ5216" t="s">
        <v>72</v>
      </c>
      <c r="AR5216" t="s">
        <v>72</v>
      </c>
      <c r="AS5216">
        <v>2689</v>
      </c>
      <c r="AT5216" s="4">
        <v>42648</v>
      </c>
      <c r="AU5216" t="s">
        <v>73</v>
      </c>
      <c r="AV5216">
        <v>2689</v>
      </c>
      <c r="AW5216" s="4">
        <v>42648</v>
      </c>
      <c r="BD5216">
        <v>0</v>
      </c>
      <c r="BN5216" t="s">
        <v>74</v>
      </c>
    </row>
    <row r="5217" spans="1:66" hidden="1">
      <c r="A5217">
        <v>102154</v>
      </c>
      <c r="B5217" s="3" t="s">
        <v>543</v>
      </c>
      <c r="C5217" s="1">
        <v>43300101</v>
      </c>
      <c r="D5217" t="s">
        <v>67</v>
      </c>
      <c r="H5217" t="str">
        <f t="shared" ref="H5217:I5228" si="554">"03222390159"</f>
        <v>03222390159</v>
      </c>
      <c r="I5217" t="str">
        <f t="shared" si="554"/>
        <v>03222390159</v>
      </c>
      <c r="K5217" t="str">
        <f>""</f>
        <v/>
      </c>
      <c r="M5217" t="s">
        <v>68</v>
      </c>
      <c r="N5217" t="str">
        <f t="shared" si="551"/>
        <v>FOR</v>
      </c>
      <c r="O5217" t="s">
        <v>69</v>
      </c>
      <c r="P5217" s="3" t="s">
        <v>70</v>
      </c>
      <c r="Q5217">
        <v>2015</v>
      </c>
      <c r="R5217" s="2">
        <v>42038</v>
      </c>
      <c r="S5217" s="2">
        <v>42059</v>
      </c>
      <c r="T5217" s="2">
        <v>42059</v>
      </c>
      <c r="U5217" s="2">
        <v>42119</v>
      </c>
      <c r="V5217" t="s">
        <v>71</v>
      </c>
      <c r="W5217" t="str">
        <f>"          2015002552"</f>
        <v xml:space="preserve">          2015002552</v>
      </c>
      <c r="X5217" s="1">
        <v>1556.48</v>
      </c>
      <c r="Y5217">
        <v>0</v>
      </c>
      <c r="Z5217"/>
      <c r="AB5217"/>
      <c r="AC5217" s="1">
        <v>1275.8</v>
      </c>
      <c r="AD5217">
        <v>284</v>
      </c>
      <c r="AE5217" s="1">
        <v>362327.2</v>
      </c>
      <c r="AF5217">
        <v>0</v>
      </c>
      <c r="AJ5217">
        <v>0</v>
      </c>
      <c r="AK5217">
        <v>0</v>
      </c>
      <c r="AL5217">
        <v>0</v>
      </c>
      <c r="AM5217">
        <v>0</v>
      </c>
      <c r="AN5217">
        <v>0</v>
      </c>
      <c r="AO5217">
        <v>0</v>
      </c>
      <c r="AP5217" s="2">
        <v>42746</v>
      </c>
      <c r="AQ5217" t="s">
        <v>72</v>
      </c>
      <c r="AR5217" t="s">
        <v>72</v>
      </c>
      <c r="AS5217">
        <v>240</v>
      </c>
      <c r="AT5217" s="4">
        <v>42403</v>
      </c>
      <c r="AU5217" t="s">
        <v>73</v>
      </c>
      <c r="AV5217">
        <v>240</v>
      </c>
      <c r="AW5217" s="4">
        <v>42403</v>
      </c>
      <c r="BD5217">
        <v>0</v>
      </c>
      <c r="BN5217" t="s">
        <v>74</v>
      </c>
    </row>
    <row r="5218" spans="1:66" hidden="1">
      <c r="A5218">
        <v>102154</v>
      </c>
      <c r="B5218" s="3" t="s">
        <v>543</v>
      </c>
      <c r="C5218" s="1">
        <v>43300101</v>
      </c>
      <c r="D5218" t="s">
        <v>67</v>
      </c>
      <c r="H5218" t="str">
        <f t="shared" si="554"/>
        <v>03222390159</v>
      </c>
      <c r="I5218" t="str">
        <f t="shared" si="554"/>
        <v>03222390159</v>
      </c>
      <c r="K5218" t="str">
        <f>""</f>
        <v/>
      </c>
      <c r="M5218" t="s">
        <v>68</v>
      </c>
      <c r="N5218" t="str">
        <f t="shared" si="551"/>
        <v>FOR</v>
      </c>
      <c r="O5218" t="s">
        <v>69</v>
      </c>
      <c r="P5218" s="3" t="s">
        <v>75</v>
      </c>
      <c r="Q5218">
        <v>2015</v>
      </c>
      <c r="R5218" s="2">
        <v>42094</v>
      </c>
      <c r="S5218" s="2">
        <v>42171</v>
      </c>
      <c r="T5218" s="2">
        <v>42168</v>
      </c>
      <c r="U5218" s="2">
        <v>42228</v>
      </c>
      <c r="V5218" t="s">
        <v>71</v>
      </c>
      <c r="W5218" t="str">
        <f>"          2015008512"</f>
        <v xml:space="preserve">          2015008512</v>
      </c>
      <c r="X5218" s="1">
        <v>3581.62</v>
      </c>
      <c r="Y5218">
        <v>0</v>
      </c>
      <c r="Z5218"/>
      <c r="AB5218"/>
      <c r="AC5218" s="1">
        <v>2935.75</v>
      </c>
      <c r="AD5218">
        <v>299</v>
      </c>
      <c r="AE5218" s="1">
        <v>877789.25</v>
      </c>
      <c r="AF5218">
        <v>0</v>
      </c>
      <c r="AJ5218">
        <v>0</v>
      </c>
      <c r="AK5218">
        <v>0</v>
      </c>
      <c r="AL5218">
        <v>0</v>
      </c>
      <c r="AM5218">
        <v>0</v>
      </c>
      <c r="AN5218">
        <v>0</v>
      </c>
      <c r="AO5218">
        <v>0</v>
      </c>
      <c r="AP5218" s="2">
        <v>42746</v>
      </c>
      <c r="AQ5218" t="s">
        <v>72</v>
      </c>
      <c r="AR5218" t="s">
        <v>72</v>
      </c>
      <c r="AS5218">
        <v>1498</v>
      </c>
      <c r="AT5218" s="4">
        <v>42527</v>
      </c>
      <c r="AU5218" t="s">
        <v>73</v>
      </c>
      <c r="AV5218">
        <v>1498</v>
      </c>
      <c r="AW5218" s="4">
        <v>42527</v>
      </c>
      <c r="BD5218">
        <v>0</v>
      </c>
      <c r="BN5218" t="s">
        <v>74</v>
      </c>
    </row>
    <row r="5219" spans="1:66" hidden="1">
      <c r="A5219">
        <v>102154</v>
      </c>
      <c r="B5219" s="3" t="s">
        <v>543</v>
      </c>
      <c r="C5219" s="1">
        <v>43300101</v>
      </c>
      <c r="D5219" t="s">
        <v>67</v>
      </c>
      <c r="H5219" t="str">
        <f t="shared" si="554"/>
        <v>03222390159</v>
      </c>
      <c r="I5219" t="str">
        <f t="shared" si="554"/>
        <v>03222390159</v>
      </c>
      <c r="K5219" t="str">
        <f>""</f>
        <v/>
      </c>
      <c r="M5219" t="s">
        <v>68</v>
      </c>
      <c r="N5219" t="str">
        <f t="shared" si="551"/>
        <v>FOR</v>
      </c>
      <c r="O5219" t="s">
        <v>69</v>
      </c>
      <c r="P5219" s="3" t="s">
        <v>75</v>
      </c>
      <c r="Q5219">
        <v>2015</v>
      </c>
      <c r="R5219" s="2">
        <v>42124</v>
      </c>
      <c r="S5219" s="2">
        <v>42128</v>
      </c>
      <c r="T5219" s="2">
        <v>42128</v>
      </c>
      <c r="U5219" s="2">
        <v>42188</v>
      </c>
      <c r="V5219" t="s">
        <v>71</v>
      </c>
      <c r="W5219" t="str">
        <f>"          2015012335"</f>
        <v xml:space="preserve">          2015012335</v>
      </c>
      <c r="X5219">
        <v>455.55</v>
      </c>
      <c r="Y5219">
        <v>0</v>
      </c>
      <c r="Z5219"/>
      <c r="AB5219"/>
      <c r="AC5219">
        <v>373.4</v>
      </c>
      <c r="AD5219">
        <v>264</v>
      </c>
      <c r="AE5219" s="1">
        <v>98577.600000000006</v>
      </c>
      <c r="AF5219">
        <v>0</v>
      </c>
      <c r="AJ5219">
        <v>0</v>
      </c>
      <c r="AK5219">
        <v>0</v>
      </c>
      <c r="AL5219">
        <v>0</v>
      </c>
      <c r="AM5219">
        <v>0</v>
      </c>
      <c r="AN5219">
        <v>0</v>
      </c>
      <c r="AO5219">
        <v>0</v>
      </c>
      <c r="AP5219" s="2">
        <v>42746</v>
      </c>
      <c r="AQ5219" t="s">
        <v>72</v>
      </c>
      <c r="AR5219" t="s">
        <v>72</v>
      </c>
      <c r="AS5219">
        <v>773</v>
      </c>
      <c r="AT5219" s="4">
        <v>42452</v>
      </c>
      <c r="AU5219" t="s">
        <v>73</v>
      </c>
      <c r="AV5219">
        <v>773</v>
      </c>
      <c r="AW5219" s="4">
        <v>42452</v>
      </c>
      <c r="BD5219">
        <v>0</v>
      </c>
      <c r="BN5219" t="s">
        <v>74</v>
      </c>
    </row>
    <row r="5220" spans="1:66" hidden="1">
      <c r="A5220">
        <v>102154</v>
      </c>
      <c r="B5220" s="3" t="s">
        <v>543</v>
      </c>
      <c r="C5220" s="1">
        <v>43300101</v>
      </c>
      <c r="D5220" t="s">
        <v>67</v>
      </c>
      <c r="H5220" t="str">
        <f t="shared" si="554"/>
        <v>03222390159</v>
      </c>
      <c r="I5220" t="str">
        <f t="shared" si="554"/>
        <v>03222390159</v>
      </c>
      <c r="K5220" t="str">
        <f>""</f>
        <v/>
      </c>
      <c r="M5220" t="s">
        <v>68</v>
      </c>
      <c r="N5220" t="str">
        <f t="shared" si="551"/>
        <v>FOR</v>
      </c>
      <c r="O5220" t="s">
        <v>69</v>
      </c>
      <c r="P5220" s="3" t="s">
        <v>75</v>
      </c>
      <c r="Q5220">
        <v>2015</v>
      </c>
      <c r="R5220" s="2">
        <v>42177</v>
      </c>
      <c r="S5220" s="2">
        <v>42181</v>
      </c>
      <c r="T5220" s="2">
        <v>42178</v>
      </c>
      <c r="U5220" s="2">
        <v>42238</v>
      </c>
      <c r="V5220" t="s">
        <v>71</v>
      </c>
      <c r="W5220" t="str">
        <f>"          2015017286"</f>
        <v xml:space="preserve">          2015017286</v>
      </c>
      <c r="X5220">
        <v>450.91</v>
      </c>
      <c r="Y5220">
        <v>0</v>
      </c>
      <c r="Z5220"/>
      <c r="AB5220"/>
      <c r="AC5220">
        <v>369.6</v>
      </c>
      <c r="AD5220">
        <v>289</v>
      </c>
      <c r="AE5220" s="1">
        <v>106814.39999999999</v>
      </c>
      <c r="AF5220">
        <v>0</v>
      </c>
      <c r="AJ5220">
        <v>0</v>
      </c>
      <c r="AK5220">
        <v>0</v>
      </c>
      <c r="AL5220">
        <v>0</v>
      </c>
      <c r="AM5220">
        <v>0</v>
      </c>
      <c r="AN5220">
        <v>0</v>
      </c>
      <c r="AO5220">
        <v>0</v>
      </c>
      <c r="AP5220" s="2">
        <v>42746</v>
      </c>
      <c r="AQ5220" t="s">
        <v>72</v>
      </c>
      <c r="AR5220" t="s">
        <v>72</v>
      </c>
      <c r="AS5220">
        <v>1498</v>
      </c>
      <c r="AT5220" s="4">
        <v>42527</v>
      </c>
      <c r="AU5220" t="s">
        <v>73</v>
      </c>
      <c r="AV5220">
        <v>1498</v>
      </c>
      <c r="AW5220" s="4">
        <v>42527</v>
      </c>
      <c r="BD5220">
        <v>0</v>
      </c>
      <c r="BN5220" t="s">
        <v>74</v>
      </c>
    </row>
    <row r="5221" spans="1:66" hidden="1">
      <c r="A5221">
        <v>102154</v>
      </c>
      <c r="B5221" s="3" t="s">
        <v>543</v>
      </c>
      <c r="C5221" s="1">
        <v>43300101</v>
      </c>
      <c r="D5221" t="s">
        <v>67</v>
      </c>
      <c r="H5221" t="str">
        <f t="shared" si="554"/>
        <v>03222390159</v>
      </c>
      <c r="I5221" t="str">
        <f t="shared" si="554"/>
        <v>03222390159</v>
      </c>
      <c r="K5221" t="str">
        <f>""</f>
        <v/>
      </c>
      <c r="M5221" t="s">
        <v>68</v>
      </c>
      <c r="N5221" t="str">
        <f t="shared" si="551"/>
        <v>FOR</v>
      </c>
      <c r="O5221" t="s">
        <v>69</v>
      </c>
      <c r="P5221" s="3" t="s">
        <v>75</v>
      </c>
      <c r="Q5221">
        <v>2015</v>
      </c>
      <c r="R5221" s="2">
        <v>42185</v>
      </c>
      <c r="S5221" s="2">
        <v>42187</v>
      </c>
      <c r="T5221" s="2">
        <v>42186</v>
      </c>
      <c r="U5221" s="2">
        <v>42246</v>
      </c>
      <c r="V5221" t="s">
        <v>71</v>
      </c>
      <c r="W5221" t="str">
        <f>"          2015018287"</f>
        <v xml:space="preserve">          2015018287</v>
      </c>
      <c r="X5221" s="1">
        <v>3581.62</v>
      </c>
      <c r="Y5221">
        <v>0</v>
      </c>
      <c r="Z5221"/>
      <c r="AB5221"/>
      <c r="AC5221" s="1">
        <v>2935.75</v>
      </c>
      <c r="AD5221">
        <v>281</v>
      </c>
      <c r="AE5221" s="1">
        <v>824945.75</v>
      </c>
      <c r="AF5221">
        <v>0</v>
      </c>
      <c r="AJ5221">
        <v>0</v>
      </c>
      <c r="AK5221">
        <v>0</v>
      </c>
      <c r="AL5221">
        <v>0</v>
      </c>
      <c r="AM5221">
        <v>0</v>
      </c>
      <c r="AN5221">
        <v>0</v>
      </c>
      <c r="AO5221">
        <v>0</v>
      </c>
      <c r="AP5221" s="2">
        <v>42746</v>
      </c>
      <c r="AQ5221" t="s">
        <v>72</v>
      </c>
      <c r="AR5221" t="s">
        <v>72</v>
      </c>
      <c r="AS5221">
        <v>1498</v>
      </c>
      <c r="AT5221" s="4">
        <v>42527</v>
      </c>
      <c r="AU5221" t="s">
        <v>73</v>
      </c>
      <c r="AV5221">
        <v>1498</v>
      </c>
      <c r="AW5221" s="4">
        <v>42527</v>
      </c>
      <c r="BD5221">
        <v>0</v>
      </c>
      <c r="BN5221" t="s">
        <v>74</v>
      </c>
    </row>
    <row r="5222" spans="1:66" hidden="1">
      <c r="A5222">
        <v>102154</v>
      </c>
      <c r="B5222" s="3" t="s">
        <v>543</v>
      </c>
      <c r="C5222" s="1">
        <v>43300101</v>
      </c>
      <c r="D5222" t="s">
        <v>67</v>
      </c>
      <c r="H5222" t="str">
        <f t="shared" si="554"/>
        <v>03222390159</v>
      </c>
      <c r="I5222" t="str">
        <f t="shared" si="554"/>
        <v>03222390159</v>
      </c>
      <c r="K5222" t="str">
        <f>""</f>
        <v/>
      </c>
      <c r="M5222" t="s">
        <v>68</v>
      </c>
      <c r="N5222" t="str">
        <f t="shared" si="551"/>
        <v>FOR</v>
      </c>
      <c r="O5222" t="s">
        <v>69</v>
      </c>
      <c r="P5222" s="3" t="s">
        <v>75</v>
      </c>
      <c r="Q5222">
        <v>2015</v>
      </c>
      <c r="R5222" s="2">
        <v>42185</v>
      </c>
      <c r="S5222" s="2">
        <v>42191</v>
      </c>
      <c r="T5222" s="2">
        <v>42186</v>
      </c>
      <c r="U5222" s="2">
        <v>42246</v>
      </c>
      <c r="V5222" t="s">
        <v>71</v>
      </c>
      <c r="W5222" t="str">
        <f>"          2015019115"</f>
        <v xml:space="preserve">          2015019115</v>
      </c>
      <c r="X5222" s="1">
        <v>3581.19</v>
      </c>
      <c r="Y5222">
        <v>0</v>
      </c>
      <c r="Z5222"/>
      <c r="AB5222"/>
      <c r="AC5222" s="1">
        <v>2935.4</v>
      </c>
      <c r="AD5222">
        <v>281</v>
      </c>
      <c r="AE5222" s="1">
        <v>824847.4</v>
      </c>
      <c r="AF5222">
        <v>0</v>
      </c>
      <c r="AJ5222">
        <v>0</v>
      </c>
      <c r="AK5222">
        <v>0</v>
      </c>
      <c r="AL5222">
        <v>0</v>
      </c>
      <c r="AM5222">
        <v>0</v>
      </c>
      <c r="AN5222">
        <v>0</v>
      </c>
      <c r="AO5222">
        <v>0</v>
      </c>
      <c r="AP5222" s="2">
        <v>42746</v>
      </c>
      <c r="AQ5222" t="s">
        <v>72</v>
      </c>
      <c r="AR5222" t="s">
        <v>72</v>
      </c>
      <c r="AS5222">
        <v>1498</v>
      </c>
      <c r="AT5222" s="4">
        <v>42527</v>
      </c>
      <c r="AU5222" t="s">
        <v>73</v>
      </c>
      <c r="AV5222">
        <v>1498</v>
      </c>
      <c r="AW5222" s="4">
        <v>42527</v>
      </c>
      <c r="BD5222">
        <v>0</v>
      </c>
      <c r="BN5222" t="s">
        <v>74</v>
      </c>
    </row>
    <row r="5223" spans="1:66" hidden="1">
      <c r="A5223">
        <v>102154</v>
      </c>
      <c r="B5223" s="3" t="s">
        <v>543</v>
      </c>
      <c r="C5223" s="1">
        <v>43300101</v>
      </c>
      <c r="D5223" t="s">
        <v>67</v>
      </c>
      <c r="H5223" t="str">
        <f t="shared" si="554"/>
        <v>03222390159</v>
      </c>
      <c r="I5223" t="str">
        <f t="shared" si="554"/>
        <v>03222390159</v>
      </c>
      <c r="K5223" t="str">
        <f>""</f>
        <v/>
      </c>
      <c r="M5223" t="s">
        <v>68</v>
      </c>
      <c r="N5223" t="str">
        <f t="shared" si="551"/>
        <v>FOR</v>
      </c>
      <c r="O5223" t="s">
        <v>69</v>
      </c>
      <c r="P5223" s="3" t="s">
        <v>75</v>
      </c>
      <c r="Q5223">
        <v>2015</v>
      </c>
      <c r="R5223" s="2">
        <v>42212</v>
      </c>
      <c r="S5223" s="2">
        <v>42215</v>
      </c>
      <c r="T5223" s="2">
        <v>42213</v>
      </c>
      <c r="U5223" s="2">
        <v>42273</v>
      </c>
      <c r="V5223" t="s">
        <v>71</v>
      </c>
      <c r="W5223" t="str">
        <f>"          2015021602"</f>
        <v xml:space="preserve">          2015021602</v>
      </c>
      <c r="X5223">
        <v>333.06</v>
      </c>
      <c r="Y5223">
        <v>0</v>
      </c>
      <c r="Z5223"/>
      <c r="AB5223"/>
      <c r="AC5223">
        <v>273</v>
      </c>
      <c r="AD5223">
        <v>254</v>
      </c>
      <c r="AE5223" s="1">
        <v>69342</v>
      </c>
      <c r="AF5223">
        <v>0</v>
      </c>
      <c r="AJ5223">
        <v>0</v>
      </c>
      <c r="AK5223">
        <v>0</v>
      </c>
      <c r="AL5223">
        <v>0</v>
      </c>
      <c r="AM5223">
        <v>0</v>
      </c>
      <c r="AN5223">
        <v>0</v>
      </c>
      <c r="AO5223">
        <v>0</v>
      </c>
      <c r="AP5223" s="2">
        <v>42746</v>
      </c>
      <c r="AQ5223" t="s">
        <v>72</v>
      </c>
      <c r="AR5223" t="s">
        <v>72</v>
      </c>
      <c r="AS5223">
        <v>1498</v>
      </c>
      <c r="AT5223" s="4">
        <v>42527</v>
      </c>
      <c r="AU5223" t="s">
        <v>73</v>
      </c>
      <c r="AV5223">
        <v>1498</v>
      </c>
      <c r="AW5223" s="4">
        <v>42527</v>
      </c>
      <c r="BD5223">
        <v>0</v>
      </c>
      <c r="BN5223" t="s">
        <v>74</v>
      </c>
    </row>
    <row r="5224" spans="1:66" hidden="1">
      <c r="A5224">
        <v>102154</v>
      </c>
      <c r="B5224" s="3" t="s">
        <v>543</v>
      </c>
      <c r="C5224" s="1">
        <v>43300101</v>
      </c>
      <c r="D5224" t="s">
        <v>67</v>
      </c>
      <c r="H5224" t="str">
        <f t="shared" si="554"/>
        <v>03222390159</v>
      </c>
      <c r="I5224" t="str">
        <f t="shared" si="554"/>
        <v>03222390159</v>
      </c>
      <c r="K5224" t="str">
        <f>""</f>
        <v/>
      </c>
      <c r="M5224" t="s">
        <v>68</v>
      </c>
      <c r="N5224" t="str">
        <f t="shared" si="551"/>
        <v>FOR</v>
      </c>
      <c r="O5224" t="s">
        <v>69</v>
      </c>
      <c r="P5224" s="3" t="s">
        <v>75</v>
      </c>
      <c r="Q5224">
        <v>2015</v>
      </c>
      <c r="R5224" s="2">
        <v>42250</v>
      </c>
      <c r="S5224" s="2">
        <v>42251</v>
      </c>
      <c r="T5224" s="2">
        <v>42251</v>
      </c>
      <c r="U5224" s="2">
        <v>42311</v>
      </c>
      <c r="V5224" t="s">
        <v>71</v>
      </c>
      <c r="W5224" t="str">
        <f>"          2015024546"</f>
        <v xml:space="preserve">          2015024546</v>
      </c>
      <c r="X5224">
        <v>333.06</v>
      </c>
      <c r="Y5224">
        <v>0</v>
      </c>
      <c r="Z5224"/>
      <c r="AB5224"/>
      <c r="AC5224">
        <v>273</v>
      </c>
      <c r="AD5224">
        <v>309</v>
      </c>
      <c r="AE5224" s="1">
        <v>84357</v>
      </c>
      <c r="AF5224">
        <v>0</v>
      </c>
      <c r="AJ5224">
        <v>0</v>
      </c>
      <c r="AK5224">
        <v>0</v>
      </c>
      <c r="AL5224">
        <v>0</v>
      </c>
      <c r="AM5224">
        <v>0</v>
      </c>
      <c r="AN5224">
        <v>0</v>
      </c>
      <c r="AO5224">
        <v>0</v>
      </c>
      <c r="AP5224" s="2">
        <v>42746</v>
      </c>
      <c r="AQ5224" t="s">
        <v>72</v>
      </c>
      <c r="AR5224" t="s">
        <v>72</v>
      </c>
      <c r="AS5224">
        <v>2342</v>
      </c>
      <c r="AT5224" s="4">
        <v>42620</v>
      </c>
      <c r="AU5224" t="s">
        <v>73</v>
      </c>
      <c r="AV5224">
        <v>2342</v>
      </c>
      <c r="AW5224" s="4">
        <v>42620</v>
      </c>
      <c r="BD5224">
        <v>0</v>
      </c>
      <c r="BN5224" t="s">
        <v>74</v>
      </c>
    </row>
    <row r="5225" spans="1:66" hidden="1">
      <c r="A5225">
        <v>102154</v>
      </c>
      <c r="B5225" s="3" t="s">
        <v>543</v>
      </c>
      <c r="C5225" s="1">
        <v>43300101</v>
      </c>
      <c r="D5225" t="s">
        <v>67</v>
      </c>
      <c r="H5225" t="str">
        <f t="shared" si="554"/>
        <v>03222390159</v>
      </c>
      <c r="I5225" t="str">
        <f t="shared" si="554"/>
        <v>03222390159</v>
      </c>
      <c r="K5225" t="str">
        <f>""</f>
        <v/>
      </c>
      <c r="M5225" t="s">
        <v>68</v>
      </c>
      <c r="N5225" t="str">
        <f t="shared" si="551"/>
        <v>FOR</v>
      </c>
      <c r="O5225" t="s">
        <v>69</v>
      </c>
      <c r="P5225" s="3" t="s">
        <v>75</v>
      </c>
      <c r="Q5225">
        <v>2015</v>
      </c>
      <c r="R5225" s="2">
        <v>42262</v>
      </c>
      <c r="S5225" s="2">
        <v>42265</v>
      </c>
      <c r="T5225" s="2">
        <v>42263</v>
      </c>
      <c r="U5225" s="2">
        <v>42323</v>
      </c>
      <c r="V5225" t="s">
        <v>71</v>
      </c>
      <c r="W5225" t="str">
        <f>"          2015025494"</f>
        <v xml:space="preserve">          2015025494</v>
      </c>
      <c r="X5225" s="1">
        <v>2602.9899999999998</v>
      </c>
      <c r="Y5225">
        <v>0</v>
      </c>
      <c r="Z5225"/>
      <c r="AB5225"/>
      <c r="AC5225" s="1">
        <v>2133.6</v>
      </c>
      <c r="AD5225">
        <v>297</v>
      </c>
      <c r="AE5225" s="1">
        <v>633679.19999999995</v>
      </c>
      <c r="AF5225">
        <v>0</v>
      </c>
      <c r="AJ5225">
        <v>0</v>
      </c>
      <c r="AK5225">
        <v>0</v>
      </c>
      <c r="AL5225">
        <v>0</v>
      </c>
      <c r="AM5225">
        <v>0</v>
      </c>
      <c r="AN5225">
        <v>0</v>
      </c>
      <c r="AO5225">
        <v>0</v>
      </c>
      <c r="AP5225" s="2">
        <v>42746</v>
      </c>
      <c r="AQ5225" t="s">
        <v>72</v>
      </c>
      <c r="AR5225" t="s">
        <v>72</v>
      </c>
      <c r="AS5225">
        <v>2342</v>
      </c>
      <c r="AT5225" s="4">
        <v>42620</v>
      </c>
      <c r="AU5225" t="s">
        <v>73</v>
      </c>
      <c r="AV5225">
        <v>2342</v>
      </c>
      <c r="AW5225" s="4">
        <v>42620</v>
      </c>
      <c r="BD5225">
        <v>0</v>
      </c>
      <c r="BN5225" t="s">
        <v>74</v>
      </c>
    </row>
    <row r="5226" spans="1:66" hidden="1">
      <c r="A5226">
        <v>102154</v>
      </c>
      <c r="B5226" s="3" t="s">
        <v>543</v>
      </c>
      <c r="C5226" s="1">
        <v>43300101</v>
      </c>
      <c r="D5226" t="s">
        <v>67</v>
      </c>
      <c r="H5226" t="str">
        <f t="shared" si="554"/>
        <v>03222390159</v>
      </c>
      <c r="I5226" t="str">
        <f t="shared" si="554"/>
        <v>03222390159</v>
      </c>
      <c r="K5226" t="str">
        <f>""</f>
        <v/>
      </c>
      <c r="M5226" t="s">
        <v>68</v>
      </c>
      <c r="N5226" t="str">
        <f t="shared" si="551"/>
        <v>FOR</v>
      </c>
      <c r="O5226" t="s">
        <v>69</v>
      </c>
      <c r="P5226" s="3" t="s">
        <v>75</v>
      </c>
      <c r="Q5226">
        <v>2015</v>
      </c>
      <c r="R5226" s="2">
        <v>42277</v>
      </c>
      <c r="S5226" s="2">
        <v>42286</v>
      </c>
      <c r="T5226" s="2">
        <v>42284</v>
      </c>
      <c r="U5226" s="2">
        <v>42344</v>
      </c>
      <c r="V5226" t="s">
        <v>71</v>
      </c>
      <c r="W5226" t="str">
        <f>"          2015027386"</f>
        <v xml:space="preserve">          2015027386</v>
      </c>
      <c r="X5226" s="1">
        <v>3581.62</v>
      </c>
      <c r="Y5226">
        <v>0</v>
      </c>
      <c r="Z5226"/>
      <c r="AB5226"/>
      <c r="AC5226" s="1">
        <v>2935.75</v>
      </c>
      <c r="AD5226">
        <v>276</v>
      </c>
      <c r="AE5226" s="1">
        <v>810267</v>
      </c>
      <c r="AF5226">
        <v>0</v>
      </c>
      <c r="AJ5226">
        <v>0</v>
      </c>
      <c r="AK5226">
        <v>0</v>
      </c>
      <c r="AL5226">
        <v>0</v>
      </c>
      <c r="AM5226">
        <v>0</v>
      </c>
      <c r="AN5226">
        <v>0</v>
      </c>
      <c r="AO5226">
        <v>0</v>
      </c>
      <c r="AP5226" s="2">
        <v>42746</v>
      </c>
      <c r="AQ5226" t="s">
        <v>72</v>
      </c>
      <c r="AR5226" t="s">
        <v>72</v>
      </c>
      <c r="AS5226">
        <v>2342</v>
      </c>
      <c r="AT5226" s="4">
        <v>42620</v>
      </c>
      <c r="AU5226" t="s">
        <v>73</v>
      </c>
      <c r="AV5226">
        <v>2342</v>
      </c>
      <c r="AW5226" s="4">
        <v>42620</v>
      </c>
      <c r="BD5226">
        <v>0</v>
      </c>
      <c r="BN5226" t="s">
        <v>74</v>
      </c>
    </row>
    <row r="5227" spans="1:66">
      <c r="A5227">
        <v>102154</v>
      </c>
      <c r="B5227" s="3" t="s">
        <v>543</v>
      </c>
      <c r="C5227" s="1">
        <v>43300101</v>
      </c>
      <c r="D5227" t="s">
        <v>67</v>
      </c>
      <c r="H5227" t="str">
        <f t="shared" si="554"/>
        <v>03222390159</v>
      </c>
      <c r="I5227" t="str">
        <f t="shared" si="554"/>
        <v>03222390159</v>
      </c>
      <c r="K5227" t="str">
        <f>""</f>
        <v/>
      </c>
      <c r="M5227" t="s">
        <v>68</v>
      </c>
      <c r="N5227" t="str">
        <f t="shared" si="551"/>
        <v>FOR</v>
      </c>
      <c r="O5227" t="s">
        <v>69</v>
      </c>
      <c r="P5227" s="3" t="s">
        <v>75</v>
      </c>
      <c r="Q5227">
        <v>2015</v>
      </c>
      <c r="R5227" s="2">
        <v>42369</v>
      </c>
      <c r="S5227" s="2">
        <v>42369</v>
      </c>
      <c r="T5227" s="2">
        <v>42369</v>
      </c>
      <c r="U5227" s="2">
        <v>42429</v>
      </c>
      <c r="V5227" t="s">
        <v>71</v>
      </c>
      <c r="W5227" t="str">
        <f>"          2015036251"</f>
        <v xml:space="preserve">          2015036251</v>
      </c>
      <c r="X5227" s="1">
        <v>3581.62</v>
      </c>
      <c r="Y5227">
        <v>0</v>
      </c>
      <c r="Z5227" s="5">
        <v>2935.75</v>
      </c>
      <c r="AA5227">
        <v>261</v>
      </c>
      <c r="AB5227" s="5">
        <v>766230.75</v>
      </c>
      <c r="AC5227" s="1">
        <v>2935.75</v>
      </c>
      <c r="AD5227">
        <v>261</v>
      </c>
      <c r="AE5227" s="1">
        <v>766230.75</v>
      </c>
      <c r="AF5227">
        <v>0</v>
      </c>
      <c r="AJ5227">
        <v>0</v>
      </c>
      <c r="AK5227">
        <v>0</v>
      </c>
      <c r="AL5227">
        <v>0</v>
      </c>
      <c r="AM5227">
        <v>0</v>
      </c>
      <c r="AN5227">
        <v>0</v>
      </c>
      <c r="AO5227">
        <v>0</v>
      </c>
      <c r="AP5227" s="2">
        <v>42746</v>
      </c>
      <c r="AQ5227" t="s">
        <v>72</v>
      </c>
      <c r="AR5227" t="s">
        <v>72</v>
      </c>
      <c r="AS5227">
        <v>3122</v>
      </c>
      <c r="AT5227" s="4">
        <v>42690</v>
      </c>
      <c r="AU5227" t="s">
        <v>73</v>
      </c>
      <c r="AV5227">
        <v>3122</v>
      </c>
      <c r="AW5227" s="4">
        <v>42690</v>
      </c>
      <c r="BD5227">
        <v>0</v>
      </c>
      <c r="BN5227" t="s">
        <v>74</v>
      </c>
    </row>
    <row r="5228" spans="1:66">
      <c r="A5228">
        <v>102154</v>
      </c>
      <c r="B5228" s="3" t="s">
        <v>543</v>
      </c>
      <c r="C5228" s="1">
        <v>43300101</v>
      </c>
      <c r="D5228" t="s">
        <v>67</v>
      </c>
      <c r="H5228" t="str">
        <f t="shared" si="554"/>
        <v>03222390159</v>
      </c>
      <c r="I5228" t="str">
        <f t="shared" si="554"/>
        <v>03222390159</v>
      </c>
      <c r="K5228" t="str">
        <f>""</f>
        <v/>
      </c>
      <c r="M5228" t="s">
        <v>68</v>
      </c>
      <c r="N5228" t="str">
        <f t="shared" si="551"/>
        <v>FOR</v>
      </c>
      <c r="O5228" t="s">
        <v>69</v>
      </c>
      <c r="P5228" s="3" t="s">
        <v>75</v>
      </c>
      <c r="Q5228">
        <v>2016</v>
      </c>
      <c r="R5228" s="2">
        <v>42390</v>
      </c>
      <c r="S5228" s="2">
        <v>42395</v>
      </c>
      <c r="T5228" s="2">
        <v>42391</v>
      </c>
      <c r="U5228" s="2">
        <v>42451</v>
      </c>
      <c r="V5228" t="s">
        <v>71</v>
      </c>
      <c r="W5228" t="str">
        <f>"          2016001397"</f>
        <v xml:space="preserve">          2016001397</v>
      </c>
      <c r="X5228" s="1">
        <v>2889.2</v>
      </c>
      <c r="Y5228">
        <v>0</v>
      </c>
      <c r="Z5228" s="5">
        <v>2368.1999999999998</v>
      </c>
      <c r="AA5228">
        <v>239</v>
      </c>
      <c r="AB5228" s="5">
        <v>565999.80000000005</v>
      </c>
      <c r="AC5228" s="1">
        <v>2368.1999999999998</v>
      </c>
      <c r="AD5228">
        <v>239</v>
      </c>
      <c r="AE5228" s="1">
        <v>565999.80000000005</v>
      </c>
      <c r="AF5228">
        <v>0</v>
      </c>
      <c r="AJ5228">
        <v>0</v>
      </c>
      <c r="AK5228">
        <v>0</v>
      </c>
      <c r="AL5228">
        <v>0</v>
      </c>
      <c r="AM5228" s="1">
        <v>2889.2</v>
      </c>
      <c r="AN5228" s="1">
        <v>2889.2</v>
      </c>
      <c r="AO5228" s="1">
        <v>2889.2</v>
      </c>
      <c r="AP5228" s="2">
        <v>42746</v>
      </c>
      <c r="AQ5228" t="s">
        <v>72</v>
      </c>
      <c r="AR5228" t="s">
        <v>72</v>
      </c>
      <c r="AS5228">
        <v>3122</v>
      </c>
      <c r="AT5228" s="4">
        <v>42690</v>
      </c>
      <c r="AU5228" t="s">
        <v>73</v>
      </c>
      <c r="AV5228">
        <v>3122</v>
      </c>
      <c r="AW5228" s="4">
        <v>42690</v>
      </c>
      <c r="BD5228">
        <v>0</v>
      </c>
      <c r="BN5228" t="s">
        <v>74</v>
      </c>
    </row>
    <row r="5229" spans="1:66" hidden="1">
      <c r="A5229">
        <v>102159</v>
      </c>
      <c r="B5229" s="3" t="s">
        <v>544</v>
      </c>
      <c r="C5229" s="1">
        <v>43500101</v>
      </c>
      <c r="D5229" t="s">
        <v>113</v>
      </c>
      <c r="H5229" t="str">
        <f>"00938880622"</f>
        <v>00938880622</v>
      </c>
      <c r="I5229" t="str">
        <f>"00938880622"</f>
        <v>00938880622</v>
      </c>
      <c r="K5229" t="str">
        <f>""</f>
        <v/>
      </c>
      <c r="M5229" t="s">
        <v>68</v>
      </c>
      <c r="N5229" t="str">
        <f>"ALTPRO"</f>
        <v>ALTPRO</v>
      </c>
      <c r="O5229" t="s">
        <v>132</v>
      </c>
      <c r="P5229" s="3" t="s">
        <v>75</v>
      </c>
      <c r="Q5229">
        <v>2016</v>
      </c>
      <c r="R5229" s="2">
        <v>42433</v>
      </c>
      <c r="S5229" s="2">
        <v>42436</v>
      </c>
      <c r="T5229" s="2">
        <v>42433</v>
      </c>
      <c r="U5229" s="2">
        <v>42493</v>
      </c>
      <c r="V5229" t="s">
        <v>71</v>
      </c>
      <c r="W5229" t="str">
        <f>"               9\01E"</f>
        <v xml:space="preserve">               9\01E</v>
      </c>
      <c r="X5229" s="1">
        <v>1627.1</v>
      </c>
      <c r="Y5229">
        <v>-249.78</v>
      </c>
      <c r="Z5229"/>
      <c r="AB5229"/>
      <c r="AC5229" s="1">
        <v>1377.32</v>
      </c>
      <c r="AD5229">
        <v>-42</v>
      </c>
      <c r="AE5229" s="1">
        <v>-57847.44</v>
      </c>
      <c r="AF5229">
        <v>0</v>
      </c>
      <c r="AJ5229">
        <v>0</v>
      </c>
      <c r="AK5229">
        <v>0</v>
      </c>
      <c r="AL5229">
        <v>0</v>
      </c>
      <c r="AM5229" s="1">
        <v>1377.32</v>
      </c>
      <c r="AN5229" s="1">
        <v>1377.32</v>
      </c>
      <c r="AO5229" s="1">
        <v>1377.32</v>
      </c>
      <c r="AP5229" s="2">
        <v>42746</v>
      </c>
      <c r="AQ5229" t="s">
        <v>72</v>
      </c>
      <c r="AR5229" t="s">
        <v>72</v>
      </c>
      <c r="AS5229">
        <v>751</v>
      </c>
      <c r="AT5229" s="4">
        <v>42451</v>
      </c>
      <c r="AV5229">
        <v>751</v>
      </c>
      <c r="AW5229" s="4">
        <v>42451</v>
      </c>
      <c r="BD5229">
        <v>0</v>
      </c>
      <c r="BN5229" t="s">
        <v>74</v>
      </c>
    </row>
    <row r="5230" spans="1:66" hidden="1">
      <c r="A5230">
        <v>102175</v>
      </c>
      <c r="B5230" s="3" t="s">
        <v>545</v>
      </c>
      <c r="C5230" s="1">
        <v>43300101</v>
      </c>
      <c r="D5230" t="s">
        <v>67</v>
      </c>
      <c r="H5230" t="str">
        <f>"08381910150"</f>
        <v>08381910150</v>
      </c>
      <c r="I5230" t="str">
        <f>"08381910150"</f>
        <v>08381910150</v>
      </c>
      <c r="K5230" t="str">
        <f>""</f>
        <v/>
      </c>
      <c r="M5230" t="s">
        <v>68</v>
      </c>
      <c r="N5230" t="str">
        <f t="shared" ref="N5230:N5275" si="555">"FOR"</f>
        <v>FOR</v>
      </c>
      <c r="O5230" t="s">
        <v>69</v>
      </c>
      <c r="P5230" s="3" t="s">
        <v>70</v>
      </c>
      <c r="Q5230">
        <v>2015</v>
      </c>
      <c r="R5230" s="2">
        <v>42069</v>
      </c>
      <c r="S5230" s="2">
        <v>42080</v>
      </c>
      <c r="T5230" s="2">
        <v>42080</v>
      </c>
      <c r="U5230" s="2">
        <v>42140</v>
      </c>
      <c r="V5230" t="s">
        <v>71</v>
      </c>
      <c r="W5230" t="str">
        <f>"            90000960"</f>
        <v xml:space="preserve">            90000960</v>
      </c>
      <c r="X5230" s="1">
        <v>7541.8</v>
      </c>
      <c r="Y5230">
        <v>0</v>
      </c>
      <c r="Z5230"/>
      <c r="AB5230"/>
      <c r="AC5230" s="1">
        <v>6181.8</v>
      </c>
      <c r="AD5230">
        <v>275</v>
      </c>
      <c r="AE5230" s="1">
        <v>1699995</v>
      </c>
      <c r="AF5230">
        <v>0</v>
      </c>
      <c r="AJ5230">
        <v>0</v>
      </c>
      <c r="AK5230">
        <v>0</v>
      </c>
      <c r="AL5230">
        <v>0</v>
      </c>
      <c r="AM5230">
        <v>0</v>
      </c>
      <c r="AN5230">
        <v>0</v>
      </c>
      <c r="AO5230">
        <v>0</v>
      </c>
      <c r="AP5230" s="2">
        <v>42746</v>
      </c>
      <c r="AQ5230" t="s">
        <v>72</v>
      </c>
      <c r="AR5230" t="s">
        <v>72</v>
      </c>
      <c r="AS5230">
        <v>369</v>
      </c>
      <c r="AT5230" s="4">
        <v>42415</v>
      </c>
      <c r="AU5230" t="s">
        <v>73</v>
      </c>
      <c r="AV5230">
        <v>369</v>
      </c>
      <c r="AW5230" s="4">
        <v>42415</v>
      </c>
      <c r="BD5230">
        <v>0</v>
      </c>
      <c r="BN5230" t="s">
        <v>74</v>
      </c>
    </row>
    <row r="5231" spans="1:66">
      <c r="A5231">
        <v>102175</v>
      </c>
      <c r="B5231" s="3" t="s">
        <v>545</v>
      </c>
      <c r="C5231" s="1">
        <v>43300101</v>
      </c>
      <c r="D5231" t="s">
        <v>67</v>
      </c>
      <c r="H5231" t="str">
        <f>"08381910150"</f>
        <v>08381910150</v>
      </c>
      <c r="I5231" t="str">
        <f>"08381910150"</f>
        <v>08381910150</v>
      </c>
      <c r="K5231" t="str">
        <f>""</f>
        <v/>
      </c>
      <c r="M5231" t="s">
        <v>68</v>
      </c>
      <c r="N5231" t="str">
        <f t="shared" si="555"/>
        <v>FOR</v>
      </c>
      <c r="O5231" t="s">
        <v>69</v>
      </c>
      <c r="P5231" s="3" t="s">
        <v>75</v>
      </c>
      <c r="Q5231">
        <v>2015</v>
      </c>
      <c r="R5231" s="2">
        <v>42338</v>
      </c>
      <c r="S5231" s="2">
        <v>42354</v>
      </c>
      <c r="T5231" s="2">
        <v>42353</v>
      </c>
      <c r="U5231" s="2">
        <v>42413</v>
      </c>
      <c r="V5231" t="s">
        <v>71</v>
      </c>
      <c r="W5231" t="str">
        <f>"         VP-15-00085"</f>
        <v xml:space="preserve">         VP-15-00085</v>
      </c>
      <c r="X5231" s="1">
        <v>3034.16</v>
      </c>
      <c r="Y5231">
        <v>0</v>
      </c>
      <c r="Z5231" s="5">
        <v>2487.02</v>
      </c>
      <c r="AA5231">
        <v>235</v>
      </c>
      <c r="AB5231" s="5">
        <v>584449.69999999995</v>
      </c>
      <c r="AC5231" s="1">
        <v>2487.02</v>
      </c>
      <c r="AD5231">
        <v>235</v>
      </c>
      <c r="AE5231" s="1">
        <v>584449.69999999995</v>
      </c>
      <c r="AF5231">
        <v>0</v>
      </c>
      <c r="AJ5231">
        <v>0</v>
      </c>
      <c r="AK5231">
        <v>0</v>
      </c>
      <c r="AL5231">
        <v>0</v>
      </c>
      <c r="AM5231">
        <v>0</v>
      </c>
      <c r="AN5231">
        <v>0</v>
      </c>
      <c r="AO5231">
        <v>0</v>
      </c>
      <c r="AP5231" s="2">
        <v>42746</v>
      </c>
      <c r="AQ5231" t="s">
        <v>72</v>
      </c>
      <c r="AR5231" t="s">
        <v>72</v>
      </c>
      <c r="AS5231">
        <v>2665</v>
      </c>
      <c r="AT5231" s="4">
        <v>42648</v>
      </c>
      <c r="AU5231" t="s">
        <v>73</v>
      </c>
      <c r="AV5231">
        <v>2665</v>
      </c>
      <c r="AW5231" s="4">
        <v>42648</v>
      </c>
      <c r="BD5231">
        <v>0</v>
      </c>
      <c r="BN5231" t="s">
        <v>74</v>
      </c>
    </row>
    <row r="5232" spans="1:66" hidden="1">
      <c r="A5232">
        <v>102209</v>
      </c>
      <c r="B5232" s="3" t="s">
        <v>546</v>
      </c>
      <c r="C5232" s="1">
        <v>43300101</v>
      </c>
      <c r="D5232" t="s">
        <v>67</v>
      </c>
      <c r="H5232" t="str">
        <f t="shared" ref="H5232:I5244" si="556">"00934000621"</f>
        <v>00934000621</v>
      </c>
      <c r="I5232" t="str">
        <f t="shared" si="556"/>
        <v>00934000621</v>
      </c>
      <c r="K5232" t="str">
        <f>""</f>
        <v/>
      </c>
      <c r="M5232" t="s">
        <v>68</v>
      </c>
      <c r="N5232" t="str">
        <f t="shared" si="555"/>
        <v>FOR</v>
      </c>
      <c r="O5232" t="s">
        <v>69</v>
      </c>
      <c r="P5232" s="3" t="s">
        <v>236</v>
      </c>
      <c r="Q5232">
        <v>2015</v>
      </c>
      <c r="R5232" s="2">
        <v>42320</v>
      </c>
      <c r="S5232" s="2">
        <v>42325</v>
      </c>
      <c r="T5232" s="2">
        <v>42321</v>
      </c>
      <c r="U5232" s="2">
        <v>42381</v>
      </c>
      <c r="V5232" t="s">
        <v>71</v>
      </c>
      <c r="W5232" t="str">
        <f>"     020150000030300"</f>
        <v xml:space="preserve">     020150000030300</v>
      </c>
      <c r="X5232">
        <v>18.2</v>
      </c>
      <c r="Y5232">
        <v>-1.73</v>
      </c>
      <c r="Z5232"/>
      <c r="AB5232"/>
      <c r="AC5232">
        <v>16.47</v>
      </c>
      <c r="AD5232">
        <v>49</v>
      </c>
      <c r="AE5232">
        <v>807.03</v>
      </c>
      <c r="AF5232">
        <v>0</v>
      </c>
      <c r="AJ5232">
        <v>0</v>
      </c>
      <c r="AK5232">
        <v>0</v>
      </c>
      <c r="AL5232">
        <v>0</v>
      </c>
      <c r="AM5232">
        <v>0</v>
      </c>
      <c r="AN5232">
        <v>0</v>
      </c>
      <c r="AO5232">
        <v>0</v>
      </c>
      <c r="AP5232" s="2">
        <v>42746</v>
      </c>
      <c r="AQ5232" t="s">
        <v>72</v>
      </c>
      <c r="AR5232" t="s">
        <v>72</v>
      </c>
      <c r="AS5232">
        <v>599</v>
      </c>
      <c r="AT5232" s="4">
        <v>42430</v>
      </c>
      <c r="AU5232" t="s">
        <v>73</v>
      </c>
      <c r="AV5232">
        <v>599</v>
      </c>
      <c r="AW5232" s="4">
        <v>42430</v>
      </c>
      <c r="BD5232">
        <v>0</v>
      </c>
      <c r="BN5232" t="s">
        <v>74</v>
      </c>
    </row>
    <row r="5233" spans="1:66" hidden="1">
      <c r="A5233">
        <v>102209</v>
      </c>
      <c r="B5233" s="3" t="s">
        <v>546</v>
      </c>
      <c r="C5233" s="1">
        <v>43300101</v>
      </c>
      <c r="D5233" t="s">
        <v>67</v>
      </c>
      <c r="H5233" t="str">
        <f t="shared" si="556"/>
        <v>00934000621</v>
      </c>
      <c r="I5233" t="str">
        <f t="shared" si="556"/>
        <v>00934000621</v>
      </c>
      <c r="K5233" t="str">
        <f>""</f>
        <v/>
      </c>
      <c r="M5233" t="s">
        <v>68</v>
      </c>
      <c r="N5233" t="str">
        <f t="shared" si="555"/>
        <v>FOR</v>
      </c>
      <c r="O5233" t="s">
        <v>69</v>
      </c>
      <c r="P5233" s="3" t="s">
        <v>75</v>
      </c>
      <c r="Q5233">
        <v>2015</v>
      </c>
      <c r="R5233" s="2">
        <v>42320</v>
      </c>
      <c r="S5233" s="2">
        <v>42325</v>
      </c>
      <c r="T5233" s="2">
        <v>42321</v>
      </c>
      <c r="U5233" s="2">
        <v>42381</v>
      </c>
      <c r="V5233" t="s">
        <v>71</v>
      </c>
      <c r="W5233" t="str">
        <f>"     020150000030400"</f>
        <v xml:space="preserve">     020150000030400</v>
      </c>
      <c r="X5233" s="1">
        <v>38988.42</v>
      </c>
      <c r="Y5233" s="1">
        <v>-3544.48</v>
      </c>
      <c r="Z5233"/>
      <c r="AB5233"/>
      <c r="AC5233" s="1">
        <v>35443.94</v>
      </c>
      <c r="AD5233">
        <v>49</v>
      </c>
      <c r="AE5233" s="1">
        <v>1736753.06</v>
      </c>
      <c r="AF5233">
        <v>0</v>
      </c>
      <c r="AJ5233">
        <v>0</v>
      </c>
      <c r="AK5233">
        <v>0</v>
      </c>
      <c r="AL5233">
        <v>0</v>
      </c>
      <c r="AM5233">
        <v>0</v>
      </c>
      <c r="AN5233">
        <v>0</v>
      </c>
      <c r="AO5233">
        <v>0</v>
      </c>
      <c r="AP5233" s="2">
        <v>42746</v>
      </c>
      <c r="AQ5233" t="s">
        <v>72</v>
      </c>
      <c r="AR5233" t="s">
        <v>72</v>
      </c>
      <c r="AS5233">
        <v>599</v>
      </c>
      <c r="AT5233" s="4">
        <v>42430</v>
      </c>
      <c r="AU5233" t="s">
        <v>73</v>
      </c>
      <c r="AV5233">
        <v>599</v>
      </c>
      <c r="AW5233" s="4">
        <v>42430</v>
      </c>
      <c r="BD5233">
        <v>0</v>
      </c>
      <c r="BN5233" t="s">
        <v>74</v>
      </c>
    </row>
    <row r="5234" spans="1:66" hidden="1">
      <c r="A5234">
        <v>102209</v>
      </c>
      <c r="B5234" s="3" t="s">
        <v>546</v>
      </c>
      <c r="C5234" s="1">
        <v>43300101</v>
      </c>
      <c r="D5234" t="s">
        <v>67</v>
      </c>
      <c r="H5234" t="str">
        <f t="shared" si="556"/>
        <v>00934000621</v>
      </c>
      <c r="I5234" t="str">
        <f t="shared" si="556"/>
        <v>00934000621</v>
      </c>
      <c r="K5234" t="str">
        <f>""</f>
        <v/>
      </c>
      <c r="M5234" t="s">
        <v>68</v>
      </c>
      <c r="N5234" t="str">
        <f t="shared" si="555"/>
        <v>FOR</v>
      </c>
      <c r="O5234" t="s">
        <v>69</v>
      </c>
      <c r="P5234" s="3" t="s">
        <v>75</v>
      </c>
      <c r="Q5234">
        <v>2015</v>
      </c>
      <c r="R5234" s="2">
        <v>42367</v>
      </c>
      <c r="S5234" s="2">
        <v>42369</v>
      </c>
      <c r="T5234" s="2">
        <v>42369</v>
      </c>
      <c r="U5234" s="2">
        <v>42429</v>
      </c>
      <c r="V5234" t="s">
        <v>71</v>
      </c>
      <c r="W5234" t="str">
        <f>"     020150000064700"</f>
        <v xml:space="preserve">     020150000064700</v>
      </c>
      <c r="X5234">
        <v>16.97</v>
      </c>
      <c r="Y5234">
        <v>-1.62</v>
      </c>
      <c r="Z5234"/>
      <c r="AB5234"/>
      <c r="AC5234">
        <v>15.35</v>
      </c>
      <c r="AD5234">
        <v>1</v>
      </c>
      <c r="AE5234">
        <v>15.35</v>
      </c>
      <c r="AF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 s="2">
        <v>42746</v>
      </c>
      <c r="AQ5234" t="s">
        <v>72</v>
      </c>
      <c r="AR5234" t="s">
        <v>72</v>
      </c>
      <c r="AS5234">
        <v>599</v>
      </c>
      <c r="AT5234" s="4">
        <v>42430</v>
      </c>
      <c r="AU5234" t="s">
        <v>73</v>
      </c>
      <c r="AV5234">
        <v>599</v>
      </c>
      <c r="AW5234" s="4">
        <v>42430</v>
      </c>
      <c r="BD5234">
        <v>0</v>
      </c>
      <c r="BN5234" t="s">
        <v>74</v>
      </c>
    </row>
    <row r="5235" spans="1:66" hidden="1">
      <c r="A5235">
        <v>102209</v>
      </c>
      <c r="B5235" s="3" t="s">
        <v>546</v>
      </c>
      <c r="C5235" s="1">
        <v>43300101</v>
      </c>
      <c r="D5235" t="s">
        <v>67</v>
      </c>
      <c r="H5235" t="str">
        <f t="shared" si="556"/>
        <v>00934000621</v>
      </c>
      <c r="I5235" t="str">
        <f t="shared" si="556"/>
        <v>00934000621</v>
      </c>
      <c r="K5235" t="str">
        <f>""</f>
        <v/>
      </c>
      <c r="M5235" t="s">
        <v>68</v>
      </c>
      <c r="N5235" t="str">
        <f t="shared" si="555"/>
        <v>FOR</v>
      </c>
      <c r="O5235" t="s">
        <v>69</v>
      </c>
      <c r="P5235" s="3" t="s">
        <v>75</v>
      </c>
      <c r="Q5235">
        <v>2015</v>
      </c>
      <c r="R5235" s="2">
        <v>42367</v>
      </c>
      <c r="S5235" s="2">
        <v>42369</v>
      </c>
      <c r="T5235" s="2">
        <v>42369</v>
      </c>
      <c r="U5235" s="2">
        <v>42429</v>
      </c>
      <c r="V5235" t="s">
        <v>71</v>
      </c>
      <c r="W5235" t="str">
        <f>"     020150000064800"</f>
        <v xml:space="preserve">     020150000064800</v>
      </c>
      <c r="X5235" s="1">
        <v>42533.88</v>
      </c>
      <c r="Y5235" s="1">
        <v>-3866.79</v>
      </c>
      <c r="Z5235"/>
      <c r="AB5235"/>
      <c r="AC5235" s="1">
        <v>38667.089999999997</v>
      </c>
      <c r="AD5235">
        <v>1</v>
      </c>
      <c r="AE5235" s="1">
        <v>38667.089999999997</v>
      </c>
      <c r="AF5235">
        <v>0</v>
      </c>
      <c r="AJ5235">
        <v>0</v>
      </c>
      <c r="AK5235">
        <v>0</v>
      </c>
      <c r="AL5235">
        <v>0</v>
      </c>
      <c r="AM5235">
        <v>0</v>
      </c>
      <c r="AN5235">
        <v>0</v>
      </c>
      <c r="AO5235">
        <v>0</v>
      </c>
      <c r="AP5235" s="2">
        <v>42746</v>
      </c>
      <c r="AQ5235" t="s">
        <v>72</v>
      </c>
      <c r="AR5235" t="s">
        <v>72</v>
      </c>
      <c r="AS5235">
        <v>599</v>
      </c>
      <c r="AT5235" s="4">
        <v>42430</v>
      </c>
      <c r="AU5235" t="s">
        <v>73</v>
      </c>
      <c r="AV5235">
        <v>599</v>
      </c>
      <c r="AW5235" s="4">
        <v>42430</v>
      </c>
      <c r="BD5235">
        <v>0</v>
      </c>
      <c r="BN5235" t="s">
        <v>74</v>
      </c>
    </row>
    <row r="5236" spans="1:66" hidden="1">
      <c r="A5236">
        <v>102209</v>
      </c>
      <c r="B5236" s="3" t="s">
        <v>546</v>
      </c>
      <c r="C5236" s="1">
        <v>43300101</v>
      </c>
      <c r="D5236" t="s">
        <v>67</v>
      </c>
      <c r="H5236" t="str">
        <f t="shared" si="556"/>
        <v>00934000621</v>
      </c>
      <c r="I5236" t="str">
        <f t="shared" si="556"/>
        <v>00934000621</v>
      </c>
      <c r="K5236" t="str">
        <f>""</f>
        <v/>
      </c>
      <c r="M5236" t="s">
        <v>68</v>
      </c>
      <c r="N5236" t="str">
        <f t="shared" si="555"/>
        <v>FOR</v>
      </c>
      <c r="O5236" t="s">
        <v>69</v>
      </c>
      <c r="P5236" s="3" t="s">
        <v>182</v>
      </c>
      <c r="Q5236">
        <v>2016</v>
      </c>
      <c r="R5236" s="2">
        <v>42409</v>
      </c>
      <c r="S5236" s="2">
        <v>42415</v>
      </c>
      <c r="T5236" s="2">
        <v>42412</v>
      </c>
      <c r="U5236" s="2">
        <v>42472</v>
      </c>
      <c r="V5236" t="s">
        <v>71</v>
      </c>
      <c r="W5236" t="str">
        <f>"     020160000000100"</f>
        <v xml:space="preserve">     020160000000100</v>
      </c>
      <c r="X5236" s="1">
        <v>12130.01</v>
      </c>
      <c r="Y5236">
        <v>-973.92</v>
      </c>
      <c r="Z5236"/>
      <c r="AB5236"/>
      <c r="AC5236" s="1">
        <v>11156.09</v>
      </c>
      <c r="AD5236">
        <v>1</v>
      </c>
      <c r="AE5236" s="1">
        <v>11156.09</v>
      </c>
      <c r="AF5236">
        <v>0</v>
      </c>
      <c r="AJ5236">
        <v>0</v>
      </c>
      <c r="AK5236">
        <v>0</v>
      </c>
      <c r="AL5236">
        <v>0</v>
      </c>
      <c r="AM5236" s="1">
        <v>11156.09</v>
      </c>
      <c r="AN5236" s="1">
        <v>11156.09</v>
      </c>
      <c r="AO5236" s="1">
        <v>11156.09</v>
      </c>
      <c r="AP5236" s="2">
        <v>42746</v>
      </c>
      <c r="AQ5236" t="s">
        <v>72</v>
      </c>
      <c r="AR5236" t="s">
        <v>72</v>
      </c>
      <c r="AS5236">
        <v>1018</v>
      </c>
      <c r="AT5236" s="4">
        <v>42473</v>
      </c>
      <c r="AU5236" t="s">
        <v>73</v>
      </c>
      <c r="AV5236">
        <v>1018</v>
      </c>
      <c r="AW5236" s="4">
        <v>42473</v>
      </c>
      <c r="BD5236">
        <v>0</v>
      </c>
      <c r="BN5236" t="s">
        <v>74</v>
      </c>
    </row>
    <row r="5237" spans="1:66">
      <c r="A5237">
        <v>102209</v>
      </c>
      <c r="B5237" s="3" t="s">
        <v>546</v>
      </c>
      <c r="C5237" s="1">
        <v>43300101</v>
      </c>
      <c r="D5237" t="s">
        <v>67</v>
      </c>
      <c r="H5237" t="str">
        <f t="shared" si="556"/>
        <v>00934000621</v>
      </c>
      <c r="I5237" t="str">
        <f t="shared" si="556"/>
        <v>00934000621</v>
      </c>
      <c r="K5237" t="str">
        <f>""</f>
        <v/>
      </c>
      <c r="M5237" t="s">
        <v>68</v>
      </c>
      <c r="N5237" t="str">
        <f t="shared" si="555"/>
        <v>FOR</v>
      </c>
      <c r="O5237" t="s">
        <v>69</v>
      </c>
      <c r="P5237" s="3" t="s">
        <v>75</v>
      </c>
      <c r="Q5237">
        <v>2016</v>
      </c>
      <c r="R5237" s="2">
        <v>42531</v>
      </c>
      <c r="S5237" s="2">
        <v>42702</v>
      </c>
      <c r="T5237" s="2">
        <v>42698</v>
      </c>
      <c r="U5237" s="2">
        <v>42758</v>
      </c>
      <c r="V5237" t="s">
        <v>71</v>
      </c>
      <c r="W5237" t="str">
        <f>"    4016012000000004"</f>
        <v xml:space="preserve">    4016012000000004</v>
      </c>
      <c r="X5237" s="1">
        <v>16670.669999999998</v>
      </c>
      <c r="Y5237" s="1">
        <v>-1515.52</v>
      </c>
      <c r="Z5237" s="5">
        <v>15155.15</v>
      </c>
      <c r="AA5237">
        <v>-39</v>
      </c>
      <c r="AB5237" s="5">
        <v>-591050.85</v>
      </c>
      <c r="AC5237" s="1">
        <v>15155.15</v>
      </c>
      <c r="AD5237">
        <v>-39</v>
      </c>
      <c r="AE5237" s="1">
        <v>-591050.85</v>
      </c>
      <c r="AF5237">
        <v>0</v>
      </c>
      <c r="AJ5237">
        <v>0</v>
      </c>
      <c r="AK5237" s="1">
        <v>15155.15</v>
      </c>
      <c r="AL5237">
        <v>0</v>
      </c>
      <c r="AM5237" s="1">
        <v>15155.15</v>
      </c>
      <c r="AN5237" s="1">
        <v>15155.15</v>
      </c>
      <c r="AO5237" s="1">
        <v>15155.15</v>
      </c>
      <c r="AP5237" s="2">
        <v>42746</v>
      </c>
      <c r="AQ5237" t="s">
        <v>72</v>
      </c>
      <c r="AR5237" t="s">
        <v>72</v>
      </c>
      <c r="AS5237">
        <v>3507</v>
      </c>
      <c r="AT5237" s="4">
        <v>42719</v>
      </c>
      <c r="AV5237">
        <v>3507</v>
      </c>
      <c r="AW5237" s="4">
        <v>42719</v>
      </c>
      <c r="BD5237">
        <v>0</v>
      </c>
      <c r="BN5237" t="s">
        <v>74</v>
      </c>
    </row>
    <row r="5238" spans="1:66">
      <c r="A5238">
        <v>102209</v>
      </c>
      <c r="B5238" s="3" t="s">
        <v>546</v>
      </c>
      <c r="C5238" s="1">
        <v>43300101</v>
      </c>
      <c r="D5238" t="s">
        <v>67</v>
      </c>
      <c r="H5238" t="str">
        <f t="shared" si="556"/>
        <v>00934000621</v>
      </c>
      <c r="I5238" t="str">
        <f t="shared" si="556"/>
        <v>00934000621</v>
      </c>
      <c r="K5238" t="str">
        <f>""</f>
        <v/>
      </c>
      <c r="M5238" t="s">
        <v>68</v>
      </c>
      <c r="N5238" t="str">
        <f t="shared" si="555"/>
        <v>FOR</v>
      </c>
      <c r="O5238" t="s">
        <v>69</v>
      </c>
      <c r="P5238" s="3" t="s">
        <v>75</v>
      </c>
      <c r="Q5238">
        <v>2016</v>
      </c>
      <c r="R5238" s="2">
        <v>42531</v>
      </c>
      <c r="S5238" s="2">
        <v>42702</v>
      </c>
      <c r="T5238" s="2">
        <v>42698</v>
      </c>
      <c r="U5238" s="2">
        <v>42758</v>
      </c>
      <c r="V5238" t="s">
        <v>71</v>
      </c>
      <c r="W5238" t="str">
        <f>"    4016012000000057"</f>
        <v xml:space="preserve">    4016012000000057</v>
      </c>
      <c r="X5238">
        <v>15.09</v>
      </c>
      <c r="Y5238">
        <v>-1.37</v>
      </c>
      <c r="Z5238" s="3">
        <v>13.72</v>
      </c>
      <c r="AA5238">
        <v>-39</v>
      </c>
      <c r="AB5238" s="3">
        <v>-535.08000000000004</v>
      </c>
      <c r="AC5238">
        <v>13.72</v>
      </c>
      <c r="AD5238">
        <v>-39</v>
      </c>
      <c r="AE5238">
        <v>-535.08000000000004</v>
      </c>
      <c r="AF5238">
        <v>0</v>
      </c>
      <c r="AJ5238">
        <v>0</v>
      </c>
      <c r="AK5238">
        <v>13.72</v>
      </c>
      <c r="AL5238">
        <v>0</v>
      </c>
      <c r="AM5238">
        <v>13.72</v>
      </c>
      <c r="AN5238">
        <v>13.72</v>
      </c>
      <c r="AO5238">
        <v>13.72</v>
      </c>
      <c r="AP5238" s="2">
        <v>42746</v>
      </c>
      <c r="AQ5238" t="s">
        <v>72</v>
      </c>
      <c r="AR5238" t="s">
        <v>72</v>
      </c>
      <c r="AS5238">
        <v>3507</v>
      </c>
      <c r="AT5238" s="4">
        <v>42719</v>
      </c>
      <c r="AV5238">
        <v>3507</v>
      </c>
      <c r="AW5238" s="4">
        <v>42719</v>
      </c>
      <c r="BD5238">
        <v>0</v>
      </c>
      <c r="BN5238" t="s">
        <v>74</v>
      </c>
    </row>
    <row r="5239" spans="1:66">
      <c r="A5239">
        <v>102209</v>
      </c>
      <c r="B5239" s="3" t="s">
        <v>546</v>
      </c>
      <c r="C5239" s="1">
        <v>43300101</v>
      </c>
      <c r="D5239" t="s">
        <v>67</v>
      </c>
      <c r="H5239" t="str">
        <f t="shared" si="556"/>
        <v>00934000621</v>
      </c>
      <c r="I5239" t="str">
        <f t="shared" si="556"/>
        <v>00934000621</v>
      </c>
      <c r="K5239" t="str">
        <f>""</f>
        <v/>
      </c>
      <c r="M5239" t="s">
        <v>68</v>
      </c>
      <c r="N5239" t="str">
        <f t="shared" si="555"/>
        <v>FOR</v>
      </c>
      <c r="O5239" t="s">
        <v>69</v>
      </c>
      <c r="P5239" s="3" t="s">
        <v>75</v>
      </c>
      <c r="Q5239">
        <v>2016</v>
      </c>
      <c r="R5239" s="2">
        <v>42550</v>
      </c>
      <c r="S5239" s="2">
        <v>42702</v>
      </c>
      <c r="T5239" s="2">
        <v>42698</v>
      </c>
      <c r="U5239" s="2">
        <v>42758</v>
      </c>
      <c r="V5239" t="s">
        <v>71</v>
      </c>
      <c r="W5239" t="str">
        <f>"    4016012000000384"</f>
        <v xml:space="preserve">    4016012000000384</v>
      </c>
      <c r="X5239" s="1">
        <v>21493.38</v>
      </c>
      <c r="Y5239" s="1">
        <v>-1953.94</v>
      </c>
      <c r="Z5239" s="5">
        <v>19539.439999999999</v>
      </c>
      <c r="AA5239">
        <v>-39</v>
      </c>
      <c r="AB5239" s="5">
        <v>-762038.16</v>
      </c>
      <c r="AC5239" s="1">
        <v>19539.439999999999</v>
      </c>
      <c r="AD5239">
        <v>-39</v>
      </c>
      <c r="AE5239" s="1">
        <v>-762038.16</v>
      </c>
      <c r="AF5239">
        <v>0</v>
      </c>
      <c r="AJ5239">
        <v>0</v>
      </c>
      <c r="AK5239" s="1">
        <v>19539.439999999999</v>
      </c>
      <c r="AL5239">
        <v>0</v>
      </c>
      <c r="AM5239" s="1">
        <v>19539.439999999999</v>
      </c>
      <c r="AN5239" s="1">
        <v>19539.439999999999</v>
      </c>
      <c r="AO5239" s="1">
        <v>19539.439999999999</v>
      </c>
      <c r="AP5239" s="2">
        <v>42746</v>
      </c>
      <c r="AQ5239" t="s">
        <v>72</v>
      </c>
      <c r="AR5239" t="s">
        <v>72</v>
      </c>
      <c r="AS5239">
        <v>3507</v>
      </c>
      <c r="AT5239" s="4">
        <v>42719</v>
      </c>
      <c r="AV5239">
        <v>3507</v>
      </c>
      <c r="AW5239" s="4">
        <v>42719</v>
      </c>
      <c r="BD5239">
        <v>0</v>
      </c>
      <c r="BN5239" t="s">
        <v>74</v>
      </c>
    </row>
    <row r="5240" spans="1:66" hidden="1">
      <c r="A5240">
        <v>102209</v>
      </c>
      <c r="B5240" s="3" t="s">
        <v>546</v>
      </c>
      <c r="C5240" s="1">
        <v>43300101</v>
      </c>
      <c r="D5240" t="s">
        <v>67</v>
      </c>
      <c r="H5240" t="str">
        <f t="shared" si="556"/>
        <v>00934000621</v>
      </c>
      <c r="I5240" t="str">
        <f t="shared" si="556"/>
        <v>00934000621</v>
      </c>
      <c r="K5240" t="str">
        <f>""</f>
        <v/>
      </c>
      <c r="M5240" t="s">
        <v>68</v>
      </c>
      <c r="N5240" t="str">
        <f t="shared" si="555"/>
        <v>FOR</v>
      </c>
      <c r="O5240" t="s">
        <v>69</v>
      </c>
      <c r="P5240" s="3" t="s">
        <v>75</v>
      </c>
      <c r="Q5240">
        <v>2016</v>
      </c>
      <c r="R5240" s="2">
        <v>42437</v>
      </c>
      <c r="S5240" s="2">
        <v>42445</v>
      </c>
      <c r="T5240" s="2">
        <v>42444</v>
      </c>
      <c r="U5240" s="2">
        <v>42504</v>
      </c>
      <c r="V5240" t="s">
        <v>71</v>
      </c>
      <c r="W5240" t="str">
        <f>" 8150020160000000700"</f>
        <v xml:space="preserve"> 8150020160000000700</v>
      </c>
      <c r="X5240">
        <v>21.06</v>
      </c>
      <c r="Y5240">
        <v>-1.8</v>
      </c>
      <c r="Z5240"/>
      <c r="AB5240"/>
      <c r="AC5240">
        <v>19.260000000000002</v>
      </c>
      <c r="AD5240">
        <v>23</v>
      </c>
      <c r="AE5240">
        <v>442.98</v>
      </c>
      <c r="AF5240">
        <v>0</v>
      </c>
      <c r="AJ5240">
        <v>0</v>
      </c>
      <c r="AK5240">
        <v>0</v>
      </c>
      <c r="AL5240">
        <v>0</v>
      </c>
      <c r="AM5240">
        <v>19.260000000000002</v>
      </c>
      <c r="AN5240">
        <v>19.260000000000002</v>
      </c>
      <c r="AO5240">
        <v>19.260000000000002</v>
      </c>
      <c r="AP5240" s="2">
        <v>42746</v>
      </c>
      <c r="AQ5240" t="s">
        <v>72</v>
      </c>
      <c r="AR5240" t="s">
        <v>72</v>
      </c>
      <c r="AS5240">
        <v>1490</v>
      </c>
      <c r="AT5240" s="4">
        <v>42527</v>
      </c>
      <c r="AU5240" t="s">
        <v>73</v>
      </c>
      <c r="AV5240">
        <v>1490</v>
      </c>
      <c r="AW5240" s="4">
        <v>42527</v>
      </c>
      <c r="BD5240">
        <v>0</v>
      </c>
      <c r="BN5240" t="s">
        <v>74</v>
      </c>
    </row>
    <row r="5241" spans="1:66" hidden="1">
      <c r="A5241">
        <v>102209</v>
      </c>
      <c r="B5241" s="3" t="s">
        <v>546</v>
      </c>
      <c r="C5241" s="1">
        <v>43300101</v>
      </c>
      <c r="D5241" t="s">
        <v>67</v>
      </c>
      <c r="H5241" t="str">
        <f t="shared" si="556"/>
        <v>00934000621</v>
      </c>
      <c r="I5241" t="str">
        <f t="shared" si="556"/>
        <v>00934000621</v>
      </c>
      <c r="K5241" t="str">
        <f>""</f>
        <v/>
      </c>
      <c r="M5241" t="s">
        <v>68</v>
      </c>
      <c r="N5241" t="str">
        <f t="shared" si="555"/>
        <v>FOR</v>
      </c>
      <c r="O5241" t="s">
        <v>69</v>
      </c>
      <c r="P5241" s="3" t="s">
        <v>75</v>
      </c>
      <c r="Q5241">
        <v>2016</v>
      </c>
      <c r="R5241" s="2">
        <v>42437</v>
      </c>
      <c r="S5241" s="2">
        <v>42445</v>
      </c>
      <c r="T5241" s="2">
        <v>42444</v>
      </c>
      <c r="U5241" s="2">
        <v>42504</v>
      </c>
      <c r="V5241" t="s">
        <v>71</v>
      </c>
      <c r="W5241" t="str">
        <f>" 8150020160000000800"</f>
        <v xml:space="preserve"> 8150020160000000800</v>
      </c>
      <c r="X5241" s="1">
        <v>23025.71</v>
      </c>
      <c r="Y5241" s="1">
        <v>-1952.64</v>
      </c>
      <c r="Z5241"/>
      <c r="AB5241"/>
      <c r="AC5241" s="1">
        <v>21073.07</v>
      </c>
      <c r="AD5241">
        <v>23</v>
      </c>
      <c r="AE5241" s="1">
        <v>484680.61</v>
      </c>
      <c r="AF5241">
        <v>0</v>
      </c>
      <c r="AJ5241">
        <v>0</v>
      </c>
      <c r="AK5241">
        <v>0</v>
      </c>
      <c r="AL5241">
        <v>0</v>
      </c>
      <c r="AM5241" s="1">
        <v>21073.07</v>
      </c>
      <c r="AN5241" s="1">
        <v>21073.07</v>
      </c>
      <c r="AO5241" s="1">
        <v>21073.07</v>
      </c>
      <c r="AP5241" s="2">
        <v>42746</v>
      </c>
      <c r="AQ5241" t="s">
        <v>72</v>
      </c>
      <c r="AR5241" t="s">
        <v>72</v>
      </c>
      <c r="AS5241">
        <v>1490</v>
      </c>
      <c r="AT5241" s="4">
        <v>42527</v>
      </c>
      <c r="AU5241" t="s">
        <v>73</v>
      </c>
      <c r="AV5241">
        <v>1490</v>
      </c>
      <c r="AW5241" s="4">
        <v>42527</v>
      </c>
      <c r="BD5241">
        <v>0</v>
      </c>
      <c r="BN5241" t="s">
        <v>74</v>
      </c>
    </row>
    <row r="5242" spans="1:66" hidden="1">
      <c r="A5242">
        <v>102209</v>
      </c>
      <c r="B5242" s="3" t="s">
        <v>546</v>
      </c>
      <c r="C5242" s="1">
        <v>43300101</v>
      </c>
      <c r="D5242" t="s">
        <v>67</v>
      </c>
      <c r="H5242" t="str">
        <f t="shared" si="556"/>
        <v>00934000621</v>
      </c>
      <c r="I5242" t="str">
        <f t="shared" si="556"/>
        <v>00934000621</v>
      </c>
      <c r="K5242" t="str">
        <f>""</f>
        <v/>
      </c>
      <c r="M5242" t="s">
        <v>68</v>
      </c>
      <c r="N5242" t="str">
        <f t="shared" si="555"/>
        <v>FOR</v>
      </c>
      <c r="O5242" t="s">
        <v>69</v>
      </c>
      <c r="P5242" s="3" t="s">
        <v>75</v>
      </c>
      <c r="Q5242">
        <v>2016</v>
      </c>
      <c r="R5242" s="2">
        <v>42475</v>
      </c>
      <c r="S5242" s="2">
        <v>42496</v>
      </c>
      <c r="T5242" s="2">
        <v>42495</v>
      </c>
      <c r="U5242" s="2">
        <v>42555</v>
      </c>
      <c r="V5242" t="s">
        <v>71</v>
      </c>
      <c r="W5242" t="str">
        <f>" 8150020160000004400"</f>
        <v xml:space="preserve"> 8150020160000004400</v>
      </c>
      <c r="X5242">
        <v>6.71</v>
      </c>
      <c r="Y5242">
        <v>-0.61</v>
      </c>
      <c r="Z5242"/>
      <c r="AB5242"/>
      <c r="AC5242">
        <v>6.1</v>
      </c>
      <c r="AD5242">
        <v>23</v>
      </c>
      <c r="AE5242">
        <v>140.30000000000001</v>
      </c>
      <c r="AF5242">
        <v>0</v>
      </c>
      <c r="AJ5242">
        <v>0</v>
      </c>
      <c r="AK5242">
        <v>0</v>
      </c>
      <c r="AL5242">
        <v>0</v>
      </c>
      <c r="AM5242">
        <v>6.1</v>
      </c>
      <c r="AN5242">
        <v>6.1</v>
      </c>
      <c r="AO5242">
        <v>6.1</v>
      </c>
      <c r="AP5242" s="2">
        <v>42746</v>
      </c>
      <c r="AQ5242" t="s">
        <v>72</v>
      </c>
      <c r="AR5242" t="s">
        <v>72</v>
      </c>
      <c r="AS5242">
        <v>1993</v>
      </c>
      <c r="AT5242" s="4">
        <v>42578</v>
      </c>
      <c r="AU5242" t="s">
        <v>73</v>
      </c>
      <c r="AV5242">
        <v>1993</v>
      </c>
      <c r="AW5242" s="4">
        <v>42578</v>
      </c>
      <c r="BD5242">
        <v>0</v>
      </c>
      <c r="BN5242" t="s">
        <v>74</v>
      </c>
    </row>
    <row r="5243" spans="1:66" hidden="1">
      <c r="A5243">
        <v>102209</v>
      </c>
      <c r="B5243" s="3" t="s">
        <v>546</v>
      </c>
      <c r="C5243" s="1">
        <v>43300101</v>
      </c>
      <c r="D5243" t="s">
        <v>67</v>
      </c>
      <c r="H5243" t="str">
        <f t="shared" si="556"/>
        <v>00934000621</v>
      </c>
      <c r="I5243" t="str">
        <f t="shared" si="556"/>
        <v>00934000621</v>
      </c>
      <c r="K5243" t="str">
        <f>""</f>
        <v/>
      </c>
      <c r="M5243" t="s">
        <v>68</v>
      </c>
      <c r="N5243" t="str">
        <f t="shared" si="555"/>
        <v>FOR</v>
      </c>
      <c r="O5243" t="s">
        <v>69</v>
      </c>
      <c r="P5243" s="3" t="s">
        <v>75</v>
      </c>
      <c r="Q5243">
        <v>2016</v>
      </c>
      <c r="R5243" s="2">
        <v>42475</v>
      </c>
      <c r="S5243" s="2">
        <v>42496</v>
      </c>
      <c r="T5243" s="2">
        <v>42495</v>
      </c>
      <c r="U5243" s="2">
        <v>42555</v>
      </c>
      <c r="V5243" t="s">
        <v>71</v>
      </c>
      <c r="W5243" t="str">
        <f>" 8150020160000004500"</f>
        <v xml:space="preserve"> 8150020160000004500</v>
      </c>
      <c r="X5243" s="1">
        <v>17253.82</v>
      </c>
      <c r="Y5243" s="1">
        <v>-1449.25</v>
      </c>
      <c r="Z5243"/>
      <c r="AB5243"/>
      <c r="AC5243" s="1">
        <v>15804.57</v>
      </c>
      <c r="AD5243">
        <v>23</v>
      </c>
      <c r="AE5243" s="1">
        <v>363505.11</v>
      </c>
      <c r="AF5243">
        <v>0</v>
      </c>
      <c r="AJ5243">
        <v>0</v>
      </c>
      <c r="AK5243">
        <v>0</v>
      </c>
      <c r="AL5243">
        <v>0</v>
      </c>
      <c r="AM5243" s="1">
        <v>15804.57</v>
      </c>
      <c r="AN5243" s="1">
        <v>15804.57</v>
      </c>
      <c r="AO5243" s="1">
        <v>15804.57</v>
      </c>
      <c r="AP5243" s="2">
        <v>42746</v>
      </c>
      <c r="AQ5243" t="s">
        <v>72</v>
      </c>
      <c r="AR5243" t="s">
        <v>72</v>
      </c>
      <c r="AS5243">
        <v>1993</v>
      </c>
      <c r="AT5243" s="4">
        <v>42578</v>
      </c>
      <c r="AU5243" t="s">
        <v>73</v>
      </c>
      <c r="AV5243">
        <v>1993</v>
      </c>
      <c r="AW5243" s="4">
        <v>42578</v>
      </c>
      <c r="BD5243">
        <v>0</v>
      </c>
      <c r="BN5243" t="s">
        <v>74</v>
      </c>
    </row>
    <row r="5244" spans="1:66" hidden="1">
      <c r="A5244">
        <v>102209</v>
      </c>
      <c r="B5244" s="3" t="s">
        <v>546</v>
      </c>
      <c r="C5244" s="1">
        <v>43300101</v>
      </c>
      <c r="D5244" t="s">
        <v>67</v>
      </c>
      <c r="H5244" t="str">
        <f t="shared" si="556"/>
        <v>00934000621</v>
      </c>
      <c r="I5244" t="str">
        <f t="shared" si="556"/>
        <v>00934000621</v>
      </c>
      <c r="K5244" t="str">
        <f>""</f>
        <v/>
      </c>
      <c r="M5244" t="s">
        <v>68</v>
      </c>
      <c r="N5244" t="str">
        <f t="shared" si="555"/>
        <v>FOR</v>
      </c>
      <c r="O5244" t="s">
        <v>69</v>
      </c>
      <c r="P5244" s="3" t="s">
        <v>75</v>
      </c>
      <c r="Q5244">
        <v>2016</v>
      </c>
      <c r="R5244" s="2">
        <v>42489</v>
      </c>
      <c r="S5244" s="2">
        <v>42496</v>
      </c>
      <c r="T5244" s="2">
        <v>42495</v>
      </c>
      <c r="U5244" s="2">
        <v>42555</v>
      </c>
      <c r="V5244" t="s">
        <v>71</v>
      </c>
      <c r="W5244" t="str">
        <f>" 8150020160000023100"</f>
        <v xml:space="preserve"> 8150020160000023100</v>
      </c>
      <c r="X5244" s="1">
        <v>16584.009999999998</v>
      </c>
      <c r="Y5244" s="1">
        <v>-1507.64</v>
      </c>
      <c r="Z5244"/>
      <c r="AB5244"/>
      <c r="AC5244" s="1">
        <v>15076.37</v>
      </c>
      <c r="AD5244">
        <v>23</v>
      </c>
      <c r="AE5244" s="1">
        <v>346756.51</v>
      </c>
      <c r="AF5244">
        <v>0</v>
      </c>
      <c r="AJ5244">
        <v>0</v>
      </c>
      <c r="AK5244">
        <v>0</v>
      </c>
      <c r="AL5244">
        <v>0</v>
      </c>
      <c r="AM5244" s="1">
        <v>15076.37</v>
      </c>
      <c r="AN5244" s="1">
        <v>15076.37</v>
      </c>
      <c r="AO5244" s="1">
        <v>15076.37</v>
      </c>
      <c r="AP5244" s="2">
        <v>42746</v>
      </c>
      <c r="AQ5244" t="s">
        <v>72</v>
      </c>
      <c r="AR5244" t="s">
        <v>72</v>
      </c>
      <c r="AS5244">
        <v>1993</v>
      </c>
      <c r="AT5244" s="4">
        <v>42578</v>
      </c>
      <c r="AU5244" t="s">
        <v>73</v>
      </c>
      <c r="AV5244">
        <v>1993</v>
      </c>
      <c r="AW5244" s="4">
        <v>42578</v>
      </c>
      <c r="BD5244">
        <v>0</v>
      </c>
      <c r="BN5244" t="s">
        <v>74</v>
      </c>
    </row>
    <row r="5245" spans="1:66" hidden="1">
      <c r="A5245">
        <v>102264</v>
      </c>
      <c r="B5245" s="3" t="s">
        <v>547</v>
      </c>
      <c r="C5245" s="1">
        <v>43300101</v>
      </c>
      <c r="D5245" t="s">
        <v>67</v>
      </c>
      <c r="H5245" t="str">
        <f t="shared" ref="H5245:I5251" si="557">"11187430159"</f>
        <v>11187430159</v>
      </c>
      <c r="I5245" t="str">
        <f t="shared" si="557"/>
        <v>11187430159</v>
      </c>
      <c r="K5245" t="str">
        <f>""</f>
        <v/>
      </c>
      <c r="M5245" t="s">
        <v>68</v>
      </c>
      <c r="N5245" t="str">
        <f t="shared" si="555"/>
        <v>FOR</v>
      </c>
      <c r="O5245" t="s">
        <v>69</v>
      </c>
      <c r="P5245" s="3" t="s">
        <v>75</v>
      </c>
      <c r="Q5245">
        <v>2015</v>
      </c>
      <c r="R5245" s="2">
        <v>42219</v>
      </c>
      <c r="S5245" s="2">
        <v>42226</v>
      </c>
      <c r="T5245" s="2">
        <v>42223</v>
      </c>
      <c r="U5245" s="2">
        <v>42283</v>
      </c>
      <c r="V5245" t="s">
        <v>71</v>
      </c>
      <c r="W5245" t="str">
        <f>"           150017013"</f>
        <v xml:space="preserve">           150017013</v>
      </c>
      <c r="X5245" s="1">
        <v>1197.57</v>
      </c>
      <c r="Y5245">
        <v>0</v>
      </c>
      <c r="Z5245"/>
      <c r="AB5245"/>
      <c r="AC5245" s="1">
        <v>1088.7</v>
      </c>
      <c r="AD5245">
        <v>170</v>
      </c>
      <c r="AE5245" s="1">
        <v>185079</v>
      </c>
      <c r="AF5245">
        <v>0</v>
      </c>
      <c r="AJ5245">
        <v>0</v>
      </c>
      <c r="AK5245">
        <v>0</v>
      </c>
      <c r="AL5245">
        <v>0</v>
      </c>
      <c r="AM5245">
        <v>0</v>
      </c>
      <c r="AN5245">
        <v>0</v>
      </c>
      <c r="AO5245">
        <v>0</v>
      </c>
      <c r="AP5245" s="2">
        <v>42746</v>
      </c>
      <c r="AQ5245" t="s">
        <v>72</v>
      </c>
      <c r="AR5245" t="s">
        <v>72</v>
      </c>
      <c r="AS5245">
        <v>852</v>
      </c>
      <c r="AT5245" s="4">
        <v>42453</v>
      </c>
      <c r="AU5245" t="s">
        <v>73</v>
      </c>
      <c r="AV5245">
        <v>852</v>
      </c>
      <c r="AW5245" s="4">
        <v>42453</v>
      </c>
      <c r="BD5245">
        <v>0</v>
      </c>
      <c r="BN5245" t="s">
        <v>74</v>
      </c>
    </row>
    <row r="5246" spans="1:66" hidden="1">
      <c r="A5246">
        <v>102264</v>
      </c>
      <c r="B5246" s="3" t="s">
        <v>547</v>
      </c>
      <c r="C5246" s="1">
        <v>43300101</v>
      </c>
      <c r="D5246" t="s">
        <v>67</v>
      </c>
      <c r="H5246" t="str">
        <f t="shared" si="557"/>
        <v>11187430159</v>
      </c>
      <c r="I5246" t="str">
        <f t="shared" si="557"/>
        <v>11187430159</v>
      </c>
      <c r="K5246" t="str">
        <f>""</f>
        <v/>
      </c>
      <c r="M5246" t="s">
        <v>68</v>
      </c>
      <c r="N5246" t="str">
        <f t="shared" si="555"/>
        <v>FOR</v>
      </c>
      <c r="O5246" t="s">
        <v>69</v>
      </c>
      <c r="P5246" s="3" t="s">
        <v>75</v>
      </c>
      <c r="Q5246">
        <v>2015</v>
      </c>
      <c r="R5246" s="2">
        <v>42257</v>
      </c>
      <c r="S5246" s="2">
        <v>42263</v>
      </c>
      <c r="T5246" s="2">
        <v>42262</v>
      </c>
      <c r="U5246" s="2">
        <v>42322</v>
      </c>
      <c r="V5246" t="s">
        <v>71</v>
      </c>
      <c r="W5246" t="str">
        <f>"           150019408"</f>
        <v xml:space="preserve">           150019408</v>
      </c>
      <c r="X5246" s="1">
        <v>1197.57</v>
      </c>
      <c r="Y5246">
        <v>0</v>
      </c>
      <c r="Z5246"/>
      <c r="AB5246"/>
      <c r="AC5246" s="1">
        <v>1088.7</v>
      </c>
      <c r="AD5246">
        <v>131</v>
      </c>
      <c r="AE5246" s="1">
        <v>142619.70000000001</v>
      </c>
      <c r="AF5246">
        <v>0</v>
      </c>
      <c r="AJ5246">
        <v>0</v>
      </c>
      <c r="AK5246">
        <v>0</v>
      </c>
      <c r="AL5246">
        <v>0</v>
      </c>
      <c r="AM5246">
        <v>0</v>
      </c>
      <c r="AN5246">
        <v>0</v>
      </c>
      <c r="AO5246">
        <v>0</v>
      </c>
      <c r="AP5246" s="2">
        <v>42746</v>
      </c>
      <c r="AQ5246" t="s">
        <v>72</v>
      </c>
      <c r="AR5246" t="s">
        <v>72</v>
      </c>
      <c r="AS5246">
        <v>852</v>
      </c>
      <c r="AT5246" s="4">
        <v>42453</v>
      </c>
      <c r="AU5246" t="s">
        <v>73</v>
      </c>
      <c r="AV5246">
        <v>852</v>
      </c>
      <c r="AW5246" s="4">
        <v>42453</v>
      </c>
      <c r="BD5246">
        <v>0</v>
      </c>
      <c r="BN5246" t="s">
        <v>74</v>
      </c>
    </row>
    <row r="5247" spans="1:66">
      <c r="A5247">
        <v>102264</v>
      </c>
      <c r="B5247" s="3" t="s">
        <v>547</v>
      </c>
      <c r="C5247" s="1">
        <v>43300101</v>
      </c>
      <c r="D5247" t="s">
        <v>67</v>
      </c>
      <c r="H5247" t="str">
        <f t="shared" si="557"/>
        <v>11187430159</v>
      </c>
      <c r="I5247" t="str">
        <f t="shared" si="557"/>
        <v>11187430159</v>
      </c>
      <c r="K5247" t="str">
        <f>""</f>
        <v/>
      </c>
      <c r="M5247" t="s">
        <v>68</v>
      </c>
      <c r="N5247" t="str">
        <f t="shared" si="555"/>
        <v>FOR</v>
      </c>
      <c r="O5247" t="s">
        <v>69</v>
      </c>
      <c r="P5247" s="3" t="s">
        <v>75</v>
      </c>
      <c r="Q5247">
        <v>2015</v>
      </c>
      <c r="R5247" s="2">
        <v>42333</v>
      </c>
      <c r="S5247" s="2">
        <v>42338</v>
      </c>
      <c r="T5247" s="2">
        <v>42334</v>
      </c>
      <c r="U5247" s="2">
        <v>42394</v>
      </c>
      <c r="V5247" t="s">
        <v>71</v>
      </c>
      <c r="W5247" t="str">
        <f>"           150026674"</f>
        <v xml:space="preserve">           150026674</v>
      </c>
      <c r="X5247" s="1">
        <v>3080</v>
      </c>
      <c r="Y5247">
        <v>0</v>
      </c>
      <c r="Z5247" s="5">
        <v>2800</v>
      </c>
      <c r="AA5247">
        <v>289</v>
      </c>
      <c r="AB5247" s="5">
        <v>809200</v>
      </c>
      <c r="AC5247" s="1">
        <v>2800</v>
      </c>
      <c r="AD5247">
        <v>289</v>
      </c>
      <c r="AE5247" s="1">
        <v>809200</v>
      </c>
      <c r="AF5247">
        <v>0</v>
      </c>
      <c r="AJ5247">
        <v>0</v>
      </c>
      <c r="AK5247">
        <v>0</v>
      </c>
      <c r="AL5247">
        <v>0</v>
      </c>
      <c r="AM5247">
        <v>0</v>
      </c>
      <c r="AN5247">
        <v>0</v>
      </c>
      <c r="AO5247">
        <v>0</v>
      </c>
      <c r="AP5247" s="2">
        <v>42746</v>
      </c>
      <c r="AQ5247" t="s">
        <v>72</v>
      </c>
      <c r="AR5247" t="s">
        <v>72</v>
      </c>
      <c r="AS5247">
        <v>3012</v>
      </c>
      <c r="AT5247" s="4">
        <v>42683</v>
      </c>
      <c r="AU5247" t="s">
        <v>73</v>
      </c>
      <c r="AV5247">
        <v>3012</v>
      </c>
      <c r="AW5247" s="4">
        <v>42683</v>
      </c>
      <c r="BD5247">
        <v>0</v>
      </c>
      <c r="BN5247" t="s">
        <v>74</v>
      </c>
    </row>
    <row r="5248" spans="1:66">
      <c r="A5248">
        <v>102264</v>
      </c>
      <c r="B5248" s="3" t="s">
        <v>547</v>
      </c>
      <c r="C5248" s="1">
        <v>43300101</v>
      </c>
      <c r="D5248" t="s">
        <v>67</v>
      </c>
      <c r="H5248" t="str">
        <f t="shared" si="557"/>
        <v>11187430159</v>
      </c>
      <c r="I5248" t="str">
        <f t="shared" si="557"/>
        <v>11187430159</v>
      </c>
      <c r="K5248" t="str">
        <f>""</f>
        <v/>
      </c>
      <c r="M5248" t="s">
        <v>68</v>
      </c>
      <c r="N5248" t="str">
        <f t="shared" si="555"/>
        <v>FOR</v>
      </c>
      <c r="O5248" t="s">
        <v>69</v>
      </c>
      <c r="P5248" s="3" t="s">
        <v>75</v>
      </c>
      <c r="Q5248">
        <v>2016</v>
      </c>
      <c r="R5248" s="2">
        <v>42394</v>
      </c>
      <c r="S5248" s="2">
        <v>42396</v>
      </c>
      <c r="T5248" s="2">
        <v>42395</v>
      </c>
      <c r="U5248" s="2">
        <v>42455</v>
      </c>
      <c r="V5248" t="s">
        <v>71</v>
      </c>
      <c r="W5248" t="str">
        <f>"           160002169"</f>
        <v xml:space="preserve">           160002169</v>
      </c>
      <c r="X5248" s="1">
        <v>3080</v>
      </c>
      <c r="Y5248">
        <v>0</v>
      </c>
      <c r="Z5248" s="5">
        <v>2800</v>
      </c>
      <c r="AA5248">
        <v>228</v>
      </c>
      <c r="AB5248" s="5">
        <v>638400</v>
      </c>
      <c r="AC5248" s="1">
        <v>2800</v>
      </c>
      <c r="AD5248">
        <v>228</v>
      </c>
      <c r="AE5248" s="1">
        <v>638400</v>
      </c>
      <c r="AF5248">
        <v>0</v>
      </c>
      <c r="AJ5248">
        <v>0</v>
      </c>
      <c r="AK5248">
        <v>0</v>
      </c>
      <c r="AL5248">
        <v>0</v>
      </c>
      <c r="AM5248" s="1">
        <v>3080</v>
      </c>
      <c r="AN5248" s="1">
        <v>3080</v>
      </c>
      <c r="AO5248" s="1">
        <v>3080</v>
      </c>
      <c r="AP5248" s="2">
        <v>42746</v>
      </c>
      <c r="AQ5248" t="s">
        <v>72</v>
      </c>
      <c r="AR5248" t="s">
        <v>72</v>
      </c>
      <c r="AS5248">
        <v>3012</v>
      </c>
      <c r="AT5248" s="4">
        <v>42683</v>
      </c>
      <c r="AU5248" t="s">
        <v>73</v>
      </c>
      <c r="AV5248">
        <v>3012</v>
      </c>
      <c r="AW5248" s="4">
        <v>42683</v>
      </c>
      <c r="BD5248">
        <v>0</v>
      </c>
      <c r="BN5248" t="s">
        <v>74</v>
      </c>
    </row>
    <row r="5249" spans="1:66">
      <c r="A5249">
        <v>102264</v>
      </c>
      <c r="B5249" s="3" t="s">
        <v>547</v>
      </c>
      <c r="C5249" s="1">
        <v>43300101</v>
      </c>
      <c r="D5249" t="s">
        <v>67</v>
      </c>
      <c r="H5249" t="str">
        <f t="shared" si="557"/>
        <v>11187430159</v>
      </c>
      <c r="I5249" t="str">
        <f t="shared" si="557"/>
        <v>11187430159</v>
      </c>
      <c r="K5249" t="str">
        <f>""</f>
        <v/>
      </c>
      <c r="M5249" t="s">
        <v>68</v>
      </c>
      <c r="N5249" t="str">
        <f t="shared" si="555"/>
        <v>FOR</v>
      </c>
      <c r="O5249" t="s">
        <v>69</v>
      </c>
      <c r="P5249" s="3" t="s">
        <v>75</v>
      </c>
      <c r="Q5249">
        <v>2016</v>
      </c>
      <c r="R5249" s="2">
        <v>42432</v>
      </c>
      <c r="S5249" s="2">
        <v>42436</v>
      </c>
      <c r="T5249" s="2">
        <v>42433</v>
      </c>
      <c r="U5249" s="2">
        <v>42493</v>
      </c>
      <c r="V5249" t="s">
        <v>71</v>
      </c>
      <c r="W5249" t="str">
        <f>"           160006118"</f>
        <v xml:space="preserve">           160006118</v>
      </c>
      <c r="X5249" s="1">
        <v>1661.88</v>
      </c>
      <c r="Y5249">
        <v>0</v>
      </c>
      <c r="Z5249" s="5">
        <v>1510.8</v>
      </c>
      <c r="AA5249">
        <v>199</v>
      </c>
      <c r="AB5249" s="5">
        <v>300649.2</v>
      </c>
      <c r="AC5249" s="1">
        <v>1510.8</v>
      </c>
      <c r="AD5249">
        <v>199</v>
      </c>
      <c r="AE5249" s="1">
        <v>300649.2</v>
      </c>
      <c r="AF5249">
        <v>0</v>
      </c>
      <c r="AJ5249">
        <v>0</v>
      </c>
      <c r="AK5249">
        <v>0</v>
      </c>
      <c r="AL5249">
        <v>0</v>
      </c>
      <c r="AM5249" s="1">
        <v>1661.88</v>
      </c>
      <c r="AN5249" s="1">
        <v>1661.88</v>
      </c>
      <c r="AO5249" s="1">
        <v>1661.88</v>
      </c>
      <c r="AP5249" s="2">
        <v>42746</v>
      </c>
      <c r="AQ5249" t="s">
        <v>72</v>
      </c>
      <c r="AR5249" t="s">
        <v>72</v>
      </c>
      <c r="AS5249">
        <v>3164</v>
      </c>
      <c r="AT5249" s="4">
        <v>42692</v>
      </c>
      <c r="AU5249" t="s">
        <v>73</v>
      </c>
      <c r="AV5249">
        <v>3164</v>
      </c>
      <c r="AW5249" s="4">
        <v>42692</v>
      </c>
      <c r="BD5249">
        <v>0</v>
      </c>
      <c r="BN5249" t="s">
        <v>74</v>
      </c>
    </row>
    <row r="5250" spans="1:66">
      <c r="A5250">
        <v>102264</v>
      </c>
      <c r="B5250" s="3" t="s">
        <v>547</v>
      </c>
      <c r="C5250" s="1">
        <v>43300101</v>
      </c>
      <c r="D5250" t="s">
        <v>67</v>
      </c>
      <c r="H5250" t="str">
        <f t="shared" si="557"/>
        <v>11187430159</v>
      </c>
      <c r="I5250" t="str">
        <f t="shared" si="557"/>
        <v>11187430159</v>
      </c>
      <c r="K5250" t="str">
        <f>""</f>
        <v/>
      </c>
      <c r="M5250" t="s">
        <v>68</v>
      </c>
      <c r="N5250" t="str">
        <f t="shared" si="555"/>
        <v>FOR</v>
      </c>
      <c r="O5250" t="s">
        <v>69</v>
      </c>
      <c r="P5250" s="3" t="s">
        <v>75</v>
      </c>
      <c r="Q5250">
        <v>2016</v>
      </c>
      <c r="R5250" s="2">
        <v>42444</v>
      </c>
      <c r="S5250" s="2">
        <v>42446</v>
      </c>
      <c r="T5250" s="2">
        <v>42445</v>
      </c>
      <c r="U5250" s="2">
        <v>42505</v>
      </c>
      <c r="V5250" t="s">
        <v>71</v>
      </c>
      <c r="W5250" t="str">
        <f>"           160007184"</f>
        <v xml:space="preserve">           160007184</v>
      </c>
      <c r="X5250" s="1">
        <v>1107.92</v>
      </c>
      <c r="Y5250">
        <v>0</v>
      </c>
      <c r="Z5250" s="5">
        <v>1007.2</v>
      </c>
      <c r="AA5250">
        <v>187</v>
      </c>
      <c r="AB5250" s="5">
        <v>188346.4</v>
      </c>
      <c r="AC5250" s="1">
        <v>1007.2</v>
      </c>
      <c r="AD5250">
        <v>187</v>
      </c>
      <c r="AE5250" s="1">
        <v>188346.4</v>
      </c>
      <c r="AF5250">
        <v>0</v>
      </c>
      <c r="AJ5250">
        <v>0</v>
      </c>
      <c r="AK5250">
        <v>0</v>
      </c>
      <c r="AL5250">
        <v>0</v>
      </c>
      <c r="AM5250" s="1">
        <v>1107.92</v>
      </c>
      <c r="AN5250" s="1">
        <v>1107.92</v>
      </c>
      <c r="AO5250" s="1">
        <v>1107.92</v>
      </c>
      <c r="AP5250" s="2">
        <v>42746</v>
      </c>
      <c r="AQ5250" t="s">
        <v>72</v>
      </c>
      <c r="AR5250" t="s">
        <v>72</v>
      </c>
      <c r="AS5250">
        <v>3164</v>
      </c>
      <c r="AT5250" s="4">
        <v>42692</v>
      </c>
      <c r="AU5250" t="s">
        <v>73</v>
      </c>
      <c r="AV5250">
        <v>3164</v>
      </c>
      <c r="AW5250" s="4">
        <v>42692</v>
      </c>
      <c r="BD5250">
        <v>0</v>
      </c>
      <c r="BN5250" t="s">
        <v>74</v>
      </c>
    </row>
    <row r="5251" spans="1:66">
      <c r="A5251">
        <v>102264</v>
      </c>
      <c r="B5251" s="3" t="s">
        <v>547</v>
      </c>
      <c r="C5251" s="1">
        <v>43300101</v>
      </c>
      <c r="D5251" t="s">
        <v>67</v>
      </c>
      <c r="H5251" t="str">
        <f t="shared" si="557"/>
        <v>11187430159</v>
      </c>
      <c r="I5251" t="str">
        <f t="shared" si="557"/>
        <v>11187430159</v>
      </c>
      <c r="K5251" t="str">
        <f>""</f>
        <v/>
      </c>
      <c r="M5251" t="s">
        <v>68</v>
      </c>
      <c r="N5251" t="str">
        <f t="shared" si="555"/>
        <v>FOR</v>
      </c>
      <c r="O5251" t="s">
        <v>69</v>
      </c>
      <c r="P5251" s="3" t="s">
        <v>75</v>
      </c>
      <c r="Q5251">
        <v>2016</v>
      </c>
      <c r="R5251" s="2">
        <v>42452</v>
      </c>
      <c r="S5251" s="2">
        <v>42453</v>
      </c>
      <c r="T5251" s="2">
        <v>42453</v>
      </c>
      <c r="U5251" s="2">
        <v>42513</v>
      </c>
      <c r="V5251" t="s">
        <v>71</v>
      </c>
      <c r="W5251" t="str">
        <f>"           160008014"</f>
        <v xml:space="preserve">           160008014</v>
      </c>
      <c r="X5251" s="1">
        <v>1384.9</v>
      </c>
      <c r="Y5251">
        <v>0</v>
      </c>
      <c r="Z5251" s="5">
        <v>1259</v>
      </c>
      <c r="AA5251">
        <v>179</v>
      </c>
      <c r="AB5251" s="5">
        <v>225361</v>
      </c>
      <c r="AC5251" s="1">
        <v>1259</v>
      </c>
      <c r="AD5251">
        <v>179</v>
      </c>
      <c r="AE5251" s="1">
        <v>225361</v>
      </c>
      <c r="AF5251">
        <v>0</v>
      </c>
      <c r="AJ5251">
        <v>0</v>
      </c>
      <c r="AK5251">
        <v>0</v>
      </c>
      <c r="AL5251">
        <v>0</v>
      </c>
      <c r="AM5251" s="1">
        <v>1384.9</v>
      </c>
      <c r="AN5251" s="1">
        <v>1384.9</v>
      </c>
      <c r="AO5251" s="1">
        <v>1384.9</v>
      </c>
      <c r="AP5251" s="2">
        <v>42746</v>
      </c>
      <c r="AQ5251" t="s">
        <v>72</v>
      </c>
      <c r="AR5251" t="s">
        <v>72</v>
      </c>
      <c r="AS5251">
        <v>3164</v>
      </c>
      <c r="AT5251" s="4">
        <v>42692</v>
      </c>
      <c r="AU5251" t="s">
        <v>73</v>
      </c>
      <c r="AV5251">
        <v>3164</v>
      </c>
      <c r="AW5251" s="4">
        <v>42692</v>
      </c>
      <c r="BD5251">
        <v>0</v>
      </c>
      <c r="BN5251" t="s">
        <v>74</v>
      </c>
    </row>
    <row r="5252" spans="1:66">
      <c r="A5252">
        <v>102302</v>
      </c>
      <c r="B5252" s="3" t="s">
        <v>548</v>
      </c>
      <c r="C5252" s="1">
        <v>43300101</v>
      </c>
      <c r="D5252" t="s">
        <v>67</v>
      </c>
      <c r="H5252" t="str">
        <f t="shared" ref="H5252:H5261" si="558">"93517310152"</f>
        <v>93517310152</v>
      </c>
      <c r="I5252" t="str">
        <f t="shared" ref="I5252:I5261" si="559">"11492820151"</f>
        <v>11492820151</v>
      </c>
      <c r="K5252" t="str">
        <f>""</f>
        <v/>
      </c>
      <c r="M5252" t="s">
        <v>68</v>
      </c>
      <c r="N5252" t="str">
        <f t="shared" si="555"/>
        <v>FOR</v>
      </c>
      <c r="O5252" t="s">
        <v>69</v>
      </c>
      <c r="P5252" s="3" t="s">
        <v>70</v>
      </c>
      <c r="Q5252">
        <v>2015</v>
      </c>
      <c r="R5252" s="2">
        <v>42178</v>
      </c>
      <c r="S5252" s="2">
        <v>42577</v>
      </c>
      <c r="T5252" s="2">
        <v>42577</v>
      </c>
      <c r="U5252" s="2">
        <v>42637</v>
      </c>
      <c r="V5252" t="s">
        <v>71</v>
      </c>
      <c r="W5252" t="str">
        <f>"          0015209283"</f>
        <v xml:space="preserve">          0015209283</v>
      </c>
      <c r="X5252">
        <v>423.7</v>
      </c>
      <c r="Y5252">
        <v>0</v>
      </c>
      <c r="Z5252" s="3">
        <v>407.4</v>
      </c>
      <c r="AA5252">
        <v>11</v>
      </c>
      <c r="AB5252" s="5">
        <v>4481.3999999999996</v>
      </c>
      <c r="AC5252">
        <v>407.4</v>
      </c>
      <c r="AD5252">
        <v>11</v>
      </c>
      <c r="AE5252" s="1">
        <v>4481.3999999999996</v>
      </c>
      <c r="AF5252">
        <v>0</v>
      </c>
      <c r="AJ5252">
        <v>0</v>
      </c>
      <c r="AK5252">
        <v>0</v>
      </c>
      <c r="AL5252">
        <v>0</v>
      </c>
      <c r="AM5252">
        <v>0</v>
      </c>
      <c r="AN5252">
        <v>423.7</v>
      </c>
      <c r="AO5252">
        <v>0</v>
      </c>
      <c r="AP5252" s="2">
        <v>42746</v>
      </c>
      <c r="AQ5252" t="s">
        <v>72</v>
      </c>
      <c r="AR5252" t="s">
        <v>72</v>
      </c>
      <c r="AS5252">
        <v>2677</v>
      </c>
      <c r="AT5252" s="4">
        <v>42648</v>
      </c>
      <c r="AU5252" t="s">
        <v>73</v>
      </c>
      <c r="AV5252">
        <v>2677</v>
      </c>
      <c r="AW5252" s="4">
        <v>42648</v>
      </c>
      <c r="BD5252">
        <v>0</v>
      </c>
      <c r="BN5252" t="s">
        <v>74</v>
      </c>
    </row>
    <row r="5253" spans="1:66">
      <c r="A5253">
        <v>102302</v>
      </c>
      <c r="B5253" s="3" t="s">
        <v>548</v>
      </c>
      <c r="C5253" s="1">
        <v>43300101</v>
      </c>
      <c r="D5253" t="s">
        <v>67</v>
      </c>
      <c r="H5253" t="str">
        <f t="shared" si="558"/>
        <v>93517310152</v>
      </c>
      <c r="I5253" t="str">
        <f t="shared" si="559"/>
        <v>11492820151</v>
      </c>
      <c r="K5253" t="str">
        <f>""</f>
        <v/>
      </c>
      <c r="M5253" t="s">
        <v>68</v>
      </c>
      <c r="N5253" t="str">
        <f t="shared" si="555"/>
        <v>FOR</v>
      </c>
      <c r="O5253" t="s">
        <v>69</v>
      </c>
      <c r="P5253" s="3" t="s">
        <v>70</v>
      </c>
      <c r="Q5253">
        <v>2015</v>
      </c>
      <c r="R5253" s="2">
        <v>42240</v>
      </c>
      <c r="S5253" s="2">
        <v>42577</v>
      </c>
      <c r="T5253" s="2">
        <v>42577</v>
      </c>
      <c r="U5253" s="2">
        <v>42637</v>
      </c>
      <c r="V5253" t="s">
        <v>71</v>
      </c>
      <c r="W5253" t="str">
        <f>"          0015212598"</f>
        <v xml:space="preserve">          0015212598</v>
      </c>
      <c r="X5253">
        <v>207.98</v>
      </c>
      <c r="Y5253">
        <v>0</v>
      </c>
      <c r="Z5253" s="3">
        <v>199.98</v>
      </c>
      <c r="AA5253">
        <v>11</v>
      </c>
      <c r="AB5253" s="5">
        <v>2199.7800000000002</v>
      </c>
      <c r="AC5253">
        <v>199.98</v>
      </c>
      <c r="AD5253">
        <v>11</v>
      </c>
      <c r="AE5253" s="1">
        <v>2199.7800000000002</v>
      </c>
      <c r="AF5253">
        <v>0</v>
      </c>
      <c r="AJ5253">
        <v>0</v>
      </c>
      <c r="AK5253">
        <v>0</v>
      </c>
      <c r="AL5253">
        <v>0</v>
      </c>
      <c r="AM5253">
        <v>0</v>
      </c>
      <c r="AN5253">
        <v>207.98</v>
      </c>
      <c r="AO5253">
        <v>0</v>
      </c>
      <c r="AP5253" s="2">
        <v>42746</v>
      </c>
      <c r="AQ5253" t="s">
        <v>72</v>
      </c>
      <c r="AR5253" t="s">
        <v>72</v>
      </c>
      <c r="AS5253">
        <v>2677</v>
      </c>
      <c r="AT5253" s="4">
        <v>42648</v>
      </c>
      <c r="AU5253" t="s">
        <v>73</v>
      </c>
      <c r="AV5253">
        <v>2677</v>
      </c>
      <c r="AW5253" s="4">
        <v>42648</v>
      </c>
      <c r="BD5253">
        <v>0</v>
      </c>
      <c r="BN5253" t="s">
        <v>74</v>
      </c>
    </row>
    <row r="5254" spans="1:66" hidden="1">
      <c r="A5254">
        <v>102302</v>
      </c>
      <c r="B5254" s="3" t="s">
        <v>548</v>
      </c>
      <c r="C5254" s="1">
        <v>43300101</v>
      </c>
      <c r="D5254" t="s">
        <v>67</v>
      </c>
      <c r="H5254" t="str">
        <f t="shared" si="558"/>
        <v>93517310152</v>
      </c>
      <c r="I5254" t="str">
        <f t="shared" si="559"/>
        <v>11492820151</v>
      </c>
      <c r="K5254" t="str">
        <f>""</f>
        <v/>
      </c>
      <c r="M5254" t="s">
        <v>68</v>
      </c>
      <c r="N5254" t="str">
        <f t="shared" si="555"/>
        <v>FOR</v>
      </c>
      <c r="O5254" t="s">
        <v>69</v>
      </c>
      <c r="P5254" s="3" t="s">
        <v>75</v>
      </c>
      <c r="Q5254">
        <v>2015</v>
      </c>
      <c r="R5254" s="2">
        <v>42300</v>
      </c>
      <c r="S5254" s="2">
        <v>42318</v>
      </c>
      <c r="T5254" s="2">
        <v>42314</v>
      </c>
      <c r="U5254" s="2">
        <v>42374</v>
      </c>
      <c r="V5254" t="s">
        <v>71</v>
      </c>
      <c r="W5254" t="str">
        <f>"          0015215861"</f>
        <v xml:space="preserve">          0015215861</v>
      </c>
      <c r="X5254">
        <v>142.41999999999999</v>
      </c>
      <c r="Y5254">
        <v>0</v>
      </c>
      <c r="Z5254"/>
      <c r="AB5254"/>
      <c r="AC5254">
        <v>136.94</v>
      </c>
      <c r="AD5254">
        <v>34</v>
      </c>
      <c r="AE5254" s="1">
        <v>4655.96</v>
      </c>
      <c r="AF5254">
        <v>0</v>
      </c>
      <c r="AJ5254">
        <v>0</v>
      </c>
      <c r="AK5254">
        <v>0</v>
      </c>
      <c r="AL5254">
        <v>0</v>
      </c>
      <c r="AM5254">
        <v>0</v>
      </c>
      <c r="AN5254">
        <v>0</v>
      </c>
      <c r="AO5254">
        <v>0</v>
      </c>
      <c r="AP5254" s="2">
        <v>42746</v>
      </c>
      <c r="AQ5254" t="s">
        <v>72</v>
      </c>
      <c r="AR5254" t="s">
        <v>72</v>
      </c>
      <c r="AS5254">
        <v>309</v>
      </c>
      <c r="AT5254" s="4">
        <v>42408</v>
      </c>
      <c r="AU5254" t="s">
        <v>73</v>
      </c>
      <c r="AV5254">
        <v>309</v>
      </c>
      <c r="AW5254" s="4">
        <v>42408</v>
      </c>
      <c r="BD5254">
        <v>0</v>
      </c>
      <c r="BN5254" t="s">
        <v>74</v>
      </c>
    </row>
    <row r="5255" spans="1:66" hidden="1">
      <c r="A5255">
        <v>102302</v>
      </c>
      <c r="B5255" s="3" t="s">
        <v>548</v>
      </c>
      <c r="C5255" s="1">
        <v>43300101</v>
      </c>
      <c r="D5255" t="s">
        <v>67</v>
      </c>
      <c r="H5255" t="str">
        <f t="shared" si="558"/>
        <v>93517310152</v>
      </c>
      <c r="I5255" t="str">
        <f t="shared" si="559"/>
        <v>11492820151</v>
      </c>
      <c r="K5255" t="str">
        <f>""</f>
        <v/>
      </c>
      <c r="M5255" t="s">
        <v>68</v>
      </c>
      <c r="N5255" t="str">
        <f t="shared" si="555"/>
        <v>FOR</v>
      </c>
      <c r="O5255" t="s">
        <v>69</v>
      </c>
      <c r="P5255" s="3" t="s">
        <v>75</v>
      </c>
      <c r="Q5255">
        <v>2015</v>
      </c>
      <c r="R5255" s="2">
        <v>42348</v>
      </c>
      <c r="S5255" s="2">
        <v>42354</v>
      </c>
      <c r="T5255" s="2">
        <v>42353</v>
      </c>
      <c r="U5255" s="2">
        <v>42413</v>
      </c>
      <c r="V5255" t="s">
        <v>71</v>
      </c>
      <c r="W5255" t="str">
        <f>"          0015218292"</f>
        <v xml:space="preserve">          0015218292</v>
      </c>
      <c r="X5255">
        <v>635.91999999999996</v>
      </c>
      <c r="Y5255">
        <v>0</v>
      </c>
      <c r="Z5255"/>
      <c r="AB5255"/>
      <c r="AC5255">
        <v>611.46</v>
      </c>
      <c r="AD5255">
        <v>-5</v>
      </c>
      <c r="AE5255" s="1">
        <v>-3057.3</v>
      </c>
      <c r="AF5255">
        <v>0</v>
      </c>
      <c r="AJ5255">
        <v>0</v>
      </c>
      <c r="AK5255">
        <v>0</v>
      </c>
      <c r="AL5255">
        <v>0</v>
      </c>
      <c r="AM5255">
        <v>0</v>
      </c>
      <c r="AN5255">
        <v>0</v>
      </c>
      <c r="AO5255">
        <v>0</v>
      </c>
      <c r="AP5255" s="2">
        <v>42746</v>
      </c>
      <c r="AQ5255" t="s">
        <v>72</v>
      </c>
      <c r="AR5255" t="s">
        <v>72</v>
      </c>
      <c r="AS5255">
        <v>309</v>
      </c>
      <c r="AT5255" s="4">
        <v>42408</v>
      </c>
      <c r="AV5255">
        <v>309</v>
      </c>
      <c r="AW5255" s="4">
        <v>42408</v>
      </c>
      <c r="BD5255">
        <v>0</v>
      </c>
      <c r="BN5255" t="s">
        <v>74</v>
      </c>
    </row>
    <row r="5256" spans="1:66">
      <c r="A5256">
        <v>102302</v>
      </c>
      <c r="B5256" s="3" t="s">
        <v>548</v>
      </c>
      <c r="C5256" s="1">
        <v>43300101</v>
      </c>
      <c r="D5256" t="s">
        <v>67</v>
      </c>
      <c r="H5256" t="str">
        <f t="shared" si="558"/>
        <v>93517310152</v>
      </c>
      <c r="I5256" t="str">
        <f t="shared" si="559"/>
        <v>11492820151</v>
      </c>
      <c r="K5256" t="str">
        <f>""</f>
        <v/>
      </c>
      <c r="M5256" t="s">
        <v>68</v>
      </c>
      <c r="N5256" t="str">
        <f t="shared" si="555"/>
        <v>FOR</v>
      </c>
      <c r="O5256" t="s">
        <v>69</v>
      </c>
      <c r="P5256" s="3" t="s">
        <v>75</v>
      </c>
      <c r="Q5256">
        <v>2016</v>
      </c>
      <c r="R5256" s="2">
        <v>42387</v>
      </c>
      <c r="S5256" s="2">
        <v>42401</v>
      </c>
      <c r="T5256" s="2">
        <v>42397</v>
      </c>
      <c r="U5256" s="2">
        <v>42457</v>
      </c>
      <c r="V5256" t="s">
        <v>71</v>
      </c>
      <c r="W5256" t="str">
        <f>"          0016200766"</f>
        <v xml:space="preserve">          0016200766</v>
      </c>
      <c r="X5256">
        <v>102.59</v>
      </c>
      <c r="Y5256">
        <v>0</v>
      </c>
      <c r="Z5256" s="3">
        <v>98.64</v>
      </c>
      <c r="AA5256">
        <v>191</v>
      </c>
      <c r="AB5256" s="5">
        <v>18840.240000000002</v>
      </c>
      <c r="AC5256">
        <v>98.64</v>
      </c>
      <c r="AD5256">
        <v>191</v>
      </c>
      <c r="AE5256" s="1">
        <v>18840.240000000002</v>
      </c>
      <c r="AF5256">
        <v>0</v>
      </c>
      <c r="AJ5256">
        <v>0</v>
      </c>
      <c r="AK5256">
        <v>0</v>
      </c>
      <c r="AL5256">
        <v>0</v>
      </c>
      <c r="AM5256">
        <v>102.59</v>
      </c>
      <c r="AN5256">
        <v>102.59</v>
      </c>
      <c r="AO5256">
        <v>102.59</v>
      </c>
      <c r="AP5256" s="2">
        <v>42746</v>
      </c>
      <c r="AQ5256" t="s">
        <v>72</v>
      </c>
      <c r="AR5256" t="s">
        <v>72</v>
      </c>
      <c r="AS5256">
        <v>2677</v>
      </c>
      <c r="AT5256" s="4">
        <v>42648</v>
      </c>
      <c r="AU5256" t="s">
        <v>73</v>
      </c>
      <c r="AV5256">
        <v>2677</v>
      </c>
      <c r="AW5256" s="4">
        <v>42648</v>
      </c>
      <c r="BD5256">
        <v>0</v>
      </c>
      <c r="BN5256" t="s">
        <v>74</v>
      </c>
    </row>
    <row r="5257" spans="1:66">
      <c r="A5257">
        <v>102302</v>
      </c>
      <c r="B5257" s="3" t="s">
        <v>548</v>
      </c>
      <c r="C5257" s="1">
        <v>43300101</v>
      </c>
      <c r="D5257" t="s">
        <v>67</v>
      </c>
      <c r="H5257" t="str">
        <f t="shared" si="558"/>
        <v>93517310152</v>
      </c>
      <c r="I5257" t="str">
        <f t="shared" si="559"/>
        <v>11492820151</v>
      </c>
      <c r="K5257" t="str">
        <f>""</f>
        <v/>
      </c>
      <c r="M5257" t="s">
        <v>68</v>
      </c>
      <c r="N5257" t="str">
        <f t="shared" si="555"/>
        <v>FOR</v>
      </c>
      <c r="O5257" t="s">
        <v>69</v>
      </c>
      <c r="P5257" s="3" t="s">
        <v>75</v>
      </c>
      <c r="Q5257">
        <v>2016</v>
      </c>
      <c r="R5257" s="2">
        <v>42429</v>
      </c>
      <c r="S5257" s="2">
        <v>42443</v>
      </c>
      <c r="T5257" s="2">
        <v>42441</v>
      </c>
      <c r="U5257" s="2">
        <v>42501</v>
      </c>
      <c r="V5257" t="s">
        <v>71</v>
      </c>
      <c r="W5257" t="str">
        <f>"          0016203463"</f>
        <v xml:space="preserve">          0016203463</v>
      </c>
      <c r="X5257">
        <v>234</v>
      </c>
      <c r="Y5257">
        <v>0</v>
      </c>
      <c r="Z5257" s="3">
        <v>225</v>
      </c>
      <c r="AA5257">
        <v>147</v>
      </c>
      <c r="AB5257" s="5">
        <v>33075</v>
      </c>
      <c r="AC5257">
        <v>225</v>
      </c>
      <c r="AD5257">
        <v>147</v>
      </c>
      <c r="AE5257" s="1">
        <v>33075</v>
      </c>
      <c r="AF5257">
        <v>0</v>
      </c>
      <c r="AJ5257">
        <v>0</v>
      </c>
      <c r="AK5257">
        <v>0</v>
      </c>
      <c r="AL5257">
        <v>0</v>
      </c>
      <c r="AM5257">
        <v>234</v>
      </c>
      <c r="AN5257">
        <v>234</v>
      </c>
      <c r="AO5257">
        <v>234</v>
      </c>
      <c r="AP5257" s="2">
        <v>42746</v>
      </c>
      <c r="AQ5257" t="s">
        <v>72</v>
      </c>
      <c r="AR5257" t="s">
        <v>72</v>
      </c>
      <c r="AS5257">
        <v>2677</v>
      </c>
      <c r="AT5257" s="4">
        <v>42648</v>
      </c>
      <c r="AU5257" t="s">
        <v>73</v>
      </c>
      <c r="AV5257">
        <v>2677</v>
      </c>
      <c r="AW5257" s="4">
        <v>42648</v>
      </c>
      <c r="BD5257">
        <v>0</v>
      </c>
      <c r="BN5257" t="s">
        <v>74</v>
      </c>
    </row>
    <row r="5258" spans="1:66">
      <c r="A5258">
        <v>102302</v>
      </c>
      <c r="B5258" s="3" t="s">
        <v>548</v>
      </c>
      <c r="C5258" s="1">
        <v>43300101</v>
      </c>
      <c r="D5258" t="s">
        <v>67</v>
      </c>
      <c r="H5258" t="str">
        <f t="shared" si="558"/>
        <v>93517310152</v>
      </c>
      <c r="I5258" t="str">
        <f t="shared" si="559"/>
        <v>11492820151</v>
      </c>
      <c r="K5258" t="str">
        <f>""</f>
        <v/>
      </c>
      <c r="M5258" t="s">
        <v>68</v>
      </c>
      <c r="N5258" t="str">
        <f t="shared" si="555"/>
        <v>FOR</v>
      </c>
      <c r="O5258" t="s">
        <v>69</v>
      </c>
      <c r="P5258" s="3" t="s">
        <v>75</v>
      </c>
      <c r="Q5258">
        <v>2016</v>
      </c>
      <c r="R5258" s="2">
        <v>42466</v>
      </c>
      <c r="S5258" s="2">
        <v>42473</v>
      </c>
      <c r="T5258" s="2">
        <v>42468</v>
      </c>
      <c r="U5258" s="2">
        <v>42528</v>
      </c>
      <c r="V5258" t="s">
        <v>71</v>
      </c>
      <c r="W5258" t="str">
        <f>"          0016205968"</f>
        <v xml:space="preserve">          0016205968</v>
      </c>
      <c r="X5258">
        <v>487.84</v>
      </c>
      <c r="Y5258">
        <v>0</v>
      </c>
      <c r="Z5258" s="3">
        <v>469.08</v>
      </c>
      <c r="AA5258">
        <v>120</v>
      </c>
      <c r="AB5258" s="5">
        <v>56289.599999999999</v>
      </c>
      <c r="AC5258">
        <v>469.08</v>
      </c>
      <c r="AD5258">
        <v>120</v>
      </c>
      <c r="AE5258" s="1">
        <v>56289.599999999999</v>
      </c>
      <c r="AF5258">
        <v>0</v>
      </c>
      <c r="AJ5258">
        <v>0</v>
      </c>
      <c r="AK5258">
        <v>0</v>
      </c>
      <c r="AL5258">
        <v>0</v>
      </c>
      <c r="AM5258">
        <v>487.84</v>
      </c>
      <c r="AN5258">
        <v>487.84</v>
      </c>
      <c r="AO5258">
        <v>487.84</v>
      </c>
      <c r="AP5258" s="2">
        <v>42746</v>
      </c>
      <c r="AQ5258" t="s">
        <v>72</v>
      </c>
      <c r="AR5258" t="s">
        <v>72</v>
      </c>
      <c r="AS5258">
        <v>2677</v>
      </c>
      <c r="AT5258" s="4">
        <v>42648</v>
      </c>
      <c r="AU5258" t="s">
        <v>73</v>
      </c>
      <c r="AV5258">
        <v>2677</v>
      </c>
      <c r="AW5258" s="4">
        <v>42648</v>
      </c>
      <c r="BD5258">
        <v>0</v>
      </c>
      <c r="BN5258" t="s">
        <v>74</v>
      </c>
    </row>
    <row r="5259" spans="1:66">
      <c r="A5259">
        <v>102302</v>
      </c>
      <c r="B5259" s="3" t="s">
        <v>548</v>
      </c>
      <c r="C5259" s="1">
        <v>43300101</v>
      </c>
      <c r="D5259" t="s">
        <v>67</v>
      </c>
      <c r="H5259" t="str">
        <f t="shared" si="558"/>
        <v>93517310152</v>
      </c>
      <c r="I5259" t="str">
        <f t="shared" si="559"/>
        <v>11492820151</v>
      </c>
      <c r="K5259" t="str">
        <f>""</f>
        <v/>
      </c>
      <c r="M5259" t="s">
        <v>68</v>
      </c>
      <c r="N5259" t="str">
        <f t="shared" si="555"/>
        <v>FOR</v>
      </c>
      <c r="O5259" t="s">
        <v>69</v>
      </c>
      <c r="P5259" s="3" t="s">
        <v>75</v>
      </c>
      <c r="Q5259">
        <v>2016</v>
      </c>
      <c r="R5259" s="2">
        <v>42503</v>
      </c>
      <c r="S5259" s="2">
        <v>42507</v>
      </c>
      <c r="T5259" s="2">
        <v>42506</v>
      </c>
      <c r="U5259" s="2">
        <v>42566</v>
      </c>
      <c r="V5259" t="s">
        <v>71</v>
      </c>
      <c r="W5259" t="str">
        <f>"          0016208592"</f>
        <v xml:space="preserve">          0016208592</v>
      </c>
      <c r="X5259">
        <v>453.59</v>
      </c>
      <c r="Y5259">
        <v>0</v>
      </c>
      <c r="Z5259" s="3">
        <v>436.14</v>
      </c>
      <c r="AA5259">
        <v>82</v>
      </c>
      <c r="AB5259" s="5">
        <v>35763.480000000003</v>
      </c>
      <c r="AC5259">
        <v>436.14</v>
      </c>
      <c r="AD5259">
        <v>82</v>
      </c>
      <c r="AE5259" s="1">
        <v>35763.480000000003</v>
      </c>
      <c r="AF5259">
        <v>0</v>
      </c>
      <c r="AJ5259">
        <v>0</v>
      </c>
      <c r="AK5259">
        <v>0</v>
      </c>
      <c r="AL5259">
        <v>0</v>
      </c>
      <c r="AM5259">
        <v>453.59</v>
      </c>
      <c r="AN5259">
        <v>453.59</v>
      </c>
      <c r="AO5259">
        <v>453.59</v>
      </c>
      <c r="AP5259" s="2">
        <v>42746</v>
      </c>
      <c r="AQ5259" t="s">
        <v>72</v>
      </c>
      <c r="AR5259" t="s">
        <v>72</v>
      </c>
      <c r="AS5259">
        <v>2677</v>
      </c>
      <c r="AT5259" s="4">
        <v>42648</v>
      </c>
      <c r="AU5259" t="s">
        <v>73</v>
      </c>
      <c r="AV5259">
        <v>2677</v>
      </c>
      <c r="AW5259" s="4">
        <v>42648</v>
      </c>
      <c r="BD5259">
        <v>0</v>
      </c>
      <c r="BN5259" t="s">
        <v>74</v>
      </c>
    </row>
    <row r="5260" spans="1:66">
      <c r="A5260">
        <v>102302</v>
      </c>
      <c r="B5260" s="3" t="s">
        <v>548</v>
      </c>
      <c r="C5260" s="1">
        <v>43300101</v>
      </c>
      <c r="D5260" t="s">
        <v>67</v>
      </c>
      <c r="H5260" t="str">
        <f t="shared" si="558"/>
        <v>93517310152</v>
      </c>
      <c r="I5260" t="str">
        <f t="shared" si="559"/>
        <v>11492820151</v>
      </c>
      <c r="K5260" t="str">
        <f>""</f>
        <v/>
      </c>
      <c r="M5260" t="s">
        <v>68</v>
      </c>
      <c r="N5260" t="str">
        <f t="shared" si="555"/>
        <v>FOR</v>
      </c>
      <c r="O5260" t="s">
        <v>69</v>
      </c>
      <c r="P5260" s="3" t="s">
        <v>75</v>
      </c>
      <c r="Q5260">
        <v>2016</v>
      </c>
      <c r="R5260" s="2">
        <v>42536</v>
      </c>
      <c r="S5260" s="2">
        <v>42543</v>
      </c>
      <c r="T5260" s="2">
        <v>42537</v>
      </c>
      <c r="U5260" s="2">
        <v>42597</v>
      </c>
      <c r="V5260" t="s">
        <v>71</v>
      </c>
      <c r="W5260" t="str">
        <f>"          0016210516"</f>
        <v xml:space="preserve">          0016210516</v>
      </c>
      <c r="X5260">
        <v>702</v>
      </c>
      <c r="Y5260">
        <v>0</v>
      </c>
      <c r="Z5260" s="3">
        <v>675</v>
      </c>
      <c r="AA5260">
        <v>51</v>
      </c>
      <c r="AB5260" s="5">
        <v>34425</v>
      </c>
      <c r="AC5260">
        <v>675</v>
      </c>
      <c r="AD5260">
        <v>51</v>
      </c>
      <c r="AE5260" s="1">
        <v>34425</v>
      </c>
      <c r="AF5260">
        <v>0</v>
      </c>
      <c r="AJ5260">
        <v>0</v>
      </c>
      <c r="AK5260">
        <v>0</v>
      </c>
      <c r="AL5260">
        <v>0</v>
      </c>
      <c r="AM5260">
        <v>702</v>
      </c>
      <c r="AN5260">
        <v>702</v>
      </c>
      <c r="AO5260">
        <v>702</v>
      </c>
      <c r="AP5260" s="2">
        <v>42746</v>
      </c>
      <c r="AQ5260" t="s">
        <v>72</v>
      </c>
      <c r="AR5260" t="s">
        <v>72</v>
      </c>
      <c r="AS5260">
        <v>2677</v>
      </c>
      <c r="AT5260" s="4">
        <v>42648</v>
      </c>
      <c r="AU5260" t="s">
        <v>73</v>
      </c>
      <c r="AV5260">
        <v>2677</v>
      </c>
      <c r="AW5260" s="4">
        <v>42648</v>
      </c>
      <c r="BD5260">
        <v>0</v>
      </c>
      <c r="BN5260" t="s">
        <v>74</v>
      </c>
    </row>
    <row r="5261" spans="1:66">
      <c r="A5261">
        <v>102302</v>
      </c>
      <c r="B5261" s="3" t="s">
        <v>548</v>
      </c>
      <c r="C5261" s="1">
        <v>43300101</v>
      </c>
      <c r="D5261" t="s">
        <v>67</v>
      </c>
      <c r="H5261" t="str">
        <f t="shared" si="558"/>
        <v>93517310152</v>
      </c>
      <c r="I5261" t="str">
        <f t="shared" si="559"/>
        <v>11492820151</v>
      </c>
      <c r="K5261" t="str">
        <f>""</f>
        <v/>
      </c>
      <c r="M5261" t="s">
        <v>68</v>
      </c>
      <c r="N5261" t="str">
        <f t="shared" si="555"/>
        <v>FOR</v>
      </c>
      <c r="O5261" t="s">
        <v>69</v>
      </c>
      <c r="P5261" s="3" t="s">
        <v>75</v>
      </c>
      <c r="Q5261">
        <v>2016</v>
      </c>
      <c r="R5261" s="2">
        <v>42579</v>
      </c>
      <c r="S5261" s="2">
        <v>42584</v>
      </c>
      <c r="T5261" s="2">
        <v>42583</v>
      </c>
      <c r="U5261" s="2">
        <v>42643</v>
      </c>
      <c r="V5261" t="s">
        <v>71</v>
      </c>
      <c r="W5261" t="str">
        <f>"          0016213508"</f>
        <v xml:space="preserve">          0016213508</v>
      </c>
      <c r="X5261">
        <v>702</v>
      </c>
      <c r="Y5261">
        <v>0</v>
      </c>
      <c r="Z5261" s="3">
        <v>675</v>
      </c>
      <c r="AA5261">
        <v>5</v>
      </c>
      <c r="AB5261" s="5">
        <v>3375</v>
      </c>
      <c r="AC5261">
        <v>675</v>
      </c>
      <c r="AD5261">
        <v>5</v>
      </c>
      <c r="AE5261" s="1">
        <v>3375</v>
      </c>
      <c r="AF5261">
        <v>0</v>
      </c>
      <c r="AJ5261">
        <v>0</v>
      </c>
      <c r="AK5261">
        <v>0</v>
      </c>
      <c r="AL5261">
        <v>0</v>
      </c>
      <c r="AM5261">
        <v>702</v>
      </c>
      <c r="AN5261">
        <v>702</v>
      </c>
      <c r="AO5261">
        <v>702</v>
      </c>
      <c r="AP5261" s="2">
        <v>42746</v>
      </c>
      <c r="AQ5261" t="s">
        <v>72</v>
      </c>
      <c r="AR5261" t="s">
        <v>72</v>
      </c>
      <c r="AS5261">
        <v>2677</v>
      </c>
      <c r="AT5261" s="4">
        <v>42648</v>
      </c>
      <c r="AU5261" t="s">
        <v>73</v>
      </c>
      <c r="AV5261">
        <v>2677</v>
      </c>
      <c r="AW5261" s="4">
        <v>42648</v>
      </c>
      <c r="BD5261">
        <v>0</v>
      </c>
      <c r="BN5261" t="s">
        <v>74</v>
      </c>
    </row>
    <row r="5262" spans="1:66" hidden="1">
      <c r="A5262">
        <v>102310</v>
      </c>
      <c r="B5262" s="3" t="s">
        <v>549</v>
      </c>
      <c r="C5262" s="1">
        <v>43300101</v>
      </c>
      <c r="D5262" t="s">
        <v>67</v>
      </c>
      <c r="H5262" t="str">
        <f t="shared" ref="H5262:I5274" si="560">"00936980622"</f>
        <v>00936980622</v>
      </c>
      <c r="I5262" t="str">
        <f t="shared" si="560"/>
        <v>00936980622</v>
      </c>
      <c r="K5262" t="str">
        <f>""</f>
        <v/>
      </c>
      <c r="M5262" t="s">
        <v>68</v>
      </c>
      <c r="N5262" t="str">
        <f t="shared" si="555"/>
        <v>FOR</v>
      </c>
      <c r="O5262" t="s">
        <v>69</v>
      </c>
      <c r="P5262" s="3" t="s">
        <v>75</v>
      </c>
      <c r="Q5262">
        <v>2015</v>
      </c>
      <c r="R5262" s="2">
        <v>42358</v>
      </c>
      <c r="S5262" s="2">
        <v>42368</v>
      </c>
      <c r="T5262" s="2">
        <v>42368</v>
      </c>
      <c r="U5262" s="2">
        <v>42428</v>
      </c>
      <c r="V5262" t="s">
        <v>71</v>
      </c>
      <c r="W5262" t="str">
        <f>"                 27E"</f>
        <v xml:space="preserve">                 27E</v>
      </c>
      <c r="X5262" s="1">
        <v>4468.42</v>
      </c>
      <c r="Y5262">
        <v>0</v>
      </c>
      <c r="Z5262"/>
      <c r="AB5262"/>
      <c r="AC5262" s="1">
        <v>3662.64</v>
      </c>
      <c r="AD5262">
        <v>92</v>
      </c>
      <c r="AE5262" s="1">
        <v>336962.88</v>
      </c>
      <c r="AF5262">
        <v>0</v>
      </c>
      <c r="AJ5262">
        <v>0</v>
      </c>
      <c r="AK5262">
        <v>0</v>
      </c>
      <c r="AL5262">
        <v>0</v>
      </c>
      <c r="AM5262">
        <v>0</v>
      </c>
      <c r="AN5262">
        <v>0</v>
      </c>
      <c r="AO5262">
        <v>0</v>
      </c>
      <c r="AP5262" s="2">
        <v>42746</v>
      </c>
      <c r="AQ5262" t="s">
        <v>72</v>
      </c>
      <c r="AR5262" t="s">
        <v>72</v>
      </c>
      <c r="AS5262">
        <v>1475</v>
      </c>
      <c r="AT5262" s="4">
        <v>42520</v>
      </c>
      <c r="AU5262" t="s">
        <v>73</v>
      </c>
      <c r="AV5262">
        <v>1476</v>
      </c>
      <c r="AW5262" s="4">
        <v>42520</v>
      </c>
      <c r="BD5262">
        <v>0</v>
      </c>
      <c r="BN5262" t="s">
        <v>74</v>
      </c>
    </row>
    <row r="5263" spans="1:66" hidden="1">
      <c r="A5263">
        <v>102310</v>
      </c>
      <c r="B5263" s="3" t="s">
        <v>549</v>
      </c>
      <c r="C5263" s="1">
        <v>43300101</v>
      </c>
      <c r="D5263" t="s">
        <v>67</v>
      </c>
      <c r="H5263" t="str">
        <f t="shared" si="560"/>
        <v>00936980622</v>
      </c>
      <c r="I5263" t="str">
        <f t="shared" si="560"/>
        <v>00936980622</v>
      </c>
      <c r="K5263" t="str">
        <f>""</f>
        <v/>
      </c>
      <c r="M5263" t="s">
        <v>68</v>
      </c>
      <c r="N5263" t="str">
        <f t="shared" si="555"/>
        <v>FOR</v>
      </c>
      <c r="O5263" t="s">
        <v>69</v>
      </c>
      <c r="P5263" s="3" t="s">
        <v>75</v>
      </c>
      <c r="Q5263">
        <v>2015</v>
      </c>
      <c r="R5263" s="2">
        <v>42358</v>
      </c>
      <c r="S5263" s="2">
        <v>42368</v>
      </c>
      <c r="T5263" s="2">
        <v>42368</v>
      </c>
      <c r="U5263" s="2">
        <v>42428</v>
      </c>
      <c r="V5263" t="s">
        <v>71</v>
      </c>
      <c r="W5263" t="str">
        <f>"                 28E"</f>
        <v xml:space="preserve">                 28E</v>
      </c>
      <c r="X5263" s="1">
        <v>4468.42</v>
      </c>
      <c r="Y5263">
        <v>0</v>
      </c>
      <c r="Z5263"/>
      <c r="AB5263"/>
      <c r="AC5263" s="1">
        <v>3662.64</v>
      </c>
      <c r="AD5263">
        <v>92</v>
      </c>
      <c r="AE5263" s="1">
        <v>336962.88</v>
      </c>
      <c r="AF5263">
        <v>0</v>
      </c>
      <c r="AJ5263">
        <v>0</v>
      </c>
      <c r="AK5263">
        <v>0</v>
      </c>
      <c r="AL5263">
        <v>0</v>
      </c>
      <c r="AM5263">
        <v>0</v>
      </c>
      <c r="AN5263">
        <v>0</v>
      </c>
      <c r="AO5263">
        <v>0</v>
      </c>
      <c r="AP5263" s="2">
        <v>42746</v>
      </c>
      <c r="AQ5263" t="s">
        <v>72</v>
      </c>
      <c r="AR5263" t="s">
        <v>72</v>
      </c>
      <c r="AS5263">
        <v>1476</v>
      </c>
      <c r="AT5263" s="4">
        <v>42520</v>
      </c>
      <c r="AU5263" t="s">
        <v>73</v>
      </c>
      <c r="AV5263">
        <v>1476</v>
      </c>
      <c r="AW5263" s="4">
        <v>42520</v>
      </c>
      <c r="BD5263">
        <v>0</v>
      </c>
      <c r="BN5263" t="s">
        <v>74</v>
      </c>
    </row>
    <row r="5264" spans="1:66" hidden="1">
      <c r="A5264">
        <v>102310</v>
      </c>
      <c r="B5264" s="3" t="s">
        <v>549</v>
      </c>
      <c r="C5264" s="1">
        <v>43300101</v>
      </c>
      <c r="D5264" t="s">
        <v>67</v>
      </c>
      <c r="H5264" t="str">
        <f t="shared" si="560"/>
        <v>00936980622</v>
      </c>
      <c r="I5264" t="str">
        <f t="shared" si="560"/>
        <v>00936980622</v>
      </c>
      <c r="K5264" t="str">
        <f>""</f>
        <v/>
      </c>
      <c r="M5264" t="s">
        <v>68</v>
      </c>
      <c r="N5264" t="str">
        <f t="shared" si="555"/>
        <v>FOR</v>
      </c>
      <c r="O5264" t="s">
        <v>69</v>
      </c>
      <c r="P5264" s="3" t="s">
        <v>75</v>
      </c>
      <c r="Q5264">
        <v>2015</v>
      </c>
      <c r="R5264" s="2">
        <v>42358</v>
      </c>
      <c r="S5264" s="2">
        <v>42368</v>
      </c>
      <c r="T5264" s="2">
        <v>42368</v>
      </c>
      <c r="U5264" s="2">
        <v>42428</v>
      </c>
      <c r="V5264" t="s">
        <v>71</v>
      </c>
      <c r="W5264" t="str">
        <f>"                 29E"</f>
        <v xml:space="preserve">                 29E</v>
      </c>
      <c r="X5264" s="1">
        <v>4841.0200000000004</v>
      </c>
      <c r="Y5264">
        <v>0</v>
      </c>
      <c r="Z5264"/>
      <c r="AB5264"/>
      <c r="AC5264" s="1">
        <v>3968.05</v>
      </c>
      <c r="AD5264">
        <v>92</v>
      </c>
      <c r="AE5264" s="1">
        <v>365060.6</v>
      </c>
      <c r="AF5264">
        <v>0</v>
      </c>
      <c r="AJ5264">
        <v>0</v>
      </c>
      <c r="AK5264">
        <v>0</v>
      </c>
      <c r="AL5264">
        <v>0</v>
      </c>
      <c r="AM5264">
        <v>0</v>
      </c>
      <c r="AN5264">
        <v>0</v>
      </c>
      <c r="AO5264">
        <v>0</v>
      </c>
      <c r="AP5264" s="2">
        <v>42746</v>
      </c>
      <c r="AQ5264" t="s">
        <v>72</v>
      </c>
      <c r="AR5264" t="s">
        <v>72</v>
      </c>
      <c r="AS5264">
        <v>1476</v>
      </c>
      <c r="AT5264" s="4">
        <v>42520</v>
      </c>
      <c r="AU5264" t="s">
        <v>73</v>
      </c>
      <c r="AV5264">
        <v>1476</v>
      </c>
      <c r="AW5264" s="4">
        <v>42520</v>
      </c>
      <c r="BD5264">
        <v>0</v>
      </c>
      <c r="BN5264" t="s">
        <v>74</v>
      </c>
    </row>
    <row r="5265" spans="1:66" hidden="1">
      <c r="A5265">
        <v>102310</v>
      </c>
      <c r="B5265" s="3" t="s">
        <v>549</v>
      </c>
      <c r="C5265" s="1">
        <v>43300101</v>
      </c>
      <c r="D5265" t="s">
        <v>67</v>
      </c>
      <c r="H5265" t="str">
        <f t="shared" si="560"/>
        <v>00936980622</v>
      </c>
      <c r="I5265" t="str">
        <f t="shared" si="560"/>
        <v>00936980622</v>
      </c>
      <c r="K5265" t="str">
        <f>""</f>
        <v/>
      </c>
      <c r="M5265" t="s">
        <v>68</v>
      </c>
      <c r="N5265" t="str">
        <f t="shared" si="555"/>
        <v>FOR</v>
      </c>
      <c r="O5265" t="s">
        <v>69</v>
      </c>
      <c r="P5265" s="3" t="s">
        <v>75</v>
      </c>
      <c r="Q5265">
        <v>2015</v>
      </c>
      <c r="R5265" s="2">
        <v>42358</v>
      </c>
      <c r="S5265" s="2">
        <v>42368</v>
      </c>
      <c r="T5265" s="2">
        <v>42368</v>
      </c>
      <c r="U5265" s="2">
        <v>42428</v>
      </c>
      <c r="V5265" t="s">
        <v>71</v>
      </c>
      <c r="W5265" t="str">
        <f>"                 30E"</f>
        <v xml:space="preserve">                 30E</v>
      </c>
      <c r="X5265" s="1">
        <v>4970.1499999999996</v>
      </c>
      <c r="Y5265">
        <v>0</v>
      </c>
      <c r="Z5265"/>
      <c r="AB5265"/>
      <c r="AC5265" s="1">
        <v>4073.89</v>
      </c>
      <c r="AD5265">
        <v>92</v>
      </c>
      <c r="AE5265" s="1">
        <v>374797.88</v>
      </c>
      <c r="AF5265">
        <v>0</v>
      </c>
      <c r="AJ5265">
        <v>0</v>
      </c>
      <c r="AK5265">
        <v>0</v>
      </c>
      <c r="AL5265">
        <v>0</v>
      </c>
      <c r="AM5265">
        <v>0</v>
      </c>
      <c r="AN5265">
        <v>0</v>
      </c>
      <c r="AO5265">
        <v>0</v>
      </c>
      <c r="AP5265" s="2">
        <v>42746</v>
      </c>
      <c r="AQ5265" t="s">
        <v>72</v>
      </c>
      <c r="AR5265" t="s">
        <v>72</v>
      </c>
      <c r="AS5265">
        <v>1476</v>
      </c>
      <c r="AT5265" s="4">
        <v>42520</v>
      </c>
      <c r="AU5265" t="s">
        <v>73</v>
      </c>
      <c r="AV5265">
        <v>1476</v>
      </c>
      <c r="AW5265" s="4">
        <v>42520</v>
      </c>
      <c r="BD5265">
        <v>0</v>
      </c>
      <c r="BN5265" t="s">
        <v>74</v>
      </c>
    </row>
    <row r="5266" spans="1:66" hidden="1">
      <c r="A5266">
        <v>102310</v>
      </c>
      <c r="B5266" s="3" t="s">
        <v>549</v>
      </c>
      <c r="C5266" s="1">
        <v>43300101</v>
      </c>
      <c r="D5266" t="s">
        <v>67</v>
      </c>
      <c r="H5266" t="str">
        <f t="shared" si="560"/>
        <v>00936980622</v>
      </c>
      <c r="I5266" t="str">
        <f t="shared" si="560"/>
        <v>00936980622</v>
      </c>
      <c r="K5266" t="str">
        <f>""</f>
        <v/>
      </c>
      <c r="M5266" t="s">
        <v>68</v>
      </c>
      <c r="N5266" t="str">
        <f t="shared" si="555"/>
        <v>FOR</v>
      </c>
      <c r="O5266" t="s">
        <v>69</v>
      </c>
      <c r="P5266" s="3" t="s">
        <v>75</v>
      </c>
      <c r="Q5266">
        <v>2016</v>
      </c>
      <c r="R5266" s="2">
        <v>42439</v>
      </c>
      <c r="S5266" s="2">
        <v>42446</v>
      </c>
      <c r="T5266" s="2">
        <v>42445</v>
      </c>
      <c r="U5266" s="2">
        <v>42505</v>
      </c>
      <c r="V5266" t="s">
        <v>71</v>
      </c>
      <c r="W5266" t="str">
        <f>"              004-16"</f>
        <v xml:space="preserve">              004-16</v>
      </c>
      <c r="X5266" s="1">
        <v>4468.42</v>
      </c>
      <c r="Y5266">
        <v>0</v>
      </c>
      <c r="Z5266"/>
      <c r="AB5266"/>
      <c r="AC5266" s="1">
        <v>3662.64</v>
      </c>
      <c r="AD5266">
        <v>72</v>
      </c>
      <c r="AE5266" s="1">
        <v>263710.08000000002</v>
      </c>
      <c r="AF5266">
        <v>0</v>
      </c>
      <c r="AJ5266">
        <v>0</v>
      </c>
      <c r="AK5266">
        <v>0</v>
      </c>
      <c r="AL5266">
        <v>0</v>
      </c>
      <c r="AM5266">
        <v>0</v>
      </c>
      <c r="AN5266" s="1">
        <v>4468.42</v>
      </c>
      <c r="AO5266" s="1">
        <v>4468.42</v>
      </c>
      <c r="AP5266" s="2">
        <v>42746</v>
      </c>
      <c r="AQ5266" t="s">
        <v>72</v>
      </c>
      <c r="AR5266" t="s">
        <v>72</v>
      </c>
      <c r="AS5266">
        <v>1949</v>
      </c>
      <c r="AT5266" s="4">
        <v>42577</v>
      </c>
      <c r="AU5266" t="s">
        <v>73</v>
      </c>
      <c r="AV5266">
        <v>1949</v>
      </c>
      <c r="AW5266" s="4">
        <v>42577</v>
      </c>
      <c r="BD5266">
        <v>0</v>
      </c>
      <c r="BN5266" t="s">
        <v>74</v>
      </c>
    </row>
    <row r="5267" spans="1:66" hidden="1">
      <c r="A5267">
        <v>102310</v>
      </c>
      <c r="B5267" s="3" t="s">
        <v>549</v>
      </c>
      <c r="C5267" s="1">
        <v>43300101</v>
      </c>
      <c r="D5267" t="s">
        <v>67</v>
      </c>
      <c r="H5267" t="str">
        <f t="shared" si="560"/>
        <v>00936980622</v>
      </c>
      <c r="I5267" t="str">
        <f t="shared" si="560"/>
        <v>00936980622</v>
      </c>
      <c r="K5267" t="str">
        <f>""</f>
        <v/>
      </c>
      <c r="M5267" t="s">
        <v>68</v>
      </c>
      <c r="N5267" t="str">
        <f t="shared" si="555"/>
        <v>FOR</v>
      </c>
      <c r="O5267" t="s">
        <v>69</v>
      </c>
      <c r="P5267" s="3" t="s">
        <v>75</v>
      </c>
      <c r="Q5267">
        <v>2016</v>
      </c>
      <c r="R5267" s="2">
        <v>42439</v>
      </c>
      <c r="S5267" s="2">
        <v>42446</v>
      </c>
      <c r="T5267" s="2">
        <v>42445</v>
      </c>
      <c r="U5267" s="2">
        <v>42505</v>
      </c>
      <c r="V5267" t="s">
        <v>71</v>
      </c>
      <c r="W5267" t="str">
        <f>"              005-16"</f>
        <v xml:space="preserve">              005-16</v>
      </c>
      <c r="X5267" s="1">
        <v>4468.42</v>
      </c>
      <c r="Y5267">
        <v>0</v>
      </c>
      <c r="Z5267"/>
      <c r="AB5267"/>
      <c r="AC5267" s="1">
        <v>3662.64</v>
      </c>
      <c r="AD5267">
        <v>72</v>
      </c>
      <c r="AE5267" s="1">
        <v>263710.08000000002</v>
      </c>
      <c r="AF5267">
        <v>0</v>
      </c>
      <c r="AJ5267">
        <v>0</v>
      </c>
      <c r="AK5267">
        <v>0</v>
      </c>
      <c r="AL5267">
        <v>0</v>
      </c>
      <c r="AM5267">
        <v>0</v>
      </c>
      <c r="AN5267" s="1">
        <v>4468.42</v>
      </c>
      <c r="AO5267" s="1">
        <v>4468.42</v>
      </c>
      <c r="AP5267" s="2">
        <v>42746</v>
      </c>
      <c r="AQ5267" t="s">
        <v>72</v>
      </c>
      <c r="AR5267" t="s">
        <v>72</v>
      </c>
      <c r="AS5267">
        <v>1949</v>
      </c>
      <c r="AT5267" s="4">
        <v>42577</v>
      </c>
      <c r="AU5267" t="s">
        <v>73</v>
      </c>
      <c r="AV5267">
        <v>1949</v>
      </c>
      <c r="AW5267" s="4">
        <v>42577</v>
      </c>
      <c r="BD5267">
        <v>0</v>
      </c>
      <c r="BN5267" t="s">
        <v>74</v>
      </c>
    </row>
    <row r="5268" spans="1:66" hidden="1">
      <c r="A5268">
        <v>102310</v>
      </c>
      <c r="B5268" s="3" t="s">
        <v>549</v>
      </c>
      <c r="C5268" s="1">
        <v>43300101</v>
      </c>
      <c r="D5268" t="s">
        <v>67</v>
      </c>
      <c r="H5268" t="str">
        <f t="shared" si="560"/>
        <v>00936980622</v>
      </c>
      <c r="I5268" t="str">
        <f t="shared" si="560"/>
        <v>00936980622</v>
      </c>
      <c r="K5268" t="str">
        <f>""</f>
        <v/>
      </c>
      <c r="M5268" t="s">
        <v>68</v>
      </c>
      <c r="N5268" t="str">
        <f t="shared" si="555"/>
        <v>FOR</v>
      </c>
      <c r="O5268" t="s">
        <v>69</v>
      </c>
      <c r="P5268" s="3" t="s">
        <v>75</v>
      </c>
      <c r="Q5268">
        <v>2016</v>
      </c>
      <c r="R5268" s="2">
        <v>42481</v>
      </c>
      <c r="S5268" s="2">
        <v>42486</v>
      </c>
      <c r="T5268" s="2">
        <v>42486</v>
      </c>
      <c r="U5268" s="2">
        <v>42546</v>
      </c>
      <c r="V5268" t="s">
        <v>71</v>
      </c>
      <c r="W5268" t="str">
        <f>"              017-16"</f>
        <v xml:space="preserve">              017-16</v>
      </c>
      <c r="X5268" s="1">
        <v>5536.71</v>
      </c>
      <c r="Y5268">
        <v>0</v>
      </c>
      <c r="Z5268"/>
      <c r="AB5268"/>
      <c r="AC5268" s="1">
        <v>4538.29</v>
      </c>
      <c r="AD5268">
        <v>73</v>
      </c>
      <c r="AE5268" s="1">
        <v>331295.17</v>
      </c>
      <c r="AF5268">
        <v>0</v>
      </c>
      <c r="AJ5268">
        <v>0</v>
      </c>
      <c r="AK5268">
        <v>0</v>
      </c>
      <c r="AL5268">
        <v>0</v>
      </c>
      <c r="AM5268" s="1">
        <v>5536.71</v>
      </c>
      <c r="AN5268" s="1">
        <v>5536.71</v>
      </c>
      <c r="AO5268" s="1">
        <v>5536.71</v>
      </c>
      <c r="AP5268" s="2">
        <v>42746</v>
      </c>
      <c r="AQ5268" t="s">
        <v>72</v>
      </c>
      <c r="AR5268" t="s">
        <v>72</v>
      </c>
      <c r="AS5268">
        <v>2274</v>
      </c>
      <c r="AT5268" s="4">
        <v>42619</v>
      </c>
      <c r="AU5268" t="s">
        <v>73</v>
      </c>
      <c r="AV5268">
        <v>2274</v>
      </c>
      <c r="AW5268" s="4">
        <v>42619</v>
      </c>
      <c r="BD5268">
        <v>0</v>
      </c>
      <c r="BN5268" t="s">
        <v>74</v>
      </c>
    </row>
    <row r="5269" spans="1:66" hidden="1">
      <c r="A5269">
        <v>102310</v>
      </c>
      <c r="B5269" s="3" t="s">
        <v>549</v>
      </c>
      <c r="C5269" s="1">
        <v>43300101</v>
      </c>
      <c r="D5269" t="s">
        <v>67</v>
      </c>
      <c r="H5269" t="str">
        <f t="shared" si="560"/>
        <v>00936980622</v>
      </c>
      <c r="I5269" t="str">
        <f t="shared" si="560"/>
        <v>00936980622</v>
      </c>
      <c r="K5269" t="str">
        <f>""</f>
        <v/>
      </c>
      <c r="M5269" t="s">
        <v>68</v>
      </c>
      <c r="N5269" t="str">
        <f t="shared" si="555"/>
        <v>FOR</v>
      </c>
      <c r="O5269" t="s">
        <v>69</v>
      </c>
      <c r="P5269" s="3" t="s">
        <v>75</v>
      </c>
      <c r="Q5269">
        <v>2016</v>
      </c>
      <c r="R5269" s="2">
        <v>42481</v>
      </c>
      <c r="S5269" s="2">
        <v>42486</v>
      </c>
      <c r="T5269" s="2">
        <v>42482</v>
      </c>
      <c r="U5269" s="2">
        <v>42542</v>
      </c>
      <c r="V5269" t="s">
        <v>71</v>
      </c>
      <c r="W5269" t="str">
        <f>"              018-16"</f>
        <v xml:space="preserve">              018-16</v>
      </c>
      <c r="X5269" s="1">
        <v>15165.82</v>
      </c>
      <c r="Y5269">
        <v>0</v>
      </c>
      <c r="Z5269"/>
      <c r="AB5269"/>
      <c r="AC5269" s="1">
        <v>12431</v>
      </c>
      <c r="AD5269">
        <v>77</v>
      </c>
      <c r="AE5269" s="1">
        <v>957187</v>
      </c>
      <c r="AF5269">
        <v>0</v>
      </c>
      <c r="AJ5269">
        <v>0</v>
      </c>
      <c r="AK5269">
        <v>0</v>
      </c>
      <c r="AL5269">
        <v>0</v>
      </c>
      <c r="AM5269" s="1">
        <v>15165.82</v>
      </c>
      <c r="AN5269" s="1">
        <v>15165.82</v>
      </c>
      <c r="AO5269" s="1">
        <v>15165.82</v>
      </c>
      <c r="AP5269" s="2">
        <v>42746</v>
      </c>
      <c r="AQ5269" t="s">
        <v>72</v>
      </c>
      <c r="AR5269" t="s">
        <v>72</v>
      </c>
      <c r="AS5269">
        <v>2274</v>
      </c>
      <c r="AT5269" s="4">
        <v>42619</v>
      </c>
      <c r="AU5269" t="s">
        <v>73</v>
      </c>
      <c r="AV5269">
        <v>2274</v>
      </c>
      <c r="AW5269" s="4">
        <v>42619</v>
      </c>
      <c r="BD5269">
        <v>0</v>
      </c>
      <c r="BN5269" t="s">
        <v>74</v>
      </c>
    </row>
    <row r="5270" spans="1:66">
      <c r="A5270">
        <v>102310</v>
      </c>
      <c r="B5270" s="3" t="s">
        <v>549</v>
      </c>
      <c r="C5270" s="1">
        <v>43300101</v>
      </c>
      <c r="D5270" t="s">
        <v>67</v>
      </c>
      <c r="H5270" t="str">
        <f t="shared" si="560"/>
        <v>00936980622</v>
      </c>
      <c r="I5270" t="str">
        <f t="shared" si="560"/>
        <v>00936980622</v>
      </c>
      <c r="K5270" t="str">
        <f>""</f>
        <v/>
      </c>
      <c r="M5270" t="s">
        <v>68</v>
      </c>
      <c r="N5270" t="str">
        <f t="shared" si="555"/>
        <v>FOR</v>
      </c>
      <c r="O5270" t="s">
        <v>69</v>
      </c>
      <c r="P5270" s="3" t="s">
        <v>75</v>
      </c>
      <c r="Q5270">
        <v>2016</v>
      </c>
      <c r="R5270" s="2">
        <v>42517</v>
      </c>
      <c r="S5270" s="2">
        <v>42521</v>
      </c>
      <c r="T5270" s="2">
        <v>42520</v>
      </c>
      <c r="U5270" s="2">
        <v>42580</v>
      </c>
      <c r="V5270" t="s">
        <v>71</v>
      </c>
      <c r="W5270" t="str">
        <f>"              021-16"</f>
        <v xml:space="preserve">              021-16</v>
      </c>
      <c r="X5270">
        <v>952.73</v>
      </c>
      <c r="Y5270">
        <v>0</v>
      </c>
      <c r="Z5270" s="3">
        <v>780.93</v>
      </c>
      <c r="AA5270">
        <v>66</v>
      </c>
      <c r="AB5270" s="5">
        <v>51541.38</v>
      </c>
      <c r="AC5270">
        <v>780.93</v>
      </c>
      <c r="AD5270">
        <v>66</v>
      </c>
      <c r="AE5270" s="1">
        <v>51541.38</v>
      </c>
      <c r="AF5270">
        <v>0</v>
      </c>
      <c r="AJ5270">
        <v>0</v>
      </c>
      <c r="AK5270">
        <v>0</v>
      </c>
      <c r="AL5270">
        <v>0</v>
      </c>
      <c r="AM5270">
        <v>952.73</v>
      </c>
      <c r="AN5270">
        <v>952.73</v>
      </c>
      <c r="AO5270">
        <v>952.73</v>
      </c>
      <c r="AP5270" s="2">
        <v>42746</v>
      </c>
      <c r="AQ5270" t="s">
        <v>72</v>
      </c>
      <c r="AR5270" t="s">
        <v>72</v>
      </c>
      <c r="AS5270">
        <v>2570</v>
      </c>
      <c r="AT5270" s="4">
        <v>42646</v>
      </c>
      <c r="AU5270" t="s">
        <v>73</v>
      </c>
      <c r="AV5270">
        <v>2570</v>
      </c>
      <c r="AW5270" s="4">
        <v>42646</v>
      </c>
      <c r="BD5270">
        <v>0</v>
      </c>
      <c r="BN5270" t="s">
        <v>74</v>
      </c>
    </row>
    <row r="5271" spans="1:66">
      <c r="A5271">
        <v>102310</v>
      </c>
      <c r="B5271" s="3" t="s">
        <v>549</v>
      </c>
      <c r="C5271" s="1">
        <v>43300101</v>
      </c>
      <c r="D5271" t="s">
        <v>67</v>
      </c>
      <c r="H5271" t="str">
        <f t="shared" si="560"/>
        <v>00936980622</v>
      </c>
      <c r="I5271" t="str">
        <f t="shared" si="560"/>
        <v>00936980622</v>
      </c>
      <c r="K5271" t="str">
        <f>""</f>
        <v/>
      </c>
      <c r="M5271" t="s">
        <v>68</v>
      </c>
      <c r="N5271" t="str">
        <f t="shared" si="555"/>
        <v>FOR</v>
      </c>
      <c r="O5271" t="s">
        <v>69</v>
      </c>
      <c r="P5271" s="3" t="s">
        <v>75</v>
      </c>
      <c r="Q5271">
        <v>2016</v>
      </c>
      <c r="R5271" s="2">
        <v>42555</v>
      </c>
      <c r="S5271" s="2">
        <v>42578</v>
      </c>
      <c r="T5271" s="2">
        <v>42577</v>
      </c>
      <c r="U5271" s="2">
        <v>42637</v>
      </c>
      <c r="V5271" t="s">
        <v>71</v>
      </c>
      <c r="W5271" t="str">
        <f>"              025-16"</f>
        <v xml:space="preserve">              025-16</v>
      </c>
      <c r="X5271" s="1">
        <v>3989.4</v>
      </c>
      <c r="Y5271">
        <v>0</v>
      </c>
      <c r="Z5271" s="5">
        <v>3270</v>
      </c>
      <c r="AA5271">
        <v>53</v>
      </c>
      <c r="AB5271" s="5">
        <v>173310</v>
      </c>
      <c r="AC5271" s="1">
        <v>3270</v>
      </c>
      <c r="AD5271">
        <v>53</v>
      </c>
      <c r="AE5271" s="1">
        <v>173310</v>
      </c>
      <c r="AF5271">
        <v>0</v>
      </c>
      <c r="AJ5271">
        <v>0</v>
      </c>
      <c r="AK5271">
        <v>0</v>
      </c>
      <c r="AL5271">
        <v>0</v>
      </c>
      <c r="AM5271" s="1">
        <v>3989.4</v>
      </c>
      <c r="AN5271" s="1">
        <v>3989.4</v>
      </c>
      <c r="AO5271" s="1">
        <v>3989.4</v>
      </c>
      <c r="AP5271" s="2">
        <v>42746</v>
      </c>
      <c r="AQ5271" t="s">
        <v>72</v>
      </c>
      <c r="AR5271" t="s">
        <v>72</v>
      </c>
      <c r="AS5271">
        <v>3132</v>
      </c>
      <c r="AT5271" s="4">
        <v>42690</v>
      </c>
      <c r="AU5271" t="s">
        <v>73</v>
      </c>
      <c r="AV5271">
        <v>3132</v>
      </c>
      <c r="AW5271" s="4">
        <v>42690</v>
      </c>
      <c r="BD5271">
        <v>0</v>
      </c>
      <c r="BN5271" t="s">
        <v>74</v>
      </c>
    </row>
    <row r="5272" spans="1:66">
      <c r="A5272">
        <v>102310</v>
      </c>
      <c r="B5272" s="3" t="s">
        <v>549</v>
      </c>
      <c r="C5272" s="1">
        <v>43300101</v>
      </c>
      <c r="D5272" t="s">
        <v>67</v>
      </c>
      <c r="H5272" t="str">
        <f t="shared" si="560"/>
        <v>00936980622</v>
      </c>
      <c r="I5272" t="str">
        <f t="shared" si="560"/>
        <v>00936980622</v>
      </c>
      <c r="K5272" t="str">
        <f>""</f>
        <v/>
      </c>
      <c r="M5272" t="s">
        <v>68</v>
      </c>
      <c r="N5272" t="str">
        <f t="shared" si="555"/>
        <v>FOR</v>
      </c>
      <c r="O5272" t="s">
        <v>69</v>
      </c>
      <c r="P5272" s="3" t="s">
        <v>75</v>
      </c>
      <c r="Q5272">
        <v>2016</v>
      </c>
      <c r="R5272" s="2">
        <v>42555</v>
      </c>
      <c r="S5272" s="2">
        <v>42578</v>
      </c>
      <c r="T5272" s="2">
        <v>42577</v>
      </c>
      <c r="U5272" s="2">
        <v>42637</v>
      </c>
      <c r="V5272" t="s">
        <v>71</v>
      </c>
      <c r="W5272" t="str">
        <f>"              026-16"</f>
        <v xml:space="preserve">              026-16</v>
      </c>
      <c r="X5272" s="1">
        <v>3989.4</v>
      </c>
      <c r="Y5272">
        <v>0</v>
      </c>
      <c r="Z5272" s="5">
        <v>3270</v>
      </c>
      <c r="AA5272">
        <v>53</v>
      </c>
      <c r="AB5272" s="5">
        <v>173310</v>
      </c>
      <c r="AC5272" s="1">
        <v>3270</v>
      </c>
      <c r="AD5272">
        <v>53</v>
      </c>
      <c r="AE5272" s="1">
        <v>173310</v>
      </c>
      <c r="AF5272">
        <v>0</v>
      </c>
      <c r="AJ5272">
        <v>0</v>
      </c>
      <c r="AK5272">
        <v>0</v>
      </c>
      <c r="AL5272">
        <v>0</v>
      </c>
      <c r="AM5272" s="1">
        <v>3989.4</v>
      </c>
      <c r="AN5272" s="1">
        <v>3989.4</v>
      </c>
      <c r="AO5272" s="1">
        <v>3989.4</v>
      </c>
      <c r="AP5272" s="2">
        <v>42746</v>
      </c>
      <c r="AQ5272" t="s">
        <v>72</v>
      </c>
      <c r="AR5272" t="s">
        <v>72</v>
      </c>
      <c r="AS5272">
        <v>3132</v>
      </c>
      <c r="AT5272" s="4">
        <v>42690</v>
      </c>
      <c r="AU5272" t="s">
        <v>73</v>
      </c>
      <c r="AV5272">
        <v>3132</v>
      </c>
      <c r="AW5272" s="4">
        <v>42690</v>
      </c>
      <c r="BD5272">
        <v>0</v>
      </c>
      <c r="BN5272" t="s">
        <v>74</v>
      </c>
    </row>
    <row r="5273" spans="1:66">
      <c r="A5273">
        <v>102310</v>
      </c>
      <c r="B5273" s="3" t="s">
        <v>549</v>
      </c>
      <c r="C5273" s="1">
        <v>43300101</v>
      </c>
      <c r="D5273" t="s">
        <v>67</v>
      </c>
      <c r="H5273" t="str">
        <f t="shared" si="560"/>
        <v>00936980622</v>
      </c>
      <c r="I5273" t="str">
        <f t="shared" si="560"/>
        <v>00936980622</v>
      </c>
      <c r="K5273" t="str">
        <f>""</f>
        <v/>
      </c>
      <c r="M5273" t="s">
        <v>68</v>
      </c>
      <c r="N5273" t="str">
        <f t="shared" si="555"/>
        <v>FOR</v>
      </c>
      <c r="O5273" t="s">
        <v>69</v>
      </c>
      <c r="P5273" s="3" t="s">
        <v>75</v>
      </c>
      <c r="Q5273">
        <v>2016</v>
      </c>
      <c r="R5273" s="2">
        <v>42559</v>
      </c>
      <c r="S5273" s="2">
        <v>42578</v>
      </c>
      <c r="T5273" s="2">
        <v>42577</v>
      </c>
      <c r="U5273" s="2">
        <v>42637</v>
      </c>
      <c r="V5273" t="s">
        <v>71</v>
      </c>
      <c r="W5273" t="str">
        <f>"              027-16"</f>
        <v xml:space="preserve">              027-16</v>
      </c>
      <c r="X5273" s="1">
        <v>6500.16</v>
      </c>
      <c r="Y5273">
        <v>0</v>
      </c>
      <c r="Z5273" s="5">
        <v>5328</v>
      </c>
      <c r="AA5273">
        <v>55</v>
      </c>
      <c r="AB5273" s="5">
        <v>293040</v>
      </c>
      <c r="AC5273" s="1">
        <v>5328</v>
      </c>
      <c r="AD5273">
        <v>55</v>
      </c>
      <c r="AE5273" s="1">
        <v>293040</v>
      </c>
      <c r="AF5273">
        <v>0</v>
      </c>
      <c r="AJ5273">
        <v>0</v>
      </c>
      <c r="AK5273">
        <v>0</v>
      </c>
      <c r="AL5273">
        <v>0</v>
      </c>
      <c r="AM5273" s="1">
        <v>6500.16</v>
      </c>
      <c r="AN5273" s="1">
        <v>6500.16</v>
      </c>
      <c r="AO5273" s="1">
        <v>6500.16</v>
      </c>
      <c r="AP5273" s="2">
        <v>42746</v>
      </c>
      <c r="AQ5273" t="s">
        <v>72</v>
      </c>
      <c r="AR5273" t="s">
        <v>72</v>
      </c>
      <c r="AS5273">
        <v>3178</v>
      </c>
      <c r="AT5273" s="4">
        <v>42692</v>
      </c>
      <c r="AU5273" t="s">
        <v>73</v>
      </c>
      <c r="AV5273">
        <v>3178</v>
      </c>
      <c r="AW5273" s="4">
        <v>42692</v>
      </c>
      <c r="BD5273">
        <v>0</v>
      </c>
      <c r="BN5273" t="s">
        <v>74</v>
      </c>
    </row>
    <row r="5274" spans="1:66">
      <c r="A5274">
        <v>102310</v>
      </c>
      <c r="B5274" s="3" t="s">
        <v>549</v>
      </c>
      <c r="C5274" s="1">
        <v>43300101</v>
      </c>
      <c r="D5274" t="s">
        <v>67</v>
      </c>
      <c r="H5274" t="str">
        <f t="shared" si="560"/>
        <v>00936980622</v>
      </c>
      <c r="I5274" t="str">
        <f t="shared" si="560"/>
        <v>00936980622</v>
      </c>
      <c r="K5274" t="str">
        <f>""</f>
        <v/>
      </c>
      <c r="M5274" t="s">
        <v>68</v>
      </c>
      <c r="N5274" t="str">
        <f t="shared" si="555"/>
        <v>FOR</v>
      </c>
      <c r="O5274" t="s">
        <v>69</v>
      </c>
      <c r="P5274" s="3" t="s">
        <v>75</v>
      </c>
      <c r="Q5274">
        <v>2016</v>
      </c>
      <c r="R5274" s="2">
        <v>42579</v>
      </c>
      <c r="S5274" s="2">
        <v>42585</v>
      </c>
      <c r="T5274" s="2">
        <v>42584</v>
      </c>
      <c r="U5274" s="2">
        <v>42644</v>
      </c>
      <c r="V5274" t="s">
        <v>71</v>
      </c>
      <c r="W5274" t="str">
        <f>"              033-16"</f>
        <v xml:space="preserve">              033-16</v>
      </c>
      <c r="X5274" s="1">
        <v>3989.4</v>
      </c>
      <c r="Y5274">
        <v>0</v>
      </c>
      <c r="Z5274" s="5">
        <v>3270</v>
      </c>
      <c r="AA5274">
        <v>48</v>
      </c>
      <c r="AB5274" s="5">
        <v>156960</v>
      </c>
      <c r="AC5274" s="1">
        <v>3270</v>
      </c>
      <c r="AD5274">
        <v>48</v>
      </c>
      <c r="AE5274" s="1">
        <v>156960</v>
      </c>
      <c r="AF5274">
        <v>0</v>
      </c>
      <c r="AJ5274">
        <v>0</v>
      </c>
      <c r="AK5274">
        <v>0</v>
      </c>
      <c r="AL5274">
        <v>0</v>
      </c>
      <c r="AM5274" s="1">
        <v>3989.4</v>
      </c>
      <c r="AN5274" s="1">
        <v>3989.4</v>
      </c>
      <c r="AO5274" s="1">
        <v>3989.4</v>
      </c>
      <c r="AP5274" s="2">
        <v>42746</v>
      </c>
      <c r="AQ5274" t="s">
        <v>72</v>
      </c>
      <c r="AR5274" t="s">
        <v>72</v>
      </c>
      <c r="AS5274">
        <v>3178</v>
      </c>
      <c r="AT5274" s="4">
        <v>42692</v>
      </c>
      <c r="AU5274" t="s">
        <v>73</v>
      </c>
      <c r="AV5274">
        <v>3178</v>
      </c>
      <c r="AW5274" s="4">
        <v>42692</v>
      </c>
      <c r="BD5274">
        <v>0</v>
      </c>
      <c r="BN5274" t="s">
        <v>74</v>
      </c>
    </row>
    <row r="5275" spans="1:66">
      <c r="A5275">
        <v>102390</v>
      </c>
      <c r="B5275" s="3" t="s">
        <v>550</v>
      </c>
      <c r="C5275" s="1">
        <v>43300101</v>
      </c>
      <c r="D5275" t="s">
        <v>67</v>
      </c>
      <c r="H5275" t="str">
        <f>"00390310589"</f>
        <v>00390310589</v>
      </c>
      <c r="I5275" t="str">
        <f>"00876161001"</f>
        <v>00876161001</v>
      </c>
      <c r="K5275" t="str">
        <f>""</f>
        <v/>
      </c>
      <c r="M5275" t="s">
        <v>68</v>
      </c>
      <c r="N5275" t="str">
        <f t="shared" si="555"/>
        <v>FOR</v>
      </c>
      <c r="O5275" t="s">
        <v>69</v>
      </c>
      <c r="P5275" s="3" t="s">
        <v>75</v>
      </c>
      <c r="Q5275">
        <v>2015</v>
      </c>
      <c r="R5275" s="2">
        <v>42102</v>
      </c>
      <c r="S5275" s="2">
        <v>42117</v>
      </c>
      <c r="T5275" s="2">
        <v>42115</v>
      </c>
      <c r="U5275" s="2">
        <v>42175</v>
      </c>
      <c r="V5275" t="s">
        <v>71</v>
      </c>
      <c r="W5275" t="str">
        <f>"               23/PA"</f>
        <v xml:space="preserve">               23/PA</v>
      </c>
      <c r="X5275">
        <v>880</v>
      </c>
      <c r="Y5275">
        <v>0</v>
      </c>
      <c r="Z5275" s="3">
        <v>880</v>
      </c>
      <c r="AA5275">
        <v>509</v>
      </c>
      <c r="AB5275" s="5">
        <v>447920</v>
      </c>
      <c r="AC5275">
        <v>880</v>
      </c>
      <c r="AD5275">
        <v>509</v>
      </c>
      <c r="AE5275" s="1">
        <v>447920</v>
      </c>
      <c r="AF5275">
        <v>0</v>
      </c>
      <c r="AJ5275">
        <v>0</v>
      </c>
      <c r="AK5275">
        <v>0</v>
      </c>
      <c r="AL5275">
        <v>0</v>
      </c>
      <c r="AM5275">
        <v>0</v>
      </c>
      <c r="AN5275">
        <v>0</v>
      </c>
      <c r="AO5275">
        <v>0</v>
      </c>
      <c r="AP5275" s="2">
        <v>42746</v>
      </c>
      <c r="AQ5275" t="s">
        <v>72</v>
      </c>
      <c r="AR5275" t="s">
        <v>72</v>
      </c>
      <c r="AS5275">
        <v>3059</v>
      </c>
      <c r="AT5275" s="4">
        <v>42684</v>
      </c>
      <c r="AU5275" t="s">
        <v>73</v>
      </c>
      <c r="AV5275">
        <v>3059</v>
      </c>
      <c r="AW5275" s="4">
        <v>42684</v>
      </c>
      <c r="BD5275">
        <v>0</v>
      </c>
      <c r="BN5275" t="s">
        <v>74</v>
      </c>
    </row>
    <row r="5276" spans="1:66" hidden="1">
      <c r="A5276">
        <v>102393</v>
      </c>
      <c r="B5276" s="3" t="s">
        <v>551</v>
      </c>
      <c r="C5276" s="1">
        <v>43500101</v>
      </c>
      <c r="D5276" t="s">
        <v>113</v>
      </c>
      <c r="H5276" t="str">
        <f>"VNTTLI66P59F839K"</f>
        <v>VNTTLI66P59F839K</v>
      </c>
      <c r="I5276" t="str">
        <f>"03433791211"</f>
        <v>03433791211</v>
      </c>
      <c r="K5276" t="str">
        <f>""</f>
        <v/>
      </c>
      <c r="M5276" t="s">
        <v>68</v>
      </c>
      <c r="N5276" t="str">
        <f>"ALT"</f>
        <v>ALT</v>
      </c>
      <c r="O5276" t="s">
        <v>114</v>
      </c>
      <c r="P5276" s="3" t="s">
        <v>552</v>
      </c>
      <c r="Q5276">
        <v>2016</v>
      </c>
      <c r="R5276" s="2">
        <v>42391</v>
      </c>
      <c r="S5276" s="2">
        <v>42391</v>
      </c>
      <c r="T5276" s="2">
        <v>42391</v>
      </c>
      <c r="U5276" s="2">
        <v>42449</v>
      </c>
      <c r="V5276" t="s">
        <v>71</v>
      </c>
      <c r="W5276" t="str">
        <f>"                   3"</f>
        <v xml:space="preserve">                   3</v>
      </c>
      <c r="X5276">
        <v>0</v>
      </c>
      <c r="Y5276" s="1">
        <v>1600</v>
      </c>
      <c r="Z5276"/>
      <c r="AB5276"/>
      <c r="AC5276" s="1">
        <v>1600</v>
      </c>
      <c r="AD5276">
        <v>-58</v>
      </c>
      <c r="AE5276" s="1">
        <v>-92800</v>
      </c>
      <c r="AF5276">
        <v>0</v>
      </c>
      <c r="AJ5276">
        <v>0</v>
      </c>
      <c r="AK5276">
        <v>0</v>
      </c>
      <c r="AL5276">
        <v>0</v>
      </c>
      <c r="AM5276" s="1">
        <v>1600</v>
      </c>
      <c r="AN5276" s="1">
        <v>1600</v>
      </c>
      <c r="AO5276" s="1">
        <v>1600</v>
      </c>
      <c r="AP5276" s="2">
        <v>42746</v>
      </c>
      <c r="AQ5276" t="s">
        <v>72</v>
      </c>
      <c r="AR5276" t="s">
        <v>72</v>
      </c>
      <c r="AS5276">
        <v>95</v>
      </c>
      <c r="AT5276" s="4">
        <v>42391</v>
      </c>
      <c r="AV5276">
        <v>95</v>
      </c>
      <c r="AW5276" s="4">
        <v>42391</v>
      </c>
      <c r="BD5276">
        <v>0</v>
      </c>
      <c r="BN5276" t="s">
        <v>74</v>
      </c>
    </row>
    <row r="5277" spans="1:66" hidden="1">
      <c r="A5277">
        <v>102414</v>
      </c>
      <c r="B5277" s="3" t="s">
        <v>553</v>
      </c>
      <c r="C5277" s="1">
        <v>43500101</v>
      </c>
      <c r="D5277" t="s">
        <v>113</v>
      </c>
      <c r="H5277" t="str">
        <f t="shared" ref="H5277:I5288" si="561">"00079760328"</f>
        <v>00079760328</v>
      </c>
      <c r="I5277" t="str">
        <f t="shared" si="561"/>
        <v>00079760328</v>
      </c>
      <c r="K5277" t="str">
        <f>""</f>
        <v/>
      </c>
      <c r="M5277" t="s">
        <v>68</v>
      </c>
      <c r="N5277" t="str">
        <f t="shared" ref="N5277:N5288" si="562">"ALTFIN"</f>
        <v>ALTFIN</v>
      </c>
      <c r="O5277" t="s">
        <v>123</v>
      </c>
      <c r="P5277" s="3" t="s">
        <v>84</v>
      </c>
      <c r="Q5277">
        <v>2016</v>
      </c>
      <c r="R5277" s="2">
        <v>42389</v>
      </c>
      <c r="S5277" s="2">
        <v>42390</v>
      </c>
      <c r="T5277" s="2">
        <v>42390</v>
      </c>
      <c r="U5277" s="2">
        <v>42450</v>
      </c>
      <c r="V5277" t="s">
        <v>71</v>
      </c>
      <c r="W5277" t="str">
        <f>"                0120"</f>
        <v xml:space="preserve">                0120</v>
      </c>
      <c r="X5277">
        <v>0</v>
      </c>
      <c r="Y5277">
        <v>940.01</v>
      </c>
      <c r="Z5277"/>
      <c r="AB5277"/>
      <c r="AC5277">
        <v>940.01</v>
      </c>
      <c r="AD5277">
        <v>-60</v>
      </c>
      <c r="AE5277" s="1">
        <v>-56400.6</v>
      </c>
      <c r="AF5277">
        <v>0</v>
      </c>
      <c r="AJ5277">
        <v>0</v>
      </c>
      <c r="AK5277">
        <v>0</v>
      </c>
      <c r="AL5277">
        <v>0</v>
      </c>
      <c r="AM5277">
        <v>940.01</v>
      </c>
      <c r="AN5277">
        <v>940.01</v>
      </c>
      <c r="AO5277">
        <v>940.01</v>
      </c>
      <c r="AP5277" s="2">
        <v>42746</v>
      </c>
      <c r="AQ5277" t="s">
        <v>72</v>
      </c>
      <c r="AR5277" t="s">
        <v>72</v>
      </c>
      <c r="AS5277">
        <v>27</v>
      </c>
      <c r="AT5277" s="4">
        <v>42390</v>
      </c>
      <c r="AV5277">
        <v>27</v>
      </c>
      <c r="AW5277" s="4">
        <v>42390</v>
      </c>
      <c r="BD5277">
        <v>0</v>
      </c>
      <c r="BN5277" t="s">
        <v>74</v>
      </c>
    </row>
    <row r="5278" spans="1:66" hidden="1">
      <c r="A5278">
        <v>102414</v>
      </c>
      <c r="B5278" s="3" t="s">
        <v>553</v>
      </c>
      <c r="C5278" s="1">
        <v>43500101</v>
      </c>
      <c r="D5278" t="s">
        <v>113</v>
      </c>
      <c r="H5278" t="str">
        <f t="shared" si="561"/>
        <v>00079760328</v>
      </c>
      <c r="I5278" t="str">
        <f t="shared" si="561"/>
        <v>00079760328</v>
      </c>
      <c r="K5278" t="str">
        <f>""</f>
        <v/>
      </c>
      <c r="M5278" t="s">
        <v>68</v>
      </c>
      <c r="N5278" t="str">
        <f t="shared" si="562"/>
        <v>ALTFIN</v>
      </c>
      <c r="O5278" t="s">
        <v>123</v>
      </c>
      <c r="P5278" s="3" t="s">
        <v>85</v>
      </c>
      <c r="Q5278">
        <v>2016</v>
      </c>
      <c r="R5278" s="2">
        <v>42422</v>
      </c>
      <c r="S5278" s="2">
        <v>42422</v>
      </c>
      <c r="T5278" s="2">
        <v>42422</v>
      </c>
      <c r="U5278" s="2">
        <v>42482</v>
      </c>
      <c r="V5278" t="s">
        <v>71</v>
      </c>
      <c r="W5278" t="str">
        <f>"                0222"</f>
        <v xml:space="preserve">                0222</v>
      </c>
      <c r="X5278">
        <v>0</v>
      </c>
      <c r="Y5278">
        <v>940.01</v>
      </c>
      <c r="Z5278"/>
      <c r="AB5278"/>
      <c r="AC5278">
        <v>940.01</v>
      </c>
      <c r="AD5278">
        <v>-58</v>
      </c>
      <c r="AE5278" s="1">
        <v>-54520.58</v>
      </c>
      <c r="AF5278">
        <v>0</v>
      </c>
      <c r="AJ5278">
        <v>0</v>
      </c>
      <c r="AK5278">
        <v>0</v>
      </c>
      <c r="AL5278">
        <v>0</v>
      </c>
      <c r="AM5278">
        <v>940.01</v>
      </c>
      <c r="AN5278">
        <v>940.01</v>
      </c>
      <c r="AO5278">
        <v>940.01</v>
      </c>
      <c r="AP5278" s="2">
        <v>42746</v>
      </c>
      <c r="AQ5278" t="s">
        <v>72</v>
      </c>
      <c r="AR5278" t="s">
        <v>72</v>
      </c>
      <c r="AS5278">
        <v>472</v>
      </c>
      <c r="AT5278" s="4">
        <v>42424</v>
      </c>
      <c r="AV5278">
        <v>472</v>
      </c>
      <c r="AW5278" s="4">
        <v>42424</v>
      </c>
      <c r="BD5278">
        <v>0</v>
      </c>
      <c r="BN5278" t="s">
        <v>74</v>
      </c>
    </row>
    <row r="5279" spans="1:66" hidden="1">
      <c r="A5279">
        <v>102414</v>
      </c>
      <c r="B5279" s="3" t="s">
        <v>553</v>
      </c>
      <c r="C5279" s="1">
        <v>43500101</v>
      </c>
      <c r="D5279" t="s">
        <v>113</v>
      </c>
      <c r="H5279" t="str">
        <f t="shared" si="561"/>
        <v>00079760328</v>
      </c>
      <c r="I5279" t="str">
        <f t="shared" si="561"/>
        <v>00079760328</v>
      </c>
      <c r="K5279" t="str">
        <f>""</f>
        <v/>
      </c>
      <c r="M5279" t="s">
        <v>68</v>
      </c>
      <c r="N5279" t="str">
        <f t="shared" si="562"/>
        <v>ALTFIN</v>
      </c>
      <c r="O5279" t="s">
        <v>123</v>
      </c>
      <c r="P5279" s="3" t="s">
        <v>86</v>
      </c>
      <c r="Q5279">
        <v>2016</v>
      </c>
      <c r="R5279" s="2">
        <v>42450</v>
      </c>
      <c r="S5279" s="2">
        <v>42450</v>
      </c>
      <c r="T5279" s="2">
        <v>42450</v>
      </c>
      <c r="U5279" s="2">
        <v>42510</v>
      </c>
      <c r="V5279" t="s">
        <v>71</v>
      </c>
      <c r="W5279" t="str">
        <f>"                0321"</f>
        <v xml:space="preserve">                0321</v>
      </c>
      <c r="X5279">
        <v>0</v>
      </c>
      <c r="Y5279">
        <v>940.01</v>
      </c>
      <c r="Z5279"/>
      <c r="AB5279"/>
      <c r="AC5279">
        <v>940.01</v>
      </c>
      <c r="AD5279">
        <v>-57</v>
      </c>
      <c r="AE5279" s="1">
        <v>-53580.57</v>
      </c>
      <c r="AF5279">
        <v>0</v>
      </c>
      <c r="AJ5279">
        <v>0</v>
      </c>
      <c r="AK5279">
        <v>0</v>
      </c>
      <c r="AL5279">
        <v>0</v>
      </c>
      <c r="AM5279">
        <v>940.01</v>
      </c>
      <c r="AN5279">
        <v>940.01</v>
      </c>
      <c r="AO5279">
        <v>940.01</v>
      </c>
      <c r="AP5279" s="2">
        <v>42746</v>
      </c>
      <c r="AQ5279" t="s">
        <v>72</v>
      </c>
      <c r="AR5279" t="s">
        <v>72</v>
      </c>
      <c r="AS5279">
        <v>894</v>
      </c>
      <c r="AT5279" s="4">
        <v>42453</v>
      </c>
      <c r="AV5279">
        <v>894</v>
      </c>
      <c r="AW5279" s="4">
        <v>42453</v>
      </c>
      <c r="BD5279">
        <v>0</v>
      </c>
      <c r="BN5279" t="s">
        <v>74</v>
      </c>
    </row>
    <row r="5280" spans="1:66" hidden="1">
      <c r="A5280">
        <v>102414</v>
      </c>
      <c r="B5280" s="3" t="s">
        <v>553</v>
      </c>
      <c r="C5280" s="1">
        <v>43500101</v>
      </c>
      <c r="D5280" t="s">
        <v>113</v>
      </c>
      <c r="H5280" t="str">
        <f t="shared" si="561"/>
        <v>00079760328</v>
      </c>
      <c r="I5280" t="str">
        <f t="shared" si="561"/>
        <v>00079760328</v>
      </c>
      <c r="K5280" t="str">
        <f>""</f>
        <v/>
      </c>
      <c r="M5280" t="s">
        <v>68</v>
      </c>
      <c r="N5280" t="str">
        <f t="shared" si="562"/>
        <v>ALTFIN</v>
      </c>
      <c r="O5280" t="s">
        <v>123</v>
      </c>
      <c r="P5280" s="3" t="s">
        <v>87</v>
      </c>
      <c r="Q5280">
        <v>2016</v>
      </c>
      <c r="R5280" s="2">
        <v>42481</v>
      </c>
      <c r="S5280" s="2">
        <v>42481</v>
      </c>
      <c r="T5280" s="2">
        <v>42481</v>
      </c>
      <c r="U5280" s="2">
        <v>42541</v>
      </c>
      <c r="V5280" t="s">
        <v>71</v>
      </c>
      <c r="W5280" t="str">
        <f>"                0421"</f>
        <v xml:space="preserve">                0421</v>
      </c>
      <c r="X5280">
        <v>0</v>
      </c>
      <c r="Y5280">
        <v>940.01</v>
      </c>
      <c r="Z5280"/>
      <c r="AB5280"/>
      <c r="AC5280">
        <v>940.01</v>
      </c>
      <c r="AD5280">
        <v>-60</v>
      </c>
      <c r="AE5280" s="1">
        <v>-56400.6</v>
      </c>
      <c r="AF5280">
        <v>0</v>
      </c>
      <c r="AJ5280">
        <v>0</v>
      </c>
      <c r="AK5280">
        <v>0</v>
      </c>
      <c r="AL5280">
        <v>0</v>
      </c>
      <c r="AM5280">
        <v>940.01</v>
      </c>
      <c r="AN5280">
        <v>940.01</v>
      </c>
      <c r="AO5280">
        <v>940.01</v>
      </c>
      <c r="AP5280" s="2">
        <v>42746</v>
      </c>
      <c r="AQ5280" t="s">
        <v>72</v>
      </c>
      <c r="AR5280" t="s">
        <v>72</v>
      </c>
      <c r="AS5280">
        <v>1060</v>
      </c>
      <c r="AT5280" s="4">
        <v>42481</v>
      </c>
      <c r="AV5280">
        <v>1060</v>
      </c>
      <c r="AW5280" s="4">
        <v>42481</v>
      </c>
      <c r="BD5280">
        <v>0</v>
      </c>
      <c r="BN5280" t="s">
        <v>74</v>
      </c>
    </row>
    <row r="5281" spans="1:66" hidden="1">
      <c r="A5281">
        <v>102414</v>
      </c>
      <c r="B5281" s="3" t="s">
        <v>553</v>
      </c>
      <c r="C5281" s="1">
        <v>43500101</v>
      </c>
      <c r="D5281" t="s">
        <v>113</v>
      </c>
      <c r="H5281" t="str">
        <f t="shared" si="561"/>
        <v>00079760328</v>
      </c>
      <c r="I5281" t="str">
        <f t="shared" si="561"/>
        <v>00079760328</v>
      </c>
      <c r="K5281" t="str">
        <f>""</f>
        <v/>
      </c>
      <c r="M5281" t="s">
        <v>68</v>
      </c>
      <c r="N5281" t="str">
        <f t="shared" si="562"/>
        <v>ALTFIN</v>
      </c>
      <c r="O5281" t="s">
        <v>123</v>
      </c>
      <c r="P5281" s="3" t="s">
        <v>88</v>
      </c>
      <c r="Q5281">
        <v>2016</v>
      </c>
      <c r="R5281" s="2">
        <v>42508</v>
      </c>
      <c r="S5281" s="2">
        <v>42510</v>
      </c>
      <c r="T5281" s="2">
        <v>42510</v>
      </c>
      <c r="U5281" s="2">
        <v>42570</v>
      </c>
      <c r="V5281" t="s">
        <v>71</v>
      </c>
      <c r="W5281" t="str">
        <f>"                0518"</f>
        <v xml:space="preserve">                0518</v>
      </c>
      <c r="X5281">
        <v>0</v>
      </c>
      <c r="Y5281">
        <v>940.01</v>
      </c>
      <c r="Z5281"/>
      <c r="AB5281"/>
      <c r="AC5281">
        <v>940.01</v>
      </c>
      <c r="AD5281">
        <v>-57</v>
      </c>
      <c r="AE5281" s="1">
        <v>-53580.57</v>
      </c>
      <c r="AF5281">
        <v>0</v>
      </c>
      <c r="AJ5281">
        <v>0</v>
      </c>
      <c r="AK5281">
        <v>0</v>
      </c>
      <c r="AL5281">
        <v>0</v>
      </c>
      <c r="AM5281">
        <v>940.01</v>
      </c>
      <c r="AN5281">
        <v>940.01</v>
      </c>
      <c r="AO5281">
        <v>940.01</v>
      </c>
      <c r="AP5281" s="2">
        <v>42746</v>
      </c>
      <c r="AQ5281" t="s">
        <v>72</v>
      </c>
      <c r="AR5281" t="s">
        <v>72</v>
      </c>
      <c r="AS5281">
        <v>1299</v>
      </c>
      <c r="AT5281" s="4">
        <v>42513</v>
      </c>
      <c r="AV5281">
        <v>1299</v>
      </c>
      <c r="AW5281" s="4">
        <v>42513</v>
      </c>
      <c r="BD5281">
        <v>0</v>
      </c>
      <c r="BN5281" t="s">
        <v>74</v>
      </c>
    </row>
    <row r="5282" spans="1:66" hidden="1">
      <c r="A5282">
        <v>102414</v>
      </c>
      <c r="B5282" s="3" t="s">
        <v>553</v>
      </c>
      <c r="C5282" s="1">
        <v>43500101</v>
      </c>
      <c r="D5282" t="s">
        <v>113</v>
      </c>
      <c r="H5282" t="str">
        <f t="shared" si="561"/>
        <v>00079760328</v>
      </c>
      <c r="I5282" t="str">
        <f t="shared" si="561"/>
        <v>00079760328</v>
      </c>
      <c r="K5282" t="str">
        <f>""</f>
        <v/>
      </c>
      <c r="M5282" t="s">
        <v>68</v>
      </c>
      <c r="N5282" t="str">
        <f t="shared" si="562"/>
        <v>ALTFIN</v>
      </c>
      <c r="O5282" t="s">
        <v>123</v>
      </c>
      <c r="P5282" s="3" t="s">
        <v>89</v>
      </c>
      <c r="Q5282">
        <v>2016</v>
      </c>
      <c r="R5282" s="2">
        <v>42548</v>
      </c>
      <c r="S5282" s="2">
        <v>42543</v>
      </c>
      <c r="T5282" s="2">
        <v>42543</v>
      </c>
      <c r="U5282" s="2">
        <v>42603</v>
      </c>
      <c r="V5282" t="s">
        <v>71</v>
      </c>
      <c r="W5282" t="str">
        <f>"                0627"</f>
        <v xml:space="preserve">                0627</v>
      </c>
      <c r="X5282">
        <v>0</v>
      </c>
      <c r="Y5282">
        <v>787.64</v>
      </c>
      <c r="Z5282"/>
      <c r="AB5282"/>
      <c r="AC5282">
        <v>787.64</v>
      </c>
      <c r="AD5282">
        <v>-47</v>
      </c>
      <c r="AE5282" s="1">
        <v>-37019.08</v>
      </c>
      <c r="AF5282">
        <v>0</v>
      </c>
      <c r="AJ5282">
        <v>0</v>
      </c>
      <c r="AK5282">
        <v>0</v>
      </c>
      <c r="AL5282">
        <v>0</v>
      </c>
      <c r="AM5282">
        <v>787.64</v>
      </c>
      <c r="AN5282">
        <v>787.64</v>
      </c>
      <c r="AO5282">
        <v>787.64</v>
      </c>
      <c r="AP5282" s="2">
        <v>42746</v>
      </c>
      <c r="AQ5282" t="s">
        <v>72</v>
      </c>
      <c r="AR5282" t="s">
        <v>72</v>
      </c>
      <c r="AS5282">
        <v>1682</v>
      </c>
      <c r="AT5282" s="4">
        <v>42556</v>
      </c>
      <c r="AV5282">
        <v>1682</v>
      </c>
      <c r="AW5282" s="4">
        <v>42556</v>
      </c>
      <c r="BD5282">
        <v>0</v>
      </c>
      <c r="BN5282" t="s">
        <v>74</v>
      </c>
    </row>
    <row r="5283" spans="1:66" hidden="1">
      <c r="A5283">
        <v>102414</v>
      </c>
      <c r="B5283" s="3" t="s">
        <v>553</v>
      </c>
      <c r="C5283" s="1">
        <v>43500101</v>
      </c>
      <c r="D5283" t="s">
        <v>113</v>
      </c>
      <c r="H5283" t="str">
        <f t="shared" si="561"/>
        <v>00079760328</v>
      </c>
      <c r="I5283" t="str">
        <f t="shared" si="561"/>
        <v>00079760328</v>
      </c>
      <c r="K5283" t="str">
        <f>""</f>
        <v/>
      </c>
      <c r="M5283" t="s">
        <v>68</v>
      </c>
      <c r="N5283" t="str">
        <f t="shared" si="562"/>
        <v>ALTFIN</v>
      </c>
      <c r="O5283" t="s">
        <v>123</v>
      </c>
      <c r="P5283" s="3" t="s">
        <v>90</v>
      </c>
      <c r="Q5283">
        <v>2016</v>
      </c>
      <c r="R5283" s="2">
        <v>42573</v>
      </c>
      <c r="S5283" s="2">
        <v>42573</v>
      </c>
      <c r="T5283" s="2">
        <v>42573</v>
      </c>
      <c r="U5283" s="2">
        <v>42633</v>
      </c>
      <c r="V5283" t="s">
        <v>71</v>
      </c>
      <c r="W5283" t="str">
        <f>"                0722"</f>
        <v xml:space="preserve">                0722</v>
      </c>
      <c r="X5283">
        <v>0</v>
      </c>
      <c r="Y5283" s="1">
        <v>1068.23</v>
      </c>
      <c r="Z5283"/>
      <c r="AB5283"/>
      <c r="AC5283" s="1">
        <v>1068.23</v>
      </c>
      <c r="AD5283">
        <v>-48</v>
      </c>
      <c r="AE5283" s="1">
        <v>-51275.040000000001</v>
      </c>
      <c r="AF5283">
        <v>0</v>
      </c>
      <c r="AJ5283">
        <v>0</v>
      </c>
      <c r="AK5283">
        <v>0</v>
      </c>
      <c r="AL5283">
        <v>0</v>
      </c>
      <c r="AM5283" s="1">
        <v>1068.23</v>
      </c>
      <c r="AN5283" s="1">
        <v>1068.23</v>
      </c>
      <c r="AO5283" s="1">
        <v>1068.23</v>
      </c>
      <c r="AP5283" s="2">
        <v>42746</v>
      </c>
      <c r="AQ5283" t="s">
        <v>72</v>
      </c>
      <c r="AR5283" t="s">
        <v>72</v>
      </c>
      <c r="AS5283">
        <v>2082</v>
      </c>
      <c r="AT5283" s="4">
        <v>42585</v>
      </c>
      <c r="AV5283">
        <v>2082</v>
      </c>
      <c r="AW5283" s="4">
        <v>42585</v>
      </c>
      <c r="BD5283">
        <v>0</v>
      </c>
      <c r="BN5283" t="s">
        <v>74</v>
      </c>
    </row>
    <row r="5284" spans="1:66" hidden="1">
      <c r="A5284">
        <v>102414</v>
      </c>
      <c r="B5284" s="3" t="s">
        <v>553</v>
      </c>
      <c r="C5284" s="1">
        <v>43500101</v>
      </c>
      <c r="D5284" t="s">
        <v>113</v>
      </c>
      <c r="H5284" t="str">
        <f t="shared" si="561"/>
        <v>00079760328</v>
      </c>
      <c r="I5284" t="str">
        <f t="shared" si="561"/>
        <v>00079760328</v>
      </c>
      <c r="K5284" t="str">
        <f>""</f>
        <v/>
      </c>
      <c r="M5284" t="s">
        <v>68</v>
      </c>
      <c r="N5284" t="str">
        <f t="shared" si="562"/>
        <v>ALTFIN</v>
      </c>
      <c r="O5284" t="s">
        <v>123</v>
      </c>
      <c r="P5284" s="3" t="s">
        <v>91</v>
      </c>
      <c r="Q5284">
        <v>2016</v>
      </c>
      <c r="R5284" s="2">
        <v>42592</v>
      </c>
      <c r="S5284" s="2">
        <v>42598</v>
      </c>
      <c r="T5284" s="2">
        <v>42598</v>
      </c>
      <c r="U5284" s="2">
        <v>42658</v>
      </c>
      <c r="V5284" t="s">
        <v>71</v>
      </c>
      <c r="W5284" t="str">
        <f>"                0810"</f>
        <v xml:space="preserve">                0810</v>
      </c>
      <c r="X5284">
        <v>0</v>
      </c>
      <c r="Y5284">
        <v>994.14</v>
      </c>
      <c r="Z5284"/>
      <c r="AB5284"/>
      <c r="AC5284">
        <v>994.14</v>
      </c>
      <c r="AD5284">
        <v>-60</v>
      </c>
      <c r="AE5284" s="1">
        <v>-59648.4</v>
      </c>
      <c r="AF5284">
        <v>0</v>
      </c>
      <c r="AJ5284">
        <v>0</v>
      </c>
      <c r="AK5284">
        <v>0</v>
      </c>
      <c r="AL5284">
        <v>0</v>
      </c>
      <c r="AM5284">
        <v>994.14</v>
      </c>
      <c r="AN5284">
        <v>994.14</v>
      </c>
      <c r="AO5284">
        <v>994.14</v>
      </c>
      <c r="AP5284" s="2">
        <v>42746</v>
      </c>
      <c r="AQ5284" t="s">
        <v>72</v>
      </c>
      <c r="AR5284" t="s">
        <v>72</v>
      </c>
      <c r="AS5284">
        <v>2164</v>
      </c>
      <c r="AT5284" s="4">
        <v>42598</v>
      </c>
      <c r="AV5284">
        <v>2164</v>
      </c>
      <c r="AW5284" s="4">
        <v>42598</v>
      </c>
      <c r="BD5284">
        <v>0</v>
      </c>
      <c r="BN5284" t="s">
        <v>74</v>
      </c>
    </row>
    <row r="5285" spans="1:66" hidden="1">
      <c r="A5285">
        <v>102414</v>
      </c>
      <c r="B5285" s="3" t="s">
        <v>553</v>
      </c>
      <c r="C5285" s="1">
        <v>43500101</v>
      </c>
      <c r="D5285" t="s">
        <v>113</v>
      </c>
      <c r="H5285" t="str">
        <f t="shared" si="561"/>
        <v>00079760328</v>
      </c>
      <c r="I5285" t="str">
        <f t="shared" si="561"/>
        <v>00079760328</v>
      </c>
      <c r="K5285" t="str">
        <f>""</f>
        <v/>
      </c>
      <c r="M5285" t="s">
        <v>68</v>
      </c>
      <c r="N5285" t="str">
        <f t="shared" si="562"/>
        <v>ALTFIN</v>
      </c>
      <c r="O5285" t="s">
        <v>123</v>
      </c>
      <c r="P5285" s="3" t="s">
        <v>92</v>
      </c>
      <c r="Q5285">
        <v>2016</v>
      </c>
      <c r="R5285" s="2">
        <v>42633</v>
      </c>
      <c r="S5285" s="2">
        <v>42634</v>
      </c>
      <c r="T5285" s="2">
        <v>42634</v>
      </c>
      <c r="U5285" s="2">
        <v>42694</v>
      </c>
      <c r="V5285" t="s">
        <v>71</v>
      </c>
      <c r="W5285" t="str">
        <f>"                0920"</f>
        <v xml:space="preserve">                0920</v>
      </c>
      <c r="X5285">
        <v>0</v>
      </c>
      <c r="Y5285">
        <v>782.86</v>
      </c>
      <c r="Z5285"/>
      <c r="AB5285"/>
      <c r="AC5285">
        <v>782.86</v>
      </c>
      <c r="AD5285">
        <v>-60</v>
      </c>
      <c r="AE5285" s="1">
        <v>-46971.6</v>
      </c>
      <c r="AF5285">
        <v>0</v>
      </c>
      <c r="AJ5285">
        <v>0</v>
      </c>
      <c r="AK5285">
        <v>0</v>
      </c>
      <c r="AL5285">
        <v>0</v>
      </c>
      <c r="AM5285">
        <v>782.86</v>
      </c>
      <c r="AN5285">
        <v>782.86</v>
      </c>
      <c r="AO5285">
        <v>782.86</v>
      </c>
      <c r="AP5285" s="2">
        <v>42746</v>
      </c>
      <c r="AQ5285" t="s">
        <v>72</v>
      </c>
      <c r="AR5285" t="s">
        <v>72</v>
      </c>
      <c r="AS5285">
        <v>2437</v>
      </c>
      <c r="AT5285" s="4">
        <v>42634</v>
      </c>
      <c r="AV5285">
        <v>2437</v>
      </c>
      <c r="AW5285" s="4">
        <v>42634</v>
      </c>
      <c r="BD5285">
        <v>0</v>
      </c>
      <c r="BN5285" t="s">
        <v>74</v>
      </c>
    </row>
    <row r="5286" spans="1:66" hidden="1">
      <c r="A5286">
        <v>102414</v>
      </c>
      <c r="B5286" s="3" t="s">
        <v>553</v>
      </c>
      <c r="C5286" s="1">
        <v>43500101</v>
      </c>
      <c r="D5286" t="s">
        <v>113</v>
      </c>
      <c r="H5286" t="str">
        <f t="shared" si="561"/>
        <v>00079760328</v>
      </c>
      <c r="I5286" t="str">
        <f t="shared" si="561"/>
        <v>00079760328</v>
      </c>
      <c r="K5286" t="str">
        <f>""</f>
        <v/>
      </c>
      <c r="M5286" t="s">
        <v>68</v>
      </c>
      <c r="N5286" t="str">
        <f t="shared" si="562"/>
        <v>ALTFIN</v>
      </c>
      <c r="O5286" t="s">
        <v>123</v>
      </c>
      <c r="P5286" s="3" t="s">
        <v>93</v>
      </c>
      <c r="Q5286">
        <v>2016</v>
      </c>
      <c r="R5286" s="2">
        <v>42664</v>
      </c>
      <c r="S5286" s="2">
        <v>42667</v>
      </c>
      <c r="T5286" s="2">
        <v>42667</v>
      </c>
      <c r="U5286" s="2">
        <v>42727</v>
      </c>
      <c r="V5286" t="s">
        <v>71</v>
      </c>
      <c r="W5286" t="str">
        <f>"                1021"</f>
        <v xml:space="preserve">                1021</v>
      </c>
      <c r="X5286">
        <v>0</v>
      </c>
      <c r="Y5286">
        <v>782.86</v>
      </c>
      <c r="Z5286" s="3">
        <v>782.86</v>
      </c>
      <c r="AA5286">
        <v>-60</v>
      </c>
      <c r="AB5286" s="5">
        <v>-46971.6</v>
      </c>
      <c r="AC5286">
        <v>782.86</v>
      </c>
      <c r="AD5286">
        <v>-60</v>
      </c>
      <c r="AE5286" s="1">
        <v>-46971.6</v>
      </c>
      <c r="AF5286">
        <v>0</v>
      </c>
      <c r="AJ5286">
        <v>782.86</v>
      </c>
      <c r="AK5286">
        <v>782.86</v>
      </c>
      <c r="AL5286">
        <v>782.86</v>
      </c>
      <c r="AM5286">
        <v>782.86</v>
      </c>
      <c r="AN5286">
        <v>782.86</v>
      </c>
      <c r="AO5286">
        <v>782.86</v>
      </c>
      <c r="AP5286" s="2">
        <v>42746</v>
      </c>
      <c r="AQ5286" t="s">
        <v>72</v>
      </c>
      <c r="AR5286" t="s">
        <v>72</v>
      </c>
      <c r="AS5286">
        <v>2784</v>
      </c>
      <c r="AT5286" s="4">
        <v>42667</v>
      </c>
      <c r="AV5286">
        <v>2784</v>
      </c>
      <c r="AW5286" s="4">
        <v>42667</v>
      </c>
      <c r="BD5286">
        <v>0</v>
      </c>
      <c r="BN5286" t="s">
        <v>74</v>
      </c>
    </row>
    <row r="5287" spans="1:66" hidden="1">
      <c r="A5287">
        <v>102414</v>
      </c>
      <c r="B5287" s="3" t="s">
        <v>553</v>
      </c>
      <c r="C5287" s="1">
        <v>43500101</v>
      </c>
      <c r="D5287" t="s">
        <v>113</v>
      </c>
      <c r="H5287" t="str">
        <f t="shared" si="561"/>
        <v>00079760328</v>
      </c>
      <c r="I5287" t="str">
        <f t="shared" si="561"/>
        <v>00079760328</v>
      </c>
      <c r="K5287" t="str">
        <f>""</f>
        <v/>
      </c>
      <c r="M5287" t="s">
        <v>68</v>
      </c>
      <c r="N5287" t="str">
        <f t="shared" si="562"/>
        <v>ALTFIN</v>
      </c>
      <c r="O5287" t="s">
        <v>123</v>
      </c>
      <c r="P5287" s="3" t="s">
        <v>94</v>
      </c>
      <c r="Q5287">
        <v>2016</v>
      </c>
      <c r="R5287" s="2">
        <v>42696</v>
      </c>
      <c r="S5287" s="2">
        <v>42696</v>
      </c>
      <c r="T5287" s="2">
        <v>42696</v>
      </c>
      <c r="U5287" s="2">
        <v>42756</v>
      </c>
      <c r="V5287" t="s">
        <v>71</v>
      </c>
      <c r="W5287" t="str">
        <f>"                1122"</f>
        <v xml:space="preserve">                1122</v>
      </c>
      <c r="X5287">
        <v>0</v>
      </c>
      <c r="Y5287">
        <v>782.86</v>
      </c>
      <c r="Z5287" s="3">
        <v>782.86</v>
      </c>
      <c r="AA5287">
        <v>-59</v>
      </c>
      <c r="AB5287" s="5">
        <v>-46188.74</v>
      </c>
      <c r="AC5287">
        <v>782.86</v>
      </c>
      <c r="AD5287">
        <v>-59</v>
      </c>
      <c r="AE5287" s="1">
        <v>-46188.74</v>
      </c>
      <c r="AF5287">
        <v>0</v>
      </c>
      <c r="AJ5287">
        <v>782.86</v>
      </c>
      <c r="AK5287">
        <v>782.86</v>
      </c>
      <c r="AL5287">
        <v>782.86</v>
      </c>
      <c r="AM5287">
        <v>782.86</v>
      </c>
      <c r="AN5287">
        <v>782.86</v>
      </c>
      <c r="AO5287">
        <v>782.86</v>
      </c>
      <c r="AP5287" s="2">
        <v>42746</v>
      </c>
      <c r="AQ5287" t="s">
        <v>72</v>
      </c>
      <c r="AR5287" t="s">
        <v>72</v>
      </c>
      <c r="AS5287">
        <v>3222</v>
      </c>
      <c r="AT5287" s="4">
        <v>42697</v>
      </c>
      <c r="AV5287">
        <v>3222</v>
      </c>
      <c r="AW5287" s="4">
        <v>42697</v>
      </c>
      <c r="BD5287">
        <v>0</v>
      </c>
      <c r="BN5287" t="s">
        <v>74</v>
      </c>
    </row>
    <row r="5288" spans="1:66" hidden="1">
      <c r="A5288">
        <v>102414</v>
      </c>
      <c r="B5288" s="3" t="s">
        <v>553</v>
      </c>
      <c r="C5288" s="1">
        <v>43500101</v>
      </c>
      <c r="D5288" t="s">
        <v>113</v>
      </c>
      <c r="H5288" t="str">
        <f t="shared" si="561"/>
        <v>00079760328</v>
      </c>
      <c r="I5288" t="str">
        <f t="shared" si="561"/>
        <v>00079760328</v>
      </c>
      <c r="K5288" t="str">
        <f>""</f>
        <v/>
      </c>
      <c r="M5288" t="s">
        <v>68</v>
      </c>
      <c r="N5288" t="str">
        <f t="shared" si="562"/>
        <v>ALTFIN</v>
      </c>
      <c r="O5288" t="s">
        <v>123</v>
      </c>
      <c r="P5288" s="3" t="s">
        <v>95</v>
      </c>
      <c r="Q5288">
        <v>2016</v>
      </c>
      <c r="R5288" s="2">
        <v>42717</v>
      </c>
      <c r="S5288" s="2">
        <v>42717</v>
      </c>
      <c r="T5288" s="2">
        <v>42717</v>
      </c>
      <c r="U5288" s="2">
        <v>42777</v>
      </c>
      <c r="V5288" t="s">
        <v>71</v>
      </c>
      <c r="W5288" t="str">
        <f>"                1213"</f>
        <v xml:space="preserve">                1213</v>
      </c>
      <c r="X5288">
        <v>0</v>
      </c>
      <c r="Y5288">
        <v>782.86</v>
      </c>
      <c r="Z5288" s="3">
        <v>782.86</v>
      </c>
      <c r="AA5288">
        <v>-59</v>
      </c>
      <c r="AB5288" s="5">
        <v>-46188.74</v>
      </c>
      <c r="AC5288">
        <v>782.86</v>
      </c>
      <c r="AD5288">
        <v>-59</v>
      </c>
      <c r="AE5288" s="1">
        <v>-46188.74</v>
      </c>
      <c r="AF5288">
        <v>0</v>
      </c>
      <c r="AJ5288">
        <v>782.86</v>
      </c>
      <c r="AK5288">
        <v>782.86</v>
      </c>
      <c r="AL5288">
        <v>782.86</v>
      </c>
      <c r="AM5288">
        <v>782.86</v>
      </c>
      <c r="AN5288">
        <v>782.86</v>
      </c>
      <c r="AO5288">
        <v>782.86</v>
      </c>
      <c r="AP5288" s="2">
        <v>42746</v>
      </c>
      <c r="AQ5288" t="s">
        <v>72</v>
      </c>
      <c r="AR5288" t="s">
        <v>72</v>
      </c>
      <c r="AS5288">
        <v>3381</v>
      </c>
      <c r="AT5288" s="4">
        <v>42718</v>
      </c>
      <c r="AV5288">
        <v>3381</v>
      </c>
      <c r="AW5288" s="4">
        <v>42718</v>
      </c>
      <c r="BD5288">
        <v>0</v>
      </c>
      <c r="BN5288" t="s">
        <v>74</v>
      </c>
    </row>
    <row r="5289" spans="1:66" hidden="1">
      <c r="A5289">
        <v>102629</v>
      </c>
      <c r="B5289" s="3" t="s">
        <v>554</v>
      </c>
      <c r="C5289" s="1">
        <v>43300101</v>
      </c>
      <c r="D5289" t="s">
        <v>67</v>
      </c>
      <c r="H5289" t="str">
        <f t="shared" ref="H5289:I5308" si="563">"01128810650"</f>
        <v>01128810650</v>
      </c>
      <c r="I5289" t="str">
        <f t="shared" si="563"/>
        <v>01128810650</v>
      </c>
      <c r="K5289" t="str">
        <f>""</f>
        <v/>
      </c>
      <c r="M5289" t="s">
        <v>68</v>
      </c>
      <c r="N5289" t="str">
        <f t="shared" ref="N5289:N5352" si="564">"FOR"</f>
        <v>FOR</v>
      </c>
      <c r="O5289" t="s">
        <v>69</v>
      </c>
      <c r="P5289" s="3" t="s">
        <v>75</v>
      </c>
      <c r="Q5289">
        <v>2015</v>
      </c>
      <c r="R5289" s="2">
        <v>42104</v>
      </c>
      <c r="S5289" s="2">
        <v>42116</v>
      </c>
      <c r="T5289" s="2">
        <v>42115</v>
      </c>
      <c r="U5289" s="2">
        <v>42175</v>
      </c>
      <c r="V5289" t="s">
        <v>71</v>
      </c>
      <c r="W5289" t="str">
        <f>"                 5/E"</f>
        <v xml:space="preserve">                 5/E</v>
      </c>
      <c r="X5289" s="1">
        <v>1213.9000000000001</v>
      </c>
      <c r="Y5289">
        <v>0</v>
      </c>
      <c r="Z5289"/>
      <c r="AB5289"/>
      <c r="AC5289">
        <v>995</v>
      </c>
      <c r="AD5289">
        <v>255</v>
      </c>
      <c r="AE5289" s="1">
        <v>253725</v>
      </c>
      <c r="AF5289">
        <v>0</v>
      </c>
      <c r="AJ5289">
        <v>0</v>
      </c>
      <c r="AK5289">
        <v>0</v>
      </c>
      <c r="AL5289">
        <v>0</v>
      </c>
      <c r="AM5289">
        <v>0</v>
      </c>
      <c r="AN5289">
        <v>0</v>
      </c>
      <c r="AO5289">
        <v>0</v>
      </c>
      <c r="AP5289" s="2">
        <v>42746</v>
      </c>
      <c r="AQ5289" t="s">
        <v>72</v>
      </c>
      <c r="AR5289" t="s">
        <v>72</v>
      </c>
      <c r="AS5289">
        <v>605</v>
      </c>
      <c r="AT5289" s="4">
        <v>42430</v>
      </c>
      <c r="AU5289" t="s">
        <v>73</v>
      </c>
      <c r="AV5289">
        <v>605</v>
      </c>
      <c r="AW5289" s="4">
        <v>42430</v>
      </c>
      <c r="BD5289">
        <v>0</v>
      </c>
      <c r="BN5289" t="s">
        <v>74</v>
      </c>
    </row>
    <row r="5290" spans="1:66" hidden="1">
      <c r="A5290">
        <v>102629</v>
      </c>
      <c r="B5290" s="3" t="s">
        <v>554</v>
      </c>
      <c r="C5290" s="1">
        <v>43300101</v>
      </c>
      <c r="D5290" t="s">
        <v>67</v>
      </c>
      <c r="H5290" t="str">
        <f t="shared" si="563"/>
        <v>01128810650</v>
      </c>
      <c r="I5290" t="str">
        <f t="shared" si="563"/>
        <v>01128810650</v>
      </c>
      <c r="K5290" t="str">
        <f>""</f>
        <v/>
      </c>
      <c r="M5290" t="s">
        <v>68</v>
      </c>
      <c r="N5290" t="str">
        <f t="shared" si="564"/>
        <v>FOR</v>
      </c>
      <c r="O5290" t="s">
        <v>69</v>
      </c>
      <c r="P5290" s="3" t="s">
        <v>75</v>
      </c>
      <c r="Q5290">
        <v>2015</v>
      </c>
      <c r="R5290" s="2">
        <v>42111</v>
      </c>
      <c r="S5290" s="2">
        <v>42142</v>
      </c>
      <c r="T5290" s="2">
        <v>42137</v>
      </c>
      <c r="U5290" s="2">
        <v>42197</v>
      </c>
      <c r="V5290" t="s">
        <v>71</v>
      </c>
      <c r="W5290" t="str">
        <f>"                 7/E"</f>
        <v xml:space="preserve">                 7/E</v>
      </c>
      <c r="X5290">
        <v>157.62</v>
      </c>
      <c r="Y5290">
        <v>0</v>
      </c>
      <c r="Z5290"/>
      <c r="AB5290"/>
      <c r="AC5290">
        <v>129.19999999999999</v>
      </c>
      <c r="AD5290">
        <v>233</v>
      </c>
      <c r="AE5290" s="1">
        <v>30103.599999999999</v>
      </c>
      <c r="AF5290">
        <v>0</v>
      </c>
      <c r="AJ5290">
        <v>0</v>
      </c>
      <c r="AK5290">
        <v>0</v>
      </c>
      <c r="AL5290">
        <v>0</v>
      </c>
      <c r="AM5290">
        <v>0</v>
      </c>
      <c r="AN5290">
        <v>0</v>
      </c>
      <c r="AO5290">
        <v>0</v>
      </c>
      <c r="AP5290" s="2">
        <v>42746</v>
      </c>
      <c r="AQ5290" t="s">
        <v>72</v>
      </c>
      <c r="AR5290" t="s">
        <v>72</v>
      </c>
      <c r="AS5290">
        <v>605</v>
      </c>
      <c r="AT5290" s="4">
        <v>42430</v>
      </c>
      <c r="AU5290" t="s">
        <v>73</v>
      </c>
      <c r="AV5290">
        <v>605</v>
      </c>
      <c r="AW5290" s="4">
        <v>42430</v>
      </c>
      <c r="BD5290">
        <v>0</v>
      </c>
      <c r="BN5290" t="s">
        <v>74</v>
      </c>
    </row>
    <row r="5291" spans="1:66" hidden="1">
      <c r="A5291">
        <v>102629</v>
      </c>
      <c r="B5291" s="3" t="s">
        <v>554</v>
      </c>
      <c r="C5291" s="1">
        <v>43300101</v>
      </c>
      <c r="D5291" t="s">
        <v>67</v>
      </c>
      <c r="H5291" t="str">
        <f t="shared" si="563"/>
        <v>01128810650</v>
      </c>
      <c r="I5291" t="str">
        <f t="shared" si="563"/>
        <v>01128810650</v>
      </c>
      <c r="K5291" t="str">
        <f>""</f>
        <v/>
      </c>
      <c r="M5291" t="s">
        <v>68</v>
      </c>
      <c r="N5291" t="str">
        <f t="shared" si="564"/>
        <v>FOR</v>
      </c>
      <c r="O5291" t="s">
        <v>69</v>
      </c>
      <c r="P5291" s="3" t="s">
        <v>75</v>
      </c>
      <c r="Q5291">
        <v>2015</v>
      </c>
      <c r="R5291" s="2">
        <v>42111</v>
      </c>
      <c r="S5291" s="2">
        <v>42128</v>
      </c>
      <c r="T5291" s="2">
        <v>42124</v>
      </c>
      <c r="U5291" s="2">
        <v>42184</v>
      </c>
      <c r="V5291" t="s">
        <v>71</v>
      </c>
      <c r="W5291" t="str">
        <f>"                 9/E"</f>
        <v xml:space="preserve">                 9/E</v>
      </c>
      <c r="X5291">
        <v>68.319999999999993</v>
      </c>
      <c r="Y5291">
        <v>0</v>
      </c>
      <c r="Z5291"/>
      <c r="AB5291"/>
      <c r="AC5291">
        <v>56</v>
      </c>
      <c r="AD5291">
        <v>246</v>
      </c>
      <c r="AE5291" s="1">
        <v>13776</v>
      </c>
      <c r="AF5291">
        <v>0</v>
      </c>
      <c r="AJ5291">
        <v>0</v>
      </c>
      <c r="AK5291">
        <v>0</v>
      </c>
      <c r="AL5291">
        <v>0</v>
      </c>
      <c r="AM5291">
        <v>0</v>
      </c>
      <c r="AN5291">
        <v>0</v>
      </c>
      <c r="AO5291">
        <v>0</v>
      </c>
      <c r="AP5291" s="2">
        <v>42746</v>
      </c>
      <c r="AQ5291" t="s">
        <v>72</v>
      </c>
      <c r="AR5291" t="s">
        <v>72</v>
      </c>
      <c r="AS5291">
        <v>605</v>
      </c>
      <c r="AT5291" s="4">
        <v>42430</v>
      </c>
      <c r="AU5291" t="s">
        <v>73</v>
      </c>
      <c r="AV5291">
        <v>605</v>
      </c>
      <c r="AW5291" s="4">
        <v>42430</v>
      </c>
      <c r="BD5291">
        <v>0</v>
      </c>
      <c r="BN5291" t="s">
        <v>74</v>
      </c>
    </row>
    <row r="5292" spans="1:66" hidden="1">
      <c r="A5292">
        <v>102629</v>
      </c>
      <c r="B5292" s="3" t="s">
        <v>554</v>
      </c>
      <c r="C5292" s="1">
        <v>43300101</v>
      </c>
      <c r="D5292" t="s">
        <v>67</v>
      </c>
      <c r="H5292" t="str">
        <f t="shared" si="563"/>
        <v>01128810650</v>
      </c>
      <c r="I5292" t="str">
        <f t="shared" si="563"/>
        <v>01128810650</v>
      </c>
      <c r="K5292" t="str">
        <f>""</f>
        <v/>
      </c>
      <c r="M5292" t="s">
        <v>68</v>
      </c>
      <c r="N5292" t="str">
        <f t="shared" si="564"/>
        <v>FOR</v>
      </c>
      <c r="O5292" t="s">
        <v>69</v>
      </c>
      <c r="P5292" s="3" t="s">
        <v>75</v>
      </c>
      <c r="Q5292">
        <v>2015</v>
      </c>
      <c r="R5292" s="2">
        <v>42118</v>
      </c>
      <c r="S5292" s="2">
        <v>42174</v>
      </c>
      <c r="T5292" s="2">
        <v>42138</v>
      </c>
      <c r="U5292" s="2">
        <v>42198</v>
      </c>
      <c r="V5292" t="s">
        <v>71</v>
      </c>
      <c r="W5292" t="str">
        <f>"                23/E"</f>
        <v xml:space="preserve">                23/E</v>
      </c>
      <c r="X5292" s="1">
        <v>1135.82</v>
      </c>
      <c r="Y5292">
        <v>0</v>
      </c>
      <c r="Z5292"/>
      <c r="AB5292"/>
      <c r="AC5292">
        <v>931</v>
      </c>
      <c r="AD5292">
        <v>232</v>
      </c>
      <c r="AE5292" s="1">
        <v>215992</v>
      </c>
      <c r="AF5292">
        <v>0</v>
      </c>
      <c r="AJ5292">
        <v>0</v>
      </c>
      <c r="AK5292">
        <v>0</v>
      </c>
      <c r="AL5292">
        <v>0</v>
      </c>
      <c r="AM5292">
        <v>0</v>
      </c>
      <c r="AN5292">
        <v>0</v>
      </c>
      <c r="AO5292">
        <v>0</v>
      </c>
      <c r="AP5292" s="2">
        <v>42746</v>
      </c>
      <c r="AQ5292" t="s">
        <v>72</v>
      </c>
      <c r="AR5292" t="s">
        <v>72</v>
      </c>
      <c r="AS5292">
        <v>605</v>
      </c>
      <c r="AT5292" s="4">
        <v>42430</v>
      </c>
      <c r="AU5292" t="s">
        <v>73</v>
      </c>
      <c r="AV5292">
        <v>605</v>
      </c>
      <c r="AW5292" s="4">
        <v>42430</v>
      </c>
      <c r="BD5292">
        <v>0</v>
      </c>
      <c r="BN5292" t="s">
        <v>74</v>
      </c>
    </row>
    <row r="5293" spans="1:66" hidden="1">
      <c r="A5293">
        <v>102629</v>
      </c>
      <c r="B5293" s="3" t="s">
        <v>554</v>
      </c>
      <c r="C5293" s="1">
        <v>43300101</v>
      </c>
      <c r="D5293" t="s">
        <v>67</v>
      </c>
      <c r="H5293" t="str">
        <f t="shared" si="563"/>
        <v>01128810650</v>
      </c>
      <c r="I5293" t="str">
        <f t="shared" si="563"/>
        <v>01128810650</v>
      </c>
      <c r="K5293" t="str">
        <f>""</f>
        <v/>
      </c>
      <c r="M5293" t="s">
        <v>68</v>
      </c>
      <c r="N5293" t="str">
        <f t="shared" si="564"/>
        <v>FOR</v>
      </c>
      <c r="O5293" t="s">
        <v>69</v>
      </c>
      <c r="P5293" s="3" t="s">
        <v>70</v>
      </c>
      <c r="Q5293">
        <v>2015</v>
      </c>
      <c r="R5293" s="2">
        <v>42041</v>
      </c>
      <c r="S5293" s="2">
        <v>42054</v>
      </c>
      <c r="T5293" s="2">
        <v>42054</v>
      </c>
      <c r="U5293" s="2">
        <v>42114</v>
      </c>
      <c r="V5293" t="s">
        <v>71</v>
      </c>
      <c r="W5293" t="str">
        <f>"                34/P"</f>
        <v xml:space="preserve">                34/P</v>
      </c>
      <c r="X5293">
        <v>207.4</v>
      </c>
      <c r="Y5293">
        <v>0</v>
      </c>
      <c r="Z5293"/>
      <c r="AB5293"/>
      <c r="AC5293">
        <v>170</v>
      </c>
      <c r="AD5293">
        <v>289</v>
      </c>
      <c r="AE5293" s="1">
        <v>49130</v>
      </c>
      <c r="AF5293">
        <v>0</v>
      </c>
      <c r="AJ5293">
        <v>0</v>
      </c>
      <c r="AK5293">
        <v>0</v>
      </c>
      <c r="AL5293">
        <v>0</v>
      </c>
      <c r="AM5293">
        <v>0</v>
      </c>
      <c r="AN5293">
        <v>0</v>
      </c>
      <c r="AO5293">
        <v>0</v>
      </c>
      <c r="AP5293" s="2">
        <v>42746</v>
      </c>
      <c r="AQ5293" t="s">
        <v>72</v>
      </c>
      <c r="AR5293" t="s">
        <v>72</v>
      </c>
      <c r="AS5293">
        <v>224</v>
      </c>
      <c r="AT5293" s="4">
        <v>42403</v>
      </c>
      <c r="AU5293" t="s">
        <v>73</v>
      </c>
      <c r="AV5293">
        <v>224</v>
      </c>
      <c r="AW5293" s="4">
        <v>42403</v>
      </c>
      <c r="BD5293">
        <v>0</v>
      </c>
      <c r="BN5293" t="s">
        <v>74</v>
      </c>
    </row>
    <row r="5294" spans="1:66" hidden="1">
      <c r="A5294">
        <v>102629</v>
      </c>
      <c r="B5294" s="3" t="s">
        <v>554</v>
      </c>
      <c r="C5294" s="1">
        <v>43300101</v>
      </c>
      <c r="D5294" t="s">
        <v>67</v>
      </c>
      <c r="H5294" t="str">
        <f t="shared" si="563"/>
        <v>01128810650</v>
      </c>
      <c r="I5294" t="str">
        <f t="shared" si="563"/>
        <v>01128810650</v>
      </c>
      <c r="K5294" t="str">
        <f>""</f>
        <v/>
      </c>
      <c r="M5294" t="s">
        <v>68</v>
      </c>
      <c r="N5294" t="str">
        <f t="shared" si="564"/>
        <v>FOR</v>
      </c>
      <c r="O5294" t="s">
        <v>69</v>
      </c>
      <c r="P5294" s="3" t="s">
        <v>75</v>
      </c>
      <c r="Q5294">
        <v>2015</v>
      </c>
      <c r="R5294" s="2">
        <v>42149</v>
      </c>
      <c r="S5294" s="2">
        <v>42160</v>
      </c>
      <c r="T5294" s="2">
        <v>42151</v>
      </c>
      <c r="U5294" s="2">
        <v>42211</v>
      </c>
      <c r="V5294" t="s">
        <v>71</v>
      </c>
      <c r="W5294" t="str">
        <f>"                47/E"</f>
        <v xml:space="preserve">                47/E</v>
      </c>
      <c r="X5294" s="1">
        <v>4346.25</v>
      </c>
      <c r="Y5294">
        <v>0</v>
      </c>
      <c r="Z5294"/>
      <c r="AB5294"/>
      <c r="AC5294" s="1">
        <v>3562.5</v>
      </c>
      <c r="AD5294">
        <v>241</v>
      </c>
      <c r="AE5294" s="1">
        <v>858562.5</v>
      </c>
      <c r="AF5294">
        <v>0</v>
      </c>
      <c r="AJ5294">
        <v>0</v>
      </c>
      <c r="AK5294">
        <v>0</v>
      </c>
      <c r="AL5294">
        <v>0</v>
      </c>
      <c r="AM5294">
        <v>0</v>
      </c>
      <c r="AN5294">
        <v>0</v>
      </c>
      <c r="AO5294">
        <v>0</v>
      </c>
      <c r="AP5294" s="2">
        <v>42746</v>
      </c>
      <c r="AQ5294" t="s">
        <v>72</v>
      </c>
      <c r="AR5294" t="s">
        <v>72</v>
      </c>
      <c r="AS5294">
        <v>836</v>
      </c>
      <c r="AT5294" s="4">
        <v>42452</v>
      </c>
      <c r="AU5294" t="s">
        <v>73</v>
      </c>
      <c r="AV5294">
        <v>836</v>
      </c>
      <c r="AW5294" s="4">
        <v>42452</v>
      </c>
      <c r="BD5294">
        <v>0</v>
      </c>
      <c r="BN5294" t="s">
        <v>74</v>
      </c>
    </row>
    <row r="5295" spans="1:66" hidden="1">
      <c r="A5295">
        <v>102629</v>
      </c>
      <c r="B5295" s="3" t="s">
        <v>554</v>
      </c>
      <c r="C5295" s="1">
        <v>43300101</v>
      </c>
      <c r="D5295" t="s">
        <v>67</v>
      </c>
      <c r="H5295" t="str">
        <f t="shared" si="563"/>
        <v>01128810650</v>
      </c>
      <c r="I5295" t="str">
        <f t="shared" si="563"/>
        <v>01128810650</v>
      </c>
      <c r="K5295" t="str">
        <f>""</f>
        <v/>
      </c>
      <c r="M5295" t="s">
        <v>68</v>
      </c>
      <c r="N5295" t="str">
        <f t="shared" si="564"/>
        <v>FOR</v>
      </c>
      <c r="O5295" t="s">
        <v>69</v>
      </c>
      <c r="P5295" s="3" t="s">
        <v>75</v>
      </c>
      <c r="Q5295">
        <v>2015</v>
      </c>
      <c r="R5295" s="2">
        <v>42149</v>
      </c>
      <c r="S5295" s="2">
        <v>42160</v>
      </c>
      <c r="T5295" s="2">
        <v>42151</v>
      </c>
      <c r="U5295" s="2">
        <v>42211</v>
      </c>
      <c r="V5295" t="s">
        <v>71</v>
      </c>
      <c r="W5295" t="str">
        <f>"                49/E"</f>
        <v xml:space="preserve">                49/E</v>
      </c>
      <c r="X5295" s="1">
        <v>3836.9</v>
      </c>
      <c r="Y5295">
        <v>0</v>
      </c>
      <c r="Z5295"/>
      <c r="AB5295"/>
      <c r="AC5295" s="1">
        <v>3145</v>
      </c>
      <c r="AD5295">
        <v>241</v>
      </c>
      <c r="AE5295" s="1">
        <v>757945</v>
      </c>
      <c r="AF5295">
        <v>0</v>
      </c>
      <c r="AJ5295">
        <v>0</v>
      </c>
      <c r="AK5295">
        <v>0</v>
      </c>
      <c r="AL5295">
        <v>0</v>
      </c>
      <c r="AM5295">
        <v>0</v>
      </c>
      <c r="AN5295">
        <v>0</v>
      </c>
      <c r="AO5295">
        <v>0</v>
      </c>
      <c r="AP5295" s="2">
        <v>42746</v>
      </c>
      <c r="AQ5295" t="s">
        <v>72</v>
      </c>
      <c r="AR5295" t="s">
        <v>72</v>
      </c>
      <c r="AS5295">
        <v>836</v>
      </c>
      <c r="AT5295" s="4">
        <v>42452</v>
      </c>
      <c r="AU5295" t="s">
        <v>73</v>
      </c>
      <c r="AV5295">
        <v>836</v>
      </c>
      <c r="AW5295" s="4">
        <v>42452</v>
      </c>
      <c r="BD5295">
        <v>0</v>
      </c>
      <c r="BN5295" t="s">
        <v>74</v>
      </c>
    </row>
    <row r="5296" spans="1:66" hidden="1">
      <c r="A5296">
        <v>102629</v>
      </c>
      <c r="B5296" s="3" t="s">
        <v>554</v>
      </c>
      <c r="C5296" s="1">
        <v>43300101</v>
      </c>
      <c r="D5296" t="s">
        <v>67</v>
      </c>
      <c r="H5296" t="str">
        <f t="shared" si="563"/>
        <v>01128810650</v>
      </c>
      <c r="I5296" t="str">
        <f t="shared" si="563"/>
        <v>01128810650</v>
      </c>
      <c r="K5296" t="str">
        <f>""</f>
        <v/>
      </c>
      <c r="M5296" t="s">
        <v>68</v>
      </c>
      <c r="N5296" t="str">
        <f t="shared" si="564"/>
        <v>FOR</v>
      </c>
      <c r="O5296" t="s">
        <v>69</v>
      </c>
      <c r="P5296" s="3" t="s">
        <v>70</v>
      </c>
      <c r="Q5296">
        <v>2015</v>
      </c>
      <c r="R5296" s="2">
        <v>42062</v>
      </c>
      <c r="S5296" s="2">
        <v>42073</v>
      </c>
      <c r="T5296" s="2">
        <v>42073</v>
      </c>
      <c r="U5296" s="2">
        <v>42133</v>
      </c>
      <c r="V5296" t="s">
        <v>71</v>
      </c>
      <c r="W5296" t="str">
        <f>"                50/P"</f>
        <v xml:space="preserve">                50/P</v>
      </c>
      <c r="X5296" s="1">
        <v>1236.96</v>
      </c>
      <c r="Y5296">
        <v>0</v>
      </c>
      <c r="Z5296"/>
      <c r="AB5296"/>
      <c r="AC5296" s="1">
        <v>1013.9</v>
      </c>
      <c r="AD5296">
        <v>270</v>
      </c>
      <c r="AE5296" s="1">
        <v>273753</v>
      </c>
      <c r="AF5296">
        <v>0</v>
      </c>
      <c r="AJ5296">
        <v>0</v>
      </c>
      <c r="AK5296">
        <v>0</v>
      </c>
      <c r="AL5296">
        <v>0</v>
      </c>
      <c r="AM5296">
        <v>0</v>
      </c>
      <c r="AN5296">
        <v>0</v>
      </c>
      <c r="AO5296">
        <v>0</v>
      </c>
      <c r="AP5296" s="2">
        <v>42746</v>
      </c>
      <c r="AQ5296" t="s">
        <v>72</v>
      </c>
      <c r="AR5296" t="s">
        <v>72</v>
      </c>
      <c r="AS5296">
        <v>224</v>
      </c>
      <c r="AT5296" s="4">
        <v>42403</v>
      </c>
      <c r="AU5296" t="s">
        <v>73</v>
      </c>
      <c r="AV5296">
        <v>224</v>
      </c>
      <c r="AW5296" s="4">
        <v>42403</v>
      </c>
      <c r="BD5296">
        <v>0</v>
      </c>
      <c r="BN5296" t="s">
        <v>74</v>
      </c>
    </row>
    <row r="5297" spans="1:66" hidden="1">
      <c r="A5297">
        <v>102629</v>
      </c>
      <c r="B5297" s="3" t="s">
        <v>554</v>
      </c>
      <c r="C5297" s="1">
        <v>43300101</v>
      </c>
      <c r="D5297" t="s">
        <v>67</v>
      </c>
      <c r="H5297" t="str">
        <f t="shared" si="563"/>
        <v>01128810650</v>
      </c>
      <c r="I5297" t="str">
        <f t="shared" si="563"/>
        <v>01128810650</v>
      </c>
      <c r="K5297" t="str">
        <f>""</f>
        <v/>
      </c>
      <c r="M5297" t="s">
        <v>68</v>
      </c>
      <c r="N5297" t="str">
        <f t="shared" si="564"/>
        <v>FOR</v>
      </c>
      <c r="O5297" t="s">
        <v>69</v>
      </c>
      <c r="P5297" s="3" t="s">
        <v>70</v>
      </c>
      <c r="Q5297">
        <v>2015</v>
      </c>
      <c r="R5297" s="2">
        <v>42062</v>
      </c>
      <c r="S5297" s="2">
        <v>42115</v>
      </c>
      <c r="T5297" s="2">
        <v>42115</v>
      </c>
      <c r="U5297" s="2">
        <v>42175</v>
      </c>
      <c r="V5297" t="s">
        <v>71</v>
      </c>
      <c r="W5297" t="str">
        <f>"                51/P"</f>
        <v xml:space="preserve">                51/P</v>
      </c>
      <c r="X5297" s="1">
        <v>2160.62</v>
      </c>
      <c r="Y5297">
        <v>0</v>
      </c>
      <c r="Z5297"/>
      <c r="AB5297"/>
      <c r="AC5297" s="1">
        <v>1771</v>
      </c>
      <c r="AD5297">
        <v>228</v>
      </c>
      <c r="AE5297" s="1">
        <v>403788</v>
      </c>
      <c r="AF5297">
        <v>0</v>
      </c>
      <c r="AJ5297">
        <v>0</v>
      </c>
      <c r="AK5297">
        <v>0</v>
      </c>
      <c r="AL5297">
        <v>0</v>
      </c>
      <c r="AM5297">
        <v>0</v>
      </c>
      <c r="AN5297">
        <v>0</v>
      </c>
      <c r="AO5297">
        <v>0</v>
      </c>
      <c r="AP5297" s="2">
        <v>42746</v>
      </c>
      <c r="AQ5297" t="s">
        <v>72</v>
      </c>
      <c r="AR5297" t="s">
        <v>72</v>
      </c>
      <c r="AS5297">
        <v>224</v>
      </c>
      <c r="AT5297" s="4">
        <v>42403</v>
      </c>
      <c r="AU5297" t="s">
        <v>73</v>
      </c>
      <c r="AV5297">
        <v>224</v>
      </c>
      <c r="AW5297" s="4">
        <v>42403</v>
      </c>
      <c r="BD5297">
        <v>0</v>
      </c>
      <c r="BN5297" t="s">
        <v>74</v>
      </c>
    </row>
    <row r="5298" spans="1:66" hidden="1">
      <c r="A5298">
        <v>102629</v>
      </c>
      <c r="B5298" s="3" t="s">
        <v>554</v>
      </c>
      <c r="C5298" s="1">
        <v>43300101</v>
      </c>
      <c r="D5298" t="s">
        <v>67</v>
      </c>
      <c r="H5298" t="str">
        <f t="shared" si="563"/>
        <v>01128810650</v>
      </c>
      <c r="I5298" t="str">
        <f t="shared" si="563"/>
        <v>01128810650</v>
      </c>
      <c r="K5298" t="str">
        <f>""</f>
        <v/>
      </c>
      <c r="M5298" t="s">
        <v>68</v>
      </c>
      <c r="N5298" t="str">
        <f t="shared" si="564"/>
        <v>FOR</v>
      </c>
      <c r="O5298" t="s">
        <v>69</v>
      </c>
      <c r="P5298" s="3" t="s">
        <v>70</v>
      </c>
      <c r="Q5298">
        <v>2015</v>
      </c>
      <c r="R5298" s="2">
        <v>42062</v>
      </c>
      <c r="S5298" s="2">
        <v>42073</v>
      </c>
      <c r="T5298" s="2">
        <v>42073</v>
      </c>
      <c r="U5298" s="2">
        <v>42133</v>
      </c>
      <c r="V5298" t="s">
        <v>71</v>
      </c>
      <c r="W5298" t="str">
        <f>"                52/P"</f>
        <v xml:space="preserve">                52/P</v>
      </c>
      <c r="X5298" s="1">
        <v>1168.6400000000001</v>
      </c>
      <c r="Y5298">
        <v>0</v>
      </c>
      <c r="Z5298"/>
      <c r="AB5298"/>
      <c r="AC5298">
        <v>957.9</v>
      </c>
      <c r="AD5298">
        <v>270</v>
      </c>
      <c r="AE5298" s="1">
        <v>258633</v>
      </c>
      <c r="AF5298">
        <v>0</v>
      </c>
      <c r="AJ5298">
        <v>0</v>
      </c>
      <c r="AK5298">
        <v>0</v>
      </c>
      <c r="AL5298">
        <v>0</v>
      </c>
      <c r="AM5298">
        <v>0</v>
      </c>
      <c r="AN5298">
        <v>0</v>
      </c>
      <c r="AO5298">
        <v>0</v>
      </c>
      <c r="AP5298" s="2">
        <v>42746</v>
      </c>
      <c r="AQ5298" t="s">
        <v>72</v>
      </c>
      <c r="AR5298" t="s">
        <v>72</v>
      </c>
      <c r="AS5298">
        <v>224</v>
      </c>
      <c r="AT5298" s="4">
        <v>42403</v>
      </c>
      <c r="AU5298" t="s">
        <v>73</v>
      </c>
      <c r="AV5298">
        <v>224</v>
      </c>
      <c r="AW5298" s="4">
        <v>42403</v>
      </c>
      <c r="BD5298">
        <v>0</v>
      </c>
      <c r="BN5298" t="s">
        <v>74</v>
      </c>
    </row>
    <row r="5299" spans="1:66" hidden="1">
      <c r="A5299">
        <v>102629</v>
      </c>
      <c r="B5299" s="3" t="s">
        <v>554</v>
      </c>
      <c r="C5299" s="1">
        <v>43300101</v>
      </c>
      <c r="D5299" t="s">
        <v>67</v>
      </c>
      <c r="H5299" t="str">
        <f t="shared" si="563"/>
        <v>01128810650</v>
      </c>
      <c r="I5299" t="str">
        <f t="shared" si="563"/>
        <v>01128810650</v>
      </c>
      <c r="K5299" t="str">
        <f>""</f>
        <v/>
      </c>
      <c r="M5299" t="s">
        <v>68</v>
      </c>
      <c r="N5299" t="str">
        <f t="shared" si="564"/>
        <v>FOR</v>
      </c>
      <c r="O5299" t="s">
        <v>69</v>
      </c>
      <c r="P5299" s="3" t="s">
        <v>70</v>
      </c>
      <c r="Q5299">
        <v>2015</v>
      </c>
      <c r="R5299" s="2">
        <v>42062</v>
      </c>
      <c r="S5299" s="2">
        <v>42073</v>
      </c>
      <c r="T5299" s="2">
        <v>42073</v>
      </c>
      <c r="U5299" s="2">
        <v>42133</v>
      </c>
      <c r="V5299" t="s">
        <v>71</v>
      </c>
      <c r="W5299" t="str">
        <f>"                56/P"</f>
        <v xml:space="preserve">                56/P</v>
      </c>
      <c r="X5299">
        <v>552.66</v>
      </c>
      <c r="Y5299">
        <v>0</v>
      </c>
      <c r="Z5299"/>
      <c r="AB5299"/>
      <c r="AC5299">
        <v>453</v>
      </c>
      <c r="AD5299">
        <v>270</v>
      </c>
      <c r="AE5299" s="1">
        <v>122310</v>
      </c>
      <c r="AF5299">
        <v>0</v>
      </c>
      <c r="AJ5299">
        <v>0</v>
      </c>
      <c r="AK5299">
        <v>0</v>
      </c>
      <c r="AL5299">
        <v>0</v>
      </c>
      <c r="AM5299">
        <v>0</v>
      </c>
      <c r="AN5299">
        <v>0</v>
      </c>
      <c r="AO5299">
        <v>0</v>
      </c>
      <c r="AP5299" s="2">
        <v>42746</v>
      </c>
      <c r="AQ5299" t="s">
        <v>72</v>
      </c>
      <c r="AR5299" t="s">
        <v>72</v>
      </c>
      <c r="AS5299">
        <v>224</v>
      </c>
      <c r="AT5299" s="4">
        <v>42403</v>
      </c>
      <c r="AU5299" t="s">
        <v>73</v>
      </c>
      <c r="AV5299">
        <v>224</v>
      </c>
      <c r="AW5299" s="4">
        <v>42403</v>
      </c>
      <c r="BD5299">
        <v>0</v>
      </c>
      <c r="BN5299" t="s">
        <v>74</v>
      </c>
    </row>
    <row r="5300" spans="1:66" hidden="1">
      <c r="A5300">
        <v>102629</v>
      </c>
      <c r="B5300" s="3" t="s">
        <v>554</v>
      </c>
      <c r="C5300" s="1">
        <v>43300101</v>
      </c>
      <c r="D5300" t="s">
        <v>67</v>
      </c>
      <c r="H5300" t="str">
        <f t="shared" si="563"/>
        <v>01128810650</v>
      </c>
      <c r="I5300" t="str">
        <f t="shared" si="563"/>
        <v>01128810650</v>
      </c>
      <c r="K5300" t="str">
        <f>""</f>
        <v/>
      </c>
      <c r="M5300" t="s">
        <v>68</v>
      </c>
      <c r="N5300" t="str">
        <f t="shared" si="564"/>
        <v>FOR</v>
      </c>
      <c r="O5300" t="s">
        <v>69</v>
      </c>
      <c r="P5300" s="3" t="s">
        <v>70</v>
      </c>
      <c r="Q5300">
        <v>2015</v>
      </c>
      <c r="R5300" s="2">
        <v>42062</v>
      </c>
      <c r="S5300" s="2">
        <v>42073</v>
      </c>
      <c r="T5300" s="2">
        <v>42073</v>
      </c>
      <c r="U5300" s="2">
        <v>42133</v>
      </c>
      <c r="V5300" t="s">
        <v>71</v>
      </c>
      <c r="W5300" t="str">
        <f>"                57/P"</f>
        <v xml:space="preserve">                57/P</v>
      </c>
      <c r="X5300" s="1">
        <v>1363.84</v>
      </c>
      <c r="Y5300">
        <v>0</v>
      </c>
      <c r="Z5300"/>
      <c r="AB5300"/>
      <c r="AC5300" s="1">
        <v>1117.9000000000001</v>
      </c>
      <c r="AD5300">
        <v>270</v>
      </c>
      <c r="AE5300" s="1">
        <v>301833</v>
      </c>
      <c r="AF5300">
        <v>0</v>
      </c>
      <c r="AJ5300">
        <v>0</v>
      </c>
      <c r="AK5300">
        <v>0</v>
      </c>
      <c r="AL5300">
        <v>0</v>
      </c>
      <c r="AM5300">
        <v>0</v>
      </c>
      <c r="AN5300">
        <v>0</v>
      </c>
      <c r="AO5300">
        <v>0</v>
      </c>
      <c r="AP5300" s="2">
        <v>42746</v>
      </c>
      <c r="AQ5300" t="s">
        <v>72</v>
      </c>
      <c r="AR5300" t="s">
        <v>72</v>
      </c>
      <c r="AS5300">
        <v>224</v>
      </c>
      <c r="AT5300" s="4">
        <v>42403</v>
      </c>
      <c r="AU5300" t="s">
        <v>73</v>
      </c>
      <c r="AV5300">
        <v>224</v>
      </c>
      <c r="AW5300" s="4">
        <v>42403</v>
      </c>
      <c r="BD5300">
        <v>0</v>
      </c>
      <c r="BN5300" t="s">
        <v>74</v>
      </c>
    </row>
    <row r="5301" spans="1:66" hidden="1">
      <c r="A5301">
        <v>102629</v>
      </c>
      <c r="B5301" s="3" t="s">
        <v>554</v>
      </c>
      <c r="C5301" s="1">
        <v>43300101</v>
      </c>
      <c r="D5301" t="s">
        <v>67</v>
      </c>
      <c r="H5301" t="str">
        <f t="shared" si="563"/>
        <v>01128810650</v>
      </c>
      <c r="I5301" t="str">
        <f t="shared" si="563"/>
        <v>01128810650</v>
      </c>
      <c r="K5301" t="str">
        <f>""</f>
        <v/>
      </c>
      <c r="M5301" t="s">
        <v>68</v>
      </c>
      <c r="N5301" t="str">
        <f t="shared" si="564"/>
        <v>FOR</v>
      </c>
      <c r="O5301" t="s">
        <v>69</v>
      </c>
      <c r="P5301" s="3" t="s">
        <v>70</v>
      </c>
      <c r="Q5301">
        <v>2015</v>
      </c>
      <c r="R5301" s="2">
        <v>42062</v>
      </c>
      <c r="S5301" s="2">
        <v>42073</v>
      </c>
      <c r="T5301" s="2">
        <v>42073</v>
      </c>
      <c r="U5301" s="2">
        <v>42133</v>
      </c>
      <c r="V5301" t="s">
        <v>71</v>
      </c>
      <c r="W5301" t="str">
        <f>"                58/P"</f>
        <v xml:space="preserve">                58/P</v>
      </c>
      <c r="X5301">
        <v>31.48</v>
      </c>
      <c r="Y5301">
        <v>0</v>
      </c>
      <c r="Z5301"/>
      <c r="AB5301"/>
      <c r="AC5301">
        <v>25.8</v>
      </c>
      <c r="AD5301">
        <v>270</v>
      </c>
      <c r="AE5301" s="1">
        <v>6966</v>
      </c>
      <c r="AF5301">
        <v>0</v>
      </c>
      <c r="AJ5301">
        <v>0</v>
      </c>
      <c r="AK5301">
        <v>0</v>
      </c>
      <c r="AL5301">
        <v>0</v>
      </c>
      <c r="AM5301">
        <v>0</v>
      </c>
      <c r="AN5301">
        <v>0</v>
      </c>
      <c r="AO5301">
        <v>0</v>
      </c>
      <c r="AP5301" s="2">
        <v>42746</v>
      </c>
      <c r="AQ5301" t="s">
        <v>72</v>
      </c>
      <c r="AR5301" t="s">
        <v>72</v>
      </c>
      <c r="AS5301">
        <v>224</v>
      </c>
      <c r="AT5301" s="4">
        <v>42403</v>
      </c>
      <c r="AU5301" t="s">
        <v>73</v>
      </c>
      <c r="AV5301">
        <v>224</v>
      </c>
      <c r="AW5301" s="4">
        <v>42403</v>
      </c>
      <c r="BD5301">
        <v>0</v>
      </c>
      <c r="BN5301" t="s">
        <v>74</v>
      </c>
    </row>
    <row r="5302" spans="1:66" hidden="1">
      <c r="A5302">
        <v>102629</v>
      </c>
      <c r="B5302" s="3" t="s">
        <v>554</v>
      </c>
      <c r="C5302" s="1">
        <v>43300101</v>
      </c>
      <c r="D5302" t="s">
        <v>67</v>
      </c>
      <c r="H5302" t="str">
        <f t="shared" si="563"/>
        <v>01128810650</v>
      </c>
      <c r="I5302" t="str">
        <f t="shared" si="563"/>
        <v>01128810650</v>
      </c>
      <c r="K5302" t="str">
        <f>""</f>
        <v/>
      </c>
      <c r="M5302" t="s">
        <v>68</v>
      </c>
      <c r="N5302" t="str">
        <f t="shared" si="564"/>
        <v>FOR</v>
      </c>
      <c r="O5302" t="s">
        <v>69</v>
      </c>
      <c r="P5302" s="3" t="s">
        <v>70</v>
      </c>
      <c r="Q5302">
        <v>2015</v>
      </c>
      <c r="R5302" s="2">
        <v>42062</v>
      </c>
      <c r="S5302" s="2">
        <v>42073</v>
      </c>
      <c r="T5302" s="2">
        <v>42073</v>
      </c>
      <c r="U5302" s="2">
        <v>42133</v>
      </c>
      <c r="V5302" t="s">
        <v>71</v>
      </c>
      <c r="W5302" t="str">
        <f>"                59/P"</f>
        <v xml:space="preserve">                59/P</v>
      </c>
      <c r="X5302">
        <v>788.36</v>
      </c>
      <c r="Y5302">
        <v>0</v>
      </c>
      <c r="Z5302"/>
      <c r="AB5302"/>
      <c r="AC5302">
        <v>646.20000000000005</v>
      </c>
      <c r="AD5302">
        <v>270</v>
      </c>
      <c r="AE5302" s="1">
        <v>174474</v>
      </c>
      <c r="AF5302">
        <v>0</v>
      </c>
      <c r="AJ5302">
        <v>0</v>
      </c>
      <c r="AK5302">
        <v>0</v>
      </c>
      <c r="AL5302">
        <v>0</v>
      </c>
      <c r="AM5302">
        <v>0</v>
      </c>
      <c r="AN5302">
        <v>0</v>
      </c>
      <c r="AO5302">
        <v>0</v>
      </c>
      <c r="AP5302" s="2">
        <v>42746</v>
      </c>
      <c r="AQ5302" t="s">
        <v>72</v>
      </c>
      <c r="AR5302" t="s">
        <v>72</v>
      </c>
      <c r="AS5302">
        <v>224</v>
      </c>
      <c r="AT5302" s="4">
        <v>42403</v>
      </c>
      <c r="AU5302" t="s">
        <v>73</v>
      </c>
      <c r="AV5302">
        <v>224</v>
      </c>
      <c r="AW5302" s="4">
        <v>42403</v>
      </c>
      <c r="BD5302">
        <v>0</v>
      </c>
      <c r="BN5302" t="s">
        <v>74</v>
      </c>
    </row>
    <row r="5303" spans="1:66" hidden="1">
      <c r="A5303">
        <v>102629</v>
      </c>
      <c r="B5303" s="3" t="s">
        <v>554</v>
      </c>
      <c r="C5303" s="1">
        <v>43300101</v>
      </c>
      <c r="D5303" t="s">
        <v>67</v>
      </c>
      <c r="H5303" t="str">
        <f t="shared" si="563"/>
        <v>01128810650</v>
      </c>
      <c r="I5303" t="str">
        <f t="shared" si="563"/>
        <v>01128810650</v>
      </c>
      <c r="K5303" t="str">
        <f>""</f>
        <v/>
      </c>
      <c r="M5303" t="s">
        <v>68</v>
      </c>
      <c r="N5303" t="str">
        <f t="shared" si="564"/>
        <v>FOR</v>
      </c>
      <c r="O5303" t="s">
        <v>69</v>
      </c>
      <c r="P5303" s="3" t="s">
        <v>70</v>
      </c>
      <c r="Q5303">
        <v>2015</v>
      </c>
      <c r="R5303" s="2">
        <v>42062</v>
      </c>
      <c r="S5303" s="2">
        <v>42073</v>
      </c>
      <c r="T5303" s="2">
        <v>42073</v>
      </c>
      <c r="U5303" s="2">
        <v>42133</v>
      </c>
      <c r="V5303" t="s">
        <v>71</v>
      </c>
      <c r="W5303" t="str">
        <f>"                60/P"</f>
        <v xml:space="preserve">                60/P</v>
      </c>
      <c r="X5303">
        <v>667.34</v>
      </c>
      <c r="Y5303">
        <v>0</v>
      </c>
      <c r="Z5303"/>
      <c r="AB5303"/>
      <c r="AC5303">
        <v>547</v>
      </c>
      <c r="AD5303">
        <v>270</v>
      </c>
      <c r="AE5303" s="1">
        <v>147690</v>
      </c>
      <c r="AF5303">
        <v>0</v>
      </c>
      <c r="AJ5303">
        <v>0</v>
      </c>
      <c r="AK5303">
        <v>0</v>
      </c>
      <c r="AL5303">
        <v>0</v>
      </c>
      <c r="AM5303">
        <v>0</v>
      </c>
      <c r="AN5303">
        <v>0</v>
      </c>
      <c r="AO5303">
        <v>0</v>
      </c>
      <c r="AP5303" s="2">
        <v>42746</v>
      </c>
      <c r="AQ5303" t="s">
        <v>72</v>
      </c>
      <c r="AR5303" t="s">
        <v>72</v>
      </c>
      <c r="AS5303">
        <v>224</v>
      </c>
      <c r="AT5303" s="4">
        <v>42403</v>
      </c>
      <c r="AU5303" t="s">
        <v>73</v>
      </c>
      <c r="AV5303">
        <v>224</v>
      </c>
      <c r="AW5303" s="4">
        <v>42403</v>
      </c>
      <c r="BD5303">
        <v>0</v>
      </c>
      <c r="BN5303" t="s">
        <v>74</v>
      </c>
    </row>
    <row r="5304" spans="1:66" hidden="1">
      <c r="A5304">
        <v>102629</v>
      </c>
      <c r="B5304" s="3" t="s">
        <v>554</v>
      </c>
      <c r="C5304" s="1">
        <v>43300101</v>
      </c>
      <c r="D5304" t="s">
        <v>67</v>
      </c>
      <c r="H5304" t="str">
        <f t="shared" si="563"/>
        <v>01128810650</v>
      </c>
      <c r="I5304" t="str">
        <f t="shared" si="563"/>
        <v>01128810650</v>
      </c>
      <c r="K5304" t="str">
        <f>""</f>
        <v/>
      </c>
      <c r="M5304" t="s">
        <v>68</v>
      </c>
      <c r="N5304" t="str">
        <f t="shared" si="564"/>
        <v>FOR</v>
      </c>
      <c r="O5304" t="s">
        <v>69</v>
      </c>
      <c r="P5304" s="3" t="s">
        <v>70</v>
      </c>
      <c r="Q5304">
        <v>2015</v>
      </c>
      <c r="R5304" s="2">
        <v>42062</v>
      </c>
      <c r="S5304" s="2">
        <v>42073</v>
      </c>
      <c r="T5304" s="2">
        <v>42073</v>
      </c>
      <c r="U5304" s="2">
        <v>42133</v>
      </c>
      <c r="V5304" t="s">
        <v>71</v>
      </c>
      <c r="W5304" t="str">
        <f>"                61/P"</f>
        <v xml:space="preserve">                61/P</v>
      </c>
      <c r="X5304">
        <v>663.92</v>
      </c>
      <c r="Y5304">
        <v>0</v>
      </c>
      <c r="Z5304"/>
      <c r="AB5304"/>
      <c r="AC5304">
        <v>544.20000000000005</v>
      </c>
      <c r="AD5304">
        <v>270</v>
      </c>
      <c r="AE5304" s="1">
        <v>146934</v>
      </c>
      <c r="AF5304">
        <v>0</v>
      </c>
      <c r="AJ5304">
        <v>0</v>
      </c>
      <c r="AK5304">
        <v>0</v>
      </c>
      <c r="AL5304">
        <v>0</v>
      </c>
      <c r="AM5304">
        <v>0</v>
      </c>
      <c r="AN5304">
        <v>0</v>
      </c>
      <c r="AO5304">
        <v>0</v>
      </c>
      <c r="AP5304" s="2">
        <v>42746</v>
      </c>
      <c r="AQ5304" t="s">
        <v>72</v>
      </c>
      <c r="AR5304" t="s">
        <v>72</v>
      </c>
      <c r="AS5304">
        <v>224</v>
      </c>
      <c r="AT5304" s="4">
        <v>42403</v>
      </c>
      <c r="AU5304" t="s">
        <v>73</v>
      </c>
      <c r="AV5304">
        <v>224</v>
      </c>
      <c r="AW5304" s="4">
        <v>42403</v>
      </c>
      <c r="BD5304">
        <v>0</v>
      </c>
      <c r="BN5304" t="s">
        <v>74</v>
      </c>
    </row>
    <row r="5305" spans="1:66" hidden="1">
      <c r="A5305">
        <v>102629</v>
      </c>
      <c r="B5305" s="3" t="s">
        <v>554</v>
      </c>
      <c r="C5305" s="1">
        <v>43300101</v>
      </c>
      <c r="D5305" t="s">
        <v>67</v>
      </c>
      <c r="H5305" t="str">
        <f t="shared" si="563"/>
        <v>01128810650</v>
      </c>
      <c r="I5305" t="str">
        <f t="shared" si="563"/>
        <v>01128810650</v>
      </c>
      <c r="K5305" t="str">
        <f>""</f>
        <v/>
      </c>
      <c r="M5305" t="s">
        <v>68</v>
      </c>
      <c r="N5305" t="str">
        <f t="shared" si="564"/>
        <v>FOR</v>
      </c>
      <c r="O5305" t="s">
        <v>69</v>
      </c>
      <c r="P5305" s="3" t="s">
        <v>70</v>
      </c>
      <c r="Q5305">
        <v>2015</v>
      </c>
      <c r="R5305" s="2">
        <v>42062</v>
      </c>
      <c r="S5305" s="2">
        <v>42115</v>
      </c>
      <c r="T5305" s="2">
        <v>42115</v>
      </c>
      <c r="U5305" s="2">
        <v>42175</v>
      </c>
      <c r="V5305" t="s">
        <v>71</v>
      </c>
      <c r="W5305" t="str">
        <f>"                62/P"</f>
        <v xml:space="preserve">                62/P</v>
      </c>
      <c r="X5305">
        <v>215.45</v>
      </c>
      <c r="Y5305">
        <v>0</v>
      </c>
      <c r="Z5305"/>
      <c r="AB5305"/>
      <c r="AC5305">
        <v>176.6</v>
      </c>
      <c r="AD5305">
        <v>228</v>
      </c>
      <c r="AE5305" s="1">
        <v>40264.800000000003</v>
      </c>
      <c r="AF5305">
        <v>0</v>
      </c>
      <c r="AJ5305">
        <v>0</v>
      </c>
      <c r="AK5305">
        <v>0</v>
      </c>
      <c r="AL5305">
        <v>0</v>
      </c>
      <c r="AM5305">
        <v>0</v>
      </c>
      <c r="AN5305">
        <v>0</v>
      </c>
      <c r="AO5305">
        <v>0</v>
      </c>
      <c r="AP5305" s="2">
        <v>42746</v>
      </c>
      <c r="AQ5305" t="s">
        <v>72</v>
      </c>
      <c r="AR5305" t="s">
        <v>72</v>
      </c>
      <c r="AS5305">
        <v>224</v>
      </c>
      <c r="AT5305" s="4">
        <v>42403</v>
      </c>
      <c r="AU5305" t="s">
        <v>73</v>
      </c>
      <c r="AV5305">
        <v>224</v>
      </c>
      <c r="AW5305" s="4">
        <v>42403</v>
      </c>
      <c r="BD5305">
        <v>0</v>
      </c>
      <c r="BN5305" t="s">
        <v>74</v>
      </c>
    </row>
    <row r="5306" spans="1:66" hidden="1">
      <c r="A5306">
        <v>102629</v>
      </c>
      <c r="B5306" s="3" t="s">
        <v>554</v>
      </c>
      <c r="C5306" s="1">
        <v>43300101</v>
      </c>
      <c r="D5306" t="s">
        <v>67</v>
      </c>
      <c r="H5306" t="str">
        <f t="shared" si="563"/>
        <v>01128810650</v>
      </c>
      <c r="I5306" t="str">
        <f t="shared" si="563"/>
        <v>01128810650</v>
      </c>
      <c r="K5306" t="str">
        <f>""</f>
        <v/>
      </c>
      <c r="M5306" t="s">
        <v>68</v>
      </c>
      <c r="N5306" t="str">
        <f t="shared" si="564"/>
        <v>FOR</v>
      </c>
      <c r="O5306" t="s">
        <v>69</v>
      </c>
      <c r="P5306" s="3" t="s">
        <v>75</v>
      </c>
      <c r="Q5306">
        <v>2015</v>
      </c>
      <c r="R5306" s="2">
        <v>42170</v>
      </c>
      <c r="S5306" s="2">
        <v>42172</v>
      </c>
      <c r="T5306" s="2">
        <v>42171</v>
      </c>
      <c r="U5306" s="2">
        <v>42231</v>
      </c>
      <c r="V5306" t="s">
        <v>71</v>
      </c>
      <c r="W5306" t="str">
        <f>"                73/E"</f>
        <v xml:space="preserve">                73/E</v>
      </c>
      <c r="X5306" s="1">
        <v>1213.9000000000001</v>
      </c>
      <c r="Y5306">
        <v>0</v>
      </c>
      <c r="Z5306"/>
      <c r="AB5306"/>
      <c r="AC5306">
        <v>995</v>
      </c>
      <c r="AD5306">
        <v>256</v>
      </c>
      <c r="AE5306" s="1">
        <v>254720</v>
      </c>
      <c r="AF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 s="2">
        <v>42746</v>
      </c>
      <c r="AQ5306" t="s">
        <v>72</v>
      </c>
      <c r="AR5306" t="s">
        <v>72</v>
      </c>
      <c r="AS5306">
        <v>1193</v>
      </c>
      <c r="AT5306" s="4">
        <v>42487</v>
      </c>
      <c r="AU5306" t="s">
        <v>73</v>
      </c>
      <c r="AV5306">
        <v>1193</v>
      </c>
      <c r="AW5306" s="4">
        <v>42487</v>
      </c>
      <c r="BD5306">
        <v>0</v>
      </c>
      <c r="BN5306" t="s">
        <v>74</v>
      </c>
    </row>
    <row r="5307" spans="1:66" hidden="1">
      <c r="A5307">
        <v>102629</v>
      </c>
      <c r="B5307" s="3" t="s">
        <v>554</v>
      </c>
      <c r="C5307" s="1">
        <v>43300101</v>
      </c>
      <c r="D5307" t="s">
        <v>67</v>
      </c>
      <c r="H5307" t="str">
        <f t="shared" si="563"/>
        <v>01128810650</v>
      </c>
      <c r="I5307" t="str">
        <f t="shared" si="563"/>
        <v>01128810650</v>
      </c>
      <c r="K5307" t="str">
        <f>""</f>
        <v/>
      </c>
      <c r="M5307" t="s">
        <v>68</v>
      </c>
      <c r="N5307" t="str">
        <f t="shared" si="564"/>
        <v>FOR</v>
      </c>
      <c r="O5307" t="s">
        <v>69</v>
      </c>
      <c r="P5307" s="3" t="s">
        <v>75</v>
      </c>
      <c r="Q5307">
        <v>2015</v>
      </c>
      <c r="R5307" s="2">
        <v>42170</v>
      </c>
      <c r="S5307" s="2">
        <v>42171</v>
      </c>
      <c r="T5307" s="2">
        <v>42171</v>
      </c>
      <c r="U5307" s="2">
        <v>42231</v>
      </c>
      <c r="V5307" t="s">
        <v>71</v>
      </c>
      <c r="W5307" t="str">
        <f>"                77/E"</f>
        <v xml:space="preserve">                77/E</v>
      </c>
      <c r="X5307" s="1">
        <v>2257</v>
      </c>
      <c r="Y5307">
        <v>0</v>
      </c>
      <c r="Z5307"/>
      <c r="AB5307"/>
      <c r="AC5307" s="1">
        <v>1850</v>
      </c>
      <c r="AD5307">
        <v>256</v>
      </c>
      <c r="AE5307" s="1">
        <v>473600</v>
      </c>
      <c r="AF5307">
        <v>0</v>
      </c>
      <c r="AJ5307">
        <v>0</v>
      </c>
      <c r="AK5307">
        <v>0</v>
      </c>
      <c r="AL5307">
        <v>0</v>
      </c>
      <c r="AM5307">
        <v>0</v>
      </c>
      <c r="AN5307">
        <v>0</v>
      </c>
      <c r="AO5307">
        <v>0</v>
      </c>
      <c r="AP5307" s="2">
        <v>42746</v>
      </c>
      <c r="AQ5307" t="s">
        <v>72</v>
      </c>
      <c r="AR5307" t="s">
        <v>72</v>
      </c>
      <c r="AS5307">
        <v>1193</v>
      </c>
      <c r="AT5307" s="4">
        <v>42487</v>
      </c>
      <c r="AU5307" t="s">
        <v>73</v>
      </c>
      <c r="AV5307">
        <v>1193</v>
      </c>
      <c r="AW5307" s="4">
        <v>42487</v>
      </c>
      <c r="BD5307">
        <v>0</v>
      </c>
      <c r="BN5307" t="s">
        <v>74</v>
      </c>
    </row>
    <row r="5308" spans="1:66" hidden="1">
      <c r="A5308">
        <v>102629</v>
      </c>
      <c r="B5308" s="3" t="s">
        <v>554</v>
      </c>
      <c r="C5308" s="1">
        <v>43300101</v>
      </c>
      <c r="D5308" t="s">
        <v>67</v>
      </c>
      <c r="H5308" t="str">
        <f t="shared" si="563"/>
        <v>01128810650</v>
      </c>
      <c r="I5308" t="str">
        <f t="shared" si="563"/>
        <v>01128810650</v>
      </c>
      <c r="K5308" t="str">
        <f>""</f>
        <v/>
      </c>
      <c r="M5308" t="s">
        <v>68</v>
      </c>
      <c r="N5308" t="str">
        <f t="shared" si="564"/>
        <v>FOR</v>
      </c>
      <c r="O5308" t="s">
        <v>69</v>
      </c>
      <c r="P5308" s="3" t="s">
        <v>70</v>
      </c>
      <c r="Q5308">
        <v>2015</v>
      </c>
      <c r="R5308" s="2">
        <v>42076</v>
      </c>
      <c r="S5308" s="2">
        <v>42086</v>
      </c>
      <c r="T5308" s="2">
        <v>42086</v>
      </c>
      <c r="U5308" s="2">
        <v>42146</v>
      </c>
      <c r="V5308" t="s">
        <v>71</v>
      </c>
      <c r="W5308" t="str">
        <f>"                77/P"</f>
        <v xml:space="preserve">                77/P</v>
      </c>
      <c r="X5308" s="1">
        <v>6906.42</v>
      </c>
      <c r="Y5308">
        <v>0</v>
      </c>
      <c r="Z5308"/>
      <c r="AB5308"/>
      <c r="AC5308" s="1">
        <v>5661</v>
      </c>
      <c r="AD5308">
        <v>270</v>
      </c>
      <c r="AE5308" s="1">
        <v>1528470</v>
      </c>
      <c r="AF5308">
        <v>0</v>
      </c>
      <c r="AJ5308">
        <v>0</v>
      </c>
      <c r="AK5308">
        <v>0</v>
      </c>
      <c r="AL5308">
        <v>0</v>
      </c>
      <c r="AM5308">
        <v>0</v>
      </c>
      <c r="AN5308">
        <v>0</v>
      </c>
      <c r="AO5308">
        <v>0</v>
      </c>
      <c r="AP5308" s="2">
        <v>42746</v>
      </c>
      <c r="AQ5308" t="s">
        <v>72</v>
      </c>
      <c r="AR5308" t="s">
        <v>72</v>
      </c>
      <c r="AS5308">
        <v>409</v>
      </c>
      <c r="AT5308" s="4">
        <v>42416</v>
      </c>
      <c r="AU5308" t="s">
        <v>73</v>
      </c>
      <c r="AV5308">
        <v>409</v>
      </c>
      <c r="AW5308" s="4">
        <v>42416</v>
      </c>
      <c r="BD5308">
        <v>0</v>
      </c>
      <c r="BN5308" t="s">
        <v>74</v>
      </c>
    </row>
    <row r="5309" spans="1:66" hidden="1">
      <c r="A5309">
        <v>102629</v>
      </c>
      <c r="B5309" s="3" t="s">
        <v>554</v>
      </c>
      <c r="C5309" s="1">
        <v>43300101</v>
      </c>
      <c r="D5309" t="s">
        <v>67</v>
      </c>
      <c r="H5309" t="str">
        <f t="shared" ref="H5309:I5328" si="565">"01128810650"</f>
        <v>01128810650</v>
      </c>
      <c r="I5309" t="str">
        <f t="shared" si="565"/>
        <v>01128810650</v>
      </c>
      <c r="K5309" t="str">
        <f>""</f>
        <v/>
      </c>
      <c r="M5309" t="s">
        <v>68</v>
      </c>
      <c r="N5309" t="str">
        <f t="shared" si="564"/>
        <v>FOR</v>
      </c>
      <c r="O5309" t="s">
        <v>69</v>
      </c>
      <c r="P5309" s="3" t="s">
        <v>70</v>
      </c>
      <c r="Q5309">
        <v>2015</v>
      </c>
      <c r="R5309" s="2">
        <v>42076</v>
      </c>
      <c r="S5309" s="2">
        <v>42086</v>
      </c>
      <c r="T5309" s="2">
        <v>42086</v>
      </c>
      <c r="U5309" s="2">
        <v>42146</v>
      </c>
      <c r="V5309" t="s">
        <v>71</v>
      </c>
      <c r="W5309" t="str">
        <f>"                82/P"</f>
        <v xml:space="preserve">                82/P</v>
      </c>
      <c r="X5309" s="1">
        <v>3069.52</v>
      </c>
      <c r="Y5309">
        <v>0</v>
      </c>
      <c r="Z5309"/>
      <c r="AB5309"/>
      <c r="AC5309" s="1">
        <v>2516</v>
      </c>
      <c r="AD5309">
        <v>270</v>
      </c>
      <c r="AE5309" s="1">
        <v>679320</v>
      </c>
      <c r="AF5309">
        <v>0</v>
      </c>
      <c r="AJ5309">
        <v>0</v>
      </c>
      <c r="AK5309">
        <v>0</v>
      </c>
      <c r="AL5309">
        <v>0</v>
      </c>
      <c r="AM5309">
        <v>0</v>
      </c>
      <c r="AN5309">
        <v>0</v>
      </c>
      <c r="AO5309">
        <v>0</v>
      </c>
      <c r="AP5309" s="2">
        <v>42746</v>
      </c>
      <c r="AQ5309" t="s">
        <v>72</v>
      </c>
      <c r="AR5309" t="s">
        <v>72</v>
      </c>
      <c r="AS5309">
        <v>409</v>
      </c>
      <c r="AT5309" s="4">
        <v>42416</v>
      </c>
      <c r="AU5309" t="s">
        <v>73</v>
      </c>
      <c r="AV5309">
        <v>409</v>
      </c>
      <c r="AW5309" s="4">
        <v>42416</v>
      </c>
      <c r="BD5309">
        <v>0</v>
      </c>
      <c r="BN5309" t="s">
        <v>74</v>
      </c>
    </row>
    <row r="5310" spans="1:66" hidden="1">
      <c r="A5310">
        <v>102629</v>
      </c>
      <c r="B5310" s="3" t="s">
        <v>554</v>
      </c>
      <c r="C5310" s="1">
        <v>43300101</v>
      </c>
      <c r="D5310" t="s">
        <v>67</v>
      </c>
      <c r="H5310" t="str">
        <f t="shared" si="565"/>
        <v>01128810650</v>
      </c>
      <c r="I5310" t="str">
        <f t="shared" si="565"/>
        <v>01128810650</v>
      </c>
      <c r="K5310" t="str">
        <f>""</f>
        <v/>
      </c>
      <c r="M5310" t="s">
        <v>68</v>
      </c>
      <c r="N5310" t="str">
        <f t="shared" si="564"/>
        <v>FOR</v>
      </c>
      <c r="O5310" t="s">
        <v>69</v>
      </c>
      <c r="P5310" s="3" t="s">
        <v>70</v>
      </c>
      <c r="Q5310">
        <v>2015</v>
      </c>
      <c r="R5310" s="2">
        <v>42076</v>
      </c>
      <c r="S5310" s="2">
        <v>42086</v>
      </c>
      <c r="T5310" s="2">
        <v>42086</v>
      </c>
      <c r="U5310" s="2">
        <v>42146</v>
      </c>
      <c r="V5310" t="s">
        <v>71</v>
      </c>
      <c r="W5310" t="str">
        <f>"                83/P"</f>
        <v xml:space="preserve">                83/P</v>
      </c>
      <c r="X5310">
        <v>767.38</v>
      </c>
      <c r="Y5310">
        <v>0</v>
      </c>
      <c r="Z5310"/>
      <c r="AB5310"/>
      <c r="AC5310">
        <v>629</v>
      </c>
      <c r="AD5310">
        <v>270</v>
      </c>
      <c r="AE5310" s="1">
        <v>169830</v>
      </c>
      <c r="AF5310">
        <v>0</v>
      </c>
      <c r="AJ5310">
        <v>0</v>
      </c>
      <c r="AK5310">
        <v>0</v>
      </c>
      <c r="AL5310">
        <v>0</v>
      </c>
      <c r="AM5310">
        <v>0</v>
      </c>
      <c r="AN5310">
        <v>0</v>
      </c>
      <c r="AO5310">
        <v>0</v>
      </c>
      <c r="AP5310" s="2">
        <v>42746</v>
      </c>
      <c r="AQ5310" t="s">
        <v>72</v>
      </c>
      <c r="AR5310" t="s">
        <v>72</v>
      </c>
      <c r="AS5310">
        <v>409</v>
      </c>
      <c r="AT5310" s="4">
        <v>42416</v>
      </c>
      <c r="AU5310" t="s">
        <v>73</v>
      </c>
      <c r="AV5310">
        <v>409</v>
      </c>
      <c r="AW5310" s="4">
        <v>42416</v>
      </c>
      <c r="BD5310">
        <v>0</v>
      </c>
      <c r="BN5310" t="s">
        <v>74</v>
      </c>
    </row>
    <row r="5311" spans="1:66" hidden="1">
      <c r="A5311">
        <v>102629</v>
      </c>
      <c r="B5311" s="3" t="s">
        <v>554</v>
      </c>
      <c r="C5311" s="1">
        <v>43300101</v>
      </c>
      <c r="D5311" t="s">
        <v>67</v>
      </c>
      <c r="H5311" t="str">
        <f t="shared" si="565"/>
        <v>01128810650</v>
      </c>
      <c r="I5311" t="str">
        <f t="shared" si="565"/>
        <v>01128810650</v>
      </c>
      <c r="K5311" t="str">
        <f>""</f>
        <v/>
      </c>
      <c r="M5311" t="s">
        <v>68</v>
      </c>
      <c r="N5311" t="str">
        <f t="shared" si="564"/>
        <v>FOR</v>
      </c>
      <c r="O5311" t="s">
        <v>69</v>
      </c>
      <c r="P5311" s="3" t="s">
        <v>75</v>
      </c>
      <c r="Q5311">
        <v>2015</v>
      </c>
      <c r="R5311" s="2">
        <v>42177</v>
      </c>
      <c r="S5311" s="2">
        <v>42181</v>
      </c>
      <c r="T5311" s="2">
        <v>42178</v>
      </c>
      <c r="U5311" s="2">
        <v>42238</v>
      </c>
      <c r="V5311" t="s">
        <v>71</v>
      </c>
      <c r="W5311" t="str">
        <f>"                84/E"</f>
        <v xml:space="preserve">                84/E</v>
      </c>
      <c r="X5311">
        <v>157.62</v>
      </c>
      <c r="Y5311">
        <v>0</v>
      </c>
      <c r="Z5311"/>
      <c r="AB5311"/>
      <c r="AC5311">
        <v>129.19999999999999</v>
      </c>
      <c r="AD5311">
        <v>249</v>
      </c>
      <c r="AE5311" s="1">
        <v>32170.799999999999</v>
      </c>
      <c r="AF5311">
        <v>0</v>
      </c>
      <c r="AJ5311">
        <v>0</v>
      </c>
      <c r="AK5311">
        <v>0</v>
      </c>
      <c r="AL5311">
        <v>0</v>
      </c>
      <c r="AM5311">
        <v>0</v>
      </c>
      <c r="AN5311">
        <v>0</v>
      </c>
      <c r="AO5311">
        <v>0</v>
      </c>
      <c r="AP5311" s="2">
        <v>42746</v>
      </c>
      <c r="AQ5311" t="s">
        <v>72</v>
      </c>
      <c r="AR5311" t="s">
        <v>72</v>
      </c>
      <c r="AS5311">
        <v>1193</v>
      </c>
      <c r="AT5311" s="4">
        <v>42487</v>
      </c>
      <c r="AU5311" t="s">
        <v>73</v>
      </c>
      <c r="AV5311">
        <v>1193</v>
      </c>
      <c r="AW5311" s="4">
        <v>42487</v>
      </c>
      <c r="BD5311">
        <v>0</v>
      </c>
      <c r="BN5311" t="s">
        <v>74</v>
      </c>
    </row>
    <row r="5312" spans="1:66" hidden="1">
      <c r="A5312">
        <v>102629</v>
      </c>
      <c r="B5312" s="3" t="s">
        <v>554</v>
      </c>
      <c r="C5312" s="1">
        <v>43300101</v>
      </c>
      <c r="D5312" t="s">
        <v>67</v>
      </c>
      <c r="H5312" t="str">
        <f t="shared" si="565"/>
        <v>01128810650</v>
      </c>
      <c r="I5312" t="str">
        <f t="shared" si="565"/>
        <v>01128810650</v>
      </c>
      <c r="K5312" t="str">
        <f>""</f>
        <v/>
      </c>
      <c r="M5312" t="s">
        <v>68</v>
      </c>
      <c r="N5312" t="str">
        <f t="shared" si="564"/>
        <v>FOR</v>
      </c>
      <c r="O5312" t="s">
        <v>69</v>
      </c>
      <c r="P5312" s="3" t="s">
        <v>70</v>
      </c>
      <c r="Q5312">
        <v>2015</v>
      </c>
      <c r="R5312" s="2">
        <v>42093</v>
      </c>
      <c r="S5312" s="2">
        <v>42095</v>
      </c>
      <c r="T5312" s="2">
        <v>42095</v>
      </c>
      <c r="U5312" s="2">
        <v>42155</v>
      </c>
      <c r="V5312" t="s">
        <v>71</v>
      </c>
      <c r="W5312" t="str">
        <f>"                88/P"</f>
        <v xml:space="preserve">                88/P</v>
      </c>
      <c r="X5312" s="1">
        <v>34523.32</v>
      </c>
      <c r="Y5312">
        <v>0</v>
      </c>
      <c r="Z5312"/>
      <c r="AB5312"/>
      <c r="AC5312" s="1">
        <v>28297.8</v>
      </c>
      <c r="AD5312">
        <v>248</v>
      </c>
      <c r="AE5312" s="1">
        <v>7017854.4000000004</v>
      </c>
      <c r="AF5312">
        <v>0</v>
      </c>
      <c r="AJ5312">
        <v>0</v>
      </c>
      <c r="AK5312">
        <v>0</v>
      </c>
      <c r="AL5312">
        <v>0</v>
      </c>
      <c r="AM5312">
        <v>0</v>
      </c>
      <c r="AN5312">
        <v>0</v>
      </c>
      <c r="AO5312">
        <v>0</v>
      </c>
      <c r="AP5312" s="2">
        <v>42746</v>
      </c>
      <c r="AQ5312" t="s">
        <v>72</v>
      </c>
      <c r="AR5312" t="s">
        <v>72</v>
      </c>
      <c r="AS5312">
        <v>224</v>
      </c>
      <c r="AT5312" s="4">
        <v>42403</v>
      </c>
      <c r="AU5312" t="s">
        <v>73</v>
      </c>
      <c r="AV5312">
        <v>224</v>
      </c>
      <c r="AW5312" s="4">
        <v>42403</v>
      </c>
      <c r="BD5312">
        <v>0</v>
      </c>
      <c r="BN5312" t="s">
        <v>74</v>
      </c>
    </row>
    <row r="5313" spans="1:66" hidden="1">
      <c r="A5313">
        <v>102629</v>
      </c>
      <c r="B5313" s="3" t="s">
        <v>554</v>
      </c>
      <c r="C5313" s="1">
        <v>43300101</v>
      </c>
      <c r="D5313" t="s">
        <v>67</v>
      </c>
      <c r="H5313" t="str">
        <f t="shared" si="565"/>
        <v>01128810650</v>
      </c>
      <c r="I5313" t="str">
        <f t="shared" si="565"/>
        <v>01128810650</v>
      </c>
      <c r="K5313" t="str">
        <f>""</f>
        <v/>
      </c>
      <c r="M5313" t="s">
        <v>68</v>
      </c>
      <c r="N5313" t="str">
        <f t="shared" si="564"/>
        <v>FOR</v>
      </c>
      <c r="O5313" t="s">
        <v>69</v>
      </c>
      <c r="P5313" s="3" t="s">
        <v>75</v>
      </c>
      <c r="Q5313">
        <v>2015</v>
      </c>
      <c r="R5313" s="2">
        <v>42184</v>
      </c>
      <c r="S5313" s="2">
        <v>42191</v>
      </c>
      <c r="T5313" s="2">
        <v>42185</v>
      </c>
      <c r="U5313" s="2">
        <v>42245</v>
      </c>
      <c r="V5313" t="s">
        <v>71</v>
      </c>
      <c r="W5313" t="str">
        <f>"                94/E"</f>
        <v xml:space="preserve">                94/E</v>
      </c>
      <c r="X5313" s="1">
        <v>4604.28</v>
      </c>
      <c r="Y5313">
        <v>0</v>
      </c>
      <c r="Z5313"/>
      <c r="AB5313"/>
      <c r="AC5313" s="1">
        <v>3774</v>
      </c>
      <c r="AD5313">
        <v>242</v>
      </c>
      <c r="AE5313" s="1">
        <v>913308</v>
      </c>
      <c r="AF5313">
        <v>0</v>
      </c>
      <c r="AJ5313">
        <v>0</v>
      </c>
      <c r="AK5313">
        <v>0</v>
      </c>
      <c r="AL5313">
        <v>0</v>
      </c>
      <c r="AM5313">
        <v>0</v>
      </c>
      <c r="AN5313">
        <v>0</v>
      </c>
      <c r="AO5313">
        <v>0</v>
      </c>
      <c r="AP5313" s="2">
        <v>42746</v>
      </c>
      <c r="AQ5313" t="s">
        <v>72</v>
      </c>
      <c r="AR5313" t="s">
        <v>72</v>
      </c>
      <c r="AS5313">
        <v>1193</v>
      </c>
      <c r="AT5313" s="4">
        <v>42487</v>
      </c>
      <c r="AU5313" t="s">
        <v>73</v>
      </c>
      <c r="AV5313">
        <v>1193</v>
      </c>
      <c r="AW5313" s="4">
        <v>42487</v>
      </c>
      <c r="BD5313">
        <v>0</v>
      </c>
      <c r="BN5313" t="s">
        <v>74</v>
      </c>
    </row>
    <row r="5314" spans="1:66" hidden="1">
      <c r="A5314">
        <v>102629</v>
      </c>
      <c r="B5314" s="3" t="s">
        <v>554</v>
      </c>
      <c r="C5314" s="1">
        <v>43300101</v>
      </c>
      <c r="D5314" t="s">
        <v>67</v>
      </c>
      <c r="H5314" t="str">
        <f t="shared" si="565"/>
        <v>01128810650</v>
      </c>
      <c r="I5314" t="str">
        <f t="shared" si="565"/>
        <v>01128810650</v>
      </c>
      <c r="K5314" t="str">
        <f>""</f>
        <v/>
      </c>
      <c r="M5314" t="s">
        <v>68</v>
      </c>
      <c r="N5314" t="str">
        <f t="shared" si="564"/>
        <v>FOR</v>
      </c>
      <c r="O5314" t="s">
        <v>69</v>
      </c>
      <c r="P5314" s="3" t="s">
        <v>70</v>
      </c>
      <c r="Q5314">
        <v>2015</v>
      </c>
      <c r="R5314" s="2">
        <v>42090</v>
      </c>
      <c r="S5314" s="2">
        <v>42117</v>
      </c>
      <c r="T5314" s="2">
        <v>42117</v>
      </c>
      <c r="U5314" s="2">
        <v>42177</v>
      </c>
      <c r="V5314" t="s">
        <v>71</v>
      </c>
      <c r="W5314" t="str">
        <f>"                98/P"</f>
        <v xml:space="preserve">                98/P</v>
      </c>
      <c r="X5314">
        <v>549</v>
      </c>
      <c r="Y5314">
        <v>0</v>
      </c>
      <c r="Z5314"/>
      <c r="AB5314"/>
      <c r="AC5314">
        <v>450</v>
      </c>
      <c r="AD5314">
        <v>239</v>
      </c>
      <c r="AE5314" s="1">
        <v>107550</v>
      </c>
      <c r="AF5314">
        <v>0</v>
      </c>
      <c r="AJ5314">
        <v>0</v>
      </c>
      <c r="AK5314">
        <v>0</v>
      </c>
      <c r="AL5314">
        <v>0</v>
      </c>
      <c r="AM5314">
        <v>0</v>
      </c>
      <c r="AN5314">
        <v>0</v>
      </c>
      <c r="AO5314">
        <v>0</v>
      </c>
      <c r="AP5314" s="2">
        <v>42746</v>
      </c>
      <c r="AQ5314" t="s">
        <v>72</v>
      </c>
      <c r="AR5314" t="s">
        <v>72</v>
      </c>
      <c r="AS5314">
        <v>409</v>
      </c>
      <c r="AT5314" s="4">
        <v>42416</v>
      </c>
      <c r="AU5314" t="s">
        <v>73</v>
      </c>
      <c r="AV5314">
        <v>409</v>
      </c>
      <c r="AW5314" s="4">
        <v>42416</v>
      </c>
      <c r="BD5314">
        <v>0</v>
      </c>
      <c r="BN5314" t="s">
        <v>74</v>
      </c>
    </row>
    <row r="5315" spans="1:66" hidden="1">
      <c r="A5315">
        <v>102629</v>
      </c>
      <c r="B5315" s="3" t="s">
        <v>554</v>
      </c>
      <c r="C5315" s="1">
        <v>43300101</v>
      </c>
      <c r="D5315" t="s">
        <v>67</v>
      </c>
      <c r="H5315" t="str">
        <f t="shared" si="565"/>
        <v>01128810650</v>
      </c>
      <c r="I5315" t="str">
        <f t="shared" si="565"/>
        <v>01128810650</v>
      </c>
      <c r="K5315" t="str">
        <f>""</f>
        <v/>
      </c>
      <c r="M5315" t="s">
        <v>68</v>
      </c>
      <c r="N5315" t="str">
        <f t="shared" si="564"/>
        <v>FOR</v>
      </c>
      <c r="O5315" t="s">
        <v>69</v>
      </c>
      <c r="P5315" s="3" t="s">
        <v>70</v>
      </c>
      <c r="Q5315">
        <v>2015</v>
      </c>
      <c r="R5315" s="2">
        <v>42090</v>
      </c>
      <c r="S5315" s="2">
        <v>42102</v>
      </c>
      <c r="T5315" s="2">
        <v>42102</v>
      </c>
      <c r="U5315" s="2">
        <v>42162</v>
      </c>
      <c r="V5315" t="s">
        <v>71</v>
      </c>
      <c r="W5315" t="str">
        <f>"                99/P"</f>
        <v xml:space="preserve">                99/P</v>
      </c>
      <c r="X5315" s="1">
        <v>2897.5</v>
      </c>
      <c r="Y5315">
        <v>0</v>
      </c>
      <c r="Z5315"/>
      <c r="AB5315"/>
      <c r="AC5315" s="1">
        <v>2375</v>
      </c>
      <c r="AD5315">
        <v>254</v>
      </c>
      <c r="AE5315" s="1">
        <v>603250</v>
      </c>
      <c r="AF5315">
        <v>0</v>
      </c>
      <c r="AJ5315">
        <v>0</v>
      </c>
      <c r="AK5315">
        <v>0</v>
      </c>
      <c r="AL5315">
        <v>0</v>
      </c>
      <c r="AM5315">
        <v>0</v>
      </c>
      <c r="AN5315">
        <v>0</v>
      </c>
      <c r="AO5315">
        <v>0</v>
      </c>
      <c r="AP5315" s="2">
        <v>42746</v>
      </c>
      <c r="AQ5315" t="s">
        <v>72</v>
      </c>
      <c r="AR5315" t="s">
        <v>72</v>
      </c>
      <c r="AS5315">
        <v>409</v>
      </c>
      <c r="AT5315" s="4">
        <v>42416</v>
      </c>
      <c r="AU5315" t="s">
        <v>73</v>
      </c>
      <c r="AV5315">
        <v>409</v>
      </c>
      <c r="AW5315" s="4">
        <v>42416</v>
      </c>
      <c r="BD5315">
        <v>0</v>
      </c>
      <c r="BN5315" t="s">
        <v>74</v>
      </c>
    </row>
    <row r="5316" spans="1:66" hidden="1">
      <c r="A5316">
        <v>102629</v>
      </c>
      <c r="B5316" s="3" t="s">
        <v>554</v>
      </c>
      <c r="C5316" s="1">
        <v>43300101</v>
      </c>
      <c r="D5316" t="s">
        <v>67</v>
      </c>
      <c r="H5316" t="str">
        <f t="shared" si="565"/>
        <v>01128810650</v>
      </c>
      <c r="I5316" t="str">
        <f t="shared" si="565"/>
        <v>01128810650</v>
      </c>
      <c r="K5316" t="str">
        <f>""</f>
        <v/>
      </c>
      <c r="M5316" t="s">
        <v>68</v>
      </c>
      <c r="N5316" t="str">
        <f t="shared" si="564"/>
        <v>FOR</v>
      </c>
      <c r="O5316" t="s">
        <v>69</v>
      </c>
      <c r="P5316" s="3" t="s">
        <v>70</v>
      </c>
      <c r="Q5316">
        <v>2015</v>
      </c>
      <c r="R5316" s="2">
        <v>42090</v>
      </c>
      <c r="S5316" s="2">
        <v>42102</v>
      </c>
      <c r="T5316" s="2">
        <v>42102</v>
      </c>
      <c r="U5316" s="2">
        <v>42162</v>
      </c>
      <c r="V5316" t="s">
        <v>71</v>
      </c>
      <c r="W5316" t="str">
        <f>"               102/P"</f>
        <v xml:space="preserve">               102/P</v>
      </c>
      <c r="X5316">
        <v>136.63999999999999</v>
      </c>
      <c r="Y5316">
        <v>0</v>
      </c>
      <c r="Z5316"/>
      <c r="AB5316"/>
      <c r="AC5316">
        <v>112</v>
      </c>
      <c r="AD5316">
        <v>254</v>
      </c>
      <c r="AE5316" s="1">
        <v>28448</v>
      </c>
      <c r="AF5316">
        <v>0</v>
      </c>
      <c r="AJ5316">
        <v>0</v>
      </c>
      <c r="AK5316">
        <v>0</v>
      </c>
      <c r="AL5316">
        <v>0</v>
      </c>
      <c r="AM5316">
        <v>0</v>
      </c>
      <c r="AN5316">
        <v>0</v>
      </c>
      <c r="AO5316">
        <v>0</v>
      </c>
      <c r="AP5316" s="2">
        <v>42746</v>
      </c>
      <c r="AQ5316" t="s">
        <v>72</v>
      </c>
      <c r="AR5316" t="s">
        <v>72</v>
      </c>
      <c r="AS5316">
        <v>409</v>
      </c>
      <c r="AT5316" s="4">
        <v>42416</v>
      </c>
      <c r="AU5316" t="s">
        <v>73</v>
      </c>
      <c r="AV5316">
        <v>409</v>
      </c>
      <c r="AW5316" s="4">
        <v>42416</v>
      </c>
      <c r="BD5316">
        <v>0</v>
      </c>
      <c r="BN5316" t="s">
        <v>74</v>
      </c>
    </row>
    <row r="5317" spans="1:66" hidden="1">
      <c r="A5317">
        <v>102629</v>
      </c>
      <c r="B5317" s="3" t="s">
        <v>554</v>
      </c>
      <c r="C5317" s="1">
        <v>43300101</v>
      </c>
      <c r="D5317" t="s">
        <v>67</v>
      </c>
      <c r="H5317" t="str">
        <f t="shared" si="565"/>
        <v>01128810650</v>
      </c>
      <c r="I5317" t="str">
        <f t="shared" si="565"/>
        <v>01128810650</v>
      </c>
      <c r="K5317" t="str">
        <f>""</f>
        <v/>
      </c>
      <c r="M5317" t="s">
        <v>68</v>
      </c>
      <c r="N5317" t="str">
        <f t="shared" si="564"/>
        <v>FOR</v>
      </c>
      <c r="O5317" t="s">
        <v>69</v>
      </c>
      <c r="P5317" s="3" t="s">
        <v>75</v>
      </c>
      <c r="Q5317">
        <v>2015</v>
      </c>
      <c r="R5317" s="2">
        <v>42198</v>
      </c>
      <c r="S5317" s="2">
        <v>42202</v>
      </c>
      <c r="T5317" s="2">
        <v>42199</v>
      </c>
      <c r="U5317" s="2">
        <v>42259</v>
      </c>
      <c r="V5317" t="s">
        <v>71</v>
      </c>
      <c r="W5317" t="str">
        <f>"               107/E"</f>
        <v xml:space="preserve">               107/E</v>
      </c>
      <c r="X5317">
        <v>780.8</v>
      </c>
      <c r="Y5317">
        <v>0</v>
      </c>
      <c r="Z5317"/>
      <c r="AB5317"/>
      <c r="AC5317">
        <v>640</v>
      </c>
      <c r="AD5317">
        <v>268</v>
      </c>
      <c r="AE5317" s="1">
        <v>171520</v>
      </c>
      <c r="AF5317">
        <v>0</v>
      </c>
      <c r="AJ5317">
        <v>0</v>
      </c>
      <c r="AK5317">
        <v>0</v>
      </c>
      <c r="AL5317">
        <v>0</v>
      </c>
      <c r="AM5317">
        <v>0</v>
      </c>
      <c r="AN5317">
        <v>0</v>
      </c>
      <c r="AO5317">
        <v>0</v>
      </c>
      <c r="AP5317" s="2">
        <v>42746</v>
      </c>
      <c r="AQ5317" t="s">
        <v>72</v>
      </c>
      <c r="AR5317" t="s">
        <v>72</v>
      </c>
      <c r="AS5317">
        <v>1494</v>
      </c>
      <c r="AT5317" s="4">
        <v>42527</v>
      </c>
      <c r="AU5317" t="s">
        <v>73</v>
      </c>
      <c r="AV5317">
        <v>1494</v>
      </c>
      <c r="AW5317" s="4">
        <v>42527</v>
      </c>
      <c r="BD5317">
        <v>0</v>
      </c>
      <c r="BN5317" t="s">
        <v>74</v>
      </c>
    </row>
    <row r="5318" spans="1:66" hidden="1">
      <c r="A5318">
        <v>102629</v>
      </c>
      <c r="B5318" s="3" t="s">
        <v>554</v>
      </c>
      <c r="C5318" s="1">
        <v>43300101</v>
      </c>
      <c r="D5318" t="s">
        <v>67</v>
      </c>
      <c r="H5318" t="str">
        <f t="shared" si="565"/>
        <v>01128810650</v>
      </c>
      <c r="I5318" t="str">
        <f t="shared" si="565"/>
        <v>01128810650</v>
      </c>
      <c r="K5318" t="str">
        <f>""</f>
        <v/>
      </c>
      <c r="M5318" t="s">
        <v>68</v>
      </c>
      <c r="N5318" t="str">
        <f t="shared" si="564"/>
        <v>FOR</v>
      </c>
      <c r="O5318" t="s">
        <v>69</v>
      </c>
      <c r="P5318" s="3" t="s">
        <v>75</v>
      </c>
      <c r="Q5318">
        <v>2015</v>
      </c>
      <c r="R5318" s="2">
        <v>42198</v>
      </c>
      <c r="S5318" s="2">
        <v>42202</v>
      </c>
      <c r="T5318" s="2">
        <v>42199</v>
      </c>
      <c r="U5318" s="2">
        <v>42259</v>
      </c>
      <c r="V5318" t="s">
        <v>71</v>
      </c>
      <c r="W5318" t="str">
        <f>"               108/E"</f>
        <v xml:space="preserve">               108/E</v>
      </c>
      <c r="X5318" s="1">
        <v>3836.9</v>
      </c>
      <c r="Y5318">
        <v>0</v>
      </c>
      <c r="Z5318"/>
      <c r="AB5318"/>
      <c r="AC5318" s="1">
        <v>3145</v>
      </c>
      <c r="AD5318">
        <v>268</v>
      </c>
      <c r="AE5318" s="1">
        <v>842860</v>
      </c>
      <c r="AF5318">
        <v>0</v>
      </c>
      <c r="AJ5318">
        <v>0</v>
      </c>
      <c r="AK5318">
        <v>0</v>
      </c>
      <c r="AL5318">
        <v>0</v>
      </c>
      <c r="AM5318">
        <v>0</v>
      </c>
      <c r="AN5318">
        <v>0</v>
      </c>
      <c r="AO5318">
        <v>0</v>
      </c>
      <c r="AP5318" s="2">
        <v>42746</v>
      </c>
      <c r="AQ5318" t="s">
        <v>72</v>
      </c>
      <c r="AR5318" t="s">
        <v>72</v>
      </c>
      <c r="AS5318">
        <v>1494</v>
      </c>
      <c r="AT5318" s="4">
        <v>42527</v>
      </c>
      <c r="AU5318" t="s">
        <v>73</v>
      </c>
      <c r="AV5318">
        <v>1494</v>
      </c>
      <c r="AW5318" s="4">
        <v>42527</v>
      </c>
      <c r="BD5318">
        <v>0</v>
      </c>
      <c r="BN5318" t="s">
        <v>74</v>
      </c>
    </row>
    <row r="5319" spans="1:66" hidden="1">
      <c r="A5319">
        <v>102629</v>
      </c>
      <c r="B5319" s="3" t="s">
        <v>554</v>
      </c>
      <c r="C5319" s="1">
        <v>43300101</v>
      </c>
      <c r="D5319" t="s">
        <v>67</v>
      </c>
      <c r="H5319" t="str">
        <f t="shared" si="565"/>
        <v>01128810650</v>
      </c>
      <c r="I5319" t="str">
        <f t="shared" si="565"/>
        <v>01128810650</v>
      </c>
      <c r="K5319" t="str">
        <f>""</f>
        <v/>
      </c>
      <c r="M5319" t="s">
        <v>68</v>
      </c>
      <c r="N5319" t="str">
        <f t="shared" si="564"/>
        <v>FOR</v>
      </c>
      <c r="O5319" t="s">
        <v>69</v>
      </c>
      <c r="P5319" s="3" t="s">
        <v>75</v>
      </c>
      <c r="Q5319">
        <v>2015</v>
      </c>
      <c r="R5319" s="2">
        <v>42205</v>
      </c>
      <c r="S5319" s="2">
        <v>42233</v>
      </c>
      <c r="T5319" s="2">
        <v>42207</v>
      </c>
      <c r="U5319" s="2">
        <v>42267</v>
      </c>
      <c r="V5319" t="s">
        <v>71</v>
      </c>
      <c r="W5319" t="str">
        <f>"               129/E"</f>
        <v xml:space="preserve">               129/E</v>
      </c>
      <c r="X5319" s="1">
        <v>1244.4000000000001</v>
      </c>
      <c r="Y5319">
        <v>0</v>
      </c>
      <c r="Z5319"/>
      <c r="AB5319"/>
      <c r="AC5319" s="1">
        <v>1020</v>
      </c>
      <c r="AD5319">
        <v>260</v>
      </c>
      <c r="AE5319" s="1">
        <v>265200</v>
      </c>
      <c r="AF5319">
        <v>0</v>
      </c>
      <c r="AJ5319">
        <v>0</v>
      </c>
      <c r="AK5319">
        <v>0</v>
      </c>
      <c r="AL5319">
        <v>0</v>
      </c>
      <c r="AM5319">
        <v>0</v>
      </c>
      <c r="AN5319">
        <v>0</v>
      </c>
      <c r="AO5319">
        <v>0</v>
      </c>
      <c r="AP5319" s="2">
        <v>42746</v>
      </c>
      <c r="AQ5319" t="s">
        <v>72</v>
      </c>
      <c r="AR5319" t="s">
        <v>72</v>
      </c>
      <c r="AS5319">
        <v>1494</v>
      </c>
      <c r="AT5319" s="4">
        <v>42527</v>
      </c>
      <c r="AU5319" t="s">
        <v>73</v>
      </c>
      <c r="AV5319">
        <v>1494</v>
      </c>
      <c r="AW5319" s="4">
        <v>42527</v>
      </c>
      <c r="BD5319">
        <v>0</v>
      </c>
      <c r="BN5319" t="s">
        <v>74</v>
      </c>
    </row>
    <row r="5320" spans="1:66" hidden="1">
      <c r="A5320">
        <v>102629</v>
      </c>
      <c r="B5320" s="3" t="s">
        <v>554</v>
      </c>
      <c r="C5320" s="1">
        <v>43300101</v>
      </c>
      <c r="D5320" t="s">
        <v>67</v>
      </c>
      <c r="H5320" t="str">
        <f t="shared" si="565"/>
        <v>01128810650</v>
      </c>
      <c r="I5320" t="str">
        <f t="shared" si="565"/>
        <v>01128810650</v>
      </c>
      <c r="K5320" t="str">
        <f>""</f>
        <v/>
      </c>
      <c r="M5320" t="s">
        <v>68</v>
      </c>
      <c r="N5320" t="str">
        <f t="shared" si="564"/>
        <v>FOR</v>
      </c>
      <c r="O5320" t="s">
        <v>69</v>
      </c>
      <c r="P5320" s="3" t="s">
        <v>75</v>
      </c>
      <c r="Q5320">
        <v>2015</v>
      </c>
      <c r="R5320" s="2">
        <v>42205</v>
      </c>
      <c r="S5320" s="2">
        <v>42207</v>
      </c>
      <c r="T5320" s="2">
        <v>42207</v>
      </c>
      <c r="U5320" s="2">
        <v>42267</v>
      </c>
      <c r="V5320" t="s">
        <v>71</v>
      </c>
      <c r="W5320" t="str">
        <f>"               130/E"</f>
        <v xml:space="preserve">               130/E</v>
      </c>
      <c r="X5320" s="1">
        <v>7603.65</v>
      </c>
      <c r="Y5320">
        <v>0</v>
      </c>
      <c r="Z5320"/>
      <c r="AB5320"/>
      <c r="AC5320" s="1">
        <v>6232.5</v>
      </c>
      <c r="AD5320">
        <v>260</v>
      </c>
      <c r="AE5320" s="1">
        <v>1620450</v>
      </c>
      <c r="AF5320">
        <v>0</v>
      </c>
      <c r="AJ5320">
        <v>0</v>
      </c>
      <c r="AK5320">
        <v>0</v>
      </c>
      <c r="AL5320">
        <v>0</v>
      </c>
      <c r="AM5320">
        <v>0</v>
      </c>
      <c r="AN5320">
        <v>0</v>
      </c>
      <c r="AO5320">
        <v>0</v>
      </c>
      <c r="AP5320" s="2">
        <v>42746</v>
      </c>
      <c r="AQ5320" t="s">
        <v>72</v>
      </c>
      <c r="AR5320" t="s">
        <v>72</v>
      </c>
      <c r="AS5320">
        <v>1494</v>
      </c>
      <c r="AT5320" s="4">
        <v>42527</v>
      </c>
      <c r="AU5320" t="s">
        <v>73</v>
      </c>
      <c r="AV5320">
        <v>1494</v>
      </c>
      <c r="AW5320" s="4">
        <v>42527</v>
      </c>
      <c r="BD5320">
        <v>0</v>
      </c>
      <c r="BN5320" t="s">
        <v>74</v>
      </c>
    </row>
    <row r="5321" spans="1:66" hidden="1">
      <c r="A5321">
        <v>102629</v>
      </c>
      <c r="B5321" s="3" t="s">
        <v>554</v>
      </c>
      <c r="C5321" s="1">
        <v>43300101</v>
      </c>
      <c r="D5321" t="s">
        <v>67</v>
      </c>
      <c r="H5321" t="str">
        <f t="shared" si="565"/>
        <v>01128810650</v>
      </c>
      <c r="I5321" t="str">
        <f t="shared" si="565"/>
        <v>01128810650</v>
      </c>
      <c r="K5321" t="str">
        <f>""</f>
        <v/>
      </c>
      <c r="M5321" t="s">
        <v>68</v>
      </c>
      <c r="N5321" t="str">
        <f t="shared" si="564"/>
        <v>FOR</v>
      </c>
      <c r="O5321" t="s">
        <v>69</v>
      </c>
      <c r="P5321" s="3" t="s">
        <v>75</v>
      </c>
      <c r="Q5321">
        <v>2015</v>
      </c>
      <c r="R5321" s="2">
        <v>42221</v>
      </c>
      <c r="S5321" s="2">
        <v>42228</v>
      </c>
      <c r="T5321" s="2">
        <v>42222</v>
      </c>
      <c r="U5321" s="2">
        <v>42282</v>
      </c>
      <c r="V5321" t="s">
        <v>71</v>
      </c>
      <c r="W5321" t="str">
        <f>"               162/E"</f>
        <v xml:space="preserve">               162/E</v>
      </c>
      <c r="X5321">
        <v>634.4</v>
      </c>
      <c r="Y5321">
        <v>0</v>
      </c>
      <c r="Z5321"/>
      <c r="AB5321"/>
      <c r="AC5321">
        <v>520</v>
      </c>
      <c r="AD5321">
        <v>297</v>
      </c>
      <c r="AE5321" s="1">
        <v>154440</v>
      </c>
      <c r="AF5321">
        <v>0</v>
      </c>
      <c r="AJ5321">
        <v>0</v>
      </c>
      <c r="AK5321">
        <v>0</v>
      </c>
      <c r="AL5321">
        <v>0</v>
      </c>
      <c r="AM5321">
        <v>0</v>
      </c>
      <c r="AN5321">
        <v>0</v>
      </c>
      <c r="AO5321">
        <v>0</v>
      </c>
      <c r="AP5321" s="2">
        <v>42746</v>
      </c>
      <c r="AQ5321" t="s">
        <v>72</v>
      </c>
      <c r="AR5321" t="s">
        <v>72</v>
      </c>
      <c r="AS5321">
        <v>2027</v>
      </c>
      <c r="AT5321" s="4">
        <v>42579</v>
      </c>
      <c r="AU5321" t="s">
        <v>73</v>
      </c>
      <c r="AV5321">
        <v>2027</v>
      </c>
      <c r="AW5321" s="4">
        <v>42579</v>
      </c>
      <c r="BD5321">
        <v>0</v>
      </c>
      <c r="BN5321" t="s">
        <v>74</v>
      </c>
    </row>
    <row r="5322" spans="1:66" hidden="1">
      <c r="A5322">
        <v>102629</v>
      </c>
      <c r="B5322" s="3" t="s">
        <v>554</v>
      </c>
      <c r="C5322" s="1">
        <v>43300101</v>
      </c>
      <c r="D5322" t="s">
        <v>67</v>
      </c>
      <c r="H5322" t="str">
        <f t="shared" si="565"/>
        <v>01128810650</v>
      </c>
      <c r="I5322" t="str">
        <f t="shared" si="565"/>
        <v>01128810650</v>
      </c>
      <c r="K5322" t="str">
        <f>""</f>
        <v/>
      </c>
      <c r="M5322" t="s">
        <v>68</v>
      </c>
      <c r="N5322" t="str">
        <f t="shared" si="564"/>
        <v>FOR</v>
      </c>
      <c r="O5322" t="s">
        <v>69</v>
      </c>
      <c r="P5322" s="3" t="s">
        <v>75</v>
      </c>
      <c r="Q5322">
        <v>2015</v>
      </c>
      <c r="R5322" s="2">
        <v>42223</v>
      </c>
      <c r="S5322" s="2">
        <v>42228</v>
      </c>
      <c r="T5322" s="2">
        <v>42223</v>
      </c>
      <c r="U5322" s="2">
        <v>42283</v>
      </c>
      <c r="V5322" t="s">
        <v>71</v>
      </c>
      <c r="W5322" t="str">
        <f>"               168/E"</f>
        <v xml:space="preserve">               168/E</v>
      </c>
      <c r="X5322" s="1">
        <v>3477</v>
      </c>
      <c r="Y5322">
        <v>0</v>
      </c>
      <c r="Z5322"/>
      <c r="AB5322"/>
      <c r="AC5322" s="1">
        <v>2850</v>
      </c>
      <c r="AD5322">
        <v>296</v>
      </c>
      <c r="AE5322" s="1">
        <v>843600</v>
      </c>
      <c r="AF5322">
        <v>0</v>
      </c>
      <c r="AJ5322">
        <v>0</v>
      </c>
      <c r="AK5322">
        <v>0</v>
      </c>
      <c r="AL5322">
        <v>0</v>
      </c>
      <c r="AM5322">
        <v>0</v>
      </c>
      <c r="AN5322">
        <v>0</v>
      </c>
      <c r="AO5322">
        <v>0</v>
      </c>
      <c r="AP5322" s="2">
        <v>42746</v>
      </c>
      <c r="AQ5322" t="s">
        <v>72</v>
      </c>
      <c r="AR5322" t="s">
        <v>72</v>
      </c>
      <c r="AS5322">
        <v>2027</v>
      </c>
      <c r="AT5322" s="4">
        <v>42579</v>
      </c>
      <c r="AU5322" t="s">
        <v>73</v>
      </c>
      <c r="AV5322">
        <v>2027</v>
      </c>
      <c r="AW5322" s="4">
        <v>42579</v>
      </c>
      <c r="BD5322">
        <v>0</v>
      </c>
      <c r="BN5322" t="s">
        <v>74</v>
      </c>
    </row>
    <row r="5323" spans="1:66" hidden="1">
      <c r="A5323">
        <v>102629</v>
      </c>
      <c r="B5323" s="3" t="s">
        <v>554</v>
      </c>
      <c r="C5323" s="1">
        <v>43300101</v>
      </c>
      <c r="D5323" t="s">
        <v>67</v>
      </c>
      <c r="H5323" t="str">
        <f t="shared" si="565"/>
        <v>01128810650</v>
      </c>
      <c r="I5323" t="str">
        <f t="shared" si="565"/>
        <v>01128810650</v>
      </c>
      <c r="K5323" t="str">
        <f>""</f>
        <v/>
      </c>
      <c r="M5323" t="s">
        <v>68</v>
      </c>
      <c r="N5323" t="str">
        <f t="shared" si="564"/>
        <v>FOR</v>
      </c>
      <c r="O5323" t="s">
        <v>69</v>
      </c>
      <c r="P5323" s="3" t="s">
        <v>75</v>
      </c>
      <c r="Q5323">
        <v>2015</v>
      </c>
      <c r="R5323" s="2">
        <v>42247</v>
      </c>
      <c r="S5323" s="2">
        <v>42254</v>
      </c>
      <c r="T5323" s="2">
        <v>42251</v>
      </c>
      <c r="U5323" s="2">
        <v>42311</v>
      </c>
      <c r="V5323" t="s">
        <v>71</v>
      </c>
      <c r="W5323" t="str">
        <f>"               170/E"</f>
        <v xml:space="preserve">               170/E</v>
      </c>
      <c r="X5323">
        <v>638.42999999999995</v>
      </c>
      <c r="Y5323">
        <v>0</v>
      </c>
      <c r="Z5323"/>
      <c r="AB5323"/>
      <c r="AC5323">
        <v>523.29999999999995</v>
      </c>
      <c r="AD5323">
        <v>268</v>
      </c>
      <c r="AE5323" s="1">
        <v>140244.4</v>
      </c>
      <c r="AF5323">
        <v>0</v>
      </c>
      <c r="AJ5323">
        <v>0</v>
      </c>
      <c r="AK5323">
        <v>0</v>
      </c>
      <c r="AL5323">
        <v>0</v>
      </c>
      <c r="AM5323">
        <v>0</v>
      </c>
      <c r="AN5323">
        <v>0</v>
      </c>
      <c r="AO5323">
        <v>0</v>
      </c>
      <c r="AP5323" s="2">
        <v>42746</v>
      </c>
      <c r="AQ5323" t="s">
        <v>72</v>
      </c>
      <c r="AR5323" t="s">
        <v>72</v>
      </c>
      <c r="AS5323">
        <v>2027</v>
      </c>
      <c r="AT5323" s="4">
        <v>42579</v>
      </c>
      <c r="AU5323" t="s">
        <v>73</v>
      </c>
      <c r="AV5323">
        <v>2027</v>
      </c>
      <c r="AW5323" s="4">
        <v>42579</v>
      </c>
      <c r="BD5323">
        <v>0</v>
      </c>
      <c r="BN5323" t="s">
        <v>74</v>
      </c>
    </row>
    <row r="5324" spans="1:66" hidden="1">
      <c r="A5324">
        <v>102629</v>
      </c>
      <c r="B5324" s="3" t="s">
        <v>554</v>
      </c>
      <c r="C5324" s="1">
        <v>43300101</v>
      </c>
      <c r="D5324" t="s">
        <v>67</v>
      </c>
      <c r="H5324" t="str">
        <f t="shared" si="565"/>
        <v>01128810650</v>
      </c>
      <c r="I5324" t="str">
        <f t="shared" si="565"/>
        <v>01128810650</v>
      </c>
      <c r="K5324" t="str">
        <f>""</f>
        <v/>
      </c>
      <c r="M5324" t="s">
        <v>68</v>
      </c>
      <c r="N5324" t="str">
        <f t="shared" si="564"/>
        <v>FOR</v>
      </c>
      <c r="O5324" t="s">
        <v>69</v>
      </c>
      <c r="P5324" s="3" t="s">
        <v>75</v>
      </c>
      <c r="Q5324">
        <v>2015</v>
      </c>
      <c r="R5324" s="2">
        <v>42247</v>
      </c>
      <c r="S5324" s="2">
        <v>42254</v>
      </c>
      <c r="T5324" s="2">
        <v>42251</v>
      </c>
      <c r="U5324" s="2">
        <v>42311</v>
      </c>
      <c r="V5324" t="s">
        <v>71</v>
      </c>
      <c r="W5324" t="str">
        <f>"               173/E"</f>
        <v xml:space="preserve">               173/E</v>
      </c>
      <c r="X5324">
        <v>670.51</v>
      </c>
      <c r="Y5324">
        <v>0</v>
      </c>
      <c r="Z5324"/>
      <c r="AB5324"/>
      <c r="AC5324">
        <v>549.6</v>
      </c>
      <c r="AD5324">
        <v>268</v>
      </c>
      <c r="AE5324" s="1">
        <v>147292.79999999999</v>
      </c>
      <c r="AF5324">
        <v>0</v>
      </c>
      <c r="AJ5324">
        <v>0</v>
      </c>
      <c r="AK5324">
        <v>0</v>
      </c>
      <c r="AL5324">
        <v>0</v>
      </c>
      <c r="AM5324">
        <v>0</v>
      </c>
      <c r="AN5324">
        <v>0</v>
      </c>
      <c r="AO5324">
        <v>0</v>
      </c>
      <c r="AP5324" s="2">
        <v>42746</v>
      </c>
      <c r="AQ5324" t="s">
        <v>72</v>
      </c>
      <c r="AR5324" t="s">
        <v>72</v>
      </c>
      <c r="AS5324">
        <v>2027</v>
      </c>
      <c r="AT5324" s="4">
        <v>42579</v>
      </c>
      <c r="AU5324" t="s">
        <v>73</v>
      </c>
      <c r="AV5324">
        <v>2027</v>
      </c>
      <c r="AW5324" s="4">
        <v>42579</v>
      </c>
      <c r="BD5324">
        <v>0</v>
      </c>
      <c r="BN5324" t="s">
        <v>74</v>
      </c>
    </row>
    <row r="5325" spans="1:66" hidden="1">
      <c r="A5325">
        <v>102629</v>
      </c>
      <c r="B5325" s="3" t="s">
        <v>554</v>
      </c>
      <c r="C5325" s="1">
        <v>43300101</v>
      </c>
      <c r="D5325" t="s">
        <v>67</v>
      </c>
      <c r="H5325" t="str">
        <f t="shared" si="565"/>
        <v>01128810650</v>
      </c>
      <c r="I5325" t="str">
        <f t="shared" si="565"/>
        <v>01128810650</v>
      </c>
      <c r="K5325" t="str">
        <f>""</f>
        <v/>
      </c>
      <c r="M5325" t="s">
        <v>68</v>
      </c>
      <c r="N5325" t="str">
        <f t="shared" si="564"/>
        <v>FOR</v>
      </c>
      <c r="O5325" t="s">
        <v>69</v>
      </c>
      <c r="P5325" s="3" t="s">
        <v>75</v>
      </c>
      <c r="Q5325">
        <v>2015</v>
      </c>
      <c r="R5325" s="2">
        <v>42251</v>
      </c>
      <c r="S5325" s="2">
        <v>42257</v>
      </c>
      <c r="T5325" s="2">
        <v>42257</v>
      </c>
      <c r="U5325" s="2">
        <v>42317</v>
      </c>
      <c r="V5325" t="s">
        <v>71</v>
      </c>
      <c r="W5325" t="str">
        <f>"               175/E"</f>
        <v xml:space="preserve">               175/E</v>
      </c>
      <c r="X5325" s="1">
        <v>1922.72</v>
      </c>
      <c r="Y5325">
        <v>0</v>
      </c>
      <c r="Z5325"/>
      <c r="AB5325"/>
      <c r="AC5325" s="1">
        <v>1576</v>
      </c>
      <c r="AD5325">
        <v>304</v>
      </c>
      <c r="AE5325" s="1">
        <v>479104</v>
      </c>
      <c r="AF5325">
        <v>0</v>
      </c>
      <c r="AJ5325">
        <v>0</v>
      </c>
      <c r="AK5325">
        <v>0</v>
      </c>
      <c r="AL5325">
        <v>0</v>
      </c>
      <c r="AM5325">
        <v>0</v>
      </c>
      <c r="AN5325">
        <v>0</v>
      </c>
      <c r="AO5325">
        <v>0</v>
      </c>
      <c r="AP5325" s="2">
        <v>42746</v>
      </c>
      <c r="AQ5325" t="s">
        <v>72</v>
      </c>
      <c r="AR5325" t="s">
        <v>72</v>
      </c>
      <c r="AS5325">
        <v>2371</v>
      </c>
      <c r="AT5325" s="4">
        <v>42621</v>
      </c>
      <c r="AU5325" t="s">
        <v>73</v>
      </c>
      <c r="AV5325">
        <v>2371</v>
      </c>
      <c r="AW5325" s="4">
        <v>42621</v>
      </c>
      <c r="BD5325">
        <v>0</v>
      </c>
      <c r="BN5325" t="s">
        <v>74</v>
      </c>
    </row>
    <row r="5326" spans="1:66" hidden="1">
      <c r="A5326">
        <v>102629</v>
      </c>
      <c r="B5326" s="3" t="s">
        <v>554</v>
      </c>
      <c r="C5326" s="1">
        <v>43300101</v>
      </c>
      <c r="D5326" t="s">
        <v>67</v>
      </c>
      <c r="H5326" t="str">
        <f t="shared" si="565"/>
        <v>01128810650</v>
      </c>
      <c r="I5326" t="str">
        <f t="shared" si="565"/>
        <v>01128810650</v>
      </c>
      <c r="K5326" t="str">
        <f>""</f>
        <v/>
      </c>
      <c r="M5326" t="s">
        <v>68</v>
      </c>
      <c r="N5326" t="str">
        <f t="shared" si="564"/>
        <v>FOR</v>
      </c>
      <c r="O5326" t="s">
        <v>69</v>
      </c>
      <c r="P5326" s="3" t="s">
        <v>75</v>
      </c>
      <c r="Q5326">
        <v>2015</v>
      </c>
      <c r="R5326" s="2">
        <v>42251</v>
      </c>
      <c r="S5326" s="2">
        <v>42258</v>
      </c>
      <c r="T5326" s="2">
        <v>42257</v>
      </c>
      <c r="U5326" s="2">
        <v>42317</v>
      </c>
      <c r="V5326" t="s">
        <v>71</v>
      </c>
      <c r="W5326" t="str">
        <f>"               176/E"</f>
        <v xml:space="preserve">               176/E</v>
      </c>
      <c r="X5326" s="1">
        <v>2427.8000000000002</v>
      </c>
      <c r="Y5326">
        <v>0</v>
      </c>
      <c r="Z5326"/>
      <c r="AB5326"/>
      <c r="AC5326" s="1">
        <v>1990</v>
      </c>
      <c r="AD5326">
        <v>304</v>
      </c>
      <c r="AE5326" s="1">
        <v>604960</v>
      </c>
      <c r="AF5326">
        <v>0</v>
      </c>
      <c r="AJ5326">
        <v>0</v>
      </c>
      <c r="AK5326">
        <v>0</v>
      </c>
      <c r="AL5326">
        <v>0</v>
      </c>
      <c r="AM5326">
        <v>0</v>
      </c>
      <c r="AN5326">
        <v>0</v>
      </c>
      <c r="AO5326">
        <v>0</v>
      </c>
      <c r="AP5326" s="2">
        <v>42746</v>
      </c>
      <c r="AQ5326" t="s">
        <v>72</v>
      </c>
      <c r="AR5326" t="s">
        <v>72</v>
      </c>
      <c r="AS5326">
        <v>2371</v>
      </c>
      <c r="AT5326" s="4">
        <v>42621</v>
      </c>
      <c r="AU5326" t="s">
        <v>73</v>
      </c>
      <c r="AV5326">
        <v>2371</v>
      </c>
      <c r="AW5326" s="4">
        <v>42621</v>
      </c>
      <c r="BD5326">
        <v>0</v>
      </c>
      <c r="BN5326" t="s">
        <v>74</v>
      </c>
    </row>
    <row r="5327" spans="1:66" hidden="1">
      <c r="A5327">
        <v>102629</v>
      </c>
      <c r="B5327" s="3" t="s">
        <v>554</v>
      </c>
      <c r="C5327" s="1">
        <v>43300101</v>
      </c>
      <c r="D5327" t="s">
        <v>67</v>
      </c>
      <c r="H5327" t="str">
        <f t="shared" si="565"/>
        <v>01128810650</v>
      </c>
      <c r="I5327" t="str">
        <f t="shared" si="565"/>
        <v>01128810650</v>
      </c>
      <c r="K5327" t="str">
        <f>""</f>
        <v/>
      </c>
      <c r="M5327" t="s">
        <v>68</v>
      </c>
      <c r="N5327" t="str">
        <f t="shared" si="564"/>
        <v>FOR</v>
      </c>
      <c r="O5327" t="s">
        <v>69</v>
      </c>
      <c r="P5327" s="3" t="s">
        <v>75</v>
      </c>
      <c r="Q5327">
        <v>2015</v>
      </c>
      <c r="R5327" s="2">
        <v>42268</v>
      </c>
      <c r="S5327" s="2">
        <v>42269</v>
      </c>
      <c r="T5327" s="2">
        <v>42269</v>
      </c>
      <c r="U5327" s="2">
        <v>42329</v>
      </c>
      <c r="V5327" t="s">
        <v>71</v>
      </c>
      <c r="W5327" t="str">
        <f>"               190/E"</f>
        <v xml:space="preserve">               190/E</v>
      </c>
      <c r="X5327" s="1">
        <v>1105.32</v>
      </c>
      <c r="Y5327">
        <v>0</v>
      </c>
      <c r="Z5327"/>
      <c r="AB5327"/>
      <c r="AC5327">
        <v>906</v>
      </c>
      <c r="AD5327">
        <v>292</v>
      </c>
      <c r="AE5327" s="1">
        <v>264552</v>
      </c>
      <c r="AF5327">
        <v>0</v>
      </c>
      <c r="AJ5327">
        <v>0</v>
      </c>
      <c r="AK5327">
        <v>0</v>
      </c>
      <c r="AL5327">
        <v>0</v>
      </c>
      <c r="AM5327">
        <v>0</v>
      </c>
      <c r="AN5327">
        <v>0</v>
      </c>
      <c r="AO5327">
        <v>0</v>
      </c>
      <c r="AP5327" s="2">
        <v>42746</v>
      </c>
      <c r="AQ5327" t="s">
        <v>72</v>
      </c>
      <c r="AR5327" t="s">
        <v>72</v>
      </c>
      <c r="AS5327">
        <v>2371</v>
      </c>
      <c r="AT5327" s="4">
        <v>42621</v>
      </c>
      <c r="AU5327" t="s">
        <v>73</v>
      </c>
      <c r="AV5327">
        <v>2371</v>
      </c>
      <c r="AW5327" s="4">
        <v>42621</v>
      </c>
      <c r="BD5327">
        <v>0</v>
      </c>
      <c r="BN5327" t="s">
        <v>74</v>
      </c>
    </row>
    <row r="5328" spans="1:66">
      <c r="A5328">
        <v>102629</v>
      </c>
      <c r="B5328" s="3" t="s">
        <v>554</v>
      </c>
      <c r="C5328" s="1">
        <v>43300101</v>
      </c>
      <c r="D5328" t="s">
        <v>67</v>
      </c>
      <c r="H5328" t="str">
        <f t="shared" si="565"/>
        <v>01128810650</v>
      </c>
      <c r="I5328" t="str">
        <f t="shared" si="565"/>
        <v>01128810650</v>
      </c>
      <c r="K5328" t="str">
        <f>""</f>
        <v/>
      </c>
      <c r="M5328" t="s">
        <v>68</v>
      </c>
      <c r="N5328" t="str">
        <f t="shared" si="564"/>
        <v>FOR</v>
      </c>
      <c r="O5328" t="s">
        <v>69</v>
      </c>
      <c r="P5328" s="3" t="s">
        <v>75</v>
      </c>
      <c r="Q5328">
        <v>2015</v>
      </c>
      <c r="R5328" s="2">
        <v>42289</v>
      </c>
      <c r="S5328" s="2">
        <v>42290</v>
      </c>
      <c r="T5328" s="2">
        <v>42290</v>
      </c>
      <c r="U5328" s="2">
        <v>42350</v>
      </c>
      <c r="V5328" t="s">
        <v>71</v>
      </c>
      <c r="W5328" t="str">
        <f>"               200/E"</f>
        <v xml:space="preserve">               200/E</v>
      </c>
      <c r="X5328" s="1">
        <v>10571.3</v>
      </c>
      <c r="Y5328">
        <v>0</v>
      </c>
      <c r="Z5328" s="5">
        <v>8665</v>
      </c>
      <c r="AA5328">
        <v>297</v>
      </c>
      <c r="AB5328" s="5">
        <v>2573505</v>
      </c>
      <c r="AC5328" s="1">
        <v>8665</v>
      </c>
      <c r="AD5328">
        <v>297</v>
      </c>
      <c r="AE5328" s="1">
        <v>2573505</v>
      </c>
      <c r="AF5328">
        <v>0</v>
      </c>
      <c r="AJ5328">
        <v>0</v>
      </c>
      <c r="AK5328">
        <v>0</v>
      </c>
      <c r="AL5328">
        <v>0</v>
      </c>
      <c r="AM5328">
        <v>0</v>
      </c>
      <c r="AN5328">
        <v>0</v>
      </c>
      <c r="AO5328">
        <v>0</v>
      </c>
      <c r="AP5328" s="2">
        <v>42746</v>
      </c>
      <c r="AQ5328" t="s">
        <v>72</v>
      </c>
      <c r="AR5328" t="s">
        <v>72</v>
      </c>
      <c r="AS5328">
        <v>2620</v>
      </c>
      <c r="AT5328" s="4">
        <v>42647</v>
      </c>
      <c r="AU5328" t="s">
        <v>73</v>
      </c>
      <c r="AV5328">
        <v>2620</v>
      </c>
      <c r="AW5328" s="4">
        <v>42647</v>
      </c>
      <c r="BD5328">
        <v>0</v>
      </c>
      <c r="BN5328" t="s">
        <v>74</v>
      </c>
    </row>
    <row r="5329" spans="1:66">
      <c r="A5329">
        <v>102629</v>
      </c>
      <c r="B5329" s="3" t="s">
        <v>554</v>
      </c>
      <c r="C5329" s="1">
        <v>43300101</v>
      </c>
      <c r="D5329" t="s">
        <v>67</v>
      </c>
      <c r="H5329" t="str">
        <f t="shared" ref="H5329:I5348" si="566">"01128810650"</f>
        <v>01128810650</v>
      </c>
      <c r="I5329" t="str">
        <f t="shared" si="566"/>
        <v>01128810650</v>
      </c>
      <c r="K5329" t="str">
        <f>""</f>
        <v/>
      </c>
      <c r="M5329" t="s">
        <v>68</v>
      </c>
      <c r="N5329" t="str">
        <f t="shared" si="564"/>
        <v>FOR</v>
      </c>
      <c r="O5329" t="s">
        <v>69</v>
      </c>
      <c r="P5329" s="3" t="s">
        <v>75</v>
      </c>
      <c r="Q5329">
        <v>2015</v>
      </c>
      <c r="R5329" s="2">
        <v>42289</v>
      </c>
      <c r="S5329" s="2">
        <v>42290</v>
      </c>
      <c r="T5329" s="2">
        <v>42290</v>
      </c>
      <c r="U5329" s="2">
        <v>42350</v>
      </c>
      <c r="V5329" t="s">
        <v>71</v>
      </c>
      <c r="W5329" t="str">
        <f>"               201/E"</f>
        <v xml:space="preserve">               201/E</v>
      </c>
      <c r="X5329" s="1">
        <v>1037</v>
      </c>
      <c r="Y5329">
        <v>0</v>
      </c>
      <c r="Z5329" s="3">
        <v>850</v>
      </c>
      <c r="AA5329">
        <v>297</v>
      </c>
      <c r="AB5329" s="5">
        <v>252450</v>
      </c>
      <c r="AC5329">
        <v>850</v>
      </c>
      <c r="AD5329">
        <v>297</v>
      </c>
      <c r="AE5329" s="1">
        <v>252450</v>
      </c>
      <c r="AF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 s="2">
        <v>42746</v>
      </c>
      <c r="AQ5329" t="s">
        <v>72</v>
      </c>
      <c r="AR5329" t="s">
        <v>72</v>
      </c>
      <c r="AS5329">
        <v>2620</v>
      </c>
      <c r="AT5329" s="4">
        <v>42647</v>
      </c>
      <c r="AU5329" t="s">
        <v>73</v>
      </c>
      <c r="AV5329">
        <v>2620</v>
      </c>
      <c r="AW5329" s="4">
        <v>42647</v>
      </c>
      <c r="BD5329">
        <v>0</v>
      </c>
      <c r="BN5329" t="s">
        <v>74</v>
      </c>
    </row>
    <row r="5330" spans="1:66">
      <c r="A5330">
        <v>102629</v>
      </c>
      <c r="B5330" s="3" t="s">
        <v>554</v>
      </c>
      <c r="C5330" s="1">
        <v>43300101</v>
      </c>
      <c r="D5330" t="s">
        <v>67</v>
      </c>
      <c r="H5330" t="str">
        <f t="shared" si="566"/>
        <v>01128810650</v>
      </c>
      <c r="I5330" t="str">
        <f t="shared" si="566"/>
        <v>01128810650</v>
      </c>
      <c r="K5330" t="str">
        <f>""</f>
        <v/>
      </c>
      <c r="M5330" t="s">
        <v>68</v>
      </c>
      <c r="N5330" t="str">
        <f t="shared" si="564"/>
        <v>FOR</v>
      </c>
      <c r="O5330" t="s">
        <v>69</v>
      </c>
      <c r="P5330" s="3" t="s">
        <v>75</v>
      </c>
      <c r="Q5330">
        <v>2015</v>
      </c>
      <c r="R5330" s="2">
        <v>42303</v>
      </c>
      <c r="S5330" s="2">
        <v>42306</v>
      </c>
      <c r="T5330" s="2">
        <v>42304</v>
      </c>
      <c r="U5330" s="2">
        <v>42364</v>
      </c>
      <c r="V5330" t="s">
        <v>71</v>
      </c>
      <c r="W5330" t="str">
        <f>"               213/E"</f>
        <v xml:space="preserve">               213/E</v>
      </c>
      <c r="X5330">
        <v>670.51</v>
      </c>
      <c r="Y5330">
        <v>0</v>
      </c>
      <c r="Z5330" s="3">
        <v>549.6</v>
      </c>
      <c r="AA5330">
        <v>283</v>
      </c>
      <c r="AB5330" s="5">
        <v>155536.79999999999</v>
      </c>
      <c r="AC5330">
        <v>549.6</v>
      </c>
      <c r="AD5330">
        <v>283</v>
      </c>
      <c r="AE5330" s="1">
        <v>155536.79999999999</v>
      </c>
      <c r="AF5330">
        <v>0</v>
      </c>
      <c r="AJ5330">
        <v>0</v>
      </c>
      <c r="AK5330">
        <v>0</v>
      </c>
      <c r="AL5330">
        <v>0</v>
      </c>
      <c r="AM5330">
        <v>0</v>
      </c>
      <c r="AN5330">
        <v>0</v>
      </c>
      <c r="AO5330">
        <v>0</v>
      </c>
      <c r="AP5330" s="2">
        <v>42746</v>
      </c>
      <c r="AQ5330" t="s">
        <v>72</v>
      </c>
      <c r="AR5330" t="s">
        <v>72</v>
      </c>
      <c r="AS5330">
        <v>2620</v>
      </c>
      <c r="AT5330" s="4">
        <v>42647</v>
      </c>
      <c r="AU5330" t="s">
        <v>73</v>
      </c>
      <c r="AV5330">
        <v>2620</v>
      </c>
      <c r="AW5330" s="4">
        <v>42647</v>
      </c>
      <c r="BD5330">
        <v>0</v>
      </c>
      <c r="BN5330" t="s">
        <v>74</v>
      </c>
    </row>
    <row r="5331" spans="1:66">
      <c r="A5331">
        <v>102629</v>
      </c>
      <c r="B5331" s="3" t="s">
        <v>554</v>
      </c>
      <c r="C5331" s="1">
        <v>43300101</v>
      </c>
      <c r="D5331" t="s">
        <v>67</v>
      </c>
      <c r="H5331" t="str">
        <f t="shared" si="566"/>
        <v>01128810650</v>
      </c>
      <c r="I5331" t="str">
        <f t="shared" si="566"/>
        <v>01128810650</v>
      </c>
      <c r="K5331" t="str">
        <f>""</f>
        <v/>
      </c>
      <c r="M5331" t="s">
        <v>68</v>
      </c>
      <c r="N5331" t="str">
        <f t="shared" si="564"/>
        <v>FOR</v>
      </c>
      <c r="O5331" t="s">
        <v>69</v>
      </c>
      <c r="P5331" s="3" t="s">
        <v>75</v>
      </c>
      <c r="Q5331">
        <v>2015</v>
      </c>
      <c r="R5331" s="2">
        <v>42307</v>
      </c>
      <c r="S5331" s="2">
        <v>42312</v>
      </c>
      <c r="T5331" s="2">
        <v>42311</v>
      </c>
      <c r="U5331" s="2">
        <v>42371</v>
      </c>
      <c r="V5331" t="s">
        <v>71</v>
      </c>
      <c r="W5331" t="str">
        <f>"               217/E"</f>
        <v xml:space="preserve">               217/E</v>
      </c>
      <c r="X5331">
        <v>31.48</v>
      </c>
      <c r="Y5331">
        <v>0</v>
      </c>
      <c r="Z5331" s="3">
        <v>25.8</v>
      </c>
      <c r="AA5331">
        <v>276</v>
      </c>
      <c r="AB5331" s="5">
        <v>7120.8</v>
      </c>
      <c r="AC5331">
        <v>25.8</v>
      </c>
      <c r="AD5331">
        <v>276</v>
      </c>
      <c r="AE5331" s="1">
        <v>7120.8</v>
      </c>
      <c r="AF5331">
        <v>0</v>
      </c>
      <c r="AJ5331">
        <v>0</v>
      </c>
      <c r="AK5331">
        <v>0</v>
      </c>
      <c r="AL5331">
        <v>0</v>
      </c>
      <c r="AM5331">
        <v>0</v>
      </c>
      <c r="AN5331">
        <v>0</v>
      </c>
      <c r="AO5331">
        <v>0</v>
      </c>
      <c r="AP5331" s="2">
        <v>42746</v>
      </c>
      <c r="AQ5331" t="s">
        <v>72</v>
      </c>
      <c r="AR5331" t="s">
        <v>72</v>
      </c>
      <c r="AS5331">
        <v>2620</v>
      </c>
      <c r="AT5331" s="4">
        <v>42647</v>
      </c>
      <c r="AU5331" t="s">
        <v>73</v>
      </c>
      <c r="AV5331">
        <v>2620</v>
      </c>
      <c r="AW5331" s="4">
        <v>42647</v>
      </c>
      <c r="BD5331">
        <v>0</v>
      </c>
      <c r="BN5331" t="s">
        <v>74</v>
      </c>
    </row>
    <row r="5332" spans="1:66">
      <c r="A5332">
        <v>102629</v>
      </c>
      <c r="B5332" s="3" t="s">
        <v>554</v>
      </c>
      <c r="C5332" s="1">
        <v>43300101</v>
      </c>
      <c r="D5332" t="s">
        <v>67</v>
      </c>
      <c r="H5332" t="str">
        <f t="shared" si="566"/>
        <v>01128810650</v>
      </c>
      <c r="I5332" t="str">
        <f t="shared" si="566"/>
        <v>01128810650</v>
      </c>
      <c r="K5332" t="str">
        <f>""</f>
        <v/>
      </c>
      <c r="M5332" t="s">
        <v>68</v>
      </c>
      <c r="N5332" t="str">
        <f t="shared" si="564"/>
        <v>FOR</v>
      </c>
      <c r="O5332" t="s">
        <v>69</v>
      </c>
      <c r="P5332" s="3" t="s">
        <v>75</v>
      </c>
      <c r="Q5332">
        <v>2015</v>
      </c>
      <c r="R5332" s="2">
        <v>42307</v>
      </c>
      <c r="S5332" s="2">
        <v>42312</v>
      </c>
      <c r="T5332" s="2">
        <v>42311</v>
      </c>
      <c r="U5332" s="2">
        <v>42371</v>
      </c>
      <c r="V5332" t="s">
        <v>71</v>
      </c>
      <c r="W5332" t="str">
        <f>"               222/E"</f>
        <v xml:space="preserve">               222/E</v>
      </c>
      <c r="X5332">
        <v>996.37</v>
      </c>
      <c r="Y5332">
        <v>0</v>
      </c>
      <c r="Z5332" s="3">
        <v>816.7</v>
      </c>
      <c r="AA5332">
        <v>276</v>
      </c>
      <c r="AB5332" s="5">
        <v>225409.2</v>
      </c>
      <c r="AC5332">
        <v>816.7</v>
      </c>
      <c r="AD5332">
        <v>276</v>
      </c>
      <c r="AE5332" s="1">
        <v>225409.2</v>
      </c>
      <c r="AF5332">
        <v>0</v>
      </c>
      <c r="AJ5332">
        <v>0</v>
      </c>
      <c r="AK5332">
        <v>0</v>
      </c>
      <c r="AL5332">
        <v>0</v>
      </c>
      <c r="AM5332">
        <v>0</v>
      </c>
      <c r="AN5332">
        <v>0</v>
      </c>
      <c r="AO5332">
        <v>0</v>
      </c>
      <c r="AP5332" s="2">
        <v>42746</v>
      </c>
      <c r="AQ5332" t="s">
        <v>72</v>
      </c>
      <c r="AR5332" t="s">
        <v>72</v>
      </c>
      <c r="AS5332">
        <v>2620</v>
      </c>
      <c r="AT5332" s="4">
        <v>42647</v>
      </c>
      <c r="AU5332" t="s">
        <v>73</v>
      </c>
      <c r="AV5332">
        <v>2620</v>
      </c>
      <c r="AW5332" s="4">
        <v>42647</v>
      </c>
      <c r="BD5332">
        <v>0</v>
      </c>
      <c r="BN5332" t="s">
        <v>74</v>
      </c>
    </row>
    <row r="5333" spans="1:66">
      <c r="A5333">
        <v>102629</v>
      </c>
      <c r="B5333" s="3" t="s">
        <v>554</v>
      </c>
      <c r="C5333" s="1">
        <v>43300101</v>
      </c>
      <c r="D5333" t="s">
        <v>67</v>
      </c>
      <c r="H5333" t="str">
        <f t="shared" si="566"/>
        <v>01128810650</v>
      </c>
      <c r="I5333" t="str">
        <f t="shared" si="566"/>
        <v>01128810650</v>
      </c>
      <c r="K5333" t="str">
        <f>""</f>
        <v/>
      </c>
      <c r="M5333" t="s">
        <v>68</v>
      </c>
      <c r="N5333" t="str">
        <f t="shared" si="564"/>
        <v>FOR</v>
      </c>
      <c r="O5333" t="s">
        <v>69</v>
      </c>
      <c r="P5333" s="3" t="s">
        <v>75</v>
      </c>
      <c r="Q5333">
        <v>2015</v>
      </c>
      <c r="R5333" s="2">
        <v>42324</v>
      </c>
      <c r="S5333" s="2">
        <v>42326</v>
      </c>
      <c r="T5333" s="2">
        <v>42325</v>
      </c>
      <c r="U5333" s="2">
        <v>42385</v>
      </c>
      <c r="V5333" t="s">
        <v>71</v>
      </c>
      <c r="W5333" t="str">
        <f>"               235/E"</f>
        <v xml:space="preserve">               235/E</v>
      </c>
      <c r="X5333" s="1">
        <v>1213.9000000000001</v>
      </c>
      <c r="Y5333">
        <v>0</v>
      </c>
      <c r="Z5333" s="3">
        <v>995</v>
      </c>
      <c r="AA5333">
        <v>293</v>
      </c>
      <c r="AB5333" s="5">
        <v>291535</v>
      </c>
      <c r="AC5333">
        <v>995</v>
      </c>
      <c r="AD5333">
        <v>293</v>
      </c>
      <c r="AE5333" s="1">
        <v>291535</v>
      </c>
      <c r="AF5333">
        <v>0</v>
      </c>
      <c r="AJ5333">
        <v>0</v>
      </c>
      <c r="AK5333">
        <v>0</v>
      </c>
      <c r="AL5333">
        <v>0</v>
      </c>
      <c r="AM5333">
        <v>0</v>
      </c>
      <c r="AN5333">
        <v>0</v>
      </c>
      <c r="AO5333">
        <v>0</v>
      </c>
      <c r="AP5333" s="2">
        <v>42746</v>
      </c>
      <c r="AQ5333" t="s">
        <v>72</v>
      </c>
      <c r="AR5333" t="s">
        <v>72</v>
      </c>
      <c r="AS5333">
        <v>2912</v>
      </c>
      <c r="AT5333" s="4">
        <v>42678</v>
      </c>
      <c r="AU5333" t="s">
        <v>73</v>
      </c>
      <c r="AV5333">
        <v>2912</v>
      </c>
      <c r="AW5333" s="4">
        <v>42678</v>
      </c>
      <c r="BD5333">
        <v>0</v>
      </c>
      <c r="BN5333" t="s">
        <v>74</v>
      </c>
    </row>
    <row r="5334" spans="1:66">
      <c r="A5334">
        <v>102629</v>
      </c>
      <c r="B5334" s="3" t="s">
        <v>554</v>
      </c>
      <c r="C5334" s="1">
        <v>43300101</v>
      </c>
      <c r="D5334" t="s">
        <v>67</v>
      </c>
      <c r="H5334" t="str">
        <f t="shared" si="566"/>
        <v>01128810650</v>
      </c>
      <c r="I5334" t="str">
        <f t="shared" si="566"/>
        <v>01128810650</v>
      </c>
      <c r="K5334" t="str">
        <f>""</f>
        <v/>
      </c>
      <c r="M5334" t="s">
        <v>68</v>
      </c>
      <c r="N5334" t="str">
        <f t="shared" si="564"/>
        <v>FOR</v>
      </c>
      <c r="O5334" t="s">
        <v>69</v>
      </c>
      <c r="P5334" s="3" t="s">
        <v>75</v>
      </c>
      <c r="Q5334">
        <v>2015</v>
      </c>
      <c r="R5334" s="2">
        <v>42324</v>
      </c>
      <c r="S5334" s="2">
        <v>42326</v>
      </c>
      <c r="T5334" s="2">
        <v>42325</v>
      </c>
      <c r="U5334" s="2">
        <v>42385</v>
      </c>
      <c r="V5334" t="s">
        <v>71</v>
      </c>
      <c r="W5334" t="str">
        <f>"               236/E"</f>
        <v xml:space="preserve">               236/E</v>
      </c>
      <c r="X5334">
        <v>638.42999999999995</v>
      </c>
      <c r="Y5334">
        <v>0</v>
      </c>
      <c r="Z5334" s="3">
        <v>523.29999999999995</v>
      </c>
      <c r="AA5334">
        <v>293</v>
      </c>
      <c r="AB5334" s="5">
        <v>153326.9</v>
      </c>
      <c r="AC5334">
        <v>523.29999999999995</v>
      </c>
      <c r="AD5334">
        <v>293</v>
      </c>
      <c r="AE5334" s="1">
        <v>153326.9</v>
      </c>
      <c r="AF5334">
        <v>0</v>
      </c>
      <c r="AJ5334">
        <v>0</v>
      </c>
      <c r="AK5334">
        <v>0</v>
      </c>
      <c r="AL5334">
        <v>0</v>
      </c>
      <c r="AM5334">
        <v>0</v>
      </c>
      <c r="AN5334">
        <v>0</v>
      </c>
      <c r="AO5334">
        <v>0</v>
      </c>
      <c r="AP5334" s="2">
        <v>42746</v>
      </c>
      <c r="AQ5334" t="s">
        <v>72</v>
      </c>
      <c r="AR5334" t="s">
        <v>72</v>
      </c>
      <c r="AS5334">
        <v>2912</v>
      </c>
      <c r="AT5334" s="4">
        <v>42678</v>
      </c>
      <c r="AU5334" t="s">
        <v>73</v>
      </c>
      <c r="AV5334">
        <v>2912</v>
      </c>
      <c r="AW5334" s="4">
        <v>42678</v>
      </c>
      <c r="BD5334">
        <v>0</v>
      </c>
      <c r="BN5334" t="s">
        <v>74</v>
      </c>
    </row>
    <row r="5335" spans="1:66">
      <c r="A5335">
        <v>102629</v>
      </c>
      <c r="B5335" s="3" t="s">
        <v>554</v>
      </c>
      <c r="C5335" s="1">
        <v>43300101</v>
      </c>
      <c r="D5335" t="s">
        <v>67</v>
      </c>
      <c r="H5335" t="str">
        <f t="shared" si="566"/>
        <v>01128810650</v>
      </c>
      <c r="I5335" t="str">
        <f t="shared" si="566"/>
        <v>01128810650</v>
      </c>
      <c r="K5335" t="str">
        <f>""</f>
        <v/>
      </c>
      <c r="M5335" t="s">
        <v>68</v>
      </c>
      <c r="N5335" t="str">
        <f t="shared" si="564"/>
        <v>FOR</v>
      </c>
      <c r="O5335" t="s">
        <v>69</v>
      </c>
      <c r="P5335" s="3" t="s">
        <v>75</v>
      </c>
      <c r="Q5335">
        <v>2015</v>
      </c>
      <c r="R5335" s="2">
        <v>42324</v>
      </c>
      <c r="S5335" s="2">
        <v>42325</v>
      </c>
      <c r="T5335" s="2">
        <v>42325</v>
      </c>
      <c r="U5335" s="2">
        <v>42385</v>
      </c>
      <c r="V5335" t="s">
        <v>71</v>
      </c>
      <c r="W5335" t="str">
        <f>"               237/E"</f>
        <v xml:space="preserve">               237/E</v>
      </c>
      <c r="X5335" s="1">
        <v>8540</v>
      </c>
      <c r="Y5335">
        <v>0</v>
      </c>
      <c r="Z5335" s="5">
        <v>7000</v>
      </c>
      <c r="AA5335">
        <v>293</v>
      </c>
      <c r="AB5335" s="5">
        <v>2051000</v>
      </c>
      <c r="AC5335" s="1">
        <v>7000</v>
      </c>
      <c r="AD5335">
        <v>293</v>
      </c>
      <c r="AE5335" s="1">
        <v>2051000</v>
      </c>
      <c r="AF5335">
        <v>0</v>
      </c>
      <c r="AJ5335">
        <v>0</v>
      </c>
      <c r="AK5335">
        <v>0</v>
      </c>
      <c r="AL5335">
        <v>0</v>
      </c>
      <c r="AM5335">
        <v>0</v>
      </c>
      <c r="AN5335">
        <v>0</v>
      </c>
      <c r="AO5335">
        <v>0</v>
      </c>
      <c r="AP5335" s="2">
        <v>42746</v>
      </c>
      <c r="AQ5335" t="s">
        <v>72</v>
      </c>
      <c r="AR5335" t="s">
        <v>72</v>
      </c>
      <c r="AS5335">
        <v>2912</v>
      </c>
      <c r="AT5335" s="4">
        <v>42678</v>
      </c>
      <c r="AU5335" t="s">
        <v>73</v>
      </c>
      <c r="AV5335">
        <v>2912</v>
      </c>
      <c r="AW5335" s="4">
        <v>42678</v>
      </c>
      <c r="BD5335">
        <v>0</v>
      </c>
      <c r="BN5335" t="s">
        <v>74</v>
      </c>
    </row>
    <row r="5336" spans="1:66">
      <c r="A5336">
        <v>102629</v>
      </c>
      <c r="B5336" s="3" t="s">
        <v>554</v>
      </c>
      <c r="C5336" s="1">
        <v>43300101</v>
      </c>
      <c r="D5336" t="s">
        <v>67</v>
      </c>
      <c r="H5336" t="str">
        <f t="shared" si="566"/>
        <v>01128810650</v>
      </c>
      <c r="I5336" t="str">
        <f t="shared" si="566"/>
        <v>01128810650</v>
      </c>
      <c r="K5336" t="str">
        <f>""</f>
        <v/>
      </c>
      <c r="M5336" t="s">
        <v>68</v>
      </c>
      <c r="N5336" t="str">
        <f t="shared" si="564"/>
        <v>FOR</v>
      </c>
      <c r="O5336" t="s">
        <v>69</v>
      </c>
      <c r="P5336" s="3" t="s">
        <v>75</v>
      </c>
      <c r="Q5336">
        <v>2015</v>
      </c>
      <c r="R5336" s="2">
        <v>42324</v>
      </c>
      <c r="S5336" s="2">
        <v>42326</v>
      </c>
      <c r="T5336" s="2">
        <v>42325</v>
      </c>
      <c r="U5336" s="2">
        <v>42385</v>
      </c>
      <c r="V5336" t="s">
        <v>71</v>
      </c>
      <c r="W5336" t="str">
        <f>"               240/E"</f>
        <v xml:space="preserve">               240/E</v>
      </c>
      <c r="X5336" s="1">
        <v>2897.5</v>
      </c>
      <c r="Y5336">
        <v>0</v>
      </c>
      <c r="Z5336" s="5">
        <v>2375</v>
      </c>
      <c r="AA5336">
        <v>293</v>
      </c>
      <c r="AB5336" s="5">
        <v>695875</v>
      </c>
      <c r="AC5336" s="1">
        <v>2375</v>
      </c>
      <c r="AD5336">
        <v>293</v>
      </c>
      <c r="AE5336" s="1">
        <v>695875</v>
      </c>
      <c r="AF5336">
        <v>0</v>
      </c>
      <c r="AJ5336">
        <v>0</v>
      </c>
      <c r="AK5336">
        <v>0</v>
      </c>
      <c r="AL5336">
        <v>0</v>
      </c>
      <c r="AM5336">
        <v>0</v>
      </c>
      <c r="AN5336">
        <v>0</v>
      </c>
      <c r="AO5336">
        <v>0</v>
      </c>
      <c r="AP5336" s="2">
        <v>42746</v>
      </c>
      <c r="AQ5336" t="s">
        <v>72</v>
      </c>
      <c r="AR5336" t="s">
        <v>72</v>
      </c>
      <c r="AS5336">
        <v>2912</v>
      </c>
      <c r="AT5336" s="4">
        <v>42678</v>
      </c>
      <c r="AU5336" t="s">
        <v>73</v>
      </c>
      <c r="AV5336">
        <v>2912</v>
      </c>
      <c r="AW5336" s="4">
        <v>42678</v>
      </c>
      <c r="BD5336">
        <v>0</v>
      </c>
      <c r="BN5336" t="s">
        <v>74</v>
      </c>
    </row>
    <row r="5337" spans="1:66">
      <c r="A5337">
        <v>102629</v>
      </c>
      <c r="B5337" s="3" t="s">
        <v>554</v>
      </c>
      <c r="C5337" s="1">
        <v>43300101</v>
      </c>
      <c r="D5337" t="s">
        <v>67</v>
      </c>
      <c r="H5337" t="str">
        <f t="shared" si="566"/>
        <v>01128810650</v>
      </c>
      <c r="I5337" t="str">
        <f t="shared" si="566"/>
        <v>01128810650</v>
      </c>
      <c r="K5337" t="str">
        <f>""</f>
        <v/>
      </c>
      <c r="M5337" t="s">
        <v>68</v>
      </c>
      <c r="N5337" t="str">
        <f t="shared" si="564"/>
        <v>FOR</v>
      </c>
      <c r="O5337" t="s">
        <v>69</v>
      </c>
      <c r="P5337" s="3" t="s">
        <v>75</v>
      </c>
      <c r="Q5337">
        <v>2015</v>
      </c>
      <c r="R5337" s="2">
        <v>42338</v>
      </c>
      <c r="S5337" s="2">
        <v>42340</v>
      </c>
      <c r="T5337" s="2">
        <v>42339</v>
      </c>
      <c r="U5337" s="2">
        <v>42399</v>
      </c>
      <c r="V5337" t="s">
        <v>71</v>
      </c>
      <c r="W5337" t="str">
        <f>"               248/E"</f>
        <v xml:space="preserve">               248/E</v>
      </c>
      <c r="X5337">
        <v>606.95000000000005</v>
      </c>
      <c r="Y5337">
        <v>0</v>
      </c>
      <c r="Z5337" s="3">
        <v>497.5</v>
      </c>
      <c r="AA5337">
        <v>279</v>
      </c>
      <c r="AB5337" s="5">
        <v>138802.5</v>
      </c>
      <c r="AC5337">
        <v>497.5</v>
      </c>
      <c r="AD5337">
        <v>279</v>
      </c>
      <c r="AE5337" s="1">
        <v>138802.5</v>
      </c>
      <c r="AF5337">
        <v>0</v>
      </c>
      <c r="AJ5337">
        <v>0</v>
      </c>
      <c r="AK5337">
        <v>0</v>
      </c>
      <c r="AL5337">
        <v>0</v>
      </c>
      <c r="AM5337">
        <v>0</v>
      </c>
      <c r="AN5337">
        <v>0</v>
      </c>
      <c r="AO5337">
        <v>0</v>
      </c>
      <c r="AP5337" s="2">
        <v>42746</v>
      </c>
      <c r="AQ5337" t="s">
        <v>72</v>
      </c>
      <c r="AR5337" t="s">
        <v>72</v>
      </c>
      <c r="AS5337">
        <v>2912</v>
      </c>
      <c r="AT5337" s="4">
        <v>42678</v>
      </c>
      <c r="AU5337" t="s">
        <v>73</v>
      </c>
      <c r="AV5337">
        <v>2912</v>
      </c>
      <c r="AW5337" s="4">
        <v>42678</v>
      </c>
      <c r="BD5337">
        <v>0</v>
      </c>
      <c r="BN5337" t="s">
        <v>74</v>
      </c>
    </row>
    <row r="5338" spans="1:66">
      <c r="A5338">
        <v>102629</v>
      </c>
      <c r="B5338" s="3" t="s">
        <v>554</v>
      </c>
      <c r="C5338" s="1">
        <v>43300101</v>
      </c>
      <c r="D5338" t="s">
        <v>67</v>
      </c>
      <c r="H5338" t="str">
        <f t="shared" si="566"/>
        <v>01128810650</v>
      </c>
      <c r="I5338" t="str">
        <f t="shared" si="566"/>
        <v>01128810650</v>
      </c>
      <c r="K5338" t="str">
        <f>""</f>
        <v/>
      </c>
      <c r="M5338" t="s">
        <v>68</v>
      </c>
      <c r="N5338" t="str">
        <f t="shared" si="564"/>
        <v>FOR</v>
      </c>
      <c r="O5338" t="s">
        <v>69</v>
      </c>
      <c r="P5338" s="3" t="s">
        <v>75</v>
      </c>
      <c r="Q5338">
        <v>2015</v>
      </c>
      <c r="R5338" s="2">
        <v>42338</v>
      </c>
      <c r="S5338" s="2">
        <v>42339</v>
      </c>
      <c r="T5338" s="2">
        <v>42339</v>
      </c>
      <c r="U5338" s="2">
        <v>42399</v>
      </c>
      <c r="V5338" t="s">
        <v>71</v>
      </c>
      <c r="W5338" t="str">
        <f>"               255/E"</f>
        <v xml:space="preserve">               255/E</v>
      </c>
      <c r="X5338" s="1">
        <v>1592.1</v>
      </c>
      <c r="Y5338">
        <v>0</v>
      </c>
      <c r="Z5338" s="5">
        <v>1305</v>
      </c>
      <c r="AA5338">
        <v>279</v>
      </c>
      <c r="AB5338" s="5">
        <v>364095</v>
      </c>
      <c r="AC5338" s="1">
        <v>1305</v>
      </c>
      <c r="AD5338">
        <v>279</v>
      </c>
      <c r="AE5338" s="1">
        <v>364095</v>
      </c>
      <c r="AF5338">
        <v>0</v>
      </c>
      <c r="AJ5338">
        <v>0</v>
      </c>
      <c r="AK5338">
        <v>0</v>
      </c>
      <c r="AL5338">
        <v>0</v>
      </c>
      <c r="AM5338">
        <v>0</v>
      </c>
      <c r="AN5338">
        <v>0</v>
      </c>
      <c r="AO5338">
        <v>0</v>
      </c>
      <c r="AP5338" s="2">
        <v>42746</v>
      </c>
      <c r="AQ5338" t="s">
        <v>72</v>
      </c>
      <c r="AR5338" t="s">
        <v>72</v>
      </c>
      <c r="AS5338">
        <v>2912</v>
      </c>
      <c r="AT5338" s="4">
        <v>42678</v>
      </c>
      <c r="AU5338" t="s">
        <v>73</v>
      </c>
      <c r="AV5338">
        <v>2912</v>
      </c>
      <c r="AW5338" s="4">
        <v>42678</v>
      </c>
      <c r="BD5338">
        <v>0</v>
      </c>
      <c r="BN5338" t="s">
        <v>74</v>
      </c>
    </row>
    <row r="5339" spans="1:66">
      <c r="A5339">
        <v>102629</v>
      </c>
      <c r="B5339" s="3" t="s">
        <v>554</v>
      </c>
      <c r="C5339" s="1">
        <v>43300101</v>
      </c>
      <c r="D5339" t="s">
        <v>67</v>
      </c>
      <c r="H5339" t="str">
        <f t="shared" si="566"/>
        <v>01128810650</v>
      </c>
      <c r="I5339" t="str">
        <f t="shared" si="566"/>
        <v>01128810650</v>
      </c>
      <c r="K5339" t="str">
        <f>""</f>
        <v/>
      </c>
      <c r="M5339" t="s">
        <v>68</v>
      </c>
      <c r="N5339" t="str">
        <f t="shared" si="564"/>
        <v>FOR</v>
      </c>
      <c r="O5339" t="s">
        <v>69</v>
      </c>
      <c r="P5339" s="3" t="s">
        <v>75</v>
      </c>
      <c r="Q5339">
        <v>2015</v>
      </c>
      <c r="R5339" s="2">
        <v>42352</v>
      </c>
      <c r="S5339" s="2">
        <v>42355</v>
      </c>
      <c r="T5339" s="2">
        <v>42354</v>
      </c>
      <c r="U5339" s="2">
        <v>42414</v>
      </c>
      <c r="V5339" t="s">
        <v>71</v>
      </c>
      <c r="W5339" t="str">
        <f>"               273/E"</f>
        <v xml:space="preserve">               273/E</v>
      </c>
      <c r="X5339" s="1">
        <v>9208.56</v>
      </c>
      <c r="Y5339">
        <v>0</v>
      </c>
      <c r="Z5339" s="5">
        <v>7548</v>
      </c>
      <c r="AA5339">
        <v>264</v>
      </c>
      <c r="AB5339" s="5">
        <v>1992672</v>
      </c>
      <c r="AC5339" s="1">
        <v>7548</v>
      </c>
      <c r="AD5339">
        <v>264</v>
      </c>
      <c r="AE5339" s="1">
        <v>1992672</v>
      </c>
      <c r="AF5339">
        <v>0</v>
      </c>
      <c r="AJ5339">
        <v>0</v>
      </c>
      <c r="AK5339">
        <v>0</v>
      </c>
      <c r="AL5339">
        <v>0</v>
      </c>
      <c r="AM5339">
        <v>0</v>
      </c>
      <c r="AN5339">
        <v>0</v>
      </c>
      <c r="AO5339">
        <v>0</v>
      </c>
      <c r="AP5339" s="2">
        <v>42746</v>
      </c>
      <c r="AQ5339" t="s">
        <v>72</v>
      </c>
      <c r="AR5339" t="s">
        <v>72</v>
      </c>
      <c r="AS5339">
        <v>2912</v>
      </c>
      <c r="AT5339" s="4">
        <v>42678</v>
      </c>
      <c r="AU5339" t="s">
        <v>73</v>
      </c>
      <c r="AV5339">
        <v>2912</v>
      </c>
      <c r="AW5339" s="4">
        <v>42678</v>
      </c>
      <c r="BD5339">
        <v>0</v>
      </c>
      <c r="BN5339" t="s">
        <v>74</v>
      </c>
    </row>
    <row r="5340" spans="1:66">
      <c r="A5340">
        <v>102629</v>
      </c>
      <c r="B5340" s="3" t="s">
        <v>554</v>
      </c>
      <c r="C5340" s="1">
        <v>43300101</v>
      </c>
      <c r="D5340" t="s">
        <v>67</v>
      </c>
      <c r="H5340" t="str">
        <f t="shared" si="566"/>
        <v>01128810650</v>
      </c>
      <c r="I5340" t="str">
        <f t="shared" si="566"/>
        <v>01128810650</v>
      </c>
      <c r="K5340" t="str">
        <f>""</f>
        <v/>
      </c>
      <c r="M5340" t="s">
        <v>68</v>
      </c>
      <c r="N5340" t="str">
        <f t="shared" si="564"/>
        <v>FOR</v>
      </c>
      <c r="O5340" t="s">
        <v>69</v>
      </c>
      <c r="P5340" s="3" t="s">
        <v>75</v>
      </c>
      <c r="Q5340">
        <v>2015</v>
      </c>
      <c r="R5340" s="2">
        <v>42368</v>
      </c>
      <c r="S5340" s="2">
        <v>42369</v>
      </c>
      <c r="T5340" s="2">
        <v>42368</v>
      </c>
      <c r="U5340" s="2">
        <v>42428</v>
      </c>
      <c r="V5340" t="s">
        <v>71</v>
      </c>
      <c r="W5340" t="str">
        <f>"               298/E"</f>
        <v xml:space="preserve">               298/E</v>
      </c>
      <c r="X5340" s="1">
        <v>2897.5</v>
      </c>
      <c r="Y5340">
        <v>0</v>
      </c>
      <c r="Z5340" s="5">
        <v>2375</v>
      </c>
      <c r="AA5340">
        <v>250</v>
      </c>
      <c r="AB5340" s="5">
        <v>593750</v>
      </c>
      <c r="AC5340" s="1">
        <v>2375</v>
      </c>
      <c r="AD5340">
        <v>250</v>
      </c>
      <c r="AE5340" s="1">
        <v>593750</v>
      </c>
      <c r="AF5340">
        <v>0</v>
      </c>
      <c r="AJ5340">
        <v>0</v>
      </c>
      <c r="AK5340">
        <v>0</v>
      </c>
      <c r="AL5340">
        <v>0</v>
      </c>
      <c r="AM5340">
        <v>0</v>
      </c>
      <c r="AN5340">
        <v>0</v>
      </c>
      <c r="AO5340">
        <v>0</v>
      </c>
      <c r="AP5340" s="2">
        <v>42746</v>
      </c>
      <c r="AQ5340" t="s">
        <v>72</v>
      </c>
      <c r="AR5340" t="s">
        <v>72</v>
      </c>
      <c r="AS5340">
        <v>2912</v>
      </c>
      <c r="AT5340" s="4">
        <v>42678</v>
      </c>
      <c r="AU5340" t="s">
        <v>73</v>
      </c>
      <c r="AV5340">
        <v>2912</v>
      </c>
      <c r="AW5340" s="4">
        <v>42678</v>
      </c>
      <c r="BD5340">
        <v>0</v>
      </c>
      <c r="BN5340" t="s">
        <v>74</v>
      </c>
    </row>
    <row r="5341" spans="1:66">
      <c r="A5341">
        <v>102629</v>
      </c>
      <c r="B5341" s="3" t="s">
        <v>554</v>
      </c>
      <c r="C5341" s="1">
        <v>43300101</v>
      </c>
      <c r="D5341" t="s">
        <v>67</v>
      </c>
      <c r="H5341" t="str">
        <f t="shared" si="566"/>
        <v>01128810650</v>
      </c>
      <c r="I5341" t="str">
        <f t="shared" si="566"/>
        <v>01128810650</v>
      </c>
      <c r="K5341" t="str">
        <f>""</f>
        <v/>
      </c>
      <c r="M5341" t="s">
        <v>68</v>
      </c>
      <c r="N5341" t="str">
        <f t="shared" si="564"/>
        <v>FOR</v>
      </c>
      <c r="O5341" t="s">
        <v>69</v>
      </c>
      <c r="P5341" s="3" t="s">
        <v>75</v>
      </c>
      <c r="Q5341">
        <v>2016</v>
      </c>
      <c r="R5341" s="2">
        <v>42408</v>
      </c>
      <c r="S5341" s="2">
        <v>42417</v>
      </c>
      <c r="T5341" s="2">
        <v>42411</v>
      </c>
      <c r="U5341" s="2">
        <v>42471</v>
      </c>
      <c r="V5341" t="s">
        <v>71</v>
      </c>
      <c r="W5341" t="str">
        <f>"                30/E"</f>
        <v xml:space="preserve">                30/E</v>
      </c>
      <c r="X5341" s="1">
        <v>7673.8</v>
      </c>
      <c r="Y5341">
        <v>0</v>
      </c>
      <c r="Z5341" s="5">
        <v>6290</v>
      </c>
      <c r="AA5341">
        <v>207</v>
      </c>
      <c r="AB5341" s="5">
        <v>1302030</v>
      </c>
      <c r="AC5341" s="1">
        <v>6290</v>
      </c>
      <c r="AD5341">
        <v>207</v>
      </c>
      <c r="AE5341" s="1">
        <v>1302030</v>
      </c>
      <c r="AF5341">
        <v>0</v>
      </c>
      <c r="AJ5341">
        <v>0</v>
      </c>
      <c r="AK5341">
        <v>0</v>
      </c>
      <c r="AL5341">
        <v>0</v>
      </c>
      <c r="AM5341" s="1">
        <v>7673.8</v>
      </c>
      <c r="AN5341" s="1">
        <v>7673.8</v>
      </c>
      <c r="AO5341" s="1">
        <v>7673.8</v>
      </c>
      <c r="AP5341" s="2">
        <v>42746</v>
      </c>
      <c r="AQ5341" t="s">
        <v>72</v>
      </c>
      <c r="AR5341" t="s">
        <v>72</v>
      </c>
      <c r="AS5341">
        <v>2912</v>
      </c>
      <c r="AT5341" s="4">
        <v>42678</v>
      </c>
      <c r="AU5341" t="s">
        <v>73</v>
      </c>
      <c r="AV5341">
        <v>2912</v>
      </c>
      <c r="AW5341" s="4">
        <v>42678</v>
      </c>
      <c r="BD5341">
        <v>0</v>
      </c>
      <c r="BN5341" t="s">
        <v>74</v>
      </c>
    </row>
    <row r="5342" spans="1:66">
      <c r="A5342">
        <v>102629</v>
      </c>
      <c r="B5342" s="3" t="s">
        <v>554</v>
      </c>
      <c r="C5342" s="1">
        <v>43300101</v>
      </c>
      <c r="D5342" t="s">
        <v>67</v>
      </c>
      <c r="H5342" t="str">
        <f t="shared" si="566"/>
        <v>01128810650</v>
      </c>
      <c r="I5342" t="str">
        <f t="shared" si="566"/>
        <v>01128810650</v>
      </c>
      <c r="K5342" t="str">
        <f>""</f>
        <v/>
      </c>
      <c r="M5342" t="s">
        <v>68</v>
      </c>
      <c r="N5342" t="str">
        <f t="shared" si="564"/>
        <v>FOR</v>
      </c>
      <c r="O5342" t="s">
        <v>69</v>
      </c>
      <c r="P5342" s="3" t="s">
        <v>75</v>
      </c>
      <c r="Q5342">
        <v>2016</v>
      </c>
      <c r="R5342" s="2">
        <v>42408</v>
      </c>
      <c r="S5342" s="2">
        <v>42417</v>
      </c>
      <c r="T5342" s="2">
        <v>42412</v>
      </c>
      <c r="U5342" s="2">
        <v>42472</v>
      </c>
      <c r="V5342" t="s">
        <v>71</v>
      </c>
      <c r="W5342" t="str">
        <f>"                31/E"</f>
        <v xml:space="preserve">                31/E</v>
      </c>
      <c r="X5342" s="1">
        <v>1213.9000000000001</v>
      </c>
      <c r="Y5342">
        <v>0</v>
      </c>
      <c r="Z5342" s="3">
        <v>995</v>
      </c>
      <c r="AA5342">
        <v>206</v>
      </c>
      <c r="AB5342" s="5">
        <v>204970</v>
      </c>
      <c r="AC5342">
        <v>995</v>
      </c>
      <c r="AD5342">
        <v>206</v>
      </c>
      <c r="AE5342" s="1">
        <v>204970</v>
      </c>
      <c r="AF5342">
        <v>0</v>
      </c>
      <c r="AJ5342">
        <v>0</v>
      </c>
      <c r="AK5342">
        <v>0</v>
      </c>
      <c r="AL5342">
        <v>0</v>
      </c>
      <c r="AM5342" s="1">
        <v>1213.9000000000001</v>
      </c>
      <c r="AN5342" s="1">
        <v>1213.9000000000001</v>
      </c>
      <c r="AO5342" s="1">
        <v>1213.9000000000001</v>
      </c>
      <c r="AP5342" s="2">
        <v>42746</v>
      </c>
      <c r="AQ5342" t="s">
        <v>72</v>
      </c>
      <c r="AR5342" t="s">
        <v>72</v>
      </c>
      <c r="AS5342">
        <v>2912</v>
      </c>
      <c r="AT5342" s="4">
        <v>42678</v>
      </c>
      <c r="AU5342" t="s">
        <v>73</v>
      </c>
      <c r="AV5342">
        <v>2912</v>
      </c>
      <c r="AW5342" s="4">
        <v>42678</v>
      </c>
      <c r="BD5342">
        <v>0</v>
      </c>
      <c r="BN5342" t="s">
        <v>74</v>
      </c>
    </row>
    <row r="5343" spans="1:66">
      <c r="A5343">
        <v>102629</v>
      </c>
      <c r="B5343" s="3" t="s">
        <v>554</v>
      </c>
      <c r="C5343" s="1">
        <v>43300101</v>
      </c>
      <c r="D5343" t="s">
        <v>67</v>
      </c>
      <c r="H5343" t="str">
        <f t="shared" si="566"/>
        <v>01128810650</v>
      </c>
      <c r="I5343" t="str">
        <f t="shared" si="566"/>
        <v>01128810650</v>
      </c>
      <c r="K5343" t="str">
        <f>""</f>
        <v/>
      </c>
      <c r="M5343" t="s">
        <v>68</v>
      </c>
      <c r="N5343" t="str">
        <f t="shared" si="564"/>
        <v>FOR</v>
      </c>
      <c r="O5343" t="s">
        <v>69</v>
      </c>
      <c r="P5343" s="3" t="s">
        <v>75</v>
      </c>
      <c r="Q5343">
        <v>2016</v>
      </c>
      <c r="R5343" s="2">
        <v>42415</v>
      </c>
      <c r="S5343" s="2">
        <v>42417</v>
      </c>
      <c r="T5343" s="2">
        <v>42416</v>
      </c>
      <c r="U5343" s="2">
        <v>42476</v>
      </c>
      <c r="V5343" t="s">
        <v>71</v>
      </c>
      <c r="W5343" t="str">
        <f>"                36/E"</f>
        <v xml:space="preserve">                36/E</v>
      </c>
      <c r="X5343">
        <v>335.26</v>
      </c>
      <c r="Y5343">
        <v>0</v>
      </c>
      <c r="Z5343" s="3">
        <v>274.8</v>
      </c>
      <c r="AA5343">
        <v>202</v>
      </c>
      <c r="AB5343" s="5">
        <v>55509.599999999999</v>
      </c>
      <c r="AC5343">
        <v>274.8</v>
      </c>
      <c r="AD5343">
        <v>202</v>
      </c>
      <c r="AE5343" s="1">
        <v>55509.599999999999</v>
      </c>
      <c r="AF5343">
        <v>0</v>
      </c>
      <c r="AJ5343">
        <v>0</v>
      </c>
      <c r="AK5343">
        <v>0</v>
      </c>
      <c r="AL5343">
        <v>0</v>
      </c>
      <c r="AM5343">
        <v>335.26</v>
      </c>
      <c r="AN5343">
        <v>335.26</v>
      </c>
      <c r="AO5343">
        <v>335.26</v>
      </c>
      <c r="AP5343" s="2">
        <v>42746</v>
      </c>
      <c r="AQ5343" t="s">
        <v>72</v>
      </c>
      <c r="AR5343" t="s">
        <v>72</v>
      </c>
      <c r="AS5343">
        <v>2912</v>
      </c>
      <c r="AT5343" s="4">
        <v>42678</v>
      </c>
      <c r="AU5343" t="s">
        <v>73</v>
      </c>
      <c r="AV5343">
        <v>2912</v>
      </c>
      <c r="AW5343" s="4">
        <v>42678</v>
      </c>
      <c r="BD5343">
        <v>0</v>
      </c>
      <c r="BN5343" t="s">
        <v>74</v>
      </c>
    </row>
    <row r="5344" spans="1:66">
      <c r="A5344">
        <v>102629</v>
      </c>
      <c r="B5344" s="3" t="s">
        <v>554</v>
      </c>
      <c r="C5344" s="1">
        <v>43300101</v>
      </c>
      <c r="D5344" t="s">
        <v>67</v>
      </c>
      <c r="H5344" t="str">
        <f t="shared" si="566"/>
        <v>01128810650</v>
      </c>
      <c r="I5344" t="str">
        <f t="shared" si="566"/>
        <v>01128810650</v>
      </c>
      <c r="K5344" t="str">
        <f>""</f>
        <v/>
      </c>
      <c r="M5344" t="s">
        <v>68</v>
      </c>
      <c r="N5344" t="str">
        <f t="shared" si="564"/>
        <v>FOR</v>
      </c>
      <c r="O5344" t="s">
        <v>69</v>
      </c>
      <c r="P5344" s="3" t="s">
        <v>75</v>
      </c>
      <c r="Q5344">
        <v>2016</v>
      </c>
      <c r="R5344" s="2">
        <v>42422</v>
      </c>
      <c r="S5344" s="2">
        <v>42425</v>
      </c>
      <c r="T5344" s="2">
        <v>42423</v>
      </c>
      <c r="U5344" s="2">
        <v>42483</v>
      </c>
      <c r="V5344" t="s">
        <v>71</v>
      </c>
      <c r="W5344" t="str">
        <f>"                39/E"</f>
        <v xml:space="preserve">                39/E</v>
      </c>
      <c r="X5344" s="1">
        <v>1213.9000000000001</v>
      </c>
      <c r="Y5344">
        <v>0</v>
      </c>
      <c r="Z5344" s="3">
        <v>995</v>
      </c>
      <c r="AA5344">
        <v>195</v>
      </c>
      <c r="AB5344" s="5">
        <v>194025</v>
      </c>
      <c r="AC5344">
        <v>995</v>
      </c>
      <c r="AD5344">
        <v>195</v>
      </c>
      <c r="AE5344" s="1">
        <v>194025</v>
      </c>
      <c r="AF5344">
        <v>0</v>
      </c>
      <c r="AJ5344">
        <v>0</v>
      </c>
      <c r="AK5344">
        <v>0</v>
      </c>
      <c r="AL5344">
        <v>0</v>
      </c>
      <c r="AM5344" s="1">
        <v>1213.9000000000001</v>
      </c>
      <c r="AN5344" s="1">
        <v>1213.9000000000001</v>
      </c>
      <c r="AO5344" s="1">
        <v>1213.9000000000001</v>
      </c>
      <c r="AP5344" s="2">
        <v>42746</v>
      </c>
      <c r="AQ5344" t="s">
        <v>72</v>
      </c>
      <c r="AR5344" t="s">
        <v>72</v>
      </c>
      <c r="AS5344">
        <v>2912</v>
      </c>
      <c r="AT5344" s="4">
        <v>42678</v>
      </c>
      <c r="AU5344" t="s">
        <v>73</v>
      </c>
      <c r="AV5344">
        <v>2912</v>
      </c>
      <c r="AW5344" s="4">
        <v>42678</v>
      </c>
      <c r="BD5344">
        <v>0</v>
      </c>
      <c r="BN5344" t="s">
        <v>74</v>
      </c>
    </row>
    <row r="5345" spans="1:66">
      <c r="A5345">
        <v>102629</v>
      </c>
      <c r="B5345" s="3" t="s">
        <v>554</v>
      </c>
      <c r="C5345" s="1">
        <v>43300101</v>
      </c>
      <c r="D5345" t="s">
        <v>67</v>
      </c>
      <c r="H5345" t="str">
        <f t="shared" si="566"/>
        <v>01128810650</v>
      </c>
      <c r="I5345" t="str">
        <f t="shared" si="566"/>
        <v>01128810650</v>
      </c>
      <c r="K5345" t="str">
        <f>""</f>
        <v/>
      </c>
      <c r="M5345" t="s">
        <v>68</v>
      </c>
      <c r="N5345" t="str">
        <f t="shared" si="564"/>
        <v>FOR</v>
      </c>
      <c r="O5345" t="s">
        <v>69</v>
      </c>
      <c r="P5345" s="3" t="s">
        <v>75</v>
      </c>
      <c r="Q5345">
        <v>2016</v>
      </c>
      <c r="R5345" s="2">
        <v>42422</v>
      </c>
      <c r="S5345" s="2">
        <v>42425</v>
      </c>
      <c r="T5345" s="2">
        <v>42423</v>
      </c>
      <c r="U5345" s="2">
        <v>42483</v>
      </c>
      <c r="V5345" t="s">
        <v>71</v>
      </c>
      <c r="W5345" t="str">
        <f>"                40/E"</f>
        <v xml:space="preserve">                40/E</v>
      </c>
      <c r="X5345">
        <v>814.35</v>
      </c>
      <c r="Y5345">
        <v>0</v>
      </c>
      <c r="Z5345" s="3">
        <v>667.5</v>
      </c>
      <c r="AA5345">
        <v>195</v>
      </c>
      <c r="AB5345" s="5">
        <v>130162.5</v>
      </c>
      <c r="AC5345">
        <v>667.5</v>
      </c>
      <c r="AD5345">
        <v>195</v>
      </c>
      <c r="AE5345" s="1">
        <v>130162.5</v>
      </c>
      <c r="AF5345">
        <v>0</v>
      </c>
      <c r="AJ5345">
        <v>0</v>
      </c>
      <c r="AK5345">
        <v>0</v>
      </c>
      <c r="AL5345">
        <v>0</v>
      </c>
      <c r="AM5345">
        <v>814.35</v>
      </c>
      <c r="AN5345">
        <v>814.35</v>
      </c>
      <c r="AO5345">
        <v>814.35</v>
      </c>
      <c r="AP5345" s="2">
        <v>42746</v>
      </c>
      <c r="AQ5345" t="s">
        <v>72</v>
      </c>
      <c r="AR5345" t="s">
        <v>72</v>
      </c>
      <c r="AS5345">
        <v>2912</v>
      </c>
      <c r="AT5345" s="4">
        <v>42678</v>
      </c>
      <c r="AU5345" t="s">
        <v>73</v>
      </c>
      <c r="AV5345">
        <v>2912</v>
      </c>
      <c r="AW5345" s="4">
        <v>42678</v>
      </c>
      <c r="BD5345">
        <v>0</v>
      </c>
      <c r="BN5345" t="s">
        <v>74</v>
      </c>
    </row>
    <row r="5346" spans="1:66">
      <c r="A5346">
        <v>102629</v>
      </c>
      <c r="B5346" s="3" t="s">
        <v>554</v>
      </c>
      <c r="C5346" s="1">
        <v>43300101</v>
      </c>
      <c r="D5346" t="s">
        <v>67</v>
      </c>
      <c r="H5346" t="str">
        <f t="shared" si="566"/>
        <v>01128810650</v>
      </c>
      <c r="I5346" t="str">
        <f t="shared" si="566"/>
        <v>01128810650</v>
      </c>
      <c r="K5346" t="str">
        <f>""</f>
        <v/>
      </c>
      <c r="M5346" t="s">
        <v>68</v>
      </c>
      <c r="N5346" t="str">
        <f t="shared" si="564"/>
        <v>FOR</v>
      </c>
      <c r="O5346" t="s">
        <v>69</v>
      </c>
      <c r="P5346" s="3" t="s">
        <v>75</v>
      </c>
      <c r="Q5346">
        <v>2016</v>
      </c>
      <c r="R5346" s="2">
        <v>42429</v>
      </c>
      <c r="S5346" s="2">
        <v>42436</v>
      </c>
      <c r="T5346" s="2">
        <v>42430</v>
      </c>
      <c r="U5346" s="2">
        <v>42490</v>
      </c>
      <c r="V5346" t="s">
        <v>71</v>
      </c>
      <c r="W5346" t="str">
        <f>"                46/E"</f>
        <v xml:space="preserve">                46/E</v>
      </c>
      <c r="X5346" s="1">
        <v>2897.5</v>
      </c>
      <c r="Y5346">
        <v>0</v>
      </c>
      <c r="Z5346" s="5">
        <v>2375</v>
      </c>
      <c r="AA5346">
        <v>188</v>
      </c>
      <c r="AB5346" s="5">
        <v>446500</v>
      </c>
      <c r="AC5346" s="1">
        <v>2375</v>
      </c>
      <c r="AD5346">
        <v>188</v>
      </c>
      <c r="AE5346" s="1">
        <v>446500</v>
      </c>
      <c r="AF5346">
        <v>0</v>
      </c>
      <c r="AJ5346">
        <v>0</v>
      </c>
      <c r="AK5346">
        <v>0</v>
      </c>
      <c r="AL5346">
        <v>0</v>
      </c>
      <c r="AM5346" s="1">
        <v>2897.5</v>
      </c>
      <c r="AN5346" s="1">
        <v>2897.5</v>
      </c>
      <c r="AO5346" s="1">
        <v>2897.5</v>
      </c>
      <c r="AP5346" s="2">
        <v>42746</v>
      </c>
      <c r="AQ5346" t="s">
        <v>72</v>
      </c>
      <c r="AR5346" t="s">
        <v>72</v>
      </c>
      <c r="AS5346">
        <v>2912</v>
      </c>
      <c r="AT5346" s="4">
        <v>42678</v>
      </c>
      <c r="AU5346" t="s">
        <v>73</v>
      </c>
      <c r="AV5346">
        <v>2912</v>
      </c>
      <c r="AW5346" s="4">
        <v>42678</v>
      </c>
      <c r="BD5346">
        <v>0</v>
      </c>
      <c r="BN5346" t="s">
        <v>74</v>
      </c>
    </row>
    <row r="5347" spans="1:66">
      <c r="A5347">
        <v>102629</v>
      </c>
      <c r="B5347" s="3" t="s">
        <v>554</v>
      </c>
      <c r="C5347" s="1">
        <v>43300101</v>
      </c>
      <c r="D5347" t="s">
        <v>67</v>
      </c>
      <c r="H5347" t="str">
        <f t="shared" si="566"/>
        <v>01128810650</v>
      </c>
      <c r="I5347" t="str">
        <f t="shared" si="566"/>
        <v>01128810650</v>
      </c>
      <c r="K5347" t="str">
        <f>""</f>
        <v/>
      </c>
      <c r="M5347" t="s">
        <v>68</v>
      </c>
      <c r="N5347" t="str">
        <f t="shared" si="564"/>
        <v>FOR</v>
      </c>
      <c r="O5347" t="s">
        <v>69</v>
      </c>
      <c r="P5347" s="3" t="s">
        <v>75</v>
      </c>
      <c r="Q5347">
        <v>2016</v>
      </c>
      <c r="R5347" s="2">
        <v>42429</v>
      </c>
      <c r="S5347" s="2">
        <v>42436</v>
      </c>
      <c r="T5347" s="2">
        <v>42430</v>
      </c>
      <c r="U5347" s="2">
        <v>42490</v>
      </c>
      <c r="V5347" t="s">
        <v>71</v>
      </c>
      <c r="W5347" t="str">
        <f>"                47/E"</f>
        <v xml:space="preserve">                47/E</v>
      </c>
      <c r="X5347" s="1">
        <v>9460.3700000000008</v>
      </c>
      <c r="Y5347">
        <v>0</v>
      </c>
      <c r="Z5347" s="5">
        <v>7754.4</v>
      </c>
      <c r="AA5347">
        <v>202</v>
      </c>
      <c r="AB5347" s="5">
        <v>1566388.8</v>
      </c>
      <c r="AC5347" s="1">
        <v>7754.4</v>
      </c>
      <c r="AD5347">
        <v>202</v>
      </c>
      <c r="AE5347" s="1">
        <v>1566388.8</v>
      </c>
      <c r="AF5347">
        <v>0</v>
      </c>
      <c r="AJ5347">
        <v>0</v>
      </c>
      <c r="AK5347">
        <v>0</v>
      </c>
      <c r="AL5347">
        <v>0</v>
      </c>
      <c r="AM5347" s="1">
        <v>9460.3700000000008</v>
      </c>
      <c r="AN5347" s="1">
        <v>9460.3700000000008</v>
      </c>
      <c r="AO5347" s="1">
        <v>9460.3700000000008</v>
      </c>
      <c r="AP5347" s="2">
        <v>42746</v>
      </c>
      <c r="AQ5347" t="s">
        <v>72</v>
      </c>
      <c r="AR5347" t="s">
        <v>72</v>
      </c>
      <c r="AS5347">
        <v>3189</v>
      </c>
      <c r="AT5347" s="4">
        <v>42692</v>
      </c>
      <c r="AU5347" t="s">
        <v>73</v>
      </c>
      <c r="AV5347">
        <v>3189</v>
      </c>
      <c r="AW5347" s="4">
        <v>42692</v>
      </c>
      <c r="BD5347">
        <v>0</v>
      </c>
      <c r="BN5347" t="s">
        <v>74</v>
      </c>
    </row>
    <row r="5348" spans="1:66">
      <c r="A5348">
        <v>102629</v>
      </c>
      <c r="B5348" s="3" t="s">
        <v>554</v>
      </c>
      <c r="C5348" s="1">
        <v>43300101</v>
      </c>
      <c r="D5348" t="s">
        <v>67</v>
      </c>
      <c r="H5348" t="str">
        <f t="shared" si="566"/>
        <v>01128810650</v>
      </c>
      <c r="I5348" t="str">
        <f t="shared" si="566"/>
        <v>01128810650</v>
      </c>
      <c r="K5348" t="str">
        <f>""</f>
        <v/>
      </c>
      <c r="M5348" t="s">
        <v>68</v>
      </c>
      <c r="N5348" t="str">
        <f t="shared" si="564"/>
        <v>FOR</v>
      </c>
      <c r="O5348" t="s">
        <v>69</v>
      </c>
      <c r="P5348" s="3" t="s">
        <v>75</v>
      </c>
      <c r="Q5348">
        <v>2016</v>
      </c>
      <c r="R5348" s="2">
        <v>42429</v>
      </c>
      <c r="S5348" s="2">
        <v>42436</v>
      </c>
      <c r="T5348" s="2">
        <v>42430</v>
      </c>
      <c r="U5348" s="2">
        <v>42490</v>
      </c>
      <c r="V5348" t="s">
        <v>71</v>
      </c>
      <c r="W5348" t="str">
        <f>"                48/E"</f>
        <v xml:space="preserve">                48/E</v>
      </c>
      <c r="X5348" s="1">
        <v>1448.75</v>
      </c>
      <c r="Y5348">
        <v>0</v>
      </c>
      <c r="Z5348" s="5">
        <v>1187.5</v>
      </c>
      <c r="AA5348">
        <v>202</v>
      </c>
      <c r="AB5348" s="5">
        <v>239875</v>
      </c>
      <c r="AC5348" s="1">
        <v>1187.5</v>
      </c>
      <c r="AD5348">
        <v>202</v>
      </c>
      <c r="AE5348" s="1">
        <v>239875</v>
      </c>
      <c r="AF5348">
        <v>0</v>
      </c>
      <c r="AJ5348">
        <v>0</v>
      </c>
      <c r="AK5348">
        <v>0</v>
      </c>
      <c r="AL5348">
        <v>0</v>
      </c>
      <c r="AM5348" s="1">
        <v>1448.75</v>
      </c>
      <c r="AN5348" s="1">
        <v>1448.75</v>
      </c>
      <c r="AO5348" s="1">
        <v>1448.75</v>
      </c>
      <c r="AP5348" s="2">
        <v>42746</v>
      </c>
      <c r="AQ5348" t="s">
        <v>72</v>
      </c>
      <c r="AR5348" t="s">
        <v>72</v>
      </c>
      <c r="AS5348">
        <v>3189</v>
      </c>
      <c r="AT5348" s="4">
        <v>42692</v>
      </c>
      <c r="AU5348" t="s">
        <v>73</v>
      </c>
      <c r="AV5348">
        <v>3189</v>
      </c>
      <c r="AW5348" s="4">
        <v>42692</v>
      </c>
      <c r="BD5348">
        <v>0</v>
      </c>
      <c r="BN5348" t="s">
        <v>74</v>
      </c>
    </row>
    <row r="5349" spans="1:66">
      <c r="A5349">
        <v>102629</v>
      </c>
      <c r="B5349" s="3" t="s">
        <v>554</v>
      </c>
      <c r="C5349" s="1">
        <v>43300101</v>
      </c>
      <c r="D5349" t="s">
        <v>67</v>
      </c>
      <c r="H5349" t="str">
        <f t="shared" ref="H5349:I5356" si="567">"01128810650"</f>
        <v>01128810650</v>
      </c>
      <c r="I5349" t="str">
        <f t="shared" si="567"/>
        <v>01128810650</v>
      </c>
      <c r="K5349" t="str">
        <f>""</f>
        <v/>
      </c>
      <c r="M5349" t="s">
        <v>68</v>
      </c>
      <c r="N5349" t="str">
        <f t="shared" si="564"/>
        <v>FOR</v>
      </c>
      <c r="O5349" t="s">
        <v>69</v>
      </c>
      <c r="P5349" s="3" t="s">
        <v>75</v>
      </c>
      <c r="Q5349">
        <v>2016</v>
      </c>
      <c r="R5349" s="2">
        <v>42429</v>
      </c>
      <c r="S5349" s="2">
        <v>42436</v>
      </c>
      <c r="T5349" s="2">
        <v>42430</v>
      </c>
      <c r="U5349" s="2">
        <v>42490</v>
      </c>
      <c r="V5349" t="s">
        <v>71</v>
      </c>
      <c r="W5349" t="str">
        <f>"                49/E"</f>
        <v xml:space="preserve">                49/E</v>
      </c>
      <c r="X5349">
        <v>606.95000000000005</v>
      </c>
      <c r="Y5349">
        <v>0</v>
      </c>
      <c r="Z5349" s="3">
        <v>497.5</v>
      </c>
      <c r="AA5349">
        <v>202</v>
      </c>
      <c r="AB5349" s="5">
        <v>100495</v>
      </c>
      <c r="AC5349">
        <v>497.5</v>
      </c>
      <c r="AD5349">
        <v>202</v>
      </c>
      <c r="AE5349" s="1">
        <v>100495</v>
      </c>
      <c r="AF5349">
        <v>0</v>
      </c>
      <c r="AJ5349">
        <v>0</v>
      </c>
      <c r="AK5349">
        <v>0</v>
      </c>
      <c r="AL5349">
        <v>0</v>
      </c>
      <c r="AM5349">
        <v>606.95000000000005</v>
      </c>
      <c r="AN5349">
        <v>606.95000000000005</v>
      </c>
      <c r="AO5349">
        <v>606.95000000000005</v>
      </c>
      <c r="AP5349" s="2">
        <v>42746</v>
      </c>
      <c r="AQ5349" t="s">
        <v>72</v>
      </c>
      <c r="AR5349" t="s">
        <v>72</v>
      </c>
      <c r="AS5349">
        <v>3189</v>
      </c>
      <c r="AT5349" s="4">
        <v>42692</v>
      </c>
      <c r="AU5349" t="s">
        <v>73</v>
      </c>
      <c r="AV5349">
        <v>3189</v>
      </c>
      <c r="AW5349" s="4">
        <v>42692</v>
      </c>
      <c r="BD5349">
        <v>0</v>
      </c>
      <c r="BN5349" t="s">
        <v>74</v>
      </c>
    </row>
    <row r="5350" spans="1:66">
      <c r="A5350">
        <v>102629</v>
      </c>
      <c r="B5350" s="3" t="s">
        <v>554</v>
      </c>
      <c r="C5350" s="1">
        <v>43300101</v>
      </c>
      <c r="D5350" t="s">
        <v>67</v>
      </c>
      <c r="H5350" t="str">
        <f t="shared" si="567"/>
        <v>01128810650</v>
      </c>
      <c r="I5350" t="str">
        <f t="shared" si="567"/>
        <v>01128810650</v>
      </c>
      <c r="K5350" t="str">
        <f>""</f>
        <v/>
      </c>
      <c r="M5350" t="s">
        <v>68</v>
      </c>
      <c r="N5350" t="str">
        <f t="shared" si="564"/>
        <v>FOR</v>
      </c>
      <c r="O5350" t="s">
        <v>69</v>
      </c>
      <c r="P5350" s="3" t="s">
        <v>75</v>
      </c>
      <c r="Q5350">
        <v>2016</v>
      </c>
      <c r="R5350" s="2">
        <v>42436</v>
      </c>
      <c r="S5350" s="2">
        <v>42438</v>
      </c>
      <c r="T5350" s="2">
        <v>42437</v>
      </c>
      <c r="U5350" s="2">
        <v>42497</v>
      </c>
      <c r="V5350" t="s">
        <v>71</v>
      </c>
      <c r="W5350" t="str">
        <f>"                56/E"</f>
        <v xml:space="preserve">                56/E</v>
      </c>
      <c r="X5350" s="1">
        <v>6139.04</v>
      </c>
      <c r="Y5350">
        <v>0</v>
      </c>
      <c r="Z5350" s="5">
        <v>5032</v>
      </c>
      <c r="AA5350">
        <v>195</v>
      </c>
      <c r="AB5350" s="5">
        <v>981240</v>
      </c>
      <c r="AC5350" s="1">
        <v>5032</v>
      </c>
      <c r="AD5350">
        <v>195</v>
      </c>
      <c r="AE5350" s="1">
        <v>981240</v>
      </c>
      <c r="AF5350">
        <v>0</v>
      </c>
      <c r="AJ5350">
        <v>0</v>
      </c>
      <c r="AK5350">
        <v>0</v>
      </c>
      <c r="AL5350">
        <v>0</v>
      </c>
      <c r="AM5350" s="1">
        <v>6139.04</v>
      </c>
      <c r="AN5350" s="1">
        <v>6139.04</v>
      </c>
      <c r="AO5350" s="1">
        <v>6139.04</v>
      </c>
      <c r="AP5350" s="2">
        <v>42746</v>
      </c>
      <c r="AQ5350" t="s">
        <v>72</v>
      </c>
      <c r="AR5350" t="s">
        <v>72</v>
      </c>
      <c r="AS5350">
        <v>3189</v>
      </c>
      <c r="AT5350" s="4">
        <v>42692</v>
      </c>
      <c r="AU5350" t="s">
        <v>73</v>
      </c>
      <c r="AV5350">
        <v>3189</v>
      </c>
      <c r="AW5350" s="4">
        <v>42692</v>
      </c>
      <c r="BD5350">
        <v>0</v>
      </c>
      <c r="BN5350" t="s">
        <v>74</v>
      </c>
    </row>
    <row r="5351" spans="1:66">
      <c r="A5351">
        <v>102629</v>
      </c>
      <c r="B5351" s="3" t="s">
        <v>554</v>
      </c>
      <c r="C5351" s="1">
        <v>43300101</v>
      </c>
      <c r="D5351" t="s">
        <v>67</v>
      </c>
      <c r="H5351" t="str">
        <f t="shared" si="567"/>
        <v>01128810650</v>
      </c>
      <c r="I5351" t="str">
        <f t="shared" si="567"/>
        <v>01128810650</v>
      </c>
      <c r="K5351" t="str">
        <f>""</f>
        <v/>
      </c>
      <c r="M5351" t="s">
        <v>68</v>
      </c>
      <c r="N5351" t="str">
        <f t="shared" si="564"/>
        <v>FOR</v>
      </c>
      <c r="O5351" t="s">
        <v>69</v>
      </c>
      <c r="P5351" s="3" t="s">
        <v>75</v>
      </c>
      <c r="Q5351">
        <v>2016</v>
      </c>
      <c r="R5351" s="2">
        <v>42436</v>
      </c>
      <c r="S5351" s="2">
        <v>42438</v>
      </c>
      <c r="T5351" s="2">
        <v>42437</v>
      </c>
      <c r="U5351" s="2">
        <v>42497</v>
      </c>
      <c r="V5351" t="s">
        <v>71</v>
      </c>
      <c r="W5351" t="str">
        <f>"                57/E"</f>
        <v xml:space="preserve">                57/E</v>
      </c>
      <c r="X5351" s="1">
        <v>2034.96</v>
      </c>
      <c r="Y5351">
        <v>0</v>
      </c>
      <c r="Z5351" s="5">
        <v>1668</v>
      </c>
      <c r="AA5351">
        <v>195</v>
      </c>
      <c r="AB5351" s="5">
        <v>325260</v>
      </c>
      <c r="AC5351" s="1">
        <v>1668</v>
      </c>
      <c r="AD5351">
        <v>195</v>
      </c>
      <c r="AE5351" s="1">
        <v>325260</v>
      </c>
      <c r="AF5351">
        <v>0</v>
      </c>
      <c r="AJ5351">
        <v>0</v>
      </c>
      <c r="AK5351">
        <v>0</v>
      </c>
      <c r="AL5351">
        <v>0</v>
      </c>
      <c r="AM5351" s="1">
        <v>2034.96</v>
      </c>
      <c r="AN5351" s="1">
        <v>2034.96</v>
      </c>
      <c r="AO5351" s="1">
        <v>2034.96</v>
      </c>
      <c r="AP5351" s="2">
        <v>42746</v>
      </c>
      <c r="AQ5351" t="s">
        <v>72</v>
      </c>
      <c r="AR5351" t="s">
        <v>72</v>
      </c>
      <c r="AS5351">
        <v>3189</v>
      </c>
      <c r="AT5351" s="4">
        <v>42692</v>
      </c>
      <c r="AU5351" t="s">
        <v>73</v>
      </c>
      <c r="AV5351">
        <v>3189</v>
      </c>
      <c r="AW5351" s="4">
        <v>42692</v>
      </c>
      <c r="BD5351">
        <v>0</v>
      </c>
      <c r="BN5351" t="s">
        <v>74</v>
      </c>
    </row>
    <row r="5352" spans="1:66">
      <c r="A5352">
        <v>102629</v>
      </c>
      <c r="B5352" s="3" t="s">
        <v>554</v>
      </c>
      <c r="C5352" s="1">
        <v>43300101</v>
      </c>
      <c r="D5352" t="s">
        <v>67</v>
      </c>
      <c r="H5352" t="str">
        <f t="shared" si="567"/>
        <v>01128810650</v>
      </c>
      <c r="I5352" t="str">
        <f t="shared" si="567"/>
        <v>01128810650</v>
      </c>
      <c r="K5352" t="str">
        <f>""</f>
        <v/>
      </c>
      <c r="M5352" t="s">
        <v>68</v>
      </c>
      <c r="N5352" t="str">
        <f t="shared" si="564"/>
        <v>FOR</v>
      </c>
      <c r="O5352" t="s">
        <v>69</v>
      </c>
      <c r="P5352" s="3" t="s">
        <v>75</v>
      </c>
      <c r="Q5352">
        <v>2016</v>
      </c>
      <c r="R5352" s="2">
        <v>42458</v>
      </c>
      <c r="S5352" s="2">
        <v>42458</v>
      </c>
      <c r="T5352" s="2">
        <v>42458</v>
      </c>
      <c r="U5352" s="2">
        <v>42518</v>
      </c>
      <c r="V5352" t="s">
        <v>71</v>
      </c>
      <c r="W5352" t="str">
        <f>"                70/E"</f>
        <v xml:space="preserve">                70/E</v>
      </c>
      <c r="X5352">
        <v>622.20000000000005</v>
      </c>
      <c r="Y5352">
        <v>0</v>
      </c>
      <c r="Z5352" s="3">
        <v>510</v>
      </c>
      <c r="AA5352">
        <v>174</v>
      </c>
      <c r="AB5352" s="5">
        <v>88740</v>
      </c>
      <c r="AC5352">
        <v>510</v>
      </c>
      <c r="AD5352">
        <v>174</v>
      </c>
      <c r="AE5352" s="1">
        <v>88740</v>
      </c>
      <c r="AF5352">
        <v>0</v>
      </c>
      <c r="AJ5352">
        <v>0</v>
      </c>
      <c r="AK5352">
        <v>0</v>
      </c>
      <c r="AL5352">
        <v>0</v>
      </c>
      <c r="AM5352">
        <v>622.20000000000005</v>
      </c>
      <c r="AN5352">
        <v>622.20000000000005</v>
      </c>
      <c r="AO5352">
        <v>622.20000000000005</v>
      </c>
      <c r="AP5352" s="2">
        <v>42746</v>
      </c>
      <c r="AQ5352" t="s">
        <v>72</v>
      </c>
      <c r="AR5352" t="s">
        <v>72</v>
      </c>
      <c r="AS5352">
        <v>3189</v>
      </c>
      <c r="AT5352" s="4">
        <v>42692</v>
      </c>
      <c r="AU5352" t="s">
        <v>73</v>
      </c>
      <c r="AV5352">
        <v>3189</v>
      </c>
      <c r="AW5352" s="4">
        <v>42692</v>
      </c>
      <c r="BD5352">
        <v>0</v>
      </c>
      <c r="BN5352" t="s">
        <v>74</v>
      </c>
    </row>
    <row r="5353" spans="1:66">
      <c r="A5353">
        <v>102629</v>
      </c>
      <c r="B5353" s="3" t="s">
        <v>554</v>
      </c>
      <c r="C5353" s="1">
        <v>43300101</v>
      </c>
      <c r="D5353" t="s">
        <v>67</v>
      </c>
      <c r="H5353" t="str">
        <f t="shared" si="567"/>
        <v>01128810650</v>
      </c>
      <c r="I5353" t="str">
        <f t="shared" si="567"/>
        <v>01128810650</v>
      </c>
      <c r="K5353" t="str">
        <f>""</f>
        <v/>
      </c>
      <c r="M5353" t="s">
        <v>68</v>
      </c>
      <c r="N5353" t="str">
        <f t="shared" ref="N5353:N5416" si="568">"FOR"</f>
        <v>FOR</v>
      </c>
      <c r="O5353" t="s">
        <v>69</v>
      </c>
      <c r="P5353" s="3" t="s">
        <v>75</v>
      </c>
      <c r="Q5353">
        <v>2016</v>
      </c>
      <c r="R5353" s="2">
        <v>42458</v>
      </c>
      <c r="S5353" s="2">
        <v>42458</v>
      </c>
      <c r="T5353" s="2">
        <v>42458</v>
      </c>
      <c r="U5353" s="2">
        <v>42518</v>
      </c>
      <c r="V5353" t="s">
        <v>71</v>
      </c>
      <c r="W5353" t="str">
        <f>"                80/E"</f>
        <v xml:space="preserve">                80/E</v>
      </c>
      <c r="X5353">
        <v>552.66</v>
      </c>
      <c r="Y5353">
        <v>0</v>
      </c>
      <c r="Z5353" s="3">
        <v>453</v>
      </c>
      <c r="AA5353">
        <v>174</v>
      </c>
      <c r="AB5353" s="5">
        <v>78822</v>
      </c>
      <c r="AC5353">
        <v>453</v>
      </c>
      <c r="AD5353">
        <v>174</v>
      </c>
      <c r="AE5353" s="1">
        <v>78822</v>
      </c>
      <c r="AF5353">
        <v>0</v>
      </c>
      <c r="AJ5353">
        <v>0</v>
      </c>
      <c r="AK5353">
        <v>0</v>
      </c>
      <c r="AL5353">
        <v>0</v>
      </c>
      <c r="AM5353">
        <v>552.66</v>
      </c>
      <c r="AN5353">
        <v>552.66</v>
      </c>
      <c r="AO5353">
        <v>552.66</v>
      </c>
      <c r="AP5353" s="2">
        <v>42746</v>
      </c>
      <c r="AQ5353" t="s">
        <v>72</v>
      </c>
      <c r="AR5353" t="s">
        <v>72</v>
      </c>
      <c r="AS5353">
        <v>3189</v>
      </c>
      <c r="AT5353" s="4">
        <v>42692</v>
      </c>
      <c r="AU5353" t="s">
        <v>73</v>
      </c>
      <c r="AV5353">
        <v>3189</v>
      </c>
      <c r="AW5353" s="4">
        <v>42692</v>
      </c>
      <c r="BD5353">
        <v>0</v>
      </c>
      <c r="BN5353" t="s">
        <v>74</v>
      </c>
    </row>
    <row r="5354" spans="1:66">
      <c r="A5354">
        <v>102629</v>
      </c>
      <c r="B5354" s="3" t="s">
        <v>554</v>
      </c>
      <c r="C5354" s="1">
        <v>43300101</v>
      </c>
      <c r="D5354" t="s">
        <v>67</v>
      </c>
      <c r="H5354" t="str">
        <f t="shared" si="567"/>
        <v>01128810650</v>
      </c>
      <c r="I5354" t="str">
        <f t="shared" si="567"/>
        <v>01128810650</v>
      </c>
      <c r="K5354" t="str">
        <f>""</f>
        <v/>
      </c>
      <c r="M5354" t="s">
        <v>68</v>
      </c>
      <c r="N5354" t="str">
        <f t="shared" si="568"/>
        <v>FOR</v>
      </c>
      <c r="O5354" t="s">
        <v>69</v>
      </c>
      <c r="P5354" s="3" t="s">
        <v>75</v>
      </c>
      <c r="Q5354">
        <v>2016</v>
      </c>
      <c r="R5354" s="2">
        <v>42458</v>
      </c>
      <c r="S5354" s="2">
        <v>42458</v>
      </c>
      <c r="T5354" s="2">
        <v>42458</v>
      </c>
      <c r="U5354" s="2">
        <v>42518</v>
      </c>
      <c r="V5354" t="s">
        <v>71</v>
      </c>
      <c r="W5354" t="str">
        <f>"                81/E"</f>
        <v xml:space="preserve">                81/E</v>
      </c>
      <c r="X5354" s="1">
        <v>4604.28</v>
      </c>
      <c r="Y5354">
        <v>0</v>
      </c>
      <c r="Z5354" s="5">
        <v>3774</v>
      </c>
      <c r="AA5354">
        <v>174</v>
      </c>
      <c r="AB5354" s="5">
        <v>656676</v>
      </c>
      <c r="AC5354" s="1">
        <v>3774</v>
      </c>
      <c r="AD5354">
        <v>174</v>
      </c>
      <c r="AE5354" s="1">
        <v>656676</v>
      </c>
      <c r="AF5354">
        <v>0</v>
      </c>
      <c r="AJ5354">
        <v>0</v>
      </c>
      <c r="AK5354">
        <v>0</v>
      </c>
      <c r="AL5354">
        <v>0</v>
      </c>
      <c r="AM5354" s="1">
        <v>4604.28</v>
      </c>
      <c r="AN5354" s="1">
        <v>4604.28</v>
      </c>
      <c r="AO5354" s="1">
        <v>4604.28</v>
      </c>
      <c r="AP5354" s="2">
        <v>42746</v>
      </c>
      <c r="AQ5354" t="s">
        <v>72</v>
      </c>
      <c r="AR5354" t="s">
        <v>72</v>
      </c>
      <c r="AS5354">
        <v>3189</v>
      </c>
      <c r="AT5354" s="4">
        <v>42692</v>
      </c>
      <c r="AU5354" t="s">
        <v>73</v>
      </c>
      <c r="AV5354">
        <v>3189</v>
      </c>
      <c r="AW5354" s="4">
        <v>42692</v>
      </c>
      <c r="BD5354">
        <v>0</v>
      </c>
      <c r="BN5354" t="s">
        <v>74</v>
      </c>
    </row>
    <row r="5355" spans="1:66">
      <c r="A5355">
        <v>102629</v>
      </c>
      <c r="B5355" s="3" t="s">
        <v>554</v>
      </c>
      <c r="C5355" s="1">
        <v>43300101</v>
      </c>
      <c r="D5355" t="s">
        <v>67</v>
      </c>
      <c r="H5355" t="str">
        <f t="shared" si="567"/>
        <v>01128810650</v>
      </c>
      <c r="I5355" t="str">
        <f t="shared" si="567"/>
        <v>01128810650</v>
      </c>
      <c r="K5355" t="str">
        <f>""</f>
        <v/>
      </c>
      <c r="M5355" t="s">
        <v>68</v>
      </c>
      <c r="N5355" t="str">
        <f t="shared" si="568"/>
        <v>FOR</v>
      </c>
      <c r="O5355" t="s">
        <v>69</v>
      </c>
      <c r="P5355" s="3" t="s">
        <v>75</v>
      </c>
      <c r="Q5355">
        <v>2016</v>
      </c>
      <c r="R5355" s="2">
        <v>42471</v>
      </c>
      <c r="S5355" s="2">
        <v>42472</v>
      </c>
      <c r="T5355" s="2">
        <v>42472</v>
      </c>
      <c r="U5355" s="2">
        <v>42532</v>
      </c>
      <c r="V5355" t="s">
        <v>71</v>
      </c>
      <c r="W5355" t="str">
        <f>"                98/E"</f>
        <v xml:space="preserve">                98/E</v>
      </c>
      <c r="X5355" s="1">
        <v>2897.5</v>
      </c>
      <c r="Y5355">
        <v>0</v>
      </c>
      <c r="Z5355" s="5">
        <v>2375</v>
      </c>
      <c r="AA5355">
        <v>160</v>
      </c>
      <c r="AB5355" s="5">
        <v>380000</v>
      </c>
      <c r="AC5355" s="1">
        <v>2375</v>
      </c>
      <c r="AD5355">
        <v>160</v>
      </c>
      <c r="AE5355" s="1">
        <v>380000</v>
      </c>
      <c r="AF5355">
        <v>0</v>
      </c>
      <c r="AJ5355">
        <v>0</v>
      </c>
      <c r="AK5355">
        <v>0</v>
      </c>
      <c r="AL5355">
        <v>0</v>
      </c>
      <c r="AM5355" s="1">
        <v>2897.5</v>
      </c>
      <c r="AN5355" s="1">
        <v>2897.5</v>
      </c>
      <c r="AO5355" s="1">
        <v>2897.5</v>
      </c>
      <c r="AP5355" s="2">
        <v>42746</v>
      </c>
      <c r="AQ5355" t="s">
        <v>72</v>
      </c>
      <c r="AR5355" t="s">
        <v>72</v>
      </c>
      <c r="AS5355">
        <v>3189</v>
      </c>
      <c r="AT5355" s="4">
        <v>42692</v>
      </c>
      <c r="AU5355" t="s">
        <v>73</v>
      </c>
      <c r="AV5355">
        <v>3189</v>
      </c>
      <c r="AW5355" s="4">
        <v>42692</v>
      </c>
      <c r="BD5355">
        <v>0</v>
      </c>
      <c r="BN5355" t="s">
        <v>74</v>
      </c>
    </row>
    <row r="5356" spans="1:66">
      <c r="A5356">
        <v>102629</v>
      </c>
      <c r="B5356" s="3" t="s">
        <v>554</v>
      </c>
      <c r="C5356" s="1">
        <v>43300101</v>
      </c>
      <c r="D5356" t="s">
        <v>67</v>
      </c>
      <c r="H5356" t="str">
        <f t="shared" si="567"/>
        <v>01128810650</v>
      </c>
      <c r="I5356" t="str">
        <f t="shared" si="567"/>
        <v>01128810650</v>
      </c>
      <c r="K5356" t="str">
        <f>""</f>
        <v/>
      </c>
      <c r="M5356" t="s">
        <v>68</v>
      </c>
      <c r="N5356" t="str">
        <f t="shared" si="568"/>
        <v>FOR</v>
      </c>
      <c r="O5356" t="s">
        <v>69</v>
      </c>
      <c r="P5356" s="3" t="s">
        <v>75</v>
      </c>
      <c r="Q5356">
        <v>2016</v>
      </c>
      <c r="R5356" s="2">
        <v>42489</v>
      </c>
      <c r="S5356" s="2">
        <v>42495</v>
      </c>
      <c r="T5356" s="2">
        <v>42493</v>
      </c>
      <c r="U5356" s="2">
        <v>42553</v>
      </c>
      <c r="V5356" t="s">
        <v>71</v>
      </c>
      <c r="W5356" t="str">
        <f>"               115/E"</f>
        <v xml:space="preserve">               115/E</v>
      </c>
      <c r="X5356" s="1">
        <v>20093.400000000001</v>
      </c>
      <c r="Y5356">
        <v>0</v>
      </c>
      <c r="Z5356" s="5">
        <v>16470</v>
      </c>
      <c r="AA5356">
        <v>139</v>
      </c>
      <c r="AB5356" s="5">
        <v>2289330</v>
      </c>
      <c r="AC5356" s="1">
        <v>16470</v>
      </c>
      <c r="AD5356">
        <v>139</v>
      </c>
      <c r="AE5356" s="1">
        <v>2289330</v>
      </c>
      <c r="AF5356">
        <v>0</v>
      </c>
      <c r="AJ5356">
        <v>0</v>
      </c>
      <c r="AK5356">
        <v>0</v>
      </c>
      <c r="AL5356">
        <v>0</v>
      </c>
      <c r="AM5356" s="1">
        <v>20093.400000000001</v>
      </c>
      <c r="AN5356" s="1">
        <v>20093.400000000001</v>
      </c>
      <c r="AO5356" s="1">
        <v>20093.400000000001</v>
      </c>
      <c r="AP5356" s="2">
        <v>42746</v>
      </c>
      <c r="AQ5356" t="s">
        <v>72</v>
      </c>
      <c r="AR5356" t="s">
        <v>72</v>
      </c>
      <c r="AS5356">
        <v>3189</v>
      </c>
      <c r="AT5356" s="4">
        <v>42692</v>
      </c>
      <c r="AU5356" t="s">
        <v>73</v>
      </c>
      <c r="AV5356">
        <v>3189</v>
      </c>
      <c r="AW5356" s="4">
        <v>42692</v>
      </c>
      <c r="BD5356">
        <v>0</v>
      </c>
      <c r="BN5356" t="s">
        <v>74</v>
      </c>
    </row>
    <row r="5357" spans="1:66">
      <c r="A5357">
        <v>102679</v>
      </c>
      <c r="B5357" s="3" t="s">
        <v>555</v>
      </c>
      <c r="C5357" s="1">
        <v>43300101</v>
      </c>
      <c r="D5357" t="s">
        <v>67</v>
      </c>
      <c r="H5357" t="str">
        <f t="shared" ref="H5357:I5375" si="569">"04303410726"</f>
        <v>04303410726</v>
      </c>
      <c r="I5357" t="str">
        <f t="shared" si="569"/>
        <v>04303410726</v>
      </c>
      <c r="K5357" t="str">
        <f>""</f>
        <v/>
      </c>
      <c r="M5357" t="s">
        <v>68</v>
      </c>
      <c r="N5357" t="str">
        <f t="shared" si="568"/>
        <v>FOR</v>
      </c>
      <c r="O5357" t="s">
        <v>69</v>
      </c>
      <c r="P5357" s="3" t="s">
        <v>70</v>
      </c>
      <c r="Q5357">
        <v>2015</v>
      </c>
      <c r="R5357" s="2">
        <v>42054</v>
      </c>
      <c r="S5357" s="2">
        <v>42664</v>
      </c>
      <c r="T5357" s="2">
        <v>42664</v>
      </c>
      <c r="U5357" s="2">
        <v>42724</v>
      </c>
      <c r="V5357" t="s">
        <v>71</v>
      </c>
      <c r="W5357" t="str">
        <f>"           2015-1107"</f>
        <v xml:space="preserve">           2015-1107</v>
      </c>
      <c r="X5357" s="1">
        <v>2413.1799999999998</v>
      </c>
      <c r="Y5357">
        <v>0</v>
      </c>
      <c r="Z5357" s="5">
        <v>1978.02</v>
      </c>
      <c r="AA5357">
        <v>-41</v>
      </c>
      <c r="AB5357" s="5">
        <v>-81098.820000000007</v>
      </c>
      <c r="AC5357" s="1">
        <v>1978.02</v>
      </c>
      <c r="AD5357">
        <v>-41</v>
      </c>
      <c r="AE5357" s="1">
        <v>-81098.820000000007</v>
      </c>
      <c r="AF5357">
        <v>0</v>
      </c>
      <c r="AJ5357">
        <v>0</v>
      </c>
      <c r="AK5357" s="1">
        <v>2413.1799999999998</v>
      </c>
      <c r="AL5357">
        <v>0</v>
      </c>
      <c r="AM5357">
        <v>0</v>
      </c>
      <c r="AN5357" s="1">
        <v>2413.1799999999998</v>
      </c>
      <c r="AO5357">
        <v>0</v>
      </c>
      <c r="AP5357" s="2">
        <v>42746</v>
      </c>
      <c r="AQ5357" t="s">
        <v>72</v>
      </c>
      <c r="AR5357" t="s">
        <v>72</v>
      </c>
      <c r="AS5357">
        <v>3014</v>
      </c>
      <c r="AT5357" s="4">
        <v>42683</v>
      </c>
      <c r="AV5357">
        <v>3014</v>
      </c>
      <c r="AW5357" s="4">
        <v>42683</v>
      </c>
      <c r="BD5357">
        <v>0</v>
      </c>
      <c r="BN5357" t="s">
        <v>74</v>
      </c>
    </row>
    <row r="5358" spans="1:66" hidden="1">
      <c r="A5358">
        <v>102679</v>
      </c>
      <c r="B5358" s="3" t="s">
        <v>555</v>
      </c>
      <c r="C5358" s="1">
        <v>43300101</v>
      </c>
      <c r="D5358" t="s">
        <v>67</v>
      </c>
      <c r="H5358" t="str">
        <f t="shared" si="569"/>
        <v>04303410726</v>
      </c>
      <c r="I5358" t="str">
        <f t="shared" si="569"/>
        <v>04303410726</v>
      </c>
      <c r="K5358" t="str">
        <f>""</f>
        <v/>
      </c>
      <c r="M5358" t="s">
        <v>68</v>
      </c>
      <c r="N5358" t="str">
        <f t="shared" si="568"/>
        <v>FOR</v>
      </c>
      <c r="O5358" t="s">
        <v>69</v>
      </c>
      <c r="P5358" s="3" t="s">
        <v>75</v>
      </c>
      <c r="Q5358">
        <v>2015</v>
      </c>
      <c r="R5358" s="2">
        <v>42073</v>
      </c>
      <c r="S5358" s="2">
        <v>42352</v>
      </c>
      <c r="T5358" s="2">
        <v>42345</v>
      </c>
      <c r="U5358" s="2">
        <v>42405</v>
      </c>
      <c r="V5358" t="s">
        <v>71</v>
      </c>
      <c r="W5358" t="str">
        <f>"           2015-1650"</f>
        <v xml:space="preserve">           2015-1650</v>
      </c>
      <c r="X5358" s="1">
        <v>2854.8</v>
      </c>
      <c r="Y5358">
        <v>0</v>
      </c>
      <c r="Z5358"/>
      <c r="AB5358"/>
      <c r="AC5358" s="1">
        <v>2340</v>
      </c>
      <c r="AD5358">
        <v>-1</v>
      </c>
      <c r="AE5358" s="1">
        <v>-2340</v>
      </c>
      <c r="AF5358">
        <v>0</v>
      </c>
      <c r="AJ5358">
        <v>0</v>
      </c>
      <c r="AK5358">
        <v>0</v>
      </c>
      <c r="AL5358">
        <v>0</v>
      </c>
      <c r="AM5358">
        <v>0</v>
      </c>
      <c r="AN5358">
        <v>0</v>
      </c>
      <c r="AO5358">
        <v>0</v>
      </c>
      <c r="AP5358" s="2">
        <v>42746</v>
      </c>
      <c r="AQ5358" t="s">
        <v>72</v>
      </c>
      <c r="AR5358" t="s">
        <v>72</v>
      </c>
      <c r="AS5358">
        <v>259</v>
      </c>
      <c r="AT5358" s="4">
        <v>42404</v>
      </c>
      <c r="AV5358">
        <v>259</v>
      </c>
      <c r="AW5358" s="4">
        <v>42404</v>
      </c>
      <c r="BD5358">
        <v>0</v>
      </c>
      <c r="BN5358" t="s">
        <v>74</v>
      </c>
    </row>
    <row r="5359" spans="1:66" hidden="1">
      <c r="A5359">
        <v>102679</v>
      </c>
      <c r="B5359" s="3" t="s">
        <v>555</v>
      </c>
      <c r="C5359" s="1">
        <v>43300101</v>
      </c>
      <c r="D5359" t="s">
        <v>67</v>
      </c>
      <c r="H5359" t="str">
        <f t="shared" si="569"/>
        <v>04303410726</v>
      </c>
      <c r="I5359" t="str">
        <f t="shared" si="569"/>
        <v>04303410726</v>
      </c>
      <c r="K5359" t="str">
        <f>""</f>
        <v/>
      </c>
      <c r="M5359" t="s">
        <v>68</v>
      </c>
      <c r="N5359" t="str">
        <f t="shared" si="568"/>
        <v>FOR</v>
      </c>
      <c r="O5359" t="s">
        <v>69</v>
      </c>
      <c r="P5359" s="3" t="s">
        <v>75</v>
      </c>
      <c r="Q5359">
        <v>2015</v>
      </c>
      <c r="R5359" s="2">
        <v>42073</v>
      </c>
      <c r="S5359" s="2">
        <v>42347</v>
      </c>
      <c r="T5359" s="2">
        <v>42345</v>
      </c>
      <c r="U5359" s="2">
        <v>42405</v>
      </c>
      <c r="V5359" t="s">
        <v>71</v>
      </c>
      <c r="W5359" t="str">
        <f>"           2015-1651"</f>
        <v xml:space="preserve">           2015-1651</v>
      </c>
      <c r="X5359" s="1">
        <v>2413.1799999999998</v>
      </c>
      <c r="Y5359">
        <v>0</v>
      </c>
      <c r="Z5359"/>
      <c r="AB5359"/>
      <c r="AC5359" s="1">
        <v>1978.02</v>
      </c>
      <c r="AD5359">
        <v>-1</v>
      </c>
      <c r="AE5359" s="1">
        <v>-1978.02</v>
      </c>
      <c r="AF5359">
        <v>0</v>
      </c>
      <c r="AJ5359">
        <v>0</v>
      </c>
      <c r="AK5359">
        <v>0</v>
      </c>
      <c r="AL5359">
        <v>0</v>
      </c>
      <c r="AM5359">
        <v>0</v>
      </c>
      <c r="AN5359">
        <v>0</v>
      </c>
      <c r="AO5359">
        <v>0</v>
      </c>
      <c r="AP5359" s="2">
        <v>42746</v>
      </c>
      <c r="AQ5359" t="s">
        <v>72</v>
      </c>
      <c r="AR5359" t="s">
        <v>72</v>
      </c>
      <c r="AS5359">
        <v>259</v>
      </c>
      <c r="AT5359" s="4">
        <v>42404</v>
      </c>
      <c r="AV5359">
        <v>259</v>
      </c>
      <c r="AW5359" s="4">
        <v>42404</v>
      </c>
      <c r="BD5359">
        <v>0</v>
      </c>
      <c r="BN5359" t="s">
        <v>74</v>
      </c>
    </row>
    <row r="5360" spans="1:66" hidden="1">
      <c r="A5360">
        <v>102679</v>
      </c>
      <c r="B5360" s="3" t="s">
        <v>555</v>
      </c>
      <c r="C5360" s="1">
        <v>43300101</v>
      </c>
      <c r="D5360" t="s">
        <v>67</v>
      </c>
      <c r="H5360" t="str">
        <f t="shared" si="569"/>
        <v>04303410726</v>
      </c>
      <c r="I5360" t="str">
        <f t="shared" si="569"/>
        <v>04303410726</v>
      </c>
      <c r="K5360" t="str">
        <f>""</f>
        <v/>
      </c>
      <c r="M5360" t="s">
        <v>68</v>
      </c>
      <c r="N5360" t="str">
        <f t="shared" si="568"/>
        <v>FOR</v>
      </c>
      <c r="O5360" t="s">
        <v>69</v>
      </c>
      <c r="P5360" s="3" t="s">
        <v>75</v>
      </c>
      <c r="Q5360">
        <v>2015</v>
      </c>
      <c r="R5360" s="2">
        <v>42145</v>
      </c>
      <c r="S5360" s="2">
        <v>42160</v>
      </c>
      <c r="T5360" s="2">
        <v>42151</v>
      </c>
      <c r="U5360" s="2">
        <v>42211</v>
      </c>
      <c r="V5360" t="s">
        <v>71</v>
      </c>
      <c r="W5360" t="str">
        <f>"       2015 FE-10993"</f>
        <v xml:space="preserve">       2015 FE-10993</v>
      </c>
      <c r="X5360" s="1">
        <v>2854.8</v>
      </c>
      <c r="Y5360">
        <v>0</v>
      </c>
      <c r="Z5360"/>
      <c r="AB5360"/>
      <c r="AC5360" s="1">
        <v>2340</v>
      </c>
      <c r="AD5360">
        <v>241</v>
      </c>
      <c r="AE5360" s="1">
        <v>563940</v>
      </c>
      <c r="AF5360">
        <v>0</v>
      </c>
      <c r="AJ5360">
        <v>0</v>
      </c>
      <c r="AK5360">
        <v>0</v>
      </c>
      <c r="AL5360">
        <v>0</v>
      </c>
      <c r="AM5360">
        <v>0</v>
      </c>
      <c r="AN5360">
        <v>0</v>
      </c>
      <c r="AO5360">
        <v>0</v>
      </c>
      <c r="AP5360" s="2">
        <v>42746</v>
      </c>
      <c r="AQ5360" t="s">
        <v>72</v>
      </c>
      <c r="AR5360" t="s">
        <v>72</v>
      </c>
      <c r="AS5360">
        <v>812</v>
      </c>
      <c r="AT5360" s="4">
        <v>42452</v>
      </c>
      <c r="AU5360" t="s">
        <v>73</v>
      </c>
      <c r="AV5360">
        <v>812</v>
      </c>
      <c r="AW5360" s="4">
        <v>42452</v>
      </c>
      <c r="BD5360">
        <v>0</v>
      </c>
      <c r="BN5360" t="s">
        <v>74</v>
      </c>
    </row>
    <row r="5361" spans="1:66" hidden="1">
      <c r="A5361">
        <v>102679</v>
      </c>
      <c r="B5361" s="3" t="s">
        <v>555</v>
      </c>
      <c r="C5361" s="1">
        <v>43300101</v>
      </c>
      <c r="D5361" t="s">
        <v>67</v>
      </c>
      <c r="H5361" t="str">
        <f t="shared" si="569"/>
        <v>04303410726</v>
      </c>
      <c r="I5361" t="str">
        <f t="shared" si="569"/>
        <v>04303410726</v>
      </c>
      <c r="K5361" t="str">
        <f>""</f>
        <v/>
      </c>
      <c r="M5361" t="s">
        <v>68</v>
      </c>
      <c r="N5361" t="str">
        <f t="shared" si="568"/>
        <v>FOR</v>
      </c>
      <c r="O5361" t="s">
        <v>69</v>
      </c>
      <c r="P5361" s="3" t="s">
        <v>75</v>
      </c>
      <c r="Q5361">
        <v>2015</v>
      </c>
      <c r="R5361" s="2">
        <v>42145</v>
      </c>
      <c r="S5361" s="2">
        <v>42163</v>
      </c>
      <c r="T5361" s="2">
        <v>42151</v>
      </c>
      <c r="U5361" s="2">
        <v>42211</v>
      </c>
      <c r="V5361" t="s">
        <v>71</v>
      </c>
      <c r="W5361" t="str">
        <f>"       2015 FE-10994"</f>
        <v xml:space="preserve">       2015 FE-10994</v>
      </c>
      <c r="X5361" s="1">
        <v>2413.1799999999998</v>
      </c>
      <c r="Y5361">
        <v>0</v>
      </c>
      <c r="Z5361"/>
      <c r="AB5361"/>
      <c r="AC5361" s="1">
        <v>1978.02</v>
      </c>
      <c r="AD5361">
        <v>242</v>
      </c>
      <c r="AE5361" s="1">
        <v>478680.84</v>
      </c>
      <c r="AF5361">
        <v>0</v>
      </c>
      <c r="AJ5361">
        <v>0</v>
      </c>
      <c r="AK5361">
        <v>0</v>
      </c>
      <c r="AL5361">
        <v>0</v>
      </c>
      <c r="AM5361">
        <v>0</v>
      </c>
      <c r="AN5361">
        <v>0</v>
      </c>
      <c r="AO5361">
        <v>0</v>
      </c>
      <c r="AP5361" s="2">
        <v>42746</v>
      </c>
      <c r="AQ5361" t="s">
        <v>72</v>
      </c>
      <c r="AR5361" t="s">
        <v>72</v>
      </c>
      <c r="AS5361">
        <v>849</v>
      </c>
      <c r="AT5361" s="4">
        <v>42453</v>
      </c>
      <c r="AU5361" t="s">
        <v>73</v>
      </c>
      <c r="AV5361">
        <v>849</v>
      </c>
      <c r="AW5361" s="4">
        <v>42453</v>
      </c>
      <c r="BD5361">
        <v>0</v>
      </c>
      <c r="BN5361" t="s">
        <v>74</v>
      </c>
    </row>
    <row r="5362" spans="1:66" hidden="1">
      <c r="A5362">
        <v>102679</v>
      </c>
      <c r="B5362" s="3" t="s">
        <v>555</v>
      </c>
      <c r="C5362" s="1">
        <v>43300101</v>
      </c>
      <c r="D5362" t="s">
        <v>67</v>
      </c>
      <c r="H5362" t="str">
        <f t="shared" si="569"/>
        <v>04303410726</v>
      </c>
      <c r="I5362" t="str">
        <f t="shared" si="569"/>
        <v>04303410726</v>
      </c>
      <c r="K5362" t="str">
        <f>""</f>
        <v/>
      </c>
      <c r="M5362" t="s">
        <v>68</v>
      </c>
      <c r="N5362" t="str">
        <f t="shared" si="568"/>
        <v>FOR</v>
      </c>
      <c r="O5362" t="s">
        <v>69</v>
      </c>
      <c r="P5362" s="3" t="s">
        <v>75</v>
      </c>
      <c r="Q5362">
        <v>2015</v>
      </c>
      <c r="R5362" s="2">
        <v>42171</v>
      </c>
      <c r="S5362" s="2">
        <v>42180</v>
      </c>
      <c r="T5362" s="2">
        <v>42178</v>
      </c>
      <c r="U5362" s="2">
        <v>42238</v>
      </c>
      <c r="V5362" t="s">
        <v>71</v>
      </c>
      <c r="W5362" t="str">
        <f>"       2015 FE-11489"</f>
        <v xml:space="preserve">       2015 FE-11489</v>
      </c>
      <c r="X5362" s="1">
        <v>2413.1799999999998</v>
      </c>
      <c r="Y5362">
        <v>0</v>
      </c>
      <c r="Z5362"/>
      <c r="AB5362"/>
      <c r="AC5362" s="1">
        <v>1978.02</v>
      </c>
      <c r="AD5362">
        <v>249</v>
      </c>
      <c r="AE5362" s="1">
        <v>492526.98</v>
      </c>
      <c r="AF5362">
        <v>0</v>
      </c>
      <c r="AJ5362">
        <v>0</v>
      </c>
      <c r="AK5362">
        <v>0</v>
      </c>
      <c r="AL5362">
        <v>0</v>
      </c>
      <c r="AM5362">
        <v>0</v>
      </c>
      <c r="AN5362">
        <v>0</v>
      </c>
      <c r="AO5362">
        <v>0</v>
      </c>
      <c r="AP5362" s="2">
        <v>42746</v>
      </c>
      <c r="AQ5362" t="s">
        <v>72</v>
      </c>
      <c r="AR5362" t="s">
        <v>72</v>
      </c>
      <c r="AS5362">
        <v>1194</v>
      </c>
      <c r="AT5362" s="4">
        <v>42487</v>
      </c>
      <c r="AU5362" t="s">
        <v>73</v>
      </c>
      <c r="AV5362">
        <v>1194</v>
      </c>
      <c r="AW5362" s="4">
        <v>42487</v>
      </c>
      <c r="BD5362">
        <v>0</v>
      </c>
      <c r="BN5362" t="s">
        <v>74</v>
      </c>
    </row>
    <row r="5363" spans="1:66" hidden="1">
      <c r="A5363">
        <v>102679</v>
      </c>
      <c r="B5363" s="3" t="s">
        <v>555</v>
      </c>
      <c r="C5363" s="1">
        <v>43300101</v>
      </c>
      <c r="D5363" t="s">
        <v>67</v>
      </c>
      <c r="H5363" t="str">
        <f t="shared" si="569"/>
        <v>04303410726</v>
      </c>
      <c r="I5363" t="str">
        <f t="shared" si="569"/>
        <v>04303410726</v>
      </c>
      <c r="K5363" t="str">
        <f>""</f>
        <v/>
      </c>
      <c r="M5363" t="s">
        <v>68</v>
      </c>
      <c r="N5363" t="str">
        <f t="shared" si="568"/>
        <v>FOR</v>
      </c>
      <c r="O5363" t="s">
        <v>69</v>
      </c>
      <c r="P5363" s="3" t="s">
        <v>75</v>
      </c>
      <c r="Q5363">
        <v>2015</v>
      </c>
      <c r="R5363" s="2">
        <v>42171</v>
      </c>
      <c r="S5363" s="2">
        <v>42180</v>
      </c>
      <c r="T5363" s="2">
        <v>42178</v>
      </c>
      <c r="U5363" s="2">
        <v>42238</v>
      </c>
      <c r="V5363" t="s">
        <v>71</v>
      </c>
      <c r="W5363" t="str">
        <f>"       2015 FE-11490"</f>
        <v xml:space="preserve">       2015 FE-11490</v>
      </c>
      <c r="X5363" s="1">
        <v>2483.6799999999998</v>
      </c>
      <c r="Y5363">
        <v>0</v>
      </c>
      <c r="Z5363"/>
      <c r="AB5363"/>
      <c r="AC5363" s="1">
        <v>2035.8</v>
      </c>
      <c r="AD5363">
        <v>249</v>
      </c>
      <c r="AE5363" s="1">
        <v>506914.2</v>
      </c>
      <c r="AF5363">
        <v>0</v>
      </c>
      <c r="AJ5363">
        <v>0</v>
      </c>
      <c r="AK5363">
        <v>0</v>
      </c>
      <c r="AL5363">
        <v>0</v>
      </c>
      <c r="AM5363">
        <v>0</v>
      </c>
      <c r="AN5363">
        <v>0</v>
      </c>
      <c r="AO5363">
        <v>0</v>
      </c>
      <c r="AP5363" s="2">
        <v>42746</v>
      </c>
      <c r="AQ5363" t="s">
        <v>72</v>
      </c>
      <c r="AR5363" t="s">
        <v>72</v>
      </c>
      <c r="AS5363">
        <v>1194</v>
      </c>
      <c r="AT5363" s="4">
        <v>42487</v>
      </c>
      <c r="AU5363" t="s">
        <v>73</v>
      </c>
      <c r="AV5363">
        <v>1194</v>
      </c>
      <c r="AW5363" s="4">
        <v>42487</v>
      </c>
      <c r="BD5363">
        <v>0</v>
      </c>
      <c r="BN5363" t="s">
        <v>74</v>
      </c>
    </row>
    <row r="5364" spans="1:66" hidden="1">
      <c r="A5364">
        <v>102679</v>
      </c>
      <c r="B5364" s="3" t="s">
        <v>555</v>
      </c>
      <c r="C5364" s="1">
        <v>43300101</v>
      </c>
      <c r="D5364" t="s">
        <v>67</v>
      </c>
      <c r="H5364" t="str">
        <f t="shared" si="569"/>
        <v>04303410726</v>
      </c>
      <c r="I5364" t="str">
        <f t="shared" si="569"/>
        <v>04303410726</v>
      </c>
      <c r="K5364" t="str">
        <f>""</f>
        <v/>
      </c>
      <c r="M5364" t="s">
        <v>68</v>
      </c>
      <c r="N5364" t="str">
        <f t="shared" si="568"/>
        <v>FOR</v>
      </c>
      <c r="O5364" t="s">
        <v>69</v>
      </c>
      <c r="P5364" s="3" t="s">
        <v>75</v>
      </c>
      <c r="Q5364">
        <v>2015</v>
      </c>
      <c r="R5364" s="2">
        <v>42205</v>
      </c>
      <c r="S5364" s="2">
        <v>42227</v>
      </c>
      <c r="T5364" s="2">
        <v>42214</v>
      </c>
      <c r="U5364" s="2">
        <v>42274</v>
      </c>
      <c r="V5364" t="s">
        <v>71</v>
      </c>
      <c r="W5364" t="str">
        <f>"       2015 FE-12124"</f>
        <v xml:space="preserve">       2015 FE-12124</v>
      </c>
      <c r="X5364" s="1">
        <v>2415.6</v>
      </c>
      <c r="Y5364">
        <v>0</v>
      </c>
      <c r="Z5364"/>
      <c r="AB5364"/>
      <c r="AC5364" s="1">
        <v>1980</v>
      </c>
      <c r="AD5364">
        <v>292</v>
      </c>
      <c r="AE5364" s="1">
        <v>578160</v>
      </c>
      <c r="AF5364">
        <v>0</v>
      </c>
      <c r="AJ5364">
        <v>0</v>
      </c>
      <c r="AK5364">
        <v>0</v>
      </c>
      <c r="AL5364">
        <v>0</v>
      </c>
      <c r="AM5364">
        <v>0</v>
      </c>
      <c r="AN5364">
        <v>0</v>
      </c>
      <c r="AO5364">
        <v>0</v>
      </c>
      <c r="AP5364" s="2">
        <v>42746</v>
      </c>
      <c r="AQ5364" t="s">
        <v>72</v>
      </c>
      <c r="AR5364" t="s">
        <v>72</v>
      </c>
      <c r="AS5364">
        <v>1841</v>
      </c>
      <c r="AT5364" s="4">
        <v>42566</v>
      </c>
      <c r="AU5364" t="s">
        <v>73</v>
      </c>
      <c r="AV5364">
        <v>1841</v>
      </c>
      <c r="AW5364" s="4">
        <v>42566</v>
      </c>
      <c r="BD5364">
        <v>0</v>
      </c>
      <c r="BN5364" t="s">
        <v>74</v>
      </c>
    </row>
    <row r="5365" spans="1:66" hidden="1">
      <c r="A5365">
        <v>102679</v>
      </c>
      <c r="B5365" s="3" t="s">
        <v>555</v>
      </c>
      <c r="C5365" s="1">
        <v>43300101</v>
      </c>
      <c r="D5365" t="s">
        <v>67</v>
      </c>
      <c r="H5365" t="str">
        <f t="shared" si="569"/>
        <v>04303410726</v>
      </c>
      <c r="I5365" t="str">
        <f t="shared" si="569"/>
        <v>04303410726</v>
      </c>
      <c r="K5365" t="str">
        <f>""</f>
        <v/>
      </c>
      <c r="M5365" t="s">
        <v>68</v>
      </c>
      <c r="N5365" t="str">
        <f t="shared" si="568"/>
        <v>FOR</v>
      </c>
      <c r="O5365" t="s">
        <v>69</v>
      </c>
      <c r="P5365" s="3" t="s">
        <v>75</v>
      </c>
      <c r="Q5365">
        <v>2015</v>
      </c>
      <c r="R5365" s="2">
        <v>42205</v>
      </c>
      <c r="S5365" s="2">
        <v>42227</v>
      </c>
      <c r="T5365" s="2">
        <v>42214</v>
      </c>
      <c r="U5365" s="2">
        <v>42274</v>
      </c>
      <c r="V5365" t="s">
        <v>71</v>
      </c>
      <c r="W5365" t="str">
        <f>"       2015 FE-12125"</f>
        <v xml:space="preserve">       2015 FE-12125</v>
      </c>
      <c r="X5365" s="1">
        <v>2413.1799999999998</v>
      </c>
      <c r="Y5365">
        <v>0</v>
      </c>
      <c r="Z5365"/>
      <c r="AB5365"/>
      <c r="AC5365" s="1">
        <v>1978.02</v>
      </c>
      <c r="AD5365">
        <v>292</v>
      </c>
      <c r="AE5365" s="1">
        <v>577581.84</v>
      </c>
      <c r="AF5365">
        <v>0</v>
      </c>
      <c r="AJ5365">
        <v>0</v>
      </c>
      <c r="AK5365">
        <v>0</v>
      </c>
      <c r="AL5365">
        <v>0</v>
      </c>
      <c r="AM5365">
        <v>0</v>
      </c>
      <c r="AN5365">
        <v>0</v>
      </c>
      <c r="AO5365">
        <v>0</v>
      </c>
      <c r="AP5365" s="2">
        <v>42746</v>
      </c>
      <c r="AQ5365" t="s">
        <v>72</v>
      </c>
      <c r="AR5365" t="s">
        <v>72</v>
      </c>
      <c r="AS5365">
        <v>1841</v>
      </c>
      <c r="AT5365" s="4">
        <v>42566</v>
      </c>
      <c r="AU5365" t="s">
        <v>73</v>
      </c>
      <c r="AV5365">
        <v>1841</v>
      </c>
      <c r="AW5365" s="4">
        <v>42566</v>
      </c>
      <c r="BD5365">
        <v>0</v>
      </c>
      <c r="BN5365" t="s">
        <v>74</v>
      </c>
    </row>
    <row r="5366" spans="1:66" hidden="1">
      <c r="A5366">
        <v>102679</v>
      </c>
      <c r="B5366" s="3" t="s">
        <v>555</v>
      </c>
      <c r="C5366" s="1">
        <v>43300101</v>
      </c>
      <c r="D5366" t="s">
        <v>67</v>
      </c>
      <c r="H5366" t="str">
        <f t="shared" si="569"/>
        <v>04303410726</v>
      </c>
      <c r="I5366" t="str">
        <f t="shared" si="569"/>
        <v>04303410726</v>
      </c>
      <c r="K5366" t="str">
        <f>""</f>
        <v/>
      </c>
      <c r="M5366" t="s">
        <v>68</v>
      </c>
      <c r="N5366" t="str">
        <f t="shared" si="568"/>
        <v>FOR</v>
      </c>
      <c r="O5366" t="s">
        <v>69</v>
      </c>
      <c r="P5366" s="3" t="s">
        <v>75</v>
      </c>
      <c r="Q5366">
        <v>2015</v>
      </c>
      <c r="R5366" s="2">
        <v>42248</v>
      </c>
      <c r="S5366" s="2">
        <v>42262</v>
      </c>
      <c r="T5366" s="2">
        <v>42261</v>
      </c>
      <c r="U5366" s="2">
        <v>42321</v>
      </c>
      <c r="V5366" t="s">
        <v>71</v>
      </c>
      <c r="W5366" t="str">
        <f>"       2015 FE-12598"</f>
        <v xml:space="preserve">       2015 FE-12598</v>
      </c>
      <c r="X5366" s="1">
        <v>2415.6</v>
      </c>
      <c r="Y5366">
        <v>0</v>
      </c>
      <c r="Z5366"/>
      <c r="AB5366"/>
      <c r="AC5366" s="1">
        <v>1980</v>
      </c>
      <c r="AD5366">
        <v>299</v>
      </c>
      <c r="AE5366" s="1">
        <v>592020</v>
      </c>
      <c r="AF5366">
        <v>0</v>
      </c>
      <c r="AG5366" t="s">
        <v>556</v>
      </c>
      <c r="AH5366" t="s">
        <v>557</v>
      </c>
      <c r="AJ5366">
        <v>0</v>
      </c>
      <c r="AK5366">
        <v>0</v>
      </c>
      <c r="AL5366">
        <v>0</v>
      </c>
      <c r="AM5366">
        <v>0</v>
      </c>
      <c r="AN5366">
        <v>0</v>
      </c>
      <c r="AO5366">
        <v>0</v>
      </c>
      <c r="AP5366" s="2">
        <v>42746</v>
      </c>
      <c r="AQ5366" t="s">
        <v>72</v>
      </c>
      <c r="AR5366" t="s">
        <v>72</v>
      </c>
      <c r="AS5366">
        <v>2344</v>
      </c>
      <c r="AT5366" s="4">
        <v>42620</v>
      </c>
      <c r="AU5366" t="s">
        <v>73</v>
      </c>
      <c r="AV5366">
        <v>2344</v>
      </c>
      <c r="AW5366" s="4">
        <v>42620</v>
      </c>
      <c r="BD5366">
        <v>0</v>
      </c>
      <c r="BN5366" t="s">
        <v>74</v>
      </c>
    </row>
    <row r="5367" spans="1:66" hidden="1">
      <c r="A5367">
        <v>102679</v>
      </c>
      <c r="B5367" s="3" t="s">
        <v>555</v>
      </c>
      <c r="C5367" s="1">
        <v>43300101</v>
      </c>
      <c r="D5367" t="s">
        <v>67</v>
      </c>
      <c r="H5367" t="str">
        <f t="shared" si="569"/>
        <v>04303410726</v>
      </c>
      <c r="I5367" t="str">
        <f t="shared" si="569"/>
        <v>04303410726</v>
      </c>
      <c r="K5367" t="str">
        <f>""</f>
        <v/>
      </c>
      <c r="M5367" t="s">
        <v>68</v>
      </c>
      <c r="N5367" t="str">
        <f t="shared" si="568"/>
        <v>FOR</v>
      </c>
      <c r="O5367" t="s">
        <v>69</v>
      </c>
      <c r="P5367" s="3" t="s">
        <v>75</v>
      </c>
      <c r="Q5367">
        <v>2015</v>
      </c>
      <c r="R5367" s="2">
        <v>42276</v>
      </c>
      <c r="S5367" s="2">
        <v>42291</v>
      </c>
      <c r="T5367" s="2">
        <v>42290</v>
      </c>
      <c r="U5367" s="2">
        <v>42350</v>
      </c>
      <c r="V5367" t="s">
        <v>71</v>
      </c>
      <c r="W5367" t="str">
        <f>"       2015 FE-13208"</f>
        <v xml:space="preserve">       2015 FE-13208</v>
      </c>
      <c r="X5367" s="1">
        <v>2413.1799999999998</v>
      </c>
      <c r="Y5367">
        <v>0</v>
      </c>
      <c r="Z5367"/>
      <c r="AB5367"/>
      <c r="AC5367" s="1">
        <v>1978.02</v>
      </c>
      <c r="AD5367">
        <v>270</v>
      </c>
      <c r="AE5367" s="1">
        <v>534065.4</v>
      </c>
      <c r="AF5367">
        <v>0</v>
      </c>
      <c r="AJ5367">
        <v>0</v>
      </c>
      <c r="AK5367">
        <v>0</v>
      </c>
      <c r="AL5367">
        <v>0</v>
      </c>
      <c r="AM5367">
        <v>0</v>
      </c>
      <c r="AN5367">
        <v>0</v>
      </c>
      <c r="AO5367">
        <v>0</v>
      </c>
      <c r="AP5367" s="2">
        <v>42746</v>
      </c>
      <c r="AQ5367" t="s">
        <v>72</v>
      </c>
      <c r="AR5367" t="s">
        <v>72</v>
      </c>
      <c r="AS5367">
        <v>2344</v>
      </c>
      <c r="AT5367" s="4">
        <v>42620</v>
      </c>
      <c r="AU5367" t="s">
        <v>73</v>
      </c>
      <c r="AV5367">
        <v>2344</v>
      </c>
      <c r="AW5367" s="4">
        <v>42620</v>
      </c>
      <c r="BD5367">
        <v>0</v>
      </c>
      <c r="BN5367" t="s">
        <v>74</v>
      </c>
    </row>
    <row r="5368" spans="1:66" hidden="1">
      <c r="A5368">
        <v>102679</v>
      </c>
      <c r="B5368" s="3" t="s">
        <v>555</v>
      </c>
      <c r="C5368" s="1">
        <v>43300101</v>
      </c>
      <c r="D5368" t="s">
        <v>67</v>
      </c>
      <c r="H5368" t="str">
        <f t="shared" si="569"/>
        <v>04303410726</v>
      </c>
      <c r="I5368" t="str">
        <f t="shared" si="569"/>
        <v>04303410726</v>
      </c>
      <c r="K5368" t="str">
        <f>""</f>
        <v/>
      </c>
      <c r="M5368" t="s">
        <v>68</v>
      </c>
      <c r="N5368" t="str">
        <f t="shared" si="568"/>
        <v>FOR</v>
      </c>
      <c r="O5368" t="s">
        <v>69</v>
      </c>
      <c r="P5368" s="3" t="s">
        <v>75</v>
      </c>
      <c r="Q5368">
        <v>2015</v>
      </c>
      <c r="R5368" s="2">
        <v>42276</v>
      </c>
      <c r="S5368" s="2">
        <v>42291</v>
      </c>
      <c r="T5368" s="2">
        <v>42290</v>
      </c>
      <c r="U5368" s="2">
        <v>42350</v>
      </c>
      <c r="V5368" t="s">
        <v>71</v>
      </c>
      <c r="W5368" t="str">
        <f>"       2015 FE-13209"</f>
        <v xml:space="preserve">       2015 FE-13209</v>
      </c>
      <c r="X5368" s="1">
        <v>2415.6</v>
      </c>
      <c r="Y5368">
        <v>0</v>
      </c>
      <c r="Z5368"/>
      <c r="AB5368"/>
      <c r="AC5368" s="1">
        <v>1980</v>
      </c>
      <c r="AD5368">
        <v>270</v>
      </c>
      <c r="AE5368" s="1">
        <v>534600</v>
      </c>
      <c r="AF5368">
        <v>0</v>
      </c>
      <c r="AG5368" t="s">
        <v>556</v>
      </c>
      <c r="AH5368" t="s">
        <v>557</v>
      </c>
      <c r="AJ5368">
        <v>0</v>
      </c>
      <c r="AK5368">
        <v>0</v>
      </c>
      <c r="AL5368">
        <v>0</v>
      </c>
      <c r="AM5368">
        <v>0</v>
      </c>
      <c r="AN5368">
        <v>0</v>
      </c>
      <c r="AO5368">
        <v>0</v>
      </c>
      <c r="AP5368" s="2">
        <v>42746</v>
      </c>
      <c r="AQ5368" t="s">
        <v>72</v>
      </c>
      <c r="AR5368" t="s">
        <v>72</v>
      </c>
      <c r="AS5368">
        <v>2344</v>
      </c>
      <c r="AT5368" s="4">
        <v>42620</v>
      </c>
      <c r="AU5368" t="s">
        <v>73</v>
      </c>
      <c r="AV5368">
        <v>2344</v>
      </c>
      <c r="AW5368" s="4">
        <v>42620</v>
      </c>
      <c r="BD5368">
        <v>0</v>
      </c>
      <c r="BN5368" t="s">
        <v>74</v>
      </c>
    </row>
    <row r="5369" spans="1:66">
      <c r="A5369">
        <v>102679</v>
      </c>
      <c r="B5369" s="3" t="s">
        <v>555</v>
      </c>
      <c r="C5369" s="1">
        <v>43300101</v>
      </c>
      <c r="D5369" t="s">
        <v>67</v>
      </c>
      <c r="H5369" t="str">
        <f t="shared" si="569"/>
        <v>04303410726</v>
      </c>
      <c r="I5369" t="str">
        <f t="shared" si="569"/>
        <v>04303410726</v>
      </c>
      <c r="K5369" t="str">
        <f>""</f>
        <v/>
      </c>
      <c r="M5369" t="s">
        <v>68</v>
      </c>
      <c r="N5369" t="str">
        <f t="shared" si="568"/>
        <v>FOR</v>
      </c>
      <c r="O5369" t="s">
        <v>69</v>
      </c>
      <c r="P5369" s="3" t="s">
        <v>75</v>
      </c>
      <c r="Q5369">
        <v>2015</v>
      </c>
      <c r="R5369" s="2">
        <v>42313</v>
      </c>
      <c r="S5369" s="2">
        <v>42325</v>
      </c>
      <c r="T5369" s="2">
        <v>42324</v>
      </c>
      <c r="U5369" s="2">
        <v>42384</v>
      </c>
      <c r="V5369" t="s">
        <v>71</v>
      </c>
      <c r="W5369" t="str">
        <f>"       2015 FE-13961"</f>
        <v xml:space="preserve">       2015 FE-13961</v>
      </c>
      <c r="X5369" s="1">
        <v>2413.1799999999998</v>
      </c>
      <c r="Y5369">
        <v>0</v>
      </c>
      <c r="Z5369" s="5">
        <v>1978.02</v>
      </c>
      <c r="AA5369">
        <v>299</v>
      </c>
      <c r="AB5369" s="5">
        <v>591427.98</v>
      </c>
      <c r="AC5369" s="1">
        <v>1978.02</v>
      </c>
      <c r="AD5369">
        <v>299</v>
      </c>
      <c r="AE5369" s="1">
        <v>591427.98</v>
      </c>
      <c r="AF5369">
        <v>0</v>
      </c>
      <c r="AJ5369">
        <v>0</v>
      </c>
      <c r="AK5369">
        <v>0</v>
      </c>
      <c r="AL5369">
        <v>0</v>
      </c>
      <c r="AM5369">
        <v>0</v>
      </c>
      <c r="AN5369">
        <v>0</v>
      </c>
      <c r="AO5369">
        <v>0</v>
      </c>
      <c r="AP5369" s="2">
        <v>42746</v>
      </c>
      <c r="AQ5369" t="s">
        <v>72</v>
      </c>
      <c r="AR5369" t="s">
        <v>72</v>
      </c>
      <c r="AS5369">
        <v>3014</v>
      </c>
      <c r="AT5369" s="4">
        <v>42683</v>
      </c>
      <c r="AU5369" t="s">
        <v>73</v>
      </c>
      <c r="AV5369">
        <v>3014</v>
      </c>
      <c r="AW5369" s="4">
        <v>42683</v>
      </c>
      <c r="BD5369">
        <v>0</v>
      </c>
      <c r="BN5369" t="s">
        <v>74</v>
      </c>
    </row>
    <row r="5370" spans="1:66">
      <c r="A5370">
        <v>102679</v>
      </c>
      <c r="B5370" s="3" t="s">
        <v>555</v>
      </c>
      <c r="C5370" s="1">
        <v>43300101</v>
      </c>
      <c r="D5370" t="s">
        <v>67</v>
      </c>
      <c r="H5370" t="str">
        <f t="shared" si="569"/>
        <v>04303410726</v>
      </c>
      <c r="I5370" t="str">
        <f t="shared" si="569"/>
        <v>04303410726</v>
      </c>
      <c r="K5370" t="str">
        <f>""</f>
        <v/>
      </c>
      <c r="M5370" t="s">
        <v>68</v>
      </c>
      <c r="N5370" t="str">
        <f t="shared" si="568"/>
        <v>FOR</v>
      </c>
      <c r="O5370" t="s">
        <v>69</v>
      </c>
      <c r="P5370" s="3" t="s">
        <v>75</v>
      </c>
      <c r="Q5370">
        <v>2015</v>
      </c>
      <c r="R5370" s="2">
        <v>42325</v>
      </c>
      <c r="S5370" s="2">
        <v>42338</v>
      </c>
      <c r="T5370" s="2">
        <v>42338</v>
      </c>
      <c r="U5370" s="2">
        <v>42398</v>
      </c>
      <c r="V5370" t="s">
        <v>71</v>
      </c>
      <c r="W5370" t="str">
        <f>"       2015 FE-14132"</f>
        <v xml:space="preserve">       2015 FE-14132</v>
      </c>
      <c r="X5370" s="1">
        <v>2415.6</v>
      </c>
      <c r="Y5370">
        <v>0</v>
      </c>
      <c r="Z5370" s="5">
        <v>1980</v>
      </c>
      <c r="AA5370">
        <v>285</v>
      </c>
      <c r="AB5370" s="5">
        <v>564300</v>
      </c>
      <c r="AC5370" s="1">
        <v>1980</v>
      </c>
      <c r="AD5370">
        <v>285</v>
      </c>
      <c r="AE5370" s="1">
        <v>564300</v>
      </c>
      <c r="AF5370">
        <v>0</v>
      </c>
      <c r="AJ5370">
        <v>0</v>
      </c>
      <c r="AK5370">
        <v>0</v>
      </c>
      <c r="AL5370">
        <v>0</v>
      </c>
      <c r="AM5370">
        <v>0</v>
      </c>
      <c r="AN5370">
        <v>0</v>
      </c>
      <c r="AO5370">
        <v>0</v>
      </c>
      <c r="AP5370" s="2">
        <v>42746</v>
      </c>
      <c r="AQ5370" t="s">
        <v>72</v>
      </c>
      <c r="AR5370" t="s">
        <v>72</v>
      </c>
      <c r="AS5370">
        <v>3014</v>
      </c>
      <c r="AT5370" s="4">
        <v>42683</v>
      </c>
      <c r="AU5370" t="s">
        <v>73</v>
      </c>
      <c r="AV5370">
        <v>3014</v>
      </c>
      <c r="AW5370" s="4">
        <v>42683</v>
      </c>
      <c r="BD5370">
        <v>0</v>
      </c>
      <c r="BN5370" t="s">
        <v>74</v>
      </c>
    </row>
    <row r="5371" spans="1:66">
      <c r="A5371">
        <v>102679</v>
      </c>
      <c r="B5371" s="3" t="s">
        <v>555</v>
      </c>
      <c r="C5371" s="1">
        <v>43300101</v>
      </c>
      <c r="D5371" t="s">
        <v>67</v>
      </c>
      <c r="H5371" t="str">
        <f t="shared" si="569"/>
        <v>04303410726</v>
      </c>
      <c r="I5371" t="str">
        <f t="shared" si="569"/>
        <v>04303410726</v>
      </c>
      <c r="K5371" t="str">
        <f>""</f>
        <v/>
      </c>
      <c r="M5371" t="s">
        <v>68</v>
      </c>
      <c r="N5371" t="str">
        <f t="shared" si="568"/>
        <v>FOR</v>
      </c>
      <c r="O5371" t="s">
        <v>69</v>
      </c>
      <c r="P5371" s="3" t="s">
        <v>75</v>
      </c>
      <c r="Q5371">
        <v>2015</v>
      </c>
      <c r="R5371" s="2">
        <v>42355</v>
      </c>
      <c r="S5371" s="2">
        <v>42368</v>
      </c>
      <c r="T5371" s="2">
        <v>42367</v>
      </c>
      <c r="U5371" s="2">
        <v>42427</v>
      </c>
      <c r="V5371" t="s">
        <v>71</v>
      </c>
      <c r="W5371" t="str">
        <f>"       2015 FE-14706"</f>
        <v xml:space="preserve">       2015 FE-14706</v>
      </c>
      <c r="X5371" s="1">
        <v>2413.1799999999998</v>
      </c>
      <c r="Y5371">
        <v>0</v>
      </c>
      <c r="Z5371" s="5">
        <v>1978.02</v>
      </c>
      <c r="AA5371">
        <v>256</v>
      </c>
      <c r="AB5371" s="5">
        <v>506373.12</v>
      </c>
      <c r="AC5371" s="1">
        <v>1978.02</v>
      </c>
      <c r="AD5371">
        <v>256</v>
      </c>
      <c r="AE5371" s="1">
        <v>506373.12</v>
      </c>
      <c r="AF5371">
        <v>0</v>
      </c>
      <c r="AJ5371">
        <v>0</v>
      </c>
      <c r="AK5371">
        <v>0</v>
      </c>
      <c r="AL5371">
        <v>0</v>
      </c>
      <c r="AM5371">
        <v>0</v>
      </c>
      <c r="AN5371">
        <v>0</v>
      </c>
      <c r="AO5371">
        <v>0</v>
      </c>
      <c r="AP5371" s="2">
        <v>42746</v>
      </c>
      <c r="AQ5371" t="s">
        <v>72</v>
      </c>
      <c r="AR5371" t="s">
        <v>72</v>
      </c>
      <c r="AS5371">
        <v>3014</v>
      </c>
      <c r="AT5371" s="4">
        <v>42683</v>
      </c>
      <c r="AU5371" t="s">
        <v>73</v>
      </c>
      <c r="AV5371">
        <v>3014</v>
      </c>
      <c r="AW5371" s="4">
        <v>42683</v>
      </c>
      <c r="BD5371">
        <v>0</v>
      </c>
      <c r="BN5371" t="s">
        <v>74</v>
      </c>
    </row>
    <row r="5372" spans="1:66">
      <c r="A5372">
        <v>102679</v>
      </c>
      <c r="B5372" s="3" t="s">
        <v>555</v>
      </c>
      <c r="C5372" s="1">
        <v>43300101</v>
      </c>
      <c r="D5372" t="s">
        <v>67</v>
      </c>
      <c r="H5372" t="str">
        <f t="shared" si="569"/>
        <v>04303410726</v>
      </c>
      <c r="I5372" t="str">
        <f t="shared" si="569"/>
        <v>04303410726</v>
      </c>
      <c r="K5372" t="str">
        <f>""</f>
        <v/>
      </c>
      <c r="M5372" t="s">
        <v>68</v>
      </c>
      <c r="N5372" t="str">
        <f t="shared" si="568"/>
        <v>FOR</v>
      </c>
      <c r="O5372" t="s">
        <v>69</v>
      </c>
      <c r="P5372" s="3" t="s">
        <v>75</v>
      </c>
      <c r="Q5372">
        <v>2016</v>
      </c>
      <c r="R5372" s="2">
        <v>42376</v>
      </c>
      <c r="S5372" s="2">
        <v>42390</v>
      </c>
      <c r="T5372" s="2">
        <v>42390</v>
      </c>
      <c r="U5372" s="2">
        <v>42450</v>
      </c>
      <c r="V5372" t="s">
        <v>71</v>
      </c>
      <c r="W5372" t="str">
        <f>"       2016 FE-10002"</f>
        <v xml:space="preserve">       2016 FE-10002</v>
      </c>
      <c r="X5372" s="1">
        <v>2415.6</v>
      </c>
      <c r="Y5372">
        <v>0</v>
      </c>
      <c r="Z5372" s="5">
        <v>1980</v>
      </c>
      <c r="AA5372">
        <v>240</v>
      </c>
      <c r="AB5372" s="5">
        <v>475200</v>
      </c>
      <c r="AC5372" s="1">
        <v>1980</v>
      </c>
      <c r="AD5372">
        <v>240</v>
      </c>
      <c r="AE5372" s="1">
        <v>475200</v>
      </c>
      <c r="AF5372">
        <v>0</v>
      </c>
      <c r="AJ5372">
        <v>0</v>
      </c>
      <c r="AK5372">
        <v>0</v>
      </c>
      <c r="AL5372">
        <v>0</v>
      </c>
      <c r="AM5372" s="1">
        <v>2415.6</v>
      </c>
      <c r="AN5372" s="1">
        <v>2415.6</v>
      </c>
      <c r="AO5372" s="1">
        <v>2415.6</v>
      </c>
      <c r="AP5372" s="2">
        <v>42746</v>
      </c>
      <c r="AQ5372" t="s">
        <v>72</v>
      </c>
      <c r="AR5372" t="s">
        <v>72</v>
      </c>
      <c r="AS5372">
        <v>3155</v>
      </c>
      <c r="AT5372" s="4">
        <v>42690</v>
      </c>
      <c r="AU5372" t="s">
        <v>73</v>
      </c>
      <c r="AV5372">
        <v>3155</v>
      </c>
      <c r="AW5372" s="4">
        <v>42690</v>
      </c>
      <c r="BD5372">
        <v>0</v>
      </c>
      <c r="BN5372" t="s">
        <v>74</v>
      </c>
    </row>
    <row r="5373" spans="1:66">
      <c r="A5373">
        <v>102679</v>
      </c>
      <c r="B5373" s="3" t="s">
        <v>555</v>
      </c>
      <c r="C5373" s="1">
        <v>43300101</v>
      </c>
      <c r="D5373" t="s">
        <v>67</v>
      </c>
      <c r="H5373" t="str">
        <f t="shared" si="569"/>
        <v>04303410726</v>
      </c>
      <c r="I5373" t="str">
        <f t="shared" si="569"/>
        <v>04303410726</v>
      </c>
      <c r="K5373" t="str">
        <f>""</f>
        <v/>
      </c>
      <c r="M5373" t="s">
        <v>68</v>
      </c>
      <c r="N5373" t="str">
        <f t="shared" si="568"/>
        <v>FOR</v>
      </c>
      <c r="O5373" t="s">
        <v>69</v>
      </c>
      <c r="P5373" s="3" t="s">
        <v>75</v>
      </c>
      <c r="Q5373">
        <v>2016</v>
      </c>
      <c r="R5373" s="2">
        <v>42398</v>
      </c>
      <c r="S5373" s="2">
        <v>42408</v>
      </c>
      <c r="T5373" s="2">
        <v>42408</v>
      </c>
      <c r="U5373" s="2">
        <v>42468</v>
      </c>
      <c r="V5373" t="s">
        <v>71</v>
      </c>
      <c r="W5373" t="str">
        <f>"       2016 FE-10381"</f>
        <v xml:space="preserve">       2016 FE-10381</v>
      </c>
      <c r="X5373">
        <v>434.81</v>
      </c>
      <c r="Y5373">
        <v>0</v>
      </c>
      <c r="Z5373" s="3">
        <v>356.4</v>
      </c>
      <c r="AA5373">
        <v>222</v>
      </c>
      <c r="AB5373" s="5">
        <v>79120.800000000003</v>
      </c>
      <c r="AC5373">
        <v>356.4</v>
      </c>
      <c r="AD5373">
        <v>222</v>
      </c>
      <c r="AE5373" s="1">
        <v>79120.800000000003</v>
      </c>
      <c r="AF5373">
        <v>0</v>
      </c>
      <c r="AJ5373">
        <v>0</v>
      </c>
      <c r="AK5373">
        <v>0</v>
      </c>
      <c r="AL5373">
        <v>0</v>
      </c>
      <c r="AM5373">
        <v>434.81</v>
      </c>
      <c r="AN5373">
        <v>434.81</v>
      </c>
      <c r="AO5373">
        <v>434.81</v>
      </c>
      <c r="AP5373" s="2">
        <v>42746</v>
      </c>
      <c r="AQ5373" t="s">
        <v>72</v>
      </c>
      <c r="AR5373" t="s">
        <v>72</v>
      </c>
      <c r="AS5373">
        <v>3155</v>
      </c>
      <c r="AT5373" s="4">
        <v>42690</v>
      </c>
      <c r="AU5373" t="s">
        <v>73</v>
      </c>
      <c r="AV5373">
        <v>3155</v>
      </c>
      <c r="AW5373" s="4">
        <v>42690</v>
      </c>
      <c r="BD5373">
        <v>0</v>
      </c>
      <c r="BN5373" t="s">
        <v>74</v>
      </c>
    </row>
    <row r="5374" spans="1:66">
      <c r="A5374">
        <v>102679</v>
      </c>
      <c r="B5374" s="3" t="s">
        <v>555</v>
      </c>
      <c r="C5374" s="1">
        <v>43300101</v>
      </c>
      <c r="D5374" t="s">
        <v>67</v>
      </c>
      <c r="H5374" t="str">
        <f t="shared" si="569"/>
        <v>04303410726</v>
      </c>
      <c r="I5374" t="str">
        <f t="shared" si="569"/>
        <v>04303410726</v>
      </c>
      <c r="K5374" t="str">
        <f>""</f>
        <v/>
      </c>
      <c r="M5374" t="s">
        <v>68</v>
      </c>
      <c r="N5374" t="str">
        <f t="shared" si="568"/>
        <v>FOR</v>
      </c>
      <c r="O5374" t="s">
        <v>69</v>
      </c>
      <c r="P5374" s="3" t="s">
        <v>75</v>
      </c>
      <c r="Q5374">
        <v>2016</v>
      </c>
      <c r="R5374" s="2">
        <v>42403</v>
      </c>
      <c r="S5374" s="2">
        <v>42415</v>
      </c>
      <c r="T5374" s="2">
        <v>42412</v>
      </c>
      <c r="U5374" s="2">
        <v>42472</v>
      </c>
      <c r="V5374" t="s">
        <v>71</v>
      </c>
      <c r="W5374" t="str">
        <f>"       2016 FE-10468"</f>
        <v xml:space="preserve">       2016 FE-10468</v>
      </c>
      <c r="X5374" s="1">
        <v>2087.08</v>
      </c>
      <c r="Y5374">
        <v>0</v>
      </c>
      <c r="Z5374" s="5">
        <v>1710.72</v>
      </c>
      <c r="AA5374">
        <v>246</v>
      </c>
      <c r="AB5374" s="5">
        <v>420837.12</v>
      </c>
      <c r="AC5374" s="1">
        <v>1710.72</v>
      </c>
      <c r="AD5374">
        <v>246</v>
      </c>
      <c r="AE5374" s="1">
        <v>420837.12</v>
      </c>
      <c r="AF5374">
        <v>376.36</v>
      </c>
      <c r="AJ5374">
        <v>0</v>
      </c>
      <c r="AK5374">
        <v>0</v>
      </c>
      <c r="AL5374">
        <v>0</v>
      </c>
      <c r="AM5374" s="1">
        <v>2087.08</v>
      </c>
      <c r="AN5374" s="1">
        <v>2087.08</v>
      </c>
      <c r="AO5374" s="1">
        <v>2087.08</v>
      </c>
      <c r="AP5374" s="2">
        <v>42746</v>
      </c>
      <c r="AQ5374" t="s">
        <v>72</v>
      </c>
      <c r="AR5374" t="s">
        <v>72</v>
      </c>
      <c r="AS5374">
        <v>3464</v>
      </c>
      <c r="AT5374" s="4">
        <v>42718</v>
      </c>
      <c r="AU5374" t="s">
        <v>73</v>
      </c>
      <c r="AV5374">
        <v>3464</v>
      </c>
      <c r="AW5374" s="4">
        <v>42718</v>
      </c>
      <c r="BD5374">
        <v>376.36</v>
      </c>
      <c r="BN5374" t="s">
        <v>74</v>
      </c>
    </row>
    <row r="5375" spans="1:66">
      <c r="A5375">
        <v>102679</v>
      </c>
      <c r="B5375" s="3" t="s">
        <v>555</v>
      </c>
      <c r="C5375" s="1">
        <v>43300101</v>
      </c>
      <c r="D5375" t="s">
        <v>67</v>
      </c>
      <c r="H5375" t="str">
        <f t="shared" si="569"/>
        <v>04303410726</v>
      </c>
      <c r="I5375" t="str">
        <f t="shared" si="569"/>
        <v>04303410726</v>
      </c>
      <c r="K5375" t="str">
        <f>""</f>
        <v/>
      </c>
      <c r="M5375" t="s">
        <v>68</v>
      </c>
      <c r="N5375" t="str">
        <f t="shared" si="568"/>
        <v>FOR</v>
      </c>
      <c r="O5375" t="s">
        <v>69</v>
      </c>
      <c r="P5375" s="3" t="s">
        <v>75</v>
      </c>
      <c r="Q5375">
        <v>2016</v>
      </c>
      <c r="R5375" s="2">
        <v>42418</v>
      </c>
      <c r="S5375" s="2">
        <v>42436</v>
      </c>
      <c r="T5375" s="2">
        <v>42430</v>
      </c>
      <c r="U5375" s="2">
        <v>42490</v>
      </c>
      <c r="V5375" t="s">
        <v>71</v>
      </c>
      <c r="W5375" t="str">
        <f>"       2016 FE-10734"</f>
        <v xml:space="preserve">       2016 FE-10734</v>
      </c>
      <c r="X5375" s="1">
        <v>2415.6</v>
      </c>
      <c r="Y5375">
        <v>0</v>
      </c>
      <c r="Z5375" s="5">
        <v>1980</v>
      </c>
      <c r="AA5375">
        <v>228</v>
      </c>
      <c r="AB5375" s="5">
        <v>451440</v>
      </c>
      <c r="AC5375" s="1">
        <v>1980</v>
      </c>
      <c r="AD5375">
        <v>228</v>
      </c>
      <c r="AE5375" s="1">
        <v>451440</v>
      </c>
      <c r="AF5375">
        <v>435.6</v>
      </c>
      <c r="AJ5375">
        <v>0</v>
      </c>
      <c r="AK5375">
        <v>0</v>
      </c>
      <c r="AL5375">
        <v>0</v>
      </c>
      <c r="AM5375" s="1">
        <v>2415.6</v>
      </c>
      <c r="AN5375" s="1">
        <v>2415.6</v>
      </c>
      <c r="AO5375" s="1">
        <v>2415.6</v>
      </c>
      <c r="AP5375" s="2">
        <v>42746</v>
      </c>
      <c r="AQ5375" t="s">
        <v>72</v>
      </c>
      <c r="AR5375" t="s">
        <v>72</v>
      </c>
      <c r="AS5375">
        <v>3464</v>
      </c>
      <c r="AT5375" s="4">
        <v>42718</v>
      </c>
      <c r="AU5375" t="s">
        <v>73</v>
      </c>
      <c r="AV5375">
        <v>3464</v>
      </c>
      <c r="AW5375" s="4">
        <v>42718</v>
      </c>
      <c r="BD5375">
        <v>435.6</v>
      </c>
      <c r="BN5375" t="s">
        <v>74</v>
      </c>
    </row>
    <row r="5376" spans="1:66" hidden="1">
      <c r="A5376">
        <v>102685</v>
      </c>
      <c r="B5376" s="3" t="s">
        <v>558</v>
      </c>
      <c r="C5376" s="1">
        <v>43300101</v>
      </c>
      <c r="D5376" t="s">
        <v>67</v>
      </c>
      <c r="H5376" t="str">
        <f t="shared" ref="H5376:H5408" si="570">"00484960588"</f>
        <v>00484960588</v>
      </c>
      <c r="I5376" t="str">
        <f t="shared" ref="I5376:I5408" si="571">"00905811006"</f>
        <v>00905811006</v>
      </c>
      <c r="K5376" t="str">
        <f>""</f>
        <v/>
      </c>
      <c r="M5376" t="s">
        <v>68</v>
      </c>
      <c r="N5376" t="str">
        <f t="shared" si="568"/>
        <v>FOR</v>
      </c>
      <c r="O5376" t="s">
        <v>69</v>
      </c>
      <c r="P5376" s="3" t="s">
        <v>78</v>
      </c>
      <c r="Q5376">
        <v>2014</v>
      </c>
      <c r="R5376" s="2">
        <v>41780</v>
      </c>
      <c r="S5376" s="2">
        <v>41795</v>
      </c>
      <c r="T5376" s="2">
        <v>41795</v>
      </c>
      <c r="U5376" s="2">
        <v>41885</v>
      </c>
      <c r="V5376" t="s">
        <v>71</v>
      </c>
      <c r="W5376" t="str">
        <f>"          D140151834"</f>
        <v xml:space="preserve">          D140151834</v>
      </c>
      <c r="X5376" s="1">
        <v>70051.679999999993</v>
      </c>
      <c r="Y5376">
        <v>0</v>
      </c>
      <c r="Z5376"/>
      <c r="AB5376"/>
      <c r="AC5376" s="1">
        <v>70051.679999999993</v>
      </c>
      <c r="AD5376">
        <v>645</v>
      </c>
      <c r="AE5376" s="1">
        <v>45183333.600000001</v>
      </c>
      <c r="AF5376">
        <v>0</v>
      </c>
      <c r="AJ5376">
        <v>0</v>
      </c>
      <c r="AK5376">
        <v>0</v>
      </c>
      <c r="AL5376">
        <v>0</v>
      </c>
      <c r="AM5376">
        <v>0</v>
      </c>
      <c r="AN5376">
        <v>0</v>
      </c>
      <c r="AO5376">
        <v>0</v>
      </c>
      <c r="AP5376" s="2">
        <v>42746</v>
      </c>
      <c r="AQ5376" t="s">
        <v>72</v>
      </c>
      <c r="AR5376" t="s">
        <v>72</v>
      </c>
      <c r="AS5376">
        <v>1602</v>
      </c>
      <c r="AT5376" s="4">
        <v>42530</v>
      </c>
      <c r="AU5376" t="s">
        <v>73</v>
      </c>
      <c r="AV5376">
        <v>1602</v>
      </c>
      <c r="AW5376" s="4">
        <v>42530</v>
      </c>
      <c r="BD5376">
        <v>0</v>
      </c>
      <c r="BN5376" t="s">
        <v>74</v>
      </c>
    </row>
    <row r="5377" spans="1:66" hidden="1">
      <c r="A5377">
        <v>102685</v>
      </c>
      <c r="B5377" s="3" t="s">
        <v>558</v>
      </c>
      <c r="C5377" s="1">
        <v>43300101</v>
      </c>
      <c r="D5377" t="s">
        <v>67</v>
      </c>
      <c r="H5377" t="str">
        <f t="shared" si="570"/>
        <v>00484960588</v>
      </c>
      <c r="I5377" t="str">
        <f t="shared" si="571"/>
        <v>00905811006</v>
      </c>
      <c r="K5377" t="str">
        <f>""</f>
        <v/>
      </c>
      <c r="M5377" t="s">
        <v>68</v>
      </c>
      <c r="N5377" t="str">
        <f t="shared" si="568"/>
        <v>FOR</v>
      </c>
      <c r="O5377" t="s">
        <v>69</v>
      </c>
      <c r="P5377" s="3" t="s">
        <v>78</v>
      </c>
      <c r="Q5377">
        <v>2014</v>
      </c>
      <c r="R5377" s="2">
        <v>41810</v>
      </c>
      <c r="S5377" s="2">
        <v>41827</v>
      </c>
      <c r="T5377" s="2">
        <v>41827</v>
      </c>
      <c r="U5377" s="2">
        <v>41917</v>
      </c>
      <c r="V5377" t="s">
        <v>71</v>
      </c>
      <c r="W5377" t="str">
        <f>"          D140179982"</f>
        <v xml:space="preserve">          D140179982</v>
      </c>
      <c r="X5377">
        <v>536.48</v>
      </c>
      <c r="Y5377">
        <v>0</v>
      </c>
      <c r="Z5377"/>
      <c r="AB5377"/>
      <c r="AC5377">
        <v>536.48</v>
      </c>
      <c r="AD5377">
        <v>613</v>
      </c>
      <c r="AE5377" s="1">
        <v>328862.24</v>
      </c>
      <c r="AF5377">
        <v>0</v>
      </c>
      <c r="AJ5377">
        <v>0</v>
      </c>
      <c r="AK5377">
        <v>0</v>
      </c>
      <c r="AL5377">
        <v>0</v>
      </c>
      <c r="AM5377">
        <v>0</v>
      </c>
      <c r="AN5377">
        <v>0</v>
      </c>
      <c r="AO5377">
        <v>0</v>
      </c>
      <c r="AP5377" s="2">
        <v>42746</v>
      </c>
      <c r="AQ5377" t="s">
        <v>72</v>
      </c>
      <c r="AR5377" t="s">
        <v>72</v>
      </c>
      <c r="AS5377">
        <v>1602</v>
      </c>
      <c r="AT5377" s="4">
        <v>42530</v>
      </c>
      <c r="AU5377" t="s">
        <v>73</v>
      </c>
      <c r="AV5377">
        <v>1602</v>
      </c>
      <c r="AW5377" s="4">
        <v>42530</v>
      </c>
      <c r="BD5377">
        <v>0</v>
      </c>
      <c r="BN5377" t="s">
        <v>74</v>
      </c>
    </row>
    <row r="5378" spans="1:66" hidden="1">
      <c r="A5378">
        <v>102685</v>
      </c>
      <c r="B5378" s="3" t="s">
        <v>558</v>
      </c>
      <c r="C5378" s="1">
        <v>43300101</v>
      </c>
      <c r="D5378" t="s">
        <v>67</v>
      </c>
      <c r="H5378" t="str">
        <f t="shared" si="570"/>
        <v>00484960588</v>
      </c>
      <c r="I5378" t="str">
        <f t="shared" si="571"/>
        <v>00905811006</v>
      </c>
      <c r="K5378" t="str">
        <f>""</f>
        <v/>
      </c>
      <c r="M5378" t="s">
        <v>68</v>
      </c>
      <c r="N5378" t="str">
        <f t="shared" si="568"/>
        <v>FOR</v>
      </c>
      <c r="O5378" t="s">
        <v>69</v>
      </c>
      <c r="P5378" s="3" t="s">
        <v>78</v>
      </c>
      <c r="Q5378">
        <v>2014</v>
      </c>
      <c r="R5378" s="2">
        <v>41810</v>
      </c>
      <c r="S5378" s="2">
        <v>41821</v>
      </c>
      <c r="T5378" s="2">
        <v>41821</v>
      </c>
      <c r="U5378" s="2">
        <v>41911</v>
      </c>
      <c r="V5378" t="s">
        <v>71</v>
      </c>
      <c r="W5378" t="str">
        <f>"          D140180127"</f>
        <v xml:space="preserve">          D140180127</v>
      </c>
      <c r="X5378" s="1">
        <v>11898.04</v>
      </c>
      <c r="Y5378">
        <v>0</v>
      </c>
      <c r="Z5378"/>
      <c r="AB5378"/>
      <c r="AC5378" s="1">
        <v>11898.04</v>
      </c>
      <c r="AD5378">
        <v>619</v>
      </c>
      <c r="AE5378" s="1">
        <v>7364886.7599999998</v>
      </c>
      <c r="AF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 s="2">
        <v>42746</v>
      </c>
      <c r="AQ5378" t="s">
        <v>72</v>
      </c>
      <c r="AR5378" t="s">
        <v>72</v>
      </c>
      <c r="AS5378">
        <v>1602</v>
      </c>
      <c r="AT5378" s="4">
        <v>42530</v>
      </c>
      <c r="AU5378" t="s">
        <v>73</v>
      </c>
      <c r="AV5378">
        <v>1602</v>
      </c>
      <c r="AW5378" s="4">
        <v>42530</v>
      </c>
      <c r="BD5378">
        <v>0</v>
      </c>
      <c r="BN5378" t="s">
        <v>74</v>
      </c>
    </row>
    <row r="5379" spans="1:66" hidden="1">
      <c r="A5379">
        <v>102685</v>
      </c>
      <c r="B5379" s="3" t="s">
        <v>558</v>
      </c>
      <c r="C5379" s="1">
        <v>43300101</v>
      </c>
      <c r="D5379" t="s">
        <v>67</v>
      </c>
      <c r="H5379" t="str">
        <f t="shared" si="570"/>
        <v>00484960588</v>
      </c>
      <c r="I5379" t="str">
        <f t="shared" si="571"/>
        <v>00905811006</v>
      </c>
      <c r="K5379" t="str">
        <f>""</f>
        <v/>
      </c>
      <c r="M5379" t="s">
        <v>68</v>
      </c>
      <c r="N5379" t="str">
        <f t="shared" si="568"/>
        <v>FOR</v>
      </c>
      <c r="O5379" t="s">
        <v>69</v>
      </c>
      <c r="P5379" s="3" t="s">
        <v>78</v>
      </c>
      <c r="Q5379">
        <v>2014</v>
      </c>
      <c r="R5379" s="2">
        <v>41810</v>
      </c>
      <c r="S5379" s="2">
        <v>41827</v>
      </c>
      <c r="T5379" s="2">
        <v>41827</v>
      </c>
      <c r="U5379" s="2">
        <v>41917</v>
      </c>
      <c r="V5379" t="s">
        <v>71</v>
      </c>
      <c r="W5379" t="str">
        <f>"          D140180174"</f>
        <v xml:space="preserve">          D140180174</v>
      </c>
      <c r="X5379" s="1">
        <v>5501.76</v>
      </c>
      <c r="Y5379">
        <v>0</v>
      </c>
      <c r="Z5379"/>
      <c r="AB5379"/>
      <c r="AC5379" s="1">
        <v>5501.76</v>
      </c>
      <c r="AD5379">
        <v>613</v>
      </c>
      <c r="AE5379" s="1">
        <v>3372578.88</v>
      </c>
      <c r="AF5379">
        <v>0</v>
      </c>
      <c r="AJ5379">
        <v>0</v>
      </c>
      <c r="AK5379">
        <v>0</v>
      </c>
      <c r="AL5379">
        <v>0</v>
      </c>
      <c r="AM5379">
        <v>0</v>
      </c>
      <c r="AN5379">
        <v>0</v>
      </c>
      <c r="AO5379">
        <v>0</v>
      </c>
      <c r="AP5379" s="2">
        <v>42746</v>
      </c>
      <c r="AQ5379" t="s">
        <v>72</v>
      </c>
      <c r="AR5379" t="s">
        <v>72</v>
      </c>
      <c r="AS5379">
        <v>1602</v>
      </c>
      <c r="AT5379" s="4">
        <v>42530</v>
      </c>
      <c r="AU5379" t="s">
        <v>73</v>
      </c>
      <c r="AV5379">
        <v>1602</v>
      </c>
      <c r="AW5379" s="4">
        <v>42530</v>
      </c>
      <c r="BD5379">
        <v>0</v>
      </c>
      <c r="BN5379" t="s">
        <v>74</v>
      </c>
    </row>
    <row r="5380" spans="1:66" hidden="1">
      <c r="A5380">
        <v>102685</v>
      </c>
      <c r="B5380" s="3" t="s">
        <v>558</v>
      </c>
      <c r="C5380" s="1">
        <v>43300101</v>
      </c>
      <c r="D5380" t="s">
        <v>67</v>
      </c>
      <c r="H5380" t="str">
        <f t="shared" si="570"/>
        <v>00484960588</v>
      </c>
      <c r="I5380" t="str">
        <f t="shared" si="571"/>
        <v>00905811006</v>
      </c>
      <c r="K5380" t="str">
        <f>""</f>
        <v/>
      </c>
      <c r="M5380" t="s">
        <v>68</v>
      </c>
      <c r="N5380" t="str">
        <f t="shared" si="568"/>
        <v>FOR</v>
      </c>
      <c r="O5380" t="s">
        <v>69</v>
      </c>
      <c r="P5380" s="3" t="s">
        <v>78</v>
      </c>
      <c r="Q5380">
        <v>2014</v>
      </c>
      <c r="R5380" s="2">
        <v>41810</v>
      </c>
      <c r="S5380" s="2">
        <v>41827</v>
      </c>
      <c r="T5380" s="2">
        <v>41827</v>
      </c>
      <c r="U5380" s="2">
        <v>41917</v>
      </c>
      <c r="V5380" t="s">
        <v>71</v>
      </c>
      <c r="W5380" t="str">
        <f>"          D140180175"</f>
        <v xml:space="preserve">          D140180175</v>
      </c>
      <c r="X5380" s="1">
        <v>11833.43</v>
      </c>
      <c r="Y5380">
        <v>0</v>
      </c>
      <c r="Z5380"/>
      <c r="AB5380"/>
      <c r="AC5380" s="1">
        <v>11833.43</v>
      </c>
      <c r="AD5380">
        <v>613</v>
      </c>
      <c r="AE5380" s="1">
        <v>7253892.5899999999</v>
      </c>
      <c r="AF5380">
        <v>0</v>
      </c>
      <c r="AJ5380">
        <v>0</v>
      </c>
      <c r="AK5380">
        <v>0</v>
      </c>
      <c r="AL5380">
        <v>0</v>
      </c>
      <c r="AM5380">
        <v>0</v>
      </c>
      <c r="AN5380">
        <v>0</v>
      </c>
      <c r="AO5380">
        <v>0</v>
      </c>
      <c r="AP5380" s="2">
        <v>42746</v>
      </c>
      <c r="AQ5380" t="s">
        <v>72</v>
      </c>
      <c r="AR5380" t="s">
        <v>72</v>
      </c>
      <c r="AS5380">
        <v>1602</v>
      </c>
      <c r="AT5380" s="4">
        <v>42530</v>
      </c>
      <c r="AU5380" t="s">
        <v>73</v>
      </c>
      <c r="AV5380">
        <v>1602</v>
      </c>
      <c r="AW5380" s="4">
        <v>42530</v>
      </c>
      <c r="BD5380">
        <v>0</v>
      </c>
      <c r="BN5380" t="s">
        <v>74</v>
      </c>
    </row>
    <row r="5381" spans="1:66" hidden="1">
      <c r="A5381">
        <v>102685</v>
      </c>
      <c r="B5381" s="3" t="s">
        <v>558</v>
      </c>
      <c r="C5381" s="1">
        <v>43300101</v>
      </c>
      <c r="D5381" t="s">
        <v>67</v>
      </c>
      <c r="H5381" t="str">
        <f t="shared" si="570"/>
        <v>00484960588</v>
      </c>
      <c r="I5381" t="str">
        <f t="shared" si="571"/>
        <v>00905811006</v>
      </c>
      <c r="K5381" t="str">
        <f>""</f>
        <v/>
      </c>
      <c r="M5381" t="s">
        <v>68</v>
      </c>
      <c r="N5381" t="str">
        <f t="shared" si="568"/>
        <v>FOR</v>
      </c>
      <c r="O5381" t="s">
        <v>69</v>
      </c>
      <c r="P5381" s="3" t="s">
        <v>78</v>
      </c>
      <c r="Q5381">
        <v>2014</v>
      </c>
      <c r="R5381" s="2">
        <v>41810</v>
      </c>
      <c r="S5381" s="2">
        <v>41827</v>
      </c>
      <c r="T5381" s="2">
        <v>41827</v>
      </c>
      <c r="U5381" s="2">
        <v>41917</v>
      </c>
      <c r="V5381" t="s">
        <v>71</v>
      </c>
      <c r="W5381" t="str">
        <f>"          D140180176"</f>
        <v xml:space="preserve">          D140180176</v>
      </c>
      <c r="X5381">
        <v>471.38</v>
      </c>
      <c r="Y5381">
        <v>0</v>
      </c>
      <c r="Z5381"/>
      <c r="AB5381"/>
      <c r="AC5381">
        <v>471.38</v>
      </c>
      <c r="AD5381">
        <v>613</v>
      </c>
      <c r="AE5381" s="1">
        <v>288955.94</v>
      </c>
      <c r="AF5381">
        <v>0</v>
      </c>
      <c r="AJ5381">
        <v>0</v>
      </c>
      <c r="AK5381">
        <v>0</v>
      </c>
      <c r="AL5381">
        <v>0</v>
      </c>
      <c r="AM5381">
        <v>0</v>
      </c>
      <c r="AN5381">
        <v>0</v>
      </c>
      <c r="AO5381">
        <v>0</v>
      </c>
      <c r="AP5381" s="2">
        <v>42746</v>
      </c>
      <c r="AQ5381" t="s">
        <v>72</v>
      </c>
      <c r="AR5381" t="s">
        <v>72</v>
      </c>
      <c r="AS5381">
        <v>1602</v>
      </c>
      <c r="AT5381" s="4">
        <v>42530</v>
      </c>
      <c r="AU5381" t="s">
        <v>73</v>
      </c>
      <c r="AV5381">
        <v>1602</v>
      </c>
      <c r="AW5381" s="4">
        <v>42530</v>
      </c>
      <c r="BD5381">
        <v>0</v>
      </c>
      <c r="BN5381" t="s">
        <v>74</v>
      </c>
    </row>
    <row r="5382" spans="1:66" hidden="1">
      <c r="A5382">
        <v>102685</v>
      </c>
      <c r="B5382" s="3" t="s">
        <v>558</v>
      </c>
      <c r="C5382" s="1">
        <v>43300101</v>
      </c>
      <c r="D5382" t="s">
        <v>67</v>
      </c>
      <c r="H5382" t="str">
        <f t="shared" si="570"/>
        <v>00484960588</v>
      </c>
      <c r="I5382" t="str">
        <f t="shared" si="571"/>
        <v>00905811006</v>
      </c>
      <c r="K5382" t="str">
        <f>""</f>
        <v/>
      </c>
      <c r="M5382" t="s">
        <v>68</v>
      </c>
      <c r="N5382" t="str">
        <f t="shared" si="568"/>
        <v>FOR</v>
      </c>
      <c r="O5382" t="s">
        <v>69</v>
      </c>
      <c r="P5382" s="3" t="s">
        <v>78</v>
      </c>
      <c r="Q5382">
        <v>2014</v>
      </c>
      <c r="R5382" s="2">
        <v>41837</v>
      </c>
      <c r="S5382" s="2">
        <v>41848</v>
      </c>
      <c r="T5382" s="2">
        <v>41848</v>
      </c>
      <c r="U5382" s="2">
        <v>41938</v>
      </c>
      <c r="V5382" t="s">
        <v>71</v>
      </c>
      <c r="W5382" t="str">
        <f>"          D140191501"</f>
        <v xml:space="preserve">          D140191501</v>
      </c>
      <c r="X5382" s="1">
        <v>16494.310000000001</v>
      </c>
      <c r="Y5382">
        <v>0</v>
      </c>
      <c r="Z5382"/>
      <c r="AB5382"/>
      <c r="AC5382" s="1">
        <v>16494.310000000001</v>
      </c>
      <c r="AD5382">
        <v>592</v>
      </c>
      <c r="AE5382" s="1">
        <v>9764631.5199999996</v>
      </c>
      <c r="AF5382">
        <v>0</v>
      </c>
      <c r="AJ5382">
        <v>0</v>
      </c>
      <c r="AK5382">
        <v>0</v>
      </c>
      <c r="AL5382">
        <v>0</v>
      </c>
      <c r="AM5382">
        <v>0</v>
      </c>
      <c r="AN5382">
        <v>0</v>
      </c>
      <c r="AO5382">
        <v>0</v>
      </c>
      <c r="AP5382" s="2">
        <v>42746</v>
      </c>
      <c r="AQ5382" t="s">
        <v>72</v>
      </c>
      <c r="AR5382" t="s">
        <v>72</v>
      </c>
      <c r="AS5382">
        <v>1602</v>
      </c>
      <c r="AT5382" s="4">
        <v>42530</v>
      </c>
      <c r="AU5382" t="s">
        <v>73</v>
      </c>
      <c r="AV5382">
        <v>1602</v>
      </c>
      <c r="AW5382" s="4">
        <v>42530</v>
      </c>
      <c r="BD5382">
        <v>0</v>
      </c>
      <c r="BN5382" t="s">
        <v>74</v>
      </c>
    </row>
    <row r="5383" spans="1:66" hidden="1">
      <c r="A5383">
        <v>102685</v>
      </c>
      <c r="B5383" s="3" t="s">
        <v>558</v>
      </c>
      <c r="C5383" s="1">
        <v>43300101</v>
      </c>
      <c r="D5383" t="s">
        <v>67</v>
      </c>
      <c r="H5383" t="str">
        <f t="shared" si="570"/>
        <v>00484960588</v>
      </c>
      <c r="I5383" t="str">
        <f t="shared" si="571"/>
        <v>00905811006</v>
      </c>
      <c r="K5383" t="str">
        <f>""</f>
        <v/>
      </c>
      <c r="M5383" t="s">
        <v>68</v>
      </c>
      <c r="N5383" t="str">
        <f t="shared" si="568"/>
        <v>FOR</v>
      </c>
      <c r="O5383" t="s">
        <v>69</v>
      </c>
      <c r="P5383" s="3" t="s">
        <v>78</v>
      </c>
      <c r="Q5383">
        <v>2014</v>
      </c>
      <c r="R5383" s="2">
        <v>41837</v>
      </c>
      <c r="S5383" s="2">
        <v>41848</v>
      </c>
      <c r="T5383" s="2">
        <v>41848</v>
      </c>
      <c r="U5383" s="2">
        <v>41938</v>
      </c>
      <c r="V5383" t="s">
        <v>71</v>
      </c>
      <c r="W5383" t="str">
        <f>"          D140191683"</f>
        <v xml:space="preserve">          D140191683</v>
      </c>
      <c r="X5383" s="1">
        <v>57560.160000000003</v>
      </c>
      <c r="Y5383">
        <v>0</v>
      </c>
      <c r="Z5383"/>
      <c r="AB5383"/>
      <c r="AC5383" s="1">
        <v>57560.160000000003</v>
      </c>
      <c r="AD5383">
        <v>592</v>
      </c>
      <c r="AE5383" s="1">
        <v>34075614.719999999</v>
      </c>
      <c r="AF5383">
        <v>0</v>
      </c>
      <c r="AJ5383">
        <v>0</v>
      </c>
      <c r="AK5383">
        <v>0</v>
      </c>
      <c r="AL5383">
        <v>0</v>
      </c>
      <c r="AM5383">
        <v>0</v>
      </c>
      <c r="AN5383">
        <v>0</v>
      </c>
      <c r="AO5383">
        <v>0</v>
      </c>
      <c r="AP5383" s="2">
        <v>42746</v>
      </c>
      <c r="AQ5383" t="s">
        <v>72</v>
      </c>
      <c r="AR5383" t="s">
        <v>72</v>
      </c>
      <c r="AS5383">
        <v>1602</v>
      </c>
      <c r="AT5383" s="4">
        <v>42530</v>
      </c>
      <c r="AU5383" t="s">
        <v>73</v>
      </c>
      <c r="AV5383">
        <v>1602</v>
      </c>
      <c r="AW5383" s="4">
        <v>42530</v>
      </c>
      <c r="BD5383">
        <v>0</v>
      </c>
      <c r="BN5383" t="s">
        <v>74</v>
      </c>
    </row>
    <row r="5384" spans="1:66" hidden="1">
      <c r="A5384">
        <v>102685</v>
      </c>
      <c r="B5384" s="3" t="s">
        <v>558</v>
      </c>
      <c r="C5384" s="1">
        <v>43300101</v>
      </c>
      <c r="D5384" t="s">
        <v>67</v>
      </c>
      <c r="H5384" t="str">
        <f t="shared" si="570"/>
        <v>00484960588</v>
      </c>
      <c r="I5384" t="str">
        <f t="shared" si="571"/>
        <v>00905811006</v>
      </c>
      <c r="K5384" t="str">
        <f>""</f>
        <v/>
      </c>
      <c r="M5384" t="s">
        <v>68</v>
      </c>
      <c r="N5384" t="str">
        <f t="shared" si="568"/>
        <v>FOR</v>
      </c>
      <c r="O5384" t="s">
        <v>69</v>
      </c>
      <c r="P5384" s="3" t="s">
        <v>78</v>
      </c>
      <c r="Q5384">
        <v>2014</v>
      </c>
      <c r="R5384" s="2">
        <v>41837</v>
      </c>
      <c r="S5384" s="2">
        <v>41850</v>
      </c>
      <c r="T5384" s="2">
        <v>41850</v>
      </c>
      <c r="U5384" s="2">
        <v>41940</v>
      </c>
      <c r="V5384" t="s">
        <v>71</v>
      </c>
      <c r="W5384" t="str">
        <f>"          D140191684"</f>
        <v xml:space="preserve">          D140191684</v>
      </c>
      <c r="X5384" s="1">
        <v>9556.64</v>
      </c>
      <c r="Y5384">
        <v>0</v>
      </c>
      <c r="Z5384"/>
      <c r="AB5384"/>
      <c r="AC5384" s="1">
        <v>9556.64</v>
      </c>
      <c r="AD5384">
        <v>590</v>
      </c>
      <c r="AE5384" s="1">
        <v>5638417.5999999996</v>
      </c>
      <c r="AF5384">
        <v>0</v>
      </c>
      <c r="AJ5384">
        <v>0</v>
      </c>
      <c r="AK5384">
        <v>0</v>
      </c>
      <c r="AL5384">
        <v>0</v>
      </c>
      <c r="AM5384">
        <v>0</v>
      </c>
      <c r="AN5384">
        <v>0</v>
      </c>
      <c r="AO5384">
        <v>0</v>
      </c>
      <c r="AP5384" s="2">
        <v>42746</v>
      </c>
      <c r="AQ5384" t="s">
        <v>72</v>
      </c>
      <c r="AR5384" t="s">
        <v>72</v>
      </c>
      <c r="AS5384">
        <v>1602</v>
      </c>
      <c r="AT5384" s="4">
        <v>42530</v>
      </c>
      <c r="AU5384" t="s">
        <v>73</v>
      </c>
      <c r="AV5384">
        <v>1602</v>
      </c>
      <c r="AW5384" s="4">
        <v>42530</v>
      </c>
      <c r="BD5384">
        <v>0</v>
      </c>
      <c r="BN5384" t="s">
        <v>74</v>
      </c>
    </row>
    <row r="5385" spans="1:66" hidden="1">
      <c r="A5385">
        <v>102685</v>
      </c>
      <c r="B5385" s="3" t="s">
        <v>558</v>
      </c>
      <c r="C5385" s="1">
        <v>43300101</v>
      </c>
      <c r="D5385" t="s">
        <v>67</v>
      </c>
      <c r="H5385" t="str">
        <f t="shared" si="570"/>
        <v>00484960588</v>
      </c>
      <c r="I5385" t="str">
        <f t="shared" si="571"/>
        <v>00905811006</v>
      </c>
      <c r="K5385" t="str">
        <f>""</f>
        <v/>
      </c>
      <c r="M5385" t="s">
        <v>68</v>
      </c>
      <c r="N5385" t="str">
        <f t="shared" si="568"/>
        <v>FOR</v>
      </c>
      <c r="O5385" t="s">
        <v>69</v>
      </c>
      <c r="P5385" s="3" t="s">
        <v>78</v>
      </c>
      <c r="Q5385">
        <v>2014</v>
      </c>
      <c r="R5385" s="2">
        <v>41837</v>
      </c>
      <c r="S5385" s="2">
        <v>41848</v>
      </c>
      <c r="T5385" s="2">
        <v>41848</v>
      </c>
      <c r="U5385" s="2">
        <v>41938</v>
      </c>
      <c r="V5385" t="s">
        <v>71</v>
      </c>
      <c r="W5385" t="str">
        <f>"          D140191685"</f>
        <v xml:space="preserve">          D140191685</v>
      </c>
      <c r="X5385">
        <v>381.51</v>
      </c>
      <c r="Y5385">
        <v>0</v>
      </c>
      <c r="Z5385"/>
      <c r="AB5385"/>
      <c r="AC5385">
        <v>381.51</v>
      </c>
      <c r="AD5385">
        <v>592</v>
      </c>
      <c r="AE5385" s="1">
        <v>225853.92</v>
      </c>
      <c r="AF5385">
        <v>0</v>
      </c>
      <c r="AJ5385">
        <v>0</v>
      </c>
      <c r="AK5385">
        <v>0</v>
      </c>
      <c r="AL5385">
        <v>0</v>
      </c>
      <c r="AM5385">
        <v>0</v>
      </c>
      <c r="AN5385">
        <v>0</v>
      </c>
      <c r="AO5385">
        <v>0</v>
      </c>
      <c r="AP5385" s="2">
        <v>42746</v>
      </c>
      <c r="AQ5385" t="s">
        <v>72</v>
      </c>
      <c r="AR5385" t="s">
        <v>72</v>
      </c>
      <c r="AS5385">
        <v>1602</v>
      </c>
      <c r="AT5385" s="4">
        <v>42530</v>
      </c>
      <c r="AU5385" t="s">
        <v>73</v>
      </c>
      <c r="AV5385">
        <v>1602</v>
      </c>
      <c r="AW5385" s="4">
        <v>42530</v>
      </c>
      <c r="BD5385">
        <v>0</v>
      </c>
      <c r="BN5385" t="s">
        <v>74</v>
      </c>
    </row>
    <row r="5386" spans="1:66" hidden="1">
      <c r="A5386">
        <v>102685</v>
      </c>
      <c r="B5386" s="3" t="s">
        <v>558</v>
      </c>
      <c r="C5386" s="1">
        <v>43300101</v>
      </c>
      <c r="D5386" t="s">
        <v>67</v>
      </c>
      <c r="H5386" t="str">
        <f t="shared" si="570"/>
        <v>00484960588</v>
      </c>
      <c r="I5386" t="str">
        <f t="shared" si="571"/>
        <v>00905811006</v>
      </c>
      <c r="K5386" t="str">
        <f>""</f>
        <v/>
      </c>
      <c r="M5386" t="s">
        <v>68</v>
      </c>
      <c r="N5386" t="str">
        <f t="shared" si="568"/>
        <v>FOR</v>
      </c>
      <c r="O5386" t="s">
        <v>69</v>
      </c>
      <c r="P5386" s="3" t="s">
        <v>78</v>
      </c>
      <c r="Q5386">
        <v>2014</v>
      </c>
      <c r="R5386" s="2">
        <v>41871</v>
      </c>
      <c r="S5386" s="2">
        <v>41883</v>
      </c>
      <c r="T5386" s="2">
        <v>41883</v>
      </c>
      <c r="U5386" s="2">
        <v>41973</v>
      </c>
      <c r="V5386" t="s">
        <v>71</v>
      </c>
      <c r="W5386" t="str">
        <f>"          D140218798"</f>
        <v xml:space="preserve">          D140218798</v>
      </c>
      <c r="X5386">
        <v>391.36</v>
      </c>
      <c r="Y5386">
        <v>0</v>
      </c>
      <c r="Z5386"/>
      <c r="AB5386"/>
      <c r="AC5386">
        <v>391.36</v>
      </c>
      <c r="AD5386">
        <v>557</v>
      </c>
      <c r="AE5386" s="1">
        <v>217987.52</v>
      </c>
      <c r="AF5386">
        <v>0</v>
      </c>
      <c r="AJ5386">
        <v>0</v>
      </c>
      <c r="AK5386">
        <v>0</v>
      </c>
      <c r="AL5386">
        <v>0</v>
      </c>
      <c r="AM5386">
        <v>0</v>
      </c>
      <c r="AN5386">
        <v>0</v>
      </c>
      <c r="AO5386">
        <v>0</v>
      </c>
      <c r="AP5386" s="2">
        <v>42746</v>
      </c>
      <c r="AQ5386" t="s">
        <v>72</v>
      </c>
      <c r="AR5386" t="s">
        <v>72</v>
      </c>
      <c r="AS5386">
        <v>1602</v>
      </c>
      <c r="AT5386" s="4">
        <v>42530</v>
      </c>
      <c r="AU5386" t="s">
        <v>73</v>
      </c>
      <c r="AV5386">
        <v>1602</v>
      </c>
      <c r="AW5386" s="4">
        <v>42530</v>
      </c>
      <c r="BD5386">
        <v>0</v>
      </c>
      <c r="BN5386" t="s">
        <v>74</v>
      </c>
    </row>
    <row r="5387" spans="1:66" hidden="1">
      <c r="A5387">
        <v>102685</v>
      </c>
      <c r="B5387" s="3" t="s">
        <v>558</v>
      </c>
      <c r="C5387" s="1">
        <v>43300101</v>
      </c>
      <c r="D5387" t="s">
        <v>67</v>
      </c>
      <c r="H5387" t="str">
        <f t="shared" si="570"/>
        <v>00484960588</v>
      </c>
      <c r="I5387" t="str">
        <f t="shared" si="571"/>
        <v>00905811006</v>
      </c>
      <c r="K5387" t="str">
        <f>""</f>
        <v/>
      </c>
      <c r="M5387" t="s">
        <v>68</v>
      </c>
      <c r="N5387" t="str">
        <f t="shared" si="568"/>
        <v>FOR</v>
      </c>
      <c r="O5387" t="s">
        <v>69</v>
      </c>
      <c r="P5387" s="3" t="s">
        <v>78</v>
      </c>
      <c r="Q5387">
        <v>2014</v>
      </c>
      <c r="R5387" s="2">
        <v>41871</v>
      </c>
      <c r="S5387" s="2">
        <v>41883</v>
      </c>
      <c r="T5387" s="2">
        <v>41883</v>
      </c>
      <c r="U5387" s="2">
        <v>41973</v>
      </c>
      <c r="V5387" t="s">
        <v>71</v>
      </c>
      <c r="W5387" t="str">
        <f>"          D140218975"</f>
        <v xml:space="preserve">          D140218975</v>
      </c>
      <c r="X5387">
        <v>335.78</v>
      </c>
      <c r="Y5387">
        <v>0</v>
      </c>
      <c r="Z5387"/>
      <c r="AB5387"/>
      <c r="AC5387">
        <v>335.78</v>
      </c>
      <c r="AD5387">
        <v>557</v>
      </c>
      <c r="AE5387" s="1">
        <v>187029.46</v>
      </c>
      <c r="AF5387">
        <v>0</v>
      </c>
      <c r="AJ5387">
        <v>0</v>
      </c>
      <c r="AK5387">
        <v>0</v>
      </c>
      <c r="AL5387">
        <v>0</v>
      </c>
      <c r="AM5387">
        <v>0</v>
      </c>
      <c r="AN5387">
        <v>0</v>
      </c>
      <c r="AO5387">
        <v>0</v>
      </c>
      <c r="AP5387" s="2">
        <v>42746</v>
      </c>
      <c r="AQ5387" t="s">
        <v>72</v>
      </c>
      <c r="AR5387" t="s">
        <v>72</v>
      </c>
      <c r="AS5387">
        <v>1602</v>
      </c>
      <c r="AT5387" s="4">
        <v>42530</v>
      </c>
      <c r="AU5387" t="s">
        <v>73</v>
      </c>
      <c r="AV5387">
        <v>1602</v>
      </c>
      <c r="AW5387" s="4">
        <v>42530</v>
      </c>
      <c r="BD5387">
        <v>0</v>
      </c>
      <c r="BN5387" t="s">
        <v>74</v>
      </c>
    </row>
    <row r="5388" spans="1:66" hidden="1">
      <c r="A5388">
        <v>102685</v>
      </c>
      <c r="B5388" s="3" t="s">
        <v>558</v>
      </c>
      <c r="C5388" s="1">
        <v>43300101</v>
      </c>
      <c r="D5388" t="s">
        <v>67</v>
      </c>
      <c r="H5388" t="str">
        <f t="shared" si="570"/>
        <v>00484960588</v>
      </c>
      <c r="I5388" t="str">
        <f t="shared" si="571"/>
        <v>00905811006</v>
      </c>
      <c r="K5388" t="str">
        <f>""</f>
        <v/>
      </c>
      <c r="M5388" t="s">
        <v>68</v>
      </c>
      <c r="N5388" t="str">
        <f t="shared" si="568"/>
        <v>FOR</v>
      </c>
      <c r="O5388" t="s">
        <v>69</v>
      </c>
      <c r="P5388" s="3" t="s">
        <v>78</v>
      </c>
      <c r="Q5388">
        <v>2014</v>
      </c>
      <c r="R5388" s="2">
        <v>41900</v>
      </c>
      <c r="S5388" s="2">
        <v>41911</v>
      </c>
      <c r="T5388" s="2">
        <v>41911</v>
      </c>
      <c r="U5388" s="2">
        <v>42001</v>
      </c>
      <c r="V5388" t="s">
        <v>71</v>
      </c>
      <c r="W5388" t="str">
        <f>"          D140262937"</f>
        <v xml:space="preserve">          D140262937</v>
      </c>
      <c r="X5388">
        <v>324.67</v>
      </c>
      <c r="Y5388">
        <v>0</v>
      </c>
      <c r="Z5388"/>
      <c r="AB5388"/>
      <c r="AC5388">
        <v>324.67</v>
      </c>
      <c r="AD5388">
        <v>529</v>
      </c>
      <c r="AE5388" s="1">
        <v>171750.43</v>
      </c>
      <c r="AF5388">
        <v>0</v>
      </c>
      <c r="AJ5388">
        <v>0</v>
      </c>
      <c r="AK5388">
        <v>0</v>
      </c>
      <c r="AL5388">
        <v>0</v>
      </c>
      <c r="AM5388">
        <v>0</v>
      </c>
      <c r="AN5388">
        <v>0</v>
      </c>
      <c r="AO5388">
        <v>0</v>
      </c>
      <c r="AP5388" s="2">
        <v>42746</v>
      </c>
      <c r="AQ5388" t="s">
        <v>72</v>
      </c>
      <c r="AR5388" t="s">
        <v>72</v>
      </c>
      <c r="AS5388">
        <v>1602</v>
      </c>
      <c r="AT5388" s="4">
        <v>42530</v>
      </c>
      <c r="AU5388" t="s">
        <v>73</v>
      </c>
      <c r="AV5388">
        <v>1602</v>
      </c>
      <c r="AW5388" s="4">
        <v>42530</v>
      </c>
      <c r="BD5388">
        <v>0</v>
      </c>
      <c r="BN5388" t="s">
        <v>74</v>
      </c>
    </row>
    <row r="5389" spans="1:66" hidden="1">
      <c r="A5389">
        <v>102685</v>
      </c>
      <c r="B5389" s="3" t="s">
        <v>558</v>
      </c>
      <c r="C5389" s="1">
        <v>43300101</v>
      </c>
      <c r="D5389" t="s">
        <v>67</v>
      </c>
      <c r="H5389" t="str">
        <f t="shared" si="570"/>
        <v>00484960588</v>
      </c>
      <c r="I5389" t="str">
        <f t="shared" si="571"/>
        <v>00905811006</v>
      </c>
      <c r="K5389" t="str">
        <f>""</f>
        <v/>
      </c>
      <c r="M5389" t="s">
        <v>68</v>
      </c>
      <c r="N5389" t="str">
        <f t="shared" si="568"/>
        <v>FOR</v>
      </c>
      <c r="O5389" t="s">
        <v>69</v>
      </c>
      <c r="P5389" s="3" t="s">
        <v>78</v>
      </c>
      <c r="Q5389">
        <v>2014</v>
      </c>
      <c r="R5389" s="2">
        <v>41900</v>
      </c>
      <c r="S5389" s="2">
        <v>41911</v>
      </c>
      <c r="T5389" s="2">
        <v>41911</v>
      </c>
      <c r="U5389" s="2">
        <v>42001</v>
      </c>
      <c r="V5389" t="s">
        <v>71</v>
      </c>
      <c r="W5389" t="str">
        <f>"          D140265171"</f>
        <v xml:space="preserve">          D140265171</v>
      </c>
      <c r="X5389">
        <v>366.73</v>
      </c>
      <c r="Y5389">
        <v>0</v>
      </c>
      <c r="Z5389"/>
      <c r="AB5389"/>
      <c r="AC5389">
        <v>366.73</v>
      </c>
      <c r="AD5389">
        <v>529</v>
      </c>
      <c r="AE5389" s="1">
        <v>194000.17</v>
      </c>
      <c r="AF5389">
        <v>0</v>
      </c>
      <c r="AJ5389">
        <v>0</v>
      </c>
      <c r="AK5389">
        <v>0</v>
      </c>
      <c r="AL5389">
        <v>0</v>
      </c>
      <c r="AM5389">
        <v>0</v>
      </c>
      <c r="AN5389">
        <v>0</v>
      </c>
      <c r="AO5389">
        <v>0</v>
      </c>
      <c r="AP5389" s="2">
        <v>42746</v>
      </c>
      <c r="AQ5389" t="s">
        <v>72</v>
      </c>
      <c r="AR5389" t="s">
        <v>72</v>
      </c>
      <c r="AS5389">
        <v>1602</v>
      </c>
      <c r="AT5389" s="4">
        <v>42530</v>
      </c>
      <c r="AU5389" t="s">
        <v>73</v>
      </c>
      <c r="AV5389">
        <v>1602</v>
      </c>
      <c r="AW5389" s="4">
        <v>42530</v>
      </c>
      <c r="BD5389">
        <v>0</v>
      </c>
      <c r="BN5389" t="s">
        <v>74</v>
      </c>
    </row>
    <row r="5390" spans="1:66" hidden="1">
      <c r="A5390">
        <v>102685</v>
      </c>
      <c r="B5390" s="3" t="s">
        <v>558</v>
      </c>
      <c r="C5390" s="1">
        <v>43300101</v>
      </c>
      <c r="D5390" t="s">
        <v>67</v>
      </c>
      <c r="H5390" t="str">
        <f t="shared" si="570"/>
        <v>00484960588</v>
      </c>
      <c r="I5390" t="str">
        <f t="shared" si="571"/>
        <v>00905811006</v>
      </c>
      <c r="K5390" t="str">
        <f>""</f>
        <v/>
      </c>
      <c r="M5390" t="s">
        <v>68</v>
      </c>
      <c r="N5390" t="str">
        <f t="shared" si="568"/>
        <v>FOR</v>
      </c>
      <c r="O5390" t="s">
        <v>69</v>
      </c>
      <c r="P5390" s="3" t="s">
        <v>70</v>
      </c>
      <c r="Q5390">
        <v>2014</v>
      </c>
      <c r="R5390" s="2">
        <v>41929</v>
      </c>
      <c r="S5390" s="2">
        <v>41941</v>
      </c>
      <c r="T5390" s="2">
        <v>41941</v>
      </c>
      <c r="U5390" s="2">
        <v>42001</v>
      </c>
      <c r="V5390" t="s">
        <v>71</v>
      </c>
      <c r="W5390" t="str">
        <f>"          D140274793"</f>
        <v xml:space="preserve">          D140274793</v>
      </c>
      <c r="X5390" s="1">
        <v>42016.1</v>
      </c>
      <c r="Y5390">
        <v>0</v>
      </c>
      <c r="Z5390"/>
      <c r="AB5390"/>
      <c r="AC5390" s="1">
        <v>42016.1</v>
      </c>
      <c r="AD5390">
        <v>529</v>
      </c>
      <c r="AE5390" s="1">
        <v>22226516.899999999</v>
      </c>
      <c r="AF5390">
        <v>0</v>
      </c>
      <c r="AJ5390">
        <v>0</v>
      </c>
      <c r="AK5390">
        <v>0</v>
      </c>
      <c r="AL5390">
        <v>0</v>
      </c>
      <c r="AM5390">
        <v>0</v>
      </c>
      <c r="AN5390">
        <v>0</v>
      </c>
      <c r="AO5390">
        <v>0</v>
      </c>
      <c r="AP5390" s="2">
        <v>42746</v>
      </c>
      <c r="AQ5390" t="s">
        <v>72</v>
      </c>
      <c r="AR5390" t="s">
        <v>72</v>
      </c>
      <c r="AS5390">
        <v>1602</v>
      </c>
      <c r="AT5390" s="4">
        <v>42530</v>
      </c>
      <c r="AU5390" t="s">
        <v>73</v>
      </c>
      <c r="AV5390">
        <v>1602</v>
      </c>
      <c r="AW5390" s="4">
        <v>42530</v>
      </c>
      <c r="BD5390">
        <v>0</v>
      </c>
      <c r="BN5390" t="s">
        <v>74</v>
      </c>
    </row>
    <row r="5391" spans="1:66" hidden="1">
      <c r="A5391">
        <v>102685</v>
      </c>
      <c r="B5391" s="3" t="s">
        <v>558</v>
      </c>
      <c r="C5391" s="1">
        <v>43300101</v>
      </c>
      <c r="D5391" t="s">
        <v>67</v>
      </c>
      <c r="H5391" t="str">
        <f t="shared" si="570"/>
        <v>00484960588</v>
      </c>
      <c r="I5391" t="str">
        <f t="shared" si="571"/>
        <v>00905811006</v>
      </c>
      <c r="K5391" t="str">
        <f>""</f>
        <v/>
      </c>
      <c r="M5391" t="s">
        <v>68</v>
      </c>
      <c r="N5391" t="str">
        <f t="shared" si="568"/>
        <v>FOR</v>
      </c>
      <c r="O5391" t="s">
        <v>69</v>
      </c>
      <c r="P5391" s="3" t="s">
        <v>70</v>
      </c>
      <c r="Q5391">
        <v>2014</v>
      </c>
      <c r="R5391" s="2">
        <v>41929</v>
      </c>
      <c r="S5391" s="2">
        <v>41941</v>
      </c>
      <c r="T5391" s="2">
        <v>41941</v>
      </c>
      <c r="U5391" s="2">
        <v>42001</v>
      </c>
      <c r="V5391" t="s">
        <v>71</v>
      </c>
      <c r="W5391" t="str">
        <f>"          D140274839"</f>
        <v xml:space="preserve">          D140274839</v>
      </c>
      <c r="X5391">
        <v>423.79</v>
      </c>
      <c r="Y5391">
        <v>0</v>
      </c>
      <c r="Z5391"/>
      <c r="AB5391"/>
      <c r="AC5391">
        <v>423.79</v>
      </c>
      <c r="AD5391">
        <v>529</v>
      </c>
      <c r="AE5391" s="1">
        <v>224184.91</v>
      </c>
      <c r="AF5391">
        <v>0</v>
      </c>
      <c r="AJ5391">
        <v>0</v>
      </c>
      <c r="AK5391">
        <v>0</v>
      </c>
      <c r="AL5391">
        <v>0</v>
      </c>
      <c r="AM5391">
        <v>0</v>
      </c>
      <c r="AN5391">
        <v>0</v>
      </c>
      <c r="AO5391">
        <v>0</v>
      </c>
      <c r="AP5391" s="2">
        <v>42746</v>
      </c>
      <c r="AQ5391" t="s">
        <v>72</v>
      </c>
      <c r="AR5391" t="s">
        <v>72</v>
      </c>
      <c r="AS5391">
        <v>1602</v>
      </c>
      <c r="AT5391" s="4">
        <v>42530</v>
      </c>
      <c r="AU5391" t="s">
        <v>73</v>
      </c>
      <c r="AV5391">
        <v>1602</v>
      </c>
      <c r="AW5391" s="4">
        <v>42530</v>
      </c>
      <c r="BD5391">
        <v>0</v>
      </c>
      <c r="BN5391" t="s">
        <v>74</v>
      </c>
    </row>
    <row r="5392" spans="1:66" hidden="1">
      <c r="A5392">
        <v>102685</v>
      </c>
      <c r="B5392" s="3" t="s">
        <v>558</v>
      </c>
      <c r="C5392" s="1">
        <v>43300101</v>
      </c>
      <c r="D5392" t="s">
        <v>67</v>
      </c>
      <c r="H5392" t="str">
        <f t="shared" si="570"/>
        <v>00484960588</v>
      </c>
      <c r="I5392" t="str">
        <f t="shared" si="571"/>
        <v>00905811006</v>
      </c>
      <c r="K5392" t="str">
        <f>""</f>
        <v/>
      </c>
      <c r="M5392" t="s">
        <v>68</v>
      </c>
      <c r="N5392" t="str">
        <f t="shared" si="568"/>
        <v>FOR</v>
      </c>
      <c r="O5392" t="s">
        <v>69</v>
      </c>
      <c r="P5392" s="3" t="s">
        <v>70</v>
      </c>
      <c r="Q5392">
        <v>2014</v>
      </c>
      <c r="R5392" s="2">
        <v>41929</v>
      </c>
      <c r="S5392" s="2">
        <v>41941</v>
      </c>
      <c r="T5392" s="2">
        <v>41941</v>
      </c>
      <c r="U5392" s="2">
        <v>42001</v>
      </c>
      <c r="V5392" t="s">
        <v>71</v>
      </c>
      <c r="W5392" t="str">
        <f>"          D140276471"</f>
        <v xml:space="preserve">          D140276471</v>
      </c>
      <c r="X5392" s="1">
        <v>2732.53</v>
      </c>
      <c r="Y5392">
        <v>0</v>
      </c>
      <c r="Z5392"/>
      <c r="AB5392"/>
      <c r="AC5392" s="1">
        <v>2732.53</v>
      </c>
      <c r="AD5392">
        <v>529</v>
      </c>
      <c r="AE5392" s="1">
        <v>1445508.37</v>
      </c>
      <c r="AF5392">
        <v>0</v>
      </c>
      <c r="AJ5392">
        <v>0</v>
      </c>
      <c r="AK5392">
        <v>0</v>
      </c>
      <c r="AL5392">
        <v>0</v>
      </c>
      <c r="AM5392">
        <v>0</v>
      </c>
      <c r="AN5392">
        <v>0</v>
      </c>
      <c r="AO5392">
        <v>0</v>
      </c>
      <c r="AP5392" s="2">
        <v>42746</v>
      </c>
      <c r="AQ5392" t="s">
        <v>72</v>
      </c>
      <c r="AR5392" t="s">
        <v>72</v>
      </c>
      <c r="AS5392">
        <v>1602</v>
      </c>
      <c r="AT5392" s="4">
        <v>42530</v>
      </c>
      <c r="AU5392" t="s">
        <v>73</v>
      </c>
      <c r="AV5392">
        <v>1602</v>
      </c>
      <c r="AW5392" s="4">
        <v>42530</v>
      </c>
      <c r="BD5392">
        <v>0</v>
      </c>
      <c r="BN5392" t="s">
        <v>74</v>
      </c>
    </row>
    <row r="5393" spans="1:66" hidden="1">
      <c r="A5393">
        <v>102685</v>
      </c>
      <c r="B5393" s="3" t="s">
        <v>558</v>
      </c>
      <c r="C5393" s="1">
        <v>43300101</v>
      </c>
      <c r="D5393" t="s">
        <v>67</v>
      </c>
      <c r="H5393" t="str">
        <f t="shared" si="570"/>
        <v>00484960588</v>
      </c>
      <c r="I5393" t="str">
        <f t="shared" si="571"/>
        <v>00905811006</v>
      </c>
      <c r="K5393" t="str">
        <f>""</f>
        <v/>
      </c>
      <c r="M5393" t="s">
        <v>68</v>
      </c>
      <c r="N5393" t="str">
        <f t="shared" si="568"/>
        <v>FOR</v>
      </c>
      <c r="O5393" t="s">
        <v>69</v>
      </c>
      <c r="P5393" s="3" t="s">
        <v>70</v>
      </c>
      <c r="Q5393">
        <v>2014</v>
      </c>
      <c r="R5393" s="2">
        <v>41960</v>
      </c>
      <c r="S5393" s="2">
        <v>41970</v>
      </c>
      <c r="T5393" s="2">
        <v>41970</v>
      </c>
      <c r="U5393" s="2">
        <v>42030</v>
      </c>
      <c r="V5393" t="s">
        <v>71</v>
      </c>
      <c r="W5393" t="str">
        <f>"          D140300364"</f>
        <v xml:space="preserve">          D140300364</v>
      </c>
      <c r="X5393">
        <v>349.98</v>
      </c>
      <c r="Y5393">
        <v>0</v>
      </c>
      <c r="Z5393"/>
      <c r="AB5393"/>
      <c r="AC5393">
        <v>349.98</v>
      </c>
      <c r="AD5393">
        <v>500</v>
      </c>
      <c r="AE5393" s="1">
        <v>174990</v>
      </c>
      <c r="AF5393">
        <v>0</v>
      </c>
      <c r="AJ5393">
        <v>0</v>
      </c>
      <c r="AK5393">
        <v>0</v>
      </c>
      <c r="AL5393">
        <v>0</v>
      </c>
      <c r="AM5393">
        <v>0</v>
      </c>
      <c r="AN5393">
        <v>0</v>
      </c>
      <c r="AO5393">
        <v>0</v>
      </c>
      <c r="AP5393" s="2">
        <v>42746</v>
      </c>
      <c r="AQ5393" t="s">
        <v>72</v>
      </c>
      <c r="AR5393" t="s">
        <v>72</v>
      </c>
      <c r="AS5393">
        <v>1602</v>
      </c>
      <c r="AT5393" s="4">
        <v>42530</v>
      </c>
      <c r="AU5393" t="s">
        <v>73</v>
      </c>
      <c r="AV5393">
        <v>1602</v>
      </c>
      <c r="AW5393" s="4">
        <v>42530</v>
      </c>
      <c r="BD5393">
        <v>0</v>
      </c>
      <c r="BN5393" t="s">
        <v>74</v>
      </c>
    </row>
    <row r="5394" spans="1:66" hidden="1">
      <c r="A5394">
        <v>102685</v>
      </c>
      <c r="B5394" s="3" t="s">
        <v>558</v>
      </c>
      <c r="C5394" s="1">
        <v>43300101</v>
      </c>
      <c r="D5394" t="s">
        <v>67</v>
      </c>
      <c r="H5394" t="str">
        <f t="shared" si="570"/>
        <v>00484960588</v>
      </c>
      <c r="I5394" t="str">
        <f t="shared" si="571"/>
        <v>00905811006</v>
      </c>
      <c r="K5394" t="str">
        <f>""</f>
        <v/>
      </c>
      <c r="M5394" t="s">
        <v>68</v>
      </c>
      <c r="N5394" t="str">
        <f t="shared" si="568"/>
        <v>FOR</v>
      </c>
      <c r="O5394" t="s">
        <v>69</v>
      </c>
      <c r="P5394" s="3" t="s">
        <v>70</v>
      </c>
      <c r="Q5394">
        <v>2014</v>
      </c>
      <c r="R5394" s="2">
        <v>41960</v>
      </c>
      <c r="S5394" s="2">
        <v>41970</v>
      </c>
      <c r="T5394" s="2">
        <v>41970</v>
      </c>
      <c r="U5394" s="2">
        <v>42030</v>
      </c>
      <c r="V5394" t="s">
        <v>71</v>
      </c>
      <c r="W5394" t="str">
        <f>"          D140300452"</f>
        <v xml:space="preserve">          D140300452</v>
      </c>
      <c r="X5394" s="1">
        <v>11359.05</v>
      </c>
      <c r="Y5394">
        <v>0</v>
      </c>
      <c r="Z5394"/>
      <c r="AB5394"/>
      <c r="AC5394" s="1">
        <v>11359.05</v>
      </c>
      <c r="AD5394">
        <v>500</v>
      </c>
      <c r="AE5394" s="1">
        <v>5679525</v>
      </c>
      <c r="AF5394">
        <v>0</v>
      </c>
      <c r="AJ5394">
        <v>0</v>
      </c>
      <c r="AK5394">
        <v>0</v>
      </c>
      <c r="AL5394">
        <v>0</v>
      </c>
      <c r="AM5394">
        <v>0</v>
      </c>
      <c r="AN5394">
        <v>0</v>
      </c>
      <c r="AO5394">
        <v>0</v>
      </c>
      <c r="AP5394" s="2">
        <v>42746</v>
      </c>
      <c r="AQ5394" t="s">
        <v>72</v>
      </c>
      <c r="AR5394" t="s">
        <v>72</v>
      </c>
      <c r="AS5394">
        <v>1602</v>
      </c>
      <c r="AT5394" s="4">
        <v>42530</v>
      </c>
      <c r="AU5394" t="s">
        <v>73</v>
      </c>
      <c r="AV5394">
        <v>1602</v>
      </c>
      <c r="AW5394" s="4">
        <v>42530</v>
      </c>
      <c r="BD5394">
        <v>0</v>
      </c>
      <c r="BN5394" t="s">
        <v>74</v>
      </c>
    </row>
    <row r="5395" spans="1:66" hidden="1">
      <c r="A5395">
        <v>102685</v>
      </c>
      <c r="B5395" s="3" t="s">
        <v>558</v>
      </c>
      <c r="C5395" s="1">
        <v>43300101</v>
      </c>
      <c r="D5395" t="s">
        <v>67</v>
      </c>
      <c r="H5395" t="str">
        <f t="shared" si="570"/>
        <v>00484960588</v>
      </c>
      <c r="I5395" t="str">
        <f t="shared" si="571"/>
        <v>00905811006</v>
      </c>
      <c r="K5395" t="str">
        <f>""</f>
        <v/>
      </c>
      <c r="M5395" t="s">
        <v>68</v>
      </c>
      <c r="N5395" t="str">
        <f t="shared" si="568"/>
        <v>FOR</v>
      </c>
      <c r="O5395" t="s">
        <v>69</v>
      </c>
      <c r="P5395" s="3" t="s">
        <v>70</v>
      </c>
      <c r="Q5395">
        <v>2014</v>
      </c>
      <c r="R5395" s="2">
        <v>41960</v>
      </c>
      <c r="S5395" s="2">
        <v>41974</v>
      </c>
      <c r="T5395" s="2">
        <v>41974</v>
      </c>
      <c r="U5395" s="2">
        <v>42034</v>
      </c>
      <c r="V5395" t="s">
        <v>71</v>
      </c>
      <c r="W5395" t="str">
        <f>"          D140300491"</f>
        <v xml:space="preserve">          D140300491</v>
      </c>
      <c r="X5395" s="1">
        <v>5384.75</v>
      </c>
      <c r="Y5395">
        <v>0</v>
      </c>
      <c r="Z5395"/>
      <c r="AB5395"/>
      <c r="AC5395" s="1">
        <v>5384.75</v>
      </c>
      <c r="AD5395">
        <v>496</v>
      </c>
      <c r="AE5395" s="1">
        <v>2670836</v>
      </c>
      <c r="AF5395">
        <v>0</v>
      </c>
      <c r="AJ5395">
        <v>0</v>
      </c>
      <c r="AK5395">
        <v>0</v>
      </c>
      <c r="AL5395">
        <v>0</v>
      </c>
      <c r="AM5395">
        <v>0</v>
      </c>
      <c r="AN5395">
        <v>0</v>
      </c>
      <c r="AO5395">
        <v>0</v>
      </c>
      <c r="AP5395" s="2">
        <v>42746</v>
      </c>
      <c r="AQ5395" t="s">
        <v>72</v>
      </c>
      <c r="AR5395" t="s">
        <v>72</v>
      </c>
      <c r="AS5395">
        <v>1602</v>
      </c>
      <c r="AT5395" s="4">
        <v>42530</v>
      </c>
      <c r="AU5395" t="s">
        <v>73</v>
      </c>
      <c r="AV5395">
        <v>1602</v>
      </c>
      <c r="AW5395" s="4">
        <v>42530</v>
      </c>
      <c r="BD5395">
        <v>0</v>
      </c>
      <c r="BN5395" t="s">
        <v>74</v>
      </c>
    </row>
    <row r="5396" spans="1:66" hidden="1">
      <c r="A5396">
        <v>102685</v>
      </c>
      <c r="B5396" s="3" t="s">
        <v>558</v>
      </c>
      <c r="C5396" s="1">
        <v>43300101</v>
      </c>
      <c r="D5396" t="s">
        <v>67</v>
      </c>
      <c r="H5396" t="str">
        <f t="shared" si="570"/>
        <v>00484960588</v>
      </c>
      <c r="I5396" t="str">
        <f t="shared" si="571"/>
        <v>00905811006</v>
      </c>
      <c r="K5396" t="str">
        <f>""</f>
        <v/>
      </c>
      <c r="M5396" t="s">
        <v>68</v>
      </c>
      <c r="N5396" t="str">
        <f t="shared" si="568"/>
        <v>FOR</v>
      </c>
      <c r="O5396" t="s">
        <v>69</v>
      </c>
      <c r="P5396" s="3" t="s">
        <v>70</v>
      </c>
      <c r="Q5396">
        <v>2014</v>
      </c>
      <c r="R5396" s="2">
        <v>41960</v>
      </c>
      <c r="S5396" s="2">
        <v>41970</v>
      </c>
      <c r="T5396" s="2">
        <v>41970</v>
      </c>
      <c r="U5396" s="2">
        <v>42030</v>
      </c>
      <c r="V5396" t="s">
        <v>71</v>
      </c>
      <c r="W5396" t="str">
        <f>"          D140300492"</f>
        <v xml:space="preserve">          D140300492</v>
      </c>
      <c r="X5396" s="1">
        <v>11840.41</v>
      </c>
      <c r="Y5396">
        <v>0</v>
      </c>
      <c r="Z5396"/>
      <c r="AB5396"/>
      <c r="AC5396" s="1">
        <v>11840.41</v>
      </c>
      <c r="AD5396">
        <v>500</v>
      </c>
      <c r="AE5396" s="1">
        <v>5920205</v>
      </c>
      <c r="AF5396">
        <v>0</v>
      </c>
      <c r="AJ5396">
        <v>0</v>
      </c>
      <c r="AK5396">
        <v>0</v>
      </c>
      <c r="AL5396">
        <v>0</v>
      </c>
      <c r="AM5396">
        <v>0</v>
      </c>
      <c r="AN5396">
        <v>0</v>
      </c>
      <c r="AO5396">
        <v>0</v>
      </c>
      <c r="AP5396" s="2">
        <v>42746</v>
      </c>
      <c r="AQ5396" t="s">
        <v>72</v>
      </c>
      <c r="AR5396" t="s">
        <v>72</v>
      </c>
      <c r="AS5396">
        <v>1602</v>
      </c>
      <c r="AT5396" s="4">
        <v>42530</v>
      </c>
      <c r="AU5396" t="s">
        <v>73</v>
      </c>
      <c r="AV5396">
        <v>1602</v>
      </c>
      <c r="AW5396" s="4">
        <v>42530</v>
      </c>
      <c r="BD5396">
        <v>0</v>
      </c>
      <c r="BN5396" t="s">
        <v>74</v>
      </c>
    </row>
    <row r="5397" spans="1:66" hidden="1">
      <c r="A5397">
        <v>102685</v>
      </c>
      <c r="B5397" s="3" t="s">
        <v>558</v>
      </c>
      <c r="C5397" s="1">
        <v>43300101</v>
      </c>
      <c r="D5397" t="s">
        <v>67</v>
      </c>
      <c r="H5397" t="str">
        <f t="shared" si="570"/>
        <v>00484960588</v>
      </c>
      <c r="I5397" t="str">
        <f t="shared" si="571"/>
        <v>00905811006</v>
      </c>
      <c r="K5397" t="str">
        <f>""</f>
        <v/>
      </c>
      <c r="M5397" t="s">
        <v>68</v>
      </c>
      <c r="N5397" t="str">
        <f t="shared" si="568"/>
        <v>FOR</v>
      </c>
      <c r="O5397" t="s">
        <v>69</v>
      </c>
      <c r="P5397" s="3" t="s">
        <v>70</v>
      </c>
      <c r="Q5397">
        <v>2014</v>
      </c>
      <c r="R5397" s="2">
        <v>41960</v>
      </c>
      <c r="S5397" s="2">
        <v>41970</v>
      </c>
      <c r="T5397" s="2">
        <v>41970</v>
      </c>
      <c r="U5397" s="2">
        <v>42030</v>
      </c>
      <c r="V5397" t="s">
        <v>71</v>
      </c>
      <c r="W5397" t="str">
        <f>"          D140300493"</f>
        <v xml:space="preserve">          D140300493</v>
      </c>
      <c r="X5397">
        <v>472.01</v>
      </c>
      <c r="Y5397">
        <v>0</v>
      </c>
      <c r="Z5397"/>
      <c r="AB5397"/>
      <c r="AC5397">
        <v>472.01</v>
      </c>
      <c r="AD5397">
        <v>500</v>
      </c>
      <c r="AE5397" s="1">
        <v>236005</v>
      </c>
      <c r="AF5397">
        <v>0</v>
      </c>
      <c r="AJ5397">
        <v>0</v>
      </c>
      <c r="AK5397">
        <v>0</v>
      </c>
      <c r="AL5397">
        <v>0</v>
      </c>
      <c r="AM5397">
        <v>0</v>
      </c>
      <c r="AN5397">
        <v>0</v>
      </c>
      <c r="AO5397">
        <v>0</v>
      </c>
      <c r="AP5397" s="2">
        <v>42746</v>
      </c>
      <c r="AQ5397" t="s">
        <v>72</v>
      </c>
      <c r="AR5397" t="s">
        <v>72</v>
      </c>
      <c r="AS5397">
        <v>1602</v>
      </c>
      <c r="AT5397" s="4">
        <v>42530</v>
      </c>
      <c r="AU5397" t="s">
        <v>73</v>
      </c>
      <c r="AV5397">
        <v>1602</v>
      </c>
      <c r="AW5397" s="4">
        <v>42530</v>
      </c>
      <c r="BD5397">
        <v>0</v>
      </c>
      <c r="BN5397" t="s">
        <v>74</v>
      </c>
    </row>
    <row r="5398" spans="1:66" hidden="1">
      <c r="A5398">
        <v>102685</v>
      </c>
      <c r="B5398" s="3" t="s">
        <v>558</v>
      </c>
      <c r="C5398" s="1">
        <v>43300101</v>
      </c>
      <c r="D5398" t="s">
        <v>67</v>
      </c>
      <c r="H5398" t="str">
        <f t="shared" si="570"/>
        <v>00484960588</v>
      </c>
      <c r="I5398" t="str">
        <f t="shared" si="571"/>
        <v>00905811006</v>
      </c>
      <c r="K5398" t="str">
        <f>""</f>
        <v/>
      </c>
      <c r="M5398" t="s">
        <v>68</v>
      </c>
      <c r="N5398" t="str">
        <f t="shared" si="568"/>
        <v>FOR</v>
      </c>
      <c r="O5398" t="s">
        <v>69</v>
      </c>
      <c r="P5398" s="3" t="s">
        <v>182</v>
      </c>
      <c r="Q5398">
        <v>2016</v>
      </c>
      <c r="R5398" s="2">
        <v>42416</v>
      </c>
      <c r="S5398" s="2">
        <v>42430</v>
      </c>
      <c r="T5398" s="2">
        <v>42419</v>
      </c>
      <c r="U5398" s="2">
        <v>42479</v>
      </c>
      <c r="V5398" t="s">
        <v>71</v>
      </c>
      <c r="W5398" t="str">
        <f>"          P160008139"</f>
        <v xml:space="preserve">          P160008139</v>
      </c>
      <c r="X5398" s="1">
        <v>287037.96999999997</v>
      </c>
      <c r="Y5398" s="1">
        <v>-44632.11</v>
      </c>
      <c r="Z5398"/>
      <c r="AB5398"/>
      <c r="AC5398" s="1">
        <v>242405.86</v>
      </c>
      <c r="AD5398">
        <v>48</v>
      </c>
      <c r="AE5398" s="1">
        <v>11635481.279999999</v>
      </c>
      <c r="AF5398">
        <v>0</v>
      </c>
      <c r="AJ5398">
        <v>0</v>
      </c>
      <c r="AK5398">
        <v>0</v>
      </c>
      <c r="AL5398">
        <v>0</v>
      </c>
      <c r="AM5398" s="1">
        <v>-45243.83</v>
      </c>
      <c r="AN5398" s="1">
        <v>242405.86</v>
      </c>
      <c r="AO5398" s="1">
        <v>242405.86</v>
      </c>
      <c r="AP5398" s="2">
        <v>42746</v>
      </c>
      <c r="AQ5398" t="s">
        <v>72</v>
      </c>
      <c r="AR5398" t="s">
        <v>72</v>
      </c>
      <c r="AS5398">
        <v>1488</v>
      </c>
      <c r="AT5398" s="4">
        <v>42527</v>
      </c>
      <c r="AU5398" t="s">
        <v>73</v>
      </c>
      <c r="AV5398">
        <v>1488</v>
      </c>
      <c r="AW5398" s="4">
        <v>42527</v>
      </c>
      <c r="BD5398">
        <v>0</v>
      </c>
      <c r="BN5398" t="s">
        <v>74</v>
      </c>
    </row>
    <row r="5399" spans="1:66">
      <c r="A5399">
        <v>102685</v>
      </c>
      <c r="B5399" s="3" t="s">
        <v>558</v>
      </c>
      <c r="C5399" s="1">
        <v>43300101</v>
      </c>
      <c r="D5399" t="s">
        <v>67</v>
      </c>
      <c r="H5399" t="str">
        <f t="shared" si="570"/>
        <v>00484960588</v>
      </c>
      <c r="I5399" t="str">
        <f t="shared" si="571"/>
        <v>00905811006</v>
      </c>
      <c r="K5399" t="str">
        <f>""</f>
        <v/>
      </c>
      <c r="M5399" t="s">
        <v>68</v>
      </c>
      <c r="N5399" t="str">
        <f t="shared" si="568"/>
        <v>FOR</v>
      </c>
      <c r="O5399" t="s">
        <v>69</v>
      </c>
      <c r="P5399" s="3" t="s">
        <v>182</v>
      </c>
      <c r="Q5399">
        <v>2016</v>
      </c>
      <c r="R5399" s="2">
        <v>42416</v>
      </c>
      <c r="S5399" s="2">
        <v>42430</v>
      </c>
      <c r="T5399" s="2">
        <v>42419</v>
      </c>
      <c r="U5399" s="2">
        <v>42479</v>
      </c>
      <c r="V5399" t="s">
        <v>71</v>
      </c>
      <c r="W5399" t="str">
        <f>"          P160008794"</f>
        <v xml:space="preserve">          P160008794</v>
      </c>
      <c r="X5399" s="1">
        <v>20407.22</v>
      </c>
      <c r="Y5399" s="1">
        <v>-3495.15</v>
      </c>
      <c r="Z5399" s="5">
        <v>16912.07</v>
      </c>
      <c r="AA5399">
        <v>245</v>
      </c>
      <c r="AB5399" s="5">
        <v>4143457.15</v>
      </c>
      <c r="AC5399" s="1">
        <v>16912.07</v>
      </c>
      <c r="AD5399">
        <v>245</v>
      </c>
      <c r="AE5399" s="1">
        <v>4143457.15</v>
      </c>
      <c r="AF5399">
        <v>0</v>
      </c>
      <c r="AJ5399">
        <v>0</v>
      </c>
      <c r="AK5399">
        <v>0</v>
      </c>
      <c r="AL5399">
        <v>0</v>
      </c>
      <c r="AM5399" s="1">
        <v>-3495.15</v>
      </c>
      <c r="AN5399" s="1">
        <v>16912.07</v>
      </c>
      <c r="AO5399" s="1">
        <v>16912.07</v>
      </c>
      <c r="AP5399" s="2">
        <v>42746</v>
      </c>
      <c r="AQ5399" t="s">
        <v>72</v>
      </c>
      <c r="AR5399" t="s">
        <v>72</v>
      </c>
      <c r="AS5399">
        <v>3649</v>
      </c>
      <c r="AT5399" s="4">
        <v>42724</v>
      </c>
      <c r="AU5399" t="s">
        <v>73</v>
      </c>
      <c r="AV5399">
        <v>3650</v>
      </c>
      <c r="AW5399" s="4">
        <v>42724</v>
      </c>
      <c r="BD5399">
        <v>0</v>
      </c>
      <c r="BN5399" t="s">
        <v>74</v>
      </c>
    </row>
    <row r="5400" spans="1:66">
      <c r="A5400">
        <v>102685</v>
      </c>
      <c r="B5400" s="3" t="s">
        <v>558</v>
      </c>
      <c r="C5400" s="1">
        <v>43300101</v>
      </c>
      <c r="D5400" t="s">
        <v>67</v>
      </c>
      <c r="H5400" t="str">
        <f t="shared" si="570"/>
        <v>00484960588</v>
      </c>
      <c r="I5400" t="str">
        <f t="shared" si="571"/>
        <v>00905811006</v>
      </c>
      <c r="K5400" t="str">
        <f>""</f>
        <v/>
      </c>
      <c r="M5400" t="s">
        <v>68</v>
      </c>
      <c r="N5400" t="str">
        <f t="shared" si="568"/>
        <v>FOR</v>
      </c>
      <c r="O5400" t="s">
        <v>69</v>
      </c>
      <c r="P5400" s="3" t="s">
        <v>182</v>
      </c>
      <c r="Q5400">
        <v>2016</v>
      </c>
      <c r="R5400" s="2">
        <v>42416</v>
      </c>
      <c r="S5400" s="2">
        <v>42430</v>
      </c>
      <c r="T5400" s="2">
        <v>42419</v>
      </c>
      <c r="U5400" s="2">
        <v>42479</v>
      </c>
      <c r="V5400" t="s">
        <v>71</v>
      </c>
      <c r="W5400" t="str">
        <f>"          P160008799"</f>
        <v xml:space="preserve">          P160008799</v>
      </c>
      <c r="X5400" s="1">
        <v>239081.44</v>
      </c>
      <c r="Y5400" s="1">
        <v>-42653.23</v>
      </c>
      <c r="Z5400" s="5">
        <v>196428.21</v>
      </c>
      <c r="AA5400">
        <v>245</v>
      </c>
      <c r="AB5400" s="5">
        <v>48124911.450000003</v>
      </c>
      <c r="AC5400" s="1">
        <v>196428.21</v>
      </c>
      <c r="AD5400">
        <v>245</v>
      </c>
      <c r="AE5400" s="1">
        <v>48124911.450000003</v>
      </c>
      <c r="AF5400">
        <v>0</v>
      </c>
      <c r="AJ5400">
        <v>0</v>
      </c>
      <c r="AK5400">
        <v>0</v>
      </c>
      <c r="AL5400">
        <v>0</v>
      </c>
      <c r="AM5400" s="1">
        <v>-42653.23</v>
      </c>
      <c r="AN5400" s="1">
        <v>196428.21</v>
      </c>
      <c r="AO5400" s="1">
        <v>196428.21</v>
      </c>
      <c r="AP5400" s="2">
        <v>42746</v>
      </c>
      <c r="AQ5400" t="s">
        <v>72</v>
      </c>
      <c r="AR5400" t="s">
        <v>72</v>
      </c>
      <c r="AS5400">
        <v>3649</v>
      </c>
      <c r="AT5400" s="4">
        <v>42724</v>
      </c>
      <c r="AU5400" t="s">
        <v>73</v>
      </c>
      <c r="AV5400">
        <v>3650</v>
      </c>
      <c r="AW5400" s="4">
        <v>42724</v>
      </c>
      <c r="BD5400">
        <v>0</v>
      </c>
      <c r="BN5400" t="s">
        <v>74</v>
      </c>
    </row>
    <row r="5401" spans="1:66">
      <c r="A5401">
        <v>102685</v>
      </c>
      <c r="B5401" s="3" t="s">
        <v>558</v>
      </c>
      <c r="C5401" s="1">
        <v>43300101</v>
      </c>
      <c r="D5401" t="s">
        <v>67</v>
      </c>
      <c r="H5401" t="str">
        <f t="shared" si="570"/>
        <v>00484960588</v>
      </c>
      <c r="I5401" t="str">
        <f t="shared" si="571"/>
        <v>00905811006</v>
      </c>
      <c r="K5401" t="str">
        <f>""</f>
        <v/>
      </c>
      <c r="M5401" t="s">
        <v>68</v>
      </c>
      <c r="N5401" t="str">
        <f t="shared" si="568"/>
        <v>FOR</v>
      </c>
      <c r="O5401" t="s">
        <v>69</v>
      </c>
      <c r="P5401" s="3" t="s">
        <v>236</v>
      </c>
      <c r="Q5401">
        <v>2016</v>
      </c>
      <c r="R5401" s="2">
        <v>42445</v>
      </c>
      <c r="S5401" s="2">
        <v>42464</v>
      </c>
      <c r="T5401" s="2">
        <v>42450</v>
      </c>
      <c r="U5401" s="2">
        <v>42510</v>
      </c>
      <c r="V5401" t="s">
        <v>71</v>
      </c>
      <c r="W5401" t="str">
        <f>"          P160022055"</f>
        <v xml:space="preserve">          P160022055</v>
      </c>
      <c r="X5401" s="1">
        <v>2816.81</v>
      </c>
      <c r="Y5401">
        <v>-507.95</v>
      </c>
      <c r="Z5401" s="5">
        <v>2308.86</v>
      </c>
      <c r="AA5401">
        <v>137</v>
      </c>
      <c r="AB5401" s="5">
        <v>316313.82</v>
      </c>
      <c r="AC5401" s="1">
        <v>2308.86</v>
      </c>
      <c r="AD5401">
        <v>137</v>
      </c>
      <c r="AE5401" s="1">
        <v>316313.82</v>
      </c>
      <c r="AF5401">
        <v>0</v>
      </c>
      <c r="AJ5401">
        <v>0</v>
      </c>
      <c r="AK5401">
        <v>0</v>
      </c>
      <c r="AL5401">
        <v>0</v>
      </c>
      <c r="AM5401" s="1">
        <v>2308.86</v>
      </c>
      <c r="AN5401" s="1">
        <v>2308.86</v>
      </c>
      <c r="AO5401" s="1">
        <v>2308.86</v>
      </c>
      <c r="AP5401" s="2">
        <v>42746</v>
      </c>
      <c r="AQ5401" t="s">
        <v>72</v>
      </c>
      <c r="AR5401" t="s">
        <v>72</v>
      </c>
      <c r="AS5401">
        <v>2642</v>
      </c>
      <c r="AT5401" s="4">
        <v>42647</v>
      </c>
      <c r="AU5401" t="s">
        <v>73</v>
      </c>
      <c r="AV5401">
        <v>2642</v>
      </c>
      <c r="AW5401" s="4">
        <v>42647</v>
      </c>
      <c r="BD5401">
        <v>0</v>
      </c>
      <c r="BN5401" t="s">
        <v>74</v>
      </c>
    </row>
    <row r="5402" spans="1:66">
      <c r="A5402">
        <v>102685</v>
      </c>
      <c r="B5402" s="3" t="s">
        <v>558</v>
      </c>
      <c r="C5402" s="1">
        <v>43300101</v>
      </c>
      <c r="D5402" t="s">
        <v>67</v>
      </c>
      <c r="H5402" t="str">
        <f t="shared" si="570"/>
        <v>00484960588</v>
      </c>
      <c r="I5402" t="str">
        <f t="shared" si="571"/>
        <v>00905811006</v>
      </c>
      <c r="K5402" t="str">
        <f>""</f>
        <v/>
      </c>
      <c r="M5402" t="s">
        <v>68</v>
      </c>
      <c r="N5402" t="str">
        <f t="shared" si="568"/>
        <v>FOR</v>
      </c>
      <c r="O5402" t="s">
        <v>69</v>
      </c>
      <c r="P5402" s="3" t="s">
        <v>236</v>
      </c>
      <c r="Q5402">
        <v>2016</v>
      </c>
      <c r="R5402" s="2">
        <v>42445</v>
      </c>
      <c r="S5402" s="2">
        <v>42464</v>
      </c>
      <c r="T5402" s="2">
        <v>42450</v>
      </c>
      <c r="U5402" s="2">
        <v>42510</v>
      </c>
      <c r="V5402" t="s">
        <v>71</v>
      </c>
      <c r="W5402" t="str">
        <f>"          P160022062"</f>
        <v xml:space="preserve">          P160022062</v>
      </c>
      <c r="X5402" s="1">
        <v>23321.53</v>
      </c>
      <c r="Y5402" s="1">
        <v>-4205.76</v>
      </c>
      <c r="Z5402" s="5">
        <v>19115.77</v>
      </c>
      <c r="AA5402">
        <v>137</v>
      </c>
      <c r="AB5402" s="5">
        <v>2618860.4900000002</v>
      </c>
      <c r="AC5402" s="1">
        <v>19115.77</v>
      </c>
      <c r="AD5402">
        <v>137</v>
      </c>
      <c r="AE5402" s="1">
        <v>2618860.4900000002</v>
      </c>
      <c r="AF5402">
        <v>0</v>
      </c>
      <c r="AJ5402">
        <v>0</v>
      </c>
      <c r="AK5402">
        <v>0</v>
      </c>
      <c r="AL5402">
        <v>0</v>
      </c>
      <c r="AM5402" s="1">
        <v>19115.77</v>
      </c>
      <c r="AN5402" s="1">
        <v>19115.77</v>
      </c>
      <c r="AO5402" s="1">
        <v>19115.77</v>
      </c>
      <c r="AP5402" s="2">
        <v>42746</v>
      </c>
      <c r="AQ5402" t="s">
        <v>72</v>
      </c>
      <c r="AR5402" t="s">
        <v>72</v>
      </c>
      <c r="AS5402">
        <v>2642</v>
      </c>
      <c r="AT5402" s="4">
        <v>42647</v>
      </c>
      <c r="AU5402" t="s">
        <v>73</v>
      </c>
      <c r="AV5402">
        <v>2642</v>
      </c>
      <c r="AW5402" s="4">
        <v>42647</v>
      </c>
      <c r="BD5402">
        <v>0</v>
      </c>
      <c r="BN5402" t="s">
        <v>74</v>
      </c>
    </row>
    <row r="5403" spans="1:66">
      <c r="A5403">
        <v>102685</v>
      </c>
      <c r="B5403" s="3" t="s">
        <v>558</v>
      </c>
      <c r="C5403" s="1">
        <v>43300101</v>
      </c>
      <c r="D5403" t="s">
        <v>67</v>
      </c>
      <c r="H5403" t="str">
        <f t="shared" si="570"/>
        <v>00484960588</v>
      </c>
      <c r="I5403" t="str">
        <f t="shared" si="571"/>
        <v>00905811006</v>
      </c>
      <c r="K5403" t="str">
        <f>""</f>
        <v/>
      </c>
      <c r="M5403" t="s">
        <v>68</v>
      </c>
      <c r="N5403" t="str">
        <f t="shared" si="568"/>
        <v>FOR</v>
      </c>
      <c r="O5403" t="s">
        <v>69</v>
      </c>
      <c r="P5403" s="3" t="s">
        <v>236</v>
      </c>
      <c r="Q5403">
        <v>2016</v>
      </c>
      <c r="R5403" s="2">
        <v>42475</v>
      </c>
      <c r="S5403" s="2">
        <v>42482</v>
      </c>
      <c r="T5403" s="2">
        <v>42482</v>
      </c>
      <c r="U5403" s="2">
        <v>42542</v>
      </c>
      <c r="V5403" t="s">
        <v>71</v>
      </c>
      <c r="W5403" t="str">
        <f>"          P160029970"</f>
        <v xml:space="preserve">          P160029970</v>
      </c>
      <c r="X5403" s="1">
        <v>2468.9499999999998</v>
      </c>
      <c r="Y5403">
        <v>-445.22</v>
      </c>
      <c r="Z5403" s="5">
        <v>2023.73</v>
      </c>
      <c r="AA5403">
        <v>105</v>
      </c>
      <c r="AB5403" s="5">
        <v>212491.65</v>
      </c>
      <c r="AC5403" s="1">
        <v>2023.73</v>
      </c>
      <c r="AD5403">
        <v>105</v>
      </c>
      <c r="AE5403" s="1">
        <v>212491.65</v>
      </c>
      <c r="AF5403">
        <v>0</v>
      </c>
      <c r="AJ5403">
        <v>0</v>
      </c>
      <c r="AK5403">
        <v>0</v>
      </c>
      <c r="AL5403">
        <v>0</v>
      </c>
      <c r="AM5403" s="1">
        <v>2023.73</v>
      </c>
      <c r="AN5403" s="1">
        <v>2023.73</v>
      </c>
      <c r="AO5403" s="1">
        <v>2023.73</v>
      </c>
      <c r="AP5403" s="2">
        <v>42746</v>
      </c>
      <c r="AQ5403" t="s">
        <v>72</v>
      </c>
      <c r="AR5403" t="s">
        <v>72</v>
      </c>
      <c r="AS5403">
        <v>2642</v>
      </c>
      <c r="AT5403" s="4">
        <v>42647</v>
      </c>
      <c r="AU5403" t="s">
        <v>73</v>
      </c>
      <c r="AV5403">
        <v>2642</v>
      </c>
      <c r="AW5403" s="4">
        <v>42647</v>
      </c>
      <c r="BD5403">
        <v>0</v>
      </c>
      <c r="BN5403" t="s">
        <v>74</v>
      </c>
    </row>
    <row r="5404" spans="1:66">
      <c r="A5404">
        <v>102685</v>
      </c>
      <c r="B5404" s="3" t="s">
        <v>558</v>
      </c>
      <c r="C5404" s="1">
        <v>43300101</v>
      </c>
      <c r="D5404" t="s">
        <v>67</v>
      </c>
      <c r="H5404" t="str">
        <f t="shared" si="570"/>
        <v>00484960588</v>
      </c>
      <c r="I5404" t="str">
        <f t="shared" si="571"/>
        <v>00905811006</v>
      </c>
      <c r="K5404" t="str">
        <f>""</f>
        <v/>
      </c>
      <c r="M5404" t="s">
        <v>68</v>
      </c>
      <c r="N5404" t="str">
        <f t="shared" si="568"/>
        <v>FOR</v>
      </c>
      <c r="O5404" t="s">
        <v>69</v>
      </c>
      <c r="P5404" s="3" t="s">
        <v>236</v>
      </c>
      <c r="Q5404">
        <v>2016</v>
      </c>
      <c r="R5404" s="2">
        <v>42475</v>
      </c>
      <c r="S5404" s="2">
        <v>42486</v>
      </c>
      <c r="T5404" s="2">
        <v>42482</v>
      </c>
      <c r="U5404" s="2">
        <v>42542</v>
      </c>
      <c r="V5404" t="s">
        <v>71</v>
      </c>
      <c r="W5404" t="str">
        <f>"          P160029976"</f>
        <v xml:space="preserve">          P160029976</v>
      </c>
      <c r="X5404" s="1">
        <v>17861.400000000001</v>
      </c>
      <c r="Y5404" s="1">
        <v>-3220.91</v>
      </c>
      <c r="Z5404" s="5">
        <v>14640.49</v>
      </c>
      <c r="AA5404">
        <v>105</v>
      </c>
      <c r="AB5404" s="5">
        <v>1537251.45</v>
      </c>
      <c r="AC5404" s="1">
        <v>14640.49</v>
      </c>
      <c r="AD5404">
        <v>105</v>
      </c>
      <c r="AE5404" s="1">
        <v>1537251.45</v>
      </c>
      <c r="AF5404">
        <v>0</v>
      </c>
      <c r="AJ5404">
        <v>0</v>
      </c>
      <c r="AK5404">
        <v>0</v>
      </c>
      <c r="AL5404">
        <v>0</v>
      </c>
      <c r="AM5404" s="1">
        <v>14640.49</v>
      </c>
      <c r="AN5404" s="1">
        <v>14640.49</v>
      </c>
      <c r="AO5404" s="1">
        <v>14640.49</v>
      </c>
      <c r="AP5404" s="2">
        <v>42746</v>
      </c>
      <c r="AQ5404" t="s">
        <v>72</v>
      </c>
      <c r="AR5404" t="s">
        <v>72</v>
      </c>
      <c r="AS5404">
        <v>2642</v>
      </c>
      <c r="AT5404" s="4">
        <v>42647</v>
      </c>
      <c r="AU5404" t="s">
        <v>73</v>
      </c>
      <c r="AV5404">
        <v>2642</v>
      </c>
      <c r="AW5404" s="4">
        <v>42647</v>
      </c>
      <c r="BD5404">
        <v>0</v>
      </c>
      <c r="BN5404" t="s">
        <v>74</v>
      </c>
    </row>
    <row r="5405" spans="1:66" hidden="1">
      <c r="A5405">
        <v>102685</v>
      </c>
      <c r="B5405" s="3" t="s">
        <v>558</v>
      </c>
      <c r="C5405" s="1">
        <v>43300101</v>
      </c>
      <c r="D5405" t="s">
        <v>67</v>
      </c>
      <c r="H5405" t="str">
        <f t="shared" si="570"/>
        <v>00484960588</v>
      </c>
      <c r="I5405" t="str">
        <f t="shared" si="571"/>
        <v>00905811006</v>
      </c>
      <c r="K5405" t="str">
        <f>""</f>
        <v/>
      </c>
      <c r="M5405" t="s">
        <v>68</v>
      </c>
      <c r="N5405" t="str">
        <f t="shared" si="568"/>
        <v>FOR</v>
      </c>
      <c r="O5405" t="s">
        <v>69</v>
      </c>
      <c r="P5405" s="3" t="s">
        <v>236</v>
      </c>
      <c r="Q5405">
        <v>2016</v>
      </c>
      <c r="R5405" s="2">
        <v>42538</v>
      </c>
      <c r="S5405" s="2">
        <v>42548</v>
      </c>
      <c r="T5405" s="2">
        <v>42548</v>
      </c>
      <c r="U5405" s="2">
        <v>42608</v>
      </c>
      <c r="V5405" t="s">
        <v>71</v>
      </c>
      <c r="W5405" t="str">
        <f>"          P160042742"</f>
        <v xml:space="preserve">          P160042742</v>
      </c>
      <c r="X5405" s="1">
        <v>1324.52</v>
      </c>
      <c r="Y5405">
        <v>-212.8</v>
      </c>
      <c r="Z5405"/>
      <c r="AB5405"/>
      <c r="AC5405" s="1">
        <v>1111.72</v>
      </c>
      <c r="AD5405">
        <v>11</v>
      </c>
      <c r="AE5405" s="1">
        <v>12228.92</v>
      </c>
      <c r="AF5405">
        <v>0</v>
      </c>
      <c r="AJ5405">
        <v>0</v>
      </c>
      <c r="AK5405">
        <v>0</v>
      </c>
      <c r="AL5405">
        <v>0</v>
      </c>
      <c r="AM5405" s="1">
        <v>1111.72</v>
      </c>
      <c r="AN5405" s="1">
        <v>1111.72</v>
      </c>
      <c r="AO5405" s="1">
        <v>1111.72</v>
      </c>
      <c r="AP5405" s="2">
        <v>42746</v>
      </c>
      <c r="AQ5405" t="s">
        <v>72</v>
      </c>
      <c r="AR5405" t="s">
        <v>72</v>
      </c>
      <c r="AS5405">
        <v>2302</v>
      </c>
      <c r="AT5405" s="4">
        <v>42619</v>
      </c>
      <c r="AU5405" t="s">
        <v>73</v>
      </c>
      <c r="AV5405">
        <v>2302</v>
      </c>
      <c r="AW5405" s="4">
        <v>42619</v>
      </c>
      <c r="BD5405">
        <v>0</v>
      </c>
      <c r="BN5405" t="s">
        <v>74</v>
      </c>
    </row>
    <row r="5406" spans="1:66" hidden="1">
      <c r="A5406">
        <v>102685</v>
      </c>
      <c r="B5406" s="3" t="s">
        <v>558</v>
      </c>
      <c r="C5406" s="1">
        <v>43300101</v>
      </c>
      <c r="D5406" t="s">
        <v>67</v>
      </c>
      <c r="H5406" t="str">
        <f t="shared" si="570"/>
        <v>00484960588</v>
      </c>
      <c r="I5406" t="str">
        <f t="shared" si="571"/>
        <v>00905811006</v>
      </c>
      <c r="K5406" t="str">
        <f>""</f>
        <v/>
      </c>
      <c r="M5406" t="s">
        <v>68</v>
      </c>
      <c r="N5406" t="str">
        <f t="shared" si="568"/>
        <v>FOR</v>
      </c>
      <c r="O5406" t="s">
        <v>69</v>
      </c>
      <c r="P5406" s="3" t="s">
        <v>236</v>
      </c>
      <c r="Q5406">
        <v>2016</v>
      </c>
      <c r="R5406" s="2">
        <v>42538</v>
      </c>
      <c r="S5406" s="2">
        <v>42543</v>
      </c>
      <c r="T5406" s="2">
        <v>42543</v>
      </c>
      <c r="U5406" s="2">
        <v>42603</v>
      </c>
      <c r="V5406" t="s">
        <v>71</v>
      </c>
      <c r="W5406" t="str">
        <f>"          P160043447"</f>
        <v xml:space="preserve">          P160043447</v>
      </c>
      <c r="X5406" s="1">
        <v>12455.1</v>
      </c>
      <c r="Y5406" s="1">
        <v>-1933.58</v>
      </c>
      <c r="Z5406"/>
      <c r="AB5406"/>
      <c r="AC5406" s="1">
        <v>10521.52</v>
      </c>
      <c r="AD5406">
        <v>16</v>
      </c>
      <c r="AE5406" s="1">
        <v>168344.32000000001</v>
      </c>
      <c r="AF5406">
        <v>0</v>
      </c>
      <c r="AJ5406">
        <v>0</v>
      </c>
      <c r="AK5406">
        <v>0</v>
      </c>
      <c r="AL5406">
        <v>0</v>
      </c>
      <c r="AM5406" s="1">
        <v>10521.52</v>
      </c>
      <c r="AN5406" s="1">
        <v>10521.52</v>
      </c>
      <c r="AO5406" s="1">
        <v>10521.52</v>
      </c>
      <c r="AP5406" s="2">
        <v>42746</v>
      </c>
      <c r="AQ5406" t="s">
        <v>72</v>
      </c>
      <c r="AR5406" t="s">
        <v>72</v>
      </c>
      <c r="AS5406">
        <v>2302</v>
      </c>
      <c r="AT5406" s="4">
        <v>42619</v>
      </c>
      <c r="AU5406" t="s">
        <v>73</v>
      </c>
      <c r="AV5406">
        <v>2302</v>
      </c>
      <c r="AW5406" s="4">
        <v>42619</v>
      </c>
      <c r="BD5406">
        <v>0</v>
      </c>
      <c r="BN5406" t="s">
        <v>74</v>
      </c>
    </row>
    <row r="5407" spans="1:66">
      <c r="A5407">
        <v>102685</v>
      </c>
      <c r="B5407" s="3" t="s">
        <v>558</v>
      </c>
      <c r="C5407" s="1">
        <v>43300101</v>
      </c>
      <c r="D5407" t="s">
        <v>67</v>
      </c>
      <c r="H5407" t="str">
        <f t="shared" si="570"/>
        <v>00484960588</v>
      </c>
      <c r="I5407" t="str">
        <f t="shared" si="571"/>
        <v>00905811006</v>
      </c>
      <c r="K5407" t="str">
        <f>""</f>
        <v/>
      </c>
      <c r="M5407" t="s">
        <v>68</v>
      </c>
      <c r="N5407" t="str">
        <f t="shared" si="568"/>
        <v>FOR</v>
      </c>
      <c r="O5407" t="s">
        <v>69</v>
      </c>
      <c r="P5407" s="3" t="s">
        <v>236</v>
      </c>
      <c r="Q5407">
        <v>2016</v>
      </c>
      <c r="R5407" s="2">
        <v>42600</v>
      </c>
      <c r="S5407" s="2">
        <v>42612</v>
      </c>
      <c r="T5407" s="2">
        <v>42605</v>
      </c>
      <c r="U5407" s="2">
        <v>42665</v>
      </c>
      <c r="V5407" t="s">
        <v>71</v>
      </c>
      <c r="W5407" t="str">
        <f>"          P160057688"</f>
        <v xml:space="preserve">          P160057688</v>
      </c>
      <c r="X5407" s="1">
        <v>2088.92</v>
      </c>
      <c r="Y5407">
        <v>-376.69</v>
      </c>
      <c r="Z5407" s="5">
        <v>1712.23</v>
      </c>
      <c r="AA5407">
        <v>-18</v>
      </c>
      <c r="AB5407" s="5">
        <v>-30820.14</v>
      </c>
      <c r="AC5407" s="1">
        <v>1712.23</v>
      </c>
      <c r="AD5407">
        <v>-18</v>
      </c>
      <c r="AE5407" s="1">
        <v>-30820.14</v>
      </c>
      <c r="AF5407">
        <v>0</v>
      </c>
      <c r="AJ5407">
        <v>0</v>
      </c>
      <c r="AK5407">
        <v>0</v>
      </c>
      <c r="AL5407">
        <v>0</v>
      </c>
      <c r="AM5407" s="1">
        <v>1712.23</v>
      </c>
      <c r="AN5407" s="1">
        <v>1712.23</v>
      </c>
      <c r="AO5407" s="1">
        <v>1712.23</v>
      </c>
      <c r="AP5407" s="2">
        <v>42746</v>
      </c>
      <c r="AQ5407" t="s">
        <v>72</v>
      </c>
      <c r="AR5407" t="s">
        <v>72</v>
      </c>
      <c r="AS5407">
        <v>2643</v>
      </c>
      <c r="AT5407" s="4">
        <v>42647</v>
      </c>
      <c r="AV5407">
        <v>2643</v>
      </c>
      <c r="AW5407" s="4">
        <v>42647</v>
      </c>
      <c r="BD5407">
        <v>0</v>
      </c>
      <c r="BN5407" t="s">
        <v>74</v>
      </c>
    </row>
    <row r="5408" spans="1:66">
      <c r="A5408">
        <v>102685</v>
      </c>
      <c r="B5408" s="3" t="s">
        <v>558</v>
      </c>
      <c r="C5408" s="1">
        <v>43300101</v>
      </c>
      <c r="D5408" t="s">
        <v>67</v>
      </c>
      <c r="H5408" t="str">
        <f t="shared" si="570"/>
        <v>00484960588</v>
      </c>
      <c r="I5408" t="str">
        <f t="shared" si="571"/>
        <v>00905811006</v>
      </c>
      <c r="K5408" t="str">
        <f>""</f>
        <v/>
      </c>
      <c r="M5408" t="s">
        <v>68</v>
      </c>
      <c r="N5408" t="str">
        <f t="shared" si="568"/>
        <v>FOR</v>
      </c>
      <c r="O5408" t="s">
        <v>69</v>
      </c>
      <c r="P5408" s="3" t="s">
        <v>236</v>
      </c>
      <c r="Q5408">
        <v>2016</v>
      </c>
      <c r="R5408" s="2">
        <v>42671</v>
      </c>
      <c r="S5408" s="2">
        <v>42681</v>
      </c>
      <c r="T5408" s="2">
        <v>42678</v>
      </c>
      <c r="U5408" s="2">
        <v>42738</v>
      </c>
      <c r="V5408" t="s">
        <v>71</v>
      </c>
      <c r="W5408" t="str">
        <f>"          P160071899"</f>
        <v xml:space="preserve">          P160071899</v>
      </c>
      <c r="X5408" s="1">
        <v>217223.02</v>
      </c>
      <c r="Y5408" s="1">
        <v>-37696.870000000003</v>
      </c>
      <c r="Z5408" s="5">
        <v>179526.15</v>
      </c>
      <c r="AA5408">
        <v>-18</v>
      </c>
      <c r="AB5408" s="5">
        <v>-3231470.7</v>
      </c>
      <c r="AC5408" s="1">
        <v>179526.15</v>
      </c>
      <c r="AD5408">
        <v>-18</v>
      </c>
      <c r="AE5408" s="1">
        <v>-3231470.7</v>
      </c>
      <c r="AF5408">
        <v>0</v>
      </c>
      <c r="AJ5408" s="1">
        <v>179526.15</v>
      </c>
      <c r="AK5408" s="1">
        <v>179526.15</v>
      </c>
      <c r="AL5408" s="1">
        <v>179526.15</v>
      </c>
      <c r="AM5408" s="1">
        <v>179526.15</v>
      </c>
      <c r="AN5408" s="1">
        <v>179526.15</v>
      </c>
      <c r="AO5408" s="1">
        <v>179526.15</v>
      </c>
      <c r="AP5408" s="2">
        <v>42746</v>
      </c>
      <c r="AQ5408" t="s">
        <v>72</v>
      </c>
      <c r="AR5408" t="s">
        <v>72</v>
      </c>
      <c r="AS5408">
        <v>3547</v>
      </c>
      <c r="AT5408" s="4">
        <v>42720</v>
      </c>
      <c r="AV5408">
        <v>3547</v>
      </c>
      <c r="AW5408" s="4">
        <v>42720</v>
      </c>
      <c r="BD5408">
        <v>0</v>
      </c>
      <c r="BN5408" t="s">
        <v>74</v>
      </c>
    </row>
    <row r="5409" spans="1:66" hidden="1">
      <c r="A5409">
        <v>102698</v>
      </c>
      <c r="B5409" s="3" t="s">
        <v>559</v>
      </c>
      <c r="C5409" s="1">
        <v>43300101</v>
      </c>
      <c r="D5409" t="s">
        <v>67</v>
      </c>
      <c r="H5409" t="str">
        <f t="shared" ref="H5409:I5428" si="572">"01409770631"</f>
        <v>01409770631</v>
      </c>
      <c r="I5409" t="str">
        <f t="shared" si="572"/>
        <v>01409770631</v>
      </c>
      <c r="K5409" t="str">
        <f>""</f>
        <v/>
      </c>
      <c r="M5409" t="s">
        <v>68</v>
      </c>
      <c r="N5409" t="str">
        <f t="shared" si="568"/>
        <v>FOR</v>
      </c>
      <c r="O5409" t="s">
        <v>69</v>
      </c>
      <c r="P5409" s="3" t="s">
        <v>75</v>
      </c>
      <c r="Q5409">
        <v>2015</v>
      </c>
      <c r="R5409" s="2">
        <v>42109</v>
      </c>
      <c r="S5409" s="2">
        <v>42181</v>
      </c>
      <c r="T5409" s="2">
        <v>42178</v>
      </c>
      <c r="U5409" s="2">
        <v>42238</v>
      </c>
      <c r="V5409" t="s">
        <v>71</v>
      </c>
      <c r="W5409" t="str">
        <f>"                9/80"</f>
        <v xml:space="preserve">                9/80</v>
      </c>
      <c r="X5409" s="1">
        <v>1117.46</v>
      </c>
      <c r="Y5409">
        <v>0</v>
      </c>
      <c r="Z5409"/>
      <c r="AB5409"/>
      <c r="AC5409">
        <v>915.95</v>
      </c>
      <c r="AD5409">
        <v>163</v>
      </c>
      <c r="AE5409" s="1">
        <v>149299.85</v>
      </c>
      <c r="AF5409">
        <v>0</v>
      </c>
      <c r="AJ5409">
        <v>0</v>
      </c>
      <c r="AK5409">
        <v>0</v>
      </c>
      <c r="AL5409">
        <v>0</v>
      </c>
      <c r="AM5409">
        <v>0</v>
      </c>
      <c r="AN5409">
        <v>0</v>
      </c>
      <c r="AO5409">
        <v>0</v>
      </c>
      <c r="AP5409" s="2">
        <v>42746</v>
      </c>
      <c r="AQ5409" t="s">
        <v>72</v>
      </c>
      <c r="AR5409" t="s">
        <v>72</v>
      </c>
      <c r="AS5409">
        <v>187</v>
      </c>
      <c r="AT5409" s="4">
        <v>42401</v>
      </c>
      <c r="AU5409" t="s">
        <v>73</v>
      </c>
      <c r="AV5409">
        <v>187</v>
      </c>
      <c r="AW5409" s="4">
        <v>42401</v>
      </c>
      <c r="BD5409">
        <v>0</v>
      </c>
      <c r="BN5409" t="s">
        <v>74</v>
      </c>
    </row>
    <row r="5410" spans="1:66" hidden="1">
      <c r="A5410">
        <v>102698</v>
      </c>
      <c r="B5410" s="3" t="s">
        <v>559</v>
      </c>
      <c r="C5410" s="1">
        <v>43300101</v>
      </c>
      <c r="D5410" t="s">
        <v>67</v>
      </c>
      <c r="H5410" t="str">
        <f t="shared" si="572"/>
        <v>01409770631</v>
      </c>
      <c r="I5410" t="str">
        <f t="shared" si="572"/>
        <v>01409770631</v>
      </c>
      <c r="K5410" t="str">
        <f>""</f>
        <v/>
      </c>
      <c r="M5410" t="s">
        <v>68</v>
      </c>
      <c r="N5410" t="str">
        <f t="shared" si="568"/>
        <v>FOR</v>
      </c>
      <c r="O5410" t="s">
        <v>69</v>
      </c>
      <c r="P5410" s="3" t="s">
        <v>75</v>
      </c>
      <c r="Q5410">
        <v>2015</v>
      </c>
      <c r="R5410" s="2">
        <v>42109</v>
      </c>
      <c r="S5410" s="2">
        <v>42181</v>
      </c>
      <c r="T5410" s="2">
        <v>42178</v>
      </c>
      <c r="U5410" s="2">
        <v>42238</v>
      </c>
      <c r="V5410" t="s">
        <v>71</v>
      </c>
      <c r="W5410" t="str">
        <f>"                9/81"</f>
        <v xml:space="preserve">                9/81</v>
      </c>
      <c r="X5410" s="1">
        <v>3474.56</v>
      </c>
      <c r="Y5410">
        <v>0</v>
      </c>
      <c r="Z5410"/>
      <c r="AB5410"/>
      <c r="AC5410" s="1">
        <v>2848</v>
      </c>
      <c r="AD5410">
        <v>163</v>
      </c>
      <c r="AE5410" s="1">
        <v>464224</v>
      </c>
      <c r="AF5410">
        <v>0</v>
      </c>
      <c r="AJ5410">
        <v>0</v>
      </c>
      <c r="AK5410">
        <v>0</v>
      </c>
      <c r="AL5410">
        <v>0</v>
      </c>
      <c r="AM5410">
        <v>0</v>
      </c>
      <c r="AN5410">
        <v>0</v>
      </c>
      <c r="AO5410">
        <v>0</v>
      </c>
      <c r="AP5410" s="2">
        <v>42746</v>
      </c>
      <c r="AQ5410" t="s">
        <v>72</v>
      </c>
      <c r="AR5410" t="s">
        <v>72</v>
      </c>
      <c r="AS5410">
        <v>187</v>
      </c>
      <c r="AT5410" s="4">
        <v>42401</v>
      </c>
      <c r="AU5410" t="s">
        <v>73</v>
      </c>
      <c r="AV5410">
        <v>187</v>
      </c>
      <c r="AW5410" s="4">
        <v>42401</v>
      </c>
      <c r="BD5410">
        <v>0</v>
      </c>
      <c r="BN5410" t="s">
        <v>74</v>
      </c>
    </row>
    <row r="5411" spans="1:66" hidden="1">
      <c r="A5411">
        <v>102698</v>
      </c>
      <c r="B5411" s="3" t="s">
        <v>559</v>
      </c>
      <c r="C5411" s="1">
        <v>43300101</v>
      </c>
      <c r="D5411" t="s">
        <v>67</v>
      </c>
      <c r="H5411" t="str">
        <f t="shared" si="572"/>
        <v>01409770631</v>
      </c>
      <c r="I5411" t="str">
        <f t="shared" si="572"/>
        <v>01409770631</v>
      </c>
      <c r="K5411" t="str">
        <f>""</f>
        <v/>
      </c>
      <c r="M5411" t="s">
        <v>68</v>
      </c>
      <c r="N5411" t="str">
        <f t="shared" si="568"/>
        <v>FOR</v>
      </c>
      <c r="O5411" t="s">
        <v>69</v>
      </c>
      <c r="P5411" s="3" t="s">
        <v>75</v>
      </c>
      <c r="Q5411">
        <v>2015</v>
      </c>
      <c r="R5411" s="2">
        <v>42109</v>
      </c>
      <c r="S5411" s="2">
        <v>42180</v>
      </c>
      <c r="T5411" s="2">
        <v>42178</v>
      </c>
      <c r="U5411" s="2">
        <v>42238</v>
      </c>
      <c r="V5411" t="s">
        <v>71</v>
      </c>
      <c r="W5411" t="str">
        <f>"                9/82"</f>
        <v xml:space="preserve">                9/82</v>
      </c>
      <c r="X5411">
        <v>308.48</v>
      </c>
      <c r="Y5411">
        <v>0</v>
      </c>
      <c r="Z5411"/>
      <c r="AB5411"/>
      <c r="AC5411">
        <v>252.85</v>
      </c>
      <c r="AD5411">
        <v>178</v>
      </c>
      <c r="AE5411" s="1">
        <v>45007.3</v>
      </c>
      <c r="AF5411">
        <v>0</v>
      </c>
      <c r="AJ5411">
        <v>0</v>
      </c>
      <c r="AK5411">
        <v>0</v>
      </c>
      <c r="AL5411">
        <v>0</v>
      </c>
      <c r="AM5411">
        <v>0</v>
      </c>
      <c r="AN5411">
        <v>0</v>
      </c>
      <c r="AO5411">
        <v>0</v>
      </c>
      <c r="AP5411" s="2">
        <v>42746</v>
      </c>
      <c r="AQ5411" t="s">
        <v>72</v>
      </c>
      <c r="AR5411" t="s">
        <v>72</v>
      </c>
      <c r="AS5411">
        <v>435</v>
      </c>
      <c r="AT5411" s="4">
        <v>42416</v>
      </c>
      <c r="AU5411" t="s">
        <v>73</v>
      </c>
      <c r="AV5411">
        <v>435</v>
      </c>
      <c r="AW5411" s="4">
        <v>42416</v>
      </c>
      <c r="BD5411">
        <v>0</v>
      </c>
      <c r="BN5411" t="s">
        <v>74</v>
      </c>
    </row>
    <row r="5412" spans="1:66" hidden="1">
      <c r="A5412">
        <v>102698</v>
      </c>
      <c r="B5412" s="3" t="s">
        <v>559</v>
      </c>
      <c r="C5412" s="1">
        <v>43300101</v>
      </c>
      <c r="D5412" t="s">
        <v>67</v>
      </c>
      <c r="H5412" t="str">
        <f t="shared" si="572"/>
        <v>01409770631</v>
      </c>
      <c r="I5412" t="str">
        <f t="shared" si="572"/>
        <v>01409770631</v>
      </c>
      <c r="K5412" t="str">
        <f>""</f>
        <v/>
      </c>
      <c r="M5412" t="s">
        <v>68</v>
      </c>
      <c r="N5412" t="str">
        <f t="shared" si="568"/>
        <v>FOR</v>
      </c>
      <c r="O5412" t="s">
        <v>69</v>
      </c>
      <c r="P5412" s="3" t="s">
        <v>75</v>
      </c>
      <c r="Q5412">
        <v>2015</v>
      </c>
      <c r="R5412" s="2">
        <v>42124</v>
      </c>
      <c r="S5412" s="2">
        <v>42181</v>
      </c>
      <c r="T5412" s="2">
        <v>42178</v>
      </c>
      <c r="U5412" s="2">
        <v>42238</v>
      </c>
      <c r="V5412" t="s">
        <v>71</v>
      </c>
      <c r="W5412" t="str">
        <f>"               9/199"</f>
        <v xml:space="preserve">               9/199</v>
      </c>
      <c r="X5412" s="1">
        <v>6450.14</v>
      </c>
      <c r="Y5412">
        <v>0</v>
      </c>
      <c r="Z5412"/>
      <c r="AB5412"/>
      <c r="AC5412" s="1">
        <v>5287</v>
      </c>
      <c r="AD5412">
        <v>163</v>
      </c>
      <c r="AE5412" s="1">
        <v>861781</v>
      </c>
      <c r="AF5412">
        <v>0</v>
      </c>
      <c r="AJ5412">
        <v>0</v>
      </c>
      <c r="AK5412">
        <v>0</v>
      </c>
      <c r="AL5412">
        <v>0</v>
      </c>
      <c r="AM5412">
        <v>0</v>
      </c>
      <c r="AN5412">
        <v>0</v>
      </c>
      <c r="AO5412">
        <v>0</v>
      </c>
      <c r="AP5412" s="2">
        <v>42746</v>
      </c>
      <c r="AQ5412" t="s">
        <v>72</v>
      </c>
      <c r="AR5412" t="s">
        <v>72</v>
      </c>
      <c r="AS5412">
        <v>187</v>
      </c>
      <c r="AT5412" s="4">
        <v>42401</v>
      </c>
      <c r="AU5412" t="s">
        <v>73</v>
      </c>
      <c r="AV5412">
        <v>187</v>
      </c>
      <c r="AW5412" s="4">
        <v>42401</v>
      </c>
      <c r="BD5412">
        <v>0</v>
      </c>
      <c r="BN5412" t="s">
        <v>74</v>
      </c>
    </row>
    <row r="5413" spans="1:66" hidden="1">
      <c r="A5413">
        <v>102698</v>
      </c>
      <c r="B5413" s="3" t="s">
        <v>559</v>
      </c>
      <c r="C5413" s="1">
        <v>43300101</v>
      </c>
      <c r="D5413" t="s">
        <v>67</v>
      </c>
      <c r="H5413" t="str">
        <f t="shared" si="572"/>
        <v>01409770631</v>
      </c>
      <c r="I5413" t="str">
        <f t="shared" si="572"/>
        <v>01409770631</v>
      </c>
      <c r="K5413" t="str">
        <f>""</f>
        <v/>
      </c>
      <c r="M5413" t="s">
        <v>68</v>
      </c>
      <c r="N5413" t="str">
        <f t="shared" si="568"/>
        <v>FOR</v>
      </c>
      <c r="O5413" t="s">
        <v>69</v>
      </c>
      <c r="P5413" s="3" t="s">
        <v>75</v>
      </c>
      <c r="Q5413">
        <v>2015</v>
      </c>
      <c r="R5413" s="2">
        <v>42124</v>
      </c>
      <c r="S5413" s="2">
        <v>42181</v>
      </c>
      <c r="T5413" s="2">
        <v>42178</v>
      </c>
      <c r="U5413" s="2">
        <v>42238</v>
      </c>
      <c r="V5413" t="s">
        <v>71</v>
      </c>
      <c r="W5413" t="str">
        <f>"               9/200"</f>
        <v xml:space="preserve">               9/200</v>
      </c>
      <c r="X5413" s="1">
        <v>3474.56</v>
      </c>
      <c r="Y5413">
        <v>0</v>
      </c>
      <c r="Z5413"/>
      <c r="AB5413"/>
      <c r="AC5413" s="1">
        <v>2848</v>
      </c>
      <c r="AD5413">
        <v>163</v>
      </c>
      <c r="AE5413" s="1">
        <v>464224</v>
      </c>
      <c r="AF5413">
        <v>0</v>
      </c>
      <c r="AJ5413">
        <v>0</v>
      </c>
      <c r="AK5413">
        <v>0</v>
      </c>
      <c r="AL5413">
        <v>0</v>
      </c>
      <c r="AM5413">
        <v>0</v>
      </c>
      <c r="AN5413">
        <v>0</v>
      </c>
      <c r="AO5413">
        <v>0</v>
      </c>
      <c r="AP5413" s="2">
        <v>42746</v>
      </c>
      <c r="AQ5413" t="s">
        <v>72</v>
      </c>
      <c r="AR5413" t="s">
        <v>72</v>
      </c>
      <c r="AS5413">
        <v>187</v>
      </c>
      <c r="AT5413" s="4">
        <v>42401</v>
      </c>
      <c r="AU5413" t="s">
        <v>73</v>
      </c>
      <c r="AV5413">
        <v>187</v>
      </c>
      <c r="AW5413" s="4">
        <v>42401</v>
      </c>
      <c r="BD5413">
        <v>0</v>
      </c>
      <c r="BN5413" t="s">
        <v>74</v>
      </c>
    </row>
    <row r="5414" spans="1:66" hidden="1">
      <c r="A5414">
        <v>102698</v>
      </c>
      <c r="B5414" s="3" t="s">
        <v>559</v>
      </c>
      <c r="C5414" s="1">
        <v>43300101</v>
      </c>
      <c r="D5414" t="s">
        <v>67</v>
      </c>
      <c r="H5414" t="str">
        <f t="shared" si="572"/>
        <v>01409770631</v>
      </c>
      <c r="I5414" t="str">
        <f t="shared" si="572"/>
        <v>01409770631</v>
      </c>
      <c r="K5414" t="str">
        <f>""</f>
        <v/>
      </c>
      <c r="M5414" t="s">
        <v>68</v>
      </c>
      <c r="N5414" t="str">
        <f t="shared" si="568"/>
        <v>FOR</v>
      </c>
      <c r="O5414" t="s">
        <v>69</v>
      </c>
      <c r="P5414" s="3" t="s">
        <v>75</v>
      </c>
      <c r="Q5414">
        <v>2015</v>
      </c>
      <c r="R5414" s="2">
        <v>42124</v>
      </c>
      <c r="S5414" s="2">
        <v>42181</v>
      </c>
      <c r="T5414" s="2">
        <v>42178</v>
      </c>
      <c r="U5414" s="2">
        <v>42238</v>
      </c>
      <c r="V5414" t="s">
        <v>71</v>
      </c>
      <c r="W5414" t="str">
        <f>"               9/201"</f>
        <v xml:space="preserve">               9/201</v>
      </c>
      <c r="X5414" s="1">
        <v>4833.03</v>
      </c>
      <c r="Y5414">
        <v>0</v>
      </c>
      <c r="Z5414"/>
      <c r="AB5414"/>
      <c r="AC5414" s="1">
        <v>3961.5</v>
      </c>
      <c r="AD5414">
        <v>163</v>
      </c>
      <c r="AE5414" s="1">
        <v>645724.5</v>
      </c>
      <c r="AF5414">
        <v>0</v>
      </c>
      <c r="AJ5414">
        <v>0</v>
      </c>
      <c r="AK5414">
        <v>0</v>
      </c>
      <c r="AL5414">
        <v>0</v>
      </c>
      <c r="AM5414">
        <v>0</v>
      </c>
      <c r="AN5414">
        <v>0</v>
      </c>
      <c r="AO5414">
        <v>0</v>
      </c>
      <c r="AP5414" s="2">
        <v>42746</v>
      </c>
      <c r="AQ5414" t="s">
        <v>72</v>
      </c>
      <c r="AR5414" t="s">
        <v>72</v>
      </c>
      <c r="AS5414">
        <v>187</v>
      </c>
      <c r="AT5414" s="4">
        <v>42401</v>
      </c>
      <c r="AU5414" t="s">
        <v>73</v>
      </c>
      <c r="AV5414">
        <v>187</v>
      </c>
      <c r="AW5414" s="4">
        <v>42401</v>
      </c>
      <c r="BD5414">
        <v>0</v>
      </c>
      <c r="BN5414" t="s">
        <v>74</v>
      </c>
    </row>
    <row r="5415" spans="1:66" hidden="1">
      <c r="A5415">
        <v>102698</v>
      </c>
      <c r="B5415" s="3" t="s">
        <v>559</v>
      </c>
      <c r="C5415" s="1">
        <v>43300101</v>
      </c>
      <c r="D5415" t="s">
        <v>67</v>
      </c>
      <c r="H5415" t="str">
        <f t="shared" si="572"/>
        <v>01409770631</v>
      </c>
      <c r="I5415" t="str">
        <f t="shared" si="572"/>
        <v>01409770631</v>
      </c>
      <c r="K5415" t="str">
        <f>""</f>
        <v/>
      </c>
      <c r="M5415" t="s">
        <v>68</v>
      </c>
      <c r="N5415" t="str">
        <f t="shared" si="568"/>
        <v>FOR</v>
      </c>
      <c r="O5415" t="s">
        <v>69</v>
      </c>
      <c r="P5415" s="3" t="s">
        <v>75</v>
      </c>
      <c r="Q5415">
        <v>2015</v>
      </c>
      <c r="R5415" s="2">
        <v>42124</v>
      </c>
      <c r="S5415" s="2">
        <v>42181</v>
      </c>
      <c r="T5415" s="2">
        <v>42178</v>
      </c>
      <c r="U5415" s="2">
        <v>42238</v>
      </c>
      <c r="V5415" t="s">
        <v>71</v>
      </c>
      <c r="W5415" t="str">
        <f>"               9/202"</f>
        <v xml:space="preserve">               9/202</v>
      </c>
      <c r="X5415">
        <v>966.61</v>
      </c>
      <c r="Y5415">
        <v>0</v>
      </c>
      <c r="Z5415"/>
      <c r="AB5415"/>
      <c r="AC5415">
        <v>792.3</v>
      </c>
      <c r="AD5415">
        <v>163</v>
      </c>
      <c r="AE5415" s="1">
        <v>129144.9</v>
      </c>
      <c r="AF5415">
        <v>0</v>
      </c>
      <c r="AJ5415">
        <v>0</v>
      </c>
      <c r="AK5415">
        <v>0</v>
      </c>
      <c r="AL5415">
        <v>0</v>
      </c>
      <c r="AM5415">
        <v>0</v>
      </c>
      <c r="AN5415">
        <v>0</v>
      </c>
      <c r="AO5415">
        <v>0</v>
      </c>
      <c r="AP5415" s="2">
        <v>42746</v>
      </c>
      <c r="AQ5415" t="s">
        <v>72</v>
      </c>
      <c r="AR5415" t="s">
        <v>72</v>
      </c>
      <c r="AS5415">
        <v>187</v>
      </c>
      <c r="AT5415" s="4">
        <v>42401</v>
      </c>
      <c r="AU5415" t="s">
        <v>73</v>
      </c>
      <c r="AV5415">
        <v>187</v>
      </c>
      <c r="AW5415" s="4">
        <v>42401</v>
      </c>
      <c r="BD5415">
        <v>0</v>
      </c>
      <c r="BN5415" t="s">
        <v>74</v>
      </c>
    </row>
    <row r="5416" spans="1:66" hidden="1">
      <c r="A5416">
        <v>102698</v>
      </c>
      <c r="B5416" s="3" t="s">
        <v>559</v>
      </c>
      <c r="C5416" s="1">
        <v>43300101</v>
      </c>
      <c r="D5416" t="s">
        <v>67</v>
      </c>
      <c r="H5416" t="str">
        <f t="shared" si="572"/>
        <v>01409770631</v>
      </c>
      <c r="I5416" t="str">
        <f t="shared" si="572"/>
        <v>01409770631</v>
      </c>
      <c r="K5416" t="str">
        <f>""</f>
        <v/>
      </c>
      <c r="M5416" t="s">
        <v>68</v>
      </c>
      <c r="N5416" t="str">
        <f t="shared" si="568"/>
        <v>FOR</v>
      </c>
      <c r="O5416" t="s">
        <v>69</v>
      </c>
      <c r="P5416" s="3" t="s">
        <v>75</v>
      </c>
      <c r="Q5416">
        <v>2015</v>
      </c>
      <c r="R5416" s="2">
        <v>42154</v>
      </c>
      <c r="S5416" s="2">
        <v>42191</v>
      </c>
      <c r="T5416" s="2">
        <v>42187</v>
      </c>
      <c r="U5416" s="2">
        <v>42247</v>
      </c>
      <c r="V5416" t="s">
        <v>71</v>
      </c>
      <c r="W5416" t="str">
        <f>"               9/437"</f>
        <v xml:space="preserve">               9/437</v>
      </c>
      <c r="X5416">
        <v>669.54</v>
      </c>
      <c r="Y5416">
        <v>0</v>
      </c>
      <c r="Z5416"/>
      <c r="AB5416"/>
      <c r="AC5416">
        <v>548.79999999999995</v>
      </c>
      <c r="AD5416">
        <v>205</v>
      </c>
      <c r="AE5416" s="1">
        <v>112504</v>
      </c>
      <c r="AF5416">
        <v>0</v>
      </c>
      <c r="AJ5416">
        <v>0</v>
      </c>
      <c r="AK5416">
        <v>0</v>
      </c>
      <c r="AL5416">
        <v>0</v>
      </c>
      <c r="AM5416">
        <v>0</v>
      </c>
      <c r="AN5416">
        <v>0</v>
      </c>
      <c r="AO5416">
        <v>0</v>
      </c>
      <c r="AP5416" s="2">
        <v>42746</v>
      </c>
      <c r="AQ5416" t="s">
        <v>72</v>
      </c>
      <c r="AR5416" t="s">
        <v>72</v>
      </c>
      <c r="AS5416">
        <v>829</v>
      </c>
      <c r="AT5416" s="4">
        <v>42452</v>
      </c>
      <c r="AU5416" t="s">
        <v>73</v>
      </c>
      <c r="AV5416">
        <v>829</v>
      </c>
      <c r="AW5416" s="4">
        <v>42452</v>
      </c>
      <c r="BD5416">
        <v>0</v>
      </c>
      <c r="BN5416" t="s">
        <v>74</v>
      </c>
    </row>
    <row r="5417" spans="1:66" hidden="1">
      <c r="A5417">
        <v>102698</v>
      </c>
      <c r="B5417" s="3" t="s">
        <v>559</v>
      </c>
      <c r="C5417" s="1">
        <v>43300101</v>
      </c>
      <c r="D5417" t="s">
        <v>67</v>
      </c>
      <c r="H5417" t="str">
        <f t="shared" si="572"/>
        <v>01409770631</v>
      </c>
      <c r="I5417" t="str">
        <f t="shared" si="572"/>
        <v>01409770631</v>
      </c>
      <c r="K5417" t="str">
        <f>""</f>
        <v/>
      </c>
      <c r="M5417" t="s">
        <v>68</v>
      </c>
      <c r="N5417" t="str">
        <f t="shared" ref="N5417:N5480" si="573">"FOR"</f>
        <v>FOR</v>
      </c>
      <c r="O5417" t="s">
        <v>69</v>
      </c>
      <c r="P5417" s="3" t="s">
        <v>75</v>
      </c>
      <c r="Q5417">
        <v>2015</v>
      </c>
      <c r="R5417" s="2">
        <v>42154</v>
      </c>
      <c r="S5417" s="2">
        <v>42191</v>
      </c>
      <c r="T5417" s="2">
        <v>42187</v>
      </c>
      <c r="U5417" s="2">
        <v>42247</v>
      </c>
      <c r="V5417" t="s">
        <v>71</v>
      </c>
      <c r="W5417" t="str">
        <f>"               9/438"</f>
        <v xml:space="preserve">               9/438</v>
      </c>
      <c r="X5417" s="1">
        <v>3474.56</v>
      </c>
      <c r="Y5417">
        <v>0</v>
      </c>
      <c r="Z5417"/>
      <c r="AB5417"/>
      <c r="AC5417" s="1">
        <v>2848</v>
      </c>
      <c r="AD5417">
        <v>205</v>
      </c>
      <c r="AE5417" s="1">
        <v>583840</v>
      </c>
      <c r="AF5417">
        <v>0</v>
      </c>
      <c r="AJ5417">
        <v>0</v>
      </c>
      <c r="AK5417">
        <v>0</v>
      </c>
      <c r="AL5417">
        <v>0</v>
      </c>
      <c r="AM5417">
        <v>0</v>
      </c>
      <c r="AN5417">
        <v>0</v>
      </c>
      <c r="AO5417">
        <v>0</v>
      </c>
      <c r="AP5417" s="2">
        <v>42746</v>
      </c>
      <c r="AQ5417" t="s">
        <v>72</v>
      </c>
      <c r="AR5417" t="s">
        <v>72</v>
      </c>
      <c r="AS5417">
        <v>829</v>
      </c>
      <c r="AT5417" s="4">
        <v>42452</v>
      </c>
      <c r="AU5417" t="s">
        <v>73</v>
      </c>
      <c r="AV5417">
        <v>829</v>
      </c>
      <c r="AW5417" s="4">
        <v>42452</v>
      </c>
      <c r="BD5417">
        <v>0</v>
      </c>
      <c r="BN5417" t="s">
        <v>74</v>
      </c>
    </row>
    <row r="5418" spans="1:66" hidden="1">
      <c r="A5418">
        <v>102698</v>
      </c>
      <c r="B5418" s="3" t="s">
        <v>559</v>
      </c>
      <c r="C5418" s="1">
        <v>43300101</v>
      </c>
      <c r="D5418" t="s">
        <v>67</v>
      </c>
      <c r="H5418" t="str">
        <f t="shared" si="572"/>
        <v>01409770631</v>
      </c>
      <c r="I5418" t="str">
        <f t="shared" si="572"/>
        <v>01409770631</v>
      </c>
      <c r="K5418" t="str">
        <f>""</f>
        <v/>
      </c>
      <c r="M5418" t="s">
        <v>68</v>
      </c>
      <c r="N5418" t="str">
        <f t="shared" si="573"/>
        <v>FOR</v>
      </c>
      <c r="O5418" t="s">
        <v>69</v>
      </c>
      <c r="P5418" s="3" t="s">
        <v>75</v>
      </c>
      <c r="Q5418">
        <v>2015</v>
      </c>
      <c r="R5418" s="2">
        <v>42170</v>
      </c>
      <c r="S5418" s="2">
        <v>42226</v>
      </c>
      <c r="T5418" s="2">
        <v>42223</v>
      </c>
      <c r="U5418" s="2">
        <v>42283</v>
      </c>
      <c r="V5418" t="s">
        <v>71</v>
      </c>
      <c r="W5418" t="str">
        <f>"               9/501"</f>
        <v xml:space="preserve">               9/501</v>
      </c>
      <c r="X5418" s="1">
        <v>6450.14</v>
      </c>
      <c r="Y5418">
        <v>0</v>
      </c>
      <c r="Z5418"/>
      <c r="AB5418"/>
      <c r="AC5418" s="1">
        <v>5287</v>
      </c>
      <c r="AD5418">
        <v>209</v>
      </c>
      <c r="AE5418" s="1">
        <v>1104983</v>
      </c>
      <c r="AF5418">
        <v>0</v>
      </c>
      <c r="AJ5418">
        <v>0</v>
      </c>
      <c r="AK5418">
        <v>0</v>
      </c>
      <c r="AL5418">
        <v>0</v>
      </c>
      <c r="AM5418">
        <v>0</v>
      </c>
      <c r="AN5418">
        <v>0</v>
      </c>
      <c r="AO5418">
        <v>0</v>
      </c>
      <c r="AP5418" s="2">
        <v>42746</v>
      </c>
      <c r="AQ5418" t="s">
        <v>72</v>
      </c>
      <c r="AR5418" t="s">
        <v>72</v>
      </c>
      <c r="AS5418">
        <v>1248</v>
      </c>
      <c r="AT5418" s="4">
        <v>42492</v>
      </c>
      <c r="AU5418" t="s">
        <v>73</v>
      </c>
      <c r="AV5418">
        <v>1248</v>
      </c>
      <c r="AW5418" s="4">
        <v>42492</v>
      </c>
      <c r="BD5418">
        <v>0</v>
      </c>
      <c r="BN5418" t="s">
        <v>74</v>
      </c>
    </row>
    <row r="5419" spans="1:66" hidden="1">
      <c r="A5419">
        <v>102698</v>
      </c>
      <c r="B5419" s="3" t="s">
        <v>559</v>
      </c>
      <c r="C5419" s="1">
        <v>43300101</v>
      </c>
      <c r="D5419" t="s">
        <v>67</v>
      </c>
      <c r="H5419" t="str">
        <f t="shared" si="572"/>
        <v>01409770631</v>
      </c>
      <c r="I5419" t="str">
        <f t="shared" si="572"/>
        <v>01409770631</v>
      </c>
      <c r="K5419" t="str">
        <f>""</f>
        <v/>
      </c>
      <c r="M5419" t="s">
        <v>68</v>
      </c>
      <c r="N5419" t="str">
        <f t="shared" si="573"/>
        <v>FOR</v>
      </c>
      <c r="O5419" t="s">
        <v>69</v>
      </c>
      <c r="P5419" s="3" t="s">
        <v>75</v>
      </c>
      <c r="Q5419">
        <v>2015</v>
      </c>
      <c r="R5419" s="2">
        <v>42170</v>
      </c>
      <c r="S5419" s="2">
        <v>42226</v>
      </c>
      <c r="T5419" s="2">
        <v>42223</v>
      </c>
      <c r="U5419" s="2">
        <v>42283</v>
      </c>
      <c r="V5419" t="s">
        <v>71</v>
      </c>
      <c r="W5419" t="str">
        <f>"               9/502"</f>
        <v xml:space="preserve">               9/502</v>
      </c>
      <c r="X5419" s="1">
        <v>6450.14</v>
      </c>
      <c r="Y5419">
        <v>0</v>
      </c>
      <c r="Z5419"/>
      <c r="AB5419"/>
      <c r="AC5419" s="1">
        <v>5287</v>
      </c>
      <c r="AD5419">
        <v>209</v>
      </c>
      <c r="AE5419" s="1">
        <v>1104983</v>
      </c>
      <c r="AF5419">
        <v>0</v>
      </c>
      <c r="AJ5419">
        <v>0</v>
      </c>
      <c r="AK5419">
        <v>0</v>
      </c>
      <c r="AL5419">
        <v>0</v>
      </c>
      <c r="AM5419">
        <v>0</v>
      </c>
      <c r="AN5419">
        <v>0</v>
      </c>
      <c r="AO5419">
        <v>0</v>
      </c>
      <c r="AP5419" s="2">
        <v>42746</v>
      </c>
      <c r="AQ5419" t="s">
        <v>72</v>
      </c>
      <c r="AR5419" t="s">
        <v>72</v>
      </c>
      <c r="AS5419">
        <v>1248</v>
      </c>
      <c r="AT5419" s="4">
        <v>42492</v>
      </c>
      <c r="AU5419" t="s">
        <v>73</v>
      </c>
      <c r="AV5419">
        <v>1248</v>
      </c>
      <c r="AW5419" s="4">
        <v>42492</v>
      </c>
      <c r="BD5419">
        <v>0</v>
      </c>
      <c r="BN5419" t="s">
        <v>74</v>
      </c>
    </row>
    <row r="5420" spans="1:66" hidden="1">
      <c r="A5420">
        <v>102698</v>
      </c>
      <c r="B5420" s="3" t="s">
        <v>559</v>
      </c>
      <c r="C5420" s="1">
        <v>43300101</v>
      </c>
      <c r="D5420" t="s">
        <v>67</v>
      </c>
      <c r="H5420" t="str">
        <f t="shared" si="572"/>
        <v>01409770631</v>
      </c>
      <c r="I5420" t="str">
        <f t="shared" si="572"/>
        <v>01409770631</v>
      </c>
      <c r="K5420" t="str">
        <f>""</f>
        <v/>
      </c>
      <c r="M5420" t="s">
        <v>68</v>
      </c>
      <c r="N5420" t="str">
        <f t="shared" si="573"/>
        <v>FOR</v>
      </c>
      <c r="O5420" t="s">
        <v>69</v>
      </c>
      <c r="P5420" s="3" t="s">
        <v>75</v>
      </c>
      <c r="Q5420">
        <v>2015</v>
      </c>
      <c r="R5420" s="2">
        <v>42170</v>
      </c>
      <c r="S5420" s="2">
        <v>42226</v>
      </c>
      <c r="T5420" s="2">
        <v>42223</v>
      </c>
      <c r="U5420" s="2">
        <v>42283</v>
      </c>
      <c r="V5420" t="s">
        <v>71</v>
      </c>
      <c r="W5420" t="str">
        <f>"               9/503"</f>
        <v xml:space="preserve">               9/503</v>
      </c>
      <c r="X5420">
        <v>447.92</v>
      </c>
      <c r="Y5420">
        <v>0</v>
      </c>
      <c r="Z5420"/>
      <c r="AB5420"/>
      <c r="AC5420">
        <v>367.15</v>
      </c>
      <c r="AD5420">
        <v>209</v>
      </c>
      <c r="AE5420" s="1">
        <v>76734.350000000006</v>
      </c>
      <c r="AF5420">
        <v>0</v>
      </c>
      <c r="AJ5420">
        <v>0</v>
      </c>
      <c r="AK5420">
        <v>0</v>
      </c>
      <c r="AL5420">
        <v>0</v>
      </c>
      <c r="AM5420">
        <v>0</v>
      </c>
      <c r="AN5420">
        <v>0</v>
      </c>
      <c r="AO5420">
        <v>0</v>
      </c>
      <c r="AP5420" s="2">
        <v>42746</v>
      </c>
      <c r="AQ5420" t="s">
        <v>72</v>
      </c>
      <c r="AR5420" t="s">
        <v>72</v>
      </c>
      <c r="AS5420">
        <v>1248</v>
      </c>
      <c r="AT5420" s="4">
        <v>42492</v>
      </c>
      <c r="AU5420" t="s">
        <v>73</v>
      </c>
      <c r="AV5420">
        <v>1248</v>
      </c>
      <c r="AW5420" s="4">
        <v>42492</v>
      </c>
      <c r="BD5420">
        <v>0</v>
      </c>
      <c r="BN5420" t="s">
        <v>74</v>
      </c>
    </row>
    <row r="5421" spans="1:66" hidden="1">
      <c r="A5421">
        <v>102698</v>
      </c>
      <c r="B5421" s="3" t="s">
        <v>559</v>
      </c>
      <c r="C5421" s="1">
        <v>43300101</v>
      </c>
      <c r="D5421" t="s">
        <v>67</v>
      </c>
      <c r="H5421" t="str">
        <f t="shared" si="572"/>
        <v>01409770631</v>
      </c>
      <c r="I5421" t="str">
        <f t="shared" si="572"/>
        <v>01409770631</v>
      </c>
      <c r="K5421" t="str">
        <f>""</f>
        <v/>
      </c>
      <c r="M5421" t="s">
        <v>68</v>
      </c>
      <c r="N5421" t="str">
        <f t="shared" si="573"/>
        <v>FOR</v>
      </c>
      <c r="O5421" t="s">
        <v>69</v>
      </c>
      <c r="P5421" s="3" t="s">
        <v>75</v>
      </c>
      <c r="Q5421">
        <v>2015</v>
      </c>
      <c r="R5421" s="2">
        <v>42185</v>
      </c>
      <c r="S5421" s="2">
        <v>42229</v>
      </c>
      <c r="T5421" s="2">
        <v>42221</v>
      </c>
      <c r="U5421" s="2">
        <v>42281</v>
      </c>
      <c r="V5421" t="s">
        <v>71</v>
      </c>
      <c r="W5421" t="str">
        <f>"               9/671"</f>
        <v xml:space="preserve">               9/671</v>
      </c>
      <c r="X5421" s="1">
        <v>5250.88</v>
      </c>
      <c r="Y5421">
        <v>0</v>
      </c>
      <c r="Z5421"/>
      <c r="AB5421"/>
      <c r="AC5421" s="1">
        <v>4304</v>
      </c>
      <c r="AD5421">
        <v>211</v>
      </c>
      <c r="AE5421" s="1">
        <v>908144</v>
      </c>
      <c r="AF5421">
        <v>0</v>
      </c>
      <c r="AJ5421">
        <v>0</v>
      </c>
      <c r="AK5421">
        <v>0</v>
      </c>
      <c r="AL5421">
        <v>0</v>
      </c>
      <c r="AM5421">
        <v>0</v>
      </c>
      <c r="AN5421">
        <v>0</v>
      </c>
      <c r="AO5421">
        <v>0</v>
      </c>
      <c r="AP5421" s="2">
        <v>42746</v>
      </c>
      <c r="AQ5421" t="s">
        <v>72</v>
      </c>
      <c r="AR5421" t="s">
        <v>72</v>
      </c>
      <c r="AS5421">
        <v>1248</v>
      </c>
      <c r="AT5421" s="4">
        <v>42492</v>
      </c>
      <c r="AU5421" t="s">
        <v>73</v>
      </c>
      <c r="AV5421">
        <v>1248</v>
      </c>
      <c r="AW5421" s="4">
        <v>42492</v>
      </c>
      <c r="BD5421">
        <v>0</v>
      </c>
      <c r="BN5421" t="s">
        <v>74</v>
      </c>
    </row>
    <row r="5422" spans="1:66" hidden="1">
      <c r="A5422">
        <v>102698</v>
      </c>
      <c r="B5422" s="3" t="s">
        <v>559</v>
      </c>
      <c r="C5422" s="1">
        <v>43300101</v>
      </c>
      <c r="D5422" t="s">
        <v>67</v>
      </c>
      <c r="H5422" t="str">
        <f t="shared" si="572"/>
        <v>01409770631</v>
      </c>
      <c r="I5422" t="str">
        <f t="shared" si="572"/>
        <v>01409770631</v>
      </c>
      <c r="K5422" t="str">
        <f>""</f>
        <v/>
      </c>
      <c r="M5422" t="s">
        <v>68</v>
      </c>
      <c r="N5422" t="str">
        <f t="shared" si="573"/>
        <v>FOR</v>
      </c>
      <c r="O5422" t="s">
        <v>69</v>
      </c>
      <c r="P5422" s="3" t="s">
        <v>75</v>
      </c>
      <c r="Q5422">
        <v>2015</v>
      </c>
      <c r="R5422" s="2">
        <v>42185</v>
      </c>
      <c r="S5422" s="2">
        <v>42223</v>
      </c>
      <c r="T5422" s="2">
        <v>42221</v>
      </c>
      <c r="U5422" s="2">
        <v>42281</v>
      </c>
      <c r="V5422" t="s">
        <v>71</v>
      </c>
      <c r="W5422" t="str">
        <f>"               9/672"</f>
        <v xml:space="preserve">               9/672</v>
      </c>
      <c r="X5422" s="1">
        <v>1536.3</v>
      </c>
      <c r="Y5422">
        <v>0</v>
      </c>
      <c r="Z5422"/>
      <c r="AB5422"/>
      <c r="AC5422" s="1">
        <v>1259.26</v>
      </c>
      <c r="AD5422">
        <v>211</v>
      </c>
      <c r="AE5422" s="1">
        <v>265703.86</v>
      </c>
      <c r="AF5422">
        <v>0</v>
      </c>
      <c r="AJ5422">
        <v>0</v>
      </c>
      <c r="AK5422">
        <v>0</v>
      </c>
      <c r="AL5422">
        <v>0</v>
      </c>
      <c r="AM5422">
        <v>0</v>
      </c>
      <c r="AN5422">
        <v>0</v>
      </c>
      <c r="AO5422">
        <v>0</v>
      </c>
      <c r="AP5422" s="2">
        <v>42746</v>
      </c>
      <c r="AQ5422" t="s">
        <v>72</v>
      </c>
      <c r="AR5422" t="s">
        <v>72</v>
      </c>
      <c r="AS5422">
        <v>1248</v>
      </c>
      <c r="AT5422" s="4">
        <v>42492</v>
      </c>
      <c r="AU5422" t="s">
        <v>73</v>
      </c>
      <c r="AV5422">
        <v>1248</v>
      </c>
      <c r="AW5422" s="4">
        <v>42492</v>
      </c>
      <c r="BD5422">
        <v>0</v>
      </c>
      <c r="BN5422" t="s">
        <v>74</v>
      </c>
    </row>
    <row r="5423" spans="1:66" hidden="1">
      <c r="A5423">
        <v>102698</v>
      </c>
      <c r="B5423" s="3" t="s">
        <v>559</v>
      </c>
      <c r="C5423" s="1">
        <v>43300101</v>
      </c>
      <c r="D5423" t="s">
        <v>67</v>
      </c>
      <c r="H5423" t="str">
        <f t="shared" si="572"/>
        <v>01409770631</v>
      </c>
      <c r="I5423" t="str">
        <f t="shared" si="572"/>
        <v>01409770631</v>
      </c>
      <c r="K5423" t="str">
        <f>""</f>
        <v/>
      </c>
      <c r="M5423" t="s">
        <v>68</v>
      </c>
      <c r="N5423" t="str">
        <f t="shared" si="573"/>
        <v>FOR</v>
      </c>
      <c r="O5423" t="s">
        <v>69</v>
      </c>
      <c r="P5423" s="3" t="s">
        <v>75</v>
      </c>
      <c r="Q5423">
        <v>2015</v>
      </c>
      <c r="R5423" s="2">
        <v>42185</v>
      </c>
      <c r="S5423" s="2">
        <v>42229</v>
      </c>
      <c r="T5423" s="2">
        <v>42221</v>
      </c>
      <c r="U5423" s="2">
        <v>42281</v>
      </c>
      <c r="V5423" t="s">
        <v>71</v>
      </c>
      <c r="W5423" t="str">
        <f>"               9/673"</f>
        <v xml:space="preserve">               9/673</v>
      </c>
      <c r="X5423" s="1">
        <v>6080.48</v>
      </c>
      <c r="Y5423">
        <v>0</v>
      </c>
      <c r="Z5423"/>
      <c r="AB5423"/>
      <c r="AC5423" s="1">
        <v>4984</v>
      </c>
      <c r="AD5423">
        <v>211</v>
      </c>
      <c r="AE5423" s="1">
        <v>1051624</v>
      </c>
      <c r="AF5423">
        <v>0</v>
      </c>
      <c r="AJ5423">
        <v>0</v>
      </c>
      <c r="AK5423">
        <v>0</v>
      </c>
      <c r="AL5423">
        <v>0</v>
      </c>
      <c r="AM5423">
        <v>0</v>
      </c>
      <c r="AN5423">
        <v>0</v>
      </c>
      <c r="AO5423">
        <v>0</v>
      </c>
      <c r="AP5423" s="2">
        <v>42746</v>
      </c>
      <c r="AQ5423" t="s">
        <v>72</v>
      </c>
      <c r="AR5423" t="s">
        <v>72</v>
      </c>
      <c r="AS5423">
        <v>1248</v>
      </c>
      <c r="AT5423" s="4">
        <v>42492</v>
      </c>
      <c r="AU5423" t="s">
        <v>73</v>
      </c>
      <c r="AV5423">
        <v>1248</v>
      </c>
      <c r="AW5423" s="4">
        <v>42492</v>
      </c>
      <c r="BD5423">
        <v>0</v>
      </c>
      <c r="BN5423" t="s">
        <v>74</v>
      </c>
    </row>
    <row r="5424" spans="1:66" hidden="1">
      <c r="A5424">
        <v>102698</v>
      </c>
      <c r="B5424" s="3" t="s">
        <v>559</v>
      </c>
      <c r="C5424" s="1">
        <v>43300101</v>
      </c>
      <c r="D5424" t="s">
        <v>67</v>
      </c>
      <c r="H5424" t="str">
        <f t="shared" si="572"/>
        <v>01409770631</v>
      </c>
      <c r="I5424" t="str">
        <f t="shared" si="572"/>
        <v>01409770631</v>
      </c>
      <c r="K5424" t="str">
        <f>""</f>
        <v/>
      </c>
      <c r="M5424" t="s">
        <v>68</v>
      </c>
      <c r="N5424" t="str">
        <f t="shared" si="573"/>
        <v>FOR</v>
      </c>
      <c r="O5424" t="s">
        <v>69</v>
      </c>
      <c r="P5424" s="3" t="s">
        <v>75</v>
      </c>
      <c r="Q5424">
        <v>2015</v>
      </c>
      <c r="R5424" s="2">
        <v>42185</v>
      </c>
      <c r="S5424" s="2">
        <v>42223</v>
      </c>
      <c r="T5424" s="2">
        <v>42221</v>
      </c>
      <c r="U5424" s="2">
        <v>42281</v>
      </c>
      <c r="V5424" t="s">
        <v>71</v>
      </c>
      <c r="W5424" t="str">
        <f>"               9/674"</f>
        <v xml:space="preserve">               9/674</v>
      </c>
      <c r="X5424" s="1">
        <v>7249.55</v>
      </c>
      <c r="Y5424">
        <v>0</v>
      </c>
      <c r="Z5424"/>
      <c r="AB5424"/>
      <c r="AC5424" s="1">
        <v>5942.25</v>
      </c>
      <c r="AD5424">
        <v>211</v>
      </c>
      <c r="AE5424" s="1">
        <v>1253814.75</v>
      </c>
      <c r="AF5424">
        <v>0</v>
      </c>
      <c r="AJ5424">
        <v>0</v>
      </c>
      <c r="AK5424">
        <v>0</v>
      </c>
      <c r="AL5424">
        <v>0</v>
      </c>
      <c r="AM5424">
        <v>0</v>
      </c>
      <c r="AN5424">
        <v>0</v>
      </c>
      <c r="AO5424">
        <v>0</v>
      </c>
      <c r="AP5424" s="2">
        <v>42746</v>
      </c>
      <c r="AQ5424" t="s">
        <v>72</v>
      </c>
      <c r="AR5424" t="s">
        <v>72</v>
      </c>
      <c r="AS5424">
        <v>1248</v>
      </c>
      <c r="AT5424" s="4">
        <v>42492</v>
      </c>
      <c r="AU5424" t="s">
        <v>73</v>
      </c>
      <c r="AV5424">
        <v>1248</v>
      </c>
      <c r="AW5424" s="4">
        <v>42492</v>
      </c>
      <c r="BD5424">
        <v>0</v>
      </c>
      <c r="BN5424" t="s">
        <v>74</v>
      </c>
    </row>
    <row r="5425" spans="1:66" hidden="1">
      <c r="A5425">
        <v>102698</v>
      </c>
      <c r="B5425" s="3" t="s">
        <v>559</v>
      </c>
      <c r="C5425" s="1">
        <v>43300101</v>
      </c>
      <c r="D5425" t="s">
        <v>67</v>
      </c>
      <c r="H5425" t="str">
        <f t="shared" si="572"/>
        <v>01409770631</v>
      </c>
      <c r="I5425" t="str">
        <f t="shared" si="572"/>
        <v>01409770631</v>
      </c>
      <c r="K5425" t="str">
        <f>""</f>
        <v/>
      </c>
      <c r="M5425" t="s">
        <v>68</v>
      </c>
      <c r="N5425" t="str">
        <f t="shared" si="573"/>
        <v>FOR</v>
      </c>
      <c r="O5425" t="s">
        <v>69</v>
      </c>
      <c r="P5425" s="3" t="s">
        <v>75</v>
      </c>
      <c r="Q5425">
        <v>2015</v>
      </c>
      <c r="R5425" s="2">
        <v>42185</v>
      </c>
      <c r="S5425" s="2">
        <v>42229</v>
      </c>
      <c r="T5425" s="2">
        <v>42221</v>
      </c>
      <c r="U5425" s="2">
        <v>42281</v>
      </c>
      <c r="V5425" t="s">
        <v>71</v>
      </c>
      <c r="W5425" t="str">
        <f>"               9/675"</f>
        <v xml:space="preserve">               9/675</v>
      </c>
      <c r="X5425" s="1">
        <v>4349.7299999999996</v>
      </c>
      <c r="Y5425">
        <v>0</v>
      </c>
      <c r="Z5425"/>
      <c r="AB5425"/>
      <c r="AC5425" s="1">
        <v>3565.35</v>
      </c>
      <c r="AD5425">
        <v>211</v>
      </c>
      <c r="AE5425" s="1">
        <v>752288.85</v>
      </c>
      <c r="AF5425">
        <v>0</v>
      </c>
      <c r="AJ5425">
        <v>0</v>
      </c>
      <c r="AK5425">
        <v>0</v>
      </c>
      <c r="AL5425">
        <v>0</v>
      </c>
      <c r="AM5425">
        <v>0</v>
      </c>
      <c r="AN5425">
        <v>0</v>
      </c>
      <c r="AO5425">
        <v>0</v>
      </c>
      <c r="AP5425" s="2">
        <v>42746</v>
      </c>
      <c r="AQ5425" t="s">
        <v>72</v>
      </c>
      <c r="AR5425" t="s">
        <v>72</v>
      </c>
      <c r="AS5425">
        <v>1248</v>
      </c>
      <c r="AT5425" s="4">
        <v>42492</v>
      </c>
      <c r="AU5425" t="s">
        <v>73</v>
      </c>
      <c r="AV5425">
        <v>1248</v>
      </c>
      <c r="AW5425" s="4">
        <v>42492</v>
      </c>
      <c r="BD5425">
        <v>0</v>
      </c>
      <c r="BN5425" t="s">
        <v>74</v>
      </c>
    </row>
    <row r="5426" spans="1:66" hidden="1">
      <c r="A5426">
        <v>102698</v>
      </c>
      <c r="B5426" s="3" t="s">
        <v>559</v>
      </c>
      <c r="C5426" s="1">
        <v>43300101</v>
      </c>
      <c r="D5426" t="s">
        <v>67</v>
      </c>
      <c r="H5426" t="str">
        <f t="shared" si="572"/>
        <v>01409770631</v>
      </c>
      <c r="I5426" t="str">
        <f t="shared" si="572"/>
        <v>01409770631</v>
      </c>
      <c r="K5426" t="str">
        <f>""</f>
        <v/>
      </c>
      <c r="M5426" t="s">
        <v>68</v>
      </c>
      <c r="N5426" t="str">
        <f t="shared" si="573"/>
        <v>FOR</v>
      </c>
      <c r="O5426" t="s">
        <v>69</v>
      </c>
      <c r="P5426" s="3" t="s">
        <v>75</v>
      </c>
      <c r="Q5426">
        <v>2015</v>
      </c>
      <c r="R5426" s="2">
        <v>42200</v>
      </c>
      <c r="S5426" s="2">
        <v>42251</v>
      </c>
      <c r="T5426" s="2">
        <v>42250</v>
      </c>
      <c r="U5426" s="2">
        <v>42310</v>
      </c>
      <c r="V5426" t="s">
        <v>71</v>
      </c>
      <c r="W5426" t="str">
        <f>"               9/771"</f>
        <v xml:space="preserve">               9/771</v>
      </c>
      <c r="X5426" s="1">
        <v>10320.219999999999</v>
      </c>
      <c r="Y5426">
        <v>0</v>
      </c>
      <c r="Z5426"/>
      <c r="AB5426"/>
      <c r="AC5426" s="1">
        <v>8459.2000000000007</v>
      </c>
      <c r="AD5426">
        <v>259</v>
      </c>
      <c r="AE5426" s="1">
        <v>2190932.7999999998</v>
      </c>
      <c r="AF5426">
        <v>0</v>
      </c>
      <c r="AJ5426">
        <v>0</v>
      </c>
      <c r="AK5426">
        <v>0</v>
      </c>
      <c r="AL5426">
        <v>0</v>
      </c>
      <c r="AM5426">
        <v>0</v>
      </c>
      <c r="AN5426">
        <v>0</v>
      </c>
      <c r="AO5426">
        <v>0</v>
      </c>
      <c r="AP5426" s="2">
        <v>42746</v>
      </c>
      <c r="AQ5426" t="s">
        <v>72</v>
      </c>
      <c r="AR5426" t="s">
        <v>72</v>
      </c>
      <c r="AS5426">
        <v>1870</v>
      </c>
      <c r="AT5426" s="4">
        <v>42569</v>
      </c>
      <c r="AU5426" t="s">
        <v>73</v>
      </c>
      <c r="AV5426">
        <v>1870</v>
      </c>
      <c r="AW5426" s="4">
        <v>42569</v>
      </c>
      <c r="BD5426">
        <v>0</v>
      </c>
      <c r="BN5426" t="s">
        <v>74</v>
      </c>
    </row>
    <row r="5427" spans="1:66" hidden="1">
      <c r="A5427">
        <v>102698</v>
      </c>
      <c r="B5427" s="3" t="s">
        <v>559</v>
      </c>
      <c r="C5427" s="1">
        <v>43300101</v>
      </c>
      <c r="D5427" t="s">
        <v>67</v>
      </c>
      <c r="H5427" t="str">
        <f t="shared" si="572"/>
        <v>01409770631</v>
      </c>
      <c r="I5427" t="str">
        <f t="shared" si="572"/>
        <v>01409770631</v>
      </c>
      <c r="K5427" t="str">
        <f>""</f>
        <v/>
      </c>
      <c r="M5427" t="s">
        <v>68</v>
      </c>
      <c r="N5427" t="str">
        <f t="shared" si="573"/>
        <v>FOR</v>
      </c>
      <c r="O5427" t="s">
        <v>69</v>
      </c>
      <c r="P5427" s="3" t="s">
        <v>75</v>
      </c>
      <c r="Q5427">
        <v>2015</v>
      </c>
      <c r="R5427" s="2">
        <v>42200</v>
      </c>
      <c r="S5427" s="2">
        <v>42251</v>
      </c>
      <c r="T5427" s="2">
        <v>42250</v>
      </c>
      <c r="U5427" s="2">
        <v>42310</v>
      </c>
      <c r="V5427" t="s">
        <v>71</v>
      </c>
      <c r="W5427" t="str">
        <f>"               9/772"</f>
        <v xml:space="preserve">               9/772</v>
      </c>
      <c r="X5427">
        <v>895.85</v>
      </c>
      <c r="Y5427">
        <v>0</v>
      </c>
      <c r="Z5427"/>
      <c r="AB5427"/>
      <c r="AC5427">
        <v>734.3</v>
      </c>
      <c r="AD5427">
        <v>259</v>
      </c>
      <c r="AE5427" s="1">
        <v>190183.7</v>
      </c>
      <c r="AF5427">
        <v>0</v>
      </c>
      <c r="AJ5427">
        <v>0</v>
      </c>
      <c r="AK5427">
        <v>0</v>
      </c>
      <c r="AL5427">
        <v>0</v>
      </c>
      <c r="AM5427">
        <v>0</v>
      </c>
      <c r="AN5427">
        <v>0</v>
      </c>
      <c r="AO5427">
        <v>0</v>
      </c>
      <c r="AP5427" s="2">
        <v>42746</v>
      </c>
      <c r="AQ5427" t="s">
        <v>72</v>
      </c>
      <c r="AR5427" t="s">
        <v>72</v>
      </c>
      <c r="AS5427">
        <v>1870</v>
      </c>
      <c r="AT5427" s="4">
        <v>42569</v>
      </c>
      <c r="AU5427" t="s">
        <v>73</v>
      </c>
      <c r="AV5427">
        <v>1870</v>
      </c>
      <c r="AW5427" s="4">
        <v>42569</v>
      </c>
      <c r="BD5427">
        <v>0</v>
      </c>
      <c r="BN5427" t="s">
        <v>74</v>
      </c>
    </row>
    <row r="5428" spans="1:66" hidden="1">
      <c r="A5428">
        <v>102698</v>
      </c>
      <c r="B5428" s="3" t="s">
        <v>559</v>
      </c>
      <c r="C5428" s="1">
        <v>43300101</v>
      </c>
      <c r="D5428" t="s">
        <v>67</v>
      </c>
      <c r="H5428" t="str">
        <f t="shared" si="572"/>
        <v>01409770631</v>
      </c>
      <c r="I5428" t="str">
        <f t="shared" si="572"/>
        <v>01409770631</v>
      </c>
      <c r="K5428" t="str">
        <f>""</f>
        <v/>
      </c>
      <c r="M5428" t="s">
        <v>68</v>
      </c>
      <c r="N5428" t="str">
        <f t="shared" si="573"/>
        <v>FOR</v>
      </c>
      <c r="O5428" t="s">
        <v>69</v>
      </c>
      <c r="P5428" s="3" t="s">
        <v>75</v>
      </c>
      <c r="Q5428">
        <v>2015</v>
      </c>
      <c r="R5428" s="2">
        <v>42200</v>
      </c>
      <c r="S5428" s="2">
        <v>42251</v>
      </c>
      <c r="T5428" s="2">
        <v>42250</v>
      </c>
      <c r="U5428" s="2">
        <v>42310</v>
      </c>
      <c r="V5428" t="s">
        <v>71</v>
      </c>
      <c r="W5428" t="str">
        <f>"               9/773"</f>
        <v xml:space="preserve">               9/773</v>
      </c>
      <c r="X5428" s="1">
        <v>7644.03</v>
      </c>
      <c r="Y5428">
        <v>0</v>
      </c>
      <c r="Z5428"/>
      <c r="AB5428"/>
      <c r="AC5428" s="1">
        <v>6265.6</v>
      </c>
      <c r="AD5428">
        <v>259</v>
      </c>
      <c r="AE5428" s="1">
        <v>1622790.4</v>
      </c>
      <c r="AF5428">
        <v>0</v>
      </c>
      <c r="AJ5428">
        <v>0</v>
      </c>
      <c r="AK5428">
        <v>0</v>
      </c>
      <c r="AL5428">
        <v>0</v>
      </c>
      <c r="AM5428">
        <v>0</v>
      </c>
      <c r="AN5428">
        <v>0</v>
      </c>
      <c r="AO5428">
        <v>0</v>
      </c>
      <c r="AP5428" s="2">
        <v>42746</v>
      </c>
      <c r="AQ5428" t="s">
        <v>72</v>
      </c>
      <c r="AR5428" t="s">
        <v>72</v>
      </c>
      <c r="AS5428">
        <v>1870</v>
      </c>
      <c r="AT5428" s="4">
        <v>42569</v>
      </c>
      <c r="AU5428" t="s">
        <v>73</v>
      </c>
      <c r="AV5428">
        <v>1870</v>
      </c>
      <c r="AW5428" s="4">
        <v>42569</v>
      </c>
      <c r="BD5428">
        <v>0</v>
      </c>
      <c r="BN5428" t="s">
        <v>74</v>
      </c>
    </row>
    <row r="5429" spans="1:66" hidden="1">
      <c r="A5429">
        <v>102698</v>
      </c>
      <c r="B5429" s="3" t="s">
        <v>559</v>
      </c>
      <c r="C5429" s="1">
        <v>43300101</v>
      </c>
      <c r="D5429" t="s">
        <v>67</v>
      </c>
      <c r="H5429" t="str">
        <f t="shared" ref="H5429:I5448" si="574">"01409770631"</f>
        <v>01409770631</v>
      </c>
      <c r="I5429" t="str">
        <f t="shared" si="574"/>
        <v>01409770631</v>
      </c>
      <c r="K5429" t="str">
        <f>""</f>
        <v/>
      </c>
      <c r="M5429" t="s">
        <v>68</v>
      </c>
      <c r="N5429" t="str">
        <f t="shared" si="573"/>
        <v>FOR</v>
      </c>
      <c r="O5429" t="s">
        <v>69</v>
      </c>
      <c r="P5429" s="3" t="s">
        <v>75</v>
      </c>
      <c r="Q5429">
        <v>2015</v>
      </c>
      <c r="R5429" s="2">
        <v>42200</v>
      </c>
      <c r="S5429" s="2">
        <v>42251</v>
      </c>
      <c r="T5429" s="2">
        <v>42250</v>
      </c>
      <c r="U5429" s="2">
        <v>42310</v>
      </c>
      <c r="V5429" t="s">
        <v>71</v>
      </c>
      <c r="W5429" t="str">
        <f>"               9/774"</f>
        <v xml:space="preserve">               9/774</v>
      </c>
      <c r="X5429" s="1">
        <v>1322.42</v>
      </c>
      <c r="Y5429">
        <v>0</v>
      </c>
      <c r="Z5429"/>
      <c r="AB5429"/>
      <c r="AC5429" s="1">
        <v>1083.95</v>
      </c>
      <c r="AD5429">
        <v>259</v>
      </c>
      <c r="AE5429" s="1">
        <v>280743.05</v>
      </c>
      <c r="AF5429">
        <v>0</v>
      </c>
      <c r="AJ5429">
        <v>0</v>
      </c>
      <c r="AK5429">
        <v>0</v>
      </c>
      <c r="AL5429">
        <v>0</v>
      </c>
      <c r="AM5429">
        <v>0</v>
      </c>
      <c r="AN5429">
        <v>0</v>
      </c>
      <c r="AO5429">
        <v>0</v>
      </c>
      <c r="AP5429" s="2">
        <v>42746</v>
      </c>
      <c r="AQ5429" t="s">
        <v>72</v>
      </c>
      <c r="AR5429" t="s">
        <v>72</v>
      </c>
      <c r="AS5429">
        <v>1870</v>
      </c>
      <c r="AT5429" s="4">
        <v>42569</v>
      </c>
      <c r="AU5429" t="s">
        <v>73</v>
      </c>
      <c r="AV5429">
        <v>1870</v>
      </c>
      <c r="AW5429" s="4">
        <v>42569</v>
      </c>
      <c r="BD5429">
        <v>0</v>
      </c>
      <c r="BN5429" t="s">
        <v>74</v>
      </c>
    </row>
    <row r="5430" spans="1:66" hidden="1">
      <c r="A5430">
        <v>102698</v>
      </c>
      <c r="B5430" s="3" t="s">
        <v>559</v>
      </c>
      <c r="C5430" s="1">
        <v>43300101</v>
      </c>
      <c r="D5430" t="s">
        <v>67</v>
      </c>
      <c r="H5430" t="str">
        <f t="shared" si="574"/>
        <v>01409770631</v>
      </c>
      <c r="I5430" t="str">
        <f t="shared" si="574"/>
        <v>01409770631</v>
      </c>
      <c r="K5430" t="str">
        <f>""</f>
        <v/>
      </c>
      <c r="M5430" t="s">
        <v>68</v>
      </c>
      <c r="N5430" t="str">
        <f t="shared" si="573"/>
        <v>FOR</v>
      </c>
      <c r="O5430" t="s">
        <v>69</v>
      </c>
      <c r="P5430" s="3" t="s">
        <v>75</v>
      </c>
      <c r="Q5430">
        <v>2015</v>
      </c>
      <c r="R5430" s="2">
        <v>42216</v>
      </c>
      <c r="S5430" s="2">
        <v>42251</v>
      </c>
      <c r="T5430" s="2">
        <v>42250</v>
      </c>
      <c r="U5430" s="2">
        <v>42310</v>
      </c>
      <c r="V5430" t="s">
        <v>71</v>
      </c>
      <c r="W5430" t="str">
        <f>"               9/888"</f>
        <v xml:space="preserve">               9/888</v>
      </c>
      <c r="X5430">
        <v>443.23</v>
      </c>
      <c r="Y5430">
        <v>0</v>
      </c>
      <c r="Z5430"/>
      <c r="AB5430"/>
      <c r="AC5430">
        <v>363.3</v>
      </c>
      <c r="AD5430">
        <v>259</v>
      </c>
      <c r="AE5430" s="1">
        <v>94094.7</v>
      </c>
      <c r="AF5430">
        <v>0</v>
      </c>
      <c r="AJ5430">
        <v>0</v>
      </c>
      <c r="AK5430">
        <v>0</v>
      </c>
      <c r="AL5430">
        <v>0</v>
      </c>
      <c r="AM5430">
        <v>0</v>
      </c>
      <c r="AN5430">
        <v>0</v>
      </c>
      <c r="AO5430">
        <v>0</v>
      </c>
      <c r="AP5430" s="2">
        <v>42746</v>
      </c>
      <c r="AQ5430" t="s">
        <v>72</v>
      </c>
      <c r="AR5430" t="s">
        <v>72</v>
      </c>
      <c r="AS5430">
        <v>1870</v>
      </c>
      <c r="AT5430" s="4">
        <v>42569</v>
      </c>
      <c r="AU5430" t="s">
        <v>73</v>
      </c>
      <c r="AV5430">
        <v>1870</v>
      </c>
      <c r="AW5430" s="4">
        <v>42569</v>
      </c>
      <c r="BD5430">
        <v>0</v>
      </c>
      <c r="BN5430" t="s">
        <v>74</v>
      </c>
    </row>
    <row r="5431" spans="1:66" hidden="1">
      <c r="A5431">
        <v>102698</v>
      </c>
      <c r="B5431" s="3" t="s">
        <v>559</v>
      </c>
      <c r="C5431" s="1">
        <v>43300101</v>
      </c>
      <c r="D5431" t="s">
        <v>67</v>
      </c>
      <c r="H5431" t="str">
        <f t="shared" si="574"/>
        <v>01409770631</v>
      </c>
      <c r="I5431" t="str">
        <f t="shared" si="574"/>
        <v>01409770631</v>
      </c>
      <c r="K5431" t="str">
        <f>""</f>
        <v/>
      </c>
      <c r="M5431" t="s">
        <v>68</v>
      </c>
      <c r="N5431" t="str">
        <f t="shared" si="573"/>
        <v>FOR</v>
      </c>
      <c r="O5431" t="s">
        <v>69</v>
      </c>
      <c r="P5431" s="3" t="s">
        <v>75</v>
      </c>
      <c r="Q5431">
        <v>2015</v>
      </c>
      <c r="R5431" s="2">
        <v>42216</v>
      </c>
      <c r="S5431" s="2">
        <v>42251</v>
      </c>
      <c r="T5431" s="2">
        <v>42250</v>
      </c>
      <c r="U5431" s="2">
        <v>42310</v>
      </c>
      <c r="V5431" t="s">
        <v>71</v>
      </c>
      <c r="W5431" t="str">
        <f>"               9/889"</f>
        <v xml:space="preserve">               9/889</v>
      </c>
      <c r="X5431">
        <v>221.61</v>
      </c>
      <c r="Y5431">
        <v>0</v>
      </c>
      <c r="Z5431"/>
      <c r="AB5431"/>
      <c r="AC5431">
        <v>181.65</v>
      </c>
      <c r="AD5431">
        <v>259</v>
      </c>
      <c r="AE5431" s="1">
        <v>47047.35</v>
      </c>
      <c r="AF5431">
        <v>0</v>
      </c>
      <c r="AJ5431">
        <v>0</v>
      </c>
      <c r="AK5431">
        <v>0</v>
      </c>
      <c r="AL5431">
        <v>0</v>
      </c>
      <c r="AM5431">
        <v>0</v>
      </c>
      <c r="AN5431">
        <v>0</v>
      </c>
      <c r="AO5431">
        <v>0</v>
      </c>
      <c r="AP5431" s="2">
        <v>42746</v>
      </c>
      <c r="AQ5431" t="s">
        <v>72</v>
      </c>
      <c r="AR5431" t="s">
        <v>72</v>
      </c>
      <c r="AS5431">
        <v>1870</v>
      </c>
      <c r="AT5431" s="4">
        <v>42569</v>
      </c>
      <c r="AU5431" t="s">
        <v>73</v>
      </c>
      <c r="AV5431">
        <v>1870</v>
      </c>
      <c r="AW5431" s="4">
        <v>42569</v>
      </c>
      <c r="BD5431">
        <v>0</v>
      </c>
      <c r="BN5431" t="s">
        <v>74</v>
      </c>
    </row>
    <row r="5432" spans="1:66" hidden="1">
      <c r="A5432">
        <v>102698</v>
      </c>
      <c r="B5432" s="3" t="s">
        <v>559</v>
      </c>
      <c r="C5432" s="1">
        <v>43300101</v>
      </c>
      <c r="D5432" t="s">
        <v>67</v>
      </c>
      <c r="H5432" t="str">
        <f t="shared" si="574"/>
        <v>01409770631</v>
      </c>
      <c r="I5432" t="str">
        <f t="shared" si="574"/>
        <v>01409770631</v>
      </c>
      <c r="K5432" t="str">
        <f>""</f>
        <v/>
      </c>
      <c r="M5432" t="s">
        <v>68</v>
      </c>
      <c r="N5432" t="str">
        <f t="shared" si="573"/>
        <v>FOR</v>
      </c>
      <c r="O5432" t="s">
        <v>69</v>
      </c>
      <c r="P5432" s="3" t="s">
        <v>75</v>
      </c>
      <c r="Q5432">
        <v>2015</v>
      </c>
      <c r="R5432" s="2">
        <v>42247</v>
      </c>
      <c r="S5432" s="2">
        <v>42263</v>
      </c>
      <c r="T5432" s="2">
        <v>42262</v>
      </c>
      <c r="U5432" s="2">
        <v>42322</v>
      </c>
      <c r="V5432" t="s">
        <v>71</v>
      </c>
      <c r="W5432" t="str">
        <f>"              9/1021"</f>
        <v xml:space="preserve">              9/1021</v>
      </c>
      <c r="X5432">
        <v>468.83</v>
      </c>
      <c r="Y5432">
        <v>0</v>
      </c>
      <c r="Z5432"/>
      <c r="AB5432"/>
      <c r="AC5432">
        <v>384.29</v>
      </c>
      <c r="AD5432">
        <v>257</v>
      </c>
      <c r="AE5432" s="1">
        <v>98762.53</v>
      </c>
      <c r="AF5432">
        <v>0</v>
      </c>
      <c r="AJ5432">
        <v>0</v>
      </c>
      <c r="AK5432">
        <v>0</v>
      </c>
      <c r="AL5432">
        <v>0</v>
      </c>
      <c r="AM5432">
        <v>0</v>
      </c>
      <c r="AN5432">
        <v>0</v>
      </c>
      <c r="AO5432">
        <v>0</v>
      </c>
      <c r="AP5432" s="2">
        <v>42746</v>
      </c>
      <c r="AQ5432" t="s">
        <v>72</v>
      </c>
      <c r="AR5432" t="s">
        <v>72</v>
      </c>
      <c r="AS5432">
        <v>2035</v>
      </c>
      <c r="AT5432" s="4">
        <v>42579</v>
      </c>
      <c r="AU5432" t="s">
        <v>73</v>
      </c>
      <c r="AV5432">
        <v>2035</v>
      </c>
      <c r="AW5432" s="4">
        <v>42579</v>
      </c>
      <c r="BD5432">
        <v>0</v>
      </c>
      <c r="BN5432" t="s">
        <v>74</v>
      </c>
    </row>
    <row r="5433" spans="1:66" hidden="1">
      <c r="A5433">
        <v>102698</v>
      </c>
      <c r="B5433" s="3" t="s">
        <v>559</v>
      </c>
      <c r="C5433" s="1">
        <v>43300101</v>
      </c>
      <c r="D5433" t="s">
        <v>67</v>
      </c>
      <c r="H5433" t="str">
        <f t="shared" si="574"/>
        <v>01409770631</v>
      </c>
      <c r="I5433" t="str">
        <f t="shared" si="574"/>
        <v>01409770631</v>
      </c>
      <c r="K5433" t="str">
        <f>""</f>
        <v/>
      </c>
      <c r="M5433" t="s">
        <v>68</v>
      </c>
      <c r="N5433" t="str">
        <f t="shared" si="573"/>
        <v>FOR</v>
      </c>
      <c r="O5433" t="s">
        <v>69</v>
      </c>
      <c r="P5433" s="3" t="s">
        <v>75</v>
      </c>
      <c r="Q5433">
        <v>2015</v>
      </c>
      <c r="R5433" s="2">
        <v>42247</v>
      </c>
      <c r="S5433" s="2">
        <v>42263</v>
      </c>
      <c r="T5433" s="2">
        <v>42262</v>
      </c>
      <c r="U5433" s="2">
        <v>42322</v>
      </c>
      <c r="V5433" t="s">
        <v>71</v>
      </c>
      <c r="W5433" t="str">
        <f>"              9/1022"</f>
        <v xml:space="preserve">              9/1022</v>
      </c>
      <c r="X5433" s="1">
        <v>6127.63</v>
      </c>
      <c r="Y5433">
        <v>0</v>
      </c>
      <c r="Z5433"/>
      <c r="AB5433"/>
      <c r="AC5433" s="1">
        <v>5022.6499999999996</v>
      </c>
      <c r="AD5433">
        <v>257</v>
      </c>
      <c r="AE5433" s="1">
        <v>1290821.05</v>
      </c>
      <c r="AF5433">
        <v>0</v>
      </c>
      <c r="AJ5433">
        <v>0</v>
      </c>
      <c r="AK5433">
        <v>0</v>
      </c>
      <c r="AL5433">
        <v>0</v>
      </c>
      <c r="AM5433">
        <v>0</v>
      </c>
      <c r="AN5433">
        <v>0</v>
      </c>
      <c r="AO5433">
        <v>0</v>
      </c>
      <c r="AP5433" s="2">
        <v>42746</v>
      </c>
      <c r="AQ5433" t="s">
        <v>72</v>
      </c>
      <c r="AR5433" t="s">
        <v>72</v>
      </c>
      <c r="AS5433">
        <v>2035</v>
      </c>
      <c r="AT5433" s="4">
        <v>42579</v>
      </c>
      <c r="AU5433" t="s">
        <v>73</v>
      </c>
      <c r="AV5433">
        <v>2035</v>
      </c>
      <c r="AW5433" s="4">
        <v>42579</v>
      </c>
      <c r="BD5433">
        <v>0</v>
      </c>
      <c r="BN5433" t="s">
        <v>74</v>
      </c>
    </row>
    <row r="5434" spans="1:66" hidden="1">
      <c r="A5434">
        <v>102698</v>
      </c>
      <c r="B5434" s="3" t="s">
        <v>559</v>
      </c>
      <c r="C5434" s="1">
        <v>43300101</v>
      </c>
      <c r="D5434" t="s">
        <v>67</v>
      </c>
      <c r="H5434" t="str">
        <f t="shared" si="574"/>
        <v>01409770631</v>
      </c>
      <c r="I5434" t="str">
        <f t="shared" si="574"/>
        <v>01409770631</v>
      </c>
      <c r="K5434" t="str">
        <f>""</f>
        <v/>
      </c>
      <c r="M5434" t="s">
        <v>68</v>
      </c>
      <c r="N5434" t="str">
        <f t="shared" si="573"/>
        <v>FOR</v>
      </c>
      <c r="O5434" t="s">
        <v>69</v>
      </c>
      <c r="P5434" s="3" t="s">
        <v>75</v>
      </c>
      <c r="Q5434">
        <v>2015</v>
      </c>
      <c r="R5434" s="2">
        <v>42247</v>
      </c>
      <c r="S5434" s="2">
        <v>42263</v>
      </c>
      <c r="T5434" s="2">
        <v>42262</v>
      </c>
      <c r="U5434" s="2">
        <v>42322</v>
      </c>
      <c r="V5434" t="s">
        <v>71</v>
      </c>
      <c r="W5434" t="str">
        <f>"              9/1023"</f>
        <v xml:space="preserve">              9/1023</v>
      </c>
      <c r="X5434">
        <v>585.30999999999995</v>
      </c>
      <c r="Y5434">
        <v>0</v>
      </c>
      <c r="Z5434"/>
      <c r="AB5434"/>
      <c r="AC5434">
        <v>479.76</v>
      </c>
      <c r="AD5434">
        <v>257</v>
      </c>
      <c r="AE5434" s="1">
        <v>123298.32</v>
      </c>
      <c r="AF5434">
        <v>0</v>
      </c>
      <c r="AJ5434">
        <v>0</v>
      </c>
      <c r="AK5434">
        <v>0</v>
      </c>
      <c r="AL5434">
        <v>0</v>
      </c>
      <c r="AM5434">
        <v>0</v>
      </c>
      <c r="AN5434">
        <v>0</v>
      </c>
      <c r="AO5434">
        <v>0</v>
      </c>
      <c r="AP5434" s="2">
        <v>42746</v>
      </c>
      <c r="AQ5434" t="s">
        <v>72</v>
      </c>
      <c r="AR5434" t="s">
        <v>72</v>
      </c>
      <c r="AS5434">
        <v>2035</v>
      </c>
      <c r="AT5434" s="4">
        <v>42579</v>
      </c>
      <c r="AU5434" t="s">
        <v>73</v>
      </c>
      <c r="AV5434">
        <v>2035</v>
      </c>
      <c r="AW5434" s="4">
        <v>42579</v>
      </c>
      <c r="BD5434">
        <v>0</v>
      </c>
      <c r="BN5434" t="s">
        <v>74</v>
      </c>
    </row>
    <row r="5435" spans="1:66" hidden="1">
      <c r="A5435">
        <v>102698</v>
      </c>
      <c r="B5435" s="3" t="s">
        <v>559</v>
      </c>
      <c r="C5435" s="1">
        <v>43300101</v>
      </c>
      <c r="D5435" t="s">
        <v>67</v>
      </c>
      <c r="H5435" t="str">
        <f t="shared" si="574"/>
        <v>01409770631</v>
      </c>
      <c r="I5435" t="str">
        <f t="shared" si="574"/>
        <v>01409770631</v>
      </c>
      <c r="K5435" t="str">
        <f>""</f>
        <v/>
      </c>
      <c r="M5435" t="s">
        <v>68</v>
      </c>
      <c r="N5435" t="str">
        <f t="shared" si="573"/>
        <v>FOR</v>
      </c>
      <c r="O5435" t="s">
        <v>69</v>
      </c>
      <c r="P5435" s="3" t="s">
        <v>75</v>
      </c>
      <c r="Q5435">
        <v>2015</v>
      </c>
      <c r="R5435" s="2">
        <v>42247</v>
      </c>
      <c r="S5435" s="2">
        <v>42263</v>
      </c>
      <c r="T5435" s="2">
        <v>42262</v>
      </c>
      <c r="U5435" s="2">
        <v>42322</v>
      </c>
      <c r="V5435" t="s">
        <v>71</v>
      </c>
      <c r="W5435" t="str">
        <f>"              9/1024"</f>
        <v xml:space="preserve">              9/1024</v>
      </c>
      <c r="X5435" s="1">
        <v>3474.56</v>
      </c>
      <c r="Y5435">
        <v>0</v>
      </c>
      <c r="Z5435"/>
      <c r="AB5435"/>
      <c r="AC5435" s="1">
        <v>2848</v>
      </c>
      <c r="AD5435">
        <v>257</v>
      </c>
      <c r="AE5435" s="1">
        <v>731936</v>
      </c>
      <c r="AF5435">
        <v>0</v>
      </c>
      <c r="AJ5435">
        <v>0</v>
      </c>
      <c r="AK5435">
        <v>0</v>
      </c>
      <c r="AL5435">
        <v>0</v>
      </c>
      <c r="AM5435">
        <v>0</v>
      </c>
      <c r="AN5435">
        <v>0</v>
      </c>
      <c r="AO5435">
        <v>0</v>
      </c>
      <c r="AP5435" s="2">
        <v>42746</v>
      </c>
      <c r="AQ5435" t="s">
        <v>72</v>
      </c>
      <c r="AR5435" t="s">
        <v>72</v>
      </c>
      <c r="AS5435">
        <v>2035</v>
      </c>
      <c r="AT5435" s="4">
        <v>42579</v>
      </c>
      <c r="AU5435" t="s">
        <v>73</v>
      </c>
      <c r="AV5435">
        <v>2035</v>
      </c>
      <c r="AW5435" s="4">
        <v>42579</v>
      </c>
      <c r="BD5435">
        <v>0</v>
      </c>
      <c r="BN5435" t="s">
        <v>74</v>
      </c>
    </row>
    <row r="5436" spans="1:66" hidden="1">
      <c r="A5436">
        <v>102698</v>
      </c>
      <c r="B5436" s="3" t="s">
        <v>559</v>
      </c>
      <c r="C5436" s="1">
        <v>43300101</v>
      </c>
      <c r="D5436" t="s">
        <v>67</v>
      </c>
      <c r="H5436" t="str">
        <f t="shared" si="574"/>
        <v>01409770631</v>
      </c>
      <c r="I5436" t="str">
        <f t="shared" si="574"/>
        <v>01409770631</v>
      </c>
      <c r="K5436" t="str">
        <f>""</f>
        <v/>
      </c>
      <c r="M5436" t="s">
        <v>68</v>
      </c>
      <c r="N5436" t="str">
        <f t="shared" si="573"/>
        <v>FOR</v>
      </c>
      <c r="O5436" t="s">
        <v>69</v>
      </c>
      <c r="P5436" s="3" t="s">
        <v>75</v>
      </c>
      <c r="Q5436">
        <v>2015</v>
      </c>
      <c r="R5436" s="2">
        <v>42247</v>
      </c>
      <c r="S5436" s="2">
        <v>42263</v>
      </c>
      <c r="T5436" s="2">
        <v>42262</v>
      </c>
      <c r="U5436" s="2">
        <v>42322</v>
      </c>
      <c r="V5436" t="s">
        <v>71</v>
      </c>
      <c r="W5436" t="str">
        <f>"              9/1025"</f>
        <v xml:space="preserve">              9/1025</v>
      </c>
      <c r="X5436" s="1">
        <v>8699.4500000000007</v>
      </c>
      <c r="Y5436">
        <v>0</v>
      </c>
      <c r="Z5436"/>
      <c r="AB5436"/>
      <c r="AC5436" s="1">
        <v>7130.7</v>
      </c>
      <c r="AD5436">
        <v>257</v>
      </c>
      <c r="AE5436" s="1">
        <v>1832589.9</v>
      </c>
      <c r="AF5436">
        <v>0</v>
      </c>
      <c r="AJ5436">
        <v>0</v>
      </c>
      <c r="AK5436">
        <v>0</v>
      </c>
      <c r="AL5436">
        <v>0</v>
      </c>
      <c r="AM5436">
        <v>0</v>
      </c>
      <c r="AN5436">
        <v>0</v>
      </c>
      <c r="AO5436">
        <v>0</v>
      </c>
      <c r="AP5436" s="2">
        <v>42746</v>
      </c>
      <c r="AQ5436" t="s">
        <v>72</v>
      </c>
      <c r="AR5436" t="s">
        <v>72</v>
      </c>
      <c r="AS5436">
        <v>2035</v>
      </c>
      <c r="AT5436" s="4">
        <v>42579</v>
      </c>
      <c r="AU5436" t="s">
        <v>73</v>
      </c>
      <c r="AV5436">
        <v>2035</v>
      </c>
      <c r="AW5436" s="4">
        <v>42579</v>
      </c>
      <c r="BD5436">
        <v>0</v>
      </c>
      <c r="BN5436" t="s">
        <v>74</v>
      </c>
    </row>
    <row r="5437" spans="1:66" hidden="1">
      <c r="A5437">
        <v>102698</v>
      </c>
      <c r="B5437" s="3" t="s">
        <v>559</v>
      </c>
      <c r="C5437" s="1">
        <v>43300101</v>
      </c>
      <c r="D5437" t="s">
        <v>67</v>
      </c>
      <c r="H5437" t="str">
        <f t="shared" si="574"/>
        <v>01409770631</v>
      </c>
      <c r="I5437" t="str">
        <f t="shared" si="574"/>
        <v>01409770631</v>
      </c>
      <c r="K5437" t="str">
        <f>""</f>
        <v/>
      </c>
      <c r="M5437" t="s">
        <v>68</v>
      </c>
      <c r="N5437" t="str">
        <f t="shared" si="573"/>
        <v>FOR</v>
      </c>
      <c r="O5437" t="s">
        <v>69</v>
      </c>
      <c r="P5437" s="3" t="s">
        <v>75</v>
      </c>
      <c r="Q5437">
        <v>2015</v>
      </c>
      <c r="R5437" s="2">
        <v>42247</v>
      </c>
      <c r="S5437" s="2">
        <v>42263</v>
      </c>
      <c r="T5437" s="2">
        <v>42262</v>
      </c>
      <c r="U5437" s="2">
        <v>42322</v>
      </c>
      <c r="V5437" t="s">
        <v>71</v>
      </c>
      <c r="W5437" t="str">
        <f>"              9/1026"</f>
        <v xml:space="preserve">              9/1026</v>
      </c>
      <c r="X5437" s="1">
        <v>2899.82</v>
      </c>
      <c r="Y5437">
        <v>0</v>
      </c>
      <c r="Z5437"/>
      <c r="AB5437"/>
      <c r="AC5437" s="1">
        <v>2376.9</v>
      </c>
      <c r="AD5437">
        <v>257</v>
      </c>
      <c r="AE5437" s="1">
        <v>610863.30000000005</v>
      </c>
      <c r="AF5437">
        <v>0</v>
      </c>
      <c r="AJ5437">
        <v>0</v>
      </c>
      <c r="AK5437">
        <v>0</v>
      </c>
      <c r="AL5437">
        <v>0</v>
      </c>
      <c r="AM5437">
        <v>0</v>
      </c>
      <c r="AN5437">
        <v>0</v>
      </c>
      <c r="AO5437">
        <v>0</v>
      </c>
      <c r="AP5437" s="2">
        <v>42746</v>
      </c>
      <c r="AQ5437" t="s">
        <v>72</v>
      </c>
      <c r="AR5437" t="s">
        <v>72</v>
      </c>
      <c r="AS5437">
        <v>2035</v>
      </c>
      <c r="AT5437" s="4">
        <v>42579</v>
      </c>
      <c r="AU5437" t="s">
        <v>73</v>
      </c>
      <c r="AV5437">
        <v>2035</v>
      </c>
      <c r="AW5437" s="4">
        <v>42579</v>
      </c>
      <c r="BD5437">
        <v>0</v>
      </c>
      <c r="BN5437" t="s">
        <v>74</v>
      </c>
    </row>
    <row r="5438" spans="1:66" hidden="1">
      <c r="A5438">
        <v>102698</v>
      </c>
      <c r="B5438" s="3" t="s">
        <v>559</v>
      </c>
      <c r="C5438" s="1">
        <v>43300101</v>
      </c>
      <c r="D5438" t="s">
        <v>67</v>
      </c>
      <c r="H5438" t="str">
        <f t="shared" si="574"/>
        <v>01409770631</v>
      </c>
      <c r="I5438" t="str">
        <f t="shared" si="574"/>
        <v>01409770631</v>
      </c>
      <c r="K5438" t="str">
        <f>""</f>
        <v/>
      </c>
      <c r="M5438" t="s">
        <v>68</v>
      </c>
      <c r="N5438" t="str">
        <f t="shared" si="573"/>
        <v>FOR</v>
      </c>
      <c r="O5438" t="s">
        <v>69</v>
      </c>
      <c r="P5438" s="3" t="s">
        <v>75</v>
      </c>
      <c r="Q5438">
        <v>2015</v>
      </c>
      <c r="R5438" s="2">
        <v>42277</v>
      </c>
      <c r="S5438" s="2">
        <v>42292</v>
      </c>
      <c r="T5438" s="2">
        <v>42291</v>
      </c>
      <c r="U5438" s="2">
        <v>42351</v>
      </c>
      <c r="V5438" t="s">
        <v>71</v>
      </c>
      <c r="W5438" t="str">
        <f>"              9/1239"</f>
        <v xml:space="preserve">              9/1239</v>
      </c>
      <c r="X5438" s="1">
        <v>3225.07</v>
      </c>
      <c r="Y5438">
        <v>0</v>
      </c>
      <c r="Z5438"/>
      <c r="AB5438"/>
      <c r="AC5438" s="1">
        <v>2643.5</v>
      </c>
      <c r="AD5438">
        <v>268</v>
      </c>
      <c r="AE5438" s="1">
        <v>708458</v>
      </c>
      <c r="AF5438">
        <v>0</v>
      </c>
      <c r="AJ5438">
        <v>0</v>
      </c>
      <c r="AK5438">
        <v>0</v>
      </c>
      <c r="AL5438">
        <v>0</v>
      </c>
      <c r="AM5438">
        <v>0</v>
      </c>
      <c r="AN5438">
        <v>0</v>
      </c>
      <c r="AO5438">
        <v>0</v>
      </c>
      <c r="AP5438" s="2">
        <v>42746</v>
      </c>
      <c r="AQ5438" t="s">
        <v>72</v>
      </c>
      <c r="AR5438" t="s">
        <v>72</v>
      </c>
      <c r="AS5438">
        <v>2296</v>
      </c>
      <c r="AT5438" s="4">
        <v>42619</v>
      </c>
      <c r="AU5438" t="s">
        <v>73</v>
      </c>
      <c r="AV5438">
        <v>2296</v>
      </c>
      <c r="AW5438" s="4">
        <v>42619</v>
      </c>
      <c r="BD5438">
        <v>0</v>
      </c>
      <c r="BN5438" t="s">
        <v>74</v>
      </c>
    </row>
    <row r="5439" spans="1:66" hidden="1">
      <c r="A5439">
        <v>102698</v>
      </c>
      <c r="B5439" s="3" t="s">
        <v>559</v>
      </c>
      <c r="C5439" s="1">
        <v>43300101</v>
      </c>
      <c r="D5439" t="s">
        <v>67</v>
      </c>
      <c r="H5439" t="str">
        <f t="shared" si="574"/>
        <v>01409770631</v>
      </c>
      <c r="I5439" t="str">
        <f t="shared" si="574"/>
        <v>01409770631</v>
      </c>
      <c r="K5439" t="str">
        <f>""</f>
        <v/>
      </c>
      <c r="M5439" t="s">
        <v>68</v>
      </c>
      <c r="N5439" t="str">
        <f t="shared" si="573"/>
        <v>FOR</v>
      </c>
      <c r="O5439" t="s">
        <v>69</v>
      </c>
      <c r="P5439" s="3" t="s">
        <v>75</v>
      </c>
      <c r="Q5439">
        <v>2015</v>
      </c>
      <c r="R5439" s="2">
        <v>42277</v>
      </c>
      <c r="S5439" s="2">
        <v>42292</v>
      </c>
      <c r="T5439" s="2">
        <v>42291</v>
      </c>
      <c r="U5439" s="2">
        <v>42351</v>
      </c>
      <c r="V5439" t="s">
        <v>71</v>
      </c>
      <c r="W5439" t="str">
        <f>"              9/1240"</f>
        <v xml:space="preserve">              9/1240</v>
      </c>
      <c r="X5439" s="1">
        <v>6450.14</v>
      </c>
      <c r="Y5439">
        <v>0</v>
      </c>
      <c r="Z5439"/>
      <c r="AB5439"/>
      <c r="AC5439" s="1">
        <v>5287</v>
      </c>
      <c r="AD5439">
        <v>268</v>
      </c>
      <c r="AE5439" s="1">
        <v>1416916</v>
      </c>
      <c r="AF5439">
        <v>0</v>
      </c>
      <c r="AJ5439">
        <v>0</v>
      </c>
      <c r="AK5439">
        <v>0</v>
      </c>
      <c r="AL5439">
        <v>0</v>
      </c>
      <c r="AM5439">
        <v>0</v>
      </c>
      <c r="AN5439">
        <v>0</v>
      </c>
      <c r="AO5439">
        <v>0</v>
      </c>
      <c r="AP5439" s="2">
        <v>42746</v>
      </c>
      <c r="AQ5439" t="s">
        <v>72</v>
      </c>
      <c r="AR5439" t="s">
        <v>72</v>
      </c>
      <c r="AS5439">
        <v>2296</v>
      </c>
      <c r="AT5439" s="4">
        <v>42619</v>
      </c>
      <c r="AU5439" t="s">
        <v>73</v>
      </c>
      <c r="AV5439">
        <v>2296</v>
      </c>
      <c r="AW5439" s="4">
        <v>42619</v>
      </c>
      <c r="BD5439">
        <v>0</v>
      </c>
      <c r="BN5439" t="s">
        <v>74</v>
      </c>
    </row>
    <row r="5440" spans="1:66" hidden="1">
      <c r="A5440">
        <v>102698</v>
      </c>
      <c r="B5440" s="3" t="s">
        <v>559</v>
      </c>
      <c r="C5440" s="1">
        <v>43300101</v>
      </c>
      <c r="D5440" t="s">
        <v>67</v>
      </c>
      <c r="H5440" t="str">
        <f t="shared" si="574"/>
        <v>01409770631</v>
      </c>
      <c r="I5440" t="str">
        <f t="shared" si="574"/>
        <v>01409770631</v>
      </c>
      <c r="K5440" t="str">
        <f>""</f>
        <v/>
      </c>
      <c r="M5440" t="s">
        <v>68</v>
      </c>
      <c r="N5440" t="str">
        <f t="shared" si="573"/>
        <v>FOR</v>
      </c>
      <c r="O5440" t="s">
        <v>69</v>
      </c>
      <c r="P5440" s="3" t="s">
        <v>75</v>
      </c>
      <c r="Q5440">
        <v>2015</v>
      </c>
      <c r="R5440" s="2">
        <v>42277</v>
      </c>
      <c r="S5440" s="2">
        <v>42292</v>
      </c>
      <c r="T5440" s="2">
        <v>42291</v>
      </c>
      <c r="U5440" s="2">
        <v>42351</v>
      </c>
      <c r="V5440" t="s">
        <v>71</v>
      </c>
      <c r="W5440" t="str">
        <f>"              9/1241"</f>
        <v xml:space="preserve">              9/1241</v>
      </c>
      <c r="X5440" s="1">
        <v>3225.07</v>
      </c>
      <c r="Y5440">
        <v>0</v>
      </c>
      <c r="Z5440"/>
      <c r="AB5440"/>
      <c r="AC5440" s="1">
        <v>2643.5</v>
      </c>
      <c r="AD5440">
        <v>268</v>
      </c>
      <c r="AE5440" s="1">
        <v>708458</v>
      </c>
      <c r="AF5440">
        <v>0</v>
      </c>
      <c r="AJ5440">
        <v>0</v>
      </c>
      <c r="AK5440">
        <v>0</v>
      </c>
      <c r="AL5440">
        <v>0</v>
      </c>
      <c r="AM5440">
        <v>0</v>
      </c>
      <c r="AN5440">
        <v>0</v>
      </c>
      <c r="AO5440">
        <v>0</v>
      </c>
      <c r="AP5440" s="2">
        <v>42746</v>
      </c>
      <c r="AQ5440" t="s">
        <v>72</v>
      </c>
      <c r="AR5440" t="s">
        <v>72</v>
      </c>
      <c r="AS5440">
        <v>2296</v>
      </c>
      <c r="AT5440" s="4">
        <v>42619</v>
      </c>
      <c r="AU5440" t="s">
        <v>73</v>
      </c>
      <c r="AV5440">
        <v>2296</v>
      </c>
      <c r="AW5440" s="4">
        <v>42619</v>
      </c>
      <c r="BD5440">
        <v>0</v>
      </c>
      <c r="BN5440" t="s">
        <v>74</v>
      </c>
    </row>
    <row r="5441" spans="1:66" hidden="1">
      <c r="A5441">
        <v>102698</v>
      </c>
      <c r="B5441" s="3" t="s">
        <v>559</v>
      </c>
      <c r="C5441" s="1">
        <v>43300101</v>
      </c>
      <c r="D5441" t="s">
        <v>67</v>
      </c>
      <c r="H5441" t="str">
        <f t="shared" si="574"/>
        <v>01409770631</v>
      </c>
      <c r="I5441" t="str">
        <f t="shared" si="574"/>
        <v>01409770631</v>
      </c>
      <c r="K5441" t="str">
        <f>""</f>
        <v/>
      </c>
      <c r="M5441" t="s">
        <v>68</v>
      </c>
      <c r="N5441" t="str">
        <f t="shared" si="573"/>
        <v>FOR</v>
      </c>
      <c r="O5441" t="s">
        <v>69</v>
      </c>
      <c r="P5441" s="3" t="s">
        <v>75</v>
      </c>
      <c r="Q5441">
        <v>2015</v>
      </c>
      <c r="R5441" s="2">
        <v>42277</v>
      </c>
      <c r="S5441" s="2">
        <v>42292</v>
      </c>
      <c r="T5441" s="2">
        <v>42291</v>
      </c>
      <c r="U5441" s="2">
        <v>42351</v>
      </c>
      <c r="V5441" t="s">
        <v>71</v>
      </c>
      <c r="W5441" t="str">
        <f>"              9/1242"</f>
        <v xml:space="preserve">              9/1242</v>
      </c>
      <c r="X5441">
        <v>669.54</v>
      </c>
      <c r="Y5441">
        <v>0</v>
      </c>
      <c r="Z5441"/>
      <c r="AB5441"/>
      <c r="AC5441">
        <v>548.79999999999995</v>
      </c>
      <c r="AD5441">
        <v>268</v>
      </c>
      <c r="AE5441" s="1">
        <v>147078.39999999999</v>
      </c>
      <c r="AF5441">
        <v>0</v>
      </c>
      <c r="AJ5441">
        <v>0</v>
      </c>
      <c r="AK5441">
        <v>0</v>
      </c>
      <c r="AL5441">
        <v>0</v>
      </c>
      <c r="AM5441">
        <v>0</v>
      </c>
      <c r="AN5441">
        <v>0</v>
      </c>
      <c r="AO5441">
        <v>0</v>
      </c>
      <c r="AP5441" s="2">
        <v>42746</v>
      </c>
      <c r="AQ5441" t="s">
        <v>72</v>
      </c>
      <c r="AR5441" t="s">
        <v>72</v>
      </c>
      <c r="AS5441">
        <v>2296</v>
      </c>
      <c r="AT5441" s="4">
        <v>42619</v>
      </c>
      <c r="AU5441" t="s">
        <v>73</v>
      </c>
      <c r="AV5441">
        <v>2296</v>
      </c>
      <c r="AW5441" s="4">
        <v>42619</v>
      </c>
      <c r="BD5441">
        <v>0</v>
      </c>
      <c r="BN5441" t="s">
        <v>74</v>
      </c>
    </row>
    <row r="5442" spans="1:66" hidden="1">
      <c r="A5442">
        <v>102698</v>
      </c>
      <c r="B5442" s="3" t="s">
        <v>559</v>
      </c>
      <c r="C5442" s="1">
        <v>43300101</v>
      </c>
      <c r="D5442" t="s">
        <v>67</v>
      </c>
      <c r="H5442" t="str">
        <f t="shared" si="574"/>
        <v>01409770631</v>
      </c>
      <c r="I5442" t="str">
        <f t="shared" si="574"/>
        <v>01409770631</v>
      </c>
      <c r="K5442" t="str">
        <f>""</f>
        <v/>
      </c>
      <c r="M5442" t="s">
        <v>68</v>
      </c>
      <c r="N5442" t="str">
        <f t="shared" si="573"/>
        <v>FOR</v>
      </c>
      <c r="O5442" t="s">
        <v>69</v>
      </c>
      <c r="P5442" s="3" t="s">
        <v>75</v>
      </c>
      <c r="Q5442">
        <v>2015</v>
      </c>
      <c r="R5442" s="2">
        <v>42277</v>
      </c>
      <c r="S5442" s="2">
        <v>42292</v>
      </c>
      <c r="T5442" s="2">
        <v>42291</v>
      </c>
      <c r="U5442" s="2">
        <v>42351</v>
      </c>
      <c r="V5442" t="s">
        <v>71</v>
      </c>
      <c r="W5442" t="str">
        <f>"              9/1243"</f>
        <v xml:space="preserve">              9/1243</v>
      </c>
      <c r="X5442">
        <v>98.61</v>
      </c>
      <c r="Y5442">
        <v>0</v>
      </c>
      <c r="Z5442"/>
      <c r="AB5442"/>
      <c r="AC5442">
        <v>80.83</v>
      </c>
      <c r="AD5442">
        <v>268</v>
      </c>
      <c r="AE5442" s="1">
        <v>21662.44</v>
      </c>
      <c r="AF5442">
        <v>0</v>
      </c>
      <c r="AJ5442">
        <v>0</v>
      </c>
      <c r="AK5442">
        <v>0</v>
      </c>
      <c r="AL5442">
        <v>0</v>
      </c>
      <c r="AM5442">
        <v>0</v>
      </c>
      <c r="AN5442">
        <v>0</v>
      </c>
      <c r="AO5442">
        <v>0</v>
      </c>
      <c r="AP5442" s="2">
        <v>42746</v>
      </c>
      <c r="AQ5442" t="s">
        <v>72</v>
      </c>
      <c r="AR5442" t="s">
        <v>72</v>
      </c>
      <c r="AS5442">
        <v>2296</v>
      </c>
      <c r="AT5442" s="4">
        <v>42619</v>
      </c>
      <c r="AU5442" t="s">
        <v>73</v>
      </c>
      <c r="AV5442">
        <v>2296</v>
      </c>
      <c r="AW5442" s="4">
        <v>42619</v>
      </c>
      <c r="BD5442">
        <v>0</v>
      </c>
      <c r="BN5442" t="s">
        <v>74</v>
      </c>
    </row>
    <row r="5443" spans="1:66" hidden="1">
      <c r="A5443">
        <v>102698</v>
      </c>
      <c r="B5443" s="3" t="s">
        <v>559</v>
      </c>
      <c r="C5443" s="1">
        <v>43300101</v>
      </c>
      <c r="D5443" t="s">
        <v>67</v>
      </c>
      <c r="H5443" t="str">
        <f t="shared" si="574"/>
        <v>01409770631</v>
      </c>
      <c r="I5443" t="str">
        <f t="shared" si="574"/>
        <v>01409770631</v>
      </c>
      <c r="K5443" t="str">
        <f>""</f>
        <v/>
      </c>
      <c r="M5443" t="s">
        <v>68</v>
      </c>
      <c r="N5443" t="str">
        <f t="shared" si="573"/>
        <v>FOR</v>
      </c>
      <c r="O5443" t="s">
        <v>69</v>
      </c>
      <c r="P5443" s="3" t="s">
        <v>75</v>
      </c>
      <c r="Q5443">
        <v>2015</v>
      </c>
      <c r="R5443" s="2">
        <v>42277</v>
      </c>
      <c r="S5443" s="2">
        <v>42292</v>
      </c>
      <c r="T5443" s="2">
        <v>42291</v>
      </c>
      <c r="U5443" s="2">
        <v>42351</v>
      </c>
      <c r="V5443" t="s">
        <v>71</v>
      </c>
      <c r="W5443" t="str">
        <f>"              9/1244"</f>
        <v xml:space="preserve">              9/1244</v>
      </c>
      <c r="X5443" s="1">
        <v>5211.84</v>
      </c>
      <c r="Y5443">
        <v>0</v>
      </c>
      <c r="Z5443"/>
      <c r="AB5443"/>
      <c r="AC5443" s="1">
        <v>4272</v>
      </c>
      <c r="AD5443">
        <v>268</v>
      </c>
      <c r="AE5443" s="1">
        <v>1144896</v>
      </c>
      <c r="AF5443">
        <v>0</v>
      </c>
      <c r="AJ5443">
        <v>0</v>
      </c>
      <c r="AK5443">
        <v>0</v>
      </c>
      <c r="AL5443">
        <v>0</v>
      </c>
      <c r="AM5443">
        <v>0</v>
      </c>
      <c r="AN5443">
        <v>0</v>
      </c>
      <c r="AO5443">
        <v>0</v>
      </c>
      <c r="AP5443" s="2">
        <v>42746</v>
      </c>
      <c r="AQ5443" t="s">
        <v>72</v>
      </c>
      <c r="AR5443" t="s">
        <v>72</v>
      </c>
      <c r="AS5443">
        <v>2296</v>
      </c>
      <c r="AT5443" s="4">
        <v>42619</v>
      </c>
      <c r="AU5443" t="s">
        <v>73</v>
      </c>
      <c r="AV5443">
        <v>2296</v>
      </c>
      <c r="AW5443" s="4">
        <v>42619</v>
      </c>
      <c r="BD5443">
        <v>0</v>
      </c>
      <c r="BN5443" t="s">
        <v>74</v>
      </c>
    </row>
    <row r="5444" spans="1:66" hidden="1">
      <c r="A5444">
        <v>102698</v>
      </c>
      <c r="B5444" s="3" t="s">
        <v>559</v>
      </c>
      <c r="C5444" s="1">
        <v>43300101</v>
      </c>
      <c r="D5444" t="s">
        <v>67</v>
      </c>
      <c r="H5444" t="str">
        <f t="shared" si="574"/>
        <v>01409770631</v>
      </c>
      <c r="I5444" t="str">
        <f t="shared" si="574"/>
        <v>01409770631</v>
      </c>
      <c r="K5444" t="str">
        <f>""</f>
        <v/>
      </c>
      <c r="M5444" t="s">
        <v>68</v>
      </c>
      <c r="N5444" t="str">
        <f t="shared" si="573"/>
        <v>FOR</v>
      </c>
      <c r="O5444" t="s">
        <v>69</v>
      </c>
      <c r="P5444" s="3" t="s">
        <v>75</v>
      </c>
      <c r="Q5444">
        <v>2015</v>
      </c>
      <c r="R5444" s="2">
        <v>42277</v>
      </c>
      <c r="S5444" s="2">
        <v>42292</v>
      </c>
      <c r="T5444" s="2">
        <v>42291</v>
      </c>
      <c r="U5444" s="2">
        <v>42351</v>
      </c>
      <c r="V5444" t="s">
        <v>71</v>
      </c>
      <c r="W5444" t="str">
        <f>"              9/1245"</f>
        <v xml:space="preserve">              9/1245</v>
      </c>
      <c r="X5444">
        <v>85.57</v>
      </c>
      <c r="Y5444">
        <v>0</v>
      </c>
      <c r="Z5444"/>
      <c r="AB5444"/>
      <c r="AC5444">
        <v>70.14</v>
      </c>
      <c r="AD5444">
        <v>268</v>
      </c>
      <c r="AE5444" s="1">
        <v>18797.52</v>
      </c>
      <c r="AF5444">
        <v>0</v>
      </c>
      <c r="AJ5444">
        <v>0</v>
      </c>
      <c r="AK5444">
        <v>0</v>
      </c>
      <c r="AL5444">
        <v>0</v>
      </c>
      <c r="AM5444">
        <v>0</v>
      </c>
      <c r="AN5444">
        <v>0</v>
      </c>
      <c r="AO5444">
        <v>0</v>
      </c>
      <c r="AP5444" s="2">
        <v>42746</v>
      </c>
      <c r="AQ5444" t="s">
        <v>72</v>
      </c>
      <c r="AR5444" t="s">
        <v>72</v>
      </c>
      <c r="AS5444">
        <v>2296</v>
      </c>
      <c r="AT5444" s="4">
        <v>42619</v>
      </c>
      <c r="AU5444" t="s">
        <v>73</v>
      </c>
      <c r="AV5444">
        <v>2296</v>
      </c>
      <c r="AW5444" s="4">
        <v>42619</v>
      </c>
      <c r="BD5444">
        <v>0</v>
      </c>
      <c r="BN5444" t="s">
        <v>74</v>
      </c>
    </row>
    <row r="5445" spans="1:66">
      <c r="A5445">
        <v>102698</v>
      </c>
      <c r="B5445" s="3" t="s">
        <v>559</v>
      </c>
      <c r="C5445" s="1">
        <v>43300101</v>
      </c>
      <c r="D5445" t="s">
        <v>67</v>
      </c>
      <c r="H5445" t="str">
        <f t="shared" si="574"/>
        <v>01409770631</v>
      </c>
      <c r="I5445" t="str">
        <f t="shared" si="574"/>
        <v>01409770631</v>
      </c>
      <c r="K5445" t="str">
        <f>""</f>
        <v/>
      </c>
      <c r="M5445" t="s">
        <v>68</v>
      </c>
      <c r="N5445" t="str">
        <f t="shared" si="573"/>
        <v>FOR</v>
      </c>
      <c r="O5445" t="s">
        <v>69</v>
      </c>
      <c r="P5445" s="3" t="s">
        <v>75</v>
      </c>
      <c r="Q5445">
        <v>2015</v>
      </c>
      <c r="R5445" s="2">
        <v>42292</v>
      </c>
      <c r="S5445" s="2">
        <v>42327</v>
      </c>
      <c r="T5445" s="2">
        <v>42326</v>
      </c>
      <c r="U5445" s="2">
        <v>42386</v>
      </c>
      <c r="V5445" t="s">
        <v>71</v>
      </c>
      <c r="W5445" t="str">
        <f>"              9/1341"</f>
        <v xml:space="preserve">              9/1341</v>
      </c>
      <c r="X5445">
        <v>47.95</v>
      </c>
      <c r="Y5445">
        <v>0</v>
      </c>
      <c r="Z5445" s="3">
        <v>39.299999999999997</v>
      </c>
      <c r="AA5445">
        <v>262</v>
      </c>
      <c r="AB5445" s="5">
        <v>10296.6</v>
      </c>
      <c r="AC5445">
        <v>39.299999999999997</v>
      </c>
      <c r="AD5445">
        <v>262</v>
      </c>
      <c r="AE5445" s="1">
        <v>10296.6</v>
      </c>
      <c r="AF5445">
        <v>0</v>
      </c>
      <c r="AJ5445">
        <v>0</v>
      </c>
      <c r="AK5445">
        <v>0</v>
      </c>
      <c r="AL5445">
        <v>0</v>
      </c>
      <c r="AM5445">
        <v>0</v>
      </c>
      <c r="AN5445">
        <v>0</v>
      </c>
      <c r="AO5445">
        <v>0</v>
      </c>
      <c r="AP5445" s="2">
        <v>42746</v>
      </c>
      <c r="AQ5445" t="s">
        <v>72</v>
      </c>
      <c r="AR5445" t="s">
        <v>72</v>
      </c>
      <c r="AS5445">
        <v>2651</v>
      </c>
      <c r="AT5445" s="4">
        <v>42648</v>
      </c>
      <c r="AU5445" t="s">
        <v>73</v>
      </c>
      <c r="AV5445">
        <v>2651</v>
      </c>
      <c r="AW5445" s="4">
        <v>42648</v>
      </c>
      <c r="BD5445">
        <v>0</v>
      </c>
      <c r="BN5445" t="s">
        <v>74</v>
      </c>
    </row>
    <row r="5446" spans="1:66">
      <c r="A5446">
        <v>102698</v>
      </c>
      <c r="B5446" s="3" t="s">
        <v>559</v>
      </c>
      <c r="C5446" s="1">
        <v>43300101</v>
      </c>
      <c r="D5446" t="s">
        <v>67</v>
      </c>
      <c r="H5446" t="str">
        <f t="shared" si="574"/>
        <v>01409770631</v>
      </c>
      <c r="I5446" t="str">
        <f t="shared" si="574"/>
        <v>01409770631</v>
      </c>
      <c r="K5446" t="str">
        <f>""</f>
        <v/>
      </c>
      <c r="M5446" t="s">
        <v>68</v>
      </c>
      <c r="N5446" t="str">
        <f t="shared" si="573"/>
        <v>FOR</v>
      </c>
      <c r="O5446" t="s">
        <v>69</v>
      </c>
      <c r="P5446" s="3" t="s">
        <v>75</v>
      </c>
      <c r="Q5446">
        <v>2015</v>
      </c>
      <c r="R5446" s="2">
        <v>42308</v>
      </c>
      <c r="S5446" s="2">
        <v>42326</v>
      </c>
      <c r="T5446" s="2">
        <v>42325</v>
      </c>
      <c r="U5446" s="2">
        <v>42385</v>
      </c>
      <c r="V5446" t="s">
        <v>71</v>
      </c>
      <c r="W5446" t="str">
        <f>"              9/1445"</f>
        <v xml:space="preserve">              9/1445</v>
      </c>
      <c r="X5446">
        <v>538.45000000000005</v>
      </c>
      <c r="Y5446">
        <v>0</v>
      </c>
      <c r="Z5446" s="3">
        <v>441.35</v>
      </c>
      <c r="AA5446">
        <v>263</v>
      </c>
      <c r="AB5446" s="5">
        <v>116075.05</v>
      </c>
      <c r="AC5446">
        <v>441.35</v>
      </c>
      <c r="AD5446">
        <v>263</v>
      </c>
      <c r="AE5446" s="1">
        <v>116075.05</v>
      </c>
      <c r="AF5446">
        <v>0</v>
      </c>
      <c r="AJ5446">
        <v>0</v>
      </c>
      <c r="AK5446">
        <v>0</v>
      </c>
      <c r="AL5446">
        <v>0</v>
      </c>
      <c r="AM5446">
        <v>0</v>
      </c>
      <c r="AN5446">
        <v>0</v>
      </c>
      <c r="AO5446">
        <v>0</v>
      </c>
      <c r="AP5446" s="2">
        <v>42746</v>
      </c>
      <c r="AQ5446" t="s">
        <v>72</v>
      </c>
      <c r="AR5446" t="s">
        <v>72</v>
      </c>
      <c r="AS5446">
        <v>2651</v>
      </c>
      <c r="AT5446" s="4">
        <v>42648</v>
      </c>
      <c r="AU5446" t="s">
        <v>73</v>
      </c>
      <c r="AV5446">
        <v>2651</v>
      </c>
      <c r="AW5446" s="4">
        <v>42648</v>
      </c>
      <c r="BD5446">
        <v>0</v>
      </c>
      <c r="BN5446" t="s">
        <v>74</v>
      </c>
    </row>
    <row r="5447" spans="1:66">
      <c r="A5447">
        <v>102698</v>
      </c>
      <c r="B5447" s="3" t="s">
        <v>559</v>
      </c>
      <c r="C5447" s="1">
        <v>43300101</v>
      </c>
      <c r="D5447" t="s">
        <v>67</v>
      </c>
      <c r="H5447" t="str">
        <f t="shared" si="574"/>
        <v>01409770631</v>
      </c>
      <c r="I5447" t="str">
        <f t="shared" si="574"/>
        <v>01409770631</v>
      </c>
      <c r="K5447" t="str">
        <f>""</f>
        <v/>
      </c>
      <c r="M5447" t="s">
        <v>68</v>
      </c>
      <c r="N5447" t="str">
        <f t="shared" si="573"/>
        <v>FOR</v>
      </c>
      <c r="O5447" t="s">
        <v>69</v>
      </c>
      <c r="P5447" s="3" t="s">
        <v>75</v>
      </c>
      <c r="Q5447">
        <v>2015</v>
      </c>
      <c r="R5447" s="2">
        <v>42308</v>
      </c>
      <c r="S5447" s="2">
        <v>42326</v>
      </c>
      <c r="T5447" s="2">
        <v>42325</v>
      </c>
      <c r="U5447" s="2">
        <v>42385</v>
      </c>
      <c r="V5447" t="s">
        <v>71</v>
      </c>
      <c r="W5447" t="str">
        <f>"              9/1446"</f>
        <v xml:space="preserve">              9/1446</v>
      </c>
      <c r="X5447">
        <v>357.4</v>
      </c>
      <c r="Y5447">
        <v>0</v>
      </c>
      <c r="Z5447" s="3">
        <v>292.95</v>
      </c>
      <c r="AA5447">
        <v>263</v>
      </c>
      <c r="AB5447" s="5">
        <v>77045.850000000006</v>
      </c>
      <c r="AC5447">
        <v>292.95</v>
      </c>
      <c r="AD5447">
        <v>263</v>
      </c>
      <c r="AE5447" s="1">
        <v>77045.850000000006</v>
      </c>
      <c r="AF5447">
        <v>0</v>
      </c>
      <c r="AJ5447">
        <v>0</v>
      </c>
      <c r="AK5447">
        <v>0</v>
      </c>
      <c r="AL5447">
        <v>0</v>
      </c>
      <c r="AM5447">
        <v>0</v>
      </c>
      <c r="AN5447">
        <v>0</v>
      </c>
      <c r="AO5447">
        <v>0</v>
      </c>
      <c r="AP5447" s="2">
        <v>42746</v>
      </c>
      <c r="AQ5447" t="s">
        <v>72</v>
      </c>
      <c r="AR5447" t="s">
        <v>72</v>
      </c>
      <c r="AS5447">
        <v>2651</v>
      </c>
      <c r="AT5447" s="4">
        <v>42648</v>
      </c>
      <c r="AU5447" t="s">
        <v>73</v>
      </c>
      <c r="AV5447">
        <v>2651</v>
      </c>
      <c r="AW5447" s="4">
        <v>42648</v>
      </c>
      <c r="BD5447">
        <v>0</v>
      </c>
      <c r="BN5447" t="s">
        <v>74</v>
      </c>
    </row>
    <row r="5448" spans="1:66">
      <c r="A5448">
        <v>102698</v>
      </c>
      <c r="B5448" s="3" t="s">
        <v>559</v>
      </c>
      <c r="C5448" s="1">
        <v>43300101</v>
      </c>
      <c r="D5448" t="s">
        <v>67</v>
      </c>
      <c r="H5448" t="str">
        <f t="shared" si="574"/>
        <v>01409770631</v>
      </c>
      <c r="I5448" t="str">
        <f t="shared" si="574"/>
        <v>01409770631</v>
      </c>
      <c r="K5448" t="str">
        <f>""</f>
        <v/>
      </c>
      <c r="M5448" t="s">
        <v>68</v>
      </c>
      <c r="N5448" t="str">
        <f t="shared" si="573"/>
        <v>FOR</v>
      </c>
      <c r="O5448" t="s">
        <v>69</v>
      </c>
      <c r="P5448" s="3" t="s">
        <v>75</v>
      </c>
      <c r="Q5448">
        <v>2015</v>
      </c>
      <c r="R5448" s="2">
        <v>42308</v>
      </c>
      <c r="S5448" s="2">
        <v>42326</v>
      </c>
      <c r="T5448" s="2">
        <v>42325</v>
      </c>
      <c r="U5448" s="2">
        <v>42385</v>
      </c>
      <c r="V5448" t="s">
        <v>71</v>
      </c>
      <c r="W5448" t="str">
        <f>"              9/1447"</f>
        <v xml:space="preserve">              9/1447</v>
      </c>
      <c r="X5448">
        <v>71.930000000000007</v>
      </c>
      <c r="Y5448">
        <v>0</v>
      </c>
      <c r="Z5448" s="3">
        <v>58.96</v>
      </c>
      <c r="AA5448">
        <v>263</v>
      </c>
      <c r="AB5448" s="5">
        <v>15506.48</v>
      </c>
      <c r="AC5448">
        <v>58.96</v>
      </c>
      <c r="AD5448">
        <v>263</v>
      </c>
      <c r="AE5448" s="1">
        <v>15506.48</v>
      </c>
      <c r="AF5448">
        <v>0</v>
      </c>
      <c r="AJ5448">
        <v>0</v>
      </c>
      <c r="AK5448">
        <v>0</v>
      </c>
      <c r="AL5448">
        <v>0</v>
      </c>
      <c r="AM5448">
        <v>0</v>
      </c>
      <c r="AN5448">
        <v>0</v>
      </c>
      <c r="AO5448">
        <v>0</v>
      </c>
      <c r="AP5448" s="2">
        <v>42746</v>
      </c>
      <c r="AQ5448" t="s">
        <v>72</v>
      </c>
      <c r="AR5448" t="s">
        <v>72</v>
      </c>
      <c r="AS5448">
        <v>2651</v>
      </c>
      <c r="AT5448" s="4">
        <v>42648</v>
      </c>
      <c r="AU5448" t="s">
        <v>73</v>
      </c>
      <c r="AV5448">
        <v>2651</v>
      </c>
      <c r="AW5448" s="4">
        <v>42648</v>
      </c>
      <c r="BD5448">
        <v>0</v>
      </c>
      <c r="BN5448" t="s">
        <v>74</v>
      </c>
    </row>
    <row r="5449" spans="1:66">
      <c r="A5449">
        <v>102698</v>
      </c>
      <c r="B5449" s="3" t="s">
        <v>559</v>
      </c>
      <c r="C5449" s="1">
        <v>43300101</v>
      </c>
      <c r="D5449" t="s">
        <v>67</v>
      </c>
      <c r="H5449" t="str">
        <f t="shared" ref="H5449:I5468" si="575">"01409770631"</f>
        <v>01409770631</v>
      </c>
      <c r="I5449" t="str">
        <f t="shared" si="575"/>
        <v>01409770631</v>
      </c>
      <c r="K5449" t="str">
        <f>""</f>
        <v/>
      </c>
      <c r="M5449" t="s">
        <v>68</v>
      </c>
      <c r="N5449" t="str">
        <f t="shared" si="573"/>
        <v>FOR</v>
      </c>
      <c r="O5449" t="s">
        <v>69</v>
      </c>
      <c r="P5449" s="3" t="s">
        <v>75</v>
      </c>
      <c r="Q5449">
        <v>2015</v>
      </c>
      <c r="R5449" s="2">
        <v>42323</v>
      </c>
      <c r="S5449" s="2">
        <v>42367</v>
      </c>
      <c r="T5449" s="2">
        <v>42366</v>
      </c>
      <c r="U5449" s="2">
        <v>42426</v>
      </c>
      <c r="V5449" t="s">
        <v>71</v>
      </c>
      <c r="W5449" t="str">
        <f>"              9/1533"</f>
        <v xml:space="preserve">              9/1533</v>
      </c>
      <c r="X5449">
        <v>605.12</v>
      </c>
      <c r="Y5449">
        <v>0</v>
      </c>
      <c r="Z5449" s="3">
        <v>496</v>
      </c>
      <c r="AA5449">
        <v>266</v>
      </c>
      <c r="AB5449" s="5">
        <v>131936</v>
      </c>
      <c r="AC5449">
        <v>496</v>
      </c>
      <c r="AD5449">
        <v>266</v>
      </c>
      <c r="AE5449" s="1">
        <v>131936</v>
      </c>
      <c r="AF5449">
        <v>0</v>
      </c>
      <c r="AJ5449">
        <v>0</v>
      </c>
      <c r="AK5449">
        <v>0</v>
      </c>
      <c r="AL5449">
        <v>0</v>
      </c>
      <c r="AM5449">
        <v>0</v>
      </c>
      <c r="AN5449">
        <v>0</v>
      </c>
      <c r="AO5449">
        <v>0</v>
      </c>
      <c r="AP5449" s="2">
        <v>42746</v>
      </c>
      <c r="AQ5449" t="s">
        <v>72</v>
      </c>
      <c r="AR5449" t="s">
        <v>72</v>
      </c>
      <c r="AS5449">
        <v>3182</v>
      </c>
      <c r="AT5449" s="4">
        <v>42692</v>
      </c>
      <c r="AU5449" t="s">
        <v>73</v>
      </c>
      <c r="AV5449">
        <v>3182</v>
      </c>
      <c r="AW5449" s="4">
        <v>42692</v>
      </c>
      <c r="BD5449">
        <v>0</v>
      </c>
      <c r="BN5449" t="s">
        <v>74</v>
      </c>
    </row>
    <row r="5450" spans="1:66">
      <c r="A5450">
        <v>102698</v>
      </c>
      <c r="B5450" s="3" t="s">
        <v>559</v>
      </c>
      <c r="C5450" s="1">
        <v>43300101</v>
      </c>
      <c r="D5450" t="s">
        <v>67</v>
      </c>
      <c r="H5450" t="str">
        <f t="shared" si="575"/>
        <v>01409770631</v>
      </c>
      <c r="I5450" t="str">
        <f t="shared" si="575"/>
        <v>01409770631</v>
      </c>
      <c r="K5450" t="str">
        <f>""</f>
        <v/>
      </c>
      <c r="M5450" t="s">
        <v>68</v>
      </c>
      <c r="N5450" t="str">
        <f t="shared" si="573"/>
        <v>FOR</v>
      </c>
      <c r="O5450" t="s">
        <v>69</v>
      </c>
      <c r="P5450" s="3" t="s">
        <v>75</v>
      </c>
      <c r="Q5450">
        <v>2015</v>
      </c>
      <c r="R5450" s="2">
        <v>42323</v>
      </c>
      <c r="S5450" s="2">
        <v>42367</v>
      </c>
      <c r="T5450" s="2">
        <v>42366</v>
      </c>
      <c r="U5450" s="2">
        <v>42426</v>
      </c>
      <c r="V5450" t="s">
        <v>71</v>
      </c>
      <c r="W5450" t="str">
        <f>"              9/1534"</f>
        <v xml:space="preserve">              9/1534</v>
      </c>
      <c r="X5450" s="1">
        <v>4455.3900000000003</v>
      </c>
      <c r="Y5450">
        <v>0</v>
      </c>
      <c r="Z5450" s="5">
        <v>3651.96</v>
      </c>
      <c r="AA5450">
        <v>266</v>
      </c>
      <c r="AB5450" s="5">
        <v>971421.36</v>
      </c>
      <c r="AC5450" s="1">
        <v>3651.96</v>
      </c>
      <c r="AD5450">
        <v>266</v>
      </c>
      <c r="AE5450" s="1">
        <v>971421.36</v>
      </c>
      <c r="AF5450">
        <v>0</v>
      </c>
      <c r="AJ5450">
        <v>0</v>
      </c>
      <c r="AK5450">
        <v>0</v>
      </c>
      <c r="AL5450">
        <v>0</v>
      </c>
      <c r="AM5450">
        <v>0</v>
      </c>
      <c r="AN5450">
        <v>0</v>
      </c>
      <c r="AO5450">
        <v>0</v>
      </c>
      <c r="AP5450" s="2">
        <v>42746</v>
      </c>
      <c r="AQ5450" t="s">
        <v>72</v>
      </c>
      <c r="AR5450" t="s">
        <v>72</v>
      </c>
      <c r="AS5450">
        <v>3182</v>
      </c>
      <c r="AT5450" s="4">
        <v>42692</v>
      </c>
      <c r="AU5450" t="s">
        <v>73</v>
      </c>
      <c r="AV5450">
        <v>3182</v>
      </c>
      <c r="AW5450" s="4">
        <v>42692</v>
      </c>
      <c r="BD5450">
        <v>0</v>
      </c>
      <c r="BN5450" t="s">
        <v>74</v>
      </c>
    </row>
    <row r="5451" spans="1:66">
      <c r="A5451">
        <v>102698</v>
      </c>
      <c r="B5451" s="3" t="s">
        <v>559</v>
      </c>
      <c r="C5451" s="1">
        <v>43300101</v>
      </c>
      <c r="D5451" t="s">
        <v>67</v>
      </c>
      <c r="H5451" t="str">
        <f t="shared" si="575"/>
        <v>01409770631</v>
      </c>
      <c r="I5451" t="str">
        <f t="shared" si="575"/>
        <v>01409770631</v>
      </c>
      <c r="K5451" t="str">
        <f>""</f>
        <v/>
      </c>
      <c r="M5451" t="s">
        <v>68</v>
      </c>
      <c r="N5451" t="str">
        <f t="shared" si="573"/>
        <v>FOR</v>
      </c>
      <c r="O5451" t="s">
        <v>69</v>
      </c>
      <c r="P5451" s="3" t="s">
        <v>75</v>
      </c>
      <c r="Q5451">
        <v>2015</v>
      </c>
      <c r="R5451" s="2">
        <v>42323</v>
      </c>
      <c r="S5451" s="2">
        <v>42367</v>
      </c>
      <c r="T5451" s="2">
        <v>42366</v>
      </c>
      <c r="U5451" s="2">
        <v>42426</v>
      </c>
      <c r="V5451" t="s">
        <v>71</v>
      </c>
      <c r="W5451" t="str">
        <f>"              9/1535"</f>
        <v xml:space="preserve">              9/1535</v>
      </c>
      <c r="X5451" s="1">
        <v>3870.08</v>
      </c>
      <c r="Y5451">
        <v>0</v>
      </c>
      <c r="Z5451" s="5">
        <v>3172.2</v>
      </c>
      <c r="AA5451">
        <v>266</v>
      </c>
      <c r="AB5451" s="5">
        <v>843805.2</v>
      </c>
      <c r="AC5451" s="1">
        <v>3172.2</v>
      </c>
      <c r="AD5451">
        <v>266</v>
      </c>
      <c r="AE5451" s="1">
        <v>843805.2</v>
      </c>
      <c r="AF5451">
        <v>0</v>
      </c>
      <c r="AJ5451">
        <v>0</v>
      </c>
      <c r="AK5451">
        <v>0</v>
      </c>
      <c r="AL5451">
        <v>0</v>
      </c>
      <c r="AM5451">
        <v>0</v>
      </c>
      <c r="AN5451">
        <v>0</v>
      </c>
      <c r="AO5451">
        <v>0</v>
      </c>
      <c r="AP5451" s="2">
        <v>42746</v>
      </c>
      <c r="AQ5451" t="s">
        <v>72</v>
      </c>
      <c r="AR5451" t="s">
        <v>72</v>
      </c>
      <c r="AS5451">
        <v>3182</v>
      </c>
      <c r="AT5451" s="4">
        <v>42692</v>
      </c>
      <c r="AU5451" t="s">
        <v>73</v>
      </c>
      <c r="AV5451">
        <v>3182</v>
      </c>
      <c r="AW5451" s="4">
        <v>42692</v>
      </c>
      <c r="BD5451">
        <v>0</v>
      </c>
      <c r="BN5451" t="s">
        <v>74</v>
      </c>
    </row>
    <row r="5452" spans="1:66">
      <c r="A5452">
        <v>102698</v>
      </c>
      <c r="B5452" s="3" t="s">
        <v>559</v>
      </c>
      <c r="C5452" s="1">
        <v>43300101</v>
      </c>
      <c r="D5452" t="s">
        <v>67</v>
      </c>
      <c r="H5452" t="str">
        <f t="shared" si="575"/>
        <v>01409770631</v>
      </c>
      <c r="I5452" t="str">
        <f t="shared" si="575"/>
        <v>01409770631</v>
      </c>
      <c r="K5452" t="str">
        <f>""</f>
        <v/>
      </c>
      <c r="M5452" t="s">
        <v>68</v>
      </c>
      <c r="N5452" t="str">
        <f t="shared" si="573"/>
        <v>FOR</v>
      </c>
      <c r="O5452" t="s">
        <v>69</v>
      </c>
      <c r="P5452" s="3" t="s">
        <v>75</v>
      </c>
      <c r="Q5452">
        <v>2015</v>
      </c>
      <c r="R5452" s="2">
        <v>42323</v>
      </c>
      <c r="S5452" s="2">
        <v>42367</v>
      </c>
      <c r="T5452" s="2">
        <v>42366</v>
      </c>
      <c r="U5452" s="2">
        <v>42426</v>
      </c>
      <c r="V5452" t="s">
        <v>71</v>
      </c>
      <c r="W5452" t="str">
        <f>"              9/1536"</f>
        <v xml:space="preserve">              9/1536</v>
      </c>
      <c r="X5452" s="1">
        <v>5211.84</v>
      </c>
      <c r="Y5452">
        <v>0</v>
      </c>
      <c r="Z5452" s="5">
        <v>4272</v>
      </c>
      <c r="AA5452">
        <v>266</v>
      </c>
      <c r="AB5452" s="5">
        <v>1136352</v>
      </c>
      <c r="AC5452" s="1">
        <v>4272</v>
      </c>
      <c r="AD5452">
        <v>266</v>
      </c>
      <c r="AE5452" s="1">
        <v>1136352</v>
      </c>
      <c r="AF5452">
        <v>0</v>
      </c>
      <c r="AJ5452">
        <v>0</v>
      </c>
      <c r="AK5452">
        <v>0</v>
      </c>
      <c r="AL5452">
        <v>0</v>
      </c>
      <c r="AM5452">
        <v>0</v>
      </c>
      <c r="AN5452">
        <v>0</v>
      </c>
      <c r="AO5452">
        <v>0</v>
      </c>
      <c r="AP5452" s="2">
        <v>42746</v>
      </c>
      <c r="AQ5452" t="s">
        <v>72</v>
      </c>
      <c r="AR5452" t="s">
        <v>72</v>
      </c>
      <c r="AS5452">
        <v>3182</v>
      </c>
      <c r="AT5452" s="4">
        <v>42692</v>
      </c>
      <c r="AU5452" t="s">
        <v>73</v>
      </c>
      <c r="AV5452">
        <v>3182</v>
      </c>
      <c r="AW5452" s="4">
        <v>42692</v>
      </c>
      <c r="BD5452">
        <v>0</v>
      </c>
      <c r="BN5452" t="s">
        <v>74</v>
      </c>
    </row>
    <row r="5453" spans="1:66">
      <c r="A5453">
        <v>102698</v>
      </c>
      <c r="B5453" s="3" t="s">
        <v>559</v>
      </c>
      <c r="C5453" s="1">
        <v>43300101</v>
      </c>
      <c r="D5453" t="s">
        <v>67</v>
      </c>
      <c r="H5453" t="str">
        <f t="shared" si="575"/>
        <v>01409770631</v>
      </c>
      <c r="I5453" t="str">
        <f t="shared" si="575"/>
        <v>01409770631</v>
      </c>
      <c r="K5453" t="str">
        <f>""</f>
        <v/>
      </c>
      <c r="M5453" t="s">
        <v>68</v>
      </c>
      <c r="N5453" t="str">
        <f t="shared" si="573"/>
        <v>FOR</v>
      </c>
      <c r="O5453" t="s">
        <v>69</v>
      </c>
      <c r="P5453" s="3" t="s">
        <v>75</v>
      </c>
      <c r="Q5453">
        <v>2015</v>
      </c>
      <c r="R5453" s="2">
        <v>42338</v>
      </c>
      <c r="S5453" s="2">
        <v>42367</v>
      </c>
      <c r="T5453" s="2">
        <v>42366</v>
      </c>
      <c r="U5453" s="2">
        <v>42426</v>
      </c>
      <c r="V5453" t="s">
        <v>71</v>
      </c>
      <c r="W5453" t="str">
        <f>"              9/1655"</f>
        <v xml:space="preserve">              9/1655</v>
      </c>
      <c r="X5453">
        <v>507.09</v>
      </c>
      <c r="Y5453">
        <v>0</v>
      </c>
      <c r="Z5453" s="3">
        <v>415.65</v>
      </c>
      <c r="AA5453">
        <v>266</v>
      </c>
      <c r="AB5453" s="5">
        <v>110562.9</v>
      </c>
      <c r="AC5453">
        <v>415.65</v>
      </c>
      <c r="AD5453">
        <v>266</v>
      </c>
      <c r="AE5453" s="1">
        <v>110562.9</v>
      </c>
      <c r="AF5453">
        <v>0</v>
      </c>
      <c r="AJ5453">
        <v>0</v>
      </c>
      <c r="AK5453">
        <v>0</v>
      </c>
      <c r="AL5453">
        <v>0</v>
      </c>
      <c r="AM5453">
        <v>0</v>
      </c>
      <c r="AN5453">
        <v>0</v>
      </c>
      <c r="AO5453">
        <v>0</v>
      </c>
      <c r="AP5453" s="2">
        <v>42746</v>
      </c>
      <c r="AQ5453" t="s">
        <v>72</v>
      </c>
      <c r="AR5453" t="s">
        <v>72</v>
      </c>
      <c r="AS5453">
        <v>3182</v>
      </c>
      <c r="AT5453" s="4">
        <v>42692</v>
      </c>
      <c r="AU5453" t="s">
        <v>73</v>
      </c>
      <c r="AV5453">
        <v>3182</v>
      </c>
      <c r="AW5453" s="4">
        <v>42692</v>
      </c>
      <c r="BD5453">
        <v>0</v>
      </c>
      <c r="BN5453" t="s">
        <v>74</v>
      </c>
    </row>
    <row r="5454" spans="1:66">
      <c r="A5454">
        <v>102698</v>
      </c>
      <c r="B5454" s="3" t="s">
        <v>559</v>
      </c>
      <c r="C5454" s="1">
        <v>43300101</v>
      </c>
      <c r="D5454" t="s">
        <v>67</v>
      </c>
      <c r="H5454" t="str">
        <f t="shared" si="575"/>
        <v>01409770631</v>
      </c>
      <c r="I5454" t="str">
        <f t="shared" si="575"/>
        <v>01409770631</v>
      </c>
      <c r="K5454" t="str">
        <f>""</f>
        <v/>
      </c>
      <c r="M5454" t="s">
        <v>68</v>
      </c>
      <c r="N5454" t="str">
        <f t="shared" si="573"/>
        <v>FOR</v>
      </c>
      <c r="O5454" t="s">
        <v>69</v>
      </c>
      <c r="P5454" s="3" t="s">
        <v>75</v>
      </c>
      <c r="Q5454">
        <v>2015</v>
      </c>
      <c r="R5454" s="2">
        <v>42353</v>
      </c>
      <c r="S5454" s="2">
        <v>42369</v>
      </c>
      <c r="T5454" s="2">
        <v>42369</v>
      </c>
      <c r="U5454" s="2">
        <v>42429</v>
      </c>
      <c r="V5454" t="s">
        <v>71</v>
      </c>
      <c r="W5454" t="str">
        <f>"              9/1792"</f>
        <v xml:space="preserve">              9/1792</v>
      </c>
      <c r="X5454">
        <v>447.92</v>
      </c>
      <c r="Y5454">
        <v>0</v>
      </c>
      <c r="Z5454" s="3">
        <v>367.15</v>
      </c>
      <c r="AA5454">
        <v>263</v>
      </c>
      <c r="AB5454" s="5">
        <v>96560.45</v>
      </c>
      <c r="AC5454">
        <v>367.15</v>
      </c>
      <c r="AD5454">
        <v>263</v>
      </c>
      <c r="AE5454" s="1">
        <v>96560.45</v>
      </c>
      <c r="AF5454">
        <v>0</v>
      </c>
      <c r="AJ5454">
        <v>0</v>
      </c>
      <c r="AK5454">
        <v>0</v>
      </c>
      <c r="AL5454">
        <v>0</v>
      </c>
      <c r="AM5454">
        <v>0</v>
      </c>
      <c r="AN5454">
        <v>0</v>
      </c>
      <c r="AO5454">
        <v>0</v>
      </c>
      <c r="AP5454" s="2">
        <v>42746</v>
      </c>
      <c r="AQ5454" t="s">
        <v>72</v>
      </c>
      <c r="AR5454" t="s">
        <v>72</v>
      </c>
      <c r="AS5454">
        <v>3182</v>
      </c>
      <c r="AT5454" s="4">
        <v>42692</v>
      </c>
      <c r="AU5454" t="s">
        <v>73</v>
      </c>
      <c r="AV5454">
        <v>3182</v>
      </c>
      <c r="AW5454" s="4">
        <v>42692</v>
      </c>
      <c r="BD5454">
        <v>0</v>
      </c>
      <c r="BN5454" t="s">
        <v>74</v>
      </c>
    </row>
    <row r="5455" spans="1:66">
      <c r="A5455">
        <v>102698</v>
      </c>
      <c r="B5455" s="3" t="s">
        <v>559</v>
      </c>
      <c r="C5455" s="1">
        <v>43300101</v>
      </c>
      <c r="D5455" t="s">
        <v>67</v>
      </c>
      <c r="H5455" t="str">
        <f t="shared" si="575"/>
        <v>01409770631</v>
      </c>
      <c r="I5455" t="str">
        <f t="shared" si="575"/>
        <v>01409770631</v>
      </c>
      <c r="K5455" t="str">
        <f>""</f>
        <v/>
      </c>
      <c r="M5455" t="s">
        <v>68</v>
      </c>
      <c r="N5455" t="str">
        <f t="shared" si="573"/>
        <v>FOR</v>
      </c>
      <c r="O5455" t="s">
        <v>69</v>
      </c>
      <c r="P5455" s="3" t="s">
        <v>75</v>
      </c>
      <c r="Q5455">
        <v>2015</v>
      </c>
      <c r="R5455" s="2">
        <v>42353</v>
      </c>
      <c r="S5455" s="2">
        <v>42369</v>
      </c>
      <c r="T5455" s="2">
        <v>42369</v>
      </c>
      <c r="U5455" s="2">
        <v>42429</v>
      </c>
      <c r="V5455" t="s">
        <v>71</v>
      </c>
      <c r="W5455" t="str">
        <f>"              9/1793"</f>
        <v xml:space="preserve">              9/1793</v>
      </c>
      <c r="X5455">
        <v>261.06</v>
      </c>
      <c r="Y5455">
        <v>0</v>
      </c>
      <c r="Z5455" s="3">
        <v>213.98</v>
      </c>
      <c r="AA5455">
        <v>263</v>
      </c>
      <c r="AB5455" s="5">
        <v>56276.74</v>
      </c>
      <c r="AC5455">
        <v>213.98</v>
      </c>
      <c r="AD5455">
        <v>263</v>
      </c>
      <c r="AE5455" s="1">
        <v>56276.74</v>
      </c>
      <c r="AF5455">
        <v>0</v>
      </c>
      <c r="AJ5455">
        <v>0</v>
      </c>
      <c r="AK5455">
        <v>0</v>
      </c>
      <c r="AL5455">
        <v>0</v>
      </c>
      <c r="AM5455">
        <v>0</v>
      </c>
      <c r="AN5455">
        <v>0</v>
      </c>
      <c r="AO5455">
        <v>0</v>
      </c>
      <c r="AP5455" s="2">
        <v>42746</v>
      </c>
      <c r="AQ5455" t="s">
        <v>72</v>
      </c>
      <c r="AR5455" t="s">
        <v>72</v>
      </c>
      <c r="AS5455">
        <v>3182</v>
      </c>
      <c r="AT5455" s="4">
        <v>42692</v>
      </c>
      <c r="AU5455" t="s">
        <v>73</v>
      </c>
      <c r="AV5455">
        <v>3182</v>
      </c>
      <c r="AW5455" s="4">
        <v>42692</v>
      </c>
      <c r="BD5455">
        <v>0</v>
      </c>
      <c r="BN5455" t="s">
        <v>74</v>
      </c>
    </row>
    <row r="5456" spans="1:66">
      <c r="A5456">
        <v>102698</v>
      </c>
      <c r="B5456" s="3" t="s">
        <v>559</v>
      </c>
      <c r="C5456" s="1">
        <v>43300101</v>
      </c>
      <c r="D5456" t="s">
        <v>67</v>
      </c>
      <c r="H5456" t="str">
        <f t="shared" si="575"/>
        <v>01409770631</v>
      </c>
      <c r="I5456" t="str">
        <f t="shared" si="575"/>
        <v>01409770631</v>
      </c>
      <c r="K5456" t="str">
        <f>""</f>
        <v/>
      </c>
      <c r="M5456" t="s">
        <v>68</v>
      </c>
      <c r="N5456" t="str">
        <f t="shared" si="573"/>
        <v>FOR</v>
      </c>
      <c r="O5456" t="s">
        <v>69</v>
      </c>
      <c r="P5456" s="3" t="s">
        <v>75</v>
      </c>
      <c r="Q5456">
        <v>2015</v>
      </c>
      <c r="R5456" s="2">
        <v>42353</v>
      </c>
      <c r="S5456" s="2">
        <v>42369</v>
      </c>
      <c r="T5456" s="2">
        <v>42369</v>
      </c>
      <c r="U5456" s="2">
        <v>42429</v>
      </c>
      <c r="V5456" t="s">
        <v>71</v>
      </c>
      <c r="W5456" t="str">
        <f>"              9/1794"</f>
        <v xml:space="preserve">              9/1794</v>
      </c>
      <c r="X5456">
        <v>347.46</v>
      </c>
      <c r="Y5456">
        <v>0</v>
      </c>
      <c r="Z5456" s="3">
        <v>284.8</v>
      </c>
      <c r="AA5456">
        <v>263</v>
      </c>
      <c r="AB5456" s="5">
        <v>74902.399999999994</v>
      </c>
      <c r="AC5456">
        <v>284.8</v>
      </c>
      <c r="AD5456">
        <v>263</v>
      </c>
      <c r="AE5456" s="1">
        <v>74902.399999999994</v>
      </c>
      <c r="AF5456">
        <v>0</v>
      </c>
      <c r="AJ5456">
        <v>0</v>
      </c>
      <c r="AK5456">
        <v>0</v>
      </c>
      <c r="AL5456">
        <v>0</v>
      </c>
      <c r="AM5456">
        <v>0</v>
      </c>
      <c r="AN5456">
        <v>0</v>
      </c>
      <c r="AO5456">
        <v>0</v>
      </c>
      <c r="AP5456" s="2">
        <v>42746</v>
      </c>
      <c r="AQ5456" t="s">
        <v>72</v>
      </c>
      <c r="AR5456" t="s">
        <v>72</v>
      </c>
      <c r="AS5456">
        <v>3182</v>
      </c>
      <c r="AT5456" s="4">
        <v>42692</v>
      </c>
      <c r="AU5456" t="s">
        <v>73</v>
      </c>
      <c r="AV5456">
        <v>3182</v>
      </c>
      <c r="AW5456" s="4">
        <v>42692</v>
      </c>
      <c r="BD5456">
        <v>0</v>
      </c>
      <c r="BN5456" t="s">
        <v>74</v>
      </c>
    </row>
    <row r="5457" spans="1:66">
      <c r="A5457">
        <v>102698</v>
      </c>
      <c r="B5457" s="3" t="s">
        <v>559</v>
      </c>
      <c r="C5457" s="1">
        <v>43300101</v>
      </c>
      <c r="D5457" t="s">
        <v>67</v>
      </c>
      <c r="H5457" t="str">
        <f t="shared" si="575"/>
        <v>01409770631</v>
      </c>
      <c r="I5457" t="str">
        <f t="shared" si="575"/>
        <v>01409770631</v>
      </c>
      <c r="K5457" t="str">
        <f>""</f>
        <v/>
      </c>
      <c r="M5457" t="s">
        <v>68</v>
      </c>
      <c r="N5457" t="str">
        <f t="shared" si="573"/>
        <v>FOR</v>
      </c>
      <c r="O5457" t="s">
        <v>69</v>
      </c>
      <c r="P5457" s="3" t="s">
        <v>75</v>
      </c>
      <c r="Q5457">
        <v>2015</v>
      </c>
      <c r="R5457" s="2">
        <v>42353</v>
      </c>
      <c r="S5457" s="2">
        <v>42369</v>
      </c>
      <c r="T5457" s="2">
        <v>42369</v>
      </c>
      <c r="U5457" s="2">
        <v>42429</v>
      </c>
      <c r="V5457" t="s">
        <v>71</v>
      </c>
      <c r="W5457" t="str">
        <f>"              9/1795"</f>
        <v xml:space="preserve">              9/1795</v>
      </c>
      <c r="X5457" s="1">
        <v>5906.75</v>
      </c>
      <c r="Y5457">
        <v>0</v>
      </c>
      <c r="Z5457" s="5">
        <v>4841.6000000000004</v>
      </c>
      <c r="AA5457">
        <v>263</v>
      </c>
      <c r="AB5457" s="5">
        <v>1273340.8</v>
      </c>
      <c r="AC5457" s="1">
        <v>4841.6000000000004</v>
      </c>
      <c r="AD5457">
        <v>263</v>
      </c>
      <c r="AE5457" s="1">
        <v>1273340.8</v>
      </c>
      <c r="AF5457">
        <v>0</v>
      </c>
      <c r="AJ5457">
        <v>0</v>
      </c>
      <c r="AK5457">
        <v>0</v>
      </c>
      <c r="AL5457">
        <v>0</v>
      </c>
      <c r="AM5457">
        <v>0</v>
      </c>
      <c r="AN5457">
        <v>0</v>
      </c>
      <c r="AO5457">
        <v>0</v>
      </c>
      <c r="AP5457" s="2">
        <v>42746</v>
      </c>
      <c r="AQ5457" t="s">
        <v>72</v>
      </c>
      <c r="AR5457" t="s">
        <v>72</v>
      </c>
      <c r="AS5457">
        <v>3182</v>
      </c>
      <c r="AT5457" s="4">
        <v>42692</v>
      </c>
      <c r="AU5457" t="s">
        <v>73</v>
      </c>
      <c r="AV5457">
        <v>3182</v>
      </c>
      <c r="AW5457" s="4">
        <v>42692</v>
      </c>
      <c r="BD5457">
        <v>0</v>
      </c>
      <c r="BN5457" t="s">
        <v>74</v>
      </c>
    </row>
    <row r="5458" spans="1:66">
      <c r="A5458">
        <v>102698</v>
      </c>
      <c r="B5458" s="3" t="s">
        <v>559</v>
      </c>
      <c r="C5458" s="1">
        <v>43300101</v>
      </c>
      <c r="D5458" t="s">
        <v>67</v>
      </c>
      <c r="H5458" t="str">
        <f t="shared" si="575"/>
        <v>01409770631</v>
      </c>
      <c r="I5458" t="str">
        <f t="shared" si="575"/>
        <v>01409770631</v>
      </c>
      <c r="K5458" t="str">
        <f>""</f>
        <v/>
      </c>
      <c r="M5458" t="s">
        <v>68</v>
      </c>
      <c r="N5458" t="str">
        <f t="shared" si="573"/>
        <v>FOR</v>
      </c>
      <c r="O5458" t="s">
        <v>69</v>
      </c>
      <c r="P5458" s="3" t="s">
        <v>75</v>
      </c>
      <c r="Q5458">
        <v>2015</v>
      </c>
      <c r="R5458" s="2">
        <v>42353</v>
      </c>
      <c r="S5458" s="2">
        <v>42369</v>
      </c>
      <c r="T5458" s="2">
        <v>42369</v>
      </c>
      <c r="U5458" s="2">
        <v>42429</v>
      </c>
      <c r="V5458" t="s">
        <v>71</v>
      </c>
      <c r="W5458" t="str">
        <f>"              9/1796"</f>
        <v xml:space="preserve">              9/1796</v>
      </c>
      <c r="X5458" s="1">
        <v>6766.24</v>
      </c>
      <c r="Y5458">
        <v>0</v>
      </c>
      <c r="Z5458" s="5">
        <v>5546.1</v>
      </c>
      <c r="AA5458">
        <v>263</v>
      </c>
      <c r="AB5458" s="5">
        <v>1458624.3</v>
      </c>
      <c r="AC5458" s="1">
        <v>5546.1</v>
      </c>
      <c r="AD5458">
        <v>263</v>
      </c>
      <c r="AE5458" s="1">
        <v>1458624.3</v>
      </c>
      <c r="AF5458">
        <v>0</v>
      </c>
      <c r="AJ5458">
        <v>0</v>
      </c>
      <c r="AK5458">
        <v>0</v>
      </c>
      <c r="AL5458">
        <v>0</v>
      </c>
      <c r="AM5458">
        <v>0</v>
      </c>
      <c r="AN5458">
        <v>0</v>
      </c>
      <c r="AO5458">
        <v>0</v>
      </c>
      <c r="AP5458" s="2">
        <v>42746</v>
      </c>
      <c r="AQ5458" t="s">
        <v>72</v>
      </c>
      <c r="AR5458" t="s">
        <v>72</v>
      </c>
      <c r="AS5458">
        <v>3182</v>
      </c>
      <c r="AT5458" s="4">
        <v>42692</v>
      </c>
      <c r="AU5458" t="s">
        <v>73</v>
      </c>
      <c r="AV5458">
        <v>3182</v>
      </c>
      <c r="AW5458" s="4">
        <v>42692</v>
      </c>
      <c r="BD5458">
        <v>0</v>
      </c>
      <c r="BN5458" t="s">
        <v>74</v>
      </c>
    </row>
    <row r="5459" spans="1:66">
      <c r="A5459">
        <v>102698</v>
      </c>
      <c r="B5459" s="3" t="s">
        <v>559</v>
      </c>
      <c r="C5459" s="1">
        <v>43300101</v>
      </c>
      <c r="D5459" t="s">
        <v>67</v>
      </c>
      <c r="H5459" t="str">
        <f t="shared" si="575"/>
        <v>01409770631</v>
      </c>
      <c r="I5459" t="str">
        <f t="shared" si="575"/>
        <v>01409770631</v>
      </c>
      <c r="K5459" t="str">
        <f>""</f>
        <v/>
      </c>
      <c r="M5459" t="s">
        <v>68</v>
      </c>
      <c r="N5459" t="str">
        <f t="shared" si="573"/>
        <v>FOR</v>
      </c>
      <c r="O5459" t="s">
        <v>69</v>
      </c>
      <c r="P5459" s="3" t="s">
        <v>75</v>
      </c>
      <c r="Q5459">
        <v>2015</v>
      </c>
      <c r="R5459" s="2">
        <v>42353</v>
      </c>
      <c r="S5459" s="2">
        <v>42369</v>
      </c>
      <c r="T5459" s="2">
        <v>42369</v>
      </c>
      <c r="U5459" s="2">
        <v>42429</v>
      </c>
      <c r="V5459" t="s">
        <v>71</v>
      </c>
      <c r="W5459" t="str">
        <f>"              9/1797"</f>
        <v xml:space="preserve">              9/1797</v>
      </c>
      <c r="X5459" s="1">
        <v>7740.17</v>
      </c>
      <c r="Y5459">
        <v>0</v>
      </c>
      <c r="Z5459" s="5">
        <v>6344.4</v>
      </c>
      <c r="AA5459">
        <v>263</v>
      </c>
      <c r="AB5459" s="5">
        <v>1668577.2</v>
      </c>
      <c r="AC5459" s="1">
        <v>6344.4</v>
      </c>
      <c r="AD5459">
        <v>263</v>
      </c>
      <c r="AE5459" s="1">
        <v>1668577.2</v>
      </c>
      <c r="AF5459">
        <v>0</v>
      </c>
      <c r="AJ5459">
        <v>0</v>
      </c>
      <c r="AK5459">
        <v>0</v>
      </c>
      <c r="AL5459">
        <v>0</v>
      </c>
      <c r="AM5459">
        <v>0</v>
      </c>
      <c r="AN5459">
        <v>0</v>
      </c>
      <c r="AO5459">
        <v>0</v>
      </c>
      <c r="AP5459" s="2">
        <v>42746</v>
      </c>
      <c r="AQ5459" t="s">
        <v>72</v>
      </c>
      <c r="AR5459" t="s">
        <v>72</v>
      </c>
      <c r="AS5459">
        <v>3182</v>
      </c>
      <c r="AT5459" s="4">
        <v>42692</v>
      </c>
      <c r="AU5459" t="s">
        <v>73</v>
      </c>
      <c r="AV5459">
        <v>3182</v>
      </c>
      <c r="AW5459" s="4">
        <v>42692</v>
      </c>
      <c r="BD5459">
        <v>0</v>
      </c>
      <c r="BN5459" t="s">
        <v>74</v>
      </c>
    </row>
    <row r="5460" spans="1:66">
      <c r="A5460">
        <v>102698</v>
      </c>
      <c r="B5460" s="3" t="s">
        <v>559</v>
      </c>
      <c r="C5460" s="1">
        <v>43300101</v>
      </c>
      <c r="D5460" t="s">
        <v>67</v>
      </c>
      <c r="H5460" t="str">
        <f t="shared" si="575"/>
        <v>01409770631</v>
      </c>
      <c r="I5460" t="str">
        <f t="shared" si="575"/>
        <v>01409770631</v>
      </c>
      <c r="K5460" t="str">
        <f>""</f>
        <v/>
      </c>
      <c r="M5460" t="s">
        <v>68</v>
      </c>
      <c r="N5460" t="str">
        <f t="shared" si="573"/>
        <v>FOR</v>
      </c>
      <c r="O5460" t="s">
        <v>69</v>
      </c>
      <c r="P5460" s="3" t="s">
        <v>75</v>
      </c>
      <c r="Q5460">
        <v>2015</v>
      </c>
      <c r="R5460" s="2">
        <v>42353</v>
      </c>
      <c r="S5460" s="2">
        <v>42369</v>
      </c>
      <c r="T5460" s="2">
        <v>42369</v>
      </c>
      <c r="U5460" s="2">
        <v>42429</v>
      </c>
      <c r="V5460" t="s">
        <v>71</v>
      </c>
      <c r="W5460" t="str">
        <f>"              9/1798"</f>
        <v xml:space="preserve">              9/1798</v>
      </c>
      <c r="X5460" s="1">
        <v>6766.24</v>
      </c>
      <c r="Y5460">
        <v>0</v>
      </c>
      <c r="Z5460" s="5">
        <v>5546.1</v>
      </c>
      <c r="AA5460">
        <v>263</v>
      </c>
      <c r="AB5460" s="5">
        <v>1458624.3</v>
      </c>
      <c r="AC5460" s="1">
        <v>5546.1</v>
      </c>
      <c r="AD5460">
        <v>263</v>
      </c>
      <c r="AE5460" s="1">
        <v>1458624.3</v>
      </c>
      <c r="AF5460">
        <v>0</v>
      </c>
      <c r="AJ5460">
        <v>0</v>
      </c>
      <c r="AK5460">
        <v>0</v>
      </c>
      <c r="AL5460">
        <v>0</v>
      </c>
      <c r="AM5460">
        <v>0</v>
      </c>
      <c r="AN5460">
        <v>0</v>
      </c>
      <c r="AO5460">
        <v>0</v>
      </c>
      <c r="AP5460" s="2">
        <v>42746</v>
      </c>
      <c r="AQ5460" t="s">
        <v>72</v>
      </c>
      <c r="AR5460" t="s">
        <v>72</v>
      </c>
      <c r="AS5460">
        <v>3182</v>
      </c>
      <c r="AT5460" s="4">
        <v>42692</v>
      </c>
      <c r="AU5460" t="s">
        <v>73</v>
      </c>
      <c r="AV5460">
        <v>3182</v>
      </c>
      <c r="AW5460" s="4">
        <v>42692</v>
      </c>
      <c r="BD5460">
        <v>0</v>
      </c>
      <c r="BN5460" t="s">
        <v>74</v>
      </c>
    </row>
    <row r="5461" spans="1:66">
      <c r="A5461">
        <v>102698</v>
      </c>
      <c r="B5461" s="3" t="s">
        <v>559</v>
      </c>
      <c r="C5461" s="1">
        <v>43300101</v>
      </c>
      <c r="D5461" t="s">
        <v>67</v>
      </c>
      <c r="H5461" t="str">
        <f t="shared" si="575"/>
        <v>01409770631</v>
      </c>
      <c r="I5461" t="str">
        <f t="shared" si="575"/>
        <v>01409770631</v>
      </c>
      <c r="K5461" t="str">
        <f>""</f>
        <v/>
      </c>
      <c r="M5461" t="s">
        <v>68</v>
      </c>
      <c r="N5461" t="str">
        <f t="shared" si="573"/>
        <v>FOR</v>
      </c>
      <c r="O5461" t="s">
        <v>69</v>
      </c>
      <c r="P5461" s="3" t="s">
        <v>75</v>
      </c>
      <c r="Q5461">
        <v>2015</v>
      </c>
      <c r="R5461" s="2">
        <v>42369</v>
      </c>
      <c r="S5461" s="2">
        <v>42369</v>
      </c>
      <c r="T5461" s="2">
        <v>42369</v>
      </c>
      <c r="U5461" s="2">
        <v>42429</v>
      </c>
      <c r="V5461" t="s">
        <v>71</v>
      </c>
      <c r="W5461" t="str">
        <f>"              9/1898"</f>
        <v xml:space="preserve">              9/1898</v>
      </c>
      <c r="X5461">
        <v>521.17999999999995</v>
      </c>
      <c r="Y5461">
        <v>0</v>
      </c>
      <c r="Z5461" s="3">
        <v>427.2</v>
      </c>
      <c r="AA5461">
        <v>263</v>
      </c>
      <c r="AB5461" s="5">
        <v>112353.60000000001</v>
      </c>
      <c r="AC5461">
        <v>427.2</v>
      </c>
      <c r="AD5461">
        <v>263</v>
      </c>
      <c r="AE5461" s="1">
        <v>112353.60000000001</v>
      </c>
      <c r="AF5461">
        <v>0</v>
      </c>
      <c r="AJ5461">
        <v>0</v>
      </c>
      <c r="AK5461">
        <v>0</v>
      </c>
      <c r="AL5461">
        <v>0</v>
      </c>
      <c r="AM5461">
        <v>0</v>
      </c>
      <c r="AN5461">
        <v>0</v>
      </c>
      <c r="AO5461">
        <v>0</v>
      </c>
      <c r="AP5461" s="2">
        <v>42746</v>
      </c>
      <c r="AQ5461" t="s">
        <v>72</v>
      </c>
      <c r="AR5461" t="s">
        <v>72</v>
      </c>
      <c r="AS5461">
        <v>3182</v>
      </c>
      <c r="AT5461" s="4">
        <v>42692</v>
      </c>
      <c r="AU5461" t="s">
        <v>73</v>
      </c>
      <c r="AV5461">
        <v>3182</v>
      </c>
      <c r="AW5461" s="4">
        <v>42692</v>
      </c>
      <c r="BD5461">
        <v>0</v>
      </c>
      <c r="BN5461" t="s">
        <v>74</v>
      </c>
    </row>
    <row r="5462" spans="1:66">
      <c r="A5462">
        <v>102698</v>
      </c>
      <c r="B5462" s="3" t="s">
        <v>559</v>
      </c>
      <c r="C5462" s="1">
        <v>43300101</v>
      </c>
      <c r="D5462" t="s">
        <v>67</v>
      </c>
      <c r="H5462" t="str">
        <f t="shared" si="575"/>
        <v>01409770631</v>
      </c>
      <c r="I5462" t="str">
        <f t="shared" si="575"/>
        <v>01409770631</v>
      </c>
      <c r="K5462" t="str">
        <f>""</f>
        <v/>
      </c>
      <c r="M5462" t="s">
        <v>68</v>
      </c>
      <c r="N5462" t="str">
        <f t="shared" si="573"/>
        <v>FOR</v>
      </c>
      <c r="O5462" t="s">
        <v>69</v>
      </c>
      <c r="P5462" s="3" t="s">
        <v>75</v>
      </c>
      <c r="Q5462">
        <v>2015</v>
      </c>
      <c r="R5462" s="2">
        <v>42369</v>
      </c>
      <c r="S5462" s="2">
        <v>42395</v>
      </c>
      <c r="T5462" s="2">
        <v>42391</v>
      </c>
      <c r="U5462" s="2">
        <v>42451</v>
      </c>
      <c r="V5462" t="s">
        <v>71</v>
      </c>
      <c r="W5462" t="str">
        <f>"              9/1899"</f>
        <v xml:space="preserve">              9/1899</v>
      </c>
      <c r="X5462">
        <v>47.95</v>
      </c>
      <c r="Y5462">
        <v>0</v>
      </c>
      <c r="Z5462" s="3">
        <v>39.299999999999997</v>
      </c>
      <c r="AA5462">
        <v>241</v>
      </c>
      <c r="AB5462" s="5">
        <v>9471.2999999999993</v>
      </c>
      <c r="AC5462">
        <v>39.299999999999997</v>
      </c>
      <c r="AD5462">
        <v>241</v>
      </c>
      <c r="AE5462" s="1">
        <v>9471.2999999999993</v>
      </c>
      <c r="AF5462">
        <v>0</v>
      </c>
      <c r="AJ5462">
        <v>0</v>
      </c>
      <c r="AK5462">
        <v>0</v>
      </c>
      <c r="AL5462">
        <v>0</v>
      </c>
      <c r="AM5462">
        <v>0</v>
      </c>
      <c r="AN5462">
        <v>47.95</v>
      </c>
      <c r="AO5462">
        <v>0</v>
      </c>
      <c r="AP5462" s="2">
        <v>42746</v>
      </c>
      <c r="AQ5462" t="s">
        <v>72</v>
      </c>
      <c r="AR5462" t="s">
        <v>72</v>
      </c>
      <c r="AS5462">
        <v>3182</v>
      </c>
      <c r="AT5462" s="4">
        <v>42692</v>
      </c>
      <c r="AU5462" t="s">
        <v>73</v>
      </c>
      <c r="AV5462">
        <v>3182</v>
      </c>
      <c r="AW5462" s="4">
        <v>42692</v>
      </c>
      <c r="BD5462">
        <v>0</v>
      </c>
      <c r="BN5462" t="s">
        <v>74</v>
      </c>
    </row>
    <row r="5463" spans="1:66">
      <c r="A5463">
        <v>102698</v>
      </c>
      <c r="B5463" s="3" t="s">
        <v>559</v>
      </c>
      <c r="C5463" s="1">
        <v>43300101</v>
      </c>
      <c r="D5463" t="s">
        <v>67</v>
      </c>
      <c r="H5463" t="str">
        <f t="shared" si="575"/>
        <v>01409770631</v>
      </c>
      <c r="I5463" t="str">
        <f t="shared" si="575"/>
        <v>01409770631</v>
      </c>
      <c r="K5463" t="str">
        <f>""</f>
        <v/>
      </c>
      <c r="M5463" t="s">
        <v>68</v>
      </c>
      <c r="N5463" t="str">
        <f t="shared" si="573"/>
        <v>FOR</v>
      </c>
      <c r="O5463" t="s">
        <v>69</v>
      </c>
      <c r="P5463" s="3" t="s">
        <v>75</v>
      </c>
      <c r="Q5463">
        <v>2015</v>
      </c>
      <c r="R5463" s="2">
        <v>42369</v>
      </c>
      <c r="S5463" s="2">
        <v>42395</v>
      </c>
      <c r="T5463" s="2">
        <v>42391</v>
      </c>
      <c r="U5463" s="2">
        <v>42451</v>
      </c>
      <c r="V5463" t="s">
        <v>71</v>
      </c>
      <c r="W5463" t="str">
        <f>"              9/1900"</f>
        <v xml:space="preserve">              9/1900</v>
      </c>
      <c r="X5463">
        <v>191.69</v>
      </c>
      <c r="Y5463">
        <v>0</v>
      </c>
      <c r="Z5463" s="3">
        <v>157.12</v>
      </c>
      <c r="AA5463">
        <v>241</v>
      </c>
      <c r="AB5463" s="5">
        <v>37865.919999999998</v>
      </c>
      <c r="AC5463">
        <v>157.12</v>
      </c>
      <c r="AD5463">
        <v>241</v>
      </c>
      <c r="AE5463" s="1">
        <v>37865.919999999998</v>
      </c>
      <c r="AF5463">
        <v>0</v>
      </c>
      <c r="AJ5463">
        <v>0</v>
      </c>
      <c r="AK5463">
        <v>0</v>
      </c>
      <c r="AL5463">
        <v>0</v>
      </c>
      <c r="AM5463">
        <v>0</v>
      </c>
      <c r="AN5463">
        <v>191.69</v>
      </c>
      <c r="AO5463">
        <v>0</v>
      </c>
      <c r="AP5463" s="2">
        <v>42746</v>
      </c>
      <c r="AQ5463" t="s">
        <v>72</v>
      </c>
      <c r="AR5463" t="s">
        <v>72</v>
      </c>
      <c r="AS5463">
        <v>3182</v>
      </c>
      <c r="AT5463" s="4">
        <v>42692</v>
      </c>
      <c r="AU5463" t="s">
        <v>73</v>
      </c>
      <c r="AV5463">
        <v>3182</v>
      </c>
      <c r="AW5463" s="4">
        <v>42692</v>
      </c>
      <c r="BD5463">
        <v>0</v>
      </c>
      <c r="BN5463" t="s">
        <v>74</v>
      </c>
    </row>
    <row r="5464" spans="1:66" hidden="1">
      <c r="A5464">
        <v>102698</v>
      </c>
      <c r="B5464" s="3" t="s">
        <v>559</v>
      </c>
      <c r="C5464" s="1">
        <v>43300101</v>
      </c>
      <c r="D5464" t="s">
        <v>67</v>
      </c>
      <c r="H5464" t="str">
        <f t="shared" si="575"/>
        <v>01409770631</v>
      </c>
      <c r="I5464" t="str">
        <f t="shared" si="575"/>
        <v>01409770631</v>
      </c>
      <c r="K5464" t="str">
        <f>""</f>
        <v/>
      </c>
      <c r="M5464" t="s">
        <v>68</v>
      </c>
      <c r="N5464" t="str">
        <f t="shared" si="573"/>
        <v>FOR</v>
      </c>
      <c r="O5464" t="s">
        <v>69</v>
      </c>
      <c r="P5464" s="3" t="s">
        <v>70</v>
      </c>
      <c r="Q5464">
        <v>2015</v>
      </c>
      <c r="R5464" s="2">
        <v>42035</v>
      </c>
      <c r="S5464" s="2">
        <v>42369</v>
      </c>
      <c r="T5464" s="2">
        <v>42369</v>
      </c>
      <c r="U5464" s="2">
        <v>42429</v>
      </c>
      <c r="V5464" t="s">
        <v>71</v>
      </c>
      <c r="W5464" t="str">
        <f>"              900192"</f>
        <v xml:space="preserve">              900192</v>
      </c>
      <c r="X5464" s="1">
        <v>1117.46</v>
      </c>
      <c r="Y5464">
        <v>0</v>
      </c>
      <c r="Z5464"/>
      <c r="AB5464"/>
      <c r="AC5464">
        <v>915.95</v>
      </c>
      <c r="AD5464">
        <v>1</v>
      </c>
      <c r="AE5464">
        <v>915.95</v>
      </c>
      <c r="AF5464">
        <v>0</v>
      </c>
      <c r="AJ5464">
        <v>0</v>
      </c>
      <c r="AK5464">
        <v>0</v>
      </c>
      <c r="AL5464">
        <v>0</v>
      </c>
      <c r="AM5464">
        <v>0</v>
      </c>
      <c r="AN5464">
        <v>0</v>
      </c>
      <c r="AO5464">
        <v>0</v>
      </c>
      <c r="AP5464" s="2">
        <v>42746</v>
      </c>
      <c r="AQ5464" t="s">
        <v>72</v>
      </c>
      <c r="AR5464" t="s">
        <v>72</v>
      </c>
      <c r="AS5464">
        <v>597</v>
      </c>
      <c r="AT5464" s="4">
        <v>42430</v>
      </c>
      <c r="AU5464" t="s">
        <v>73</v>
      </c>
      <c r="AV5464">
        <v>597</v>
      </c>
      <c r="AW5464" s="4">
        <v>42430</v>
      </c>
      <c r="BD5464">
        <v>0</v>
      </c>
      <c r="BN5464" t="s">
        <v>74</v>
      </c>
    </row>
    <row r="5465" spans="1:66" hidden="1">
      <c r="A5465">
        <v>102698</v>
      </c>
      <c r="B5465" s="3" t="s">
        <v>559</v>
      </c>
      <c r="C5465" s="1">
        <v>43300101</v>
      </c>
      <c r="D5465" t="s">
        <v>67</v>
      </c>
      <c r="H5465" t="str">
        <f t="shared" si="575"/>
        <v>01409770631</v>
      </c>
      <c r="I5465" t="str">
        <f t="shared" si="575"/>
        <v>01409770631</v>
      </c>
      <c r="K5465" t="str">
        <f>""</f>
        <v/>
      </c>
      <c r="M5465" t="s">
        <v>68</v>
      </c>
      <c r="N5465" t="str">
        <f t="shared" si="573"/>
        <v>FOR</v>
      </c>
      <c r="O5465" t="s">
        <v>69</v>
      </c>
      <c r="P5465" s="3" t="s">
        <v>70</v>
      </c>
      <c r="Q5465">
        <v>2015</v>
      </c>
      <c r="R5465" s="2">
        <v>42035</v>
      </c>
      <c r="S5465" s="2">
        <v>42369</v>
      </c>
      <c r="T5465" s="2">
        <v>42369</v>
      </c>
      <c r="U5465" s="2">
        <v>42429</v>
      </c>
      <c r="V5465" t="s">
        <v>71</v>
      </c>
      <c r="W5465" t="str">
        <f>"              900193"</f>
        <v xml:space="preserve">              900193</v>
      </c>
      <c r="X5465" s="1">
        <v>5211.84</v>
      </c>
      <c r="Y5465">
        <v>0</v>
      </c>
      <c r="Z5465"/>
      <c r="AB5465"/>
      <c r="AC5465" s="1">
        <v>4272</v>
      </c>
      <c r="AD5465">
        <v>1</v>
      </c>
      <c r="AE5465" s="1">
        <v>4272</v>
      </c>
      <c r="AF5465">
        <v>0</v>
      </c>
      <c r="AJ5465">
        <v>0</v>
      </c>
      <c r="AK5465">
        <v>0</v>
      </c>
      <c r="AL5465">
        <v>0</v>
      </c>
      <c r="AM5465">
        <v>0</v>
      </c>
      <c r="AN5465">
        <v>0</v>
      </c>
      <c r="AO5465">
        <v>0</v>
      </c>
      <c r="AP5465" s="2">
        <v>42746</v>
      </c>
      <c r="AQ5465" t="s">
        <v>72</v>
      </c>
      <c r="AR5465" t="s">
        <v>72</v>
      </c>
      <c r="AS5465">
        <v>597</v>
      </c>
      <c r="AT5465" s="4">
        <v>42430</v>
      </c>
      <c r="AU5465" t="s">
        <v>73</v>
      </c>
      <c r="AV5465">
        <v>597</v>
      </c>
      <c r="AW5465" s="4">
        <v>42430</v>
      </c>
      <c r="BD5465">
        <v>0</v>
      </c>
      <c r="BN5465" t="s">
        <v>74</v>
      </c>
    </row>
    <row r="5466" spans="1:66" hidden="1">
      <c r="A5466">
        <v>102698</v>
      </c>
      <c r="B5466" s="3" t="s">
        <v>559</v>
      </c>
      <c r="C5466" s="1">
        <v>43300101</v>
      </c>
      <c r="D5466" t="s">
        <v>67</v>
      </c>
      <c r="H5466" t="str">
        <f t="shared" si="575"/>
        <v>01409770631</v>
      </c>
      <c r="I5466" t="str">
        <f t="shared" si="575"/>
        <v>01409770631</v>
      </c>
      <c r="K5466" t="str">
        <f>""</f>
        <v/>
      </c>
      <c r="M5466" t="s">
        <v>68</v>
      </c>
      <c r="N5466" t="str">
        <f t="shared" si="573"/>
        <v>FOR</v>
      </c>
      <c r="O5466" t="s">
        <v>69</v>
      </c>
      <c r="P5466" s="3" t="s">
        <v>70</v>
      </c>
      <c r="Q5466">
        <v>2015</v>
      </c>
      <c r="R5466" s="2">
        <v>42035</v>
      </c>
      <c r="S5466" s="2">
        <v>42369</v>
      </c>
      <c r="T5466" s="2">
        <v>42369</v>
      </c>
      <c r="U5466" s="2">
        <v>42429</v>
      </c>
      <c r="V5466" t="s">
        <v>71</v>
      </c>
      <c r="W5466" t="str">
        <f>"              900194"</f>
        <v xml:space="preserve">              900194</v>
      </c>
      <c r="X5466">
        <v>474.58</v>
      </c>
      <c r="Y5466">
        <v>0</v>
      </c>
      <c r="Z5466"/>
      <c r="AB5466"/>
      <c r="AC5466">
        <v>389</v>
      </c>
      <c r="AD5466">
        <v>1</v>
      </c>
      <c r="AE5466">
        <v>389</v>
      </c>
      <c r="AF5466">
        <v>0</v>
      </c>
      <c r="AJ5466">
        <v>0</v>
      </c>
      <c r="AK5466">
        <v>0</v>
      </c>
      <c r="AL5466">
        <v>0</v>
      </c>
      <c r="AM5466">
        <v>0</v>
      </c>
      <c r="AN5466">
        <v>0</v>
      </c>
      <c r="AO5466">
        <v>0</v>
      </c>
      <c r="AP5466" s="2">
        <v>42746</v>
      </c>
      <c r="AQ5466" t="s">
        <v>72</v>
      </c>
      <c r="AR5466" t="s">
        <v>72</v>
      </c>
      <c r="AS5466">
        <v>597</v>
      </c>
      <c r="AT5466" s="4">
        <v>42430</v>
      </c>
      <c r="AU5466" t="s">
        <v>73</v>
      </c>
      <c r="AV5466">
        <v>597</v>
      </c>
      <c r="AW5466" s="4">
        <v>42430</v>
      </c>
      <c r="BD5466">
        <v>0</v>
      </c>
      <c r="BN5466" t="s">
        <v>74</v>
      </c>
    </row>
    <row r="5467" spans="1:66" hidden="1">
      <c r="A5467">
        <v>102698</v>
      </c>
      <c r="B5467" s="3" t="s">
        <v>559</v>
      </c>
      <c r="C5467" s="1">
        <v>43300101</v>
      </c>
      <c r="D5467" t="s">
        <v>67</v>
      </c>
      <c r="H5467" t="str">
        <f t="shared" si="575"/>
        <v>01409770631</v>
      </c>
      <c r="I5467" t="str">
        <f t="shared" si="575"/>
        <v>01409770631</v>
      </c>
      <c r="K5467" t="str">
        <f>""</f>
        <v/>
      </c>
      <c r="M5467" t="s">
        <v>68</v>
      </c>
      <c r="N5467" t="str">
        <f t="shared" si="573"/>
        <v>FOR</v>
      </c>
      <c r="O5467" t="s">
        <v>69</v>
      </c>
      <c r="P5467" s="3" t="s">
        <v>70</v>
      </c>
      <c r="Q5467">
        <v>2015</v>
      </c>
      <c r="R5467" s="2">
        <v>42035</v>
      </c>
      <c r="S5467" s="2">
        <v>42369</v>
      </c>
      <c r="T5467" s="2">
        <v>42369</v>
      </c>
      <c r="U5467" s="2">
        <v>42429</v>
      </c>
      <c r="V5467" t="s">
        <v>71</v>
      </c>
      <c r="W5467" t="str">
        <f>"              900195"</f>
        <v xml:space="preserve">              900195</v>
      </c>
      <c r="X5467">
        <v>676.64</v>
      </c>
      <c r="Y5467">
        <v>0</v>
      </c>
      <c r="Z5467"/>
      <c r="AB5467"/>
      <c r="AC5467">
        <v>554.62</v>
      </c>
      <c r="AD5467">
        <v>1</v>
      </c>
      <c r="AE5467">
        <v>554.62</v>
      </c>
      <c r="AF5467">
        <v>0</v>
      </c>
      <c r="AJ5467">
        <v>0</v>
      </c>
      <c r="AK5467">
        <v>0</v>
      </c>
      <c r="AL5467">
        <v>0</v>
      </c>
      <c r="AM5467">
        <v>0</v>
      </c>
      <c r="AN5467">
        <v>0</v>
      </c>
      <c r="AO5467">
        <v>0</v>
      </c>
      <c r="AP5467" s="2">
        <v>42746</v>
      </c>
      <c r="AQ5467" t="s">
        <v>72</v>
      </c>
      <c r="AR5467" t="s">
        <v>72</v>
      </c>
      <c r="AS5467">
        <v>597</v>
      </c>
      <c r="AT5467" s="4">
        <v>42430</v>
      </c>
      <c r="AU5467" t="s">
        <v>73</v>
      </c>
      <c r="AV5467">
        <v>597</v>
      </c>
      <c r="AW5467" s="4">
        <v>42430</v>
      </c>
      <c r="BD5467">
        <v>0</v>
      </c>
      <c r="BN5467" t="s">
        <v>74</v>
      </c>
    </row>
    <row r="5468" spans="1:66" hidden="1">
      <c r="A5468">
        <v>102698</v>
      </c>
      <c r="B5468" s="3" t="s">
        <v>559</v>
      </c>
      <c r="C5468" s="1">
        <v>43300101</v>
      </c>
      <c r="D5468" t="s">
        <v>67</v>
      </c>
      <c r="H5468" t="str">
        <f t="shared" si="575"/>
        <v>01409770631</v>
      </c>
      <c r="I5468" t="str">
        <f t="shared" si="575"/>
        <v>01409770631</v>
      </c>
      <c r="K5468" t="str">
        <f>""</f>
        <v/>
      </c>
      <c r="M5468" t="s">
        <v>68</v>
      </c>
      <c r="N5468" t="str">
        <f t="shared" si="573"/>
        <v>FOR</v>
      </c>
      <c r="O5468" t="s">
        <v>69</v>
      </c>
      <c r="P5468" s="3" t="s">
        <v>70</v>
      </c>
      <c r="Q5468">
        <v>2015</v>
      </c>
      <c r="R5468" s="2">
        <v>42035</v>
      </c>
      <c r="S5468" s="2">
        <v>42369</v>
      </c>
      <c r="T5468" s="2">
        <v>42369</v>
      </c>
      <c r="U5468" s="2">
        <v>42429</v>
      </c>
      <c r="V5468" t="s">
        <v>71</v>
      </c>
      <c r="W5468" t="str">
        <f>"              900196"</f>
        <v xml:space="preserve">              900196</v>
      </c>
      <c r="X5468" s="1">
        <v>2706.5</v>
      </c>
      <c r="Y5468">
        <v>0</v>
      </c>
      <c r="Z5468"/>
      <c r="AB5468"/>
      <c r="AC5468" s="1">
        <v>2218.44</v>
      </c>
      <c r="AD5468">
        <v>1</v>
      </c>
      <c r="AE5468" s="1">
        <v>2218.44</v>
      </c>
      <c r="AF5468">
        <v>0</v>
      </c>
      <c r="AJ5468">
        <v>0</v>
      </c>
      <c r="AK5468">
        <v>0</v>
      </c>
      <c r="AL5468">
        <v>0</v>
      </c>
      <c r="AM5468">
        <v>0</v>
      </c>
      <c r="AN5468">
        <v>0</v>
      </c>
      <c r="AO5468">
        <v>0</v>
      </c>
      <c r="AP5468" s="2">
        <v>42746</v>
      </c>
      <c r="AQ5468" t="s">
        <v>72</v>
      </c>
      <c r="AR5468" t="s">
        <v>72</v>
      </c>
      <c r="AS5468">
        <v>597</v>
      </c>
      <c r="AT5468" s="4">
        <v>42430</v>
      </c>
      <c r="AU5468" t="s">
        <v>73</v>
      </c>
      <c r="AV5468">
        <v>597</v>
      </c>
      <c r="AW5468" s="4">
        <v>42430</v>
      </c>
      <c r="BD5468">
        <v>0</v>
      </c>
      <c r="BN5468" t="s">
        <v>74</v>
      </c>
    </row>
    <row r="5469" spans="1:66" hidden="1">
      <c r="A5469">
        <v>102698</v>
      </c>
      <c r="B5469" s="3" t="s">
        <v>559</v>
      </c>
      <c r="C5469" s="1">
        <v>43300101</v>
      </c>
      <c r="D5469" t="s">
        <v>67</v>
      </c>
      <c r="H5469" t="str">
        <f t="shared" ref="H5469:I5491" si="576">"01409770631"</f>
        <v>01409770631</v>
      </c>
      <c r="I5469" t="str">
        <f t="shared" si="576"/>
        <v>01409770631</v>
      </c>
      <c r="K5469" t="str">
        <f>""</f>
        <v/>
      </c>
      <c r="M5469" t="s">
        <v>68</v>
      </c>
      <c r="N5469" t="str">
        <f t="shared" si="573"/>
        <v>FOR</v>
      </c>
      <c r="O5469" t="s">
        <v>69</v>
      </c>
      <c r="P5469" s="3" t="s">
        <v>70</v>
      </c>
      <c r="Q5469">
        <v>2015</v>
      </c>
      <c r="R5469" s="2">
        <v>42035</v>
      </c>
      <c r="S5469" s="2">
        <v>42369</v>
      </c>
      <c r="T5469" s="2">
        <v>42369</v>
      </c>
      <c r="U5469" s="2">
        <v>42429</v>
      </c>
      <c r="V5469" t="s">
        <v>71</v>
      </c>
      <c r="W5469" t="str">
        <f>"              900197"</f>
        <v xml:space="preserve">              900197</v>
      </c>
      <c r="X5469" s="1">
        <v>2851.49</v>
      </c>
      <c r="Y5469">
        <v>0</v>
      </c>
      <c r="Z5469"/>
      <c r="AB5469"/>
      <c r="AC5469" s="1">
        <v>2337.29</v>
      </c>
      <c r="AD5469">
        <v>1</v>
      </c>
      <c r="AE5469" s="1">
        <v>2337.29</v>
      </c>
      <c r="AF5469">
        <v>0</v>
      </c>
      <c r="AJ5469">
        <v>0</v>
      </c>
      <c r="AK5469">
        <v>0</v>
      </c>
      <c r="AL5469">
        <v>0</v>
      </c>
      <c r="AM5469">
        <v>0</v>
      </c>
      <c r="AN5469">
        <v>0</v>
      </c>
      <c r="AO5469">
        <v>0</v>
      </c>
      <c r="AP5469" s="2">
        <v>42746</v>
      </c>
      <c r="AQ5469" t="s">
        <v>72</v>
      </c>
      <c r="AR5469" t="s">
        <v>72</v>
      </c>
      <c r="AS5469">
        <v>597</v>
      </c>
      <c r="AT5469" s="4">
        <v>42430</v>
      </c>
      <c r="AU5469" t="s">
        <v>73</v>
      </c>
      <c r="AV5469">
        <v>597</v>
      </c>
      <c r="AW5469" s="4">
        <v>42430</v>
      </c>
      <c r="BD5469">
        <v>0</v>
      </c>
      <c r="BN5469" t="s">
        <v>74</v>
      </c>
    </row>
    <row r="5470" spans="1:66" hidden="1">
      <c r="A5470">
        <v>102698</v>
      </c>
      <c r="B5470" s="3" t="s">
        <v>559</v>
      </c>
      <c r="C5470" s="1">
        <v>43300101</v>
      </c>
      <c r="D5470" t="s">
        <v>67</v>
      </c>
      <c r="H5470" t="str">
        <f t="shared" si="576"/>
        <v>01409770631</v>
      </c>
      <c r="I5470" t="str">
        <f t="shared" si="576"/>
        <v>01409770631</v>
      </c>
      <c r="K5470" t="str">
        <f>""</f>
        <v/>
      </c>
      <c r="M5470" t="s">
        <v>68</v>
      </c>
      <c r="N5470" t="str">
        <f t="shared" si="573"/>
        <v>FOR</v>
      </c>
      <c r="O5470" t="s">
        <v>69</v>
      </c>
      <c r="P5470" s="3" t="s">
        <v>70</v>
      </c>
      <c r="Q5470">
        <v>2015</v>
      </c>
      <c r="R5470" s="2">
        <v>42035</v>
      </c>
      <c r="S5470" s="2">
        <v>42369</v>
      </c>
      <c r="T5470" s="2">
        <v>42369</v>
      </c>
      <c r="U5470" s="2">
        <v>42429</v>
      </c>
      <c r="V5470" t="s">
        <v>71</v>
      </c>
      <c r="W5470" t="str">
        <f>"              900198"</f>
        <v xml:space="preserve">              900198</v>
      </c>
      <c r="X5470" s="1">
        <v>1498.25</v>
      </c>
      <c r="Y5470">
        <v>0</v>
      </c>
      <c r="Z5470"/>
      <c r="AB5470"/>
      <c r="AC5470" s="1">
        <v>1228.07</v>
      </c>
      <c r="AD5470">
        <v>1</v>
      </c>
      <c r="AE5470" s="1">
        <v>1228.07</v>
      </c>
      <c r="AF5470">
        <v>0</v>
      </c>
      <c r="AJ5470">
        <v>0</v>
      </c>
      <c r="AK5470">
        <v>0</v>
      </c>
      <c r="AL5470">
        <v>0</v>
      </c>
      <c r="AM5470">
        <v>0</v>
      </c>
      <c r="AN5470">
        <v>0</v>
      </c>
      <c r="AO5470">
        <v>0</v>
      </c>
      <c r="AP5470" s="2">
        <v>42746</v>
      </c>
      <c r="AQ5470" t="s">
        <v>72</v>
      </c>
      <c r="AR5470" t="s">
        <v>72</v>
      </c>
      <c r="AS5470">
        <v>597</v>
      </c>
      <c r="AT5470" s="4">
        <v>42430</v>
      </c>
      <c r="AU5470" t="s">
        <v>73</v>
      </c>
      <c r="AV5470">
        <v>597</v>
      </c>
      <c r="AW5470" s="4">
        <v>42430</v>
      </c>
      <c r="BD5470">
        <v>0</v>
      </c>
      <c r="BN5470" t="s">
        <v>74</v>
      </c>
    </row>
    <row r="5471" spans="1:66" hidden="1">
      <c r="A5471">
        <v>102698</v>
      </c>
      <c r="B5471" s="3" t="s">
        <v>559</v>
      </c>
      <c r="C5471" s="1">
        <v>43300101</v>
      </c>
      <c r="D5471" t="s">
        <v>67</v>
      </c>
      <c r="H5471" t="str">
        <f t="shared" si="576"/>
        <v>01409770631</v>
      </c>
      <c r="I5471" t="str">
        <f t="shared" si="576"/>
        <v>01409770631</v>
      </c>
      <c r="K5471" t="str">
        <f>""</f>
        <v/>
      </c>
      <c r="M5471" t="s">
        <v>68</v>
      </c>
      <c r="N5471" t="str">
        <f t="shared" si="573"/>
        <v>FOR</v>
      </c>
      <c r="O5471" t="s">
        <v>69</v>
      </c>
      <c r="P5471" s="3" t="s">
        <v>70</v>
      </c>
      <c r="Q5471">
        <v>2015</v>
      </c>
      <c r="R5471" s="2">
        <v>42063</v>
      </c>
      <c r="S5471" s="2">
        <v>42094</v>
      </c>
      <c r="T5471" s="2">
        <v>42094</v>
      </c>
      <c r="U5471" s="2">
        <v>42154</v>
      </c>
      <c r="V5471" t="s">
        <v>71</v>
      </c>
      <c r="W5471" t="str">
        <f>"              900423"</f>
        <v xml:space="preserve">              900423</v>
      </c>
      <c r="X5471" s="1">
        <v>1424.96</v>
      </c>
      <c r="Y5471">
        <v>0</v>
      </c>
      <c r="Z5471"/>
      <c r="AB5471"/>
      <c r="AC5471" s="1">
        <v>1168</v>
      </c>
      <c r="AD5471">
        <v>247</v>
      </c>
      <c r="AE5471" s="1">
        <v>288496</v>
      </c>
      <c r="AF5471">
        <v>0</v>
      </c>
      <c r="AJ5471">
        <v>0</v>
      </c>
      <c r="AK5471">
        <v>0</v>
      </c>
      <c r="AL5471">
        <v>0</v>
      </c>
      <c r="AM5471">
        <v>0</v>
      </c>
      <c r="AN5471">
        <v>0</v>
      </c>
      <c r="AO5471">
        <v>0</v>
      </c>
      <c r="AP5471" s="2">
        <v>42746</v>
      </c>
      <c r="AQ5471" t="s">
        <v>72</v>
      </c>
      <c r="AR5471" t="s">
        <v>72</v>
      </c>
      <c r="AS5471">
        <v>187</v>
      </c>
      <c r="AT5471" s="4">
        <v>42401</v>
      </c>
      <c r="AU5471" t="s">
        <v>73</v>
      </c>
      <c r="AV5471">
        <v>187</v>
      </c>
      <c r="AW5471" s="4">
        <v>42401</v>
      </c>
      <c r="BD5471">
        <v>0</v>
      </c>
      <c r="BN5471" t="s">
        <v>74</v>
      </c>
    </row>
    <row r="5472" spans="1:66" hidden="1">
      <c r="A5472">
        <v>102698</v>
      </c>
      <c r="B5472" s="3" t="s">
        <v>559</v>
      </c>
      <c r="C5472" s="1">
        <v>43300101</v>
      </c>
      <c r="D5472" t="s">
        <v>67</v>
      </c>
      <c r="H5472" t="str">
        <f t="shared" si="576"/>
        <v>01409770631</v>
      </c>
      <c r="I5472" t="str">
        <f t="shared" si="576"/>
        <v>01409770631</v>
      </c>
      <c r="K5472" t="str">
        <f>""</f>
        <v/>
      </c>
      <c r="M5472" t="s">
        <v>68</v>
      </c>
      <c r="N5472" t="str">
        <f t="shared" si="573"/>
        <v>FOR</v>
      </c>
      <c r="O5472" t="s">
        <v>69</v>
      </c>
      <c r="P5472" s="3" t="s">
        <v>70</v>
      </c>
      <c r="Q5472">
        <v>2015</v>
      </c>
      <c r="R5472" s="2">
        <v>42063</v>
      </c>
      <c r="S5472" s="2">
        <v>42094</v>
      </c>
      <c r="T5472" s="2">
        <v>42094</v>
      </c>
      <c r="U5472" s="2">
        <v>42154</v>
      </c>
      <c r="V5472" t="s">
        <v>71</v>
      </c>
      <c r="W5472" t="str">
        <f>"              900424"</f>
        <v xml:space="preserve">              900424</v>
      </c>
      <c r="X5472" s="1">
        <v>5805.13</v>
      </c>
      <c r="Y5472">
        <v>0</v>
      </c>
      <c r="Z5472"/>
      <c r="AB5472"/>
      <c r="AC5472" s="1">
        <v>4758.3</v>
      </c>
      <c r="AD5472">
        <v>247</v>
      </c>
      <c r="AE5472" s="1">
        <v>1175300.1000000001</v>
      </c>
      <c r="AF5472">
        <v>0</v>
      </c>
      <c r="AJ5472">
        <v>0</v>
      </c>
      <c r="AK5472">
        <v>0</v>
      </c>
      <c r="AL5472">
        <v>0</v>
      </c>
      <c r="AM5472">
        <v>0</v>
      </c>
      <c r="AN5472">
        <v>0</v>
      </c>
      <c r="AO5472">
        <v>0</v>
      </c>
      <c r="AP5472" s="2">
        <v>42746</v>
      </c>
      <c r="AQ5472" t="s">
        <v>72</v>
      </c>
      <c r="AR5472" t="s">
        <v>72</v>
      </c>
      <c r="AS5472">
        <v>187</v>
      </c>
      <c r="AT5472" s="4">
        <v>42401</v>
      </c>
      <c r="AU5472" t="s">
        <v>73</v>
      </c>
      <c r="AV5472">
        <v>187</v>
      </c>
      <c r="AW5472" s="4">
        <v>42401</v>
      </c>
      <c r="BD5472">
        <v>0</v>
      </c>
      <c r="BN5472" t="s">
        <v>74</v>
      </c>
    </row>
    <row r="5473" spans="1:66" hidden="1">
      <c r="A5473">
        <v>102698</v>
      </c>
      <c r="B5473" s="3" t="s">
        <v>559</v>
      </c>
      <c r="C5473" s="1">
        <v>43300101</v>
      </c>
      <c r="D5473" t="s">
        <v>67</v>
      </c>
      <c r="H5473" t="str">
        <f t="shared" si="576"/>
        <v>01409770631</v>
      </c>
      <c r="I5473" t="str">
        <f t="shared" si="576"/>
        <v>01409770631</v>
      </c>
      <c r="K5473" t="str">
        <f>""</f>
        <v/>
      </c>
      <c r="M5473" t="s">
        <v>68</v>
      </c>
      <c r="N5473" t="str">
        <f t="shared" si="573"/>
        <v>FOR</v>
      </c>
      <c r="O5473" t="s">
        <v>69</v>
      </c>
      <c r="P5473" s="3" t="s">
        <v>70</v>
      </c>
      <c r="Q5473">
        <v>2015</v>
      </c>
      <c r="R5473" s="2">
        <v>42063</v>
      </c>
      <c r="S5473" s="2">
        <v>42094</v>
      </c>
      <c r="T5473" s="2">
        <v>42094</v>
      </c>
      <c r="U5473" s="2">
        <v>42154</v>
      </c>
      <c r="V5473" t="s">
        <v>71</v>
      </c>
      <c r="W5473" t="str">
        <f>"              900425"</f>
        <v xml:space="preserve">              900425</v>
      </c>
      <c r="X5473" s="1">
        <v>3870.08</v>
      </c>
      <c r="Y5473">
        <v>0</v>
      </c>
      <c r="Z5473"/>
      <c r="AB5473"/>
      <c r="AC5473" s="1">
        <v>3172.2</v>
      </c>
      <c r="AD5473">
        <v>247</v>
      </c>
      <c r="AE5473" s="1">
        <v>783533.4</v>
      </c>
      <c r="AF5473">
        <v>0</v>
      </c>
      <c r="AJ5473">
        <v>0</v>
      </c>
      <c r="AK5473">
        <v>0</v>
      </c>
      <c r="AL5473">
        <v>0</v>
      </c>
      <c r="AM5473">
        <v>0</v>
      </c>
      <c r="AN5473">
        <v>0</v>
      </c>
      <c r="AO5473">
        <v>0</v>
      </c>
      <c r="AP5473" s="2">
        <v>42746</v>
      </c>
      <c r="AQ5473" t="s">
        <v>72</v>
      </c>
      <c r="AR5473" t="s">
        <v>72</v>
      </c>
      <c r="AS5473">
        <v>187</v>
      </c>
      <c r="AT5473" s="4">
        <v>42401</v>
      </c>
      <c r="AU5473" t="s">
        <v>73</v>
      </c>
      <c r="AV5473">
        <v>187</v>
      </c>
      <c r="AW5473" s="4">
        <v>42401</v>
      </c>
      <c r="BD5473">
        <v>0</v>
      </c>
      <c r="BN5473" t="s">
        <v>74</v>
      </c>
    </row>
    <row r="5474" spans="1:66" hidden="1">
      <c r="A5474">
        <v>102698</v>
      </c>
      <c r="B5474" s="3" t="s">
        <v>559</v>
      </c>
      <c r="C5474" s="1">
        <v>43300101</v>
      </c>
      <c r="D5474" t="s">
        <v>67</v>
      </c>
      <c r="H5474" t="str">
        <f t="shared" si="576"/>
        <v>01409770631</v>
      </c>
      <c r="I5474" t="str">
        <f t="shared" si="576"/>
        <v>01409770631</v>
      </c>
      <c r="K5474" t="str">
        <f>""</f>
        <v/>
      </c>
      <c r="M5474" t="s">
        <v>68</v>
      </c>
      <c r="N5474" t="str">
        <f t="shared" si="573"/>
        <v>FOR</v>
      </c>
      <c r="O5474" t="s">
        <v>69</v>
      </c>
      <c r="P5474" s="3" t="s">
        <v>70</v>
      </c>
      <c r="Q5474">
        <v>2015</v>
      </c>
      <c r="R5474" s="2">
        <v>42063</v>
      </c>
      <c r="S5474" s="2">
        <v>42094</v>
      </c>
      <c r="T5474" s="2">
        <v>42094</v>
      </c>
      <c r="U5474" s="2">
        <v>42154</v>
      </c>
      <c r="V5474" t="s">
        <v>71</v>
      </c>
      <c r="W5474" t="str">
        <f>"              900426"</f>
        <v xml:space="preserve">              900426</v>
      </c>
      <c r="X5474" s="1">
        <v>5211.84</v>
      </c>
      <c r="Y5474">
        <v>0</v>
      </c>
      <c r="Z5474"/>
      <c r="AB5474"/>
      <c r="AC5474" s="1">
        <v>4272</v>
      </c>
      <c r="AD5474">
        <v>247</v>
      </c>
      <c r="AE5474" s="1">
        <v>1055184</v>
      </c>
      <c r="AF5474">
        <v>0</v>
      </c>
      <c r="AJ5474">
        <v>0</v>
      </c>
      <c r="AK5474">
        <v>0</v>
      </c>
      <c r="AL5474">
        <v>0</v>
      </c>
      <c r="AM5474">
        <v>0</v>
      </c>
      <c r="AN5474">
        <v>0</v>
      </c>
      <c r="AO5474">
        <v>0</v>
      </c>
      <c r="AP5474" s="2">
        <v>42746</v>
      </c>
      <c r="AQ5474" t="s">
        <v>72</v>
      </c>
      <c r="AR5474" t="s">
        <v>72</v>
      </c>
      <c r="AS5474">
        <v>187</v>
      </c>
      <c r="AT5474" s="4">
        <v>42401</v>
      </c>
      <c r="AU5474" t="s">
        <v>73</v>
      </c>
      <c r="AV5474">
        <v>187</v>
      </c>
      <c r="AW5474" s="4">
        <v>42401</v>
      </c>
      <c r="BD5474">
        <v>0</v>
      </c>
      <c r="BN5474" t="s">
        <v>74</v>
      </c>
    </row>
    <row r="5475" spans="1:66" hidden="1">
      <c r="A5475">
        <v>102698</v>
      </c>
      <c r="B5475" s="3" t="s">
        <v>559</v>
      </c>
      <c r="C5475" s="1">
        <v>43300101</v>
      </c>
      <c r="D5475" t="s">
        <v>67</v>
      </c>
      <c r="H5475" t="str">
        <f t="shared" si="576"/>
        <v>01409770631</v>
      </c>
      <c r="I5475" t="str">
        <f t="shared" si="576"/>
        <v>01409770631</v>
      </c>
      <c r="K5475" t="str">
        <f>""</f>
        <v/>
      </c>
      <c r="M5475" t="s">
        <v>68</v>
      </c>
      <c r="N5475" t="str">
        <f t="shared" si="573"/>
        <v>FOR</v>
      </c>
      <c r="O5475" t="s">
        <v>69</v>
      </c>
      <c r="P5475" s="3" t="s">
        <v>70</v>
      </c>
      <c r="Q5475">
        <v>2015</v>
      </c>
      <c r="R5475" s="2">
        <v>42079</v>
      </c>
      <c r="S5475" s="2">
        <v>42117</v>
      </c>
      <c r="T5475" s="2">
        <v>42117</v>
      </c>
      <c r="U5475" s="2">
        <v>42177</v>
      </c>
      <c r="V5475" t="s">
        <v>71</v>
      </c>
      <c r="W5475" t="str">
        <f>"              900507"</f>
        <v xml:space="preserve">              900507</v>
      </c>
      <c r="X5475">
        <v>204.96</v>
      </c>
      <c r="Y5475">
        <v>0</v>
      </c>
      <c r="Z5475"/>
      <c r="AB5475"/>
      <c r="AC5475">
        <v>168</v>
      </c>
      <c r="AD5475">
        <v>224</v>
      </c>
      <c r="AE5475" s="1">
        <v>37632</v>
      </c>
      <c r="AF5475">
        <v>0</v>
      </c>
      <c r="AJ5475">
        <v>0</v>
      </c>
      <c r="AK5475">
        <v>0</v>
      </c>
      <c r="AL5475">
        <v>0</v>
      </c>
      <c r="AM5475">
        <v>0</v>
      </c>
      <c r="AN5475">
        <v>0</v>
      </c>
      <c r="AO5475">
        <v>0</v>
      </c>
      <c r="AP5475" s="2">
        <v>42746</v>
      </c>
      <c r="AQ5475" t="s">
        <v>72</v>
      </c>
      <c r="AR5475" t="s">
        <v>72</v>
      </c>
      <c r="AS5475">
        <v>187</v>
      </c>
      <c r="AT5475" s="4">
        <v>42401</v>
      </c>
      <c r="AU5475" t="s">
        <v>73</v>
      </c>
      <c r="AV5475">
        <v>187</v>
      </c>
      <c r="AW5475" s="4">
        <v>42401</v>
      </c>
      <c r="BD5475">
        <v>0</v>
      </c>
      <c r="BN5475" t="s">
        <v>74</v>
      </c>
    </row>
    <row r="5476" spans="1:66" hidden="1">
      <c r="A5476">
        <v>102698</v>
      </c>
      <c r="B5476" s="3" t="s">
        <v>559</v>
      </c>
      <c r="C5476" s="1">
        <v>43300101</v>
      </c>
      <c r="D5476" t="s">
        <v>67</v>
      </c>
      <c r="H5476" t="str">
        <f t="shared" si="576"/>
        <v>01409770631</v>
      </c>
      <c r="I5476" t="str">
        <f t="shared" si="576"/>
        <v>01409770631</v>
      </c>
      <c r="K5476" t="str">
        <f>""</f>
        <v/>
      </c>
      <c r="M5476" t="s">
        <v>68</v>
      </c>
      <c r="N5476" t="str">
        <f t="shared" si="573"/>
        <v>FOR</v>
      </c>
      <c r="O5476" t="s">
        <v>69</v>
      </c>
      <c r="P5476" s="3" t="s">
        <v>70</v>
      </c>
      <c r="Q5476">
        <v>2015</v>
      </c>
      <c r="R5476" s="2">
        <v>42079</v>
      </c>
      <c r="S5476" s="2">
        <v>42117</v>
      </c>
      <c r="T5476" s="2">
        <v>42117</v>
      </c>
      <c r="U5476" s="2">
        <v>42177</v>
      </c>
      <c r="V5476" t="s">
        <v>71</v>
      </c>
      <c r="W5476" t="str">
        <f>"              900508"</f>
        <v xml:space="preserve">              900508</v>
      </c>
      <c r="X5476" s="1">
        <v>4736.37</v>
      </c>
      <c r="Y5476">
        <v>0</v>
      </c>
      <c r="Z5476"/>
      <c r="AB5476"/>
      <c r="AC5476" s="1">
        <v>3882.27</v>
      </c>
      <c r="AD5476">
        <v>224</v>
      </c>
      <c r="AE5476" s="1">
        <v>869628.48</v>
      </c>
      <c r="AF5476">
        <v>0</v>
      </c>
      <c r="AJ5476">
        <v>0</v>
      </c>
      <c r="AK5476">
        <v>0</v>
      </c>
      <c r="AL5476">
        <v>0</v>
      </c>
      <c r="AM5476">
        <v>0</v>
      </c>
      <c r="AN5476">
        <v>0</v>
      </c>
      <c r="AO5476">
        <v>0</v>
      </c>
      <c r="AP5476" s="2">
        <v>42746</v>
      </c>
      <c r="AQ5476" t="s">
        <v>72</v>
      </c>
      <c r="AR5476" t="s">
        <v>72</v>
      </c>
      <c r="AS5476">
        <v>187</v>
      </c>
      <c r="AT5476" s="4">
        <v>42401</v>
      </c>
      <c r="AU5476" t="s">
        <v>73</v>
      </c>
      <c r="AV5476">
        <v>187</v>
      </c>
      <c r="AW5476" s="4">
        <v>42401</v>
      </c>
      <c r="BD5476">
        <v>0</v>
      </c>
      <c r="BN5476" t="s">
        <v>74</v>
      </c>
    </row>
    <row r="5477" spans="1:66" hidden="1">
      <c r="A5477">
        <v>102698</v>
      </c>
      <c r="B5477" s="3" t="s">
        <v>559</v>
      </c>
      <c r="C5477" s="1">
        <v>43300101</v>
      </c>
      <c r="D5477" t="s">
        <v>67</v>
      </c>
      <c r="H5477" t="str">
        <f t="shared" si="576"/>
        <v>01409770631</v>
      </c>
      <c r="I5477" t="str">
        <f t="shared" si="576"/>
        <v>01409770631</v>
      </c>
      <c r="K5477" t="str">
        <f>""</f>
        <v/>
      </c>
      <c r="M5477" t="s">
        <v>68</v>
      </c>
      <c r="N5477" t="str">
        <f t="shared" si="573"/>
        <v>FOR</v>
      </c>
      <c r="O5477" t="s">
        <v>69</v>
      </c>
      <c r="P5477" s="3" t="s">
        <v>70</v>
      </c>
      <c r="Q5477">
        <v>2015</v>
      </c>
      <c r="R5477" s="2">
        <v>42079</v>
      </c>
      <c r="S5477" s="2">
        <v>42117</v>
      </c>
      <c r="T5477" s="2">
        <v>42117</v>
      </c>
      <c r="U5477" s="2">
        <v>42177</v>
      </c>
      <c r="V5477" t="s">
        <v>71</v>
      </c>
      <c r="W5477" t="str">
        <f>"              900509"</f>
        <v xml:space="preserve">              900509</v>
      </c>
      <c r="X5477" s="1">
        <v>2996.48</v>
      </c>
      <c r="Y5477">
        <v>0</v>
      </c>
      <c r="Z5477"/>
      <c r="AB5477"/>
      <c r="AC5477" s="1">
        <v>2456.13</v>
      </c>
      <c r="AD5477">
        <v>224</v>
      </c>
      <c r="AE5477" s="1">
        <v>550173.12</v>
      </c>
      <c r="AF5477">
        <v>0</v>
      </c>
      <c r="AJ5477">
        <v>0</v>
      </c>
      <c r="AK5477">
        <v>0</v>
      </c>
      <c r="AL5477">
        <v>0</v>
      </c>
      <c r="AM5477">
        <v>0</v>
      </c>
      <c r="AN5477">
        <v>0</v>
      </c>
      <c r="AO5477">
        <v>0</v>
      </c>
      <c r="AP5477" s="2">
        <v>42746</v>
      </c>
      <c r="AQ5477" t="s">
        <v>72</v>
      </c>
      <c r="AR5477" t="s">
        <v>72</v>
      </c>
      <c r="AS5477">
        <v>187</v>
      </c>
      <c r="AT5477" s="4">
        <v>42401</v>
      </c>
      <c r="AU5477" t="s">
        <v>73</v>
      </c>
      <c r="AV5477">
        <v>187</v>
      </c>
      <c r="AW5477" s="4">
        <v>42401</v>
      </c>
      <c r="BD5477">
        <v>0</v>
      </c>
      <c r="BN5477" t="s">
        <v>74</v>
      </c>
    </row>
    <row r="5478" spans="1:66" hidden="1">
      <c r="A5478">
        <v>102698</v>
      </c>
      <c r="B5478" s="3" t="s">
        <v>559</v>
      </c>
      <c r="C5478" s="1">
        <v>43300101</v>
      </c>
      <c r="D5478" t="s">
        <v>67</v>
      </c>
      <c r="H5478" t="str">
        <f t="shared" si="576"/>
        <v>01409770631</v>
      </c>
      <c r="I5478" t="str">
        <f t="shared" si="576"/>
        <v>01409770631</v>
      </c>
      <c r="K5478" t="str">
        <f>""</f>
        <v/>
      </c>
      <c r="M5478" t="s">
        <v>68</v>
      </c>
      <c r="N5478" t="str">
        <f t="shared" si="573"/>
        <v>FOR</v>
      </c>
      <c r="O5478" t="s">
        <v>69</v>
      </c>
      <c r="P5478" s="3" t="s">
        <v>70</v>
      </c>
      <c r="Q5478">
        <v>2015</v>
      </c>
      <c r="R5478" s="2">
        <v>42093</v>
      </c>
      <c r="S5478" s="2">
        <v>42117</v>
      </c>
      <c r="T5478" s="2">
        <v>42117</v>
      </c>
      <c r="U5478" s="2">
        <v>42177</v>
      </c>
      <c r="V5478" t="s">
        <v>71</v>
      </c>
      <c r="W5478" t="str">
        <f>"              900626"</f>
        <v xml:space="preserve">              900626</v>
      </c>
      <c r="X5478" s="1">
        <v>6450.14</v>
      </c>
      <c r="Y5478">
        <v>0</v>
      </c>
      <c r="Z5478"/>
      <c r="AB5478"/>
      <c r="AC5478" s="1">
        <v>5287</v>
      </c>
      <c r="AD5478">
        <v>224</v>
      </c>
      <c r="AE5478" s="1">
        <v>1184288</v>
      </c>
      <c r="AF5478">
        <v>0</v>
      </c>
      <c r="AJ5478">
        <v>0</v>
      </c>
      <c r="AK5478">
        <v>0</v>
      </c>
      <c r="AL5478">
        <v>0</v>
      </c>
      <c r="AM5478">
        <v>0</v>
      </c>
      <c r="AN5478">
        <v>0</v>
      </c>
      <c r="AO5478">
        <v>0</v>
      </c>
      <c r="AP5478" s="2">
        <v>42746</v>
      </c>
      <c r="AQ5478" t="s">
        <v>72</v>
      </c>
      <c r="AR5478" t="s">
        <v>72</v>
      </c>
      <c r="AS5478">
        <v>187</v>
      </c>
      <c r="AT5478" s="4">
        <v>42401</v>
      </c>
      <c r="AU5478" t="s">
        <v>73</v>
      </c>
      <c r="AV5478">
        <v>187</v>
      </c>
      <c r="AW5478" s="4">
        <v>42401</v>
      </c>
      <c r="BD5478">
        <v>0</v>
      </c>
      <c r="BN5478" t="s">
        <v>74</v>
      </c>
    </row>
    <row r="5479" spans="1:66" hidden="1">
      <c r="A5479">
        <v>102698</v>
      </c>
      <c r="B5479" s="3" t="s">
        <v>559</v>
      </c>
      <c r="C5479" s="1">
        <v>43300101</v>
      </c>
      <c r="D5479" t="s">
        <v>67</v>
      </c>
      <c r="H5479" t="str">
        <f t="shared" si="576"/>
        <v>01409770631</v>
      </c>
      <c r="I5479" t="str">
        <f t="shared" si="576"/>
        <v>01409770631</v>
      </c>
      <c r="K5479" t="str">
        <f>""</f>
        <v/>
      </c>
      <c r="M5479" t="s">
        <v>68</v>
      </c>
      <c r="N5479" t="str">
        <f t="shared" si="573"/>
        <v>FOR</v>
      </c>
      <c r="O5479" t="s">
        <v>69</v>
      </c>
      <c r="P5479" s="3" t="s">
        <v>70</v>
      </c>
      <c r="Q5479">
        <v>2015</v>
      </c>
      <c r="R5479" s="2">
        <v>42093</v>
      </c>
      <c r="S5479" s="2">
        <v>42117</v>
      </c>
      <c r="T5479" s="2">
        <v>42117</v>
      </c>
      <c r="U5479" s="2">
        <v>42177</v>
      </c>
      <c r="V5479" t="s">
        <v>71</v>
      </c>
      <c r="W5479" t="str">
        <f>"              900627"</f>
        <v xml:space="preserve">              900627</v>
      </c>
      <c r="X5479">
        <v>711.99</v>
      </c>
      <c r="Y5479">
        <v>0</v>
      </c>
      <c r="Z5479"/>
      <c r="AB5479"/>
      <c r="AC5479">
        <v>583.6</v>
      </c>
      <c r="AD5479">
        <v>224</v>
      </c>
      <c r="AE5479" s="1">
        <v>130726.39999999999</v>
      </c>
      <c r="AF5479">
        <v>0</v>
      </c>
      <c r="AJ5479">
        <v>0</v>
      </c>
      <c r="AK5479">
        <v>0</v>
      </c>
      <c r="AL5479">
        <v>0</v>
      </c>
      <c r="AM5479">
        <v>0</v>
      </c>
      <c r="AN5479">
        <v>0</v>
      </c>
      <c r="AO5479">
        <v>0</v>
      </c>
      <c r="AP5479" s="2">
        <v>42746</v>
      </c>
      <c r="AQ5479" t="s">
        <v>72</v>
      </c>
      <c r="AR5479" t="s">
        <v>72</v>
      </c>
      <c r="AS5479">
        <v>187</v>
      </c>
      <c r="AT5479" s="4">
        <v>42401</v>
      </c>
      <c r="AU5479" t="s">
        <v>73</v>
      </c>
      <c r="AV5479">
        <v>187</v>
      </c>
      <c r="AW5479" s="4">
        <v>42401</v>
      </c>
      <c r="BD5479">
        <v>0</v>
      </c>
      <c r="BN5479" t="s">
        <v>74</v>
      </c>
    </row>
    <row r="5480" spans="1:66" hidden="1">
      <c r="A5480">
        <v>102698</v>
      </c>
      <c r="B5480" s="3" t="s">
        <v>559</v>
      </c>
      <c r="C5480" s="1">
        <v>43300101</v>
      </c>
      <c r="D5480" t="s">
        <v>67</v>
      </c>
      <c r="H5480" t="str">
        <f t="shared" si="576"/>
        <v>01409770631</v>
      </c>
      <c r="I5480" t="str">
        <f t="shared" si="576"/>
        <v>01409770631</v>
      </c>
      <c r="K5480" t="str">
        <f>""</f>
        <v/>
      </c>
      <c r="M5480" t="s">
        <v>68</v>
      </c>
      <c r="N5480" t="str">
        <f t="shared" si="573"/>
        <v>FOR</v>
      </c>
      <c r="O5480" t="s">
        <v>69</v>
      </c>
      <c r="P5480" s="3" t="s">
        <v>70</v>
      </c>
      <c r="Q5480">
        <v>2015</v>
      </c>
      <c r="R5480" s="2">
        <v>42093</v>
      </c>
      <c r="S5480" s="2">
        <v>42117</v>
      </c>
      <c r="T5480" s="2">
        <v>42117</v>
      </c>
      <c r="U5480" s="2">
        <v>42177</v>
      </c>
      <c r="V5480" t="s">
        <v>71</v>
      </c>
      <c r="W5480" t="str">
        <f>"              900628"</f>
        <v xml:space="preserve">              900628</v>
      </c>
      <c r="X5480">
        <v>474.82</v>
      </c>
      <c r="Y5480">
        <v>0</v>
      </c>
      <c r="Z5480"/>
      <c r="AB5480"/>
      <c r="AC5480">
        <v>389.2</v>
      </c>
      <c r="AD5480">
        <v>224</v>
      </c>
      <c r="AE5480" s="1">
        <v>87180.800000000003</v>
      </c>
      <c r="AF5480">
        <v>0</v>
      </c>
      <c r="AJ5480">
        <v>0</v>
      </c>
      <c r="AK5480">
        <v>0</v>
      </c>
      <c r="AL5480">
        <v>0</v>
      </c>
      <c r="AM5480">
        <v>0</v>
      </c>
      <c r="AN5480">
        <v>0</v>
      </c>
      <c r="AO5480">
        <v>0</v>
      </c>
      <c r="AP5480" s="2">
        <v>42746</v>
      </c>
      <c r="AQ5480" t="s">
        <v>72</v>
      </c>
      <c r="AR5480" t="s">
        <v>72</v>
      </c>
      <c r="AS5480">
        <v>187</v>
      </c>
      <c r="AT5480" s="4">
        <v>42401</v>
      </c>
      <c r="AU5480" t="s">
        <v>73</v>
      </c>
      <c r="AV5480">
        <v>187</v>
      </c>
      <c r="AW5480" s="4">
        <v>42401</v>
      </c>
      <c r="BD5480">
        <v>0</v>
      </c>
      <c r="BN5480" t="s">
        <v>74</v>
      </c>
    </row>
    <row r="5481" spans="1:66" hidden="1">
      <c r="A5481">
        <v>102698</v>
      </c>
      <c r="B5481" s="3" t="s">
        <v>559</v>
      </c>
      <c r="C5481" s="1">
        <v>43300101</v>
      </c>
      <c r="D5481" t="s">
        <v>67</v>
      </c>
      <c r="H5481" t="str">
        <f t="shared" si="576"/>
        <v>01409770631</v>
      </c>
      <c r="I5481" t="str">
        <f t="shared" si="576"/>
        <v>01409770631</v>
      </c>
      <c r="K5481" t="str">
        <f>""</f>
        <v/>
      </c>
      <c r="M5481" t="s">
        <v>68</v>
      </c>
      <c r="N5481" t="str">
        <f t="shared" ref="N5481:N5544" si="577">"FOR"</f>
        <v>FOR</v>
      </c>
      <c r="O5481" t="s">
        <v>69</v>
      </c>
      <c r="P5481" s="3" t="s">
        <v>70</v>
      </c>
      <c r="Q5481">
        <v>2015</v>
      </c>
      <c r="R5481" s="2">
        <v>42093</v>
      </c>
      <c r="S5481" s="2">
        <v>42117</v>
      </c>
      <c r="T5481" s="2">
        <v>42117</v>
      </c>
      <c r="U5481" s="2">
        <v>42177</v>
      </c>
      <c r="V5481" t="s">
        <v>71</v>
      </c>
      <c r="W5481" t="str">
        <f>"              900629"</f>
        <v xml:space="preserve">              900629</v>
      </c>
      <c r="X5481">
        <v>152.62</v>
      </c>
      <c r="Y5481">
        <v>0</v>
      </c>
      <c r="Z5481"/>
      <c r="AB5481"/>
      <c r="AC5481">
        <v>125.1</v>
      </c>
      <c r="AD5481">
        <v>224</v>
      </c>
      <c r="AE5481" s="1">
        <v>28022.400000000001</v>
      </c>
      <c r="AF5481">
        <v>0</v>
      </c>
      <c r="AJ5481">
        <v>0</v>
      </c>
      <c r="AK5481">
        <v>0</v>
      </c>
      <c r="AL5481">
        <v>0</v>
      </c>
      <c r="AM5481">
        <v>0</v>
      </c>
      <c r="AN5481">
        <v>0</v>
      </c>
      <c r="AO5481">
        <v>0</v>
      </c>
      <c r="AP5481" s="2">
        <v>42746</v>
      </c>
      <c r="AQ5481" t="s">
        <v>72</v>
      </c>
      <c r="AR5481" t="s">
        <v>72</v>
      </c>
      <c r="AS5481">
        <v>187</v>
      </c>
      <c r="AT5481" s="4">
        <v>42401</v>
      </c>
      <c r="AU5481" t="s">
        <v>73</v>
      </c>
      <c r="AV5481">
        <v>187</v>
      </c>
      <c r="AW5481" s="4">
        <v>42401</v>
      </c>
      <c r="BD5481">
        <v>0</v>
      </c>
      <c r="BN5481" t="s">
        <v>74</v>
      </c>
    </row>
    <row r="5482" spans="1:66" hidden="1">
      <c r="A5482">
        <v>102698</v>
      </c>
      <c r="B5482" s="3" t="s">
        <v>559</v>
      </c>
      <c r="C5482" s="1">
        <v>43300101</v>
      </c>
      <c r="D5482" t="s">
        <v>67</v>
      </c>
      <c r="H5482" t="str">
        <f t="shared" si="576"/>
        <v>01409770631</v>
      </c>
      <c r="I5482" t="str">
        <f t="shared" si="576"/>
        <v>01409770631</v>
      </c>
      <c r="K5482" t="str">
        <f>""</f>
        <v/>
      </c>
      <c r="M5482" t="s">
        <v>68</v>
      </c>
      <c r="N5482" t="str">
        <f t="shared" si="577"/>
        <v>FOR</v>
      </c>
      <c r="O5482" t="s">
        <v>69</v>
      </c>
      <c r="P5482" s="3" t="s">
        <v>70</v>
      </c>
      <c r="Q5482">
        <v>2015</v>
      </c>
      <c r="R5482" s="2">
        <v>42093</v>
      </c>
      <c r="S5482" s="2">
        <v>42118</v>
      </c>
      <c r="T5482" s="2">
        <v>42118</v>
      </c>
      <c r="U5482" s="2">
        <v>42178</v>
      </c>
      <c r="V5482" t="s">
        <v>71</v>
      </c>
      <c r="W5482" t="str">
        <f>"              900630"</f>
        <v xml:space="preserve">              900630</v>
      </c>
      <c r="X5482" s="1">
        <v>2776.29</v>
      </c>
      <c r="Y5482">
        <v>0</v>
      </c>
      <c r="Z5482"/>
      <c r="AB5482"/>
      <c r="AC5482" s="1">
        <v>2275.65</v>
      </c>
      <c r="AD5482">
        <v>223</v>
      </c>
      <c r="AE5482" s="1">
        <v>507469.95</v>
      </c>
      <c r="AF5482">
        <v>0</v>
      </c>
      <c r="AJ5482">
        <v>0</v>
      </c>
      <c r="AK5482">
        <v>0</v>
      </c>
      <c r="AL5482">
        <v>0</v>
      </c>
      <c r="AM5482">
        <v>0</v>
      </c>
      <c r="AN5482">
        <v>0</v>
      </c>
      <c r="AO5482">
        <v>0</v>
      </c>
      <c r="AP5482" s="2">
        <v>42746</v>
      </c>
      <c r="AQ5482" t="s">
        <v>72</v>
      </c>
      <c r="AR5482" t="s">
        <v>72</v>
      </c>
      <c r="AS5482">
        <v>187</v>
      </c>
      <c r="AT5482" s="4">
        <v>42401</v>
      </c>
      <c r="AU5482" t="s">
        <v>73</v>
      </c>
      <c r="AV5482">
        <v>187</v>
      </c>
      <c r="AW5482" s="4">
        <v>42401</v>
      </c>
      <c r="BD5482">
        <v>0</v>
      </c>
      <c r="BN5482" t="s">
        <v>74</v>
      </c>
    </row>
    <row r="5483" spans="1:66">
      <c r="A5483">
        <v>102698</v>
      </c>
      <c r="B5483" s="3" t="s">
        <v>559</v>
      </c>
      <c r="C5483" s="1">
        <v>43300101</v>
      </c>
      <c r="D5483" t="s">
        <v>67</v>
      </c>
      <c r="H5483" t="str">
        <f t="shared" si="576"/>
        <v>01409770631</v>
      </c>
      <c r="I5483" t="str">
        <f t="shared" si="576"/>
        <v>01409770631</v>
      </c>
      <c r="K5483" t="str">
        <f>""</f>
        <v/>
      </c>
      <c r="M5483" t="s">
        <v>68</v>
      </c>
      <c r="N5483" t="str">
        <f t="shared" si="577"/>
        <v>FOR</v>
      </c>
      <c r="O5483" t="s">
        <v>69</v>
      </c>
      <c r="P5483" s="3" t="s">
        <v>75</v>
      </c>
      <c r="Q5483">
        <v>2016</v>
      </c>
      <c r="R5483" s="2">
        <v>42399</v>
      </c>
      <c r="S5483" s="2">
        <v>42422</v>
      </c>
      <c r="T5483" s="2">
        <v>42418</v>
      </c>
      <c r="U5483" s="2">
        <v>42478</v>
      </c>
      <c r="V5483" t="s">
        <v>71</v>
      </c>
      <c r="W5483" t="str">
        <f>"               9/154"</f>
        <v xml:space="preserve">               9/154</v>
      </c>
      <c r="X5483" s="1">
        <v>1762.62</v>
      </c>
      <c r="Y5483">
        <v>0</v>
      </c>
      <c r="Z5483" s="5">
        <v>1444.77</v>
      </c>
      <c r="AA5483">
        <v>214</v>
      </c>
      <c r="AB5483" s="5">
        <v>309180.78000000003</v>
      </c>
      <c r="AC5483" s="1">
        <v>1444.77</v>
      </c>
      <c r="AD5483">
        <v>214</v>
      </c>
      <c r="AE5483" s="1">
        <v>309180.78000000003</v>
      </c>
      <c r="AF5483">
        <v>0</v>
      </c>
      <c r="AJ5483">
        <v>0</v>
      </c>
      <c r="AK5483">
        <v>0</v>
      </c>
      <c r="AL5483">
        <v>0</v>
      </c>
      <c r="AM5483" s="1">
        <v>1762.62</v>
      </c>
      <c r="AN5483" s="1">
        <v>1762.62</v>
      </c>
      <c r="AO5483" s="1">
        <v>1762.62</v>
      </c>
      <c r="AP5483" s="2">
        <v>42746</v>
      </c>
      <c r="AQ5483" t="s">
        <v>72</v>
      </c>
      <c r="AR5483" t="s">
        <v>72</v>
      </c>
      <c r="AS5483">
        <v>3182</v>
      </c>
      <c r="AT5483" s="4">
        <v>42692</v>
      </c>
      <c r="AU5483" t="s">
        <v>73</v>
      </c>
      <c r="AV5483">
        <v>3182</v>
      </c>
      <c r="AW5483" s="4">
        <v>42692</v>
      </c>
      <c r="BD5483">
        <v>0</v>
      </c>
      <c r="BN5483" t="s">
        <v>74</v>
      </c>
    </row>
    <row r="5484" spans="1:66">
      <c r="A5484">
        <v>102698</v>
      </c>
      <c r="B5484" s="3" t="s">
        <v>559</v>
      </c>
      <c r="C5484" s="1">
        <v>43300101</v>
      </c>
      <c r="D5484" t="s">
        <v>67</v>
      </c>
      <c r="H5484" t="str">
        <f t="shared" si="576"/>
        <v>01409770631</v>
      </c>
      <c r="I5484" t="str">
        <f t="shared" si="576"/>
        <v>01409770631</v>
      </c>
      <c r="K5484" t="str">
        <f>""</f>
        <v/>
      </c>
      <c r="M5484" t="s">
        <v>68</v>
      </c>
      <c r="N5484" t="str">
        <f t="shared" si="577"/>
        <v>FOR</v>
      </c>
      <c r="O5484" t="s">
        <v>69</v>
      </c>
      <c r="P5484" s="3" t="s">
        <v>75</v>
      </c>
      <c r="Q5484">
        <v>2016</v>
      </c>
      <c r="R5484" s="2">
        <v>42399</v>
      </c>
      <c r="S5484" s="2">
        <v>42422</v>
      </c>
      <c r="T5484" s="2">
        <v>42418</v>
      </c>
      <c r="U5484" s="2">
        <v>42478</v>
      </c>
      <c r="V5484" t="s">
        <v>71</v>
      </c>
      <c r="W5484" t="str">
        <f>"               9/155"</f>
        <v xml:space="preserve">               9/155</v>
      </c>
      <c r="X5484">
        <v>959.02</v>
      </c>
      <c r="Y5484">
        <v>0</v>
      </c>
      <c r="Z5484" s="3">
        <v>786.08</v>
      </c>
      <c r="AA5484">
        <v>214</v>
      </c>
      <c r="AB5484" s="5">
        <v>168221.12</v>
      </c>
      <c r="AC5484">
        <v>786.08</v>
      </c>
      <c r="AD5484">
        <v>214</v>
      </c>
      <c r="AE5484" s="1">
        <v>168221.12</v>
      </c>
      <c r="AF5484">
        <v>0</v>
      </c>
      <c r="AJ5484">
        <v>0</v>
      </c>
      <c r="AK5484">
        <v>0</v>
      </c>
      <c r="AL5484">
        <v>0</v>
      </c>
      <c r="AM5484">
        <v>959.02</v>
      </c>
      <c r="AN5484">
        <v>959.02</v>
      </c>
      <c r="AO5484">
        <v>959.02</v>
      </c>
      <c r="AP5484" s="2">
        <v>42746</v>
      </c>
      <c r="AQ5484" t="s">
        <v>72</v>
      </c>
      <c r="AR5484" t="s">
        <v>72</v>
      </c>
      <c r="AS5484">
        <v>3182</v>
      </c>
      <c r="AT5484" s="4">
        <v>42692</v>
      </c>
      <c r="AU5484" t="s">
        <v>73</v>
      </c>
      <c r="AV5484">
        <v>3182</v>
      </c>
      <c r="AW5484" s="4">
        <v>42692</v>
      </c>
      <c r="BD5484">
        <v>0</v>
      </c>
      <c r="BN5484" t="s">
        <v>74</v>
      </c>
    </row>
    <row r="5485" spans="1:66">
      <c r="A5485">
        <v>102698</v>
      </c>
      <c r="B5485" s="3" t="s">
        <v>559</v>
      </c>
      <c r="C5485" s="1">
        <v>43300101</v>
      </c>
      <c r="D5485" t="s">
        <v>67</v>
      </c>
      <c r="H5485" t="str">
        <f t="shared" si="576"/>
        <v>01409770631</v>
      </c>
      <c r="I5485" t="str">
        <f t="shared" si="576"/>
        <v>01409770631</v>
      </c>
      <c r="K5485" t="str">
        <f>""</f>
        <v/>
      </c>
      <c r="M5485" t="s">
        <v>68</v>
      </c>
      <c r="N5485" t="str">
        <f t="shared" si="577"/>
        <v>FOR</v>
      </c>
      <c r="O5485" t="s">
        <v>69</v>
      </c>
      <c r="P5485" s="3" t="s">
        <v>75</v>
      </c>
      <c r="Q5485">
        <v>2016</v>
      </c>
      <c r="R5485" s="2">
        <v>42399</v>
      </c>
      <c r="S5485" s="2">
        <v>42422</v>
      </c>
      <c r="T5485" s="2">
        <v>42418</v>
      </c>
      <c r="U5485" s="2">
        <v>42478</v>
      </c>
      <c r="V5485" t="s">
        <v>71</v>
      </c>
      <c r="W5485" t="str">
        <f>"               9/156"</f>
        <v xml:space="preserve">               9/156</v>
      </c>
      <c r="X5485" s="1">
        <v>9675.2099999999991</v>
      </c>
      <c r="Y5485">
        <v>0</v>
      </c>
      <c r="Z5485" s="5">
        <v>7930.5</v>
      </c>
      <c r="AA5485">
        <v>214</v>
      </c>
      <c r="AB5485" s="5">
        <v>1697127</v>
      </c>
      <c r="AC5485" s="1">
        <v>7930.5</v>
      </c>
      <c r="AD5485">
        <v>214</v>
      </c>
      <c r="AE5485" s="1">
        <v>1697127</v>
      </c>
      <c r="AF5485">
        <v>0</v>
      </c>
      <c r="AJ5485">
        <v>0</v>
      </c>
      <c r="AK5485">
        <v>0</v>
      </c>
      <c r="AL5485">
        <v>0</v>
      </c>
      <c r="AM5485" s="1">
        <v>9675.2099999999991</v>
      </c>
      <c r="AN5485" s="1">
        <v>9675.2099999999991</v>
      </c>
      <c r="AO5485" s="1">
        <v>9675.2099999999991</v>
      </c>
      <c r="AP5485" s="2">
        <v>42746</v>
      </c>
      <c r="AQ5485" t="s">
        <v>72</v>
      </c>
      <c r="AR5485" t="s">
        <v>72</v>
      </c>
      <c r="AS5485">
        <v>3182</v>
      </c>
      <c r="AT5485" s="4">
        <v>42692</v>
      </c>
      <c r="AU5485" t="s">
        <v>73</v>
      </c>
      <c r="AV5485">
        <v>3182</v>
      </c>
      <c r="AW5485" s="4">
        <v>42692</v>
      </c>
      <c r="BD5485">
        <v>0</v>
      </c>
      <c r="BN5485" t="s">
        <v>74</v>
      </c>
    </row>
    <row r="5486" spans="1:66">
      <c r="A5486">
        <v>102698</v>
      </c>
      <c r="B5486" s="3" t="s">
        <v>559</v>
      </c>
      <c r="C5486" s="1">
        <v>43300101</v>
      </c>
      <c r="D5486" t="s">
        <v>67</v>
      </c>
      <c r="H5486" t="str">
        <f t="shared" si="576"/>
        <v>01409770631</v>
      </c>
      <c r="I5486" t="str">
        <f t="shared" si="576"/>
        <v>01409770631</v>
      </c>
      <c r="K5486" t="str">
        <f>""</f>
        <v/>
      </c>
      <c r="M5486" t="s">
        <v>68</v>
      </c>
      <c r="N5486" t="str">
        <f t="shared" si="577"/>
        <v>FOR</v>
      </c>
      <c r="O5486" t="s">
        <v>69</v>
      </c>
      <c r="P5486" s="3" t="s">
        <v>75</v>
      </c>
      <c r="Q5486">
        <v>2016</v>
      </c>
      <c r="R5486" s="2">
        <v>42399</v>
      </c>
      <c r="S5486" s="2">
        <v>42422</v>
      </c>
      <c r="T5486" s="2">
        <v>42418</v>
      </c>
      <c r="U5486" s="2">
        <v>42478</v>
      </c>
      <c r="V5486" t="s">
        <v>71</v>
      </c>
      <c r="W5486" t="str">
        <f>"               9/157"</f>
        <v xml:space="preserve">               9/157</v>
      </c>
      <c r="X5486" s="1">
        <v>3225.07</v>
      </c>
      <c r="Y5486">
        <v>0</v>
      </c>
      <c r="Z5486" s="5">
        <v>2643.5</v>
      </c>
      <c r="AA5486">
        <v>214</v>
      </c>
      <c r="AB5486" s="5">
        <v>565709</v>
      </c>
      <c r="AC5486" s="1">
        <v>2643.5</v>
      </c>
      <c r="AD5486">
        <v>214</v>
      </c>
      <c r="AE5486" s="1">
        <v>565709</v>
      </c>
      <c r="AF5486">
        <v>0</v>
      </c>
      <c r="AJ5486">
        <v>0</v>
      </c>
      <c r="AK5486">
        <v>0</v>
      </c>
      <c r="AL5486">
        <v>0</v>
      </c>
      <c r="AM5486" s="1">
        <v>3225.07</v>
      </c>
      <c r="AN5486" s="1">
        <v>3225.07</v>
      </c>
      <c r="AO5486" s="1">
        <v>3225.07</v>
      </c>
      <c r="AP5486" s="2">
        <v>42746</v>
      </c>
      <c r="AQ5486" t="s">
        <v>72</v>
      </c>
      <c r="AR5486" t="s">
        <v>72</v>
      </c>
      <c r="AS5486">
        <v>3182</v>
      </c>
      <c r="AT5486" s="4">
        <v>42692</v>
      </c>
      <c r="AU5486" t="s">
        <v>73</v>
      </c>
      <c r="AV5486">
        <v>3182</v>
      </c>
      <c r="AW5486" s="4">
        <v>42692</v>
      </c>
      <c r="BD5486">
        <v>0</v>
      </c>
      <c r="BN5486" t="s">
        <v>74</v>
      </c>
    </row>
    <row r="5487" spans="1:66">
      <c r="A5487">
        <v>102698</v>
      </c>
      <c r="B5487" s="3" t="s">
        <v>559</v>
      </c>
      <c r="C5487" s="1">
        <v>43300101</v>
      </c>
      <c r="D5487" t="s">
        <v>67</v>
      </c>
      <c r="H5487" t="str">
        <f t="shared" si="576"/>
        <v>01409770631</v>
      </c>
      <c r="I5487" t="str">
        <f t="shared" si="576"/>
        <v>01409770631</v>
      </c>
      <c r="K5487" t="str">
        <f>""</f>
        <v/>
      </c>
      <c r="M5487" t="s">
        <v>68</v>
      </c>
      <c r="N5487" t="str">
        <f t="shared" si="577"/>
        <v>FOR</v>
      </c>
      <c r="O5487" t="s">
        <v>69</v>
      </c>
      <c r="P5487" s="3" t="s">
        <v>75</v>
      </c>
      <c r="Q5487">
        <v>2016</v>
      </c>
      <c r="R5487" s="2">
        <v>42399</v>
      </c>
      <c r="S5487" s="2">
        <v>42422</v>
      </c>
      <c r="T5487" s="2">
        <v>42418</v>
      </c>
      <c r="U5487" s="2">
        <v>42478</v>
      </c>
      <c r="V5487" t="s">
        <v>71</v>
      </c>
      <c r="W5487" t="str">
        <f>"               9/158"</f>
        <v xml:space="preserve">               9/158</v>
      </c>
      <c r="X5487" s="1">
        <v>7781.18</v>
      </c>
      <c r="Y5487">
        <v>0</v>
      </c>
      <c r="Z5487" s="5">
        <v>6378.02</v>
      </c>
      <c r="AA5487">
        <v>214</v>
      </c>
      <c r="AB5487" s="5">
        <v>1364896.28</v>
      </c>
      <c r="AC5487" s="1">
        <v>6378.02</v>
      </c>
      <c r="AD5487">
        <v>214</v>
      </c>
      <c r="AE5487" s="1">
        <v>1364896.28</v>
      </c>
      <c r="AF5487">
        <v>0</v>
      </c>
      <c r="AJ5487">
        <v>0</v>
      </c>
      <c r="AK5487">
        <v>0</v>
      </c>
      <c r="AL5487">
        <v>0</v>
      </c>
      <c r="AM5487" s="1">
        <v>7781.18</v>
      </c>
      <c r="AN5487" s="1">
        <v>7781.18</v>
      </c>
      <c r="AO5487" s="1">
        <v>7781.18</v>
      </c>
      <c r="AP5487" s="2">
        <v>42746</v>
      </c>
      <c r="AQ5487" t="s">
        <v>72</v>
      </c>
      <c r="AR5487" t="s">
        <v>72</v>
      </c>
      <c r="AS5487">
        <v>3182</v>
      </c>
      <c r="AT5487" s="4">
        <v>42692</v>
      </c>
      <c r="AU5487" t="s">
        <v>73</v>
      </c>
      <c r="AV5487">
        <v>3182</v>
      </c>
      <c r="AW5487" s="4">
        <v>42692</v>
      </c>
      <c r="BD5487">
        <v>0</v>
      </c>
      <c r="BN5487" t="s">
        <v>74</v>
      </c>
    </row>
    <row r="5488" spans="1:66">
      <c r="A5488">
        <v>102698</v>
      </c>
      <c r="B5488" s="3" t="s">
        <v>559</v>
      </c>
      <c r="C5488" s="1">
        <v>43300101</v>
      </c>
      <c r="D5488" t="s">
        <v>67</v>
      </c>
      <c r="H5488" t="str">
        <f t="shared" si="576"/>
        <v>01409770631</v>
      </c>
      <c r="I5488" t="str">
        <f t="shared" si="576"/>
        <v>01409770631</v>
      </c>
      <c r="K5488" t="str">
        <f>""</f>
        <v/>
      </c>
      <c r="M5488" t="s">
        <v>68</v>
      </c>
      <c r="N5488" t="str">
        <f t="shared" si="577"/>
        <v>FOR</v>
      </c>
      <c r="O5488" t="s">
        <v>69</v>
      </c>
      <c r="P5488" s="3" t="s">
        <v>75</v>
      </c>
      <c r="Q5488">
        <v>2016</v>
      </c>
      <c r="R5488" s="2">
        <v>42415</v>
      </c>
      <c r="S5488" s="2">
        <v>42453</v>
      </c>
      <c r="T5488" s="2">
        <v>42452</v>
      </c>
      <c r="U5488" s="2">
        <v>42512</v>
      </c>
      <c r="V5488" t="s">
        <v>71</v>
      </c>
      <c r="W5488" t="str">
        <f>"               9/279"</f>
        <v xml:space="preserve">               9/279</v>
      </c>
      <c r="X5488">
        <v>110.81</v>
      </c>
      <c r="Y5488">
        <v>0</v>
      </c>
      <c r="Z5488" s="3">
        <v>90.83</v>
      </c>
      <c r="AA5488">
        <v>211</v>
      </c>
      <c r="AB5488" s="5">
        <v>19165.13</v>
      </c>
      <c r="AC5488">
        <v>90.83</v>
      </c>
      <c r="AD5488">
        <v>211</v>
      </c>
      <c r="AE5488" s="1">
        <v>19165.13</v>
      </c>
      <c r="AF5488">
        <v>19.98</v>
      </c>
      <c r="AJ5488">
        <v>0</v>
      </c>
      <c r="AK5488">
        <v>0</v>
      </c>
      <c r="AL5488">
        <v>0</v>
      </c>
      <c r="AM5488">
        <v>110.81</v>
      </c>
      <c r="AN5488">
        <v>110.81</v>
      </c>
      <c r="AO5488">
        <v>110.81</v>
      </c>
      <c r="AP5488" s="2">
        <v>42746</v>
      </c>
      <c r="AQ5488" t="s">
        <v>72</v>
      </c>
      <c r="AR5488" t="s">
        <v>72</v>
      </c>
      <c r="AS5488">
        <v>3582</v>
      </c>
      <c r="AT5488" s="4">
        <v>42723</v>
      </c>
      <c r="AU5488" t="s">
        <v>73</v>
      </c>
      <c r="AV5488">
        <v>3582</v>
      </c>
      <c r="AW5488" s="4">
        <v>42723</v>
      </c>
      <c r="BD5488">
        <v>19.98</v>
      </c>
      <c r="BN5488" t="s">
        <v>74</v>
      </c>
    </row>
    <row r="5489" spans="1:66">
      <c r="A5489">
        <v>102698</v>
      </c>
      <c r="B5489" s="3" t="s">
        <v>559</v>
      </c>
      <c r="C5489" s="1">
        <v>43300101</v>
      </c>
      <c r="D5489" t="s">
        <v>67</v>
      </c>
      <c r="H5489" t="str">
        <f t="shared" si="576"/>
        <v>01409770631</v>
      </c>
      <c r="I5489" t="str">
        <f t="shared" si="576"/>
        <v>01409770631</v>
      </c>
      <c r="K5489" t="str">
        <f>""</f>
        <v/>
      </c>
      <c r="M5489" t="s">
        <v>68</v>
      </c>
      <c r="N5489" t="str">
        <f t="shared" si="577"/>
        <v>FOR</v>
      </c>
      <c r="O5489" t="s">
        <v>69</v>
      </c>
      <c r="P5489" s="3" t="s">
        <v>75</v>
      </c>
      <c r="Q5489">
        <v>2016</v>
      </c>
      <c r="R5489" s="2">
        <v>42415</v>
      </c>
      <c r="S5489" s="2">
        <v>42453</v>
      </c>
      <c r="T5489" s="2">
        <v>42452</v>
      </c>
      <c r="U5489" s="2">
        <v>42512</v>
      </c>
      <c r="V5489" t="s">
        <v>71</v>
      </c>
      <c r="W5489" t="str">
        <f>"               9/280"</f>
        <v xml:space="preserve">               9/280</v>
      </c>
      <c r="X5489" s="1">
        <v>3721.44</v>
      </c>
      <c r="Y5489">
        <v>0</v>
      </c>
      <c r="Z5489" s="5">
        <v>3050.36</v>
      </c>
      <c r="AA5489">
        <v>211</v>
      </c>
      <c r="AB5489" s="5">
        <v>643625.96</v>
      </c>
      <c r="AC5489" s="1">
        <v>3050.36</v>
      </c>
      <c r="AD5489">
        <v>211</v>
      </c>
      <c r="AE5489" s="1">
        <v>643625.96</v>
      </c>
      <c r="AF5489">
        <v>671.08</v>
      </c>
      <c r="AJ5489">
        <v>0</v>
      </c>
      <c r="AK5489">
        <v>0</v>
      </c>
      <c r="AL5489">
        <v>0</v>
      </c>
      <c r="AM5489" s="1">
        <v>3721.44</v>
      </c>
      <c r="AN5489" s="1">
        <v>3721.44</v>
      </c>
      <c r="AO5489" s="1">
        <v>3721.44</v>
      </c>
      <c r="AP5489" s="2">
        <v>42746</v>
      </c>
      <c r="AQ5489" t="s">
        <v>72</v>
      </c>
      <c r="AR5489" t="s">
        <v>72</v>
      </c>
      <c r="AS5489">
        <v>3582</v>
      </c>
      <c r="AT5489" s="4">
        <v>42723</v>
      </c>
      <c r="AU5489" t="s">
        <v>73</v>
      </c>
      <c r="AV5489">
        <v>3582</v>
      </c>
      <c r="AW5489" s="4">
        <v>42723</v>
      </c>
      <c r="BD5489">
        <v>671.08</v>
      </c>
      <c r="BN5489" t="s">
        <v>74</v>
      </c>
    </row>
    <row r="5490" spans="1:66">
      <c r="A5490">
        <v>102698</v>
      </c>
      <c r="B5490" s="3" t="s">
        <v>559</v>
      </c>
      <c r="C5490" s="1">
        <v>43300101</v>
      </c>
      <c r="D5490" t="s">
        <v>67</v>
      </c>
      <c r="H5490" t="str">
        <f t="shared" si="576"/>
        <v>01409770631</v>
      </c>
      <c r="I5490" t="str">
        <f t="shared" si="576"/>
        <v>01409770631</v>
      </c>
      <c r="K5490" t="str">
        <f>""</f>
        <v/>
      </c>
      <c r="M5490" t="s">
        <v>68</v>
      </c>
      <c r="N5490" t="str">
        <f t="shared" si="577"/>
        <v>FOR</v>
      </c>
      <c r="O5490" t="s">
        <v>69</v>
      </c>
      <c r="P5490" s="3" t="s">
        <v>75</v>
      </c>
      <c r="Q5490">
        <v>2016</v>
      </c>
      <c r="R5490" s="2">
        <v>42429</v>
      </c>
      <c r="S5490" s="2">
        <v>42457</v>
      </c>
      <c r="T5490" s="2">
        <v>42453</v>
      </c>
      <c r="U5490" s="2">
        <v>42513</v>
      </c>
      <c r="V5490" t="s">
        <v>71</v>
      </c>
      <c r="W5490" t="str">
        <f>"               9/373"</f>
        <v xml:space="preserve">               9/373</v>
      </c>
      <c r="X5490" s="1">
        <v>5211.84</v>
      </c>
      <c r="Y5490">
        <v>0</v>
      </c>
      <c r="Z5490" s="5">
        <v>4272</v>
      </c>
      <c r="AA5490">
        <v>210</v>
      </c>
      <c r="AB5490" s="5">
        <v>897120</v>
      </c>
      <c r="AC5490" s="1">
        <v>4272</v>
      </c>
      <c r="AD5490">
        <v>210</v>
      </c>
      <c r="AE5490" s="1">
        <v>897120</v>
      </c>
      <c r="AF5490">
        <v>939.84</v>
      </c>
      <c r="AJ5490">
        <v>0</v>
      </c>
      <c r="AK5490">
        <v>0</v>
      </c>
      <c r="AL5490">
        <v>0</v>
      </c>
      <c r="AM5490" s="1">
        <v>5211.84</v>
      </c>
      <c r="AN5490" s="1">
        <v>5211.84</v>
      </c>
      <c r="AO5490" s="1">
        <v>5211.84</v>
      </c>
      <c r="AP5490" s="2">
        <v>42746</v>
      </c>
      <c r="AQ5490" t="s">
        <v>72</v>
      </c>
      <c r="AR5490" t="s">
        <v>72</v>
      </c>
      <c r="AS5490">
        <v>3582</v>
      </c>
      <c r="AT5490" s="4">
        <v>42723</v>
      </c>
      <c r="AU5490" t="s">
        <v>73</v>
      </c>
      <c r="AV5490">
        <v>3582</v>
      </c>
      <c r="AW5490" s="4">
        <v>42723</v>
      </c>
      <c r="BD5490">
        <v>939.84</v>
      </c>
      <c r="BN5490" t="s">
        <v>74</v>
      </c>
    </row>
    <row r="5491" spans="1:66">
      <c r="A5491">
        <v>102698</v>
      </c>
      <c r="B5491" s="3" t="s">
        <v>559</v>
      </c>
      <c r="C5491" s="1">
        <v>43300101</v>
      </c>
      <c r="D5491" t="s">
        <v>67</v>
      </c>
      <c r="H5491" t="str">
        <f t="shared" si="576"/>
        <v>01409770631</v>
      </c>
      <c r="I5491" t="str">
        <f t="shared" si="576"/>
        <v>01409770631</v>
      </c>
      <c r="K5491" t="str">
        <f>""</f>
        <v/>
      </c>
      <c r="M5491" t="s">
        <v>68</v>
      </c>
      <c r="N5491" t="str">
        <f t="shared" si="577"/>
        <v>FOR</v>
      </c>
      <c r="O5491" t="s">
        <v>69</v>
      </c>
      <c r="P5491" s="3" t="s">
        <v>75</v>
      </c>
      <c r="Q5491">
        <v>2016</v>
      </c>
      <c r="R5491" s="2">
        <v>42429</v>
      </c>
      <c r="S5491" s="2">
        <v>42457</v>
      </c>
      <c r="T5491" s="2">
        <v>42453</v>
      </c>
      <c r="U5491" s="2">
        <v>42513</v>
      </c>
      <c r="V5491" t="s">
        <v>71</v>
      </c>
      <c r="W5491" t="str">
        <f>"               9/374"</f>
        <v xml:space="preserve">               9/374</v>
      </c>
      <c r="X5491" s="1">
        <v>6450.14</v>
      </c>
      <c r="Y5491">
        <v>0</v>
      </c>
      <c r="Z5491" s="5">
        <v>5287</v>
      </c>
      <c r="AA5491">
        <v>210</v>
      </c>
      <c r="AB5491" s="5">
        <v>1110270</v>
      </c>
      <c r="AC5491" s="1">
        <v>5287</v>
      </c>
      <c r="AD5491">
        <v>210</v>
      </c>
      <c r="AE5491" s="1">
        <v>1110270</v>
      </c>
      <c r="AF5491" s="1">
        <v>1163.1400000000001</v>
      </c>
      <c r="AJ5491">
        <v>0</v>
      </c>
      <c r="AK5491">
        <v>0</v>
      </c>
      <c r="AL5491">
        <v>0</v>
      </c>
      <c r="AM5491" s="1">
        <v>6450.14</v>
      </c>
      <c r="AN5491" s="1">
        <v>6450.14</v>
      </c>
      <c r="AO5491" s="1">
        <v>6450.14</v>
      </c>
      <c r="AP5491" s="2">
        <v>42746</v>
      </c>
      <c r="AQ5491" t="s">
        <v>72</v>
      </c>
      <c r="AR5491" t="s">
        <v>72</v>
      </c>
      <c r="AS5491">
        <v>3582</v>
      </c>
      <c r="AT5491" s="4">
        <v>42723</v>
      </c>
      <c r="AU5491" t="s">
        <v>73</v>
      </c>
      <c r="AV5491">
        <v>3582</v>
      </c>
      <c r="AW5491" s="4">
        <v>42723</v>
      </c>
      <c r="BD5491" s="1">
        <v>1163.1400000000001</v>
      </c>
      <c r="BN5491" t="s">
        <v>74</v>
      </c>
    </row>
    <row r="5492" spans="1:66" hidden="1">
      <c r="A5492">
        <v>102710</v>
      </c>
      <c r="B5492" s="3" t="s">
        <v>560</v>
      </c>
      <c r="C5492" s="1">
        <v>43300101</v>
      </c>
      <c r="D5492" t="s">
        <v>67</v>
      </c>
      <c r="H5492" t="str">
        <f>"09291850155"</f>
        <v>09291850155</v>
      </c>
      <c r="I5492" t="str">
        <f>"00931170195"</f>
        <v>00931170195</v>
      </c>
      <c r="K5492" t="str">
        <f>""</f>
        <v/>
      </c>
      <c r="M5492" t="s">
        <v>68</v>
      </c>
      <c r="N5492" t="str">
        <f t="shared" si="577"/>
        <v>FOR</v>
      </c>
      <c r="O5492" t="s">
        <v>69</v>
      </c>
      <c r="P5492" s="3" t="s">
        <v>75</v>
      </c>
      <c r="Q5492">
        <v>2015</v>
      </c>
      <c r="R5492" s="2">
        <v>42174</v>
      </c>
      <c r="S5492" s="2">
        <v>42191</v>
      </c>
      <c r="T5492" s="2">
        <v>42186</v>
      </c>
      <c r="U5492" s="2">
        <v>42246</v>
      </c>
      <c r="V5492" t="s">
        <v>71</v>
      </c>
      <c r="W5492" t="str">
        <f>"          2110323065"</f>
        <v xml:space="preserve">          2110323065</v>
      </c>
      <c r="X5492" s="1">
        <v>1476.07</v>
      </c>
      <c r="Y5492">
        <v>0</v>
      </c>
      <c r="Z5492"/>
      <c r="AB5492"/>
      <c r="AC5492" s="1">
        <v>1419.3</v>
      </c>
      <c r="AD5492">
        <v>281</v>
      </c>
      <c r="AE5492" s="1">
        <v>398823.3</v>
      </c>
      <c r="AF5492">
        <v>0</v>
      </c>
      <c r="AJ5492">
        <v>0</v>
      </c>
      <c r="AK5492">
        <v>0</v>
      </c>
      <c r="AL5492">
        <v>0</v>
      </c>
      <c r="AM5492">
        <v>0</v>
      </c>
      <c r="AN5492">
        <v>0</v>
      </c>
      <c r="AO5492">
        <v>0</v>
      </c>
      <c r="AP5492" s="2">
        <v>42746</v>
      </c>
      <c r="AQ5492" t="s">
        <v>72</v>
      </c>
      <c r="AR5492" t="s">
        <v>72</v>
      </c>
      <c r="AS5492">
        <v>1512</v>
      </c>
      <c r="AT5492" s="4">
        <v>42527</v>
      </c>
      <c r="AU5492" t="s">
        <v>73</v>
      </c>
      <c r="AV5492">
        <v>1512</v>
      </c>
      <c r="AW5492" s="4">
        <v>42527</v>
      </c>
      <c r="BD5492">
        <v>0</v>
      </c>
      <c r="BN5492" t="s">
        <v>74</v>
      </c>
    </row>
    <row r="5493" spans="1:66" hidden="1">
      <c r="A5493">
        <v>102801</v>
      </c>
      <c r="B5493" s="3" t="s">
        <v>561</v>
      </c>
      <c r="C5493" s="1">
        <v>43300101</v>
      </c>
      <c r="D5493" t="s">
        <v>67</v>
      </c>
      <c r="H5493" t="str">
        <f t="shared" ref="H5493:H5505" si="578">"01323030690"</f>
        <v>01323030690</v>
      </c>
      <c r="I5493" t="str">
        <f t="shared" ref="I5493:I5505" si="579">"01282360682"</f>
        <v>01282360682</v>
      </c>
      <c r="K5493" t="str">
        <f>""</f>
        <v/>
      </c>
      <c r="M5493" t="s">
        <v>68</v>
      </c>
      <c r="N5493" t="str">
        <f t="shared" si="577"/>
        <v>FOR</v>
      </c>
      <c r="O5493" t="s">
        <v>69</v>
      </c>
      <c r="P5493" s="3" t="s">
        <v>75</v>
      </c>
      <c r="Q5493">
        <v>2015</v>
      </c>
      <c r="R5493" s="2">
        <v>42206</v>
      </c>
      <c r="S5493" s="2">
        <v>42209</v>
      </c>
      <c r="T5493" s="2">
        <v>42207</v>
      </c>
      <c r="U5493" s="2">
        <v>42267</v>
      </c>
      <c r="V5493" t="s">
        <v>71</v>
      </c>
      <c r="W5493" t="str">
        <f>"          2050919520"</f>
        <v xml:space="preserve">          2050919520</v>
      </c>
      <c r="X5493" s="1">
        <v>5402.16</v>
      </c>
      <c r="Y5493">
        <v>0</v>
      </c>
      <c r="Z5493"/>
      <c r="AB5493"/>
      <c r="AC5493" s="1">
        <v>4428</v>
      </c>
      <c r="AD5493">
        <v>253</v>
      </c>
      <c r="AE5493" s="1">
        <v>1120284</v>
      </c>
      <c r="AF5493">
        <v>0</v>
      </c>
      <c r="AJ5493">
        <v>0</v>
      </c>
      <c r="AK5493">
        <v>0</v>
      </c>
      <c r="AL5493">
        <v>0</v>
      </c>
      <c r="AM5493">
        <v>0</v>
      </c>
      <c r="AN5493">
        <v>0</v>
      </c>
      <c r="AO5493">
        <v>0</v>
      </c>
      <c r="AP5493" s="2">
        <v>42746</v>
      </c>
      <c r="AQ5493" t="s">
        <v>72</v>
      </c>
      <c r="AR5493" t="s">
        <v>72</v>
      </c>
      <c r="AS5493">
        <v>1463</v>
      </c>
      <c r="AT5493" s="4">
        <v>42520</v>
      </c>
      <c r="AU5493" t="s">
        <v>73</v>
      </c>
      <c r="AV5493">
        <v>1463</v>
      </c>
      <c r="AW5493" s="4">
        <v>42520</v>
      </c>
      <c r="BD5493">
        <v>0</v>
      </c>
      <c r="BN5493" t="s">
        <v>74</v>
      </c>
    </row>
    <row r="5494" spans="1:66" hidden="1">
      <c r="A5494">
        <v>102801</v>
      </c>
      <c r="B5494" s="3" t="s">
        <v>561</v>
      </c>
      <c r="C5494" s="1">
        <v>43300101</v>
      </c>
      <c r="D5494" t="s">
        <v>67</v>
      </c>
      <c r="H5494" t="str">
        <f t="shared" si="578"/>
        <v>01323030690</v>
      </c>
      <c r="I5494" t="str">
        <f t="shared" si="579"/>
        <v>01282360682</v>
      </c>
      <c r="K5494" t="str">
        <f>""</f>
        <v/>
      </c>
      <c r="M5494" t="s">
        <v>68</v>
      </c>
      <c r="N5494" t="str">
        <f t="shared" si="577"/>
        <v>FOR</v>
      </c>
      <c r="O5494" t="s">
        <v>69</v>
      </c>
      <c r="P5494" s="3" t="s">
        <v>75</v>
      </c>
      <c r="Q5494">
        <v>2015</v>
      </c>
      <c r="R5494" s="2">
        <v>42206</v>
      </c>
      <c r="S5494" s="2">
        <v>42209</v>
      </c>
      <c r="T5494" s="2">
        <v>42207</v>
      </c>
      <c r="U5494" s="2">
        <v>42267</v>
      </c>
      <c r="V5494" t="s">
        <v>71</v>
      </c>
      <c r="W5494" t="str">
        <f>"          2050919521"</f>
        <v xml:space="preserve">          2050919521</v>
      </c>
      <c r="X5494" s="1">
        <v>1700.92</v>
      </c>
      <c r="Y5494">
        <v>0</v>
      </c>
      <c r="Z5494"/>
      <c r="AB5494"/>
      <c r="AC5494" s="1">
        <v>1394.2</v>
      </c>
      <c r="AD5494">
        <v>253</v>
      </c>
      <c r="AE5494" s="1">
        <v>352732.6</v>
      </c>
      <c r="AF5494">
        <v>0</v>
      </c>
      <c r="AJ5494">
        <v>0</v>
      </c>
      <c r="AK5494">
        <v>0</v>
      </c>
      <c r="AL5494">
        <v>0</v>
      </c>
      <c r="AM5494">
        <v>0</v>
      </c>
      <c r="AN5494">
        <v>0</v>
      </c>
      <c r="AO5494">
        <v>0</v>
      </c>
      <c r="AP5494" s="2">
        <v>42746</v>
      </c>
      <c r="AQ5494" t="s">
        <v>72</v>
      </c>
      <c r="AR5494" t="s">
        <v>72</v>
      </c>
      <c r="AS5494">
        <v>1463</v>
      </c>
      <c r="AT5494" s="4">
        <v>42520</v>
      </c>
      <c r="AU5494" t="s">
        <v>73</v>
      </c>
      <c r="AV5494">
        <v>1463</v>
      </c>
      <c r="AW5494" s="4">
        <v>42520</v>
      </c>
      <c r="BD5494">
        <v>0</v>
      </c>
      <c r="BN5494" t="s">
        <v>74</v>
      </c>
    </row>
    <row r="5495" spans="1:66" hidden="1">
      <c r="A5495">
        <v>102801</v>
      </c>
      <c r="B5495" s="3" t="s">
        <v>561</v>
      </c>
      <c r="C5495" s="1">
        <v>43300101</v>
      </c>
      <c r="D5495" t="s">
        <v>67</v>
      </c>
      <c r="H5495" t="str">
        <f t="shared" si="578"/>
        <v>01323030690</v>
      </c>
      <c r="I5495" t="str">
        <f t="shared" si="579"/>
        <v>01282360682</v>
      </c>
      <c r="K5495" t="str">
        <f>""</f>
        <v/>
      </c>
      <c r="M5495" t="s">
        <v>68</v>
      </c>
      <c r="N5495" t="str">
        <f t="shared" si="577"/>
        <v>FOR</v>
      </c>
      <c r="O5495" t="s">
        <v>69</v>
      </c>
      <c r="P5495" s="3" t="s">
        <v>75</v>
      </c>
      <c r="Q5495">
        <v>2015</v>
      </c>
      <c r="R5495" s="2">
        <v>42241</v>
      </c>
      <c r="S5495" s="2">
        <v>42242</v>
      </c>
      <c r="T5495" s="2">
        <v>42242</v>
      </c>
      <c r="U5495" s="2">
        <v>42302</v>
      </c>
      <c r="V5495" t="s">
        <v>71</v>
      </c>
      <c r="W5495" t="str">
        <f>"          2050920330"</f>
        <v xml:space="preserve">          2050920330</v>
      </c>
      <c r="X5495" s="1">
        <v>5369.95</v>
      </c>
      <c r="Y5495">
        <v>0</v>
      </c>
      <c r="Z5495"/>
      <c r="AB5495"/>
      <c r="AC5495" s="1">
        <v>4401.6000000000004</v>
      </c>
      <c r="AD5495">
        <v>218</v>
      </c>
      <c r="AE5495" s="1">
        <v>959548.8</v>
      </c>
      <c r="AF5495">
        <v>0</v>
      </c>
      <c r="AJ5495">
        <v>0</v>
      </c>
      <c r="AK5495">
        <v>0</v>
      </c>
      <c r="AL5495">
        <v>0</v>
      </c>
      <c r="AM5495">
        <v>0</v>
      </c>
      <c r="AN5495">
        <v>0</v>
      </c>
      <c r="AO5495">
        <v>0</v>
      </c>
      <c r="AP5495" s="2">
        <v>42746</v>
      </c>
      <c r="AQ5495" t="s">
        <v>72</v>
      </c>
      <c r="AR5495" t="s">
        <v>72</v>
      </c>
      <c r="AS5495">
        <v>1463</v>
      </c>
      <c r="AT5495" s="4">
        <v>42520</v>
      </c>
      <c r="AU5495" t="s">
        <v>73</v>
      </c>
      <c r="AV5495">
        <v>1463</v>
      </c>
      <c r="AW5495" s="4">
        <v>42520</v>
      </c>
      <c r="BD5495">
        <v>0</v>
      </c>
      <c r="BN5495" t="s">
        <v>74</v>
      </c>
    </row>
    <row r="5496" spans="1:66" hidden="1">
      <c r="A5496">
        <v>102801</v>
      </c>
      <c r="B5496" s="3" t="s">
        <v>561</v>
      </c>
      <c r="C5496" s="1">
        <v>43300101</v>
      </c>
      <c r="D5496" t="s">
        <v>67</v>
      </c>
      <c r="H5496" t="str">
        <f t="shared" si="578"/>
        <v>01323030690</v>
      </c>
      <c r="I5496" t="str">
        <f t="shared" si="579"/>
        <v>01282360682</v>
      </c>
      <c r="K5496" t="str">
        <f>""</f>
        <v/>
      </c>
      <c r="M5496" t="s">
        <v>68</v>
      </c>
      <c r="N5496" t="str">
        <f t="shared" si="577"/>
        <v>FOR</v>
      </c>
      <c r="O5496" t="s">
        <v>69</v>
      </c>
      <c r="P5496" s="3" t="s">
        <v>75</v>
      </c>
      <c r="Q5496">
        <v>2015</v>
      </c>
      <c r="R5496" s="2">
        <v>42271</v>
      </c>
      <c r="S5496" s="2">
        <v>42272</v>
      </c>
      <c r="T5496" s="2">
        <v>42272</v>
      </c>
      <c r="U5496" s="2">
        <v>42332</v>
      </c>
      <c r="V5496" t="s">
        <v>71</v>
      </c>
      <c r="W5496" t="str">
        <f>"          2050921210"</f>
        <v xml:space="preserve">          2050921210</v>
      </c>
      <c r="X5496" s="1">
        <v>1194.6199999999999</v>
      </c>
      <c r="Y5496">
        <v>0</v>
      </c>
      <c r="Z5496"/>
      <c r="AB5496"/>
      <c r="AC5496">
        <v>979.2</v>
      </c>
      <c r="AD5496">
        <v>188</v>
      </c>
      <c r="AE5496" s="1">
        <v>184089.60000000001</v>
      </c>
      <c r="AF5496">
        <v>0</v>
      </c>
      <c r="AJ5496">
        <v>0</v>
      </c>
      <c r="AK5496">
        <v>0</v>
      </c>
      <c r="AL5496">
        <v>0</v>
      </c>
      <c r="AM5496">
        <v>0</v>
      </c>
      <c r="AN5496">
        <v>0</v>
      </c>
      <c r="AO5496">
        <v>0</v>
      </c>
      <c r="AP5496" s="2">
        <v>42746</v>
      </c>
      <c r="AQ5496" t="s">
        <v>72</v>
      </c>
      <c r="AR5496" t="s">
        <v>72</v>
      </c>
      <c r="AS5496">
        <v>1463</v>
      </c>
      <c r="AT5496" s="4">
        <v>42520</v>
      </c>
      <c r="AU5496" t="s">
        <v>73</v>
      </c>
      <c r="AV5496">
        <v>1463</v>
      </c>
      <c r="AW5496" s="4">
        <v>42520</v>
      </c>
      <c r="BD5496">
        <v>0</v>
      </c>
      <c r="BN5496" t="s">
        <v>74</v>
      </c>
    </row>
    <row r="5497" spans="1:66" hidden="1">
      <c r="A5497">
        <v>102801</v>
      </c>
      <c r="B5497" s="3" t="s">
        <v>561</v>
      </c>
      <c r="C5497" s="1">
        <v>43300101</v>
      </c>
      <c r="D5497" t="s">
        <v>67</v>
      </c>
      <c r="H5497" t="str">
        <f t="shared" si="578"/>
        <v>01323030690</v>
      </c>
      <c r="I5497" t="str">
        <f t="shared" si="579"/>
        <v>01282360682</v>
      </c>
      <c r="K5497" t="str">
        <f>""</f>
        <v/>
      </c>
      <c r="M5497" t="s">
        <v>68</v>
      </c>
      <c r="N5497" t="str">
        <f t="shared" si="577"/>
        <v>FOR</v>
      </c>
      <c r="O5497" t="s">
        <v>69</v>
      </c>
      <c r="P5497" s="3" t="s">
        <v>75</v>
      </c>
      <c r="Q5497">
        <v>2015</v>
      </c>
      <c r="R5497" s="2">
        <v>42277</v>
      </c>
      <c r="S5497" s="2">
        <v>42282</v>
      </c>
      <c r="T5497" s="2">
        <v>42278</v>
      </c>
      <c r="U5497" s="2">
        <v>42338</v>
      </c>
      <c r="V5497" t="s">
        <v>71</v>
      </c>
      <c r="W5497" t="str">
        <f>"          2050921341"</f>
        <v xml:space="preserve">          2050921341</v>
      </c>
      <c r="X5497" s="1">
        <v>4772.6400000000003</v>
      </c>
      <c r="Y5497">
        <v>0</v>
      </c>
      <c r="Z5497"/>
      <c r="AB5497"/>
      <c r="AC5497" s="1">
        <v>3912</v>
      </c>
      <c r="AD5497">
        <v>182</v>
      </c>
      <c r="AE5497" s="1">
        <v>711984</v>
      </c>
      <c r="AF5497">
        <v>0</v>
      </c>
      <c r="AJ5497">
        <v>0</v>
      </c>
      <c r="AK5497">
        <v>0</v>
      </c>
      <c r="AL5497">
        <v>0</v>
      </c>
      <c r="AM5497">
        <v>0</v>
      </c>
      <c r="AN5497">
        <v>0</v>
      </c>
      <c r="AO5497">
        <v>0</v>
      </c>
      <c r="AP5497" s="2">
        <v>42746</v>
      </c>
      <c r="AQ5497" t="s">
        <v>72</v>
      </c>
      <c r="AR5497" t="s">
        <v>72</v>
      </c>
      <c r="AS5497">
        <v>1463</v>
      </c>
      <c r="AT5497" s="4">
        <v>42520</v>
      </c>
      <c r="AU5497" t="s">
        <v>73</v>
      </c>
      <c r="AV5497">
        <v>1463</v>
      </c>
      <c r="AW5497" s="4">
        <v>42520</v>
      </c>
      <c r="BD5497">
        <v>0</v>
      </c>
      <c r="BN5497" t="s">
        <v>74</v>
      </c>
    </row>
    <row r="5498" spans="1:66" hidden="1">
      <c r="A5498">
        <v>102801</v>
      </c>
      <c r="B5498" s="3" t="s">
        <v>561</v>
      </c>
      <c r="C5498" s="1">
        <v>43300101</v>
      </c>
      <c r="D5498" t="s">
        <v>67</v>
      </c>
      <c r="H5498" t="str">
        <f t="shared" si="578"/>
        <v>01323030690</v>
      </c>
      <c r="I5498" t="str">
        <f t="shared" si="579"/>
        <v>01282360682</v>
      </c>
      <c r="K5498" t="str">
        <f>""</f>
        <v/>
      </c>
      <c r="M5498" t="s">
        <v>68</v>
      </c>
      <c r="N5498" t="str">
        <f t="shared" si="577"/>
        <v>FOR</v>
      </c>
      <c r="O5498" t="s">
        <v>69</v>
      </c>
      <c r="P5498" s="3" t="s">
        <v>75</v>
      </c>
      <c r="Q5498">
        <v>2015</v>
      </c>
      <c r="R5498" s="2">
        <v>42318</v>
      </c>
      <c r="S5498" s="2">
        <v>42320</v>
      </c>
      <c r="T5498" s="2">
        <v>42319</v>
      </c>
      <c r="U5498" s="2">
        <v>42379</v>
      </c>
      <c r="V5498" t="s">
        <v>71</v>
      </c>
      <c r="W5498" t="str">
        <f>"          2050922901"</f>
        <v xml:space="preserve">          2050922901</v>
      </c>
      <c r="X5498" s="1">
        <v>4176.79</v>
      </c>
      <c r="Y5498">
        <v>0</v>
      </c>
      <c r="Z5498"/>
      <c r="AB5498"/>
      <c r="AC5498" s="1">
        <v>3423.6</v>
      </c>
      <c r="AD5498">
        <v>150</v>
      </c>
      <c r="AE5498" s="1">
        <v>513540</v>
      </c>
      <c r="AF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 s="2">
        <v>42746</v>
      </c>
      <c r="AQ5498" t="s">
        <v>72</v>
      </c>
      <c r="AR5498" t="s">
        <v>72</v>
      </c>
      <c r="AS5498">
        <v>1585</v>
      </c>
      <c r="AT5498" s="4">
        <v>42529</v>
      </c>
      <c r="AU5498" t="s">
        <v>73</v>
      </c>
      <c r="AV5498">
        <v>1585</v>
      </c>
      <c r="AW5498" s="4">
        <v>42529</v>
      </c>
      <c r="BD5498">
        <v>0</v>
      </c>
      <c r="BN5498" t="s">
        <v>74</v>
      </c>
    </row>
    <row r="5499" spans="1:66" hidden="1">
      <c r="A5499">
        <v>102801</v>
      </c>
      <c r="B5499" s="3" t="s">
        <v>561</v>
      </c>
      <c r="C5499" s="1">
        <v>43300101</v>
      </c>
      <c r="D5499" t="s">
        <v>67</v>
      </c>
      <c r="H5499" t="str">
        <f t="shared" si="578"/>
        <v>01323030690</v>
      </c>
      <c r="I5499" t="str">
        <f t="shared" si="579"/>
        <v>01282360682</v>
      </c>
      <c r="K5499" t="str">
        <f>""</f>
        <v/>
      </c>
      <c r="M5499" t="s">
        <v>68</v>
      </c>
      <c r="N5499" t="str">
        <f t="shared" si="577"/>
        <v>FOR</v>
      </c>
      <c r="O5499" t="s">
        <v>69</v>
      </c>
      <c r="P5499" s="3" t="s">
        <v>75</v>
      </c>
      <c r="Q5499">
        <v>2015</v>
      </c>
      <c r="R5499" s="2">
        <v>42332</v>
      </c>
      <c r="S5499" s="2">
        <v>42333</v>
      </c>
      <c r="T5499" s="2">
        <v>42333</v>
      </c>
      <c r="U5499" s="2">
        <v>42393</v>
      </c>
      <c r="V5499" t="s">
        <v>71</v>
      </c>
      <c r="W5499" t="str">
        <f>"          2050923202"</f>
        <v xml:space="preserve">          2050923202</v>
      </c>
      <c r="X5499" s="1">
        <v>1326.38</v>
      </c>
      <c r="Y5499">
        <v>0</v>
      </c>
      <c r="Z5499"/>
      <c r="AB5499"/>
      <c r="AC5499" s="1">
        <v>1087.2</v>
      </c>
      <c r="AD5499">
        <v>136</v>
      </c>
      <c r="AE5499" s="1">
        <v>147859.20000000001</v>
      </c>
      <c r="AF5499">
        <v>0</v>
      </c>
      <c r="AJ5499">
        <v>0</v>
      </c>
      <c r="AK5499">
        <v>0</v>
      </c>
      <c r="AL5499">
        <v>0</v>
      </c>
      <c r="AM5499">
        <v>0</v>
      </c>
      <c r="AN5499">
        <v>0</v>
      </c>
      <c r="AO5499">
        <v>0</v>
      </c>
      <c r="AP5499" s="2">
        <v>42746</v>
      </c>
      <c r="AQ5499" t="s">
        <v>72</v>
      </c>
      <c r="AR5499" t="s">
        <v>72</v>
      </c>
      <c r="AS5499">
        <v>1585</v>
      </c>
      <c r="AT5499" s="4">
        <v>42529</v>
      </c>
      <c r="AU5499" t="s">
        <v>73</v>
      </c>
      <c r="AV5499">
        <v>1585</v>
      </c>
      <c r="AW5499" s="4">
        <v>42529</v>
      </c>
      <c r="BD5499">
        <v>0</v>
      </c>
      <c r="BN5499" t="s">
        <v>74</v>
      </c>
    </row>
    <row r="5500" spans="1:66" hidden="1">
      <c r="A5500">
        <v>102801</v>
      </c>
      <c r="B5500" s="3" t="s">
        <v>561</v>
      </c>
      <c r="C5500" s="1">
        <v>43300101</v>
      </c>
      <c r="D5500" t="s">
        <v>67</v>
      </c>
      <c r="H5500" t="str">
        <f t="shared" si="578"/>
        <v>01323030690</v>
      </c>
      <c r="I5500" t="str">
        <f t="shared" si="579"/>
        <v>01282360682</v>
      </c>
      <c r="K5500" t="str">
        <f>""</f>
        <v/>
      </c>
      <c r="M5500" t="s">
        <v>68</v>
      </c>
      <c r="N5500" t="str">
        <f t="shared" si="577"/>
        <v>FOR</v>
      </c>
      <c r="O5500" t="s">
        <v>69</v>
      </c>
      <c r="P5500" s="3" t="s">
        <v>75</v>
      </c>
      <c r="Q5500">
        <v>2015</v>
      </c>
      <c r="R5500" s="2">
        <v>42348</v>
      </c>
      <c r="S5500" s="2">
        <v>42353</v>
      </c>
      <c r="T5500" s="2">
        <v>42349</v>
      </c>
      <c r="U5500" s="2">
        <v>42409</v>
      </c>
      <c r="V5500" t="s">
        <v>71</v>
      </c>
      <c r="W5500" t="str">
        <f>"          2050923896"</f>
        <v xml:space="preserve">          2050923896</v>
      </c>
      <c r="X5500" s="1">
        <v>5055.1899999999996</v>
      </c>
      <c r="Y5500">
        <v>0</v>
      </c>
      <c r="Z5500"/>
      <c r="AB5500"/>
      <c r="AC5500" s="1">
        <v>4143.6000000000004</v>
      </c>
      <c r="AD5500">
        <v>120</v>
      </c>
      <c r="AE5500" s="1">
        <v>497232</v>
      </c>
      <c r="AF5500">
        <v>0</v>
      </c>
      <c r="AJ5500">
        <v>0</v>
      </c>
      <c r="AK5500">
        <v>0</v>
      </c>
      <c r="AL5500">
        <v>0</v>
      </c>
      <c r="AM5500">
        <v>0</v>
      </c>
      <c r="AN5500">
        <v>0</v>
      </c>
      <c r="AO5500">
        <v>0</v>
      </c>
      <c r="AP5500" s="2">
        <v>42746</v>
      </c>
      <c r="AQ5500" t="s">
        <v>72</v>
      </c>
      <c r="AR5500" t="s">
        <v>72</v>
      </c>
      <c r="AS5500">
        <v>1585</v>
      </c>
      <c r="AT5500" s="4">
        <v>42529</v>
      </c>
      <c r="AU5500" t="s">
        <v>73</v>
      </c>
      <c r="AV5500">
        <v>1585</v>
      </c>
      <c r="AW5500" s="4">
        <v>42529</v>
      </c>
      <c r="BD5500">
        <v>0</v>
      </c>
      <c r="BN5500" t="s">
        <v>74</v>
      </c>
    </row>
    <row r="5501" spans="1:66" hidden="1">
      <c r="A5501">
        <v>102801</v>
      </c>
      <c r="B5501" s="3" t="s">
        <v>561</v>
      </c>
      <c r="C5501" s="1">
        <v>43300101</v>
      </c>
      <c r="D5501" t="s">
        <v>67</v>
      </c>
      <c r="H5501" t="str">
        <f t="shared" si="578"/>
        <v>01323030690</v>
      </c>
      <c r="I5501" t="str">
        <f t="shared" si="579"/>
        <v>01282360682</v>
      </c>
      <c r="K5501" t="str">
        <f>""</f>
        <v/>
      </c>
      <c r="M5501" t="s">
        <v>68</v>
      </c>
      <c r="N5501" t="str">
        <f t="shared" si="577"/>
        <v>FOR</v>
      </c>
      <c r="O5501" t="s">
        <v>69</v>
      </c>
      <c r="P5501" s="3" t="s">
        <v>75</v>
      </c>
      <c r="Q5501">
        <v>2016</v>
      </c>
      <c r="R5501" s="2">
        <v>42390</v>
      </c>
      <c r="S5501" s="2">
        <v>42395</v>
      </c>
      <c r="T5501" s="2">
        <v>42391</v>
      </c>
      <c r="U5501" s="2">
        <v>42451</v>
      </c>
      <c r="V5501" t="s">
        <v>71</v>
      </c>
      <c r="W5501" t="str">
        <f>"          2050925147"</f>
        <v xml:space="preserve">          2050925147</v>
      </c>
      <c r="X5501" s="1">
        <v>4176.79</v>
      </c>
      <c r="Y5501">
        <v>0</v>
      </c>
      <c r="Z5501"/>
      <c r="AB5501"/>
      <c r="AC5501" s="1">
        <v>3423.6</v>
      </c>
      <c r="AD5501">
        <v>78</v>
      </c>
      <c r="AE5501" s="1">
        <v>267040.8</v>
      </c>
      <c r="AF5501">
        <v>0</v>
      </c>
      <c r="AJ5501">
        <v>0</v>
      </c>
      <c r="AK5501">
        <v>0</v>
      </c>
      <c r="AL5501">
        <v>0</v>
      </c>
      <c r="AM5501" s="1">
        <v>4176.79</v>
      </c>
      <c r="AN5501" s="1">
        <v>4176.79</v>
      </c>
      <c r="AO5501" s="1">
        <v>4176.79</v>
      </c>
      <c r="AP5501" s="2">
        <v>42746</v>
      </c>
      <c r="AQ5501" t="s">
        <v>72</v>
      </c>
      <c r="AR5501" t="s">
        <v>72</v>
      </c>
      <c r="AS5501">
        <v>1585</v>
      </c>
      <c r="AT5501" s="4">
        <v>42529</v>
      </c>
      <c r="AU5501" t="s">
        <v>73</v>
      </c>
      <c r="AV5501">
        <v>1585</v>
      </c>
      <c r="AW5501" s="4">
        <v>42529</v>
      </c>
      <c r="BD5501">
        <v>0</v>
      </c>
      <c r="BN5501" t="s">
        <v>74</v>
      </c>
    </row>
    <row r="5502" spans="1:66" hidden="1">
      <c r="A5502">
        <v>102801</v>
      </c>
      <c r="B5502" s="3" t="s">
        <v>561</v>
      </c>
      <c r="C5502" s="1">
        <v>43300101</v>
      </c>
      <c r="D5502" t="s">
        <v>67</v>
      </c>
      <c r="H5502" t="str">
        <f t="shared" si="578"/>
        <v>01323030690</v>
      </c>
      <c r="I5502" t="str">
        <f t="shared" si="579"/>
        <v>01282360682</v>
      </c>
      <c r="K5502" t="str">
        <f>""</f>
        <v/>
      </c>
      <c r="M5502" t="s">
        <v>68</v>
      </c>
      <c r="N5502" t="str">
        <f t="shared" si="577"/>
        <v>FOR</v>
      </c>
      <c r="O5502" t="s">
        <v>69</v>
      </c>
      <c r="P5502" s="3" t="s">
        <v>75</v>
      </c>
      <c r="Q5502">
        <v>2016</v>
      </c>
      <c r="R5502" s="2">
        <v>42395</v>
      </c>
      <c r="S5502" s="2">
        <v>42396</v>
      </c>
      <c r="T5502" s="2">
        <v>42396</v>
      </c>
      <c r="U5502" s="2">
        <v>42456</v>
      </c>
      <c r="V5502" t="s">
        <v>71</v>
      </c>
      <c r="W5502" t="str">
        <f>"          2050925263"</f>
        <v xml:space="preserve">          2050925263</v>
      </c>
      <c r="X5502" s="1">
        <v>1054.08</v>
      </c>
      <c r="Y5502">
        <v>0</v>
      </c>
      <c r="Z5502"/>
      <c r="AB5502"/>
      <c r="AC5502">
        <v>864</v>
      </c>
      <c r="AD5502">
        <v>73</v>
      </c>
      <c r="AE5502" s="1">
        <v>63072</v>
      </c>
      <c r="AF5502">
        <v>0</v>
      </c>
      <c r="AJ5502">
        <v>0</v>
      </c>
      <c r="AK5502">
        <v>0</v>
      </c>
      <c r="AL5502">
        <v>0</v>
      </c>
      <c r="AM5502" s="1">
        <v>1054.08</v>
      </c>
      <c r="AN5502" s="1">
        <v>1054.08</v>
      </c>
      <c r="AO5502" s="1">
        <v>1054.08</v>
      </c>
      <c r="AP5502" s="2">
        <v>42746</v>
      </c>
      <c r="AQ5502" t="s">
        <v>72</v>
      </c>
      <c r="AR5502" t="s">
        <v>72</v>
      </c>
      <c r="AS5502">
        <v>1585</v>
      </c>
      <c r="AT5502" s="4">
        <v>42529</v>
      </c>
      <c r="AU5502" t="s">
        <v>73</v>
      </c>
      <c r="AV5502">
        <v>1585</v>
      </c>
      <c r="AW5502" s="4">
        <v>42529</v>
      </c>
      <c r="BD5502">
        <v>0</v>
      </c>
      <c r="BN5502" t="s">
        <v>74</v>
      </c>
    </row>
    <row r="5503" spans="1:66" hidden="1">
      <c r="A5503">
        <v>102801</v>
      </c>
      <c r="B5503" s="3" t="s">
        <v>561</v>
      </c>
      <c r="C5503" s="1">
        <v>43300101</v>
      </c>
      <c r="D5503" t="s">
        <v>67</v>
      </c>
      <c r="H5503" t="str">
        <f t="shared" si="578"/>
        <v>01323030690</v>
      </c>
      <c r="I5503" t="str">
        <f t="shared" si="579"/>
        <v>01282360682</v>
      </c>
      <c r="K5503" t="str">
        <f>""</f>
        <v/>
      </c>
      <c r="M5503" t="s">
        <v>68</v>
      </c>
      <c r="N5503" t="str">
        <f t="shared" si="577"/>
        <v>FOR</v>
      </c>
      <c r="O5503" t="s">
        <v>69</v>
      </c>
      <c r="P5503" s="3" t="s">
        <v>75</v>
      </c>
      <c r="Q5503">
        <v>2016</v>
      </c>
      <c r="R5503" s="2">
        <v>42416</v>
      </c>
      <c r="S5503" s="2">
        <v>42417</v>
      </c>
      <c r="T5503" s="2">
        <v>42417</v>
      </c>
      <c r="U5503" s="2">
        <v>42477</v>
      </c>
      <c r="V5503" t="s">
        <v>71</v>
      </c>
      <c r="W5503" t="str">
        <f>"          2050926169"</f>
        <v xml:space="preserve">          2050926169</v>
      </c>
      <c r="X5503" s="1">
        <v>5369.95</v>
      </c>
      <c r="Y5503">
        <v>0</v>
      </c>
      <c r="Z5503"/>
      <c r="AB5503"/>
      <c r="AC5503" s="1">
        <v>4401.6000000000004</v>
      </c>
      <c r="AD5503">
        <v>52</v>
      </c>
      <c r="AE5503" s="1">
        <v>228883.20000000001</v>
      </c>
      <c r="AF5503">
        <v>0</v>
      </c>
      <c r="AJ5503">
        <v>0</v>
      </c>
      <c r="AK5503">
        <v>0</v>
      </c>
      <c r="AL5503">
        <v>0</v>
      </c>
      <c r="AM5503" s="1">
        <v>5369.95</v>
      </c>
      <c r="AN5503" s="1">
        <v>5369.95</v>
      </c>
      <c r="AO5503" s="1">
        <v>5369.95</v>
      </c>
      <c r="AP5503" s="2">
        <v>42746</v>
      </c>
      <c r="AQ5503" t="s">
        <v>72</v>
      </c>
      <c r="AR5503" t="s">
        <v>72</v>
      </c>
      <c r="AS5503">
        <v>1585</v>
      </c>
      <c r="AT5503" s="4">
        <v>42529</v>
      </c>
      <c r="AU5503" t="s">
        <v>73</v>
      </c>
      <c r="AV5503">
        <v>1585</v>
      </c>
      <c r="AW5503" s="4">
        <v>42529</v>
      </c>
      <c r="BD5503">
        <v>0</v>
      </c>
      <c r="BN5503" t="s">
        <v>74</v>
      </c>
    </row>
    <row r="5504" spans="1:66" hidden="1">
      <c r="A5504">
        <v>102801</v>
      </c>
      <c r="B5504" s="3" t="s">
        <v>561</v>
      </c>
      <c r="C5504" s="1">
        <v>43300101</v>
      </c>
      <c r="D5504" t="s">
        <v>67</v>
      </c>
      <c r="H5504" t="str">
        <f t="shared" si="578"/>
        <v>01323030690</v>
      </c>
      <c r="I5504" t="str">
        <f t="shared" si="579"/>
        <v>01282360682</v>
      </c>
      <c r="K5504" t="str">
        <f>""</f>
        <v/>
      </c>
      <c r="M5504" t="s">
        <v>68</v>
      </c>
      <c r="N5504" t="str">
        <f t="shared" si="577"/>
        <v>FOR</v>
      </c>
      <c r="O5504" t="s">
        <v>69</v>
      </c>
      <c r="P5504" s="3" t="s">
        <v>75</v>
      </c>
      <c r="Q5504">
        <v>2016</v>
      </c>
      <c r="R5504" s="2">
        <v>42453</v>
      </c>
      <c r="S5504" s="2">
        <v>42454</v>
      </c>
      <c r="T5504" s="2">
        <v>42454</v>
      </c>
      <c r="U5504" s="2">
        <v>42514</v>
      </c>
      <c r="V5504" t="s">
        <v>71</v>
      </c>
      <c r="W5504" t="str">
        <f>"          2050927465"</f>
        <v xml:space="preserve">          2050927465</v>
      </c>
      <c r="X5504" s="1">
        <v>4764.2</v>
      </c>
      <c r="Y5504">
        <v>0</v>
      </c>
      <c r="Z5504"/>
      <c r="AB5504"/>
      <c r="AC5504" s="1">
        <v>3905.08</v>
      </c>
      <c r="AD5504">
        <v>15</v>
      </c>
      <c r="AE5504" s="1">
        <v>58576.2</v>
      </c>
      <c r="AF5504">
        <v>0</v>
      </c>
      <c r="AJ5504">
        <v>0</v>
      </c>
      <c r="AK5504">
        <v>0</v>
      </c>
      <c r="AL5504">
        <v>0</v>
      </c>
      <c r="AM5504" s="1">
        <v>4764.2</v>
      </c>
      <c r="AN5504" s="1">
        <v>4764.2</v>
      </c>
      <c r="AO5504" s="1">
        <v>4764.2</v>
      </c>
      <c r="AP5504" s="2">
        <v>42746</v>
      </c>
      <c r="AQ5504" t="s">
        <v>72</v>
      </c>
      <c r="AR5504" t="s">
        <v>72</v>
      </c>
      <c r="AS5504">
        <v>1585</v>
      </c>
      <c r="AT5504" s="4">
        <v>42529</v>
      </c>
      <c r="AU5504" t="s">
        <v>73</v>
      </c>
      <c r="AV5504">
        <v>1585</v>
      </c>
      <c r="AW5504" s="4">
        <v>42529</v>
      </c>
      <c r="BD5504">
        <v>0</v>
      </c>
      <c r="BN5504" t="s">
        <v>74</v>
      </c>
    </row>
    <row r="5505" spans="1:66" hidden="1">
      <c r="A5505">
        <v>102801</v>
      </c>
      <c r="B5505" s="3" t="s">
        <v>561</v>
      </c>
      <c r="C5505" s="1">
        <v>43300101</v>
      </c>
      <c r="D5505" t="s">
        <v>67</v>
      </c>
      <c r="H5505" t="str">
        <f t="shared" si="578"/>
        <v>01323030690</v>
      </c>
      <c r="I5505" t="str">
        <f t="shared" si="579"/>
        <v>01282360682</v>
      </c>
      <c r="K5505" t="str">
        <f>""</f>
        <v/>
      </c>
      <c r="M5505" t="s">
        <v>68</v>
      </c>
      <c r="N5505" t="str">
        <f t="shared" si="577"/>
        <v>FOR</v>
      </c>
      <c r="O5505" t="s">
        <v>69</v>
      </c>
      <c r="P5505" s="3" t="s">
        <v>75</v>
      </c>
      <c r="Q5505">
        <v>2016</v>
      </c>
      <c r="R5505" s="2">
        <v>42480</v>
      </c>
      <c r="S5505" s="2">
        <v>42481</v>
      </c>
      <c r="T5505" s="2">
        <v>42481</v>
      </c>
      <c r="U5505" s="2">
        <v>42541</v>
      </c>
      <c r="V5505" t="s">
        <v>71</v>
      </c>
      <c r="W5505" t="str">
        <f>"          2050928454"</f>
        <v xml:space="preserve">          2050928454</v>
      </c>
      <c r="X5505" s="1">
        <v>5369.95</v>
      </c>
      <c r="Y5505">
        <v>0</v>
      </c>
      <c r="Z5505"/>
      <c r="AB5505"/>
      <c r="AC5505" s="1">
        <v>4401.6000000000004</v>
      </c>
      <c r="AD5505">
        <v>-12</v>
      </c>
      <c r="AE5505" s="1">
        <v>-52819.199999999997</v>
      </c>
      <c r="AF5505">
        <v>0</v>
      </c>
      <c r="AJ5505">
        <v>0</v>
      </c>
      <c r="AK5505">
        <v>0</v>
      </c>
      <c r="AL5505">
        <v>0</v>
      </c>
      <c r="AM5505" s="1">
        <v>5369.95</v>
      </c>
      <c r="AN5505" s="1">
        <v>5369.95</v>
      </c>
      <c r="AO5505" s="1">
        <v>5369.95</v>
      </c>
      <c r="AP5505" s="2">
        <v>42746</v>
      </c>
      <c r="AQ5505" t="s">
        <v>72</v>
      </c>
      <c r="AR5505" t="s">
        <v>72</v>
      </c>
      <c r="AS5505">
        <v>1585</v>
      </c>
      <c r="AT5505" s="4">
        <v>42529</v>
      </c>
      <c r="AV5505">
        <v>1585</v>
      </c>
      <c r="AW5505" s="4">
        <v>42529</v>
      </c>
      <c r="BD5505">
        <v>0</v>
      </c>
      <c r="BN5505" t="s">
        <v>74</v>
      </c>
    </row>
    <row r="5506" spans="1:66" hidden="1">
      <c r="A5506">
        <v>102802</v>
      </c>
      <c r="B5506" s="3" t="s">
        <v>562</v>
      </c>
      <c r="C5506" s="1">
        <v>43300101</v>
      </c>
      <c r="D5506" t="s">
        <v>67</v>
      </c>
      <c r="H5506" t="str">
        <f>"05063110638"</f>
        <v>05063110638</v>
      </c>
      <c r="I5506" t="str">
        <f>"01387091216"</f>
        <v>01387091216</v>
      </c>
      <c r="K5506" t="str">
        <f>""</f>
        <v/>
      </c>
      <c r="M5506" t="s">
        <v>68</v>
      </c>
      <c r="N5506" t="str">
        <f t="shared" si="577"/>
        <v>FOR</v>
      </c>
      <c r="O5506" t="s">
        <v>69</v>
      </c>
      <c r="P5506" s="3" t="s">
        <v>70</v>
      </c>
      <c r="Q5506">
        <v>2015</v>
      </c>
      <c r="R5506" s="2">
        <v>42063</v>
      </c>
      <c r="S5506" s="2">
        <v>42089</v>
      </c>
      <c r="T5506" s="2">
        <v>42089</v>
      </c>
      <c r="U5506" s="2">
        <v>42149</v>
      </c>
      <c r="V5506" t="s">
        <v>71</v>
      </c>
      <c r="W5506" t="str">
        <f>"                 150"</f>
        <v xml:space="preserve">                 150</v>
      </c>
      <c r="X5506" s="1">
        <v>3440.4</v>
      </c>
      <c r="Y5506">
        <v>0</v>
      </c>
      <c r="Z5506"/>
      <c r="AB5506"/>
      <c r="AC5506" s="1">
        <v>2820</v>
      </c>
      <c r="AD5506">
        <v>259</v>
      </c>
      <c r="AE5506" s="1">
        <v>730380</v>
      </c>
      <c r="AF5506">
        <v>0</v>
      </c>
      <c r="AJ5506">
        <v>0</v>
      </c>
      <c r="AK5506">
        <v>0</v>
      </c>
      <c r="AL5506">
        <v>0</v>
      </c>
      <c r="AM5506">
        <v>0</v>
      </c>
      <c r="AN5506">
        <v>0</v>
      </c>
      <c r="AO5506">
        <v>0</v>
      </c>
      <c r="AP5506" s="2">
        <v>42746</v>
      </c>
      <c r="AQ5506" t="s">
        <v>72</v>
      </c>
      <c r="AR5506" t="s">
        <v>72</v>
      </c>
      <c r="AS5506">
        <v>302</v>
      </c>
      <c r="AT5506" s="4">
        <v>42408</v>
      </c>
      <c r="AU5506" t="s">
        <v>73</v>
      </c>
      <c r="AV5506">
        <v>302</v>
      </c>
      <c r="AW5506" s="4">
        <v>42408</v>
      </c>
      <c r="BD5506">
        <v>0</v>
      </c>
      <c r="BN5506" t="s">
        <v>74</v>
      </c>
    </row>
    <row r="5507" spans="1:66" hidden="1">
      <c r="A5507">
        <v>102802</v>
      </c>
      <c r="B5507" s="3" t="s">
        <v>562</v>
      </c>
      <c r="C5507" s="1">
        <v>43300101</v>
      </c>
      <c r="D5507" t="s">
        <v>67</v>
      </c>
      <c r="H5507" t="str">
        <f>"05063110638"</f>
        <v>05063110638</v>
      </c>
      <c r="I5507" t="str">
        <f>"01387091216"</f>
        <v>01387091216</v>
      </c>
      <c r="K5507" t="str">
        <f>""</f>
        <v/>
      </c>
      <c r="M5507" t="s">
        <v>68</v>
      </c>
      <c r="N5507" t="str">
        <f t="shared" si="577"/>
        <v>FOR</v>
      </c>
      <c r="O5507" t="s">
        <v>69</v>
      </c>
      <c r="P5507" s="3" t="s">
        <v>75</v>
      </c>
      <c r="Q5507">
        <v>2015</v>
      </c>
      <c r="R5507" s="2">
        <v>42109</v>
      </c>
      <c r="S5507" s="2">
        <v>42172</v>
      </c>
      <c r="T5507" s="2">
        <v>42138</v>
      </c>
      <c r="U5507" s="2">
        <v>42198</v>
      </c>
      <c r="V5507" t="s">
        <v>71</v>
      </c>
      <c r="W5507" t="str">
        <f>"               15/04"</f>
        <v xml:space="preserve">               15/04</v>
      </c>
      <c r="X5507" s="1">
        <v>1720.2</v>
      </c>
      <c r="Y5507">
        <v>0</v>
      </c>
      <c r="Z5507"/>
      <c r="AB5507"/>
      <c r="AC5507" s="1">
        <v>1410</v>
      </c>
      <c r="AD5507">
        <v>232</v>
      </c>
      <c r="AE5507" s="1">
        <v>327120</v>
      </c>
      <c r="AF5507">
        <v>0</v>
      </c>
      <c r="AJ5507">
        <v>0</v>
      </c>
      <c r="AK5507">
        <v>0</v>
      </c>
      <c r="AL5507">
        <v>0</v>
      </c>
      <c r="AM5507">
        <v>0</v>
      </c>
      <c r="AN5507">
        <v>0</v>
      </c>
      <c r="AO5507">
        <v>0</v>
      </c>
      <c r="AP5507" s="2">
        <v>42746</v>
      </c>
      <c r="AQ5507" t="s">
        <v>72</v>
      </c>
      <c r="AR5507" t="s">
        <v>72</v>
      </c>
      <c r="AS5507">
        <v>608</v>
      </c>
      <c r="AT5507" s="4">
        <v>42430</v>
      </c>
      <c r="AU5507" t="s">
        <v>73</v>
      </c>
      <c r="AV5507">
        <v>608</v>
      </c>
      <c r="AW5507" s="4">
        <v>42430</v>
      </c>
      <c r="BD5507">
        <v>0</v>
      </c>
      <c r="BN5507" t="s">
        <v>74</v>
      </c>
    </row>
    <row r="5508" spans="1:66" hidden="1">
      <c r="A5508">
        <v>102802</v>
      </c>
      <c r="B5508" s="3" t="s">
        <v>562</v>
      </c>
      <c r="C5508" s="1">
        <v>43300101</v>
      </c>
      <c r="D5508" t="s">
        <v>67</v>
      </c>
      <c r="H5508" t="str">
        <f>"05063110638"</f>
        <v>05063110638</v>
      </c>
      <c r="I5508" t="str">
        <f>"01387091216"</f>
        <v>01387091216</v>
      </c>
      <c r="K5508" t="str">
        <f>""</f>
        <v/>
      </c>
      <c r="M5508" t="s">
        <v>68</v>
      </c>
      <c r="N5508" t="str">
        <f t="shared" si="577"/>
        <v>FOR</v>
      </c>
      <c r="O5508" t="s">
        <v>69</v>
      </c>
      <c r="P5508" s="3" t="s">
        <v>75</v>
      </c>
      <c r="Q5508">
        <v>2015</v>
      </c>
      <c r="R5508" s="2">
        <v>42109</v>
      </c>
      <c r="S5508" s="2">
        <v>42172</v>
      </c>
      <c r="T5508" s="2">
        <v>42138</v>
      </c>
      <c r="U5508" s="2">
        <v>42198</v>
      </c>
      <c r="V5508" t="s">
        <v>71</v>
      </c>
      <c r="W5508" t="str">
        <f>"               16/04"</f>
        <v xml:space="preserve">               16/04</v>
      </c>
      <c r="X5508" s="1">
        <v>5160.6000000000004</v>
      </c>
      <c r="Y5508">
        <v>0</v>
      </c>
      <c r="Z5508"/>
      <c r="AB5508"/>
      <c r="AC5508" s="1">
        <v>4230</v>
      </c>
      <c r="AD5508">
        <v>232</v>
      </c>
      <c r="AE5508" s="1">
        <v>981360</v>
      </c>
      <c r="AF5508">
        <v>0</v>
      </c>
      <c r="AJ5508">
        <v>0</v>
      </c>
      <c r="AK5508">
        <v>0</v>
      </c>
      <c r="AL5508">
        <v>0</v>
      </c>
      <c r="AM5508">
        <v>0</v>
      </c>
      <c r="AN5508">
        <v>0</v>
      </c>
      <c r="AO5508">
        <v>0</v>
      </c>
      <c r="AP5508" s="2">
        <v>42746</v>
      </c>
      <c r="AQ5508" t="s">
        <v>72</v>
      </c>
      <c r="AR5508" t="s">
        <v>72</v>
      </c>
      <c r="AS5508">
        <v>608</v>
      </c>
      <c r="AT5508" s="4">
        <v>42430</v>
      </c>
      <c r="AU5508" t="s">
        <v>73</v>
      </c>
      <c r="AV5508">
        <v>608</v>
      </c>
      <c r="AW5508" s="4">
        <v>42430</v>
      </c>
      <c r="BD5508">
        <v>0</v>
      </c>
      <c r="BN5508" t="s">
        <v>74</v>
      </c>
    </row>
    <row r="5509" spans="1:66" hidden="1">
      <c r="A5509">
        <v>102802</v>
      </c>
      <c r="B5509" s="3" t="s">
        <v>562</v>
      </c>
      <c r="C5509" s="1">
        <v>43300101</v>
      </c>
      <c r="D5509" t="s">
        <v>67</v>
      </c>
      <c r="H5509" t="str">
        <f>"05063110638"</f>
        <v>05063110638</v>
      </c>
      <c r="I5509" t="str">
        <f>"01387091216"</f>
        <v>01387091216</v>
      </c>
      <c r="K5509" t="str">
        <f>""</f>
        <v/>
      </c>
      <c r="M5509" t="s">
        <v>68</v>
      </c>
      <c r="N5509" t="str">
        <f t="shared" si="577"/>
        <v>FOR</v>
      </c>
      <c r="O5509" t="s">
        <v>69</v>
      </c>
      <c r="P5509" s="3" t="s">
        <v>75</v>
      </c>
      <c r="Q5509">
        <v>2015</v>
      </c>
      <c r="R5509" s="2">
        <v>42139</v>
      </c>
      <c r="S5509" s="2">
        <v>42167</v>
      </c>
      <c r="T5509" s="2">
        <v>42165</v>
      </c>
      <c r="U5509" s="2">
        <v>42225</v>
      </c>
      <c r="V5509" t="s">
        <v>71</v>
      </c>
      <c r="W5509" t="str">
        <f>"               74/04"</f>
        <v xml:space="preserve">               74/04</v>
      </c>
      <c r="X5509" s="1">
        <v>4941</v>
      </c>
      <c r="Y5509">
        <v>0</v>
      </c>
      <c r="Z5509"/>
      <c r="AB5509"/>
      <c r="AC5509" s="1">
        <v>4050</v>
      </c>
      <c r="AD5509">
        <v>227</v>
      </c>
      <c r="AE5509" s="1">
        <v>919350</v>
      </c>
      <c r="AF5509">
        <v>0</v>
      </c>
      <c r="AJ5509">
        <v>0</v>
      </c>
      <c r="AK5509">
        <v>0</v>
      </c>
      <c r="AL5509">
        <v>0</v>
      </c>
      <c r="AM5509">
        <v>0</v>
      </c>
      <c r="AN5509">
        <v>0</v>
      </c>
      <c r="AO5509">
        <v>0</v>
      </c>
      <c r="AP5509" s="2">
        <v>42746</v>
      </c>
      <c r="AQ5509" t="s">
        <v>72</v>
      </c>
      <c r="AR5509" t="s">
        <v>72</v>
      </c>
      <c r="AS5509">
        <v>813</v>
      </c>
      <c r="AT5509" s="4">
        <v>42452</v>
      </c>
      <c r="AU5509" t="s">
        <v>73</v>
      </c>
      <c r="AV5509">
        <v>813</v>
      </c>
      <c r="AW5509" s="4">
        <v>42452</v>
      </c>
      <c r="BD5509">
        <v>0</v>
      </c>
      <c r="BN5509" t="s">
        <v>74</v>
      </c>
    </row>
    <row r="5510" spans="1:66" hidden="1">
      <c r="A5510">
        <v>102802</v>
      </c>
      <c r="B5510" s="3" t="s">
        <v>562</v>
      </c>
      <c r="C5510" s="1">
        <v>43300101</v>
      </c>
      <c r="D5510" t="s">
        <v>67</v>
      </c>
      <c r="H5510" t="str">
        <f>"05063110638"</f>
        <v>05063110638</v>
      </c>
      <c r="I5510" t="str">
        <f>"01387091216"</f>
        <v>01387091216</v>
      </c>
      <c r="K5510" t="str">
        <f>""</f>
        <v/>
      </c>
      <c r="M5510" t="s">
        <v>68</v>
      </c>
      <c r="N5510" t="str">
        <f t="shared" si="577"/>
        <v>FOR</v>
      </c>
      <c r="O5510" t="s">
        <v>69</v>
      </c>
      <c r="P5510" s="3" t="s">
        <v>75</v>
      </c>
      <c r="Q5510">
        <v>2015</v>
      </c>
      <c r="R5510" s="2">
        <v>42155</v>
      </c>
      <c r="S5510" s="2">
        <v>42167</v>
      </c>
      <c r="T5510" s="2">
        <v>42165</v>
      </c>
      <c r="U5510" s="2">
        <v>42225</v>
      </c>
      <c r="V5510" t="s">
        <v>71</v>
      </c>
      <c r="W5510" t="str">
        <f>"              103/04"</f>
        <v xml:space="preserve">              103/04</v>
      </c>
      <c r="X5510">
        <v>839.36</v>
      </c>
      <c r="Y5510">
        <v>0</v>
      </c>
      <c r="Z5510"/>
      <c r="AB5510"/>
      <c r="AC5510">
        <v>688</v>
      </c>
      <c r="AD5510">
        <v>227</v>
      </c>
      <c r="AE5510" s="1">
        <v>156176</v>
      </c>
      <c r="AF5510">
        <v>0</v>
      </c>
      <c r="AJ5510">
        <v>0</v>
      </c>
      <c r="AK5510">
        <v>0</v>
      </c>
      <c r="AL5510">
        <v>0</v>
      </c>
      <c r="AM5510">
        <v>0</v>
      </c>
      <c r="AN5510">
        <v>0</v>
      </c>
      <c r="AO5510">
        <v>0</v>
      </c>
      <c r="AP5510" s="2">
        <v>42746</v>
      </c>
      <c r="AQ5510" t="s">
        <v>72</v>
      </c>
      <c r="AR5510" t="s">
        <v>72</v>
      </c>
      <c r="AS5510">
        <v>813</v>
      </c>
      <c r="AT5510" s="4">
        <v>42452</v>
      </c>
      <c r="AU5510" t="s">
        <v>73</v>
      </c>
      <c r="AV5510">
        <v>813</v>
      </c>
      <c r="AW5510" s="4">
        <v>42452</v>
      </c>
      <c r="BD5510">
        <v>0</v>
      </c>
      <c r="BN5510" t="s">
        <v>74</v>
      </c>
    </row>
    <row r="5511" spans="1:66" hidden="1">
      <c r="A5511">
        <v>102806</v>
      </c>
      <c r="B5511" s="3" t="s">
        <v>563</v>
      </c>
      <c r="C5511" s="1">
        <v>43300101</v>
      </c>
      <c r="D5511" t="s">
        <v>67</v>
      </c>
      <c r="H5511" t="str">
        <f t="shared" ref="H5511:I5518" si="580">"02067940367"</f>
        <v>02067940367</v>
      </c>
      <c r="I5511" t="str">
        <f t="shared" si="580"/>
        <v>02067940367</v>
      </c>
      <c r="K5511" t="str">
        <f>""</f>
        <v/>
      </c>
      <c r="M5511" t="s">
        <v>68</v>
      </c>
      <c r="N5511" t="str">
        <f t="shared" si="577"/>
        <v>FOR</v>
      </c>
      <c r="O5511" t="s">
        <v>69</v>
      </c>
      <c r="P5511" s="3" t="s">
        <v>75</v>
      </c>
      <c r="Q5511">
        <v>2015</v>
      </c>
      <c r="R5511" s="2">
        <v>42172</v>
      </c>
      <c r="S5511" s="2">
        <v>42174</v>
      </c>
      <c r="T5511" s="2">
        <v>42173</v>
      </c>
      <c r="U5511" s="2">
        <v>42233</v>
      </c>
      <c r="V5511" t="s">
        <v>71</v>
      </c>
      <c r="W5511" t="str">
        <f>"          5304106184"</f>
        <v xml:space="preserve">          5304106184</v>
      </c>
      <c r="X5511" s="1">
        <v>1306.6600000000001</v>
      </c>
      <c r="Y5511">
        <v>0</v>
      </c>
      <c r="Z5511"/>
      <c r="AB5511"/>
      <c r="AC5511" s="1">
        <v>1256.4000000000001</v>
      </c>
      <c r="AD5511">
        <v>294</v>
      </c>
      <c r="AE5511" s="1">
        <v>369381.6</v>
      </c>
      <c r="AF5511">
        <v>0</v>
      </c>
      <c r="AJ5511">
        <v>0</v>
      </c>
      <c r="AK5511">
        <v>0</v>
      </c>
      <c r="AL5511">
        <v>0</v>
      </c>
      <c r="AM5511">
        <v>0</v>
      </c>
      <c r="AN5511">
        <v>0</v>
      </c>
      <c r="AO5511">
        <v>0</v>
      </c>
      <c r="AP5511" s="2">
        <v>42746</v>
      </c>
      <c r="AQ5511" t="s">
        <v>72</v>
      </c>
      <c r="AR5511" t="s">
        <v>72</v>
      </c>
      <c r="AS5511">
        <v>1504</v>
      </c>
      <c r="AT5511" s="4">
        <v>42527</v>
      </c>
      <c r="AU5511" t="s">
        <v>73</v>
      </c>
      <c r="AV5511">
        <v>1504</v>
      </c>
      <c r="AW5511" s="4">
        <v>42527</v>
      </c>
      <c r="BD5511">
        <v>0</v>
      </c>
      <c r="BN5511" t="s">
        <v>74</v>
      </c>
    </row>
    <row r="5512" spans="1:66" hidden="1">
      <c r="A5512">
        <v>102806</v>
      </c>
      <c r="B5512" s="3" t="s">
        <v>563</v>
      </c>
      <c r="C5512" s="1">
        <v>43300101</v>
      </c>
      <c r="D5512" t="s">
        <v>67</v>
      </c>
      <c r="H5512" t="str">
        <f t="shared" si="580"/>
        <v>02067940367</v>
      </c>
      <c r="I5512" t="str">
        <f t="shared" si="580"/>
        <v>02067940367</v>
      </c>
      <c r="K5512" t="str">
        <f>""</f>
        <v/>
      </c>
      <c r="M5512" t="s">
        <v>68</v>
      </c>
      <c r="N5512" t="str">
        <f t="shared" si="577"/>
        <v>FOR</v>
      </c>
      <c r="O5512" t="s">
        <v>69</v>
      </c>
      <c r="P5512" s="3" t="s">
        <v>75</v>
      </c>
      <c r="Q5512">
        <v>2015</v>
      </c>
      <c r="R5512" s="2">
        <v>42188</v>
      </c>
      <c r="S5512" s="2">
        <v>42192</v>
      </c>
      <c r="T5512" s="2">
        <v>42191</v>
      </c>
      <c r="U5512" s="2">
        <v>42251</v>
      </c>
      <c r="V5512" t="s">
        <v>71</v>
      </c>
      <c r="W5512" t="str">
        <f>"          5304106323"</f>
        <v xml:space="preserve">          5304106323</v>
      </c>
      <c r="X5512" s="1">
        <v>1016.29</v>
      </c>
      <c r="Y5512">
        <v>0</v>
      </c>
      <c r="Z5512"/>
      <c r="AB5512"/>
      <c r="AC5512">
        <v>977.2</v>
      </c>
      <c r="AD5512">
        <v>301</v>
      </c>
      <c r="AE5512" s="1">
        <v>294137.2</v>
      </c>
      <c r="AF5512">
        <v>0</v>
      </c>
      <c r="AJ5512">
        <v>0</v>
      </c>
      <c r="AK5512">
        <v>0</v>
      </c>
      <c r="AL5512">
        <v>0</v>
      </c>
      <c r="AM5512">
        <v>0</v>
      </c>
      <c r="AN5512">
        <v>0</v>
      </c>
      <c r="AO5512">
        <v>0</v>
      </c>
      <c r="AP5512" s="2">
        <v>42746</v>
      </c>
      <c r="AQ5512" t="s">
        <v>72</v>
      </c>
      <c r="AR5512" t="s">
        <v>72</v>
      </c>
      <c r="AS5512">
        <v>1667</v>
      </c>
      <c r="AT5512" s="4">
        <v>42552</v>
      </c>
      <c r="AU5512" t="s">
        <v>73</v>
      </c>
      <c r="AV5512">
        <v>1667</v>
      </c>
      <c r="AW5512" s="4">
        <v>42552</v>
      </c>
      <c r="BD5512">
        <v>0</v>
      </c>
      <c r="BN5512" t="s">
        <v>74</v>
      </c>
    </row>
    <row r="5513" spans="1:66" hidden="1">
      <c r="A5513">
        <v>102806</v>
      </c>
      <c r="B5513" s="3" t="s">
        <v>563</v>
      </c>
      <c r="C5513" s="1">
        <v>43300101</v>
      </c>
      <c r="D5513" t="s">
        <v>67</v>
      </c>
      <c r="H5513" t="str">
        <f t="shared" si="580"/>
        <v>02067940367</v>
      </c>
      <c r="I5513" t="str">
        <f t="shared" si="580"/>
        <v>02067940367</v>
      </c>
      <c r="K5513" t="str">
        <f>""</f>
        <v/>
      </c>
      <c r="M5513" t="s">
        <v>68</v>
      </c>
      <c r="N5513" t="str">
        <f t="shared" si="577"/>
        <v>FOR</v>
      </c>
      <c r="O5513" t="s">
        <v>69</v>
      </c>
      <c r="P5513" s="3" t="s">
        <v>75</v>
      </c>
      <c r="Q5513">
        <v>2015</v>
      </c>
      <c r="R5513" s="2">
        <v>42241</v>
      </c>
      <c r="S5513" s="2">
        <v>42242</v>
      </c>
      <c r="T5513" s="2">
        <v>42241</v>
      </c>
      <c r="U5513" s="2">
        <v>42301</v>
      </c>
      <c r="V5513" t="s">
        <v>71</v>
      </c>
      <c r="W5513" t="str">
        <f>"          5304106642"</f>
        <v xml:space="preserve">          5304106642</v>
      </c>
      <c r="X5513" s="1">
        <v>1161.47</v>
      </c>
      <c r="Y5513">
        <v>0</v>
      </c>
      <c r="Z5513"/>
      <c r="AB5513"/>
      <c r="AC5513" s="1">
        <v>1116.8</v>
      </c>
      <c r="AD5513">
        <v>278</v>
      </c>
      <c r="AE5513" s="1">
        <v>310470.40000000002</v>
      </c>
      <c r="AF5513">
        <v>0</v>
      </c>
      <c r="AJ5513">
        <v>0</v>
      </c>
      <c r="AK5513">
        <v>0</v>
      </c>
      <c r="AL5513">
        <v>0</v>
      </c>
      <c r="AM5513">
        <v>0</v>
      </c>
      <c r="AN5513">
        <v>0</v>
      </c>
      <c r="AO5513">
        <v>0</v>
      </c>
      <c r="AP5513" s="2">
        <v>42746</v>
      </c>
      <c r="AQ5513" t="s">
        <v>72</v>
      </c>
      <c r="AR5513" t="s">
        <v>72</v>
      </c>
      <c r="AS5513">
        <v>2011</v>
      </c>
      <c r="AT5513" s="4">
        <v>42579</v>
      </c>
      <c r="AU5513" t="s">
        <v>73</v>
      </c>
      <c r="AV5513">
        <v>2011</v>
      </c>
      <c r="AW5513" s="4">
        <v>42579</v>
      </c>
      <c r="BD5513">
        <v>0</v>
      </c>
      <c r="BN5513" t="s">
        <v>74</v>
      </c>
    </row>
    <row r="5514" spans="1:66" hidden="1">
      <c r="A5514">
        <v>102806</v>
      </c>
      <c r="B5514" s="3" t="s">
        <v>563</v>
      </c>
      <c r="C5514" s="1">
        <v>43300101</v>
      </c>
      <c r="D5514" t="s">
        <v>67</v>
      </c>
      <c r="H5514" t="str">
        <f t="shared" si="580"/>
        <v>02067940367</v>
      </c>
      <c r="I5514" t="str">
        <f t="shared" si="580"/>
        <v>02067940367</v>
      </c>
      <c r="K5514" t="str">
        <f>""</f>
        <v/>
      </c>
      <c r="M5514" t="s">
        <v>68</v>
      </c>
      <c r="N5514" t="str">
        <f t="shared" si="577"/>
        <v>FOR</v>
      </c>
      <c r="O5514" t="s">
        <v>69</v>
      </c>
      <c r="P5514" s="3" t="s">
        <v>75</v>
      </c>
      <c r="Q5514">
        <v>2015</v>
      </c>
      <c r="R5514" s="2">
        <v>42244</v>
      </c>
      <c r="S5514" s="2">
        <v>42245</v>
      </c>
      <c r="T5514" s="2">
        <v>42244</v>
      </c>
      <c r="U5514" s="2">
        <v>42304</v>
      </c>
      <c r="V5514" t="s">
        <v>71</v>
      </c>
      <c r="W5514" t="str">
        <f>"          5304106688"</f>
        <v xml:space="preserve">          5304106688</v>
      </c>
      <c r="X5514">
        <v>435.55</v>
      </c>
      <c r="Y5514">
        <v>0</v>
      </c>
      <c r="Z5514"/>
      <c r="AB5514"/>
      <c r="AC5514">
        <v>418.8</v>
      </c>
      <c r="AD5514">
        <v>275</v>
      </c>
      <c r="AE5514" s="1">
        <v>115170</v>
      </c>
      <c r="AF5514">
        <v>0</v>
      </c>
      <c r="AJ5514">
        <v>0</v>
      </c>
      <c r="AK5514">
        <v>0</v>
      </c>
      <c r="AL5514">
        <v>0</v>
      </c>
      <c r="AM5514">
        <v>0</v>
      </c>
      <c r="AN5514">
        <v>0</v>
      </c>
      <c r="AO5514">
        <v>0</v>
      </c>
      <c r="AP5514" s="2">
        <v>42746</v>
      </c>
      <c r="AQ5514" t="s">
        <v>72</v>
      </c>
      <c r="AR5514" t="s">
        <v>72</v>
      </c>
      <c r="AS5514">
        <v>2011</v>
      </c>
      <c r="AT5514" s="4">
        <v>42579</v>
      </c>
      <c r="AU5514" t="s">
        <v>73</v>
      </c>
      <c r="AV5514">
        <v>2011</v>
      </c>
      <c r="AW5514" s="4">
        <v>42579</v>
      </c>
      <c r="BD5514">
        <v>0</v>
      </c>
      <c r="BN5514" t="s">
        <v>74</v>
      </c>
    </row>
    <row r="5515" spans="1:66" hidden="1">
      <c r="A5515">
        <v>102806</v>
      </c>
      <c r="B5515" s="3" t="s">
        <v>563</v>
      </c>
      <c r="C5515" s="1">
        <v>43300101</v>
      </c>
      <c r="D5515" t="s">
        <v>67</v>
      </c>
      <c r="H5515" t="str">
        <f t="shared" si="580"/>
        <v>02067940367</v>
      </c>
      <c r="I5515" t="str">
        <f t="shared" si="580"/>
        <v>02067940367</v>
      </c>
      <c r="K5515" t="str">
        <f>""</f>
        <v/>
      </c>
      <c r="M5515" t="s">
        <v>68</v>
      </c>
      <c r="N5515" t="str">
        <f t="shared" si="577"/>
        <v>FOR</v>
      </c>
      <c r="O5515" t="s">
        <v>69</v>
      </c>
      <c r="P5515" s="3" t="s">
        <v>75</v>
      </c>
      <c r="Q5515">
        <v>2015</v>
      </c>
      <c r="R5515" s="2">
        <v>42317</v>
      </c>
      <c r="S5515" s="2">
        <v>42318</v>
      </c>
      <c r="T5515" s="2">
        <v>42317</v>
      </c>
      <c r="U5515" s="2">
        <v>42377</v>
      </c>
      <c r="V5515" t="s">
        <v>71</v>
      </c>
      <c r="W5515" t="str">
        <f>"          5304107128"</f>
        <v xml:space="preserve">          5304107128</v>
      </c>
      <c r="X5515">
        <v>725.92</v>
      </c>
      <c r="Y5515">
        <v>0</v>
      </c>
      <c r="Z5515"/>
      <c r="AB5515"/>
      <c r="AC5515">
        <v>698</v>
      </c>
      <c r="AD5515">
        <v>244</v>
      </c>
      <c r="AE5515" s="1">
        <v>170312</v>
      </c>
      <c r="AF5515">
        <v>0</v>
      </c>
      <c r="AJ5515">
        <v>0</v>
      </c>
      <c r="AK5515">
        <v>0</v>
      </c>
      <c r="AL5515">
        <v>0</v>
      </c>
      <c r="AM5515">
        <v>0</v>
      </c>
      <c r="AN5515">
        <v>0</v>
      </c>
      <c r="AO5515">
        <v>0</v>
      </c>
      <c r="AP5515" s="2">
        <v>42746</v>
      </c>
      <c r="AQ5515" t="s">
        <v>72</v>
      </c>
      <c r="AR5515" t="s">
        <v>72</v>
      </c>
      <c r="AS5515">
        <v>2353</v>
      </c>
      <c r="AT5515" s="4">
        <v>42621</v>
      </c>
      <c r="AU5515" t="s">
        <v>73</v>
      </c>
      <c r="AV5515">
        <v>2353</v>
      </c>
      <c r="AW5515" s="4">
        <v>42621</v>
      </c>
      <c r="BD5515">
        <v>0</v>
      </c>
      <c r="BN5515" t="s">
        <v>74</v>
      </c>
    </row>
    <row r="5516" spans="1:66" hidden="1">
      <c r="A5516">
        <v>102806</v>
      </c>
      <c r="B5516" s="3" t="s">
        <v>563</v>
      </c>
      <c r="C5516" s="1">
        <v>43300101</v>
      </c>
      <c r="D5516" t="s">
        <v>67</v>
      </c>
      <c r="H5516" t="str">
        <f t="shared" si="580"/>
        <v>02067940367</v>
      </c>
      <c r="I5516" t="str">
        <f t="shared" si="580"/>
        <v>02067940367</v>
      </c>
      <c r="K5516" t="str">
        <f>""</f>
        <v/>
      </c>
      <c r="M5516" t="s">
        <v>68</v>
      </c>
      <c r="N5516" t="str">
        <f t="shared" si="577"/>
        <v>FOR</v>
      </c>
      <c r="O5516" t="s">
        <v>69</v>
      </c>
      <c r="P5516" s="3" t="s">
        <v>75</v>
      </c>
      <c r="Q5516">
        <v>2015</v>
      </c>
      <c r="R5516" s="2">
        <v>42355</v>
      </c>
      <c r="S5516" s="2">
        <v>42359</v>
      </c>
      <c r="T5516" s="2">
        <v>42355</v>
      </c>
      <c r="U5516" s="2">
        <v>42415</v>
      </c>
      <c r="V5516" t="s">
        <v>71</v>
      </c>
      <c r="W5516" t="str">
        <f>"          5304107404"</f>
        <v xml:space="preserve">          5304107404</v>
      </c>
      <c r="X5516">
        <v>725.92</v>
      </c>
      <c r="Y5516">
        <v>0</v>
      </c>
      <c r="Z5516"/>
      <c r="AB5516"/>
      <c r="AC5516">
        <v>698</v>
      </c>
      <c r="AD5516">
        <v>206</v>
      </c>
      <c r="AE5516" s="1">
        <v>143788</v>
      </c>
      <c r="AF5516">
        <v>0</v>
      </c>
      <c r="AJ5516">
        <v>0</v>
      </c>
      <c r="AK5516">
        <v>0</v>
      </c>
      <c r="AL5516">
        <v>0</v>
      </c>
      <c r="AM5516">
        <v>0</v>
      </c>
      <c r="AN5516">
        <v>0</v>
      </c>
      <c r="AO5516">
        <v>0</v>
      </c>
      <c r="AP5516" s="2">
        <v>42746</v>
      </c>
      <c r="AQ5516" t="s">
        <v>72</v>
      </c>
      <c r="AR5516" t="s">
        <v>72</v>
      </c>
      <c r="AS5516">
        <v>2353</v>
      </c>
      <c r="AT5516" s="4">
        <v>42621</v>
      </c>
      <c r="AU5516" t="s">
        <v>73</v>
      </c>
      <c r="AV5516">
        <v>2353</v>
      </c>
      <c r="AW5516" s="4">
        <v>42621</v>
      </c>
      <c r="BD5516">
        <v>0</v>
      </c>
      <c r="BN5516" t="s">
        <v>74</v>
      </c>
    </row>
    <row r="5517" spans="1:66">
      <c r="A5517">
        <v>102806</v>
      </c>
      <c r="B5517" s="3" t="s">
        <v>563</v>
      </c>
      <c r="C5517" s="1">
        <v>43300101</v>
      </c>
      <c r="D5517" t="s">
        <v>67</v>
      </c>
      <c r="H5517" t="str">
        <f t="shared" si="580"/>
        <v>02067940367</v>
      </c>
      <c r="I5517" t="str">
        <f t="shared" si="580"/>
        <v>02067940367</v>
      </c>
      <c r="K5517" t="str">
        <f>""</f>
        <v/>
      </c>
      <c r="M5517" t="s">
        <v>68</v>
      </c>
      <c r="N5517" t="str">
        <f t="shared" si="577"/>
        <v>FOR</v>
      </c>
      <c r="O5517" t="s">
        <v>69</v>
      </c>
      <c r="P5517" s="3" t="s">
        <v>75</v>
      </c>
      <c r="Q5517">
        <v>2016</v>
      </c>
      <c r="R5517" s="2">
        <v>42390</v>
      </c>
      <c r="S5517" s="2">
        <v>42395</v>
      </c>
      <c r="T5517" s="2">
        <v>42391</v>
      </c>
      <c r="U5517" s="2">
        <v>42451</v>
      </c>
      <c r="V5517" t="s">
        <v>71</v>
      </c>
      <c r="W5517" t="str">
        <f>"          5304107583"</f>
        <v xml:space="preserve">          5304107583</v>
      </c>
      <c r="X5517" s="1">
        <v>2177.7600000000002</v>
      </c>
      <c r="Y5517">
        <v>0</v>
      </c>
      <c r="Z5517" s="5">
        <v>2094</v>
      </c>
      <c r="AA5517">
        <v>272</v>
      </c>
      <c r="AB5517" s="5">
        <v>569568</v>
      </c>
      <c r="AC5517" s="1">
        <v>2094</v>
      </c>
      <c r="AD5517">
        <v>272</v>
      </c>
      <c r="AE5517" s="1">
        <v>569568</v>
      </c>
      <c r="AF5517">
        <v>83.76</v>
      </c>
      <c r="AJ5517">
        <v>0</v>
      </c>
      <c r="AK5517">
        <v>0</v>
      </c>
      <c r="AL5517">
        <v>0</v>
      </c>
      <c r="AM5517" s="1">
        <v>2177.7600000000002</v>
      </c>
      <c r="AN5517" s="1">
        <v>2177.7600000000002</v>
      </c>
      <c r="AO5517" s="1">
        <v>2177.7600000000002</v>
      </c>
      <c r="AP5517" s="2">
        <v>42746</v>
      </c>
      <c r="AQ5517" t="s">
        <v>72</v>
      </c>
      <c r="AR5517" t="s">
        <v>72</v>
      </c>
      <c r="AS5517">
        <v>3625</v>
      </c>
      <c r="AT5517" s="4">
        <v>42723</v>
      </c>
      <c r="AU5517" t="s">
        <v>73</v>
      </c>
      <c r="AV5517">
        <v>3625</v>
      </c>
      <c r="AW5517" s="4">
        <v>42723</v>
      </c>
      <c r="BD5517">
        <v>83.76</v>
      </c>
      <c r="BN5517" t="s">
        <v>74</v>
      </c>
    </row>
    <row r="5518" spans="1:66">
      <c r="A5518">
        <v>102806</v>
      </c>
      <c r="B5518" s="3" t="s">
        <v>563</v>
      </c>
      <c r="C5518" s="1">
        <v>43300101</v>
      </c>
      <c r="D5518" t="s">
        <v>67</v>
      </c>
      <c r="H5518" t="str">
        <f t="shared" si="580"/>
        <v>02067940367</v>
      </c>
      <c r="I5518" t="str">
        <f t="shared" si="580"/>
        <v>02067940367</v>
      </c>
      <c r="K5518" t="str">
        <f>""</f>
        <v/>
      </c>
      <c r="M5518" t="s">
        <v>68</v>
      </c>
      <c r="N5518" t="str">
        <f t="shared" si="577"/>
        <v>FOR</v>
      </c>
      <c r="O5518" t="s">
        <v>69</v>
      </c>
      <c r="P5518" s="3" t="s">
        <v>75</v>
      </c>
      <c r="Q5518">
        <v>2016</v>
      </c>
      <c r="R5518" s="2">
        <v>42415</v>
      </c>
      <c r="S5518" s="2">
        <v>42417</v>
      </c>
      <c r="T5518" s="2">
        <v>42415</v>
      </c>
      <c r="U5518" s="2">
        <v>42475</v>
      </c>
      <c r="V5518" t="s">
        <v>71</v>
      </c>
      <c r="W5518" t="str">
        <f>"          5304107768"</f>
        <v xml:space="preserve">          5304107768</v>
      </c>
      <c r="X5518" s="1">
        <v>1742.21</v>
      </c>
      <c r="Y5518">
        <v>0</v>
      </c>
      <c r="Z5518" s="5">
        <v>1675.2</v>
      </c>
      <c r="AA5518">
        <v>248</v>
      </c>
      <c r="AB5518" s="5">
        <v>415449.59999999998</v>
      </c>
      <c r="AC5518" s="1">
        <v>1675.2</v>
      </c>
      <c r="AD5518">
        <v>248</v>
      </c>
      <c r="AE5518" s="1">
        <v>415449.59999999998</v>
      </c>
      <c r="AF5518">
        <v>67.010000000000005</v>
      </c>
      <c r="AJ5518">
        <v>0</v>
      </c>
      <c r="AK5518">
        <v>0</v>
      </c>
      <c r="AL5518">
        <v>0</v>
      </c>
      <c r="AM5518" s="1">
        <v>1742.21</v>
      </c>
      <c r="AN5518" s="1">
        <v>1742.21</v>
      </c>
      <c r="AO5518" s="1">
        <v>1742.21</v>
      </c>
      <c r="AP5518" s="2">
        <v>42746</v>
      </c>
      <c r="AQ5518" t="s">
        <v>72</v>
      </c>
      <c r="AR5518" t="s">
        <v>72</v>
      </c>
      <c r="AS5518">
        <v>3625</v>
      </c>
      <c r="AT5518" s="4">
        <v>42723</v>
      </c>
      <c r="AU5518" t="s">
        <v>73</v>
      </c>
      <c r="AV5518">
        <v>3625</v>
      </c>
      <c r="AW5518" s="4">
        <v>42723</v>
      </c>
      <c r="BD5518">
        <v>67.010000000000005</v>
      </c>
      <c r="BN5518" t="s">
        <v>74</v>
      </c>
    </row>
    <row r="5519" spans="1:66" hidden="1">
      <c r="A5519">
        <v>102814</v>
      </c>
      <c r="B5519" s="3" t="s">
        <v>564</v>
      </c>
      <c r="C5519" s="1">
        <v>43300101</v>
      </c>
      <c r="D5519" t="s">
        <v>67</v>
      </c>
      <c r="H5519" t="str">
        <f>"MTRGNN58R17A783H"</f>
        <v>MTRGNN58R17A783H</v>
      </c>
      <c r="I5519" t="str">
        <f>"01248280628"</f>
        <v>01248280628</v>
      </c>
      <c r="K5519" t="str">
        <f>""</f>
        <v/>
      </c>
      <c r="M5519" t="s">
        <v>68</v>
      </c>
      <c r="N5519" t="str">
        <f t="shared" si="577"/>
        <v>FOR</v>
      </c>
      <c r="O5519" t="s">
        <v>69</v>
      </c>
      <c r="P5519" s="3" t="s">
        <v>75</v>
      </c>
      <c r="Q5519">
        <v>2016</v>
      </c>
      <c r="R5519" s="2">
        <v>42451</v>
      </c>
      <c r="S5519" s="2">
        <v>42460</v>
      </c>
      <c r="T5519" s="2">
        <v>42451</v>
      </c>
      <c r="U5519" s="2">
        <v>42511</v>
      </c>
      <c r="V5519" t="s">
        <v>71</v>
      </c>
      <c r="W5519" t="str">
        <f>"         FATTPA 2_16"</f>
        <v xml:space="preserve">         FATTPA 2_16</v>
      </c>
      <c r="X5519" s="1">
        <v>8477.73</v>
      </c>
      <c r="Y5519">
        <v>0</v>
      </c>
      <c r="Z5519"/>
      <c r="AB5519"/>
      <c r="AC5519" s="1">
        <v>6948.96</v>
      </c>
      <c r="AD5519">
        <v>66</v>
      </c>
      <c r="AE5519" s="1">
        <v>458631.36</v>
      </c>
      <c r="AF5519">
        <v>0</v>
      </c>
      <c r="AJ5519">
        <v>0</v>
      </c>
      <c r="AK5519">
        <v>0</v>
      </c>
      <c r="AL5519">
        <v>0</v>
      </c>
      <c r="AM5519" s="1">
        <v>8477.73</v>
      </c>
      <c r="AN5519" s="1">
        <v>8477.73</v>
      </c>
      <c r="AO5519" s="1">
        <v>8477.73</v>
      </c>
      <c r="AP5519" s="2">
        <v>42746</v>
      </c>
      <c r="AQ5519" t="s">
        <v>72</v>
      </c>
      <c r="AR5519" t="s">
        <v>72</v>
      </c>
      <c r="AS5519">
        <v>1958</v>
      </c>
      <c r="AT5519" s="4">
        <v>42577</v>
      </c>
      <c r="AU5519" t="s">
        <v>73</v>
      </c>
      <c r="AV5519">
        <v>1958</v>
      </c>
      <c r="AW5519" s="4">
        <v>42577</v>
      </c>
      <c r="BD5519">
        <v>0</v>
      </c>
      <c r="BN5519" t="s">
        <v>74</v>
      </c>
    </row>
    <row r="5520" spans="1:66">
      <c r="A5520">
        <v>102814</v>
      </c>
      <c r="B5520" s="3" t="s">
        <v>564</v>
      </c>
      <c r="C5520" s="1">
        <v>43300101</v>
      </c>
      <c r="D5520" t="s">
        <v>67</v>
      </c>
      <c r="H5520" t="str">
        <f>"MTRGNN58R17A783H"</f>
        <v>MTRGNN58R17A783H</v>
      </c>
      <c r="I5520" t="str">
        <f>"01248280628"</f>
        <v>01248280628</v>
      </c>
      <c r="K5520" t="str">
        <f>""</f>
        <v/>
      </c>
      <c r="M5520" t="s">
        <v>68</v>
      </c>
      <c r="N5520" t="str">
        <f t="shared" si="577"/>
        <v>FOR</v>
      </c>
      <c r="O5520" t="s">
        <v>69</v>
      </c>
      <c r="P5520" s="3" t="s">
        <v>75</v>
      </c>
      <c r="Q5520">
        <v>2016</v>
      </c>
      <c r="R5520" s="2">
        <v>42474</v>
      </c>
      <c r="S5520" s="2">
        <v>42475</v>
      </c>
      <c r="T5520" s="2">
        <v>42474</v>
      </c>
      <c r="U5520" s="2">
        <v>42534</v>
      </c>
      <c r="V5520" t="s">
        <v>71</v>
      </c>
      <c r="W5520" t="str">
        <f>"         FATTPA 3_16"</f>
        <v xml:space="preserve">         FATTPA 3_16</v>
      </c>
      <c r="X5520">
        <v>878.4</v>
      </c>
      <c r="Y5520">
        <v>0</v>
      </c>
      <c r="Z5520" s="3">
        <v>720</v>
      </c>
      <c r="AA5520">
        <v>147</v>
      </c>
      <c r="AB5520" s="5">
        <v>105840</v>
      </c>
      <c r="AC5520">
        <v>720</v>
      </c>
      <c r="AD5520">
        <v>147</v>
      </c>
      <c r="AE5520" s="1">
        <v>105840</v>
      </c>
      <c r="AF5520">
        <v>158.4</v>
      </c>
      <c r="AJ5520">
        <v>0</v>
      </c>
      <c r="AK5520">
        <v>0</v>
      </c>
      <c r="AL5520">
        <v>0</v>
      </c>
      <c r="AM5520">
        <v>878.4</v>
      </c>
      <c r="AN5520">
        <v>878.4</v>
      </c>
      <c r="AO5520">
        <v>878.4</v>
      </c>
      <c r="AP5520" s="2">
        <v>42746</v>
      </c>
      <c r="AQ5520" t="s">
        <v>72</v>
      </c>
      <c r="AR5520" t="s">
        <v>72</v>
      </c>
      <c r="AS5520">
        <v>2946</v>
      </c>
      <c r="AT5520" s="4">
        <v>42681</v>
      </c>
      <c r="AU5520" t="s">
        <v>73</v>
      </c>
      <c r="AV5520">
        <v>2946</v>
      </c>
      <c r="AW5520" s="4">
        <v>42681</v>
      </c>
      <c r="BD5520">
        <v>158.4</v>
      </c>
      <c r="BN5520" t="s">
        <v>74</v>
      </c>
    </row>
    <row r="5521" spans="1:66">
      <c r="A5521">
        <v>102814</v>
      </c>
      <c r="B5521" s="3" t="s">
        <v>564</v>
      </c>
      <c r="C5521" s="1">
        <v>43300101</v>
      </c>
      <c r="D5521" t="s">
        <v>67</v>
      </c>
      <c r="H5521" t="str">
        <f>"MTRGNN58R17A783H"</f>
        <v>MTRGNN58R17A783H</v>
      </c>
      <c r="I5521" t="str">
        <f>"01248280628"</f>
        <v>01248280628</v>
      </c>
      <c r="K5521" t="str">
        <f>""</f>
        <v/>
      </c>
      <c r="M5521" t="s">
        <v>68</v>
      </c>
      <c r="N5521" t="str">
        <f t="shared" si="577"/>
        <v>FOR</v>
      </c>
      <c r="O5521" t="s">
        <v>69</v>
      </c>
      <c r="P5521" s="3" t="s">
        <v>75</v>
      </c>
      <c r="Q5521">
        <v>2016</v>
      </c>
      <c r="R5521" s="2">
        <v>42501</v>
      </c>
      <c r="S5521" s="2">
        <v>42507</v>
      </c>
      <c r="T5521" s="2">
        <v>42503</v>
      </c>
      <c r="U5521" s="2">
        <v>42563</v>
      </c>
      <c r="V5521" t="s">
        <v>71</v>
      </c>
      <c r="W5521" t="str">
        <f>"         FATTPA 4_16"</f>
        <v xml:space="preserve">         FATTPA 4_16</v>
      </c>
      <c r="X5521">
        <v>183</v>
      </c>
      <c r="Y5521">
        <v>0</v>
      </c>
      <c r="Z5521" s="3">
        <v>150</v>
      </c>
      <c r="AA5521">
        <v>118</v>
      </c>
      <c r="AB5521" s="5">
        <v>17700</v>
      </c>
      <c r="AC5521">
        <v>150</v>
      </c>
      <c r="AD5521">
        <v>118</v>
      </c>
      <c r="AE5521" s="1">
        <v>17700</v>
      </c>
      <c r="AF5521">
        <v>33</v>
      </c>
      <c r="AJ5521">
        <v>0</v>
      </c>
      <c r="AK5521">
        <v>0</v>
      </c>
      <c r="AL5521">
        <v>0</v>
      </c>
      <c r="AM5521">
        <v>183</v>
      </c>
      <c r="AN5521">
        <v>183</v>
      </c>
      <c r="AO5521">
        <v>183</v>
      </c>
      <c r="AP5521" s="2">
        <v>42746</v>
      </c>
      <c r="AQ5521" t="s">
        <v>72</v>
      </c>
      <c r="AR5521" t="s">
        <v>72</v>
      </c>
      <c r="AS5521">
        <v>2946</v>
      </c>
      <c r="AT5521" s="4">
        <v>42681</v>
      </c>
      <c r="AU5521" t="s">
        <v>73</v>
      </c>
      <c r="AV5521">
        <v>2946</v>
      </c>
      <c r="AW5521" s="4">
        <v>42681</v>
      </c>
      <c r="BC5521">
        <v>33</v>
      </c>
      <c r="BD5521">
        <v>0</v>
      </c>
      <c r="BN5521" t="s">
        <v>74</v>
      </c>
    </row>
    <row r="5522" spans="1:66" hidden="1">
      <c r="A5522">
        <v>102819</v>
      </c>
      <c r="B5522" s="3" t="s">
        <v>565</v>
      </c>
      <c r="C5522" s="1">
        <v>43300101</v>
      </c>
      <c r="D5522" t="s">
        <v>67</v>
      </c>
      <c r="H5522" t="str">
        <f t="shared" ref="H5522:I5524" si="581">"06754140157"</f>
        <v>06754140157</v>
      </c>
      <c r="I5522" t="str">
        <f t="shared" si="581"/>
        <v>06754140157</v>
      </c>
      <c r="K5522" t="str">
        <f>""</f>
        <v/>
      </c>
      <c r="M5522" t="s">
        <v>68</v>
      </c>
      <c r="N5522" t="str">
        <f t="shared" si="577"/>
        <v>FOR</v>
      </c>
      <c r="O5522" t="s">
        <v>69</v>
      </c>
      <c r="P5522" s="3" t="s">
        <v>75</v>
      </c>
      <c r="Q5522">
        <v>2015</v>
      </c>
      <c r="R5522" s="2">
        <v>42278</v>
      </c>
      <c r="S5522" s="2">
        <v>42286</v>
      </c>
      <c r="T5522" s="2">
        <v>42285</v>
      </c>
      <c r="U5522" s="2">
        <v>42345</v>
      </c>
      <c r="V5522" t="s">
        <v>71</v>
      </c>
      <c r="W5522" t="str">
        <f>"               10393"</f>
        <v xml:space="preserve">               10393</v>
      </c>
      <c r="X5522">
        <v>394.55</v>
      </c>
      <c r="Y5522">
        <v>0</v>
      </c>
      <c r="Z5522"/>
      <c r="AB5522"/>
      <c r="AC5522">
        <v>323.39999999999998</v>
      </c>
      <c r="AD5522">
        <v>175</v>
      </c>
      <c r="AE5522" s="1">
        <v>56595</v>
      </c>
      <c r="AF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 s="2">
        <v>42746</v>
      </c>
      <c r="AQ5522" t="s">
        <v>72</v>
      </c>
      <c r="AR5522" t="s">
        <v>72</v>
      </c>
      <c r="AS5522">
        <v>1418</v>
      </c>
      <c r="AT5522" s="4">
        <v>42520</v>
      </c>
      <c r="AU5522" t="s">
        <v>73</v>
      </c>
      <c r="AV5522">
        <v>1418</v>
      </c>
      <c r="AW5522" s="4">
        <v>42520</v>
      </c>
      <c r="BD5522">
        <v>0</v>
      </c>
      <c r="BN5522" t="s">
        <v>74</v>
      </c>
    </row>
    <row r="5523" spans="1:66" hidden="1">
      <c r="A5523">
        <v>102819</v>
      </c>
      <c r="B5523" s="3" t="s">
        <v>565</v>
      </c>
      <c r="C5523" s="1">
        <v>43300101</v>
      </c>
      <c r="D5523" t="s">
        <v>67</v>
      </c>
      <c r="H5523" t="str">
        <f t="shared" si="581"/>
        <v>06754140157</v>
      </c>
      <c r="I5523" t="str">
        <f t="shared" si="581"/>
        <v>06754140157</v>
      </c>
      <c r="K5523" t="str">
        <f>""</f>
        <v/>
      </c>
      <c r="M5523" t="s">
        <v>68</v>
      </c>
      <c r="N5523" t="str">
        <f t="shared" si="577"/>
        <v>FOR</v>
      </c>
      <c r="O5523" t="s">
        <v>69</v>
      </c>
      <c r="P5523" s="3" t="s">
        <v>75</v>
      </c>
      <c r="Q5523">
        <v>2015</v>
      </c>
      <c r="R5523" s="2">
        <v>42319</v>
      </c>
      <c r="S5523" s="2">
        <v>42326</v>
      </c>
      <c r="T5523" s="2">
        <v>42324</v>
      </c>
      <c r="U5523" s="2">
        <v>42384</v>
      </c>
      <c r="V5523" t="s">
        <v>71</v>
      </c>
      <c r="W5523" t="str">
        <f>"               11998"</f>
        <v xml:space="preserve">               11998</v>
      </c>
      <c r="X5523" s="1">
        <v>1540.86</v>
      </c>
      <c r="Y5523">
        <v>0</v>
      </c>
      <c r="Z5523"/>
      <c r="AB5523"/>
      <c r="AC5523" s="1">
        <v>1263</v>
      </c>
      <c r="AD5523">
        <v>136</v>
      </c>
      <c r="AE5523" s="1">
        <v>171768</v>
      </c>
      <c r="AF5523">
        <v>0</v>
      </c>
      <c r="AJ5523">
        <v>0</v>
      </c>
      <c r="AK5523">
        <v>0</v>
      </c>
      <c r="AL5523">
        <v>0</v>
      </c>
      <c r="AM5523">
        <v>0</v>
      </c>
      <c r="AN5523">
        <v>0</v>
      </c>
      <c r="AO5523">
        <v>0</v>
      </c>
      <c r="AP5523" s="2">
        <v>42746</v>
      </c>
      <c r="AQ5523" t="s">
        <v>72</v>
      </c>
      <c r="AR5523" t="s">
        <v>72</v>
      </c>
      <c r="AS5523">
        <v>1418</v>
      </c>
      <c r="AT5523" s="4">
        <v>42520</v>
      </c>
      <c r="AU5523" t="s">
        <v>73</v>
      </c>
      <c r="AV5523">
        <v>1418</v>
      </c>
      <c r="AW5523" s="4">
        <v>42520</v>
      </c>
      <c r="BD5523">
        <v>0</v>
      </c>
      <c r="BN5523" t="s">
        <v>74</v>
      </c>
    </row>
    <row r="5524" spans="1:66">
      <c r="A5524">
        <v>102819</v>
      </c>
      <c r="B5524" s="3" t="s">
        <v>565</v>
      </c>
      <c r="C5524" s="1">
        <v>43300101</v>
      </c>
      <c r="D5524" t="s">
        <v>67</v>
      </c>
      <c r="H5524" t="str">
        <f t="shared" si="581"/>
        <v>06754140157</v>
      </c>
      <c r="I5524" t="str">
        <f t="shared" si="581"/>
        <v>06754140157</v>
      </c>
      <c r="K5524" t="str">
        <f>""</f>
        <v/>
      </c>
      <c r="M5524" t="s">
        <v>68</v>
      </c>
      <c r="N5524" t="str">
        <f t="shared" si="577"/>
        <v>FOR</v>
      </c>
      <c r="O5524" t="s">
        <v>69</v>
      </c>
      <c r="P5524" s="3" t="s">
        <v>75</v>
      </c>
      <c r="Q5524">
        <v>2016</v>
      </c>
      <c r="R5524" s="2">
        <v>42443</v>
      </c>
      <c r="S5524" s="2">
        <v>42445</v>
      </c>
      <c r="T5524" s="2">
        <v>42445</v>
      </c>
      <c r="U5524" s="2">
        <v>42505</v>
      </c>
      <c r="V5524" t="s">
        <v>71</v>
      </c>
      <c r="W5524" t="str">
        <f>"                2691"</f>
        <v xml:space="preserve">                2691</v>
      </c>
      <c r="X5524" s="1">
        <v>32201.51</v>
      </c>
      <c r="Y5524">
        <v>0</v>
      </c>
      <c r="Z5524" s="5">
        <v>26394.68</v>
      </c>
      <c r="AA5524">
        <v>179</v>
      </c>
      <c r="AB5524" s="5">
        <v>4724647.72</v>
      </c>
      <c r="AC5524" s="1">
        <v>26394.68</v>
      </c>
      <c r="AD5524">
        <v>179</v>
      </c>
      <c r="AE5524" s="1">
        <v>4724647.72</v>
      </c>
      <c r="AF5524">
        <v>0</v>
      </c>
      <c r="AJ5524">
        <v>0</v>
      </c>
      <c r="AK5524">
        <v>0</v>
      </c>
      <c r="AL5524">
        <v>0</v>
      </c>
      <c r="AM5524" s="1">
        <v>32201.51</v>
      </c>
      <c r="AN5524" s="1">
        <v>32201.51</v>
      </c>
      <c r="AO5524" s="1">
        <v>32201.51</v>
      </c>
      <c r="AP5524" s="2">
        <v>42746</v>
      </c>
      <c r="AQ5524" t="s">
        <v>72</v>
      </c>
      <c r="AR5524" t="s">
        <v>72</v>
      </c>
      <c r="AS5524">
        <v>3043</v>
      </c>
      <c r="AT5524" s="4">
        <v>42684</v>
      </c>
      <c r="AU5524" t="s">
        <v>73</v>
      </c>
      <c r="AV5524">
        <v>3043</v>
      </c>
      <c r="AW5524" s="4">
        <v>42684</v>
      </c>
      <c r="BD5524">
        <v>0</v>
      </c>
      <c r="BN5524" t="s">
        <v>74</v>
      </c>
    </row>
    <row r="5525" spans="1:66" hidden="1">
      <c r="A5525">
        <v>102844</v>
      </c>
      <c r="B5525" s="3" t="s">
        <v>566</v>
      </c>
      <c r="C5525" s="1">
        <v>43300101</v>
      </c>
      <c r="D5525" t="s">
        <v>67</v>
      </c>
      <c r="H5525" t="str">
        <f t="shared" ref="H5525:I5534" si="582">"10191080158"</f>
        <v>10191080158</v>
      </c>
      <c r="I5525" t="str">
        <f t="shared" si="582"/>
        <v>10191080158</v>
      </c>
      <c r="K5525" t="str">
        <f>""</f>
        <v/>
      </c>
      <c r="M5525" t="s">
        <v>68</v>
      </c>
      <c r="N5525" t="str">
        <f t="shared" si="577"/>
        <v>FOR</v>
      </c>
      <c r="O5525" t="s">
        <v>69</v>
      </c>
      <c r="P5525" s="3" t="s">
        <v>70</v>
      </c>
      <c r="Q5525">
        <v>2015</v>
      </c>
      <c r="R5525" s="2">
        <v>42048</v>
      </c>
      <c r="S5525" s="2">
        <v>42086</v>
      </c>
      <c r="T5525" s="2">
        <v>42086</v>
      </c>
      <c r="U5525" s="2">
        <v>42146</v>
      </c>
      <c r="V5525" t="s">
        <v>71</v>
      </c>
      <c r="W5525" t="str">
        <f>"              843-PA"</f>
        <v xml:space="preserve">              843-PA</v>
      </c>
      <c r="X5525" s="1">
        <v>2828.8</v>
      </c>
      <c r="Y5525">
        <v>0</v>
      </c>
      <c r="Z5525"/>
      <c r="AB5525"/>
      <c r="AC5525" s="1">
        <v>2720</v>
      </c>
      <c r="AD5525">
        <v>262</v>
      </c>
      <c r="AE5525" s="1">
        <v>712640</v>
      </c>
      <c r="AF5525">
        <v>0</v>
      </c>
      <c r="AJ5525">
        <v>0</v>
      </c>
      <c r="AK5525">
        <v>0</v>
      </c>
      <c r="AL5525">
        <v>0</v>
      </c>
      <c r="AM5525">
        <v>0</v>
      </c>
      <c r="AN5525">
        <v>0</v>
      </c>
      <c r="AO5525">
        <v>0</v>
      </c>
      <c r="AP5525" s="2">
        <v>42746</v>
      </c>
      <c r="AQ5525" t="s">
        <v>72</v>
      </c>
      <c r="AR5525" t="s">
        <v>72</v>
      </c>
      <c r="AS5525">
        <v>300</v>
      </c>
      <c r="AT5525" s="4">
        <v>42408</v>
      </c>
      <c r="AU5525" t="s">
        <v>73</v>
      </c>
      <c r="AV5525">
        <v>300</v>
      </c>
      <c r="AW5525" s="4">
        <v>42408</v>
      </c>
      <c r="BD5525">
        <v>0</v>
      </c>
      <c r="BN5525" t="s">
        <v>74</v>
      </c>
    </row>
    <row r="5526" spans="1:66" hidden="1">
      <c r="A5526">
        <v>102844</v>
      </c>
      <c r="B5526" s="3" t="s">
        <v>566</v>
      </c>
      <c r="C5526" s="1">
        <v>43300101</v>
      </c>
      <c r="D5526" t="s">
        <v>67</v>
      </c>
      <c r="H5526" t="str">
        <f t="shared" si="582"/>
        <v>10191080158</v>
      </c>
      <c r="I5526" t="str">
        <f t="shared" si="582"/>
        <v>10191080158</v>
      </c>
      <c r="K5526" t="str">
        <f>""</f>
        <v/>
      </c>
      <c r="M5526" t="s">
        <v>68</v>
      </c>
      <c r="N5526" t="str">
        <f t="shared" si="577"/>
        <v>FOR</v>
      </c>
      <c r="O5526" t="s">
        <v>69</v>
      </c>
      <c r="P5526" s="3" t="s">
        <v>70</v>
      </c>
      <c r="Q5526">
        <v>2015</v>
      </c>
      <c r="R5526" s="2">
        <v>42048</v>
      </c>
      <c r="S5526" s="2">
        <v>42086</v>
      </c>
      <c r="T5526" s="2">
        <v>42086</v>
      </c>
      <c r="U5526" s="2">
        <v>42146</v>
      </c>
      <c r="V5526" t="s">
        <v>71</v>
      </c>
      <c r="W5526" t="str">
        <f>"              844-PA"</f>
        <v xml:space="preserve">              844-PA</v>
      </c>
      <c r="X5526">
        <v>166.4</v>
      </c>
      <c r="Y5526">
        <v>0</v>
      </c>
      <c r="Z5526"/>
      <c r="AB5526"/>
      <c r="AC5526">
        <v>160</v>
      </c>
      <c r="AD5526">
        <v>262</v>
      </c>
      <c r="AE5526" s="1">
        <v>41920</v>
      </c>
      <c r="AF5526">
        <v>0</v>
      </c>
      <c r="AJ5526">
        <v>0</v>
      </c>
      <c r="AK5526">
        <v>0</v>
      </c>
      <c r="AL5526">
        <v>0</v>
      </c>
      <c r="AM5526">
        <v>0</v>
      </c>
      <c r="AN5526">
        <v>0</v>
      </c>
      <c r="AO5526">
        <v>0</v>
      </c>
      <c r="AP5526" s="2">
        <v>42746</v>
      </c>
      <c r="AQ5526" t="s">
        <v>72</v>
      </c>
      <c r="AR5526" t="s">
        <v>72</v>
      </c>
      <c r="AS5526">
        <v>300</v>
      </c>
      <c r="AT5526" s="4">
        <v>42408</v>
      </c>
      <c r="AU5526" t="s">
        <v>73</v>
      </c>
      <c r="AV5526">
        <v>300</v>
      </c>
      <c r="AW5526" s="4">
        <v>42408</v>
      </c>
      <c r="BD5526">
        <v>0</v>
      </c>
      <c r="BN5526" t="s">
        <v>74</v>
      </c>
    </row>
    <row r="5527" spans="1:66" hidden="1">
      <c r="A5527">
        <v>102844</v>
      </c>
      <c r="B5527" s="3" t="s">
        <v>566</v>
      </c>
      <c r="C5527" s="1">
        <v>43300101</v>
      </c>
      <c r="D5527" t="s">
        <v>67</v>
      </c>
      <c r="H5527" t="str">
        <f t="shared" si="582"/>
        <v>10191080158</v>
      </c>
      <c r="I5527" t="str">
        <f t="shared" si="582"/>
        <v>10191080158</v>
      </c>
      <c r="K5527" t="str">
        <f>""</f>
        <v/>
      </c>
      <c r="M5527" t="s">
        <v>68</v>
      </c>
      <c r="N5527" t="str">
        <f t="shared" si="577"/>
        <v>FOR</v>
      </c>
      <c r="O5527" t="s">
        <v>69</v>
      </c>
      <c r="P5527" s="3" t="s">
        <v>70</v>
      </c>
      <c r="Q5527">
        <v>2015</v>
      </c>
      <c r="R5527" s="2">
        <v>42063</v>
      </c>
      <c r="S5527" s="2">
        <v>42089</v>
      </c>
      <c r="T5527" s="2">
        <v>42089</v>
      </c>
      <c r="U5527" s="2">
        <v>42149</v>
      </c>
      <c r="V5527" t="s">
        <v>71</v>
      </c>
      <c r="W5527" t="str">
        <f>"             1188-PA"</f>
        <v xml:space="preserve">             1188-PA</v>
      </c>
      <c r="X5527">
        <v>444.6</v>
      </c>
      <c r="Y5527">
        <v>0</v>
      </c>
      <c r="Z5527"/>
      <c r="AB5527"/>
      <c r="AC5527">
        <v>427.5</v>
      </c>
      <c r="AD5527">
        <v>259</v>
      </c>
      <c r="AE5527" s="1">
        <v>110722.5</v>
      </c>
      <c r="AF5527">
        <v>0</v>
      </c>
      <c r="AJ5527">
        <v>0</v>
      </c>
      <c r="AK5527">
        <v>0</v>
      </c>
      <c r="AL5527">
        <v>0</v>
      </c>
      <c r="AM5527">
        <v>0</v>
      </c>
      <c r="AN5527">
        <v>0</v>
      </c>
      <c r="AO5527">
        <v>0</v>
      </c>
      <c r="AP5527" s="2">
        <v>42746</v>
      </c>
      <c r="AQ5527" t="s">
        <v>72</v>
      </c>
      <c r="AR5527" t="s">
        <v>72</v>
      </c>
      <c r="AS5527">
        <v>300</v>
      </c>
      <c r="AT5527" s="4">
        <v>42408</v>
      </c>
      <c r="AU5527" t="s">
        <v>73</v>
      </c>
      <c r="AV5527">
        <v>300</v>
      </c>
      <c r="AW5527" s="4">
        <v>42408</v>
      </c>
      <c r="BD5527">
        <v>0</v>
      </c>
      <c r="BN5527" t="s">
        <v>74</v>
      </c>
    </row>
    <row r="5528" spans="1:66" hidden="1">
      <c r="A5528">
        <v>102844</v>
      </c>
      <c r="B5528" s="3" t="s">
        <v>566</v>
      </c>
      <c r="C5528" s="1">
        <v>43300101</v>
      </c>
      <c r="D5528" t="s">
        <v>67</v>
      </c>
      <c r="H5528" t="str">
        <f t="shared" si="582"/>
        <v>10191080158</v>
      </c>
      <c r="I5528" t="str">
        <f t="shared" si="582"/>
        <v>10191080158</v>
      </c>
      <c r="K5528" t="str">
        <f>""</f>
        <v/>
      </c>
      <c r="M5528" t="s">
        <v>68</v>
      </c>
      <c r="N5528" t="str">
        <f t="shared" si="577"/>
        <v>FOR</v>
      </c>
      <c r="O5528" t="s">
        <v>69</v>
      </c>
      <c r="P5528" s="3" t="s">
        <v>70</v>
      </c>
      <c r="Q5528">
        <v>2015</v>
      </c>
      <c r="R5528" s="2">
        <v>42063</v>
      </c>
      <c r="S5528" s="2">
        <v>42089</v>
      </c>
      <c r="T5528" s="2">
        <v>42089</v>
      </c>
      <c r="U5528" s="2">
        <v>42149</v>
      </c>
      <c r="V5528" t="s">
        <v>71</v>
      </c>
      <c r="W5528" t="str">
        <f>"             1189-PA"</f>
        <v xml:space="preserve">             1189-PA</v>
      </c>
      <c r="X5528">
        <v>444.6</v>
      </c>
      <c r="Y5528">
        <v>0</v>
      </c>
      <c r="Z5528"/>
      <c r="AB5528"/>
      <c r="AC5528">
        <v>427.5</v>
      </c>
      <c r="AD5528">
        <v>259</v>
      </c>
      <c r="AE5528" s="1">
        <v>110722.5</v>
      </c>
      <c r="AF5528">
        <v>0</v>
      </c>
      <c r="AJ5528">
        <v>0</v>
      </c>
      <c r="AK5528">
        <v>0</v>
      </c>
      <c r="AL5528">
        <v>0</v>
      </c>
      <c r="AM5528">
        <v>0</v>
      </c>
      <c r="AN5528">
        <v>0</v>
      </c>
      <c r="AO5528">
        <v>0</v>
      </c>
      <c r="AP5528" s="2">
        <v>42746</v>
      </c>
      <c r="AQ5528" t="s">
        <v>72</v>
      </c>
      <c r="AR5528" t="s">
        <v>72</v>
      </c>
      <c r="AS5528">
        <v>300</v>
      </c>
      <c r="AT5528" s="4">
        <v>42408</v>
      </c>
      <c r="AU5528" t="s">
        <v>73</v>
      </c>
      <c r="AV5528">
        <v>300</v>
      </c>
      <c r="AW5528" s="4">
        <v>42408</v>
      </c>
      <c r="BD5528">
        <v>0</v>
      </c>
      <c r="BN5528" t="s">
        <v>74</v>
      </c>
    </row>
    <row r="5529" spans="1:66" hidden="1">
      <c r="A5529">
        <v>102844</v>
      </c>
      <c r="B5529" s="3" t="s">
        <v>566</v>
      </c>
      <c r="C5529" s="1">
        <v>43300101</v>
      </c>
      <c r="D5529" t="s">
        <v>67</v>
      </c>
      <c r="H5529" t="str">
        <f t="shared" si="582"/>
        <v>10191080158</v>
      </c>
      <c r="I5529" t="str">
        <f t="shared" si="582"/>
        <v>10191080158</v>
      </c>
      <c r="K5529" t="str">
        <f>""</f>
        <v/>
      </c>
      <c r="M5529" t="s">
        <v>68</v>
      </c>
      <c r="N5529" t="str">
        <f t="shared" si="577"/>
        <v>FOR</v>
      </c>
      <c r="O5529" t="s">
        <v>69</v>
      </c>
      <c r="P5529" s="3" t="s">
        <v>75</v>
      </c>
      <c r="Q5529">
        <v>2015</v>
      </c>
      <c r="R5529" s="2">
        <v>42262</v>
      </c>
      <c r="S5529" s="2">
        <v>42265</v>
      </c>
      <c r="T5529" s="2">
        <v>42264</v>
      </c>
      <c r="U5529" s="2">
        <v>42324</v>
      </c>
      <c r="V5529" t="s">
        <v>71</v>
      </c>
      <c r="W5529" t="str">
        <f>"           005693-PA"</f>
        <v xml:space="preserve">           005693-PA</v>
      </c>
      <c r="X5529">
        <v>383.57</v>
      </c>
      <c r="Y5529">
        <v>0</v>
      </c>
      <c r="Z5529"/>
      <c r="AB5529"/>
      <c r="AC5529">
        <v>314.39999999999998</v>
      </c>
      <c r="AD5529">
        <v>296</v>
      </c>
      <c r="AE5529" s="1">
        <v>93062.399999999994</v>
      </c>
      <c r="AF5529">
        <v>0</v>
      </c>
      <c r="AJ5529">
        <v>0</v>
      </c>
      <c r="AK5529">
        <v>0</v>
      </c>
      <c r="AL5529">
        <v>0</v>
      </c>
      <c r="AM5529">
        <v>0</v>
      </c>
      <c r="AN5529">
        <v>0</v>
      </c>
      <c r="AO5529">
        <v>0</v>
      </c>
      <c r="AP5529" s="2">
        <v>42746</v>
      </c>
      <c r="AQ5529" t="s">
        <v>72</v>
      </c>
      <c r="AR5529" t="s">
        <v>72</v>
      </c>
      <c r="AS5529">
        <v>2345</v>
      </c>
      <c r="AT5529" s="4">
        <v>42620</v>
      </c>
      <c r="AU5529" t="s">
        <v>73</v>
      </c>
      <c r="AV5529">
        <v>2345</v>
      </c>
      <c r="AW5529" s="4">
        <v>42620</v>
      </c>
      <c r="BD5529">
        <v>0</v>
      </c>
      <c r="BN5529" t="s">
        <v>74</v>
      </c>
    </row>
    <row r="5530" spans="1:66" hidden="1">
      <c r="A5530">
        <v>102844</v>
      </c>
      <c r="B5530" s="3" t="s">
        <v>566</v>
      </c>
      <c r="C5530" s="1">
        <v>43300101</v>
      </c>
      <c r="D5530" t="s">
        <v>67</v>
      </c>
      <c r="H5530" t="str">
        <f t="shared" si="582"/>
        <v>10191080158</v>
      </c>
      <c r="I5530" t="str">
        <f t="shared" si="582"/>
        <v>10191080158</v>
      </c>
      <c r="K5530" t="str">
        <f>""</f>
        <v/>
      </c>
      <c r="M5530" t="s">
        <v>68</v>
      </c>
      <c r="N5530" t="str">
        <f t="shared" si="577"/>
        <v>FOR</v>
      </c>
      <c r="O5530" t="s">
        <v>69</v>
      </c>
      <c r="P5530" s="3" t="s">
        <v>75</v>
      </c>
      <c r="Q5530">
        <v>2015</v>
      </c>
      <c r="R5530" s="2">
        <v>42277</v>
      </c>
      <c r="S5530" s="2">
        <v>42283</v>
      </c>
      <c r="T5530" s="2">
        <v>42279</v>
      </c>
      <c r="U5530" s="2">
        <v>42339</v>
      </c>
      <c r="V5530" t="s">
        <v>71</v>
      </c>
      <c r="W5530" t="str">
        <f>"           006131-PA"</f>
        <v xml:space="preserve">           006131-PA</v>
      </c>
      <c r="X5530" s="1">
        <v>1805.6</v>
      </c>
      <c r="Y5530">
        <v>0</v>
      </c>
      <c r="Z5530"/>
      <c r="AB5530"/>
      <c r="AC5530" s="1">
        <v>1480</v>
      </c>
      <c r="AD5530">
        <v>281</v>
      </c>
      <c r="AE5530" s="1">
        <v>415880</v>
      </c>
      <c r="AF5530">
        <v>0</v>
      </c>
      <c r="AJ5530">
        <v>0</v>
      </c>
      <c r="AK5530">
        <v>0</v>
      </c>
      <c r="AL5530">
        <v>0</v>
      </c>
      <c r="AM5530">
        <v>0</v>
      </c>
      <c r="AN5530">
        <v>0</v>
      </c>
      <c r="AO5530">
        <v>0</v>
      </c>
      <c r="AP5530" s="2">
        <v>42746</v>
      </c>
      <c r="AQ5530" t="s">
        <v>72</v>
      </c>
      <c r="AR5530" t="s">
        <v>72</v>
      </c>
      <c r="AS5530">
        <v>2345</v>
      </c>
      <c r="AT5530" s="4">
        <v>42620</v>
      </c>
      <c r="AU5530" t="s">
        <v>73</v>
      </c>
      <c r="AV5530">
        <v>2345</v>
      </c>
      <c r="AW5530" s="4">
        <v>42620</v>
      </c>
      <c r="BD5530">
        <v>0</v>
      </c>
      <c r="BN5530" t="s">
        <v>74</v>
      </c>
    </row>
    <row r="5531" spans="1:66">
      <c r="A5531">
        <v>102844</v>
      </c>
      <c r="B5531" s="3" t="s">
        <v>566</v>
      </c>
      <c r="C5531" s="1">
        <v>43300101</v>
      </c>
      <c r="D5531" t="s">
        <v>67</v>
      </c>
      <c r="H5531" t="str">
        <f t="shared" si="582"/>
        <v>10191080158</v>
      </c>
      <c r="I5531" t="str">
        <f t="shared" si="582"/>
        <v>10191080158</v>
      </c>
      <c r="K5531" t="str">
        <f>""</f>
        <v/>
      </c>
      <c r="M5531" t="s">
        <v>68</v>
      </c>
      <c r="N5531" t="str">
        <f t="shared" si="577"/>
        <v>FOR</v>
      </c>
      <c r="O5531" t="s">
        <v>69</v>
      </c>
      <c r="P5531" s="3" t="s">
        <v>75</v>
      </c>
      <c r="Q5531">
        <v>2015</v>
      </c>
      <c r="R5531" s="2">
        <v>42338</v>
      </c>
      <c r="S5531" s="2">
        <v>42341</v>
      </c>
      <c r="T5531" s="2">
        <v>42340</v>
      </c>
      <c r="U5531" s="2">
        <v>42400</v>
      </c>
      <c r="V5531" t="s">
        <v>71</v>
      </c>
      <c r="W5531" t="str">
        <f>"           007667-PA"</f>
        <v xml:space="preserve">           007667-PA</v>
      </c>
      <c r="X5531">
        <v>351.36</v>
      </c>
      <c r="Y5531">
        <v>0</v>
      </c>
      <c r="Z5531" s="3">
        <v>288</v>
      </c>
      <c r="AA5531">
        <v>282</v>
      </c>
      <c r="AB5531" s="5">
        <v>81216</v>
      </c>
      <c r="AC5531">
        <v>288</v>
      </c>
      <c r="AD5531">
        <v>282</v>
      </c>
      <c r="AE5531" s="1">
        <v>81216</v>
      </c>
      <c r="AF5531">
        <v>0</v>
      </c>
      <c r="AJ5531">
        <v>0</v>
      </c>
      <c r="AK5531">
        <v>0</v>
      </c>
      <c r="AL5531">
        <v>0</v>
      </c>
      <c r="AM5531">
        <v>0</v>
      </c>
      <c r="AN5531">
        <v>0</v>
      </c>
      <c r="AO5531">
        <v>0</v>
      </c>
      <c r="AP5531" s="2">
        <v>42746</v>
      </c>
      <c r="AQ5531" t="s">
        <v>72</v>
      </c>
      <c r="AR5531" t="s">
        <v>72</v>
      </c>
      <c r="AS5531">
        <v>3000</v>
      </c>
      <c r="AT5531" s="4">
        <v>42682</v>
      </c>
      <c r="AU5531" t="s">
        <v>73</v>
      </c>
      <c r="AV5531">
        <v>3000</v>
      </c>
      <c r="AW5531" s="4">
        <v>42682</v>
      </c>
      <c r="BD5531">
        <v>0</v>
      </c>
      <c r="BN5531" t="s">
        <v>74</v>
      </c>
    </row>
    <row r="5532" spans="1:66">
      <c r="A5532">
        <v>102844</v>
      </c>
      <c r="B5532" s="3" t="s">
        <v>566</v>
      </c>
      <c r="C5532" s="1">
        <v>43300101</v>
      </c>
      <c r="D5532" t="s">
        <v>67</v>
      </c>
      <c r="H5532" t="str">
        <f t="shared" si="582"/>
        <v>10191080158</v>
      </c>
      <c r="I5532" t="str">
        <f t="shared" si="582"/>
        <v>10191080158</v>
      </c>
      <c r="K5532" t="str">
        <f>""</f>
        <v/>
      </c>
      <c r="M5532" t="s">
        <v>68</v>
      </c>
      <c r="N5532" t="str">
        <f t="shared" si="577"/>
        <v>FOR</v>
      </c>
      <c r="O5532" t="s">
        <v>69</v>
      </c>
      <c r="P5532" s="3" t="s">
        <v>75</v>
      </c>
      <c r="Q5532">
        <v>2015</v>
      </c>
      <c r="R5532" s="2">
        <v>42353</v>
      </c>
      <c r="S5532" s="2">
        <v>42359</v>
      </c>
      <c r="T5532" s="2">
        <v>42355</v>
      </c>
      <c r="U5532" s="2">
        <v>42415</v>
      </c>
      <c r="V5532" t="s">
        <v>71</v>
      </c>
      <c r="W5532" t="str">
        <f>"           008026-PA"</f>
        <v xml:space="preserve">           008026-PA</v>
      </c>
      <c r="X5532">
        <v>117.12</v>
      </c>
      <c r="Y5532">
        <v>0</v>
      </c>
      <c r="Z5532" s="3">
        <v>96</v>
      </c>
      <c r="AA5532">
        <v>267</v>
      </c>
      <c r="AB5532" s="5">
        <v>25632</v>
      </c>
      <c r="AC5532">
        <v>96</v>
      </c>
      <c r="AD5532">
        <v>267</v>
      </c>
      <c r="AE5532" s="1">
        <v>25632</v>
      </c>
      <c r="AF5532">
        <v>0</v>
      </c>
      <c r="AJ5532">
        <v>0</v>
      </c>
      <c r="AK5532">
        <v>0</v>
      </c>
      <c r="AL5532">
        <v>0</v>
      </c>
      <c r="AM5532">
        <v>0</v>
      </c>
      <c r="AN5532">
        <v>0</v>
      </c>
      <c r="AO5532">
        <v>0</v>
      </c>
      <c r="AP5532" s="2">
        <v>42746</v>
      </c>
      <c r="AQ5532" t="s">
        <v>72</v>
      </c>
      <c r="AR5532" t="s">
        <v>72</v>
      </c>
      <c r="AS5532">
        <v>3000</v>
      </c>
      <c r="AT5532" s="4">
        <v>42682</v>
      </c>
      <c r="AU5532" t="s">
        <v>73</v>
      </c>
      <c r="AV5532">
        <v>3000</v>
      </c>
      <c r="AW5532" s="4">
        <v>42682</v>
      </c>
      <c r="BD5532">
        <v>0</v>
      </c>
      <c r="BN5532" t="s">
        <v>74</v>
      </c>
    </row>
    <row r="5533" spans="1:66">
      <c r="A5533">
        <v>102844</v>
      </c>
      <c r="B5533" s="3" t="s">
        <v>566</v>
      </c>
      <c r="C5533" s="1">
        <v>43300101</v>
      </c>
      <c r="D5533" t="s">
        <v>67</v>
      </c>
      <c r="H5533" t="str">
        <f t="shared" si="582"/>
        <v>10191080158</v>
      </c>
      <c r="I5533" t="str">
        <f t="shared" si="582"/>
        <v>10191080158</v>
      </c>
      <c r="K5533" t="str">
        <f>""</f>
        <v/>
      </c>
      <c r="M5533" t="s">
        <v>68</v>
      </c>
      <c r="N5533" t="str">
        <f t="shared" si="577"/>
        <v>FOR</v>
      </c>
      <c r="O5533" t="s">
        <v>69</v>
      </c>
      <c r="P5533" s="3" t="s">
        <v>75</v>
      </c>
      <c r="Q5533">
        <v>2016</v>
      </c>
      <c r="R5533" s="2">
        <v>42504</v>
      </c>
      <c r="S5533" s="2">
        <v>42509</v>
      </c>
      <c r="T5533" s="2">
        <v>42507</v>
      </c>
      <c r="U5533" s="2">
        <v>42567</v>
      </c>
      <c r="V5533" t="s">
        <v>71</v>
      </c>
      <c r="W5533" t="str">
        <f>"           003337-PA"</f>
        <v xml:space="preserve">           003337-PA</v>
      </c>
      <c r="X5533">
        <v>391.62</v>
      </c>
      <c r="Y5533">
        <v>0</v>
      </c>
      <c r="Z5533" s="3">
        <v>321</v>
      </c>
      <c r="AA5533">
        <v>115</v>
      </c>
      <c r="AB5533" s="5">
        <v>36915</v>
      </c>
      <c r="AC5533">
        <v>321</v>
      </c>
      <c r="AD5533">
        <v>115</v>
      </c>
      <c r="AE5533" s="1">
        <v>36915</v>
      </c>
      <c r="AF5533">
        <v>0</v>
      </c>
      <c r="AJ5533">
        <v>0</v>
      </c>
      <c r="AK5533">
        <v>0</v>
      </c>
      <c r="AL5533">
        <v>0</v>
      </c>
      <c r="AM5533">
        <v>391.62</v>
      </c>
      <c r="AN5533">
        <v>391.62</v>
      </c>
      <c r="AO5533">
        <v>391.62</v>
      </c>
      <c r="AP5533" s="2">
        <v>42746</v>
      </c>
      <c r="AQ5533" t="s">
        <v>72</v>
      </c>
      <c r="AR5533" t="s">
        <v>72</v>
      </c>
      <c r="AS5533">
        <v>3000</v>
      </c>
      <c r="AT5533" s="4">
        <v>42682</v>
      </c>
      <c r="AU5533" t="s">
        <v>73</v>
      </c>
      <c r="AV5533">
        <v>3000</v>
      </c>
      <c r="AW5533" s="4">
        <v>42682</v>
      </c>
      <c r="BD5533">
        <v>0</v>
      </c>
      <c r="BN5533" t="s">
        <v>74</v>
      </c>
    </row>
    <row r="5534" spans="1:66">
      <c r="A5534">
        <v>102844</v>
      </c>
      <c r="B5534" s="3" t="s">
        <v>566</v>
      </c>
      <c r="C5534" s="1">
        <v>43300101</v>
      </c>
      <c r="D5534" t="s">
        <v>67</v>
      </c>
      <c r="H5534" t="str">
        <f t="shared" si="582"/>
        <v>10191080158</v>
      </c>
      <c r="I5534" t="str">
        <f t="shared" si="582"/>
        <v>10191080158</v>
      </c>
      <c r="K5534" t="str">
        <f>""</f>
        <v/>
      </c>
      <c r="M5534" t="s">
        <v>68</v>
      </c>
      <c r="N5534" t="str">
        <f t="shared" si="577"/>
        <v>FOR</v>
      </c>
      <c r="O5534" t="s">
        <v>69</v>
      </c>
      <c r="P5534" s="3" t="s">
        <v>75</v>
      </c>
      <c r="Q5534">
        <v>2016</v>
      </c>
      <c r="R5534" s="2">
        <v>42613</v>
      </c>
      <c r="S5534" s="2">
        <v>42628</v>
      </c>
      <c r="T5534" s="2">
        <v>42620</v>
      </c>
      <c r="U5534" s="2">
        <v>42680</v>
      </c>
      <c r="V5534" t="s">
        <v>71</v>
      </c>
      <c r="W5534" t="str">
        <f>"           006350-PA"</f>
        <v xml:space="preserve">           006350-PA</v>
      </c>
      <c r="X5534">
        <v>677.1</v>
      </c>
      <c r="Y5534">
        <v>0</v>
      </c>
      <c r="Z5534" s="3">
        <v>555</v>
      </c>
      <c r="AA5534">
        <v>2</v>
      </c>
      <c r="AB5534" s="5">
        <v>1110</v>
      </c>
      <c r="AC5534">
        <v>555</v>
      </c>
      <c r="AD5534">
        <v>2</v>
      </c>
      <c r="AE5534" s="1">
        <v>1110</v>
      </c>
      <c r="AF5534">
        <v>0</v>
      </c>
      <c r="AJ5534">
        <v>0</v>
      </c>
      <c r="AK5534">
        <v>0</v>
      </c>
      <c r="AL5534">
        <v>0</v>
      </c>
      <c r="AM5534">
        <v>677.1</v>
      </c>
      <c r="AN5534">
        <v>677.1</v>
      </c>
      <c r="AO5534">
        <v>677.1</v>
      </c>
      <c r="AP5534" s="2">
        <v>42746</v>
      </c>
      <c r="AQ5534" t="s">
        <v>72</v>
      </c>
      <c r="AR5534" t="s">
        <v>72</v>
      </c>
      <c r="AS5534">
        <v>3000</v>
      </c>
      <c r="AT5534" s="4">
        <v>42682</v>
      </c>
      <c r="AU5534" t="s">
        <v>73</v>
      </c>
      <c r="AV5534">
        <v>3000</v>
      </c>
      <c r="AW5534" s="4">
        <v>42682</v>
      </c>
      <c r="BD5534">
        <v>0</v>
      </c>
      <c r="BN5534" t="s">
        <v>74</v>
      </c>
    </row>
    <row r="5535" spans="1:66" hidden="1">
      <c r="A5535">
        <v>102845</v>
      </c>
      <c r="B5535" s="3" t="s">
        <v>567</v>
      </c>
      <c r="C5535" s="1">
        <v>43300101</v>
      </c>
      <c r="D5535" t="s">
        <v>67</v>
      </c>
      <c r="H5535" t="str">
        <f t="shared" ref="H5535:I5548" si="583">"02098650712"</f>
        <v>02098650712</v>
      </c>
      <c r="I5535" t="str">
        <f t="shared" si="583"/>
        <v>02098650712</v>
      </c>
      <c r="K5535" t="str">
        <f>""</f>
        <v/>
      </c>
      <c r="M5535" t="s">
        <v>68</v>
      </c>
      <c r="N5535" t="str">
        <f t="shared" si="577"/>
        <v>FOR</v>
      </c>
      <c r="O5535" t="s">
        <v>69</v>
      </c>
      <c r="P5535" s="3" t="s">
        <v>75</v>
      </c>
      <c r="Q5535">
        <v>2015</v>
      </c>
      <c r="R5535" s="2">
        <v>42094</v>
      </c>
      <c r="S5535" s="2">
        <v>42132</v>
      </c>
      <c r="T5535" s="2">
        <v>42130</v>
      </c>
      <c r="U5535" s="2">
        <v>42190</v>
      </c>
      <c r="V5535" t="s">
        <v>71</v>
      </c>
      <c r="W5535" t="str">
        <f>"              002204"</f>
        <v xml:space="preserve">              002204</v>
      </c>
      <c r="X5535" s="1">
        <v>18616.3</v>
      </c>
      <c r="Y5535">
        <v>0</v>
      </c>
      <c r="Z5535"/>
      <c r="AB5535"/>
      <c r="AC5535" s="1">
        <v>15259.26</v>
      </c>
      <c r="AD5535">
        <v>211</v>
      </c>
      <c r="AE5535" s="1">
        <v>3219703.86</v>
      </c>
      <c r="AF5535">
        <v>0</v>
      </c>
      <c r="AJ5535">
        <v>0</v>
      </c>
      <c r="AK5535">
        <v>0</v>
      </c>
      <c r="AL5535">
        <v>0</v>
      </c>
      <c r="AM5535">
        <v>0</v>
      </c>
      <c r="AN5535">
        <v>0</v>
      </c>
      <c r="AO5535">
        <v>0</v>
      </c>
      <c r="AP5535" s="2">
        <v>42746</v>
      </c>
      <c r="AQ5535" t="s">
        <v>72</v>
      </c>
      <c r="AR5535" t="s">
        <v>72</v>
      </c>
      <c r="AS5535">
        <v>172</v>
      </c>
      <c r="AT5535" s="4">
        <v>42401</v>
      </c>
      <c r="AU5535" t="s">
        <v>73</v>
      </c>
      <c r="AV5535">
        <v>172</v>
      </c>
      <c r="AW5535" s="4">
        <v>42401</v>
      </c>
      <c r="BD5535">
        <v>0</v>
      </c>
      <c r="BN5535" t="s">
        <v>74</v>
      </c>
    </row>
    <row r="5536" spans="1:66" hidden="1">
      <c r="A5536">
        <v>102845</v>
      </c>
      <c r="B5536" s="3" t="s">
        <v>567</v>
      </c>
      <c r="C5536" s="1">
        <v>43300101</v>
      </c>
      <c r="D5536" t="s">
        <v>67</v>
      </c>
      <c r="H5536" t="str">
        <f t="shared" si="583"/>
        <v>02098650712</v>
      </c>
      <c r="I5536" t="str">
        <f t="shared" si="583"/>
        <v>02098650712</v>
      </c>
      <c r="K5536" t="str">
        <f>""</f>
        <v/>
      </c>
      <c r="M5536" t="s">
        <v>68</v>
      </c>
      <c r="N5536" t="str">
        <f t="shared" si="577"/>
        <v>FOR</v>
      </c>
      <c r="O5536" t="s">
        <v>69</v>
      </c>
      <c r="P5536" s="3" t="s">
        <v>75</v>
      </c>
      <c r="Q5536">
        <v>2015</v>
      </c>
      <c r="R5536" s="2">
        <v>42124</v>
      </c>
      <c r="S5536" s="2">
        <v>42163</v>
      </c>
      <c r="T5536" s="2">
        <v>42153</v>
      </c>
      <c r="U5536" s="2">
        <v>42213</v>
      </c>
      <c r="V5536" t="s">
        <v>71</v>
      </c>
      <c r="W5536" t="str">
        <f>"              003055"</f>
        <v xml:space="preserve">              003055</v>
      </c>
      <c r="X5536" s="1">
        <v>16673.39</v>
      </c>
      <c r="Y5536">
        <v>0</v>
      </c>
      <c r="Z5536"/>
      <c r="AB5536"/>
      <c r="AC5536" s="1">
        <v>13666.71</v>
      </c>
      <c r="AD5536">
        <v>203</v>
      </c>
      <c r="AE5536" s="1">
        <v>2774342.13</v>
      </c>
      <c r="AF5536">
        <v>0</v>
      </c>
      <c r="AJ5536">
        <v>0</v>
      </c>
      <c r="AK5536">
        <v>0</v>
      </c>
      <c r="AL5536">
        <v>0</v>
      </c>
      <c r="AM5536">
        <v>0</v>
      </c>
      <c r="AN5536">
        <v>0</v>
      </c>
      <c r="AO5536">
        <v>0</v>
      </c>
      <c r="AP5536" s="2">
        <v>42746</v>
      </c>
      <c r="AQ5536" t="s">
        <v>72</v>
      </c>
      <c r="AR5536" t="s">
        <v>72</v>
      </c>
      <c r="AS5536">
        <v>446</v>
      </c>
      <c r="AT5536" s="4">
        <v>42416</v>
      </c>
      <c r="AU5536" t="s">
        <v>73</v>
      </c>
      <c r="AV5536">
        <v>446</v>
      </c>
      <c r="AW5536" s="4">
        <v>42416</v>
      </c>
      <c r="BD5536">
        <v>0</v>
      </c>
      <c r="BN5536" t="s">
        <v>74</v>
      </c>
    </row>
    <row r="5537" spans="1:66" hidden="1">
      <c r="A5537">
        <v>102845</v>
      </c>
      <c r="B5537" s="3" t="s">
        <v>567</v>
      </c>
      <c r="C5537" s="1">
        <v>43300101</v>
      </c>
      <c r="D5537" t="s">
        <v>67</v>
      </c>
      <c r="H5537" t="str">
        <f t="shared" si="583"/>
        <v>02098650712</v>
      </c>
      <c r="I5537" t="str">
        <f t="shared" si="583"/>
        <v>02098650712</v>
      </c>
      <c r="K5537" t="str">
        <f>""</f>
        <v/>
      </c>
      <c r="M5537" t="s">
        <v>68</v>
      </c>
      <c r="N5537" t="str">
        <f t="shared" si="577"/>
        <v>FOR</v>
      </c>
      <c r="O5537" t="s">
        <v>69</v>
      </c>
      <c r="P5537" s="3" t="s">
        <v>75</v>
      </c>
      <c r="Q5537">
        <v>2015</v>
      </c>
      <c r="R5537" s="2">
        <v>42154</v>
      </c>
      <c r="S5537" s="2">
        <v>42185</v>
      </c>
      <c r="T5537" s="2">
        <v>42181</v>
      </c>
      <c r="U5537" s="2">
        <v>42241</v>
      </c>
      <c r="V5537" t="s">
        <v>71</v>
      </c>
      <c r="W5537" t="str">
        <f>"              003627"</f>
        <v xml:space="preserve">              003627</v>
      </c>
      <c r="X5537" s="1">
        <v>18242.439999999999</v>
      </c>
      <c r="Y5537">
        <v>0</v>
      </c>
      <c r="Z5537"/>
      <c r="AB5537"/>
      <c r="AC5537" s="1">
        <v>14952.82</v>
      </c>
      <c r="AD5537">
        <v>189</v>
      </c>
      <c r="AE5537" s="1">
        <v>2826082.98</v>
      </c>
      <c r="AF5537">
        <v>0</v>
      </c>
      <c r="AJ5537">
        <v>0</v>
      </c>
      <c r="AK5537">
        <v>0</v>
      </c>
      <c r="AL5537">
        <v>0</v>
      </c>
      <c r="AM5537">
        <v>0</v>
      </c>
      <c r="AN5537">
        <v>0</v>
      </c>
      <c r="AO5537">
        <v>0</v>
      </c>
      <c r="AP5537" s="2">
        <v>42746</v>
      </c>
      <c r="AQ5537" t="s">
        <v>72</v>
      </c>
      <c r="AR5537" t="s">
        <v>72</v>
      </c>
      <c r="AS5537">
        <v>600</v>
      </c>
      <c r="AT5537" s="4">
        <v>42430</v>
      </c>
      <c r="AU5537" t="s">
        <v>73</v>
      </c>
      <c r="AV5537">
        <v>600</v>
      </c>
      <c r="AW5537" s="4">
        <v>42430</v>
      </c>
      <c r="BD5537">
        <v>0</v>
      </c>
      <c r="BN5537" t="s">
        <v>74</v>
      </c>
    </row>
    <row r="5538" spans="1:66" hidden="1">
      <c r="A5538">
        <v>102845</v>
      </c>
      <c r="B5538" s="3" t="s">
        <v>567</v>
      </c>
      <c r="C5538" s="1">
        <v>43300101</v>
      </c>
      <c r="D5538" t="s">
        <v>67</v>
      </c>
      <c r="H5538" t="str">
        <f t="shared" si="583"/>
        <v>02098650712</v>
      </c>
      <c r="I5538" t="str">
        <f t="shared" si="583"/>
        <v>02098650712</v>
      </c>
      <c r="K5538" t="str">
        <f>""</f>
        <v/>
      </c>
      <c r="M5538" t="s">
        <v>68</v>
      </c>
      <c r="N5538" t="str">
        <f t="shared" si="577"/>
        <v>FOR</v>
      </c>
      <c r="O5538" t="s">
        <v>69</v>
      </c>
      <c r="P5538" s="3" t="s">
        <v>75</v>
      </c>
      <c r="Q5538">
        <v>2015</v>
      </c>
      <c r="R5538" s="2">
        <v>42185</v>
      </c>
      <c r="S5538" s="2">
        <v>42202</v>
      </c>
      <c r="T5538" s="2">
        <v>42202</v>
      </c>
      <c r="U5538" s="2">
        <v>42262</v>
      </c>
      <c r="V5538" t="s">
        <v>71</v>
      </c>
      <c r="W5538" t="str">
        <f>"              004369"</f>
        <v xml:space="preserve">              004369</v>
      </c>
      <c r="X5538" s="1">
        <v>20850.759999999998</v>
      </c>
      <c r="Y5538">
        <v>0</v>
      </c>
      <c r="Z5538"/>
      <c r="AB5538"/>
      <c r="AC5538" s="1">
        <v>17090.79</v>
      </c>
      <c r="AD5538">
        <v>191</v>
      </c>
      <c r="AE5538" s="1">
        <v>3264340.89</v>
      </c>
      <c r="AF5538">
        <v>0</v>
      </c>
      <c r="AJ5538">
        <v>0</v>
      </c>
      <c r="AK5538">
        <v>0</v>
      </c>
      <c r="AL5538">
        <v>0</v>
      </c>
      <c r="AM5538">
        <v>0</v>
      </c>
      <c r="AN5538">
        <v>0</v>
      </c>
      <c r="AO5538">
        <v>0</v>
      </c>
      <c r="AP5538" s="2">
        <v>42746</v>
      </c>
      <c r="AQ5538" t="s">
        <v>72</v>
      </c>
      <c r="AR5538" t="s">
        <v>72</v>
      </c>
      <c r="AS5538">
        <v>881</v>
      </c>
      <c r="AT5538" s="4">
        <v>42453</v>
      </c>
      <c r="AU5538" t="s">
        <v>73</v>
      </c>
      <c r="AV5538">
        <v>881</v>
      </c>
      <c r="AW5538" s="4">
        <v>42453</v>
      </c>
      <c r="BD5538">
        <v>0</v>
      </c>
      <c r="BN5538" t="s">
        <v>74</v>
      </c>
    </row>
    <row r="5539" spans="1:66" hidden="1">
      <c r="A5539">
        <v>102845</v>
      </c>
      <c r="B5539" s="3" t="s">
        <v>567</v>
      </c>
      <c r="C5539" s="1">
        <v>43300101</v>
      </c>
      <c r="D5539" t="s">
        <v>67</v>
      </c>
      <c r="H5539" t="str">
        <f t="shared" si="583"/>
        <v>02098650712</v>
      </c>
      <c r="I5539" t="str">
        <f t="shared" si="583"/>
        <v>02098650712</v>
      </c>
      <c r="K5539" t="str">
        <f>""</f>
        <v/>
      </c>
      <c r="M5539" t="s">
        <v>68</v>
      </c>
      <c r="N5539" t="str">
        <f t="shared" si="577"/>
        <v>FOR</v>
      </c>
      <c r="O5539" t="s">
        <v>69</v>
      </c>
      <c r="P5539" s="3" t="s">
        <v>75</v>
      </c>
      <c r="Q5539">
        <v>2015</v>
      </c>
      <c r="R5539" s="2">
        <v>42216</v>
      </c>
      <c r="S5539" s="2">
        <v>42230</v>
      </c>
      <c r="T5539" s="2">
        <v>42229</v>
      </c>
      <c r="U5539" s="2">
        <v>42289</v>
      </c>
      <c r="V5539" t="s">
        <v>71</v>
      </c>
      <c r="W5539" t="str">
        <f>"              005062"</f>
        <v xml:space="preserve">              005062</v>
      </c>
      <c r="X5539" s="1">
        <v>17006.189999999999</v>
      </c>
      <c r="Y5539">
        <v>0</v>
      </c>
      <c r="Z5539"/>
      <c r="AB5539"/>
      <c r="AC5539" s="1">
        <v>13939.5</v>
      </c>
      <c r="AD5539">
        <v>239</v>
      </c>
      <c r="AE5539" s="1">
        <v>3331540.5</v>
      </c>
      <c r="AF5539">
        <v>0</v>
      </c>
      <c r="AJ5539">
        <v>0</v>
      </c>
      <c r="AK5539">
        <v>0</v>
      </c>
      <c r="AL5539">
        <v>0</v>
      </c>
      <c r="AM5539">
        <v>0</v>
      </c>
      <c r="AN5539">
        <v>0</v>
      </c>
      <c r="AO5539">
        <v>0</v>
      </c>
      <c r="AP5539" s="2">
        <v>42746</v>
      </c>
      <c r="AQ5539" t="s">
        <v>72</v>
      </c>
      <c r="AR5539" t="s">
        <v>72</v>
      </c>
      <c r="AS5539">
        <v>1551</v>
      </c>
      <c r="AT5539" s="4">
        <v>42528</v>
      </c>
      <c r="AU5539" t="s">
        <v>73</v>
      </c>
      <c r="AV5539">
        <v>1551</v>
      </c>
      <c r="AW5539" s="4">
        <v>42528</v>
      </c>
      <c r="BD5539">
        <v>0</v>
      </c>
      <c r="BN5539" t="s">
        <v>74</v>
      </c>
    </row>
    <row r="5540" spans="1:66" hidden="1">
      <c r="A5540">
        <v>102845</v>
      </c>
      <c r="B5540" s="3" t="s">
        <v>567</v>
      </c>
      <c r="C5540" s="1">
        <v>43300101</v>
      </c>
      <c r="D5540" t="s">
        <v>67</v>
      </c>
      <c r="H5540" t="str">
        <f t="shared" si="583"/>
        <v>02098650712</v>
      </c>
      <c r="I5540" t="str">
        <f t="shared" si="583"/>
        <v>02098650712</v>
      </c>
      <c r="K5540" t="str">
        <f>""</f>
        <v/>
      </c>
      <c r="M5540" t="s">
        <v>68</v>
      </c>
      <c r="N5540" t="str">
        <f t="shared" si="577"/>
        <v>FOR</v>
      </c>
      <c r="O5540" t="s">
        <v>69</v>
      </c>
      <c r="P5540" s="3" t="s">
        <v>75</v>
      </c>
      <c r="Q5540">
        <v>2015</v>
      </c>
      <c r="R5540" s="2">
        <v>42247</v>
      </c>
      <c r="S5540" s="2">
        <v>42263</v>
      </c>
      <c r="T5540" s="2">
        <v>42262</v>
      </c>
      <c r="U5540" s="2">
        <v>42322</v>
      </c>
      <c r="V5540" t="s">
        <v>71</v>
      </c>
      <c r="W5540" t="str">
        <f>"              005545"</f>
        <v xml:space="preserve">              005545</v>
      </c>
      <c r="X5540" s="1">
        <v>15852.14</v>
      </c>
      <c r="Y5540">
        <v>0</v>
      </c>
      <c r="Z5540"/>
      <c r="AB5540"/>
      <c r="AC5540" s="1">
        <v>12993.56</v>
      </c>
      <c r="AD5540">
        <v>255</v>
      </c>
      <c r="AE5540" s="1">
        <v>3313357.8</v>
      </c>
      <c r="AF5540">
        <v>0</v>
      </c>
      <c r="AJ5540">
        <v>0</v>
      </c>
      <c r="AK5540">
        <v>0</v>
      </c>
      <c r="AL5540">
        <v>0</v>
      </c>
      <c r="AM5540">
        <v>0</v>
      </c>
      <c r="AN5540">
        <v>0</v>
      </c>
      <c r="AO5540">
        <v>0</v>
      </c>
      <c r="AP5540" s="2">
        <v>42746</v>
      </c>
      <c r="AQ5540" t="s">
        <v>72</v>
      </c>
      <c r="AR5540" t="s">
        <v>72</v>
      </c>
      <c r="AS5540">
        <v>1924</v>
      </c>
      <c r="AT5540" s="4">
        <v>42577</v>
      </c>
      <c r="AU5540" t="s">
        <v>73</v>
      </c>
      <c r="AV5540">
        <v>1924</v>
      </c>
      <c r="AW5540" s="4">
        <v>42577</v>
      </c>
      <c r="BD5540">
        <v>0</v>
      </c>
      <c r="BN5540" t="s">
        <v>74</v>
      </c>
    </row>
    <row r="5541" spans="1:66" hidden="1">
      <c r="A5541">
        <v>102845</v>
      </c>
      <c r="B5541" s="3" t="s">
        <v>567</v>
      </c>
      <c r="C5541" s="1">
        <v>43300101</v>
      </c>
      <c r="D5541" t="s">
        <v>67</v>
      </c>
      <c r="H5541" t="str">
        <f t="shared" si="583"/>
        <v>02098650712</v>
      </c>
      <c r="I5541" t="str">
        <f t="shared" si="583"/>
        <v>02098650712</v>
      </c>
      <c r="K5541" t="str">
        <f>""</f>
        <v/>
      </c>
      <c r="M5541" t="s">
        <v>68</v>
      </c>
      <c r="N5541" t="str">
        <f t="shared" si="577"/>
        <v>FOR</v>
      </c>
      <c r="O5541" t="s">
        <v>69</v>
      </c>
      <c r="P5541" s="3" t="s">
        <v>75</v>
      </c>
      <c r="Q5541">
        <v>2015</v>
      </c>
      <c r="R5541" s="2">
        <v>42277</v>
      </c>
      <c r="S5541" s="2">
        <v>42299</v>
      </c>
      <c r="T5541" s="2">
        <v>42299</v>
      </c>
      <c r="U5541" s="2">
        <v>42359</v>
      </c>
      <c r="V5541" t="s">
        <v>71</v>
      </c>
      <c r="W5541" t="str">
        <f>"              006031"</f>
        <v xml:space="preserve">              006031</v>
      </c>
      <c r="X5541" s="1">
        <v>17959.32</v>
      </c>
      <c r="Y5541">
        <v>0</v>
      </c>
      <c r="Z5541"/>
      <c r="AB5541"/>
      <c r="AC5541" s="1">
        <v>14720.75</v>
      </c>
      <c r="AD5541">
        <v>260</v>
      </c>
      <c r="AE5541" s="1">
        <v>3827395</v>
      </c>
      <c r="AF5541">
        <v>0</v>
      </c>
      <c r="AJ5541">
        <v>0</v>
      </c>
      <c r="AK5541">
        <v>0</v>
      </c>
      <c r="AL5541">
        <v>0</v>
      </c>
      <c r="AM5541">
        <v>0</v>
      </c>
      <c r="AN5541">
        <v>0</v>
      </c>
      <c r="AO5541">
        <v>0</v>
      </c>
      <c r="AP5541" s="2">
        <v>42746</v>
      </c>
      <c r="AQ5541" t="s">
        <v>72</v>
      </c>
      <c r="AR5541" t="s">
        <v>72</v>
      </c>
      <c r="AS5541">
        <v>2291</v>
      </c>
      <c r="AT5541" s="4">
        <v>42619</v>
      </c>
      <c r="AU5541" t="s">
        <v>73</v>
      </c>
      <c r="AV5541">
        <v>2291</v>
      </c>
      <c r="AW5541" s="4">
        <v>42619</v>
      </c>
      <c r="BD5541">
        <v>0</v>
      </c>
      <c r="BN5541" t="s">
        <v>74</v>
      </c>
    </row>
    <row r="5542" spans="1:66">
      <c r="A5542">
        <v>102845</v>
      </c>
      <c r="B5542" s="3" t="s">
        <v>567</v>
      </c>
      <c r="C5542" s="1">
        <v>43300101</v>
      </c>
      <c r="D5542" t="s">
        <v>67</v>
      </c>
      <c r="H5542" t="str">
        <f t="shared" si="583"/>
        <v>02098650712</v>
      </c>
      <c r="I5542" t="str">
        <f t="shared" si="583"/>
        <v>02098650712</v>
      </c>
      <c r="K5542" t="str">
        <f>""</f>
        <v/>
      </c>
      <c r="M5542" t="s">
        <v>68</v>
      </c>
      <c r="N5542" t="str">
        <f t="shared" si="577"/>
        <v>FOR</v>
      </c>
      <c r="O5542" t="s">
        <v>69</v>
      </c>
      <c r="P5542" s="3" t="s">
        <v>75</v>
      </c>
      <c r="Q5542">
        <v>2015</v>
      </c>
      <c r="R5542" s="2">
        <v>42308</v>
      </c>
      <c r="S5542" s="2">
        <v>42321</v>
      </c>
      <c r="T5542" s="2">
        <v>42320</v>
      </c>
      <c r="U5542" s="2">
        <v>42380</v>
      </c>
      <c r="V5542" t="s">
        <v>71</v>
      </c>
      <c r="W5542" t="str">
        <f>"              006806"</f>
        <v xml:space="preserve">              006806</v>
      </c>
      <c r="X5542" s="1">
        <v>18464.419999999998</v>
      </c>
      <c r="Y5542">
        <v>0</v>
      </c>
      <c r="Z5542" s="5">
        <v>15134.77</v>
      </c>
      <c r="AA5542">
        <v>267</v>
      </c>
      <c r="AB5542" s="5">
        <v>4040983.59</v>
      </c>
      <c r="AC5542" s="1">
        <v>15134.77</v>
      </c>
      <c r="AD5542">
        <v>267</v>
      </c>
      <c r="AE5542" s="1">
        <v>4040983.59</v>
      </c>
      <c r="AF5542">
        <v>0</v>
      </c>
      <c r="AJ5542">
        <v>0</v>
      </c>
      <c r="AK5542">
        <v>0</v>
      </c>
      <c r="AL5542">
        <v>0</v>
      </c>
      <c r="AM5542">
        <v>0</v>
      </c>
      <c r="AN5542">
        <v>0</v>
      </c>
      <c r="AO5542">
        <v>0</v>
      </c>
      <c r="AP5542" s="2">
        <v>42746</v>
      </c>
      <c r="AQ5542" t="s">
        <v>72</v>
      </c>
      <c r="AR5542" t="s">
        <v>72</v>
      </c>
      <c r="AS5542">
        <v>2641</v>
      </c>
      <c r="AT5542" s="4">
        <v>42647</v>
      </c>
      <c r="AU5542" t="s">
        <v>73</v>
      </c>
      <c r="AV5542">
        <v>2641</v>
      </c>
      <c r="AW5542" s="4">
        <v>42647</v>
      </c>
      <c r="BD5542">
        <v>0</v>
      </c>
      <c r="BN5542" t="s">
        <v>74</v>
      </c>
    </row>
    <row r="5543" spans="1:66">
      <c r="A5543">
        <v>102845</v>
      </c>
      <c r="B5543" s="3" t="s">
        <v>567</v>
      </c>
      <c r="C5543" s="1">
        <v>43300101</v>
      </c>
      <c r="D5543" t="s">
        <v>67</v>
      </c>
      <c r="H5543" t="str">
        <f t="shared" si="583"/>
        <v>02098650712</v>
      </c>
      <c r="I5543" t="str">
        <f t="shared" si="583"/>
        <v>02098650712</v>
      </c>
      <c r="K5543" t="str">
        <f>""</f>
        <v/>
      </c>
      <c r="M5543" t="s">
        <v>68</v>
      </c>
      <c r="N5543" t="str">
        <f t="shared" si="577"/>
        <v>FOR</v>
      </c>
      <c r="O5543" t="s">
        <v>69</v>
      </c>
      <c r="P5543" s="3" t="s">
        <v>75</v>
      </c>
      <c r="Q5543">
        <v>2015</v>
      </c>
      <c r="R5543" s="2">
        <v>42338</v>
      </c>
      <c r="S5543" s="2">
        <v>42352</v>
      </c>
      <c r="T5543" s="2">
        <v>42349</v>
      </c>
      <c r="U5543" s="2">
        <v>42409</v>
      </c>
      <c r="V5543" t="s">
        <v>71</v>
      </c>
      <c r="W5543" t="str">
        <f>"              007692"</f>
        <v xml:space="preserve">              007692</v>
      </c>
      <c r="X5543" s="1">
        <v>18200.3</v>
      </c>
      <c r="Y5543">
        <v>0</v>
      </c>
      <c r="Z5543" s="5">
        <v>14918.28</v>
      </c>
      <c r="AA5543">
        <v>238</v>
      </c>
      <c r="AB5543" s="5">
        <v>3550550.64</v>
      </c>
      <c r="AC5543" s="1">
        <v>14918.28</v>
      </c>
      <c r="AD5543">
        <v>238</v>
      </c>
      <c r="AE5543" s="1">
        <v>3550550.64</v>
      </c>
      <c r="AF5543">
        <v>0</v>
      </c>
      <c r="AJ5543">
        <v>0</v>
      </c>
      <c r="AK5543">
        <v>0</v>
      </c>
      <c r="AL5543">
        <v>0</v>
      </c>
      <c r="AM5543">
        <v>0</v>
      </c>
      <c r="AN5543">
        <v>0</v>
      </c>
      <c r="AO5543">
        <v>0</v>
      </c>
      <c r="AP5543" s="2">
        <v>42746</v>
      </c>
      <c r="AQ5543" t="s">
        <v>72</v>
      </c>
      <c r="AR5543" t="s">
        <v>72</v>
      </c>
      <c r="AS5543">
        <v>2641</v>
      </c>
      <c r="AT5543" s="4">
        <v>42647</v>
      </c>
      <c r="AU5543" t="s">
        <v>73</v>
      </c>
      <c r="AV5543">
        <v>2641</v>
      </c>
      <c r="AW5543" s="4">
        <v>42647</v>
      </c>
      <c r="BD5543">
        <v>0</v>
      </c>
      <c r="BN5543" t="s">
        <v>74</v>
      </c>
    </row>
    <row r="5544" spans="1:66">
      <c r="A5544">
        <v>102845</v>
      </c>
      <c r="B5544" s="3" t="s">
        <v>567</v>
      </c>
      <c r="C5544" s="1">
        <v>43300101</v>
      </c>
      <c r="D5544" t="s">
        <v>67</v>
      </c>
      <c r="H5544" t="str">
        <f t="shared" si="583"/>
        <v>02098650712</v>
      </c>
      <c r="I5544" t="str">
        <f t="shared" si="583"/>
        <v>02098650712</v>
      </c>
      <c r="K5544" t="str">
        <f>""</f>
        <v/>
      </c>
      <c r="M5544" t="s">
        <v>68</v>
      </c>
      <c r="N5544" t="str">
        <f t="shared" si="577"/>
        <v>FOR</v>
      </c>
      <c r="O5544" t="s">
        <v>69</v>
      </c>
      <c r="P5544" s="3" t="s">
        <v>75</v>
      </c>
      <c r="Q5544">
        <v>2015</v>
      </c>
      <c r="R5544" s="2">
        <v>42369</v>
      </c>
      <c r="S5544" s="2">
        <v>42369</v>
      </c>
      <c r="T5544" s="2">
        <v>42369</v>
      </c>
      <c r="U5544" s="2">
        <v>42429</v>
      </c>
      <c r="V5544" t="s">
        <v>71</v>
      </c>
      <c r="W5544" t="str">
        <f>"              008291"</f>
        <v xml:space="preserve">              008291</v>
      </c>
      <c r="X5544" s="1">
        <v>18978.14</v>
      </c>
      <c r="Y5544">
        <v>0</v>
      </c>
      <c r="Z5544" s="5">
        <v>15555.85</v>
      </c>
      <c r="AA5544">
        <v>254</v>
      </c>
      <c r="AB5544" s="5">
        <v>3951185.9</v>
      </c>
      <c r="AC5544" s="1">
        <v>15555.85</v>
      </c>
      <c r="AD5544">
        <v>254</v>
      </c>
      <c r="AE5544" s="1">
        <v>3951185.9</v>
      </c>
      <c r="AF5544">
        <v>0</v>
      </c>
      <c r="AJ5544">
        <v>0</v>
      </c>
      <c r="AK5544">
        <v>0</v>
      </c>
      <c r="AL5544">
        <v>0</v>
      </c>
      <c r="AM5544">
        <v>0</v>
      </c>
      <c r="AN5544">
        <v>0</v>
      </c>
      <c r="AO5544">
        <v>0</v>
      </c>
      <c r="AP5544" s="2">
        <v>42746</v>
      </c>
      <c r="AQ5544" t="s">
        <v>72</v>
      </c>
      <c r="AR5544" t="s">
        <v>72</v>
      </c>
      <c r="AS5544">
        <v>3018</v>
      </c>
      <c r="AT5544" s="4">
        <v>42683</v>
      </c>
      <c r="AU5544" t="s">
        <v>73</v>
      </c>
      <c r="AV5544">
        <v>3018</v>
      </c>
      <c r="AW5544" s="4">
        <v>42683</v>
      </c>
      <c r="BD5544">
        <v>0</v>
      </c>
      <c r="BN5544" t="s">
        <v>74</v>
      </c>
    </row>
    <row r="5545" spans="1:66">
      <c r="A5545">
        <v>102845</v>
      </c>
      <c r="B5545" s="3" t="s">
        <v>567</v>
      </c>
      <c r="C5545" s="1">
        <v>43300101</v>
      </c>
      <c r="D5545" t="s">
        <v>67</v>
      </c>
      <c r="H5545" t="str">
        <f t="shared" si="583"/>
        <v>02098650712</v>
      </c>
      <c r="I5545" t="str">
        <f t="shared" si="583"/>
        <v>02098650712</v>
      </c>
      <c r="K5545" t="str">
        <f>""</f>
        <v/>
      </c>
      <c r="M5545" t="s">
        <v>68</v>
      </c>
      <c r="N5545" t="str">
        <f t="shared" ref="N5545:N5608" si="584">"FOR"</f>
        <v>FOR</v>
      </c>
      <c r="O5545" t="s">
        <v>69</v>
      </c>
      <c r="P5545" s="3" t="s">
        <v>70</v>
      </c>
      <c r="Q5545">
        <v>2015</v>
      </c>
      <c r="R5545" s="2">
        <v>42369</v>
      </c>
      <c r="S5545" s="2">
        <v>42677</v>
      </c>
      <c r="T5545" s="2">
        <v>42677</v>
      </c>
      <c r="U5545" s="2">
        <v>42737</v>
      </c>
      <c r="V5545" t="s">
        <v>71</v>
      </c>
      <c r="W5545" t="str">
        <f>"              008307"</f>
        <v xml:space="preserve">              008307</v>
      </c>
      <c r="X5545" s="1">
        <v>24513.22</v>
      </c>
      <c r="Y5545">
        <v>0</v>
      </c>
      <c r="Z5545" s="5">
        <v>20092.8</v>
      </c>
      <c r="AA5545">
        <v>-49</v>
      </c>
      <c r="AB5545" s="5">
        <v>-984547.2</v>
      </c>
      <c r="AC5545" s="1">
        <v>20092.8</v>
      </c>
      <c r="AD5545">
        <v>-49</v>
      </c>
      <c r="AE5545" s="1">
        <v>-984547.2</v>
      </c>
      <c r="AF5545">
        <v>0</v>
      </c>
      <c r="AJ5545">
        <v>0</v>
      </c>
      <c r="AK5545" s="1">
        <v>24513.22</v>
      </c>
      <c r="AL5545">
        <v>0</v>
      </c>
      <c r="AM5545">
        <v>0</v>
      </c>
      <c r="AN5545" s="1">
        <v>24513.22</v>
      </c>
      <c r="AO5545">
        <v>0</v>
      </c>
      <c r="AP5545" s="2">
        <v>42746</v>
      </c>
      <c r="AQ5545" t="s">
        <v>72</v>
      </c>
      <c r="AR5545" t="s">
        <v>72</v>
      </c>
      <c r="AS5545">
        <v>3077</v>
      </c>
      <c r="AT5545" s="4">
        <v>42688</v>
      </c>
      <c r="AV5545">
        <v>3077</v>
      </c>
      <c r="AW5545" s="4">
        <v>42688</v>
      </c>
      <c r="BD5545">
        <v>0</v>
      </c>
      <c r="BN5545" t="s">
        <v>74</v>
      </c>
    </row>
    <row r="5546" spans="1:66">
      <c r="A5546">
        <v>102845</v>
      </c>
      <c r="B5546" s="3" t="s">
        <v>567</v>
      </c>
      <c r="C5546" s="1">
        <v>43300101</v>
      </c>
      <c r="D5546" t="s">
        <v>67</v>
      </c>
      <c r="H5546" t="str">
        <f t="shared" si="583"/>
        <v>02098650712</v>
      </c>
      <c r="I5546" t="str">
        <f t="shared" si="583"/>
        <v>02098650712</v>
      </c>
      <c r="K5546" t="str">
        <f>""</f>
        <v/>
      </c>
      <c r="M5546" t="s">
        <v>68</v>
      </c>
      <c r="N5546" t="str">
        <f t="shared" si="584"/>
        <v>FOR</v>
      </c>
      <c r="O5546" t="s">
        <v>69</v>
      </c>
      <c r="P5546" s="3" t="s">
        <v>75</v>
      </c>
      <c r="Q5546">
        <v>2016</v>
      </c>
      <c r="R5546" s="2">
        <v>42399</v>
      </c>
      <c r="S5546" s="2">
        <v>42507</v>
      </c>
      <c r="T5546" s="2">
        <v>42506</v>
      </c>
      <c r="U5546" s="2">
        <v>42566</v>
      </c>
      <c r="V5546" t="s">
        <v>71</v>
      </c>
      <c r="W5546" t="str">
        <f>"             F000003"</f>
        <v xml:space="preserve">             F000003</v>
      </c>
      <c r="X5546" s="1">
        <v>17560.72</v>
      </c>
      <c r="Y5546">
        <v>0</v>
      </c>
      <c r="Z5546" s="5">
        <v>14394.03</v>
      </c>
      <c r="AA5546">
        <v>126</v>
      </c>
      <c r="AB5546" s="5">
        <v>1813647.78</v>
      </c>
      <c r="AC5546" s="1">
        <v>14394.03</v>
      </c>
      <c r="AD5546">
        <v>126</v>
      </c>
      <c r="AE5546" s="1">
        <v>1813647.78</v>
      </c>
      <c r="AF5546">
        <v>0</v>
      </c>
      <c r="AJ5546">
        <v>0</v>
      </c>
      <c r="AK5546">
        <v>0</v>
      </c>
      <c r="AL5546">
        <v>0</v>
      </c>
      <c r="AM5546" s="1">
        <v>17560.72</v>
      </c>
      <c r="AN5546" s="1">
        <v>17560.72</v>
      </c>
      <c r="AO5546" s="1">
        <v>17560.72</v>
      </c>
      <c r="AP5546" s="2">
        <v>42746</v>
      </c>
      <c r="AQ5546" t="s">
        <v>72</v>
      </c>
      <c r="AR5546" t="s">
        <v>72</v>
      </c>
      <c r="AS5546">
        <v>3184</v>
      </c>
      <c r="AT5546" s="4">
        <v>42692</v>
      </c>
      <c r="AU5546" t="s">
        <v>73</v>
      </c>
      <c r="AV5546">
        <v>3184</v>
      </c>
      <c r="AW5546" s="4">
        <v>42692</v>
      </c>
      <c r="BD5546">
        <v>0</v>
      </c>
      <c r="BN5546" t="s">
        <v>74</v>
      </c>
    </row>
    <row r="5547" spans="1:66">
      <c r="A5547">
        <v>102845</v>
      </c>
      <c r="B5547" s="3" t="s">
        <v>567</v>
      </c>
      <c r="C5547" s="1">
        <v>43300101</v>
      </c>
      <c r="D5547" t="s">
        <v>67</v>
      </c>
      <c r="H5547" t="str">
        <f t="shared" si="583"/>
        <v>02098650712</v>
      </c>
      <c r="I5547" t="str">
        <f t="shared" si="583"/>
        <v>02098650712</v>
      </c>
      <c r="K5547" t="str">
        <f>""</f>
        <v/>
      </c>
      <c r="M5547" t="s">
        <v>68</v>
      </c>
      <c r="N5547" t="str">
        <f t="shared" si="584"/>
        <v>FOR</v>
      </c>
      <c r="O5547" t="s">
        <v>69</v>
      </c>
      <c r="P5547" s="3" t="s">
        <v>75</v>
      </c>
      <c r="Q5547">
        <v>2016</v>
      </c>
      <c r="R5547" s="2">
        <v>42429</v>
      </c>
      <c r="S5547" s="2">
        <v>42445</v>
      </c>
      <c r="T5547" s="2">
        <v>42444</v>
      </c>
      <c r="U5547" s="2">
        <v>42504</v>
      </c>
      <c r="V5547" t="s">
        <v>71</v>
      </c>
      <c r="W5547" t="str">
        <f>"             F000039"</f>
        <v xml:space="preserve">             F000039</v>
      </c>
      <c r="X5547" s="1">
        <v>20774.68</v>
      </c>
      <c r="Y5547">
        <v>0</v>
      </c>
      <c r="Z5547" s="5">
        <v>17028.43</v>
      </c>
      <c r="AA5547">
        <v>215</v>
      </c>
      <c r="AB5547" s="5">
        <v>3661112.45</v>
      </c>
      <c r="AC5547" s="1">
        <v>17028.43</v>
      </c>
      <c r="AD5547">
        <v>215</v>
      </c>
      <c r="AE5547" s="1">
        <v>3661112.45</v>
      </c>
      <c r="AF5547" s="1">
        <v>3746.25</v>
      </c>
      <c r="AJ5547">
        <v>0</v>
      </c>
      <c r="AK5547">
        <v>0</v>
      </c>
      <c r="AL5547">
        <v>0</v>
      </c>
      <c r="AM5547" s="1">
        <v>20774.68</v>
      </c>
      <c r="AN5547" s="1">
        <v>20774.68</v>
      </c>
      <c r="AO5547" s="1">
        <v>20774.68</v>
      </c>
      <c r="AP5547" s="2">
        <v>42746</v>
      </c>
      <c r="AQ5547" t="s">
        <v>72</v>
      </c>
      <c r="AR5547" t="s">
        <v>72</v>
      </c>
      <c r="AS5547">
        <v>3521</v>
      </c>
      <c r="AT5547" s="4">
        <v>42719</v>
      </c>
      <c r="AU5547" t="s">
        <v>73</v>
      </c>
      <c r="AV5547">
        <v>3521</v>
      </c>
      <c r="AW5547" s="4">
        <v>42719</v>
      </c>
      <c r="BD5547" s="1">
        <v>3746.25</v>
      </c>
      <c r="BN5547" t="s">
        <v>74</v>
      </c>
    </row>
    <row r="5548" spans="1:66">
      <c r="A5548">
        <v>102845</v>
      </c>
      <c r="B5548" s="3" t="s">
        <v>567</v>
      </c>
      <c r="C5548" s="1">
        <v>43300101</v>
      </c>
      <c r="D5548" t="s">
        <v>67</v>
      </c>
      <c r="H5548" t="str">
        <f t="shared" si="583"/>
        <v>02098650712</v>
      </c>
      <c r="I5548" t="str">
        <f t="shared" si="583"/>
        <v>02098650712</v>
      </c>
      <c r="K5548" t="str">
        <f>""</f>
        <v/>
      </c>
      <c r="M5548" t="s">
        <v>68</v>
      </c>
      <c r="N5548" t="str">
        <f t="shared" si="584"/>
        <v>FOR</v>
      </c>
      <c r="O5548" t="s">
        <v>69</v>
      </c>
      <c r="P5548" s="3" t="s">
        <v>75</v>
      </c>
      <c r="Q5548">
        <v>2016</v>
      </c>
      <c r="R5548" s="2">
        <v>42460</v>
      </c>
      <c r="S5548" s="2">
        <v>42492</v>
      </c>
      <c r="T5548" s="2">
        <v>42489</v>
      </c>
      <c r="U5548" s="2">
        <v>42549</v>
      </c>
      <c r="V5548" t="s">
        <v>71</v>
      </c>
      <c r="W5548" t="str">
        <f>"             F000074"</f>
        <v xml:space="preserve">             F000074</v>
      </c>
      <c r="X5548" s="1">
        <v>19899.43</v>
      </c>
      <c r="Y5548">
        <v>0</v>
      </c>
      <c r="Z5548" s="5">
        <v>16311.01</v>
      </c>
      <c r="AA5548">
        <v>175</v>
      </c>
      <c r="AB5548" s="5">
        <v>2854426.75</v>
      </c>
      <c r="AC5548" s="1">
        <v>16311.01</v>
      </c>
      <c r="AD5548">
        <v>175</v>
      </c>
      <c r="AE5548" s="1">
        <v>2854426.75</v>
      </c>
      <c r="AF5548" s="1">
        <v>3588.42</v>
      </c>
      <c r="AJ5548">
        <v>0</v>
      </c>
      <c r="AK5548">
        <v>0</v>
      </c>
      <c r="AL5548">
        <v>0</v>
      </c>
      <c r="AM5548" s="1">
        <v>19899.43</v>
      </c>
      <c r="AN5548" s="1">
        <v>19899.43</v>
      </c>
      <c r="AO5548" s="1">
        <v>19899.43</v>
      </c>
      <c r="AP5548" s="2">
        <v>42746</v>
      </c>
      <c r="AQ5548" t="s">
        <v>72</v>
      </c>
      <c r="AR5548" t="s">
        <v>72</v>
      </c>
      <c r="AS5548">
        <v>3642</v>
      </c>
      <c r="AT5548" s="4">
        <v>42724</v>
      </c>
      <c r="AU5548" t="s">
        <v>73</v>
      </c>
      <c r="AV5548">
        <v>3642</v>
      </c>
      <c r="AW5548" s="4">
        <v>42724</v>
      </c>
      <c r="BD5548" s="1">
        <v>3588.42</v>
      </c>
      <c r="BN5548" t="s">
        <v>74</v>
      </c>
    </row>
    <row r="5549" spans="1:66" hidden="1">
      <c r="A5549">
        <v>102885</v>
      </c>
      <c r="B5549" s="3" t="s">
        <v>568</v>
      </c>
      <c r="C5549" s="1">
        <v>43300101</v>
      </c>
      <c r="D5549" t="s">
        <v>67</v>
      </c>
      <c r="H5549" t="str">
        <f t="shared" ref="H5549:I5572" si="585">"00488410010"</f>
        <v>00488410010</v>
      </c>
      <c r="I5549" t="str">
        <f t="shared" si="585"/>
        <v>00488410010</v>
      </c>
      <c r="K5549" t="str">
        <f>""</f>
        <v/>
      </c>
      <c r="M5549" t="s">
        <v>68</v>
      </c>
      <c r="N5549" t="str">
        <f t="shared" si="584"/>
        <v>FOR</v>
      </c>
      <c r="O5549" t="s">
        <v>69</v>
      </c>
      <c r="P5549" s="3" t="s">
        <v>75</v>
      </c>
      <c r="Q5549">
        <v>2015</v>
      </c>
      <c r="R5549" s="2">
        <v>42345</v>
      </c>
      <c r="S5549" s="2">
        <v>42359</v>
      </c>
      <c r="T5549" s="2">
        <v>42359</v>
      </c>
      <c r="U5549" s="2">
        <v>42419</v>
      </c>
      <c r="V5549" t="s">
        <v>71</v>
      </c>
      <c r="W5549" t="str">
        <f>"          8A01172207"</f>
        <v xml:space="preserve">          8A01172207</v>
      </c>
      <c r="X5549">
        <v>4.4400000000000004</v>
      </c>
      <c r="Y5549">
        <v>-0.44</v>
      </c>
      <c r="Z5549"/>
      <c r="AB5549"/>
      <c r="AC5549">
        <v>4</v>
      </c>
      <c r="AD5549">
        <v>-9</v>
      </c>
      <c r="AE5549">
        <v>-36</v>
      </c>
      <c r="AF5549">
        <v>0</v>
      </c>
      <c r="AJ5549">
        <v>0</v>
      </c>
      <c r="AK5549">
        <v>0</v>
      </c>
      <c r="AL5549">
        <v>0</v>
      </c>
      <c r="AM5549">
        <v>0</v>
      </c>
      <c r="AN5549">
        <v>0</v>
      </c>
      <c r="AO5549">
        <v>0</v>
      </c>
      <c r="AP5549" s="2">
        <v>42746</v>
      </c>
      <c r="AQ5549" t="s">
        <v>72</v>
      </c>
      <c r="AR5549" t="s">
        <v>72</v>
      </c>
      <c r="AS5549">
        <v>339</v>
      </c>
      <c r="AT5549" s="4">
        <v>42410</v>
      </c>
      <c r="AV5549">
        <v>339</v>
      </c>
      <c r="AW5549" s="4">
        <v>42410</v>
      </c>
      <c r="BD5549">
        <v>0</v>
      </c>
      <c r="BN5549" t="s">
        <v>74</v>
      </c>
    </row>
    <row r="5550" spans="1:66" hidden="1">
      <c r="A5550">
        <v>102885</v>
      </c>
      <c r="B5550" s="3" t="s">
        <v>568</v>
      </c>
      <c r="C5550" s="1">
        <v>43300101</v>
      </c>
      <c r="D5550" t="s">
        <v>67</v>
      </c>
      <c r="H5550" t="str">
        <f t="shared" si="585"/>
        <v>00488410010</v>
      </c>
      <c r="I5550" t="str">
        <f t="shared" si="585"/>
        <v>00488410010</v>
      </c>
      <c r="K5550" t="str">
        <f>""</f>
        <v/>
      </c>
      <c r="M5550" t="s">
        <v>68</v>
      </c>
      <c r="N5550" t="str">
        <f t="shared" si="584"/>
        <v>FOR</v>
      </c>
      <c r="O5550" t="s">
        <v>69</v>
      </c>
      <c r="P5550" s="3" t="s">
        <v>75</v>
      </c>
      <c r="Q5550">
        <v>2015</v>
      </c>
      <c r="R5550" s="2">
        <v>42345</v>
      </c>
      <c r="S5550" s="2">
        <v>42359</v>
      </c>
      <c r="T5550" s="2">
        <v>42359</v>
      </c>
      <c r="U5550" s="2">
        <v>42419</v>
      </c>
      <c r="V5550" t="s">
        <v>71</v>
      </c>
      <c r="W5550" t="str">
        <f>"          8T00918271"</f>
        <v xml:space="preserve">          8T00918271</v>
      </c>
      <c r="X5550">
        <v>53.44</v>
      </c>
      <c r="Y5550">
        <v>-9.64</v>
      </c>
      <c r="Z5550"/>
      <c r="AB5550"/>
      <c r="AC5550">
        <v>43.8</v>
      </c>
      <c r="AD5550">
        <v>-9</v>
      </c>
      <c r="AE5550">
        <v>-394.2</v>
      </c>
      <c r="AF5550">
        <v>0</v>
      </c>
      <c r="AJ5550">
        <v>0</v>
      </c>
      <c r="AK5550">
        <v>0</v>
      </c>
      <c r="AL5550">
        <v>0</v>
      </c>
      <c r="AM5550">
        <v>0</v>
      </c>
      <c r="AN5550">
        <v>0</v>
      </c>
      <c r="AO5550">
        <v>0</v>
      </c>
      <c r="AP5550" s="2">
        <v>42746</v>
      </c>
      <c r="AQ5550" t="s">
        <v>72</v>
      </c>
      <c r="AR5550" t="s">
        <v>72</v>
      </c>
      <c r="AS5550">
        <v>339</v>
      </c>
      <c r="AT5550" s="4">
        <v>42410</v>
      </c>
      <c r="AV5550">
        <v>339</v>
      </c>
      <c r="AW5550" s="4">
        <v>42410</v>
      </c>
      <c r="BD5550">
        <v>0</v>
      </c>
      <c r="BN5550" t="s">
        <v>74</v>
      </c>
    </row>
    <row r="5551" spans="1:66" hidden="1">
      <c r="A5551">
        <v>102885</v>
      </c>
      <c r="B5551" s="3" t="s">
        <v>568</v>
      </c>
      <c r="C5551" s="1">
        <v>43300101</v>
      </c>
      <c r="D5551" t="s">
        <v>67</v>
      </c>
      <c r="H5551" t="str">
        <f t="shared" si="585"/>
        <v>00488410010</v>
      </c>
      <c r="I5551" t="str">
        <f t="shared" si="585"/>
        <v>00488410010</v>
      </c>
      <c r="K5551" t="str">
        <f>""</f>
        <v/>
      </c>
      <c r="M5551" t="s">
        <v>68</v>
      </c>
      <c r="N5551" t="str">
        <f t="shared" si="584"/>
        <v>FOR</v>
      </c>
      <c r="O5551" t="s">
        <v>69</v>
      </c>
      <c r="P5551" s="3" t="s">
        <v>75</v>
      </c>
      <c r="Q5551">
        <v>2015</v>
      </c>
      <c r="R5551" s="2">
        <v>42345</v>
      </c>
      <c r="S5551" s="2">
        <v>42359</v>
      </c>
      <c r="T5551" s="2">
        <v>42359</v>
      </c>
      <c r="U5551" s="2">
        <v>42419</v>
      </c>
      <c r="V5551" t="s">
        <v>71</v>
      </c>
      <c r="W5551" t="str">
        <f>"          8T00918508"</f>
        <v xml:space="preserve">          8T00918508</v>
      </c>
      <c r="X5551">
        <v>52.43</v>
      </c>
      <c r="Y5551">
        <v>-9.4600000000000009</v>
      </c>
      <c r="Z5551"/>
      <c r="AB5551"/>
      <c r="AC5551">
        <v>42.97</v>
      </c>
      <c r="AD5551">
        <v>-9</v>
      </c>
      <c r="AE5551">
        <v>-386.73</v>
      </c>
      <c r="AF5551">
        <v>0</v>
      </c>
      <c r="AJ5551">
        <v>0</v>
      </c>
      <c r="AK5551">
        <v>0</v>
      </c>
      <c r="AL5551">
        <v>0</v>
      </c>
      <c r="AM5551">
        <v>0</v>
      </c>
      <c r="AN5551">
        <v>0</v>
      </c>
      <c r="AO5551">
        <v>0</v>
      </c>
      <c r="AP5551" s="2">
        <v>42746</v>
      </c>
      <c r="AQ5551" t="s">
        <v>72</v>
      </c>
      <c r="AR5551" t="s">
        <v>72</v>
      </c>
      <c r="AS5551">
        <v>339</v>
      </c>
      <c r="AT5551" s="4">
        <v>42410</v>
      </c>
      <c r="AV5551">
        <v>339</v>
      </c>
      <c r="AW5551" s="4">
        <v>42410</v>
      </c>
      <c r="BD5551">
        <v>0</v>
      </c>
      <c r="BN5551" t="s">
        <v>74</v>
      </c>
    </row>
    <row r="5552" spans="1:66" hidden="1">
      <c r="A5552">
        <v>102885</v>
      </c>
      <c r="B5552" s="3" t="s">
        <v>568</v>
      </c>
      <c r="C5552" s="1">
        <v>43300101</v>
      </c>
      <c r="D5552" t="s">
        <v>67</v>
      </c>
      <c r="H5552" t="str">
        <f t="shared" si="585"/>
        <v>00488410010</v>
      </c>
      <c r="I5552" t="str">
        <f t="shared" si="585"/>
        <v>00488410010</v>
      </c>
      <c r="K5552" t="str">
        <f>""</f>
        <v/>
      </c>
      <c r="M5552" t="s">
        <v>68</v>
      </c>
      <c r="N5552" t="str">
        <f t="shared" si="584"/>
        <v>FOR</v>
      </c>
      <c r="O5552" t="s">
        <v>69</v>
      </c>
      <c r="P5552" s="3" t="s">
        <v>75</v>
      </c>
      <c r="Q5552">
        <v>2015</v>
      </c>
      <c r="R5552" s="2">
        <v>42345</v>
      </c>
      <c r="S5552" s="2">
        <v>42359</v>
      </c>
      <c r="T5552" s="2">
        <v>42359</v>
      </c>
      <c r="U5552" s="2">
        <v>42419</v>
      </c>
      <c r="V5552" t="s">
        <v>71</v>
      </c>
      <c r="W5552" t="str">
        <f>"          8T00919054"</f>
        <v xml:space="preserve">          8T00919054</v>
      </c>
      <c r="X5552">
        <v>177.81</v>
      </c>
      <c r="Y5552">
        <v>-32.07</v>
      </c>
      <c r="Z5552"/>
      <c r="AB5552"/>
      <c r="AC5552">
        <v>145.74</v>
      </c>
      <c r="AD5552">
        <v>-9</v>
      </c>
      <c r="AE5552" s="1">
        <v>-1311.66</v>
      </c>
      <c r="AF5552">
        <v>0</v>
      </c>
      <c r="AJ5552">
        <v>0</v>
      </c>
      <c r="AK5552">
        <v>0</v>
      </c>
      <c r="AL5552">
        <v>0</v>
      </c>
      <c r="AM5552">
        <v>0</v>
      </c>
      <c r="AN5552">
        <v>0</v>
      </c>
      <c r="AO5552">
        <v>0</v>
      </c>
      <c r="AP5552" s="2">
        <v>42746</v>
      </c>
      <c r="AQ5552" t="s">
        <v>72</v>
      </c>
      <c r="AR5552" t="s">
        <v>72</v>
      </c>
      <c r="AS5552">
        <v>339</v>
      </c>
      <c r="AT5552" s="4">
        <v>42410</v>
      </c>
      <c r="AV5552">
        <v>339</v>
      </c>
      <c r="AW5552" s="4">
        <v>42410</v>
      </c>
      <c r="BD5552">
        <v>0</v>
      </c>
      <c r="BN5552" t="s">
        <v>74</v>
      </c>
    </row>
    <row r="5553" spans="1:66" hidden="1">
      <c r="A5553">
        <v>102885</v>
      </c>
      <c r="B5553" s="3" t="s">
        <v>568</v>
      </c>
      <c r="C5553" s="1">
        <v>43300101</v>
      </c>
      <c r="D5553" t="s">
        <v>67</v>
      </c>
      <c r="H5553" t="str">
        <f t="shared" si="585"/>
        <v>00488410010</v>
      </c>
      <c r="I5553" t="str">
        <f t="shared" si="585"/>
        <v>00488410010</v>
      </c>
      <c r="K5553" t="str">
        <f>""</f>
        <v/>
      </c>
      <c r="M5553" t="s">
        <v>68</v>
      </c>
      <c r="N5553" t="str">
        <f t="shared" si="584"/>
        <v>FOR</v>
      </c>
      <c r="O5553" t="s">
        <v>69</v>
      </c>
      <c r="P5553" s="3" t="s">
        <v>75</v>
      </c>
      <c r="Q5553">
        <v>2015</v>
      </c>
      <c r="R5553" s="2">
        <v>42345</v>
      </c>
      <c r="S5553" s="2">
        <v>42359</v>
      </c>
      <c r="T5553" s="2">
        <v>42359</v>
      </c>
      <c r="U5553" s="2">
        <v>42419</v>
      </c>
      <c r="V5553" t="s">
        <v>71</v>
      </c>
      <c r="W5553" t="str">
        <f>"          8T00920165"</f>
        <v xml:space="preserve">          8T00920165</v>
      </c>
      <c r="X5553">
        <v>127.37</v>
      </c>
      <c r="Y5553">
        <v>-22.97</v>
      </c>
      <c r="Z5553"/>
      <c r="AB5553"/>
      <c r="AC5553">
        <v>104.4</v>
      </c>
      <c r="AD5553">
        <v>-9</v>
      </c>
      <c r="AE5553">
        <v>-939.6</v>
      </c>
      <c r="AF5553">
        <v>0</v>
      </c>
      <c r="AJ5553">
        <v>0</v>
      </c>
      <c r="AK5553">
        <v>0</v>
      </c>
      <c r="AL5553">
        <v>0</v>
      </c>
      <c r="AM5553">
        <v>0</v>
      </c>
      <c r="AN5553">
        <v>0</v>
      </c>
      <c r="AO5553">
        <v>0</v>
      </c>
      <c r="AP5553" s="2">
        <v>42746</v>
      </c>
      <c r="AQ5553" t="s">
        <v>72</v>
      </c>
      <c r="AR5553" t="s">
        <v>72</v>
      </c>
      <c r="AS5553">
        <v>339</v>
      </c>
      <c r="AT5553" s="4">
        <v>42410</v>
      </c>
      <c r="AV5553">
        <v>339</v>
      </c>
      <c r="AW5553" s="4">
        <v>42410</v>
      </c>
      <c r="BD5553">
        <v>0</v>
      </c>
      <c r="BN5553" t="s">
        <v>74</v>
      </c>
    </row>
    <row r="5554" spans="1:66" hidden="1">
      <c r="A5554">
        <v>102885</v>
      </c>
      <c r="B5554" s="3" t="s">
        <v>568</v>
      </c>
      <c r="C5554" s="1">
        <v>43300101</v>
      </c>
      <c r="D5554" t="s">
        <v>67</v>
      </c>
      <c r="H5554" t="str">
        <f t="shared" si="585"/>
        <v>00488410010</v>
      </c>
      <c r="I5554" t="str">
        <f t="shared" si="585"/>
        <v>00488410010</v>
      </c>
      <c r="K5554" t="str">
        <f>""</f>
        <v/>
      </c>
      <c r="M5554" t="s">
        <v>68</v>
      </c>
      <c r="N5554" t="str">
        <f t="shared" si="584"/>
        <v>FOR</v>
      </c>
      <c r="O5554" t="s">
        <v>69</v>
      </c>
      <c r="P5554" s="3" t="s">
        <v>75</v>
      </c>
      <c r="Q5554">
        <v>2015</v>
      </c>
      <c r="R5554" s="2">
        <v>42345</v>
      </c>
      <c r="S5554" s="2">
        <v>42359</v>
      </c>
      <c r="T5554" s="2">
        <v>42359</v>
      </c>
      <c r="U5554" s="2">
        <v>42419</v>
      </c>
      <c r="V5554" t="s">
        <v>71</v>
      </c>
      <c r="W5554" t="str">
        <f>"          8T00920424"</f>
        <v xml:space="preserve">          8T00920424</v>
      </c>
      <c r="X5554" s="1">
        <v>1586.62</v>
      </c>
      <c r="Y5554">
        <v>-286.11</v>
      </c>
      <c r="Z5554"/>
      <c r="AB5554"/>
      <c r="AC5554" s="1">
        <v>1300.51</v>
      </c>
      <c r="AD5554">
        <v>-9</v>
      </c>
      <c r="AE5554" s="1">
        <v>-11704.59</v>
      </c>
      <c r="AF5554">
        <v>0</v>
      </c>
      <c r="AJ5554">
        <v>0</v>
      </c>
      <c r="AK5554">
        <v>0</v>
      </c>
      <c r="AL5554">
        <v>0</v>
      </c>
      <c r="AM5554">
        <v>0</v>
      </c>
      <c r="AN5554">
        <v>0</v>
      </c>
      <c r="AO5554">
        <v>0</v>
      </c>
      <c r="AP5554" s="2">
        <v>42746</v>
      </c>
      <c r="AQ5554" t="s">
        <v>72</v>
      </c>
      <c r="AR5554" t="s">
        <v>72</v>
      </c>
      <c r="AS5554">
        <v>339</v>
      </c>
      <c r="AT5554" s="4">
        <v>42410</v>
      </c>
      <c r="AV5554">
        <v>339</v>
      </c>
      <c r="AW5554" s="4">
        <v>42410</v>
      </c>
      <c r="BD5554">
        <v>0</v>
      </c>
      <c r="BN5554" t="s">
        <v>74</v>
      </c>
    </row>
    <row r="5555" spans="1:66" hidden="1">
      <c r="A5555">
        <v>102885</v>
      </c>
      <c r="B5555" s="3" t="s">
        <v>568</v>
      </c>
      <c r="C5555" s="1">
        <v>43300101</v>
      </c>
      <c r="D5555" t="s">
        <v>67</v>
      </c>
      <c r="H5555" t="str">
        <f t="shared" si="585"/>
        <v>00488410010</v>
      </c>
      <c r="I5555" t="str">
        <f t="shared" si="585"/>
        <v>00488410010</v>
      </c>
      <c r="K5555" t="str">
        <f>""</f>
        <v/>
      </c>
      <c r="M5555" t="s">
        <v>68</v>
      </c>
      <c r="N5555" t="str">
        <f t="shared" si="584"/>
        <v>FOR</v>
      </c>
      <c r="O5555" t="s">
        <v>69</v>
      </c>
      <c r="P5555" s="3" t="s">
        <v>75</v>
      </c>
      <c r="Q5555">
        <v>2015</v>
      </c>
      <c r="R5555" s="2">
        <v>42345</v>
      </c>
      <c r="S5555" s="2">
        <v>42359</v>
      </c>
      <c r="T5555" s="2">
        <v>42359</v>
      </c>
      <c r="U5555" s="2">
        <v>42419</v>
      </c>
      <c r="V5555" t="s">
        <v>71</v>
      </c>
      <c r="W5555" t="str">
        <f>"          8T00920998"</f>
        <v xml:space="preserve">          8T00920998</v>
      </c>
      <c r="X5555">
        <v>655.27</v>
      </c>
      <c r="Y5555">
        <v>-118.16</v>
      </c>
      <c r="Z5555"/>
      <c r="AB5555"/>
      <c r="AC5555">
        <v>537.11</v>
      </c>
      <c r="AD5555">
        <v>-9</v>
      </c>
      <c r="AE5555" s="1">
        <v>-4833.99</v>
      </c>
      <c r="AF5555">
        <v>0</v>
      </c>
      <c r="AJ5555">
        <v>0</v>
      </c>
      <c r="AK5555">
        <v>0</v>
      </c>
      <c r="AL5555">
        <v>0</v>
      </c>
      <c r="AM5555">
        <v>0</v>
      </c>
      <c r="AN5555">
        <v>0</v>
      </c>
      <c r="AO5555">
        <v>0</v>
      </c>
      <c r="AP5555" s="2">
        <v>42746</v>
      </c>
      <c r="AQ5555" t="s">
        <v>72</v>
      </c>
      <c r="AR5555" t="s">
        <v>72</v>
      </c>
      <c r="AS5555">
        <v>339</v>
      </c>
      <c r="AT5555" s="4">
        <v>42410</v>
      </c>
      <c r="AV5555">
        <v>339</v>
      </c>
      <c r="AW5555" s="4">
        <v>42410</v>
      </c>
      <c r="BD5555">
        <v>0</v>
      </c>
      <c r="BN5555" t="s">
        <v>74</v>
      </c>
    </row>
    <row r="5556" spans="1:66" hidden="1">
      <c r="A5556">
        <v>102885</v>
      </c>
      <c r="B5556" s="3" t="s">
        <v>568</v>
      </c>
      <c r="C5556" s="1">
        <v>43300101</v>
      </c>
      <c r="D5556" t="s">
        <v>67</v>
      </c>
      <c r="H5556" t="str">
        <f t="shared" si="585"/>
        <v>00488410010</v>
      </c>
      <c r="I5556" t="str">
        <f t="shared" si="585"/>
        <v>00488410010</v>
      </c>
      <c r="K5556" t="str">
        <f>""</f>
        <v/>
      </c>
      <c r="M5556" t="s">
        <v>68</v>
      </c>
      <c r="N5556" t="str">
        <f t="shared" si="584"/>
        <v>FOR</v>
      </c>
      <c r="O5556" t="s">
        <v>69</v>
      </c>
      <c r="P5556" s="3" t="s">
        <v>75</v>
      </c>
      <c r="Q5556">
        <v>2015</v>
      </c>
      <c r="R5556" s="2">
        <v>42345</v>
      </c>
      <c r="S5556" s="2">
        <v>42359</v>
      </c>
      <c r="T5556" s="2">
        <v>42359</v>
      </c>
      <c r="U5556" s="2">
        <v>42419</v>
      </c>
      <c r="V5556" t="s">
        <v>71</v>
      </c>
      <c r="W5556" t="str">
        <f>"          8T00921078"</f>
        <v xml:space="preserve">          8T00921078</v>
      </c>
      <c r="X5556">
        <v>52.42</v>
      </c>
      <c r="Y5556">
        <v>-9.4499999999999993</v>
      </c>
      <c r="Z5556"/>
      <c r="AB5556"/>
      <c r="AC5556">
        <v>42.97</v>
      </c>
      <c r="AD5556">
        <v>-9</v>
      </c>
      <c r="AE5556">
        <v>-386.73</v>
      </c>
      <c r="AF5556">
        <v>0</v>
      </c>
      <c r="AJ5556">
        <v>0</v>
      </c>
      <c r="AK5556">
        <v>0</v>
      </c>
      <c r="AL5556">
        <v>0</v>
      </c>
      <c r="AM5556">
        <v>0</v>
      </c>
      <c r="AN5556">
        <v>0</v>
      </c>
      <c r="AO5556">
        <v>0</v>
      </c>
      <c r="AP5556" s="2">
        <v>42746</v>
      </c>
      <c r="AQ5556" t="s">
        <v>72</v>
      </c>
      <c r="AR5556" t="s">
        <v>72</v>
      </c>
      <c r="AS5556">
        <v>339</v>
      </c>
      <c r="AT5556" s="4">
        <v>42410</v>
      </c>
      <c r="AV5556">
        <v>339</v>
      </c>
      <c r="AW5556" s="4">
        <v>42410</v>
      </c>
      <c r="BD5556">
        <v>0</v>
      </c>
      <c r="BN5556" t="s">
        <v>74</v>
      </c>
    </row>
    <row r="5557" spans="1:66" hidden="1">
      <c r="A5557">
        <v>102885</v>
      </c>
      <c r="B5557" s="3" t="s">
        <v>568</v>
      </c>
      <c r="C5557" s="1">
        <v>43300101</v>
      </c>
      <c r="D5557" t="s">
        <v>67</v>
      </c>
      <c r="H5557" t="str">
        <f t="shared" si="585"/>
        <v>00488410010</v>
      </c>
      <c r="I5557" t="str">
        <f t="shared" si="585"/>
        <v>00488410010</v>
      </c>
      <c r="K5557" t="str">
        <f>""</f>
        <v/>
      </c>
      <c r="M5557" t="s">
        <v>68</v>
      </c>
      <c r="N5557" t="str">
        <f t="shared" si="584"/>
        <v>FOR</v>
      </c>
      <c r="O5557" t="s">
        <v>69</v>
      </c>
      <c r="P5557" s="3" t="s">
        <v>75</v>
      </c>
      <c r="Q5557">
        <v>2015</v>
      </c>
      <c r="R5557" s="2">
        <v>42345</v>
      </c>
      <c r="S5557" s="2">
        <v>42359</v>
      </c>
      <c r="T5557" s="2">
        <v>42359</v>
      </c>
      <c r="U5557" s="2">
        <v>42419</v>
      </c>
      <c r="V5557" t="s">
        <v>71</v>
      </c>
      <c r="W5557" t="str">
        <f>"          8T00921419"</f>
        <v xml:space="preserve">          8T00921419</v>
      </c>
      <c r="X5557">
        <v>52.43</v>
      </c>
      <c r="Y5557">
        <v>-9.4600000000000009</v>
      </c>
      <c r="Z5557"/>
      <c r="AB5557"/>
      <c r="AC5557">
        <v>42.97</v>
      </c>
      <c r="AD5557">
        <v>-9</v>
      </c>
      <c r="AE5557">
        <v>-386.73</v>
      </c>
      <c r="AF5557">
        <v>0</v>
      </c>
      <c r="AJ5557">
        <v>0</v>
      </c>
      <c r="AK5557">
        <v>0</v>
      </c>
      <c r="AL5557">
        <v>0</v>
      </c>
      <c r="AM5557">
        <v>0</v>
      </c>
      <c r="AN5557">
        <v>0</v>
      </c>
      <c r="AO5557">
        <v>0</v>
      </c>
      <c r="AP5557" s="2">
        <v>42746</v>
      </c>
      <c r="AQ5557" t="s">
        <v>72</v>
      </c>
      <c r="AR5557" t="s">
        <v>72</v>
      </c>
      <c r="AS5557">
        <v>339</v>
      </c>
      <c r="AT5557" s="4">
        <v>42410</v>
      </c>
      <c r="AV5557">
        <v>339</v>
      </c>
      <c r="AW5557" s="4">
        <v>42410</v>
      </c>
      <c r="BD5557">
        <v>0</v>
      </c>
      <c r="BN5557" t="s">
        <v>74</v>
      </c>
    </row>
    <row r="5558" spans="1:66" hidden="1">
      <c r="A5558">
        <v>102885</v>
      </c>
      <c r="B5558" s="3" t="s">
        <v>568</v>
      </c>
      <c r="C5558" s="1">
        <v>43300101</v>
      </c>
      <c r="D5558" t="s">
        <v>67</v>
      </c>
      <c r="H5558" t="str">
        <f t="shared" si="585"/>
        <v>00488410010</v>
      </c>
      <c r="I5558" t="str">
        <f t="shared" si="585"/>
        <v>00488410010</v>
      </c>
      <c r="K5558" t="str">
        <f>""</f>
        <v/>
      </c>
      <c r="M5558" t="s">
        <v>68</v>
      </c>
      <c r="N5558" t="str">
        <f t="shared" si="584"/>
        <v>FOR</v>
      </c>
      <c r="O5558" t="s">
        <v>69</v>
      </c>
      <c r="P5558" s="3" t="s">
        <v>75</v>
      </c>
      <c r="Q5558">
        <v>2015</v>
      </c>
      <c r="R5558" s="2">
        <v>42345</v>
      </c>
      <c r="S5558" s="2">
        <v>42359</v>
      </c>
      <c r="T5558" s="2">
        <v>42359</v>
      </c>
      <c r="U5558" s="2">
        <v>42419</v>
      </c>
      <c r="V5558" t="s">
        <v>71</v>
      </c>
      <c r="W5558" t="str">
        <f>"          8T00922456"</f>
        <v xml:space="preserve">          8T00922456</v>
      </c>
      <c r="X5558" s="1">
        <v>1365.16</v>
      </c>
      <c r="Y5558">
        <v>-246.18</v>
      </c>
      <c r="Z5558"/>
      <c r="AB5558"/>
      <c r="AC5558" s="1">
        <v>1118.98</v>
      </c>
      <c r="AD5558">
        <v>-9</v>
      </c>
      <c r="AE5558" s="1">
        <v>-10070.82</v>
      </c>
      <c r="AF5558">
        <v>0</v>
      </c>
      <c r="AJ5558">
        <v>0</v>
      </c>
      <c r="AK5558">
        <v>0</v>
      </c>
      <c r="AL5558">
        <v>0</v>
      </c>
      <c r="AM5558">
        <v>0</v>
      </c>
      <c r="AN5558">
        <v>0</v>
      </c>
      <c r="AO5558">
        <v>0</v>
      </c>
      <c r="AP5558" s="2">
        <v>42746</v>
      </c>
      <c r="AQ5558" t="s">
        <v>72</v>
      </c>
      <c r="AR5558" t="s">
        <v>72</v>
      </c>
      <c r="AS5558">
        <v>339</v>
      </c>
      <c r="AT5558" s="4">
        <v>42410</v>
      </c>
      <c r="AV5558">
        <v>339</v>
      </c>
      <c r="AW5558" s="4">
        <v>42410</v>
      </c>
      <c r="BD5558">
        <v>0</v>
      </c>
      <c r="BN5558" t="s">
        <v>74</v>
      </c>
    </row>
    <row r="5559" spans="1:66" hidden="1">
      <c r="A5559">
        <v>102885</v>
      </c>
      <c r="B5559" s="3" t="s">
        <v>568</v>
      </c>
      <c r="C5559" s="1">
        <v>43300101</v>
      </c>
      <c r="D5559" t="s">
        <v>67</v>
      </c>
      <c r="H5559" t="str">
        <f t="shared" si="585"/>
        <v>00488410010</v>
      </c>
      <c r="I5559" t="str">
        <f t="shared" si="585"/>
        <v>00488410010</v>
      </c>
      <c r="K5559" t="str">
        <f>""</f>
        <v/>
      </c>
      <c r="M5559" t="s">
        <v>68</v>
      </c>
      <c r="N5559" t="str">
        <f t="shared" si="584"/>
        <v>FOR</v>
      </c>
      <c r="O5559" t="s">
        <v>69</v>
      </c>
      <c r="P5559" s="3" t="s">
        <v>75</v>
      </c>
      <c r="Q5559">
        <v>2015</v>
      </c>
      <c r="R5559" s="2">
        <v>42345</v>
      </c>
      <c r="S5559" s="2">
        <v>42368</v>
      </c>
      <c r="T5559" s="2">
        <v>42361</v>
      </c>
      <c r="U5559" s="2">
        <v>42421</v>
      </c>
      <c r="V5559" t="s">
        <v>71</v>
      </c>
      <c r="W5559" t="str">
        <f>"     220816800024756"</f>
        <v xml:space="preserve">     220816800024756</v>
      </c>
      <c r="X5559" s="1">
        <v>11184.43</v>
      </c>
      <c r="Y5559" s="1">
        <v>-2016.87</v>
      </c>
      <c r="Z5559"/>
      <c r="AB5559"/>
      <c r="AC5559" s="1">
        <v>9167.56</v>
      </c>
      <c r="AD5559">
        <v>-11</v>
      </c>
      <c r="AE5559" s="1">
        <v>-100843.16</v>
      </c>
      <c r="AF5559">
        <v>0</v>
      </c>
      <c r="AJ5559">
        <v>0</v>
      </c>
      <c r="AK5559">
        <v>0</v>
      </c>
      <c r="AL5559">
        <v>0</v>
      </c>
      <c r="AM5559">
        <v>0</v>
      </c>
      <c r="AN5559">
        <v>0</v>
      </c>
      <c r="AO5559">
        <v>0</v>
      </c>
      <c r="AP5559" s="2">
        <v>42746</v>
      </c>
      <c r="AQ5559" t="s">
        <v>72</v>
      </c>
      <c r="AR5559" t="s">
        <v>72</v>
      </c>
      <c r="AS5559">
        <v>339</v>
      </c>
      <c r="AT5559" s="4">
        <v>42410</v>
      </c>
      <c r="AV5559">
        <v>339</v>
      </c>
      <c r="AW5559" s="4">
        <v>42410</v>
      </c>
      <c r="BD5559">
        <v>0</v>
      </c>
      <c r="BN5559" t="s">
        <v>74</v>
      </c>
    </row>
    <row r="5560" spans="1:66" hidden="1">
      <c r="A5560">
        <v>102885</v>
      </c>
      <c r="B5560" s="3" t="s">
        <v>568</v>
      </c>
      <c r="C5560" s="1">
        <v>43300101</v>
      </c>
      <c r="D5560" t="s">
        <v>67</v>
      </c>
      <c r="H5560" t="str">
        <f t="shared" si="585"/>
        <v>00488410010</v>
      </c>
      <c r="I5560" t="str">
        <f t="shared" si="585"/>
        <v>00488410010</v>
      </c>
      <c r="K5560" t="str">
        <f>""</f>
        <v/>
      </c>
      <c r="M5560" t="s">
        <v>68</v>
      </c>
      <c r="N5560" t="str">
        <f t="shared" si="584"/>
        <v>FOR</v>
      </c>
      <c r="O5560" t="s">
        <v>69</v>
      </c>
      <c r="P5560" s="3" t="s">
        <v>75</v>
      </c>
      <c r="Q5560">
        <v>2015</v>
      </c>
      <c r="R5560" s="2">
        <v>42314</v>
      </c>
      <c r="S5560" s="2">
        <v>42320</v>
      </c>
      <c r="T5560" s="2">
        <v>42318</v>
      </c>
      <c r="U5560" s="2">
        <v>42378</v>
      </c>
      <c r="V5560" t="s">
        <v>71</v>
      </c>
      <c r="W5560" t="str">
        <f>"     820151114000077"</f>
        <v xml:space="preserve">     820151114000077</v>
      </c>
      <c r="X5560">
        <v>55.5</v>
      </c>
      <c r="Y5560">
        <v>0</v>
      </c>
      <c r="Z5560"/>
      <c r="AB5560"/>
      <c r="AC5560">
        <v>46.04</v>
      </c>
      <c r="AD5560">
        <v>37</v>
      </c>
      <c r="AE5560" s="1">
        <v>1703.48</v>
      </c>
      <c r="AF5560">
        <v>0</v>
      </c>
      <c r="AJ5560">
        <v>0</v>
      </c>
      <c r="AK5560">
        <v>0</v>
      </c>
      <c r="AL5560">
        <v>0</v>
      </c>
      <c r="AM5560">
        <v>0</v>
      </c>
      <c r="AN5560">
        <v>0</v>
      </c>
      <c r="AO5560">
        <v>0</v>
      </c>
      <c r="AP5560" s="2">
        <v>42746</v>
      </c>
      <c r="AQ5560" t="s">
        <v>72</v>
      </c>
      <c r="AR5560" t="s">
        <v>72</v>
      </c>
      <c r="AS5560">
        <v>343</v>
      </c>
      <c r="AT5560" s="4">
        <v>42415</v>
      </c>
      <c r="AU5560" t="s">
        <v>73</v>
      </c>
      <c r="AV5560">
        <v>343</v>
      </c>
      <c r="AW5560" s="4">
        <v>42415</v>
      </c>
      <c r="BD5560">
        <v>0</v>
      </c>
      <c r="BN5560" t="s">
        <v>74</v>
      </c>
    </row>
    <row r="5561" spans="1:66" hidden="1">
      <c r="A5561">
        <v>102885</v>
      </c>
      <c r="B5561" s="3" t="s">
        <v>568</v>
      </c>
      <c r="C5561" s="1">
        <v>43300101</v>
      </c>
      <c r="D5561" t="s">
        <v>67</v>
      </c>
      <c r="H5561" t="str">
        <f t="shared" si="585"/>
        <v>00488410010</v>
      </c>
      <c r="I5561" t="str">
        <f t="shared" si="585"/>
        <v>00488410010</v>
      </c>
      <c r="K5561" t="str">
        <f>""</f>
        <v/>
      </c>
      <c r="M5561" t="s">
        <v>68</v>
      </c>
      <c r="N5561" t="str">
        <f t="shared" si="584"/>
        <v>FOR</v>
      </c>
      <c r="O5561" t="s">
        <v>69</v>
      </c>
      <c r="P5561" s="3" t="s">
        <v>75</v>
      </c>
      <c r="Q5561">
        <v>2015</v>
      </c>
      <c r="R5561" s="2">
        <v>42314</v>
      </c>
      <c r="S5561" s="2">
        <v>42320</v>
      </c>
      <c r="T5561" s="2">
        <v>42318</v>
      </c>
      <c r="U5561" s="2">
        <v>42378</v>
      </c>
      <c r="V5561" t="s">
        <v>71</v>
      </c>
      <c r="W5561" t="str">
        <f>"     820151114000079"</f>
        <v xml:space="preserve">     820151114000079</v>
      </c>
      <c r="X5561">
        <v>131.5</v>
      </c>
      <c r="Y5561">
        <v>0</v>
      </c>
      <c r="Z5561"/>
      <c r="AB5561"/>
      <c r="AC5561">
        <v>108.53</v>
      </c>
      <c r="AD5561">
        <v>37</v>
      </c>
      <c r="AE5561" s="1">
        <v>4015.61</v>
      </c>
      <c r="AF5561">
        <v>0</v>
      </c>
      <c r="AJ5561">
        <v>0</v>
      </c>
      <c r="AK5561">
        <v>0</v>
      </c>
      <c r="AL5561">
        <v>0</v>
      </c>
      <c r="AM5561">
        <v>0</v>
      </c>
      <c r="AN5561">
        <v>0</v>
      </c>
      <c r="AO5561">
        <v>0</v>
      </c>
      <c r="AP5561" s="2">
        <v>42746</v>
      </c>
      <c r="AQ5561" t="s">
        <v>72</v>
      </c>
      <c r="AR5561" t="s">
        <v>72</v>
      </c>
      <c r="AS5561">
        <v>343</v>
      </c>
      <c r="AT5561" s="4">
        <v>42415</v>
      </c>
      <c r="AU5561" t="s">
        <v>73</v>
      </c>
      <c r="AV5561">
        <v>343</v>
      </c>
      <c r="AW5561" s="4">
        <v>42415</v>
      </c>
      <c r="BD5561">
        <v>0</v>
      </c>
      <c r="BN5561" t="s">
        <v>74</v>
      </c>
    </row>
    <row r="5562" spans="1:66" hidden="1">
      <c r="A5562">
        <v>102885</v>
      </c>
      <c r="B5562" s="3" t="s">
        <v>568</v>
      </c>
      <c r="C5562" s="1">
        <v>43300101</v>
      </c>
      <c r="D5562" t="s">
        <v>67</v>
      </c>
      <c r="H5562" t="str">
        <f t="shared" si="585"/>
        <v>00488410010</v>
      </c>
      <c r="I5562" t="str">
        <f t="shared" si="585"/>
        <v>00488410010</v>
      </c>
      <c r="K5562" t="str">
        <f>""</f>
        <v/>
      </c>
      <c r="M5562" t="s">
        <v>68</v>
      </c>
      <c r="N5562" t="str">
        <f t="shared" si="584"/>
        <v>FOR</v>
      </c>
      <c r="O5562" t="s">
        <v>69</v>
      </c>
      <c r="P5562" s="3" t="s">
        <v>75</v>
      </c>
      <c r="Q5562">
        <v>2016</v>
      </c>
      <c r="R5562" s="2">
        <v>42466</v>
      </c>
      <c r="S5562" s="2">
        <v>42479</v>
      </c>
      <c r="T5562" s="2">
        <v>42479</v>
      </c>
      <c r="U5562" s="2">
        <v>42539</v>
      </c>
      <c r="V5562" t="s">
        <v>71</v>
      </c>
      <c r="W5562" t="str">
        <f>"          8A00296264"</f>
        <v xml:space="preserve">          8A00296264</v>
      </c>
      <c r="X5562">
        <v>4.4400000000000004</v>
      </c>
      <c r="Y5562">
        <v>-0.44</v>
      </c>
      <c r="Z5562"/>
      <c r="AB5562"/>
      <c r="AC5562">
        <v>4</v>
      </c>
      <c r="AD5562">
        <v>39</v>
      </c>
      <c r="AE5562">
        <v>156</v>
      </c>
      <c r="AF5562">
        <v>0</v>
      </c>
      <c r="AJ5562">
        <v>0</v>
      </c>
      <c r="AK5562">
        <v>0</v>
      </c>
      <c r="AL5562">
        <v>0</v>
      </c>
      <c r="AM5562">
        <v>4</v>
      </c>
      <c r="AN5562">
        <v>4</v>
      </c>
      <c r="AO5562">
        <v>4</v>
      </c>
      <c r="AP5562" s="2">
        <v>42746</v>
      </c>
      <c r="AQ5562" t="s">
        <v>72</v>
      </c>
      <c r="AR5562" t="s">
        <v>72</v>
      </c>
      <c r="AS5562">
        <v>1992</v>
      </c>
      <c r="AT5562" s="4">
        <v>42578</v>
      </c>
      <c r="AU5562" t="s">
        <v>73</v>
      </c>
      <c r="AV5562">
        <v>1992</v>
      </c>
      <c r="AW5562" s="4">
        <v>42578</v>
      </c>
      <c r="BD5562">
        <v>0</v>
      </c>
      <c r="BN5562" t="s">
        <v>74</v>
      </c>
    </row>
    <row r="5563" spans="1:66">
      <c r="A5563">
        <v>102885</v>
      </c>
      <c r="B5563" s="3" t="s">
        <v>568</v>
      </c>
      <c r="C5563" s="1">
        <v>43300101</v>
      </c>
      <c r="D5563" t="s">
        <v>67</v>
      </c>
      <c r="H5563" t="str">
        <f t="shared" si="585"/>
        <v>00488410010</v>
      </c>
      <c r="I5563" t="str">
        <f t="shared" si="585"/>
        <v>00488410010</v>
      </c>
      <c r="K5563" t="str">
        <f>""</f>
        <v/>
      </c>
      <c r="M5563" t="s">
        <v>68</v>
      </c>
      <c r="N5563" t="str">
        <f t="shared" si="584"/>
        <v>FOR</v>
      </c>
      <c r="O5563" t="s">
        <v>69</v>
      </c>
      <c r="P5563" s="3" t="s">
        <v>75</v>
      </c>
      <c r="Q5563">
        <v>2016</v>
      </c>
      <c r="R5563" s="2">
        <v>42587</v>
      </c>
      <c r="S5563" s="2">
        <v>42600</v>
      </c>
      <c r="T5563" s="2">
        <v>42600</v>
      </c>
      <c r="U5563" s="2">
        <v>42660</v>
      </c>
      <c r="V5563" t="s">
        <v>71</v>
      </c>
      <c r="W5563" t="str">
        <f>"          8A00690434"</f>
        <v xml:space="preserve">          8A00690434</v>
      </c>
      <c r="X5563">
        <v>4.4400000000000004</v>
      </c>
      <c r="Y5563">
        <v>-0.44</v>
      </c>
      <c r="Z5563" s="3">
        <v>4</v>
      </c>
      <c r="AA5563">
        <v>-13</v>
      </c>
      <c r="AB5563" s="3">
        <v>-52</v>
      </c>
      <c r="AC5563">
        <v>4</v>
      </c>
      <c r="AD5563">
        <v>-13</v>
      </c>
      <c r="AE5563">
        <v>-52</v>
      </c>
      <c r="AF5563">
        <v>0</v>
      </c>
      <c r="AJ5563">
        <v>0</v>
      </c>
      <c r="AK5563">
        <v>0</v>
      </c>
      <c r="AL5563">
        <v>0</v>
      </c>
      <c r="AM5563">
        <v>4</v>
      </c>
      <c r="AN5563">
        <v>4</v>
      </c>
      <c r="AO5563">
        <v>4</v>
      </c>
      <c r="AP5563" s="2">
        <v>42746</v>
      </c>
      <c r="AQ5563" t="s">
        <v>72</v>
      </c>
      <c r="AR5563" t="s">
        <v>72</v>
      </c>
      <c r="AS5563">
        <v>2645</v>
      </c>
      <c r="AT5563" s="4">
        <v>42647</v>
      </c>
      <c r="AV5563">
        <v>2645</v>
      </c>
      <c r="AW5563" s="4">
        <v>42647</v>
      </c>
      <c r="BD5563">
        <v>0</v>
      </c>
      <c r="BN5563" t="s">
        <v>74</v>
      </c>
    </row>
    <row r="5564" spans="1:66">
      <c r="A5564">
        <v>102885</v>
      </c>
      <c r="B5564" s="3" t="s">
        <v>568</v>
      </c>
      <c r="C5564" s="1">
        <v>43300101</v>
      </c>
      <c r="D5564" t="s">
        <v>67</v>
      </c>
      <c r="H5564" t="str">
        <f t="shared" si="585"/>
        <v>00488410010</v>
      </c>
      <c r="I5564" t="str">
        <f t="shared" si="585"/>
        <v>00488410010</v>
      </c>
      <c r="K5564" t="str">
        <f>""</f>
        <v/>
      </c>
      <c r="M5564" t="s">
        <v>68</v>
      </c>
      <c r="N5564" t="str">
        <f t="shared" si="584"/>
        <v>FOR</v>
      </c>
      <c r="O5564" t="s">
        <v>69</v>
      </c>
      <c r="P5564" s="3" t="s">
        <v>75</v>
      </c>
      <c r="Q5564">
        <v>2016</v>
      </c>
      <c r="R5564" s="2">
        <v>42649</v>
      </c>
      <c r="S5564" s="2">
        <v>42662</v>
      </c>
      <c r="T5564" s="2">
        <v>42662</v>
      </c>
      <c r="U5564" s="2">
        <v>42722</v>
      </c>
      <c r="V5564" t="s">
        <v>71</v>
      </c>
      <c r="W5564" t="str">
        <f>"          8A00880695"</f>
        <v xml:space="preserve">          8A00880695</v>
      </c>
      <c r="X5564">
        <v>2.57</v>
      </c>
      <c r="Y5564">
        <v>-0.44</v>
      </c>
      <c r="Z5564" s="3">
        <v>2.13</v>
      </c>
      <c r="AA5564">
        <v>-34</v>
      </c>
      <c r="AB5564" s="3">
        <v>-72.42</v>
      </c>
      <c r="AC5564">
        <v>2.13</v>
      </c>
      <c r="AD5564">
        <v>-34</v>
      </c>
      <c r="AE5564">
        <v>-72.42</v>
      </c>
      <c r="AF5564">
        <v>0</v>
      </c>
      <c r="AJ5564">
        <v>2.13</v>
      </c>
      <c r="AK5564">
        <v>2.13</v>
      </c>
      <c r="AL5564">
        <v>2.13</v>
      </c>
      <c r="AM5564">
        <v>2.13</v>
      </c>
      <c r="AN5564">
        <v>2.13</v>
      </c>
      <c r="AO5564">
        <v>2.13</v>
      </c>
      <c r="AP5564" s="2">
        <v>42746</v>
      </c>
      <c r="AQ5564" t="s">
        <v>72</v>
      </c>
      <c r="AR5564" t="s">
        <v>72</v>
      </c>
      <c r="AS5564">
        <v>3075</v>
      </c>
      <c r="AT5564" s="4">
        <v>42688</v>
      </c>
      <c r="AV5564">
        <v>3075</v>
      </c>
      <c r="AW5564" s="4">
        <v>42688</v>
      </c>
      <c r="BD5564">
        <v>0</v>
      </c>
      <c r="BN5564" t="s">
        <v>74</v>
      </c>
    </row>
    <row r="5565" spans="1:66" hidden="1">
      <c r="A5565">
        <v>102885</v>
      </c>
      <c r="B5565" s="3" t="s">
        <v>568</v>
      </c>
      <c r="C5565" s="1">
        <v>43300101</v>
      </c>
      <c r="D5565" t="s">
        <v>67</v>
      </c>
      <c r="H5565" t="str">
        <f t="shared" si="585"/>
        <v>00488410010</v>
      </c>
      <c r="I5565" t="str">
        <f t="shared" si="585"/>
        <v>00488410010</v>
      </c>
      <c r="K5565" t="str">
        <f>""</f>
        <v/>
      </c>
      <c r="M5565" t="s">
        <v>68</v>
      </c>
      <c r="N5565" t="str">
        <f t="shared" si="584"/>
        <v>FOR</v>
      </c>
      <c r="O5565" t="s">
        <v>69</v>
      </c>
      <c r="P5565" s="3" t="s">
        <v>182</v>
      </c>
      <c r="Q5565">
        <v>2016</v>
      </c>
      <c r="R5565" s="2">
        <v>42405</v>
      </c>
      <c r="S5565" s="2">
        <v>42419</v>
      </c>
      <c r="T5565" s="2">
        <v>42417</v>
      </c>
      <c r="U5565" s="2">
        <v>42477</v>
      </c>
      <c r="V5565" t="s">
        <v>71</v>
      </c>
      <c r="W5565" t="str">
        <f>"     220816800001980"</f>
        <v xml:space="preserve">     220816800001980</v>
      </c>
      <c r="X5565" s="1">
        <v>14691.09</v>
      </c>
      <c r="Y5565" s="1">
        <v>-2686.47</v>
      </c>
      <c r="Z5565"/>
      <c r="AB5565"/>
      <c r="AC5565" s="1">
        <v>12004.62</v>
      </c>
      <c r="AD5565">
        <v>10</v>
      </c>
      <c r="AE5565" s="1">
        <v>120046.2</v>
      </c>
      <c r="AF5565">
        <v>0</v>
      </c>
      <c r="AJ5565">
        <v>0</v>
      </c>
      <c r="AK5565">
        <v>0</v>
      </c>
      <c r="AL5565">
        <v>0</v>
      </c>
      <c r="AM5565" s="1">
        <v>12004.62</v>
      </c>
      <c r="AN5565" s="1">
        <v>12004.62</v>
      </c>
      <c r="AO5565" s="1">
        <v>12004.62</v>
      </c>
      <c r="AP5565" s="2">
        <v>42746</v>
      </c>
      <c r="AQ5565" t="s">
        <v>72</v>
      </c>
      <c r="AR5565" t="s">
        <v>72</v>
      </c>
      <c r="AS5565">
        <v>1180</v>
      </c>
      <c r="AT5565" s="4">
        <v>42487</v>
      </c>
      <c r="AU5565" t="s">
        <v>73</v>
      </c>
      <c r="AV5565">
        <v>1180</v>
      </c>
      <c r="AW5565" s="4">
        <v>42487</v>
      </c>
      <c r="BD5565">
        <v>0</v>
      </c>
      <c r="BN5565" t="s">
        <v>74</v>
      </c>
    </row>
    <row r="5566" spans="1:66" hidden="1">
      <c r="A5566">
        <v>102885</v>
      </c>
      <c r="B5566" s="3" t="s">
        <v>568</v>
      </c>
      <c r="C5566" s="1">
        <v>43300101</v>
      </c>
      <c r="D5566" t="s">
        <v>67</v>
      </c>
      <c r="H5566" t="str">
        <f t="shared" si="585"/>
        <v>00488410010</v>
      </c>
      <c r="I5566" t="str">
        <f t="shared" si="585"/>
        <v>00488410010</v>
      </c>
      <c r="K5566" t="str">
        <f>""</f>
        <v/>
      </c>
      <c r="M5566" t="s">
        <v>68</v>
      </c>
      <c r="N5566" t="str">
        <f t="shared" si="584"/>
        <v>FOR</v>
      </c>
      <c r="O5566" t="s">
        <v>69</v>
      </c>
      <c r="P5566" s="3" t="s">
        <v>182</v>
      </c>
      <c r="Q5566">
        <v>2016</v>
      </c>
      <c r="R5566" s="2">
        <v>42382</v>
      </c>
      <c r="S5566" s="2">
        <v>42388</v>
      </c>
      <c r="T5566" s="2">
        <v>42384</v>
      </c>
      <c r="U5566" s="2">
        <v>42444</v>
      </c>
      <c r="V5566" t="s">
        <v>71</v>
      </c>
      <c r="W5566" t="str">
        <f>"     820160114000758"</f>
        <v xml:space="preserve">     820160114000758</v>
      </c>
      <c r="X5566" s="1">
        <v>1647.5</v>
      </c>
      <c r="Y5566">
        <v>-286.18</v>
      </c>
      <c r="Z5566"/>
      <c r="AB5566"/>
      <c r="AC5566" s="1">
        <v>1361.32</v>
      </c>
      <c r="AD5566">
        <v>-29</v>
      </c>
      <c r="AE5566" s="1">
        <v>-39478.28</v>
      </c>
      <c r="AF5566">
        <v>0</v>
      </c>
      <c r="AJ5566">
        <v>0</v>
      </c>
      <c r="AK5566">
        <v>0</v>
      </c>
      <c r="AL5566">
        <v>0</v>
      </c>
      <c r="AM5566">
        <v>-286.18</v>
      </c>
      <c r="AN5566" s="1">
        <v>1361.32</v>
      </c>
      <c r="AO5566" s="1">
        <v>1361.32</v>
      </c>
      <c r="AP5566" s="2">
        <v>42746</v>
      </c>
      <c r="AQ5566" t="s">
        <v>72</v>
      </c>
      <c r="AR5566" t="s">
        <v>72</v>
      </c>
      <c r="AS5566">
        <v>343</v>
      </c>
      <c r="AT5566" s="4">
        <v>42415</v>
      </c>
      <c r="AV5566">
        <v>343</v>
      </c>
      <c r="AW5566" s="4">
        <v>42415</v>
      </c>
      <c r="BD5566">
        <v>0</v>
      </c>
      <c r="BN5566" t="s">
        <v>74</v>
      </c>
    </row>
    <row r="5567" spans="1:66" hidden="1">
      <c r="A5567">
        <v>102885</v>
      </c>
      <c r="B5567" s="3" t="s">
        <v>568</v>
      </c>
      <c r="C5567" s="1">
        <v>43300101</v>
      </c>
      <c r="D5567" t="s">
        <v>67</v>
      </c>
      <c r="H5567" t="str">
        <f t="shared" si="585"/>
        <v>00488410010</v>
      </c>
      <c r="I5567" t="str">
        <f t="shared" si="585"/>
        <v>00488410010</v>
      </c>
      <c r="K5567" t="str">
        <f>""</f>
        <v/>
      </c>
      <c r="M5567" t="s">
        <v>68</v>
      </c>
      <c r="N5567" t="str">
        <f t="shared" si="584"/>
        <v>FOR</v>
      </c>
      <c r="O5567" t="s">
        <v>69</v>
      </c>
      <c r="P5567" s="3" t="s">
        <v>75</v>
      </c>
      <c r="Q5567">
        <v>2016</v>
      </c>
      <c r="R5567" s="2">
        <v>42466</v>
      </c>
      <c r="S5567" s="2">
        <v>42479</v>
      </c>
      <c r="T5567" s="2">
        <v>42479</v>
      </c>
      <c r="U5567" s="2">
        <v>42539</v>
      </c>
      <c r="V5567" t="s">
        <v>71</v>
      </c>
      <c r="W5567" t="str">
        <f>"    4220816800005901"</f>
        <v xml:space="preserve">    4220816800005901</v>
      </c>
      <c r="X5567" s="1">
        <v>15308.12</v>
      </c>
      <c r="Y5567" s="1">
        <v>-2759.17</v>
      </c>
      <c r="Z5567"/>
      <c r="AB5567"/>
      <c r="AC5567" s="1">
        <v>12548.95</v>
      </c>
      <c r="AD5567">
        <v>39</v>
      </c>
      <c r="AE5567" s="1">
        <v>489409.05</v>
      </c>
      <c r="AF5567">
        <v>0</v>
      </c>
      <c r="AJ5567">
        <v>0</v>
      </c>
      <c r="AK5567">
        <v>0</v>
      </c>
      <c r="AL5567">
        <v>0</v>
      </c>
      <c r="AM5567" s="1">
        <v>12548.95</v>
      </c>
      <c r="AN5567" s="1">
        <v>12548.95</v>
      </c>
      <c r="AO5567" s="1">
        <v>12548.95</v>
      </c>
      <c r="AP5567" s="2">
        <v>42746</v>
      </c>
      <c r="AQ5567" t="s">
        <v>72</v>
      </c>
      <c r="AR5567" t="s">
        <v>72</v>
      </c>
      <c r="AS5567">
        <v>1992</v>
      </c>
      <c r="AT5567" s="4">
        <v>42578</v>
      </c>
      <c r="AU5567" t="s">
        <v>73</v>
      </c>
      <c r="AV5567">
        <v>1992</v>
      </c>
      <c r="AW5567" s="4">
        <v>42578</v>
      </c>
      <c r="BD5567">
        <v>0</v>
      </c>
      <c r="BN5567" t="s">
        <v>74</v>
      </c>
    </row>
    <row r="5568" spans="1:66">
      <c r="A5568">
        <v>102885</v>
      </c>
      <c r="B5568" s="3" t="s">
        <v>568</v>
      </c>
      <c r="C5568" s="1">
        <v>43300101</v>
      </c>
      <c r="D5568" t="s">
        <v>67</v>
      </c>
      <c r="H5568" t="str">
        <f t="shared" si="585"/>
        <v>00488410010</v>
      </c>
      <c r="I5568" t="str">
        <f t="shared" si="585"/>
        <v>00488410010</v>
      </c>
      <c r="K5568" t="str">
        <f>""</f>
        <v/>
      </c>
      <c r="M5568" t="s">
        <v>68</v>
      </c>
      <c r="N5568" t="str">
        <f t="shared" si="584"/>
        <v>FOR</v>
      </c>
      <c r="O5568" t="s">
        <v>69</v>
      </c>
      <c r="P5568" s="3" t="s">
        <v>75</v>
      </c>
      <c r="Q5568">
        <v>2016</v>
      </c>
      <c r="R5568" s="2">
        <v>42528</v>
      </c>
      <c r="S5568" s="2">
        <v>42541</v>
      </c>
      <c r="T5568" s="2">
        <v>42539</v>
      </c>
      <c r="U5568" s="2">
        <v>42599</v>
      </c>
      <c r="V5568" t="s">
        <v>71</v>
      </c>
      <c r="W5568" t="str">
        <f>"    4220816800009705"</f>
        <v xml:space="preserve">    4220816800009705</v>
      </c>
      <c r="X5568" s="1">
        <v>14643.85</v>
      </c>
      <c r="Y5568" s="1">
        <v>-2638.98</v>
      </c>
      <c r="Z5568" s="5">
        <v>12004.87</v>
      </c>
      <c r="AA5568">
        <v>47</v>
      </c>
      <c r="AB5568" s="5">
        <v>564228.89</v>
      </c>
      <c r="AC5568" s="1">
        <v>12004.87</v>
      </c>
      <c r="AD5568">
        <v>47</v>
      </c>
      <c r="AE5568" s="1">
        <v>564228.89</v>
      </c>
      <c r="AF5568">
        <v>0</v>
      </c>
      <c r="AJ5568">
        <v>0</v>
      </c>
      <c r="AK5568">
        <v>0</v>
      </c>
      <c r="AL5568">
        <v>0</v>
      </c>
      <c r="AM5568" s="1">
        <v>12004.87</v>
      </c>
      <c r="AN5568" s="1">
        <v>12004.87</v>
      </c>
      <c r="AO5568" s="1">
        <v>12004.87</v>
      </c>
      <c r="AP5568" s="2">
        <v>42746</v>
      </c>
      <c r="AQ5568" t="s">
        <v>72</v>
      </c>
      <c r="AR5568" t="s">
        <v>72</v>
      </c>
      <c r="AS5568">
        <v>2551</v>
      </c>
      <c r="AT5568" s="4">
        <v>42646</v>
      </c>
      <c r="AU5568" t="s">
        <v>73</v>
      </c>
      <c r="AV5568">
        <v>2551</v>
      </c>
      <c r="AW5568" s="4">
        <v>42646</v>
      </c>
      <c r="BD5568">
        <v>0</v>
      </c>
      <c r="BN5568" t="s">
        <v>74</v>
      </c>
    </row>
    <row r="5569" spans="1:66">
      <c r="A5569">
        <v>102885</v>
      </c>
      <c r="B5569" s="3" t="s">
        <v>568</v>
      </c>
      <c r="C5569" s="1">
        <v>43300101</v>
      </c>
      <c r="D5569" t="s">
        <v>67</v>
      </c>
      <c r="H5569" t="str">
        <f t="shared" si="585"/>
        <v>00488410010</v>
      </c>
      <c r="I5569" t="str">
        <f t="shared" si="585"/>
        <v>00488410010</v>
      </c>
      <c r="K5569" t="str">
        <f>""</f>
        <v/>
      </c>
      <c r="M5569" t="s">
        <v>68</v>
      </c>
      <c r="N5569" t="str">
        <f t="shared" si="584"/>
        <v>FOR</v>
      </c>
      <c r="O5569" t="s">
        <v>69</v>
      </c>
      <c r="P5569" s="3" t="s">
        <v>75</v>
      </c>
      <c r="Q5569">
        <v>2016</v>
      </c>
      <c r="R5569" s="2">
        <v>42587</v>
      </c>
      <c r="S5569" s="2">
        <v>42600</v>
      </c>
      <c r="T5569" s="2">
        <v>42600</v>
      </c>
      <c r="U5569" s="2">
        <v>42660</v>
      </c>
      <c r="V5569" t="s">
        <v>71</v>
      </c>
      <c r="W5569" t="str">
        <f>"    4220816800014086"</f>
        <v xml:space="preserve">    4220816800014086</v>
      </c>
      <c r="X5569" s="1">
        <v>14426.93</v>
      </c>
      <c r="Y5569" s="1">
        <v>-2600.15</v>
      </c>
      <c r="Z5569" s="5">
        <v>11826.78</v>
      </c>
      <c r="AA5569">
        <v>-13</v>
      </c>
      <c r="AB5569" s="5">
        <v>-153748.14000000001</v>
      </c>
      <c r="AC5569" s="1">
        <v>11826.78</v>
      </c>
      <c r="AD5569">
        <v>-13</v>
      </c>
      <c r="AE5569" s="1">
        <v>-153748.14000000001</v>
      </c>
      <c r="AF5569">
        <v>0</v>
      </c>
      <c r="AJ5569">
        <v>0</v>
      </c>
      <c r="AK5569">
        <v>0</v>
      </c>
      <c r="AL5569">
        <v>0</v>
      </c>
      <c r="AM5569" s="1">
        <v>11826.78</v>
      </c>
      <c r="AN5569" s="1">
        <v>11826.78</v>
      </c>
      <c r="AO5569" s="1">
        <v>11826.78</v>
      </c>
      <c r="AP5569" s="2">
        <v>42746</v>
      </c>
      <c r="AQ5569" t="s">
        <v>72</v>
      </c>
      <c r="AR5569" t="s">
        <v>72</v>
      </c>
      <c r="AS5569">
        <v>2644</v>
      </c>
      <c r="AT5569" s="4">
        <v>42647</v>
      </c>
      <c r="AV5569">
        <v>2644</v>
      </c>
      <c r="AW5569" s="4">
        <v>42647</v>
      </c>
      <c r="BD5569">
        <v>0</v>
      </c>
      <c r="BN5569" t="s">
        <v>74</v>
      </c>
    </row>
    <row r="5570" spans="1:66">
      <c r="A5570">
        <v>102885</v>
      </c>
      <c r="B5570" s="3" t="s">
        <v>568</v>
      </c>
      <c r="C5570" s="1">
        <v>43300101</v>
      </c>
      <c r="D5570" t="s">
        <v>67</v>
      </c>
      <c r="H5570" t="str">
        <f t="shared" si="585"/>
        <v>00488410010</v>
      </c>
      <c r="I5570" t="str">
        <f t="shared" si="585"/>
        <v>00488410010</v>
      </c>
      <c r="K5570" t="str">
        <f>""</f>
        <v/>
      </c>
      <c r="M5570" t="s">
        <v>68</v>
      </c>
      <c r="N5570" t="str">
        <f t="shared" si="584"/>
        <v>FOR</v>
      </c>
      <c r="O5570" t="s">
        <v>69</v>
      </c>
      <c r="P5570" s="3" t="s">
        <v>75</v>
      </c>
      <c r="Q5570">
        <v>2016</v>
      </c>
      <c r="R5570" s="2">
        <v>42649</v>
      </c>
      <c r="S5570" s="2">
        <v>42662</v>
      </c>
      <c r="T5570" s="2">
        <v>42662</v>
      </c>
      <c r="U5570" s="2">
        <v>42722</v>
      </c>
      <c r="V5570" t="s">
        <v>71</v>
      </c>
      <c r="W5570" t="str">
        <f>"    4220816800018285"</f>
        <v xml:space="preserve">    4220816800018285</v>
      </c>
      <c r="X5570" s="1">
        <v>14734.7</v>
      </c>
      <c r="Y5570" s="1">
        <v>-2570.8000000000002</v>
      </c>
      <c r="Z5570" s="5">
        <v>12163.9</v>
      </c>
      <c r="AA5570">
        <v>-34</v>
      </c>
      <c r="AB5570" s="5">
        <v>-413572.6</v>
      </c>
      <c r="AC5570" s="1">
        <v>12163.9</v>
      </c>
      <c r="AD5570">
        <v>-34</v>
      </c>
      <c r="AE5570" s="1">
        <v>-413572.6</v>
      </c>
      <c r="AF5570">
        <v>0</v>
      </c>
      <c r="AJ5570" s="1">
        <v>12163.9</v>
      </c>
      <c r="AK5570" s="1">
        <v>12163.9</v>
      </c>
      <c r="AL5570" s="1">
        <v>12163.9</v>
      </c>
      <c r="AM5570" s="1">
        <v>12163.9</v>
      </c>
      <c r="AN5570" s="1">
        <v>12163.9</v>
      </c>
      <c r="AO5570" s="1">
        <v>12163.9</v>
      </c>
      <c r="AP5570" s="2">
        <v>42746</v>
      </c>
      <c r="AQ5570" t="s">
        <v>72</v>
      </c>
      <c r="AR5570" t="s">
        <v>72</v>
      </c>
      <c r="AS5570">
        <v>3075</v>
      </c>
      <c r="AT5570" s="4">
        <v>42688</v>
      </c>
      <c r="AV5570">
        <v>3075</v>
      </c>
      <c r="AW5570" s="4">
        <v>42688</v>
      </c>
      <c r="BD5570">
        <v>0</v>
      </c>
      <c r="BN5570" t="s">
        <v>74</v>
      </c>
    </row>
    <row r="5571" spans="1:66" hidden="1">
      <c r="A5571">
        <v>102885</v>
      </c>
      <c r="B5571" s="3" t="s">
        <v>568</v>
      </c>
      <c r="C5571" s="1">
        <v>43300101</v>
      </c>
      <c r="D5571" t="s">
        <v>67</v>
      </c>
      <c r="H5571" t="str">
        <f t="shared" si="585"/>
        <v>00488410010</v>
      </c>
      <c r="I5571" t="str">
        <f t="shared" si="585"/>
        <v>00488410010</v>
      </c>
      <c r="K5571" t="str">
        <f>""</f>
        <v/>
      </c>
      <c r="M5571" t="s">
        <v>68</v>
      </c>
      <c r="N5571" t="str">
        <f t="shared" si="584"/>
        <v>FOR</v>
      </c>
      <c r="O5571" t="s">
        <v>69</v>
      </c>
      <c r="P5571" s="3" t="s">
        <v>75</v>
      </c>
      <c r="Q5571">
        <v>2016</v>
      </c>
      <c r="R5571" s="2">
        <v>42453</v>
      </c>
      <c r="S5571" s="2">
        <v>42464</v>
      </c>
      <c r="T5571" s="2">
        <v>42458</v>
      </c>
      <c r="U5571" s="2">
        <v>42518</v>
      </c>
      <c r="V5571" t="s">
        <v>71</v>
      </c>
      <c r="W5571" t="str">
        <f>"    6820160314000625"</f>
        <v xml:space="preserve">    6820160314000625</v>
      </c>
      <c r="X5571" s="1">
        <v>13279</v>
      </c>
      <c r="Y5571" s="1">
        <v>-2278.52</v>
      </c>
      <c r="Z5571"/>
      <c r="AB5571"/>
      <c r="AC5571" s="1">
        <v>11000.48</v>
      </c>
      <c r="AD5571">
        <v>9</v>
      </c>
      <c r="AE5571" s="1">
        <v>99004.32</v>
      </c>
      <c r="AF5571">
        <v>0</v>
      </c>
      <c r="AJ5571">
        <v>0</v>
      </c>
      <c r="AK5571">
        <v>0</v>
      </c>
      <c r="AL5571">
        <v>0</v>
      </c>
      <c r="AM5571" s="1">
        <v>-2278.52</v>
      </c>
      <c r="AN5571" s="1">
        <v>11000.48</v>
      </c>
      <c r="AO5571" s="1">
        <v>11000.48</v>
      </c>
      <c r="AP5571" s="2">
        <v>42746</v>
      </c>
      <c r="AQ5571" t="s">
        <v>72</v>
      </c>
      <c r="AR5571" t="s">
        <v>72</v>
      </c>
      <c r="AS5571">
        <v>1492</v>
      </c>
      <c r="AT5571" s="4">
        <v>42527</v>
      </c>
      <c r="AU5571" t="s">
        <v>73</v>
      </c>
      <c r="AV5571">
        <v>1492</v>
      </c>
      <c r="AW5571" s="4">
        <v>42527</v>
      </c>
      <c r="BD5571">
        <v>0</v>
      </c>
      <c r="BN5571" t="s">
        <v>74</v>
      </c>
    </row>
    <row r="5572" spans="1:66" hidden="1">
      <c r="A5572">
        <v>102885</v>
      </c>
      <c r="B5572" s="3" t="s">
        <v>568</v>
      </c>
      <c r="C5572" s="1">
        <v>43300101</v>
      </c>
      <c r="D5572" t="s">
        <v>67</v>
      </c>
      <c r="H5572" t="str">
        <f t="shared" si="585"/>
        <v>00488410010</v>
      </c>
      <c r="I5572" t="str">
        <f t="shared" si="585"/>
        <v>00488410010</v>
      </c>
      <c r="K5572" t="str">
        <f>""</f>
        <v/>
      </c>
      <c r="M5572" t="s">
        <v>68</v>
      </c>
      <c r="N5572" t="str">
        <f t="shared" si="584"/>
        <v>FOR</v>
      </c>
      <c r="O5572" t="s">
        <v>69</v>
      </c>
      <c r="P5572" s="3" t="s">
        <v>75</v>
      </c>
      <c r="Q5572">
        <v>2016</v>
      </c>
      <c r="R5572" s="2">
        <v>42453</v>
      </c>
      <c r="S5572" s="2">
        <v>42464</v>
      </c>
      <c r="T5572" s="2">
        <v>42458</v>
      </c>
      <c r="U5572" s="2">
        <v>42518</v>
      </c>
      <c r="V5572" t="s">
        <v>71</v>
      </c>
      <c r="W5572" t="str">
        <f>"    6820160314000626"</f>
        <v xml:space="preserve">    6820160314000626</v>
      </c>
      <c r="X5572" s="1">
        <v>1447.5</v>
      </c>
      <c r="Y5572">
        <v>-246.25</v>
      </c>
      <c r="Z5572"/>
      <c r="AB5572"/>
      <c r="AC5572" s="1">
        <v>1201.25</v>
      </c>
      <c r="AD5572">
        <v>9</v>
      </c>
      <c r="AE5572" s="1">
        <v>10811.25</v>
      </c>
      <c r="AF5572">
        <v>0</v>
      </c>
      <c r="AJ5572">
        <v>0</v>
      </c>
      <c r="AK5572">
        <v>0</v>
      </c>
      <c r="AL5572">
        <v>0</v>
      </c>
      <c r="AM5572">
        <v>-246.25</v>
      </c>
      <c r="AN5572" s="1">
        <v>1201.25</v>
      </c>
      <c r="AO5572" s="1">
        <v>1201.25</v>
      </c>
      <c r="AP5572" s="2">
        <v>42746</v>
      </c>
      <c r="AQ5572" t="s">
        <v>72</v>
      </c>
      <c r="AR5572" t="s">
        <v>72</v>
      </c>
      <c r="AS5572">
        <v>1492</v>
      </c>
      <c r="AT5572" s="4">
        <v>42527</v>
      </c>
      <c r="AU5572" t="s">
        <v>73</v>
      </c>
      <c r="AV5572">
        <v>1492</v>
      </c>
      <c r="AW5572" s="4">
        <v>42527</v>
      </c>
      <c r="BD5572">
        <v>0</v>
      </c>
      <c r="BN5572" t="s">
        <v>74</v>
      </c>
    </row>
    <row r="5573" spans="1:66" hidden="1">
      <c r="A5573">
        <v>102916</v>
      </c>
      <c r="B5573" s="3" t="s">
        <v>569</v>
      </c>
      <c r="C5573" s="1">
        <v>43300101</v>
      </c>
      <c r="D5573" t="s">
        <v>67</v>
      </c>
      <c r="H5573" t="str">
        <f t="shared" ref="H5573:I5592" si="586">"05673940630"</f>
        <v>05673940630</v>
      </c>
      <c r="I5573" t="str">
        <f t="shared" si="586"/>
        <v>05673940630</v>
      </c>
      <c r="K5573" t="str">
        <f>""</f>
        <v/>
      </c>
      <c r="M5573" t="s">
        <v>68</v>
      </c>
      <c r="N5573" t="str">
        <f t="shared" si="584"/>
        <v>FOR</v>
      </c>
      <c r="O5573" t="s">
        <v>69</v>
      </c>
      <c r="P5573" s="3" t="s">
        <v>70</v>
      </c>
      <c r="Q5573">
        <v>2009</v>
      </c>
      <c r="R5573" s="2">
        <v>40170</v>
      </c>
      <c r="S5573" s="2">
        <v>42096</v>
      </c>
      <c r="T5573" s="2">
        <v>42096</v>
      </c>
      <c r="U5573" s="2">
        <v>42156</v>
      </c>
      <c r="V5573" t="s">
        <v>71</v>
      </c>
      <c r="W5573" t="str">
        <f>"                 488"</f>
        <v xml:space="preserve">                 488</v>
      </c>
      <c r="X5573" s="1">
        <v>2400</v>
      </c>
      <c r="Y5573">
        <v>0</v>
      </c>
      <c r="Z5573"/>
      <c r="AB5573"/>
      <c r="AC5573" s="1">
        <v>2400</v>
      </c>
      <c r="AD5573">
        <v>421</v>
      </c>
      <c r="AE5573" s="1">
        <v>1010400</v>
      </c>
      <c r="AF5573">
        <v>0</v>
      </c>
      <c r="AJ5573">
        <v>0</v>
      </c>
      <c r="AK5573">
        <v>0</v>
      </c>
      <c r="AL5573">
        <v>0</v>
      </c>
      <c r="AM5573">
        <v>0</v>
      </c>
      <c r="AN5573">
        <v>0</v>
      </c>
      <c r="AO5573">
        <v>0</v>
      </c>
      <c r="AP5573" s="2">
        <v>42746</v>
      </c>
      <c r="AQ5573" t="s">
        <v>72</v>
      </c>
      <c r="AR5573" t="s">
        <v>72</v>
      </c>
      <c r="AS5573">
        <v>1931</v>
      </c>
      <c r="AT5573" s="4">
        <v>42577</v>
      </c>
      <c r="AU5573" t="s">
        <v>73</v>
      </c>
      <c r="AV5573">
        <v>1931</v>
      </c>
      <c r="AW5573" s="4">
        <v>42577</v>
      </c>
      <c r="BD5573">
        <v>0</v>
      </c>
      <c r="BN5573" t="s">
        <v>74</v>
      </c>
    </row>
    <row r="5574" spans="1:66" hidden="1">
      <c r="A5574">
        <v>102916</v>
      </c>
      <c r="B5574" s="3" t="s">
        <v>569</v>
      </c>
      <c r="C5574" s="1">
        <v>43300101</v>
      </c>
      <c r="D5574" t="s">
        <v>67</v>
      </c>
      <c r="H5574" t="str">
        <f t="shared" si="586"/>
        <v>05673940630</v>
      </c>
      <c r="I5574" t="str">
        <f t="shared" si="586"/>
        <v>05673940630</v>
      </c>
      <c r="K5574" t="str">
        <f>""</f>
        <v/>
      </c>
      <c r="M5574" t="s">
        <v>68</v>
      </c>
      <c r="N5574" t="str">
        <f t="shared" si="584"/>
        <v>FOR</v>
      </c>
      <c r="O5574" t="s">
        <v>69</v>
      </c>
      <c r="P5574" s="3" t="s">
        <v>70</v>
      </c>
      <c r="Q5574">
        <v>2009</v>
      </c>
      <c r="R5574" s="2">
        <v>40170</v>
      </c>
      <c r="S5574" s="2">
        <v>42096</v>
      </c>
      <c r="T5574" s="2">
        <v>42096</v>
      </c>
      <c r="U5574" s="2">
        <v>42156</v>
      </c>
      <c r="V5574" t="s">
        <v>71</v>
      </c>
      <c r="W5574" t="str">
        <f>"                 489"</f>
        <v xml:space="preserve">                 489</v>
      </c>
      <c r="X5574" s="1">
        <v>6000</v>
      </c>
      <c r="Y5574">
        <v>0</v>
      </c>
      <c r="Z5574"/>
      <c r="AB5574"/>
      <c r="AC5574" s="1">
        <v>6000</v>
      </c>
      <c r="AD5574">
        <v>421</v>
      </c>
      <c r="AE5574" s="1">
        <v>2526000</v>
      </c>
      <c r="AF5574">
        <v>0</v>
      </c>
      <c r="AJ5574">
        <v>0</v>
      </c>
      <c r="AK5574">
        <v>0</v>
      </c>
      <c r="AL5574">
        <v>0</v>
      </c>
      <c r="AM5574">
        <v>0</v>
      </c>
      <c r="AN5574">
        <v>0</v>
      </c>
      <c r="AO5574">
        <v>0</v>
      </c>
      <c r="AP5574" s="2">
        <v>42746</v>
      </c>
      <c r="AQ5574" t="s">
        <v>72</v>
      </c>
      <c r="AR5574" t="s">
        <v>72</v>
      </c>
      <c r="AS5574">
        <v>1931</v>
      </c>
      <c r="AT5574" s="4">
        <v>42577</v>
      </c>
      <c r="AU5574" t="s">
        <v>73</v>
      </c>
      <c r="AV5574">
        <v>1931</v>
      </c>
      <c r="AW5574" s="4">
        <v>42577</v>
      </c>
      <c r="BD5574">
        <v>0</v>
      </c>
      <c r="BN5574" t="s">
        <v>74</v>
      </c>
    </row>
    <row r="5575" spans="1:66" hidden="1">
      <c r="A5575">
        <v>102916</v>
      </c>
      <c r="B5575" s="3" t="s">
        <v>569</v>
      </c>
      <c r="C5575" s="1">
        <v>43300101</v>
      </c>
      <c r="D5575" t="s">
        <v>67</v>
      </c>
      <c r="H5575" t="str">
        <f t="shared" si="586"/>
        <v>05673940630</v>
      </c>
      <c r="I5575" t="str">
        <f t="shared" si="586"/>
        <v>05673940630</v>
      </c>
      <c r="K5575" t="str">
        <f>""</f>
        <v/>
      </c>
      <c r="M5575" t="s">
        <v>68</v>
      </c>
      <c r="N5575" t="str">
        <f t="shared" si="584"/>
        <v>FOR</v>
      </c>
      <c r="O5575" t="s">
        <v>69</v>
      </c>
      <c r="P5575" s="3" t="s">
        <v>70</v>
      </c>
      <c r="Q5575">
        <v>2010</v>
      </c>
      <c r="R5575" s="2">
        <v>40423</v>
      </c>
      <c r="S5575" s="2">
        <v>42096</v>
      </c>
      <c r="T5575" s="2">
        <v>42096</v>
      </c>
      <c r="U5575" s="2">
        <v>42156</v>
      </c>
      <c r="V5575" t="s">
        <v>71</v>
      </c>
      <c r="W5575" t="str">
        <f>"                 360"</f>
        <v xml:space="preserve">                 360</v>
      </c>
      <c r="X5575" s="1">
        <v>2400</v>
      </c>
      <c r="Y5575">
        <v>0</v>
      </c>
      <c r="Z5575"/>
      <c r="AB5575"/>
      <c r="AC5575" s="1">
        <v>2400</v>
      </c>
      <c r="AD5575">
        <v>421</v>
      </c>
      <c r="AE5575" s="1">
        <v>1010400</v>
      </c>
      <c r="AF5575">
        <v>0</v>
      </c>
      <c r="AJ5575">
        <v>0</v>
      </c>
      <c r="AK5575">
        <v>0</v>
      </c>
      <c r="AL5575">
        <v>0</v>
      </c>
      <c r="AM5575">
        <v>0</v>
      </c>
      <c r="AN5575">
        <v>0</v>
      </c>
      <c r="AO5575">
        <v>0</v>
      </c>
      <c r="AP5575" s="2">
        <v>42746</v>
      </c>
      <c r="AQ5575" t="s">
        <v>72</v>
      </c>
      <c r="AR5575" t="s">
        <v>72</v>
      </c>
      <c r="AS5575">
        <v>1931</v>
      </c>
      <c r="AT5575" s="4">
        <v>42577</v>
      </c>
      <c r="AU5575" t="s">
        <v>73</v>
      </c>
      <c r="AV5575">
        <v>1931</v>
      </c>
      <c r="AW5575" s="4">
        <v>42577</v>
      </c>
      <c r="BD5575">
        <v>0</v>
      </c>
      <c r="BN5575" t="s">
        <v>74</v>
      </c>
    </row>
    <row r="5576" spans="1:66" hidden="1">
      <c r="A5576">
        <v>102916</v>
      </c>
      <c r="B5576" s="3" t="s">
        <v>569</v>
      </c>
      <c r="C5576" s="1">
        <v>43300101</v>
      </c>
      <c r="D5576" t="s">
        <v>67</v>
      </c>
      <c r="H5576" t="str">
        <f t="shared" si="586"/>
        <v>05673940630</v>
      </c>
      <c r="I5576" t="str">
        <f t="shared" si="586"/>
        <v>05673940630</v>
      </c>
      <c r="K5576" t="str">
        <f>""</f>
        <v/>
      </c>
      <c r="M5576" t="s">
        <v>68</v>
      </c>
      <c r="N5576" t="str">
        <f t="shared" si="584"/>
        <v>FOR</v>
      </c>
      <c r="O5576" t="s">
        <v>69</v>
      </c>
      <c r="P5576" s="3" t="s">
        <v>75</v>
      </c>
      <c r="Q5576">
        <v>2015</v>
      </c>
      <c r="R5576" s="2">
        <v>42102</v>
      </c>
      <c r="S5576" s="2">
        <v>42115</v>
      </c>
      <c r="T5576" s="2">
        <v>42110</v>
      </c>
      <c r="U5576" s="2">
        <v>42170</v>
      </c>
      <c r="V5576" t="s">
        <v>71</v>
      </c>
      <c r="W5576" t="str">
        <f>"                   2"</f>
        <v xml:space="preserve">                   2</v>
      </c>
      <c r="X5576" s="1">
        <v>2415.6</v>
      </c>
      <c r="Y5576">
        <v>0</v>
      </c>
      <c r="Z5576"/>
      <c r="AB5576"/>
      <c r="AC5576" s="1">
        <v>1980</v>
      </c>
      <c r="AD5576">
        <v>260</v>
      </c>
      <c r="AE5576" s="1">
        <v>514800</v>
      </c>
      <c r="AF5576">
        <v>0</v>
      </c>
      <c r="AJ5576">
        <v>0</v>
      </c>
      <c r="AK5576">
        <v>0</v>
      </c>
      <c r="AL5576">
        <v>0</v>
      </c>
      <c r="AM5576">
        <v>0</v>
      </c>
      <c r="AN5576">
        <v>0</v>
      </c>
      <c r="AO5576">
        <v>0</v>
      </c>
      <c r="AP5576" s="2">
        <v>42746</v>
      </c>
      <c r="AQ5576" t="s">
        <v>72</v>
      </c>
      <c r="AR5576" t="s">
        <v>72</v>
      </c>
      <c r="AS5576">
        <v>607</v>
      </c>
      <c r="AT5576" s="4">
        <v>42430</v>
      </c>
      <c r="AU5576" t="s">
        <v>73</v>
      </c>
      <c r="AV5576">
        <v>607</v>
      </c>
      <c r="AW5576" s="4">
        <v>42430</v>
      </c>
      <c r="BD5576">
        <v>0</v>
      </c>
      <c r="BN5576" t="s">
        <v>74</v>
      </c>
    </row>
    <row r="5577" spans="1:66" hidden="1">
      <c r="A5577">
        <v>102916</v>
      </c>
      <c r="B5577" s="3" t="s">
        <v>569</v>
      </c>
      <c r="C5577" s="1">
        <v>43300101</v>
      </c>
      <c r="D5577" t="s">
        <v>67</v>
      </c>
      <c r="H5577" t="str">
        <f t="shared" si="586"/>
        <v>05673940630</v>
      </c>
      <c r="I5577" t="str">
        <f t="shared" si="586"/>
        <v>05673940630</v>
      </c>
      <c r="K5577" t="str">
        <f>""</f>
        <v/>
      </c>
      <c r="M5577" t="s">
        <v>68</v>
      </c>
      <c r="N5577" t="str">
        <f t="shared" si="584"/>
        <v>FOR</v>
      </c>
      <c r="O5577" t="s">
        <v>69</v>
      </c>
      <c r="P5577" s="3" t="s">
        <v>70</v>
      </c>
      <c r="Q5577">
        <v>2015</v>
      </c>
      <c r="R5577" s="2">
        <v>42047</v>
      </c>
      <c r="S5577" s="2">
        <v>42055</v>
      </c>
      <c r="T5577" s="2">
        <v>42055</v>
      </c>
      <c r="U5577" s="2">
        <v>42115</v>
      </c>
      <c r="V5577" t="s">
        <v>71</v>
      </c>
      <c r="W5577" t="str">
        <f>"                 123"</f>
        <v xml:space="preserve">                 123</v>
      </c>
      <c r="X5577" s="1">
        <v>2440</v>
      </c>
      <c r="Y5577">
        <v>0</v>
      </c>
      <c r="Z5577"/>
      <c r="AB5577"/>
      <c r="AC5577" s="1">
        <v>2000</v>
      </c>
      <c r="AD5577">
        <v>462</v>
      </c>
      <c r="AE5577" s="1">
        <v>924000</v>
      </c>
      <c r="AF5577">
        <v>0</v>
      </c>
      <c r="AJ5577">
        <v>0</v>
      </c>
      <c r="AK5577">
        <v>0</v>
      </c>
      <c r="AL5577">
        <v>0</v>
      </c>
      <c r="AM5577">
        <v>0</v>
      </c>
      <c r="AN5577">
        <v>0</v>
      </c>
      <c r="AO5577">
        <v>0</v>
      </c>
      <c r="AP5577" s="2">
        <v>42746</v>
      </c>
      <c r="AQ5577" t="s">
        <v>72</v>
      </c>
      <c r="AR5577" t="s">
        <v>72</v>
      </c>
      <c r="AS5577">
        <v>1931</v>
      </c>
      <c r="AT5577" s="4">
        <v>42577</v>
      </c>
      <c r="AU5577" t="s">
        <v>73</v>
      </c>
      <c r="AV5577">
        <v>1931</v>
      </c>
      <c r="AW5577" s="4">
        <v>42577</v>
      </c>
      <c r="BD5577">
        <v>0</v>
      </c>
      <c r="BN5577" t="s">
        <v>74</v>
      </c>
    </row>
    <row r="5578" spans="1:66">
      <c r="A5578">
        <v>102916</v>
      </c>
      <c r="B5578" s="3" t="s">
        <v>569</v>
      </c>
      <c r="C5578" s="1">
        <v>43300101</v>
      </c>
      <c r="D5578" t="s">
        <v>67</v>
      </c>
      <c r="H5578" t="str">
        <f t="shared" si="586"/>
        <v>05673940630</v>
      </c>
      <c r="I5578" t="str">
        <f t="shared" si="586"/>
        <v>05673940630</v>
      </c>
      <c r="K5578" t="str">
        <f>""</f>
        <v/>
      </c>
      <c r="M5578" t="s">
        <v>68</v>
      </c>
      <c r="N5578" t="str">
        <f t="shared" si="584"/>
        <v>FOR</v>
      </c>
      <c r="O5578" t="s">
        <v>69</v>
      </c>
      <c r="P5578" s="3" t="s">
        <v>75</v>
      </c>
      <c r="Q5578">
        <v>2015</v>
      </c>
      <c r="R5578" s="2">
        <v>42159</v>
      </c>
      <c r="S5578" s="2">
        <v>42165</v>
      </c>
      <c r="T5578" s="2">
        <v>42164</v>
      </c>
      <c r="U5578" s="2">
        <v>42224</v>
      </c>
      <c r="V5578" t="s">
        <v>71</v>
      </c>
      <c r="W5578" t="str">
        <f>"                 138"</f>
        <v xml:space="preserve">                 138</v>
      </c>
      <c r="X5578">
        <v>244</v>
      </c>
      <c r="Y5578">
        <v>0</v>
      </c>
      <c r="Z5578" s="3">
        <v>200</v>
      </c>
      <c r="AA5578">
        <v>495</v>
      </c>
      <c r="AB5578" s="5">
        <v>99000</v>
      </c>
      <c r="AC5578">
        <v>200</v>
      </c>
      <c r="AD5578">
        <v>495</v>
      </c>
      <c r="AE5578" s="1">
        <v>99000</v>
      </c>
      <c r="AF5578">
        <v>44</v>
      </c>
      <c r="AJ5578">
        <v>0</v>
      </c>
      <c r="AK5578">
        <v>0</v>
      </c>
      <c r="AL5578">
        <v>0</v>
      </c>
      <c r="AM5578">
        <v>0</v>
      </c>
      <c r="AN5578">
        <v>0</v>
      </c>
      <c r="AO5578">
        <v>0</v>
      </c>
      <c r="AP5578" s="2">
        <v>42746</v>
      </c>
      <c r="AQ5578" t="s">
        <v>72</v>
      </c>
      <c r="AR5578" t="s">
        <v>72</v>
      </c>
      <c r="AS5578">
        <v>3529</v>
      </c>
      <c r="AT5578" s="4">
        <v>42719</v>
      </c>
      <c r="AU5578" t="s">
        <v>73</v>
      </c>
      <c r="AV5578">
        <v>3529</v>
      </c>
      <c r="AW5578" s="4">
        <v>42719</v>
      </c>
      <c r="BD5578">
        <v>44</v>
      </c>
      <c r="BN5578" t="s">
        <v>74</v>
      </c>
    </row>
    <row r="5579" spans="1:66">
      <c r="A5579">
        <v>102916</v>
      </c>
      <c r="B5579" s="3" t="s">
        <v>569</v>
      </c>
      <c r="C5579" s="1">
        <v>43300101</v>
      </c>
      <c r="D5579" t="s">
        <v>67</v>
      </c>
      <c r="H5579" t="str">
        <f t="shared" si="586"/>
        <v>05673940630</v>
      </c>
      <c r="I5579" t="str">
        <f t="shared" si="586"/>
        <v>05673940630</v>
      </c>
      <c r="K5579" t="str">
        <f>""</f>
        <v/>
      </c>
      <c r="M5579" t="s">
        <v>68</v>
      </c>
      <c r="N5579" t="str">
        <f t="shared" si="584"/>
        <v>FOR</v>
      </c>
      <c r="O5579" t="s">
        <v>69</v>
      </c>
      <c r="P5579" s="3" t="s">
        <v>75</v>
      </c>
      <c r="Q5579">
        <v>2015</v>
      </c>
      <c r="R5579" s="2">
        <v>42159</v>
      </c>
      <c r="S5579" s="2">
        <v>42166</v>
      </c>
      <c r="T5579" s="2">
        <v>42164</v>
      </c>
      <c r="U5579" s="2">
        <v>42224</v>
      </c>
      <c r="V5579" t="s">
        <v>71</v>
      </c>
      <c r="W5579" t="str">
        <f>"                 139"</f>
        <v xml:space="preserve">                 139</v>
      </c>
      <c r="X5579" s="1">
        <v>2440</v>
      </c>
      <c r="Y5579">
        <v>0</v>
      </c>
      <c r="Z5579" s="5">
        <v>2000</v>
      </c>
      <c r="AA5579">
        <v>495</v>
      </c>
      <c r="AB5579" s="5">
        <v>990000</v>
      </c>
      <c r="AC5579" s="1">
        <v>2000</v>
      </c>
      <c r="AD5579">
        <v>495</v>
      </c>
      <c r="AE5579" s="1">
        <v>990000</v>
      </c>
      <c r="AF5579">
        <v>440</v>
      </c>
      <c r="AJ5579">
        <v>0</v>
      </c>
      <c r="AK5579">
        <v>0</v>
      </c>
      <c r="AL5579">
        <v>0</v>
      </c>
      <c r="AM5579">
        <v>0</v>
      </c>
      <c r="AN5579">
        <v>0</v>
      </c>
      <c r="AO5579">
        <v>0</v>
      </c>
      <c r="AP5579" s="2">
        <v>42746</v>
      </c>
      <c r="AQ5579" t="s">
        <v>72</v>
      </c>
      <c r="AR5579" t="s">
        <v>72</v>
      </c>
      <c r="AS5579">
        <v>3529</v>
      </c>
      <c r="AT5579" s="4">
        <v>42719</v>
      </c>
      <c r="AU5579" t="s">
        <v>73</v>
      </c>
      <c r="AV5579">
        <v>3529</v>
      </c>
      <c r="AW5579" s="4">
        <v>42719</v>
      </c>
      <c r="BD5579">
        <v>440</v>
      </c>
      <c r="BN5579" t="s">
        <v>74</v>
      </c>
    </row>
    <row r="5580" spans="1:66" hidden="1">
      <c r="A5580">
        <v>102916</v>
      </c>
      <c r="B5580" s="3" t="s">
        <v>569</v>
      </c>
      <c r="C5580" s="1">
        <v>43300101</v>
      </c>
      <c r="D5580" t="s">
        <v>67</v>
      </c>
      <c r="H5580" t="str">
        <f t="shared" si="586"/>
        <v>05673940630</v>
      </c>
      <c r="I5580" t="str">
        <f t="shared" si="586"/>
        <v>05673940630</v>
      </c>
      <c r="K5580" t="str">
        <f>""</f>
        <v/>
      </c>
      <c r="M5580" t="s">
        <v>68</v>
      </c>
      <c r="N5580" t="str">
        <f t="shared" si="584"/>
        <v>FOR</v>
      </c>
      <c r="O5580" t="s">
        <v>69</v>
      </c>
      <c r="P5580" s="3" t="s">
        <v>75</v>
      </c>
      <c r="Q5580">
        <v>2015</v>
      </c>
      <c r="R5580" s="2">
        <v>42159</v>
      </c>
      <c r="S5580" s="2">
        <v>42165</v>
      </c>
      <c r="T5580" s="2">
        <v>42164</v>
      </c>
      <c r="U5580" s="2">
        <v>42224</v>
      </c>
      <c r="V5580" t="s">
        <v>71</v>
      </c>
      <c r="W5580" t="str">
        <f>"                 140"</f>
        <v xml:space="preserve">                 140</v>
      </c>
      <c r="X5580">
        <v>963.8</v>
      </c>
      <c r="Y5580">
        <v>0</v>
      </c>
      <c r="Z5580"/>
      <c r="AB5580"/>
      <c r="AC5580">
        <v>790</v>
      </c>
      <c r="AD5580">
        <v>303</v>
      </c>
      <c r="AE5580" s="1">
        <v>239370</v>
      </c>
      <c r="AF5580">
        <v>0</v>
      </c>
      <c r="AJ5580">
        <v>0</v>
      </c>
      <c r="AK5580">
        <v>0</v>
      </c>
      <c r="AL5580">
        <v>0</v>
      </c>
      <c r="AM5580">
        <v>0</v>
      </c>
      <c r="AN5580">
        <v>0</v>
      </c>
      <c r="AO5580">
        <v>0</v>
      </c>
      <c r="AP5580" s="2">
        <v>42746</v>
      </c>
      <c r="AQ5580" t="s">
        <v>72</v>
      </c>
      <c r="AR5580" t="s">
        <v>72</v>
      </c>
      <c r="AS5580">
        <v>1496</v>
      </c>
      <c r="AT5580" s="4">
        <v>42527</v>
      </c>
      <c r="AU5580" t="s">
        <v>73</v>
      </c>
      <c r="AV5580">
        <v>1496</v>
      </c>
      <c r="AW5580" s="4">
        <v>42527</v>
      </c>
      <c r="BD5580">
        <v>0</v>
      </c>
      <c r="BN5580" t="s">
        <v>74</v>
      </c>
    </row>
    <row r="5581" spans="1:66" hidden="1">
      <c r="A5581">
        <v>102916</v>
      </c>
      <c r="B5581" s="3" t="s">
        <v>569</v>
      </c>
      <c r="C5581" s="1">
        <v>43300101</v>
      </c>
      <c r="D5581" t="s">
        <v>67</v>
      </c>
      <c r="H5581" t="str">
        <f t="shared" si="586"/>
        <v>05673940630</v>
      </c>
      <c r="I5581" t="str">
        <f t="shared" si="586"/>
        <v>05673940630</v>
      </c>
      <c r="K5581" t="str">
        <f>""</f>
        <v/>
      </c>
      <c r="M5581" t="s">
        <v>68</v>
      </c>
      <c r="N5581" t="str">
        <f t="shared" si="584"/>
        <v>FOR</v>
      </c>
      <c r="O5581" t="s">
        <v>69</v>
      </c>
      <c r="P5581" s="3" t="s">
        <v>75</v>
      </c>
      <c r="Q5581">
        <v>2015</v>
      </c>
      <c r="R5581" s="2">
        <v>42159</v>
      </c>
      <c r="S5581" s="2">
        <v>42165</v>
      </c>
      <c r="T5581" s="2">
        <v>42164</v>
      </c>
      <c r="U5581" s="2">
        <v>42224</v>
      </c>
      <c r="V5581" t="s">
        <v>71</v>
      </c>
      <c r="W5581" t="str">
        <f>"                 141"</f>
        <v xml:space="preserve">                 141</v>
      </c>
      <c r="X5581" s="1">
        <v>1207.8</v>
      </c>
      <c r="Y5581">
        <v>0</v>
      </c>
      <c r="Z5581"/>
      <c r="AB5581"/>
      <c r="AC5581">
        <v>990</v>
      </c>
      <c r="AD5581">
        <v>303</v>
      </c>
      <c r="AE5581" s="1">
        <v>299970</v>
      </c>
      <c r="AF5581">
        <v>0</v>
      </c>
      <c r="AJ5581">
        <v>0</v>
      </c>
      <c r="AK5581">
        <v>0</v>
      </c>
      <c r="AL5581">
        <v>0</v>
      </c>
      <c r="AM5581">
        <v>0</v>
      </c>
      <c r="AN5581">
        <v>0</v>
      </c>
      <c r="AO5581">
        <v>0</v>
      </c>
      <c r="AP5581" s="2">
        <v>42746</v>
      </c>
      <c r="AQ5581" t="s">
        <v>72</v>
      </c>
      <c r="AR5581" t="s">
        <v>72</v>
      </c>
      <c r="AS5581">
        <v>1496</v>
      </c>
      <c r="AT5581" s="4">
        <v>42527</v>
      </c>
      <c r="AU5581" t="s">
        <v>73</v>
      </c>
      <c r="AV5581">
        <v>1496</v>
      </c>
      <c r="AW5581" s="4">
        <v>42527</v>
      </c>
      <c r="BD5581">
        <v>0</v>
      </c>
      <c r="BN5581" t="s">
        <v>74</v>
      </c>
    </row>
    <row r="5582" spans="1:66" hidden="1">
      <c r="A5582">
        <v>102916</v>
      </c>
      <c r="B5582" s="3" t="s">
        <v>569</v>
      </c>
      <c r="C5582" s="1">
        <v>43300101</v>
      </c>
      <c r="D5582" t="s">
        <v>67</v>
      </c>
      <c r="H5582" t="str">
        <f t="shared" si="586"/>
        <v>05673940630</v>
      </c>
      <c r="I5582" t="str">
        <f t="shared" si="586"/>
        <v>05673940630</v>
      </c>
      <c r="K5582" t="str">
        <f>""</f>
        <v/>
      </c>
      <c r="M5582" t="s">
        <v>68</v>
      </c>
      <c r="N5582" t="str">
        <f t="shared" si="584"/>
        <v>FOR</v>
      </c>
      <c r="O5582" t="s">
        <v>69</v>
      </c>
      <c r="P5582" s="3" t="s">
        <v>70</v>
      </c>
      <c r="Q5582">
        <v>2015</v>
      </c>
      <c r="R5582" s="2">
        <v>42062</v>
      </c>
      <c r="S5582" s="2">
        <v>42080</v>
      </c>
      <c r="T5582" s="2">
        <v>42080</v>
      </c>
      <c r="U5582" s="2">
        <v>42140</v>
      </c>
      <c r="V5582" t="s">
        <v>71</v>
      </c>
      <c r="W5582" t="str">
        <f>"                 157"</f>
        <v xml:space="preserve">                 157</v>
      </c>
      <c r="X5582" s="1">
        <v>1061.4000000000001</v>
      </c>
      <c r="Y5582">
        <v>0</v>
      </c>
      <c r="Z5582"/>
      <c r="AB5582"/>
      <c r="AC5582">
        <v>870</v>
      </c>
      <c r="AD5582">
        <v>268</v>
      </c>
      <c r="AE5582" s="1">
        <v>233160</v>
      </c>
      <c r="AF5582">
        <v>0</v>
      </c>
      <c r="AJ5582">
        <v>0</v>
      </c>
      <c r="AK5582">
        <v>0</v>
      </c>
      <c r="AL5582">
        <v>0</v>
      </c>
      <c r="AM5582">
        <v>0</v>
      </c>
      <c r="AN5582">
        <v>0</v>
      </c>
      <c r="AO5582">
        <v>0</v>
      </c>
      <c r="AP5582" s="2">
        <v>42746</v>
      </c>
      <c r="AQ5582" t="s">
        <v>72</v>
      </c>
      <c r="AR5582" t="s">
        <v>72</v>
      </c>
      <c r="AS5582">
        <v>327</v>
      </c>
      <c r="AT5582" s="4">
        <v>42408</v>
      </c>
      <c r="AU5582" t="s">
        <v>73</v>
      </c>
      <c r="AV5582">
        <v>327</v>
      </c>
      <c r="AW5582" s="4">
        <v>42408</v>
      </c>
      <c r="BD5582">
        <v>0</v>
      </c>
      <c r="BN5582" t="s">
        <v>74</v>
      </c>
    </row>
    <row r="5583" spans="1:66" hidden="1">
      <c r="A5583">
        <v>102916</v>
      </c>
      <c r="B5583" s="3" t="s">
        <v>569</v>
      </c>
      <c r="C5583" s="1">
        <v>43300101</v>
      </c>
      <c r="D5583" t="s">
        <v>67</v>
      </c>
      <c r="H5583" t="str">
        <f t="shared" si="586"/>
        <v>05673940630</v>
      </c>
      <c r="I5583" t="str">
        <f t="shared" si="586"/>
        <v>05673940630</v>
      </c>
      <c r="K5583" t="str">
        <f>""</f>
        <v/>
      </c>
      <c r="M5583" t="s">
        <v>68</v>
      </c>
      <c r="N5583" t="str">
        <f t="shared" si="584"/>
        <v>FOR</v>
      </c>
      <c r="O5583" t="s">
        <v>69</v>
      </c>
      <c r="P5583" s="3" t="s">
        <v>75</v>
      </c>
      <c r="Q5583">
        <v>2015</v>
      </c>
      <c r="R5583" s="2">
        <v>42179</v>
      </c>
      <c r="S5583" s="2">
        <v>42185</v>
      </c>
      <c r="T5583" s="2">
        <v>42181</v>
      </c>
      <c r="U5583" s="2">
        <v>42241</v>
      </c>
      <c r="V5583" t="s">
        <v>71</v>
      </c>
      <c r="W5583" t="str">
        <f>"                 190"</f>
        <v xml:space="preserve">                 190</v>
      </c>
      <c r="X5583">
        <v>212.28</v>
      </c>
      <c r="Y5583">
        <v>0</v>
      </c>
      <c r="Z5583"/>
      <c r="AB5583"/>
      <c r="AC5583">
        <v>174</v>
      </c>
      <c r="AD5583">
        <v>286</v>
      </c>
      <c r="AE5583" s="1">
        <v>49764</v>
      </c>
      <c r="AF5583">
        <v>0</v>
      </c>
      <c r="AJ5583">
        <v>0</v>
      </c>
      <c r="AK5583">
        <v>0</v>
      </c>
      <c r="AL5583">
        <v>0</v>
      </c>
      <c r="AM5583">
        <v>0</v>
      </c>
      <c r="AN5583">
        <v>0</v>
      </c>
      <c r="AO5583">
        <v>0</v>
      </c>
      <c r="AP5583" s="2">
        <v>42746</v>
      </c>
      <c r="AQ5583" t="s">
        <v>72</v>
      </c>
      <c r="AR5583" t="s">
        <v>72</v>
      </c>
      <c r="AS5583">
        <v>1496</v>
      </c>
      <c r="AT5583" s="4">
        <v>42527</v>
      </c>
      <c r="AU5583" t="s">
        <v>73</v>
      </c>
      <c r="AV5583">
        <v>1496</v>
      </c>
      <c r="AW5583" s="4">
        <v>42527</v>
      </c>
      <c r="BD5583">
        <v>0</v>
      </c>
      <c r="BN5583" t="s">
        <v>74</v>
      </c>
    </row>
    <row r="5584" spans="1:66" hidden="1">
      <c r="A5584">
        <v>102916</v>
      </c>
      <c r="B5584" s="3" t="s">
        <v>569</v>
      </c>
      <c r="C5584" s="1">
        <v>43300101</v>
      </c>
      <c r="D5584" t="s">
        <v>67</v>
      </c>
      <c r="H5584" t="str">
        <f t="shared" si="586"/>
        <v>05673940630</v>
      </c>
      <c r="I5584" t="str">
        <f t="shared" si="586"/>
        <v>05673940630</v>
      </c>
      <c r="K5584" t="str">
        <f>""</f>
        <v/>
      </c>
      <c r="M5584" t="s">
        <v>68</v>
      </c>
      <c r="N5584" t="str">
        <f t="shared" si="584"/>
        <v>FOR</v>
      </c>
      <c r="O5584" t="s">
        <v>69</v>
      </c>
      <c r="P5584" s="3" t="s">
        <v>75</v>
      </c>
      <c r="Q5584">
        <v>2015</v>
      </c>
      <c r="R5584" s="2">
        <v>42179</v>
      </c>
      <c r="S5584" s="2">
        <v>42185</v>
      </c>
      <c r="T5584" s="2">
        <v>42181</v>
      </c>
      <c r="U5584" s="2">
        <v>42241</v>
      </c>
      <c r="V5584" t="s">
        <v>71</v>
      </c>
      <c r="W5584" t="str">
        <f>"                 191"</f>
        <v xml:space="preserve">                 191</v>
      </c>
      <c r="X5584" s="1">
        <v>1207.8</v>
      </c>
      <c r="Y5584">
        <v>0</v>
      </c>
      <c r="Z5584"/>
      <c r="AB5584"/>
      <c r="AC5584">
        <v>990</v>
      </c>
      <c r="AD5584">
        <v>286</v>
      </c>
      <c r="AE5584" s="1">
        <v>283140</v>
      </c>
      <c r="AF5584">
        <v>0</v>
      </c>
      <c r="AJ5584">
        <v>0</v>
      </c>
      <c r="AK5584">
        <v>0</v>
      </c>
      <c r="AL5584">
        <v>0</v>
      </c>
      <c r="AM5584">
        <v>0</v>
      </c>
      <c r="AN5584">
        <v>0</v>
      </c>
      <c r="AO5584">
        <v>0</v>
      </c>
      <c r="AP5584" s="2">
        <v>42746</v>
      </c>
      <c r="AQ5584" t="s">
        <v>72</v>
      </c>
      <c r="AR5584" t="s">
        <v>72</v>
      </c>
      <c r="AS5584">
        <v>1496</v>
      </c>
      <c r="AT5584" s="4">
        <v>42527</v>
      </c>
      <c r="AU5584" t="s">
        <v>73</v>
      </c>
      <c r="AV5584">
        <v>1496</v>
      </c>
      <c r="AW5584" s="4">
        <v>42527</v>
      </c>
      <c r="BD5584">
        <v>0</v>
      </c>
      <c r="BN5584" t="s">
        <v>74</v>
      </c>
    </row>
    <row r="5585" spans="1:66" hidden="1">
      <c r="A5585">
        <v>102916</v>
      </c>
      <c r="B5585" s="3" t="s">
        <v>569</v>
      </c>
      <c r="C5585" s="1">
        <v>43300101</v>
      </c>
      <c r="D5585" t="s">
        <v>67</v>
      </c>
      <c r="H5585" t="str">
        <f t="shared" si="586"/>
        <v>05673940630</v>
      </c>
      <c r="I5585" t="str">
        <f t="shared" si="586"/>
        <v>05673940630</v>
      </c>
      <c r="K5585" t="str">
        <f>""</f>
        <v/>
      </c>
      <c r="M5585" t="s">
        <v>68</v>
      </c>
      <c r="N5585" t="str">
        <f t="shared" si="584"/>
        <v>FOR</v>
      </c>
      <c r="O5585" t="s">
        <v>69</v>
      </c>
      <c r="P5585" s="3" t="s">
        <v>75</v>
      </c>
      <c r="Q5585">
        <v>2015</v>
      </c>
      <c r="R5585" s="2">
        <v>42179</v>
      </c>
      <c r="S5585" s="2">
        <v>42185</v>
      </c>
      <c r="T5585" s="2">
        <v>42181</v>
      </c>
      <c r="U5585" s="2">
        <v>42241</v>
      </c>
      <c r="V5585" t="s">
        <v>71</v>
      </c>
      <c r="W5585" t="str">
        <f>"                 192"</f>
        <v xml:space="preserve">                 192</v>
      </c>
      <c r="X5585">
        <v>963.8</v>
      </c>
      <c r="Y5585">
        <v>0</v>
      </c>
      <c r="Z5585"/>
      <c r="AB5585"/>
      <c r="AC5585">
        <v>790</v>
      </c>
      <c r="AD5585">
        <v>286</v>
      </c>
      <c r="AE5585" s="1">
        <v>225940</v>
      </c>
      <c r="AF5585">
        <v>0</v>
      </c>
      <c r="AJ5585">
        <v>0</v>
      </c>
      <c r="AK5585">
        <v>0</v>
      </c>
      <c r="AL5585">
        <v>0</v>
      </c>
      <c r="AM5585">
        <v>0</v>
      </c>
      <c r="AN5585">
        <v>0</v>
      </c>
      <c r="AO5585">
        <v>0</v>
      </c>
      <c r="AP5585" s="2">
        <v>42746</v>
      </c>
      <c r="AQ5585" t="s">
        <v>72</v>
      </c>
      <c r="AR5585" t="s">
        <v>72</v>
      </c>
      <c r="AS5585">
        <v>1496</v>
      </c>
      <c r="AT5585" s="4">
        <v>42527</v>
      </c>
      <c r="AU5585" t="s">
        <v>73</v>
      </c>
      <c r="AV5585">
        <v>1496</v>
      </c>
      <c r="AW5585" s="4">
        <v>42527</v>
      </c>
      <c r="BD5585">
        <v>0</v>
      </c>
      <c r="BN5585" t="s">
        <v>74</v>
      </c>
    </row>
    <row r="5586" spans="1:66" hidden="1">
      <c r="A5586">
        <v>102916</v>
      </c>
      <c r="B5586" s="3" t="s">
        <v>569</v>
      </c>
      <c r="C5586" s="1">
        <v>43300101</v>
      </c>
      <c r="D5586" t="s">
        <v>67</v>
      </c>
      <c r="H5586" t="str">
        <f t="shared" si="586"/>
        <v>05673940630</v>
      </c>
      <c r="I5586" t="str">
        <f t="shared" si="586"/>
        <v>05673940630</v>
      </c>
      <c r="K5586" t="str">
        <f>""</f>
        <v/>
      </c>
      <c r="M5586" t="s">
        <v>68</v>
      </c>
      <c r="N5586" t="str">
        <f t="shared" si="584"/>
        <v>FOR</v>
      </c>
      <c r="O5586" t="s">
        <v>69</v>
      </c>
      <c r="P5586" s="3" t="s">
        <v>70</v>
      </c>
      <c r="Q5586">
        <v>2015</v>
      </c>
      <c r="R5586" s="2">
        <v>42081</v>
      </c>
      <c r="S5586" s="2">
        <v>42094</v>
      </c>
      <c r="T5586" s="2">
        <v>42094</v>
      </c>
      <c r="U5586" s="2">
        <v>42154</v>
      </c>
      <c r="V5586" t="s">
        <v>71</v>
      </c>
      <c r="W5586" t="str">
        <f>"                 299"</f>
        <v xml:space="preserve">                 299</v>
      </c>
      <c r="X5586">
        <v>963.8</v>
      </c>
      <c r="Y5586">
        <v>0</v>
      </c>
      <c r="Z5586"/>
      <c r="AB5586"/>
      <c r="AC5586">
        <v>790</v>
      </c>
      <c r="AD5586">
        <v>261</v>
      </c>
      <c r="AE5586" s="1">
        <v>206190</v>
      </c>
      <c r="AF5586">
        <v>0</v>
      </c>
      <c r="AJ5586">
        <v>0</v>
      </c>
      <c r="AK5586">
        <v>0</v>
      </c>
      <c r="AL5586">
        <v>0</v>
      </c>
      <c r="AM5586">
        <v>0</v>
      </c>
      <c r="AN5586">
        <v>0</v>
      </c>
      <c r="AO5586">
        <v>0</v>
      </c>
      <c r="AP5586" s="2">
        <v>42746</v>
      </c>
      <c r="AQ5586" t="s">
        <v>72</v>
      </c>
      <c r="AR5586" t="s">
        <v>72</v>
      </c>
      <c r="AS5586">
        <v>345</v>
      </c>
      <c r="AT5586" s="4">
        <v>42415</v>
      </c>
      <c r="AU5586" t="s">
        <v>73</v>
      </c>
      <c r="AV5586">
        <v>345</v>
      </c>
      <c r="AW5586" s="4">
        <v>42415</v>
      </c>
      <c r="BD5586">
        <v>0</v>
      </c>
      <c r="BN5586" t="s">
        <v>74</v>
      </c>
    </row>
    <row r="5587" spans="1:66" hidden="1">
      <c r="A5587">
        <v>102916</v>
      </c>
      <c r="B5587" s="3" t="s">
        <v>569</v>
      </c>
      <c r="C5587" s="1">
        <v>43300101</v>
      </c>
      <c r="D5587" t="s">
        <v>67</v>
      </c>
      <c r="H5587" t="str">
        <f t="shared" si="586"/>
        <v>05673940630</v>
      </c>
      <c r="I5587" t="str">
        <f t="shared" si="586"/>
        <v>05673940630</v>
      </c>
      <c r="K5587" t="str">
        <f>""</f>
        <v/>
      </c>
      <c r="M5587" t="s">
        <v>68</v>
      </c>
      <c r="N5587" t="str">
        <f t="shared" si="584"/>
        <v>FOR</v>
      </c>
      <c r="O5587" t="s">
        <v>69</v>
      </c>
      <c r="P5587" s="3" t="s">
        <v>70</v>
      </c>
      <c r="Q5587">
        <v>2015</v>
      </c>
      <c r="R5587" s="2">
        <v>42081</v>
      </c>
      <c r="S5587" s="2">
        <v>42094</v>
      </c>
      <c r="T5587" s="2">
        <v>42094</v>
      </c>
      <c r="U5587" s="2">
        <v>42154</v>
      </c>
      <c r="V5587" t="s">
        <v>71</v>
      </c>
      <c r="W5587" t="str">
        <f>"                 300"</f>
        <v xml:space="preserve">                 300</v>
      </c>
      <c r="X5587" s="1">
        <v>1063.23</v>
      </c>
      <c r="Y5587">
        <v>0</v>
      </c>
      <c r="Z5587"/>
      <c r="AB5587"/>
      <c r="AC5587">
        <v>871.5</v>
      </c>
      <c r="AD5587">
        <v>261</v>
      </c>
      <c r="AE5587" s="1">
        <v>227461.5</v>
      </c>
      <c r="AF5587">
        <v>0</v>
      </c>
      <c r="AJ5587">
        <v>0</v>
      </c>
      <c r="AK5587">
        <v>0</v>
      </c>
      <c r="AL5587">
        <v>0</v>
      </c>
      <c r="AM5587">
        <v>0</v>
      </c>
      <c r="AN5587">
        <v>0</v>
      </c>
      <c r="AO5587">
        <v>0</v>
      </c>
      <c r="AP5587" s="2">
        <v>42746</v>
      </c>
      <c r="AQ5587" t="s">
        <v>72</v>
      </c>
      <c r="AR5587" t="s">
        <v>72</v>
      </c>
      <c r="AS5587">
        <v>345</v>
      </c>
      <c r="AT5587" s="4">
        <v>42415</v>
      </c>
      <c r="AU5587" t="s">
        <v>73</v>
      </c>
      <c r="AV5587">
        <v>345</v>
      </c>
      <c r="AW5587" s="4">
        <v>42415</v>
      </c>
      <c r="BD5587">
        <v>0</v>
      </c>
      <c r="BN5587" t="s">
        <v>74</v>
      </c>
    </row>
    <row r="5588" spans="1:66" hidden="1">
      <c r="A5588">
        <v>102916</v>
      </c>
      <c r="B5588" s="3" t="s">
        <v>569</v>
      </c>
      <c r="C5588" s="1">
        <v>43300101</v>
      </c>
      <c r="D5588" t="s">
        <v>67</v>
      </c>
      <c r="H5588" t="str">
        <f t="shared" si="586"/>
        <v>05673940630</v>
      </c>
      <c r="I5588" t="str">
        <f t="shared" si="586"/>
        <v>05673940630</v>
      </c>
      <c r="K5588" t="str">
        <f>""</f>
        <v/>
      </c>
      <c r="M5588" t="s">
        <v>68</v>
      </c>
      <c r="N5588" t="str">
        <f t="shared" si="584"/>
        <v>FOR</v>
      </c>
      <c r="O5588" t="s">
        <v>69</v>
      </c>
      <c r="P5588" s="3" t="s">
        <v>70</v>
      </c>
      <c r="Q5588">
        <v>2015</v>
      </c>
      <c r="R5588" s="2">
        <v>42081</v>
      </c>
      <c r="S5588" s="2">
        <v>42094</v>
      </c>
      <c r="T5588" s="2">
        <v>42094</v>
      </c>
      <c r="U5588" s="2">
        <v>42154</v>
      </c>
      <c r="V5588" t="s">
        <v>71</v>
      </c>
      <c r="W5588" t="str">
        <f>"                 301"</f>
        <v xml:space="preserve">                 301</v>
      </c>
      <c r="X5588" s="1">
        <v>1061.4000000000001</v>
      </c>
      <c r="Y5588">
        <v>0</v>
      </c>
      <c r="Z5588"/>
      <c r="AB5588"/>
      <c r="AC5588">
        <v>870</v>
      </c>
      <c r="AD5588">
        <v>261</v>
      </c>
      <c r="AE5588" s="1">
        <v>227070</v>
      </c>
      <c r="AF5588">
        <v>0</v>
      </c>
      <c r="AJ5588">
        <v>0</v>
      </c>
      <c r="AK5588">
        <v>0</v>
      </c>
      <c r="AL5588">
        <v>0</v>
      </c>
      <c r="AM5588">
        <v>0</v>
      </c>
      <c r="AN5588">
        <v>0</v>
      </c>
      <c r="AO5588">
        <v>0</v>
      </c>
      <c r="AP5588" s="2">
        <v>42746</v>
      </c>
      <c r="AQ5588" t="s">
        <v>72</v>
      </c>
      <c r="AR5588" t="s">
        <v>72</v>
      </c>
      <c r="AS5588">
        <v>345</v>
      </c>
      <c r="AT5588" s="4">
        <v>42415</v>
      </c>
      <c r="AU5588" t="s">
        <v>73</v>
      </c>
      <c r="AV5588">
        <v>345</v>
      </c>
      <c r="AW5588" s="4">
        <v>42415</v>
      </c>
      <c r="BD5588">
        <v>0</v>
      </c>
      <c r="BN5588" t="s">
        <v>74</v>
      </c>
    </row>
    <row r="5589" spans="1:66" hidden="1">
      <c r="A5589">
        <v>102916</v>
      </c>
      <c r="B5589" s="3" t="s">
        <v>569</v>
      </c>
      <c r="C5589" s="1">
        <v>43300101</v>
      </c>
      <c r="D5589" t="s">
        <v>67</v>
      </c>
      <c r="H5589" t="str">
        <f t="shared" si="586"/>
        <v>05673940630</v>
      </c>
      <c r="I5589" t="str">
        <f t="shared" si="586"/>
        <v>05673940630</v>
      </c>
      <c r="K5589" t="str">
        <f>""</f>
        <v/>
      </c>
      <c r="M5589" t="s">
        <v>68</v>
      </c>
      <c r="N5589" t="str">
        <f t="shared" si="584"/>
        <v>FOR</v>
      </c>
      <c r="O5589" t="s">
        <v>69</v>
      </c>
      <c r="P5589" s="3" t="s">
        <v>75</v>
      </c>
      <c r="Q5589">
        <v>2015</v>
      </c>
      <c r="R5589" s="2">
        <v>42202</v>
      </c>
      <c r="S5589" s="2">
        <v>42205</v>
      </c>
      <c r="T5589" s="2">
        <v>42205</v>
      </c>
      <c r="U5589" s="2">
        <v>42265</v>
      </c>
      <c r="V5589" t="s">
        <v>71</v>
      </c>
      <c r="W5589" t="str">
        <f>"                 305"</f>
        <v xml:space="preserve">                 305</v>
      </c>
      <c r="X5589" s="1">
        <v>3968.66</v>
      </c>
      <c r="Y5589">
        <v>0</v>
      </c>
      <c r="Z5589"/>
      <c r="AB5589"/>
      <c r="AC5589" s="1">
        <v>3253</v>
      </c>
      <c r="AD5589">
        <v>301</v>
      </c>
      <c r="AE5589" s="1">
        <v>979153</v>
      </c>
      <c r="AF5589">
        <v>0</v>
      </c>
      <c r="AJ5589">
        <v>0</v>
      </c>
      <c r="AK5589">
        <v>0</v>
      </c>
      <c r="AL5589">
        <v>0</v>
      </c>
      <c r="AM5589">
        <v>0</v>
      </c>
      <c r="AN5589">
        <v>0</v>
      </c>
      <c r="AO5589">
        <v>0</v>
      </c>
      <c r="AP5589" s="2">
        <v>42746</v>
      </c>
      <c r="AQ5589" t="s">
        <v>72</v>
      </c>
      <c r="AR5589" t="s">
        <v>72</v>
      </c>
      <c r="AS5589">
        <v>1824</v>
      </c>
      <c r="AT5589" s="4">
        <v>42566</v>
      </c>
      <c r="AU5589" t="s">
        <v>73</v>
      </c>
      <c r="AV5589">
        <v>1824</v>
      </c>
      <c r="AW5589" s="4">
        <v>42566</v>
      </c>
      <c r="BD5589">
        <v>0</v>
      </c>
      <c r="BN5589" t="s">
        <v>74</v>
      </c>
    </row>
    <row r="5590" spans="1:66" hidden="1">
      <c r="A5590">
        <v>102916</v>
      </c>
      <c r="B5590" s="3" t="s">
        <v>569</v>
      </c>
      <c r="C5590" s="1">
        <v>43300101</v>
      </c>
      <c r="D5590" t="s">
        <v>67</v>
      </c>
      <c r="H5590" t="str">
        <f t="shared" si="586"/>
        <v>05673940630</v>
      </c>
      <c r="I5590" t="str">
        <f t="shared" si="586"/>
        <v>05673940630</v>
      </c>
      <c r="K5590" t="str">
        <f>""</f>
        <v/>
      </c>
      <c r="M5590" t="s">
        <v>68</v>
      </c>
      <c r="N5590" t="str">
        <f t="shared" si="584"/>
        <v>FOR</v>
      </c>
      <c r="O5590" t="s">
        <v>69</v>
      </c>
      <c r="P5590" s="3" t="s">
        <v>75</v>
      </c>
      <c r="Q5590">
        <v>2015</v>
      </c>
      <c r="R5590" s="2">
        <v>42202</v>
      </c>
      <c r="S5590" s="2">
        <v>42205</v>
      </c>
      <c r="T5590" s="2">
        <v>42205</v>
      </c>
      <c r="U5590" s="2">
        <v>42265</v>
      </c>
      <c r="V5590" t="s">
        <v>71</v>
      </c>
      <c r="W5590" t="str">
        <f>"                 306"</f>
        <v xml:space="preserve">                 306</v>
      </c>
      <c r="X5590" s="1">
        <v>1690.92</v>
      </c>
      <c r="Y5590">
        <v>0</v>
      </c>
      <c r="Z5590"/>
      <c r="AB5590"/>
      <c r="AC5590" s="1">
        <v>1386</v>
      </c>
      <c r="AD5590">
        <v>301</v>
      </c>
      <c r="AE5590" s="1">
        <v>417186</v>
      </c>
      <c r="AF5590">
        <v>0</v>
      </c>
      <c r="AJ5590">
        <v>0</v>
      </c>
      <c r="AK5590">
        <v>0</v>
      </c>
      <c r="AL5590">
        <v>0</v>
      </c>
      <c r="AM5590">
        <v>0</v>
      </c>
      <c r="AN5590">
        <v>0</v>
      </c>
      <c r="AO5590">
        <v>0</v>
      </c>
      <c r="AP5590" s="2">
        <v>42746</v>
      </c>
      <c r="AQ5590" t="s">
        <v>72</v>
      </c>
      <c r="AR5590" t="s">
        <v>72</v>
      </c>
      <c r="AS5590">
        <v>1824</v>
      </c>
      <c r="AT5590" s="4">
        <v>42566</v>
      </c>
      <c r="AU5590" t="s">
        <v>73</v>
      </c>
      <c r="AV5590">
        <v>1824</v>
      </c>
      <c r="AW5590" s="4">
        <v>42566</v>
      </c>
      <c r="BD5590">
        <v>0</v>
      </c>
      <c r="BN5590" t="s">
        <v>74</v>
      </c>
    </row>
    <row r="5591" spans="1:66" hidden="1">
      <c r="A5591">
        <v>102916</v>
      </c>
      <c r="B5591" s="3" t="s">
        <v>569</v>
      </c>
      <c r="C5591" s="1">
        <v>43300101</v>
      </c>
      <c r="D5591" t="s">
        <v>67</v>
      </c>
      <c r="H5591" t="str">
        <f t="shared" si="586"/>
        <v>05673940630</v>
      </c>
      <c r="I5591" t="str">
        <f t="shared" si="586"/>
        <v>05673940630</v>
      </c>
      <c r="K5591" t="str">
        <f>""</f>
        <v/>
      </c>
      <c r="M5591" t="s">
        <v>68</v>
      </c>
      <c r="N5591" t="str">
        <f t="shared" si="584"/>
        <v>FOR</v>
      </c>
      <c r="O5591" t="s">
        <v>69</v>
      </c>
      <c r="P5591" s="3" t="s">
        <v>70</v>
      </c>
      <c r="Q5591">
        <v>2015</v>
      </c>
      <c r="R5591" s="2">
        <v>42093</v>
      </c>
      <c r="S5591" s="2">
        <v>42110</v>
      </c>
      <c r="T5591" s="2">
        <v>42110</v>
      </c>
      <c r="U5591" s="2">
        <v>42170</v>
      </c>
      <c r="V5591" t="s">
        <v>71</v>
      </c>
      <c r="W5591" t="str">
        <f>"                 325"</f>
        <v xml:space="preserve">                 325</v>
      </c>
      <c r="X5591" s="1">
        <v>1981.28</v>
      </c>
      <c r="Y5591">
        <v>0</v>
      </c>
      <c r="Z5591"/>
      <c r="AB5591"/>
      <c r="AC5591" s="1">
        <v>1624</v>
      </c>
      <c r="AD5591">
        <v>245</v>
      </c>
      <c r="AE5591" s="1">
        <v>397880</v>
      </c>
      <c r="AF5591">
        <v>0</v>
      </c>
      <c r="AJ5591">
        <v>0</v>
      </c>
      <c r="AK5591">
        <v>0</v>
      </c>
      <c r="AL5591">
        <v>0</v>
      </c>
      <c r="AM5591">
        <v>0</v>
      </c>
      <c r="AN5591">
        <v>0</v>
      </c>
      <c r="AO5591">
        <v>0</v>
      </c>
      <c r="AP5591" s="2">
        <v>42746</v>
      </c>
      <c r="AQ5591" t="s">
        <v>72</v>
      </c>
      <c r="AR5591" t="s">
        <v>72</v>
      </c>
      <c r="AS5591">
        <v>345</v>
      </c>
      <c r="AT5591" s="4">
        <v>42415</v>
      </c>
      <c r="AU5591" t="s">
        <v>73</v>
      </c>
      <c r="AV5591">
        <v>345</v>
      </c>
      <c r="AW5591" s="4">
        <v>42415</v>
      </c>
      <c r="BD5591">
        <v>0</v>
      </c>
      <c r="BN5591" t="s">
        <v>74</v>
      </c>
    </row>
    <row r="5592" spans="1:66" hidden="1">
      <c r="A5592">
        <v>102916</v>
      </c>
      <c r="B5592" s="3" t="s">
        <v>569</v>
      </c>
      <c r="C5592" s="1">
        <v>43300101</v>
      </c>
      <c r="D5592" t="s">
        <v>67</v>
      </c>
      <c r="H5592" t="str">
        <f t="shared" si="586"/>
        <v>05673940630</v>
      </c>
      <c r="I5592" t="str">
        <f t="shared" si="586"/>
        <v>05673940630</v>
      </c>
      <c r="K5592" t="str">
        <f>""</f>
        <v/>
      </c>
      <c r="M5592" t="s">
        <v>68</v>
      </c>
      <c r="N5592" t="str">
        <f t="shared" si="584"/>
        <v>FOR</v>
      </c>
      <c r="O5592" t="s">
        <v>69</v>
      </c>
      <c r="P5592" s="3" t="s">
        <v>75</v>
      </c>
      <c r="Q5592">
        <v>2015</v>
      </c>
      <c r="R5592" s="2">
        <v>42209</v>
      </c>
      <c r="S5592" s="2">
        <v>42215</v>
      </c>
      <c r="T5592" s="2">
        <v>42212</v>
      </c>
      <c r="U5592" s="2">
        <v>42272</v>
      </c>
      <c r="V5592" t="s">
        <v>71</v>
      </c>
      <c r="W5592" t="str">
        <f>"                 348"</f>
        <v xml:space="preserve">                 348</v>
      </c>
      <c r="X5592" s="1">
        <v>2122.8000000000002</v>
      </c>
      <c r="Y5592">
        <v>0</v>
      </c>
      <c r="Z5592"/>
      <c r="AB5592"/>
      <c r="AC5592" s="1">
        <v>1740</v>
      </c>
      <c r="AD5592">
        <v>294</v>
      </c>
      <c r="AE5592" s="1">
        <v>511560</v>
      </c>
      <c r="AF5592">
        <v>0</v>
      </c>
      <c r="AJ5592">
        <v>0</v>
      </c>
      <c r="AK5592">
        <v>0</v>
      </c>
      <c r="AL5592">
        <v>0</v>
      </c>
      <c r="AM5592">
        <v>0</v>
      </c>
      <c r="AN5592">
        <v>0</v>
      </c>
      <c r="AO5592">
        <v>0</v>
      </c>
      <c r="AP5592" s="2">
        <v>42746</v>
      </c>
      <c r="AQ5592" t="s">
        <v>72</v>
      </c>
      <c r="AR5592" t="s">
        <v>72</v>
      </c>
      <c r="AS5592">
        <v>1824</v>
      </c>
      <c r="AT5592" s="4">
        <v>42566</v>
      </c>
      <c r="AU5592" t="s">
        <v>73</v>
      </c>
      <c r="AV5592">
        <v>1824</v>
      </c>
      <c r="AW5592" s="4">
        <v>42566</v>
      </c>
      <c r="BD5592">
        <v>0</v>
      </c>
      <c r="BN5592" t="s">
        <v>74</v>
      </c>
    </row>
    <row r="5593" spans="1:66" hidden="1">
      <c r="A5593">
        <v>102916</v>
      </c>
      <c r="B5593" s="3" t="s">
        <v>569</v>
      </c>
      <c r="C5593" s="1">
        <v>43300101</v>
      </c>
      <c r="D5593" t="s">
        <v>67</v>
      </c>
      <c r="H5593" t="str">
        <f t="shared" ref="H5593:I5609" si="587">"05673940630"</f>
        <v>05673940630</v>
      </c>
      <c r="I5593" t="str">
        <f t="shared" si="587"/>
        <v>05673940630</v>
      </c>
      <c r="K5593" t="str">
        <f>""</f>
        <v/>
      </c>
      <c r="M5593" t="s">
        <v>68</v>
      </c>
      <c r="N5593" t="str">
        <f t="shared" si="584"/>
        <v>FOR</v>
      </c>
      <c r="O5593" t="s">
        <v>69</v>
      </c>
      <c r="P5593" s="3" t="s">
        <v>75</v>
      </c>
      <c r="Q5593">
        <v>2015</v>
      </c>
      <c r="R5593" s="2">
        <v>42209</v>
      </c>
      <c r="S5593" s="2">
        <v>42215</v>
      </c>
      <c r="T5593" s="2">
        <v>42212</v>
      </c>
      <c r="U5593" s="2">
        <v>42272</v>
      </c>
      <c r="V5593" t="s">
        <v>71</v>
      </c>
      <c r="W5593" t="str">
        <f>"                 349"</f>
        <v xml:space="preserve">                 349</v>
      </c>
      <c r="X5593">
        <v>719.8</v>
      </c>
      <c r="Y5593">
        <v>0</v>
      </c>
      <c r="Z5593"/>
      <c r="AB5593"/>
      <c r="AC5593">
        <v>590</v>
      </c>
      <c r="AD5593">
        <v>294</v>
      </c>
      <c r="AE5593" s="1">
        <v>173460</v>
      </c>
      <c r="AF5593">
        <v>0</v>
      </c>
      <c r="AJ5593">
        <v>0</v>
      </c>
      <c r="AK5593">
        <v>0</v>
      </c>
      <c r="AL5593">
        <v>0</v>
      </c>
      <c r="AM5593">
        <v>0</v>
      </c>
      <c r="AN5593">
        <v>0</v>
      </c>
      <c r="AO5593">
        <v>0</v>
      </c>
      <c r="AP5593" s="2">
        <v>42746</v>
      </c>
      <c r="AQ5593" t="s">
        <v>72</v>
      </c>
      <c r="AR5593" t="s">
        <v>72</v>
      </c>
      <c r="AS5593">
        <v>1824</v>
      </c>
      <c r="AT5593" s="4">
        <v>42566</v>
      </c>
      <c r="AU5593" t="s">
        <v>73</v>
      </c>
      <c r="AV5593">
        <v>1824</v>
      </c>
      <c r="AW5593" s="4">
        <v>42566</v>
      </c>
      <c r="BD5593">
        <v>0</v>
      </c>
      <c r="BN5593" t="s">
        <v>74</v>
      </c>
    </row>
    <row r="5594" spans="1:66">
      <c r="A5594">
        <v>102916</v>
      </c>
      <c r="B5594" s="3" t="s">
        <v>569</v>
      </c>
      <c r="C5594" s="1">
        <v>43300101</v>
      </c>
      <c r="D5594" t="s">
        <v>67</v>
      </c>
      <c r="H5594" t="str">
        <f t="shared" si="587"/>
        <v>05673940630</v>
      </c>
      <c r="I5594" t="str">
        <f t="shared" si="587"/>
        <v>05673940630</v>
      </c>
      <c r="K5594" t="str">
        <f>""</f>
        <v/>
      </c>
      <c r="M5594" t="s">
        <v>68</v>
      </c>
      <c r="N5594" t="str">
        <f t="shared" si="584"/>
        <v>FOR</v>
      </c>
      <c r="O5594" t="s">
        <v>69</v>
      </c>
      <c r="P5594" s="3" t="s">
        <v>70</v>
      </c>
      <c r="Q5594">
        <v>2015</v>
      </c>
      <c r="R5594" s="2">
        <v>42222</v>
      </c>
      <c r="S5594" s="2">
        <v>42230</v>
      </c>
      <c r="T5594" s="2">
        <v>42230</v>
      </c>
      <c r="U5594" s="2">
        <v>42290</v>
      </c>
      <c r="V5594" t="s">
        <v>71</v>
      </c>
      <c r="W5594" t="str">
        <f>"                 470"</f>
        <v xml:space="preserve">                 470</v>
      </c>
      <c r="X5594" s="1">
        <v>2440</v>
      </c>
      <c r="Y5594">
        <v>0</v>
      </c>
      <c r="Z5594" s="5">
        <v>2000</v>
      </c>
      <c r="AA5594">
        <v>429</v>
      </c>
      <c r="AB5594" s="5">
        <v>858000</v>
      </c>
      <c r="AC5594" s="1">
        <v>2000</v>
      </c>
      <c r="AD5594">
        <v>429</v>
      </c>
      <c r="AE5594" s="1">
        <v>858000</v>
      </c>
      <c r="AF5594">
        <v>440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 s="2">
        <v>42746</v>
      </c>
      <c r="AQ5594" t="s">
        <v>72</v>
      </c>
      <c r="AR5594" t="s">
        <v>72</v>
      </c>
      <c r="AS5594">
        <v>3529</v>
      </c>
      <c r="AT5594" s="4">
        <v>42719</v>
      </c>
      <c r="AU5594" t="s">
        <v>73</v>
      </c>
      <c r="AV5594">
        <v>3529</v>
      </c>
      <c r="AW5594" s="4">
        <v>42719</v>
      </c>
      <c r="BD5594">
        <v>440</v>
      </c>
      <c r="BN5594" t="s">
        <v>74</v>
      </c>
    </row>
    <row r="5595" spans="1:66">
      <c r="A5595">
        <v>102916</v>
      </c>
      <c r="B5595" s="3" t="s">
        <v>569</v>
      </c>
      <c r="C5595" s="1">
        <v>43300101</v>
      </c>
      <c r="D5595" t="s">
        <v>67</v>
      </c>
      <c r="H5595" t="str">
        <f t="shared" si="587"/>
        <v>05673940630</v>
      </c>
      <c r="I5595" t="str">
        <f t="shared" si="587"/>
        <v>05673940630</v>
      </c>
      <c r="K5595" t="str">
        <f>""</f>
        <v/>
      </c>
      <c r="M5595" t="s">
        <v>68</v>
      </c>
      <c r="N5595" t="str">
        <f t="shared" si="584"/>
        <v>FOR</v>
      </c>
      <c r="O5595" t="s">
        <v>69</v>
      </c>
      <c r="P5595" s="3" t="s">
        <v>70</v>
      </c>
      <c r="Q5595">
        <v>2015</v>
      </c>
      <c r="R5595" s="2">
        <v>42222</v>
      </c>
      <c r="S5595" s="2">
        <v>42230</v>
      </c>
      <c r="T5595" s="2">
        <v>42230</v>
      </c>
      <c r="U5595" s="2">
        <v>42290</v>
      </c>
      <c r="V5595" t="s">
        <v>71</v>
      </c>
      <c r="W5595" t="str">
        <f>"                 471"</f>
        <v xml:space="preserve">                 471</v>
      </c>
      <c r="X5595" s="1">
        <v>6100</v>
      </c>
      <c r="Y5595">
        <v>0</v>
      </c>
      <c r="Z5595" s="5">
        <v>5000</v>
      </c>
      <c r="AA5595">
        <v>429</v>
      </c>
      <c r="AB5595" s="5">
        <v>2145000</v>
      </c>
      <c r="AC5595" s="1">
        <v>5000</v>
      </c>
      <c r="AD5595">
        <v>429</v>
      </c>
      <c r="AE5595" s="1">
        <v>2145000</v>
      </c>
      <c r="AF5595" s="1">
        <v>1100</v>
      </c>
      <c r="AJ5595">
        <v>0</v>
      </c>
      <c r="AK5595">
        <v>0</v>
      </c>
      <c r="AL5595">
        <v>0</v>
      </c>
      <c r="AM5595">
        <v>0</v>
      </c>
      <c r="AN5595">
        <v>0</v>
      </c>
      <c r="AO5595">
        <v>0</v>
      </c>
      <c r="AP5595" s="2">
        <v>42746</v>
      </c>
      <c r="AQ5595" t="s">
        <v>72</v>
      </c>
      <c r="AR5595" t="s">
        <v>72</v>
      </c>
      <c r="AS5595">
        <v>3529</v>
      </c>
      <c r="AT5595" s="4">
        <v>42719</v>
      </c>
      <c r="AU5595" t="s">
        <v>73</v>
      </c>
      <c r="AV5595">
        <v>3529</v>
      </c>
      <c r="AW5595" s="4">
        <v>42719</v>
      </c>
      <c r="BD5595" s="1">
        <v>1100</v>
      </c>
      <c r="BN5595" t="s">
        <v>74</v>
      </c>
    </row>
    <row r="5596" spans="1:66">
      <c r="A5596">
        <v>102916</v>
      </c>
      <c r="B5596" s="3" t="s">
        <v>569</v>
      </c>
      <c r="C5596" s="1">
        <v>43300101</v>
      </c>
      <c r="D5596" t="s">
        <v>67</v>
      </c>
      <c r="H5596" t="str">
        <f t="shared" si="587"/>
        <v>05673940630</v>
      </c>
      <c r="I5596" t="str">
        <f t="shared" si="587"/>
        <v>05673940630</v>
      </c>
      <c r="K5596" t="str">
        <f>""</f>
        <v/>
      </c>
      <c r="M5596" t="s">
        <v>68</v>
      </c>
      <c r="N5596" t="str">
        <f t="shared" si="584"/>
        <v>FOR</v>
      </c>
      <c r="O5596" t="s">
        <v>69</v>
      </c>
      <c r="P5596" s="3" t="s">
        <v>70</v>
      </c>
      <c r="Q5596">
        <v>2015</v>
      </c>
      <c r="R5596" s="2">
        <v>42222</v>
      </c>
      <c r="S5596" s="2">
        <v>42230</v>
      </c>
      <c r="T5596" s="2">
        <v>42230</v>
      </c>
      <c r="U5596" s="2">
        <v>42290</v>
      </c>
      <c r="V5596" t="s">
        <v>71</v>
      </c>
      <c r="W5596" t="str">
        <f>"                 472"</f>
        <v xml:space="preserve">                 472</v>
      </c>
      <c r="X5596" s="1">
        <v>2440</v>
      </c>
      <c r="Y5596">
        <v>0</v>
      </c>
      <c r="Z5596" s="5">
        <v>2000</v>
      </c>
      <c r="AA5596">
        <v>429</v>
      </c>
      <c r="AB5596" s="5">
        <v>858000</v>
      </c>
      <c r="AC5596" s="1">
        <v>2000</v>
      </c>
      <c r="AD5596">
        <v>429</v>
      </c>
      <c r="AE5596" s="1">
        <v>858000</v>
      </c>
      <c r="AF5596">
        <v>440</v>
      </c>
      <c r="AJ5596">
        <v>0</v>
      </c>
      <c r="AK5596">
        <v>0</v>
      </c>
      <c r="AL5596">
        <v>0</v>
      </c>
      <c r="AM5596">
        <v>0</v>
      </c>
      <c r="AN5596">
        <v>0</v>
      </c>
      <c r="AO5596">
        <v>0</v>
      </c>
      <c r="AP5596" s="2">
        <v>42746</v>
      </c>
      <c r="AQ5596" t="s">
        <v>72</v>
      </c>
      <c r="AR5596" t="s">
        <v>72</v>
      </c>
      <c r="AS5596">
        <v>3529</v>
      </c>
      <c r="AT5596" s="4">
        <v>42719</v>
      </c>
      <c r="AU5596" t="s">
        <v>73</v>
      </c>
      <c r="AV5596">
        <v>3529</v>
      </c>
      <c r="AW5596" s="4">
        <v>42719</v>
      </c>
      <c r="BD5596">
        <v>440</v>
      </c>
      <c r="BN5596" t="s">
        <v>74</v>
      </c>
    </row>
    <row r="5597" spans="1:66" hidden="1">
      <c r="A5597">
        <v>102916</v>
      </c>
      <c r="B5597" s="3" t="s">
        <v>569</v>
      </c>
      <c r="C5597" s="1">
        <v>43300101</v>
      </c>
      <c r="D5597" t="s">
        <v>67</v>
      </c>
      <c r="H5597" t="str">
        <f t="shared" si="587"/>
        <v>05673940630</v>
      </c>
      <c r="I5597" t="str">
        <f t="shared" si="587"/>
        <v>05673940630</v>
      </c>
      <c r="K5597" t="str">
        <f>""</f>
        <v/>
      </c>
      <c r="M5597" t="s">
        <v>68</v>
      </c>
      <c r="N5597" t="str">
        <f t="shared" si="584"/>
        <v>FOR</v>
      </c>
      <c r="O5597" t="s">
        <v>69</v>
      </c>
      <c r="P5597" s="3" t="s">
        <v>75</v>
      </c>
      <c r="Q5597">
        <v>2015</v>
      </c>
      <c r="R5597" s="2">
        <v>42275</v>
      </c>
      <c r="S5597" s="2">
        <v>42276</v>
      </c>
      <c r="T5597" s="2">
        <v>42276</v>
      </c>
      <c r="U5597" s="2">
        <v>42336</v>
      </c>
      <c r="V5597" t="s">
        <v>71</v>
      </c>
      <c r="W5597" t="str">
        <f>"                 596"</f>
        <v xml:space="preserve">                 596</v>
      </c>
      <c r="X5597">
        <v>278.94</v>
      </c>
      <c r="Y5597">
        <v>0</v>
      </c>
      <c r="Z5597"/>
      <c r="AB5597"/>
      <c r="AC5597">
        <v>228.64</v>
      </c>
      <c r="AD5597">
        <v>284</v>
      </c>
      <c r="AE5597" s="1">
        <v>64933.760000000002</v>
      </c>
      <c r="AF5597">
        <v>0</v>
      </c>
      <c r="AJ5597">
        <v>0</v>
      </c>
      <c r="AK5597">
        <v>0</v>
      </c>
      <c r="AL5597">
        <v>0</v>
      </c>
      <c r="AM5597">
        <v>0</v>
      </c>
      <c r="AN5597">
        <v>0</v>
      </c>
      <c r="AO5597">
        <v>0</v>
      </c>
      <c r="AP5597" s="2">
        <v>42746</v>
      </c>
      <c r="AQ5597" t="s">
        <v>72</v>
      </c>
      <c r="AR5597" t="s">
        <v>72</v>
      </c>
      <c r="AS5597">
        <v>2335</v>
      </c>
      <c r="AT5597" s="4">
        <v>42620</v>
      </c>
      <c r="AU5597" t="s">
        <v>73</v>
      </c>
      <c r="AV5597">
        <v>2335</v>
      </c>
      <c r="AW5597" s="4">
        <v>42620</v>
      </c>
      <c r="BD5597">
        <v>0</v>
      </c>
      <c r="BN5597" t="s">
        <v>74</v>
      </c>
    </row>
    <row r="5598" spans="1:66" hidden="1">
      <c r="A5598">
        <v>102916</v>
      </c>
      <c r="B5598" s="3" t="s">
        <v>569</v>
      </c>
      <c r="C5598" s="1">
        <v>43300101</v>
      </c>
      <c r="D5598" t="s">
        <v>67</v>
      </c>
      <c r="H5598" t="str">
        <f t="shared" si="587"/>
        <v>05673940630</v>
      </c>
      <c r="I5598" t="str">
        <f t="shared" si="587"/>
        <v>05673940630</v>
      </c>
      <c r="K5598" t="str">
        <f>""</f>
        <v/>
      </c>
      <c r="M5598" t="s">
        <v>68</v>
      </c>
      <c r="N5598" t="str">
        <f t="shared" si="584"/>
        <v>FOR</v>
      </c>
      <c r="O5598" t="s">
        <v>69</v>
      </c>
      <c r="P5598" s="3" t="s">
        <v>75</v>
      </c>
      <c r="Q5598">
        <v>2015</v>
      </c>
      <c r="R5598" s="2">
        <v>42132</v>
      </c>
      <c r="S5598" s="2">
        <v>42138</v>
      </c>
      <c r="T5598" s="2">
        <v>42137</v>
      </c>
      <c r="U5598" s="2">
        <v>42197</v>
      </c>
      <c r="V5598" t="s">
        <v>71</v>
      </c>
      <c r="W5598" t="str">
        <f>"                 61."</f>
        <v xml:space="preserve">                 61.</v>
      </c>
      <c r="X5598" s="1">
        <v>1061.4000000000001</v>
      </c>
      <c r="Y5598">
        <v>0</v>
      </c>
      <c r="Z5598"/>
      <c r="AB5598"/>
      <c r="AC5598">
        <v>870</v>
      </c>
      <c r="AD5598">
        <v>255</v>
      </c>
      <c r="AE5598" s="1">
        <v>221850</v>
      </c>
      <c r="AF5598">
        <v>0</v>
      </c>
      <c r="AJ5598">
        <v>0</v>
      </c>
      <c r="AK5598">
        <v>0</v>
      </c>
      <c r="AL5598">
        <v>0</v>
      </c>
      <c r="AM5598">
        <v>0</v>
      </c>
      <c r="AN5598">
        <v>0</v>
      </c>
      <c r="AO5598">
        <v>0</v>
      </c>
      <c r="AP5598" s="2">
        <v>42746</v>
      </c>
      <c r="AQ5598" t="s">
        <v>72</v>
      </c>
      <c r="AR5598" t="s">
        <v>72</v>
      </c>
      <c r="AS5598">
        <v>784</v>
      </c>
      <c r="AT5598" s="4">
        <v>42452</v>
      </c>
      <c r="AU5598" t="s">
        <v>73</v>
      </c>
      <c r="AV5598">
        <v>784</v>
      </c>
      <c r="AW5598" s="4">
        <v>42452</v>
      </c>
      <c r="BD5598">
        <v>0</v>
      </c>
      <c r="BN5598" t="s">
        <v>74</v>
      </c>
    </row>
    <row r="5599" spans="1:66">
      <c r="A5599">
        <v>102916</v>
      </c>
      <c r="B5599" s="3" t="s">
        <v>569</v>
      </c>
      <c r="C5599" s="1">
        <v>43300101</v>
      </c>
      <c r="D5599" t="s">
        <v>67</v>
      </c>
      <c r="H5599" t="str">
        <f t="shared" si="587"/>
        <v>05673940630</v>
      </c>
      <c r="I5599" t="str">
        <f t="shared" si="587"/>
        <v>05673940630</v>
      </c>
      <c r="K5599" t="str">
        <f>""</f>
        <v/>
      </c>
      <c r="M5599" t="s">
        <v>68</v>
      </c>
      <c r="N5599" t="str">
        <f t="shared" si="584"/>
        <v>FOR</v>
      </c>
      <c r="O5599" t="s">
        <v>69</v>
      </c>
      <c r="P5599" s="3" t="s">
        <v>75</v>
      </c>
      <c r="Q5599">
        <v>2015</v>
      </c>
      <c r="R5599" s="2">
        <v>42293</v>
      </c>
      <c r="S5599" s="2">
        <v>42298</v>
      </c>
      <c r="T5599" s="2">
        <v>42296</v>
      </c>
      <c r="U5599" s="2">
        <v>42356</v>
      </c>
      <c r="V5599" t="s">
        <v>71</v>
      </c>
      <c r="W5599" t="str">
        <f>"                 610"</f>
        <v xml:space="preserve">                 610</v>
      </c>
      <c r="X5599" s="1">
        <v>2415.6</v>
      </c>
      <c r="Y5599">
        <v>0</v>
      </c>
      <c r="Z5599" s="5">
        <v>1980</v>
      </c>
      <c r="AA5599">
        <v>292</v>
      </c>
      <c r="AB5599" s="5">
        <v>578160</v>
      </c>
      <c r="AC5599" s="1">
        <v>1980</v>
      </c>
      <c r="AD5599">
        <v>292</v>
      </c>
      <c r="AE5599" s="1">
        <v>578160</v>
      </c>
      <c r="AF5599">
        <v>0</v>
      </c>
      <c r="AJ5599">
        <v>0</v>
      </c>
      <c r="AK5599">
        <v>0</v>
      </c>
      <c r="AL5599">
        <v>0</v>
      </c>
      <c r="AM5599">
        <v>0</v>
      </c>
      <c r="AN5599">
        <v>0</v>
      </c>
      <c r="AO5599">
        <v>0</v>
      </c>
      <c r="AP5599" s="2">
        <v>42746</v>
      </c>
      <c r="AQ5599" t="s">
        <v>72</v>
      </c>
      <c r="AR5599" t="s">
        <v>72</v>
      </c>
      <c r="AS5599">
        <v>2674</v>
      </c>
      <c r="AT5599" s="4">
        <v>42648</v>
      </c>
      <c r="AU5599" t="s">
        <v>73</v>
      </c>
      <c r="AV5599">
        <v>2674</v>
      </c>
      <c r="AW5599" s="4">
        <v>42648</v>
      </c>
      <c r="BD5599">
        <v>0</v>
      </c>
      <c r="BN5599" t="s">
        <v>74</v>
      </c>
    </row>
    <row r="5600" spans="1:66">
      <c r="A5600">
        <v>102916</v>
      </c>
      <c r="B5600" s="3" t="s">
        <v>569</v>
      </c>
      <c r="C5600" s="1">
        <v>43300101</v>
      </c>
      <c r="D5600" t="s">
        <v>67</v>
      </c>
      <c r="H5600" t="str">
        <f t="shared" si="587"/>
        <v>05673940630</v>
      </c>
      <c r="I5600" t="str">
        <f t="shared" si="587"/>
        <v>05673940630</v>
      </c>
      <c r="K5600" t="str">
        <f>""</f>
        <v/>
      </c>
      <c r="M5600" t="s">
        <v>68</v>
      </c>
      <c r="N5600" t="str">
        <f t="shared" si="584"/>
        <v>FOR</v>
      </c>
      <c r="O5600" t="s">
        <v>69</v>
      </c>
      <c r="P5600" s="3" t="s">
        <v>75</v>
      </c>
      <c r="Q5600">
        <v>2015</v>
      </c>
      <c r="R5600" s="2">
        <v>42307</v>
      </c>
      <c r="S5600" s="2">
        <v>42310</v>
      </c>
      <c r="T5600" s="2">
        <v>42308</v>
      </c>
      <c r="U5600" s="2">
        <v>42368</v>
      </c>
      <c r="V5600" t="s">
        <v>71</v>
      </c>
      <c r="W5600" t="str">
        <f>"                 707"</f>
        <v xml:space="preserve">                 707</v>
      </c>
      <c r="X5600" s="1">
        <v>1981.28</v>
      </c>
      <c r="Y5600">
        <v>0</v>
      </c>
      <c r="Z5600" s="5">
        <v>1624</v>
      </c>
      <c r="AA5600">
        <v>280</v>
      </c>
      <c r="AB5600" s="5">
        <v>454720</v>
      </c>
      <c r="AC5600" s="1">
        <v>1624</v>
      </c>
      <c r="AD5600">
        <v>280</v>
      </c>
      <c r="AE5600" s="1">
        <v>454720</v>
      </c>
      <c r="AF5600">
        <v>0</v>
      </c>
      <c r="AJ5600">
        <v>0</v>
      </c>
      <c r="AK5600">
        <v>0</v>
      </c>
      <c r="AL5600">
        <v>0</v>
      </c>
      <c r="AM5600">
        <v>0</v>
      </c>
      <c r="AN5600">
        <v>0</v>
      </c>
      <c r="AO5600">
        <v>0</v>
      </c>
      <c r="AP5600" s="2">
        <v>42746</v>
      </c>
      <c r="AQ5600" t="s">
        <v>72</v>
      </c>
      <c r="AR5600" t="s">
        <v>72</v>
      </c>
      <c r="AS5600">
        <v>2674</v>
      </c>
      <c r="AT5600" s="4">
        <v>42648</v>
      </c>
      <c r="AU5600" t="s">
        <v>73</v>
      </c>
      <c r="AV5600">
        <v>2674</v>
      </c>
      <c r="AW5600" s="4">
        <v>42648</v>
      </c>
      <c r="BD5600">
        <v>0</v>
      </c>
      <c r="BN5600" t="s">
        <v>74</v>
      </c>
    </row>
    <row r="5601" spans="1:66">
      <c r="A5601">
        <v>102916</v>
      </c>
      <c r="B5601" s="3" t="s">
        <v>569</v>
      </c>
      <c r="C5601" s="1">
        <v>43300101</v>
      </c>
      <c r="D5601" t="s">
        <v>67</v>
      </c>
      <c r="H5601" t="str">
        <f t="shared" si="587"/>
        <v>05673940630</v>
      </c>
      <c r="I5601" t="str">
        <f t="shared" si="587"/>
        <v>05673940630</v>
      </c>
      <c r="K5601" t="str">
        <f>""</f>
        <v/>
      </c>
      <c r="M5601" t="s">
        <v>68</v>
      </c>
      <c r="N5601" t="str">
        <f t="shared" si="584"/>
        <v>FOR</v>
      </c>
      <c r="O5601" t="s">
        <v>69</v>
      </c>
      <c r="P5601" s="3" t="s">
        <v>75</v>
      </c>
      <c r="Q5601">
        <v>2015</v>
      </c>
      <c r="R5601" s="2">
        <v>42339</v>
      </c>
      <c r="S5601" s="2">
        <v>42340</v>
      </c>
      <c r="T5601" s="2">
        <v>42339</v>
      </c>
      <c r="U5601" s="2">
        <v>42399</v>
      </c>
      <c r="V5601" t="s">
        <v>71</v>
      </c>
      <c r="W5601" t="str">
        <f>"                 815"</f>
        <v xml:space="preserve">                 815</v>
      </c>
      <c r="X5601" s="1">
        <v>3538</v>
      </c>
      <c r="Y5601">
        <v>0</v>
      </c>
      <c r="Z5601" s="5">
        <v>2900</v>
      </c>
      <c r="AA5601">
        <v>291</v>
      </c>
      <c r="AB5601" s="5">
        <v>843900</v>
      </c>
      <c r="AC5601" s="1">
        <v>2900</v>
      </c>
      <c r="AD5601">
        <v>291</v>
      </c>
      <c r="AE5601" s="1">
        <v>843900</v>
      </c>
      <c r="AF5601">
        <v>0</v>
      </c>
      <c r="AJ5601">
        <v>0</v>
      </c>
      <c r="AK5601">
        <v>0</v>
      </c>
      <c r="AL5601">
        <v>0</v>
      </c>
      <c r="AM5601">
        <v>0</v>
      </c>
      <c r="AN5601">
        <v>0</v>
      </c>
      <c r="AO5601">
        <v>0</v>
      </c>
      <c r="AP5601" s="2">
        <v>42746</v>
      </c>
      <c r="AQ5601" t="s">
        <v>72</v>
      </c>
      <c r="AR5601" t="s">
        <v>72</v>
      </c>
      <c r="AS5601">
        <v>3146</v>
      </c>
      <c r="AT5601" s="4">
        <v>42690</v>
      </c>
      <c r="AU5601" t="s">
        <v>73</v>
      </c>
      <c r="AV5601">
        <v>3146</v>
      </c>
      <c r="AW5601" s="4">
        <v>42690</v>
      </c>
      <c r="BD5601">
        <v>0</v>
      </c>
      <c r="BN5601" t="s">
        <v>74</v>
      </c>
    </row>
    <row r="5602" spans="1:66">
      <c r="A5602">
        <v>102916</v>
      </c>
      <c r="B5602" s="3" t="s">
        <v>569</v>
      </c>
      <c r="C5602" s="1">
        <v>43300101</v>
      </c>
      <c r="D5602" t="s">
        <v>67</v>
      </c>
      <c r="H5602" t="str">
        <f t="shared" si="587"/>
        <v>05673940630</v>
      </c>
      <c r="I5602" t="str">
        <f t="shared" si="587"/>
        <v>05673940630</v>
      </c>
      <c r="K5602" t="str">
        <f>""</f>
        <v/>
      </c>
      <c r="M5602" t="s">
        <v>68</v>
      </c>
      <c r="N5602" t="str">
        <f t="shared" si="584"/>
        <v>FOR</v>
      </c>
      <c r="O5602" t="s">
        <v>69</v>
      </c>
      <c r="P5602" s="3" t="s">
        <v>75</v>
      </c>
      <c r="Q5602">
        <v>2015</v>
      </c>
      <c r="R5602" s="2">
        <v>42339</v>
      </c>
      <c r="S5602" s="2">
        <v>42340</v>
      </c>
      <c r="T5602" s="2">
        <v>42339</v>
      </c>
      <c r="U5602" s="2">
        <v>42399</v>
      </c>
      <c r="V5602" t="s">
        <v>71</v>
      </c>
      <c r="W5602" t="str">
        <f>"                 816"</f>
        <v xml:space="preserve">                 816</v>
      </c>
      <c r="X5602" s="1">
        <v>1207.8</v>
      </c>
      <c r="Y5602">
        <v>0</v>
      </c>
      <c r="Z5602" s="3">
        <v>990</v>
      </c>
      <c r="AA5602">
        <v>291</v>
      </c>
      <c r="AB5602" s="5">
        <v>288090</v>
      </c>
      <c r="AC5602">
        <v>990</v>
      </c>
      <c r="AD5602">
        <v>291</v>
      </c>
      <c r="AE5602" s="1">
        <v>288090</v>
      </c>
      <c r="AF5602">
        <v>0</v>
      </c>
      <c r="AJ5602">
        <v>0</v>
      </c>
      <c r="AK5602">
        <v>0</v>
      </c>
      <c r="AL5602">
        <v>0</v>
      </c>
      <c r="AM5602">
        <v>0</v>
      </c>
      <c r="AN5602">
        <v>0</v>
      </c>
      <c r="AO5602">
        <v>0</v>
      </c>
      <c r="AP5602" s="2">
        <v>42746</v>
      </c>
      <c r="AQ5602" t="s">
        <v>72</v>
      </c>
      <c r="AR5602" t="s">
        <v>72</v>
      </c>
      <c r="AS5602">
        <v>3146</v>
      </c>
      <c r="AT5602" s="4">
        <v>42690</v>
      </c>
      <c r="AU5602" t="s">
        <v>73</v>
      </c>
      <c r="AV5602">
        <v>3146</v>
      </c>
      <c r="AW5602" s="4">
        <v>42690</v>
      </c>
      <c r="BD5602">
        <v>0</v>
      </c>
      <c r="BN5602" t="s">
        <v>74</v>
      </c>
    </row>
    <row r="5603" spans="1:66">
      <c r="A5603">
        <v>102916</v>
      </c>
      <c r="B5603" s="3" t="s">
        <v>569</v>
      </c>
      <c r="C5603" s="1">
        <v>43300101</v>
      </c>
      <c r="D5603" t="s">
        <v>67</v>
      </c>
      <c r="H5603" t="str">
        <f t="shared" si="587"/>
        <v>05673940630</v>
      </c>
      <c r="I5603" t="str">
        <f t="shared" si="587"/>
        <v>05673940630</v>
      </c>
      <c r="K5603" t="str">
        <f>""</f>
        <v/>
      </c>
      <c r="M5603" t="s">
        <v>68</v>
      </c>
      <c r="N5603" t="str">
        <f t="shared" si="584"/>
        <v>FOR</v>
      </c>
      <c r="O5603" t="s">
        <v>69</v>
      </c>
      <c r="P5603" s="3" t="s">
        <v>70</v>
      </c>
      <c r="Q5603">
        <v>2015</v>
      </c>
      <c r="R5603" s="2">
        <v>42349</v>
      </c>
      <c r="S5603" s="2">
        <v>42352</v>
      </c>
      <c r="T5603" s="2">
        <v>42352</v>
      </c>
      <c r="U5603" s="2">
        <v>42412</v>
      </c>
      <c r="V5603" t="s">
        <v>71</v>
      </c>
      <c r="W5603" t="str">
        <f>"                 872"</f>
        <v xml:space="preserve">                 872</v>
      </c>
      <c r="X5603" s="1">
        <v>2440</v>
      </c>
      <c r="Y5603">
        <v>0</v>
      </c>
      <c r="Z5603" s="5">
        <v>2000</v>
      </c>
      <c r="AA5603">
        <v>307</v>
      </c>
      <c r="AB5603" s="5">
        <v>614000</v>
      </c>
      <c r="AC5603" s="1">
        <v>2000</v>
      </c>
      <c r="AD5603">
        <v>307</v>
      </c>
      <c r="AE5603" s="1">
        <v>614000</v>
      </c>
      <c r="AF5603">
        <v>440</v>
      </c>
      <c r="AJ5603">
        <v>0</v>
      </c>
      <c r="AK5603">
        <v>0</v>
      </c>
      <c r="AL5603">
        <v>0</v>
      </c>
      <c r="AM5603">
        <v>0</v>
      </c>
      <c r="AN5603">
        <v>0</v>
      </c>
      <c r="AO5603">
        <v>0</v>
      </c>
      <c r="AP5603" s="2">
        <v>42746</v>
      </c>
      <c r="AQ5603" t="s">
        <v>72</v>
      </c>
      <c r="AR5603" t="s">
        <v>72</v>
      </c>
      <c r="AS5603">
        <v>3529</v>
      </c>
      <c r="AT5603" s="4">
        <v>42719</v>
      </c>
      <c r="AU5603" t="s">
        <v>73</v>
      </c>
      <c r="AV5603">
        <v>3529</v>
      </c>
      <c r="AW5603" s="4">
        <v>42719</v>
      </c>
      <c r="BD5603">
        <v>440</v>
      </c>
      <c r="BN5603" t="s">
        <v>74</v>
      </c>
    </row>
    <row r="5604" spans="1:66">
      <c r="A5604">
        <v>102916</v>
      </c>
      <c r="B5604" s="3" t="s">
        <v>569</v>
      </c>
      <c r="C5604" s="1">
        <v>43300101</v>
      </c>
      <c r="D5604" t="s">
        <v>67</v>
      </c>
      <c r="H5604" t="str">
        <f t="shared" si="587"/>
        <v>05673940630</v>
      </c>
      <c r="I5604" t="str">
        <f t="shared" si="587"/>
        <v>05673940630</v>
      </c>
      <c r="K5604" t="str">
        <f>""</f>
        <v/>
      </c>
      <c r="M5604" t="s">
        <v>68</v>
      </c>
      <c r="N5604" t="str">
        <f t="shared" si="584"/>
        <v>FOR</v>
      </c>
      <c r="O5604" t="s">
        <v>69</v>
      </c>
      <c r="P5604" s="3" t="s">
        <v>75</v>
      </c>
      <c r="Q5604">
        <v>2015</v>
      </c>
      <c r="R5604" s="2">
        <v>42349</v>
      </c>
      <c r="S5604" s="2">
        <v>42352</v>
      </c>
      <c r="T5604" s="2">
        <v>42349</v>
      </c>
      <c r="U5604" s="2">
        <v>42409</v>
      </c>
      <c r="V5604" t="s">
        <v>71</v>
      </c>
      <c r="W5604" t="str">
        <f>"                 873"</f>
        <v xml:space="preserve">                 873</v>
      </c>
      <c r="X5604" s="1">
        <v>2440</v>
      </c>
      <c r="Y5604">
        <v>0</v>
      </c>
      <c r="Z5604" s="5">
        <v>2000</v>
      </c>
      <c r="AA5604">
        <v>310</v>
      </c>
      <c r="AB5604" s="5">
        <v>620000</v>
      </c>
      <c r="AC5604" s="1">
        <v>2000</v>
      </c>
      <c r="AD5604">
        <v>310</v>
      </c>
      <c r="AE5604" s="1">
        <v>620000</v>
      </c>
      <c r="AF5604">
        <v>440</v>
      </c>
      <c r="AJ5604">
        <v>0</v>
      </c>
      <c r="AK5604">
        <v>0</v>
      </c>
      <c r="AL5604">
        <v>0</v>
      </c>
      <c r="AM5604">
        <v>0</v>
      </c>
      <c r="AN5604">
        <v>0</v>
      </c>
      <c r="AO5604">
        <v>0</v>
      </c>
      <c r="AP5604" s="2">
        <v>42746</v>
      </c>
      <c r="AQ5604" t="s">
        <v>72</v>
      </c>
      <c r="AR5604" t="s">
        <v>72</v>
      </c>
      <c r="AS5604">
        <v>3529</v>
      </c>
      <c r="AT5604" s="4">
        <v>42719</v>
      </c>
      <c r="AU5604" t="s">
        <v>73</v>
      </c>
      <c r="AV5604">
        <v>3529</v>
      </c>
      <c r="AW5604" s="4">
        <v>42719</v>
      </c>
      <c r="BD5604">
        <v>440</v>
      </c>
      <c r="BN5604" t="s">
        <v>74</v>
      </c>
    </row>
    <row r="5605" spans="1:66">
      <c r="A5605">
        <v>102916</v>
      </c>
      <c r="B5605" s="3" t="s">
        <v>569</v>
      </c>
      <c r="C5605" s="1">
        <v>43300101</v>
      </c>
      <c r="D5605" t="s">
        <v>67</v>
      </c>
      <c r="H5605" t="str">
        <f t="shared" si="587"/>
        <v>05673940630</v>
      </c>
      <c r="I5605" t="str">
        <f t="shared" si="587"/>
        <v>05673940630</v>
      </c>
      <c r="K5605" t="str">
        <f>""</f>
        <v/>
      </c>
      <c r="M5605" t="s">
        <v>68</v>
      </c>
      <c r="N5605" t="str">
        <f t="shared" si="584"/>
        <v>FOR</v>
      </c>
      <c r="O5605" t="s">
        <v>69</v>
      </c>
      <c r="P5605" s="3" t="s">
        <v>75</v>
      </c>
      <c r="Q5605">
        <v>2015</v>
      </c>
      <c r="R5605" s="2">
        <v>42349</v>
      </c>
      <c r="S5605" s="2">
        <v>42352</v>
      </c>
      <c r="T5605" s="2">
        <v>42349</v>
      </c>
      <c r="U5605" s="2">
        <v>42409</v>
      </c>
      <c r="V5605" t="s">
        <v>71</v>
      </c>
      <c r="W5605" t="str">
        <f>"                 874"</f>
        <v xml:space="preserve">                 874</v>
      </c>
      <c r="X5605">
        <v>244</v>
      </c>
      <c r="Y5605">
        <v>0</v>
      </c>
      <c r="Z5605" s="3">
        <v>200</v>
      </c>
      <c r="AA5605">
        <v>310</v>
      </c>
      <c r="AB5605" s="5">
        <v>62000</v>
      </c>
      <c r="AC5605">
        <v>200</v>
      </c>
      <c r="AD5605">
        <v>310</v>
      </c>
      <c r="AE5605" s="1">
        <v>62000</v>
      </c>
      <c r="AF5605">
        <v>44</v>
      </c>
      <c r="AJ5605">
        <v>0</v>
      </c>
      <c r="AK5605">
        <v>0</v>
      </c>
      <c r="AL5605">
        <v>0</v>
      </c>
      <c r="AM5605">
        <v>0</v>
      </c>
      <c r="AN5605">
        <v>0</v>
      </c>
      <c r="AO5605">
        <v>0</v>
      </c>
      <c r="AP5605" s="2">
        <v>42746</v>
      </c>
      <c r="AQ5605" t="s">
        <v>72</v>
      </c>
      <c r="AR5605" t="s">
        <v>72</v>
      </c>
      <c r="AS5605">
        <v>3529</v>
      </c>
      <c r="AT5605" s="4">
        <v>42719</v>
      </c>
      <c r="AU5605" t="s">
        <v>73</v>
      </c>
      <c r="AV5605">
        <v>3529</v>
      </c>
      <c r="AW5605" s="4">
        <v>42719</v>
      </c>
      <c r="BD5605">
        <v>44</v>
      </c>
      <c r="BN5605" t="s">
        <v>74</v>
      </c>
    </row>
    <row r="5606" spans="1:66">
      <c r="A5606">
        <v>102916</v>
      </c>
      <c r="B5606" s="3" t="s">
        <v>569</v>
      </c>
      <c r="C5606" s="1">
        <v>43300101</v>
      </c>
      <c r="D5606" t="s">
        <v>67</v>
      </c>
      <c r="H5606" t="str">
        <f t="shared" si="587"/>
        <v>05673940630</v>
      </c>
      <c r="I5606" t="str">
        <f t="shared" si="587"/>
        <v>05673940630</v>
      </c>
      <c r="K5606" t="str">
        <f>""</f>
        <v/>
      </c>
      <c r="M5606" t="s">
        <v>68</v>
      </c>
      <c r="N5606" t="str">
        <f t="shared" si="584"/>
        <v>FOR</v>
      </c>
      <c r="O5606" t="s">
        <v>69</v>
      </c>
      <c r="P5606" s="3" t="s">
        <v>75</v>
      </c>
      <c r="Q5606">
        <v>2015</v>
      </c>
      <c r="R5606" s="2">
        <v>42360</v>
      </c>
      <c r="S5606" s="2">
        <v>42369</v>
      </c>
      <c r="T5606" s="2">
        <v>42369</v>
      </c>
      <c r="U5606" s="2">
        <v>42429</v>
      </c>
      <c r="V5606" t="s">
        <v>71</v>
      </c>
      <c r="W5606" t="str">
        <f>"                 904"</f>
        <v xml:space="preserve">                 904</v>
      </c>
      <c r="X5606">
        <v>963.8</v>
      </c>
      <c r="Y5606">
        <v>0</v>
      </c>
      <c r="Z5606" s="3">
        <v>790</v>
      </c>
      <c r="AA5606">
        <v>261</v>
      </c>
      <c r="AB5606" s="5">
        <v>206190</v>
      </c>
      <c r="AC5606">
        <v>790</v>
      </c>
      <c r="AD5606">
        <v>261</v>
      </c>
      <c r="AE5606" s="1">
        <v>206190</v>
      </c>
      <c r="AF5606">
        <v>0</v>
      </c>
      <c r="AJ5606">
        <v>0</v>
      </c>
      <c r="AK5606">
        <v>0</v>
      </c>
      <c r="AL5606">
        <v>0</v>
      </c>
      <c r="AM5606">
        <v>0</v>
      </c>
      <c r="AN5606">
        <v>0</v>
      </c>
      <c r="AO5606">
        <v>0</v>
      </c>
      <c r="AP5606" s="2">
        <v>42746</v>
      </c>
      <c r="AQ5606" t="s">
        <v>72</v>
      </c>
      <c r="AR5606" t="s">
        <v>72</v>
      </c>
      <c r="AS5606">
        <v>3146</v>
      </c>
      <c r="AT5606" s="4">
        <v>42690</v>
      </c>
      <c r="AU5606" t="s">
        <v>73</v>
      </c>
      <c r="AV5606">
        <v>3146</v>
      </c>
      <c r="AW5606" s="4">
        <v>42690</v>
      </c>
      <c r="BD5606">
        <v>0</v>
      </c>
      <c r="BN5606" t="s">
        <v>74</v>
      </c>
    </row>
    <row r="5607" spans="1:66">
      <c r="A5607">
        <v>102916</v>
      </c>
      <c r="B5607" s="3" t="s">
        <v>569</v>
      </c>
      <c r="C5607" s="1">
        <v>43300101</v>
      </c>
      <c r="D5607" t="s">
        <v>67</v>
      </c>
      <c r="H5607" t="str">
        <f t="shared" si="587"/>
        <v>05673940630</v>
      </c>
      <c r="I5607" t="str">
        <f t="shared" si="587"/>
        <v>05673940630</v>
      </c>
      <c r="K5607" t="str">
        <f>""</f>
        <v/>
      </c>
      <c r="M5607" t="s">
        <v>68</v>
      </c>
      <c r="N5607" t="str">
        <f t="shared" si="584"/>
        <v>FOR</v>
      </c>
      <c r="O5607" t="s">
        <v>69</v>
      </c>
      <c r="P5607" s="3" t="s">
        <v>75</v>
      </c>
      <c r="Q5607">
        <v>2015</v>
      </c>
      <c r="R5607" s="2">
        <v>42142</v>
      </c>
      <c r="S5607" s="2">
        <v>42165</v>
      </c>
      <c r="T5607" s="2">
        <v>42142</v>
      </c>
      <c r="U5607" s="2">
        <v>42202</v>
      </c>
      <c r="V5607" t="s">
        <v>71</v>
      </c>
      <c r="W5607" t="str">
        <f>"                123."</f>
        <v xml:space="preserve">                123.</v>
      </c>
      <c r="X5607" s="1">
        <v>1464</v>
      </c>
      <c r="Y5607">
        <v>0</v>
      </c>
      <c r="Z5607" s="5">
        <v>1200</v>
      </c>
      <c r="AA5607">
        <v>517</v>
      </c>
      <c r="AB5607" s="5">
        <v>620400</v>
      </c>
      <c r="AC5607" s="1">
        <v>1200</v>
      </c>
      <c r="AD5607">
        <v>517</v>
      </c>
      <c r="AE5607" s="1">
        <v>620400</v>
      </c>
      <c r="AF5607">
        <v>264</v>
      </c>
      <c r="AJ5607">
        <v>0</v>
      </c>
      <c r="AK5607">
        <v>0</v>
      </c>
      <c r="AL5607">
        <v>0</v>
      </c>
      <c r="AM5607">
        <v>0</v>
      </c>
      <c r="AN5607">
        <v>0</v>
      </c>
      <c r="AO5607">
        <v>0</v>
      </c>
      <c r="AP5607" s="2">
        <v>42746</v>
      </c>
      <c r="AQ5607" t="s">
        <v>72</v>
      </c>
      <c r="AR5607" t="s">
        <v>72</v>
      </c>
      <c r="AS5607">
        <v>3529</v>
      </c>
      <c r="AT5607" s="4">
        <v>42719</v>
      </c>
      <c r="AU5607" t="s">
        <v>73</v>
      </c>
      <c r="AV5607">
        <v>3529</v>
      </c>
      <c r="AW5607" s="4">
        <v>42719</v>
      </c>
      <c r="BD5607">
        <v>264</v>
      </c>
      <c r="BN5607" t="s">
        <v>74</v>
      </c>
    </row>
    <row r="5608" spans="1:66">
      <c r="A5608">
        <v>102916</v>
      </c>
      <c r="B5608" s="3" t="s">
        <v>569</v>
      </c>
      <c r="C5608" s="1">
        <v>43300101</v>
      </c>
      <c r="D5608" t="s">
        <v>67</v>
      </c>
      <c r="H5608" t="str">
        <f t="shared" si="587"/>
        <v>05673940630</v>
      </c>
      <c r="I5608" t="str">
        <f t="shared" si="587"/>
        <v>05673940630</v>
      </c>
      <c r="K5608" t="str">
        <f>""</f>
        <v/>
      </c>
      <c r="M5608" t="s">
        <v>68</v>
      </c>
      <c r="N5608" t="str">
        <f t="shared" si="584"/>
        <v>FOR</v>
      </c>
      <c r="O5608" t="s">
        <v>69</v>
      </c>
      <c r="P5608" s="3" t="s">
        <v>75</v>
      </c>
      <c r="Q5608">
        <v>2016</v>
      </c>
      <c r="R5608" s="2">
        <v>42422</v>
      </c>
      <c r="S5608" s="2">
        <v>42425</v>
      </c>
      <c r="T5608" s="2">
        <v>42423</v>
      </c>
      <c r="U5608" s="2">
        <v>42483</v>
      </c>
      <c r="V5608" t="s">
        <v>71</v>
      </c>
      <c r="W5608" t="str">
        <f>"                 128"</f>
        <v xml:space="preserve">                 128</v>
      </c>
      <c r="X5608">
        <v>512.4</v>
      </c>
      <c r="Y5608">
        <v>0</v>
      </c>
      <c r="Z5608" s="3">
        <v>420</v>
      </c>
      <c r="AA5608">
        <v>240</v>
      </c>
      <c r="AB5608" s="5">
        <v>100800</v>
      </c>
      <c r="AC5608">
        <v>420</v>
      </c>
      <c r="AD5608">
        <v>240</v>
      </c>
      <c r="AE5608" s="1">
        <v>100800</v>
      </c>
      <c r="AF5608">
        <v>92.4</v>
      </c>
      <c r="AJ5608">
        <v>0</v>
      </c>
      <c r="AK5608">
        <v>0</v>
      </c>
      <c r="AL5608">
        <v>0</v>
      </c>
      <c r="AM5608">
        <v>512.4</v>
      </c>
      <c r="AN5608">
        <v>512.4</v>
      </c>
      <c r="AO5608">
        <v>512.4</v>
      </c>
      <c r="AP5608" s="2">
        <v>42746</v>
      </c>
      <c r="AQ5608" t="s">
        <v>72</v>
      </c>
      <c r="AR5608" t="s">
        <v>72</v>
      </c>
      <c r="AS5608">
        <v>3592</v>
      </c>
      <c r="AT5608" s="4">
        <v>42723</v>
      </c>
      <c r="AU5608" t="s">
        <v>73</v>
      </c>
      <c r="AV5608">
        <v>3592</v>
      </c>
      <c r="AW5608" s="4">
        <v>42723</v>
      </c>
      <c r="BD5608">
        <v>92.4</v>
      </c>
      <c r="BN5608" t="s">
        <v>74</v>
      </c>
    </row>
    <row r="5609" spans="1:66">
      <c r="A5609">
        <v>102916</v>
      </c>
      <c r="B5609" s="3" t="s">
        <v>569</v>
      </c>
      <c r="C5609" s="1">
        <v>43300101</v>
      </c>
      <c r="D5609" t="s">
        <v>67</v>
      </c>
      <c r="H5609" t="str">
        <f t="shared" si="587"/>
        <v>05673940630</v>
      </c>
      <c r="I5609" t="str">
        <f t="shared" si="587"/>
        <v>05673940630</v>
      </c>
      <c r="K5609" t="str">
        <f>""</f>
        <v/>
      </c>
      <c r="M5609" t="s">
        <v>68</v>
      </c>
      <c r="N5609" t="str">
        <f t="shared" ref="N5609:N5615" si="588">"FOR"</f>
        <v>FOR</v>
      </c>
      <c r="O5609" t="s">
        <v>69</v>
      </c>
      <c r="P5609" s="3" t="s">
        <v>75</v>
      </c>
      <c r="Q5609">
        <v>2016</v>
      </c>
      <c r="R5609" s="2">
        <v>42426</v>
      </c>
      <c r="S5609" s="2">
        <v>42436</v>
      </c>
      <c r="T5609" s="2">
        <v>42426</v>
      </c>
      <c r="U5609" s="2">
        <v>42486</v>
      </c>
      <c r="V5609" t="s">
        <v>71</v>
      </c>
      <c r="W5609" t="str">
        <f>"                 138"</f>
        <v xml:space="preserve">                 138</v>
      </c>
      <c r="X5609" s="1">
        <v>2885.3</v>
      </c>
      <c r="Y5609">
        <v>0</v>
      </c>
      <c r="Z5609" s="5">
        <v>2365</v>
      </c>
      <c r="AA5609">
        <v>233</v>
      </c>
      <c r="AB5609" s="5">
        <v>551045</v>
      </c>
      <c r="AC5609" s="1">
        <v>2365</v>
      </c>
      <c r="AD5609">
        <v>233</v>
      </c>
      <c r="AE5609" s="1">
        <v>551045</v>
      </c>
      <c r="AF5609">
        <v>520.29999999999995</v>
      </c>
      <c r="AJ5609">
        <v>0</v>
      </c>
      <c r="AK5609">
        <v>0</v>
      </c>
      <c r="AL5609">
        <v>0</v>
      </c>
      <c r="AM5609" s="1">
        <v>2885.3</v>
      </c>
      <c r="AN5609" s="1">
        <v>2885.3</v>
      </c>
      <c r="AO5609" s="1">
        <v>2885.3</v>
      </c>
      <c r="AP5609" s="2">
        <v>42746</v>
      </c>
      <c r="AQ5609" t="s">
        <v>72</v>
      </c>
      <c r="AR5609" t="s">
        <v>72</v>
      </c>
      <c r="AS5609">
        <v>3529</v>
      </c>
      <c r="AT5609" s="4">
        <v>42719</v>
      </c>
      <c r="AU5609" t="s">
        <v>73</v>
      </c>
      <c r="AV5609">
        <v>3529</v>
      </c>
      <c r="AW5609" s="4">
        <v>42719</v>
      </c>
      <c r="BD5609">
        <v>520.29999999999995</v>
      </c>
      <c r="BN5609" t="s">
        <v>74</v>
      </c>
    </row>
    <row r="5610" spans="1:66" hidden="1">
      <c r="A5610">
        <v>103068</v>
      </c>
      <c r="B5610" s="3" t="s">
        <v>570</v>
      </c>
      <c r="C5610" s="1">
        <v>43300101</v>
      </c>
      <c r="D5610" t="s">
        <v>67</v>
      </c>
      <c r="H5610" t="str">
        <f t="shared" ref="H5610:I5615" si="589">"00832400154"</f>
        <v>00832400154</v>
      </c>
      <c r="I5610" t="str">
        <f t="shared" si="589"/>
        <v>00832400154</v>
      </c>
      <c r="K5610" t="str">
        <f>""</f>
        <v/>
      </c>
      <c r="M5610" t="s">
        <v>68</v>
      </c>
      <c r="N5610" t="str">
        <f t="shared" si="588"/>
        <v>FOR</v>
      </c>
      <c r="O5610" t="s">
        <v>69</v>
      </c>
      <c r="P5610" s="3" t="s">
        <v>78</v>
      </c>
      <c r="Q5610">
        <v>2012</v>
      </c>
      <c r="R5610" s="2">
        <v>41184</v>
      </c>
      <c r="S5610" s="2">
        <v>41200</v>
      </c>
      <c r="T5610" s="2">
        <v>41200</v>
      </c>
      <c r="U5610" s="2">
        <v>41290</v>
      </c>
      <c r="V5610" t="s">
        <v>71</v>
      </c>
      <c r="W5610" t="str">
        <f>"              950811"</f>
        <v xml:space="preserve">              950811</v>
      </c>
      <c r="X5610" s="1">
        <v>1415.7</v>
      </c>
      <c r="Y5610">
        <v>0</v>
      </c>
      <c r="Z5610"/>
      <c r="AB5610"/>
      <c r="AC5610" s="1">
        <v>1415.7</v>
      </c>
      <c r="AD5610">
        <v>1230</v>
      </c>
      <c r="AE5610" s="1">
        <v>1741311</v>
      </c>
      <c r="AF5610">
        <v>0</v>
      </c>
      <c r="AJ5610">
        <v>0</v>
      </c>
      <c r="AK5610">
        <v>0</v>
      </c>
      <c r="AL5610">
        <v>0</v>
      </c>
      <c r="AM5610">
        <v>-74.8</v>
      </c>
      <c r="AN5610">
        <v>-74.8</v>
      </c>
      <c r="AO5610">
        <v>-74.8</v>
      </c>
      <c r="AP5610" s="2">
        <v>42746</v>
      </c>
      <c r="AQ5610" t="s">
        <v>72</v>
      </c>
      <c r="AR5610" t="s">
        <v>72</v>
      </c>
      <c r="AS5610">
        <v>1450</v>
      </c>
      <c r="AT5610" s="4">
        <v>42520</v>
      </c>
      <c r="AU5610" t="s">
        <v>73</v>
      </c>
      <c r="AV5610">
        <v>1450</v>
      </c>
      <c r="AW5610" s="4">
        <v>42520</v>
      </c>
      <c r="BD5610">
        <v>0</v>
      </c>
      <c r="BN5610" t="s">
        <v>74</v>
      </c>
    </row>
    <row r="5611" spans="1:66" hidden="1">
      <c r="A5611">
        <v>103068</v>
      </c>
      <c r="B5611" s="3" t="s">
        <v>570</v>
      </c>
      <c r="C5611" s="1">
        <v>43300101</v>
      </c>
      <c r="D5611" t="s">
        <v>67</v>
      </c>
      <c r="H5611" t="str">
        <f t="shared" si="589"/>
        <v>00832400154</v>
      </c>
      <c r="I5611" t="str">
        <f t="shared" si="589"/>
        <v>00832400154</v>
      </c>
      <c r="K5611" t="str">
        <f>""</f>
        <v/>
      </c>
      <c r="M5611" t="s">
        <v>68</v>
      </c>
      <c r="N5611" t="str">
        <f t="shared" si="588"/>
        <v>FOR</v>
      </c>
      <c r="O5611" t="s">
        <v>69</v>
      </c>
      <c r="P5611" s="3" t="s">
        <v>78</v>
      </c>
      <c r="Q5611">
        <v>2012</v>
      </c>
      <c r="R5611" s="2">
        <v>41184</v>
      </c>
      <c r="S5611" s="2">
        <v>41200</v>
      </c>
      <c r="T5611" s="2">
        <v>41200</v>
      </c>
      <c r="U5611" s="2">
        <v>41290</v>
      </c>
      <c r="V5611" t="s">
        <v>71</v>
      </c>
      <c r="W5611" t="str">
        <f>"              950812"</f>
        <v xml:space="preserve">              950812</v>
      </c>
      <c r="X5611">
        <v>330</v>
      </c>
      <c r="Y5611">
        <v>0</v>
      </c>
      <c r="Z5611"/>
      <c r="AB5611"/>
      <c r="AC5611">
        <v>330</v>
      </c>
      <c r="AD5611">
        <v>1230</v>
      </c>
      <c r="AE5611" s="1">
        <v>405900</v>
      </c>
      <c r="AF5611">
        <v>0</v>
      </c>
      <c r="AJ5611">
        <v>0</v>
      </c>
      <c r="AK5611">
        <v>0</v>
      </c>
      <c r="AL5611">
        <v>0</v>
      </c>
      <c r="AM5611">
        <v>-192.5</v>
      </c>
      <c r="AN5611">
        <v>-192.5</v>
      </c>
      <c r="AO5611">
        <v>-192.5</v>
      </c>
      <c r="AP5611" s="2">
        <v>42746</v>
      </c>
      <c r="AQ5611" t="s">
        <v>72</v>
      </c>
      <c r="AR5611" t="s">
        <v>72</v>
      </c>
      <c r="AS5611">
        <v>1450</v>
      </c>
      <c r="AT5611" s="4">
        <v>42520</v>
      </c>
      <c r="AU5611" t="s">
        <v>73</v>
      </c>
      <c r="AV5611">
        <v>1450</v>
      </c>
      <c r="AW5611" s="4">
        <v>42520</v>
      </c>
      <c r="BD5611">
        <v>0</v>
      </c>
      <c r="BN5611" t="s">
        <v>74</v>
      </c>
    </row>
    <row r="5612" spans="1:66" hidden="1">
      <c r="A5612">
        <v>103068</v>
      </c>
      <c r="B5612" s="3" t="s">
        <v>570</v>
      </c>
      <c r="C5612" s="1">
        <v>43300101</v>
      </c>
      <c r="D5612" t="s">
        <v>67</v>
      </c>
      <c r="H5612" t="str">
        <f t="shared" si="589"/>
        <v>00832400154</v>
      </c>
      <c r="I5612" t="str">
        <f t="shared" si="589"/>
        <v>00832400154</v>
      </c>
      <c r="K5612" t="str">
        <f>""</f>
        <v/>
      </c>
      <c r="M5612" t="s">
        <v>68</v>
      </c>
      <c r="N5612" t="str">
        <f t="shared" si="588"/>
        <v>FOR</v>
      </c>
      <c r="O5612" t="s">
        <v>69</v>
      </c>
      <c r="P5612" s="3" t="s">
        <v>78</v>
      </c>
      <c r="Q5612">
        <v>2012</v>
      </c>
      <c r="R5612" s="2">
        <v>41248</v>
      </c>
      <c r="S5612" s="2">
        <v>41270</v>
      </c>
      <c r="T5612" s="2">
        <v>41270</v>
      </c>
      <c r="U5612" s="2">
        <v>41360</v>
      </c>
      <c r="V5612" t="s">
        <v>71</v>
      </c>
      <c r="W5612" t="str">
        <f>"              962392"</f>
        <v xml:space="preserve">              962392</v>
      </c>
      <c r="X5612">
        <v>330</v>
      </c>
      <c r="Y5612">
        <v>0</v>
      </c>
      <c r="Z5612"/>
      <c r="AB5612"/>
      <c r="AC5612">
        <v>330</v>
      </c>
      <c r="AD5612">
        <v>1160</v>
      </c>
      <c r="AE5612" s="1">
        <v>382800</v>
      </c>
      <c r="AF5612">
        <v>0</v>
      </c>
      <c r="AJ5612">
        <v>0</v>
      </c>
      <c r="AK5612">
        <v>0</v>
      </c>
      <c r="AL5612">
        <v>0</v>
      </c>
      <c r="AM5612">
        <v>-192.5</v>
      </c>
      <c r="AN5612">
        <v>-192.5</v>
      </c>
      <c r="AO5612">
        <v>-192.5</v>
      </c>
      <c r="AP5612" s="2">
        <v>42746</v>
      </c>
      <c r="AQ5612" t="s">
        <v>72</v>
      </c>
      <c r="AR5612" t="s">
        <v>72</v>
      </c>
      <c r="AS5612">
        <v>1450</v>
      </c>
      <c r="AT5612" s="4">
        <v>42520</v>
      </c>
      <c r="AU5612" t="s">
        <v>73</v>
      </c>
      <c r="AV5612">
        <v>1450</v>
      </c>
      <c r="AW5612" s="4">
        <v>42520</v>
      </c>
      <c r="BD5612">
        <v>0</v>
      </c>
      <c r="BN5612" t="s">
        <v>74</v>
      </c>
    </row>
    <row r="5613" spans="1:66" hidden="1">
      <c r="A5613">
        <v>103068</v>
      </c>
      <c r="B5613" s="3" t="s">
        <v>570</v>
      </c>
      <c r="C5613" s="1">
        <v>43300101</v>
      </c>
      <c r="D5613" t="s">
        <v>67</v>
      </c>
      <c r="H5613" t="str">
        <f t="shared" si="589"/>
        <v>00832400154</v>
      </c>
      <c r="I5613" t="str">
        <f t="shared" si="589"/>
        <v>00832400154</v>
      </c>
      <c r="K5613" t="str">
        <f>""</f>
        <v/>
      </c>
      <c r="M5613" t="s">
        <v>68</v>
      </c>
      <c r="N5613" t="str">
        <f t="shared" si="588"/>
        <v>FOR</v>
      </c>
      <c r="O5613" t="s">
        <v>69</v>
      </c>
      <c r="P5613" s="3" t="s">
        <v>75</v>
      </c>
      <c r="Q5613">
        <v>2015</v>
      </c>
      <c r="R5613" s="2">
        <v>42306</v>
      </c>
      <c r="S5613" s="2">
        <v>42310</v>
      </c>
      <c r="T5613" s="2">
        <v>42307</v>
      </c>
      <c r="U5613" s="2">
        <v>42367</v>
      </c>
      <c r="V5613" t="s">
        <v>71</v>
      </c>
      <c r="W5613" t="str">
        <f>"            59641500"</f>
        <v xml:space="preserve">            59641500</v>
      </c>
      <c r="X5613">
        <v>286</v>
      </c>
      <c r="Y5613">
        <v>0</v>
      </c>
      <c r="Z5613"/>
      <c r="AB5613"/>
      <c r="AC5613">
        <v>260</v>
      </c>
      <c r="AD5613">
        <v>153</v>
      </c>
      <c r="AE5613" s="1">
        <v>39780</v>
      </c>
      <c r="AF5613">
        <v>0</v>
      </c>
      <c r="AJ5613">
        <v>0</v>
      </c>
      <c r="AK5613">
        <v>0</v>
      </c>
      <c r="AL5613">
        <v>0</v>
      </c>
      <c r="AM5613">
        <v>0</v>
      </c>
      <c r="AN5613">
        <v>0</v>
      </c>
      <c r="AO5613">
        <v>0</v>
      </c>
      <c r="AP5613" s="2">
        <v>42746</v>
      </c>
      <c r="AQ5613" t="s">
        <v>72</v>
      </c>
      <c r="AR5613" t="s">
        <v>72</v>
      </c>
      <c r="AS5613">
        <v>1451</v>
      </c>
      <c r="AT5613" s="4">
        <v>42520</v>
      </c>
      <c r="AU5613" t="s">
        <v>73</v>
      </c>
      <c r="AV5613">
        <v>1451</v>
      </c>
      <c r="AW5613" s="4">
        <v>42520</v>
      </c>
      <c r="BD5613">
        <v>0</v>
      </c>
      <c r="BN5613" t="s">
        <v>74</v>
      </c>
    </row>
    <row r="5614" spans="1:66" hidden="1">
      <c r="A5614">
        <v>103068</v>
      </c>
      <c r="B5614" s="3" t="s">
        <v>570</v>
      </c>
      <c r="C5614" s="1">
        <v>43300101</v>
      </c>
      <c r="D5614" t="s">
        <v>67</v>
      </c>
      <c r="H5614" t="str">
        <f t="shared" si="589"/>
        <v>00832400154</v>
      </c>
      <c r="I5614" t="str">
        <f t="shared" si="589"/>
        <v>00832400154</v>
      </c>
      <c r="K5614" t="str">
        <f>""</f>
        <v/>
      </c>
      <c r="M5614" t="s">
        <v>68</v>
      </c>
      <c r="N5614" t="str">
        <f t="shared" si="588"/>
        <v>FOR</v>
      </c>
      <c r="O5614" t="s">
        <v>69</v>
      </c>
      <c r="P5614" s="3" t="s">
        <v>75</v>
      </c>
      <c r="Q5614">
        <v>2015</v>
      </c>
      <c r="R5614" s="2">
        <v>42306</v>
      </c>
      <c r="S5614" s="2">
        <v>42310</v>
      </c>
      <c r="T5614" s="2">
        <v>42307</v>
      </c>
      <c r="U5614" s="2">
        <v>42367</v>
      </c>
      <c r="V5614" t="s">
        <v>71</v>
      </c>
      <c r="W5614" t="str">
        <f>"            59641503"</f>
        <v xml:space="preserve">            59641503</v>
      </c>
      <c r="X5614">
        <v>286</v>
      </c>
      <c r="Y5614">
        <v>0</v>
      </c>
      <c r="Z5614"/>
      <c r="AB5614"/>
      <c r="AC5614">
        <v>260</v>
      </c>
      <c r="AD5614">
        <v>153</v>
      </c>
      <c r="AE5614" s="1">
        <v>39780</v>
      </c>
      <c r="AF5614">
        <v>0</v>
      </c>
      <c r="AJ5614">
        <v>0</v>
      </c>
      <c r="AK5614">
        <v>0</v>
      </c>
      <c r="AL5614">
        <v>0</v>
      </c>
      <c r="AM5614">
        <v>0</v>
      </c>
      <c r="AN5614">
        <v>0</v>
      </c>
      <c r="AO5614">
        <v>0</v>
      </c>
      <c r="AP5614" s="2">
        <v>42746</v>
      </c>
      <c r="AQ5614" t="s">
        <v>72</v>
      </c>
      <c r="AR5614" t="s">
        <v>72</v>
      </c>
      <c r="AS5614">
        <v>1451</v>
      </c>
      <c r="AT5614" s="4">
        <v>42520</v>
      </c>
      <c r="AU5614" t="s">
        <v>73</v>
      </c>
      <c r="AV5614">
        <v>1451</v>
      </c>
      <c r="AW5614" s="4">
        <v>42520</v>
      </c>
      <c r="BD5614">
        <v>0</v>
      </c>
      <c r="BN5614" t="s">
        <v>74</v>
      </c>
    </row>
    <row r="5615" spans="1:66" hidden="1">
      <c r="A5615">
        <v>103068</v>
      </c>
      <c r="B5615" s="3" t="s">
        <v>570</v>
      </c>
      <c r="C5615" s="1">
        <v>43300101</v>
      </c>
      <c r="D5615" t="s">
        <v>67</v>
      </c>
      <c r="H5615" t="str">
        <f t="shared" si="589"/>
        <v>00832400154</v>
      </c>
      <c r="I5615" t="str">
        <f t="shared" si="589"/>
        <v>00832400154</v>
      </c>
      <c r="K5615" t="str">
        <f>""</f>
        <v/>
      </c>
      <c r="M5615" t="s">
        <v>68</v>
      </c>
      <c r="N5615" t="str">
        <f t="shared" si="588"/>
        <v>FOR</v>
      </c>
      <c r="O5615" t="s">
        <v>69</v>
      </c>
      <c r="P5615" s="3" t="s">
        <v>75</v>
      </c>
      <c r="Q5615">
        <v>2016</v>
      </c>
      <c r="R5615" s="2">
        <v>42439</v>
      </c>
      <c r="S5615" s="2">
        <v>42443</v>
      </c>
      <c r="T5615" s="2">
        <v>42441</v>
      </c>
      <c r="U5615" s="2">
        <v>42501</v>
      </c>
      <c r="V5615" t="s">
        <v>71</v>
      </c>
      <c r="W5615" t="str">
        <f>"            69614578"</f>
        <v xml:space="preserve">            69614578</v>
      </c>
      <c r="X5615">
        <v>982.3</v>
      </c>
      <c r="Y5615">
        <v>0</v>
      </c>
      <c r="Z5615"/>
      <c r="AB5615"/>
      <c r="AC5615">
        <v>893</v>
      </c>
      <c r="AD5615">
        <v>19</v>
      </c>
      <c r="AE5615" s="1">
        <v>16967</v>
      </c>
      <c r="AF5615">
        <v>0</v>
      </c>
      <c r="AJ5615">
        <v>0</v>
      </c>
      <c r="AK5615">
        <v>0</v>
      </c>
      <c r="AL5615">
        <v>0</v>
      </c>
      <c r="AM5615">
        <v>982.3</v>
      </c>
      <c r="AN5615">
        <v>982.3</v>
      </c>
      <c r="AO5615">
        <v>982.3</v>
      </c>
      <c r="AP5615" s="2">
        <v>42746</v>
      </c>
      <c r="AQ5615" t="s">
        <v>72</v>
      </c>
      <c r="AR5615" t="s">
        <v>72</v>
      </c>
      <c r="AS5615">
        <v>1451</v>
      </c>
      <c r="AT5615" s="4">
        <v>42520</v>
      </c>
      <c r="AU5615" t="s">
        <v>73</v>
      </c>
      <c r="AV5615">
        <v>1451</v>
      </c>
      <c r="AW5615" s="4">
        <v>42520</v>
      </c>
      <c r="BD5615">
        <v>0</v>
      </c>
      <c r="BN5615" t="s">
        <v>74</v>
      </c>
    </row>
    <row r="5616" spans="1:66" hidden="1">
      <c r="A5616">
        <v>103072</v>
      </c>
      <c r="B5616" s="3" t="s">
        <v>571</v>
      </c>
      <c r="C5616" s="1">
        <v>43201201</v>
      </c>
      <c r="D5616" t="s">
        <v>116</v>
      </c>
      <c r="H5616" t="str">
        <f t="shared" ref="H5616:I5625" si="590">"01009680628"</f>
        <v>01009680628</v>
      </c>
      <c r="I5616" t="str">
        <f t="shared" si="590"/>
        <v>01009680628</v>
      </c>
      <c r="K5616" t="str">
        <f>""</f>
        <v/>
      </c>
      <c r="M5616" t="s">
        <v>68</v>
      </c>
      <c r="N5616" t="str">
        <f t="shared" ref="N5616:N5625" si="591">"AZ1"</f>
        <v>AZ1</v>
      </c>
      <c r="O5616" t="s">
        <v>117</v>
      </c>
      <c r="P5616" s="3" t="s">
        <v>75</v>
      </c>
      <c r="Q5616">
        <v>2015</v>
      </c>
      <c r="R5616" s="2">
        <v>42311</v>
      </c>
      <c r="S5616" s="2">
        <v>42314</v>
      </c>
      <c r="T5616" s="2">
        <v>42311</v>
      </c>
      <c r="U5616" s="2">
        <v>42371</v>
      </c>
      <c r="V5616" t="s">
        <v>71</v>
      </c>
      <c r="W5616" t="str">
        <f>"        FE/2015/1541"</f>
        <v xml:space="preserve">        FE/2015/1541</v>
      </c>
      <c r="X5616">
        <v>340.78</v>
      </c>
      <c r="Y5616">
        <v>0</v>
      </c>
      <c r="Z5616"/>
      <c r="AB5616"/>
      <c r="AC5616">
        <v>279.33</v>
      </c>
      <c r="AD5616">
        <v>31</v>
      </c>
      <c r="AE5616" s="1">
        <v>8659.23</v>
      </c>
      <c r="AF5616">
        <v>0</v>
      </c>
      <c r="AJ5616">
        <v>0</v>
      </c>
      <c r="AK5616">
        <v>0</v>
      </c>
      <c r="AL5616">
        <v>0</v>
      </c>
      <c r="AM5616">
        <v>0</v>
      </c>
      <c r="AN5616">
        <v>0</v>
      </c>
      <c r="AO5616">
        <v>0</v>
      </c>
      <c r="AP5616" s="2">
        <v>42746</v>
      </c>
      <c r="AQ5616" t="s">
        <v>72</v>
      </c>
      <c r="AR5616" t="s">
        <v>72</v>
      </c>
      <c r="AS5616">
        <v>197</v>
      </c>
      <c r="AT5616" s="4">
        <v>42402</v>
      </c>
      <c r="AU5616" t="s">
        <v>73</v>
      </c>
      <c r="AV5616">
        <v>197</v>
      </c>
      <c r="AW5616" s="4">
        <v>42402</v>
      </c>
      <c r="BD5616">
        <v>0</v>
      </c>
      <c r="BN5616" t="s">
        <v>74</v>
      </c>
    </row>
    <row r="5617" spans="1:66" hidden="1">
      <c r="A5617">
        <v>103072</v>
      </c>
      <c r="B5617" s="3" t="s">
        <v>571</v>
      </c>
      <c r="C5617" s="1">
        <v>43201201</v>
      </c>
      <c r="D5617" t="s">
        <v>116</v>
      </c>
      <c r="H5617" t="str">
        <f t="shared" si="590"/>
        <v>01009680628</v>
      </c>
      <c r="I5617" t="str">
        <f t="shared" si="590"/>
        <v>01009680628</v>
      </c>
      <c r="K5617" t="str">
        <f>""</f>
        <v/>
      </c>
      <c r="M5617" t="s">
        <v>68</v>
      </c>
      <c r="N5617" t="str">
        <f t="shared" si="591"/>
        <v>AZ1</v>
      </c>
      <c r="O5617" t="s">
        <v>117</v>
      </c>
      <c r="P5617" s="3" t="s">
        <v>75</v>
      </c>
      <c r="Q5617">
        <v>2016</v>
      </c>
      <c r="R5617" s="2">
        <v>42411</v>
      </c>
      <c r="S5617" s="2">
        <v>42412</v>
      </c>
      <c r="T5617" s="2">
        <v>42411</v>
      </c>
      <c r="U5617" s="2">
        <v>42471</v>
      </c>
      <c r="V5617" t="s">
        <v>71</v>
      </c>
      <c r="W5617" t="str">
        <f>"         FE/2016/511"</f>
        <v xml:space="preserve">         FE/2016/511</v>
      </c>
      <c r="X5617" s="1">
        <v>10082</v>
      </c>
      <c r="Y5617">
        <v>0</v>
      </c>
      <c r="Z5617"/>
      <c r="AB5617"/>
      <c r="AC5617" s="1">
        <v>10082</v>
      </c>
      <c r="AD5617">
        <v>-38</v>
      </c>
      <c r="AE5617" s="1">
        <v>-383116</v>
      </c>
      <c r="AF5617">
        <v>0</v>
      </c>
      <c r="AJ5617">
        <v>0</v>
      </c>
      <c r="AK5617">
        <v>0</v>
      </c>
      <c r="AL5617">
        <v>0</v>
      </c>
      <c r="AM5617">
        <v>0</v>
      </c>
      <c r="AN5617" s="1">
        <v>10082</v>
      </c>
      <c r="AO5617" s="1">
        <v>10082</v>
      </c>
      <c r="AP5617" s="2">
        <v>42746</v>
      </c>
      <c r="AQ5617" t="s">
        <v>72</v>
      </c>
      <c r="AR5617" t="s">
        <v>72</v>
      </c>
      <c r="AS5617">
        <v>659</v>
      </c>
      <c r="AT5617" s="4">
        <v>42433</v>
      </c>
      <c r="AV5617">
        <v>659</v>
      </c>
      <c r="AW5617" s="4">
        <v>42433</v>
      </c>
      <c r="BD5617">
        <v>0</v>
      </c>
      <c r="BN5617" t="s">
        <v>74</v>
      </c>
    </row>
    <row r="5618" spans="1:66" hidden="1">
      <c r="A5618">
        <v>103072</v>
      </c>
      <c r="B5618" s="3" t="s">
        <v>571</v>
      </c>
      <c r="C5618" s="1">
        <v>43201201</v>
      </c>
      <c r="D5618" t="s">
        <v>116</v>
      </c>
      <c r="H5618" t="str">
        <f t="shared" si="590"/>
        <v>01009680628</v>
      </c>
      <c r="I5618" t="str">
        <f t="shared" si="590"/>
        <v>01009680628</v>
      </c>
      <c r="K5618" t="str">
        <f>""</f>
        <v/>
      </c>
      <c r="M5618" t="s">
        <v>68</v>
      </c>
      <c r="N5618" t="str">
        <f t="shared" si="591"/>
        <v>AZ1</v>
      </c>
      <c r="O5618" t="s">
        <v>117</v>
      </c>
      <c r="P5618" s="3" t="s">
        <v>75</v>
      </c>
      <c r="Q5618">
        <v>2016</v>
      </c>
      <c r="R5618" s="2">
        <v>42411</v>
      </c>
      <c r="S5618" s="2">
        <v>42412</v>
      </c>
      <c r="T5618" s="2">
        <v>42411</v>
      </c>
      <c r="U5618" s="2">
        <v>42471</v>
      </c>
      <c r="V5618" t="s">
        <v>71</v>
      </c>
      <c r="W5618" t="str">
        <f>"         FE/2016/512"</f>
        <v xml:space="preserve">         FE/2016/512</v>
      </c>
      <c r="X5618" s="1">
        <v>10530</v>
      </c>
      <c r="Y5618">
        <v>0</v>
      </c>
      <c r="Z5618"/>
      <c r="AB5618"/>
      <c r="AC5618" s="1">
        <v>10530</v>
      </c>
      <c r="AD5618">
        <v>-38</v>
      </c>
      <c r="AE5618" s="1">
        <v>-400140</v>
      </c>
      <c r="AF5618">
        <v>0</v>
      </c>
      <c r="AJ5618">
        <v>0</v>
      </c>
      <c r="AK5618">
        <v>0</v>
      </c>
      <c r="AL5618">
        <v>0</v>
      </c>
      <c r="AM5618">
        <v>0</v>
      </c>
      <c r="AN5618" s="1">
        <v>10530</v>
      </c>
      <c r="AO5618" s="1">
        <v>10530</v>
      </c>
      <c r="AP5618" s="2">
        <v>42746</v>
      </c>
      <c r="AQ5618" t="s">
        <v>72</v>
      </c>
      <c r="AR5618" t="s">
        <v>72</v>
      </c>
      <c r="AS5618">
        <v>659</v>
      </c>
      <c r="AT5618" s="4">
        <v>42433</v>
      </c>
      <c r="AV5618">
        <v>659</v>
      </c>
      <c r="AW5618" s="4">
        <v>42433</v>
      </c>
      <c r="BD5618">
        <v>0</v>
      </c>
      <c r="BN5618" t="s">
        <v>74</v>
      </c>
    </row>
    <row r="5619" spans="1:66" hidden="1">
      <c r="A5619">
        <v>103072</v>
      </c>
      <c r="B5619" s="3" t="s">
        <v>571</v>
      </c>
      <c r="C5619" s="1">
        <v>43201201</v>
      </c>
      <c r="D5619" t="s">
        <v>116</v>
      </c>
      <c r="H5619" t="str">
        <f t="shared" si="590"/>
        <v>01009680628</v>
      </c>
      <c r="I5619" t="str">
        <f t="shared" si="590"/>
        <v>01009680628</v>
      </c>
      <c r="K5619" t="str">
        <f>""</f>
        <v/>
      </c>
      <c r="M5619" t="s">
        <v>68</v>
      </c>
      <c r="N5619" t="str">
        <f t="shared" si="591"/>
        <v>AZ1</v>
      </c>
      <c r="O5619" t="s">
        <v>117</v>
      </c>
      <c r="P5619" s="3" t="s">
        <v>75</v>
      </c>
      <c r="Q5619">
        <v>2016</v>
      </c>
      <c r="R5619" s="2">
        <v>42411</v>
      </c>
      <c r="S5619" s="2">
        <v>42412</v>
      </c>
      <c r="T5619" s="2">
        <v>42411</v>
      </c>
      <c r="U5619" s="2">
        <v>42471</v>
      </c>
      <c r="V5619" t="s">
        <v>71</v>
      </c>
      <c r="W5619" t="str">
        <f>"         FE/2016/513"</f>
        <v xml:space="preserve">         FE/2016/513</v>
      </c>
      <c r="X5619" s="1">
        <v>10166</v>
      </c>
      <c r="Y5619">
        <v>0</v>
      </c>
      <c r="Z5619"/>
      <c r="AB5619"/>
      <c r="AC5619" s="1">
        <v>10166</v>
      </c>
      <c r="AD5619">
        <v>-38</v>
      </c>
      <c r="AE5619" s="1">
        <v>-386308</v>
      </c>
      <c r="AF5619">
        <v>0</v>
      </c>
      <c r="AJ5619">
        <v>0</v>
      </c>
      <c r="AK5619">
        <v>0</v>
      </c>
      <c r="AL5619">
        <v>0</v>
      </c>
      <c r="AM5619">
        <v>0</v>
      </c>
      <c r="AN5619" s="1">
        <v>10166</v>
      </c>
      <c r="AO5619" s="1">
        <v>10166</v>
      </c>
      <c r="AP5619" s="2">
        <v>42746</v>
      </c>
      <c r="AQ5619" t="s">
        <v>72</v>
      </c>
      <c r="AR5619" t="s">
        <v>72</v>
      </c>
      <c r="AS5619">
        <v>659</v>
      </c>
      <c r="AT5619" s="4">
        <v>42433</v>
      </c>
      <c r="AV5619">
        <v>659</v>
      </c>
      <c r="AW5619" s="4">
        <v>42433</v>
      </c>
      <c r="BD5619">
        <v>0</v>
      </c>
      <c r="BN5619" t="s">
        <v>74</v>
      </c>
    </row>
    <row r="5620" spans="1:66" hidden="1">
      <c r="A5620">
        <v>103072</v>
      </c>
      <c r="B5620" s="3" t="s">
        <v>571</v>
      </c>
      <c r="C5620" s="1">
        <v>43201201</v>
      </c>
      <c r="D5620" t="s">
        <v>116</v>
      </c>
      <c r="H5620" t="str">
        <f t="shared" si="590"/>
        <v>01009680628</v>
      </c>
      <c r="I5620" t="str">
        <f t="shared" si="590"/>
        <v>01009680628</v>
      </c>
      <c r="K5620" t="str">
        <f>""</f>
        <v/>
      </c>
      <c r="M5620" t="s">
        <v>68</v>
      </c>
      <c r="N5620" t="str">
        <f t="shared" si="591"/>
        <v>AZ1</v>
      </c>
      <c r="O5620" t="s">
        <v>117</v>
      </c>
      <c r="P5620" s="3" t="s">
        <v>75</v>
      </c>
      <c r="Q5620">
        <v>2016</v>
      </c>
      <c r="R5620" s="2">
        <v>42411</v>
      </c>
      <c r="S5620" s="2">
        <v>42412</v>
      </c>
      <c r="T5620" s="2">
        <v>42411</v>
      </c>
      <c r="U5620" s="2">
        <v>42471</v>
      </c>
      <c r="V5620" t="s">
        <v>71</v>
      </c>
      <c r="W5620" t="str">
        <f>"         FE/2016/515"</f>
        <v xml:space="preserve">         FE/2016/515</v>
      </c>
      <c r="X5620" s="1">
        <v>10586</v>
      </c>
      <c r="Y5620">
        <v>0</v>
      </c>
      <c r="Z5620"/>
      <c r="AB5620"/>
      <c r="AC5620" s="1">
        <v>10586</v>
      </c>
      <c r="AD5620">
        <v>-38</v>
      </c>
      <c r="AE5620" s="1">
        <v>-402268</v>
      </c>
      <c r="AF5620">
        <v>0</v>
      </c>
      <c r="AJ5620">
        <v>0</v>
      </c>
      <c r="AK5620">
        <v>0</v>
      </c>
      <c r="AL5620">
        <v>0</v>
      </c>
      <c r="AM5620">
        <v>0</v>
      </c>
      <c r="AN5620" s="1">
        <v>10586</v>
      </c>
      <c r="AO5620" s="1">
        <v>10586</v>
      </c>
      <c r="AP5620" s="2">
        <v>42746</v>
      </c>
      <c r="AQ5620" t="s">
        <v>72</v>
      </c>
      <c r="AR5620" t="s">
        <v>72</v>
      </c>
      <c r="AS5620">
        <v>659</v>
      </c>
      <c r="AT5620" s="4">
        <v>42433</v>
      </c>
      <c r="AV5620">
        <v>659</v>
      </c>
      <c r="AW5620" s="4">
        <v>42433</v>
      </c>
      <c r="BD5620">
        <v>0</v>
      </c>
      <c r="BN5620" t="s">
        <v>74</v>
      </c>
    </row>
    <row r="5621" spans="1:66">
      <c r="A5621">
        <v>103072</v>
      </c>
      <c r="B5621" s="3" t="s">
        <v>571</v>
      </c>
      <c r="C5621" s="1">
        <v>43201201</v>
      </c>
      <c r="D5621" t="s">
        <v>116</v>
      </c>
      <c r="H5621" t="str">
        <f t="shared" si="590"/>
        <v>01009680628</v>
      </c>
      <c r="I5621" t="str">
        <f t="shared" si="590"/>
        <v>01009680628</v>
      </c>
      <c r="K5621" t="str">
        <f>""</f>
        <v/>
      </c>
      <c r="M5621" t="s">
        <v>68</v>
      </c>
      <c r="N5621" t="str">
        <f t="shared" si="591"/>
        <v>AZ1</v>
      </c>
      <c r="O5621" t="s">
        <v>117</v>
      </c>
      <c r="P5621" s="3" t="s">
        <v>75</v>
      </c>
      <c r="Q5621">
        <v>2016</v>
      </c>
      <c r="R5621" s="2">
        <v>42513</v>
      </c>
      <c r="S5621" s="2">
        <v>42516</v>
      </c>
      <c r="T5621" s="2">
        <v>42513</v>
      </c>
      <c r="U5621" s="2">
        <v>42573</v>
      </c>
      <c r="V5621" t="s">
        <v>71</v>
      </c>
      <c r="W5621" t="str">
        <f>"        FE/2016/1001"</f>
        <v xml:space="preserve">        FE/2016/1001</v>
      </c>
      <c r="X5621" s="1">
        <v>2508.0700000000002</v>
      </c>
      <c r="Y5621">
        <v>0</v>
      </c>
      <c r="Z5621" s="5">
        <v>2055.79</v>
      </c>
      <c r="AA5621">
        <v>109</v>
      </c>
      <c r="AB5621" s="5">
        <v>224081.11</v>
      </c>
      <c r="AC5621" s="1">
        <v>2055.79</v>
      </c>
      <c r="AD5621">
        <v>109</v>
      </c>
      <c r="AE5621" s="1">
        <v>224081.11</v>
      </c>
      <c r="AF5621">
        <v>0</v>
      </c>
      <c r="AJ5621">
        <v>0</v>
      </c>
      <c r="AK5621">
        <v>0</v>
      </c>
      <c r="AL5621">
        <v>0</v>
      </c>
      <c r="AM5621" s="1">
        <v>2508.0700000000002</v>
      </c>
      <c r="AN5621" s="1">
        <v>2508.0700000000002</v>
      </c>
      <c r="AO5621" s="1">
        <v>2508.0700000000002</v>
      </c>
      <c r="AP5621" s="2">
        <v>42746</v>
      </c>
      <c r="AQ5621" t="s">
        <v>72</v>
      </c>
      <c r="AR5621" t="s">
        <v>72</v>
      </c>
      <c r="AS5621">
        <v>2950</v>
      </c>
      <c r="AT5621" s="4">
        <v>42682</v>
      </c>
      <c r="AU5621" t="s">
        <v>73</v>
      </c>
      <c r="AV5621">
        <v>2950</v>
      </c>
      <c r="AW5621" s="4">
        <v>42682</v>
      </c>
      <c r="BD5621">
        <v>0</v>
      </c>
      <c r="BN5621" t="s">
        <v>74</v>
      </c>
    </row>
    <row r="5622" spans="1:66">
      <c r="A5622">
        <v>103072</v>
      </c>
      <c r="B5622" s="3" t="s">
        <v>571</v>
      </c>
      <c r="C5622" s="1">
        <v>43201201</v>
      </c>
      <c r="D5622" t="s">
        <v>116</v>
      </c>
      <c r="H5622" t="str">
        <f t="shared" si="590"/>
        <v>01009680628</v>
      </c>
      <c r="I5622" t="str">
        <f t="shared" si="590"/>
        <v>01009680628</v>
      </c>
      <c r="K5622" t="str">
        <f>""</f>
        <v/>
      </c>
      <c r="M5622" t="s">
        <v>68</v>
      </c>
      <c r="N5622" t="str">
        <f t="shared" si="591"/>
        <v>AZ1</v>
      </c>
      <c r="O5622" t="s">
        <v>117</v>
      </c>
      <c r="P5622" s="3" t="s">
        <v>75</v>
      </c>
      <c r="Q5622">
        <v>2016</v>
      </c>
      <c r="R5622" s="2">
        <v>42557</v>
      </c>
      <c r="S5622" s="2">
        <v>42558</v>
      </c>
      <c r="T5622" s="2">
        <v>42557</v>
      </c>
      <c r="U5622" s="2">
        <v>42617</v>
      </c>
      <c r="V5622" t="s">
        <v>71</v>
      </c>
      <c r="W5622" t="str">
        <f>"        FE/2016/1213"</f>
        <v xml:space="preserve">        FE/2016/1213</v>
      </c>
      <c r="X5622" s="1">
        <v>57962</v>
      </c>
      <c r="Y5622">
        <v>0</v>
      </c>
      <c r="Z5622" s="5">
        <v>57962</v>
      </c>
      <c r="AA5622">
        <v>61</v>
      </c>
      <c r="AB5622" s="5">
        <v>3535682</v>
      </c>
      <c r="AC5622" s="1">
        <v>57962</v>
      </c>
      <c r="AD5622">
        <v>61</v>
      </c>
      <c r="AE5622" s="1">
        <v>3535682</v>
      </c>
      <c r="AF5622">
        <v>0</v>
      </c>
      <c r="AJ5622">
        <v>0</v>
      </c>
      <c r="AK5622">
        <v>0</v>
      </c>
      <c r="AL5622">
        <v>0</v>
      </c>
      <c r="AM5622" s="1">
        <v>57962</v>
      </c>
      <c r="AN5622" s="1">
        <v>57962</v>
      </c>
      <c r="AO5622" s="1">
        <v>57962</v>
      </c>
      <c r="AP5622" s="2">
        <v>42746</v>
      </c>
      <c r="AQ5622" t="s">
        <v>72</v>
      </c>
      <c r="AR5622" t="s">
        <v>72</v>
      </c>
      <c r="AS5622">
        <v>2902</v>
      </c>
      <c r="AT5622" s="4">
        <v>42678</v>
      </c>
      <c r="AU5622" t="s">
        <v>73</v>
      </c>
      <c r="AV5622">
        <v>2902</v>
      </c>
      <c r="AW5622" s="4">
        <v>42678</v>
      </c>
      <c r="BD5622">
        <v>0</v>
      </c>
      <c r="BN5622" t="s">
        <v>74</v>
      </c>
    </row>
    <row r="5623" spans="1:66">
      <c r="A5623">
        <v>103072</v>
      </c>
      <c r="B5623" s="3" t="s">
        <v>571</v>
      </c>
      <c r="C5623" s="1">
        <v>43201201</v>
      </c>
      <c r="D5623" t="s">
        <v>116</v>
      </c>
      <c r="H5623" t="str">
        <f t="shared" si="590"/>
        <v>01009680628</v>
      </c>
      <c r="I5623" t="str">
        <f t="shared" si="590"/>
        <v>01009680628</v>
      </c>
      <c r="K5623" t="str">
        <f>""</f>
        <v/>
      </c>
      <c r="M5623" t="s">
        <v>68</v>
      </c>
      <c r="N5623" t="str">
        <f t="shared" si="591"/>
        <v>AZ1</v>
      </c>
      <c r="O5623" t="s">
        <v>117</v>
      </c>
      <c r="P5623" s="3" t="s">
        <v>75</v>
      </c>
      <c r="Q5623">
        <v>2016</v>
      </c>
      <c r="R5623" s="2">
        <v>42585</v>
      </c>
      <c r="S5623" s="2">
        <v>42612</v>
      </c>
      <c r="T5623" s="2">
        <v>42611</v>
      </c>
      <c r="U5623" s="2">
        <v>42671</v>
      </c>
      <c r="V5623" t="s">
        <v>71</v>
      </c>
      <c r="W5623" t="str">
        <f>"        FE/2016/1474"</f>
        <v xml:space="preserve">        FE/2016/1474</v>
      </c>
      <c r="X5623" s="1">
        <v>31562</v>
      </c>
      <c r="Y5623">
        <v>0</v>
      </c>
      <c r="Z5623" s="5">
        <v>31562</v>
      </c>
      <c r="AA5623">
        <v>7</v>
      </c>
      <c r="AB5623" s="5">
        <v>220934</v>
      </c>
      <c r="AC5623" s="1">
        <v>31562</v>
      </c>
      <c r="AD5623">
        <v>7</v>
      </c>
      <c r="AE5623" s="1">
        <v>220934</v>
      </c>
      <c r="AF5623">
        <v>0</v>
      </c>
      <c r="AJ5623">
        <v>0</v>
      </c>
      <c r="AK5623">
        <v>0</v>
      </c>
      <c r="AL5623">
        <v>0</v>
      </c>
      <c r="AM5623" s="1">
        <v>31562</v>
      </c>
      <c r="AN5623" s="1">
        <v>31562</v>
      </c>
      <c r="AO5623" s="1">
        <v>31562</v>
      </c>
      <c r="AP5623" s="2">
        <v>42746</v>
      </c>
      <c r="AQ5623" t="s">
        <v>72</v>
      </c>
      <c r="AR5623" t="s">
        <v>72</v>
      </c>
      <c r="AS5623">
        <v>2902</v>
      </c>
      <c r="AT5623" s="4">
        <v>42678</v>
      </c>
      <c r="AU5623" t="s">
        <v>73</v>
      </c>
      <c r="AV5623">
        <v>2902</v>
      </c>
      <c r="AW5623" s="4">
        <v>42678</v>
      </c>
      <c r="BD5623">
        <v>0</v>
      </c>
      <c r="BN5623" t="s">
        <v>74</v>
      </c>
    </row>
    <row r="5624" spans="1:66">
      <c r="A5624">
        <v>103072</v>
      </c>
      <c r="B5624" s="3" t="s">
        <v>571</v>
      </c>
      <c r="C5624" s="1">
        <v>43201201</v>
      </c>
      <c r="D5624" t="s">
        <v>116</v>
      </c>
      <c r="H5624" t="str">
        <f t="shared" si="590"/>
        <v>01009680628</v>
      </c>
      <c r="I5624" t="str">
        <f t="shared" si="590"/>
        <v>01009680628</v>
      </c>
      <c r="K5624" t="str">
        <f>""</f>
        <v/>
      </c>
      <c r="M5624" t="s">
        <v>68</v>
      </c>
      <c r="N5624" t="str">
        <f t="shared" si="591"/>
        <v>AZ1</v>
      </c>
      <c r="O5624" t="s">
        <v>117</v>
      </c>
      <c r="P5624" s="3" t="s">
        <v>75</v>
      </c>
      <c r="Q5624">
        <v>2016</v>
      </c>
      <c r="R5624" s="2">
        <v>42585</v>
      </c>
      <c r="S5624" s="2">
        <v>42591</v>
      </c>
      <c r="T5624" s="2">
        <v>42587</v>
      </c>
      <c r="U5624" s="2">
        <v>42647</v>
      </c>
      <c r="V5624" t="s">
        <v>71</v>
      </c>
      <c r="W5624" t="str">
        <f>"        FE/2016/1487"</f>
        <v xml:space="preserve">        FE/2016/1487</v>
      </c>
      <c r="X5624" s="1">
        <v>40742</v>
      </c>
      <c r="Y5624">
        <v>0</v>
      </c>
      <c r="Z5624" s="5">
        <v>40742</v>
      </c>
      <c r="AA5624">
        <v>31</v>
      </c>
      <c r="AB5624" s="5">
        <v>1263002</v>
      </c>
      <c r="AC5624" s="1">
        <v>40742</v>
      </c>
      <c r="AD5624">
        <v>31</v>
      </c>
      <c r="AE5624" s="1">
        <v>1263002</v>
      </c>
      <c r="AF5624">
        <v>0</v>
      </c>
      <c r="AJ5624">
        <v>0</v>
      </c>
      <c r="AK5624">
        <v>0</v>
      </c>
      <c r="AL5624">
        <v>0</v>
      </c>
      <c r="AM5624" s="1">
        <v>40742</v>
      </c>
      <c r="AN5624" s="1">
        <v>40742</v>
      </c>
      <c r="AO5624" s="1">
        <v>40742</v>
      </c>
      <c r="AP5624" s="2">
        <v>42746</v>
      </c>
      <c r="AQ5624" t="s">
        <v>72</v>
      </c>
      <c r="AR5624" t="s">
        <v>72</v>
      </c>
      <c r="AS5624">
        <v>2902</v>
      </c>
      <c r="AT5624" s="4">
        <v>42678</v>
      </c>
      <c r="AU5624" t="s">
        <v>73</v>
      </c>
      <c r="AV5624">
        <v>2902</v>
      </c>
      <c r="AW5624" s="4">
        <v>42678</v>
      </c>
      <c r="BD5624">
        <v>0</v>
      </c>
      <c r="BN5624" t="s">
        <v>74</v>
      </c>
    </row>
    <row r="5625" spans="1:66">
      <c r="A5625">
        <v>103072</v>
      </c>
      <c r="B5625" s="3" t="s">
        <v>571</v>
      </c>
      <c r="C5625" s="1">
        <v>43201201</v>
      </c>
      <c r="D5625" t="s">
        <v>116</v>
      </c>
      <c r="H5625" t="str">
        <f t="shared" si="590"/>
        <v>01009680628</v>
      </c>
      <c r="I5625" t="str">
        <f t="shared" si="590"/>
        <v>01009680628</v>
      </c>
      <c r="K5625" t="str">
        <f>""</f>
        <v/>
      </c>
      <c r="M5625" t="s">
        <v>68</v>
      </c>
      <c r="N5625" t="str">
        <f t="shared" si="591"/>
        <v>AZ1</v>
      </c>
      <c r="O5625" t="s">
        <v>117</v>
      </c>
      <c r="P5625" s="3" t="s">
        <v>75</v>
      </c>
      <c r="Q5625">
        <v>2016</v>
      </c>
      <c r="R5625" s="2">
        <v>42640</v>
      </c>
      <c r="S5625" s="2">
        <v>42640</v>
      </c>
      <c r="T5625" s="2">
        <v>42640</v>
      </c>
      <c r="U5625" s="2">
        <v>42700</v>
      </c>
      <c r="V5625" t="s">
        <v>71</v>
      </c>
      <c r="W5625" t="str">
        <f>"        FE/2016/1732"</f>
        <v xml:space="preserve">        FE/2016/1732</v>
      </c>
      <c r="X5625" s="1">
        <v>10278</v>
      </c>
      <c r="Y5625">
        <v>0</v>
      </c>
      <c r="Z5625" s="5">
        <v>10278</v>
      </c>
      <c r="AA5625">
        <v>-22</v>
      </c>
      <c r="AB5625" s="5">
        <v>-226116</v>
      </c>
      <c r="AC5625" s="1">
        <v>10278</v>
      </c>
      <c r="AD5625">
        <v>-22</v>
      </c>
      <c r="AE5625" s="1">
        <v>-226116</v>
      </c>
      <c r="AF5625">
        <v>0</v>
      </c>
      <c r="AJ5625">
        <v>0</v>
      </c>
      <c r="AK5625">
        <v>0</v>
      </c>
      <c r="AL5625">
        <v>0</v>
      </c>
      <c r="AM5625" s="1">
        <v>10278</v>
      </c>
      <c r="AN5625" s="1">
        <v>10278</v>
      </c>
      <c r="AO5625" s="1">
        <v>10278</v>
      </c>
      <c r="AP5625" s="2">
        <v>42746</v>
      </c>
      <c r="AQ5625" t="s">
        <v>72</v>
      </c>
      <c r="AR5625" t="s">
        <v>72</v>
      </c>
      <c r="AS5625">
        <v>2902</v>
      </c>
      <c r="AT5625" s="4">
        <v>42678</v>
      </c>
      <c r="AV5625">
        <v>2902</v>
      </c>
      <c r="AW5625" s="4">
        <v>42678</v>
      </c>
      <c r="BD5625">
        <v>0</v>
      </c>
      <c r="BN5625" t="s">
        <v>74</v>
      </c>
    </row>
    <row r="5626" spans="1:66" hidden="1">
      <c r="A5626">
        <v>103073</v>
      </c>
      <c r="B5626" s="3" t="s">
        <v>572</v>
      </c>
      <c r="C5626" s="1">
        <v>43300101</v>
      </c>
      <c r="D5626" t="s">
        <v>67</v>
      </c>
      <c r="H5626" t="str">
        <f t="shared" ref="H5626:I5632" si="592">"08763060152"</f>
        <v>08763060152</v>
      </c>
      <c r="I5626" t="str">
        <f t="shared" si="592"/>
        <v>08763060152</v>
      </c>
      <c r="K5626" t="str">
        <f>""</f>
        <v/>
      </c>
      <c r="M5626" t="s">
        <v>68</v>
      </c>
      <c r="N5626" t="str">
        <f t="shared" ref="N5626:N5689" si="593">"FOR"</f>
        <v>FOR</v>
      </c>
      <c r="O5626" t="s">
        <v>69</v>
      </c>
      <c r="P5626" s="3" t="s">
        <v>75</v>
      </c>
      <c r="Q5626">
        <v>2015</v>
      </c>
      <c r="R5626" s="2">
        <v>42109</v>
      </c>
      <c r="S5626" s="2">
        <v>42115</v>
      </c>
      <c r="T5626" s="2">
        <v>42114</v>
      </c>
      <c r="U5626" s="2">
        <v>42174</v>
      </c>
      <c r="V5626" t="s">
        <v>71</v>
      </c>
      <c r="W5626" t="str">
        <f>"           300444/15"</f>
        <v xml:space="preserve">           300444/15</v>
      </c>
      <c r="X5626" s="1">
        <v>4697</v>
      </c>
      <c r="Y5626">
        <v>0</v>
      </c>
      <c r="Z5626"/>
      <c r="AB5626"/>
      <c r="AC5626" s="1">
        <v>3850</v>
      </c>
      <c r="AD5626">
        <v>257</v>
      </c>
      <c r="AE5626" s="1">
        <v>989450</v>
      </c>
      <c r="AF5626">
        <v>0</v>
      </c>
      <c r="AJ5626">
        <v>0</v>
      </c>
      <c r="AK5626">
        <v>0</v>
      </c>
      <c r="AL5626">
        <v>0</v>
      </c>
      <c r="AM5626">
        <v>0</v>
      </c>
      <c r="AN5626">
        <v>0</v>
      </c>
      <c r="AO5626">
        <v>0</v>
      </c>
      <c r="AP5626" s="2">
        <v>42746</v>
      </c>
      <c r="AQ5626" t="s">
        <v>72</v>
      </c>
      <c r="AR5626" t="s">
        <v>72</v>
      </c>
      <c r="AS5626">
        <v>630</v>
      </c>
      <c r="AT5626" s="4">
        <v>42431</v>
      </c>
      <c r="AU5626" t="s">
        <v>73</v>
      </c>
      <c r="AV5626">
        <v>630</v>
      </c>
      <c r="AW5626" s="4">
        <v>42431</v>
      </c>
      <c r="BD5626">
        <v>0</v>
      </c>
      <c r="BN5626" t="s">
        <v>74</v>
      </c>
    </row>
    <row r="5627" spans="1:66" hidden="1">
      <c r="A5627">
        <v>103073</v>
      </c>
      <c r="B5627" s="3" t="s">
        <v>572</v>
      </c>
      <c r="C5627" s="1">
        <v>43300101</v>
      </c>
      <c r="D5627" t="s">
        <v>67</v>
      </c>
      <c r="H5627" t="str">
        <f t="shared" si="592"/>
        <v>08763060152</v>
      </c>
      <c r="I5627" t="str">
        <f t="shared" si="592"/>
        <v>08763060152</v>
      </c>
      <c r="K5627" t="str">
        <f>""</f>
        <v/>
      </c>
      <c r="M5627" t="s">
        <v>68</v>
      </c>
      <c r="N5627" t="str">
        <f t="shared" si="593"/>
        <v>FOR</v>
      </c>
      <c r="O5627" t="s">
        <v>69</v>
      </c>
      <c r="P5627" s="3" t="s">
        <v>75</v>
      </c>
      <c r="Q5627">
        <v>2015</v>
      </c>
      <c r="R5627" s="2">
        <v>42139</v>
      </c>
      <c r="S5627" s="2">
        <v>42174</v>
      </c>
      <c r="T5627" s="2">
        <v>42139</v>
      </c>
      <c r="U5627" s="2">
        <v>42199</v>
      </c>
      <c r="V5627" t="s">
        <v>71</v>
      </c>
      <c r="W5627" t="str">
        <f>"           300627/15"</f>
        <v xml:space="preserve">           300627/15</v>
      </c>
      <c r="X5627" s="1">
        <v>2318</v>
      </c>
      <c r="Y5627">
        <v>0</v>
      </c>
      <c r="Z5627"/>
      <c r="AB5627"/>
      <c r="AC5627" s="1">
        <v>1900</v>
      </c>
      <c r="AD5627">
        <v>232</v>
      </c>
      <c r="AE5627" s="1">
        <v>440800</v>
      </c>
      <c r="AF5627">
        <v>0</v>
      </c>
      <c r="AJ5627">
        <v>0</v>
      </c>
      <c r="AK5627">
        <v>0</v>
      </c>
      <c r="AL5627">
        <v>0</v>
      </c>
      <c r="AM5627">
        <v>0</v>
      </c>
      <c r="AN5627">
        <v>0</v>
      </c>
      <c r="AO5627">
        <v>0</v>
      </c>
      <c r="AP5627" s="2">
        <v>42746</v>
      </c>
      <c r="AQ5627" t="s">
        <v>72</v>
      </c>
      <c r="AR5627" t="s">
        <v>72</v>
      </c>
      <c r="AS5627">
        <v>630</v>
      </c>
      <c r="AT5627" s="4">
        <v>42431</v>
      </c>
      <c r="AU5627" t="s">
        <v>73</v>
      </c>
      <c r="AV5627">
        <v>630</v>
      </c>
      <c r="AW5627" s="4">
        <v>42431</v>
      </c>
      <c r="BD5627">
        <v>0</v>
      </c>
      <c r="BN5627" t="s">
        <v>74</v>
      </c>
    </row>
    <row r="5628" spans="1:66" hidden="1">
      <c r="A5628">
        <v>103073</v>
      </c>
      <c r="B5628" s="3" t="s">
        <v>572</v>
      </c>
      <c r="C5628" s="1">
        <v>43300101</v>
      </c>
      <c r="D5628" t="s">
        <v>67</v>
      </c>
      <c r="H5628" t="str">
        <f t="shared" si="592"/>
        <v>08763060152</v>
      </c>
      <c r="I5628" t="str">
        <f t="shared" si="592"/>
        <v>08763060152</v>
      </c>
      <c r="K5628" t="str">
        <f>""</f>
        <v/>
      </c>
      <c r="M5628" t="s">
        <v>68</v>
      </c>
      <c r="N5628" t="str">
        <f t="shared" si="593"/>
        <v>FOR</v>
      </c>
      <c r="O5628" t="s">
        <v>69</v>
      </c>
      <c r="P5628" s="3" t="s">
        <v>75</v>
      </c>
      <c r="Q5628">
        <v>2015</v>
      </c>
      <c r="R5628" s="2">
        <v>42198</v>
      </c>
      <c r="S5628" s="2">
        <v>42202</v>
      </c>
      <c r="T5628" s="2">
        <v>42199</v>
      </c>
      <c r="U5628" s="2">
        <v>42259</v>
      </c>
      <c r="V5628" t="s">
        <v>71</v>
      </c>
      <c r="W5628" t="str">
        <f>"           300894/15"</f>
        <v xml:space="preserve">           300894/15</v>
      </c>
      <c r="X5628" s="1">
        <v>4636</v>
      </c>
      <c r="Y5628">
        <v>0</v>
      </c>
      <c r="Z5628"/>
      <c r="AB5628"/>
      <c r="AC5628" s="1">
        <v>3800</v>
      </c>
      <c r="AD5628">
        <v>205</v>
      </c>
      <c r="AE5628" s="1">
        <v>779000</v>
      </c>
      <c r="AF5628">
        <v>0</v>
      </c>
      <c r="AJ5628">
        <v>0</v>
      </c>
      <c r="AK5628">
        <v>0</v>
      </c>
      <c r="AL5628">
        <v>0</v>
      </c>
      <c r="AM5628">
        <v>0</v>
      </c>
      <c r="AN5628">
        <v>0</v>
      </c>
      <c r="AO5628">
        <v>0</v>
      </c>
      <c r="AP5628" s="2">
        <v>42746</v>
      </c>
      <c r="AQ5628" t="s">
        <v>72</v>
      </c>
      <c r="AR5628" t="s">
        <v>72</v>
      </c>
      <c r="AS5628">
        <v>986</v>
      </c>
      <c r="AT5628" s="4">
        <v>42464</v>
      </c>
      <c r="AU5628" t="s">
        <v>73</v>
      </c>
      <c r="AV5628">
        <v>986</v>
      </c>
      <c r="AW5628" s="4">
        <v>42464</v>
      </c>
      <c r="BD5628">
        <v>0</v>
      </c>
      <c r="BN5628" t="s">
        <v>74</v>
      </c>
    </row>
    <row r="5629" spans="1:66" hidden="1">
      <c r="A5629">
        <v>103073</v>
      </c>
      <c r="B5629" s="3" t="s">
        <v>572</v>
      </c>
      <c r="C5629" s="1">
        <v>43300101</v>
      </c>
      <c r="D5629" t="s">
        <v>67</v>
      </c>
      <c r="H5629" t="str">
        <f t="shared" si="592"/>
        <v>08763060152</v>
      </c>
      <c r="I5629" t="str">
        <f t="shared" si="592"/>
        <v>08763060152</v>
      </c>
      <c r="K5629" t="str">
        <f>""</f>
        <v/>
      </c>
      <c r="M5629" t="s">
        <v>68</v>
      </c>
      <c r="N5629" t="str">
        <f t="shared" si="593"/>
        <v>FOR</v>
      </c>
      <c r="O5629" t="s">
        <v>69</v>
      </c>
      <c r="P5629" s="3" t="s">
        <v>75</v>
      </c>
      <c r="Q5629">
        <v>2015</v>
      </c>
      <c r="R5629" s="2">
        <v>42307</v>
      </c>
      <c r="S5629" s="2">
        <v>42312</v>
      </c>
      <c r="T5629" s="2">
        <v>42312</v>
      </c>
      <c r="U5629" s="2">
        <v>42372</v>
      </c>
      <c r="V5629" t="s">
        <v>71</v>
      </c>
      <c r="W5629" t="str">
        <f>"           301417/15"</f>
        <v xml:space="preserve">           301417/15</v>
      </c>
      <c r="X5629" s="1">
        <v>2318</v>
      </c>
      <c r="Y5629">
        <v>0</v>
      </c>
      <c r="Z5629"/>
      <c r="AB5629"/>
      <c r="AC5629" s="1">
        <v>1900</v>
      </c>
      <c r="AD5629">
        <v>92</v>
      </c>
      <c r="AE5629" s="1">
        <v>174800</v>
      </c>
      <c r="AF5629">
        <v>0</v>
      </c>
      <c r="AJ5629">
        <v>0</v>
      </c>
      <c r="AK5629">
        <v>0</v>
      </c>
      <c r="AL5629">
        <v>0</v>
      </c>
      <c r="AM5629">
        <v>0</v>
      </c>
      <c r="AN5629">
        <v>0</v>
      </c>
      <c r="AO5629">
        <v>0</v>
      </c>
      <c r="AP5629" s="2">
        <v>42746</v>
      </c>
      <c r="AQ5629" t="s">
        <v>72</v>
      </c>
      <c r="AR5629" t="s">
        <v>72</v>
      </c>
      <c r="AS5629">
        <v>986</v>
      </c>
      <c r="AT5629" s="4">
        <v>42464</v>
      </c>
      <c r="AU5629" t="s">
        <v>73</v>
      </c>
      <c r="AV5629">
        <v>986</v>
      </c>
      <c r="AW5629" s="4">
        <v>42464</v>
      </c>
      <c r="BD5629">
        <v>0</v>
      </c>
      <c r="BN5629" t="s">
        <v>74</v>
      </c>
    </row>
    <row r="5630" spans="1:66" hidden="1">
      <c r="A5630">
        <v>103073</v>
      </c>
      <c r="B5630" s="3" t="s">
        <v>572</v>
      </c>
      <c r="C5630" s="1">
        <v>43300101</v>
      </c>
      <c r="D5630" t="s">
        <v>67</v>
      </c>
      <c r="H5630" t="str">
        <f t="shared" si="592"/>
        <v>08763060152</v>
      </c>
      <c r="I5630" t="str">
        <f t="shared" si="592"/>
        <v>08763060152</v>
      </c>
      <c r="K5630" t="str">
        <f>""</f>
        <v/>
      </c>
      <c r="M5630" t="s">
        <v>68</v>
      </c>
      <c r="N5630" t="str">
        <f t="shared" si="593"/>
        <v>FOR</v>
      </c>
      <c r="O5630" t="s">
        <v>69</v>
      </c>
      <c r="P5630" s="3" t="s">
        <v>75</v>
      </c>
      <c r="Q5630">
        <v>2015</v>
      </c>
      <c r="R5630" s="2">
        <v>42366</v>
      </c>
      <c r="S5630" s="2">
        <v>42369</v>
      </c>
      <c r="T5630" s="2">
        <v>42368</v>
      </c>
      <c r="U5630" s="2">
        <v>42428</v>
      </c>
      <c r="V5630" t="s">
        <v>71</v>
      </c>
      <c r="W5630" t="str">
        <f>"           301693/15"</f>
        <v xml:space="preserve">           301693/15</v>
      </c>
      <c r="X5630" s="1">
        <v>10858</v>
      </c>
      <c r="Y5630">
        <v>0</v>
      </c>
      <c r="Z5630"/>
      <c r="AB5630"/>
      <c r="AC5630" s="1">
        <v>8900</v>
      </c>
      <c r="AD5630">
        <v>101</v>
      </c>
      <c r="AE5630" s="1">
        <v>898900</v>
      </c>
      <c r="AF5630">
        <v>0</v>
      </c>
      <c r="AJ5630">
        <v>0</v>
      </c>
      <c r="AK5630">
        <v>0</v>
      </c>
      <c r="AL5630">
        <v>0</v>
      </c>
      <c r="AM5630">
        <v>0</v>
      </c>
      <c r="AN5630">
        <v>0</v>
      </c>
      <c r="AO5630">
        <v>0</v>
      </c>
      <c r="AP5630" s="2">
        <v>42746</v>
      </c>
      <c r="AQ5630" t="s">
        <v>72</v>
      </c>
      <c r="AR5630" t="s">
        <v>72</v>
      </c>
      <c r="AS5630">
        <v>1593</v>
      </c>
      <c r="AT5630" s="4">
        <v>42529</v>
      </c>
      <c r="AU5630" t="s">
        <v>73</v>
      </c>
      <c r="AV5630">
        <v>1593</v>
      </c>
      <c r="AW5630" s="4">
        <v>42529</v>
      </c>
      <c r="BD5630">
        <v>0</v>
      </c>
      <c r="BN5630" t="s">
        <v>74</v>
      </c>
    </row>
    <row r="5631" spans="1:66">
      <c r="A5631">
        <v>103073</v>
      </c>
      <c r="B5631" s="3" t="s">
        <v>572</v>
      </c>
      <c r="C5631" s="1">
        <v>43300101</v>
      </c>
      <c r="D5631" t="s">
        <v>67</v>
      </c>
      <c r="H5631" t="str">
        <f t="shared" si="592"/>
        <v>08763060152</v>
      </c>
      <c r="I5631" t="str">
        <f t="shared" si="592"/>
        <v>08763060152</v>
      </c>
      <c r="K5631" t="str">
        <f>""</f>
        <v/>
      </c>
      <c r="M5631" t="s">
        <v>68</v>
      </c>
      <c r="N5631" t="str">
        <f t="shared" si="593"/>
        <v>FOR</v>
      </c>
      <c r="O5631" t="s">
        <v>69</v>
      </c>
      <c r="P5631" s="3" t="s">
        <v>75</v>
      </c>
      <c r="Q5631">
        <v>2016</v>
      </c>
      <c r="R5631" s="2">
        <v>42475</v>
      </c>
      <c r="S5631" s="2">
        <v>42487</v>
      </c>
      <c r="T5631" s="2">
        <v>42486</v>
      </c>
      <c r="U5631" s="2">
        <v>42546</v>
      </c>
      <c r="V5631" t="s">
        <v>71</v>
      </c>
      <c r="W5631" t="str">
        <f>"           400382/16"</f>
        <v xml:space="preserve">           400382/16</v>
      </c>
      <c r="X5631" s="1">
        <v>8942.6</v>
      </c>
      <c r="Y5631">
        <v>0</v>
      </c>
      <c r="Z5631" s="5">
        <v>7330</v>
      </c>
      <c r="AA5631">
        <v>101</v>
      </c>
      <c r="AB5631" s="5">
        <v>740330</v>
      </c>
      <c r="AC5631" s="1">
        <v>7330</v>
      </c>
      <c r="AD5631">
        <v>101</v>
      </c>
      <c r="AE5631" s="1">
        <v>740330</v>
      </c>
      <c r="AF5631">
        <v>0</v>
      </c>
      <c r="AJ5631">
        <v>0</v>
      </c>
      <c r="AK5631">
        <v>0</v>
      </c>
      <c r="AL5631">
        <v>0</v>
      </c>
      <c r="AM5631" s="1">
        <v>8942.6</v>
      </c>
      <c r="AN5631" s="1">
        <v>8942.6</v>
      </c>
      <c r="AO5631" s="1">
        <v>8942.6</v>
      </c>
      <c r="AP5631" s="2">
        <v>42746</v>
      </c>
      <c r="AQ5631" t="s">
        <v>72</v>
      </c>
      <c r="AR5631" t="s">
        <v>72</v>
      </c>
      <c r="AS5631">
        <v>2636</v>
      </c>
      <c r="AT5631" s="4">
        <v>42647</v>
      </c>
      <c r="AU5631" t="s">
        <v>73</v>
      </c>
      <c r="AV5631">
        <v>2636</v>
      </c>
      <c r="AW5631" s="4">
        <v>42647</v>
      </c>
      <c r="BD5631">
        <v>0</v>
      </c>
      <c r="BN5631" t="s">
        <v>74</v>
      </c>
    </row>
    <row r="5632" spans="1:66">
      <c r="A5632">
        <v>103073</v>
      </c>
      <c r="B5632" s="3" t="s">
        <v>572</v>
      </c>
      <c r="C5632" s="1">
        <v>43300101</v>
      </c>
      <c r="D5632" t="s">
        <v>67</v>
      </c>
      <c r="H5632" t="str">
        <f t="shared" si="592"/>
        <v>08763060152</v>
      </c>
      <c r="I5632" t="str">
        <f t="shared" si="592"/>
        <v>08763060152</v>
      </c>
      <c r="K5632" t="str">
        <f>""</f>
        <v/>
      </c>
      <c r="M5632" t="s">
        <v>68</v>
      </c>
      <c r="N5632" t="str">
        <f t="shared" si="593"/>
        <v>FOR</v>
      </c>
      <c r="O5632" t="s">
        <v>69</v>
      </c>
      <c r="P5632" s="3" t="s">
        <v>75</v>
      </c>
      <c r="Q5632">
        <v>2016</v>
      </c>
      <c r="R5632" s="2">
        <v>42543</v>
      </c>
      <c r="S5632" s="2">
        <v>42550</v>
      </c>
      <c r="T5632" s="2">
        <v>42548</v>
      </c>
      <c r="U5632" s="2">
        <v>42608</v>
      </c>
      <c r="V5632" t="s">
        <v>71</v>
      </c>
      <c r="W5632" t="str">
        <f>"           400696/16"</f>
        <v xml:space="preserve">           400696/16</v>
      </c>
      <c r="X5632" s="1">
        <v>6954</v>
      </c>
      <c r="Y5632">
        <v>0</v>
      </c>
      <c r="Z5632" s="5">
        <v>5700</v>
      </c>
      <c r="AA5632">
        <v>39</v>
      </c>
      <c r="AB5632" s="5">
        <v>222300</v>
      </c>
      <c r="AC5632" s="1">
        <v>5700</v>
      </c>
      <c r="AD5632">
        <v>39</v>
      </c>
      <c r="AE5632" s="1">
        <v>222300</v>
      </c>
      <c r="AF5632">
        <v>0</v>
      </c>
      <c r="AJ5632">
        <v>0</v>
      </c>
      <c r="AK5632">
        <v>0</v>
      </c>
      <c r="AL5632">
        <v>0</v>
      </c>
      <c r="AM5632" s="1">
        <v>6954</v>
      </c>
      <c r="AN5632" s="1">
        <v>6954</v>
      </c>
      <c r="AO5632" s="1">
        <v>6954</v>
      </c>
      <c r="AP5632" s="2">
        <v>42746</v>
      </c>
      <c r="AQ5632" t="s">
        <v>72</v>
      </c>
      <c r="AR5632" t="s">
        <v>72</v>
      </c>
      <c r="AS5632">
        <v>2636</v>
      </c>
      <c r="AT5632" s="4">
        <v>42647</v>
      </c>
      <c r="AU5632" t="s">
        <v>73</v>
      </c>
      <c r="AV5632">
        <v>2636</v>
      </c>
      <c r="AW5632" s="4">
        <v>42647</v>
      </c>
      <c r="BD5632">
        <v>0</v>
      </c>
      <c r="BN5632" t="s">
        <v>74</v>
      </c>
    </row>
    <row r="5633" spans="1:66">
      <c r="A5633">
        <v>103077</v>
      </c>
      <c r="B5633" s="3" t="s">
        <v>573</v>
      </c>
      <c r="C5633" s="1">
        <v>43300101</v>
      </c>
      <c r="D5633" t="s">
        <v>67</v>
      </c>
      <c r="H5633" t="str">
        <f t="shared" ref="H5633:H5638" si="594">"00962280590"</f>
        <v>00962280590</v>
      </c>
      <c r="I5633" t="str">
        <f t="shared" ref="I5633:I5638" si="595">"02707070963"</f>
        <v>02707070963</v>
      </c>
      <c r="K5633" t="str">
        <f>""</f>
        <v/>
      </c>
      <c r="M5633" t="s">
        <v>68</v>
      </c>
      <c r="N5633" t="str">
        <f t="shared" si="593"/>
        <v>FOR</v>
      </c>
      <c r="O5633" t="s">
        <v>69</v>
      </c>
      <c r="P5633" s="3" t="s">
        <v>75</v>
      </c>
      <c r="Q5633">
        <v>2015</v>
      </c>
      <c r="R5633" s="2">
        <v>42360</v>
      </c>
      <c r="S5633" s="2">
        <v>42361</v>
      </c>
      <c r="T5633" s="2">
        <v>42361</v>
      </c>
      <c r="U5633" s="2">
        <v>42421</v>
      </c>
      <c r="V5633" t="s">
        <v>71</v>
      </c>
      <c r="W5633" t="str">
        <f>"          8715191003"</f>
        <v xml:space="preserve">          8715191003</v>
      </c>
      <c r="X5633" s="1">
        <v>3477.76</v>
      </c>
      <c r="Y5633">
        <v>0</v>
      </c>
      <c r="Z5633" s="5">
        <v>3161.6</v>
      </c>
      <c r="AA5633">
        <v>269</v>
      </c>
      <c r="AB5633" s="5">
        <v>850470.40000000002</v>
      </c>
      <c r="AC5633" s="1">
        <v>3161.6</v>
      </c>
      <c r="AD5633">
        <v>269</v>
      </c>
      <c r="AE5633" s="1">
        <v>850470.40000000002</v>
      </c>
      <c r="AF5633">
        <v>0</v>
      </c>
      <c r="AJ5633">
        <v>0</v>
      </c>
      <c r="AK5633">
        <v>0</v>
      </c>
      <c r="AL5633">
        <v>0</v>
      </c>
      <c r="AM5633">
        <v>0</v>
      </c>
      <c r="AN5633">
        <v>0</v>
      </c>
      <c r="AO5633">
        <v>0</v>
      </c>
      <c r="AP5633" s="2">
        <v>42746</v>
      </c>
      <c r="AQ5633" t="s">
        <v>72</v>
      </c>
      <c r="AR5633" t="s">
        <v>72</v>
      </c>
      <c r="AS5633">
        <v>3124</v>
      </c>
      <c r="AT5633" s="4">
        <v>42690</v>
      </c>
      <c r="AU5633" t="s">
        <v>73</v>
      </c>
      <c r="AV5633">
        <v>3124</v>
      </c>
      <c r="AW5633" s="4">
        <v>42690</v>
      </c>
      <c r="BD5633">
        <v>0</v>
      </c>
      <c r="BN5633" t="s">
        <v>74</v>
      </c>
    </row>
    <row r="5634" spans="1:66">
      <c r="A5634">
        <v>103077</v>
      </c>
      <c r="B5634" s="3" t="s">
        <v>573</v>
      </c>
      <c r="C5634" s="1">
        <v>43300101</v>
      </c>
      <c r="D5634" t="s">
        <v>67</v>
      </c>
      <c r="H5634" t="str">
        <f t="shared" si="594"/>
        <v>00962280590</v>
      </c>
      <c r="I5634" t="str">
        <f t="shared" si="595"/>
        <v>02707070963</v>
      </c>
      <c r="K5634" t="str">
        <f>""</f>
        <v/>
      </c>
      <c r="M5634" t="s">
        <v>68</v>
      </c>
      <c r="N5634" t="str">
        <f t="shared" si="593"/>
        <v>FOR</v>
      </c>
      <c r="O5634" t="s">
        <v>69</v>
      </c>
      <c r="P5634" s="3" t="s">
        <v>75</v>
      </c>
      <c r="Q5634">
        <v>2016</v>
      </c>
      <c r="R5634" s="2">
        <v>42387</v>
      </c>
      <c r="S5634" s="2">
        <v>42389</v>
      </c>
      <c r="T5634" s="2">
        <v>42388</v>
      </c>
      <c r="U5634" s="2">
        <v>42448</v>
      </c>
      <c r="V5634" t="s">
        <v>71</v>
      </c>
      <c r="W5634" t="str">
        <f>"          8716104008"</f>
        <v xml:space="preserve">          8716104008</v>
      </c>
      <c r="X5634" s="1">
        <v>1738.88</v>
      </c>
      <c r="Y5634">
        <v>0</v>
      </c>
      <c r="Z5634" s="5">
        <v>1580.8</v>
      </c>
      <c r="AA5634">
        <v>242</v>
      </c>
      <c r="AB5634" s="5">
        <v>382553.59999999998</v>
      </c>
      <c r="AC5634" s="1">
        <v>1580.8</v>
      </c>
      <c r="AD5634">
        <v>242</v>
      </c>
      <c r="AE5634" s="1">
        <v>382553.59999999998</v>
      </c>
      <c r="AF5634">
        <v>0</v>
      </c>
      <c r="AJ5634">
        <v>0</v>
      </c>
      <c r="AK5634">
        <v>0</v>
      </c>
      <c r="AL5634">
        <v>0</v>
      </c>
      <c r="AM5634" s="1">
        <v>1738.88</v>
      </c>
      <c r="AN5634" s="1">
        <v>1738.88</v>
      </c>
      <c r="AO5634" s="1">
        <v>1738.88</v>
      </c>
      <c r="AP5634" s="2">
        <v>42746</v>
      </c>
      <c r="AQ5634" t="s">
        <v>72</v>
      </c>
      <c r="AR5634" t="s">
        <v>72</v>
      </c>
      <c r="AS5634">
        <v>3124</v>
      </c>
      <c r="AT5634" s="4">
        <v>42690</v>
      </c>
      <c r="AU5634" t="s">
        <v>73</v>
      </c>
      <c r="AV5634">
        <v>3124</v>
      </c>
      <c r="AW5634" s="4">
        <v>42690</v>
      </c>
      <c r="BD5634">
        <v>0</v>
      </c>
      <c r="BN5634" t="s">
        <v>74</v>
      </c>
    </row>
    <row r="5635" spans="1:66">
      <c r="A5635">
        <v>103077</v>
      </c>
      <c r="B5635" s="3" t="s">
        <v>573</v>
      </c>
      <c r="C5635" s="1">
        <v>43300101</v>
      </c>
      <c r="D5635" t="s">
        <v>67</v>
      </c>
      <c r="H5635" t="str">
        <f t="shared" si="594"/>
        <v>00962280590</v>
      </c>
      <c r="I5635" t="str">
        <f t="shared" si="595"/>
        <v>02707070963</v>
      </c>
      <c r="K5635" t="str">
        <f>""</f>
        <v/>
      </c>
      <c r="M5635" t="s">
        <v>68</v>
      </c>
      <c r="N5635" t="str">
        <f t="shared" si="593"/>
        <v>FOR</v>
      </c>
      <c r="O5635" t="s">
        <v>69</v>
      </c>
      <c r="P5635" s="3" t="s">
        <v>75</v>
      </c>
      <c r="Q5635">
        <v>2016</v>
      </c>
      <c r="R5635" s="2">
        <v>42390</v>
      </c>
      <c r="S5635" s="2">
        <v>42395</v>
      </c>
      <c r="T5635" s="2">
        <v>42391</v>
      </c>
      <c r="U5635" s="2">
        <v>42451</v>
      </c>
      <c r="V5635" t="s">
        <v>71</v>
      </c>
      <c r="W5635" t="str">
        <f>"          8716105250"</f>
        <v xml:space="preserve">          8716105250</v>
      </c>
      <c r="X5635" s="1">
        <v>5061.76</v>
      </c>
      <c r="Y5635">
        <v>0</v>
      </c>
      <c r="Z5635" s="5">
        <v>4601.6000000000004</v>
      </c>
      <c r="AA5635">
        <v>239</v>
      </c>
      <c r="AB5635" s="5">
        <v>1099782.3999999999</v>
      </c>
      <c r="AC5635" s="1">
        <v>4601.6000000000004</v>
      </c>
      <c r="AD5635">
        <v>239</v>
      </c>
      <c r="AE5635" s="1">
        <v>1099782.3999999999</v>
      </c>
      <c r="AF5635">
        <v>0</v>
      </c>
      <c r="AJ5635">
        <v>0</v>
      </c>
      <c r="AK5635">
        <v>0</v>
      </c>
      <c r="AL5635">
        <v>0</v>
      </c>
      <c r="AM5635" s="1">
        <v>5061.76</v>
      </c>
      <c r="AN5635" s="1">
        <v>5061.76</v>
      </c>
      <c r="AO5635" s="1">
        <v>5061.76</v>
      </c>
      <c r="AP5635" s="2">
        <v>42746</v>
      </c>
      <c r="AQ5635" t="s">
        <v>72</v>
      </c>
      <c r="AR5635" t="s">
        <v>72</v>
      </c>
      <c r="AS5635">
        <v>3124</v>
      </c>
      <c r="AT5635" s="4">
        <v>42690</v>
      </c>
      <c r="AU5635" t="s">
        <v>73</v>
      </c>
      <c r="AV5635">
        <v>3124</v>
      </c>
      <c r="AW5635" s="4">
        <v>42690</v>
      </c>
      <c r="BD5635">
        <v>0</v>
      </c>
      <c r="BN5635" t="s">
        <v>74</v>
      </c>
    </row>
    <row r="5636" spans="1:66">
      <c r="A5636">
        <v>103077</v>
      </c>
      <c r="B5636" s="3" t="s">
        <v>573</v>
      </c>
      <c r="C5636" s="1">
        <v>43300101</v>
      </c>
      <c r="D5636" t="s">
        <v>67</v>
      </c>
      <c r="H5636" t="str">
        <f t="shared" si="594"/>
        <v>00962280590</v>
      </c>
      <c r="I5636" t="str">
        <f t="shared" si="595"/>
        <v>02707070963</v>
      </c>
      <c r="K5636" t="str">
        <f>""</f>
        <v/>
      </c>
      <c r="M5636" t="s">
        <v>68</v>
      </c>
      <c r="N5636" t="str">
        <f t="shared" si="593"/>
        <v>FOR</v>
      </c>
      <c r="O5636" t="s">
        <v>69</v>
      </c>
      <c r="P5636" s="3" t="s">
        <v>75</v>
      </c>
      <c r="Q5636">
        <v>2016</v>
      </c>
      <c r="R5636" s="2">
        <v>42408</v>
      </c>
      <c r="S5636" s="2">
        <v>42410</v>
      </c>
      <c r="T5636" s="2">
        <v>42409</v>
      </c>
      <c r="U5636" s="2">
        <v>42469</v>
      </c>
      <c r="V5636" t="s">
        <v>71</v>
      </c>
      <c r="W5636" t="str">
        <f>"          8716109543"</f>
        <v xml:space="preserve">          8716109543</v>
      </c>
      <c r="X5636" s="1">
        <v>5061.76</v>
      </c>
      <c r="Y5636">
        <v>0</v>
      </c>
      <c r="Z5636" s="5">
        <v>4601.6000000000004</v>
      </c>
      <c r="AA5636">
        <v>254</v>
      </c>
      <c r="AB5636" s="5">
        <v>1168806.3999999999</v>
      </c>
      <c r="AC5636" s="1">
        <v>4601.6000000000004</v>
      </c>
      <c r="AD5636">
        <v>254</v>
      </c>
      <c r="AE5636" s="1">
        <v>1168806.3999999999</v>
      </c>
      <c r="AF5636">
        <v>460.16</v>
      </c>
      <c r="AJ5636">
        <v>0</v>
      </c>
      <c r="AK5636">
        <v>0</v>
      </c>
      <c r="AL5636">
        <v>0</v>
      </c>
      <c r="AM5636" s="1">
        <v>5061.76</v>
      </c>
      <c r="AN5636" s="1">
        <v>5061.76</v>
      </c>
      <c r="AO5636" s="1">
        <v>5061.76</v>
      </c>
      <c r="AP5636" s="2">
        <v>42746</v>
      </c>
      <c r="AQ5636" t="s">
        <v>72</v>
      </c>
      <c r="AR5636" t="s">
        <v>72</v>
      </c>
      <c r="AS5636">
        <v>3612</v>
      </c>
      <c r="AT5636" s="4">
        <v>42723</v>
      </c>
      <c r="AU5636" t="s">
        <v>73</v>
      </c>
      <c r="AV5636">
        <v>3612</v>
      </c>
      <c r="AW5636" s="4">
        <v>42723</v>
      </c>
      <c r="BD5636">
        <v>460.16</v>
      </c>
      <c r="BN5636" t="s">
        <v>74</v>
      </c>
    </row>
    <row r="5637" spans="1:66">
      <c r="A5637">
        <v>103077</v>
      </c>
      <c r="B5637" s="3" t="s">
        <v>573</v>
      </c>
      <c r="C5637" s="1">
        <v>43300101</v>
      </c>
      <c r="D5637" t="s">
        <v>67</v>
      </c>
      <c r="H5637" t="str">
        <f t="shared" si="594"/>
        <v>00962280590</v>
      </c>
      <c r="I5637" t="str">
        <f t="shared" si="595"/>
        <v>02707070963</v>
      </c>
      <c r="K5637" t="str">
        <f>""</f>
        <v/>
      </c>
      <c r="M5637" t="s">
        <v>68</v>
      </c>
      <c r="N5637" t="str">
        <f t="shared" si="593"/>
        <v>FOR</v>
      </c>
      <c r="O5637" t="s">
        <v>69</v>
      </c>
      <c r="P5637" s="3" t="s">
        <v>75</v>
      </c>
      <c r="Q5637">
        <v>2016</v>
      </c>
      <c r="R5637" s="2">
        <v>42416</v>
      </c>
      <c r="S5637" s="2">
        <v>42422</v>
      </c>
      <c r="T5637" s="2">
        <v>42417</v>
      </c>
      <c r="U5637" s="2">
        <v>42477</v>
      </c>
      <c r="V5637" t="s">
        <v>71</v>
      </c>
      <c r="W5637" t="str">
        <f>"          8716111610"</f>
        <v xml:space="preserve">          8716111610</v>
      </c>
      <c r="X5637" s="1">
        <v>9341.8799999999992</v>
      </c>
      <c r="Y5637">
        <v>0</v>
      </c>
      <c r="Z5637" s="5">
        <v>8492.6200000000008</v>
      </c>
      <c r="AA5637">
        <v>246</v>
      </c>
      <c r="AB5637" s="5">
        <v>2089184.52</v>
      </c>
      <c r="AC5637" s="1">
        <v>8492.6200000000008</v>
      </c>
      <c r="AD5637">
        <v>246</v>
      </c>
      <c r="AE5637" s="1">
        <v>2089184.52</v>
      </c>
      <c r="AF5637">
        <v>849.26</v>
      </c>
      <c r="AJ5637">
        <v>0</v>
      </c>
      <c r="AK5637">
        <v>0</v>
      </c>
      <c r="AL5637">
        <v>0</v>
      </c>
      <c r="AM5637" s="1">
        <v>9341.8799999999992</v>
      </c>
      <c r="AN5637" s="1">
        <v>9341.8799999999992</v>
      </c>
      <c r="AO5637" s="1">
        <v>9341.8799999999992</v>
      </c>
      <c r="AP5637" s="2">
        <v>42746</v>
      </c>
      <c r="AQ5637" t="s">
        <v>72</v>
      </c>
      <c r="AR5637" t="s">
        <v>72</v>
      </c>
      <c r="AS5637">
        <v>3612</v>
      </c>
      <c r="AT5637" s="4">
        <v>42723</v>
      </c>
      <c r="AU5637" t="s">
        <v>73</v>
      </c>
      <c r="AV5637">
        <v>3612</v>
      </c>
      <c r="AW5637" s="4">
        <v>42723</v>
      </c>
      <c r="BD5637">
        <v>849.26</v>
      </c>
      <c r="BN5637" t="s">
        <v>74</v>
      </c>
    </row>
    <row r="5638" spans="1:66">
      <c r="A5638">
        <v>103077</v>
      </c>
      <c r="B5638" s="3" t="s">
        <v>573</v>
      </c>
      <c r="C5638" s="1">
        <v>43300101</v>
      </c>
      <c r="D5638" t="s">
        <v>67</v>
      </c>
      <c r="H5638" t="str">
        <f t="shared" si="594"/>
        <v>00962280590</v>
      </c>
      <c r="I5638" t="str">
        <f t="shared" si="595"/>
        <v>02707070963</v>
      </c>
      <c r="K5638" t="str">
        <f>""</f>
        <v/>
      </c>
      <c r="M5638" t="s">
        <v>68</v>
      </c>
      <c r="N5638" t="str">
        <f t="shared" si="593"/>
        <v>FOR</v>
      </c>
      <c r="O5638" t="s">
        <v>69</v>
      </c>
      <c r="P5638" s="3" t="s">
        <v>75</v>
      </c>
      <c r="Q5638">
        <v>2016</v>
      </c>
      <c r="R5638" s="2">
        <v>42429</v>
      </c>
      <c r="S5638" s="2">
        <v>42436</v>
      </c>
      <c r="T5638" s="2">
        <v>42430</v>
      </c>
      <c r="U5638" s="2">
        <v>42490</v>
      </c>
      <c r="V5638" t="s">
        <v>71</v>
      </c>
      <c r="W5638" t="str">
        <f>"          8716114970"</f>
        <v xml:space="preserve">          8716114970</v>
      </c>
      <c r="X5638" s="1">
        <v>6955.52</v>
      </c>
      <c r="Y5638">
        <v>0</v>
      </c>
      <c r="Z5638" s="5">
        <v>6323.2</v>
      </c>
      <c r="AA5638">
        <v>233</v>
      </c>
      <c r="AB5638" s="5">
        <v>1473305.6000000001</v>
      </c>
      <c r="AC5638" s="1">
        <v>6323.2</v>
      </c>
      <c r="AD5638">
        <v>233</v>
      </c>
      <c r="AE5638" s="1">
        <v>1473305.6000000001</v>
      </c>
      <c r="AF5638">
        <v>632.32000000000005</v>
      </c>
      <c r="AJ5638">
        <v>0</v>
      </c>
      <c r="AK5638">
        <v>0</v>
      </c>
      <c r="AL5638">
        <v>0</v>
      </c>
      <c r="AM5638" s="1">
        <v>6955.52</v>
      </c>
      <c r="AN5638" s="1">
        <v>6955.52</v>
      </c>
      <c r="AO5638" s="1">
        <v>6955.52</v>
      </c>
      <c r="AP5638" s="2">
        <v>42746</v>
      </c>
      <c r="AQ5638" t="s">
        <v>72</v>
      </c>
      <c r="AR5638" t="s">
        <v>72</v>
      </c>
      <c r="AS5638">
        <v>3612</v>
      </c>
      <c r="AT5638" s="4">
        <v>42723</v>
      </c>
      <c r="AU5638" t="s">
        <v>73</v>
      </c>
      <c r="AV5638">
        <v>3612</v>
      </c>
      <c r="AW5638" s="4">
        <v>42723</v>
      </c>
      <c r="BD5638">
        <v>632.32000000000005</v>
      </c>
      <c r="BN5638" t="s">
        <v>74</v>
      </c>
    </row>
    <row r="5639" spans="1:66" hidden="1">
      <c r="A5639">
        <v>103165</v>
      </c>
      <c r="B5639" s="3" t="s">
        <v>574</v>
      </c>
      <c r="C5639" s="1">
        <v>43300101</v>
      </c>
      <c r="D5639" t="s">
        <v>67</v>
      </c>
      <c r="H5639" t="str">
        <f>"01794050151"</f>
        <v>01794050151</v>
      </c>
      <c r="I5639" t="str">
        <f>"01794050151"</f>
        <v>01794050151</v>
      </c>
      <c r="K5639" t="str">
        <f>""</f>
        <v/>
      </c>
      <c r="M5639" t="s">
        <v>68</v>
      </c>
      <c r="N5639" t="str">
        <f t="shared" si="593"/>
        <v>FOR</v>
      </c>
      <c r="O5639" t="s">
        <v>69</v>
      </c>
      <c r="P5639" s="3" t="s">
        <v>75</v>
      </c>
      <c r="Q5639">
        <v>2015</v>
      </c>
      <c r="R5639" s="2">
        <v>42296</v>
      </c>
      <c r="S5639" s="2">
        <v>42305</v>
      </c>
      <c r="T5639" s="2">
        <v>42305</v>
      </c>
      <c r="U5639" s="2">
        <v>42365</v>
      </c>
      <c r="V5639" t="s">
        <v>71</v>
      </c>
      <c r="W5639" t="str">
        <f>"                2880"</f>
        <v xml:space="preserve">                2880</v>
      </c>
      <c r="X5639" s="1">
        <v>1015.04</v>
      </c>
      <c r="Y5639">
        <v>0</v>
      </c>
      <c r="Z5639"/>
      <c r="AB5639"/>
      <c r="AC5639">
        <v>832</v>
      </c>
      <c r="AD5639">
        <v>39</v>
      </c>
      <c r="AE5639" s="1">
        <v>32448</v>
      </c>
      <c r="AF5639">
        <v>0</v>
      </c>
      <c r="AJ5639">
        <v>0</v>
      </c>
      <c r="AK5639">
        <v>0</v>
      </c>
      <c r="AL5639">
        <v>0</v>
      </c>
      <c r="AM5639">
        <v>0</v>
      </c>
      <c r="AN5639">
        <v>0</v>
      </c>
      <c r="AO5639">
        <v>0</v>
      </c>
      <c r="AP5639" s="2">
        <v>42746</v>
      </c>
      <c r="AQ5639" t="s">
        <v>72</v>
      </c>
      <c r="AR5639" t="s">
        <v>72</v>
      </c>
      <c r="AS5639">
        <v>248</v>
      </c>
      <c r="AT5639" s="4">
        <v>42404</v>
      </c>
      <c r="AU5639" t="s">
        <v>73</v>
      </c>
      <c r="AV5639">
        <v>248</v>
      </c>
      <c r="AW5639" s="4">
        <v>42404</v>
      </c>
      <c r="BD5639">
        <v>0</v>
      </c>
      <c r="BN5639" t="s">
        <v>74</v>
      </c>
    </row>
    <row r="5640" spans="1:66">
      <c r="A5640">
        <v>103165</v>
      </c>
      <c r="B5640" s="3" t="s">
        <v>574</v>
      </c>
      <c r="C5640" s="1">
        <v>43300101</v>
      </c>
      <c r="D5640" t="s">
        <v>67</v>
      </c>
      <c r="H5640" t="str">
        <f>"01794050151"</f>
        <v>01794050151</v>
      </c>
      <c r="I5640" t="str">
        <f>"01794050151"</f>
        <v>01794050151</v>
      </c>
      <c r="K5640" t="str">
        <f>""</f>
        <v/>
      </c>
      <c r="M5640" t="s">
        <v>68</v>
      </c>
      <c r="N5640" t="str">
        <f t="shared" si="593"/>
        <v>FOR</v>
      </c>
      <c r="O5640" t="s">
        <v>69</v>
      </c>
      <c r="P5640" s="3" t="s">
        <v>75</v>
      </c>
      <c r="Q5640">
        <v>2016</v>
      </c>
      <c r="R5640" s="2">
        <v>42562</v>
      </c>
      <c r="S5640" s="2">
        <v>42577</v>
      </c>
      <c r="T5640" s="2">
        <v>42568</v>
      </c>
      <c r="U5640" s="2">
        <v>42628</v>
      </c>
      <c r="V5640" t="s">
        <v>71</v>
      </c>
      <c r="W5640" t="str">
        <f>"                1947"</f>
        <v xml:space="preserve">                1947</v>
      </c>
      <c r="X5640" s="1">
        <v>2474.16</v>
      </c>
      <c r="Y5640">
        <v>0</v>
      </c>
      <c r="Z5640" s="5">
        <v>2028</v>
      </c>
      <c r="AA5640">
        <v>50</v>
      </c>
      <c r="AB5640" s="5">
        <v>101400</v>
      </c>
      <c r="AC5640" s="1">
        <v>2028</v>
      </c>
      <c r="AD5640">
        <v>50</v>
      </c>
      <c r="AE5640" s="1">
        <v>101400</v>
      </c>
      <c r="AF5640">
        <v>0</v>
      </c>
      <c r="AJ5640">
        <v>0</v>
      </c>
      <c r="AK5640">
        <v>0</v>
      </c>
      <c r="AL5640">
        <v>0</v>
      </c>
      <c r="AM5640" s="1">
        <v>2474.16</v>
      </c>
      <c r="AN5640" s="1">
        <v>2474.16</v>
      </c>
      <c r="AO5640" s="1">
        <v>2474.16</v>
      </c>
      <c r="AP5640" s="2">
        <v>42746</v>
      </c>
      <c r="AQ5640" t="s">
        <v>72</v>
      </c>
      <c r="AR5640" t="s">
        <v>72</v>
      </c>
      <c r="AS5640">
        <v>2938</v>
      </c>
      <c r="AT5640" s="4">
        <v>42678</v>
      </c>
      <c r="AU5640" t="s">
        <v>73</v>
      </c>
      <c r="AV5640">
        <v>2938</v>
      </c>
      <c r="AW5640" s="4">
        <v>42678</v>
      </c>
      <c r="BD5640">
        <v>0</v>
      </c>
      <c r="BN5640" t="s">
        <v>74</v>
      </c>
    </row>
    <row r="5641" spans="1:66">
      <c r="A5641">
        <v>103300</v>
      </c>
      <c r="B5641" s="3" t="s">
        <v>575</v>
      </c>
      <c r="C5641" s="1">
        <v>43300101</v>
      </c>
      <c r="D5641" t="s">
        <v>67</v>
      </c>
      <c r="H5641" t="str">
        <f>"02707600249"</f>
        <v>02707600249</v>
      </c>
      <c r="I5641" t="str">
        <f>"02707600249"</f>
        <v>02707600249</v>
      </c>
      <c r="K5641" t="str">
        <f>""</f>
        <v/>
      </c>
      <c r="M5641" t="s">
        <v>68</v>
      </c>
      <c r="N5641" t="str">
        <f t="shared" si="593"/>
        <v>FOR</v>
      </c>
      <c r="O5641" t="s">
        <v>69</v>
      </c>
      <c r="P5641" s="3" t="s">
        <v>75</v>
      </c>
      <c r="Q5641">
        <v>2016</v>
      </c>
      <c r="R5641" s="2">
        <v>42534</v>
      </c>
      <c r="S5641" s="2">
        <v>42612</v>
      </c>
      <c r="T5641" s="2">
        <v>42604</v>
      </c>
      <c r="U5641" s="2">
        <v>42664</v>
      </c>
      <c r="V5641" t="s">
        <v>71</v>
      </c>
      <c r="W5641" t="str">
        <f>"                 780"</f>
        <v xml:space="preserve">                 780</v>
      </c>
      <c r="X5641" s="1">
        <v>39156.51</v>
      </c>
      <c r="Y5641">
        <v>0</v>
      </c>
      <c r="Z5641" s="5">
        <v>32095.5</v>
      </c>
      <c r="AA5641">
        <v>-15</v>
      </c>
      <c r="AB5641" s="5">
        <v>-481432.5</v>
      </c>
      <c r="AC5641" s="1">
        <v>32095.5</v>
      </c>
      <c r="AD5641">
        <v>-15</v>
      </c>
      <c r="AE5641" s="1">
        <v>-481432.5</v>
      </c>
      <c r="AF5641">
        <v>0</v>
      </c>
      <c r="AJ5641">
        <v>0</v>
      </c>
      <c r="AK5641">
        <v>0</v>
      </c>
      <c r="AL5641">
        <v>0</v>
      </c>
      <c r="AM5641" s="1">
        <v>39156.51</v>
      </c>
      <c r="AN5641" s="1">
        <v>39156.51</v>
      </c>
      <c r="AO5641" s="1">
        <v>39156.51</v>
      </c>
      <c r="AP5641" s="2">
        <v>42746</v>
      </c>
      <c r="AQ5641" t="s">
        <v>72</v>
      </c>
      <c r="AR5641" t="s">
        <v>72</v>
      </c>
      <c r="AS5641">
        <v>2714</v>
      </c>
      <c r="AT5641" s="4">
        <v>42649</v>
      </c>
      <c r="AV5641">
        <v>2714</v>
      </c>
      <c r="AW5641" s="4">
        <v>42649</v>
      </c>
      <c r="BD5641">
        <v>0</v>
      </c>
      <c r="BN5641" t="s">
        <v>74</v>
      </c>
    </row>
    <row r="5642" spans="1:66" hidden="1">
      <c r="A5642">
        <v>103351</v>
      </c>
      <c r="B5642" s="3" t="s">
        <v>576</v>
      </c>
      <c r="C5642" s="1">
        <v>43300101</v>
      </c>
      <c r="D5642" t="s">
        <v>67</v>
      </c>
      <c r="H5642" t="str">
        <f t="shared" ref="H5642:I5644" si="596">"00924251002"</f>
        <v>00924251002</v>
      </c>
      <c r="I5642" t="str">
        <f t="shared" si="596"/>
        <v>00924251002</v>
      </c>
      <c r="K5642" t="str">
        <f>""</f>
        <v/>
      </c>
      <c r="M5642" t="s">
        <v>68</v>
      </c>
      <c r="N5642" t="str">
        <f t="shared" si="593"/>
        <v>FOR</v>
      </c>
      <c r="O5642" t="s">
        <v>69</v>
      </c>
      <c r="P5642" s="3" t="s">
        <v>75</v>
      </c>
      <c r="Q5642">
        <v>2015</v>
      </c>
      <c r="R5642" s="2">
        <v>42153</v>
      </c>
      <c r="S5642" s="2">
        <v>42158</v>
      </c>
      <c r="T5642" s="2">
        <v>42157</v>
      </c>
      <c r="U5642" s="2">
        <v>42217</v>
      </c>
      <c r="V5642" t="s">
        <v>71</v>
      </c>
      <c r="W5642" t="str">
        <f>"          15VPA00558"</f>
        <v xml:space="preserve">          15VPA00558</v>
      </c>
      <c r="X5642">
        <v>808.94</v>
      </c>
      <c r="Y5642">
        <v>0</v>
      </c>
      <c r="Z5642"/>
      <c r="AB5642"/>
      <c r="AC5642">
        <v>735.4</v>
      </c>
      <c r="AD5642">
        <v>235</v>
      </c>
      <c r="AE5642" s="1">
        <v>172819</v>
      </c>
      <c r="AF5642">
        <v>0</v>
      </c>
      <c r="AJ5642">
        <v>0</v>
      </c>
      <c r="AK5642">
        <v>0</v>
      </c>
      <c r="AL5642">
        <v>0</v>
      </c>
      <c r="AM5642">
        <v>0</v>
      </c>
      <c r="AN5642">
        <v>0</v>
      </c>
      <c r="AO5642">
        <v>0</v>
      </c>
      <c r="AP5642" s="2">
        <v>42746</v>
      </c>
      <c r="AQ5642" t="s">
        <v>72</v>
      </c>
      <c r="AR5642" t="s">
        <v>72</v>
      </c>
      <c r="AS5642">
        <v>787</v>
      </c>
      <c r="AT5642" s="4">
        <v>42452</v>
      </c>
      <c r="AU5642" t="s">
        <v>73</v>
      </c>
      <c r="AV5642">
        <v>787</v>
      </c>
      <c r="AW5642" s="4">
        <v>42452</v>
      </c>
      <c r="BD5642">
        <v>0</v>
      </c>
      <c r="BN5642" t="s">
        <v>74</v>
      </c>
    </row>
    <row r="5643" spans="1:66" hidden="1">
      <c r="A5643">
        <v>103351</v>
      </c>
      <c r="B5643" s="3" t="s">
        <v>576</v>
      </c>
      <c r="C5643" s="1">
        <v>43300101</v>
      </c>
      <c r="D5643" t="s">
        <v>67</v>
      </c>
      <c r="H5643" t="str">
        <f t="shared" si="596"/>
        <v>00924251002</v>
      </c>
      <c r="I5643" t="str">
        <f t="shared" si="596"/>
        <v>00924251002</v>
      </c>
      <c r="K5643" t="str">
        <f>""</f>
        <v/>
      </c>
      <c r="M5643" t="s">
        <v>68</v>
      </c>
      <c r="N5643" t="str">
        <f t="shared" si="593"/>
        <v>FOR</v>
      </c>
      <c r="O5643" t="s">
        <v>69</v>
      </c>
      <c r="P5643" s="3" t="s">
        <v>75</v>
      </c>
      <c r="Q5643">
        <v>2015</v>
      </c>
      <c r="R5643" s="2">
        <v>42209</v>
      </c>
      <c r="S5643" s="2">
        <v>42212</v>
      </c>
      <c r="T5643" s="2">
        <v>42211</v>
      </c>
      <c r="U5643" s="2">
        <v>42271</v>
      </c>
      <c r="V5643" t="s">
        <v>71</v>
      </c>
      <c r="W5643" t="str">
        <f>"          15VPA01110"</f>
        <v xml:space="preserve">          15VPA01110</v>
      </c>
      <c r="X5643">
        <v>404.47</v>
      </c>
      <c r="Y5643">
        <v>0</v>
      </c>
      <c r="Z5643"/>
      <c r="AB5643"/>
      <c r="AC5643">
        <v>367.7</v>
      </c>
      <c r="AD5643">
        <v>281</v>
      </c>
      <c r="AE5643" s="1">
        <v>103323.7</v>
      </c>
      <c r="AF5643">
        <v>0</v>
      </c>
      <c r="AJ5643">
        <v>0</v>
      </c>
      <c r="AK5643">
        <v>0</v>
      </c>
      <c r="AL5643">
        <v>0</v>
      </c>
      <c r="AM5643">
        <v>0</v>
      </c>
      <c r="AN5643">
        <v>0</v>
      </c>
      <c r="AO5643">
        <v>0</v>
      </c>
      <c r="AP5643" s="2">
        <v>42746</v>
      </c>
      <c r="AQ5643" t="s">
        <v>72</v>
      </c>
      <c r="AR5643" t="s">
        <v>72</v>
      </c>
      <c r="AS5643">
        <v>1668</v>
      </c>
      <c r="AT5643" s="4">
        <v>42552</v>
      </c>
      <c r="AU5643" t="s">
        <v>73</v>
      </c>
      <c r="AV5643">
        <v>1668</v>
      </c>
      <c r="AW5643" s="4">
        <v>42552</v>
      </c>
      <c r="BD5643">
        <v>0</v>
      </c>
      <c r="BN5643" t="s">
        <v>74</v>
      </c>
    </row>
    <row r="5644" spans="1:66" hidden="1">
      <c r="A5644">
        <v>103351</v>
      </c>
      <c r="B5644" s="3" t="s">
        <v>576</v>
      </c>
      <c r="C5644" s="1">
        <v>43300101</v>
      </c>
      <c r="D5644" t="s">
        <v>67</v>
      </c>
      <c r="H5644" t="str">
        <f t="shared" si="596"/>
        <v>00924251002</v>
      </c>
      <c r="I5644" t="str">
        <f t="shared" si="596"/>
        <v>00924251002</v>
      </c>
      <c r="K5644" t="str">
        <f>""</f>
        <v/>
      </c>
      <c r="M5644" t="s">
        <v>68</v>
      </c>
      <c r="N5644" t="str">
        <f t="shared" si="593"/>
        <v>FOR</v>
      </c>
      <c r="O5644" t="s">
        <v>69</v>
      </c>
      <c r="P5644" s="3" t="s">
        <v>75</v>
      </c>
      <c r="Q5644">
        <v>2015</v>
      </c>
      <c r="R5644" s="2">
        <v>42293</v>
      </c>
      <c r="S5644" s="2">
        <v>42300</v>
      </c>
      <c r="T5644" s="2">
        <v>42299</v>
      </c>
      <c r="U5644" s="2">
        <v>42359</v>
      </c>
      <c r="V5644" t="s">
        <v>71</v>
      </c>
      <c r="W5644" t="str">
        <f>"          15VPA01715"</f>
        <v xml:space="preserve">          15VPA01715</v>
      </c>
      <c r="X5644">
        <v>404.47</v>
      </c>
      <c r="Y5644">
        <v>0</v>
      </c>
      <c r="Z5644"/>
      <c r="AB5644"/>
      <c r="AC5644">
        <v>367.7</v>
      </c>
      <c r="AD5644">
        <v>193</v>
      </c>
      <c r="AE5644" s="1">
        <v>70966.100000000006</v>
      </c>
      <c r="AF5644">
        <v>0</v>
      </c>
      <c r="AJ5644">
        <v>0</v>
      </c>
      <c r="AK5644">
        <v>0</v>
      </c>
      <c r="AL5644">
        <v>0</v>
      </c>
      <c r="AM5644">
        <v>0</v>
      </c>
      <c r="AN5644">
        <v>0</v>
      </c>
      <c r="AO5644">
        <v>0</v>
      </c>
      <c r="AP5644" s="2">
        <v>42746</v>
      </c>
      <c r="AQ5644" t="s">
        <v>72</v>
      </c>
      <c r="AR5644" t="s">
        <v>72</v>
      </c>
      <c r="AS5644">
        <v>1668</v>
      </c>
      <c r="AT5644" s="4">
        <v>42552</v>
      </c>
      <c r="AU5644" t="s">
        <v>73</v>
      </c>
      <c r="AV5644">
        <v>1668</v>
      </c>
      <c r="AW5644" s="4">
        <v>42552</v>
      </c>
      <c r="BD5644">
        <v>0</v>
      </c>
      <c r="BN5644" t="s">
        <v>74</v>
      </c>
    </row>
    <row r="5645" spans="1:66" hidden="1">
      <c r="A5645">
        <v>103365</v>
      </c>
      <c r="B5645" s="3" t="s">
        <v>577</v>
      </c>
      <c r="C5645" s="1">
        <v>43300101</v>
      </c>
      <c r="D5645" t="s">
        <v>67</v>
      </c>
      <c r="H5645" t="str">
        <f t="shared" ref="H5645:I5663" si="597">"00488410010"</f>
        <v>00488410010</v>
      </c>
      <c r="I5645" t="str">
        <f t="shared" si="597"/>
        <v>00488410010</v>
      </c>
      <c r="K5645" t="str">
        <f>""</f>
        <v/>
      </c>
      <c r="M5645" t="s">
        <v>68</v>
      </c>
      <c r="N5645" t="str">
        <f t="shared" si="593"/>
        <v>FOR</v>
      </c>
      <c r="O5645" t="s">
        <v>69</v>
      </c>
      <c r="P5645" s="3" t="s">
        <v>75</v>
      </c>
      <c r="Q5645">
        <v>2015</v>
      </c>
      <c r="R5645" s="2">
        <v>42353</v>
      </c>
      <c r="S5645" s="2">
        <v>42368</v>
      </c>
      <c r="T5645" s="2">
        <v>42366</v>
      </c>
      <c r="U5645" s="2">
        <v>42426</v>
      </c>
      <c r="V5645" t="s">
        <v>71</v>
      </c>
      <c r="W5645" t="str">
        <f>"          7X04906321"</f>
        <v xml:space="preserve">          7X04906321</v>
      </c>
      <c r="X5645">
        <v>119.01</v>
      </c>
      <c r="Y5645">
        <v>0</v>
      </c>
      <c r="Z5645"/>
      <c r="AB5645"/>
      <c r="AC5645">
        <v>97.55</v>
      </c>
      <c r="AD5645">
        <v>-24</v>
      </c>
      <c r="AE5645" s="1">
        <v>-2341.1999999999998</v>
      </c>
      <c r="AF5645">
        <v>0</v>
      </c>
      <c r="AJ5645">
        <v>0</v>
      </c>
      <c r="AK5645">
        <v>0</v>
      </c>
      <c r="AL5645">
        <v>0</v>
      </c>
      <c r="AM5645">
        <v>0</v>
      </c>
      <c r="AN5645">
        <v>0</v>
      </c>
      <c r="AO5645">
        <v>0</v>
      </c>
      <c r="AP5645" s="2">
        <v>42746</v>
      </c>
      <c r="AQ5645" t="s">
        <v>72</v>
      </c>
      <c r="AR5645" t="s">
        <v>72</v>
      </c>
      <c r="AS5645">
        <v>204</v>
      </c>
      <c r="AT5645" s="4">
        <v>42402</v>
      </c>
      <c r="AV5645">
        <v>204</v>
      </c>
      <c r="AW5645" s="4">
        <v>42402</v>
      </c>
      <c r="BD5645">
        <v>0</v>
      </c>
      <c r="BN5645" t="s">
        <v>74</v>
      </c>
    </row>
    <row r="5646" spans="1:66" hidden="1">
      <c r="A5646">
        <v>103365</v>
      </c>
      <c r="B5646" s="3" t="s">
        <v>577</v>
      </c>
      <c r="C5646" s="1">
        <v>43300101</v>
      </c>
      <c r="D5646" t="s">
        <v>67</v>
      </c>
      <c r="H5646" t="str">
        <f t="shared" si="597"/>
        <v>00488410010</v>
      </c>
      <c r="I5646" t="str">
        <f t="shared" si="597"/>
        <v>00488410010</v>
      </c>
      <c r="K5646" t="str">
        <f>""</f>
        <v/>
      </c>
      <c r="M5646" t="s">
        <v>68</v>
      </c>
      <c r="N5646" t="str">
        <f t="shared" si="593"/>
        <v>FOR</v>
      </c>
      <c r="O5646" t="s">
        <v>69</v>
      </c>
      <c r="P5646" s="3" t="s">
        <v>75</v>
      </c>
      <c r="Q5646">
        <v>2015</v>
      </c>
      <c r="R5646" s="2">
        <v>42353</v>
      </c>
      <c r="S5646" s="2">
        <v>42368</v>
      </c>
      <c r="T5646" s="2">
        <v>42366</v>
      </c>
      <c r="U5646" s="2">
        <v>42426</v>
      </c>
      <c r="V5646" t="s">
        <v>71</v>
      </c>
      <c r="W5646" t="str">
        <f>"          7X05126859"</f>
        <v xml:space="preserve">          7X05126859</v>
      </c>
      <c r="X5646">
        <v>305.45</v>
      </c>
      <c r="Y5646">
        <v>0</v>
      </c>
      <c r="Z5646"/>
      <c r="AB5646"/>
      <c r="AC5646">
        <v>250.37</v>
      </c>
      <c r="AD5646">
        <v>-24</v>
      </c>
      <c r="AE5646" s="1">
        <v>-6008.88</v>
      </c>
      <c r="AF5646">
        <v>0</v>
      </c>
      <c r="AJ5646">
        <v>0</v>
      </c>
      <c r="AK5646">
        <v>0</v>
      </c>
      <c r="AL5646">
        <v>0</v>
      </c>
      <c r="AM5646">
        <v>0</v>
      </c>
      <c r="AN5646">
        <v>0</v>
      </c>
      <c r="AO5646">
        <v>0</v>
      </c>
      <c r="AP5646" s="2">
        <v>42746</v>
      </c>
      <c r="AQ5646" t="s">
        <v>72</v>
      </c>
      <c r="AR5646" t="s">
        <v>72</v>
      </c>
      <c r="AS5646">
        <v>204</v>
      </c>
      <c r="AT5646" s="4">
        <v>42402</v>
      </c>
      <c r="AV5646">
        <v>204</v>
      </c>
      <c r="AW5646" s="4">
        <v>42402</v>
      </c>
      <c r="BD5646">
        <v>0</v>
      </c>
      <c r="BN5646" t="s">
        <v>74</v>
      </c>
    </row>
    <row r="5647" spans="1:66" hidden="1">
      <c r="A5647">
        <v>103365</v>
      </c>
      <c r="B5647" s="3" t="s">
        <v>577</v>
      </c>
      <c r="C5647" s="1">
        <v>43300101</v>
      </c>
      <c r="D5647" t="s">
        <v>67</v>
      </c>
      <c r="H5647" t="str">
        <f t="shared" si="597"/>
        <v>00488410010</v>
      </c>
      <c r="I5647" t="str">
        <f t="shared" si="597"/>
        <v>00488410010</v>
      </c>
      <c r="K5647" t="str">
        <f>""</f>
        <v/>
      </c>
      <c r="M5647" t="s">
        <v>68</v>
      </c>
      <c r="N5647" t="str">
        <f t="shared" si="593"/>
        <v>FOR</v>
      </c>
      <c r="O5647" t="s">
        <v>69</v>
      </c>
      <c r="P5647" s="3" t="s">
        <v>75</v>
      </c>
      <c r="Q5647">
        <v>2015</v>
      </c>
      <c r="R5647" s="2">
        <v>42353</v>
      </c>
      <c r="S5647" s="2">
        <v>42368</v>
      </c>
      <c r="T5647" s="2">
        <v>42366</v>
      </c>
      <c r="U5647" s="2">
        <v>42426</v>
      </c>
      <c r="V5647" t="s">
        <v>71</v>
      </c>
      <c r="W5647" t="str">
        <f>"          7X05378606"</f>
        <v xml:space="preserve">          7X05378606</v>
      </c>
      <c r="X5647" s="1">
        <v>2584.96</v>
      </c>
      <c r="Y5647">
        <v>0</v>
      </c>
      <c r="Z5647"/>
      <c r="AB5647"/>
      <c r="AC5647" s="1">
        <v>2365.9499999999998</v>
      </c>
      <c r="AD5647">
        <v>-24</v>
      </c>
      <c r="AE5647" s="1">
        <v>-56782.8</v>
      </c>
      <c r="AF5647">
        <v>0</v>
      </c>
      <c r="AJ5647">
        <v>0</v>
      </c>
      <c r="AK5647">
        <v>0</v>
      </c>
      <c r="AL5647">
        <v>0</v>
      </c>
      <c r="AM5647">
        <v>0</v>
      </c>
      <c r="AN5647">
        <v>0</v>
      </c>
      <c r="AO5647">
        <v>0</v>
      </c>
      <c r="AP5647" s="2">
        <v>42746</v>
      </c>
      <c r="AQ5647" t="s">
        <v>72</v>
      </c>
      <c r="AR5647" t="s">
        <v>72</v>
      </c>
      <c r="AS5647">
        <v>204</v>
      </c>
      <c r="AT5647" s="4">
        <v>42402</v>
      </c>
      <c r="AV5647">
        <v>204</v>
      </c>
      <c r="AW5647" s="4">
        <v>42402</v>
      </c>
      <c r="BD5647">
        <v>0</v>
      </c>
      <c r="BN5647" t="s">
        <v>74</v>
      </c>
    </row>
    <row r="5648" spans="1:66" hidden="1">
      <c r="A5648">
        <v>103365</v>
      </c>
      <c r="B5648" s="3" t="s">
        <v>577</v>
      </c>
      <c r="C5648" s="1">
        <v>43300101</v>
      </c>
      <c r="D5648" t="s">
        <v>67</v>
      </c>
      <c r="H5648" t="str">
        <f t="shared" si="597"/>
        <v>00488410010</v>
      </c>
      <c r="I5648" t="str">
        <f t="shared" si="597"/>
        <v>00488410010</v>
      </c>
      <c r="K5648" t="str">
        <f>""</f>
        <v/>
      </c>
      <c r="M5648" t="s">
        <v>68</v>
      </c>
      <c r="N5648" t="str">
        <f t="shared" si="593"/>
        <v>FOR</v>
      </c>
      <c r="O5648" t="s">
        <v>69</v>
      </c>
      <c r="P5648" s="3" t="s">
        <v>75</v>
      </c>
      <c r="Q5648">
        <v>2016</v>
      </c>
      <c r="R5648" s="2">
        <v>42412</v>
      </c>
      <c r="S5648" s="2">
        <v>42426</v>
      </c>
      <c r="T5648" s="2">
        <v>42425</v>
      </c>
      <c r="U5648" s="2">
        <v>42485</v>
      </c>
      <c r="V5648" t="s">
        <v>71</v>
      </c>
      <c r="W5648" t="str">
        <f>"          7X00271699"</f>
        <v xml:space="preserve">          7X00271699</v>
      </c>
      <c r="X5648">
        <v>118.58</v>
      </c>
      <c r="Y5648">
        <v>0</v>
      </c>
      <c r="Z5648"/>
      <c r="AB5648"/>
      <c r="AC5648">
        <v>97.26</v>
      </c>
      <c r="AD5648">
        <v>-32</v>
      </c>
      <c r="AE5648" s="1">
        <v>-3112.32</v>
      </c>
      <c r="AF5648">
        <v>0</v>
      </c>
      <c r="AJ5648">
        <v>0</v>
      </c>
      <c r="AK5648">
        <v>0</v>
      </c>
      <c r="AL5648">
        <v>0</v>
      </c>
      <c r="AM5648">
        <v>118.58</v>
      </c>
      <c r="AN5648">
        <v>118.58</v>
      </c>
      <c r="AO5648">
        <v>118.58</v>
      </c>
      <c r="AP5648" s="2">
        <v>42746</v>
      </c>
      <c r="AQ5648" t="s">
        <v>72</v>
      </c>
      <c r="AR5648" t="s">
        <v>72</v>
      </c>
      <c r="AS5648">
        <v>877</v>
      </c>
      <c r="AT5648" s="4">
        <v>42453</v>
      </c>
      <c r="AV5648">
        <v>877</v>
      </c>
      <c r="AW5648" s="4">
        <v>42453</v>
      </c>
      <c r="BD5648">
        <v>0</v>
      </c>
      <c r="BN5648" t="s">
        <v>74</v>
      </c>
    </row>
    <row r="5649" spans="1:66" hidden="1">
      <c r="A5649">
        <v>103365</v>
      </c>
      <c r="B5649" s="3" t="s">
        <v>577</v>
      </c>
      <c r="C5649" s="1">
        <v>43300101</v>
      </c>
      <c r="D5649" t="s">
        <v>67</v>
      </c>
      <c r="H5649" t="str">
        <f t="shared" si="597"/>
        <v>00488410010</v>
      </c>
      <c r="I5649" t="str">
        <f t="shared" si="597"/>
        <v>00488410010</v>
      </c>
      <c r="K5649" t="str">
        <f>""</f>
        <v/>
      </c>
      <c r="M5649" t="s">
        <v>68</v>
      </c>
      <c r="N5649" t="str">
        <f t="shared" si="593"/>
        <v>FOR</v>
      </c>
      <c r="O5649" t="s">
        <v>69</v>
      </c>
      <c r="P5649" s="3" t="s">
        <v>75</v>
      </c>
      <c r="Q5649">
        <v>2016</v>
      </c>
      <c r="R5649" s="2">
        <v>42412</v>
      </c>
      <c r="S5649" s="2">
        <v>42426</v>
      </c>
      <c r="T5649" s="2">
        <v>42425</v>
      </c>
      <c r="U5649" s="2">
        <v>42485</v>
      </c>
      <c r="V5649" t="s">
        <v>71</v>
      </c>
      <c r="W5649" t="str">
        <f>"          7X00812012"</f>
        <v xml:space="preserve">          7X00812012</v>
      </c>
      <c r="X5649" s="1">
        <v>2662.32</v>
      </c>
      <c r="Y5649">
        <v>0</v>
      </c>
      <c r="Z5649"/>
      <c r="AB5649"/>
      <c r="AC5649" s="1">
        <v>2429.36</v>
      </c>
      <c r="AD5649">
        <v>-32</v>
      </c>
      <c r="AE5649" s="1">
        <v>-77739.520000000004</v>
      </c>
      <c r="AF5649">
        <v>0</v>
      </c>
      <c r="AJ5649">
        <v>0</v>
      </c>
      <c r="AK5649">
        <v>0</v>
      </c>
      <c r="AL5649">
        <v>0</v>
      </c>
      <c r="AM5649" s="1">
        <v>2662.32</v>
      </c>
      <c r="AN5649" s="1">
        <v>2662.32</v>
      </c>
      <c r="AO5649" s="1">
        <v>2662.32</v>
      </c>
      <c r="AP5649" s="2">
        <v>42746</v>
      </c>
      <c r="AQ5649" t="s">
        <v>72</v>
      </c>
      <c r="AR5649" t="s">
        <v>72</v>
      </c>
      <c r="AS5649">
        <v>877</v>
      </c>
      <c r="AT5649" s="4">
        <v>42453</v>
      </c>
      <c r="AV5649">
        <v>877</v>
      </c>
      <c r="AW5649" s="4">
        <v>42453</v>
      </c>
      <c r="BD5649">
        <v>0</v>
      </c>
      <c r="BN5649" t="s">
        <v>74</v>
      </c>
    </row>
    <row r="5650" spans="1:66" hidden="1">
      <c r="A5650">
        <v>103365</v>
      </c>
      <c r="B5650" s="3" t="s">
        <v>577</v>
      </c>
      <c r="C5650" s="1">
        <v>43300101</v>
      </c>
      <c r="D5650" t="s">
        <v>67</v>
      </c>
      <c r="H5650" t="str">
        <f t="shared" si="597"/>
        <v>00488410010</v>
      </c>
      <c r="I5650" t="str">
        <f t="shared" si="597"/>
        <v>00488410010</v>
      </c>
      <c r="K5650" t="str">
        <f>""</f>
        <v/>
      </c>
      <c r="M5650" t="s">
        <v>68</v>
      </c>
      <c r="N5650" t="str">
        <f t="shared" si="593"/>
        <v>FOR</v>
      </c>
      <c r="O5650" t="s">
        <v>69</v>
      </c>
      <c r="P5650" s="3" t="s">
        <v>75</v>
      </c>
      <c r="Q5650">
        <v>2016</v>
      </c>
      <c r="R5650" s="2">
        <v>42412</v>
      </c>
      <c r="S5650" s="2">
        <v>42426</v>
      </c>
      <c r="T5650" s="2">
        <v>42425</v>
      </c>
      <c r="U5650" s="2">
        <v>42485</v>
      </c>
      <c r="V5650" t="s">
        <v>71</v>
      </c>
      <c r="W5650" t="str">
        <f>"          7X00812342"</f>
        <v xml:space="preserve">          7X00812342</v>
      </c>
      <c r="X5650">
        <v>303.69</v>
      </c>
      <c r="Y5650">
        <v>0</v>
      </c>
      <c r="Z5650"/>
      <c r="AB5650"/>
      <c r="AC5650">
        <v>249.15</v>
      </c>
      <c r="AD5650">
        <v>-32</v>
      </c>
      <c r="AE5650" s="1">
        <v>-7972.8</v>
      </c>
      <c r="AF5650">
        <v>0</v>
      </c>
      <c r="AJ5650">
        <v>0</v>
      </c>
      <c r="AK5650">
        <v>0</v>
      </c>
      <c r="AL5650">
        <v>0</v>
      </c>
      <c r="AM5650">
        <v>303.69</v>
      </c>
      <c r="AN5650">
        <v>303.69</v>
      </c>
      <c r="AO5650">
        <v>303.69</v>
      </c>
      <c r="AP5650" s="2">
        <v>42746</v>
      </c>
      <c r="AQ5650" t="s">
        <v>72</v>
      </c>
      <c r="AR5650" t="s">
        <v>72</v>
      </c>
      <c r="AS5650">
        <v>877</v>
      </c>
      <c r="AT5650" s="4">
        <v>42453</v>
      </c>
      <c r="AV5650">
        <v>877</v>
      </c>
      <c r="AW5650" s="4">
        <v>42453</v>
      </c>
      <c r="BD5650">
        <v>0</v>
      </c>
      <c r="BN5650" t="s">
        <v>74</v>
      </c>
    </row>
    <row r="5651" spans="1:66" hidden="1">
      <c r="A5651">
        <v>103365</v>
      </c>
      <c r="B5651" s="3" t="s">
        <v>577</v>
      </c>
      <c r="C5651" s="1">
        <v>43300101</v>
      </c>
      <c r="D5651" t="s">
        <v>67</v>
      </c>
      <c r="H5651" t="str">
        <f t="shared" si="597"/>
        <v>00488410010</v>
      </c>
      <c r="I5651" t="str">
        <f t="shared" si="597"/>
        <v>00488410010</v>
      </c>
      <c r="K5651" t="str">
        <f>""</f>
        <v/>
      </c>
      <c r="M5651" t="s">
        <v>68</v>
      </c>
      <c r="N5651" t="str">
        <f t="shared" si="593"/>
        <v>FOR</v>
      </c>
      <c r="O5651" t="s">
        <v>69</v>
      </c>
      <c r="P5651" s="3" t="s">
        <v>75</v>
      </c>
      <c r="Q5651">
        <v>2016</v>
      </c>
      <c r="R5651" s="2">
        <v>42474</v>
      </c>
      <c r="S5651" s="2">
        <v>42487</v>
      </c>
      <c r="T5651" s="2">
        <v>42486</v>
      </c>
      <c r="U5651" s="2">
        <v>42546</v>
      </c>
      <c r="V5651" t="s">
        <v>71</v>
      </c>
      <c r="W5651" t="str">
        <f>"          7X01093594"</f>
        <v xml:space="preserve">          7X01093594</v>
      </c>
      <c r="X5651">
        <v>115.57</v>
      </c>
      <c r="Y5651">
        <v>0</v>
      </c>
      <c r="Z5651"/>
      <c r="AB5651"/>
      <c r="AC5651">
        <v>94.8</v>
      </c>
      <c r="AD5651">
        <v>32</v>
      </c>
      <c r="AE5651" s="1">
        <v>3033.6</v>
      </c>
      <c r="AF5651">
        <v>0</v>
      </c>
      <c r="AJ5651">
        <v>0</v>
      </c>
      <c r="AK5651">
        <v>0</v>
      </c>
      <c r="AL5651">
        <v>0</v>
      </c>
      <c r="AM5651">
        <v>115.57</v>
      </c>
      <c r="AN5651">
        <v>115.57</v>
      </c>
      <c r="AO5651">
        <v>115.57</v>
      </c>
      <c r="AP5651" s="2">
        <v>42746</v>
      </c>
      <c r="AQ5651" t="s">
        <v>72</v>
      </c>
      <c r="AR5651" t="s">
        <v>72</v>
      </c>
      <c r="AS5651">
        <v>1991</v>
      </c>
      <c r="AT5651" s="4">
        <v>42578</v>
      </c>
      <c r="AU5651" t="s">
        <v>73</v>
      </c>
      <c r="AV5651">
        <v>1991</v>
      </c>
      <c r="AW5651" s="4">
        <v>42578</v>
      </c>
      <c r="BD5651">
        <v>0</v>
      </c>
      <c r="BN5651" t="s">
        <v>74</v>
      </c>
    </row>
    <row r="5652" spans="1:66" hidden="1">
      <c r="A5652">
        <v>103365</v>
      </c>
      <c r="B5652" s="3" t="s">
        <v>577</v>
      </c>
      <c r="C5652" s="1">
        <v>43300101</v>
      </c>
      <c r="D5652" t="s">
        <v>67</v>
      </c>
      <c r="H5652" t="str">
        <f t="shared" si="597"/>
        <v>00488410010</v>
      </c>
      <c r="I5652" t="str">
        <f t="shared" si="597"/>
        <v>00488410010</v>
      </c>
      <c r="K5652" t="str">
        <f>""</f>
        <v/>
      </c>
      <c r="M5652" t="s">
        <v>68</v>
      </c>
      <c r="N5652" t="str">
        <f t="shared" si="593"/>
        <v>FOR</v>
      </c>
      <c r="O5652" t="s">
        <v>69</v>
      </c>
      <c r="P5652" s="3" t="s">
        <v>75</v>
      </c>
      <c r="Q5652">
        <v>2016</v>
      </c>
      <c r="R5652" s="2">
        <v>42474</v>
      </c>
      <c r="S5652" s="2">
        <v>42487</v>
      </c>
      <c r="T5652" s="2">
        <v>42486</v>
      </c>
      <c r="U5652" s="2">
        <v>42546</v>
      </c>
      <c r="V5652" t="s">
        <v>71</v>
      </c>
      <c r="W5652" t="str">
        <f>"          7X01487759"</f>
        <v xml:space="preserve">          7X01487759</v>
      </c>
      <c r="X5652">
        <v>264.97000000000003</v>
      </c>
      <c r="Y5652">
        <v>0</v>
      </c>
      <c r="Z5652"/>
      <c r="AB5652"/>
      <c r="AC5652">
        <v>217.47</v>
      </c>
      <c r="AD5652">
        <v>32</v>
      </c>
      <c r="AE5652" s="1">
        <v>6959.04</v>
      </c>
      <c r="AF5652">
        <v>0</v>
      </c>
      <c r="AJ5652">
        <v>0</v>
      </c>
      <c r="AK5652">
        <v>0</v>
      </c>
      <c r="AL5652">
        <v>0</v>
      </c>
      <c r="AM5652">
        <v>264.97000000000003</v>
      </c>
      <c r="AN5652">
        <v>264.97000000000003</v>
      </c>
      <c r="AO5652">
        <v>264.97000000000003</v>
      </c>
      <c r="AP5652" s="2">
        <v>42746</v>
      </c>
      <c r="AQ5652" t="s">
        <v>72</v>
      </c>
      <c r="AR5652" t="s">
        <v>72</v>
      </c>
      <c r="AS5652">
        <v>1991</v>
      </c>
      <c r="AT5652" s="4">
        <v>42578</v>
      </c>
      <c r="AU5652" t="s">
        <v>73</v>
      </c>
      <c r="AV5652">
        <v>1991</v>
      </c>
      <c r="AW5652" s="4">
        <v>42578</v>
      </c>
      <c r="BD5652">
        <v>0</v>
      </c>
      <c r="BN5652" t="s">
        <v>74</v>
      </c>
    </row>
    <row r="5653" spans="1:66" hidden="1">
      <c r="A5653">
        <v>103365</v>
      </c>
      <c r="B5653" s="3" t="s">
        <v>577</v>
      </c>
      <c r="C5653" s="1">
        <v>43300101</v>
      </c>
      <c r="D5653" t="s">
        <v>67</v>
      </c>
      <c r="H5653" t="str">
        <f t="shared" si="597"/>
        <v>00488410010</v>
      </c>
      <c r="I5653" t="str">
        <f t="shared" si="597"/>
        <v>00488410010</v>
      </c>
      <c r="K5653" t="str">
        <f>""</f>
        <v/>
      </c>
      <c r="M5653" t="s">
        <v>68</v>
      </c>
      <c r="N5653" t="str">
        <f t="shared" si="593"/>
        <v>FOR</v>
      </c>
      <c r="O5653" t="s">
        <v>69</v>
      </c>
      <c r="P5653" s="3" t="s">
        <v>75</v>
      </c>
      <c r="Q5653">
        <v>2016</v>
      </c>
      <c r="R5653" s="2">
        <v>42474</v>
      </c>
      <c r="S5653" s="2">
        <v>42487</v>
      </c>
      <c r="T5653" s="2">
        <v>42486</v>
      </c>
      <c r="U5653" s="2">
        <v>42546</v>
      </c>
      <c r="V5653" t="s">
        <v>71</v>
      </c>
      <c r="W5653" t="str">
        <f>"          7X01583282"</f>
        <v xml:space="preserve">          7X01583282</v>
      </c>
      <c r="X5653" s="1">
        <v>2621.73</v>
      </c>
      <c r="Y5653">
        <v>0</v>
      </c>
      <c r="Z5653"/>
      <c r="AB5653"/>
      <c r="AC5653" s="1">
        <v>2396.09</v>
      </c>
      <c r="AD5653">
        <v>32</v>
      </c>
      <c r="AE5653" s="1">
        <v>76674.880000000005</v>
      </c>
      <c r="AF5653">
        <v>0</v>
      </c>
      <c r="AJ5653">
        <v>0</v>
      </c>
      <c r="AK5653">
        <v>0</v>
      </c>
      <c r="AL5653">
        <v>0</v>
      </c>
      <c r="AM5653" s="1">
        <v>2621.73</v>
      </c>
      <c r="AN5653" s="1">
        <v>2621.73</v>
      </c>
      <c r="AO5653" s="1">
        <v>2621.73</v>
      </c>
      <c r="AP5653" s="2">
        <v>42746</v>
      </c>
      <c r="AQ5653" t="s">
        <v>72</v>
      </c>
      <c r="AR5653" t="s">
        <v>72</v>
      </c>
      <c r="AS5653">
        <v>1991</v>
      </c>
      <c r="AT5653" s="4">
        <v>42578</v>
      </c>
      <c r="AU5653" t="s">
        <v>73</v>
      </c>
      <c r="AV5653">
        <v>1991</v>
      </c>
      <c r="AW5653" s="4">
        <v>42578</v>
      </c>
      <c r="BD5653">
        <v>0</v>
      </c>
      <c r="BN5653" t="s">
        <v>74</v>
      </c>
    </row>
    <row r="5654" spans="1:66" hidden="1">
      <c r="A5654">
        <v>103365</v>
      </c>
      <c r="B5654" s="3" t="s">
        <v>577</v>
      </c>
      <c r="C5654" s="1">
        <v>43300101</v>
      </c>
      <c r="D5654" t="s">
        <v>67</v>
      </c>
      <c r="H5654" t="str">
        <f t="shared" si="597"/>
        <v>00488410010</v>
      </c>
      <c r="I5654" t="str">
        <f t="shared" si="597"/>
        <v>00488410010</v>
      </c>
      <c r="K5654" t="str">
        <f>""</f>
        <v/>
      </c>
      <c r="M5654" t="s">
        <v>68</v>
      </c>
      <c r="N5654" t="str">
        <f t="shared" si="593"/>
        <v>FOR</v>
      </c>
      <c r="O5654" t="s">
        <v>69</v>
      </c>
      <c r="P5654" s="3" t="s">
        <v>75</v>
      </c>
      <c r="Q5654">
        <v>2016</v>
      </c>
      <c r="R5654" s="2">
        <v>42536</v>
      </c>
      <c r="S5654" s="2">
        <v>42548</v>
      </c>
      <c r="T5654" s="2">
        <v>42548</v>
      </c>
      <c r="U5654" s="2">
        <v>42608</v>
      </c>
      <c r="V5654" t="s">
        <v>71</v>
      </c>
      <c r="W5654" t="str">
        <f>"          7X01890589"</f>
        <v xml:space="preserve">          7X01890589</v>
      </c>
      <c r="X5654">
        <v>113.47</v>
      </c>
      <c r="Y5654">
        <v>0</v>
      </c>
      <c r="Z5654"/>
      <c r="AB5654"/>
      <c r="AC5654">
        <v>93.06</v>
      </c>
      <c r="AD5654">
        <v>-30</v>
      </c>
      <c r="AE5654" s="1">
        <v>-2791.8</v>
      </c>
      <c r="AF5654">
        <v>0</v>
      </c>
      <c r="AJ5654">
        <v>0</v>
      </c>
      <c r="AK5654">
        <v>0</v>
      </c>
      <c r="AL5654">
        <v>0</v>
      </c>
      <c r="AM5654">
        <v>113.47</v>
      </c>
      <c r="AN5654">
        <v>113.47</v>
      </c>
      <c r="AO5654">
        <v>113.47</v>
      </c>
      <c r="AP5654" s="2">
        <v>42746</v>
      </c>
      <c r="AQ5654" t="s">
        <v>72</v>
      </c>
      <c r="AR5654" t="s">
        <v>72</v>
      </c>
      <c r="AS5654">
        <v>1991</v>
      </c>
      <c r="AT5654" s="4">
        <v>42578</v>
      </c>
      <c r="AV5654">
        <v>1991</v>
      </c>
      <c r="AW5654" s="4">
        <v>42578</v>
      </c>
      <c r="BD5654">
        <v>0</v>
      </c>
      <c r="BN5654" t="s">
        <v>74</v>
      </c>
    </row>
    <row r="5655" spans="1:66" hidden="1">
      <c r="A5655">
        <v>103365</v>
      </c>
      <c r="B5655" s="3" t="s">
        <v>577</v>
      </c>
      <c r="C5655" s="1">
        <v>43300101</v>
      </c>
      <c r="D5655" t="s">
        <v>67</v>
      </c>
      <c r="H5655" t="str">
        <f t="shared" si="597"/>
        <v>00488410010</v>
      </c>
      <c r="I5655" t="str">
        <f t="shared" si="597"/>
        <v>00488410010</v>
      </c>
      <c r="K5655" t="str">
        <f>""</f>
        <v/>
      </c>
      <c r="M5655" t="s">
        <v>68</v>
      </c>
      <c r="N5655" t="str">
        <f t="shared" si="593"/>
        <v>FOR</v>
      </c>
      <c r="O5655" t="s">
        <v>69</v>
      </c>
      <c r="P5655" s="3" t="s">
        <v>75</v>
      </c>
      <c r="Q5655">
        <v>2016</v>
      </c>
      <c r="R5655" s="2">
        <v>42536</v>
      </c>
      <c r="S5655" s="2">
        <v>42548</v>
      </c>
      <c r="T5655" s="2">
        <v>42548</v>
      </c>
      <c r="U5655" s="2">
        <v>42608</v>
      </c>
      <c r="V5655" t="s">
        <v>71</v>
      </c>
      <c r="W5655" t="str">
        <f>"          7X02088220"</f>
        <v xml:space="preserve">          7X02088220</v>
      </c>
      <c r="X5655" s="1">
        <v>2546.4499999999998</v>
      </c>
      <c r="Y5655">
        <v>0</v>
      </c>
      <c r="Z5655"/>
      <c r="AB5655"/>
      <c r="AC5655" s="1">
        <v>2334.39</v>
      </c>
      <c r="AD5655">
        <v>-30</v>
      </c>
      <c r="AE5655" s="1">
        <v>-70031.7</v>
      </c>
      <c r="AF5655">
        <v>0</v>
      </c>
      <c r="AJ5655">
        <v>0</v>
      </c>
      <c r="AK5655">
        <v>0</v>
      </c>
      <c r="AL5655">
        <v>0</v>
      </c>
      <c r="AM5655" s="1">
        <v>2546.4499999999998</v>
      </c>
      <c r="AN5655" s="1">
        <v>2546.4499999999998</v>
      </c>
      <c r="AO5655" s="1">
        <v>2546.4499999999998</v>
      </c>
      <c r="AP5655" s="2">
        <v>42746</v>
      </c>
      <c r="AQ5655" t="s">
        <v>72</v>
      </c>
      <c r="AR5655" t="s">
        <v>72</v>
      </c>
      <c r="AS5655">
        <v>1991</v>
      </c>
      <c r="AT5655" s="4">
        <v>42578</v>
      </c>
      <c r="AV5655">
        <v>1991</v>
      </c>
      <c r="AW5655" s="4">
        <v>42578</v>
      </c>
      <c r="BD5655">
        <v>0</v>
      </c>
      <c r="BN5655" t="s">
        <v>74</v>
      </c>
    </row>
    <row r="5656" spans="1:66" hidden="1">
      <c r="A5656">
        <v>103365</v>
      </c>
      <c r="B5656" s="3" t="s">
        <v>577</v>
      </c>
      <c r="C5656" s="1">
        <v>43300101</v>
      </c>
      <c r="D5656" t="s">
        <v>67</v>
      </c>
      <c r="H5656" t="str">
        <f t="shared" si="597"/>
        <v>00488410010</v>
      </c>
      <c r="I5656" t="str">
        <f t="shared" si="597"/>
        <v>00488410010</v>
      </c>
      <c r="K5656" t="str">
        <f>""</f>
        <v/>
      </c>
      <c r="M5656" t="s">
        <v>68</v>
      </c>
      <c r="N5656" t="str">
        <f t="shared" si="593"/>
        <v>FOR</v>
      </c>
      <c r="O5656" t="s">
        <v>69</v>
      </c>
      <c r="P5656" s="3" t="s">
        <v>75</v>
      </c>
      <c r="Q5656">
        <v>2016</v>
      </c>
      <c r="R5656" s="2">
        <v>42536</v>
      </c>
      <c r="S5656" s="2">
        <v>42548</v>
      </c>
      <c r="T5656" s="2">
        <v>42548</v>
      </c>
      <c r="U5656" s="2">
        <v>42608</v>
      </c>
      <c r="V5656" t="s">
        <v>71</v>
      </c>
      <c r="W5656" t="str">
        <f>"          7X02414969"</f>
        <v xml:space="preserve">          7X02414969</v>
      </c>
      <c r="X5656">
        <v>285.52999999999997</v>
      </c>
      <c r="Y5656">
        <v>0</v>
      </c>
      <c r="Z5656"/>
      <c r="AB5656"/>
      <c r="AC5656">
        <v>234.24</v>
      </c>
      <c r="AD5656">
        <v>-30</v>
      </c>
      <c r="AE5656" s="1">
        <v>-7027.2</v>
      </c>
      <c r="AF5656">
        <v>0</v>
      </c>
      <c r="AJ5656">
        <v>0</v>
      </c>
      <c r="AK5656">
        <v>0</v>
      </c>
      <c r="AL5656">
        <v>0</v>
      </c>
      <c r="AM5656">
        <v>285.52999999999997</v>
      </c>
      <c r="AN5656">
        <v>285.52999999999997</v>
      </c>
      <c r="AO5656">
        <v>285.52999999999997</v>
      </c>
      <c r="AP5656" s="2">
        <v>42746</v>
      </c>
      <c r="AQ5656" t="s">
        <v>72</v>
      </c>
      <c r="AR5656" t="s">
        <v>72</v>
      </c>
      <c r="AS5656">
        <v>1991</v>
      </c>
      <c r="AT5656" s="4">
        <v>42578</v>
      </c>
      <c r="AV5656">
        <v>1991</v>
      </c>
      <c r="AW5656" s="4">
        <v>42578</v>
      </c>
      <c r="BD5656">
        <v>0</v>
      </c>
      <c r="BN5656" t="s">
        <v>74</v>
      </c>
    </row>
    <row r="5657" spans="1:66">
      <c r="A5657">
        <v>103365</v>
      </c>
      <c r="B5657" s="3" t="s">
        <v>577</v>
      </c>
      <c r="C5657" s="1">
        <v>43300101</v>
      </c>
      <c r="D5657" t="s">
        <v>67</v>
      </c>
      <c r="H5657" t="str">
        <f t="shared" si="597"/>
        <v>00488410010</v>
      </c>
      <c r="I5657" t="str">
        <f t="shared" si="597"/>
        <v>00488410010</v>
      </c>
      <c r="K5657" t="str">
        <f>""</f>
        <v/>
      </c>
      <c r="M5657" t="s">
        <v>68</v>
      </c>
      <c r="N5657" t="str">
        <f t="shared" si="593"/>
        <v>FOR</v>
      </c>
      <c r="O5657" t="s">
        <v>69</v>
      </c>
      <c r="P5657" s="3" t="s">
        <v>75</v>
      </c>
      <c r="Q5657">
        <v>2016</v>
      </c>
      <c r="R5657" s="2">
        <v>42657</v>
      </c>
      <c r="S5657" s="2">
        <v>42670</v>
      </c>
      <c r="T5657" s="2">
        <v>42668</v>
      </c>
      <c r="U5657" s="2">
        <v>42728</v>
      </c>
      <c r="V5657" t="s">
        <v>71</v>
      </c>
      <c r="W5657" t="str">
        <f>"          7X03964735"</f>
        <v xml:space="preserve">          7X03964735</v>
      </c>
      <c r="X5657">
        <v>417.87</v>
      </c>
      <c r="Y5657">
        <v>0</v>
      </c>
      <c r="Z5657" s="3">
        <v>342.74</v>
      </c>
      <c r="AA5657">
        <v>-10</v>
      </c>
      <c r="AB5657" s="5">
        <v>-3427.4</v>
      </c>
      <c r="AC5657">
        <v>342.74</v>
      </c>
      <c r="AD5657">
        <v>-10</v>
      </c>
      <c r="AE5657" s="1">
        <v>-3427.4</v>
      </c>
      <c r="AF5657">
        <v>75.13</v>
      </c>
      <c r="AJ5657">
        <v>417.87</v>
      </c>
      <c r="AK5657">
        <v>417.87</v>
      </c>
      <c r="AL5657">
        <v>417.87</v>
      </c>
      <c r="AM5657">
        <v>417.87</v>
      </c>
      <c r="AN5657">
        <v>417.87</v>
      </c>
      <c r="AO5657">
        <v>417.87</v>
      </c>
      <c r="AP5657" s="2">
        <v>42746</v>
      </c>
      <c r="AQ5657" t="s">
        <v>72</v>
      </c>
      <c r="AR5657" t="s">
        <v>72</v>
      </c>
      <c r="AS5657">
        <v>3497</v>
      </c>
      <c r="AT5657" s="4">
        <v>42718</v>
      </c>
      <c r="AV5657">
        <v>3497</v>
      </c>
      <c r="AW5657" s="4">
        <v>42718</v>
      </c>
      <c r="AX5657">
        <v>75.13</v>
      </c>
      <c r="BD5657">
        <v>0</v>
      </c>
      <c r="BN5657" t="s">
        <v>74</v>
      </c>
    </row>
    <row r="5658" spans="1:66">
      <c r="A5658">
        <v>103365</v>
      </c>
      <c r="B5658" s="3" t="s">
        <v>577</v>
      </c>
      <c r="C5658" s="1">
        <v>43300101</v>
      </c>
      <c r="D5658" t="s">
        <v>67</v>
      </c>
      <c r="H5658" t="str">
        <f t="shared" si="597"/>
        <v>00488410010</v>
      </c>
      <c r="I5658" t="str">
        <f t="shared" si="597"/>
        <v>00488410010</v>
      </c>
      <c r="K5658" t="str">
        <f>""</f>
        <v/>
      </c>
      <c r="M5658" t="s">
        <v>68</v>
      </c>
      <c r="N5658" t="str">
        <f t="shared" si="593"/>
        <v>FOR</v>
      </c>
      <c r="O5658" t="s">
        <v>69</v>
      </c>
      <c r="P5658" s="3" t="s">
        <v>75</v>
      </c>
      <c r="Q5658">
        <v>2016</v>
      </c>
      <c r="R5658" s="2">
        <v>42657</v>
      </c>
      <c r="S5658" s="2">
        <v>42670</v>
      </c>
      <c r="T5658" s="2">
        <v>42668</v>
      </c>
      <c r="U5658" s="2">
        <v>42728</v>
      </c>
      <c r="V5658" t="s">
        <v>71</v>
      </c>
      <c r="W5658" t="str">
        <f>"          7X04153113"</f>
        <v xml:space="preserve">          7X04153113</v>
      </c>
      <c r="X5658">
        <v>118.55</v>
      </c>
      <c r="Y5658">
        <v>0</v>
      </c>
      <c r="Z5658" s="3">
        <v>97.23</v>
      </c>
      <c r="AA5658">
        <v>-10</v>
      </c>
      <c r="AB5658" s="3">
        <v>-972.3</v>
      </c>
      <c r="AC5658">
        <v>97.23</v>
      </c>
      <c r="AD5658">
        <v>-10</v>
      </c>
      <c r="AE5658">
        <v>-972.3</v>
      </c>
      <c r="AF5658">
        <v>21.32</v>
      </c>
      <c r="AJ5658">
        <v>118.55</v>
      </c>
      <c r="AK5658">
        <v>118.55</v>
      </c>
      <c r="AL5658">
        <v>118.55</v>
      </c>
      <c r="AM5658">
        <v>118.55</v>
      </c>
      <c r="AN5658">
        <v>118.55</v>
      </c>
      <c r="AO5658">
        <v>118.55</v>
      </c>
      <c r="AP5658" s="2">
        <v>42746</v>
      </c>
      <c r="AQ5658" t="s">
        <v>72</v>
      </c>
      <c r="AR5658" t="s">
        <v>72</v>
      </c>
      <c r="AS5658">
        <v>3497</v>
      </c>
      <c r="AT5658" s="4">
        <v>42718</v>
      </c>
      <c r="AV5658">
        <v>3497</v>
      </c>
      <c r="AW5658" s="4">
        <v>42718</v>
      </c>
      <c r="AX5658">
        <v>21.32</v>
      </c>
      <c r="BD5658">
        <v>0</v>
      </c>
      <c r="BN5658" t="s">
        <v>74</v>
      </c>
    </row>
    <row r="5659" spans="1:66" hidden="1">
      <c r="A5659">
        <v>103365</v>
      </c>
      <c r="B5659" s="3" t="s">
        <v>577</v>
      </c>
      <c r="C5659" s="1">
        <v>43300101</v>
      </c>
      <c r="D5659" t="s">
        <v>67</v>
      </c>
      <c r="H5659" t="str">
        <f t="shared" si="597"/>
        <v>00488410010</v>
      </c>
      <c r="I5659" t="str">
        <f t="shared" si="597"/>
        <v>00488410010</v>
      </c>
      <c r="K5659" t="str">
        <f>""</f>
        <v/>
      </c>
      <c r="M5659" t="s">
        <v>68</v>
      </c>
      <c r="N5659" t="str">
        <f t="shared" si="593"/>
        <v>FOR</v>
      </c>
      <c r="O5659" t="s">
        <v>69</v>
      </c>
      <c r="P5659" s="3" t="s">
        <v>75</v>
      </c>
      <c r="Q5659">
        <v>2016</v>
      </c>
      <c r="R5659" s="2">
        <v>42432</v>
      </c>
      <c r="S5659" s="2">
        <v>42438</v>
      </c>
      <c r="T5659" s="2">
        <v>42437</v>
      </c>
      <c r="U5659" s="2">
        <v>42497</v>
      </c>
      <c r="V5659" t="s">
        <v>71</v>
      </c>
      <c r="W5659" t="str">
        <f>"        301680016499"</f>
        <v xml:space="preserve">        301680016499</v>
      </c>
      <c r="X5659" s="1">
        <v>3826.19</v>
      </c>
      <c r="Y5659">
        <v>0</v>
      </c>
      <c r="Z5659"/>
      <c r="AB5659"/>
      <c r="AC5659" s="1">
        <v>3412.67</v>
      </c>
      <c r="AD5659">
        <v>30</v>
      </c>
      <c r="AE5659" s="1">
        <v>102380.1</v>
      </c>
      <c r="AF5659">
        <v>0</v>
      </c>
      <c r="AJ5659">
        <v>0</v>
      </c>
      <c r="AK5659">
        <v>0</v>
      </c>
      <c r="AL5659">
        <v>0</v>
      </c>
      <c r="AM5659" s="1">
        <v>3826.19</v>
      </c>
      <c r="AN5659" s="1">
        <v>3826.19</v>
      </c>
      <c r="AO5659" s="1">
        <v>3826.19</v>
      </c>
      <c r="AP5659" s="2">
        <v>42746</v>
      </c>
      <c r="AQ5659" t="s">
        <v>72</v>
      </c>
      <c r="AR5659" t="s">
        <v>72</v>
      </c>
      <c r="AS5659">
        <v>1491</v>
      </c>
      <c r="AT5659" s="4">
        <v>42527</v>
      </c>
      <c r="AU5659" t="s">
        <v>73</v>
      </c>
      <c r="AV5659">
        <v>1491</v>
      </c>
      <c r="AW5659" s="4">
        <v>42527</v>
      </c>
      <c r="BD5659">
        <v>0</v>
      </c>
      <c r="BN5659" t="s">
        <v>74</v>
      </c>
    </row>
    <row r="5660" spans="1:66" hidden="1">
      <c r="A5660">
        <v>103365</v>
      </c>
      <c r="B5660" s="3" t="s">
        <v>577</v>
      </c>
      <c r="C5660" s="1">
        <v>43300101</v>
      </c>
      <c r="D5660" t="s">
        <v>67</v>
      </c>
      <c r="H5660" t="str">
        <f t="shared" si="597"/>
        <v>00488410010</v>
      </c>
      <c r="I5660" t="str">
        <f t="shared" si="597"/>
        <v>00488410010</v>
      </c>
      <c r="K5660" t="str">
        <f>""</f>
        <v/>
      </c>
      <c r="M5660" t="s">
        <v>68</v>
      </c>
      <c r="N5660" t="str">
        <f t="shared" si="593"/>
        <v>FOR</v>
      </c>
      <c r="O5660" t="s">
        <v>69</v>
      </c>
      <c r="P5660" s="3" t="s">
        <v>75</v>
      </c>
      <c r="Q5660">
        <v>2016</v>
      </c>
      <c r="R5660" s="2">
        <v>42459</v>
      </c>
      <c r="S5660" s="2">
        <v>42464</v>
      </c>
      <c r="T5660" s="2">
        <v>42461</v>
      </c>
      <c r="U5660" s="2">
        <v>42521</v>
      </c>
      <c r="V5660" t="s">
        <v>71</v>
      </c>
      <c r="W5660" t="str">
        <f>"        301680024474"</f>
        <v xml:space="preserve">        301680024474</v>
      </c>
      <c r="X5660" s="1">
        <v>2507.67</v>
      </c>
      <c r="Y5660">
        <v>0</v>
      </c>
      <c r="Z5660"/>
      <c r="AB5660"/>
      <c r="AC5660" s="1">
        <v>2298.66</v>
      </c>
      <c r="AD5660">
        <v>6</v>
      </c>
      <c r="AE5660" s="1">
        <v>13791.96</v>
      </c>
      <c r="AF5660">
        <v>0</v>
      </c>
      <c r="AJ5660">
        <v>0</v>
      </c>
      <c r="AK5660">
        <v>0</v>
      </c>
      <c r="AL5660">
        <v>0</v>
      </c>
      <c r="AM5660" s="1">
        <v>2507.67</v>
      </c>
      <c r="AN5660" s="1">
        <v>2507.67</v>
      </c>
      <c r="AO5660" s="1">
        <v>2507.67</v>
      </c>
      <c r="AP5660" s="2">
        <v>42746</v>
      </c>
      <c r="AQ5660" t="s">
        <v>72</v>
      </c>
      <c r="AR5660" t="s">
        <v>72</v>
      </c>
      <c r="AS5660">
        <v>1491</v>
      </c>
      <c r="AT5660" s="4">
        <v>42527</v>
      </c>
      <c r="AU5660" t="s">
        <v>73</v>
      </c>
      <c r="AV5660">
        <v>1491</v>
      </c>
      <c r="AW5660" s="4">
        <v>42527</v>
      </c>
      <c r="BD5660">
        <v>0</v>
      </c>
      <c r="BN5660" t="s">
        <v>74</v>
      </c>
    </row>
    <row r="5661" spans="1:66" hidden="1">
      <c r="A5661">
        <v>103365</v>
      </c>
      <c r="B5661" s="3" t="s">
        <v>577</v>
      </c>
      <c r="C5661" s="1">
        <v>43300101</v>
      </c>
      <c r="D5661" t="s">
        <v>67</v>
      </c>
      <c r="H5661" t="str">
        <f t="shared" si="597"/>
        <v>00488410010</v>
      </c>
      <c r="I5661" t="str">
        <f t="shared" si="597"/>
        <v>00488410010</v>
      </c>
      <c r="K5661" t="str">
        <f>""</f>
        <v/>
      </c>
      <c r="M5661" t="s">
        <v>68</v>
      </c>
      <c r="N5661" t="str">
        <f t="shared" si="593"/>
        <v>FOR</v>
      </c>
      <c r="O5661" t="s">
        <v>69</v>
      </c>
      <c r="P5661" s="3" t="s">
        <v>75</v>
      </c>
      <c r="Q5661">
        <v>2016</v>
      </c>
      <c r="R5661" s="2">
        <v>42467</v>
      </c>
      <c r="S5661" s="2">
        <v>42472</v>
      </c>
      <c r="T5661" s="2">
        <v>42472</v>
      </c>
      <c r="U5661" s="2">
        <v>42532</v>
      </c>
      <c r="V5661" t="s">
        <v>71</v>
      </c>
      <c r="W5661" t="str">
        <f>"        301680026360"</f>
        <v xml:space="preserve">        301680026360</v>
      </c>
      <c r="X5661" s="1">
        <v>4028.85</v>
      </c>
      <c r="Y5661">
        <v>0</v>
      </c>
      <c r="Z5661"/>
      <c r="AB5661"/>
      <c r="AC5661" s="1">
        <v>3558.42</v>
      </c>
      <c r="AD5661">
        <v>46</v>
      </c>
      <c r="AE5661" s="1">
        <v>163687.32</v>
      </c>
      <c r="AF5661">
        <v>0</v>
      </c>
      <c r="AJ5661">
        <v>0</v>
      </c>
      <c r="AK5661">
        <v>0</v>
      </c>
      <c r="AL5661">
        <v>0</v>
      </c>
      <c r="AM5661" s="1">
        <v>4028.85</v>
      </c>
      <c r="AN5661" s="1">
        <v>4028.85</v>
      </c>
      <c r="AO5661" s="1">
        <v>4028.85</v>
      </c>
      <c r="AP5661" s="2">
        <v>42746</v>
      </c>
      <c r="AQ5661" t="s">
        <v>72</v>
      </c>
      <c r="AR5661" t="s">
        <v>72</v>
      </c>
      <c r="AS5661">
        <v>1991</v>
      </c>
      <c r="AT5661" s="4">
        <v>42578</v>
      </c>
      <c r="AU5661" t="s">
        <v>73</v>
      </c>
      <c r="AV5661">
        <v>1991</v>
      </c>
      <c r="AW5661" s="4">
        <v>42578</v>
      </c>
      <c r="BD5661">
        <v>0</v>
      </c>
      <c r="BN5661" t="s">
        <v>74</v>
      </c>
    </row>
    <row r="5662" spans="1:66" hidden="1">
      <c r="A5662">
        <v>103365</v>
      </c>
      <c r="B5662" s="3" t="s">
        <v>577</v>
      </c>
      <c r="C5662" s="1">
        <v>43300101</v>
      </c>
      <c r="D5662" t="s">
        <v>67</v>
      </c>
      <c r="H5662" t="str">
        <f t="shared" si="597"/>
        <v>00488410010</v>
      </c>
      <c r="I5662" t="str">
        <f t="shared" si="597"/>
        <v>00488410010</v>
      </c>
      <c r="K5662" t="str">
        <f>""</f>
        <v/>
      </c>
      <c r="M5662" t="s">
        <v>68</v>
      </c>
      <c r="N5662" t="str">
        <f t="shared" si="593"/>
        <v>FOR</v>
      </c>
      <c r="O5662" t="s">
        <v>69</v>
      </c>
      <c r="P5662" s="3" t="s">
        <v>75</v>
      </c>
      <c r="Q5662">
        <v>2016</v>
      </c>
      <c r="R5662" s="2">
        <v>42472</v>
      </c>
      <c r="S5662" s="2">
        <v>42478</v>
      </c>
      <c r="T5662" s="2">
        <v>42475</v>
      </c>
      <c r="U5662" s="2">
        <v>42535</v>
      </c>
      <c r="V5662" t="s">
        <v>71</v>
      </c>
      <c r="W5662" t="str">
        <f>"        301680027382"</f>
        <v xml:space="preserve">        301680027382</v>
      </c>
      <c r="X5662" s="1">
        <v>4401.6899999999996</v>
      </c>
      <c r="Y5662">
        <v>0</v>
      </c>
      <c r="Z5662"/>
      <c r="AB5662"/>
      <c r="AC5662" s="1">
        <v>4120.1099999999997</v>
      </c>
      <c r="AD5662">
        <v>43</v>
      </c>
      <c r="AE5662" s="1">
        <v>177164.73</v>
      </c>
      <c r="AF5662">
        <v>0</v>
      </c>
      <c r="AJ5662">
        <v>0</v>
      </c>
      <c r="AK5662">
        <v>0</v>
      </c>
      <c r="AL5662">
        <v>0</v>
      </c>
      <c r="AM5662" s="1">
        <v>4401.6899999999996</v>
      </c>
      <c r="AN5662" s="1">
        <v>4401.6899999999996</v>
      </c>
      <c r="AO5662" s="1">
        <v>4401.6899999999996</v>
      </c>
      <c r="AP5662" s="2">
        <v>42746</v>
      </c>
      <c r="AQ5662" t="s">
        <v>72</v>
      </c>
      <c r="AR5662" t="s">
        <v>72</v>
      </c>
      <c r="AS5662">
        <v>1991</v>
      </c>
      <c r="AT5662" s="4">
        <v>42578</v>
      </c>
      <c r="AU5662" t="s">
        <v>73</v>
      </c>
      <c r="AV5662">
        <v>1991</v>
      </c>
      <c r="AW5662" s="4">
        <v>42578</v>
      </c>
      <c r="BD5662">
        <v>0</v>
      </c>
      <c r="BN5662" t="s">
        <v>74</v>
      </c>
    </row>
    <row r="5663" spans="1:66" hidden="1">
      <c r="A5663">
        <v>103365</v>
      </c>
      <c r="B5663" s="3" t="s">
        <v>577</v>
      </c>
      <c r="C5663" s="1">
        <v>43300101</v>
      </c>
      <c r="D5663" t="s">
        <v>67</v>
      </c>
      <c r="H5663" t="str">
        <f t="shared" si="597"/>
        <v>00488410010</v>
      </c>
      <c r="I5663" t="str">
        <f t="shared" si="597"/>
        <v>00488410010</v>
      </c>
      <c r="K5663" t="str">
        <f>""</f>
        <v/>
      </c>
      <c r="M5663" t="s">
        <v>68</v>
      </c>
      <c r="N5663" t="str">
        <f t="shared" si="593"/>
        <v>FOR</v>
      </c>
      <c r="O5663" t="s">
        <v>69</v>
      </c>
      <c r="P5663" s="3" t="s">
        <v>75</v>
      </c>
      <c r="Q5663">
        <v>2016</v>
      </c>
      <c r="R5663" s="2">
        <v>42425</v>
      </c>
      <c r="S5663" s="2">
        <v>42486</v>
      </c>
      <c r="T5663" s="2">
        <v>42480</v>
      </c>
      <c r="U5663" s="2">
        <v>42540</v>
      </c>
      <c r="V5663" t="s">
        <v>71</v>
      </c>
      <c r="W5663" t="str">
        <f>"  C12020161000174213"</f>
        <v xml:space="preserve">  C12020161000174213</v>
      </c>
      <c r="X5663">
        <v>715.53</v>
      </c>
      <c r="Y5663">
        <v>0</v>
      </c>
      <c r="Z5663"/>
      <c r="AB5663"/>
      <c r="AC5663">
        <v>586.5</v>
      </c>
      <c r="AD5663">
        <v>-13</v>
      </c>
      <c r="AE5663" s="1">
        <v>-7624.5</v>
      </c>
      <c r="AF5663">
        <v>0</v>
      </c>
      <c r="AJ5663">
        <v>0</v>
      </c>
      <c r="AK5663">
        <v>0</v>
      </c>
      <c r="AL5663">
        <v>0</v>
      </c>
      <c r="AM5663">
        <v>715.53</v>
      </c>
      <c r="AN5663">
        <v>715.53</v>
      </c>
      <c r="AO5663">
        <v>715.53</v>
      </c>
      <c r="AP5663" s="2">
        <v>42746</v>
      </c>
      <c r="AQ5663" t="s">
        <v>72</v>
      </c>
      <c r="AR5663" t="s">
        <v>72</v>
      </c>
      <c r="AS5663">
        <v>1491</v>
      </c>
      <c r="AT5663" s="4">
        <v>42527</v>
      </c>
      <c r="AV5663">
        <v>1491</v>
      </c>
      <c r="AW5663" s="4">
        <v>42527</v>
      </c>
      <c r="BD5663">
        <v>0</v>
      </c>
      <c r="BN5663" t="s">
        <v>74</v>
      </c>
    </row>
    <row r="5664" spans="1:66" hidden="1">
      <c r="A5664">
        <v>103501</v>
      </c>
      <c r="B5664" s="3" t="s">
        <v>578</v>
      </c>
      <c r="C5664" s="1">
        <v>43300101</v>
      </c>
      <c r="D5664" t="s">
        <v>67</v>
      </c>
      <c r="H5664" t="str">
        <f t="shared" ref="H5664:H5671" si="598">"07195130153"</f>
        <v>07195130153</v>
      </c>
      <c r="I5664" t="str">
        <f t="shared" ref="I5664:I5671" si="599">"02385200122"</f>
        <v>02385200122</v>
      </c>
      <c r="K5664" t="str">
        <f>""</f>
        <v/>
      </c>
      <c r="M5664" t="s">
        <v>68</v>
      </c>
      <c r="N5664" t="str">
        <f t="shared" si="593"/>
        <v>FOR</v>
      </c>
      <c r="O5664" t="s">
        <v>69</v>
      </c>
      <c r="P5664" s="3" t="s">
        <v>70</v>
      </c>
      <c r="Q5664">
        <v>2015</v>
      </c>
      <c r="R5664" s="2">
        <v>42039</v>
      </c>
      <c r="S5664" s="2">
        <v>42047</v>
      </c>
      <c r="T5664" s="2">
        <v>42047</v>
      </c>
      <c r="U5664" s="2">
        <v>42107</v>
      </c>
      <c r="V5664" t="s">
        <v>71</v>
      </c>
      <c r="W5664" t="str">
        <f>"          3615012378"</f>
        <v xml:space="preserve">          3615012378</v>
      </c>
      <c r="X5664" s="1">
        <v>6447.32</v>
      </c>
      <c r="Y5664">
        <v>0</v>
      </c>
      <c r="Z5664"/>
      <c r="AB5664"/>
      <c r="AC5664" s="1">
        <v>5861.2</v>
      </c>
      <c r="AD5664">
        <v>298</v>
      </c>
      <c r="AE5664" s="1">
        <v>1746637.6</v>
      </c>
      <c r="AF5664">
        <v>0</v>
      </c>
      <c r="AJ5664">
        <v>0</v>
      </c>
      <c r="AK5664">
        <v>0</v>
      </c>
      <c r="AL5664">
        <v>0</v>
      </c>
      <c r="AM5664">
        <v>0</v>
      </c>
      <c r="AN5664">
        <v>0</v>
      </c>
      <c r="AO5664">
        <v>0</v>
      </c>
      <c r="AP5664" s="2">
        <v>42746</v>
      </c>
      <c r="AQ5664" t="s">
        <v>72</v>
      </c>
      <c r="AR5664" t="s">
        <v>72</v>
      </c>
      <c r="AS5664">
        <v>281</v>
      </c>
      <c r="AT5664" s="4">
        <v>42405</v>
      </c>
      <c r="AU5664" t="s">
        <v>73</v>
      </c>
      <c r="AV5664">
        <v>281</v>
      </c>
      <c r="AW5664" s="4">
        <v>42405</v>
      </c>
      <c r="BD5664">
        <v>0</v>
      </c>
      <c r="BN5664" t="s">
        <v>74</v>
      </c>
    </row>
    <row r="5665" spans="1:66" hidden="1">
      <c r="A5665">
        <v>103501</v>
      </c>
      <c r="B5665" s="3" t="s">
        <v>578</v>
      </c>
      <c r="C5665" s="1">
        <v>43300101</v>
      </c>
      <c r="D5665" t="s">
        <v>67</v>
      </c>
      <c r="H5665" t="str">
        <f t="shared" si="598"/>
        <v>07195130153</v>
      </c>
      <c r="I5665" t="str">
        <f t="shared" si="599"/>
        <v>02385200122</v>
      </c>
      <c r="K5665" t="str">
        <f>""</f>
        <v/>
      </c>
      <c r="M5665" t="s">
        <v>68</v>
      </c>
      <c r="N5665" t="str">
        <f t="shared" si="593"/>
        <v>FOR</v>
      </c>
      <c r="O5665" t="s">
        <v>69</v>
      </c>
      <c r="P5665" s="3" t="s">
        <v>75</v>
      </c>
      <c r="Q5665">
        <v>2015</v>
      </c>
      <c r="R5665" s="2">
        <v>42103</v>
      </c>
      <c r="S5665" s="2">
        <v>42422</v>
      </c>
      <c r="T5665" s="2">
        <v>42419</v>
      </c>
      <c r="U5665" s="2">
        <v>42479</v>
      </c>
      <c r="V5665" t="s">
        <v>71</v>
      </c>
      <c r="W5665" t="str">
        <f>"          3615032858"</f>
        <v xml:space="preserve">          3615032858</v>
      </c>
      <c r="X5665" s="1">
        <v>6447.32</v>
      </c>
      <c r="Y5665">
        <v>0</v>
      </c>
      <c r="Z5665"/>
      <c r="AB5665"/>
      <c r="AC5665" s="1">
        <v>5861.2</v>
      </c>
      <c r="AD5665">
        <v>48</v>
      </c>
      <c r="AE5665" s="1">
        <v>281337.59999999998</v>
      </c>
      <c r="AF5665">
        <v>0</v>
      </c>
      <c r="AJ5665">
        <v>0</v>
      </c>
      <c r="AK5665">
        <v>0</v>
      </c>
      <c r="AL5665">
        <v>0</v>
      </c>
      <c r="AM5665">
        <v>0</v>
      </c>
      <c r="AN5665" s="1">
        <v>6447.32</v>
      </c>
      <c r="AO5665">
        <v>0</v>
      </c>
      <c r="AP5665" s="2">
        <v>42746</v>
      </c>
      <c r="AQ5665" t="s">
        <v>72</v>
      </c>
      <c r="AR5665" t="s">
        <v>72</v>
      </c>
      <c r="AS5665">
        <v>1529</v>
      </c>
      <c r="AT5665" s="4">
        <v>42527</v>
      </c>
      <c r="AU5665" t="s">
        <v>73</v>
      </c>
      <c r="AV5665">
        <v>1529</v>
      </c>
      <c r="AW5665" s="4">
        <v>42527</v>
      </c>
      <c r="BD5665">
        <v>0</v>
      </c>
      <c r="BN5665" t="s">
        <v>74</v>
      </c>
    </row>
    <row r="5666" spans="1:66" hidden="1">
      <c r="A5666">
        <v>103501</v>
      </c>
      <c r="B5666" s="3" t="s">
        <v>578</v>
      </c>
      <c r="C5666" s="1">
        <v>43300101</v>
      </c>
      <c r="D5666" t="s">
        <v>67</v>
      </c>
      <c r="H5666" t="str">
        <f t="shared" si="598"/>
        <v>07195130153</v>
      </c>
      <c r="I5666" t="str">
        <f t="shared" si="599"/>
        <v>02385200122</v>
      </c>
      <c r="K5666" t="str">
        <f>""</f>
        <v/>
      </c>
      <c r="M5666" t="s">
        <v>68</v>
      </c>
      <c r="N5666" t="str">
        <f t="shared" si="593"/>
        <v>FOR</v>
      </c>
      <c r="O5666" t="s">
        <v>69</v>
      </c>
      <c r="P5666" s="3" t="s">
        <v>75</v>
      </c>
      <c r="Q5666">
        <v>2015</v>
      </c>
      <c r="R5666" s="2">
        <v>42167</v>
      </c>
      <c r="S5666" s="2">
        <v>42171</v>
      </c>
      <c r="T5666" s="2">
        <v>42170</v>
      </c>
      <c r="U5666" s="2">
        <v>42230</v>
      </c>
      <c r="V5666" t="s">
        <v>71</v>
      </c>
      <c r="W5666" t="str">
        <f>"          3615053216"</f>
        <v xml:space="preserve">          3615053216</v>
      </c>
      <c r="X5666" s="1">
        <v>3409.91</v>
      </c>
      <c r="Y5666">
        <v>0</v>
      </c>
      <c r="Z5666"/>
      <c r="AB5666"/>
      <c r="AC5666" s="1">
        <v>3099.92</v>
      </c>
      <c r="AD5666">
        <v>297</v>
      </c>
      <c r="AE5666" s="1">
        <v>920676.24</v>
      </c>
      <c r="AF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 s="2">
        <v>42746</v>
      </c>
      <c r="AQ5666" t="s">
        <v>72</v>
      </c>
      <c r="AR5666" t="s">
        <v>72</v>
      </c>
      <c r="AS5666">
        <v>1529</v>
      </c>
      <c r="AT5666" s="4">
        <v>42527</v>
      </c>
      <c r="AU5666" t="s">
        <v>73</v>
      </c>
      <c r="AV5666">
        <v>1529</v>
      </c>
      <c r="AW5666" s="4">
        <v>42527</v>
      </c>
      <c r="BD5666">
        <v>0</v>
      </c>
      <c r="BN5666" t="s">
        <v>74</v>
      </c>
    </row>
    <row r="5667" spans="1:66" hidden="1">
      <c r="A5667">
        <v>103501</v>
      </c>
      <c r="B5667" s="3" t="s">
        <v>578</v>
      </c>
      <c r="C5667" s="1">
        <v>43300101</v>
      </c>
      <c r="D5667" t="s">
        <v>67</v>
      </c>
      <c r="H5667" t="str">
        <f t="shared" si="598"/>
        <v>07195130153</v>
      </c>
      <c r="I5667" t="str">
        <f t="shared" si="599"/>
        <v>02385200122</v>
      </c>
      <c r="K5667" t="str">
        <f>""</f>
        <v/>
      </c>
      <c r="M5667" t="s">
        <v>68</v>
      </c>
      <c r="N5667" t="str">
        <f t="shared" si="593"/>
        <v>FOR</v>
      </c>
      <c r="O5667" t="s">
        <v>69</v>
      </c>
      <c r="P5667" s="3" t="s">
        <v>75</v>
      </c>
      <c r="Q5667">
        <v>2015</v>
      </c>
      <c r="R5667" s="2">
        <v>42234</v>
      </c>
      <c r="S5667" s="2">
        <v>42241</v>
      </c>
      <c r="T5667" s="2">
        <v>42240</v>
      </c>
      <c r="U5667" s="2">
        <v>42300</v>
      </c>
      <c r="V5667" t="s">
        <v>71</v>
      </c>
      <c r="W5667" t="str">
        <f>"          3615072560"</f>
        <v xml:space="preserve">          3615072560</v>
      </c>
      <c r="X5667" s="1">
        <v>1704.96</v>
      </c>
      <c r="Y5667">
        <v>0</v>
      </c>
      <c r="Z5667"/>
      <c r="AB5667"/>
      <c r="AC5667" s="1">
        <v>1549.96</v>
      </c>
      <c r="AD5667">
        <v>278</v>
      </c>
      <c r="AE5667" s="1">
        <v>430888.88</v>
      </c>
      <c r="AF5667">
        <v>0</v>
      </c>
      <c r="AJ5667">
        <v>0</v>
      </c>
      <c r="AK5667">
        <v>0</v>
      </c>
      <c r="AL5667">
        <v>0</v>
      </c>
      <c r="AM5667">
        <v>0</v>
      </c>
      <c r="AN5667">
        <v>0</v>
      </c>
      <c r="AO5667">
        <v>0</v>
      </c>
      <c r="AP5667" s="2">
        <v>42746</v>
      </c>
      <c r="AQ5667" t="s">
        <v>72</v>
      </c>
      <c r="AR5667" t="s">
        <v>72</v>
      </c>
      <c r="AS5667">
        <v>1997</v>
      </c>
      <c r="AT5667" s="4">
        <v>42578</v>
      </c>
      <c r="AU5667" t="s">
        <v>73</v>
      </c>
      <c r="AV5667">
        <v>1997</v>
      </c>
      <c r="AW5667" s="4">
        <v>42578</v>
      </c>
      <c r="BD5667">
        <v>0</v>
      </c>
      <c r="BN5667" t="s">
        <v>74</v>
      </c>
    </row>
    <row r="5668" spans="1:66" hidden="1">
      <c r="A5668">
        <v>103501</v>
      </c>
      <c r="B5668" s="3" t="s">
        <v>578</v>
      </c>
      <c r="C5668" s="1">
        <v>43300101</v>
      </c>
      <c r="D5668" t="s">
        <v>67</v>
      </c>
      <c r="H5668" t="str">
        <f t="shared" si="598"/>
        <v>07195130153</v>
      </c>
      <c r="I5668" t="str">
        <f t="shared" si="599"/>
        <v>02385200122</v>
      </c>
      <c r="K5668" t="str">
        <f>""</f>
        <v/>
      </c>
      <c r="M5668" t="s">
        <v>68</v>
      </c>
      <c r="N5668" t="str">
        <f t="shared" si="593"/>
        <v>FOR</v>
      </c>
      <c r="O5668" t="s">
        <v>69</v>
      </c>
      <c r="P5668" s="3" t="s">
        <v>75</v>
      </c>
      <c r="Q5668">
        <v>2015</v>
      </c>
      <c r="R5668" s="2">
        <v>42242</v>
      </c>
      <c r="S5668" s="2">
        <v>42245</v>
      </c>
      <c r="T5668" s="2">
        <v>42244</v>
      </c>
      <c r="U5668" s="2">
        <v>42304</v>
      </c>
      <c r="V5668" t="s">
        <v>71</v>
      </c>
      <c r="W5668" t="str">
        <f>"          3615074820"</f>
        <v xml:space="preserve">          3615074820</v>
      </c>
      <c r="X5668" s="1">
        <v>1704.96</v>
      </c>
      <c r="Y5668">
        <v>0</v>
      </c>
      <c r="Z5668"/>
      <c r="AB5668"/>
      <c r="AC5668" s="1">
        <v>1549.96</v>
      </c>
      <c r="AD5668">
        <v>274</v>
      </c>
      <c r="AE5668" s="1">
        <v>424689.04</v>
      </c>
      <c r="AF5668">
        <v>0</v>
      </c>
      <c r="AJ5668">
        <v>0</v>
      </c>
      <c r="AK5668">
        <v>0</v>
      </c>
      <c r="AL5668">
        <v>0</v>
      </c>
      <c r="AM5668">
        <v>0</v>
      </c>
      <c r="AN5668">
        <v>0</v>
      </c>
      <c r="AO5668">
        <v>0</v>
      </c>
      <c r="AP5668" s="2">
        <v>42746</v>
      </c>
      <c r="AQ5668" t="s">
        <v>72</v>
      </c>
      <c r="AR5668" t="s">
        <v>72</v>
      </c>
      <c r="AS5668">
        <v>1998</v>
      </c>
      <c r="AT5668" s="4">
        <v>42578</v>
      </c>
      <c r="AU5668" t="s">
        <v>73</v>
      </c>
      <c r="AV5668">
        <v>1998</v>
      </c>
      <c r="AW5668" s="4">
        <v>42578</v>
      </c>
      <c r="BD5668">
        <v>0</v>
      </c>
      <c r="BN5668" t="s">
        <v>74</v>
      </c>
    </row>
    <row r="5669" spans="1:66" hidden="1">
      <c r="A5669">
        <v>103501</v>
      </c>
      <c r="B5669" s="3" t="s">
        <v>578</v>
      </c>
      <c r="C5669" s="1">
        <v>43300101</v>
      </c>
      <c r="D5669" t="s">
        <v>67</v>
      </c>
      <c r="H5669" t="str">
        <f t="shared" si="598"/>
        <v>07195130153</v>
      </c>
      <c r="I5669" t="str">
        <f t="shared" si="599"/>
        <v>02385200122</v>
      </c>
      <c r="K5669" t="str">
        <f>""</f>
        <v/>
      </c>
      <c r="M5669" t="s">
        <v>68</v>
      </c>
      <c r="N5669" t="str">
        <f t="shared" si="593"/>
        <v>FOR</v>
      </c>
      <c r="O5669" t="s">
        <v>69</v>
      </c>
      <c r="P5669" s="3" t="s">
        <v>75</v>
      </c>
      <c r="Q5669">
        <v>2015</v>
      </c>
      <c r="R5669" s="2">
        <v>42275</v>
      </c>
      <c r="S5669" s="2">
        <v>42282</v>
      </c>
      <c r="T5669" s="2">
        <v>42277</v>
      </c>
      <c r="U5669" s="2">
        <v>42337</v>
      </c>
      <c r="V5669" t="s">
        <v>71</v>
      </c>
      <c r="W5669" t="str">
        <f>"          3615085101"</f>
        <v xml:space="preserve">          3615085101</v>
      </c>
      <c r="X5669" s="1">
        <v>3409.91</v>
      </c>
      <c r="Y5669">
        <v>0</v>
      </c>
      <c r="Z5669"/>
      <c r="AB5669"/>
      <c r="AC5669" s="1">
        <v>3099.92</v>
      </c>
      <c r="AD5669">
        <v>284</v>
      </c>
      <c r="AE5669" s="1">
        <v>880377.28</v>
      </c>
      <c r="AF5669">
        <v>0</v>
      </c>
      <c r="AJ5669">
        <v>0</v>
      </c>
      <c r="AK5669">
        <v>0</v>
      </c>
      <c r="AL5669">
        <v>0</v>
      </c>
      <c r="AM5669">
        <v>0</v>
      </c>
      <c r="AN5669">
        <v>0</v>
      </c>
      <c r="AO5669">
        <v>0</v>
      </c>
      <c r="AP5669" s="2">
        <v>42746</v>
      </c>
      <c r="AQ5669" t="s">
        <v>72</v>
      </c>
      <c r="AR5669" t="s">
        <v>72</v>
      </c>
      <c r="AS5669">
        <v>2389</v>
      </c>
      <c r="AT5669" s="4">
        <v>42621</v>
      </c>
      <c r="AU5669" t="s">
        <v>73</v>
      </c>
      <c r="AV5669">
        <v>2389</v>
      </c>
      <c r="AW5669" s="4">
        <v>42621</v>
      </c>
      <c r="BD5669">
        <v>0</v>
      </c>
      <c r="BN5669" t="s">
        <v>74</v>
      </c>
    </row>
    <row r="5670" spans="1:66" hidden="1">
      <c r="A5670">
        <v>103501</v>
      </c>
      <c r="B5670" s="3" t="s">
        <v>578</v>
      </c>
      <c r="C5670" s="1">
        <v>43300101</v>
      </c>
      <c r="D5670" t="s">
        <v>67</v>
      </c>
      <c r="H5670" t="str">
        <f t="shared" si="598"/>
        <v>07195130153</v>
      </c>
      <c r="I5670" t="str">
        <f t="shared" si="599"/>
        <v>02385200122</v>
      </c>
      <c r="K5670" t="str">
        <f>""</f>
        <v/>
      </c>
      <c r="M5670" t="s">
        <v>68</v>
      </c>
      <c r="N5670" t="str">
        <f t="shared" si="593"/>
        <v>FOR</v>
      </c>
      <c r="O5670" t="s">
        <v>69</v>
      </c>
      <c r="P5670" s="3" t="s">
        <v>75</v>
      </c>
      <c r="Q5670">
        <v>2016</v>
      </c>
      <c r="R5670" s="2">
        <v>42432</v>
      </c>
      <c r="S5670" s="2">
        <v>42436</v>
      </c>
      <c r="T5670" s="2">
        <v>42433</v>
      </c>
      <c r="U5670" s="2">
        <v>42493</v>
      </c>
      <c r="V5670" t="s">
        <v>71</v>
      </c>
      <c r="W5670" t="str">
        <f>"          3616023366"</f>
        <v xml:space="preserve">          3616023366</v>
      </c>
      <c r="X5670">
        <v>87.78</v>
      </c>
      <c r="Y5670">
        <v>0</v>
      </c>
      <c r="Z5670"/>
      <c r="AB5670"/>
      <c r="AC5670">
        <v>79.8</v>
      </c>
      <c r="AD5670">
        <v>128</v>
      </c>
      <c r="AE5670" s="1">
        <v>10214.4</v>
      </c>
      <c r="AF5670">
        <v>0</v>
      </c>
      <c r="AJ5670">
        <v>0</v>
      </c>
      <c r="AK5670">
        <v>0</v>
      </c>
      <c r="AL5670">
        <v>0</v>
      </c>
      <c r="AM5670">
        <v>87.78</v>
      </c>
      <c r="AN5670">
        <v>87.78</v>
      </c>
      <c r="AO5670">
        <v>87.78</v>
      </c>
      <c r="AP5670" s="2">
        <v>42746</v>
      </c>
      <c r="AQ5670" t="s">
        <v>72</v>
      </c>
      <c r="AR5670" t="s">
        <v>72</v>
      </c>
      <c r="AS5670">
        <v>2389</v>
      </c>
      <c r="AT5670" s="4">
        <v>42621</v>
      </c>
      <c r="AU5670" t="s">
        <v>73</v>
      </c>
      <c r="AV5670">
        <v>2389</v>
      </c>
      <c r="AW5670" s="4">
        <v>42621</v>
      </c>
      <c r="BD5670">
        <v>0</v>
      </c>
      <c r="BN5670" t="s">
        <v>74</v>
      </c>
    </row>
    <row r="5671" spans="1:66">
      <c r="A5671">
        <v>103501</v>
      </c>
      <c r="B5671" s="3" t="s">
        <v>578</v>
      </c>
      <c r="C5671" s="1">
        <v>43300101</v>
      </c>
      <c r="D5671" t="s">
        <v>67</v>
      </c>
      <c r="H5671" t="str">
        <f t="shared" si="598"/>
        <v>07195130153</v>
      </c>
      <c r="I5671" t="str">
        <f t="shared" si="599"/>
        <v>02385200122</v>
      </c>
      <c r="K5671" t="str">
        <f>""</f>
        <v/>
      </c>
      <c r="M5671" t="s">
        <v>68</v>
      </c>
      <c r="N5671" t="str">
        <f t="shared" si="593"/>
        <v>FOR</v>
      </c>
      <c r="O5671" t="s">
        <v>69</v>
      </c>
      <c r="P5671" s="3" t="s">
        <v>75</v>
      </c>
      <c r="Q5671">
        <v>2016</v>
      </c>
      <c r="R5671" s="2">
        <v>42660</v>
      </c>
      <c r="S5671" s="2">
        <v>42661</v>
      </c>
      <c r="T5671" s="2">
        <v>42661</v>
      </c>
      <c r="U5671" s="2">
        <v>42721</v>
      </c>
      <c r="V5671" t="s">
        <v>71</v>
      </c>
      <c r="W5671" t="str">
        <f>"          3616095168"</f>
        <v xml:space="preserve">          3616095168</v>
      </c>
      <c r="X5671">
        <v>201.3</v>
      </c>
      <c r="Y5671">
        <v>0</v>
      </c>
      <c r="Z5671" s="3">
        <v>183</v>
      </c>
      <c r="AA5671">
        <v>-32</v>
      </c>
      <c r="AB5671" s="5">
        <v>-5856</v>
      </c>
      <c r="AC5671">
        <v>183</v>
      </c>
      <c r="AD5671">
        <v>-32</v>
      </c>
      <c r="AE5671" s="1">
        <v>-5856</v>
      </c>
      <c r="AF5671">
        <v>0</v>
      </c>
      <c r="AJ5671">
        <v>201.3</v>
      </c>
      <c r="AK5671">
        <v>201.3</v>
      </c>
      <c r="AL5671">
        <v>201.3</v>
      </c>
      <c r="AM5671">
        <v>201.3</v>
      </c>
      <c r="AN5671">
        <v>201.3</v>
      </c>
      <c r="AO5671">
        <v>201.3</v>
      </c>
      <c r="AP5671" s="2">
        <v>42746</v>
      </c>
      <c r="AQ5671" t="s">
        <v>72</v>
      </c>
      <c r="AR5671" t="s">
        <v>72</v>
      </c>
      <c r="AS5671">
        <v>3114</v>
      </c>
      <c r="AT5671" s="4">
        <v>42689</v>
      </c>
      <c r="AV5671">
        <v>3114</v>
      </c>
      <c r="AW5671" s="4">
        <v>42689</v>
      </c>
      <c r="BD5671">
        <v>0</v>
      </c>
      <c r="BN5671" t="s">
        <v>74</v>
      </c>
    </row>
    <row r="5672" spans="1:66" hidden="1">
      <c r="A5672">
        <v>103538</v>
      </c>
      <c r="B5672" s="3" t="s">
        <v>579</v>
      </c>
      <c r="C5672" s="1">
        <v>43300101</v>
      </c>
      <c r="D5672" t="s">
        <v>67</v>
      </c>
      <c r="H5672" t="str">
        <f>"11957290155"</f>
        <v>11957290155</v>
      </c>
      <c r="I5672" t="str">
        <f>"11957290155"</f>
        <v>11957290155</v>
      </c>
      <c r="K5672" t="str">
        <f>""</f>
        <v/>
      </c>
      <c r="M5672" t="s">
        <v>68</v>
      </c>
      <c r="N5672" t="str">
        <f t="shared" si="593"/>
        <v>FOR</v>
      </c>
      <c r="O5672" t="s">
        <v>69</v>
      </c>
      <c r="P5672" s="3" t="s">
        <v>75</v>
      </c>
      <c r="Q5672">
        <v>2015</v>
      </c>
      <c r="R5672" s="2">
        <v>42369</v>
      </c>
      <c r="S5672" s="2">
        <v>42369</v>
      </c>
      <c r="T5672" s="2">
        <v>42369</v>
      </c>
      <c r="U5672" s="2">
        <v>42429</v>
      </c>
      <c r="V5672" t="s">
        <v>71</v>
      </c>
      <c r="W5672" t="str">
        <f>"       15/15VEN11891"</f>
        <v xml:space="preserve">       15/15VEN11891</v>
      </c>
      <c r="X5672">
        <v>160.38</v>
      </c>
      <c r="Y5672">
        <v>0</v>
      </c>
      <c r="Z5672"/>
      <c r="AB5672"/>
      <c r="AC5672">
        <v>145.80000000000001</v>
      </c>
      <c r="AD5672">
        <v>-24</v>
      </c>
      <c r="AE5672" s="1">
        <v>-3499.2</v>
      </c>
      <c r="AF5672">
        <v>0</v>
      </c>
      <c r="AJ5672">
        <v>0</v>
      </c>
      <c r="AK5672">
        <v>0</v>
      </c>
      <c r="AL5672">
        <v>0</v>
      </c>
      <c r="AM5672">
        <v>0</v>
      </c>
      <c r="AN5672">
        <v>0</v>
      </c>
      <c r="AO5672">
        <v>0</v>
      </c>
      <c r="AP5672" s="2">
        <v>42746</v>
      </c>
      <c r="AQ5672" t="s">
        <v>72</v>
      </c>
      <c r="AR5672" t="s">
        <v>72</v>
      </c>
      <c r="AS5672">
        <v>288</v>
      </c>
      <c r="AT5672" s="4">
        <v>42405</v>
      </c>
      <c r="AV5672">
        <v>288</v>
      </c>
      <c r="AW5672" s="4">
        <v>42405</v>
      </c>
      <c r="BD5672">
        <v>0</v>
      </c>
      <c r="BN5672" t="s">
        <v>74</v>
      </c>
    </row>
    <row r="5673" spans="1:66" hidden="1">
      <c r="A5673">
        <v>103633</v>
      </c>
      <c r="B5673" s="3" t="s">
        <v>580</v>
      </c>
      <c r="C5673" s="1">
        <v>43300101</v>
      </c>
      <c r="D5673" t="s">
        <v>67</v>
      </c>
      <c r="H5673" t="str">
        <f>"LDTRFL70H28H592V"</f>
        <v>LDTRFL70H28H592V</v>
      </c>
      <c r="I5673" t="str">
        <f>"02002150643"</f>
        <v>02002150643</v>
      </c>
      <c r="K5673" t="str">
        <f>""</f>
        <v/>
      </c>
      <c r="M5673" t="s">
        <v>68</v>
      </c>
      <c r="N5673" t="str">
        <f t="shared" si="593"/>
        <v>FOR</v>
      </c>
      <c r="O5673" t="s">
        <v>69</v>
      </c>
      <c r="P5673" s="3" t="s">
        <v>75</v>
      </c>
      <c r="Q5673">
        <v>2015</v>
      </c>
      <c r="R5673" s="2">
        <v>42185</v>
      </c>
      <c r="S5673" s="2">
        <v>42195</v>
      </c>
      <c r="T5673" s="2">
        <v>42195</v>
      </c>
      <c r="U5673" s="2">
        <v>42255</v>
      </c>
      <c r="V5673" t="s">
        <v>71</v>
      </c>
      <c r="W5673" t="str">
        <f>"              116/PA"</f>
        <v xml:space="preserve">              116/PA</v>
      </c>
      <c r="X5673">
        <v>902.8</v>
      </c>
      <c r="Y5673">
        <v>0</v>
      </c>
      <c r="Z5673"/>
      <c r="AB5673"/>
      <c r="AC5673">
        <v>740</v>
      </c>
      <c r="AD5673">
        <v>272</v>
      </c>
      <c r="AE5673" s="1">
        <v>201280</v>
      </c>
      <c r="AF5673">
        <v>0</v>
      </c>
      <c r="AJ5673">
        <v>0</v>
      </c>
      <c r="AK5673">
        <v>0</v>
      </c>
      <c r="AL5673">
        <v>0</v>
      </c>
      <c r="AM5673">
        <v>0</v>
      </c>
      <c r="AN5673">
        <v>0</v>
      </c>
      <c r="AO5673">
        <v>0</v>
      </c>
      <c r="AP5673" s="2">
        <v>42746</v>
      </c>
      <c r="AQ5673" t="s">
        <v>72</v>
      </c>
      <c r="AR5673" t="s">
        <v>72</v>
      </c>
      <c r="AS5673">
        <v>1503</v>
      </c>
      <c r="AT5673" s="4">
        <v>42527</v>
      </c>
      <c r="AU5673" t="s">
        <v>73</v>
      </c>
      <c r="AV5673">
        <v>1503</v>
      </c>
      <c r="AW5673" s="4">
        <v>42527</v>
      </c>
      <c r="BD5673">
        <v>0</v>
      </c>
      <c r="BN5673" t="s">
        <v>74</v>
      </c>
    </row>
    <row r="5674" spans="1:66" hidden="1">
      <c r="A5674">
        <v>103633</v>
      </c>
      <c r="B5674" s="3" t="s">
        <v>580</v>
      </c>
      <c r="C5674" s="1">
        <v>43300101</v>
      </c>
      <c r="D5674" t="s">
        <v>67</v>
      </c>
      <c r="H5674" t="str">
        <f>"LDTRFL70H28H592V"</f>
        <v>LDTRFL70H28H592V</v>
      </c>
      <c r="I5674" t="str">
        <f>"02002150643"</f>
        <v>02002150643</v>
      </c>
      <c r="K5674" t="str">
        <f>""</f>
        <v/>
      </c>
      <c r="M5674" t="s">
        <v>68</v>
      </c>
      <c r="N5674" t="str">
        <f t="shared" si="593"/>
        <v>FOR</v>
      </c>
      <c r="O5674" t="s">
        <v>69</v>
      </c>
      <c r="P5674" s="3" t="s">
        <v>75</v>
      </c>
      <c r="Q5674">
        <v>2015</v>
      </c>
      <c r="R5674" s="2">
        <v>42216</v>
      </c>
      <c r="S5674" s="2">
        <v>42282</v>
      </c>
      <c r="T5674" s="2">
        <v>42278</v>
      </c>
      <c r="U5674" s="2">
        <v>42338</v>
      </c>
      <c r="V5674" t="s">
        <v>71</v>
      </c>
      <c r="W5674" t="str">
        <f>"              128/PA"</f>
        <v xml:space="preserve">              128/PA</v>
      </c>
      <c r="X5674">
        <v>181.5</v>
      </c>
      <c r="Y5674">
        <v>0</v>
      </c>
      <c r="Z5674"/>
      <c r="AB5674"/>
      <c r="AC5674">
        <v>165</v>
      </c>
      <c r="AD5674">
        <v>65</v>
      </c>
      <c r="AE5674" s="1">
        <v>10725</v>
      </c>
      <c r="AF5674">
        <v>16.5</v>
      </c>
      <c r="AJ5674">
        <v>0</v>
      </c>
      <c r="AK5674">
        <v>0</v>
      </c>
      <c r="AL5674">
        <v>0</v>
      </c>
      <c r="AM5674">
        <v>0</v>
      </c>
      <c r="AN5674">
        <v>0</v>
      </c>
      <c r="AO5674">
        <v>0</v>
      </c>
      <c r="AP5674" s="2">
        <v>42746</v>
      </c>
      <c r="AQ5674" t="s">
        <v>72</v>
      </c>
      <c r="AR5674" t="s">
        <v>72</v>
      </c>
      <c r="AS5674">
        <v>212</v>
      </c>
      <c r="AT5674" s="4">
        <v>42403</v>
      </c>
      <c r="AU5674" t="s">
        <v>73</v>
      </c>
      <c r="AV5674">
        <v>212</v>
      </c>
      <c r="AW5674" s="4">
        <v>42403</v>
      </c>
      <c r="BD5674">
        <v>16.5</v>
      </c>
      <c r="BN5674" t="s">
        <v>74</v>
      </c>
    </row>
    <row r="5675" spans="1:66" hidden="1">
      <c r="A5675">
        <v>103808</v>
      </c>
      <c r="B5675" s="3" t="s">
        <v>581</v>
      </c>
      <c r="C5675" s="1">
        <v>43300101</v>
      </c>
      <c r="D5675" t="s">
        <v>67</v>
      </c>
      <c r="H5675" t="str">
        <f t="shared" ref="H5675:I5680" si="600">"02405040284"</f>
        <v>02405040284</v>
      </c>
      <c r="I5675" t="str">
        <f t="shared" si="600"/>
        <v>02405040284</v>
      </c>
      <c r="K5675" t="str">
        <f>""</f>
        <v/>
      </c>
      <c r="M5675" t="s">
        <v>68</v>
      </c>
      <c r="N5675" t="str">
        <f t="shared" si="593"/>
        <v>FOR</v>
      </c>
      <c r="O5675" t="s">
        <v>69</v>
      </c>
      <c r="P5675" s="3" t="s">
        <v>75</v>
      </c>
      <c r="Q5675">
        <v>2015</v>
      </c>
      <c r="R5675" s="2">
        <v>42124</v>
      </c>
      <c r="S5675" s="2">
        <v>42361</v>
      </c>
      <c r="T5675" s="2">
        <v>42360</v>
      </c>
      <c r="U5675" s="2">
        <v>42420</v>
      </c>
      <c r="V5675" t="s">
        <v>71</v>
      </c>
      <c r="W5675" t="str">
        <f>"              501591"</f>
        <v xml:space="preserve">              501591</v>
      </c>
      <c r="X5675" s="1">
        <v>10911.68</v>
      </c>
      <c r="Y5675">
        <v>0</v>
      </c>
      <c r="Z5675"/>
      <c r="AB5675"/>
      <c r="AC5675" s="1">
        <v>8944</v>
      </c>
      <c r="AD5675">
        <v>32</v>
      </c>
      <c r="AE5675" s="1">
        <v>286208</v>
      </c>
      <c r="AF5675">
        <v>0</v>
      </c>
      <c r="AJ5675">
        <v>0</v>
      </c>
      <c r="AK5675">
        <v>0</v>
      </c>
      <c r="AL5675">
        <v>0</v>
      </c>
      <c r="AM5675">
        <v>0</v>
      </c>
      <c r="AN5675">
        <v>0</v>
      </c>
      <c r="AO5675">
        <v>0</v>
      </c>
      <c r="AP5675" s="2">
        <v>42746</v>
      </c>
      <c r="AQ5675" t="s">
        <v>72</v>
      </c>
      <c r="AR5675" t="s">
        <v>72</v>
      </c>
      <c r="AS5675">
        <v>770</v>
      </c>
      <c r="AT5675" s="4">
        <v>42452</v>
      </c>
      <c r="AU5675" t="s">
        <v>73</v>
      </c>
      <c r="AV5675">
        <v>770</v>
      </c>
      <c r="AW5675" s="4">
        <v>42452</v>
      </c>
      <c r="BD5675">
        <v>0</v>
      </c>
      <c r="BN5675" t="s">
        <v>74</v>
      </c>
    </row>
    <row r="5676" spans="1:66" hidden="1">
      <c r="A5676">
        <v>103808</v>
      </c>
      <c r="B5676" s="3" t="s">
        <v>581</v>
      </c>
      <c r="C5676" s="1">
        <v>43300101</v>
      </c>
      <c r="D5676" t="s">
        <v>67</v>
      </c>
      <c r="H5676" t="str">
        <f t="shared" si="600"/>
        <v>02405040284</v>
      </c>
      <c r="I5676" t="str">
        <f t="shared" si="600"/>
        <v>02405040284</v>
      </c>
      <c r="K5676" t="str">
        <f>""</f>
        <v/>
      </c>
      <c r="M5676" t="s">
        <v>68</v>
      </c>
      <c r="N5676" t="str">
        <f t="shared" si="593"/>
        <v>FOR</v>
      </c>
      <c r="O5676" t="s">
        <v>69</v>
      </c>
      <c r="P5676" s="3" t="s">
        <v>75</v>
      </c>
      <c r="Q5676">
        <v>2015</v>
      </c>
      <c r="R5676" s="2">
        <v>42124</v>
      </c>
      <c r="S5676" s="2">
        <v>42361</v>
      </c>
      <c r="T5676" s="2">
        <v>42360</v>
      </c>
      <c r="U5676" s="2">
        <v>42420</v>
      </c>
      <c r="V5676" t="s">
        <v>71</v>
      </c>
      <c r="W5676" t="str">
        <f>"              501592"</f>
        <v xml:space="preserve">              501592</v>
      </c>
      <c r="X5676">
        <v>570.35</v>
      </c>
      <c r="Y5676">
        <v>0</v>
      </c>
      <c r="Z5676"/>
      <c r="AB5676"/>
      <c r="AC5676">
        <v>467.5</v>
      </c>
      <c r="AD5676">
        <v>32</v>
      </c>
      <c r="AE5676" s="1">
        <v>14960</v>
      </c>
      <c r="AF5676">
        <v>0</v>
      </c>
      <c r="AJ5676">
        <v>0</v>
      </c>
      <c r="AK5676">
        <v>0</v>
      </c>
      <c r="AL5676">
        <v>0</v>
      </c>
      <c r="AM5676">
        <v>0</v>
      </c>
      <c r="AN5676">
        <v>0</v>
      </c>
      <c r="AO5676">
        <v>0</v>
      </c>
      <c r="AP5676" s="2">
        <v>42746</v>
      </c>
      <c r="AQ5676" t="s">
        <v>72</v>
      </c>
      <c r="AR5676" t="s">
        <v>72</v>
      </c>
      <c r="AS5676">
        <v>770</v>
      </c>
      <c r="AT5676" s="4">
        <v>42452</v>
      </c>
      <c r="AU5676" t="s">
        <v>73</v>
      </c>
      <c r="AV5676">
        <v>770</v>
      </c>
      <c r="AW5676" s="4">
        <v>42452</v>
      </c>
      <c r="BD5676">
        <v>0</v>
      </c>
      <c r="BN5676" t="s">
        <v>74</v>
      </c>
    </row>
    <row r="5677" spans="1:66" hidden="1">
      <c r="A5677">
        <v>103808</v>
      </c>
      <c r="B5677" s="3" t="s">
        <v>581</v>
      </c>
      <c r="C5677" s="1">
        <v>43300101</v>
      </c>
      <c r="D5677" t="s">
        <v>67</v>
      </c>
      <c r="H5677" t="str">
        <f t="shared" si="600"/>
        <v>02405040284</v>
      </c>
      <c r="I5677" t="str">
        <f t="shared" si="600"/>
        <v>02405040284</v>
      </c>
      <c r="K5677" t="str">
        <f>""</f>
        <v/>
      </c>
      <c r="M5677" t="s">
        <v>68</v>
      </c>
      <c r="N5677" t="str">
        <f t="shared" si="593"/>
        <v>FOR</v>
      </c>
      <c r="O5677" t="s">
        <v>69</v>
      </c>
      <c r="P5677" s="3" t="s">
        <v>75</v>
      </c>
      <c r="Q5677">
        <v>2015</v>
      </c>
      <c r="R5677" s="2">
        <v>42200</v>
      </c>
      <c r="S5677" s="2">
        <v>42227</v>
      </c>
      <c r="T5677" s="2">
        <v>42214</v>
      </c>
      <c r="U5677" s="2">
        <v>42274</v>
      </c>
      <c r="V5677" t="s">
        <v>71</v>
      </c>
      <c r="W5677" t="str">
        <f>"              503048"</f>
        <v xml:space="preserve">              503048</v>
      </c>
      <c r="X5677" s="1">
        <v>9770.98</v>
      </c>
      <c r="Y5677">
        <v>0</v>
      </c>
      <c r="Z5677"/>
      <c r="AB5677"/>
      <c r="AC5677" s="1">
        <v>8009</v>
      </c>
      <c r="AD5677">
        <v>278</v>
      </c>
      <c r="AE5677" s="1">
        <v>2226502</v>
      </c>
      <c r="AF5677">
        <v>0</v>
      </c>
      <c r="AJ5677">
        <v>0</v>
      </c>
      <c r="AK5677">
        <v>0</v>
      </c>
      <c r="AL5677">
        <v>0</v>
      </c>
      <c r="AM5677">
        <v>0</v>
      </c>
      <c r="AN5677">
        <v>0</v>
      </c>
      <c r="AO5677">
        <v>0</v>
      </c>
      <c r="AP5677" s="2">
        <v>42746</v>
      </c>
      <c r="AQ5677" t="s">
        <v>72</v>
      </c>
      <c r="AR5677" t="s">
        <v>72</v>
      </c>
      <c r="AS5677">
        <v>1669</v>
      </c>
      <c r="AT5677" s="4">
        <v>42552</v>
      </c>
      <c r="AU5677" t="s">
        <v>73</v>
      </c>
      <c r="AV5677">
        <v>1669</v>
      </c>
      <c r="AW5677" s="4">
        <v>42552</v>
      </c>
      <c r="BD5677">
        <v>0</v>
      </c>
      <c r="BN5677" t="s">
        <v>74</v>
      </c>
    </row>
    <row r="5678" spans="1:66" hidden="1">
      <c r="A5678">
        <v>103808</v>
      </c>
      <c r="B5678" s="3" t="s">
        <v>581</v>
      </c>
      <c r="C5678" s="1">
        <v>43300101</v>
      </c>
      <c r="D5678" t="s">
        <v>67</v>
      </c>
      <c r="H5678" t="str">
        <f t="shared" si="600"/>
        <v>02405040284</v>
      </c>
      <c r="I5678" t="str">
        <f t="shared" si="600"/>
        <v>02405040284</v>
      </c>
      <c r="K5678" t="str">
        <f>""</f>
        <v/>
      </c>
      <c r="M5678" t="s">
        <v>68</v>
      </c>
      <c r="N5678" t="str">
        <f t="shared" si="593"/>
        <v>FOR</v>
      </c>
      <c r="O5678" t="s">
        <v>69</v>
      </c>
      <c r="P5678" s="3" t="s">
        <v>75</v>
      </c>
      <c r="Q5678">
        <v>2015</v>
      </c>
      <c r="R5678" s="2">
        <v>42216</v>
      </c>
      <c r="S5678" s="2">
        <v>42249</v>
      </c>
      <c r="T5678" s="2">
        <v>42248</v>
      </c>
      <c r="U5678" s="2">
        <v>42308</v>
      </c>
      <c r="V5678" t="s">
        <v>71</v>
      </c>
      <c r="W5678" t="str">
        <f>"              503418"</f>
        <v xml:space="preserve">              503418</v>
      </c>
      <c r="X5678" s="1">
        <v>1711.05</v>
      </c>
      <c r="Y5678">
        <v>0</v>
      </c>
      <c r="Z5678"/>
      <c r="AB5678"/>
      <c r="AC5678" s="1">
        <v>1402.5</v>
      </c>
      <c r="AD5678">
        <v>244</v>
      </c>
      <c r="AE5678" s="1">
        <v>342210</v>
      </c>
      <c r="AF5678">
        <v>0</v>
      </c>
      <c r="AJ5678">
        <v>0</v>
      </c>
      <c r="AK5678">
        <v>0</v>
      </c>
      <c r="AL5678">
        <v>0</v>
      </c>
      <c r="AM5678">
        <v>0</v>
      </c>
      <c r="AN5678">
        <v>0</v>
      </c>
      <c r="AO5678">
        <v>0</v>
      </c>
      <c r="AP5678" s="2">
        <v>42746</v>
      </c>
      <c r="AQ5678" t="s">
        <v>72</v>
      </c>
      <c r="AR5678" t="s">
        <v>72</v>
      </c>
      <c r="AS5678">
        <v>1669</v>
      </c>
      <c r="AT5678" s="4">
        <v>42552</v>
      </c>
      <c r="AU5678" t="s">
        <v>73</v>
      </c>
      <c r="AV5678">
        <v>1669</v>
      </c>
      <c r="AW5678" s="4">
        <v>42552</v>
      </c>
      <c r="BD5678">
        <v>0</v>
      </c>
      <c r="BN5678" t="s">
        <v>74</v>
      </c>
    </row>
    <row r="5679" spans="1:66" hidden="1">
      <c r="A5679">
        <v>103808</v>
      </c>
      <c r="B5679" s="3" t="s">
        <v>581</v>
      </c>
      <c r="C5679" s="1">
        <v>43300101</v>
      </c>
      <c r="D5679" t="s">
        <v>67</v>
      </c>
      <c r="H5679" t="str">
        <f t="shared" si="600"/>
        <v>02405040284</v>
      </c>
      <c r="I5679" t="str">
        <f t="shared" si="600"/>
        <v>02405040284</v>
      </c>
      <c r="K5679" t="str">
        <f>""</f>
        <v/>
      </c>
      <c r="M5679" t="s">
        <v>68</v>
      </c>
      <c r="N5679" t="str">
        <f t="shared" si="593"/>
        <v>FOR</v>
      </c>
      <c r="O5679" t="s">
        <v>69</v>
      </c>
      <c r="P5679" s="3" t="s">
        <v>75</v>
      </c>
      <c r="Q5679">
        <v>2015</v>
      </c>
      <c r="R5679" s="2">
        <v>42262</v>
      </c>
      <c r="S5679" s="2">
        <v>42291</v>
      </c>
      <c r="T5679" s="2">
        <v>42291</v>
      </c>
      <c r="U5679" s="2">
        <v>42351</v>
      </c>
      <c r="V5679" t="s">
        <v>71</v>
      </c>
      <c r="W5679" t="str">
        <f>"              504031"</f>
        <v xml:space="preserve">              504031</v>
      </c>
      <c r="X5679">
        <v>785.68</v>
      </c>
      <c r="Y5679">
        <v>0</v>
      </c>
      <c r="Z5679"/>
      <c r="AB5679"/>
      <c r="AC5679">
        <v>644</v>
      </c>
      <c r="AD5679">
        <v>269</v>
      </c>
      <c r="AE5679" s="1">
        <v>173236</v>
      </c>
      <c r="AF5679">
        <v>0</v>
      </c>
      <c r="AJ5679">
        <v>0</v>
      </c>
      <c r="AK5679">
        <v>0</v>
      </c>
      <c r="AL5679">
        <v>0</v>
      </c>
      <c r="AM5679">
        <v>0</v>
      </c>
      <c r="AN5679">
        <v>0</v>
      </c>
      <c r="AO5679">
        <v>0</v>
      </c>
      <c r="AP5679" s="2">
        <v>42746</v>
      </c>
      <c r="AQ5679" t="s">
        <v>72</v>
      </c>
      <c r="AR5679" t="s">
        <v>72</v>
      </c>
      <c r="AS5679">
        <v>2334</v>
      </c>
      <c r="AT5679" s="4">
        <v>42620</v>
      </c>
      <c r="AU5679" t="s">
        <v>73</v>
      </c>
      <c r="AV5679">
        <v>2334</v>
      </c>
      <c r="AW5679" s="4">
        <v>42620</v>
      </c>
      <c r="BD5679">
        <v>0</v>
      </c>
      <c r="BN5679" t="s">
        <v>74</v>
      </c>
    </row>
    <row r="5680" spans="1:66">
      <c r="A5680">
        <v>103808</v>
      </c>
      <c r="B5680" s="3" t="s">
        <v>581</v>
      </c>
      <c r="C5680" s="1">
        <v>43300101</v>
      </c>
      <c r="D5680" t="s">
        <v>67</v>
      </c>
      <c r="H5680" t="str">
        <f t="shared" si="600"/>
        <v>02405040284</v>
      </c>
      <c r="I5680" t="str">
        <f t="shared" si="600"/>
        <v>02405040284</v>
      </c>
      <c r="K5680" t="str">
        <f>""</f>
        <v/>
      </c>
      <c r="M5680" t="s">
        <v>68</v>
      </c>
      <c r="N5680" t="str">
        <f t="shared" si="593"/>
        <v>FOR</v>
      </c>
      <c r="O5680" t="s">
        <v>69</v>
      </c>
      <c r="P5680" s="3" t="s">
        <v>75</v>
      </c>
      <c r="Q5680">
        <v>2015</v>
      </c>
      <c r="R5680" s="2">
        <v>42338</v>
      </c>
      <c r="S5680" s="2">
        <v>42359</v>
      </c>
      <c r="T5680" s="2">
        <v>42355</v>
      </c>
      <c r="U5680" s="2">
        <v>42415</v>
      </c>
      <c r="V5680" t="s">
        <v>71</v>
      </c>
      <c r="W5680" t="str">
        <f>"              505310"</f>
        <v xml:space="preserve">              505310</v>
      </c>
      <c r="X5680" s="1">
        <v>8099.58</v>
      </c>
      <c r="Y5680">
        <v>0</v>
      </c>
      <c r="Z5680" s="5">
        <v>6639</v>
      </c>
      <c r="AA5680">
        <v>267</v>
      </c>
      <c r="AB5680" s="5">
        <v>1772613</v>
      </c>
      <c r="AC5680" s="1">
        <v>6639</v>
      </c>
      <c r="AD5680">
        <v>267</v>
      </c>
      <c r="AE5680" s="1">
        <v>1772613</v>
      </c>
      <c r="AF5680">
        <v>0</v>
      </c>
      <c r="AJ5680">
        <v>0</v>
      </c>
      <c r="AK5680">
        <v>0</v>
      </c>
      <c r="AL5680">
        <v>0</v>
      </c>
      <c r="AM5680">
        <v>0</v>
      </c>
      <c r="AN5680">
        <v>0</v>
      </c>
      <c r="AO5680">
        <v>0</v>
      </c>
      <c r="AP5680" s="2">
        <v>42746</v>
      </c>
      <c r="AQ5680" t="s">
        <v>72</v>
      </c>
      <c r="AR5680" t="s">
        <v>72</v>
      </c>
      <c r="AS5680">
        <v>2995</v>
      </c>
      <c r="AT5680" s="4">
        <v>42682</v>
      </c>
      <c r="AU5680" t="s">
        <v>73</v>
      </c>
      <c r="AV5680">
        <v>2995</v>
      </c>
      <c r="AW5680" s="4">
        <v>42682</v>
      </c>
      <c r="BD5680">
        <v>0</v>
      </c>
      <c r="BN5680" t="s">
        <v>74</v>
      </c>
    </row>
    <row r="5681" spans="1:66" hidden="1">
      <c r="A5681">
        <v>103826</v>
      </c>
      <c r="B5681" s="3" t="s">
        <v>582</v>
      </c>
      <c r="C5681" s="1">
        <v>43300101</v>
      </c>
      <c r="D5681" t="s">
        <v>67</v>
      </c>
      <c r="H5681" t="str">
        <f t="shared" ref="H5681:I5683" si="601">"03565511007"</f>
        <v>03565511007</v>
      </c>
      <c r="I5681" t="str">
        <f t="shared" si="601"/>
        <v>03565511007</v>
      </c>
      <c r="K5681" t="str">
        <f>""</f>
        <v/>
      </c>
      <c r="M5681" t="s">
        <v>68</v>
      </c>
      <c r="N5681" t="str">
        <f t="shared" si="593"/>
        <v>FOR</v>
      </c>
      <c r="O5681" t="s">
        <v>69</v>
      </c>
      <c r="P5681" s="3" t="s">
        <v>75</v>
      </c>
      <c r="Q5681">
        <v>2015</v>
      </c>
      <c r="R5681" s="2">
        <v>42268</v>
      </c>
      <c r="S5681" s="2">
        <v>42272</v>
      </c>
      <c r="T5681" s="2">
        <v>42271</v>
      </c>
      <c r="U5681" s="2">
        <v>42331</v>
      </c>
      <c r="V5681" t="s">
        <v>71</v>
      </c>
      <c r="W5681" t="str">
        <f>"                 628"</f>
        <v xml:space="preserve">                 628</v>
      </c>
      <c r="X5681" s="1">
        <v>3641.7</v>
      </c>
      <c r="Y5681">
        <v>0</v>
      </c>
      <c r="Z5681"/>
      <c r="AB5681"/>
      <c r="AC5681" s="1">
        <v>2985</v>
      </c>
      <c r="AD5681">
        <v>77</v>
      </c>
      <c r="AE5681" s="1">
        <v>229845</v>
      </c>
      <c r="AF5681">
        <v>0</v>
      </c>
      <c r="AJ5681">
        <v>0</v>
      </c>
      <c r="AK5681">
        <v>0</v>
      </c>
      <c r="AL5681">
        <v>0</v>
      </c>
      <c r="AM5681">
        <v>0</v>
      </c>
      <c r="AN5681">
        <v>0</v>
      </c>
      <c r="AO5681">
        <v>0</v>
      </c>
      <c r="AP5681" s="2">
        <v>42746</v>
      </c>
      <c r="AQ5681" t="s">
        <v>72</v>
      </c>
      <c r="AR5681" t="s">
        <v>72</v>
      </c>
      <c r="AS5681">
        <v>312</v>
      </c>
      <c r="AT5681" s="4">
        <v>42408</v>
      </c>
      <c r="AU5681" t="s">
        <v>73</v>
      </c>
      <c r="AV5681">
        <v>312</v>
      </c>
      <c r="AW5681" s="4">
        <v>42408</v>
      </c>
      <c r="BD5681">
        <v>0</v>
      </c>
      <c r="BN5681" t="s">
        <v>74</v>
      </c>
    </row>
    <row r="5682" spans="1:66" hidden="1">
      <c r="A5682">
        <v>103826</v>
      </c>
      <c r="B5682" s="3" t="s">
        <v>582</v>
      </c>
      <c r="C5682" s="1">
        <v>43300101</v>
      </c>
      <c r="D5682" t="s">
        <v>67</v>
      </c>
      <c r="H5682" t="str">
        <f t="shared" si="601"/>
        <v>03565511007</v>
      </c>
      <c r="I5682" t="str">
        <f t="shared" si="601"/>
        <v>03565511007</v>
      </c>
      <c r="K5682" t="str">
        <f>""</f>
        <v/>
      </c>
      <c r="M5682" t="s">
        <v>68</v>
      </c>
      <c r="N5682" t="str">
        <f t="shared" si="593"/>
        <v>FOR</v>
      </c>
      <c r="O5682" t="s">
        <v>69</v>
      </c>
      <c r="P5682" s="3" t="s">
        <v>75</v>
      </c>
      <c r="Q5682">
        <v>2016</v>
      </c>
      <c r="R5682" s="2">
        <v>42437</v>
      </c>
      <c r="S5682" s="2">
        <v>42443</v>
      </c>
      <c r="T5682" s="2">
        <v>42438</v>
      </c>
      <c r="U5682" s="2">
        <v>42498</v>
      </c>
      <c r="V5682" t="s">
        <v>71</v>
      </c>
      <c r="W5682" t="str">
        <f>"                 153"</f>
        <v xml:space="preserve">                 153</v>
      </c>
      <c r="X5682" s="1">
        <v>1051.6400000000001</v>
      </c>
      <c r="Y5682">
        <v>0</v>
      </c>
      <c r="Z5682"/>
      <c r="AB5682"/>
      <c r="AC5682">
        <v>862</v>
      </c>
      <c r="AD5682">
        <v>71</v>
      </c>
      <c r="AE5682" s="1">
        <v>61202</v>
      </c>
      <c r="AF5682">
        <v>0</v>
      </c>
      <c r="AJ5682">
        <v>0</v>
      </c>
      <c r="AK5682">
        <v>0</v>
      </c>
      <c r="AL5682">
        <v>0</v>
      </c>
      <c r="AM5682" s="1">
        <v>1051.6400000000001</v>
      </c>
      <c r="AN5682" s="1">
        <v>1051.6400000000001</v>
      </c>
      <c r="AO5682" s="1">
        <v>1051.6400000000001</v>
      </c>
      <c r="AP5682" s="2">
        <v>42746</v>
      </c>
      <c r="AQ5682" t="s">
        <v>72</v>
      </c>
      <c r="AR5682" t="s">
        <v>72</v>
      </c>
      <c r="AS5682">
        <v>1866</v>
      </c>
      <c r="AT5682" s="4">
        <v>42569</v>
      </c>
      <c r="AU5682" t="s">
        <v>73</v>
      </c>
      <c r="AV5682">
        <v>1866</v>
      </c>
      <c r="AW5682" s="4">
        <v>42569</v>
      </c>
      <c r="BD5682">
        <v>0</v>
      </c>
      <c r="BN5682" t="s">
        <v>74</v>
      </c>
    </row>
    <row r="5683" spans="1:66">
      <c r="A5683">
        <v>103826</v>
      </c>
      <c r="B5683" s="3" t="s">
        <v>582</v>
      </c>
      <c r="C5683" s="1">
        <v>43300101</v>
      </c>
      <c r="D5683" t="s">
        <v>67</v>
      </c>
      <c r="H5683" t="str">
        <f t="shared" si="601"/>
        <v>03565511007</v>
      </c>
      <c r="I5683" t="str">
        <f t="shared" si="601"/>
        <v>03565511007</v>
      </c>
      <c r="K5683" t="str">
        <f>""</f>
        <v/>
      </c>
      <c r="M5683" t="s">
        <v>68</v>
      </c>
      <c r="N5683" t="str">
        <f t="shared" si="593"/>
        <v>FOR</v>
      </c>
      <c r="O5683" t="s">
        <v>69</v>
      </c>
      <c r="P5683" s="3" t="s">
        <v>75</v>
      </c>
      <c r="Q5683">
        <v>2016</v>
      </c>
      <c r="R5683" s="2">
        <v>42536</v>
      </c>
      <c r="S5683" s="2">
        <v>42541</v>
      </c>
      <c r="T5683" s="2">
        <v>42538</v>
      </c>
      <c r="U5683" s="2">
        <v>42598</v>
      </c>
      <c r="V5683" t="s">
        <v>71</v>
      </c>
      <c r="W5683" t="str">
        <f>"                 412"</f>
        <v xml:space="preserve">                 412</v>
      </c>
      <c r="X5683">
        <v>366.49</v>
      </c>
      <c r="Y5683">
        <v>0</v>
      </c>
      <c r="Z5683" s="3">
        <v>300.39999999999998</v>
      </c>
      <c r="AA5683">
        <v>70</v>
      </c>
      <c r="AB5683" s="5">
        <v>21028</v>
      </c>
      <c r="AC5683">
        <v>300.39999999999998</v>
      </c>
      <c r="AD5683">
        <v>70</v>
      </c>
      <c r="AE5683" s="1">
        <v>21028</v>
      </c>
      <c r="AF5683">
        <v>0</v>
      </c>
      <c r="AJ5683">
        <v>0</v>
      </c>
      <c r="AK5683">
        <v>0</v>
      </c>
      <c r="AL5683">
        <v>0</v>
      </c>
      <c r="AM5683">
        <v>366.49</v>
      </c>
      <c r="AN5683">
        <v>366.49</v>
      </c>
      <c r="AO5683">
        <v>366.49</v>
      </c>
      <c r="AP5683" s="2">
        <v>42746</v>
      </c>
      <c r="AQ5683" t="s">
        <v>72</v>
      </c>
      <c r="AR5683" t="s">
        <v>72</v>
      </c>
      <c r="AS5683">
        <v>2882</v>
      </c>
      <c r="AT5683" s="4">
        <v>42668</v>
      </c>
      <c r="AU5683" t="s">
        <v>73</v>
      </c>
      <c r="AV5683">
        <v>2882</v>
      </c>
      <c r="AW5683" s="4">
        <v>42668</v>
      </c>
      <c r="BD5683">
        <v>0</v>
      </c>
      <c r="BN5683" t="s">
        <v>74</v>
      </c>
    </row>
    <row r="5684" spans="1:66" hidden="1">
      <c r="A5684">
        <v>103836</v>
      </c>
      <c r="B5684" s="3" t="s">
        <v>583</v>
      </c>
      <c r="C5684" s="1">
        <v>43300101</v>
      </c>
      <c r="D5684" t="s">
        <v>67</v>
      </c>
      <c r="H5684" t="str">
        <f>"CRPGPP78A22A783K"</f>
        <v>CRPGPP78A22A783K</v>
      </c>
      <c r="I5684" t="str">
        <f>"01331700623"</f>
        <v>01331700623</v>
      </c>
      <c r="K5684" t="str">
        <f>""</f>
        <v/>
      </c>
      <c r="M5684" t="s">
        <v>68</v>
      </c>
      <c r="N5684" t="str">
        <f t="shared" si="593"/>
        <v>FOR</v>
      </c>
      <c r="O5684" t="s">
        <v>69</v>
      </c>
      <c r="P5684" s="3" t="s">
        <v>75</v>
      </c>
      <c r="Q5684">
        <v>2016</v>
      </c>
      <c r="R5684" s="2">
        <v>42420</v>
      </c>
      <c r="S5684" s="2">
        <v>42424</v>
      </c>
      <c r="T5684" s="2">
        <v>42423</v>
      </c>
      <c r="U5684" s="2">
        <v>42483</v>
      </c>
      <c r="V5684" t="s">
        <v>71</v>
      </c>
      <c r="W5684" t="str">
        <f>"             0000068"</f>
        <v xml:space="preserve">             0000068</v>
      </c>
      <c r="X5684">
        <v>210</v>
      </c>
      <c r="Y5684">
        <v>0</v>
      </c>
      <c r="Z5684"/>
      <c r="AB5684"/>
      <c r="AC5684">
        <v>172.13</v>
      </c>
      <c r="AD5684">
        <v>83</v>
      </c>
      <c r="AE5684" s="1">
        <v>14286.79</v>
      </c>
      <c r="AF5684">
        <v>37.869999999999997</v>
      </c>
      <c r="AJ5684">
        <v>0</v>
      </c>
      <c r="AK5684">
        <v>0</v>
      </c>
      <c r="AL5684">
        <v>0</v>
      </c>
      <c r="AM5684">
        <v>210</v>
      </c>
      <c r="AN5684">
        <v>210</v>
      </c>
      <c r="AO5684">
        <v>210</v>
      </c>
      <c r="AP5684" s="2">
        <v>42746</v>
      </c>
      <c r="AQ5684" t="s">
        <v>72</v>
      </c>
      <c r="AR5684" t="s">
        <v>72</v>
      </c>
      <c r="AS5684">
        <v>1771</v>
      </c>
      <c r="AT5684" s="4">
        <v>42566</v>
      </c>
      <c r="AU5684" t="s">
        <v>73</v>
      </c>
      <c r="AV5684">
        <v>1771</v>
      </c>
      <c r="AW5684" s="4">
        <v>42566</v>
      </c>
      <c r="BD5684">
        <v>37.869999999999997</v>
      </c>
      <c r="BN5684" t="s">
        <v>74</v>
      </c>
    </row>
    <row r="5685" spans="1:66">
      <c r="A5685">
        <v>103836</v>
      </c>
      <c r="B5685" s="3" t="s">
        <v>583</v>
      </c>
      <c r="C5685" s="1">
        <v>43300101</v>
      </c>
      <c r="D5685" t="s">
        <v>67</v>
      </c>
      <c r="H5685" t="str">
        <f>"CRPGPP78A22A783K"</f>
        <v>CRPGPP78A22A783K</v>
      </c>
      <c r="I5685" t="str">
        <f>"01331700623"</f>
        <v>01331700623</v>
      </c>
      <c r="K5685" t="str">
        <f>""</f>
        <v/>
      </c>
      <c r="M5685" t="s">
        <v>68</v>
      </c>
      <c r="N5685" t="str">
        <f t="shared" si="593"/>
        <v>FOR</v>
      </c>
      <c r="O5685" t="s">
        <v>69</v>
      </c>
      <c r="P5685" s="3" t="s">
        <v>75</v>
      </c>
      <c r="Q5685">
        <v>2016</v>
      </c>
      <c r="R5685" s="2">
        <v>42492</v>
      </c>
      <c r="S5685" s="2">
        <v>42493</v>
      </c>
      <c r="T5685" s="2">
        <v>42493</v>
      </c>
      <c r="U5685" s="2">
        <v>42553</v>
      </c>
      <c r="V5685" t="s">
        <v>71</v>
      </c>
      <c r="W5685" t="str">
        <f>"             0000129"</f>
        <v xml:space="preserve">             0000129</v>
      </c>
      <c r="X5685">
        <v>892.93</v>
      </c>
      <c r="Y5685">
        <v>0</v>
      </c>
      <c r="Z5685" s="3">
        <v>731.91</v>
      </c>
      <c r="AA5685">
        <v>128</v>
      </c>
      <c r="AB5685" s="5">
        <v>93684.479999999996</v>
      </c>
      <c r="AC5685">
        <v>731.91</v>
      </c>
      <c r="AD5685">
        <v>128</v>
      </c>
      <c r="AE5685" s="1">
        <v>93684.479999999996</v>
      </c>
      <c r="AF5685">
        <v>161.02000000000001</v>
      </c>
      <c r="AJ5685">
        <v>0</v>
      </c>
      <c r="AK5685">
        <v>0</v>
      </c>
      <c r="AL5685">
        <v>0</v>
      </c>
      <c r="AM5685">
        <v>892.93</v>
      </c>
      <c r="AN5685">
        <v>892.93</v>
      </c>
      <c r="AO5685">
        <v>892.93</v>
      </c>
      <c r="AP5685" s="2">
        <v>42746</v>
      </c>
      <c r="AQ5685" t="s">
        <v>72</v>
      </c>
      <c r="AR5685" t="s">
        <v>72</v>
      </c>
      <c r="AS5685">
        <v>2946</v>
      </c>
      <c r="AT5685" s="4">
        <v>42681</v>
      </c>
      <c r="AU5685" t="s">
        <v>73</v>
      </c>
      <c r="AV5685">
        <v>2946</v>
      </c>
      <c r="AW5685" s="4">
        <v>42681</v>
      </c>
      <c r="BC5685">
        <v>161.02000000000001</v>
      </c>
      <c r="BD5685">
        <v>0</v>
      </c>
      <c r="BN5685" t="s">
        <v>74</v>
      </c>
    </row>
    <row r="5686" spans="1:66">
      <c r="A5686">
        <v>103836</v>
      </c>
      <c r="B5686" s="3" t="s">
        <v>583</v>
      </c>
      <c r="C5686" s="1">
        <v>43300101</v>
      </c>
      <c r="D5686" t="s">
        <v>67</v>
      </c>
      <c r="H5686" t="str">
        <f>"CRPGPP78A22A783K"</f>
        <v>CRPGPP78A22A783K</v>
      </c>
      <c r="I5686" t="str">
        <f>"01331700623"</f>
        <v>01331700623</v>
      </c>
      <c r="K5686" t="str">
        <f>""</f>
        <v/>
      </c>
      <c r="M5686" t="s">
        <v>68</v>
      </c>
      <c r="N5686" t="str">
        <f t="shared" si="593"/>
        <v>FOR</v>
      </c>
      <c r="O5686" t="s">
        <v>69</v>
      </c>
      <c r="P5686" s="3" t="s">
        <v>75</v>
      </c>
      <c r="Q5686">
        <v>2016</v>
      </c>
      <c r="R5686" s="2">
        <v>42511</v>
      </c>
      <c r="S5686" s="2">
        <v>42514</v>
      </c>
      <c r="T5686" s="2">
        <v>42514</v>
      </c>
      <c r="U5686" s="2">
        <v>42574</v>
      </c>
      <c r="V5686" t="s">
        <v>71</v>
      </c>
      <c r="W5686" t="str">
        <f>"             0000168"</f>
        <v xml:space="preserve">             0000168</v>
      </c>
      <c r="X5686">
        <v>782.18</v>
      </c>
      <c r="Y5686">
        <v>0</v>
      </c>
      <c r="Z5686" s="3">
        <v>641.13</v>
      </c>
      <c r="AA5686">
        <v>107</v>
      </c>
      <c r="AB5686" s="5">
        <v>68600.91</v>
      </c>
      <c r="AC5686">
        <v>641.13</v>
      </c>
      <c r="AD5686">
        <v>107</v>
      </c>
      <c r="AE5686" s="1">
        <v>68600.91</v>
      </c>
      <c r="AF5686">
        <v>141.05000000000001</v>
      </c>
      <c r="AJ5686">
        <v>0</v>
      </c>
      <c r="AK5686">
        <v>0</v>
      </c>
      <c r="AL5686">
        <v>0</v>
      </c>
      <c r="AM5686">
        <v>782.18</v>
      </c>
      <c r="AN5686">
        <v>782.18</v>
      </c>
      <c r="AO5686">
        <v>782.18</v>
      </c>
      <c r="AP5686" s="2">
        <v>42746</v>
      </c>
      <c r="AQ5686" t="s">
        <v>72</v>
      </c>
      <c r="AR5686" t="s">
        <v>72</v>
      </c>
      <c r="AS5686">
        <v>2946</v>
      </c>
      <c r="AT5686" s="4">
        <v>42681</v>
      </c>
      <c r="AU5686" t="s">
        <v>73</v>
      </c>
      <c r="AV5686">
        <v>2946</v>
      </c>
      <c r="AW5686" s="4">
        <v>42681</v>
      </c>
      <c r="BC5686">
        <v>141.05000000000001</v>
      </c>
      <c r="BD5686">
        <v>0</v>
      </c>
      <c r="BN5686" t="s">
        <v>74</v>
      </c>
    </row>
    <row r="5687" spans="1:66" hidden="1">
      <c r="A5687">
        <v>103845</v>
      </c>
      <c r="B5687" s="3" t="s">
        <v>584</v>
      </c>
      <c r="C5687" s="1">
        <v>43300101</v>
      </c>
      <c r="D5687" t="s">
        <v>67</v>
      </c>
      <c r="H5687" t="str">
        <f>""</f>
        <v/>
      </c>
      <c r="I5687" t="str">
        <f>"10923790157"</f>
        <v>10923790157</v>
      </c>
      <c r="K5687" t="str">
        <f>""</f>
        <v/>
      </c>
      <c r="M5687" t="s">
        <v>68</v>
      </c>
      <c r="N5687" t="str">
        <f t="shared" si="593"/>
        <v>FOR</v>
      </c>
      <c r="O5687" t="s">
        <v>69</v>
      </c>
      <c r="P5687" s="3" t="s">
        <v>75</v>
      </c>
      <c r="Q5687">
        <v>2015</v>
      </c>
      <c r="R5687" s="2">
        <v>42258</v>
      </c>
      <c r="S5687" s="2">
        <v>42263</v>
      </c>
      <c r="T5687" s="2">
        <v>42262</v>
      </c>
      <c r="U5687" s="2">
        <v>42322</v>
      </c>
      <c r="V5687" t="s">
        <v>71</v>
      </c>
      <c r="W5687" t="str">
        <f>"              269340"</f>
        <v xml:space="preserve">              269340</v>
      </c>
      <c r="X5687">
        <v>629.04</v>
      </c>
      <c r="Y5687">
        <v>0</v>
      </c>
      <c r="Z5687"/>
      <c r="AB5687"/>
      <c r="AC5687">
        <v>515.6</v>
      </c>
      <c r="AD5687">
        <v>86</v>
      </c>
      <c r="AE5687" s="1">
        <v>44341.599999999999</v>
      </c>
      <c r="AF5687">
        <v>0</v>
      </c>
      <c r="AJ5687">
        <v>0</v>
      </c>
      <c r="AK5687">
        <v>0</v>
      </c>
      <c r="AL5687">
        <v>0</v>
      </c>
      <c r="AM5687">
        <v>0</v>
      </c>
      <c r="AN5687">
        <v>0</v>
      </c>
      <c r="AO5687">
        <v>0</v>
      </c>
      <c r="AP5687" s="2">
        <v>42746</v>
      </c>
      <c r="AQ5687" t="s">
        <v>72</v>
      </c>
      <c r="AR5687" t="s">
        <v>72</v>
      </c>
      <c r="AS5687">
        <v>321</v>
      </c>
      <c r="AT5687" s="4">
        <v>42408</v>
      </c>
      <c r="AU5687" t="s">
        <v>73</v>
      </c>
      <c r="AV5687">
        <v>321</v>
      </c>
      <c r="AW5687" s="4">
        <v>42408</v>
      </c>
      <c r="BD5687">
        <v>0</v>
      </c>
      <c r="BN5687" t="s">
        <v>74</v>
      </c>
    </row>
    <row r="5688" spans="1:66">
      <c r="A5688">
        <v>103845</v>
      </c>
      <c r="B5688" s="3" t="s">
        <v>584</v>
      </c>
      <c r="C5688" s="1">
        <v>43300101</v>
      </c>
      <c r="D5688" t="s">
        <v>67</v>
      </c>
      <c r="H5688" t="str">
        <f>""</f>
        <v/>
      </c>
      <c r="I5688" t="str">
        <f>"10923790157"</f>
        <v>10923790157</v>
      </c>
      <c r="K5688" t="str">
        <f>""</f>
        <v/>
      </c>
      <c r="M5688" t="s">
        <v>68</v>
      </c>
      <c r="N5688" t="str">
        <f t="shared" si="593"/>
        <v>FOR</v>
      </c>
      <c r="O5688" t="s">
        <v>69</v>
      </c>
      <c r="P5688" s="3" t="s">
        <v>75</v>
      </c>
      <c r="Q5688">
        <v>2016</v>
      </c>
      <c r="R5688" s="2">
        <v>42551</v>
      </c>
      <c r="S5688" s="2">
        <v>42571</v>
      </c>
      <c r="T5688" s="2">
        <v>42551</v>
      </c>
      <c r="U5688" s="2">
        <v>42611</v>
      </c>
      <c r="V5688" t="s">
        <v>71</v>
      </c>
      <c r="W5688" t="str">
        <f>"              274703"</f>
        <v xml:space="preserve">              274703</v>
      </c>
      <c r="X5688">
        <v>114.56</v>
      </c>
      <c r="Y5688">
        <v>0</v>
      </c>
      <c r="Z5688" s="3">
        <v>93.9</v>
      </c>
      <c r="AA5688">
        <v>35</v>
      </c>
      <c r="AB5688" s="5">
        <v>3286.5</v>
      </c>
      <c r="AC5688">
        <v>93.9</v>
      </c>
      <c r="AD5688">
        <v>35</v>
      </c>
      <c r="AE5688" s="1">
        <v>3286.5</v>
      </c>
      <c r="AF5688">
        <v>0</v>
      </c>
      <c r="AJ5688">
        <v>0</v>
      </c>
      <c r="AK5688">
        <v>0</v>
      </c>
      <c r="AL5688">
        <v>0</v>
      </c>
      <c r="AM5688">
        <v>114.56</v>
      </c>
      <c r="AN5688">
        <v>114.56</v>
      </c>
      <c r="AO5688">
        <v>114.56</v>
      </c>
      <c r="AP5688" s="2">
        <v>42746</v>
      </c>
      <c r="AQ5688" t="s">
        <v>72</v>
      </c>
      <c r="AR5688" t="s">
        <v>72</v>
      </c>
      <c r="AS5688">
        <v>2576</v>
      </c>
      <c r="AT5688" s="4">
        <v>42646</v>
      </c>
      <c r="AU5688" t="s">
        <v>73</v>
      </c>
      <c r="AV5688">
        <v>2576</v>
      </c>
      <c r="AW5688" s="4">
        <v>42646</v>
      </c>
      <c r="BD5688">
        <v>0</v>
      </c>
      <c r="BN5688" t="s">
        <v>74</v>
      </c>
    </row>
    <row r="5689" spans="1:66" hidden="1">
      <c r="A5689">
        <v>103849</v>
      </c>
      <c r="B5689" s="3" t="s">
        <v>585</v>
      </c>
      <c r="C5689" s="1">
        <v>43300101</v>
      </c>
      <c r="D5689" t="s">
        <v>67</v>
      </c>
      <c r="H5689" t="str">
        <f>"06904340632"</f>
        <v>06904340632</v>
      </c>
      <c r="I5689" t="str">
        <f>"06904340632"</f>
        <v>06904340632</v>
      </c>
      <c r="K5689" t="str">
        <f>""</f>
        <v/>
      </c>
      <c r="M5689" t="s">
        <v>68</v>
      </c>
      <c r="N5689" t="str">
        <f t="shared" si="593"/>
        <v>FOR</v>
      </c>
      <c r="O5689" t="s">
        <v>69</v>
      </c>
      <c r="P5689" s="3" t="s">
        <v>70</v>
      </c>
      <c r="Q5689">
        <v>2015</v>
      </c>
      <c r="R5689" s="2">
        <v>42086</v>
      </c>
      <c r="S5689" s="2">
        <v>42097</v>
      </c>
      <c r="T5689" s="2">
        <v>42097</v>
      </c>
      <c r="U5689" s="2">
        <v>42157</v>
      </c>
      <c r="V5689" t="s">
        <v>71</v>
      </c>
      <c r="W5689" t="str">
        <f>"                  17"</f>
        <v xml:space="preserve">                  17</v>
      </c>
      <c r="X5689">
        <v>280.60000000000002</v>
      </c>
      <c r="Y5689">
        <v>0</v>
      </c>
      <c r="Z5689"/>
      <c r="AB5689"/>
      <c r="AC5689">
        <v>230</v>
      </c>
      <c r="AD5689">
        <v>247</v>
      </c>
      <c r="AE5689" s="1">
        <v>56810</v>
      </c>
      <c r="AF5689">
        <v>0</v>
      </c>
      <c r="AJ5689">
        <v>0</v>
      </c>
      <c r="AK5689">
        <v>0</v>
      </c>
      <c r="AL5689">
        <v>0</v>
      </c>
      <c r="AM5689">
        <v>0</v>
      </c>
      <c r="AN5689">
        <v>0</v>
      </c>
      <c r="AO5689">
        <v>0</v>
      </c>
      <c r="AP5689" s="2">
        <v>42746</v>
      </c>
      <c r="AQ5689" t="s">
        <v>72</v>
      </c>
      <c r="AR5689" t="s">
        <v>72</v>
      </c>
      <c r="AS5689">
        <v>266</v>
      </c>
      <c r="AT5689" s="4">
        <v>42404</v>
      </c>
      <c r="AU5689" t="s">
        <v>73</v>
      </c>
      <c r="AV5689">
        <v>266</v>
      </c>
      <c r="AW5689" s="4">
        <v>42404</v>
      </c>
      <c r="BD5689">
        <v>0</v>
      </c>
      <c r="BN5689" t="s">
        <v>74</v>
      </c>
    </row>
    <row r="5690" spans="1:66" hidden="1">
      <c r="A5690">
        <v>103850</v>
      </c>
      <c r="B5690" s="3" t="s">
        <v>586</v>
      </c>
      <c r="C5690" s="1">
        <v>43300101</v>
      </c>
      <c r="D5690" t="s">
        <v>67</v>
      </c>
      <c r="H5690" t="str">
        <f>"01772220065"</f>
        <v>01772220065</v>
      </c>
      <c r="I5690" t="str">
        <f>"04888840487"</f>
        <v>04888840487</v>
      </c>
      <c r="K5690" t="str">
        <f>""</f>
        <v/>
      </c>
      <c r="M5690" t="s">
        <v>68</v>
      </c>
      <c r="N5690" t="str">
        <f t="shared" ref="N5690:N5753" si="602">"FOR"</f>
        <v>FOR</v>
      </c>
      <c r="O5690" t="s">
        <v>69</v>
      </c>
      <c r="P5690" s="3" t="s">
        <v>75</v>
      </c>
      <c r="Q5690">
        <v>2015</v>
      </c>
      <c r="R5690" s="2">
        <v>42369</v>
      </c>
      <c r="S5690" s="2">
        <v>42369</v>
      </c>
      <c r="T5690" s="2">
        <v>42369</v>
      </c>
      <c r="U5690" s="2">
        <v>42429</v>
      </c>
      <c r="V5690" t="s">
        <v>71</v>
      </c>
      <c r="W5690" t="str">
        <f>"                1333"</f>
        <v xml:space="preserve">                1333</v>
      </c>
      <c r="X5690" s="1">
        <v>1077.26</v>
      </c>
      <c r="Y5690">
        <v>0</v>
      </c>
      <c r="Z5690"/>
      <c r="AB5690"/>
      <c r="AC5690">
        <v>883</v>
      </c>
      <c r="AD5690">
        <v>2</v>
      </c>
      <c r="AE5690" s="1">
        <v>1766</v>
      </c>
      <c r="AF5690">
        <v>0</v>
      </c>
      <c r="AJ5690">
        <v>0</v>
      </c>
      <c r="AK5690">
        <v>0</v>
      </c>
      <c r="AL5690">
        <v>0</v>
      </c>
      <c r="AM5690">
        <v>0</v>
      </c>
      <c r="AN5690">
        <v>0</v>
      </c>
      <c r="AO5690">
        <v>0</v>
      </c>
      <c r="AP5690" s="2">
        <v>42746</v>
      </c>
      <c r="AQ5690" t="s">
        <v>72</v>
      </c>
      <c r="AR5690" t="s">
        <v>72</v>
      </c>
      <c r="AS5690">
        <v>629</v>
      </c>
      <c r="AT5690" s="4">
        <v>42431</v>
      </c>
      <c r="AU5690" t="s">
        <v>73</v>
      </c>
      <c r="AV5690">
        <v>629</v>
      </c>
      <c r="AW5690" s="4">
        <v>42431</v>
      </c>
      <c r="BD5690">
        <v>0</v>
      </c>
      <c r="BN5690" t="s">
        <v>74</v>
      </c>
    </row>
    <row r="5691" spans="1:66" hidden="1">
      <c r="A5691">
        <v>103852</v>
      </c>
      <c r="B5691" s="3" t="s">
        <v>587</v>
      </c>
      <c r="C5691" s="1">
        <v>43300101</v>
      </c>
      <c r="D5691" t="s">
        <v>67</v>
      </c>
      <c r="H5691" t="str">
        <f t="shared" ref="H5691:I5710" si="603">"02790240101"</f>
        <v>02790240101</v>
      </c>
      <c r="I5691" t="str">
        <f t="shared" si="603"/>
        <v>02790240101</v>
      </c>
      <c r="K5691" t="str">
        <f>""</f>
        <v/>
      </c>
      <c r="M5691" t="s">
        <v>68</v>
      </c>
      <c r="N5691" t="str">
        <f t="shared" si="602"/>
        <v>FOR</v>
      </c>
      <c r="O5691" t="s">
        <v>69</v>
      </c>
      <c r="P5691" s="3" t="s">
        <v>70</v>
      </c>
      <c r="Q5691">
        <v>2015</v>
      </c>
      <c r="R5691" s="2">
        <v>42062</v>
      </c>
      <c r="S5691" s="2">
        <v>42086</v>
      </c>
      <c r="T5691" s="2">
        <v>42086</v>
      </c>
      <c r="U5691" s="2">
        <v>42146</v>
      </c>
      <c r="V5691" t="s">
        <v>71</v>
      </c>
      <c r="W5691" t="str">
        <f>"                3020"</f>
        <v xml:space="preserve">                3020</v>
      </c>
      <c r="X5691">
        <v>74.760000000000005</v>
      </c>
      <c r="Y5691">
        <v>0</v>
      </c>
      <c r="Z5691"/>
      <c r="AB5691"/>
      <c r="AC5691">
        <v>61.28</v>
      </c>
      <c r="AD5691">
        <v>262</v>
      </c>
      <c r="AE5691" s="1">
        <v>16055.36</v>
      </c>
      <c r="AF5691">
        <v>0</v>
      </c>
      <c r="AJ5691">
        <v>0</v>
      </c>
      <c r="AK5691">
        <v>0</v>
      </c>
      <c r="AL5691">
        <v>0</v>
      </c>
      <c r="AM5691">
        <v>0</v>
      </c>
      <c r="AN5691">
        <v>0</v>
      </c>
      <c r="AO5691">
        <v>0</v>
      </c>
      <c r="AP5691" s="2">
        <v>42746</v>
      </c>
      <c r="AQ5691" t="s">
        <v>72</v>
      </c>
      <c r="AR5691" t="s">
        <v>72</v>
      </c>
      <c r="AS5691">
        <v>301</v>
      </c>
      <c r="AT5691" s="4">
        <v>42408</v>
      </c>
      <c r="AU5691" t="s">
        <v>73</v>
      </c>
      <c r="AV5691">
        <v>301</v>
      </c>
      <c r="AW5691" s="4">
        <v>42408</v>
      </c>
      <c r="BD5691">
        <v>0</v>
      </c>
      <c r="BN5691" t="s">
        <v>74</v>
      </c>
    </row>
    <row r="5692" spans="1:66" hidden="1">
      <c r="A5692">
        <v>103852</v>
      </c>
      <c r="B5692" s="3" t="s">
        <v>587</v>
      </c>
      <c r="C5692" s="1">
        <v>43300101</v>
      </c>
      <c r="D5692" t="s">
        <v>67</v>
      </c>
      <c r="H5692" t="str">
        <f t="shared" si="603"/>
        <v>02790240101</v>
      </c>
      <c r="I5692" t="str">
        <f t="shared" si="603"/>
        <v>02790240101</v>
      </c>
      <c r="K5692" t="str">
        <f>""</f>
        <v/>
      </c>
      <c r="M5692" t="s">
        <v>68</v>
      </c>
      <c r="N5692" t="str">
        <f t="shared" si="602"/>
        <v>FOR</v>
      </c>
      <c r="O5692" t="s">
        <v>69</v>
      </c>
      <c r="P5692" s="3" t="s">
        <v>70</v>
      </c>
      <c r="Q5692">
        <v>2015</v>
      </c>
      <c r="R5692" s="2">
        <v>42062</v>
      </c>
      <c r="S5692" s="2">
        <v>42086</v>
      </c>
      <c r="T5692" s="2">
        <v>42086</v>
      </c>
      <c r="U5692" s="2">
        <v>42146</v>
      </c>
      <c r="V5692" t="s">
        <v>71</v>
      </c>
      <c r="W5692" t="str">
        <f>"                3021"</f>
        <v xml:space="preserve">                3021</v>
      </c>
      <c r="X5692" s="1">
        <v>6719.76</v>
      </c>
      <c r="Y5692">
        <v>0</v>
      </c>
      <c r="Z5692"/>
      <c r="AB5692"/>
      <c r="AC5692" s="1">
        <v>5508</v>
      </c>
      <c r="AD5692">
        <v>262</v>
      </c>
      <c r="AE5692" s="1">
        <v>1443096</v>
      </c>
      <c r="AF5692">
        <v>0</v>
      </c>
      <c r="AJ5692">
        <v>0</v>
      </c>
      <c r="AK5692">
        <v>0</v>
      </c>
      <c r="AL5692">
        <v>0</v>
      </c>
      <c r="AM5692">
        <v>0</v>
      </c>
      <c r="AN5692">
        <v>0</v>
      </c>
      <c r="AO5692">
        <v>0</v>
      </c>
      <c r="AP5692" s="2">
        <v>42746</v>
      </c>
      <c r="AQ5692" t="s">
        <v>72</v>
      </c>
      <c r="AR5692" t="s">
        <v>72</v>
      </c>
      <c r="AS5692">
        <v>301</v>
      </c>
      <c r="AT5692" s="4">
        <v>42408</v>
      </c>
      <c r="AU5692" t="s">
        <v>73</v>
      </c>
      <c r="AV5692">
        <v>301</v>
      </c>
      <c r="AW5692" s="4">
        <v>42408</v>
      </c>
      <c r="BD5692">
        <v>0</v>
      </c>
      <c r="BN5692" t="s">
        <v>74</v>
      </c>
    </row>
    <row r="5693" spans="1:66" hidden="1">
      <c r="A5693">
        <v>103852</v>
      </c>
      <c r="B5693" s="3" t="s">
        <v>587</v>
      </c>
      <c r="C5693" s="1">
        <v>43300101</v>
      </c>
      <c r="D5693" t="s">
        <v>67</v>
      </c>
      <c r="H5693" t="str">
        <f t="shared" si="603"/>
        <v>02790240101</v>
      </c>
      <c r="I5693" t="str">
        <f t="shared" si="603"/>
        <v>02790240101</v>
      </c>
      <c r="K5693" t="str">
        <f>""</f>
        <v/>
      </c>
      <c r="M5693" t="s">
        <v>68</v>
      </c>
      <c r="N5693" t="str">
        <f t="shared" si="602"/>
        <v>FOR</v>
      </c>
      <c r="O5693" t="s">
        <v>69</v>
      </c>
      <c r="P5693" s="3" t="s">
        <v>70</v>
      </c>
      <c r="Q5693">
        <v>2015</v>
      </c>
      <c r="R5693" s="2">
        <v>42062</v>
      </c>
      <c r="S5693" s="2">
        <v>42475</v>
      </c>
      <c r="T5693" s="2">
        <v>42475</v>
      </c>
      <c r="U5693" s="2">
        <v>42535</v>
      </c>
      <c r="V5693" t="s">
        <v>71</v>
      </c>
      <c r="W5693" t="str">
        <f>"                3022"</f>
        <v xml:space="preserve">                3022</v>
      </c>
      <c r="X5693" s="1">
        <v>6524.24</v>
      </c>
      <c r="Y5693">
        <v>0</v>
      </c>
      <c r="Z5693"/>
      <c r="AB5693"/>
      <c r="AC5693" s="1">
        <v>5347.74</v>
      </c>
      <c r="AD5693">
        <v>-43</v>
      </c>
      <c r="AE5693" s="1">
        <v>-229952.82</v>
      </c>
      <c r="AF5693">
        <v>0</v>
      </c>
      <c r="AJ5693">
        <v>0</v>
      </c>
      <c r="AK5693">
        <v>0</v>
      </c>
      <c r="AL5693">
        <v>0</v>
      </c>
      <c r="AM5693">
        <v>0</v>
      </c>
      <c r="AN5693" s="1">
        <v>6524.24</v>
      </c>
      <c r="AO5693">
        <v>0</v>
      </c>
      <c r="AP5693" s="2">
        <v>42746</v>
      </c>
      <c r="AQ5693" t="s">
        <v>72</v>
      </c>
      <c r="AR5693" t="s">
        <v>72</v>
      </c>
      <c r="AS5693">
        <v>1221</v>
      </c>
      <c r="AT5693" s="4">
        <v>42492</v>
      </c>
      <c r="AV5693">
        <v>1221</v>
      </c>
      <c r="AW5693" s="4">
        <v>42492</v>
      </c>
      <c r="BD5693">
        <v>0</v>
      </c>
      <c r="BN5693" t="s">
        <v>74</v>
      </c>
    </row>
    <row r="5694" spans="1:66" hidden="1">
      <c r="A5694">
        <v>103852</v>
      </c>
      <c r="B5694" s="3" t="s">
        <v>587</v>
      </c>
      <c r="C5694" s="1">
        <v>43300101</v>
      </c>
      <c r="D5694" t="s">
        <v>67</v>
      </c>
      <c r="H5694" t="str">
        <f t="shared" si="603"/>
        <v>02790240101</v>
      </c>
      <c r="I5694" t="str">
        <f t="shared" si="603"/>
        <v>02790240101</v>
      </c>
      <c r="K5694" t="str">
        <f>""</f>
        <v/>
      </c>
      <c r="M5694" t="s">
        <v>68</v>
      </c>
      <c r="N5694" t="str">
        <f t="shared" si="602"/>
        <v>FOR</v>
      </c>
      <c r="O5694" t="s">
        <v>69</v>
      </c>
      <c r="P5694" s="3" t="s">
        <v>70</v>
      </c>
      <c r="Q5694">
        <v>2015</v>
      </c>
      <c r="R5694" s="2">
        <v>42062</v>
      </c>
      <c r="S5694" s="2">
        <v>42086</v>
      </c>
      <c r="T5694" s="2">
        <v>42086</v>
      </c>
      <c r="U5694" s="2">
        <v>42146</v>
      </c>
      <c r="V5694" t="s">
        <v>71</v>
      </c>
      <c r="W5694" t="str">
        <f>"                3023"</f>
        <v xml:space="preserve">                3023</v>
      </c>
      <c r="X5694">
        <v>427</v>
      </c>
      <c r="Y5694">
        <v>0</v>
      </c>
      <c r="Z5694"/>
      <c r="AB5694"/>
      <c r="AC5694">
        <v>350</v>
      </c>
      <c r="AD5694">
        <v>262</v>
      </c>
      <c r="AE5694" s="1">
        <v>91700</v>
      </c>
      <c r="AF5694">
        <v>0</v>
      </c>
      <c r="AJ5694">
        <v>0</v>
      </c>
      <c r="AK5694">
        <v>0</v>
      </c>
      <c r="AL5694">
        <v>0</v>
      </c>
      <c r="AM5694">
        <v>0</v>
      </c>
      <c r="AN5694">
        <v>0</v>
      </c>
      <c r="AO5694">
        <v>0</v>
      </c>
      <c r="AP5694" s="2">
        <v>42746</v>
      </c>
      <c r="AQ5694" t="s">
        <v>72</v>
      </c>
      <c r="AR5694" t="s">
        <v>72</v>
      </c>
      <c r="AS5694">
        <v>301</v>
      </c>
      <c r="AT5694" s="4">
        <v>42408</v>
      </c>
      <c r="AU5694" t="s">
        <v>73</v>
      </c>
      <c r="AV5694">
        <v>301</v>
      </c>
      <c r="AW5694" s="4">
        <v>42408</v>
      </c>
      <c r="BD5694">
        <v>0</v>
      </c>
      <c r="BN5694" t="s">
        <v>74</v>
      </c>
    </row>
    <row r="5695" spans="1:66" hidden="1">
      <c r="A5695">
        <v>103852</v>
      </c>
      <c r="B5695" s="3" t="s">
        <v>587</v>
      </c>
      <c r="C5695" s="1">
        <v>43300101</v>
      </c>
      <c r="D5695" t="s">
        <v>67</v>
      </c>
      <c r="H5695" t="str">
        <f t="shared" si="603"/>
        <v>02790240101</v>
      </c>
      <c r="I5695" t="str">
        <f t="shared" si="603"/>
        <v>02790240101</v>
      </c>
      <c r="K5695" t="str">
        <f>""</f>
        <v/>
      </c>
      <c r="M5695" t="s">
        <v>68</v>
      </c>
      <c r="N5695" t="str">
        <f t="shared" si="602"/>
        <v>FOR</v>
      </c>
      <c r="O5695" t="s">
        <v>69</v>
      </c>
      <c r="P5695" s="3" t="s">
        <v>70</v>
      </c>
      <c r="Q5695">
        <v>2015</v>
      </c>
      <c r="R5695" s="2">
        <v>42062</v>
      </c>
      <c r="S5695" s="2">
        <v>42086</v>
      </c>
      <c r="T5695" s="2">
        <v>42086</v>
      </c>
      <c r="U5695" s="2">
        <v>42146</v>
      </c>
      <c r="V5695" t="s">
        <v>71</v>
      </c>
      <c r="W5695" t="str">
        <f>"                3024"</f>
        <v xml:space="preserve">                3024</v>
      </c>
      <c r="X5695" s="1">
        <v>1900.76</v>
      </c>
      <c r="Y5695">
        <v>0</v>
      </c>
      <c r="Z5695"/>
      <c r="AB5695"/>
      <c r="AC5695" s="1">
        <v>1558</v>
      </c>
      <c r="AD5695">
        <v>262</v>
      </c>
      <c r="AE5695" s="1">
        <v>408196</v>
      </c>
      <c r="AF5695">
        <v>0</v>
      </c>
      <c r="AJ5695">
        <v>0</v>
      </c>
      <c r="AK5695">
        <v>0</v>
      </c>
      <c r="AL5695">
        <v>0</v>
      </c>
      <c r="AM5695">
        <v>0</v>
      </c>
      <c r="AN5695">
        <v>0</v>
      </c>
      <c r="AO5695">
        <v>0</v>
      </c>
      <c r="AP5695" s="2">
        <v>42746</v>
      </c>
      <c r="AQ5695" t="s">
        <v>72</v>
      </c>
      <c r="AR5695" t="s">
        <v>72</v>
      </c>
      <c r="AS5695">
        <v>301</v>
      </c>
      <c r="AT5695" s="4">
        <v>42408</v>
      </c>
      <c r="AU5695" t="s">
        <v>73</v>
      </c>
      <c r="AV5695">
        <v>301</v>
      </c>
      <c r="AW5695" s="4">
        <v>42408</v>
      </c>
      <c r="BD5695">
        <v>0</v>
      </c>
      <c r="BN5695" t="s">
        <v>74</v>
      </c>
    </row>
    <row r="5696" spans="1:66" hidden="1">
      <c r="A5696">
        <v>103852</v>
      </c>
      <c r="B5696" s="3" t="s">
        <v>587</v>
      </c>
      <c r="C5696" s="1">
        <v>43300101</v>
      </c>
      <c r="D5696" t="s">
        <v>67</v>
      </c>
      <c r="H5696" t="str">
        <f t="shared" si="603"/>
        <v>02790240101</v>
      </c>
      <c r="I5696" t="str">
        <f t="shared" si="603"/>
        <v>02790240101</v>
      </c>
      <c r="K5696" t="str">
        <f>""</f>
        <v/>
      </c>
      <c r="M5696" t="s">
        <v>68</v>
      </c>
      <c r="N5696" t="str">
        <f t="shared" si="602"/>
        <v>FOR</v>
      </c>
      <c r="O5696" t="s">
        <v>69</v>
      </c>
      <c r="P5696" s="3" t="s">
        <v>70</v>
      </c>
      <c r="Q5696">
        <v>2015</v>
      </c>
      <c r="R5696" s="2">
        <v>42062</v>
      </c>
      <c r="S5696" s="2">
        <v>42086</v>
      </c>
      <c r="T5696" s="2">
        <v>42086</v>
      </c>
      <c r="U5696" s="2">
        <v>42146</v>
      </c>
      <c r="V5696" t="s">
        <v>71</v>
      </c>
      <c r="W5696" t="str">
        <f>"                3025"</f>
        <v xml:space="preserve">                3025</v>
      </c>
      <c r="X5696">
        <v>631.96</v>
      </c>
      <c r="Y5696">
        <v>0</v>
      </c>
      <c r="Z5696"/>
      <c r="AB5696"/>
      <c r="AC5696">
        <v>518</v>
      </c>
      <c r="AD5696">
        <v>262</v>
      </c>
      <c r="AE5696" s="1">
        <v>135716</v>
      </c>
      <c r="AF5696">
        <v>0</v>
      </c>
      <c r="AJ5696">
        <v>0</v>
      </c>
      <c r="AK5696">
        <v>0</v>
      </c>
      <c r="AL5696">
        <v>0</v>
      </c>
      <c r="AM5696">
        <v>0</v>
      </c>
      <c r="AN5696">
        <v>0</v>
      </c>
      <c r="AO5696">
        <v>0</v>
      </c>
      <c r="AP5696" s="2">
        <v>42746</v>
      </c>
      <c r="AQ5696" t="s">
        <v>72</v>
      </c>
      <c r="AR5696" t="s">
        <v>72</v>
      </c>
      <c r="AS5696">
        <v>301</v>
      </c>
      <c r="AT5696" s="4">
        <v>42408</v>
      </c>
      <c r="AU5696" t="s">
        <v>73</v>
      </c>
      <c r="AV5696">
        <v>301</v>
      </c>
      <c r="AW5696" s="4">
        <v>42408</v>
      </c>
      <c r="BD5696">
        <v>0</v>
      </c>
      <c r="BN5696" t="s">
        <v>74</v>
      </c>
    </row>
    <row r="5697" spans="1:66" hidden="1">
      <c r="A5697">
        <v>103852</v>
      </c>
      <c r="B5697" s="3" t="s">
        <v>587</v>
      </c>
      <c r="C5697" s="1">
        <v>43300101</v>
      </c>
      <c r="D5697" t="s">
        <v>67</v>
      </c>
      <c r="H5697" t="str">
        <f t="shared" si="603"/>
        <v>02790240101</v>
      </c>
      <c r="I5697" t="str">
        <f t="shared" si="603"/>
        <v>02790240101</v>
      </c>
      <c r="K5697" t="str">
        <f>""</f>
        <v/>
      </c>
      <c r="M5697" t="s">
        <v>68</v>
      </c>
      <c r="N5697" t="str">
        <f t="shared" si="602"/>
        <v>FOR</v>
      </c>
      <c r="O5697" t="s">
        <v>69</v>
      </c>
      <c r="P5697" s="3" t="s">
        <v>70</v>
      </c>
      <c r="Q5697">
        <v>2015</v>
      </c>
      <c r="R5697" s="2">
        <v>42062</v>
      </c>
      <c r="S5697" s="2">
        <v>42086</v>
      </c>
      <c r="T5697" s="2">
        <v>42086</v>
      </c>
      <c r="U5697" s="2">
        <v>42146</v>
      </c>
      <c r="V5697" t="s">
        <v>71</v>
      </c>
      <c r="W5697" t="str">
        <f>"                3026"</f>
        <v xml:space="preserve">                3026</v>
      </c>
      <c r="X5697" s="1">
        <v>2087.66</v>
      </c>
      <c r="Y5697">
        <v>0</v>
      </c>
      <c r="Z5697"/>
      <c r="AB5697"/>
      <c r="AC5697" s="1">
        <v>1711.2</v>
      </c>
      <c r="AD5697">
        <v>262</v>
      </c>
      <c r="AE5697" s="1">
        <v>448334.4</v>
      </c>
      <c r="AF5697">
        <v>0</v>
      </c>
      <c r="AJ5697">
        <v>0</v>
      </c>
      <c r="AK5697">
        <v>0</v>
      </c>
      <c r="AL5697">
        <v>0</v>
      </c>
      <c r="AM5697">
        <v>0</v>
      </c>
      <c r="AN5697">
        <v>0</v>
      </c>
      <c r="AO5697">
        <v>0</v>
      </c>
      <c r="AP5697" s="2">
        <v>42746</v>
      </c>
      <c r="AQ5697" t="s">
        <v>72</v>
      </c>
      <c r="AR5697" t="s">
        <v>72</v>
      </c>
      <c r="AS5697">
        <v>301</v>
      </c>
      <c r="AT5697" s="4">
        <v>42408</v>
      </c>
      <c r="AU5697" t="s">
        <v>73</v>
      </c>
      <c r="AV5697">
        <v>301</v>
      </c>
      <c r="AW5697" s="4">
        <v>42408</v>
      </c>
      <c r="BD5697">
        <v>0</v>
      </c>
      <c r="BN5697" t="s">
        <v>74</v>
      </c>
    </row>
    <row r="5698" spans="1:66" hidden="1">
      <c r="A5698">
        <v>103852</v>
      </c>
      <c r="B5698" s="3" t="s">
        <v>587</v>
      </c>
      <c r="C5698" s="1">
        <v>43300101</v>
      </c>
      <c r="D5698" t="s">
        <v>67</v>
      </c>
      <c r="H5698" t="str">
        <f t="shared" si="603"/>
        <v>02790240101</v>
      </c>
      <c r="I5698" t="str">
        <f t="shared" si="603"/>
        <v>02790240101</v>
      </c>
      <c r="K5698" t="str">
        <f>""</f>
        <v/>
      </c>
      <c r="M5698" t="s">
        <v>68</v>
      </c>
      <c r="N5698" t="str">
        <f t="shared" si="602"/>
        <v>FOR</v>
      </c>
      <c r="O5698" t="s">
        <v>69</v>
      </c>
      <c r="P5698" s="3" t="s">
        <v>70</v>
      </c>
      <c r="Q5698">
        <v>2015</v>
      </c>
      <c r="R5698" s="2">
        <v>42079</v>
      </c>
      <c r="S5698" s="2">
        <v>42089</v>
      </c>
      <c r="T5698" s="2">
        <v>42089</v>
      </c>
      <c r="U5698" s="2">
        <v>42149</v>
      </c>
      <c r="V5698" t="s">
        <v>71</v>
      </c>
      <c r="W5698" t="str">
        <f>"                4303"</f>
        <v xml:space="preserve">                4303</v>
      </c>
      <c r="X5698" s="1">
        <v>5599.8</v>
      </c>
      <c r="Y5698">
        <v>0</v>
      </c>
      <c r="Z5698"/>
      <c r="AB5698"/>
      <c r="AC5698" s="1">
        <v>4590</v>
      </c>
      <c r="AD5698">
        <v>266</v>
      </c>
      <c r="AE5698" s="1">
        <v>1220940</v>
      </c>
      <c r="AF5698">
        <v>0</v>
      </c>
      <c r="AJ5698">
        <v>0</v>
      </c>
      <c r="AK5698">
        <v>0</v>
      </c>
      <c r="AL5698">
        <v>0</v>
      </c>
      <c r="AM5698">
        <v>0</v>
      </c>
      <c r="AN5698">
        <v>0</v>
      </c>
      <c r="AO5698">
        <v>0</v>
      </c>
      <c r="AP5698" s="2">
        <v>42746</v>
      </c>
      <c r="AQ5698" t="s">
        <v>72</v>
      </c>
      <c r="AR5698" t="s">
        <v>72</v>
      </c>
      <c r="AS5698">
        <v>368</v>
      </c>
      <c r="AT5698" s="4">
        <v>42415</v>
      </c>
      <c r="AU5698" t="s">
        <v>73</v>
      </c>
      <c r="AV5698">
        <v>368</v>
      </c>
      <c r="AW5698" s="4">
        <v>42415</v>
      </c>
      <c r="BD5698">
        <v>0</v>
      </c>
      <c r="BN5698" t="s">
        <v>74</v>
      </c>
    </row>
    <row r="5699" spans="1:66" hidden="1">
      <c r="A5699">
        <v>103852</v>
      </c>
      <c r="B5699" s="3" t="s">
        <v>587</v>
      </c>
      <c r="C5699" s="1">
        <v>43300101</v>
      </c>
      <c r="D5699" t="s">
        <v>67</v>
      </c>
      <c r="H5699" t="str">
        <f t="shared" si="603"/>
        <v>02790240101</v>
      </c>
      <c r="I5699" t="str">
        <f t="shared" si="603"/>
        <v>02790240101</v>
      </c>
      <c r="K5699" t="str">
        <f>""</f>
        <v/>
      </c>
      <c r="M5699" t="s">
        <v>68</v>
      </c>
      <c r="N5699" t="str">
        <f t="shared" si="602"/>
        <v>FOR</v>
      </c>
      <c r="O5699" t="s">
        <v>69</v>
      </c>
      <c r="P5699" s="3" t="s">
        <v>75</v>
      </c>
      <c r="Q5699">
        <v>2015</v>
      </c>
      <c r="R5699" s="2">
        <v>42124</v>
      </c>
      <c r="S5699" s="2">
        <v>42163</v>
      </c>
      <c r="T5699" s="2">
        <v>42138</v>
      </c>
      <c r="U5699" s="2">
        <v>42198</v>
      </c>
      <c r="V5699" t="s">
        <v>71</v>
      </c>
      <c r="W5699" t="str">
        <f>"                6742"</f>
        <v xml:space="preserve">                6742</v>
      </c>
      <c r="X5699" s="1">
        <v>5325.7</v>
      </c>
      <c r="Y5699">
        <v>0</v>
      </c>
      <c r="Z5699"/>
      <c r="AB5699"/>
      <c r="AC5699" s="1">
        <v>4365.33</v>
      </c>
      <c r="AD5699">
        <v>235</v>
      </c>
      <c r="AE5699" s="1">
        <v>1025852.55</v>
      </c>
      <c r="AF5699">
        <v>0</v>
      </c>
      <c r="AJ5699">
        <v>0</v>
      </c>
      <c r="AK5699">
        <v>0</v>
      </c>
      <c r="AL5699">
        <v>0</v>
      </c>
      <c r="AM5699">
        <v>0</v>
      </c>
      <c r="AN5699">
        <v>0</v>
      </c>
      <c r="AO5699">
        <v>0</v>
      </c>
      <c r="AP5699" s="2">
        <v>42746</v>
      </c>
      <c r="AQ5699" t="s">
        <v>72</v>
      </c>
      <c r="AR5699" t="s">
        <v>72</v>
      </c>
      <c r="AS5699">
        <v>654</v>
      </c>
      <c r="AT5699" s="4">
        <v>42433</v>
      </c>
      <c r="AU5699" t="s">
        <v>73</v>
      </c>
      <c r="AV5699">
        <v>654</v>
      </c>
      <c r="AW5699" s="4">
        <v>42433</v>
      </c>
      <c r="BD5699">
        <v>0</v>
      </c>
      <c r="BN5699" t="s">
        <v>74</v>
      </c>
    </row>
    <row r="5700" spans="1:66" hidden="1">
      <c r="A5700">
        <v>103852</v>
      </c>
      <c r="B5700" s="3" t="s">
        <v>587</v>
      </c>
      <c r="C5700" s="1">
        <v>43300101</v>
      </c>
      <c r="D5700" t="s">
        <v>67</v>
      </c>
      <c r="H5700" t="str">
        <f t="shared" si="603"/>
        <v>02790240101</v>
      </c>
      <c r="I5700" t="str">
        <f t="shared" si="603"/>
        <v>02790240101</v>
      </c>
      <c r="K5700" t="str">
        <f>""</f>
        <v/>
      </c>
      <c r="M5700" t="s">
        <v>68</v>
      </c>
      <c r="N5700" t="str">
        <f t="shared" si="602"/>
        <v>FOR</v>
      </c>
      <c r="O5700" t="s">
        <v>69</v>
      </c>
      <c r="P5700" s="3" t="s">
        <v>75</v>
      </c>
      <c r="Q5700">
        <v>2015</v>
      </c>
      <c r="R5700" s="2">
        <v>42124</v>
      </c>
      <c r="S5700" s="2">
        <v>42163</v>
      </c>
      <c r="T5700" s="2">
        <v>42138</v>
      </c>
      <c r="U5700" s="2">
        <v>42198</v>
      </c>
      <c r="V5700" t="s">
        <v>71</v>
      </c>
      <c r="W5700" t="str">
        <f>"                6743"</f>
        <v xml:space="preserve">                6743</v>
      </c>
      <c r="X5700" s="1">
        <v>1035.78</v>
      </c>
      <c r="Y5700">
        <v>0</v>
      </c>
      <c r="Z5700"/>
      <c r="AB5700"/>
      <c r="AC5700">
        <v>849</v>
      </c>
      <c r="AD5700">
        <v>235</v>
      </c>
      <c r="AE5700" s="1">
        <v>199515</v>
      </c>
      <c r="AF5700">
        <v>0</v>
      </c>
      <c r="AJ5700">
        <v>0</v>
      </c>
      <c r="AK5700">
        <v>0</v>
      </c>
      <c r="AL5700">
        <v>0</v>
      </c>
      <c r="AM5700">
        <v>0</v>
      </c>
      <c r="AN5700">
        <v>0</v>
      </c>
      <c r="AO5700">
        <v>0</v>
      </c>
      <c r="AP5700" s="2">
        <v>42746</v>
      </c>
      <c r="AQ5700" t="s">
        <v>72</v>
      </c>
      <c r="AR5700" t="s">
        <v>72</v>
      </c>
      <c r="AS5700">
        <v>654</v>
      </c>
      <c r="AT5700" s="4">
        <v>42433</v>
      </c>
      <c r="AU5700" t="s">
        <v>73</v>
      </c>
      <c r="AV5700">
        <v>654</v>
      </c>
      <c r="AW5700" s="4">
        <v>42433</v>
      </c>
      <c r="BD5700">
        <v>0</v>
      </c>
      <c r="BN5700" t="s">
        <v>74</v>
      </c>
    </row>
    <row r="5701" spans="1:66" hidden="1">
      <c r="A5701">
        <v>103852</v>
      </c>
      <c r="B5701" s="3" t="s">
        <v>587</v>
      </c>
      <c r="C5701" s="1">
        <v>43300101</v>
      </c>
      <c r="D5701" t="s">
        <v>67</v>
      </c>
      <c r="H5701" t="str">
        <f t="shared" si="603"/>
        <v>02790240101</v>
      </c>
      <c r="I5701" t="str">
        <f t="shared" si="603"/>
        <v>02790240101</v>
      </c>
      <c r="K5701" t="str">
        <f>""</f>
        <v/>
      </c>
      <c r="M5701" t="s">
        <v>68</v>
      </c>
      <c r="N5701" t="str">
        <f t="shared" si="602"/>
        <v>FOR</v>
      </c>
      <c r="O5701" t="s">
        <v>69</v>
      </c>
      <c r="P5701" s="3" t="s">
        <v>75</v>
      </c>
      <c r="Q5701">
        <v>2015</v>
      </c>
      <c r="R5701" s="2">
        <v>42124</v>
      </c>
      <c r="S5701" s="2">
        <v>42163</v>
      </c>
      <c r="T5701" s="2">
        <v>42138</v>
      </c>
      <c r="U5701" s="2">
        <v>42198</v>
      </c>
      <c r="V5701" t="s">
        <v>71</v>
      </c>
      <c r="W5701" t="str">
        <f>"                6744"</f>
        <v xml:space="preserve">                6744</v>
      </c>
      <c r="X5701">
        <v>586.82000000000005</v>
      </c>
      <c r="Y5701">
        <v>0</v>
      </c>
      <c r="Z5701"/>
      <c r="AB5701"/>
      <c r="AC5701">
        <v>481</v>
      </c>
      <c r="AD5701">
        <v>235</v>
      </c>
      <c r="AE5701" s="1">
        <v>113035</v>
      </c>
      <c r="AF5701">
        <v>0</v>
      </c>
      <c r="AJ5701">
        <v>0</v>
      </c>
      <c r="AK5701">
        <v>0</v>
      </c>
      <c r="AL5701">
        <v>0</v>
      </c>
      <c r="AM5701">
        <v>0</v>
      </c>
      <c r="AN5701">
        <v>0</v>
      </c>
      <c r="AO5701">
        <v>0</v>
      </c>
      <c r="AP5701" s="2">
        <v>42746</v>
      </c>
      <c r="AQ5701" t="s">
        <v>72</v>
      </c>
      <c r="AR5701" t="s">
        <v>72</v>
      </c>
      <c r="AS5701">
        <v>654</v>
      </c>
      <c r="AT5701" s="4">
        <v>42433</v>
      </c>
      <c r="AU5701" t="s">
        <v>73</v>
      </c>
      <c r="AV5701">
        <v>654</v>
      </c>
      <c r="AW5701" s="4">
        <v>42433</v>
      </c>
      <c r="BD5701">
        <v>0</v>
      </c>
      <c r="BN5701" t="s">
        <v>74</v>
      </c>
    </row>
    <row r="5702" spans="1:66" hidden="1">
      <c r="A5702">
        <v>103852</v>
      </c>
      <c r="B5702" s="3" t="s">
        <v>587</v>
      </c>
      <c r="C5702" s="1">
        <v>43300101</v>
      </c>
      <c r="D5702" t="s">
        <v>67</v>
      </c>
      <c r="H5702" t="str">
        <f t="shared" si="603"/>
        <v>02790240101</v>
      </c>
      <c r="I5702" t="str">
        <f t="shared" si="603"/>
        <v>02790240101</v>
      </c>
      <c r="K5702" t="str">
        <f>""</f>
        <v/>
      </c>
      <c r="M5702" t="s">
        <v>68</v>
      </c>
      <c r="N5702" t="str">
        <f t="shared" si="602"/>
        <v>FOR</v>
      </c>
      <c r="O5702" t="s">
        <v>69</v>
      </c>
      <c r="P5702" s="3" t="s">
        <v>75</v>
      </c>
      <c r="Q5702">
        <v>2015</v>
      </c>
      <c r="R5702" s="2">
        <v>42124</v>
      </c>
      <c r="S5702" s="2">
        <v>42163</v>
      </c>
      <c r="T5702" s="2">
        <v>42138</v>
      </c>
      <c r="U5702" s="2">
        <v>42198</v>
      </c>
      <c r="V5702" t="s">
        <v>71</v>
      </c>
      <c r="W5702" t="str">
        <f>"                6745"</f>
        <v xml:space="preserve">                6745</v>
      </c>
      <c r="X5702" s="1">
        <v>1361.52</v>
      </c>
      <c r="Y5702">
        <v>0</v>
      </c>
      <c r="Z5702"/>
      <c r="AB5702"/>
      <c r="AC5702" s="1">
        <v>1116</v>
      </c>
      <c r="AD5702">
        <v>235</v>
      </c>
      <c r="AE5702" s="1">
        <v>262260</v>
      </c>
      <c r="AF5702">
        <v>0</v>
      </c>
      <c r="AJ5702">
        <v>0</v>
      </c>
      <c r="AK5702">
        <v>0</v>
      </c>
      <c r="AL5702">
        <v>0</v>
      </c>
      <c r="AM5702">
        <v>0</v>
      </c>
      <c r="AN5702">
        <v>0</v>
      </c>
      <c r="AO5702">
        <v>0</v>
      </c>
      <c r="AP5702" s="2">
        <v>42746</v>
      </c>
      <c r="AQ5702" t="s">
        <v>72</v>
      </c>
      <c r="AR5702" t="s">
        <v>72</v>
      </c>
      <c r="AS5702">
        <v>654</v>
      </c>
      <c r="AT5702" s="4">
        <v>42433</v>
      </c>
      <c r="AU5702" t="s">
        <v>73</v>
      </c>
      <c r="AV5702">
        <v>654</v>
      </c>
      <c r="AW5702" s="4">
        <v>42433</v>
      </c>
      <c r="BD5702">
        <v>0</v>
      </c>
      <c r="BN5702" t="s">
        <v>74</v>
      </c>
    </row>
    <row r="5703" spans="1:66" hidden="1">
      <c r="A5703">
        <v>103852</v>
      </c>
      <c r="B5703" s="3" t="s">
        <v>587</v>
      </c>
      <c r="C5703" s="1">
        <v>43300101</v>
      </c>
      <c r="D5703" t="s">
        <v>67</v>
      </c>
      <c r="H5703" t="str">
        <f t="shared" si="603"/>
        <v>02790240101</v>
      </c>
      <c r="I5703" t="str">
        <f t="shared" si="603"/>
        <v>02790240101</v>
      </c>
      <c r="K5703" t="str">
        <f>""</f>
        <v/>
      </c>
      <c r="M5703" t="s">
        <v>68</v>
      </c>
      <c r="N5703" t="str">
        <f t="shared" si="602"/>
        <v>FOR</v>
      </c>
      <c r="O5703" t="s">
        <v>69</v>
      </c>
      <c r="P5703" s="3" t="s">
        <v>75</v>
      </c>
      <c r="Q5703">
        <v>2015</v>
      </c>
      <c r="R5703" s="2">
        <v>42124</v>
      </c>
      <c r="S5703" s="2">
        <v>42163</v>
      </c>
      <c r="T5703" s="2">
        <v>42138</v>
      </c>
      <c r="U5703" s="2">
        <v>42198</v>
      </c>
      <c r="V5703" t="s">
        <v>71</v>
      </c>
      <c r="W5703" t="str">
        <f>"                6746"</f>
        <v xml:space="preserve">                6746</v>
      </c>
      <c r="X5703">
        <v>128.1</v>
      </c>
      <c r="Y5703">
        <v>0</v>
      </c>
      <c r="Z5703"/>
      <c r="AB5703"/>
      <c r="AC5703">
        <v>105</v>
      </c>
      <c r="AD5703">
        <v>235</v>
      </c>
      <c r="AE5703" s="1">
        <v>24675</v>
      </c>
      <c r="AF5703">
        <v>0</v>
      </c>
      <c r="AJ5703">
        <v>0</v>
      </c>
      <c r="AK5703">
        <v>0</v>
      </c>
      <c r="AL5703">
        <v>0</v>
      </c>
      <c r="AM5703">
        <v>0</v>
      </c>
      <c r="AN5703">
        <v>0</v>
      </c>
      <c r="AO5703">
        <v>0</v>
      </c>
      <c r="AP5703" s="2">
        <v>42746</v>
      </c>
      <c r="AQ5703" t="s">
        <v>72</v>
      </c>
      <c r="AR5703" t="s">
        <v>72</v>
      </c>
      <c r="AS5703">
        <v>654</v>
      </c>
      <c r="AT5703" s="4">
        <v>42433</v>
      </c>
      <c r="AU5703" t="s">
        <v>73</v>
      </c>
      <c r="AV5703">
        <v>654</v>
      </c>
      <c r="AW5703" s="4">
        <v>42433</v>
      </c>
      <c r="BD5703">
        <v>0</v>
      </c>
      <c r="BN5703" t="s">
        <v>74</v>
      </c>
    </row>
    <row r="5704" spans="1:66" hidden="1">
      <c r="A5704">
        <v>103852</v>
      </c>
      <c r="B5704" s="3" t="s">
        <v>587</v>
      </c>
      <c r="C5704" s="1">
        <v>43300101</v>
      </c>
      <c r="D5704" t="s">
        <v>67</v>
      </c>
      <c r="H5704" t="str">
        <f t="shared" si="603"/>
        <v>02790240101</v>
      </c>
      <c r="I5704" t="str">
        <f t="shared" si="603"/>
        <v>02790240101</v>
      </c>
      <c r="K5704" t="str">
        <f>""</f>
        <v/>
      </c>
      <c r="M5704" t="s">
        <v>68</v>
      </c>
      <c r="N5704" t="str">
        <f t="shared" si="602"/>
        <v>FOR</v>
      </c>
      <c r="O5704" t="s">
        <v>69</v>
      </c>
      <c r="P5704" s="3" t="s">
        <v>75</v>
      </c>
      <c r="Q5704">
        <v>2015</v>
      </c>
      <c r="R5704" s="2">
        <v>42124</v>
      </c>
      <c r="S5704" s="2">
        <v>42163</v>
      </c>
      <c r="T5704" s="2">
        <v>42138</v>
      </c>
      <c r="U5704" s="2">
        <v>42198</v>
      </c>
      <c r="V5704" t="s">
        <v>71</v>
      </c>
      <c r="W5704" t="str">
        <f>"                6747"</f>
        <v xml:space="preserve">                6747</v>
      </c>
      <c r="X5704" s="1">
        <v>4479.84</v>
      </c>
      <c r="Y5704">
        <v>0</v>
      </c>
      <c r="Z5704"/>
      <c r="AB5704"/>
      <c r="AC5704" s="1">
        <v>3672</v>
      </c>
      <c r="AD5704">
        <v>235</v>
      </c>
      <c r="AE5704" s="1">
        <v>862920</v>
      </c>
      <c r="AF5704">
        <v>0</v>
      </c>
      <c r="AJ5704">
        <v>0</v>
      </c>
      <c r="AK5704">
        <v>0</v>
      </c>
      <c r="AL5704">
        <v>0</v>
      </c>
      <c r="AM5704">
        <v>0</v>
      </c>
      <c r="AN5704">
        <v>0</v>
      </c>
      <c r="AO5704">
        <v>0</v>
      </c>
      <c r="AP5704" s="2">
        <v>42746</v>
      </c>
      <c r="AQ5704" t="s">
        <v>72</v>
      </c>
      <c r="AR5704" t="s">
        <v>72</v>
      </c>
      <c r="AS5704">
        <v>654</v>
      </c>
      <c r="AT5704" s="4">
        <v>42433</v>
      </c>
      <c r="AU5704" t="s">
        <v>73</v>
      </c>
      <c r="AV5704">
        <v>654</v>
      </c>
      <c r="AW5704" s="4">
        <v>42433</v>
      </c>
      <c r="BD5704">
        <v>0</v>
      </c>
      <c r="BN5704" t="s">
        <v>74</v>
      </c>
    </row>
    <row r="5705" spans="1:66" hidden="1">
      <c r="A5705">
        <v>103852</v>
      </c>
      <c r="B5705" s="3" t="s">
        <v>587</v>
      </c>
      <c r="C5705" s="1">
        <v>43300101</v>
      </c>
      <c r="D5705" t="s">
        <v>67</v>
      </c>
      <c r="H5705" t="str">
        <f t="shared" si="603"/>
        <v>02790240101</v>
      </c>
      <c r="I5705" t="str">
        <f t="shared" si="603"/>
        <v>02790240101</v>
      </c>
      <c r="K5705" t="str">
        <f>""</f>
        <v/>
      </c>
      <c r="M5705" t="s">
        <v>68</v>
      </c>
      <c r="N5705" t="str">
        <f t="shared" si="602"/>
        <v>FOR</v>
      </c>
      <c r="O5705" t="s">
        <v>69</v>
      </c>
      <c r="P5705" s="3" t="s">
        <v>75</v>
      </c>
      <c r="Q5705">
        <v>2015</v>
      </c>
      <c r="R5705" s="2">
        <v>42124</v>
      </c>
      <c r="S5705" s="2">
        <v>42163</v>
      </c>
      <c r="T5705" s="2">
        <v>42138</v>
      </c>
      <c r="U5705" s="2">
        <v>42198</v>
      </c>
      <c r="V5705" t="s">
        <v>71</v>
      </c>
      <c r="W5705" t="str">
        <f>"                6748"</f>
        <v xml:space="preserve">                6748</v>
      </c>
      <c r="X5705">
        <v>439.2</v>
      </c>
      <c r="Y5705">
        <v>0</v>
      </c>
      <c r="Z5705"/>
      <c r="AB5705"/>
      <c r="AC5705">
        <v>360</v>
      </c>
      <c r="AD5705">
        <v>235</v>
      </c>
      <c r="AE5705" s="1">
        <v>84600</v>
      </c>
      <c r="AF5705">
        <v>0</v>
      </c>
      <c r="AJ5705">
        <v>0</v>
      </c>
      <c r="AK5705">
        <v>0</v>
      </c>
      <c r="AL5705">
        <v>0</v>
      </c>
      <c r="AM5705">
        <v>0</v>
      </c>
      <c r="AN5705">
        <v>0</v>
      </c>
      <c r="AO5705">
        <v>0</v>
      </c>
      <c r="AP5705" s="2">
        <v>42746</v>
      </c>
      <c r="AQ5705" t="s">
        <v>72</v>
      </c>
      <c r="AR5705" t="s">
        <v>72</v>
      </c>
      <c r="AS5705">
        <v>654</v>
      </c>
      <c r="AT5705" s="4">
        <v>42433</v>
      </c>
      <c r="AU5705" t="s">
        <v>73</v>
      </c>
      <c r="AV5705">
        <v>654</v>
      </c>
      <c r="AW5705" s="4">
        <v>42433</v>
      </c>
      <c r="BD5705">
        <v>0</v>
      </c>
      <c r="BN5705" t="s">
        <v>74</v>
      </c>
    </row>
    <row r="5706" spans="1:66" hidden="1">
      <c r="A5706">
        <v>103852</v>
      </c>
      <c r="B5706" s="3" t="s">
        <v>587</v>
      </c>
      <c r="C5706" s="1">
        <v>43300101</v>
      </c>
      <c r="D5706" t="s">
        <v>67</v>
      </c>
      <c r="H5706" t="str">
        <f t="shared" si="603"/>
        <v>02790240101</v>
      </c>
      <c r="I5706" t="str">
        <f t="shared" si="603"/>
        <v>02790240101</v>
      </c>
      <c r="K5706" t="str">
        <f>""</f>
        <v/>
      </c>
      <c r="M5706" t="s">
        <v>68</v>
      </c>
      <c r="N5706" t="str">
        <f t="shared" si="602"/>
        <v>FOR</v>
      </c>
      <c r="O5706" t="s">
        <v>69</v>
      </c>
      <c r="P5706" s="3" t="s">
        <v>75</v>
      </c>
      <c r="Q5706">
        <v>2015</v>
      </c>
      <c r="R5706" s="2">
        <v>42124</v>
      </c>
      <c r="S5706" s="2">
        <v>42163</v>
      </c>
      <c r="T5706" s="2">
        <v>42138</v>
      </c>
      <c r="U5706" s="2">
        <v>42198</v>
      </c>
      <c r="V5706" t="s">
        <v>71</v>
      </c>
      <c r="W5706" t="str">
        <f>"                6749"</f>
        <v xml:space="preserve">                6749</v>
      </c>
      <c r="X5706" s="1">
        <v>1119.96</v>
      </c>
      <c r="Y5706">
        <v>0</v>
      </c>
      <c r="Z5706"/>
      <c r="AB5706"/>
      <c r="AC5706">
        <v>918</v>
      </c>
      <c r="AD5706">
        <v>235</v>
      </c>
      <c r="AE5706" s="1">
        <v>215730</v>
      </c>
      <c r="AF5706">
        <v>0</v>
      </c>
      <c r="AJ5706">
        <v>0</v>
      </c>
      <c r="AK5706">
        <v>0</v>
      </c>
      <c r="AL5706">
        <v>0</v>
      </c>
      <c r="AM5706">
        <v>0</v>
      </c>
      <c r="AN5706">
        <v>0</v>
      </c>
      <c r="AO5706">
        <v>0</v>
      </c>
      <c r="AP5706" s="2">
        <v>42746</v>
      </c>
      <c r="AQ5706" t="s">
        <v>72</v>
      </c>
      <c r="AR5706" t="s">
        <v>72</v>
      </c>
      <c r="AS5706">
        <v>654</v>
      </c>
      <c r="AT5706" s="4">
        <v>42433</v>
      </c>
      <c r="AU5706" t="s">
        <v>73</v>
      </c>
      <c r="AV5706">
        <v>654</v>
      </c>
      <c r="AW5706" s="4">
        <v>42433</v>
      </c>
      <c r="BD5706">
        <v>0</v>
      </c>
      <c r="BN5706" t="s">
        <v>74</v>
      </c>
    </row>
    <row r="5707" spans="1:66" hidden="1">
      <c r="A5707">
        <v>103852</v>
      </c>
      <c r="B5707" s="3" t="s">
        <v>587</v>
      </c>
      <c r="C5707" s="1">
        <v>43300101</v>
      </c>
      <c r="D5707" t="s">
        <v>67</v>
      </c>
      <c r="H5707" t="str">
        <f t="shared" si="603"/>
        <v>02790240101</v>
      </c>
      <c r="I5707" t="str">
        <f t="shared" si="603"/>
        <v>02790240101</v>
      </c>
      <c r="K5707" t="str">
        <f>""</f>
        <v/>
      </c>
      <c r="M5707" t="s">
        <v>68</v>
      </c>
      <c r="N5707" t="str">
        <f t="shared" si="602"/>
        <v>FOR</v>
      </c>
      <c r="O5707" t="s">
        <v>69</v>
      </c>
      <c r="P5707" s="3" t="s">
        <v>75</v>
      </c>
      <c r="Q5707">
        <v>2015</v>
      </c>
      <c r="R5707" s="2">
        <v>42124</v>
      </c>
      <c r="S5707" s="2">
        <v>42163</v>
      </c>
      <c r="T5707" s="2">
        <v>42138</v>
      </c>
      <c r="U5707" s="2">
        <v>42198</v>
      </c>
      <c r="V5707" t="s">
        <v>71</v>
      </c>
      <c r="W5707" t="str">
        <f>"                6750"</f>
        <v xml:space="preserve">                6750</v>
      </c>
      <c r="X5707">
        <v>61.49</v>
      </c>
      <c r="Y5707">
        <v>0</v>
      </c>
      <c r="Z5707"/>
      <c r="AB5707"/>
      <c r="AC5707">
        <v>50.4</v>
      </c>
      <c r="AD5707">
        <v>235</v>
      </c>
      <c r="AE5707" s="1">
        <v>11844</v>
      </c>
      <c r="AF5707">
        <v>0</v>
      </c>
      <c r="AJ5707">
        <v>0</v>
      </c>
      <c r="AK5707">
        <v>0</v>
      </c>
      <c r="AL5707">
        <v>0</v>
      </c>
      <c r="AM5707">
        <v>0</v>
      </c>
      <c r="AN5707">
        <v>0</v>
      </c>
      <c r="AO5707">
        <v>0</v>
      </c>
      <c r="AP5707" s="2">
        <v>42746</v>
      </c>
      <c r="AQ5707" t="s">
        <v>72</v>
      </c>
      <c r="AR5707" t="s">
        <v>72</v>
      </c>
      <c r="AS5707">
        <v>654</v>
      </c>
      <c r="AT5707" s="4">
        <v>42433</v>
      </c>
      <c r="AU5707" t="s">
        <v>73</v>
      </c>
      <c r="AV5707">
        <v>654</v>
      </c>
      <c r="AW5707" s="4">
        <v>42433</v>
      </c>
      <c r="BD5707">
        <v>0</v>
      </c>
      <c r="BN5707" t="s">
        <v>74</v>
      </c>
    </row>
    <row r="5708" spans="1:66" hidden="1">
      <c r="A5708">
        <v>103852</v>
      </c>
      <c r="B5708" s="3" t="s">
        <v>587</v>
      </c>
      <c r="C5708" s="1">
        <v>43300101</v>
      </c>
      <c r="D5708" t="s">
        <v>67</v>
      </c>
      <c r="H5708" t="str">
        <f t="shared" si="603"/>
        <v>02790240101</v>
      </c>
      <c r="I5708" t="str">
        <f t="shared" si="603"/>
        <v>02790240101</v>
      </c>
      <c r="K5708" t="str">
        <f>""</f>
        <v/>
      </c>
      <c r="M5708" t="s">
        <v>68</v>
      </c>
      <c r="N5708" t="str">
        <f t="shared" si="602"/>
        <v>FOR</v>
      </c>
      <c r="O5708" t="s">
        <v>69</v>
      </c>
      <c r="P5708" s="3" t="s">
        <v>75</v>
      </c>
      <c r="Q5708">
        <v>2015</v>
      </c>
      <c r="R5708" s="2">
        <v>42124</v>
      </c>
      <c r="S5708" s="2">
        <v>42163</v>
      </c>
      <c r="T5708" s="2">
        <v>42138</v>
      </c>
      <c r="U5708" s="2">
        <v>42198</v>
      </c>
      <c r="V5708" t="s">
        <v>71</v>
      </c>
      <c r="W5708" t="str">
        <f>"                6751"</f>
        <v xml:space="preserve">                6751</v>
      </c>
      <c r="X5708">
        <v>512.4</v>
      </c>
      <c r="Y5708">
        <v>0</v>
      </c>
      <c r="Z5708"/>
      <c r="AB5708"/>
      <c r="AC5708">
        <v>420</v>
      </c>
      <c r="AD5708">
        <v>235</v>
      </c>
      <c r="AE5708" s="1">
        <v>98700</v>
      </c>
      <c r="AF5708">
        <v>0</v>
      </c>
      <c r="AJ5708">
        <v>0</v>
      </c>
      <c r="AK5708">
        <v>0</v>
      </c>
      <c r="AL5708">
        <v>0</v>
      </c>
      <c r="AM5708">
        <v>0</v>
      </c>
      <c r="AN5708">
        <v>0</v>
      </c>
      <c r="AO5708">
        <v>0</v>
      </c>
      <c r="AP5708" s="2">
        <v>42746</v>
      </c>
      <c r="AQ5708" t="s">
        <v>72</v>
      </c>
      <c r="AR5708" t="s">
        <v>72</v>
      </c>
      <c r="AS5708">
        <v>654</v>
      </c>
      <c r="AT5708" s="4">
        <v>42433</v>
      </c>
      <c r="AU5708" t="s">
        <v>73</v>
      </c>
      <c r="AV5708">
        <v>654</v>
      </c>
      <c r="AW5708" s="4">
        <v>42433</v>
      </c>
      <c r="BD5708">
        <v>0</v>
      </c>
      <c r="BN5708" t="s">
        <v>74</v>
      </c>
    </row>
    <row r="5709" spans="1:66" hidden="1">
      <c r="A5709">
        <v>103852</v>
      </c>
      <c r="B5709" s="3" t="s">
        <v>587</v>
      </c>
      <c r="C5709" s="1">
        <v>43300101</v>
      </c>
      <c r="D5709" t="s">
        <v>67</v>
      </c>
      <c r="H5709" t="str">
        <f t="shared" si="603"/>
        <v>02790240101</v>
      </c>
      <c r="I5709" t="str">
        <f t="shared" si="603"/>
        <v>02790240101</v>
      </c>
      <c r="K5709" t="str">
        <f>""</f>
        <v/>
      </c>
      <c r="M5709" t="s">
        <v>68</v>
      </c>
      <c r="N5709" t="str">
        <f t="shared" si="602"/>
        <v>FOR</v>
      </c>
      <c r="O5709" t="s">
        <v>69</v>
      </c>
      <c r="P5709" s="3" t="s">
        <v>75</v>
      </c>
      <c r="Q5709">
        <v>2015</v>
      </c>
      <c r="R5709" s="2">
        <v>42139</v>
      </c>
      <c r="S5709" s="2">
        <v>42165</v>
      </c>
      <c r="T5709" s="2">
        <v>42152</v>
      </c>
      <c r="U5709" s="2">
        <v>42212</v>
      </c>
      <c r="V5709" t="s">
        <v>71</v>
      </c>
      <c r="W5709" t="str">
        <f>"                8123"</f>
        <v xml:space="preserve">                8123</v>
      </c>
      <c r="X5709" s="1">
        <v>1180.3499999999999</v>
      </c>
      <c r="Y5709">
        <v>0</v>
      </c>
      <c r="Z5709"/>
      <c r="AB5709"/>
      <c r="AC5709">
        <v>967.5</v>
      </c>
      <c r="AD5709">
        <v>240</v>
      </c>
      <c r="AE5709" s="1">
        <v>232200</v>
      </c>
      <c r="AF5709">
        <v>0</v>
      </c>
      <c r="AJ5709">
        <v>0</v>
      </c>
      <c r="AK5709">
        <v>0</v>
      </c>
      <c r="AL5709">
        <v>0</v>
      </c>
      <c r="AM5709">
        <v>0</v>
      </c>
      <c r="AN5709">
        <v>0</v>
      </c>
      <c r="AO5709">
        <v>0</v>
      </c>
      <c r="AP5709" s="2">
        <v>42746</v>
      </c>
      <c r="AQ5709" t="s">
        <v>72</v>
      </c>
      <c r="AR5709" t="s">
        <v>72</v>
      </c>
      <c r="AS5709">
        <v>809</v>
      </c>
      <c r="AT5709" s="4">
        <v>42452</v>
      </c>
      <c r="AU5709" t="s">
        <v>73</v>
      </c>
      <c r="AV5709">
        <v>809</v>
      </c>
      <c r="AW5709" s="4">
        <v>42452</v>
      </c>
      <c r="BD5709">
        <v>0</v>
      </c>
      <c r="BN5709" t="s">
        <v>74</v>
      </c>
    </row>
    <row r="5710" spans="1:66" hidden="1">
      <c r="A5710">
        <v>103852</v>
      </c>
      <c r="B5710" s="3" t="s">
        <v>587</v>
      </c>
      <c r="C5710" s="1">
        <v>43300101</v>
      </c>
      <c r="D5710" t="s">
        <v>67</v>
      </c>
      <c r="H5710" t="str">
        <f t="shared" si="603"/>
        <v>02790240101</v>
      </c>
      <c r="I5710" t="str">
        <f t="shared" si="603"/>
        <v>02790240101</v>
      </c>
      <c r="K5710" t="str">
        <f>""</f>
        <v/>
      </c>
      <c r="M5710" t="s">
        <v>68</v>
      </c>
      <c r="N5710" t="str">
        <f t="shared" si="602"/>
        <v>FOR</v>
      </c>
      <c r="O5710" t="s">
        <v>69</v>
      </c>
      <c r="P5710" s="3" t="s">
        <v>75</v>
      </c>
      <c r="Q5710">
        <v>2015</v>
      </c>
      <c r="R5710" s="2">
        <v>42139</v>
      </c>
      <c r="S5710" s="2">
        <v>42165</v>
      </c>
      <c r="T5710" s="2">
        <v>42152</v>
      </c>
      <c r="U5710" s="2">
        <v>42212</v>
      </c>
      <c r="V5710" t="s">
        <v>71</v>
      </c>
      <c r="W5710" t="str">
        <f>"                8124"</f>
        <v xml:space="preserve">                8124</v>
      </c>
      <c r="X5710">
        <v>31.4</v>
      </c>
      <c r="Y5710">
        <v>0</v>
      </c>
      <c r="Z5710"/>
      <c r="AB5710"/>
      <c r="AC5710">
        <v>25.74</v>
      </c>
      <c r="AD5710">
        <v>240</v>
      </c>
      <c r="AE5710" s="1">
        <v>6177.6</v>
      </c>
      <c r="AF5710">
        <v>0</v>
      </c>
      <c r="AJ5710">
        <v>0</v>
      </c>
      <c r="AK5710">
        <v>0</v>
      </c>
      <c r="AL5710">
        <v>0</v>
      </c>
      <c r="AM5710">
        <v>0</v>
      </c>
      <c r="AN5710">
        <v>0</v>
      </c>
      <c r="AO5710">
        <v>0</v>
      </c>
      <c r="AP5710" s="2">
        <v>42746</v>
      </c>
      <c r="AQ5710" t="s">
        <v>72</v>
      </c>
      <c r="AR5710" t="s">
        <v>72</v>
      </c>
      <c r="AS5710">
        <v>809</v>
      </c>
      <c r="AT5710" s="4">
        <v>42452</v>
      </c>
      <c r="AU5710" t="s">
        <v>73</v>
      </c>
      <c r="AV5710">
        <v>809</v>
      </c>
      <c r="AW5710" s="4">
        <v>42452</v>
      </c>
      <c r="BD5710">
        <v>0</v>
      </c>
      <c r="BN5710" t="s">
        <v>74</v>
      </c>
    </row>
    <row r="5711" spans="1:66" hidden="1">
      <c r="A5711">
        <v>103852</v>
      </c>
      <c r="B5711" s="3" t="s">
        <v>587</v>
      </c>
      <c r="C5711" s="1">
        <v>43300101</v>
      </c>
      <c r="D5711" t="s">
        <v>67</v>
      </c>
      <c r="H5711" t="str">
        <f t="shared" ref="H5711:I5730" si="604">"02790240101"</f>
        <v>02790240101</v>
      </c>
      <c r="I5711" t="str">
        <f t="shared" si="604"/>
        <v>02790240101</v>
      </c>
      <c r="K5711" t="str">
        <f>""</f>
        <v/>
      </c>
      <c r="M5711" t="s">
        <v>68</v>
      </c>
      <c r="N5711" t="str">
        <f t="shared" si="602"/>
        <v>FOR</v>
      </c>
      <c r="O5711" t="s">
        <v>69</v>
      </c>
      <c r="P5711" s="3" t="s">
        <v>75</v>
      </c>
      <c r="Q5711">
        <v>2015</v>
      </c>
      <c r="R5711" s="2">
        <v>42139</v>
      </c>
      <c r="S5711" s="2">
        <v>42165</v>
      </c>
      <c r="T5711" s="2">
        <v>42152</v>
      </c>
      <c r="U5711" s="2">
        <v>42212</v>
      </c>
      <c r="V5711" t="s">
        <v>71</v>
      </c>
      <c r="W5711" t="str">
        <f>"                8125"</f>
        <v xml:space="preserve">                8125</v>
      </c>
      <c r="X5711">
        <v>245.95</v>
      </c>
      <c r="Y5711">
        <v>0</v>
      </c>
      <c r="Z5711"/>
      <c r="AB5711"/>
      <c r="AC5711">
        <v>201.6</v>
      </c>
      <c r="AD5711">
        <v>240</v>
      </c>
      <c r="AE5711" s="1">
        <v>48384</v>
      </c>
      <c r="AF5711">
        <v>0</v>
      </c>
      <c r="AJ5711">
        <v>0</v>
      </c>
      <c r="AK5711">
        <v>0</v>
      </c>
      <c r="AL5711">
        <v>0</v>
      </c>
      <c r="AM5711">
        <v>0</v>
      </c>
      <c r="AN5711">
        <v>0</v>
      </c>
      <c r="AO5711">
        <v>0</v>
      </c>
      <c r="AP5711" s="2">
        <v>42746</v>
      </c>
      <c r="AQ5711" t="s">
        <v>72</v>
      </c>
      <c r="AR5711" t="s">
        <v>72</v>
      </c>
      <c r="AS5711">
        <v>809</v>
      </c>
      <c r="AT5711" s="4">
        <v>42452</v>
      </c>
      <c r="AU5711" t="s">
        <v>73</v>
      </c>
      <c r="AV5711">
        <v>809</v>
      </c>
      <c r="AW5711" s="4">
        <v>42452</v>
      </c>
      <c r="BD5711">
        <v>0</v>
      </c>
      <c r="BN5711" t="s">
        <v>74</v>
      </c>
    </row>
    <row r="5712" spans="1:66" hidden="1">
      <c r="A5712">
        <v>103852</v>
      </c>
      <c r="B5712" s="3" t="s">
        <v>587</v>
      </c>
      <c r="C5712" s="1">
        <v>43300101</v>
      </c>
      <c r="D5712" t="s">
        <v>67</v>
      </c>
      <c r="H5712" t="str">
        <f t="shared" si="604"/>
        <v>02790240101</v>
      </c>
      <c r="I5712" t="str">
        <f t="shared" si="604"/>
        <v>02790240101</v>
      </c>
      <c r="K5712" t="str">
        <f>""</f>
        <v/>
      </c>
      <c r="M5712" t="s">
        <v>68</v>
      </c>
      <c r="N5712" t="str">
        <f t="shared" si="602"/>
        <v>FOR</v>
      </c>
      <c r="O5712" t="s">
        <v>69</v>
      </c>
      <c r="P5712" s="3" t="s">
        <v>75</v>
      </c>
      <c r="Q5712">
        <v>2015</v>
      </c>
      <c r="R5712" s="2">
        <v>42153</v>
      </c>
      <c r="S5712" s="2">
        <v>42166</v>
      </c>
      <c r="T5712" s="2">
        <v>42159</v>
      </c>
      <c r="U5712" s="2">
        <v>42219</v>
      </c>
      <c r="V5712" t="s">
        <v>71</v>
      </c>
      <c r="W5712" t="str">
        <f>"                9074"</f>
        <v xml:space="preserve">                9074</v>
      </c>
      <c r="X5712" s="1">
        <v>1368.11</v>
      </c>
      <c r="Y5712">
        <v>0</v>
      </c>
      <c r="Z5712"/>
      <c r="AB5712"/>
      <c r="AC5712" s="1">
        <v>1121.4000000000001</v>
      </c>
      <c r="AD5712">
        <v>233</v>
      </c>
      <c r="AE5712" s="1">
        <v>261286.2</v>
      </c>
      <c r="AF5712">
        <v>0</v>
      </c>
      <c r="AJ5712">
        <v>0</v>
      </c>
      <c r="AK5712">
        <v>0</v>
      </c>
      <c r="AL5712">
        <v>0</v>
      </c>
      <c r="AM5712">
        <v>0</v>
      </c>
      <c r="AN5712">
        <v>0</v>
      </c>
      <c r="AO5712">
        <v>0</v>
      </c>
      <c r="AP5712" s="2">
        <v>42746</v>
      </c>
      <c r="AQ5712" t="s">
        <v>72</v>
      </c>
      <c r="AR5712" t="s">
        <v>72</v>
      </c>
      <c r="AS5712">
        <v>809</v>
      </c>
      <c r="AT5712" s="4">
        <v>42452</v>
      </c>
      <c r="AU5712" t="s">
        <v>73</v>
      </c>
      <c r="AV5712">
        <v>809</v>
      </c>
      <c r="AW5712" s="4">
        <v>42452</v>
      </c>
      <c r="BD5712">
        <v>0</v>
      </c>
      <c r="BN5712" t="s">
        <v>74</v>
      </c>
    </row>
    <row r="5713" spans="1:66" hidden="1">
      <c r="A5713">
        <v>103852</v>
      </c>
      <c r="B5713" s="3" t="s">
        <v>587</v>
      </c>
      <c r="C5713" s="1">
        <v>43300101</v>
      </c>
      <c r="D5713" t="s">
        <v>67</v>
      </c>
      <c r="H5713" t="str">
        <f t="shared" si="604"/>
        <v>02790240101</v>
      </c>
      <c r="I5713" t="str">
        <f t="shared" si="604"/>
        <v>02790240101</v>
      </c>
      <c r="K5713" t="str">
        <f>""</f>
        <v/>
      </c>
      <c r="M5713" t="s">
        <v>68</v>
      </c>
      <c r="N5713" t="str">
        <f t="shared" si="602"/>
        <v>FOR</v>
      </c>
      <c r="O5713" t="s">
        <v>69</v>
      </c>
      <c r="P5713" s="3" t="s">
        <v>75</v>
      </c>
      <c r="Q5713">
        <v>2015</v>
      </c>
      <c r="R5713" s="2">
        <v>42153</v>
      </c>
      <c r="S5713" s="2">
        <v>42164</v>
      </c>
      <c r="T5713" s="2">
        <v>42159</v>
      </c>
      <c r="U5713" s="2">
        <v>42219</v>
      </c>
      <c r="V5713" t="s">
        <v>71</v>
      </c>
      <c r="W5713" t="str">
        <f>"                9075"</f>
        <v xml:space="preserve">                9075</v>
      </c>
      <c r="X5713" s="1">
        <v>1256.5999999999999</v>
      </c>
      <c r="Y5713">
        <v>0</v>
      </c>
      <c r="Z5713"/>
      <c r="AB5713"/>
      <c r="AC5713" s="1">
        <v>1030</v>
      </c>
      <c r="AD5713">
        <v>233</v>
      </c>
      <c r="AE5713" s="1">
        <v>239990</v>
      </c>
      <c r="AF5713">
        <v>0</v>
      </c>
      <c r="AJ5713">
        <v>0</v>
      </c>
      <c r="AK5713">
        <v>0</v>
      </c>
      <c r="AL5713">
        <v>0</v>
      </c>
      <c r="AM5713">
        <v>0</v>
      </c>
      <c r="AN5713">
        <v>0</v>
      </c>
      <c r="AO5713">
        <v>0</v>
      </c>
      <c r="AP5713" s="2">
        <v>42746</v>
      </c>
      <c r="AQ5713" t="s">
        <v>72</v>
      </c>
      <c r="AR5713" t="s">
        <v>72</v>
      </c>
      <c r="AS5713">
        <v>809</v>
      </c>
      <c r="AT5713" s="4">
        <v>42452</v>
      </c>
      <c r="AU5713" t="s">
        <v>73</v>
      </c>
      <c r="AV5713">
        <v>809</v>
      </c>
      <c r="AW5713" s="4">
        <v>42452</v>
      </c>
      <c r="BD5713">
        <v>0</v>
      </c>
      <c r="BN5713" t="s">
        <v>74</v>
      </c>
    </row>
    <row r="5714" spans="1:66" hidden="1">
      <c r="A5714">
        <v>103852</v>
      </c>
      <c r="B5714" s="3" t="s">
        <v>587</v>
      </c>
      <c r="C5714" s="1">
        <v>43300101</v>
      </c>
      <c r="D5714" t="s">
        <v>67</v>
      </c>
      <c r="H5714" t="str">
        <f t="shared" si="604"/>
        <v>02790240101</v>
      </c>
      <c r="I5714" t="str">
        <f t="shared" si="604"/>
        <v>02790240101</v>
      </c>
      <c r="K5714" t="str">
        <f>""</f>
        <v/>
      </c>
      <c r="M5714" t="s">
        <v>68</v>
      </c>
      <c r="N5714" t="str">
        <f t="shared" si="602"/>
        <v>FOR</v>
      </c>
      <c r="O5714" t="s">
        <v>69</v>
      </c>
      <c r="P5714" s="3" t="s">
        <v>75</v>
      </c>
      <c r="Q5714">
        <v>2015</v>
      </c>
      <c r="R5714" s="2">
        <v>42153</v>
      </c>
      <c r="S5714" s="2">
        <v>42166</v>
      </c>
      <c r="T5714" s="2">
        <v>42159</v>
      </c>
      <c r="U5714" s="2">
        <v>42219</v>
      </c>
      <c r="V5714" t="s">
        <v>71</v>
      </c>
      <c r="W5714" t="str">
        <f>"                9076"</f>
        <v xml:space="preserve">                9076</v>
      </c>
      <c r="X5714" s="1">
        <v>1270.75</v>
      </c>
      <c r="Y5714">
        <v>0</v>
      </c>
      <c r="Z5714"/>
      <c r="AB5714"/>
      <c r="AC5714" s="1">
        <v>1041.5999999999999</v>
      </c>
      <c r="AD5714">
        <v>233</v>
      </c>
      <c r="AE5714" s="1">
        <v>242692.8</v>
      </c>
      <c r="AF5714">
        <v>0</v>
      </c>
      <c r="AJ5714">
        <v>0</v>
      </c>
      <c r="AK5714">
        <v>0</v>
      </c>
      <c r="AL5714">
        <v>0</v>
      </c>
      <c r="AM5714">
        <v>0</v>
      </c>
      <c r="AN5714">
        <v>0</v>
      </c>
      <c r="AO5714">
        <v>0</v>
      </c>
      <c r="AP5714" s="2">
        <v>42746</v>
      </c>
      <c r="AQ5714" t="s">
        <v>72</v>
      </c>
      <c r="AR5714" t="s">
        <v>72</v>
      </c>
      <c r="AS5714">
        <v>809</v>
      </c>
      <c r="AT5714" s="4">
        <v>42452</v>
      </c>
      <c r="AU5714" t="s">
        <v>73</v>
      </c>
      <c r="AV5714">
        <v>809</v>
      </c>
      <c r="AW5714" s="4">
        <v>42452</v>
      </c>
      <c r="BD5714">
        <v>0</v>
      </c>
      <c r="BN5714" t="s">
        <v>74</v>
      </c>
    </row>
    <row r="5715" spans="1:66" hidden="1">
      <c r="A5715">
        <v>103852</v>
      </c>
      <c r="B5715" s="3" t="s">
        <v>587</v>
      </c>
      <c r="C5715" s="1">
        <v>43300101</v>
      </c>
      <c r="D5715" t="s">
        <v>67</v>
      </c>
      <c r="H5715" t="str">
        <f t="shared" si="604"/>
        <v>02790240101</v>
      </c>
      <c r="I5715" t="str">
        <f t="shared" si="604"/>
        <v>02790240101</v>
      </c>
      <c r="K5715" t="str">
        <f>""</f>
        <v/>
      </c>
      <c r="M5715" t="s">
        <v>68</v>
      </c>
      <c r="N5715" t="str">
        <f t="shared" si="602"/>
        <v>FOR</v>
      </c>
      <c r="O5715" t="s">
        <v>69</v>
      </c>
      <c r="P5715" s="3" t="s">
        <v>75</v>
      </c>
      <c r="Q5715">
        <v>2015</v>
      </c>
      <c r="R5715" s="2">
        <v>42153</v>
      </c>
      <c r="S5715" s="2">
        <v>42166</v>
      </c>
      <c r="T5715" s="2">
        <v>42159</v>
      </c>
      <c r="U5715" s="2">
        <v>42219</v>
      </c>
      <c r="V5715" t="s">
        <v>71</v>
      </c>
      <c r="W5715" t="str">
        <f>"                9077"</f>
        <v xml:space="preserve">                9077</v>
      </c>
      <c r="X5715" s="1">
        <v>1119.96</v>
      </c>
      <c r="Y5715">
        <v>0</v>
      </c>
      <c r="Z5715"/>
      <c r="AB5715"/>
      <c r="AC5715">
        <v>918</v>
      </c>
      <c r="AD5715">
        <v>233</v>
      </c>
      <c r="AE5715" s="1">
        <v>213894</v>
      </c>
      <c r="AF5715">
        <v>0</v>
      </c>
      <c r="AJ5715">
        <v>0</v>
      </c>
      <c r="AK5715">
        <v>0</v>
      </c>
      <c r="AL5715">
        <v>0</v>
      </c>
      <c r="AM5715">
        <v>0</v>
      </c>
      <c r="AN5715">
        <v>0</v>
      </c>
      <c r="AO5715">
        <v>0</v>
      </c>
      <c r="AP5715" s="2">
        <v>42746</v>
      </c>
      <c r="AQ5715" t="s">
        <v>72</v>
      </c>
      <c r="AR5715" t="s">
        <v>72</v>
      </c>
      <c r="AS5715">
        <v>809</v>
      </c>
      <c r="AT5715" s="4">
        <v>42452</v>
      </c>
      <c r="AU5715" t="s">
        <v>73</v>
      </c>
      <c r="AV5715">
        <v>809</v>
      </c>
      <c r="AW5715" s="4">
        <v>42452</v>
      </c>
      <c r="BD5715">
        <v>0</v>
      </c>
      <c r="BN5715" t="s">
        <v>74</v>
      </c>
    </row>
    <row r="5716" spans="1:66" hidden="1">
      <c r="A5716">
        <v>103852</v>
      </c>
      <c r="B5716" s="3" t="s">
        <v>587</v>
      </c>
      <c r="C5716" s="1">
        <v>43300101</v>
      </c>
      <c r="D5716" t="s">
        <v>67</v>
      </c>
      <c r="H5716" t="str">
        <f t="shared" si="604"/>
        <v>02790240101</v>
      </c>
      <c r="I5716" t="str">
        <f t="shared" si="604"/>
        <v>02790240101</v>
      </c>
      <c r="K5716" t="str">
        <f>""</f>
        <v/>
      </c>
      <c r="M5716" t="s">
        <v>68</v>
      </c>
      <c r="N5716" t="str">
        <f t="shared" si="602"/>
        <v>FOR</v>
      </c>
      <c r="O5716" t="s">
        <v>69</v>
      </c>
      <c r="P5716" s="3" t="s">
        <v>75</v>
      </c>
      <c r="Q5716">
        <v>2015</v>
      </c>
      <c r="R5716" s="2">
        <v>42170</v>
      </c>
      <c r="S5716" s="2">
        <v>42181</v>
      </c>
      <c r="T5716" s="2">
        <v>42175</v>
      </c>
      <c r="U5716" s="2">
        <v>42235</v>
      </c>
      <c r="V5716" t="s">
        <v>71</v>
      </c>
      <c r="W5716" t="str">
        <f>"                9935"</f>
        <v xml:space="preserve">                9935</v>
      </c>
      <c r="X5716">
        <v>776.29</v>
      </c>
      <c r="Y5716">
        <v>0</v>
      </c>
      <c r="Z5716"/>
      <c r="AB5716"/>
      <c r="AC5716">
        <v>636.29999999999995</v>
      </c>
      <c r="AD5716">
        <v>257</v>
      </c>
      <c r="AE5716" s="1">
        <v>163529.1</v>
      </c>
      <c r="AF5716">
        <v>0</v>
      </c>
      <c r="AJ5716">
        <v>0</v>
      </c>
      <c r="AK5716">
        <v>0</v>
      </c>
      <c r="AL5716">
        <v>0</v>
      </c>
      <c r="AM5716">
        <v>0</v>
      </c>
      <c r="AN5716">
        <v>0</v>
      </c>
      <c r="AO5716">
        <v>0</v>
      </c>
      <c r="AP5716" s="2">
        <v>42746</v>
      </c>
      <c r="AQ5716" t="s">
        <v>72</v>
      </c>
      <c r="AR5716" t="s">
        <v>72</v>
      </c>
      <c r="AS5716">
        <v>1221</v>
      </c>
      <c r="AT5716" s="4">
        <v>42492</v>
      </c>
      <c r="AU5716" t="s">
        <v>73</v>
      </c>
      <c r="AV5716">
        <v>1221</v>
      </c>
      <c r="AW5716" s="4">
        <v>42492</v>
      </c>
      <c r="BD5716">
        <v>0</v>
      </c>
      <c r="BN5716" t="s">
        <v>74</v>
      </c>
    </row>
    <row r="5717" spans="1:66" hidden="1">
      <c r="A5717">
        <v>103852</v>
      </c>
      <c r="B5717" s="3" t="s">
        <v>587</v>
      </c>
      <c r="C5717" s="1">
        <v>43300101</v>
      </c>
      <c r="D5717" t="s">
        <v>67</v>
      </c>
      <c r="H5717" t="str">
        <f t="shared" si="604"/>
        <v>02790240101</v>
      </c>
      <c r="I5717" t="str">
        <f t="shared" si="604"/>
        <v>02790240101</v>
      </c>
      <c r="K5717" t="str">
        <f>""</f>
        <v/>
      </c>
      <c r="M5717" t="s">
        <v>68</v>
      </c>
      <c r="N5717" t="str">
        <f t="shared" si="602"/>
        <v>FOR</v>
      </c>
      <c r="O5717" t="s">
        <v>69</v>
      </c>
      <c r="P5717" s="3" t="s">
        <v>75</v>
      </c>
      <c r="Q5717">
        <v>2015</v>
      </c>
      <c r="R5717" s="2">
        <v>42170</v>
      </c>
      <c r="S5717" s="2">
        <v>42181</v>
      </c>
      <c r="T5717" s="2">
        <v>42175</v>
      </c>
      <c r="U5717" s="2">
        <v>42235</v>
      </c>
      <c r="V5717" t="s">
        <v>71</v>
      </c>
      <c r="W5717" t="str">
        <f>"                9936"</f>
        <v xml:space="preserve">                9936</v>
      </c>
      <c r="X5717">
        <v>12.81</v>
      </c>
      <c r="Y5717">
        <v>0</v>
      </c>
      <c r="Z5717"/>
      <c r="AB5717"/>
      <c r="AC5717">
        <v>10.5</v>
      </c>
      <c r="AD5717">
        <v>257</v>
      </c>
      <c r="AE5717" s="1">
        <v>2698.5</v>
      </c>
      <c r="AF5717">
        <v>0</v>
      </c>
      <c r="AJ5717">
        <v>0</v>
      </c>
      <c r="AK5717">
        <v>0</v>
      </c>
      <c r="AL5717">
        <v>0</v>
      </c>
      <c r="AM5717">
        <v>0</v>
      </c>
      <c r="AN5717">
        <v>0</v>
      </c>
      <c r="AO5717">
        <v>0</v>
      </c>
      <c r="AP5717" s="2">
        <v>42746</v>
      </c>
      <c r="AQ5717" t="s">
        <v>72</v>
      </c>
      <c r="AR5717" t="s">
        <v>72</v>
      </c>
      <c r="AS5717">
        <v>1221</v>
      </c>
      <c r="AT5717" s="4">
        <v>42492</v>
      </c>
      <c r="AU5717" t="s">
        <v>73</v>
      </c>
      <c r="AV5717">
        <v>1221</v>
      </c>
      <c r="AW5717" s="4">
        <v>42492</v>
      </c>
      <c r="BD5717">
        <v>0</v>
      </c>
      <c r="BN5717" t="s">
        <v>74</v>
      </c>
    </row>
    <row r="5718" spans="1:66" hidden="1">
      <c r="A5718">
        <v>103852</v>
      </c>
      <c r="B5718" s="3" t="s">
        <v>587</v>
      </c>
      <c r="C5718" s="1">
        <v>43300101</v>
      </c>
      <c r="D5718" t="s">
        <v>67</v>
      </c>
      <c r="H5718" t="str">
        <f t="shared" si="604"/>
        <v>02790240101</v>
      </c>
      <c r="I5718" t="str">
        <f t="shared" si="604"/>
        <v>02790240101</v>
      </c>
      <c r="K5718" t="str">
        <f>""</f>
        <v/>
      </c>
      <c r="M5718" t="s">
        <v>68</v>
      </c>
      <c r="N5718" t="str">
        <f t="shared" si="602"/>
        <v>FOR</v>
      </c>
      <c r="O5718" t="s">
        <v>69</v>
      </c>
      <c r="P5718" s="3" t="s">
        <v>75</v>
      </c>
      <c r="Q5718">
        <v>2015</v>
      </c>
      <c r="R5718" s="2">
        <v>42170</v>
      </c>
      <c r="S5718" s="2">
        <v>42181</v>
      </c>
      <c r="T5718" s="2">
        <v>42175</v>
      </c>
      <c r="U5718" s="2">
        <v>42235</v>
      </c>
      <c r="V5718" t="s">
        <v>71</v>
      </c>
      <c r="W5718" t="str">
        <f>"                9937"</f>
        <v xml:space="preserve">                9937</v>
      </c>
      <c r="X5718">
        <v>702.72</v>
      </c>
      <c r="Y5718">
        <v>0</v>
      </c>
      <c r="Z5718"/>
      <c r="AB5718"/>
      <c r="AC5718">
        <v>576</v>
      </c>
      <c r="AD5718">
        <v>257</v>
      </c>
      <c r="AE5718" s="1">
        <v>148032</v>
      </c>
      <c r="AF5718">
        <v>0</v>
      </c>
      <c r="AJ5718">
        <v>0</v>
      </c>
      <c r="AK5718">
        <v>0</v>
      </c>
      <c r="AL5718">
        <v>0</v>
      </c>
      <c r="AM5718">
        <v>0</v>
      </c>
      <c r="AN5718">
        <v>0</v>
      </c>
      <c r="AO5718">
        <v>0</v>
      </c>
      <c r="AP5718" s="2">
        <v>42746</v>
      </c>
      <c r="AQ5718" t="s">
        <v>72</v>
      </c>
      <c r="AR5718" t="s">
        <v>72</v>
      </c>
      <c r="AS5718">
        <v>1221</v>
      </c>
      <c r="AT5718" s="4">
        <v>42492</v>
      </c>
      <c r="AU5718" t="s">
        <v>73</v>
      </c>
      <c r="AV5718">
        <v>1221</v>
      </c>
      <c r="AW5718" s="4">
        <v>42492</v>
      </c>
      <c r="BD5718">
        <v>0</v>
      </c>
      <c r="BN5718" t="s">
        <v>74</v>
      </c>
    </row>
    <row r="5719" spans="1:66" hidden="1">
      <c r="A5719">
        <v>103852</v>
      </c>
      <c r="B5719" s="3" t="s">
        <v>587</v>
      </c>
      <c r="C5719" s="1">
        <v>43300101</v>
      </c>
      <c r="D5719" t="s">
        <v>67</v>
      </c>
      <c r="H5719" t="str">
        <f t="shared" si="604"/>
        <v>02790240101</v>
      </c>
      <c r="I5719" t="str">
        <f t="shared" si="604"/>
        <v>02790240101</v>
      </c>
      <c r="K5719" t="str">
        <f>""</f>
        <v/>
      </c>
      <c r="M5719" t="s">
        <v>68</v>
      </c>
      <c r="N5719" t="str">
        <f t="shared" si="602"/>
        <v>FOR</v>
      </c>
      <c r="O5719" t="s">
        <v>69</v>
      </c>
      <c r="P5719" s="3" t="s">
        <v>75</v>
      </c>
      <c r="Q5719">
        <v>2015</v>
      </c>
      <c r="R5719" s="2">
        <v>42170</v>
      </c>
      <c r="S5719" s="2">
        <v>42181</v>
      </c>
      <c r="T5719" s="2">
        <v>42175</v>
      </c>
      <c r="U5719" s="2">
        <v>42235</v>
      </c>
      <c r="V5719" t="s">
        <v>71</v>
      </c>
      <c r="W5719" t="str">
        <f>"                9938"</f>
        <v xml:space="preserve">                9938</v>
      </c>
      <c r="X5719" s="1">
        <v>3421.34</v>
      </c>
      <c r="Y5719">
        <v>0</v>
      </c>
      <c r="Z5719"/>
      <c r="AB5719"/>
      <c r="AC5719" s="1">
        <v>2804.38</v>
      </c>
      <c r="AD5719">
        <v>257</v>
      </c>
      <c r="AE5719" s="1">
        <v>720725.66</v>
      </c>
      <c r="AF5719">
        <v>0</v>
      </c>
      <c r="AJ5719">
        <v>0</v>
      </c>
      <c r="AK5719">
        <v>0</v>
      </c>
      <c r="AL5719">
        <v>0</v>
      </c>
      <c r="AM5719">
        <v>0</v>
      </c>
      <c r="AN5719">
        <v>0</v>
      </c>
      <c r="AO5719">
        <v>0</v>
      </c>
      <c r="AP5719" s="2">
        <v>42746</v>
      </c>
      <c r="AQ5719" t="s">
        <v>72</v>
      </c>
      <c r="AR5719" t="s">
        <v>72</v>
      </c>
      <c r="AS5719">
        <v>1221</v>
      </c>
      <c r="AT5719" s="4">
        <v>42492</v>
      </c>
      <c r="AU5719" t="s">
        <v>73</v>
      </c>
      <c r="AV5719">
        <v>1221</v>
      </c>
      <c r="AW5719" s="4">
        <v>42492</v>
      </c>
      <c r="BD5719">
        <v>0</v>
      </c>
      <c r="BN5719" t="s">
        <v>74</v>
      </c>
    </row>
    <row r="5720" spans="1:66" hidden="1">
      <c r="A5720">
        <v>103852</v>
      </c>
      <c r="B5720" s="3" t="s">
        <v>587</v>
      </c>
      <c r="C5720" s="1">
        <v>43300101</v>
      </c>
      <c r="D5720" t="s">
        <v>67</v>
      </c>
      <c r="H5720" t="str">
        <f t="shared" si="604"/>
        <v>02790240101</v>
      </c>
      <c r="I5720" t="str">
        <f t="shared" si="604"/>
        <v>02790240101</v>
      </c>
      <c r="K5720" t="str">
        <f>""</f>
        <v/>
      </c>
      <c r="M5720" t="s">
        <v>68</v>
      </c>
      <c r="N5720" t="str">
        <f t="shared" si="602"/>
        <v>FOR</v>
      </c>
      <c r="O5720" t="s">
        <v>69</v>
      </c>
      <c r="P5720" s="3" t="s">
        <v>75</v>
      </c>
      <c r="Q5720">
        <v>2015</v>
      </c>
      <c r="R5720" s="2">
        <v>42170</v>
      </c>
      <c r="S5720" s="2">
        <v>42181</v>
      </c>
      <c r="T5720" s="2">
        <v>42175</v>
      </c>
      <c r="U5720" s="2">
        <v>42235</v>
      </c>
      <c r="V5720" t="s">
        <v>71</v>
      </c>
      <c r="W5720" t="str">
        <f>"                9939"</f>
        <v xml:space="preserve">                9939</v>
      </c>
      <c r="X5720">
        <v>168.12</v>
      </c>
      <c r="Y5720">
        <v>0</v>
      </c>
      <c r="Z5720"/>
      <c r="AB5720"/>
      <c r="AC5720">
        <v>137.80000000000001</v>
      </c>
      <c r="AD5720">
        <v>257</v>
      </c>
      <c r="AE5720" s="1">
        <v>35414.6</v>
      </c>
      <c r="AF5720">
        <v>0</v>
      </c>
      <c r="AJ5720">
        <v>0</v>
      </c>
      <c r="AK5720">
        <v>0</v>
      </c>
      <c r="AL5720">
        <v>0</v>
      </c>
      <c r="AM5720">
        <v>0</v>
      </c>
      <c r="AN5720">
        <v>0</v>
      </c>
      <c r="AO5720">
        <v>0</v>
      </c>
      <c r="AP5720" s="2">
        <v>42746</v>
      </c>
      <c r="AQ5720" t="s">
        <v>72</v>
      </c>
      <c r="AR5720" t="s">
        <v>72</v>
      </c>
      <c r="AS5720">
        <v>1221</v>
      </c>
      <c r="AT5720" s="4">
        <v>42492</v>
      </c>
      <c r="AU5720" t="s">
        <v>73</v>
      </c>
      <c r="AV5720">
        <v>1221</v>
      </c>
      <c r="AW5720" s="4">
        <v>42492</v>
      </c>
      <c r="BD5720">
        <v>0</v>
      </c>
      <c r="BN5720" t="s">
        <v>74</v>
      </c>
    </row>
    <row r="5721" spans="1:66" hidden="1">
      <c r="A5721">
        <v>103852</v>
      </c>
      <c r="B5721" s="3" t="s">
        <v>587</v>
      </c>
      <c r="C5721" s="1">
        <v>43300101</v>
      </c>
      <c r="D5721" t="s">
        <v>67</v>
      </c>
      <c r="H5721" t="str">
        <f t="shared" si="604"/>
        <v>02790240101</v>
      </c>
      <c r="I5721" t="str">
        <f t="shared" si="604"/>
        <v>02790240101</v>
      </c>
      <c r="K5721" t="str">
        <f>""</f>
        <v/>
      </c>
      <c r="M5721" t="s">
        <v>68</v>
      </c>
      <c r="N5721" t="str">
        <f t="shared" si="602"/>
        <v>FOR</v>
      </c>
      <c r="O5721" t="s">
        <v>69</v>
      </c>
      <c r="P5721" s="3" t="s">
        <v>75</v>
      </c>
      <c r="Q5721">
        <v>2015</v>
      </c>
      <c r="R5721" s="2">
        <v>42170</v>
      </c>
      <c r="S5721" s="2">
        <v>42181</v>
      </c>
      <c r="T5721" s="2">
        <v>42175</v>
      </c>
      <c r="U5721" s="2">
        <v>42235</v>
      </c>
      <c r="V5721" t="s">
        <v>71</v>
      </c>
      <c r="W5721" t="str">
        <f>"                9940"</f>
        <v xml:space="preserve">                9940</v>
      </c>
      <c r="X5721" s="1">
        <v>4479.84</v>
      </c>
      <c r="Y5721">
        <v>0</v>
      </c>
      <c r="Z5721"/>
      <c r="AB5721"/>
      <c r="AC5721" s="1">
        <v>3672</v>
      </c>
      <c r="AD5721">
        <v>257</v>
      </c>
      <c r="AE5721" s="1">
        <v>943704</v>
      </c>
      <c r="AF5721">
        <v>0</v>
      </c>
      <c r="AJ5721">
        <v>0</v>
      </c>
      <c r="AK5721">
        <v>0</v>
      </c>
      <c r="AL5721">
        <v>0</v>
      </c>
      <c r="AM5721">
        <v>0</v>
      </c>
      <c r="AN5721">
        <v>0</v>
      </c>
      <c r="AO5721">
        <v>0</v>
      </c>
      <c r="AP5721" s="2">
        <v>42746</v>
      </c>
      <c r="AQ5721" t="s">
        <v>72</v>
      </c>
      <c r="AR5721" t="s">
        <v>72</v>
      </c>
      <c r="AS5721">
        <v>1221</v>
      </c>
      <c r="AT5721" s="4">
        <v>42492</v>
      </c>
      <c r="AU5721" t="s">
        <v>73</v>
      </c>
      <c r="AV5721">
        <v>1221</v>
      </c>
      <c r="AW5721" s="4">
        <v>42492</v>
      </c>
      <c r="BD5721">
        <v>0</v>
      </c>
      <c r="BN5721" t="s">
        <v>74</v>
      </c>
    </row>
    <row r="5722" spans="1:66" hidden="1">
      <c r="A5722">
        <v>103852</v>
      </c>
      <c r="B5722" s="3" t="s">
        <v>587</v>
      </c>
      <c r="C5722" s="1">
        <v>43300101</v>
      </c>
      <c r="D5722" t="s">
        <v>67</v>
      </c>
      <c r="H5722" t="str">
        <f t="shared" si="604"/>
        <v>02790240101</v>
      </c>
      <c r="I5722" t="str">
        <f t="shared" si="604"/>
        <v>02790240101</v>
      </c>
      <c r="K5722" t="str">
        <f>""</f>
        <v/>
      </c>
      <c r="M5722" t="s">
        <v>68</v>
      </c>
      <c r="N5722" t="str">
        <f t="shared" si="602"/>
        <v>FOR</v>
      </c>
      <c r="O5722" t="s">
        <v>69</v>
      </c>
      <c r="P5722" s="3" t="s">
        <v>75</v>
      </c>
      <c r="Q5722">
        <v>2015</v>
      </c>
      <c r="R5722" s="2">
        <v>42170</v>
      </c>
      <c r="S5722" s="2">
        <v>42181</v>
      </c>
      <c r="T5722" s="2">
        <v>42175</v>
      </c>
      <c r="U5722" s="2">
        <v>42235</v>
      </c>
      <c r="V5722" t="s">
        <v>71</v>
      </c>
      <c r="W5722" t="str">
        <f>"                9941"</f>
        <v xml:space="preserve">                9941</v>
      </c>
      <c r="X5722">
        <v>453.69</v>
      </c>
      <c r="Y5722">
        <v>0</v>
      </c>
      <c r="Z5722"/>
      <c r="AB5722"/>
      <c r="AC5722">
        <v>371.88</v>
      </c>
      <c r="AD5722">
        <v>257</v>
      </c>
      <c r="AE5722" s="1">
        <v>95573.16</v>
      </c>
      <c r="AF5722">
        <v>0</v>
      </c>
      <c r="AJ5722">
        <v>0</v>
      </c>
      <c r="AK5722">
        <v>0</v>
      </c>
      <c r="AL5722">
        <v>0</v>
      </c>
      <c r="AM5722">
        <v>0</v>
      </c>
      <c r="AN5722">
        <v>0</v>
      </c>
      <c r="AO5722">
        <v>0</v>
      </c>
      <c r="AP5722" s="2">
        <v>42746</v>
      </c>
      <c r="AQ5722" t="s">
        <v>72</v>
      </c>
      <c r="AR5722" t="s">
        <v>72</v>
      </c>
      <c r="AS5722">
        <v>1221</v>
      </c>
      <c r="AT5722" s="4">
        <v>42492</v>
      </c>
      <c r="AU5722" t="s">
        <v>73</v>
      </c>
      <c r="AV5722">
        <v>1221</v>
      </c>
      <c r="AW5722" s="4">
        <v>42492</v>
      </c>
      <c r="BD5722">
        <v>0</v>
      </c>
      <c r="BN5722" t="s">
        <v>74</v>
      </c>
    </row>
    <row r="5723" spans="1:66" hidden="1">
      <c r="A5723">
        <v>103852</v>
      </c>
      <c r="B5723" s="3" t="s">
        <v>587</v>
      </c>
      <c r="C5723" s="1">
        <v>43300101</v>
      </c>
      <c r="D5723" t="s">
        <v>67</v>
      </c>
      <c r="H5723" t="str">
        <f t="shared" si="604"/>
        <v>02790240101</v>
      </c>
      <c r="I5723" t="str">
        <f t="shared" si="604"/>
        <v>02790240101</v>
      </c>
      <c r="K5723" t="str">
        <f>""</f>
        <v/>
      </c>
      <c r="M5723" t="s">
        <v>68</v>
      </c>
      <c r="N5723" t="str">
        <f t="shared" si="602"/>
        <v>FOR</v>
      </c>
      <c r="O5723" t="s">
        <v>69</v>
      </c>
      <c r="P5723" s="3" t="s">
        <v>75</v>
      </c>
      <c r="Q5723">
        <v>2015</v>
      </c>
      <c r="R5723" s="2">
        <v>42170</v>
      </c>
      <c r="S5723" s="2">
        <v>42181</v>
      </c>
      <c r="T5723" s="2">
        <v>42175</v>
      </c>
      <c r="U5723" s="2">
        <v>42235</v>
      </c>
      <c r="V5723" t="s">
        <v>71</v>
      </c>
      <c r="W5723" t="str">
        <f>"                9942"</f>
        <v xml:space="preserve">                9942</v>
      </c>
      <c r="X5723" s="1">
        <v>1119.96</v>
      </c>
      <c r="Y5723">
        <v>0</v>
      </c>
      <c r="Z5723"/>
      <c r="AB5723"/>
      <c r="AC5723">
        <v>918</v>
      </c>
      <c r="AD5723">
        <v>257</v>
      </c>
      <c r="AE5723" s="1">
        <v>235926</v>
      </c>
      <c r="AF5723">
        <v>0</v>
      </c>
      <c r="AJ5723">
        <v>0</v>
      </c>
      <c r="AK5723">
        <v>0</v>
      </c>
      <c r="AL5723">
        <v>0</v>
      </c>
      <c r="AM5723">
        <v>0</v>
      </c>
      <c r="AN5723">
        <v>0</v>
      </c>
      <c r="AO5723">
        <v>0</v>
      </c>
      <c r="AP5723" s="2">
        <v>42746</v>
      </c>
      <c r="AQ5723" t="s">
        <v>72</v>
      </c>
      <c r="AR5723" t="s">
        <v>72</v>
      </c>
      <c r="AS5723">
        <v>1221</v>
      </c>
      <c r="AT5723" s="4">
        <v>42492</v>
      </c>
      <c r="AU5723" t="s">
        <v>73</v>
      </c>
      <c r="AV5723">
        <v>1221</v>
      </c>
      <c r="AW5723" s="4">
        <v>42492</v>
      </c>
      <c r="BD5723">
        <v>0</v>
      </c>
      <c r="BN5723" t="s">
        <v>74</v>
      </c>
    </row>
    <row r="5724" spans="1:66" hidden="1">
      <c r="A5724">
        <v>103852</v>
      </c>
      <c r="B5724" s="3" t="s">
        <v>587</v>
      </c>
      <c r="C5724" s="1">
        <v>43300101</v>
      </c>
      <c r="D5724" t="s">
        <v>67</v>
      </c>
      <c r="H5724" t="str">
        <f t="shared" si="604"/>
        <v>02790240101</v>
      </c>
      <c r="I5724" t="str">
        <f t="shared" si="604"/>
        <v>02790240101</v>
      </c>
      <c r="K5724" t="str">
        <f>""</f>
        <v/>
      </c>
      <c r="M5724" t="s">
        <v>68</v>
      </c>
      <c r="N5724" t="str">
        <f t="shared" si="602"/>
        <v>FOR</v>
      </c>
      <c r="O5724" t="s">
        <v>69</v>
      </c>
      <c r="P5724" s="3" t="s">
        <v>75</v>
      </c>
      <c r="Q5724">
        <v>2015</v>
      </c>
      <c r="R5724" s="2">
        <v>42170</v>
      </c>
      <c r="S5724" s="2">
        <v>42181</v>
      </c>
      <c r="T5724" s="2">
        <v>42175</v>
      </c>
      <c r="U5724" s="2">
        <v>42235</v>
      </c>
      <c r="V5724" t="s">
        <v>71</v>
      </c>
      <c r="W5724" t="str">
        <f>"                9943"</f>
        <v xml:space="preserve">                9943</v>
      </c>
      <c r="X5724">
        <v>640.5</v>
      </c>
      <c r="Y5724">
        <v>0</v>
      </c>
      <c r="Z5724"/>
      <c r="AB5724"/>
      <c r="AC5724">
        <v>525</v>
      </c>
      <c r="AD5724">
        <v>257</v>
      </c>
      <c r="AE5724" s="1">
        <v>134925</v>
      </c>
      <c r="AF5724">
        <v>0</v>
      </c>
      <c r="AJ5724">
        <v>0</v>
      </c>
      <c r="AK5724">
        <v>0</v>
      </c>
      <c r="AL5724">
        <v>0</v>
      </c>
      <c r="AM5724">
        <v>0</v>
      </c>
      <c r="AN5724">
        <v>0</v>
      </c>
      <c r="AO5724">
        <v>0</v>
      </c>
      <c r="AP5724" s="2">
        <v>42746</v>
      </c>
      <c r="AQ5724" t="s">
        <v>72</v>
      </c>
      <c r="AR5724" t="s">
        <v>72</v>
      </c>
      <c r="AS5724">
        <v>1221</v>
      </c>
      <c r="AT5724" s="4">
        <v>42492</v>
      </c>
      <c r="AU5724" t="s">
        <v>73</v>
      </c>
      <c r="AV5724">
        <v>1221</v>
      </c>
      <c r="AW5724" s="4">
        <v>42492</v>
      </c>
      <c r="BD5724">
        <v>0</v>
      </c>
      <c r="BN5724" t="s">
        <v>74</v>
      </c>
    </row>
    <row r="5725" spans="1:66" hidden="1">
      <c r="A5725">
        <v>103852</v>
      </c>
      <c r="B5725" s="3" t="s">
        <v>587</v>
      </c>
      <c r="C5725" s="1">
        <v>43300101</v>
      </c>
      <c r="D5725" t="s">
        <v>67</v>
      </c>
      <c r="H5725" t="str">
        <f t="shared" si="604"/>
        <v>02790240101</v>
      </c>
      <c r="I5725" t="str">
        <f t="shared" si="604"/>
        <v>02790240101</v>
      </c>
      <c r="K5725" t="str">
        <f>""</f>
        <v/>
      </c>
      <c r="M5725" t="s">
        <v>68</v>
      </c>
      <c r="N5725" t="str">
        <f t="shared" si="602"/>
        <v>FOR</v>
      </c>
      <c r="O5725" t="s">
        <v>69</v>
      </c>
      <c r="P5725" s="3" t="s">
        <v>75</v>
      </c>
      <c r="Q5725">
        <v>2015</v>
      </c>
      <c r="R5725" s="2">
        <v>42185</v>
      </c>
      <c r="S5725" s="2">
        <v>42212</v>
      </c>
      <c r="T5725" s="2">
        <v>42207</v>
      </c>
      <c r="U5725" s="2">
        <v>42267</v>
      </c>
      <c r="V5725" t="s">
        <v>71</v>
      </c>
      <c r="W5725" t="str">
        <f>"               10908"</f>
        <v xml:space="preserve">               10908</v>
      </c>
      <c r="X5725">
        <v>222.89</v>
      </c>
      <c r="Y5725">
        <v>0</v>
      </c>
      <c r="Z5725"/>
      <c r="AB5725"/>
      <c r="AC5725">
        <v>182.7</v>
      </c>
      <c r="AD5725">
        <v>225</v>
      </c>
      <c r="AE5725" s="1">
        <v>41107.5</v>
      </c>
      <c r="AF5725">
        <v>0</v>
      </c>
      <c r="AJ5725">
        <v>0</v>
      </c>
      <c r="AK5725">
        <v>0</v>
      </c>
      <c r="AL5725">
        <v>0</v>
      </c>
      <c r="AM5725">
        <v>0</v>
      </c>
      <c r="AN5725">
        <v>0</v>
      </c>
      <c r="AO5725">
        <v>0</v>
      </c>
      <c r="AP5725" s="2">
        <v>42746</v>
      </c>
      <c r="AQ5725" t="s">
        <v>72</v>
      </c>
      <c r="AR5725" t="s">
        <v>72</v>
      </c>
      <c r="AS5725">
        <v>1221</v>
      </c>
      <c r="AT5725" s="4">
        <v>42492</v>
      </c>
      <c r="AU5725" t="s">
        <v>73</v>
      </c>
      <c r="AV5725">
        <v>1221</v>
      </c>
      <c r="AW5725" s="4">
        <v>42492</v>
      </c>
      <c r="BD5725">
        <v>0</v>
      </c>
      <c r="BN5725" t="s">
        <v>74</v>
      </c>
    </row>
    <row r="5726" spans="1:66" hidden="1">
      <c r="A5726">
        <v>103852</v>
      </c>
      <c r="B5726" s="3" t="s">
        <v>587</v>
      </c>
      <c r="C5726" s="1">
        <v>43300101</v>
      </c>
      <c r="D5726" t="s">
        <v>67</v>
      </c>
      <c r="H5726" t="str">
        <f t="shared" si="604"/>
        <v>02790240101</v>
      </c>
      <c r="I5726" t="str">
        <f t="shared" si="604"/>
        <v>02790240101</v>
      </c>
      <c r="K5726" t="str">
        <f>""</f>
        <v/>
      </c>
      <c r="M5726" t="s">
        <v>68</v>
      </c>
      <c r="N5726" t="str">
        <f t="shared" si="602"/>
        <v>FOR</v>
      </c>
      <c r="O5726" t="s">
        <v>69</v>
      </c>
      <c r="P5726" s="3" t="s">
        <v>75</v>
      </c>
      <c r="Q5726">
        <v>2015</v>
      </c>
      <c r="R5726" s="2">
        <v>42185</v>
      </c>
      <c r="S5726" s="2">
        <v>42212</v>
      </c>
      <c r="T5726" s="2">
        <v>42207</v>
      </c>
      <c r="U5726" s="2">
        <v>42267</v>
      </c>
      <c r="V5726" t="s">
        <v>71</v>
      </c>
      <c r="W5726" t="str">
        <f>"               10909"</f>
        <v xml:space="preserve">               10909</v>
      </c>
      <c r="X5726">
        <v>506.3</v>
      </c>
      <c r="Y5726">
        <v>0</v>
      </c>
      <c r="Z5726"/>
      <c r="AB5726"/>
      <c r="AC5726">
        <v>415</v>
      </c>
      <c r="AD5726">
        <v>225</v>
      </c>
      <c r="AE5726" s="1">
        <v>93375</v>
      </c>
      <c r="AF5726">
        <v>0</v>
      </c>
      <c r="AJ5726">
        <v>0</v>
      </c>
      <c r="AK5726">
        <v>0</v>
      </c>
      <c r="AL5726">
        <v>0</v>
      </c>
      <c r="AM5726">
        <v>0</v>
      </c>
      <c r="AN5726">
        <v>0</v>
      </c>
      <c r="AO5726">
        <v>0</v>
      </c>
      <c r="AP5726" s="2">
        <v>42746</v>
      </c>
      <c r="AQ5726" t="s">
        <v>72</v>
      </c>
      <c r="AR5726" t="s">
        <v>72</v>
      </c>
      <c r="AS5726">
        <v>1221</v>
      </c>
      <c r="AT5726" s="4">
        <v>42492</v>
      </c>
      <c r="AU5726" t="s">
        <v>73</v>
      </c>
      <c r="AV5726">
        <v>1221</v>
      </c>
      <c r="AW5726" s="4">
        <v>42492</v>
      </c>
      <c r="BD5726">
        <v>0</v>
      </c>
      <c r="BN5726" t="s">
        <v>74</v>
      </c>
    </row>
    <row r="5727" spans="1:66" hidden="1">
      <c r="A5727">
        <v>103852</v>
      </c>
      <c r="B5727" s="3" t="s">
        <v>587</v>
      </c>
      <c r="C5727" s="1">
        <v>43300101</v>
      </c>
      <c r="D5727" t="s">
        <v>67</v>
      </c>
      <c r="H5727" t="str">
        <f t="shared" si="604"/>
        <v>02790240101</v>
      </c>
      <c r="I5727" t="str">
        <f t="shared" si="604"/>
        <v>02790240101</v>
      </c>
      <c r="K5727" t="str">
        <f>""</f>
        <v/>
      </c>
      <c r="M5727" t="s">
        <v>68</v>
      </c>
      <c r="N5727" t="str">
        <f t="shared" si="602"/>
        <v>FOR</v>
      </c>
      <c r="O5727" t="s">
        <v>69</v>
      </c>
      <c r="P5727" s="3" t="s">
        <v>75</v>
      </c>
      <c r="Q5727">
        <v>2015</v>
      </c>
      <c r="R5727" s="2">
        <v>42185</v>
      </c>
      <c r="S5727" s="2">
        <v>42212</v>
      </c>
      <c r="T5727" s="2">
        <v>42207</v>
      </c>
      <c r="U5727" s="2">
        <v>42267</v>
      </c>
      <c r="V5727" t="s">
        <v>71</v>
      </c>
      <c r="W5727" t="str">
        <f>"               10910"</f>
        <v xml:space="preserve">               10910</v>
      </c>
      <c r="X5727" s="1">
        <v>1270.75</v>
      </c>
      <c r="Y5727">
        <v>0</v>
      </c>
      <c r="Z5727"/>
      <c r="AB5727"/>
      <c r="AC5727" s="1">
        <v>1041.5999999999999</v>
      </c>
      <c r="AD5727">
        <v>225</v>
      </c>
      <c r="AE5727" s="1">
        <v>234360</v>
      </c>
      <c r="AF5727">
        <v>0</v>
      </c>
      <c r="AJ5727">
        <v>0</v>
      </c>
      <c r="AK5727">
        <v>0</v>
      </c>
      <c r="AL5727">
        <v>0</v>
      </c>
      <c r="AM5727">
        <v>0</v>
      </c>
      <c r="AN5727">
        <v>0</v>
      </c>
      <c r="AO5727">
        <v>0</v>
      </c>
      <c r="AP5727" s="2">
        <v>42746</v>
      </c>
      <c r="AQ5727" t="s">
        <v>72</v>
      </c>
      <c r="AR5727" t="s">
        <v>72</v>
      </c>
      <c r="AS5727">
        <v>1221</v>
      </c>
      <c r="AT5727" s="4">
        <v>42492</v>
      </c>
      <c r="AU5727" t="s">
        <v>73</v>
      </c>
      <c r="AV5727">
        <v>1221</v>
      </c>
      <c r="AW5727" s="4">
        <v>42492</v>
      </c>
      <c r="BD5727">
        <v>0</v>
      </c>
      <c r="BN5727" t="s">
        <v>74</v>
      </c>
    </row>
    <row r="5728" spans="1:66" hidden="1">
      <c r="A5728">
        <v>103852</v>
      </c>
      <c r="B5728" s="3" t="s">
        <v>587</v>
      </c>
      <c r="C5728" s="1">
        <v>43300101</v>
      </c>
      <c r="D5728" t="s">
        <v>67</v>
      </c>
      <c r="H5728" t="str">
        <f t="shared" si="604"/>
        <v>02790240101</v>
      </c>
      <c r="I5728" t="str">
        <f t="shared" si="604"/>
        <v>02790240101</v>
      </c>
      <c r="K5728" t="str">
        <f>""</f>
        <v/>
      </c>
      <c r="M5728" t="s">
        <v>68</v>
      </c>
      <c r="N5728" t="str">
        <f t="shared" si="602"/>
        <v>FOR</v>
      </c>
      <c r="O5728" t="s">
        <v>69</v>
      </c>
      <c r="P5728" s="3" t="s">
        <v>75</v>
      </c>
      <c r="Q5728">
        <v>2015</v>
      </c>
      <c r="R5728" s="2">
        <v>42200</v>
      </c>
      <c r="S5728" s="2">
        <v>42209</v>
      </c>
      <c r="T5728" s="2">
        <v>42208</v>
      </c>
      <c r="U5728" s="2">
        <v>42268</v>
      </c>
      <c r="V5728" t="s">
        <v>71</v>
      </c>
      <c r="W5728" t="str">
        <f>"               12079"</f>
        <v xml:space="preserve">               12079</v>
      </c>
      <c r="X5728" s="1">
        <v>2799.9</v>
      </c>
      <c r="Y5728">
        <v>0</v>
      </c>
      <c r="Z5728"/>
      <c r="AB5728"/>
      <c r="AC5728" s="1">
        <v>2295</v>
      </c>
      <c r="AD5728">
        <v>308</v>
      </c>
      <c r="AE5728" s="1">
        <v>706860</v>
      </c>
      <c r="AF5728">
        <v>0</v>
      </c>
      <c r="AJ5728">
        <v>0</v>
      </c>
      <c r="AK5728">
        <v>0</v>
      </c>
      <c r="AL5728">
        <v>0</v>
      </c>
      <c r="AM5728">
        <v>0</v>
      </c>
      <c r="AN5728">
        <v>0</v>
      </c>
      <c r="AO5728">
        <v>0</v>
      </c>
      <c r="AP5728" s="2">
        <v>42746</v>
      </c>
      <c r="AQ5728" t="s">
        <v>72</v>
      </c>
      <c r="AR5728" t="s">
        <v>72</v>
      </c>
      <c r="AS5728">
        <v>1918</v>
      </c>
      <c r="AT5728" s="4">
        <v>42576</v>
      </c>
      <c r="AU5728" t="s">
        <v>73</v>
      </c>
      <c r="AV5728">
        <v>1918</v>
      </c>
      <c r="AW5728" s="4">
        <v>42576</v>
      </c>
      <c r="BD5728">
        <v>0</v>
      </c>
      <c r="BN5728" t="s">
        <v>74</v>
      </c>
    </row>
    <row r="5729" spans="1:66" hidden="1">
      <c r="A5729">
        <v>103852</v>
      </c>
      <c r="B5729" s="3" t="s">
        <v>587</v>
      </c>
      <c r="C5729" s="1">
        <v>43300101</v>
      </c>
      <c r="D5729" t="s">
        <v>67</v>
      </c>
      <c r="H5729" t="str">
        <f t="shared" si="604"/>
        <v>02790240101</v>
      </c>
      <c r="I5729" t="str">
        <f t="shared" si="604"/>
        <v>02790240101</v>
      </c>
      <c r="K5729" t="str">
        <f>""</f>
        <v/>
      </c>
      <c r="M5729" t="s">
        <v>68</v>
      </c>
      <c r="N5729" t="str">
        <f t="shared" si="602"/>
        <v>FOR</v>
      </c>
      <c r="O5729" t="s">
        <v>69</v>
      </c>
      <c r="P5729" s="3" t="s">
        <v>75</v>
      </c>
      <c r="Q5729">
        <v>2015</v>
      </c>
      <c r="R5729" s="2">
        <v>42200</v>
      </c>
      <c r="S5729" s="2">
        <v>42209</v>
      </c>
      <c r="T5729" s="2">
        <v>42208</v>
      </c>
      <c r="U5729" s="2">
        <v>42268</v>
      </c>
      <c r="V5729" t="s">
        <v>71</v>
      </c>
      <c r="W5729" t="str">
        <f>"               12080"</f>
        <v xml:space="preserve">               12080</v>
      </c>
      <c r="X5729" s="1">
        <v>1035.05</v>
      </c>
      <c r="Y5729">
        <v>0</v>
      </c>
      <c r="Z5729"/>
      <c r="AB5729"/>
      <c r="AC5729">
        <v>848.4</v>
      </c>
      <c r="AD5729">
        <v>308</v>
      </c>
      <c r="AE5729" s="1">
        <v>261307.2</v>
      </c>
      <c r="AF5729">
        <v>0</v>
      </c>
      <c r="AJ5729">
        <v>0</v>
      </c>
      <c r="AK5729">
        <v>0</v>
      </c>
      <c r="AL5729">
        <v>0</v>
      </c>
      <c r="AM5729">
        <v>0</v>
      </c>
      <c r="AN5729">
        <v>0</v>
      </c>
      <c r="AO5729">
        <v>0</v>
      </c>
      <c r="AP5729" s="2">
        <v>42746</v>
      </c>
      <c r="AQ5729" t="s">
        <v>72</v>
      </c>
      <c r="AR5729" t="s">
        <v>72</v>
      </c>
      <c r="AS5729">
        <v>1918</v>
      </c>
      <c r="AT5729" s="4">
        <v>42576</v>
      </c>
      <c r="AU5729" t="s">
        <v>73</v>
      </c>
      <c r="AV5729">
        <v>1918</v>
      </c>
      <c r="AW5729" s="4">
        <v>42576</v>
      </c>
      <c r="BD5729">
        <v>0</v>
      </c>
      <c r="BN5729" t="s">
        <v>74</v>
      </c>
    </row>
    <row r="5730" spans="1:66" hidden="1">
      <c r="A5730">
        <v>103852</v>
      </c>
      <c r="B5730" s="3" t="s">
        <v>587</v>
      </c>
      <c r="C5730" s="1">
        <v>43300101</v>
      </c>
      <c r="D5730" t="s">
        <v>67</v>
      </c>
      <c r="H5730" t="str">
        <f t="shared" si="604"/>
        <v>02790240101</v>
      </c>
      <c r="I5730" t="str">
        <f t="shared" si="604"/>
        <v>02790240101</v>
      </c>
      <c r="K5730" t="str">
        <f>""</f>
        <v/>
      </c>
      <c r="M5730" t="s">
        <v>68</v>
      </c>
      <c r="N5730" t="str">
        <f t="shared" si="602"/>
        <v>FOR</v>
      </c>
      <c r="O5730" t="s">
        <v>69</v>
      </c>
      <c r="P5730" s="3" t="s">
        <v>75</v>
      </c>
      <c r="Q5730">
        <v>2015</v>
      </c>
      <c r="R5730" s="2">
        <v>42200</v>
      </c>
      <c r="S5730" s="2">
        <v>42209</v>
      </c>
      <c r="T5730" s="2">
        <v>42208</v>
      </c>
      <c r="U5730" s="2">
        <v>42268</v>
      </c>
      <c r="V5730" t="s">
        <v>71</v>
      </c>
      <c r="W5730" t="str">
        <f>"               12081"</f>
        <v xml:space="preserve">               12081</v>
      </c>
      <c r="X5730" s="1">
        <v>1119.96</v>
      </c>
      <c r="Y5730">
        <v>0</v>
      </c>
      <c r="Z5730"/>
      <c r="AB5730"/>
      <c r="AC5730">
        <v>918</v>
      </c>
      <c r="AD5730">
        <v>308</v>
      </c>
      <c r="AE5730" s="1">
        <v>282744</v>
      </c>
      <c r="AF5730">
        <v>0</v>
      </c>
      <c r="AJ5730">
        <v>0</v>
      </c>
      <c r="AK5730">
        <v>0</v>
      </c>
      <c r="AL5730">
        <v>0</v>
      </c>
      <c r="AM5730">
        <v>0</v>
      </c>
      <c r="AN5730">
        <v>0</v>
      </c>
      <c r="AO5730">
        <v>0</v>
      </c>
      <c r="AP5730" s="2">
        <v>42746</v>
      </c>
      <c r="AQ5730" t="s">
        <v>72</v>
      </c>
      <c r="AR5730" t="s">
        <v>72</v>
      </c>
      <c r="AS5730">
        <v>1918</v>
      </c>
      <c r="AT5730" s="4">
        <v>42576</v>
      </c>
      <c r="AU5730" t="s">
        <v>73</v>
      </c>
      <c r="AV5730">
        <v>1918</v>
      </c>
      <c r="AW5730" s="4">
        <v>42576</v>
      </c>
      <c r="BD5730">
        <v>0</v>
      </c>
      <c r="BN5730" t="s">
        <v>74</v>
      </c>
    </row>
    <row r="5731" spans="1:66" hidden="1">
      <c r="A5731">
        <v>103852</v>
      </c>
      <c r="B5731" s="3" t="s">
        <v>587</v>
      </c>
      <c r="C5731" s="1">
        <v>43300101</v>
      </c>
      <c r="D5731" t="s">
        <v>67</v>
      </c>
      <c r="H5731" t="str">
        <f t="shared" ref="H5731:I5750" si="605">"02790240101"</f>
        <v>02790240101</v>
      </c>
      <c r="I5731" t="str">
        <f t="shared" si="605"/>
        <v>02790240101</v>
      </c>
      <c r="K5731" t="str">
        <f>""</f>
        <v/>
      </c>
      <c r="M5731" t="s">
        <v>68</v>
      </c>
      <c r="N5731" t="str">
        <f t="shared" si="602"/>
        <v>FOR</v>
      </c>
      <c r="O5731" t="s">
        <v>69</v>
      </c>
      <c r="P5731" s="3" t="s">
        <v>75</v>
      </c>
      <c r="Q5731">
        <v>2015</v>
      </c>
      <c r="R5731" s="2">
        <v>42200</v>
      </c>
      <c r="S5731" s="2">
        <v>42209</v>
      </c>
      <c r="T5731" s="2">
        <v>42208</v>
      </c>
      <c r="U5731" s="2">
        <v>42268</v>
      </c>
      <c r="V5731" t="s">
        <v>71</v>
      </c>
      <c r="W5731" t="str">
        <f>"               12082"</f>
        <v xml:space="preserve">               12082</v>
      </c>
      <c r="X5731" s="1">
        <v>4479.84</v>
      </c>
      <c r="Y5731">
        <v>0</v>
      </c>
      <c r="Z5731"/>
      <c r="AB5731"/>
      <c r="AC5731" s="1">
        <v>3672</v>
      </c>
      <c r="AD5731">
        <v>308</v>
      </c>
      <c r="AE5731" s="1">
        <v>1130976</v>
      </c>
      <c r="AF5731">
        <v>0</v>
      </c>
      <c r="AJ5731">
        <v>0</v>
      </c>
      <c r="AK5731">
        <v>0</v>
      </c>
      <c r="AL5731">
        <v>0</v>
      </c>
      <c r="AM5731">
        <v>0</v>
      </c>
      <c r="AN5731">
        <v>0</v>
      </c>
      <c r="AO5731">
        <v>0</v>
      </c>
      <c r="AP5731" s="2">
        <v>42746</v>
      </c>
      <c r="AQ5731" t="s">
        <v>72</v>
      </c>
      <c r="AR5731" t="s">
        <v>72</v>
      </c>
      <c r="AS5731">
        <v>1918</v>
      </c>
      <c r="AT5731" s="4">
        <v>42576</v>
      </c>
      <c r="AU5731" t="s">
        <v>73</v>
      </c>
      <c r="AV5731">
        <v>1918</v>
      </c>
      <c r="AW5731" s="4">
        <v>42576</v>
      </c>
      <c r="BD5731">
        <v>0</v>
      </c>
      <c r="BN5731" t="s">
        <v>74</v>
      </c>
    </row>
    <row r="5732" spans="1:66" hidden="1">
      <c r="A5732">
        <v>103852</v>
      </c>
      <c r="B5732" s="3" t="s">
        <v>587</v>
      </c>
      <c r="C5732" s="1">
        <v>43300101</v>
      </c>
      <c r="D5732" t="s">
        <v>67</v>
      </c>
      <c r="H5732" t="str">
        <f t="shared" si="605"/>
        <v>02790240101</v>
      </c>
      <c r="I5732" t="str">
        <f t="shared" si="605"/>
        <v>02790240101</v>
      </c>
      <c r="K5732" t="str">
        <f>""</f>
        <v/>
      </c>
      <c r="M5732" t="s">
        <v>68</v>
      </c>
      <c r="N5732" t="str">
        <f t="shared" si="602"/>
        <v>FOR</v>
      </c>
      <c r="O5732" t="s">
        <v>69</v>
      </c>
      <c r="P5732" s="3" t="s">
        <v>75</v>
      </c>
      <c r="Q5732">
        <v>2015</v>
      </c>
      <c r="R5732" s="2">
        <v>42200</v>
      </c>
      <c r="S5732" s="2">
        <v>42209</v>
      </c>
      <c r="T5732" s="2">
        <v>42208</v>
      </c>
      <c r="U5732" s="2">
        <v>42268</v>
      </c>
      <c r="V5732" t="s">
        <v>71</v>
      </c>
      <c r="W5732" t="str">
        <f>"               12083"</f>
        <v xml:space="preserve">               12083</v>
      </c>
      <c r="X5732">
        <v>26.74</v>
      </c>
      <c r="Y5732">
        <v>0</v>
      </c>
      <c r="Z5732"/>
      <c r="AB5732"/>
      <c r="AC5732">
        <v>21.92</v>
      </c>
      <c r="AD5732">
        <v>308</v>
      </c>
      <c r="AE5732" s="1">
        <v>6751.36</v>
      </c>
      <c r="AF5732">
        <v>0</v>
      </c>
      <c r="AJ5732">
        <v>0</v>
      </c>
      <c r="AK5732">
        <v>0</v>
      </c>
      <c r="AL5732">
        <v>0</v>
      </c>
      <c r="AM5732">
        <v>0</v>
      </c>
      <c r="AN5732">
        <v>0</v>
      </c>
      <c r="AO5732">
        <v>0</v>
      </c>
      <c r="AP5732" s="2">
        <v>42746</v>
      </c>
      <c r="AQ5732" t="s">
        <v>72</v>
      </c>
      <c r="AR5732" t="s">
        <v>72</v>
      </c>
      <c r="AS5732">
        <v>1918</v>
      </c>
      <c r="AT5732" s="4">
        <v>42576</v>
      </c>
      <c r="AU5732" t="s">
        <v>73</v>
      </c>
      <c r="AV5732">
        <v>1918</v>
      </c>
      <c r="AW5732" s="4">
        <v>42576</v>
      </c>
      <c r="BD5732">
        <v>0</v>
      </c>
      <c r="BN5732" t="s">
        <v>74</v>
      </c>
    </row>
    <row r="5733" spans="1:66" hidden="1">
      <c r="A5733">
        <v>103852</v>
      </c>
      <c r="B5733" s="3" t="s">
        <v>587</v>
      </c>
      <c r="C5733" s="1">
        <v>43300101</v>
      </c>
      <c r="D5733" t="s">
        <v>67</v>
      </c>
      <c r="H5733" t="str">
        <f t="shared" si="605"/>
        <v>02790240101</v>
      </c>
      <c r="I5733" t="str">
        <f t="shared" si="605"/>
        <v>02790240101</v>
      </c>
      <c r="K5733" t="str">
        <f>""</f>
        <v/>
      </c>
      <c r="M5733" t="s">
        <v>68</v>
      </c>
      <c r="N5733" t="str">
        <f t="shared" si="602"/>
        <v>FOR</v>
      </c>
      <c r="O5733" t="s">
        <v>69</v>
      </c>
      <c r="P5733" s="3" t="s">
        <v>75</v>
      </c>
      <c r="Q5733">
        <v>2015</v>
      </c>
      <c r="R5733" s="2">
        <v>42200</v>
      </c>
      <c r="S5733" s="2">
        <v>42209</v>
      </c>
      <c r="T5733" s="2">
        <v>42208</v>
      </c>
      <c r="U5733" s="2">
        <v>42268</v>
      </c>
      <c r="V5733" t="s">
        <v>71</v>
      </c>
      <c r="W5733" t="str">
        <f>"               12084"</f>
        <v xml:space="preserve">               12084</v>
      </c>
      <c r="X5733" s="1">
        <v>1106.78</v>
      </c>
      <c r="Y5733">
        <v>0</v>
      </c>
      <c r="Z5733"/>
      <c r="AB5733"/>
      <c r="AC5733">
        <v>907.2</v>
      </c>
      <c r="AD5733">
        <v>308</v>
      </c>
      <c r="AE5733" s="1">
        <v>279417.59999999998</v>
      </c>
      <c r="AF5733">
        <v>0</v>
      </c>
      <c r="AJ5733">
        <v>0</v>
      </c>
      <c r="AK5733">
        <v>0</v>
      </c>
      <c r="AL5733">
        <v>0</v>
      </c>
      <c r="AM5733">
        <v>0</v>
      </c>
      <c r="AN5733">
        <v>0</v>
      </c>
      <c r="AO5733">
        <v>0</v>
      </c>
      <c r="AP5733" s="2">
        <v>42746</v>
      </c>
      <c r="AQ5733" t="s">
        <v>72</v>
      </c>
      <c r="AR5733" t="s">
        <v>72</v>
      </c>
      <c r="AS5733">
        <v>1918</v>
      </c>
      <c r="AT5733" s="4">
        <v>42576</v>
      </c>
      <c r="AU5733" t="s">
        <v>73</v>
      </c>
      <c r="AV5733">
        <v>1918</v>
      </c>
      <c r="AW5733" s="4">
        <v>42576</v>
      </c>
      <c r="BD5733">
        <v>0</v>
      </c>
      <c r="BN5733" t="s">
        <v>74</v>
      </c>
    </row>
    <row r="5734" spans="1:66" hidden="1">
      <c r="A5734">
        <v>103852</v>
      </c>
      <c r="B5734" s="3" t="s">
        <v>587</v>
      </c>
      <c r="C5734" s="1">
        <v>43300101</v>
      </c>
      <c r="D5734" t="s">
        <v>67</v>
      </c>
      <c r="H5734" t="str">
        <f t="shared" si="605"/>
        <v>02790240101</v>
      </c>
      <c r="I5734" t="str">
        <f t="shared" si="605"/>
        <v>02790240101</v>
      </c>
      <c r="K5734" t="str">
        <f>""</f>
        <v/>
      </c>
      <c r="M5734" t="s">
        <v>68</v>
      </c>
      <c r="N5734" t="str">
        <f t="shared" si="602"/>
        <v>FOR</v>
      </c>
      <c r="O5734" t="s">
        <v>69</v>
      </c>
      <c r="P5734" s="3" t="s">
        <v>75</v>
      </c>
      <c r="Q5734">
        <v>2015</v>
      </c>
      <c r="R5734" s="2">
        <v>42200</v>
      </c>
      <c r="S5734" s="2">
        <v>42209</v>
      </c>
      <c r="T5734" s="2">
        <v>42208</v>
      </c>
      <c r="U5734" s="2">
        <v>42268</v>
      </c>
      <c r="V5734" t="s">
        <v>71</v>
      </c>
      <c r="W5734" t="str">
        <f>"               12085"</f>
        <v xml:space="preserve">               12085</v>
      </c>
      <c r="X5734" s="1">
        <v>3774.36</v>
      </c>
      <c r="Y5734">
        <v>0</v>
      </c>
      <c r="Z5734"/>
      <c r="AB5734"/>
      <c r="AC5734" s="1">
        <v>3093.74</v>
      </c>
      <c r="AD5734">
        <v>308</v>
      </c>
      <c r="AE5734" s="1">
        <v>952871.92</v>
      </c>
      <c r="AF5734">
        <v>0</v>
      </c>
      <c r="AJ5734">
        <v>0</v>
      </c>
      <c r="AK5734">
        <v>0</v>
      </c>
      <c r="AL5734">
        <v>0</v>
      </c>
      <c r="AM5734">
        <v>0</v>
      </c>
      <c r="AN5734">
        <v>0</v>
      </c>
      <c r="AO5734">
        <v>0</v>
      </c>
      <c r="AP5734" s="2">
        <v>42746</v>
      </c>
      <c r="AQ5734" t="s">
        <v>72</v>
      </c>
      <c r="AR5734" t="s">
        <v>72</v>
      </c>
      <c r="AS5734">
        <v>1918</v>
      </c>
      <c r="AT5734" s="4">
        <v>42576</v>
      </c>
      <c r="AU5734" t="s">
        <v>73</v>
      </c>
      <c r="AV5734">
        <v>1918</v>
      </c>
      <c r="AW5734" s="4">
        <v>42576</v>
      </c>
      <c r="BD5734">
        <v>0</v>
      </c>
      <c r="BN5734" t="s">
        <v>74</v>
      </c>
    </row>
    <row r="5735" spans="1:66" hidden="1">
      <c r="A5735">
        <v>103852</v>
      </c>
      <c r="B5735" s="3" t="s">
        <v>587</v>
      </c>
      <c r="C5735" s="1">
        <v>43300101</v>
      </c>
      <c r="D5735" t="s">
        <v>67</v>
      </c>
      <c r="H5735" t="str">
        <f t="shared" si="605"/>
        <v>02790240101</v>
      </c>
      <c r="I5735" t="str">
        <f t="shared" si="605"/>
        <v>02790240101</v>
      </c>
      <c r="K5735" t="str">
        <f>""</f>
        <v/>
      </c>
      <c r="M5735" t="s">
        <v>68</v>
      </c>
      <c r="N5735" t="str">
        <f t="shared" si="602"/>
        <v>FOR</v>
      </c>
      <c r="O5735" t="s">
        <v>69</v>
      </c>
      <c r="P5735" s="3" t="s">
        <v>75</v>
      </c>
      <c r="Q5735">
        <v>2015</v>
      </c>
      <c r="R5735" s="2">
        <v>42200</v>
      </c>
      <c r="S5735" s="2">
        <v>42209</v>
      </c>
      <c r="T5735" s="2">
        <v>42208</v>
      </c>
      <c r="U5735" s="2">
        <v>42268</v>
      </c>
      <c r="V5735" t="s">
        <v>71</v>
      </c>
      <c r="W5735" t="str">
        <f>"               12086"</f>
        <v xml:space="preserve">               12086</v>
      </c>
      <c r="X5735">
        <v>614.88</v>
      </c>
      <c r="Y5735">
        <v>0</v>
      </c>
      <c r="Z5735"/>
      <c r="AB5735"/>
      <c r="AC5735">
        <v>504</v>
      </c>
      <c r="AD5735">
        <v>308</v>
      </c>
      <c r="AE5735" s="1">
        <v>155232</v>
      </c>
      <c r="AF5735">
        <v>0</v>
      </c>
      <c r="AJ5735">
        <v>0</v>
      </c>
      <c r="AK5735">
        <v>0</v>
      </c>
      <c r="AL5735">
        <v>0</v>
      </c>
      <c r="AM5735">
        <v>0</v>
      </c>
      <c r="AN5735">
        <v>0</v>
      </c>
      <c r="AO5735">
        <v>0</v>
      </c>
      <c r="AP5735" s="2">
        <v>42746</v>
      </c>
      <c r="AQ5735" t="s">
        <v>72</v>
      </c>
      <c r="AR5735" t="s">
        <v>72</v>
      </c>
      <c r="AS5735">
        <v>1918</v>
      </c>
      <c r="AT5735" s="4">
        <v>42576</v>
      </c>
      <c r="AU5735" t="s">
        <v>73</v>
      </c>
      <c r="AV5735">
        <v>1918</v>
      </c>
      <c r="AW5735" s="4">
        <v>42576</v>
      </c>
      <c r="BD5735">
        <v>0</v>
      </c>
      <c r="BN5735" t="s">
        <v>74</v>
      </c>
    </row>
    <row r="5736" spans="1:66" hidden="1">
      <c r="A5736">
        <v>103852</v>
      </c>
      <c r="B5736" s="3" t="s">
        <v>587</v>
      </c>
      <c r="C5736" s="1">
        <v>43300101</v>
      </c>
      <c r="D5736" t="s">
        <v>67</v>
      </c>
      <c r="H5736" t="str">
        <f t="shared" si="605"/>
        <v>02790240101</v>
      </c>
      <c r="I5736" t="str">
        <f t="shared" si="605"/>
        <v>02790240101</v>
      </c>
      <c r="K5736" t="str">
        <f>""</f>
        <v/>
      </c>
      <c r="M5736" t="s">
        <v>68</v>
      </c>
      <c r="N5736" t="str">
        <f t="shared" si="602"/>
        <v>FOR</v>
      </c>
      <c r="O5736" t="s">
        <v>69</v>
      </c>
      <c r="P5736" s="3" t="s">
        <v>75</v>
      </c>
      <c r="Q5736">
        <v>2015</v>
      </c>
      <c r="R5736" s="2">
        <v>42200</v>
      </c>
      <c r="S5736" s="2">
        <v>42209</v>
      </c>
      <c r="T5736" s="2">
        <v>42208</v>
      </c>
      <c r="U5736" s="2">
        <v>42268</v>
      </c>
      <c r="V5736" t="s">
        <v>71</v>
      </c>
      <c r="W5736" t="str">
        <f>"               12087"</f>
        <v xml:space="preserve">               12087</v>
      </c>
      <c r="X5736" s="1">
        <v>1786.69</v>
      </c>
      <c r="Y5736">
        <v>0</v>
      </c>
      <c r="Z5736"/>
      <c r="AB5736"/>
      <c r="AC5736" s="1">
        <v>1464.5</v>
      </c>
      <c r="AD5736">
        <v>308</v>
      </c>
      <c r="AE5736" s="1">
        <v>451066</v>
      </c>
      <c r="AF5736">
        <v>0</v>
      </c>
      <c r="AJ5736">
        <v>0</v>
      </c>
      <c r="AK5736">
        <v>0</v>
      </c>
      <c r="AL5736">
        <v>0</v>
      </c>
      <c r="AM5736">
        <v>0</v>
      </c>
      <c r="AN5736">
        <v>0</v>
      </c>
      <c r="AO5736">
        <v>0</v>
      </c>
      <c r="AP5736" s="2">
        <v>42746</v>
      </c>
      <c r="AQ5736" t="s">
        <v>72</v>
      </c>
      <c r="AR5736" t="s">
        <v>72</v>
      </c>
      <c r="AS5736">
        <v>1918</v>
      </c>
      <c r="AT5736" s="4">
        <v>42576</v>
      </c>
      <c r="AU5736" t="s">
        <v>73</v>
      </c>
      <c r="AV5736">
        <v>1918</v>
      </c>
      <c r="AW5736" s="4">
        <v>42576</v>
      </c>
      <c r="BD5736">
        <v>0</v>
      </c>
      <c r="BN5736" t="s">
        <v>74</v>
      </c>
    </row>
    <row r="5737" spans="1:66" hidden="1">
      <c r="A5737">
        <v>103852</v>
      </c>
      <c r="B5737" s="3" t="s">
        <v>587</v>
      </c>
      <c r="C5737" s="1">
        <v>43300101</v>
      </c>
      <c r="D5737" t="s">
        <v>67</v>
      </c>
      <c r="H5737" t="str">
        <f t="shared" si="605"/>
        <v>02790240101</v>
      </c>
      <c r="I5737" t="str">
        <f t="shared" si="605"/>
        <v>02790240101</v>
      </c>
      <c r="K5737" t="str">
        <f>""</f>
        <v/>
      </c>
      <c r="M5737" t="s">
        <v>68</v>
      </c>
      <c r="N5737" t="str">
        <f t="shared" si="602"/>
        <v>FOR</v>
      </c>
      <c r="O5737" t="s">
        <v>69</v>
      </c>
      <c r="P5737" s="3" t="s">
        <v>75</v>
      </c>
      <c r="Q5737">
        <v>2015</v>
      </c>
      <c r="R5737" s="2">
        <v>42200</v>
      </c>
      <c r="S5737" s="2">
        <v>42209</v>
      </c>
      <c r="T5737" s="2">
        <v>42208</v>
      </c>
      <c r="U5737" s="2">
        <v>42268</v>
      </c>
      <c r="V5737" t="s">
        <v>71</v>
      </c>
      <c r="W5737" t="str">
        <f>"               12088"</f>
        <v xml:space="preserve">               12088</v>
      </c>
      <c r="X5737" s="1">
        <v>2781.6</v>
      </c>
      <c r="Y5737">
        <v>0</v>
      </c>
      <c r="Z5737"/>
      <c r="AB5737"/>
      <c r="AC5737" s="1">
        <v>2280</v>
      </c>
      <c r="AD5737">
        <v>308</v>
      </c>
      <c r="AE5737" s="1">
        <v>702240</v>
      </c>
      <c r="AF5737">
        <v>0</v>
      </c>
      <c r="AJ5737">
        <v>0</v>
      </c>
      <c r="AK5737">
        <v>0</v>
      </c>
      <c r="AL5737">
        <v>0</v>
      </c>
      <c r="AM5737">
        <v>0</v>
      </c>
      <c r="AN5737">
        <v>0</v>
      </c>
      <c r="AO5737">
        <v>0</v>
      </c>
      <c r="AP5737" s="2">
        <v>42746</v>
      </c>
      <c r="AQ5737" t="s">
        <v>72</v>
      </c>
      <c r="AR5737" t="s">
        <v>72</v>
      </c>
      <c r="AS5737">
        <v>1918</v>
      </c>
      <c r="AT5737" s="4">
        <v>42576</v>
      </c>
      <c r="AU5737" t="s">
        <v>73</v>
      </c>
      <c r="AV5737">
        <v>1918</v>
      </c>
      <c r="AW5737" s="4">
        <v>42576</v>
      </c>
      <c r="BD5737">
        <v>0</v>
      </c>
      <c r="BN5737" t="s">
        <v>74</v>
      </c>
    </row>
    <row r="5738" spans="1:66" hidden="1">
      <c r="A5738">
        <v>103852</v>
      </c>
      <c r="B5738" s="3" t="s">
        <v>587</v>
      </c>
      <c r="C5738" s="1">
        <v>43300101</v>
      </c>
      <c r="D5738" t="s">
        <v>67</v>
      </c>
      <c r="H5738" t="str">
        <f t="shared" si="605"/>
        <v>02790240101</v>
      </c>
      <c r="I5738" t="str">
        <f t="shared" si="605"/>
        <v>02790240101</v>
      </c>
      <c r="K5738" t="str">
        <f>""</f>
        <v/>
      </c>
      <c r="M5738" t="s">
        <v>68</v>
      </c>
      <c r="N5738" t="str">
        <f t="shared" si="602"/>
        <v>FOR</v>
      </c>
      <c r="O5738" t="s">
        <v>69</v>
      </c>
      <c r="P5738" s="3" t="s">
        <v>75</v>
      </c>
      <c r="Q5738">
        <v>2015</v>
      </c>
      <c r="R5738" s="2">
        <v>42215</v>
      </c>
      <c r="S5738" s="2">
        <v>42217</v>
      </c>
      <c r="T5738" s="2">
        <v>42216</v>
      </c>
      <c r="U5738" s="2">
        <v>42276</v>
      </c>
      <c r="V5738" t="s">
        <v>71</v>
      </c>
      <c r="W5738" t="str">
        <f>"               13110"</f>
        <v xml:space="preserve">               13110</v>
      </c>
      <c r="X5738">
        <v>175.68</v>
      </c>
      <c r="Y5738">
        <v>0</v>
      </c>
      <c r="Z5738"/>
      <c r="AB5738"/>
      <c r="AC5738">
        <v>144</v>
      </c>
      <c r="AD5738">
        <v>300</v>
      </c>
      <c r="AE5738" s="1">
        <v>43200</v>
      </c>
      <c r="AF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0</v>
      </c>
      <c r="AP5738" s="2">
        <v>42746</v>
      </c>
      <c r="AQ5738" t="s">
        <v>72</v>
      </c>
      <c r="AR5738" t="s">
        <v>72</v>
      </c>
      <c r="AS5738">
        <v>1918</v>
      </c>
      <c r="AT5738" s="4">
        <v>42576</v>
      </c>
      <c r="AU5738" t="s">
        <v>73</v>
      </c>
      <c r="AV5738">
        <v>1918</v>
      </c>
      <c r="AW5738" s="4">
        <v>42576</v>
      </c>
      <c r="BD5738">
        <v>0</v>
      </c>
      <c r="BN5738" t="s">
        <v>74</v>
      </c>
    </row>
    <row r="5739" spans="1:66" hidden="1">
      <c r="A5739">
        <v>103852</v>
      </c>
      <c r="B5739" s="3" t="s">
        <v>587</v>
      </c>
      <c r="C5739" s="1">
        <v>43300101</v>
      </c>
      <c r="D5739" t="s">
        <v>67</v>
      </c>
      <c r="H5739" t="str">
        <f t="shared" si="605"/>
        <v>02790240101</v>
      </c>
      <c r="I5739" t="str">
        <f t="shared" si="605"/>
        <v>02790240101</v>
      </c>
      <c r="K5739" t="str">
        <f>""</f>
        <v/>
      </c>
      <c r="M5739" t="s">
        <v>68</v>
      </c>
      <c r="N5739" t="str">
        <f t="shared" si="602"/>
        <v>FOR</v>
      </c>
      <c r="O5739" t="s">
        <v>69</v>
      </c>
      <c r="P5739" s="3" t="s">
        <v>75</v>
      </c>
      <c r="Q5739">
        <v>2015</v>
      </c>
      <c r="R5739" s="2">
        <v>42215</v>
      </c>
      <c r="S5739" s="2">
        <v>42217</v>
      </c>
      <c r="T5739" s="2">
        <v>42216</v>
      </c>
      <c r="U5739" s="2">
        <v>42276</v>
      </c>
      <c r="V5739" t="s">
        <v>71</v>
      </c>
      <c r="W5739" t="str">
        <f>"               13111"</f>
        <v xml:space="preserve">               13111</v>
      </c>
      <c r="X5739" s="1">
        <v>1361.52</v>
      </c>
      <c r="Y5739">
        <v>0</v>
      </c>
      <c r="Z5739"/>
      <c r="AB5739"/>
      <c r="AC5739" s="1">
        <v>1116</v>
      </c>
      <c r="AD5739">
        <v>300</v>
      </c>
      <c r="AE5739" s="1">
        <v>334800</v>
      </c>
      <c r="AF5739">
        <v>0</v>
      </c>
      <c r="AJ5739">
        <v>0</v>
      </c>
      <c r="AK5739">
        <v>0</v>
      </c>
      <c r="AL5739">
        <v>0</v>
      </c>
      <c r="AM5739">
        <v>0</v>
      </c>
      <c r="AN5739">
        <v>0</v>
      </c>
      <c r="AO5739">
        <v>0</v>
      </c>
      <c r="AP5739" s="2">
        <v>42746</v>
      </c>
      <c r="AQ5739" t="s">
        <v>72</v>
      </c>
      <c r="AR5739" t="s">
        <v>72</v>
      </c>
      <c r="AS5739">
        <v>1918</v>
      </c>
      <c r="AT5739" s="4">
        <v>42576</v>
      </c>
      <c r="AU5739" t="s">
        <v>73</v>
      </c>
      <c r="AV5739">
        <v>1918</v>
      </c>
      <c r="AW5739" s="4">
        <v>42576</v>
      </c>
      <c r="BD5739">
        <v>0</v>
      </c>
      <c r="BN5739" t="s">
        <v>74</v>
      </c>
    </row>
    <row r="5740" spans="1:66" hidden="1">
      <c r="A5740">
        <v>103852</v>
      </c>
      <c r="B5740" s="3" t="s">
        <v>587</v>
      </c>
      <c r="C5740" s="1">
        <v>43300101</v>
      </c>
      <c r="D5740" t="s">
        <v>67</v>
      </c>
      <c r="H5740" t="str">
        <f t="shared" si="605"/>
        <v>02790240101</v>
      </c>
      <c r="I5740" t="str">
        <f t="shared" si="605"/>
        <v>02790240101</v>
      </c>
      <c r="K5740" t="str">
        <f>""</f>
        <v/>
      </c>
      <c r="M5740" t="s">
        <v>68</v>
      </c>
      <c r="N5740" t="str">
        <f t="shared" si="602"/>
        <v>FOR</v>
      </c>
      <c r="O5740" t="s">
        <v>69</v>
      </c>
      <c r="P5740" s="3" t="s">
        <v>75</v>
      </c>
      <c r="Q5740">
        <v>2015</v>
      </c>
      <c r="R5740" s="2">
        <v>42215</v>
      </c>
      <c r="S5740" s="2">
        <v>42219</v>
      </c>
      <c r="T5740" s="2">
        <v>42216</v>
      </c>
      <c r="U5740" s="2">
        <v>42276</v>
      </c>
      <c r="V5740" t="s">
        <v>71</v>
      </c>
      <c r="W5740" t="str">
        <f>"               13112"</f>
        <v xml:space="preserve">               13112</v>
      </c>
      <c r="X5740" s="1">
        <v>1035.05</v>
      </c>
      <c r="Y5740">
        <v>0</v>
      </c>
      <c r="Z5740"/>
      <c r="AB5740"/>
      <c r="AC5740">
        <v>848.4</v>
      </c>
      <c r="AD5740">
        <v>300</v>
      </c>
      <c r="AE5740" s="1">
        <v>254520</v>
      </c>
      <c r="AF5740">
        <v>0</v>
      </c>
      <c r="AJ5740">
        <v>0</v>
      </c>
      <c r="AK5740">
        <v>0</v>
      </c>
      <c r="AL5740">
        <v>0</v>
      </c>
      <c r="AM5740">
        <v>0</v>
      </c>
      <c r="AN5740">
        <v>0</v>
      </c>
      <c r="AO5740">
        <v>0</v>
      </c>
      <c r="AP5740" s="2">
        <v>42746</v>
      </c>
      <c r="AQ5740" t="s">
        <v>72</v>
      </c>
      <c r="AR5740" t="s">
        <v>72</v>
      </c>
      <c r="AS5740">
        <v>1918</v>
      </c>
      <c r="AT5740" s="4">
        <v>42576</v>
      </c>
      <c r="AU5740" t="s">
        <v>73</v>
      </c>
      <c r="AV5740">
        <v>1918</v>
      </c>
      <c r="AW5740" s="4">
        <v>42576</v>
      </c>
      <c r="BD5740">
        <v>0</v>
      </c>
      <c r="BN5740" t="s">
        <v>74</v>
      </c>
    </row>
    <row r="5741" spans="1:66" hidden="1">
      <c r="A5741">
        <v>103852</v>
      </c>
      <c r="B5741" s="3" t="s">
        <v>587</v>
      </c>
      <c r="C5741" s="1">
        <v>43300101</v>
      </c>
      <c r="D5741" t="s">
        <v>67</v>
      </c>
      <c r="H5741" t="str">
        <f t="shared" si="605"/>
        <v>02790240101</v>
      </c>
      <c r="I5741" t="str">
        <f t="shared" si="605"/>
        <v>02790240101</v>
      </c>
      <c r="K5741" t="str">
        <f>""</f>
        <v/>
      </c>
      <c r="M5741" t="s">
        <v>68</v>
      </c>
      <c r="N5741" t="str">
        <f t="shared" si="602"/>
        <v>FOR</v>
      </c>
      <c r="O5741" t="s">
        <v>69</v>
      </c>
      <c r="P5741" s="3" t="s">
        <v>75</v>
      </c>
      <c r="Q5741">
        <v>2015</v>
      </c>
      <c r="R5741" s="2">
        <v>42215</v>
      </c>
      <c r="S5741" s="2">
        <v>42217</v>
      </c>
      <c r="T5741" s="2">
        <v>42216</v>
      </c>
      <c r="U5741" s="2">
        <v>42276</v>
      </c>
      <c r="V5741" t="s">
        <v>71</v>
      </c>
      <c r="W5741" t="str">
        <f>"               13113"</f>
        <v xml:space="preserve">               13113</v>
      </c>
      <c r="X5741">
        <v>559.98</v>
      </c>
      <c r="Y5741">
        <v>0</v>
      </c>
      <c r="Z5741"/>
      <c r="AB5741"/>
      <c r="AC5741">
        <v>459</v>
      </c>
      <c r="AD5741">
        <v>300</v>
      </c>
      <c r="AE5741" s="1">
        <v>137700</v>
      </c>
      <c r="AF5741">
        <v>0</v>
      </c>
      <c r="AJ5741">
        <v>0</v>
      </c>
      <c r="AK5741">
        <v>0</v>
      </c>
      <c r="AL5741">
        <v>0</v>
      </c>
      <c r="AM5741">
        <v>0</v>
      </c>
      <c r="AN5741">
        <v>0</v>
      </c>
      <c r="AO5741">
        <v>0</v>
      </c>
      <c r="AP5741" s="2">
        <v>42746</v>
      </c>
      <c r="AQ5741" t="s">
        <v>72</v>
      </c>
      <c r="AR5741" t="s">
        <v>72</v>
      </c>
      <c r="AS5741">
        <v>1918</v>
      </c>
      <c r="AT5741" s="4">
        <v>42576</v>
      </c>
      <c r="AU5741" t="s">
        <v>73</v>
      </c>
      <c r="AV5741">
        <v>1918</v>
      </c>
      <c r="AW5741" s="4">
        <v>42576</v>
      </c>
      <c r="BD5741">
        <v>0</v>
      </c>
      <c r="BN5741" t="s">
        <v>74</v>
      </c>
    </row>
    <row r="5742" spans="1:66" hidden="1">
      <c r="A5742">
        <v>103852</v>
      </c>
      <c r="B5742" s="3" t="s">
        <v>587</v>
      </c>
      <c r="C5742" s="1">
        <v>43300101</v>
      </c>
      <c r="D5742" t="s">
        <v>67</v>
      </c>
      <c r="H5742" t="str">
        <f t="shared" si="605"/>
        <v>02790240101</v>
      </c>
      <c r="I5742" t="str">
        <f t="shared" si="605"/>
        <v>02790240101</v>
      </c>
      <c r="K5742" t="str">
        <f>""</f>
        <v/>
      </c>
      <c r="M5742" t="s">
        <v>68</v>
      </c>
      <c r="N5742" t="str">
        <f t="shared" si="602"/>
        <v>FOR</v>
      </c>
      <c r="O5742" t="s">
        <v>69</v>
      </c>
      <c r="P5742" s="3" t="s">
        <v>75</v>
      </c>
      <c r="Q5742">
        <v>2015</v>
      </c>
      <c r="R5742" s="2">
        <v>42247</v>
      </c>
      <c r="S5742" s="2">
        <v>42262</v>
      </c>
      <c r="T5742" s="2">
        <v>42255</v>
      </c>
      <c r="U5742" s="2">
        <v>42315</v>
      </c>
      <c r="V5742" t="s">
        <v>71</v>
      </c>
      <c r="W5742" t="str">
        <f>"               14165"</f>
        <v xml:space="preserve">               14165</v>
      </c>
      <c r="X5742">
        <v>783.97</v>
      </c>
      <c r="Y5742">
        <v>0</v>
      </c>
      <c r="Z5742"/>
      <c r="AB5742"/>
      <c r="AC5742">
        <v>642.6</v>
      </c>
      <c r="AD5742">
        <v>264</v>
      </c>
      <c r="AE5742" s="1">
        <v>169646.4</v>
      </c>
      <c r="AF5742">
        <v>0</v>
      </c>
      <c r="AJ5742">
        <v>0</v>
      </c>
      <c r="AK5742">
        <v>0</v>
      </c>
      <c r="AL5742">
        <v>0</v>
      </c>
      <c r="AM5742">
        <v>0</v>
      </c>
      <c r="AN5742">
        <v>0</v>
      </c>
      <c r="AO5742">
        <v>0</v>
      </c>
      <c r="AP5742" s="2">
        <v>42746</v>
      </c>
      <c r="AQ5742" t="s">
        <v>72</v>
      </c>
      <c r="AR5742" t="s">
        <v>72</v>
      </c>
      <c r="AS5742">
        <v>2017</v>
      </c>
      <c r="AT5742" s="4">
        <v>42579</v>
      </c>
      <c r="AU5742" t="s">
        <v>73</v>
      </c>
      <c r="AV5742">
        <v>2017</v>
      </c>
      <c r="AW5742" s="4">
        <v>42579</v>
      </c>
      <c r="BD5742">
        <v>0</v>
      </c>
      <c r="BN5742" t="s">
        <v>74</v>
      </c>
    </row>
    <row r="5743" spans="1:66" hidden="1">
      <c r="A5743">
        <v>103852</v>
      </c>
      <c r="B5743" s="3" t="s">
        <v>587</v>
      </c>
      <c r="C5743" s="1">
        <v>43300101</v>
      </c>
      <c r="D5743" t="s">
        <v>67</v>
      </c>
      <c r="H5743" t="str">
        <f t="shared" si="605"/>
        <v>02790240101</v>
      </c>
      <c r="I5743" t="str">
        <f t="shared" si="605"/>
        <v>02790240101</v>
      </c>
      <c r="K5743" t="str">
        <f>""</f>
        <v/>
      </c>
      <c r="M5743" t="s">
        <v>68</v>
      </c>
      <c r="N5743" t="str">
        <f t="shared" si="602"/>
        <v>FOR</v>
      </c>
      <c r="O5743" t="s">
        <v>69</v>
      </c>
      <c r="P5743" s="3" t="s">
        <v>75</v>
      </c>
      <c r="Q5743">
        <v>2015</v>
      </c>
      <c r="R5743" s="2">
        <v>42247</v>
      </c>
      <c r="S5743" s="2">
        <v>42262</v>
      </c>
      <c r="T5743" s="2">
        <v>42255</v>
      </c>
      <c r="U5743" s="2">
        <v>42315</v>
      </c>
      <c r="V5743" t="s">
        <v>71</v>
      </c>
      <c r="W5743" t="str">
        <f>"               14166"</f>
        <v xml:space="preserve">               14166</v>
      </c>
      <c r="X5743">
        <v>223.99</v>
      </c>
      <c r="Y5743">
        <v>0</v>
      </c>
      <c r="Z5743"/>
      <c r="AB5743"/>
      <c r="AC5743">
        <v>183.6</v>
      </c>
      <c r="AD5743">
        <v>264</v>
      </c>
      <c r="AE5743" s="1">
        <v>48470.400000000001</v>
      </c>
      <c r="AF5743">
        <v>0</v>
      </c>
      <c r="AJ5743">
        <v>0</v>
      </c>
      <c r="AK5743">
        <v>0</v>
      </c>
      <c r="AL5743">
        <v>0</v>
      </c>
      <c r="AM5743">
        <v>0</v>
      </c>
      <c r="AN5743">
        <v>0</v>
      </c>
      <c r="AO5743">
        <v>0</v>
      </c>
      <c r="AP5743" s="2">
        <v>42746</v>
      </c>
      <c r="AQ5743" t="s">
        <v>72</v>
      </c>
      <c r="AR5743" t="s">
        <v>72</v>
      </c>
      <c r="AS5743">
        <v>2017</v>
      </c>
      <c r="AT5743" s="4">
        <v>42579</v>
      </c>
      <c r="AU5743" t="s">
        <v>73</v>
      </c>
      <c r="AV5743">
        <v>2017</v>
      </c>
      <c r="AW5743" s="4">
        <v>42579</v>
      </c>
      <c r="BD5743">
        <v>0</v>
      </c>
      <c r="BN5743" t="s">
        <v>74</v>
      </c>
    </row>
    <row r="5744" spans="1:66" hidden="1">
      <c r="A5744">
        <v>103852</v>
      </c>
      <c r="B5744" s="3" t="s">
        <v>587</v>
      </c>
      <c r="C5744" s="1">
        <v>43300101</v>
      </c>
      <c r="D5744" t="s">
        <v>67</v>
      </c>
      <c r="H5744" t="str">
        <f t="shared" si="605"/>
        <v>02790240101</v>
      </c>
      <c r="I5744" t="str">
        <f t="shared" si="605"/>
        <v>02790240101</v>
      </c>
      <c r="K5744" t="str">
        <f>""</f>
        <v/>
      </c>
      <c r="M5744" t="s">
        <v>68</v>
      </c>
      <c r="N5744" t="str">
        <f t="shared" si="602"/>
        <v>FOR</v>
      </c>
      <c r="O5744" t="s">
        <v>69</v>
      </c>
      <c r="P5744" s="3" t="s">
        <v>75</v>
      </c>
      <c r="Q5744">
        <v>2015</v>
      </c>
      <c r="R5744" s="2">
        <v>42247</v>
      </c>
      <c r="S5744" s="2">
        <v>42258</v>
      </c>
      <c r="T5744" s="2">
        <v>42257</v>
      </c>
      <c r="U5744" s="2">
        <v>42317</v>
      </c>
      <c r="V5744" t="s">
        <v>71</v>
      </c>
      <c r="W5744" t="str">
        <f>"               14167"</f>
        <v xml:space="preserve">               14167</v>
      </c>
      <c r="X5744">
        <v>90.28</v>
      </c>
      <c r="Y5744">
        <v>0</v>
      </c>
      <c r="Z5744"/>
      <c r="AB5744"/>
      <c r="AC5744">
        <v>74</v>
      </c>
      <c r="AD5744">
        <v>262</v>
      </c>
      <c r="AE5744" s="1">
        <v>19388</v>
      </c>
      <c r="AF5744">
        <v>0</v>
      </c>
      <c r="AJ5744">
        <v>0</v>
      </c>
      <c r="AK5744">
        <v>0</v>
      </c>
      <c r="AL5744">
        <v>0</v>
      </c>
      <c r="AM5744">
        <v>0</v>
      </c>
      <c r="AN5744">
        <v>0</v>
      </c>
      <c r="AO5744">
        <v>0</v>
      </c>
      <c r="AP5744" s="2">
        <v>42746</v>
      </c>
      <c r="AQ5744" t="s">
        <v>72</v>
      </c>
      <c r="AR5744" t="s">
        <v>72</v>
      </c>
      <c r="AS5744">
        <v>2017</v>
      </c>
      <c r="AT5744" s="4">
        <v>42579</v>
      </c>
      <c r="AU5744" t="s">
        <v>73</v>
      </c>
      <c r="AV5744">
        <v>2017</v>
      </c>
      <c r="AW5744" s="4">
        <v>42579</v>
      </c>
      <c r="BD5744">
        <v>0</v>
      </c>
      <c r="BN5744" t="s">
        <v>74</v>
      </c>
    </row>
    <row r="5745" spans="1:66" hidden="1">
      <c r="A5745">
        <v>103852</v>
      </c>
      <c r="B5745" s="3" t="s">
        <v>587</v>
      </c>
      <c r="C5745" s="1">
        <v>43300101</v>
      </c>
      <c r="D5745" t="s">
        <v>67</v>
      </c>
      <c r="H5745" t="str">
        <f t="shared" si="605"/>
        <v>02790240101</v>
      </c>
      <c r="I5745" t="str">
        <f t="shared" si="605"/>
        <v>02790240101</v>
      </c>
      <c r="K5745" t="str">
        <f>""</f>
        <v/>
      </c>
      <c r="M5745" t="s">
        <v>68</v>
      </c>
      <c r="N5745" t="str">
        <f t="shared" si="602"/>
        <v>FOR</v>
      </c>
      <c r="O5745" t="s">
        <v>69</v>
      </c>
      <c r="P5745" s="3" t="s">
        <v>75</v>
      </c>
      <c r="Q5745">
        <v>2015</v>
      </c>
      <c r="R5745" s="2">
        <v>42247</v>
      </c>
      <c r="S5745" s="2">
        <v>42258</v>
      </c>
      <c r="T5745" s="2">
        <v>42255</v>
      </c>
      <c r="U5745" s="2">
        <v>42315</v>
      </c>
      <c r="V5745" t="s">
        <v>71</v>
      </c>
      <c r="W5745" t="str">
        <f>"               14168"</f>
        <v xml:space="preserve">               14168</v>
      </c>
      <c r="X5745">
        <v>96.04</v>
      </c>
      <c r="Y5745">
        <v>0</v>
      </c>
      <c r="Z5745"/>
      <c r="AB5745"/>
      <c r="AC5745">
        <v>78.72</v>
      </c>
      <c r="AD5745">
        <v>264</v>
      </c>
      <c r="AE5745" s="1">
        <v>20782.080000000002</v>
      </c>
      <c r="AF5745">
        <v>0</v>
      </c>
      <c r="AJ5745">
        <v>0</v>
      </c>
      <c r="AK5745">
        <v>0</v>
      </c>
      <c r="AL5745">
        <v>0</v>
      </c>
      <c r="AM5745">
        <v>0</v>
      </c>
      <c r="AN5745">
        <v>0</v>
      </c>
      <c r="AO5745">
        <v>0</v>
      </c>
      <c r="AP5745" s="2">
        <v>42746</v>
      </c>
      <c r="AQ5745" t="s">
        <v>72</v>
      </c>
      <c r="AR5745" t="s">
        <v>72</v>
      </c>
      <c r="AS5745">
        <v>2017</v>
      </c>
      <c r="AT5745" s="4">
        <v>42579</v>
      </c>
      <c r="AU5745" t="s">
        <v>73</v>
      </c>
      <c r="AV5745">
        <v>2017</v>
      </c>
      <c r="AW5745" s="4">
        <v>42579</v>
      </c>
      <c r="BD5745">
        <v>0</v>
      </c>
      <c r="BN5745" t="s">
        <v>74</v>
      </c>
    </row>
    <row r="5746" spans="1:66" hidden="1">
      <c r="A5746">
        <v>103852</v>
      </c>
      <c r="B5746" s="3" t="s">
        <v>587</v>
      </c>
      <c r="C5746" s="1">
        <v>43300101</v>
      </c>
      <c r="D5746" t="s">
        <v>67</v>
      </c>
      <c r="H5746" t="str">
        <f t="shared" si="605"/>
        <v>02790240101</v>
      </c>
      <c r="I5746" t="str">
        <f t="shared" si="605"/>
        <v>02790240101</v>
      </c>
      <c r="K5746" t="str">
        <f>""</f>
        <v/>
      </c>
      <c r="M5746" t="s">
        <v>68</v>
      </c>
      <c r="N5746" t="str">
        <f t="shared" si="602"/>
        <v>FOR</v>
      </c>
      <c r="O5746" t="s">
        <v>69</v>
      </c>
      <c r="P5746" s="3" t="s">
        <v>75</v>
      </c>
      <c r="Q5746">
        <v>2015</v>
      </c>
      <c r="R5746" s="2">
        <v>42247</v>
      </c>
      <c r="S5746" s="2">
        <v>42262</v>
      </c>
      <c r="T5746" s="2">
        <v>42255</v>
      </c>
      <c r="U5746" s="2">
        <v>42315</v>
      </c>
      <c r="V5746" t="s">
        <v>71</v>
      </c>
      <c r="W5746" t="str">
        <f>"               14169"</f>
        <v xml:space="preserve">               14169</v>
      </c>
      <c r="X5746" s="1">
        <v>1012.6</v>
      </c>
      <c r="Y5746">
        <v>0</v>
      </c>
      <c r="Z5746"/>
      <c r="AB5746"/>
      <c r="AC5746">
        <v>830</v>
      </c>
      <c r="AD5746">
        <v>264</v>
      </c>
      <c r="AE5746" s="1">
        <v>219120</v>
      </c>
      <c r="AF5746">
        <v>0</v>
      </c>
      <c r="AJ5746">
        <v>0</v>
      </c>
      <c r="AK5746">
        <v>0</v>
      </c>
      <c r="AL5746">
        <v>0</v>
      </c>
      <c r="AM5746">
        <v>0</v>
      </c>
      <c r="AN5746">
        <v>0</v>
      </c>
      <c r="AO5746">
        <v>0</v>
      </c>
      <c r="AP5746" s="2">
        <v>42746</v>
      </c>
      <c r="AQ5746" t="s">
        <v>72</v>
      </c>
      <c r="AR5746" t="s">
        <v>72</v>
      </c>
      <c r="AS5746">
        <v>2017</v>
      </c>
      <c r="AT5746" s="4">
        <v>42579</v>
      </c>
      <c r="AU5746" t="s">
        <v>73</v>
      </c>
      <c r="AV5746">
        <v>2017</v>
      </c>
      <c r="AW5746" s="4">
        <v>42579</v>
      </c>
      <c r="BD5746">
        <v>0</v>
      </c>
      <c r="BN5746" t="s">
        <v>74</v>
      </c>
    </row>
    <row r="5747" spans="1:66" hidden="1">
      <c r="A5747">
        <v>103852</v>
      </c>
      <c r="B5747" s="3" t="s">
        <v>587</v>
      </c>
      <c r="C5747" s="1">
        <v>43300101</v>
      </c>
      <c r="D5747" t="s">
        <v>67</v>
      </c>
      <c r="H5747" t="str">
        <f t="shared" si="605"/>
        <v>02790240101</v>
      </c>
      <c r="I5747" t="str">
        <f t="shared" si="605"/>
        <v>02790240101</v>
      </c>
      <c r="K5747" t="str">
        <f>""</f>
        <v/>
      </c>
      <c r="M5747" t="s">
        <v>68</v>
      </c>
      <c r="N5747" t="str">
        <f t="shared" si="602"/>
        <v>FOR</v>
      </c>
      <c r="O5747" t="s">
        <v>69</v>
      </c>
      <c r="P5747" s="3" t="s">
        <v>75</v>
      </c>
      <c r="Q5747">
        <v>2015</v>
      </c>
      <c r="R5747" s="2">
        <v>42247</v>
      </c>
      <c r="S5747" s="2">
        <v>42262</v>
      </c>
      <c r="T5747" s="2">
        <v>42255</v>
      </c>
      <c r="U5747" s="2">
        <v>42315</v>
      </c>
      <c r="V5747" t="s">
        <v>71</v>
      </c>
      <c r="W5747" t="str">
        <f>"               14170"</f>
        <v xml:space="preserve">               14170</v>
      </c>
      <c r="X5747">
        <v>81.98</v>
      </c>
      <c r="Y5747">
        <v>0</v>
      </c>
      <c r="Z5747"/>
      <c r="AB5747"/>
      <c r="AC5747">
        <v>67.2</v>
      </c>
      <c r="AD5747">
        <v>264</v>
      </c>
      <c r="AE5747" s="1">
        <v>17740.8</v>
      </c>
      <c r="AF5747">
        <v>0</v>
      </c>
      <c r="AJ5747">
        <v>0</v>
      </c>
      <c r="AK5747">
        <v>0</v>
      </c>
      <c r="AL5747">
        <v>0</v>
      </c>
      <c r="AM5747">
        <v>0</v>
      </c>
      <c r="AN5747">
        <v>0</v>
      </c>
      <c r="AO5747">
        <v>0</v>
      </c>
      <c r="AP5747" s="2">
        <v>42746</v>
      </c>
      <c r="AQ5747" t="s">
        <v>72</v>
      </c>
      <c r="AR5747" t="s">
        <v>72</v>
      </c>
      <c r="AS5747">
        <v>2017</v>
      </c>
      <c r="AT5747" s="4">
        <v>42579</v>
      </c>
      <c r="AU5747" t="s">
        <v>73</v>
      </c>
      <c r="AV5747">
        <v>2017</v>
      </c>
      <c r="AW5747" s="4">
        <v>42579</v>
      </c>
      <c r="BD5747">
        <v>0</v>
      </c>
      <c r="BN5747" t="s">
        <v>74</v>
      </c>
    </row>
    <row r="5748" spans="1:66" hidden="1">
      <c r="A5748">
        <v>103852</v>
      </c>
      <c r="B5748" s="3" t="s">
        <v>587</v>
      </c>
      <c r="C5748" s="1">
        <v>43300101</v>
      </c>
      <c r="D5748" t="s">
        <v>67</v>
      </c>
      <c r="H5748" t="str">
        <f t="shared" si="605"/>
        <v>02790240101</v>
      </c>
      <c r="I5748" t="str">
        <f t="shared" si="605"/>
        <v>02790240101</v>
      </c>
      <c r="K5748" t="str">
        <f>""</f>
        <v/>
      </c>
      <c r="M5748" t="s">
        <v>68</v>
      </c>
      <c r="N5748" t="str">
        <f t="shared" si="602"/>
        <v>FOR</v>
      </c>
      <c r="O5748" t="s">
        <v>69</v>
      </c>
      <c r="P5748" s="3" t="s">
        <v>75</v>
      </c>
      <c r="Q5748">
        <v>2015</v>
      </c>
      <c r="R5748" s="2">
        <v>42262</v>
      </c>
      <c r="S5748" s="2">
        <v>42270</v>
      </c>
      <c r="T5748" s="2">
        <v>42269</v>
      </c>
      <c r="U5748" s="2">
        <v>42329</v>
      </c>
      <c r="V5748" t="s">
        <v>71</v>
      </c>
      <c r="W5748" t="str">
        <f>"               15167"</f>
        <v xml:space="preserve">               15167</v>
      </c>
      <c r="X5748">
        <v>117.78</v>
      </c>
      <c r="Y5748">
        <v>0</v>
      </c>
      <c r="Z5748"/>
      <c r="AB5748"/>
      <c r="AC5748">
        <v>96.54</v>
      </c>
      <c r="AD5748">
        <v>292</v>
      </c>
      <c r="AE5748" s="1">
        <v>28189.68</v>
      </c>
      <c r="AF5748">
        <v>0</v>
      </c>
      <c r="AJ5748">
        <v>0</v>
      </c>
      <c r="AK5748">
        <v>0</v>
      </c>
      <c r="AL5748">
        <v>0</v>
      </c>
      <c r="AM5748">
        <v>0</v>
      </c>
      <c r="AN5748">
        <v>0</v>
      </c>
      <c r="AO5748">
        <v>0</v>
      </c>
      <c r="AP5748" s="2">
        <v>42746</v>
      </c>
      <c r="AQ5748" t="s">
        <v>72</v>
      </c>
      <c r="AR5748" t="s">
        <v>72</v>
      </c>
      <c r="AS5748">
        <v>2379</v>
      </c>
      <c r="AT5748" s="4">
        <v>42621</v>
      </c>
      <c r="AU5748" t="s">
        <v>73</v>
      </c>
      <c r="AV5748">
        <v>2379</v>
      </c>
      <c r="AW5748" s="4">
        <v>42621</v>
      </c>
      <c r="BD5748">
        <v>0</v>
      </c>
      <c r="BN5748" t="s">
        <v>74</v>
      </c>
    </row>
    <row r="5749" spans="1:66" hidden="1">
      <c r="A5749">
        <v>103852</v>
      </c>
      <c r="B5749" s="3" t="s">
        <v>587</v>
      </c>
      <c r="C5749" s="1">
        <v>43300101</v>
      </c>
      <c r="D5749" t="s">
        <v>67</v>
      </c>
      <c r="H5749" t="str">
        <f t="shared" si="605"/>
        <v>02790240101</v>
      </c>
      <c r="I5749" t="str">
        <f t="shared" si="605"/>
        <v>02790240101</v>
      </c>
      <c r="K5749" t="str">
        <f>""</f>
        <v/>
      </c>
      <c r="M5749" t="s">
        <v>68</v>
      </c>
      <c r="N5749" t="str">
        <f t="shared" si="602"/>
        <v>FOR</v>
      </c>
      <c r="O5749" t="s">
        <v>69</v>
      </c>
      <c r="P5749" s="3" t="s">
        <v>75</v>
      </c>
      <c r="Q5749">
        <v>2015</v>
      </c>
      <c r="R5749" s="2">
        <v>42262</v>
      </c>
      <c r="S5749" s="2">
        <v>42270</v>
      </c>
      <c r="T5749" s="2">
        <v>42269</v>
      </c>
      <c r="U5749" s="2">
        <v>42329</v>
      </c>
      <c r="V5749" t="s">
        <v>71</v>
      </c>
      <c r="W5749" t="str">
        <f>"               15168"</f>
        <v xml:space="preserve">               15168</v>
      </c>
      <c r="X5749" s="1">
        <v>1119.96</v>
      </c>
      <c r="Y5749">
        <v>0</v>
      </c>
      <c r="Z5749"/>
      <c r="AB5749"/>
      <c r="AC5749">
        <v>918</v>
      </c>
      <c r="AD5749">
        <v>292</v>
      </c>
      <c r="AE5749" s="1">
        <v>268056</v>
      </c>
      <c r="AF5749">
        <v>0</v>
      </c>
      <c r="AJ5749">
        <v>0</v>
      </c>
      <c r="AK5749">
        <v>0</v>
      </c>
      <c r="AL5749">
        <v>0</v>
      </c>
      <c r="AM5749">
        <v>0</v>
      </c>
      <c r="AN5749">
        <v>0</v>
      </c>
      <c r="AO5749">
        <v>0</v>
      </c>
      <c r="AP5749" s="2">
        <v>42746</v>
      </c>
      <c r="AQ5749" t="s">
        <v>72</v>
      </c>
      <c r="AR5749" t="s">
        <v>72</v>
      </c>
      <c r="AS5749">
        <v>2379</v>
      </c>
      <c r="AT5749" s="4">
        <v>42621</v>
      </c>
      <c r="AU5749" t="s">
        <v>73</v>
      </c>
      <c r="AV5749">
        <v>2379</v>
      </c>
      <c r="AW5749" s="4">
        <v>42621</v>
      </c>
      <c r="BD5749">
        <v>0</v>
      </c>
      <c r="BN5749" t="s">
        <v>74</v>
      </c>
    </row>
    <row r="5750" spans="1:66" hidden="1">
      <c r="A5750">
        <v>103852</v>
      </c>
      <c r="B5750" s="3" t="s">
        <v>587</v>
      </c>
      <c r="C5750" s="1">
        <v>43300101</v>
      </c>
      <c r="D5750" t="s">
        <v>67</v>
      </c>
      <c r="H5750" t="str">
        <f t="shared" si="605"/>
        <v>02790240101</v>
      </c>
      <c r="I5750" t="str">
        <f t="shared" si="605"/>
        <v>02790240101</v>
      </c>
      <c r="K5750" t="str">
        <f>""</f>
        <v/>
      </c>
      <c r="M5750" t="s">
        <v>68</v>
      </c>
      <c r="N5750" t="str">
        <f t="shared" si="602"/>
        <v>FOR</v>
      </c>
      <c r="O5750" t="s">
        <v>69</v>
      </c>
      <c r="P5750" s="3" t="s">
        <v>75</v>
      </c>
      <c r="Q5750">
        <v>2015</v>
      </c>
      <c r="R5750" s="2">
        <v>42262</v>
      </c>
      <c r="S5750" s="2">
        <v>42270</v>
      </c>
      <c r="T5750" s="2">
        <v>42269</v>
      </c>
      <c r="U5750" s="2">
        <v>42329</v>
      </c>
      <c r="V5750" t="s">
        <v>71</v>
      </c>
      <c r="W5750" t="str">
        <f>"               15169"</f>
        <v xml:space="preserve">               15169</v>
      </c>
      <c r="X5750">
        <v>559.98</v>
      </c>
      <c r="Y5750">
        <v>0</v>
      </c>
      <c r="Z5750"/>
      <c r="AB5750"/>
      <c r="AC5750">
        <v>459</v>
      </c>
      <c r="AD5750">
        <v>292</v>
      </c>
      <c r="AE5750" s="1">
        <v>134028</v>
      </c>
      <c r="AF5750">
        <v>0</v>
      </c>
      <c r="AJ5750">
        <v>0</v>
      </c>
      <c r="AK5750">
        <v>0</v>
      </c>
      <c r="AL5750">
        <v>0</v>
      </c>
      <c r="AM5750">
        <v>0</v>
      </c>
      <c r="AN5750">
        <v>0</v>
      </c>
      <c r="AO5750">
        <v>0</v>
      </c>
      <c r="AP5750" s="2">
        <v>42746</v>
      </c>
      <c r="AQ5750" t="s">
        <v>72</v>
      </c>
      <c r="AR5750" t="s">
        <v>72</v>
      </c>
      <c r="AS5750">
        <v>2379</v>
      </c>
      <c r="AT5750" s="4">
        <v>42621</v>
      </c>
      <c r="AU5750" t="s">
        <v>73</v>
      </c>
      <c r="AV5750">
        <v>2379</v>
      </c>
      <c r="AW5750" s="4">
        <v>42621</v>
      </c>
      <c r="BD5750">
        <v>0</v>
      </c>
      <c r="BN5750" t="s">
        <v>74</v>
      </c>
    </row>
    <row r="5751" spans="1:66" hidden="1">
      <c r="A5751">
        <v>103852</v>
      </c>
      <c r="B5751" s="3" t="s">
        <v>587</v>
      </c>
      <c r="C5751" s="1">
        <v>43300101</v>
      </c>
      <c r="D5751" t="s">
        <v>67</v>
      </c>
      <c r="H5751" t="str">
        <f t="shared" ref="H5751:I5770" si="606">"02790240101"</f>
        <v>02790240101</v>
      </c>
      <c r="I5751" t="str">
        <f t="shared" si="606"/>
        <v>02790240101</v>
      </c>
      <c r="K5751" t="str">
        <f>""</f>
        <v/>
      </c>
      <c r="M5751" t="s">
        <v>68</v>
      </c>
      <c r="N5751" t="str">
        <f t="shared" si="602"/>
        <v>FOR</v>
      </c>
      <c r="O5751" t="s">
        <v>69</v>
      </c>
      <c r="P5751" s="3" t="s">
        <v>75</v>
      </c>
      <c r="Q5751">
        <v>2015</v>
      </c>
      <c r="R5751" s="2">
        <v>42262</v>
      </c>
      <c r="S5751" s="2">
        <v>42270</v>
      </c>
      <c r="T5751" s="2">
        <v>42269</v>
      </c>
      <c r="U5751" s="2">
        <v>42329</v>
      </c>
      <c r="V5751" t="s">
        <v>71</v>
      </c>
      <c r="W5751" t="str">
        <f>"               15170"</f>
        <v xml:space="preserve">               15170</v>
      </c>
      <c r="X5751" s="1">
        <v>1119.96</v>
      </c>
      <c r="Y5751">
        <v>0</v>
      </c>
      <c r="Z5751"/>
      <c r="AB5751"/>
      <c r="AC5751">
        <v>918</v>
      </c>
      <c r="AD5751">
        <v>292</v>
      </c>
      <c r="AE5751" s="1">
        <v>268056</v>
      </c>
      <c r="AF5751">
        <v>0</v>
      </c>
      <c r="AJ5751">
        <v>0</v>
      </c>
      <c r="AK5751">
        <v>0</v>
      </c>
      <c r="AL5751">
        <v>0</v>
      </c>
      <c r="AM5751">
        <v>0</v>
      </c>
      <c r="AN5751">
        <v>0</v>
      </c>
      <c r="AO5751">
        <v>0</v>
      </c>
      <c r="AP5751" s="2">
        <v>42746</v>
      </c>
      <c r="AQ5751" t="s">
        <v>72</v>
      </c>
      <c r="AR5751" t="s">
        <v>72</v>
      </c>
      <c r="AS5751">
        <v>2379</v>
      </c>
      <c r="AT5751" s="4">
        <v>42621</v>
      </c>
      <c r="AU5751" t="s">
        <v>73</v>
      </c>
      <c r="AV5751">
        <v>2379</v>
      </c>
      <c r="AW5751" s="4">
        <v>42621</v>
      </c>
      <c r="BD5751">
        <v>0</v>
      </c>
      <c r="BN5751" t="s">
        <v>74</v>
      </c>
    </row>
    <row r="5752" spans="1:66" hidden="1">
      <c r="A5752">
        <v>103852</v>
      </c>
      <c r="B5752" s="3" t="s">
        <v>587</v>
      </c>
      <c r="C5752" s="1">
        <v>43300101</v>
      </c>
      <c r="D5752" t="s">
        <v>67</v>
      </c>
      <c r="H5752" t="str">
        <f t="shared" si="606"/>
        <v>02790240101</v>
      </c>
      <c r="I5752" t="str">
        <f t="shared" si="606"/>
        <v>02790240101</v>
      </c>
      <c r="K5752" t="str">
        <f>""</f>
        <v/>
      </c>
      <c r="M5752" t="s">
        <v>68</v>
      </c>
      <c r="N5752" t="str">
        <f t="shared" si="602"/>
        <v>FOR</v>
      </c>
      <c r="O5752" t="s">
        <v>69</v>
      </c>
      <c r="P5752" s="3" t="s">
        <v>75</v>
      </c>
      <c r="Q5752">
        <v>2015</v>
      </c>
      <c r="R5752" s="2">
        <v>42262</v>
      </c>
      <c r="S5752" s="2">
        <v>42270</v>
      </c>
      <c r="T5752" s="2">
        <v>42269</v>
      </c>
      <c r="U5752" s="2">
        <v>42329</v>
      </c>
      <c r="V5752" t="s">
        <v>71</v>
      </c>
      <c r="W5752" t="str">
        <f>"               15171"</f>
        <v xml:space="preserve">               15171</v>
      </c>
      <c r="X5752">
        <v>268.39999999999998</v>
      </c>
      <c r="Y5752">
        <v>0</v>
      </c>
      <c r="Z5752"/>
      <c r="AB5752"/>
      <c r="AC5752">
        <v>220</v>
      </c>
      <c r="AD5752">
        <v>292</v>
      </c>
      <c r="AE5752" s="1">
        <v>64240</v>
      </c>
      <c r="AF5752">
        <v>0</v>
      </c>
      <c r="AJ5752">
        <v>0</v>
      </c>
      <c r="AK5752">
        <v>0</v>
      </c>
      <c r="AL5752">
        <v>0</v>
      </c>
      <c r="AM5752">
        <v>0</v>
      </c>
      <c r="AN5752">
        <v>0</v>
      </c>
      <c r="AO5752">
        <v>0</v>
      </c>
      <c r="AP5752" s="2">
        <v>42746</v>
      </c>
      <c r="AQ5752" t="s">
        <v>72</v>
      </c>
      <c r="AR5752" t="s">
        <v>72</v>
      </c>
      <c r="AS5752">
        <v>2379</v>
      </c>
      <c r="AT5752" s="4">
        <v>42621</v>
      </c>
      <c r="AU5752" t="s">
        <v>73</v>
      </c>
      <c r="AV5752">
        <v>2379</v>
      </c>
      <c r="AW5752" s="4">
        <v>42621</v>
      </c>
      <c r="BD5752">
        <v>0</v>
      </c>
      <c r="BN5752" t="s">
        <v>74</v>
      </c>
    </row>
    <row r="5753" spans="1:66" hidden="1">
      <c r="A5753">
        <v>103852</v>
      </c>
      <c r="B5753" s="3" t="s">
        <v>587</v>
      </c>
      <c r="C5753" s="1">
        <v>43300101</v>
      </c>
      <c r="D5753" t="s">
        <v>67</v>
      </c>
      <c r="H5753" t="str">
        <f t="shared" si="606"/>
        <v>02790240101</v>
      </c>
      <c r="I5753" t="str">
        <f t="shared" si="606"/>
        <v>02790240101</v>
      </c>
      <c r="K5753" t="str">
        <f>""</f>
        <v/>
      </c>
      <c r="M5753" t="s">
        <v>68</v>
      </c>
      <c r="N5753" t="str">
        <f t="shared" si="602"/>
        <v>FOR</v>
      </c>
      <c r="O5753" t="s">
        <v>69</v>
      </c>
      <c r="P5753" s="3" t="s">
        <v>75</v>
      </c>
      <c r="Q5753">
        <v>2015</v>
      </c>
      <c r="R5753" s="2">
        <v>42277</v>
      </c>
      <c r="S5753" s="2">
        <v>42283</v>
      </c>
      <c r="T5753" s="2">
        <v>42282</v>
      </c>
      <c r="U5753" s="2">
        <v>42342</v>
      </c>
      <c r="V5753" t="s">
        <v>71</v>
      </c>
      <c r="W5753" t="str">
        <f>"               16122"</f>
        <v xml:space="preserve">               16122</v>
      </c>
      <c r="X5753" s="1">
        <v>3816.65</v>
      </c>
      <c r="Y5753">
        <v>0</v>
      </c>
      <c r="Z5753"/>
      <c r="AB5753"/>
      <c r="AC5753" s="1">
        <v>3128.4</v>
      </c>
      <c r="AD5753">
        <v>279</v>
      </c>
      <c r="AE5753" s="1">
        <v>872823.6</v>
      </c>
      <c r="AF5753">
        <v>0</v>
      </c>
      <c r="AJ5753">
        <v>0</v>
      </c>
      <c r="AK5753">
        <v>0</v>
      </c>
      <c r="AL5753">
        <v>0</v>
      </c>
      <c r="AM5753">
        <v>0</v>
      </c>
      <c r="AN5753">
        <v>0</v>
      </c>
      <c r="AO5753">
        <v>0</v>
      </c>
      <c r="AP5753" s="2">
        <v>42746</v>
      </c>
      <c r="AQ5753" t="s">
        <v>72</v>
      </c>
      <c r="AR5753" t="s">
        <v>72</v>
      </c>
      <c r="AS5753">
        <v>2379</v>
      </c>
      <c r="AT5753" s="4">
        <v>42621</v>
      </c>
      <c r="AU5753" t="s">
        <v>73</v>
      </c>
      <c r="AV5753">
        <v>2379</v>
      </c>
      <c r="AW5753" s="4">
        <v>42621</v>
      </c>
      <c r="BD5753">
        <v>0</v>
      </c>
      <c r="BN5753" t="s">
        <v>74</v>
      </c>
    </row>
    <row r="5754" spans="1:66" hidden="1">
      <c r="A5754">
        <v>103852</v>
      </c>
      <c r="B5754" s="3" t="s">
        <v>587</v>
      </c>
      <c r="C5754" s="1">
        <v>43300101</v>
      </c>
      <c r="D5754" t="s">
        <v>67</v>
      </c>
      <c r="H5754" t="str">
        <f t="shared" si="606"/>
        <v>02790240101</v>
      </c>
      <c r="I5754" t="str">
        <f t="shared" si="606"/>
        <v>02790240101</v>
      </c>
      <c r="K5754" t="str">
        <f>""</f>
        <v/>
      </c>
      <c r="M5754" t="s">
        <v>68</v>
      </c>
      <c r="N5754" t="str">
        <f t="shared" ref="N5754:N5817" si="607">"FOR"</f>
        <v>FOR</v>
      </c>
      <c r="O5754" t="s">
        <v>69</v>
      </c>
      <c r="P5754" s="3" t="s">
        <v>75</v>
      </c>
      <c r="Q5754">
        <v>2015</v>
      </c>
      <c r="R5754" s="2">
        <v>42277</v>
      </c>
      <c r="S5754" s="2">
        <v>42283</v>
      </c>
      <c r="T5754" s="2">
        <v>42282</v>
      </c>
      <c r="U5754" s="2">
        <v>42342</v>
      </c>
      <c r="V5754" t="s">
        <v>71</v>
      </c>
      <c r="W5754" t="str">
        <f>"               16123"</f>
        <v xml:space="preserve">               16123</v>
      </c>
      <c r="X5754">
        <v>502.03</v>
      </c>
      <c r="Y5754">
        <v>0</v>
      </c>
      <c r="Z5754"/>
      <c r="AB5754"/>
      <c r="AC5754">
        <v>411.5</v>
      </c>
      <c r="AD5754">
        <v>279</v>
      </c>
      <c r="AE5754" s="1">
        <v>114808.5</v>
      </c>
      <c r="AF5754">
        <v>0</v>
      </c>
      <c r="AJ5754">
        <v>0</v>
      </c>
      <c r="AK5754">
        <v>0</v>
      </c>
      <c r="AL5754">
        <v>0</v>
      </c>
      <c r="AM5754">
        <v>0</v>
      </c>
      <c r="AN5754">
        <v>0</v>
      </c>
      <c r="AO5754">
        <v>0</v>
      </c>
      <c r="AP5754" s="2">
        <v>42746</v>
      </c>
      <c r="AQ5754" t="s">
        <v>72</v>
      </c>
      <c r="AR5754" t="s">
        <v>72</v>
      </c>
      <c r="AS5754">
        <v>2379</v>
      </c>
      <c r="AT5754" s="4">
        <v>42621</v>
      </c>
      <c r="AU5754" t="s">
        <v>73</v>
      </c>
      <c r="AV5754">
        <v>2379</v>
      </c>
      <c r="AW5754" s="4">
        <v>42621</v>
      </c>
      <c r="BD5754">
        <v>0</v>
      </c>
      <c r="BN5754" t="s">
        <v>74</v>
      </c>
    </row>
    <row r="5755" spans="1:66" hidden="1">
      <c r="A5755">
        <v>103852</v>
      </c>
      <c r="B5755" s="3" t="s">
        <v>587</v>
      </c>
      <c r="C5755" s="1">
        <v>43300101</v>
      </c>
      <c r="D5755" t="s">
        <v>67</v>
      </c>
      <c r="H5755" t="str">
        <f t="shared" si="606"/>
        <v>02790240101</v>
      </c>
      <c r="I5755" t="str">
        <f t="shared" si="606"/>
        <v>02790240101</v>
      </c>
      <c r="K5755" t="str">
        <f>""</f>
        <v/>
      </c>
      <c r="M5755" t="s">
        <v>68</v>
      </c>
      <c r="N5755" t="str">
        <f t="shared" si="607"/>
        <v>FOR</v>
      </c>
      <c r="O5755" t="s">
        <v>69</v>
      </c>
      <c r="P5755" s="3" t="s">
        <v>75</v>
      </c>
      <c r="Q5755">
        <v>2015</v>
      </c>
      <c r="R5755" s="2">
        <v>42277</v>
      </c>
      <c r="S5755" s="2">
        <v>42283</v>
      </c>
      <c r="T5755" s="2">
        <v>42282</v>
      </c>
      <c r="U5755" s="2">
        <v>42342</v>
      </c>
      <c r="V5755" t="s">
        <v>71</v>
      </c>
      <c r="W5755" t="str">
        <f>"               16124"</f>
        <v xml:space="preserve">               16124</v>
      </c>
      <c r="X5755">
        <v>614.88</v>
      </c>
      <c r="Y5755">
        <v>0</v>
      </c>
      <c r="Z5755"/>
      <c r="AB5755"/>
      <c r="AC5755">
        <v>504</v>
      </c>
      <c r="AD5755">
        <v>279</v>
      </c>
      <c r="AE5755" s="1">
        <v>140616</v>
      </c>
      <c r="AF5755">
        <v>0</v>
      </c>
      <c r="AJ5755">
        <v>0</v>
      </c>
      <c r="AK5755">
        <v>0</v>
      </c>
      <c r="AL5755">
        <v>0</v>
      </c>
      <c r="AM5755">
        <v>0</v>
      </c>
      <c r="AN5755">
        <v>0</v>
      </c>
      <c r="AO5755">
        <v>0</v>
      </c>
      <c r="AP5755" s="2">
        <v>42746</v>
      </c>
      <c r="AQ5755" t="s">
        <v>72</v>
      </c>
      <c r="AR5755" t="s">
        <v>72</v>
      </c>
      <c r="AS5755">
        <v>2379</v>
      </c>
      <c r="AT5755" s="4">
        <v>42621</v>
      </c>
      <c r="AU5755" t="s">
        <v>73</v>
      </c>
      <c r="AV5755">
        <v>2379</v>
      </c>
      <c r="AW5755" s="4">
        <v>42621</v>
      </c>
      <c r="BD5755">
        <v>0</v>
      </c>
      <c r="BN5755" t="s">
        <v>74</v>
      </c>
    </row>
    <row r="5756" spans="1:66" hidden="1">
      <c r="A5756">
        <v>103852</v>
      </c>
      <c r="B5756" s="3" t="s">
        <v>587</v>
      </c>
      <c r="C5756" s="1">
        <v>43300101</v>
      </c>
      <c r="D5756" t="s">
        <v>67</v>
      </c>
      <c r="H5756" t="str">
        <f t="shared" si="606"/>
        <v>02790240101</v>
      </c>
      <c r="I5756" t="str">
        <f t="shared" si="606"/>
        <v>02790240101</v>
      </c>
      <c r="K5756" t="str">
        <f>""</f>
        <v/>
      </c>
      <c r="M5756" t="s">
        <v>68</v>
      </c>
      <c r="N5756" t="str">
        <f t="shared" si="607"/>
        <v>FOR</v>
      </c>
      <c r="O5756" t="s">
        <v>69</v>
      </c>
      <c r="P5756" s="3" t="s">
        <v>75</v>
      </c>
      <c r="Q5756">
        <v>2015</v>
      </c>
      <c r="R5756" s="2">
        <v>42277</v>
      </c>
      <c r="S5756" s="2">
        <v>42283</v>
      </c>
      <c r="T5756" s="2">
        <v>42282</v>
      </c>
      <c r="U5756" s="2">
        <v>42342</v>
      </c>
      <c r="V5756" t="s">
        <v>71</v>
      </c>
      <c r="W5756" t="str">
        <f>"               16125"</f>
        <v xml:space="preserve">               16125</v>
      </c>
      <c r="X5756">
        <v>671</v>
      </c>
      <c r="Y5756">
        <v>0</v>
      </c>
      <c r="Z5756"/>
      <c r="AB5756"/>
      <c r="AC5756">
        <v>550</v>
      </c>
      <c r="AD5756">
        <v>279</v>
      </c>
      <c r="AE5756" s="1">
        <v>153450</v>
      </c>
      <c r="AF5756">
        <v>0</v>
      </c>
      <c r="AJ5756">
        <v>0</v>
      </c>
      <c r="AK5756">
        <v>0</v>
      </c>
      <c r="AL5756">
        <v>0</v>
      </c>
      <c r="AM5756">
        <v>0</v>
      </c>
      <c r="AN5756">
        <v>0</v>
      </c>
      <c r="AO5756">
        <v>0</v>
      </c>
      <c r="AP5756" s="2">
        <v>42746</v>
      </c>
      <c r="AQ5756" t="s">
        <v>72</v>
      </c>
      <c r="AR5756" t="s">
        <v>72</v>
      </c>
      <c r="AS5756">
        <v>2379</v>
      </c>
      <c r="AT5756" s="4">
        <v>42621</v>
      </c>
      <c r="AU5756" t="s">
        <v>73</v>
      </c>
      <c r="AV5756">
        <v>2379</v>
      </c>
      <c r="AW5756" s="4">
        <v>42621</v>
      </c>
      <c r="BD5756">
        <v>0</v>
      </c>
      <c r="BN5756" t="s">
        <v>74</v>
      </c>
    </row>
    <row r="5757" spans="1:66" hidden="1">
      <c r="A5757">
        <v>103852</v>
      </c>
      <c r="B5757" s="3" t="s">
        <v>587</v>
      </c>
      <c r="C5757" s="1">
        <v>43300101</v>
      </c>
      <c r="D5757" t="s">
        <v>67</v>
      </c>
      <c r="H5757" t="str">
        <f t="shared" si="606"/>
        <v>02790240101</v>
      </c>
      <c r="I5757" t="str">
        <f t="shared" si="606"/>
        <v>02790240101</v>
      </c>
      <c r="K5757" t="str">
        <f>""</f>
        <v/>
      </c>
      <c r="M5757" t="s">
        <v>68</v>
      </c>
      <c r="N5757" t="str">
        <f t="shared" si="607"/>
        <v>FOR</v>
      </c>
      <c r="O5757" t="s">
        <v>69</v>
      </c>
      <c r="P5757" s="3" t="s">
        <v>75</v>
      </c>
      <c r="Q5757">
        <v>2015</v>
      </c>
      <c r="R5757" s="2">
        <v>42277</v>
      </c>
      <c r="S5757" s="2">
        <v>42283</v>
      </c>
      <c r="T5757" s="2">
        <v>42282</v>
      </c>
      <c r="U5757" s="2">
        <v>42342</v>
      </c>
      <c r="V5757" t="s">
        <v>71</v>
      </c>
      <c r="W5757" t="str">
        <f>"               16126"</f>
        <v xml:space="preserve">               16126</v>
      </c>
      <c r="X5757">
        <v>671.98</v>
      </c>
      <c r="Y5757">
        <v>0</v>
      </c>
      <c r="Z5757"/>
      <c r="AB5757"/>
      <c r="AC5757">
        <v>550.79999999999995</v>
      </c>
      <c r="AD5757">
        <v>279</v>
      </c>
      <c r="AE5757" s="1">
        <v>153673.20000000001</v>
      </c>
      <c r="AF5757">
        <v>0</v>
      </c>
      <c r="AJ5757">
        <v>0</v>
      </c>
      <c r="AK5757">
        <v>0</v>
      </c>
      <c r="AL5757">
        <v>0</v>
      </c>
      <c r="AM5757">
        <v>0</v>
      </c>
      <c r="AN5757">
        <v>0</v>
      </c>
      <c r="AO5757">
        <v>0</v>
      </c>
      <c r="AP5757" s="2">
        <v>42746</v>
      </c>
      <c r="AQ5757" t="s">
        <v>72</v>
      </c>
      <c r="AR5757" t="s">
        <v>72</v>
      </c>
      <c r="AS5757">
        <v>2379</v>
      </c>
      <c r="AT5757" s="4">
        <v>42621</v>
      </c>
      <c r="AU5757" t="s">
        <v>73</v>
      </c>
      <c r="AV5757">
        <v>2379</v>
      </c>
      <c r="AW5757" s="4">
        <v>42621</v>
      </c>
      <c r="BD5757">
        <v>0</v>
      </c>
      <c r="BN5757" t="s">
        <v>74</v>
      </c>
    </row>
    <row r="5758" spans="1:66">
      <c r="A5758">
        <v>103852</v>
      </c>
      <c r="B5758" s="3" t="s">
        <v>587</v>
      </c>
      <c r="C5758" s="1">
        <v>43300101</v>
      </c>
      <c r="D5758" t="s">
        <v>67</v>
      </c>
      <c r="H5758" t="str">
        <f t="shared" si="606"/>
        <v>02790240101</v>
      </c>
      <c r="I5758" t="str">
        <f t="shared" si="606"/>
        <v>02790240101</v>
      </c>
      <c r="K5758" t="str">
        <f>""</f>
        <v/>
      </c>
      <c r="M5758" t="s">
        <v>68</v>
      </c>
      <c r="N5758" t="str">
        <f t="shared" si="607"/>
        <v>FOR</v>
      </c>
      <c r="O5758" t="s">
        <v>69</v>
      </c>
      <c r="P5758" s="3" t="s">
        <v>75</v>
      </c>
      <c r="Q5758">
        <v>2015</v>
      </c>
      <c r="R5758" s="2">
        <v>42292</v>
      </c>
      <c r="S5758" s="2">
        <v>42298</v>
      </c>
      <c r="T5758" s="2">
        <v>42297</v>
      </c>
      <c r="U5758" s="2">
        <v>42357</v>
      </c>
      <c r="V5758" t="s">
        <v>71</v>
      </c>
      <c r="W5758" t="str">
        <f>"               16993"</f>
        <v xml:space="preserve">               16993</v>
      </c>
      <c r="X5758" s="1">
        <v>2799.9</v>
      </c>
      <c r="Y5758">
        <v>0</v>
      </c>
      <c r="Z5758" s="5">
        <v>2295</v>
      </c>
      <c r="AA5758">
        <v>291</v>
      </c>
      <c r="AB5758" s="5">
        <v>667845</v>
      </c>
      <c r="AC5758" s="1">
        <v>2295</v>
      </c>
      <c r="AD5758">
        <v>291</v>
      </c>
      <c r="AE5758" s="1">
        <v>667845</v>
      </c>
      <c r="AF5758">
        <v>0</v>
      </c>
      <c r="AJ5758">
        <v>0</v>
      </c>
      <c r="AK5758">
        <v>0</v>
      </c>
      <c r="AL5758">
        <v>0</v>
      </c>
      <c r="AM5758">
        <v>0</v>
      </c>
      <c r="AN5758">
        <v>0</v>
      </c>
      <c r="AO5758">
        <v>0</v>
      </c>
      <c r="AP5758" s="2">
        <v>42746</v>
      </c>
      <c r="AQ5758" t="s">
        <v>72</v>
      </c>
      <c r="AR5758" t="s">
        <v>72</v>
      </c>
      <c r="AS5758">
        <v>2655</v>
      </c>
      <c r="AT5758" s="4">
        <v>42648</v>
      </c>
      <c r="AU5758" t="s">
        <v>73</v>
      </c>
      <c r="AV5758">
        <v>2655</v>
      </c>
      <c r="AW5758" s="4">
        <v>42648</v>
      </c>
      <c r="BD5758">
        <v>0</v>
      </c>
      <c r="BN5758" t="s">
        <v>74</v>
      </c>
    </row>
    <row r="5759" spans="1:66">
      <c r="A5759">
        <v>103852</v>
      </c>
      <c r="B5759" s="3" t="s">
        <v>587</v>
      </c>
      <c r="C5759" s="1">
        <v>43300101</v>
      </c>
      <c r="D5759" t="s">
        <v>67</v>
      </c>
      <c r="H5759" t="str">
        <f t="shared" si="606"/>
        <v>02790240101</v>
      </c>
      <c r="I5759" t="str">
        <f t="shared" si="606"/>
        <v>02790240101</v>
      </c>
      <c r="K5759" t="str">
        <f>""</f>
        <v/>
      </c>
      <c r="M5759" t="s">
        <v>68</v>
      </c>
      <c r="N5759" t="str">
        <f t="shared" si="607"/>
        <v>FOR</v>
      </c>
      <c r="O5759" t="s">
        <v>69</v>
      </c>
      <c r="P5759" s="3" t="s">
        <v>75</v>
      </c>
      <c r="Q5759">
        <v>2015</v>
      </c>
      <c r="R5759" s="2">
        <v>42292</v>
      </c>
      <c r="S5759" s="2">
        <v>42298</v>
      </c>
      <c r="T5759" s="2">
        <v>42297</v>
      </c>
      <c r="U5759" s="2">
        <v>42357</v>
      </c>
      <c r="V5759" t="s">
        <v>71</v>
      </c>
      <c r="W5759" t="str">
        <f>"               16994"</f>
        <v xml:space="preserve">               16994</v>
      </c>
      <c r="X5759" s="1">
        <v>1256.48</v>
      </c>
      <c r="Y5759">
        <v>0</v>
      </c>
      <c r="Z5759" s="5">
        <v>1029.9000000000001</v>
      </c>
      <c r="AA5759">
        <v>291</v>
      </c>
      <c r="AB5759" s="5">
        <v>299700.90000000002</v>
      </c>
      <c r="AC5759" s="1">
        <v>1029.9000000000001</v>
      </c>
      <c r="AD5759">
        <v>291</v>
      </c>
      <c r="AE5759" s="1">
        <v>299700.90000000002</v>
      </c>
      <c r="AF5759">
        <v>0</v>
      </c>
      <c r="AJ5759">
        <v>0</v>
      </c>
      <c r="AK5759">
        <v>0</v>
      </c>
      <c r="AL5759">
        <v>0</v>
      </c>
      <c r="AM5759">
        <v>0</v>
      </c>
      <c r="AN5759">
        <v>0</v>
      </c>
      <c r="AO5759">
        <v>0</v>
      </c>
      <c r="AP5759" s="2">
        <v>42746</v>
      </c>
      <c r="AQ5759" t="s">
        <v>72</v>
      </c>
      <c r="AR5759" t="s">
        <v>72</v>
      </c>
      <c r="AS5759">
        <v>2655</v>
      </c>
      <c r="AT5759" s="4">
        <v>42648</v>
      </c>
      <c r="AU5759" t="s">
        <v>73</v>
      </c>
      <c r="AV5759">
        <v>2655</v>
      </c>
      <c r="AW5759" s="4">
        <v>42648</v>
      </c>
      <c r="BD5759">
        <v>0</v>
      </c>
      <c r="BN5759" t="s">
        <v>74</v>
      </c>
    </row>
    <row r="5760" spans="1:66">
      <c r="A5760">
        <v>103852</v>
      </c>
      <c r="B5760" s="3" t="s">
        <v>587</v>
      </c>
      <c r="C5760" s="1">
        <v>43300101</v>
      </c>
      <c r="D5760" t="s">
        <v>67</v>
      </c>
      <c r="H5760" t="str">
        <f t="shared" si="606"/>
        <v>02790240101</v>
      </c>
      <c r="I5760" t="str">
        <f t="shared" si="606"/>
        <v>02790240101</v>
      </c>
      <c r="K5760" t="str">
        <f>""</f>
        <v/>
      </c>
      <c r="M5760" t="s">
        <v>68</v>
      </c>
      <c r="N5760" t="str">
        <f t="shared" si="607"/>
        <v>FOR</v>
      </c>
      <c r="O5760" t="s">
        <v>69</v>
      </c>
      <c r="P5760" s="3" t="s">
        <v>75</v>
      </c>
      <c r="Q5760">
        <v>2015</v>
      </c>
      <c r="R5760" s="2">
        <v>42292</v>
      </c>
      <c r="S5760" s="2">
        <v>42298</v>
      </c>
      <c r="T5760" s="2">
        <v>42297</v>
      </c>
      <c r="U5760" s="2">
        <v>42357</v>
      </c>
      <c r="V5760" t="s">
        <v>71</v>
      </c>
      <c r="W5760" t="str">
        <f>"               16995"</f>
        <v xml:space="preserve">               16995</v>
      </c>
      <c r="X5760">
        <v>596.53</v>
      </c>
      <c r="Y5760">
        <v>0</v>
      </c>
      <c r="Z5760" s="3">
        <v>488.96</v>
      </c>
      <c r="AA5760">
        <v>291</v>
      </c>
      <c r="AB5760" s="5">
        <v>142287.35999999999</v>
      </c>
      <c r="AC5760">
        <v>488.96</v>
      </c>
      <c r="AD5760">
        <v>291</v>
      </c>
      <c r="AE5760" s="1">
        <v>142287.35999999999</v>
      </c>
      <c r="AF5760">
        <v>0</v>
      </c>
      <c r="AJ5760">
        <v>0</v>
      </c>
      <c r="AK5760">
        <v>0</v>
      </c>
      <c r="AL5760">
        <v>0</v>
      </c>
      <c r="AM5760">
        <v>0</v>
      </c>
      <c r="AN5760">
        <v>0</v>
      </c>
      <c r="AO5760">
        <v>0</v>
      </c>
      <c r="AP5760" s="2">
        <v>42746</v>
      </c>
      <c r="AQ5760" t="s">
        <v>72</v>
      </c>
      <c r="AR5760" t="s">
        <v>72</v>
      </c>
      <c r="AS5760">
        <v>2655</v>
      </c>
      <c r="AT5760" s="4">
        <v>42648</v>
      </c>
      <c r="AU5760" t="s">
        <v>73</v>
      </c>
      <c r="AV5760">
        <v>2655</v>
      </c>
      <c r="AW5760" s="4">
        <v>42648</v>
      </c>
      <c r="BD5760">
        <v>0</v>
      </c>
      <c r="BN5760" t="s">
        <v>74</v>
      </c>
    </row>
    <row r="5761" spans="1:66">
      <c r="A5761">
        <v>103852</v>
      </c>
      <c r="B5761" s="3" t="s">
        <v>587</v>
      </c>
      <c r="C5761" s="1">
        <v>43300101</v>
      </c>
      <c r="D5761" t="s">
        <v>67</v>
      </c>
      <c r="H5761" t="str">
        <f t="shared" si="606"/>
        <v>02790240101</v>
      </c>
      <c r="I5761" t="str">
        <f t="shared" si="606"/>
        <v>02790240101</v>
      </c>
      <c r="K5761" t="str">
        <f>""</f>
        <v/>
      </c>
      <c r="M5761" t="s">
        <v>68</v>
      </c>
      <c r="N5761" t="str">
        <f t="shared" si="607"/>
        <v>FOR</v>
      </c>
      <c r="O5761" t="s">
        <v>69</v>
      </c>
      <c r="P5761" s="3" t="s">
        <v>75</v>
      </c>
      <c r="Q5761">
        <v>2015</v>
      </c>
      <c r="R5761" s="2">
        <v>42307</v>
      </c>
      <c r="S5761" s="2">
        <v>42320</v>
      </c>
      <c r="T5761" s="2">
        <v>42318</v>
      </c>
      <c r="U5761" s="2">
        <v>42378</v>
      </c>
      <c r="V5761" t="s">
        <v>71</v>
      </c>
      <c r="W5761" t="str">
        <f>"               17936"</f>
        <v xml:space="preserve">               17936</v>
      </c>
      <c r="X5761">
        <v>102.48</v>
      </c>
      <c r="Y5761">
        <v>0</v>
      </c>
      <c r="Z5761" s="3">
        <v>84</v>
      </c>
      <c r="AA5761">
        <v>270</v>
      </c>
      <c r="AB5761" s="5">
        <v>22680</v>
      </c>
      <c r="AC5761">
        <v>84</v>
      </c>
      <c r="AD5761">
        <v>270</v>
      </c>
      <c r="AE5761" s="1">
        <v>22680</v>
      </c>
      <c r="AF5761">
        <v>0</v>
      </c>
      <c r="AJ5761">
        <v>0</v>
      </c>
      <c r="AK5761">
        <v>0</v>
      </c>
      <c r="AL5761">
        <v>0</v>
      </c>
      <c r="AM5761">
        <v>0</v>
      </c>
      <c r="AN5761">
        <v>0</v>
      </c>
      <c r="AO5761">
        <v>0</v>
      </c>
      <c r="AP5761" s="2">
        <v>42746</v>
      </c>
      <c r="AQ5761" t="s">
        <v>72</v>
      </c>
      <c r="AR5761" t="s">
        <v>72</v>
      </c>
      <c r="AS5761">
        <v>2655</v>
      </c>
      <c r="AT5761" s="4">
        <v>42648</v>
      </c>
      <c r="AU5761" t="s">
        <v>73</v>
      </c>
      <c r="AV5761">
        <v>2655</v>
      </c>
      <c r="AW5761" s="4">
        <v>42648</v>
      </c>
      <c r="BD5761">
        <v>0</v>
      </c>
      <c r="BN5761" t="s">
        <v>74</v>
      </c>
    </row>
    <row r="5762" spans="1:66">
      <c r="A5762">
        <v>103852</v>
      </c>
      <c r="B5762" s="3" t="s">
        <v>587</v>
      </c>
      <c r="C5762" s="1">
        <v>43300101</v>
      </c>
      <c r="D5762" t="s">
        <v>67</v>
      </c>
      <c r="H5762" t="str">
        <f t="shared" si="606"/>
        <v>02790240101</v>
      </c>
      <c r="I5762" t="str">
        <f t="shared" si="606"/>
        <v>02790240101</v>
      </c>
      <c r="K5762" t="str">
        <f>""</f>
        <v/>
      </c>
      <c r="M5762" t="s">
        <v>68</v>
      </c>
      <c r="N5762" t="str">
        <f t="shared" si="607"/>
        <v>FOR</v>
      </c>
      <c r="O5762" t="s">
        <v>69</v>
      </c>
      <c r="P5762" s="3" t="s">
        <v>75</v>
      </c>
      <c r="Q5762">
        <v>2015</v>
      </c>
      <c r="R5762" s="2">
        <v>42307</v>
      </c>
      <c r="S5762" s="2">
        <v>42320</v>
      </c>
      <c r="T5762" s="2">
        <v>42318</v>
      </c>
      <c r="U5762" s="2">
        <v>42378</v>
      </c>
      <c r="V5762" t="s">
        <v>71</v>
      </c>
      <c r="W5762" t="str">
        <f>"               17937"</f>
        <v xml:space="preserve">               17937</v>
      </c>
      <c r="X5762">
        <v>52.34</v>
      </c>
      <c r="Y5762">
        <v>0</v>
      </c>
      <c r="Z5762" s="3">
        <v>42.9</v>
      </c>
      <c r="AA5762">
        <v>270</v>
      </c>
      <c r="AB5762" s="5">
        <v>11583</v>
      </c>
      <c r="AC5762">
        <v>42.9</v>
      </c>
      <c r="AD5762">
        <v>270</v>
      </c>
      <c r="AE5762" s="1">
        <v>11583</v>
      </c>
      <c r="AF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0</v>
      </c>
      <c r="AP5762" s="2">
        <v>42746</v>
      </c>
      <c r="AQ5762" t="s">
        <v>72</v>
      </c>
      <c r="AR5762" t="s">
        <v>72</v>
      </c>
      <c r="AS5762">
        <v>2655</v>
      </c>
      <c r="AT5762" s="4">
        <v>42648</v>
      </c>
      <c r="AU5762" t="s">
        <v>73</v>
      </c>
      <c r="AV5762">
        <v>2655</v>
      </c>
      <c r="AW5762" s="4">
        <v>42648</v>
      </c>
      <c r="BD5762">
        <v>0</v>
      </c>
      <c r="BN5762" t="s">
        <v>74</v>
      </c>
    </row>
    <row r="5763" spans="1:66">
      <c r="A5763">
        <v>103852</v>
      </c>
      <c r="B5763" s="3" t="s">
        <v>587</v>
      </c>
      <c r="C5763" s="1">
        <v>43300101</v>
      </c>
      <c r="D5763" t="s">
        <v>67</v>
      </c>
      <c r="H5763" t="str">
        <f t="shared" si="606"/>
        <v>02790240101</v>
      </c>
      <c r="I5763" t="str">
        <f t="shared" si="606"/>
        <v>02790240101</v>
      </c>
      <c r="K5763" t="str">
        <f>""</f>
        <v/>
      </c>
      <c r="M5763" t="s">
        <v>68</v>
      </c>
      <c r="N5763" t="str">
        <f t="shared" si="607"/>
        <v>FOR</v>
      </c>
      <c r="O5763" t="s">
        <v>69</v>
      </c>
      <c r="P5763" s="3" t="s">
        <v>75</v>
      </c>
      <c r="Q5763">
        <v>2015</v>
      </c>
      <c r="R5763" s="2">
        <v>42307</v>
      </c>
      <c r="S5763" s="2">
        <v>42320</v>
      </c>
      <c r="T5763" s="2">
        <v>42318</v>
      </c>
      <c r="U5763" s="2">
        <v>42378</v>
      </c>
      <c r="V5763" t="s">
        <v>71</v>
      </c>
      <c r="W5763" t="str">
        <f>"               17938"</f>
        <v xml:space="preserve">               17938</v>
      </c>
      <c r="X5763">
        <v>89.67</v>
      </c>
      <c r="Y5763">
        <v>0</v>
      </c>
      <c r="Z5763" s="3">
        <v>73.5</v>
      </c>
      <c r="AA5763">
        <v>270</v>
      </c>
      <c r="AB5763" s="5">
        <v>19845</v>
      </c>
      <c r="AC5763">
        <v>73.5</v>
      </c>
      <c r="AD5763">
        <v>270</v>
      </c>
      <c r="AE5763" s="1">
        <v>19845</v>
      </c>
      <c r="AF5763">
        <v>0</v>
      </c>
      <c r="AJ5763">
        <v>0</v>
      </c>
      <c r="AK5763">
        <v>0</v>
      </c>
      <c r="AL5763">
        <v>0</v>
      </c>
      <c r="AM5763">
        <v>0</v>
      </c>
      <c r="AN5763">
        <v>0</v>
      </c>
      <c r="AO5763">
        <v>0</v>
      </c>
      <c r="AP5763" s="2">
        <v>42746</v>
      </c>
      <c r="AQ5763" t="s">
        <v>72</v>
      </c>
      <c r="AR5763" t="s">
        <v>72</v>
      </c>
      <c r="AS5763">
        <v>2655</v>
      </c>
      <c r="AT5763" s="4">
        <v>42648</v>
      </c>
      <c r="AU5763" t="s">
        <v>73</v>
      </c>
      <c r="AV5763">
        <v>2655</v>
      </c>
      <c r="AW5763" s="4">
        <v>42648</v>
      </c>
      <c r="BD5763">
        <v>0</v>
      </c>
      <c r="BN5763" t="s">
        <v>74</v>
      </c>
    </row>
    <row r="5764" spans="1:66">
      <c r="A5764">
        <v>103852</v>
      </c>
      <c r="B5764" s="3" t="s">
        <v>587</v>
      </c>
      <c r="C5764" s="1">
        <v>43300101</v>
      </c>
      <c r="D5764" t="s">
        <v>67</v>
      </c>
      <c r="H5764" t="str">
        <f t="shared" si="606"/>
        <v>02790240101</v>
      </c>
      <c r="I5764" t="str">
        <f t="shared" si="606"/>
        <v>02790240101</v>
      </c>
      <c r="K5764" t="str">
        <f>""</f>
        <v/>
      </c>
      <c r="M5764" t="s">
        <v>68</v>
      </c>
      <c r="N5764" t="str">
        <f t="shared" si="607"/>
        <v>FOR</v>
      </c>
      <c r="O5764" t="s">
        <v>69</v>
      </c>
      <c r="P5764" s="3" t="s">
        <v>75</v>
      </c>
      <c r="Q5764">
        <v>2015</v>
      </c>
      <c r="R5764" s="2">
        <v>42321</v>
      </c>
      <c r="S5764" s="2">
        <v>42327</v>
      </c>
      <c r="T5764" s="2">
        <v>42326</v>
      </c>
      <c r="U5764" s="2">
        <v>42386</v>
      </c>
      <c r="V5764" t="s">
        <v>71</v>
      </c>
      <c r="W5764" t="str">
        <f>"               18732"</f>
        <v xml:space="preserve">               18732</v>
      </c>
      <c r="X5764" s="1">
        <v>1119.96</v>
      </c>
      <c r="Y5764">
        <v>0</v>
      </c>
      <c r="Z5764" s="3">
        <v>918</v>
      </c>
      <c r="AA5764">
        <v>292</v>
      </c>
      <c r="AB5764" s="5">
        <v>268056</v>
      </c>
      <c r="AC5764">
        <v>918</v>
      </c>
      <c r="AD5764">
        <v>292</v>
      </c>
      <c r="AE5764" s="1">
        <v>268056</v>
      </c>
      <c r="AF5764">
        <v>0</v>
      </c>
      <c r="AJ5764">
        <v>0</v>
      </c>
      <c r="AK5764">
        <v>0</v>
      </c>
      <c r="AL5764">
        <v>0</v>
      </c>
      <c r="AM5764">
        <v>0</v>
      </c>
      <c r="AN5764">
        <v>0</v>
      </c>
      <c r="AO5764">
        <v>0</v>
      </c>
      <c r="AP5764" s="2">
        <v>42746</v>
      </c>
      <c r="AQ5764" t="s">
        <v>72</v>
      </c>
      <c r="AR5764" t="s">
        <v>72</v>
      </c>
      <c r="AS5764">
        <v>2931</v>
      </c>
      <c r="AT5764" s="4">
        <v>42678</v>
      </c>
      <c r="AU5764" t="s">
        <v>73</v>
      </c>
      <c r="AV5764">
        <v>2931</v>
      </c>
      <c r="AW5764" s="4">
        <v>42678</v>
      </c>
      <c r="BD5764">
        <v>0</v>
      </c>
      <c r="BN5764" t="s">
        <v>74</v>
      </c>
    </row>
    <row r="5765" spans="1:66">
      <c r="A5765">
        <v>103852</v>
      </c>
      <c r="B5765" s="3" t="s">
        <v>587</v>
      </c>
      <c r="C5765" s="1">
        <v>43300101</v>
      </c>
      <c r="D5765" t="s">
        <v>67</v>
      </c>
      <c r="H5765" t="str">
        <f t="shared" si="606"/>
        <v>02790240101</v>
      </c>
      <c r="I5765" t="str">
        <f t="shared" si="606"/>
        <v>02790240101</v>
      </c>
      <c r="K5765" t="str">
        <f>""</f>
        <v/>
      </c>
      <c r="M5765" t="s">
        <v>68</v>
      </c>
      <c r="N5765" t="str">
        <f t="shared" si="607"/>
        <v>FOR</v>
      </c>
      <c r="O5765" t="s">
        <v>69</v>
      </c>
      <c r="P5765" s="3" t="s">
        <v>75</v>
      </c>
      <c r="Q5765">
        <v>2015</v>
      </c>
      <c r="R5765" s="2">
        <v>42321</v>
      </c>
      <c r="S5765" s="2">
        <v>42327</v>
      </c>
      <c r="T5765" s="2">
        <v>42326</v>
      </c>
      <c r="U5765" s="2">
        <v>42386</v>
      </c>
      <c r="V5765" t="s">
        <v>71</v>
      </c>
      <c r="W5765" t="str">
        <f>"               18733"</f>
        <v xml:space="preserve">               18733</v>
      </c>
      <c r="X5765" s="1">
        <v>1119.96</v>
      </c>
      <c r="Y5765">
        <v>0</v>
      </c>
      <c r="Z5765" s="3">
        <v>918</v>
      </c>
      <c r="AA5765">
        <v>292</v>
      </c>
      <c r="AB5765" s="5">
        <v>268056</v>
      </c>
      <c r="AC5765">
        <v>918</v>
      </c>
      <c r="AD5765">
        <v>292</v>
      </c>
      <c r="AE5765" s="1">
        <v>268056</v>
      </c>
      <c r="AF5765">
        <v>0</v>
      </c>
      <c r="AJ5765">
        <v>0</v>
      </c>
      <c r="AK5765">
        <v>0</v>
      </c>
      <c r="AL5765">
        <v>0</v>
      </c>
      <c r="AM5765">
        <v>0</v>
      </c>
      <c r="AN5765">
        <v>0</v>
      </c>
      <c r="AO5765">
        <v>0</v>
      </c>
      <c r="AP5765" s="2">
        <v>42746</v>
      </c>
      <c r="AQ5765" t="s">
        <v>72</v>
      </c>
      <c r="AR5765" t="s">
        <v>72</v>
      </c>
      <c r="AS5765">
        <v>2931</v>
      </c>
      <c r="AT5765" s="4">
        <v>42678</v>
      </c>
      <c r="AU5765" t="s">
        <v>73</v>
      </c>
      <c r="AV5765">
        <v>2931</v>
      </c>
      <c r="AW5765" s="4">
        <v>42678</v>
      </c>
      <c r="BD5765">
        <v>0</v>
      </c>
      <c r="BN5765" t="s">
        <v>74</v>
      </c>
    </row>
    <row r="5766" spans="1:66">
      <c r="A5766">
        <v>103852</v>
      </c>
      <c r="B5766" s="3" t="s">
        <v>587</v>
      </c>
      <c r="C5766" s="1">
        <v>43300101</v>
      </c>
      <c r="D5766" t="s">
        <v>67</v>
      </c>
      <c r="H5766" t="str">
        <f t="shared" si="606"/>
        <v>02790240101</v>
      </c>
      <c r="I5766" t="str">
        <f t="shared" si="606"/>
        <v>02790240101</v>
      </c>
      <c r="K5766" t="str">
        <f>""</f>
        <v/>
      </c>
      <c r="M5766" t="s">
        <v>68</v>
      </c>
      <c r="N5766" t="str">
        <f t="shared" si="607"/>
        <v>FOR</v>
      </c>
      <c r="O5766" t="s">
        <v>69</v>
      </c>
      <c r="P5766" s="3" t="s">
        <v>75</v>
      </c>
      <c r="Q5766">
        <v>2015</v>
      </c>
      <c r="R5766" s="2">
        <v>42321</v>
      </c>
      <c r="S5766" s="2">
        <v>42327</v>
      </c>
      <c r="T5766" s="2">
        <v>42326</v>
      </c>
      <c r="U5766" s="2">
        <v>42386</v>
      </c>
      <c r="V5766" t="s">
        <v>71</v>
      </c>
      <c r="W5766" t="str">
        <f>"               18734"</f>
        <v xml:space="preserve">               18734</v>
      </c>
      <c r="X5766" s="1">
        <v>5035.33</v>
      </c>
      <c r="Y5766">
        <v>0</v>
      </c>
      <c r="Z5766" s="5">
        <v>4127.32</v>
      </c>
      <c r="AA5766">
        <v>292</v>
      </c>
      <c r="AB5766" s="5">
        <v>1205177.44</v>
      </c>
      <c r="AC5766" s="1">
        <v>4127.32</v>
      </c>
      <c r="AD5766">
        <v>292</v>
      </c>
      <c r="AE5766" s="1">
        <v>1205177.44</v>
      </c>
      <c r="AF5766">
        <v>0</v>
      </c>
      <c r="AJ5766">
        <v>0</v>
      </c>
      <c r="AK5766">
        <v>0</v>
      </c>
      <c r="AL5766">
        <v>0</v>
      </c>
      <c r="AM5766">
        <v>0</v>
      </c>
      <c r="AN5766">
        <v>0</v>
      </c>
      <c r="AO5766">
        <v>0</v>
      </c>
      <c r="AP5766" s="2">
        <v>42746</v>
      </c>
      <c r="AQ5766" t="s">
        <v>72</v>
      </c>
      <c r="AR5766" t="s">
        <v>72</v>
      </c>
      <c r="AS5766">
        <v>2931</v>
      </c>
      <c r="AT5766" s="4">
        <v>42678</v>
      </c>
      <c r="AU5766" t="s">
        <v>73</v>
      </c>
      <c r="AV5766">
        <v>2931</v>
      </c>
      <c r="AW5766" s="4">
        <v>42678</v>
      </c>
      <c r="BD5766">
        <v>0</v>
      </c>
      <c r="BN5766" t="s">
        <v>74</v>
      </c>
    </row>
    <row r="5767" spans="1:66">
      <c r="A5767">
        <v>103852</v>
      </c>
      <c r="B5767" s="3" t="s">
        <v>587</v>
      </c>
      <c r="C5767" s="1">
        <v>43300101</v>
      </c>
      <c r="D5767" t="s">
        <v>67</v>
      </c>
      <c r="H5767" t="str">
        <f t="shared" si="606"/>
        <v>02790240101</v>
      </c>
      <c r="I5767" t="str">
        <f t="shared" si="606"/>
        <v>02790240101</v>
      </c>
      <c r="K5767" t="str">
        <f>""</f>
        <v/>
      </c>
      <c r="M5767" t="s">
        <v>68</v>
      </c>
      <c r="N5767" t="str">
        <f t="shared" si="607"/>
        <v>FOR</v>
      </c>
      <c r="O5767" t="s">
        <v>69</v>
      </c>
      <c r="P5767" s="3" t="s">
        <v>75</v>
      </c>
      <c r="Q5767">
        <v>2015</v>
      </c>
      <c r="R5767" s="2">
        <v>42321</v>
      </c>
      <c r="S5767" s="2">
        <v>42327</v>
      </c>
      <c r="T5767" s="2">
        <v>42326</v>
      </c>
      <c r="U5767" s="2">
        <v>42386</v>
      </c>
      <c r="V5767" t="s">
        <v>71</v>
      </c>
      <c r="W5767" t="str">
        <f>"               18735"</f>
        <v xml:space="preserve">               18735</v>
      </c>
      <c r="X5767">
        <v>702.72</v>
      </c>
      <c r="Y5767">
        <v>0</v>
      </c>
      <c r="Z5767" s="3">
        <v>576</v>
      </c>
      <c r="AA5767">
        <v>292</v>
      </c>
      <c r="AB5767" s="5">
        <v>168192</v>
      </c>
      <c r="AC5767">
        <v>576</v>
      </c>
      <c r="AD5767">
        <v>292</v>
      </c>
      <c r="AE5767" s="1">
        <v>168192</v>
      </c>
      <c r="AF5767">
        <v>0</v>
      </c>
      <c r="AJ5767">
        <v>0</v>
      </c>
      <c r="AK5767">
        <v>0</v>
      </c>
      <c r="AL5767">
        <v>0</v>
      </c>
      <c r="AM5767">
        <v>0</v>
      </c>
      <c r="AN5767">
        <v>0</v>
      </c>
      <c r="AO5767">
        <v>0</v>
      </c>
      <c r="AP5767" s="2">
        <v>42746</v>
      </c>
      <c r="AQ5767" t="s">
        <v>72</v>
      </c>
      <c r="AR5767" t="s">
        <v>72</v>
      </c>
      <c r="AS5767">
        <v>2931</v>
      </c>
      <c r="AT5767" s="4">
        <v>42678</v>
      </c>
      <c r="AU5767" t="s">
        <v>73</v>
      </c>
      <c r="AV5767">
        <v>2931</v>
      </c>
      <c r="AW5767" s="4">
        <v>42678</v>
      </c>
      <c r="BD5767">
        <v>0</v>
      </c>
      <c r="BN5767" t="s">
        <v>74</v>
      </c>
    </row>
    <row r="5768" spans="1:66">
      <c r="A5768">
        <v>103852</v>
      </c>
      <c r="B5768" s="3" t="s">
        <v>587</v>
      </c>
      <c r="C5768" s="1">
        <v>43300101</v>
      </c>
      <c r="D5768" t="s">
        <v>67</v>
      </c>
      <c r="H5768" t="str">
        <f t="shared" si="606"/>
        <v>02790240101</v>
      </c>
      <c r="I5768" t="str">
        <f t="shared" si="606"/>
        <v>02790240101</v>
      </c>
      <c r="K5768" t="str">
        <f>""</f>
        <v/>
      </c>
      <c r="M5768" t="s">
        <v>68</v>
      </c>
      <c r="N5768" t="str">
        <f t="shared" si="607"/>
        <v>FOR</v>
      </c>
      <c r="O5768" t="s">
        <v>69</v>
      </c>
      <c r="P5768" s="3" t="s">
        <v>75</v>
      </c>
      <c r="Q5768">
        <v>2015</v>
      </c>
      <c r="R5768" s="2">
        <v>42321</v>
      </c>
      <c r="S5768" s="2">
        <v>42327</v>
      </c>
      <c r="T5768" s="2">
        <v>42326</v>
      </c>
      <c r="U5768" s="2">
        <v>42386</v>
      </c>
      <c r="V5768" t="s">
        <v>71</v>
      </c>
      <c r="W5768" t="str">
        <f>"               18736"</f>
        <v xml:space="preserve">               18736</v>
      </c>
      <c r="X5768" s="1">
        <v>1948.23</v>
      </c>
      <c r="Y5768">
        <v>0</v>
      </c>
      <c r="Z5768" s="5">
        <v>1596.91</v>
      </c>
      <c r="AA5768">
        <v>292</v>
      </c>
      <c r="AB5768" s="5">
        <v>466297.72</v>
      </c>
      <c r="AC5768" s="1">
        <v>1596.91</v>
      </c>
      <c r="AD5768">
        <v>292</v>
      </c>
      <c r="AE5768" s="1">
        <v>466297.72</v>
      </c>
      <c r="AF5768">
        <v>0</v>
      </c>
      <c r="AJ5768">
        <v>0</v>
      </c>
      <c r="AK5768">
        <v>0</v>
      </c>
      <c r="AL5768">
        <v>0</v>
      </c>
      <c r="AM5768">
        <v>0</v>
      </c>
      <c r="AN5768">
        <v>0</v>
      </c>
      <c r="AO5768">
        <v>0</v>
      </c>
      <c r="AP5768" s="2">
        <v>42746</v>
      </c>
      <c r="AQ5768" t="s">
        <v>72</v>
      </c>
      <c r="AR5768" t="s">
        <v>72</v>
      </c>
      <c r="AS5768">
        <v>2931</v>
      </c>
      <c r="AT5768" s="4">
        <v>42678</v>
      </c>
      <c r="AU5768" t="s">
        <v>73</v>
      </c>
      <c r="AV5768">
        <v>2931</v>
      </c>
      <c r="AW5768" s="4">
        <v>42678</v>
      </c>
      <c r="BD5768">
        <v>0</v>
      </c>
      <c r="BN5768" t="s">
        <v>74</v>
      </c>
    </row>
    <row r="5769" spans="1:66">
      <c r="A5769">
        <v>103852</v>
      </c>
      <c r="B5769" s="3" t="s">
        <v>587</v>
      </c>
      <c r="C5769" s="1">
        <v>43300101</v>
      </c>
      <c r="D5769" t="s">
        <v>67</v>
      </c>
      <c r="H5769" t="str">
        <f t="shared" si="606"/>
        <v>02790240101</v>
      </c>
      <c r="I5769" t="str">
        <f t="shared" si="606"/>
        <v>02790240101</v>
      </c>
      <c r="K5769" t="str">
        <f>""</f>
        <v/>
      </c>
      <c r="M5769" t="s">
        <v>68</v>
      </c>
      <c r="N5769" t="str">
        <f t="shared" si="607"/>
        <v>FOR</v>
      </c>
      <c r="O5769" t="s">
        <v>69</v>
      </c>
      <c r="P5769" s="3" t="s">
        <v>75</v>
      </c>
      <c r="Q5769">
        <v>2015</v>
      </c>
      <c r="R5769" s="2">
        <v>42321</v>
      </c>
      <c r="S5769" s="2">
        <v>42327</v>
      </c>
      <c r="T5769" s="2">
        <v>42326</v>
      </c>
      <c r="U5769" s="2">
        <v>42386</v>
      </c>
      <c r="V5769" t="s">
        <v>71</v>
      </c>
      <c r="W5769" t="str">
        <f>"               18737"</f>
        <v xml:space="preserve">               18737</v>
      </c>
      <c r="X5769" s="1">
        <v>1708</v>
      </c>
      <c r="Y5769">
        <v>0</v>
      </c>
      <c r="Z5769" s="5">
        <v>1400</v>
      </c>
      <c r="AA5769">
        <v>292</v>
      </c>
      <c r="AB5769" s="5">
        <v>408800</v>
      </c>
      <c r="AC5769" s="1">
        <v>1400</v>
      </c>
      <c r="AD5769">
        <v>292</v>
      </c>
      <c r="AE5769" s="1">
        <v>408800</v>
      </c>
      <c r="AF5769">
        <v>0</v>
      </c>
      <c r="AJ5769">
        <v>0</v>
      </c>
      <c r="AK5769">
        <v>0</v>
      </c>
      <c r="AL5769">
        <v>0</v>
      </c>
      <c r="AM5769">
        <v>0</v>
      </c>
      <c r="AN5769">
        <v>0</v>
      </c>
      <c r="AO5769">
        <v>0</v>
      </c>
      <c r="AP5769" s="2">
        <v>42746</v>
      </c>
      <c r="AQ5769" t="s">
        <v>72</v>
      </c>
      <c r="AR5769" t="s">
        <v>72</v>
      </c>
      <c r="AS5769">
        <v>2931</v>
      </c>
      <c r="AT5769" s="4">
        <v>42678</v>
      </c>
      <c r="AU5769" t="s">
        <v>73</v>
      </c>
      <c r="AV5769">
        <v>2931</v>
      </c>
      <c r="AW5769" s="4">
        <v>42678</v>
      </c>
      <c r="BD5769">
        <v>0</v>
      </c>
      <c r="BN5769" t="s">
        <v>74</v>
      </c>
    </row>
    <row r="5770" spans="1:66">
      <c r="A5770">
        <v>103852</v>
      </c>
      <c r="B5770" s="3" t="s">
        <v>587</v>
      </c>
      <c r="C5770" s="1">
        <v>43300101</v>
      </c>
      <c r="D5770" t="s">
        <v>67</v>
      </c>
      <c r="H5770" t="str">
        <f t="shared" si="606"/>
        <v>02790240101</v>
      </c>
      <c r="I5770" t="str">
        <f t="shared" si="606"/>
        <v>02790240101</v>
      </c>
      <c r="K5770" t="str">
        <f>""</f>
        <v/>
      </c>
      <c r="M5770" t="s">
        <v>68</v>
      </c>
      <c r="N5770" t="str">
        <f t="shared" si="607"/>
        <v>FOR</v>
      </c>
      <c r="O5770" t="s">
        <v>69</v>
      </c>
      <c r="P5770" s="3" t="s">
        <v>75</v>
      </c>
      <c r="Q5770">
        <v>2015</v>
      </c>
      <c r="R5770" s="2">
        <v>42321</v>
      </c>
      <c r="S5770" s="2">
        <v>42327</v>
      </c>
      <c r="T5770" s="2">
        <v>42326</v>
      </c>
      <c r="U5770" s="2">
        <v>42386</v>
      </c>
      <c r="V5770" t="s">
        <v>71</v>
      </c>
      <c r="W5770" t="str">
        <f>"               18738"</f>
        <v xml:space="preserve">               18738</v>
      </c>
      <c r="X5770" s="1">
        <v>1452.29</v>
      </c>
      <c r="Y5770">
        <v>0</v>
      </c>
      <c r="Z5770" s="5">
        <v>1190.4000000000001</v>
      </c>
      <c r="AA5770">
        <v>292</v>
      </c>
      <c r="AB5770" s="5">
        <v>347596.79999999999</v>
      </c>
      <c r="AC5770" s="1">
        <v>1190.4000000000001</v>
      </c>
      <c r="AD5770">
        <v>292</v>
      </c>
      <c r="AE5770" s="1">
        <v>347596.79999999999</v>
      </c>
      <c r="AF5770">
        <v>0</v>
      </c>
      <c r="AJ5770">
        <v>0</v>
      </c>
      <c r="AK5770">
        <v>0</v>
      </c>
      <c r="AL5770">
        <v>0</v>
      </c>
      <c r="AM5770">
        <v>0</v>
      </c>
      <c r="AN5770">
        <v>0</v>
      </c>
      <c r="AO5770">
        <v>0</v>
      </c>
      <c r="AP5770" s="2">
        <v>42746</v>
      </c>
      <c r="AQ5770" t="s">
        <v>72</v>
      </c>
      <c r="AR5770" t="s">
        <v>72</v>
      </c>
      <c r="AS5770">
        <v>2931</v>
      </c>
      <c r="AT5770" s="4">
        <v>42678</v>
      </c>
      <c r="AU5770" t="s">
        <v>73</v>
      </c>
      <c r="AV5770">
        <v>2931</v>
      </c>
      <c r="AW5770" s="4">
        <v>42678</v>
      </c>
      <c r="BD5770">
        <v>0</v>
      </c>
      <c r="BN5770" t="s">
        <v>74</v>
      </c>
    </row>
    <row r="5771" spans="1:66">
      <c r="A5771">
        <v>103852</v>
      </c>
      <c r="B5771" s="3" t="s">
        <v>587</v>
      </c>
      <c r="C5771" s="1">
        <v>43300101</v>
      </c>
      <c r="D5771" t="s">
        <v>67</v>
      </c>
      <c r="H5771" t="str">
        <f t="shared" ref="H5771:I5794" si="608">"02790240101"</f>
        <v>02790240101</v>
      </c>
      <c r="I5771" t="str">
        <f t="shared" si="608"/>
        <v>02790240101</v>
      </c>
      <c r="K5771" t="str">
        <f>""</f>
        <v/>
      </c>
      <c r="M5771" t="s">
        <v>68</v>
      </c>
      <c r="N5771" t="str">
        <f t="shared" si="607"/>
        <v>FOR</v>
      </c>
      <c r="O5771" t="s">
        <v>69</v>
      </c>
      <c r="P5771" s="3" t="s">
        <v>75</v>
      </c>
      <c r="Q5771">
        <v>2015</v>
      </c>
      <c r="R5771" s="2">
        <v>42321</v>
      </c>
      <c r="S5771" s="2">
        <v>42327</v>
      </c>
      <c r="T5771" s="2">
        <v>42326</v>
      </c>
      <c r="U5771" s="2">
        <v>42386</v>
      </c>
      <c r="V5771" t="s">
        <v>71</v>
      </c>
      <c r="W5771" t="str">
        <f>"               18739"</f>
        <v xml:space="preserve">               18739</v>
      </c>
      <c r="X5771">
        <v>212.65</v>
      </c>
      <c r="Y5771">
        <v>0</v>
      </c>
      <c r="Z5771" s="3">
        <v>174.3</v>
      </c>
      <c r="AA5771">
        <v>292</v>
      </c>
      <c r="AB5771" s="5">
        <v>50895.6</v>
      </c>
      <c r="AC5771">
        <v>174.3</v>
      </c>
      <c r="AD5771">
        <v>292</v>
      </c>
      <c r="AE5771" s="1">
        <v>50895.6</v>
      </c>
      <c r="AF5771">
        <v>0</v>
      </c>
      <c r="AJ5771">
        <v>0</v>
      </c>
      <c r="AK5771">
        <v>0</v>
      </c>
      <c r="AL5771">
        <v>0</v>
      </c>
      <c r="AM5771">
        <v>0</v>
      </c>
      <c r="AN5771">
        <v>0</v>
      </c>
      <c r="AO5771">
        <v>0</v>
      </c>
      <c r="AP5771" s="2">
        <v>42746</v>
      </c>
      <c r="AQ5771" t="s">
        <v>72</v>
      </c>
      <c r="AR5771" t="s">
        <v>72</v>
      </c>
      <c r="AS5771">
        <v>2931</v>
      </c>
      <c r="AT5771" s="4">
        <v>42678</v>
      </c>
      <c r="AU5771" t="s">
        <v>73</v>
      </c>
      <c r="AV5771">
        <v>2931</v>
      </c>
      <c r="AW5771" s="4">
        <v>42678</v>
      </c>
      <c r="BD5771">
        <v>0</v>
      </c>
      <c r="BN5771" t="s">
        <v>74</v>
      </c>
    </row>
    <row r="5772" spans="1:66">
      <c r="A5772">
        <v>103852</v>
      </c>
      <c r="B5772" s="3" t="s">
        <v>587</v>
      </c>
      <c r="C5772" s="1">
        <v>43300101</v>
      </c>
      <c r="D5772" t="s">
        <v>67</v>
      </c>
      <c r="H5772" t="str">
        <f t="shared" si="608"/>
        <v>02790240101</v>
      </c>
      <c r="I5772" t="str">
        <f t="shared" si="608"/>
        <v>02790240101</v>
      </c>
      <c r="K5772" t="str">
        <f>""</f>
        <v/>
      </c>
      <c r="M5772" t="s">
        <v>68</v>
      </c>
      <c r="N5772" t="str">
        <f t="shared" si="607"/>
        <v>FOR</v>
      </c>
      <c r="O5772" t="s">
        <v>69</v>
      </c>
      <c r="P5772" s="3" t="s">
        <v>75</v>
      </c>
      <c r="Q5772">
        <v>2015</v>
      </c>
      <c r="R5772" s="2">
        <v>42321</v>
      </c>
      <c r="S5772" s="2">
        <v>42327</v>
      </c>
      <c r="T5772" s="2">
        <v>42326</v>
      </c>
      <c r="U5772" s="2">
        <v>42386</v>
      </c>
      <c r="V5772" t="s">
        <v>71</v>
      </c>
      <c r="W5772" t="str">
        <f>"               18740"</f>
        <v xml:space="preserve">               18740</v>
      </c>
      <c r="X5772">
        <v>469.7</v>
      </c>
      <c r="Y5772">
        <v>0</v>
      </c>
      <c r="Z5772" s="3">
        <v>385</v>
      </c>
      <c r="AA5772">
        <v>292</v>
      </c>
      <c r="AB5772" s="5">
        <v>112420</v>
      </c>
      <c r="AC5772">
        <v>385</v>
      </c>
      <c r="AD5772">
        <v>292</v>
      </c>
      <c r="AE5772" s="1">
        <v>112420</v>
      </c>
      <c r="AF5772">
        <v>0</v>
      </c>
      <c r="AJ5772">
        <v>0</v>
      </c>
      <c r="AK5772">
        <v>0</v>
      </c>
      <c r="AL5772">
        <v>0</v>
      </c>
      <c r="AM5772">
        <v>0</v>
      </c>
      <c r="AN5772">
        <v>0</v>
      </c>
      <c r="AO5772">
        <v>0</v>
      </c>
      <c r="AP5772" s="2">
        <v>42746</v>
      </c>
      <c r="AQ5772" t="s">
        <v>72</v>
      </c>
      <c r="AR5772" t="s">
        <v>72</v>
      </c>
      <c r="AS5772">
        <v>2931</v>
      </c>
      <c r="AT5772" s="4">
        <v>42678</v>
      </c>
      <c r="AU5772" t="s">
        <v>73</v>
      </c>
      <c r="AV5772">
        <v>2931</v>
      </c>
      <c r="AW5772" s="4">
        <v>42678</v>
      </c>
      <c r="BD5772">
        <v>0</v>
      </c>
      <c r="BN5772" t="s">
        <v>74</v>
      </c>
    </row>
    <row r="5773" spans="1:66">
      <c r="A5773">
        <v>103852</v>
      </c>
      <c r="B5773" s="3" t="s">
        <v>587</v>
      </c>
      <c r="C5773" s="1">
        <v>43300101</v>
      </c>
      <c r="D5773" t="s">
        <v>67</v>
      </c>
      <c r="H5773" t="str">
        <f t="shared" si="608"/>
        <v>02790240101</v>
      </c>
      <c r="I5773" t="str">
        <f t="shared" si="608"/>
        <v>02790240101</v>
      </c>
      <c r="K5773" t="str">
        <f>""</f>
        <v/>
      </c>
      <c r="M5773" t="s">
        <v>68</v>
      </c>
      <c r="N5773" t="str">
        <f t="shared" si="607"/>
        <v>FOR</v>
      </c>
      <c r="O5773" t="s">
        <v>69</v>
      </c>
      <c r="P5773" s="3" t="s">
        <v>75</v>
      </c>
      <c r="Q5773">
        <v>2015</v>
      </c>
      <c r="R5773" s="2">
        <v>42338</v>
      </c>
      <c r="S5773" s="2">
        <v>42342</v>
      </c>
      <c r="T5773" s="2">
        <v>42341</v>
      </c>
      <c r="U5773" s="2">
        <v>42401</v>
      </c>
      <c r="V5773" t="s">
        <v>71</v>
      </c>
      <c r="W5773" t="str">
        <f>"               19604"</f>
        <v xml:space="preserve">               19604</v>
      </c>
      <c r="X5773">
        <v>998.69</v>
      </c>
      <c r="Y5773">
        <v>0</v>
      </c>
      <c r="Z5773" s="3">
        <v>818.6</v>
      </c>
      <c r="AA5773">
        <v>277</v>
      </c>
      <c r="AB5773" s="5">
        <v>226752.2</v>
      </c>
      <c r="AC5773">
        <v>818.6</v>
      </c>
      <c r="AD5773">
        <v>277</v>
      </c>
      <c r="AE5773" s="1">
        <v>226752.2</v>
      </c>
      <c r="AF5773">
        <v>0</v>
      </c>
      <c r="AJ5773">
        <v>0</v>
      </c>
      <c r="AK5773">
        <v>0</v>
      </c>
      <c r="AL5773">
        <v>0</v>
      </c>
      <c r="AM5773">
        <v>0</v>
      </c>
      <c r="AN5773">
        <v>0</v>
      </c>
      <c r="AO5773">
        <v>0</v>
      </c>
      <c r="AP5773" s="2">
        <v>42746</v>
      </c>
      <c r="AQ5773" t="s">
        <v>72</v>
      </c>
      <c r="AR5773" t="s">
        <v>72</v>
      </c>
      <c r="AS5773">
        <v>2931</v>
      </c>
      <c r="AT5773" s="4">
        <v>42678</v>
      </c>
      <c r="AU5773" t="s">
        <v>73</v>
      </c>
      <c r="AV5773">
        <v>2931</v>
      </c>
      <c r="AW5773" s="4">
        <v>42678</v>
      </c>
      <c r="BD5773">
        <v>0</v>
      </c>
      <c r="BN5773" t="s">
        <v>74</v>
      </c>
    </row>
    <row r="5774" spans="1:66">
      <c r="A5774">
        <v>103852</v>
      </c>
      <c r="B5774" s="3" t="s">
        <v>587</v>
      </c>
      <c r="C5774" s="1">
        <v>43300101</v>
      </c>
      <c r="D5774" t="s">
        <v>67</v>
      </c>
      <c r="H5774" t="str">
        <f t="shared" si="608"/>
        <v>02790240101</v>
      </c>
      <c r="I5774" t="str">
        <f t="shared" si="608"/>
        <v>02790240101</v>
      </c>
      <c r="K5774" t="str">
        <f>""</f>
        <v/>
      </c>
      <c r="M5774" t="s">
        <v>68</v>
      </c>
      <c r="N5774" t="str">
        <f t="shared" si="607"/>
        <v>FOR</v>
      </c>
      <c r="O5774" t="s">
        <v>69</v>
      </c>
      <c r="P5774" s="3" t="s">
        <v>75</v>
      </c>
      <c r="Q5774">
        <v>2015</v>
      </c>
      <c r="R5774" s="2">
        <v>42338</v>
      </c>
      <c r="S5774" s="2">
        <v>42342</v>
      </c>
      <c r="T5774" s="2">
        <v>42341</v>
      </c>
      <c r="U5774" s="2">
        <v>42401</v>
      </c>
      <c r="V5774" t="s">
        <v>71</v>
      </c>
      <c r="W5774" t="str">
        <f>"               19605"</f>
        <v xml:space="preserve">               19605</v>
      </c>
      <c r="X5774" s="1">
        <v>2799.9</v>
      </c>
      <c r="Y5774">
        <v>0</v>
      </c>
      <c r="Z5774" s="5">
        <v>2295</v>
      </c>
      <c r="AA5774">
        <v>277</v>
      </c>
      <c r="AB5774" s="5">
        <v>635715</v>
      </c>
      <c r="AC5774" s="1">
        <v>2295</v>
      </c>
      <c r="AD5774">
        <v>277</v>
      </c>
      <c r="AE5774" s="1">
        <v>635715</v>
      </c>
      <c r="AF5774">
        <v>0</v>
      </c>
      <c r="AJ5774">
        <v>0</v>
      </c>
      <c r="AK5774">
        <v>0</v>
      </c>
      <c r="AL5774">
        <v>0</v>
      </c>
      <c r="AM5774">
        <v>0</v>
      </c>
      <c r="AN5774">
        <v>0</v>
      </c>
      <c r="AO5774">
        <v>0</v>
      </c>
      <c r="AP5774" s="2">
        <v>42746</v>
      </c>
      <c r="AQ5774" t="s">
        <v>72</v>
      </c>
      <c r="AR5774" t="s">
        <v>72</v>
      </c>
      <c r="AS5774">
        <v>2931</v>
      </c>
      <c r="AT5774" s="4">
        <v>42678</v>
      </c>
      <c r="AU5774" t="s">
        <v>73</v>
      </c>
      <c r="AV5774">
        <v>2931</v>
      </c>
      <c r="AW5774" s="4">
        <v>42678</v>
      </c>
      <c r="BD5774">
        <v>0</v>
      </c>
      <c r="BN5774" t="s">
        <v>74</v>
      </c>
    </row>
    <row r="5775" spans="1:66">
      <c r="A5775">
        <v>103852</v>
      </c>
      <c r="B5775" s="3" t="s">
        <v>587</v>
      </c>
      <c r="C5775" s="1">
        <v>43300101</v>
      </c>
      <c r="D5775" t="s">
        <v>67</v>
      </c>
      <c r="H5775" t="str">
        <f t="shared" si="608"/>
        <v>02790240101</v>
      </c>
      <c r="I5775" t="str">
        <f t="shared" si="608"/>
        <v>02790240101</v>
      </c>
      <c r="K5775" t="str">
        <f>""</f>
        <v/>
      </c>
      <c r="M5775" t="s">
        <v>68</v>
      </c>
      <c r="N5775" t="str">
        <f t="shared" si="607"/>
        <v>FOR</v>
      </c>
      <c r="O5775" t="s">
        <v>69</v>
      </c>
      <c r="P5775" s="3" t="s">
        <v>75</v>
      </c>
      <c r="Q5775">
        <v>2015</v>
      </c>
      <c r="R5775" s="2">
        <v>42338</v>
      </c>
      <c r="S5775" s="2">
        <v>42342</v>
      </c>
      <c r="T5775" s="2">
        <v>42341</v>
      </c>
      <c r="U5775" s="2">
        <v>42401</v>
      </c>
      <c r="V5775" t="s">
        <v>71</v>
      </c>
      <c r="W5775" t="str">
        <f>"               19606"</f>
        <v xml:space="preserve">               19606</v>
      </c>
      <c r="X5775" s="1">
        <v>1679.94</v>
      </c>
      <c r="Y5775">
        <v>0</v>
      </c>
      <c r="Z5775" s="5">
        <v>1377</v>
      </c>
      <c r="AA5775">
        <v>277</v>
      </c>
      <c r="AB5775" s="5">
        <v>381429</v>
      </c>
      <c r="AC5775" s="1">
        <v>1377</v>
      </c>
      <c r="AD5775">
        <v>277</v>
      </c>
      <c r="AE5775" s="1">
        <v>381429</v>
      </c>
      <c r="AF5775">
        <v>0</v>
      </c>
      <c r="AJ5775">
        <v>0</v>
      </c>
      <c r="AK5775">
        <v>0</v>
      </c>
      <c r="AL5775">
        <v>0</v>
      </c>
      <c r="AM5775">
        <v>0</v>
      </c>
      <c r="AN5775">
        <v>0</v>
      </c>
      <c r="AO5775">
        <v>0</v>
      </c>
      <c r="AP5775" s="2">
        <v>42746</v>
      </c>
      <c r="AQ5775" t="s">
        <v>72</v>
      </c>
      <c r="AR5775" t="s">
        <v>72</v>
      </c>
      <c r="AS5775">
        <v>2931</v>
      </c>
      <c r="AT5775" s="4">
        <v>42678</v>
      </c>
      <c r="AU5775" t="s">
        <v>73</v>
      </c>
      <c r="AV5775">
        <v>2931</v>
      </c>
      <c r="AW5775" s="4">
        <v>42678</v>
      </c>
      <c r="BD5775">
        <v>0</v>
      </c>
      <c r="BN5775" t="s">
        <v>74</v>
      </c>
    </row>
    <row r="5776" spans="1:66">
      <c r="A5776">
        <v>103852</v>
      </c>
      <c r="B5776" s="3" t="s">
        <v>587</v>
      </c>
      <c r="C5776" s="1">
        <v>43300101</v>
      </c>
      <c r="D5776" t="s">
        <v>67</v>
      </c>
      <c r="H5776" t="str">
        <f t="shared" si="608"/>
        <v>02790240101</v>
      </c>
      <c r="I5776" t="str">
        <f t="shared" si="608"/>
        <v>02790240101</v>
      </c>
      <c r="K5776" t="str">
        <f>""</f>
        <v/>
      </c>
      <c r="M5776" t="s">
        <v>68</v>
      </c>
      <c r="N5776" t="str">
        <f t="shared" si="607"/>
        <v>FOR</v>
      </c>
      <c r="O5776" t="s">
        <v>69</v>
      </c>
      <c r="P5776" s="3" t="s">
        <v>75</v>
      </c>
      <c r="Q5776">
        <v>2015</v>
      </c>
      <c r="R5776" s="2">
        <v>42353</v>
      </c>
      <c r="S5776" s="2">
        <v>42361</v>
      </c>
      <c r="T5776" s="2">
        <v>42360</v>
      </c>
      <c r="U5776" s="2">
        <v>42420</v>
      </c>
      <c r="V5776" t="s">
        <v>71</v>
      </c>
      <c r="W5776" t="str">
        <f>"               20672"</f>
        <v xml:space="preserve">               20672</v>
      </c>
      <c r="X5776">
        <v>263.52</v>
      </c>
      <c r="Y5776">
        <v>0</v>
      </c>
      <c r="Z5776" s="3">
        <v>216</v>
      </c>
      <c r="AA5776">
        <v>270</v>
      </c>
      <c r="AB5776" s="5">
        <v>58320</v>
      </c>
      <c r="AC5776">
        <v>216</v>
      </c>
      <c r="AD5776">
        <v>270</v>
      </c>
      <c r="AE5776" s="1">
        <v>58320</v>
      </c>
      <c r="AF5776">
        <v>0</v>
      </c>
      <c r="AJ5776">
        <v>0</v>
      </c>
      <c r="AK5776">
        <v>0</v>
      </c>
      <c r="AL5776">
        <v>0</v>
      </c>
      <c r="AM5776">
        <v>0</v>
      </c>
      <c r="AN5776">
        <v>0</v>
      </c>
      <c r="AO5776">
        <v>0</v>
      </c>
      <c r="AP5776" s="2">
        <v>42746</v>
      </c>
      <c r="AQ5776" t="s">
        <v>72</v>
      </c>
      <c r="AR5776" t="s">
        <v>72</v>
      </c>
      <c r="AS5776">
        <v>3145</v>
      </c>
      <c r="AT5776" s="4">
        <v>42690</v>
      </c>
      <c r="AU5776" t="s">
        <v>73</v>
      </c>
      <c r="AV5776">
        <v>3145</v>
      </c>
      <c r="AW5776" s="4">
        <v>42690</v>
      </c>
      <c r="BD5776">
        <v>0</v>
      </c>
      <c r="BN5776" t="s">
        <v>74</v>
      </c>
    </row>
    <row r="5777" spans="1:66">
      <c r="A5777">
        <v>103852</v>
      </c>
      <c r="B5777" s="3" t="s">
        <v>587</v>
      </c>
      <c r="C5777" s="1">
        <v>43300101</v>
      </c>
      <c r="D5777" t="s">
        <v>67</v>
      </c>
      <c r="H5777" t="str">
        <f t="shared" si="608"/>
        <v>02790240101</v>
      </c>
      <c r="I5777" t="str">
        <f t="shared" si="608"/>
        <v>02790240101</v>
      </c>
      <c r="K5777" t="str">
        <f>""</f>
        <v/>
      </c>
      <c r="M5777" t="s">
        <v>68</v>
      </c>
      <c r="N5777" t="str">
        <f t="shared" si="607"/>
        <v>FOR</v>
      </c>
      <c r="O5777" t="s">
        <v>69</v>
      </c>
      <c r="P5777" s="3" t="s">
        <v>75</v>
      </c>
      <c r="Q5777">
        <v>2015</v>
      </c>
      <c r="R5777" s="2">
        <v>42353</v>
      </c>
      <c r="S5777" s="2">
        <v>42361</v>
      </c>
      <c r="T5777" s="2">
        <v>42360</v>
      </c>
      <c r="U5777" s="2">
        <v>42420</v>
      </c>
      <c r="V5777" t="s">
        <v>71</v>
      </c>
      <c r="W5777" t="str">
        <f>"               20673"</f>
        <v xml:space="preserve">               20673</v>
      </c>
      <c r="X5777" s="1">
        <v>3919.86</v>
      </c>
      <c r="Y5777">
        <v>0</v>
      </c>
      <c r="Z5777" s="5">
        <v>3213</v>
      </c>
      <c r="AA5777">
        <v>270</v>
      </c>
      <c r="AB5777" s="5">
        <v>867510</v>
      </c>
      <c r="AC5777" s="1">
        <v>3213</v>
      </c>
      <c r="AD5777">
        <v>270</v>
      </c>
      <c r="AE5777" s="1">
        <v>867510</v>
      </c>
      <c r="AF5777">
        <v>0</v>
      </c>
      <c r="AJ5777">
        <v>0</v>
      </c>
      <c r="AK5777">
        <v>0</v>
      </c>
      <c r="AL5777">
        <v>0</v>
      </c>
      <c r="AM5777">
        <v>0</v>
      </c>
      <c r="AN5777">
        <v>0</v>
      </c>
      <c r="AO5777">
        <v>0</v>
      </c>
      <c r="AP5777" s="2">
        <v>42746</v>
      </c>
      <c r="AQ5777" t="s">
        <v>72</v>
      </c>
      <c r="AR5777" t="s">
        <v>72</v>
      </c>
      <c r="AS5777">
        <v>3145</v>
      </c>
      <c r="AT5777" s="4">
        <v>42690</v>
      </c>
      <c r="AU5777" t="s">
        <v>73</v>
      </c>
      <c r="AV5777">
        <v>3145</v>
      </c>
      <c r="AW5777" s="4">
        <v>42690</v>
      </c>
      <c r="BD5777">
        <v>0</v>
      </c>
      <c r="BN5777" t="s">
        <v>74</v>
      </c>
    </row>
    <row r="5778" spans="1:66">
      <c r="A5778">
        <v>103852</v>
      </c>
      <c r="B5778" s="3" t="s">
        <v>587</v>
      </c>
      <c r="C5778" s="1">
        <v>43300101</v>
      </c>
      <c r="D5778" t="s">
        <v>67</v>
      </c>
      <c r="H5778" t="str">
        <f t="shared" si="608"/>
        <v>02790240101</v>
      </c>
      <c r="I5778" t="str">
        <f t="shared" si="608"/>
        <v>02790240101</v>
      </c>
      <c r="K5778" t="str">
        <f>""</f>
        <v/>
      </c>
      <c r="M5778" t="s">
        <v>68</v>
      </c>
      <c r="N5778" t="str">
        <f t="shared" si="607"/>
        <v>FOR</v>
      </c>
      <c r="O5778" t="s">
        <v>69</v>
      </c>
      <c r="P5778" s="3" t="s">
        <v>75</v>
      </c>
      <c r="Q5778">
        <v>2015</v>
      </c>
      <c r="R5778" s="2">
        <v>42353</v>
      </c>
      <c r="S5778" s="2">
        <v>42361</v>
      </c>
      <c r="T5778" s="2">
        <v>42360</v>
      </c>
      <c r="U5778" s="2">
        <v>42420</v>
      </c>
      <c r="V5778" t="s">
        <v>71</v>
      </c>
      <c r="W5778" t="str">
        <f>"               20674"</f>
        <v xml:space="preserve">               20674</v>
      </c>
      <c r="X5778" s="1">
        <v>1119.96</v>
      </c>
      <c r="Y5778">
        <v>0</v>
      </c>
      <c r="Z5778" s="3">
        <v>918</v>
      </c>
      <c r="AA5778">
        <v>270</v>
      </c>
      <c r="AB5778" s="5">
        <v>247860</v>
      </c>
      <c r="AC5778">
        <v>918</v>
      </c>
      <c r="AD5778">
        <v>270</v>
      </c>
      <c r="AE5778" s="1">
        <v>247860</v>
      </c>
      <c r="AF5778">
        <v>0</v>
      </c>
      <c r="AJ5778">
        <v>0</v>
      </c>
      <c r="AK5778">
        <v>0</v>
      </c>
      <c r="AL5778">
        <v>0</v>
      </c>
      <c r="AM5778">
        <v>0</v>
      </c>
      <c r="AN5778">
        <v>0</v>
      </c>
      <c r="AO5778">
        <v>0</v>
      </c>
      <c r="AP5778" s="2">
        <v>42746</v>
      </c>
      <c r="AQ5778" t="s">
        <v>72</v>
      </c>
      <c r="AR5778" t="s">
        <v>72</v>
      </c>
      <c r="AS5778">
        <v>3145</v>
      </c>
      <c r="AT5778" s="4">
        <v>42690</v>
      </c>
      <c r="AU5778" t="s">
        <v>73</v>
      </c>
      <c r="AV5778">
        <v>3145</v>
      </c>
      <c r="AW5778" s="4">
        <v>42690</v>
      </c>
      <c r="BD5778">
        <v>0</v>
      </c>
      <c r="BN5778" t="s">
        <v>74</v>
      </c>
    </row>
    <row r="5779" spans="1:66">
      <c r="A5779">
        <v>103852</v>
      </c>
      <c r="B5779" s="3" t="s">
        <v>587</v>
      </c>
      <c r="C5779" s="1">
        <v>43300101</v>
      </c>
      <c r="D5779" t="s">
        <v>67</v>
      </c>
      <c r="H5779" t="str">
        <f t="shared" si="608"/>
        <v>02790240101</v>
      </c>
      <c r="I5779" t="str">
        <f t="shared" si="608"/>
        <v>02790240101</v>
      </c>
      <c r="K5779" t="str">
        <f>""</f>
        <v/>
      </c>
      <c r="M5779" t="s">
        <v>68</v>
      </c>
      <c r="N5779" t="str">
        <f t="shared" si="607"/>
        <v>FOR</v>
      </c>
      <c r="O5779" t="s">
        <v>69</v>
      </c>
      <c r="P5779" s="3" t="s">
        <v>75</v>
      </c>
      <c r="Q5779">
        <v>2015</v>
      </c>
      <c r="R5779" s="2">
        <v>42353</v>
      </c>
      <c r="S5779" s="2">
        <v>42361</v>
      </c>
      <c r="T5779" s="2">
        <v>42360</v>
      </c>
      <c r="U5779" s="2">
        <v>42420</v>
      </c>
      <c r="V5779" t="s">
        <v>71</v>
      </c>
      <c r="W5779" t="str">
        <f>"               20675"</f>
        <v xml:space="preserve">               20675</v>
      </c>
      <c r="X5779" s="1">
        <v>1035.05</v>
      </c>
      <c r="Y5779">
        <v>0</v>
      </c>
      <c r="Z5779" s="3">
        <v>848.4</v>
      </c>
      <c r="AA5779">
        <v>270</v>
      </c>
      <c r="AB5779" s="5">
        <v>229068</v>
      </c>
      <c r="AC5779">
        <v>848.4</v>
      </c>
      <c r="AD5779">
        <v>270</v>
      </c>
      <c r="AE5779" s="1">
        <v>229068</v>
      </c>
      <c r="AF5779">
        <v>0</v>
      </c>
      <c r="AJ5779">
        <v>0</v>
      </c>
      <c r="AK5779">
        <v>0</v>
      </c>
      <c r="AL5779">
        <v>0</v>
      </c>
      <c r="AM5779">
        <v>0</v>
      </c>
      <c r="AN5779">
        <v>0</v>
      </c>
      <c r="AO5779">
        <v>0</v>
      </c>
      <c r="AP5779" s="2">
        <v>42746</v>
      </c>
      <c r="AQ5779" t="s">
        <v>72</v>
      </c>
      <c r="AR5779" t="s">
        <v>72</v>
      </c>
      <c r="AS5779">
        <v>3145</v>
      </c>
      <c r="AT5779" s="4">
        <v>42690</v>
      </c>
      <c r="AU5779" t="s">
        <v>73</v>
      </c>
      <c r="AV5779">
        <v>3145</v>
      </c>
      <c r="AW5779" s="4">
        <v>42690</v>
      </c>
      <c r="BD5779">
        <v>0</v>
      </c>
      <c r="BN5779" t="s">
        <v>74</v>
      </c>
    </row>
    <row r="5780" spans="1:66">
      <c r="A5780">
        <v>103852</v>
      </c>
      <c r="B5780" s="3" t="s">
        <v>587</v>
      </c>
      <c r="C5780" s="1">
        <v>43300101</v>
      </c>
      <c r="D5780" t="s">
        <v>67</v>
      </c>
      <c r="H5780" t="str">
        <f t="shared" si="608"/>
        <v>02790240101</v>
      </c>
      <c r="I5780" t="str">
        <f t="shared" si="608"/>
        <v>02790240101</v>
      </c>
      <c r="K5780" t="str">
        <f>""</f>
        <v/>
      </c>
      <c r="M5780" t="s">
        <v>68</v>
      </c>
      <c r="N5780" t="str">
        <f t="shared" si="607"/>
        <v>FOR</v>
      </c>
      <c r="O5780" t="s">
        <v>69</v>
      </c>
      <c r="P5780" s="3" t="s">
        <v>75</v>
      </c>
      <c r="Q5780">
        <v>2016</v>
      </c>
      <c r="R5780" s="2">
        <v>42398</v>
      </c>
      <c r="S5780" s="2">
        <v>42410</v>
      </c>
      <c r="T5780" s="2">
        <v>42408</v>
      </c>
      <c r="U5780" s="2">
        <v>42468</v>
      </c>
      <c r="V5780" t="s">
        <v>71</v>
      </c>
      <c r="W5780" t="str">
        <f>"                1350"</f>
        <v xml:space="preserve">                1350</v>
      </c>
      <c r="X5780" s="1">
        <v>5375.08</v>
      </c>
      <c r="Y5780">
        <v>0</v>
      </c>
      <c r="Z5780" s="5">
        <v>4405.8</v>
      </c>
      <c r="AA5780">
        <v>255</v>
      </c>
      <c r="AB5780" s="5">
        <v>1123479</v>
      </c>
      <c r="AC5780" s="1">
        <v>4405.8</v>
      </c>
      <c r="AD5780">
        <v>255</v>
      </c>
      <c r="AE5780" s="1">
        <v>1123479</v>
      </c>
      <c r="AF5780">
        <v>969.28</v>
      </c>
      <c r="AJ5780">
        <v>0</v>
      </c>
      <c r="AK5780">
        <v>0</v>
      </c>
      <c r="AL5780">
        <v>0</v>
      </c>
      <c r="AM5780" s="1">
        <v>5375.08</v>
      </c>
      <c r="AN5780" s="1">
        <v>5375.08</v>
      </c>
      <c r="AO5780" s="1">
        <v>5375.08</v>
      </c>
      <c r="AP5780" s="2">
        <v>42746</v>
      </c>
      <c r="AQ5780" t="s">
        <v>72</v>
      </c>
      <c r="AR5780" t="s">
        <v>72</v>
      </c>
      <c r="AS5780">
        <v>3588</v>
      </c>
      <c r="AT5780" s="4">
        <v>42723</v>
      </c>
      <c r="AU5780" t="s">
        <v>73</v>
      </c>
      <c r="AV5780">
        <v>3588</v>
      </c>
      <c r="AW5780" s="4">
        <v>42723</v>
      </c>
      <c r="BD5780">
        <v>969.28</v>
      </c>
      <c r="BN5780" t="s">
        <v>74</v>
      </c>
    </row>
    <row r="5781" spans="1:66">
      <c r="A5781">
        <v>103852</v>
      </c>
      <c r="B5781" s="3" t="s">
        <v>587</v>
      </c>
      <c r="C5781" s="1">
        <v>43300101</v>
      </c>
      <c r="D5781" t="s">
        <v>67</v>
      </c>
      <c r="H5781" t="str">
        <f t="shared" si="608"/>
        <v>02790240101</v>
      </c>
      <c r="I5781" t="str">
        <f t="shared" si="608"/>
        <v>02790240101</v>
      </c>
      <c r="K5781" t="str">
        <f>""</f>
        <v/>
      </c>
      <c r="M5781" t="s">
        <v>68</v>
      </c>
      <c r="N5781" t="str">
        <f t="shared" si="607"/>
        <v>FOR</v>
      </c>
      <c r="O5781" t="s">
        <v>69</v>
      </c>
      <c r="P5781" s="3" t="s">
        <v>75</v>
      </c>
      <c r="Q5781">
        <v>2016</v>
      </c>
      <c r="R5781" s="2">
        <v>42398</v>
      </c>
      <c r="S5781" s="2">
        <v>42410</v>
      </c>
      <c r="T5781" s="2">
        <v>42408</v>
      </c>
      <c r="U5781" s="2">
        <v>42468</v>
      </c>
      <c r="V5781" t="s">
        <v>71</v>
      </c>
      <c r="W5781" t="str">
        <f>"                1351"</f>
        <v xml:space="preserve">                1351</v>
      </c>
      <c r="X5781">
        <v>614.88</v>
      </c>
      <c r="Y5781">
        <v>0</v>
      </c>
      <c r="Z5781" s="3">
        <v>504</v>
      </c>
      <c r="AA5781">
        <v>255</v>
      </c>
      <c r="AB5781" s="5">
        <v>128520</v>
      </c>
      <c r="AC5781">
        <v>504</v>
      </c>
      <c r="AD5781">
        <v>255</v>
      </c>
      <c r="AE5781" s="1">
        <v>128520</v>
      </c>
      <c r="AF5781">
        <v>110.88</v>
      </c>
      <c r="AJ5781">
        <v>0</v>
      </c>
      <c r="AK5781">
        <v>0</v>
      </c>
      <c r="AL5781">
        <v>0</v>
      </c>
      <c r="AM5781">
        <v>614.88</v>
      </c>
      <c r="AN5781">
        <v>614.88</v>
      </c>
      <c r="AO5781">
        <v>614.88</v>
      </c>
      <c r="AP5781" s="2">
        <v>42746</v>
      </c>
      <c r="AQ5781" t="s">
        <v>72</v>
      </c>
      <c r="AR5781" t="s">
        <v>72</v>
      </c>
      <c r="AS5781">
        <v>3588</v>
      </c>
      <c r="AT5781" s="4">
        <v>42723</v>
      </c>
      <c r="AU5781" t="s">
        <v>73</v>
      </c>
      <c r="AV5781">
        <v>3588</v>
      </c>
      <c r="AW5781" s="4">
        <v>42723</v>
      </c>
      <c r="BD5781">
        <v>110.88</v>
      </c>
      <c r="BN5781" t="s">
        <v>74</v>
      </c>
    </row>
    <row r="5782" spans="1:66">
      <c r="A5782">
        <v>103852</v>
      </c>
      <c r="B5782" s="3" t="s">
        <v>587</v>
      </c>
      <c r="C5782" s="1">
        <v>43300101</v>
      </c>
      <c r="D5782" t="s">
        <v>67</v>
      </c>
      <c r="H5782" t="str">
        <f t="shared" si="608"/>
        <v>02790240101</v>
      </c>
      <c r="I5782" t="str">
        <f t="shared" si="608"/>
        <v>02790240101</v>
      </c>
      <c r="K5782" t="str">
        <f>""</f>
        <v/>
      </c>
      <c r="M5782" t="s">
        <v>68</v>
      </c>
      <c r="N5782" t="str">
        <f t="shared" si="607"/>
        <v>FOR</v>
      </c>
      <c r="O5782" t="s">
        <v>69</v>
      </c>
      <c r="P5782" s="3" t="s">
        <v>75</v>
      </c>
      <c r="Q5782">
        <v>2016</v>
      </c>
      <c r="R5782" s="2">
        <v>42398</v>
      </c>
      <c r="S5782" s="2">
        <v>42410</v>
      </c>
      <c r="T5782" s="2">
        <v>42408</v>
      </c>
      <c r="U5782" s="2">
        <v>42468</v>
      </c>
      <c r="V5782" t="s">
        <v>71</v>
      </c>
      <c r="W5782" t="str">
        <f>"                1352"</f>
        <v xml:space="preserve">                1352</v>
      </c>
      <c r="X5782" s="1">
        <v>1304.18</v>
      </c>
      <c r="Y5782">
        <v>0</v>
      </c>
      <c r="Z5782" s="5">
        <v>1069</v>
      </c>
      <c r="AA5782">
        <v>255</v>
      </c>
      <c r="AB5782" s="5">
        <v>272595</v>
      </c>
      <c r="AC5782" s="1">
        <v>1069</v>
      </c>
      <c r="AD5782">
        <v>255</v>
      </c>
      <c r="AE5782" s="1">
        <v>272595</v>
      </c>
      <c r="AF5782">
        <v>235.18</v>
      </c>
      <c r="AJ5782">
        <v>0</v>
      </c>
      <c r="AK5782">
        <v>0</v>
      </c>
      <c r="AL5782">
        <v>0</v>
      </c>
      <c r="AM5782" s="1">
        <v>1304.18</v>
      </c>
      <c r="AN5782" s="1">
        <v>1304.18</v>
      </c>
      <c r="AO5782" s="1">
        <v>1304.18</v>
      </c>
      <c r="AP5782" s="2">
        <v>42746</v>
      </c>
      <c r="AQ5782" t="s">
        <v>72</v>
      </c>
      <c r="AR5782" t="s">
        <v>72</v>
      </c>
      <c r="AS5782">
        <v>3588</v>
      </c>
      <c r="AT5782" s="4">
        <v>42723</v>
      </c>
      <c r="AU5782" t="s">
        <v>73</v>
      </c>
      <c r="AV5782">
        <v>3588</v>
      </c>
      <c r="AW5782" s="4">
        <v>42723</v>
      </c>
      <c r="BD5782">
        <v>235.18</v>
      </c>
      <c r="BN5782" t="s">
        <v>74</v>
      </c>
    </row>
    <row r="5783" spans="1:66">
      <c r="A5783">
        <v>103852</v>
      </c>
      <c r="B5783" s="3" t="s">
        <v>587</v>
      </c>
      <c r="C5783" s="1">
        <v>43300101</v>
      </c>
      <c r="D5783" t="s">
        <v>67</v>
      </c>
      <c r="H5783" t="str">
        <f t="shared" si="608"/>
        <v>02790240101</v>
      </c>
      <c r="I5783" t="str">
        <f t="shared" si="608"/>
        <v>02790240101</v>
      </c>
      <c r="K5783" t="str">
        <f>""</f>
        <v/>
      </c>
      <c r="M5783" t="s">
        <v>68</v>
      </c>
      <c r="N5783" t="str">
        <f t="shared" si="607"/>
        <v>FOR</v>
      </c>
      <c r="O5783" t="s">
        <v>69</v>
      </c>
      <c r="P5783" s="3" t="s">
        <v>75</v>
      </c>
      <c r="Q5783">
        <v>2016</v>
      </c>
      <c r="R5783" s="2">
        <v>42398</v>
      </c>
      <c r="S5783" s="2">
        <v>42410</v>
      </c>
      <c r="T5783" s="2">
        <v>42408</v>
      </c>
      <c r="U5783" s="2">
        <v>42468</v>
      </c>
      <c r="V5783" t="s">
        <v>71</v>
      </c>
      <c r="W5783" t="str">
        <f>"                1353"</f>
        <v xml:space="preserve">                1353</v>
      </c>
      <c r="X5783">
        <v>230.58</v>
      </c>
      <c r="Y5783">
        <v>0</v>
      </c>
      <c r="Z5783" s="3">
        <v>189</v>
      </c>
      <c r="AA5783">
        <v>255</v>
      </c>
      <c r="AB5783" s="5">
        <v>48195</v>
      </c>
      <c r="AC5783">
        <v>189</v>
      </c>
      <c r="AD5783">
        <v>255</v>
      </c>
      <c r="AE5783" s="1">
        <v>48195</v>
      </c>
      <c r="AF5783">
        <v>41.58</v>
      </c>
      <c r="AJ5783">
        <v>0</v>
      </c>
      <c r="AK5783">
        <v>0</v>
      </c>
      <c r="AL5783">
        <v>0</v>
      </c>
      <c r="AM5783">
        <v>230.58</v>
      </c>
      <c r="AN5783">
        <v>230.58</v>
      </c>
      <c r="AO5783">
        <v>230.58</v>
      </c>
      <c r="AP5783" s="2">
        <v>42746</v>
      </c>
      <c r="AQ5783" t="s">
        <v>72</v>
      </c>
      <c r="AR5783" t="s">
        <v>72</v>
      </c>
      <c r="AS5783">
        <v>3588</v>
      </c>
      <c r="AT5783" s="4">
        <v>42723</v>
      </c>
      <c r="AU5783" t="s">
        <v>73</v>
      </c>
      <c r="AV5783">
        <v>3588</v>
      </c>
      <c r="AW5783" s="4">
        <v>42723</v>
      </c>
      <c r="BD5783">
        <v>41.58</v>
      </c>
      <c r="BN5783" t="s">
        <v>74</v>
      </c>
    </row>
    <row r="5784" spans="1:66">
      <c r="A5784">
        <v>103852</v>
      </c>
      <c r="B5784" s="3" t="s">
        <v>587</v>
      </c>
      <c r="C5784" s="1">
        <v>43300101</v>
      </c>
      <c r="D5784" t="s">
        <v>67</v>
      </c>
      <c r="H5784" t="str">
        <f t="shared" si="608"/>
        <v>02790240101</v>
      </c>
      <c r="I5784" t="str">
        <f t="shared" si="608"/>
        <v>02790240101</v>
      </c>
      <c r="K5784" t="str">
        <f>""</f>
        <v/>
      </c>
      <c r="M5784" t="s">
        <v>68</v>
      </c>
      <c r="N5784" t="str">
        <f t="shared" si="607"/>
        <v>FOR</v>
      </c>
      <c r="O5784" t="s">
        <v>69</v>
      </c>
      <c r="P5784" s="3" t="s">
        <v>75</v>
      </c>
      <c r="Q5784">
        <v>2016</v>
      </c>
      <c r="R5784" s="2">
        <v>42398</v>
      </c>
      <c r="S5784" s="2">
        <v>42410</v>
      </c>
      <c r="T5784" s="2">
        <v>42408</v>
      </c>
      <c r="U5784" s="2">
        <v>42468</v>
      </c>
      <c r="V5784" t="s">
        <v>71</v>
      </c>
      <c r="W5784" t="str">
        <f>"                1354"</f>
        <v xml:space="preserve">                1354</v>
      </c>
      <c r="X5784">
        <v>860.83</v>
      </c>
      <c r="Y5784">
        <v>0</v>
      </c>
      <c r="Z5784" s="3">
        <v>705.6</v>
      </c>
      <c r="AA5784">
        <v>255</v>
      </c>
      <c r="AB5784" s="5">
        <v>179928</v>
      </c>
      <c r="AC5784">
        <v>705.6</v>
      </c>
      <c r="AD5784">
        <v>255</v>
      </c>
      <c r="AE5784" s="1">
        <v>179928</v>
      </c>
      <c r="AF5784">
        <v>155.22999999999999</v>
      </c>
      <c r="AJ5784">
        <v>0</v>
      </c>
      <c r="AK5784">
        <v>0</v>
      </c>
      <c r="AL5784">
        <v>0</v>
      </c>
      <c r="AM5784">
        <v>860.83</v>
      </c>
      <c r="AN5784">
        <v>860.83</v>
      </c>
      <c r="AO5784">
        <v>860.83</v>
      </c>
      <c r="AP5784" s="2">
        <v>42746</v>
      </c>
      <c r="AQ5784" t="s">
        <v>72</v>
      </c>
      <c r="AR5784" t="s">
        <v>72</v>
      </c>
      <c r="AS5784">
        <v>3588</v>
      </c>
      <c r="AT5784" s="4">
        <v>42723</v>
      </c>
      <c r="AU5784" t="s">
        <v>73</v>
      </c>
      <c r="AV5784">
        <v>3588</v>
      </c>
      <c r="AW5784" s="4">
        <v>42723</v>
      </c>
      <c r="BD5784">
        <v>155.22999999999999</v>
      </c>
      <c r="BN5784" t="s">
        <v>74</v>
      </c>
    </row>
    <row r="5785" spans="1:66">
      <c r="A5785">
        <v>103852</v>
      </c>
      <c r="B5785" s="3" t="s">
        <v>587</v>
      </c>
      <c r="C5785" s="1">
        <v>43300101</v>
      </c>
      <c r="D5785" t="s">
        <v>67</v>
      </c>
      <c r="H5785" t="str">
        <f t="shared" si="608"/>
        <v>02790240101</v>
      </c>
      <c r="I5785" t="str">
        <f t="shared" si="608"/>
        <v>02790240101</v>
      </c>
      <c r="K5785" t="str">
        <f>""</f>
        <v/>
      </c>
      <c r="M5785" t="s">
        <v>68</v>
      </c>
      <c r="N5785" t="str">
        <f t="shared" si="607"/>
        <v>FOR</v>
      </c>
      <c r="O5785" t="s">
        <v>69</v>
      </c>
      <c r="P5785" s="3" t="s">
        <v>75</v>
      </c>
      <c r="Q5785">
        <v>2016</v>
      </c>
      <c r="R5785" s="2">
        <v>42398</v>
      </c>
      <c r="S5785" s="2">
        <v>42410</v>
      </c>
      <c r="T5785" s="2">
        <v>42408</v>
      </c>
      <c r="U5785" s="2">
        <v>42468</v>
      </c>
      <c r="V5785" t="s">
        <v>71</v>
      </c>
      <c r="W5785" t="str">
        <f>"                1355"</f>
        <v xml:space="preserve">                1355</v>
      </c>
      <c r="X5785" s="1">
        <v>1815.36</v>
      </c>
      <c r="Y5785">
        <v>0</v>
      </c>
      <c r="Z5785" s="5">
        <v>1488</v>
      </c>
      <c r="AA5785">
        <v>255</v>
      </c>
      <c r="AB5785" s="5">
        <v>379440</v>
      </c>
      <c r="AC5785" s="1">
        <v>1488</v>
      </c>
      <c r="AD5785">
        <v>255</v>
      </c>
      <c r="AE5785" s="1">
        <v>379440</v>
      </c>
      <c r="AF5785">
        <v>327.36</v>
      </c>
      <c r="AJ5785">
        <v>0</v>
      </c>
      <c r="AK5785">
        <v>0</v>
      </c>
      <c r="AL5785">
        <v>0</v>
      </c>
      <c r="AM5785" s="1">
        <v>1815.36</v>
      </c>
      <c r="AN5785" s="1">
        <v>1815.36</v>
      </c>
      <c r="AO5785" s="1">
        <v>1815.36</v>
      </c>
      <c r="AP5785" s="2">
        <v>42746</v>
      </c>
      <c r="AQ5785" t="s">
        <v>72</v>
      </c>
      <c r="AR5785" t="s">
        <v>72</v>
      </c>
      <c r="AS5785">
        <v>3588</v>
      </c>
      <c r="AT5785" s="4">
        <v>42723</v>
      </c>
      <c r="AU5785" t="s">
        <v>73</v>
      </c>
      <c r="AV5785">
        <v>3588</v>
      </c>
      <c r="AW5785" s="4">
        <v>42723</v>
      </c>
      <c r="BD5785">
        <v>327.36</v>
      </c>
      <c r="BN5785" t="s">
        <v>74</v>
      </c>
    </row>
    <row r="5786" spans="1:66">
      <c r="A5786">
        <v>103852</v>
      </c>
      <c r="B5786" s="3" t="s">
        <v>587</v>
      </c>
      <c r="C5786" s="1">
        <v>43300101</v>
      </c>
      <c r="D5786" t="s">
        <v>67</v>
      </c>
      <c r="H5786" t="str">
        <f t="shared" si="608"/>
        <v>02790240101</v>
      </c>
      <c r="I5786" t="str">
        <f t="shared" si="608"/>
        <v>02790240101</v>
      </c>
      <c r="K5786" t="str">
        <f>""</f>
        <v/>
      </c>
      <c r="M5786" t="s">
        <v>68</v>
      </c>
      <c r="N5786" t="str">
        <f t="shared" si="607"/>
        <v>FOR</v>
      </c>
      <c r="O5786" t="s">
        <v>69</v>
      </c>
      <c r="P5786" s="3" t="s">
        <v>75</v>
      </c>
      <c r="Q5786">
        <v>2016</v>
      </c>
      <c r="R5786" s="2">
        <v>42398</v>
      </c>
      <c r="S5786" s="2">
        <v>42410</v>
      </c>
      <c r="T5786" s="2">
        <v>42408</v>
      </c>
      <c r="U5786" s="2">
        <v>42468</v>
      </c>
      <c r="V5786" t="s">
        <v>71</v>
      </c>
      <c r="W5786" t="str">
        <f>"                1356"</f>
        <v xml:space="preserve">                1356</v>
      </c>
      <c r="X5786" s="1">
        <v>6719.76</v>
      </c>
      <c r="Y5786">
        <v>0</v>
      </c>
      <c r="Z5786" s="5">
        <v>5508</v>
      </c>
      <c r="AA5786">
        <v>255</v>
      </c>
      <c r="AB5786" s="5">
        <v>1404540</v>
      </c>
      <c r="AC5786" s="1">
        <v>5508</v>
      </c>
      <c r="AD5786">
        <v>255</v>
      </c>
      <c r="AE5786" s="1">
        <v>1404540</v>
      </c>
      <c r="AF5786" s="1">
        <v>1211.76</v>
      </c>
      <c r="AJ5786">
        <v>0</v>
      </c>
      <c r="AK5786">
        <v>0</v>
      </c>
      <c r="AL5786">
        <v>0</v>
      </c>
      <c r="AM5786" s="1">
        <v>6719.76</v>
      </c>
      <c r="AN5786" s="1">
        <v>6719.76</v>
      </c>
      <c r="AO5786" s="1">
        <v>6719.76</v>
      </c>
      <c r="AP5786" s="2">
        <v>42746</v>
      </c>
      <c r="AQ5786" t="s">
        <v>72</v>
      </c>
      <c r="AR5786" t="s">
        <v>72</v>
      </c>
      <c r="AS5786">
        <v>3588</v>
      </c>
      <c r="AT5786" s="4">
        <v>42723</v>
      </c>
      <c r="AU5786" t="s">
        <v>73</v>
      </c>
      <c r="AV5786">
        <v>3588</v>
      </c>
      <c r="AW5786" s="4">
        <v>42723</v>
      </c>
      <c r="BD5786" s="1">
        <v>1211.76</v>
      </c>
      <c r="BN5786" t="s">
        <v>74</v>
      </c>
    </row>
    <row r="5787" spans="1:66">
      <c r="A5787">
        <v>103852</v>
      </c>
      <c r="B5787" s="3" t="s">
        <v>587</v>
      </c>
      <c r="C5787" s="1">
        <v>43300101</v>
      </c>
      <c r="D5787" t="s">
        <v>67</v>
      </c>
      <c r="H5787" t="str">
        <f t="shared" si="608"/>
        <v>02790240101</v>
      </c>
      <c r="I5787" t="str">
        <f t="shared" si="608"/>
        <v>02790240101</v>
      </c>
      <c r="K5787" t="str">
        <f>""</f>
        <v/>
      </c>
      <c r="M5787" t="s">
        <v>68</v>
      </c>
      <c r="N5787" t="str">
        <f t="shared" si="607"/>
        <v>FOR</v>
      </c>
      <c r="O5787" t="s">
        <v>69</v>
      </c>
      <c r="P5787" s="3" t="s">
        <v>75</v>
      </c>
      <c r="Q5787">
        <v>2016</v>
      </c>
      <c r="R5787" s="2">
        <v>42398</v>
      </c>
      <c r="S5787" s="2">
        <v>42410</v>
      </c>
      <c r="T5787" s="2">
        <v>42408</v>
      </c>
      <c r="U5787" s="2">
        <v>42468</v>
      </c>
      <c r="V5787" t="s">
        <v>71</v>
      </c>
      <c r="W5787" t="str">
        <f>"                1357"</f>
        <v xml:space="preserve">                1357</v>
      </c>
      <c r="X5787">
        <v>469.7</v>
      </c>
      <c r="Y5787">
        <v>0</v>
      </c>
      <c r="Z5787" s="3">
        <v>385</v>
      </c>
      <c r="AA5787">
        <v>255</v>
      </c>
      <c r="AB5787" s="5">
        <v>98175</v>
      </c>
      <c r="AC5787">
        <v>385</v>
      </c>
      <c r="AD5787">
        <v>255</v>
      </c>
      <c r="AE5787" s="1">
        <v>98175</v>
      </c>
      <c r="AF5787">
        <v>84.7</v>
      </c>
      <c r="AJ5787">
        <v>0</v>
      </c>
      <c r="AK5787">
        <v>0</v>
      </c>
      <c r="AL5787">
        <v>0</v>
      </c>
      <c r="AM5787">
        <v>469.7</v>
      </c>
      <c r="AN5787">
        <v>469.7</v>
      </c>
      <c r="AO5787">
        <v>469.7</v>
      </c>
      <c r="AP5787" s="2">
        <v>42746</v>
      </c>
      <c r="AQ5787" t="s">
        <v>72</v>
      </c>
      <c r="AR5787" t="s">
        <v>72</v>
      </c>
      <c r="AS5787">
        <v>3588</v>
      </c>
      <c r="AT5787" s="4">
        <v>42723</v>
      </c>
      <c r="AU5787" t="s">
        <v>73</v>
      </c>
      <c r="AV5787">
        <v>3588</v>
      </c>
      <c r="AW5787" s="4">
        <v>42723</v>
      </c>
      <c r="BD5787">
        <v>84.7</v>
      </c>
      <c r="BN5787" t="s">
        <v>74</v>
      </c>
    </row>
    <row r="5788" spans="1:66">
      <c r="A5788">
        <v>103852</v>
      </c>
      <c r="B5788" s="3" t="s">
        <v>587</v>
      </c>
      <c r="C5788" s="1">
        <v>43300101</v>
      </c>
      <c r="D5788" t="s">
        <v>67</v>
      </c>
      <c r="H5788" t="str">
        <f t="shared" si="608"/>
        <v>02790240101</v>
      </c>
      <c r="I5788" t="str">
        <f t="shared" si="608"/>
        <v>02790240101</v>
      </c>
      <c r="K5788" t="str">
        <f>""</f>
        <v/>
      </c>
      <c r="M5788" t="s">
        <v>68</v>
      </c>
      <c r="N5788" t="str">
        <f t="shared" si="607"/>
        <v>FOR</v>
      </c>
      <c r="O5788" t="s">
        <v>69</v>
      </c>
      <c r="P5788" s="3" t="s">
        <v>75</v>
      </c>
      <c r="Q5788">
        <v>2016</v>
      </c>
      <c r="R5788" s="2">
        <v>42429</v>
      </c>
      <c r="S5788" s="2">
        <v>42436</v>
      </c>
      <c r="T5788" s="2">
        <v>42432</v>
      </c>
      <c r="U5788" s="2">
        <v>42492</v>
      </c>
      <c r="V5788" t="s">
        <v>71</v>
      </c>
      <c r="W5788" t="str">
        <f>"                3325"</f>
        <v xml:space="preserve">                3325</v>
      </c>
      <c r="X5788">
        <v>451.4</v>
      </c>
      <c r="Y5788">
        <v>0</v>
      </c>
      <c r="Z5788" s="3">
        <v>370</v>
      </c>
      <c r="AA5788">
        <v>231</v>
      </c>
      <c r="AB5788" s="5">
        <v>85470</v>
      </c>
      <c r="AC5788">
        <v>370</v>
      </c>
      <c r="AD5788">
        <v>231</v>
      </c>
      <c r="AE5788" s="1">
        <v>85470</v>
      </c>
      <c r="AF5788">
        <v>81.400000000000006</v>
      </c>
      <c r="AJ5788">
        <v>0</v>
      </c>
      <c r="AK5788">
        <v>0</v>
      </c>
      <c r="AL5788">
        <v>0</v>
      </c>
      <c r="AM5788">
        <v>451.4</v>
      </c>
      <c r="AN5788">
        <v>451.4</v>
      </c>
      <c r="AO5788">
        <v>451.4</v>
      </c>
      <c r="AP5788" s="2">
        <v>42746</v>
      </c>
      <c r="AQ5788" t="s">
        <v>72</v>
      </c>
      <c r="AR5788" t="s">
        <v>72</v>
      </c>
      <c r="AS5788">
        <v>3588</v>
      </c>
      <c r="AT5788" s="4">
        <v>42723</v>
      </c>
      <c r="AU5788" t="s">
        <v>73</v>
      </c>
      <c r="AV5788">
        <v>3588</v>
      </c>
      <c r="AW5788" s="4">
        <v>42723</v>
      </c>
      <c r="BD5788">
        <v>81.400000000000006</v>
      </c>
      <c r="BN5788" t="s">
        <v>74</v>
      </c>
    </row>
    <row r="5789" spans="1:66">
      <c r="A5789">
        <v>103852</v>
      </c>
      <c r="B5789" s="3" t="s">
        <v>587</v>
      </c>
      <c r="C5789" s="1">
        <v>43300101</v>
      </c>
      <c r="D5789" t="s">
        <v>67</v>
      </c>
      <c r="H5789" t="str">
        <f t="shared" si="608"/>
        <v>02790240101</v>
      </c>
      <c r="I5789" t="str">
        <f t="shared" si="608"/>
        <v>02790240101</v>
      </c>
      <c r="K5789" t="str">
        <f>""</f>
        <v/>
      </c>
      <c r="M5789" t="s">
        <v>68</v>
      </c>
      <c r="N5789" t="str">
        <f t="shared" si="607"/>
        <v>FOR</v>
      </c>
      <c r="O5789" t="s">
        <v>69</v>
      </c>
      <c r="P5789" s="3" t="s">
        <v>75</v>
      </c>
      <c r="Q5789">
        <v>2016</v>
      </c>
      <c r="R5789" s="2">
        <v>42429</v>
      </c>
      <c r="S5789" s="2">
        <v>42436</v>
      </c>
      <c r="T5789" s="2">
        <v>42432</v>
      </c>
      <c r="U5789" s="2">
        <v>42492</v>
      </c>
      <c r="V5789" t="s">
        <v>71</v>
      </c>
      <c r="W5789" t="str">
        <f>"                3326"</f>
        <v xml:space="preserve">                3326</v>
      </c>
      <c r="X5789" s="1">
        <v>1780.71</v>
      </c>
      <c r="Y5789">
        <v>0</v>
      </c>
      <c r="Z5789" s="5">
        <v>1459.6</v>
      </c>
      <c r="AA5789">
        <v>231</v>
      </c>
      <c r="AB5789" s="5">
        <v>337167.6</v>
      </c>
      <c r="AC5789" s="1">
        <v>1459.6</v>
      </c>
      <c r="AD5789">
        <v>231</v>
      </c>
      <c r="AE5789" s="1">
        <v>337167.6</v>
      </c>
      <c r="AF5789">
        <v>321.11</v>
      </c>
      <c r="AJ5789">
        <v>0</v>
      </c>
      <c r="AK5789">
        <v>0</v>
      </c>
      <c r="AL5789">
        <v>0</v>
      </c>
      <c r="AM5789" s="1">
        <v>1780.71</v>
      </c>
      <c r="AN5789" s="1">
        <v>1780.71</v>
      </c>
      <c r="AO5789" s="1">
        <v>1780.71</v>
      </c>
      <c r="AP5789" s="2">
        <v>42746</v>
      </c>
      <c r="AQ5789" t="s">
        <v>72</v>
      </c>
      <c r="AR5789" t="s">
        <v>72</v>
      </c>
      <c r="AS5789">
        <v>3588</v>
      </c>
      <c r="AT5789" s="4">
        <v>42723</v>
      </c>
      <c r="AU5789" t="s">
        <v>73</v>
      </c>
      <c r="AV5789">
        <v>3588</v>
      </c>
      <c r="AW5789" s="4">
        <v>42723</v>
      </c>
      <c r="BD5789">
        <v>321.11</v>
      </c>
      <c r="BN5789" t="s">
        <v>74</v>
      </c>
    </row>
    <row r="5790" spans="1:66">
      <c r="A5790">
        <v>103852</v>
      </c>
      <c r="B5790" s="3" t="s">
        <v>587</v>
      </c>
      <c r="C5790" s="1">
        <v>43300101</v>
      </c>
      <c r="D5790" t="s">
        <v>67</v>
      </c>
      <c r="H5790" t="str">
        <f t="shared" si="608"/>
        <v>02790240101</v>
      </c>
      <c r="I5790" t="str">
        <f t="shared" si="608"/>
        <v>02790240101</v>
      </c>
      <c r="K5790" t="str">
        <f>""</f>
        <v/>
      </c>
      <c r="M5790" t="s">
        <v>68</v>
      </c>
      <c r="N5790" t="str">
        <f t="shared" si="607"/>
        <v>FOR</v>
      </c>
      <c r="O5790" t="s">
        <v>69</v>
      </c>
      <c r="P5790" s="3" t="s">
        <v>75</v>
      </c>
      <c r="Q5790">
        <v>2016</v>
      </c>
      <c r="R5790" s="2">
        <v>42429</v>
      </c>
      <c r="S5790" s="2">
        <v>42436</v>
      </c>
      <c r="T5790" s="2">
        <v>42432</v>
      </c>
      <c r="U5790" s="2">
        <v>42492</v>
      </c>
      <c r="V5790" t="s">
        <v>71</v>
      </c>
      <c r="W5790" t="str">
        <f>"                3327"</f>
        <v xml:space="preserve">                3327</v>
      </c>
      <c r="X5790">
        <v>90.28</v>
      </c>
      <c r="Y5790">
        <v>0</v>
      </c>
      <c r="Z5790" s="3">
        <v>74</v>
      </c>
      <c r="AA5790">
        <v>231</v>
      </c>
      <c r="AB5790" s="5">
        <v>17094</v>
      </c>
      <c r="AC5790">
        <v>74</v>
      </c>
      <c r="AD5790">
        <v>231</v>
      </c>
      <c r="AE5790" s="1">
        <v>17094</v>
      </c>
      <c r="AF5790">
        <v>16.28</v>
      </c>
      <c r="AJ5790">
        <v>0</v>
      </c>
      <c r="AK5790">
        <v>0</v>
      </c>
      <c r="AL5790">
        <v>0</v>
      </c>
      <c r="AM5790">
        <v>90.28</v>
      </c>
      <c r="AN5790">
        <v>90.28</v>
      </c>
      <c r="AO5790">
        <v>90.28</v>
      </c>
      <c r="AP5790" s="2">
        <v>42746</v>
      </c>
      <c r="AQ5790" t="s">
        <v>72</v>
      </c>
      <c r="AR5790" t="s">
        <v>72</v>
      </c>
      <c r="AS5790">
        <v>3588</v>
      </c>
      <c r="AT5790" s="4">
        <v>42723</v>
      </c>
      <c r="AU5790" t="s">
        <v>73</v>
      </c>
      <c r="AV5790">
        <v>3588</v>
      </c>
      <c r="AW5790" s="4">
        <v>42723</v>
      </c>
      <c r="BD5790">
        <v>16.28</v>
      </c>
      <c r="BN5790" t="s">
        <v>74</v>
      </c>
    </row>
    <row r="5791" spans="1:66">
      <c r="A5791">
        <v>103852</v>
      </c>
      <c r="B5791" s="3" t="s">
        <v>587</v>
      </c>
      <c r="C5791" s="1">
        <v>43300101</v>
      </c>
      <c r="D5791" t="s">
        <v>67</v>
      </c>
      <c r="H5791" t="str">
        <f t="shared" si="608"/>
        <v>02790240101</v>
      </c>
      <c r="I5791" t="str">
        <f t="shared" si="608"/>
        <v>02790240101</v>
      </c>
      <c r="K5791" t="str">
        <f>""</f>
        <v/>
      </c>
      <c r="M5791" t="s">
        <v>68</v>
      </c>
      <c r="N5791" t="str">
        <f t="shared" si="607"/>
        <v>FOR</v>
      </c>
      <c r="O5791" t="s">
        <v>69</v>
      </c>
      <c r="P5791" s="3" t="s">
        <v>75</v>
      </c>
      <c r="Q5791">
        <v>2016</v>
      </c>
      <c r="R5791" s="2">
        <v>42429</v>
      </c>
      <c r="S5791" s="2">
        <v>42436</v>
      </c>
      <c r="T5791" s="2">
        <v>42432</v>
      </c>
      <c r="U5791" s="2">
        <v>42492</v>
      </c>
      <c r="V5791" t="s">
        <v>71</v>
      </c>
      <c r="W5791" t="str">
        <f>"                3328"</f>
        <v xml:space="preserve">                3328</v>
      </c>
      <c r="X5791">
        <v>907.68</v>
      </c>
      <c r="Y5791">
        <v>0</v>
      </c>
      <c r="Z5791" s="3">
        <v>744</v>
      </c>
      <c r="AA5791">
        <v>231</v>
      </c>
      <c r="AB5791" s="5">
        <v>171864</v>
      </c>
      <c r="AC5791">
        <v>744</v>
      </c>
      <c r="AD5791">
        <v>231</v>
      </c>
      <c r="AE5791" s="1">
        <v>171864</v>
      </c>
      <c r="AF5791">
        <v>163.68</v>
      </c>
      <c r="AJ5791">
        <v>0</v>
      </c>
      <c r="AK5791">
        <v>0</v>
      </c>
      <c r="AL5791">
        <v>0</v>
      </c>
      <c r="AM5791">
        <v>907.68</v>
      </c>
      <c r="AN5791">
        <v>907.68</v>
      </c>
      <c r="AO5791">
        <v>907.68</v>
      </c>
      <c r="AP5791" s="2">
        <v>42746</v>
      </c>
      <c r="AQ5791" t="s">
        <v>72</v>
      </c>
      <c r="AR5791" t="s">
        <v>72</v>
      </c>
      <c r="AS5791">
        <v>3588</v>
      </c>
      <c r="AT5791" s="4">
        <v>42723</v>
      </c>
      <c r="AU5791" t="s">
        <v>73</v>
      </c>
      <c r="AV5791">
        <v>3588</v>
      </c>
      <c r="AW5791" s="4">
        <v>42723</v>
      </c>
      <c r="BD5791">
        <v>163.68</v>
      </c>
      <c r="BN5791" t="s">
        <v>74</v>
      </c>
    </row>
    <row r="5792" spans="1:66">
      <c r="A5792">
        <v>103852</v>
      </c>
      <c r="B5792" s="3" t="s">
        <v>587</v>
      </c>
      <c r="C5792" s="1">
        <v>43300101</v>
      </c>
      <c r="D5792" t="s">
        <v>67</v>
      </c>
      <c r="H5792" t="str">
        <f t="shared" si="608"/>
        <v>02790240101</v>
      </c>
      <c r="I5792" t="str">
        <f t="shared" si="608"/>
        <v>02790240101</v>
      </c>
      <c r="K5792" t="str">
        <f>""</f>
        <v/>
      </c>
      <c r="M5792" t="s">
        <v>68</v>
      </c>
      <c r="N5792" t="str">
        <f t="shared" si="607"/>
        <v>FOR</v>
      </c>
      <c r="O5792" t="s">
        <v>69</v>
      </c>
      <c r="P5792" s="3" t="s">
        <v>75</v>
      </c>
      <c r="Q5792">
        <v>2016</v>
      </c>
      <c r="R5792" s="2">
        <v>42429</v>
      </c>
      <c r="S5792" s="2">
        <v>42436</v>
      </c>
      <c r="T5792" s="2">
        <v>42432</v>
      </c>
      <c r="U5792" s="2">
        <v>42492</v>
      </c>
      <c r="V5792" t="s">
        <v>71</v>
      </c>
      <c r="W5792" t="str">
        <f>"                3329"</f>
        <v xml:space="preserve">                3329</v>
      </c>
      <c r="X5792">
        <v>614.88</v>
      </c>
      <c r="Y5792">
        <v>0</v>
      </c>
      <c r="Z5792" s="3">
        <v>504</v>
      </c>
      <c r="AA5792">
        <v>231</v>
      </c>
      <c r="AB5792" s="5">
        <v>116424</v>
      </c>
      <c r="AC5792">
        <v>504</v>
      </c>
      <c r="AD5792">
        <v>231</v>
      </c>
      <c r="AE5792" s="1">
        <v>116424</v>
      </c>
      <c r="AF5792">
        <v>110.88</v>
      </c>
      <c r="AJ5792">
        <v>0</v>
      </c>
      <c r="AK5792">
        <v>0</v>
      </c>
      <c r="AL5792">
        <v>0</v>
      </c>
      <c r="AM5792">
        <v>614.88</v>
      </c>
      <c r="AN5792">
        <v>614.88</v>
      </c>
      <c r="AO5792">
        <v>614.88</v>
      </c>
      <c r="AP5792" s="2">
        <v>42746</v>
      </c>
      <c r="AQ5792" t="s">
        <v>72</v>
      </c>
      <c r="AR5792" t="s">
        <v>72</v>
      </c>
      <c r="AS5792">
        <v>3588</v>
      </c>
      <c r="AT5792" s="4">
        <v>42723</v>
      </c>
      <c r="AU5792" t="s">
        <v>73</v>
      </c>
      <c r="AV5792">
        <v>3588</v>
      </c>
      <c r="AW5792" s="4">
        <v>42723</v>
      </c>
      <c r="BD5792">
        <v>110.88</v>
      </c>
      <c r="BN5792" t="s">
        <v>74</v>
      </c>
    </row>
    <row r="5793" spans="1:66">
      <c r="A5793">
        <v>103852</v>
      </c>
      <c r="B5793" s="3" t="s">
        <v>587</v>
      </c>
      <c r="C5793" s="1">
        <v>43300101</v>
      </c>
      <c r="D5793" t="s">
        <v>67</v>
      </c>
      <c r="H5793" t="str">
        <f t="shared" si="608"/>
        <v>02790240101</v>
      </c>
      <c r="I5793" t="str">
        <f t="shared" si="608"/>
        <v>02790240101</v>
      </c>
      <c r="K5793" t="str">
        <f>""</f>
        <v/>
      </c>
      <c r="M5793" t="s">
        <v>68</v>
      </c>
      <c r="N5793" t="str">
        <f t="shared" si="607"/>
        <v>FOR</v>
      </c>
      <c r="O5793" t="s">
        <v>69</v>
      </c>
      <c r="P5793" s="3" t="s">
        <v>75</v>
      </c>
      <c r="Q5793">
        <v>2016</v>
      </c>
      <c r="R5793" s="2">
        <v>42429</v>
      </c>
      <c r="S5793" s="2">
        <v>42436</v>
      </c>
      <c r="T5793" s="2">
        <v>42432</v>
      </c>
      <c r="U5793" s="2">
        <v>42492</v>
      </c>
      <c r="V5793" t="s">
        <v>71</v>
      </c>
      <c r="W5793" t="str">
        <f>"                3330"</f>
        <v xml:space="preserve">                3330</v>
      </c>
      <c r="X5793">
        <v>718.46</v>
      </c>
      <c r="Y5793">
        <v>0</v>
      </c>
      <c r="Z5793" s="3">
        <v>588.9</v>
      </c>
      <c r="AA5793">
        <v>231</v>
      </c>
      <c r="AB5793" s="5">
        <v>136035.9</v>
      </c>
      <c r="AC5793">
        <v>588.9</v>
      </c>
      <c r="AD5793">
        <v>231</v>
      </c>
      <c r="AE5793" s="1">
        <v>136035.9</v>
      </c>
      <c r="AF5793">
        <v>129.56</v>
      </c>
      <c r="AJ5793">
        <v>0</v>
      </c>
      <c r="AK5793">
        <v>0</v>
      </c>
      <c r="AL5793">
        <v>0</v>
      </c>
      <c r="AM5793">
        <v>718.46</v>
      </c>
      <c r="AN5793">
        <v>718.46</v>
      </c>
      <c r="AO5793">
        <v>718.46</v>
      </c>
      <c r="AP5793" s="2">
        <v>42746</v>
      </c>
      <c r="AQ5793" t="s">
        <v>72</v>
      </c>
      <c r="AR5793" t="s">
        <v>72</v>
      </c>
      <c r="AS5793">
        <v>3588</v>
      </c>
      <c r="AT5793" s="4">
        <v>42723</v>
      </c>
      <c r="AU5793" t="s">
        <v>73</v>
      </c>
      <c r="AV5793">
        <v>3588</v>
      </c>
      <c r="AW5793" s="4">
        <v>42723</v>
      </c>
      <c r="BD5793">
        <v>129.56</v>
      </c>
      <c r="BN5793" t="s">
        <v>74</v>
      </c>
    </row>
    <row r="5794" spans="1:66">
      <c r="A5794">
        <v>103852</v>
      </c>
      <c r="B5794" s="3" t="s">
        <v>587</v>
      </c>
      <c r="C5794" s="1">
        <v>43300101</v>
      </c>
      <c r="D5794" t="s">
        <v>67</v>
      </c>
      <c r="H5794" t="str">
        <f t="shared" si="608"/>
        <v>02790240101</v>
      </c>
      <c r="I5794" t="str">
        <f t="shared" si="608"/>
        <v>02790240101</v>
      </c>
      <c r="K5794" t="str">
        <f>""</f>
        <v/>
      </c>
      <c r="M5794" t="s">
        <v>68</v>
      </c>
      <c r="N5794" t="str">
        <f t="shared" si="607"/>
        <v>FOR</v>
      </c>
      <c r="O5794" t="s">
        <v>69</v>
      </c>
      <c r="P5794" s="3" t="s">
        <v>75</v>
      </c>
      <c r="Q5794">
        <v>2016</v>
      </c>
      <c r="R5794" s="2">
        <v>42429</v>
      </c>
      <c r="S5794" s="2">
        <v>42436</v>
      </c>
      <c r="T5794" s="2">
        <v>42432</v>
      </c>
      <c r="U5794" s="2">
        <v>42492</v>
      </c>
      <c r="V5794" t="s">
        <v>71</v>
      </c>
      <c r="W5794" t="str">
        <f>"                3331"</f>
        <v xml:space="preserve">                3331</v>
      </c>
      <c r="X5794" s="1">
        <v>3287.9</v>
      </c>
      <c r="Y5794">
        <v>0</v>
      </c>
      <c r="Z5794" s="5">
        <v>2695</v>
      </c>
      <c r="AA5794">
        <v>231</v>
      </c>
      <c r="AB5794" s="5">
        <v>622545</v>
      </c>
      <c r="AC5794" s="1">
        <v>2695</v>
      </c>
      <c r="AD5794">
        <v>231</v>
      </c>
      <c r="AE5794" s="1">
        <v>622545</v>
      </c>
      <c r="AF5794">
        <v>592.9</v>
      </c>
      <c r="AJ5794">
        <v>0</v>
      </c>
      <c r="AK5794">
        <v>0</v>
      </c>
      <c r="AL5794">
        <v>0</v>
      </c>
      <c r="AM5794" s="1">
        <v>3287.9</v>
      </c>
      <c r="AN5794" s="1">
        <v>3287.9</v>
      </c>
      <c r="AO5794" s="1">
        <v>3287.9</v>
      </c>
      <c r="AP5794" s="2">
        <v>42746</v>
      </c>
      <c r="AQ5794" t="s">
        <v>72</v>
      </c>
      <c r="AR5794" t="s">
        <v>72</v>
      </c>
      <c r="AS5794">
        <v>3588</v>
      </c>
      <c r="AT5794" s="4">
        <v>42723</v>
      </c>
      <c r="AU5794" t="s">
        <v>73</v>
      </c>
      <c r="AV5794">
        <v>3588</v>
      </c>
      <c r="AW5794" s="4">
        <v>42723</v>
      </c>
      <c r="BD5794">
        <v>592.9</v>
      </c>
      <c r="BN5794" t="s">
        <v>74</v>
      </c>
    </row>
    <row r="5795" spans="1:66" hidden="1">
      <c r="A5795">
        <v>103853</v>
      </c>
      <c r="B5795" s="3" t="s">
        <v>588</v>
      </c>
      <c r="C5795" s="1">
        <v>43300101</v>
      </c>
      <c r="D5795" t="s">
        <v>67</v>
      </c>
      <c r="H5795" t="str">
        <f>""</f>
        <v/>
      </c>
      <c r="I5795" t="str">
        <f>"08086280156"</f>
        <v>08086280156</v>
      </c>
      <c r="K5795" t="str">
        <f>""</f>
        <v/>
      </c>
      <c r="M5795" t="s">
        <v>68</v>
      </c>
      <c r="N5795" t="str">
        <f t="shared" si="607"/>
        <v>FOR</v>
      </c>
      <c r="O5795" t="s">
        <v>69</v>
      </c>
      <c r="P5795" s="3" t="s">
        <v>75</v>
      </c>
      <c r="Q5795">
        <v>2015</v>
      </c>
      <c r="R5795" s="2">
        <v>42181</v>
      </c>
      <c r="S5795" s="2">
        <v>42186</v>
      </c>
      <c r="T5795" s="2">
        <v>42181</v>
      </c>
      <c r="U5795" s="2">
        <v>42241</v>
      </c>
      <c r="V5795" t="s">
        <v>71</v>
      </c>
      <c r="W5795" t="str">
        <f>"          FV15-00987"</f>
        <v xml:space="preserve">          FV15-00987</v>
      </c>
      <c r="X5795" s="1">
        <v>1150.46</v>
      </c>
      <c r="Y5795">
        <v>0</v>
      </c>
      <c r="Z5795"/>
      <c r="AB5795"/>
      <c r="AC5795">
        <v>943</v>
      </c>
      <c r="AD5795">
        <v>246</v>
      </c>
      <c r="AE5795" s="1">
        <v>231978</v>
      </c>
      <c r="AF5795">
        <v>0</v>
      </c>
      <c r="AJ5795">
        <v>0</v>
      </c>
      <c r="AK5795">
        <v>0</v>
      </c>
      <c r="AL5795">
        <v>0</v>
      </c>
      <c r="AM5795">
        <v>0</v>
      </c>
      <c r="AN5795">
        <v>0</v>
      </c>
      <c r="AO5795">
        <v>0</v>
      </c>
      <c r="AP5795" s="2">
        <v>42746</v>
      </c>
      <c r="AQ5795" t="s">
        <v>72</v>
      </c>
      <c r="AR5795" t="s">
        <v>72</v>
      </c>
      <c r="AS5795">
        <v>1204</v>
      </c>
      <c r="AT5795" s="4">
        <v>42487</v>
      </c>
      <c r="AU5795" t="s">
        <v>73</v>
      </c>
      <c r="AV5795">
        <v>1204</v>
      </c>
      <c r="AW5795" s="4">
        <v>42487</v>
      </c>
      <c r="BD5795">
        <v>0</v>
      </c>
      <c r="BN5795" t="s">
        <v>74</v>
      </c>
    </row>
    <row r="5796" spans="1:66" hidden="1">
      <c r="A5796">
        <v>103853</v>
      </c>
      <c r="B5796" s="3" t="s">
        <v>588</v>
      </c>
      <c r="C5796" s="1">
        <v>43300101</v>
      </c>
      <c r="D5796" t="s">
        <v>67</v>
      </c>
      <c r="H5796" t="str">
        <f>""</f>
        <v/>
      </c>
      <c r="I5796" t="str">
        <f>"08086280156"</f>
        <v>08086280156</v>
      </c>
      <c r="K5796" t="str">
        <f>""</f>
        <v/>
      </c>
      <c r="M5796" t="s">
        <v>68</v>
      </c>
      <c r="N5796" t="str">
        <f t="shared" si="607"/>
        <v>FOR</v>
      </c>
      <c r="O5796" t="s">
        <v>69</v>
      </c>
      <c r="P5796" s="3" t="s">
        <v>75</v>
      </c>
      <c r="Q5796">
        <v>2015</v>
      </c>
      <c r="R5796" s="2">
        <v>42320</v>
      </c>
      <c r="S5796" s="2">
        <v>42325</v>
      </c>
      <c r="T5796" s="2">
        <v>42321</v>
      </c>
      <c r="U5796" s="2">
        <v>42381</v>
      </c>
      <c r="V5796" t="s">
        <v>71</v>
      </c>
      <c r="W5796" t="str">
        <f>"          FV15-01628"</f>
        <v xml:space="preserve">          FV15-01628</v>
      </c>
      <c r="X5796" s="1">
        <v>3598.15</v>
      </c>
      <c r="Y5796">
        <v>0</v>
      </c>
      <c r="Z5796"/>
      <c r="AB5796"/>
      <c r="AC5796" s="1">
        <v>2949.3</v>
      </c>
      <c r="AD5796">
        <v>106</v>
      </c>
      <c r="AE5796" s="1">
        <v>312625.8</v>
      </c>
      <c r="AF5796">
        <v>0</v>
      </c>
      <c r="AJ5796">
        <v>0</v>
      </c>
      <c r="AK5796">
        <v>0</v>
      </c>
      <c r="AL5796">
        <v>0</v>
      </c>
      <c r="AM5796">
        <v>0</v>
      </c>
      <c r="AN5796">
        <v>0</v>
      </c>
      <c r="AO5796">
        <v>0</v>
      </c>
      <c r="AP5796" s="2">
        <v>42746</v>
      </c>
      <c r="AQ5796" t="s">
        <v>72</v>
      </c>
      <c r="AR5796" t="s">
        <v>72</v>
      </c>
      <c r="AS5796">
        <v>1204</v>
      </c>
      <c r="AT5796" s="4">
        <v>42487</v>
      </c>
      <c r="AU5796" t="s">
        <v>73</v>
      </c>
      <c r="AV5796">
        <v>1204</v>
      </c>
      <c r="AW5796" s="4">
        <v>42487</v>
      </c>
      <c r="BD5796">
        <v>0</v>
      </c>
      <c r="BN5796" t="s">
        <v>74</v>
      </c>
    </row>
    <row r="5797" spans="1:66" hidden="1">
      <c r="A5797">
        <v>103853</v>
      </c>
      <c r="B5797" s="3" t="s">
        <v>588</v>
      </c>
      <c r="C5797" s="1">
        <v>43300101</v>
      </c>
      <c r="D5797" t="s">
        <v>67</v>
      </c>
      <c r="H5797" t="str">
        <f>""</f>
        <v/>
      </c>
      <c r="I5797" t="str">
        <f>"08086280156"</f>
        <v>08086280156</v>
      </c>
      <c r="K5797" t="str">
        <f>""</f>
        <v/>
      </c>
      <c r="M5797" t="s">
        <v>68</v>
      </c>
      <c r="N5797" t="str">
        <f t="shared" si="607"/>
        <v>FOR</v>
      </c>
      <c r="O5797" t="s">
        <v>69</v>
      </c>
      <c r="P5797" s="3" t="s">
        <v>75</v>
      </c>
      <c r="Q5797">
        <v>2015</v>
      </c>
      <c r="R5797" s="2">
        <v>42348</v>
      </c>
      <c r="S5797" s="2">
        <v>42352</v>
      </c>
      <c r="T5797" s="2">
        <v>42348</v>
      </c>
      <c r="U5797" s="2">
        <v>42408</v>
      </c>
      <c r="V5797" t="s">
        <v>71</v>
      </c>
      <c r="W5797" t="str">
        <f>"          FV15-01790"</f>
        <v xml:space="preserve">          FV15-01790</v>
      </c>
      <c r="X5797">
        <v>19.760000000000002</v>
      </c>
      <c r="Y5797">
        <v>0</v>
      </c>
      <c r="Z5797"/>
      <c r="AB5797"/>
      <c r="AC5797">
        <v>16.2</v>
      </c>
      <c r="AD5797">
        <v>79</v>
      </c>
      <c r="AE5797" s="1">
        <v>1279.8</v>
      </c>
      <c r="AF5797">
        <v>0</v>
      </c>
      <c r="AJ5797">
        <v>0</v>
      </c>
      <c r="AK5797">
        <v>0</v>
      </c>
      <c r="AL5797">
        <v>0</v>
      </c>
      <c r="AM5797">
        <v>0</v>
      </c>
      <c r="AN5797">
        <v>0</v>
      </c>
      <c r="AO5797">
        <v>0</v>
      </c>
      <c r="AP5797" s="2">
        <v>42746</v>
      </c>
      <c r="AQ5797" t="s">
        <v>72</v>
      </c>
      <c r="AR5797" t="s">
        <v>72</v>
      </c>
      <c r="AS5797">
        <v>1204</v>
      </c>
      <c r="AT5797" s="4">
        <v>42487</v>
      </c>
      <c r="AU5797" t="s">
        <v>73</v>
      </c>
      <c r="AV5797">
        <v>1204</v>
      </c>
      <c r="AW5797" s="4">
        <v>42487</v>
      </c>
      <c r="BD5797">
        <v>0</v>
      </c>
      <c r="BN5797" t="s">
        <v>74</v>
      </c>
    </row>
    <row r="5798" spans="1:66" hidden="1">
      <c r="A5798">
        <v>103855</v>
      </c>
      <c r="B5798" s="3" t="s">
        <v>589</v>
      </c>
      <c r="C5798" s="1">
        <v>43300101</v>
      </c>
      <c r="D5798" t="s">
        <v>67</v>
      </c>
      <c r="H5798" t="str">
        <f t="shared" ref="H5798:I5807" si="609">"01740391204"</f>
        <v>01740391204</v>
      </c>
      <c r="I5798" t="str">
        <f t="shared" si="609"/>
        <v>01740391204</v>
      </c>
      <c r="K5798" t="str">
        <f>""</f>
        <v/>
      </c>
      <c r="M5798" t="s">
        <v>68</v>
      </c>
      <c r="N5798" t="str">
        <f t="shared" si="607"/>
        <v>FOR</v>
      </c>
      <c r="O5798" t="s">
        <v>69</v>
      </c>
      <c r="P5798" s="3" t="s">
        <v>70</v>
      </c>
      <c r="Q5798">
        <v>2015</v>
      </c>
      <c r="R5798" s="2">
        <v>42061</v>
      </c>
      <c r="S5798" s="2">
        <v>42073</v>
      </c>
      <c r="T5798" s="2">
        <v>42073</v>
      </c>
      <c r="U5798" s="2">
        <v>42133</v>
      </c>
      <c r="V5798" t="s">
        <v>71</v>
      </c>
      <c r="W5798" t="str">
        <f>"                 236"</f>
        <v xml:space="preserve">                 236</v>
      </c>
      <c r="X5798" s="1">
        <v>19603.580000000002</v>
      </c>
      <c r="Y5798">
        <v>0</v>
      </c>
      <c r="Z5798"/>
      <c r="AB5798"/>
      <c r="AC5798" s="1">
        <v>18849.599999999999</v>
      </c>
      <c r="AD5798">
        <v>268</v>
      </c>
      <c r="AE5798" s="1">
        <v>5051692.8</v>
      </c>
      <c r="AF5798">
        <v>0</v>
      </c>
      <c r="AJ5798">
        <v>0</v>
      </c>
      <c r="AK5798">
        <v>0</v>
      </c>
      <c r="AL5798">
        <v>0</v>
      </c>
      <c r="AM5798">
        <v>0</v>
      </c>
      <c r="AN5798">
        <v>0</v>
      </c>
      <c r="AO5798">
        <v>0</v>
      </c>
      <c r="AP5798" s="2">
        <v>42746</v>
      </c>
      <c r="AQ5798" t="s">
        <v>72</v>
      </c>
      <c r="AR5798" t="s">
        <v>72</v>
      </c>
      <c r="AS5798">
        <v>182</v>
      </c>
      <c r="AT5798" s="4">
        <v>42401</v>
      </c>
      <c r="AU5798" t="s">
        <v>73</v>
      </c>
      <c r="AV5798">
        <v>182</v>
      </c>
      <c r="AW5798" s="4">
        <v>42401</v>
      </c>
      <c r="BD5798">
        <v>0</v>
      </c>
      <c r="BN5798" t="s">
        <v>74</v>
      </c>
    </row>
    <row r="5799" spans="1:66" hidden="1">
      <c r="A5799">
        <v>103855</v>
      </c>
      <c r="B5799" s="3" t="s">
        <v>589</v>
      </c>
      <c r="C5799" s="1">
        <v>43300101</v>
      </c>
      <c r="D5799" t="s">
        <v>67</v>
      </c>
      <c r="H5799" t="str">
        <f t="shared" si="609"/>
        <v>01740391204</v>
      </c>
      <c r="I5799" t="str">
        <f t="shared" si="609"/>
        <v>01740391204</v>
      </c>
      <c r="K5799" t="str">
        <f>""</f>
        <v/>
      </c>
      <c r="M5799" t="s">
        <v>68</v>
      </c>
      <c r="N5799" t="str">
        <f t="shared" si="607"/>
        <v>FOR</v>
      </c>
      <c r="O5799" t="s">
        <v>69</v>
      </c>
      <c r="P5799" s="3" t="s">
        <v>75</v>
      </c>
      <c r="Q5799">
        <v>2015</v>
      </c>
      <c r="R5799" s="2">
        <v>42296</v>
      </c>
      <c r="S5799" s="2">
        <v>42298</v>
      </c>
      <c r="T5799" s="2">
        <v>42296</v>
      </c>
      <c r="U5799" s="2">
        <v>42356</v>
      </c>
      <c r="V5799" t="s">
        <v>71</v>
      </c>
      <c r="W5799" t="str">
        <f>"               16037"</f>
        <v xml:space="preserve">               16037</v>
      </c>
      <c r="X5799" s="1">
        <v>7228.5</v>
      </c>
      <c r="Y5799">
        <v>0</v>
      </c>
      <c r="Z5799"/>
      <c r="AB5799"/>
      <c r="AC5799" s="1">
        <v>5925</v>
      </c>
      <c r="AD5799">
        <v>96</v>
      </c>
      <c r="AE5799" s="1">
        <v>568800</v>
      </c>
      <c r="AF5799">
        <v>0</v>
      </c>
      <c r="AJ5799">
        <v>0</v>
      </c>
      <c r="AK5799">
        <v>0</v>
      </c>
      <c r="AL5799">
        <v>0</v>
      </c>
      <c r="AM5799">
        <v>0</v>
      </c>
      <c r="AN5799">
        <v>0</v>
      </c>
      <c r="AO5799">
        <v>0</v>
      </c>
      <c r="AP5799" s="2">
        <v>42746</v>
      </c>
      <c r="AQ5799" t="s">
        <v>72</v>
      </c>
      <c r="AR5799" t="s">
        <v>72</v>
      </c>
      <c r="AS5799">
        <v>805</v>
      </c>
      <c r="AT5799" s="4">
        <v>42452</v>
      </c>
      <c r="AU5799" t="s">
        <v>73</v>
      </c>
      <c r="AV5799">
        <v>805</v>
      </c>
      <c r="AW5799" s="4">
        <v>42452</v>
      </c>
      <c r="BD5799">
        <v>0</v>
      </c>
      <c r="BN5799" t="s">
        <v>74</v>
      </c>
    </row>
    <row r="5800" spans="1:66" hidden="1">
      <c r="A5800">
        <v>103855</v>
      </c>
      <c r="B5800" s="3" t="s">
        <v>589</v>
      </c>
      <c r="C5800" s="1">
        <v>43300101</v>
      </c>
      <c r="D5800" t="s">
        <v>67</v>
      </c>
      <c r="H5800" t="str">
        <f t="shared" si="609"/>
        <v>01740391204</v>
      </c>
      <c r="I5800" t="str">
        <f t="shared" si="609"/>
        <v>01740391204</v>
      </c>
      <c r="K5800" t="str">
        <f>""</f>
        <v/>
      </c>
      <c r="M5800" t="s">
        <v>68</v>
      </c>
      <c r="N5800" t="str">
        <f t="shared" si="607"/>
        <v>FOR</v>
      </c>
      <c r="O5800" t="s">
        <v>69</v>
      </c>
      <c r="P5800" s="3" t="s">
        <v>75</v>
      </c>
      <c r="Q5800">
        <v>2015</v>
      </c>
      <c r="R5800" s="2">
        <v>42303</v>
      </c>
      <c r="S5800" s="2">
        <v>42305</v>
      </c>
      <c r="T5800" s="2">
        <v>42303</v>
      </c>
      <c r="U5800" s="2">
        <v>42363</v>
      </c>
      <c r="V5800" t="s">
        <v>71</v>
      </c>
      <c r="W5800" t="str">
        <f>"               16072"</f>
        <v xml:space="preserve">               16072</v>
      </c>
      <c r="X5800" s="1">
        <v>1235.25</v>
      </c>
      <c r="Y5800">
        <v>0</v>
      </c>
      <c r="Z5800"/>
      <c r="AB5800"/>
      <c r="AC5800" s="1">
        <v>1012.5</v>
      </c>
      <c r="AD5800">
        <v>89</v>
      </c>
      <c r="AE5800" s="1">
        <v>90112.5</v>
      </c>
      <c r="AF5800">
        <v>0</v>
      </c>
      <c r="AJ5800">
        <v>0</v>
      </c>
      <c r="AK5800">
        <v>0</v>
      </c>
      <c r="AL5800">
        <v>0</v>
      </c>
      <c r="AM5800">
        <v>0</v>
      </c>
      <c r="AN5800">
        <v>0</v>
      </c>
      <c r="AO5800">
        <v>0</v>
      </c>
      <c r="AP5800" s="2">
        <v>42746</v>
      </c>
      <c r="AQ5800" t="s">
        <v>72</v>
      </c>
      <c r="AR5800" t="s">
        <v>72</v>
      </c>
      <c r="AS5800">
        <v>805</v>
      </c>
      <c r="AT5800" s="4">
        <v>42452</v>
      </c>
      <c r="AU5800" t="s">
        <v>73</v>
      </c>
      <c r="AV5800">
        <v>805</v>
      </c>
      <c r="AW5800" s="4">
        <v>42452</v>
      </c>
      <c r="BD5800">
        <v>0</v>
      </c>
      <c r="BN5800" t="s">
        <v>74</v>
      </c>
    </row>
    <row r="5801" spans="1:66" hidden="1">
      <c r="A5801">
        <v>103855</v>
      </c>
      <c r="B5801" s="3" t="s">
        <v>589</v>
      </c>
      <c r="C5801" s="1">
        <v>43300101</v>
      </c>
      <c r="D5801" t="s">
        <v>67</v>
      </c>
      <c r="H5801" t="str">
        <f t="shared" si="609"/>
        <v>01740391204</v>
      </c>
      <c r="I5801" t="str">
        <f t="shared" si="609"/>
        <v>01740391204</v>
      </c>
      <c r="K5801" t="str">
        <f>""</f>
        <v/>
      </c>
      <c r="M5801" t="s">
        <v>68</v>
      </c>
      <c r="N5801" t="str">
        <f t="shared" si="607"/>
        <v>FOR</v>
      </c>
      <c r="O5801" t="s">
        <v>69</v>
      </c>
      <c r="P5801" s="3" t="s">
        <v>75</v>
      </c>
      <c r="Q5801">
        <v>2015</v>
      </c>
      <c r="R5801" s="2">
        <v>42317</v>
      </c>
      <c r="S5801" s="2">
        <v>42318</v>
      </c>
      <c r="T5801" s="2">
        <v>42317</v>
      </c>
      <c r="U5801" s="2">
        <v>42377</v>
      </c>
      <c r="V5801" t="s">
        <v>71</v>
      </c>
      <c r="W5801" t="str">
        <f>"               16195"</f>
        <v xml:space="preserve">               16195</v>
      </c>
      <c r="X5801" s="1">
        <v>4111.3999999999996</v>
      </c>
      <c r="Y5801">
        <v>0</v>
      </c>
      <c r="Z5801"/>
      <c r="AB5801"/>
      <c r="AC5801" s="1">
        <v>3370</v>
      </c>
      <c r="AD5801">
        <v>200</v>
      </c>
      <c r="AE5801" s="1">
        <v>674000</v>
      </c>
      <c r="AF5801">
        <v>0</v>
      </c>
      <c r="AJ5801">
        <v>0</v>
      </c>
      <c r="AK5801">
        <v>0</v>
      </c>
      <c r="AL5801">
        <v>0</v>
      </c>
      <c r="AM5801">
        <v>0</v>
      </c>
      <c r="AN5801">
        <v>0</v>
      </c>
      <c r="AO5801">
        <v>0</v>
      </c>
      <c r="AP5801" s="2">
        <v>42746</v>
      </c>
      <c r="AQ5801" t="s">
        <v>72</v>
      </c>
      <c r="AR5801" t="s">
        <v>72</v>
      </c>
      <c r="AS5801">
        <v>1939</v>
      </c>
      <c r="AT5801" s="4">
        <v>42577</v>
      </c>
      <c r="AU5801" t="s">
        <v>73</v>
      </c>
      <c r="AV5801">
        <v>1939</v>
      </c>
      <c r="AW5801" s="4">
        <v>42577</v>
      </c>
      <c r="BD5801">
        <v>0</v>
      </c>
      <c r="BN5801" t="s">
        <v>74</v>
      </c>
    </row>
    <row r="5802" spans="1:66" hidden="1">
      <c r="A5802">
        <v>103855</v>
      </c>
      <c r="B5802" s="3" t="s">
        <v>589</v>
      </c>
      <c r="C5802" s="1">
        <v>43300101</v>
      </c>
      <c r="D5802" t="s">
        <v>67</v>
      </c>
      <c r="H5802" t="str">
        <f t="shared" si="609"/>
        <v>01740391204</v>
      </c>
      <c r="I5802" t="str">
        <f t="shared" si="609"/>
        <v>01740391204</v>
      </c>
      <c r="K5802" t="str">
        <f>""</f>
        <v/>
      </c>
      <c r="M5802" t="s">
        <v>68</v>
      </c>
      <c r="N5802" t="str">
        <f t="shared" si="607"/>
        <v>FOR</v>
      </c>
      <c r="O5802" t="s">
        <v>69</v>
      </c>
      <c r="P5802" s="3" t="s">
        <v>75</v>
      </c>
      <c r="Q5802">
        <v>2015</v>
      </c>
      <c r="R5802" s="2">
        <v>42324</v>
      </c>
      <c r="S5802" s="2">
        <v>42326</v>
      </c>
      <c r="T5802" s="2">
        <v>42324</v>
      </c>
      <c r="U5802" s="2">
        <v>42384</v>
      </c>
      <c r="V5802" t="s">
        <v>71</v>
      </c>
      <c r="W5802" t="str">
        <f>"               16245"</f>
        <v xml:space="preserve">               16245</v>
      </c>
      <c r="X5802" s="1">
        <v>6534.53</v>
      </c>
      <c r="Y5802">
        <v>0</v>
      </c>
      <c r="Z5802"/>
      <c r="AB5802"/>
      <c r="AC5802" s="1">
        <v>6283.2</v>
      </c>
      <c r="AD5802">
        <v>193</v>
      </c>
      <c r="AE5802" s="1">
        <v>1212657.6000000001</v>
      </c>
      <c r="AF5802">
        <v>0</v>
      </c>
      <c r="AJ5802">
        <v>0</v>
      </c>
      <c r="AK5802">
        <v>0</v>
      </c>
      <c r="AL5802">
        <v>0</v>
      </c>
      <c r="AM5802">
        <v>0</v>
      </c>
      <c r="AN5802">
        <v>0</v>
      </c>
      <c r="AO5802">
        <v>0</v>
      </c>
      <c r="AP5802" s="2">
        <v>42746</v>
      </c>
      <c r="AQ5802" t="s">
        <v>72</v>
      </c>
      <c r="AR5802" t="s">
        <v>72</v>
      </c>
      <c r="AS5802">
        <v>1939</v>
      </c>
      <c r="AT5802" s="4">
        <v>42577</v>
      </c>
      <c r="AU5802" t="s">
        <v>73</v>
      </c>
      <c r="AV5802">
        <v>1939</v>
      </c>
      <c r="AW5802" s="4">
        <v>42577</v>
      </c>
      <c r="BD5802">
        <v>0</v>
      </c>
      <c r="BN5802" t="s">
        <v>74</v>
      </c>
    </row>
    <row r="5803" spans="1:66">
      <c r="A5803">
        <v>103855</v>
      </c>
      <c r="B5803" s="3" t="s">
        <v>589</v>
      </c>
      <c r="C5803" s="1">
        <v>43300101</v>
      </c>
      <c r="D5803" t="s">
        <v>67</v>
      </c>
      <c r="H5803" t="str">
        <f t="shared" si="609"/>
        <v>01740391204</v>
      </c>
      <c r="I5803" t="str">
        <f t="shared" si="609"/>
        <v>01740391204</v>
      </c>
      <c r="K5803" t="str">
        <f>""</f>
        <v/>
      </c>
      <c r="M5803" t="s">
        <v>68</v>
      </c>
      <c r="N5803" t="str">
        <f t="shared" si="607"/>
        <v>FOR</v>
      </c>
      <c r="O5803" t="s">
        <v>69</v>
      </c>
      <c r="P5803" s="3" t="s">
        <v>75</v>
      </c>
      <c r="Q5803">
        <v>2015</v>
      </c>
      <c r="R5803" s="2">
        <v>42347</v>
      </c>
      <c r="S5803" s="2">
        <v>42348</v>
      </c>
      <c r="T5803" s="2">
        <v>42347</v>
      </c>
      <c r="U5803" s="2">
        <v>42407</v>
      </c>
      <c r="V5803" t="s">
        <v>71</v>
      </c>
      <c r="W5803" t="str">
        <f>"               16375"</f>
        <v xml:space="preserve">               16375</v>
      </c>
      <c r="X5803" s="1">
        <v>4904.3999999999996</v>
      </c>
      <c r="Y5803">
        <v>0</v>
      </c>
      <c r="Z5803" s="5">
        <v>4020</v>
      </c>
      <c r="AA5803">
        <v>275</v>
      </c>
      <c r="AB5803" s="5">
        <v>1105500</v>
      </c>
      <c r="AC5803" s="1">
        <v>4020</v>
      </c>
      <c r="AD5803">
        <v>275</v>
      </c>
      <c r="AE5803" s="1">
        <v>1105500</v>
      </c>
      <c r="AF5803">
        <v>0</v>
      </c>
      <c r="AJ5803">
        <v>0</v>
      </c>
      <c r="AK5803">
        <v>0</v>
      </c>
      <c r="AL5803">
        <v>0</v>
      </c>
      <c r="AM5803">
        <v>0</v>
      </c>
      <c r="AN5803">
        <v>0</v>
      </c>
      <c r="AO5803">
        <v>0</v>
      </c>
      <c r="AP5803" s="2">
        <v>42746</v>
      </c>
      <c r="AQ5803" t="s">
        <v>72</v>
      </c>
      <c r="AR5803" t="s">
        <v>72</v>
      </c>
      <c r="AS5803">
        <v>2976</v>
      </c>
      <c r="AT5803" s="4">
        <v>42682</v>
      </c>
      <c r="AU5803" t="s">
        <v>73</v>
      </c>
      <c r="AV5803">
        <v>2976</v>
      </c>
      <c r="AW5803" s="4">
        <v>42682</v>
      </c>
      <c r="BD5803">
        <v>0</v>
      </c>
      <c r="BN5803" t="s">
        <v>74</v>
      </c>
    </row>
    <row r="5804" spans="1:66">
      <c r="A5804">
        <v>103855</v>
      </c>
      <c r="B5804" s="3" t="s">
        <v>589</v>
      </c>
      <c r="C5804" s="1">
        <v>43300101</v>
      </c>
      <c r="D5804" t="s">
        <v>67</v>
      </c>
      <c r="H5804" t="str">
        <f t="shared" si="609"/>
        <v>01740391204</v>
      </c>
      <c r="I5804" t="str">
        <f t="shared" si="609"/>
        <v>01740391204</v>
      </c>
      <c r="K5804" t="str">
        <f>""</f>
        <v/>
      </c>
      <c r="M5804" t="s">
        <v>68</v>
      </c>
      <c r="N5804" t="str">
        <f t="shared" si="607"/>
        <v>FOR</v>
      </c>
      <c r="O5804" t="s">
        <v>69</v>
      </c>
      <c r="P5804" s="3" t="s">
        <v>75</v>
      </c>
      <c r="Q5804">
        <v>2015</v>
      </c>
      <c r="R5804" s="2">
        <v>42359</v>
      </c>
      <c r="S5804" s="2">
        <v>42361</v>
      </c>
      <c r="T5804" s="2">
        <v>42359</v>
      </c>
      <c r="U5804" s="2">
        <v>42419</v>
      </c>
      <c r="V5804" t="s">
        <v>71</v>
      </c>
      <c r="W5804" t="str">
        <f>"               16438"</f>
        <v xml:space="preserve">               16438</v>
      </c>
      <c r="X5804" s="1">
        <v>2147.1999999999998</v>
      </c>
      <c r="Y5804">
        <v>0</v>
      </c>
      <c r="Z5804" s="5">
        <v>1760</v>
      </c>
      <c r="AA5804">
        <v>263</v>
      </c>
      <c r="AB5804" s="5">
        <v>462880</v>
      </c>
      <c r="AC5804" s="1">
        <v>1760</v>
      </c>
      <c r="AD5804">
        <v>263</v>
      </c>
      <c r="AE5804" s="1">
        <v>462880</v>
      </c>
      <c r="AF5804">
        <v>0</v>
      </c>
      <c r="AJ5804">
        <v>0</v>
      </c>
      <c r="AK5804">
        <v>0</v>
      </c>
      <c r="AL5804">
        <v>0</v>
      </c>
      <c r="AM5804">
        <v>0</v>
      </c>
      <c r="AN5804">
        <v>0</v>
      </c>
      <c r="AO5804">
        <v>0</v>
      </c>
      <c r="AP5804" s="2">
        <v>42746</v>
      </c>
      <c r="AQ5804" t="s">
        <v>72</v>
      </c>
      <c r="AR5804" t="s">
        <v>72</v>
      </c>
      <c r="AS5804">
        <v>2976</v>
      </c>
      <c r="AT5804" s="4">
        <v>42682</v>
      </c>
      <c r="AU5804" t="s">
        <v>73</v>
      </c>
      <c r="AV5804">
        <v>2976</v>
      </c>
      <c r="AW5804" s="4">
        <v>42682</v>
      </c>
      <c r="BD5804">
        <v>0</v>
      </c>
      <c r="BN5804" t="s">
        <v>74</v>
      </c>
    </row>
    <row r="5805" spans="1:66">
      <c r="A5805">
        <v>103855</v>
      </c>
      <c r="B5805" s="3" t="s">
        <v>589</v>
      </c>
      <c r="C5805" s="1">
        <v>43300101</v>
      </c>
      <c r="D5805" t="s">
        <v>67</v>
      </c>
      <c r="H5805" t="str">
        <f t="shared" si="609"/>
        <v>01740391204</v>
      </c>
      <c r="I5805" t="str">
        <f t="shared" si="609"/>
        <v>01740391204</v>
      </c>
      <c r="K5805" t="str">
        <f>""</f>
        <v/>
      </c>
      <c r="M5805" t="s">
        <v>68</v>
      </c>
      <c r="N5805" t="str">
        <f t="shared" si="607"/>
        <v>FOR</v>
      </c>
      <c r="O5805" t="s">
        <v>69</v>
      </c>
      <c r="P5805" s="3" t="s">
        <v>75</v>
      </c>
      <c r="Q5805">
        <v>2015</v>
      </c>
      <c r="R5805" s="2">
        <v>42369</v>
      </c>
      <c r="S5805" s="2">
        <v>42369</v>
      </c>
      <c r="T5805" s="2">
        <v>42369</v>
      </c>
      <c r="U5805" s="2">
        <v>42429</v>
      </c>
      <c r="V5805" t="s">
        <v>71</v>
      </c>
      <c r="W5805" t="str">
        <f>"               16488"</f>
        <v xml:space="preserve">               16488</v>
      </c>
      <c r="X5805" s="1">
        <v>8875.5</v>
      </c>
      <c r="Y5805">
        <v>0</v>
      </c>
      <c r="Z5805" s="5">
        <v>7275</v>
      </c>
      <c r="AA5805">
        <v>253</v>
      </c>
      <c r="AB5805" s="5">
        <v>1840575</v>
      </c>
      <c r="AC5805" s="1">
        <v>7275</v>
      </c>
      <c r="AD5805">
        <v>253</v>
      </c>
      <c r="AE5805" s="1">
        <v>1840575</v>
      </c>
      <c r="AF5805">
        <v>0</v>
      </c>
      <c r="AJ5805">
        <v>0</v>
      </c>
      <c r="AK5805">
        <v>0</v>
      </c>
      <c r="AL5805">
        <v>0</v>
      </c>
      <c r="AM5805">
        <v>0</v>
      </c>
      <c r="AN5805">
        <v>0</v>
      </c>
      <c r="AO5805">
        <v>0</v>
      </c>
      <c r="AP5805" s="2">
        <v>42746</v>
      </c>
      <c r="AQ5805" t="s">
        <v>72</v>
      </c>
      <c r="AR5805" t="s">
        <v>72</v>
      </c>
      <c r="AS5805">
        <v>2976</v>
      </c>
      <c r="AT5805" s="4">
        <v>42682</v>
      </c>
      <c r="AU5805" t="s">
        <v>73</v>
      </c>
      <c r="AV5805">
        <v>2976</v>
      </c>
      <c r="AW5805" s="4">
        <v>42682</v>
      </c>
      <c r="BD5805">
        <v>0</v>
      </c>
      <c r="BN5805" t="s">
        <v>74</v>
      </c>
    </row>
    <row r="5806" spans="1:66">
      <c r="A5806">
        <v>103855</v>
      </c>
      <c r="B5806" s="3" t="s">
        <v>589</v>
      </c>
      <c r="C5806" s="1">
        <v>43300101</v>
      </c>
      <c r="D5806" t="s">
        <v>67</v>
      </c>
      <c r="H5806" t="str">
        <f t="shared" si="609"/>
        <v>01740391204</v>
      </c>
      <c r="I5806" t="str">
        <f t="shared" si="609"/>
        <v>01740391204</v>
      </c>
      <c r="K5806" t="str">
        <f>""</f>
        <v/>
      </c>
      <c r="M5806" t="s">
        <v>68</v>
      </c>
      <c r="N5806" t="str">
        <f t="shared" si="607"/>
        <v>FOR</v>
      </c>
      <c r="O5806" t="s">
        <v>69</v>
      </c>
      <c r="P5806" s="3" t="s">
        <v>75</v>
      </c>
      <c r="Q5806">
        <v>2016</v>
      </c>
      <c r="R5806" s="2">
        <v>42400</v>
      </c>
      <c r="S5806" s="2">
        <v>42403</v>
      </c>
      <c r="T5806" s="2">
        <v>42401</v>
      </c>
      <c r="U5806" s="2">
        <v>42461</v>
      </c>
      <c r="V5806" t="s">
        <v>71</v>
      </c>
      <c r="W5806" t="str">
        <f>"                  79"</f>
        <v xml:space="preserve">                  79</v>
      </c>
      <c r="X5806" s="1">
        <v>1647</v>
      </c>
      <c r="Y5806">
        <v>0</v>
      </c>
      <c r="Z5806" s="5">
        <v>1350</v>
      </c>
      <c r="AA5806">
        <v>221</v>
      </c>
      <c r="AB5806" s="5">
        <v>298350</v>
      </c>
      <c r="AC5806" s="1">
        <v>1350</v>
      </c>
      <c r="AD5806">
        <v>221</v>
      </c>
      <c r="AE5806" s="1">
        <v>298350</v>
      </c>
      <c r="AF5806">
        <v>0</v>
      </c>
      <c r="AJ5806">
        <v>0</v>
      </c>
      <c r="AK5806">
        <v>0</v>
      </c>
      <c r="AL5806">
        <v>0</v>
      </c>
      <c r="AM5806" s="1">
        <v>1647</v>
      </c>
      <c r="AN5806" s="1">
        <v>1647</v>
      </c>
      <c r="AO5806" s="1">
        <v>1647</v>
      </c>
      <c r="AP5806" s="2">
        <v>42746</v>
      </c>
      <c r="AQ5806" t="s">
        <v>72</v>
      </c>
      <c r="AR5806" t="s">
        <v>72</v>
      </c>
      <c r="AS5806">
        <v>2976</v>
      </c>
      <c r="AT5806" s="4">
        <v>42682</v>
      </c>
      <c r="AU5806" t="s">
        <v>73</v>
      </c>
      <c r="AV5806">
        <v>2976</v>
      </c>
      <c r="AW5806" s="4">
        <v>42682</v>
      </c>
      <c r="BD5806">
        <v>0</v>
      </c>
      <c r="BN5806" t="s">
        <v>74</v>
      </c>
    </row>
    <row r="5807" spans="1:66">
      <c r="A5807">
        <v>103855</v>
      </c>
      <c r="B5807" s="3" t="s">
        <v>589</v>
      </c>
      <c r="C5807" s="1">
        <v>43300101</v>
      </c>
      <c r="D5807" t="s">
        <v>67</v>
      </c>
      <c r="H5807" t="str">
        <f t="shared" si="609"/>
        <v>01740391204</v>
      </c>
      <c r="I5807" t="str">
        <f t="shared" si="609"/>
        <v>01740391204</v>
      </c>
      <c r="K5807" t="str">
        <f>""</f>
        <v/>
      </c>
      <c r="M5807" t="s">
        <v>68</v>
      </c>
      <c r="N5807" t="str">
        <f t="shared" si="607"/>
        <v>FOR</v>
      </c>
      <c r="O5807" t="s">
        <v>69</v>
      </c>
      <c r="P5807" s="3" t="s">
        <v>75</v>
      </c>
      <c r="Q5807">
        <v>2016</v>
      </c>
      <c r="R5807" s="2">
        <v>42422</v>
      </c>
      <c r="S5807" s="2">
        <v>42425</v>
      </c>
      <c r="T5807" s="2">
        <v>42422</v>
      </c>
      <c r="U5807" s="2">
        <v>42482</v>
      </c>
      <c r="V5807" t="s">
        <v>71</v>
      </c>
      <c r="W5807" t="str">
        <f>"                 195"</f>
        <v xml:space="preserve">                 195</v>
      </c>
      <c r="X5807" s="1">
        <v>1952</v>
      </c>
      <c r="Y5807">
        <v>0</v>
      </c>
      <c r="Z5807" s="5">
        <v>1600</v>
      </c>
      <c r="AA5807">
        <v>200</v>
      </c>
      <c r="AB5807" s="5">
        <v>320000</v>
      </c>
      <c r="AC5807" s="1">
        <v>1600</v>
      </c>
      <c r="AD5807">
        <v>200</v>
      </c>
      <c r="AE5807" s="1">
        <v>320000</v>
      </c>
      <c r="AF5807">
        <v>0</v>
      </c>
      <c r="AJ5807">
        <v>0</v>
      </c>
      <c r="AK5807">
        <v>0</v>
      </c>
      <c r="AL5807">
        <v>0</v>
      </c>
      <c r="AM5807" s="1">
        <v>1952</v>
      </c>
      <c r="AN5807" s="1">
        <v>1952</v>
      </c>
      <c r="AO5807" s="1">
        <v>1952</v>
      </c>
      <c r="AP5807" s="2">
        <v>42746</v>
      </c>
      <c r="AQ5807" t="s">
        <v>72</v>
      </c>
      <c r="AR5807" t="s">
        <v>72</v>
      </c>
      <c r="AS5807">
        <v>2976</v>
      </c>
      <c r="AT5807" s="4">
        <v>42682</v>
      </c>
      <c r="AU5807" t="s">
        <v>73</v>
      </c>
      <c r="AV5807">
        <v>2976</v>
      </c>
      <c r="AW5807" s="4">
        <v>42682</v>
      </c>
      <c r="BD5807">
        <v>0</v>
      </c>
      <c r="BN5807" t="s">
        <v>74</v>
      </c>
    </row>
    <row r="5808" spans="1:66" hidden="1">
      <c r="A5808">
        <v>104007</v>
      </c>
      <c r="B5808" s="3" t="s">
        <v>590</v>
      </c>
      <c r="C5808" s="1">
        <v>43300101</v>
      </c>
      <c r="D5808" t="s">
        <v>67</v>
      </c>
      <c r="H5808" t="str">
        <f t="shared" ref="H5808:I5828" si="610">"12693140159"</f>
        <v>12693140159</v>
      </c>
      <c r="I5808" t="str">
        <f t="shared" si="610"/>
        <v>12693140159</v>
      </c>
      <c r="K5808" t="str">
        <f>""</f>
        <v/>
      </c>
      <c r="M5808" t="s">
        <v>68</v>
      </c>
      <c r="N5808" t="str">
        <f t="shared" si="607"/>
        <v>FOR</v>
      </c>
      <c r="O5808" t="s">
        <v>69</v>
      </c>
      <c r="P5808" s="3" t="s">
        <v>70</v>
      </c>
      <c r="Q5808">
        <v>2015</v>
      </c>
      <c r="R5808" s="2">
        <v>42079</v>
      </c>
      <c r="S5808" s="2">
        <v>42087</v>
      </c>
      <c r="T5808" s="2">
        <v>42087</v>
      </c>
      <c r="U5808" s="2">
        <v>42147</v>
      </c>
      <c r="V5808" t="s">
        <v>71</v>
      </c>
      <c r="W5808" t="str">
        <f>"               10492"</f>
        <v xml:space="preserve">               10492</v>
      </c>
      <c r="X5808">
        <v>768.6</v>
      </c>
      <c r="Y5808">
        <v>0</v>
      </c>
      <c r="Z5808"/>
      <c r="AB5808"/>
      <c r="AC5808">
        <v>630</v>
      </c>
      <c r="AD5808">
        <v>268</v>
      </c>
      <c r="AE5808" s="1">
        <v>168840</v>
      </c>
      <c r="AF5808">
        <v>0</v>
      </c>
      <c r="AJ5808">
        <v>0</v>
      </c>
      <c r="AK5808">
        <v>0</v>
      </c>
      <c r="AL5808">
        <v>0</v>
      </c>
      <c r="AM5808">
        <v>0</v>
      </c>
      <c r="AN5808">
        <v>0</v>
      </c>
      <c r="AO5808">
        <v>0</v>
      </c>
      <c r="AP5808" s="2">
        <v>42746</v>
      </c>
      <c r="AQ5808" t="s">
        <v>72</v>
      </c>
      <c r="AR5808" t="s">
        <v>72</v>
      </c>
      <c r="AS5808">
        <v>365</v>
      </c>
      <c r="AT5808" s="4">
        <v>42415</v>
      </c>
      <c r="AU5808" t="s">
        <v>73</v>
      </c>
      <c r="AV5808">
        <v>365</v>
      </c>
      <c r="AW5808" s="4">
        <v>42415</v>
      </c>
      <c r="BD5808">
        <v>0</v>
      </c>
      <c r="BN5808" t="s">
        <v>74</v>
      </c>
    </row>
    <row r="5809" spans="1:66" hidden="1">
      <c r="A5809">
        <v>104007</v>
      </c>
      <c r="B5809" s="3" t="s">
        <v>590</v>
      </c>
      <c r="C5809" s="1">
        <v>43300101</v>
      </c>
      <c r="D5809" t="s">
        <v>67</v>
      </c>
      <c r="H5809" t="str">
        <f t="shared" si="610"/>
        <v>12693140159</v>
      </c>
      <c r="I5809" t="str">
        <f t="shared" si="610"/>
        <v>12693140159</v>
      </c>
      <c r="K5809" t="str">
        <f>""</f>
        <v/>
      </c>
      <c r="M5809" t="s">
        <v>68</v>
      </c>
      <c r="N5809" t="str">
        <f t="shared" si="607"/>
        <v>FOR</v>
      </c>
      <c r="O5809" t="s">
        <v>69</v>
      </c>
      <c r="P5809" s="3" t="s">
        <v>70</v>
      </c>
      <c r="Q5809">
        <v>2015</v>
      </c>
      <c r="R5809" s="2">
        <v>42061</v>
      </c>
      <c r="S5809" s="2">
        <v>42073</v>
      </c>
      <c r="T5809" s="2">
        <v>42073</v>
      </c>
      <c r="U5809" s="2">
        <v>42133</v>
      </c>
      <c r="V5809" t="s">
        <v>71</v>
      </c>
      <c r="W5809" t="str">
        <f>"             10264/A"</f>
        <v xml:space="preserve">             10264/A</v>
      </c>
      <c r="X5809">
        <v>768.6</v>
      </c>
      <c r="Y5809">
        <v>0</v>
      </c>
      <c r="Z5809"/>
      <c r="AB5809"/>
      <c r="AC5809">
        <v>630</v>
      </c>
      <c r="AD5809">
        <v>275</v>
      </c>
      <c r="AE5809" s="1">
        <v>173250</v>
      </c>
      <c r="AF5809">
        <v>0</v>
      </c>
      <c r="AJ5809">
        <v>0</v>
      </c>
      <c r="AK5809">
        <v>0</v>
      </c>
      <c r="AL5809">
        <v>0</v>
      </c>
      <c r="AM5809">
        <v>0</v>
      </c>
      <c r="AN5809">
        <v>0</v>
      </c>
      <c r="AO5809">
        <v>0</v>
      </c>
      <c r="AP5809" s="2">
        <v>42746</v>
      </c>
      <c r="AQ5809" t="s">
        <v>72</v>
      </c>
      <c r="AR5809" t="s">
        <v>72</v>
      </c>
      <c r="AS5809">
        <v>334</v>
      </c>
      <c r="AT5809" s="4">
        <v>42408</v>
      </c>
      <c r="AU5809" t="s">
        <v>73</v>
      </c>
      <c r="AV5809">
        <v>334</v>
      </c>
      <c r="AW5809" s="4">
        <v>42408</v>
      </c>
      <c r="BD5809">
        <v>0</v>
      </c>
      <c r="BN5809" t="s">
        <v>74</v>
      </c>
    </row>
    <row r="5810" spans="1:66" hidden="1">
      <c r="A5810">
        <v>104007</v>
      </c>
      <c r="B5810" s="3" t="s">
        <v>590</v>
      </c>
      <c r="C5810" s="1">
        <v>43300101</v>
      </c>
      <c r="D5810" t="s">
        <v>67</v>
      </c>
      <c r="H5810" t="str">
        <f t="shared" si="610"/>
        <v>12693140159</v>
      </c>
      <c r="I5810" t="str">
        <f t="shared" si="610"/>
        <v>12693140159</v>
      </c>
      <c r="K5810" t="str">
        <f>""</f>
        <v/>
      </c>
      <c r="M5810" t="s">
        <v>68</v>
      </c>
      <c r="N5810" t="str">
        <f t="shared" si="607"/>
        <v>FOR</v>
      </c>
      <c r="O5810" t="s">
        <v>69</v>
      </c>
      <c r="P5810" s="3" t="s">
        <v>70</v>
      </c>
      <c r="Q5810">
        <v>2015</v>
      </c>
      <c r="R5810" s="2">
        <v>42079</v>
      </c>
      <c r="S5810" s="2">
        <v>42089</v>
      </c>
      <c r="T5810" s="2">
        <v>42089</v>
      </c>
      <c r="U5810" s="2">
        <v>42149</v>
      </c>
      <c r="V5810" t="s">
        <v>71</v>
      </c>
      <c r="W5810" t="str">
        <f>"             10493/A"</f>
        <v xml:space="preserve">             10493/A</v>
      </c>
      <c r="X5810">
        <v>932.26</v>
      </c>
      <c r="Y5810">
        <v>0</v>
      </c>
      <c r="Z5810"/>
      <c r="AB5810"/>
      <c r="AC5810">
        <v>896.4</v>
      </c>
      <c r="AD5810">
        <v>266</v>
      </c>
      <c r="AE5810" s="1">
        <v>238442.4</v>
      </c>
      <c r="AF5810">
        <v>0</v>
      </c>
      <c r="AJ5810">
        <v>0</v>
      </c>
      <c r="AK5810">
        <v>0</v>
      </c>
      <c r="AL5810">
        <v>0</v>
      </c>
      <c r="AM5810">
        <v>0</v>
      </c>
      <c r="AN5810">
        <v>0</v>
      </c>
      <c r="AO5810">
        <v>0</v>
      </c>
      <c r="AP5810" s="2">
        <v>42746</v>
      </c>
      <c r="AQ5810" t="s">
        <v>72</v>
      </c>
      <c r="AR5810" t="s">
        <v>72</v>
      </c>
      <c r="AS5810">
        <v>365</v>
      </c>
      <c r="AT5810" s="4">
        <v>42415</v>
      </c>
      <c r="AU5810" t="s">
        <v>73</v>
      </c>
      <c r="AV5810">
        <v>365</v>
      </c>
      <c r="AW5810" s="4">
        <v>42415</v>
      </c>
      <c r="BD5810">
        <v>0</v>
      </c>
      <c r="BN5810" t="s">
        <v>74</v>
      </c>
    </row>
    <row r="5811" spans="1:66" hidden="1">
      <c r="A5811">
        <v>104007</v>
      </c>
      <c r="B5811" s="3" t="s">
        <v>590</v>
      </c>
      <c r="C5811" s="1">
        <v>43300101</v>
      </c>
      <c r="D5811" t="s">
        <v>67</v>
      </c>
      <c r="H5811" t="str">
        <f t="shared" si="610"/>
        <v>12693140159</v>
      </c>
      <c r="I5811" t="str">
        <f t="shared" si="610"/>
        <v>12693140159</v>
      </c>
      <c r="K5811" t="str">
        <f>""</f>
        <v/>
      </c>
      <c r="M5811" t="s">
        <v>68</v>
      </c>
      <c r="N5811" t="str">
        <f t="shared" si="607"/>
        <v>FOR</v>
      </c>
      <c r="O5811" t="s">
        <v>69</v>
      </c>
      <c r="P5811" s="3" t="s">
        <v>75</v>
      </c>
      <c r="Q5811">
        <v>2015</v>
      </c>
      <c r="R5811" s="2">
        <v>42117</v>
      </c>
      <c r="S5811" s="2">
        <v>42149</v>
      </c>
      <c r="T5811" s="2">
        <v>42138</v>
      </c>
      <c r="U5811" s="2">
        <v>42198</v>
      </c>
      <c r="V5811" t="s">
        <v>71</v>
      </c>
      <c r="W5811" t="str">
        <f>"             10738/A"</f>
        <v xml:space="preserve">             10738/A</v>
      </c>
      <c r="X5811" s="1">
        <v>1152.9000000000001</v>
      </c>
      <c r="Y5811">
        <v>0</v>
      </c>
      <c r="Z5811"/>
      <c r="AB5811"/>
      <c r="AC5811">
        <v>945</v>
      </c>
      <c r="AD5811">
        <v>254</v>
      </c>
      <c r="AE5811" s="1">
        <v>240030</v>
      </c>
      <c r="AF5811">
        <v>0</v>
      </c>
      <c r="AJ5811">
        <v>0</v>
      </c>
      <c r="AK5811">
        <v>0</v>
      </c>
      <c r="AL5811">
        <v>0</v>
      </c>
      <c r="AM5811">
        <v>0</v>
      </c>
      <c r="AN5811">
        <v>0</v>
      </c>
      <c r="AO5811">
        <v>0</v>
      </c>
      <c r="AP5811" s="2">
        <v>42746</v>
      </c>
      <c r="AQ5811" t="s">
        <v>72</v>
      </c>
      <c r="AR5811" t="s">
        <v>72</v>
      </c>
      <c r="AS5811">
        <v>765</v>
      </c>
      <c r="AT5811" s="4">
        <v>42452</v>
      </c>
      <c r="AU5811" t="s">
        <v>73</v>
      </c>
      <c r="AV5811">
        <v>765</v>
      </c>
      <c r="AW5811" s="4">
        <v>42452</v>
      </c>
      <c r="BD5811">
        <v>0</v>
      </c>
      <c r="BN5811" t="s">
        <v>74</v>
      </c>
    </row>
    <row r="5812" spans="1:66" hidden="1">
      <c r="A5812">
        <v>104007</v>
      </c>
      <c r="B5812" s="3" t="s">
        <v>590</v>
      </c>
      <c r="C5812" s="1">
        <v>43300101</v>
      </c>
      <c r="D5812" t="s">
        <v>67</v>
      </c>
      <c r="H5812" t="str">
        <f t="shared" si="610"/>
        <v>12693140159</v>
      </c>
      <c r="I5812" t="str">
        <f t="shared" si="610"/>
        <v>12693140159</v>
      </c>
      <c r="K5812" t="str">
        <f>""</f>
        <v/>
      </c>
      <c r="M5812" t="s">
        <v>68</v>
      </c>
      <c r="N5812" t="str">
        <f t="shared" si="607"/>
        <v>FOR</v>
      </c>
      <c r="O5812" t="s">
        <v>69</v>
      </c>
      <c r="P5812" s="3" t="s">
        <v>75</v>
      </c>
      <c r="Q5812">
        <v>2015</v>
      </c>
      <c r="R5812" s="2">
        <v>42117</v>
      </c>
      <c r="S5812" s="2">
        <v>42150</v>
      </c>
      <c r="T5812" s="2">
        <v>42138</v>
      </c>
      <c r="U5812" s="2">
        <v>42198</v>
      </c>
      <c r="V5812" t="s">
        <v>71</v>
      </c>
      <c r="W5812" t="str">
        <f>"             10739/A"</f>
        <v xml:space="preserve">             10739/A</v>
      </c>
      <c r="X5812" s="1">
        <v>1553.76</v>
      </c>
      <c r="Y5812">
        <v>0</v>
      </c>
      <c r="Z5812"/>
      <c r="AB5812"/>
      <c r="AC5812" s="1">
        <v>1494</v>
      </c>
      <c r="AD5812">
        <v>254</v>
      </c>
      <c r="AE5812" s="1">
        <v>379476</v>
      </c>
      <c r="AF5812">
        <v>0</v>
      </c>
      <c r="AJ5812">
        <v>0</v>
      </c>
      <c r="AK5812">
        <v>0</v>
      </c>
      <c r="AL5812">
        <v>0</v>
      </c>
      <c r="AM5812">
        <v>0</v>
      </c>
      <c r="AN5812">
        <v>0</v>
      </c>
      <c r="AO5812">
        <v>0</v>
      </c>
      <c r="AP5812" s="2">
        <v>42746</v>
      </c>
      <c r="AQ5812" t="s">
        <v>72</v>
      </c>
      <c r="AR5812" t="s">
        <v>72</v>
      </c>
      <c r="AS5812">
        <v>765</v>
      </c>
      <c r="AT5812" s="4">
        <v>42452</v>
      </c>
      <c r="AU5812" t="s">
        <v>73</v>
      </c>
      <c r="AV5812">
        <v>765</v>
      </c>
      <c r="AW5812" s="4">
        <v>42452</v>
      </c>
      <c r="BD5812">
        <v>0</v>
      </c>
      <c r="BN5812" t="s">
        <v>74</v>
      </c>
    </row>
    <row r="5813" spans="1:66" hidden="1">
      <c r="A5813">
        <v>104007</v>
      </c>
      <c r="B5813" s="3" t="s">
        <v>590</v>
      </c>
      <c r="C5813" s="1">
        <v>43300101</v>
      </c>
      <c r="D5813" t="s">
        <v>67</v>
      </c>
      <c r="H5813" t="str">
        <f t="shared" si="610"/>
        <v>12693140159</v>
      </c>
      <c r="I5813" t="str">
        <f t="shared" si="610"/>
        <v>12693140159</v>
      </c>
      <c r="K5813" t="str">
        <f>""</f>
        <v/>
      </c>
      <c r="M5813" t="s">
        <v>68</v>
      </c>
      <c r="N5813" t="str">
        <f t="shared" si="607"/>
        <v>FOR</v>
      </c>
      <c r="O5813" t="s">
        <v>69</v>
      </c>
      <c r="P5813" s="3" t="s">
        <v>75</v>
      </c>
      <c r="Q5813">
        <v>2015</v>
      </c>
      <c r="R5813" s="2">
        <v>42138</v>
      </c>
      <c r="S5813" s="2">
        <v>42165</v>
      </c>
      <c r="T5813" s="2">
        <v>42142</v>
      </c>
      <c r="U5813" s="2">
        <v>42202</v>
      </c>
      <c r="V5813" t="s">
        <v>71</v>
      </c>
      <c r="W5813" t="str">
        <f>"             10975/A"</f>
        <v xml:space="preserve">             10975/A</v>
      </c>
      <c r="X5813">
        <v>932.26</v>
      </c>
      <c r="Y5813">
        <v>0</v>
      </c>
      <c r="Z5813"/>
      <c r="AB5813"/>
      <c r="AC5813">
        <v>896.4</v>
      </c>
      <c r="AD5813">
        <v>250</v>
      </c>
      <c r="AE5813" s="1">
        <v>224100</v>
      </c>
      <c r="AF5813">
        <v>0</v>
      </c>
      <c r="AJ5813">
        <v>0</v>
      </c>
      <c r="AK5813">
        <v>0</v>
      </c>
      <c r="AL5813">
        <v>0</v>
      </c>
      <c r="AM5813">
        <v>0</v>
      </c>
      <c r="AN5813">
        <v>0</v>
      </c>
      <c r="AO5813">
        <v>0</v>
      </c>
      <c r="AP5813" s="2">
        <v>42746</v>
      </c>
      <c r="AQ5813" t="s">
        <v>72</v>
      </c>
      <c r="AR5813" t="s">
        <v>72</v>
      </c>
      <c r="AS5813">
        <v>765</v>
      </c>
      <c r="AT5813" s="4">
        <v>42452</v>
      </c>
      <c r="AU5813" t="s">
        <v>73</v>
      </c>
      <c r="AV5813">
        <v>765</v>
      </c>
      <c r="AW5813" s="4">
        <v>42452</v>
      </c>
      <c r="BD5813">
        <v>0</v>
      </c>
      <c r="BN5813" t="s">
        <v>74</v>
      </c>
    </row>
    <row r="5814" spans="1:66" hidden="1">
      <c r="A5814">
        <v>104007</v>
      </c>
      <c r="B5814" s="3" t="s">
        <v>590</v>
      </c>
      <c r="C5814" s="1">
        <v>43300101</v>
      </c>
      <c r="D5814" t="s">
        <v>67</v>
      </c>
      <c r="H5814" t="str">
        <f t="shared" si="610"/>
        <v>12693140159</v>
      </c>
      <c r="I5814" t="str">
        <f t="shared" si="610"/>
        <v>12693140159</v>
      </c>
      <c r="K5814" t="str">
        <f>""</f>
        <v/>
      </c>
      <c r="M5814" t="s">
        <v>68</v>
      </c>
      <c r="N5814" t="str">
        <f t="shared" si="607"/>
        <v>FOR</v>
      </c>
      <c r="O5814" t="s">
        <v>69</v>
      </c>
      <c r="P5814" s="3" t="s">
        <v>75</v>
      </c>
      <c r="Q5814">
        <v>2015</v>
      </c>
      <c r="R5814" s="2">
        <v>42160</v>
      </c>
      <c r="S5814" s="2">
        <v>42167</v>
      </c>
      <c r="T5814" s="2">
        <v>42160</v>
      </c>
      <c r="U5814" s="2">
        <v>42220</v>
      </c>
      <c r="V5814" t="s">
        <v>71</v>
      </c>
      <c r="W5814" t="str">
        <f>"             11245/A"</f>
        <v xml:space="preserve">             11245/A</v>
      </c>
      <c r="X5814">
        <v>768.6</v>
      </c>
      <c r="Y5814">
        <v>0</v>
      </c>
      <c r="Z5814"/>
      <c r="AB5814"/>
      <c r="AC5814">
        <v>630</v>
      </c>
      <c r="AD5814">
        <v>307</v>
      </c>
      <c r="AE5814" s="1">
        <v>193410</v>
      </c>
      <c r="AF5814">
        <v>0</v>
      </c>
      <c r="AJ5814">
        <v>0</v>
      </c>
      <c r="AK5814">
        <v>0</v>
      </c>
      <c r="AL5814">
        <v>0</v>
      </c>
      <c r="AM5814">
        <v>0</v>
      </c>
      <c r="AN5814">
        <v>0</v>
      </c>
      <c r="AO5814">
        <v>0</v>
      </c>
      <c r="AP5814" s="2">
        <v>42746</v>
      </c>
      <c r="AQ5814" t="s">
        <v>72</v>
      </c>
      <c r="AR5814" t="s">
        <v>72</v>
      </c>
      <c r="AS5814">
        <v>1525</v>
      </c>
      <c r="AT5814" s="4">
        <v>42527</v>
      </c>
      <c r="AU5814" t="s">
        <v>73</v>
      </c>
      <c r="AV5814">
        <v>1525</v>
      </c>
      <c r="AW5814" s="4">
        <v>42527</v>
      </c>
      <c r="BD5814">
        <v>0</v>
      </c>
      <c r="BN5814" t="s">
        <v>74</v>
      </c>
    </row>
    <row r="5815" spans="1:66" hidden="1">
      <c r="A5815">
        <v>104007</v>
      </c>
      <c r="B5815" s="3" t="s">
        <v>590</v>
      </c>
      <c r="C5815" s="1">
        <v>43300101</v>
      </c>
      <c r="D5815" t="s">
        <v>67</v>
      </c>
      <c r="H5815" t="str">
        <f t="shared" si="610"/>
        <v>12693140159</v>
      </c>
      <c r="I5815" t="str">
        <f t="shared" si="610"/>
        <v>12693140159</v>
      </c>
      <c r="K5815" t="str">
        <f>""</f>
        <v/>
      </c>
      <c r="M5815" t="s">
        <v>68</v>
      </c>
      <c r="N5815" t="str">
        <f t="shared" si="607"/>
        <v>FOR</v>
      </c>
      <c r="O5815" t="s">
        <v>69</v>
      </c>
      <c r="P5815" s="3" t="s">
        <v>75</v>
      </c>
      <c r="Q5815">
        <v>2015</v>
      </c>
      <c r="R5815" s="2">
        <v>42172</v>
      </c>
      <c r="S5815" s="2">
        <v>42174</v>
      </c>
      <c r="T5815" s="2">
        <v>42172</v>
      </c>
      <c r="U5815" s="2">
        <v>42232</v>
      </c>
      <c r="V5815" t="s">
        <v>71</v>
      </c>
      <c r="W5815" t="str">
        <f>"             11297/A"</f>
        <v xml:space="preserve">             11297/A</v>
      </c>
      <c r="X5815" s="1">
        <v>1243.01</v>
      </c>
      <c r="Y5815">
        <v>0</v>
      </c>
      <c r="Z5815"/>
      <c r="AB5815"/>
      <c r="AC5815" s="1">
        <v>1195.2</v>
      </c>
      <c r="AD5815">
        <v>295</v>
      </c>
      <c r="AE5815" s="1">
        <v>352584</v>
      </c>
      <c r="AF5815">
        <v>0</v>
      </c>
      <c r="AJ5815">
        <v>0</v>
      </c>
      <c r="AK5815">
        <v>0</v>
      </c>
      <c r="AL5815">
        <v>0</v>
      </c>
      <c r="AM5815">
        <v>0</v>
      </c>
      <c r="AN5815">
        <v>0</v>
      </c>
      <c r="AO5815">
        <v>0</v>
      </c>
      <c r="AP5815" s="2">
        <v>42746</v>
      </c>
      <c r="AQ5815" t="s">
        <v>72</v>
      </c>
      <c r="AR5815" t="s">
        <v>72</v>
      </c>
      <c r="AS5815">
        <v>1525</v>
      </c>
      <c r="AT5815" s="4">
        <v>42527</v>
      </c>
      <c r="AU5815" t="s">
        <v>73</v>
      </c>
      <c r="AV5815">
        <v>1525</v>
      </c>
      <c r="AW5815" s="4">
        <v>42527</v>
      </c>
      <c r="BD5815">
        <v>0</v>
      </c>
      <c r="BN5815" t="s">
        <v>74</v>
      </c>
    </row>
    <row r="5816" spans="1:66" hidden="1">
      <c r="A5816">
        <v>104007</v>
      </c>
      <c r="B5816" s="3" t="s">
        <v>590</v>
      </c>
      <c r="C5816" s="1">
        <v>43300101</v>
      </c>
      <c r="D5816" t="s">
        <v>67</v>
      </c>
      <c r="H5816" t="str">
        <f t="shared" si="610"/>
        <v>12693140159</v>
      </c>
      <c r="I5816" t="str">
        <f t="shared" si="610"/>
        <v>12693140159</v>
      </c>
      <c r="K5816" t="str">
        <f>""</f>
        <v/>
      </c>
      <c r="M5816" t="s">
        <v>68</v>
      </c>
      <c r="N5816" t="str">
        <f t="shared" si="607"/>
        <v>FOR</v>
      </c>
      <c r="O5816" t="s">
        <v>69</v>
      </c>
      <c r="P5816" s="3" t="s">
        <v>75</v>
      </c>
      <c r="Q5816">
        <v>2015</v>
      </c>
      <c r="R5816" s="2">
        <v>42174</v>
      </c>
      <c r="S5816" s="2">
        <v>42178</v>
      </c>
      <c r="T5816" s="2">
        <v>42177</v>
      </c>
      <c r="U5816" s="2">
        <v>42237</v>
      </c>
      <c r="V5816" t="s">
        <v>71</v>
      </c>
      <c r="W5816" t="str">
        <f>"             11373/A"</f>
        <v xml:space="preserve">             11373/A</v>
      </c>
      <c r="X5816" s="1">
        <v>1537.2</v>
      </c>
      <c r="Y5816">
        <v>0</v>
      </c>
      <c r="Z5816"/>
      <c r="AB5816"/>
      <c r="AC5816" s="1">
        <v>1260</v>
      </c>
      <c r="AD5816">
        <v>290</v>
      </c>
      <c r="AE5816" s="1">
        <v>365400</v>
      </c>
      <c r="AF5816">
        <v>0</v>
      </c>
      <c r="AJ5816">
        <v>0</v>
      </c>
      <c r="AK5816">
        <v>0</v>
      </c>
      <c r="AL5816">
        <v>0</v>
      </c>
      <c r="AM5816">
        <v>0</v>
      </c>
      <c r="AN5816">
        <v>0</v>
      </c>
      <c r="AO5816">
        <v>0</v>
      </c>
      <c r="AP5816" s="2">
        <v>42746</v>
      </c>
      <c r="AQ5816" t="s">
        <v>72</v>
      </c>
      <c r="AR5816" t="s">
        <v>72</v>
      </c>
      <c r="AS5816">
        <v>1525</v>
      </c>
      <c r="AT5816" s="4">
        <v>42527</v>
      </c>
      <c r="AU5816" t="s">
        <v>73</v>
      </c>
      <c r="AV5816">
        <v>1525</v>
      </c>
      <c r="AW5816" s="4">
        <v>42527</v>
      </c>
      <c r="BD5816">
        <v>0</v>
      </c>
      <c r="BN5816" t="s">
        <v>74</v>
      </c>
    </row>
    <row r="5817" spans="1:66" hidden="1">
      <c r="A5817">
        <v>104007</v>
      </c>
      <c r="B5817" s="3" t="s">
        <v>590</v>
      </c>
      <c r="C5817" s="1">
        <v>43300101</v>
      </c>
      <c r="D5817" t="s">
        <v>67</v>
      </c>
      <c r="H5817" t="str">
        <f t="shared" si="610"/>
        <v>12693140159</v>
      </c>
      <c r="I5817" t="str">
        <f t="shared" si="610"/>
        <v>12693140159</v>
      </c>
      <c r="K5817" t="str">
        <f>""</f>
        <v/>
      </c>
      <c r="M5817" t="s">
        <v>68</v>
      </c>
      <c r="N5817" t="str">
        <f t="shared" si="607"/>
        <v>FOR</v>
      </c>
      <c r="O5817" t="s">
        <v>69</v>
      </c>
      <c r="P5817" s="3" t="s">
        <v>75</v>
      </c>
      <c r="Q5817">
        <v>2015</v>
      </c>
      <c r="R5817" s="2">
        <v>42192</v>
      </c>
      <c r="S5817" s="2">
        <v>42193</v>
      </c>
      <c r="T5817" s="2">
        <v>42192</v>
      </c>
      <c r="U5817" s="2">
        <v>42252</v>
      </c>
      <c r="V5817" t="s">
        <v>71</v>
      </c>
      <c r="W5817" t="str">
        <f>"             11490/A"</f>
        <v xml:space="preserve">             11490/A</v>
      </c>
      <c r="X5817" s="1">
        <v>1243.01</v>
      </c>
      <c r="Y5817">
        <v>0</v>
      </c>
      <c r="Z5817"/>
      <c r="AB5817"/>
      <c r="AC5817" s="1">
        <v>1195.2</v>
      </c>
      <c r="AD5817">
        <v>314</v>
      </c>
      <c r="AE5817" s="1">
        <v>375292.8</v>
      </c>
      <c r="AF5817">
        <v>0</v>
      </c>
      <c r="AJ5817">
        <v>0</v>
      </c>
      <c r="AK5817">
        <v>0</v>
      </c>
      <c r="AL5817">
        <v>0</v>
      </c>
      <c r="AM5817">
        <v>0</v>
      </c>
      <c r="AN5817">
        <v>0</v>
      </c>
      <c r="AO5817">
        <v>0</v>
      </c>
      <c r="AP5817" s="2">
        <v>42746</v>
      </c>
      <c r="AQ5817" t="s">
        <v>72</v>
      </c>
      <c r="AR5817" t="s">
        <v>72</v>
      </c>
      <c r="AS5817">
        <v>1825</v>
      </c>
      <c r="AT5817" s="4">
        <v>42566</v>
      </c>
      <c r="AU5817" t="s">
        <v>73</v>
      </c>
      <c r="AV5817">
        <v>1825</v>
      </c>
      <c r="AW5817" s="4">
        <v>42566</v>
      </c>
      <c r="BD5817">
        <v>0</v>
      </c>
      <c r="BN5817" t="s">
        <v>74</v>
      </c>
    </row>
    <row r="5818" spans="1:66" hidden="1">
      <c r="A5818">
        <v>104007</v>
      </c>
      <c r="B5818" s="3" t="s">
        <v>590</v>
      </c>
      <c r="C5818" s="1">
        <v>43300101</v>
      </c>
      <c r="D5818" t="s">
        <v>67</v>
      </c>
      <c r="H5818" t="str">
        <f t="shared" si="610"/>
        <v>12693140159</v>
      </c>
      <c r="I5818" t="str">
        <f t="shared" si="610"/>
        <v>12693140159</v>
      </c>
      <c r="K5818" t="str">
        <f>""</f>
        <v/>
      </c>
      <c r="M5818" t="s">
        <v>68</v>
      </c>
      <c r="N5818" t="str">
        <f t="shared" ref="N5818:N5881" si="611">"FOR"</f>
        <v>FOR</v>
      </c>
      <c r="O5818" t="s">
        <v>69</v>
      </c>
      <c r="P5818" s="3" t="s">
        <v>75</v>
      </c>
      <c r="Q5818">
        <v>2015</v>
      </c>
      <c r="R5818" s="2">
        <v>42200</v>
      </c>
      <c r="S5818" s="2">
        <v>42202</v>
      </c>
      <c r="T5818" s="2">
        <v>42200</v>
      </c>
      <c r="U5818" s="2">
        <v>42260</v>
      </c>
      <c r="V5818" t="s">
        <v>71</v>
      </c>
      <c r="W5818" t="str">
        <f>"             11600/A"</f>
        <v xml:space="preserve">             11600/A</v>
      </c>
      <c r="X5818" s="1">
        <v>2305.8000000000002</v>
      </c>
      <c r="Y5818">
        <v>0</v>
      </c>
      <c r="Z5818"/>
      <c r="AB5818"/>
      <c r="AC5818" s="1">
        <v>1890</v>
      </c>
      <c r="AD5818">
        <v>306</v>
      </c>
      <c r="AE5818" s="1">
        <v>578340</v>
      </c>
      <c r="AF5818">
        <v>0</v>
      </c>
      <c r="AJ5818">
        <v>0</v>
      </c>
      <c r="AK5818">
        <v>0</v>
      </c>
      <c r="AL5818">
        <v>0</v>
      </c>
      <c r="AM5818">
        <v>0</v>
      </c>
      <c r="AN5818">
        <v>0</v>
      </c>
      <c r="AO5818">
        <v>0</v>
      </c>
      <c r="AP5818" s="2">
        <v>42746</v>
      </c>
      <c r="AQ5818" t="s">
        <v>72</v>
      </c>
      <c r="AR5818" t="s">
        <v>72</v>
      </c>
      <c r="AS5818">
        <v>1825</v>
      </c>
      <c r="AT5818" s="4">
        <v>42566</v>
      </c>
      <c r="AU5818" t="s">
        <v>73</v>
      </c>
      <c r="AV5818">
        <v>1825</v>
      </c>
      <c r="AW5818" s="4">
        <v>42566</v>
      </c>
      <c r="BD5818">
        <v>0</v>
      </c>
      <c r="BN5818" t="s">
        <v>74</v>
      </c>
    </row>
    <row r="5819" spans="1:66" hidden="1">
      <c r="A5819">
        <v>104007</v>
      </c>
      <c r="B5819" s="3" t="s">
        <v>590</v>
      </c>
      <c r="C5819" s="1">
        <v>43300101</v>
      </c>
      <c r="D5819" t="s">
        <v>67</v>
      </c>
      <c r="H5819" t="str">
        <f t="shared" si="610"/>
        <v>12693140159</v>
      </c>
      <c r="I5819" t="str">
        <f t="shared" si="610"/>
        <v>12693140159</v>
      </c>
      <c r="K5819" t="str">
        <f>""</f>
        <v/>
      </c>
      <c r="M5819" t="s">
        <v>68</v>
      </c>
      <c r="N5819" t="str">
        <f t="shared" si="611"/>
        <v>FOR</v>
      </c>
      <c r="O5819" t="s">
        <v>69</v>
      </c>
      <c r="P5819" s="3" t="s">
        <v>75</v>
      </c>
      <c r="Q5819">
        <v>2015</v>
      </c>
      <c r="R5819" s="2">
        <v>42216</v>
      </c>
      <c r="S5819" s="2">
        <v>42223</v>
      </c>
      <c r="T5819" s="2">
        <v>42222</v>
      </c>
      <c r="U5819" s="2">
        <v>42282</v>
      </c>
      <c r="V5819" t="s">
        <v>71</v>
      </c>
      <c r="W5819" t="str">
        <f>"             11750/A"</f>
        <v xml:space="preserve">             11750/A</v>
      </c>
      <c r="X5819" s="1">
        <v>1553.76</v>
      </c>
      <c r="Y5819">
        <v>0</v>
      </c>
      <c r="Z5819"/>
      <c r="AB5819"/>
      <c r="AC5819" s="1">
        <v>1494</v>
      </c>
      <c r="AD5819">
        <v>284</v>
      </c>
      <c r="AE5819" s="1">
        <v>424296</v>
      </c>
      <c r="AF5819">
        <v>0</v>
      </c>
      <c r="AJ5819">
        <v>0</v>
      </c>
      <c r="AK5819">
        <v>0</v>
      </c>
      <c r="AL5819">
        <v>0</v>
      </c>
      <c r="AM5819">
        <v>0</v>
      </c>
      <c r="AN5819">
        <v>0</v>
      </c>
      <c r="AO5819">
        <v>0</v>
      </c>
      <c r="AP5819" s="2">
        <v>42746</v>
      </c>
      <c r="AQ5819" t="s">
        <v>72</v>
      </c>
      <c r="AR5819" t="s">
        <v>72</v>
      </c>
      <c r="AS5819">
        <v>1825</v>
      </c>
      <c r="AT5819" s="4">
        <v>42566</v>
      </c>
      <c r="AU5819" t="s">
        <v>73</v>
      </c>
      <c r="AV5819">
        <v>1825</v>
      </c>
      <c r="AW5819" s="4">
        <v>42566</v>
      </c>
      <c r="BD5819">
        <v>0</v>
      </c>
      <c r="BN5819" t="s">
        <v>74</v>
      </c>
    </row>
    <row r="5820" spans="1:66" hidden="1">
      <c r="A5820">
        <v>104007</v>
      </c>
      <c r="B5820" s="3" t="s">
        <v>590</v>
      </c>
      <c r="C5820" s="1">
        <v>43300101</v>
      </c>
      <c r="D5820" t="s">
        <v>67</v>
      </c>
      <c r="H5820" t="str">
        <f t="shared" si="610"/>
        <v>12693140159</v>
      </c>
      <c r="I5820" t="str">
        <f t="shared" si="610"/>
        <v>12693140159</v>
      </c>
      <c r="K5820" t="str">
        <f>""</f>
        <v/>
      </c>
      <c r="M5820" t="s">
        <v>68</v>
      </c>
      <c r="N5820" t="str">
        <f t="shared" si="611"/>
        <v>FOR</v>
      </c>
      <c r="O5820" t="s">
        <v>69</v>
      </c>
      <c r="P5820" s="3" t="s">
        <v>75</v>
      </c>
      <c r="Q5820">
        <v>2015</v>
      </c>
      <c r="R5820" s="2">
        <v>42247</v>
      </c>
      <c r="S5820" s="2">
        <v>42248</v>
      </c>
      <c r="T5820" s="2">
        <v>42247</v>
      </c>
      <c r="U5820" s="2">
        <v>42307</v>
      </c>
      <c r="V5820" t="s">
        <v>71</v>
      </c>
      <c r="W5820" t="str">
        <f>"             11885/A"</f>
        <v xml:space="preserve">             11885/A</v>
      </c>
      <c r="X5820">
        <v>932.26</v>
      </c>
      <c r="Y5820">
        <v>0</v>
      </c>
      <c r="Z5820"/>
      <c r="AB5820"/>
      <c r="AC5820">
        <v>896.4</v>
      </c>
      <c r="AD5820">
        <v>272</v>
      </c>
      <c r="AE5820" s="1">
        <v>243820.79999999999</v>
      </c>
      <c r="AF5820">
        <v>0</v>
      </c>
      <c r="AJ5820">
        <v>0</v>
      </c>
      <c r="AK5820">
        <v>0</v>
      </c>
      <c r="AL5820">
        <v>0</v>
      </c>
      <c r="AM5820">
        <v>0</v>
      </c>
      <c r="AN5820">
        <v>0</v>
      </c>
      <c r="AO5820">
        <v>0</v>
      </c>
      <c r="AP5820" s="2">
        <v>42746</v>
      </c>
      <c r="AQ5820" t="s">
        <v>72</v>
      </c>
      <c r="AR5820" t="s">
        <v>72</v>
      </c>
      <c r="AS5820">
        <v>2026</v>
      </c>
      <c r="AT5820" s="4">
        <v>42579</v>
      </c>
      <c r="AU5820" t="s">
        <v>73</v>
      </c>
      <c r="AV5820">
        <v>2026</v>
      </c>
      <c r="AW5820" s="4">
        <v>42579</v>
      </c>
      <c r="BD5820">
        <v>0</v>
      </c>
      <c r="BN5820" t="s">
        <v>74</v>
      </c>
    </row>
    <row r="5821" spans="1:66">
      <c r="A5821">
        <v>104007</v>
      </c>
      <c r="B5821" s="3" t="s">
        <v>590</v>
      </c>
      <c r="C5821" s="1">
        <v>43300101</v>
      </c>
      <c r="D5821" t="s">
        <v>67</v>
      </c>
      <c r="H5821" t="str">
        <f t="shared" si="610"/>
        <v>12693140159</v>
      </c>
      <c r="I5821" t="str">
        <f t="shared" si="610"/>
        <v>12693140159</v>
      </c>
      <c r="K5821" t="str">
        <f>""</f>
        <v/>
      </c>
      <c r="M5821" t="s">
        <v>68</v>
      </c>
      <c r="N5821" t="str">
        <f t="shared" si="611"/>
        <v>FOR</v>
      </c>
      <c r="O5821" t="s">
        <v>69</v>
      </c>
      <c r="P5821" s="3" t="s">
        <v>75</v>
      </c>
      <c r="Q5821">
        <v>2015</v>
      </c>
      <c r="R5821" s="2">
        <v>42289</v>
      </c>
      <c r="S5821" s="2">
        <v>42291</v>
      </c>
      <c r="T5821" s="2">
        <v>42289</v>
      </c>
      <c r="U5821" s="2">
        <v>42349</v>
      </c>
      <c r="V5821" t="s">
        <v>71</v>
      </c>
      <c r="W5821" t="str">
        <f>"             12230/A"</f>
        <v xml:space="preserve">             12230/A</v>
      </c>
      <c r="X5821" s="1">
        <v>1243.01</v>
      </c>
      <c r="Y5821">
        <v>0</v>
      </c>
      <c r="Z5821" s="5">
        <v>1195.2</v>
      </c>
      <c r="AA5821">
        <v>299</v>
      </c>
      <c r="AB5821" s="5">
        <v>357364.8</v>
      </c>
      <c r="AC5821" s="1">
        <v>1195.2</v>
      </c>
      <c r="AD5821">
        <v>299</v>
      </c>
      <c r="AE5821" s="1">
        <v>357364.8</v>
      </c>
      <c r="AF5821">
        <v>0</v>
      </c>
      <c r="AJ5821">
        <v>0</v>
      </c>
      <c r="AK5821">
        <v>0</v>
      </c>
      <c r="AL5821">
        <v>0</v>
      </c>
      <c r="AM5821">
        <v>0</v>
      </c>
      <c r="AN5821">
        <v>0</v>
      </c>
      <c r="AO5821">
        <v>0</v>
      </c>
      <c r="AP5821" s="2">
        <v>42746</v>
      </c>
      <c r="AQ5821" t="s">
        <v>72</v>
      </c>
      <c r="AR5821" t="s">
        <v>72</v>
      </c>
      <c r="AS5821">
        <v>2652</v>
      </c>
      <c r="AT5821" s="4">
        <v>42648</v>
      </c>
      <c r="AU5821" t="s">
        <v>73</v>
      </c>
      <c r="AV5821">
        <v>2652</v>
      </c>
      <c r="AW5821" s="4">
        <v>42648</v>
      </c>
      <c r="BD5821">
        <v>0</v>
      </c>
      <c r="BN5821" t="s">
        <v>74</v>
      </c>
    </row>
    <row r="5822" spans="1:66">
      <c r="A5822">
        <v>104007</v>
      </c>
      <c r="B5822" s="3" t="s">
        <v>590</v>
      </c>
      <c r="C5822" s="1">
        <v>43300101</v>
      </c>
      <c r="D5822" t="s">
        <v>67</v>
      </c>
      <c r="H5822" t="str">
        <f t="shared" si="610"/>
        <v>12693140159</v>
      </c>
      <c r="I5822" t="str">
        <f t="shared" si="610"/>
        <v>12693140159</v>
      </c>
      <c r="K5822" t="str">
        <f>""</f>
        <v/>
      </c>
      <c r="M5822" t="s">
        <v>68</v>
      </c>
      <c r="N5822" t="str">
        <f t="shared" si="611"/>
        <v>FOR</v>
      </c>
      <c r="O5822" t="s">
        <v>69</v>
      </c>
      <c r="P5822" s="3" t="s">
        <v>75</v>
      </c>
      <c r="Q5822">
        <v>2015</v>
      </c>
      <c r="R5822" s="2">
        <v>42318</v>
      </c>
      <c r="S5822" s="2">
        <v>42320</v>
      </c>
      <c r="T5822" s="2">
        <v>42318</v>
      </c>
      <c r="U5822" s="2">
        <v>42378</v>
      </c>
      <c r="V5822" t="s">
        <v>71</v>
      </c>
      <c r="W5822" t="str">
        <f>"             12438/A"</f>
        <v xml:space="preserve">             12438/A</v>
      </c>
      <c r="X5822" s="1">
        <v>1553.76</v>
      </c>
      <c r="Y5822">
        <v>0</v>
      </c>
      <c r="Z5822" s="5">
        <v>1494</v>
      </c>
      <c r="AA5822">
        <v>290</v>
      </c>
      <c r="AB5822" s="5">
        <v>433260</v>
      </c>
      <c r="AC5822" s="1">
        <v>1494</v>
      </c>
      <c r="AD5822">
        <v>290</v>
      </c>
      <c r="AE5822" s="1">
        <v>433260</v>
      </c>
      <c r="AF5822">
        <v>0</v>
      </c>
      <c r="AJ5822">
        <v>0</v>
      </c>
      <c r="AK5822">
        <v>0</v>
      </c>
      <c r="AL5822">
        <v>0</v>
      </c>
      <c r="AM5822">
        <v>0</v>
      </c>
      <c r="AN5822">
        <v>0</v>
      </c>
      <c r="AO5822">
        <v>0</v>
      </c>
      <c r="AP5822" s="2">
        <v>42746</v>
      </c>
      <c r="AQ5822" t="s">
        <v>72</v>
      </c>
      <c r="AR5822" t="s">
        <v>72</v>
      </c>
      <c r="AS5822">
        <v>2874</v>
      </c>
      <c r="AT5822" s="4">
        <v>42668</v>
      </c>
      <c r="AU5822" t="s">
        <v>73</v>
      </c>
      <c r="AV5822">
        <v>2874</v>
      </c>
      <c r="AW5822" s="4">
        <v>42668</v>
      </c>
      <c r="BD5822">
        <v>0</v>
      </c>
      <c r="BN5822" t="s">
        <v>74</v>
      </c>
    </row>
    <row r="5823" spans="1:66">
      <c r="A5823">
        <v>104007</v>
      </c>
      <c r="B5823" s="3" t="s">
        <v>590</v>
      </c>
      <c r="C5823" s="1">
        <v>43300101</v>
      </c>
      <c r="D5823" t="s">
        <v>67</v>
      </c>
      <c r="H5823" t="str">
        <f t="shared" si="610"/>
        <v>12693140159</v>
      </c>
      <c r="I5823" t="str">
        <f t="shared" si="610"/>
        <v>12693140159</v>
      </c>
      <c r="K5823" t="str">
        <f>""</f>
        <v/>
      </c>
      <c r="M5823" t="s">
        <v>68</v>
      </c>
      <c r="N5823" t="str">
        <f t="shared" si="611"/>
        <v>FOR</v>
      </c>
      <c r="O5823" t="s">
        <v>69</v>
      </c>
      <c r="P5823" s="3" t="s">
        <v>75</v>
      </c>
      <c r="Q5823">
        <v>2015</v>
      </c>
      <c r="R5823" s="2">
        <v>42324</v>
      </c>
      <c r="S5823" s="2">
        <v>42326</v>
      </c>
      <c r="T5823" s="2">
        <v>42325</v>
      </c>
      <c r="U5823" s="2">
        <v>42385</v>
      </c>
      <c r="V5823" t="s">
        <v>71</v>
      </c>
      <c r="W5823" t="str">
        <f>"             12504/A"</f>
        <v xml:space="preserve">             12504/A</v>
      </c>
      <c r="X5823" s="1">
        <v>1537.2</v>
      </c>
      <c r="Y5823">
        <v>0</v>
      </c>
      <c r="Z5823" s="5">
        <v>1260</v>
      </c>
      <c r="AA5823">
        <v>283</v>
      </c>
      <c r="AB5823" s="5">
        <v>356580</v>
      </c>
      <c r="AC5823" s="1">
        <v>1260</v>
      </c>
      <c r="AD5823">
        <v>283</v>
      </c>
      <c r="AE5823" s="1">
        <v>356580</v>
      </c>
      <c r="AF5823">
        <v>0</v>
      </c>
      <c r="AJ5823">
        <v>0</v>
      </c>
      <c r="AK5823">
        <v>0</v>
      </c>
      <c r="AL5823">
        <v>0</v>
      </c>
      <c r="AM5823">
        <v>0</v>
      </c>
      <c r="AN5823">
        <v>0</v>
      </c>
      <c r="AO5823">
        <v>0</v>
      </c>
      <c r="AP5823" s="2">
        <v>42746</v>
      </c>
      <c r="AQ5823" t="s">
        <v>72</v>
      </c>
      <c r="AR5823" t="s">
        <v>72</v>
      </c>
      <c r="AS5823">
        <v>2874</v>
      </c>
      <c r="AT5823" s="4">
        <v>42668</v>
      </c>
      <c r="AU5823" t="s">
        <v>73</v>
      </c>
      <c r="AV5823">
        <v>2874</v>
      </c>
      <c r="AW5823" s="4">
        <v>42668</v>
      </c>
      <c r="BD5823">
        <v>0</v>
      </c>
      <c r="BN5823" t="s">
        <v>74</v>
      </c>
    </row>
    <row r="5824" spans="1:66">
      <c r="A5824">
        <v>104007</v>
      </c>
      <c r="B5824" s="3" t="s">
        <v>590</v>
      </c>
      <c r="C5824" s="1">
        <v>43300101</v>
      </c>
      <c r="D5824" t="s">
        <v>67</v>
      </c>
      <c r="H5824" t="str">
        <f t="shared" si="610"/>
        <v>12693140159</v>
      </c>
      <c r="I5824" t="str">
        <f t="shared" si="610"/>
        <v>12693140159</v>
      </c>
      <c r="K5824" t="str">
        <f>""</f>
        <v/>
      </c>
      <c r="M5824" t="s">
        <v>68</v>
      </c>
      <c r="N5824" t="str">
        <f t="shared" si="611"/>
        <v>FOR</v>
      </c>
      <c r="O5824" t="s">
        <v>69</v>
      </c>
      <c r="P5824" s="3" t="s">
        <v>75</v>
      </c>
      <c r="Q5824">
        <v>2015</v>
      </c>
      <c r="R5824" s="2">
        <v>42352</v>
      </c>
      <c r="S5824" s="2">
        <v>42354</v>
      </c>
      <c r="T5824" s="2">
        <v>42352</v>
      </c>
      <c r="U5824" s="2">
        <v>42412</v>
      </c>
      <c r="V5824" t="s">
        <v>71</v>
      </c>
      <c r="W5824" t="str">
        <f>"             12736/A"</f>
        <v xml:space="preserve">             12736/A</v>
      </c>
      <c r="X5824">
        <v>768.6</v>
      </c>
      <c r="Y5824">
        <v>0</v>
      </c>
      <c r="Z5824" s="3">
        <v>630</v>
      </c>
      <c r="AA5824">
        <v>256</v>
      </c>
      <c r="AB5824" s="5">
        <v>161280</v>
      </c>
      <c r="AC5824">
        <v>630</v>
      </c>
      <c r="AD5824">
        <v>256</v>
      </c>
      <c r="AE5824" s="1">
        <v>161280</v>
      </c>
      <c r="AF5824">
        <v>0</v>
      </c>
      <c r="AJ5824">
        <v>0</v>
      </c>
      <c r="AK5824">
        <v>0</v>
      </c>
      <c r="AL5824">
        <v>0</v>
      </c>
      <c r="AM5824">
        <v>0</v>
      </c>
      <c r="AN5824">
        <v>0</v>
      </c>
      <c r="AO5824">
        <v>0</v>
      </c>
      <c r="AP5824" s="2">
        <v>42746</v>
      </c>
      <c r="AQ5824" t="s">
        <v>72</v>
      </c>
      <c r="AR5824" t="s">
        <v>72</v>
      </c>
      <c r="AS5824">
        <v>2874</v>
      </c>
      <c r="AT5824" s="4">
        <v>42668</v>
      </c>
      <c r="AU5824" t="s">
        <v>73</v>
      </c>
      <c r="AV5824">
        <v>2874</v>
      </c>
      <c r="AW5824" s="4">
        <v>42668</v>
      </c>
      <c r="BD5824">
        <v>0</v>
      </c>
      <c r="BN5824" t="s">
        <v>74</v>
      </c>
    </row>
    <row r="5825" spans="1:66">
      <c r="A5825">
        <v>104007</v>
      </c>
      <c r="B5825" s="3" t="s">
        <v>590</v>
      </c>
      <c r="C5825" s="1">
        <v>43300101</v>
      </c>
      <c r="D5825" t="s">
        <v>67</v>
      </c>
      <c r="H5825" t="str">
        <f t="shared" si="610"/>
        <v>12693140159</v>
      </c>
      <c r="I5825" t="str">
        <f t="shared" si="610"/>
        <v>12693140159</v>
      </c>
      <c r="K5825" t="str">
        <f>""</f>
        <v/>
      </c>
      <c r="M5825" t="s">
        <v>68</v>
      </c>
      <c r="N5825" t="str">
        <f t="shared" si="611"/>
        <v>FOR</v>
      </c>
      <c r="O5825" t="s">
        <v>69</v>
      </c>
      <c r="P5825" s="3" t="s">
        <v>75</v>
      </c>
      <c r="Q5825">
        <v>2015</v>
      </c>
      <c r="R5825" s="2">
        <v>42356</v>
      </c>
      <c r="S5825" s="2">
        <v>42359</v>
      </c>
      <c r="T5825" s="2">
        <v>42356</v>
      </c>
      <c r="U5825" s="2">
        <v>42416</v>
      </c>
      <c r="V5825" t="s">
        <v>71</v>
      </c>
      <c r="W5825" t="str">
        <f>"             12777/A"</f>
        <v xml:space="preserve">             12777/A</v>
      </c>
      <c r="X5825">
        <v>932.26</v>
      </c>
      <c r="Y5825">
        <v>0</v>
      </c>
      <c r="Z5825" s="3">
        <v>896.4</v>
      </c>
      <c r="AA5825">
        <v>252</v>
      </c>
      <c r="AB5825" s="5">
        <v>225892.8</v>
      </c>
      <c r="AC5825">
        <v>896.4</v>
      </c>
      <c r="AD5825">
        <v>252</v>
      </c>
      <c r="AE5825" s="1">
        <v>225892.8</v>
      </c>
      <c r="AF5825">
        <v>0</v>
      </c>
      <c r="AJ5825">
        <v>0</v>
      </c>
      <c r="AK5825">
        <v>0</v>
      </c>
      <c r="AL5825">
        <v>0</v>
      </c>
      <c r="AM5825">
        <v>0</v>
      </c>
      <c r="AN5825">
        <v>0</v>
      </c>
      <c r="AO5825">
        <v>0</v>
      </c>
      <c r="AP5825" s="2">
        <v>42746</v>
      </c>
      <c r="AQ5825" t="s">
        <v>72</v>
      </c>
      <c r="AR5825" t="s">
        <v>72</v>
      </c>
      <c r="AS5825">
        <v>2874</v>
      </c>
      <c r="AT5825" s="4">
        <v>42668</v>
      </c>
      <c r="AU5825" t="s">
        <v>73</v>
      </c>
      <c r="AV5825">
        <v>2874</v>
      </c>
      <c r="AW5825" s="4">
        <v>42668</v>
      </c>
      <c r="BD5825">
        <v>0</v>
      </c>
      <c r="BN5825" t="s">
        <v>74</v>
      </c>
    </row>
    <row r="5826" spans="1:66">
      <c r="A5826">
        <v>104007</v>
      </c>
      <c r="B5826" s="3" t="s">
        <v>590</v>
      </c>
      <c r="C5826" s="1">
        <v>43300101</v>
      </c>
      <c r="D5826" t="s">
        <v>67</v>
      </c>
      <c r="H5826" t="str">
        <f t="shared" si="610"/>
        <v>12693140159</v>
      </c>
      <c r="I5826" t="str">
        <f t="shared" si="610"/>
        <v>12693140159</v>
      </c>
      <c r="K5826" t="str">
        <f>""</f>
        <v/>
      </c>
      <c r="M5826" t="s">
        <v>68</v>
      </c>
      <c r="N5826" t="str">
        <f t="shared" si="611"/>
        <v>FOR</v>
      </c>
      <c r="O5826" t="s">
        <v>69</v>
      </c>
      <c r="P5826" s="3" t="s">
        <v>75</v>
      </c>
      <c r="Q5826">
        <v>2016</v>
      </c>
      <c r="R5826" s="2">
        <v>42397</v>
      </c>
      <c r="S5826" s="2">
        <v>42401</v>
      </c>
      <c r="T5826" s="2">
        <v>42397</v>
      </c>
      <c r="U5826" s="2">
        <v>42457</v>
      </c>
      <c r="V5826" t="s">
        <v>71</v>
      </c>
      <c r="W5826" t="str">
        <f>"             10159/A"</f>
        <v xml:space="preserve">             10159/A</v>
      </c>
      <c r="X5826" s="1">
        <v>1537.2</v>
      </c>
      <c r="Y5826">
        <v>0</v>
      </c>
      <c r="Z5826" s="5">
        <v>1260</v>
      </c>
      <c r="AA5826">
        <v>266</v>
      </c>
      <c r="AB5826" s="5">
        <v>335160</v>
      </c>
      <c r="AC5826" s="1">
        <v>1260</v>
      </c>
      <c r="AD5826">
        <v>266</v>
      </c>
      <c r="AE5826" s="1">
        <v>335160</v>
      </c>
      <c r="AF5826">
        <v>277.2</v>
      </c>
      <c r="AJ5826">
        <v>0</v>
      </c>
      <c r="AK5826">
        <v>0</v>
      </c>
      <c r="AL5826">
        <v>0</v>
      </c>
      <c r="AM5826" s="1">
        <v>1537.2</v>
      </c>
      <c r="AN5826" s="1">
        <v>1537.2</v>
      </c>
      <c r="AO5826" s="1">
        <v>1537.2</v>
      </c>
      <c r="AP5826" s="2">
        <v>42746</v>
      </c>
      <c r="AQ5826" t="s">
        <v>72</v>
      </c>
      <c r="AR5826" t="s">
        <v>72</v>
      </c>
      <c r="AS5826">
        <v>3611</v>
      </c>
      <c r="AT5826" s="4">
        <v>42723</v>
      </c>
      <c r="AU5826" t="s">
        <v>73</v>
      </c>
      <c r="AV5826">
        <v>3611</v>
      </c>
      <c r="AW5826" s="4">
        <v>42723</v>
      </c>
      <c r="BD5826">
        <v>277.2</v>
      </c>
      <c r="BN5826" t="s">
        <v>74</v>
      </c>
    </row>
    <row r="5827" spans="1:66">
      <c r="A5827">
        <v>104007</v>
      </c>
      <c r="B5827" s="3" t="s">
        <v>590</v>
      </c>
      <c r="C5827" s="1">
        <v>43300101</v>
      </c>
      <c r="D5827" t="s">
        <v>67</v>
      </c>
      <c r="H5827" t="str">
        <f t="shared" si="610"/>
        <v>12693140159</v>
      </c>
      <c r="I5827" t="str">
        <f t="shared" si="610"/>
        <v>12693140159</v>
      </c>
      <c r="K5827" t="str">
        <f>""</f>
        <v/>
      </c>
      <c r="M5827" t="s">
        <v>68</v>
      </c>
      <c r="N5827" t="str">
        <f t="shared" si="611"/>
        <v>FOR</v>
      </c>
      <c r="O5827" t="s">
        <v>69</v>
      </c>
      <c r="P5827" s="3" t="s">
        <v>75</v>
      </c>
      <c r="Q5827">
        <v>2016</v>
      </c>
      <c r="R5827" s="2">
        <v>42397</v>
      </c>
      <c r="S5827" s="2">
        <v>42401</v>
      </c>
      <c r="T5827" s="2">
        <v>42397</v>
      </c>
      <c r="U5827" s="2">
        <v>42457</v>
      </c>
      <c r="V5827" t="s">
        <v>71</v>
      </c>
      <c r="W5827" t="str">
        <f>"             10160/A"</f>
        <v xml:space="preserve">             10160/A</v>
      </c>
      <c r="X5827" s="1">
        <v>1243.01</v>
      </c>
      <c r="Y5827">
        <v>0</v>
      </c>
      <c r="Z5827" s="5">
        <v>1195.2</v>
      </c>
      <c r="AA5827">
        <v>266</v>
      </c>
      <c r="AB5827" s="5">
        <v>317923.20000000001</v>
      </c>
      <c r="AC5827" s="1">
        <v>1195.2</v>
      </c>
      <c r="AD5827">
        <v>266</v>
      </c>
      <c r="AE5827" s="1">
        <v>317923.20000000001</v>
      </c>
      <c r="AF5827">
        <v>47.81</v>
      </c>
      <c r="AJ5827">
        <v>0</v>
      </c>
      <c r="AK5827">
        <v>0</v>
      </c>
      <c r="AL5827">
        <v>0</v>
      </c>
      <c r="AM5827" s="1">
        <v>1243.01</v>
      </c>
      <c r="AN5827" s="1">
        <v>1243.01</v>
      </c>
      <c r="AO5827" s="1">
        <v>1243.01</v>
      </c>
      <c r="AP5827" s="2">
        <v>42746</v>
      </c>
      <c r="AQ5827" t="s">
        <v>72</v>
      </c>
      <c r="AR5827" t="s">
        <v>72</v>
      </c>
      <c r="AS5827">
        <v>3611</v>
      </c>
      <c r="AT5827" s="4">
        <v>42723</v>
      </c>
      <c r="AU5827" t="s">
        <v>73</v>
      </c>
      <c r="AV5827">
        <v>3611</v>
      </c>
      <c r="AW5827" s="4">
        <v>42723</v>
      </c>
      <c r="BD5827">
        <v>47.81</v>
      </c>
      <c r="BN5827" t="s">
        <v>74</v>
      </c>
    </row>
    <row r="5828" spans="1:66">
      <c r="A5828">
        <v>104007</v>
      </c>
      <c r="B5828" s="3" t="s">
        <v>590</v>
      </c>
      <c r="C5828" s="1">
        <v>43300101</v>
      </c>
      <c r="D5828" t="s">
        <v>67</v>
      </c>
      <c r="H5828" t="str">
        <f t="shared" si="610"/>
        <v>12693140159</v>
      </c>
      <c r="I5828" t="str">
        <f t="shared" si="610"/>
        <v>12693140159</v>
      </c>
      <c r="K5828" t="str">
        <f>""</f>
        <v/>
      </c>
      <c r="M5828" t="s">
        <v>68</v>
      </c>
      <c r="N5828" t="str">
        <f t="shared" si="611"/>
        <v>FOR</v>
      </c>
      <c r="O5828" t="s">
        <v>69</v>
      </c>
      <c r="P5828" s="3" t="s">
        <v>75</v>
      </c>
      <c r="Q5828">
        <v>2016</v>
      </c>
      <c r="R5828" s="2">
        <v>42417</v>
      </c>
      <c r="S5828" s="2">
        <v>42422</v>
      </c>
      <c r="T5828" s="2">
        <v>42417</v>
      </c>
      <c r="U5828" s="2">
        <v>42477</v>
      </c>
      <c r="V5828" t="s">
        <v>71</v>
      </c>
      <c r="W5828" t="str">
        <f>"             10363/A"</f>
        <v xml:space="preserve">             10363/A</v>
      </c>
      <c r="X5828" s="1">
        <v>1553.76</v>
      </c>
      <c r="Y5828">
        <v>0</v>
      </c>
      <c r="Z5828" s="5">
        <v>1494</v>
      </c>
      <c r="AA5828">
        <v>246</v>
      </c>
      <c r="AB5828" s="5">
        <v>367524</v>
      </c>
      <c r="AC5828" s="1">
        <v>1494</v>
      </c>
      <c r="AD5828">
        <v>246</v>
      </c>
      <c r="AE5828" s="1">
        <v>367524</v>
      </c>
      <c r="AF5828">
        <v>59.76</v>
      </c>
      <c r="AJ5828">
        <v>0</v>
      </c>
      <c r="AK5828">
        <v>0</v>
      </c>
      <c r="AL5828">
        <v>0</v>
      </c>
      <c r="AM5828" s="1">
        <v>1553.76</v>
      </c>
      <c r="AN5828" s="1">
        <v>1553.76</v>
      </c>
      <c r="AO5828" s="1">
        <v>1553.76</v>
      </c>
      <c r="AP5828" s="2">
        <v>42746</v>
      </c>
      <c r="AQ5828" t="s">
        <v>72</v>
      </c>
      <c r="AR5828" t="s">
        <v>72</v>
      </c>
      <c r="AS5828">
        <v>3611</v>
      </c>
      <c r="AT5828" s="4">
        <v>42723</v>
      </c>
      <c r="AU5828" t="s">
        <v>73</v>
      </c>
      <c r="AV5828">
        <v>3611</v>
      </c>
      <c r="AW5828" s="4">
        <v>42723</v>
      </c>
      <c r="BD5828">
        <v>59.76</v>
      </c>
      <c r="BN5828" t="s">
        <v>74</v>
      </c>
    </row>
    <row r="5829" spans="1:66">
      <c r="A5829">
        <v>104009</v>
      </c>
      <c r="B5829" s="3" t="s">
        <v>591</v>
      </c>
      <c r="C5829" s="1">
        <v>43300101</v>
      </c>
      <c r="D5829" t="s">
        <v>67</v>
      </c>
      <c r="H5829" t="str">
        <f t="shared" ref="H5829:I5848" si="612">"08641790152"</f>
        <v>08641790152</v>
      </c>
      <c r="I5829" t="str">
        <f t="shared" si="612"/>
        <v>08641790152</v>
      </c>
      <c r="K5829" t="str">
        <f>""</f>
        <v/>
      </c>
      <c r="M5829" t="s">
        <v>68</v>
      </c>
      <c r="N5829" t="str">
        <f t="shared" si="611"/>
        <v>FOR</v>
      </c>
      <c r="O5829" t="s">
        <v>69</v>
      </c>
      <c r="P5829" s="3" t="s">
        <v>78</v>
      </c>
      <c r="Q5829">
        <v>2014</v>
      </c>
      <c r="R5829" s="2">
        <v>41767</v>
      </c>
      <c r="S5829" s="2">
        <v>41778</v>
      </c>
      <c r="T5829" s="2">
        <v>41778</v>
      </c>
      <c r="U5829" s="2">
        <v>41868</v>
      </c>
      <c r="V5829" t="s">
        <v>71</v>
      </c>
      <c r="W5829" t="str">
        <f>"              156712"</f>
        <v xml:space="preserve">              156712</v>
      </c>
      <c r="X5829">
        <v>156</v>
      </c>
      <c r="Y5829">
        <v>0</v>
      </c>
      <c r="Z5829" s="3">
        <v>156</v>
      </c>
      <c r="AA5829">
        <v>778</v>
      </c>
      <c r="AB5829" s="5">
        <v>121368</v>
      </c>
      <c r="AC5829">
        <v>156</v>
      </c>
      <c r="AD5829">
        <v>778</v>
      </c>
      <c r="AE5829" s="1">
        <v>121368</v>
      </c>
      <c r="AF5829">
        <v>0</v>
      </c>
      <c r="AJ5829">
        <v>0</v>
      </c>
      <c r="AK5829">
        <v>0</v>
      </c>
      <c r="AL5829">
        <v>0</v>
      </c>
      <c r="AM5829">
        <v>0</v>
      </c>
      <c r="AN5829">
        <v>0</v>
      </c>
      <c r="AO5829">
        <v>0</v>
      </c>
      <c r="AP5829" s="2">
        <v>42746</v>
      </c>
      <c r="AQ5829" t="s">
        <v>72</v>
      </c>
      <c r="AR5829" t="s">
        <v>72</v>
      </c>
      <c r="AS5829">
        <v>2565</v>
      </c>
      <c r="AT5829" s="4">
        <v>42646</v>
      </c>
      <c r="AU5829" t="s">
        <v>73</v>
      </c>
      <c r="AV5829">
        <v>2565</v>
      </c>
      <c r="AW5829" s="4">
        <v>42646</v>
      </c>
      <c r="BD5829">
        <v>0</v>
      </c>
      <c r="BN5829" t="s">
        <v>74</v>
      </c>
    </row>
    <row r="5830" spans="1:66">
      <c r="A5830">
        <v>104009</v>
      </c>
      <c r="B5830" s="3" t="s">
        <v>591</v>
      </c>
      <c r="C5830" s="1">
        <v>43300101</v>
      </c>
      <c r="D5830" t="s">
        <v>67</v>
      </c>
      <c r="H5830" t="str">
        <f t="shared" si="612"/>
        <v>08641790152</v>
      </c>
      <c r="I5830" t="str">
        <f t="shared" si="612"/>
        <v>08641790152</v>
      </c>
      <c r="K5830" t="str">
        <f>""</f>
        <v/>
      </c>
      <c r="M5830" t="s">
        <v>68</v>
      </c>
      <c r="N5830" t="str">
        <f t="shared" si="611"/>
        <v>FOR</v>
      </c>
      <c r="O5830" t="s">
        <v>69</v>
      </c>
      <c r="P5830" s="3" t="s">
        <v>78</v>
      </c>
      <c r="Q5830">
        <v>2014</v>
      </c>
      <c r="R5830" s="2">
        <v>41856</v>
      </c>
      <c r="S5830" s="2">
        <v>41876</v>
      </c>
      <c r="T5830" s="2">
        <v>41876</v>
      </c>
      <c r="U5830" s="2">
        <v>41966</v>
      </c>
      <c r="V5830" t="s">
        <v>71</v>
      </c>
      <c r="W5830" t="str">
        <f>"              197188"</f>
        <v xml:space="preserve">              197188</v>
      </c>
      <c r="X5830">
        <v>234</v>
      </c>
      <c r="Y5830">
        <v>0</v>
      </c>
      <c r="Z5830" s="3">
        <v>234</v>
      </c>
      <c r="AA5830">
        <v>680</v>
      </c>
      <c r="AB5830" s="5">
        <v>159120</v>
      </c>
      <c r="AC5830">
        <v>234</v>
      </c>
      <c r="AD5830">
        <v>680</v>
      </c>
      <c r="AE5830" s="1">
        <v>159120</v>
      </c>
      <c r="AF5830">
        <v>0</v>
      </c>
      <c r="AJ5830">
        <v>0</v>
      </c>
      <c r="AK5830">
        <v>0</v>
      </c>
      <c r="AL5830">
        <v>0</v>
      </c>
      <c r="AM5830">
        <v>0</v>
      </c>
      <c r="AN5830">
        <v>0</v>
      </c>
      <c r="AO5830">
        <v>0</v>
      </c>
      <c r="AP5830" s="2">
        <v>42746</v>
      </c>
      <c r="AQ5830" t="s">
        <v>72</v>
      </c>
      <c r="AR5830" t="s">
        <v>72</v>
      </c>
      <c r="AS5830">
        <v>2565</v>
      </c>
      <c r="AT5830" s="4">
        <v>42646</v>
      </c>
      <c r="AU5830" t="s">
        <v>73</v>
      </c>
      <c r="AV5830">
        <v>2565</v>
      </c>
      <c r="AW5830" s="4">
        <v>42646</v>
      </c>
      <c r="BD5830">
        <v>0</v>
      </c>
      <c r="BN5830" t="s">
        <v>74</v>
      </c>
    </row>
    <row r="5831" spans="1:66">
      <c r="A5831">
        <v>104009</v>
      </c>
      <c r="B5831" s="3" t="s">
        <v>591</v>
      </c>
      <c r="C5831" s="1">
        <v>43300101</v>
      </c>
      <c r="D5831" t="s">
        <v>67</v>
      </c>
      <c r="H5831" t="str">
        <f t="shared" si="612"/>
        <v>08641790152</v>
      </c>
      <c r="I5831" t="str">
        <f t="shared" si="612"/>
        <v>08641790152</v>
      </c>
      <c r="K5831" t="str">
        <f>""</f>
        <v/>
      </c>
      <c r="M5831" t="s">
        <v>68</v>
      </c>
      <c r="N5831" t="str">
        <f t="shared" si="611"/>
        <v>FOR</v>
      </c>
      <c r="O5831" t="s">
        <v>69</v>
      </c>
      <c r="P5831" s="3" t="s">
        <v>78</v>
      </c>
      <c r="Q5831">
        <v>2014</v>
      </c>
      <c r="R5831" s="2">
        <v>41857</v>
      </c>
      <c r="S5831" s="2">
        <v>41877</v>
      </c>
      <c r="T5831" s="2">
        <v>41877</v>
      </c>
      <c r="U5831" s="2">
        <v>41967</v>
      </c>
      <c r="V5831" t="s">
        <v>71</v>
      </c>
      <c r="W5831" t="str">
        <f>"              197294"</f>
        <v xml:space="preserve">              197294</v>
      </c>
      <c r="X5831">
        <v>416</v>
      </c>
      <c r="Y5831">
        <v>0</v>
      </c>
      <c r="Z5831" s="3">
        <v>416</v>
      </c>
      <c r="AA5831">
        <v>679</v>
      </c>
      <c r="AB5831" s="5">
        <v>282464</v>
      </c>
      <c r="AC5831">
        <v>416</v>
      </c>
      <c r="AD5831">
        <v>679</v>
      </c>
      <c r="AE5831" s="1">
        <v>282464</v>
      </c>
      <c r="AF5831">
        <v>0</v>
      </c>
      <c r="AJ5831">
        <v>0</v>
      </c>
      <c r="AK5831">
        <v>0</v>
      </c>
      <c r="AL5831">
        <v>0</v>
      </c>
      <c r="AM5831">
        <v>0</v>
      </c>
      <c r="AN5831">
        <v>0</v>
      </c>
      <c r="AO5831">
        <v>0</v>
      </c>
      <c r="AP5831" s="2">
        <v>42746</v>
      </c>
      <c r="AQ5831" t="s">
        <v>72</v>
      </c>
      <c r="AR5831" t="s">
        <v>72</v>
      </c>
      <c r="AS5831">
        <v>2565</v>
      </c>
      <c r="AT5831" s="4">
        <v>42646</v>
      </c>
      <c r="AU5831" t="s">
        <v>73</v>
      </c>
      <c r="AV5831">
        <v>2565</v>
      </c>
      <c r="AW5831" s="4">
        <v>42646</v>
      </c>
      <c r="BD5831">
        <v>0</v>
      </c>
      <c r="BN5831" t="s">
        <v>74</v>
      </c>
    </row>
    <row r="5832" spans="1:66" hidden="1">
      <c r="A5832">
        <v>104009</v>
      </c>
      <c r="B5832" s="3" t="s">
        <v>591</v>
      </c>
      <c r="C5832" s="1">
        <v>43300101</v>
      </c>
      <c r="D5832" t="s">
        <v>67</v>
      </c>
      <c r="H5832" t="str">
        <f t="shared" si="612"/>
        <v>08641790152</v>
      </c>
      <c r="I5832" t="str">
        <f t="shared" si="612"/>
        <v>08641790152</v>
      </c>
      <c r="K5832" t="str">
        <f>""</f>
        <v/>
      </c>
      <c r="M5832" t="s">
        <v>68</v>
      </c>
      <c r="N5832" t="str">
        <f t="shared" si="611"/>
        <v>FOR</v>
      </c>
      <c r="O5832" t="s">
        <v>69</v>
      </c>
      <c r="P5832" s="3" t="s">
        <v>75</v>
      </c>
      <c r="Q5832">
        <v>2015</v>
      </c>
      <c r="R5832" s="2">
        <v>42095</v>
      </c>
      <c r="S5832" s="2">
        <v>42142</v>
      </c>
      <c r="T5832" s="2">
        <v>42137</v>
      </c>
      <c r="U5832" s="2">
        <v>42197</v>
      </c>
      <c r="V5832" t="s">
        <v>71</v>
      </c>
      <c r="W5832" t="str">
        <f>"             F039480"</f>
        <v xml:space="preserve">             F039480</v>
      </c>
      <c r="X5832">
        <v>506.3</v>
      </c>
      <c r="Y5832">
        <v>0</v>
      </c>
      <c r="Z5832"/>
      <c r="AB5832"/>
      <c r="AC5832">
        <v>415</v>
      </c>
      <c r="AD5832">
        <v>205</v>
      </c>
      <c r="AE5832" s="1">
        <v>85075</v>
      </c>
      <c r="AF5832">
        <v>0</v>
      </c>
      <c r="AJ5832">
        <v>0</v>
      </c>
      <c r="AK5832">
        <v>0</v>
      </c>
      <c r="AL5832">
        <v>0</v>
      </c>
      <c r="AM5832">
        <v>0</v>
      </c>
      <c r="AN5832">
        <v>0</v>
      </c>
      <c r="AO5832">
        <v>0</v>
      </c>
      <c r="AP5832" s="2">
        <v>42746</v>
      </c>
      <c r="AQ5832" t="s">
        <v>72</v>
      </c>
      <c r="AR5832" t="s">
        <v>72</v>
      </c>
      <c r="AS5832">
        <v>206</v>
      </c>
      <c r="AT5832" s="4">
        <v>42402</v>
      </c>
      <c r="AU5832" t="s">
        <v>73</v>
      </c>
      <c r="AV5832">
        <v>206</v>
      </c>
      <c r="AW5832" s="4">
        <v>42402</v>
      </c>
      <c r="BD5832">
        <v>0</v>
      </c>
      <c r="BN5832" t="s">
        <v>74</v>
      </c>
    </row>
    <row r="5833" spans="1:66" hidden="1">
      <c r="A5833">
        <v>104009</v>
      </c>
      <c r="B5833" s="3" t="s">
        <v>591</v>
      </c>
      <c r="C5833" s="1">
        <v>43300101</v>
      </c>
      <c r="D5833" t="s">
        <v>67</v>
      </c>
      <c r="H5833" t="str">
        <f t="shared" si="612"/>
        <v>08641790152</v>
      </c>
      <c r="I5833" t="str">
        <f t="shared" si="612"/>
        <v>08641790152</v>
      </c>
      <c r="K5833" t="str">
        <f>""</f>
        <v/>
      </c>
      <c r="M5833" t="s">
        <v>68</v>
      </c>
      <c r="N5833" t="str">
        <f t="shared" si="611"/>
        <v>FOR</v>
      </c>
      <c r="O5833" t="s">
        <v>69</v>
      </c>
      <c r="P5833" s="3" t="s">
        <v>75</v>
      </c>
      <c r="Q5833">
        <v>2015</v>
      </c>
      <c r="R5833" s="2">
        <v>42096</v>
      </c>
      <c r="S5833" s="2">
        <v>42142</v>
      </c>
      <c r="T5833" s="2">
        <v>42137</v>
      </c>
      <c r="U5833" s="2">
        <v>42197</v>
      </c>
      <c r="V5833" t="s">
        <v>71</v>
      </c>
      <c r="W5833" t="str">
        <f>"             F040396"</f>
        <v xml:space="preserve">             F040396</v>
      </c>
      <c r="X5833" s="1">
        <v>1549.4</v>
      </c>
      <c r="Y5833">
        <v>0</v>
      </c>
      <c r="Z5833"/>
      <c r="AB5833"/>
      <c r="AC5833" s="1">
        <v>1270</v>
      </c>
      <c r="AD5833">
        <v>205</v>
      </c>
      <c r="AE5833" s="1">
        <v>260350</v>
      </c>
      <c r="AF5833">
        <v>0</v>
      </c>
      <c r="AJ5833">
        <v>0</v>
      </c>
      <c r="AK5833">
        <v>0</v>
      </c>
      <c r="AL5833">
        <v>0</v>
      </c>
      <c r="AM5833">
        <v>0</v>
      </c>
      <c r="AN5833">
        <v>0</v>
      </c>
      <c r="AO5833">
        <v>0</v>
      </c>
      <c r="AP5833" s="2">
        <v>42746</v>
      </c>
      <c r="AQ5833" t="s">
        <v>72</v>
      </c>
      <c r="AR5833" t="s">
        <v>72</v>
      </c>
      <c r="AS5833">
        <v>206</v>
      </c>
      <c r="AT5833" s="4">
        <v>42402</v>
      </c>
      <c r="AU5833" t="s">
        <v>73</v>
      </c>
      <c r="AV5833">
        <v>206</v>
      </c>
      <c r="AW5833" s="4">
        <v>42402</v>
      </c>
      <c r="BD5833">
        <v>0</v>
      </c>
      <c r="BN5833" t="s">
        <v>74</v>
      </c>
    </row>
    <row r="5834" spans="1:66" hidden="1">
      <c r="A5834">
        <v>104009</v>
      </c>
      <c r="B5834" s="3" t="s">
        <v>591</v>
      </c>
      <c r="C5834" s="1">
        <v>43300101</v>
      </c>
      <c r="D5834" t="s">
        <v>67</v>
      </c>
      <c r="H5834" t="str">
        <f t="shared" si="612"/>
        <v>08641790152</v>
      </c>
      <c r="I5834" t="str">
        <f t="shared" si="612"/>
        <v>08641790152</v>
      </c>
      <c r="K5834" t="str">
        <f>""</f>
        <v/>
      </c>
      <c r="M5834" t="s">
        <v>68</v>
      </c>
      <c r="N5834" t="str">
        <f t="shared" si="611"/>
        <v>FOR</v>
      </c>
      <c r="O5834" t="s">
        <v>69</v>
      </c>
      <c r="P5834" s="3" t="s">
        <v>75</v>
      </c>
      <c r="Q5834">
        <v>2015</v>
      </c>
      <c r="R5834" s="2">
        <v>42101</v>
      </c>
      <c r="S5834" s="2">
        <v>42123</v>
      </c>
      <c r="T5834" s="2">
        <v>42123</v>
      </c>
      <c r="U5834" s="2">
        <v>42183</v>
      </c>
      <c r="V5834" t="s">
        <v>71</v>
      </c>
      <c r="W5834" t="str">
        <f>"             F041184"</f>
        <v xml:space="preserve">             F041184</v>
      </c>
      <c r="X5834" s="1">
        <v>5185</v>
      </c>
      <c r="Y5834">
        <v>0</v>
      </c>
      <c r="Z5834"/>
      <c r="AB5834"/>
      <c r="AC5834" s="1">
        <v>4250</v>
      </c>
      <c r="AD5834">
        <v>219</v>
      </c>
      <c r="AE5834" s="1">
        <v>930750</v>
      </c>
      <c r="AF5834">
        <v>0</v>
      </c>
      <c r="AJ5834">
        <v>0</v>
      </c>
      <c r="AK5834">
        <v>0</v>
      </c>
      <c r="AL5834">
        <v>0</v>
      </c>
      <c r="AM5834">
        <v>0</v>
      </c>
      <c r="AN5834">
        <v>0</v>
      </c>
      <c r="AO5834">
        <v>0</v>
      </c>
      <c r="AP5834" s="2">
        <v>42746</v>
      </c>
      <c r="AQ5834" t="s">
        <v>72</v>
      </c>
      <c r="AR5834" t="s">
        <v>72</v>
      </c>
      <c r="AS5834">
        <v>206</v>
      </c>
      <c r="AT5834" s="4">
        <v>42402</v>
      </c>
      <c r="AU5834" t="s">
        <v>73</v>
      </c>
      <c r="AV5834">
        <v>206</v>
      </c>
      <c r="AW5834" s="4">
        <v>42402</v>
      </c>
      <c r="BD5834">
        <v>0</v>
      </c>
      <c r="BN5834" t="s">
        <v>74</v>
      </c>
    </row>
    <row r="5835" spans="1:66" hidden="1">
      <c r="A5835">
        <v>104009</v>
      </c>
      <c r="B5835" s="3" t="s">
        <v>591</v>
      </c>
      <c r="C5835" s="1">
        <v>43300101</v>
      </c>
      <c r="D5835" t="s">
        <v>67</v>
      </c>
      <c r="H5835" t="str">
        <f t="shared" si="612"/>
        <v>08641790152</v>
      </c>
      <c r="I5835" t="str">
        <f t="shared" si="612"/>
        <v>08641790152</v>
      </c>
      <c r="K5835" t="str">
        <f>""</f>
        <v/>
      </c>
      <c r="M5835" t="s">
        <v>68</v>
      </c>
      <c r="N5835" t="str">
        <f t="shared" si="611"/>
        <v>FOR</v>
      </c>
      <c r="O5835" t="s">
        <v>69</v>
      </c>
      <c r="P5835" s="3" t="s">
        <v>75</v>
      </c>
      <c r="Q5835">
        <v>2015</v>
      </c>
      <c r="R5835" s="2">
        <v>42101</v>
      </c>
      <c r="S5835" s="2">
        <v>42123</v>
      </c>
      <c r="T5835" s="2">
        <v>42123</v>
      </c>
      <c r="U5835" s="2">
        <v>42183</v>
      </c>
      <c r="V5835" t="s">
        <v>71</v>
      </c>
      <c r="W5835" t="str">
        <f>"             F041371"</f>
        <v xml:space="preserve">             F041371</v>
      </c>
      <c r="X5835" s="1">
        <v>6014.6</v>
      </c>
      <c r="Y5835">
        <v>0</v>
      </c>
      <c r="Z5835"/>
      <c r="AB5835"/>
      <c r="AC5835" s="1">
        <v>4930</v>
      </c>
      <c r="AD5835">
        <v>219</v>
      </c>
      <c r="AE5835" s="1">
        <v>1079670</v>
      </c>
      <c r="AF5835">
        <v>0</v>
      </c>
      <c r="AJ5835">
        <v>0</v>
      </c>
      <c r="AK5835">
        <v>0</v>
      </c>
      <c r="AL5835">
        <v>0</v>
      </c>
      <c r="AM5835">
        <v>0</v>
      </c>
      <c r="AN5835">
        <v>0</v>
      </c>
      <c r="AO5835">
        <v>0</v>
      </c>
      <c r="AP5835" s="2">
        <v>42746</v>
      </c>
      <c r="AQ5835" t="s">
        <v>72</v>
      </c>
      <c r="AR5835" t="s">
        <v>72</v>
      </c>
      <c r="AS5835">
        <v>206</v>
      </c>
      <c r="AT5835" s="4">
        <v>42402</v>
      </c>
      <c r="AU5835" t="s">
        <v>73</v>
      </c>
      <c r="AV5835">
        <v>206</v>
      </c>
      <c r="AW5835" s="4">
        <v>42402</v>
      </c>
      <c r="BD5835">
        <v>0</v>
      </c>
      <c r="BN5835" t="s">
        <v>74</v>
      </c>
    </row>
    <row r="5836" spans="1:66" hidden="1">
      <c r="A5836">
        <v>104009</v>
      </c>
      <c r="B5836" s="3" t="s">
        <v>591</v>
      </c>
      <c r="C5836" s="1">
        <v>43300101</v>
      </c>
      <c r="D5836" t="s">
        <v>67</v>
      </c>
      <c r="H5836" t="str">
        <f t="shared" si="612"/>
        <v>08641790152</v>
      </c>
      <c r="I5836" t="str">
        <f t="shared" si="612"/>
        <v>08641790152</v>
      </c>
      <c r="K5836" t="str">
        <f>""</f>
        <v/>
      </c>
      <c r="M5836" t="s">
        <v>68</v>
      </c>
      <c r="N5836" t="str">
        <f t="shared" si="611"/>
        <v>FOR</v>
      </c>
      <c r="O5836" t="s">
        <v>69</v>
      </c>
      <c r="P5836" s="3" t="s">
        <v>75</v>
      </c>
      <c r="Q5836">
        <v>2015</v>
      </c>
      <c r="R5836" s="2">
        <v>42110</v>
      </c>
      <c r="S5836" s="2">
        <v>42124</v>
      </c>
      <c r="T5836" s="2">
        <v>42123</v>
      </c>
      <c r="U5836" s="2">
        <v>42183</v>
      </c>
      <c r="V5836" t="s">
        <v>71</v>
      </c>
      <c r="W5836" t="str">
        <f>"             F045473"</f>
        <v xml:space="preserve">             F045473</v>
      </c>
      <c r="X5836" s="1">
        <v>1361.52</v>
      </c>
      <c r="Y5836">
        <v>0</v>
      </c>
      <c r="Z5836"/>
      <c r="AB5836"/>
      <c r="AC5836" s="1">
        <v>1116</v>
      </c>
      <c r="AD5836">
        <v>219</v>
      </c>
      <c r="AE5836" s="1">
        <v>244404</v>
      </c>
      <c r="AF5836">
        <v>0</v>
      </c>
      <c r="AJ5836">
        <v>0</v>
      </c>
      <c r="AK5836">
        <v>0</v>
      </c>
      <c r="AL5836">
        <v>0</v>
      </c>
      <c r="AM5836">
        <v>0</v>
      </c>
      <c r="AN5836">
        <v>0</v>
      </c>
      <c r="AO5836">
        <v>0</v>
      </c>
      <c r="AP5836" s="2">
        <v>42746</v>
      </c>
      <c r="AQ5836" t="s">
        <v>72</v>
      </c>
      <c r="AR5836" t="s">
        <v>72</v>
      </c>
      <c r="AS5836">
        <v>206</v>
      </c>
      <c r="AT5836" s="4">
        <v>42402</v>
      </c>
      <c r="AU5836" t="s">
        <v>73</v>
      </c>
      <c r="AV5836">
        <v>206</v>
      </c>
      <c r="AW5836" s="4">
        <v>42402</v>
      </c>
      <c r="BD5836">
        <v>0</v>
      </c>
      <c r="BN5836" t="s">
        <v>74</v>
      </c>
    </row>
    <row r="5837" spans="1:66" hidden="1">
      <c r="A5837">
        <v>104009</v>
      </c>
      <c r="B5837" s="3" t="s">
        <v>591</v>
      </c>
      <c r="C5837" s="1">
        <v>43300101</v>
      </c>
      <c r="D5837" t="s">
        <v>67</v>
      </c>
      <c r="H5837" t="str">
        <f t="shared" si="612"/>
        <v>08641790152</v>
      </c>
      <c r="I5837" t="str">
        <f t="shared" si="612"/>
        <v>08641790152</v>
      </c>
      <c r="K5837" t="str">
        <f>""</f>
        <v/>
      </c>
      <c r="M5837" t="s">
        <v>68</v>
      </c>
      <c r="N5837" t="str">
        <f t="shared" si="611"/>
        <v>FOR</v>
      </c>
      <c r="O5837" t="s">
        <v>69</v>
      </c>
      <c r="P5837" s="3" t="s">
        <v>75</v>
      </c>
      <c r="Q5837">
        <v>2015</v>
      </c>
      <c r="R5837" s="2">
        <v>42114</v>
      </c>
      <c r="S5837" s="2">
        <v>42124</v>
      </c>
      <c r="T5837" s="2">
        <v>42123</v>
      </c>
      <c r="U5837" s="2">
        <v>42183</v>
      </c>
      <c r="V5837" t="s">
        <v>71</v>
      </c>
      <c r="W5837" t="str">
        <f>"             F047064"</f>
        <v xml:space="preserve">             F047064</v>
      </c>
      <c r="X5837">
        <v>232.82</v>
      </c>
      <c r="Y5837">
        <v>0</v>
      </c>
      <c r="Z5837"/>
      <c r="AB5837"/>
      <c r="AC5837">
        <v>190.84</v>
      </c>
      <c r="AD5837">
        <v>219</v>
      </c>
      <c r="AE5837" s="1">
        <v>41793.96</v>
      </c>
      <c r="AF5837">
        <v>0</v>
      </c>
      <c r="AJ5837">
        <v>0</v>
      </c>
      <c r="AK5837">
        <v>0</v>
      </c>
      <c r="AL5837">
        <v>0</v>
      </c>
      <c r="AM5837">
        <v>0</v>
      </c>
      <c r="AN5837">
        <v>0</v>
      </c>
      <c r="AO5837">
        <v>0</v>
      </c>
      <c r="AP5837" s="2">
        <v>42746</v>
      </c>
      <c r="AQ5837" t="s">
        <v>72</v>
      </c>
      <c r="AR5837" t="s">
        <v>72</v>
      </c>
      <c r="AS5837">
        <v>206</v>
      </c>
      <c r="AT5837" s="4">
        <v>42402</v>
      </c>
      <c r="AU5837" t="s">
        <v>73</v>
      </c>
      <c r="AV5837">
        <v>206</v>
      </c>
      <c r="AW5837" s="4">
        <v>42402</v>
      </c>
      <c r="BD5837">
        <v>0</v>
      </c>
      <c r="BN5837" t="s">
        <v>74</v>
      </c>
    </row>
    <row r="5838" spans="1:66" hidden="1">
      <c r="A5838">
        <v>104009</v>
      </c>
      <c r="B5838" s="3" t="s">
        <v>591</v>
      </c>
      <c r="C5838" s="1">
        <v>43300101</v>
      </c>
      <c r="D5838" t="s">
        <v>67</v>
      </c>
      <c r="H5838" t="str">
        <f t="shared" si="612"/>
        <v>08641790152</v>
      </c>
      <c r="I5838" t="str">
        <f t="shared" si="612"/>
        <v>08641790152</v>
      </c>
      <c r="K5838" t="str">
        <f>""</f>
        <v/>
      </c>
      <c r="M5838" t="s">
        <v>68</v>
      </c>
      <c r="N5838" t="str">
        <f t="shared" si="611"/>
        <v>FOR</v>
      </c>
      <c r="O5838" t="s">
        <v>69</v>
      </c>
      <c r="P5838" s="3" t="s">
        <v>75</v>
      </c>
      <c r="Q5838">
        <v>2015</v>
      </c>
      <c r="R5838" s="2">
        <v>42115</v>
      </c>
      <c r="S5838" s="2">
        <v>42142</v>
      </c>
      <c r="T5838" s="2">
        <v>42137</v>
      </c>
      <c r="U5838" s="2">
        <v>42197</v>
      </c>
      <c r="V5838" t="s">
        <v>71</v>
      </c>
      <c r="W5838" t="str">
        <f>"             F047673"</f>
        <v xml:space="preserve">             F047673</v>
      </c>
      <c r="X5838">
        <v>988</v>
      </c>
      <c r="Y5838">
        <v>0</v>
      </c>
      <c r="Z5838"/>
      <c r="AB5838"/>
      <c r="AC5838">
        <v>950</v>
      </c>
      <c r="AD5838">
        <v>205</v>
      </c>
      <c r="AE5838" s="1">
        <v>194750</v>
      </c>
      <c r="AF5838">
        <v>0</v>
      </c>
      <c r="AJ5838">
        <v>0</v>
      </c>
      <c r="AK5838">
        <v>0</v>
      </c>
      <c r="AL5838">
        <v>0</v>
      </c>
      <c r="AM5838">
        <v>0</v>
      </c>
      <c r="AN5838">
        <v>0</v>
      </c>
      <c r="AO5838">
        <v>0</v>
      </c>
      <c r="AP5838" s="2">
        <v>42746</v>
      </c>
      <c r="AQ5838" t="s">
        <v>72</v>
      </c>
      <c r="AR5838" t="s">
        <v>72</v>
      </c>
      <c r="AS5838">
        <v>206</v>
      </c>
      <c r="AT5838" s="4">
        <v>42402</v>
      </c>
      <c r="AU5838" t="s">
        <v>73</v>
      </c>
      <c r="AV5838">
        <v>206</v>
      </c>
      <c r="AW5838" s="4">
        <v>42402</v>
      </c>
      <c r="BD5838">
        <v>0</v>
      </c>
      <c r="BN5838" t="s">
        <v>74</v>
      </c>
    </row>
    <row r="5839" spans="1:66" hidden="1">
      <c r="A5839">
        <v>104009</v>
      </c>
      <c r="B5839" s="3" t="s">
        <v>591</v>
      </c>
      <c r="C5839" s="1">
        <v>43300101</v>
      </c>
      <c r="D5839" t="s">
        <v>67</v>
      </c>
      <c r="H5839" t="str">
        <f t="shared" si="612"/>
        <v>08641790152</v>
      </c>
      <c r="I5839" t="str">
        <f t="shared" si="612"/>
        <v>08641790152</v>
      </c>
      <c r="K5839" t="str">
        <f>""</f>
        <v/>
      </c>
      <c r="M5839" t="s">
        <v>68</v>
      </c>
      <c r="N5839" t="str">
        <f t="shared" si="611"/>
        <v>FOR</v>
      </c>
      <c r="O5839" t="s">
        <v>69</v>
      </c>
      <c r="P5839" s="3" t="s">
        <v>75</v>
      </c>
      <c r="Q5839">
        <v>2015</v>
      </c>
      <c r="R5839" s="2">
        <v>42115</v>
      </c>
      <c r="S5839" s="2">
        <v>42124</v>
      </c>
      <c r="T5839" s="2">
        <v>42123</v>
      </c>
      <c r="U5839" s="2">
        <v>42183</v>
      </c>
      <c r="V5839" t="s">
        <v>71</v>
      </c>
      <c r="W5839" t="str">
        <f>"             F047685"</f>
        <v xml:space="preserve">             F047685</v>
      </c>
      <c r="X5839">
        <v>988</v>
      </c>
      <c r="Y5839">
        <v>0</v>
      </c>
      <c r="Z5839"/>
      <c r="AB5839"/>
      <c r="AC5839">
        <v>950</v>
      </c>
      <c r="AD5839">
        <v>219</v>
      </c>
      <c r="AE5839" s="1">
        <v>208050</v>
      </c>
      <c r="AF5839">
        <v>0</v>
      </c>
      <c r="AJ5839">
        <v>0</v>
      </c>
      <c r="AK5839">
        <v>0</v>
      </c>
      <c r="AL5839">
        <v>0</v>
      </c>
      <c r="AM5839">
        <v>0</v>
      </c>
      <c r="AN5839">
        <v>0</v>
      </c>
      <c r="AO5839">
        <v>0</v>
      </c>
      <c r="AP5839" s="2">
        <v>42746</v>
      </c>
      <c r="AQ5839" t="s">
        <v>72</v>
      </c>
      <c r="AR5839" t="s">
        <v>72</v>
      </c>
      <c r="AS5839">
        <v>206</v>
      </c>
      <c r="AT5839" s="4">
        <v>42402</v>
      </c>
      <c r="AU5839" t="s">
        <v>73</v>
      </c>
      <c r="AV5839">
        <v>206</v>
      </c>
      <c r="AW5839" s="4">
        <v>42402</v>
      </c>
      <c r="BD5839">
        <v>0</v>
      </c>
      <c r="BN5839" t="s">
        <v>74</v>
      </c>
    </row>
    <row r="5840" spans="1:66" hidden="1">
      <c r="A5840">
        <v>104009</v>
      </c>
      <c r="B5840" s="3" t="s">
        <v>591</v>
      </c>
      <c r="C5840" s="1">
        <v>43300101</v>
      </c>
      <c r="D5840" t="s">
        <v>67</v>
      </c>
      <c r="H5840" t="str">
        <f t="shared" si="612"/>
        <v>08641790152</v>
      </c>
      <c r="I5840" t="str">
        <f t="shared" si="612"/>
        <v>08641790152</v>
      </c>
      <c r="K5840" t="str">
        <f>""</f>
        <v/>
      </c>
      <c r="M5840" t="s">
        <v>68</v>
      </c>
      <c r="N5840" t="str">
        <f t="shared" si="611"/>
        <v>FOR</v>
      </c>
      <c r="O5840" t="s">
        <v>69</v>
      </c>
      <c r="P5840" s="3" t="s">
        <v>75</v>
      </c>
      <c r="Q5840">
        <v>2015</v>
      </c>
      <c r="R5840" s="2">
        <v>42115</v>
      </c>
      <c r="S5840" s="2">
        <v>42124</v>
      </c>
      <c r="T5840" s="2">
        <v>42123</v>
      </c>
      <c r="U5840" s="2">
        <v>42183</v>
      </c>
      <c r="V5840" t="s">
        <v>71</v>
      </c>
      <c r="W5840" t="str">
        <f>"             F047700"</f>
        <v xml:space="preserve">             F047700</v>
      </c>
      <c r="X5840">
        <v>988</v>
      </c>
      <c r="Y5840">
        <v>0</v>
      </c>
      <c r="Z5840"/>
      <c r="AB5840"/>
      <c r="AC5840">
        <v>950</v>
      </c>
      <c r="AD5840">
        <v>219</v>
      </c>
      <c r="AE5840" s="1">
        <v>208050</v>
      </c>
      <c r="AF5840">
        <v>0</v>
      </c>
      <c r="AJ5840">
        <v>0</v>
      </c>
      <c r="AK5840">
        <v>0</v>
      </c>
      <c r="AL5840">
        <v>0</v>
      </c>
      <c r="AM5840">
        <v>0</v>
      </c>
      <c r="AN5840">
        <v>0</v>
      </c>
      <c r="AO5840">
        <v>0</v>
      </c>
      <c r="AP5840" s="2">
        <v>42746</v>
      </c>
      <c r="AQ5840" t="s">
        <v>72</v>
      </c>
      <c r="AR5840" t="s">
        <v>72</v>
      </c>
      <c r="AS5840">
        <v>206</v>
      </c>
      <c r="AT5840" s="4">
        <v>42402</v>
      </c>
      <c r="AU5840" t="s">
        <v>73</v>
      </c>
      <c r="AV5840">
        <v>206</v>
      </c>
      <c r="AW5840" s="4">
        <v>42402</v>
      </c>
      <c r="BD5840">
        <v>0</v>
      </c>
      <c r="BN5840" t="s">
        <v>74</v>
      </c>
    </row>
    <row r="5841" spans="1:66" hidden="1">
      <c r="A5841">
        <v>104009</v>
      </c>
      <c r="B5841" s="3" t="s">
        <v>591</v>
      </c>
      <c r="C5841" s="1">
        <v>43300101</v>
      </c>
      <c r="D5841" t="s">
        <v>67</v>
      </c>
      <c r="H5841" t="str">
        <f t="shared" si="612"/>
        <v>08641790152</v>
      </c>
      <c r="I5841" t="str">
        <f t="shared" si="612"/>
        <v>08641790152</v>
      </c>
      <c r="K5841" t="str">
        <f>""</f>
        <v/>
      </c>
      <c r="M5841" t="s">
        <v>68</v>
      </c>
      <c r="N5841" t="str">
        <f t="shared" si="611"/>
        <v>FOR</v>
      </c>
      <c r="O5841" t="s">
        <v>69</v>
      </c>
      <c r="P5841" s="3" t="s">
        <v>75</v>
      </c>
      <c r="Q5841">
        <v>2015</v>
      </c>
      <c r="R5841" s="2">
        <v>42117</v>
      </c>
      <c r="S5841" s="2">
        <v>42124</v>
      </c>
      <c r="T5841" s="2">
        <v>42123</v>
      </c>
      <c r="U5841" s="2">
        <v>42183</v>
      </c>
      <c r="V5841" t="s">
        <v>71</v>
      </c>
      <c r="W5841" t="str">
        <f>"             F049116"</f>
        <v xml:space="preserve">             F049116</v>
      </c>
      <c r="X5841" s="1">
        <v>4044.3</v>
      </c>
      <c r="Y5841">
        <v>0</v>
      </c>
      <c r="Z5841"/>
      <c r="AB5841"/>
      <c r="AC5841" s="1">
        <v>3315</v>
      </c>
      <c r="AD5841">
        <v>219</v>
      </c>
      <c r="AE5841" s="1">
        <v>725985</v>
      </c>
      <c r="AF5841">
        <v>0</v>
      </c>
      <c r="AJ5841">
        <v>0</v>
      </c>
      <c r="AK5841">
        <v>0</v>
      </c>
      <c r="AL5841">
        <v>0</v>
      </c>
      <c r="AM5841">
        <v>0</v>
      </c>
      <c r="AN5841">
        <v>0</v>
      </c>
      <c r="AO5841">
        <v>0</v>
      </c>
      <c r="AP5841" s="2">
        <v>42746</v>
      </c>
      <c r="AQ5841" t="s">
        <v>72</v>
      </c>
      <c r="AR5841" t="s">
        <v>72</v>
      </c>
      <c r="AS5841">
        <v>206</v>
      </c>
      <c r="AT5841" s="4">
        <v>42402</v>
      </c>
      <c r="AU5841" t="s">
        <v>73</v>
      </c>
      <c r="AV5841">
        <v>206</v>
      </c>
      <c r="AW5841" s="4">
        <v>42402</v>
      </c>
      <c r="BD5841">
        <v>0</v>
      </c>
      <c r="BN5841" t="s">
        <v>74</v>
      </c>
    </row>
    <row r="5842" spans="1:66" hidden="1">
      <c r="A5842">
        <v>104009</v>
      </c>
      <c r="B5842" s="3" t="s">
        <v>591</v>
      </c>
      <c r="C5842" s="1">
        <v>43300101</v>
      </c>
      <c r="D5842" t="s">
        <v>67</v>
      </c>
      <c r="H5842" t="str">
        <f t="shared" si="612"/>
        <v>08641790152</v>
      </c>
      <c r="I5842" t="str">
        <f t="shared" si="612"/>
        <v>08641790152</v>
      </c>
      <c r="K5842" t="str">
        <f>""</f>
        <v/>
      </c>
      <c r="M5842" t="s">
        <v>68</v>
      </c>
      <c r="N5842" t="str">
        <f t="shared" si="611"/>
        <v>FOR</v>
      </c>
      <c r="O5842" t="s">
        <v>69</v>
      </c>
      <c r="P5842" s="3" t="s">
        <v>75</v>
      </c>
      <c r="Q5842">
        <v>2015</v>
      </c>
      <c r="R5842" s="2">
        <v>42117</v>
      </c>
      <c r="S5842" s="2">
        <v>42124</v>
      </c>
      <c r="T5842" s="2">
        <v>42123</v>
      </c>
      <c r="U5842" s="2">
        <v>42183</v>
      </c>
      <c r="V5842" t="s">
        <v>71</v>
      </c>
      <c r="W5842" t="str">
        <f>"             F049166"</f>
        <v xml:space="preserve">             F049166</v>
      </c>
      <c r="X5842" s="1">
        <v>1062.6199999999999</v>
      </c>
      <c r="Y5842">
        <v>0</v>
      </c>
      <c r="Z5842"/>
      <c r="AB5842"/>
      <c r="AC5842">
        <v>871</v>
      </c>
      <c r="AD5842">
        <v>220</v>
      </c>
      <c r="AE5842" s="1">
        <v>191620</v>
      </c>
      <c r="AF5842">
        <v>0</v>
      </c>
      <c r="AJ5842">
        <v>0</v>
      </c>
      <c r="AK5842">
        <v>0</v>
      </c>
      <c r="AL5842">
        <v>0</v>
      </c>
      <c r="AM5842">
        <v>0</v>
      </c>
      <c r="AN5842">
        <v>0</v>
      </c>
      <c r="AO5842">
        <v>0</v>
      </c>
      <c r="AP5842" s="2">
        <v>42746</v>
      </c>
      <c r="AQ5842" t="s">
        <v>72</v>
      </c>
      <c r="AR5842" t="s">
        <v>72</v>
      </c>
      <c r="AS5842">
        <v>239</v>
      </c>
      <c r="AT5842" s="4">
        <v>42403</v>
      </c>
      <c r="AU5842" t="s">
        <v>73</v>
      </c>
      <c r="AV5842">
        <v>239</v>
      </c>
      <c r="AW5842" s="4">
        <v>42403</v>
      </c>
      <c r="BD5842">
        <v>0</v>
      </c>
      <c r="BN5842" t="s">
        <v>74</v>
      </c>
    </row>
    <row r="5843" spans="1:66" hidden="1">
      <c r="A5843">
        <v>104009</v>
      </c>
      <c r="B5843" s="3" t="s">
        <v>591</v>
      </c>
      <c r="C5843" s="1">
        <v>43300101</v>
      </c>
      <c r="D5843" t="s">
        <v>67</v>
      </c>
      <c r="H5843" t="str">
        <f t="shared" si="612"/>
        <v>08641790152</v>
      </c>
      <c r="I5843" t="str">
        <f t="shared" si="612"/>
        <v>08641790152</v>
      </c>
      <c r="K5843" t="str">
        <f>""</f>
        <v/>
      </c>
      <c r="M5843" t="s">
        <v>68</v>
      </c>
      <c r="N5843" t="str">
        <f t="shared" si="611"/>
        <v>FOR</v>
      </c>
      <c r="O5843" t="s">
        <v>69</v>
      </c>
      <c r="P5843" s="3" t="s">
        <v>75</v>
      </c>
      <c r="Q5843">
        <v>2015</v>
      </c>
      <c r="R5843" s="2">
        <v>42124</v>
      </c>
      <c r="S5843" s="2">
        <v>42142</v>
      </c>
      <c r="T5843" s="2">
        <v>42137</v>
      </c>
      <c r="U5843" s="2">
        <v>42197</v>
      </c>
      <c r="V5843" t="s">
        <v>71</v>
      </c>
      <c r="W5843" t="str">
        <f>"             F051602"</f>
        <v xml:space="preserve">             F051602</v>
      </c>
      <c r="X5843">
        <v>219.6</v>
      </c>
      <c r="Y5843">
        <v>0</v>
      </c>
      <c r="Z5843"/>
      <c r="AB5843"/>
      <c r="AC5843">
        <v>180</v>
      </c>
      <c r="AD5843">
        <v>205</v>
      </c>
      <c r="AE5843" s="1">
        <v>36900</v>
      </c>
      <c r="AF5843">
        <v>0</v>
      </c>
      <c r="AJ5843">
        <v>0</v>
      </c>
      <c r="AK5843">
        <v>0</v>
      </c>
      <c r="AL5843">
        <v>0</v>
      </c>
      <c r="AM5843">
        <v>0</v>
      </c>
      <c r="AN5843">
        <v>0</v>
      </c>
      <c r="AO5843">
        <v>0</v>
      </c>
      <c r="AP5843" s="2">
        <v>42746</v>
      </c>
      <c r="AQ5843" t="s">
        <v>72</v>
      </c>
      <c r="AR5843" t="s">
        <v>72</v>
      </c>
      <c r="AS5843">
        <v>206</v>
      </c>
      <c r="AT5843" s="4">
        <v>42402</v>
      </c>
      <c r="AU5843" t="s">
        <v>73</v>
      </c>
      <c r="AV5843">
        <v>206</v>
      </c>
      <c r="AW5843" s="4">
        <v>42402</v>
      </c>
      <c r="BD5843">
        <v>0</v>
      </c>
      <c r="BN5843" t="s">
        <v>74</v>
      </c>
    </row>
    <row r="5844" spans="1:66" hidden="1">
      <c r="A5844">
        <v>104009</v>
      </c>
      <c r="B5844" s="3" t="s">
        <v>591</v>
      </c>
      <c r="C5844" s="1">
        <v>43300101</v>
      </c>
      <c r="D5844" t="s">
        <v>67</v>
      </c>
      <c r="H5844" t="str">
        <f t="shared" si="612"/>
        <v>08641790152</v>
      </c>
      <c r="I5844" t="str">
        <f t="shared" si="612"/>
        <v>08641790152</v>
      </c>
      <c r="K5844" t="str">
        <f>""</f>
        <v/>
      </c>
      <c r="M5844" t="s">
        <v>68</v>
      </c>
      <c r="N5844" t="str">
        <f t="shared" si="611"/>
        <v>FOR</v>
      </c>
      <c r="O5844" t="s">
        <v>69</v>
      </c>
      <c r="P5844" s="3" t="s">
        <v>75</v>
      </c>
      <c r="Q5844">
        <v>2015</v>
      </c>
      <c r="R5844" s="2">
        <v>42124</v>
      </c>
      <c r="S5844" s="2">
        <v>42142</v>
      </c>
      <c r="T5844" s="2">
        <v>42137</v>
      </c>
      <c r="U5844" s="2">
        <v>42197</v>
      </c>
      <c r="V5844" t="s">
        <v>71</v>
      </c>
      <c r="W5844" t="str">
        <f>"             F051754"</f>
        <v xml:space="preserve">             F051754</v>
      </c>
      <c r="X5844" s="1">
        <v>2316.0500000000002</v>
      </c>
      <c r="Y5844">
        <v>0</v>
      </c>
      <c r="Z5844"/>
      <c r="AB5844"/>
      <c r="AC5844" s="1">
        <v>1898.4</v>
      </c>
      <c r="AD5844">
        <v>205</v>
      </c>
      <c r="AE5844" s="1">
        <v>389172</v>
      </c>
      <c r="AF5844">
        <v>0</v>
      </c>
      <c r="AJ5844">
        <v>0</v>
      </c>
      <c r="AK5844">
        <v>0</v>
      </c>
      <c r="AL5844">
        <v>0</v>
      </c>
      <c r="AM5844">
        <v>0</v>
      </c>
      <c r="AN5844">
        <v>0</v>
      </c>
      <c r="AO5844">
        <v>0</v>
      </c>
      <c r="AP5844" s="2">
        <v>42746</v>
      </c>
      <c r="AQ5844" t="s">
        <v>72</v>
      </c>
      <c r="AR5844" t="s">
        <v>72</v>
      </c>
      <c r="AS5844">
        <v>206</v>
      </c>
      <c r="AT5844" s="4">
        <v>42402</v>
      </c>
      <c r="AU5844" t="s">
        <v>73</v>
      </c>
      <c r="AV5844">
        <v>206</v>
      </c>
      <c r="AW5844" s="4">
        <v>42402</v>
      </c>
      <c r="BD5844">
        <v>0</v>
      </c>
      <c r="BN5844" t="s">
        <v>74</v>
      </c>
    </row>
    <row r="5845" spans="1:66" hidden="1">
      <c r="A5845">
        <v>104009</v>
      </c>
      <c r="B5845" s="3" t="s">
        <v>591</v>
      </c>
      <c r="C5845" s="1">
        <v>43300101</v>
      </c>
      <c r="D5845" t="s">
        <v>67</v>
      </c>
      <c r="H5845" t="str">
        <f t="shared" si="612"/>
        <v>08641790152</v>
      </c>
      <c r="I5845" t="str">
        <f t="shared" si="612"/>
        <v>08641790152</v>
      </c>
      <c r="K5845" t="str">
        <f>""</f>
        <v/>
      </c>
      <c r="M5845" t="s">
        <v>68</v>
      </c>
      <c r="N5845" t="str">
        <f t="shared" si="611"/>
        <v>FOR</v>
      </c>
      <c r="O5845" t="s">
        <v>69</v>
      </c>
      <c r="P5845" s="3" t="s">
        <v>75</v>
      </c>
      <c r="Q5845">
        <v>2015</v>
      </c>
      <c r="R5845" s="2">
        <v>42128</v>
      </c>
      <c r="S5845" s="2">
        <v>42174</v>
      </c>
      <c r="T5845" s="2">
        <v>42138</v>
      </c>
      <c r="U5845" s="2">
        <v>42198</v>
      </c>
      <c r="V5845" t="s">
        <v>71</v>
      </c>
      <c r="W5845" t="str">
        <f>"             F052492"</f>
        <v xml:space="preserve">             F052492</v>
      </c>
      <c r="X5845">
        <v>579.01</v>
      </c>
      <c r="Y5845">
        <v>0</v>
      </c>
      <c r="Z5845"/>
      <c r="AB5845"/>
      <c r="AC5845">
        <v>474.6</v>
      </c>
      <c r="AD5845">
        <v>204</v>
      </c>
      <c r="AE5845" s="1">
        <v>96818.4</v>
      </c>
      <c r="AF5845">
        <v>0</v>
      </c>
      <c r="AJ5845">
        <v>0</v>
      </c>
      <c r="AK5845">
        <v>0</v>
      </c>
      <c r="AL5845">
        <v>0</v>
      </c>
      <c r="AM5845">
        <v>0</v>
      </c>
      <c r="AN5845">
        <v>0</v>
      </c>
      <c r="AO5845">
        <v>0</v>
      </c>
      <c r="AP5845" s="2">
        <v>42746</v>
      </c>
      <c r="AQ5845" t="s">
        <v>72</v>
      </c>
      <c r="AR5845" t="s">
        <v>72</v>
      </c>
      <c r="AS5845">
        <v>206</v>
      </c>
      <c r="AT5845" s="4">
        <v>42402</v>
      </c>
      <c r="AU5845" t="s">
        <v>73</v>
      </c>
      <c r="AV5845">
        <v>206</v>
      </c>
      <c r="AW5845" s="4">
        <v>42402</v>
      </c>
      <c r="BD5845">
        <v>0</v>
      </c>
      <c r="BN5845" t="s">
        <v>74</v>
      </c>
    </row>
    <row r="5846" spans="1:66" hidden="1">
      <c r="A5846">
        <v>104009</v>
      </c>
      <c r="B5846" s="3" t="s">
        <v>591</v>
      </c>
      <c r="C5846" s="1">
        <v>43300101</v>
      </c>
      <c r="D5846" t="s">
        <v>67</v>
      </c>
      <c r="H5846" t="str">
        <f t="shared" si="612"/>
        <v>08641790152</v>
      </c>
      <c r="I5846" t="str">
        <f t="shared" si="612"/>
        <v>08641790152</v>
      </c>
      <c r="K5846" t="str">
        <f>""</f>
        <v/>
      </c>
      <c r="M5846" t="s">
        <v>68</v>
      </c>
      <c r="N5846" t="str">
        <f t="shared" si="611"/>
        <v>FOR</v>
      </c>
      <c r="O5846" t="s">
        <v>69</v>
      </c>
      <c r="P5846" s="3" t="s">
        <v>75</v>
      </c>
      <c r="Q5846">
        <v>2015</v>
      </c>
      <c r="R5846" s="2">
        <v>42128</v>
      </c>
      <c r="S5846" s="2">
        <v>42129</v>
      </c>
      <c r="T5846" s="2">
        <v>42129</v>
      </c>
      <c r="U5846" s="2">
        <v>42189</v>
      </c>
      <c r="V5846" t="s">
        <v>71</v>
      </c>
      <c r="W5846" t="str">
        <f>"             F052565"</f>
        <v xml:space="preserve">             F052565</v>
      </c>
      <c r="X5846" s="1">
        <v>1054.08</v>
      </c>
      <c r="Y5846">
        <v>0</v>
      </c>
      <c r="Z5846"/>
      <c r="AB5846"/>
      <c r="AC5846">
        <v>864</v>
      </c>
      <c r="AD5846">
        <v>213</v>
      </c>
      <c r="AE5846" s="1">
        <v>184032</v>
      </c>
      <c r="AF5846">
        <v>0</v>
      </c>
      <c r="AJ5846">
        <v>0</v>
      </c>
      <c r="AK5846">
        <v>0</v>
      </c>
      <c r="AL5846">
        <v>0</v>
      </c>
      <c r="AM5846">
        <v>0</v>
      </c>
      <c r="AN5846">
        <v>0</v>
      </c>
      <c r="AO5846">
        <v>0</v>
      </c>
      <c r="AP5846" s="2">
        <v>42746</v>
      </c>
      <c r="AQ5846" t="s">
        <v>72</v>
      </c>
      <c r="AR5846" t="s">
        <v>72</v>
      </c>
      <c r="AS5846">
        <v>206</v>
      </c>
      <c r="AT5846" s="4">
        <v>42402</v>
      </c>
      <c r="AU5846" t="s">
        <v>73</v>
      </c>
      <c r="AV5846">
        <v>206</v>
      </c>
      <c r="AW5846" s="4">
        <v>42402</v>
      </c>
      <c r="BD5846">
        <v>0</v>
      </c>
      <c r="BN5846" t="s">
        <v>74</v>
      </c>
    </row>
    <row r="5847" spans="1:66" hidden="1">
      <c r="A5847">
        <v>104009</v>
      </c>
      <c r="B5847" s="3" t="s">
        <v>591</v>
      </c>
      <c r="C5847" s="1">
        <v>43300101</v>
      </c>
      <c r="D5847" t="s">
        <v>67</v>
      </c>
      <c r="H5847" t="str">
        <f t="shared" si="612"/>
        <v>08641790152</v>
      </c>
      <c r="I5847" t="str">
        <f t="shared" si="612"/>
        <v>08641790152</v>
      </c>
      <c r="K5847" t="str">
        <f>""</f>
        <v/>
      </c>
      <c r="M5847" t="s">
        <v>68</v>
      </c>
      <c r="N5847" t="str">
        <f t="shared" si="611"/>
        <v>FOR</v>
      </c>
      <c r="O5847" t="s">
        <v>69</v>
      </c>
      <c r="P5847" s="3" t="s">
        <v>75</v>
      </c>
      <c r="Q5847">
        <v>2015</v>
      </c>
      <c r="R5847" s="2">
        <v>42128</v>
      </c>
      <c r="S5847" s="2">
        <v>42129</v>
      </c>
      <c r="T5847" s="2">
        <v>42129</v>
      </c>
      <c r="U5847" s="2">
        <v>42189</v>
      </c>
      <c r="V5847" t="s">
        <v>71</v>
      </c>
      <c r="W5847" t="str">
        <f>"             F052588"</f>
        <v xml:space="preserve">             F052588</v>
      </c>
      <c r="X5847" s="1">
        <v>1273.68</v>
      </c>
      <c r="Y5847">
        <v>0</v>
      </c>
      <c r="Z5847"/>
      <c r="AB5847"/>
      <c r="AC5847" s="1">
        <v>1044</v>
      </c>
      <c r="AD5847">
        <v>213</v>
      </c>
      <c r="AE5847" s="1">
        <v>222372</v>
      </c>
      <c r="AF5847">
        <v>0</v>
      </c>
      <c r="AJ5847">
        <v>0</v>
      </c>
      <c r="AK5847">
        <v>0</v>
      </c>
      <c r="AL5847">
        <v>0</v>
      </c>
      <c r="AM5847">
        <v>0</v>
      </c>
      <c r="AN5847">
        <v>0</v>
      </c>
      <c r="AO5847">
        <v>0</v>
      </c>
      <c r="AP5847" s="2">
        <v>42746</v>
      </c>
      <c r="AQ5847" t="s">
        <v>72</v>
      </c>
      <c r="AR5847" t="s">
        <v>72</v>
      </c>
      <c r="AS5847">
        <v>206</v>
      </c>
      <c r="AT5847" s="4">
        <v>42402</v>
      </c>
      <c r="AU5847" t="s">
        <v>73</v>
      </c>
      <c r="AV5847">
        <v>206</v>
      </c>
      <c r="AW5847" s="4">
        <v>42402</v>
      </c>
      <c r="BD5847">
        <v>0</v>
      </c>
      <c r="BN5847" t="s">
        <v>74</v>
      </c>
    </row>
    <row r="5848" spans="1:66" hidden="1">
      <c r="A5848">
        <v>104009</v>
      </c>
      <c r="B5848" s="3" t="s">
        <v>591</v>
      </c>
      <c r="C5848" s="1">
        <v>43300101</v>
      </c>
      <c r="D5848" t="s">
        <v>67</v>
      </c>
      <c r="H5848" t="str">
        <f t="shared" si="612"/>
        <v>08641790152</v>
      </c>
      <c r="I5848" t="str">
        <f t="shared" si="612"/>
        <v>08641790152</v>
      </c>
      <c r="K5848" t="str">
        <f>""</f>
        <v/>
      </c>
      <c r="M5848" t="s">
        <v>68</v>
      </c>
      <c r="N5848" t="str">
        <f t="shared" si="611"/>
        <v>FOR</v>
      </c>
      <c r="O5848" t="s">
        <v>69</v>
      </c>
      <c r="P5848" s="3" t="s">
        <v>75</v>
      </c>
      <c r="Q5848">
        <v>2015</v>
      </c>
      <c r="R5848" s="2">
        <v>42128</v>
      </c>
      <c r="S5848" s="2">
        <v>42129</v>
      </c>
      <c r="T5848" s="2">
        <v>42129</v>
      </c>
      <c r="U5848" s="2">
        <v>42189</v>
      </c>
      <c r="V5848" t="s">
        <v>71</v>
      </c>
      <c r="W5848" t="str">
        <f>"             F052629"</f>
        <v xml:space="preserve">             F052629</v>
      </c>
      <c r="X5848">
        <v>433.1</v>
      </c>
      <c r="Y5848">
        <v>0</v>
      </c>
      <c r="Z5848"/>
      <c r="AB5848"/>
      <c r="AC5848">
        <v>355</v>
      </c>
      <c r="AD5848">
        <v>213</v>
      </c>
      <c r="AE5848" s="1">
        <v>75615</v>
      </c>
      <c r="AF5848">
        <v>0</v>
      </c>
      <c r="AJ5848">
        <v>0</v>
      </c>
      <c r="AK5848">
        <v>0</v>
      </c>
      <c r="AL5848">
        <v>0</v>
      </c>
      <c r="AM5848">
        <v>0</v>
      </c>
      <c r="AN5848">
        <v>0</v>
      </c>
      <c r="AO5848">
        <v>0</v>
      </c>
      <c r="AP5848" s="2">
        <v>42746</v>
      </c>
      <c r="AQ5848" t="s">
        <v>72</v>
      </c>
      <c r="AR5848" t="s">
        <v>72</v>
      </c>
      <c r="AS5848">
        <v>206</v>
      </c>
      <c r="AT5848" s="4">
        <v>42402</v>
      </c>
      <c r="AU5848" t="s">
        <v>73</v>
      </c>
      <c r="AV5848">
        <v>206</v>
      </c>
      <c r="AW5848" s="4">
        <v>42402</v>
      </c>
      <c r="BD5848">
        <v>0</v>
      </c>
      <c r="BN5848" t="s">
        <v>74</v>
      </c>
    </row>
    <row r="5849" spans="1:66" hidden="1">
      <c r="A5849">
        <v>104009</v>
      </c>
      <c r="B5849" s="3" t="s">
        <v>591</v>
      </c>
      <c r="C5849" s="1">
        <v>43300101</v>
      </c>
      <c r="D5849" t="s">
        <v>67</v>
      </c>
      <c r="H5849" t="str">
        <f t="shared" ref="H5849:I5868" si="613">"08641790152"</f>
        <v>08641790152</v>
      </c>
      <c r="I5849" t="str">
        <f t="shared" si="613"/>
        <v>08641790152</v>
      </c>
      <c r="K5849" t="str">
        <f>""</f>
        <v/>
      </c>
      <c r="M5849" t="s">
        <v>68</v>
      </c>
      <c r="N5849" t="str">
        <f t="shared" si="611"/>
        <v>FOR</v>
      </c>
      <c r="O5849" t="s">
        <v>69</v>
      </c>
      <c r="P5849" s="3" t="s">
        <v>75</v>
      </c>
      <c r="Q5849">
        <v>2015</v>
      </c>
      <c r="R5849" s="2">
        <v>42128</v>
      </c>
      <c r="S5849" s="2">
        <v>42129</v>
      </c>
      <c r="T5849" s="2">
        <v>42129</v>
      </c>
      <c r="U5849" s="2">
        <v>42189</v>
      </c>
      <c r="V5849" t="s">
        <v>71</v>
      </c>
      <c r="W5849" t="str">
        <f>"             F052657"</f>
        <v xml:space="preserve">             F052657</v>
      </c>
      <c r="X5849">
        <v>512.4</v>
      </c>
      <c r="Y5849">
        <v>0</v>
      </c>
      <c r="Z5849"/>
      <c r="AB5849"/>
      <c r="AC5849">
        <v>420</v>
      </c>
      <c r="AD5849">
        <v>213</v>
      </c>
      <c r="AE5849" s="1">
        <v>89460</v>
      </c>
      <c r="AF5849">
        <v>0</v>
      </c>
      <c r="AJ5849">
        <v>0</v>
      </c>
      <c r="AK5849">
        <v>0</v>
      </c>
      <c r="AL5849">
        <v>0</v>
      </c>
      <c r="AM5849">
        <v>0</v>
      </c>
      <c r="AN5849">
        <v>0</v>
      </c>
      <c r="AO5849">
        <v>0</v>
      </c>
      <c r="AP5849" s="2">
        <v>42746</v>
      </c>
      <c r="AQ5849" t="s">
        <v>72</v>
      </c>
      <c r="AR5849" t="s">
        <v>72</v>
      </c>
      <c r="AS5849">
        <v>206</v>
      </c>
      <c r="AT5849" s="4">
        <v>42402</v>
      </c>
      <c r="AU5849" t="s">
        <v>73</v>
      </c>
      <c r="AV5849">
        <v>206</v>
      </c>
      <c r="AW5849" s="4">
        <v>42402</v>
      </c>
      <c r="BD5849">
        <v>0</v>
      </c>
      <c r="BN5849" t="s">
        <v>74</v>
      </c>
    </row>
    <row r="5850" spans="1:66" hidden="1">
      <c r="A5850">
        <v>104009</v>
      </c>
      <c r="B5850" s="3" t="s">
        <v>591</v>
      </c>
      <c r="C5850" s="1">
        <v>43300101</v>
      </c>
      <c r="D5850" t="s">
        <v>67</v>
      </c>
      <c r="H5850" t="str">
        <f t="shared" si="613"/>
        <v>08641790152</v>
      </c>
      <c r="I5850" t="str">
        <f t="shared" si="613"/>
        <v>08641790152</v>
      </c>
      <c r="K5850" t="str">
        <f>""</f>
        <v/>
      </c>
      <c r="M5850" t="s">
        <v>68</v>
      </c>
      <c r="N5850" t="str">
        <f t="shared" si="611"/>
        <v>FOR</v>
      </c>
      <c r="O5850" t="s">
        <v>69</v>
      </c>
      <c r="P5850" s="3" t="s">
        <v>75</v>
      </c>
      <c r="Q5850">
        <v>2015</v>
      </c>
      <c r="R5850" s="2">
        <v>42128</v>
      </c>
      <c r="S5850" s="2">
        <v>42131</v>
      </c>
      <c r="T5850" s="2">
        <v>42130</v>
      </c>
      <c r="U5850" s="2">
        <v>42190</v>
      </c>
      <c r="V5850" t="s">
        <v>71</v>
      </c>
      <c r="W5850" t="str">
        <f>"             F052773"</f>
        <v xml:space="preserve">             F052773</v>
      </c>
      <c r="X5850">
        <v>622.20000000000005</v>
      </c>
      <c r="Y5850">
        <v>0</v>
      </c>
      <c r="Z5850"/>
      <c r="AB5850"/>
      <c r="AC5850">
        <v>510</v>
      </c>
      <c r="AD5850">
        <v>212</v>
      </c>
      <c r="AE5850" s="1">
        <v>108120</v>
      </c>
      <c r="AF5850">
        <v>0</v>
      </c>
      <c r="AJ5850">
        <v>0</v>
      </c>
      <c r="AK5850">
        <v>0</v>
      </c>
      <c r="AL5850">
        <v>0</v>
      </c>
      <c r="AM5850">
        <v>0</v>
      </c>
      <c r="AN5850">
        <v>0</v>
      </c>
      <c r="AO5850">
        <v>0</v>
      </c>
      <c r="AP5850" s="2">
        <v>42746</v>
      </c>
      <c r="AQ5850" t="s">
        <v>72</v>
      </c>
      <c r="AR5850" t="s">
        <v>72</v>
      </c>
      <c r="AS5850">
        <v>206</v>
      </c>
      <c r="AT5850" s="4">
        <v>42402</v>
      </c>
      <c r="AU5850" t="s">
        <v>73</v>
      </c>
      <c r="AV5850">
        <v>206</v>
      </c>
      <c r="AW5850" s="4">
        <v>42402</v>
      </c>
      <c r="BD5850">
        <v>0</v>
      </c>
      <c r="BN5850" t="s">
        <v>74</v>
      </c>
    </row>
    <row r="5851" spans="1:66" hidden="1">
      <c r="A5851">
        <v>104009</v>
      </c>
      <c r="B5851" s="3" t="s">
        <v>591</v>
      </c>
      <c r="C5851" s="1">
        <v>43300101</v>
      </c>
      <c r="D5851" t="s">
        <v>67</v>
      </c>
      <c r="H5851" t="str">
        <f t="shared" si="613"/>
        <v>08641790152</v>
      </c>
      <c r="I5851" t="str">
        <f t="shared" si="613"/>
        <v>08641790152</v>
      </c>
      <c r="K5851" t="str">
        <f>""</f>
        <v/>
      </c>
      <c r="M5851" t="s">
        <v>68</v>
      </c>
      <c r="N5851" t="str">
        <f t="shared" si="611"/>
        <v>FOR</v>
      </c>
      <c r="O5851" t="s">
        <v>69</v>
      </c>
      <c r="P5851" s="3" t="s">
        <v>75</v>
      </c>
      <c r="Q5851">
        <v>2015</v>
      </c>
      <c r="R5851" s="2">
        <v>42131</v>
      </c>
      <c r="S5851" s="2">
        <v>42135</v>
      </c>
      <c r="T5851" s="2">
        <v>42133</v>
      </c>
      <c r="U5851" s="2">
        <v>42193</v>
      </c>
      <c r="V5851" t="s">
        <v>71</v>
      </c>
      <c r="W5851" t="str">
        <f>"             F054532"</f>
        <v xml:space="preserve">             F054532</v>
      </c>
      <c r="X5851">
        <v>988</v>
      </c>
      <c r="Y5851">
        <v>0</v>
      </c>
      <c r="Z5851"/>
      <c r="AB5851"/>
      <c r="AC5851">
        <v>950</v>
      </c>
      <c r="AD5851">
        <v>209</v>
      </c>
      <c r="AE5851" s="1">
        <v>198550</v>
      </c>
      <c r="AF5851">
        <v>0</v>
      </c>
      <c r="AJ5851">
        <v>0</v>
      </c>
      <c r="AK5851">
        <v>0</v>
      </c>
      <c r="AL5851">
        <v>0</v>
      </c>
      <c r="AM5851">
        <v>0</v>
      </c>
      <c r="AN5851">
        <v>0</v>
      </c>
      <c r="AO5851">
        <v>0</v>
      </c>
      <c r="AP5851" s="2">
        <v>42746</v>
      </c>
      <c r="AQ5851" t="s">
        <v>72</v>
      </c>
      <c r="AR5851" t="s">
        <v>72</v>
      </c>
      <c r="AS5851">
        <v>206</v>
      </c>
      <c r="AT5851" s="4">
        <v>42402</v>
      </c>
      <c r="AU5851" t="s">
        <v>73</v>
      </c>
      <c r="AV5851">
        <v>206</v>
      </c>
      <c r="AW5851" s="4">
        <v>42402</v>
      </c>
      <c r="BD5851">
        <v>0</v>
      </c>
      <c r="BN5851" t="s">
        <v>74</v>
      </c>
    </row>
    <row r="5852" spans="1:66" hidden="1">
      <c r="A5852">
        <v>104009</v>
      </c>
      <c r="B5852" s="3" t="s">
        <v>591</v>
      </c>
      <c r="C5852" s="1">
        <v>43300101</v>
      </c>
      <c r="D5852" t="s">
        <v>67</v>
      </c>
      <c r="H5852" t="str">
        <f t="shared" si="613"/>
        <v>08641790152</v>
      </c>
      <c r="I5852" t="str">
        <f t="shared" si="613"/>
        <v>08641790152</v>
      </c>
      <c r="K5852" t="str">
        <f>""</f>
        <v/>
      </c>
      <c r="M5852" t="s">
        <v>68</v>
      </c>
      <c r="N5852" t="str">
        <f t="shared" si="611"/>
        <v>FOR</v>
      </c>
      <c r="O5852" t="s">
        <v>69</v>
      </c>
      <c r="P5852" s="3" t="s">
        <v>75</v>
      </c>
      <c r="Q5852">
        <v>2015</v>
      </c>
      <c r="R5852" s="2">
        <v>42131</v>
      </c>
      <c r="S5852" s="2">
        <v>42135</v>
      </c>
      <c r="T5852" s="2">
        <v>42133</v>
      </c>
      <c r="U5852" s="2">
        <v>42193</v>
      </c>
      <c r="V5852" t="s">
        <v>71</v>
      </c>
      <c r="W5852" t="str">
        <f>"             F054540"</f>
        <v xml:space="preserve">             F054540</v>
      </c>
      <c r="X5852">
        <v>988</v>
      </c>
      <c r="Y5852">
        <v>0</v>
      </c>
      <c r="Z5852"/>
      <c r="AB5852"/>
      <c r="AC5852">
        <v>950</v>
      </c>
      <c r="AD5852">
        <v>209</v>
      </c>
      <c r="AE5852" s="1">
        <v>198550</v>
      </c>
      <c r="AF5852">
        <v>0</v>
      </c>
      <c r="AJ5852">
        <v>0</v>
      </c>
      <c r="AK5852">
        <v>0</v>
      </c>
      <c r="AL5852">
        <v>0</v>
      </c>
      <c r="AM5852">
        <v>0</v>
      </c>
      <c r="AN5852">
        <v>0</v>
      </c>
      <c r="AO5852">
        <v>0</v>
      </c>
      <c r="AP5852" s="2">
        <v>42746</v>
      </c>
      <c r="AQ5852" t="s">
        <v>72</v>
      </c>
      <c r="AR5852" t="s">
        <v>72</v>
      </c>
      <c r="AS5852">
        <v>206</v>
      </c>
      <c r="AT5852" s="4">
        <v>42402</v>
      </c>
      <c r="AU5852" t="s">
        <v>73</v>
      </c>
      <c r="AV5852">
        <v>206</v>
      </c>
      <c r="AW5852" s="4">
        <v>42402</v>
      </c>
      <c r="BD5852">
        <v>0</v>
      </c>
      <c r="BN5852" t="s">
        <v>74</v>
      </c>
    </row>
    <row r="5853" spans="1:66" hidden="1">
      <c r="A5853">
        <v>104009</v>
      </c>
      <c r="B5853" s="3" t="s">
        <v>591</v>
      </c>
      <c r="C5853" s="1">
        <v>43300101</v>
      </c>
      <c r="D5853" t="s">
        <v>67</v>
      </c>
      <c r="H5853" t="str">
        <f t="shared" si="613"/>
        <v>08641790152</v>
      </c>
      <c r="I5853" t="str">
        <f t="shared" si="613"/>
        <v>08641790152</v>
      </c>
      <c r="K5853" t="str">
        <f>""</f>
        <v/>
      </c>
      <c r="M5853" t="s">
        <v>68</v>
      </c>
      <c r="N5853" t="str">
        <f t="shared" si="611"/>
        <v>FOR</v>
      </c>
      <c r="O5853" t="s">
        <v>69</v>
      </c>
      <c r="P5853" s="3" t="s">
        <v>75</v>
      </c>
      <c r="Q5853">
        <v>2015</v>
      </c>
      <c r="R5853" s="2">
        <v>42132</v>
      </c>
      <c r="S5853" s="2">
        <v>42135</v>
      </c>
      <c r="T5853" s="2">
        <v>42133</v>
      </c>
      <c r="U5853" s="2">
        <v>42193</v>
      </c>
      <c r="V5853" t="s">
        <v>71</v>
      </c>
      <c r="W5853" t="str">
        <f>"             F054954"</f>
        <v xml:space="preserve">             F054954</v>
      </c>
      <c r="X5853">
        <v>988</v>
      </c>
      <c r="Y5853">
        <v>0</v>
      </c>
      <c r="Z5853"/>
      <c r="AB5853"/>
      <c r="AC5853">
        <v>950</v>
      </c>
      <c r="AD5853">
        <v>209</v>
      </c>
      <c r="AE5853" s="1">
        <v>198550</v>
      </c>
      <c r="AF5853">
        <v>0</v>
      </c>
      <c r="AJ5853">
        <v>0</v>
      </c>
      <c r="AK5853">
        <v>0</v>
      </c>
      <c r="AL5853">
        <v>0</v>
      </c>
      <c r="AM5853">
        <v>0</v>
      </c>
      <c r="AN5853">
        <v>0</v>
      </c>
      <c r="AO5853">
        <v>0</v>
      </c>
      <c r="AP5853" s="2">
        <v>42746</v>
      </c>
      <c r="AQ5853" t="s">
        <v>72</v>
      </c>
      <c r="AR5853" t="s">
        <v>72</v>
      </c>
      <c r="AS5853">
        <v>206</v>
      </c>
      <c r="AT5853" s="4">
        <v>42402</v>
      </c>
      <c r="AU5853" t="s">
        <v>73</v>
      </c>
      <c r="AV5853">
        <v>206</v>
      </c>
      <c r="AW5853" s="4">
        <v>42402</v>
      </c>
      <c r="BD5853">
        <v>0</v>
      </c>
      <c r="BN5853" t="s">
        <v>74</v>
      </c>
    </row>
    <row r="5854" spans="1:66" hidden="1">
      <c r="A5854">
        <v>104009</v>
      </c>
      <c r="B5854" s="3" t="s">
        <v>591</v>
      </c>
      <c r="C5854" s="1">
        <v>43300101</v>
      </c>
      <c r="D5854" t="s">
        <v>67</v>
      </c>
      <c r="H5854" t="str">
        <f t="shared" si="613"/>
        <v>08641790152</v>
      </c>
      <c r="I5854" t="str">
        <f t="shared" si="613"/>
        <v>08641790152</v>
      </c>
      <c r="K5854" t="str">
        <f>""</f>
        <v/>
      </c>
      <c r="M5854" t="s">
        <v>68</v>
      </c>
      <c r="N5854" t="str">
        <f t="shared" si="611"/>
        <v>FOR</v>
      </c>
      <c r="O5854" t="s">
        <v>69</v>
      </c>
      <c r="P5854" s="3" t="s">
        <v>75</v>
      </c>
      <c r="Q5854">
        <v>2015</v>
      </c>
      <c r="R5854" s="2">
        <v>42136</v>
      </c>
      <c r="S5854" s="2">
        <v>42142</v>
      </c>
      <c r="T5854" s="2">
        <v>42137</v>
      </c>
      <c r="U5854" s="2">
        <v>42197</v>
      </c>
      <c r="V5854" t="s">
        <v>71</v>
      </c>
      <c r="W5854" t="str">
        <f>"             F056639"</f>
        <v xml:space="preserve">             F056639</v>
      </c>
      <c r="X5854" s="1">
        <v>1542.08</v>
      </c>
      <c r="Y5854">
        <v>0</v>
      </c>
      <c r="Z5854"/>
      <c r="AB5854"/>
      <c r="AC5854" s="1">
        <v>1264</v>
      </c>
      <c r="AD5854">
        <v>205</v>
      </c>
      <c r="AE5854" s="1">
        <v>259120</v>
      </c>
      <c r="AF5854">
        <v>0</v>
      </c>
      <c r="AJ5854">
        <v>0</v>
      </c>
      <c r="AK5854">
        <v>0</v>
      </c>
      <c r="AL5854">
        <v>0</v>
      </c>
      <c r="AM5854">
        <v>0</v>
      </c>
      <c r="AN5854">
        <v>0</v>
      </c>
      <c r="AO5854">
        <v>0</v>
      </c>
      <c r="AP5854" s="2">
        <v>42746</v>
      </c>
      <c r="AQ5854" t="s">
        <v>72</v>
      </c>
      <c r="AR5854" t="s">
        <v>72</v>
      </c>
      <c r="AS5854">
        <v>206</v>
      </c>
      <c r="AT5854" s="4">
        <v>42402</v>
      </c>
      <c r="AU5854" t="s">
        <v>73</v>
      </c>
      <c r="AV5854">
        <v>206</v>
      </c>
      <c r="AW5854" s="4">
        <v>42402</v>
      </c>
      <c r="BD5854">
        <v>0</v>
      </c>
      <c r="BN5854" t="s">
        <v>74</v>
      </c>
    </row>
    <row r="5855" spans="1:66" hidden="1">
      <c r="A5855">
        <v>104009</v>
      </c>
      <c r="B5855" s="3" t="s">
        <v>591</v>
      </c>
      <c r="C5855" s="1">
        <v>43300101</v>
      </c>
      <c r="D5855" t="s">
        <v>67</v>
      </c>
      <c r="H5855" t="str">
        <f t="shared" si="613"/>
        <v>08641790152</v>
      </c>
      <c r="I5855" t="str">
        <f t="shared" si="613"/>
        <v>08641790152</v>
      </c>
      <c r="K5855" t="str">
        <f>""</f>
        <v/>
      </c>
      <c r="M5855" t="s">
        <v>68</v>
      </c>
      <c r="N5855" t="str">
        <f t="shared" si="611"/>
        <v>FOR</v>
      </c>
      <c r="O5855" t="s">
        <v>69</v>
      </c>
      <c r="P5855" s="3" t="s">
        <v>75</v>
      </c>
      <c r="Q5855">
        <v>2015</v>
      </c>
      <c r="R5855" s="2">
        <v>42137</v>
      </c>
      <c r="S5855" s="2">
        <v>42158</v>
      </c>
      <c r="T5855" s="2">
        <v>42138</v>
      </c>
      <c r="U5855" s="2">
        <v>42198</v>
      </c>
      <c r="V5855" t="s">
        <v>71</v>
      </c>
      <c r="W5855" t="str">
        <f>"             F056774"</f>
        <v xml:space="preserve">             F056774</v>
      </c>
      <c r="X5855">
        <v>669.78</v>
      </c>
      <c r="Y5855">
        <v>0</v>
      </c>
      <c r="Z5855"/>
      <c r="AB5855"/>
      <c r="AC5855">
        <v>549</v>
      </c>
      <c r="AD5855">
        <v>204</v>
      </c>
      <c r="AE5855" s="1">
        <v>111996</v>
      </c>
      <c r="AF5855">
        <v>0</v>
      </c>
      <c r="AJ5855">
        <v>0</v>
      </c>
      <c r="AK5855">
        <v>0</v>
      </c>
      <c r="AL5855">
        <v>0</v>
      </c>
      <c r="AM5855">
        <v>0</v>
      </c>
      <c r="AN5855">
        <v>0</v>
      </c>
      <c r="AO5855">
        <v>0</v>
      </c>
      <c r="AP5855" s="2">
        <v>42746</v>
      </c>
      <c r="AQ5855" t="s">
        <v>72</v>
      </c>
      <c r="AR5855" t="s">
        <v>72</v>
      </c>
      <c r="AS5855">
        <v>206</v>
      </c>
      <c r="AT5855" s="4">
        <v>42402</v>
      </c>
      <c r="AU5855" t="s">
        <v>73</v>
      </c>
      <c r="AV5855">
        <v>206</v>
      </c>
      <c r="AW5855" s="4">
        <v>42402</v>
      </c>
      <c r="BD5855">
        <v>0</v>
      </c>
      <c r="BN5855" t="s">
        <v>74</v>
      </c>
    </row>
    <row r="5856" spans="1:66" hidden="1">
      <c r="A5856">
        <v>104009</v>
      </c>
      <c r="B5856" s="3" t="s">
        <v>591</v>
      </c>
      <c r="C5856" s="1">
        <v>43300101</v>
      </c>
      <c r="D5856" t="s">
        <v>67</v>
      </c>
      <c r="H5856" t="str">
        <f t="shared" si="613"/>
        <v>08641790152</v>
      </c>
      <c r="I5856" t="str">
        <f t="shared" si="613"/>
        <v>08641790152</v>
      </c>
      <c r="K5856" t="str">
        <f>""</f>
        <v/>
      </c>
      <c r="M5856" t="s">
        <v>68</v>
      </c>
      <c r="N5856" t="str">
        <f t="shared" si="611"/>
        <v>FOR</v>
      </c>
      <c r="O5856" t="s">
        <v>69</v>
      </c>
      <c r="P5856" s="3" t="s">
        <v>75</v>
      </c>
      <c r="Q5856">
        <v>2015</v>
      </c>
      <c r="R5856" s="2">
        <v>42137</v>
      </c>
      <c r="S5856" s="2">
        <v>42158</v>
      </c>
      <c r="T5856" s="2">
        <v>42138</v>
      </c>
      <c r="U5856" s="2">
        <v>42198</v>
      </c>
      <c r="V5856" t="s">
        <v>71</v>
      </c>
      <c r="W5856" t="str">
        <f>"             F057002"</f>
        <v xml:space="preserve">             F057002</v>
      </c>
      <c r="X5856">
        <v>761.28</v>
      </c>
      <c r="Y5856">
        <v>0</v>
      </c>
      <c r="Z5856"/>
      <c r="AB5856"/>
      <c r="AC5856">
        <v>624</v>
      </c>
      <c r="AD5856">
        <v>204</v>
      </c>
      <c r="AE5856" s="1">
        <v>127296</v>
      </c>
      <c r="AF5856">
        <v>0</v>
      </c>
      <c r="AJ5856">
        <v>0</v>
      </c>
      <c r="AK5856">
        <v>0</v>
      </c>
      <c r="AL5856">
        <v>0</v>
      </c>
      <c r="AM5856">
        <v>0</v>
      </c>
      <c r="AN5856">
        <v>0</v>
      </c>
      <c r="AO5856">
        <v>0</v>
      </c>
      <c r="AP5856" s="2">
        <v>42746</v>
      </c>
      <c r="AQ5856" t="s">
        <v>72</v>
      </c>
      <c r="AR5856" t="s">
        <v>72</v>
      </c>
      <c r="AS5856">
        <v>206</v>
      </c>
      <c r="AT5856" s="4">
        <v>42402</v>
      </c>
      <c r="AU5856" t="s">
        <v>73</v>
      </c>
      <c r="AV5856">
        <v>206</v>
      </c>
      <c r="AW5856" s="4">
        <v>42402</v>
      </c>
      <c r="BD5856">
        <v>0</v>
      </c>
      <c r="BN5856" t="s">
        <v>74</v>
      </c>
    </row>
    <row r="5857" spans="1:66" hidden="1">
      <c r="A5857">
        <v>104009</v>
      </c>
      <c r="B5857" s="3" t="s">
        <v>591</v>
      </c>
      <c r="C5857" s="1">
        <v>43300101</v>
      </c>
      <c r="D5857" t="s">
        <v>67</v>
      </c>
      <c r="H5857" t="str">
        <f t="shared" si="613"/>
        <v>08641790152</v>
      </c>
      <c r="I5857" t="str">
        <f t="shared" si="613"/>
        <v>08641790152</v>
      </c>
      <c r="K5857" t="str">
        <f>""</f>
        <v/>
      </c>
      <c r="M5857" t="s">
        <v>68</v>
      </c>
      <c r="N5857" t="str">
        <f t="shared" si="611"/>
        <v>FOR</v>
      </c>
      <c r="O5857" t="s">
        <v>69</v>
      </c>
      <c r="P5857" s="3" t="s">
        <v>75</v>
      </c>
      <c r="Q5857">
        <v>2015</v>
      </c>
      <c r="R5857" s="2">
        <v>42137</v>
      </c>
      <c r="S5857" s="2">
        <v>42158</v>
      </c>
      <c r="T5857" s="2">
        <v>42138</v>
      </c>
      <c r="U5857" s="2">
        <v>42198</v>
      </c>
      <c r="V5857" t="s">
        <v>71</v>
      </c>
      <c r="W5857" t="str">
        <f>"             F057293"</f>
        <v xml:space="preserve">             F057293</v>
      </c>
      <c r="X5857" s="1">
        <v>4245.6000000000004</v>
      </c>
      <c r="Y5857">
        <v>0</v>
      </c>
      <c r="Z5857"/>
      <c r="AB5857"/>
      <c r="AC5857" s="1">
        <v>3480</v>
      </c>
      <c r="AD5857">
        <v>204</v>
      </c>
      <c r="AE5857" s="1">
        <v>709920</v>
      </c>
      <c r="AF5857">
        <v>0</v>
      </c>
      <c r="AJ5857">
        <v>0</v>
      </c>
      <c r="AK5857">
        <v>0</v>
      </c>
      <c r="AL5857">
        <v>0</v>
      </c>
      <c r="AM5857">
        <v>0</v>
      </c>
      <c r="AN5857">
        <v>0</v>
      </c>
      <c r="AO5857">
        <v>0</v>
      </c>
      <c r="AP5857" s="2">
        <v>42746</v>
      </c>
      <c r="AQ5857" t="s">
        <v>72</v>
      </c>
      <c r="AR5857" t="s">
        <v>72</v>
      </c>
      <c r="AS5857">
        <v>206</v>
      </c>
      <c r="AT5857" s="4">
        <v>42402</v>
      </c>
      <c r="AU5857" t="s">
        <v>73</v>
      </c>
      <c r="AV5857">
        <v>206</v>
      </c>
      <c r="AW5857" s="4">
        <v>42402</v>
      </c>
      <c r="BD5857">
        <v>0</v>
      </c>
      <c r="BN5857" t="s">
        <v>74</v>
      </c>
    </row>
    <row r="5858" spans="1:66" hidden="1">
      <c r="A5858">
        <v>104009</v>
      </c>
      <c r="B5858" s="3" t="s">
        <v>591</v>
      </c>
      <c r="C5858" s="1">
        <v>43300101</v>
      </c>
      <c r="D5858" t="s">
        <v>67</v>
      </c>
      <c r="H5858" t="str">
        <f t="shared" si="613"/>
        <v>08641790152</v>
      </c>
      <c r="I5858" t="str">
        <f t="shared" si="613"/>
        <v>08641790152</v>
      </c>
      <c r="K5858" t="str">
        <f>""</f>
        <v/>
      </c>
      <c r="M5858" t="s">
        <v>68</v>
      </c>
      <c r="N5858" t="str">
        <f t="shared" si="611"/>
        <v>FOR</v>
      </c>
      <c r="O5858" t="s">
        <v>69</v>
      </c>
      <c r="P5858" s="3" t="s">
        <v>75</v>
      </c>
      <c r="Q5858">
        <v>2015</v>
      </c>
      <c r="R5858" s="2">
        <v>42138</v>
      </c>
      <c r="S5858" s="2">
        <v>42174</v>
      </c>
      <c r="T5858" s="2">
        <v>42139</v>
      </c>
      <c r="U5858" s="2">
        <v>42199</v>
      </c>
      <c r="V5858" t="s">
        <v>71</v>
      </c>
      <c r="W5858" t="str">
        <f>"             F057312"</f>
        <v xml:space="preserve">             F057312</v>
      </c>
      <c r="X5858">
        <v>761.28</v>
      </c>
      <c r="Y5858">
        <v>0</v>
      </c>
      <c r="Z5858"/>
      <c r="AB5858"/>
      <c r="AC5858">
        <v>624</v>
      </c>
      <c r="AD5858">
        <v>203</v>
      </c>
      <c r="AE5858" s="1">
        <v>126672</v>
      </c>
      <c r="AF5858">
        <v>0</v>
      </c>
      <c r="AJ5858">
        <v>0</v>
      </c>
      <c r="AK5858">
        <v>0</v>
      </c>
      <c r="AL5858">
        <v>0</v>
      </c>
      <c r="AM5858">
        <v>0</v>
      </c>
      <c r="AN5858">
        <v>0</v>
      </c>
      <c r="AO5858">
        <v>0</v>
      </c>
      <c r="AP5858" s="2">
        <v>42746</v>
      </c>
      <c r="AQ5858" t="s">
        <v>72</v>
      </c>
      <c r="AR5858" t="s">
        <v>72</v>
      </c>
      <c r="AS5858">
        <v>206</v>
      </c>
      <c r="AT5858" s="4">
        <v>42402</v>
      </c>
      <c r="AU5858" t="s">
        <v>73</v>
      </c>
      <c r="AV5858">
        <v>206</v>
      </c>
      <c r="AW5858" s="4">
        <v>42402</v>
      </c>
      <c r="BD5858">
        <v>0</v>
      </c>
      <c r="BN5858" t="s">
        <v>74</v>
      </c>
    </row>
    <row r="5859" spans="1:66" hidden="1">
      <c r="A5859">
        <v>104009</v>
      </c>
      <c r="B5859" s="3" t="s">
        <v>591</v>
      </c>
      <c r="C5859" s="1">
        <v>43300101</v>
      </c>
      <c r="D5859" t="s">
        <v>67</v>
      </c>
      <c r="H5859" t="str">
        <f t="shared" si="613"/>
        <v>08641790152</v>
      </c>
      <c r="I5859" t="str">
        <f t="shared" si="613"/>
        <v>08641790152</v>
      </c>
      <c r="K5859" t="str">
        <f>""</f>
        <v/>
      </c>
      <c r="M5859" t="s">
        <v>68</v>
      </c>
      <c r="N5859" t="str">
        <f t="shared" si="611"/>
        <v>FOR</v>
      </c>
      <c r="O5859" t="s">
        <v>69</v>
      </c>
      <c r="P5859" s="3" t="s">
        <v>75</v>
      </c>
      <c r="Q5859">
        <v>2015</v>
      </c>
      <c r="R5859" s="2">
        <v>42138</v>
      </c>
      <c r="S5859" s="2">
        <v>42174</v>
      </c>
      <c r="T5859" s="2">
        <v>42139</v>
      </c>
      <c r="U5859" s="2">
        <v>42199</v>
      </c>
      <c r="V5859" t="s">
        <v>71</v>
      </c>
      <c r="W5859" t="str">
        <f>"             F057324"</f>
        <v xml:space="preserve">             F057324</v>
      </c>
      <c r="X5859">
        <v>553.39</v>
      </c>
      <c r="Y5859">
        <v>0</v>
      </c>
      <c r="Z5859"/>
      <c r="AB5859"/>
      <c r="AC5859">
        <v>453.6</v>
      </c>
      <c r="AD5859">
        <v>203</v>
      </c>
      <c r="AE5859" s="1">
        <v>92080.8</v>
      </c>
      <c r="AF5859">
        <v>0</v>
      </c>
      <c r="AJ5859">
        <v>0</v>
      </c>
      <c r="AK5859">
        <v>0</v>
      </c>
      <c r="AL5859">
        <v>0</v>
      </c>
      <c r="AM5859">
        <v>0</v>
      </c>
      <c r="AN5859">
        <v>0</v>
      </c>
      <c r="AO5859">
        <v>0</v>
      </c>
      <c r="AP5859" s="2">
        <v>42746</v>
      </c>
      <c r="AQ5859" t="s">
        <v>72</v>
      </c>
      <c r="AR5859" t="s">
        <v>72</v>
      </c>
      <c r="AS5859">
        <v>206</v>
      </c>
      <c r="AT5859" s="4">
        <v>42402</v>
      </c>
      <c r="AU5859" t="s">
        <v>73</v>
      </c>
      <c r="AV5859">
        <v>206</v>
      </c>
      <c r="AW5859" s="4">
        <v>42402</v>
      </c>
      <c r="BD5859">
        <v>0</v>
      </c>
      <c r="BN5859" t="s">
        <v>74</v>
      </c>
    </row>
    <row r="5860" spans="1:66" hidden="1">
      <c r="A5860">
        <v>104009</v>
      </c>
      <c r="B5860" s="3" t="s">
        <v>591</v>
      </c>
      <c r="C5860" s="1">
        <v>43300101</v>
      </c>
      <c r="D5860" t="s">
        <v>67</v>
      </c>
      <c r="H5860" t="str">
        <f t="shared" si="613"/>
        <v>08641790152</v>
      </c>
      <c r="I5860" t="str">
        <f t="shared" si="613"/>
        <v>08641790152</v>
      </c>
      <c r="K5860" t="str">
        <f>""</f>
        <v/>
      </c>
      <c r="M5860" t="s">
        <v>68</v>
      </c>
      <c r="N5860" t="str">
        <f t="shared" si="611"/>
        <v>FOR</v>
      </c>
      <c r="O5860" t="s">
        <v>69</v>
      </c>
      <c r="P5860" s="3" t="s">
        <v>75</v>
      </c>
      <c r="Q5860">
        <v>2015</v>
      </c>
      <c r="R5860" s="2">
        <v>42138</v>
      </c>
      <c r="S5860" s="2">
        <v>42174</v>
      </c>
      <c r="T5860" s="2">
        <v>42139</v>
      </c>
      <c r="U5860" s="2">
        <v>42199</v>
      </c>
      <c r="V5860" t="s">
        <v>71</v>
      </c>
      <c r="W5860" t="str">
        <f>"             F057352"</f>
        <v xml:space="preserve">             F057352</v>
      </c>
      <c r="X5860">
        <v>823.94</v>
      </c>
      <c r="Y5860">
        <v>0</v>
      </c>
      <c r="Z5860"/>
      <c r="AB5860"/>
      <c r="AC5860">
        <v>675.36</v>
      </c>
      <c r="AD5860">
        <v>203</v>
      </c>
      <c r="AE5860" s="1">
        <v>137098.07999999999</v>
      </c>
      <c r="AF5860">
        <v>0</v>
      </c>
      <c r="AJ5860">
        <v>0</v>
      </c>
      <c r="AK5860">
        <v>0</v>
      </c>
      <c r="AL5860">
        <v>0</v>
      </c>
      <c r="AM5860">
        <v>0</v>
      </c>
      <c r="AN5860">
        <v>0</v>
      </c>
      <c r="AO5860">
        <v>0</v>
      </c>
      <c r="AP5860" s="2">
        <v>42746</v>
      </c>
      <c r="AQ5860" t="s">
        <v>72</v>
      </c>
      <c r="AR5860" t="s">
        <v>72</v>
      </c>
      <c r="AS5860">
        <v>206</v>
      </c>
      <c r="AT5860" s="4">
        <v>42402</v>
      </c>
      <c r="AU5860" t="s">
        <v>73</v>
      </c>
      <c r="AV5860">
        <v>206</v>
      </c>
      <c r="AW5860" s="4">
        <v>42402</v>
      </c>
      <c r="BD5860">
        <v>0</v>
      </c>
      <c r="BN5860" t="s">
        <v>74</v>
      </c>
    </row>
    <row r="5861" spans="1:66" hidden="1">
      <c r="A5861">
        <v>104009</v>
      </c>
      <c r="B5861" s="3" t="s">
        <v>591</v>
      </c>
      <c r="C5861" s="1">
        <v>43300101</v>
      </c>
      <c r="D5861" t="s">
        <v>67</v>
      </c>
      <c r="H5861" t="str">
        <f t="shared" si="613"/>
        <v>08641790152</v>
      </c>
      <c r="I5861" t="str">
        <f t="shared" si="613"/>
        <v>08641790152</v>
      </c>
      <c r="K5861" t="str">
        <f>""</f>
        <v/>
      </c>
      <c r="M5861" t="s">
        <v>68</v>
      </c>
      <c r="N5861" t="str">
        <f t="shared" si="611"/>
        <v>FOR</v>
      </c>
      <c r="O5861" t="s">
        <v>69</v>
      </c>
      <c r="P5861" s="3" t="s">
        <v>75</v>
      </c>
      <c r="Q5861">
        <v>2015</v>
      </c>
      <c r="R5861" s="2">
        <v>42138</v>
      </c>
      <c r="S5861" s="2">
        <v>42174</v>
      </c>
      <c r="T5861" s="2">
        <v>42139</v>
      </c>
      <c r="U5861" s="2">
        <v>42199</v>
      </c>
      <c r="V5861" t="s">
        <v>71</v>
      </c>
      <c r="W5861" t="str">
        <f>"             F057353"</f>
        <v xml:space="preserve">             F057353</v>
      </c>
      <c r="X5861" s="1">
        <v>1142.75</v>
      </c>
      <c r="Y5861">
        <v>0</v>
      </c>
      <c r="Z5861"/>
      <c r="AB5861"/>
      <c r="AC5861">
        <v>936.68</v>
      </c>
      <c r="AD5861">
        <v>203</v>
      </c>
      <c r="AE5861" s="1">
        <v>190146.04</v>
      </c>
      <c r="AF5861">
        <v>0</v>
      </c>
      <c r="AJ5861">
        <v>0</v>
      </c>
      <c r="AK5861">
        <v>0</v>
      </c>
      <c r="AL5861">
        <v>0</v>
      </c>
      <c r="AM5861">
        <v>0</v>
      </c>
      <c r="AN5861">
        <v>0</v>
      </c>
      <c r="AO5861">
        <v>0</v>
      </c>
      <c r="AP5861" s="2">
        <v>42746</v>
      </c>
      <c r="AQ5861" t="s">
        <v>72</v>
      </c>
      <c r="AR5861" t="s">
        <v>72</v>
      </c>
      <c r="AS5861">
        <v>206</v>
      </c>
      <c r="AT5861" s="4">
        <v>42402</v>
      </c>
      <c r="AU5861" t="s">
        <v>73</v>
      </c>
      <c r="AV5861">
        <v>206</v>
      </c>
      <c r="AW5861" s="4">
        <v>42402</v>
      </c>
      <c r="BD5861">
        <v>0</v>
      </c>
      <c r="BN5861" t="s">
        <v>74</v>
      </c>
    </row>
    <row r="5862" spans="1:66" hidden="1">
      <c r="A5862">
        <v>104009</v>
      </c>
      <c r="B5862" s="3" t="s">
        <v>591</v>
      </c>
      <c r="C5862" s="1">
        <v>43300101</v>
      </c>
      <c r="D5862" t="s">
        <v>67</v>
      </c>
      <c r="H5862" t="str">
        <f t="shared" si="613"/>
        <v>08641790152</v>
      </c>
      <c r="I5862" t="str">
        <f t="shared" si="613"/>
        <v>08641790152</v>
      </c>
      <c r="K5862" t="str">
        <f>""</f>
        <v/>
      </c>
      <c r="M5862" t="s">
        <v>68</v>
      </c>
      <c r="N5862" t="str">
        <f t="shared" si="611"/>
        <v>FOR</v>
      </c>
      <c r="O5862" t="s">
        <v>69</v>
      </c>
      <c r="P5862" s="3" t="s">
        <v>75</v>
      </c>
      <c r="Q5862">
        <v>2015</v>
      </c>
      <c r="R5862" s="2">
        <v>42138</v>
      </c>
      <c r="S5862" s="2">
        <v>42174</v>
      </c>
      <c r="T5862" s="2">
        <v>42139</v>
      </c>
      <c r="U5862" s="2">
        <v>42199</v>
      </c>
      <c r="V5862" t="s">
        <v>71</v>
      </c>
      <c r="W5862" t="str">
        <f>"             F057365"</f>
        <v xml:space="preserve">             F057365</v>
      </c>
      <c r="X5862">
        <v>337.31</v>
      </c>
      <c r="Y5862">
        <v>0</v>
      </c>
      <c r="Z5862"/>
      <c r="AB5862"/>
      <c r="AC5862">
        <v>276.48</v>
      </c>
      <c r="AD5862">
        <v>203</v>
      </c>
      <c r="AE5862" s="1">
        <v>56125.440000000002</v>
      </c>
      <c r="AF5862">
        <v>0</v>
      </c>
      <c r="AJ5862">
        <v>0</v>
      </c>
      <c r="AK5862">
        <v>0</v>
      </c>
      <c r="AL5862">
        <v>0</v>
      </c>
      <c r="AM5862">
        <v>0</v>
      </c>
      <c r="AN5862">
        <v>0</v>
      </c>
      <c r="AO5862">
        <v>0</v>
      </c>
      <c r="AP5862" s="2">
        <v>42746</v>
      </c>
      <c r="AQ5862" t="s">
        <v>72</v>
      </c>
      <c r="AR5862" t="s">
        <v>72</v>
      </c>
      <c r="AS5862">
        <v>206</v>
      </c>
      <c r="AT5862" s="4">
        <v>42402</v>
      </c>
      <c r="AU5862" t="s">
        <v>73</v>
      </c>
      <c r="AV5862">
        <v>206</v>
      </c>
      <c r="AW5862" s="4">
        <v>42402</v>
      </c>
      <c r="BD5862">
        <v>0</v>
      </c>
      <c r="BN5862" t="s">
        <v>74</v>
      </c>
    </row>
    <row r="5863" spans="1:66" hidden="1">
      <c r="A5863">
        <v>104009</v>
      </c>
      <c r="B5863" s="3" t="s">
        <v>591</v>
      </c>
      <c r="C5863" s="1">
        <v>43300101</v>
      </c>
      <c r="D5863" t="s">
        <v>67</v>
      </c>
      <c r="H5863" t="str">
        <f t="shared" si="613"/>
        <v>08641790152</v>
      </c>
      <c r="I5863" t="str">
        <f t="shared" si="613"/>
        <v>08641790152</v>
      </c>
      <c r="K5863" t="str">
        <f>""</f>
        <v/>
      </c>
      <c r="M5863" t="s">
        <v>68</v>
      </c>
      <c r="N5863" t="str">
        <f t="shared" si="611"/>
        <v>FOR</v>
      </c>
      <c r="O5863" t="s">
        <v>69</v>
      </c>
      <c r="P5863" s="3" t="s">
        <v>75</v>
      </c>
      <c r="Q5863">
        <v>2015</v>
      </c>
      <c r="R5863" s="2">
        <v>42138</v>
      </c>
      <c r="S5863" s="2">
        <v>42174</v>
      </c>
      <c r="T5863" s="2">
        <v>42139</v>
      </c>
      <c r="U5863" s="2">
        <v>42199</v>
      </c>
      <c r="V5863" t="s">
        <v>71</v>
      </c>
      <c r="W5863" t="str">
        <f>"             F057474"</f>
        <v xml:space="preserve">             F057474</v>
      </c>
      <c r="X5863">
        <v>761.28</v>
      </c>
      <c r="Y5863">
        <v>0</v>
      </c>
      <c r="Z5863"/>
      <c r="AB5863"/>
      <c r="AC5863">
        <v>624</v>
      </c>
      <c r="AD5863">
        <v>203</v>
      </c>
      <c r="AE5863" s="1">
        <v>126672</v>
      </c>
      <c r="AF5863">
        <v>0</v>
      </c>
      <c r="AJ5863">
        <v>0</v>
      </c>
      <c r="AK5863">
        <v>0</v>
      </c>
      <c r="AL5863">
        <v>0</v>
      </c>
      <c r="AM5863">
        <v>0</v>
      </c>
      <c r="AN5863">
        <v>0</v>
      </c>
      <c r="AO5863">
        <v>0</v>
      </c>
      <c r="AP5863" s="2">
        <v>42746</v>
      </c>
      <c r="AQ5863" t="s">
        <v>72</v>
      </c>
      <c r="AR5863" t="s">
        <v>72</v>
      </c>
      <c r="AS5863">
        <v>206</v>
      </c>
      <c r="AT5863" s="4">
        <v>42402</v>
      </c>
      <c r="AU5863" t="s">
        <v>73</v>
      </c>
      <c r="AV5863">
        <v>206</v>
      </c>
      <c r="AW5863" s="4">
        <v>42402</v>
      </c>
      <c r="BD5863">
        <v>0</v>
      </c>
      <c r="BN5863" t="s">
        <v>74</v>
      </c>
    </row>
    <row r="5864" spans="1:66" hidden="1">
      <c r="A5864">
        <v>104009</v>
      </c>
      <c r="B5864" s="3" t="s">
        <v>591</v>
      </c>
      <c r="C5864" s="1">
        <v>43300101</v>
      </c>
      <c r="D5864" t="s">
        <v>67</v>
      </c>
      <c r="H5864" t="str">
        <f t="shared" si="613"/>
        <v>08641790152</v>
      </c>
      <c r="I5864" t="str">
        <f t="shared" si="613"/>
        <v>08641790152</v>
      </c>
      <c r="K5864" t="str">
        <f>""</f>
        <v/>
      </c>
      <c r="M5864" t="s">
        <v>68</v>
      </c>
      <c r="N5864" t="str">
        <f t="shared" si="611"/>
        <v>FOR</v>
      </c>
      <c r="O5864" t="s">
        <v>69</v>
      </c>
      <c r="P5864" s="3" t="s">
        <v>75</v>
      </c>
      <c r="Q5864">
        <v>2015</v>
      </c>
      <c r="R5864" s="2">
        <v>42138</v>
      </c>
      <c r="S5864" s="2">
        <v>42174</v>
      </c>
      <c r="T5864" s="2">
        <v>42139</v>
      </c>
      <c r="U5864" s="2">
        <v>42199</v>
      </c>
      <c r="V5864" t="s">
        <v>71</v>
      </c>
      <c r="W5864" t="str">
        <f>"             F057533"</f>
        <v xml:space="preserve">             F057533</v>
      </c>
      <c r="X5864">
        <v>274.5</v>
      </c>
      <c r="Y5864">
        <v>0</v>
      </c>
      <c r="Z5864"/>
      <c r="AB5864"/>
      <c r="AC5864">
        <v>225</v>
      </c>
      <c r="AD5864">
        <v>203</v>
      </c>
      <c r="AE5864" s="1">
        <v>45675</v>
      </c>
      <c r="AF5864">
        <v>0</v>
      </c>
      <c r="AJ5864">
        <v>0</v>
      </c>
      <c r="AK5864">
        <v>0</v>
      </c>
      <c r="AL5864">
        <v>0</v>
      </c>
      <c r="AM5864">
        <v>0</v>
      </c>
      <c r="AN5864">
        <v>0</v>
      </c>
      <c r="AO5864">
        <v>0</v>
      </c>
      <c r="AP5864" s="2">
        <v>42746</v>
      </c>
      <c r="AQ5864" t="s">
        <v>72</v>
      </c>
      <c r="AR5864" t="s">
        <v>72</v>
      </c>
      <c r="AS5864">
        <v>206</v>
      </c>
      <c r="AT5864" s="4">
        <v>42402</v>
      </c>
      <c r="AU5864" t="s">
        <v>73</v>
      </c>
      <c r="AV5864">
        <v>206</v>
      </c>
      <c r="AW5864" s="4">
        <v>42402</v>
      </c>
      <c r="BD5864">
        <v>0</v>
      </c>
      <c r="BN5864" t="s">
        <v>74</v>
      </c>
    </row>
    <row r="5865" spans="1:66" hidden="1">
      <c r="A5865">
        <v>104009</v>
      </c>
      <c r="B5865" s="3" t="s">
        <v>591</v>
      </c>
      <c r="C5865" s="1">
        <v>43300101</v>
      </c>
      <c r="D5865" t="s">
        <v>67</v>
      </c>
      <c r="H5865" t="str">
        <f t="shared" si="613"/>
        <v>08641790152</v>
      </c>
      <c r="I5865" t="str">
        <f t="shared" si="613"/>
        <v>08641790152</v>
      </c>
      <c r="K5865" t="str">
        <f>""</f>
        <v/>
      </c>
      <c r="M5865" t="s">
        <v>68</v>
      </c>
      <c r="N5865" t="str">
        <f t="shared" si="611"/>
        <v>FOR</v>
      </c>
      <c r="O5865" t="s">
        <v>69</v>
      </c>
      <c r="P5865" s="3" t="s">
        <v>75</v>
      </c>
      <c r="Q5865">
        <v>2015</v>
      </c>
      <c r="R5865" s="2">
        <v>42138</v>
      </c>
      <c r="S5865" s="2">
        <v>42174</v>
      </c>
      <c r="T5865" s="2">
        <v>42139</v>
      </c>
      <c r="U5865" s="2">
        <v>42199</v>
      </c>
      <c r="V5865" t="s">
        <v>71</v>
      </c>
      <c r="W5865" t="str">
        <f>"             F057662"</f>
        <v xml:space="preserve">             F057662</v>
      </c>
      <c r="X5865">
        <v>761.28</v>
      </c>
      <c r="Y5865">
        <v>0</v>
      </c>
      <c r="Z5865"/>
      <c r="AB5865"/>
      <c r="AC5865">
        <v>624</v>
      </c>
      <c r="AD5865">
        <v>203</v>
      </c>
      <c r="AE5865" s="1">
        <v>126672</v>
      </c>
      <c r="AF5865">
        <v>0</v>
      </c>
      <c r="AJ5865">
        <v>0</v>
      </c>
      <c r="AK5865">
        <v>0</v>
      </c>
      <c r="AL5865">
        <v>0</v>
      </c>
      <c r="AM5865">
        <v>0</v>
      </c>
      <c r="AN5865">
        <v>0</v>
      </c>
      <c r="AO5865">
        <v>0</v>
      </c>
      <c r="AP5865" s="2">
        <v>42746</v>
      </c>
      <c r="AQ5865" t="s">
        <v>72</v>
      </c>
      <c r="AR5865" t="s">
        <v>72</v>
      </c>
      <c r="AS5865">
        <v>206</v>
      </c>
      <c r="AT5865" s="4">
        <v>42402</v>
      </c>
      <c r="AU5865" t="s">
        <v>73</v>
      </c>
      <c r="AV5865">
        <v>206</v>
      </c>
      <c r="AW5865" s="4">
        <v>42402</v>
      </c>
      <c r="BD5865">
        <v>0</v>
      </c>
      <c r="BN5865" t="s">
        <v>74</v>
      </c>
    </row>
    <row r="5866" spans="1:66" hidden="1">
      <c r="A5866">
        <v>104009</v>
      </c>
      <c r="B5866" s="3" t="s">
        <v>591</v>
      </c>
      <c r="C5866" s="1">
        <v>43300101</v>
      </c>
      <c r="D5866" t="s">
        <v>67</v>
      </c>
      <c r="H5866" t="str">
        <f t="shared" si="613"/>
        <v>08641790152</v>
      </c>
      <c r="I5866" t="str">
        <f t="shared" si="613"/>
        <v>08641790152</v>
      </c>
      <c r="K5866" t="str">
        <f>""</f>
        <v/>
      </c>
      <c r="M5866" t="s">
        <v>68</v>
      </c>
      <c r="N5866" t="str">
        <f t="shared" si="611"/>
        <v>FOR</v>
      </c>
      <c r="O5866" t="s">
        <v>69</v>
      </c>
      <c r="P5866" s="3" t="s">
        <v>75</v>
      </c>
      <c r="Q5866">
        <v>2015</v>
      </c>
      <c r="R5866" s="2">
        <v>42139</v>
      </c>
      <c r="S5866" s="2">
        <v>42158</v>
      </c>
      <c r="T5866" s="2">
        <v>42140</v>
      </c>
      <c r="U5866" s="2">
        <v>42200</v>
      </c>
      <c r="V5866" t="s">
        <v>71</v>
      </c>
      <c r="W5866" t="str">
        <f>"             F058173"</f>
        <v xml:space="preserve">             F058173</v>
      </c>
      <c r="X5866">
        <v>292.8</v>
      </c>
      <c r="Y5866">
        <v>0</v>
      </c>
      <c r="Z5866"/>
      <c r="AB5866"/>
      <c r="AC5866">
        <v>240</v>
      </c>
      <c r="AD5866">
        <v>202</v>
      </c>
      <c r="AE5866" s="1">
        <v>48480</v>
      </c>
      <c r="AF5866">
        <v>0</v>
      </c>
      <c r="AJ5866">
        <v>0</v>
      </c>
      <c r="AK5866">
        <v>0</v>
      </c>
      <c r="AL5866">
        <v>0</v>
      </c>
      <c r="AM5866">
        <v>0</v>
      </c>
      <c r="AN5866">
        <v>0</v>
      </c>
      <c r="AO5866">
        <v>0</v>
      </c>
      <c r="AP5866" s="2">
        <v>42746</v>
      </c>
      <c r="AQ5866" t="s">
        <v>72</v>
      </c>
      <c r="AR5866" t="s">
        <v>72</v>
      </c>
      <c r="AS5866">
        <v>206</v>
      </c>
      <c r="AT5866" s="4">
        <v>42402</v>
      </c>
      <c r="AU5866" t="s">
        <v>73</v>
      </c>
      <c r="AV5866">
        <v>206</v>
      </c>
      <c r="AW5866" s="4">
        <v>42402</v>
      </c>
      <c r="BD5866">
        <v>0</v>
      </c>
      <c r="BN5866" t="s">
        <v>74</v>
      </c>
    </row>
    <row r="5867" spans="1:66" hidden="1">
      <c r="A5867">
        <v>104009</v>
      </c>
      <c r="B5867" s="3" t="s">
        <v>591</v>
      </c>
      <c r="C5867" s="1">
        <v>43300101</v>
      </c>
      <c r="D5867" t="s">
        <v>67</v>
      </c>
      <c r="H5867" t="str">
        <f t="shared" si="613"/>
        <v>08641790152</v>
      </c>
      <c r="I5867" t="str">
        <f t="shared" si="613"/>
        <v>08641790152</v>
      </c>
      <c r="K5867" t="str">
        <f>""</f>
        <v/>
      </c>
      <c r="M5867" t="s">
        <v>68</v>
      </c>
      <c r="N5867" t="str">
        <f t="shared" si="611"/>
        <v>FOR</v>
      </c>
      <c r="O5867" t="s">
        <v>69</v>
      </c>
      <c r="P5867" s="3" t="s">
        <v>75</v>
      </c>
      <c r="Q5867">
        <v>2015</v>
      </c>
      <c r="R5867" s="2">
        <v>42142</v>
      </c>
      <c r="S5867" s="2">
        <v>42160</v>
      </c>
      <c r="T5867" s="2">
        <v>42143</v>
      </c>
      <c r="U5867" s="2">
        <v>42203</v>
      </c>
      <c r="V5867" t="s">
        <v>71</v>
      </c>
      <c r="W5867" t="str">
        <f>"             F058714"</f>
        <v xml:space="preserve">             F058714</v>
      </c>
      <c r="X5867">
        <v>938.18</v>
      </c>
      <c r="Y5867">
        <v>0</v>
      </c>
      <c r="Z5867"/>
      <c r="AB5867"/>
      <c r="AC5867">
        <v>769</v>
      </c>
      <c r="AD5867">
        <v>199</v>
      </c>
      <c r="AE5867" s="1">
        <v>153031</v>
      </c>
      <c r="AF5867">
        <v>0</v>
      </c>
      <c r="AJ5867">
        <v>0</v>
      </c>
      <c r="AK5867">
        <v>0</v>
      </c>
      <c r="AL5867">
        <v>0</v>
      </c>
      <c r="AM5867">
        <v>0</v>
      </c>
      <c r="AN5867">
        <v>0</v>
      </c>
      <c r="AO5867">
        <v>0</v>
      </c>
      <c r="AP5867" s="2">
        <v>42746</v>
      </c>
      <c r="AQ5867" t="s">
        <v>72</v>
      </c>
      <c r="AR5867" t="s">
        <v>72</v>
      </c>
      <c r="AS5867">
        <v>206</v>
      </c>
      <c r="AT5867" s="4">
        <v>42402</v>
      </c>
      <c r="AU5867" t="s">
        <v>73</v>
      </c>
      <c r="AV5867">
        <v>206</v>
      </c>
      <c r="AW5867" s="4">
        <v>42402</v>
      </c>
      <c r="BD5867">
        <v>0</v>
      </c>
      <c r="BN5867" t="s">
        <v>74</v>
      </c>
    </row>
    <row r="5868" spans="1:66" hidden="1">
      <c r="A5868">
        <v>104009</v>
      </c>
      <c r="B5868" s="3" t="s">
        <v>591</v>
      </c>
      <c r="C5868" s="1">
        <v>43300101</v>
      </c>
      <c r="D5868" t="s">
        <v>67</v>
      </c>
      <c r="H5868" t="str">
        <f t="shared" si="613"/>
        <v>08641790152</v>
      </c>
      <c r="I5868" t="str">
        <f t="shared" si="613"/>
        <v>08641790152</v>
      </c>
      <c r="K5868" t="str">
        <f>""</f>
        <v/>
      </c>
      <c r="M5868" t="s">
        <v>68</v>
      </c>
      <c r="N5868" t="str">
        <f t="shared" si="611"/>
        <v>FOR</v>
      </c>
      <c r="O5868" t="s">
        <v>69</v>
      </c>
      <c r="P5868" s="3" t="s">
        <v>75</v>
      </c>
      <c r="Q5868">
        <v>2015</v>
      </c>
      <c r="R5868" s="2">
        <v>42142</v>
      </c>
      <c r="S5868" s="2">
        <v>42160</v>
      </c>
      <c r="T5868" s="2">
        <v>42143</v>
      </c>
      <c r="U5868" s="2">
        <v>42203</v>
      </c>
      <c r="V5868" t="s">
        <v>71</v>
      </c>
      <c r="W5868" t="str">
        <f>"             F058721"</f>
        <v xml:space="preserve">             F058721</v>
      </c>
      <c r="X5868" s="1">
        <v>1076.04</v>
      </c>
      <c r="Y5868">
        <v>0</v>
      </c>
      <c r="Z5868"/>
      <c r="AB5868"/>
      <c r="AC5868">
        <v>882</v>
      </c>
      <c r="AD5868">
        <v>199</v>
      </c>
      <c r="AE5868" s="1">
        <v>175518</v>
      </c>
      <c r="AF5868">
        <v>0</v>
      </c>
      <c r="AJ5868">
        <v>0</v>
      </c>
      <c r="AK5868">
        <v>0</v>
      </c>
      <c r="AL5868">
        <v>0</v>
      </c>
      <c r="AM5868">
        <v>0</v>
      </c>
      <c r="AN5868">
        <v>0</v>
      </c>
      <c r="AO5868">
        <v>0</v>
      </c>
      <c r="AP5868" s="2">
        <v>42746</v>
      </c>
      <c r="AQ5868" t="s">
        <v>72</v>
      </c>
      <c r="AR5868" t="s">
        <v>72</v>
      </c>
      <c r="AS5868">
        <v>206</v>
      </c>
      <c r="AT5868" s="4">
        <v>42402</v>
      </c>
      <c r="AU5868" t="s">
        <v>73</v>
      </c>
      <c r="AV5868">
        <v>206</v>
      </c>
      <c r="AW5868" s="4">
        <v>42402</v>
      </c>
      <c r="BD5868">
        <v>0</v>
      </c>
      <c r="BN5868" t="s">
        <v>74</v>
      </c>
    </row>
    <row r="5869" spans="1:66" hidden="1">
      <c r="A5869">
        <v>104009</v>
      </c>
      <c r="B5869" s="3" t="s">
        <v>591</v>
      </c>
      <c r="C5869" s="1">
        <v>43300101</v>
      </c>
      <c r="D5869" t="s">
        <v>67</v>
      </c>
      <c r="H5869" t="str">
        <f t="shared" ref="H5869:I5888" si="614">"08641790152"</f>
        <v>08641790152</v>
      </c>
      <c r="I5869" t="str">
        <f t="shared" si="614"/>
        <v>08641790152</v>
      </c>
      <c r="K5869" t="str">
        <f>""</f>
        <v/>
      </c>
      <c r="M5869" t="s">
        <v>68</v>
      </c>
      <c r="N5869" t="str">
        <f t="shared" si="611"/>
        <v>FOR</v>
      </c>
      <c r="O5869" t="s">
        <v>69</v>
      </c>
      <c r="P5869" s="3" t="s">
        <v>75</v>
      </c>
      <c r="Q5869">
        <v>2015</v>
      </c>
      <c r="R5869" s="2">
        <v>42142</v>
      </c>
      <c r="S5869" s="2">
        <v>42158</v>
      </c>
      <c r="T5869" s="2">
        <v>42143</v>
      </c>
      <c r="U5869" s="2">
        <v>42203</v>
      </c>
      <c r="V5869" t="s">
        <v>71</v>
      </c>
      <c r="W5869" t="str">
        <f>"             F058867"</f>
        <v xml:space="preserve">             F058867</v>
      </c>
      <c r="X5869">
        <v>311.10000000000002</v>
      </c>
      <c r="Y5869">
        <v>0</v>
      </c>
      <c r="Z5869"/>
      <c r="AB5869"/>
      <c r="AC5869">
        <v>255</v>
      </c>
      <c r="AD5869">
        <v>199</v>
      </c>
      <c r="AE5869" s="1">
        <v>50745</v>
      </c>
      <c r="AF5869">
        <v>0</v>
      </c>
      <c r="AJ5869">
        <v>0</v>
      </c>
      <c r="AK5869">
        <v>0</v>
      </c>
      <c r="AL5869">
        <v>0</v>
      </c>
      <c r="AM5869">
        <v>0</v>
      </c>
      <c r="AN5869">
        <v>0</v>
      </c>
      <c r="AO5869">
        <v>0</v>
      </c>
      <c r="AP5869" s="2">
        <v>42746</v>
      </c>
      <c r="AQ5869" t="s">
        <v>72</v>
      </c>
      <c r="AR5869" t="s">
        <v>72</v>
      </c>
      <c r="AS5869">
        <v>206</v>
      </c>
      <c r="AT5869" s="4">
        <v>42402</v>
      </c>
      <c r="AU5869" t="s">
        <v>73</v>
      </c>
      <c r="AV5869">
        <v>206</v>
      </c>
      <c r="AW5869" s="4">
        <v>42402</v>
      </c>
      <c r="BD5869">
        <v>0</v>
      </c>
      <c r="BN5869" t="s">
        <v>74</v>
      </c>
    </row>
    <row r="5870" spans="1:66" hidden="1">
      <c r="A5870">
        <v>104009</v>
      </c>
      <c r="B5870" s="3" t="s">
        <v>591</v>
      </c>
      <c r="C5870" s="1">
        <v>43300101</v>
      </c>
      <c r="D5870" t="s">
        <v>67</v>
      </c>
      <c r="H5870" t="str">
        <f t="shared" si="614"/>
        <v>08641790152</v>
      </c>
      <c r="I5870" t="str">
        <f t="shared" si="614"/>
        <v>08641790152</v>
      </c>
      <c r="K5870" t="str">
        <f>""</f>
        <v/>
      </c>
      <c r="M5870" t="s">
        <v>68</v>
      </c>
      <c r="N5870" t="str">
        <f t="shared" si="611"/>
        <v>FOR</v>
      </c>
      <c r="O5870" t="s">
        <v>69</v>
      </c>
      <c r="P5870" s="3" t="s">
        <v>75</v>
      </c>
      <c r="Q5870">
        <v>2015</v>
      </c>
      <c r="R5870" s="2">
        <v>42143</v>
      </c>
      <c r="S5870" s="2">
        <v>42158</v>
      </c>
      <c r="T5870" s="2">
        <v>42144</v>
      </c>
      <c r="U5870" s="2">
        <v>42204</v>
      </c>
      <c r="V5870" t="s">
        <v>71</v>
      </c>
      <c r="W5870" t="str">
        <f>"             F059213"</f>
        <v xml:space="preserve">             F059213</v>
      </c>
      <c r="X5870">
        <v>674.05</v>
      </c>
      <c r="Y5870">
        <v>0</v>
      </c>
      <c r="Z5870"/>
      <c r="AB5870"/>
      <c r="AC5870">
        <v>552.5</v>
      </c>
      <c r="AD5870">
        <v>198</v>
      </c>
      <c r="AE5870" s="1">
        <v>109395</v>
      </c>
      <c r="AF5870">
        <v>0</v>
      </c>
      <c r="AJ5870">
        <v>0</v>
      </c>
      <c r="AK5870">
        <v>0</v>
      </c>
      <c r="AL5870">
        <v>0</v>
      </c>
      <c r="AM5870">
        <v>0</v>
      </c>
      <c r="AN5870">
        <v>0</v>
      </c>
      <c r="AO5870">
        <v>0</v>
      </c>
      <c r="AP5870" s="2">
        <v>42746</v>
      </c>
      <c r="AQ5870" t="s">
        <v>72</v>
      </c>
      <c r="AR5870" t="s">
        <v>72</v>
      </c>
      <c r="AS5870">
        <v>206</v>
      </c>
      <c r="AT5870" s="4">
        <v>42402</v>
      </c>
      <c r="AU5870" t="s">
        <v>73</v>
      </c>
      <c r="AV5870">
        <v>206</v>
      </c>
      <c r="AW5870" s="4">
        <v>42402</v>
      </c>
      <c r="BD5870">
        <v>0</v>
      </c>
      <c r="BN5870" t="s">
        <v>74</v>
      </c>
    </row>
    <row r="5871" spans="1:66" hidden="1">
      <c r="A5871">
        <v>104009</v>
      </c>
      <c r="B5871" s="3" t="s">
        <v>591</v>
      </c>
      <c r="C5871" s="1">
        <v>43300101</v>
      </c>
      <c r="D5871" t="s">
        <v>67</v>
      </c>
      <c r="H5871" t="str">
        <f t="shared" si="614"/>
        <v>08641790152</v>
      </c>
      <c r="I5871" t="str">
        <f t="shared" si="614"/>
        <v>08641790152</v>
      </c>
      <c r="K5871" t="str">
        <f>""</f>
        <v/>
      </c>
      <c r="M5871" t="s">
        <v>68</v>
      </c>
      <c r="N5871" t="str">
        <f t="shared" si="611"/>
        <v>FOR</v>
      </c>
      <c r="O5871" t="s">
        <v>69</v>
      </c>
      <c r="P5871" s="3" t="s">
        <v>75</v>
      </c>
      <c r="Q5871">
        <v>2015</v>
      </c>
      <c r="R5871" s="2">
        <v>42143</v>
      </c>
      <c r="S5871" s="2">
        <v>42158</v>
      </c>
      <c r="T5871" s="2">
        <v>42144</v>
      </c>
      <c r="U5871" s="2">
        <v>42204</v>
      </c>
      <c r="V5871" t="s">
        <v>71</v>
      </c>
      <c r="W5871" t="str">
        <f>"             F059538"</f>
        <v xml:space="preserve">             F059538</v>
      </c>
      <c r="X5871">
        <v>48.8</v>
      </c>
      <c r="Y5871">
        <v>0</v>
      </c>
      <c r="Z5871"/>
      <c r="AB5871"/>
      <c r="AC5871">
        <v>40</v>
      </c>
      <c r="AD5871">
        <v>198</v>
      </c>
      <c r="AE5871" s="1">
        <v>7920</v>
      </c>
      <c r="AF5871">
        <v>0</v>
      </c>
      <c r="AJ5871">
        <v>0</v>
      </c>
      <c r="AK5871">
        <v>0</v>
      </c>
      <c r="AL5871">
        <v>0</v>
      </c>
      <c r="AM5871">
        <v>0</v>
      </c>
      <c r="AN5871">
        <v>0</v>
      </c>
      <c r="AO5871">
        <v>0</v>
      </c>
      <c r="AP5871" s="2">
        <v>42746</v>
      </c>
      <c r="AQ5871" t="s">
        <v>72</v>
      </c>
      <c r="AR5871" t="s">
        <v>72</v>
      </c>
      <c r="AS5871">
        <v>206</v>
      </c>
      <c r="AT5871" s="4">
        <v>42402</v>
      </c>
      <c r="AU5871" t="s">
        <v>73</v>
      </c>
      <c r="AV5871">
        <v>206</v>
      </c>
      <c r="AW5871" s="4">
        <v>42402</v>
      </c>
      <c r="BD5871">
        <v>0</v>
      </c>
      <c r="BN5871" t="s">
        <v>74</v>
      </c>
    </row>
    <row r="5872" spans="1:66" hidden="1">
      <c r="A5872">
        <v>104009</v>
      </c>
      <c r="B5872" s="3" t="s">
        <v>591</v>
      </c>
      <c r="C5872" s="1">
        <v>43300101</v>
      </c>
      <c r="D5872" t="s">
        <v>67</v>
      </c>
      <c r="H5872" t="str">
        <f t="shared" si="614"/>
        <v>08641790152</v>
      </c>
      <c r="I5872" t="str">
        <f t="shared" si="614"/>
        <v>08641790152</v>
      </c>
      <c r="K5872" t="str">
        <f>""</f>
        <v/>
      </c>
      <c r="M5872" t="s">
        <v>68</v>
      </c>
      <c r="N5872" t="str">
        <f t="shared" si="611"/>
        <v>FOR</v>
      </c>
      <c r="O5872" t="s">
        <v>69</v>
      </c>
      <c r="P5872" s="3" t="s">
        <v>75</v>
      </c>
      <c r="Q5872">
        <v>2015</v>
      </c>
      <c r="R5872" s="2">
        <v>42145</v>
      </c>
      <c r="S5872" s="2">
        <v>42160</v>
      </c>
      <c r="T5872" s="2">
        <v>42146</v>
      </c>
      <c r="U5872" s="2">
        <v>42206</v>
      </c>
      <c r="V5872" t="s">
        <v>71</v>
      </c>
      <c r="W5872" t="str">
        <f>"             F060493"</f>
        <v xml:space="preserve">             F060493</v>
      </c>
      <c r="X5872">
        <v>146.4</v>
      </c>
      <c r="Y5872">
        <v>0</v>
      </c>
      <c r="Z5872"/>
      <c r="AB5872"/>
      <c r="AC5872">
        <v>120</v>
      </c>
      <c r="AD5872">
        <v>196</v>
      </c>
      <c r="AE5872" s="1">
        <v>23520</v>
      </c>
      <c r="AF5872">
        <v>0</v>
      </c>
      <c r="AJ5872">
        <v>0</v>
      </c>
      <c r="AK5872">
        <v>0</v>
      </c>
      <c r="AL5872">
        <v>0</v>
      </c>
      <c r="AM5872">
        <v>0</v>
      </c>
      <c r="AN5872">
        <v>0</v>
      </c>
      <c r="AO5872">
        <v>0</v>
      </c>
      <c r="AP5872" s="2">
        <v>42746</v>
      </c>
      <c r="AQ5872" t="s">
        <v>72</v>
      </c>
      <c r="AR5872" t="s">
        <v>72</v>
      </c>
      <c r="AS5872">
        <v>206</v>
      </c>
      <c r="AT5872" s="4">
        <v>42402</v>
      </c>
      <c r="AU5872" t="s">
        <v>73</v>
      </c>
      <c r="AV5872">
        <v>206</v>
      </c>
      <c r="AW5872" s="4">
        <v>42402</v>
      </c>
      <c r="BD5872">
        <v>0</v>
      </c>
      <c r="BN5872" t="s">
        <v>74</v>
      </c>
    </row>
    <row r="5873" spans="1:66" hidden="1">
      <c r="A5873">
        <v>104009</v>
      </c>
      <c r="B5873" s="3" t="s">
        <v>591</v>
      </c>
      <c r="C5873" s="1">
        <v>43300101</v>
      </c>
      <c r="D5873" t="s">
        <v>67</v>
      </c>
      <c r="H5873" t="str">
        <f t="shared" si="614"/>
        <v>08641790152</v>
      </c>
      <c r="I5873" t="str">
        <f t="shared" si="614"/>
        <v>08641790152</v>
      </c>
      <c r="K5873" t="str">
        <f>""</f>
        <v/>
      </c>
      <c r="M5873" t="s">
        <v>68</v>
      </c>
      <c r="N5873" t="str">
        <f t="shared" si="611"/>
        <v>FOR</v>
      </c>
      <c r="O5873" t="s">
        <v>69</v>
      </c>
      <c r="P5873" s="3" t="s">
        <v>75</v>
      </c>
      <c r="Q5873">
        <v>2015</v>
      </c>
      <c r="R5873" s="2">
        <v>42145</v>
      </c>
      <c r="S5873" s="2">
        <v>42160</v>
      </c>
      <c r="T5873" s="2">
        <v>42146</v>
      </c>
      <c r="U5873" s="2">
        <v>42206</v>
      </c>
      <c r="V5873" t="s">
        <v>71</v>
      </c>
      <c r="W5873" t="str">
        <f>"             F060634"</f>
        <v xml:space="preserve">             F060634</v>
      </c>
      <c r="X5873" s="1">
        <v>2488.8000000000002</v>
      </c>
      <c r="Y5873">
        <v>0</v>
      </c>
      <c r="Z5873"/>
      <c r="AB5873"/>
      <c r="AC5873" s="1">
        <v>2040</v>
      </c>
      <c r="AD5873">
        <v>196</v>
      </c>
      <c r="AE5873" s="1">
        <v>399840</v>
      </c>
      <c r="AF5873">
        <v>0</v>
      </c>
      <c r="AJ5873">
        <v>0</v>
      </c>
      <c r="AK5873">
        <v>0</v>
      </c>
      <c r="AL5873">
        <v>0</v>
      </c>
      <c r="AM5873">
        <v>0</v>
      </c>
      <c r="AN5873">
        <v>0</v>
      </c>
      <c r="AO5873">
        <v>0</v>
      </c>
      <c r="AP5873" s="2">
        <v>42746</v>
      </c>
      <c r="AQ5873" t="s">
        <v>72</v>
      </c>
      <c r="AR5873" t="s">
        <v>72</v>
      </c>
      <c r="AS5873">
        <v>206</v>
      </c>
      <c r="AT5873" s="4">
        <v>42402</v>
      </c>
      <c r="AU5873" t="s">
        <v>73</v>
      </c>
      <c r="AV5873">
        <v>206</v>
      </c>
      <c r="AW5873" s="4">
        <v>42402</v>
      </c>
      <c r="BD5873">
        <v>0</v>
      </c>
      <c r="BN5873" t="s">
        <v>74</v>
      </c>
    </row>
    <row r="5874" spans="1:66" hidden="1">
      <c r="A5874">
        <v>104009</v>
      </c>
      <c r="B5874" s="3" t="s">
        <v>591</v>
      </c>
      <c r="C5874" s="1">
        <v>43300101</v>
      </c>
      <c r="D5874" t="s">
        <v>67</v>
      </c>
      <c r="H5874" t="str">
        <f t="shared" si="614"/>
        <v>08641790152</v>
      </c>
      <c r="I5874" t="str">
        <f t="shared" si="614"/>
        <v>08641790152</v>
      </c>
      <c r="K5874" t="str">
        <f>""</f>
        <v/>
      </c>
      <c r="M5874" t="s">
        <v>68</v>
      </c>
      <c r="N5874" t="str">
        <f t="shared" si="611"/>
        <v>FOR</v>
      </c>
      <c r="O5874" t="s">
        <v>69</v>
      </c>
      <c r="P5874" s="3" t="s">
        <v>75</v>
      </c>
      <c r="Q5874">
        <v>2015</v>
      </c>
      <c r="R5874" s="2">
        <v>42151</v>
      </c>
      <c r="S5874" s="2">
        <v>42160</v>
      </c>
      <c r="T5874" s="2">
        <v>42152</v>
      </c>
      <c r="U5874" s="2">
        <v>42212</v>
      </c>
      <c r="V5874" t="s">
        <v>71</v>
      </c>
      <c r="W5874" t="str">
        <f>"             F062935"</f>
        <v xml:space="preserve">             F062935</v>
      </c>
      <c r="X5874" s="1">
        <v>1737.03</v>
      </c>
      <c r="Y5874">
        <v>0</v>
      </c>
      <c r="Z5874"/>
      <c r="AB5874"/>
      <c r="AC5874" s="1">
        <v>1423.8</v>
      </c>
      <c r="AD5874">
        <v>190</v>
      </c>
      <c r="AE5874" s="1">
        <v>270522</v>
      </c>
      <c r="AF5874">
        <v>0</v>
      </c>
      <c r="AJ5874">
        <v>0</v>
      </c>
      <c r="AK5874">
        <v>0</v>
      </c>
      <c r="AL5874">
        <v>0</v>
      </c>
      <c r="AM5874">
        <v>0</v>
      </c>
      <c r="AN5874">
        <v>0</v>
      </c>
      <c r="AO5874">
        <v>0</v>
      </c>
      <c r="AP5874" s="2">
        <v>42746</v>
      </c>
      <c r="AQ5874" t="s">
        <v>72</v>
      </c>
      <c r="AR5874" t="s">
        <v>72</v>
      </c>
      <c r="AS5874">
        <v>206</v>
      </c>
      <c r="AT5874" s="4">
        <v>42402</v>
      </c>
      <c r="AU5874" t="s">
        <v>73</v>
      </c>
      <c r="AV5874">
        <v>206</v>
      </c>
      <c r="AW5874" s="4">
        <v>42402</v>
      </c>
      <c r="BD5874">
        <v>0</v>
      </c>
      <c r="BN5874" t="s">
        <v>74</v>
      </c>
    </row>
    <row r="5875" spans="1:66" hidden="1">
      <c r="A5875">
        <v>104009</v>
      </c>
      <c r="B5875" s="3" t="s">
        <v>591</v>
      </c>
      <c r="C5875" s="1">
        <v>43300101</v>
      </c>
      <c r="D5875" t="s">
        <v>67</v>
      </c>
      <c r="H5875" t="str">
        <f t="shared" si="614"/>
        <v>08641790152</v>
      </c>
      <c r="I5875" t="str">
        <f t="shared" si="614"/>
        <v>08641790152</v>
      </c>
      <c r="K5875" t="str">
        <f>""</f>
        <v/>
      </c>
      <c r="M5875" t="s">
        <v>68</v>
      </c>
      <c r="N5875" t="str">
        <f t="shared" si="611"/>
        <v>FOR</v>
      </c>
      <c r="O5875" t="s">
        <v>69</v>
      </c>
      <c r="P5875" s="3" t="s">
        <v>75</v>
      </c>
      <c r="Q5875">
        <v>2015</v>
      </c>
      <c r="R5875" s="2">
        <v>42152</v>
      </c>
      <c r="S5875" s="2">
        <v>42160</v>
      </c>
      <c r="T5875" s="2">
        <v>42153</v>
      </c>
      <c r="U5875" s="2">
        <v>42213</v>
      </c>
      <c r="V5875" t="s">
        <v>71</v>
      </c>
      <c r="W5875" t="str">
        <f>"             F063656"</f>
        <v xml:space="preserve">             F063656</v>
      </c>
      <c r="X5875">
        <v>185.44</v>
      </c>
      <c r="Y5875">
        <v>0</v>
      </c>
      <c r="Z5875"/>
      <c r="AB5875"/>
      <c r="AC5875">
        <v>152</v>
      </c>
      <c r="AD5875">
        <v>189</v>
      </c>
      <c r="AE5875" s="1">
        <v>28728</v>
      </c>
      <c r="AF5875">
        <v>0</v>
      </c>
      <c r="AJ5875">
        <v>0</v>
      </c>
      <c r="AK5875">
        <v>0</v>
      </c>
      <c r="AL5875">
        <v>0</v>
      </c>
      <c r="AM5875">
        <v>0</v>
      </c>
      <c r="AN5875">
        <v>0</v>
      </c>
      <c r="AO5875">
        <v>0</v>
      </c>
      <c r="AP5875" s="2">
        <v>42746</v>
      </c>
      <c r="AQ5875" t="s">
        <v>72</v>
      </c>
      <c r="AR5875" t="s">
        <v>72</v>
      </c>
      <c r="AS5875">
        <v>206</v>
      </c>
      <c r="AT5875" s="4">
        <v>42402</v>
      </c>
      <c r="AU5875" t="s">
        <v>73</v>
      </c>
      <c r="AV5875">
        <v>206</v>
      </c>
      <c r="AW5875" s="4">
        <v>42402</v>
      </c>
      <c r="BD5875">
        <v>0</v>
      </c>
      <c r="BN5875" t="s">
        <v>74</v>
      </c>
    </row>
    <row r="5876" spans="1:66" hidden="1">
      <c r="A5876">
        <v>104009</v>
      </c>
      <c r="B5876" s="3" t="s">
        <v>591</v>
      </c>
      <c r="C5876" s="1">
        <v>43300101</v>
      </c>
      <c r="D5876" t="s">
        <v>67</v>
      </c>
      <c r="H5876" t="str">
        <f t="shared" si="614"/>
        <v>08641790152</v>
      </c>
      <c r="I5876" t="str">
        <f t="shared" si="614"/>
        <v>08641790152</v>
      </c>
      <c r="K5876" t="str">
        <f>""</f>
        <v/>
      </c>
      <c r="M5876" t="s">
        <v>68</v>
      </c>
      <c r="N5876" t="str">
        <f t="shared" si="611"/>
        <v>FOR</v>
      </c>
      <c r="O5876" t="s">
        <v>69</v>
      </c>
      <c r="P5876" s="3" t="s">
        <v>75</v>
      </c>
      <c r="Q5876">
        <v>2015</v>
      </c>
      <c r="R5876" s="2">
        <v>42152</v>
      </c>
      <c r="S5876" s="2">
        <v>42160</v>
      </c>
      <c r="T5876" s="2">
        <v>42153</v>
      </c>
      <c r="U5876" s="2">
        <v>42213</v>
      </c>
      <c r="V5876" t="s">
        <v>71</v>
      </c>
      <c r="W5876" t="str">
        <f>"             F063696"</f>
        <v xml:space="preserve">             F063696</v>
      </c>
      <c r="X5876" s="1">
        <v>1405.44</v>
      </c>
      <c r="Y5876">
        <v>0</v>
      </c>
      <c r="Z5876"/>
      <c r="AB5876"/>
      <c r="AC5876" s="1">
        <v>1152</v>
      </c>
      <c r="AD5876">
        <v>189</v>
      </c>
      <c r="AE5876" s="1">
        <v>217728</v>
      </c>
      <c r="AF5876">
        <v>0</v>
      </c>
      <c r="AJ5876">
        <v>0</v>
      </c>
      <c r="AK5876">
        <v>0</v>
      </c>
      <c r="AL5876">
        <v>0</v>
      </c>
      <c r="AM5876">
        <v>0</v>
      </c>
      <c r="AN5876">
        <v>0</v>
      </c>
      <c r="AO5876">
        <v>0</v>
      </c>
      <c r="AP5876" s="2">
        <v>42746</v>
      </c>
      <c r="AQ5876" t="s">
        <v>72</v>
      </c>
      <c r="AR5876" t="s">
        <v>72</v>
      </c>
      <c r="AS5876">
        <v>206</v>
      </c>
      <c r="AT5876" s="4">
        <v>42402</v>
      </c>
      <c r="AU5876" t="s">
        <v>73</v>
      </c>
      <c r="AV5876">
        <v>206</v>
      </c>
      <c r="AW5876" s="4">
        <v>42402</v>
      </c>
      <c r="BD5876">
        <v>0</v>
      </c>
      <c r="BN5876" t="s">
        <v>74</v>
      </c>
    </row>
    <row r="5877" spans="1:66" hidden="1">
      <c r="A5877">
        <v>104009</v>
      </c>
      <c r="B5877" s="3" t="s">
        <v>591</v>
      </c>
      <c r="C5877" s="1">
        <v>43300101</v>
      </c>
      <c r="D5877" t="s">
        <v>67</v>
      </c>
      <c r="H5877" t="str">
        <f t="shared" si="614"/>
        <v>08641790152</v>
      </c>
      <c r="I5877" t="str">
        <f t="shared" si="614"/>
        <v>08641790152</v>
      </c>
      <c r="K5877" t="str">
        <f>""</f>
        <v/>
      </c>
      <c r="M5877" t="s">
        <v>68</v>
      </c>
      <c r="N5877" t="str">
        <f t="shared" si="611"/>
        <v>FOR</v>
      </c>
      <c r="O5877" t="s">
        <v>69</v>
      </c>
      <c r="P5877" s="3" t="s">
        <v>75</v>
      </c>
      <c r="Q5877">
        <v>2015</v>
      </c>
      <c r="R5877" s="2">
        <v>42156</v>
      </c>
      <c r="S5877" s="2">
        <v>42158</v>
      </c>
      <c r="T5877" s="2">
        <v>42157</v>
      </c>
      <c r="U5877" s="2">
        <v>42217</v>
      </c>
      <c r="V5877" t="s">
        <v>71</v>
      </c>
      <c r="W5877" t="str">
        <f>"             F064747"</f>
        <v xml:space="preserve">             F064747</v>
      </c>
      <c r="X5877">
        <v>866.2</v>
      </c>
      <c r="Y5877">
        <v>0</v>
      </c>
      <c r="Z5877"/>
      <c r="AB5877"/>
      <c r="AC5877">
        <v>710</v>
      </c>
      <c r="AD5877">
        <v>199</v>
      </c>
      <c r="AE5877" s="1">
        <v>141290</v>
      </c>
      <c r="AF5877">
        <v>0</v>
      </c>
      <c r="AJ5877">
        <v>0</v>
      </c>
      <c r="AK5877">
        <v>0</v>
      </c>
      <c r="AL5877">
        <v>0</v>
      </c>
      <c r="AM5877">
        <v>0</v>
      </c>
      <c r="AN5877">
        <v>0</v>
      </c>
      <c r="AO5877">
        <v>0</v>
      </c>
      <c r="AP5877" s="2">
        <v>42746</v>
      </c>
      <c r="AQ5877" t="s">
        <v>72</v>
      </c>
      <c r="AR5877" t="s">
        <v>72</v>
      </c>
      <c r="AS5877">
        <v>454</v>
      </c>
      <c r="AT5877" s="4">
        <v>42416</v>
      </c>
      <c r="AU5877" t="s">
        <v>73</v>
      </c>
      <c r="AV5877">
        <v>454</v>
      </c>
      <c r="AW5877" s="4">
        <v>42416</v>
      </c>
      <c r="BD5877">
        <v>0</v>
      </c>
      <c r="BN5877" t="s">
        <v>74</v>
      </c>
    </row>
    <row r="5878" spans="1:66" hidden="1">
      <c r="A5878">
        <v>104009</v>
      </c>
      <c r="B5878" s="3" t="s">
        <v>591</v>
      </c>
      <c r="C5878" s="1">
        <v>43300101</v>
      </c>
      <c r="D5878" t="s">
        <v>67</v>
      </c>
      <c r="H5878" t="str">
        <f t="shared" si="614"/>
        <v>08641790152</v>
      </c>
      <c r="I5878" t="str">
        <f t="shared" si="614"/>
        <v>08641790152</v>
      </c>
      <c r="K5878" t="str">
        <f>""</f>
        <v/>
      </c>
      <c r="M5878" t="s">
        <v>68</v>
      </c>
      <c r="N5878" t="str">
        <f t="shared" si="611"/>
        <v>FOR</v>
      </c>
      <c r="O5878" t="s">
        <v>69</v>
      </c>
      <c r="P5878" s="3" t="s">
        <v>75</v>
      </c>
      <c r="Q5878">
        <v>2015</v>
      </c>
      <c r="R5878" s="2">
        <v>42156</v>
      </c>
      <c r="S5878" s="2">
        <v>42158</v>
      </c>
      <c r="T5878" s="2">
        <v>42157</v>
      </c>
      <c r="U5878" s="2">
        <v>42217</v>
      </c>
      <c r="V5878" t="s">
        <v>71</v>
      </c>
      <c r="W5878" t="str">
        <f>"             F064773"</f>
        <v xml:space="preserve">             F064773</v>
      </c>
      <c r="X5878" s="1">
        <v>1760.46</v>
      </c>
      <c r="Y5878">
        <v>0</v>
      </c>
      <c r="Z5878"/>
      <c r="AB5878"/>
      <c r="AC5878" s="1">
        <v>1443</v>
      </c>
      <c r="AD5878">
        <v>199</v>
      </c>
      <c r="AE5878" s="1">
        <v>287157</v>
      </c>
      <c r="AF5878">
        <v>0</v>
      </c>
      <c r="AJ5878">
        <v>0</v>
      </c>
      <c r="AK5878">
        <v>0</v>
      </c>
      <c r="AL5878">
        <v>0</v>
      </c>
      <c r="AM5878">
        <v>0</v>
      </c>
      <c r="AN5878">
        <v>0</v>
      </c>
      <c r="AO5878">
        <v>0</v>
      </c>
      <c r="AP5878" s="2">
        <v>42746</v>
      </c>
      <c r="AQ5878" t="s">
        <v>72</v>
      </c>
      <c r="AR5878" t="s">
        <v>72</v>
      </c>
      <c r="AS5878">
        <v>454</v>
      </c>
      <c r="AT5878" s="4">
        <v>42416</v>
      </c>
      <c r="AU5878" t="s">
        <v>73</v>
      </c>
      <c r="AV5878">
        <v>454</v>
      </c>
      <c r="AW5878" s="4">
        <v>42416</v>
      </c>
      <c r="BD5878">
        <v>0</v>
      </c>
      <c r="BN5878" t="s">
        <v>74</v>
      </c>
    </row>
    <row r="5879" spans="1:66" hidden="1">
      <c r="A5879">
        <v>104009</v>
      </c>
      <c r="B5879" s="3" t="s">
        <v>591</v>
      </c>
      <c r="C5879" s="1">
        <v>43300101</v>
      </c>
      <c r="D5879" t="s">
        <v>67</v>
      </c>
      <c r="H5879" t="str">
        <f t="shared" si="614"/>
        <v>08641790152</v>
      </c>
      <c r="I5879" t="str">
        <f t="shared" si="614"/>
        <v>08641790152</v>
      </c>
      <c r="K5879" t="str">
        <f>""</f>
        <v/>
      </c>
      <c r="M5879" t="s">
        <v>68</v>
      </c>
      <c r="N5879" t="str">
        <f t="shared" si="611"/>
        <v>FOR</v>
      </c>
      <c r="O5879" t="s">
        <v>69</v>
      </c>
      <c r="P5879" s="3" t="s">
        <v>75</v>
      </c>
      <c r="Q5879">
        <v>2015</v>
      </c>
      <c r="R5879" s="2">
        <v>42156</v>
      </c>
      <c r="S5879" s="2">
        <v>42158</v>
      </c>
      <c r="T5879" s="2">
        <v>42157</v>
      </c>
      <c r="U5879" s="2">
        <v>42217</v>
      </c>
      <c r="V5879" t="s">
        <v>71</v>
      </c>
      <c r="W5879" t="str">
        <f>"             F064804"</f>
        <v xml:space="preserve">             F064804</v>
      </c>
      <c r="X5879" s="1">
        <v>3098.8</v>
      </c>
      <c r="Y5879">
        <v>0</v>
      </c>
      <c r="Z5879"/>
      <c r="AB5879"/>
      <c r="AC5879" s="1">
        <v>2540</v>
      </c>
      <c r="AD5879">
        <v>199</v>
      </c>
      <c r="AE5879" s="1">
        <v>505460</v>
      </c>
      <c r="AF5879">
        <v>0</v>
      </c>
      <c r="AJ5879">
        <v>0</v>
      </c>
      <c r="AK5879">
        <v>0</v>
      </c>
      <c r="AL5879">
        <v>0</v>
      </c>
      <c r="AM5879">
        <v>0</v>
      </c>
      <c r="AN5879">
        <v>0</v>
      </c>
      <c r="AO5879">
        <v>0</v>
      </c>
      <c r="AP5879" s="2">
        <v>42746</v>
      </c>
      <c r="AQ5879" t="s">
        <v>72</v>
      </c>
      <c r="AR5879" t="s">
        <v>72</v>
      </c>
      <c r="AS5879">
        <v>454</v>
      </c>
      <c r="AT5879" s="4">
        <v>42416</v>
      </c>
      <c r="AU5879" t="s">
        <v>73</v>
      </c>
      <c r="AV5879">
        <v>454</v>
      </c>
      <c r="AW5879" s="4">
        <v>42416</v>
      </c>
      <c r="BD5879">
        <v>0</v>
      </c>
      <c r="BN5879" t="s">
        <v>74</v>
      </c>
    </row>
    <row r="5880" spans="1:66" hidden="1">
      <c r="A5880">
        <v>104009</v>
      </c>
      <c r="B5880" s="3" t="s">
        <v>591</v>
      </c>
      <c r="C5880" s="1">
        <v>43300101</v>
      </c>
      <c r="D5880" t="s">
        <v>67</v>
      </c>
      <c r="H5880" t="str">
        <f t="shared" si="614"/>
        <v>08641790152</v>
      </c>
      <c r="I5880" t="str">
        <f t="shared" si="614"/>
        <v>08641790152</v>
      </c>
      <c r="K5880" t="str">
        <f>""</f>
        <v/>
      </c>
      <c r="M5880" t="s">
        <v>68</v>
      </c>
      <c r="N5880" t="str">
        <f t="shared" si="611"/>
        <v>FOR</v>
      </c>
      <c r="O5880" t="s">
        <v>69</v>
      </c>
      <c r="P5880" s="3" t="s">
        <v>75</v>
      </c>
      <c r="Q5880">
        <v>2015</v>
      </c>
      <c r="R5880" s="2">
        <v>42163</v>
      </c>
      <c r="S5880" s="2">
        <v>42165</v>
      </c>
      <c r="T5880" s="2">
        <v>42164</v>
      </c>
      <c r="U5880" s="2">
        <v>42224</v>
      </c>
      <c r="V5880" t="s">
        <v>71</v>
      </c>
      <c r="W5880" t="str">
        <f>"             F067338"</f>
        <v xml:space="preserve">             F067338</v>
      </c>
      <c r="X5880">
        <v>988</v>
      </c>
      <c r="Y5880">
        <v>0</v>
      </c>
      <c r="Z5880"/>
      <c r="AB5880"/>
      <c r="AC5880">
        <v>950</v>
      </c>
      <c r="AD5880">
        <v>192</v>
      </c>
      <c r="AE5880" s="1">
        <v>182400</v>
      </c>
      <c r="AF5880">
        <v>0</v>
      </c>
      <c r="AJ5880">
        <v>0</v>
      </c>
      <c r="AK5880">
        <v>0</v>
      </c>
      <c r="AL5880">
        <v>0</v>
      </c>
      <c r="AM5880">
        <v>0</v>
      </c>
      <c r="AN5880">
        <v>0</v>
      </c>
      <c r="AO5880">
        <v>0</v>
      </c>
      <c r="AP5880" s="2">
        <v>42746</v>
      </c>
      <c r="AQ5880" t="s">
        <v>72</v>
      </c>
      <c r="AR5880" t="s">
        <v>72</v>
      </c>
      <c r="AS5880">
        <v>454</v>
      </c>
      <c r="AT5880" s="4">
        <v>42416</v>
      </c>
      <c r="AU5880" t="s">
        <v>73</v>
      </c>
      <c r="AV5880">
        <v>454</v>
      </c>
      <c r="AW5880" s="4">
        <v>42416</v>
      </c>
      <c r="BD5880">
        <v>0</v>
      </c>
      <c r="BN5880" t="s">
        <v>74</v>
      </c>
    </row>
    <row r="5881" spans="1:66" hidden="1">
      <c r="A5881">
        <v>104009</v>
      </c>
      <c r="B5881" s="3" t="s">
        <v>591</v>
      </c>
      <c r="C5881" s="1">
        <v>43300101</v>
      </c>
      <c r="D5881" t="s">
        <v>67</v>
      </c>
      <c r="H5881" t="str">
        <f t="shared" si="614"/>
        <v>08641790152</v>
      </c>
      <c r="I5881" t="str">
        <f t="shared" si="614"/>
        <v>08641790152</v>
      </c>
      <c r="K5881" t="str">
        <f>""</f>
        <v/>
      </c>
      <c r="M5881" t="s">
        <v>68</v>
      </c>
      <c r="N5881" t="str">
        <f t="shared" si="611"/>
        <v>FOR</v>
      </c>
      <c r="O5881" t="s">
        <v>69</v>
      </c>
      <c r="P5881" s="3" t="s">
        <v>75</v>
      </c>
      <c r="Q5881">
        <v>2015</v>
      </c>
      <c r="R5881" s="2">
        <v>42163</v>
      </c>
      <c r="S5881" s="2">
        <v>42165</v>
      </c>
      <c r="T5881" s="2">
        <v>42164</v>
      </c>
      <c r="U5881" s="2">
        <v>42224</v>
      </c>
      <c r="V5881" t="s">
        <v>71</v>
      </c>
      <c r="W5881" t="str">
        <f>"             F067343"</f>
        <v xml:space="preserve">             F067343</v>
      </c>
      <c r="X5881">
        <v>988</v>
      </c>
      <c r="Y5881">
        <v>0</v>
      </c>
      <c r="Z5881"/>
      <c r="AB5881"/>
      <c r="AC5881">
        <v>950</v>
      </c>
      <c r="AD5881">
        <v>192</v>
      </c>
      <c r="AE5881" s="1">
        <v>182400</v>
      </c>
      <c r="AF5881">
        <v>0</v>
      </c>
      <c r="AJ5881">
        <v>0</v>
      </c>
      <c r="AK5881">
        <v>0</v>
      </c>
      <c r="AL5881">
        <v>0</v>
      </c>
      <c r="AM5881">
        <v>0</v>
      </c>
      <c r="AN5881">
        <v>0</v>
      </c>
      <c r="AO5881">
        <v>0</v>
      </c>
      <c r="AP5881" s="2">
        <v>42746</v>
      </c>
      <c r="AQ5881" t="s">
        <v>72</v>
      </c>
      <c r="AR5881" t="s">
        <v>72</v>
      </c>
      <c r="AS5881">
        <v>454</v>
      </c>
      <c r="AT5881" s="4">
        <v>42416</v>
      </c>
      <c r="AU5881" t="s">
        <v>73</v>
      </c>
      <c r="AV5881">
        <v>454</v>
      </c>
      <c r="AW5881" s="4">
        <v>42416</v>
      </c>
      <c r="BD5881">
        <v>0</v>
      </c>
      <c r="BN5881" t="s">
        <v>74</v>
      </c>
    </row>
    <row r="5882" spans="1:66" hidden="1">
      <c r="A5882">
        <v>104009</v>
      </c>
      <c r="B5882" s="3" t="s">
        <v>591</v>
      </c>
      <c r="C5882" s="1">
        <v>43300101</v>
      </c>
      <c r="D5882" t="s">
        <v>67</v>
      </c>
      <c r="H5882" t="str">
        <f t="shared" si="614"/>
        <v>08641790152</v>
      </c>
      <c r="I5882" t="str">
        <f t="shared" si="614"/>
        <v>08641790152</v>
      </c>
      <c r="K5882" t="str">
        <f>""</f>
        <v/>
      </c>
      <c r="M5882" t="s">
        <v>68</v>
      </c>
      <c r="N5882" t="str">
        <f t="shared" ref="N5882:N5945" si="615">"FOR"</f>
        <v>FOR</v>
      </c>
      <c r="O5882" t="s">
        <v>69</v>
      </c>
      <c r="P5882" s="3" t="s">
        <v>75</v>
      </c>
      <c r="Q5882">
        <v>2015</v>
      </c>
      <c r="R5882" s="2">
        <v>42163</v>
      </c>
      <c r="S5882" s="2">
        <v>42165</v>
      </c>
      <c r="T5882" s="2">
        <v>42164</v>
      </c>
      <c r="U5882" s="2">
        <v>42224</v>
      </c>
      <c r="V5882" t="s">
        <v>71</v>
      </c>
      <c r="W5882" t="str">
        <f>"             F067355"</f>
        <v xml:space="preserve">             F067355</v>
      </c>
      <c r="X5882">
        <v>988</v>
      </c>
      <c r="Y5882">
        <v>0</v>
      </c>
      <c r="Z5882"/>
      <c r="AB5882"/>
      <c r="AC5882">
        <v>950</v>
      </c>
      <c r="AD5882">
        <v>192</v>
      </c>
      <c r="AE5882" s="1">
        <v>182400</v>
      </c>
      <c r="AF5882">
        <v>0</v>
      </c>
      <c r="AJ5882">
        <v>0</v>
      </c>
      <c r="AK5882">
        <v>0</v>
      </c>
      <c r="AL5882">
        <v>0</v>
      </c>
      <c r="AM5882">
        <v>0</v>
      </c>
      <c r="AN5882">
        <v>0</v>
      </c>
      <c r="AO5882">
        <v>0</v>
      </c>
      <c r="AP5882" s="2">
        <v>42746</v>
      </c>
      <c r="AQ5882" t="s">
        <v>72</v>
      </c>
      <c r="AR5882" t="s">
        <v>72</v>
      </c>
      <c r="AS5882">
        <v>454</v>
      </c>
      <c r="AT5882" s="4">
        <v>42416</v>
      </c>
      <c r="AU5882" t="s">
        <v>73</v>
      </c>
      <c r="AV5882">
        <v>454</v>
      </c>
      <c r="AW5882" s="4">
        <v>42416</v>
      </c>
      <c r="BD5882">
        <v>0</v>
      </c>
      <c r="BN5882" t="s">
        <v>74</v>
      </c>
    </row>
    <row r="5883" spans="1:66" hidden="1">
      <c r="A5883">
        <v>104009</v>
      </c>
      <c r="B5883" s="3" t="s">
        <v>591</v>
      </c>
      <c r="C5883" s="1">
        <v>43300101</v>
      </c>
      <c r="D5883" t="s">
        <v>67</v>
      </c>
      <c r="H5883" t="str">
        <f t="shared" si="614"/>
        <v>08641790152</v>
      </c>
      <c r="I5883" t="str">
        <f t="shared" si="614"/>
        <v>08641790152</v>
      </c>
      <c r="K5883" t="str">
        <f>""</f>
        <v/>
      </c>
      <c r="M5883" t="s">
        <v>68</v>
      </c>
      <c r="N5883" t="str">
        <f t="shared" si="615"/>
        <v>FOR</v>
      </c>
      <c r="O5883" t="s">
        <v>69</v>
      </c>
      <c r="P5883" s="3" t="s">
        <v>75</v>
      </c>
      <c r="Q5883">
        <v>2015</v>
      </c>
      <c r="R5883" s="2">
        <v>42163</v>
      </c>
      <c r="S5883" s="2">
        <v>42165</v>
      </c>
      <c r="T5883" s="2">
        <v>42164</v>
      </c>
      <c r="U5883" s="2">
        <v>42224</v>
      </c>
      <c r="V5883" t="s">
        <v>71</v>
      </c>
      <c r="W5883" t="str">
        <f>"             F067358"</f>
        <v xml:space="preserve">             F067358</v>
      </c>
      <c r="X5883">
        <v>988</v>
      </c>
      <c r="Y5883">
        <v>0</v>
      </c>
      <c r="Z5883"/>
      <c r="AB5883"/>
      <c r="AC5883">
        <v>950</v>
      </c>
      <c r="AD5883">
        <v>192</v>
      </c>
      <c r="AE5883" s="1">
        <v>182400</v>
      </c>
      <c r="AF5883">
        <v>0</v>
      </c>
      <c r="AJ5883">
        <v>0</v>
      </c>
      <c r="AK5883">
        <v>0</v>
      </c>
      <c r="AL5883">
        <v>0</v>
      </c>
      <c r="AM5883">
        <v>0</v>
      </c>
      <c r="AN5883">
        <v>0</v>
      </c>
      <c r="AO5883">
        <v>0</v>
      </c>
      <c r="AP5883" s="2">
        <v>42746</v>
      </c>
      <c r="AQ5883" t="s">
        <v>72</v>
      </c>
      <c r="AR5883" t="s">
        <v>72</v>
      </c>
      <c r="AS5883">
        <v>454</v>
      </c>
      <c r="AT5883" s="4">
        <v>42416</v>
      </c>
      <c r="AU5883" t="s">
        <v>73</v>
      </c>
      <c r="AV5883">
        <v>454</v>
      </c>
      <c r="AW5883" s="4">
        <v>42416</v>
      </c>
      <c r="BD5883">
        <v>0</v>
      </c>
      <c r="BN5883" t="s">
        <v>74</v>
      </c>
    </row>
    <row r="5884" spans="1:66" hidden="1">
      <c r="A5884">
        <v>104009</v>
      </c>
      <c r="B5884" s="3" t="s">
        <v>591</v>
      </c>
      <c r="C5884" s="1">
        <v>43300101</v>
      </c>
      <c r="D5884" t="s">
        <v>67</v>
      </c>
      <c r="H5884" t="str">
        <f t="shared" si="614"/>
        <v>08641790152</v>
      </c>
      <c r="I5884" t="str">
        <f t="shared" si="614"/>
        <v>08641790152</v>
      </c>
      <c r="K5884" t="str">
        <f>""</f>
        <v/>
      </c>
      <c r="M5884" t="s">
        <v>68</v>
      </c>
      <c r="N5884" t="str">
        <f t="shared" si="615"/>
        <v>FOR</v>
      </c>
      <c r="O5884" t="s">
        <v>69</v>
      </c>
      <c r="P5884" s="3" t="s">
        <v>75</v>
      </c>
      <c r="Q5884">
        <v>2015</v>
      </c>
      <c r="R5884" s="2">
        <v>42163</v>
      </c>
      <c r="S5884" s="2">
        <v>42165</v>
      </c>
      <c r="T5884" s="2">
        <v>42164</v>
      </c>
      <c r="U5884" s="2">
        <v>42224</v>
      </c>
      <c r="V5884" t="s">
        <v>71</v>
      </c>
      <c r="W5884" t="str">
        <f>"             F067360"</f>
        <v xml:space="preserve">             F067360</v>
      </c>
      <c r="X5884">
        <v>988</v>
      </c>
      <c r="Y5884">
        <v>0</v>
      </c>
      <c r="Z5884"/>
      <c r="AB5884"/>
      <c r="AC5884">
        <v>950</v>
      </c>
      <c r="AD5884">
        <v>192</v>
      </c>
      <c r="AE5884" s="1">
        <v>182400</v>
      </c>
      <c r="AF5884">
        <v>0</v>
      </c>
      <c r="AJ5884">
        <v>0</v>
      </c>
      <c r="AK5884">
        <v>0</v>
      </c>
      <c r="AL5884">
        <v>0</v>
      </c>
      <c r="AM5884">
        <v>0</v>
      </c>
      <c r="AN5884">
        <v>0</v>
      </c>
      <c r="AO5884">
        <v>0</v>
      </c>
      <c r="AP5884" s="2">
        <v>42746</v>
      </c>
      <c r="AQ5884" t="s">
        <v>72</v>
      </c>
      <c r="AR5884" t="s">
        <v>72</v>
      </c>
      <c r="AS5884">
        <v>454</v>
      </c>
      <c r="AT5884" s="4">
        <v>42416</v>
      </c>
      <c r="AU5884" t="s">
        <v>73</v>
      </c>
      <c r="AV5884">
        <v>454</v>
      </c>
      <c r="AW5884" s="4">
        <v>42416</v>
      </c>
      <c r="BD5884">
        <v>0</v>
      </c>
      <c r="BN5884" t="s">
        <v>74</v>
      </c>
    </row>
    <row r="5885" spans="1:66" hidden="1">
      <c r="A5885">
        <v>104009</v>
      </c>
      <c r="B5885" s="3" t="s">
        <v>591</v>
      </c>
      <c r="C5885" s="1">
        <v>43300101</v>
      </c>
      <c r="D5885" t="s">
        <v>67</v>
      </c>
      <c r="H5885" t="str">
        <f t="shared" si="614"/>
        <v>08641790152</v>
      </c>
      <c r="I5885" t="str">
        <f t="shared" si="614"/>
        <v>08641790152</v>
      </c>
      <c r="K5885" t="str">
        <f>""</f>
        <v/>
      </c>
      <c r="M5885" t="s">
        <v>68</v>
      </c>
      <c r="N5885" t="str">
        <f t="shared" si="615"/>
        <v>FOR</v>
      </c>
      <c r="O5885" t="s">
        <v>69</v>
      </c>
      <c r="P5885" s="3" t="s">
        <v>75</v>
      </c>
      <c r="Q5885">
        <v>2015</v>
      </c>
      <c r="R5885" s="2">
        <v>42163</v>
      </c>
      <c r="S5885" s="2">
        <v>42165</v>
      </c>
      <c r="T5885" s="2">
        <v>42164</v>
      </c>
      <c r="U5885" s="2">
        <v>42224</v>
      </c>
      <c r="V5885" t="s">
        <v>71</v>
      </c>
      <c r="W5885" t="str">
        <f>"             F067370"</f>
        <v xml:space="preserve">             F067370</v>
      </c>
      <c r="X5885" s="1">
        <v>2196</v>
      </c>
      <c r="Y5885">
        <v>0</v>
      </c>
      <c r="Z5885"/>
      <c r="AB5885"/>
      <c r="AC5885" s="1">
        <v>1800</v>
      </c>
      <c r="AD5885">
        <v>192</v>
      </c>
      <c r="AE5885" s="1">
        <v>345600</v>
      </c>
      <c r="AF5885">
        <v>0</v>
      </c>
      <c r="AJ5885">
        <v>0</v>
      </c>
      <c r="AK5885">
        <v>0</v>
      </c>
      <c r="AL5885">
        <v>0</v>
      </c>
      <c r="AM5885">
        <v>0</v>
      </c>
      <c r="AN5885">
        <v>0</v>
      </c>
      <c r="AO5885">
        <v>0</v>
      </c>
      <c r="AP5885" s="2">
        <v>42746</v>
      </c>
      <c r="AQ5885" t="s">
        <v>72</v>
      </c>
      <c r="AR5885" t="s">
        <v>72</v>
      </c>
      <c r="AS5885">
        <v>454</v>
      </c>
      <c r="AT5885" s="4">
        <v>42416</v>
      </c>
      <c r="AU5885" t="s">
        <v>73</v>
      </c>
      <c r="AV5885">
        <v>454</v>
      </c>
      <c r="AW5885" s="4">
        <v>42416</v>
      </c>
      <c r="BD5885">
        <v>0</v>
      </c>
      <c r="BN5885" t="s">
        <v>74</v>
      </c>
    </row>
    <row r="5886" spans="1:66" hidden="1">
      <c r="A5886">
        <v>104009</v>
      </c>
      <c r="B5886" s="3" t="s">
        <v>591</v>
      </c>
      <c r="C5886" s="1">
        <v>43300101</v>
      </c>
      <c r="D5886" t="s">
        <v>67</v>
      </c>
      <c r="H5886" t="str">
        <f t="shared" si="614"/>
        <v>08641790152</v>
      </c>
      <c r="I5886" t="str">
        <f t="shared" si="614"/>
        <v>08641790152</v>
      </c>
      <c r="K5886" t="str">
        <f>""</f>
        <v/>
      </c>
      <c r="M5886" t="s">
        <v>68</v>
      </c>
      <c r="N5886" t="str">
        <f t="shared" si="615"/>
        <v>FOR</v>
      </c>
      <c r="O5886" t="s">
        <v>69</v>
      </c>
      <c r="P5886" s="3" t="s">
        <v>75</v>
      </c>
      <c r="Q5886">
        <v>2015</v>
      </c>
      <c r="R5886" s="2">
        <v>42163</v>
      </c>
      <c r="S5886" s="2">
        <v>42165</v>
      </c>
      <c r="T5886" s="2">
        <v>42164</v>
      </c>
      <c r="U5886" s="2">
        <v>42224</v>
      </c>
      <c r="V5886" t="s">
        <v>71</v>
      </c>
      <c r="W5886" t="str">
        <f>"             F067384"</f>
        <v xml:space="preserve">             F067384</v>
      </c>
      <c r="X5886">
        <v>988</v>
      </c>
      <c r="Y5886">
        <v>0</v>
      </c>
      <c r="Z5886"/>
      <c r="AB5886"/>
      <c r="AC5886">
        <v>950</v>
      </c>
      <c r="AD5886">
        <v>192</v>
      </c>
      <c r="AE5886" s="1">
        <v>182400</v>
      </c>
      <c r="AF5886">
        <v>0</v>
      </c>
      <c r="AJ5886">
        <v>0</v>
      </c>
      <c r="AK5886">
        <v>0</v>
      </c>
      <c r="AL5886">
        <v>0</v>
      </c>
      <c r="AM5886">
        <v>0</v>
      </c>
      <c r="AN5886">
        <v>0</v>
      </c>
      <c r="AO5886">
        <v>0</v>
      </c>
      <c r="AP5886" s="2">
        <v>42746</v>
      </c>
      <c r="AQ5886" t="s">
        <v>72</v>
      </c>
      <c r="AR5886" t="s">
        <v>72</v>
      </c>
      <c r="AS5886">
        <v>454</v>
      </c>
      <c r="AT5886" s="4">
        <v>42416</v>
      </c>
      <c r="AU5886" t="s">
        <v>73</v>
      </c>
      <c r="AV5886">
        <v>454</v>
      </c>
      <c r="AW5886" s="4">
        <v>42416</v>
      </c>
      <c r="BD5886">
        <v>0</v>
      </c>
      <c r="BN5886" t="s">
        <v>74</v>
      </c>
    </row>
    <row r="5887" spans="1:66" hidden="1">
      <c r="A5887">
        <v>104009</v>
      </c>
      <c r="B5887" s="3" t="s">
        <v>591</v>
      </c>
      <c r="C5887" s="1">
        <v>43300101</v>
      </c>
      <c r="D5887" t="s">
        <v>67</v>
      </c>
      <c r="H5887" t="str">
        <f t="shared" si="614"/>
        <v>08641790152</v>
      </c>
      <c r="I5887" t="str">
        <f t="shared" si="614"/>
        <v>08641790152</v>
      </c>
      <c r="K5887" t="str">
        <f>""</f>
        <v/>
      </c>
      <c r="M5887" t="s">
        <v>68</v>
      </c>
      <c r="N5887" t="str">
        <f t="shared" si="615"/>
        <v>FOR</v>
      </c>
      <c r="O5887" t="s">
        <v>69</v>
      </c>
      <c r="P5887" s="3" t="s">
        <v>75</v>
      </c>
      <c r="Q5887">
        <v>2015</v>
      </c>
      <c r="R5887" s="2">
        <v>42163</v>
      </c>
      <c r="S5887" s="2">
        <v>42165</v>
      </c>
      <c r="T5887" s="2">
        <v>42164</v>
      </c>
      <c r="U5887" s="2">
        <v>42224</v>
      </c>
      <c r="V5887" t="s">
        <v>71</v>
      </c>
      <c r="W5887" t="str">
        <f>"             F067558"</f>
        <v xml:space="preserve">             F067558</v>
      </c>
      <c r="X5887" s="1">
        <v>5490</v>
      </c>
      <c r="Y5887">
        <v>0</v>
      </c>
      <c r="Z5887"/>
      <c r="AB5887"/>
      <c r="AC5887" s="1">
        <v>4500</v>
      </c>
      <c r="AD5887">
        <v>192</v>
      </c>
      <c r="AE5887" s="1">
        <v>864000</v>
      </c>
      <c r="AF5887">
        <v>0</v>
      </c>
      <c r="AJ5887">
        <v>0</v>
      </c>
      <c r="AK5887">
        <v>0</v>
      </c>
      <c r="AL5887">
        <v>0</v>
      </c>
      <c r="AM5887">
        <v>0</v>
      </c>
      <c r="AN5887">
        <v>0</v>
      </c>
      <c r="AO5887">
        <v>0</v>
      </c>
      <c r="AP5887" s="2">
        <v>42746</v>
      </c>
      <c r="AQ5887" t="s">
        <v>72</v>
      </c>
      <c r="AR5887" t="s">
        <v>72</v>
      </c>
      <c r="AS5887">
        <v>454</v>
      </c>
      <c r="AT5887" s="4">
        <v>42416</v>
      </c>
      <c r="AU5887" t="s">
        <v>73</v>
      </c>
      <c r="AV5887">
        <v>454</v>
      </c>
      <c r="AW5887" s="4">
        <v>42416</v>
      </c>
      <c r="BD5887">
        <v>0</v>
      </c>
      <c r="BN5887" t="s">
        <v>74</v>
      </c>
    </row>
    <row r="5888" spans="1:66" hidden="1">
      <c r="A5888">
        <v>104009</v>
      </c>
      <c r="B5888" s="3" t="s">
        <v>591</v>
      </c>
      <c r="C5888" s="1">
        <v>43300101</v>
      </c>
      <c r="D5888" t="s">
        <v>67</v>
      </c>
      <c r="H5888" t="str">
        <f t="shared" si="614"/>
        <v>08641790152</v>
      </c>
      <c r="I5888" t="str">
        <f t="shared" si="614"/>
        <v>08641790152</v>
      </c>
      <c r="K5888" t="str">
        <f>""</f>
        <v/>
      </c>
      <c r="M5888" t="s">
        <v>68</v>
      </c>
      <c r="N5888" t="str">
        <f t="shared" si="615"/>
        <v>FOR</v>
      </c>
      <c r="O5888" t="s">
        <v>69</v>
      </c>
      <c r="P5888" s="3" t="s">
        <v>75</v>
      </c>
      <c r="Q5888">
        <v>2015</v>
      </c>
      <c r="R5888" s="2">
        <v>42164</v>
      </c>
      <c r="S5888" s="2">
        <v>42167</v>
      </c>
      <c r="T5888" s="2">
        <v>42165</v>
      </c>
      <c r="U5888" s="2">
        <v>42225</v>
      </c>
      <c r="V5888" t="s">
        <v>71</v>
      </c>
      <c r="W5888" t="str">
        <f>"             F067654"</f>
        <v xml:space="preserve">             F067654</v>
      </c>
      <c r="X5888">
        <v>976</v>
      </c>
      <c r="Y5888">
        <v>0</v>
      </c>
      <c r="Z5888"/>
      <c r="AB5888"/>
      <c r="AC5888">
        <v>800</v>
      </c>
      <c r="AD5888">
        <v>191</v>
      </c>
      <c r="AE5888" s="1">
        <v>152800</v>
      </c>
      <c r="AF5888">
        <v>0</v>
      </c>
      <c r="AJ5888">
        <v>0</v>
      </c>
      <c r="AK5888">
        <v>0</v>
      </c>
      <c r="AL5888">
        <v>0</v>
      </c>
      <c r="AM5888">
        <v>0</v>
      </c>
      <c r="AN5888">
        <v>0</v>
      </c>
      <c r="AO5888">
        <v>0</v>
      </c>
      <c r="AP5888" s="2">
        <v>42746</v>
      </c>
      <c r="AQ5888" t="s">
        <v>72</v>
      </c>
      <c r="AR5888" t="s">
        <v>72</v>
      </c>
      <c r="AS5888">
        <v>454</v>
      </c>
      <c r="AT5888" s="4">
        <v>42416</v>
      </c>
      <c r="AU5888" t="s">
        <v>73</v>
      </c>
      <c r="AV5888">
        <v>454</v>
      </c>
      <c r="AW5888" s="4">
        <v>42416</v>
      </c>
      <c r="BD5888">
        <v>0</v>
      </c>
      <c r="BN5888" t="s">
        <v>74</v>
      </c>
    </row>
    <row r="5889" spans="1:66" hidden="1">
      <c r="A5889">
        <v>104009</v>
      </c>
      <c r="B5889" s="3" t="s">
        <v>591</v>
      </c>
      <c r="C5889" s="1">
        <v>43300101</v>
      </c>
      <c r="D5889" t="s">
        <v>67</v>
      </c>
      <c r="H5889" t="str">
        <f t="shared" ref="H5889:I5908" si="616">"08641790152"</f>
        <v>08641790152</v>
      </c>
      <c r="I5889" t="str">
        <f t="shared" si="616"/>
        <v>08641790152</v>
      </c>
      <c r="K5889" t="str">
        <f>""</f>
        <v/>
      </c>
      <c r="M5889" t="s">
        <v>68</v>
      </c>
      <c r="N5889" t="str">
        <f t="shared" si="615"/>
        <v>FOR</v>
      </c>
      <c r="O5889" t="s">
        <v>69</v>
      </c>
      <c r="P5889" s="3" t="s">
        <v>75</v>
      </c>
      <c r="Q5889">
        <v>2015</v>
      </c>
      <c r="R5889" s="2">
        <v>42164</v>
      </c>
      <c r="S5889" s="2">
        <v>42167</v>
      </c>
      <c r="T5889" s="2">
        <v>42165</v>
      </c>
      <c r="U5889" s="2">
        <v>42225</v>
      </c>
      <c r="V5889" t="s">
        <v>71</v>
      </c>
      <c r="W5889" t="str">
        <f>"             F068098"</f>
        <v xml:space="preserve">             F068098</v>
      </c>
      <c r="X5889">
        <v>951.6</v>
      </c>
      <c r="Y5889">
        <v>0</v>
      </c>
      <c r="Z5889"/>
      <c r="AB5889"/>
      <c r="AC5889">
        <v>780</v>
      </c>
      <c r="AD5889">
        <v>191</v>
      </c>
      <c r="AE5889" s="1">
        <v>148980</v>
      </c>
      <c r="AF5889">
        <v>0</v>
      </c>
      <c r="AJ5889">
        <v>0</v>
      </c>
      <c r="AK5889">
        <v>0</v>
      </c>
      <c r="AL5889">
        <v>0</v>
      </c>
      <c r="AM5889">
        <v>0</v>
      </c>
      <c r="AN5889">
        <v>0</v>
      </c>
      <c r="AO5889">
        <v>0</v>
      </c>
      <c r="AP5889" s="2">
        <v>42746</v>
      </c>
      <c r="AQ5889" t="s">
        <v>72</v>
      </c>
      <c r="AR5889" t="s">
        <v>72</v>
      </c>
      <c r="AS5889">
        <v>454</v>
      </c>
      <c r="AT5889" s="4">
        <v>42416</v>
      </c>
      <c r="AU5889" t="s">
        <v>73</v>
      </c>
      <c r="AV5889">
        <v>454</v>
      </c>
      <c r="AW5889" s="4">
        <v>42416</v>
      </c>
      <c r="BD5889">
        <v>0</v>
      </c>
      <c r="BN5889" t="s">
        <v>74</v>
      </c>
    </row>
    <row r="5890" spans="1:66" hidden="1">
      <c r="A5890">
        <v>104009</v>
      </c>
      <c r="B5890" s="3" t="s">
        <v>591</v>
      </c>
      <c r="C5890" s="1">
        <v>43300101</v>
      </c>
      <c r="D5890" t="s">
        <v>67</v>
      </c>
      <c r="H5890" t="str">
        <f t="shared" si="616"/>
        <v>08641790152</v>
      </c>
      <c r="I5890" t="str">
        <f t="shared" si="616"/>
        <v>08641790152</v>
      </c>
      <c r="K5890" t="str">
        <f>""</f>
        <v/>
      </c>
      <c r="M5890" t="s">
        <v>68</v>
      </c>
      <c r="N5890" t="str">
        <f t="shared" si="615"/>
        <v>FOR</v>
      </c>
      <c r="O5890" t="s">
        <v>69</v>
      </c>
      <c r="P5890" s="3" t="s">
        <v>75</v>
      </c>
      <c r="Q5890">
        <v>2015</v>
      </c>
      <c r="R5890" s="2">
        <v>42165</v>
      </c>
      <c r="S5890" s="2">
        <v>42167</v>
      </c>
      <c r="T5890" s="2">
        <v>42166</v>
      </c>
      <c r="U5890" s="2">
        <v>42226</v>
      </c>
      <c r="V5890" t="s">
        <v>71</v>
      </c>
      <c r="W5890" t="str">
        <f>"             F068738"</f>
        <v xml:space="preserve">             F068738</v>
      </c>
      <c r="X5890" s="1">
        <v>3904</v>
      </c>
      <c r="Y5890">
        <v>0</v>
      </c>
      <c r="Z5890"/>
      <c r="AB5890"/>
      <c r="AC5890" s="1">
        <v>3200</v>
      </c>
      <c r="AD5890">
        <v>190</v>
      </c>
      <c r="AE5890" s="1">
        <v>608000</v>
      </c>
      <c r="AF5890">
        <v>0</v>
      </c>
      <c r="AJ5890">
        <v>0</v>
      </c>
      <c r="AK5890">
        <v>0</v>
      </c>
      <c r="AL5890">
        <v>0</v>
      </c>
      <c r="AM5890">
        <v>0</v>
      </c>
      <c r="AN5890">
        <v>0</v>
      </c>
      <c r="AO5890">
        <v>0</v>
      </c>
      <c r="AP5890" s="2">
        <v>42746</v>
      </c>
      <c r="AQ5890" t="s">
        <v>72</v>
      </c>
      <c r="AR5890" t="s">
        <v>72</v>
      </c>
      <c r="AS5890">
        <v>454</v>
      </c>
      <c r="AT5890" s="4">
        <v>42416</v>
      </c>
      <c r="AU5890" t="s">
        <v>73</v>
      </c>
      <c r="AV5890">
        <v>454</v>
      </c>
      <c r="AW5890" s="4">
        <v>42416</v>
      </c>
      <c r="BD5890">
        <v>0</v>
      </c>
      <c r="BN5890" t="s">
        <v>74</v>
      </c>
    </row>
    <row r="5891" spans="1:66" hidden="1">
      <c r="A5891">
        <v>104009</v>
      </c>
      <c r="B5891" s="3" t="s">
        <v>591</v>
      </c>
      <c r="C5891" s="1">
        <v>43300101</v>
      </c>
      <c r="D5891" t="s">
        <v>67</v>
      </c>
      <c r="H5891" t="str">
        <f t="shared" si="616"/>
        <v>08641790152</v>
      </c>
      <c r="I5891" t="str">
        <f t="shared" si="616"/>
        <v>08641790152</v>
      </c>
      <c r="K5891" t="str">
        <f>""</f>
        <v/>
      </c>
      <c r="M5891" t="s">
        <v>68</v>
      </c>
      <c r="N5891" t="str">
        <f t="shared" si="615"/>
        <v>FOR</v>
      </c>
      <c r="O5891" t="s">
        <v>69</v>
      </c>
      <c r="P5891" s="3" t="s">
        <v>75</v>
      </c>
      <c r="Q5891">
        <v>2015</v>
      </c>
      <c r="R5891" s="2">
        <v>42165</v>
      </c>
      <c r="S5891" s="2">
        <v>42167</v>
      </c>
      <c r="T5891" s="2">
        <v>42166</v>
      </c>
      <c r="U5891" s="2">
        <v>42226</v>
      </c>
      <c r="V5891" t="s">
        <v>71</v>
      </c>
      <c r="W5891" t="str">
        <f>"             F068902"</f>
        <v xml:space="preserve">             F068902</v>
      </c>
      <c r="X5891" s="1">
        <v>2440</v>
      </c>
      <c r="Y5891">
        <v>0</v>
      </c>
      <c r="Z5891"/>
      <c r="AB5891"/>
      <c r="AC5891" s="1">
        <v>2000</v>
      </c>
      <c r="AD5891">
        <v>190</v>
      </c>
      <c r="AE5891" s="1">
        <v>380000</v>
      </c>
      <c r="AF5891">
        <v>0</v>
      </c>
      <c r="AJ5891">
        <v>0</v>
      </c>
      <c r="AK5891">
        <v>0</v>
      </c>
      <c r="AL5891">
        <v>0</v>
      </c>
      <c r="AM5891">
        <v>0</v>
      </c>
      <c r="AN5891">
        <v>0</v>
      </c>
      <c r="AO5891">
        <v>0</v>
      </c>
      <c r="AP5891" s="2">
        <v>42746</v>
      </c>
      <c r="AQ5891" t="s">
        <v>72</v>
      </c>
      <c r="AR5891" t="s">
        <v>72</v>
      </c>
      <c r="AS5891">
        <v>454</v>
      </c>
      <c r="AT5891" s="4">
        <v>42416</v>
      </c>
      <c r="AU5891" t="s">
        <v>73</v>
      </c>
      <c r="AV5891">
        <v>454</v>
      </c>
      <c r="AW5891" s="4">
        <v>42416</v>
      </c>
      <c r="BD5891">
        <v>0</v>
      </c>
      <c r="BN5891" t="s">
        <v>74</v>
      </c>
    </row>
    <row r="5892" spans="1:66" hidden="1">
      <c r="A5892">
        <v>104009</v>
      </c>
      <c r="B5892" s="3" t="s">
        <v>591</v>
      </c>
      <c r="C5892" s="1">
        <v>43300101</v>
      </c>
      <c r="D5892" t="s">
        <v>67</v>
      </c>
      <c r="H5892" t="str">
        <f t="shared" si="616"/>
        <v>08641790152</v>
      </c>
      <c r="I5892" t="str">
        <f t="shared" si="616"/>
        <v>08641790152</v>
      </c>
      <c r="K5892" t="str">
        <f>""</f>
        <v/>
      </c>
      <c r="M5892" t="s">
        <v>68</v>
      </c>
      <c r="N5892" t="str">
        <f t="shared" si="615"/>
        <v>FOR</v>
      </c>
      <c r="O5892" t="s">
        <v>69</v>
      </c>
      <c r="P5892" s="3" t="s">
        <v>75</v>
      </c>
      <c r="Q5892">
        <v>2015</v>
      </c>
      <c r="R5892" s="2">
        <v>42170</v>
      </c>
      <c r="S5892" s="2">
        <v>42172</v>
      </c>
      <c r="T5892" s="2">
        <v>42171</v>
      </c>
      <c r="U5892" s="2">
        <v>42231</v>
      </c>
      <c r="V5892" t="s">
        <v>71</v>
      </c>
      <c r="W5892" t="str">
        <f>"             F070225"</f>
        <v xml:space="preserve">             F070225</v>
      </c>
      <c r="X5892">
        <v>834.48</v>
      </c>
      <c r="Y5892">
        <v>0</v>
      </c>
      <c r="Z5892"/>
      <c r="AB5892"/>
      <c r="AC5892">
        <v>684</v>
      </c>
      <c r="AD5892">
        <v>185</v>
      </c>
      <c r="AE5892" s="1">
        <v>126540</v>
      </c>
      <c r="AF5892">
        <v>0</v>
      </c>
      <c r="AJ5892">
        <v>0</v>
      </c>
      <c r="AK5892">
        <v>0</v>
      </c>
      <c r="AL5892">
        <v>0</v>
      </c>
      <c r="AM5892">
        <v>0</v>
      </c>
      <c r="AN5892">
        <v>0</v>
      </c>
      <c r="AO5892">
        <v>0</v>
      </c>
      <c r="AP5892" s="2">
        <v>42746</v>
      </c>
      <c r="AQ5892" t="s">
        <v>72</v>
      </c>
      <c r="AR5892" t="s">
        <v>72</v>
      </c>
      <c r="AS5892">
        <v>454</v>
      </c>
      <c r="AT5892" s="4">
        <v>42416</v>
      </c>
      <c r="AU5892" t="s">
        <v>73</v>
      </c>
      <c r="AV5892">
        <v>454</v>
      </c>
      <c r="AW5892" s="4">
        <v>42416</v>
      </c>
      <c r="BD5892">
        <v>0</v>
      </c>
      <c r="BN5892" t="s">
        <v>74</v>
      </c>
    </row>
    <row r="5893" spans="1:66" hidden="1">
      <c r="A5893">
        <v>104009</v>
      </c>
      <c r="B5893" s="3" t="s">
        <v>591</v>
      </c>
      <c r="C5893" s="1">
        <v>43300101</v>
      </c>
      <c r="D5893" t="s">
        <v>67</v>
      </c>
      <c r="H5893" t="str">
        <f t="shared" si="616"/>
        <v>08641790152</v>
      </c>
      <c r="I5893" t="str">
        <f t="shared" si="616"/>
        <v>08641790152</v>
      </c>
      <c r="K5893" t="str">
        <f>""</f>
        <v/>
      </c>
      <c r="M5893" t="s">
        <v>68</v>
      </c>
      <c r="N5893" t="str">
        <f t="shared" si="615"/>
        <v>FOR</v>
      </c>
      <c r="O5893" t="s">
        <v>69</v>
      </c>
      <c r="P5893" s="3" t="s">
        <v>75</v>
      </c>
      <c r="Q5893">
        <v>2015</v>
      </c>
      <c r="R5893" s="2">
        <v>42170</v>
      </c>
      <c r="S5893" s="2">
        <v>42172</v>
      </c>
      <c r="T5893" s="2">
        <v>42171</v>
      </c>
      <c r="U5893" s="2">
        <v>42231</v>
      </c>
      <c r="V5893" t="s">
        <v>71</v>
      </c>
      <c r="W5893" t="str">
        <f>"             F070621"</f>
        <v xml:space="preserve">             F070621</v>
      </c>
      <c r="X5893" s="1">
        <v>2791.12</v>
      </c>
      <c r="Y5893">
        <v>0</v>
      </c>
      <c r="Z5893"/>
      <c r="AB5893"/>
      <c r="AC5893" s="1">
        <v>2287.8000000000002</v>
      </c>
      <c r="AD5893">
        <v>185</v>
      </c>
      <c r="AE5893" s="1">
        <v>423243</v>
      </c>
      <c r="AF5893">
        <v>0</v>
      </c>
      <c r="AJ5893">
        <v>0</v>
      </c>
      <c r="AK5893">
        <v>0</v>
      </c>
      <c r="AL5893">
        <v>0</v>
      </c>
      <c r="AM5893">
        <v>0</v>
      </c>
      <c r="AN5893">
        <v>0</v>
      </c>
      <c r="AO5893">
        <v>0</v>
      </c>
      <c r="AP5893" s="2">
        <v>42746</v>
      </c>
      <c r="AQ5893" t="s">
        <v>72</v>
      </c>
      <c r="AR5893" t="s">
        <v>72</v>
      </c>
      <c r="AS5893">
        <v>454</v>
      </c>
      <c r="AT5893" s="4">
        <v>42416</v>
      </c>
      <c r="AU5893" t="s">
        <v>73</v>
      </c>
      <c r="AV5893">
        <v>454</v>
      </c>
      <c r="AW5893" s="4">
        <v>42416</v>
      </c>
      <c r="BD5893">
        <v>0</v>
      </c>
      <c r="BN5893" t="s">
        <v>74</v>
      </c>
    </row>
    <row r="5894" spans="1:66" hidden="1">
      <c r="A5894">
        <v>104009</v>
      </c>
      <c r="B5894" s="3" t="s">
        <v>591</v>
      </c>
      <c r="C5894" s="1">
        <v>43300101</v>
      </c>
      <c r="D5894" t="s">
        <v>67</v>
      </c>
      <c r="H5894" t="str">
        <f t="shared" si="616"/>
        <v>08641790152</v>
      </c>
      <c r="I5894" t="str">
        <f t="shared" si="616"/>
        <v>08641790152</v>
      </c>
      <c r="K5894" t="str">
        <f>""</f>
        <v/>
      </c>
      <c r="M5894" t="s">
        <v>68</v>
      </c>
      <c r="N5894" t="str">
        <f t="shared" si="615"/>
        <v>FOR</v>
      </c>
      <c r="O5894" t="s">
        <v>69</v>
      </c>
      <c r="P5894" s="3" t="s">
        <v>75</v>
      </c>
      <c r="Q5894">
        <v>2015</v>
      </c>
      <c r="R5894" s="2">
        <v>42171</v>
      </c>
      <c r="S5894" s="2">
        <v>42172</v>
      </c>
      <c r="T5894" s="2">
        <v>42172</v>
      </c>
      <c r="U5894" s="2">
        <v>42232</v>
      </c>
      <c r="V5894" t="s">
        <v>71</v>
      </c>
      <c r="W5894" t="str">
        <f>"             F070951"</f>
        <v xml:space="preserve">             F070951</v>
      </c>
      <c r="X5894" s="1">
        <v>6118.3</v>
      </c>
      <c r="Y5894">
        <v>0</v>
      </c>
      <c r="Z5894"/>
      <c r="AB5894"/>
      <c r="AC5894" s="1">
        <v>5015</v>
      </c>
      <c r="AD5894">
        <v>184</v>
      </c>
      <c r="AE5894" s="1">
        <v>922760</v>
      </c>
      <c r="AF5894">
        <v>0</v>
      </c>
      <c r="AJ5894">
        <v>0</v>
      </c>
      <c r="AK5894">
        <v>0</v>
      </c>
      <c r="AL5894">
        <v>0</v>
      </c>
      <c r="AM5894">
        <v>0</v>
      </c>
      <c r="AN5894">
        <v>0</v>
      </c>
      <c r="AO5894">
        <v>0</v>
      </c>
      <c r="AP5894" s="2">
        <v>42746</v>
      </c>
      <c r="AQ5894" t="s">
        <v>72</v>
      </c>
      <c r="AR5894" t="s">
        <v>72</v>
      </c>
      <c r="AS5894">
        <v>454</v>
      </c>
      <c r="AT5894" s="4">
        <v>42416</v>
      </c>
      <c r="AU5894" t="s">
        <v>73</v>
      </c>
      <c r="AV5894">
        <v>454</v>
      </c>
      <c r="AW5894" s="4">
        <v>42416</v>
      </c>
      <c r="BD5894">
        <v>0</v>
      </c>
      <c r="BN5894" t="s">
        <v>74</v>
      </c>
    </row>
    <row r="5895" spans="1:66" hidden="1">
      <c r="A5895">
        <v>104009</v>
      </c>
      <c r="B5895" s="3" t="s">
        <v>591</v>
      </c>
      <c r="C5895" s="1">
        <v>43300101</v>
      </c>
      <c r="D5895" t="s">
        <v>67</v>
      </c>
      <c r="H5895" t="str">
        <f t="shared" si="616"/>
        <v>08641790152</v>
      </c>
      <c r="I5895" t="str">
        <f t="shared" si="616"/>
        <v>08641790152</v>
      </c>
      <c r="K5895" t="str">
        <f>""</f>
        <v/>
      </c>
      <c r="M5895" t="s">
        <v>68</v>
      </c>
      <c r="N5895" t="str">
        <f t="shared" si="615"/>
        <v>FOR</v>
      </c>
      <c r="O5895" t="s">
        <v>69</v>
      </c>
      <c r="P5895" s="3" t="s">
        <v>75</v>
      </c>
      <c r="Q5895">
        <v>2015</v>
      </c>
      <c r="R5895" s="2">
        <v>42171</v>
      </c>
      <c r="S5895" s="2">
        <v>42172</v>
      </c>
      <c r="T5895" s="2">
        <v>42172</v>
      </c>
      <c r="U5895" s="2">
        <v>42232</v>
      </c>
      <c r="V5895" t="s">
        <v>71</v>
      </c>
      <c r="W5895" t="str">
        <f>"             F071236"</f>
        <v xml:space="preserve">             F071236</v>
      </c>
      <c r="X5895" s="1">
        <v>4245.6000000000004</v>
      </c>
      <c r="Y5895">
        <v>0</v>
      </c>
      <c r="Z5895"/>
      <c r="AB5895"/>
      <c r="AC5895" s="1">
        <v>3480</v>
      </c>
      <c r="AD5895">
        <v>184</v>
      </c>
      <c r="AE5895" s="1">
        <v>640320</v>
      </c>
      <c r="AF5895">
        <v>0</v>
      </c>
      <c r="AJ5895">
        <v>0</v>
      </c>
      <c r="AK5895">
        <v>0</v>
      </c>
      <c r="AL5895">
        <v>0</v>
      </c>
      <c r="AM5895">
        <v>0</v>
      </c>
      <c r="AN5895">
        <v>0</v>
      </c>
      <c r="AO5895">
        <v>0</v>
      </c>
      <c r="AP5895" s="2">
        <v>42746</v>
      </c>
      <c r="AQ5895" t="s">
        <v>72</v>
      </c>
      <c r="AR5895" t="s">
        <v>72</v>
      </c>
      <c r="AS5895">
        <v>454</v>
      </c>
      <c r="AT5895" s="4">
        <v>42416</v>
      </c>
      <c r="AU5895" t="s">
        <v>73</v>
      </c>
      <c r="AV5895">
        <v>454</v>
      </c>
      <c r="AW5895" s="4">
        <v>42416</v>
      </c>
      <c r="BD5895">
        <v>0</v>
      </c>
      <c r="BN5895" t="s">
        <v>74</v>
      </c>
    </row>
    <row r="5896" spans="1:66" hidden="1">
      <c r="A5896">
        <v>104009</v>
      </c>
      <c r="B5896" s="3" t="s">
        <v>591</v>
      </c>
      <c r="C5896" s="1">
        <v>43300101</v>
      </c>
      <c r="D5896" t="s">
        <v>67</v>
      </c>
      <c r="H5896" t="str">
        <f t="shared" si="616"/>
        <v>08641790152</v>
      </c>
      <c r="I5896" t="str">
        <f t="shared" si="616"/>
        <v>08641790152</v>
      </c>
      <c r="K5896" t="str">
        <f>""</f>
        <v/>
      </c>
      <c r="M5896" t="s">
        <v>68</v>
      </c>
      <c r="N5896" t="str">
        <f t="shared" si="615"/>
        <v>FOR</v>
      </c>
      <c r="O5896" t="s">
        <v>69</v>
      </c>
      <c r="P5896" s="3" t="s">
        <v>75</v>
      </c>
      <c r="Q5896">
        <v>2015</v>
      </c>
      <c r="R5896" s="2">
        <v>42172</v>
      </c>
      <c r="S5896" s="2">
        <v>42174</v>
      </c>
      <c r="T5896" s="2">
        <v>42173</v>
      </c>
      <c r="U5896" s="2">
        <v>42233</v>
      </c>
      <c r="V5896" t="s">
        <v>71</v>
      </c>
      <c r="W5896" t="str">
        <f>"             F071416"</f>
        <v xml:space="preserve">             F071416</v>
      </c>
      <c r="X5896">
        <v>988</v>
      </c>
      <c r="Y5896">
        <v>0</v>
      </c>
      <c r="Z5896"/>
      <c r="AB5896"/>
      <c r="AC5896">
        <v>950</v>
      </c>
      <c r="AD5896">
        <v>183</v>
      </c>
      <c r="AE5896" s="1">
        <v>173850</v>
      </c>
      <c r="AF5896">
        <v>0</v>
      </c>
      <c r="AJ5896">
        <v>0</v>
      </c>
      <c r="AK5896">
        <v>0</v>
      </c>
      <c r="AL5896">
        <v>0</v>
      </c>
      <c r="AM5896">
        <v>0</v>
      </c>
      <c r="AN5896">
        <v>0</v>
      </c>
      <c r="AO5896">
        <v>0</v>
      </c>
      <c r="AP5896" s="2">
        <v>42746</v>
      </c>
      <c r="AQ5896" t="s">
        <v>72</v>
      </c>
      <c r="AR5896" t="s">
        <v>72</v>
      </c>
      <c r="AS5896">
        <v>454</v>
      </c>
      <c r="AT5896" s="4">
        <v>42416</v>
      </c>
      <c r="AU5896" t="s">
        <v>73</v>
      </c>
      <c r="AV5896">
        <v>454</v>
      </c>
      <c r="AW5896" s="4">
        <v>42416</v>
      </c>
      <c r="BD5896">
        <v>0</v>
      </c>
      <c r="BN5896" t="s">
        <v>74</v>
      </c>
    </row>
    <row r="5897" spans="1:66" hidden="1">
      <c r="A5897">
        <v>104009</v>
      </c>
      <c r="B5897" s="3" t="s">
        <v>591</v>
      </c>
      <c r="C5897" s="1">
        <v>43300101</v>
      </c>
      <c r="D5897" t="s">
        <v>67</v>
      </c>
      <c r="H5897" t="str">
        <f t="shared" si="616"/>
        <v>08641790152</v>
      </c>
      <c r="I5897" t="str">
        <f t="shared" si="616"/>
        <v>08641790152</v>
      </c>
      <c r="K5897" t="str">
        <f>""</f>
        <v/>
      </c>
      <c r="M5897" t="s">
        <v>68</v>
      </c>
      <c r="N5897" t="str">
        <f t="shared" si="615"/>
        <v>FOR</v>
      </c>
      <c r="O5897" t="s">
        <v>69</v>
      </c>
      <c r="P5897" s="3" t="s">
        <v>75</v>
      </c>
      <c r="Q5897">
        <v>2015</v>
      </c>
      <c r="R5897" s="2">
        <v>42172</v>
      </c>
      <c r="S5897" s="2">
        <v>42174</v>
      </c>
      <c r="T5897" s="2">
        <v>42173</v>
      </c>
      <c r="U5897" s="2">
        <v>42233</v>
      </c>
      <c r="V5897" t="s">
        <v>71</v>
      </c>
      <c r="W5897" t="str">
        <f>"             F071426"</f>
        <v xml:space="preserve">             F071426</v>
      </c>
      <c r="X5897">
        <v>988</v>
      </c>
      <c r="Y5897">
        <v>0</v>
      </c>
      <c r="Z5897"/>
      <c r="AB5897"/>
      <c r="AC5897">
        <v>950</v>
      </c>
      <c r="AD5897">
        <v>183</v>
      </c>
      <c r="AE5897" s="1">
        <v>173850</v>
      </c>
      <c r="AF5897">
        <v>0</v>
      </c>
      <c r="AJ5897">
        <v>0</v>
      </c>
      <c r="AK5897">
        <v>0</v>
      </c>
      <c r="AL5897">
        <v>0</v>
      </c>
      <c r="AM5897">
        <v>0</v>
      </c>
      <c r="AN5897">
        <v>0</v>
      </c>
      <c r="AO5897">
        <v>0</v>
      </c>
      <c r="AP5897" s="2">
        <v>42746</v>
      </c>
      <c r="AQ5897" t="s">
        <v>72</v>
      </c>
      <c r="AR5897" t="s">
        <v>72</v>
      </c>
      <c r="AS5897">
        <v>454</v>
      </c>
      <c r="AT5897" s="4">
        <v>42416</v>
      </c>
      <c r="AU5897" t="s">
        <v>73</v>
      </c>
      <c r="AV5897">
        <v>454</v>
      </c>
      <c r="AW5897" s="4">
        <v>42416</v>
      </c>
      <c r="BD5897">
        <v>0</v>
      </c>
      <c r="BN5897" t="s">
        <v>74</v>
      </c>
    </row>
    <row r="5898" spans="1:66" hidden="1">
      <c r="A5898">
        <v>104009</v>
      </c>
      <c r="B5898" s="3" t="s">
        <v>591</v>
      </c>
      <c r="C5898" s="1">
        <v>43300101</v>
      </c>
      <c r="D5898" t="s">
        <v>67</v>
      </c>
      <c r="H5898" t="str">
        <f t="shared" si="616"/>
        <v>08641790152</v>
      </c>
      <c r="I5898" t="str">
        <f t="shared" si="616"/>
        <v>08641790152</v>
      </c>
      <c r="K5898" t="str">
        <f>""</f>
        <v/>
      </c>
      <c r="M5898" t="s">
        <v>68</v>
      </c>
      <c r="N5898" t="str">
        <f t="shared" si="615"/>
        <v>FOR</v>
      </c>
      <c r="O5898" t="s">
        <v>69</v>
      </c>
      <c r="P5898" s="3" t="s">
        <v>75</v>
      </c>
      <c r="Q5898">
        <v>2015</v>
      </c>
      <c r="R5898" s="2">
        <v>42173</v>
      </c>
      <c r="S5898" s="2">
        <v>42177</v>
      </c>
      <c r="T5898" s="2">
        <v>42174</v>
      </c>
      <c r="U5898" s="2">
        <v>42234</v>
      </c>
      <c r="V5898" t="s">
        <v>71</v>
      </c>
      <c r="W5898" t="str">
        <f>"             F072212"</f>
        <v xml:space="preserve">             F072212</v>
      </c>
      <c r="X5898" s="1">
        <v>2635.2</v>
      </c>
      <c r="Y5898">
        <v>0</v>
      </c>
      <c r="Z5898"/>
      <c r="AB5898"/>
      <c r="AC5898" s="1">
        <v>2160</v>
      </c>
      <c r="AD5898">
        <v>182</v>
      </c>
      <c r="AE5898" s="1">
        <v>393120</v>
      </c>
      <c r="AF5898">
        <v>0</v>
      </c>
      <c r="AJ5898">
        <v>0</v>
      </c>
      <c r="AK5898">
        <v>0</v>
      </c>
      <c r="AL5898">
        <v>0</v>
      </c>
      <c r="AM5898">
        <v>0</v>
      </c>
      <c r="AN5898">
        <v>0</v>
      </c>
      <c r="AO5898">
        <v>0</v>
      </c>
      <c r="AP5898" s="2">
        <v>42746</v>
      </c>
      <c r="AQ5898" t="s">
        <v>72</v>
      </c>
      <c r="AR5898" t="s">
        <v>72</v>
      </c>
      <c r="AS5898">
        <v>454</v>
      </c>
      <c r="AT5898" s="4">
        <v>42416</v>
      </c>
      <c r="AU5898" t="s">
        <v>73</v>
      </c>
      <c r="AV5898">
        <v>454</v>
      </c>
      <c r="AW5898" s="4">
        <v>42416</v>
      </c>
      <c r="BD5898">
        <v>0</v>
      </c>
      <c r="BN5898" t="s">
        <v>74</v>
      </c>
    </row>
    <row r="5899" spans="1:66" hidden="1">
      <c r="A5899">
        <v>104009</v>
      </c>
      <c r="B5899" s="3" t="s">
        <v>591</v>
      </c>
      <c r="C5899" s="1">
        <v>43300101</v>
      </c>
      <c r="D5899" t="s">
        <v>67</v>
      </c>
      <c r="H5899" t="str">
        <f t="shared" si="616"/>
        <v>08641790152</v>
      </c>
      <c r="I5899" t="str">
        <f t="shared" si="616"/>
        <v>08641790152</v>
      </c>
      <c r="K5899" t="str">
        <f>""</f>
        <v/>
      </c>
      <c r="M5899" t="s">
        <v>68</v>
      </c>
      <c r="N5899" t="str">
        <f t="shared" si="615"/>
        <v>FOR</v>
      </c>
      <c r="O5899" t="s">
        <v>69</v>
      </c>
      <c r="P5899" s="3" t="s">
        <v>75</v>
      </c>
      <c r="Q5899">
        <v>2015</v>
      </c>
      <c r="R5899" s="2">
        <v>42174</v>
      </c>
      <c r="S5899" s="2">
        <v>42178</v>
      </c>
      <c r="T5899" s="2">
        <v>42175</v>
      </c>
      <c r="U5899" s="2">
        <v>42235</v>
      </c>
      <c r="V5899" t="s">
        <v>71</v>
      </c>
      <c r="W5899" t="str">
        <f>"             F072515"</f>
        <v xml:space="preserve">             F072515</v>
      </c>
      <c r="X5899">
        <v>92.72</v>
      </c>
      <c r="Y5899">
        <v>0</v>
      </c>
      <c r="Z5899"/>
      <c r="AB5899"/>
      <c r="AC5899">
        <v>76</v>
      </c>
      <c r="AD5899">
        <v>181</v>
      </c>
      <c r="AE5899" s="1">
        <v>13756</v>
      </c>
      <c r="AF5899">
        <v>0</v>
      </c>
      <c r="AJ5899">
        <v>0</v>
      </c>
      <c r="AK5899">
        <v>0</v>
      </c>
      <c r="AL5899">
        <v>0</v>
      </c>
      <c r="AM5899">
        <v>0</v>
      </c>
      <c r="AN5899">
        <v>0</v>
      </c>
      <c r="AO5899">
        <v>0</v>
      </c>
      <c r="AP5899" s="2">
        <v>42746</v>
      </c>
      <c r="AQ5899" t="s">
        <v>72</v>
      </c>
      <c r="AR5899" t="s">
        <v>72</v>
      </c>
      <c r="AS5899">
        <v>454</v>
      </c>
      <c r="AT5899" s="4">
        <v>42416</v>
      </c>
      <c r="AU5899" t="s">
        <v>73</v>
      </c>
      <c r="AV5899">
        <v>454</v>
      </c>
      <c r="AW5899" s="4">
        <v>42416</v>
      </c>
      <c r="BD5899">
        <v>0</v>
      </c>
      <c r="BN5899" t="s">
        <v>74</v>
      </c>
    </row>
    <row r="5900" spans="1:66" hidden="1">
      <c r="A5900">
        <v>104009</v>
      </c>
      <c r="B5900" s="3" t="s">
        <v>591</v>
      </c>
      <c r="C5900" s="1">
        <v>43300101</v>
      </c>
      <c r="D5900" t="s">
        <v>67</v>
      </c>
      <c r="H5900" t="str">
        <f t="shared" si="616"/>
        <v>08641790152</v>
      </c>
      <c r="I5900" t="str">
        <f t="shared" si="616"/>
        <v>08641790152</v>
      </c>
      <c r="K5900" t="str">
        <f>""</f>
        <v/>
      </c>
      <c r="M5900" t="s">
        <v>68</v>
      </c>
      <c r="N5900" t="str">
        <f t="shared" si="615"/>
        <v>FOR</v>
      </c>
      <c r="O5900" t="s">
        <v>69</v>
      </c>
      <c r="P5900" s="3" t="s">
        <v>75</v>
      </c>
      <c r="Q5900">
        <v>2015</v>
      </c>
      <c r="R5900" s="2">
        <v>42174</v>
      </c>
      <c r="S5900" s="2">
        <v>42178</v>
      </c>
      <c r="T5900" s="2">
        <v>42175</v>
      </c>
      <c r="U5900" s="2">
        <v>42235</v>
      </c>
      <c r="V5900" t="s">
        <v>71</v>
      </c>
      <c r="W5900" t="str">
        <f>"             F072626"</f>
        <v xml:space="preserve">             F072626</v>
      </c>
      <c r="X5900">
        <v>988</v>
      </c>
      <c r="Y5900">
        <v>0</v>
      </c>
      <c r="Z5900"/>
      <c r="AB5900"/>
      <c r="AC5900">
        <v>950</v>
      </c>
      <c r="AD5900">
        <v>181</v>
      </c>
      <c r="AE5900" s="1">
        <v>171950</v>
      </c>
      <c r="AF5900">
        <v>0</v>
      </c>
      <c r="AJ5900">
        <v>0</v>
      </c>
      <c r="AK5900">
        <v>0</v>
      </c>
      <c r="AL5900">
        <v>0</v>
      </c>
      <c r="AM5900">
        <v>0</v>
      </c>
      <c r="AN5900">
        <v>0</v>
      </c>
      <c r="AO5900">
        <v>0</v>
      </c>
      <c r="AP5900" s="2">
        <v>42746</v>
      </c>
      <c r="AQ5900" t="s">
        <v>72</v>
      </c>
      <c r="AR5900" t="s">
        <v>72</v>
      </c>
      <c r="AS5900">
        <v>454</v>
      </c>
      <c r="AT5900" s="4">
        <v>42416</v>
      </c>
      <c r="AU5900" t="s">
        <v>73</v>
      </c>
      <c r="AV5900">
        <v>454</v>
      </c>
      <c r="AW5900" s="4">
        <v>42416</v>
      </c>
      <c r="BD5900">
        <v>0</v>
      </c>
      <c r="BN5900" t="s">
        <v>74</v>
      </c>
    </row>
    <row r="5901" spans="1:66" hidden="1">
      <c r="A5901">
        <v>104009</v>
      </c>
      <c r="B5901" s="3" t="s">
        <v>591</v>
      </c>
      <c r="C5901" s="1">
        <v>43300101</v>
      </c>
      <c r="D5901" t="s">
        <v>67</v>
      </c>
      <c r="H5901" t="str">
        <f t="shared" si="616"/>
        <v>08641790152</v>
      </c>
      <c r="I5901" t="str">
        <f t="shared" si="616"/>
        <v>08641790152</v>
      </c>
      <c r="K5901" t="str">
        <f>""</f>
        <v/>
      </c>
      <c r="M5901" t="s">
        <v>68</v>
      </c>
      <c r="N5901" t="str">
        <f t="shared" si="615"/>
        <v>FOR</v>
      </c>
      <c r="O5901" t="s">
        <v>69</v>
      </c>
      <c r="P5901" s="3" t="s">
        <v>75</v>
      </c>
      <c r="Q5901">
        <v>2015</v>
      </c>
      <c r="R5901" s="2">
        <v>42174</v>
      </c>
      <c r="S5901" s="2">
        <v>42178</v>
      </c>
      <c r="T5901" s="2">
        <v>42175</v>
      </c>
      <c r="U5901" s="2">
        <v>42235</v>
      </c>
      <c r="V5901" t="s">
        <v>71</v>
      </c>
      <c r="W5901" t="str">
        <f>"             F072631"</f>
        <v xml:space="preserve">             F072631</v>
      </c>
      <c r="X5901">
        <v>988</v>
      </c>
      <c r="Y5901">
        <v>0</v>
      </c>
      <c r="Z5901"/>
      <c r="AB5901"/>
      <c r="AC5901">
        <v>950</v>
      </c>
      <c r="AD5901">
        <v>181</v>
      </c>
      <c r="AE5901" s="1">
        <v>171950</v>
      </c>
      <c r="AF5901">
        <v>0</v>
      </c>
      <c r="AJ5901">
        <v>0</v>
      </c>
      <c r="AK5901">
        <v>0</v>
      </c>
      <c r="AL5901">
        <v>0</v>
      </c>
      <c r="AM5901">
        <v>0</v>
      </c>
      <c r="AN5901">
        <v>0</v>
      </c>
      <c r="AO5901">
        <v>0</v>
      </c>
      <c r="AP5901" s="2">
        <v>42746</v>
      </c>
      <c r="AQ5901" t="s">
        <v>72</v>
      </c>
      <c r="AR5901" t="s">
        <v>72</v>
      </c>
      <c r="AS5901">
        <v>454</v>
      </c>
      <c r="AT5901" s="4">
        <v>42416</v>
      </c>
      <c r="AU5901" t="s">
        <v>73</v>
      </c>
      <c r="AV5901">
        <v>454</v>
      </c>
      <c r="AW5901" s="4">
        <v>42416</v>
      </c>
      <c r="BD5901">
        <v>0</v>
      </c>
      <c r="BN5901" t="s">
        <v>74</v>
      </c>
    </row>
    <row r="5902" spans="1:66" hidden="1">
      <c r="A5902">
        <v>104009</v>
      </c>
      <c r="B5902" s="3" t="s">
        <v>591</v>
      </c>
      <c r="C5902" s="1">
        <v>43300101</v>
      </c>
      <c r="D5902" t="s">
        <v>67</v>
      </c>
      <c r="H5902" t="str">
        <f t="shared" si="616"/>
        <v>08641790152</v>
      </c>
      <c r="I5902" t="str">
        <f t="shared" si="616"/>
        <v>08641790152</v>
      </c>
      <c r="K5902" t="str">
        <f>""</f>
        <v/>
      </c>
      <c r="M5902" t="s">
        <v>68</v>
      </c>
      <c r="N5902" t="str">
        <f t="shared" si="615"/>
        <v>FOR</v>
      </c>
      <c r="O5902" t="s">
        <v>69</v>
      </c>
      <c r="P5902" s="3" t="s">
        <v>75</v>
      </c>
      <c r="Q5902">
        <v>2015</v>
      </c>
      <c r="R5902" s="2">
        <v>42174</v>
      </c>
      <c r="S5902" s="2">
        <v>42178</v>
      </c>
      <c r="T5902" s="2">
        <v>42175</v>
      </c>
      <c r="U5902" s="2">
        <v>42235</v>
      </c>
      <c r="V5902" t="s">
        <v>71</v>
      </c>
      <c r="W5902" t="str">
        <f>"             F072633"</f>
        <v xml:space="preserve">             F072633</v>
      </c>
      <c r="X5902">
        <v>988</v>
      </c>
      <c r="Y5902">
        <v>0</v>
      </c>
      <c r="Z5902"/>
      <c r="AB5902"/>
      <c r="AC5902">
        <v>950</v>
      </c>
      <c r="AD5902">
        <v>181</v>
      </c>
      <c r="AE5902" s="1">
        <v>171950</v>
      </c>
      <c r="AF5902">
        <v>0</v>
      </c>
      <c r="AJ5902">
        <v>0</v>
      </c>
      <c r="AK5902">
        <v>0</v>
      </c>
      <c r="AL5902">
        <v>0</v>
      </c>
      <c r="AM5902">
        <v>0</v>
      </c>
      <c r="AN5902">
        <v>0</v>
      </c>
      <c r="AO5902">
        <v>0</v>
      </c>
      <c r="AP5902" s="2">
        <v>42746</v>
      </c>
      <c r="AQ5902" t="s">
        <v>72</v>
      </c>
      <c r="AR5902" t="s">
        <v>72</v>
      </c>
      <c r="AS5902">
        <v>454</v>
      </c>
      <c r="AT5902" s="4">
        <v>42416</v>
      </c>
      <c r="AU5902" t="s">
        <v>73</v>
      </c>
      <c r="AV5902">
        <v>454</v>
      </c>
      <c r="AW5902" s="4">
        <v>42416</v>
      </c>
      <c r="BD5902">
        <v>0</v>
      </c>
      <c r="BN5902" t="s">
        <v>74</v>
      </c>
    </row>
    <row r="5903" spans="1:66" hidden="1">
      <c r="A5903">
        <v>104009</v>
      </c>
      <c r="B5903" s="3" t="s">
        <v>591</v>
      </c>
      <c r="C5903" s="1">
        <v>43300101</v>
      </c>
      <c r="D5903" t="s">
        <v>67</v>
      </c>
      <c r="H5903" t="str">
        <f t="shared" si="616"/>
        <v>08641790152</v>
      </c>
      <c r="I5903" t="str">
        <f t="shared" si="616"/>
        <v>08641790152</v>
      </c>
      <c r="K5903" t="str">
        <f>""</f>
        <v/>
      </c>
      <c r="M5903" t="s">
        <v>68</v>
      </c>
      <c r="N5903" t="str">
        <f t="shared" si="615"/>
        <v>FOR</v>
      </c>
      <c r="O5903" t="s">
        <v>69</v>
      </c>
      <c r="P5903" s="3" t="s">
        <v>75</v>
      </c>
      <c r="Q5903">
        <v>2015</v>
      </c>
      <c r="R5903" s="2">
        <v>42177</v>
      </c>
      <c r="S5903" s="2">
        <v>42178</v>
      </c>
      <c r="T5903" s="2">
        <v>42178</v>
      </c>
      <c r="U5903" s="2">
        <v>42238</v>
      </c>
      <c r="V5903" t="s">
        <v>71</v>
      </c>
      <c r="W5903" t="str">
        <f>"             F073492"</f>
        <v xml:space="preserve">             F073492</v>
      </c>
      <c r="X5903" s="1">
        <v>1037</v>
      </c>
      <c r="Y5903">
        <v>0</v>
      </c>
      <c r="Z5903"/>
      <c r="AB5903"/>
      <c r="AC5903">
        <v>850</v>
      </c>
      <c r="AD5903">
        <v>178</v>
      </c>
      <c r="AE5903" s="1">
        <v>151300</v>
      </c>
      <c r="AF5903">
        <v>0</v>
      </c>
      <c r="AJ5903">
        <v>0</v>
      </c>
      <c r="AK5903">
        <v>0</v>
      </c>
      <c r="AL5903">
        <v>0</v>
      </c>
      <c r="AM5903">
        <v>0</v>
      </c>
      <c r="AN5903">
        <v>0</v>
      </c>
      <c r="AO5903">
        <v>0</v>
      </c>
      <c r="AP5903" s="2">
        <v>42746</v>
      </c>
      <c r="AQ5903" t="s">
        <v>72</v>
      </c>
      <c r="AR5903" t="s">
        <v>72</v>
      </c>
      <c r="AS5903">
        <v>454</v>
      </c>
      <c r="AT5903" s="4">
        <v>42416</v>
      </c>
      <c r="AU5903" t="s">
        <v>73</v>
      </c>
      <c r="AV5903">
        <v>454</v>
      </c>
      <c r="AW5903" s="4">
        <v>42416</v>
      </c>
      <c r="BD5903">
        <v>0</v>
      </c>
      <c r="BN5903" t="s">
        <v>74</v>
      </c>
    </row>
    <row r="5904" spans="1:66" hidden="1">
      <c r="A5904">
        <v>104009</v>
      </c>
      <c r="B5904" s="3" t="s">
        <v>591</v>
      </c>
      <c r="C5904" s="1">
        <v>43300101</v>
      </c>
      <c r="D5904" t="s">
        <v>67</v>
      </c>
      <c r="H5904" t="str">
        <f t="shared" si="616"/>
        <v>08641790152</v>
      </c>
      <c r="I5904" t="str">
        <f t="shared" si="616"/>
        <v>08641790152</v>
      </c>
      <c r="K5904" t="str">
        <f>""</f>
        <v/>
      </c>
      <c r="M5904" t="s">
        <v>68</v>
      </c>
      <c r="N5904" t="str">
        <f t="shared" si="615"/>
        <v>FOR</v>
      </c>
      <c r="O5904" t="s">
        <v>69</v>
      </c>
      <c r="P5904" s="3" t="s">
        <v>75</v>
      </c>
      <c r="Q5904">
        <v>2015</v>
      </c>
      <c r="R5904" s="2">
        <v>42177</v>
      </c>
      <c r="S5904" s="2">
        <v>42178</v>
      </c>
      <c r="T5904" s="2">
        <v>42178</v>
      </c>
      <c r="U5904" s="2">
        <v>42238</v>
      </c>
      <c r="V5904" t="s">
        <v>71</v>
      </c>
      <c r="W5904" t="str">
        <f>"             F073505"</f>
        <v xml:space="preserve">             F073505</v>
      </c>
      <c r="X5904" s="1">
        <v>1698.24</v>
      </c>
      <c r="Y5904">
        <v>0</v>
      </c>
      <c r="Z5904"/>
      <c r="AB5904"/>
      <c r="AC5904" s="1">
        <v>1392</v>
      </c>
      <c r="AD5904">
        <v>178</v>
      </c>
      <c r="AE5904" s="1">
        <v>247776</v>
      </c>
      <c r="AF5904">
        <v>0</v>
      </c>
      <c r="AJ5904">
        <v>0</v>
      </c>
      <c r="AK5904">
        <v>0</v>
      </c>
      <c r="AL5904">
        <v>0</v>
      </c>
      <c r="AM5904">
        <v>0</v>
      </c>
      <c r="AN5904">
        <v>0</v>
      </c>
      <c r="AO5904">
        <v>0</v>
      </c>
      <c r="AP5904" s="2">
        <v>42746</v>
      </c>
      <c r="AQ5904" t="s">
        <v>72</v>
      </c>
      <c r="AR5904" t="s">
        <v>72</v>
      </c>
      <c r="AS5904">
        <v>454</v>
      </c>
      <c r="AT5904" s="4">
        <v>42416</v>
      </c>
      <c r="AU5904" t="s">
        <v>73</v>
      </c>
      <c r="AV5904">
        <v>454</v>
      </c>
      <c r="AW5904" s="4">
        <v>42416</v>
      </c>
      <c r="BD5904">
        <v>0</v>
      </c>
      <c r="BN5904" t="s">
        <v>74</v>
      </c>
    </row>
    <row r="5905" spans="1:66" hidden="1">
      <c r="A5905">
        <v>104009</v>
      </c>
      <c r="B5905" s="3" t="s">
        <v>591</v>
      </c>
      <c r="C5905" s="1">
        <v>43300101</v>
      </c>
      <c r="D5905" t="s">
        <v>67</v>
      </c>
      <c r="H5905" t="str">
        <f t="shared" si="616"/>
        <v>08641790152</v>
      </c>
      <c r="I5905" t="str">
        <f t="shared" si="616"/>
        <v>08641790152</v>
      </c>
      <c r="K5905" t="str">
        <f>""</f>
        <v/>
      </c>
      <c r="M5905" t="s">
        <v>68</v>
      </c>
      <c r="N5905" t="str">
        <f t="shared" si="615"/>
        <v>FOR</v>
      </c>
      <c r="O5905" t="s">
        <v>69</v>
      </c>
      <c r="P5905" s="3" t="s">
        <v>75</v>
      </c>
      <c r="Q5905">
        <v>2015</v>
      </c>
      <c r="R5905" s="2">
        <v>42177</v>
      </c>
      <c r="S5905" s="2">
        <v>42178</v>
      </c>
      <c r="T5905" s="2">
        <v>42178</v>
      </c>
      <c r="U5905" s="2">
        <v>42238</v>
      </c>
      <c r="V5905" t="s">
        <v>71</v>
      </c>
      <c r="W5905" t="str">
        <f>"             F073511"</f>
        <v xml:space="preserve">             F073511</v>
      </c>
      <c r="X5905">
        <v>358.68</v>
      </c>
      <c r="Y5905">
        <v>0</v>
      </c>
      <c r="Z5905"/>
      <c r="AB5905"/>
      <c r="AC5905">
        <v>294</v>
      </c>
      <c r="AD5905">
        <v>178</v>
      </c>
      <c r="AE5905" s="1">
        <v>52332</v>
      </c>
      <c r="AF5905">
        <v>0</v>
      </c>
      <c r="AJ5905">
        <v>0</v>
      </c>
      <c r="AK5905">
        <v>0</v>
      </c>
      <c r="AL5905">
        <v>0</v>
      </c>
      <c r="AM5905">
        <v>0</v>
      </c>
      <c r="AN5905">
        <v>0</v>
      </c>
      <c r="AO5905">
        <v>0</v>
      </c>
      <c r="AP5905" s="2">
        <v>42746</v>
      </c>
      <c r="AQ5905" t="s">
        <v>72</v>
      </c>
      <c r="AR5905" t="s">
        <v>72</v>
      </c>
      <c r="AS5905">
        <v>454</v>
      </c>
      <c r="AT5905" s="4">
        <v>42416</v>
      </c>
      <c r="AU5905" t="s">
        <v>73</v>
      </c>
      <c r="AV5905">
        <v>454</v>
      </c>
      <c r="AW5905" s="4">
        <v>42416</v>
      </c>
      <c r="BD5905">
        <v>0</v>
      </c>
      <c r="BN5905" t="s">
        <v>74</v>
      </c>
    </row>
    <row r="5906" spans="1:66" hidden="1">
      <c r="A5906">
        <v>104009</v>
      </c>
      <c r="B5906" s="3" t="s">
        <v>591</v>
      </c>
      <c r="C5906" s="1">
        <v>43300101</v>
      </c>
      <c r="D5906" t="s">
        <v>67</v>
      </c>
      <c r="H5906" t="str">
        <f t="shared" si="616"/>
        <v>08641790152</v>
      </c>
      <c r="I5906" t="str">
        <f t="shared" si="616"/>
        <v>08641790152</v>
      </c>
      <c r="K5906" t="str">
        <f>""</f>
        <v/>
      </c>
      <c r="M5906" t="s">
        <v>68</v>
      </c>
      <c r="N5906" t="str">
        <f t="shared" si="615"/>
        <v>FOR</v>
      </c>
      <c r="O5906" t="s">
        <v>69</v>
      </c>
      <c r="P5906" s="3" t="s">
        <v>75</v>
      </c>
      <c r="Q5906">
        <v>2015</v>
      </c>
      <c r="R5906" s="2">
        <v>42177</v>
      </c>
      <c r="S5906" s="2">
        <v>42178</v>
      </c>
      <c r="T5906" s="2">
        <v>42178</v>
      </c>
      <c r="U5906" s="2">
        <v>42238</v>
      </c>
      <c r="V5906" t="s">
        <v>71</v>
      </c>
      <c r="W5906" t="str">
        <f>"             F073541"</f>
        <v xml:space="preserve">             F073541</v>
      </c>
      <c r="X5906">
        <v>244</v>
      </c>
      <c r="Y5906">
        <v>0</v>
      </c>
      <c r="Z5906"/>
      <c r="AB5906"/>
      <c r="AC5906">
        <v>200</v>
      </c>
      <c r="AD5906">
        <v>178</v>
      </c>
      <c r="AE5906" s="1">
        <v>35600</v>
      </c>
      <c r="AF5906">
        <v>0</v>
      </c>
      <c r="AJ5906">
        <v>0</v>
      </c>
      <c r="AK5906">
        <v>0</v>
      </c>
      <c r="AL5906">
        <v>0</v>
      </c>
      <c r="AM5906">
        <v>0</v>
      </c>
      <c r="AN5906">
        <v>0</v>
      </c>
      <c r="AO5906">
        <v>0</v>
      </c>
      <c r="AP5906" s="2">
        <v>42746</v>
      </c>
      <c r="AQ5906" t="s">
        <v>72</v>
      </c>
      <c r="AR5906" t="s">
        <v>72</v>
      </c>
      <c r="AS5906">
        <v>454</v>
      </c>
      <c r="AT5906" s="4">
        <v>42416</v>
      </c>
      <c r="AU5906" t="s">
        <v>73</v>
      </c>
      <c r="AV5906">
        <v>454</v>
      </c>
      <c r="AW5906" s="4">
        <v>42416</v>
      </c>
      <c r="BD5906">
        <v>0</v>
      </c>
      <c r="BN5906" t="s">
        <v>74</v>
      </c>
    </row>
    <row r="5907" spans="1:66" hidden="1">
      <c r="A5907">
        <v>104009</v>
      </c>
      <c r="B5907" s="3" t="s">
        <v>591</v>
      </c>
      <c r="C5907" s="1">
        <v>43300101</v>
      </c>
      <c r="D5907" t="s">
        <v>67</v>
      </c>
      <c r="H5907" t="str">
        <f t="shared" si="616"/>
        <v>08641790152</v>
      </c>
      <c r="I5907" t="str">
        <f t="shared" si="616"/>
        <v>08641790152</v>
      </c>
      <c r="K5907" t="str">
        <f>""</f>
        <v/>
      </c>
      <c r="M5907" t="s">
        <v>68</v>
      </c>
      <c r="N5907" t="str">
        <f t="shared" si="615"/>
        <v>FOR</v>
      </c>
      <c r="O5907" t="s">
        <v>69</v>
      </c>
      <c r="P5907" s="3" t="s">
        <v>75</v>
      </c>
      <c r="Q5907">
        <v>2015</v>
      </c>
      <c r="R5907" s="2">
        <v>42177</v>
      </c>
      <c r="S5907" s="2">
        <v>42178</v>
      </c>
      <c r="T5907" s="2">
        <v>42178</v>
      </c>
      <c r="U5907" s="2">
        <v>42238</v>
      </c>
      <c r="V5907" t="s">
        <v>71</v>
      </c>
      <c r="W5907" t="str">
        <f>"             F073562"</f>
        <v xml:space="preserve">             F073562</v>
      </c>
      <c r="X5907" s="1">
        <v>1903.2</v>
      </c>
      <c r="Y5907">
        <v>0</v>
      </c>
      <c r="Z5907"/>
      <c r="AB5907"/>
      <c r="AC5907" s="1">
        <v>1560</v>
      </c>
      <c r="AD5907">
        <v>178</v>
      </c>
      <c r="AE5907" s="1">
        <v>277680</v>
      </c>
      <c r="AF5907">
        <v>0</v>
      </c>
      <c r="AJ5907">
        <v>0</v>
      </c>
      <c r="AK5907">
        <v>0</v>
      </c>
      <c r="AL5907">
        <v>0</v>
      </c>
      <c r="AM5907">
        <v>0</v>
      </c>
      <c r="AN5907">
        <v>0</v>
      </c>
      <c r="AO5907">
        <v>0</v>
      </c>
      <c r="AP5907" s="2">
        <v>42746</v>
      </c>
      <c r="AQ5907" t="s">
        <v>72</v>
      </c>
      <c r="AR5907" t="s">
        <v>72</v>
      </c>
      <c r="AS5907">
        <v>454</v>
      </c>
      <c r="AT5907" s="4">
        <v>42416</v>
      </c>
      <c r="AU5907" t="s">
        <v>73</v>
      </c>
      <c r="AV5907">
        <v>454</v>
      </c>
      <c r="AW5907" s="4">
        <v>42416</v>
      </c>
      <c r="BD5907">
        <v>0</v>
      </c>
      <c r="BN5907" t="s">
        <v>74</v>
      </c>
    </row>
    <row r="5908" spans="1:66" hidden="1">
      <c r="A5908">
        <v>104009</v>
      </c>
      <c r="B5908" s="3" t="s">
        <v>591</v>
      </c>
      <c r="C5908" s="1">
        <v>43300101</v>
      </c>
      <c r="D5908" t="s">
        <v>67</v>
      </c>
      <c r="H5908" t="str">
        <f t="shared" si="616"/>
        <v>08641790152</v>
      </c>
      <c r="I5908" t="str">
        <f t="shared" si="616"/>
        <v>08641790152</v>
      </c>
      <c r="K5908" t="str">
        <f>""</f>
        <v/>
      </c>
      <c r="M5908" t="s">
        <v>68</v>
      </c>
      <c r="N5908" t="str">
        <f t="shared" si="615"/>
        <v>FOR</v>
      </c>
      <c r="O5908" t="s">
        <v>69</v>
      </c>
      <c r="P5908" s="3" t="s">
        <v>75</v>
      </c>
      <c r="Q5908">
        <v>2015</v>
      </c>
      <c r="R5908" s="2">
        <v>42177</v>
      </c>
      <c r="S5908" s="2">
        <v>42178</v>
      </c>
      <c r="T5908" s="2">
        <v>42178</v>
      </c>
      <c r="U5908" s="2">
        <v>42238</v>
      </c>
      <c r="V5908" t="s">
        <v>71</v>
      </c>
      <c r="W5908" t="str">
        <f>"             F073578"</f>
        <v xml:space="preserve">             F073578</v>
      </c>
      <c r="X5908" s="1">
        <v>2723.04</v>
      </c>
      <c r="Y5908">
        <v>0</v>
      </c>
      <c r="Z5908"/>
      <c r="AB5908"/>
      <c r="AC5908" s="1">
        <v>2232</v>
      </c>
      <c r="AD5908">
        <v>178</v>
      </c>
      <c r="AE5908" s="1">
        <v>397296</v>
      </c>
      <c r="AF5908">
        <v>0</v>
      </c>
      <c r="AJ5908">
        <v>0</v>
      </c>
      <c r="AK5908">
        <v>0</v>
      </c>
      <c r="AL5908">
        <v>0</v>
      </c>
      <c r="AM5908">
        <v>0</v>
      </c>
      <c r="AN5908">
        <v>0</v>
      </c>
      <c r="AO5908">
        <v>0</v>
      </c>
      <c r="AP5908" s="2">
        <v>42746</v>
      </c>
      <c r="AQ5908" t="s">
        <v>72</v>
      </c>
      <c r="AR5908" t="s">
        <v>72</v>
      </c>
      <c r="AS5908">
        <v>454</v>
      </c>
      <c r="AT5908" s="4">
        <v>42416</v>
      </c>
      <c r="AU5908" t="s">
        <v>73</v>
      </c>
      <c r="AV5908">
        <v>454</v>
      </c>
      <c r="AW5908" s="4">
        <v>42416</v>
      </c>
      <c r="BD5908">
        <v>0</v>
      </c>
      <c r="BN5908" t="s">
        <v>74</v>
      </c>
    </row>
    <row r="5909" spans="1:66" hidden="1">
      <c r="A5909">
        <v>104009</v>
      </c>
      <c r="B5909" s="3" t="s">
        <v>591</v>
      </c>
      <c r="C5909" s="1">
        <v>43300101</v>
      </c>
      <c r="D5909" t="s">
        <v>67</v>
      </c>
      <c r="H5909" t="str">
        <f t="shared" ref="H5909:I5928" si="617">"08641790152"</f>
        <v>08641790152</v>
      </c>
      <c r="I5909" t="str">
        <f t="shared" si="617"/>
        <v>08641790152</v>
      </c>
      <c r="K5909" t="str">
        <f>""</f>
        <v/>
      </c>
      <c r="M5909" t="s">
        <v>68</v>
      </c>
      <c r="N5909" t="str">
        <f t="shared" si="615"/>
        <v>FOR</v>
      </c>
      <c r="O5909" t="s">
        <v>69</v>
      </c>
      <c r="P5909" s="3" t="s">
        <v>75</v>
      </c>
      <c r="Q5909">
        <v>2015</v>
      </c>
      <c r="R5909" s="2">
        <v>42177</v>
      </c>
      <c r="S5909" s="2">
        <v>42178</v>
      </c>
      <c r="T5909" s="2">
        <v>42178</v>
      </c>
      <c r="U5909" s="2">
        <v>42238</v>
      </c>
      <c r="V5909" t="s">
        <v>71</v>
      </c>
      <c r="W5909" t="str">
        <f>"             F073647"</f>
        <v xml:space="preserve">             F073647</v>
      </c>
      <c r="X5909" s="1">
        <v>2161.84</v>
      </c>
      <c r="Y5909">
        <v>0</v>
      </c>
      <c r="Z5909"/>
      <c r="AB5909"/>
      <c r="AC5909" s="1">
        <v>1772</v>
      </c>
      <c r="AD5909">
        <v>178</v>
      </c>
      <c r="AE5909" s="1">
        <v>315416</v>
      </c>
      <c r="AF5909">
        <v>0</v>
      </c>
      <c r="AJ5909">
        <v>0</v>
      </c>
      <c r="AK5909">
        <v>0</v>
      </c>
      <c r="AL5909">
        <v>0</v>
      </c>
      <c r="AM5909">
        <v>0</v>
      </c>
      <c r="AN5909">
        <v>0</v>
      </c>
      <c r="AO5909">
        <v>0</v>
      </c>
      <c r="AP5909" s="2">
        <v>42746</v>
      </c>
      <c r="AQ5909" t="s">
        <v>72</v>
      </c>
      <c r="AR5909" t="s">
        <v>72</v>
      </c>
      <c r="AS5909">
        <v>454</v>
      </c>
      <c r="AT5909" s="4">
        <v>42416</v>
      </c>
      <c r="AU5909" t="s">
        <v>73</v>
      </c>
      <c r="AV5909">
        <v>454</v>
      </c>
      <c r="AW5909" s="4">
        <v>42416</v>
      </c>
      <c r="BD5909">
        <v>0</v>
      </c>
      <c r="BN5909" t="s">
        <v>74</v>
      </c>
    </row>
    <row r="5910" spans="1:66" hidden="1">
      <c r="A5910">
        <v>104009</v>
      </c>
      <c r="B5910" s="3" t="s">
        <v>591</v>
      </c>
      <c r="C5910" s="1">
        <v>43300101</v>
      </c>
      <c r="D5910" t="s">
        <v>67</v>
      </c>
      <c r="H5910" t="str">
        <f t="shared" si="617"/>
        <v>08641790152</v>
      </c>
      <c r="I5910" t="str">
        <f t="shared" si="617"/>
        <v>08641790152</v>
      </c>
      <c r="K5910" t="str">
        <f>""</f>
        <v/>
      </c>
      <c r="M5910" t="s">
        <v>68</v>
      </c>
      <c r="N5910" t="str">
        <f t="shared" si="615"/>
        <v>FOR</v>
      </c>
      <c r="O5910" t="s">
        <v>69</v>
      </c>
      <c r="P5910" s="3" t="s">
        <v>75</v>
      </c>
      <c r="Q5910">
        <v>2015</v>
      </c>
      <c r="R5910" s="2">
        <v>42179</v>
      </c>
      <c r="S5910" s="2">
        <v>42185</v>
      </c>
      <c r="T5910" s="2">
        <v>42181</v>
      </c>
      <c r="U5910" s="2">
        <v>42241</v>
      </c>
      <c r="V5910" t="s">
        <v>71</v>
      </c>
      <c r="W5910" t="str">
        <f>"             F074789"</f>
        <v xml:space="preserve">             F074789</v>
      </c>
      <c r="X5910" s="1">
        <v>1012.6</v>
      </c>
      <c r="Y5910">
        <v>0</v>
      </c>
      <c r="Z5910"/>
      <c r="AB5910"/>
      <c r="AC5910">
        <v>830</v>
      </c>
      <c r="AD5910">
        <v>175</v>
      </c>
      <c r="AE5910" s="1">
        <v>145250</v>
      </c>
      <c r="AF5910">
        <v>0</v>
      </c>
      <c r="AJ5910">
        <v>0</v>
      </c>
      <c r="AK5910">
        <v>0</v>
      </c>
      <c r="AL5910">
        <v>0</v>
      </c>
      <c r="AM5910">
        <v>0</v>
      </c>
      <c r="AN5910">
        <v>0</v>
      </c>
      <c r="AO5910">
        <v>0</v>
      </c>
      <c r="AP5910" s="2">
        <v>42746</v>
      </c>
      <c r="AQ5910" t="s">
        <v>72</v>
      </c>
      <c r="AR5910" t="s">
        <v>72</v>
      </c>
      <c r="AS5910">
        <v>454</v>
      </c>
      <c r="AT5910" s="4">
        <v>42416</v>
      </c>
      <c r="AU5910" t="s">
        <v>73</v>
      </c>
      <c r="AV5910">
        <v>454</v>
      </c>
      <c r="AW5910" s="4">
        <v>42416</v>
      </c>
      <c r="BD5910">
        <v>0</v>
      </c>
      <c r="BN5910" t="s">
        <v>74</v>
      </c>
    </row>
    <row r="5911" spans="1:66" hidden="1">
      <c r="A5911">
        <v>104009</v>
      </c>
      <c r="B5911" s="3" t="s">
        <v>591</v>
      </c>
      <c r="C5911" s="1">
        <v>43300101</v>
      </c>
      <c r="D5911" t="s">
        <v>67</v>
      </c>
      <c r="H5911" t="str">
        <f t="shared" si="617"/>
        <v>08641790152</v>
      </c>
      <c r="I5911" t="str">
        <f t="shared" si="617"/>
        <v>08641790152</v>
      </c>
      <c r="K5911" t="str">
        <f>""</f>
        <v/>
      </c>
      <c r="M5911" t="s">
        <v>68</v>
      </c>
      <c r="N5911" t="str">
        <f t="shared" si="615"/>
        <v>FOR</v>
      </c>
      <c r="O5911" t="s">
        <v>69</v>
      </c>
      <c r="P5911" s="3" t="s">
        <v>75</v>
      </c>
      <c r="Q5911">
        <v>2015</v>
      </c>
      <c r="R5911" s="2">
        <v>42179</v>
      </c>
      <c r="S5911" s="2">
        <v>42185</v>
      </c>
      <c r="T5911" s="2">
        <v>42181</v>
      </c>
      <c r="U5911" s="2">
        <v>42241</v>
      </c>
      <c r="V5911" t="s">
        <v>71</v>
      </c>
      <c r="W5911" t="str">
        <f>"             F074794"</f>
        <v xml:space="preserve">             F074794</v>
      </c>
      <c r="X5911" s="1">
        <v>3525.8</v>
      </c>
      <c r="Y5911">
        <v>0</v>
      </c>
      <c r="Z5911"/>
      <c r="AB5911"/>
      <c r="AC5911" s="1">
        <v>2890</v>
      </c>
      <c r="AD5911">
        <v>175</v>
      </c>
      <c r="AE5911" s="1">
        <v>505750</v>
      </c>
      <c r="AF5911">
        <v>0</v>
      </c>
      <c r="AJ5911">
        <v>0</v>
      </c>
      <c r="AK5911">
        <v>0</v>
      </c>
      <c r="AL5911">
        <v>0</v>
      </c>
      <c r="AM5911">
        <v>0</v>
      </c>
      <c r="AN5911">
        <v>0</v>
      </c>
      <c r="AO5911">
        <v>0</v>
      </c>
      <c r="AP5911" s="2">
        <v>42746</v>
      </c>
      <c r="AQ5911" t="s">
        <v>72</v>
      </c>
      <c r="AR5911" t="s">
        <v>72</v>
      </c>
      <c r="AS5911">
        <v>454</v>
      </c>
      <c r="AT5911" s="4">
        <v>42416</v>
      </c>
      <c r="AU5911" t="s">
        <v>73</v>
      </c>
      <c r="AV5911">
        <v>454</v>
      </c>
      <c r="AW5911" s="4">
        <v>42416</v>
      </c>
      <c r="BD5911">
        <v>0</v>
      </c>
      <c r="BN5911" t="s">
        <v>74</v>
      </c>
    </row>
    <row r="5912" spans="1:66" hidden="1">
      <c r="A5912">
        <v>104009</v>
      </c>
      <c r="B5912" s="3" t="s">
        <v>591</v>
      </c>
      <c r="C5912" s="1">
        <v>43300101</v>
      </c>
      <c r="D5912" t="s">
        <v>67</v>
      </c>
      <c r="H5912" t="str">
        <f t="shared" si="617"/>
        <v>08641790152</v>
      </c>
      <c r="I5912" t="str">
        <f t="shared" si="617"/>
        <v>08641790152</v>
      </c>
      <c r="K5912" t="str">
        <f>""</f>
        <v/>
      </c>
      <c r="M5912" t="s">
        <v>68</v>
      </c>
      <c r="N5912" t="str">
        <f t="shared" si="615"/>
        <v>FOR</v>
      </c>
      <c r="O5912" t="s">
        <v>69</v>
      </c>
      <c r="P5912" s="3" t="s">
        <v>75</v>
      </c>
      <c r="Q5912">
        <v>2015</v>
      </c>
      <c r="R5912" s="2">
        <v>42181</v>
      </c>
      <c r="S5912" s="2">
        <v>42191</v>
      </c>
      <c r="T5912" s="2">
        <v>42185</v>
      </c>
      <c r="U5912" s="2">
        <v>42245</v>
      </c>
      <c r="V5912" t="s">
        <v>71</v>
      </c>
      <c r="W5912" t="str">
        <f>"             F076214"</f>
        <v xml:space="preserve">             F076214</v>
      </c>
      <c r="X5912" s="1">
        <v>1012.6</v>
      </c>
      <c r="Y5912">
        <v>0</v>
      </c>
      <c r="Z5912"/>
      <c r="AB5912"/>
      <c r="AC5912">
        <v>830</v>
      </c>
      <c r="AD5912">
        <v>171</v>
      </c>
      <c r="AE5912" s="1">
        <v>141930</v>
      </c>
      <c r="AF5912">
        <v>0</v>
      </c>
      <c r="AJ5912">
        <v>0</v>
      </c>
      <c r="AK5912">
        <v>0</v>
      </c>
      <c r="AL5912">
        <v>0</v>
      </c>
      <c r="AM5912">
        <v>0</v>
      </c>
      <c r="AN5912">
        <v>0</v>
      </c>
      <c r="AO5912">
        <v>0</v>
      </c>
      <c r="AP5912" s="2">
        <v>42746</v>
      </c>
      <c r="AQ5912" t="s">
        <v>72</v>
      </c>
      <c r="AR5912" t="s">
        <v>72</v>
      </c>
      <c r="AS5912">
        <v>454</v>
      </c>
      <c r="AT5912" s="4">
        <v>42416</v>
      </c>
      <c r="AU5912" t="s">
        <v>73</v>
      </c>
      <c r="AV5912">
        <v>454</v>
      </c>
      <c r="AW5912" s="4">
        <v>42416</v>
      </c>
      <c r="BD5912">
        <v>0</v>
      </c>
      <c r="BN5912" t="s">
        <v>74</v>
      </c>
    </row>
    <row r="5913" spans="1:66" hidden="1">
      <c r="A5913">
        <v>104009</v>
      </c>
      <c r="B5913" s="3" t="s">
        <v>591</v>
      </c>
      <c r="C5913" s="1">
        <v>43300101</v>
      </c>
      <c r="D5913" t="s">
        <v>67</v>
      </c>
      <c r="H5913" t="str">
        <f t="shared" si="617"/>
        <v>08641790152</v>
      </c>
      <c r="I5913" t="str">
        <f t="shared" si="617"/>
        <v>08641790152</v>
      </c>
      <c r="K5913" t="str">
        <f>""</f>
        <v/>
      </c>
      <c r="M5913" t="s">
        <v>68</v>
      </c>
      <c r="N5913" t="str">
        <f t="shared" si="615"/>
        <v>FOR</v>
      </c>
      <c r="O5913" t="s">
        <v>69</v>
      </c>
      <c r="P5913" s="3" t="s">
        <v>75</v>
      </c>
      <c r="Q5913">
        <v>2015</v>
      </c>
      <c r="R5913" s="2">
        <v>42187</v>
      </c>
      <c r="S5913" s="2">
        <v>42191</v>
      </c>
      <c r="T5913" s="2">
        <v>42188</v>
      </c>
      <c r="U5913" s="2">
        <v>42248</v>
      </c>
      <c r="V5913" t="s">
        <v>71</v>
      </c>
      <c r="W5913" t="str">
        <f>"             F078140"</f>
        <v xml:space="preserve">             F078140</v>
      </c>
      <c r="X5913">
        <v>988</v>
      </c>
      <c r="Y5913">
        <v>0</v>
      </c>
      <c r="Z5913"/>
      <c r="AB5913"/>
      <c r="AC5913">
        <v>950</v>
      </c>
      <c r="AD5913">
        <v>216</v>
      </c>
      <c r="AE5913" s="1">
        <v>205200</v>
      </c>
      <c r="AF5913">
        <v>0</v>
      </c>
      <c r="AJ5913">
        <v>0</v>
      </c>
      <c r="AK5913">
        <v>0</v>
      </c>
      <c r="AL5913">
        <v>0</v>
      </c>
      <c r="AM5913">
        <v>0</v>
      </c>
      <c r="AN5913">
        <v>0</v>
      </c>
      <c r="AO5913">
        <v>0</v>
      </c>
      <c r="AP5913" s="2">
        <v>42746</v>
      </c>
      <c r="AQ5913" t="s">
        <v>72</v>
      </c>
      <c r="AR5913" t="s">
        <v>72</v>
      </c>
      <c r="AS5913">
        <v>996</v>
      </c>
      <c r="AT5913" s="4">
        <v>42464</v>
      </c>
      <c r="AU5913" t="s">
        <v>73</v>
      </c>
      <c r="AV5913">
        <v>996</v>
      </c>
      <c r="AW5913" s="4">
        <v>42464</v>
      </c>
      <c r="BD5913">
        <v>0</v>
      </c>
      <c r="BN5913" t="s">
        <v>74</v>
      </c>
    </row>
    <row r="5914" spans="1:66" hidden="1">
      <c r="A5914">
        <v>104009</v>
      </c>
      <c r="B5914" s="3" t="s">
        <v>591</v>
      </c>
      <c r="C5914" s="1">
        <v>43300101</v>
      </c>
      <c r="D5914" t="s">
        <v>67</v>
      </c>
      <c r="H5914" t="str">
        <f t="shared" si="617"/>
        <v>08641790152</v>
      </c>
      <c r="I5914" t="str">
        <f t="shared" si="617"/>
        <v>08641790152</v>
      </c>
      <c r="K5914" t="str">
        <f>""</f>
        <v/>
      </c>
      <c r="M5914" t="s">
        <v>68</v>
      </c>
      <c r="N5914" t="str">
        <f t="shared" si="615"/>
        <v>FOR</v>
      </c>
      <c r="O5914" t="s">
        <v>69</v>
      </c>
      <c r="P5914" s="3" t="s">
        <v>75</v>
      </c>
      <c r="Q5914">
        <v>2015</v>
      </c>
      <c r="R5914" s="2">
        <v>42187</v>
      </c>
      <c r="S5914" s="2">
        <v>42191</v>
      </c>
      <c r="T5914" s="2">
        <v>42188</v>
      </c>
      <c r="U5914" s="2">
        <v>42248</v>
      </c>
      <c r="V5914" t="s">
        <v>71</v>
      </c>
      <c r="W5914" t="str">
        <f>"             F078146"</f>
        <v xml:space="preserve">             F078146</v>
      </c>
      <c r="X5914">
        <v>988</v>
      </c>
      <c r="Y5914">
        <v>0</v>
      </c>
      <c r="Z5914"/>
      <c r="AB5914"/>
      <c r="AC5914">
        <v>950</v>
      </c>
      <c r="AD5914">
        <v>216</v>
      </c>
      <c r="AE5914" s="1">
        <v>205200</v>
      </c>
      <c r="AF5914">
        <v>0</v>
      </c>
      <c r="AJ5914">
        <v>0</v>
      </c>
      <c r="AK5914">
        <v>0</v>
      </c>
      <c r="AL5914">
        <v>0</v>
      </c>
      <c r="AM5914">
        <v>0</v>
      </c>
      <c r="AN5914">
        <v>0</v>
      </c>
      <c r="AO5914">
        <v>0</v>
      </c>
      <c r="AP5914" s="2">
        <v>42746</v>
      </c>
      <c r="AQ5914" t="s">
        <v>72</v>
      </c>
      <c r="AR5914" t="s">
        <v>72</v>
      </c>
      <c r="AS5914">
        <v>996</v>
      </c>
      <c r="AT5914" s="4">
        <v>42464</v>
      </c>
      <c r="AU5914" t="s">
        <v>73</v>
      </c>
      <c r="AV5914">
        <v>996</v>
      </c>
      <c r="AW5914" s="4">
        <v>42464</v>
      </c>
      <c r="BD5914">
        <v>0</v>
      </c>
      <c r="BN5914" t="s">
        <v>74</v>
      </c>
    </row>
    <row r="5915" spans="1:66" hidden="1">
      <c r="A5915">
        <v>104009</v>
      </c>
      <c r="B5915" s="3" t="s">
        <v>591</v>
      </c>
      <c r="C5915" s="1">
        <v>43300101</v>
      </c>
      <c r="D5915" t="s">
        <v>67</v>
      </c>
      <c r="H5915" t="str">
        <f t="shared" si="617"/>
        <v>08641790152</v>
      </c>
      <c r="I5915" t="str">
        <f t="shared" si="617"/>
        <v>08641790152</v>
      </c>
      <c r="K5915" t="str">
        <f>""</f>
        <v/>
      </c>
      <c r="M5915" t="s">
        <v>68</v>
      </c>
      <c r="N5915" t="str">
        <f t="shared" si="615"/>
        <v>FOR</v>
      </c>
      <c r="O5915" t="s">
        <v>69</v>
      </c>
      <c r="P5915" s="3" t="s">
        <v>75</v>
      </c>
      <c r="Q5915">
        <v>2015</v>
      </c>
      <c r="R5915" s="2">
        <v>42191</v>
      </c>
      <c r="S5915" s="2">
        <v>42195</v>
      </c>
      <c r="T5915" s="2">
        <v>42193</v>
      </c>
      <c r="U5915" s="2">
        <v>42253</v>
      </c>
      <c r="V5915" t="s">
        <v>71</v>
      </c>
      <c r="W5915" t="str">
        <f>"             F079664"</f>
        <v xml:space="preserve">             F079664</v>
      </c>
      <c r="X5915" s="1">
        <v>2029.47</v>
      </c>
      <c r="Y5915">
        <v>0</v>
      </c>
      <c r="Z5915"/>
      <c r="AB5915"/>
      <c r="AC5915" s="1">
        <v>1663.5</v>
      </c>
      <c r="AD5915">
        <v>211</v>
      </c>
      <c r="AE5915" s="1">
        <v>350998.5</v>
      </c>
      <c r="AF5915">
        <v>0</v>
      </c>
      <c r="AJ5915">
        <v>0</v>
      </c>
      <c r="AK5915">
        <v>0</v>
      </c>
      <c r="AL5915">
        <v>0</v>
      </c>
      <c r="AM5915">
        <v>0</v>
      </c>
      <c r="AN5915">
        <v>0</v>
      </c>
      <c r="AO5915">
        <v>0</v>
      </c>
      <c r="AP5915" s="2">
        <v>42746</v>
      </c>
      <c r="AQ5915" t="s">
        <v>72</v>
      </c>
      <c r="AR5915" t="s">
        <v>72</v>
      </c>
      <c r="AS5915">
        <v>996</v>
      </c>
      <c r="AT5915" s="4">
        <v>42464</v>
      </c>
      <c r="AU5915" t="s">
        <v>73</v>
      </c>
      <c r="AV5915">
        <v>996</v>
      </c>
      <c r="AW5915" s="4">
        <v>42464</v>
      </c>
      <c r="BD5915">
        <v>0</v>
      </c>
      <c r="BN5915" t="s">
        <v>74</v>
      </c>
    </row>
    <row r="5916" spans="1:66" hidden="1">
      <c r="A5916">
        <v>104009</v>
      </c>
      <c r="B5916" s="3" t="s">
        <v>591</v>
      </c>
      <c r="C5916" s="1">
        <v>43300101</v>
      </c>
      <c r="D5916" t="s">
        <v>67</v>
      </c>
      <c r="H5916" t="str">
        <f t="shared" si="617"/>
        <v>08641790152</v>
      </c>
      <c r="I5916" t="str">
        <f t="shared" si="617"/>
        <v>08641790152</v>
      </c>
      <c r="K5916" t="str">
        <f>""</f>
        <v/>
      </c>
      <c r="M5916" t="s">
        <v>68</v>
      </c>
      <c r="N5916" t="str">
        <f t="shared" si="615"/>
        <v>FOR</v>
      </c>
      <c r="O5916" t="s">
        <v>69</v>
      </c>
      <c r="P5916" s="3" t="s">
        <v>75</v>
      </c>
      <c r="Q5916">
        <v>2015</v>
      </c>
      <c r="R5916" s="2">
        <v>42192</v>
      </c>
      <c r="S5916" s="2">
        <v>42193</v>
      </c>
      <c r="T5916" s="2">
        <v>42193</v>
      </c>
      <c r="U5916" s="2">
        <v>42253</v>
      </c>
      <c r="V5916" t="s">
        <v>71</v>
      </c>
      <c r="W5916" t="str">
        <f>"             F079991"</f>
        <v xml:space="preserve">             F079991</v>
      </c>
      <c r="X5916" s="1">
        <v>1012.6</v>
      </c>
      <c r="Y5916">
        <v>0</v>
      </c>
      <c r="Z5916"/>
      <c r="AB5916"/>
      <c r="AC5916">
        <v>830</v>
      </c>
      <c r="AD5916">
        <v>211</v>
      </c>
      <c r="AE5916" s="1">
        <v>175130</v>
      </c>
      <c r="AF5916">
        <v>0</v>
      </c>
      <c r="AJ5916">
        <v>0</v>
      </c>
      <c r="AK5916">
        <v>0</v>
      </c>
      <c r="AL5916">
        <v>0</v>
      </c>
      <c r="AM5916">
        <v>0</v>
      </c>
      <c r="AN5916">
        <v>0</v>
      </c>
      <c r="AO5916">
        <v>0</v>
      </c>
      <c r="AP5916" s="2">
        <v>42746</v>
      </c>
      <c r="AQ5916" t="s">
        <v>72</v>
      </c>
      <c r="AR5916" t="s">
        <v>72</v>
      </c>
      <c r="AS5916">
        <v>996</v>
      </c>
      <c r="AT5916" s="4">
        <v>42464</v>
      </c>
      <c r="AU5916" t="s">
        <v>73</v>
      </c>
      <c r="AV5916">
        <v>996</v>
      </c>
      <c r="AW5916" s="4">
        <v>42464</v>
      </c>
      <c r="BD5916">
        <v>0</v>
      </c>
      <c r="BN5916" t="s">
        <v>74</v>
      </c>
    </row>
    <row r="5917" spans="1:66" hidden="1">
      <c r="A5917">
        <v>104009</v>
      </c>
      <c r="B5917" s="3" t="s">
        <v>591</v>
      </c>
      <c r="C5917" s="1">
        <v>43300101</v>
      </c>
      <c r="D5917" t="s">
        <v>67</v>
      </c>
      <c r="H5917" t="str">
        <f t="shared" si="617"/>
        <v>08641790152</v>
      </c>
      <c r="I5917" t="str">
        <f t="shared" si="617"/>
        <v>08641790152</v>
      </c>
      <c r="K5917" t="str">
        <f>""</f>
        <v/>
      </c>
      <c r="M5917" t="s">
        <v>68</v>
      </c>
      <c r="N5917" t="str">
        <f t="shared" si="615"/>
        <v>FOR</v>
      </c>
      <c r="O5917" t="s">
        <v>69</v>
      </c>
      <c r="P5917" s="3" t="s">
        <v>75</v>
      </c>
      <c r="Q5917">
        <v>2015</v>
      </c>
      <c r="R5917" s="2">
        <v>42192</v>
      </c>
      <c r="S5917" s="2">
        <v>42193</v>
      </c>
      <c r="T5917" s="2">
        <v>42193</v>
      </c>
      <c r="U5917" s="2">
        <v>42253</v>
      </c>
      <c r="V5917" t="s">
        <v>71</v>
      </c>
      <c r="W5917" t="str">
        <f>"             F080196"</f>
        <v xml:space="preserve">             F080196</v>
      </c>
      <c r="X5917">
        <v>951.6</v>
      </c>
      <c r="Y5917">
        <v>0</v>
      </c>
      <c r="Z5917"/>
      <c r="AB5917"/>
      <c r="AC5917">
        <v>780</v>
      </c>
      <c r="AD5917">
        <v>211</v>
      </c>
      <c r="AE5917" s="1">
        <v>164580</v>
      </c>
      <c r="AF5917">
        <v>0</v>
      </c>
      <c r="AJ5917">
        <v>0</v>
      </c>
      <c r="AK5917">
        <v>0</v>
      </c>
      <c r="AL5917">
        <v>0</v>
      </c>
      <c r="AM5917">
        <v>0</v>
      </c>
      <c r="AN5917">
        <v>0</v>
      </c>
      <c r="AO5917">
        <v>0</v>
      </c>
      <c r="AP5917" s="2">
        <v>42746</v>
      </c>
      <c r="AQ5917" t="s">
        <v>72</v>
      </c>
      <c r="AR5917" t="s">
        <v>72</v>
      </c>
      <c r="AS5917">
        <v>996</v>
      </c>
      <c r="AT5917" s="4">
        <v>42464</v>
      </c>
      <c r="AU5917" t="s">
        <v>73</v>
      </c>
      <c r="AV5917">
        <v>996</v>
      </c>
      <c r="AW5917" s="4">
        <v>42464</v>
      </c>
      <c r="BD5917">
        <v>0</v>
      </c>
      <c r="BN5917" t="s">
        <v>74</v>
      </c>
    </row>
    <row r="5918" spans="1:66" hidden="1">
      <c r="A5918">
        <v>104009</v>
      </c>
      <c r="B5918" s="3" t="s">
        <v>591</v>
      </c>
      <c r="C5918" s="1">
        <v>43300101</v>
      </c>
      <c r="D5918" t="s">
        <v>67</v>
      </c>
      <c r="H5918" t="str">
        <f t="shared" si="617"/>
        <v>08641790152</v>
      </c>
      <c r="I5918" t="str">
        <f t="shared" si="617"/>
        <v>08641790152</v>
      </c>
      <c r="K5918" t="str">
        <f>""</f>
        <v/>
      </c>
      <c r="M5918" t="s">
        <v>68</v>
      </c>
      <c r="N5918" t="str">
        <f t="shared" si="615"/>
        <v>FOR</v>
      </c>
      <c r="O5918" t="s">
        <v>69</v>
      </c>
      <c r="P5918" s="3" t="s">
        <v>75</v>
      </c>
      <c r="Q5918">
        <v>2015</v>
      </c>
      <c r="R5918" s="2">
        <v>42193</v>
      </c>
      <c r="S5918" s="2">
        <v>42195</v>
      </c>
      <c r="T5918" s="2">
        <v>42194</v>
      </c>
      <c r="U5918" s="2">
        <v>42254</v>
      </c>
      <c r="V5918" t="s">
        <v>71</v>
      </c>
      <c r="W5918" t="str">
        <f>"             F080847"</f>
        <v xml:space="preserve">             F080847</v>
      </c>
      <c r="X5918" s="1">
        <v>3816.16</v>
      </c>
      <c r="Y5918">
        <v>0</v>
      </c>
      <c r="Z5918"/>
      <c r="AB5918"/>
      <c r="AC5918" s="1">
        <v>3128</v>
      </c>
      <c r="AD5918">
        <v>210</v>
      </c>
      <c r="AE5918" s="1">
        <v>656880</v>
      </c>
      <c r="AF5918">
        <v>0</v>
      </c>
      <c r="AJ5918">
        <v>0</v>
      </c>
      <c r="AK5918">
        <v>0</v>
      </c>
      <c r="AL5918">
        <v>0</v>
      </c>
      <c r="AM5918">
        <v>0</v>
      </c>
      <c r="AN5918">
        <v>0</v>
      </c>
      <c r="AO5918">
        <v>0</v>
      </c>
      <c r="AP5918" s="2">
        <v>42746</v>
      </c>
      <c r="AQ5918" t="s">
        <v>72</v>
      </c>
      <c r="AR5918" t="s">
        <v>72</v>
      </c>
      <c r="AS5918">
        <v>996</v>
      </c>
      <c r="AT5918" s="4">
        <v>42464</v>
      </c>
      <c r="AU5918" t="s">
        <v>73</v>
      </c>
      <c r="AV5918">
        <v>996</v>
      </c>
      <c r="AW5918" s="4">
        <v>42464</v>
      </c>
      <c r="BD5918">
        <v>0</v>
      </c>
      <c r="BN5918" t="s">
        <v>74</v>
      </c>
    </row>
    <row r="5919" spans="1:66" hidden="1">
      <c r="A5919">
        <v>104009</v>
      </c>
      <c r="B5919" s="3" t="s">
        <v>591</v>
      </c>
      <c r="C5919" s="1">
        <v>43300101</v>
      </c>
      <c r="D5919" t="s">
        <v>67</v>
      </c>
      <c r="H5919" t="str">
        <f t="shared" si="617"/>
        <v>08641790152</v>
      </c>
      <c r="I5919" t="str">
        <f t="shared" si="617"/>
        <v>08641790152</v>
      </c>
      <c r="K5919" t="str">
        <f>""</f>
        <v/>
      </c>
      <c r="M5919" t="s">
        <v>68</v>
      </c>
      <c r="N5919" t="str">
        <f t="shared" si="615"/>
        <v>FOR</v>
      </c>
      <c r="O5919" t="s">
        <v>69</v>
      </c>
      <c r="P5919" s="3" t="s">
        <v>75</v>
      </c>
      <c r="Q5919">
        <v>2015</v>
      </c>
      <c r="R5919" s="2">
        <v>42193</v>
      </c>
      <c r="S5919" s="2">
        <v>42195</v>
      </c>
      <c r="T5919" s="2">
        <v>42194</v>
      </c>
      <c r="U5919" s="2">
        <v>42254</v>
      </c>
      <c r="V5919" t="s">
        <v>71</v>
      </c>
      <c r="W5919" t="str">
        <f>"             F080850"</f>
        <v xml:space="preserve">             F080850</v>
      </c>
      <c r="X5919">
        <v>170.8</v>
      </c>
      <c r="Y5919">
        <v>0</v>
      </c>
      <c r="Z5919"/>
      <c r="AB5919"/>
      <c r="AC5919">
        <v>140</v>
      </c>
      <c r="AD5919">
        <v>210</v>
      </c>
      <c r="AE5919" s="1">
        <v>29400</v>
      </c>
      <c r="AF5919">
        <v>0</v>
      </c>
      <c r="AJ5919">
        <v>0</v>
      </c>
      <c r="AK5919">
        <v>0</v>
      </c>
      <c r="AL5919">
        <v>0</v>
      </c>
      <c r="AM5919">
        <v>0</v>
      </c>
      <c r="AN5919">
        <v>0</v>
      </c>
      <c r="AO5919">
        <v>0</v>
      </c>
      <c r="AP5919" s="2">
        <v>42746</v>
      </c>
      <c r="AQ5919" t="s">
        <v>72</v>
      </c>
      <c r="AR5919" t="s">
        <v>72</v>
      </c>
      <c r="AS5919">
        <v>996</v>
      </c>
      <c r="AT5919" s="4">
        <v>42464</v>
      </c>
      <c r="AU5919" t="s">
        <v>73</v>
      </c>
      <c r="AV5919">
        <v>996</v>
      </c>
      <c r="AW5919" s="4">
        <v>42464</v>
      </c>
      <c r="BD5919">
        <v>0</v>
      </c>
      <c r="BN5919" t="s">
        <v>74</v>
      </c>
    </row>
    <row r="5920" spans="1:66" hidden="1">
      <c r="A5920">
        <v>104009</v>
      </c>
      <c r="B5920" s="3" t="s">
        <v>591</v>
      </c>
      <c r="C5920" s="1">
        <v>43300101</v>
      </c>
      <c r="D5920" t="s">
        <v>67</v>
      </c>
      <c r="H5920" t="str">
        <f t="shared" si="617"/>
        <v>08641790152</v>
      </c>
      <c r="I5920" t="str">
        <f t="shared" si="617"/>
        <v>08641790152</v>
      </c>
      <c r="K5920" t="str">
        <f>""</f>
        <v/>
      </c>
      <c r="M5920" t="s">
        <v>68</v>
      </c>
      <c r="N5920" t="str">
        <f t="shared" si="615"/>
        <v>FOR</v>
      </c>
      <c r="O5920" t="s">
        <v>69</v>
      </c>
      <c r="P5920" s="3" t="s">
        <v>75</v>
      </c>
      <c r="Q5920">
        <v>2015</v>
      </c>
      <c r="R5920" s="2">
        <v>42193</v>
      </c>
      <c r="S5920" s="2">
        <v>42195</v>
      </c>
      <c r="T5920" s="2">
        <v>42194</v>
      </c>
      <c r="U5920" s="2">
        <v>42254</v>
      </c>
      <c r="V5920" t="s">
        <v>71</v>
      </c>
      <c r="W5920" t="str">
        <f>"             F080932"</f>
        <v xml:space="preserve">             F080932</v>
      </c>
      <c r="X5920" s="1">
        <v>2723.04</v>
      </c>
      <c r="Y5920">
        <v>0</v>
      </c>
      <c r="Z5920"/>
      <c r="AB5920"/>
      <c r="AC5920" s="1">
        <v>2232</v>
      </c>
      <c r="AD5920">
        <v>210</v>
      </c>
      <c r="AE5920" s="1">
        <v>468720</v>
      </c>
      <c r="AF5920">
        <v>0</v>
      </c>
      <c r="AJ5920">
        <v>0</v>
      </c>
      <c r="AK5920">
        <v>0</v>
      </c>
      <c r="AL5920">
        <v>0</v>
      </c>
      <c r="AM5920">
        <v>0</v>
      </c>
      <c r="AN5920">
        <v>0</v>
      </c>
      <c r="AO5920">
        <v>0</v>
      </c>
      <c r="AP5920" s="2">
        <v>42746</v>
      </c>
      <c r="AQ5920" t="s">
        <v>72</v>
      </c>
      <c r="AR5920" t="s">
        <v>72</v>
      </c>
      <c r="AS5920">
        <v>996</v>
      </c>
      <c r="AT5920" s="4">
        <v>42464</v>
      </c>
      <c r="AU5920" t="s">
        <v>73</v>
      </c>
      <c r="AV5920">
        <v>996</v>
      </c>
      <c r="AW5920" s="4">
        <v>42464</v>
      </c>
      <c r="BD5920">
        <v>0</v>
      </c>
      <c r="BN5920" t="s">
        <v>74</v>
      </c>
    </row>
    <row r="5921" spans="1:66" hidden="1">
      <c r="A5921">
        <v>104009</v>
      </c>
      <c r="B5921" s="3" t="s">
        <v>591</v>
      </c>
      <c r="C5921" s="1">
        <v>43300101</v>
      </c>
      <c r="D5921" t="s">
        <v>67</v>
      </c>
      <c r="H5921" t="str">
        <f t="shared" si="617"/>
        <v>08641790152</v>
      </c>
      <c r="I5921" t="str">
        <f t="shared" si="617"/>
        <v>08641790152</v>
      </c>
      <c r="K5921" t="str">
        <f>""</f>
        <v/>
      </c>
      <c r="M5921" t="s">
        <v>68</v>
      </c>
      <c r="N5921" t="str">
        <f t="shared" si="615"/>
        <v>FOR</v>
      </c>
      <c r="O5921" t="s">
        <v>69</v>
      </c>
      <c r="P5921" s="3" t="s">
        <v>75</v>
      </c>
      <c r="Q5921">
        <v>2015</v>
      </c>
      <c r="R5921" s="2">
        <v>42194</v>
      </c>
      <c r="S5921" s="2">
        <v>42198</v>
      </c>
      <c r="T5921" s="2">
        <v>42196</v>
      </c>
      <c r="U5921" s="2">
        <v>42256</v>
      </c>
      <c r="V5921" t="s">
        <v>71</v>
      </c>
      <c r="W5921" t="str">
        <f>"             F081190"</f>
        <v xml:space="preserve">             F081190</v>
      </c>
      <c r="X5921">
        <v>512.4</v>
      </c>
      <c r="Y5921">
        <v>0</v>
      </c>
      <c r="Z5921"/>
      <c r="AB5921"/>
      <c r="AC5921">
        <v>420</v>
      </c>
      <c r="AD5921">
        <v>208</v>
      </c>
      <c r="AE5921" s="1">
        <v>87360</v>
      </c>
      <c r="AF5921">
        <v>0</v>
      </c>
      <c r="AJ5921">
        <v>0</v>
      </c>
      <c r="AK5921">
        <v>0</v>
      </c>
      <c r="AL5921">
        <v>0</v>
      </c>
      <c r="AM5921">
        <v>0</v>
      </c>
      <c r="AN5921">
        <v>0</v>
      </c>
      <c r="AO5921">
        <v>0</v>
      </c>
      <c r="AP5921" s="2">
        <v>42746</v>
      </c>
      <c r="AQ5921" t="s">
        <v>72</v>
      </c>
      <c r="AR5921" t="s">
        <v>72</v>
      </c>
      <c r="AS5921">
        <v>996</v>
      </c>
      <c r="AT5921" s="4">
        <v>42464</v>
      </c>
      <c r="AU5921" t="s">
        <v>73</v>
      </c>
      <c r="AV5921">
        <v>996</v>
      </c>
      <c r="AW5921" s="4">
        <v>42464</v>
      </c>
      <c r="BD5921">
        <v>0</v>
      </c>
      <c r="BN5921" t="s">
        <v>74</v>
      </c>
    </row>
    <row r="5922" spans="1:66" hidden="1">
      <c r="A5922">
        <v>104009</v>
      </c>
      <c r="B5922" s="3" t="s">
        <v>591</v>
      </c>
      <c r="C5922" s="1">
        <v>43300101</v>
      </c>
      <c r="D5922" t="s">
        <v>67</v>
      </c>
      <c r="H5922" t="str">
        <f t="shared" si="617"/>
        <v>08641790152</v>
      </c>
      <c r="I5922" t="str">
        <f t="shared" si="617"/>
        <v>08641790152</v>
      </c>
      <c r="K5922" t="str">
        <f>""</f>
        <v/>
      </c>
      <c r="M5922" t="s">
        <v>68</v>
      </c>
      <c r="N5922" t="str">
        <f t="shared" si="615"/>
        <v>FOR</v>
      </c>
      <c r="O5922" t="s">
        <v>69</v>
      </c>
      <c r="P5922" s="3" t="s">
        <v>75</v>
      </c>
      <c r="Q5922">
        <v>2015</v>
      </c>
      <c r="R5922" s="2">
        <v>42198</v>
      </c>
      <c r="S5922" s="2">
        <v>42202</v>
      </c>
      <c r="T5922" s="2">
        <v>42199</v>
      </c>
      <c r="U5922" s="2">
        <v>42259</v>
      </c>
      <c r="V5922" t="s">
        <v>71</v>
      </c>
      <c r="W5922" t="str">
        <f>"             F082596"</f>
        <v xml:space="preserve">             F082596</v>
      </c>
      <c r="X5922" s="1">
        <v>1737.04</v>
      </c>
      <c r="Y5922">
        <v>0</v>
      </c>
      <c r="Z5922"/>
      <c r="AB5922"/>
      <c r="AC5922" s="1">
        <v>1423.8</v>
      </c>
      <c r="AD5922">
        <v>205</v>
      </c>
      <c r="AE5922" s="1">
        <v>291879</v>
      </c>
      <c r="AF5922">
        <v>0</v>
      </c>
      <c r="AJ5922">
        <v>0</v>
      </c>
      <c r="AK5922">
        <v>0</v>
      </c>
      <c r="AL5922">
        <v>0</v>
      </c>
      <c r="AM5922">
        <v>0</v>
      </c>
      <c r="AN5922">
        <v>0</v>
      </c>
      <c r="AO5922">
        <v>0</v>
      </c>
      <c r="AP5922" s="2">
        <v>42746</v>
      </c>
      <c r="AQ5922" t="s">
        <v>72</v>
      </c>
      <c r="AR5922" t="s">
        <v>72</v>
      </c>
      <c r="AS5922">
        <v>996</v>
      </c>
      <c r="AT5922" s="4">
        <v>42464</v>
      </c>
      <c r="AU5922" t="s">
        <v>73</v>
      </c>
      <c r="AV5922">
        <v>996</v>
      </c>
      <c r="AW5922" s="4">
        <v>42464</v>
      </c>
      <c r="BD5922">
        <v>0</v>
      </c>
      <c r="BN5922" t="s">
        <v>74</v>
      </c>
    </row>
    <row r="5923" spans="1:66" hidden="1">
      <c r="A5923">
        <v>104009</v>
      </c>
      <c r="B5923" s="3" t="s">
        <v>591</v>
      </c>
      <c r="C5923" s="1">
        <v>43300101</v>
      </c>
      <c r="D5923" t="s">
        <v>67</v>
      </c>
      <c r="H5923" t="str">
        <f t="shared" si="617"/>
        <v>08641790152</v>
      </c>
      <c r="I5923" t="str">
        <f t="shared" si="617"/>
        <v>08641790152</v>
      </c>
      <c r="K5923" t="str">
        <f>""</f>
        <v/>
      </c>
      <c r="M5923" t="s">
        <v>68</v>
      </c>
      <c r="N5923" t="str">
        <f t="shared" si="615"/>
        <v>FOR</v>
      </c>
      <c r="O5923" t="s">
        <v>69</v>
      </c>
      <c r="P5923" s="3" t="s">
        <v>75</v>
      </c>
      <c r="Q5923">
        <v>2015</v>
      </c>
      <c r="R5923" s="2">
        <v>42202</v>
      </c>
      <c r="S5923" s="2">
        <v>42205</v>
      </c>
      <c r="T5923" s="2">
        <v>42203</v>
      </c>
      <c r="U5923" s="2">
        <v>42263</v>
      </c>
      <c r="V5923" t="s">
        <v>71</v>
      </c>
      <c r="W5923" t="str">
        <f>"             F084939"</f>
        <v xml:space="preserve">             F084939</v>
      </c>
      <c r="X5923" s="1">
        <v>4044.3</v>
      </c>
      <c r="Y5923">
        <v>0</v>
      </c>
      <c r="Z5923"/>
      <c r="AB5923"/>
      <c r="AC5923" s="1">
        <v>3315</v>
      </c>
      <c r="AD5923">
        <v>201</v>
      </c>
      <c r="AE5923" s="1">
        <v>666315</v>
      </c>
      <c r="AF5923">
        <v>0</v>
      </c>
      <c r="AJ5923">
        <v>0</v>
      </c>
      <c r="AK5923">
        <v>0</v>
      </c>
      <c r="AL5923">
        <v>0</v>
      </c>
      <c r="AM5923">
        <v>0</v>
      </c>
      <c r="AN5923">
        <v>0</v>
      </c>
      <c r="AO5923">
        <v>0</v>
      </c>
      <c r="AP5923" s="2">
        <v>42746</v>
      </c>
      <c r="AQ5923" t="s">
        <v>72</v>
      </c>
      <c r="AR5923" t="s">
        <v>72</v>
      </c>
      <c r="AS5923">
        <v>996</v>
      </c>
      <c r="AT5923" s="4">
        <v>42464</v>
      </c>
      <c r="AU5923" t="s">
        <v>73</v>
      </c>
      <c r="AV5923">
        <v>996</v>
      </c>
      <c r="AW5923" s="4">
        <v>42464</v>
      </c>
      <c r="BD5923">
        <v>0</v>
      </c>
      <c r="BN5923" t="s">
        <v>74</v>
      </c>
    </row>
    <row r="5924" spans="1:66" hidden="1">
      <c r="A5924">
        <v>104009</v>
      </c>
      <c r="B5924" s="3" t="s">
        <v>591</v>
      </c>
      <c r="C5924" s="1">
        <v>43300101</v>
      </c>
      <c r="D5924" t="s">
        <v>67</v>
      </c>
      <c r="H5924" t="str">
        <f t="shared" si="617"/>
        <v>08641790152</v>
      </c>
      <c r="I5924" t="str">
        <f t="shared" si="617"/>
        <v>08641790152</v>
      </c>
      <c r="K5924" t="str">
        <f>""</f>
        <v/>
      </c>
      <c r="M5924" t="s">
        <v>68</v>
      </c>
      <c r="N5924" t="str">
        <f t="shared" si="615"/>
        <v>FOR</v>
      </c>
      <c r="O5924" t="s">
        <v>69</v>
      </c>
      <c r="P5924" s="3" t="s">
        <v>75</v>
      </c>
      <c r="Q5924">
        <v>2015</v>
      </c>
      <c r="R5924" s="2">
        <v>42205</v>
      </c>
      <c r="S5924" s="2">
        <v>42206</v>
      </c>
      <c r="T5924" s="2">
        <v>42206</v>
      </c>
      <c r="U5924" s="2">
        <v>42266</v>
      </c>
      <c r="V5924" t="s">
        <v>71</v>
      </c>
      <c r="W5924" t="str">
        <f>"             F085389"</f>
        <v xml:space="preserve">             F085389</v>
      </c>
      <c r="X5924">
        <v>312</v>
      </c>
      <c r="Y5924">
        <v>0</v>
      </c>
      <c r="Z5924"/>
      <c r="AB5924"/>
      <c r="AC5924">
        <v>300</v>
      </c>
      <c r="AD5924">
        <v>198</v>
      </c>
      <c r="AE5924" s="1">
        <v>59400</v>
      </c>
      <c r="AF5924">
        <v>0</v>
      </c>
      <c r="AJ5924">
        <v>0</v>
      </c>
      <c r="AK5924">
        <v>0</v>
      </c>
      <c r="AL5924">
        <v>0</v>
      </c>
      <c r="AM5924">
        <v>0</v>
      </c>
      <c r="AN5924">
        <v>0</v>
      </c>
      <c r="AO5924">
        <v>0</v>
      </c>
      <c r="AP5924" s="2">
        <v>42746</v>
      </c>
      <c r="AQ5924" t="s">
        <v>72</v>
      </c>
      <c r="AR5924" t="s">
        <v>72</v>
      </c>
      <c r="AS5924">
        <v>996</v>
      </c>
      <c r="AT5924" s="4">
        <v>42464</v>
      </c>
      <c r="AU5924" t="s">
        <v>73</v>
      </c>
      <c r="AV5924">
        <v>996</v>
      </c>
      <c r="AW5924" s="4">
        <v>42464</v>
      </c>
      <c r="BD5924">
        <v>0</v>
      </c>
      <c r="BN5924" t="s">
        <v>74</v>
      </c>
    </row>
    <row r="5925" spans="1:66" hidden="1">
      <c r="A5925">
        <v>104009</v>
      </c>
      <c r="B5925" s="3" t="s">
        <v>591</v>
      </c>
      <c r="C5925" s="1">
        <v>43300101</v>
      </c>
      <c r="D5925" t="s">
        <v>67</v>
      </c>
      <c r="H5925" t="str">
        <f t="shared" si="617"/>
        <v>08641790152</v>
      </c>
      <c r="I5925" t="str">
        <f t="shared" si="617"/>
        <v>08641790152</v>
      </c>
      <c r="K5925" t="str">
        <f>""</f>
        <v/>
      </c>
      <c r="M5925" t="s">
        <v>68</v>
      </c>
      <c r="N5925" t="str">
        <f t="shared" si="615"/>
        <v>FOR</v>
      </c>
      <c r="O5925" t="s">
        <v>69</v>
      </c>
      <c r="P5925" s="3" t="s">
        <v>75</v>
      </c>
      <c r="Q5925">
        <v>2015</v>
      </c>
      <c r="R5925" s="2">
        <v>42205</v>
      </c>
      <c r="S5925" s="2">
        <v>42206</v>
      </c>
      <c r="T5925" s="2">
        <v>42206</v>
      </c>
      <c r="U5925" s="2">
        <v>42266</v>
      </c>
      <c r="V5925" t="s">
        <v>71</v>
      </c>
      <c r="W5925" t="str">
        <f>"             F085396"</f>
        <v xml:space="preserve">             F085396</v>
      </c>
      <c r="X5925">
        <v>312</v>
      </c>
      <c r="Y5925">
        <v>0</v>
      </c>
      <c r="Z5925"/>
      <c r="AB5925"/>
      <c r="AC5925">
        <v>300</v>
      </c>
      <c r="AD5925">
        <v>198</v>
      </c>
      <c r="AE5925" s="1">
        <v>59400</v>
      </c>
      <c r="AF5925">
        <v>0</v>
      </c>
      <c r="AJ5925">
        <v>0</v>
      </c>
      <c r="AK5925">
        <v>0</v>
      </c>
      <c r="AL5925">
        <v>0</v>
      </c>
      <c r="AM5925">
        <v>0</v>
      </c>
      <c r="AN5925">
        <v>0</v>
      </c>
      <c r="AO5925">
        <v>0</v>
      </c>
      <c r="AP5925" s="2">
        <v>42746</v>
      </c>
      <c r="AQ5925" t="s">
        <v>72</v>
      </c>
      <c r="AR5925" t="s">
        <v>72</v>
      </c>
      <c r="AS5925">
        <v>996</v>
      </c>
      <c r="AT5925" s="4">
        <v>42464</v>
      </c>
      <c r="AU5925" t="s">
        <v>73</v>
      </c>
      <c r="AV5925">
        <v>996</v>
      </c>
      <c r="AW5925" s="4">
        <v>42464</v>
      </c>
      <c r="BD5925">
        <v>0</v>
      </c>
      <c r="BN5925" t="s">
        <v>74</v>
      </c>
    </row>
    <row r="5926" spans="1:66" hidden="1">
      <c r="A5926">
        <v>104009</v>
      </c>
      <c r="B5926" s="3" t="s">
        <v>591</v>
      </c>
      <c r="C5926" s="1">
        <v>43300101</v>
      </c>
      <c r="D5926" t="s">
        <v>67</v>
      </c>
      <c r="H5926" t="str">
        <f t="shared" si="617"/>
        <v>08641790152</v>
      </c>
      <c r="I5926" t="str">
        <f t="shared" si="617"/>
        <v>08641790152</v>
      </c>
      <c r="K5926" t="str">
        <f>""</f>
        <v/>
      </c>
      <c r="M5926" t="s">
        <v>68</v>
      </c>
      <c r="N5926" t="str">
        <f t="shared" si="615"/>
        <v>FOR</v>
      </c>
      <c r="O5926" t="s">
        <v>69</v>
      </c>
      <c r="P5926" s="3" t="s">
        <v>75</v>
      </c>
      <c r="Q5926">
        <v>2015</v>
      </c>
      <c r="R5926" s="2">
        <v>42206</v>
      </c>
      <c r="S5926" s="2">
        <v>42209</v>
      </c>
      <c r="T5926" s="2">
        <v>42207</v>
      </c>
      <c r="U5926" s="2">
        <v>42267</v>
      </c>
      <c r="V5926" t="s">
        <v>71</v>
      </c>
      <c r="W5926" t="str">
        <f>"             F086078"</f>
        <v xml:space="preserve">             F086078</v>
      </c>
      <c r="X5926">
        <v>237.9</v>
      </c>
      <c r="Y5926">
        <v>0</v>
      </c>
      <c r="Z5926"/>
      <c r="AB5926"/>
      <c r="AC5926">
        <v>195</v>
      </c>
      <c r="AD5926">
        <v>197</v>
      </c>
      <c r="AE5926" s="1">
        <v>38415</v>
      </c>
      <c r="AF5926">
        <v>0</v>
      </c>
      <c r="AJ5926">
        <v>0</v>
      </c>
      <c r="AK5926">
        <v>0</v>
      </c>
      <c r="AL5926">
        <v>0</v>
      </c>
      <c r="AM5926">
        <v>0</v>
      </c>
      <c r="AN5926">
        <v>0</v>
      </c>
      <c r="AO5926">
        <v>0</v>
      </c>
      <c r="AP5926" s="2">
        <v>42746</v>
      </c>
      <c r="AQ5926" t="s">
        <v>72</v>
      </c>
      <c r="AR5926" t="s">
        <v>72</v>
      </c>
      <c r="AS5926">
        <v>996</v>
      </c>
      <c r="AT5926" s="4">
        <v>42464</v>
      </c>
      <c r="AU5926" t="s">
        <v>73</v>
      </c>
      <c r="AV5926">
        <v>996</v>
      </c>
      <c r="AW5926" s="4">
        <v>42464</v>
      </c>
      <c r="BD5926">
        <v>0</v>
      </c>
      <c r="BN5926" t="s">
        <v>74</v>
      </c>
    </row>
    <row r="5927" spans="1:66" hidden="1">
      <c r="A5927">
        <v>104009</v>
      </c>
      <c r="B5927" s="3" t="s">
        <v>591</v>
      </c>
      <c r="C5927" s="1">
        <v>43300101</v>
      </c>
      <c r="D5927" t="s">
        <v>67</v>
      </c>
      <c r="H5927" t="str">
        <f t="shared" si="617"/>
        <v>08641790152</v>
      </c>
      <c r="I5927" t="str">
        <f t="shared" si="617"/>
        <v>08641790152</v>
      </c>
      <c r="K5927" t="str">
        <f>""</f>
        <v/>
      </c>
      <c r="M5927" t="s">
        <v>68</v>
      </c>
      <c r="N5927" t="str">
        <f t="shared" si="615"/>
        <v>FOR</v>
      </c>
      <c r="O5927" t="s">
        <v>69</v>
      </c>
      <c r="P5927" s="3" t="s">
        <v>75</v>
      </c>
      <c r="Q5927">
        <v>2015</v>
      </c>
      <c r="R5927" s="2">
        <v>42208</v>
      </c>
      <c r="S5927" s="2">
        <v>42212</v>
      </c>
      <c r="T5927" s="2">
        <v>42209</v>
      </c>
      <c r="U5927" s="2">
        <v>42269</v>
      </c>
      <c r="V5927" t="s">
        <v>71</v>
      </c>
      <c r="W5927" t="str">
        <f>"             F087275"</f>
        <v xml:space="preserve">             F087275</v>
      </c>
      <c r="X5927" s="1">
        <v>2177.6999999999998</v>
      </c>
      <c r="Y5927">
        <v>0</v>
      </c>
      <c r="Z5927"/>
      <c r="AB5927"/>
      <c r="AC5927" s="1">
        <v>1785</v>
      </c>
      <c r="AD5927">
        <v>195</v>
      </c>
      <c r="AE5927" s="1">
        <v>348075</v>
      </c>
      <c r="AF5927">
        <v>0</v>
      </c>
      <c r="AJ5927">
        <v>0</v>
      </c>
      <c r="AK5927">
        <v>0</v>
      </c>
      <c r="AL5927">
        <v>0</v>
      </c>
      <c r="AM5927">
        <v>0</v>
      </c>
      <c r="AN5927">
        <v>0</v>
      </c>
      <c r="AO5927">
        <v>0</v>
      </c>
      <c r="AP5927" s="2">
        <v>42746</v>
      </c>
      <c r="AQ5927" t="s">
        <v>72</v>
      </c>
      <c r="AR5927" t="s">
        <v>72</v>
      </c>
      <c r="AS5927">
        <v>996</v>
      </c>
      <c r="AT5927" s="4">
        <v>42464</v>
      </c>
      <c r="AU5927" t="s">
        <v>73</v>
      </c>
      <c r="AV5927">
        <v>996</v>
      </c>
      <c r="AW5927" s="4">
        <v>42464</v>
      </c>
      <c r="BD5927">
        <v>0</v>
      </c>
      <c r="BN5927" t="s">
        <v>74</v>
      </c>
    </row>
    <row r="5928" spans="1:66" hidden="1">
      <c r="A5928">
        <v>104009</v>
      </c>
      <c r="B5928" s="3" t="s">
        <v>591</v>
      </c>
      <c r="C5928" s="1">
        <v>43300101</v>
      </c>
      <c r="D5928" t="s">
        <v>67</v>
      </c>
      <c r="H5928" t="str">
        <f t="shared" si="617"/>
        <v>08641790152</v>
      </c>
      <c r="I5928" t="str">
        <f t="shared" si="617"/>
        <v>08641790152</v>
      </c>
      <c r="K5928" t="str">
        <f>""</f>
        <v/>
      </c>
      <c r="M5928" t="s">
        <v>68</v>
      </c>
      <c r="N5928" t="str">
        <f t="shared" si="615"/>
        <v>FOR</v>
      </c>
      <c r="O5928" t="s">
        <v>69</v>
      </c>
      <c r="P5928" s="3" t="s">
        <v>75</v>
      </c>
      <c r="Q5928">
        <v>2015</v>
      </c>
      <c r="R5928" s="2">
        <v>42212</v>
      </c>
      <c r="S5928" s="2">
        <v>42215</v>
      </c>
      <c r="T5928" s="2">
        <v>42213</v>
      </c>
      <c r="U5928" s="2">
        <v>42273</v>
      </c>
      <c r="V5928" t="s">
        <v>71</v>
      </c>
      <c r="W5928" t="str">
        <f>"             F088255"</f>
        <v xml:space="preserve">             F088255</v>
      </c>
      <c r="X5928">
        <v>988</v>
      </c>
      <c r="Y5928">
        <v>0</v>
      </c>
      <c r="Z5928"/>
      <c r="AB5928"/>
      <c r="AC5928">
        <v>950</v>
      </c>
      <c r="AD5928">
        <v>191</v>
      </c>
      <c r="AE5928" s="1">
        <v>181450</v>
      </c>
      <c r="AF5928">
        <v>0</v>
      </c>
      <c r="AJ5928">
        <v>0</v>
      </c>
      <c r="AK5928">
        <v>0</v>
      </c>
      <c r="AL5928">
        <v>0</v>
      </c>
      <c r="AM5928">
        <v>0</v>
      </c>
      <c r="AN5928">
        <v>0</v>
      </c>
      <c r="AO5928">
        <v>0</v>
      </c>
      <c r="AP5928" s="2">
        <v>42746</v>
      </c>
      <c r="AQ5928" t="s">
        <v>72</v>
      </c>
      <c r="AR5928" t="s">
        <v>72</v>
      </c>
      <c r="AS5928">
        <v>996</v>
      </c>
      <c r="AT5928" s="4">
        <v>42464</v>
      </c>
      <c r="AU5928" t="s">
        <v>73</v>
      </c>
      <c r="AV5928">
        <v>996</v>
      </c>
      <c r="AW5928" s="4">
        <v>42464</v>
      </c>
      <c r="BD5928">
        <v>0</v>
      </c>
      <c r="BN5928" t="s">
        <v>74</v>
      </c>
    </row>
    <row r="5929" spans="1:66" hidden="1">
      <c r="A5929">
        <v>104009</v>
      </c>
      <c r="B5929" s="3" t="s">
        <v>591</v>
      </c>
      <c r="C5929" s="1">
        <v>43300101</v>
      </c>
      <c r="D5929" t="s">
        <v>67</v>
      </c>
      <c r="H5929" t="str">
        <f t="shared" ref="H5929:I5948" si="618">"08641790152"</f>
        <v>08641790152</v>
      </c>
      <c r="I5929" t="str">
        <f t="shared" si="618"/>
        <v>08641790152</v>
      </c>
      <c r="K5929" t="str">
        <f>""</f>
        <v/>
      </c>
      <c r="M5929" t="s">
        <v>68</v>
      </c>
      <c r="N5929" t="str">
        <f t="shared" si="615"/>
        <v>FOR</v>
      </c>
      <c r="O5929" t="s">
        <v>69</v>
      </c>
      <c r="P5929" s="3" t="s">
        <v>75</v>
      </c>
      <c r="Q5929">
        <v>2015</v>
      </c>
      <c r="R5929" s="2">
        <v>42212</v>
      </c>
      <c r="S5929" s="2">
        <v>42215</v>
      </c>
      <c r="T5929" s="2">
        <v>42213</v>
      </c>
      <c r="U5929" s="2">
        <v>42273</v>
      </c>
      <c r="V5929" t="s">
        <v>71</v>
      </c>
      <c r="W5929" t="str">
        <f>"             F088307"</f>
        <v xml:space="preserve">             F088307</v>
      </c>
      <c r="X5929" s="1">
        <v>2292.62</v>
      </c>
      <c r="Y5929">
        <v>0</v>
      </c>
      <c r="Z5929"/>
      <c r="AB5929"/>
      <c r="AC5929" s="1">
        <v>1879.2</v>
      </c>
      <c r="AD5929">
        <v>191</v>
      </c>
      <c r="AE5929" s="1">
        <v>358927.2</v>
      </c>
      <c r="AF5929">
        <v>0</v>
      </c>
      <c r="AJ5929">
        <v>0</v>
      </c>
      <c r="AK5929">
        <v>0</v>
      </c>
      <c r="AL5929">
        <v>0</v>
      </c>
      <c r="AM5929">
        <v>0</v>
      </c>
      <c r="AN5929">
        <v>0</v>
      </c>
      <c r="AO5929">
        <v>0</v>
      </c>
      <c r="AP5929" s="2">
        <v>42746</v>
      </c>
      <c r="AQ5929" t="s">
        <v>72</v>
      </c>
      <c r="AR5929" t="s">
        <v>72</v>
      </c>
      <c r="AS5929">
        <v>996</v>
      </c>
      <c r="AT5929" s="4">
        <v>42464</v>
      </c>
      <c r="AU5929" t="s">
        <v>73</v>
      </c>
      <c r="AV5929">
        <v>996</v>
      </c>
      <c r="AW5929" s="4">
        <v>42464</v>
      </c>
      <c r="BD5929">
        <v>0</v>
      </c>
      <c r="BN5929" t="s">
        <v>74</v>
      </c>
    </row>
    <row r="5930" spans="1:66" hidden="1">
      <c r="A5930">
        <v>104009</v>
      </c>
      <c r="B5930" s="3" t="s">
        <v>591</v>
      </c>
      <c r="C5930" s="1">
        <v>43300101</v>
      </c>
      <c r="D5930" t="s">
        <v>67</v>
      </c>
      <c r="H5930" t="str">
        <f t="shared" si="618"/>
        <v>08641790152</v>
      </c>
      <c r="I5930" t="str">
        <f t="shared" si="618"/>
        <v>08641790152</v>
      </c>
      <c r="K5930" t="str">
        <f>""</f>
        <v/>
      </c>
      <c r="M5930" t="s">
        <v>68</v>
      </c>
      <c r="N5930" t="str">
        <f t="shared" si="615"/>
        <v>FOR</v>
      </c>
      <c r="O5930" t="s">
        <v>69</v>
      </c>
      <c r="P5930" s="3" t="s">
        <v>75</v>
      </c>
      <c r="Q5930">
        <v>2015</v>
      </c>
      <c r="R5930" s="2">
        <v>42212</v>
      </c>
      <c r="S5930" s="2">
        <v>42215</v>
      </c>
      <c r="T5930" s="2">
        <v>42213</v>
      </c>
      <c r="U5930" s="2">
        <v>42273</v>
      </c>
      <c r="V5930" t="s">
        <v>71</v>
      </c>
      <c r="W5930" t="str">
        <f>"             F088330"</f>
        <v xml:space="preserve">             F088330</v>
      </c>
      <c r="X5930" s="1">
        <v>1132.1600000000001</v>
      </c>
      <c r="Y5930">
        <v>0</v>
      </c>
      <c r="Z5930"/>
      <c r="AB5930"/>
      <c r="AC5930">
        <v>928</v>
      </c>
      <c r="AD5930">
        <v>191</v>
      </c>
      <c r="AE5930" s="1">
        <v>177248</v>
      </c>
      <c r="AF5930">
        <v>0</v>
      </c>
      <c r="AJ5930">
        <v>0</v>
      </c>
      <c r="AK5930">
        <v>0</v>
      </c>
      <c r="AL5930">
        <v>0</v>
      </c>
      <c r="AM5930">
        <v>0</v>
      </c>
      <c r="AN5930">
        <v>0</v>
      </c>
      <c r="AO5930">
        <v>0</v>
      </c>
      <c r="AP5930" s="2">
        <v>42746</v>
      </c>
      <c r="AQ5930" t="s">
        <v>72</v>
      </c>
      <c r="AR5930" t="s">
        <v>72</v>
      </c>
      <c r="AS5930">
        <v>996</v>
      </c>
      <c r="AT5930" s="4">
        <v>42464</v>
      </c>
      <c r="AU5930" t="s">
        <v>73</v>
      </c>
      <c r="AV5930">
        <v>996</v>
      </c>
      <c r="AW5930" s="4">
        <v>42464</v>
      </c>
      <c r="BD5930">
        <v>0</v>
      </c>
      <c r="BN5930" t="s">
        <v>74</v>
      </c>
    </row>
    <row r="5931" spans="1:66" hidden="1">
      <c r="A5931">
        <v>104009</v>
      </c>
      <c r="B5931" s="3" t="s">
        <v>591</v>
      </c>
      <c r="C5931" s="1">
        <v>43300101</v>
      </c>
      <c r="D5931" t="s">
        <v>67</v>
      </c>
      <c r="H5931" t="str">
        <f t="shared" si="618"/>
        <v>08641790152</v>
      </c>
      <c r="I5931" t="str">
        <f t="shared" si="618"/>
        <v>08641790152</v>
      </c>
      <c r="K5931" t="str">
        <f>""</f>
        <v/>
      </c>
      <c r="M5931" t="s">
        <v>68</v>
      </c>
      <c r="N5931" t="str">
        <f t="shared" si="615"/>
        <v>FOR</v>
      </c>
      <c r="O5931" t="s">
        <v>69</v>
      </c>
      <c r="P5931" s="3" t="s">
        <v>75</v>
      </c>
      <c r="Q5931">
        <v>2015</v>
      </c>
      <c r="R5931" s="2">
        <v>42212</v>
      </c>
      <c r="S5931" s="2">
        <v>42215</v>
      </c>
      <c r="T5931" s="2">
        <v>42213</v>
      </c>
      <c r="U5931" s="2">
        <v>42273</v>
      </c>
      <c r="V5931" t="s">
        <v>71</v>
      </c>
      <c r="W5931" t="str">
        <f>"             F088346"</f>
        <v xml:space="preserve">             F088346</v>
      </c>
      <c r="X5931" s="1">
        <v>1317.6</v>
      </c>
      <c r="Y5931">
        <v>0</v>
      </c>
      <c r="Z5931"/>
      <c r="AB5931"/>
      <c r="AC5931" s="1">
        <v>1080</v>
      </c>
      <c r="AD5931">
        <v>191</v>
      </c>
      <c r="AE5931" s="1">
        <v>206280</v>
      </c>
      <c r="AF5931">
        <v>0</v>
      </c>
      <c r="AJ5931">
        <v>0</v>
      </c>
      <c r="AK5931">
        <v>0</v>
      </c>
      <c r="AL5931">
        <v>0</v>
      </c>
      <c r="AM5931">
        <v>0</v>
      </c>
      <c r="AN5931">
        <v>0</v>
      </c>
      <c r="AO5931">
        <v>0</v>
      </c>
      <c r="AP5931" s="2">
        <v>42746</v>
      </c>
      <c r="AQ5931" t="s">
        <v>72</v>
      </c>
      <c r="AR5931" t="s">
        <v>72</v>
      </c>
      <c r="AS5931">
        <v>996</v>
      </c>
      <c r="AT5931" s="4">
        <v>42464</v>
      </c>
      <c r="AU5931" t="s">
        <v>73</v>
      </c>
      <c r="AV5931">
        <v>996</v>
      </c>
      <c r="AW5931" s="4">
        <v>42464</v>
      </c>
      <c r="BD5931">
        <v>0</v>
      </c>
      <c r="BN5931" t="s">
        <v>74</v>
      </c>
    </row>
    <row r="5932" spans="1:66" hidden="1">
      <c r="A5932">
        <v>104009</v>
      </c>
      <c r="B5932" s="3" t="s">
        <v>591</v>
      </c>
      <c r="C5932" s="1">
        <v>43300101</v>
      </c>
      <c r="D5932" t="s">
        <v>67</v>
      </c>
      <c r="H5932" t="str">
        <f t="shared" si="618"/>
        <v>08641790152</v>
      </c>
      <c r="I5932" t="str">
        <f t="shared" si="618"/>
        <v>08641790152</v>
      </c>
      <c r="K5932" t="str">
        <f>""</f>
        <v/>
      </c>
      <c r="M5932" t="s">
        <v>68</v>
      </c>
      <c r="N5932" t="str">
        <f t="shared" si="615"/>
        <v>FOR</v>
      </c>
      <c r="O5932" t="s">
        <v>69</v>
      </c>
      <c r="P5932" s="3" t="s">
        <v>75</v>
      </c>
      <c r="Q5932">
        <v>2015</v>
      </c>
      <c r="R5932" s="2">
        <v>42212</v>
      </c>
      <c r="S5932" s="2">
        <v>42215</v>
      </c>
      <c r="T5932" s="2">
        <v>42213</v>
      </c>
      <c r="U5932" s="2">
        <v>42273</v>
      </c>
      <c r="V5932" t="s">
        <v>71</v>
      </c>
      <c r="W5932" t="str">
        <f>"             F088500"</f>
        <v xml:space="preserve">             F088500</v>
      </c>
      <c r="X5932">
        <v>626.74</v>
      </c>
      <c r="Y5932">
        <v>0</v>
      </c>
      <c r="Z5932"/>
      <c r="AB5932"/>
      <c r="AC5932">
        <v>513.72</v>
      </c>
      <c r="AD5932">
        <v>191</v>
      </c>
      <c r="AE5932" s="1">
        <v>98120.52</v>
      </c>
      <c r="AF5932">
        <v>0</v>
      </c>
      <c r="AJ5932">
        <v>0</v>
      </c>
      <c r="AK5932">
        <v>0</v>
      </c>
      <c r="AL5932">
        <v>0</v>
      </c>
      <c r="AM5932">
        <v>0</v>
      </c>
      <c r="AN5932">
        <v>0</v>
      </c>
      <c r="AO5932">
        <v>0</v>
      </c>
      <c r="AP5932" s="2">
        <v>42746</v>
      </c>
      <c r="AQ5932" t="s">
        <v>72</v>
      </c>
      <c r="AR5932" t="s">
        <v>72</v>
      </c>
      <c r="AS5932">
        <v>996</v>
      </c>
      <c r="AT5932" s="4">
        <v>42464</v>
      </c>
      <c r="AU5932" t="s">
        <v>73</v>
      </c>
      <c r="AV5932">
        <v>996</v>
      </c>
      <c r="AW5932" s="4">
        <v>42464</v>
      </c>
      <c r="BD5932">
        <v>0</v>
      </c>
      <c r="BN5932" t="s">
        <v>74</v>
      </c>
    </row>
    <row r="5933" spans="1:66" hidden="1">
      <c r="A5933">
        <v>104009</v>
      </c>
      <c r="B5933" s="3" t="s">
        <v>591</v>
      </c>
      <c r="C5933" s="1">
        <v>43300101</v>
      </c>
      <c r="D5933" t="s">
        <v>67</v>
      </c>
      <c r="H5933" t="str">
        <f t="shared" si="618"/>
        <v>08641790152</v>
      </c>
      <c r="I5933" t="str">
        <f t="shared" si="618"/>
        <v>08641790152</v>
      </c>
      <c r="K5933" t="str">
        <f>""</f>
        <v/>
      </c>
      <c r="M5933" t="s">
        <v>68</v>
      </c>
      <c r="N5933" t="str">
        <f t="shared" si="615"/>
        <v>FOR</v>
      </c>
      <c r="O5933" t="s">
        <v>69</v>
      </c>
      <c r="P5933" s="3" t="s">
        <v>75</v>
      </c>
      <c r="Q5933">
        <v>2015</v>
      </c>
      <c r="R5933" s="2">
        <v>42212</v>
      </c>
      <c r="S5933" s="2">
        <v>42215</v>
      </c>
      <c r="T5933" s="2">
        <v>42213</v>
      </c>
      <c r="U5933" s="2">
        <v>42273</v>
      </c>
      <c r="V5933" t="s">
        <v>71</v>
      </c>
      <c r="W5933" t="str">
        <f>"             F088502"</f>
        <v xml:space="preserve">             F088502</v>
      </c>
      <c r="X5933">
        <v>823.94</v>
      </c>
      <c r="Y5933">
        <v>0</v>
      </c>
      <c r="Z5933"/>
      <c r="AB5933"/>
      <c r="AC5933">
        <v>675.36</v>
      </c>
      <c r="AD5933">
        <v>191</v>
      </c>
      <c r="AE5933" s="1">
        <v>128993.76</v>
      </c>
      <c r="AF5933">
        <v>0</v>
      </c>
      <c r="AJ5933">
        <v>0</v>
      </c>
      <c r="AK5933">
        <v>0</v>
      </c>
      <c r="AL5933">
        <v>0</v>
      </c>
      <c r="AM5933">
        <v>0</v>
      </c>
      <c r="AN5933">
        <v>0</v>
      </c>
      <c r="AO5933">
        <v>0</v>
      </c>
      <c r="AP5933" s="2">
        <v>42746</v>
      </c>
      <c r="AQ5933" t="s">
        <v>72</v>
      </c>
      <c r="AR5933" t="s">
        <v>72</v>
      </c>
      <c r="AS5933">
        <v>996</v>
      </c>
      <c r="AT5933" s="4">
        <v>42464</v>
      </c>
      <c r="AU5933" t="s">
        <v>73</v>
      </c>
      <c r="AV5933">
        <v>996</v>
      </c>
      <c r="AW5933" s="4">
        <v>42464</v>
      </c>
      <c r="BD5933">
        <v>0</v>
      </c>
      <c r="BN5933" t="s">
        <v>74</v>
      </c>
    </row>
    <row r="5934" spans="1:66" hidden="1">
      <c r="A5934">
        <v>104009</v>
      </c>
      <c r="B5934" s="3" t="s">
        <v>591</v>
      </c>
      <c r="C5934" s="1">
        <v>43300101</v>
      </c>
      <c r="D5934" t="s">
        <v>67</v>
      </c>
      <c r="H5934" t="str">
        <f t="shared" si="618"/>
        <v>08641790152</v>
      </c>
      <c r="I5934" t="str">
        <f t="shared" si="618"/>
        <v>08641790152</v>
      </c>
      <c r="K5934" t="str">
        <f>""</f>
        <v/>
      </c>
      <c r="M5934" t="s">
        <v>68</v>
      </c>
      <c r="N5934" t="str">
        <f t="shared" si="615"/>
        <v>FOR</v>
      </c>
      <c r="O5934" t="s">
        <v>69</v>
      </c>
      <c r="P5934" s="3" t="s">
        <v>75</v>
      </c>
      <c r="Q5934">
        <v>2015</v>
      </c>
      <c r="R5934" s="2">
        <v>42212</v>
      </c>
      <c r="S5934" s="2">
        <v>42215</v>
      </c>
      <c r="T5934" s="2">
        <v>42213</v>
      </c>
      <c r="U5934" s="2">
        <v>42273</v>
      </c>
      <c r="V5934" t="s">
        <v>71</v>
      </c>
      <c r="W5934" t="str">
        <f>"             F088625"</f>
        <v xml:space="preserve">             F088625</v>
      </c>
      <c r="X5934" s="1">
        <v>2810.88</v>
      </c>
      <c r="Y5934">
        <v>0</v>
      </c>
      <c r="Z5934"/>
      <c r="AB5934"/>
      <c r="AC5934" s="1">
        <v>2304</v>
      </c>
      <c r="AD5934">
        <v>191</v>
      </c>
      <c r="AE5934" s="1">
        <v>440064</v>
      </c>
      <c r="AF5934">
        <v>0</v>
      </c>
      <c r="AJ5934">
        <v>0</v>
      </c>
      <c r="AK5934">
        <v>0</v>
      </c>
      <c r="AL5934">
        <v>0</v>
      </c>
      <c r="AM5934">
        <v>0</v>
      </c>
      <c r="AN5934">
        <v>0</v>
      </c>
      <c r="AO5934">
        <v>0</v>
      </c>
      <c r="AP5934" s="2">
        <v>42746</v>
      </c>
      <c r="AQ5934" t="s">
        <v>72</v>
      </c>
      <c r="AR5934" t="s">
        <v>72</v>
      </c>
      <c r="AS5934">
        <v>996</v>
      </c>
      <c r="AT5934" s="4">
        <v>42464</v>
      </c>
      <c r="AU5934" t="s">
        <v>73</v>
      </c>
      <c r="AV5934">
        <v>996</v>
      </c>
      <c r="AW5934" s="4">
        <v>42464</v>
      </c>
      <c r="BD5934">
        <v>0</v>
      </c>
      <c r="BN5934" t="s">
        <v>74</v>
      </c>
    </row>
    <row r="5935" spans="1:66" hidden="1">
      <c r="A5935">
        <v>104009</v>
      </c>
      <c r="B5935" s="3" t="s">
        <v>591</v>
      </c>
      <c r="C5935" s="1">
        <v>43300101</v>
      </c>
      <c r="D5935" t="s">
        <v>67</v>
      </c>
      <c r="H5935" t="str">
        <f t="shared" si="618"/>
        <v>08641790152</v>
      </c>
      <c r="I5935" t="str">
        <f t="shared" si="618"/>
        <v>08641790152</v>
      </c>
      <c r="K5935" t="str">
        <f>""</f>
        <v/>
      </c>
      <c r="M5935" t="s">
        <v>68</v>
      </c>
      <c r="N5935" t="str">
        <f t="shared" si="615"/>
        <v>FOR</v>
      </c>
      <c r="O5935" t="s">
        <v>69</v>
      </c>
      <c r="P5935" s="3" t="s">
        <v>75</v>
      </c>
      <c r="Q5935">
        <v>2015</v>
      </c>
      <c r="R5935" s="2">
        <v>42215</v>
      </c>
      <c r="S5935" s="2">
        <v>42217</v>
      </c>
      <c r="T5935" s="2">
        <v>42216</v>
      </c>
      <c r="U5935" s="2">
        <v>42276</v>
      </c>
      <c r="V5935" t="s">
        <v>71</v>
      </c>
      <c r="W5935" t="str">
        <f>"             F089987"</f>
        <v xml:space="preserve">             F089987</v>
      </c>
      <c r="X5935">
        <v>878.4</v>
      </c>
      <c r="Y5935">
        <v>0</v>
      </c>
      <c r="Z5935"/>
      <c r="AB5935"/>
      <c r="AC5935">
        <v>720</v>
      </c>
      <c r="AD5935">
        <v>188</v>
      </c>
      <c r="AE5935" s="1">
        <v>135360</v>
      </c>
      <c r="AF5935">
        <v>0</v>
      </c>
      <c r="AJ5935">
        <v>0</v>
      </c>
      <c r="AK5935">
        <v>0</v>
      </c>
      <c r="AL5935">
        <v>0</v>
      </c>
      <c r="AM5935">
        <v>0</v>
      </c>
      <c r="AN5935">
        <v>0</v>
      </c>
      <c r="AO5935">
        <v>0</v>
      </c>
      <c r="AP5935" s="2">
        <v>42746</v>
      </c>
      <c r="AQ5935" t="s">
        <v>72</v>
      </c>
      <c r="AR5935" t="s">
        <v>72</v>
      </c>
      <c r="AS5935">
        <v>996</v>
      </c>
      <c r="AT5935" s="4">
        <v>42464</v>
      </c>
      <c r="AU5935" t="s">
        <v>73</v>
      </c>
      <c r="AV5935">
        <v>996</v>
      </c>
      <c r="AW5935" s="4">
        <v>42464</v>
      </c>
      <c r="BD5935">
        <v>0</v>
      </c>
      <c r="BN5935" t="s">
        <v>74</v>
      </c>
    </row>
    <row r="5936" spans="1:66">
      <c r="A5936">
        <v>104009</v>
      </c>
      <c r="B5936" s="3" t="s">
        <v>591</v>
      </c>
      <c r="C5936" s="1">
        <v>43300101</v>
      </c>
      <c r="D5936" t="s">
        <v>67</v>
      </c>
      <c r="H5936" t="str">
        <f t="shared" si="618"/>
        <v>08641790152</v>
      </c>
      <c r="I5936" t="str">
        <f t="shared" si="618"/>
        <v>08641790152</v>
      </c>
      <c r="K5936" t="str">
        <f>""</f>
        <v/>
      </c>
      <c r="M5936" t="s">
        <v>68</v>
      </c>
      <c r="N5936" t="str">
        <f t="shared" si="615"/>
        <v>FOR</v>
      </c>
      <c r="O5936" t="s">
        <v>69</v>
      </c>
      <c r="P5936" s="3" t="s">
        <v>75</v>
      </c>
      <c r="Q5936">
        <v>2015</v>
      </c>
      <c r="R5936" s="2">
        <v>42215</v>
      </c>
      <c r="S5936" s="2">
        <v>42217</v>
      </c>
      <c r="T5936" s="2">
        <v>42216</v>
      </c>
      <c r="U5936" s="2">
        <v>42276</v>
      </c>
      <c r="V5936" t="s">
        <v>71</v>
      </c>
      <c r="W5936" t="str">
        <f>"             F090291"</f>
        <v xml:space="preserve">             F090291</v>
      </c>
      <c r="X5936">
        <v>549</v>
      </c>
      <c r="Y5936">
        <v>0</v>
      </c>
      <c r="Z5936" s="3">
        <v>450</v>
      </c>
      <c r="AA5936">
        <v>422</v>
      </c>
      <c r="AB5936" s="5">
        <v>189900</v>
      </c>
      <c r="AC5936">
        <v>450</v>
      </c>
      <c r="AD5936">
        <v>422</v>
      </c>
      <c r="AE5936" s="1">
        <v>189900</v>
      </c>
      <c r="AF5936">
        <v>0</v>
      </c>
      <c r="AJ5936">
        <v>0</v>
      </c>
      <c r="AK5936">
        <v>0</v>
      </c>
      <c r="AL5936">
        <v>0</v>
      </c>
      <c r="AM5936">
        <v>0</v>
      </c>
      <c r="AN5936">
        <v>0</v>
      </c>
      <c r="AO5936">
        <v>0</v>
      </c>
      <c r="AP5936" s="2">
        <v>42746</v>
      </c>
      <c r="AQ5936" t="s">
        <v>72</v>
      </c>
      <c r="AR5936" t="s">
        <v>72</v>
      </c>
      <c r="AS5936">
        <v>3306</v>
      </c>
      <c r="AT5936" s="4">
        <v>42698</v>
      </c>
      <c r="AU5936" t="s">
        <v>73</v>
      </c>
      <c r="AV5936">
        <v>3306</v>
      </c>
      <c r="AW5936" s="4">
        <v>42698</v>
      </c>
      <c r="BD5936">
        <v>0</v>
      </c>
      <c r="BN5936" t="s">
        <v>74</v>
      </c>
    </row>
    <row r="5937" spans="1:66" hidden="1">
      <c r="A5937">
        <v>104009</v>
      </c>
      <c r="B5937" s="3" t="s">
        <v>591</v>
      </c>
      <c r="C5937" s="1">
        <v>43300101</v>
      </c>
      <c r="D5937" t="s">
        <v>67</v>
      </c>
      <c r="H5937" t="str">
        <f t="shared" si="618"/>
        <v>08641790152</v>
      </c>
      <c r="I5937" t="str">
        <f t="shared" si="618"/>
        <v>08641790152</v>
      </c>
      <c r="K5937" t="str">
        <f>""</f>
        <v/>
      </c>
      <c r="M5937" t="s">
        <v>68</v>
      </c>
      <c r="N5937" t="str">
        <f t="shared" si="615"/>
        <v>FOR</v>
      </c>
      <c r="O5937" t="s">
        <v>69</v>
      </c>
      <c r="P5937" s="3" t="s">
        <v>75</v>
      </c>
      <c r="Q5937">
        <v>2015</v>
      </c>
      <c r="R5937" s="2">
        <v>42227</v>
      </c>
      <c r="S5937" s="2">
        <v>42229</v>
      </c>
      <c r="T5937" s="2">
        <v>42228</v>
      </c>
      <c r="U5937" s="2">
        <v>42288</v>
      </c>
      <c r="V5937" t="s">
        <v>71</v>
      </c>
      <c r="W5937" t="str">
        <f>"             F093427"</f>
        <v xml:space="preserve">             F093427</v>
      </c>
      <c r="X5937">
        <v>117.12</v>
      </c>
      <c r="Y5937">
        <v>0</v>
      </c>
      <c r="Z5937"/>
      <c r="AB5937"/>
      <c r="AC5937">
        <v>96</v>
      </c>
      <c r="AD5937">
        <v>185</v>
      </c>
      <c r="AE5937" s="1">
        <v>17760</v>
      </c>
      <c r="AF5937">
        <v>0</v>
      </c>
      <c r="AJ5937">
        <v>0</v>
      </c>
      <c r="AK5937">
        <v>0</v>
      </c>
      <c r="AL5937">
        <v>0</v>
      </c>
      <c r="AM5937">
        <v>0</v>
      </c>
      <c r="AN5937">
        <v>0</v>
      </c>
      <c r="AO5937">
        <v>0</v>
      </c>
      <c r="AP5937" s="2">
        <v>42746</v>
      </c>
      <c r="AQ5937" t="s">
        <v>72</v>
      </c>
      <c r="AR5937" t="s">
        <v>72</v>
      </c>
      <c r="AS5937">
        <v>1016</v>
      </c>
      <c r="AT5937" s="4">
        <v>42473</v>
      </c>
      <c r="AU5937" t="s">
        <v>73</v>
      </c>
      <c r="AV5937">
        <v>1016</v>
      </c>
      <c r="AW5937" s="4">
        <v>42473</v>
      </c>
      <c r="BD5937">
        <v>0</v>
      </c>
      <c r="BN5937" t="s">
        <v>74</v>
      </c>
    </row>
    <row r="5938" spans="1:66" hidden="1">
      <c r="A5938">
        <v>104009</v>
      </c>
      <c r="B5938" s="3" t="s">
        <v>591</v>
      </c>
      <c r="C5938" s="1">
        <v>43300101</v>
      </c>
      <c r="D5938" t="s">
        <v>67</v>
      </c>
      <c r="H5938" t="str">
        <f t="shared" si="618"/>
        <v>08641790152</v>
      </c>
      <c r="I5938" t="str">
        <f t="shared" si="618"/>
        <v>08641790152</v>
      </c>
      <c r="K5938" t="str">
        <f>""</f>
        <v/>
      </c>
      <c r="M5938" t="s">
        <v>68</v>
      </c>
      <c r="N5938" t="str">
        <f t="shared" si="615"/>
        <v>FOR</v>
      </c>
      <c r="O5938" t="s">
        <v>69</v>
      </c>
      <c r="P5938" s="3" t="s">
        <v>75</v>
      </c>
      <c r="Q5938">
        <v>2015</v>
      </c>
      <c r="R5938" s="2">
        <v>42228</v>
      </c>
      <c r="S5938" s="2">
        <v>42230</v>
      </c>
      <c r="T5938" s="2">
        <v>42229</v>
      </c>
      <c r="U5938" s="2">
        <v>42289</v>
      </c>
      <c r="V5938" t="s">
        <v>71</v>
      </c>
      <c r="W5938" t="str">
        <f>"             F093813"</f>
        <v xml:space="preserve">             F093813</v>
      </c>
      <c r="X5938">
        <v>633.17999999999995</v>
      </c>
      <c r="Y5938">
        <v>0</v>
      </c>
      <c r="Z5938"/>
      <c r="AB5938"/>
      <c r="AC5938">
        <v>519</v>
      </c>
      <c r="AD5938">
        <v>184</v>
      </c>
      <c r="AE5938" s="1">
        <v>95496</v>
      </c>
      <c r="AF5938">
        <v>0</v>
      </c>
      <c r="AJ5938">
        <v>0</v>
      </c>
      <c r="AK5938">
        <v>0</v>
      </c>
      <c r="AL5938">
        <v>0</v>
      </c>
      <c r="AM5938">
        <v>0</v>
      </c>
      <c r="AN5938">
        <v>0</v>
      </c>
      <c r="AO5938">
        <v>0</v>
      </c>
      <c r="AP5938" s="2">
        <v>42746</v>
      </c>
      <c r="AQ5938" t="s">
        <v>72</v>
      </c>
      <c r="AR5938" t="s">
        <v>72</v>
      </c>
      <c r="AS5938">
        <v>1016</v>
      </c>
      <c r="AT5938" s="4">
        <v>42473</v>
      </c>
      <c r="AU5938" t="s">
        <v>73</v>
      </c>
      <c r="AV5938">
        <v>1016</v>
      </c>
      <c r="AW5938" s="4">
        <v>42473</v>
      </c>
      <c r="BD5938">
        <v>0</v>
      </c>
      <c r="BN5938" t="s">
        <v>74</v>
      </c>
    </row>
    <row r="5939" spans="1:66" hidden="1">
      <c r="A5939">
        <v>104009</v>
      </c>
      <c r="B5939" s="3" t="s">
        <v>591</v>
      </c>
      <c r="C5939" s="1">
        <v>43300101</v>
      </c>
      <c r="D5939" t="s">
        <v>67</v>
      </c>
      <c r="H5939" t="str">
        <f t="shared" si="618"/>
        <v>08641790152</v>
      </c>
      <c r="I5939" t="str">
        <f t="shared" si="618"/>
        <v>08641790152</v>
      </c>
      <c r="K5939" t="str">
        <f>""</f>
        <v/>
      </c>
      <c r="M5939" t="s">
        <v>68</v>
      </c>
      <c r="N5939" t="str">
        <f t="shared" si="615"/>
        <v>FOR</v>
      </c>
      <c r="O5939" t="s">
        <v>69</v>
      </c>
      <c r="P5939" s="3" t="s">
        <v>75</v>
      </c>
      <c r="Q5939">
        <v>2015</v>
      </c>
      <c r="R5939" s="2">
        <v>42237</v>
      </c>
      <c r="S5939" s="2">
        <v>42241</v>
      </c>
      <c r="T5939" s="2">
        <v>42238</v>
      </c>
      <c r="U5939" s="2">
        <v>42298</v>
      </c>
      <c r="V5939" t="s">
        <v>71</v>
      </c>
      <c r="W5939" t="str">
        <f>"             F095563"</f>
        <v xml:space="preserve">             F095563</v>
      </c>
      <c r="X5939" s="1">
        <v>1037</v>
      </c>
      <c r="Y5939">
        <v>0</v>
      </c>
      <c r="Z5939"/>
      <c r="AB5939"/>
      <c r="AC5939">
        <v>850</v>
      </c>
      <c r="AD5939">
        <v>175</v>
      </c>
      <c r="AE5939" s="1">
        <v>148750</v>
      </c>
      <c r="AF5939">
        <v>0</v>
      </c>
      <c r="AJ5939">
        <v>0</v>
      </c>
      <c r="AK5939">
        <v>0</v>
      </c>
      <c r="AL5939">
        <v>0</v>
      </c>
      <c r="AM5939">
        <v>0</v>
      </c>
      <c r="AN5939">
        <v>0</v>
      </c>
      <c r="AO5939">
        <v>0</v>
      </c>
      <c r="AP5939" s="2">
        <v>42746</v>
      </c>
      <c r="AQ5939" t="s">
        <v>72</v>
      </c>
      <c r="AR5939" t="s">
        <v>72</v>
      </c>
      <c r="AS5939">
        <v>1016</v>
      </c>
      <c r="AT5939" s="4">
        <v>42473</v>
      </c>
      <c r="AU5939" t="s">
        <v>73</v>
      </c>
      <c r="AV5939">
        <v>1016</v>
      </c>
      <c r="AW5939" s="4">
        <v>42473</v>
      </c>
      <c r="BD5939">
        <v>0</v>
      </c>
      <c r="BN5939" t="s">
        <v>74</v>
      </c>
    </row>
    <row r="5940" spans="1:66" hidden="1">
      <c r="A5940">
        <v>104009</v>
      </c>
      <c r="B5940" s="3" t="s">
        <v>591</v>
      </c>
      <c r="C5940" s="1">
        <v>43300101</v>
      </c>
      <c r="D5940" t="s">
        <v>67</v>
      </c>
      <c r="H5940" t="str">
        <f t="shared" si="618"/>
        <v>08641790152</v>
      </c>
      <c r="I5940" t="str">
        <f t="shared" si="618"/>
        <v>08641790152</v>
      </c>
      <c r="K5940" t="str">
        <f>""</f>
        <v/>
      </c>
      <c r="M5940" t="s">
        <v>68</v>
      </c>
      <c r="N5940" t="str">
        <f t="shared" si="615"/>
        <v>FOR</v>
      </c>
      <c r="O5940" t="s">
        <v>69</v>
      </c>
      <c r="P5940" s="3" t="s">
        <v>75</v>
      </c>
      <c r="Q5940">
        <v>2015</v>
      </c>
      <c r="R5940" s="2">
        <v>42244</v>
      </c>
      <c r="S5940" s="2">
        <v>42248</v>
      </c>
      <c r="T5940" s="2">
        <v>42245</v>
      </c>
      <c r="U5940" s="2">
        <v>42305</v>
      </c>
      <c r="V5940" t="s">
        <v>71</v>
      </c>
      <c r="W5940" t="str">
        <f>"             F097033"</f>
        <v xml:space="preserve">             F097033</v>
      </c>
      <c r="X5940" s="1">
        <v>23863.200000000001</v>
      </c>
      <c r="Y5940">
        <v>0</v>
      </c>
      <c r="Z5940"/>
      <c r="AB5940"/>
      <c r="AC5940" s="1">
        <v>19560</v>
      </c>
      <c r="AD5940">
        <v>168</v>
      </c>
      <c r="AE5940" s="1">
        <v>3286080</v>
      </c>
      <c r="AF5940">
        <v>0</v>
      </c>
      <c r="AJ5940">
        <v>0</v>
      </c>
      <c r="AK5940">
        <v>0</v>
      </c>
      <c r="AL5940">
        <v>0</v>
      </c>
      <c r="AM5940">
        <v>0</v>
      </c>
      <c r="AN5940">
        <v>0</v>
      </c>
      <c r="AO5940">
        <v>0</v>
      </c>
      <c r="AP5940" s="2">
        <v>42746</v>
      </c>
      <c r="AQ5940" t="s">
        <v>72</v>
      </c>
      <c r="AR5940" t="s">
        <v>72</v>
      </c>
      <c r="AS5940">
        <v>1016</v>
      </c>
      <c r="AT5940" s="4">
        <v>42473</v>
      </c>
      <c r="AU5940" t="s">
        <v>73</v>
      </c>
      <c r="AV5940">
        <v>1016</v>
      </c>
      <c r="AW5940" s="4">
        <v>42473</v>
      </c>
      <c r="BD5940">
        <v>0</v>
      </c>
      <c r="BN5940" t="s">
        <v>74</v>
      </c>
    </row>
    <row r="5941" spans="1:66" hidden="1">
      <c r="A5941">
        <v>104009</v>
      </c>
      <c r="B5941" s="3" t="s">
        <v>591</v>
      </c>
      <c r="C5941" s="1">
        <v>43300101</v>
      </c>
      <c r="D5941" t="s">
        <v>67</v>
      </c>
      <c r="H5941" t="str">
        <f t="shared" si="618"/>
        <v>08641790152</v>
      </c>
      <c r="I5941" t="str">
        <f t="shared" si="618"/>
        <v>08641790152</v>
      </c>
      <c r="K5941" t="str">
        <f>""</f>
        <v/>
      </c>
      <c r="M5941" t="s">
        <v>68</v>
      </c>
      <c r="N5941" t="str">
        <f t="shared" si="615"/>
        <v>FOR</v>
      </c>
      <c r="O5941" t="s">
        <v>69</v>
      </c>
      <c r="P5941" s="3" t="s">
        <v>75</v>
      </c>
      <c r="Q5941">
        <v>2015</v>
      </c>
      <c r="R5941" s="2">
        <v>42244</v>
      </c>
      <c r="S5941" s="2">
        <v>42245</v>
      </c>
      <c r="T5941" s="2">
        <v>42245</v>
      </c>
      <c r="U5941" s="2">
        <v>42305</v>
      </c>
      <c r="V5941" t="s">
        <v>71</v>
      </c>
      <c r="W5941" t="str">
        <f>"             F097289"</f>
        <v xml:space="preserve">             F097289</v>
      </c>
      <c r="X5941" s="1">
        <v>8052</v>
      </c>
      <c r="Y5941">
        <v>0</v>
      </c>
      <c r="Z5941"/>
      <c r="AB5941"/>
      <c r="AC5941" s="1">
        <v>6600</v>
      </c>
      <c r="AD5941">
        <v>168</v>
      </c>
      <c r="AE5941" s="1">
        <v>1108800</v>
      </c>
      <c r="AF5941">
        <v>0</v>
      </c>
      <c r="AJ5941">
        <v>0</v>
      </c>
      <c r="AK5941">
        <v>0</v>
      </c>
      <c r="AL5941">
        <v>0</v>
      </c>
      <c r="AM5941">
        <v>0</v>
      </c>
      <c r="AN5941">
        <v>0</v>
      </c>
      <c r="AO5941">
        <v>0</v>
      </c>
      <c r="AP5941" s="2">
        <v>42746</v>
      </c>
      <c r="AQ5941" t="s">
        <v>72</v>
      </c>
      <c r="AR5941" t="s">
        <v>72</v>
      </c>
      <c r="AS5941">
        <v>1016</v>
      </c>
      <c r="AT5941" s="4">
        <v>42473</v>
      </c>
      <c r="AU5941" t="s">
        <v>73</v>
      </c>
      <c r="AV5941">
        <v>1016</v>
      </c>
      <c r="AW5941" s="4">
        <v>42473</v>
      </c>
      <c r="BD5941">
        <v>0</v>
      </c>
      <c r="BN5941" t="s">
        <v>74</v>
      </c>
    </row>
    <row r="5942" spans="1:66" hidden="1">
      <c r="A5942">
        <v>104009</v>
      </c>
      <c r="B5942" s="3" t="s">
        <v>591</v>
      </c>
      <c r="C5942" s="1">
        <v>43300101</v>
      </c>
      <c r="D5942" t="s">
        <v>67</v>
      </c>
      <c r="H5942" t="str">
        <f t="shared" si="618"/>
        <v>08641790152</v>
      </c>
      <c r="I5942" t="str">
        <f t="shared" si="618"/>
        <v>08641790152</v>
      </c>
      <c r="K5942" t="str">
        <f>""</f>
        <v/>
      </c>
      <c r="M5942" t="s">
        <v>68</v>
      </c>
      <c r="N5942" t="str">
        <f t="shared" si="615"/>
        <v>FOR</v>
      </c>
      <c r="O5942" t="s">
        <v>69</v>
      </c>
      <c r="P5942" s="3" t="s">
        <v>75</v>
      </c>
      <c r="Q5942">
        <v>2015</v>
      </c>
      <c r="R5942" s="2">
        <v>42247</v>
      </c>
      <c r="S5942" s="2">
        <v>42249</v>
      </c>
      <c r="T5942" s="2">
        <v>42248</v>
      </c>
      <c r="U5942" s="2">
        <v>42308</v>
      </c>
      <c r="V5942" t="s">
        <v>71</v>
      </c>
      <c r="W5942" t="str">
        <f>"             F097707"</f>
        <v xml:space="preserve">             F097707</v>
      </c>
      <c r="X5942">
        <v>356.24</v>
      </c>
      <c r="Y5942">
        <v>0</v>
      </c>
      <c r="Z5942"/>
      <c r="AB5942"/>
      <c r="AC5942">
        <v>292</v>
      </c>
      <c r="AD5942">
        <v>165</v>
      </c>
      <c r="AE5942" s="1">
        <v>48180</v>
      </c>
      <c r="AF5942">
        <v>0</v>
      </c>
      <c r="AJ5942">
        <v>0</v>
      </c>
      <c r="AK5942">
        <v>0</v>
      </c>
      <c r="AL5942">
        <v>0</v>
      </c>
      <c r="AM5942">
        <v>0</v>
      </c>
      <c r="AN5942">
        <v>0</v>
      </c>
      <c r="AO5942">
        <v>0</v>
      </c>
      <c r="AP5942" s="2">
        <v>42746</v>
      </c>
      <c r="AQ5942" t="s">
        <v>72</v>
      </c>
      <c r="AR5942" t="s">
        <v>72</v>
      </c>
      <c r="AS5942">
        <v>1016</v>
      </c>
      <c r="AT5942" s="4">
        <v>42473</v>
      </c>
      <c r="AU5942" t="s">
        <v>73</v>
      </c>
      <c r="AV5942">
        <v>1016</v>
      </c>
      <c r="AW5942" s="4">
        <v>42473</v>
      </c>
      <c r="BD5942">
        <v>0</v>
      </c>
      <c r="BN5942" t="s">
        <v>74</v>
      </c>
    </row>
    <row r="5943" spans="1:66" hidden="1">
      <c r="A5943">
        <v>104009</v>
      </c>
      <c r="B5943" s="3" t="s">
        <v>591</v>
      </c>
      <c r="C5943" s="1">
        <v>43300101</v>
      </c>
      <c r="D5943" t="s">
        <v>67</v>
      </c>
      <c r="H5943" t="str">
        <f t="shared" si="618"/>
        <v>08641790152</v>
      </c>
      <c r="I5943" t="str">
        <f t="shared" si="618"/>
        <v>08641790152</v>
      </c>
      <c r="K5943" t="str">
        <f>""</f>
        <v/>
      </c>
      <c r="M5943" t="s">
        <v>68</v>
      </c>
      <c r="N5943" t="str">
        <f t="shared" si="615"/>
        <v>FOR</v>
      </c>
      <c r="O5943" t="s">
        <v>69</v>
      </c>
      <c r="P5943" s="3" t="s">
        <v>75</v>
      </c>
      <c r="Q5943">
        <v>2015</v>
      </c>
      <c r="R5943" s="2">
        <v>42254</v>
      </c>
      <c r="S5943" s="2">
        <v>42255</v>
      </c>
      <c r="T5943" s="2">
        <v>42255</v>
      </c>
      <c r="U5943" s="2">
        <v>42315</v>
      </c>
      <c r="V5943" t="s">
        <v>71</v>
      </c>
      <c r="W5943" t="str">
        <f>"             F099597"</f>
        <v xml:space="preserve">             F099597</v>
      </c>
      <c r="X5943" s="1">
        <v>3111</v>
      </c>
      <c r="Y5943">
        <v>0</v>
      </c>
      <c r="Z5943"/>
      <c r="AB5943"/>
      <c r="AC5943" s="1">
        <v>2550</v>
      </c>
      <c r="AD5943">
        <v>158</v>
      </c>
      <c r="AE5943" s="1">
        <v>402900</v>
      </c>
      <c r="AF5943">
        <v>0</v>
      </c>
      <c r="AJ5943">
        <v>0</v>
      </c>
      <c r="AK5943">
        <v>0</v>
      </c>
      <c r="AL5943">
        <v>0</v>
      </c>
      <c r="AM5943">
        <v>0</v>
      </c>
      <c r="AN5943">
        <v>0</v>
      </c>
      <c r="AO5943">
        <v>0</v>
      </c>
      <c r="AP5943" s="2">
        <v>42746</v>
      </c>
      <c r="AQ5943" t="s">
        <v>72</v>
      </c>
      <c r="AR5943" t="s">
        <v>72</v>
      </c>
      <c r="AS5943">
        <v>1016</v>
      </c>
      <c r="AT5943" s="4">
        <v>42473</v>
      </c>
      <c r="AU5943" t="s">
        <v>73</v>
      </c>
      <c r="AV5943">
        <v>1016</v>
      </c>
      <c r="AW5943" s="4">
        <v>42473</v>
      </c>
      <c r="BD5943">
        <v>0</v>
      </c>
      <c r="BN5943" t="s">
        <v>74</v>
      </c>
    </row>
    <row r="5944" spans="1:66" hidden="1">
      <c r="A5944">
        <v>104009</v>
      </c>
      <c r="B5944" s="3" t="s">
        <v>591</v>
      </c>
      <c r="C5944" s="1">
        <v>43300101</v>
      </c>
      <c r="D5944" t="s">
        <v>67</v>
      </c>
      <c r="H5944" t="str">
        <f t="shared" si="618"/>
        <v>08641790152</v>
      </c>
      <c r="I5944" t="str">
        <f t="shared" si="618"/>
        <v>08641790152</v>
      </c>
      <c r="K5944" t="str">
        <f>""</f>
        <v/>
      </c>
      <c r="M5944" t="s">
        <v>68</v>
      </c>
      <c r="N5944" t="str">
        <f t="shared" si="615"/>
        <v>FOR</v>
      </c>
      <c r="O5944" t="s">
        <v>69</v>
      </c>
      <c r="P5944" s="3" t="s">
        <v>75</v>
      </c>
      <c r="Q5944">
        <v>2015</v>
      </c>
      <c r="R5944" s="2">
        <v>42255</v>
      </c>
      <c r="S5944" s="2">
        <v>42258</v>
      </c>
      <c r="T5944" s="2">
        <v>42256</v>
      </c>
      <c r="U5944" s="2">
        <v>42316</v>
      </c>
      <c r="V5944" t="s">
        <v>71</v>
      </c>
      <c r="W5944" t="str">
        <f>"             F100215"</f>
        <v xml:space="preserve">             F100215</v>
      </c>
      <c r="X5944">
        <v>454.57</v>
      </c>
      <c r="Y5944">
        <v>0</v>
      </c>
      <c r="Z5944"/>
      <c r="AB5944"/>
      <c r="AC5944">
        <v>372.6</v>
      </c>
      <c r="AD5944">
        <v>261</v>
      </c>
      <c r="AE5944" s="1">
        <v>97248.6</v>
      </c>
      <c r="AF5944">
        <v>0</v>
      </c>
      <c r="AJ5944">
        <v>0</v>
      </c>
      <c r="AK5944">
        <v>0</v>
      </c>
      <c r="AL5944">
        <v>0</v>
      </c>
      <c r="AM5944">
        <v>0</v>
      </c>
      <c r="AN5944">
        <v>0</v>
      </c>
      <c r="AO5944">
        <v>0</v>
      </c>
      <c r="AP5944" s="2">
        <v>42746</v>
      </c>
      <c r="AQ5944" t="s">
        <v>72</v>
      </c>
      <c r="AR5944" t="s">
        <v>72</v>
      </c>
      <c r="AS5944">
        <v>1941</v>
      </c>
      <c r="AT5944" s="4">
        <v>42577</v>
      </c>
      <c r="AU5944" t="s">
        <v>73</v>
      </c>
      <c r="AV5944">
        <v>1941</v>
      </c>
      <c r="AW5944" s="4">
        <v>42577</v>
      </c>
      <c r="BD5944">
        <v>0</v>
      </c>
      <c r="BN5944" t="s">
        <v>74</v>
      </c>
    </row>
    <row r="5945" spans="1:66" hidden="1">
      <c r="A5945">
        <v>104009</v>
      </c>
      <c r="B5945" s="3" t="s">
        <v>591</v>
      </c>
      <c r="C5945" s="1">
        <v>43300101</v>
      </c>
      <c r="D5945" t="s">
        <v>67</v>
      </c>
      <c r="H5945" t="str">
        <f t="shared" si="618"/>
        <v>08641790152</v>
      </c>
      <c r="I5945" t="str">
        <f t="shared" si="618"/>
        <v>08641790152</v>
      </c>
      <c r="K5945" t="str">
        <f>""</f>
        <v/>
      </c>
      <c r="M5945" t="s">
        <v>68</v>
      </c>
      <c r="N5945" t="str">
        <f t="shared" si="615"/>
        <v>FOR</v>
      </c>
      <c r="O5945" t="s">
        <v>69</v>
      </c>
      <c r="P5945" s="3" t="s">
        <v>75</v>
      </c>
      <c r="Q5945">
        <v>2015</v>
      </c>
      <c r="R5945" s="2">
        <v>42261</v>
      </c>
      <c r="S5945" s="2">
        <v>42263</v>
      </c>
      <c r="T5945" s="2">
        <v>42262</v>
      </c>
      <c r="U5945" s="2">
        <v>42322</v>
      </c>
      <c r="V5945" t="s">
        <v>71</v>
      </c>
      <c r="W5945" t="str">
        <f>"             F101872"</f>
        <v xml:space="preserve">             F101872</v>
      </c>
      <c r="X5945" s="1">
        <v>1171.2</v>
      </c>
      <c r="Y5945">
        <v>0</v>
      </c>
      <c r="Z5945"/>
      <c r="AB5945"/>
      <c r="AC5945">
        <v>960</v>
      </c>
      <c r="AD5945">
        <v>151</v>
      </c>
      <c r="AE5945" s="1">
        <v>144960</v>
      </c>
      <c r="AF5945">
        <v>0</v>
      </c>
      <c r="AJ5945">
        <v>0</v>
      </c>
      <c r="AK5945">
        <v>0</v>
      </c>
      <c r="AL5945">
        <v>0</v>
      </c>
      <c r="AM5945">
        <v>0</v>
      </c>
      <c r="AN5945">
        <v>0</v>
      </c>
      <c r="AO5945">
        <v>0</v>
      </c>
      <c r="AP5945" s="2">
        <v>42746</v>
      </c>
      <c r="AQ5945" t="s">
        <v>72</v>
      </c>
      <c r="AR5945" t="s">
        <v>72</v>
      </c>
      <c r="AS5945">
        <v>1016</v>
      </c>
      <c r="AT5945" s="4">
        <v>42473</v>
      </c>
      <c r="AU5945" t="s">
        <v>73</v>
      </c>
      <c r="AV5945">
        <v>1016</v>
      </c>
      <c r="AW5945" s="4">
        <v>42473</v>
      </c>
      <c r="BD5945">
        <v>0</v>
      </c>
      <c r="BN5945" t="s">
        <v>74</v>
      </c>
    </row>
    <row r="5946" spans="1:66" hidden="1">
      <c r="A5946">
        <v>104009</v>
      </c>
      <c r="B5946" s="3" t="s">
        <v>591</v>
      </c>
      <c r="C5946" s="1">
        <v>43300101</v>
      </c>
      <c r="D5946" t="s">
        <v>67</v>
      </c>
      <c r="H5946" t="str">
        <f t="shared" si="618"/>
        <v>08641790152</v>
      </c>
      <c r="I5946" t="str">
        <f t="shared" si="618"/>
        <v>08641790152</v>
      </c>
      <c r="K5946" t="str">
        <f>""</f>
        <v/>
      </c>
      <c r="M5946" t="s">
        <v>68</v>
      </c>
      <c r="N5946" t="str">
        <f t="shared" ref="N5946:N6009" si="619">"FOR"</f>
        <v>FOR</v>
      </c>
      <c r="O5946" t="s">
        <v>69</v>
      </c>
      <c r="P5946" s="3" t="s">
        <v>75</v>
      </c>
      <c r="Q5946">
        <v>2015</v>
      </c>
      <c r="R5946" s="2">
        <v>42261</v>
      </c>
      <c r="S5946" s="2">
        <v>42263</v>
      </c>
      <c r="T5946" s="2">
        <v>42262</v>
      </c>
      <c r="U5946" s="2">
        <v>42322</v>
      </c>
      <c r="V5946" t="s">
        <v>71</v>
      </c>
      <c r="W5946" t="str">
        <f>"             F101934"</f>
        <v xml:space="preserve">             F101934</v>
      </c>
      <c r="X5946" s="1">
        <v>1171.2</v>
      </c>
      <c r="Y5946">
        <v>0</v>
      </c>
      <c r="Z5946"/>
      <c r="AB5946"/>
      <c r="AC5946">
        <v>960</v>
      </c>
      <c r="AD5946">
        <v>151</v>
      </c>
      <c r="AE5946" s="1">
        <v>144960</v>
      </c>
      <c r="AF5946">
        <v>0</v>
      </c>
      <c r="AJ5946">
        <v>0</v>
      </c>
      <c r="AK5946">
        <v>0</v>
      </c>
      <c r="AL5946">
        <v>0</v>
      </c>
      <c r="AM5946">
        <v>0</v>
      </c>
      <c r="AN5946">
        <v>0</v>
      </c>
      <c r="AO5946">
        <v>0</v>
      </c>
      <c r="AP5946" s="2">
        <v>42746</v>
      </c>
      <c r="AQ5946" t="s">
        <v>72</v>
      </c>
      <c r="AR5946" t="s">
        <v>72</v>
      </c>
      <c r="AS5946">
        <v>1016</v>
      </c>
      <c r="AT5946" s="4">
        <v>42473</v>
      </c>
      <c r="AU5946" t="s">
        <v>73</v>
      </c>
      <c r="AV5946">
        <v>1016</v>
      </c>
      <c r="AW5946" s="4">
        <v>42473</v>
      </c>
      <c r="BD5946">
        <v>0</v>
      </c>
      <c r="BN5946" t="s">
        <v>74</v>
      </c>
    </row>
    <row r="5947" spans="1:66" hidden="1">
      <c r="A5947">
        <v>104009</v>
      </c>
      <c r="B5947" s="3" t="s">
        <v>591</v>
      </c>
      <c r="C5947" s="1">
        <v>43300101</v>
      </c>
      <c r="D5947" t="s">
        <v>67</v>
      </c>
      <c r="H5947" t="str">
        <f t="shared" si="618"/>
        <v>08641790152</v>
      </c>
      <c r="I5947" t="str">
        <f t="shared" si="618"/>
        <v>08641790152</v>
      </c>
      <c r="K5947" t="str">
        <f>""</f>
        <v/>
      </c>
      <c r="M5947" t="s">
        <v>68</v>
      </c>
      <c r="N5947" t="str">
        <f t="shared" si="619"/>
        <v>FOR</v>
      </c>
      <c r="O5947" t="s">
        <v>69</v>
      </c>
      <c r="P5947" s="3" t="s">
        <v>75</v>
      </c>
      <c r="Q5947">
        <v>2015</v>
      </c>
      <c r="R5947" s="2">
        <v>42265</v>
      </c>
      <c r="S5947" s="2">
        <v>42268</v>
      </c>
      <c r="T5947" s="2">
        <v>42266</v>
      </c>
      <c r="U5947" s="2">
        <v>42326</v>
      </c>
      <c r="V5947" t="s">
        <v>71</v>
      </c>
      <c r="W5947" t="str">
        <f>"             F103943"</f>
        <v xml:space="preserve">             F103943</v>
      </c>
      <c r="X5947" s="1">
        <v>12444</v>
      </c>
      <c r="Y5947">
        <v>0</v>
      </c>
      <c r="Z5947"/>
      <c r="AB5947"/>
      <c r="AC5947" s="1">
        <v>10200</v>
      </c>
      <c r="AD5947">
        <v>147</v>
      </c>
      <c r="AE5947" s="1">
        <v>1499400</v>
      </c>
      <c r="AF5947">
        <v>0</v>
      </c>
      <c r="AJ5947">
        <v>0</v>
      </c>
      <c r="AK5947">
        <v>0</v>
      </c>
      <c r="AL5947">
        <v>0</v>
      </c>
      <c r="AM5947">
        <v>0</v>
      </c>
      <c r="AN5947">
        <v>0</v>
      </c>
      <c r="AO5947">
        <v>0</v>
      </c>
      <c r="AP5947" s="2">
        <v>42746</v>
      </c>
      <c r="AQ5947" t="s">
        <v>72</v>
      </c>
      <c r="AR5947" t="s">
        <v>72</v>
      </c>
      <c r="AS5947">
        <v>1016</v>
      </c>
      <c r="AT5947" s="4">
        <v>42473</v>
      </c>
      <c r="AU5947" t="s">
        <v>73</v>
      </c>
      <c r="AV5947">
        <v>1016</v>
      </c>
      <c r="AW5947" s="4">
        <v>42473</v>
      </c>
      <c r="BD5947">
        <v>0</v>
      </c>
      <c r="BN5947" t="s">
        <v>74</v>
      </c>
    </row>
    <row r="5948" spans="1:66" hidden="1">
      <c r="A5948">
        <v>104009</v>
      </c>
      <c r="B5948" s="3" t="s">
        <v>591</v>
      </c>
      <c r="C5948" s="1">
        <v>43300101</v>
      </c>
      <c r="D5948" t="s">
        <v>67</v>
      </c>
      <c r="H5948" t="str">
        <f t="shared" si="618"/>
        <v>08641790152</v>
      </c>
      <c r="I5948" t="str">
        <f t="shared" si="618"/>
        <v>08641790152</v>
      </c>
      <c r="K5948" t="str">
        <f>""</f>
        <v/>
      </c>
      <c r="M5948" t="s">
        <v>68</v>
      </c>
      <c r="N5948" t="str">
        <f t="shared" si="619"/>
        <v>FOR</v>
      </c>
      <c r="O5948" t="s">
        <v>69</v>
      </c>
      <c r="P5948" s="3" t="s">
        <v>75</v>
      </c>
      <c r="Q5948">
        <v>2015</v>
      </c>
      <c r="R5948" s="2">
        <v>42268</v>
      </c>
      <c r="S5948" s="2">
        <v>42269</v>
      </c>
      <c r="T5948" s="2">
        <v>42269</v>
      </c>
      <c r="U5948" s="2">
        <v>42329</v>
      </c>
      <c r="V5948" t="s">
        <v>71</v>
      </c>
      <c r="W5948" t="str">
        <f>"             F104351"</f>
        <v xml:space="preserve">             F104351</v>
      </c>
      <c r="X5948">
        <v>717.36</v>
      </c>
      <c r="Y5948">
        <v>0</v>
      </c>
      <c r="Z5948"/>
      <c r="AB5948"/>
      <c r="AC5948">
        <v>588</v>
      </c>
      <c r="AD5948">
        <v>144</v>
      </c>
      <c r="AE5948" s="1">
        <v>84672</v>
      </c>
      <c r="AF5948">
        <v>0</v>
      </c>
      <c r="AJ5948">
        <v>0</v>
      </c>
      <c r="AK5948">
        <v>0</v>
      </c>
      <c r="AL5948">
        <v>0</v>
      </c>
      <c r="AM5948">
        <v>0</v>
      </c>
      <c r="AN5948">
        <v>0</v>
      </c>
      <c r="AO5948">
        <v>0</v>
      </c>
      <c r="AP5948" s="2">
        <v>42746</v>
      </c>
      <c r="AQ5948" t="s">
        <v>72</v>
      </c>
      <c r="AR5948" t="s">
        <v>72</v>
      </c>
      <c r="AS5948">
        <v>1016</v>
      </c>
      <c r="AT5948" s="4">
        <v>42473</v>
      </c>
      <c r="AU5948" t="s">
        <v>73</v>
      </c>
      <c r="AV5948">
        <v>1016</v>
      </c>
      <c r="AW5948" s="4">
        <v>42473</v>
      </c>
      <c r="BD5948">
        <v>0</v>
      </c>
      <c r="BN5948" t="s">
        <v>74</v>
      </c>
    </row>
    <row r="5949" spans="1:66" hidden="1">
      <c r="A5949">
        <v>104009</v>
      </c>
      <c r="B5949" s="3" t="s">
        <v>591</v>
      </c>
      <c r="C5949" s="1">
        <v>43300101</v>
      </c>
      <c r="D5949" t="s">
        <v>67</v>
      </c>
      <c r="H5949" t="str">
        <f t="shared" ref="H5949:I5968" si="620">"08641790152"</f>
        <v>08641790152</v>
      </c>
      <c r="I5949" t="str">
        <f t="shared" si="620"/>
        <v>08641790152</v>
      </c>
      <c r="K5949" t="str">
        <f>""</f>
        <v/>
      </c>
      <c r="M5949" t="s">
        <v>68</v>
      </c>
      <c r="N5949" t="str">
        <f t="shared" si="619"/>
        <v>FOR</v>
      </c>
      <c r="O5949" t="s">
        <v>69</v>
      </c>
      <c r="P5949" s="3" t="s">
        <v>75</v>
      </c>
      <c r="Q5949">
        <v>2015</v>
      </c>
      <c r="R5949" s="2">
        <v>42268</v>
      </c>
      <c r="S5949" s="2">
        <v>42269</v>
      </c>
      <c r="T5949" s="2">
        <v>42269</v>
      </c>
      <c r="U5949" s="2">
        <v>42329</v>
      </c>
      <c r="V5949" t="s">
        <v>71</v>
      </c>
      <c r="W5949" t="str">
        <f>"             F104355"</f>
        <v xml:space="preserve">             F104355</v>
      </c>
      <c r="X5949">
        <v>519.72</v>
      </c>
      <c r="Y5949">
        <v>0</v>
      </c>
      <c r="Z5949"/>
      <c r="AB5949"/>
      <c r="AC5949">
        <v>426</v>
      </c>
      <c r="AD5949">
        <v>144</v>
      </c>
      <c r="AE5949" s="1">
        <v>61344</v>
      </c>
      <c r="AF5949">
        <v>0</v>
      </c>
      <c r="AJ5949">
        <v>0</v>
      </c>
      <c r="AK5949">
        <v>0</v>
      </c>
      <c r="AL5949">
        <v>0</v>
      </c>
      <c r="AM5949">
        <v>0</v>
      </c>
      <c r="AN5949">
        <v>0</v>
      </c>
      <c r="AO5949">
        <v>0</v>
      </c>
      <c r="AP5949" s="2">
        <v>42746</v>
      </c>
      <c r="AQ5949" t="s">
        <v>72</v>
      </c>
      <c r="AR5949" t="s">
        <v>72</v>
      </c>
      <c r="AS5949">
        <v>1016</v>
      </c>
      <c r="AT5949" s="4">
        <v>42473</v>
      </c>
      <c r="AU5949" t="s">
        <v>73</v>
      </c>
      <c r="AV5949">
        <v>1016</v>
      </c>
      <c r="AW5949" s="4">
        <v>42473</v>
      </c>
      <c r="BD5949">
        <v>0</v>
      </c>
      <c r="BN5949" t="s">
        <v>74</v>
      </c>
    </row>
    <row r="5950" spans="1:66" hidden="1">
      <c r="A5950">
        <v>104009</v>
      </c>
      <c r="B5950" s="3" t="s">
        <v>591</v>
      </c>
      <c r="C5950" s="1">
        <v>43300101</v>
      </c>
      <c r="D5950" t="s">
        <v>67</v>
      </c>
      <c r="H5950" t="str">
        <f t="shared" si="620"/>
        <v>08641790152</v>
      </c>
      <c r="I5950" t="str">
        <f t="shared" si="620"/>
        <v>08641790152</v>
      </c>
      <c r="K5950" t="str">
        <f>""</f>
        <v/>
      </c>
      <c r="M5950" t="s">
        <v>68</v>
      </c>
      <c r="N5950" t="str">
        <f t="shared" si="619"/>
        <v>FOR</v>
      </c>
      <c r="O5950" t="s">
        <v>69</v>
      </c>
      <c r="P5950" s="3" t="s">
        <v>75</v>
      </c>
      <c r="Q5950">
        <v>2015</v>
      </c>
      <c r="R5950" s="2">
        <v>42268</v>
      </c>
      <c r="S5950" s="2">
        <v>42269</v>
      </c>
      <c r="T5950" s="2">
        <v>42269</v>
      </c>
      <c r="U5950" s="2">
        <v>42329</v>
      </c>
      <c r="V5950" t="s">
        <v>71</v>
      </c>
      <c r="W5950" t="str">
        <f>"             F104573"</f>
        <v xml:space="preserve">             F104573</v>
      </c>
      <c r="X5950" s="1">
        <v>12236.6</v>
      </c>
      <c r="Y5950">
        <v>0</v>
      </c>
      <c r="Z5950"/>
      <c r="AB5950"/>
      <c r="AC5950" s="1">
        <v>10030</v>
      </c>
      <c r="AD5950">
        <v>144</v>
      </c>
      <c r="AE5950" s="1">
        <v>1444320</v>
      </c>
      <c r="AF5950">
        <v>0</v>
      </c>
      <c r="AJ5950">
        <v>0</v>
      </c>
      <c r="AK5950">
        <v>0</v>
      </c>
      <c r="AL5950">
        <v>0</v>
      </c>
      <c r="AM5950">
        <v>0</v>
      </c>
      <c r="AN5950">
        <v>0</v>
      </c>
      <c r="AO5950">
        <v>0</v>
      </c>
      <c r="AP5950" s="2">
        <v>42746</v>
      </c>
      <c r="AQ5950" t="s">
        <v>72</v>
      </c>
      <c r="AR5950" t="s">
        <v>72</v>
      </c>
      <c r="AS5950">
        <v>1016</v>
      </c>
      <c r="AT5950" s="4">
        <v>42473</v>
      </c>
      <c r="AU5950" t="s">
        <v>73</v>
      </c>
      <c r="AV5950">
        <v>1016</v>
      </c>
      <c r="AW5950" s="4">
        <v>42473</v>
      </c>
      <c r="BD5950">
        <v>0</v>
      </c>
      <c r="BN5950" t="s">
        <v>74</v>
      </c>
    </row>
    <row r="5951" spans="1:66" hidden="1">
      <c r="A5951">
        <v>104009</v>
      </c>
      <c r="B5951" s="3" t="s">
        <v>591</v>
      </c>
      <c r="C5951" s="1">
        <v>43300101</v>
      </c>
      <c r="D5951" t="s">
        <v>67</v>
      </c>
      <c r="H5951" t="str">
        <f t="shared" si="620"/>
        <v>08641790152</v>
      </c>
      <c r="I5951" t="str">
        <f t="shared" si="620"/>
        <v>08641790152</v>
      </c>
      <c r="K5951" t="str">
        <f>""</f>
        <v/>
      </c>
      <c r="M5951" t="s">
        <v>68</v>
      </c>
      <c r="N5951" t="str">
        <f t="shared" si="619"/>
        <v>FOR</v>
      </c>
      <c r="O5951" t="s">
        <v>69</v>
      </c>
      <c r="P5951" s="3" t="s">
        <v>75</v>
      </c>
      <c r="Q5951">
        <v>2015</v>
      </c>
      <c r="R5951" s="2">
        <v>42268</v>
      </c>
      <c r="S5951" s="2">
        <v>42269</v>
      </c>
      <c r="T5951" s="2">
        <v>42269</v>
      </c>
      <c r="U5951" s="2">
        <v>42329</v>
      </c>
      <c r="V5951" t="s">
        <v>71</v>
      </c>
      <c r="W5951" t="str">
        <f>"             F104630"</f>
        <v xml:space="preserve">             F104630</v>
      </c>
      <c r="X5951" s="1">
        <v>14640</v>
      </c>
      <c r="Y5951">
        <v>0</v>
      </c>
      <c r="Z5951"/>
      <c r="AB5951"/>
      <c r="AC5951" s="1">
        <v>12000</v>
      </c>
      <c r="AD5951">
        <v>144</v>
      </c>
      <c r="AE5951" s="1">
        <v>1728000</v>
      </c>
      <c r="AF5951">
        <v>0</v>
      </c>
      <c r="AJ5951">
        <v>0</v>
      </c>
      <c r="AK5951">
        <v>0</v>
      </c>
      <c r="AL5951">
        <v>0</v>
      </c>
      <c r="AM5951">
        <v>0</v>
      </c>
      <c r="AN5951">
        <v>0</v>
      </c>
      <c r="AO5951">
        <v>0</v>
      </c>
      <c r="AP5951" s="2">
        <v>42746</v>
      </c>
      <c r="AQ5951" t="s">
        <v>72</v>
      </c>
      <c r="AR5951" t="s">
        <v>72</v>
      </c>
      <c r="AS5951">
        <v>1016</v>
      </c>
      <c r="AT5951" s="4">
        <v>42473</v>
      </c>
      <c r="AU5951" t="s">
        <v>73</v>
      </c>
      <c r="AV5951">
        <v>1016</v>
      </c>
      <c r="AW5951" s="4">
        <v>42473</v>
      </c>
      <c r="BD5951">
        <v>0</v>
      </c>
      <c r="BN5951" t="s">
        <v>74</v>
      </c>
    </row>
    <row r="5952" spans="1:66" hidden="1">
      <c r="A5952">
        <v>104009</v>
      </c>
      <c r="B5952" s="3" t="s">
        <v>591</v>
      </c>
      <c r="C5952" s="1">
        <v>43300101</v>
      </c>
      <c r="D5952" t="s">
        <v>67</v>
      </c>
      <c r="H5952" t="str">
        <f t="shared" si="620"/>
        <v>08641790152</v>
      </c>
      <c r="I5952" t="str">
        <f t="shared" si="620"/>
        <v>08641790152</v>
      </c>
      <c r="K5952" t="str">
        <f>""</f>
        <v/>
      </c>
      <c r="M5952" t="s">
        <v>68</v>
      </c>
      <c r="N5952" t="str">
        <f t="shared" si="619"/>
        <v>FOR</v>
      </c>
      <c r="O5952" t="s">
        <v>69</v>
      </c>
      <c r="P5952" s="3" t="s">
        <v>75</v>
      </c>
      <c r="Q5952">
        <v>2015</v>
      </c>
      <c r="R5952" s="2">
        <v>42268</v>
      </c>
      <c r="S5952" s="2">
        <v>42269</v>
      </c>
      <c r="T5952" s="2">
        <v>42269</v>
      </c>
      <c r="U5952" s="2">
        <v>42329</v>
      </c>
      <c r="V5952" t="s">
        <v>71</v>
      </c>
      <c r="W5952" t="str">
        <f>"             F104640"</f>
        <v xml:space="preserve">             F104640</v>
      </c>
      <c r="X5952" s="1">
        <v>4880</v>
      </c>
      <c r="Y5952">
        <v>0</v>
      </c>
      <c r="Z5952"/>
      <c r="AB5952"/>
      <c r="AC5952" s="1">
        <v>4000</v>
      </c>
      <c r="AD5952">
        <v>144</v>
      </c>
      <c r="AE5952" s="1">
        <v>576000</v>
      </c>
      <c r="AF5952">
        <v>0</v>
      </c>
      <c r="AJ5952">
        <v>0</v>
      </c>
      <c r="AK5952">
        <v>0</v>
      </c>
      <c r="AL5952">
        <v>0</v>
      </c>
      <c r="AM5952">
        <v>0</v>
      </c>
      <c r="AN5952">
        <v>0</v>
      </c>
      <c r="AO5952">
        <v>0</v>
      </c>
      <c r="AP5952" s="2">
        <v>42746</v>
      </c>
      <c r="AQ5952" t="s">
        <v>72</v>
      </c>
      <c r="AR5952" t="s">
        <v>72</v>
      </c>
      <c r="AS5952">
        <v>1016</v>
      </c>
      <c r="AT5952" s="4">
        <v>42473</v>
      </c>
      <c r="AU5952" t="s">
        <v>73</v>
      </c>
      <c r="AV5952">
        <v>1016</v>
      </c>
      <c r="AW5952" s="4">
        <v>42473</v>
      </c>
      <c r="BD5952">
        <v>0</v>
      </c>
      <c r="BN5952" t="s">
        <v>74</v>
      </c>
    </row>
    <row r="5953" spans="1:66" hidden="1">
      <c r="A5953">
        <v>104009</v>
      </c>
      <c r="B5953" s="3" t="s">
        <v>591</v>
      </c>
      <c r="C5953" s="1">
        <v>43300101</v>
      </c>
      <c r="D5953" t="s">
        <v>67</v>
      </c>
      <c r="H5953" t="str">
        <f t="shared" si="620"/>
        <v>08641790152</v>
      </c>
      <c r="I5953" t="str">
        <f t="shared" si="620"/>
        <v>08641790152</v>
      </c>
      <c r="K5953" t="str">
        <f>""</f>
        <v/>
      </c>
      <c r="M5953" t="s">
        <v>68</v>
      </c>
      <c r="N5953" t="str">
        <f t="shared" si="619"/>
        <v>FOR</v>
      </c>
      <c r="O5953" t="s">
        <v>69</v>
      </c>
      <c r="P5953" s="3" t="s">
        <v>75</v>
      </c>
      <c r="Q5953">
        <v>2015</v>
      </c>
      <c r="R5953" s="2">
        <v>42269</v>
      </c>
      <c r="S5953" s="2">
        <v>42270</v>
      </c>
      <c r="T5953" s="2">
        <v>42270</v>
      </c>
      <c r="U5953" s="2">
        <v>42330</v>
      </c>
      <c r="V5953" t="s">
        <v>71</v>
      </c>
      <c r="W5953" t="str">
        <f>"             F104728"</f>
        <v xml:space="preserve">             F104728</v>
      </c>
      <c r="X5953" s="1">
        <v>1057.3699999999999</v>
      </c>
      <c r="Y5953">
        <v>0</v>
      </c>
      <c r="Z5953"/>
      <c r="AB5953"/>
      <c r="AC5953">
        <v>866.7</v>
      </c>
      <c r="AD5953">
        <v>143</v>
      </c>
      <c r="AE5953" s="1">
        <v>123938.1</v>
      </c>
      <c r="AF5953">
        <v>0</v>
      </c>
      <c r="AJ5953">
        <v>0</v>
      </c>
      <c r="AK5953">
        <v>0</v>
      </c>
      <c r="AL5953">
        <v>0</v>
      </c>
      <c r="AM5953">
        <v>0</v>
      </c>
      <c r="AN5953">
        <v>0</v>
      </c>
      <c r="AO5953">
        <v>0</v>
      </c>
      <c r="AP5953" s="2">
        <v>42746</v>
      </c>
      <c r="AQ5953" t="s">
        <v>72</v>
      </c>
      <c r="AR5953" t="s">
        <v>72</v>
      </c>
      <c r="AS5953">
        <v>1016</v>
      </c>
      <c r="AT5953" s="4">
        <v>42473</v>
      </c>
      <c r="AU5953" t="s">
        <v>73</v>
      </c>
      <c r="AV5953">
        <v>1016</v>
      </c>
      <c r="AW5953" s="4">
        <v>42473</v>
      </c>
      <c r="BD5953">
        <v>0</v>
      </c>
      <c r="BN5953" t="s">
        <v>74</v>
      </c>
    </row>
    <row r="5954" spans="1:66" hidden="1">
      <c r="A5954">
        <v>104009</v>
      </c>
      <c r="B5954" s="3" t="s">
        <v>591</v>
      </c>
      <c r="C5954" s="1">
        <v>43300101</v>
      </c>
      <c r="D5954" t="s">
        <v>67</v>
      </c>
      <c r="H5954" t="str">
        <f t="shared" si="620"/>
        <v>08641790152</v>
      </c>
      <c r="I5954" t="str">
        <f t="shared" si="620"/>
        <v>08641790152</v>
      </c>
      <c r="K5954" t="str">
        <f>""</f>
        <v/>
      </c>
      <c r="M5954" t="s">
        <v>68</v>
      </c>
      <c r="N5954" t="str">
        <f t="shared" si="619"/>
        <v>FOR</v>
      </c>
      <c r="O5954" t="s">
        <v>69</v>
      </c>
      <c r="P5954" s="3" t="s">
        <v>75</v>
      </c>
      <c r="Q5954">
        <v>2015</v>
      </c>
      <c r="R5954" s="2">
        <v>42270</v>
      </c>
      <c r="S5954" s="2">
        <v>42272</v>
      </c>
      <c r="T5954" s="2">
        <v>42271</v>
      </c>
      <c r="U5954" s="2">
        <v>42331</v>
      </c>
      <c r="V5954" t="s">
        <v>71</v>
      </c>
      <c r="W5954" t="str">
        <f>"             F105237"</f>
        <v xml:space="preserve">             F105237</v>
      </c>
      <c r="X5954">
        <v>988</v>
      </c>
      <c r="Y5954">
        <v>0</v>
      </c>
      <c r="Z5954"/>
      <c r="AB5954"/>
      <c r="AC5954">
        <v>950</v>
      </c>
      <c r="AD5954">
        <v>142</v>
      </c>
      <c r="AE5954" s="1">
        <v>134900</v>
      </c>
      <c r="AF5954">
        <v>0</v>
      </c>
      <c r="AJ5954">
        <v>0</v>
      </c>
      <c r="AK5954">
        <v>0</v>
      </c>
      <c r="AL5954">
        <v>0</v>
      </c>
      <c r="AM5954">
        <v>0</v>
      </c>
      <c r="AN5954">
        <v>0</v>
      </c>
      <c r="AO5954">
        <v>0</v>
      </c>
      <c r="AP5954" s="2">
        <v>42746</v>
      </c>
      <c r="AQ5954" t="s">
        <v>72</v>
      </c>
      <c r="AR5954" t="s">
        <v>72</v>
      </c>
      <c r="AS5954">
        <v>1016</v>
      </c>
      <c r="AT5954" s="4">
        <v>42473</v>
      </c>
      <c r="AU5954" t="s">
        <v>73</v>
      </c>
      <c r="AV5954">
        <v>1016</v>
      </c>
      <c r="AW5954" s="4">
        <v>42473</v>
      </c>
      <c r="BD5954">
        <v>0</v>
      </c>
      <c r="BN5954" t="s">
        <v>74</v>
      </c>
    </row>
    <row r="5955" spans="1:66" hidden="1">
      <c r="A5955">
        <v>104009</v>
      </c>
      <c r="B5955" s="3" t="s">
        <v>591</v>
      </c>
      <c r="C5955" s="1">
        <v>43300101</v>
      </c>
      <c r="D5955" t="s">
        <v>67</v>
      </c>
      <c r="H5955" t="str">
        <f t="shared" si="620"/>
        <v>08641790152</v>
      </c>
      <c r="I5955" t="str">
        <f t="shared" si="620"/>
        <v>08641790152</v>
      </c>
      <c r="K5955" t="str">
        <f>""</f>
        <v/>
      </c>
      <c r="M5955" t="s">
        <v>68</v>
      </c>
      <c r="N5955" t="str">
        <f t="shared" si="619"/>
        <v>FOR</v>
      </c>
      <c r="O5955" t="s">
        <v>69</v>
      </c>
      <c r="P5955" s="3" t="s">
        <v>75</v>
      </c>
      <c r="Q5955">
        <v>2015</v>
      </c>
      <c r="R5955" s="2">
        <v>42272</v>
      </c>
      <c r="S5955" s="2">
        <v>42275</v>
      </c>
      <c r="T5955" s="2">
        <v>42273</v>
      </c>
      <c r="U5955" s="2">
        <v>42333</v>
      </c>
      <c r="V5955" t="s">
        <v>71</v>
      </c>
      <c r="W5955" t="str">
        <f>"             F106550"</f>
        <v xml:space="preserve">             F106550</v>
      </c>
      <c r="X5955">
        <v>976</v>
      </c>
      <c r="Y5955">
        <v>0</v>
      </c>
      <c r="Z5955"/>
      <c r="AB5955"/>
      <c r="AC5955">
        <v>800</v>
      </c>
      <c r="AD5955">
        <v>70</v>
      </c>
      <c r="AE5955" s="1">
        <v>56000</v>
      </c>
      <c r="AF5955">
        <v>176</v>
      </c>
      <c r="AJ5955">
        <v>0</v>
      </c>
      <c r="AK5955">
        <v>0</v>
      </c>
      <c r="AL5955">
        <v>0</v>
      </c>
      <c r="AM5955">
        <v>0</v>
      </c>
      <c r="AN5955">
        <v>0</v>
      </c>
      <c r="AO5955">
        <v>0</v>
      </c>
      <c r="AP5955" s="2">
        <v>42746</v>
      </c>
      <c r="AQ5955" t="s">
        <v>72</v>
      </c>
      <c r="AR5955" t="s">
        <v>72</v>
      </c>
      <c r="AS5955">
        <v>212</v>
      </c>
      <c r="AT5955" s="4">
        <v>42403</v>
      </c>
      <c r="AU5955" t="s">
        <v>73</v>
      </c>
      <c r="AV5955">
        <v>212</v>
      </c>
      <c r="AW5955" s="4">
        <v>42403</v>
      </c>
      <c r="BD5955">
        <v>176</v>
      </c>
      <c r="BN5955" t="s">
        <v>74</v>
      </c>
    </row>
    <row r="5956" spans="1:66" hidden="1">
      <c r="A5956">
        <v>104009</v>
      </c>
      <c r="B5956" s="3" t="s">
        <v>591</v>
      </c>
      <c r="C5956" s="1">
        <v>43300101</v>
      </c>
      <c r="D5956" t="s">
        <v>67</v>
      </c>
      <c r="H5956" t="str">
        <f t="shared" si="620"/>
        <v>08641790152</v>
      </c>
      <c r="I5956" t="str">
        <f t="shared" si="620"/>
        <v>08641790152</v>
      </c>
      <c r="K5956" t="str">
        <f>""</f>
        <v/>
      </c>
      <c r="M5956" t="s">
        <v>68</v>
      </c>
      <c r="N5956" t="str">
        <f t="shared" si="619"/>
        <v>FOR</v>
      </c>
      <c r="O5956" t="s">
        <v>69</v>
      </c>
      <c r="P5956" s="3" t="s">
        <v>75</v>
      </c>
      <c r="Q5956">
        <v>2015</v>
      </c>
      <c r="R5956" s="2">
        <v>42275</v>
      </c>
      <c r="S5956" s="2">
        <v>42277</v>
      </c>
      <c r="T5956" s="2">
        <v>42276</v>
      </c>
      <c r="U5956" s="2">
        <v>42336</v>
      </c>
      <c r="V5956" t="s">
        <v>71</v>
      </c>
      <c r="W5956" t="str">
        <f>"             F106869"</f>
        <v xml:space="preserve">             F106869</v>
      </c>
      <c r="X5956" s="1">
        <v>1112.6400000000001</v>
      </c>
      <c r="Y5956">
        <v>0</v>
      </c>
      <c r="Z5956"/>
      <c r="AB5956"/>
      <c r="AC5956">
        <v>912</v>
      </c>
      <c r="AD5956">
        <v>137</v>
      </c>
      <c r="AE5956" s="1">
        <v>124944</v>
      </c>
      <c r="AF5956">
        <v>0</v>
      </c>
      <c r="AJ5956">
        <v>0</v>
      </c>
      <c r="AK5956">
        <v>0</v>
      </c>
      <c r="AL5956">
        <v>0</v>
      </c>
      <c r="AM5956">
        <v>0</v>
      </c>
      <c r="AN5956">
        <v>0</v>
      </c>
      <c r="AO5956">
        <v>0</v>
      </c>
      <c r="AP5956" s="2">
        <v>42746</v>
      </c>
      <c r="AQ5956" t="s">
        <v>72</v>
      </c>
      <c r="AR5956" t="s">
        <v>72</v>
      </c>
      <c r="AS5956">
        <v>1016</v>
      </c>
      <c r="AT5956" s="4">
        <v>42473</v>
      </c>
      <c r="AU5956" t="s">
        <v>73</v>
      </c>
      <c r="AV5956">
        <v>1016</v>
      </c>
      <c r="AW5956" s="4">
        <v>42473</v>
      </c>
      <c r="BD5956">
        <v>0</v>
      </c>
      <c r="BN5956" t="s">
        <v>74</v>
      </c>
    </row>
    <row r="5957" spans="1:66" hidden="1">
      <c r="A5957">
        <v>104009</v>
      </c>
      <c r="B5957" s="3" t="s">
        <v>591</v>
      </c>
      <c r="C5957" s="1">
        <v>43300101</v>
      </c>
      <c r="D5957" t="s">
        <v>67</v>
      </c>
      <c r="H5957" t="str">
        <f t="shared" si="620"/>
        <v>08641790152</v>
      </c>
      <c r="I5957" t="str">
        <f t="shared" si="620"/>
        <v>08641790152</v>
      </c>
      <c r="K5957" t="str">
        <f>""</f>
        <v/>
      </c>
      <c r="M5957" t="s">
        <v>68</v>
      </c>
      <c r="N5957" t="str">
        <f t="shared" si="619"/>
        <v>FOR</v>
      </c>
      <c r="O5957" t="s">
        <v>69</v>
      </c>
      <c r="P5957" s="3" t="s">
        <v>75</v>
      </c>
      <c r="Q5957">
        <v>2015</v>
      </c>
      <c r="R5957" s="2">
        <v>42276</v>
      </c>
      <c r="S5957" s="2">
        <v>42277</v>
      </c>
      <c r="T5957" s="2">
        <v>42277</v>
      </c>
      <c r="U5957" s="2">
        <v>42337</v>
      </c>
      <c r="V5957" t="s">
        <v>71</v>
      </c>
      <c r="W5957" t="str">
        <f>"             F107424"</f>
        <v xml:space="preserve">             F107424</v>
      </c>
      <c r="X5957" s="1">
        <v>2193.56</v>
      </c>
      <c r="Y5957">
        <v>0</v>
      </c>
      <c r="Z5957"/>
      <c r="AB5957"/>
      <c r="AC5957" s="1">
        <v>1798</v>
      </c>
      <c r="AD5957">
        <v>136</v>
      </c>
      <c r="AE5957" s="1">
        <v>244528</v>
      </c>
      <c r="AF5957">
        <v>0</v>
      </c>
      <c r="AJ5957">
        <v>0</v>
      </c>
      <c r="AK5957">
        <v>0</v>
      </c>
      <c r="AL5957">
        <v>0</v>
      </c>
      <c r="AM5957">
        <v>0</v>
      </c>
      <c r="AN5957">
        <v>0</v>
      </c>
      <c r="AO5957">
        <v>0</v>
      </c>
      <c r="AP5957" s="2">
        <v>42746</v>
      </c>
      <c r="AQ5957" t="s">
        <v>72</v>
      </c>
      <c r="AR5957" t="s">
        <v>72</v>
      </c>
      <c r="AS5957">
        <v>1016</v>
      </c>
      <c r="AT5957" s="4">
        <v>42473</v>
      </c>
      <c r="AU5957" t="s">
        <v>73</v>
      </c>
      <c r="AV5957">
        <v>1016</v>
      </c>
      <c r="AW5957" s="4">
        <v>42473</v>
      </c>
      <c r="BD5957">
        <v>0</v>
      </c>
      <c r="BN5957" t="s">
        <v>74</v>
      </c>
    </row>
    <row r="5958" spans="1:66" hidden="1">
      <c r="A5958">
        <v>104009</v>
      </c>
      <c r="B5958" s="3" t="s">
        <v>591</v>
      </c>
      <c r="C5958" s="1">
        <v>43300101</v>
      </c>
      <c r="D5958" t="s">
        <v>67</v>
      </c>
      <c r="H5958" t="str">
        <f t="shared" si="620"/>
        <v>08641790152</v>
      </c>
      <c r="I5958" t="str">
        <f t="shared" si="620"/>
        <v>08641790152</v>
      </c>
      <c r="K5958" t="str">
        <f>""</f>
        <v/>
      </c>
      <c r="M5958" t="s">
        <v>68</v>
      </c>
      <c r="N5958" t="str">
        <f t="shared" si="619"/>
        <v>FOR</v>
      </c>
      <c r="O5958" t="s">
        <v>69</v>
      </c>
      <c r="P5958" s="3" t="s">
        <v>75</v>
      </c>
      <c r="Q5958">
        <v>2015</v>
      </c>
      <c r="R5958" s="2">
        <v>42282</v>
      </c>
      <c r="S5958" s="2">
        <v>42284</v>
      </c>
      <c r="T5958" s="2">
        <v>42284</v>
      </c>
      <c r="U5958" s="2">
        <v>42344</v>
      </c>
      <c r="V5958" t="s">
        <v>71</v>
      </c>
      <c r="W5958" t="str">
        <f>"             F109526"</f>
        <v xml:space="preserve">             F109526</v>
      </c>
      <c r="X5958">
        <v>541.67999999999995</v>
      </c>
      <c r="Y5958">
        <v>0</v>
      </c>
      <c r="Z5958"/>
      <c r="AB5958"/>
      <c r="AC5958">
        <v>444</v>
      </c>
      <c r="AD5958">
        <v>233</v>
      </c>
      <c r="AE5958" s="1">
        <v>103452</v>
      </c>
      <c r="AF5958">
        <v>0</v>
      </c>
      <c r="AJ5958">
        <v>0</v>
      </c>
      <c r="AK5958">
        <v>0</v>
      </c>
      <c r="AL5958">
        <v>0</v>
      </c>
      <c r="AM5958">
        <v>0</v>
      </c>
      <c r="AN5958">
        <v>0</v>
      </c>
      <c r="AO5958">
        <v>0</v>
      </c>
      <c r="AP5958" s="2">
        <v>42746</v>
      </c>
      <c r="AQ5958" t="s">
        <v>72</v>
      </c>
      <c r="AR5958" t="s">
        <v>72</v>
      </c>
      <c r="AS5958">
        <v>1941</v>
      </c>
      <c r="AT5958" s="4">
        <v>42577</v>
      </c>
      <c r="AU5958" t="s">
        <v>73</v>
      </c>
      <c r="AV5958">
        <v>1941</v>
      </c>
      <c r="AW5958" s="4">
        <v>42577</v>
      </c>
      <c r="BD5958">
        <v>0</v>
      </c>
      <c r="BN5958" t="s">
        <v>74</v>
      </c>
    </row>
    <row r="5959" spans="1:66" hidden="1">
      <c r="A5959">
        <v>104009</v>
      </c>
      <c r="B5959" s="3" t="s">
        <v>591</v>
      </c>
      <c r="C5959" s="1">
        <v>43300101</v>
      </c>
      <c r="D5959" t="s">
        <v>67</v>
      </c>
      <c r="H5959" t="str">
        <f t="shared" si="620"/>
        <v>08641790152</v>
      </c>
      <c r="I5959" t="str">
        <f t="shared" si="620"/>
        <v>08641790152</v>
      </c>
      <c r="K5959" t="str">
        <f>""</f>
        <v/>
      </c>
      <c r="M5959" t="s">
        <v>68</v>
      </c>
      <c r="N5959" t="str">
        <f t="shared" si="619"/>
        <v>FOR</v>
      </c>
      <c r="O5959" t="s">
        <v>69</v>
      </c>
      <c r="P5959" s="3" t="s">
        <v>75</v>
      </c>
      <c r="Q5959">
        <v>2015</v>
      </c>
      <c r="R5959" s="2">
        <v>42282</v>
      </c>
      <c r="S5959" s="2">
        <v>42284</v>
      </c>
      <c r="T5959" s="2">
        <v>42284</v>
      </c>
      <c r="U5959" s="2">
        <v>42344</v>
      </c>
      <c r="V5959" t="s">
        <v>71</v>
      </c>
      <c r="W5959" t="str">
        <f>"             F109535"</f>
        <v xml:space="preserve">             F109535</v>
      </c>
      <c r="X5959">
        <v>844.24</v>
      </c>
      <c r="Y5959">
        <v>0</v>
      </c>
      <c r="Z5959"/>
      <c r="AB5959"/>
      <c r="AC5959">
        <v>692</v>
      </c>
      <c r="AD5959">
        <v>233</v>
      </c>
      <c r="AE5959" s="1">
        <v>161236</v>
      </c>
      <c r="AF5959">
        <v>0</v>
      </c>
      <c r="AJ5959">
        <v>0</v>
      </c>
      <c r="AK5959">
        <v>0</v>
      </c>
      <c r="AL5959">
        <v>0</v>
      </c>
      <c r="AM5959">
        <v>0</v>
      </c>
      <c r="AN5959">
        <v>0</v>
      </c>
      <c r="AO5959">
        <v>0</v>
      </c>
      <c r="AP5959" s="2">
        <v>42746</v>
      </c>
      <c r="AQ5959" t="s">
        <v>72</v>
      </c>
      <c r="AR5959" t="s">
        <v>72</v>
      </c>
      <c r="AS5959">
        <v>1941</v>
      </c>
      <c r="AT5959" s="4">
        <v>42577</v>
      </c>
      <c r="AU5959" t="s">
        <v>73</v>
      </c>
      <c r="AV5959">
        <v>1941</v>
      </c>
      <c r="AW5959" s="4">
        <v>42577</v>
      </c>
      <c r="BD5959">
        <v>0</v>
      </c>
      <c r="BN5959" t="s">
        <v>74</v>
      </c>
    </row>
    <row r="5960" spans="1:66" hidden="1">
      <c r="A5960">
        <v>104009</v>
      </c>
      <c r="B5960" s="3" t="s">
        <v>591</v>
      </c>
      <c r="C5960" s="1">
        <v>43300101</v>
      </c>
      <c r="D5960" t="s">
        <v>67</v>
      </c>
      <c r="H5960" t="str">
        <f t="shared" si="620"/>
        <v>08641790152</v>
      </c>
      <c r="I5960" t="str">
        <f t="shared" si="620"/>
        <v>08641790152</v>
      </c>
      <c r="K5960" t="str">
        <f>""</f>
        <v/>
      </c>
      <c r="M5960" t="s">
        <v>68</v>
      </c>
      <c r="N5960" t="str">
        <f t="shared" si="619"/>
        <v>FOR</v>
      </c>
      <c r="O5960" t="s">
        <v>69</v>
      </c>
      <c r="P5960" s="3" t="s">
        <v>75</v>
      </c>
      <c r="Q5960">
        <v>2015</v>
      </c>
      <c r="R5960" s="2">
        <v>42282</v>
      </c>
      <c r="S5960" s="2">
        <v>42284</v>
      </c>
      <c r="T5960" s="2">
        <v>42284</v>
      </c>
      <c r="U5960" s="2">
        <v>42344</v>
      </c>
      <c r="V5960" t="s">
        <v>71</v>
      </c>
      <c r="W5960" t="str">
        <f>"             F109538"</f>
        <v xml:space="preserve">             F109538</v>
      </c>
      <c r="X5960" s="1">
        <v>10370</v>
      </c>
      <c r="Y5960">
        <v>0</v>
      </c>
      <c r="Z5960"/>
      <c r="AB5960"/>
      <c r="AC5960" s="1">
        <v>8500</v>
      </c>
      <c r="AD5960">
        <v>233</v>
      </c>
      <c r="AE5960" s="1">
        <v>1980500</v>
      </c>
      <c r="AF5960">
        <v>0</v>
      </c>
      <c r="AJ5960">
        <v>0</v>
      </c>
      <c r="AK5960">
        <v>0</v>
      </c>
      <c r="AL5960">
        <v>0</v>
      </c>
      <c r="AM5960">
        <v>0</v>
      </c>
      <c r="AN5960">
        <v>0</v>
      </c>
      <c r="AO5960">
        <v>0</v>
      </c>
      <c r="AP5960" s="2">
        <v>42746</v>
      </c>
      <c r="AQ5960" t="s">
        <v>72</v>
      </c>
      <c r="AR5960" t="s">
        <v>72</v>
      </c>
      <c r="AS5960">
        <v>1941</v>
      </c>
      <c r="AT5960" s="4">
        <v>42577</v>
      </c>
      <c r="AU5960" t="s">
        <v>73</v>
      </c>
      <c r="AV5960">
        <v>1941</v>
      </c>
      <c r="AW5960" s="4">
        <v>42577</v>
      </c>
      <c r="BD5960">
        <v>0</v>
      </c>
      <c r="BN5960" t="s">
        <v>74</v>
      </c>
    </row>
    <row r="5961" spans="1:66" hidden="1">
      <c r="A5961">
        <v>104009</v>
      </c>
      <c r="B5961" s="3" t="s">
        <v>591</v>
      </c>
      <c r="C5961" s="1">
        <v>43300101</v>
      </c>
      <c r="D5961" t="s">
        <v>67</v>
      </c>
      <c r="H5961" t="str">
        <f t="shared" si="620"/>
        <v>08641790152</v>
      </c>
      <c r="I5961" t="str">
        <f t="shared" si="620"/>
        <v>08641790152</v>
      </c>
      <c r="K5961" t="str">
        <f>""</f>
        <v/>
      </c>
      <c r="M5961" t="s">
        <v>68</v>
      </c>
      <c r="N5961" t="str">
        <f t="shared" si="619"/>
        <v>FOR</v>
      </c>
      <c r="O5961" t="s">
        <v>69</v>
      </c>
      <c r="P5961" s="3" t="s">
        <v>75</v>
      </c>
      <c r="Q5961">
        <v>2015</v>
      </c>
      <c r="R5961" s="2">
        <v>42282</v>
      </c>
      <c r="S5961" s="2">
        <v>42284</v>
      </c>
      <c r="T5961" s="2">
        <v>42284</v>
      </c>
      <c r="U5961" s="2">
        <v>42344</v>
      </c>
      <c r="V5961" t="s">
        <v>71</v>
      </c>
      <c r="W5961" t="str">
        <f>"             F109541"</f>
        <v xml:space="preserve">             F109541</v>
      </c>
      <c r="X5961" s="1">
        <v>1698.24</v>
      </c>
      <c r="Y5961">
        <v>0</v>
      </c>
      <c r="Z5961"/>
      <c r="AB5961"/>
      <c r="AC5961" s="1">
        <v>1392</v>
      </c>
      <c r="AD5961">
        <v>233</v>
      </c>
      <c r="AE5961" s="1">
        <v>324336</v>
      </c>
      <c r="AF5961">
        <v>0</v>
      </c>
      <c r="AJ5961">
        <v>0</v>
      </c>
      <c r="AK5961">
        <v>0</v>
      </c>
      <c r="AL5961">
        <v>0</v>
      </c>
      <c r="AM5961">
        <v>0</v>
      </c>
      <c r="AN5961">
        <v>0</v>
      </c>
      <c r="AO5961">
        <v>0</v>
      </c>
      <c r="AP5961" s="2">
        <v>42746</v>
      </c>
      <c r="AQ5961" t="s">
        <v>72</v>
      </c>
      <c r="AR5961" t="s">
        <v>72</v>
      </c>
      <c r="AS5961">
        <v>1941</v>
      </c>
      <c r="AT5961" s="4">
        <v>42577</v>
      </c>
      <c r="AU5961" t="s">
        <v>73</v>
      </c>
      <c r="AV5961">
        <v>1941</v>
      </c>
      <c r="AW5961" s="4">
        <v>42577</v>
      </c>
      <c r="BD5961">
        <v>0</v>
      </c>
      <c r="BN5961" t="s">
        <v>74</v>
      </c>
    </row>
    <row r="5962" spans="1:66" hidden="1">
      <c r="A5962">
        <v>104009</v>
      </c>
      <c r="B5962" s="3" t="s">
        <v>591</v>
      </c>
      <c r="C5962" s="1">
        <v>43300101</v>
      </c>
      <c r="D5962" t="s">
        <v>67</v>
      </c>
      <c r="H5962" t="str">
        <f t="shared" si="620"/>
        <v>08641790152</v>
      </c>
      <c r="I5962" t="str">
        <f t="shared" si="620"/>
        <v>08641790152</v>
      </c>
      <c r="K5962" t="str">
        <f>""</f>
        <v/>
      </c>
      <c r="M5962" t="s">
        <v>68</v>
      </c>
      <c r="N5962" t="str">
        <f t="shared" si="619"/>
        <v>FOR</v>
      </c>
      <c r="O5962" t="s">
        <v>69</v>
      </c>
      <c r="P5962" s="3" t="s">
        <v>75</v>
      </c>
      <c r="Q5962">
        <v>2015</v>
      </c>
      <c r="R5962" s="2">
        <v>42286</v>
      </c>
      <c r="S5962" s="2">
        <v>42291</v>
      </c>
      <c r="T5962" s="2">
        <v>42287</v>
      </c>
      <c r="U5962" s="2">
        <v>42347</v>
      </c>
      <c r="V5962" t="s">
        <v>71</v>
      </c>
      <c r="W5962" t="str">
        <f>"             F111661"</f>
        <v xml:space="preserve">             F111661</v>
      </c>
      <c r="X5962" s="1">
        <v>8052</v>
      </c>
      <c r="Y5962">
        <v>0</v>
      </c>
      <c r="Z5962"/>
      <c r="AB5962"/>
      <c r="AC5962" s="1">
        <v>6600</v>
      </c>
      <c r="AD5962">
        <v>230</v>
      </c>
      <c r="AE5962" s="1">
        <v>1518000</v>
      </c>
      <c r="AF5962">
        <v>0</v>
      </c>
      <c r="AJ5962">
        <v>0</v>
      </c>
      <c r="AK5962">
        <v>0</v>
      </c>
      <c r="AL5962">
        <v>0</v>
      </c>
      <c r="AM5962">
        <v>0</v>
      </c>
      <c r="AN5962">
        <v>0</v>
      </c>
      <c r="AO5962">
        <v>0</v>
      </c>
      <c r="AP5962" s="2">
        <v>42746</v>
      </c>
      <c r="AQ5962" t="s">
        <v>72</v>
      </c>
      <c r="AR5962" t="s">
        <v>72</v>
      </c>
      <c r="AS5962">
        <v>1941</v>
      </c>
      <c r="AT5962" s="4">
        <v>42577</v>
      </c>
      <c r="AU5962" t="s">
        <v>73</v>
      </c>
      <c r="AV5962">
        <v>1941</v>
      </c>
      <c r="AW5962" s="4">
        <v>42577</v>
      </c>
      <c r="BD5962">
        <v>0</v>
      </c>
      <c r="BN5962" t="s">
        <v>74</v>
      </c>
    </row>
    <row r="5963" spans="1:66" hidden="1">
      <c r="A5963">
        <v>104009</v>
      </c>
      <c r="B5963" s="3" t="s">
        <v>591</v>
      </c>
      <c r="C5963" s="1">
        <v>43300101</v>
      </c>
      <c r="D5963" t="s">
        <v>67</v>
      </c>
      <c r="H5963" t="str">
        <f t="shared" si="620"/>
        <v>08641790152</v>
      </c>
      <c r="I5963" t="str">
        <f t="shared" si="620"/>
        <v>08641790152</v>
      </c>
      <c r="K5963" t="str">
        <f>""</f>
        <v/>
      </c>
      <c r="M5963" t="s">
        <v>68</v>
      </c>
      <c r="N5963" t="str">
        <f t="shared" si="619"/>
        <v>FOR</v>
      </c>
      <c r="O5963" t="s">
        <v>69</v>
      </c>
      <c r="P5963" s="3" t="s">
        <v>75</v>
      </c>
      <c r="Q5963">
        <v>2015</v>
      </c>
      <c r="R5963" s="2">
        <v>42286</v>
      </c>
      <c r="S5963" s="2">
        <v>42291</v>
      </c>
      <c r="T5963" s="2">
        <v>42287</v>
      </c>
      <c r="U5963" s="2">
        <v>42347</v>
      </c>
      <c r="V5963" t="s">
        <v>71</v>
      </c>
      <c r="W5963" t="str">
        <f>"             F112043"</f>
        <v xml:space="preserve">             F112043</v>
      </c>
      <c r="X5963" s="1">
        <v>11856</v>
      </c>
      <c r="Y5963">
        <v>0</v>
      </c>
      <c r="Z5963"/>
      <c r="AB5963"/>
      <c r="AC5963" s="1">
        <v>11400</v>
      </c>
      <c r="AD5963">
        <v>230</v>
      </c>
      <c r="AE5963" s="1">
        <v>2622000</v>
      </c>
      <c r="AF5963">
        <v>0</v>
      </c>
      <c r="AJ5963">
        <v>0</v>
      </c>
      <c r="AK5963">
        <v>0</v>
      </c>
      <c r="AL5963">
        <v>0</v>
      </c>
      <c r="AM5963">
        <v>0</v>
      </c>
      <c r="AN5963">
        <v>0</v>
      </c>
      <c r="AO5963">
        <v>0</v>
      </c>
      <c r="AP5963" s="2">
        <v>42746</v>
      </c>
      <c r="AQ5963" t="s">
        <v>72</v>
      </c>
      <c r="AR5963" t="s">
        <v>72</v>
      </c>
      <c r="AS5963">
        <v>1941</v>
      </c>
      <c r="AT5963" s="4">
        <v>42577</v>
      </c>
      <c r="AU5963" t="s">
        <v>73</v>
      </c>
      <c r="AV5963">
        <v>1941</v>
      </c>
      <c r="AW5963" s="4">
        <v>42577</v>
      </c>
      <c r="BD5963">
        <v>0</v>
      </c>
      <c r="BN5963" t="s">
        <v>74</v>
      </c>
    </row>
    <row r="5964" spans="1:66" hidden="1">
      <c r="A5964">
        <v>104009</v>
      </c>
      <c r="B5964" s="3" t="s">
        <v>591</v>
      </c>
      <c r="C5964" s="1">
        <v>43300101</v>
      </c>
      <c r="D5964" t="s">
        <v>67</v>
      </c>
      <c r="H5964" t="str">
        <f t="shared" si="620"/>
        <v>08641790152</v>
      </c>
      <c r="I5964" t="str">
        <f t="shared" si="620"/>
        <v>08641790152</v>
      </c>
      <c r="K5964" t="str">
        <f>""</f>
        <v/>
      </c>
      <c r="M5964" t="s">
        <v>68</v>
      </c>
      <c r="N5964" t="str">
        <f t="shared" si="619"/>
        <v>FOR</v>
      </c>
      <c r="O5964" t="s">
        <v>69</v>
      </c>
      <c r="P5964" s="3" t="s">
        <v>75</v>
      </c>
      <c r="Q5964">
        <v>2015</v>
      </c>
      <c r="R5964" s="2">
        <v>42289</v>
      </c>
      <c r="S5964" s="2">
        <v>42291</v>
      </c>
      <c r="T5964" s="2">
        <v>42290</v>
      </c>
      <c r="U5964" s="2">
        <v>42350</v>
      </c>
      <c r="V5964" t="s">
        <v>71</v>
      </c>
      <c r="W5964" t="str">
        <f>"             F112292"</f>
        <v xml:space="preserve">             F112292</v>
      </c>
      <c r="X5964" s="1">
        <v>1218.78</v>
      </c>
      <c r="Y5964">
        <v>0</v>
      </c>
      <c r="Z5964"/>
      <c r="AB5964"/>
      <c r="AC5964">
        <v>999</v>
      </c>
      <c r="AD5964">
        <v>227</v>
      </c>
      <c r="AE5964" s="1">
        <v>226773</v>
      </c>
      <c r="AF5964">
        <v>0</v>
      </c>
      <c r="AJ5964">
        <v>0</v>
      </c>
      <c r="AK5964">
        <v>0</v>
      </c>
      <c r="AL5964">
        <v>0</v>
      </c>
      <c r="AM5964">
        <v>0</v>
      </c>
      <c r="AN5964">
        <v>0</v>
      </c>
      <c r="AO5964">
        <v>0</v>
      </c>
      <c r="AP5964" s="2">
        <v>42746</v>
      </c>
      <c r="AQ5964" t="s">
        <v>72</v>
      </c>
      <c r="AR5964" t="s">
        <v>72</v>
      </c>
      <c r="AS5964">
        <v>1941</v>
      </c>
      <c r="AT5964" s="4">
        <v>42577</v>
      </c>
      <c r="AU5964" t="s">
        <v>73</v>
      </c>
      <c r="AV5964">
        <v>1941</v>
      </c>
      <c r="AW5964" s="4">
        <v>42577</v>
      </c>
      <c r="BD5964">
        <v>0</v>
      </c>
      <c r="BN5964" t="s">
        <v>74</v>
      </c>
    </row>
    <row r="5965" spans="1:66" hidden="1">
      <c r="A5965">
        <v>104009</v>
      </c>
      <c r="B5965" s="3" t="s">
        <v>591</v>
      </c>
      <c r="C5965" s="1">
        <v>43300101</v>
      </c>
      <c r="D5965" t="s">
        <v>67</v>
      </c>
      <c r="H5965" t="str">
        <f t="shared" si="620"/>
        <v>08641790152</v>
      </c>
      <c r="I5965" t="str">
        <f t="shared" si="620"/>
        <v>08641790152</v>
      </c>
      <c r="K5965" t="str">
        <f>""</f>
        <v/>
      </c>
      <c r="M5965" t="s">
        <v>68</v>
      </c>
      <c r="N5965" t="str">
        <f t="shared" si="619"/>
        <v>FOR</v>
      </c>
      <c r="O5965" t="s">
        <v>69</v>
      </c>
      <c r="P5965" s="3" t="s">
        <v>75</v>
      </c>
      <c r="Q5965">
        <v>2015</v>
      </c>
      <c r="R5965" s="2">
        <v>42292</v>
      </c>
      <c r="S5965" s="2">
        <v>42293</v>
      </c>
      <c r="T5965" s="2">
        <v>42293</v>
      </c>
      <c r="U5965" s="2">
        <v>42353</v>
      </c>
      <c r="V5965" t="s">
        <v>71</v>
      </c>
      <c r="W5965" t="str">
        <f>"             F113762"</f>
        <v xml:space="preserve">             F113762</v>
      </c>
      <c r="X5965" s="1">
        <v>1502.06</v>
      </c>
      <c r="Y5965">
        <v>0</v>
      </c>
      <c r="Z5965"/>
      <c r="AB5965"/>
      <c r="AC5965" s="1">
        <v>1231.2</v>
      </c>
      <c r="AD5965">
        <v>266</v>
      </c>
      <c r="AE5965" s="1">
        <v>327499.2</v>
      </c>
      <c r="AF5965">
        <v>0</v>
      </c>
      <c r="AJ5965">
        <v>0</v>
      </c>
      <c r="AK5965">
        <v>0</v>
      </c>
      <c r="AL5965">
        <v>0</v>
      </c>
      <c r="AM5965">
        <v>0</v>
      </c>
      <c r="AN5965">
        <v>0</v>
      </c>
      <c r="AO5965">
        <v>0</v>
      </c>
      <c r="AP5965" s="2">
        <v>42746</v>
      </c>
      <c r="AQ5965" t="s">
        <v>72</v>
      </c>
      <c r="AR5965" t="s">
        <v>72</v>
      </c>
      <c r="AS5965">
        <v>2298</v>
      </c>
      <c r="AT5965" s="4">
        <v>42619</v>
      </c>
      <c r="AU5965" t="s">
        <v>73</v>
      </c>
      <c r="AV5965">
        <v>2298</v>
      </c>
      <c r="AW5965" s="4">
        <v>42619</v>
      </c>
      <c r="BD5965">
        <v>0</v>
      </c>
      <c r="BN5965" t="s">
        <v>74</v>
      </c>
    </row>
    <row r="5966" spans="1:66" hidden="1">
      <c r="A5966">
        <v>104009</v>
      </c>
      <c r="B5966" s="3" t="s">
        <v>591</v>
      </c>
      <c r="C5966" s="1">
        <v>43300101</v>
      </c>
      <c r="D5966" t="s">
        <v>67</v>
      </c>
      <c r="H5966" t="str">
        <f t="shared" si="620"/>
        <v>08641790152</v>
      </c>
      <c r="I5966" t="str">
        <f t="shared" si="620"/>
        <v>08641790152</v>
      </c>
      <c r="K5966" t="str">
        <f>""</f>
        <v/>
      </c>
      <c r="M5966" t="s">
        <v>68</v>
      </c>
      <c r="N5966" t="str">
        <f t="shared" si="619"/>
        <v>FOR</v>
      </c>
      <c r="O5966" t="s">
        <v>69</v>
      </c>
      <c r="P5966" s="3" t="s">
        <v>75</v>
      </c>
      <c r="Q5966">
        <v>2015</v>
      </c>
      <c r="R5966" s="2">
        <v>42293</v>
      </c>
      <c r="S5966" s="2">
        <v>42296</v>
      </c>
      <c r="T5966" s="2">
        <v>42296</v>
      </c>
      <c r="U5966" s="2">
        <v>42356</v>
      </c>
      <c r="V5966" t="s">
        <v>71</v>
      </c>
      <c r="W5966" t="str">
        <f>"             F114503"</f>
        <v xml:space="preserve">             F114503</v>
      </c>
      <c r="X5966" s="1">
        <v>1158.02</v>
      </c>
      <c r="Y5966">
        <v>0</v>
      </c>
      <c r="Z5966"/>
      <c r="AB5966"/>
      <c r="AC5966">
        <v>949.2</v>
      </c>
      <c r="AD5966">
        <v>221</v>
      </c>
      <c r="AE5966" s="1">
        <v>209773.2</v>
      </c>
      <c r="AF5966">
        <v>0</v>
      </c>
      <c r="AJ5966">
        <v>0</v>
      </c>
      <c r="AK5966">
        <v>0</v>
      </c>
      <c r="AL5966">
        <v>0</v>
      </c>
      <c r="AM5966">
        <v>0</v>
      </c>
      <c r="AN5966">
        <v>0</v>
      </c>
      <c r="AO5966">
        <v>0</v>
      </c>
      <c r="AP5966" s="2">
        <v>42746</v>
      </c>
      <c r="AQ5966" t="s">
        <v>72</v>
      </c>
      <c r="AR5966" t="s">
        <v>72</v>
      </c>
      <c r="AS5966">
        <v>1941</v>
      </c>
      <c r="AT5966" s="4">
        <v>42577</v>
      </c>
      <c r="AU5966" t="s">
        <v>73</v>
      </c>
      <c r="AV5966">
        <v>1941</v>
      </c>
      <c r="AW5966" s="4">
        <v>42577</v>
      </c>
      <c r="BD5966">
        <v>0</v>
      </c>
      <c r="BN5966" t="s">
        <v>74</v>
      </c>
    </row>
    <row r="5967" spans="1:66" hidden="1">
      <c r="A5967">
        <v>104009</v>
      </c>
      <c r="B5967" s="3" t="s">
        <v>591</v>
      </c>
      <c r="C5967" s="1">
        <v>43300101</v>
      </c>
      <c r="D5967" t="s">
        <v>67</v>
      </c>
      <c r="H5967" t="str">
        <f t="shared" si="620"/>
        <v>08641790152</v>
      </c>
      <c r="I5967" t="str">
        <f t="shared" si="620"/>
        <v>08641790152</v>
      </c>
      <c r="K5967" t="str">
        <f>""</f>
        <v/>
      </c>
      <c r="M5967" t="s">
        <v>68</v>
      </c>
      <c r="N5967" t="str">
        <f t="shared" si="619"/>
        <v>FOR</v>
      </c>
      <c r="O5967" t="s">
        <v>69</v>
      </c>
      <c r="P5967" s="3" t="s">
        <v>75</v>
      </c>
      <c r="Q5967">
        <v>2015</v>
      </c>
      <c r="R5967" s="2">
        <v>42298</v>
      </c>
      <c r="S5967" s="2">
        <v>42300</v>
      </c>
      <c r="T5967" s="2">
        <v>42299</v>
      </c>
      <c r="U5967" s="2">
        <v>42359</v>
      </c>
      <c r="V5967" t="s">
        <v>71</v>
      </c>
      <c r="W5967" t="str">
        <f>"             F116263"</f>
        <v xml:space="preserve">             F116263</v>
      </c>
      <c r="X5967" s="1">
        <v>4251.7</v>
      </c>
      <c r="Y5967">
        <v>0</v>
      </c>
      <c r="Z5967"/>
      <c r="AB5967"/>
      <c r="AC5967" s="1">
        <v>3485</v>
      </c>
      <c r="AD5967">
        <v>218</v>
      </c>
      <c r="AE5967" s="1">
        <v>759730</v>
      </c>
      <c r="AF5967">
        <v>0</v>
      </c>
      <c r="AJ5967">
        <v>0</v>
      </c>
      <c r="AK5967">
        <v>0</v>
      </c>
      <c r="AL5967">
        <v>0</v>
      </c>
      <c r="AM5967">
        <v>0</v>
      </c>
      <c r="AN5967">
        <v>0</v>
      </c>
      <c r="AO5967">
        <v>0</v>
      </c>
      <c r="AP5967" s="2">
        <v>42746</v>
      </c>
      <c r="AQ5967" t="s">
        <v>72</v>
      </c>
      <c r="AR5967" t="s">
        <v>72</v>
      </c>
      <c r="AS5967">
        <v>1941</v>
      </c>
      <c r="AT5967" s="4">
        <v>42577</v>
      </c>
      <c r="AU5967" t="s">
        <v>73</v>
      </c>
      <c r="AV5967">
        <v>1941</v>
      </c>
      <c r="AW5967" s="4">
        <v>42577</v>
      </c>
      <c r="BD5967">
        <v>0</v>
      </c>
      <c r="BN5967" t="s">
        <v>74</v>
      </c>
    </row>
    <row r="5968" spans="1:66" hidden="1">
      <c r="A5968">
        <v>104009</v>
      </c>
      <c r="B5968" s="3" t="s">
        <v>591</v>
      </c>
      <c r="C5968" s="1">
        <v>43300101</v>
      </c>
      <c r="D5968" t="s">
        <v>67</v>
      </c>
      <c r="H5968" t="str">
        <f t="shared" si="620"/>
        <v>08641790152</v>
      </c>
      <c r="I5968" t="str">
        <f t="shared" si="620"/>
        <v>08641790152</v>
      </c>
      <c r="K5968" t="str">
        <f>""</f>
        <v/>
      </c>
      <c r="M5968" t="s">
        <v>68</v>
      </c>
      <c r="N5968" t="str">
        <f t="shared" si="619"/>
        <v>FOR</v>
      </c>
      <c r="O5968" t="s">
        <v>69</v>
      </c>
      <c r="P5968" s="3" t="s">
        <v>75</v>
      </c>
      <c r="Q5968">
        <v>2015</v>
      </c>
      <c r="R5968" s="2">
        <v>42298</v>
      </c>
      <c r="S5968" s="2">
        <v>42300</v>
      </c>
      <c r="T5968" s="2">
        <v>42299</v>
      </c>
      <c r="U5968" s="2">
        <v>42359</v>
      </c>
      <c r="V5968" t="s">
        <v>71</v>
      </c>
      <c r="W5968" t="str">
        <f>"             F116338"</f>
        <v xml:space="preserve">             F116338</v>
      </c>
      <c r="X5968" s="1">
        <v>1405.44</v>
      </c>
      <c r="Y5968">
        <v>0</v>
      </c>
      <c r="Z5968"/>
      <c r="AB5968"/>
      <c r="AC5968" s="1">
        <v>1152</v>
      </c>
      <c r="AD5968">
        <v>218</v>
      </c>
      <c r="AE5968" s="1">
        <v>251136</v>
      </c>
      <c r="AF5968">
        <v>0</v>
      </c>
      <c r="AJ5968">
        <v>0</v>
      </c>
      <c r="AK5968">
        <v>0</v>
      </c>
      <c r="AL5968">
        <v>0</v>
      </c>
      <c r="AM5968">
        <v>0</v>
      </c>
      <c r="AN5968">
        <v>0</v>
      </c>
      <c r="AO5968">
        <v>0</v>
      </c>
      <c r="AP5968" s="2">
        <v>42746</v>
      </c>
      <c r="AQ5968" t="s">
        <v>72</v>
      </c>
      <c r="AR5968" t="s">
        <v>72</v>
      </c>
      <c r="AS5968">
        <v>1941</v>
      </c>
      <c r="AT5968" s="4">
        <v>42577</v>
      </c>
      <c r="AU5968" t="s">
        <v>73</v>
      </c>
      <c r="AV5968">
        <v>1941</v>
      </c>
      <c r="AW5968" s="4">
        <v>42577</v>
      </c>
      <c r="BD5968">
        <v>0</v>
      </c>
      <c r="BN5968" t="s">
        <v>74</v>
      </c>
    </row>
    <row r="5969" spans="1:66" hidden="1">
      <c r="A5969">
        <v>104009</v>
      </c>
      <c r="B5969" s="3" t="s">
        <v>591</v>
      </c>
      <c r="C5969" s="1">
        <v>43300101</v>
      </c>
      <c r="D5969" t="s">
        <v>67</v>
      </c>
      <c r="H5969" t="str">
        <f t="shared" ref="H5969:I5988" si="621">"08641790152"</f>
        <v>08641790152</v>
      </c>
      <c r="I5969" t="str">
        <f t="shared" si="621"/>
        <v>08641790152</v>
      </c>
      <c r="K5969" t="str">
        <f>""</f>
        <v/>
      </c>
      <c r="M5969" t="s">
        <v>68</v>
      </c>
      <c r="N5969" t="str">
        <f t="shared" si="619"/>
        <v>FOR</v>
      </c>
      <c r="O5969" t="s">
        <v>69</v>
      </c>
      <c r="P5969" s="3" t="s">
        <v>75</v>
      </c>
      <c r="Q5969">
        <v>2015</v>
      </c>
      <c r="R5969" s="2">
        <v>42298</v>
      </c>
      <c r="S5969" s="2">
        <v>42300</v>
      </c>
      <c r="T5969" s="2">
        <v>42299</v>
      </c>
      <c r="U5969" s="2">
        <v>42359</v>
      </c>
      <c r="V5969" t="s">
        <v>71</v>
      </c>
      <c r="W5969" t="str">
        <f>"             F116480"</f>
        <v xml:space="preserve">             F116480</v>
      </c>
      <c r="X5969" s="1">
        <v>1012.6</v>
      </c>
      <c r="Y5969">
        <v>0</v>
      </c>
      <c r="Z5969"/>
      <c r="AB5969"/>
      <c r="AC5969">
        <v>830</v>
      </c>
      <c r="AD5969">
        <v>218</v>
      </c>
      <c r="AE5969" s="1">
        <v>180940</v>
      </c>
      <c r="AF5969">
        <v>0</v>
      </c>
      <c r="AJ5969">
        <v>0</v>
      </c>
      <c r="AK5969">
        <v>0</v>
      </c>
      <c r="AL5969">
        <v>0</v>
      </c>
      <c r="AM5969">
        <v>0</v>
      </c>
      <c r="AN5969">
        <v>0</v>
      </c>
      <c r="AO5969">
        <v>0</v>
      </c>
      <c r="AP5969" s="2">
        <v>42746</v>
      </c>
      <c r="AQ5969" t="s">
        <v>72</v>
      </c>
      <c r="AR5969" t="s">
        <v>72</v>
      </c>
      <c r="AS5969">
        <v>1941</v>
      </c>
      <c r="AT5969" s="4">
        <v>42577</v>
      </c>
      <c r="AU5969" t="s">
        <v>73</v>
      </c>
      <c r="AV5969">
        <v>1941</v>
      </c>
      <c r="AW5969" s="4">
        <v>42577</v>
      </c>
      <c r="BD5969">
        <v>0</v>
      </c>
      <c r="BN5969" t="s">
        <v>74</v>
      </c>
    </row>
    <row r="5970" spans="1:66" hidden="1">
      <c r="A5970">
        <v>104009</v>
      </c>
      <c r="B5970" s="3" t="s">
        <v>591</v>
      </c>
      <c r="C5970" s="1">
        <v>43300101</v>
      </c>
      <c r="D5970" t="s">
        <v>67</v>
      </c>
      <c r="H5970" t="str">
        <f t="shared" si="621"/>
        <v>08641790152</v>
      </c>
      <c r="I5970" t="str">
        <f t="shared" si="621"/>
        <v>08641790152</v>
      </c>
      <c r="K5970" t="str">
        <f>""</f>
        <v/>
      </c>
      <c r="M5970" t="s">
        <v>68</v>
      </c>
      <c r="N5970" t="str">
        <f t="shared" si="619"/>
        <v>FOR</v>
      </c>
      <c r="O5970" t="s">
        <v>69</v>
      </c>
      <c r="P5970" s="3" t="s">
        <v>75</v>
      </c>
      <c r="Q5970">
        <v>2015</v>
      </c>
      <c r="R5970" s="2">
        <v>42303</v>
      </c>
      <c r="S5970" s="2">
        <v>42305</v>
      </c>
      <c r="T5970" s="2">
        <v>42304</v>
      </c>
      <c r="U5970" s="2">
        <v>42364</v>
      </c>
      <c r="V5970" t="s">
        <v>71</v>
      </c>
      <c r="W5970" t="str">
        <f>"             F117798"</f>
        <v xml:space="preserve">             F117798</v>
      </c>
      <c r="X5970" s="1">
        <v>2207.42</v>
      </c>
      <c r="Y5970">
        <v>0</v>
      </c>
      <c r="Z5970"/>
      <c r="AB5970"/>
      <c r="AC5970" s="1">
        <v>1809.36</v>
      </c>
      <c r="AD5970">
        <v>213</v>
      </c>
      <c r="AE5970" s="1">
        <v>385393.68</v>
      </c>
      <c r="AF5970">
        <v>0</v>
      </c>
      <c r="AJ5970">
        <v>0</v>
      </c>
      <c r="AK5970">
        <v>0</v>
      </c>
      <c r="AL5970">
        <v>0</v>
      </c>
      <c r="AM5970">
        <v>0</v>
      </c>
      <c r="AN5970">
        <v>0</v>
      </c>
      <c r="AO5970">
        <v>0</v>
      </c>
      <c r="AP5970" s="2">
        <v>42746</v>
      </c>
      <c r="AQ5970" t="s">
        <v>72</v>
      </c>
      <c r="AR5970" t="s">
        <v>72</v>
      </c>
      <c r="AS5970">
        <v>1941</v>
      </c>
      <c r="AT5970" s="4">
        <v>42577</v>
      </c>
      <c r="AU5970" t="s">
        <v>73</v>
      </c>
      <c r="AV5970">
        <v>1941</v>
      </c>
      <c r="AW5970" s="4">
        <v>42577</v>
      </c>
      <c r="BD5970">
        <v>0</v>
      </c>
      <c r="BN5970" t="s">
        <v>74</v>
      </c>
    </row>
    <row r="5971" spans="1:66" hidden="1">
      <c r="A5971">
        <v>104009</v>
      </c>
      <c r="B5971" s="3" t="s">
        <v>591</v>
      </c>
      <c r="C5971" s="1">
        <v>43300101</v>
      </c>
      <c r="D5971" t="s">
        <v>67</v>
      </c>
      <c r="H5971" t="str">
        <f t="shared" si="621"/>
        <v>08641790152</v>
      </c>
      <c r="I5971" t="str">
        <f t="shared" si="621"/>
        <v>08641790152</v>
      </c>
      <c r="K5971" t="str">
        <f>""</f>
        <v/>
      </c>
      <c r="M5971" t="s">
        <v>68</v>
      </c>
      <c r="N5971" t="str">
        <f t="shared" si="619"/>
        <v>FOR</v>
      </c>
      <c r="O5971" t="s">
        <v>69</v>
      </c>
      <c r="P5971" s="3" t="s">
        <v>75</v>
      </c>
      <c r="Q5971">
        <v>2015</v>
      </c>
      <c r="R5971" s="2">
        <v>42305</v>
      </c>
      <c r="S5971" s="2">
        <v>42307</v>
      </c>
      <c r="T5971" s="2">
        <v>42306</v>
      </c>
      <c r="U5971" s="2">
        <v>42366</v>
      </c>
      <c r="V5971" t="s">
        <v>71</v>
      </c>
      <c r="W5971" t="str">
        <f>"             F118945"</f>
        <v xml:space="preserve">             F118945</v>
      </c>
      <c r="X5971">
        <v>988</v>
      </c>
      <c r="Y5971">
        <v>0</v>
      </c>
      <c r="Z5971"/>
      <c r="AB5971"/>
      <c r="AC5971">
        <v>950</v>
      </c>
      <c r="AD5971">
        <v>211</v>
      </c>
      <c r="AE5971" s="1">
        <v>200450</v>
      </c>
      <c r="AF5971">
        <v>0</v>
      </c>
      <c r="AJ5971">
        <v>0</v>
      </c>
      <c r="AK5971">
        <v>0</v>
      </c>
      <c r="AL5971">
        <v>0</v>
      </c>
      <c r="AM5971">
        <v>0</v>
      </c>
      <c r="AN5971">
        <v>0</v>
      </c>
      <c r="AO5971">
        <v>0</v>
      </c>
      <c r="AP5971" s="2">
        <v>42746</v>
      </c>
      <c r="AQ5971" t="s">
        <v>72</v>
      </c>
      <c r="AR5971" t="s">
        <v>72</v>
      </c>
      <c r="AS5971">
        <v>1941</v>
      </c>
      <c r="AT5971" s="4">
        <v>42577</v>
      </c>
      <c r="AU5971" t="s">
        <v>73</v>
      </c>
      <c r="AV5971">
        <v>1941</v>
      </c>
      <c r="AW5971" s="4">
        <v>42577</v>
      </c>
      <c r="BD5971">
        <v>0</v>
      </c>
      <c r="BN5971" t="s">
        <v>74</v>
      </c>
    </row>
    <row r="5972" spans="1:66" hidden="1">
      <c r="A5972">
        <v>104009</v>
      </c>
      <c r="B5972" s="3" t="s">
        <v>591</v>
      </c>
      <c r="C5972" s="1">
        <v>43300101</v>
      </c>
      <c r="D5972" t="s">
        <v>67</v>
      </c>
      <c r="H5972" t="str">
        <f t="shared" si="621"/>
        <v>08641790152</v>
      </c>
      <c r="I5972" t="str">
        <f t="shared" si="621"/>
        <v>08641790152</v>
      </c>
      <c r="K5972" t="str">
        <f>""</f>
        <v/>
      </c>
      <c r="M5972" t="s">
        <v>68</v>
      </c>
      <c r="N5972" t="str">
        <f t="shared" si="619"/>
        <v>FOR</v>
      </c>
      <c r="O5972" t="s">
        <v>69</v>
      </c>
      <c r="P5972" s="3" t="s">
        <v>75</v>
      </c>
      <c r="Q5972">
        <v>2015</v>
      </c>
      <c r="R5972" s="2">
        <v>42310</v>
      </c>
      <c r="S5972" s="2">
        <v>42312</v>
      </c>
      <c r="T5972" s="2">
        <v>42311</v>
      </c>
      <c r="U5972" s="2">
        <v>42371</v>
      </c>
      <c r="V5972" t="s">
        <v>71</v>
      </c>
      <c r="W5972" t="str">
        <f>"             F120800"</f>
        <v xml:space="preserve">             F120800</v>
      </c>
      <c r="X5972" s="1">
        <v>1737.03</v>
      </c>
      <c r="Y5972">
        <v>0</v>
      </c>
      <c r="Z5972"/>
      <c r="AB5972"/>
      <c r="AC5972" s="1">
        <v>1423.8</v>
      </c>
      <c r="AD5972">
        <v>248</v>
      </c>
      <c r="AE5972" s="1">
        <v>353102.4</v>
      </c>
      <c r="AF5972">
        <v>0</v>
      </c>
      <c r="AJ5972">
        <v>0</v>
      </c>
      <c r="AK5972">
        <v>0</v>
      </c>
      <c r="AL5972">
        <v>0</v>
      </c>
      <c r="AM5972">
        <v>0</v>
      </c>
      <c r="AN5972">
        <v>0</v>
      </c>
      <c r="AO5972">
        <v>0</v>
      </c>
      <c r="AP5972" s="2">
        <v>42746</v>
      </c>
      <c r="AQ5972" t="s">
        <v>72</v>
      </c>
      <c r="AR5972" t="s">
        <v>72</v>
      </c>
      <c r="AS5972">
        <v>2298</v>
      </c>
      <c r="AT5972" s="4">
        <v>42619</v>
      </c>
      <c r="AU5972" t="s">
        <v>73</v>
      </c>
      <c r="AV5972">
        <v>2298</v>
      </c>
      <c r="AW5972" s="4">
        <v>42619</v>
      </c>
      <c r="BD5972">
        <v>0</v>
      </c>
      <c r="BN5972" t="s">
        <v>74</v>
      </c>
    </row>
    <row r="5973" spans="1:66" hidden="1">
      <c r="A5973">
        <v>104009</v>
      </c>
      <c r="B5973" s="3" t="s">
        <v>591</v>
      </c>
      <c r="C5973" s="1">
        <v>43300101</v>
      </c>
      <c r="D5973" t="s">
        <v>67</v>
      </c>
      <c r="H5973" t="str">
        <f t="shared" si="621"/>
        <v>08641790152</v>
      </c>
      <c r="I5973" t="str">
        <f t="shared" si="621"/>
        <v>08641790152</v>
      </c>
      <c r="K5973" t="str">
        <f>""</f>
        <v/>
      </c>
      <c r="M5973" t="s">
        <v>68</v>
      </c>
      <c r="N5973" t="str">
        <f t="shared" si="619"/>
        <v>FOR</v>
      </c>
      <c r="O5973" t="s">
        <v>69</v>
      </c>
      <c r="P5973" s="3" t="s">
        <v>75</v>
      </c>
      <c r="Q5973">
        <v>2015</v>
      </c>
      <c r="R5973" s="2">
        <v>42310</v>
      </c>
      <c r="S5973" s="2">
        <v>42312</v>
      </c>
      <c r="T5973" s="2">
        <v>42311</v>
      </c>
      <c r="U5973" s="2">
        <v>42371</v>
      </c>
      <c r="V5973" t="s">
        <v>71</v>
      </c>
      <c r="W5973" t="str">
        <f>"             F120871"</f>
        <v xml:space="preserve">             F120871</v>
      </c>
      <c r="X5973" s="1">
        <v>1659.2</v>
      </c>
      <c r="Y5973">
        <v>0</v>
      </c>
      <c r="Z5973"/>
      <c r="AB5973"/>
      <c r="AC5973" s="1">
        <v>1360</v>
      </c>
      <c r="AD5973">
        <v>248</v>
      </c>
      <c r="AE5973" s="1">
        <v>337280</v>
      </c>
      <c r="AF5973">
        <v>0</v>
      </c>
      <c r="AJ5973">
        <v>0</v>
      </c>
      <c r="AK5973">
        <v>0</v>
      </c>
      <c r="AL5973">
        <v>0</v>
      </c>
      <c r="AM5973">
        <v>0</v>
      </c>
      <c r="AN5973">
        <v>0</v>
      </c>
      <c r="AO5973">
        <v>0</v>
      </c>
      <c r="AP5973" s="2">
        <v>42746</v>
      </c>
      <c r="AQ5973" t="s">
        <v>72</v>
      </c>
      <c r="AR5973" t="s">
        <v>72</v>
      </c>
      <c r="AS5973">
        <v>2298</v>
      </c>
      <c r="AT5973" s="4">
        <v>42619</v>
      </c>
      <c r="AU5973" t="s">
        <v>73</v>
      </c>
      <c r="AV5973">
        <v>2298</v>
      </c>
      <c r="AW5973" s="4">
        <v>42619</v>
      </c>
      <c r="BD5973">
        <v>0</v>
      </c>
      <c r="BN5973" t="s">
        <v>74</v>
      </c>
    </row>
    <row r="5974" spans="1:66" hidden="1">
      <c r="A5974">
        <v>104009</v>
      </c>
      <c r="B5974" s="3" t="s">
        <v>591</v>
      </c>
      <c r="C5974" s="1">
        <v>43300101</v>
      </c>
      <c r="D5974" t="s">
        <v>67</v>
      </c>
      <c r="H5974" t="str">
        <f t="shared" si="621"/>
        <v>08641790152</v>
      </c>
      <c r="I5974" t="str">
        <f t="shared" si="621"/>
        <v>08641790152</v>
      </c>
      <c r="K5974" t="str">
        <f>""</f>
        <v/>
      </c>
      <c r="M5974" t="s">
        <v>68</v>
      </c>
      <c r="N5974" t="str">
        <f t="shared" si="619"/>
        <v>FOR</v>
      </c>
      <c r="O5974" t="s">
        <v>69</v>
      </c>
      <c r="P5974" s="3" t="s">
        <v>75</v>
      </c>
      <c r="Q5974">
        <v>2015</v>
      </c>
      <c r="R5974" s="2">
        <v>42314</v>
      </c>
      <c r="S5974" s="2">
        <v>42318</v>
      </c>
      <c r="T5974" s="2">
        <v>42315</v>
      </c>
      <c r="U5974" s="2">
        <v>42375</v>
      </c>
      <c r="V5974" t="s">
        <v>71</v>
      </c>
      <c r="W5974" t="str">
        <f>"             F123100"</f>
        <v xml:space="preserve">             F123100</v>
      </c>
      <c r="X5974" s="1">
        <v>1115.08</v>
      </c>
      <c r="Y5974">
        <v>0</v>
      </c>
      <c r="Z5974"/>
      <c r="AB5974"/>
      <c r="AC5974">
        <v>914</v>
      </c>
      <c r="AD5974">
        <v>244</v>
      </c>
      <c r="AE5974" s="1">
        <v>223016</v>
      </c>
      <c r="AF5974">
        <v>0</v>
      </c>
      <c r="AJ5974">
        <v>0</v>
      </c>
      <c r="AK5974">
        <v>0</v>
      </c>
      <c r="AL5974">
        <v>0</v>
      </c>
      <c r="AM5974">
        <v>0</v>
      </c>
      <c r="AN5974">
        <v>0</v>
      </c>
      <c r="AO5974">
        <v>0</v>
      </c>
      <c r="AP5974" s="2">
        <v>42746</v>
      </c>
      <c r="AQ5974" t="s">
        <v>72</v>
      </c>
      <c r="AR5974" t="s">
        <v>72</v>
      </c>
      <c r="AS5974">
        <v>2298</v>
      </c>
      <c r="AT5974" s="4">
        <v>42619</v>
      </c>
      <c r="AU5974" t="s">
        <v>73</v>
      </c>
      <c r="AV5974">
        <v>2298</v>
      </c>
      <c r="AW5974" s="4">
        <v>42619</v>
      </c>
      <c r="BD5974">
        <v>0</v>
      </c>
      <c r="BN5974" t="s">
        <v>74</v>
      </c>
    </row>
    <row r="5975" spans="1:66" hidden="1">
      <c r="A5975">
        <v>104009</v>
      </c>
      <c r="B5975" s="3" t="s">
        <v>591</v>
      </c>
      <c r="C5975" s="1">
        <v>43300101</v>
      </c>
      <c r="D5975" t="s">
        <v>67</v>
      </c>
      <c r="H5975" t="str">
        <f t="shared" si="621"/>
        <v>08641790152</v>
      </c>
      <c r="I5975" t="str">
        <f t="shared" si="621"/>
        <v>08641790152</v>
      </c>
      <c r="K5975" t="str">
        <f>""</f>
        <v/>
      </c>
      <c r="M5975" t="s">
        <v>68</v>
      </c>
      <c r="N5975" t="str">
        <f t="shared" si="619"/>
        <v>FOR</v>
      </c>
      <c r="O5975" t="s">
        <v>69</v>
      </c>
      <c r="P5975" s="3" t="s">
        <v>75</v>
      </c>
      <c r="Q5975">
        <v>2015</v>
      </c>
      <c r="R5975" s="2">
        <v>42314</v>
      </c>
      <c r="S5975" s="2">
        <v>42318</v>
      </c>
      <c r="T5975" s="2">
        <v>42315</v>
      </c>
      <c r="U5975" s="2">
        <v>42375</v>
      </c>
      <c r="V5975" t="s">
        <v>71</v>
      </c>
      <c r="W5975" t="str">
        <f>"             F123131"</f>
        <v xml:space="preserve">             F123131</v>
      </c>
      <c r="X5975" s="1">
        <v>1586</v>
      </c>
      <c r="Y5975">
        <v>0</v>
      </c>
      <c r="Z5975"/>
      <c r="AB5975"/>
      <c r="AC5975" s="1">
        <v>1300</v>
      </c>
      <c r="AD5975">
        <v>244</v>
      </c>
      <c r="AE5975" s="1">
        <v>317200</v>
      </c>
      <c r="AF5975">
        <v>0</v>
      </c>
      <c r="AJ5975">
        <v>0</v>
      </c>
      <c r="AK5975">
        <v>0</v>
      </c>
      <c r="AL5975">
        <v>0</v>
      </c>
      <c r="AM5975">
        <v>0</v>
      </c>
      <c r="AN5975">
        <v>0</v>
      </c>
      <c r="AO5975">
        <v>0</v>
      </c>
      <c r="AP5975" s="2">
        <v>42746</v>
      </c>
      <c r="AQ5975" t="s">
        <v>72</v>
      </c>
      <c r="AR5975" t="s">
        <v>72</v>
      </c>
      <c r="AS5975">
        <v>2298</v>
      </c>
      <c r="AT5975" s="4">
        <v>42619</v>
      </c>
      <c r="AU5975" t="s">
        <v>73</v>
      </c>
      <c r="AV5975">
        <v>2298</v>
      </c>
      <c r="AW5975" s="4">
        <v>42619</v>
      </c>
      <c r="BD5975">
        <v>0</v>
      </c>
      <c r="BN5975" t="s">
        <v>74</v>
      </c>
    </row>
    <row r="5976" spans="1:66" hidden="1">
      <c r="A5976">
        <v>104009</v>
      </c>
      <c r="B5976" s="3" t="s">
        <v>591</v>
      </c>
      <c r="C5976" s="1">
        <v>43300101</v>
      </c>
      <c r="D5976" t="s">
        <v>67</v>
      </c>
      <c r="H5976" t="str">
        <f t="shared" si="621"/>
        <v>08641790152</v>
      </c>
      <c r="I5976" t="str">
        <f t="shared" si="621"/>
        <v>08641790152</v>
      </c>
      <c r="K5976" t="str">
        <f>""</f>
        <v/>
      </c>
      <c r="M5976" t="s">
        <v>68</v>
      </c>
      <c r="N5976" t="str">
        <f t="shared" si="619"/>
        <v>FOR</v>
      </c>
      <c r="O5976" t="s">
        <v>69</v>
      </c>
      <c r="P5976" s="3" t="s">
        <v>75</v>
      </c>
      <c r="Q5976">
        <v>2015</v>
      </c>
      <c r="R5976" s="2">
        <v>42314</v>
      </c>
      <c r="S5976" s="2">
        <v>42318</v>
      </c>
      <c r="T5976" s="2">
        <v>42315</v>
      </c>
      <c r="U5976" s="2">
        <v>42375</v>
      </c>
      <c r="V5976" t="s">
        <v>71</v>
      </c>
      <c r="W5976" t="str">
        <f>"             F123155"</f>
        <v xml:space="preserve">             F123155</v>
      </c>
      <c r="X5976">
        <v>534.36</v>
      </c>
      <c r="Y5976">
        <v>0</v>
      </c>
      <c r="Z5976"/>
      <c r="AB5976"/>
      <c r="AC5976">
        <v>438</v>
      </c>
      <c r="AD5976">
        <v>244</v>
      </c>
      <c r="AE5976" s="1">
        <v>106872</v>
      </c>
      <c r="AF5976">
        <v>0</v>
      </c>
      <c r="AJ5976">
        <v>0</v>
      </c>
      <c r="AK5976">
        <v>0</v>
      </c>
      <c r="AL5976">
        <v>0</v>
      </c>
      <c r="AM5976">
        <v>0</v>
      </c>
      <c r="AN5976">
        <v>0</v>
      </c>
      <c r="AO5976">
        <v>0</v>
      </c>
      <c r="AP5976" s="2">
        <v>42746</v>
      </c>
      <c r="AQ5976" t="s">
        <v>72</v>
      </c>
      <c r="AR5976" t="s">
        <v>72</v>
      </c>
      <c r="AS5976">
        <v>2298</v>
      </c>
      <c r="AT5976" s="4">
        <v>42619</v>
      </c>
      <c r="AU5976" t="s">
        <v>73</v>
      </c>
      <c r="AV5976">
        <v>2298</v>
      </c>
      <c r="AW5976" s="4">
        <v>42619</v>
      </c>
      <c r="BD5976">
        <v>0</v>
      </c>
      <c r="BN5976" t="s">
        <v>74</v>
      </c>
    </row>
    <row r="5977" spans="1:66" hidden="1">
      <c r="A5977">
        <v>104009</v>
      </c>
      <c r="B5977" s="3" t="s">
        <v>591</v>
      </c>
      <c r="C5977" s="1">
        <v>43300101</v>
      </c>
      <c r="D5977" t="s">
        <v>67</v>
      </c>
      <c r="H5977" t="str">
        <f t="shared" si="621"/>
        <v>08641790152</v>
      </c>
      <c r="I5977" t="str">
        <f t="shared" si="621"/>
        <v>08641790152</v>
      </c>
      <c r="K5977" t="str">
        <f>""</f>
        <v/>
      </c>
      <c r="M5977" t="s">
        <v>68</v>
      </c>
      <c r="N5977" t="str">
        <f t="shared" si="619"/>
        <v>FOR</v>
      </c>
      <c r="O5977" t="s">
        <v>69</v>
      </c>
      <c r="P5977" s="3" t="s">
        <v>75</v>
      </c>
      <c r="Q5977">
        <v>2015</v>
      </c>
      <c r="R5977" s="2">
        <v>42314</v>
      </c>
      <c r="S5977" s="2">
        <v>42318</v>
      </c>
      <c r="T5977" s="2">
        <v>42315</v>
      </c>
      <c r="U5977" s="2">
        <v>42375</v>
      </c>
      <c r="V5977" t="s">
        <v>71</v>
      </c>
      <c r="W5977" t="str">
        <f>"             F123177"</f>
        <v xml:space="preserve">             F123177</v>
      </c>
      <c r="X5977">
        <v>951.6</v>
      </c>
      <c r="Y5977">
        <v>0</v>
      </c>
      <c r="Z5977"/>
      <c r="AB5977"/>
      <c r="AC5977">
        <v>780</v>
      </c>
      <c r="AD5977">
        <v>244</v>
      </c>
      <c r="AE5977" s="1">
        <v>190320</v>
      </c>
      <c r="AF5977">
        <v>0</v>
      </c>
      <c r="AJ5977">
        <v>0</v>
      </c>
      <c r="AK5977">
        <v>0</v>
      </c>
      <c r="AL5977">
        <v>0</v>
      </c>
      <c r="AM5977">
        <v>0</v>
      </c>
      <c r="AN5977">
        <v>0</v>
      </c>
      <c r="AO5977">
        <v>0</v>
      </c>
      <c r="AP5977" s="2">
        <v>42746</v>
      </c>
      <c r="AQ5977" t="s">
        <v>72</v>
      </c>
      <c r="AR5977" t="s">
        <v>72</v>
      </c>
      <c r="AS5977">
        <v>2298</v>
      </c>
      <c r="AT5977" s="4">
        <v>42619</v>
      </c>
      <c r="AU5977" t="s">
        <v>73</v>
      </c>
      <c r="AV5977">
        <v>2298</v>
      </c>
      <c r="AW5977" s="4">
        <v>42619</v>
      </c>
      <c r="BD5977">
        <v>0</v>
      </c>
      <c r="BN5977" t="s">
        <v>74</v>
      </c>
    </row>
    <row r="5978" spans="1:66" hidden="1">
      <c r="A5978">
        <v>104009</v>
      </c>
      <c r="B5978" s="3" t="s">
        <v>591</v>
      </c>
      <c r="C5978" s="1">
        <v>43300101</v>
      </c>
      <c r="D5978" t="s">
        <v>67</v>
      </c>
      <c r="H5978" t="str">
        <f t="shared" si="621"/>
        <v>08641790152</v>
      </c>
      <c r="I5978" t="str">
        <f t="shared" si="621"/>
        <v>08641790152</v>
      </c>
      <c r="K5978" t="str">
        <f>""</f>
        <v/>
      </c>
      <c r="M5978" t="s">
        <v>68</v>
      </c>
      <c r="N5978" t="str">
        <f t="shared" si="619"/>
        <v>FOR</v>
      </c>
      <c r="O5978" t="s">
        <v>69</v>
      </c>
      <c r="P5978" s="3" t="s">
        <v>75</v>
      </c>
      <c r="Q5978">
        <v>2015</v>
      </c>
      <c r="R5978" s="2">
        <v>42314</v>
      </c>
      <c r="S5978" s="2">
        <v>42318</v>
      </c>
      <c r="T5978" s="2">
        <v>42315</v>
      </c>
      <c r="U5978" s="2">
        <v>42375</v>
      </c>
      <c r="V5978" t="s">
        <v>71</v>
      </c>
      <c r="W5978" t="str">
        <f>"             F123247"</f>
        <v xml:space="preserve">             F123247</v>
      </c>
      <c r="X5978" s="1">
        <v>1756.8</v>
      </c>
      <c r="Y5978">
        <v>0</v>
      </c>
      <c r="Z5978"/>
      <c r="AB5978"/>
      <c r="AC5978" s="1">
        <v>1440</v>
      </c>
      <c r="AD5978">
        <v>244</v>
      </c>
      <c r="AE5978" s="1">
        <v>351360</v>
      </c>
      <c r="AF5978">
        <v>0</v>
      </c>
      <c r="AJ5978">
        <v>0</v>
      </c>
      <c r="AK5978">
        <v>0</v>
      </c>
      <c r="AL5978">
        <v>0</v>
      </c>
      <c r="AM5978">
        <v>0</v>
      </c>
      <c r="AN5978">
        <v>0</v>
      </c>
      <c r="AO5978">
        <v>0</v>
      </c>
      <c r="AP5978" s="2">
        <v>42746</v>
      </c>
      <c r="AQ5978" t="s">
        <v>72</v>
      </c>
      <c r="AR5978" t="s">
        <v>72</v>
      </c>
      <c r="AS5978">
        <v>2298</v>
      </c>
      <c r="AT5978" s="4">
        <v>42619</v>
      </c>
      <c r="AU5978" t="s">
        <v>73</v>
      </c>
      <c r="AV5978">
        <v>2298</v>
      </c>
      <c r="AW5978" s="4">
        <v>42619</v>
      </c>
      <c r="BD5978">
        <v>0</v>
      </c>
      <c r="BN5978" t="s">
        <v>74</v>
      </c>
    </row>
    <row r="5979" spans="1:66" hidden="1">
      <c r="A5979">
        <v>104009</v>
      </c>
      <c r="B5979" s="3" t="s">
        <v>591</v>
      </c>
      <c r="C5979" s="1">
        <v>43300101</v>
      </c>
      <c r="D5979" t="s">
        <v>67</v>
      </c>
      <c r="H5979" t="str">
        <f t="shared" si="621"/>
        <v>08641790152</v>
      </c>
      <c r="I5979" t="str">
        <f t="shared" si="621"/>
        <v>08641790152</v>
      </c>
      <c r="K5979" t="str">
        <f>""</f>
        <v/>
      </c>
      <c r="M5979" t="s">
        <v>68</v>
      </c>
      <c r="N5979" t="str">
        <f t="shared" si="619"/>
        <v>FOR</v>
      </c>
      <c r="O5979" t="s">
        <v>69</v>
      </c>
      <c r="P5979" s="3" t="s">
        <v>75</v>
      </c>
      <c r="Q5979">
        <v>2015</v>
      </c>
      <c r="R5979" s="2">
        <v>42317</v>
      </c>
      <c r="S5979" s="2">
        <v>42318</v>
      </c>
      <c r="T5979" s="2">
        <v>42318</v>
      </c>
      <c r="U5979" s="2">
        <v>42378</v>
      </c>
      <c r="V5979" t="s">
        <v>71</v>
      </c>
      <c r="W5979" t="str">
        <f>"             F123424"</f>
        <v xml:space="preserve">             F123424</v>
      </c>
      <c r="X5979" s="1">
        <v>1266.3599999999999</v>
      </c>
      <c r="Y5979">
        <v>0</v>
      </c>
      <c r="Z5979"/>
      <c r="AB5979"/>
      <c r="AC5979" s="1">
        <v>1038</v>
      </c>
      <c r="AD5979">
        <v>241</v>
      </c>
      <c r="AE5979" s="1">
        <v>250158</v>
      </c>
      <c r="AF5979">
        <v>0</v>
      </c>
      <c r="AJ5979">
        <v>0</v>
      </c>
      <c r="AK5979">
        <v>0</v>
      </c>
      <c r="AL5979">
        <v>0</v>
      </c>
      <c r="AM5979">
        <v>0</v>
      </c>
      <c r="AN5979">
        <v>0</v>
      </c>
      <c r="AO5979">
        <v>0</v>
      </c>
      <c r="AP5979" s="2">
        <v>42746</v>
      </c>
      <c r="AQ5979" t="s">
        <v>72</v>
      </c>
      <c r="AR5979" t="s">
        <v>72</v>
      </c>
      <c r="AS5979">
        <v>2298</v>
      </c>
      <c r="AT5979" s="4">
        <v>42619</v>
      </c>
      <c r="AU5979" t="s">
        <v>73</v>
      </c>
      <c r="AV5979">
        <v>2298</v>
      </c>
      <c r="AW5979" s="4">
        <v>42619</v>
      </c>
      <c r="BD5979">
        <v>0</v>
      </c>
      <c r="BN5979" t="s">
        <v>74</v>
      </c>
    </row>
    <row r="5980" spans="1:66" hidden="1">
      <c r="A5980">
        <v>104009</v>
      </c>
      <c r="B5980" s="3" t="s">
        <v>591</v>
      </c>
      <c r="C5980" s="1">
        <v>43300101</v>
      </c>
      <c r="D5980" t="s">
        <v>67</v>
      </c>
      <c r="H5980" t="str">
        <f t="shared" si="621"/>
        <v>08641790152</v>
      </c>
      <c r="I5980" t="str">
        <f t="shared" si="621"/>
        <v>08641790152</v>
      </c>
      <c r="K5980" t="str">
        <f>""</f>
        <v/>
      </c>
      <c r="M5980" t="s">
        <v>68</v>
      </c>
      <c r="N5980" t="str">
        <f t="shared" si="619"/>
        <v>FOR</v>
      </c>
      <c r="O5980" t="s">
        <v>69</v>
      </c>
      <c r="P5980" s="3" t="s">
        <v>75</v>
      </c>
      <c r="Q5980">
        <v>2015</v>
      </c>
      <c r="R5980" s="2">
        <v>42319</v>
      </c>
      <c r="S5980" s="2">
        <v>42320</v>
      </c>
      <c r="T5980" s="2">
        <v>42320</v>
      </c>
      <c r="U5980" s="2">
        <v>42380</v>
      </c>
      <c r="V5980" t="s">
        <v>71</v>
      </c>
      <c r="W5980" t="str">
        <f>"             F124714"</f>
        <v xml:space="preserve">             F124714</v>
      </c>
      <c r="X5980" s="1">
        <v>2051.5500000000002</v>
      </c>
      <c r="Y5980">
        <v>0</v>
      </c>
      <c r="Z5980"/>
      <c r="AB5980"/>
      <c r="AC5980" s="1">
        <v>1681.6</v>
      </c>
      <c r="AD5980">
        <v>239</v>
      </c>
      <c r="AE5980" s="1">
        <v>401902.4</v>
      </c>
      <c r="AF5980">
        <v>0</v>
      </c>
      <c r="AJ5980">
        <v>0</v>
      </c>
      <c r="AK5980">
        <v>0</v>
      </c>
      <c r="AL5980">
        <v>0</v>
      </c>
      <c r="AM5980">
        <v>0</v>
      </c>
      <c r="AN5980">
        <v>0</v>
      </c>
      <c r="AO5980">
        <v>0</v>
      </c>
      <c r="AP5980" s="2">
        <v>42746</v>
      </c>
      <c r="AQ5980" t="s">
        <v>72</v>
      </c>
      <c r="AR5980" t="s">
        <v>72</v>
      </c>
      <c r="AS5980">
        <v>2298</v>
      </c>
      <c r="AT5980" s="4">
        <v>42619</v>
      </c>
      <c r="AU5980" t="s">
        <v>73</v>
      </c>
      <c r="AV5980">
        <v>2298</v>
      </c>
      <c r="AW5980" s="4">
        <v>42619</v>
      </c>
      <c r="BD5980">
        <v>0</v>
      </c>
      <c r="BN5980" t="s">
        <v>74</v>
      </c>
    </row>
    <row r="5981" spans="1:66" hidden="1">
      <c r="A5981">
        <v>104009</v>
      </c>
      <c r="B5981" s="3" t="s">
        <v>591</v>
      </c>
      <c r="C5981" s="1">
        <v>43300101</v>
      </c>
      <c r="D5981" t="s">
        <v>67</v>
      </c>
      <c r="H5981" t="str">
        <f t="shared" si="621"/>
        <v>08641790152</v>
      </c>
      <c r="I5981" t="str">
        <f t="shared" si="621"/>
        <v>08641790152</v>
      </c>
      <c r="K5981" t="str">
        <f>""</f>
        <v/>
      </c>
      <c r="M5981" t="s">
        <v>68</v>
      </c>
      <c r="N5981" t="str">
        <f t="shared" si="619"/>
        <v>FOR</v>
      </c>
      <c r="O5981" t="s">
        <v>69</v>
      </c>
      <c r="P5981" s="3" t="s">
        <v>75</v>
      </c>
      <c r="Q5981">
        <v>2015</v>
      </c>
      <c r="R5981" s="2">
        <v>42320</v>
      </c>
      <c r="S5981" s="2">
        <v>42324</v>
      </c>
      <c r="T5981" s="2">
        <v>42321</v>
      </c>
      <c r="U5981" s="2">
        <v>42381</v>
      </c>
      <c r="V5981" t="s">
        <v>71</v>
      </c>
      <c r="W5981" t="str">
        <f>"             F125526"</f>
        <v xml:space="preserve">             F125526</v>
      </c>
      <c r="X5981">
        <v>732</v>
      </c>
      <c r="Y5981">
        <v>0</v>
      </c>
      <c r="Z5981"/>
      <c r="AB5981"/>
      <c r="AC5981">
        <v>600</v>
      </c>
      <c r="AD5981">
        <v>238</v>
      </c>
      <c r="AE5981" s="1">
        <v>142800</v>
      </c>
      <c r="AF5981">
        <v>0</v>
      </c>
      <c r="AJ5981">
        <v>0</v>
      </c>
      <c r="AK5981">
        <v>0</v>
      </c>
      <c r="AL5981">
        <v>0</v>
      </c>
      <c r="AM5981">
        <v>0</v>
      </c>
      <c r="AN5981">
        <v>0</v>
      </c>
      <c r="AO5981">
        <v>0</v>
      </c>
      <c r="AP5981" s="2">
        <v>42746</v>
      </c>
      <c r="AQ5981" t="s">
        <v>72</v>
      </c>
      <c r="AR5981" t="s">
        <v>72</v>
      </c>
      <c r="AS5981">
        <v>2298</v>
      </c>
      <c r="AT5981" s="4">
        <v>42619</v>
      </c>
      <c r="AU5981" t="s">
        <v>73</v>
      </c>
      <c r="AV5981">
        <v>2298</v>
      </c>
      <c r="AW5981" s="4">
        <v>42619</v>
      </c>
      <c r="BD5981">
        <v>0</v>
      </c>
      <c r="BN5981" t="s">
        <v>74</v>
      </c>
    </row>
    <row r="5982" spans="1:66" hidden="1">
      <c r="A5982">
        <v>104009</v>
      </c>
      <c r="B5982" s="3" t="s">
        <v>591</v>
      </c>
      <c r="C5982" s="1">
        <v>43300101</v>
      </c>
      <c r="D5982" t="s">
        <v>67</v>
      </c>
      <c r="H5982" t="str">
        <f t="shared" si="621"/>
        <v>08641790152</v>
      </c>
      <c r="I5982" t="str">
        <f t="shared" si="621"/>
        <v>08641790152</v>
      </c>
      <c r="K5982" t="str">
        <f>""</f>
        <v/>
      </c>
      <c r="M5982" t="s">
        <v>68</v>
      </c>
      <c r="N5982" t="str">
        <f t="shared" si="619"/>
        <v>FOR</v>
      </c>
      <c r="O5982" t="s">
        <v>69</v>
      </c>
      <c r="P5982" s="3" t="s">
        <v>75</v>
      </c>
      <c r="Q5982">
        <v>2015</v>
      </c>
      <c r="R5982" s="2">
        <v>42324</v>
      </c>
      <c r="S5982" s="2">
        <v>42326</v>
      </c>
      <c r="T5982" s="2">
        <v>42325</v>
      </c>
      <c r="U5982" s="2">
        <v>42385</v>
      </c>
      <c r="V5982" t="s">
        <v>71</v>
      </c>
      <c r="W5982" t="str">
        <f>"             F126293"</f>
        <v xml:space="preserve">             F126293</v>
      </c>
      <c r="X5982" s="1">
        <v>3806.4</v>
      </c>
      <c r="Y5982">
        <v>0</v>
      </c>
      <c r="Z5982"/>
      <c r="AB5982"/>
      <c r="AC5982" s="1">
        <v>3120</v>
      </c>
      <c r="AD5982">
        <v>234</v>
      </c>
      <c r="AE5982" s="1">
        <v>730080</v>
      </c>
      <c r="AF5982">
        <v>0</v>
      </c>
      <c r="AJ5982">
        <v>0</v>
      </c>
      <c r="AK5982">
        <v>0</v>
      </c>
      <c r="AL5982">
        <v>0</v>
      </c>
      <c r="AM5982">
        <v>0</v>
      </c>
      <c r="AN5982">
        <v>0</v>
      </c>
      <c r="AO5982">
        <v>0</v>
      </c>
      <c r="AP5982" s="2">
        <v>42746</v>
      </c>
      <c r="AQ5982" t="s">
        <v>72</v>
      </c>
      <c r="AR5982" t="s">
        <v>72</v>
      </c>
      <c r="AS5982">
        <v>2298</v>
      </c>
      <c r="AT5982" s="4">
        <v>42619</v>
      </c>
      <c r="AU5982" t="s">
        <v>73</v>
      </c>
      <c r="AV5982">
        <v>2298</v>
      </c>
      <c r="AW5982" s="4">
        <v>42619</v>
      </c>
      <c r="BD5982">
        <v>0</v>
      </c>
      <c r="BN5982" t="s">
        <v>74</v>
      </c>
    </row>
    <row r="5983" spans="1:66" hidden="1">
      <c r="A5983">
        <v>104009</v>
      </c>
      <c r="B5983" s="3" t="s">
        <v>591</v>
      </c>
      <c r="C5983" s="1">
        <v>43300101</v>
      </c>
      <c r="D5983" t="s">
        <v>67</v>
      </c>
      <c r="H5983" t="str">
        <f t="shared" si="621"/>
        <v>08641790152</v>
      </c>
      <c r="I5983" t="str">
        <f t="shared" si="621"/>
        <v>08641790152</v>
      </c>
      <c r="K5983" t="str">
        <f>""</f>
        <v/>
      </c>
      <c r="M5983" t="s">
        <v>68</v>
      </c>
      <c r="N5983" t="str">
        <f t="shared" si="619"/>
        <v>FOR</v>
      </c>
      <c r="O5983" t="s">
        <v>69</v>
      </c>
      <c r="P5983" s="3" t="s">
        <v>75</v>
      </c>
      <c r="Q5983">
        <v>2015</v>
      </c>
      <c r="R5983" s="2">
        <v>42324</v>
      </c>
      <c r="S5983" s="2">
        <v>42326</v>
      </c>
      <c r="T5983" s="2">
        <v>42325</v>
      </c>
      <c r="U5983" s="2">
        <v>42385</v>
      </c>
      <c r="V5983" t="s">
        <v>71</v>
      </c>
      <c r="W5983" t="str">
        <f>"             F126361"</f>
        <v xml:space="preserve">             F126361</v>
      </c>
      <c r="X5983" s="1">
        <v>1698.24</v>
      </c>
      <c r="Y5983">
        <v>0</v>
      </c>
      <c r="Z5983"/>
      <c r="AB5983"/>
      <c r="AC5983" s="1">
        <v>1392</v>
      </c>
      <c r="AD5983">
        <v>234</v>
      </c>
      <c r="AE5983" s="1">
        <v>325728</v>
      </c>
      <c r="AF5983">
        <v>0</v>
      </c>
      <c r="AJ5983">
        <v>0</v>
      </c>
      <c r="AK5983">
        <v>0</v>
      </c>
      <c r="AL5983">
        <v>0</v>
      </c>
      <c r="AM5983">
        <v>0</v>
      </c>
      <c r="AN5983">
        <v>0</v>
      </c>
      <c r="AO5983">
        <v>0</v>
      </c>
      <c r="AP5983" s="2">
        <v>42746</v>
      </c>
      <c r="AQ5983" t="s">
        <v>72</v>
      </c>
      <c r="AR5983" t="s">
        <v>72</v>
      </c>
      <c r="AS5983">
        <v>2298</v>
      </c>
      <c r="AT5983" s="4">
        <v>42619</v>
      </c>
      <c r="AU5983" t="s">
        <v>73</v>
      </c>
      <c r="AV5983">
        <v>2298</v>
      </c>
      <c r="AW5983" s="4">
        <v>42619</v>
      </c>
      <c r="BD5983">
        <v>0</v>
      </c>
      <c r="BN5983" t="s">
        <v>74</v>
      </c>
    </row>
    <row r="5984" spans="1:66" hidden="1">
      <c r="A5984">
        <v>104009</v>
      </c>
      <c r="B5984" s="3" t="s">
        <v>591</v>
      </c>
      <c r="C5984" s="1">
        <v>43300101</v>
      </c>
      <c r="D5984" t="s">
        <v>67</v>
      </c>
      <c r="H5984" t="str">
        <f t="shared" si="621"/>
        <v>08641790152</v>
      </c>
      <c r="I5984" t="str">
        <f t="shared" si="621"/>
        <v>08641790152</v>
      </c>
      <c r="K5984" t="str">
        <f>""</f>
        <v/>
      </c>
      <c r="M5984" t="s">
        <v>68</v>
      </c>
      <c r="N5984" t="str">
        <f t="shared" si="619"/>
        <v>FOR</v>
      </c>
      <c r="O5984" t="s">
        <v>69</v>
      </c>
      <c r="P5984" s="3" t="s">
        <v>75</v>
      </c>
      <c r="Q5984">
        <v>2015</v>
      </c>
      <c r="R5984" s="2">
        <v>42325</v>
      </c>
      <c r="S5984" s="2">
        <v>42327</v>
      </c>
      <c r="T5984" s="2">
        <v>42326</v>
      </c>
      <c r="U5984" s="2">
        <v>42386</v>
      </c>
      <c r="V5984" t="s">
        <v>71</v>
      </c>
      <c r="W5984" t="str">
        <f>"             F127001"</f>
        <v xml:space="preserve">             F127001</v>
      </c>
      <c r="X5984" s="1">
        <v>1444.48</v>
      </c>
      <c r="Y5984">
        <v>0</v>
      </c>
      <c r="Z5984"/>
      <c r="AB5984"/>
      <c r="AC5984" s="1">
        <v>1184</v>
      </c>
      <c r="AD5984">
        <v>233</v>
      </c>
      <c r="AE5984" s="1">
        <v>275872</v>
      </c>
      <c r="AF5984">
        <v>0</v>
      </c>
      <c r="AJ5984">
        <v>0</v>
      </c>
      <c r="AK5984">
        <v>0</v>
      </c>
      <c r="AL5984">
        <v>0</v>
      </c>
      <c r="AM5984">
        <v>0</v>
      </c>
      <c r="AN5984">
        <v>0</v>
      </c>
      <c r="AO5984">
        <v>0</v>
      </c>
      <c r="AP5984" s="2">
        <v>42746</v>
      </c>
      <c r="AQ5984" t="s">
        <v>72</v>
      </c>
      <c r="AR5984" t="s">
        <v>72</v>
      </c>
      <c r="AS5984">
        <v>2298</v>
      </c>
      <c r="AT5984" s="4">
        <v>42619</v>
      </c>
      <c r="AU5984" t="s">
        <v>73</v>
      </c>
      <c r="AV5984">
        <v>2298</v>
      </c>
      <c r="AW5984" s="4">
        <v>42619</v>
      </c>
      <c r="BD5984">
        <v>0</v>
      </c>
      <c r="BN5984" t="s">
        <v>74</v>
      </c>
    </row>
    <row r="5985" spans="1:66" hidden="1">
      <c r="A5985">
        <v>104009</v>
      </c>
      <c r="B5985" s="3" t="s">
        <v>591</v>
      </c>
      <c r="C5985" s="1">
        <v>43300101</v>
      </c>
      <c r="D5985" t="s">
        <v>67</v>
      </c>
      <c r="H5985" t="str">
        <f t="shared" si="621"/>
        <v>08641790152</v>
      </c>
      <c r="I5985" t="str">
        <f t="shared" si="621"/>
        <v>08641790152</v>
      </c>
      <c r="K5985" t="str">
        <f>""</f>
        <v/>
      </c>
      <c r="M5985" t="s">
        <v>68</v>
      </c>
      <c r="N5985" t="str">
        <f t="shared" si="619"/>
        <v>FOR</v>
      </c>
      <c r="O5985" t="s">
        <v>69</v>
      </c>
      <c r="P5985" s="3" t="s">
        <v>75</v>
      </c>
      <c r="Q5985">
        <v>2015</v>
      </c>
      <c r="R5985" s="2">
        <v>42332</v>
      </c>
      <c r="S5985" s="2">
        <v>42334</v>
      </c>
      <c r="T5985" s="2">
        <v>42333</v>
      </c>
      <c r="U5985" s="2">
        <v>42393</v>
      </c>
      <c r="V5985" t="s">
        <v>71</v>
      </c>
      <c r="W5985" t="str">
        <f>"             F130066"</f>
        <v xml:space="preserve">             F130066</v>
      </c>
      <c r="X5985" s="1">
        <v>1295.2</v>
      </c>
      <c r="Y5985">
        <v>0</v>
      </c>
      <c r="Z5985"/>
      <c r="AB5985"/>
      <c r="AC5985" s="1">
        <v>1061.6400000000001</v>
      </c>
      <c r="AD5985">
        <v>226</v>
      </c>
      <c r="AE5985" s="1">
        <v>239930.64</v>
      </c>
      <c r="AF5985">
        <v>0</v>
      </c>
      <c r="AJ5985">
        <v>0</v>
      </c>
      <c r="AK5985">
        <v>0</v>
      </c>
      <c r="AL5985">
        <v>0</v>
      </c>
      <c r="AM5985">
        <v>0</v>
      </c>
      <c r="AN5985">
        <v>0</v>
      </c>
      <c r="AO5985">
        <v>0</v>
      </c>
      <c r="AP5985" s="2">
        <v>42746</v>
      </c>
      <c r="AQ5985" t="s">
        <v>72</v>
      </c>
      <c r="AR5985" t="s">
        <v>72</v>
      </c>
      <c r="AS5985">
        <v>2298</v>
      </c>
      <c r="AT5985" s="4">
        <v>42619</v>
      </c>
      <c r="AU5985" t="s">
        <v>73</v>
      </c>
      <c r="AV5985">
        <v>2298</v>
      </c>
      <c r="AW5985" s="4">
        <v>42619</v>
      </c>
      <c r="BD5985">
        <v>0</v>
      </c>
      <c r="BN5985" t="s">
        <v>74</v>
      </c>
    </row>
    <row r="5986" spans="1:66" hidden="1">
      <c r="A5986">
        <v>104009</v>
      </c>
      <c r="B5986" s="3" t="s">
        <v>591</v>
      </c>
      <c r="C5986" s="1">
        <v>43300101</v>
      </c>
      <c r="D5986" t="s">
        <v>67</v>
      </c>
      <c r="H5986" t="str">
        <f t="shared" si="621"/>
        <v>08641790152</v>
      </c>
      <c r="I5986" t="str">
        <f t="shared" si="621"/>
        <v>08641790152</v>
      </c>
      <c r="K5986" t="str">
        <f>""</f>
        <v/>
      </c>
      <c r="M5986" t="s">
        <v>68</v>
      </c>
      <c r="N5986" t="str">
        <f t="shared" si="619"/>
        <v>FOR</v>
      </c>
      <c r="O5986" t="s">
        <v>69</v>
      </c>
      <c r="P5986" s="3" t="s">
        <v>75</v>
      </c>
      <c r="Q5986">
        <v>2015</v>
      </c>
      <c r="R5986" s="2">
        <v>42333</v>
      </c>
      <c r="S5986" s="2">
        <v>42338</v>
      </c>
      <c r="T5986" s="2">
        <v>42334</v>
      </c>
      <c r="U5986" s="2">
        <v>42394</v>
      </c>
      <c r="V5986" t="s">
        <v>71</v>
      </c>
      <c r="W5986" t="str">
        <f>"             F130174"</f>
        <v xml:space="preserve">             F130174</v>
      </c>
      <c r="X5986" s="1">
        <v>6014.6</v>
      </c>
      <c r="Y5986">
        <v>0</v>
      </c>
      <c r="Z5986"/>
      <c r="AB5986"/>
      <c r="AC5986" s="1">
        <v>4930</v>
      </c>
      <c r="AD5986">
        <v>225</v>
      </c>
      <c r="AE5986" s="1">
        <v>1109250</v>
      </c>
      <c r="AF5986">
        <v>0</v>
      </c>
      <c r="AJ5986">
        <v>0</v>
      </c>
      <c r="AK5986">
        <v>0</v>
      </c>
      <c r="AL5986">
        <v>0</v>
      </c>
      <c r="AM5986">
        <v>0</v>
      </c>
      <c r="AN5986">
        <v>0</v>
      </c>
      <c r="AO5986">
        <v>0</v>
      </c>
      <c r="AP5986" s="2">
        <v>42746</v>
      </c>
      <c r="AQ5986" t="s">
        <v>72</v>
      </c>
      <c r="AR5986" t="s">
        <v>72</v>
      </c>
      <c r="AS5986">
        <v>2298</v>
      </c>
      <c r="AT5986" s="4">
        <v>42619</v>
      </c>
      <c r="AU5986" t="s">
        <v>73</v>
      </c>
      <c r="AV5986">
        <v>2298</v>
      </c>
      <c r="AW5986" s="4">
        <v>42619</v>
      </c>
      <c r="BD5986">
        <v>0</v>
      </c>
      <c r="BN5986" t="s">
        <v>74</v>
      </c>
    </row>
    <row r="5987" spans="1:66">
      <c r="A5987">
        <v>104009</v>
      </c>
      <c r="B5987" s="3" t="s">
        <v>591</v>
      </c>
      <c r="C5987" s="1">
        <v>43300101</v>
      </c>
      <c r="D5987" t="s">
        <v>67</v>
      </c>
      <c r="H5987" t="str">
        <f t="shared" si="621"/>
        <v>08641790152</v>
      </c>
      <c r="I5987" t="str">
        <f t="shared" si="621"/>
        <v>08641790152</v>
      </c>
      <c r="K5987" t="str">
        <f>""</f>
        <v/>
      </c>
      <c r="M5987" t="s">
        <v>68</v>
      </c>
      <c r="N5987" t="str">
        <f t="shared" si="619"/>
        <v>FOR</v>
      </c>
      <c r="O5987" t="s">
        <v>69</v>
      </c>
      <c r="P5987" s="3" t="s">
        <v>75</v>
      </c>
      <c r="Q5987">
        <v>2015</v>
      </c>
      <c r="R5987" s="2">
        <v>42353</v>
      </c>
      <c r="S5987" s="2">
        <v>42354</v>
      </c>
      <c r="T5987" s="2">
        <v>42354</v>
      </c>
      <c r="U5987" s="2">
        <v>42414</v>
      </c>
      <c r="V5987" t="s">
        <v>71</v>
      </c>
      <c r="W5987" t="str">
        <f>"             F137176"</f>
        <v xml:space="preserve">             F137176</v>
      </c>
      <c r="X5987">
        <v>692.96</v>
      </c>
      <c r="Y5987">
        <v>0</v>
      </c>
      <c r="Z5987" s="3">
        <v>568</v>
      </c>
      <c r="AA5987">
        <v>232</v>
      </c>
      <c r="AB5987" s="5">
        <v>131776</v>
      </c>
      <c r="AC5987">
        <v>568</v>
      </c>
      <c r="AD5987">
        <v>232</v>
      </c>
      <c r="AE5987" s="1">
        <v>131776</v>
      </c>
      <c r="AF5987">
        <v>0</v>
      </c>
      <c r="AJ5987">
        <v>0</v>
      </c>
      <c r="AK5987">
        <v>0</v>
      </c>
      <c r="AL5987">
        <v>0</v>
      </c>
      <c r="AM5987">
        <v>0</v>
      </c>
      <c r="AN5987">
        <v>0</v>
      </c>
      <c r="AO5987">
        <v>0</v>
      </c>
      <c r="AP5987" s="2">
        <v>42746</v>
      </c>
      <c r="AQ5987" t="s">
        <v>72</v>
      </c>
      <c r="AR5987" t="s">
        <v>72</v>
      </c>
      <c r="AS5987">
        <v>2565</v>
      </c>
      <c r="AT5987" s="4">
        <v>42646</v>
      </c>
      <c r="AU5987" t="s">
        <v>73</v>
      </c>
      <c r="AV5987">
        <v>2565</v>
      </c>
      <c r="AW5987" s="4">
        <v>42646</v>
      </c>
      <c r="BD5987">
        <v>0</v>
      </c>
      <c r="BN5987" t="s">
        <v>74</v>
      </c>
    </row>
    <row r="5988" spans="1:66">
      <c r="A5988">
        <v>104009</v>
      </c>
      <c r="B5988" s="3" t="s">
        <v>591</v>
      </c>
      <c r="C5988" s="1">
        <v>43300101</v>
      </c>
      <c r="D5988" t="s">
        <v>67</v>
      </c>
      <c r="H5988" t="str">
        <f t="shared" si="621"/>
        <v>08641790152</v>
      </c>
      <c r="I5988" t="str">
        <f t="shared" si="621"/>
        <v>08641790152</v>
      </c>
      <c r="K5988" t="str">
        <f>""</f>
        <v/>
      </c>
      <c r="M5988" t="s">
        <v>68</v>
      </c>
      <c r="N5988" t="str">
        <f t="shared" si="619"/>
        <v>FOR</v>
      </c>
      <c r="O5988" t="s">
        <v>69</v>
      </c>
      <c r="P5988" s="3" t="s">
        <v>75</v>
      </c>
      <c r="Q5988">
        <v>2015</v>
      </c>
      <c r="R5988" s="2">
        <v>42359</v>
      </c>
      <c r="S5988" s="2">
        <v>42361</v>
      </c>
      <c r="T5988" s="2">
        <v>42360</v>
      </c>
      <c r="U5988" s="2">
        <v>42420</v>
      </c>
      <c r="V5988" t="s">
        <v>71</v>
      </c>
      <c r="W5988" t="str">
        <f>"             F139506"</f>
        <v xml:space="preserve">             F139506</v>
      </c>
      <c r="X5988" s="1">
        <v>1765.34</v>
      </c>
      <c r="Y5988">
        <v>0</v>
      </c>
      <c r="Z5988" s="5">
        <v>1447</v>
      </c>
      <c r="AA5988">
        <v>226</v>
      </c>
      <c r="AB5988" s="5">
        <v>327022</v>
      </c>
      <c r="AC5988" s="1">
        <v>1447</v>
      </c>
      <c r="AD5988">
        <v>226</v>
      </c>
      <c r="AE5988" s="1">
        <v>327022</v>
      </c>
      <c r="AF5988">
        <v>0</v>
      </c>
      <c r="AJ5988">
        <v>0</v>
      </c>
      <c r="AK5988">
        <v>0</v>
      </c>
      <c r="AL5988">
        <v>0</v>
      </c>
      <c r="AM5988">
        <v>0</v>
      </c>
      <c r="AN5988">
        <v>0</v>
      </c>
      <c r="AO5988">
        <v>0</v>
      </c>
      <c r="AP5988" s="2">
        <v>42746</v>
      </c>
      <c r="AQ5988" t="s">
        <v>72</v>
      </c>
      <c r="AR5988" t="s">
        <v>72</v>
      </c>
      <c r="AS5988">
        <v>2565</v>
      </c>
      <c r="AT5988" s="4">
        <v>42646</v>
      </c>
      <c r="AU5988" t="s">
        <v>73</v>
      </c>
      <c r="AV5988">
        <v>2565</v>
      </c>
      <c r="AW5988" s="4">
        <v>42646</v>
      </c>
      <c r="BD5988">
        <v>0</v>
      </c>
      <c r="BN5988" t="s">
        <v>74</v>
      </c>
    </row>
    <row r="5989" spans="1:66">
      <c r="A5989">
        <v>104009</v>
      </c>
      <c r="B5989" s="3" t="s">
        <v>591</v>
      </c>
      <c r="C5989" s="1">
        <v>43300101</v>
      </c>
      <c r="D5989" t="s">
        <v>67</v>
      </c>
      <c r="H5989" t="str">
        <f t="shared" ref="H5989:I6008" si="622">"08641790152"</f>
        <v>08641790152</v>
      </c>
      <c r="I5989" t="str">
        <f t="shared" si="622"/>
        <v>08641790152</v>
      </c>
      <c r="K5989" t="str">
        <f>""</f>
        <v/>
      </c>
      <c r="M5989" t="s">
        <v>68</v>
      </c>
      <c r="N5989" t="str">
        <f t="shared" si="619"/>
        <v>FOR</v>
      </c>
      <c r="O5989" t="s">
        <v>69</v>
      </c>
      <c r="P5989" s="3" t="s">
        <v>75</v>
      </c>
      <c r="Q5989">
        <v>2015</v>
      </c>
      <c r="R5989" s="2">
        <v>42361</v>
      </c>
      <c r="S5989" s="2">
        <v>42366</v>
      </c>
      <c r="T5989" s="2">
        <v>42362</v>
      </c>
      <c r="U5989" s="2">
        <v>42422</v>
      </c>
      <c r="V5989" t="s">
        <v>71</v>
      </c>
      <c r="W5989" t="str">
        <f>"             F140444"</f>
        <v xml:space="preserve">             F140444</v>
      </c>
      <c r="X5989" s="1">
        <v>2723.04</v>
      </c>
      <c r="Y5989">
        <v>0</v>
      </c>
      <c r="Z5989" s="5">
        <v>2232</v>
      </c>
      <c r="AA5989">
        <v>224</v>
      </c>
      <c r="AB5989" s="5">
        <v>499968</v>
      </c>
      <c r="AC5989" s="1">
        <v>2232</v>
      </c>
      <c r="AD5989">
        <v>224</v>
      </c>
      <c r="AE5989" s="1">
        <v>499968</v>
      </c>
      <c r="AF5989">
        <v>0</v>
      </c>
      <c r="AJ5989">
        <v>0</v>
      </c>
      <c r="AK5989">
        <v>0</v>
      </c>
      <c r="AL5989">
        <v>0</v>
      </c>
      <c r="AM5989">
        <v>0</v>
      </c>
      <c r="AN5989">
        <v>0</v>
      </c>
      <c r="AO5989">
        <v>0</v>
      </c>
      <c r="AP5989" s="2">
        <v>42746</v>
      </c>
      <c r="AQ5989" t="s">
        <v>72</v>
      </c>
      <c r="AR5989" t="s">
        <v>72</v>
      </c>
      <c r="AS5989">
        <v>2565</v>
      </c>
      <c r="AT5989" s="4">
        <v>42646</v>
      </c>
      <c r="AU5989" t="s">
        <v>73</v>
      </c>
      <c r="AV5989">
        <v>2565</v>
      </c>
      <c r="AW5989" s="4">
        <v>42646</v>
      </c>
      <c r="BD5989">
        <v>0</v>
      </c>
      <c r="BN5989" t="s">
        <v>74</v>
      </c>
    </row>
    <row r="5990" spans="1:66">
      <c r="A5990">
        <v>104009</v>
      </c>
      <c r="B5990" s="3" t="s">
        <v>591</v>
      </c>
      <c r="C5990" s="1">
        <v>43300101</v>
      </c>
      <c r="D5990" t="s">
        <v>67</v>
      </c>
      <c r="H5990" t="str">
        <f t="shared" si="622"/>
        <v>08641790152</v>
      </c>
      <c r="I5990" t="str">
        <f t="shared" si="622"/>
        <v>08641790152</v>
      </c>
      <c r="K5990" t="str">
        <f>""</f>
        <v/>
      </c>
      <c r="M5990" t="s">
        <v>68</v>
      </c>
      <c r="N5990" t="str">
        <f t="shared" si="619"/>
        <v>FOR</v>
      </c>
      <c r="O5990" t="s">
        <v>69</v>
      </c>
      <c r="P5990" s="3" t="s">
        <v>75</v>
      </c>
      <c r="Q5990">
        <v>2015</v>
      </c>
      <c r="R5990" s="2">
        <v>42361</v>
      </c>
      <c r="S5990" s="2">
        <v>42366</v>
      </c>
      <c r="T5990" s="2">
        <v>42362</v>
      </c>
      <c r="U5990" s="2">
        <v>42422</v>
      </c>
      <c r="V5990" t="s">
        <v>71</v>
      </c>
      <c r="W5990" t="str">
        <f>"             F140455"</f>
        <v xml:space="preserve">             F140455</v>
      </c>
      <c r="X5990">
        <v>497.76</v>
      </c>
      <c r="Y5990">
        <v>0</v>
      </c>
      <c r="Z5990" s="3">
        <v>408</v>
      </c>
      <c r="AA5990">
        <v>224</v>
      </c>
      <c r="AB5990" s="5">
        <v>91392</v>
      </c>
      <c r="AC5990">
        <v>408</v>
      </c>
      <c r="AD5990">
        <v>224</v>
      </c>
      <c r="AE5990" s="1">
        <v>91392</v>
      </c>
      <c r="AF5990">
        <v>0</v>
      </c>
      <c r="AJ5990">
        <v>0</v>
      </c>
      <c r="AK5990">
        <v>0</v>
      </c>
      <c r="AL5990">
        <v>0</v>
      </c>
      <c r="AM5990">
        <v>0</v>
      </c>
      <c r="AN5990">
        <v>0</v>
      </c>
      <c r="AO5990">
        <v>0</v>
      </c>
      <c r="AP5990" s="2">
        <v>42746</v>
      </c>
      <c r="AQ5990" t="s">
        <v>72</v>
      </c>
      <c r="AR5990" t="s">
        <v>72</v>
      </c>
      <c r="AS5990">
        <v>2565</v>
      </c>
      <c r="AT5990" s="4">
        <v>42646</v>
      </c>
      <c r="AU5990" t="s">
        <v>73</v>
      </c>
      <c r="AV5990">
        <v>2565</v>
      </c>
      <c r="AW5990" s="4">
        <v>42646</v>
      </c>
      <c r="BD5990">
        <v>0</v>
      </c>
      <c r="BN5990" t="s">
        <v>74</v>
      </c>
    </row>
    <row r="5991" spans="1:66" hidden="1">
      <c r="A5991">
        <v>104009</v>
      </c>
      <c r="B5991" s="3" t="s">
        <v>591</v>
      </c>
      <c r="C5991" s="1">
        <v>43300101</v>
      </c>
      <c r="D5991" t="s">
        <v>67</v>
      </c>
      <c r="H5991" t="str">
        <f t="shared" si="622"/>
        <v>08641790152</v>
      </c>
      <c r="I5991" t="str">
        <f t="shared" si="622"/>
        <v>08641790152</v>
      </c>
      <c r="K5991" t="str">
        <f>""</f>
        <v/>
      </c>
      <c r="M5991" t="s">
        <v>68</v>
      </c>
      <c r="N5991" t="str">
        <f t="shared" si="619"/>
        <v>FOR</v>
      </c>
      <c r="O5991" t="s">
        <v>69</v>
      </c>
      <c r="P5991" s="3" t="s">
        <v>75</v>
      </c>
      <c r="Q5991">
        <v>2015</v>
      </c>
      <c r="R5991" s="2">
        <v>42206</v>
      </c>
      <c r="S5991" s="2">
        <v>42233</v>
      </c>
      <c r="T5991" s="2">
        <v>42207</v>
      </c>
      <c r="U5991" s="2">
        <v>42267</v>
      </c>
      <c r="V5991" t="s">
        <v>71</v>
      </c>
      <c r="W5991" t="str">
        <f>"            SF001166"</f>
        <v xml:space="preserve">            SF001166</v>
      </c>
      <c r="X5991">
        <v>284.97000000000003</v>
      </c>
      <c r="Y5991">
        <v>0</v>
      </c>
      <c r="Z5991"/>
      <c r="AB5991"/>
      <c r="AC5991">
        <v>233.58</v>
      </c>
      <c r="AD5991">
        <v>197</v>
      </c>
      <c r="AE5991" s="1">
        <v>46015.26</v>
      </c>
      <c r="AF5991">
        <v>0</v>
      </c>
      <c r="AJ5991">
        <v>0</v>
      </c>
      <c r="AK5991">
        <v>0</v>
      </c>
      <c r="AL5991">
        <v>0</v>
      </c>
      <c r="AM5991">
        <v>0</v>
      </c>
      <c r="AN5991">
        <v>0</v>
      </c>
      <c r="AO5991">
        <v>0</v>
      </c>
      <c r="AP5991" s="2">
        <v>42746</v>
      </c>
      <c r="AQ5991" t="s">
        <v>72</v>
      </c>
      <c r="AR5991" t="s">
        <v>72</v>
      </c>
      <c r="AS5991">
        <v>996</v>
      </c>
      <c r="AT5991" s="4">
        <v>42464</v>
      </c>
      <c r="AU5991" t="s">
        <v>73</v>
      </c>
      <c r="AV5991">
        <v>996</v>
      </c>
      <c r="AW5991" s="4">
        <v>42464</v>
      </c>
      <c r="BD5991">
        <v>0</v>
      </c>
      <c r="BN5991" t="s">
        <v>74</v>
      </c>
    </row>
    <row r="5992" spans="1:66">
      <c r="A5992">
        <v>104009</v>
      </c>
      <c r="B5992" s="3" t="s">
        <v>591</v>
      </c>
      <c r="C5992" s="1">
        <v>43300101</v>
      </c>
      <c r="D5992" t="s">
        <v>67</v>
      </c>
      <c r="H5992" t="str">
        <f t="shared" si="622"/>
        <v>08641790152</v>
      </c>
      <c r="I5992" t="str">
        <f t="shared" si="622"/>
        <v>08641790152</v>
      </c>
      <c r="K5992" t="str">
        <f>""</f>
        <v/>
      </c>
      <c r="M5992" t="s">
        <v>68</v>
      </c>
      <c r="N5992" t="str">
        <f t="shared" si="619"/>
        <v>FOR</v>
      </c>
      <c r="O5992" t="s">
        <v>69</v>
      </c>
      <c r="P5992" s="3" t="s">
        <v>75</v>
      </c>
      <c r="Q5992">
        <v>2016</v>
      </c>
      <c r="R5992" s="2">
        <v>42383</v>
      </c>
      <c r="S5992" s="2">
        <v>42389</v>
      </c>
      <c r="T5992" s="2">
        <v>42384</v>
      </c>
      <c r="U5992" s="2">
        <v>42444</v>
      </c>
      <c r="V5992" t="s">
        <v>71</v>
      </c>
      <c r="W5992" t="str">
        <f>"             G003797"</f>
        <v xml:space="preserve">             G003797</v>
      </c>
      <c r="X5992" s="1">
        <v>5185</v>
      </c>
      <c r="Y5992">
        <v>0</v>
      </c>
      <c r="Z5992" s="5">
        <v>4250</v>
      </c>
      <c r="AA5992">
        <v>202</v>
      </c>
      <c r="AB5992" s="5">
        <v>858500</v>
      </c>
      <c r="AC5992" s="1">
        <v>4250</v>
      </c>
      <c r="AD5992">
        <v>202</v>
      </c>
      <c r="AE5992" s="1">
        <v>858500</v>
      </c>
      <c r="AF5992">
        <v>0</v>
      </c>
      <c r="AJ5992">
        <v>0</v>
      </c>
      <c r="AK5992">
        <v>0</v>
      </c>
      <c r="AL5992">
        <v>0</v>
      </c>
      <c r="AM5992" s="1">
        <v>5185</v>
      </c>
      <c r="AN5992" s="1">
        <v>5185</v>
      </c>
      <c r="AO5992" s="1">
        <v>5185</v>
      </c>
      <c r="AP5992" s="2">
        <v>42746</v>
      </c>
      <c r="AQ5992" t="s">
        <v>72</v>
      </c>
      <c r="AR5992" t="s">
        <v>72</v>
      </c>
      <c r="AS5992">
        <v>2565</v>
      </c>
      <c r="AT5992" s="4">
        <v>42646</v>
      </c>
      <c r="AU5992" t="s">
        <v>73</v>
      </c>
      <c r="AV5992">
        <v>2565</v>
      </c>
      <c r="AW5992" s="4">
        <v>42646</v>
      </c>
      <c r="BD5992">
        <v>0</v>
      </c>
      <c r="BN5992" t="s">
        <v>74</v>
      </c>
    </row>
    <row r="5993" spans="1:66">
      <c r="A5993">
        <v>104009</v>
      </c>
      <c r="B5993" s="3" t="s">
        <v>591</v>
      </c>
      <c r="C5993" s="1">
        <v>43300101</v>
      </c>
      <c r="D5993" t="s">
        <v>67</v>
      </c>
      <c r="H5993" t="str">
        <f t="shared" si="622"/>
        <v>08641790152</v>
      </c>
      <c r="I5993" t="str">
        <f t="shared" si="622"/>
        <v>08641790152</v>
      </c>
      <c r="K5993" t="str">
        <f>""</f>
        <v/>
      </c>
      <c r="M5993" t="s">
        <v>68</v>
      </c>
      <c r="N5993" t="str">
        <f t="shared" si="619"/>
        <v>FOR</v>
      </c>
      <c r="O5993" t="s">
        <v>69</v>
      </c>
      <c r="P5993" s="3" t="s">
        <v>75</v>
      </c>
      <c r="Q5993">
        <v>2016</v>
      </c>
      <c r="R5993" s="2">
        <v>42387</v>
      </c>
      <c r="S5993" s="2">
        <v>42389</v>
      </c>
      <c r="T5993" s="2">
        <v>42388</v>
      </c>
      <c r="U5993" s="2">
        <v>42448</v>
      </c>
      <c r="V5993" t="s">
        <v>71</v>
      </c>
      <c r="W5993" t="str">
        <f>"             G004598"</f>
        <v xml:space="preserve">             G004598</v>
      </c>
      <c r="X5993">
        <v>324.52</v>
      </c>
      <c r="Y5993">
        <v>0</v>
      </c>
      <c r="Z5993" s="3">
        <v>266</v>
      </c>
      <c r="AA5993">
        <v>198</v>
      </c>
      <c r="AB5993" s="5">
        <v>52668</v>
      </c>
      <c r="AC5993">
        <v>266</v>
      </c>
      <c r="AD5993">
        <v>198</v>
      </c>
      <c r="AE5993" s="1">
        <v>52668</v>
      </c>
      <c r="AF5993">
        <v>0</v>
      </c>
      <c r="AJ5993">
        <v>0</v>
      </c>
      <c r="AK5993">
        <v>0</v>
      </c>
      <c r="AL5993">
        <v>0</v>
      </c>
      <c r="AM5993">
        <v>324.52</v>
      </c>
      <c r="AN5993">
        <v>324.52</v>
      </c>
      <c r="AO5993">
        <v>324.52</v>
      </c>
      <c r="AP5993" s="2">
        <v>42746</v>
      </c>
      <c r="AQ5993" t="s">
        <v>72</v>
      </c>
      <c r="AR5993" t="s">
        <v>72</v>
      </c>
      <c r="AS5993">
        <v>2565</v>
      </c>
      <c r="AT5993" s="4">
        <v>42646</v>
      </c>
      <c r="AU5993" t="s">
        <v>73</v>
      </c>
      <c r="AV5993">
        <v>2565</v>
      </c>
      <c r="AW5993" s="4">
        <v>42646</v>
      </c>
      <c r="BD5993">
        <v>0</v>
      </c>
      <c r="BN5993" t="s">
        <v>74</v>
      </c>
    </row>
    <row r="5994" spans="1:66">
      <c r="A5994">
        <v>104009</v>
      </c>
      <c r="B5994" s="3" t="s">
        <v>591</v>
      </c>
      <c r="C5994" s="1">
        <v>43300101</v>
      </c>
      <c r="D5994" t="s">
        <v>67</v>
      </c>
      <c r="H5994" t="str">
        <f t="shared" si="622"/>
        <v>08641790152</v>
      </c>
      <c r="I5994" t="str">
        <f t="shared" si="622"/>
        <v>08641790152</v>
      </c>
      <c r="K5994" t="str">
        <f>""</f>
        <v/>
      </c>
      <c r="M5994" t="s">
        <v>68</v>
      </c>
      <c r="N5994" t="str">
        <f t="shared" si="619"/>
        <v>FOR</v>
      </c>
      <c r="O5994" t="s">
        <v>69</v>
      </c>
      <c r="P5994" s="3" t="s">
        <v>75</v>
      </c>
      <c r="Q5994">
        <v>2016</v>
      </c>
      <c r="R5994" s="2">
        <v>42388</v>
      </c>
      <c r="S5994" s="2">
        <v>42391</v>
      </c>
      <c r="T5994" s="2">
        <v>42389</v>
      </c>
      <c r="U5994" s="2">
        <v>42449</v>
      </c>
      <c r="V5994" t="s">
        <v>71</v>
      </c>
      <c r="W5994" t="str">
        <f>"             G005612"</f>
        <v xml:space="preserve">             G005612</v>
      </c>
      <c r="X5994">
        <v>953.94</v>
      </c>
      <c r="Y5994">
        <v>0</v>
      </c>
      <c r="Z5994" s="3">
        <v>781.92</v>
      </c>
      <c r="AA5994">
        <v>197</v>
      </c>
      <c r="AB5994" s="5">
        <v>154038.24</v>
      </c>
      <c r="AC5994">
        <v>781.92</v>
      </c>
      <c r="AD5994">
        <v>197</v>
      </c>
      <c r="AE5994" s="1">
        <v>154038.24</v>
      </c>
      <c r="AF5994">
        <v>0</v>
      </c>
      <c r="AJ5994">
        <v>0</v>
      </c>
      <c r="AK5994">
        <v>0</v>
      </c>
      <c r="AL5994">
        <v>0</v>
      </c>
      <c r="AM5994">
        <v>953.94</v>
      </c>
      <c r="AN5994">
        <v>953.94</v>
      </c>
      <c r="AO5994">
        <v>953.94</v>
      </c>
      <c r="AP5994" s="2">
        <v>42746</v>
      </c>
      <c r="AQ5994" t="s">
        <v>72</v>
      </c>
      <c r="AR5994" t="s">
        <v>72</v>
      </c>
      <c r="AS5994">
        <v>2565</v>
      </c>
      <c r="AT5994" s="4">
        <v>42646</v>
      </c>
      <c r="AU5994" t="s">
        <v>73</v>
      </c>
      <c r="AV5994">
        <v>2565</v>
      </c>
      <c r="AW5994" s="4">
        <v>42646</v>
      </c>
      <c r="BD5994">
        <v>0</v>
      </c>
      <c r="BN5994" t="s">
        <v>74</v>
      </c>
    </row>
    <row r="5995" spans="1:66">
      <c r="A5995">
        <v>104009</v>
      </c>
      <c r="B5995" s="3" t="s">
        <v>591</v>
      </c>
      <c r="C5995" s="1">
        <v>43300101</v>
      </c>
      <c r="D5995" t="s">
        <v>67</v>
      </c>
      <c r="H5995" t="str">
        <f t="shared" si="622"/>
        <v>08641790152</v>
      </c>
      <c r="I5995" t="str">
        <f t="shared" si="622"/>
        <v>08641790152</v>
      </c>
      <c r="K5995" t="str">
        <f>""</f>
        <v/>
      </c>
      <c r="M5995" t="s">
        <v>68</v>
      </c>
      <c r="N5995" t="str">
        <f t="shared" si="619"/>
        <v>FOR</v>
      </c>
      <c r="O5995" t="s">
        <v>69</v>
      </c>
      <c r="P5995" s="3" t="s">
        <v>75</v>
      </c>
      <c r="Q5995">
        <v>2016</v>
      </c>
      <c r="R5995" s="2">
        <v>42388</v>
      </c>
      <c r="S5995" s="2">
        <v>42391</v>
      </c>
      <c r="T5995" s="2">
        <v>42389</v>
      </c>
      <c r="U5995" s="2">
        <v>42449</v>
      </c>
      <c r="V5995" t="s">
        <v>71</v>
      </c>
      <c r="W5995" t="str">
        <f>"             G005745"</f>
        <v xml:space="preserve">             G005745</v>
      </c>
      <c r="X5995" s="1">
        <v>1218.05</v>
      </c>
      <c r="Y5995">
        <v>0</v>
      </c>
      <c r="Z5995" s="3">
        <v>998.4</v>
      </c>
      <c r="AA5995">
        <v>197</v>
      </c>
      <c r="AB5995" s="5">
        <v>196684.79999999999</v>
      </c>
      <c r="AC5995">
        <v>998.4</v>
      </c>
      <c r="AD5995">
        <v>197</v>
      </c>
      <c r="AE5995" s="1">
        <v>196684.79999999999</v>
      </c>
      <c r="AF5995">
        <v>0</v>
      </c>
      <c r="AJ5995">
        <v>0</v>
      </c>
      <c r="AK5995">
        <v>0</v>
      </c>
      <c r="AL5995">
        <v>0</v>
      </c>
      <c r="AM5995" s="1">
        <v>1218.05</v>
      </c>
      <c r="AN5995" s="1">
        <v>1218.05</v>
      </c>
      <c r="AO5995" s="1">
        <v>1218.05</v>
      </c>
      <c r="AP5995" s="2">
        <v>42746</v>
      </c>
      <c r="AQ5995" t="s">
        <v>72</v>
      </c>
      <c r="AR5995" t="s">
        <v>72</v>
      </c>
      <c r="AS5995">
        <v>2565</v>
      </c>
      <c r="AT5995" s="4">
        <v>42646</v>
      </c>
      <c r="AU5995" t="s">
        <v>73</v>
      </c>
      <c r="AV5995">
        <v>2565</v>
      </c>
      <c r="AW5995" s="4">
        <v>42646</v>
      </c>
      <c r="BD5995">
        <v>0</v>
      </c>
      <c r="BN5995" t="s">
        <v>74</v>
      </c>
    </row>
    <row r="5996" spans="1:66">
      <c r="A5996">
        <v>104009</v>
      </c>
      <c r="B5996" s="3" t="s">
        <v>591</v>
      </c>
      <c r="C5996" s="1">
        <v>43300101</v>
      </c>
      <c r="D5996" t="s">
        <v>67</v>
      </c>
      <c r="H5996" t="str">
        <f t="shared" si="622"/>
        <v>08641790152</v>
      </c>
      <c r="I5996" t="str">
        <f t="shared" si="622"/>
        <v>08641790152</v>
      </c>
      <c r="K5996" t="str">
        <f>""</f>
        <v/>
      </c>
      <c r="M5996" t="s">
        <v>68</v>
      </c>
      <c r="N5996" t="str">
        <f t="shared" si="619"/>
        <v>FOR</v>
      </c>
      <c r="O5996" t="s">
        <v>69</v>
      </c>
      <c r="P5996" s="3" t="s">
        <v>75</v>
      </c>
      <c r="Q5996">
        <v>2016</v>
      </c>
      <c r="R5996" s="2">
        <v>42389</v>
      </c>
      <c r="S5996" s="2">
        <v>42395</v>
      </c>
      <c r="T5996" s="2">
        <v>42390</v>
      </c>
      <c r="U5996" s="2">
        <v>42450</v>
      </c>
      <c r="V5996" t="s">
        <v>71</v>
      </c>
      <c r="W5996" t="str">
        <f>"             G005855"</f>
        <v xml:space="preserve">             G005855</v>
      </c>
      <c r="X5996" s="1">
        <v>6222</v>
      </c>
      <c r="Y5996">
        <v>0</v>
      </c>
      <c r="Z5996" s="5">
        <v>5100</v>
      </c>
      <c r="AA5996">
        <v>196</v>
      </c>
      <c r="AB5996" s="5">
        <v>999600</v>
      </c>
      <c r="AC5996" s="1">
        <v>5100</v>
      </c>
      <c r="AD5996">
        <v>196</v>
      </c>
      <c r="AE5996" s="1">
        <v>999600</v>
      </c>
      <c r="AF5996">
        <v>0</v>
      </c>
      <c r="AJ5996">
        <v>0</v>
      </c>
      <c r="AK5996">
        <v>0</v>
      </c>
      <c r="AL5996">
        <v>0</v>
      </c>
      <c r="AM5996" s="1">
        <v>6222</v>
      </c>
      <c r="AN5996" s="1">
        <v>6222</v>
      </c>
      <c r="AO5996" s="1">
        <v>6222</v>
      </c>
      <c r="AP5996" s="2">
        <v>42746</v>
      </c>
      <c r="AQ5996" t="s">
        <v>72</v>
      </c>
      <c r="AR5996" t="s">
        <v>72</v>
      </c>
      <c r="AS5996">
        <v>2565</v>
      </c>
      <c r="AT5996" s="4">
        <v>42646</v>
      </c>
      <c r="AU5996" t="s">
        <v>73</v>
      </c>
      <c r="AV5996">
        <v>2565</v>
      </c>
      <c r="AW5996" s="4">
        <v>42646</v>
      </c>
      <c r="BD5996">
        <v>0</v>
      </c>
      <c r="BN5996" t="s">
        <v>74</v>
      </c>
    </row>
    <row r="5997" spans="1:66">
      <c r="A5997">
        <v>104009</v>
      </c>
      <c r="B5997" s="3" t="s">
        <v>591</v>
      </c>
      <c r="C5997" s="1">
        <v>43300101</v>
      </c>
      <c r="D5997" t="s">
        <v>67</v>
      </c>
      <c r="H5997" t="str">
        <f t="shared" si="622"/>
        <v>08641790152</v>
      </c>
      <c r="I5997" t="str">
        <f t="shared" si="622"/>
        <v>08641790152</v>
      </c>
      <c r="K5997" t="str">
        <f>""</f>
        <v/>
      </c>
      <c r="M5997" t="s">
        <v>68</v>
      </c>
      <c r="N5997" t="str">
        <f t="shared" si="619"/>
        <v>FOR</v>
      </c>
      <c r="O5997" t="s">
        <v>69</v>
      </c>
      <c r="P5997" s="3" t="s">
        <v>75</v>
      </c>
      <c r="Q5997">
        <v>2016</v>
      </c>
      <c r="R5997" s="2">
        <v>42389</v>
      </c>
      <c r="S5997" s="2">
        <v>42395</v>
      </c>
      <c r="T5997" s="2">
        <v>42390</v>
      </c>
      <c r="U5997" s="2">
        <v>42450</v>
      </c>
      <c r="V5997" t="s">
        <v>71</v>
      </c>
      <c r="W5997" t="str">
        <f>"             G006212"</f>
        <v xml:space="preserve">             G006212</v>
      </c>
      <c r="X5997">
        <v>988</v>
      </c>
      <c r="Y5997">
        <v>0</v>
      </c>
      <c r="Z5997" s="3">
        <v>950</v>
      </c>
      <c r="AA5997">
        <v>196</v>
      </c>
      <c r="AB5997" s="5">
        <v>186200</v>
      </c>
      <c r="AC5997">
        <v>950</v>
      </c>
      <c r="AD5997">
        <v>196</v>
      </c>
      <c r="AE5997" s="1">
        <v>186200</v>
      </c>
      <c r="AF5997">
        <v>0</v>
      </c>
      <c r="AJ5997">
        <v>0</v>
      </c>
      <c r="AK5997">
        <v>0</v>
      </c>
      <c r="AL5997">
        <v>0</v>
      </c>
      <c r="AM5997">
        <v>988</v>
      </c>
      <c r="AN5997">
        <v>988</v>
      </c>
      <c r="AO5997">
        <v>988</v>
      </c>
      <c r="AP5997" s="2">
        <v>42746</v>
      </c>
      <c r="AQ5997" t="s">
        <v>72</v>
      </c>
      <c r="AR5997" t="s">
        <v>72</v>
      </c>
      <c r="AS5997">
        <v>2565</v>
      </c>
      <c r="AT5997" s="4">
        <v>42646</v>
      </c>
      <c r="AU5997" t="s">
        <v>73</v>
      </c>
      <c r="AV5997">
        <v>2565</v>
      </c>
      <c r="AW5997" s="4">
        <v>42646</v>
      </c>
      <c r="BD5997">
        <v>0</v>
      </c>
      <c r="BN5997" t="s">
        <v>74</v>
      </c>
    </row>
    <row r="5998" spans="1:66">
      <c r="A5998">
        <v>104009</v>
      </c>
      <c r="B5998" s="3" t="s">
        <v>591</v>
      </c>
      <c r="C5998" s="1">
        <v>43300101</v>
      </c>
      <c r="D5998" t="s">
        <v>67</v>
      </c>
      <c r="H5998" t="str">
        <f t="shared" si="622"/>
        <v>08641790152</v>
      </c>
      <c r="I5998" t="str">
        <f t="shared" si="622"/>
        <v>08641790152</v>
      </c>
      <c r="K5998" t="str">
        <f>""</f>
        <v/>
      </c>
      <c r="M5998" t="s">
        <v>68</v>
      </c>
      <c r="N5998" t="str">
        <f t="shared" si="619"/>
        <v>FOR</v>
      </c>
      <c r="O5998" t="s">
        <v>69</v>
      </c>
      <c r="P5998" s="3" t="s">
        <v>75</v>
      </c>
      <c r="Q5998">
        <v>2016</v>
      </c>
      <c r="R5998" s="2">
        <v>42389</v>
      </c>
      <c r="S5998" s="2">
        <v>42395</v>
      </c>
      <c r="T5998" s="2">
        <v>42390</v>
      </c>
      <c r="U5998" s="2">
        <v>42450</v>
      </c>
      <c r="V5998" t="s">
        <v>71</v>
      </c>
      <c r="W5998" t="str">
        <f>"             G006213"</f>
        <v xml:space="preserve">             G006213</v>
      </c>
      <c r="X5998">
        <v>988</v>
      </c>
      <c r="Y5998">
        <v>0</v>
      </c>
      <c r="Z5998" s="3">
        <v>950</v>
      </c>
      <c r="AA5998">
        <v>196</v>
      </c>
      <c r="AB5998" s="5">
        <v>186200</v>
      </c>
      <c r="AC5998">
        <v>950</v>
      </c>
      <c r="AD5998">
        <v>196</v>
      </c>
      <c r="AE5998" s="1">
        <v>186200</v>
      </c>
      <c r="AF5998">
        <v>0</v>
      </c>
      <c r="AJ5998">
        <v>0</v>
      </c>
      <c r="AK5998">
        <v>0</v>
      </c>
      <c r="AL5998">
        <v>0</v>
      </c>
      <c r="AM5998">
        <v>988</v>
      </c>
      <c r="AN5998">
        <v>988</v>
      </c>
      <c r="AO5998">
        <v>988</v>
      </c>
      <c r="AP5998" s="2">
        <v>42746</v>
      </c>
      <c r="AQ5998" t="s">
        <v>72</v>
      </c>
      <c r="AR5998" t="s">
        <v>72</v>
      </c>
      <c r="AS5998">
        <v>2565</v>
      </c>
      <c r="AT5998" s="4">
        <v>42646</v>
      </c>
      <c r="AU5998" t="s">
        <v>73</v>
      </c>
      <c r="AV5998">
        <v>2565</v>
      </c>
      <c r="AW5998" s="4">
        <v>42646</v>
      </c>
      <c r="BD5998">
        <v>0</v>
      </c>
      <c r="BN5998" t="s">
        <v>74</v>
      </c>
    </row>
    <row r="5999" spans="1:66">
      <c r="A5999">
        <v>104009</v>
      </c>
      <c r="B5999" s="3" t="s">
        <v>591</v>
      </c>
      <c r="C5999" s="1">
        <v>43300101</v>
      </c>
      <c r="D5999" t="s">
        <v>67</v>
      </c>
      <c r="H5999" t="str">
        <f t="shared" si="622"/>
        <v>08641790152</v>
      </c>
      <c r="I5999" t="str">
        <f t="shared" si="622"/>
        <v>08641790152</v>
      </c>
      <c r="K5999" t="str">
        <f>""</f>
        <v/>
      </c>
      <c r="M5999" t="s">
        <v>68</v>
      </c>
      <c r="N5999" t="str">
        <f t="shared" si="619"/>
        <v>FOR</v>
      </c>
      <c r="O5999" t="s">
        <v>69</v>
      </c>
      <c r="P5999" s="3" t="s">
        <v>75</v>
      </c>
      <c r="Q5999">
        <v>2016</v>
      </c>
      <c r="R5999" s="2">
        <v>42390</v>
      </c>
      <c r="S5999" s="2">
        <v>42395</v>
      </c>
      <c r="T5999" s="2">
        <v>42391</v>
      </c>
      <c r="U5999" s="2">
        <v>42451</v>
      </c>
      <c r="V5999" t="s">
        <v>71</v>
      </c>
      <c r="W5999" t="str">
        <f>"             G006635"</f>
        <v xml:space="preserve">             G006635</v>
      </c>
      <c r="X5999">
        <v>866.2</v>
      </c>
      <c r="Y5999">
        <v>0</v>
      </c>
      <c r="Z5999" s="3">
        <v>710</v>
      </c>
      <c r="AA5999">
        <v>195</v>
      </c>
      <c r="AB5999" s="5">
        <v>138450</v>
      </c>
      <c r="AC5999">
        <v>710</v>
      </c>
      <c r="AD5999">
        <v>195</v>
      </c>
      <c r="AE5999" s="1">
        <v>138450</v>
      </c>
      <c r="AF5999">
        <v>0</v>
      </c>
      <c r="AJ5999">
        <v>0</v>
      </c>
      <c r="AK5999">
        <v>0</v>
      </c>
      <c r="AL5999">
        <v>0</v>
      </c>
      <c r="AM5999">
        <v>866.2</v>
      </c>
      <c r="AN5999">
        <v>866.2</v>
      </c>
      <c r="AO5999">
        <v>866.2</v>
      </c>
      <c r="AP5999" s="2">
        <v>42746</v>
      </c>
      <c r="AQ5999" t="s">
        <v>72</v>
      </c>
      <c r="AR5999" t="s">
        <v>72</v>
      </c>
      <c r="AS5999">
        <v>2565</v>
      </c>
      <c r="AT5999" s="4">
        <v>42646</v>
      </c>
      <c r="AU5999" t="s">
        <v>73</v>
      </c>
      <c r="AV5999">
        <v>2565</v>
      </c>
      <c r="AW5999" s="4">
        <v>42646</v>
      </c>
      <c r="BD5999">
        <v>0</v>
      </c>
      <c r="BN5999" t="s">
        <v>74</v>
      </c>
    </row>
    <row r="6000" spans="1:66">
      <c r="A6000">
        <v>104009</v>
      </c>
      <c r="B6000" s="3" t="s">
        <v>591</v>
      </c>
      <c r="C6000" s="1">
        <v>43300101</v>
      </c>
      <c r="D6000" t="s">
        <v>67</v>
      </c>
      <c r="H6000" t="str">
        <f t="shared" si="622"/>
        <v>08641790152</v>
      </c>
      <c r="I6000" t="str">
        <f t="shared" si="622"/>
        <v>08641790152</v>
      </c>
      <c r="K6000" t="str">
        <f>""</f>
        <v/>
      </c>
      <c r="M6000" t="s">
        <v>68</v>
      </c>
      <c r="N6000" t="str">
        <f t="shared" si="619"/>
        <v>FOR</v>
      </c>
      <c r="O6000" t="s">
        <v>69</v>
      </c>
      <c r="P6000" s="3" t="s">
        <v>75</v>
      </c>
      <c r="Q6000">
        <v>2016</v>
      </c>
      <c r="R6000" s="2">
        <v>42390</v>
      </c>
      <c r="S6000" s="2">
        <v>42395</v>
      </c>
      <c r="T6000" s="2">
        <v>42391</v>
      </c>
      <c r="U6000" s="2">
        <v>42451</v>
      </c>
      <c r="V6000" t="s">
        <v>71</v>
      </c>
      <c r="W6000" t="str">
        <f>"             G006649"</f>
        <v xml:space="preserve">             G006649</v>
      </c>
      <c r="X6000">
        <v>722.24</v>
      </c>
      <c r="Y6000">
        <v>0</v>
      </c>
      <c r="Z6000" s="3">
        <v>592</v>
      </c>
      <c r="AA6000">
        <v>195</v>
      </c>
      <c r="AB6000" s="5">
        <v>115440</v>
      </c>
      <c r="AC6000">
        <v>592</v>
      </c>
      <c r="AD6000">
        <v>195</v>
      </c>
      <c r="AE6000" s="1">
        <v>115440</v>
      </c>
      <c r="AF6000">
        <v>0</v>
      </c>
      <c r="AJ6000">
        <v>0</v>
      </c>
      <c r="AK6000">
        <v>0</v>
      </c>
      <c r="AL6000">
        <v>0</v>
      </c>
      <c r="AM6000">
        <v>722.24</v>
      </c>
      <c r="AN6000">
        <v>722.24</v>
      </c>
      <c r="AO6000">
        <v>722.24</v>
      </c>
      <c r="AP6000" s="2">
        <v>42746</v>
      </c>
      <c r="AQ6000" t="s">
        <v>72</v>
      </c>
      <c r="AR6000" t="s">
        <v>72</v>
      </c>
      <c r="AS6000">
        <v>2565</v>
      </c>
      <c r="AT6000" s="4">
        <v>42646</v>
      </c>
      <c r="AU6000" t="s">
        <v>73</v>
      </c>
      <c r="AV6000">
        <v>2565</v>
      </c>
      <c r="AW6000" s="4">
        <v>42646</v>
      </c>
      <c r="BD6000">
        <v>0</v>
      </c>
      <c r="BN6000" t="s">
        <v>74</v>
      </c>
    </row>
    <row r="6001" spans="1:66">
      <c r="A6001">
        <v>104009</v>
      </c>
      <c r="B6001" s="3" t="s">
        <v>591</v>
      </c>
      <c r="C6001" s="1">
        <v>43300101</v>
      </c>
      <c r="D6001" t="s">
        <v>67</v>
      </c>
      <c r="H6001" t="str">
        <f t="shared" si="622"/>
        <v>08641790152</v>
      </c>
      <c r="I6001" t="str">
        <f t="shared" si="622"/>
        <v>08641790152</v>
      </c>
      <c r="K6001" t="str">
        <f>""</f>
        <v/>
      </c>
      <c r="M6001" t="s">
        <v>68</v>
      </c>
      <c r="N6001" t="str">
        <f t="shared" si="619"/>
        <v>FOR</v>
      </c>
      <c r="O6001" t="s">
        <v>69</v>
      </c>
      <c r="P6001" s="3" t="s">
        <v>75</v>
      </c>
      <c r="Q6001">
        <v>2016</v>
      </c>
      <c r="R6001" s="2">
        <v>42390</v>
      </c>
      <c r="S6001" s="2">
        <v>42395</v>
      </c>
      <c r="T6001" s="2">
        <v>42391</v>
      </c>
      <c r="U6001" s="2">
        <v>42451</v>
      </c>
      <c r="V6001" t="s">
        <v>71</v>
      </c>
      <c r="W6001" t="str">
        <f>"             G006723"</f>
        <v xml:space="preserve">             G006723</v>
      </c>
      <c r="X6001" s="1">
        <v>3638.04</v>
      </c>
      <c r="Y6001">
        <v>0</v>
      </c>
      <c r="Z6001" s="5">
        <v>2982</v>
      </c>
      <c r="AA6001">
        <v>195</v>
      </c>
      <c r="AB6001" s="5">
        <v>581490</v>
      </c>
      <c r="AC6001" s="1">
        <v>2982</v>
      </c>
      <c r="AD6001">
        <v>195</v>
      </c>
      <c r="AE6001" s="1">
        <v>581490</v>
      </c>
      <c r="AF6001">
        <v>0</v>
      </c>
      <c r="AJ6001">
        <v>0</v>
      </c>
      <c r="AK6001">
        <v>0</v>
      </c>
      <c r="AL6001">
        <v>0</v>
      </c>
      <c r="AM6001" s="1">
        <v>3638.04</v>
      </c>
      <c r="AN6001" s="1">
        <v>3638.04</v>
      </c>
      <c r="AO6001" s="1">
        <v>3638.04</v>
      </c>
      <c r="AP6001" s="2">
        <v>42746</v>
      </c>
      <c r="AQ6001" t="s">
        <v>72</v>
      </c>
      <c r="AR6001" t="s">
        <v>72</v>
      </c>
      <c r="AS6001">
        <v>2565</v>
      </c>
      <c r="AT6001" s="4">
        <v>42646</v>
      </c>
      <c r="AU6001" t="s">
        <v>73</v>
      </c>
      <c r="AV6001">
        <v>2565</v>
      </c>
      <c r="AW6001" s="4">
        <v>42646</v>
      </c>
      <c r="BD6001">
        <v>0</v>
      </c>
      <c r="BN6001" t="s">
        <v>74</v>
      </c>
    </row>
    <row r="6002" spans="1:66">
      <c r="A6002">
        <v>104009</v>
      </c>
      <c r="B6002" s="3" t="s">
        <v>591</v>
      </c>
      <c r="C6002" s="1">
        <v>43300101</v>
      </c>
      <c r="D6002" t="s">
        <v>67</v>
      </c>
      <c r="H6002" t="str">
        <f t="shared" si="622"/>
        <v>08641790152</v>
      </c>
      <c r="I6002" t="str">
        <f t="shared" si="622"/>
        <v>08641790152</v>
      </c>
      <c r="K6002" t="str">
        <f>""</f>
        <v/>
      </c>
      <c r="M6002" t="s">
        <v>68</v>
      </c>
      <c r="N6002" t="str">
        <f t="shared" si="619"/>
        <v>FOR</v>
      </c>
      <c r="O6002" t="s">
        <v>69</v>
      </c>
      <c r="P6002" s="3" t="s">
        <v>75</v>
      </c>
      <c r="Q6002">
        <v>2016</v>
      </c>
      <c r="R6002" s="2">
        <v>42395</v>
      </c>
      <c r="S6002" s="2">
        <v>42396</v>
      </c>
      <c r="T6002" s="2">
        <v>42396</v>
      </c>
      <c r="U6002" s="2">
        <v>42456</v>
      </c>
      <c r="V6002" t="s">
        <v>71</v>
      </c>
      <c r="W6002" t="str">
        <f>"             G008464"</f>
        <v xml:space="preserve">             G008464</v>
      </c>
      <c r="X6002" s="1">
        <v>2583.96</v>
      </c>
      <c r="Y6002">
        <v>0</v>
      </c>
      <c r="Z6002" s="5">
        <v>2118</v>
      </c>
      <c r="AA6002">
        <v>190</v>
      </c>
      <c r="AB6002" s="5">
        <v>402420</v>
      </c>
      <c r="AC6002" s="1">
        <v>2118</v>
      </c>
      <c r="AD6002">
        <v>190</v>
      </c>
      <c r="AE6002" s="1">
        <v>402420</v>
      </c>
      <c r="AF6002">
        <v>0</v>
      </c>
      <c r="AJ6002">
        <v>0</v>
      </c>
      <c r="AK6002">
        <v>0</v>
      </c>
      <c r="AL6002">
        <v>0</v>
      </c>
      <c r="AM6002" s="1">
        <v>2583.96</v>
      </c>
      <c r="AN6002" s="1">
        <v>2583.96</v>
      </c>
      <c r="AO6002" s="1">
        <v>2583.96</v>
      </c>
      <c r="AP6002" s="2">
        <v>42746</v>
      </c>
      <c r="AQ6002" t="s">
        <v>72</v>
      </c>
      <c r="AR6002" t="s">
        <v>72</v>
      </c>
      <c r="AS6002">
        <v>2565</v>
      </c>
      <c r="AT6002" s="4">
        <v>42646</v>
      </c>
      <c r="AU6002" t="s">
        <v>73</v>
      </c>
      <c r="AV6002">
        <v>2565</v>
      </c>
      <c r="AW6002" s="4">
        <v>42646</v>
      </c>
      <c r="BD6002">
        <v>0</v>
      </c>
      <c r="BN6002" t="s">
        <v>74</v>
      </c>
    </row>
    <row r="6003" spans="1:66">
      <c r="A6003">
        <v>104009</v>
      </c>
      <c r="B6003" s="3" t="s">
        <v>591</v>
      </c>
      <c r="C6003" s="1">
        <v>43300101</v>
      </c>
      <c r="D6003" t="s">
        <v>67</v>
      </c>
      <c r="H6003" t="str">
        <f t="shared" si="622"/>
        <v>08641790152</v>
      </c>
      <c r="I6003" t="str">
        <f t="shared" si="622"/>
        <v>08641790152</v>
      </c>
      <c r="K6003" t="str">
        <f>""</f>
        <v/>
      </c>
      <c r="M6003" t="s">
        <v>68</v>
      </c>
      <c r="N6003" t="str">
        <f t="shared" si="619"/>
        <v>FOR</v>
      </c>
      <c r="O6003" t="s">
        <v>69</v>
      </c>
      <c r="P6003" s="3" t="s">
        <v>75</v>
      </c>
      <c r="Q6003">
        <v>2016</v>
      </c>
      <c r="R6003" s="2">
        <v>42395</v>
      </c>
      <c r="S6003" s="2">
        <v>42396</v>
      </c>
      <c r="T6003" s="2">
        <v>42396</v>
      </c>
      <c r="U6003" s="2">
        <v>42456</v>
      </c>
      <c r="V6003" t="s">
        <v>71</v>
      </c>
      <c r="W6003" t="str">
        <f>"             G008493"</f>
        <v xml:space="preserve">             G008493</v>
      </c>
      <c r="X6003">
        <v>244</v>
      </c>
      <c r="Y6003">
        <v>0</v>
      </c>
      <c r="Z6003" s="3">
        <v>200</v>
      </c>
      <c r="AA6003">
        <v>190</v>
      </c>
      <c r="AB6003" s="5">
        <v>38000</v>
      </c>
      <c r="AC6003">
        <v>200</v>
      </c>
      <c r="AD6003">
        <v>190</v>
      </c>
      <c r="AE6003" s="1">
        <v>38000</v>
      </c>
      <c r="AF6003">
        <v>0</v>
      </c>
      <c r="AJ6003">
        <v>0</v>
      </c>
      <c r="AK6003">
        <v>0</v>
      </c>
      <c r="AL6003">
        <v>0</v>
      </c>
      <c r="AM6003">
        <v>244</v>
      </c>
      <c r="AN6003">
        <v>244</v>
      </c>
      <c r="AO6003">
        <v>244</v>
      </c>
      <c r="AP6003" s="2">
        <v>42746</v>
      </c>
      <c r="AQ6003" t="s">
        <v>72</v>
      </c>
      <c r="AR6003" t="s">
        <v>72</v>
      </c>
      <c r="AS6003">
        <v>2565</v>
      </c>
      <c r="AT6003" s="4">
        <v>42646</v>
      </c>
      <c r="AU6003" t="s">
        <v>73</v>
      </c>
      <c r="AV6003">
        <v>2565</v>
      </c>
      <c r="AW6003" s="4">
        <v>42646</v>
      </c>
      <c r="BD6003">
        <v>0</v>
      </c>
      <c r="BN6003" t="s">
        <v>74</v>
      </c>
    </row>
    <row r="6004" spans="1:66">
      <c r="A6004">
        <v>104009</v>
      </c>
      <c r="B6004" s="3" t="s">
        <v>591</v>
      </c>
      <c r="C6004" s="1">
        <v>43300101</v>
      </c>
      <c r="D6004" t="s">
        <v>67</v>
      </c>
      <c r="H6004" t="str">
        <f t="shared" si="622"/>
        <v>08641790152</v>
      </c>
      <c r="I6004" t="str">
        <f t="shared" si="622"/>
        <v>08641790152</v>
      </c>
      <c r="K6004" t="str">
        <f>""</f>
        <v/>
      </c>
      <c r="M6004" t="s">
        <v>68</v>
      </c>
      <c r="N6004" t="str">
        <f t="shared" si="619"/>
        <v>FOR</v>
      </c>
      <c r="O6004" t="s">
        <v>69</v>
      </c>
      <c r="P6004" s="3" t="s">
        <v>75</v>
      </c>
      <c r="Q6004">
        <v>2016</v>
      </c>
      <c r="R6004" s="2">
        <v>42397</v>
      </c>
      <c r="S6004" s="2">
        <v>42401</v>
      </c>
      <c r="T6004" s="2">
        <v>42398</v>
      </c>
      <c r="U6004" s="2">
        <v>42458</v>
      </c>
      <c r="V6004" t="s">
        <v>71</v>
      </c>
      <c r="W6004" t="str">
        <f>"             G010124"</f>
        <v xml:space="preserve">             G010124</v>
      </c>
      <c r="X6004" s="1">
        <v>1737.03</v>
      </c>
      <c r="Y6004">
        <v>0</v>
      </c>
      <c r="Z6004" s="5">
        <v>1423.8</v>
      </c>
      <c r="AA6004">
        <v>188</v>
      </c>
      <c r="AB6004" s="5">
        <v>267674.40000000002</v>
      </c>
      <c r="AC6004" s="1">
        <v>1423.8</v>
      </c>
      <c r="AD6004">
        <v>188</v>
      </c>
      <c r="AE6004" s="1">
        <v>267674.40000000002</v>
      </c>
      <c r="AF6004">
        <v>0</v>
      </c>
      <c r="AJ6004">
        <v>0</v>
      </c>
      <c r="AK6004">
        <v>0</v>
      </c>
      <c r="AL6004">
        <v>0</v>
      </c>
      <c r="AM6004" s="1">
        <v>1737.03</v>
      </c>
      <c r="AN6004" s="1">
        <v>1737.03</v>
      </c>
      <c r="AO6004" s="1">
        <v>1737.03</v>
      </c>
      <c r="AP6004" s="2">
        <v>42746</v>
      </c>
      <c r="AQ6004" t="s">
        <v>72</v>
      </c>
      <c r="AR6004" t="s">
        <v>72</v>
      </c>
      <c r="AS6004">
        <v>2565</v>
      </c>
      <c r="AT6004" s="4">
        <v>42646</v>
      </c>
      <c r="AU6004" t="s">
        <v>73</v>
      </c>
      <c r="AV6004">
        <v>2565</v>
      </c>
      <c r="AW6004" s="4">
        <v>42646</v>
      </c>
      <c r="BD6004">
        <v>0</v>
      </c>
      <c r="BN6004" t="s">
        <v>74</v>
      </c>
    </row>
    <row r="6005" spans="1:66">
      <c r="A6005">
        <v>104009</v>
      </c>
      <c r="B6005" s="3" t="s">
        <v>591</v>
      </c>
      <c r="C6005" s="1">
        <v>43300101</v>
      </c>
      <c r="D6005" t="s">
        <v>67</v>
      </c>
      <c r="H6005" t="str">
        <f t="shared" si="622"/>
        <v>08641790152</v>
      </c>
      <c r="I6005" t="str">
        <f t="shared" si="622"/>
        <v>08641790152</v>
      </c>
      <c r="K6005" t="str">
        <f>""</f>
        <v/>
      </c>
      <c r="M6005" t="s">
        <v>68</v>
      </c>
      <c r="N6005" t="str">
        <f t="shared" si="619"/>
        <v>FOR</v>
      </c>
      <c r="O6005" t="s">
        <v>69</v>
      </c>
      <c r="P6005" s="3" t="s">
        <v>75</v>
      </c>
      <c r="Q6005">
        <v>2016</v>
      </c>
      <c r="R6005" s="2">
        <v>42398</v>
      </c>
      <c r="S6005" s="2">
        <v>42399</v>
      </c>
      <c r="T6005" s="2">
        <v>42399</v>
      </c>
      <c r="U6005" s="2">
        <v>42459</v>
      </c>
      <c r="V6005" t="s">
        <v>71</v>
      </c>
      <c r="W6005" t="str">
        <f>"             G010433"</f>
        <v xml:space="preserve">             G010433</v>
      </c>
      <c r="X6005" s="1">
        <v>4050.4</v>
      </c>
      <c r="Y6005">
        <v>0</v>
      </c>
      <c r="Z6005" s="5">
        <v>3320</v>
      </c>
      <c r="AA6005">
        <v>187</v>
      </c>
      <c r="AB6005" s="5">
        <v>620840</v>
      </c>
      <c r="AC6005" s="1">
        <v>3320</v>
      </c>
      <c r="AD6005">
        <v>187</v>
      </c>
      <c r="AE6005" s="1">
        <v>620840</v>
      </c>
      <c r="AF6005">
        <v>0</v>
      </c>
      <c r="AJ6005">
        <v>0</v>
      </c>
      <c r="AK6005">
        <v>0</v>
      </c>
      <c r="AL6005">
        <v>0</v>
      </c>
      <c r="AM6005" s="1">
        <v>4050.4</v>
      </c>
      <c r="AN6005" s="1">
        <v>4050.4</v>
      </c>
      <c r="AO6005" s="1">
        <v>4050.4</v>
      </c>
      <c r="AP6005" s="2">
        <v>42746</v>
      </c>
      <c r="AQ6005" t="s">
        <v>72</v>
      </c>
      <c r="AR6005" t="s">
        <v>72</v>
      </c>
      <c r="AS6005">
        <v>2565</v>
      </c>
      <c r="AT6005" s="4">
        <v>42646</v>
      </c>
      <c r="AU6005" t="s">
        <v>73</v>
      </c>
      <c r="AV6005">
        <v>2565</v>
      </c>
      <c r="AW6005" s="4">
        <v>42646</v>
      </c>
      <c r="BD6005">
        <v>0</v>
      </c>
      <c r="BN6005" t="s">
        <v>74</v>
      </c>
    </row>
    <row r="6006" spans="1:66">
      <c r="A6006">
        <v>104009</v>
      </c>
      <c r="B6006" s="3" t="s">
        <v>591</v>
      </c>
      <c r="C6006" s="1">
        <v>43300101</v>
      </c>
      <c r="D6006" t="s">
        <v>67</v>
      </c>
      <c r="H6006" t="str">
        <f t="shared" si="622"/>
        <v>08641790152</v>
      </c>
      <c r="I6006" t="str">
        <f t="shared" si="622"/>
        <v>08641790152</v>
      </c>
      <c r="K6006" t="str">
        <f>""</f>
        <v/>
      </c>
      <c r="M6006" t="s">
        <v>68</v>
      </c>
      <c r="N6006" t="str">
        <f t="shared" si="619"/>
        <v>FOR</v>
      </c>
      <c r="O6006" t="s">
        <v>69</v>
      </c>
      <c r="P6006" s="3" t="s">
        <v>75</v>
      </c>
      <c r="Q6006">
        <v>2016</v>
      </c>
      <c r="R6006" s="2">
        <v>42398</v>
      </c>
      <c r="S6006" s="2">
        <v>42399</v>
      </c>
      <c r="T6006" s="2">
        <v>42399</v>
      </c>
      <c r="U6006" s="2">
        <v>42459</v>
      </c>
      <c r="V6006" t="s">
        <v>71</v>
      </c>
      <c r="W6006" t="str">
        <f>"             G010508"</f>
        <v xml:space="preserve">             G010508</v>
      </c>
      <c r="X6006">
        <v>67.099999999999994</v>
      </c>
      <c r="Y6006">
        <v>0</v>
      </c>
      <c r="Z6006" s="3">
        <v>55</v>
      </c>
      <c r="AA6006">
        <v>187</v>
      </c>
      <c r="AB6006" s="5">
        <v>10285</v>
      </c>
      <c r="AC6006">
        <v>55</v>
      </c>
      <c r="AD6006">
        <v>187</v>
      </c>
      <c r="AE6006" s="1">
        <v>10285</v>
      </c>
      <c r="AF6006">
        <v>0</v>
      </c>
      <c r="AJ6006">
        <v>0</v>
      </c>
      <c r="AK6006">
        <v>0</v>
      </c>
      <c r="AL6006">
        <v>0</v>
      </c>
      <c r="AM6006">
        <v>67.099999999999994</v>
      </c>
      <c r="AN6006">
        <v>67.099999999999994</v>
      </c>
      <c r="AO6006">
        <v>67.099999999999994</v>
      </c>
      <c r="AP6006" s="2">
        <v>42746</v>
      </c>
      <c r="AQ6006" t="s">
        <v>72</v>
      </c>
      <c r="AR6006" t="s">
        <v>72</v>
      </c>
      <c r="AS6006">
        <v>2565</v>
      </c>
      <c r="AT6006" s="4">
        <v>42646</v>
      </c>
      <c r="AU6006" t="s">
        <v>73</v>
      </c>
      <c r="AV6006">
        <v>2565</v>
      </c>
      <c r="AW6006" s="4">
        <v>42646</v>
      </c>
      <c r="BD6006">
        <v>0</v>
      </c>
      <c r="BN6006" t="s">
        <v>74</v>
      </c>
    </row>
    <row r="6007" spans="1:66">
      <c r="A6007">
        <v>104009</v>
      </c>
      <c r="B6007" s="3" t="s">
        <v>591</v>
      </c>
      <c r="C6007" s="1">
        <v>43300101</v>
      </c>
      <c r="D6007" t="s">
        <v>67</v>
      </c>
      <c r="H6007" t="str">
        <f t="shared" si="622"/>
        <v>08641790152</v>
      </c>
      <c r="I6007" t="str">
        <f t="shared" si="622"/>
        <v>08641790152</v>
      </c>
      <c r="K6007" t="str">
        <f>""</f>
        <v/>
      </c>
      <c r="M6007" t="s">
        <v>68</v>
      </c>
      <c r="N6007" t="str">
        <f t="shared" si="619"/>
        <v>FOR</v>
      </c>
      <c r="O6007" t="s">
        <v>69</v>
      </c>
      <c r="P6007" s="3" t="s">
        <v>75</v>
      </c>
      <c r="Q6007">
        <v>2016</v>
      </c>
      <c r="R6007" s="2">
        <v>42398</v>
      </c>
      <c r="S6007" s="2">
        <v>42399</v>
      </c>
      <c r="T6007" s="2">
        <v>42399</v>
      </c>
      <c r="U6007" s="2">
        <v>42459</v>
      </c>
      <c r="V6007" t="s">
        <v>71</v>
      </c>
      <c r="W6007" t="str">
        <f>"             G010513"</f>
        <v xml:space="preserve">             G010513</v>
      </c>
      <c r="X6007">
        <v>488</v>
      </c>
      <c r="Y6007">
        <v>0</v>
      </c>
      <c r="Z6007" s="3">
        <v>400</v>
      </c>
      <c r="AA6007">
        <v>187</v>
      </c>
      <c r="AB6007" s="5">
        <v>74800</v>
      </c>
      <c r="AC6007">
        <v>400</v>
      </c>
      <c r="AD6007">
        <v>187</v>
      </c>
      <c r="AE6007" s="1">
        <v>74800</v>
      </c>
      <c r="AF6007">
        <v>0</v>
      </c>
      <c r="AJ6007">
        <v>0</v>
      </c>
      <c r="AK6007">
        <v>0</v>
      </c>
      <c r="AL6007">
        <v>0</v>
      </c>
      <c r="AM6007">
        <v>488</v>
      </c>
      <c r="AN6007">
        <v>488</v>
      </c>
      <c r="AO6007">
        <v>488</v>
      </c>
      <c r="AP6007" s="2">
        <v>42746</v>
      </c>
      <c r="AQ6007" t="s">
        <v>72</v>
      </c>
      <c r="AR6007" t="s">
        <v>72</v>
      </c>
      <c r="AS6007">
        <v>2565</v>
      </c>
      <c r="AT6007" s="4">
        <v>42646</v>
      </c>
      <c r="AU6007" t="s">
        <v>73</v>
      </c>
      <c r="AV6007">
        <v>2565</v>
      </c>
      <c r="AW6007" s="4">
        <v>42646</v>
      </c>
      <c r="BD6007">
        <v>0</v>
      </c>
      <c r="BN6007" t="s">
        <v>74</v>
      </c>
    </row>
    <row r="6008" spans="1:66">
      <c r="A6008">
        <v>104009</v>
      </c>
      <c r="B6008" s="3" t="s">
        <v>591</v>
      </c>
      <c r="C6008" s="1">
        <v>43300101</v>
      </c>
      <c r="D6008" t="s">
        <v>67</v>
      </c>
      <c r="H6008" t="str">
        <f t="shared" si="622"/>
        <v>08641790152</v>
      </c>
      <c r="I6008" t="str">
        <f t="shared" si="622"/>
        <v>08641790152</v>
      </c>
      <c r="K6008" t="str">
        <f>""</f>
        <v/>
      </c>
      <c r="M6008" t="s">
        <v>68</v>
      </c>
      <c r="N6008" t="str">
        <f t="shared" si="619"/>
        <v>FOR</v>
      </c>
      <c r="O6008" t="s">
        <v>69</v>
      </c>
      <c r="P6008" s="3" t="s">
        <v>75</v>
      </c>
      <c r="Q6008">
        <v>2016</v>
      </c>
      <c r="R6008" s="2">
        <v>42398</v>
      </c>
      <c r="S6008" s="2">
        <v>42399</v>
      </c>
      <c r="T6008" s="2">
        <v>42399</v>
      </c>
      <c r="U6008" s="2">
        <v>42459</v>
      </c>
      <c r="V6008" t="s">
        <v>71</v>
      </c>
      <c r="W6008" t="str">
        <f>"             G010740"</f>
        <v xml:space="preserve">             G010740</v>
      </c>
      <c r="X6008" s="1">
        <v>1029.92</v>
      </c>
      <c r="Y6008">
        <v>0</v>
      </c>
      <c r="Z6008" s="3">
        <v>844.2</v>
      </c>
      <c r="AA6008">
        <v>187</v>
      </c>
      <c r="AB6008" s="5">
        <v>157865.4</v>
      </c>
      <c r="AC6008">
        <v>844.2</v>
      </c>
      <c r="AD6008">
        <v>187</v>
      </c>
      <c r="AE6008" s="1">
        <v>157865.4</v>
      </c>
      <c r="AF6008">
        <v>0</v>
      </c>
      <c r="AJ6008">
        <v>0</v>
      </c>
      <c r="AK6008">
        <v>0</v>
      </c>
      <c r="AL6008">
        <v>0</v>
      </c>
      <c r="AM6008" s="1">
        <v>1029.92</v>
      </c>
      <c r="AN6008" s="1">
        <v>1029.92</v>
      </c>
      <c r="AO6008" s="1">
        <v>1029.92</v>
      </c>
      <c r="AP6008" s="2">
        <v>42746</v>
      </c>
      <c r="AQ6008" t="s">
        <v>72</v>
      </c>
      <c r="AR6008" t="s">
        <v>72</v>
      </c>
      <c r="AS6008">
        <v>2565</v>
      </c>
      <c r="AT6008" s="4">
        <v>42646</v>
      </c>
      <c r="AU6008" t="s">
        <v>73</v>
      </c>
      <c r="AV6008">
        <v>2565</v>
      </c>
      <c r="AW6008" s="4">
        <v>42646</v>
      </c>
      <c r="BD6008">
        <v>0</v>
      </c>
      <c r="BN6008" t="s">
        <v>74</v>
      </c>
    </row>
    <row r="6009" spans="1:66">
      <c r="A6009">
        <v>104009</v>
      </c>
      <c r="B6009" s="3" t="s">
        <v>591</v>
      </c>
      <c r="C6009" s="1">
        <v>43300101</v>
      </c>
      <c r="D6009" t="s">
        <v>67</v>
      </c>
      <c r="H6009" t="str">
        <f t="shared" ref="H6009:I6028" si="623">"08641790152"</f>
        <v>08641790152</v>
      </c>
      <c r="I6009" t="str">
        <f t="shared" si="623"/>
        <v>08641790152</v>
      </c>
      <c r="K6009" t="str">
        <f>""</f>
        <v/>
      </c>
      <c r="M6009" t="s">
        <v>68</v>
      </c>
      <c r="N6009" t="str">
        <f t="shared" si="619"/>
        <v>FOR</v>
      </c>
      <c r="O6009" t="s">
        <v>69</v>
      </c>
      <c r="P6009" s="3" t="s">
        <v>75</v>
      </c>
      <c r="Q6009">
        <v>2016</v>
      </c>
      <c r="R6009" s="2">
        <v>42401</v>
      </c>
      <c r="S6009" s="2">
        <v>42403</v>
      </c>
      <c r="T6009" s="2">
        <v>42402</v>
      </c>
      <c r="U6009" s="2">
        <v>42462</v>
      </c>
      <c r="V6009" t="s">
        <v>71</v>
      </c>
      <c r="W6009" t="str">
        <f>"             G011324"</f>
        <v xml:space="preserve">             G011324</v>
      </c>
      <c r="X6009">
        <v>134.19999999999999</v>
      </c>
      <c r="Y6009">
        <v>0</v>
      </c>
      <c r="Z6009" s="3">
        <v>110</v>
      </c>
      <c r="AA6009">
        <v>226</v>
      </c>
      <c r="AB6009" s="5">
        <v>24860</v>
      </c>
      <c r="AC6009">
        <v>110</v>
      </c>
      <c r="AD6009">
        <v>226</v>
      </c>
      <c r="AE6009" s="1">
        <v>24860</v>
      </c>
      <c r="AF6009">
        <v>0</v>
      </c>
      <c r="AJ6009">
        <v>0</v>
      </c>
      <c r="AK6009">
        <v>0</v>
      </c>
      <c r="AL6009">
        <v>0</v>
      </c>
      <c r="AM6009">
        <v>134.19999999999999</v>
      </c>
      <c r="AN6009">
        <v>134.19999999999999</v>
      </c>
      <c r="AO6009">
        <v>134.19999999999999</v>
      </c>
      <c r="AP6009" s="2">
        <v>42746</v>
      </c>
      <c r="AQ6009" t="s">
        <v>72</v>
      </c>
      <c r="AR6009" t="s">
        <v>72</v>
      </c>
      <c r="AS6009">
        <v>3080</v>
      </c>
      <c r="AT6009" s="4">
        <v>42688</v>
      </c>
      <c r="AU6009" t="s">
        <v>73</v>
      </c>
      <c r="AV6009">
        <v>3080</v>
      </c>
      <c r="AW6009" s="4">
        <v>42688</v>
      </c>
      <c r="BD6009">
        <v>0</v>
      </c>
      <c r="BN6009" t="s">
        <v>74</v>
      </c>
    </row>
    <row r="6010" spans="1:66">
      <c r="A6010">
        <v>104009</v>
      </c>
      <c r="B6010" s="3" t="s">
        <v>591</v>
      </c>
      <c r="C6010" s="1">
        <v>43300101</v>
      </c>
      <c r="D6010" t="s">
        <v>67</v>
      </c>
      <c r="H6010" t="str">
        <f t="shared" si="623"/>
        <v>08641790152</v>
      </c>
      <c r="I6010" t="str">
        <f t="shared" si="623"/>
        <v>08641790152</v>
      </c>
      <c r="K6010" t="str">
        <f>""</f>
        <v/>
      </c>
      <c r="M6010" t="s">
        <v>68</v>
      </c>
      <c r="N6010" t="str">
        <f t="shared" ref="N6010:N6073" si="624">"FOR"</f>
        <v>FOR</v>
      </c>
      <c r="O6010" t="s">
        <v>69</v>
      </c>
      <c r="P6010" s="3" t="s">
        <v>75</v>
      </c>
      <c r="Q6010">
        <v>2016</v>
      </c>
      <c r="R6010" s="2">
        <v>42402</v>
      </c>
      <c r="S6010" s="2">
        <v>42410</v>
      </c>
      <c r="T6010" s="2">
        <v>42403</v>
      </c>
      <c r="U6010" s="2">
        <v>42463</v>
      </c>
      <c r="V6010" t="s">
        <v>71</v>
      </c>
      <c r="W6010" t="str">
        <f>"             G011914"</f>
        <v xml:space="preserve">             G011914</v>
      </c>
      <c r="X6010">
        <v>134.19999999999999</v>
      </c>
      <c r="Y6010">
        <v>0</v>
      </c>
      <c r="Z6010" s="3">
        <v>110</v>
      </c>
      <c r="AA6010">
        <v>225</v>
      </c>
      <c r="AB6010" s="5">
        <v>24750</v>
      </c>
      <c r="AC6010">
        <v>110</v>
      </c>
      <c r="AD6010">
        <v>225</v>
      </c>
      <c r="AE6010" s="1">
        <v>24750</v>
      </c>
      <c r="AF6010">
        <v>0</v>
      </c>
      <c r="AJ6010">
        <v>0</v>
      </c>
      <c r="AK6010">
        <v>0</v>
      </c>
      <c r="AL6010">
        <v>0</v>
      </c>
      <c r="AM6010">
        <v>134.19999999999999</v>
      </c>
      <c r="AN6010">
        <v>134.19999999999999</v>
      </c>
      <c r="AO6010">
        <v>134.19999999999999</v>
      </c>
      <c r="AP6010" s="2">
        <v>42746</v>
      </c>
      <c r="AQ6010" t="s">
        <v>72</v>
      </c>
      <c r="AR6010" t="s">
        <v>72</v>
      </c>
      <c r="AS6010">
        <v>3080</v>
      </c>
      <c r="AT6010" s="4">
        <v>42688</v>
      </c>
      <c r="AU6010" t="s">
        <v>73</v>
      </c>
      <c r="AV6010">
        <v>3080</v>
      </c>
      <c r="AW6010" s="4">
        <v>42688</v>
      </c>
      <c r="BD6010">
        <v>0</v>
      </c>
      <c r="BN6010" t="s">
        <v>74</v>
      </c>
    </row>
    <row r="6011" spans="1:66">
      <c r="A6011">
        <v>104009</v>
      </c>
      <c r="B6011" s="3" t="s">
        <v>591</v>
      </c>
      <c r="C6011" s="1">
        <v>43300101</v>
      </c>
      <c r="D6011" t="s">
        <v>67</v>
      </c>
      <c r="H6011" t="str">
        <f t="shared" si="623"/>
        <v>08641790152</v>
      </c>
      <c r="I6011" t="str">
        <f t="shared" si="623"/>
        <v>08641790152</v>
      </c>
      <c r="K6011" t="str">
        <f>""</f>
        <v/>
      </c>
      <c r="M6011" t="s">
        <v>68</v>
      </c>
      <c r="N6011" t="str">
        <f t="shared" si="624"/>
        <v>FOR</v>
      </c>
      <c r="O6011" t="s">
        <v>69</v>
      </c>
      <c r="P6011" s="3" t="s">
        <v>75</v>
      </c>
      <c r="Q6011">
        <v>2016</v>
      </c>
      <c r="R6011" s="2">
        <v>42403</v>
      </c>
      <c r="S6011" s="2">
        <v>42410</v>
      </c>
      <c r="T6011" s="2">
        <v>42404</v>
      </c>
      <c r="U6011" s="2">
        <v>42464</v>
      </c>
      <c r="V6011" t="s">
        <v>71</v>
      </c>
      <c r="W6011" t="str">
        <f>"             G012332"</f>
        <v xml:space="preserve">             G012332</v>
      </c>
      <c r="X6011" s="1">
        <v>2316.0500000000002</v>
      </c>
      <c r="Y6011">
        <v>0</v>
      </c>
      <c r="Z6011" s="5">
        <v>1898.4</v>
      </c>
      <c r="AA6011">
        <v>224</v>
      </c>
      <c r="AB6011" s="5">
        <v>425241.59999999998</v>
      </c>
      <c r="AC6011" s="1">
        <v>1898.4</v>
      </c>
      <c r="AD6011">
        <v>224</v>
      </c>
      <c r="AE6011" s="1">
        <v>425241.59999999998</v>
      </c>
      <c r="AF6011">
        <v>0</v>
      </c>
      <c r="AJ6011">
        <v>0</v>
      </c>
      <c r="AK6011">
        <v>0</v>
      </c>
      <c r="AL6011">
        <v>0</v>
      </c>
      <c r="AM6011" s="1">
        <v>2316.0500000000002</v>
      </c>
      <c r="AN6011" s="1">
        <v>2316.0500000000002</v>
      </c>
      <c r="AO6011" s="1">
        <v>2316.0500000000002</v>
      </c>
      <c r="AP6011" s="2">
        <v>42746</v>
      </c>
      <c r="AQ6011" t="s">
        <v>72</v>
      </c>
      <c r="AR6011" t="s">
        <v>72</v>
      </c>
      <c r="AS6011">
        <v>3080</v>
      </c>
      <c r="AT6011" s="4">
        <v>42688</v>
      </c>
      <c r="AU6011" t="s">
        <v>73</v>
      </c>
      <c r="AV6011">
        <v>3080</v>
      </c>
      <c r="AW6011" s="4">
        <v>42688</v>
      </c>
      <c r="BD6011">
        <v>0</v>
      </c>
      <c r="BN6011" t="s">
        <v>74</v>
      </c>
    </row>
    <row r="6012" spans="1:66">
      <c r="A6012">
        <v>104009</v>
      </c>
      <c r="B6012" s="3" t="s">
        <v>591</v>
      </c>
      <c r="C6012" s="1">
        <v>43300101</v>
      </c>
      <c r="D6012" t="s">
        <v>67</v>
      </c>
      <c r="H6012" t="str">
        <f t="shared" si="623"/>
        <v>08641790152</v>
      </c>
      <c r="I6012" t="str">
        <f t="shared" si="623"/>
        <v>08641790152</v>
      </c>
      <c r="K6012" t="str">
        <f>""</f>
        <v/>
      </c>
      <c r="M6012" t="s">
        <v>68</v>
      </c>
      <c r="N6012" t="str">
        <f t="shared" si="624"/>
        <v>FOR</v>
      </c>
      <c r="O6012" t="s">
        <v>69</v>
      </c>
      <c r="P6012" s="3" t="s">
        <v>75</v>
      </c>
      <c r="Q6012">
        <v>2016</v>
      </c>
      <c r="R6012" s="2">
        <v>42404</v>
      </c>
      <c r="S6012" s="2">
        <v>42410</v>
      </c>
      <c r="T6012" s="2">
        <v>42405</v>
      </c>
      <c r="U6012" s="2">
        <v>42465</v>
      </c>
      <c r="V6012" t="s">
        <v>71</v>
      </c>
      <c r="W6012" t="str">
        <f>"             G013088"</f>
        <v xml:space="preserve">             G013088</v>
      </c>
      <c r="X6012" s="1">
        <v>2202.1</v>
      </c>
      <c r="Y6012">
        <v>0</v>
      </c>
      <c r="Z6012" s="5">
        <v>1805</v>
      </c>
      <c r="AA6012">
        <v>223</v>
      </c>
      <c r="AB6012" s="5">
        <v>402515</v>
      </c>
      <c r="AC6012" s="1">
        <v>1805</v>
      </c>
      <c r="AD6012">
        <v>223</v>
      </c>
      <c r="AE6012" s="1">
        <v>402515</v>
      </c>
      <c r="AF6012">
        <v>0</v>
      </c>
      <c r="AJ6012">
        <v>0</v>
      </c>
      <c r="AK6012">
        <v>0</v>
      </c>
      <c r="AL6012">
        <v>0</v>
      </c>
      <c r="AM6012" s="1">
        <v>2202.1</v>
      </c>
      <c r="AN6012" s="1">
        <v>2202.1</v>
      </c>
      <c r="AO6012" s="1">
        <v>2202.1</v>
      </c>
      <c r="AP6012" s="2">
        <v>42746</v>
      </c>
      <c r="AQ6012" t="s">
        <v>72</v>
      </c>
      <c r="AR6012" t="s">
        <v>72</v>
      </c>
      <c r="AS6012">
        <v>3080</v>
      </c>
      <c r="AT6012" s="4">
        <v>42688</v>
      </c>
      <c r="AU6012" t="s">
        <v>73</v>
      </c>
      <c r="AV6012">
        <v>3080</v>
      </c>
      <c r="AW6012" s="4">
        <v>42688</v>
      </c>
      <c r="BD6012">
        <v>0</v>
      </c>
      <c r="BN6012" t="s">
        <v>74</v>
      </c>
    </row>
    <row r="6013" spans="1:66">
      <c r="A6013">
        <v>104009</v>
      </c>
      <c r="B6013" s="3" t="s">
        <v>591</v>
      </c>
      <c r="C6013" s="1">
        <v>43300101</v>
      </c>
      <c r="D6013" t="s">
        <v>67</v>
      </c>
      <c r="H6013" t="str">
        <f t="shared" si="623"/>
        <v>08641790152</v>
      </c>
      <c r="I6013" t="str">
        <f t="shared" si="623"/>
        <v>08641790152</v>
      </c>
      <c r="K6013" t="str">
        <f>""</f>
        <v/>
      </c>
      <c r="M6013" t="s">
        <v>68</v>
      </c>
      <c r="N6013" t="str">
        <f t="shared" si="624"/>
        <v>FOR</v>
      </c>
      <c r="O6013" t="s">
        <v>69</v>
      </c>
      <c r="P6013" s="3" t="s">
        <v>75</v>
      </c>
      <c r="Q6013">
        <v>2016</v>
      </c>
      <c r="R6013" s="2">
        <v>42404</v>
      </c>
      <c r="S6013" s="2">
        <v>42410</v>
      </c>
      <c r="T6013" s="2">
        <v>42405</v>
      </c>
      <c r="U6013" s="2">
        <v>42465</v>
      </c>
      <c r="V6013" t="s">
        <v>71</v>
      </c>
      <c r="W6013" t="str">
        <f>"             G013162"</f>
        <v xml:space="preserve">             G013162</v>
      </c>
      <c r="X6013" s="1">
        <v>1119.96</v>
      </c>
      <c r="Y6013">
        <v>0</v>
      </c>
      <c r="Z6013" s="3">
        <v>918</v>
      </c>
      <c r="AA6013">
        <v>223</v>
      </c>
      <c r="AB6013" s="5">
        <v>204714</v>
      </c>
      <c r="AC6013">
        <v>918</v>
      </c>
      <c r="AD6013">
        <v>223</v>
      </c>
      <c r="AE6013" s="1">
        <v>204714</v>
      </c>
      <c r="AF6013">
        <v>0</v>
      </c>
      <c r="AJ6013">
        <v>0</v>
      </c>
      <c r="AK6013">
        <v>0</v>
      </c>
      <c r="AL6013">
        <v>0</v>
      </c>
      <c r="AM6013" s="1">
        <v>1119.96</v>
      </c>
      <c r="AN6013" s="1">
        <v>1119.96</v>
      </c>
      <c r="AO6013" s="1">
        <v>1119.96</v>
      </c>
      <c r="AP6013" s="2">
        <v>42746</v>
      </c>
      <c r="AQ6013" t="s">
        <v>72</v>
      </c>
      <c r="AR6013" t="s">
        <v>72</v>
      </c>
      <c r="AS6013">
        <v>3080</v>
      </c>
      <c r="AT6013" s="4">
        <v>42688</v>
      </c>
      <c r="AU6013" t="s">
        <v>73</v>
      </c>
      <c r="AV6013">
        <v>3080</v>
      </c>
      <c r="AW6013" s="4">
        <v>42688</v>
      </c>
      <c r="BD6013">
        <v>0</v>
      </c>
      <c r="BN6013" t="s">
        <v>74</v>
      </c>
    </row>
    <row r="6014" spans="1:66">
      <c r="A6014">
        <v>104009</v>
      </c>
      <c r="B6014" s="3" t="s">
        <v>591</v>
      </c>
      <c r="C6014" s="1">
        <v>43300101</v>
      </c>
      <c r="D6014" t="s">
        <v>67</v>
      </c>
      <c r="H6014" t="str">
        <f t="shared" si="623"/>
        <v>08641790152</v>
      </c>
      <c r="I6014" t="str">
        <f t="shared" si="623"/>
        <v>08641790152</v>
      </c>
      <c r="K6014" t="str">
        <f>""</f>
        <v/>
      </c>
      <c r="M6014" t="s">
        <v>68</v>
      </c>
      <c r="N6014" t="str">
        <f t="shared" si="624"/>
        <v>FOR</v>
      </c>
      <c r="O6014" t="s">
        <v>69</v>
      </c>
      <c r="P6014" s="3" t="s">
        <v>75</v>
      </c>
      <c r="Q6014">
        <v>2016</v>
      </c>
      <c r="R6014" s="2">
        <v>42409</v>
      </c>
      <c r="S6014" s="2">
        <v>42411</v>
      </c>
      <c r="T6014" s="2">
        <v>42410</v>
      </c>
      <c r="U6014" s="2">
        <v>42470</v>
      </c>
      <c r="V6014" t="s">
        <v>71</v>
      </c>
      <c r="W6014" t="str">
        <f>"             G014690"</f>
        <v xml:space="preserve">             G014690</v>
      </c>
      <c r="X6014">
        <v>878.4</v>
      </c>
      <c r="Y6014">
        <v>0</v>
      </c>
      <c r="Z6014" s="3">
        <v>720</v>
      </c>
      <c r="AA6014">
        <v>218</v>
      </c>
      <c r="AB6014" s="5">
        <v>156960</v>
      </c>
      <c r="AC6014">
        <v>720</v>
      </c>
      <c r="AD6014">
        <v>218</v>
      </c>
      <c r="AE6014" s="1">
        <v>156960</v>
      </c>
      <c r="AF6014">
        <v>0</v>
      </c>
      <c r="AJ6014">
        <v>0</v>
      </c>
      <c r="AK6014">
        <v>0</v>
      </c>
      <c r="AL6014">
        <v>0</v>
      </c>
      <c r="AM6014">
        <v>878.4</v>
      </c>
      <c r="AN6014">
        <v>878.4</v>
      </c>
      <c r="AO6014">
        <v>878.4</v>
      </c>
      <c r="AP6014" s="2">
        <v>42746</v>
      </c>
      <c r="AQ6014" t="s">
        <v>72</v>
      </c>
      <c r="AR6014" t="s">
        <v>72</v>
      </c>
      <c r="AS6014">
        <v>3080</v>
      </c>
      <c r="AT6014" s="4">
        <v>42688</v>
      </c>
      <c r="AU6014" t="s">
        <v>73</v>
      </c>
      <c r="AV6014">
        <v>3080</v>
      </c>
      <c r="AW6014" s="4">
        <v>42688</v>
      </c>
      <c r="BD6014">
        <v>0</v>
      </c>
      <c r="BN6014" t="s">
        <v>74</v>
      </c>
    </row>
    <row r="6015" spans="1:66">
      <c r="A6015">
        <v>104009</v>
      </c>
      <c r="B6015" s="3" t="s">
        <v>591</v>
      </c>
      <c r="C6015" s="1">
        <v>43300101</v>
      </c>
      <c r="D6015" t="s">
        <v>67</v>
      </c>
      <c r="H6015" t="str">
        <f t="shared" si="623"/>
        <v>08641790152</v>
      </c>
      <c r="I6015" t="str">
        <f t="shared" si="623"/>
        <v>08641790152</v>
      </c>
      <c r="K6015" t="str">
        <f>""</f>
        <v/>
      </c>
      <c r="M6015" t="s">
        <v>68</v>
      </c>
      <c r="N6015" t="str">
        <f t="shared" si="624"/>
        <v>FOR</v>
      </c>
      <c r="O6015" t="s">
        <v>69</v>
      </c>
      <c r="P6015" s="3" t="s">
        <v>75</v>
      </c>
      <c r="Q6015">
        <v>2016</v>
      </c>
      <c r="R6015" s="2">
        <v>42412</v>
      </c>
      <c r="S6015" s="2">
        <v>42417</v>
      </c>
      <c r="T6015" s="2">
        <v>42413</v>
      </c>
      <c r="U6015" s="2">
        <v>42473</v>
      </c>
      <c r="V6015" t="s">
        <v>71</v>
      </c>
      <c r="W6015" t="str">
        <f>"             G016545"</f>
        <v xml:space="preserve">             G016545</v>
      </c>
      <c r="X6015" s="1">
        <v>2243.66</v>
      </c>
      <c r="Y6015">
        <v>0</v>
      </c>
      <c r="Z6015" s="5">
        <v>1839.06</v>
      </c>
      <c r="AA6015">
        <v>215</v>
      </c>
      <c r="AB6015" s="5">
        <v>395397.9</v>
      </c>
      <c r="AC6015" s="1">
        <v>1839.06</v>
      </c>
      <c r="AD6015">
        <v>215</v>
      </c>
      <c r="AE6015" s="1">
        <v>395397.9</v>
      </c>
      <c r="AF6015">
        <v>0</v>
      </c>
      <c r="AJ6015">
        <v>0</v>
      </c>
      <c r="AK6015">
        <v>0</v>
      </c>
      <c r="AL6015">
        <v>0</v>
      </c>
      <c r="AM6015" s="1">
        <v>2243.66</v>
      </c>
      <c r="AN6015" s="1">
        <v>2243.66</v>
      </c>
      <c r="AO6015" s="1">
        <v>2243.66</v>
      </c>
      <c r="AP6015" s="2">
        <v>42746</v>
      </c>
      <c r="AQ6015" t="s">
        <v>72</v>
      </c>
      <c r="AR6015" t="s">
        <v>72</v>
      </c>
      <c r="AS6015">
        <v>3080</v>
      </c>
      <c r="AT6015" s="4">
        <v>42688</v>
      </c>
      <c r="AU6015" t="s">
        <v>73</v>
      </c>
      <c r="AV6015">
        <v>3080</v>
      </c>
      <c r="AW6015" s="4">
        <v>42688</v>
      </c>
      <c r="BD6015">
        <v>0</v>
      </c>
      <c r="BN6015" t="s">
        <v>74</v>
      </c>
    </row>
    <row r="6016" spans="1:66">
      <c r="A6016">
        <v>104009</v>
      </c>
      <c r="B6016" s="3" t="s">
        <v>591</v>
      </c>
      <c r="C6016" s="1">
        <v>43300101</v>
      </c>
      <c r="D6016" t="s">
        <v>67</v>
      </c>
      <c r="H6016" t="str">
        <f t="shared" si="623"/>
        <v>08641790152</v>
      </c>
      <c r="I6016" t="str">
        <f t="shared" si="623"/>
        <v>08641790152</v>
      </c>
      <c r="K6016" t="str">
        <f>""</f>
        <v/>
      </c>
      <c r="M6016" t="s">
        <v>68</v>
      </c>
      <c r="N6016" t="str">
        <f t="shared" si="624"/>
        <v>FOR</v>
      </c>
      <c r="O6016" t="s">
        <v>69</v>
      </c>
      <c r="P6016" s="3" t="s">
        <v>75</v>
      </c>
      <c r="Q6016">
        <v>2016</v>
      </c>
      <c r="R6016" s="2">
        <v>42412</v>
      </c>
      <c r="S6016" s="2">
        <v>42417</v>
      </c>
      <c r="T6016" s="2">
        <v>42413</v>
      </c>
      <c r="U6016" s="2">
        <v>42473</v>
      </c>
      <c r="V6016" t="s">
        <v>71</v>
      </c>
      <c r="W6016" t="str">
        <f>"             G016871"</f>
        <v xml:space="preserve">             G016871</v>
      </c>
      <c r="X6016">
        <v>948.28</v>
      </c>
      <c r="Y6016">
        <v>0</v>
      </c>
      <c r="Z6016" s="3">
        <v>777.28</v>
      </c>
      <c r="AA6016">
        <v>215</v>
      </c>
      <c r="AB6016" s="5">
        <v>167115.20000000001</v>
      </c>
      <c r="AC6016">
        <v>777.28</v>
      </c>
      <c r="AD6016">
        <v>215</v>
      </c>
      <c r="AE6016" s="1">
        <v>167115.20000000001</v>
      </c>
      <c r="AF6016">
        <v>0</v>
      </c>
      <c r="AJ6016">
        <v>0</v>
      </c>
      <c r="AK6016">
        <v>0</v>
      </c>
      <c r="AL6016">
        <v>0</v>
      </c>
      <c r="AM6016">
        <v>948.28</v>
      </c>
      <c r="AN6016">
        <v>948.28</v>
      </c>
      <c r="AO6016">
        <v>948.28</v>
      </c>
      <c r="AP6016" s="2">
        <v>42746</v>
      </c>
      <c r="AQ6016" t="s">
        <v>72</v>
      </c>
      <c r="AR6016" t="s">
        <v>72</v>
      </c>
      <c r="AS6016">
        <v>3080</v>
      </c>
      <c r="AT6016" s="4">
        <v>42688</v>
      </c>
      <c r="AU6016" t="s">
        <v>73</v>
      </c>
      <c r="AV6016">
        <v>3080</v>
      </c>
      <c r="AW6016" s="4">
        <v>42688</v>
      </c>
      <c r="BD6016">
        <v>0</v>
      </c>
      <c r="BN6016" t="s">
        <v>74</v>
      </c>
    </row>
    <row r="6017" spans="1:66">
      <c r="A6017">
        <v>104009</v>
      </c>
      <c r="B6017" s="3" t="s">
        <v>591</v>
      </c>
      <c r="C6017" s="1">
        <v>43300101</v>
      </c>
      <c r="D6017" t="s">
        <v>67</v>
      </c>
      <c r="H6017" t="str">
        <f t="shared" si="623"/>
        <v>08641790152</v>
      </c>
      <c r="I6017" t="str">
        <f t="shared" si="623"/>
        <v>08641790152</v>
      </c>
      <c r="K6017" t="str">
        <f>""</f>
        <v/>
      </c>
      <c r="M6017" t="s">
        <v>68</v>
      </c>
      <c r="N6017" t="str">
        <f t="shared" si="624"/>
        <v>FOR</v>
      </c>
      <c r="O6017" t="s">
        <v>69</v>
      </c>
      <c r="P6017" s="3" t="s">
        <v>75</v>
      </c>
      <c r="Q6017">
        <v>2016</v>
      </c>
      <c r="R6017" s="2">
        <v>42412</v>
      </c>
      <c r="S6017" s="2">
        <v>42417</v>
      </c>
      <c r="T6017" s="2">
        <v>42413</v>
      </c>
      <c r="U6017" s="2">
        <v>42473</v>
      </c>
      <c r="V6017" t="s">
        <v>71</v>
      </c>
      <c r="W6017" t="str">
        <f>"             G016882"</f>
        <v xml:space="preserve">             G016882</v>
      </c>
      <c r="X6017">
        <v>903.87</v>
      </c>
      <c r="Y6017">
        <v>0</v>
      </c>
      <c r="Z6017" s="3">
        <v>740.88</v>
      </c>
      <c r="AA6017">
        <v>215</v>
      </c>
      <c r="AB6017" s="5">
        <v>159289.20000000001</v>
      </c>
      <c r="AC6017">
        <v>740.88</v>
      </c>
      <c r="AD6017">
        <v>215</v>
      </c>
      <c r="AE6017" s="1">
        <v>159289.20000000001</v>
      </c>
      <c r="AF6017">
        <v>0</v>
      </c>
      <c r="AJ6017">
        <v>0</v>
      </c>
      <c r="AK6017">
        <v>0</v>
      </c>
      <c r="AL6017">
        <v>0</v>
      </c>
      <c r="AM6017">
        <v>903.87</v>
      </c>
      <c r="AN6017">
        <v>903.87</v>
      </c>
      <c r="AO6017">
        <v>903.87</v>
      </c>
      <c r="AP6017" s="2">
        <v>42746</v>
      </c>
      <c r="AQ6017" t="s">
        <v>72</v>
      </c>
      <c r="AR6017" t="s">
        <v>72</v>
      </c>
      <c r="AS6017">
        <v>3080</v>
      </c>
      <c r="AT6017" s="4">
        <v>42688</v>
      </c>
      <c r="AU6017" t="s">
        <v>73</v>
      </c>
      <c r="AV6017">
        <v>3080</v>
      </c>
      <c r="AW6017" s="4">
        <v>42688</v>
      </c>
      <c r="BD6017">
        <v>0</v>
      </c>
      <c r="BN6017" t="s">
        <v>74</v>
      </c>
    </row>
    <row r="6018" spans="1:66">
      <c r="A6018">
        <v>104009</v>
      </c>
      <c r="B6018" s="3" t="s">
        <v>591</v>
      </c>
      <c r="C6018" s="1">
        <v>43300101</v>
      </c>
      <c r="D6018" t="s">
        <v>67</v>
      </c>
      <c r="H6018" t="str">
        <f t="shared" si="623"/>
        <v>08641790152</v>
      </c>
      <c r="I6018" t="str">
        <f t="shared" si="623"/>
        <v>08641790152</v>
      </c>
      <c r="K6018" t="str">
        <f>""</f>
        <v/>
      </c>
      <c r="M6018" t="s">
        <v>68</v>
      </c>
      <c r="N6018" t="str">
        <f t="shared" si="624"/>
        <v>FOR</v>
      </c>
      <c r="O6018" t="s">
        <v>69</v>
      </c>
      <c r="P6018" s="3" t="s">
        <v>75</v>
      </c>
      <c r="Q6018">
        <v>2016</v>
      </c>
      <c r="R6018" s="2">
        <v>42415</v>
      </c>
      <c r="S6018" s="2">
        <v>42417</v>
      </c>
      <c r="T6018" s="2">
        <v>42416</v>
      </c>
      <c r="U6018" s="2">
        <v>42476</v>
      </c>
      <c r="V6018" t="s">
        <v>71</v>
      </c>
      <c r="W6018" t="str">
        <f>"             G017442"</f>
        <v xml:space="preserve">             G017442</v>
      </c>
      <c r="X6018" s="1">
        <v>4880</v>
      </c>
      <c r="Y6018">
        <v>0</v>
      </c>
      <c r="Z6018" s="5">
        <v>4000</v>
      </c>
      <c r="AA6018">
        <v>212</v>
      </c>
      <c r="AB6018" s="5">
        <v>848000</v>
      </c>
      <c r="AC6018" s="1">
        <v>4000</v>
      </c>
      <c r="AD6018">
        <v>212</v>
      </c>
      <c r="AE6018" s="1">
        <v>848000</v>
      </c>
      <c r="AF6018">
        <v>0</v>
      </c>
      <c r="AJ6018">
        <v>0</v>
      </c>
      <c r="AK6018">
        <v>0</v>
      </c>
      <c r="AL6018">
        <v>0</v>
      </c>
      <c r="AM6018" s="1">
        <v>4880</v>
      </c>
      <c r="AN6018" s="1">
        <v>4880</v>
      </c>
      <c r="AO6018" s="1">
        <v>4880</v>
      </c>
      <c r="AP6018" s="2">
        <v>42746</v>
      </c>
      <c r="AQ6018" t="s">
        <v>72</v>
      </c>
      <c r="AR6018" t="s">
        <v>72</v>
      </c>
      <c r="AS6018">
        <v>3080</v>
      </c>
      <c r="AT6018" s="4">
        <v>42688</v>
      </c>
      <c r="AU6018" t="s">
        <v>73</v>
      </c>
      <c r="AV6018">
        <v>3080</v>
      </c>
      <c r="AW6018" s="4">
        <v>42688</v>
      </c>
      <c r="BD6018">
        <v>0</v>
      </c>
      <c r="BN6018" t="s">
        <v>74</v>
      </c>
    </row>
    <row r="6019" spans="1:66">
      <c r="A6019">
        <v>104009</v>
      </c>
      <c r="B6019" s="3" t="s">
        <v>591</v>
      </c>
      <c r="C6019" s="1">
        <v>43300101</v>
      </c>
      <c r="D6019" t="s">
        <v>67</v>
      </c>
      <c r="H6019" t="str">
        <f t="shared" si="623"/>
        <v>08641790152</v>
      </c>
      <c r="I6019" t="str">
        <f t="shared" si="623"/>
        <v>08641790152</v>
      </c>
      <c r="K6019" t="str">
        <f>""</f>
        <v/>
      </c>
      <c r="M6019" t="s">
        <v>68</v>
      </c>
      <c r="N6019" t="str">
        <f t="shared" si="624"/>
        <v>FOR</v>
      </c>
      <c r="O6019" t="s">
        <v>69</v>
      </c>
      <c r="P6019" s="3" t="s">
        <v>75</v>
      </c>
      <c r="Q6019">
        <v>2016</v>
      </c>
      <c r="R6019" s="2">
        <v>42415</v>
      </c>
      <c r="S6019" s="2">
        <v>42417</v>
      </c>
      <c r="T6019" s="2">
        <v>42416</v>
      </c>
      <c r="U6019" s="2">
        <v>42476</v>
      </c>
      <c r="V6019" t="s">
        <v>71</v>
      </c>
      <c r="W6019" t="str">
        <f>"             G017499"</f>
        <v xml:space="preserve">             G017499</v>
      </c>
      <c r="X6019" s="1">
        <v>3952</v>
      </c>
      <c r="Y6019">
        <v>0</v>
      </c>
      <c r="Z6019" s="5">
        <v>3800</v>
      </c>
      <c r="AA6019">
        <v>212</v>
      </c>
      <c r="AB6019" s="5">
        <v>805600</v>
      </c>
      <c r="AC6019" s="1">
        <v>3800</v>
      </c>
      <c r="AD6019">
        <v>212</v>
      </c>
      <c r="AE6019" s="1">
        <v>805600</v>
      </c>
      <c r="AF6019">
        <v>0</v>
      </c>
      <c r="AJ6019">
        <v>0</v>
      </c>
      <c r="AK6019">
        <v>0</v>
      </c>
      <c r="AL6019">
        <v>0</v>
      </c>
      <c r="AM6019" s="1">
        <v>3952</v>
      </c>
      <c r="AN6019" s="1">
        <v>3952</v>
      </c>
      <c r="AO6019" s="1">
        <v>3952</v>
      </c>
      <c r="AP6019" s="2">
        <v>42746</v>
      </c>
      <c r="AQ6019" t="s">
        <v>72</v>
      </c>
      <c r="AR6019" t="s">
        <v>72</v>
      </c>
      <c r="AS6019">
        <v>3080</v>
      </c>
      <c r="AT6019" s="4">
        <v>42688</v>
      </c>
      <c r="AU6019" t="s">
        <v>73</v>
      </c>
      <c r="AV6019">
        <v>3080</v>
      </c>
      <c r="AW6019" s="4">
        <v>42688</v>
      </c>
      <c r="BD6019">
        <v>0</v>
      </c>
      <c r="BN6019" t="s">
        <v>74</v>
      </c>
    </row>
    <row r="6020" spans="1:66">
      <c r="A6020">
        <v>104009</v>
      </c>
      <c r="B6020" s="3" t="s">
        <v>591</v>
      </c>
      <c r="C6020" s="1">
        <v>43300101</v>
      </c>
      <c r="D6020" t="s">
        <v>67</v>
      </c>
      <c r="H6020" t="str">
        <f t="shared" si="623"/>
        <v>08641790152</v>
      </c>
      <c r="I6020" t="str">
        <f t="shared" si="623"/>
        <v>08641790152</v>
      </c>
      <c r="K6020" t="str">
        <f>""</f>
        <v/>
      </c>
      <c r="M6020" t="s">
        <v>68</v>
      </c>
      <c r="N6020" t="str">
        <f t="shared" si="624"/>
        <v>FOR</v>
      </c>
      <c r="O6020" t="s">
        <v>69</v>
      </c>
      <c r="P6020" s="3" t="s">
        <v>75</v>
      </c>
      <c r="Q6020">
        <v>2016</v>
      </c>
      <c r="R6020" s="2">
        <v>42416</v>
      </c>
      <c r="S6020" s="2">
        <v>42417</v>
      </c>
      <c r="T6020" s="2">
        <v>42417</v>
      </c>
      <c r="U6020" s="2">
        <v>42477</v>
      </c>
      <c r="V6020" t="s">
        <v>71</v>
      </c>
      <c r="W6020" t="str">
        <f>"             G017658"</f>
        <v xml:space="preserve">             G017658</v>
      </c>
      <c r="X6020" s="1">
        <v>4148</v>
      </c>
      <c r="Y6020">
        <v>0</v>
      </c>
      <c r="Z6020" s="5">
        <v>3400</v>
      </c>
      <c r="AA6020">
        <v>211</v>
      </c>
      <c r="AB6020" s="5">
        <v>717400</v>
      </c>
      <c r="AC6020" s="1">
        <v>3400</v>
      </c>
      <c r="AD6020">
        <v>211</v>
      </c>
      <c r="AE6020" s="1">
        <v>717400</v>
      </c>
      <c r="AF6020">
        <v>0</v>
      </c>
      <c r="AJ6020">
        <v>0</v>
      </c>
      <c r="AK6020">
        <v>0</v>
      </c>
      <c r="AL6020">
        <v>0</v>
      </c>
      <c r="AM6020" s="1">
        <v>4148</v>
      </c>
      <c r="AN6020" s="1">
        <v>4148</v>
      </c>
      <c r="AO6020" s="1">
        <v>4148</v>
      </c>
      <c r="AP6020" s="2">
        <v>42746</v>
      </c>
      <c r="AQ6020" t="s">
        <v>72</v>
      </c>
      <c r="AR6020" t="s">
        <v>72</v>
      </c>
      <c r="AS6020">
        <v>3080</v>
      </c>
      <c r="AT6020" s="4">
        <v>42688</v>
      </c>
      <c r="AU6020" t="s">
        <v>73</v>
      </c>
      <c r="AV6020">
        <v>3080</v>
      </c>
      <c r="AW6020" s="4">
        <v>42688</v>
      </c>
      <c r="BD6020">
        <v>0</v>
      </c>
      <c r="BN6020" t="s">
        <v>74</v>
      </c>
    </row>
    <row r="6021" spans="1:66">
      <c r="A6021">
        <v>104009</v>
      </c>
      <c r="B6021" s="3" t="s">
        <v>591</v>
      </c>
      <c r="C6021" s="1">
        <v>43300101</v>
      </c>
      <c r="D6021" t="s">
        <v>67</v>
      </c>
      <c r="H6021" t="str">
        <f t="shared" si="623"/>
        <v>08641790152</v>
      </c>
      <c r="I6021" t="str">
        <f t="shared" si="623"/>
        <v>08641790152</v>
      </c>
      <c r="K6021" t="str">
        <f>""</f>
        <v/>
      </c>
      <c r="M6021" t="s">
        <v>68</v>
      </c>
      <c r="N6021" t="str">
        <f t="shared" si="624"/>
        <v>FOR</v>
      </c>
      <c r="O6021" t="s">
        <v>69</v>
      </c>
      <c r="P6021" s="3" t="s">
        <v>75</v>
      </c>
      <c r="Q6021">
        <v>2016</v>
      </c>
      <c r="R6021" s="2">
        <v>42417</v>
      </c>
      <c r="S6021" s="2">
        <v>42418</v>
      </c>
      <c r="T6021" s="2">
        <v>42418</v>
      </c>
      <c r="U6021" s="2">
        <v>42478</v>
      </c>
      <c r="V6021" t="s">
        <v>71</v>
      </c>
      <c r="W6021" t="str">
        <f>"             G018418"</f>
        <v xml:space="preserve">             G018418</v>
      </c>
      <c r="X6021">
        <v>988</v>
      </c>
      <c r="Y6021">
        <v>0</v>
      </c>
      <c r="Z6021" s="3">
        <v>950</v>
      </c>
      <c r="AA6021">
        <v>210</v>
      </c>
      <c r="AB6021" s="5">
        <v>199500</v>
      </c>
      <c r="AC6021">
        <v>950</v>
      </c>
      <c r="AD6021">
        <v>210</v>
      </c>
      <c r="AE6021" s="1">
        <v>199500</v>
      </c>
      <c r="AF6021">
        <v>0</v>
      </c>
      <c r="AJ6021">
        <v>0</v>
      </c>
      <c r="AK6021">
        <v>0</v>
      </c>
      <c r="AL6021">
        <v>0</v>
      </c>
      <c r="AM6021">
        <v>988</v>
      </c>
      <c r="AN6021">
        <v>988</v>
      </c>
      <c r="AO6021">
        <v>988</v>
      </c>
      <c r="AP6021" s="2">
        <v>42746</v>
      </c>
      <c r="AQ6021" t="s">
        <v>72</v>
      </c>
      <c r="AR6021" t="s">
        <v>72</v>
      </c>
      <c r="AS6021">
        <v>3080</v>
      </c>
      <c r="AT6021" s="4">
        <v>42688</v>
      </c>
      <c r="AU6021" t="s">
        <v>73</v>
      </c>
      <c r="AV6021">
        <v>3080</v>
      </c>
      <c r="AW6021" s="4">
        <v>42688</v>
      </c>
      <c r="BD6021">
        <v>0</v>
      </c>
      <c r="BN6021" t="s">
        <v>74</v>
      </c>
    </row>
    <row r="6022" spans="1:66">
      <c r="A6022">
        <v>104009</v>
      </c>
      <c r="B6022" s="3" t="s">
        <v>591</v>
      </c>
      <c r="C6022" s="1">
        <v>43300101</v>
      </c>
      <c r="D6022" t="s">
        <v>67</v>
      </c>
      <c r="H6022" t="str">
        <f t="shared" si="623"/>
        <v>08641790152</v>
      </c>
      <c r="I6022" t="str">
        <f t="shared" si="623"/>
        <v>08641790152</v>
      </c>
      <c r="K6022" t="str">
        <f>""</f>
        <v/>
      </c>
      <c r="M6022" t="s">
        <v>68</v>
      </c>
      <c r="N6022" t="str">
        <f t="shared" si="624"/>
        <v>FOR</v>
      </c>
      <c r="O6022" t="s">
        <v>69</v>
      </c>
      <c r="P6022" s="3" t="s">
        <v>75</v>
      </c>
      <c r="Q6022">
        <v>2016</v>
      </c>
      <c r="R6022" s="2">
        <v>42418</v>
      </c>
      <c r="S6022" s="2">
        <v>42422</v>
      </c>
      <c r="T6022" s="2">
        <v>42419</v>
      </c>
      <c r="U6022" s="2">
        <v>42479</v>
      </c>
      <c r="V6022" t="s">
        <v>71</v>
      </c>
      <c r="W6022" t="str">
        <f>"             G018926"</f>
        <v xml:space="preserve">             G018926</v>
      </c>
      <c r="X6022" s="1">
        <v>1012.6</v>
      </c>
      <c r="Y6022">
        <v>0</v>
      </c>
      <c r="Z6022" s="3">
        <v>830</v>
      </c>
      <c r="AA6022">
        <v>209</v>
      </c>
      <c r="AB6022" s="5">
        <v>173470</v>
      </c>
      <c r="AC6022">
        <v>830</v>
      </c>
      <c r="AD6022">
        <v>209</v>
      </c>
      <c r="AE6022" s="1">
        <v>173470</v>
      </c>
      <c r="AF6022">
        <v>0</v>
      </c>
      <c r="AJ6022">
        <v>0</v>
      </c>
      <c r="AK6022">
        <v>0</v>
      </c>
      <c r="AL6022">
        <v>0</v>
      </c>
      <c r="AM6022" s="1">
        <v>1012.6</v>
      </c>
      <c r="AN6022" s="1">
        <v>1012.6</v>
      </c>
      <c r="AO6022" s="1">
        <v>1012.6</v>
      </c>
      <c r="AP6022" s="2">
        <v>42746</v>
      </c>
      <c r="AQ6022" t="s">
        <v>72</v>
      </c>
      <c r="AR6022" t="s">
        <v>72</v>
      </c>
      <c r="AS6022">
        <v>3080</v>
      </c>
      <c r="AT6022" s="4">
        <v>42688</v>
      </c>
      <c r="AU6022" t="s">
        <v>73</v>
      </c>
      <c r="AV6022">
        <v>3080</v>
      </c>
      <c r="AW6022" s="4">
        <v>42688</v>
      </c>
      <c r="BD6022">
        <v>0</v>
      </c>
      <c r="BN6022" t="s">
        <v>74</v>
      </c>
    </row>
    <row r="6023" spans="1:66">
      <c r="A6023">
        <v>104009</v>
      </c>
      <c r="B6023" s="3" t="s">
        <v>591</v>
      </c>
      <c r="C6023" s="1">
        <v>43300101</v>
      </c>
      <c r="D6023" t="s">
        <v>67</v>
      </c>
      <c r="H6023" t="str">
        <f t="shared" si="623"/>
        <v>08641790152</v>
      </c>
      <c r="I6023" t="str">
        <f t="shared" si="623"/>
        <v>08641790152</v>
      </c>
      <c r="K6023" t="str">
        <f>""</f>
        <v/>
      </c>
      <c r="M6023" t="s">
        <v>68</v>
      </c>
      <c r="N6023" t="str">
        <f t="shared" si="624"/>
        <v>FOR</v>
      </c>
      <c r="O6023" t="s">
        <v>69</v>
      </c>
      <c r="P6023" s="3" t="s">
        <v>75</v>
      </c>
      <c r="Q6023">
        <v>2016</v>
      </c>
      <c r="R6023" s="2">
        <v>42419</v>
      </c>
      <c r="S6023" s="2">
        <v>42422</v>
      </c>
      <c r="T6023" s="2">
        <v>42420</v>
      </c>
      <c r="U6023" s="2">
        <v>42480</v>
      </c>
      <c r="V6023" t="s">
        <v>71</v>
      </c>
      <c r="W6023" t="str">
        <f>"             G019601"</f>
        <v xml:space="preserve">             G019601</v>
      </c>
      <c r="X6023">
        <v>244</v>
      </c>
      <c r="Y6023">
        <v>0</v>
      </c>
      <c r="Z6023" s="3">
        <v>200</v>
      </c>
      <c r="AA6023">
        <v>208</v>
      </c>
      <c r="AB6023" s="5">
        <v>41600</v>
      </c>
      <c r="AC6023">
        <v>200</v>
      </c>
      <c r="AD6023">
        <v>208</v>
      </c>
      <c r="AE6023" s="1">
        <v>41600</v>
      </c>
      <c r="AF6023">
        <v>0</v>
      </c>
      <c r="AJ6023">
        <v>0</v>
      </c>
      <c r="AK6023">
        <v>0</v>
      </c>
      <c r="AL6023">
        <v>0</v>
      </c>
      <c r="AM6023">
        <v>244</v>
      </c>
      <c r="AN6023">
        <v>244</v>
      </c>
      <c r="AO6023">
        <v>244</v>
      </c>
      <c r="AP6023" s="2">
        <v>42746</v>
      </c>
      <c r="AQ6023" t="s">
        <v>72</v>
      </c>
      <c r="AR6023" t="s">
        <v>72</v>
      </c>
      <c r="AS6023">
        <v>3080</v>
      </c>
      <c r="AT6023" s="4">
        <v>42688</v>
      </c>
      <c r="AU6023" t="s">
        <v>73</v>
      </c>
      <c r="AV6023">
        <v>3080</v>
      </c>
      <c r="AW6023" s="4">
        <v>42688</v>
      </c>
      <c r="BD6023">
        <v>0</v>
      </c>
      <c r="BN6023" t="s">
        <v>74</v>
      </c>
    </row>
    <row r="6024" spans="1:66">
      <c r="A6024">
        <v>104009</v>
      </c>
      <c r="B6024" s="3" t="s">
        <v>591</v>
      </c>
      <c r="C6024" s="1">
        <v>43300101</v>
      </c>
      <c r="D6024" t="s">
        <v>67</v>
      </c>
      <c r="H6024" t="str">
        <f t="shared" si="623"/>
        <v>08641790152</v>
      </c>
      <c r="I6024" t="str">
        <f t="shared" si="623"/>
        <v>08641790152</v>
      </c>
      <c r="K6024" t="str">
        <f>""</f>
        <v/>
      </c>
      <c r="M6024" t="s">
        <v>68</v>
      </c>
      <c r="N6024" t="str">
        <f t="shared" si="624"/>
        <v>FOR</v>
      </c>
      <c r="O6024" t="s">
        <v>69</v>
      </c>
      <c r="P6024" s="3" t="s">
        <v>75</v>
      </c>
      <c r="Q6024">
        <v>2016</v>
      </c>
      <c r="R6024" s="2">
        <v>42419</v>
      </c>
      <c r="S6024" s="2">
        <v>42422</v>
      </c>
      <c r="T6024" s="2">
        <v>42420</v>
      </c>
      <c r="U6024" s="2">
        <v>42480</v>
      </c>
      <c r="V6024" t="s">
        <v>71</v>
      </c>
      <c r="W6024" t="str">
        <f>"             G019607"</f>
        <v xml:space="preserve">             G019607</v>
      </c>
      <c r="X6024" s="1">
        <v>1244.4000000000001</v>
      </c>
      <c r="Y6024">
        <v>0</v>
      </c>
      <c r="Z6024" s="5">
        <v>1020</v>
      </c>
      <c r="AA6024">
        <v>208</v>
      </c>
      <c r="AB6024" s="5">
        <v>212160</v>
      </c>
      <c r="AC6024" s="1">
        <v>1020</v>
      </c>
      <c r="AD6024">
        <v>208</v>
      </c>
      <c r="AE6024" s="1">
        <v>212160</v>
      </c>
      <c r="AF6024">
        <v>0</v>
      </c>
      <c r="AJ6024">
        <v>0</v>
      </c>
      <c r="AK6024">
        <v>0</v>
      </c>
      <c r="AL6024">
        <v>0</v>
      </c>
      <c r="AM6024" s="1">
        <v>1244.4000000000001</v>
      </c>
      <c r="AN6024" s="1">
        <v>1244.4000000000001</v>
      </c>
      <c r="AO6024" s="1">
        <v>1244.4000000000001</v>
      </c>
      <c r="AP6024" s="2">
        <v>42746</v>
      </c>
      <c r="AQ6024" t="s">
        <v>72</v>
      </c>
      <c r="AR6024" t="s">
        <v>72</v>
      </c>
      <c r="AS6024">
        <v>3080</v>
      </c>
      <c r="AT6024" s="4">
        <v>42688</v>
      </c>
      <c r="AU6024" t="s">
        <v>73</v>
      </c>
      <c r="AV6024">
        <v>3080</v>
      </c>
      <c r="AW6024" s="4">
        <v>42688</v>
      </c>
      <c r="BD6024">
        <v>0</v>
      </c>
      <c r="BN6024" t="s">
        <v>74</v>
      </c>
    </row>
    <row r="6025" spans="1:66">
      <c r="A6025">
        <v>104009</v>
      </c>
      <c r="B6025" s="3" t="s">
        <v>591</v>
      </c>
      <c r="C6025" s="1">
        <v>43300101</v>
      </c>
      <c r="D6025" t="s">
        <v>67</v>
      </c>
      <c r="H6025" t="str">
        <f t="shared" si="623"/>
        <v>08641790152</v>
      </c>
      <c r="I6025" t="str">
        <f t="shared" si="623"/>
        <v>08641790152</v>
      </c>
      <c r="K6025" t="str">
        <f>""</f>
        <v/>
      </c>
      <c r="M6025" t="s">
        <v>68</v>
      </c>
      <c r="N6025" t="str">
        <f t="shared" si="624"/>
        <v>FOR</v>
      </c>
      <c r="O6025" t="s">
        <v>69</v>
      </c>
      <c r="P6025" s="3" t="s">
        <v>75</v>
      </c>
      <c r="Q6025">
        <v>2016</v>
      </c>
      <c r="R6025" s="2">
        <v>42422</v>
      </c>
      <c r="S6025" s="2">
        <v>42425</v>
      </c>
      <c r="T6025" s="2">
        <v>42423</v>
      </c>
      <c r="U6025" s="2">
        <v>42483</v>
      </c>
      <c r="V6025" t="s">
        <v>71</v>
      </c>
      <c r="W6025" t="str">
        <f>"             G020048"</f>
        <v xml:space="preserve">             G020048</v>
      </c>
      <c r="X6025">
        <v>370.88</v>
      </c>
      <c r="Y6025">
        <v>0</v>
      </c>
      <c r="Z6025" s="3">
        <v>304</v>
      </c>
      <c r="AA6025">
        <v>205</v>
      </c>
      <c r="AB6025" s="5">
        <v>62320</v>
      </c>
      <c r="AC6025">
        <v>304</v>
      </c>
      <c r="AD6025">
        <v>205</v>
      </c>
      <c r="AE6025" s="1">
        <v>62320</v>
      </c>
      <c r="AF6025">
        <v>0</v>
      </c>
      <c r="AJ6025">
        <v>0</v>
      </c>
      <c r="AK6025">
        <v>0</v>
      </c>
      <c r="AL6025">
        <v>0</v>
      </c>
      <c r="AM6025">
        <v>370.88</v>
      </c>
      <c r="AN6025">
        <v>370.88</v>
      </c>
      <c r="AO6025">
        <v>370.88</v>
      </c>
      <c r="AP6025" s="2">
        <v>42746</v>
      </c>
      <c r="AQ6025" t="s">
        <v>72</v>
      </c>
      <c r="AR6025" t="s">
        <v>72</v>
      </c>
      <c r="AS6025">
        <v>3080</v>
      </c>
      <c r="AT6025" s="4">
        <v>42688</v>
      </c>
      <c r="AU6025" t="s">
        <v>73</v>
      </c>
      <c r="AV6025">
        <v>3080</v>
      </c>
      <c r="AW6025" s="4">
        <v>42688</v>
      </c>
      <c r="BD6025">
        <v>0</v>
      </c>
      <c r="BN6025" t="s">
        <v>74</v>
      </c>
    </row>
    <row r="6026" spans="1:66">
      <c r="A6026">
        <v>104009</v>
      </c>
      <c r="B6026" s="3" t="s">
        <v>591</v>
      </c>
      <c r="C6026" s="1">
        <v>43300101</v>
      </c>
      <c r="D6026" t="s">
        <v>67</v>
      </c>
      <c r="H6026" t="str">
        <f t="shared" si="623"/>
        <v>08641790152</v>
      </c>
      <c r="I6026" t="str">
        <f t="shared" si="623"/>
        <v>08641790152</v>
      </c>
      <c r="K6026" t="str">
        <f>""</f>
        <v/>
      </c>
      <c r="M6026" t="s">
        <v>68</v>
      </c>
      <c r="N6026" t="str">
        <f t="shared" si="624"/>
        <v>FOR</v>
      </c>
      <c r="O6026" t="s">
        <v>69</v>
      </c>
      <c r="P6026" s="3" t="s">
        <v>75</v>
      </c>
      <c r="Q6026">
        <v>2016</v>
      </c>
      <c r="R6026" s="2">
        <v>42422</v>
      </c>
      <c r="S6026" s="2">
        <v>42425</v>
      </c>
      <c r="T6026" s="2">
        <v>42423</v>
      </c>
      <c r="U6026" s="2">
        <v>42483</v>
      </c>
      <c r="V6026" t="s">
        <v>71</v>
      </c>
      <c r="W6026" t="str">
        <f>"             G020115"</f>
        <v xml:space="preserve">             G020115</v>
      </c>
      <c r="X6026" s="1">
        <v>2108.16</v>
      </c>
      <c r="Y6026">
        <v>0</v>
      </c>
      <c r="Z6026" s="5">
        <v>1728</v>
      </c>
      <c r="AA6026">
        <v>205</v>
      </c>
      <c r="AB6026" s="5">
        <v>354240</v>
      </c>
      <c r="AC6026" s="1">
        <v>1728</v>
      </c>
      <c r="AD6026">
        <v>205</v>
      </c>
      <c r="AE6026" s="1">
        <v>354240</v>
      </c>
      <c r="AF6026">
        <v>0</v>
      </c>
      <c r="AJ6026">
        <v>0</v>
      </c>
      <c r="AK6026">
        <v>0</v>
      </c>
      <c r="AL6026">
        <v>0</v>
      </c>
      <c r="AM6026" s="1">
        <v>2108.16</v>
      </c>
      <c r="AN6026" s="1">
        <v>2108.16</v>
      </c>
      <c r="AO6026" s="1">
        <v>2108.16</v>
      </c>
      <c r="AP6026" s="2">
        <v>42746</v>
      </c>
      <c r="AQ6026" t="s">
        <v>72</v>
      </c>
      <c r="AR6026" t="s">
        <v>72</v>
      </c>
      <c r="AS6026">
        <v>3080</v>
      </c>
      <c r="AT6026" s="4">
        <v>42688</v>
      </c>
      <c r="AU6026" t="s">
        <v>73</v>
      </c>
      <c r="AV6026">
        <v>3080</v>
      </c>
      <c r="AW6026" s="4">
        <v>42688</v>
      </c>
      <c r="BD6026">
        <v>0</v>
      </c>
      <c r="BN6026" t="s">
        <v>74</v>
      </c>
    </row>
    <row r="6027" spans="1:66">
      <c r="A6027">
        <v>104009</v>
      </c>
      <c r="B6027" s="3" t="s">
        <v>591</v>
      </c>
      <c r="C6027" s="1">
        <v>43300101</v>
      </c>
      <c r="D6027" t="s">
        <v>67</v>
      </c>
      <c r="H6027" t="str">
        <f t="shared" si="623"/>
        <v>08641790152</v>
      </c>
      <c r="I6027" t="str">
        <f t="shared" si="623"/>
        <v>08641790152</v>
      </c>
      <c r="K6027" t="str">
        <f>""</f>
        <v/>
      </c>
      <c r="M6027" t="s">
        <v>68</v>
      </c>
      <c r="N6027" t="str">
        <f t="shared" si="624"/>
        <v>FOR</v>
      </c>
      <c r="O6027" t="s">
        <v>69</v>
      </c>
      <c r="P6027" s="3" t="s">
        <v>75</v>
      </c>
      <c r="Q6027">
        <v>2016</v>
      </c>
      <c r="R6027" s="2">
        <v>42425</v>
      </c>
      <c r="S6027" s="2">
        <v>42436</v>
      </c>
      <c r="T6027" s="2">
        <v>42426</v>
      </c>
      <c r="U6027" s="2">
        <v>42486</v>
      </c>
      <c r="V6027" t="s">
        <v>71</v>
      </c>
      <c r="W6027" t="str">
        <f>"             G022690"</f>
        <v xml:space="preserve">             G022690</v>
      </c>
      <c r="X6027">
        <v>234.24</v>
      </c>
      <c r="Y6027">
        <v>0</v>
      </c>
      <c r="Z6027" s="3">
        <v>192</v>
      </c>
      <c r="AA6027">
        <v>202</v>
      </c>
      <c r="AB6027" s="5">
        <v>38784</v>
      </c>
      <c r="AC6027">
        <v>192</v>
      </c>
      <c r="AD6027">
        <v>202</v>
      </c>
      <c r="AE6027" s="1">
        <v>38784</v>
      </c>
      <c r="AF6027">
        <v>0</v>
      </c>
      <c r="AJ6027">
        <v>0</v>
      </c>
      <c r="AK6027">
        <v>0</v>
      </c>
      <c r="AL6027">
        <v>0</v>
      </c>
      <c r="AM6027">
        <v>234.24</v>
      </c>
      <c r="AN6027">
        <v>234.24</v>
      </c>
      <c r="AO6027">
        <v>234.24</v>
      </c>
      <c r="AP6027" s="2">
        <v>42746</v>
      </c>
      <c r="AQ6027" t="s">
        <v>72</v>
      </c>
      <c r="AR6027" t="s">
        <v>72</v>
      </c>
      <c r="AS6027">
        <v>3080</v>
      </c>
      <c r="AT6027" s="4">
        <v>42688</v>
      </c>
      <c r="AU6027" t="s">
        <v>73</v>
      </c>
      <c r="AV6027">
        <v>3080</v>
      </c>
      <c r="AW6027" s="4">
        <v>42688</v>
      </c>
      <c r="BD6027">
        <v>0</v>
      </c>
      <c r="BN6027" t="s">
        <v>74</v>
      </c>
    </row>
    <row r="6028" spans="1:66">
      <c r="A6028">
        <v>104009</v>
      </c>
      <c r="B6028" s="3" t="s">
        <v>591</v>
      </c>
      <c r="C6028" s="1">
        <v>43300101</v>
      </c>
      <c r="D6028" t="s">
        <v>67</v>
      </c>
      <c r="H6028" t="str">
        <f t="shared" si="623"/>
        <v>08641790152</v>
      </c>
      <c r="I6028" t="str">
        <f t="shared" si="623"/>
        <v>08641790152</v>
      </c>
      <c r="K6028" t="str">
        <f>""</f>
        <v/>
      </c>
      <c r="M6028" t="s">
        <v>68</v>
      </c>
      <c r="N6028" t="str">
        <f t="shared" si="624"/>
        <v>FOR</v>
      </c>
      <c r="O6028" t="s">
        <v>69</v>
      </c>
      <c r="P6028" s="3" t="s">
        <v>75</v>
      </c>
      <c r="Q6028">
        <v>2016</v>
      </c>
      <c r="R6028" s="2">
        <v>42429</v>
      </c>
      <c r="S6028" s="2">
        <v>42436</v>
      </c>
      <c r="T6028" s="2">
        <v>42430</v>
      </c>
      <c r="U6028" s="2">
        <v>42490</v>
      </c>
      <c r="V6028" t="s">
        <v>71</v>
      </c>
      <c r="W6028" t="str">
        <f>"             G023467"</f>
        <v xml:space="preserve">             G023467</v>
      </c>
      <c r="X6028">
        <v>951.6</v>
      </c>
      <c r="Y6028">
        <v>0</v>
      </c>
      <c r="Z6028" s="3">
        <v>780</v>
      </c>
      <c r="AA6028">
        <v>198</v>
      </c>
      <c r="AB6028" s="5">
        <v>154440</v>
      </c>
      <c r="AC6028">
        <v>780</v>
      </c>
      <c r="AD6028">
        <v>198</v>
      </c>
      <c r="AE6028" s="1">
        <v>154440</v>
      </c>
      <c r="AF6028">
        <v>0</v>
      </c>
      <c r="AJ6028">
        <v>0</v>
      </c>
      <c r="AK6028">
        <v>0</v>
      </c>
      <c r="AL6028">
        <v>0</v>
      </c>
      <c r="AM6028">
        <v>951.6</v>
      </c>
      <c r="AN6028">
        <v>951.6</v>
      </c>
      <c r="AO6028">
        <v>951.6</v>
      </c>
      <c r="AP6028" s="2">
        <v>42746</v>
      </c>
      <c r="AQ6028" t="s">
        <v>72</v>
      </c>
      <c r="AR6028" t="s">
        <v>72</v>
      </c>
      <c r="AS6028">
        <v>3080</v>
      </c>
      <c r="AT6028" s="4">
        <v>42688</v>
      </c>
      <c r="AU6028" t="s">
        <v>73</v>
      </c>
      <c r="AV6028">
        <v>3080</v>
      </c>
      <c r="AW6028" s="4">
        <v>42688</v>
      </c>
      <c r="BD6028">
        <v>0</v>
      </c>
      <c r="BN6028" t="s">
        <v>74</v>
      </c>
    </row>
    <row r="6029" spans="1:66">
      <c r="A6029">
        <v>104009</v>
      </c>
      <c r="B6029" s="3" t="s">
        <v>591</v>
      </c>
      <c r="C6029" s="1">
        <v>43300101</v>
      </c>
      <c r="D6029" t="s">
        <v>67</v>
      </c>
      <c r="H6029" t="str">
        <f t="shared" ref="H6029:I6048" si="625">"08641790152"</f>
        <v>08641790152</v>
      </c>
      <c r="I6029" t="str">
        <f t="shared" si="625"/>
        <v>08641790152</v>
      </c>
      <c r="K6029" t="str">
        <f>""</f>
        <v/>
      </c>
      <c r="M6029" t="s">
        <v>68</v>
      </c>
      <c r="N6029" t="str">
        <f t="shared" si="624"/>
        <v>FOR</v>
      </c>
      <c r="O6029" t="s">
        <v>69</v>
      </c>
      <c r="P6029" s="3" t="s">
        <v>75</v>
      </c>
      <c r="Q6029">
        <v>2016</v>
      </c>
      <c r="R6029" s="2">
        <v>42429</v>
      </c>
      <c r="S6029" s="2">
        <v>42436</v>
      </c>
      <c r="T6029" s="2">
        <v>42430</v>
      </c>
      <c r="U6029" s="2">
        <v>42490</v>
      </c>
      <c r="V6029" t="s">
        <v>71</v>
      </c>
      <c r="W6029" t="str">
        <f>"             G023484"</f>
        <v xml:space="preserve">             G023484</v>
      </c>
      <c r="X6029">
        <v>67.099999999999994</v>
      </c>
      <c r="Y6029">
        <v>0</v>
      </c>
      <c r="Z6029" s="3">
        <v>55</v>
      </c>
      <c r="AA6029">
        <v>198</v>
      </c>
      <c r="AB6029" s="5">
        <v>10890</v>
      </c>
      <c r="AC6029">
        <v>55</v>
      </c>
      <c r="AD6029">
        <v>198</v>
      </c>
      <c r="AE6029" s="1">
        <v>10890</v>
      </c>
      <c r="AF6029">
        <v>0</v>
      </c>
      <c r="AJ6029">
        <v>0</v>
      </c>
      <c r="AK6029">
        <v>0</v>
      </c>
      <c r="AL6029">
        <v>0</v>
      </c>
      <c r="AM6029">
        <v>67.099999999999994</v>
      </c>
      <c r="AN6029">
        <v>67.099999999999994</v>
      </c>
      <c r="AO6029">
        <v>67.099999999999994</v>
      </c>
      <c r="AP6029" s="2">
        <v>42746</v>
      </c>
      <c r="AQ6029" t="s">
        <v>72</v>
      </c>
      <c r="AR6029" t="s">
        <v>72</v>
      </c>
      <c r="AS6029">
        <v>3080</v>
      </c>
      <c r="AT6029" s="4">
        <v>42688</v>
      </c>
      <c r="AU6029" t="s">
        <v>73</v>
      </c>
      <c r="AV6029">
        <v>3080</v>
      </c>
      <c r="AW6029" s="4">
        <v>42688</v>
      </c>
      <c r="BD6029">
        <v>0</v>
      </c>
      <c r="BN6029" t="s">
        <v>74</v>
      </c>
    </row>
    <row r="6030" spans="1:66">
      <c r="A6030">
        <v>104009</v>
      </c>
      <c r="B6030" s="3" t="s">
        <v>591</v>
      </c>
      <c r="C6030" s="1">
        <v>43300101</v>
      </c>
      <c r="D6030" t="s">
        <v>67</v>
      </c>
      <c r="H6030" t="str">
        <f t="shared" si="625"/>
        <v>08641790152</v>
      </c>
      <c r="I6030" t="str">
        <f t="shared" si="625"/>
        <v>08641790152</v>
      </c>
      <c r="K6030" t="str">
        <f>""</f>
        <v/>
      </c>
      <c r="M6030" t="s">
        <v>68</v>
      </c>
      <c r="N6030" t="str">
        <f t="shared" si="624"/>
        <v>FOR</v>
      </c>
      <c r="O6030" t="s">
        <v>69</v>
      </c>
      <c r="P6030" s="3" t="s">
        <v>75</v>
      </c>
      <c r="Q6030">
        <v>2016</v>
      </c>
      <c r="R6030" s="2">
        <v>42429</v>
      </c>
      <c r="S6030" s="2">
        <v>42436</v>
      </c>
      <c r="T6030" s="2">
        <v>42430</v>
      </c>
      <c r="U6030" s="2">
        <v>42490</v>
      </c>
      <c r="V6030" t="s">
        <v>71</v>
      </c>
      <c r="W6030" t="str">
        <f>"             G023511"</f>
        <v xml:space="preserve">             G023511</v>
      </c>
      <c r="X6030">
        <v>433.1</v>
      </c>
      <c r="Y6030">
        <v>0</v>
      </c>
      <c r="Z6030" s="3">
        <v>355</v>
      </c>
      <c r="AA6030">
        <v>198</v>
      </c>
      <c r="AB6030" s="5">
        <v>70290</v>
      </c>
      <c r="AC6030">
        <v>355</v>
      </c>
      <c r="AD6030">
        <v>198</v>
      </c>
      <c r="AE6030" s="1">
        <v>70290</v>
      </c>
      <c r="AF6030">
        <v>0</v>
      </c>
      <c r="AJ6030">
        <v>0</v>
      </c>
      <c r="AK6030">
        <v>0</v>
      </c>
      <c r="AL6030">
        <v>0</v>
      </c>
      <c r="AM6030">
        <v>433.1</v>
      </c>
      <c r="AN6030">
        <v>433.1</v>
      </c>
      <c r="AO6030">
        <v>433.1</v>
      </c>
      <c r="AP6030" s="2">
        <v>42746</v>
      </c>
      <c r="AQ6030" t="s">
        <v>72</v>
      </c>
      <c r="AR6030" t="s">
        <v>72</v>
      </c>
      <c r="AS6030">
        <v>3080</v>
      </c>
      <c r="AT6030" s="4">
        <v>42688</v>
      </c>
      <c r="AU6030" t="s">
        <v>73</v>
      </c>
      <c r="AV6030">
        <v>3080</v>
      </c>
      <c r="AW6030" s="4">
        <v>42688</v>
      </c>
      <c r="BD6030">
        <v>0</v>
      </c>
      <c r="BN6030" t="s">
        <v>74</v>
      </c>
    </row>
    <row r="6031" spans="1:66">
      <c r="A6031">
        <v>104009</v>
      </c>
      <c r="B6031" s="3" t="s">
        <v>591</v>
      </c>
      <c r="C6031" s="1">
        <v>43300101</v>
      </c>
      <c r="D6031" t="s">
        <v>67</v>
      </c>
      <c r="H6031" t="str">
        <f t="shared" si="625"/>
        <v>08641790152</v>
      </c>
      <c r="I6031" t="str">
        <f t="shared" si="625"/>
        <v>08641790152</v>
      </c>
      <c r="K6031" t="str">
        <f>""</f>
        <v/>
      </c>
      <c r="M6031" t="s">
        <v>68</v>
      </c>
      <c r="N6031" t="str">
        <f t="shared" si="624"/>
        <v>FOR</v>
      </c>
      <c r="O6031" t="s">
        <v>69</v>
      </c>
      <c r="P6031" s="3" t="s">
        <v>75</v>
      </c>
      <c r="Q6031">
        <v>2016</v>
      </c>
      <c r="R6031" s="2">
        <v>42429</v>
      </c>
      <c r="S6031" s="2">
        <v>42436</v>
      </c>
      <c r="T6031" s="2">
        <v>42430</v>
      </c>
      <c r="U6031" s="2">
        <v>42490</v>
      </c>
      <c r="V6031" t="s">
        <v>71</v>
      </c>
      <c r="W6031" t="str">
        <f>"             G023513"</f>
        <v xml:space="preserve">             G023513</v>
      </c>
      <c r="X6031">
        <v>358.68</v>
      </c>
      <c r="Y6031">
        <v>0</v>
      </c>
      <c r="Z6031" s="3">
        <v>294</v>
      </c>
      <c r="AA6031">
        <v>198</v>
      </c>
      <c r="AB6031" s="5">
        <v>58212</v>
      </c>
      <c r="AC6031">
        <v>294</v>
      </c>
      <c r="AD6031">
        <v>198</v>
      </c>
      <c r="AE6031" s="1">
        <v>58212</v>
      </c>
      <c r="AF6031">
        <v>0</v>
      </c>
      <c r="AJ6031">
        <v>0</v>
      </c>
      <c r="AK6031">
        <v>0</v>
      </c>
      <c r="AL6031">
        <v>0</v>
      </c>
      <c r="AM6031">
        <v>358.68</v>
      </c>
      <c r="AN6031">
        <v>358.68</v>
      </c>
      <c r="AO6031">
        <v>358.68</v>
      </c>
      <c r="AP6031" s="2">
        <v>42746</v>
      </c>
      <c r="AQ6031" t="s">
        <v>72</v>
      </c>
      <c r="AR6031" t="s">
        <v>72</v>
      </c>
      <c r="AS6031">
        <v>3080</v>
      </c>
      <c r="AT6031" s="4">
        <v>42688</v>
      </c>
      <c r="AU6031" t="s">
        <v>73</v>
      </c>
      <c r="AV6031">
        <v>3080</v>
      </c>
      <c r="AW6031" s="4">
        <v>42688</v>
      </c>
      <c r="BD6031">
        <v>0</v>
      </c>
      <c r="BN6031" t="s">
        <v>74</v>
      </c>
    </row>
    <row r="6032" spans="1:66">
      <c r="A6032">
        <v>104009</v>
      </c>
      <c r="B6032" s="3" t="s">
        <v>591</v>
      </c>
      <c r="C6032" s="1">
        <v>43300101</v>
      </c>
      <c r="D6032" t="s">
        <v>67</v>
      </c>
      <c r="H6032" t="str">
        <f t="shared" si="625"/>
        <v>08641790152</v>
      </c>
      <c r="I6032" t="str">
        <f t="shared" si="625"/>
        <v>08641790152</v>
      </c>
      <c r="K6032" t="str">
        <f>""</f>
        <v/>
      </c>
      <c r="M6032" t="s">
        <v>68</v>
      </c>
      <c r="N6032" t="str">
        <f t="shared" si="624"/>
        <v>FOR</v>
      </c>
      <c r="O6032" t="s">
        <v>69</v>
      </c>
      <c r="P6032" s="3" t="s">
        <v>75</v>
      </c>
      <c r="Q6032">
        <v>2016</v>
      </c>
      <c r="R6032" s="2">
        <v>42429</v>
      </c>
      <c r="S6032" s="2">
        <v>42436</v>
      </c>
      <c r="T6032" s="2">
        <v>42430</v>
      </c>
      <c r="U6032" s="2">
        <v>42490</v>
      </c>
      <c r="V6032" t="s">
        <v>71</v>
      </c>
      <c r="W6032" t="str">
        <f>"             G023530"</f>
        <v xml:space="preserve">             G023530</v>
      </c>
      <c r="X6032">
        <v>170.8</v>
      </c>
      <c r="Y6032">
        <v>0</v>
      </c>
      <c r="Z6032" s="3">
        <v>140</v>
      </c>
      <c r="AA6032">
        <v>198</v>
      </c>
      <c r="AB6032" s="5">
        <v>27720</v>
      </c>
      <c r="AC6032">
        <v>140</v>
      </c>
      <c r="AD6032">
        <v>198</v>
      </c>
      <c r="AE6032" s="1">
        <v>27720</v>
      </c>
      <c r="AF6032">
        <v>0</v>
      </c>
      <c r="AJ6032">
        <v>0</v>
      </c>
      <c r="AK6032">
        <v>0</v>
      </c>
      <c r="AL6032">
        <v>0</v>
      </c>
      <c r="AM6032">
        <v>170.8</v>
      </c>
      <c r="AN6032">
        <v>170.8</v>
      </c>
      <c r="AO6032">
        <v>170.8</v>
      </c>
      <c r="AP6032" s="2">
        <v>42746</v>
      </c>
      <c r="AQ6032" t="s">
        <v>72</v>
      </c>
      <c r="AR6032" t="s">
        <v>72</v>
      </c>
      <c r="AS6032">
        <v>3080</v>
      </c>
      <c r="AT6032" s="4">
        <v>42688</v>
      </c>
      <c r="AU6032" t="s">
        <v>73</v>
      </c>
      <c r="AV6032">
        <v>3080</v>
      </c>
      <c r="AW6032" s="4">
        <v>42688</v>
      </c>
      <c r="BD6032">
        <v>0</v>
      </c>
      <c r="BN6032" t="s">
        <v>74</v>
      </c>
    </row>
    <row r="6033" spans="1:66">
      <c r="A6033">
        <v>104009</v>
      </c>
      <c r="B6033" s="3" t="s">
        <v>591</v>
      </c>
      <c r="C6033" s="1">
        <v>43300101</v>
      </c>
      <c r="D6033" t="s">
        <v>67</v>
      </c>
      <c r="H6033" t="str">
        <f t="shared" si="625"/>
        <v>08641790152</v>
      </c>
      <c r="I6033" t="str">
        <f t="shared" si="625"/>
        <v>08641790152</v>
      </c>
      <c r="K6033" t="str">
        <f>""</f>
        <v/>
      </c>
      <c r="M6033" t="s">
        <v>68</v>
      </c>
      <c r="N6033" t="str">
        <f t="shared" si="624"/>
        <v>FOR</v>
      </c>
      <c r="O6033" t="s">
        <v>69</v>
      </c>
      <c r="P6033" s="3" t="s">
        <v>75</v>
      </c>
      <c r="Q6033">
        <v>2016</v>
      </c>
      <c r="R6033" s="2">
        <v>42430</v>
      </c>
      <c r="S6033" s="2">
        <v>42436</v>
      </c>
      <c r="T6033" s="2">
        <v>42431</v>
      </c>
      <c r="U6033" s="2">
        <v>42491</v>
      </c>
      <c r="V6033" t="s">
        <v>71</v>
      </c>
      <c r="W6033" t="str">
        <f>"             G024360"</f>
        <v xml:space="preserve">             G024360</v>
      </c>
      <c r="X6033">
        <v>679.3</v>
      </c>
      <c r="Y6033">
        <v>0</v>
      </c>
      <c r="Z6033" s="3">
        <v>556.79999999999995</v>
      </c>
      <c r="AA6033">
        <v>228</v>
      </c>
      <c r="AB6033" s="5">
        <v>126950.39999999999</v>
      </c>
      <c r="AC6033">
        <v>556.79999999999995</v>
      </c>
      <c r="AD6033">
        <v>228</v>
      </c>
      <c r="AE6033" s="1">
        <v>126950.39999999999</v>
      </c>
      <c r="AF6033">
        <v>122.5</v>
      </c>
      <c r="AJ6033">
        <v>0</v>
      </c>
      <c r="AK6033">
        <v>0</v>
      </c>
      <c r="AL6033">
        <v>0</v>
      </c>
      <c r="AM6033">
        <v>679.3</v>
      </c>
      <c r="AN6033">
        <v>679.3</v>
      </c>
      <c r="AO6033">
        <v>679.3</v>
      </c>
      <c r="AP6033" s="2">
        <v>42746</v>
      </c>
      <c r="AQ6033" t="s">
        <v>72</v>
      </c>
      <c r="AR6033" t="s">
        <v>72</v>
      </c>
      <c r="AS6033">
        <v>3517</v>
      </c>
      <c r="AT6033" s="4">
        <v>42719</v>
      </c>
      <c r="AU6033" t="s">
        <v>73</v>
      </c>
      <c r="AV6033">
        <v>3517</v>
      </c>
      <c r="AW6033" s="4">
        <v>42719</v>
      </c>
      <c r="BD6033">
        <v>122.5</v>
      </c>
      <c r="BN6033" t="s">
        <v>74</v>
      </c>
    </row>
    <row r="6034" spans="1:66">
      <c r="A6034">
        <v>104009</v>
      </c>
      <c r="B6034" s="3" t="s">
        <v>591</v>
      </c>
      <c r="C6034" s="1">
        <v>43300101</v>
      </c>
      <c r="D6034" t="s">
        <v>67</v>
      </c>
      <c r="H6034" t="str">
        <f t="shared" si="625"/>
        <v>08641790152</v>
      </c>
      <c r="I6034" t="str">
        <f t="shared" si="625"/>
        <v>08641790152</v>
      </c>
      <c r="K6034" t="str">
        <f>""</f>
        <v/>
      </c>
      <c r="M6034" t="s">
        <v>68</v>
      </c>
      <c r="N6034" t="str">
        <f t="shared" si="624"/>
        <v>FOR</v>
      </c>
      <c r="O6034" t="s">
        <v>69</v>
      </c>
      <c r="P6034" s="3" t="s">
        <v>75</v>
      </c>
      <c r="Q6034">
        <v>2016</v>
      </c>
      <c r="R6034" s="2">
        <v>42436</v>
      </c>
      <c r="S6034" s="2">
        <v>42438</v>
      </c>
      <c r="T6034" s="2">
        <v>42437</v>
      </c>
      <c r="U6034" s="2">
        <v>42497</v>
      </c>
      <c r="V6034" t="s">
        <v>71</v>
      </c>
      <c r="W6034" t="str">
        <f>"             G026476"</f>
        <v xml:space="preserve">             G026476</v>
      </c>
      <c r="X6034" s="1">
        <v>10370</v>
      </c>
      <c r="Y6034">
        <v>0</v>
      </c>
      <c r="Z6034" s="5">
        <v>8500</v>
      </c>
      <c r="AA6034">
        <v>222</v>
      </c>
      <c r="AB6034" s="5">
        <v>1887000</v>
      </c>
      <c r="AC6034" s="1">
        <v>8500</v>
      </c>
      <c r="AD6034">
        <v>222</v>
      </c>
      <c r="AE6034" s="1">
        <v>1887000</v>
      </c>
      <c r="AF6034" s="1">
        <v>1870</v>
      </c>
      <c r="AJ6034">
        <v>0</v>
      </c>
      <c r="AK6034">
        <v>0</v>
      </c>
      <c r="AL6034">
        <v>0</v>
      </c>
      <c r="AM6034" s="1">
        <v>10370</v>
      </c>
      <c r="AN6034" s="1">
        <v>10370</v>
      </c>
      <c r="AO6034" s="1">
        <v>10370</v>
      </c>
      <c r="AP6034" s="2">
        <v>42746</v>
      </c>
      <c r="AQ6034" t="s">
        <v>72</v>
      </c>
      <c r="AR6034" t="s">
        <v>72</v>
      </c>
      <c r="AS6034">
        <v>3517</v>
      </c>
      <c r="AT6034" s="4">
        <v>42719</v>
      </c>
      <c r="AU6034" t="s">
        <v>73</v>
      </c>
      <c r="AV6034">
        <v>3517</v>
      </c>
      <c r="AW6034" s="4">
        <v>42719</v>
      </c>
      <c r="BD6034" s="1">
        <v>1870</v>
      </c>
      <c r="BN6034" t="s">
        <v>74</v>
      </c>
    </row>
    <row r="6035" spans="1:66">
      <c r="A6035">
        <v>104009</v>
      </c>
      <c r="B6035" s="3" t="s">
        <v>591</v>
      </c>
      <c r="C6035" s="1">
        <v>43300101</v>
      </c>
      <c r="D6035" t="s">
        <v>67</v>
      </c>
      <c r="H6035" t="str">
        <f t="shared" si="625"/>
        <v>08641790152</v>
      </c>
      <c r="I6035" t="str">
        <f t="shared" si="625"/>
        <v>08641790152</v>
      </c>
      <c r="K6035" t="str">
        <f>""</f>
        <v/>
      </c>
      <c r="M6035" t="s">
        <v>68</v>
      </c>
      <c r="N6035" t="str">
        <f t="shared" si="624"/>
        <v>FOR</v>
      </c>
      <c r="O6035" t="s">
        <v>69</v>
      </c>
      <c r="P6035" s="3" t="s">
        <v>75</v>
      </c>
      <c r="Q6035">
        <v>2016</v>
      </c>
      <c r="R6035" s="2">
        <v>42438</v>
      </c>
      <c r="S6035" s="2">
        <v>42443</v>
      </c>
      <c r="T6035" s="2">
        <v>42439</v>
      </c>
      <c r="U6035" s="2">
        <v>42499</v>
      </c>
      <c r="V6035" t="s">
        <v>71</v>
      </c>
      <c r="W6035" t="str">
        <f>"             G027737"</f>
        <v xml:space="preserve">             G027737</v>
      </c>
      <c r="X6035" s="1">
        <v>1018.94</v>
      </c>
      <c r="Y6035">
        <v>0</v>
      </c>
      <c r="Z6035" s="3">
        <v>835.2</v>
      </c>
      <c r="AA6035">
        <v>220</v>
      </c>
      <c r="AB6035" s="5">
        <v>183744</v>
      </c>
      <c r="AC6035">
        <v>835.2</v>
      </c>
      <c r="AD6035">
        <v>220</v>
      </c>
      <c r="AE6035" s="1">
        <v>183744</v>
      </c>
      <c r="AF6035">
        <v>183.74</v>
      </c>
      <c r="AJ6035">
        <v>0</v>
      </c>
      <c r="AK6035">
        <v>0</v>
      </c>
      <c r="AL6035">
        <v>0</v>
      </c>
      <c r="AM6035" s="1">
        <v>1018.94</v>
      </c>
      <c r="AN6035" s="1">
        <v>1018.94</v>
      </c>
      <c r="AO6035" s="1">
        <v>1018.94</v>
      </c>
      <c r="AP6035" s="2">
        <v>42746</v>
      </c>
      <c r="AQ6035" t="s">
        <v>72</v>
      </c>
      <c r="AR6035" t="s">
        <v>72</v>
      </c>
      <c r="AS6035">
        <v>3517</v>
      </c>
      <c r="AT6035" s="4">
        <v>42719</v>
      </c>
      <c r="AU6035" t="s">
        <v>73</v>
      </c>
      <c r="AV6035">
        <v>3517</v>
      </c>
      <c r="AW6035" s="4">
        <v>42719</v>
      </c>
      <c r="BD6035">
        <v>183.74</v>
      </c>
      <c r="BN6035" t="s">
        <v>74</v>
      </c>
    </row>
    <row r="6036" spans="1:66">
      <c r="A6036">
        <v>104009</v>
      </c>
      <c r="B6036" s="3" t="s">
        <v>591</v>
      </c>
      <c r="C6036" s="1">
        <v>43300101</v>
      </c>
      <c r="D6036" t="s">
        <v>67</v>
      </c>
      <c r="H6036" t="str">
        <f t="shared" si="625"/>
        <v>08641790152</v>
      </c>
      <c r="I6036" t="str">
        <f t="shared" si="625"/>
        <v>08641790152</v>
      </c>
      <c r="K6036" t="str">
        <f>""</f>
        <v/>
      </c>
      <c r="M6036" t="s">
        <v>68</v>
      </c>
      <c r="N6036" t="str">
        <f t="shared" si="624"/>
        <v>FOR</v>
      </c>
      <c r="O6036" t="s">
        <v>69</v>
      </c>
      <c r="P6036" s="3" t="s">
        <v>75</v>
      </c>
      <c r="Q6036">
        <v>2016</v>
      </c>
      <c r="R6036" s="2">
        <v>42439</v>
      </c>
      <c r="S6036" s="2">
        <v>42446</v>
      </c>
      <c r="T6036" s="2">
        <v>42445</v>
      </c>
      <c r="U6036" s="2">
        <v>42505</v>
      </c>
      <c r="V6036" t="s">
        <v>71</v>
      </c>
      <c r="W6036" t="str">
        <f>"             G028111"</f>
        <v xml:space="preserve">             G028111</v>
      </c>
      <c r="X6036" s="1">
        <v>1748.26</v>
      </c>
      <c r="Y6036">
        <v>0</v>
      </c>
      <c r="Z6036" s="5">
        <v>1433</v>
      </c>
      <c r="AA6036">
        <v>214</v>
      </c>
      <c r="AB6036" s="5">
        <v>306662</v>
      </c>
      <c r="AC6036" s="1">
        <v>1433</v>
      </c>
      <c r="AD6036">
        <v>214</v>
      </c>
      <c r="AE6036" s="1">
        <v>306662</v>
      </c>
      <c r="AF6036">
        <v>315.26</v>
      </c>
      <c r="AJ6036">
        <v>0</v>
      </c>
      <c r="AK6036">
        <v>0</v>
      </c>
      <c r="AL6036">
        <v>0</v>
      </c>
      <c r="AM6036" s="1">
        <v>1748.26</v>
      </c>
      <c r="AN6036" s="1">
        <v>1748.26</v>
      </c>
      <c r="AO6036" s="1">
        <v>1748.26</v>
      </c>
      <c r="AP6036" s="2">
        <v>42746</v>
      </c>
      <c r="AQ6036" t="s">
        <v>72</v>
      </c>
      <c r="AR6036" t="s">
        <v>72</v>
      </c>
      <c r="AS6036">
        <v>3517</v>
      </c>
      <c r="AT6036" s="4">
        <v>42719</v>
      </c>
      <c r="AU6036" t="s">
        <v>73</v>
      </c>
      <c r="AV6036">
        <v>3517</v>
      </c>
      <c r="AW6036" s="4">
        <v>42719</v>
      </c>
      <c r="BD6036">
        <v>315.26</v>
      </c>
      <c r="BN6036" t="s">
        <v>74</v>
      </c>
    </row>
    <row r="6037" spans="1:66">
      <c r="A6037">
        <v>104009</v>
      </c>
      <c r="B6037" s="3" t="s">
        <v>591</v>
      </c>
      <c r="C6037" s="1">
        <v>43300101</v>
      </c>
      <c r="D6037" t="s">
        <v>67</v>
      </c>
      <c r="H6037" t="str">
        <f t="shared" si="625"/>
        <v>08641790152</v>
      </c>
      <c r="I6037" t="str">
        <f t="shared" si="625"/>
        <v>08641790152</v>
      </c>
      <c r="K6037" t="str">
        <f>""</f>
        <v/>
      </c>
      <c r="M6037" t="s">
        <v>68</v>
      </c>
      <c r="N6037" t="str">
        <f t="shared" si="624"/>
        <v>FOR</v>
      </c>
      <c r="O6037" t="s">
        <v>69</v>
      </c>
      <c r="P6037" s="3" t="s">
        <v>75</v>
      </c>
      <c r="Q6037">
        <v>2016</v>
      </c>
      <c r="R6037" s="2">
        <v>42447</v>
      </c>
      <c r="S6037" s="2">
        <v>42448</v>
      </c>
      <c r="T6037" s="2">
        <v>42448</v>
      </c>
      <c r="U6037" s="2">
        <v>42508</v>
      </c>
      <c r="V6037" t="s">
        <v>71</v>
      </c>
      <c r="W6037" t="str">
        <f>"             G031966"</f>
        <v xml:space="preserve">             G031966</v>
      </c>
      <c r="X6037" s="1">
        <v>2049.6</v>
      </c>
      <c r="Y6037">
        <v>0</v>
      </c>
      <c r="Z6037" s="5">
        <v>1680</v>
      </c>
      <c r="AA6037">
        <v>211</v>
      </c>
      <c r="AB6037" s="5">
        <v>354480</v>
      </c>
      <c r="AC6037" s="1">
        <v>1680</v>
      </c>
      <c r="AD6037">
        <v>211</v>
      </c>
      <c r="AE6037" s="1">
        <v>354480</v>
      </c>
      <c r="AF6037">
        <v>369.6</v>
      </c>
      <c r="AJ6037">
        <v>0</v>
      </c>
      <c r="AK6037">
        <v>0</v>
      </c>
      <c r="AL6037">
        <v>0</v>
      </c>
      <c r="AM6037" s="1">
        <v>2049.6</v>
      </c>
      <c r="AN6037" s="1">
        <v>2049.6</v>
      </c>
      <c r="AO6037" s="1">
        <v>2049.6</v>
      </c>
      <c r="AP6037" s="2">
        <v>42746</v>
      </c>
      <c r="AQ6037" t="s">
        <v>72</v>
      </c>
      <c r="AR6037" t="s">
        <v>72</v>
      </c>
      <c r="AS6037">
        <v>3517</v>
      </c>
      <c r="AT6037" s="4">
        <v>42719</v>
      </c>
      <c r="AU6037" t="s">
        <v>73</v>
      </c>
      <c r="AV6037">
        <v>3517</v>
      </c>
      <c r="AW6037" s="4">
        <v>42719</v>
      </c>
      <c r="BD6037">
        <v>369.6</v>
      </c>
      <c r="BN6037" t="s">
        <v>74</v>
      </c>
    </row>
    <row r="6038" spans="1:66">
      <c r="A6038">
        <v>104009</v>
      </c>
      <c r="B6038" s="3" t="s">
        <v>591</v>
      </c>
      <c r="C6038" s="1">
        <v>43300101</v>
      </c>
      <c r="D6038" t="s">
        <v>67</v>
      </c>
      <c r="H6038" t="str">
        <f t="shared" si="625"/>
        <v>08641790152</v>
      </c>
      <c r="I6038" t="str">
        <f t="shared" si="625"/>
        <v>08641790152</v>
      </c>
      <c r="K6038" t="str">
        <f>""</f>
        <v/>
      </c>
      <c r="M6038" t="s">
        <v>68</v>
      </c>
      <c r="N6038" t="str">
        <f t="shared" si="624"/>
        <v>FOR</v>
      </c>
      <c r="O6038" t="s">
        <v>69</v>
      </c>
      <c r="P6038" s="3" t="s">
        <v>75</v>
      </c>
      <c r="Q6038">
        <v>2016</v>
      </c>
      <c r="R6038" s="2">
        <v>42451</v>
      </c>
      <c r="S6038" s="2">
        <v>42453</v>
      </c>
      <c r="T6038" s="2">
        <v>42452</v>
      </c>
      <c r="U6038" s="2">
        <v>42512</v>
      </c>
      <c r="V6038" t="s">
        <v>71</v>
      </c>
      <c r="W6038" t="str">
        <f>"             G032948"</f>
        <v xml:space="preserve">             G032948</v>
      </c>
      <c r="X6038">
        <v>963.8</v>
      </c>
      <c r="Y6038">
        <v>0</v>
      </c>
      <c r="Z6038" s="3">
        <v>790</v>
      </c>
      <c r="AA6038">
        <v>207</v>
      </c>
      <c r="AB6038" s="5">
        <v>163530</v>
      </c>
      <c r="AC6038">
        <v>790</v>
      </c>
      <c r="AD6038">
        <v>207</v>
      </c>
      <c r="AE6038" s="1">
        <v>163530</v>
      </c>
      <c r="AF6038">
        <v>173.8</v>
      </c>
      <c r="AJ6038">
        <v>0</v>
      </c>
      <c r="AK6038">
        <v>0</v>
      </c>
      <c r="AL6038">
        <v>0</v>
      </c>
      <c r="AM6038">
        <v>963.8</v>
      </c>
      <c r="AN6038">
        <v>963.8</v>
      </c>
      <c r="AO6038">
        <v>963.8</v>
      </c>
      <c r="AP6038" s="2">
        <v>42746</v>
      </c>
      <c r="AQ6038" t="s">
        <v>72</v>
      </c>
      <c r="AR6038" t="s">
        <v>72</v>
      </c>
      <c r="AS6038">
        <v>3517</v>
      </c>
      <c r="AT6038" s="4">
        <v>42719</v>
      </c>
      <c r="AU6038" t="s">
        <v>73</v>
      </c>
      <c r="AV6038">
        <v>3517</v>
      </c>
      <c r="AW6038" s="4">
        <v>42719</v>
      </c>
      <c r="BD6038">
        <v>173.8</v>
      </c>
      <c r="BN6038" t="s">
        <v>74</v>
      </c>
    </row>
    <row r="6039" spans="1:66">
      <c r="A6039">
        <v>104009</v>
      </c>
      <c r="B6039" s="3" t="s">
        <v>591</v>
      </c>
      <c r="C6039" s="1">
        <v>43300101</v>
      </c>
      <c r="D6039" t="s">
        <v>67</v>
      </c>
      <c r="H6039" t="str">
        <f t="shared" si="625"/>
        <v>08641790152</v>
      </c>
      <c r="I6039" t="str">
        <f t="shared" si="625"/>
        <v>08641790152</v>
      </c>
      <c r="K6039" t="str">
        <f>""</f>
        <v/>
      </c>
      <c r="M6039" t="s">
        <v>68</v>
      </c>
      <c r="N6039" t="str">
        <f t="shared" si="624"/>
        <v>FOR</v>
      </c>
      <c r="O6039" t="s">
        <v>69</v>
      </c>
      <c r="P6039" s="3" t="s">
        <v>75</v>
      </c>
      <c r="Q6039">
        <v>2016</v>
      </c>
      <c r="R6039" s="2">
        <v>42451</v>
      </c>
      <c r="S6039" s="2">
        <v>42453</v>
      </c>
      <c r="T6039" s="2">
        <v>42452</v>
      </c>
      <c r="U6039" s="2">
        <v>42512</v>
      </c>
      <c r="V6039" t="s">
        <v>71</v>
      </c>
      <c r="W6039" t="str">
        <f>"             G032986"</f>
        <v xml:space="preserve">             G032986</v>
      </c>
      <c r="X6039" s="1">
        <v>1078.48</v>
      </c>
      <c r="Y6039">
        <v>0</v>
      </c>
      <c r="Z6039" s="3">
        <v>884</v>
      </c>
      <c r="AA6039">
        <v>207</v>
      </c>
      <c r="AB6039" s="5">
        <v>182988</v>
      </c>
      <c r="AC6039">
        <v>884</v>
      </c>
      <c r="AD6039">
        <v>207</v>
      </c>
      <c r="AE6039" s="1">
        <v>182988</v>
      </c>
      <c r="AF6039">
        <v>194.48</v>
      </c>
      <c r="AJ6039">
        <v>0</v>
      </c>
      <c r="AK6039">
        <v>0</v>
      </c>
      <c r="AL6039">
        <v>0</v>
      </c>
      <c r="AM6039" s="1">
        <v>1078.48</v>
      </c>
      <c r="AN6039" s="1">
        <v>1078.48</v>
      </c>
      <c r="AO6039" s="1">
        <v>1078.48</v>
      </c>
      <c r="AP6039" s="2">
        <v>42746</v>
      </c>
      <c r="AQ6039" t="s">
        <v>72</v>
      </c>
      <c r="AR6039" t="s">
        <v>72</v>
      </c>
      <c r="AS6039">
        <v>3517</v>
      </c>
      <c r="AT6039" s="4">
        <v>42719</v>
      </c>
      <c r="AU6039" t="s">
        <v>73</v>
      </c>
      <c r="AV6039">
        <v>3517</v>
      </c>
      <c r="AW6039" s="4">
        <v>42719</v>
      </c>
      <c r="BD6039">
        <v>194.48</v>
      </c>
      <c r="BN6039" t="s">
        <v>74</v>
      </c>
    </row>
    <row r="6040" spans="1:66">
      <c r="A6040">
        <v>104009</v>
      </c>
      <c r="B6040" s="3" t="s">
        <v>591</v>
      </c>
      <c r="C6040" s="1">
        <v>43300101</v>
      </c>
      <c r="D6040" t="s">
        <v>67</v>
      </c>
      <c r="H6040" t="str">
        <f t="shared" si="625"/>
        <v>08641790152</v>
      </c>
      <c r="I6040" t="str">
        <f t="shared" si="625"/>
        <v>08641790152</v>
      </c>
      <c r="K6040" t="str">
        <f>""</f>
        <v/>
      </c>
      <c r="M6040" t="s">
        <v>68</v>
      </c>
      <c r="N6040" t="str">
        <f t="shared" si="624"/>
        <v>FOR</v>
      </c>
      <c r="O6040" t="s">
        <v>69</v>
      </c>
      <c r="P6040" s="3" t="s">
        <v>75</v>
      </c>
      <c r="Q6040">
        <v>2016</v>
      </c>
      <c r="R6040" s="2">
        <v>42451</v>
      </c>
      <c r="S6040" s="2">
        <v>42453</v>
      </c>
      <c r="T6040" s="2">
        <v>42452</v>
      </c>
      <c r="U6040" s="2">
        <v>42512</v>
      </c>
      <c r="V6040" t="s">
        <v>71</v>
      </c>
      <c r="W6040" t="str">
        <f>"             G033060"</f>
        <v xml:space="preserve">             G033060</v>
      </c>
      <c r="X6040">
        <v>823.74</v>
      </c>
      <c r="Y6040">
        <v>0</v>
      </c>
      <c r="Z6040" s="3">
        <v>675.2</v>
      </c>
      <c r="AA6040">
        <v>207</v>
      </c>
      <c r="AB6040" s="5">
        <v>139766.39999999999</v>
      </c>
      <c r="AC6040">
        <v>675.2</v>
      </c>
      <c r="AD6040">
        <v>207</v>
      </c>
      <c r="AE6040" s="1">
        <v>139766.39999999999</v>
      </c>
      <c r="AF6040">
        <v>148.54</v>
      </c>
      <c r="AJ6040">
        <v>0</v>
      </c>
      <c r="AK6040">
        <v>0</v>
      </c>
      <c r="AL6040">
        <v>0</v>
      </c>
      <c r="AM6040">
        <v>823.74</v>
      </c>
      <c r="AN6040">
        <v>823.74</v>
      </c>
      <c r="AO6040">
        <v>823.74</v>
      </c>
      <c r="AP6040" s="2">
        <v>42746</v>
      </c>
      <c r="AQ6040" t="s">
        <v>72</v>
      </c>
      <c r="AR6040" t="s">
        <v>72</v>
      </c>
      <c r="AS6040">
        <v>3517</v>
      </c>
      <c r="AT6040" s="4">
        <v>42719</v>
      </c>
      <c r="AU6040" t="s">
        <v>73</v>
      </c>
      <c r="AV6040">
        <v>3517</v>
      </c>
      <c r="AW6040" s="4">
        <v>42719</v>
      </c>
      <c r="BD6040">
        <v>148.54</v>
      </c>
      <c r="BN6040" t="s">
        <v>74</v>
      </c>
    </row>
    <row r="6041" spans="1:66">
      <c r="A6041">
        <v>104009</v>
      </c>
      <c r="B6041" s="3" t="s">
        <v>591</v>
      </c>
      <c r="C6041" s="1">
        <v>43300101</v>
      </c>
      <c r="D6041" t="s">
        <v>67</v>
      </c>
      <c r="H6041" t="str">
        <f t="shared" si="625"/>
        <v>08641790152</v>
      </c>
      <c r="I6041" t="str">
        <f t="shared" si="625"/>
        <v>08641790152</v>
      </c>
      <c r="K6041" t="str">
        <f>""</f>
        <v/>
      </c>
      <c r="M6041" t="s">
        <v>68</v>
      </c>
      <c r="N6041" t="str">
        <f t="shared" si="624"/>
        <v>FOR</v>
      </c>
      <c r="O6041" t="s">
        <v>69</v>
      </c>
      <c r="P6041" s="3" t="s">
        <v>75</v>
      </c>
      <c r="Q6041">
        <v>2016</v>
      </c>
      <c r="R6041" s="2">
        <v>42458</v>
      </c>
      <c r="S6041" s="2">
        <v>42459</v>
      </c>
      <c r="T6041" s="2">
        <v>42459</v>
      </c>
      <c r="U6041" s="2">
        <v>42519</v>
      </c>
      <c r="V6041" t="s">
        <v>71</v>
      </c>
      <c r="W6041" t="str">
        <f>"             G035220"</f>
        <v xml:space="preserve">             G035220</v>
      </c>
      <c r="X6041" s="1">
        <v>1698.24</v>
      </c>
      <c r="Y6041">
        <v>0</v>
      </c>
      <c r="Z6041" s="5">
        <v>1392</v>
      </c>
      <c r="AA6041">
        <v>200</v>
      </c>
      <c r="AB6041" s="5">
        <v>278400</v>
      </c>
      <c r="AC6041" s="1">
        <v>1392</v>
      </c>
      <c r="AD6041">
        <v>200</v>
      </c>
      <c r="AE6041" s="1">
        <v>278400</v>
      </c>
      <c r="AF6041">
        <v>306.24</v>
      </c>
      <c r="AJ6041">
        <v>0</v>
      </c>
      <c r="AK6041">
        <v>0</v>
      </c>
      <c r="AL6041">
        <v>0</v>
      </c>
      <c r="AM6041" s="1">
        <v>1698.24</v>
      </c>
      <c r="AN6041" s="1">
        <v>1698.24</v>
      </c>
      <c r="AO6041" s="1">
        <v>1698.24</v>
      </c>
      <c r="AP6041" s="2">
        <v>42746</v>
      </c>
      <c r="AQ6041" t="s">
        <v>72</v>
      </c>
      <c r="AR6041" t="s">
        <v>72</v>
      </c>
      <c r="AS6041">
        <v>3517</v>
      </c>
      <c r="AT6041" s="4">
        <v>42719</v>
      </c>
      <c r="AU6041" t="s">
        <v>73</v>
      </c>
      <c r="AV6041">
        <v>3517</v>
      </c>
      <c r="AW6041" s="4">
        <v>42719</v>
      </c>
      <c r="BD6041">
        <v>306.24</v>
      </c>
      <c r="BN6041" t="s">
        <v>74</v>
      </c>
    </row>
    <row r="6042" spans="1:66">
      <c r="A6042">
        <v>104009</v>
      </c>
      <c r="B6042" s="3" t="s">
        <v>591</v>
      </c>
      <c r="C6042" s="1">
        <v>43300101</v>
      </c>
      <c r="D6042" t="s">
        <v>67</v>
      </c>
      <c r="H6042" t="str">
        <f t="shared" si="625"/>
        <v>08641790152</v>
      </c>
      <c r="I6042" t="str">
        <f t="shared" si="625"/>
        <v>08641790152</v>
      </c>
      <c r="K6042" t="str">
        <f>""</f>
        <v/>
      </c>
      <c r="M6042" t="s">
        <v>68</v>
      </c>
      <c r="N6042" t="str">
        <f t="shared" si="624"/>
        <v>FOR</v>
      </c>
      <c r="O6042" t="s">
        <v>69</v>
      </c>
      <c r="P6042" s="3" t="s">
        <v>75</v>
      </c>
      <c r="Q6042">
        <v>2016</v>
      </c>
      <c r="R6042" s="2">
        <v>42460</v>
      </c>
      <c r="S6042" s="2">
        <v>42464</v>
      </c>
      <c r="T6042" s="2">
        <v>42461</v>
      </c>
      <c r="U6042" s="2">
        <v>42521</v>
      </c>
      <c r="V6042" t="s">
        <v>71</v>
      </c>
      <c r="W6042" t="str">
        <f>"             G036478"</f>
        <v xml:space="preserve">             G036478</v>
      </c>
      <c r="X6042">
        <v>988</v>
      </c>
      <c r="Y6042">
        <v>0</v>
      </c>
      <c r="Z6042" s="3">
        <v>950</v>
      </c>
      <c r="AA6042">
        <v>198</v>
      </c>
      <c r="AB6042" s="5">
        <v>188100</v>
      </c>
      <c r="AC6042">
        <v>950</v>
      </c>
      <c r="AD6042">
        <v>198</v>
      </c>
      <c r="AE6042" s="1">
        <v>188100</v>
      </c>
      <c r="AF6042">
        <v>38</v>
      </c>
      <c r="AJ6042">
        <v>0</v>
      </c>
      <c r="AK6042">
        <v>0</v>
      </c>
      <c r="AL6042">
        <v>0</v>
      </c>
      <c r="AM6042">
        <v>988</v>
      </c>
      <c r="AN6042">
        <v>988</v>
      </c>
      <c r="AO6042">
        <v>988</v>
      </c>
      <c r="AP6042" s="2">
        <v>42746</v>
      </c>
      <c r="AQ6042" t="s">
        <v>72</v>
      </c>
      <c r="AR6042" t="s">
        <v>72</v>
      </c>
      <c r="AS6042">
        <v>3517</v>
      </c>
      <c r="AT6042" s="4">
        <v>42719</v>
      </c>
      <c r="AU6042" t="s">
        <v>73</v>
      </c>
      <c r="AV6042">
        <v>3517</v>
      </c>
      <c r="AW6042" s="4">
        <v>42719</v>
      </c>
      <c r="BD6042">
        <v>38</v>
      </c>
      <c r="BN6042" t="s">
        <v>74</v>
      </c>
    </row>
    <row r="6043" spans="1:66">
      <c r="A6043">
        <v>104009</v>
      </c>
      <c r="B6043" s="3" t="s">
        <v>591</v>
      </c>
      <c r="C6043" s="1">
        <v>43300101</v>
      </c>
      <c r="D6043" t="s">
        <v>67</v>
      </c>
      <c r="H6043" t="str">
        <f t="shared" si="625"/>
        <v>08641790152</v>
      </c>
      <c r="I6043" t="str">
        <f t="shared" si="625"/>
        <v>08641790152</v>
      </c>
      <c r="K6043" t="str">
        <f>""</f>
        <v/>
      </c>
      <c r="M6043" t="s">
        <v>68</v>
      </c>
      <c r="N6043" t="str">
        <f t="shared" si="624"/>
        <v>FOR</v>
      </c>
      <c r="O6043" t="s">
        <v>69</v>
      </c>
      <c r="P6043" s="3" t="s">
        <v>75</v>
      </c>
      <c r="Q6043">
        <v>2016</v>
      </c>
      <c r="R6043" s="2">
        <v>42460</v>
      </c>
      <c r="S6043" s="2">
        <v>42464</v>
      </c>
      <c r="T6043" s="2">
        <v>42461</v>
      </c>
      <c r="U6043" s="2">
        <v>42521</v>
      </c>
      <c r="V6043" t="s">
        <v>71</v>
      </c>
      <c r="W6043" t="str">
        <f>"             G036479"</f>
        <v xml:space="preserve">             G036479</v>
      </c>
      <c r="X6043">
        <v>988</v>
      </c>
      <c r="Y6043">
        <v>0</v>
      </c>
      <c r="Z6043" s="3">
        <v>950</v>
      </c>
      <c r="AA6043">
        <v>198</v>
      </c>
      <c r="AB6043" s="5">
        <v>188100</v>
      </c>
      <c r="AC6043">
        <v>950</v>
      </c>
      <c r="AD6043">
        <v>198</v>
      </c>
      <c r="AE6043" s="1">
        <v>188100</v>
      </c>
      <c r="AF6043">
        <v>38</v>
      </c>
      <c r="AJ6043">
        <v>0</v>
      </c>
      <c r="AK6043">
        <v>0</v>
      </c>
      <c r="AL6043">
        <v>0</v>
      </c>
      <c r="AM6043">
        <v>988</v>
      </c>
      <c r="AN6043">
        <v>988</v>
      </c>
      <c r="AO6043">
        <v>988</v>
      </c>
      <c r="AP6043" s="2">
        <v>42746</v>
      </c>
      <c r="AQ6043" t="s">
        <v>72</v>
      </c>
      <c r="AR6043" t="s">
        <v>72</v>
      </c>
      <c r="AS6043">
        <v>3517</v>
      </c>
      <c r="AT6043" s="4">
        <v>42719</v>
      </c>
      <c r="AU6043" t="s">
        <v>73</v>
      </c>
      <c r="AV6043">
        <v>3517</v>
      </c>
      <c r="AW6043" s="4">
        <v>42719</v>
      </c>
      <c r="BD6043">
        <v>38</v>
      </c>
      <c r="BN6043" t="s">
        <v>74</v>
      </c>
    </row>
    <row r="6044" spans="1:66">
      <c r="A6044">
        <v>104009</v>
      </c>
      <c r="B6044" s="3" t="s">
        <v>591</v>
      </c>
      <c r="C6044" s="1">
        <v>43300101</v>
      </c>
      <c r="D6044" t="s">
        <v>67</v>
      </c>
      <c r="H6044" t="str">
        <f t="shared" si="625"/>
        <v>08641790152</v>
      </c>
      <c r="I6044" t="str">
        <f t="shared" si="625"/>
        <v>08641790152</v>
      </c>
      <c r="K6044" t="str">
        <f>""</f>
        <v/>
      </c>
      <c r="M6044" t="s">
        <v>68</v>
      </c>
      <c r="N6044" t="str">
        <f t="shared" si="624"/>
        <v>FOR</v>
      </c>
      <c r="O6044" t="s">
        <v>69</v>
      </c>
      <c r="P6044" s="3" t="s">
        <v>75</v>
      </c>
      <c r="Q6044">
        <v>2016</v>
      </c>
      <c r="R6044" s="2">
        <v>42461</v>
      </c>
      <c r="S6044" s="2">
        <v>42464</v>
      </c>
      <c r="T6044" s="2">
        <v>42462</v>
      </c>
      <c r="U6044" s="2">
        <v>42522</v>
      </c>
      <c r="V6044" t="s">
        <v>71</v>
      </c>
      <c r="W6044" t="str">
        <f>"             G037293"</f>
        <v xml:space="preserve">             G037293</v>
      </c>
      <c r="X6044" s="1">
        <v>2283.84</v>
      </c>
      <c r="Y6044">
        <v>0</v>
      </c>
      <c r="Z6044" s="5">
        <v>1872</v>
      </c>
      <c r="AA6044">
        <v>202</v>
      </c>
      <c r="AB6044" s="5">
        <v>378144</v>
      </c>
      <c r="AC6044" s="1">
        <v>1872</v>
      </c>
      <c r="AD6044">
        <v>202</v>
      </c>
      <c r="AE6044" s="1">
        <v>378144</v>
      </c>
      <c r="AF6044">
        <v>411.84</v>
      </c>
      <c r="AJ6044">
        <v>0</v>
      </c>
      <c r="AK6044">
        <v>0</v>
      </c>
      <c r="AL6044">
        <v>0</v>
      </c>
      <c r="AM6044" s="1">
        <v>2283.84</v>
      </c>
      <c r="AN6044" s="1">
        <v>2283.84</v>
      </c>
      <c r="AO6044" s="1">
        <v>2283.84</v>
      </c>
      <c r="AP6044" s="2">
        <v>42746</v>
      </c>
      <c r="AQ6044" t="s">
        <v>72</v>
      </c>
      <c r="AR6044" t="s">
        <v>72</v>
      </c>
      <c r="AS6044">
        <v>3645</v>
      </c>
      <c r="AT6044" s="4">
        <v>42724</v>
      </c>
      <c r="AU6044" t="s">
        <v>73</v>
      </c>
      <c r="AV6044">
        <v>3645</v>
      </c>
      <c r="AW6044" s="4">
        <v>42724</v>
      </c>
      <c r="BD6044">
        <v>411.84</v>
      </c>
      <c r="BN6044" t="s">
        <v>74</v>
      </c>
    </row>
    <row r="6045" spans="1:66">
      <c r="A6045">
        <v>104009</v>
      </c>
      <c r="B6045" s="3" t="s">
        <v>591</v>
      </c>
      <c r="C6045" s="1">
        <v>43300101</v>
      </c>
      <c r="D6045" t="s">
        <v>67</v>
      </c>
      <c r="H6045" t="str">
        <f t="shared" si="625"/>
        <v>08641790152</v>
      </c>
      <c r="I6045" t="str">
        <f t="shared" si="625"/>
        <v>08641790152</v>
      </c>
      <c r="K6045" t="str">
        <f>""</f>
        <v/>
      </c>
      <c r="M6045" t="s">
        <v>68</v>
      </c>
      <c r="N6045" t="str">
        <f t="shared" si="624"/>
        <v>FOR</v>
      </c>
      <c r="O6045" t="s">
        <v>69</v>
      </c>
      <c r="P6045" s="3" t="s">
        <v>75</v>
      </c>
      <c r="Q6045">
        <v>2016</v>
      </c>
      <c r="R6045" s="2">
        <v>42466</v>
      </c>
      <c r="S6045" s="2">
        <v>42473</v>
      </c>
      <c r="T6045" s="2">
        <v>42467</v>
      </c>
      <c r="U6045" s="2">
        <v>42527</v>
      </c>
      <c r="V6045" t="s">
        <v>71</v>
      </c>
      <c r="W6045" t="str">
        <f>"             G038847"</f>
        <v xml:space="preserve">             G038847</v>
      </c>
      <c r="X6045" s="1">
        <v>1233.42</v>
      </c>
      <c r="Y6045">
        <v>0</v>
      </c>
      <c r="Z6045" s="5">
        <v>1011</v>
      </c>
      <c r="AA6045">
        <v>197</v>
      </c>
      <c r="AB6045" s="5">
        <v>199167</v>
      </c>
      <c r="AC6045" s="1">
        <v>1011</v>
      </c>
      <c r="AD6045">
        <v>197</v>
      </c>
      <c r="AE6045" s="1">
        <v>199167</v>
      </c>
      <c r="AF6045">
        <v>222.42</v>
      </c>
      <c r="AJ6045">
        <v>0</v>
      </c>
      <c r="AK6045">
        <v>0</v>
      </c>
      <c r="AL6045">
        <v>0</v>
      </c>
      <c r="AM6045" s="1">
        <v>1233.42</v>
      </c>
      <c r="AN6045" s="1">
        <v>1233.42</v>
      </c>
      <c r="AO6045" s="1">
        <v>1233.42</v>
      </c>
      <c r="AP6045" s="2">
        <v>42746</v>
      </c>
      <c r="AQ6045" t="s">
        <v>72</v>
      </c>
      <c r="AR6045" t="s">
        <v>72</v>
      </c>
      <c r="AS6045">
        <v>3645</v>
      </c>
      <c r="AT6045" s="4">
        <v>42724</v>
      </c>
      <c r="AU6045" t="s">
        <v>73</v>
      </c>
      <c r="AV6045">
        <v>3645</v>
      </c>
      <c r="AW6045" s="4">
        <v>42724</v>
      </c>
      <c r="BD6045">
        <v>222.42</v>
      </c>
      <c r="BN6045" t="s">
        <v>74</v>
      </c>
    </row>
    <row r="6046" spans="1:66">
      <c r="A6046">
        <v>104009</v>
      </c>
      <c r="B6046" s="3" t="s">
        <v>591</v>
      </c>
      <c r="C6046" s="1">
        <v>43300101</v>
      </c>
      <c r="D6046" t="s">
        <v>67</v>
      </c>
      <c r="H6046" t="str">
        <f t="shared" si="625"/>
        <v>08641790152</v>
      </c>
      <c r="I6046" t="str">
        <f t="shared" si="625"/>
        <v>08641790152</v>
      </c>
      <c r="K6046" t="str">
        <f>""</f>
        <v/>
      </c>
      <c r="M6046" t="s">
        <v>68</v>
      </c>
      <c r="N6046" t="str">
        <f t="shared" si="624"/>
        <v>FOR</v>
      </c>
      <c r="O6046" t="s">
        <v>69</v>
      </c>
      <c r="P6046" s="3" t="s">
        <v>75</v>
      </c>
      <c r="Q6046">
        <v>2016</v>
      </c>
      <c r="R6046" s="2">
        <v>42466</v>
      </c>
      <c r="S6046" s="2">
        <v>42473</v>
      </c>
      <c r="T6046" s="2">
        <v>42467</v>
      </c>
      <c r="U6046" s="2">
        <v>42527</v>
      </c>
      <c r="V6046" t="s">
        <v>71</v>
      </c>
      <c r="W6046" t="str">
        <f>"             G038861"</f>
        <v xml:space="preserve">             G038861</v>
      </c>
      <c r="X6046" s="1">
        <v>1405.44</v>
      </c>
      <c r="Y6046">
        <v>0</v>
      </c>
      <c r="Z6046" s="5">
        <v>1152</v>
      </c>
      <c r="AA6046">
        <v>197</v>
      </c>
      <c r="AB6046" s="5">
        <v>226944</v>
      </c>
      <c r="AC6046" s="1">
        <v>1152</v>
      </c>
      <c r="AD6046">
        <v>197</v>
      </c>
      <c r="AE6046" s="1">
        <v>226944</v>
      </c>
      <c r="AF6046">
        <v>253.44</v>
      </c>
      <c r="AJ6046">
        <v>0</v>
      </c>
      <c r="AK6046">
        <v>0</v>
      </c>
      <c r="AL6046">
        <v>0</v>
      </c>
      <c r="AM6046" s="1">
        <v>1405.44</v>
      </c>
      <c r="AN6046" s="1">
        <v>1405.44</v>
      </c>
      <c r="AO6046" s="1">
        <v>1405.44</v>
      </c>
      <c r="AP6046" s="2">
        <v>42746</v>
      </c>
      <c r="AQ6046" t="s">
        <v>72</v>
      </c>
      <c r="AR6046" t="s">
        <v>72</v>
      </c>
      <c r="AS6046">
        <v>3645</v>
      </c>
      <c r="AT6046" s="4">
        <v>42724</v>
      </c>
      <c r="AU6046" t="s">
        <v>73</v>
      </c>
      <c r="AV6046">
        <v>3645</v>
      </c>
      <c r="AW6046" s="4">
        <v>42724</v>
      </c>
      <c r="BD6046">
        <v>253.44</v>
      </c>
      <c r="BN6046" t="s">
        <v>74</v>
      </c>
    </row>
    <row r="6047" spans="1:66">
      <c r="A6047">
        <v>104009</v>
      </c>
      <c r="B6047" s="3" t="s">
        <v>591</v>
      </c>
      <c r="C6047" s="1">
        <v>43300101</v>
      </c>
      <c r="D6047" t="s">
        <v>67</v>
      </c>
      <c r="H6047" t="str">
        <f t="shared" si="625"/>
        <v>08641790152</v>
      </c>
      <c r="I6047" t="str">
        <f t="shared" si="625"/>
        <v>08641790152</v>
      </c>
      <c r="K6047" t="str">
        <f>""</f>
        <v/>
      </c>
      <c r="M6047" t="s">
        <v>68</v>
      </c>
      <c r="N6047" t="str">
        <f t="shared" si="624"/>
        <v>FOR</v>
      </c>
      <c r="O6047" t="s">
        <v>69</v>
      </c>
      <c r="P6047" s="3" t="s">
        <v>75</v>
      </c>
      <c r="Q6047">
        <v>2016</v>
      </c>
      <c r="R6047" s="2">
        <v>42467</v>
      </c>
      <c r="S6047" s="2">
        <v>42473</v>
      </c>
      <c r="T6047" s="2">
        <v>42468</v>
      </c>
      <c r="U6047" s="2">
        <v>42528</v>
      </c>
      <c r="V6047" t="s">
        <v>71</v>
      </c>
      <c r="W6047" t="str">
        <f>"             G039235"</f>
        <v xml:space="preserve">             G039235</v>
      </c>
      <c r="X6047" s="1">
        <v>2503.44</v>
      </c>
      <c r="Y6047">
        <v>0</v>
      </c>
      <c r="Z6047" s="5">
        <v>2052</v>
      </c>
      <c r="AA6047">
        <v>196</v>
      </c>
      <c r="AB6047" s="5">
        <v>402192</v>
      </c>
      <c r="AC6047" s="1">
        <v>2052</v>
      </c>
      <c r="AD6047">
        <v>196</v>
      </c>
      <c r="AE6047" s="1">
        <v>402192</v>
      </c>
      <c r="AF6047">
        <v>451.44</v>
      </c>
      <c r="AJ6047">
        <v>0</v>
      </c>
      <c r="AK6047">
        <v>0</v>
      </c>
      <c r="AL6047">
        <v>0</v>
      </c>
      <c r="AM6047" s="1">
        <v>2503.44</v>
      </c>
      <c r="AN6047" s="1">
        <v>2503.44</v>
      </c>
      <c r="AO6047" s="1">
        <v>2503.44</v>
      </c>
      <c r="AP6047" s="2">
        <v>42746</v>
      </c>
      <c r="AQ6047" t="s">
        <v>72</v>
      </c>
      <c r="AR6047" t="s">
        <v>72</v>
      </c>
      <c r="AS6047">
        <v>3645</v>
      </c>
      <c r="AT6047" s="4">
        <v>42724</v>
      </c>
      <c r="AU6047" t="s">
        <v>73</v>
      </c>
      <c r="AV6047">
        <v>3645</v>
      </c>
      <c r="AW6047" s="4">
        <v>42724</v>
      </c>
      <c r="BD6047">
        <v>451.44</v>
      </c>
      <c r="BN6047" t="s">
        <v>74</v>
      </c>
    </row>
    <row r="6048" spans="1:66">
      <c r="A6048">
        <v>104009</v>
      </c>
      <c r="B6048" s="3" t="s">
        <v>591</v>
      </c>
      <c r="C6048" s="1">
        <v>43300101</v>
      </c>
      <c r="D6048" t="s">
        <v>67</v>
      </c>
      <c r="H6048" t="str">
        <f t="shared" si="625"/>
        <v>08641790152</v>
      </c>
      <c r="I6048" t="str">
        <f t="shared" si="625"/>
        <v>08641790152</v>
      </c>
      <c r="K6048" t="str">
        <f>""</f>
        <v/>
      </c>
      <c r="M6048" t="s">
        <v>68</v>
      </c>
      <c r="N6048" t="str">
        <f t="shared" si="624"/>
        <v>FOR</v>
      </c>
      <c r="O6048" t="s">
        <v>69</v>
      </c>
      <c r="P6048" s="3" t="s">
        <v>75</v>
      </c>
      <c r="Q6048">
        <v>2016</v>
      </c>
      <c r="R6048" s="2">
        <v>42467</v>
      </c>
      <c r="S6048" s="2">
        <v>42473</v>
      </c>
      <c r="T6048" s="2">
        <v>42468</v>
      </c>
      <c r="U6048" s="2">
        <v>42528</v>
      </c>
      <c r="V6048" t="s">
        <v>71</v>
      </c>
      <c r="W6048" t="str">
        <f>"             G039486"</f>
        <v xml:space="preserve">             G039486</v>
      </c>
      <c r="X6048" s="1">
        <v>1038.22</v>
      </c>
      <c r="Y6048">
        <v>0</v>
      </c>
      <c r="Z6048" s="3">
        <v>851</v>
      </c>
      <c r="AA6048">
        <v>196</v>
      </c>
      <c r="AB6048" s="5">
        <v>166796</v>
      </c>
      <c r="AC6048">
        <v>851</v>
      </c>
      <c r="AD6048">
        <v>196</v>
      </c>
      <c r="AE6048" s="1">
        <v>166796</v>
      </c>
      <c r="AF6048">
        <v>187.22</v>
      </c>
      <c r="AJ6048">
        <v>0</v>
      </c>
      <c r="AK6048">
        <v>0</v>
      </c>
      <c r="AL6048">
        <v>0</v>
      </c>
      <c r="AM6048" s="1">
        <v>1038.22</v>
      </c>
      <c r="AN6048" s="1">
        <v>1038.22</v>
      </c>
      <c r="AO6048" s="1">
        <v>1038.22</v>
      </c>
      <c r="AP6048" s="2">
        <v>42746</v>
      </c>
      <c r="AQ6048" t="s">
        <v>72</v>
      </c>
      <c r="AR6048" t="s">
        <v>72</v>
      </c>
      <c r="AS6048">
        <v>3645</v>
      </c>
      <c r="AT6048" s="4">
        <v>42724</v>
      </c>
      <c r="AU6048" t="s">
        <v>73</v>
      </c>
      <c r="AV6048">
        <v>3645</v>
      </c>
      <c r="AW6048" s="4">
        <v>42724</v>
      </c>
      <c r="BD6048">
        <v>187.22</v>
      </c>
      <c r="BN6048" t="s">
        <v>74</v>
      </c>
    </row>
    <row r="6049" spans="1:66">
      <c r="A6049">
        <v>104009</v>
      </c>
      <c r="B6049" s="3" t="s">
        <v>591</v>
      </c>
      <c r="C6049" s="1">
        <v>43300101</v>
      </c>
      <c r="D6049" t="s">
        <v>67</v>
      </c>
      <c r="H6049" t="str">
        <f t="shared" ref="H6049:I6063" si="626">"08641790152"</f>
        <v>08641790152</v>
      </c>
      <c r="I6049" t="str">
        <f t="shared" si="626"/>
        <v>08641790152</v>
      </c>
      <c r="K6049" t="str">
        <f>""</f>
        <v/>
      </c>
      <c r="M6049" t="s">
        <v>68</v>
      </c>
      <c r="N6049" t="str">
        <f t="shared" si="624"/>
        <v>FOR</v>
      </c>
      <c r="O6049" t="s">
        <v>69</v>
      </c>
      <c r="P6049" s="3" t="s">
        <v>75</v>
      </c>
      <c r="Q6049">
        <v>2016</v>
      </c>
      <c r="R6049" s="2">
        <v>42471</v>
      </c>
      <c r="S6049" s="2">
        <v>42473</v>
      </c>
      <c r="T6049" s="2">
        <v>42472</v>
      </c>
      <c r="U6049" s="2">
        <v>42532</v>
      </c>
      <c r="V6049" t="s">
        <v>71</v>
      </c>
      <c r="W6049" t="str">
        <f>"             G040622"</f>
        <v xml:space="preserve">             G040622</v>
      </c>
      <c r="X6049">
        <v>272.74</v>
      </c>
      <c r="Y6049">
        <v>0</v>
      </c>
      <c r="Z6049" s="3">
        <v>223.56</v>
      </c>
      <c r="AA6049">
        <v>192</v>
      </c>
      <c r="AB6049" s="5">
        <v>42923.519999999997</v>
      </c>
      <c r="AC6049">
        <v>223.56</v>
      </c>
      <c r="AD6049">
        <v>192</v>
      </c>
      <c r="AE6049" s="1">
        <v>42923.519999999997</v>
      </c>
      <c r="AF6049">
        <v>49.18</v>
      </c>
      <c r="AJ6049">
        <v>0</v>
      </c>
      <c r="AK6049">
        <v>0</v>
      </c>
      <c r="AL6049">
        <v>0</v>
      </c>
      <c r="AM6049">
        <v>272.74</v>
      </c>
      <c r="AN6049">
        <v>272.74</v>
      </c>
      <c r="AO6049">
        <v>272.74</v>
      </c>
      <c r="AP6049" s="2">
        <v>42746</v>
      </c>
      <c r="AQ6049" t="s">
        <v>72</v>
      </c>
      <c r="AR6049" t="s">
        <v>72</v>
      </c>
      <c r="AS6049">
        <v>3645</v>
      </c>
      <c r="AT6049" s="4">
        <v>42724</v>
      </c>
      <c r="AU6049" t="s">
        <v>73</v>
      </c>
      <c r="AV6049">
        <v>3645</v>
      </c>
      <c r="AW6049" s="4">
        <v>42724</v>
      </c>
      <c r="BD6049">
        <v>49.18</v>
      </c>
      <c r="BN6049" t="s">
        <v>74</v>
      </c>
    </row>
    <row r="6050" spans="1:66">
      <c r="A6050">
        <v>104009</v>
      </c>
      <c r="B6050" s="3" t="s">
        <v>591</v>
      </c>
      <c r="C6050" s="1">
        <v>43300101</v>
      </c>
      <c r="D6050" t="s">
        <v>67</v>
      </c>
      <c r="H6050" t="str">
        <f t="shared" si="626"/>
        <v>08641790152</v>
      </c>
      <c r="I6050" t="str">
        <f t="shared" si="626"/>
        <v>08641790152</v>
      </c>
      <c r="K6050" t="str">
        <f>""</f>
        <v/>
      </c>
      <c r="M6050" t="s">
        <v>68</v>
      </c>
      <c r="N6050" t="str">
        <f t="shared" si="624"/>
        <v>FOR</v>
      </c>
      <c r="O6050" t="s">
        <v>69</v>
      </c>
      <c r="P6050" s="3" t="s">
        <v>75</v>
      </c>
      <c r="Q6050">
        <v>2016</v>
      </c>
      <c r="R6050" s="2">
        <v>42471</v>
      </c>
      <c r="S6050" s="2">
        <v>42473</v>
      </c>
      <c r="T6050" s="2">
        <v>42472</v>
      </c>
      <c r="U6050" s="2">
        <v>42532</v>
      </c>
      <c r="V6050" t="s">
        <v>71</v>
      </c>
      <c r="W6050" t="str">
        <f>"             G040624"</f>
        <v xml:space="preserve">             G040624</v>
      </c>
      <c r="X6050" s="1">
        <v>1023.78</v>
      </c>
      <c r="Y6050">
        <v>0</v>
      </c>
      <c r="Z6050" s="3">
        <v>839.16</v>
      </c>
      <c r="AA6050">
        <v>192</v>
      </c>
      <c r="AB6050" s="5">
        <v>161118.72</v>
      </c>
      <c r="AC6050">
        <v>839.16</v>
      </c>
      <c r="AD6050">
        <v>192</v>
      </c>
      <c r="AE6050" s="1">
        <v>161118.72</v>
      </c>
      <c r="AF6050">
        <v>184.62</v>
      </c>
      <c r="AJ6050">
        <v>0</v>
      </c>
      <c r="AK6050">
        <v>0</v>
      </c>
      <c r="AL6050">
        <v>0</v>
      </c>
      <c r="AM6050" s="1">
        <v>1023.78</v>
      </c>
      <c r="AN6050" s="1">
        <v>1023.78</v>
      </c>
      <c r="AO6050" s="1">
        <v>1023.78</v>
      </c>
      <c r="AP6050" s="2">
        <v>42746</v>
      </c>
      <c r="AQ6050" t="s">
        <v>72</v>
      </c>
      <c r="AR6050" t="s">
        <v>72</v>
      </c>
      <c r="AS6050">
        <v>3645</v>
      </c>
      <c r="AT6050" s="4">
        <v>42724</v>
      </c>
      <c r="AU6050" t="s">
        <v>73</v>
      </c>
      <c r="AV6050">
        <v>3645</v>
      </c>
      <c r="AW6050" s="4">
        <v>42724</v>
      </c>
      <c r="BD6050">
        <v>184.62</v>
      </c>
      <c r="BN6050" t="s">
        <v>74</v>
      </c>
    </row>
    <row r="6051" spans="1:66">
      <c r="A6051">
        <v>104009</v>
      </c>
      <c r="B6051" s="3" t="s">
        <v>591</v>
      </c>
      <c r="C6051" s="1">
        <v>43300101</v>
      </c>
      <c r="D6051" t="s">
        <v>67</v>
      </c>
      <c r="H6051" t="str">
        <f t="shared" si="626"/>
        <v>08641790152</v>
      </c>
      <c r="I6051" t="str">
        <f t="shared" si="626"/>
        <v>08641790152</v>
      </c>
      <c r="K6051" t="str">
        <f>""</f>
        <v/>
      </c>
      <c r="M6051" t="s">
        <v>68</v>
      </c>
      <c r="N6051" t="str">
        <f t="shared" si="624"/>
        <v>FOR</v>
      </c>
      <c r="O6051" t="s">
        <v>69</v>
      </c>
      <c r="P6051" s="3" t="s">
        <v>75</v>
      </c>
      <c r="Q6051">
        <v>2016</v>
      </c>
      <c r="R6051" s="2">
        <v>42471</v>
      </c>
      <c r="S6051" s="2">
        <v>42473</v>
      </c>
      <c r="T6051" s="2">
        <v>42472</v>
      </c>
      <c r="U6051" s="2">
        <v>42532</v>
      </c>
      <c r="V6051" t="s">
        <v>71</v>
      </c>
      <c r="W6051" t="str">
        <f>"             G040669"</f>
        <v xml:space="preserve">             G040669</v>
      </c>
      <c r="X6051" s="1">
        <v>1737.03</v>
      </c>
      <c r="Y6051">
        <v>0</v>
      </c>
      <c r="Z6051" s="5">
        <v>1423.8</v>
      </c>
      <c r="AA6051">
        <v>192</v>
      </c>
      <c r="AB6051" s="5">
        <v>273369.59999999998</v>
      </c>
      <c r="AC6051" s="1">
        <v>1423.8</v>
      </c>
      <c r="AD6051">
        <v>192</v>
      </c>
      <c r="AE6051" s="1">
        <v>273369.59999999998</v>
      </c>
      <c r="AF6051">
        <v>313.23</v>
      </c>
      <c r="AJ6051">
        <v>0</v>
      </c>
      <c r="AK6051">
        <v>0</v>
      </c>
      <c r="AL6051">
        <v>0</v>
      </c>
      <c r="AM6051" s="1">
        <v>1737.03</v>
      </c>
      <c r="AN6051" s="1">
        <v>1737.03</v>
      </c>
      <c r="AO6051" s="1">
        <v>1737.03</v>
      </c>
      <c r="AP6051" s="2">
        <v>42746</v>
      </c>
      <c r="AQ6051" t="s">
        <v>72</v>
      </c>
      <c r="AR6051" t="s">
        <v>72</v>
      </c>
      <c r="AS6051">
        <v>3645</v>
      </c>
      <c r="AT6051" s="4">
        <v>42724</v>
      </c>
      <c r="AU6051" t="s">
        <v>73</v>
      </c>
      <c r="AV6051">
        <v>3645</v>
      </c>
      <c r="AW6051" s="4">
        <v>42724</v>
      </c>
      <c r="BD6051">
        <v>313.23</v>
      </c>
      <c r="BN6051" t="s">
        <v>74</v>
      </c>
    </row>
    <row r="6052" spans="1:66">
      <c r="A6052">
        <v>104009</v>
      </c>
      <c r="B6052" s="3" t="s">
        <v>591</v>
      </c>
      <c r="C6052" s="1">
        <v>43300101</v>
      </c>
      <c r="D6052" t="s">
        <v>67</v>
      </c>
      <c r="H6052" t="str">
        <f t="shared" si="626"/>
        <v>08641790152</v>
      </c>
      <c r="I6052" t="str">
        <f t="shared" si="626"/>
        <v>08641790152</v>
      </c>
      <c r="K6052" t="str">
        <f>""</f>
        <v/>
      </c>
      <c r="M6052" t="s">
        <v>68</v>
      </c>
      <c r="N6052" t="str">
        <f t="shared" si="624"/>
        <v>FOR</v>
      </c>
      <c r="O6052" t="s">
        <v>69</v>
      </c>
      <c r="P6052" s="3" t="s">
        <v>75</v>
      </c>
      <c r="Q6052">
        <v>2016</v>
      </c>
      <c r="R6052" s="2">
        <v>42472</v>
      </c>
      <c r="S6052" s="2">
        <v>42474</v>
      </c>
      <c r="T6052" s="2">
        <v>42473</v>
      </c>
      <c r="U6052" s="2">
        <v>42533</v>
      </c>
      <c r="V6052" t="s">
        <v>71</v>
      </c>
      <c r="W6052" t="str">
        <f>"             G041612"</f>
        <v xml:space="preserve">             G041612</v>
      </c>
      <c r="X6052" s="1">
        <v>2042.28</v>
      </c>
      <c r="Y6052">
        <v>0</v>
      </c>
      <c r="Z6052" s="5">
        <v>1674</v>
      </c>
      <c r="AA6052">
        <v>191</v>
      </c>
      <c r="AB6052" s="5">
        <v>319734</v>
      </c>
      <c r="AC6052" s="1">
        <v>1674</v>
      </c>
      <c r="AD6052">
        <v>191</v>
      </c>
      <c r="AE6052" s="1">
        <v>319734</v>
      </c>
      <c r="AF6052">
        <v>368.28</v>
      </c>
      <c r="AJ6052">
        <v>0</v>
      </c>
      <c r="AK6052">
        <v>0</v>
      </c>
      <c r="AL6052">
        <v>0</v>
      </c>
      <c r="AM6052" s="1">
        <v>2042.28</v>
      </c>
      <c r="AN6052" s="1">
        <v>2042.28</v>
      </c>
      <c r="AO6052" s="1">
        <v>2042.28</v>
      </c>
      <c r="AP6052" s="2">
        <v>42746</v>
      </c>
      <c r="AQ6052" t="s">
        <v>72</v>
      </c>
      <c r="AR6052" t="s">
        <v>72</v>
      </c>
      <c r="AS6052">
        <v>3645</v>
      </c>
      <c r="AT6052" s="4">
        <v>42724</v>
      </c>
      <c r="AU6052" t="s">
        <v>73</v>
      </c>
      <c r="AV6052">
        <v>3645</v>
      </c>
      <c r="AW6052" s="4">
        <v>42724</v>
      </c>
      <c r="BD6052">
        <v>368.28</v>
      </c>
      <c r="BN6052" t="s">
        <v>74</v>
      </c>
    </row>
    <row r="6053" spans="1:66">
      <c r="A6053">
        <v>104009</v>
      </c>
      <c r="B6053" s="3" t="s">
        <v>591</v>
      </c>
      <c r="C6053" s="1">
        <v>43300101</v>
      </c>
      <c r="D6053" t="s">
        <v>67</v>
      </c>
      <c r="H6053" t="str">
        <f t="shared" si="626"/>
        <v>08641790152</v>
      </c>
      <c r="I6053" t="str">
        <f t="shared" si="626"/>
        <v>08641790152</v>
      </c>
      <c r="K6053" t="str">
        <f>""</f>
        <v/>
      </c>
      <c r="M6053" t="s">
        <v>68</v>
      </c>
      <c r="N6053" t="str">
        <f t="shared" si="624"/>
        <v>FOR</v>
      </c>
      <c r="O6053" t="s">
        <v>69</v>
      </c>
      <c r="P6053" s="3" t="s">
        <v>75</v>
      </c>
      <c r="Q6053">
        <v>2016</v>
      </c>
      <c r="R6053" s="2">
        <v>42473</v>
      </c>
      <c r="S6053" s="2">
        <v>42478</v>
      </c>
      <c r="T6053" s="2">
        <v>42474</v>
      </c>
      <c r="U6053" s="2">
        <v>42534</v>
      </c>
      <c r="V6053" t="s">
        <v>71</v>
      </c>
      <c r="W6053" t="str">
        <f>"             G042218"</f>
        <v xml:space="preserve">             G042218</v>
      </c>
      <c r="X6053" s="1">
        <v>2440</v>
      </c>
      <c r="Y6053">
        <v>0</v>
      </c>
      <c r="Z6053" s="5">
        <v>2000</v>
      </c>
      <c r="AA6053">
        <v>190</v>
      </c>
      <c r="AB6053" s="5">
        <v>380000</v>
      </c>
      <c r="AC6053" s="1">
        <v>2000</v>
      </c>
      <c r="AD6053">
        <v>190</v>
      </c>
      <c r="AE6053" s="1">
        <v>380000</v>
      </c>
      <c r="AF6053">
        <v>440</v>
      </c>
      <c r="AJ6053">
        <v>0</v>
      </c>
      <c r="AK6053">
        <v>0</v>
      </c>
      <c r="AL6053">
        <v>0</v>
      </c>
      <c r="AM6053" s="1">
        <v>2440</v>
      </c>
      <c r="AN6053" s="1">
        <v>2440</v>
      </c>
      <c r="AO6053" s="1">
        <v>2440</v>
      </c>
      <c r="AP6053" s="2">
        <v>42746</v>
      </c>
      <c r="AQ6053" t="s">
        <v>72</v>
      </c>
      <c r="AR6053" t="s">
        <v>72</v>
      </c>
      <c r="AS6053">
        <v>3645</v>
      </c>
      <c r="AT6053" s="4">
        <v>42724</v>
      </c>
      <c r="AU6053" t="s">
        <v>73</v>
      </c>
      <c r="AV6053">
        <v>3645</v>
      </c>
      <c r="AW6053" s="4">
        <v>42724</v>
      </c>
      <c r="BD6053">
        <v>440</v>
      </c>
      <c r="BN6053" t="s">
        <v>74</v>
      </c>
    </row>
    <row r="6054" spans="1:66">
      <c r="A6054">
        <v>104009</v>
      </c>
      <c r="B6054" s="3" t="s">
        <v>591</v>
      </c>
      <c r="C6054" s="1">
        <v>43300101</v>
      </c>
      <c r="D6054" t="s">
        <v>67</v>
      </c>
      <c r="H6054" t="str">
        <f t="shared" si="626"/>
        <v>08641790152</v>
      </c>
      <c r="I6054" t="str">
        <f t="shared" si="626"/>
        <v>08641790152</v>
      </c>
      <c r="K6054" t="str">
        <f>""</f>
        <v/>
      </c>
      <c r="M6054" t="s">
        <v>68</v>
      </c>
      <c r="N6054" t="str">
        <f t="shared" si="624"/>
        <v>FOR</v>
      </c>
      <c r="O6054" t="s">
        <v>69</v>
      </c>
      <c r="P6054" s="3" t="s">
        <v>75</v>
      </c>
      <c r="Q6054">
        <v>2016</v>
      </c>
      <c r="R6054" s="2">
        <v>42478</v>
      </c>
      <c r="S6054" s="2">
        <v>42481</v>
      </c>
      <c r="T6054" s="2">
        <v>42479</v>
      </c>
      <c r="U6054" s="2">
        <v>42539</v>
      </c>
      <c r="V6054" t="s">
        <v>71</v>
      </c>
      <c r="W6054" t="str">
        <f>"             G043923"</f>
        <v xml:space="preserve">             G043923</v>
      </c>
      <c r="X6054" s="1">
        <v>4148</v>
      </c>
      <c r="Y6054">
        <v>0</v>
      </c>
      <c r="Z6054" s="5">
        <v>3400</v>
      </c>
      <c r="AA6054">
        <v>185</v>
      </c>
      <c r="AB6054" s="5">
        <v>629000</v>
      </c>
      <c r="AC6054" s="1">
        <v>3400</v>
      </c>
      <c r="AD6054">
        <v>185</v>
      </c>
      <c r="AE6054" s="1">
        <v>629000</v>
      </c>
      <c r="AF6054">
        <v>748</v>
      </c>
      <c r="AJ6054">
        <v>0</v>
      </c>
      <c r="AK6054">
        <v>0</v>
      </c>
      <c r="AL6054">
        <v>0</v>
      </c>
      <c r="AM6054" s="1">
        <v>4148</v>
      </c>
      <c r="AN6054" s="1">
        <v>4148</v>
      </c>
      <c r="AO6054" s="1">
        <v>4148</v>
      </c>
      <c r="AP6054" s="2">
        <v>42746</v>
      </c>
      <c r="AQ6054" t="s">
        <v>72</v>
      </c>
      <c r="AR6054" t="s">
        <v>72</v>
      </c>
      <c r="AS6054">
        <v>3645</v>
      </c>
      <c r="AT6054" s="4">
        <v>42724</v>
      </c>
      <c r="AU6054" t="s">
        <v>73</v>
      </c>
      <c r="AV6054">
        <v>3645</v>
      </c>
      <c r="AW6054" s="4">
        <v>42724</v>
      </c>
      <c r="BD6054">
        <v>748</v>
      </c>
      <c r="BN6054" t="s">
        <v>74</v>
      </c>
    </row>
    <row r="6055" spans="1:66">
      <c r="A6055">
        <v>104009</v>
      </c>
      <c r="B6055" s="3" t="s">
        <v>591</v>
      </c>
      <c r="C6055" s="1">
        <v>43300101</v>
      </c>
      <c r="D6055" t="s">
        <v>67</v>
      </c>
      <c r="H6055" t="str">
        <f t="shared" si="626"/>
        <v>08641790152</v>
      </c>
      <c r="I6055" t="str">
        <f t="shared" si="626"/>
        <v>08641790152</v>
      </c>
      <c r="K6055" t="str">
        <f>""</f>
        <v/>
      </c>
      <c r="M6055" t="s">
        <v>68</v>
      </c>
      <c r="N6055" t="str">
        <f t="shared" si="624"/>
        <v>FOR</v>
      </c>
      <c r="O6055" t="s">
        <v>69</v>
      </c>
      <c r="P6055" s="3" t="s">
        <v>75</v>
      </c>
      <c r="Q6055">
        <v>2016</v>
      </c>
      <c r="R6055" s="2">
        <v>42479</v>
      </c>
      <c r="S6055" s="2">
        <v>42481</v>
      </c>
      <c r="T6055" s="2">
        <v>42480</v>
      </c>
      <c r="U6055" s="2">
        <v>42540</v>
      </c>
      <c r="V6055" t="s">
        <v>71</v>
      </c>
      <c r="W6055" t="str">
        <f>"             G044542"</f>
        <v xml:space="preserve">             G044542</v>
      </c>
      <c r="X6055" s="1">
        <v>1518.9</v>
      </c>
      <c r="Y6055">
        <v>0</v>
      </c>
      <c r="Z6055" s="5">
        <v>1245</v>
      </c>
      <c r="AA6055">
        <v>184</v>
      </c>
      <c r="AB6055" s="5">
        <v>229080</v>
      </c>
      <c r="AC6055" s="1">
        <v>1245</v>
      </c>
      <c r="AD6055">
        <v>184</v>
      </c>
      <c r="AE6055" s="1">
        <v>229080</v>
      </c>
      <c r="AF6055">
        <v>273.89999999999998</v>
      </c>
      <c r="AJ6055">
        <v>0</v>
      </c>
      <c r="AK6055">
        <v>0</v>
      </c>
      <c r="AL6055">
        <v>0</v>
      </c>
      <c r="AM6055" s="1">
        <v>1518.9</v>
      </c>
      <c r="AN6055" s="1">
        <v>1518.9</v>
      </c>
      <c r="AO6055" s="1">
        <v>1518.9</v>
      </c>
      <c r="AP6055" s="2">
        <v>42746</v>
      </c>
      <c r="AQ6055" t="s">
        <v>72</v>
      </c>
      <c r="AR6055" t="s">
        <v>72</v>
      </c>
      <c r="AS6055">
        <v>3645</v>
      </c>
      <c r="AT6055" s="4">
        <v>42724</v>
      </c>
      <c r="AU6055" t="s">
        <v>73</v>
      </c>
      <c r="AV6055">
        <v>3645</v>
      </c>
      <c r="AW6055" s="4">
        <v>42724</v>
      </c>
      <c r="BD6055">
        <v>273.89999999999998</v>
      </c>
      <c r="BN6055" t="s">
        <v>74</v>
      </c>
    </row>
    <row r="6056" spans="1:66">
      <c r="A6056">
        <v>104009</v>
      </c>
      <c r="B6056" s="3" t="s">
        <v>591</v>
      </c>
      <c r="C6056" s="1">
        <v>43300101</v>
      </c>
      <c r="D6056" t="s">
        <v>67</v>
      </c>
      <c r="H6056" t="str">
        <f t="shared" si="626"/>
        <v>08641790152</v>
      </c>
      <c r="I6056" t="str">
        <f t="shared" si="626"/>
        <v>08641790152</v>
      </c>
      <c r="K6056" t="str">
        <f>""</f>
        <v/>
      </c>
      <c r="M6056" t="s">
        <v>68</v>
      </c>
      <c r="N6056" t="str">
        <f t="shared" si="624"/>
        <v>FOR</v>
      </c>
      <c r="O6056" t="s">
        <v>69</v>
      </c>
      <c r="P6056" s="3" t="s">
        <v>75</v>
      </c>
      <c r="Q6056">
        <v>2016</v>
      </c>
      <c r="R6056" s="2">
        <v>42480</v>
      </c>
      <c r="S6056" s="2">
        <v>42481</v>
      </c>
      <c r="T6056" s="2">
        <v>42481</v>
      </c>
      <c r="U6056" s="2">
        <v>42541</v>
      </c>
      <c r="V6056" t="s">
        <v>71</v>
      </c>
      <c r="W6056" t="str">
        <f>"             G044754"</f>
        <v xml:space="preserve">             G044754</v>
      </c>
      <c r="X6056" s="1">
        <v>1698.24</v>
      </c>
      <c r="Y6056">
        <v>0</v>
      </c>
      <c r="Z6056" s="5">
        <v>1392</v>
      </c>
      <c r="AA6056">
        <v>183</v>
      </c>
      <c r="AB6056" s="5">
        <v>254736</v>
      </c>
      <c r="AC6056" s="1">
        <v>1392</v>
      </c>
      <c r="AD6056">
        <v>183</v>
      </c>
      <c r="AE6056" s="1">
        <v>254736</v>
      </c>
      <c r="AF6056">
        <v>306.24</v>
      </c>
      <c r="AJ6056">
        <v>0</v>
      </c>
      <c r="AK6056">
        <v>0</v>
      </c>
      <c r="AL6056">
        <v>0</v>
      </c>
      <c r="AM6056" s="1">
        <v>1698.24</v>
      </c>
      <c r="AN6056" s="1">
        <v>1698.24</v>
      </c>
      <c r="AO6056" s="1">
        <v>1698.24</v>
      </c>
      <c r="AP6056" s="2">
        <v>42746</v>
      </c>
      <c r="AQ6056" t="s">
        <v>72</v>
      </c>
      <c r="AR6056" t="s">
        <v>72</v>
      </c>
      <c r="AS6056">
        <v>3645</v>
      </c>
      <c r="AT6056" s="4">
        <v>42724</v>
      </c>
      <c r="AU6056" t="s">
        <v>73</v>
      </c>
      <c r="AV6056">
        <v>3645</v>
      </c>
      <c r="AW6056" s="4">
        <v>42724</v>
      </c>
      <c r="BD6056">
        <v>306.24</v>
      </c>
      <c r="BN6056" t="s">
        <v>74</v>
      </c>
    </row>
    <row r="6057" spans="1:66">
      <c r="A6057">
        <v>104009</v>
      </c>
      <c r="B6057" s="3" t="s">
        <v>591</v>
      </c>
      <c r="C6057" s="1">
        <v>43300101</v>
      </c>
      <c r="D6057" t="s">
        <v>67</v>
      </c>
      <c r="H6057" t="str">
        <f t="shared" si="626"/>
        <v>08641790152</v>
      </c>
      <c r="I6057" t="str">
        <f t="shared" si="626"/>
        <v>08641790152</v>
      </c>
      <c r="K6057" t="str">
        <f>""</f>
        <v/>
      </c>
      <c r="M6057" t="s">
        <v>68</v>
      </c>
      <c r="N6057" t="str">
        <f t="shared" si="624"/>
        <v>FOR</v>
      </c>
      <c r="O6057" t="s">
        <v>69</v>
      </c>
      <c r="P6057" s="3" t="s">
        <v>75</v>
      </c>
      <c r="Q6057">
        <v>2016</v>
      </c>
      <c r="R6057" s="2">
        <v>42482</v>
      </c>
      <c r="S6057" s="2">
        <v>42487</v>
      </c>
      <c r="T6057" s="2">
        <v>42483</v>
      </c>
      <c r="U6057" s="2">
        <v>42543</v>
      </c>
      <c r="V6057" t="s">
        <v>71</v>
      </c>
      <c r="W6057" t="str">
        <f>"             G046093"</f>
        <v xml:space="preserve">             G046093</v>
      </c>
      <c r="X6057">
        <v>988</v>
      </c>
      <c r="Y6057">
        <v>0</v>
      </c>
      <c r="Z6057" s="3">
        <v>950</v>
      </c>
      <c r="AA6057">
        <v>181</v>
      </c>
      <c r="AB6057" s="5">
        <v>171950</v>
      </c>
      <c r="AC6057">
        <v>950</v>
      </c>
      <c r="AD6057">
        <v>181</v>
      </c>
      <c r="AE6057" s="1">
        <v>171950</v>
      </c>
      <c r="AF6057">
        <v>38</v>
      </c>
      <c r="AJ6057">
        <v>0</v>
      </c>
      <c r="AK6057">
        <v>0</v>
      </c>
      <c r="AL6057">
        <v>0</v>
      </c>
      <c r="AM6057">
        <v>988</v>
      </c>
      <c r="AN6057">
        <v>988</v>
      </c>
      <c r="AO6057">
        <v>988</v>
      </c>
      <c r="AP6057" s="2">
        <v>42746</v>
      </c>
      <c r="AQ6057" t="s">
        <v>72</v>
      </c>
      <c r="AR6057" t="s">
        <v>72</v>
      </c>
      <c r="AS6057">
        <v>3645</v>
      </c>
      <c r="AT6057" s="4">
        <v>42724</v>
      </c>
      <c r="AU6057" t="s">
        <v>73</v>
      </c>
      <c r="AV6057">
        <v>3645</v>
      </c>
      <c r="AW6057" s="4">
        <v>42724</v>
      </c>
      <c r="BD6057">
        <v>38</v>
      </c>
      <c r="BN6057" t="s">
        <v>74</v>
      </c>
    </row>
    <row r="6058" spans="1:66">
      <c r="A6058">
        <v>104009</v>
      </c>
      <c r="B6058" s="3" t="s">
        <v>591</v>
      </c>
      <c r="C6058" s="1">
        <v>43300101</v>
      </c>
      <c r="D6058" t="s">
        <v>67</v>
      </c>
      <c r="H6058" t="str">
        <f t="shared" si="626"/>
        <v>08641790152</v>
      </c>
      <c r="I6058" t="str">
        <f t="shared" si="626"/>
        <v>08641790152</v>
      </c>
      <c r="K6058" t="str">
        <f>""</f>
        <v/>
      </c>
      <c r="M6058" t="s">
        <v>68</v>
      </c>
      <c r="N6058" t="str">
        <f t="shared" si="624"/>
        <v>FOR</v>
      </c>
      <c r="O6058" t="s">
        <v>69</v>
      </c>
      <c r="P6058" s="3" t="s">
        <v>75</v>
      </c>
      <c r="Q6058">
        <v>2016</v>
      </c>
      <c r="R6058" s="2">
        <v>42482</v>
      </c>
      <c r="S6058" s="2">
        <v>42487</v>
      </c>
      <c r="T6058" s="2">
        <v>42483</v>
      </c>
      <c r="U6058" s="2">
        <v>42543</v>
      </c>
      <c r="V6058" t="s">
        <v>71</v>
      </c>
      <c r="W6058" t="str">
        <f>"             G046099"</f>
        <v xml:space="preserve">             G046099</v>
      </c>
      <c r="X6058">
        <v>988</v>
      </c>
      <c r="Y6058">
        <v>0</v>
      </c>
      <c r="Z6058" s="3">
        <v>950</v>
      </c>
      <c r="AA6058">
        <v>181</v>
      </c>
      <c r="AB6058" s="5">
        <v>171950</v>
      </c>
      <c r="AC6058">
        <v>950</v>
      </c>
      <c r="AD6058">
        <v>181</v>
      </c>
      <c r="AE6058" s="1">
        <v>171950</v>
      </c>
      <c r="AF6058">
        <v>38</v>
      </c>
      <c r="AJ6058">
        <v>0</v>
      </c>
      <c r="AK6058">
        <v>0</v>
      </c>
      <c r="AL6058">
        <v>0</v>
      </c>
      <c r="AM6058">
        <v>988</v>
      </c>
      <c r="AN6058">
        <v>988</v>
      </c>
      <c r="AO6058">
        <v>988</v>
      </c>
      <c r="AP6058" s="2">
        <v>42746</v>
      </c>
      <c r="AQ6058" t="s">
        <v>72</v>
      </c>
      <c r="AR6058" t="s">
        <v>72</v>
      </c>
      <c r="AS6058">
        <v>3645</v>
      </c>
      <c r="AT6058" s="4">
        <v>42724</v>
      </c>
      <c r="AU6058" t="s">
        <v>73</v>
      </c>
      <c r="AV6058">
        <v>3645</v>
      </c>
      <c r="AW6058" s="4">
        <v>42724</v>
      </c>
      <c r="BD6058">
        <v>38</v>
      </c>
      <c r="BN6058" t="s">
        <v>74</v>
      </c>
    </row>
    <row r="6059" spans="1:66">
      <c r="A6059">
        <v>104009</v>
      </c>
      <c r="B6059" s="3" t="s">
        <v>591</v>
      </c>
      <c r="C6059" s="1">
        <v>43300101</v>
      </c>
      <c r="D6059" t="s">
        <v>67</v>
      </c>
      <c r="H6059" t="str">
        <f t="shared" si="626"/>
        <v>08641790152</v>
      </c>
      <c r="I6059" t="str">
        <f t="shared" si="626"/>
        <v>08641790152</v>
      </c>
      <c r="K6059" t="str">
        <f>""</f>
        <v/>
      </c>
      <c r="M6059" t="s">
        <v>68</v>
      </c>
      <c r="N6059" t="str">
        <f t="shared" si="624"/>
        <v>FOR</v>
      </c>
      <c r="O6059" t="s">
        <v>69</v>
      </c>
      <c r="P6059" s="3" t="s">
        <v>75</v>
      </c>
      <c r="Q6059">
        <v>2016</v>
      </c>
      <c r="R6059" s="2">
        <v>42485</v>
      </c>
      <c r="S6059" s="2">
        <v>42487</v>
      </c>
      <c r="T6059" s="2">
        <v>42486</v>
      </c>
      <c r="U6059" s="2">
        <v>42546</v>
      </c>
      <c r="V6059" t="s">
        <v>71</v>
      </c>
      <c r="W6059" t="str">
        <f>"             G046386"</f>
        <v xml:space="preserve">             G046386</v>
      </c>
      <c r="X6059">
        <v>988</v>
      </c>
      <c r="Y6059">
        <v>0</v>
      </c>
      <c r="Z6059" s="3">
        <v>950</v>
      </c>
      <c r="AA6059">
        <v>178</v>
      </c>
      <c r="AB6059" s="5">
        <v>169100</v>
      </c>
      <c r="AC6059">
        <v>950</v>
      </c>
      <c r="AD6059">
        <v>178</v>
      </c>
      <c r="AE6059" s="1">
        <v>169100</v>
      </c>
      <c r="AF6059">
        <v>38</v>
      </c>
      <c r="AJ6059">
        <v>0</v>
      </c>
      <c r="AK6059">
        <v>0</v>
      </c>
      <c r="AL6059">
        <v>0</v>
      </c>
      <c r="AM6059">
        <v>988</v>
      </c>
      <c r="AN6059">
        <v>988</v>
      </c>
      <c r="AO6059">
        <v>988</v>
      </c>
      <c r="AP6059" s="2">
        <v>42746</v>
      </c>
      <c r="AQ6059" t="s">
        <v>72</v>
      </c>
      <c r="AR6059" t="s">
        <v>72</v>
      </c>
      <c r="AS6059">
        <v>3645</v>
      </c>
      <c r="AT6059" s="4">
        <v>42724</v>
      </c>
      <c r="AU6059" t="s">
        <v>73</v>
      </c>
      <c r="AV6059">
        <v>3645</v>
      </c>
      <c r="AW6059" s="4">
        <v>42724</v>
      </c>
      <c r="BD6059">
        <v>38</v>
      </c>
      <c r="BN6059" t="s">
        <v>74</v>
      </c>
    </row>
    <row r="6060" spans="1:66">
      <c r="A6060">
        <v>104009</v>
      </c>
      <c r="B6060" s="3" t="s">
        <v>591</v>
      </c>
      <c r="C6060" s="1">
        <v>43300101</v>
      </c>
      <c r="D6060" t="s">
        <v>67</v>
      </c>
      <c r="H6060" t="str">
        <f t="shared" si="626"/>
        <v>08641790152</v>
      </c>
      <c r="I6060" t="str">
        <f t="shared" si="626"/>
        <v>08641790152</v>
      </c>
      <c r="K6060" t="str">
        <f>""</f>
        <v/>
      </c>
      <c r="M6060" t="s">
        <v>68</v>
      </c>
      <c r="N6060" t="str">
        <f t="shared" si="624"/>
        <v>FOR</v>
      </c>
      <c r="O6060" t="s">
        <v>69</v>
      </c>
      <c r="P6060" s="3" t="s">
        <v>75</v>
      </c>
      <c r="Q6060">
        <v>2016</v>
      </c>
      <c r="R6060" s="2">
        <v>42485</v>
      </c>
      <c r="S6060" s="2">
        <v>42487</v>
      </c>
      <c r="T6060" s="2">
        <v>42486</v>
      </c>
      <c r="U6060" s="2">
        <v>42546</v>
      </c>
      <c r="V6060" t="s">
        <v>71</v>
      </c>
      <c r="W6060" t="str">
        <f>"             G046387"</f>
        <v xml:space="preserve">             G046387</v>
      </c>
      <c r="X6060">
        <v>988</v>
      </c>
      <c r="Y6060">
        <v>0</v>
      </c>
      <c r="Z6060" s="3">
        <v>950</v>
      </c>
      <c r="AA6060">
        <v>178</v>
      </c>
      <c r="AB6060" s="5">
        <v>169100</v>
      </c>
      <c r="AC6060">
        <v>950</v>
      </c>
      <c r="AD6060">
        <v>178</v>
      </c>
      <c r="AE6060" s="1">
        <v>169100</v>
      </c>
      <c r="AF6060">
        <v>38</v>
      </c>
      <c r="AJ6060">
        <v>0</v>
      </c>
      <c r="AK6060">
        <v>0</v>
      </c>
      <c r="AL6060">
        <v>0</v>
      </c>
      <c r="AM6060">
        <v>988</v>
      </c>
      <c r="AN6060">
        <v>988</v>
      </c>
      <c r="AO6060">
        <v>988</v>
      </c>
      <c r="AP6060" s="2">
        <v>42746</v>
      </c>
      <c r="AQ6060" t="s">
        <v>72</v>
      </c>
      <c r="AR6060" t="s">
        <v>72</v>
      </c>
      <c r="AS6060">
        <v>3645</v>
      </c>
      <c r="AT6060" s="4">
        <v>42724</v>
      </c>
      <c r="AU6060" t="s">
        <v>73</v>
      </c>
      <c r="AV6060">
        <v>3645</v>
      </c>
      <c r="AW6060" s="4">
        <v>42724</v>
      </c>
      <c r="BD6060">
        <v>38</v>
      </c>
      <c r="BN6060" t="s">
        <v>74</v>
      </c>
    </row>
    <row r="6061" spans="1:66">
      <c r="A6061">
        <v>104009</v>
      </c>
      <c r="B6061" s="3" t="s">
        <v>591</v>
      </c>
      <c r="C6061" s="1">
        <v>43300101</v>
      </c>
      <c r="D6061" t="s">
        <v>67</v>
      </c>
      <c r="H6061" t="str">
        <f t="shared" si="626"/>
        <v>08641790152</v>
      </c>
      <c r="I6061" t="str">
        <f t="shared" si="626"/>
        <v>08641790152</v>
      </c>
      <c r="K6061" t="str">
        <f>""</f>
        <v/>
      </c>
      <c r="M6061" t="s">
        <v>68</v>
      </c>
      <c r="N6061" t="str">
        <f t="shared" si="624"/>
        <v>FOR</v>
      </c>
      <c r="O6061" t="s">
        <v>69</v>
      </c>
      <c r="P6061" s="3" t="s">
        <v>75</v>
      </c>
      <c r="Q6061">
        <v>2016</v>
      </c>
      <c r="R6061" s="2">
        <v>42485</v>
      </c>
      <c r="S6061" s="2">
        <v>42487</v>
      </c>
      <c r="T6061" s="2">
        <v>42486</v>
      </c>
      <c r="U6061" s="2">
        <v>42546</v>
      </c>
      <c r="V6061" t="s">
        <v>71</v>
      </c>
      <c r="W6061" t="str">
        <f>"             G046402"</f>
        <v xml:space="preserve">             G046402</v>
      </c>
      <c r="X6061">
        <v>988</v>
      </c>
      <c r="Y6061">
        <v>0</v>
      </c>
      <c r="Z6061" s="3">
        <v>950</v>
      </c>
      <c r="AA6061">
        <v>178</v>
      </c>
      <c r="AB6061" s="5">
        <v>169100</v>
      </c>
      <c r="AC6061">
        <v>950</v>
      </c>
      <c r="AD6061">
        <v>178</v>
      </c>
      <c r="AE6061" s="1">
        <v>169100</v>
      </c>
      <c r="AF6061">
        <v>38</v>
      </c>
      <c r="AJ6061">
        <v>0</v>
      </c>
      <c r="AK6061">
        <v>0</v>
      </c>
      <c r="AL6061">
        <v>0</v>
      </c>
      <c r="AM6061">
        <v>988</v>
      </c>
      <c r="AN6061">
        <v>988</v>
      </c>
      <c r="AO6061">
        <v>988</v>
      </c>
      <c r="AP6061" s="2">
        <v>42746</v>
      </c>
      <c r="AQ6061" t="s">
        <v>72</v>
      </c>
      <c r="AR6061" t="s">
        <v>72</v>
      </c>
      <c r="AS6061">
        <v>3645</v>
      </c>
      <c r="AT6061" s="4">
        <v>42724</v>
      </c>
      <c r="AU6061" t="s">
        <v>73</v>
      </c>
      <c r="AV6061">
        <v>3645</v>
      </c>
      <c r="AW6061" s="4">
        <v>42724</v>
      </c>
      <c r="BD6061">
        <v>38</v>
      </c>
      <c r="BN6061" t="s">
        <v>74</v>
      </c>
    </row>
    <row r="6062" spans="1:66">
      <c r="A6062">
        <v>104009</v>
      </c>
      <c r="B6062" s="3" t="s">
        <v>591</v>
      </c>
      <c r="C6062" s="1">
        <v>43300101</v>
      </c>
      <c r="D6062" t="s">
        <v>67</v>
      </c>
      <c r="H6062" t="str">
        <f t="shared" si="626"/>
        <v>08641790152</v>
      </c>
      <c r="I6062" t="str">
        <f t="shared" si="626"/>
        <v>08641790152</v>
      </c>
      <c r="K6062" t="str">
        <f>""</f>
        <v/>
      </c>
      <c r="M6062" t="s">
        <v>68</v>
      </c>
      <c r="N6062" t="str">
        <f t="shared" si="624"/>
        <v>FOR</v>
      </c>
      <c r="O6062" t="s">
        <v>69</v>
      </c>
      <c r="P6062" s="3" t="s">
        <v>75</v>
      </c>
      <c r="Q6062">
        <v>2016</v>
      </c>
      <c r="R6062" s="2">
        <v>42486</v>
      </c>
      <c r="S6062" s="2">
        <v>42488</v>
      </c>
      <c r="T6062" s="2">
        <v>42487</v>
      </c>
      <c r="U6062" s="2">
        <v>42547</v>
      </c>
      <c r="V6062" t="s">
        <v>71</v>
      </c>
      <c r="W6062" t="str">
        <f>"             G046765"</f>
        <v xml:space="preserve">             G046765</v>
      </c>
      <c r="X6062">
        <v>878.4</v>
      </c>
      <c r="Y6062">
        <v>0</v>
      </c>
      <c r="Z6062" s="3">
        <v>720</v>
      </c>
      <c r="AA6062">
        <v>177</v>
      </c>
      <c r="AB6062" s="5">
        <v>127440</v>
      </c>
      <c r="AC6062">
        <v>720</v>
      </c>
      <c r="AD6062">
        <v>177</v>
      </c>
      <c r="AE6062" s="1">
        <v>127440</v>
      </c>
      <c r="AF6062">
        <v>158.4</v>
      </c>
      <c r="AJ6062">
        <v>0</v>
      </c>
      <c r="AK6062">
        <v>0</v>
      </c>
      <c r="AL6062">
        <v>0</v>
      </c>
      <c r="AM6062">
        <v>878.4</v>
      </c>
      <c r="AN6062">
        <v>878.4</v>
      </c>
      <c r="AO6062">
        <v>878.4</v>
      </c>
      <c r="AP6062" s="2">
        <v>42746</v>
      </c>
      <c r="AQ6062" t="s">
        <v>72</v>
      </c>
      <c r="AR6062" t="s">
        <v>72</v>
      </c>
      <c r="AS6062">
        <v>3645</v>
      </c>
      <c r="AT6062" s="4">
        <v>42724</v>
      </c>
      <c r="AU6062" t="s">
        <v>73</v>
      </c>
      <c r="AV6062">
        <v>3645</v>
      </c>
      <c r="AW6062" s="4">
        <v>42724</v>
      </c>
      <c r="BD6062">
        <v>158.4</v>
      </c>
      <c r="BN6062" t="s">
        <v>74</v>
      </c>
    </row>
    <row r="6063" spans="1:66">
      <c r="A6063">
        <v>104009</v>
      </c>
      <c r="B6063" s="3" t="s">
        <v>591</v>
      </c>
      <c r="C6063" s="1">
        <v>43300101</v>
      </c>
      <c r="D6063" t="s">
        <v>67</v>
      </c>
      <c r="H6063" t="str">
        <f t="shared" si="626"/>
        <v>08641790152</v>
      </c>
      <c r="I6063" t="str">
        <f t="shared" si="626"/>
        <v>08641790152</v>
      </c>
      <c r="K6063" t="str">
        <f>""</f>
        <v/>
      </c>
      <c r="M6063" t="s">
        <v>68</v>
      </c>
      <c r="N6063" t="str">
        <f t="shared" si="624"/>
        <v>FOR</v>
      </c>
      <c r="O6063" t="s">
        <v>69</v>
      </c>
      <c r="P6063" s="3" t="s">
        <v>75</v>
      </c>
      <c r="Q6063">
        <v>2016</v>
      </c>
      <c r="R6063" s="2">
        <v>42489</v>
      </c>
      <c r="S6063" s="2">
        <v>42492</v>
      </c>
      <c r="T6063" s="2">
        <v>42490</v>
      </c>
      <c r="U6063" s="2">
        <v>42550</v>
      </c>
      <c r="V6063" t="s">
        <v>71</v>
      </c>
      <c r="W6063" t="str">
        <f>"             G049396"</f>
        <v xml:space="preserve">             G049396</v>
      </c>
      <c r="X6063">
        <v>363.66</v>
      </c>
      <c r="Y6063">
        <v>0</v>
      </c>
      <c r="Z6063" s="3">
        <v>298.08</v>
      </c>
      <c r="AA6063">
        <v>174</v>
      </c>
      <c r="AB6063" s="5">
        <v>51865.919999999998</v>
      </c>
      <c r="AC6063">
        <v>298.08</v>
      </c>
      <c r="AD6063">
        <v>174</v>
      </c>
      <c r="AE6063" s="1">
        <v>51865.919999999998</v>
      </c>
      <c r="AF6063">
        <v>65.58</v>
      </c>
      <c r="AJ6063">
        <v>0</v>
      </c>
      <c r="AK6063">
        <v>0</v>
      </c>
      <c r="AL6063">
        <v>0</v>
      </c>
      <c r="AM6063">
        <v>363.66</v>
      </c>
      <c r="AN6063">
        <v>363.66</v>
      </c>
      <c r="AO6063">
        <v>363.66</v>
      </c>
      <c r="AP6063" s="2">
        <v>42746</v>
      </c>
      <c r="AQ6063" t="s">
        <v>72</v>
      </c>
      <c r="AR6063" t="s">
        <v>72</v>
      </c>
      <c r="AS6063">
        <v>3645</v>
      </c>
      <c r="AT6063" s="4">
        <v>42724</v>
      </c>
      <c r="AU6063" t="s">
        <v>73</v>
      </c>
      <c r="AV6063">
        <v>3645</v>
      </c>
      <c r="AW6063" s="4">
        <v>42724</v>
      </c>
      <c r="BD6063">
        <v>65.58</v>
      </c>
      <c r="BN6063" t="s">
        <v>74</v>
      </c>
    </row>
    <row r="6064" spans="1:66">
      <c r="A6064">
        <v>104020</v>
      </c>
      <c r="B6064" s="3" t="s">
        <v>592</v>
      </c>
      <c r="C6064" s="1">
        <v>43300101</v>
      </c>
      <c r="D6064" t="s">
        <v>67</v>
      </c>
      <c r="H6064" t="str">
        <f>"09120130159"</f>
        <v>09120130159</v>
      </c>
      <c r="I6064" t="str">
        <f>"09120130159"</f>
        <v>09120130159</v>
      </c>
      <c r="K6064" t="str">
        <f>""</f>
        <v/>
      </c>
      <c r="M6064" t="s">
        <v>68</v>
      </c>
      <c r="N6064" t="str">
        <f t="shared" si="624"/>
        <v>FOR</v>
      </c>
      <c r="O6064" t="s">
        <v>69</v>
      </c>
      <c r="P6064" s="3" t="s">
        <v>75</v>
      </c>
      <c r="Q6064">
        <v>2016</v>
      </c>
      <c r="R6064" s="2">
        <v>42521</v>
      </c>
      <c r="S6064" s="2">
        <v>42527</v>
      </c>
      <c r="T6064" s="2">
        <v>42523</v>
      </c>
      <c r="U6064" s="2">
        <v>42583</v>
      </c>
      <c r="V6064" t="s">
        <v>71</v>
      </c>
      <c r="W6064" t="str">
        <f>"          9069100486"</f>
        <v xml:space="preserve">          9069100486</v>
      </c>
      <c r="X6064" s="1">
        <v>16177.2</v>
      </c>
      <c r="Y6064">
        <v>0</v>
      </c>
      <c r="Z6064" s="5">
        <v>13260</v>
      </c>
      <c r="AA6064">
        <v>136</v>
      </c>
      <c r="AB6064" s="5">
        <v>1803360</v>
      </c>
      <c r="AC6064" s="1">
        <v>13260</v>
      </c>
      <c r="AD6064">
        <v>136</v>
      </c>
      <c r="AE6064" s="1">
        <v>1803360</v>
      </c>
      <c r="AF6064" s="1">
        <v>2917.2</v>
      </c>
      <c r="AJ6064">
        <v>0</v>
      </c>
      <c r="AK6064">
        <v>0</v>
      </c>
      <c r="AL6064">
        <v>0</v>
      </c>
      <c r="AM6064" s="1">
        <v>16177.2</v>
      </c>
      <c r="AN6064" s="1">
        <v>16177.2</v>
      </c>
      <c r="AO6064" s="1">
        <v>16177.2</v>
      </c>
      <c r="AP6064" s="2">
        <v>42746</v>
      </c>
      <c r="AQ6064" t="s">
        <v>72</v>
      </c>
      <c r="AR6064" t="s">
        <v>72</v>
      </c>
      <c r="AS6064">
        <v>3511</v>
      </c>
      <c r="AT6064" s="4">
        <v>42719</v>
      </c>
      <c r="AU6064" t="s">
        <v>73</v>
      </c>
      <c r="AV6064">
        <v>3511</v>
      </c>
      <c r="AW6064" s="4">
        <v>42719</v>
      </c>
      <c r="BB6064" s="1">
        <v>2917.2</v>
      </c>
      <c r="BD6064">
        <v>0</v>
      </c>
      <c r="BN6064" t="s">
        <v>74</v>
      </c>
    </row>
    <row r="6065" spans="1:66" hidden="1">
      <c r="A6065">
        <v>104024</v>
      </c>
      <c r="B6065" s="3" t="s">
        <v>593</v>
      </c>
      <c r="C6065" s="1">
        <v>43300101</v>
      </c>
      <c r="D6065" t="s">
        <v>67</v>
      </c>
      <c r="H6065" t="str">
        <f t="shared" ref="H6065:I6073" si="627">"07020730631"</f>
        <v>07020730631</v>
      </c>
      <c r="I6065" t="str">
        <f t="shared" si="627"/>
        <v>07020730631</v>
      </c>
      <c r="K6065" t="str">
        <f>""</f>
        <v/>
      </c>
      <c r="M6065" t="s">
        <v>68</v>
      </c>
      <c r="N6065" t="str">
        <f t="shared" si="624"/>
        <v>FOR</v>
      </c>
      <c r="O6065" t="s">
        <v>69</v>
      </c>
      <c r="P6065" s="3" t="s">
        <v>70</v>
      </c>
      <c r="Q6065">
        <v>2015</v>
      </c>
      <c r="R6065" s="2">
        <v>42041</v>
      </c>
      <c r="S6065" s="2">
        <v>42048</v>
      </c>
      <c r="T6065" s="2">
        <v>42048</v>
      </c>
      <c r="U6065" s="2">
        <v>42108</v>
      </c>
      <c r="V6065" t="s">
        <v>71</v>
      </c>
      <c r="W6065" t="str">
        <f>"                 117"</f>
        <v xml:space="preserve">                 117</v>
      </c>
      <c r="X6065" s="1">
        <v>5272.84</v>
      </c>
      <c r="Y6065">
        <v>0</v>
      </c>
      <c r="Z6065"/>
      <c r="AB6065"/>
      <c r="AC6065" s="1">
        <v>4322</v>
      </c>
      <c r="AD6065">
        <v>293</v>
      </c>
      <c r="AE6065" s="1">
        <v>1266346</v>
      </c>
      <c r="AF6065">
        <v>0</v>
      </c>
      <c r="AJ6065">
        <v>0</v>
      </c>
      <c r="AK6065">
        <v>0</v>
      </c>
      <c r="AL6065">
        <v>0</v>
      </c>
      <c r="AM6065">
        <v>0</v>
      </c>
      <c r="AN6065">
        <v>0</v>
      </c>
      <c r="AO6065">
        <v>0</v>
      </c>
      <c r="AP6065" s="2">
        <v>42746</v>
      </c>
      <c r="AQ6065" t="s">
        <v>72</v>
      </c>
      <c r="AR6065" t="s">
        <v>72</v>
      </c>
      <c r="AS6065">
        <v>181</v>
      </c>
      <c r="AT6065" s="4">
        <v>42401</v>
      </c>
      <c r="AU6065" t="s">
        <v>73</v>
      </c>
      <c r="AV6065">
        <v>181</v>
      </c>
      <c r="AW6065" s="4">
        <v>42401</v>
      </c>
      <c r="BD6065">
        <v>0</v>
      </c>
      <c r="BN6065" t="s">
        <v>74</v>
      </c>
    </row>
    <row r="6066" spans="1:66" hidden="1">
      <c r="A6066">
        <v>104024</v>
      </c>
      <c r="B6066" s="3" t="s">
        <v>593</v>
      </c>
      <c r="C6066" s="1">
        <v>43300101</v>
      </c>
      <c r="D6066" t="s">
        <v>67</v>
      </c>
      <c r="H6066" t="str">
        <f t="shared" si="627"/>
        <v>07020730631</v>
      </c>
      <c r="I6066" t="str">
        <f t="shared" si="627"/>
        <v>07020730631</v>
      </c>
      <c r="K6066" t="str">
        <f>""</f>
        <v/>
      </c>
      <c r="M6066" t="s">
        <v>68</v>
      </c>
      <c r="N6066" t="str">
        <f t="shared" si="624"/>
        <v>FOR</v>
      </c>
      <c r="O6066" t="s">
        <v>69</v>
      </c>
      <c r="P6066" s="3" t="s">
        <v>70</v>
      </c>
      <c r="Q6066">
        <v>2015</v>
      </c>
      <c r="R6066" s="2">
        <v>42041</v>
      </c>
      <c r="S6066" s="2">
        <v>42048</v>
      </c>
      <c r="T6066" s="2">
        <v>42048</v>
      </c>
      <c r="U6066" s="2">
        <v>42108</v>
      </c>
      <c r="V6066" t="s">
        <v>71</v>
      </c>
      <c r="W6066" t="str">
        <f>"                 118"</f>
        <v xml:space="preserve">                 118</v>
      </c>
      <c r="X6066" s="1">
        <v>12200</v>
      </c>
      <c r="Y6066">
        <v>0</v>
      </c>
      <c r="Z6066"/>
      <c r="AB6066"/>
      <c r="AC6066" s="1">
        <v>10000</v>
      </c>
      <c r="AD6066">
        <v>293</v>
      </c>
      <c r="AE6066" s="1">
        <v>2930000</v>
      </c>
      <c r="AF6066">
        <v>0</v>
      </c>
      <c r="AJ6066">
        <v>0</v>
      </c>
      <c r="AK6066">
        <v>0</v>
      </c>
      <c r="AL6066">
        <v>0</v>
      </c>
      <c r="AM6066">
        <v>0</v>
      </c>
      <c r="AN6066">
        <v>0</v>
      </c>
      <c r="AO6066">
        <v>0</v>
      </c>
      <c r="AP6066" s="2">
        <v>42746</v>
      </c>
      <c r="AQ6066" t="s">
        <v>72</v>
      </c>
      <c r="AR6066" t="s">
        <v>72</v>
      </c>
      <c r="AS6066">
        <v>181</v>
      </c>
      <c r="AT6066" s="4">
        <v>42401</v>
      </c>
      <c r="AU6066" t="s">
        <v>73</v>
      </c>
      <c r="AV6066">
        <v>181</v>
      </c>
      <c r="AW6066" s="4">
        <v>42401</v>
      </c>
      <c r="BD6066">
        <v>0</v>
      </c>
      <c r="BN6066" t="s">
        <v>74</v>
      </c>
    </row>
    <row r="6067" spans="1:66" hidden="1">
      <c r="A6067">
        <v>104024</v>
      </c>
      <c r="B6067" s="3" t="s">
        <v>593</v>
      </c>
      <c r="C6067" s="1">
        <v>43300101</v>
      </c>
      <c r="D6067" t="s">
        <v>67</v>
      </c>
      <c r="H6067" t="str">
        <f t="shared" si="627"/>
        <v>07020730631</v>
      </c>
      <c r="I6067" t="str">
        <f t="shared" si="627"/>
        <v>07020730631</v>
      </c>
      <c r="K6067" t="str">
        <f>""</f>
        <v/>
      </c>
      <c r="M6067" t="s">
        <v>68</v>
      </c>
      <c r="N6067" t="str">
        <f t="shared" si="624"/>
        <v>FOR</v>
      </c>
      <c r="O6067" t="s">
        <v>69</v>
      </c>
      <c r="P6067" s="3" t="s">
        <v>75</v>
      </c>
      <c r="Q6067">
        <v>2015</v>
      </c>
      <c r="R6067" s="2">
        <v>42094</v>
      </c>
      <c r="S6067" s="2">
        <v>42103</v>
      </c>
      <c r="T6067" s="2">
        <v>42094</v>
      </c>
      <c r="U6067" s="2">
        <v>42154</v>
      </c>
      <c r="V6067" t="s">
        <v>71</v>
      </c>
      <c r="W6067" t="str">
        <f>"                 9PA"</f>
        <v xml:space="preserve">                 9PA</v>
      </c>
      <c r="X6067" s="1">
        <v>12200</v>
      </c>
      <c r="Y6067">
        <v>0</v>
      </c>
      <c r="Z6067"/>
      <c r="AB6067"/>
      <c r="AC6067" s="1">
        <v>10000</v>
      </c>
      <c r="AD6067">
        <v>261</v>
      </c>
      <c r="AE6067" s="1">
        <v>2610000</v>
      </c>
      <c r="AF6067">
        <v>0</v>
      </c>
      <c r="AJ6067">
        <v>0</v>
      </c>
      <c r="AK6067">
        <v>0</v>
      </c>
      <c r="AL6067">
        <v>0</v>
      </c>
      <c r="AM6067">
        <v>0</v>
      </c>
      <c r="AN6067">
        <v>0</v>
      </c>
      <c r="AO6067">
        <v>0</v>
      </c>
      <c r="AP6067" s="2">
        <v>42746</v>
      </c>
      <c r="AQ6067" t="s">
        <v>72</v>
      </c>
      <c r="AR6067" t="s">
        <v>72</v>
      </c>
      <c r="AS6067">
        <v>358</v>
      </c>
      <c r="AT6067" s="4">
        <v>42415</v>
      </c>
      <c r="AU6067" t="s">
        <v>73</v>
      </c>
      <c r="AV6067">
        <v>358</v>
      </c>
      <c r="AW6067" s="4">
        <v>42415</v>
      </c>
      <c r="BD6067">
        <v>0</v>
      </c>
      <c r="BN6067" t="s">
        <v>74</v>
      </c>
    </row>
    <row r="6068" spans="1:66" hidden="1">
      <c r="A6068">
        <v>104024</v>
      </c>
      <c r="B6068" s="3" t="s">
        <v>593</v>
      </c>
      <c r="C6068" s="1">
        <v>43300101</v>
      </c>
      <c r="D6068" t="s">
        <v>67</v>
      </c>
      <c r="H6068" t="str">
        <f t="shared" si="627"/>
        <v>07020730631</v>
      </c>
      <c r="I6068" t="str">
        <f t="shared" si="627"/>
        <v>07020730631</v>
      </c>
      <c r="K6068" t="str">
        <f>""</f>
        <v/>
      </c>
      <c r="M6068" t="s">
        <v>68</v>
      </c>
      <c r="N6068" t="str">
        <f t="shared" si="624"/>
        <v>FOR</v>
      </c>
      <c r="O6068" t="s">
        <v>69</v>
      </c>
      <c r="P6068" s="3" t="s">
        <v>75</v>
      </c>
      <c r="Q6068">
        <v>2015</v>
      </c>
      <c r="R6068" s="2">
        <v>42139</v>
      </c>
      <c r="S6068" s="2">
        <v>42158</v>
      </c>
      <c r="T6068" s="2">
        <v>42143</v>
      </c>
      <c r="U6068" s="2">
        <v>42203</v>
      </c>
      <c r="V6068" t="s">
        <v>71</v>
      </c>
      <c r="W6068" t="str">
        <f>"               125PA"</f>
        <v xml:space="preserve">               125PA</v>
      </c>
      <c r="X6068" s="1">
        <v>6832.98</v>
      </c>
      <c r="Y6068">
        <v>0</v>
      </c>
      <c r="Z6068"/>
      <c r="AB6068"/>
      <c r="AC6068" s="1">
        <v>5600.8</v>
      </c>
      <c r="AD6068">
        <v>250</v>
      </c>
      <c r="AE6068" s="1">
        <v>1400200</v>
      </c>
      <c r="AF6068">
        <v>0</v>
      </c>
      <c r="AJ6068">
        <v>0</v>
      </c>
      <c r="AK6068">
        <v>0</v>
      </c>
      <c r="AL6068">
        <v>0</v>
      </c>
      <c r="AM6068">
        <v>0</v>
      </c>
      <c r="AN6068">
        <v>0</v>
      </c>
      <c r="AO6068">
        <v>0</v>
      </c>
      <c r="AP6068" s="2">
        <v>42746</v>
      </c>
      <c r="AQ6068" t="s">
        <v>72</v>
      </c>
      <c r="AR6068" t="s">
        <v>72</v>
      </c>
      <c r="AS6068">
        <v>872</v>
      </c>
      <c r="AT6068" s="4">
        <v>42453</v>
      </c>
      <c r="AU6068" t="s">
        <v>73</v>
      </c>
      <c r="AV6068">
        <v>872</v>
      </c>
      <c r="AW6068" s="4">
        <v>42453</v>
      </c>
      <c r="BD6068">
        <v>0</v>
      </c>
      <c r="BN6068" t="s">
        <v>74</v>
      </c>
    </row>
    <row r="6069" spans="1:66" hidden="1">
      <c r="A6069">
        <v>104024</v>
      </c>
      <c r="B6069" s="3" t="s">
        <v>593</v>
      </c>
      <c r="C6069" s="1">
        <v>43300101</v>
      </c>
      <c r="D6069" t="s">
        <v>67</v>
      </c>
      <c r="H6069" t="str">
        <f t="shared" si="627"/>
        <v>07020730631</v>
      </c>
      <c r="I6069" t="str">
        <f t="shared" si="627"/>
        <v>07020730631</v>
      </c>
      <c r="K6069" t="str">
        <f>""</f>
        <v/>
      </c>
      <c r="M6069" t="s">
        <v>68</v>
      </c>
      <c r="N6069" t="str">
        <f t="shared" si="624"/>
        <v>FOR</v>
      </c>
      <c r="O6069" t="s">
        <v>69</v>
      </c>
      <c r="P6069" s="3" t="s">
        <v>75</v>
      </c>
      <c r="Q6069">
        <v>2015</v>
      </c>
      <c r="R6069" s="2">
        <v>42151</v>
      </c>
      <c r="S6069" s="2">
        <v>42158</v>
      </c>
      <c r="T6069" s="2">
        <v>42153</v>
      </c>
      <c r="U6069" s="2">
        <v>42213</v>
      </c>
      <c r="V6069" t="s">
        <v>71</v>
      </c>
      <c r="W6069" t="str">
        <f>"               143PA"</f>
        <v xml:space="preserve">               143PA</v>
      </c>
      <c r="X6069" s="1">
        <v>48800</v>
      </c>
      <c r="Y6069">
        <v>0</v>
      </c>
      <c r="Z6069"/>
      <c r="AB6069"/>
      <c r="AC6069" s="1">
        <v>40000</v>
      </c>
      <c r="AD6069">
        <v>240</v>
      </c>
      <c r="AE6069" s="1">
        <v>9600000</v>
      </c>
      <c r="AF6069">
        <v>0</v>
      </c>
      <c r="AJ6069">
        <v>0</v>
      </c>
      <c r="AK6069">
        <v>0</v>
      </c>
      <c r="AL6069">
        <v>0</v>
      </c>
      <c r="AM6069">
        <v>0</v>
      </c>
      <c r="AN6069">
        <v>0</v>
      </c>
      <c r="AO6069">
        <v>0</v>
      </c>
      <c r="AP6069" s="2">
        <v>42746</v>
      </c>
      <c r="AQ6069" t="s">
        <v>72</v>
      </c>
      <c r="AR6069" t="s">
        <v>72</v>
      </c>
      <c r="AS6069">
        <v>872</v>
      </c>
      <c r="AT6069" s="4">
        <v>42453</v>
      </c>
      <c r="AU6069" t="s">
        <v>73</v>
      </c>
      <c r="AV6069">
        <v>872</v>
      </c>
      <c r="AW6069" s="4">
        <v>42453</v>
      </c>
      <c r="BD6069">
        <v>0</v>
      </c>
      <c r="BN6069" t="s">
        <v>74</v>
      </c>
    </row>
    <row r="6070" spans="1:66" hidden="1">
      <c r="A6070">
        <v>104024</v>
      </c>
      <c r="B6070" s="3" t="s">
        <v>593</v>
      </c>
      <c r="C6070" s="1">
        <v>43300101</v>
      </c>
      <c r="D6070" t="s">
        <v>67</v>
      </c>
      <c r="H6070" t="str">
        <f t="shared" si="627"/>
        <v>07020730631</v>
      </c>
      <c r="I6070" t="str">
        <f t="shared" si="627"/>
        <v>07020730631</v>
      </c>
      <c r="K6070" t="str">
        <f>""</f>
        <v/>
      </c>
      <c r="M6070" t="s">
        <v>68</v>
      </c>
      <c r="N6070" t="str">
        <f t="shared" si="624"/>
        <v>FOR</v>
      </c>
      <c r="O6070" t="s">
        <v>69</v>
      </c>
      <c r="P6070" s="3" t="s">
        <v>75</v>
      </c>
      <c r="Q6070">
        <v>2015</v>
      </c>
      <c r="R6070" s="2">
        <v>42174</v>
      </c>
      <c r="S6070" s="2">
        <v>42191</v>
      </c>
      <c r="T6070" s="2">
        <v>42187</v>
      </c>
      <c r="U6070" s="2">
        <v>42247</v>
      </c>
      <c r="V6070" t="s">
        <v>71</v>
      </c>
      <c r="W6070" t="str">
        <f>"               193PA"</f>
        <v xml:space="preserve">               193PA</v>
      </c>
      <c r="X6070" s="1">
        <v>12078</v>
      </c>
      <c r="Y6070">
        <v>0</v>
      </c>
      <c r="Z6070"/>
      <c r="AB6070"/>
      <c r="AC6070" s="1">
        <v>9900</v>
      </c>
      <c r="AD6070">
        <v>245</v>
      </c>
      <c r="AE6070" s="1">
        <v>2425500</v>
      </c>
      <c r="AF6070">
        <v>0</v>
      </c>
      <c r="AJ6070">
        <v>0</v>
      </c>
      <c r="AK6070">
        <v>0</v>
      </c>
      <c r="AL6070">
        <v>0</v>
      </c>
      <c r="AM6070">
        <v>0</v>
      </c>
      <c r="AN6070">
        <v>0</v>
      </c>
      <c r="AO6070">
        <v>0</v>
      </c>
      <c r="AP6070" s="2">
        <v>42746</v>
      </c>
      <c r="AQ6070" t="s">
        <v>72</v>
      </c>
      <c r="AR6070" t="s">
        <v>72</v>
      </c>
      <c r="AS6070">
        <v>1235</v>
      </c>
      <c r="AT6070" s="4">
        <v>42492</v>
      </c>
      <c r="AU6070" t="s">
        <v>73</v>
      </c>
      <c r="AV6070">
        <v>1235</v>
      </c>
      <c r="AW6070" s="4">
        <v>42492</v>
      </c>
      <c r="BD6070">
        <v>0</v>
      </c>
      <c r="BN6070" t="s">
        <v>74</v>
      </c>
    </row>
    <row r="6071" spans="1:66" hidden="1">
      <c r="A6071">
        <v>104024</v>
      </c>
      <c r="B6071" s="3" t="s">
        <v>593</v>
      </c>
      <c r="C6071" s="1">
        <v>43300101</v>
      </c>
      <c r="D6071" t="s">
        <v>67</v>
      </c>
      <c r="H6071" t="str">
        <f t="shared" si="627"/>
        <v>07020730631</v>
      </c>
      <c r="I6071" t="str">
        <f t="shared" si="627"/>
        <v>07020730631</v>
      </c>
      <c r="K6071" t="str">
        <f>""</f>
        <v/>
      </c>
      <c r="M6071" t="s">
        <v>68</v>
      </c>
      <c r="N6071" t="str">
        <f t="shared" si="624"/>
        <v>FOR</v>
      </c>
      <c r="O6071" t="s">
        <v>69</v>
      </c>
      <c r="P6071" s="3" t="s">
        <v>75</v>
      </c>
      <c r="Q6071">
        <v>2015</v>
      </c>
      <c r="R6071" s="2">
        <v>42184</v>
      </c>
      <c r="S6071" s="2">
        <v>42191</v>
      </c>
      <c r="T6071" s="2">
        <v>42187</v>
      </c>
      <c r="U6071" s="2">
        <v>42247</v>
      </c>
      <c r="V6071" t="s">
        <v>71</v>
      </c>
      <c r="W6071" t="str">
        <f>"               215PA"</f>
        <v xml:space="preserve">               215PA</v>
      </c>
      <c r="X6071" s="1">
        <v>5551</v>
      </c>
      <c r="Y6071">
        <v>0</v>
      </c>
      <c r="Z6071"/>
      <c r="AB6071"/>
      <c r="AC6071" s="1">
        <v>4550</v>
      </c>
      <c r="AD6071">
        <v>245</v>
      </c>
      <c r="AE6071" s="1">
        <v>1114750</v>
      </c>
      <c r="AF6071">
        <v>0</v>
      </c>
      <c r="AJ6071">
        <v>0</v>
      </c>
      <c r="AK6071">
        <v>0</v>
      </c>
      <c r="AL6071">
        <v>0</v>
      </c>
      <c r="AM6071">
        <v>0</v>
      </c>
      <c r="AN6071">
        <v>0</v>
      </c>
      <c r="AO6071">
        <v>0</v>
      </c>
      <c r="AP6071" s="2">
        <v>42746</v>
      </c>
      <c r="AQ6071" t="s">
        <v>72</v>
      </c>
      <c r="AR6071" t="s">
        <v>72</v>
      </c>
      <c r="AS6071">
        <v>1235</v>
      </c>
      <c r="AT6071" s="4">
        <v>42492</v>
      </c>
      <c r="AU6071" t="s">
        <v>73</v>
      </c>
      <c r="AV6071">
        <v>1235</v>
      </c>
      <c r="AW6071" s="4">
        <v>42492</v>
      </c>
      <c r="BD6071">
        <v>0</v>
      </c>
      <c r="BN6071" t="s">
        <v>74</v>
      </c>
    </row>
    <row r="6072" spans="1:66" hidden="1">
      <c r="A6072">
        <v>104024</v>
      </c>
      <c r="B6072" s="3" t="s">
        <v>593</v>
      </c>
      <c r="C6072" s="1">
        <v>43300101</v>
      </c>
      <c r="D6072" t="s">
        <v>67</v>
      </c>
      <c r="H6072" t="str">
        <f t="shared" si="627"/>
        <v>07020730631</v>
      </c>
      <c r="I6072" t="str">
        <f t="shared" si="627"/>
        <v>07020730631</v>
      </c>
      <c r="K6072" t="str">
        <f>""</f>
        <v/>
      </c>
      <c r="M6072" t="s">
        <v>68</v>
      </c>
      <c r="N6072" t="str">
        <f t="shared" si="624"/>
        <v>FOR</v>
      </c>
      <c r="O6072" t="s">
        <v>69</v>
      </c>
      <c r="P6072" s="3" t="s">
        <v>75</v>
      </c>
      <c r="Q6072">
        <v>2015</v>
      </c>
      <c r="R6072" s="2">
        <v>42276</v>
      </c>
      <c r="S6072" s="2">
        <v>42277</v>
      </c>
      <c r="T6072" s="2">
        <v>42276</v>
      </c>
      <c r="U6072" s="2">
        <v>42336</v>
      </c>
      <c r="V6072" t="s">
        <v>71</v>
      </c>
      <c r="W6072" t="str">
        <f>"               321PA"</f>
        <v xml:space="preserve">               321PA</v>
      </c>
      <c r="X6072" s="1">
        <v>8603.44</v>
      </c>
      <c r="Y6072">
        <v>0</v>
      </c>
      <c r="Z6072"/>
      <c r="AB6072"/>
      <c r="AC6072" s="1">
        <v>7052</v>
      </c>
      <c r="AD6072">
        <v>285</v>
      </c>
      <c r="AE6072" s="1">
        <v>2009820</v>
      </c>
      <c r="AF6072">
        <v>0</v>
      </c>
      <c r="AJ6072">
        <v>0</v>
      </c>
      <c r="AK6072">
        <v>0</v>
      </c>
      <c r="AL6072">
        <v>0</v>
      </c>
      <c r="AM6072">
        <v>0</v>
      </c>
      <c r="AN6072">
        <v>0</v>
      </c>
      <c r="AO6072">
        <v>0</v>
      </c>
      <c r="AP6072" s="2">
        <v>42746</v>
      </c>
      <c r="AQ6072" t="s">
        <v>72</v>
      </c>
      <c r="AR6072" t="s">
        <v>72</v>
      </c>
      <c r="AS6072">
        <v>2364</v>
      </c>
      <c r="AT6072" s="4">
        <v>42621</v>
      </c>
      <c r="AU6072" t="s">
        <v>73</v>
      </c>
      <c r="AV6072">
        <v>2364</v>
      </c>
      <c r="AW6072" s="4">
        <v>42621</v>
      </c>
      <c r="BD6072">
        <v>0</v>
      </c>
      <c r="BN6072" t="s">
        <v>74</v>
      </c>
    </row>
    <row r="6073" spans="1:66">
      <c r="A6073">
        <v>104024</v>
      </c>
      <c r="B6073" s="3" t="s">
        <v>593</v>
      </c>
      <c r="C6073" s="1">
        <v>43300101</v>
      </c>
      <c r="D6073" t="s">
        <v>67</v>
      </c>
      <c r="H6073" t="str">
        <f t="shared" si="627"/>
        <v>07020730631</v>
      </c>
      <c r="I6073" t="str">
        <f t="shared" si="627"/>
        <v>07020730631</v>
      </c>
      <c r="K6073" t="str">
        <f>""</f>
        <v/>
      </c>
      <c r="M6073" t="s">
        <v>68</v>
      </c>
      <c r="N6073" t="str">
        <f t="shared" si="624"/>
        <v>FOR</v>
      </c>
      <c r="O6073" t="s">
        <v>69</v>
      </c>
      <c r="P6073" s="3" t="s">
        <v>75</v>
      </c>
      <c r="Q6073">
        <v>2015</v>
      </c>
      <c r="R6073" s="2">
        <v>42321</v>
      </c>
      <c r="S6073" s="2">
        <v>42333</v>
      </c>
      <c r="T6073" s="2">
        <v>42332</v>
      </c>
      <c r="U6073" s="2">
        <v>42392</v>
      </c>
      <c r="V6073" t="s">
        <v>71</v>
      </c>
      <c r="W6073" t="str">
        <f>"               390PA"</f>
        <v xml:space="preserve">               390PA</v>
      </c>
      <c r="X6073" s="1">
        <v>3330.6</v>
      </c>
      <c r="Y6073">
        <v>0</v>
      </c>
      <c r="Z6073" s="5">
        <v>2730</v>
      </c>
      <c r="AA6073">
        <v>286</v>
      </c>
      <c r="AB6073" s="5">
        <v>780780</v>
      </c>
      <c r="AC6073" s="1">
        <v>2730</v>
      </c>
      <c r="AD6073">
        <v>286</v>
      </c>
      <c r="AE6073" s="1">
        <v>780780</v>
      </c>
      <c r="AF6073">
        <v>0</v>
      </c>
      <c r="AJ6073">
        <v>0</v>
      </c>
      <c r="AK6073">
        <v>0</v>
      </c>
      <c r="AL6073">
        <v>0</v>
      </c>
      <c r="AM6073">
        <v>0</v>
      </c>
      <c r="AN6073">
        <v>0</v>
      </c>
      <c r="AO6073">
        <v>0</v>
      </c>
      <c r="AP6073" s="2">
        <v>42746</v>
      </c>
      <c r="AQ6073" t="s">
        <v>72</v>
      </c>
      <c r="AR6073" t="s">
        <v>72</v>
      </c>
      <c r="AS6073">
        <v>2918</v>
      </c>
      <c r="AT6073" s="4">
        <v>42678</v>
      </c>
      <c r="AU6073" t="s">
        <v>73</v>
      </c>
      <c r="AV6073">
        <v>2918</v>
      </c>
      <c r="AW6073" s="4">
        <v>42678</v>
      </c>
      <c r="BD6073">
        <v>0</v>
      </c>
      <c r="BN6073" t="s">
        <v>74</v>
      </c>
    </row>
    <row r="6074" spans="1:66" hidden="1">
      <c r="A6074">
        <v>104026</v>
      </c>
      <c r="B6074" s="3" t="s">
        <v>594</v>
      </c>
      <c r="C6074" s="1">
        <v>43201211</v>
      </c>
      <c r="D6074" t="s">
        <v>595</v>
      </c>
      <c r="H6074" t="str">
        <f t="shared" ref="H6074:I6081" si="628">"01948180649"</f>
        <v>01948180649</v>
      </c>
      <c r="I6074" t="str">
        <f t="shared" si="628"/>
        <v>01948180649</v>
      </c>
      <c r="K6074" t="str">
        <f>""</f>
        <v/>
      </c>
      <c r="M6074" t="s">
        <v>68</v>
      </c>
      <c r="N6074" t="str">
        <f t="shared" ref="N6074:N6081" si="629">"AZ2"</f>
        <v>AZ2</v>
      </c>
      <c r="O6074" t="s">
        <v>596</v>
      </c>
      <c r="P6074" s="3" t="s">
        <v>70</v>
      </c>
      <c r="Q6074">
        <v>2015</v>
      </c>
      <c r="R6074" s="2">
        <v>42093</v>
      </c>
      <c r="S6074" s="2">
        <v>42128</v>
      </c>
      <c r="T6074" s="2">
        <v>42128</v>
      </c>
      <c r="U6074" s="2">
        <v>42188</v>
      </c>
      <c r="V6074" t="s">
        <v>71</v>
      </c>
      <c r="W6074" t="str">
        <f>"                  63"</f>
        <v xml:space="preserve">                  63</v>
      </c>
      <c r="X6074" s="1">
        <v>1432.54</v>
      </c>
      <c r="Y6074">
        <v>0</v>
      </c>
      <c r="Z6074"/>
      <c r="AB6074"/>
      <c r="AC6074" s="1">
        <v>1432.54</v>
      </c>
      <c r="AD6074">
        <v>214</v>
      </c>
      <c r="AE6074" s="1">
        <v>306563.56</v>
      </c>
      <c r="AF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 s="2">
        <v>42746</v>
      </c>
      <c r="AQ6074" t="s">
        <v>72</v>
      </c>
      <c r="AR6074" t="s">
        <v>72</v>
      </c>
      <c r="AS6074">
        <v>190</v>
      </c>
      <c r="AT6074" s="4">
        <v>42402</v>
      </c>
      <c r="AU6074" t="s">
        <v>73</v>
      </c>
      <c r="AV6074">
        <v>190</v>
      </c>
      <c r="AW6074" s="4">
        <v>42402</v>
      </c>
      <c r="BD6074">
        <v>0</v>
      </c>
      <c r="BN6074" t="s">
        <v>74</v>
      </c>
    </row>
    <row r="6075" spans="1:66" hidden="1">
      <c r="A6075">
        <v>104026</v>
      </c>
      <c r="B6075" s="3" t="s">
        <v>594</v>
      </c>
      <c r="C6075" s="1">
        <v>43201211</v>
      </c>
      <c r="D6075" t="s">
        <v>595</v>
      </c>
      <c r="H6075" t="str">
        <f t="shared" si="628"/>
        <v>01948180649</v>
      </c>
      <c r="I6075" t="str">
        <f t="shared" si="628"/>
        <v>01948180649</v>
      </c>
      <c r="K6075" t="str">
        <f>""</f>
        <v/>
      </c>
      <c r="M6075" t="s">
        <v>68</v>
      </c>
      <c r="N6075" t="str">
        <f t="shared" si="629"/>
        <v>AZ2</v>
      </c>
      <c r="O6075" t="s">
        <v>596</v>
      </c>
      <c r="P6075" s="3" t="s">
        <v>75</v>
      </c>
      <c r="Q6075">
        <v>2015</v>
      </c>
      <c r="R6075" s="2">
        <v>42300</v>
      </c>
      <c r="S6075" s="2">
        <v>42300</v>
      </c>
      <c r="T6075" s="2">
        <v>42300</v>
      </c>
      <c r="U6075" s="2">
        <v>42360</v>
      </c>
      <c r="V6075" t="s">
        <v>71</v>
      </c>
      <c r="W6075" t="str">
        <f>"              040/75"</f>
        <v xml:space="preserve">              040/75</v>
      </c>
      <c r="X6075" s="1">
        <v>1432.54</v>
      </c>
      <c r="Y6075">
        <v>0</v>
      </c>
      <c r="Z6075"/>
      <c r="AB6075"/>
      <c r="AC6075" s="1">
        <v>1432.54</v>
      </c>
      <c r="AD6075">
        <v>216</v>
      </c>
      <c r="AE6075" s="1">
        <v>309428.64</v>
      </c>
      <c r="AF6075">
        <v>0</v>
      </c>
      <c r="AJ6075">
        <v>0</v>
      </c>
      <c r="AK6075">
        <v>0</v>
      </c>
      <c r="AL6075">
        <v>0</v>
      </c>
      <c r="AM6075">
        <v>0</v>
      </c>
      <c r="AN6075">
        <v>0</v>
      </c>
      <c r="AO6075">
        <v>0</v>
      </c>
      <c r="AP6075" s="2">
        <v>42746</v>
      </c>
      <c r="AQ6075" t="s">
        <v>72</v>
      </c>
      <c r="AR6075" t="s">
        <v>72</v>
      </c>
      <c r="AS6075">
        <v>1902</v>
      </c>
      <c r="AT6075" s="4">
        <v>42576</v>
      </c>
      <c r="AU6075" t="s">
        <v>73</v>
      </c>
      <c r="AV6075">
        <v>1902</v>
      </c>
      <c r="AW6075" s="4">
        <v>42576</v>
      </c>
      <c r="BD6075">
        <v>0</v>
      </c>
      <c r="BN6075" t="s">
        <v>74</v>
      </c>
    </row>
    <row r="6076" spans="1:66" hidden="1">
      <c r="A6076">
        <v>104026</v>
      </c>
      <c r="B6076" s="3" t="s">
        <v>594</v>
      </c>
      <c r="C6076" s="1">
        <v>43201211</v>
      </c>
      <c r="D6076" t="s">
        <v>595</v>
      </c>
      <c r="H6076" t="str">
        <f t="shared" si="628"/>
        <v>01948180649</v>
      </c>
      <c r="I6076" t="str">
        <f t="shared" si="628"/>
        <v>01948180649</v>
      </c>
      <c r="K6076" t="str">
        <f>""</f>
        <v/>
      </c>
      <c r="M6076" t="s">
        <v>68</v>
      </c>
      <c r="N6076" t="str">
        <f t="shared" si="629"/>
        <v>AZ2</v>
      </c>
      <c r="O6076" t="s">
        <v>596</v>
      </c>
      <c r="P6076" s="3" t="s">
        <v>75</v>
      </c>
      <c r="Q6076">
        <v>2015</v>
      </c>
      <c r="R6076" s="2">
        <v>42300</v>
      </c>
      <c r="S6076" s="2">
        <v>42300</v>
      </c>
      <c r="T6076" s="2">
        <v>42300</v>
      </c>
      <c r="U6076" s="2">
        <v>42360</v>
      </c>
      <c r="V6076" t="s">
        <v>71</v>
      </c>
      <c r="W6076" t="str">
        <f>"              040/76"</f>
        <v xml:space="preserve">              040/76</v>
      </c>
      <c r="X6076" s="1">
        <v>1432.54</v>
      </c>
      <c r="Y6076">
        <v>0</v>
      </c>
      <c r="Z6076"/>
      <c r="AB6076"/>
      <c r="AC6076" s="1">
        <v>1432.54</v>
      </c>
      <c r="AD6076">
        <v>216</v>
      </c>
      <c r="AE6076" s="1">
        <v>309428.64</v>
      </c>
      <c r="AF6076">
        <v>0</v>
      </c>
      <c r="AJ6076">
        <v>0</v>
      </c>
      <c r="AK6076">
        <v>0</v>
      </c>
      <c r="AL6076">
        <v>0</v>
      </c>
      <c r="AM6076">
        <v>0</v>
      </c>
      <c r="AN6076">
        <v>0</v>
      </c>
      <c r="AO6076">
        <v>0</v>
      </c>
      <c r="AP6076" s="2">
        <v>42746</v>
      </c>
      <c r="AQ6076" t="s">
        <v>72</v>
      </c>
      <c r="AR6076" t="s">
        <v>72</v>
      </c>
      <c r="AS6076">
        <v>1902</v>
      </c>
      <c r="AT6076" s="4">
        <v>42576</v>
      </c>
      <c r="AU6076" t="s">
        <v>73</v>
      </c>
      <c r="AV6076">
        <v>1902</v>
      </c>
      <c r="AW6076" s="4">
        <v>42576</v>
      </c>
      <c r="BD6076">
        <v>0</v>
      </c>
      <c r="BN6076" t="s">
        <v>74</v>
      </c>
    </row>
    <row r="6077" spans="1:66" hidden="1">
      <c r="A6077">
        <v>104026</v>
      </c>
      <c r="B6077" s="3" t="s">
        <v>594</v>
      </c>
      <c r="C6077" s="1">
        <v>43201211</v>
      </c>
      <c r="D6077" t="s">
        <v>595</v>
      </c>
      <c r="H6077" t="str">
        <f t="shared" si="628"/>
        <v>01948180649</v>
      </c>
      <c r="I6077" t="str">
        <f t="shared" si="628"/>
        <v>01948180649</v>
      </c>
      <c r="K6077" t="str">
        <f>""</f>
        <v/>
      </c>
      <c r="M6077" t="s">
        <v>68</v>
      </c>
      <c r="N6077" t="str">
        <f t="shared" si="629"/>
        <v>AZ2</v>
      </c>
      <c r="O6077" t="s">
        <v>596</v>
      </c>
      <c r="P6077" s="3" t="s">
        <v>75</v>
      </c>
      <c r="Q6077">
        <v>2015</v>
      </c>
      <c r="R6077" s="2">
        <v>42300</v>
      </c>
      <c r="S6077" s="2">
        <v>42300</v>
      </c>
      <c r="T6077" s="2">
        <v>42300</v>
      </c>
      <c r="U6077" s="2">
        <v>42360</v>
      </c>
      <c r="V6077" t="s">
        <v>71</v>
      </c>
      <c r="W6077" t="str">
        <f>"              040/77"</f>
        <v xml:space="preserve">              040/77</v>
      </c>
      <c r="X6077">
        <v>122.71</v>
      </c>
      <c r="Y6077">
        <v>0</v>
      </c>
      <c r="Z6077"/>
      <c r="AB6077"/>
      <c r="AC6077">
        <v>122.71</v>
      </c>
      <c r="AD6077">
        <v>216</v>
      </c>
      <c r="AE6077" s="1">
        <v>26505.360000000001</v>
      </c>
      <c r="AF6077">
        <v>0</v>
      </c>
      <c r="AJ6077">
        <v>0</v>
      </c>
      <c r="AK6077">
        <v>0</v>
      </c>
      <c r="AL6077">
        <v>0</v>
      </c>
      <c r="AM6077">
        <v>0</v>
      </c>
      <c r="AN6077">
        <v>0</v>
      </c>
      <c r="AO6077">
        <v>0</v>
      </c>
      <c r="AP6077" s="2">
        <v>42746</v>
      </c>
      <c r="AQ6077" t="s">
        <v>72</v>
      </c>
      <c r="AR6077" t="s">
        <v>72</v>
      </c>
      <c r="AS6077">
        <v>1902</v>
      </c>
      <c r="AT6077" s="4">
        <v>42576</v>
      </c>
      <c r="AU6077" t="s">
        <v>73</v>
      </c>
      <c r="AV6077">
        <v>1902</v>
      </c>
      <c r="AW6077" s="4">
        <v>42576</v>
      </c>
      <c r="BD6077">
        <v>0</v>
      </c>
      <c r="BN6077" t="s">
        <v>74</v>
      </c>
    </row>
    <row r="6078" spans="1:66" hidden="1">
      <c r="A6078">
        <v>104026</v>
      </c>
      <c r="B6078" s="3" t="s">
        <v>594</v>
      </c>
      <c r="C6078" s="1">
        <v>43201211</v>
      </c>
      <c r="D6078" t="s">
        <v>595</v>
      </c>
      <c r="H6078" t="str">
        <f t="shared" si="628"/>
        <v>01948180649</v>
      </c>
      <c r="I6078" t="str">
        <f t="shared" si="628"/>
        <v>01948180649</v>
      </c>
      <c r="K6078" t="str">
        <f>""</f>
        <v/>
      </c>
      <c r="M6078" t="s">
        <v>68</v>
      </c>
      <c r="N6078" t="str">
        <f t="shared" si="629"/>
        <v>AZ2</v>
      </c>
      <c r="O6078" t="s">
        <v>596</v>
      </c>
      <c r="P6078" s="3" t="s">
        <v>70</v>
      </c>
      <c r="Q6078">
        <v>2015</v>
      </c>
      <c r="R6078" s="2">
        <v>42080</v>
      </c>
      <c r="S6078" s="2">
        <v>42089</v>
      </c>
      <c r="T6078" s="2">
        <v>42089</v>
      </c>
      <c r="U6078" s="2">
        <v>42149</v>
      </c>
      <c r="V6078" t="s">
        <v>71</v>
      </c>
      <c r="W6078" t="str">
        <f>"           13/000036"</f>
        <v xml:space="preserve">           13/000036</v>
      </c>
      <c r="X6078" s="1">
        <v>1432.54</v>
      </c>
      <c r="Y6078">
        <v>0</v>
      </c>
      <c r="Z6078"/>
      <c r="AB6078"/>
      <c r="AC6078" s="1">
        <v>1432.54</v>
      </c>
      <c r="AD6078">
        <v>253</v>
      </c>
      <c r="AE6078" s="1">
        <v>362432.62</v>
      </c>
      <c r="AF6078">
        <v>0</v>
      </c>
      <c r="AJ6078">
        <v>0</v>
      </c>
      <c r="AK6078">
        <v>0</v>
      </c>
      <c r="AL6078">
        <v>0</v>
      </c>
      <c r="AM6078">
        <v>0</v>
      </c>
      <c r="AN6078">
        <v>0</v>
      </c>
      <c r="AO6078">
        <v>0</v>
      </c>
      <c r="AP6078" s="2">
        <v>42746</v>
      </c>
      <c r="AQ6078" t="s">
        <v>72</v>
      </c>
      <c r="AR6078" t="s">
        <v>72</v>
      </c>
      <c r="AS6078">
        <v>190</v>
      </c>
      <c r="AT6078" s="4">
        <v>42402</v>
      </c>
      <c r="AU6078" t="s">
        <v>73</v>
      </c>
      <c r="AV6078">
        <v>190</v>
      </c>
      <c r="AW6078" s="4">
        <v>42402</v>
      </c>
      <c r="BD6078">
        <v>0</v>
      </c>
      <c r="BN6078" t="s">
        <v>74</v>
      </c>
    </row>
    <row r="6079" spans="1:66" hidden="1">
      <c r="A6079">
        <v>104026</v>
      </c>
      <c r="B6079" s="3" t="s">
        <v>594</v>
      </c>
      <c r="C6079" s="1">
        <v>43201211</v>
      </c>
      <c r="D6079" t="s">
        <v>595</v>
      </c>
      <c r="H6079" t="str">
        <f t="shared" si="628"/>
        <v>01948180649</v>
      </c>
      <c r="I6079" t="str">
        <f t="shared" si="628"/>
        <v>01948180649</v>
      </c>
      <c r="K6079" t="str">
        <f>""</f>
        <v/>
      </c>
      <c r="M6079" t="s">
        <v>68</v>
      </c>
      <c r="N6079" t="str">
        <f t="shared" si="629"/>
        <v>AZ2</v>
      </c>
      <c r="O6079" t="s">
        <v>596</v>
      </c>
      <c r="P6079" s="3" t="s">
        <v>75</v>
      </c>
      <c r="Q6079">
        <v>2016</v>
      </c>
      <c r="R6079" s="2">
        <v>42458</v>
      </c>
      <c r="S6079" s="2">
        <v>42464</v>
      </c>
      <c r="T6079" s="2">
        <v>42458</v>
      </c>
      <c r="U6079" s="2">
        <v>42518</v>
      </c>
      <c r="V6079" t="s">
        <v>71</v>
      </c>
      <c r="W6079" t="str">
        <f>"              040/54"</f>
        <v xml:space="preserve">              040/54</v>
      </c>
      <c r="X6079" s="1">
        <v>7502</v>
      </c>
      <c r="Y6079">
        <v>0</v>
      </c>
      <c r="Z6079"/>
      <c r="AB6079"/>
      <c r="AC6079" s="1">
        <v>7502</v>
      </c>
      <c r="AD6079">
        <v>9</v>
      </c>
      <c r="AE6079" s="1">
        <v>67518</v>
      </c>
      <c r="AF6079">
        <v>0</v>
      </c>
      <c r="AJ6079">
        <v>0</v>
      </c>
      <c r="AK6079">
        <v>0</v>
      </c>
      <c r="AL6079">
        <v>0</v>
      </c>
      <c r="AM6079">
        <v>0</v>
      </c>
      <c r="AN6079" s="1">
        <v>7502</v>
      </c>
      <c r="AO6079" s="1">
        <v>7502</v>
      </c>
      <c r="AP6079" s="2">
        <v>42746</v>
      </c>
      <c r="AQ6079" t="s">
        <v>72</v>
      </c>
      <c r="AR6079" t="s">
        <v>72</v>
      </c>
      <c r="AS6079">
        <v>1493</v>
      </c>
      <c r="AT6079" s="4">
        <v>42527</v>
      </c>
      <c r="AU6079" t="s">
        <v>73</v>
      </c>
      <c r="AV6079">
        <v>1493</v>
      </c>
      <c r="AW6079" s="4">
        <v>42527</v>
      </c>
      <c r="BD6079">
        <v>0</v>
      </c>
      <c r="BN6079" t="s">
        <v>74</v>
      </c>
    </row>
    <row r="6080" spans="1:66" hidden="1">
      <c r="A6080">
        <v>104026</v>
      </c>
      <c r="B6080" s="3" t="s">
        <v>594</v>
      </c>
      <c r="C6080" s="1">
        <v>43201211</v>
      </c>
      <c r="D6080" t="s">
        <v>595</v>
      </c>
      <c r="H6080" t="str">
        <f t="shared" si="628"/>
        <v>01948180649</v>
      </c>
      <c r="I6080" t="str">
        <f t="shared" si="628"/>
        <v>01948180649</v>
      </c>
      <c r="K6080" t="str">
        <f>""</f>
        <v/>
      </c>
      <c r="M6080" t="s">
        <v>68</v>
      </c>
      <c r="N6080" t="str">
        <f t="shared" si="629"/>
        <v>AZ2</v>
      </c>
      <c r="O6080" t="s">
        <v>596</v>
      </c>
      <c r="P6080" s="3" t="s">
        <v>75</v>
      </c>
      <c r="Q6080">
        <v>2016</v>
      </c>
      <c r="R6080" s="2">
        <v>42458</v>
      </c>
      <c r="S6080" s="2">
        <v>42481</v>
      </c>
      <c r="T6080" s="2">
        <v>42473</v>
      </c>
      <c r="U6080" s="2">
        <v>42533</v>
      </c>
      <c r="V6080" t="s">
        <v>71</v>
      </c>
      <c r="W6080" t="str">
        <f>"              040/55"</f>
        <v xml:space="preserve">              040/55</v>
      </c>
      <c r="X6080" s="1">
        <v>7502</v>
      </c>
      <c r="Y6080">
        <v>0</v>
      </c>
      <c r="Z6080"/>
      <c r="AB6080"/>
      <c r="AC6080" s="1">
        <v>7502</v>
      </c>
      <c r="AD6080">
        <v>19</v>
      </c>
      <c r="AE6080" s="1">
        <v>142538</v>
      </c>
      <c r="AF6080">
        <v>0</v>
      </c>
      <c r="AJ6080">
        <v>0</v>
      </c>
      <c r="AK6080">
        <v>0</v>
      </c>
      <c r="AL6080">
        <v>0</v>
      </c>
      <c r="AM6080" s="1">
        <v>7502</v>
      </c>
      <c r="AN6080" s="1">
        <v>7502</v>
      </c>
      <c r="AO6080" s="1">
        <v>7502</v>
      </c>
      <c r="AP6080" s="2">
        <v>42746</v>
      </c>
      <c r="AQ6080" t="s">
        <v>72</v>
      </c>
      <c r="AR6080" t="s">
        <v>72</v>
      </c>
      <c r="AS6080">
        <v>1651</v>
      </c>
      <c r="AT6080" s="4">
        <v>42552</v>
      </c>
      <c r="AU6080" t="s">
        <v>73</v>
      </c>
      <c r="AV6080">
        <v>1651</v>
      </c>
      <c r="AW6080" s="4">
        <v>42552</v>
      </c>
      <c r="BD6080">
        <v>0</v>
      </c>
      <c r="BN6080" t="s">
        <v>74</v>
      </c>
    </row>
    <row r="6081" spans="1:66" hidden="1">
      <c r="A6081">
        <v>104026</v>
      </c>
      <c r="B6081" s="3" t="s">
        <v>594</v>
      </c>
      <c r="C6081" s="1">
        <v>43201211</v>
      </c>
      <c r="D6081" t="s">
        <v>595</v>
      </c>
      <c r="H6081" t="str">
        <f t="shared" si="628"/>
        <v>01948180649</v>
      </c>
      <c r="I6081" t="str">
        <f t="shared" si="628"/>
        <v>01948180649</v>
      </c>
      <c r="K6081" t="str">
        <f>""</f>
        <v/>
      </c>
      <c r="M6081" t="s">
        <v>68</v>
      </c>
      <c r="N6081" t="str">
        <f t="shared" si="629"/>
        <v>AZ2</v>
      </c>
      <c r="O6081" t="s">
        <v>596</v>
      </c>
      <c r="P6081" s="3" t="s">
        <v>75</v>
      </c>
      <c r="Q6081">
        <v>2016</v>
      </c>
      <c r="R6081" s="2">
        <v>42564</v>
      </c>
      <c r="S6081" s="2">
        <v>42565</v>
      </c>
      <c r="T6081" s="2">
        <v>42564</v>
      </c>
      <c r="U6081" s="2">
        <v>42624</v>
      </c>
      <c r="V6081" t="s">
        <v>71</v>
      </c>
      <c r="W6081" t="str">
        <f>"             040/118"</f>
        <v xml:space="preserve">             040/118</v>
      </c>
      <c r="X6081" s="1">
        <v>7502</v>
      </c>
      <c r="Y6081">
        <v>0</v>
      </c>
      <c r="Z6081"/>
      <c r="AB6081"/>
      <c r="AC6081" s="1">
        <v>7502</v>
      </c>
      <c r="AD6081">
        <v>-46</v>
      </c>
      <c r="AE6081" s="1">
        <v>-345092</v>
      </c>
      <c r="AF6081">
        <v>0</v>
      </c>
      <c r="AJ6081">
        <v>0</v>
      </c>
      <c r="AK6081">
        <v>0</v>
      </c>
      <c r="AL6081">
        <v>0</v>
      </c>
      <c r="AM6081" s="1">
        <v>7502</v>
      </c>
      <c r="AN6081" s="1">
        <v>7502</v>
      </c>
      <c r="AO6081" s="1">
        <v>7502</v>
      </c>
      <c r="AP6081" s="2">
        <v>42746</v>
      </c>
      <c r="AQ6081" t="s">
        <v>72</v>
      </c>
      <c r="AR6081" t="s">
        <v>72</v>
      </c>
      <c r="AS6081">
        <v>1977</v>
      </c>
      <c r="AT6081" s="4">
        <v>42578</v>
      </c>
      <c r="AV6081">
        <v>1977</v>
      </c>
      <c r="AW6081" s="4">
        <v>42578</v>
      </c>
      <c r="BD6081">
        <v>0</v>
      </c>
      <c r="BN6081" t="s">
        <v>74</v>
      </c>
    </row>
    <row r="6082" spans="1:66" hidden="1">
      <c r="A6082">
        <v>104027</v>
      </c>
      <c r="B6082" s="3" t="s">
        <v>597</v>
      </c>
      <c r="C6082" s="1">
        <v>43300101</v>
      </c>
      <c r="D6082" t="s">
        <v>67</v>
      </c>
      <c r="H6082" t="str">
        <f t="shared" ref="H6082:I6104" si="630">"01138380629"</f>
        <v>01138380629</v>
      </c>
      <c r="I6082" t="str">
        <f t="shared" si="630"/>
        <v>01138380629</v>
      </c>
      <c r="K6082" t="str">
        <f>""</f>
        <v/>
      </c>
      <c r="M6082" t="s">
        <v>68</v>
      </c>
      <c r="N6082" t="str">
        <f t="shared" ref="N6082:N6113" si="631">"FOR"</f>
        <v>FOR</v>
      </c>
      <c r="O6082" t="s">
        <v>69</v>
      </c>
      <c r="P6082" s="3" t="s">
        <v>75</v>
      </c>
      <c r="Q6082">
        <v>2015</v>
      </c>
      <c r="R6082" s="2">
        <v>42129</v>
      </c>
      <c r="S6082" s="2">
        <v>42185</v>
      </c>
      <c r="T6082" s="2">
        <v>42130</v>
      </c>
      <c r="U6082" s="2">
        <v>42190</v>
      </c>
      <c r="V6082" t="s">
        <v>71</v>
      </c>
      <c r="W6082" t="str">
        <f>"                1/PA"</f>
        <v xml:space="preserve">                1/PA</v>
      </c>
      <c r="X6082" s="1">
        <v>2694.2</v>
      </c>
      <c r="Y6082">
        <v>0</v>
      </c>
      <c r="Z6082"/>
      <c r="AB6082"/>
      <c r="AC6082" s="1">
        <v>2208.36</v>
      </c>
      <c r="AD6082">
        <v>226</v>
      </c>
      <c r="AE6082" s="1">
        <v>499089.36</v>
      </c>
      <c r="AF6082">
        <v>0</v>
      </c>
      <c r="AJ6082">
        <v>0</v>
      </c>
      <c r="AK6082">
        <v>0</v>
      </c>
      <c r="AL6082">
        <v>0</v>
      </c>
      <c r="AM6082">
        <v>0</v>
      </c>
      <c r="AN6082">
        <v>0</v>
      </c>
      <c r="AO6082">
        <v>0</v>
      </c>
      <c r="AP6082" s="2">
        <v>42746</v>
      </c>
      <c r="AQ6082" t="s">
        <v>72</v>
      </c>
      <c r="AR6082" t="s">
        <v>72</v>
      </c>
      <c r="AS6082">
        <v>438</v>
      </c>
      <c r="AT6082" s="4">
        <v>42416</v>
      </c>
      <c r="AU6082" t="s">
        <v>73</v>
      </c>
      <c r="AV6082">
        <v>438</v>
      </c>
      <c r="AW6082" s="4">
        <v>42416</v>
      </c>
      <c r="BD6082">
        <v>0</v>
      </c>
      <c r="BN6082" t="s">
        <v>74</v>
      </c>
    </row>
    <row r="6083" spans="1:66" hidden="1">
      <c r="A6083">
        <v>104027</v>
      </c>
      <c r="B6083" s="3" t="s">
        <v>597</v>
      </c>
      <c r="C6083" s="1">
        <v>43300101</v>
      </c>
      <c r="D6083" t="s">
        <v>67</v>
      </c>
      <c r="H6083" t="str">
        <f t="shared" si="630"/>
        <v>01138380629</v>
      </c>
      <c r="I6083" t="str">
        <f t="shared" si="630"/>
        <v>01138380629</v>
      </c>
      <c r="K6083" t="str">
        <f>""</f>
        <v/>
      </c>
      <c r="M6083" t="s">
        <v>68</v>
      </c>
      <c r="N6083" t="str">
        <f t="shared" si="631"/>
        <v>FOR</v>
      </c>
      <c r="O6083" t="s">
        <v>69</v>
      </c>
      <c r="P6083" s="3" t="s">
        <v>75</v>
      </c>
      <c r="Q6083">
        <v>2015</v>
      </c>
      <c r="R6083" s="2">
        <v>42129</v>
      </c>
      <c r="S6083" s="2">
        <v>42163</v>
      </c>
      <c r="T6083" s="2">
        <v>42151</v>
      </c>
      <c r="U6083" s="2">
        <v>42211</v>
      </c>
      <c r="V6083" t="s">
        <v>71</v>
      </c>
      <c r="W6083" t="str">
        <f>"                2/PA"</f>
        <v xml:space="preserve">                2/PA</v>
      </c>
      <c r="X6083" s="1">
        <v>1220</v>
      </c>
      <c r="Y6083">
        <v>0</v>
      </c>
      <c r="Z6083"/>
      <c r="AB6083"/>
      <c r="AC6083" s="1">
        <v>1000</v>
      </c>
      <c r="AD6083">
        <v>205</v>
      </c>
      <c r="AE6083" s="1">
        <v>205000</v>
      </c>
      <c r="AF6083">
        <v>0</v>
      </c>
      <c r="AJ6083">
        <v>0</v>
      </c>
      <c r="AK6083">
        <v>0</v>
      </c>
      <c r="AL6083">
        <v>0</v>
      </c>
      <c r="AM6083">
        <v>0</v>
      </c>
      <c r="AN6083">
        <v>0</v>
      </c>
      <c r="AO6083">
        <v>0</v>
      </c>
      <c r="AP6083" s="2">
        <v>42746</v>
      </c>
      <c r="AQ6083" t="s">
        <v>72</v>
      </c>
      <c r="AR6083" t="s">
        <v>72</v>
      </c>
      <c r="AS6083">
        <v>438</v>
      </c>
      <c r="AT6083" s="4">
        <v>42416</v>
      </c>
      <c r="AU6083" t="s">
        <v>73</v>
      </c>
      <c r="AV6083">
        <v>438</v>
      </c>
      <c r="AW6083" s="4">
        <v>42416</v>
      </c>
      <c r="BD6083">
        <v>0</v>
      </c>
      <c r="BN6083" t="s">
        <v>74</v>
      </c>
    </row>
    <row r="6084" spans="1:66" hidden="1">
      <c r="A6084">
        <v>104027</v>
      </c>
      <c r="B6084" s="3" t="s">
        <v>597</v>
      </c>
      <c r="C6084" s="1">
        <v>43300101</v>
      </c>
      <c r="D6084" t="s">
        <v>67</v>
      </c>
      <c r="H6084" t="str">
        <f t="shared" si="630"/>
        <v>01138380629</v>
      </c>
      <c r="I6084" t="str">
        <f t="shared" si="630"/>
        <v>01138380629</v>
      </c>
      <c r="K6084" t="str">
        <f>""</f>
        <v/>
      </c>
      <c r="M6084" t="s">
        <v>68</v>
      </c>
      <c r="N6084" t="str">
        <f t="shared" si="631"/>
        <v>FOR</v>
      </c>
      <c r="O6084" t="s">
        <v>69</v>
      </c>
      <c r="P6084" s="3" t="s">
        <v>75</v>
      </c>
      <c r="Q6084">
        <v>2015</v>
      </c>
      <c r="R6084" s="2">
        <v>42212</v>
      </c>
      <c r="S6084" s="2">
        <v>42233</v>
      </c>
      <c r="T6084" s="2">
        <v>42212</v>
      </c>
      <c r="U6084" s="2">
        <v>42272</v>
      </c>
      <c r="V6084" t="s">
        <v>71</v>
      </c>
      <c r="W6084" t="str">
        <f>"                6/PA"</f>
        <v xml:space="preserve">                6/PA</v>
      </c>
      <c r="X6084" s="1">
        <v>32920.39</v>
      </c>
      <c r="Y6084">
        <v>0</v>
      </c>
      <c r="Z6084"/>
      <c r="AB6084"/>
      <c r="AC6084" s="1">
        <v>26983.93</v>
      </c>
      <c r="AD6084">
        <v>248</v>
      </c>
      <c r="AE6084" s="1">
        <v>6692014.6399999997</v>
      </c>
      <c r="AF6084">
        <v>0</v>
      </c>
      <c r="AJ6084">
        <v>0</v>
      </c>
      <c r="AK6084">
        <v>0</v>
      </c>
      <c r="AL6084">
        <v>0</v>
      </c>
      <c r="AM6084">
        <v>0</v>
      </c>
      <c r="AN6084">
        <v>0</v>
      </c>
      <c r="AO6084">
        <v>0</v>
      </c>
      <c r="AP6084" s="2">
        <v>42746</v>
      </c>
      <c r="AQ6084" t="s">
        <v>72</v>
      </c>
      <c r="AR6084" t="s">
        <v>72</v>
      </c>
      <c r="AS6084">
        <v>1454</v>
      </c>
      <c r="AT6084" s="4">
        <v>42520</v>
      </c>
      <c r="AU6084" t="s">
        <v>73</v>
      </c>
      <c r="AV6084">
        <v>1454</v>
      </c>
      <c r="AW6084" s="4">
        <v>42520</v>
      </c>
      <c r="BD6084">
        <v>0</v>
      </c>
      <c r="BN6084" t="s">
        <v>74</v>
      </c>
    </row>
    <row r="6085" spans="1:66" hidden="1">
      <c r="A6085">
        <v>104027</v>
      </c>
      <c r="B6085" s="3" t="s">
        <v>597</v>
      </c>
      <c r="C6085" s="1">
        <v>43300101</v>
      </c>
      <c r="D6085" t="s">
        <v>67</v>
      </c>
      <c r="H6085" t="str">
        <f t="shared" si="630"/>
        <v>01138380629</v>
      </c>
      <c r="I6085" t="str">
        <f t="shared" si="630"/>
        <v>01138380629</v>
      </c>
      <c r="K6085" t="str">
        <f>""</f>
        <v/>
      </c>
      <c r="M6085" t="s">
        <v>68</v>
      </c>
      <c r="N6085" t="str">
        <f t="shared" si="631"/>
        <v>FOR</v>
      </c>
      <c r="O6085" t="s">
        <v>69</v>
      </c>
      <c r="P6085" s="3" t="s">
        <v>75</v>
      </c>
      <c r="Q6085">
        <v>2015</v>
      </c>
      <c r="R6085" s="2">
        <v>42212</v>
      </c>
      <c r="S6085" s="2">
        <v>42233</v>
      </c>
      <c r="T6085" s="2">
        <v>42212</v>
      </c>
      <c r="U6085" s="2">
        <v>42272</v>
      </c>
      <c r="V6085" t="s">
        <v>71</v>
      </c>
      <c r="W6085" t="str">
        <f>"                7/PA"</f>
        <v xml:space="preserve">                7/PA</v>
      </c>
      <c r="X6085" s="1">
        <v>13225.41</v>
      </c>
      <c r="Y6085">
        <v>0</v>
      </c>
      <c r="Z6085"/>
      <c r="AB6085"/>
      <c r="AC6085" s="1">
        <v>10840.5</v>
      </c>
      <c r="AD6085">
        <v>248</v>
      </c>
      <c r="AE6085" s="1">
        <v>2688444</v>
      </c>
      <c r="AF6085">
        <v>0</v>
      </c>
      <c r="AJ6085">
        <v>0</v>
      </c>
      <c r="AK6085">
        <v>0</v>
      </c>
      <c r="AL6085">
        <v>0</v>
      </c>
      <c r="AM6085">
        <v>0</v>
      </c>
      <c r="AN6085">
        <v>0</v>
      </c>
      <c r="AO6085">
        <v>0</v>
      </c>
      <c r="AP6085" s="2">
        <v>42746</v>
      </c>
      <c r="AQ6085" t="s">
        <v>72</v>
      </c>
      <c r="AR6085" t="s">
        <v>72</v>
      </c>
      <c r="AS6085">
        <v>1454</v>
      </c>
      <c r="AT6085" s="4">
        <v>42520</v>
      </c>
      <c r="AU6085" t="s">
        <v>73</v>
      </c>
      <c r="AV6085">
        <v>1454</v>
      </c>
      <c r="AW6085" s="4">
        <v>42520</v>
      </c>
      <c r="BD6085">
        <v>0</v>
      </c>
      <c r="BN6085" t="s">
        <v>74</v>
      </c>
    </row>
    <row r="6086" spans="1:66" hidden="1">
      <c r="A6086">
        <v>104027</v>
      </c>
      <c r="B6086" s="3" t="s">
        <v>597</v>
      </c>
      <c r="C6086" s="1">
        <v>43300101</v>
      </c>
      <c r="D6086" t="s">
        <v>67</v>
      </c>
      <c r="H6086" t="str">
        <f t="shared" si="630"/>
        <v>01138380629</v>
      </c>
      <c r="I6086" t="str">
        <f t="shared" si="630"/>
        <v>01138380629</v>
      </c>
      <c r="K6086" t="str">
        <f>""</f>
        <v/>
      </c>
      <c r="M6086" t="s">
        <v>68</v>
      </c>
      <c r="N6086" t="str">
        <f t="shared" si="631"/>
        <v>FOR</v>
      </c>
      <c r="O6086" t="s">
        <v>69</v>
      </c>
      <c r="P6086" s="3" t="s">
        <v>75</v>
      </c>
      <c r="Q6086">
        <v>2015</v>
      </c>
      <c r="R6086" s="2">
        <v>42212</v>
      </c>
      <c r="S6086" s="2">
        <v>42233</v>
      </c>
      <c r="T6086" s="2">
        <v>42212</v>
      </c>
      <c r="U6086" s="2">
        <v>42272</v>
      </c>
      <c r="V6086" t="s">
        <v>71</v>
      </c>
      <c r="W6086" t="str">
        <f>"                8/PA"</f>
        <v xml:space="preserve">                8/PA</v>
      </c>
      <c r="X6086" s="1">
        <v>14766.21</v>
      </c>
      <c r="Y6086">
        <v>0</v>
      </c>
      <c r="Z6086"/>
      <c r="AB6086"/>
      <c r="AC6086" s="1">
        <v>12103.45</v>
      </c>
      <c r="AD6086">
        <v>248</v>
      </c>
      <c r="AE6086" s="1">
        <v>3001655.6</v>
      </c>
      <c r="AF6086">
        <v>0</v>
      </c>
      <c r="AJ6086">
        <v>0</v>
      </c>
      <c r="AK6086">
        <v>0</v>
      </c>
      <c r="AL6086">
        <v>0</v>
      </c>
      <c r="AM6086">
        <v>0</v>
      </c>
      <c r="AN6086">
        <v>0</v>
      </c>
      <c r="AO6086">
        <v>0</v>
      </c>
      <c r="AP6086" s="2">
        <v>42746</v>
      </c>
      <c r="AQ6086" t="s">
        <v>72</v>
      </c>
      <c r="AR6086" t="s">
        <v>72</v>
      </c>
      <c r="AS6086">
        <v>1454</v>
      </c>
      <c r="AT6086" s="4">
        <v>42520</v>
      </c>
      <c r="AU6086" t="s">
        <v>73</v>
      </c>
      <c r="AV6086">
        <v>1454</v>
      </c>
      <c r="AW6086" s="4">
        <v>42520</v>
      </c>
      <c r="BD6086">
        <v>0</v>
      </c>
      <c r="BN6086" t="s">
        <v>74</v>
      </c>
    </row>
    <row r="6087" spans="1:66" hidden="1">
      <c r="A6087">
        <v>104027</v>
      </c>
      <c r="B6087" s="3" t="s">
        <v>597</v>
      </c>
      <c r="C6087" s="1">
        <v>43300101</v>
      </c>
      <c r="D6087" t="s">
        <v>67</v>
      </c>
      <c r="H6087" t="str">
        <f t="shared" si="630"/>
        <v>01138380629</v>
      </c>
      <c r="I6087" t="str">
        <f t="shared" si="630"/>
        <v>01138380629</v>
      </c>
      <c r="K6087" t="str">
        <f>""</f>
        <v/>
      </c>
      <c r="M6087" t="s">
        <v>68</v>
      </c>
      <c r="N6087" t="str">
        <f t="shared" si="631"/>
        <v>FOR</v>
      </c>
      <c r="O6087" t="s">
        <v>69</v>
      </c>
      <c r="P6087" s="3" t="s">
        <v>75</v>
      </c>
      <c r="Q6087">
        <v>2015</v>
      </c>
      <c r="R6087" s="2">
        <v>42212</v>
      </c>
      <c r="S6087" s="2">
        <v>42233</v>
      </c>
      <c r="T6087" s="2">
        <v>42212</v>
      </c>
      <c r="U6087" s="2">
        <v>42272</v>
      </c>
      <c r="V6087" t="s">
        <v>71</v>
      </c>
      <c r="W6087" t="str">
        <f>"                9/PA"</f>
        <v xml:space="preserve">                9/PA</v>
      </c>
      <c r="X6087" s="1">
        <v>2990.11</v>
      </c>
      <c r="Y6087">
        <v>0</v>
      </c>
      <c r="Z6087"/>
      <c r="AB6087"/>
      <c r="AC6087" s="1">
        <v>2450.91</v>
      </c>
      <c r="AD6087">
        <v>215</v>
      </c>
      <c r="AE6087" s="1">
        <v>526945.65</v>
      </c>
      <c r="AF6087">
        <v>0</v>
      </c>
      <c r="AJ6087">
        <v>0</v>
      </c>
      <c r="AK6087">
        <v>0</v>
      </c>
      <c r="AL6087">
        <v>0</v>
      </c>
      <c r="AM6087">
        <v>0</v>
      </c>
      <c r="AN6087">
        <v>0</v>
      </c>
      <c r="AO6087">
        <v>0</v>
      </c>
      <c r="AP6087" s="2">
        <v>42746</v>
      </c>
      <c r="AQ6087" t="s">
        <v>72</v>
      </c>
      <c r="AR6087" t="s">
        <v>72</v>
      </c>
      <c r="AS6087">
        <v>1184</v>
      </c>
      <c r="AT6087" s="4">
        <v>42487</v>
      </c>
      <c r="AU6087" t="s">
        <v>73</v>
      </c>
      <c r="AV6087">
        <v>1184</v>
      </c>
      <c r="AW6087" s="4">
        <v>42487</v>
      </c>
      <c r="BD6087">
        <v>0</v>
      </c>
      <c r="BN6087" t="s">
        <v>74</v>
      </c>
    </row>
    <row r="6088" spans="1:66" hidden="1">
      <c r="A6088">
        <v>104027</v>
      </c>
      <c r="B6088" s="3" t="s">
        <v>597</v>
      </c>
      <c r="C6088" s="1">
        <v>43300101</v>
      </c>
      <c r="D6088" t="s">
        <v>67</v>
      </c>
      <c r="H6088" t="str">
        <f t="shared" si="630"/>
        <v>01138380629</v>
      </c>
      <c r="I6088" t="str">
        <f t="shared" si="630"/>
        <v>01138380629</v>
      </c>
      <c r="K6088" t="str">
        <f>""</f>
        <v/>
      </c>
      <c r="M6088" t="s">
        <v>68</v>
      </c>
      <c r="N6088" t="str">
        <f t="shared" si="631"/>
        <v>FOR</v>
      </c>
      <c r="O6088" t="s">
        <v>69</v>
      </c>
      <c r="P6088" s="3" t="s">
        <v>75</v>
      </c>
      <c r="Q6088">
        <v>2015</v>
      </c>
      <c r="R6088" s="2">
        <v>42212</v>
      </c>
      <c r="S6088" s="2">
        <v>42233</v>
      </c>
      <c r="T6088" s="2">
        <v>42212</v>
      </c>
      <c r="U6088" s="2">
        <v>42272</v>
      </c>
      <c r="V6088" t="s">
        <v>71</v>
      </c>
      <c r="W6088" t="str">
        <f>"               10/PA"</f>
        <v xml:space="preserve">               10/PA</v>
      </c>
      <c r="X6088" s="1">
        <v>2981.7</v>
      </c>
      <c r="Y6088">
        <v>0</v>
      </c>
      <c r="Z6088"/>
      <c r="AB6088"/>
      <c r="AC6088" s="1">
        <v>2444.02</v>
      </c>
      <c r="AD6088">
        <v>215</v>
      </c>
      <c r="AE6088" s="1">
        <v>525464.30000000005</v>
      </c>
      <c r="AF6088">
        <v>0</v>
      </c>
      <c r="AJ6088">
        <v>0</v>
      </c>
      <c r="AK6088">
        <v>0</v>
      </c>
      <c r="AL6088">
        <v>0</v>
      </c>
      <c r="AM6088">
        <v>0</v>
      </c>
      <c r="AN6088">
        <v>0</v>
      </c>
      <c r="AO6088">
        <v>0</v>
      </c>
      <c r="AP6088" s="2">
        <v>42746</v>
      </c>
      <c r="AQ6088" t="s">
        <v>72</v>
      </c>
      <c r="AR6088" t="s">
        <v>72</v>
      </c>
      <c r="AS6088">
        <v>1184</v>
      </c>
      <c r="AT6088" s="4">
        <v>42487</v>
      </c>
      <c r="AU6088" t="s">
        <v>73</v>
      </c>
      <c r="AV6088">
        <v>1184</v>
      </c>
      <c r="AW6088" s="4">
        <v>42487</v>
      </c>
      <c r="BD6088">
        <v>0</v>
      </c>
      <c r="BN6088" t="s">
        <v>74</v>
      </c>
    </row>
    <row r="6089" spans="1:66" hidden="1">
      <c r="A6089">
        <v>104027</v>
      </c>
      <c r="B6089" s="3" t="s">
        <v>597</v>
      </c>
      <c r="C6089" s="1">
        <v>43300101</v>
      </c>
      <c r="D6089" t="s">
        <v>67</v>
      </c>
      <c r="H6089" t="str">
        <f t="shared" si="630"/>
        <v>01138380629</v>
      </c>
      <c r="I6089" t="str">
        <f t="shared" si="630"/>
        <v>01138380629</v>
      </c>
      <c r="K6089" t="str">
        <f>""</f>
        <v/>
      </c>
      <c r="M6089" t="s">
        <v>68</v>
      </c>
      <c r="N6089" t="str">
        <f t="shared" si="631"/>
        <v>FOR</v>
      </c>
      <c r="O6089" t="s">
        <v>69</v>
      </c>
      <c r="P6089" s="3" t="s">
        <v>75</v>
      </c>
      <c r="Q6089">
        <v>2015</v>
      </c>
      <c r="R6089" s="2">
        <v>42250</v>
      </c>
      <c r="S6089" s="2">
        <v>42251</v>
      </c>
      <c r="T6089" s="2">
        <v>42250</v>
      </c>
      <c r="U6089" s="2">
        <v>42310</v>
      </c>
      <c r="V6089" t="s">
        <v>71</v>
      </c>
      <c r="W6089" t="str">
        <f>"               12/PA"</f>
        <v xml:space="preserve">               12/PA</v>
      </c>
      <c r="X6089" s="1">
        <v>5856</v>
      </c>
      <c r="Y6089">
        <v>0</v>
      </c>
      <c r="Z6089"/>
      <c r="AB6089"/>
      <c r="AC6089" s="1">
        <v>4800</v>
      </c>
      <c r="AD6089">
        <v>267</v>
      </c>
      <c r="AE6089" s="1">
        <v>1281600</v>
      </c>
      <c r="AF6089">
        <v>0</v>
      </c>
      <c r="AJ6089">
        <v>0</v>
      </c>
      <c r="AK6089">
        <v>0</v>
      </c>
      <c r="AL6089">
        <v>0</v>
      </c>
      <c r="AM6089">
        <v>0</v>
      </c>
      <c r="AN6089">
        <v>0</v>
      </c>
      <c r="AO6089">
        <v>0</v>
      </c>
      <c r="AP6089" s="2">
        <v>42746</v>
      </c>
      <c r="AQ6089" t="s">
        <v>72</v>
      </c>
      <c r="AR6089" t="s">
        <v>72</v>
      </c>
      <c r="AS6089">
        <v>1968</v>
      </c>
      <c r="AT6089" s="4">
        <v>42577</v>
      </c>
      <c r="AU6089" t="s">
        <v>73</v>
      </c>
      <c r="AV6089">
        <v>1968</v>
      </c>
      <c r="AW6089" s="4">
        <v>42577</v>
      </c>
      <c r="BD6089">
        <v>0</v>
      </c>
      <c r="BN6089" t="s">
        <v>74</v>
      </c>
    </row>
    <row r="6090" spans="1:66" hidden="1">
      <c r="A6090">
        <v>104027</v>
      </c>
      <c r="B6090" s="3" t="s">
        <v>597</v>
      </c>
      <c r="C6090" s="1">
        <v>43300101</v>
      </c>
      <c r="D6090" t="s">
        <v>67</v>
      </c>
      <c r="H6090" t="str">
        <f t="shared" si="630"/>
        <v>01138380629</v>
      </c>
      <c r="I6090" t="str">
        <f t="shared" si="630"/>
        <v>01138380629</v>
      </c>
      <c r="K6090" t="str">
        <f>""</f>
        <v/>
      </c>
      <c r="M6090" t="s">
        <v>68</v>
      </c>
      <c r="N6090" t="str">
        <f t="shared" si="631"/>
        <v>FOR</v>
      </c>
      <c r="O6090" t="s">
        <v>69</v>
      </c>
      <c r="P6090" s="3" t="s">
        <v>75</v>
      </c>
      <c r="Q6090">
        <v>2015</v>
      </c>
      <c r="R6090" s="2">
        <v>42250</v>
      </c>
      <c r="S6090" s="2">
        <v>42251</v>
      </c>
      <c r="T6090" s="2">
        <v>42250</v>
      </c>
      <c r="U6090" s="2">
        <v>42310</v>
      </c>
      <c r="V6090" t="s">
        <v>71</v>
      </c>
      <c r="W6090" t="str">
        <f>"               13/PA"</f>
        <v xml:space="preserve">               13/PA</v>
      </c>
      <c r="X6090" s="1">
        <v>5856</v>
      </c>
      <c r="Y6090">
        <v>0</v>
      </c>
      <c r="Z6090"/>
      <c r="AB6090"/>
      <c r="AC6090" s="1">
        <v>4800</v>
      </c>
      <c r="AD6090">
        <v>267</v>
      </c>
      <c r="AE6090" s="1">
        <v>1281600</v>
      </c>
      <c r="AF6090">
        <v>0</v>
      </c>
      <c r="AJ6090">
        <v>0</v>
      </c>
      <c r="AK6090">
        <v>0</v>
      </c>
      <c r="AL6090">
        <v>0</v>
      </c>
      <c r="AM6090">
        <v>0</v>
      </c>
      <c r="AN6090">
        <v>0</v>
      </c>
      <c r="AO6090">
        <v>0</v>
      </c>
      <c r="AP6090" s="2">
        <v>42746</v>
      </c>
      <c r="AQ6090" t="s">
        <v>72</v>
      </c>
      <c r="AR6090" t="s">
        <v>72</v>
      </c>
      <c r="AS6090">
        <v>1968</v>
      </c>
      <c r="AT6090" s="4">
        <v>42577</v>
      </c>
      <c r="AU6090" t="s">
        <v>73</v>
      </c>
      <c r="AV6090">
        <v>1968</v>
      </c>
      <c r="AW6090" s="4">
        <v>42577</v>
      </c>
      <c r="BD6090">
        <v>0</v>
      </c>
      <c r="BN6090" t="s">
        <v>74</v>
      </c>
    </row>
    <row r="6091" spans="1:66" hidden="1">
      <c r="A6091">
        <v>104027</v>
      </c>
      <c r="B6091" s="3" t="s">
        <v>597</v>
      </c>
      <c r="C6091" s="1">
        <v>43300101</v>
      </c>
      <c r="D6091" t="s">
        <v>67</v>
      </c>
      <c r="H6091" t="str">
        <f t="shared" si="630"/>
        <v>01138380629</v>
      </c>
      <c r="I6091" t="str">
        <f t="shared" si="630"/>
        <v>01138380629</v>
      </c>
      <c r="K6091" t="str">
        <f>""</f>
        <v/>
      </c>
      <c r="M6091" t="s">
        <v>68</v>
      </c>
      <c r="N6091" t="str">
        <f t="shared" si="631"/>
        <v>FOR</v>
      </c>
      <c r="O6091" t="s">
        <v>69</v>
      </c>
      <c r="P6091" s="3" t="s">
        <v>75</v>
      </c>
      <c r="Q6091">
        <v>2015</v>
      </c>
      <c r="R6091" s="2">
        <v>42250</v>
      </c>
      <c r="S6091" s="2">
        <v>42251</v>
      </c>
      <c r="T6091" s="2">
        <v>42250</v>
      </c>
      <c r="U6091" s="2">
        <v>42310</v>
      </c>
      <c r="V6091" t="s">
        <v>71</v>
      </c>
      <c r="W6091" t="str">
        <f>"               14/PA"</f>
        <v xml:space="preserve">               14/PA</v>
      </c>
      <c r="X6091" s="1">
        <v>2922.63</v>
      </c>
      <c r="Y6091">
        <v>0</v>
      </c>
      <c r="Z6091"/>
      <c r="AB6091"/>
      <c r="AC6091" s="1">
        <v>2395.6</v>
      </c>
      <c r="AD6091">
        <v>267</v>
      </c>
      <c r="AE6091" s="1">
        <v>639625.19999999995</v>
      </c>
      <c r="AF6091">
        <v>0</v>
      </c>
      <c r="AJ6091">
        <v>0</v>
      </c>
      <c r="AK6091">
        <v>0</v>
      </c>
      <c r="AL6091">
        <v>0</v>
      </c>
      <c r="AM6091">
        <v>0</v>
      </c>
      <c r="AN6091">
        <v>0</v>
      </c>
      <c r="AO6091">
        <v>0</v>
      </c>
      <c r="AP6091" s="2">
        <v>42746</v>
      </c>
      <c r="AQ6091" t="s">
        <v>72</v>
      </c>
      <c r="AR6091" t="s">
        <v>72</v>
      </c>
      <c r="AS6091">
        <v>1968</v>
      </c>
      <c r="AT6091" s="4">
        <v>42577</v>
      </c>
      <c r="AU6091" t="s">
        <v>73</v>
      </c>
      <c r="AV6091">
        <v>1968</v>
      </c>
      <c r="AW6091" s="4">
        <v>42577</v>
      </c>
      <c r="BD6091">
        <v>0</v>
      </c>
      <c r="BN6091" t="s">
        <v>74</v>
      </c>
    </row>
    <row r="6092" spans="1:66">
      <c r="A6092">
        <v>104027</v>
      </c>
      <c r="B6092" s="3" t="s">
        <v>597</v>
      </c>
      <c r="C6092" s="1">
        <v>43300101</v>
      </c>
      <c r="D6092" t="s">
        <v>67</v>
      </c>
      <c r="H6092" t="str">
        <f t="shared" si="630"/>
        <v>01138380629</v>
      </c>
      <c r="I6092" t="str">
        <f t="shared" si="630"/>
        <v>01138380629</v>
      </c>
      <c r="K6092" t="str">
        <f>""</f>
        <v/>
      </c>
      <c r="M6092" t="s">
        <v>68</v>
      </c>
      <c r="N6092" t="str">
        <f t="shared" si="631"/>
        <v>FOR</v>
      </c>
      <c r="O6092" t="s">
        <v>69</v>
      </c>
      <c r="P6092" s="3" t="s">
        <v>75</v>
      </c>
      <c r="Q6092">
        <v>2015</v>
      </c>
      <c r="R6092" s="2">
        <v>42284</v>
      </c>
      <c r="S6092" s="2">
        <v>42286</v>
      </c>
      <c r="T6092" s="2">
        <v>42284</v>
      </c>
      <c r="U6092" s="2">
        <v>42344</v>
      </c>
      <c r="V6092" t="s">
        <v>71</v>
      </c>
      <c r="W6092" t="str">
        <f>"               15/PA"</f>
        <v xml:space="preserve">               15/PA</v>
      </c>
      <c r="X6092" s="1">
        <v>4894.1000000000004</v>
      </c>
      <c r="Y6092">
        <v>0</v>
      </c>
      <c r="Z6092" s="5">
        <v>4011.56</v>
      </c>
      <c r="AA6092">
        <v>303</v>
      </c>
      <c r="AB6092" s="5">
        <v>1215502.68</v>
      </c>
      <c r="AC6092" s="1">
        <v>4011.56</v>
      </c>
      <c r="AD6092">
        <v>303</v>
      </c>
      <c r="AE6092" s="1">
        <v>1215502.68</v>
      </c>
      <c r="AF6092">
        <v>0</v>
      </c>
      <c r="AJ6092">
        <v>0</v>
      </c>
      <c r="AK6092">
        <v>0</v>
      </c>
      <c r="AL6092">
        <v>0</v>
      </c>
      <c r="AM6092">
        <v>0</v>
      </c>
      <c r="AN6092">
        <v>0</v>
      </c>
      <c r="AO6092">
        <v>0</v>
      </c>
      <c r="AP6092" s="2">
        <v>42746</v>
      </c>
      <c r="AQ6092" t="s">
        <v>72</v>
      </c>
      <c r="AR6092" t="s">
        <v>72</v>
      </c>
      <c r="AS6092">
        <v>2631</v>
      </c>
      <c r="AT6092" s="4">
        <v>42647</v>
      </c>
      <c r="AU6092" t="s">
        <v>73</v>
      </c>
      <c r="AV6092">
        <v>2631</v>
      </c>
      <c r="AW6092" s="4">
        <v>42647</v>
      </c>
      <c r="BD6092">
        <v>0</v>
      </c>
      <c r="BN6092" t="s">
        <v>74</v>
      </c>
    </row>
    <row r="6093" spans="1:66">
      <c r="A6093">
        <v>104027</v>
      </c>
      <c r="B6093" s="3" t="s">
        <v>597</v>
      </c>
      <c r="C6093" s="1">
        <v>43300101</v>
      </c>
      <c r="D6093" t="s">
        <v>67</v>
      </c>
      <c r="H6093" t="str">
        <f t="shared" si="630"/>
        <v>01138380629</v>
      </c>
      <c r="I6093" t="str">
        <f t="shared" si="630"/>
        <v>01138380629</v>
      </c>
      <c r="K6093" t="str">
        <f>""</f>
        <v/>
      </c>
      <c r="M6093" t="s">
        <v>68</v>
      </c>
      <c r="N6093" t="str">
        <f t="shared" si="631"/>
        <v>FOR</v>
      </c>
      <c r="O6093" t="s">
        <v>69</v>
      </c>
      <c r="P6093" s="3" t="s">
        <v>75</v>
      </c>
      <c r="Q6093">
        <v>2015</v>
      </c>
      <c r="R6093" s="2">
        <v>42289</v>
      </c>
      <c r="S6093" s="2">
        <v>42290</v>
      </c>
      <c r="T6093" s="2">
        <v>42289</v>
      </c>
      <c r="U6093" s="2">
        <v>42349</v>
      </c>
      <c r="V6093" t="s">
        <v>71</v>
      </c>
      <c r="W6093" t="str">
        <f>"               16/PA"</f>
        <v xml:space="preserve">               16/PA</v>
      </c>
      <c r="X6093" s="1">
        <v>41514.559999999998</v>
      </c>
      <c r="Y6093">
        <v>0</v>
      </c>
      <c r="Z6093" s="5">
        <v>34028.33</v>
      </c>
      <c r="AA6093">
        <v>298</v>
      </c>
      <c r="AB6093" s="5">
        <v>10140442.34</v>
      </c>
      <c r="AC6093" s="1">
        <v>34028.33</v>
      </c>
      <c r="AD6093">
        <v>298</v>
      </c>
      <c r="AE6093" s="1">
        <v>10140442.34</v>
      </c>
      <c r="AF6093">
        <v>0</v>
      </c>
      <c r="AJ6093">
        <v>0</v>
      </c>
      <c r="AK6093">
        <v>0</v>
      </c>
      <c r="AL6093">
        <v>0</v>
      </c>
      <c r="AM6093">
        <v>0</v>
      </c>
      <c r="AN6093">
        <v>0</v>
      </c>
      <c r="AO6093">
        <v>0</v>
      </c>
      <c r="AP6093" s="2">
        <v>42746</v>
      </c>
      <c r="AQ6093" t="s">
        <v>72</v>
      </c>
      <c r="AR6093" t="s">
        <v>72</v>
      </c>
      <c r="AS6093">
        <v>2631</v>
      </c>
      <c r="AT6093" s="4">
        <v>42647</v>
      </c>
      <c r="AU6093" t="s">
        <v>73</v>
      </c>
      <c r="AV6093">
        <v>2631</v>
      </c>
      <c r="AW6093" s="4">
        <v>42647</v>
      </c>
      <c r="BD6093">
        <v>0</v>
      </c>
      <c r="BN6093" t="s">
        <v>74</v>
      </c>
    </row>
    <row r="6094" spans="1:66">
      <c r="A6094">
        <v>104027</v>
      </c>
      <c r="B6094" s="3" t="s">
        <v>597</v>
      </c>
      <c r="C6094" s="1">
        <v>43300101</v>
      </c>
      <c r="D6094" t="s">
        <v>67</v>
      </c>
      <c r="H6094" t="str">
        <f t="shared" si="630"/>
        <v>01138380629</v>
      </c>
      <c r="I6094" t="str">
        <f t="shared" si="630"/>
        <v>01138380629</v>
      </c>
      <c r="K6094" t="str">
        <f>""</f>
        <v/>
      </c>
      <c r="M6094" t="s">
        <v>68</v>
      </c>
      <c r="N6094" t="str">
        <f t="shared" si="631"/>
        <v>FOR</v>
      </c>
      <c r="O6094" t="s">
        <v>69</v>
      </c>
      <c r="P6094" s="3" t="s">
        <v>75</v>
      </c>
      <c r="Q6094">
        <v>2015</v>
      </c>
      <c r="R6094" s="2">
        <v>42339</v>
      </c>
      <c r="S6094" s="2">
        <v>42339</v>
      </c>
      <c r="T6094" s="2">
        <v>42339</v>
      </c>
      <c r="U6094" s="2">
        <v>42399</v>
      </c>
      <c r="V6094" t="s">
        <v>71</v>
      </c>
      <c r="W6094" t="str">
        <f>"               19/PA"</f>
        <v xml:space="preserve">               19/PA</v>
      </c>
      <c r="X6094" s="1">
        <v>2498.15</v>
      </c>
      <c r="Y6094">
        <v>0</v>
      </c>
      <c r="Z6094" s="5">
        <v>2047.66</v>
      </c>
      <c r="AA6094">
        <v>285</v>
      </c>
      <c r="AB6094" s="5">
        <v>583583.1</v>
      </c>
      <c r="AC6094" s="1">
        <v>2047.66</v>
      </c>
      <c r="AD6094">
        <v>285</v>
      </c>
      <c r="AE6094" s="1">
        <v>583583.1</v>
      </c>
      <c r="AF6094">
        <v>0</v>
      </c>
      <c r="AJ6094">
        <v>0</v>
      </c>
      <c r="AK6094">
        <v>0</v>
      </c>
      <c r="AL6094">
        <v>0</v>
      </c>
      <c r="AM6094">
        <v>0</v>
      </c>
      <c r="AN6094">
        <v>0</v>
      </c>
      <c r="AO6094">
        <v>0</v>
      </c>
      <c r="AP6094" s="2">
        <v>42746</v>
      </c>
      <c r="AQ6094" t="s">
        <v>72</v>
      </c>
      <c r="AR6094" t="s">
        <v>72</v>
      </c>
      <c r="AS6094">
        <v>3046</v>
      </c>
      <c r="AT6094" s="4">
        <v>42684</v>
      </c>
      <c r="AU6094" t="s">
        <v>73</v>
      </c>
      <c r="AV6094">
        <v>3046</v>
      </c>
      <c r="AW6094" s="4">
        <v>42684</v>
      </c>
      <c r="BD6094">
        <v>0</v>
      </c>
      <c r="BN6094" t="s">
        <v>74</v>
      </c>
    </row>
    <row r="6095" spans="1:66">
      <c r="A6095">
        <v>104027</v>
      </c>
      <c r="B6095" s="3" t="s">
        <v>597</v>
      </c>
      <c r="C6095" s="1">
        <v>43300101</v>
      </c>
      <c r="D6095" t="s">
        <v>67</v>
      </c>
      <c r="H6095" t="str">
        <f t="shared" si="630"/>
        <v>01138380629</v>
      </c>
      <c r="I6095" t="str">
        <f t="shared" si="630"/>
        <v>01138380629</v>
      </c>
      <c r="K6095" t="str">
        <f>""</f>
        <v/>
      </c>
      <c r="M6095" t="s">
        <v>68</v>
      </c>
      <c r="N6095" t="str">
        <f t="shared" si="631"/>
        <v>FOR</v>
      </c>
      <c r="O6095" t="s">
        <v>69</v>
      </c>
      <c r="P6095" s="3" t="s">
        <v>75</v>
      </c>
      <c r="Q6095">
        <v>2016</v>
      </c>
      <c r="R6095" s="2">
        <v>42381</v>
      </c>
      <c r="S6095" s="2">
        <v>42382</v>
      </c>
      <c r="T6095" s="2">
        <v>42381</v>
      </c>
      <c r="U6095" s="2">
        <v>42441</v>
      </c>
      <c r="V6095" t="s">
        <v>71</v>
      </c>
      <c r="W6095" t="str">
        <f>"                1/PA"</f>
        <v xml:space="preserve">                1/PA</v>
      </c>
      <c r="X6095" s="1">
        <v>16048.76</v>
      </c>
      <c r="Y6095">
        <v>0</v>
      </c>
      <c r="Z6095" s="5">
        <v>13154.72</v>
      </c>
      <c r="AA6095">
        <v>243</v>
      </c>
      <c r="AB6095" s="5">
        <v>3196596.96</v>
      </c>
      <c r="AC6095" s="1">
        <v>13154.72</v>
      </c>
      <c r="AD6095">
        <v>243</v>
      </c>
      <c r="AE6095" s="1">
        <v>3196596.96</v>
      </c>
      <c r="AF6095">
        <v>0</v>
      </c>
      <c r="AJ6095">
        <v>0</v>
      </c>
      <c r="AK6095">
        <v>0</v>
      </c>
      <c r="AL6095">
        <v>0</v>
      </c>
      <c r="AM6095">
        <v>0</v>
      </c>
      <c r="AN6095" s="1">
        <v>16048.76</v>
      </c>
      <c r="AO6095" s="1">
        <v>16048.76</v>
      </c>
      <c r="AP6095" s="2">
        <v>42746</v>
      </c>
      <c r="AQ6095" t="s">
        <v>72</v>
      </c>
      <c r="AR6095" t="s">
        <v>72</v>
      </c>
      <c r="AS6095">
        <v>3046</v>
      </c>
      <c r="AT6095" s="4">
        <v>42684</v>
      </c>
      <c r="AU6095" t="s">
        <v>73</v>
      </c>
      <c r="AV6095">
        <v>3046</v>
      </c>
      <c r="AW6095" s="4">
        <v>42684</v>
      </c>
      <c r="BD6095">
        <v>0</v>
      </c>
      <c r="BN6095" t="s">
        <v>74</v>
      </c>
    </row>
    <row r="6096" spans="1:66">
      <c r="A6096">
        <v>104027</v>
      </c>
      <c r="B6096" s="3" t="s">
        <v>597</v>
      </c>
      <c r="C6096" s="1">
        <v>43300101</v>
      </c>
      <c r="D6096" t="s">
        <v>67</v>
      </c>
      <c r="H6096" t="str">
        <f t="shared" si="630"/>
        <v>01138380629</v>
      </c>
      <c r="I6096" t="str">
        <f t="shared" si="630"/>
        <v>01138380629</v>
      </c>
      <c r="K6096" t="str">
        <f>""</f>
        <v/>
      </c>
      <c r="M6096" t="s">
        <v>68</v>
      </c>
      <c r="N6096" t="str">
        <f t="shared" si="631"/>
        <v>FOR</v>
      </c>
      <c r="O6096" t="s">
        <v>69</v>
      </c>
      <c r="P6096" s="3" t="s">
        <v>75</v>
      </c>
      <c r="Q6096">
        <v>2016</v>
      </c>
      <c r="R6096" s="2">
        <v>42382</v>
      </c>
      <c r="S6096" s="2">
        <v>42382</v>
      </c>
      <c r="T6096" s="2">
        <v>42382</v>
      </c>
      <c r="U6096" s="2">
        <v>42442</v>
      </c>
      <c r="V6096" t="s">
        <v>71</v>
      </c>
      <c r="W6096" t="str">
        <f>"                2/PA"</f>
        <v xml:space="preserve">                2/PA</v>
      </c>
      <c r="X6096" s="1">
        <v>23917.84</v>
      </c>
      <c r="Y6096">
        <v>0</v>
      </c>
      <c r="Z6096" s="5">
        <v>19604.79</v>
      </c>
      <c r="AA6096">
        <v>250</v>
      </c>
      <c r="AB6096" s="5">
        <v>4901197.5</v>
      </c>
      <c r="AC6096" s="1">
        <v>19604.79</v>
      </c>
      <c r="AD6096">
        <v>250</v>
      </c>
      <c r="AE6096" s="1">
        <v>4901197.5</v>
      </c>
      <c r="AF6096">
        <v>0</v>
      </c>
      <c r="AJ6096">
        <v>0</v>
      </c>
      <c r="AK6096">
        <v>0</v>
      </c>
      <c r="AL6096">
        <v>0</v>
      </c>
      <c r="AM6096">
        <v>0</v>
      </c>
      <c r="AN6096" s="1">
        <v>23917.84</v>
      </c>
      <c r="AO6096" s="1">
        <v>23917.84</v>
      </c>
      <c r="AP6096" s="2">
        <v>42746</v>
      </c>
      <c r="AQ6096" t="s">
        <v>72</v>
      </c>
      <c r="AR6096" t="s">
        <v>72</v>
      </c>
      <c r="AS6096">
        <v>3193</v>
      </c>
      <c r="AT6096" s="4">
        <v>42692</v>
      </c>
      <c r="AU6096" t="s">
        <v>73</v>
      </c>
      <c r="AV6096">
        <v>3193</v>
      </c>
      <c r="AW6096" s="4">
        <v>42692</v>
      </c>
      <c r="BD6096">
        <v>0</v>
      </c>
      <c r="BN6096" t="s">
        <v>74</v>
      </c>
    </row>
    <row r="6097" spans="1:66">
      <c r="A6097">
        <v>104027</v>
      </c>
      <c r="B6097" s="3" t="s">
        <v>597</v>
      </c>
      <c r="C6097" s="1">
        <v>43300101</v>
      </c>
      <c r="D6097" t="s">
        <v>67</v>
      </c>
      <c r="H6097" t="str">
        <f t="shared" si="630"/>
        <v>01138380629</v>
      </c>
      <c r="I6097" t="str">
        <f t="shared" si="630"/>
        <v>01138380629</v>
      </c>
      <c r="K6097" t="str">
        <f>""</f>
        <v/>
      </c>
      <c r="M6097" t="s">
        <v>68</v>
      </c>
      <c r="N6097" t="str">
        <f t="shared" si="631"/>
        <v>FOR</v>
      </c>
      <c r="O6097" t="s">
        <v>69</v>
      </c>
      <c r="P6097" s="3" t="s">
        <v>75</v>
      </c>
      <c r="Q6097">
        <v>2016</v>
      </c>
      <c r="R6097" s="2">
        <v>42382</v>
      </c>
      <c r="S6097" s="2">
        <v>42383</v>
      </c>
      <c r="T6097" s="2">
        <v>42382</v>
      </c>
      <c r="U6097" s="2">
        <v>42442</v>
      </c>
      <c r="V6097" t="s">
        <v>71</v>
      </c>
      <c r="W6097" t="str">
        <f>"                3/PA"</f>
        <v xml:space="preserve">                3/PA</v>
      </c>
      <c r="X6097" s="1">
        <v>3771.87</v>
      </c>
      <c r="Y6097">
        <v>0</v>
      </c>
      <c r="Z6097" s="5">
        <v>3091.7</v>
      </c>
      <c r="AA6097">
        <v>250</v>
      </c>
      <c r="AB6097" s="5">
        <v>772925</v>
      </c>
      <c r="AC6097" s="1">
        <v>3091.7</v>
      </c>
      <c r="AD6097">
        <v>250</v>
      </c>
      <c r="AE6097" s="1">
        <v>772925</v>
      </c>
      <c r="AF6097">
        <v>0</v>
      </c>
      <c r="AJ6097">
        <v>0</v>
      </c>
      <c r="AK6097">
        <v>0</v>
      </c>
      <c r="AL6097">
        <v>0</v>
      </c>
      <c r="AM6097">
        <v>0</v>
      </c>
      <c r="AN6097" s="1">
        <v>3771.87</v>
      </c>
      <c r="AO6097" s="1">
        <v>3771.87</v>
      </c>
      <c r="AP6097" s="2">
        <v>42746</v>
      </c>
      <c r="AQ6097" t="s">
        <v>72</v>
      </c>
      <c r="AR6097" t="s">
        <v>72</v>
      </c>
      <c r="AS6097">
        <v>3193</v>
      </c>
      <c r="AT6097" s="4">
        <v>42692</v>
      </c>
      <c r="AU6097" t="s">
        <v>73</v>
      </c>
      <c r="AV6097">
        <v>3193</v>
      </c>
      <c r="AW6097" s="4">
        <v>42692</v>
      </c>
      <c r="BD6097">
        <v>0</v>
      </c>
      <c r="BN6097" t="s">
        <v>74</v>
      </c>
    </row>
    <row r="6098" spans="1:66">
      <c r="A6098">
        <v>104027</v>
      </c>
      <c r="B6098" s="3" t="s">
        <v>597</v>
      </c>
      <c r="C6098" s="1">
        <v>43300101</v>
      </c>
      <c r="D6098" t="s">
        <v>67</v>
      </c>
      <c r="H6098" t="str">
        <f t="shared" si="630"/>
        <v>01138380629</v>
      </c>
      <c r="I6098" t="str">
        <f t="shared" si="630"/>
        <v>01138380629</v>
      </c>
      <c r="K6098" t="str">
        <f>""</f>
        <v/>
      </c>
      <c r="M6098" t="s">
        <v>68</v>
      </c>
      <c r="N6098" t="str">
        <f t="shared" si="631"/>
        <v>FOR</v>
      </c>
      <c r="O6098" t="s">
        <v>69</v>
      </c>
      <c r="P6098" s="3" t="s">
        <v>75</v>
      </c>
      <c r="Q6098">
        <v>2016</v>
      </c>
      <c r="R6098" s="2">
        <v>42382</v>
      </c>
      <c r="S6098" s="2">
        <v>42383</v>
      </c>
      <c r="T6098" s="2">
        <v>42382</v>
      </c>
      <c r="U6098" s="2">
        <v>42442</v>
      </c>
      <c r="V6098" t="s">
        <v>71</v>
      </c>
      <c r="W6098" t="str">
        <f>"                4/PA"</f>
        <v xml:space="preserve">                4/PA</v>
      </c>
      <c r="X6098" s="1">
        <v>1220</v>
      </c>
      <c r="Y6098">
        <v>0</v>
      </c>
      <c r="Z6098" s="5">
        <v>1000</v>
      </c>
      <c r="AA6098">
        <v>250</v>
      </c>
      <c r="AB6098" s="5">
        <v>250000</v>
      </c>
      <c r="AC6098" s="1">
        <v>1000</v>
      </c>
      <c r="AD6098">
        <v>250</v>
      </c>
      <c r="AE6098" s="1">
        <v>250000</v>
      </c>
      <c r="AF6098">
        <v>0</v>
      </c>
      <c r="AJ6098">
        <v>0</v>
      </c>
      <c r="AK6098">
        <v>0</v>
      </c>
      <c r="AL6098">
        <v>0</v>
      </c>
      <c r="AM6098">
        <v>0</v>
      </c>
      <c r="AN6098" s="1">
        <v>1220</v>
      </c>
      <c r="AO6098" s="1">
        <v>1220</v>
      </c>
      <c r="AP6098" s="2">
        <v>42746</v>
      </c>
      <c r="AQ6098" t="s">
        <v>72</v>
      </c>
      <c r="AR6098" t="s">
        <v>72</v>
      </c>
      <c r="AS6098">
        <v>3193</v>
      </c>
      <c r="AT6098" s="4">
        <v>42692</v>
      </c>
      <c r="AU6098" t="s">
        <v>73</v>
      </c>
      <c r="AV6098">
        <v>3193</v>
      </c>
      <c r="AW6098" s="4">
        <v>42692</v>
      </c>
      <c r="BD6098">
        <v>0</v>
      </c>
      <c r="BN6098" t="s">
        <v>74</v>
      </c>
    </row>
    <row r="6099" spans="1:66">
      <c r="A6099">
        <v>104027</v>
      </c>
      <c r="B6099" s="3" t="s">
        <v>597</v>
      </c>
      <c r="C6099" s="1">
        <v>43300101</v>
      </c>
      <c r="D6099" t="s">
        <v>67</v>
      </c>
      <c r="H6099" t="str">
        <f t="shared" si="630"/>
        <v>01138380629</v>
      </c>
      <c r="I6099" t="str">
        <f t="shared" si="630"/>
        <v>01138380629</v>
      </c>
      <c r="K6099" t="str">
        <f>""</f>
        <v/>
      </c>
      <c r="M6099" t="s">
        <v>68</v>
      </c>
      <c r="N6099" t="str">
        <f t="shared" si="631"/>
        <v>FOR</v>
      </c>
      <c r="O6099" t="s">
        <v>69</v>
      </c>
      <c r="P6099" s="3" t="s">
        <v>75</v>
      </c>
      <c r="Q6099">
        <v>2016</v>
      </c>
      <c r="R6099" s="2">
        <v>42384</v>
      </c>
      <c r="S6099" s="2">
        <v>42388</v>
      </c>
      <c r="T6099" s="2">
        <v>42384</v>
      </c>
      <c r="U6099" s="2">
        <v>42444</v>
      </c>
      <c r="V6099" t="s">
        <v>71</v>
      </c>
      <c r="W6099" t="str">
        <f>"                5/PA"</f>
        <v xml:space="preserve">                5/PA</v>
      </c>
      <c r="X6099" s="1">
        <v>2135.79</v>
      </c>
      <c r="Y6099">
        <v>0</v>
      </c>
      <c r="Z6099" s="5">
        <v>1750.65</v>
      </c>
      <c r="AA6099">
        <v>248</v>
      </c>
      <c r="AB6099" s="5">
        <v>434161.2</v>
      </c>
      <c r="AC6099" s="1">
        <v>1750.65</v>
      </c>
      <c r="AD6099">
        <v>248</v>
      </c>
      <c r="AE6099" s="1">
        <v>434161.2</v>
      </c>
      <c r="AF6099">
        <v>0</v>
      </c>
      <c r="AJ6099">
        <v>0</v>
      </c>
      <c r="AK6099">
        <v>0</v>
      </c>
      <c r="AL6099">
        <v>0</v>
      </c>
      <c r="AM6099">
        <v>0</v>
      </c>
      <c r="AN6099" s="1">
        <v>2135.79</v>
      </c>
      <c r="AO6099" s="1">
        <v>2135.79</v>
      </c>
      <c r="AP6099" s="2">
        <v>42746</v>
      </c>
      <c r="AQ6099" t="s">
        <v>72</v>
      </c>
      <c r="AR6099" t="s">
        <v>72</v>
      </c>
      <c r="AS6099">
        <v>3193</v>
      </c>
      <c r="AT6099" s="4">
        <v>42692</v>
      </c>
      <c r="AU6099" t="s">
        <v>73</v>
      </c>
      <c r="AV6099">
        <v>3193</v>
      </c>
      <c r="AW6099" s="4">
        <v>42692</v>
      </c>
      <c r="BD6099">
        <v>0</v>
      </c>
      <c r="BN6099" t="s">
        <v>74</v>
      </c>
    </row>
    <row r="6100" spans="1:66">
      <c r="A6100">
        <v>104027</v>
      </c>
      <c r="B6100" s="3" t="s">
        <v>597</v>
      </c>
      <c r="C6100" s="1">
        <v>43300101</v>
      </c>
      <c r="D6100" t="s">
        <v>67</v>
      </c>
      <c r="H6100" t="str">
        <f t="shared" si="630"/>
        <v>01138380629</v>
      </c>
      <c r="I6100" t="str">
        <f t="shared" si="630"/>
        <v>01138380629</v>
      </c>
      <c r="K6100" t="str">
        <f>""</f>
        <v/>
      </c>
      <c r="M6100" t="s">
        <v>68</v>
      </c>
      <c r="N6100" t="str">
        <f t="shared" si="631"/>
        <v>FOR</v>
      </c>
      <c r="O6100" t="s">
        <v>69</v>
      </c>
      <c r="P6100" s="3" t="s">
        <v>75</v>
      </c>
      <c r="Q6100">
        <v>2016</v>
      </c>
      <c r="R6100" s="2">
        <v>42384</v>
      </c>
      <c r="S6100" s="2">
        <v>42388</v>
      </c>
      <c r="T6100" s="2">
        <v>42384</v>
      </c>
      <c r="U6100" s="2">
        <v>42444</v>
      </c>
      <c r="V6100" t="s">
        <v>71</v>
      </c>
      <c r="W6100" t="str">
        <f>"                6/PA"</f>
        <v xml:space="preserve">                6/PA</v>
      </c>
      <c r="X6100" s="1">
        <v>2800.01</v>
      </c>
      <c r="Y6100">
        <v>0</v>
      </c>
      <c r="Z6100" s="5">
        <v>2295.09</v>
      </c>
      <c r="AA6100">
        <v>248</v>
      </c>
      <c r="AB6100" s="5">
        <v>569182.31999999995</v>
      </c>
      <c r="AC6100" s="1">
        <v>2295.09</v>
      </c>
      <c r="AD6100">
        <v>248</v>
      </c>
      <c r="AE6100" s="1">
        <v>569182.31999999995</v>
      </c>
      <c r="AF6100">
        <v>0</v>
      </c>
      <c r="AJ6100">
        <v>0</v>
      </c>
      <c r="AK6100">
        <v>0</v>
      </c>
      <c r="AL6100">
        <v>0</v>
      </c>
      <c r="AM6100">
        <v>0</v>
      </c>
      <c r="AN6100" s="1">
        <v>2800.01</v>
      </c>
      <c r="AO6100" s="1">
        <v>2800.01</v>
      </c>
      <c r="AP6100" s="2">
        <v>42746</v>
      </c>
      <c r="AQ6100" t="s">
        <v>72</v>
      </c>
      <c r="AR6100" t="s">
        <v>72</v>
      </c>
      <c r="AS6100">
        <v>3193</v>
      </c>
      <c r="AT6100" s="4">
        <v>42692</v>
      </c>
      <c r="AU6100" t="s">
        <v>73</v>
      </c>
      <c r="AV6100">
        <v>3193</v>
      </c>
      <c r="AW6100" s="4">
        <v>42692</v>
      </c>
      <c r="BD6100">
        <v>0</v>
      </c>
      <c r="BN6100" t="s">
        <v>74</v>
      </c>
    </row>
    <row r="6101" spans="1:66">
      <c r="A6101">
        <v>104027</v>
      </c>
      <c r="B6101" s="3" t="s">
        <v>597</v>
      </c>
      <c r="C6101" s="1">
        <v>43300101</v>
      </c>
      <c r="D6101" t="s">
        <v>67</v>
      </c>
      <c r="H6101" t="str">
        <f t="shared" si="630"/>
        <v>01138380629</v>
      </c>
      <c r="I6101" t="str">
        <f t="shared" si="630"/>
        <v>01138380629</v>
      </c>
      <c r="K6101" t="str">
        <f>""</f>
        <v/>
      </c>
      <c r="M6101" t="s">
        <v>68</v>
      </c>
      <c r="N6101" t="str">
        <f t="shared" si="631"/>
        <v>FOR</v>
      </c>
      <c r="O6101" t="s">
        <v>69</v>
      </c>
      <c r="P6101" s="3" t="s">
        <v>75</v>
      </c>
      <c r="Q6101">
        <v>2016</v>
      </c>
      <c r="R6101" s="2">
        <v>42410</v>
      </c>
      <c r="S6101" s="2">
        <v>42412</v>
      </c>
      <c r="T6101" s="2">
        <v>42410</v>
      </c>
      <c r="U6101" s="2">
        <v>42470</v>
      </c>
      <c r="V6101" t="s">
        <v>71</v>
      </c>
      <c r="W6101" t="str">
        <f>"                8/PA"</f>
        <v xml:space="preserve">                8/PA</v>
      </c>
      <c r="X6101" s="1">
        <v>2509.7800000000002</v>
      </c>
      <c r="Y6101">
        <v>0</v>
      </c>
      <c r="Z6101" s="5">
        <v>2057.1999999999998</v>
      </c>
      <c r="AA6101">
        <v>249</v>
      </c>
      <c r="AB6101" s="5">
        <v>512242.8</v>
      </c>
      <c r="AC6101" s="1">
        <v>2057.1999999999998</v>
      </c>
      <c r="AD6101">
        <v>249</v>
      </c>
      <c r="AE6101" s="1">
        <v>512242.8</v>
      </c>
      <c r="AF6101">
        <v>452.58</v>
      </c>
      <c r="AJ6101">
        <v>0</v>
      </c>
      <c r="AK6101">
        <v>0</v>
      </c>
      <c r="AL6101">
        <v>0</v>
      </c>
      <c r="AM6101" s="1">
        <v>2509.7800000000002</v>
      </c>
      <c r="AN6101" s="1">
        <v>2509.7800000000002</v>
      </c>
      <c r="AO6101" s="1">
        <v>2509.7800000000002</v>
      </c>
      <c r="AP6101" s="2">
        <v>42746</v>
      </c>
      <c r="AQ6101" t="s">
        <v>72</v>
      </c>
      <c r="AR6101" t="s">
        <v>72</v>
      </c>
      <c r="AS6101">
        <v>3535</v>
      </c>
      <c r="AT6101" s="4">
        <v>42719</v>
      </c>
      <c r="AU6101" t="s">
        <v>73</v>
      </c>
      <c r="AV6101">
        <v>3535</v>
      </c>
      <c r="AW6101" s="4">
        <v>42719</v>
      </c>
      <c r="BD6101">
        <v>452.58</v>
      </c>
      <c r="BN6101" t="s">
        <v>74</v>
      </c>
    </row>
    <row r="6102" spans="1:66">
      <c r="A6102">
        <v>104027</v>
      </c>
      <c r="B6102" s="3" t="s">
        <v>597</v>
      </c>
      <c r="C6102" s="1">
        <v>43300101</v>
      </c>
      <c r="D6102" t="s">
        <v>67</v>
      </c>
      <c r="H6102" t="str">
        <f t="shared" si="630"/>
        <v>01138380629</v>
      </c>
      <c r="I6102" t="str">
        <f t="shared" si="630"/>
        <v>01138380629</v>
      </c>
      <c r="K6102" t="str">
        <f>""</f>
        <v/>
      </c>
      <c r="M6102" t="s">
        <v>68</v>
      </c>
      <c r="N6102" t="str">
        <f t="shared" si="631"/>
        <v>FOR</v>
      </c>
      <c r="O6102" t="s">
        <v>69</v>
      </c>
      <c r="P6102" s="3" t="s">
        <v>75</v>
      </c>
      <c r="Q6102">
        <v>2016</v>
      </c>
      <c r="R6102" s="2">
        <v>42410</v>
      </c>
      <c r="S6102" s="2">
        <v>42412</v>
      </c>
      <c r="T6102" s="2">
        <v>42410</v>
      </c>
      <c r="U6102" s="2">
        <v>42470</v>
      </c>
      <c r="V6102" t="s">
        <v>71</v>
      </c>
      <c r="W6102" t="str">
        <f>"                9/PA"</f>
        <v xml:space="preserve">                9/PA</v>
      </c>
      <c r="X6102" s="1">
        <v>4487.6400000000003</v>
      </c>
      <c r="Y6102">
        <v>0</v>
      </c>
      <c r="Z6102" s="5">
        <v>3678.39</v>
      </c>
      <c r="AA6102">
        <v>249</v>
      </c>
      <c r="AB6102" s="5">
        <v>915919.11</v>
      </c>
      <c r="AC6102" s="1">
        <v>3678.39</v>
      </c>
      <c r="AD6102">
        <v>249</v>
      </c>
      <c r="AE6102" s="1">
        <v>915919.11</v>
      </c>
      <c r="AF6102">
        <v>809.25</v>
      </c>
      <c r="AJ6102">
        <v>0</v>
      </c>
      <c r="AK6102">
        <v>0</v>
      </c>
      <c r="AL6102">
        <v>0</v>
      </c>
      <c r="AM6102" s="1">
        <v>4487.6400000000003</v>
      </c>
      <c r="AN6102" s="1">
        <v>4487.6400000000003</v>
      </c>
      <c r="AO6102" s="1">
        <v>4487.6400000000003</v>
      </c>
      <c r="AP6102" s="2">
        <v>42746</v>
      </c>
      <c r="AQ6102" t="s">
        <v>72</v>
      </c>
      <c r="AR6102" t="s">
        <v>72</v>
      </c>
      <c r="AS6102">
        <v>3535</v>
      </c>
      <c r="AT6102" s="4">
        <v>42719</v>
      </c>
      <c r="AU6102" t="s">
        <v>73</v>
      </c>
      <c r="AV6102">
        <v>3535</v>
      </c>
      <c r="AW6102" s="4">
        <v>42719</v>
      </c>
      <c r="BD6102">
        <v>809.25</v>
      </c>
      <c r="BN6102" t="s">
        <v>74</v>
      </c>
    </row>
    <row r="6103" spans="1:66">
      <c r="A6103">
        <v>104027</v>
      </c>
      <c r="B6103" s="3" t="s">
        <v>597</v>
      </c>
      <c r="C6103" s="1">
        <v>43300101</v>
      </c>
      <c r="D6103" t="s">
        <v>67</v>
      </c>
      <c r="H6103" t="str">
        <f t="shared" si="630"/>
        <v>01138380629</v>
      </c>
      <c r="I6103" t="str">
        <f t="shared" si="630"/>
        <v>01138380629</v>
      </c>
      <c r="K6103" t="str">
        <f>""</f>
        <v/>
      </c>
      <c r="M6103" t="s">
        <v>68</v>
      </c>
      <c r="N6103" t="str">
        <f t="shared" si="631"/>
        <v>FOR</v>
      </c>
      <c r="O6103" t="s">
        <v>69</v>
      </c>
      <c r="P6103" s="3" t="s">
        <v>75</v>
      </c>
      <c r="Q6103">
        <v>2016</v>
      </c>
      <c r="R6103" s="2">
        <v>42425</v>
      </c>
      <c r="S6103" s="2">
        <v>42426</v>
      </c>
      <c r="T6103" s="2">
        <v>42425</v>
      </c>
      <c r="U6103" s="2">
        <v>42485</v>
      </c>
      <c r="V6103" t="s">
        <v>71</v>
      </c>
      <c r="W6103" t="str">
        <f>"               12/PA"</f>
        <v xml:space="preserve">               12/PA</v>
      </c>
      <c r="X6103" s="1">
        <v>4511.8500000000004</v>
      </c>
      <c r="Y6103">
        <v>0</v>
      </c>
      <c r="Z6103" s="5">
        <v>3698.24</v>
      </c>
      <c r="AA6103">
        <v>234</v>
      </c>
      <c r="AB6103" s="5">
        <v>865388.16</v>
      </c>
      <c r="AC6103" s="1">
        <v>3698.24</v>
      </c>
      <c r="AD6103">
        <v>234</v>
      </c>
      <c r="AE6103" s="1">
        <v>865388.16</v>
      </c>
      <c r="AF6103">
        <v>813.61</v>
      </c>
      <c r="AJ6103">
        <v>0</v>
      </c>
      <c r="AK6103">
        <v>0</v>
      </c>
      <c r="AL6103">
        <v>0</v>
      </c>
      <c r="AM6103" s="1">
        <v>4511.8500000000004</v>
      </c>
      <c r="AN6103" s="1">
        <v>4511.8500000000004</v>
      </c>
      <c r="AO6103" s="1">
        <v>4511.8500000000004</v>
      </c>
      <c r="AP6103" s="2">
        <v>42746</v>
      </c>
      <c r="AQ6103" t="s">
        <v>72</v>
      </c>
      <c r="AR6103" t="s">
        <v>72</v>
      </c>
      <c r="AS6103">
        <v>3535</v>
      </c>
      <c r="AT6103" s="4">
        <v>42719</v>
      </c>
      <c r="AU6103" t="s">
        <v>73</v>
      </c>
      <c r="AV6103">
        <v>3535</v>
      </c>
      <c r="AW6103" s="4">
        <v>42719</v>
      </c>
      <c r="BD6103">
        <v>813.61</v>
      </c>
      <c r="BN6103" t="s">
        <v>74</v>
      </c>
    </row>
    <row r="6104" spans="1:66">
      <c r="A6104">
        <v>104027</v>
      </c>
      <c r="B6104" s="3" t="s">
        <v>597</v>
      </c>
      <c r="C6104" s="1">
        <v>43300101</v>
      </c>
      <c r="D6104" t="s">
        <v>67</v>
      </c>
      <c r="H6104" t="str">
        <f t="shared" si="630"/>
        <v>01138380629</v>
      </c>
      <c r="I6104" t="str">
        <f t="shared" si="630"/>
        <v>01138380629</v>
      </c>
      <c r="K6104" t="str">
        <f>""</f>
        <v/>
      </c>
      <c r="M6104" t="s">
        <v>68</v>
      </c>
      <c r="N6104" t="str">
        <f t="shared" si="631"/>
        <v>FOR</v>
      </c>
      <c r="O6104" t="s">
        <v>69</v>
      </c>
      <c r="P6104" s="3" t="s">
        <v>75</v>
      </c>
      <c r="Q6104">
        <v>2016</v>
      </c>
      <c r="R6104" s="2">
        <v>42425</v>
      </c>
      <c r="S6104" s="2">
        <v>42426</v>
      </c>
      <c r="T6104" s="2">
        <v>42425</v>
      </c>
      <c r="U6104" s="2">
        <v>42485</v>
      </c>
      <c r="V6104" t="s">
        <v>71</v>
      </c>
      <c r="W6104" t="str">
        <f>"               13/PA"</f>
        <v xml:space="preserve">               13/PA</v>
      </c>
      <c r="X6104" s="1">
        <v>5845.26</v>
      </c>
      <c r="Y6104">
        <v>0</v>
      </c>
      <c r="Z6104" s="5">
        <v>4791.2</v>
      </c>
      <c r="AA6104">
        <v>234</v>
      </c>
      <c r="AB6104" s="5">
        <v>1121140.8</v>
      </c>
      <c r="AC6104" s="1">
        <v>4791.2</v>
      </c>
      <c r="AD6104">
        <v>234</v>
      </c>
      <c r="AE6104" s="1">
        <v>1121140.8</v>
      </c>
      <c r="AF6104" s="1">
        <v>1054.06</v>
      </c>
      <c r="AJ6104">
        <v>0</v>
      </c>
      <c r="AK6104">
        <v>0</v>
      </c>
      <c r="AL6104">
        <v>0</v>
      </c>
      <c r="AM6104" s="1">
        <v>5845.26</v>
      </c>
      <c r="AN6104" s="1">
        <v>5845.26</v>
      </c>
      <c r="AO6104" s="1">
        <v>5845.26</v>
      </c>
      <c r="AP6104" s="2">
        <v>42746</v>
      </c>
      <c r="AQ6104" t="s">
        <v>72</v>
      </c>
      <c r="AR6104" t="s">
        <v>72</v>
      </c>
      <c r="AS6104">
        <v>3535</v>
      </c>
      <c r="AT6104" s="4">
        <v>42719</v>
      </c>
      <c r="AU6104" t="s">
        <v>73</v>
      </c>
      <c r="AV6104">
        <v>3535</v>
      </c>
      <c r="AW6104" s="4">
        <v>42719</v>
      </c>
      <c r="BD6104" s="1">
        <v>1054.06</v>
      </c>
      <c r="BN6104" t="s">
        <v>74</v>
      </c>
    </row>
    <row r="6105" spans="1:66" hidden="1">
      <c r="A6105">
        <v>104029</v>
      </c>
      <c r="B6105" s="3" t="s">
        <v>598</v>
      </c>
      <c r="C6105" s="1">
        <v>43300101</v>
      </c>
      <c r="D6105" t="s">
        <v>67</v>
      </c>
      <c r="H6105" t="str">
        <f t="shared" ref="H6105:H6141" si="632">"00759430267"</f>
        <v>00759430267</v>
      </c>
      <c r="I6105" t="str">
        <f t="shared" ref="I6105:I6141" si="633">"01630000287"</f>
        <v>01630000287</v>
      </c>
      <c r="K6105" t="str">
        <f>""</f>
        <v/>
      </c>
      <c r="M6105" t="s">
        <v>68</v>
      </c>
      <c r="N6105" t="str">
        <f t="shared" si="631"/>
        <v>FOR</v>
      </c>
      <c r="O6105" t="s">
        <v>69</v>
      </c>
      <c r="P6105" s="3" t="s">
        <v>70</v>
      </c>
      <c r="Q6105">
        <v>2015</v>
      </c>
      <c r="R6105" s="2">
        <v>42083</v>
      </c>
      <c r="S6105" s="2">
        <v>42110</v>
      </c>
      <c r="T6105" s="2">
        <v>42110</v>
      </c>
      <c r="U6105" s="2">
        <v>42170</v>
      </c>
      <c r="V6105" t="s">
        <v>71</v>
      </c>
      <c r="W6105" t="str">
        <f>"             1521543"</f>
        <v xml:space="preserve">             1521543</v>
      </c>
      <c r="X6105" s="1">
        <v>1464</v>
      </c>
      <c r="Y6105">
        <v>0</v>
      </c>
      <c r="Z6105"/>
      <c r="AB6105"/>
      <c r="AC6105" s="1">
        <v>1200</v>
      </c>
      <c r="AD6105">
        <v>245</v>
      </c>
      <c r="AE6105" s="1">
        <v>294000</v>
      </c>
      <c r="AF6105">
        <v>0</v>
      </c>
      <c r="AJ6105">
        <v>0</v>
      </c>
      <c r="AK6105">
        <v>0</v>
      </c>
      <c r="AL6105">
        <v>0</v>
      </c>
      <c r="AM6105">
        <v>0</v>
      </c>
      <c r="AN6105">
        <v>0</v>
      </c>
      <c r="AO6105">
        <v>0</v>
      </c>
      <c r="AP6105" s="2">
        <v>42746</v>
      </c>
      <c r="AQ6105" t="s">
        <v>72</v>
      </c>
      <c r="AR6105" t="s">
        <v>72</v>
      </c>
      <c r="AS6105">
        <v>351</v>
      </c>
      <c r="AT6105" s="4">
        <v>42415</v>
      </c>
      <c r="AU6105" t="s">
        <v>73</v>
      </c>
      <c r="AV6105">
        <v>351</v>
      </c>
      <c r="AW6105" s="4">
        <v>42415</v>
      </c>
      <c r="BD6105">
        <v>0</v>
      </c>
      <c r="BN6105" t="s">
        <v>74</v>
      </c>
    </row>
    <row r="6106" spans="1:66" hidden="1">
      <c r="A6106">
        <v>104029</v>
      </c>
      <c r="B6106" s="3" t="s">
        <v>598</v>
      </c>
      <c r="C6106" s="1">
        <v>43300101</v>
      </c>
      <c r="D6106" t="s">
        <v>67</v>
      </c>
      <c r="H6106" t="str">
        <f t="shared" si="632"/>
        <v>00759430267</v>
      </c>
      <c r="I6106" t="str">
        <f t="shared" si="633"/>
        <v>01630000287</v>
      </c>
      <c r="K6106" t="str">
        <f>""</f>
        <v/>
      </c>
      <c r="M6106" t="s">
        <v>68</v>
      </c>
      <c r="N6106" t="str">
        <f t="shared" si="631"/>
        <v>FOR</v>
      </c>
      <c r="O6106" t="s">
        <v>69</v>
      </c>
      <c r="P6106" s="3" t="s">
        <v>70</v>
      </c>
      <c r="Q6106">
        <v>2015</v>
      </c>
      <c r="R6106" s="2">
        <v>42090</v>
      </c>
      <c r="S6106" s="2">
        <v>42110</v>
      </c>
      <c r="T6106" s="2">
        <v>42110</v>
      </c>
      <c r="U6106" s="2">
        <v>42170</v>
      </c>
      <c r="V6106" t="s">
        <v>71</v>
      </c>
      <c r="W6106" t="str">
        <f>"             1521674"</f>
        <v xml:space="preserve">             1521674</v>
      </c>
      <c r="X6106" s="1">
        <v>5612</v>
      </c>
      <c r="Y6106">
        <v>0</v>
      </c>
      <c r="Z6106"/>
      <c r="AB6106"/>
      <c r="AC6106" s="1">
        <v>4600</v>
      </c>
      <c r="AD6106">
        <v>245</v>
      </c>
      <c r="AE6106" s="1">
        <v>1127000</v>
      </c>
      <c r="AF6106">
        <v>0</v>
      </c>
      <c r="AJ6106">
        <v>0</v>
      </c>
      <c r="AK6106">
        <v>0</v>
      </c>
      <c r="AL6106">
        <v>0</v>
      </c>
      <c r="AM6106">
        <v>0</v>
      </c>
      <c r="AN6106">
        <v>0</v>
      </c>
      <c r="AO6106">
        <v>0</v>
      </c>
      <c r="AP6106" s="2">
        <v>42746</v>
      </c>
      <c r="AQ6106" t="s">
        <v>72</v>
      </c>
      <c r="AR6106" t="s">
        <v>72</v>
      </c>
      <c r="AS6106">
        <v>351</v>
      </c>
      <c r="AT6106" s="4">
        <v>42415</v>
      </c>
      <c r="AU6106" t="s">
        <v>73</v>
      </c>
      <c r="AV6106">
        <v>351</v>
      </c>
      <c r="AW6106" s="4">
        <v>42415</v>
      </c>
      <c r="BD6106">
        <v>0</v>
      </c>
      <c r="BN6106" t="s">
        <v>74</v>
      </c>
    </row>
    <row r="6107" spans="1:66" hidden="1">
      <c r="A6107">
        <v>104029</v>
      </c>
      <c r="B6107" s="3" t="s">
        <v>598</v>
      </c>
      <c r="C6107" s="1">
        <v>43300101</v>
      </c>
      <c r="D6107" t="s">
        <v>67</v>
      </c>
      <c r="H6107" t="str">
        <f t="shared" si="632"/>
        <v>00759430267</v>
      </c>
      <c r="I6107" t="str">
        <f t="shared" si="633"/>
        <v>01630000287</v>
      </c>
      <c r="K6107" t="str">
        <f>""</f>
        <v/>
      </c>
      <c r="M6107" t="s">
        <v>68</v>
      </c>
      <c r="N6107" t="str">
        <f t="shared" si="631"/>
        <v>FOR</v>
      </c>
      <c r="O6107" t="s">
        <v>69</v>
      </c>
      <c r="P6107" s="3" t="s">
        <v>75</v>
      </c>
      <c r="Q6107">
        <v>2015</v>
      </c>
      <c r="R6107" s="2">
        <v>42104</v>
      </c>
      <c r="S6107" s="2">
        <v>42108</v>
      </c>
      <c r="T6107" s="2">
        <v>42107</v>
      </c>
      <c r="U6107" s="2">
        <v>42167</v>
      </c>
      <c r="V6107" t="s">
        <v>71</v>
      </c>
      <c r="W6107" t="str">
        <f>"           1540452/E"</f>
        <v xml:space="preserve">           1540452/E</v>
      </c>
      <c r="X6107" s="1">
        <v>7729.92</v>
      </c>
      <c r="Y6107">
        <v>0</v>
      </c>
      <c r="Z6107"/>
      <c r="AB6107"/>
      <c r="AC6107" s="1">
        <v>6336</v>
      </c>
      <c r="AD6107">
        <v>249</v>
      </c>
      <c r="AE6107" s="1">
        <v>1577664</v>
      </c>
      <c r="AF6107">
        <v>0</v>
      </c>
      <c r="AJ6107">
        <v>0</v>
      </c>
      <c r="AK6107">
        <v>0</v>
      </c>
      <c r="AL6107">
        <v>0</v>
      </c>
      <c r="AM6107">
        <v>0</v>
      </c>
      <c r="AN6107">
        <v>0</v>
      </c>
      <c r="AO6107">
        <v>0</v>
      </c>
      <c r="AP6107" s="2">
        <v>42746</v>
      </c>
      <c r="AQ6107" t="s">
        <v>72</v>
      </c>
      <c r="AR6107" t="s">
        <v>72</v>
      </c>
      <c r="AS6107">
        <v>447</v>
      </c>
      <c r="AT6107" s="4">
        <v>42416</v>
      </c>
      <c r="AU6107" t="s">
        <v>73</v>
      </c>
      <c r="AV6107">
        <v>447</v>
      </c>
      <c r="AW6107" s="4">
        <v>42416</v>
      </c>
      <c r="BD6107">
        <v>0</v>
      </c>
      <c r="BN6107" t="s">
        <v>74</v>
      </c>
    </row>
    <row r="6108" spans="1:66" hidden="1">
      <c r="A6108">
        <v>104029</v>
      </c>
      <c r="B6108" s="3" t="s">
        <v>598</v>
      </c>
      <c r="C6108" s="1">
        <v>43300101</v>
      </c>
      <c r="D6108" t="s">
        <v>67</v>
      </c>
      <c r="H6108" t="str">
        <f t="shared" si="632"/>
        <v>00759430267</v>
      </c>
      <c r="I6108" t="str">
        <f t="shared" si="633"/>
        <v>01630000287</v>
      </c>
      <c r="K6108" t="str">
        <f>""</f>
        <v/>
      </c>
      <c r="M6108" t="s">
        <v>68</v>
      </c>
      <c r="N6108" t="str">
        <f t="shared" si="631"/>
        <v>FOR</v>
      </c>
      <c r="O6108" t="s">
        <v>69</v>
      </c>
      <c r="P6108" s="3" t="s">
        <v>75</v>
      </c>
      <c r="Q6108">
        <v>2015</v>
      </c>
      <c r="R6108" s="2">
        <v>42104</v>
      </c>
      <c r="S6108" s="2">
        <v>42108</v>
      </c>
      <c r="T6108" s="2">
        <v>42107</v>
      </c>
      <c r="U6108" s="2">
        <v>42167</v>
      </c>
      <c r="V6108" t="s">
        <v>71</v>
      </c>
      <c r="W6108" t="str">
        <f>"           1540453/E"</f>
        <v xml:space="preserve">           1540453/E</v>
      </c>
      <c r="X6108" s="1">
        <v>4582.32</v>
      </c>
      <c r="Y6108">
        <v>0</v>
      </c>
      <c r="Z6108"/>
      <c r="AB6108"/>
      <c r="AC6108" s="1">
        <v>3756</v>
      </c>
      <c r="AD6108">
        <v>249</v>
      </c>
      <c r="AE6108" s="1">
        <v>935244</v>
      </c>
      <c r="AF6108">
        <v>0</v>
      </c>
      <c r="AJ6108">
        <v>0</v>
      </c>
      <c r="AK6108">
        <v>0</v>
      </c>
      <c r="AL6108">
        <v>0</v>
      </c>
      <c r="AM6108">
        <v>0</v>
      </c>
      <c r="AN6108">
        <v>0</v>
      </c>
      <c r="AO6108">
        <v>0</v>
      </c>
      <c r="AP6108" s="2">
        <v>42746</v>
      </c>
      <c r="AQ6108" t="s">
        <v>72</v>
      </c>
      <c r="AR6108" t="s">
        <v>72</v>
      </c>
      <c r="AS6108">
        <v>447</v>
      </c>
      <c r="AT6108" s="4">
        <v>42416</v>
      </c>
      <c r="AU6108" t="s">
        <v>73</v>
      </c>
      <c r="AV6108">
        <v>447</v>
      </c>
      <c r="AW6108" s="4">
        <v>42416</v>
      </c>
      <c r="BD6108">
        <v>0</v>
      </c>
      <c r="BN6108" t="s">
        <v>74</v>
      </c>
    </row>
    <row r="6109" spans="1:66" hidden="1">
      <c r="A6109">
        <v>104029</v>
      </c>
      <c r="B6109" s="3" t="s">
        <v>598</v>
      </c>
      <c r="C6109" s="1">
        <v>43300101</v>
      </c>
      <c r="D6109" t="s">
        <v>67</v>
      </c>
      <c r="H6109" t="str">
        <f t="shared" si="632"/>
        <v>00759430267</v>
      </c>
      <c r="I6109" t="str">
        <f t="shared" si="633"/>
        <v>01630000287</v>
      </c>
      <c r="K6109" t="str">
        <f>""</f>
        <v/>
      </c>
      <c r="M6109" t="s">
        <v>68</v>
      </c>
      <c r="N6109" t="str">
        <f t="shared" si="631"/>
        <v>FOR</v>
      </c>
      <c r="O6109" t="s">
        <v>69</v>
      </c>
      <c r="P6109" s="3" t="s">
        <v>75</v>
      </c>
      <c r="Q6109">
        <v>2015</v>
      </c>
      <c r="R6109" s="2">
        <v>42117</v>
      </c>
      <c r="S6109" s="2">
        <v>42135</v>
      </c>
      <c r="T6109" s="2">
        <v>42132</v>
      </c>
      <c r="U6109" s="2">
        <v>42192</v>
      </c>
      <c r="V6109" t="s">
        <v>71</v>
      </c>
      <c r="W6109" t="str">
        <f>"           1540724/E"</f>
        <v xml:space="preserve">           1540724/E</v>
      </c>
      <c r="X6109">
        <v>958.03</v>
      </c>
      <c r="Y6109">
        <v>0</v>
      </c>
      <c r="Z6109"/>
      <c r="AB6109"/>
      <c r="AC6109">
        <v>785.27</v>
      </c>
      <c r="AD6109">
        <v>260</v>
      </c>
      <c r="AE6109" s="1">
        <v>204170.2</v>
      </c>
      <c r="AF6109">
        <v>0</v>
      </c>
      <c r="AJ6109">
        <v>0</v>
      </c>
      <c r="AK6109">
        <v>0</v>
      </c>
      <c r="AL6109">
        <v>0</v>
      </c>
      <c r="AM6109">
        <v>0</v>
      </c>
      <c r="AN6109">
        <v>0</v>
      </c>
      <c r="AO6109">
        <v>0</v>
      </c>
      <c r="AP6109" s="2">
        <v>42746</v>
      </c>
      <c r="AQ6109" t="s">
        <v>72</v>
      </c>
      <c r="AR6109" t="s">
        <v>72</v>
      </c>
      <c r="AS6109">
        <v>798</v>
      </c>
      <c r="AT6109" s="4">
        <v>42452</v>
      </c>
      <c r="AU6109" t="s">
        <v>73</v>
      </c>
      <c r="AV6109">
        <v>798</v>
      </c>
      <c r="AW6109" s="4">
        <v>42452</v>
      </c>
      <c r="BD6109">
        <v>0</v>
      </c>
      <c r="BN6109" t="s">
        <v>74</v>
      </c>
    </row>
    <row r="6110" spans="1:66" hidden="1">
      <c r="A6110">
        <v>104029</v>
      </c>
      <c r="B6110" s="3" t="s">
        <v>598</v>
      </c>
      <c r="C6110" s="1">
        <v>43300101</v>
      </c>
      <c r="D6110" t="s">
        <v>67</v>
      </c>
      <c r="H6110" t="str">
        <f t="shared" si="632"/>
        <v>00759430267</v>
      </c>
      <c r="I6110" t="str">
        <f t="shared" si="633"/>
        <v>01630000287</v>
      </c>
      <c r="K6110" t="str">
        <f>""</f>
        <v/>
      </c>
      <c r="M6110" t="s">
        <v>68</v>
      </c>
      <c r="N6110" t="str">
        <f t="shared" si="631"/>
        <v>FOR</v>
      </c>
      <c r="O6110" t="s">
        <v>69</v>
      </c>
      <c r="P6110" s="3" t="s">
        <v>75</v>
      </c>
      <c r="Q6110">
        <v>2015</v>
      </c>
      <c r="R6110" s="2">
        <v>42117</v>
      </c>
      <c r="S6110" s="2">
        <v>42135</v>
      </c>
      <c r="T6110" s="2">
        <v>42132</v>
      </c>
      <c r="U6110" s="2">
        <v>42192</v>
      </c>
      <c r="V6110" t="s">
        <v>71</v>
      </c>
      <c r="W6110" t="str">
        <f>"           1540725/E"</f>
        <v xml:space="preserve">           1540725/E</v>
      </c>
      <c r="X6110" s="1">
        <v>1464</v>
      </c>
      <c r="Y6110">
        <v>0</v>
      </c>
      <c r="Z6110"/>
      <c r="AB6110"/>
      <c r="AC6110" s="1">
        <v>1200</v>
      </c>
      <c r="AD6110">
        <v>260</v>
      </c>
      <c r="AE6110" s="1">
        <v>312000</v>
      </c>
      <c r="AF6110">
        <v>0</v>
      </c>
      <c r="AJ6110">
        <v>0</v>
      </c>
      <c r="AK6110">
        <v>0</v>
      </c>
      <c r="AL6110">
        <v>0</v>
      </c>
      <c r="AM6110">
        <v>0</v>
      </c>
      <c r="AN6110">
        <v>0</v>
      </c>
      <c r="AO6110">
        <v>0</v>
      </c>
      <c r="AP6110" s="2">
        <v>42746</v>
      </c>
      <c r="AQ6110" t="s">
        <v>72</v>
      </c>
      <c r="AR6110" t="s">
        <v>72</v>
      </c>
      <c r="AS6110">
        <v>798</v>
      </c>
      <c r="AT6110" s="4">
        <v>42452</v>
      </c>
      <c r="AU6110" t="s">
        <v>73</v>
      </c>
      <c r="AV6110">
        <v>798</v>
      </c>
      <c r="AW6110" s="4">
        <v>42452</v>
      </c>
      <c r="BD6110">
        <v>0</v>
      </c>
      <c r="BN6110" t="s">
        <v>74</v>
      </c>
    </row>
    <row r="6111" spans="1:66" hidden="1">
      <c r="A6111">
        <v>104029</v>
      </c>
      <c r="B6111" s="3" t="s">
        <v>598</v>
      </c>
      <c r="C6111" s="1">
        <v>43300101</v>
      </c>
      <c r="D6111" t="s">
        <v>67</v>
      </c>
      <c r="H6111" t="str">
        <f t="shared" si="632"/>
        <v>00759430267</v>
      </c>
      <c r="I6111" t="str">
        <f t="shared" si="633"/>
        <v>01630000287</v>
      </c>
      <c r="K6111" t="str">
        <f>""</f>
        <v/>
      </c>
      <c r="M6111" t="s">
        <v>68</v>
      </c>
      <c r="N6111" t="str">
        <f t="shared" si="631"/>
        <v>FOR</v>
      </c>
      <c r="O6111" t="s">
        <v>69</v>
      </c>
      <c r="P6111" s="3" t="s">
        <v>75</v>
      </c>
      <c r="Q6111">
        <v>2015</v>
      </c>
      <c r="R6111" s="2">
        <v>42124</v>
      </c>
      <c r="S6111" s="2">
        <v>42128</v>
      </c>
      <c r="T6111" s="2">
        <v>42124</v>
      </c>
      <c r="U6111" s="2">
        <v>42184</v>
      </c>
      <c r="V6111" t="s">
        <v>71</v>
      </c>
      <c r="W6111" t="str">
        <f>"           1540877/E"</f>
        <v xml:space="preserve">           1540877/E</v>
      </c>
      <c r="X6111">
        <v>358.68</v>
      </c>
      <c r="Y6111">
        <v>0</v>
      </c>
      <c r="Z6111"/>
      <c r="AB6111"/>
      <c r="AC6111">
        <v>294</v>
      </c>
      <c r="AD6111">
        <v>268</v>
      </c>
      <c r="AE6111" s="1">
        <v>78792</v>
      </c>
      <c r="AF6111">
        <v>0</v>
      </c>
      <c r="AJ6111">
        <v>0</v>
      </c>
      <c r="AK6111">
        <v>0</v>
      </c>
      <c r="AL6111">
        <v>0</v>
      </c>
      <c r="AM6111">
        <v>0</v>
      </c>
      <c r="AN6111">
        <v>0</v>
      </c>
      <c r="AO6111">
        <v>0</v>
      </c>
      <c r="AP6111" s="2">
        <v>42746</v>
      </c>
      <c r="AQ6111" t="s">
        <v>72</v>
      </c>
      <c r="AR6111" t="s">
        <v>72</v>
      </c>
      <c r="AS6111">
        <v>798</v>
      </c>
      <c r="AT6111" s="4">
        <v>42452</v>
      </c>
      <c r="AU6111" t="s">
        <v>73</v>
      </c>
      <c r="AV6111">
        <v>798</v>
      </c>
      <c r="AW6111" s="4">
        <v>42452</v>
      </c>
      <c r="BD6111">
        <v>0</v>
      </c>
      <c r="BN6111" t="s">
        <v>74</v>
      </c>
    </row>
    <row r="6112" spans="1:66" hidden="1">
      <c r="A6112">
        <v>104029</v>
      </c>
      <c r="B6112" s="3" t="s">
        <v>598</v>
      </c>
      <c r="C6112" s="1">
        <v>43300101</v>
      </c>
      <c r="D6112" t="s">
        <v>67</v>
      </c>
      <c r="H6112" t="str">
        <f t="shared" si="632"/>
        <v>00759430267</v>
      </c>
      <c r="I6112" t="str">
        <f t="shared" si="633"/>
        <v>01630000287</v>
      </c>
      <c r="K6112" t="str">
        <f>""</f>
        <v/>
      </c>
      <c r="M6112" t="s">
        <v>68</v>
      </c>
      <c r="N6112" t="str">
        <f t="shared" si="631"/>
        <v>FOR</v>
      </c>
      <c r="O6112" t="s">
        <v>69</v>
      </c>
      <c r="P6112" s="3" t="s">
        <v>75</v>
      </c>
      <c r="Q6112">
        <v>2015</v>
      </c>
      <c r="R6112" s="2">
        <v>42139</v>
      </c>
      <c r="S6112" s="2">
        <v>42160</v>
      </c>
      <c r="T6112" s="2">
        <v>42139</v>
      </c>
      <c r="U6112" s="2">
        <v>42199</v>
      </c>
      <c r="V6112" t="s">
        <v>71</v>
      </c>
      <c r="W6112" t="str">
        <f>"           1541202/E"</f>
        <v xml:space="preserve">           1541202/E</v>
      </c>
      <c r="X6112" s="1">
        <v>3379.4</v>
      </c>
      <c r="Y6112">
        <v>0</v>
      </c>
      <c r="Z6112"/>
      <c r="AB6112"/>
      <c r="AC6112" s="1">
        <v>2770</v>
      </c>
      <c r="AD6112">
        <v>253</v>
      </c>
      <c r="AE6112" s="1">
        <v>700810</v>
      </c>
      <c r="AF6112">
        <v>0</v>
      </c>
      <c r="AJ6112">
        <v>0</v>
      </c>
      <c r="AK6112">
        <v>0</v>
      </c>
      <c r="AL6112">
        <v>0</v>
      </c>
      <c r="AM6112">
        <v>0</v>
      </c>
      <c r="AN6112">
        <v>0</v>
      </c>
      <c r="AO6112">
        <v>0</v>
      </c>
      <c r="AP6112" s="2">
        <v>42746</v>
      </c>
      <c r="AQ6112" t="s">
        <v>72</v>
      </c>
      <c r="AR6112" t="s">
        <v>72</v>
      </c>
      <c r="AS6112">
        <v>798</v>
      </c>
      <c r="AT6112" s="4">
        <v>42452</v>
      </c>
      <c r="AU6112" t="s">
        <v>73</v>
      </c>
      <c r="AV6112">
        <v>798</v>
      </c>
      <c r="AW6112" s="4">
        <v>42452</v>
      </c>
      <c r="BD6112">
        <v>0</v>
      </c>
      <c r="BN6112" t="s">
        <v>74</v>
      </c>
    </row>
    <row r="6113" spans="1:66" hidden="1">
      <c r="A6113">
        <v>104029</v>
      </c>
      <c r="B6113" s="3" t="s">
        <v>598</v>
      </c>
      <c r="C6113" s="1">
        <v>43300101</v>
      </c>
      <c r="D6113" t="s">
        <v>67</v>
      </c>
      <c r="H6113" t="str">
        <f t="shared" si="632"/>
        <v>00759430267</v>
      </c>
      <c r="I6113" t="str">
        <f t="shared" si="633"/>
        <v>01630000287</v>
      </c>
      <c r="K6113" t="str">
        <f>""</f>
        <v/>
      </c>
      <c r="M6113" t="s">
        <v>68</v>
      </c>
      <c r="N6113" t="str">
        <f t="shared" si="631"/>
        <v>FOR</v>
      </c>
      <c r="O6113" t="s">
        <v>69</v>
      </c>
      <c r="P6113" s="3" t="s">
        <v>75</v>
      </c>
      <c r="Q6113">
        <v>2015</v>
      </c>
      <c r="R6113" s="2">
        <v>42152</v>
      </c>
      <c r="S6113" s="2">
        <v>42160</v>
      </c>
      <c r="T6113" s="2">
        <v>42153</v>
      </c>
      <c r="U6113" s="2">
        <v>42213</v>
      </c>
      <c r="V6113" t="s">
        <v>71</v>
      </c>
      <c r="W6113" t="str">
        <f>"           1541494/E"</f>
        <v xml:space="preserve">           1541494/E</v>
      </c>
      <c r="X6113" s="1">
        <v>2318</v>
      </c>
      <c r="Y6113">
        <v>0</v>
      </c>
      <c r="Z6113"/>
      <c r="AB6113"/>
      <c r="AC6113" s="1">
        <v>1900</v>
      </c>
      <c r="AD6113">
        <v>239</v>
      </c>
      <c r="AE6113" s="1">
        <v>454100</v>
      </c>
      <c r="AF6113">
        <v>0</v>
      </c>
      <c r="AJ6113">
        <v>0</v>
      </c>
      <c r="AK6113">
        <v>0</v>
      </c>
      <c r="AL6113">
        <v>0</v>
      </c>
      <c r="AM6113">
        <v>0</v>
      </c>
      <c r="AN6113">
        <v>0</v>
      </c>
      <c r="AO6113">
        <v>0</v>
      </c>
      <c r="AP6113" s="2">
        <v>42746</v>
      </c>
      <c r="AQ6113" t="s">
        <v>72</v>
      </c>
      <c r="AR6113" t="s">
        <v>72</v>
      </c>
      <c r="AS6113">
        <v>798</v>
      </c>
      <c r="AT6113" s="4">
        <v>42452</v>
      </c>
      <c r="AU6113" t="s">
        <v>73</v>
      </c>
      <c r="AV6113">
        <v>798</v>
      </c>
      <c r="AW6113" s="4">
        <v>42452</v>
      </c>
      <c r="BD6113">
        <v>0</v>
      </c>
      <c r="BN6113" t="s">
        <v>74</v>
      </c>
    </row>
    <row r="6114" spans="1:66" hidden="1">
      <c r="A6114">
        <v>104029</v>
      </c>
      <c r="B6114" s="3" t="s">
        <v>598</v>
      </c>
      <c r="C6114" s="1">
        <v>43300101</v>
      </c>
      <c r="D6114" t="s">
        <v>67</v>
      </c>
      <c r="H6114" t="str">
        <f t="shared" si="632"/>
        <v>00759430267</v>
      </c>
      <c r="I6114" t="str">
        <f t="shared" si="633"/>
        <v>01630000287</v>
      </c>
      <c r="K6114" t="str">
        <f>""</f>
        <v/>
      </c>
      <c r="M6114" t="s">
        <v>68</v>
      </c>
      <c r="N6114" t="str">
        <f t="shared" ref="N6114:N6142" si="634">"FOR"</f>
        <v>FOR</v>
      </c>
      <c r="O6114" t="s">
        <v>69</v>
      </c>
      <c r="P6114" s="3" t="s">
        <v>75</v>
      </c>
      <c r="Q6114">
        <v>2015</v>
      </c>
      <c r="R6114" s="2">
        <v>42167</v>
      </c>
      <c r="S6114" s="2">
        <v>42171</v>
      </c>
      <c r="T6114" s="2">
        <v>42168</v>
      </c>
      <c r="U6114" s="2">
        <v>42228</v>
      </c>
      <c r="V6114" t="s">
        <v>71</v>
      </c>
      <c r="W6114" t="str">
        <f>"           1541802/E"</f>
        <v xml:space="preserve">           1541802/E</v>
      </c>
      <c r="X6114">
        <v>466.04</v>
      </c>
      <c r="Y6114">
        <v>0</v>
      </c>
      <c r="Z6114"/>
      <c r="AB6114"/>
      <c r="AC6114">
        <v>382</v>
      </c>
      <c r="AD6114">
        <v>264</v>
      </c>
      <c r="AE6114" s="1">
        <v>100848</v>
      </c>
      <c r="AF6114">
        <v>0</v>
      </c>
      <c r="AJ6114">
        <v>0</v>
      </c>
      <c r="AK6114">
        <v>0</v>
      </c>
      <c r="AL6114">
        <v>0</v>
      </c>
      <c r="AM6114">
        <v>0</v>
      </c>
      <c r="AN6114">
        <v>0</v>
      </c>
      <c r="AO6114">
        <v>0</v>
      </c>
      <c r="AP6114" s="2">
        <v>42746</v>
      </c>
      <c r="AQ6114" t="s">
        <v>72</v>
      </c>
      <c r="AR6114" t="s">
        <v>72</v>
      </c>
      <c r="AS6114">
        <v>1228</v>
      </c>
      <c r="AT6114" s="4">
        <v>42492</v>
      </c>
      <c r="AU6114" t="s">
        <v>73</v>
      </c>
      <c r="AV6114">
        <v>1228</v>
      </c>
      <c r="AW6114" s="4">
        <v>42492</v>
      </c>
      <c r="BD6114">
        <v>0</v>
      </c>
      <c r="BN6114" t="s">
        <v>74</v>
      </c>
    </row>
    <row r="6115" spans="1:66" hidden="1">
      <c r="A6115">
        <v>104029</v>
      </c>
      <c r="B6115" s="3" t="s">
        <v>598</v>
      </c>
      <c r="C6115" s="1">
        <v>43300101</v>
      </c>
      <c r="D6115" t="s">
        <v>67</v>
      </c>
      <c r="H6115" t="str">
        <f t="shared" si="632"/>
        <v>00759430267</v>
      </c>
      <c r="I6115" t="str">
        <f t="shared" si="633"/>
        <v>01630000287</v>
      </c>
      <c r="K6115" t="str">
        <f>""</f>
        <v/>
      </c>
      <c r="M6115" t="s">
        <v>68</v>
      </c>
      <c r="N6115" t="str">
        <f t="shared" si="634"/>
        <v>FOR</v>
      </c>
      <c r="O6115" t="s">
        <v>69</v>
      </c>
      <c r="P6115" s="3" t="s">
        <v>75</v>
      </c>
      <c r="Q6115">
        <v>2015</v>
      </c>
      <c r="R6115" s="2">
        <v>42174</v>
      </c>
      <c r="S6115" s="2">
        <v>42177</v>
      </c>
      <c r="T6115" s="2">
        <v>42175</v>
      </c>
      <c r="U6115" s="2">
        <v>42235</v>
      </c>
      <c r="V6115" t="s">
        <v>71</v>
      </c>
      <c r="W6115" t="str">
        <f>"           1541998/E"</f>
        <v xml:space="preserve">           1541998/E</v>
      </c>
      <c r="X6115">
        <v>976</v>
      </c>
      <c r="Y6115">
        <v>0</v>
      </c>
      <c r="Z6115"/>
      <c r="AB6115"/>
      <c r="AC6115">
        <v>800</v>
      </c>
      <c r="AD6115">
        <v>257</v>
      </c>
      <c r="AE6115" s="1">
        <v>205600</v>
      </c>
      <c r="AF6115">
        <v>0</v>
      </c>
      <c r="AJ6115">
        <v>0</v>
      </c>
      <c r="AK6115">
        <v>0</v>
      </c>
      <c r="AL6115">
        <v>0</v>
      </c>
      <c r="AM6115">
        <v>0</v>
      </c>
      <c r="AN6115">
        <v>0</v>
      </c>
      <c r="AO6115">
        <v>0</v>
      </c>
      <c r="AP6115" s="2">
        <v>42746</v>
      </c>
      <c r="AQ6115" t="s">
        <v>72</v>
      </c>
      <c r="AR6115" t="s">
        <v>72</v>
      </c>
      <c r="AS6115">
        <v>1228</v>
      </c>
      <c r="AT6115" s="4">
        <v>42492</v>
      </c>
      <c r="AU6115" t="s">
        <v>73</v>
      </c>
      <c r="AV6115">
        <v>1228</v>
      </c>
      <c r="AW6115" s="4">
        <v>42492</v>
      </c>
      <c r="BD6115">
        <v>0</v>
      </c>
      <c r="BN6115" t="s">
        <v>74</v>
      </c>
    </row>
    <row r="6116" spans="1:66" hidden="1">
      <c r="A6116">
        <v>104029</v>
      </c>
      <c r="B6116" s="3" t="s">
        <v>598</v>
      </c>
      <c r="C6116" s="1">
        <v>43300101</v>
      </c>
      <c r="D6116" t="s">
        <v>67</v>
      </c>
      <c r="H6116" t="str">
        <f t="shared" si="632"/>
        <v>00759430267</v>
      </c>
      <c r="I6116" t="str">
        <f t="shared" si="633"/>
        <v>01630000287</v>
      </c>
      <c r="K6116" t="str">
        <f>""</f>
        <v/>
      </c>
      <c r="M6116" t="s">
        <v>68</v>
      </c>
      <c r="N6116" t="str">
        <f t="shared" si="634"/>
        <v>FOR</v>
      </c>
      <c r="O6116" t="s">
        <v>69</v>
      </c>
      <c r="P6116" s="3" t="s">
        <v>75</v>
      </c>
      <c r="Q6116">
        <v>2015</v>
      </c>
      <c r="R6116" s="2">
        <v>42181</v>
      </c>
      <c r="S6116" s="2">
        <v>42186</v>
      </c>
      <c r="T6116" s="2">
        <v>42181</v>
      </c>
      <c r="U6116" s="2">
        <v>42241</v>
      </c>
      <c r="V6116" t="s">
        <v>71</v>
      </c>
      <c r="W6116" t="str">
        <f>"           1542155/E"</f>
        <v xml:space="preserve">           1542155/E</v>
      </c>
      <c r="X6116" s="1">
        <v>14396</v>
      </c>
      <c r="Y6116">
        <v>0</v>
      </c>
      <c r="Z6116"/>
      <c r="AB6116"/>
      <c r="AC6116" s="1">
        <v>11800</v>
      </c>
      <c r="AD6116">
        <v>251</v>
      </c>
      <c r="AE6116" s="1">
        <v>2961800</v>
      </c>
      <c r="AF6116">
        <v>0</v>
      </c>
      <c r="AJ6116">
        <v>0</v>
      </c>
      <c r="AK6116">
        <v>0</v>
      </c>
      <c r="AL6116">
        <v>0</v>
      </c>
      <c r="AM6116">
        <v>0</v>
      </c>
      <c r="AN6116">
        <v>0</v>
      </c>
      <c r="AO6116">
        <v>0</v>
      </c>
      <c r="AP6116" s="2">
        <v>42746</v>
      </c>
      <c r="AQ6116" t="s">
        <v>72</v>
      </c>
      <c r="AR6116" t="s">
        <v>72</v>
      </c>
      <c r="AS6116">
        <v>1228</v>
      </c>
      <c r="AT6116" s="4">
        <v>42492</v>
      </c>
      <c r="AU6116" t="s">
        <v>73</v>
      </c>
      <c r="AV6116">
        <v>1228</v>
      </c>
      <c r="AW6116" s="4">
        <v>42492</v>
      </c>
      <c r="BD6116">
        <v>0</v>
      </c>
      <c r="BN6116" t="s">
        <v>74</v>
      </c>
    </row>
    <row r="6117" spans="1:66" hidden="1">
      <c r="A6117">
        <v>104029</v>
      </c>
      <c r="B6117" s="3" t="s">
        <v>598</v>
      </c>
      <c r="C6117" s="1">
        <v>43300101</v>
      </c>
      <c r="D6117" t="s">
        <v>67</v>
      </c>
      <c r="H6117" t="str">
        <f t="shared" si="632"/>
        <v>00759430267</v>
      </c>
      <c r="I6117" t="str">
        <f t="shared" si="633"/>
        <v>01630000287</v>
      </c>
      <c r="K6117" t="str">
        <f>""</f>
        <v/>
      </c>
      <c r="M6117" t="s">
        <v>68</v>
      </c>
      <c r="N6117" t="str">
        <f t="shared" si="634"/>
        <v>FOR</v>
      </c>
      <c r="O6117" t="s">
        <v>69</v>
      </c>
      <c r="P6117" s="3" t="s">
        <v>75</v>
      </c>
      <c r="Q6117">
        <v>2015</v>
      </c>
      <c r="R6117" s="2">
        <v>42181</v>
      </c>
      <c r="S6117" s="2">
        <v>42186</v>
      </c>
      <c r="T6117" s="2">
        <v>42181</v>
      </c>
      <c r="U6117" s="2">
        <v>42241</v>
      </c>
      <c r="V6117" t="s">
        <v>71</v>
      </c>
      <c r="W6117" t="str">
        <f>"           1542156/E"</f>
        <v xml:space="preserve">           1542156/E</v>
      </c>
      <c r="X6117">
        <v>798.36</v>
      </c>
      <c r="Y6117">
        <v>0</v>
      </c>
      <c r="Z6117"/>
      <c r="AB6117"/>
      <c r="AC6117">
        <v>654.39</v>
      </c>
      <c r="AD6117">
        <v>251</v>
      </c>
      <c r="AE6117" s="1">
        <v>164251.89000000001</v>
      </c>
      <c r="AF6117">
        <v>0</v>
      </c>
      <c r="AJ6117">
        <v>0</v>
      </c>
      <c r="AK6117">
        <v>0</v>
      </c>
      <c r="AL6117">
        <v>0</v>
      </c>
      <c r="AM6117">
        <v>0</v>
      </c>
      <c r="AN6117">
        <v>0</v>
      </c>
      <c r="AO6117">
        <v>0</v>
      </c>
      <c r="AP6117" s="2">
        <v>42746</v>
      </c>
      <c r="AQ6117" t="s">
        <v>72</v>
      </c>
      <c r="AR6117" t="s">
        <v>72</v>
      </c>
      <c r="AS6117">
        <v>1228</v>
      </c>
      <c r="AT6117" s="4">
        <v>42492</v>
      </c>
      <c r="AU6117" t="s">
        <v>73</v>
      </c>
      <c r="AV6117">
        <v>1228</v>
      </c>
      <c r="AW6117" s="4">
        <v>42492</v>
      </c>
      <c r="BD6117">
        <v>0</v>
      </c>
      <c r="BN6117" t="s">
        <v>74</v>
      </c>
    </row>
    <row r="6118" spans="1:66" hidden="1">
      <c r="A6118">
        <v>104029</v>
      </c>
      <c r="B6118" s="3" t="s">
        <v>598</v>
      </c>
      <c r="C6118" s="1">
        <v>43300101</v>
      </c>
      <c r="D6118" t="s">
        <v>67</v>
      </c>
      <c r="H6118" t="str">
        <f t="shared" si="632"/>
        <v>00759430267</v>
      </c>
      <c r="I6118" t="str">
        <f t="shared" si="633"/>
        <v>01630000287</v>
      </c>
      <c r="K6118" t="str">
        <f>""</f>
        <v/>
      </c>
      <c r="M6118" t="s">
        <v>68</v>
      </c>
      <c r="N6118" t="str">
        <f t="shared" si="634"/>
        <v>FOR</v>
      </c>
      <c r="O6118" t="s">
        <v>69</v>
      </c>
      <c r="P6118" s="3" t="s">
        <v>75</v>
      </c>
      <c r="Q6118">
        <v>2015</v>
      </c>
      <c r="R6118" s="2">
        <v>42181</v>
      </c>
      <c r="S6118" s="2">
        <v>42186</v>
      </c>
      <c r="T6118" s="2">
        <v>42181</v>
      </c>
      <c r="U6118" s="2">
        <v>42241</v>
      </c>
      <c r="V6118" t="s">
        <v>71</v>
      </c>
      <c r="W6118" t="str">
        <f>"           1542157/E"</f>
        <v xml:space="preserve">           1542157/E</v>
      </c>
      <c r="X6118">
        <v>717.36</v>
      </c>
      <c r="Y6118">
        <v>0</v>
      </c>
      <c r="Z6118"/>
      <c r="AB6118"/>
      <c r="AC6118">
        <v>588</v>
      </c>
      <c r="AD6118">
        <v>251</v>
      </c>
      <c r="AE6118" s="1">
        <v>147588</v>
      </c>
      <c r="AF6118">
        <v>0</v>
      </c>
      <c r="AJ6118">
        <v>0</v>
      </c>
      <c r="AK6118">
        <v>0</v>
      </c>
      <c r="AL6118">
        <v>0</v>
      </c>
      <c r="AM6118">
        <v>0</v>
      </c>
      <c r="AN6118">
        <v>0</v>
      </c>
      <c r="AO6118">
        <v>0</v>
      </c>
      <c r="AP6118" s="2">
        <v>42746</v>
      </c>
      <c r="AQ6118" t="s">
        <v>72</v>
      </c>
      <c r="AR6118" t="s">
        <v>72</v>
      </c>
      <c r="AS6118">
        <v>1228</v>
      </c>
      <c r="AT6118" s="4">
        <v>42492</v>
      </c>
      <c r="AU6118" t="s">
        <v>73</v>
      </c>
      <c r="AV6118">
        <v>1228</v>
      </c>
      <c r="AW6118" s="4">
        <v>42492</v>
      </c>
      <c r="BD6118">
        <v>0</v>
      </c>
      <c r="BN6118" t="s">
        <v>74</v>
      </c>
    </row>
    <row r="6119" spans="1:66" hidden="1">
      <c r="A6119">
        <v>104029</v>
      </c>
      <c r="B6119" s="3" t="s">
        <v>598</v>
      </c>
      <c r="C6119" s="1">
        <v>43300101</v>
      </c>
      <c r="D6119" t="s">
        <v>67</v>
      </c>
      <c r="H6119" t="str">
        <f t="shared" si="632"/>
        <v>00759430267</v>
      </c>
      <c r="I6119" t="str">
        <f t="shared" si="633"/>
        <v>01630000287</v>
      </c>
      <c r="K6119" t="str">
        <f>""</f>
        <v/>
      </c>
      <c r="M6119" t="s">
        <v>68</v>
      </c>
      <c r="N6119" t="str">
        <f t="shared" si="634"/>
        <v>FOR</v>
      </c>
      <c r="O6119" t="s">
        <v>69</v>
      </c>
      <c r="P6119" s="3" t="s">
        <v>75</v>
      </c>
      <c r="Q6119">
        <v>2015</v>
      </c>
      <c r="R6119" s="2">
        <v>42216</v>
      </c>
      <c r="S6119" s="2">
        <v>42217</v>
      </c>
      <c r="T6119" s="2">
        <v>42216</v>
      </c>
      <c r="U6119" s="2">
        <v>42276</v>
      </c>
      <c r="V6119" t="s">
        <v>71</v>
      </c>
      <c r="W6119" t="str">
        <f>"           1542838/E"</f>
        <v xml:space="preserve">           1542838/E</v>
      </c>
      <c r="X6119">
        <v>798.36</v>
      </c>
      <c r="Y6119">
        <v>0</v>
      </c>
      <c r="Z6119"/>
      <c r="AB6119"/>
      <c r="AC6119">
        <v>654.39</v>
      </c>
      <c r="AD6119">
        <v>293</v>
      </c>
      <c r="AE6119" s="1">
        <v>191736.27</v>
      </c>
      <c r="AF6119">
        <v>0</v>
      </c>
      <c r="AJ6119">
        <v>0</v>
      </c>
      <c r="AK6119">
        <v>0</v>
      </c>
      <c r="AL6119">
        <v>0</v>
      </c>
      <c r="AM6119">
        <v>0</v>
      </c>
      <c r="AN6119">
        <v>0</v>
      </c>
      <c r="AO6119">
        <v>0</v>
      </c>
      <c r="AP6119" s="2">
        <v>42746</v>
      </c>
      <c r="AQ6119" t="s">
        <v>72</v>
      </c>
      <c r="AR6119" t="s">
        <v>72</v>
      </c>
      <c r="AS6119">
        <v>1872</v>
      </c>
      <c r="AT6119" s="4">
        <v>42569</v>
      </c>
      <c r="AU6119" t="s">
        <v>73</v>
      </c>
      <c r="AV6119">
        <v>1872</v>
      </c>
      <c r="AW6119" s="4">
        <v>42569</v>
      </c>
      <c r="BD6119">
        <v>0</v>
      </c>
      <c r="BN6119" t="s">
        <v>74</v>
      </c>
    </row>
    <row r="6120" spans="1:66" hidden="1">
      <c r="A6120">
        <v>104029</v>
      </c>
      <c r="B6120" s="3" t="s">
        <v>598</v>
      </c>
      <c r="C6120" s="1">
        <v>43300101</v>
      </c>
      <c r="D6120" t="s">
        <v>67</v>
      </c>
      <c r="H6120" t="str">
        <f t="shared" si="632"/>
        <v>00759430267</v>
      </c>
      <c r="I6120" t="str">
        <f t="shared" si="633"/>
        <v>01630000287</v>
      </c>
      <c r="K6120" t="str">
        <f>""</f>
        <v/>
      </c>
      <c r="M6120" t="s">
        <v>68</v>
      </c>
      <c r="N6120" t="str">
        <f t="shared" si="634"/>
        <v>FOR</v>
      </c>
      <c r="O6120" t="s">
        <v>69</v>
      </c>
      <c r="P6120" s="3" t="s">
        <v>75</v>
      </c>
      <c r="Q6120">
        <v>2015</v>
      </c>
      <c r="R6120" s="2">
        <v>42236</v>
      </c>
      <c r="S6120" s="2">
        <v>42237</v>
      </c>
      <c r="T6120" s="2">
        <v>42236</v>
      </c>
      <c r="U6120" s="2">
        <v>42296</v>
      </c>
      <c r="V6120" t="s">
        <v>71</v>
      </c>
      <c r="W6120" t="str">
        <f>"           1543296/E"</f>
        <v xml:space="preserve">           1543296/E</v>
      </c>
      <c r="X6120" s="1">
        <v>3679.03</v>
      </c>
      <c r="Y6120">
        <v>0</v>
      </c>
      <c r="Z6120"/>
      <c r="AB6120"/>
      <c r="AC6120" s="1">
        <v>3015.6</v>
      </c>
      <c r="AD6120">
        <v>273</v>
      </c>
      <c r="AE6120" s="1">
        <v>823258.8</v>
      </c>
      <c r="AF6120">
        <v>0</v>
      </c>
      <c r="AJ6120">
        <v>0</v>
      </c>
      <c r="AK6120">
        <v>0</v>
      </c>
      <c r="AL6120">
        <v>0</v>
      </c>
      <c r="AM6120">
        <v>0</v>
      </c>
      <c r="AN6120">
        <v>0</v>
      </c>
      <c r="AO6120">
        <v>0</v>
      </c>
      <c r="AP6120" s="2">
        <v>42746</v>
      </c>
      <c r="AQ6120" t="s">
        <v>72</v>
      </c>
      <c r="AR6120" t="s">
        <v>72</v>
      </c>
      <c r="AS6120">
        <v>1872</v>
      </c>
      <c r="AT6120" s="4">
        <v>42569</v>
      </c>
      <c r="AU6120" t="s">
        <v>73</v>
      </c>
      <c r="AV6120">
        <v>1872</v>
      </c>
      <c r="AW6120" s="4">
        <v>42569</v>
      </c>
      <c r="BD6120">
        <v>0</v>
      </c>
      <c r="BN6120" t="s">
        <v>74</v>
      </c>
    </row>
    <row r="6121" spans="1:66" hidden="1">
      <c r="A6121">
        <v>104029</v>
      </c>
      <c r="B6121" s="3" t="s">
        <v>598</v>
      </c>
      <c r="C6121" s="1">
        <v>43300101</v>
      </c>
      <c r="D6121" t="s">
        <v>67</v>
      </c>
      <c r="H6121" t="str">
        <f t="shared" si="632"/>
        <v>00759430267</v>
      </c>
      <c r="I6121" t="str">
        <f t="shared" si="633"/>
        <v>01630000287</v>
      </c>
      <c r="K6121" t="str">
        <f>""</f>
        <v/>
      </c>
      <c r="M6121" t="s">
        <v>68</v>
      </c>
      <c r="N6121" t="str">
        <f t="shared" si="634"/>
        <v>FOR</v>
      </c>
      <c r="O6121" t="s">
        <v>69</v>
      </c>
      <c r="P6121" s="3" t="s">
        <v>75</v>
      </c>
      <c r="Q6121">
        <v>2015</v>
      </c>
      <c r="R6121" s="2">
        <v>42265</v>
      </c>
      <c r="S6121" s="2">
        <v>42268</v>
      </c>
      <c r="T6121" s="2">
        <v>42266</v>
      </c>
      <c r="U6121" s="2">
        <v>42326</v>
      </c>
      <c r="V6121" t="s">
        <v>71</v>
      </c>
      <c r="W6121" t="str">
        <f>"           1543695/E"</f>
        <v xml:space="preserve">           1543695/E</v>
      </c>
      <c r="X6121" s="1">
        <v>4636</v>
      </c>
      <c r="Y6121">
        <v>0</v>
      </c>
      <c r="Z6121"/>
      <c r="AB6121"/>
      <c r="AC6121" s="1">
        <v>3800</v>
      </c>
      <c r="AD6121">
        <v>294</v>
      </c>
      <c r="AE6121" s="1">
        <v>1117200</v>
      </c>
      <c r="AF6121">
        <v>0</v>
      </c>
      <c r="AJ6121">
        <v>0</v>
      </c>
      <c r="AK6121">
        <v>0</v>
      </c>
      <c r="AL6121">
        <v>0</v>
      </c>
      <c r="AM6121">
        <v>0</v>
      </c>
      <c r="AN6121">
        <v>0</v>
      </c>
      <c r="AO6121">
        <v>0</v>
      </c>
      <c r="AP6121" s="2">
        <v>42746</v>
      </c>
      <c r="AQ6121" t="s">
        <v>72</v>
      </c>
      <c r="AR6121" t="s">
        <v>72</v>
      </c>
      <c r="AS6121">
        <v>2320</v>
      </c>
      <c r="AT6121" s="4">
        <v>42620</v>
      </c>
      <c r="AU6121" t="s">
        <v>73</v>
      </c>
      <c r="AV6121">
        <v>2320</v>
      </c>
      <c r="AW6121" s="4">
        <v>42620</v>
      </c>
      <c r="BD6121">
        <v>0</v>
      </c>
      <c r="BN6121" t="s">
        <v>74</v>
      </c>
    </row>
    <row r="6122" spans="1:66" hidden="1">
      <c r="A6122">
        <v>104029</v>
      </c>
      <c r="B6122" s="3" t="s">
        <v>598</v>
      </c>
      <c r="C6122" s="1">
        <v>43300101</v>
      </c>
      <c r="D6122" t="s">
        <v>67</v>
      </c>
      <c r="H6122" t="str">
        <f t="shared" si="632"/>
        <v>00759430267</v>
      </c>
      <c r="I6122" t="str">
        <f t="shared" si="633"/>
        <v>01630000287</v>
      </c>
      <c r="K6122" t="str">
        <f>""</f>
        <v/>
      </c>
      <c r="M6122" t="s">
        <v>68</v>
      </c>
      <c r="N6122" t="str">
        <f t="shared" si="634"/>
        <v>FOR</v>
      </c>
      <c r="O6122" t="s">
        <v>69</v>
      </c>
      <c r="P6122" s="3" t="s">
        <v>75</v>
      </c>
      <c r="Q6122">
        <v>2015</v>
      </c>
      <c r="R6122" s="2">
        <v>42272</v>
      </c>
      <c r="S6122" s="2">
        <v>42275</v>
      </c>
      <c r="T6122" s="2">
        <v>42272</v>
      </c>
      <c r="U6122" s="2">
        <v>42332</v>
      </c>
      <c r="V6122" t="s">
        <v>71</v>
      </c>
      <c r="W6122" t="str">
        <f>"           1543925/E"</f>
        <v xml:space="preserve">           1543925/E</v>
      </c>
      <c r="X6122">
        <v>561.20000000000005</v>
      </c>
      <c r="Y6122">
        <v>0</v>
      </c>
      <c r="Z6122"/>
      <c r="AB6122"/>
      <c r="AC6122">
        <v>460</v>
      </c>
      <c r="AD6122">
        <v>288</v>
      </c>
      <c r="AE6122" s="1">
        <v>132480</v>
      </c>
      <c r="AF6122">
        <v>0</v>
      </c>
      <c r="AJ6122">
        <v>0</v>
      </c>
      <c r="AK6122">
        <v>0</v>
      </c>
      <c r="AL6122">
        <v>0</v>
      </c>
      <c r="AM6122">
        <v>0</v>
      </c>
      <c r="AN6122">
        <v>0</v>
      </c>
      <c r="AO6122">
        <v>0</v>
      </c>
      <c r="AP6122" s="2">
        <v>42746</v>
      </c>
      <c r="AQ6122" t="s">
        <v>72</v>
      </c>
      <c r="AR6122" t="s">
        <v>72</v>
      </c>
      <c r="AS6122">
        <v>2320</v>
      </c>
      <c r="AT6122" s="4">
        <v>42620</v>
      </c>
      <c r="AU6122" t="s">
        <v>73</v>
      </c>
      <c r="AV6122">
        <v>2320</v>
      </c>
      <c r="AW6122" s="4">
        <v>42620</v>
      </c>
      <c r="BD6122">
        <v>0</v>
      </c>
      <c r="BN6122" t="s">
        <v>74</v>
      </c>
    </row>
    <row r="6123" spans="1:66" hidden="1">
      <c r="A6123">
        <v>104029</v>
      </c>
      <c r="B6123" s="3" t="s">
        <v>598</v>
      </c>
      <c r="C6123" s="1">
        <v>43300101</v>
      </c>
      <c r="D6123" t="s">
        <v>67</v>
      </c>
      <c r="H6123" t="str">
        <f t="shared" si="632"/>
        <v>00759430267</v>
      </c>
      <c r="I6123" t="str">
        <f t="shared" si="633"/>
        <v>01630000287</v>
      </c>
      <c r="K6123" t="str">
        <f>""</f>
        <v/>
      </c>
      <c r="M6123" t="s">
        <v>68</v>
      </c>
      <c r="N6123" t="str">
        <f t="shared" si="634"/>
        <v>FOR</v>
      </c>
      <c r="O6123" t="s">
        <v>69</v>
      </c>
      <c r="P6123" s="3" t="s">
        <v>75</v>
      </c>
      <c r="Q6123">
        <v>2015</v>
      </c>
      <c r="R6123" s="2">
        <v>42277</v>
      </c>
      <c r="S6123" s="2">
        <v>42282</v>
      </c>
      <c r="T6123" s="2">
        <v>42277</v>
      </c>
      <c r="U6123" s="2">
        <v>42337</v>
      </c>
      <c r="V6123" t="s">
        <v>71</v>
      </c>
      <c r="W6123" t="str">
        <f>"           1544073/E"</f>
        <v xml:space="preserve">           1544073/E</v>
      </c>
      <c r="X6123" s="1">
        <v>5050.8</v>
      </c>
      <c r="Y6123">
        <v>0</v>
      </c>
      <c r="Z6123"/>
      <c r="AB6123"/>
      <c r="AC6123" s="1">
        <v>4140</v>
      </c>
      <c r="AD6123">
        <v>283</v>
      </c>
      <c r="AE6123" s="1">
        <v>1171620</v>
      </c>
      <c r="AF6123">
        <v>0</v>
      </c>
      <c r="AJ6123">
        <v>0</v>
      </c>
      <c r="AK6123">
        <v>0</v>
      </c>
      <c r="AL6123">
        <v>0</v>
      </c>
      <c r="AM6123">
        <v>0</v>
      </c>
      <c r="AN6123">
        <v>0</v>
      </c>
      <c r="AO6123">
        <v>0</v>
      </c>
      <c r="AP6123" s="2">
        <v>42746</v>
      </c>
      <c r="AQ6123" t="s">
        <v>72</v>
      </c>
      <c r="AR6123" t="s">
        <v>72</v>
      </c>
      <c r="AS6123">
        <v>2320</v>
      </c>
      <c r="AT6123" s="4">
        <v>42620</v>
      </c>
      <c r="AU6123" t="s">
        <v>73</v>
      </c>
      <c r="AV6123">
        <v>2320</v>
      </c>
      <c r="AW6123" s="4">
        <v>42620</v>
      </c>
      <c r="BD6123">
        <v>0</v>
      </c>
      <c r="BN6123" t="s">
        <v>74</v>
      </c>
    </row>
    <row r="6124" spans="1:66">
      <c r="A6124">
        <v>104029</v>
      </c>
      <c r="B6124" s="3" t="s">
        <v>598</v>
      </c>
      <c r="C6124" s="1">
        <v>43300101</v>
      </c>
      <c r="D6124" t="s">
        <v>67</v>
      </c>
      <c r="H6124" t="str">
        <f t="shared" si="632"/>
        <v>00759430267</v>
      </c>
      <c r="I6124" t="str">
        <f t="shared" si="633"/>
        <v>01630000287</v>
      </c>
      <c r="K6124" t="str">
        <f>""</f>
        <v/>
      </c>
      <c r="M6124" t="s">
        <v>68</v>
      </c>
      <c r="N6124" t="str">
        <f t="shared" si="634"/>
        <v>FOR</v>
      </c>
      <c r="O6124" t="s">
        <v>69</v>
      </c>
      <c r="P6124" s="3" t="s">
        <v>75</v>
      </c>
      <c r="Q6124">
        <v>2015</v>
      </c>
      <c r="R6124" s="2">
        <v>42307</v>
      </c>
      <c r="S6124" s="2">
        <v>42310</v>
      </c>
      <c r="T6124" s="2">
        <v>42307</v>
      </c>
      <c r="U6124" s="2">
        <v>42367</v>
      </c>
      <c r="V6124" t="s">
        <v>71</v>
      </c>
      <c r="W6124" t="str">
        <f>"           1544949/E"</f>
        <v xml:space="preserve">           1544949/E</v>
      </c>
      <c r="X6124" s="1">
        <v>1159</v>
      </c>
      <c r="Y6124">
        <v>0</v>
      </c>
      <c r="Z6124" s="3">
        <v>950</v>
      </c>
      <c r="AA6124">
        <v>280</v>
      </c>
      <c r="AB6124" s="5">
        <v>266000</v>
      </c>
      <c r="AC6124">
        <v>950</v>
      </c>
      <c r="AD6124">
        <v>280</v>
      </c>
      <c r="AE6124" s="1">
        <v>266000</v>
      </c>
      <c r="AF6124">
        <v>0</v>
      </c>
      <c r="AJ6124">
        <v>0</v>
      </c>
      <c r="AK6124">
        <v>0</v>
      </c>
      <c r="AL6124">
        <v>0</v>
      </c>
      <c r="AM6124">
        <v>0</v>
      </c>
      <c r="AN6124">
        <v>0</v>
      </c>
      <c r="AO6124">
        <v>0</v>
      </c>
      <c r="AP6124" s="2">
        <v>42746</v>
      </c>
      <c r="AQ6124" t="s">
        <v>72</v>
      </c>
      <c r="AR6124" t="s">
        <v>72</v>
      </c>
      <c r="AS6124">
        <v>2614</v>
      </c>
      <c r="AT6124" s="4">
        <v>42647</v>
      </c>
      <c r="AU6124" t="s">
        <v>73</v>
      </c>
      <c r="AV6124">
        <v>2614</v>
      </c>
      <c r="AW6124" s="4">
        <v>42647</v>
      </c>
      <c r="BD6124">
        <v>0</v>
      </c>
      <c r="BN6124" t="s">
        <v>74</v>
      </c>
    </row>
    <row r="6125" spans="1:66">
      <c r="A6125">
        <v>104029</v>
      </c>
      <c r="B6125" s="3" t="s">
        <v>598</v>
      </c>
      <c r="C6125" s="1">
        <v>43300101</v>
      </c>
      <c r="D6125" t="s">
        <v>67</v>
      </c>
      <c r="H6125" t="str">
        <f t="shared" si="632"/>
        <v>00759430267</v>
      </c>
      <c r="I6125" t="str">
        <f t="shared" si="633"/>
        <v>01630000287</v>
      </c>
      <c r="K6125" t="str">
        <f>""</f>
        <v/>
      </c>
      <c r="M6125" t="s">
        <v>68</v>
      </c>
      <c r="N6125" t="str">
        <f t="shared" si="634"/>
        <v>FOR</v>
      </c>
      <c r="O6125" t="s">
        <v>69</v>
      </c>
      <c r="P6125" s="3" t="s">
        <v>75</v>
      </c>
      <c r="Q6125">
        <v>2015</v>
      </c>
      <c r="R6125" s="2">
        <v>42321</v>
      </c>
      <c r="S6125" s="2">
        <v>42324</v>
      </c>
      <c r="T6125" s="2">
        <v>42321</v>
      </c>
      <c r="U6125" s="2">
        <v>42381</v>
      </c>
      <c r="V6125" t="s">
        <v>71</v>
      </c>
      <c r="W6125" t="str">
        <f>"           1545307/E"</f>
        <v xml:space="preserve">           1545307/E</v>
      </c>
      <c r="X6125">
        <v>292.8</v>
      </c>
      <c r="Y6125">
        <v>0</v>
      </c>
      <c r="Z6125" s="3">
        <v>240</v>
      </c>
      <c r="AA6125">
        <v>266</v>
      </c>
      <c r="AB6125" s="5">
        <v>63840</v>
      </c>
      <c r="AC6125">
        <v>240</v>
      </c>
      <c r="AD6125">
        <v>266</v>
      </c>
      <c r="AE6125" s="1">
        <v>63840</v>
      </c>
      <c r="AF6125">
        <v>0</v>
      </c>
      <c r="AJ6125">
        <v>0</v>
      </c>
      <c r="AK6125">
        <v>0</v>
      </c>
      <c r="AL6125">
        <v>0</v>
      </c>
      <c r="AM6125">
        <v>0</v>
      </c>
      <c r="AN6125">
        <v>0</v>
      </c>
      <c r="AO6125">
        <v>0</v>
      </c>
      <c r="AP6125" s="2">
        <v>42746</v>
      </c>
      <c r="AQ6125" t="s">
        <v>72</v>
      </c>
      <c r="AR6125" t="s">
        <v>72</v>
      </c>
      <c r="AS6125">
        <v>2614</v>
      </c>
      <c r="AT6125" s="4">
        <v>42647</v>
      </c>
      <c r="AU6125" t="s">
        <v>73</v>
      </c>
      <c r="AV6125">
        <v>2614</v>
      </c>
      <c r="AW6125" s="4">
        <v>42647</v>
      </c>
      <c r="BD6125">
        <v>0</v>
      </c>
      <c r="BN6125" t="s">
        <v>74</v>
      </c>
    </row>
    <row r="6126" spans="1:66">
      <c r="A6126">
        <v>104029</v>
      </c>
      <c r="B6126" s="3" t="s">
        <v>598</v>
      </c>
      <c r="C6126" s="1">
        <v>43300101</v>
      </c>
      <c r="D6126" t="s">
        <v>67</v>
      </c>
      <c r="H6126" t="str">
        <f t="shared" si="632"/>
        <v>00759430267</v>
      </c>
      <c r="I6126" t="str">
        <f t="shared" si="633"/>
        <v>01630000287</v>
      </c>
      <c r="K6126" t="str">
        <f>""</f>
        <v/>
      </c>
      <c r="M6126" t="s">
        <v>68</v>
      </c>
      <c r="N6126" t="str">
        <f t="shared" si="634"/>
        <v>FOR</v>
      </c>
      <c r="O6126" t="s">
        <v>69</v>
      </c>
      <c r="P6126" s="3" t="s">
        <v>75</v>
      </c>
      <c r="Q6126">
        <v>2015</v>
      </c>
      <c r="R6126" s="2">
        <v>42328</v>
      </c>
      <c r="S6126" s="2">
        <v>42331</v>
      </c>
      <c r="T6126" s="2">
        <v>42328</v>
      </c>
      <c r="U6126" s="2">
        <v>42388</v>
      </c>
      <c r="V6126" t="s">
        <v>71</v>
      </c>
      <c r="W6126" t="str">
        <f>"           1545479/E"</f>
        <v xml:space="preserve">           1545479/E</v>
      </c>
      <c r="X6126" s="1">
        <v>7198</v>
      </c>
      <c r="Y6126">
        <v>0</v>
      </c>
      <c r="Z6126" s="5">
        <v>5900</v>
      </c>
      <c r="AA6126">
        <v>259</v>
      </c>
      <c r="AB6126" s="5">
        <v>1528100</v>
      </c>
      <c r="AC6126" s="1">
        <v>5900</v>
      </c>
      <c r="AD6126">
        <v>259</v>
      </c>
      <c r="AE6126" s="1">
        <v>1528100</v>
      </c>
      <c r="AF6126">
        <v>0</v>
      </c>
      <c r="AJ6126">
        <v>0</v>
      </c>
      <c r="AK6126">
        <v>0</v>
      </c>
      <c r="AL6126">
        <v>0</v>
      </c>
      <c r="AM6126">
        <v>0</v>
      </c>
      <c r="AN6126">
        <v>0</v>
      </c>
      <c r="AO6126">
        <v>0</v>
      </c>
      <c r="AP6126" s="2">
        <v>42746</v>
      </c>
      <c r="AQ6126" t="s">
        <v>72</v>
      </c>
      <c r="AR6126" t="s">
        <v>72</v>
      </c>
      <c r="AS6126">
        <v>2614</v>
      </c>
      <c r="AT6126" s="4">
        <v>42647</v>
      </c>
      <c r="AU6126" t="s">
        <v>73</v>
      </c>
      <c r="AV6126">
        <v>2614</v>
      </c>
      <c r="AW6126" s="4">
        <v>42647</v>
      </c>
      <c r="BD6126">
        <v>0</v>
      </c>
      <c r="BN6126" t="s">
        <v>74</v>
      </c>
    </row>
    <row r="6127" spans="1:66">
      <c r="A6127">
        <v>104029</v>
      </c>
      <c r="B6127" s="3" t="s">
        <v>598</v>
      </c>
      <c r="C6127" s="1">
        <v>43300101</v>
      </c>
      <c r="D6127" t="s">
        <v>67</v>
      </c>
      <c r="H6127" t="str">
        <f t="shared" si="632"/>
        <v>00759430267</v>
      </c>
      <c r="I6127" t="str">
        <f t="shared" si="633"/>
        <v>01630000287</v>
      </c>
      <c r="K6127" t="str">
        <f>""</f>
        <v/>
      </c>
      <c r="M6127" t="s">
        <v>68</v>
      </c>
      <c r="N6127" t="str">
        <f t="shared" si="634"/>
        <v>FOR</v>
      </c>
      <c r="O6127" t="s">
        <v>69</v>
      </c>
      <c r="P6127" s="3" t="s">
        <v>75</v>
      </c>
      <c r="Q6127">
        <v>2015</v>
      </c>
      <c r="R6127" s="2">
        <v>42349</v>
      </c>
      <c r="S6127" s="2">
        <v>42353</v>
      </c>
      <c r="T6127" s="2">
        <v>42349</v>
      </c>
      <c r="U6127" s="2">
        <v>42409</v>
      </c>
      <c r="V6127" t="s">
        <v>71</v>
      </c>
      <c r="W6127" t="str">
        <f>"           1545983/E"</f>
        <v xml:space="preserve">           1545983/E</v>
      </c>
      <c r="X6127" s="1">
        <v>1330.59</v>
      </c>
      <c r="Y6127">
        <v>0</v>
      </c>
      <c r="Z6127" s="5">
        <v>1090.6500000000001</v>
      </c>
      <c r="AA6127">
        <v>281</v>
      </c>
      <c r="AB6127" s="5">
        <v>306472.65000000002</v>
      </c>
      <c r="AC6127" s="1">
        <v>1090.6500000000001</v>
      </c>
      <c r="AD6127">
        <v>281</v>
      </c>
      <c r="AE6127" s="1">
        <v>306472.65000000002</v>
      </c>
      <c r="AF6127">
        <v>0</v>
      </c>
      <c r="AJ6127">
        <v>0</v>
      </c>
      <c r="AK6127">
        <v>0</v>
      </c>
      <c r="AL6127">
        <v>0</v>
      </c>
      <c r="AM6127">
        <v>0</v>
      </c>
      <c r="AN6127">
        <v>0</v>
      </c>
      <c r="AO6127">
        <v>0</v>
      </c>
      <c r="AP6127" s="2">
        <v>42746</v>
      </c>
      <c r="AQ6127" t="s">
        <v>72</v>
      </c>
      <c r="AR6127" t="s">
        <v>72</v>
      </c>
      <c r="AS6127">
        <v>3130</v>
      </c>
      <c r="AT6127" s="4">
        <v>42690</v>
      </c>
      <c r="AU6127" t="s">
        <v>73</v>
      </c>
      <c r="AV6127">
        <v>3130</v>
      </c>
      <c r="AW6127" s="4">
        <v>42690</v>
      </c>
      <c r="BD6127">
        <v>0</v>
      </c>
      <c r="BN6127" t="s">
        <v>74</v>
      </c>
    </row>
    <row r="6128" spans="1:66">
      <c r="A6128">
        <v>104029</v>
      </c>
      <c r="B6128" s="3" t="s">
        <v>598</v>
      </c>
      <c r="C6128" s="1">
        <v>43300101</v>
      </c>
      <c r="D6128" t="s">
        <v>67</v>
      </c>
      <c r="H6128" t="str">
        <f t="shared" si="632"/>
        <v>00759430267</v>
      </c>
      <c r="I6128" t="str">
        <f t="shared" si="633"/>
        <v>01630000287</v>
      </c>
      <c r="K6128" t="str">
        <f>""</f>
        <v/>
      </c>
      <c r="M6128" t="s">
        <v>68</v>
      </c>
      <c r="N6128" t="str">
        <f t="shared" si="634"/>
        <v>FOR</v>
      </c>
      <c r="O6128" t="s">
        <v>69</v>
      </c>
      <c r="P6128" s="3" t="s">
        <v>75</v>
      </c>
      <c r="Q6128">
        <v>2016</v>
      </c>
      <c r="R6128" s="2">
        <v>42398</v>
      </c>
      <c r="S6128" s="2">
        <v>42401</v>
      </c>
      <c r="T6128" s="2">
        <v>42398</v>
      </c>
      <c r="U6128" s="2">
        <v>42458</v>
      </c>
      <c r="V6128" t="s">
        <v>71</v>
      </c>
      <c r="W6128" t="str">
        <f>"           1640546/E"</f>
        <v xml:space="preserve">           1640546/E</v>
      </c>
      <c r="X6128">
        <v>732</v>
      </c>
      <c r="Y6128">
        <v>0</v>
      </c>
      <c r="Z6128" s="3">
        <v>600</v>
      </c>
      <c r="AA6128">
        <v>232</v>
      </c>
      <c r="AB6128" s="5">
        <v>139200</v>
      </c>
      <c r="AC6128">
        <v>600</v>
      </c>
      <c r="AD6128">
        <v>232</v>
      </c>
      <c r="AE6128" s="1">
        <v>139200</v>
      </c>
      <c r="AF6128">
        <v>0</v>
      </c>
      <c r="AJ6128">
        <v>0</v>
      </c>
      <c r="AK6128">
        <v>0</v>
      </c>
      <c r="AL6128">
        <v>0</v>
      </c>
      <c r="AM6128">
        <v>732</v>
      </c>
      <c r="AN6128">
        <v>732</v>
      </c>
      <c r="AO6128">
        <v>732</v>
      </c>
      <c r="AP6128" s="2">
        <v>42746</v>
      </c>
      <c r="AQ6128" t="s">
        <v>72</v>
      </c>
      <c r="AR6128" t="s">
        <v>72</v>
      </c>
      <c r="AS6128">
        <v>3130</v>
      </c>
      <c r="AT6128" s="4">
        <v>42690</v>
      </c>
      <c r="AU6128" t="s">
        <v>73</v>
      </c>
      <c r="AV6128">
        <v>3130</v>
      </c>
      <c r="AW6128" s="4">
        <v>42690</v>
      </c>
      <c r="BD6128">
        <v>0</v>
      </c>
      <c r="BN6128" t="s">
        <v>74</v>
      </c>
    </row>
    <row r="6129" spans="1:66">
      <c r="A6129">
        <v>104029</v>
      </c>
      <c r="B6129" s="3" t="s">
        <v>598</v>
      </c>
      <c r="C6129" s="1">
        <v>43300101</v>
      </c>
      <c r="D6129" t="s">
        <v>67</v>
      </c>
      <c r="H6129" t="str">
        <f t="shared" si="632"/>
        <v>00759430267</v>
      </c>
      <c r="I6129" t="str">
        <f t="shared" si="633"/>
        <v>01630000287</v>
      </c>
      <c r="K6129" t="str">
        <f>""</f>
        <v/>
      </c>
      <c r="M6129" t="s">
        <v>68</v>
      </c>
      <c r="N6129" t="str">
        <f t="shared" si="634"/>
        <v>FOR</v>
      </c>
      <c r="O6129" t="s">
        <v>69</v>
      </c>
      <c r="P6129" s="3" t="s">
        <v>75</v>
      </c>
      <c r="Q6129">
        <v>2016</v>
      </c>
      <c r="R6129" s="2">
        <v>42405</v>
      </c>
      <c r="S6129" s="2">
        <v>42410</v>
      </c>
      <c r="T6129" s="2">
        <v>42405</v>
      </c>
      <c r="U6129" s="2">
        <v>42465</v>
      </c>
      <c r="V6129" t="s">
        <v>71</v>
      </c>
      <c r="W6129" t="str">
        <f>"           1640748/E"</f>
        <v xml:space="preserve">           1640748/E</v>
      </c>
      <c r="X6129">
        <v>358.68</v>
      </c>
      <c r="Y6129">
        <v>0</v>
      </c>
      <c r="Z6129" s="3">
        <v>294</v>
      </c>
      <c r="AA6129">
        <v>225</v>
      </c>
      <c r="AB6129" s="5">
        <v>66150</v>
      </c>
      <c r="AC6129">
        <v>294</v>
      </c>
      <c r="AD6129">
        <v>225</v>
      </c>
      <c r="AE6129" s="1">
        <v>66150</v>
      </c>
      <c r="AF6129">
        <v>0</v>
      </c>
      <c r="AJ6129">
        <v>0</v>
      </c>
      <c r="AK6129">
        <v>0</v>
      </c>
      <c r="AL6129">
        <v>0</v>
      </c>
      <c r="AM6129">
        <v>358.68</v>
      </c>
      <c r="AN6129">
        <v>358.68</v>
      </c>
      <c r="AO6129">
        <v>358.68</v>
      </c>
      <c r="AP6129" s="2">
        <v>42746</v>
      </c>
      <c r="AQ6129" t="s">
        <v>72</v>
      </c>
      <c r="AR6129" t="s">
        <v>72</v>
      </c>
      <c r="AS6129">
        <v>3130</v>
      </c>
      <c r="AT6129" s="4">
        <v>42690</v>
      </c>
      <c r="AU6129" t="s">
        <v>73</v>
      </c>
      <c r="AV6129">
        <v>3130</v>
      </c>
      <c r="AW6129" s="4">
        <v>42690</v>
      </c>
      <c r="BD6129">
        <v>0</v>
      </c>
      <c r="BN6129" t="s">
        <v>74</v>
      </c>
    </row>
    <row r="6130" spans="1:66">
      <c r="A6130">
        <v>104029</v>
      </c>
      <c r="B6130" s="3" t="s">
        <v>598</v>
      </c>
      <c r="C6130" s="1">
        <v>43300101</v>
      </c>
      <c r="D6130" t="s">
        <v>67</v>
      </c>
      <c r="H6130" t="str">
        <f t="shared" si="632"/>
        <v>00759430267</v>
      </c>
      <c r="I6130" t="str">
        <f t="shared" si="633"/>
        <v>01630000287</v>
      </c>
      <c r="K6130" t="str">
        <f>""</f>
        <v/>
      </c>
      <c r="M6130" t="s">
        <v>68</v>
      </c>
      <c r="N6130" t="str">
        <f t="shared" si="634"/>
        <v>FOR</v>
      </c>
      <c r="O6130" t="s">
        <v>69</v>
      </c>
      <c r="P6130" s="3" t="s">
        <v>75</v>
      </c>
      <c r="Q6130">
        <v>2016</v>
      </c>
      <c r="R6130" s="2">
        <v>42405</v>
      </c>
      <c r="S6130" s="2">
        <v>42410</v>
      </c>
      <c r="T6130" s="2">
        <v>42405</v>
      </c>
      <c r="U6130" s="2">
        <v>42465</v>
      </c>
      <c r="V6130" t="s">
        <v>71</v>
      </c>
      <c r="W6130" t="str">
        <f>"           1640749/E"</f>
        <v xml:space="preserve">           1640749/E</v>
      </c>
      <c r="X6130" s="1">
        <v>6810.53</v>
      </c>
      <c r="Y6130">
        <v>0</v>
      </c>
      <c r="Z6130" s="5">
        <v>5582.4</v>
      </c>
      <c r="AA6130">
        <v>255</v>
      </c>
      <c r="AB6130" s="5">
        <v>1423512</v>
      </c>
      <c r="AC6130" s="1">
        <v>5582.4</v>
      </c>
      <c r="AD6130">
        <v>255</v>
      </c>
      <c r="AE6130" s="1">
        <v>1423512</v>
      </c>
      <c r="AF6130" s="1">
        <v>1228.1300000000001</v>
      </c>
      <c r="AJ6130">
        <v>0</v>
      </c>
      <c r="AK6130">
        <v>0</v>
      </c>
      <c r="AL6130">
        <v>0</v>
      </c>
      <c r="AM6130" s="1">
        <v>6810.53</v>
      </c>
      <c r="AN6130" s="1">
        <v>6810.53</v>
      </c>
      <c r="AO6130" s="1">
        <v>6810.53</v>
      </c>
      <c r="AP6130" s="2">
        <v>42746</v>
      </c>
      <c r="AQ6130" t="s">
        <v>72</v>
      </c>
      <c r="AR6130" t="s">
        <v>72</v>
      </c>
      <c r="AS6130">
        <v>3551</v>
      </c>
      <c r="AT6130" s="4">
        <v>42720</v>
      </c>
      <c r="AU6130" t="s">
        <v>73</v>
      </c>
      <c r="AV6130">
        <v>3551</v>
      </c>
      <c r="AW6130" s="4">
        <v>42720</v>
      </c>
      <c r="BD6130" s="1">
        <v>1228.1300000000001</v>
      </c>
      <c r="BN6130" t="s">
        <v>74</v>
      </c>
    </row>
    <row r="6131" spans="1:66">
      <c r="A6131">
        <v>104029</v>
      </c>
      <c r="B6131" s="3" t="s">
        <v>598</v>
      </c>
      <c r="C6131" s="1">
        <v>43300101</v>
      </c>
      <c r="D6131" t="s">
        <v>67</v>
      </c>
      <c r="H6131" t="str">
        <f t="shared" si="632"/>
        <v>00759430267</v>
      </c>
      <c r="I6131" t="str">
        <f t="shared" si="633"/>
        <v>01630000287</v>
      </c>
      <c r="K6131" t="str">
        <f>""</f>
        <v/>
      </c>
      <c r="M6131" t="s">
        <v>68</v>
      </c>
      <c r="N6131" t="str">
        <f t="shared" si="634"/>
        <v>FOR</v>
      </c>
      <c r="O6131" t="s">
        <v>69</v>
      </c>
      <c r="P6131" s="3" t="s">
        <v>75</v>
      </c>
      <c r="Q6131">
        <v>2016</v>
      </c>
      <c r="R6131" s="2">
        <v>42412</v>
      </c>
      <c r="S6131" s="2">
        <v>42417</v>
      </c>
      <c r="T6131" s="2">
        <v>42413</v>
      </c>
      <c r="U6131" s="2">
        <v>42473</v>
      </c>
      <c r="V6131" t="s">
        <v>71</v>
      </c>
      <c r="W6131" t="str">
        <f>"           1640929/E"</f>
        <v xml:space="preserve">           1640929/E</v>
      </c>
      <c r="X6131">
        <v>732</v>
      </c>
      <c r="Y6131">
        <v>0</v>
      </c>
      <c r="Z6131" s="3">
        <v>600</v>
      </c>
      <c r="AA6131">
        <v>217</v>
      </c>
      <c r="AB6131" s="5">
        <v>130200</v>
      </c>
      <c r="AC6131">
        <v>600</v>
      </c>
      <c r="AD6131">
        <v>217</v>
      </c>
      <c r="AE6131" s="1">
        <v>130200</v>
      </c>
      <c r="AF6131">
        <v>0</v>
      </c>
      <c r="AJ6131">
        <v>0</v>
      </c>
      <c r="AK6131">
        <v>0</v>
      </c>
      <c r="AL6131">
        <v>0</v>
      </c>
      <c r="AM6131">
        <v>732</v>
      </c>
      <c r="AN6131">
        <v>732</v>
      </c>
      <c r="AO6131">
        <v>732</v>
      </c>
      <c r="AP6131" s="2">
        <v>42746</v>
      </c>
      <c r="AQ6131" t="s">
        <v>72</v>
      </c>
      <c r="AR6131" t="s">
        <v>72</v>
      </c>
      <c r="AS6131">
        <v>3130</v>
      </c>
      <c r="AT6131" s="4">
        <v>42690</v>
      </c>
      <c r="AU6131" t="s">
        <v>73</v>
      </c>
      <c r="AV6131">
        <v>3130</v>
      </c>
      <c r="AW6131" s="4">
        <v>42690</v>
      </c>
      <c r="BD6131">
        <v>0</v>
      </c>
      <c r="BN6131" t="s">
        <v>74</v>
      </c>
    </row>
    <row r="6132" spans="1:66">
      <c r="A6132">
        <v>104029</v>
      </c>
      <c r="B6132" s="3" t="s">
        <v>598</v>
      </c>
      <c r="C6132" s="1">
        <v>43300101</v>
      </c>
      <c r="D6132" t="s">
        <v>67</v>
      </c>
      <c r="H6132" t="str">
        <f t="shared" si="632"/>
        <v>00759430267</v>
      </c>
      <c r="I6132" t="str">
        <f t="shared" si="633"/>
        <v>01630000287</v>
      </c>
      <c r="K6132" t="str">
        <f>""</f>
        <v/>
      </c>
      <c r="M6132" t="s">
        <v>68</v>
      </c>
      <c r="N6132" t="str">
        <f t="shared" si="634"/>
        <v>FOR</v>
      </c>
      <c r="O6132" t="s">
        <v>69</v>
      </c>
      <c r="P6132" s="3" t="s">
        <v>75</v>
      </c>
      <c r="Q6132">
        <v>2016</v>
      </c>
      <c r="R6132" s="2">
        <v>42412</v>
      </c>
      <c r="S6132" s="2">
        <v>42417</v>
      </c>
      <c r="T6132" s="2">
        <v>42413</v>
      </c>
      <c r="U6132" s="2">
        <v>42473</v>
      </c>
      <c r="V6132" t="s">
        <v>71</v>
      </c>
      <c r="W6132" t="str">
        <f>"           1640930/E"</f>
        <v xml:space="preserve">           1640930/E</v>
      </c>
      <c r="X6132">
        <v>732</v>
      </c>
      <c r="Y6132">
        <v>0</v>
      </c>
      <c r="Z6132" s="3">
        <v>600</v>
      </c>
      <c r="AA6132">
        <v>217</v>
      </c>
      <c r="AB6132" s="5">
        <v>130200</v>
      </c>
      <c r="AC6132">
        <v>600</v>
      </c>
      <c r="AD6132">
        <v>217</v>
      </c>
      <c r="AE6132" s="1">
        <v>130200</v>
      </c>
      <c r="AF6132">
        <v>0</v>
      </c>
      <c r="AJ6132">
        <v>0</v>
      </c>
      <c r="AK6132">
        <v>0</v>
      </c>
      <c r="AL6132">
        <v>0</v>
      </c>
      <c r="AM6132">
        <v>732</v>
      </c>
      <c r="AN6132">
        <v>732</v>
      </c>
      <c r="AO6132">
        <v>732</v>
      </c>
      <c r="AP6132" s="2">
        <v>42746</v>
      </c>
      <c r="AQ6132" t="s">
        <v>72</v>
      </c>
      <c r="AR6132" t="s">
        <v>72</v>
      </c>
      <c r="AS6132">
        <v>3130</v>
      </c>
      <c r="AT6132" s="4">
        <v>42690</v>
      </c>
      <c r="AU6132" t="s">
        <v>73</v>
      </c>
      <c r="AV6132">
        <v>3130</v>
      </c>
      <c r="AW6132" s="4">
        <v>42690</v>
      </c>
      <c r="BD6132">
        <v>0</v>
      </c>
      <c r="BN6132" t="s">
        <v>74</v>
      </c>
    </row>
    <row r="6133" spans="1:66">
      <c r="A6133">
        <v>104029</v>
      </c>
      <c r="B6133" s="3" t="s">
        <v>598</v>
      </c>
      <c r="C6133" s="1">
        <v>43300101</v>
      </c>
      <c r="D6133" t="s">
        <v>67</v>
      </c>
      <c r="H6133" t="str">
        <f t="shared" si="632"/>
        <v>00759430267</v>
      </c>
      <c r="I6133" t="str">
        <f t="shared" si="633"/>
        <v>01630000287</v>
      </c>
      <c r="K6133" t="str">
        <f>""</f>
        <v/>
      </c>
      <c r="M6133" t="s">
        <v>68</v>
      </c>
      <c r="N6133" t="str">
        <f t="shared" si="634"/>
        <v>FOR</v>
      </c>
      <c r="O6133" t="s">
        <v>69</v>
      </c>
      <c r="P6133" s="3" t="s">
        <v>75</v>
      </c>
      <c r="Q6133">
        <v>2016</v>
      </c>
      <c r="R6133" s="2">
        <v>42412</v>
      </c>
      <c r="S6133" s="2">
        <v>42417</v>
      </c>
      <c r="T6133" s="2">
        <v>42413</v>
      </c>
      <c r="U6133" s="2">
        <v>42473</v>
      </c>
      <c r="V6133" t="s">
        <v>71</v>
      </c>
      <c r="W6133" t="str">
        <f>"           1640931/E"</f>
        <v xml:space="preserve">           1640931/E</v>
      </c>
      <c r="X6133" s="1">
        <v>2025.2</v>
      </c>
      <c r="Y6133">
        <v>0</v>
      </c>
      <c r="Z6133" s="5">
        <v>1660</v>
      </c>
      <c r="AA6133">
        <v>217</v>
      </c>
      <c r="AB6133" s="5">
        <v>360220</v>
      </c>
      <c r="AC6133" s="1">
        <v>1660</v>
      </c>
      <c r="AD6133">
        <v>217</v>
      </c>
      <c r="AE6133" s="1">
        <v>360220</v>
      </c>
      <c r="AF6133">
        <v>0</v>
      </c>
      <c r="AJ6133">
        <v>0</v>
      </c>
      <c r="AK6133">
        <v>0</v>
      </c>
      <c r="AL6133">
        <v>0</v>
      </c>
      <c r="AM6133" s="1">
        <v>2025.2</v>
      </c>
      <c r="AN6133" s="1">
        <v>2025.2</v>
      </c>
      <c r="AO6133" s="1">
        <v>2025.2</v>
      </c>
      <c r="AP6133" s="2">
        <v>42746</v>
      </c>
      <c r="AQ6133" t="s">
        <v>72</v>
      </c>
      <c r="AR6133" t="s">
        <v>72</v>
      </c>
      <c r="AS6133">
        <v>3130</v>
      </c>
      <c r="AT6133" s="4">
        <v>42690</v>
      </c>
      <c r="AU6133" t="s">
        <v>73</v>
      </c>
      <c r="AV6133">
        <v>3130</v>
      </c>
      <c r="AW6133" s="4">
        <v>42690</v>
      </c>
      <c r="BD6133">
        <v>0</v>
      </c>
      <c r="BN6133" t="s">
        <v>74</v>
      </c>
    </row>
    <row r="6134" spans="1:66">
      <c r="A6134">
        <v>104029</v>
      </c>
      <c r="B6134" s="3" t="s">
        <v>598</v>
      </c>
      <c r="C6134" s="1">
        <v>43300101</v>
      </c>
      <c r="D6134" t="s">
        <v>67</v>
      </c>
      <c r="H6134" t="str">
        <f t="shared" si="632"/>
        <v>00759430267</v>
      </c>
      <c r="I6134" t="str">
        <f t="shared" si="633"/>
        <v>01630000287</v>
      </c>
      <c r="K6134" t="str">
        <f>""</f>
        <v/>
      </c>
      <c r="M6134" t="s">
        <v>68</v>
      </c>
      <c r="N6134" t="str">
        <f t="shared" si="634"/>
        <v>FOR</v>
      </c>
      <c r="O6134" t="s">
        <v>69</v>
      </c>
      <c r="P6134" s="3" t="s">
        <v>75</v>
      </c>
      <c r="Q6134">
        <v>2016</v>
      </c>
      <c r="R6134" s="2">
        <v>42419</v>
      </c>
      <c r="S6134" s="2">
        <v>42422</v>
      </c>
      <c r="T6134" s="2">
        <v>42419</v>
      </c>
      <c r="U6134" s="2">
        <v>42479</v>
      </c>
      <c r="V6134" t="s">
        <v>71</v>
      </c>
      <c r="W6134" t="str">
        <f>"           1641224/E"</f>
        <v xml:space="preserve">           1641224/E</v>
      </c>
      <c r="X6134">
        <v>854</v>
      </c>
      <c r="Y6134">
        <v>0</v>
      </c>
      <c r="Z6134" s="3">
        <v>700</v>
      </c>
      <c r="AA6134">
        <v>211</v>
      </c>
      <c r="AB6134" s="5">
        <v>147700</v>
      </c>
      <c r="AC6134">
        <v>700</v>
      </c>
      <c r="AD6134">
        <v>211</v>
      </c>
      <c r="AE6134" s="1">
        <v>147700</v>
      </c>
      <c r="AF6134">
        <v>0</v>
      </c>
      <c r="AJ6134">
        <v>0</v>
      </c>
      <c r="AK6134">
        <v>0</v>
      </c>
      <c r="AL6134">
        <v>0</v>
      </c>
      <c r="AM6134">
        <v>854</v>
      </c>
      <c r="AN6134">
        <v>854</v>
      </c>
      <c r="AO6134">
        <v>854</v>
      </c>
      <c r="AP6134" s="2">
        <v>42746</v>
      </c>
      <c r="AQ6134" t="s">
        <v>72</v>
      </c>
      <c r="AR6134" t="s">
        <v>72</v>
      </c>
      <c r="AS6134">
        <v>3130</v>
      </c>
      <c r="AT6134" s="4">
        <v>42690</v>
      </c>
      <c r="AU6134" t="s">
        <v>73</v>
      </c>
      <c r="AV6134">
        <v>3130</v>
      </c>
      <c r="AW6134" s="4">
        <v>42690</v>
      </c>
      <c r="BD6134">
        <v>0</v>
      </c>
      <c r="BN6134" t="s">
        <v>74</v>
      </c>
    </row>
    <row r="6135" spans="1:66">
      <c r="A6135">
        <v>104029</v>
      </c>
      <c r="B6135" s="3" t="s">
        <v>598</v>
      </c>
      <c r="C6135" s="1">
        <v>43300101</v>
      </c>
      <c r="D6135" t="s">
        <v>67</v>
      </c>
      <c r="H6135" t="str">
        <f t="shared" si="632"/>
        <v>00759430267</v>
      </c>
      <c r="I6135" t="str">
        <f t="shared" si="633"/>
        <v>01630000287</v>
      </c>
      <c r="K6135" t="str">
        <f>""</f>
        <v/>
      </c>
      <c r="M6135" t="s">
        <v>68</v>
      </c>
      <c r="N6135" t="str">
        <f t="shared" si="634"/>
        <v>FOR</v>
      </c>
      <c r="O6135" t="s">
        <v>69</v>
      </c>
      <c r="P6135" s="3" t="s">
        <v>75</v>
      </c>
      <c r="Q6135">
        <v>2016</v>
      </c>
      <c r="R6135" s="2">
        <v>42419</v>
      </c>
      <c r="S6135" s="2">
        <v>42422</v>
      </c>
      <c r="T6135" s="2">
        <v>42419</v>
      </c>
      <c r="U6135" s="2">
        <v>42479</v>
      </c>
      <c r="V6135" t="s">
        <v>71</v>
      </c>
      <c r="W6135" t="str">
        <f>"           1641225/E"</f>
        <v xml:space="preserve">           1641225/E</v>
      </c>
      <c r="X6135">
        <v>854</v>
      </c>
      <c r="Y6135">
        <v>0</v>
      </c>
      <c r="Z6135" s="3">
        <v>700</v>
      </c>
      <c r="AA6135">
        <v>211</v>
      </c>
      <c r="AB6135" s="5">
        <v>147700</v>
      </c>
      <c r="AC6135">
        <v>700</v>
      </c>
      <c r="AD6135">
        <v>211</v>
      </c>
      <c r="AE6135" s="1">
        <v>147700</v>
      </c>
      <c r="AF6135">
        <v>0</v>
      </c>
      <c r="AJ6135">
        <v>0</v>
      </c>
      <c r="AK6135">
        <v>0</v>
      </c>
      <c r="AL6135">
        <v>0</v>
      </c>
      <c r="AM6135">
        <v>854</v>
      </c>
      <c r="AN6135">
        <v>854</v>
      </c>
      <c r="AO6135">
        <v>854</v>
      </c>
      <c r="AP6135" s="2">
        <v>42746</v>
      </c>
      <c r="AQ6135" t="s">
        <v>72</v>
      </c>
      <c r="AR6135" t="s">
        <v>72</v>
      </c>
      <c r="AS6135">
        <v>3130</v>
      </c>
      <c r="AT6135" s="4">
        <v>42690</v>
      </c>
      <c r="AU6135" t="s">
        <v>73</v>
      </c>
      <c r="AV6135">
        <v>3130</v>
      </c>
      <c r="AW6135" s="4">
        <v>42690</v>
      </c>
      <c r="BD6135">
        <v>0</v>
      </c>
      <c r="BN6135" t="s">
        <v>74</v>
      </c>
    </row>
    <row r="6136" spans="1:66">
      <c r="A6136">
        <v>104029</v>
      </c>
      <c r="B6136" s="3" t="s">
        <v>598</v>
      </c>
      <c r="C6136" s="1">
        <v>43300101</v>
      </c>
      <c r="D6136" t="s">
        <v>67</v>
      </c>
      <c r="H6136" t="str">
        <f t="shared" si="632"/>
        <v>00759430267</v>
      </c>
      <c r="I6136" t="str">
        <f t="shared" si="633"/>
        <v>01630000287</v>
      </c>
      <c r="K6136" t="str">
        <f>""</f>
        <v/>
      </c>
      <c r="M6136" t="s">
        <v>68</v>
      </c>
      <c r="N6136" t="str">
        <f t="shared" si="634"/>
        <v>FOR</v>
      </c>
      <c r="O6136" t="s">
        <v>69</v>
      </c>
      <c r="P6136" s="3" t="s">
        <v>75</v>
      </c>
      <c r="Q6136">
        <v>2016</v>
      </c>
      <c r="R6136" s="2">
        <v>42419</v>
      </c>
      <c r="S6136" s="2">
        <v>42422</v>
      </c>
      <c r="T6136" s="2">
        <v>42419</v>
      </c>
      <c r="U6136" s="2">
        <v>42479</v>
      </c>
      <c r="V6136" t="s">
        <v>71</v>
      </c>
      <c r="W6136" t="str">
        <f>"           1641226/E"</f>
        <v xml:space="preserve">           1641226/E</v>
      </c>
      <c r="X6136" s="1">
        <v>2806</v>
      </c>
      <c r="Y6136">
        <v>0</v>
      </c>
      <c r="Z6136" s="5">
        <v>2300</v>
      </c>
      <c r="AA6136">
        <v>211</v>
      </c>
      <c r="AB6136" s="5">
        <v>485300</v>
      </c>
      <c r="AC6136" s="1">
        <v>2300</v>
      </c>
      <c r="AD6136">
        <v>211</v>
      </c>
      <c r="AE6136" s="1">
        <v>485300</v>
      </c>
      <c r="AF6136">
        <v>0</v>
      </c>
      <c r="AJ6136">
        <v>0</v>
      </c>
      <c r="AK6136">
        <v>0</v>
      </c>
      <c r="AL6136">
        <v>0</v>
      </c>
      <c r="AM6136" s="1">
        <v>2806</v>
      </c>
      <c r="AN6136" s="1">
        <v>2806</v>
      </c>
      <c r="AO6136" s="1">
        <v>2806</v>
      </c>
      <c r="AP6136" s="2">
        <v>42746</v>
      </c>
      <c r="AQ6136" t="s">
        <v>72</v>
      </c>
      <c r="AR6136" t="s">
        <v>72</v>
      </c>
      <c r="AS6136">
        <v>3130</v>
      </c>
      <c r="AT6136" s="4">
        <v>42690</v>
      </c>
      <c r="AU6136" t="s">
        <v>73</v>
      </c>
      <c r="AV6136">
        <v>3130</v>
      </c>
      <c r="AW6136" s="4">
        <v>42690</v>
      </c>
      <c r="BD6136">
        <v>0</v>
      </c>
      <c r="BN6136" t="s">
        <v>74</v>
      </c>
    </row>
    <row r="6137" spans="1:66">
      <c r="A6137">
        <v>104029</v>
      </c>
      <c r="B6137" s="3" t="s">
        <v>598</v>
      </c>
      <c r="C6137" s="1">
        <v>43300101</v>
      </c>
      <c r="D6137" t="s">
        <v>67</v>
      </c>
      <c r="H6137" t="str">
        <f t="shared" si="632"/>
        <v>00759430267</v>
      </c>
      <c r="I6137" t="str">
        <f t="shared" si="633"/>
        <v>01630000287</v>
      </c>
      <c r="K6137" t="str">
        <f>""</f>
        <v/>
      </c>
      <c r="M6137" t="s">
        <v>68</v>
      </c>
      <c r="N6137" t="str">
        <f t="shared" si="634"/>
        <v>FOR</v>
      </c>
      <c r="O6137" t="s">
        <v>69</v>
      </c>
      <c r="P6137" s="3" t="s">
        <v>75</v>
      </c>
      <c r="Q6137">
        <v>2016</v>
      </c>
      <c r="R6137" s="2">
        <v>42419</v>
      </c>
      <c r="S6137" s="2">
        <v>42422</v>
      </c>
      <c r="T6137" s="2">
        <v>42419</v>
      </c>
      <c r="U6137" s="2">
        <v>42479</v>
      </c>
      <c r="V6137" t="s">
        <v>71</v>
      </c>
      <c r="W6137" t="str">
        <f>"           1641227/E"</f>
        <v xml:space="preserve">           1641227/E</v>
      </c>
      <c r="X6137" s="1">
        <v>1007.23</v>
      </c>
      <c r="Y6137">
        <v>0</v>
      </c>
      <c r="Z6137" s="3">
        <v>825.6</v>
      </c>
      <c r="AA6137">
        <v>239</v>
      </c>
      <c r="AB6137" s="5">
        <v>197318.39999999999</v>
      </c>
      <c r="AC6137">
        <v>825.6</v>
      </c>
      <c r="AD6137">
        <v>239</v>
      </c>
      <c r="AE6137" s="1">
        <v>197318.39999999999</v>
      </c>
      <c r="AF6137">
        <v>181.63</v>
      </c>
      <c r="AJ6137">
        <v>0</v>
      </c>
      <c r="AK6137">
        <v>0</v>
      </c>
      <c r="AL6137">
        <v>0</v>
      </c>
      <c r="AM6137" s="1">
        <v>1007.23</v>
      </c>
      <c r="AN6137" s="1">
        <v>1007.23</v>
      </c>
      <c r="AO6137" s="1">
        <v>1007.23</v>
      </c>
      <c r="AP6137" s="2">
        <v>42746</v>
      </c>
      <c r="AQ6137" t="s">
        <v>72</v>
      </c>
      <c r="AR6137" t="s">
        <v>72</v>
      </c>
      <c r="AS6137">
        <v>3485</v>
      </c>
      <c r="AT6137" s="4">
        <v>42718</v>
      </c>
      <c r="AU6137" t="s">
        <v>73</v>
      </c>
      <c r="AV6137">
        <v>3485</v>
      </c>
      <c r="AW6137" s="4">
        <v>42718</v>
      </c>
      <c r="BD6137">
        <v>181.63</v>
      </c>
      <c r="BN6137" t="s">
        <v>74</v>
      </c>
    </row>
    <row r="6138" spans="1:66">
      <c r="A6138">
        <v>104029</v>
      </c>
      <c r="B6138" s="3" t="s">
        <v>598</v>
      </c>
      <c r="C6138" s="1">
        <v>43300101</v>
      </c>
      <c r="D6138" t="s">
        <v>67</v>
      </c>
      <c r="H6138" t="str">
        <f t="shared" si="632"/>
        <v>00759430267</v>
      </c>
      <c r="I6138" t="str">
        <f t="shared" si="633"/>
        <v>01630000287</v>
      </c>
      <c r="K6138" t="str">
        <f>""</f>
        <v/>
      </c>
      <c r="M6138" t="s">
        <v>68</v>
      </c>
      <c r="N6138" t="str">
        <f t="shared" si="634"/>
        <v>FOR</v>
      </c>
      <c r="O6138" t="s">
        <v>69</v>
      </c>
      <c r="P6138" s="3" t="s">
        <v>75</v>
      </c>
      <c r="Q6138">
        <v>2016</v>
      </c>
      <c r="R6138" s="2">
        <v>42419</v>
      </c>
      <c r="S6138" s="2">
        <v>42422</v>
      </c>
      <c r="T6138" s="2">
        <v>42419</v>
      </c>
      <c r="U6138" s="2">
        <v>42479</v>
      </c>
      <c r="V6138" t="s">
        <v>71</v>
      </c>
      <c r="W6138" t="str">
        <f>"           1641228/E"</f>
        <v xml:space="preserve">           1641228/E</v>
      </c>
      <c r="X6138">
        <v>251.81</v>
      </c>
      <c r="Y6138">
        <v>0</v>
      </c>
      <c r="Z6138" s="3">
        <v>206.4</v>
      </c>
      <c r="AA6138">
        <v>239</v>
      </c>
      <c r="AB6138" s="5">
        <v>49329.599999999999</v>
      </c>
      <c r="AC6138">
        <v>206.4</v>
      </c>
      <c r="AD6138">
        <v>239</v>
      </c>
      <c r="AE6138" s="1">
        <v>49329.599999999999</v>
      </c>
      <c r="AF6138">
        <v>45.41</v>
      </c>
      <c r="AJ6138">
        <v>0</v>
      </c>
      <c r="AK6138">
        <v>0</v>
      </c>
      <c r="AL6138">
        <v>0</v>
      </c>
      <c r="AM6138">
        <v>251.81</v>
      </c>
      <c r="AN6138">
        <v>251.81</v>
      </c>
      <c r="AO6138">
        <v>251.81</v>
      </c>
      <c r="AP6138" s="2">
        <v>42746</v>
      </c>
      <c r="AQ6138" t="s">
        <v>72</v>
      </c>
      <c r="AR6138" t="s">
        <v>72</v>
      </c>
      <c r="AS6138">
        <v>3485</v>
      </c>
      <c r="AT6138" s="4">
        <v>42718</v>
      </c>
      <c r="AU6138" t="s">
        <v>73</v>
      </c>
      <c r="AV6138">
        <v>3485</v>
      </c>
      <c r="AW6138" s="4">
        <v>42718</v>
      </c>
      <c r="BD6138">
        <v>45.41</v>
      </c>
      <c r="BN6138" t="s">
        <v>74</v>
      </c>
    </row>
    <row r="6139" spans="1:66">
      <c r="A6139">
        <v>104029</v>
      </c>
      <c r="B6139" s="3" t="s">
        <v>598</v>
      </c>
      <c r="C6139" s="1">
        <v>43300101</v>
      </c>
      <c r="D6139" t="s">
        <v>67</v>
      </c>
      <c r="H6139" t="str">
        <f t="shared" si="632"/>
        <v>00759430267</v>
      </c>
      <c r="I6139" t="str">
        <f t="shared" si="633"/>
        <v>01630000287</v>
      </c>
      <c r="K6139" t="str">
        <f>""</f>
        <v/>
      </c>
      <c r="M6139" t="s">
        <v>68</v>
      </c>
      <c r="N6139" t="str">
        <f t="shared" si="634"/>
        <v>FOR</v>
      </c>
      <c r="O6139" t="s">
        <v>69</v>
      </c>
      <c r="P6139" s="3" t="s">
        <v>75</v>
      </c>
      <c r="Q6139">
        <v>2016</v>
      </c>
      <c r="R6139" s="2">
        <v>42419</v>
      </c>
      <c r="S6139" s="2">
        <v>42422</v>
      </c>
      <c r="T6139" s="2">
        <v>42419</v>
      </c>
      <c r="U6139" s="2">
        <v>42479</v>
      </c>
      <c r="V6139" t="s">
        <v>71</v>
      </c>
      <c r="W6139" t="str">
        <f>"           1641229/E"</f>
        <v xml:space="preserve">           1641229/E</v>
      </c>
      <c r="X6139">
        <v>866.69</v>
      </c>
      <c r="Y6139">
        <v>0</v>
      </c>
      <c r="Z6139" s="3">
        <v>710.4</v>
      </c>
      <c r="AA6139">
        <v>239</v>
      </c>
      <c r="AB6139" s="5">
        <v>169785.60000000001</v>
      </c>
      <c r="AC6139">
        <v>710.4</v>
      </c>
      <c r="AD6139">
        <v>239</v>
      </c>
      <c r="AE6139" s="1">
        <v>169785.60000000001</v>
      </c>
      <c r="AF6139">
        <v>156.29</v>
      </c>
      <c r="AJ6139">
        <v>0</v>
      </c>
      <c r="AK6139">
        <v>0</v>
      </c>
      <c r="AL6139">
        <v>0</v>
      </c>
      <c r="AM6139">
        <v>866.69</v>
      </c>
      <c r="AN6139">
        <v>866.69</v>
      </c>
      <c r="AO6139">
        <v>866.69</v>
      </c>
      <c r="AP6139" s="2">
        <v>42746</v>
      </c>
      <c r="AQ6139" t="s">
        <v>72</v>
      </c>
      <c r="AR6139" t="s">
        <v>72</v>
      </c>
      <c r="AS6139">
        <v>3485</v>
      </c>
      <c r="AT6139" s="4">
        <v>42718</v>
      </c>
      <c r="AU6139" t="s">
        <v>73</v>
      </c>
      <c r="AV6139">
        <v>3485</v>
      </c>
      <c r="AW6139" s="4">
        <v>42718</v>
      </c>
      <c r="BD6139">
        <v>156.29</v>
      </c>
      <c r="BN6139" t="s">
        <v>74</v>
      </c>
    </row>
    <row r="6140" spans="1:66">
      <c r="A6140">
        <v>104029</v>
      </c>
      <c r="B6140" s="3" t="s">
        <v>598</v>
      </c>
      <c r="C6140" s="1">
        <v>43300101</v>
      </c>
      <c r="D6140" t="s">
        <v>67</v>
      </c>
      <c r="H6140" t="str">
        <f t="shared" si="632"/>
        <v>00759430267</v>
      </c>
      <c r="I6140" t="str">
        <f t="shared" si="633"/>
        <v>01630000287</v>
      </c>
      <c r="K6140" t="str">
        <f>""</f>
        <v/>
      </c>
      <c r="M6140" t="s">
        <v>68</v>
      </c>
      <c r="N6140" t="str">
        <f t="shared" si="634"/>
        <v>FOR</v>
      </c>
      <c r="O6140" t="s">
        <v>69</v>
      </c>
      <c r="P6140" s="3" t="s">
        <v>75</v>
      </c>
      <c r="Q6140">
        <v>2016</v>
      </c>
      <c r="R6140" s="2">
        <v>42419</v>
      </c>
      <c r="S6140" s="2">
        <v>42422</v>
      </c>
      <c r="T6140" s="2">
        <v>42419</v>
      </c>
      <c r="U6140" s="2">
        <v>42479</v>
      </c>
      <c r="V6140" t="s">
        <v>71</v>
      </c>
      <c r="W6140" t="str">
        <f>"           1641230/E"</f>
        <v xml:space="preserve">           1641230/E</v>
      </c>
      <c r="X6140">
        <v>866.69</v>
      </c>
      <c r="Y6140">
        <v>0</v>
      </c>
      <c r="Z6140" s="3">
        <v>710.4</v>
      </c>
      <c r="AA6140">
        <v>239</v>
      </c>
      <c r="AB6140" s="5">
        <v>169785.60000000001</v>
      </c>
      <c r="AC6140">
        <v>710.4</v>
      </c>
      <c r="AD6140">
        <v>239</v>
      </c>
      <c r="AE6140" s="1">
        <v>169785.60000000001</v>
      </c>
      <c r="AF6140">
        <v>156.29</v>
      </c>
      <c r="AJ6140">
        <v>0</v>
      </c>
      <c r="AK6140">
        <v>0</v>
      </c>
      <c r="AL6140">
        <v>0</v>
      </c>
      <c r="AM6140">
        <v>866.69</v>
      </c>
      <c r="AN6140">
        <v>866.69</v>
      </c>
      <c r="AO6140">
        <v>866.69</v>
      </c>
      <c r="AP6140" s="2">
        <v>42746</v>
      </c>
      <c r="AQ6140" t="s">
        <v>72</v>
      </c>
      <c r="AR6140" t="s">
        <v>72</v>
      </c>
      <c r="AS6140">
        <v>3485</v>
      </c>
      <c r="AT6140" s="4">
        <v>42718</v>
      </c>
      <c r="AU6140" t="s">
        <v>73</v>
      </c>
      <c r="AV6140">
        <v>3485</v>
      </c>
      <c r="AW6140" s="4">
        <v>42718</v>
      </c>
      <c r="BD6140">
        <v>156.29</v>
      </c>
      <c r="BN6140" t="s">
        <v>74</v>
      </c>
    </row>
    <row r="6141" spans="1:66">
      <c r="A6141">
        <v>104029</v>
      </c>
      <c r="B6141" s="3" t="s">
        <v>598</v>
      </c>
      <c r="C6141" s="1">
        <v>43300101</v>
      </c>
      <c r="D6141" t="s">
        <v>67</v>
      </c>
      <c r="H6141" t="str">
        <f t="shared" si="632"/>
        <v>00759430267</v>
      </c>
      <c r="I6141" t="str">
        <f t="shared" si="633"/>
        <v>01630000287</v>
      </c>
      <c r="K6141" t="str">
        <f>""</f>
        <v/>
      </c>
      <c r="M6141" t="s">
        <v>68</v>
      </c>
      <c r="N6141" t="str">
        <f t="shared" si="634"/>
        <v>FOR</v>
      </c>
      <c r="O6141" t="s">
        <v>69</v>
      </c>
      <c r="P6141" s="3" t="s">
        <v>75</v>
      </c>
      <c r="Q6141">
        <v>2016</v>
      </c>
      <c r="R6141" s="2">
        <v>42429</v>
      </c>
      <c r="S6141" s="2">
        <v>42436</v>
      </c>
      <c r="T6141" s="2">
        <v>42429</v>
      </c>
      <c r="U6141" s="2">
        <v>42489</v>
      </c>
      <c r="V6141" t="s">
        <v>71</v>
      </c>
      <c r="W6141" t="str">
        <f>"           1641524/E"</f>
        <v xml:space="preserve">           1641524/E</v>
      </c>
      <c r="X6141" s="1">
        <v>9272</v>
      </c>
      <c r="Y6141">
        <v>0</v>
      </c>
      <c r="Z6141" s="5">
        <v>7600</v>
      </c>
      <c r="AA6141">
        <v>201</v>
      </c>
      <c r="AB6141" s="5">
        <v>1527600</v>
      </c>
      <c r="AC6141" s="1">
        <v>7600</v>
      </c>
      <c r="AD6141">
        <v>201</v>
      </c>
      <c r="AE6141" s="1">
        <v>1527600</v>
      </c>
      <c r="AF6141">
        <v>0</v>
      </c>
      <c r="AJ6141">
        <v>0</v>
      </c>
      <c r="AK6141">
        <v>0</v>
      </c>
      <c r="AL6141">
        <v>0</v>
      </c>
      <c r="AM6141" s="1">
        <v>9272</v>
      </c>
      <c r="AN6141" s="1">
        <v>9272</v>
      </c>
      <c r="AO6141" s="1">
        <v>9272</v>
      </c>
      <c r="AP6141" s="2">
        <v>42746</v>
      </c>
      <c r="AQ6141" t="s">
        <v>72</v>
      </c>
      <c r="AR6141" t="s">
        <v>72</v>
      </c>
      <c r="AS6141">
        <v>3130</v>
      </c>
      <c r="AT6141" s="4">
        <v>42690</v>
      </c>
      <c r="AU6141" t="s">
        <v>73</v>
      </c>
      <c r="AV6141">
        <v>3130</v>
      </c>
      <c r="AW6141" s="4">
        <v>42690</v>
      </c>
      <c r="BD6141">
        <v>0</v>
      </c>
      <c r="BN6141" t="s">
        <v>74</v>
      </c>
    </row>
    <row r="6142" spans="1:66" hidden="1">
      <c r="A6142">
        <v>104039</v>
      </c>
      <c r="B6142" s="3" t="s">
        <v>599</v>
      </c>
      <c r="C6142" s="1">
        <v>43300101</v>
      </c>
      <c r="D6142" t="s">
        <v>67</v>
      </c>
      <c r="H6142" t="str">
        <f>"07297190154"</f>
        <v>07297190154</v>
      </c>
      <c r="I6142" t="str">
        <f>"07297190154"</f>
        <v>07297190154</v>
      </c>
      <c r="K6142" t="str">
        <f>""</f>
        <v/>
      </c>
      <c r="M6142" t="s">
        <v>68</v>
      </c>
      <c r="N6142" t="str">
        <f t="shared" si="634"/>
        <v>FOR</v>
      </c>
      <c r="O6142" t="s">
        <v>69</v>
      </c>
      <c r="P6142" s="3" t="s">
        <v>70</v>
      </c>
      <c r="Q6142">
        <v>2014</v>
      </c>
      <c r="R6142" s="2">
        <v>42003</v>
      </c>
      <c r="S6142" s="2">
        <v>42004</v>
      </c>
      <c r="T6142" s="2">
        <v>42004</v>
      </c>
      <c r="U6142" s="2">
        <v>42064</v>
      </c>
      <c r="V6142" t="s">
        <v>71</v>
      </c>
      <c r="W6142" t="str">
        <f>"            14112881"</f>
        <v xml:space="preserve">            14112881</v>
      </c>
      <c r="X6142" s="1">
        <v>1508</v>
      </c>
      <c r="Y6142">
        <v>0</v>
      </c>
      <c r="Z6142"/>
      <c r="AB6142"/>
      <c r="AC6142" s="1">
        <v>1508</v>
      </c>
      <c r="AD6142">
        <v>505</v>
      </c>
      <c r="AE6142" s="1">
        <v>761540</v>
      </c>
      <c r="AF6142">
        <v>0</v>
      </c>
      <c r="AJ6142">
        <v>0</v>
      </c>
      <c r="AK6142">
        <v>0</v>
      </c>
      <c r="AL6142">
        <v>0</v>
      </c>
      <c r="AM6142">
        <v>0</v>
      </c>
      <c r="AN6142">
        <v>0</v>
      </c>
      <c r="AO6142">
        <v>0</v>
      </c>
      <c r="AP6142" s="2">
        <v>42746</v>
      </c>
      <c r="AQ6142" t="s">
        <v>72</v>
      </c>
      <c r="AR6142" t="s">
        <v>72</v>
      </c>
      <c r="AS6142">
        <v>1849</v>
      </c>
      <c r="AT6142" s="4">
        <v>42569</v>
      </c>
      <c r="AU6142" t="s">
        <v>73</v>
      </c>
      <c r="AV6142">
        <v>1849</v>
      </c>
      <c r="AW6142" s="4">
        <v>42569</v>
      </c>
      <c r="BD6142">
        <v>0</v>
      </c>
      <c r="BN6142" t="s">
        <v>74</v>
      </c>
    </row>
    <row r="6143" spans="1:66" hidden="1">
      <c r="A6143">
        <v>104041</v>
      </c>
      <c r="B6143" s="3" t="s">
        <v>600</v>
      </c>
      <c r="C6143" s="1">
        <v>43201201</v>
      </c>
      <c r="D6143" t="s">
        <v>116</v>
      </c>
      <c r="H6143" t="str">
        <f>"06328131211"</f>
        <v>06328131211</v>
      </c>
      <c r="I6143" t="str">
        <f>"06328131211"</f>
        <v>06328131211</v>
      </c>
      <c r="K6143" t="str">
        <f>""</f>
        <v/>
      </c>
      <c r="M6143" t="s">
        <v>68</v>
      </c>
      <c r="N6143" t="str">
        <f>"AZ1"</f>
        <v>AZ1</v>
      </c>
      <c r="O6143" t="s">
        <v>117</v>
      </c>
      <c r="P6143" s="3" t="s">
        <v>75</v>
      </c>
      <c r="Q6143">
        <v>2015</v>
      </c>
      <c r="R6143" s="2">
        <v>42121</v>
      </c>
      <c r="S6143" s="2">
        <v>42165</v>
      </c>
      <c r="T6143" s="2">
        <v>42145</v>
      </c>
      <c r="U6143" s="2">
        <v>42205</v>
      </c>
      <c r="V6143" t="s">
        <v>71</v>
      </c>
      <c r="W6143" t="str">
        <f>"               FA921"</f>
        <v xml:space="preserve">               FA921</v>
      </c>
      <c r="X6143">
        <v>319.11</v>
      </c>
      <c r="Y6143">
        <v>0</v>
      </c>
      <c r="Z6143"/>
      <c r="AB6143"/>
      <c r="AC6143">
        <v>319.11</v>
      </c>
      <c r="AD6143">
        <v>197</v>
      </c>
      <c r="AE6143" s="1">
        <v>62864.67</v>
      </c>
      <c r="AF6143">
        <v>0</v>
      </c>
      <c r="AJ6143">
        <v>0</v>
      </c>
      <c r="AK6143">
        <v>0</v>
      </c>
      <c r="AL6143">
        <v>0</v>
      </c>
      <c r="AM6143">
        <v>0</v>
      </c>
      <c r="AN6143">
        <v>0</v>
      </c>
      <c r="AO6143">
        <v>0</v>
      </c>
      <c r="AP6143" s="2">
        <v>42746</v>
      </c>
      <c r="AQ6143" t="s">
        <v>72</v>
      </c>
      <c r="AR6143" t="s">
        <v>72</v>
      </c>
      <c r="AS6143">
        <v>199</v>
      </c>
      <c r="AT6143" s="4">
        <v>42402</v>
      </c>
      <c r="AU6143" t="s">
        <v>73</v>
      </c>
      <c r="AV6143">
        <v>199</v>
      </c>
      <c r="AW6143" s="4">
        <v>42402</v>
      </c>
      <c r="BD6143">
        <v>0</v>
      </c>
      <c r="BN6143" t="s">
        <v>74</v>
      </c>
    </row>
    <row r="6144" spans="1:66" hidden="1">
      <c r="A6144">
        <v>104045</v>
      </c>
      <c r="B6144" s="3" t="s">
        <v>601</v>
      </c>
      <c r="C6144" s="1">
        <v>43300101</v>
      </c>
      <c r="D6144" t="s">
        <v>67</v>
      </c>
      <c r="H6144" t="str">
        <f t="shared" ref="H6144:I6153" si="635">"02364520615"</f>
        <v>02364520615</v>
      </c>
      <c r="I6144" t="str">
        <f t="shared" si="635"/>
        <v>02364520615</v>
      </c>
      <c r="K6144" t="str">
        <f>""</f>
        <v/>
      </c>
      <c r="M6144" t="s">
        <v>68</v>
      </c>
      <c r="N6144" t="str">
        <f t="shared" ref="N6144:N6207" si="636">"FOR"</f>
        <v>FOR</v>
      </c>
      <c r="O6144" t="s">
        <v>69</v>
      </c>
      <c r="P6144" s="3" t="s">
        <v>75</v>
      </c>
      <c r="Q6144">
        <v>2015</v>
      </c>
      <c r="R6144" s="2">
        <v>42277</v>
      </c>
      <c r="S6144" s="2">
        <v>42282</v>
      </c>
      <c r="T6144" s="2">
        <v>42282</v>
      </c>
      <c r="U6144" s="2">
        <v>42342</v>
      </c>
      <c r="V6144" t="s">
        <v>71</v>
      </c>
      <c r="W6144" t="str">
        <f>"               54/02"</f>
        <v xml:space="preserve">               54/02</v>
      </c>
      <c r="X6144" s="1">
        <v>27540.89</v>
      </c>
      <c r="Y6144">
        <v>0</v>
      </c>
      <c r="Z6144"/>
      <c r="AB6144"/>
      <c r="AC6144" s="1">
        <v>22574.5</v>
      </c>
      <c r="AD6144">
        <v>60</v>
      </c>
      <c r="AE6144" s="1">
        <v>1354470</v>
      </c>
      <c r="AF6144">
        <v>0</v>
      </c>
      <c r="AJ6144">
        <v>0</v>
      </c>
      <c r="AK6144">
        <v>0</v>
      </c>
      <c r="AL6144">
        <v>0</v>
      </c>
      <c r="AM6144">
        <v>0</v>
      </c>
      <c r="AN6144">
        <v>0</v>
      </c>
      <c r="AO6144">
        <v>0</v>
      </c>
      <c r="AP6144" s="2">
        <v>42746</v>
      </c>
      <c r="AQ6144" t="s">
        <v>72</v>
      </c>
      <c r="AR6144" t="s">
        <v>72</v>
      </c>
      <c r="AS6144">
        <v>207</v>
      </c>
      <c r="AT6144" s="4">
        <v>42402</v>
      </c>
      <c r="AU6144" t="s">
        <v>73</v>
      </c>
      <c r="AV6144">
        <v>207</v>
      </c>
      <c r="AW6144" s="4">
        <v>42402</v>
      </c>
      <c r="BD6144">
        <v>0</v>
      </c>
      <c r="BN6144" t="s">
        <v>74</v>
      </c>
    </row>
    <row r="6145" spans="1:66" hidden="1">
      <c r="A6145">
        <v>104045</v>
      </c>
      <c r="B6145" s="3" t="s">
        <v>601</v>
      </c>
      <c r="C6145" s="1">
        <v>43300101</v>
      </c>
      <c r="D6145" t="s">
        <v>67</v>
      </c>
      <c r="H6145" t="str">
        <f t="shared" si="635"/>
        <v>02364520615</v>
      </c>
      <c r="I6145" t="str">
        <f t="shared" si="635"/>
        <v>02364520615</v>
      </c>
      <c r="K6145" t="str">
        <f>""</f>
        <v/>
      </c>
      <c r="M6145" t="s">
        <v>68</v>
      </c>
      <c r="N6145" t="str">
        <f t="shared" si="636"/>
        <v>FOR</v>
      </c>
      <c r="O6145" t="s">
        <v>69</v>
      </c>
      <c r="P6145" s="3" t="s">
        <v>75</v>
      </c>
      <c r="Q6145">
        <v>2015</v>
      </c>
      <c r="R6145" s="2">
        <v>42306</v>
      </c>
      <c r="S6145" s="2">
        <v>42312</v>
      </c>
      <c r="T6145" s="2">
        <v>42311</v>
      </c>
      <c r="U6145" s="2">
        <v>42371</v>
      </c>
      <c r="V6145" t="s">
        <v>71</v>
      </c>
      <c r="W6145" t="str">
        <f>"               69/02"</f>
        <v xml:space="preserve">               69/02</v>
      </c>
      <c r="X6145" s="1">
        <v>27540.89</v>
      </c>
      <c r="Y6145">
        <v>0</v>
      </c>
      <c r="Z6145"/>
      <c r="AB6145"/>
      <c r="AC6145" s="1">
        <v>22574.5</v>
      </c>
      <c r="AD6145">
        <v>45</v>
      </c>
      <c r="AE6145" s="1">
        <v>1015852.5</v>
      </c>
      <c r="AF6145">
        <v>0</v>
      </c>
      <c r="AJ6145">
        <v>0</v>
      </c>
      <c r="AK6145">
        <v>0</v>
      </c>
      <c r="AL6145">
        <v>0</v>
      </c>
      <c r="AM6145">
        <v>0</v>
      </c>
      <c r="AN6145">
        <v>0</v>
      </c>
      <c r="AO6145">
        <v>0</v>
      </c>
      <c r="AP6145" s="2">
        <v>42746</v>
      </c>
      <c r="AQ6145" t="s">
        <v>72</v>
      </c>
      <c r="AR6145" t="s">
        <v>72</v>
      </c>
      <c r="AS6145">
        <v>441</v>
      </c>
      <c r="AT6145" s="4">
        <v>42416</v>
      </c>
      <c r="AU6145" t="s">
        <v>73</v>
      </c>
      <c r="AV6145">
        <v>441</v>
      </c>
      <c r="AW6145" s="4">
        <v>42416</v>
      </c>
      <c r="BD6145">
        <v>0</v>
      </c>
      <c r="BN6145" t="s">
        <v>74</v>
      </c>
    </row>
    <row r="6146" spans="1:66" hidden="1">
      <c r="A6146">
        <v>104045</v>
      </c>
      <c r="B6146" s="3" t="s">
        <v>601</v>
      </c>
      <c r="C6146" s="1">
        <v>43300101</v>
      </c>
      <c r="D6146" t="s">
        <v>67</v>
      </c>
      <c r="H6146" t="str">
        <f t="shared" si="635"/>
        <v>02364520615</v>
      </c>
      <c r="I6146" t="str">
        <f t="shared" si="635"/>
        <v>02364520615</v>
      </c>
      <c r="K6146" t="str">
        <f>""</f>
        <v/>
      </c>
      <c r="M6146" t="s">
        <v>68</v>
      </c>
      <c r="N6146" t="str">
        <f t="shared" si="636"/>
        <v>FOR</v>
      </c>
      <c r="O6146" t="s">
        <v>69</v>
      </c>
      <c r="P6146" s="3" t="s">
        <v>75</v>
      </c>
      <c r="Q6146">
        <v>2015</v>
      </c>
      <c r="R6146" s="2">
        <v>42338</v>
      </c>
      <c r="S6146" s="2">
        <v>42339</v>
      </c>
      <c r="T6146" s="2">
        <v>42339</v>
      </c>
      <c r="U6146" s="2">
        <v>42399</v>
      </c>
      <c r="V6146" t="s">
        <v>71</v>
      </c>
      <c r="W6146" t="str">
        <f>"               73/02"</f>
        <v xml:space="preserve">               73/02</v>
      </c>
      <c r="X6146" s="1">
        <v>27540.89</v>
      </c>
      <c r="Y6146">
        <v>0</v>
      </c>
      <c r="Z6146"/>
      <c r="AB6146"/>
      <c r="AC6146" s="1">
        <v>22574.5</v>
      </c>
      <c r="AD6146">
        <v>54</v>
      </c>
      <c r="AE6146" s="1">
        <v>1219023</v>
      </c>
      <c r="AF6146">
        <v>0</v>
      </c>
      <c r="AJ6146">
        <v>0</v>
      </c>
      <c r="AK6146">
        <v>0</v>
      </c>
      <c r="AL6146">
        <v>0</v>
      </c>
      <c r="AM6146">
        <v>0</v>
      </c>
      <c r="AN6146">
        <v>0</v>
      </c>
      <c r="AO6146">
        <v>0</v>
      </c>
      <c r="AP6146" s="2">
        <v>42746</v>
      </c>
      <c r="AQ6146" t="s">
        <v>72</v>
      </c>
      <c r="AR6146" t="s">
        <v>72</v>
      </c>
      <c r="AS6146">
        <v>878</v>
      </c>
      <c r="AT6146" s="4">
        <v>42453</v>
      </c>
      <c r="AU6146" t="s">
        <v>73</v>
      </c>
      <c r="AV6146">
        <v>878</v>
      </c>
      <c r="AW6146" s="4">
        <v>42453</v>
      </c>
      <c r="BD6146">
        <v>0</v>
      </c>
      <c r="BN6146" t="s">
        <v>74</v>
      </c>
    </row>
    <row r="6147" spans="1:66" hidden="1">
      <c r="A6147">
        <v>104045</v>
      </c>
      <c r="B6147" s="3" t="s">
        <v>601</v>
      </c>
      <c r="C6147" s="1">
        <v>43300101</v>
      </c>
      <c r="D6147" t="s">
        <v>67</v>
      </c>
      <c r="H6147" t="str">
        <f t="shared" si="635"/>
        <v>02364520615</v>
      </c>
      <c r="I6147" t="str">
        <f t="shared" si="635"/>
        <v>02364520615</v>
      </c>
      <c r="K6147" t="str">
        <f>""</f>
        <v/>
      </c>
      <c r="M6147" t="s">
        <v>68</v>
      </c>
      <c r="N6147" t="str">
        <f t="shared" si="636"/>
        <v>FOR</v>
      </c>
      <c r="O6147" t="s">
        <v>69</v>
      </c>
      <c r="P6147" s="3" t="s">
        <v>75</v>
      </c>
      <c r="Q6147">
        <v>2015</v>
      </c>
      <c r="R6147" s="2">
        <v>42366</v>
      </c>
      <c r="S6147" s="2">
        <v>42368</v>
      </c>
      <c r="T6147" s="2">
        <v>42366</v>
      </c>
      <c r="U6147" s="2">
        <v>42426</v>
      </c>
      <c r="V6147" t="s">
        <v>71</v>
      </c>
      <c r="W6147" t="str">
        <f>"               85/02"</f>
        <v xml:space="preserve">               85/02</v>
      </c>
      <c r="X6147" s="1">
        <v>27540.89</v>
      </c>
      <c r="Y6147">
        <v>0</v>
      </c>
      <c r="Z6147"/>
      <c r="AB6147"/>
      <c r="AC6147" s="1">
        <v>22574.5</v>
      </c>
      <c r="AD6147">
        <v>103</v>
      </c>
      <c r="AE6147" s="1">
        <v>2325173.5</v>
      </c>
      <c r="AF6147">
        <v>0</v>
      </c>
      <c r="AJ6147">
        <v>0</v>
      </c>
      <c r="AK6147">
        <v>0</v>
      </c>
      <c r="AL6147">
        <v>0</v>
      </c>
      <c r="AM6147">
        <v>0</v>
      </c>
      <c r="AN6147">
        <v>0</v>
      </c>
      <c r="AO6147">
        <v>0</v>
      </c>
      <c r="AP6147" s="2">
        <v>42746</v>
      </c>
      <c r="AQ6147" t="s">
        <v>72</v>
      </c>
      <c r="AR6147" t="s">
        <v>72</v>
      </c>
      <c r="AS6147">
        <v>1588</v>
      </c>
      <c r="AT6147" s="4">
        <v>42529</v>
      </c>
      <c r="AU6147" t="s">
        <v>73</v>
      </c>
      <c r="AV6147">
        <v>1588</v>
      </c>
      <c r="AW6147" s="4">
        <v>42529</v>
      </c>
      <c r="BD6147">
        <v>0</v>
      </c>
      <c r="BN6147" t="s">
        <v>74</v>
      </c>
    </row>
    <row r="6148" spans="1:66" hidden="1">
      <c r="A6148">
        <v>104045</v>
      </c>
      <c r="B6148" s="3" t="s">
        <v>601</v>
      </c>
      <c r="C6148" s="1">
        <v>43300101</v>
      </c>
      <c r="D6148" t="s">
        <v>67</v>
      </c>
      <c r="H6148" t="str">
        <f t="shared" si="635"/>
        <v>02364520615</v>
      </c>
      <c r="I6148" t="str">
        <f t="shared" si="635"/>
        <v>02364520615</v>
      </c>
      <c r="K6148" t="str">
        <f>""</f>
        <v/>
      </c>
      <c r="M6148" t="s">
        <v>68</v>
      </c>
      <c r="N6148" t="str">
        <f t="shared" si="636"/>
        <v>FOR</v>
      </c>
      <c r="O6148" t="s">
        <v>69</v>
      </c>
      <c r="P6148" s="3" t="s">
        <v>75</v>
      </c>
      <c r="Q6148">
        <v>2016</v>
      </c>
      <c r="R6148" s="2">
        <v>42396</v>
      </c>
      <c r="S6148" s="2">
        <v>42410</v>
      </c>
      <c r="T6148" s="2">
        <v>42409</v>
      </c>
      <c r="U6148" s="2">
        <v>42469</v>
      </c>
      <c r="V6148" t="s">
        <v>71</v>
      </c>
      <c r="W6148" t="str">
        <f>"               04/02"</f>
        <v xml:space="preserve">               04/02</v>
      </c>
      <c r="X6148" s="1">
        <v>27540.89</v>
      </c>
      <c r="Y6148">
        <v>0</v>
      </c>
      <c r="Z6148"/>
      <c r="AB6148"/>
      <c r="AC6148" s="1">
        <v>22574.5</v>
      </c>
      <c r="AD6148">
        <v>108</v>
      </c>
      <c r="AE6148" s="1">
        <v>2438046</v>
      </c>
      <c r="AF6148">
        <v>0</v>
      </c>
      <c r="AJ6148">
        <v>0</v>
      </c>
      <c r="AK6148">
        <v>0</v>
      </c>
      <c r="AL6148">
        <v>0</v>
      </c>
      <c r="AM6148" s="1">
        <v>27540.89</v>
      </c>
      <c r="AN6148" s="1">
        <v>27540.89</v>
      </c>
      <c r="AO6148" s="1">
        <v>27540.89</v>
      </c>
      <c r="AP6148" s="2">
        <v>42746</v>
      </c>
      <c r="AQ6148" t="s">
        <v>72</v>
      </c>
      <c r="AR6148" t="s">
        <v>72</v>
      </c>
      <c r="AS6148">
        <v>1926</v>
      </c>
      <c r="AT6148" s="4">
        <v>42577</v>
      </c>
      <c r="AU6148" t="s">
        <v>73</v>
      </c>
      <c r="AV6148">
        <v>1926</v>
      </c>
      <c r="AW6148" s="4">
        <v>42577</v>
      </c>
      <c r="BD6148">
        <v>0</v>
      </c>
      <c r="BN6148" t="s">
        <v>74</v>
      </c>
    </row>
    <row r="6149" spans="1:66" hidden="1">
      <c r="A6149">
        <v>104045</v>
      </c>
      <c r="B6149" s="3" t="s">
        <v>601</v>
      </c>
      <c r="C6149" s="1">
        <v>43300101</v>
      </c>
      <c r="D6149" t="s">
        <v>67</v>
      </c>
      <c r="H6149" t="str">
        <f t="shared" si="635"/>
        <v>02364520615</v>
      </c>
      <c r="I6149" t="str">
        <f t="shared" si="635"/>
        <v>02364520615</v>
      </c>
      <c r="K6149" t="str">
        <f>""</f>
        <v/>
      </c>
      <c r="M6149" t="s">
        <v>68</v>
      </c>
      <c r="N6149" t="str">
        <f t="shared" si="636"/>
        <v>FOR</v>
      </c>
      <c r="O6149" t="s">
        <v>69</v>
      </c>
      <c r="P6149" s="3" t="s">
        <v>75</v>
      </c>
      <c r="Q6149">
        <v>2016</v>
      </c>
      <c r="R6149" s="2">
        <v>42398</v>
      </c>
      <c r="S6149" s="2">
        <v>42433</v>
      </c>
      <c r="T6149" s="2">
        <v>42429</v>
      </c>
      <c r="U6149" s="2">
        <v>42489</v>
      </c>
      <c r="V6149" t="s">
        <v>71</v>
      </c>
      <c r="W6149" t="str">
        <f>"               15/02"</f>
        <v xml:space="preserve">               15/02</v>
      </c>
      <c r="X6149" s="1">
        <v>27540.89</v>
      </c>
      <c r="Y6149">
        <v>0</v>
      </c>
      <c r="Z6149"/>
      <c r="AB6149"/>
      <c r="AC6149" s="1">
        <v>22574.5</v>
      </c>
      <c r="AD6149">
        <v>130</v>
      </c>
      <c r="AE6149" s="1">
        <v>2934685</v>
      </c>
      <c r="AF6149">
        <v>0</v>
      </c>
      <c r="AJ6149">
        <v>0</v>
      </c>
      <c r="AK6149">
        <v>0</v>
      </c>
      <c r="AL6149">
        <v>0</v>
      </c>
      <c r="AM6149" s="1">
        <v>27540.89</v>
      </c>
      <c r="AN6149" s="1">
        <v>27540.89</v>
      </c>
      <c r="AO6149" s="1">
        <v>27540.89</v>
      </c>
      <c r="AP6149" s="2">
        <v>42746</v>
      </c>
      <c r="AQ6149" t="s">
        <v>72</v>
      </c>
      <c r="AR6149" t="s">
        <v>72</v>
      </c>
      <c r="AS6149">
        <v>2272</v>
      </c>
      <c r="AT6149" s="4">
        <v>42619</v>
      </c>
      <c r="AU6149" t="s">
        <v>73</v>
      </c>
      <c r="AV6149">
        <v>2272</v>
      </c>
      <c r="AW6149" s="4">
        <v>42619</v>
      </c>
      <c r="BD6149">
        <v>0</v>
      </c>
      <c r="BN6149" t="s">
        <v>74</v>
      </c>
    </row>
    <row r="6150" spans="1:66">
      <c r="A6150">
        <v>104045</v>
      </c>
      <c r="B6150" s="3" t="s">
        <v>601</v>
      </c>
      <c r="C6150" s="1">
        <v>43300101</v>
      </c>
      <c r="D6150" t="s">
        <v>67</v>
      </c>
      <c r="H6150" t="str">
        <f t="shared" si="635"/>
        <v>02364520615</v>
      </c>
      <c r="I6150" t="str">
        <f t="shared" si="635"/>
        <v>02364520615</v>
      </c>
      <c r="K6150" t="str">
        <f>""</f>
        <v/>
      </c>
      <c r="M6150" t="s">
        <v>68</v>
      </c>
      <c r="N6150" t="str">
        <f t="shared" si="636"/>
        <v>FOR</v>
      </c>
      <c r="O6150" t="s">
        <v>69</v>
      </c>
      <c r="P6150" s="3" t="s">
        <v>75</v>
      </c>
      <c r="Q6150">
        <v>2016</v>
      </c>
      <c r="R6150" s="2">
        <v>42458</v>
      </c>
      <c r="S6150" s="2">
        <v>42461</v>
      </c>
      <c r="T6150" s="2">
        <v>42458</v>
      </c>
      <c r="U6150" s="2">
        <v>42518</v>
      </c>
      <c r="V6150" t="s">
        <v>71</v>
      </c>
      <c r="W6150" t="str">
        <f>"               20/02"</f>
        <v xml:space="preserve">               20/02</v>
      </c>
      <c r="X6150" s="1">
        <v>27540.89</v>
      </c>
      <c r="Y6150">
        <v>0</v>
      </c>
      <c r="Z6150" s="5">
        <v>22574.5</v>
      </c>
      <c r="AA6150">
        <v>128</v>
      </c>
      <c r="AB6150" s="5">
        <v>2889536</v>
      </c>
      <c r="AC6150" s="1">
        <v>22574.5</v>
      </c>
      <c r="AD6150">
        <v>128</v>
      </c>
      <c r="AE6150" s="1">
        <v>2889536</v>
      </c>
      <c r="AF6150">
        <v>0</v>
      </c>
      <c r="AJ6150">
        <v>0</v>
      </c>
      <c r="AK6150">
        <v>0</v>
      </c>
      <c r="AL6150">
        <v>0</v>
      </c>
      <c r="AM6150" s="1">
        <v>27540.89</v>
      </c>
      <c r="AN6150" s="1">
        <v>27540.89</v>
      </c>
      <c r="AO6150" s="1">
        <v>27540.89</v>
      </c>
      <c r="AP6150" s="2">
        <v>42746</v>
      </c>
      <c r="AQ6150" t="s">
        <v>72</v>
      </c>
      <c r="AR6150" t="s">
        <v>72</v>
      </c>
      <c r="AS6150">
        <v>2557</v>
      </c>
      <c r="AT6150" s="4">
        <v>42646</v>
      </c>
      <c r="AU6150" t="s">
        <v>73</v>
      </c>
      <c r="AV6150">
        <v>2557</v>
      </c>
      <c r="AW6150" s="4">
        <v>42646</v>
      </c>
      <c r="BD6150">
        <v>0</v>
      </c>
      <c r="BN6150" t="s">
        <v>74</v>
      </c>
    </row>
    <row r="6151" spans="1:66">
      <c r="A6151">
        <v>104045</v>
      </c>
      <c r="B6151" s="3" t="s">
        <v>601</v>
      </c>
      <c r="C6151" s="1">
        <v>43300101</v>
      </c>
      <c r="D6151" t="s">
        <v>67</v>
      </c>
      <c r="H6151" t="str">
        <f t="shared" si="635"/>
        <v>02364520615</v>
      </c>
      <c r="I6151" t="str">
        <f t="shared" si="635"/>
        <v>02364520615</v>
      </c>
      <c r="K6151" t="str">
        <f>""</f>
        <v/>
      </c>
      <c r="M6151" t="s">
        <v>68</v>
      </c>
      <c r="N6151" t="str">
        <f t="shared" si="636"/>
        <v>FOR</v>
      </c>
      <c r="O6151" t="s">
        <v>69</v>
      </c>
      <c r="P6151" s="3" t="s">
        <v>75</v>
      </c>
      <c r="Q6151">
        <v>2016</v>
      </c>
      <c r="R6151" s="2">
        <v>42487</v>
      </c>
      <c r="S6151" s="2">
        <v>42487</v>
      </c>
      <c r="T6151" s="2">
        <v>42487</v>
      </c>
      <c r="U6151" s="2">
        <v>42547</v>
      </c>
      <c r="V6151" t="s">
        <v>71</v>
      </c>
      <c r="W6151" t="str">
        <f>"               31/02"</f>
        <v xml:space="preserve">               31/02</v>
      </c>
      <c r="X6151" s="1">
        <v>31537.61</v>
      </c>
      <c r="Y6151">
        <v>0</v>
      </c>
      <c r="Z6151" s="5">
        <v>25850.5</v>
      </c>
      <c r="AA6151">
        <v>136</v>
      </c>
      <c r="AB6151" s="5">
        <v>3515668</v>
      </c>
      <c r="AC6151" s="1">
        <v>25850.5</v>
      </c>
      <c r="AD6151">
        <v>136</v>
      </c>
      <c r="AE6151" s="1">
        <v>3515668</v>
      </c>
      <c r="AF6151">
        <v>0</v>
      </c>
      <c r="AJ6151">
        <v>0</v>
      </c>
      <c r="AK6151">
        <v>0</v>
      </c>
      <c r="AL6151">
        <v>0</v>
      </c>
      <c r="AM6151" s="1">
        <v>31537.61</v>
      </c>
      <c r="AN6151" s="1">
        <v>31537.61</v>
      </c>
      <c r="AO6151" s="1">
        <v>31537.61</v>
      </c>
      <c r="AP6151" s="2">
        <v>42746</v>
      </c>
      <c r="AQ6151" t="s">
        <v>72</v>
      </c>
      <c r="AR6151" t="s">
        <v>72</v>
      </c>
      <c r="AS6151">
        <v>3017</v>
      </c>
      <c r="AT6151" s="4">
        <v>42683</v>
      </c>
      <c r="AU6151" t="s">
        <v>73</v>
      </c>
      <c r="AV6151">
        <v>3017</v>
      </c>
      <c r="AW6151" s="4">
        <v>42683</v>
      </c>
      <c r="BD6151">
        <v>0</v>
      </c>
      <c r="BN6151" t="s">
        <v>74</v>
      </c>
    </row>
    <row r="6152" spans="1:66">
      <c r="A6152">
        <v>104045</v>
      </c>
      <c r="B6152" s="3" t="s">
        <v>601</v>
      </c>
      <c r="C6152" s="1">
        <v>43300101</v>
      </c>
      <c r="D6152" t="s">
        <v>67</v>
      </c>
      <c r="H6152" t="str">
        <f t="shared" si="635"/>
        <v>02364520615</v>
      </c>
      <c r="I6152" t="str">
        <f t="shared" si="635"/>
        <v>02364520615</v>
      </c>
      <c r="K6152" t="str">
        <f>""</f>
        <v/>
      </c>
      <c r="M6152" t="s">
        <v>68</v>
      </c>
      <c r="N6152" t="str">
        <f t="shared" si="636"/>
        <v>FOR</v>
      </c>
      <c r="O6152" t="s">
        <v>69</v>
      </c>
      <c r="P6152" s="3" t="s">
        <v>75</v>
      </c>
      <c r="Q6152">
        <v>2016</v>
      </c>
      <c r="R6152" s="2">
        <v>42516</v>
      </c>
      <c r="S6152" s="2">
        <v>42520</v>
      </c>
      <c r="T6152" s="2">
        <v>42517</v>
      </c>
      <c r="U6152" s="2">
        <v>42577</v>
      </c>
      <c r="V6152" t="s">
        <v>71</v>
      </c>
      <c r="W6152" t="str">
        <f>"               46/02"</f>
        <v xml:space="preserve">               46/02</v>
      </c>
      <c r="X6152" s="1">
        <v>31537.61</v>
      </c>
      <c r="Y6152">
        <v>0</v>
      </c>
      <c r="Z6152" s="5">
        <v>25850.5</v>
      </c>
      <c r="AA6152">
        <v>142</v>
      </c>
      <c r="AB6152" s="5">
        <v>3670771</v>
      </c>
      <c r="AC6152" s="1">
        <v>25850.5</v>
      </c>
      <c r="AD6152">
        <v>142</v>
      </c>
      <c r="AE6152" s="1">
        <v>3670771</v>
      </c>
      <c r="AF6152" s="1">
        <v>5687.11</v>
      </c>
      <c r="AJ6152">
        <v>0</v>
      </c>
      <c r="AK6152">
        <v>0</v>
      </c>
      <c r="AL6152">
        <v>0</v>
      </c>
      <c r="AM6152" s="1">
        <v>31537.61</v>
      </c>
      <c r="AN6152" s="1">
        <v>31537.61</v>
      </c>
      <c r="AO6152" s="1">
        <v>31537.61</v>
      </c>
      <c r="AP6152" s="2">
        <v>42746</v>
      </c>
      <c r="AQ6152" t="s">
        <v>72</v>
      </c>
      <c r="AR6152" t="s">
        <v>72</v>
      </c>
      <c r="AS6152">
        <v>3519</v>
      </c>
      <c r="AT6152" s="4">
        <v>42719</v>
      </c>
      <c r="AU6152" t="s">
        <v>73</v>
      </c>
      <c r="AV6152">
        <v>3519</v>
      </c>
      <c r="AW6152" s="4">
        <v>42719</v>
      </c>
      <c r="BC6152" s="1">
        <v>5687.11</v>
      </c>
      <c r="BD6152">
        <v>0</v>
      </c>
      <c r="BN6152" t="s">
        <v>74</v>
      </c>
    </row>
    <row r="6153" spans="1:66">
      <c r="A6153">
        <v>104045</v>
      </c>
      <c r="B6153" s="3" t="s">
        <v>601</v>
      </c>
      <c r="C6153" s="1">
        <v>43300101</v>
      </c>
      <c r="D6153" t="s">
        <v>67</v>
      </c>
      <c r="H6153" t="str">
        <f t="shared" si="635"/>
        <v>02364520615</v>
      </c>
      <c r="I6153" t="str">
        <f t="shared" si="635"/>
        <v>02364520615</v>
      </c>
      <c r="K6153" t="str">
        <f>""</f>
        <v/>
      </c>
      <c r="M6153" t="s">
        <v>68</v>
      </c>
      <c r="N6153" t="str">
        <f t="shared" si="636"/>
        <v>FOR</v>
      </c>
      <c r="O6153" t="s">
        <v>69</v>
      </c>
      <c r="P6153" s="3" t="s">
        <v>75</v>
      </c>
      <c r="Q6153">
        <v>2016</v>
      </c>
      <c r="R6153" s="2">
        <v>42548</v>
      </c>
      <c r="S6153" s="2">
        <v>42555</v>
      </c>
      <c r="T6153" s="2">
        <v>42555</v>
      </c>
      <c r="U6153" s="2">
        <v>42615</v>
      </c>
      <c r="V6153" t="s">
        <v>71</v>
      </c>
      <c r="W6153" t="str">
        <f>"               51/02"</f>
        <v xml:space="preserve">               51/02</v>
      </c>
      <c r="X6153" s="1">
        <v>31537.61</v>
      </c>
      <c r="Y6153">
        <v>0</v>
      </c>
      <c r="Z6153" s="5">
        <v>25850.5</v>
      </c>
      <c r="AA6153">
        <v>109</v>
      </c>
      <c r="AB6153" s="5">
        <v>2817704.5</v>
      </c>
      <c r="AC6153" s="1">
        <v>25850.5</v>
      </c>
      <c r="AD6153">
        <v>109</v>
      </c>
      <c r="AE6153" s="1">
        <v>2817704.5</v>
      </c>
      <c r="AF6153" s="1">
        <v>5687.11</v>
      </c>
      <c r="AJ6153">
        <v>0</v>
      </c>
      <c r="AK6153">
        <v>0</v>
      </c>
      <c r="AL6153">
        <v>0</v>
      </c>
      <c r="AM6153" s="1">
        <v>31537.61</v>
      </c>
      <c r="AN6153" s="1">
        <v>31537.61</v>
      </c>
      <c r="AO6153" s="1">
        <v>31537.61</v>
      </c>
      <c r="AP6153" s="2">
        <v>42746</v>
      </c>
      <c r="AQ6153" t="s">
        <v>72</v>
      </c>
      <c r="AR6153" t="s">
        <v>72</v>
      </c>
      <c r="AS6153">
        <v>3644</v>
      </c>
      <c r="AT6153" s="4">
        <v>42724</v>
      </c>
      <c r="AU6153" t="s">
        <v>73</v>
      </c>
      <c r="AV6153">
        <v>3644</v>
      </c>
      <c r="AW6153" s="4">
        <v>42724</v>
      </c>
      <c r="BA6153" s="1">
        <v>5687.11</v>
      </c>
      <c r="BD6153">
        <v>0</v>
      </c>
      <c r="BN6153" t="s">
        <v>74</v>
      </c>
    </row>
    <row r="6154" spans="1:66" hidden="1">
      <c r="A6154">
        <v>104048</v>
      </c>
      <c r="B6154" s="3" t="s">
        <v>602</v>
      </c>
      <c r="C6154" s="1">
        <v>43300101</v>
      </c>
      <c r="D6154" t="s">
        <v>67</v>
      </c>
      <c r="H6154" t="str">
        <f t="shared" ref="H6154:I6173" si="637">"00674840152"</f>
        <v>00674840152</v>
      </c>
      <c r="I6154" t="str">
        <f t="shared" si="637"/>
        <v>00674840152</v>
      </c>
      <c r="K6154" t="str">
        <f>""</f>
        <v/>
      </c>
      <c r="M6154" t="s">
        <v>68</v>
      </c>
      <c r="N6154" t="str">
        <f t="shared" si="636"/>
        <v>FOR</v>
      </c>
      <c r="O6154" t="s">
        <v>69</v>
      </c>
      <c r="P6154" s="3" t="s">
        <v>70</v>
      </c>
      <c r="Q6154">
        <v>2015</v>
      </c>
      <c r="R6154" s="2">
        <v>42035</v>
      </c>
      <c r="S6154" s="2">
        <v>42052</v>
      </c>
      <c r="T6154" s="2">
        <v>42052</v>
      </c>
      <c r="U6154" s="2">
        <v>42112</v>
      </c>
      <c r="V6154" t="s">
        <v>71</v>
      </c>
      <c r="W6154" t="str">
        <f>"          5301622967"</f>
        <v xml:space="preserve">          5301622967</v>
      </c>
      <c r="X6154">
        <v>333.4</v>
      </c>
      <c r="Y6154">
        <v>0</v>
      </c>
      <c r="Z6154"/>
      <c r="AB6154"/>
      <c r="AC6154">
        <v>273.27999999999997</v>
      </c>
      <c r="AD6154">
        <v>291</v>
      </c>
      <c r="AE6154" s="1">
        <v>79524.479999999996</v>
      </c>
      <c r="AF6154">
        <v>0</v>
      </c>
      <c r="AJ6154">
        <v>0</v>
      </c>
      <c r="AK6154">
        <v>0</v>
      </c>
      <c r="AL6154">
        <v>0</v>
      </c>
      <c r="AM6154">
        <v>0</v>
      </c>
      <c r="AN6154">
        <v>0</v>
      </c>
      <c r="AO6154">
        <v>0</v>
      </c>
      <c r="AP6154" s="2">
        <v>42746</v>
      </c>
      <c r="AQ6154" t="s">
        <v>72</v>
      </c>
      <c r="AR6154" t="s">
        <v>72</v>
      </c>
      <c r="AS6154">
        <v>230</v>
      </c>
      <c r="AT6154" s="4">
        <v>42403</v>
      </c>
      <c r="AU6154" t="s">
        <v>73</v>
      </c>
      <c r="AV6154">
        <v>230</v>
      </c>
      <c r="AW6154" s="4">
        <v>42403</v>
      </c>
      <c r="BD6154">
        <v>0</v>
      </c>
      <c r="BN6154" t="s">
        <v>74</v>
      </c>
    </row>
    <row r="6155" spans="1:66" hidden="1">
      <c r="A6155">
        <v>104048</v>
      </c>
      <c r="B6155" s="3" t="s">
        <v>602</v>
      </c>
      <c r="C6155" s="1">
        <v>43300101</v>
      </c>
      <c r="D6155" t="s">
        <v>67</v>
      </c>
      <c r="H6155" t="str">
        <f t="shared" si="637"/>
        <v>00674840152</v>
      </c>
      <c r="I6155" t="str">
        <f t="shared" si="637"/>
        <v>00674840152</v>
      </c>
      <c r="K6155" t="str">
        <f>""</f>
        <v/>
      </c>
      <c r="M6155" t="s">
        <v>68</v>
      </c>
      <c r="N6155" t="str">
        <f t="shared" si="636"/>
        <v>FOR</v>
      </c>
      <c r="O6155" t="s">
        <v>69</v>
      </c>
      <c r="P6155" s="3" t="s">
        <v>70</v>
      </c>
      <c r="Q6155">
        <v>2015</v>
      </c>
      <c r="R6155" s="2">
        <v>42035</v>
      </c>
      <c r="S6155" s="2">
        <v>42052</v>
      </c>
      <c r="T6155" s="2">
        <v>42052</v>
      </c>
      <c r="U6155" s="2">
        <v>42112</v>
      </c>
      <c r="V6155" t="s">
        <v>71</v>
      </c>
      <c r="W6155" t="str">
        <f>"          5301622968"</f>
        <v xml:space="preserve">          5301622968</v>
      </c>
      <c r="X6155">
        <v>166.7</v>
      </c>
      <c r="Y6155">
        <v>0</v>
      </c>
      <c r="Z6155"/>
      <c r="AB6155"/>
      <c r="AC6155">
        <v>136.63999999999999</v>
      </c>
      <c r="AD6155">
        <v>291</v>
      </c>
      <c r="AE6155" s="1">
        <v>39762.239999999998</v>
      </c>
      <c r="AF6155">
        <v>0</v>
      </c>
      <c r="AJ6155">
        <v>0</v>
      </c>
      <c r="AK6155">
        <v>0</v>
      </c>
      <c r="AL6155">
        <v>0</v>
      </c>
      <c r="AM6155">
        <v>0</v>
      </c>
      <c r="AN6155">
        <v>0</v>
      </c>
      <c r="AO6155">
        <v>0</v>
      </c>
      <c r="AP6155" s="2">
        <v>42746</v>
      </c>
      <c r="AQ6155" t="s">
        <v>72</v>
      </c>
      <c r="AR6155" t="s">
        <v>72</v>
      </c>
      <c r="AS6155">
        <v>230</v>
      </c>
      <c r="AT6155" s="4">
        <v>42403</v>
      </c>
      <c r="AU6155" t="s">
        <v>73</v>
      </c>
      <c r="AV6155">
        <v>230</v>
      </c>
      <c r="AW6155" s="4">
        <v>42403</v>
      </c>
      <c r="BD6155">
        <v>0</v>
      </c>
      <c r="BN6155" t="s">
        <v>74</v>
      </c>
    </row>
    <row r="6156" spans="1:66" hidden="1">
      <c r="A6156">
        <v>104048</v>
      </c>
      <c r="B6156" s="3" t="s">
        <v>602</v>
      </c>
      <c r="C6156" s="1">
        <v>43300101</v>
      </c>
      <c r="D6156" t="s">
        <v>67</v>
      </c>
      <c r="H6156" t="str">
        <f t="shared" si="637"/>
        <v>00674840152</v>
      </c>
      <c r="I6156" t="str">
        <f t="shared" si="637"/>
        <v>00674840152</v>
      </c>
      <c r="K6156" t="str">
        <f>""</f>
        <v/>
      </c>
      <c r="M6156" t="s">
        <v>68</v>
      </c>
      <c r="N6156" t="str">
        <f t="shared" si="636"/>
        <v>FOR</v>
      </c>
      <c r="O6156" t="s">
        <v>69</v>
      </c>
      <c r="P6156" s="3" t="s">
        <v>70</v>
      </c>
      <c r="Q6156">
        <v>2015</v>
      </c>
      <c r="R6156" s="2">
        <v>42057</v>
      </c>
      <c r="S6156" s="2">
        <v>42069</v>
      </c>
      <c r="T6156" s="2">
        <v>42069</v>
      </c>
      <c r="U6156" s="2">
        <v>42129</v>
      </c>
      <c r="V6156" t="s">
        <v>71</v>
      </c>
      <c r="W6156" t="str">
        <f>"          5301628109"</f>
        <v xml:space="preserve">          5301628109</v>
      </c>
      <c r="X6156" s="1">
        <v>1887.32</v>
      </c>
      <c r="Y6156">
        <v>0</v>
      </c>
      <c r="Z6156"/>
      <c r="AB6156"/>
      <c r="AC6156" s="1">
        <v>1546.98</v>
      </c>
      <c r="AD6156">
        <v>274</v>
      </c>
      <c r="AE6156" s="1">
        <v>423872.52</v>
      </c>
      <c r="AF6156">
        <v>0</v>
      </c>
      <c r="AJ6156">
        <v>0</v>
      </c>
      <c r="AK6156">
        <v>0</v>
      </c>
      <c r="AL6156">
        <v>0</v>
      </c>
      <c r="AM6156">
        <v>0</v>
      </c>
      <c r="AN6156">
        <v>0</v>
      </c>
      <c r="AO6156">
        <v>0</v>
      </c>
      <c r="AP6156" s="2">
        <v>42746</v>
      </c>
      <c r="AQ6156" t="s">
        <v>72</v>
      </c>
      <c r="AR6156" t="s">
        <v>72</v>
      </c>
      <c r="AS6156">
        <v>230</v>
      </c>
      <c r="AT6156" s="4">
        <v>42403</v>
      </c>
      <c r="AU6156" t="s">
        <v>73</v>
      </c>
      <c r="AV6156">
        <v>230</v>
      </c>
      <c r="AW6156" s="4">
        <v>42403</v>
      </c>
      <c r="BD6156">
        <v>0</v>
      </c>
      <c r="BN6156" t="s">
        <v>74</v>
      </c>
    </row>
    <row r="6157" spans="1:66" hidden="1">
      <c r="A6157">
        <v>104048</v>
      </c>
      <c r="B6157" s="3" t="s">
        <v>602</v>
      </c>
      <c r="C6157" s="1">
        <v>43300101</v>
      </c>
      <c r="D6157" t="s">
        <v>67</v>
      </c>
      <c r="H6157" t="str">
        <f t="shared" si="637"/>
        <v>00674840152</v>
      </c>
      <c r="I6157" t="str">
        <f t="shared" si="637"/>
        <v>00674840152</v>
      </c>
      <c r="K6157" t="str">
        <f>""</f>
        <v/>
      </c>
      <c r="M6157" t="s">
        <v>68</v>
      </c>
      <c r="N6157" t="str">
        <f t="shared" si="636"/>
        <v>FOR</v>
      </c>
      <c r="O6157" t="s">
        <v>69</v>
      </c>
      <c r="P6157" s="3" t="s">
        <v>70</v>
      </c>
      <c r="Q6157">
        <v>2015</v>
      </c>
      <c r="R6157" s="2">
        <v>42057</v>
      </c>
      <c r="S6157" s="2">
        <v>42069</v>
      </c>
      <c r="T6157" s="2">
        <v>42069</v>
      </c>
      <c r="U6157" s="2">
        <v>42129</v>
      </c>
      <c r="V6157" t="s">
        <v>71</v>
      </c>
      <c r="W6157" t="str">
        <f>"          5301628110"</f>
        <v xml:space="preserve">          5301628110</v>
      </c>
      <c r="X6157" s="1">
        <v>5856</v>
      </c>
      <c r="Y6157">
        <v>0</v>
      </c>
      <c r="Z6157"/>
      <c r="AB6157"/>
      <c r="AC6157" s="1">
        <v>4800</v>
      </c>
      <c r="AD6157">
        <v>274</v>
      </c>
      <c r="AE6157" s="1">
        <v>1315200</v>
      </c>
      <c r="AF6157">
        <v>0</v>
      </c>
      <c r="AJ6157">
        <v>0</v>
      </c>
      <c r="AK6157">
        <v>0</v>
      </c>
      <c r="AL6157">
        <v>0</v>
      </c>
      <c r="AM6157">
        <v>0</v>
      </c>
      <c r="AN6157">
        <v>0</v>
      </c>
      <c r="AO6157">
        <v>0</v>
      </c>
      <c r="AP6157" s="2">
        <v>42746</v>
      </c>
      <c r="AQ6157" t="s">
        <v>72</v>
      </c>
      <c r="AR6157" t="s">
        <v>72</v>
      </c>
      <c r="AS6157">
        <v>230</v>
      </c>
      <c r="AT6157" s="4">
        <v>42403</v>
      </c>
      <c r="AU6157" t="s">
        <v>73</v>
      </c>
      <c r="AV6157">
        <v>230</v>
      </c>
      <c r="AW6157" s="4">
        <v>42403</v>
      </c>
      <c r="BD6157">
        <v>0</v>
      </c>
      <c r="BN6157" t="s">
        <v>74</v>
      </c>
    </row>
    <row r="6158" spans="1:66" hidden="1">
      <c r="A6158">
        <v>104048</v>
      </c>
      <c r="B6158" s="3" t="s">
        <v>602</v>
      </c>
      <c r="C6158" s="1">
        <v>43300101</v>
      </c>
      <c r="D6158" t="s">
        <v>67</v>
      </c>
      <c r="H6158" t="str">
        <f t="shared" si="637"/>
        <v>00674840152</v>
      </c>
      <c r="I6158" t="str">
        <f t="shared" si="637"/>
        <v>00674840152</v>
      </c>
      <c r="K6158" t="str">
        <f>""</f>
        <v/>
      </c>
      <c r="M6158" t="s">
        <v>68</v>
      </c>
      <c r="N6158" t="str">
        <f t="shared" si="636"/>
        <v>FOR</v>
      </c>
      <c r="O6158" t="s">
        <v>69</v>
      </c>
      <c r="P6158" s="3" t="s">
        <v>70</v>
      </c>
      <c r="Q6158">
        <v>2015</v>
      </c>
      <c r="R6158" s="2">
        <v>42057</v>
      </c>
      <c r="S6158" s="2">
        <v>42069</v>
      </c>
      <c r="T6158" s="2">
        <v>42069</v>
      </c>
      <c r="U6158" s="2">
        <v>42129</v>
      </c>
      <c r="V6158" t="s">
        <v>71</v>
      </c>
      <c r="W6158" t="str">
        <f>"          5301628111"</f>
        <v xml:space="preserve">          5301628111</v>
      </c>
      <c r="X6158">
        <v>932.2</v>
      </c>
      <c r="Y6158">
        <v>0</v>
      </c>
      <c r="Z6158"/>
      <c r="AB6158"/>
      <c r="AC6158">
        <v>764.1</v>
      </c>
      <c r="AD6158">
        <v>274</v>
      </c>
      <c r="AE6158" s="1">
        <v>209363.4</v>
      </c>
      <c r="AF6158">
        <v>0</v>
      </c>
      <c r="AJ6158">
        <v>0</v>
      </c>
      <c r="AK6158">
        <v>0</v>
      </c>
      <c r="AL6158">
        <v>0</v>
      </c>
      <c r="AM6158">
        <v>0</v>
      </c>
      <c r="AN6158">
        <v>0</v>
      </c>
      <c r="AO6158">
        <v>0</v>
      </c>
      <c r="AP6158" s="2">
        <v>42746</v>
      </c>
      <c r="AQ6158" t="s">
        <v>72</v>
      </c>
      <c r="AR6158" t="s">
        <v>72</v>
      </c>
      <c r="AS6158">
        <v>230</v>
      </c>
      <c r="AT6158" s="4">
        <v>42403</v>
      </c>
      <c r="AU6158" t="s">
        <v>73</v>
      </c>
      <c r="AV6158">
        <v>230</v>
      </c>
      <c r="AW6158" s="4">
        <v>42403</v>
      </c>
      <c r="BD6158">
        <v>0</v>
      </c>
      <c r="BN6158" t="s">
        <v>74</v>
      </c>
    </row>
    <row r="6159" spans="1:66" hidden="1">
      <c r="A6159">
        <v>104048</v>
      </c>
      <c r="B6159" s="3" t="s">
        <v>602</v>
      </c>
      <c r="C6159" s="1">
        <v>43300101</v>
      </c>
      <c r="D6159" t="s">
        <v>67</v>
      </c>
      <c r="H6159" t="str">
        <f t="shared" si="637"/>
        <v>00674840152</v>
      </c>
      <c r="I6159" t="str">
        <f t="shared" si="637"/>
        <v>00674840152</v>
      </c>
      <c r="K6159" t="str">
        <f>""</f>
        <v/>
      </c>
      <c r="M6159" t="s">
        <v>68</v>
      </c>
      <c r="N6159" t="str">
        <f t="shared" si="636"/>
        <v>FOR</v>
      </c>
      <c r="O6159" t="s">
        <v>69</v>
      </c>
      <c r="P6159" s="3" t="s">
        <v>70</v>
      </c>
      <c r="Q6159">
        <v>2015</v>
      </c>
      <c r="R6159" s="2">
        <v>42057</v>
      </c>
      <c r="S6159" s="2">
        <v>42069</v>
      </c>
      <c r="T6159" s="2">
        <v>42069</v>
      </c>
      <c r="U6159" s="2">
        <v>42129</v>
      </c>
      <c r="V6159" t="s">
        <v>71</v>
      </c>
      <c r="W6159" t="str">
        <f>"          5301628112"</f>
        <v xml:space="preserve">          5301628112</v>
      </c>
      <c r="X6159">
        <v>152.33000000000001</v>
      </c>
      <c r="Y6159">
        <v>0</v>
      </c>
      <c r="Z6159"/>
      <c r="AB6159"/>
      <c r="AC6159">
        <v>124.86</v>
      </c>
      <c r="AD6159">
        <v>274</v>
      </c>
      <c r="AE6159" s="1">
        <v>34211.64</v>
      </c>
      <c r="AF6159">
        <v>0</v>
      </c>
      <c r="AJ6159">
        <v>0</v>
      </c>
      <c r="AK6159">
        <v>0</v>
      </c>
      <c r="AL6159">
        <v>0</v>
      </c>
      <c r="AM6159">
        <v>0</v>
      </c>
      <c r="AN6159">
        <v>0</v>
      </c>
      <c r="AO6159">
        <v>0</v>
      </c>
      <c r="AP6159" s="2">
        <v>42746</v>
      </c>
      <c r="AQ6159" t="s">
        <v>72</v>
      </c>
      <c r="AR6159" t="s">
        <v>72</v>
      </c>
      <c r="AS6159">
        <v>230</v>
      </c>
      <c r="AT6159" s="4">
        <v>42403</v>
      </c>
      <c r="AU6159" t="s">
        <v>73</v>
      </c>
      <c r="AV6159">
        <v>230</v>
      </c>
      <c r="AW6159" s="4">
        <v>42403</v>
      </c>
      <c r="BD6159">
        <v>0</v>
      </c>
      <c r="BN6159" t="s">
        <v>74</v>
      </c>
    </row>
    <row r="6160" spans="1:66" hidden="1">
      <c r="A6160">
        <v>104048</v>
      </c>
      <c r="B6160" s="3" t="s">
        <v>602</v>
      </c>
      <c r="C6160" s="1">
        <v>43300101</v>
      </c>
      <c r="D6160" t="s">
        <v>67</v>
      </c>
      <c r="H6160" t="str">
        <f t="shared" si="637"/>
        <v>00674840152</v>
      </c>
      <c r="I6160" t="str">
        <f t="shared" si="637"/>
        <v>00674840152</v>
      </c>
      <c r="K6160" t="str">
        <f>""</f>
        <v/>
      </c>
      <c r="M6160" t="s">
        <v>68</v>
      </c>
      <c r="N6160" t="str">
        <f t="shared" si="636"/>
        <v>FOR</v>
      </c>
      <c r="O6160" t="s">
        <v>69</v>
      </c>
      <c r="P6160" s="3" t="s">
        <v>70</v>
      </c>
      <c r="Q6160">
        <v>2015</v>
      </c>
      <c r="R6160" s="2">
        <v>42057</v>
      </c>
      <c r="S6160" s="2">
        <v>42069</v>
      </c>
      <c r="T6160" s="2">
        <v>42069</v>
      </c>
      <c r="U6160" s="2">
        <v>42129</v>
      </c>
      <c r="V6160" t="s">
        <v>71</v>
      </c>
      <c r="W6160" t="str">
        <f>"          5301628113"</f>
        <v xml:space="preserve">          5301628113</v>
      </c>
      <c r="X6160">
        <v>646.79999999999995</v>
      </c>
      <c r="Y6160">
        <v>0</v>
      </c>
      <c r="Z6160"/>
      <c r="AB6160"/>
      <c r="AC6160">
        <v>588</v>
      </c>
      <c r="AD6160">
        <v>274</v>
      </c>
      <c r="AE6160" s="1">
        <v>161112</v>
      </c>
      <c r="AF6160">
        <v>0</v>
      </c>
      <c r="AJ6160">
        <v>0</v>
      </c>
      <c r="AK6160">
        <v>0</v>
      </c>
      <c r="AL6160">
        <v>0</v>
      </c>
      <c r="AM6160">
        <v>0</v>
      </c>
      <c r="AN6160">
        <v>0</v>
      </c>
      <c r="AO6160">
        <v>0</v>
      </c>
      <c r="AP6160" s="2">
        <v>42746</v>
      </c>
      <c r="AQ6160" t="s">
        <v>72</v>
      </c>
      <c r="AR6160" t="s">
        <v>72</v>
      </c>
      <c r="AS6160">
        <v>230</v>
      </c>
      <c r="AT6160" s="4">
        <v>42403</v>
      </c>
      <c r="AU6160" t="s">
        <v>73</v>
      </c>
      <c r="AV6160">
        <v>230</v>
      </c>
      <c r="AW6160" s="4">
        <v>42403</v>
      </c>
      <c r="BD6160">
        <v>0</v>
      </c>
      <c r="BN6160" t="s">
        <v>74</v>
      </c>
    </row>
    <row r="6161" spans="1:66" hidden="1">
      <c r="A6161">
        <v>104048</v>
      </c>
      <c r="B6161" s="3" t="s">
        <v>602</v>
      </c>
      <c r="C6161" s="1">
        <v>43300101</v>
      </c>
      <c r="D6161" t="s">
        <v>67</v>
      </c>
      <c r="H6161" t="str">
        <f t="shared" si="637"/>
        <v>00674840152</v>
      </c>
      <c r="I6161" t="str">
        <f t="shared" si="637"/>
        <v>00674840152</v>
      </c>
      <c r="K6161" t="str">
        <f>""</f>
        <v/>
      </c>
      <c r="M6161" t="s">
        <v>68</v>
      </c>
      <c r="N6161" t="str">
        <f t="shared" si="636"/>
        <v>FOR</v>
      </c>
      <c r="O6161" t="s">
        <v>69</v>
      </c>
      <c r="P6161" s="3" t="s">
        <v>70</v>
      </c>
      <c r="Q6161">
        <v>2015</v>
      </c>
      <c r="R6161" s="2">
        <v>42057</v>
      </c>
      <c r="S6161" s="2">
        <v>42069</v>
      </c>
      <c r="T6161" s="2">
        <v>42069</v>
      </c>
      <c r="U6161" s="2">
        <v>42129</v>
      </c>
      <c r="V6161" t="s">
        <v>71</v>
      </c>
      <c r="W6161" t="str">
        <f>"          5301628114"</f>
        <v xml:space="preserve">          5301628114</v>
      </c>
      <c r="X6161">
        <v>644.79999999999995</v>
      </c>
      <c r="Y6161">
        <v>0</v>
      </c>
      <c r="Z6161"/>
      <c r="AB6161"/>
      <c r="AC6161">
        <v>620</v>
      </c>
      <c r="AD6161">
        <v>274</v>
      </c>
      <c r="AE6161" s="1">
        <v>169880</v>
      </c>
      <c r="AF6161">
        <v>0</v>
      </c>
      <c r="AJ6161">
        <v>0</v>
      </c>
      <c r="AK6161">
        <v>0</v>
      </c>
      <c r="AL6161">
        <v>0</v>
      </c>
      <c r="AM6161">
        <v>0</v>
      </c>
      <c r="AN6161">
        <v>0</v>
      </c>
      <c r="AO6161">
        <v>0</v>
      </c>
      <c r="AP6161" s="2">
        <v>42746</v>
      </c>
      <c r="AQ6161" t="s">
        <v>72</v>
      </c>
      <c r="AR6161" t="s">
        <v>72</v>
      </c>
      <c r="AS6161">
        <v>230</v>
      </c>
      <c r="AT6161" s="4">
        <v>42403</v>
      </c>
      <c r="AU6161" t="s">
        <v>73</v>
      </c>
      <c r="AV6161">
        <v>230</v>
      </c>
      <c r="AW6161" s="4">
        <v>42403</v>
      </c>
      <c r="BD6161">
        <v>0</v>
      </c>
      <c r="BN6161" t="s">
        <v>74</v>
      </c>
    </row>
    <row r="6162" spans="1:66" hidden="1">
      <c r="A6162">
        <v>104048</v>
      </c>
      <c r="B6162" s="3" t="s">
        <v>602</v>
      </c>
      <c r="C6162" s="1">
        <v>43300101</v>
      </c>
      <c r="D6162" t="s">
        <v>67</v>
      </c>
      <c r="H6162" t="str">
        <f t="shared" si="637"/>
        <v>00674840152</v>
      </c>
      <c r="I6162" t="str">
        <f t="shared" si="637"/>
        <v>00674840152</v>
      </c>
      <c r="K6162" t="str">
        <f>""</f>
        <v/>
      </c>
      <c r="M6162" t="s">
        <v>68</v>
      </c>
      <c r="N6162" t="str">
        <f t="shared" si="636"/>
        <v>FOR</v>
      </c>
      <c r="O6162" t="s">
        <v>69</v>
      </c>
      <c r="P6162" s="3" t="s">
        <v>70</v>
      </c>
      <c r="Q6162">
        <v>2015</v>
      </c>
      <c r="R6162" s="2">
        <v>42059</v>
      </c>
      <c r="S6162" s="2">
        <v>42069</v>
      </c>
      <c r="T6162" s="2">
        <v>42069</v>
      </c>
      <c r="U6162" s="2">
        <v>42129</v>
      </c>
      <c r="V6162" t="s">
        <v>71</v>
      </c>
      <c r="W6162" t="str">
        <f>"          5301631996"</f>
        <v xml:space="preserve">          5301631996</v>
      </c>
      <c r="X6162" s="1">
        <v>1965.54</v>
      </c>
      <c r="Y6162">
        <v>0</v>
      </c>
      <c r="Z6162"/>
      <c r="AB6162"/>
      <c r="AC6162" s="1">
        <v>1611.1</v>
      </c>
      <c r="AD6162">
        <v>274</v>
      </c>
      <c r="AE6162" s="1">
        <v>441441.4</v>
      </c>
      <c r="AF6162">
        <v>0</v>
      </c>
      <c r="AJ6162">
        <v>0</v>
      </c>
      <c r="AK6162">
        <v>0</v>
      </c>
      <c r="AL6162">
        <v>0</v>
      </c>
      <c r="AM6162">
        <v>0</v>
      </c>
      <c r="AN6162">
        <v>0</v>
      </c>
      <c r="AO6162">
        <v>0</v>
      </c>
      <c r="AP6162" s="2">
        <v>42746</v>
      </c>
      <c r="AQ6162" t="s">
        <v>72</v>
      </c>
      <c r="AR6162" t="s">
        <v>72</v>
      </c>
      <c r="AS6162">
        <v>230</v>
      </c>
      <c r="AT6162" s="4">
        <v>42403</v>
      </c>
      <c r="AU6162" t="s">
        <v>73</v>
      </c>
      <c r="AV6162">
        <v>230</v>
      </c>
      <c r="AW6162" s="4">
        <v>42403</v>
      </c>
      <c r="BD6162">
        <v>0</v>
      </c>
      <c r="BN6162" t="s">
        <v>74</v>
      </c>
    </row>
    <row r="6163" spans="1:66" hidden="1">
      <c r="A6163">
        <v>104048</v>
      </c>
      <c r="B6163" s="3" t="s">
        <v>602</v>
      </c>
      <c r="C6163" s="1">
        <v>43300101</v>
      </c>
      <c r="D6163" t="s">
        <v>67</v>
      </c>
      <c r="H6163" t="str">
        <f t="shared" si="637"/>
        <v>00674840152</v>
      </c>
      <c r="I6163" t="str">
        <f t="shared" si="637"/>
        <v>00674840152</v>
      </c>
      <c r="K6163" t="str">
        <f>""</f>
        <v/>
      </c>
      <c r="M6163" t="s">
        <v>68</v>
      </c>
      <c r="N6163" t="str">
        <f t="shared" si="636"/>
        <v>FOR</v>
      </c>
      <c r="O6163" t="s">
        <v>69</v>
      </c>
      <c r="P6163" s="3" t="s">
        <v>70</v>
      </c>
      <c r="Q6163">
        <v>2015</v>
      </c>
      <c r="R6163" s="2">
        <v>42059</v>
      </c>
      <c r="S6163" s="2">
        <v>42069</v>
      </c>
      <c r="T6163" s="2">
        <v>42069</v>
      </c>
      <c r="U6163" s="2">
        <v>42129</v>
      </c>
      <c r="V6163" t="s">
        <v>71</v>
      </c>
      <c r="W6163" t="str">
        <f>"          5301632138"</f>
        <v xml:space="preserve">          5301632138</v>
      </c>
      <c r="X6163" s="1">
        <v>2397.3000000000002</v>
      </c>
      <c r="Y6163">
        <v>0</v>
      </c>
      <c r="Z6163"/>
      <c r="AB6163"/>
      <c r="AC6163" s="1">
        <v>1965</v>
      </c>
      <c r="AD6163">
        <v>274</v>
      </c>
      <c r="AE6163" s="1">
        <v>538410</v>
      </c>
      <c r="AF6163">
        <v>0</v>
      </c>
      <c r="AJ6163">
        <v>0</v>
      </c>
      <c r="AK6163">
        <v>0</v>
      </c>
      <c r="AL6163">
        <v>0</v>
      </c>
      <c r="AM6163">
        <v>0</v>
      </c>
      <c r="AN6163">
        <v>0</v>
      </c>
      <c r="AO6163">
        <v>0</v>
      </c>
      <c r="AP6163" s="2">
        <v>42746</v>
      </c>
      <c r="AQ6163" t="s">
        <v>72</v>
      </c>
      <c r="AR6163" t="s">
        <v>72</v>
      </c>
      <c r="AS6163">
        <v>230</v>
      </c>
      <c r="AT6163" s="4">
        <v>42403</v>
      </c>
      <c r="AU6163" t="s">
        <v>73</v>
      </c>
      <c r="AV6163">
        <v>230</v>
      </c>
      <c r="AW6163" s="4">
        <v>42403</v>
      </c>
      <c r="BD6163">
        <v>0</v>
      </c>
      <c r="BN6163" t="s">
        <v>74</v>
      </c>
    </row>
    <row r="6164" spans="1:66" hidden="1">
      <c r="A6164">
        <v>104048</v>
      </c>
      <c r="B6164" s="3" t="s">
        <v>602</v>
      </c>
      <c r="C6164" s="1">
        <v>43300101</v>
      </c>
      <c r="D6164" t="s">
        <v>67</v>
      </c>
      <c r="H6164" t="str">
        <f t="shared" si="637"/>
        <v>00674840152</v>
      </c>
      <c r="I6164" t="str">
        <f t="shared" si="637"/>
        <v>00674840152</v>
      </c>
      <c r="K6164" t="str">
        <f>""</f>
        <v/>
      </c>
      <c r="M6164" t="s">
        <v>68</v>
      </c>
      <c r="N6164" t="str">
        <f t="shared" si="636"/>
        <v>FOR</v>
      </c>
      <c r="O6164" t="s">
        <v>69</v>
      </c>
      <c r="P6164" s="3" t="s">
        <v>70</v>
      </c>
      <c r="Q6164">
        <v>2015</v>
      </c>
      <c r="R6164" s="2">
        <v>42059</v>
      </c>
      <c r="S6164" s="2">
        <v>42069</v>
      </c>
      <c r="T6164" s="2">
        <v>42069</v>
      </c>
      <c r="U6164" s="2">
        <v>42129</v>
      </c>
      <c r="V6164" t="s">
        <v>71</v>
      </c>
      <c r="W6164" t="str">
        <f>"          5301632139"</f>
        <v xml:space="preserve">          5301632139</v>
      </c>
      <c r="X6164" s="1">
        <v>1512.8</v>
      </c>
      <c r="Y6164">
        <v>0</v>
      </c>
      <c r="Z6164"/>
      <c r="AB6164"/>
      <c r="AC6164" s="1">
        <v>1240</v>
      </c>
      <c r="AD6164">
        <v>274</v>
      </c>
      <c r="AE6164" s="1">
        <v>339760</v>
      </c>
      <c r="AF6164">
        <v>0</v>
      </c>
      <c r="AJ6164">
        <v>0</v>
      </c>
      <c r="AK6164">
        <v>0</v>
      </c>
      <c r="AL6164">
        <v>0</v>
      </c>
      <c r="AM6164">
        <v>0</v>
      </c>
      <c r="AN6164">
        <v>0</v>
      </c>
      <c r="AO6164">
        <v>0</v>
      </c>
      <c r="AP6164" s="2">
        <v>42746</v>
      </c>
      <c r="AQ6164" t="s">
        <v>72</v>
      </c>
      <c r="AR6164" t="s">
        <v>72</v>
      </c>
      <c r="AS6164">
        <v>230</v>
      </c>
      <c r="AT6164" s="4">
        <v>42403</v>
      </c>
      <c r="AU6164" t="s">
        <v>73</v>
      </c>
      <c r="AV6164">
        <v>230</v>
      </c>
      <c r="AW6164" s="4">
        <v>42403</v>
      </c>
      <c r="BD6164">
        <v>0</v>
      </c>
      <c r="BN6164" t="s">
        <v>74</v>
      </c>
    </row>
    <row r="6165" spans="1:66" hidden="1">
      <c r="A6165">
        <v>104048</v>
      </c>
      <c r="B6165" s="3" t="s">
        <v>602</v>
      </c>
      <c r="C6165" s="1">
        <v>43300101</v>
      </c>
      <c r="D6165" t="s">
        <v>67</v>
      </c>
      <c r="H6165" t="str">
        <f t="shared" si="637"/>
        <v>00674840152</v>
      </c>
      <c r="I6165" t="str">
        <f t="shared" si="637"/>
        <v>00674840152</v>
      </c>
      <c r="K6165" t="str">
        <f>""</f>
        <v/>
      </c>
      <c r="M6165" t="s">
        <v>68</v>
      </c>
      <c r="N6165" t="str">
        <f t="shared" si="636"/>
        <v>FOR</v>
      </c>
      <c r="O6165" t="s">
        <v>69</v>
      </c>
      <c r="P6165" s="3" t="s">
        <v>70</v>
      </c>
      <c r="Q6165">
        <v>2015</v>
      </c>
      <c r="R6165" s="2">
        <v>42065</v>
      </c>
      <c r="S6165" s="2">
        <v>42076</v>
      </c>
      <c r="T6165" s="2">
        <v>42076</v>
      </c>
      <c r="U6165" s="2">
        <v>42136</v>
      </c>
      <c r="V6165" t="s">
        <v>71</v>
      </c>
      <c r="W6165" t="str">
        <f>"          5301633620"</f>
        <v xml:space="preserve">          5301633620</v>
      </c>
      <c r="X6165">
        <v>322.57</v>
      </c>
      <c r="Y6165">
        <v>0</v>
      </c>
      <c r="Z6165"/>
      <c r="AB6165"/>
      <c r="AC6165">
        <v>264.39999999999998</v>
      </c>
      <c r="AD6165">
        <v>267</v>
      </c>
      <c r="AE6165" s="1">
        <v>70594.8</v>
      </c>
      <c r="AF6165">
        <v>0</v>
      </c>
      <c r="AJ6165">
        <v>0</v>
      </c>
      <c r="AK6165">
        <v>0</v>
      </c>
      <c r="AL6165">
        <v>0</v>
      </c>
      <c r="AM6165">
        <v>0</v>
      </c>
      <c r="AN6165">
        <v>0</v>
      </c>
      <c r="AO6165">
        <v>0</v>
      </c>
      <c r="AP6165" s="2">
        <v>42746</v>
      </c>
      <c r="AQ6165" t="s">
        <v>72</v>
      </c>
      <c r="AR6165" t="s">
        <v>72</v>
      </c>
      <c r="AS6165">
        <v>230</v>
      </c>
      <c r="AT6165" s="4">
        <v>42403</v>
      </c>
      <c r="AU6165" t="s">
        <v>73</v>
      </c>
      <c r="AV6165">
        <v>230</v>
      </c>
      <c r="AW6165" s="4">
        <v>42403</v>
      </c>
      <c r="BD6165">
        <v>0</v>
      </c>
      <c r="BN6165" t="s">
        <v>74</v>
      </c>
    </row>
    <row r="6166" spans="1:66" hidden="1">
      <c r="A6166">
        <v>104048</v>
      </c>
      <c r="B6166" s="3" t="s">
        <v>602</v>
      </c>
      <c r="C6166" s="1">
        <v>43300101</v>
      </c>
      <c r="D6166" t="s">
        <v>67</v>
      </c>
      <c r="H6166" t="str">
        <f t="shared" si="637"/>
        <v>00674840152</v>
      </c>
      <c r="I6166" t="str">
        <f t="shared" si="637"/>
        <v>00674840152</v>
      </c>
      <c r="K6166" t="str">
        <f>""</f>
        <v/>
      </c>
      <c r="M6166" t="s">
        <v>68</v>
      </c>
      <c r="N6166" t="str">
        <f t="shared" si="636"/>
        <v>FOR</v>
      </c>
      <c r="O6166" t="s">
        <v>69</v>
      </c>
      <c r="P6166" s="3" t="s">
        <v>70</v>
      </c>
      <c r="Q6166">
        <v>2015</v>
      </c>
      <c r="R6166" s="2">
        <v>42065</v>
      </c>
      <c r="S6166" s="2">
        <v>42076</v>
      </c>
      <c r="T6166" s="2">
        <v>42076</v>
      </c>
      <c r="U6166" s="2">
        <v>42136</v>
      </c>
      <c r="V6166" t="s">
        <v>71</v>
      </c>
      <c r="W6166" t="str">
        <f>"          5301633621"</f>
        <v xml:space="preserve">          5301633621</v>
      </c>
      <c r="X6166">
        <v>723.22</v>
      </c>
      <c r="Y6166">
        <v>0</v>
      </c>
      <c r="Z6166"/>
      <c r="AB6166"/>
      <c r="AC6166">
        <v>592.79999999999995</v>
      </c>
      <c r="AD6166">
        <v>267</v>
      </c>
      <c r="AE6166" s="1">
        <v>158277.6</v>
      </c>
      <c r="AF6166">
        <v>0</v>
      </c>
      <c r="AJ6166">
        <v>0</v>
      </c>
      <c r="AK6166">
        <v>0</v>
      </c>
      <c r="AL6166">
        <v>0</v>
      </c>
      <c r="AM6166">
        <v>0</v>
      </c>
      <c r="AN6166">
        <v>0</v>
      </c>
      <c r="AO6166">
        <v>0</v>
      </c>
      <c r="AP6166" s="2">
        <v>42746</v>
      </c>
      <c r="AQ6166" t="s">
        <v>72</v>
      </c>
      <c r="AR6166" t="s">
        <v>72</v>
      </c>
      <c r="AS6166">
        <v>230</v>
      </c>
      <c r="AT6166" s="4">
        <v>42403</v>
      </c>
      <c r="AU6166" t="s">
        <v>73</v>
      </c>
      <c r="AV6166">
        <v>230</v>
      </c>
      <c r="AW6166" s="4">
        <v>42403</v>
      </c>
      <c r="BD6166">
        <v>0</v>
      </c>
      <c r="BN6166" t="s">
        <v>74</v>
      </c>
    </row>
    <row r="6167" spans="1:66" hidden="1">
      <c r="A6167">
        <v>104048</v>
      </c>
      <c r="B6167" s="3" t="s">
        <v>602</v>
      </c>
      <c r="C6167" s="1">
        <v>43300101</v>
      </c>
      <c r="D6167" t="s">
        <v>67</v>
      </c>
      <c r="H6167" t="str">
        <f t="shared" si="637"/>
        <v>00674840152</v>
      </c>
      <c r="I6167" t="str">
        <f t="shared" si="637"/>
        <v>00674840152</v>
      </c>
      <c r="K6167" t="str">
        <f>""</f>
        <v/>
      </c>
      <c r="M6167" t="s">
        <v>68</v>
      </c>
      <c r="N6167" t="str">
        <f t="shared" si="636"/>
        <v>FOR</v>
      </c>
      <c r="O6167" t="s">
        <v>69</v>
      </c>
      <c r="P6167" s="3" t="s">
        <v>70</v>
      </c>
      <c r="Q6167">
        <v>2015</v>
      </c>
      <c r="R6167" s="2">
        <v>42065</v>
      </c>
      <c r="S6167" s="2">
        <v>42076</v>
      </c>
      <c r="T6167" s="2">
        <v>42076</v>
      </c>
      <c r="U6167" s="2">
        <v>42136</v>
      </c>
      <c r="V6167" t="s">
        <v>71</v>
      </c>
      <c r="W6167" t="str">
        <f>"          5301633622"</f>
        <v xml:space="preserve">          5301633622</v>
      </c>
      <c r="X6167">
        <v>583.16</v>
      </c>
      <c r="Y6167">
        <v>0</v>
      </c>
      <c r="Z6167"/>
      <c r="AB6167"/>
      <c r="AC6167">
        <v>478</v>
      </c>
      <c r="AD6167">
        <v>267</v>
      </c>
      <c r="AE6167" s="1">
        <v>127626</v>
      </c>
      <c r="AF6167">
        <v>0</v>
      </c>
      <c r="AJ6167">
        <v>0</v>
      </c>
      <c r="AK6167">
        <v>0</v>
      </c>
      <c r="AL6167">
        <v>0</v>
      </c>
      <c r="AM6167">
        <v>0</v>
      </c>
      <c r="AN6167">
        <v>0</v>
      </c>
      <c r="AO6167">
        <v>0</v>
      </c>
      <c r="AP6167" s="2">
        <v>42746</v>
      </c>
      <c r="AQ6167" t="s">
        <v>72</v>
      </c>
      <c r="AR6167" t="s">
        <v>72</v>
      </c>
      <c r="AS6167">
        <v>230</v>
      </c>
      <c r="AT6167" s="4">
        <v>42403</v>
      </c>
      <c r="AU6167" t="s">
        <v>73</v>
      </c>
      <c r="AV6167">
        <v>230</v>
      </c>
      <c r="AW6167" s="4">
        <v>42403</v>
      </c>
      <c r="BD6167">
        <v>0</v>
      </c>
      <c r="BN6167" t="s">
        <v>74</v>
      </c>
    </row>
    <row r="6168" spans="1:66" hidden="1">
      <c r="A6168">
        <v>104048</v>
      </c>
      <c r="B6168" s="3" t="s">
        <v>602</v>
      </c>
      <c r="C6168" s="1">
        <v>43300101</v>
      </c>
      <c r="D6168" t="s">
        <v>67</v>
      </c>
      <c r="H6168" t="str">
        <f t="shared" si="637"/>
        <v>00674840152</v>
      </c>
      <c r="I6168" t="str">
        <f t="shared" si="637"/>
        <v>00674840152</v>
      </c>
      <c r="K6168" t="str">
        <f>""</f>
        <v/>
      </c>
      <c r="M6168" t="s">
        <v>68</v>
      </c>
      <c r="N6168" t="str">
        <f t="shared" si="636"/>
        <v>FOR</v>
      </c>
      <c r="O6168" t="s">
        <v>69</v>
      </c>
      <c r="P6168" s="3" t="s">
        <v>70</v>
      </c>
      <c r="Q6168">
        <v>2015</v>
      </c>
      <c r="R6168" s="2">
        <v>42065</v>
      </c>
      <c r="S6168" s="2">
        <v>42076</v>
      </c>
      <c r="T6168" s="2">
        <v>42076</v>
      </c>
      <c r="U6168" s="2">
        <v>42136</v>
      </c>
      <c r="V6168" t="s">
        <v>71</v>
      </c>
      <c r="W6168" t="str">
        <f>"          5301633623"</f>
        <v xml:space="preserve">          5301633623</v>
      </c>
      <c r="X6168">
        <v>752.98</v>
      </c>
      <c r="Y6168">
        <v>0</v>
      </c>
      <c r="Z6168"/>
      <c r="AB6168"/>
      <c r="AC6168">
        <v>617.20000000000005</v>
      </c>
      <c r="AD6168">
        <v>267</v>
      </c>
      <c r="AE6168" s="1">
        <v>164792.4</v>
      </c>
      <c r="AF6168">
        <v>0</v>
      </c>
      <c r="AJ6168">
        <v>0</v>
      </c>
      <c r="AK6168">
        <v>0</v>
      </c>
      <c r="AL6168">
        <v>0</v>
      </c>
      <c r="AM6168">
        <v>0</v>
      </c>
      <c r="AN6168">
        <v>0</v>
      </c>
      <c r="AO6168">
        <v>0</v>
      </c>
      <c r="AP6168" s="2">
        <v>42746</v>
      </c>
      <c r="AQ6168" t="s">
        <v>72</v>
      </c>
      <c r="AR6168" t="s">
        <v>72</v>
      </c>
      <c r="AS6168">
        <v>230</v>
      </c>
      <c r="AT6168" s="4">
        <v>42403</v>
      </c>
      <c r="AU6168" t="s">
        <v>73</v>
      </c>
      <c r="AV6168">
        <v>230</v>
      </c>
      <c r="AW6168" s="4">
        <v>42403</v>
      </c>
      <c r="BD6168">
        <v>0</v>
      </c>
      <c r="BN6168" t="s">
        <v>74</v>
      </c>
    </row>
    <row r="6169" spans="1:66" hidden="1">
      <c r="A6169">
        <v>104048</v>
      </c>
      <c r="B6169" s="3" t="s">
        <v>602</v>
      </c>
      <c r="C6169" s="1">
        <v>43300101</v>
      </c>
      <c r="D6169" t="s">
        <v>67</v>
      </c>
      <c r="H6169" t="str">
        <f t="shared" si="637"/>
        <v>00674840152</v>
      </c>
      <c r="I6169" t="str">
        <f t="shared" si="637"/>
        <v>00674840152</v>
      </c>
      <c r="K6169" t="str">
        <f>""</f>
        <v/>
      </c>
      <c r="M6169" t="s">
        <v>68</v>
      </c>
      <c r="N6169" t="str">
        <f t="shared" si="636"/>
        <v>FOR</v>
      </c>
      <c r="O6169" t="s">
        <v>69</v>
      </c>
      <c r="P6169" s="3" t="s">
        <v>70</v>
      </c>
      <c r="Q6169">
        <v>2015</v>
      </c>
      <c r="R6169" s="2">
        <v>42065</v>
      </c>
      <c r="S6169" s="2">
        <v>42076</v>
      </c>
      <c r="T6169" s="2">
        <v>42076</v>
      </c>
      <c r="U6169" s="2">
        <v>42136</v>
      </c>
      <c r="V6169" t="s">
        <v>71</v>
      </c>
      <c r="W6169" t="str">
        <f>"          5301633624"</f>
        <v xml:space="preserve">          5301633624</v>
      </c>
      <c r="X6169">
        <v>651.97</v>
      </c>
      <c r="Y6169">
        <v>0</v>
      </c>
      <c r="Z6169"/>
      <c r="AB6169"/>
      <c r="AC6169">
        <v>534.4</v>
      </c>
      <c r="AD6169">
        <v>267</v>
      </c>
      <c r="AE6169" s="1">
        <v>142684.79999999999</v>
      </c>
      <c r="AF6169">
        <v>0</v>
      </c>
      <c r="AJ6169">
        <v>0</v>
      </c>
      <c r="AK6169">
        <v>0</v>
      </c>
      <c r="AL6169">
        <v>0</v>
      </c>
      <c r="AM6169">
        <v>0</v>
      </c>
      <c r="AN6169">
        <v>0</v>
      </c>
      <c r="AO6169">
        <v>0</v>
      </c>
      <c r="AP6169" s="2">
        <v>42746</v>
      </c>
      <c r="AQ6169" t="s">
        <v>72</v>
      </c>
      <c r="AR6169" t="s">
        <v>72</v>
      </c>
      <c r="AS6169">
        <v>230</v>
      </c>
      <c r="AT6169" s="4">
        <v>42403</v>
      </c>
      <c r="AU6169" t="s">
        <v>73</v>
      </c>
      <c r="AV6169">
        <v>230</v>
      </c>
      <c r="AW6169" s="4">
        <v>42403</v>
      </c>
      <c r="BD6169">
        <v>0</v>
      </c>
      <c r="BN6169" t="s">
        <v>74</v>
      </c>
    </row>
    <row r="6170" spans="1:66" hidden="1">
      <c r="A6170">
        <v>104048</v>
      </c>
      <c r="B6170" s="3" t="s">
        <v>602</v>
      </c>
      <c r="C6170" s="1">
        <v>43300101</v>
      </c>
      <c r="D6170" t="s">
        <v>67</v>
      </c>
      <c r="H6170" t="str">
        <f t="shared" si="637"/>
        <v>00674840152</v>
      </c>
      <c r="I6170" t="str">
        <f t="shared" si="637"/>
        <v>00674840152</v>
      </c>
      <c r="K6170" t="str">
        <f>""</f>
        <v/>
      </c>
      <c r="M6170" t="s">
        <v>68</v>
      </c>
      <c r="N6170" t="str">
        <f t="shared" si="636"/>
        <v>FOR</v>
      </c>
      <c r="O6170" t="s">
        <v>69</v>
      </c>
      <c r="P6170" s="3" t="s">
        <v>70</v>
      </c>
      <c r="Q6170">
        <v>2015</v>
      </c>
      <c r="R6170" s="2">
        <v>42065</v>
      </c>
      <c r="S6170" s="2">
        <v>42076</v>
      </c>
      <c r="T6170" s="2">
        <v>42076</v>
      </c>
      <c r="U6170" s="2">
        <v>42136</v>
      </c>
      <c r="V6170" t="s">
        <v>71</v>
      </c>
      <c r="W6170" t="str">
        <f>"          5301633625"</f>
        <v xml:space="preserve">          5301633625</v>
      </c>
      <c r="X6170">
        <v>346.48</v>
      </c>
      <c r="Y6170">
        <v>0</v>
      </c>
      <c r="Z6170"/>
      <c r="AB6170"/>
      <c r="AC6170">
        <v>284</v>
      </c>
      <c r="AD6170">
        <v>267</v>
      </c>
      <c r="AE6170" s="1">
        <v>75828</v>
      </c>
      <c r="AF6170">
        <v>0</v>
      </c>
      <c r="AJ6170">
        <v>0</v>
      </c>
      <c r="AK6170">
        <v>0</v>
      </c>
      <c r="AL6170">
        <v>0</v>
      </c>
      <c r="AM6170">
        <v>0</v>
      </c>
      <c r="AN6170">
        <v>0</v>
      </c>
      <c r="AO6170">
        <v>0</v>
      </c>
      <c r="AP6170" s="2">
        <v>42746</v>
      </c>
      <c r="AQ6170" t="s">
        <v>72</v>
      </c>
      <c r="AR6170" t="s">
        <v>72</v>
      </c>
      <c r="AS6170">
        <v>230</v>
      </c>
      <c r="AT6170" s="4">
        <v>42403</v>
      </c>
      <c r="AU6170" t="s">
        <v>73</v>
      </c>
      <c r="AV6170">
        <v>230</v>
      </c>
      <c r="AW6170" s="4">
        <v>42403</v>
      </c>
      <c r="BD6170">
        <v>0</v>
      </c>
      <c r="BN6170" t="s">
        <v>74</v>
      </c>
    </row>
    <row r="6171" spans="1:66" hidden="1">
      <c r="A6171">
        <v>104048</v>
      </c>
      <c r="B6171" s="3" t="s">
        <v>602</v>
      </c>
      <c r="C6171" s="1">
        <v>43300101</v>
      </c>
      <c r="D6171" t="s">
        <v>67</v>
      </c>
      <c r="H6171" t="str">
        <f t="shared" si="637"/>
        <v>00674840152</v>
      </c>
      <c r="I6171" t="str">
        <f t="shared" si="637"/>
        <v>00674840152</v>
      </c>
      <c r="K6171" t="str">
        <f>""</f>
        <v/>
      </c>
      <c r="M6171" t="s">
        <v>68</v>
      </c>
      <c r="N6171" t="str">
        <f t="shared" si="636"/>
        <v>FOR</v>
      </c>
      <c r="O6171" t="s">
        <v>69</v>
      </c>
      <c r="P6171" s="3" t="s">
        <v>70</v>
      </c>
      <c r="Q6171">
        <v>2015</v>
      </c>
      <c r="R6171" s="2">
        <v>42065</v>
      </c>
      <c r="S6171" s="2">
        <v>42076</v>
      </c>
      <c r="T6171" s="2">
        <v>42076</v>
      </c>
      <c r="U6171" s="2">
        <v>42136</v>
      </c>
      <c r="V6171" t="s">
        <v>71</v>
      </c>
      <c r="W6171" t="str">
        <f>"          5301633626"</f>
        <v xml:space="preserve">          5301633626</v>
      </c>
      <c r="X6171">
        <v>368.93</v>
      </c>
      <c r="Y6171">
        <v>0</v>
      </c>
      <c r="Z6171"/>
      <c r="AB6171"/>
      <c r="AC6171">
        <v>302.39999999999998</v>
      </c>
      <c r="AD6171">
        <v>267</v>
      </c>
      <c r="AE6171" s="1">
        <v>80740.800000000003</v>
      </c>
      <c r="AF6171">
        <v>0</v>
      </c>
      <c r="AJ6171">
        <v>0</v>
      </c>
      <c r="AK6171">
        <v>0</v>
      </c>
      <c r="AL6171">
        <v>0</v>
      </c>
      <c r="AM6171">
        <v>0</v>
      </c>
      <c r="AN6171">
        <v>0</v>
      </c>
      <c r="AO6171">
        <v>0</v>
      </c>
      <c r="AP6171" s="2">
        <v>42746</v>
      </c>
      <c r="AQ6171" t="s">
        <v>72</v>
      </c>
      <c r="AR6171" t="s">
        <v>72</v>
      </c>
      <c r="AS6171">
        <v>230</v>
      </c>
      <c r="AT6171" s="4">
        <v>42403</v>
      </c>
      <c r="AU6171" t="s">
        <v>73</v>
      </c>
      <c r="AV6171">
        <v>230</v>
      </c>
      <c r="AW6171" s="4">
        <v>42403</v>
      </c>
      <c r="BD6171">
        <v>0</v>
      </c>
      <c r="BN6171" t="s">
        <v>74</v>
      </c>
    </row>
    <row r="6172" spans="1:66" hidden="1">
      <c r="A6172">
        <v>104048</v>
      </c>
      <c r="B6172" s="3" t="s">
        <v>602</v>
      </c>
      <c r="C6172" s="1">
        <v>43300101</v>
      </c>
      <c r="D6172" t="s">
        <v>67</v>
      </c>
      <c r="H6172" t="str">
        <f t="shared" si="637"/>
        <v>00674840152</v>
      </c>
      <c r="I6172" t="str">
        <f t="shared" si="637"/>
        <v>00674840152</v>
      </c>
      <c r="K6172" t="str">
        <f>""</f>
        <v/>
      </c>
      <c r="M6172" t="s">
        <v>68</v>
      </c>
      <c r="N6172" t="str">
        <f t="shared" si="636"/>
        <v>FOR</v>
      </c>
      <c r="O6172" t="s">
        <v>69</v>
      </c>
      <c r="P6172" s="3" t="s">
        <v>70</v>
      </c>
      <c r="Q6172">
        <v>2015</v>
      </c>
      <c r="R6172" s="2">
        <v>42065</v>
      </c>
      <c r="S6172" s="2">
        <v>42076</v>
      </c>
      <c r="T6172" s="2">
        <v>42076</v>
      </c>
      <c r="U6172" s="2">
        <v>42136</v>
      </c>
      <c r="V6172" t="s">
        <v>71</v>
      </c>
      <c r="W6172" t="str">
        <f>"          5301633627"</f>
        <v xml:space="preserve">          5301633627</v>
      </c>
      <c r="X6172">
        <v>389.67</v>
      </c>
      <c r="Y6172">
        <v>0</v>
      </c>
      <c r="Z6172"/>
      <c r="AB6172"/>
      <c r="AC6172">
        <v>319.39999999999998</v>
      </c>
      <c r="AD6172">
        <v>267</v>
      </c>
      <c r="AE6172" s="1">
        <v>85279.8</v>
      </c>
      <c r="AF6172">
        <v>0</v>
      </c>
      <c r="AJ6172">
        <v>0</v>
      </c>
      <c r="AK6172">
        <v>0</v>
      </c>
      <c r="AL6172">
        <v>0</v>
      </c>
      <c r="AM6172">
        <v>0</v>
      </c>
      <c r="AN6172">
        <v>0</v>
      </c>
      <c r="AO6172">
        <v>0</v>
      </c>
      <c r="AP6172" s="2">
        <v>42746</v>
      </c>
      <c r="AQ6172" t="s">
        <v>72</v>
      </c>
      <c r="AR6172" t="s">
        <v>72</v>
      </c>
      <c r="AS6172">
        <v>230</v>
      </c>
      <c r="AT6172" s="4">
        <v>42403</v>
      </c>
      <c r="AU6172" t="s">
        <v>73</v>
      </c>
      <c r="AV6172">
        <v>230</v>
      </c>
      <c r="AW6172" s="4">
        <v>42403</v>
      </c>
      <c r="BD6172">
        <v>0</v>
      </c>
      <c r="BN6172" t="s">
        <v>74</v>
      </c>
    </row>
    <row r="6173" spans="1:66" hidden="1">
      <c r="A6173">
        <v>104048</v>
      </c>
      <c r="B6173" s="3" t="s">
        <v>602</v>
      </c>
      <c r="C6173" s="1">
        <v>43300101</v>
      </c>
      <c r="D6173" t="s">
        <v>67</v>
      </c>
      <c r="H6173" t="str">
        <f t="shared" si="637"/>
        <v>00674840152</v>
      </c>
      <c r="I6173" t="str">
        <f t="shared" si="637"/>
        <v>00674840152</v>
      </c>
      <c r="K6173" t="str">
        <f>""</f>
        <v/>
      </c>
      <c r="M6173" t="s">
        <v>68</v>
      </c>
      <c r="N6173" t="str">
        <f t="shared" si="636"/>
        <v>FOR</v>
      </c>
      <c r="O6173" t="s">
        <v>69</v>
      </c>
      <c r="P6173" s="3" t="s">
        <v>70</v>
      </c>
      <c r="Q6173">
        <v>2015</v>
      </c>
      <c r="R6173" s="2">
        <v>42065</v>
      </c>
      <c r="S6173" s="2">
        <v>42076</v>
      </c>
      <c r="T6173" s="2">
        <v>42076</v>
      </c>
      <c r="U6173" s="2">
        <v>42136</v>
      </c>
      <c r="V6173" t="s">
        <v>71</v>
      </c>
      <c r="W6173" t="str">
        <f>"          5301633628"</f>
        <v xml:space="preserve">          5301633628</v>
      </c>
      <c r="X6173">
        <v>856.93</v>
      </c>
      <c r="Y6173">
        <v>0</v>
      </c>
      <c r="Z6173"/>
      <c r="AB6173"/>
      <c r="AC6173">
        <v>702.4</v>
      </c>
      <c r="AD6173">
        <v>267</v>
      </c>
      <c r="AE6173" s="1">
        <v>187540.8</v>
      </c>
      <c r="AF6173">
        <v>0</v>
      </c>
      <c r="AJ6173">
        <v>0</v>
      </c>
      <c r="AK6173">
        <v>0</v>
      </c>
      <c r="AL6173">
        <v>0</v>
      </c>
      <c r="AM6173">
        <v>0</v>
      </c>
      <c r="AN6173">
        <v>0</v>
      </c>
      <c r="AO6173">
        <v>0</v>
      </c>
      <c r="AP6173" s="2">
        <v>42746</v>
      </c>
      <c r="AQ6173" t="s">
        <v>72</v>
      </c>
      <c r="AR6173" t="s">
        <v>72</v>
      </c>
      <c r="AS6173">
        <v>230</v>
      </c>
      <c r="AT6173" s="4">
        <v>42403</v>
      </c>
      <c r="AU6173" t="s">
        <v>73</v>
      </c>
      <c r="AV6173">
        <v>230</v>
      </c>
      <c r="AW6173" s="4">
        <v>42403</v>
      </c>
      <c r="BD6173">
        <v>0</v>
      </c>
      <c r="BN6173" t="s">
        <v>74</v>
      </c>
    </row>
    <row r="6174" spans="1:66" hidden="1">
      <c r="A6174">
        <v>104048</v>
      </c>
      <c r="B6174" s="3" t="s">
        <v>602</v>
      </c>
      <c r="C6174" s="1">
        <v>43300101</v>
      </c>
      <c r="D6174" t="s">
        <v>67</v>
      </c>
      <c r="H6174" t="str">
        <f t="shared" ref="H6174:I6193" si="638">"00674840152"</f>
        <v>00674840152</v>
      </c>
      <c r="I6174" t="str">
        <f t="shared" si="638"/>
        <v>00674840152</v>
      </c>
      <c r="K6174" t="str">
        <f>""</f>
        <v/>
      </c>
      <c r="M6174" t="s">
        <v>68</v>
      </c>
      <c r="N6174" t="str">
        <f t="shared" si="636"/>
        <v>FOR</v>
      </c>
      <c r="O6174" t="s">
        <v>69</v>
      </c>
      <c r="P6174" s="3" t="s">
        <v>70</v>
      </c>
      <c r="Q6174">
        <v>2015</v>
      </c>
      <c r="R6174" s="2">
        <v>42065</v>
      </c>
      <c r="S6174" s="2">
        <v>42076</v>
      </c>
      <c r="T6174" s="2">
        <v>42076</v>
      </c>
      <c r="U6174" s="2">
        <v>42136</v>
      </c>
      <c r="V6174" t="s">
        <v>71</v>
      </c>
      <c r="W6174" t="str">
        <f>"          5301633629"</f>
        <v xml:space="preserve">          5301633629</v>
      </c>
      <c r="X6174">
        <v>983.81</v>
      </c>
      <c r="Y6174">
        <v>0</v>
      </c>
      <c r="Z6174"/>
      <c r="AB6174"/>
      <c r="AC6174">
        <v>806.4</v>
      </c>
      <c r="AD6174">
        <v>267</v>
      </c>
      <c r="AE6174" s="1">
        <v>215308.79999999999</v>
      </c>
      <c r="AF6174">
        <v>0</v>
      </c>
      <c r="AJ6174">
        <v>0</v>
      </c>
      <c r="AK6174">
        <v>0</v>
      </c>
      <c r="AL6174">
        <v>0</v>
      </c>
      <c r="AM6174">
        <v>0</v>
      </c>
      <c r="AN6174">
        <v>0</v>
      </c>
      <c r="AO6174">
        <v>0</v>
      </c>
      <c r="AP6174" s="2">
        <v>42746</v>
      </c>
      <c r="AQ6174" t="s">
        <v>72</v>
      </c>
      <c r="AR6174" t="s">
        <v>72</v>
      </c>
      <c r="AS6174">
        <v>230</v>
      </c>
      <c r="AT6174" s="4">
        <v>42403</v>
      </c>
      <c r="AU6174" t="s">
        <v>73</v>
      </c>
      <c r="AV6174">
        <v>230</v>
      </c>
      <c r="AW6174" s="4">
        <v>42403</v>
      </c>
      <c r="BD6174">
        <v>0</v>
      </c>
      <c r="BN6174" t="s">
        <v>74</v>
      </c>
    </row>
    <row r="6175" spans="1:66" hidden="1">
      <c r="A6175">
        <v>104048</v>
      </c>
      <c r="B6175" s="3" t="s">
        <v>602</v>
      </c>
      <c r="C6175" s="1">
        <v>43300101</v>
      </c>
      <c r="D6175" t="s">
        <v>67</v>
      </c>
      <c r="H6175" t="str">
        <f t="shared" si="638"/>
        <v>00674840152</v>
      </c>
      <c r="I6175" t="str">
        <f t="shared" si="638"/>
        <v>00674840152</v>
      </c>
      <c r="K6175" t="str">
        <f>""</f>
        <v/>
      </c>
      <c r="M6175" t="s">
        <v>68</v>
      </c>
      <c r="N6175" t="str">
        <f t="shared" si="636"/>
        <v>FOR</v>
      </c>
      <c r="O6175" t="s">
        <v>69</v>
      </c>
      <c r="P6175" s="3" t="s">
        <v>70</v>
      </c>
      <c r="Q6175">
        <v>2015</v>
      </c>
      <c r="R6175" s="2">
        <v>42065</v>
      </c>
      <c r="S6175" s="2">
        <v>42076</v>
      </c>
      <c r="T6175" s="2">
        <v>42076</v>
      </c>
      <c r="U6175" s="2">
        <v>42136</v>
      </c>
      <c r="V6175" t="s">
        <v>71</v>
      </c>
      <c r="W6175" t="str">
        <f>"          5301633630"</f>
        <v xml:space="preserve">          5301633630</v>
      </c>
      <c r="X6175">
        <v>704.43</v>
      </c>
      <c r="Y6175">
        <v>0</v>
      </c>
      <c r="Z6175"/>
      <c r="AB6175"/>
      <c r="AC6175">
        <v>577.4</v>
      </c>
      <c r="AD6175">
        <v>267</v>
      </c>
      <c r="AE6175" s="1">
        <v>154165.79999999999</v>
      </c>
      <c r="AF6175">
        <v>0</v>
      </c>
      <c r="AJ6175">
        <v>0</v>
      </c>
      <c r="AK6175">
        <v>0</v>
      </c>
      <c r="AL6175">
        <v>0</v>
      </c>
      <c r="AM6175">
        <v>0</v>
      </c>
      <c r="AN6175">
        <v>0</v>
      </c>
      <c r="AO6175">
        <v>0</v>
      </c>
      <c r="AP6175" s="2">
        <v>42746</v>
      </c>
      <c r="AQ6175" t="s">
        <v>72</v>
      </c>
      <c r="AR6175" t="s">
        <v>72</v>
      </c>
      <c r="AS6175">
        <v>230</v>
      </c>
      <c r="AT6175" s="4">
        <v>42403</v>
      </c>
      <c r="AU6175" t="s">
        <v>73</v>
      </c>
      <c r="AV6175">
        <v>230</v>
      </c>
      <c r="AW6175" s="4">
        <v>42403</v>
      </c>
      <c r="BD6175">
        <v>0</v>
      </c>
      <c r="BN6175" t="s">
        <v>74</v>
      </c>
    </row>
    <row r="6176" spans="1:66" hidden="1">
      <c r="A6176">
        <v>104048</v>
      </c>
      <c r="B6176" s="3" t="s">
        <v>602</v>
      </c>
      <c r="C6176" s="1">
        <v>43300101</v>
      </c>
      <c r="D6176" t="s">
        <v>67</v>
      </c>
      <c r="H6176" t="str">
        <f t="shared" si="638"/>
        <v>00674840152</v>
      </c>
      <c r="I6176" t="str">
        <f t="shared" si="638"/>
        <v>00674840152</v>
      </c>
      <c r="K6176" t="str">
        <f>""</f>
        <v/>
      </c>
      <c r="M6176" t="s">
        <v>68</v>
      </c>
      <c r="N6176" t="str">
        <f t="shared" si="636"/>
        <v>FOR</v>
      </c>
      <c r="O6176" t="s">
        <v>69</v>
      </c>
      <c r="P6176" s="3" t="s">
        <v>70</v>
      </c>
      <c r="Q6176">
        <v>2015</v>
      </c>
      <c r="R6176" s="2">
        <v>42065</v>
      </c>
      <c r="S6176" s="2">
        <v>42076</v>
      </c>
      <c r="T6176" s="2">
        <v>42076</v>
      </c>
      <c r="U6176" s="2">
        <v>42136</v>
      </c>
      <c r="V6176" t="s">
        <v>71</v>
      </c>
      <c r="W6176" t="str">
        <f>"          5301633631"</f>
        <v xml:space="preserve">          5301633631</v>
      </c>
      <c r="X6176">
        <v>566.57000000000005</v>
      </c>
      <c r="Y6176">
        <v>0</v>
      </c>
      <c r="Z6176"/>
      <c r="AB6176"/>
      <c r="AC6176">
        <v>464.4</v>
      </c>
      <c r="AD6176">
        <v>267</v>
      </c>
      <c r="AE6176" s="1">
        <v>123994.8</v>
      </c>
      <c r="AF6176">
        <v>0</v>
      </c>
      <c r="AJ6176">
        <v>0</v>
      </c>
      <c r="AK6176">
        <v>0</v>
      </c>
      <c r="AL6176">
        <v>0</v>
      </c>
      <c r="AM6176">
        <v>0</v>
      </c>
      <c r="AN6176">
        <v>0</v>
      </c>
      <c r="AO6176">
        <v>0</v>
      </c>
      <c r="AP6176" s="2">
        <v>42746</v>
      </c>
      <c r="AQ6176" t="s">
        <v>72</v>
      </c>
      <c r="AR6176" t="s">
        <v>72</v>
      </c>
      <c r="AS6176">
        <v>230</v>
      </c>
      <c r="AT6176" s="4">
        <v>42403</v>
      </c>
      <c r="AU6176" t="s">
        <v>73</v>
      </c>
      <c r="AV6176">
        <v>230</v>
      </c>
      <c r="AW6176" s="4">
        <v>42403</v>
      </c>
      <c r="BD6176">
        <v>0</v>
      </c>
      <c r="BN6176" t="s">
        <v>74</v>
      </c>
    </row>
    <row r="6177" spans="1:66" hidden="1">
      <c r="A6177">
        <v>104048</v>
      </c>
      <c r="B6177" s="3" t="s">
        <v>602</v>
      </c>
      <c r="C6177" s="1">
        <v>43300101</v>
      </c>
      <c r="D6177" t="s">
        <v>67</v>
      </c>
      <c r="H6177" t="str">
        <f t="shared" si="638"/>
        <v>00674840152</v>
      </c>
      <c r="I6177" t="str">
        <f t="shared" si="638"/>
        <v>00674840152</v>
      </c>
      <c r="K6177" t="str">
        <f>""</f>
        <v/>
      </c>
      <c r="M6177" t="s">
        <v>68</v>
      </c>
      <c r="N6177" t="str">
        <f t="shared" si="636"/>
        <v>FOR</v>
      </c>
      <c r="O6177" t="s">
        <v>69</v>
      </c>
      <c r="P6177" s="3" t="s">
        <v>70</v>
      </c>
      <c r="Q6177">
        <v>2015</v>
      </c>
      <c r="R6177" s="2">
        <v>42065</v>
      </c>
      <c r="S6177" s="2">
        <v>42076</v>
      </c>
      <c r="T6177" s="2">
        <v>42076</v>
      </c>
      <c r="U6177" s="2">
        <v>42136</v>
      </c>
      <c r="V6177" t="s">
        <v>71</v>
      </c>
      <c r="W6177" t="str">
        <f>"          5301633632"</f>
        <v xml:space="preserve">          5301633632</v>
      </c>
      <c r="X6177">
        <v>30.01</v>
      </c>
      <c r="Y6177">
        <v>0</v>
      </c>
      <c r="Z6177"/>
      <c r="AB6177"/>
      <c r="AC6177">
        <v>24.6</v>
      </c>
      <c r="AD6177">
        <v>267</v>
      </c>
      <c r="AE6177" s="1">
        <v>6568.2</v>
      </c>
      <c r="AF6177">
        <v>0</v>
      </c>
      <c r="AJ6177">
        <v>0</v>
      </c>
      <c r="AK6177">
        <v>0</v>
      </c>
      <c r="AL6177">
        <v>0</v>
      </c>
      <c r="AM6177">
        <v>0</v>
      </c>
      <c r="AN6177">
        <v>0</v>
      </c>
      <c r="AO6177">
        <v>0</v>
      </c>
      <c r="AP6177" s="2">
        <v>42746</v>
      </c>
      <c r="AQ6177" t="s">
        <v>72</v>
      </c>
      <c r="AR6177" t="s">
        <v>72</v>
      </c>
      <c r="AS6177">
        <v>230</v>
      </c>
      <c r="AT6177" s="4">
        <v>42403</v>
      </c>
      <c r="AU6177" t="s">
        <v>73</v>
      </c>
      <c r="AV6177">
        <v>230</v>
      </c>
      <c r="AW6177" s="4">
        <v>42403</v>
      </c>
      <c r="BD6177">
        <v>0</v>
      </c>
      <c r="BN6177" t="s">
        <v>74</v>
      </c>
    </row>
    <row r="6178" spans="1:66" hidden="1">
      <c r="A6178">
        <v>104048</v>
      </c>
      <c r="B6178" s="3" t="s">
        <v>602</v>
      </c>
      <c r="C6178" s="1">
        <v>43300101</v>
      </c>
      <c r="D6178" t="s">
        <v>67</v>
      </c>
      <c r="H6178" t="str">
        <f t="shared" si="638"/>
        <v>00674840152</v>
      </c>
      <c r="I6178" t="str">
        <f t="shared" si="638"/>
        <v>00674840152</v>
      </c>
      <c r="K6178" t="str">
        <f>""</f>
        <v/>
      </c>
      <c r="M6178" t="s">
        <v>68</v>
      </c>
      <c r="N6178" t="str">
        <f t="shared" si="636"/>
        <v>FOR</v>
      </c>
      <c r="O6178" t="s">
        <v>69</v>
      </c>
      <c r="P6178" s="3" t="s">
        <v>70</v>
      </c>
      <c r="Q6178">
        <v>2015</v>
      </c>
      <c r="R6178" s="2">
        <v>42065</v>
      </c>
      <c r="S6178" s="2">
        <v>42076</v>
      </c>
      <c r="T6178" s="2">
        <v>42076</v>
      </c>
      <c r="U6178" s="2">
        <v>42136</v>
      </c>
      <c r="V6178" t="s">
        <v>71</v>
      </c>
      <c r="W6178" t="str">
        <f>"          5301633633"</f>
        <v xml:space="preserve">          5301633633</v>
      </c>
      <c r="X6178">
        <v>68.319999999999993</v>
      </c>
      <c r="Y6178">
        <v>0</v>
      </c>
      <c r="Z6178"/>
      <c r="AB6178"/>
      <c r="AC6178">
        <v>56</v>
      </c>
      <c r="AD6178">
        <v>267</v>
      </c>
      <c r="AE6178" s="1">
        <v>14952</v>
      </c>
      <c r="AF6178">
        <v>0</v>
      </c>
      <c r="AJ6178">
        <v>0</v>
      </c>
      <c r="AK6178">
        <v>0</v>
      </c>
      <c r="AL6178">
        <v>0</v>
      </c>
      <c r="AM6178">
        <v>0</v>
      </c>
      <c r="AN6178">
        <v>0</v>
      </c>
      <c r="AO6178">
        <v>0</v>
      </c>
      <c r="AP6178" s="2">
        <v>42746</v>
      </c>
      <c r="AQ6178" t="s">
        <v>72</v>
      </c>
      <c r="AR6178" t="s">
        <v>72</v>
      </c>
      <c r="AS6178">
        <v>230</v>
      </c>
      <c r="AT6178" s="4">
        <v>42403</v>
      </c>
      <c r="AU6178" t="s">
        <v>73</v>
      </c>
      <c r="AV6178">
        <v>230</v>
      </c>
      <c r="AW6178" s="4">
        <v>42403</v>
      </c>
      <c r="BD6178">
        <v>0</v>
      </c>
      <c r="BN6178" t="s">
        <v>74</v>
      </c>
    </row>
    <row r="6179" spans="1:66" hidden="1">
      <c r="A6179">
        <v>104048</v>
      </c>
      <c r="B6179" s="3" t="s">
        <v>602</v>
      </c>
      <c r="C6179" s="1">
        <v>43300101</v>
      </c>
      <c r="D6179" t="s">
        <v>67</v>
      </c>
      <c r="H6179" t="str">
        <f t="shared" si="638"/>
        <v>00674840152</v>
      </c>
      <c r="I6179" t="str">
        <f t="shared" si="638"/>
        <v>00674840152</v>
      </c>
      <c r="K6179" t="str">
        <f>""</f>
        <v/>
      </c>
      <c r="M6179" t="s">
        <v>68</v>
      </c>
      <c r="N6179" t="str">
        <f t="shared" si="636"/>
        <v>FOR</v>
      </c>
      <c r="O6179" t="s">
        <v>69</v>
      </c>
      <c r="P6179" s="3" t="s">
        <v>70</v>
      </c>
      <c r="Q6179">
        <v>2015</v>
      </c>
      <c r="R6179" s="2">
        <v>42065</v>
      </c>
      <c r="S6179" s="2">
        <v>42076</v>
      </c>
      <c r="T6179" s="2">
        <v>42076</v>
      </c>
      <c r="U6179" s="2">
        <v>42136</v>
      </c>
      <c r="V6179" t="s">
        <v>71</v>
      </c>
      <c r="W6179" t="str">
        <f>"          5301633634"</f>
        <v xml:space="preserve">          5301633634</v>
      </c>
      <c r="X6179">
        <v>76.13</v>
      </c>
      <c r="Y6179">
        <v>0</v>
      </c>
      <c r="Z6179"/>
      <c r="AB6179"/>
      <c r="AC6179">
        <v>62.4</v>
      </c>
      <c r="AD6179">
        <v>267</v>
      </c>
      <c r="AE6179" s="1">
        <v>16660.8</v>
      </c>
      <c r="AF6179">
        <v>0</v>
      </c>
      <c r="AJ6179">
        <v>0</v>
      </c>
      <c r="AK6179">
        <v>0</v>
      </c>
      <c r="AL6179">
        <v>0</v>
      </c>
      <c r="AM6179">
        <v>0</v>
      </c>
      <c r="AN6179">
        <v>0</v>
      </c>
      <c r="AO6179">
        <v>0</v>
      </c>
      <c r="AP6179" s="2">
        <v>42746</v>
      </c>
      <c r="AQ6179" t="s">
        <v>72</v>
      </c>
      <c r="AR6179" t="s">
        <v>72</v>
      </c>
      <c r="AS6179">
        <v>230</v>
      </c>
      <c r="AT6179" s="4">
        <v>42403</v>
      </c>
      <c r="AU6179" t="s">
        <v>73</v>
      </c>
      <c r="AV6179">
        <v>230</v>
      </c>
      <c r="AW6179" s="4">
        <v>42403</v>
      </c>
      <c r="BD6179">
        <v>0</v>
      </c>
      <c r="BN6179" t="s">
        <v>74</v>
      </c>
    </row>
    <row r="6180" spans="1:66" hidden="1">
      <c r="A6180">
        <v>104048</v>
      </c>
      <c r="B6180" s="3" t="s">
        <v>602</v>
      </c>
      <c r="C6180" s="1">
        <v>43300101</v>
      </c>
      <c r="D6180" t="s">
        <v>67</v>
      </c>
      <c r="H6180" t="str">
        <f t="shared" si="638"/>
        <v>00674840152</v>
      </c>
      <c r="I6180" t="str">
        <f t="shared" si="638"/>
        <v>00674840152</v>
      </c>
      <c r="K6180" t="str">
        <f>""</f>
        <v/>
      </c>
      <c r="M6180" t="s">
        <v>68</v>
      </c>
      <c r="N6180" t="str">
        <f t="shared" si="636"/>
        <v>FOR</v>
      </c>
      <c r="O6180" t="s">
        <v>69</v>
      </c>
      <c r="P6180" s="3" t="s">
        <v>70</v>
      </c>
      <c r="Q6180">
        <v>2015</v>
      </c>
      <c r="R6180" s="2">
        <v>42065</v>
      </c>
      <c r="S6180" s="2">
        <v>42076</v>
      </c>
      <c r="T6180" s="2">
        <v>42076</v>
      </c>
      <c r="U6180" s="2">
        <v>42136</v>
      </c>
      <c r="V6180" t="s">
        <v>71</v>
      </c>
      <c r="W6180" t="str">
        <f>"          5301633635"</f>
        <v xml:space="preserve">          5301633635</v>
      </c>
      <c r="X6180">
        <v>84.42</v>
      </c>
      <c r="Y6180">
        <v>0</v>
      </c>
      <c r="Z6180"/>
      <c r="AB6180"/>
      <c r="AC6180">
        <v>69.2</v>
      </c>
      <c r="AD6180">
        <v>267</v>
      </c>
      <c r="AE6180" s="1">
        <v>18476.400000000001</v>
      </c>
      <c r="AF6180">
        <v>0</v>
      </c>
      <c r="AJ6180">
        <v>0</v>
      </c>
      <c r="AK6180">
        <v>0</v>
      </c>
      <c r="AL6180">
        <v>0</v>
      </c>
      <c r="AM6180">
        <v>0</v>
      </c>
      <c r="AN6180">
        <v>0</v>
      </c>
      <c r="AO6180">
        <v>0</v>
      </c>
      <c r="AP6180" s="2">
        <v>42746</v>
      </c>
      <c r="AQ6180" t="s">
        <v>72</v>
      </c>
      <c r="AR6180" t="s">
        <v>72</v>
      </c>
      <c r="AS6180">
        <v>230</v>
      </c>
      <c r="AT6180" s="4">
        <v>42403</v>
      </c>
      <c r="AU6180" t="s">
        <v>73</v>
      </c>
      <c r="AV6180">
        <v>230</v>
      </c>
      <c r="AW6180" s="4">
        <v>42403</v>
      </c>
      <c r="BD6180">
        <v>0</v>
      </c>
      <c r="BN6180" t="s">
        <v>74</v>
      </c>
    </row>
    <row r="6181" spans="1:66" hidden="1">
      <c r="A6181">
        <v>104048</v>
      </c>
      <c r="B6181" s="3" t="s">
        <v>602</v>
      </c>
      <c r="C6181" s="1">
        <v>43300101</v>
      </c>
      <c r="D6181" t="s">
        <v>67</v>
      </c>
      <c r="H6181" t="str">
        <f t="shared" si="638"/>
        <v>00674840152</v>
      </c>
      <c r="I6181" t="str">
        <f t="shared" si="638"/>
        <v>00674840152</v>
      </c>
      <c r="K6181" t="str">
        <f>""</f>
        <v/>
      </c>
      <c r="M6181" t="s">
        <v>68</v>
      </c>
      <c r="N6181" t="str">
        <f t="shared" si="636"/>
        <v>FOR</v>
      </c>
      <c r="O6181" t="s">
        <v>69</v>
      </c>
      <c r="P6181" s="3" t="s">
        <v>70</v>
      </c>
      <c r="Q6181">
        <v>2015</v>
      </c>
      <c r="R6181" s="2">
        <v>42065</v>
      </c>
      <c r="S6181" s="2">
        <v>42076</v>
      </c>
      <c r="T6181" s="2">
        <v>42076</v>
      </c>
      <c r="U6181" s="2">
        <v>42136</v>
      </c>
      <c r="V6181" t="s">
        <v>71</v>
      </c>
      <c r="W6181" t="str">
        <f>"          5301633636"</f>
        <v xml:space="preserve">          5301633636</v>
      </c>
      <c r="X6181" s="1">
        <v>1039.81</v>
      </c>
      <c r="Y6181">
        <v>0</v>
      </c>
      <c r="Z6181"/>
      <c r="AB6181"/>
      <c r="AC6181">
        <v>852.3</v>
      </c>
      <c r="AD6181">
        <v>267</v>
      </c>
      <c r="AE6181" s="1">
        <v>227564.1</v>
      </c>
      <c r="AF6181">
        <v>0</v>
      </c>
      <c r="AJ6181">
        <v>0</v>
      </c>
      <c r="AK6181">
        <v>0</v>
      </c>
      <c r="AL6181">
        <v>0</v>
      </c>
      <c r="AM6181">
        <v>0</v>
      </c>
      <c r="AN6181">
        <v>0</v>
      </c>
      <c r="AO6181">
        <v>0</v>
      </c>
      <c r="AP6181" s="2">
        <v>42746</v>
      </c>
      <c r="AQ6181" t="s">
        <v>72</v>
      </c>
      <c r="AR6181" t="s">
        <v>72</v>
      </c>
      <c r="AS6181">
        <v>230</v>
      </c>
      <c r="AT6181" s="4">
        <v>42403</v>
      </c>
      <c r="AU6181" t="s">
        <v>73</v>
      </c>
      <c r="AV6181">
        <v>230</v>
      </c>
      <c r="AW6181" s="4">
        <v>42403</v>
      </c>
      <c r="BD6181">
        <v>0</v>
      </c>
      <c r="BN6181" t="s">
        <v>74</v>
      </c>
    </row>
    <row r="6182" spans="1:66" hidden="1">
      <c r="A6182">
        <v>104048</v>
      </c>
      <c r="B6182" s="3" t="s">
        <v>602</v>
      </c>
      <c r="C6182" s="1">
        <v>43300101</v>
      </c>
      <c r="D6182" t="s">
        <v>67</v>
      </c>
      <c r="H6182" t="str">
        <f t="shared" si="638"/>
        <v>00674840152</v>
      </c>
      <c r="I6182" t="str">
        <f t="shared" si="638"/>
        <v>00674840152</v>
      </c>
      <c r="K6182" t="str">
        <f>""</f>
        <v/>
      </c>
      <c r="M6182" t="s">
        <v>68</v>
      </c>
      <c r="N6182" t="str">
        <f t="shared" si="636"/>
        <v>FOR</v>
      </c>
      <c r="O6182" t="s">
        <v>69</v>
      </c>
      <c r="P6182" s="3" t="s">
        <v>70</v>
      </c>
      <c r="Q6182">
        <v>2015</v>
      </c>
      <c r="R6182" s="2">
        <v>42065</v>
      </c>
      <c r="S6182" s="2">
        <v>42076</v>
      </c>
      <c r="T6182" s="2">
        <v>42076</v>
      </c>
      <c r="U6182" s="2">
        <v>42136</v>
      </c>
      <c r="V6182" t="s">
        <v>71</v>
      </c>
      <c r="W6182" t="str">
        <f>"          5301633637"</f>
        <v xml:space="preserve">          5301633637</v>
      </c>
      <c r="X6182">
        <v>27.08</v>
      </c>
      <c r="Y6182">
        <v>0</v>
      </c>
      <c r="Z6182"/>
      <c r="AB6182"/>
      <c r="AC6182">
        <v>22.2</v>
      </c>
      <c r="AD6182">
        <v>267</v>
      </c>
      <c r="AE6182" s="1">
        <v>5927.4</v>
      </c>
      <c r="AF6182">
        <v>0</v>
      </c>
      <c r="AJ6182">
        <v>0</v>
      </c>
      <c r="AK6182">
        <v>0</v>
      </c>
      <c r="AL6182">
        <v>0</v>
      </c>
      <c r="AM6182">
        <v>0</v>
      </c>
      <c r="AN6182">
        <v>0</v>
      </c>
      <c r="AO6182">
        <v>0</v>
      </c>
      <c r="AP6182" s="2">
        <v>42746</v>
      </c>
      <c r="AQ6182" t="s">
        <v>72</v>
      </c>
      <c r="AR6182" t="s">
        <v>72</v>
      </c>
      <c r="AS6182">
        <v>230</v>
      </c>
      <c r="AT6182" s="4">
        <v>42403</v>
      </c>
      <c r="AU6182" t="s">
        <v>73</v>
      </c>
      <c r="AV6182">
        <v>230</v>
      </c>
      <c r="AW6182" s="4">
        <v>42403</v>
      </c>
      <c r="BD6182">
        <v>0</v>
      </c>
      <c r="BN6182" t="s">
        <v>74</v>
      </c>
    </row>
    <row r="6183" spans="1:66" hidden="1">
      <c r="A6183">
        <v>104048</v>
      </c>
      <c r="B6183" s="3" t="s">
        <v>602</v>
      </c>
      <c r="C6183" s="1">
        <v>43300101</v>
      </c>
      <c r="D6183" t="s">
        <v>67</v>
      </c>
      <c r="H6183" t="str">
        <f t="shared" si="638"/>
        <v>00674840152</v>
      </c>
      <c r="I6183" t="str">
        <f t="shared" si="638"/>
        <v>00674840152</v>
      </c>
      <c r="K6183" t="str">
        <f>""</f>
        <v/>
      </c>
      <c r="M6183" t="s">
        <v>68</v>
      </c>
      <c r="N6183" t="str">
        <f t="shared" si="636"/>
        <v>FOR</v>
      </c>
      <c r="O6183" t="s">
        <v>69</v>
      </c>
      <c r="P6183" s="3" t="s">
        <v>70</v>
      </c>
      <c r="Q6183">
        <v>2015</v>
      </c>
      <c r="R6183" s="2">
        <v>42065</v>
      </c>
      <c r="S6183" s="2">
        <v>42076</v>
      </c>
      <c r="T6183" s="2">
        <v>42076</v>
      </c>
      <c r="U6183" s="2">
        <v>42136</v>
      </c>
      <c r="V6183" t="s">
        <v>71</v>
      </c>
      <c r="W6183" t="str">
        <f>"          5301633638"</f>
        <v xml:space="preserve">          5301633638</v>
      </c>
      <c r="X6183">
        <v>31.48</v>
      </c>
      <c r="Y6183">
        <v>0</v>
      </c>
      <c r="Z6183"/>
      <c r="AB6183"/>
      <c r="AC6183">
        <v>25.8</v>
      </c>
      <c r="AD6183">
        <v>267</v>
      </c>
      <c r="AE6183" s="1">
        <v>6888.6</v>
      </c>
      <c r="AF6183">
        <v>0</v>
      </c>
      <c r="AJ6183">
        <v>0</v>
      </c>
      <c r="AK6183">
        <v>0</v>
      </c>
      <c r="AL6183">
        <v>0</v>
      </c>
      <c r="AM6183">
        <v>0</v>
      </c>
      <c r="AN6183">
        <v>0</v>
      </c>
      <c r="AO6183">
        <v>0</v>
      </c>
      <c r="AP6183" s="2">
        <v>42746</v>
      </c>
      <c r="AQ6183" t="s">
        <v>72</v>
      </c>
      <c r="AR6183" t="s">
        <v>72</v>
      </c>
      <c r="AS6183">
        <v>230</v>
      </c>
      <c r="AT6183" s="4">
        <v>42403</v>
      </c>
      <c r="AU6183" t="s">
        <v>73</v>
      </c>
      <c r="AV6183">
        <v>230</v>
      </c>
      <c r="AW6183" s="4">
        <v>42403</v>
      </c>
      <c r="BD6183">
        <v>0</v>
      </c>
      <c r="BN6183" t="s">
        <v>74</v>
      </c>
    </row>
    <row r="6184" spans="1:66" hidden="1">
      <c r="A6184">
        <v>104048</v>
      </c>
      <c r="B6184" s="3" t="s">
        <v>602</v>
      </c>
      <c r="C6184" s="1">
        <v>43300101</v>
      </c>
      <c r="D6184" t="s">
        <v>67</v>
      </c>
      <c r="H6184" t="str">
        <f t="shared" si="638"/>
        <v>00674840152</v>
      </c>
      <c r="I6184" t="str">
        <f t="shared" si="638"/>
        <v>00674840152</v>
      </c>
      <c r="K6184" t="str">
        <f>""</f>
        <v/>
      </c>
      <c r="M6184" t="s">
        <v>68</v>
      </c>
      <c r="N6184" t="str">
        <f t="shared" si="636"/>
        <v>FOR</v>
      </c>
      <c r="O6184" t="s">
        <v>69</v>
      </c>
      <c r="P6184" s="3" t="s">
        <v>70</v>
      </c>
      <c r="Q6184">
        <v>2015</v>
      </c>
      <c r="R6184" s="2">
        <v>42065</v>
      </c>
      <c r="S6184" s="2">
        <v>42076</v>
      </c>
      <c r="T6184" s="2">
        <v>42076</v>
      </c>
      <c r="U6184" s="2">
        <v>42136</v>
      </c>
      <c r="V6184" t="s">
        <v>71</v>
      </c>
      <c r="W6184" t="str">
        <f>"          5301633639"</f>
        <v xml:space="preserve">          5301633639</v>
      </c>
      <c r="X6184">
        <v>31.48</v>
      </c>
      <c r="Y6184">
        <v>0</v>
      </c>
      <c r="Z6184"/>
      <c r="AB6184"/>
      <c r="AC6184">
        <v>25.8</v>
      </c>
      <c r="AD6184">
        <v>267</v>
      </c>
      <c r="AE6184" s="1">
        <v>6888.6</v>
      </c>
      <c r="AF6184">
        <v>0</v>
      </c>
      <c r="AJ6184">
        <v>0</v>
      </c>
      <c r="AK6184">
        <v>0</v>
      </c>
      <c r="AL6184">
        <v>0</v>
      </c>
      <c r="AM6184">
        <v>0</v>
      </c>
      <c r="AN6184">
        <v>0</v>
      </c>
      <c r="AO6184">
        <v>0</v>
      </c>
      <c r="AP6184" s="2">
        <v>42746</v>
      </c>
      <c r="AQ6184" t="s">
        <v>72</v>
      </c>
      <c r="AR6184" t="s">
        <v>72</v>
      </c>
      <c r="AS6184">
        <v>230</v>
      </c>
      <c r="AT6184" s="4">
        <v>42403</v>
      </c>
      <c r="AU6184" t="s">
        <v>73</v>
      </c>
      <c r="AV6184">
        <v>230</v>
      </c>
      <c r="AW6184" s="4">
        <v>42403</v>
      </c>
      <c r="BD6184">
        <v>0</v>
      </c>
      <c r="BN6184" t="s">
        <v>74</v>
      </c>
    </row>
    <row r="6185" spans="1:66" hidden="1">
      <c r="A6185">
        <v>104048</v>
      </c>
      <c r="B6185" s="3" t="s">
        <v>602</v>
      </c>
      <c r="C6185" s="1">
        <v>43300101</v>
      </c>
      <c r="D6185" t="s">
        <v>67</v>
      </c>
      <c r="H6185" t="str">
        <f t="shared" si="638"/>
        <v>00674840152</v>
      </c>
      <c r="I6185" t="str">
        <f t="shared" si="638"/>
        <v>00674840152</v>
      </c>
      <c r="K6185" t="str">
        <f>""</f>
        <v/>
      </c>
      <c r="M6185" t="s">
        <v>68</v>
      </c>
      <c r="N6185" t="str">
        <f t="shared" si="636"/>
        <v>FOR</v>
      </c>
      <c r="O6185" t="s">
        <v>69</v>
      </c>
      <c r="P6185" s="3" t="s">
        <v>70</v>
      </c>
      <c r="Q6185">
        <v>2015</v>
      </c>
      <c r="R6185" s="2">
        <v>42065</v>
      </c>
      <c r="S6185" s="2">
        <v>42076</v>
      </c>
      <c r="T6185" s="2">
        <v>42076</v>
      </c>
      <c r="U6185" s="2">
        <v>42136</v>
      </c>
      <c r="V6185" t="s">
        <v>71</v>
      </c>
      <c r="W6185" t="str">
        <f>"          5301633640"</f>
        <v xml:space="preserve">          5301633640</v>
      </c>
      <c r="X6185">
        <v>42.46</v>
      </c>
      <c r="Y6185">
        <v>0</v>
      </c>
      <c r="Z6185"/>
      <c r="AB6185"/>
      <c r="AC6185">
        <v>34.799999999999997</v>
      </c>
      <c r="AD6185">
        <v>267</v>
      </c>
      <c r="AE6185" s="1">
        <v>9291.6</v>
      </c>
      <c r="AF6185">
        <v>0</v>
      </c>
      <c r="AJ6185">
        <v>0</v>
      </c>
      <c r="AK6185">
        <v>0</v>
      </c>
      <c r="AL6185">
        <v>0</v>
      </c>
      <c r="AM6185">
        <v>0</v>
      </c>
      <c r="AN6185">
        <v>0</v>
      </c>
      <c r="AO6185">
        <v>0</v>
      </c>
      <c r="AP6185" s="2">
        <v>42746</v>
      </c>
      <c r="AQ6185" t="s">
        <v>72</v>
      </c>
      <c r="AR6185" t="s">
        <v>72</v>
      </c>
      <c r="AS6185">
        <v>230</v>
      </c>
      <c r="AT6185" s="4">
        <v>42403</v>
      </c>
      <c r="AU6185" t="s">
        <v>73</v>
      </c>
      <c r="AV6185">
        <v>230</v>
      </c>
      <c r="AW6185" s="4">
        <v>42403</v>
      </c>
      <c r="BD6185">
        <v>0</v>
      </c>
      <c r="BN6185" t="s">
        <v>74</v>
      </c>
    </row>
    <row r="6186" spans="1:66" hidden="1">
      <c r="A6186">
        <v>104048</v>
      </c>
      <c r="B6186" s="3" t="s">
        <v>602</v>
      </c>
      <c r="C6186" s="1">
        <v>43300101</v>
      </c>
      <c r="D6186" t="s">
        <v>67</v>
      </c>
      <c r="H6186" t="str">
        <f t="shared" si="638"/>
        <v>00674840152</v>
      </c>
      <c r="I6186" t="str">
        <f t="shared" si="638"/>
        <v>00674840152</v>
      </c>
      <c r="K6186" t="str">
        <f>""</f>
        <v/>
      </c>
      <c r="M6186" t="s">
        <v>68</v>
      </c>
      <c r="N6186" t="str">
        <f t="shared" si="636"/>
        <v>FOR</v>
      </c>
      <c r="O6186" t="s">
        <v>69</v>
      </c>
      <c r="P6186" s="3" t="s">
        <v>70</v>
      </c>
      <c r="Q6186">
        <v>2015</v>
      </c>
      <c r="R6186" s="2">
        <v>42065</v>
      </c>
      <c r="S6186" s="2">
        <v>42076</v>
      </c>
      <c r="T6186" s="2">
        <v>42076</v>
      </c>
      <c r="U6186" s="2">
        <v>42136</v>
      </c>
      <c r="V6186" t="s">
        <v>71</v>
      </c>
      <c r="W6186" t="str">
        <f>"          5301633641"</f>
        <v xml:space="preserve">          5301633641</v>
      </c>
      <c r="X6186" s="1">
        <v>1247.69</v>
      </c>
      <c r="Y6186">
        <v>0</v>
      </c>
      <c r="Z6186"/>
      <c r="AB6186"/>
      <c r="AC6186" s="1">
        <v>1022.7</v>
      </c>
      <c r="AD6186">
        <v>267</v>
      </c>
      <c r="AE6186" s="1">
        <v>273060.90000000002</v>
      </c>
      <c r="AF6186">
        <v>0</v>
      </c>
      <c r="AJ6186">
        <v>0</v>
      </c>
      <c r="AK6186">
        <v>0</v>
      </c>
      <c r="AL6186">
        <v>0</v>
      </c>
      <c r="AM6186">
        <v>0</v>
      </c>
      <c r="AN6186">
        <v>0</v>
      </c>
      <c r="AO6186">
        <v>0</v>
      </c>
      <c r="AP6186" s="2">
        <v>42746</v>
      </c>
      <c r="AQ6186" t="s">
        <v>72</v>
      </c>
      <c r="AR6186" t="s">
        <v>72</v>
      </c>
      <c r="AS6186">
        <v>230</v>
      </c>
      <c r="AT6186" s="4">
        <v>42403</v>
      </c>
      <c r="AU6186" t="s">
        <v>73</v>
      </c>
      <c r="AV6186">
        <v>230</v>
      </c>
      <c r="AW6186" s="4">
        <v>42403</v>
      </c>
      <c r="BD6186">
        <v>0</v>
      </c>
      <c r="BN6186" t="s">
        <v>74</v>
      </c>
    </row>
    <row r="6187" spans="1:66" hidden="1">
      <c r="A6187">
        <v>104048</v>
      </c>
      <c r="B6187" s="3" t="s">
        <v>602</v>
      </c>
      <c r="C6187" s="1">
        <v>43300101</v>
      </c>
      <c r="D6187" t="s">
        <v>67</v>
      </c>
      <c r="H6187" t="str">
        <f t="shared" si="638"/>
        <v>00674840152</v>
      </c>
      <c r="I6187" t="str">
        <f t="shared" si="638"/>
        <v>00674840152</v>
      </c>
      <c r="K6187" t="str">
        <f>""</f>
        <v/>
      </c>
      <c r="M6187" t="s">
        <v>68</v>
      </c>
      <c r="N6187" t="str">
        <f t="shared" si="636"/>
        <v>FOR</v>
      </c>
      <c r="O6187" t="s">
        <v>69</v>
      </c>
      <c r="P6187" s="3" t="s">
        <v>70</v>
      </c>
      <c r="Q6187">
        <v>2015</v>
      </c>
      <c r="R6187" s="2">
        <v>42065</v>
      </c>
      <c r="S6187" s="2">
        <v>42076</v>
      </c>
      <c r="T6187" s="2">
        <v>42076</v>
      </c>
      <c r="U6187" s="2">
        <v>42136</v>
      </c>
      <c r="V6187" t="s">
        <v>71</v>
      </c>
      <c r="W6187" t="str">
        <f>"          5301633642"</f>
        <v xml:space="preserve">          5301633642</v>
      </c>
      <c r="X6187" s="1">
        <v>1394.83</v>
      </c>
      <c r="Y6187">
        <v>0</v>
      </c>
      <c r="Z6187"/>
      <c r="AB6187"/>
      <c r="AC6187" s="1">
        <v>1143.3</v>
      </c>
      <c r="AD6187">
        <v>267</v>
      </c>
      <c r="AE6187" s="1">
        <v>305261.09999999998</v>
      </c>
      <c r="AF6187">
        <v>0</v>
      </c>
      <c r="AJ6187">
        <v>0</v>
      </c>
      <c r="AK6187">
        <v>0</v>
      </c>
      <c r="AL6187">
        <v>0</v>
      </c>
      <c r="AM6187">
        <v>0</v>
      </c>
      <c r="AN6187">
        <v>0</v>
      </c>
      <c r="AO6187">
        <v>0</v>
      </c>
      <c r="AP6187" s="2">
        <v>42746</v>
      </c>
      <c r="AQ6187" t="s">
        <v>72</v>
      </c>
      <c r="AR6187" t="s">
        <v>72</v>
      </c>
      <c r="AS6187">
        <v>230</v>
      </c>
      <c r="AT6187" s="4">
        <v>42403</v>
      </c>
      <c r="AU6187" t="s">
        <v>73</v>
      </c>
      <c r="AV6187">
        <v>230</v>
      </c>
      <c r="AW6187" s="4">
        <v>42403</v>
      </c>
      <c r="BD6187">
        <v>0</v>
      </c>
      <c r="BN6187" t="s">
        <v>74</v>
      </c>
    </row>
    <row r="6188" spans="1:66" hidden="1">
      <c r="A6188">
        <v>104048</v>
      </c>
      <c r="B6188" s="3" t="s">
        <v>602</v>
      </c>
      <c r="C6188" s="1">
        <v>43300101</v>
      </c>
      <c r="D6188" t="s">
        <v>67</v>
      </c>
      <c r="H6188" t="str">
        <f t="shared" si="638"/>
        <v>00674840152</v>
      </c>
      <c r="I6188" t="str">
        <f t="shared" si="638"/>
        <v>00674840152</v>
      </c>
      <c r="K6188" t="str">
        <f>""</f>
        <v/>
      </c>
      <c r="M6188" t="s">
        <v>68</v>
      </c>
      <c r="N6188" t="str">
        <f t="shared" si="636"/>
        <v>FOR</v>
      </c>
      <c r="O6188" t="s">
        <v>69</v>
      </c>
      <c r="P6188" s="3" t="s">
        <v>70</v>
      </c>
      <c r="Q6188">
        <v>2015</v>
      </c>
      <c r="R6188" s="2">
        <v>42065</v>
      </c>
      <c r="S6188" s="2">
        <v>42076</v>
      </c>
      <c r="T6188" s="2">
        <v>42076</v>
      </c>
      <c r="U6188" s="2">
        <v>42136</v>
      </c>
      <c r="V6188" t="s">
        <v>71</v>
      </c>
      <c r="W6188" t="str">
        <f>"          5301633643"</f>
        <v xml:space="preserve">          5301633643</v>
      </c>
      <c r="X6188">
        <v>29.16</v>
      </c>
      <c r="Y6188">
        <v>0</v>
      </c>
      <c r="Z6188"/>
      <c r="AB6188"/>
      <c r="AC6188">
        <v>23.9</v>
      </c>
      <c r="AD6188">
        <v>267</v>
      </c>
      <c r="AE6188" s="1">
        <v>6381.3</v>
      </c>
      <c r="AF6188">
        <v>0</v>
      </c>
      <c r="AJ6188">
        <v>0</v>
      </c>
      <c r="AK6188">
        <v>0</v>
      </c>
      <c r="AL6188">
        <v>0</v>
      </c>
      <c r="AM6188">
        <v>0</v>
      </c>
      <c r="AN6188">
        <v>0</v>
      </c>
      <c r="AO6188">
        <v>0</v>
      </c>
      <c r="AP6188" s="2">
        <v>42746</v>
      </c>
      <c r="AQ6188" t="s">
        <v>72</v>
      </c>
      <c r="AR6188" t="s">
        <v>72</v>
      </c>
      <c r="AS6188">
        <v>230</v>
      </c>
      <c r="AT6188" s="4">
        <v>42403</v>
      </c>
      <c r="AU6188" t="s">
        <v>73</v>
      </c>
      <c r="AV6188">
        <v>230</v>
      </c>
      <c r="AW6188" s="4">
        <v>42403</v>
      </c>
      <c r="BD6188">
        <v>0</v>
      </c>
      <c r="BN6188" t="s">
        <v>74</v>
      </c>
    </row>
    <row r="6189" spans="1:66" hidden="1">
      <c r="A6189">
        <v>104048</v>
      </c>
      <c r="B6189" s="3" t="s">
        <v>602</v>
      </c>
      <c r="C6189" s="1">
        <v>43300101</v>
      </c>
      <c r="D6189" t="s">
        <v>67</v>
      </c>
      <c r="H6189" t="str">
        <f t="shared" si="638"/>
        <v>00674840152</v>
      </c>
      <c r="I6189" t="str">
        <f t="shared" si="638"/>
        <v>00674840152</v>
      </c>
      <c r="K6189" t="str">
        <f>""</f>
        <v/>
      </c>
      <c r="M6189" t="s">
        <v>68</v>
      </c>
      <c r="N6189" t="str">
        <f t="shared" si="636"/>
        <v>FOR</v>
      </c>
      <c r="O6189" t="s">
        <v>69</v>
      </c>
      <c r="P6189" s="3" t="s">
        <v>70</v>
      </c>
      <c r="Q6189">
        <v>2015</v>
      </c>
      <c r="R6189" s="2">
        <v>42065</v>
      </c>
      <c r="S6189" s="2">
        <v>42076</v>
      </c>
      <c r="T6189" s="2">
        <v>42076</v>
      </c>
      <c r="U6189" s="2">
        <v>42136</v>
      </c>
      <c r="V6189" t="s">
        <v>71</v>
      </c>
      <c r="W6189" t="str">
        <f>"          5301633644"</f>
        <v xml:space="preserve">          5301633644</v>
      </c>
      <c r="X6189">
        <v>149.44999999999999</v>
      </c>
      <c r="Y6189">
        <v>0</v>
      </c>
      <c r="Z6189"/>
      <c r="AB6189"/>
      <c r="AC6189">
        <v>122.5</v>
      </c>
      <c r="AD6189">
        <v>267</v>
      </c>
      <c r="AE6189" s="1">
        <v>32707.5</v>
      </c>
      <c r="AF6189">
        <v>0</v>
      </c>
      <c r="AJ6189">
        <v>0</v>
      </c>
      <c r="AK6189">
        <v>0</v>
      </c>
      <c r="AL6189">
        <v>0</v>
      </c>
      <c r="AM6189">
        <v>0</v>
      </c>
      <c r="AN6189">
        <v>0</v>
      </c>
      <c r="AO6189">
        <v>0</v>
      </c>
      <c r="AP6189" s="2">
        <v>42746</v>
      </c>
      <c r="AQ6189" t="s">
        <v>72</v>
      </c>
      <c r="AR6189" t="s">
        <v>72</v>
      </c>
      <c r="AS6189">
        <v>230</v>
      </c>
      <c r="AT6189" s="4">
        <v>42403</v>
      </c>
      <c r="AU6189" t="s">
        <v>73</v>
      </c>
      <c r="AV6189">
        <v>230</v>
      </c>
      <c r="AW6189" s="4">
        <v>42403</v>
      </c>
      <c r="BD6189">
        <v>0</v>
      </c>
      <c r="BN6189" t="s">
        <v>74</v>
      </c>
    </row>
    <row r="6190" spans="1:66" hidden="1">
      <c r="A6190">
        <v>104048</v>
      </c>
      <c r="B6190" s="3" t="s">
        <v>602</v>
      </c>
      <c r="C6190" s="1">
        <v>43300101</v>
      </c>
      <c r="D6190" t="s">
        <v>67</v>
      </c>
      <c r="H6190" t="str">
        <f t="shared" si="638"/>
        <v>00674840152</v>
      </c>
      <c r="I6190" t="str">
        <f t="shared" si="638"/>
        <v>00674840152</v>
      </c>
      <c r="K6190" t="str">
        <f>""</f>
        <v/>
      </c>
      <c r="M6190" t="s">
        <v>68</v>
      </c>
      <c r="N6190" t="str">
        <f t="shared" si="636"/>
        <v>FOR</v>
      </c>
      <c r="O6190" t="s">
        <v>69</v>
      </c>
      <c r="P6190" s="3" t="s">
        <v>70</v>
      </c>
      <c r="Q6190">
        <v>2015</v>
      </c>
      <c r="R6190" s="2">
        <v>42065</v>
      </c>
      <c r="S6190" s="2">
        <v>42076</v>
      </c>
      <c r="T6190" s="2">
        <v>42076</v>
      </c>
      <c r="U6190" s="2">
        <v>42136</v>
      </c>
      <c r="V6190" t="s">
        <v>71</v>
      </c>
      <c r="W6190" t="str">
        <f>"          5301633645"</f>
        <v xml:space="preserve">          5301633645</v>
      </c>
      <c r="X6190">
        <v>45.63</v>
      </c>
      <c r="Y6190">
        <v>0</v>
      </c>
      <c r="Z6190"/>
      <c r="AB6190"/>
      <c r="AC6190">
        <v>37.4</v>
      </c>
      <c r="AD6190">
        <v>267</v>
      </c>
      <c r="AE6190" s="1">
        <v>9985.7999999999993</v>
      </c>
      <c r="AF6190">
        <v>0</v>
      </c>
      <c r="AJ6190">
        <v>0</v>
      </c>
      <c r="AK6190">
        <v>0</v>
      </c>
      <c r="AL6190">
        <v>0</v>
      </c>
      <c r="AM6190">
        <v>0</v>
      </c>
      <c r="AN6190">
        <v>0</v>
      </c>
      <c r="AO6190">
        <v>0</v>
      </c>
      <c r="AP6190" s="2">
        <v>42746</v>
      </c>
      <c r="AQ6190" t="s">
        <v>72</v>
      </c>
      <c r="AR6190" t="s">
        <v>72</v>
      </c>
      <c r="AS6190">
        <v>230</v>
      </c>
      <c r="AT6190" s="4">
        <v>42403</v>
      </c>
      <c r="AU6190" t="s">
        <v>73</v>
      </c>
      <c r="AV6190">
        <v>230</v>
      </c>
      <c r="AW6190" s="4">
        <v>42403</v>
      </c>
      <c r="BD6190">
        <v>0</v>
      </c>
      <c r="BN6190" t="s">
        <v>74</v>
      </c>
    </row>
    <row r="6191" spans="1:66" hidden="1">
      <c r="A6191">
        <v>104048</v>
      </c>
      <c r="B6191" s="3" t="s">
        <v>602</v>
      </c>
      <c r="C6191" s="1">
        <v>43300101</v>
      </c>
      <c r="D6191" t="s">
        <v>67</v>
      </c>
      <c r="H6191" t="str">
        <f t="shared" si="638"/>
        <v>00674840152</v>
      </c>
      <c r="I6191" t="str">
        <f t="shared" si="638"/>
        <v>00674840152</v>
      </c>
      <c r="K6191" t="str">
        <f>""</f>
        <v/>
      </c>
      <c r="M6191" t="s">
        <v>68</v>
      </c>
      <c r="N6191" t="str">
        <f t="shared" si="636"/>
        <v>FOR</v>
      </c>
      <c r="O6191" t="s">
        <v>69</v>
      </c>
      <c r="P6191" s="3" t="s">
        <v>70</v>
      </c>
      <c r="Q6191">
        <v>2015</v>
      </c>
      <c r="R6191" s="2">
        <v>42065</v>
      </c>
      <c r="S6191" s="2">
        <v>42076</v>
      </c>
      <c r="T6191" s="2">
        <v>42076</v>
      </c>
      <c r="U6191" s="2">
        <v>42136</v>
      </c>
      <c r="V6191" t="s">
        <v>71</v>
      </c>
      <c r="W6191" t="str">
        <f>"          5301633646"</f>
        <v xml:space="preserve">          5301633646</v>
      </c>
      <c r="X6191">
        <v>61.24</v>
      </c>
      <c r="Y6191">
        <v>0</v>
      </c>
      <c r="Z6191"/>
      <c r="AB6191"/>
      <c r="AC6191">
        <v>50.2</v>
      </c>
      <c r="AD6191">
        <v>267</v>
      </c>
      <c r="AE6191" s="1">
        <v>13403.4</v>
      </c>
      <c r="AF6191">
        <v>0</v>
      </c>
      <c r="AJ6191">
        <v>0</v>
      </c>
      <c r="AK6191">
        <v>0</v>
      </c>
      <c r="AL6191">
        <v>0</v>
      </c>
      <c r="AM6191">
        <v>0</v>
      </c>
      <c r="AN6191">
        <v>0</v>
      </c>
      <c r="AO6191">
        <v>0</v>
      </c>
      <c r="AP6191" s="2">
        <v>42746</v>
      </c>
      <c r="AQ6191" t="s">
        <v>72</v>
      </c>
      <c r="AR6191" t="s">
        <v>72</v>
      </c>
      <c r="AS6191">
        <v>230</v>
      </c>
      <c r="AT6191" s="4">
        <v>42403</v>
      </c>
      <c r="AU6191" t="s">
        <v>73</v>
      </c>
      <c r="AV6191">
        <v>230</v>
      </c>
      <c r="AW6191" s="4">
        <v>42403</v>
      </c>
      <c r="BD6191">
        <v>0</v>
      </c>
      <c r="BN6191" t="s">
        <v>74</v>
      </c>
    </row>
    <row r="6192" spans="1:66" hidden="1">
      <c r="A6192">
        <v>104048</v>
      </c>
      <c r="B6192" s="3" t="s">
        <v>602</v>
      </c>
      <c r="C6192" s="1">
        <v>43300101</v>
      </c>
      <c r="D6192" t="s">
        <v>67</v>
      </c>
      <c r="H6192" t="str">
        <f t="shared" si="638"/>
        <v>00674840152</v>
      </c>
      <c r="I6192" t="str">
        <f t="shared" si="638"/>
        <v>00674840152</v>
      </c>
      <c r="K6192" t="str">
        <f>""</f>
        <v/>
      </c>
      <c r="M6192" t="s">
        <v>68</v>
      </c>
      <c r="N6192" t="str">
        <f t="shared" si="636"/>
        <v>FOR</v>
      </c>
      <c r="O6192" t="s">
        <v>69</v>
      </c>
      <c r="P6192" s="3" t="s">
        <v>70</v>
      </c>
      <c r="Q6192">
        <v>2015</v>
      </c>
      <c r="R6192" s="2">
        <v>42065</v>
      </c>
      <c r="S6192" s="2">
        <v>42076</v>
      </c>
      <c r="T6192" s="2">
        <v>42076</v>
      </c>
      <c r="U6192" s="2">
        <v>42136</v>
      </c>
      <c r="V6192" t="s">
        <v>71</v>
      </c>
      <c r="W6192" t="str">
        <f>"          5301633647"</f>
        <v xml:space="preserve">          5301633647</v>
      </c>
      <c r="X6192">
        <v>67.83</v>
      </c>
      <c r="Y6192">
        <v>0</v>
      </c>
      <c r="Z6192"/>
      <c r="AB6192"/>
      <c r="AC6192">
        <v>55.6</v>
      </c>
      <c r="AD6192">
        <v>267</v>
      </c>
      <c r="AE6192" s="1">
        <v>14845.2</v>
      </c>
      <c r="AF6192">
        <v>0</v>
      </c>
      <c r="AJ6192">
        <v>0</v>
      </c>
      <c r="AK6192">
        <v>0</v>
      </c>
      <c r="AL6192">
        <v>0</v>
      </c>
      <c r="AM6192">
        <v>0</v>
      </c>
      <c r="AN6192">
        <v>0</v>
      </c>
      <c r="AO6192">
        <v>0</v>
      </c>
      <c r="AP6192" s="2">
        <v>42746</v>
      </c>
      <c r="AQ6192" t="s">
        <v>72</v>
      </c>
      <c r="AR6192" t="s">
        <v>72</v>
      </c>
      <c r="AS6192">
        <v>230</v>
      </c>
      <c r="AT6192" s="4">
        <v>42403</v>
      </c>
      <c r="AU6192" t="s">
        <v>73</v>
      </c>
      <c r="AV6192">
        <v>230</v>
      </c>
      <c r="AW6192" s="4">
        <v>42403</v>
      </c>
      <c r="BD6192">
        <v>0</v>
      </c>
      <c r="BN6192" t="s">
        <v>74</v>
      </c>
    </row>
    <row r="6193" spans="1:66" hidden="1">
      <c r="A6193">
        <v>104048</v>
      </c>
      <c r="B6193" s="3" t="s">
        <v>602</v>
      </c>
      <c r="C6193" s="1">
        <v>43300101</v>
      </c>
      <c r="D6193" t="s">
        <v>67</v>
      </c>
      <c r="H6193" t="str">
        <f t="shared" si="638"/>
        <v>00674840152</v>
      </c>
      <c r="I6193" t="str">
        <f t="shared" si="638"/>
        <v>00674840152</v>
      </c>
      <c r="K6193" t="str">
        <f>""</f>
        <v/>
      </c>
      <c r="M6193" t="s">
        <v>68</v>
      </c>
      <c r="N6193" t="str">
        <f t="shared" si="636"/>
        <v>FOR</v>
      </c>
      <c r="O6193" t="s">
        <v>69</v>
      </c>
      <c r="P6193" s="3" t="s">
        <v>70</v>
      </c>
      <c r="Q6193">
        <v>2015</v>
      </c>
      <c r="R6193" s="2">
        <v>42065</v>
      </c>
      <c r="S6193" s="2">
        <v>42076</v>
      </c>
      <c r="T6193" s="2">
        <v>42076</v>
      </c>
      <c r="U6193" s="2">
        <v>42136</v>
      </c>
      <c r="V6193" t="s">
        <v>71</v>
      </c>
      <c r="W6193" t="str">
        <f>"          5301633648"</f>
        <v xml:space="preserve">          5301633648</v>
      </c>
      <c r="X6193">
        <v>157.62</v>
      </c>
      <c r="Y6193">
        <v>0</v>
      </c>
      <c r="Z6193"/>
      <c r="AB6193"/>
      <c r="AC6193">
        <v>129.19999999999999</v>
      </c>
      <c r="AD6193">
        <v>267</v>
      </c>
      <c r="AE6193" s="1">
        <v>34496.400000000001</v>
      </c>
      <c r="AF6193">
        <v>0</v>
      </c>
      <c r="AJ6193">
        <v>0</v>
      </c>
      <c r="AK6193">
        <v>0</v>
      </c>
      <c r="AL6193">
        <v>0</v>
      </c>
      <c r="AM6193">
        <v>0</v>
      </c>
      <c r="AN6193">
        <v>0</v>
      </c>
      <c r="AO6193">
        <v>0</v>
      </c>
      <c r="AP6193" s="2">
        <v>42746</v>
      </c>
      <c r="AQ6193" t="s">
        <v>72</v>
      </c>
      <c r="AR6193" t="s">
        <v>72</v>
      </c>
      <c r="AS6193">
        <v>230</v>
      </c>
      <c r="AT6193" s="4">
        <v>42403</v>
      </c>
      <c r="AU6193" t="s">
        <v>73</v>
      </c>
      <c r="AV6193">
        <v>230</v>
      </c>
      <c r="AW6193" s="4">
        <v>42403</v>
      </c>
      <c r="BD6193">
        <v>0</v>
      </c>
      <c r="BN6193" t="s">
        <v>74</v>
      </c>
    </row>
    <row r="6194" spans="1:66" hidden="1">
      <c r="A6194">
        <v>104048</v>
      </c>
      <c r="B6194" s="3" t="s">
        <v>602</v>
      </c>
      <c r="C6194" s="1">
        <v>43300101</v>
      </c>
      <c r="D6194" t="s">
        <v>67</v>
      </c>
      <c r="H6194" t="str">
        <f t="shared" ref="H6194:I6213" si="639">"00674840152"</f>
        <v>00674840152</v>
      </c>
      <c r="I6194" t="str">
        <f t="shared" si="639"/>
        <v>00674840152</v>
      </c>
      <c r="K6194" t="str">
        <f>""</f>
        <v/>
      </c>
      <c r="M6194" t="s">
        <v>68</v>
      </c>
      <c r="N6194" t="str">
        <f t="shared" si="636"/>
        <v>FOR</v>
      </c>
      <c r="O6194" t="s">
        <v>69</v>
      </c>
      <c r="P6194" s="3" t="s">
        <v>70</v>
      </c>
      <c r="Q6194">
        <v>2015</v>
      </c>
      <c r="R6194" s="2">
        <v>42065</v>
      </c>
      <c r="S6194" s="2">
        <v>42075</v>
      </c>
      <c r="T6194" s="2">
        <v>42075</v>
      </c>
      <c r="U6194" s="2">
        <v>42135</v>
      </c>
      <c r="V6194" t="s">
        <v>71</v>
      </c>
      <c r="W6194" t="str">
        <f>"          5301633649"</f>
        <v xml:space="preserve">          5301633649</v>
      </c>
      <c r="X6194">
        <v>183.98</v>
      </c>
      <c r="Y6194">
        <v>0</v>
      </c>
      <c r="Z6194"/>
      <c r="AB6194"/>
      <c r="AC6194">
        <v>150.80000000000001</v>
      </c>
      <c r="AD6194">
        <v>268</v>
      </c>
      <c r="AE6194" s="1">
        <v>40414.400000000001</v>
      </c>
      <c r="AF6194">
        <v>0</v>
      </c>
      <c r="AJ6194">
        <v>0</v>
      </c>
      <c r="AK6194">
        <v>0</v>
      </c>
      <c r="AL6194">
        <v>0</v>
      </c>
      <c r="AM6194">
        <v>0</v>
      </c>
      <c r="AN6194">
        <v>0</v>
      </c>
      <c r="AO6194">
        <v>0</v>
      </c>
      <c r="AP6194" s="2">
        <v>42746</v>
      </c>
      <c r="AQ6194" t="s">
        <v>72</v>
      </c>
      <c r="AR6194" t="s">
        <v>72</v>
      </c>
      <c r="AS6194">
        <v>230</v>
      </c>
      <c r="AT6194" s="4">
        <v>42403</v>
      </c>
      <c r="AU6194" t="s">
        <v>73</v>
      </c>
      <c r="AV6194">
        <v>230</v>
      </c>
      <c r="AW6194" s="4">
        <v>42403</v>
      </c>
      <c r="BD6194">
        <v>0</v>
      </c>
      <c r="BN6194" t="s">
        <v>74</v>
      </c>
    </row>
    <row r="6195" spans="1:66" hidden="1">
      <c r="A6195">
        <v>104048</v>
      </c>
      <c r="B6195" s="3" t="s">
        <v>602</v>
      </c>
      <c r="C6195" s="1">
        <v>43300101</v>
      </c>
      <c r="D6195" t="s">
        <v>67</v>
      </c>
      <c r="H6195" t="str">
        <f t="shared" si="639"/>
        <v>00674840152</v>
      </c>
      <c r="I6195" t="str">
        <f t="shared" si="639"/>
        <v>00674840152</v>
      </c>
      <c r="K6195" t="str">
        <f>""</f>
        <v/>
      </c>
      <c r="M6195" t="s">
        <v>68</v>
      </c>
      <c r="N6195" t="str">
        <f t="shared" si="636"/>
        <v>FOR</v>
      </c>
      <c r="O6195" t="s">
        <v>69</v>
      </c>
      <c r="P6195" s="3" t="s">
        <v>70</v>
      </c>
      <c r="Q6195">
        <v>2015</v>
      </c>
      <c r="R6195" s="2">
        <v>42065</v>
      </c>
      <c r="S6195" s="2">
        <v>42075</v>
      </c>
      <c r="T6195" s="2">
        <v>42075</v>
      </c>
      <c r="U6195" s="2">
        <v>42135</v>
      </c>
      <c r="V6195" t="s">
        <v>71</v>
      </c>
      <c r="W6195" t="str">
        <f>"          5301633650"</f>
        <v xml:space="preserve">          5301633650</v>
      </c>
      <c r="X6195">
        <v>292.8</v>
      </c>
      <c r="Y6195">
        <v>0</v>
      </c>
      <c r="Z6195"/>
      <c r="AB6195"/>
      <c r="AC6195">
        <v>240</v>
      </c>
      <c r="AD6195">
        <v>268</v>
      </c>
      <c r="AE6195" s="1">
        <v>64320</v>
      </c>
      <c r="AF6195">
        <v>0</v>
      </c>
      <c r="AJ6195">
        <v>0</v>
      </c>
      <c r="AK6195">
        <v>0</v>
      </c>
      <c r="AL6195">
        <v>0</v>
      </c>
      <c r="AM6195">
        <v>0</v>
      </c>
      <c r="AN6195">
        <v>0</v>
      </c>
      <c r="AO6195">
        <v>0</v>
      </c>
      <c r="AP6195" s="2">
        <v>42746</v>
      </c>
      <c r="AQ6195" t="s">
        <v>72</v>
      </c>
      <c r="AR6195" t="s">
        <v>72</v>
      </c>
      <c r="AS6195">
        <v>230</v>
      </c>
      <c r="AT6195" s="4">
        <v>42403</v>
      </c>
      <c r="AU6195" t="s">
        <v>73</v>
      </c>
      <c r="AV6195">
        <v>230</v>
      </c>
      <c r="AW6195" s="4">
        <v>42403</v>
      </c>
      <c r="BD6195">
        <v>0</v>
      </c>
      <c r="BN6195" t="s">
        <v>74</v>
      </c>
    </row>
    <row r="6196" spans="1:66" hidden="1">
      <c r="A6196">
        <v>104048</v>
      </c>
      <c r="B6196" s="3" t="s">
        <v>602</v>
      </c>
      <c r="C6196" s="1">
        <v>43300101</v>
      </c>
      <c r="D6196" t="s">
        <v>67</v>
      </c>
      <c r="H6196" t="str">
        <f t="shared" si="639"/>
        <v>00674840152</v>
      </c>
      <c r="I6196" t="str">
        <f t="shared" si="639"/>
        <v>00674840152</v>
      </c>
      <c r="K6196" t="str">
        <f>""</f>
        <v/>
      </c>
      <c r="M6196" t="s">
        <v>68</v>
      </c>
      <c r="N6196" t="str">
        <f t="shared" si="636"/>
        <v>FOR</v>
      </c>
      <c r="O6196" t="s">
        <v>69</v>
      </c>
      <c r="P6196" s="3" t="s">
        <v>70</v>
      </c>
      <c r="Q6196">
        <v>2015</v>
      </c>
      <c r="R6196" s="2">
        <v>42065</v>
      </c>
      <c r="S6196" s="2">
        <v>42075</v>
      </c>
      <c r="T6196" s="2">
        <v>42075</v>
      </c>
      <c r="U6196" s="2">
        <v>42135</v>
      </c>
      <c r="V6196" t="s">
        <v>71</v>
      </c>
      <c r="W6196" t="str">
        <f>"          5301633651"</f>
        <v xml:space="preserve">          5301633651</v>
      </c>
      <c r="X6196">
        <v>97.72</v>
      </c>
      <c r="Y6196">
        <v>0</v>
      </c>
      <c r="Z6196"/>
      <c r="AB6196"/>
      <c r="AC6196">
        <v>80.099999999999994</v>
      </c>
      <c r="AD6196">
        <v>268</v>
      </c>
      <c r="AE6196" s="1">
        <v>21466.799999999999</v>
      </c>
      <c r="AF6196">
        <v>0</v>
      </c>
      <c r="AJ6196">
        <v>0</v>
      </c>
      <c r="AK6196">
        <v>0</v>
      </c>
      <c r="AL6196">
        <v>0</v>
      </c>
      <c r="AM6196">
        <v>0</v>
      </c>
      <c r="AN6196">
        <v>0</v>
      </c>
      <c r="AO6196">
        <v>0</v>
      </c>
      <c r="AP6196" s="2">
        <v>42746</v>
      </c>
      <c r="AQ6196" t="s">
        <v>72</v>
      </c>
      <c r="AR6196" t="s">
        <v>72</v>
      </c>
      <c r="AS6196">
        <v>230</v>
      </c>
      <c r="AT6196" s="4">
        <v>42403</v>
      </c>
      <c r="AU6196" t="s">
        <v>73</v>
      </c>
      <c r="AV6196">
        <v>230</v>
      </c>
      <c r="AW6196" s="4">
        <v>42403</v>
      </c>
      <c r="BD6196">
        <v>0</v>
      </c>
      <c r="BN6196" t="s">
        <v>74</v>
      </c>
    </row>
    <row r="6197" spans="1:66" hidden="1">
      <c r="A6197">
        <v>104048</v>
      </c>
      <c r="B6197" s="3" t="s">
        <v>602</v>
      </c>
      <c r="C6197" s="1">
        <v>43300101</v>
      </c>
      <c r="D6197" t="s">
        <v>67</v>
      </c>
      <c r="H6197" t="str">
        <f t="shared" si="639"/>
        <v>00674840152</v>
      </c>
      <c r="I6197" t="str">
        <f t="shared" si="639"/>
        <v>00674840152</v>
      </c>
      <c r="K6197" t="str">
        <f>""</f>
        <v/>
      </c>
      <c r="M6197" t="s">
        <v>68</v>
      </c>
      <c r="N6197" t="str">
        <f t="shared" si="636"/>
        <v>FOR</v>
      </c>
      <c r="O6197" t="s">
        <v>69</v>
      </c>
      <c r="P6197" s="3" t="s">
        <v>70</v>
      </c>
      <c r="Q6197">
        <v>2015</v>
      </c>
      <c r="R6197" s="2">
        <v>42065</v>
      </c>
      <c r="S6197" s="2">
        <v>42075</v>
      </c>
      <c r="T6197" s="2">
        <v>42075</v>
      </c>
      <c r="U6197" s="2">
        <v>42135</v>
      </c>
      <c r="V6197" t="s">
        <v>71</v>
      </c>
      <c r="W6197" t="str">
        <f>"          5301633652"</f>
        <v xml:space="preserve">          5301633652</v>
      </c>
      <c r="X6197">
        <v>209.35</v>
      </c>
      <c r="Y6197">
        <v>0</v>
      </c>
      <c r="Z6197"/>
      <c r="AB6197"/>
      <c r="AC6197">
        <v>171.6</v>
      </c>
      <c r="AD6197">
        <v>268</v>
      </c>
      <c r="AE6197" s="1">
        <v>45988.800000000003</v>
      </c>
      <c r="AF6197">
        <v>0</v>
      </c>
      <c r="AJ6197">
        <v>0</v>
      </c>
      <c r="AK6197">
        <v>0</v>
      </c>
      <c r="AL6197">
        <v>0</v>
      </c>
      <c r="AM6197">
        <v>0</v>
      </c>
      <c r="AN6197">
        <v>0</v>
      </c>
      <c r="AO6197">
        <v>0</v>
      </c>
      <c r="AP6197" s="2">
        <v>42746</v>
      </c>
      <c r="AQ6197" t="s">
        <v>72</v>
      </c>
      <c r="AR6197" t="s">
        <v>72</v>
      </c>
      <c r="AS6197">
        <v>230</v>
      </c>
      <c r="AT6197" s="4">
        <v>42403</v>
      </c>
      <c r="AU6197" t="s">
        <v>73</v>
      </c>
      <c r="AV6197">
        <v>230</v>
      </c>
      <c r="AW6197" s="4">
        <v>42403</v>
      </c>
      <c r="BD6197">
        <v>0</v>
      </c>
      <c r="BN6197" t="s">
        <v>74</v>
      </c>
    </row>
    <row r="6198" spans="1:66" hidden="1">
      <c r="A6198">
        <v>104048</v>
      </c>
      <c r="B6198" s="3" t="s">
        <v>602</v>
      </c>
      <c r="C6198" s="1">
        <v>43300101</v>
      </c>
      <c r="D6198" t="s">
        <v>67</v>
      </c>
      <c r="H6198" t="str">
        <f t="shared" si="639"/>
        <v>00674840152</v>
      </c>
      <c r="I6198" t="str">
        <f t="shared" si="639"/>
        <v>00674840152</v>
      </c>
      <c r="K6198" t="str">
        <f>""</f>
        <v/>
      </c>
      <c r="M6198" t="s">
        <v>68</v>
      </c>
      <c r="N6198" t="str">
        <f t="shared" si="636"/>
        <v>FOR</v>
      </c>
      <c r="O6198" t="s">
        <v>69</v>
      </c>
      <c r="P6198" s="3" t="s">
        <v>70</v>
      </c>
      <c r="Q6198">
        <v>2015</v>
      </c>
      <c r="R6198" s="2">
        <v>42065</v>
      </c>
      <c r="S6198" s="2">
        <v>42075</v>
      </c>
      <c r="T6198" s="2">
        <v>42075</v>
      </c>
      <c r="U6198" s="2">
        <v>42135</v>
      </c>
      <c r="V6198" t="s">
        <v>71</v>
      </c>
      <c r="W6198" t="str">
        <f>"          5301633653"</f>
        <v xml:space="preserve">          5301633653</v>
      </c>
      <c r="X6198">
        <v>245.22</v>
      </c>
      <c r="Y6198">
        <v>0</v>
      </c>
      <c r="Z6198"/>
      <c r="AB6198"/>
      <c r="AC6198">
        <v>201</v>
      </c>
      <c r="AD6198">
        <v>268</v>
      </c>
      <c r="AE6198" s="1">
        <v>53868</v>
      </c>
      <c r="AF6198">
        <v>0</v>
      </c>
      <c r="AJ6198">
        <v>0</v>
      </c>
      <c r="AK6198">
        <v>0</v>
      </c>
      <c r="AL6198">
        <v>0</v>
      </c>
      <c r="AM6198">
        <v>0</v>
      </c>
      <c r="AN6198">
        <v>0</v>
      </c>
      <c r="AO6198">
        <v>0</v>
      </c>
      <c r="AP6198" s="2">
        <v>42746</v>
      </c>
      <c r="AQ6198" t="s">
        <v>72</v>
      </c>
      <c r="AR6198" t="s">
        <v>72</v>
      </c>
      <c r="AS6198">
        <v>230</v>
      </c>
      <c r="AT6198" s="4">
        <v>42403</v>
      </c>
      <c r="AU6198" t="s">
        <v>73</v>
      </c>
      <c r="AV6198">
        <v>230</v>
      </c>
      <c r="AW6198" s="4">
        <v>42403</v>
      </c>
      <c r="BD6198">
        <v>0</v>
      </c>
      <c r="BN6198" t="s">
        <v>74</v>
      </c>
    </row>
    <row r="6199" spans="1:66" hidden="1">
      <c r="A6199">
        <v>104048</v>
      </c>
      <c r="B6199" s="3" t="s">
        <v>602</v>
      </c>
      <c r="C6199" s="1">
        <v>43300101</v>
      </c>
      <c r="D6199" t="s">
        <v>67</v>
      </c>
      <c r="H6199" t="str">
        <f t="shared" si="639"/>
        <v>00674840152</v>
      </c>
      <c r="I6199" t="str">
        <f t="shared" si="639"/>
        <v>00674840152</v>
      </c>
      <c r="K6199" t="str">
        <f>""</f>
        <v/>
      </c>
      <c r="M6199" t="s">
        <v>68</v>
      </c>
      <c r="N6199" t="str">
        <f t="shared" si="636"/>
        <v>FOR</v>
      </c>
      <c r="O6199" t="s">
        <v>69</v>
      </c>
      <c r="P6199" s="3" t="s">
        <v>70</v>
      </c>
      <c r="Q6199">
        <v>2015</v>
      </c>
      <c r="R6199" s="2">
        <v>42065</v>
      </c>
      <c r="S6199" s="2">
        <v>42075</v>
      </c>
      <c r="T6199" s="2">
        <v>42075</v>
      </c>
      <c r="U6199" s="2">
        <v>42135</v>
      </c>
      <c r="V6199" t="s">
        <v>71</v>
      </c>
      <c r="W6199" t="str">
        <f>"          5301633654"</f>
        <v xml:space="preserve">          5301633654</v>
      </c>
      <c r="X6199">
        <v>291.33999999999997</v>
      </c>
      <c r="Y6199">
        <v>0</v>
      </c>
      <c r="Z6199"/>
      <c r="AB6199"/>
      <c r="AC6199">
        <v>238.8</v>
      </c>
      <c r="AD6199">
        <v>268</v>
      </c>
      <c r="AE6199" s="1">
        <v>63998.400000000001</v>
      </c>
      <c r="AF6199">
        <v>0</v>
      </c>
      <c r="AJ6199">
        <v>0</v>
      </c>
      <c r="AK6199">
        <v>0</v>
      </c>
      <c r="AL6199">
        <v>0</v>
      </c>
      <c r="AM6199">
        <v>0</v>
      </c>
      <c r="AN6199">
        <v>0</v>
      </c>
      <c r="AO6199">
        <v>0</v>
      </c>
      <c r="AP6199" s="2">
        <v>42746</v>
      </c>
      <c r="AQ6199" t="s">
        <v>72</v>
      </c>
      <c r="AR6199" t="s">
        <v>72</v>
      </c>
      <c r="AS6199">
        <v>230</v>
      </c>
      <c r="AT6199" s="4">
        <v>42403</v>
      </c>
      <c r="AU6199" t="s">
        <v>73</v>
      </c>
      <c r="AV6199">
        <v>230</v>
      </c>
      <c r="AW6199" s="4">
        <v>42403</v>
      </c>
      <c r="BD6199">
        <v>0</v>
      </c>
      <c r="BN6199" t="s">
        <v>74</v>
      </c>
    </row>
    <row r="6200" spans="1:66" hidden="1">
      <c r="A6200">
        <v>104048</v>
      </c>
      <c r="B6200" s="3" t="s">
        <v>602</v>
      </c>
      <c r="C6200" s="1">
        <v>43300101</v>
      </c>
      <c r="D6200" t="s">
        <v>67</v>
      </c>
      <c r="H6200" t="str">
        <f t="shared" si="639"/>
        <v>00674840152</v>
      </c>
      <c r="I6200" t="str">
        <f t="shared" si="639"/>
        <v>00674840152</v>
      </c>
      <c r="K6200" t="str">
        <f>""</f>
        <v/>
      </c>
      <c r="M6200" t="s">
        <v>68</v>
      </c>
      <c r="N6200" t="str">
        <f t="shared" si="636"/>
        <v>FOR</v>
      </c>
      <c r="O6200" t="s">
        <v>69</v>
      </c>
      <c r="P6200" s="3" t="s">
        <v>70</v>
      </c>
      <c r="Q6200">
        <v>2015</v>
      </c>
      <c r="R6200" s="2">
        <v>42065</v>
      </c>
      <c r="S6200" s="2">
        <v>42075</v>
      </c>
      <c r="T6200" s="2">
        <v>42075</v>
      </c>
      <c r="U6200" s="2">
        <v>42135</v>
      </c>
      <c r="V6200" t="s">
        <v>71</v>
      </c>
      <c r="W6200" t="str">
        <f>"          5301633655"</f>
        <v xml:space="preserve">          5301633655</v>
      </c>
      <c r="X6200">
        <v>395.89</v>
      </c>
      <c r="Y6200">
        <v>0</v>
      </c>
      <c r="Z6200"/>
      <c r="AB6200"/>
      <c r="AC6200">
        <v>324.5</v>
      </c>
      <c r="AD6200">
        <v>268</v>
      </c>
      <c r="AE6200" s="1">
        <v>86966</v>
      </c>
      <c r="AF6200">
        <v>0</v>
      </c>
      <c r="AJ6200">
        <v>0</v>
      </c>
      <c r="AK6200">
        <v>0</v>
      </c>
      <c r="AL6200">
        <v>0</v>
      </c>
      <c r="AM6200">
        <v>0</v>
      </c>
      <c r="AN6200">
        <v>0</v>
      </c>
      <c r="AO6200">
        <v>0</v>
      </c>
      <c r="AP6200" s="2">
        <v>42746</v>
      </c>
      <c r="AQ6200" t="s">
        <v>72</v>
      </c>
      <c r="AR6200" t="s">
        <v>72</v>
      </c>
      <c r="AS6200">
        <v>230</v>
      </c>
      <c r="AT6200" s="4">
        <v>42403</v>
      </c>
      <c r="AU6200" t="s">
        <v>73</v>
      </c>
      <c r="AV6200">
        <v>230</v>
      </c>
      <c r="AW6200" s="4">
        <v>42403</v>
      </c>
      <c r="BD6200">
        <v>0</v>
      </c>
      <c r="BN6200" t="s">
        <v>74</v>
      </c>
    </row>
    <row r="6201" spans="1:66" hidden="1">
      <c r="A6201">
        <v>104048</v>
      </c>
      <c r="B6201" s="3" t="s">
        <v>602</v>
      </c>
      <c r="C6201" s="1">
        <v>43300101</v>
      </c>
      <c r="D6201" t="s">
        <v>67</v>
      </c>
      <c r="H6201" t="str">
        <f t="shared" si="639"/>
        <v>00674840152</v>
      </c>
      <c r="I6201" t="str">
        <f t="shared" si="639"/>
        <v>00674840152</v>
      </c>
      <c r="K6201" t="str">
        <f>""</f>
        <v/>
      </c>
      <c r="M6201" t="s">
        <v>68</v>
      </c>
      <c r="N6201" t="str">
        <f t="shared" si="636"/>
        <v>FOR</v>
      </c>
      <c r="O6201" t="s">
        <v>69</v>
      </c>
      <c r="P6201" s="3" t="s">
        <v>70</v>
      </c>
      <c r="Q6201">
        <v>2015</v>
      </c>
      <c r="R6201" s="2">
        <v>42065</v>
      </c>
      <c r="S6201" s="2">
        <v>42075</v>
      </c>
      <c r="T6201" s="2">
        <v>42075</v>
      </c>
      <c r="U6201" s="2">
        <v>42135</v>
      </c>
      <c r="V6201" t="s">
        <v>71</v>
      </c>
      <c r="W6201" t="str">
        <f>"          5301633656"</f>
        <v xml:space="preserve">          5301633656</v>
      </c>
      <c r="X6201">
        <v>96.14</v>
      </c>
      <c r="Y6201">
        <v>0</v>
      </c>
      <c r="Z6201"/>
      <c r="AB6201"/>
      <c r="AC6201">
        <v>78.8</v>
      </c>
      <c r="AD6201">
        <v>268</v>
      </c>
      <c r="AE6201" s="1">
        <v>21118.400000000001</v>
      </c>
      <c r="AF6201">
        <v>0</v>
      </c>
      <c r="AJ6201">
        <v>0</v>
      </c>
      <c r="AK6201">
        <v>0</v>
      </c>
      <c r="AL6201">
        <v>0</v>
      </c>
      <c r="AM6201">
        <v>0</v>
      </c>
      <c r="AN6201">
        <v>0</v>
      </c>
      <c r="AO6201">
        <v>0</v>
      </c>
      <c r="AP6201" s="2">
        <v>42746</v>
      </c>
      <c r="AQ6201" t="s">
        <v>72</v>
      </c>
      <c r="AR6201" t="s">
        <v>72</v>
      </c>
      <c r="AS6201">
        <v>230</v>
      </c>
      <c r="AT6201" s="4">
        <v>42403</v>
      </c>
      <c r="AU6201" t="s">
        <v>73</v>
      </c>
      <c r="AV6201">
        <v>230</v>
      </c>
      <c r="AW6201" s="4">
        <v>42403</v>
      </c>
      <c r="BD6201">
        <v>0</v>
      </c>
      <c r="BN6201" t="s">
        <v>74</v>
      </c>
    </row>
    <row r="6202" spans="1:66" hidden="1">
      <c r="A6202">
        <v>104048</v>
      </c>
      <c r="B6202" s="3" t="s">
        <v>602</v>
      </c>
      <c r="C6202" s="1">
        <v>43300101</v>
      </c>
      <c r="D6202" t="s">
        <v>67</v>
      </c>
      <c r="H6202" t="str">
        <f t="shared" si="639"/>
        <v>00674840152</v>
      </c>
      <c r="I6202" t="str">
        <f t="shared" si="639"/>
        <v>00674840152</v>
      </c>
      <c r="K6202" t="str">
        <f>""</f>
        <v/>
      </c>
      <c r="M6202" t="s">
        <v>68</v>
      </c>
      <c r="N6202" t="str">
        <f t="shared" si="636"/>
        <v>FOR</v>
      </c>
      <c r="O6202" t="s">
        <v>69</v>
      </c>
      <c r="P6202" s="3" t="s">
        <v>70</v>
      </c>
      <c r="Q6202">
        <v>2015</v>
      </c>
      <c r="R6202" s="2">
        <v>42065</v>
      </c>
      <c r="S6202" s="2">
        <v>42075</v>
      </c>
      <c r="T6202" s="2">
        <v>42075</v>
      </c>
      <c r="U6202" s="2">
        <v>42135</v>
      </c>
      <c r="V6202" t="s">
        <v>71</v>
      </c>
      <c r="W6202" t="str">
        <f>"          5301633657"</f>
        <v xml:space="preserve">          5301633657</v>
      </c>
      <c r="X6202">
        <v>118.95</v>
      </c>
      <c r="Y6202">
        <v>0</v>
      </c>
      <c r="Z6202"/>
      <c r="AB6202"/>
      <c r="AC6202">
        <v>97.5</v>
      </c>
      <c r="AD6202">
        <v>268</v>
      </c>
      <c r="AE6202" s="1">
        <v>26130</v>
      </c>
      <c r="AF6202">
        <v>0</v>
      </c>
      <c r="AJ6202">
        <v>0</v>
      </c>
      <c r="AK6202">
        <v>0</v>
      </c>
      <c r="AL6202">
        <v>0</v>
      </c>
      <c r="AM6202">
        <v>0</v>
      </c>
      <c r="AN6202">
        <v>0</v>
      </c>
      <c r="AO6202">
        <v>0</v>
      </c>
      <c r="AP6202" s="2">
        <v>42746</v>
      </c>
      <c r="AQ6202" t="s">
        <v>72</v>
      </c>
      <c r="AR6202" t="s">
        <v>72</v>
      </c>
      <c r="AS6202">
        <v>230</v>
      </c>
      <c r="AT6202" s="4">
        <v>42403</v>
      </c>
      <c r="AU6202" t="s">
        <v>73</v>
      </c>
      <c r="AV6202">
        <v>230</v>
      </c>
      <c r="AW6202" s="4">
        <v>42403</v>
      </c>
      <c r="BD6202">
        <v>0</v>
      </c>
      <c r="BN6202" t="s">
        <v>74</v>
      </c>
    </row>
    <row r="6203" spans="1:66" hidden="1">
      <c r="A6203">
        <v>104048</v>
      </c>
      <c r="B6203" s="3" t="s">
        <v>602</v>
      </c>
      <c r="C6203" s="1">
        <v>43300101</v>
      </c>
      <c r="D6203" t="s">
        <v>67</v>
      </c>
      <c r="H6203" t="str">
        <f t="shared" si="639"/>
        <v>00674840152</v>
      </c>
      <c r="I6203" t="str">
        <f t="shared" si="639"/>
        <v>00674840152</v>
      </c>
      <c r="K6203" t="str">
        <f>""</f>
        <v/>
      </c>
      <c r="M6203" t="s">
        <v>68</v>
      </c>
      <c r="N6203" t="str">
        <f t="shared" si="636"/>
        <v>FOR</v>
      </c>
      <c r="O6203" t="s">
        <v>69</v>
      </c>
      <c r="P6203" s="3" t="s">
        <v>70</v>
      </c>
      <c r="Q6203">
        <v>2015</v>
      </c>
      <c r="R6203" s="2">
        <v>42065</v>
      </c>
      <c r="S6203" s="2">
        <v>42075</v>
      </c>
      <c r="T6203" s="2">
        <v>42075</v>
      </c>
      <c r="U6203" s="2">
        <v>42135</v>
      </c>
      <c r="V6203" t="s">
        <v>71</v>
      </c>
      <c r="W6203" t="str">
        <f>"          5301633658"</f>
        <v xml:space="preserve">          5301633658</v>
      </c>
      <c r="X6203">
        <v>144.19999999999999</v>
      </c>
      <c r="Y6203">
        <v>0</v>
      </c>
      <c r="Z6203"/>
      <c r="AB6203"/>
      <c r="AC6203">
        <v>118.2</v>
      </c>
      <c r="AD6203">
        <v>268</v>
      </c>
      <c r="AE6203" s="1">
        <v>31677.599999999999</v>
      </c>
      <c r="AF6203">
        <v>0</v>
      </c>
      <c r="AJ6203">
        <v>0</v>
      </c>
      <c r="AK6203">
        <v>0</v>
      </c>
      <c r="AL6203">
        <v>0</v>
      </c>
      <c r="AM6203">
        <v>0</v>
      </c>
      <c r="AN6203">
        <v>0</v>
      </c>
      <c r="AO6203">
        <v>0</v>
      </c>
      <c r="AP6203" s="2">
        <v>42746</v>
      </c>
      <c r="AQ6203" t="s">
        <v>72</v>
      </c>
      <c r="AR6203" t="s">
        <v>72</v>
      </c>
      <c r="AS6203">
        <v>230</v>
      </c>
      <c r="AT6203" s="4">
        <v>42403</v>
      </c>
      <c r="AU6203" t="s">
        <v>73</v>
      </c>
      <c r="AV6203">
        <v>230</v>
      </c>
      <c r="AW6203" s="4">
        <v>42403</v>
      </c>
      <c r="BD6203">
        <v>0</v>
      </c>
      <c r="BN6203" t="s">
        <v>74</v>
      </c>
    </row>
    <row r="6204" spans="1:66" hidden="1">
      <c r="A6204">
        <v>104048</v>
      </c>
      <c r="B6204" s="3" t="s">
        <v>602</v>
      </c>
      <c r="C6204" s="1">
        <v>43300101</v>
      </c>
      <c r="D6204" t="s">
        <v>67</v>
      </c>
      <c r="H6204" t="str">
        <f t="shared" si="639"/>
        <v>00674840152</v>
      </c>
      <c r="I6204" t="str">
        <f t="shared" si="639"/>
        <v>00674840152</v>
      </c>
      <c r="K6204" t="str">
        <f>""</f>
        <v/>
      </c>
      <c r="M6204" t="s">
        <v>68</v>
      </c>
      <c r="N6204" t="str">
        <f t="shared" si="636"/>
        <v>FOR</v>
      </c>
      <c r="O6204" t="s">
        <v>69</v>
      </c>
      <c r="P6204" s="3" t="s">
        <v>70</v>
      </c>
      <c r="Q6204">
        <v>2015</v>
      </c>
      <c r="R6204" s="2">
        <v>42065</v>
      </c>
      <c r="S6204" s="2">
        <v>42075</v>
      </c>
      <c r="T6204" s="2">
        <v>42075</v>
      </c>
      <c r="U6204" s="2">
        <v>42135</v>
      </c>
      <c r="V6204" t="s">
        <v>71</v>
      </c>
      <c r="W6204" t="str">
        <f>"          5301633659"</f>
        <v xml:space="preserve">          5301633659</v>
      </c>
      <c r="X6204">
        <v>198.13</v>
      </c>
      <c r="Y6204">
        <v>0</v>
      </c>
      <c r="Z6204"/>
      <c r="AB6204"/>
      <c r="AC6204">
        <v>162.4</v>
      </c>
      <c r="AD6204">
        <v>268</v>
      </c>
      <c r="AE6204" s="1">
        <v>43523.199999999997</v>
      </c>
      <c r="AF6204">
        <v>0</v>
      </c>
      <c r="AJ6204">
        <v>0</v>
      </c>
      <c r="AK6204">
        <v>0</v>
      </c>
      <c r="AL6204">
        <v>0</v>
      </c>
      <c r="AM6204">
        <v>0</v>
      </c>
      <c r="AN6204">
        <v>0</v>
      </c>
      <c r="AO6204">
        <v>0</v>
      </c>
      <c r="AP6204" s="2">
        <v>42746</v>
      </c>
      <c r="AQ6204" t="s">
        <v>72</v>
      </c>
      <c r="AR6204" t="s">
        <v>72</v>
      </c>
      <c r="AS6204">
        <v>230</v>
      </c>
      <c r="AT6204" s="4">
        <v>42403</v>
      </c>
      <c r="AU6204" t="s">
        <v>73</v>
      </c>
      <c r="AV6204">
        <v>230</v>
      </c>
      <c r="AW6204" s="4">
        <v>42403</v>
      </c>
      <c r="BD6204">
        <v>0</v>
      </c>
      <c r="BN6204" t="s">
        <v>74</v>
      </c>
    </row>
    <row r="6205" spans="1:66" hidden="1">
      <c r="A6205">
        <v>104048</v>
      </c>
      <c r="B6205" s="3" t="s">
        <v>602</v>
      </c>
      <c r="C6205" s="1">
        <v>43300101</v>
      </c>
      <c r="D6205" t="s">
        <v>67</v>
      </c>
      <c r="H6205" t="str">
        <f t="shared" si="639"/>
        <v>00674840152</v>
      </c>
      <c r="I6205" t="str">
        <f t="shared" si="639"/>
        <v>00674840152</v>
      </c>
      <c r="K6205" t="str">
        <f>""</f>
        <v/>
      </c>
      <c r="M6205" t="s">
        <v>68</v>
      </c>
      <c r="N6205" t="str">
        <f t="shared" si="636"/>
        <v>FOR</v>
      </c>
      <c r="O6205" t="s">
        <v>69</v>
      </c>
      <c r="P6205" s="3" t="s">
        <v>70</v>
      </c>
      <c r="Q6205">
        <v>2015</v>
      </c>
      <c r="R6205" s="2">
        <v>42065</v>
      </c>
      <c r="S6205" s="2">
        <v>42075</v>
      </c>
      <c r="T6205" s="2">
        <v>42075</v>
      </c>
      <c r="U6205" s="2">
        <v>42135</v>
      </c>
      <c r="V6205" t="s">
        <v>71</v>
      </c>
      <c r="W6205" t="str">
        <f>"          5301633660"</f>
        <v xml:space="preserve">          5301633660</v>
      </c>
      <c r="X6205">
        <v>313.3</v>
      </c>
      <c r="Y6205">
        <v>0</v>
      </c>
      <c r="Z6205"/>
      <c r="AB6205"/>
      <c r="AC6205">
        <v>256.8</v>
      </c>
      <c r="AD6205">
        <v>268</v>
      </c>
      <c r="AE6205" s="1">
        <v>68822.399999999994</v>
      </c>
      <c r="AF6205">
        <v>0</v>
      </c>
      <c r="AJ6205">
        <v>0</v>
      </c>
      <c r="AK6205">
        <v>0</v>
      </c>
      <c r="AL6205">
        <v>0</v>
      </c>
      <c r="AM6205">
        <v>0</v>
      </c>
      <c r="AN6205">
        <v>0</v>
      </c>
      <c r="AO6205">
        <v>0</v>
      </c>
      <c r="AP6205" s="2">
        <v>42746</v>
      </c>
      <c r="AQ6205" t="s">
        <v>72</v>
      </c>
      <c r="AR6205" t="s">
        <v>72</v>
      </c>
      <c r="AS6205">
        <v>230</v>
      </c>
      <c r="AT6205" s="4">
        <v>42403</v>
      </c>
      <c r="AU6205" t="s">
        <v>73</v>
      </c>
      <c r="AV6205">
        <v>230</v>
      </c>
      <c r="AW6205" s="4">
        <v>42403</v>
      </c>
      <c r="BD6205">
        <v>0</v>
      </c>
      <c r="BN6205" t="s">
        <v>74</v>
      </c>
    </row>
    <row r="6206" spans="1:66" hidden="1">
      <c r="A6206">
        <v>104048</v>
      </c>
      <c r="B6206" s="3" t="s">
        <v>602</v>
      </c>
      <c r="C6206" s="1">
        <v>43300101</v>
      </c>
      <c r="D6206" t="s">
        <v>67</v>
      </c>
      <c r="H6206" t="str">
        <f t="shared" si="639"/>
        <v>00674840152</v>
      </c>
      <c r="I6206" t="str">
        <f t="shared" si="639"/>
        <v>00674840152</v>
      </c>
      <c r="K6206" t="str">
        <f>""</f>
        <v/>
      </c>
      <c r="M6206" t="s">
        <v>68</v>
      </c>
      <c r="N6206" t="str">
        <f t="shared" si="636"/>
        <v>FOR</v>
      </c>
      <c r="O6206" t="s">
        <v>69</v>
      </c>
      <c r="P6206" s="3" t="s">
        <v>70</v>
      </c>
      <c r="Q6206">
        <v>2015</v>
      </c>
      <c r="R6206" s="2">
        <v>42065</v>
      </c>
      <c r="S6206" s="2">
        <v>42075</v>
      </c>
      <c r="T6206" s="2">
        <v>42075</v>
      </c>
      <c r="U6206" s="2">
        <v>42135</v>
      </c>
      <c r="V6206" t="s">
        <v>71</v>
      </c>
      <c r="W6206" t="str">
        <f>"          5301633661"</f>
        <v xml:space="preserve">          5301633661</v>
      </c>
      <c r="X6206">
        <v>148.6</v>
      </c>
      <c r="Y6206">
        <v>0</v>
      </c>
      <c r="Z6206"/>
      <c r="AB6206"/>
      <c r="AC6206">
        <v>121.8</v>
      </c>
      <c r="AD6206">
        <v>268</v>
      </c>
      <c r="AE6206" s="1">
        <v>32642.400000000001</v>
      </c>
      <c r="AF6206">
        <v>0</v>
      </c>
      <c r="AJ6206">
        <v>0</v>
      </c>
      <c r="AK6206">
        <v>0</v>
      </c>
      <c r="AL6206">
        <v>0</v>
      </c>
      <c r="AM6206">
        <v>0</v>
      </c>
      <c r="AN6206">
        <v>0</v>
      </c>
      <c r="AO6206">
        <v>0</v>
      </c>
      <c r="AP6206" s="2">
        <v>42746</v>
      </c>
      <c r="AQ6206" t="s">
        <v>72</v>
      </c>
      <c r="AR6206" t="s">
        <v>72</v>
      </c>
      <c r="AS6206">
        <v>230</v>
      </c>
      <c r="AT6206" s="4">
        <v>42403</v>
      </c>
      <c r="AU6206" t="s">
        <v>73</v>
      </c>
      <c r="AV6206">
        <v>230</v>
      </c>
      <c r="AW6206" s="4">
        <v>42403</v>
      </c>
      <c r="BD6206">
        <v>0</v>
      </c>
      <c r="BN6206" t="s">
        <v>74</v>
      </c>
    </row>
    <row r="6207" spans="1:66" hidden="1">
      <c r="A6207">
        <v>104048</v>
      </c>
      <c r="B6207" s="3" t="s">
        <v>602</v>
      </c>
      <c r="C6207" s="1">
        <v>43300101</v>
      </c>
      <c r="D6207" t="s">
        <v>67</v>
      </c>
      <c r="H6207" t="str">
        <f t="shared" si="639"/>
        <v>00674840152</v>
      </c>
      <c r="I6207" t="str">
        <f t="shared" si="639"/>
        <v>00674840152</v>
      </c>
      <c r="K6207" t="str">
        <f>""</f>
        <v/>
      </c>
      <c r="M6207" t="s">
        <v>68</v>
      </c>
      <c r="N6207" t="str">
        <f t="shared" si="636"/>
        <v>FOR</v>
      </c>
      <c r="O6207" t="s">
        <v>69</v>
      </c>
      <c r="P6207" s="3" t="s">
        <v>70</v>
      </c>
      <c r="Q6207">
        <v>2015</v>
      </c>
      <c r="R6207" s="2">
        <v>42065</v>
      </c>
      <c r="S6207" s="2">
        <v>42075</v>
      </c>
      <c r="T6207" s="2">
        <v>42075</v>
      </c>
      <c r="U6207" s="2">
        <v>42135</v>
      </c>
      <c r="V6207" t="s">
        <v>71</v>
      </c>
      <c r="W6207" t="str">
        <f>"          5301633662"</f>
        <v xml:space="preserve">          5301633662</v>
      </c>
      <c r="X6207">
        <v>254</v>
      </c>
      <c r="Y6207">
        <v>0</v>
      </c>
      <c r="Z6207"/>
      <c r="AB6207"/>
      <c r="AC6207">
        <v>208.2</v>
      </c>
      <c r="AD6207">
        <v>268</v>
      </c>
      <c r="AE6207" s="1">
        <v>55797.599999999999</v>
      </c>
      <c r="AF6207">
        <v>0</v>
      </c>
      <c r="AJ6207">
        <v>0</v>
      </c>
      <c r="AK6207">
        <v>0</v>
      </c>
      <c r="AL6207">
        <v>0</v>
      </c>
      <c r="AM6207">
        <v>0</v>
      </c>
      <c r="AN6207">
        <v>0</v>
      </c>
      <c r="AO6207">
        <v>0</v>
      </c>
      <c r="AP6207" s="2">
        <v>42746</v>
      </c>
      <c r="AQ6207" t="s">
        <v>72</v>
      </c>
      <c r="AR6207" t="s">
        <v>72</v>
      </c>
      <c r="AS6207">
        <v>230</v>
      </c>
      <c r="AT6207" s="4">
        <v>42403</v>
      </c>
      <c r="AU6207" t="s">
        <v>73</v>
      </c>
      <c r="AV6207">
        <v>230</v>
      </c>
      <c r="AW6207" s="4">
        <v>42403</v>
      </c>
      <c r="BD6207">
        <v>0</v>
      </c>
      <c r="BN6207" t="s">
        <v>74</v>
      </c>
    </row>
    <row r="6208" spans="1:66" hidden="1">
      <c r="A6208">
        <v>104048</v>
      </c>
      <c r="B6208" s="3" t="s">
        <v>602</v>
      </c>
      <c r="C6208" s="1">
        <v>43300101</v>
      </c>
      <c r="D6208" t="s">
        <v>67</v>
      </c>
      <c r="H6208" t="str">
        <f t="shared" si="639"/>
        <v>00674840152</v>
      </c>
      <c r="I6208" t="str">
        <f t="shared" si="639"/>
        <v>00674840152</v>
      </c>
      <c r="K6208" t="str">
        <f>""</f>
        <v/>
      </c>
      <c r="M6208" t="s">
        <v>68</v>
      </c>
      <c r="N6208" t="str">
        <f t="shared" ref="N6208:N6271" si="640">"FOR"</f>
        <v>FOR</v>
      </c>
      <c r="O6208" t="s">
        <v>69</v>
      </c>
      <c r="P6208" s="3" t="s">
        <v>70</v>
      </c>
      <c r="Q6208">
        <v>2015</v>
      </c>
      <c r="R6208" s="2">
        <v>42065</v>
      </c>
      <c r="S6208" s="2">
        <v>42075</v>
      </c>
      <c r="T6208" s="2">
        <v>42075</v>
      </c>
      <c r="U6208" s="2">
        <v>42135</v>
      </c>
      <c r="V6208" t="s">
        <v>71</v>
      </c>
      <c r="W6208" t="str">
        <f>"          5301633663"</f>
        <v xml:space="preserve">          5301633663</v>
      </c>
      <c r="X6208">
        <v>305.24</v>
      </c>
      <c r="Y6208">
        <v>0</v>
      </c>
      <c r="Z6208"/>
      <c r="AB6208"/>
      <c r="AC6208">
        <v>250.2</v>
      </c>
      <c r="AD6208">
        <v>268</v>
      </c>
      <c r="AE6208" s="1">
        <v>67053.600000000006</v>
      </c>
      <c r="AF6208">
        <v>0</v>
      </c>
      <c r="AJ6208">
        <v>0</v>
      </c>
      <c r="AK6208">
        <v>0</v>
      </c>
      <c r="AL6208">
        <v>0</v>
      </c>
      <c r="AM6208">
        <v>0</v>
      </c>
      <c r="AN6208">
        <v>0</v>
      </c>
      <c r="AO6208">
        <v>0</v>
      </c>
      <c r="AP6208" s="2">
        <v>42746</v>
      </c>
      <c r="AQ6208" t="s">
        <v>72</v>
      </c>
      <c r="AR6208" t="s">
        <v>72</v>
      </c>
      <c r="AS6208">
        <v>230</v>
      </c>
      <c r="AT6208" s="4">
        <v>42403</v>
      </c>
      <c r="AU6208" t="s">
        <v>73</v>
      </c>
      <c r="AV6208">
        <v>230</v>
      </c>
      <c r="AW6208" s="4">
        <v>42403</v>
      </c>
      <c r="BD6208">
        <v>0</v>
      </c>
      <c r="BN6208" t="s">
        <v>74</v>
      </c>
    </row>
    <row r="6209" spans="1:66" hidden="1">
      <c r="A6209">
        <v>104048</v>
      </c>
      <c r="B6209" s="3" t="s">
        <v>602</v>
      </c>
      <c r="C6209" s="1">
        <v>43300101</v>
      </c>
      <c r="D6209" t="s">
        <v>67</v>
      </c>
      <c r="H6209" t="str">
        <f t="shared" si="639"/>
        <v>00674840152</v>
      </c>
      <c r="I6209" t="str">
        <f t="shared" si="639"/>
        <v>00674840152</v>
      </c>
      <c r="K6209" t="str">
        <f>""</f>
        <v/>
      </c>
      <c r="M6209" t="s">
        <v>68</v>
      </c>
      <c r="N6209" t="str">
        <f t="shared" si="640"/>
        <v>FOR</v>
      </c>
      <c r="O6209" t="s">
        <v>69</v>
      </c>
      <c r="P6209" s="3" t="s">
        <v>70</v>
      </c>
      <c r="Q6209">
        <v>2015</v>
      </c>
      <c r="R6209" s="2">
        <v>42065</v>
      </c>
      <c r="S6209" s="2">
        <v>42075</v>
      </c>
      <c r="T6209" s="2">
        <v>42075</v>
      </c>
      <c r="U6209" s="2">
        <v>42135</v>
      </c>
      <c r="V6209" t="s">
        <v>71</v>
      </c>
      <c r="W6209" t="str">
        <f>"          5301633664"</f>
        <v xml:space="preserve">          5301633664</v>
      </c>
      <c r="X6209">
        <v>418.7</v>
      </c>
      <c r="Y6209">
        <v>0</v>
      </c>
      <c r="Z6209"/>
      <c r="AB6209"/>
      <c r="AC6209">
        <v>343.2</v>
      </c>
      <c r="AD6209">
        <v>268</v>
      </c>
      <c r="AE6209" s="1">
        <v>91977.600000000006</v>
      </c>
      <c r="AF6209">
        <v>0</v>
      </c>
      <c r="AJ6209">
        <v>0</v>
      </c>
      <c r="AK6209">
        <v>0</v>
      </c>
      <c r="AL6209">
        <v>0</v>
      </c>
      <c r="AM6209">
        <v>0</v>
      </c>
      <c r="AN6209">
        <v>0</v>
      </c>
      <c r="AO6209">
        <v>0</v>
      </c>
      <c r="AP6209" s="2">
        <v>42746</v>
      </c>
      <c r="AQ6209" t="s">
        <v>72</v>
      </c>
      <c r="AR6209" t="s">
        <v>72</v>
      </c>
      <c r="AS6209">
        <v>230</v>
      </c>
      <c r="AT6209" s="4">
        <v>42403</v>
      </c>
      <c r="AU6209" t="s">
        <v>73</v>
      </c>
      <c r="AV6209">
        <v>230</v>
      </c>
      <c r="AW6209" s="4">
        <v>42403</v>
      </c>
      <c r="BD6209">
        <v>0</v>
      </c>
      <c r="BN6209" t="s">
        <v>74</v>
      </c>
    </row>
    <row r="6210" spans="1:66" hidden="1">
      <c r="A6210">
        <v>104048</v>
      </c>
      <c r="B6210" s="3" t="s">
        <v>602</v>
      </c>
      <c r="C6210" s="1">
        <v>43300101</v>
      </c>
      <c r="D6210" t="s">
        <v>67</v>
      </c>
      <c r="H6210" t="str">
        <f t="shared" si="639"/>
        <v>00674840152</v>
      </c>
      <c r="I6210" t="str">
        <f t="shared" si="639"/>
        <v>00674840152</v>
      </c>
      <c r="K6210" t="str">
        <f>""</f>
        <v/>
      </c>
      <c r="M6210" t="s">
        <v>68</v>
      </c>
      <c r="N6210" t="str">
        <f t="shared" si="640"/>
        <v>FOR</v>
      </c>
      <c r="O6210" t="s">
        <v>69</v>
      </c>
      <c r="P6210" s="3" t="s">
        <v>70</v>
      </c>
      <c r="Q6210">
        <v>2015</v>
      </c>
      <c r="R6210" s="2">
        <v>42065</v>
      </c>
      <c r="S6210" s="2">
        <v>42075</v>
      </c>
      <c r="T6210" s="2">
        <v>42075</v>
      </c>
      <c r="U6210" s="2">
        <v>42135</v>
      </c>
      <c r="V6210" t="s">
        <v>71</v>
      </c>
      <c r="W6210" t="str">
        <f>"          5301633665"</f>
        <v xml:space="preserve">          5301633665</v>
      </c>
      <c r="X6210">
        <v>411.75</v>
      </c>
      <c r="Y6210">
        <v>0</v>
      </c>
      <c r="Z6210"/>
      <c r="AB6210"/>
      <c r="AC6210">
        <v>337.5</v>
      </c>
      <c r="AD6210">
        <v>268</v>
      </c>
      <c r="AE6210" s="1">
        <v>90450</v>
      </c>
      <c r="AF6210">
        <v>0</v>
      </c>
      <c r="AJ6210">
        <v>0</v>
      </c>
      <c r="AK6210">
        <v>0</v>
      </c>
      <c r="AL6210">
        <v>0</v>
      </c>
      <c r="AM6210">
        <v>0</v>
      </c>
      <c r="AN6210">
        <v>0</v>
      </c>
      <c r="AO6210">
        <v>0</v>
      </c>
      <c r="AP6210" s="2">
        <v>42746</v>
      </c>
      <c r="AQ6210" t="s">
        <v>72</v>
      </c>
      <c r="AR6210" t="s">
        <v>72</v>
      </c>
      <c r="AS6210">
        <v>230</v>
      </c>
      <c r="AT6210" s="4">
        <v>42403</v>
      </c>
      <c r="AU6210" t="s">
        <v>73</v>
      </c>
      <c r="AV6210">
        <v>230</v>
      </c>
      <c r="AW6210" s="4">
        <v>42403</v>
      </c>
      <c r="BD6210">
        <v>0</v>
      </c>
      <c r="BN6210" t="s">
        <v>74</v>
      </c>
    </row>
    <row r="6211" spans="1:66" hidden="1">
      <c r="A6211">
        <v>104048</v>
      </c>
      <c r="B6211" s="3" t="s">
        <v>602</v>
      </c>
      <c r="C6211" s="1">
        <v>43300101</v>
      </c>
      <c r="D6211" t="s">
        <v>67</v>
      </c>
      <c r="H6211" t="str">
        <f t="shared" si="639"/>
        <v>00674840152</v>
      </c>
      <c r="I6211" t="str">
        <f t="shared" si="639"/>
        <v>00674840152</v>
      </c>
      <c r="K6211" t="str">
        <f>""</f>
        <v/>
      </c>
      <c r="M6211" t="s">
        <v>68</v>
      </c>
      <c r="N6211" t="str">
        <f t="shared" si="640"/>
        <v>FOR</v>
      </c>
      <c r="O6211" t="s">
        <v>69</v>
      </c>
      <c r="P6211" s="3" t="s">
        <v>70</v>
      </c>
      <c r="Q6211">
        <v>2015</v>
      </c>
      <c r="R6211" s="2">
        <v>42065</v>
      </c>
      <c r="S6211" s="2">
        <v>42075</v>
      </c>
      <c r="T6211" s="2">
        <v>42075</v>
      </c>
      <c r="U6211" s="2">
        <v>42135</v>
      </c>
      <c r="V6211" t="s">
        <v>71</v>
      </c>
      <c r="W6211" t="str">
        <f>"          5301633666"</f>
        <v xml:space="preserve">          5301633666</v>
      </c>
      <c r="X6211" s="1">
        <v>1246.3499999999999</v>
      </c>
      <c r="Y6211">
        <v>0</v>
      </c>
      <c r="Z6211"/>
      <c r="AB6211"/>
      <c r="AC6211" s="1">
        <v>1021.6</v>
      </c>
      <c r="AD6211">
        <v>268</v>
      </c>
      <c r="AE6211" s="1">
        <v>273788.79999999999</v>
      </c>
      <c r="AF6211">
        <v>0</v>
      </c>
      <c r="AJ6211">
        <v>0</v>
      </c>
      <c r="AK6211">
        <v>0</v>
      </c>
      <c r="AL6211">
        <v>0</v>
      </c>
      <c r="AM6211">
        <v>0</v>
      </c>
      <c r="AN6211">
        <v>0</v>
      </c>
      <c r="AO6211">
        <v>0</v>
      </c>
      <c r="AP6211" s="2">
        <v>42746</v>
      </c>
      <c r="AQ6211" t="s">
        <v>72</v>
      </c>
      <c r="AR6211" t="s">
        <v>72</v>
      </c>
      <c r="AS6211">
        <v>230</v>
      </c>
      <c r="AT6211" s="4">
        <v>42403</v>
      </c>
      <c r="AU6211" t="s">
        <v>73</v>
      </c>
      <c r="AV6211">
        <v>230</v>
      </c>
      <c r="AW6211" s="4">
        <v>42403</v>
      </c>
      <c r="BD6211">
        <v>0</v>
      </c>
      <c r="BN6211" t="s">
        <v>74</v>
      </c>
    </row>
    <row r="6212" spans="1:66" hidden="1">
      <c r="A6212">
        <v>104048</v>
      </c>
      <c r="B6212" s="3" t="s">
        <v>602</v>
      </c>
      <c r="C6212" s="1">
        <v>43300101</v>
      </c>
      <c r="D6212" t="s">
        <v>67</v>
      </c>
      <c r="H6212" t="str">
        <f t="shared" si="639"/>
        <v>00674840152</v>
      </c>
      <c r="I6212" t="str">
        <f t="shared" si="639"/>
        <v>00674840152</v>
      </c>
      <c r="K6212" t="str">
        <f>""</f>
        <v/>
      </c>
      <c r="M6212" t="s">
        <v>68</v>
      </c>
      <c r="N6212" t="str">
        <f t="shared" si="640"/>
        <v>FOR</v>
      </c>
      <c r="O6212" t="s">
        <v>69</v>
      </c>
      <c r="P6212" s="3" t="s">
        <v>70</v>
      </c>
      <c r="Q6212">
        <v>2015</v>
      </c>
      <c r="R6212" s="2">
        <v>42065</v>
      </c>
      <c r="S6212" s="2">
        <v>42075</v>
      </c>
      <c r="T6212" s="2">
        <v>42075</v>
      </c>
      <c r="U6212" s="2">
        <v>42135</v>
      </c>
      <c r="V6212" t="s">
        <v>71</v>
      </c>
      <c r="W6212" t="str">
        <f>"          5301633667"</f>
        <v xml:space="preserve">          5301633667</v>
      </c>
      <c r="X6212">
        <v>674.15</v>
      </c>
      <c r="Y6212">
        <v>0</v>
      </c>
      <c r="Z6212"/>
      <c r="AB6212"/>
      <c r="AC6212">
        <v>552.58000000000004</v>
      </c>
      <c r="AD6212">
        <v>268</v>
      </c>
      <c r="AE6212" s="1">
        <v>148091.44</v>
      </c>
      <c r="AF6212">
        <v>0</v>
      </c>
      <c r="AJ6212">
        <v>0</v>
      </c>
      <c r="AK6212">
        <v>0</v>
      </c>
      <c r="AL6212">
        <v>0</v>
      </c>
      <c r="AM6212">
        <v>0</v>
      </c>
      <c r="AN6212">
        <v>0</v>
      </c>
      <c r="AO6212">
        <v>0</v>
      </c>
      <c r="AP6212" s="2">
        <v>42746</v>
      </c>
      <c r="AQ6212" t="s">
        <v>72</v>
      </c>
      <c r="AR6212" t="s">
        <v>72</v>
      </c>
      <c r="AS6212">
        <v>230</v>
      </c>
      <c r="AT6212" s="4">
        <v>42403</v>
      </c>
      <c r="AU6212" t="s">
        <v>73</v>
      </c>
      <c r="AV6212">
        <v>230</v>
      </c>
      <c r="AW6212" s="4">
        <v>42403</v>
      </c>
      <c r="BD6212">
        <v>0</v>
      </c>
      <c r="BN6212" t="s">
        <v>74</v>
      </c>
    </row>
    <row r="6213" spans="1:66" hidden="1">
      <c r="A6213">
        <v>104048</v>
      </c>
      <c r="B6213" s="3" t="s">
        <v>602</v>
      </c>
      <c r="C6213" s="1">
        <v>43300101</v>
      </c>
      <c r="D6213" t="s">
        <v>67</v>
      </c>
      <c r="H6213" t="str">
        <f t="shared" si="639"/>
        <v>00674840152</v>
      </c>
      <c r="I6213" t="str">
        <f t="shared" si="639"/>
        <v>00674840152</v>
      </c>
      <c r="K6213" t="str">
        <f>""</f>
        <v/>
      </c>
      <c r="M6213" t="s">
        <v>68</v>
      </c>
      <c r="N6213" t="str">
        <f t="shared" si="640"/>
        <v>FOR</v>
      </c>
      <c r="O6213" t="s">
        <v>69</v>
      </c>
      <c r="P6213" s="3" t="s">
        <v>70</v>
      </c>
      <c r="Q6213">
        <v>2015</v>
      </c>
      <c r="R6213" s="2">
        <v>42065</v>
      </c>
      <c r="S6213" s="2">
        <v>42075</v>
      </c>
      <c r="T6213" s="2">
        <v>42075</v>
      </c>
      <c r="U6213" s="2">
        <v>42135</v>
      </c>
      <c r="V6213" t="s">
        <v>71</v>
      </c>
      <c r="W6213" t="str">
        <f>"          5301633668"</f>
        <v xml:space="preserve">          5301633668</v>
      </c>
      <c r="X6213">
        <v>199.59</v>
      </c>
      <c r="Y6213">
        <v>0</v>
      </c>
      <c r="Z6213"/>
      <c r="AB6213"/>
      <c r="AC6213">
        <v>163.6</v>
      </c>
      <c r="AD6213">
        <v>268</v>
      </c>
      <c r="AE6213" s="1">
        <v>43844.800000000003</v>
      </c>
      <c r="AF6213">
        <v>0</v>
      </c>
      <c r="AJ6213">
        <v>0</v>
      </c>
      <c r="AK6213">
        <v>0</v>
      </c>
      <c r="AL6213">
        <v>0</v>
      </c>
      <c r="AM6213">
        <v>0</v>
      </c>
      <c r="AN6213">
        <v>0</v>
      </c>
      <c r="AO6213">
        <v>0</v>
      </c>
      <c r="AP6213" s="2">
        <v>42746</v>
      </c>
      <c r="AQ6213" t="s">
        <v>72</v>
      </c>
      <c r="AR6213" t="s">
        <v>72</v>
      </c>
      <c r="AS6213">
        <v>230</v>
      </c>
      <c r="AT6213" s="4">
        <v>42403</v>
      </c>
      <c r="AU6213" t="s">
        <v>73</v>
      </c>
      <c r="AV6213">
        <v>230</v>
      </c>
      <c r="AW6213" s="4">
        <v>42403</v>
      </c>
      <c r="BD6213">
        <v>0</v>
      </c>
      <c r="BN6213" t="s">
        <v>74</v>
      </c>
    </row>
    <row r="6214" spans="1:66" hidden="1">
      <c r="A6214">
        <v>104048</v>
      </c>
      <c r="B6214" s="3" t="s">
        <v>602</v>
      </c>
      <c r="C6214" s="1">
        <v>43300101</v>
      </c>
      <c r="D6214" t="s">
        <v>67</v>
      </c>
      <c r="H6214" t="str">
        <f t="shared" ref="H6214:I6233" si="641">"00674840152"</f>
        <v>00674840152</v>
      </c>
      <c r="I6214" t="str">
        <f t="shared" si="641"/>
        <v>00674840152</v>
      </c>
      <c r="K6214" t="str">
        <f>""</f>
        <v/>
      </c>
      <c r="M6214" t="s">
        <v>68</v>
      </c>
      <c r="N6214" t="str">
        <f t="shared" si="640"/>
        <v>FOR</v>
      </c>
      <c r="O6214" t="s">
        <v>69</v>
      </c>
      <c r="P6214" s="3" t="s">
        <v>70</v>
      </c>
      <c r="Q6214">
        <v>2015</v>
      </c>
      <c r="R6214" s="2">
        <v>42065</v>
      </c>
      <c r="S6214" s="2">
        <v>42075</v>
      </c>
      <c r="T6214" s="2">
        <v>42075</v>
      </c>
      <c r="U6214" s="2">
        <v>42135</v>
      </c>
      <c r="V6214" t="s">
        <v>71</v>
      </c>
      <c r="W6214" t="str">
        <f>"          5301633669"</f>
        <v xml:space="preserve">          5301633669</v>
      </c>
      <c r="X6214">
        <v>212.28</v>
      </c>
      <c r="Y6214">
        <v>0</v>
      </c>
      <c r="Z6214"/>
      <c r="AB6214"/>
      <c r="AC6214">
        <v>174</v>
      </c>
      <c r="AD6214">
        <v>268</v>
      </c>
      <c r="AE6214" s="1">
        <v>46632</v>
      </c>
      <c r="AF6214">
        <v>0</v>
      </c>
      <c r="AJ6214">
        <v>0</v>
      </c>
      <c r="AK6214">
        <v>0</v>
      </c>
      <c r="AL6214">
        <v>0</v>
      </c>
      <c r="AM6214">
        <v>0</v>
      </c>
      <c r="AN6214">
        <v>0</v>
      </c>
      <c r="AO6214">
        <v>0</v>
      </c>
      <c r="AP6214" s="2">
        <v>42746</v>
      </c>
      <c r="AQ6214" t="s">
        <v>72</v>
      </c>
      <c r="AR6214" t="s">
        <v>72</v>
      </c>
      <c r="AS6214">
        <v>230</v>
      </c>
      <c r="AT6214" s="4">
        <v>42403</v>
      </c>
      <c r="AU6214" t="s">
        <v>73</v>
      </c>
      <c r="AV6214">
        <v>230</v>
      </c>
      <c r="AW6214" s="4">
        <v>42403</v>
      </c>
      <c r="BD6214">
        <v>0</v>
      </c>
      <c r="BN6214" t="s">
        <v>74</v>
      </c>
    </row>
    <row r="6215" spans="1:66" hidden="1">
      <c r="A6215">
        <v>104048</v>
      </c>
      <c r="B6215" s="3" t="s">
        <v>602</v>
      </c>
      <c r="C6215" s="1">
        <v>43300101</v>
      </c>
      <c r="D6215" t="s">
        <v>67</v>
      </c>
      <c r="H6215" t="str">
        <f t="shared" si="641"/>
        <v>00674840152</v>
      </c>
      <c r="I6215" t="str">
        <f t="shared" si="641"/>
        <v>00674840152</v>
      </c>
      <c r="K6215" t="str">
        <f>""</f>
        <v/>
      </c>
      <c r="M6215" t="s">
        <v>68</v>
      </c>
      <c r="N6215" t="str">
        <f t="shared" si="640"/>
        <v>FOR</v>
      </c>
      <c r="O6215" t="s">
        <v>69</v>
      </c>
      <c r="P6215" s="3" t="s">
        <v>70</v>
      </c>
      <c r="Q6215">
        <v>2015</v>
      </c>
      <c r="R6215" s="2">
        <v>42065</v>
      </c>
      <c r="S6215" s="2">
        <v>42075</v>
      </c>
      <c r="T6215" s="2">
        <v>42075</v>
      </c>
      <c r="U6215" s="2">
        <v>42135</v>
      </c>
      <c r="V6215" t="s">
        <v>71</v>
      </c>
      <c r="W6215" t="str">
        <f>"          5301633670"</f>
        <v xml:space="preserve">          5301633670</v>
      </c>
      <c r="X6215">
        <v>405.04</v>
      </c>
      <c r="Y6215">
        <v>0</v>
      </c>
      <c r="Z6215"/>
      <c r="AB6215"/>
      <c r="AC6215">
        <v>332</v>
      </c>
      <c r="AD6215">
        <v>268</v>
      </c>
      <c r="AE6215" s="1">
        <v>88976</v>
      </c>
      <c r="AF6215">
        <v>0</v>
      </c>
      <c r="AJ6215">
        <v>0</v>
      </c>
      <c r="AK6215">
        <v>0</v>
      </c>
      <c r="AL6215">
        <v>0</v>
      </c>
      <c r="AM6215">
        <v>0</v>
      </c>
      <c r="AN6215">
        <v>0</v>
      </c>
      <c r="AO6215">
        <v>0</v>
      </c>
      <c r="AP6215" s="2">
        <v>42746</v>
      </c>
      <c r="AQ6215" t="s">
        <v>72</v>
      </c>
      <c r="AR6215" t="s">
        <v>72</v>
      </c>
      <c r="AS6215">
        <v>230</v>
      </c>
      <c r="AT6215" s="4">
        <v>42403</v>
      </c>
      <c r="AU6215" t="s">
        <v>73</v>
      </c>
      <c r="AV6215">
        <v>230</v>
      </c>
      <c r="AW6215" s="4">
        <v>42403</v>
      </c>
      <c r="BD6215">
        <v>0</v>
      </c>
      <c r="BN6215" t="s">
        <v>74</v>
      </c>
    </row>
    <row r="6216" spans="1:66" hidden="1">
      <c r="A6216">
        <v>104048</v>
      </c>
      <c r="B6216" s="3" t="s">
        <v>602</v>
      </c>
      <c r="C6216" s="1">
        <v>43300101</v>
      </c>
      <c r="D6216" t="s">
        <v>67</v>
      </c>
      <c r="H6216" t="str">
        <f t="shared" si="641"/>
        <v>00674840152</v>
      </c>
      <c r="I6216" t="str">
        <f t="shared" si="641"/>
        <v>00674840152</v>
      </c>
      <c r="K6216" t="str">
        <f>""</f>
        <v/>
      </c>
      <c r="M6216" t="s">
        <v>68</v>
      </c>
      <c r="N6216" t="str">
        <f t="shared" si="640"/>
        <v>FOR</v>
      </c>
      <c r="O6216" t="s">
        <v>69</v>
      </c>
      <c r="P6216" s="3" t="s">
        <v>70</v>
      </c>
      <c r="Q6216">
        <v>2015</v>
      </c>
      <c r="R6216" s="2">
        <v>42065</v>
      </c>
      <c r="S6216" s="2">
        <v>42075</v>
      </c>
      <c r="T6216" s="2">
        <v>42075</v>
      </c>
      <c r="U6216" s="2">
        <v>42135</v>
      </c>
      <c r="V6216" t="s">
        <v>71</v>
      </c>
      <c r="W6216" t="str">
        <f>"          5301633671"</f>
        <v xml:space="preserve">          5301633671</v>
      </c>
      <c r="X6216">
        <v>194.35</v>
      </c>
      <c r="Y6216">
        <v>0</v>
      </c>
      <c r="Z6216"/>
      <c r="AB6216"/>
      <c r="AC6216">
        <v>159.30000000000001</v>
      </c>
      <c r="AD6216">
        <v>268</v>
      </c>
      <c r="AE6216" s="1">
        <v>42692.4</v>
      </c>
      <c r="AF6216">
        <v>0</v>
      </c>
      <c r="AJ6216">
        <v>0</v>
      </c>
      <c r="AK6216">
        <v>0</v>
      </c>
      <c r="AL6216">
        <v>0</v>
      </c>
      <c r="AM6216">
        <v>0</v>
      </c>
      <c r="AN6216">
        <v>0</v>
      </c>
      <c r="AO6216">
        <v>0</v>
      </c>
      <c r="AP6216" s="2">
        <v>42746</v>
      </c>
      <c r="AQ6216" t="s">
        <v>72</v>
      </c>
      <c r="AR6216" t="s">
        <v>72</v>
      </c>
      <c r="AS6216">
        <v>230</v>
      </c>
      <c r="AT6216" s="4">
        <v>42403</v>
      </c>
      <c r="AU6216" t="s">
        <v>73</v>
      </c>
      <c r="AV6216">
        <v>230</v>
      </c>
      <c r="AW6216" s="4">
        <v>42403</v>
      </c>
      <c r="BD6216">
        <v>0</v>
      </c>
      <c r="BN6216" t="s">
        <v>74</v>
      </c>
    </row>
    <row r="6217" spans="1:66" hidden="1">
      <c r="A6217">
        <v>104048</v>
      </c>
      <c r="B6217" s="3" t="s">
        <v>602</v>
      </c>
      <c r="C6217" s="1">
        <v>43300101</v>
      </c>
      <c r="D6217" t="s">
        <v>67</v>
      </c>
      <c r="H6217" t="str">
        <f t="shared" si="641"/>
        <v>00674840152</v>
      </c>
      <c r="I6217" t="str">
        <f t="shared" si="641"/>
        <v>00674840152</v>
      </c>
      <c r="K6217" t="str">
        <f>""</f>
        <v/>
      </c>
      <c r="M6217" t="s">
        <v>68</v>
      </c>
      <c r="N6217" t="str">
        <f t="shared" si="640"/>
        <v>FOR</v>
      </c>
      <c r="O6217" t="s">
        <v>69</v>
      </c>
      <c r="P6217" s="3" t="s">
        <v>70</v>
      </c>
      <c r="Q6217">
        <v>2015</v>
      </c>
      <c r="R6217" s="2">
        <v>42065</v>
      </c>
      <c r="S6217" s="2">
        <v>42075</v>
      </c>
      <c r="T6217" s="2">
        <v>42075</v>
      </c>
      <c r="U6217" s="2">
        <v>42135</v>
      </c>
      <c r="V6217" t="s">
        <v>71</v>
      </c>
      <c r="W6217" t="str">
        <f>"          5301633672"</f>
        <v xml:space="preserve">          5301633672</v>
      </c>
      <c r="X6217">
        <v>211.73</v>
      </c>
      <c r="Y6217">
        <v>0</v>
      </c>
      <c r="Z6217"/>
      <c r="AB6217"/>
      <c r="AC6217">
        <v>173.55</v>
      </c>
      <c r="AD6217">
        <v>268</v>
      </c>
      <c r="AE6217" s="1">
        <v>46511.4</v>
      </c>
      <c r="AF6217">
        <v>0</v>
      </c>
      <c r="AJ6217">
        <v>0</v>
      </c>
      <c r="AK6217">
        <v>0</v>
      </c>
      <c r="AL6217">
        <v>0</v>
      </c>
      <c r="AM6217">
        <v>0</v>
      </c>
      <c r="AN6217">
        <v>0</v>
      </c>
      <c r="AO6217">
        <v>0</v>
      </c>
      <c r="AP6217" s="2">
        <v>42746</v>
      </c>
      <c r="AQ6217" t="s">
        <v>72</v>
      </c>
      <c r="AR6217" t="s">
        <v>72</v>
      </c>
      <c r="AS6217">
        <v>230</v>
      </c>
      <c r="AT6217" s="4">
        <v>42403</v>
      </c>
      <c r="AU6217" t="s">
        <v>73</v>
      </c>
      <c r="AV6217">
        <v>230</v>
      </c>
      <c r="AW6217" s="4">
        <v>42403</v>
      </c>
      <c r="BD6217">
        <v>0</v>
      </c>
      <c r="BN6217" t="s">
        <v>74</v>
      </c>
    </row>
    <row r="6218" spans="1:66" hidden="1">
      <c r="A6218">
        <v>104048</v>
      </c>
      <c r="B6218" s="3" t="s">
        <v>602</v>
      </c>
      <c r="C6218" s="1">
        <v>43300101</v>
      </c>
      <c r="D6218" t="s">
        <v>67</v>
      </c>
      <c r="H6218" t="str">
        <f t="shared" si="641"/>
        <v>00674840152</v>
      </c>
      <c r="I6218" t="str">
        <f t="shared" si="641"/>
        <v>00674840152</v>
      </c>
      <c r="K6218" t="str">
        <f>""</f>
        <v/>
      </c>
      <c r="M6218" t="s">
        <v>68</v>
      </c>
      <c r="N6218" t="str">
        <f t="shared" si="640"/>
        <v>FOR</v>
      </c>
      <c r="O6218" t="s">
        <v>69</v>
      </c>
      <c r="P6218" s="3" t="s">
        <v>70</v>
      </c>
      <c r="Q6218">
        <v>2015</v>
      </c>
      <c r="R6218" s="2">
        <v>42065</v>
      </c>
      <c r="S6218" s="2">
        <v>42075</v>
      </c>
      <c r="T6218" s="2">
        <v>42075</v>
      </c>
      <c r="U6218" s="2">
        <v>42135</v>
      </c>
      <c r="V6218" t="s">
        <v>71</v>
      </c>
      <c r="W6218" t="str">
        <f>"          5301633673"</f>
        <v xml:space="preserve">          5301633673</v>
      </c>
      <c r="X6218">
        <v>24.52</v>
      </c>
      <c r="Y6218">
        <v>0</v>
      </c>
      <c r="Z6218"/>
      <c r="AB6218"/>
      <c r="AC6218">
        <v>20.100000000000001</v>
      </c>
      <c r="AD6218">
        <v>268</v>
      </c>
      <c r="AE6218" s="1">
        <v>5386.8</v>
      </c>
      <c r="AF6218">
        <v>0</v>
      </c>
      <c r="AJ6218">
        <v>0</v>
      </c>
      <c r="AK6218">
        <v>0</v>
      </c>
      <c r="AL6218">
        <v>0</v>
      </c>
      <c r="AM6218">
        <v>0</v>
      </c>
      <c r="AN6218">
        <v>0</v>
      </c>
      <c r="AO6218">
        <v>0</v>
      </c>
      <c r="AP6218" s="2">
        <v>42746</v>
      </c>
      <c r="AQ6218" t="s">
        <v>72</v>
      </c>
      <c r="AR6218" t="s">
        <v>72</v>
      </c>
      <c r="AS6218">
        <v>230</v>
      </c>
      <c r="AT6218" s="4">
        <v>42403</v>
      </c>
      <c r="AU6218" t="s">
        <v>73</v>
      </c>
      <c r="AV6218">
        <v>230</v>
      </c>
      <c r="AW6218" s="4">
        <v>42403</v>
      </c>
      <c r="BD6218">
        <v>0</v>
      </c>
      <c r="BN6218" t="s">
        <v>74</v>
      </c>
    </row>
    <row r="6219" spans="1:66" hidden="1">
      <c r="A6219">
        <v>104048</v>
      </c>
      <c r="B6219" s="3" t="s">
        <v>602</v>
      </c>
      <c r="C6219" s="1">
        <v>43300101</v>
      </c>
      <c r="D6219" t="s">
        <v>67</v>
      </c>
      <c r="H6219" t="str">
        <f t="shared" si="641"/>
        <v>00674840152</v>
      </c>
      <c r="I6219" t="str">
        <f t="shared" si="641"/>
        <v>00674840152</v>
      </c>
      <c r="K6219" t="str">
        <f>""</f>
        <v/>
      </c>
      <c r="M6219" t="s">
        <v>68</v>
      </c>
      <c r="N6219" t="str">
        <f t="shared" si="640"/>
        <v>FOR</v>
      </c>
      <c r="O6219" t="s">
        <v>69</v>
      </c>
      <c r="P6219" s="3" t="s">
        <v>70</v>
      </c>
      <c r="Q6219">
        <v>2015</v>
      </c>
      <c r="R6219" s="2">
        <v>42065</v>
      </c>
      <c r="S6219" s="2">
        <v>42075</v>
      </c>
      <c r="T6219" s="2">
        <v>42075</v>
      </c>
      <c r="U6219" s="2">
        <v>42135</v>
      </c>
      <c r="V6219" t="s">
        <v>71</v>
      </c>
      <c r="W6219" t="str">
        <f>"          5301633674"</f>
        <v xml:space="preserve">          5301633674</v>
      </c>
      <c r="X6219">
        <v>71.37</v>
      </c>
      <c r="Y6219">
        <v>0</v>
      </c>
      <c r="Z6219"/>
      <c r="AB6219"/>
      <c r="AC6219">
        <v>58.5</v>
      </c>
      <c r="AD6219">
        <v>268</v>
      </c>
      <c r="AE6219" s="1">
        <v>15678</v>
      </c>
      <c r="AF6219">
        <v>0</v>
      </c>
      <c r="AJ6219">
        <v>0</v>
      </c>
      <c r="AK6219">
        <v>0</v>
      </c>
      <c r="AL6219">
        <v>0</v>
      </c>
      <c r="AM6219">
        <v>0</v>
      </c>
      <c r="AN6219">
        <v>0</v>
      </c>
      <c r="AO6219">
        <v>0</v>
      </c>
      <c r="AP6219" s="2">
        <v>42746</v>
      </c>
      <c r="AQ6219" t="s">
        <v>72</v>
      </c>
      <c r="AR6219" t="s">
        <v>72</v>
      </c>
      <c r="AS6219">
        <v>230</v>
      </c>
      <c r="AT6219" s="4">
        <v>42403</v>
      </c>
      <c r="AU6219" t="s">
        <v>73</v>
      </c>
      <c r="AV6219">
        <v>230</v>
      </c>
      <c r="AW6219" s="4">
        <v>42403</v>
      </c>
      <c r="BD6219">
        <v>0</v>
      </c>
      <c r="BN6219" t="s">
        <v>74</v>
      </c>
    </row>
    <row r="6220" spans="1:66" hidden="1">
      <c r="A6220">
        <v>104048</v>
      </c>
      <c r="B6220" s="3" t="s">
        <v>602</v>
      </c>
      <c r="C6220" s="1">
        <v>43300101</v>
      </c>
      <c r="D6220" t="s">
        <v>67</v>
      </c>
      <c r="H6220" t="str">
        <f t="shared" si="641"/>
        <v>00674840152</v>
      </c>
      <c r="I6220" t="str">
        <f t="shared" si="641"/>
        <v>00674840152</v>
      </c>
      <c r="K6220" t="str">
        <f>""</f>
        <v/>
      </c>
      <c r="M6220" t="s">
        <v>68</v>
      </c>
      <c r="N6220" t="str">
        <f t="shared" si="640"/>
        <v>FOR</v>
      </c>
      <c r="O6220" t="s">
        <v>69</v>
      </c>
      <c r="P6220" s="3" t="s">
        <v>70</v>
      </c>
      <c r="Q6220">
        <v>2015</v>
      </c>
      <c r="R6220" s="2">
        <v>42065</v>
      </c>
      <c r="S6220" s="2">
        <v>42075</v>
      </c>
      <c r="T6220" s="2">
        <v>42075</v>
      </c>
      <c r="U6220" s="2">
        <v>42135</v>
      </c>
      <c r="V6220" t="s">
        <v>71</v>
      </c>
      <c r="W6220" t="str">
        <f>"          5301633675"</f>
        <v xml:space="preserve">          5301633675</v>
      </c>
      <c r="X6220">
        <v>55.02</v>
      </c>
      <c r="Y6220">
        <v>0</v>
      </c>
      <c r="Z6220"/>
      <c r="AB6220"/>
      <c r="AC6220">
        <v>45.1</v>
      </c>
      <c r="AD6220">
        <v>268</v>
      </c>
      <c r="AE6220" s="1">
        <v>12086.8</v>
      </c>
      <c r="AF6220">
        <v>0</v>
      </c>
      <c r="AJ6220">
        <v>0</v>
      </c>
      <c r="AK6220">
        <v>0</v>
      </c>
      <c r="AL6220">
        <v>0</v>
      </c>
      <c r="AM6220">
        <v>0</v>
      </c>
      <c r="AN6220">
        <v>0</v>
      </c>
      <c r="AO6220">
        <v>0</v>
      </c>
      <c r="AP6220" s="2">
        <v>42746</v>
      </c>
      <c r="AQ6220" t="s">
        <v>72</v>
      </c>
      <c r="AR6220" t="s">
        <v>72</v>
      </c>
      <c r="AS6220">
        <v>230</v>
      </c>
      <c r="AT6220" s="4">
        <v>42403</v>
      </c>
      <c r="AU6220" t="s">
        <v>73</v>
      </c>
      <c r="AV6220">
        <v>230</v>
      </c>
      <c r="AW6220" s="4">
        <v>42403</v>
      </c>
      <c r="BD6220">
        <v>0</v>
      </c>
      <c r="BN6220" t="s">
        <v>74</v>
      </c>
    </row>
    <row r="6221" spans="1:66" hidden="1">
      <c r="A6221">
        <v>104048</v>
      </c>
      <c r="B6221" s="3" t="s">
        <v>602</v>
      </c>
      <c r="C6221" s="1">
        <v>43300101</v>
      </c>
      <c r="D6221" t="s">
        <v>67</v>
      </c>
      <c r="H6221" t="str">
        <f t="shared" si="641"/>
        <v>00674840152</v>
      </c>
      <c r="I6221" t="str">
        <f t="shared" si="641"/>
        <v>00674840152</v>
      </c>
      <c r="K6221" t="str">
        <f>""</f>
        <v/>
      </c>
      <c r="M6221" t="s">
        <v>68</v>
      </c>
      <c r="N6221" t="str">
        <f t="shared" si="640"/>
        <v>FOR</v>
      </c>
      <c r="O6221" t="s">
        <v>69</v>
      </c>
      <c r="P6221" s="3" t="s">
        <v>70</v>
      </c>
      <c r="Q6221">
        <v>2015</v>
      </c>
      <c r="R6221" s="2">
        <v>42065</v>
      </c>
      <c r="S6221" s="2">
        <v>42075</v>
      </c>
      <c r="T6221" s="2">
        <v>42075</v>
      </c>
      <c r="U6221" s="2">
        <v>42135</v>
      </c>
      <c r="V6221" t="s">
        <v>71</v>
      </c>
      <c r="W6221" t="str">
        <f>"          5301633676"</f>
        <v xml:space="preserve">          5301633676</v>
      </c>
      <c r="X6221">
        <v>21.11</v>
      </c>
      <c r="Y6221">
        <v>0</v>
      </c>
      <c r="Z6221"/>
      <c r="AB6221"/>
      <c r="AC6221">
        <v>17.3</v>
      </c>
      <c r="AD6221">
        <v>268</v>
      </c>
      <c r="AE6221" s="1">
        <v>4636.3999999999996</v>
      </c>
      <c r="AF6221">
        <v>0</v>
      </c>
      <c r="AJ6221">
        <v>0</v>
      </c>
      <c r="AK6221">
        <v>0</v>
      </c>
      <c r="AL6221">
        <v>0</v>
      </c>
      <c r="AM6221">
        <v>0</v>
      </c>
      <c r="AN6221">
        <v>0</v>
      </c>
      <c r="AO6221">
        <v>0</v>
      </c>
      <c r="AP6221" s="2">
        <v>42746</v>
      </c>
      <c r="AQ6221" t="s">
        <v>72</v>
      </c>
      <c r="AR6221" t="s">
        <v>72</v>
      </c>
      <c r="AS6221">
        <v>230</v>
      </c>
      <c r="AT6221" s="4">
        <v>42403</v>
      </c>
      <c r="AU6221" t="s">
        <v>73</v>
      </c>
      <c r="AV6221">
        <v>230</v>
      </c>
      <c r="AW6221" s="4">
        <v>42403</v>
      </c>
      <c r="BD6221">
        <v>0</v>
      </c>
      <c r="BN6221" t="s">
        <v>74</v>
      </c>
    </row>
    <row r="6222" spans="1:66" hidden="1">
      <c r="A6222">
        <v>104048</v>
      </c>
      <c r="B6222" s="3" t="s">
        <v>602</v>
      </c>
      <c r="C6222" s="1">
        <v>43300101</v>
      </c>
      <c r="D6222" t="s">
        <v>67</v>
      </c>
      <c r="H6222" t="str">
        <f t="shared" si="641"/>
        <v>00674840152</v>
      </c>
      <c r="I6222" t="str">
        <f t="shared" si="641"/>
        <v>00674840152</v>
      </c>
      <c r="K6222" t="str">
        <f>""</f>
        <v/>
      </c>
      <c r="M6222" t="s">
        <v>68</v>
      </c>
      <c r="N6222" t="str">
        <f t="shared" si="640"/>
        <v>FOR</v>
      </c>
      <c r="O6222" t="s">
        <v>69</v>
      </c>
      <c r="P6222" s="3" t="s">
        <v>70</v>
      </c>
      <c r="Q6222">
        <v>2015</v>
      </c>
      <c r="R6222" s="2">
        <v>42065</v>
      </c>
      <c r="S6222" s="2">
        <v>42075</v>
      </c>
      <c r="T6222" s="2">
        <v>42075</v>
      </c>
      <c r="U6222" s="2">
        <v>42135</v>
      </c>
      <c r="V6222" t="s">
        <v>71</v>
      </c>
      <c r="W6222" t="str">
        <f>"          5301633677"</f>
        <v xml:space="preserve">          5301633677</v>
      </c>
      <c r="X6222">
        <v>25.74</v>
      </c>
      <c r="Y6222">
        <v>0</v>
      </c>
      <c r="Z6222"/>
      <c r="AB6222"/>
      <c r="AC6222">
        <v>21.1</v>
      </c>
      <c r="AD6222">
        <v>268</v>
      </c>
      <c r="AE6222" s="1">
        <v>5654.8</v>
      </c>
      <c r="AF6222">
        <v>0</v>
      </c>
      <c r="AJ6222">
        <v>0</v>
      </c>
      <c r="AK6222">
        <v>0</v>
      </c>
      <c r="AL6222">
        <v>0</v>
      </c>
      <c r="AM6222">
        <v>0</v>
      </c>
      <c r="AN6222">
        <v>0</v>
      </c>
      <c r="AO6222">
        <v>0</v>
      </c>
      <c r="AP6222" s="2">
        <v>42746</v>
      </c>
      <c r="AQ6222" t="s">
        <v>72</v>
      </c>
      <c r="AR6222" t="s">
        <v>72</v>
      </c>
      <c r="AS6222">
        <v>230</v>
      </c>
      <c r="AT6222" s="4">
        <v>42403</v>
      </c>
      <c r="AU6222" t="s">
        <v>73</v>
      </c>
      <c r="AV6222">
        <v>230</v>
      </c>
      <c r="AW6222" s="4">
        <v>42403</v>
      </c>
      <c r="BD6222">
        <v>0</v>
      </c>
      <c r="BN6222" t="s">
        <v>74</v>
      </c>
    </row>
    <row r="6223" spans="1:66" hidden="1">
      <c r="A6223">
        <v>104048</v>
      </c>
      <c r="B6223" s="3" t="s">
        <v>602</v>
      </c>
      <c r="C6223" s="1">
        <v>43300101</v>
      </c>
      <c r="D6223" t="s">
        <v>67</v>
      </c>
      <c r="H6223" t="str">
        <f t="shared" si="641"/>
        <v>00674840152</v>
      </c>
      <c r="I6223" t="str">
        <f t="shared" si="641"/>
        <v>00674840152</v>
      </c>
      <c r="K6223" t="str">
        <f>""</f>
        <v/>
      </c>
      <c r="M6223" t="s">
        <v>68</v>
      </c>
      <c r="N6223" t="str">
        <f t="shared" si="640"/>
        <v>FOR</v>
      </c>
      <c r="O6223" t="s">
        <v>69</v>
      </c>
      <c r="P6223" s="3" t="s">
        <v>70</v>
      </c>
      <c r="Q6223">
        <v>2015</v>
      </c>
      <c r="R6223" s="2">
        <v>42065</v>
      </c>
      <c r="S6223" s="2">
        <v>42075</v>
      </c>
      <c r="T6223" s="2">
        <v>42075</v>
      </c>
      <c r="U6223" s="2">
        <v>42135</v>
      </c>
      <c r="V6223" t="s">
        <v>71</v>
      </c>
      <c r="W6223" t="str">
        <f>"          5301633678"</f>
        <v xml:space="preserve">          5301633678</v>
      </c>
      <c r="X6223">
        <v>58.68</v>
      </c>
      <c r="Y6223">
        <v>0</v>
      </c>
      <c r="Z6223"/>
      <c r="AB6223"/>
      <c r="AC6223">
        <v>48.1</v>
      </c>
      <c r="AD6223">
        <v>268</v>
      </c>
      <c r="AE6223" s="1">
        <v>12890.8</v>
      </c>
      <c r="AF6223">
        <v>0</v>
      </c>
      <c r="AJ6223">
        <v>0</v>
      </c>
      <c r="AK6223">
        <v>0</v>
      </c>
      <c r="AL6223">
        <v>0</v>
      </c>
      <c r="AM6223">
        <v>0</v>
      </c>
      <c r="AN6223">
        <v>0</v>
      </c>
      <c r="AO6223">
        <v>0</v>
      </c>
      <c r="AP6223" s="2">
        <v>42746</v>
      </c>
      <c r="AQ6223" t="s">
        <v>72</v>
      </c>
      <c r="AR6223" t="s">
        <v>72</v>
      </c>
      <c r="AS6223">
        <v>230</v>
      </c>
      <c r="AT6223" s="4">
        <v>42403</v>
      </c>
      <c r="AU6223" t="s">
        <v>73</v>
      </c>
      <c r="AV6223">
        <v>230</v>
      </c>
      <c r="AW6223" s="4">
        <v>42403</v>
      </c>
      <c r="BD6223">
        <v>0</v>
      </c>
      <c r="BN6223" t="s">
        <v>74</v>
      </c>
    </row>
    <row r="6224" spans="1:66" hidden="1">
      <c r="A6224">
        <v>104048</v>
      </c>
      <c r="B6224" s="3" t="s">
        <v>602</v>
      </c>
      <c r="C6224" s="1">
        <v>43300101</v>
      </c>
      <c r="D6224" t="s">
        <v>67</v>
      </c>
      <c r="H6224" t="str">
        <f t="shared" si="641"/>
        <v>00674840152</v>
      </c>
      <c r="I6224" t="str">
        <f t="shared" si="641"/>
        <v>00674840152</v>
      </c>
      <c r="K6224" t="str">
        <f>""</f>
        <v/>
      </c>
      <c r="M6224" t="s">
        <v>68</v>
      </c>
      <c r="N6224" t="str">
        <f t="shared" si="640"/>
        <v>FOR</v>
      </c>
      <c r="O6224" t="s">
        <v>69</v>
      </c>
      <c r="P6224" s="3" t="s">
        <v>70</v>
      </c>
      <c r="Q6224">
        <v>2015</v>
      </c>
      <c r="R6224" s="2">
        <v>42065</v>
      </c>
      <c r="S6224" s="2">
        <v>42075</v>
      </c>
      <c r="T6224" s="2">
        <v>42075</v>
      </c>
      <c r="U6224" s="2">
        <v>42135</v>
      </c>
      <c r="V6224" t="s">
        <v>71</v>
      </c>
      <c r="W6224" t="str">
        <f>"          5301633679"</f>
        <v xml:space="preserve">          5301633679</v>
      </c>
      <c r="X6224">
        <v>279.62</v>
      </c>
      <c r="Y6224">
        <v>0</v>
      </c>
      <c r="Z6224"/>
      <c r="AB6224"/>
      <c r="AC6224">
        <v>229.2</v>
      </c>
      <c r="AD6224">
        <v>268</v>
      </c>
      <c r="AE6224" s="1">
        <v>61425.599999999999</v>
      </c>
      <c r="AF6224">
        <v>0</v>
      </c>
      <c r="AJ6224">
        <v>0</v>
      </c>
      <c r="AK6224">
        <v>0</v>
      </c>
      <c r="AL6224">
        <v>0</v>
      </c>
      <c r="AM6224">
        <v>0</v>
      </c>
      <c r="AN6224">
        <v>0</v>
      </c>
      <c r="AO6224">
        <v>0</v>
      </c>
      <c r="AP6224" s="2">
        <v>42746</v>
      </c>
      <c r="AQ6224" t="s">
        <v>72</v>
      </c>
      <c r="AR6224" t="s">
        <v>72</v>
      </c>
      <c r="AS6224">
        <v>230</v>
      </c>
      <c r="AT6224" s="4">
        <v>42403</v>
      </c>
      <c r="AU6224" t="s">
        <v>73</v>
      </c>
      <c r="AV6224">
        <v>230</v>
      </c>
      <c r="AW6224" s="4">
        <v>42403</v>
      </c>
      <c r="BD6224">
        <v>0</v>
      </c>
      <c r="BN6224" t="s">
        <v>74</v>
      </c>
    </row>
    <row r="6225" spans="1:66" hidden="1">
      <c r="A6225">
        <v>104048</v>
      </c>
      <c r="B6225" s="3" t="s">
        <v>602</v>
      </c>
      <c r="C6225" s="1">
        <v>43300101</v>
      </c>
      <c r="D6225" t="s">
        <v>67</v>
      </c>
      <c r="H6225" t="str">
        <f t="shared" si="641"/>
        <v>00674840152</v>
      </c>
      <c r="I6225" t="str">
        <f t="shared" si="641"/>
        <v>00674840152</v>
      </c>
      <c r="K6225" t="str">
        <f>""</f>
        <v/>
      </c>
      <c r="M6225" t="s">
        <v>68</v>
      </c>
      <c r="N6225" t="str">
        <f t="shared" si="640"/>
        <v>FOR</v>
      </c>
      <c r="O6225" t="s">
        <v>69</v>
      </c>
      <c r="P6225" s="3" t="s">
        <v>70</v>
      </c>
      <c r="Q6225">
        <v>2015</v>
      </c>
      <c r="R6225" s="2">
        <v>42065</v>
      </c>
      <c r="S6225" s="2">
        <v>42075</v>
      </c>
      <c r="T6225" s="2">
        <v>42075</v>
      </c>
      <c r="U6225" s="2">
        <v>42135</v>
      </c>
      <c r="V6225" t="s">
        <v>71</v>
      </c>
      <c r="W6225" t="str">
        <f>"          5301633680"</f>
        <v xml:space="preserve">          5301633680</v>
      </c>
      <c r="X6225">
        <v>33.43</v>
      </c>
      <c r="Y6225">
        <v>0</v>
      </c>
      <c r="Z6225"/>
      <c r="AB6225"/>
      <c r="AC6225">
        <v>27.4</v>
      </c>
      <c r="AD6225">
        <v>268</v>
      </c>
      <c r="AE6225" s="1">
        <v>7343.2</v>
      </c>
      <c r="AF6225">
        <v>0</v>
      </c>
      <c r="AJ6225">
        <v>0</v>
      </c>
      <c r="AK6225">
        <v>0</v>
      </c>
      <c r="AL6225">
        <v>0</v>
      </c>
      <c r="AM6225">
        <v>0</v>
      </c>
      <c r="AN6225">
        <v>0</v>
      </c>
      <c r="AO6225">
        <v>0</v>
      </c>
      <c r="AP6225" s="2">
        <v>42746</v>
      </c>
      <c r="AQ6225" t="s">
        <v>72</v>
      </c>
      <c r="AR6225" t="s">
        <v>72</v>
      </c>
      <c r="AS6225">
        <v>230</v>
      </c>
      <c r="AT6225" s="4">
        <v>42403</v>
      </c>
      <c r="AU6225" t="s">
        <v>73</v>
      </c>
      <c r="AV6225">
        <v>230</v>
      </c>
      <c r="AW6225" s="4">
        <v>42403</v>
      </c>
      <c r="BD6225">
        <v>0</v>
      </c>
      <c r="BN6225" t="s">
        <v>74</v>
      </c>
    </row>
    <row r="6226" spans="1:66" hidden="1">
      <c r="A6226">
        <v>104048</v>
      </c>
      <c r="B6226" s="3" t="s">
        <v>602</v>
      </c>
      <c r="C6226" s="1">
        <v>43300101</v>
      </c>
      <c r="D6226" t="s">
        <v>67</v>
      </c>
      <c r="H6226" t="str">
        <f t="shared" si="641"/>
        <v>00674840152</v>
      </c>
      <c r="I6226" t="str">
        <f t="shared" si="641"/>
        <v>00674840152</v>
      </c>
      <c r="K6226" t="str">
        <f>""</f>
        <v/>
      </c>
      <c r="M6226" t="s">
        <v>68</v>
      </c>
      <c r="N6226" t="str">
        <f t="shared" si="640"/>
        <v>FOR</v>
      </c>
      <c r="O6226" t="s">
        <v>69</v>
      </c>
      <c r="P6226" s="3" t="s">
        <v>70</v>
      </c>
      <c r="Q6226">
        <v>2015</v>
      </c>
      <c r="R6226" s="2">
        <v>42065</v>
      </c>
      <c r="S6226" s="2">
        <v>42075</v>
      </c>
      <c r="T6226" s="2">
        <v>42075</v>
      </c>
      <c r="U6226" s="2">
        <v>42135</v>
      </c>
      <c r="V6226" t="s">
        <v>71</v>
      </c>
      <c r="W6226" t="str">
        <f>"          5301633681"</f>
        <v xml:space="preserve">          5301633681</v>
      </c>
      <c r="X6226">
        <v>165.68</v>
      </c>
      <c r="Y6226">
        <v>0</v>
      </c>
      <c r="Z6226"/>
      <c r="AB6226"/>
      <c r="AC6226">
        <v>135.80000000000001</v>
      </c>
      <c r="AD6226">
        <v>268</v>
      </c>
      <c r="AE6226" s="1">
        <v>36394.400000000001</v>
      </c>
      <c r="AF6226">
        <v>0</v>
      </c>
      <c r="AJ6226">
        <v>0</v>
      </c>
      <c r="AK6226">
        <v>0</v>
      </c>
      <c r="AL6226">
        <v>0</v>
      </c>
      <c r="AM6226">
        <v>0</v>
      </c>
      <c r="AN6226">
        <v>0</v>
      </c>
      <c r="AO6226">
        <v>0</v>
      </c>
      <c r="AP6226" s="2">
        <v>42746</v>
      </c>
      <c r="AQ6226" t="s">
        <v>72</v>
      </c>
      <c r="AR6226" t="s">
        <v>72</v>
      </c>
      <c r="AS6226">
        <v>230</v>
      </c>
      <c r="AT6226" s="4">
        <v>42403</v>
      </c>
      <c r="AU6226" t="s">
        <v>73</v>
      </c>
      <c r="AV6226">
        <v>230</v>
      </c>
      <c r="AW6226" s="4">
        <v>42403</v>
      </c>
      <c r="BD6226">
        <v>0</v>
      </c>
      <c r="BN6226" t="s">
        <v>74</v>
      </c>
    </row>
    <row r="6227" spans="1:66" hidden="1">
      <c r="A6227">
        <v>104048</v>
      </c>
      <c r="B6227" s="3" t="s">
        <v>602</v>
      </c>
      <c r="C6227" s="1">
        <v>43300101</v>
      </c>
      <c r="D6227" t="s">
        <v>67</v>
      </c>
      <c r="H6227" t="str">
        <f t="shared" si="641"/>
        <v>00674840152</v>
      </c>
      <c r="I6227" t="str">
        <f t="shared" si="641"/>
        <v>00674840152</v>
      </c>
      <c r="K6227" t="str">
        <f>""</f>
        <v/>
      </c>
      <c r="M6227" t="s">
        <v>68</v>
      </c>
      <c r="N6227" t="str">
        <f t="shared" si="640"/>
        <v>FOR</v>
      </c>
      <c r="O6227" t="s">
        <v>69</v>
      </c>
      <c r="P6227" s="3" t="s">
        <v>70</v>
      </c>
      <c r="Q6227">
        <v>2015</v>
      </c>
      <c r="R6227" s="2">
        <v>42065</v>
      </c>
      <c r="S6227" s="2">
        <v>42075</v>
      </c>
      <c r="T6227" s="2">
        <v>42075</v>
      </c>
      <c r="U6227" s="2">
        <v>42135</v>
      </c>
      <c r="V6227" t="s">
        <v>71</v>
      </c>
      <c r="W6227" t="str">
        <f>"          5301633682"</f>
        <v xml:space="preserve">          5301633682</v>
      </c>
      <c r="X6227">
        <v>93.33</v>
      </c>
      <c r="Y6227">
        <v>0</v>
      </c>
      <c r="Z6227"/>
      <c r="AB6227"/>
      <c r="AC6227">
        <v>76.5</v>
      </c>
      <c r="AD6227">
        <v>268</v>
      </c>
      <c r="AE6227" s="1">
        <v>20502</v>
      </c>
      <c r="AF6227">
        <v>0</v>
      </c>
      <c r="AJ6227">
        <v>0</v>
      </c>
      <c r="AK6227">
        <v>0</v>
      </c>
      <c r="AL6227">
        <v>0</v>
      </c>
      <c r="AM6227">
        <v>0</v>
      </c>
      <c r="AN6227">
        <v>0</v>
      </c>
      <c r="AO6227">
        <v>0</v>
      </c>
      <c r="AP6227" s="2">
        <v>42746</v>
      </c>
      <c r="AQ6227" t="s">
        <v>72</v>
      </c>
      <c r="AR6227" t="s">
        <v>72</v>
      </c>
      <c r="AS6227">
        <v>230</v>
      </c>
      <c r="AT6227" s="4">
        <v>42403</v>
      </c>
      <c r="AU6227" t="s">
        <v>73</v>
      </c>
      <c r="AV6227">
        <v>230</v>
      </c>
      <c r="AW6227" s="4">
        <v>42403</v>
      </c>
      <c r="BD6227">
        <v>0</v>
      </c>
      <c r="BN6227" t="s">
        <v>74</v>
      </c>
    </row>
    <row r="6228" spans="1:66" hidden="1">
      <c r="A6228">
        <v>104048</v>
      </c>
      <c r="B6228" s="3" t="s">
        <v>602</v>
      </c>
      <c r="C6228" s="1">
        <v>43300101</v>
      </c>
      <c r="D6228" t="s">
        <v>67</v>
      </c>
      <c r="H6228" t="str">
        <f t="shared" si="641"/>
        <v>00674840152</v>
      </c>
      <c r="I6228" t="str">
        <f t="shared" si="641"/>
        <v>00674840152</v>
      </c>
      <c r="K6228" t="str">
        <f>""</f>
        <v/>
      </c>
      <c r="M6228" t="s">
        <v>68</v>
      </c>
      <c r="N6228" t="str">
        <f t="shared" si="640"/>
        <v>FOR</v>
      </c>
      <c r="O6228" t="s">
        <v>69</v>
      </c>
      <c r="P6228" s="3" t="s">
        <v>70</v>
      </c>
      <c r="Q6228">
        <v>2015</v>
      </c>
      <c r="R6228" s="2">
        <v>42065</v>
      </c>
      <c r="S6228" s="2">
        <v>42075</v>
      </c>
      <c r="T6228" s="2">
        <v>42075</v>
      </c>
      <c r="U6228" s="2">
        <v>42135</v>
      </c>
      <c r="V6228" t="s">
        <v>71</v>
      </c>
      <c r="W6228" t="str">
        <f>"          5301633683"</f>
        <v xml:space="preserve">          5301633683</v>
      </c>
      <c r="X6228">
        <v>180.8</v>
      </c>
      <c r="Y6228">
        <v>0</v>
      </c>
      <c r="Z6228"/>
      <c r="AB6228"/>
      <c r="AC6228">
        <v>148.19999999999999</v>
      </c>
      <c r="AD6228">
        <v>268</v>
      </c>
      <c r="AE6228" s="1">
        <v>39717.599999999999</v>
      </c>
      <c r="AF6228">
        <v>0</v>
      </c>
      <c r="AJ6228">
        <v>0</v>
      </c>
      <c r="AK6228">
        <v>0</v>
      </c>
      <c r="AL6228">
        <v>0</v>
      </c>
      <c r="AM6228">
        <v>0</v>
      </c>
      <c r="AN6228">
        <v>0</v>
      </c>
      <c r="AO6228">
        <v>0</v>
      </c>
      <c r="AP6228" s="2">
        <v>42746</v>
      </c>
      <c r="AQ6228" t="s">
        <v>72</v>
      </c>
      <c r="AR6228" t="s">
        <v>72</v>
      </c>
      <c r="AS6228">
        <v>230</v>
      </c>
      <c r="AT6228" s="4">
        <v>42403</v>
      </c>
      <c r="AU6228" t="s">
        <v>73</v>
      </c>
      <c r="AV6228">
        <v>230</v>
      </c>
      <c r="AW6228" s="4">
        <v>42403</v>
      </c>
      <c r="BD6228">
        <v>0</v>
      </c>
      <c r="BN6228" t="s">
        <v>74</v>
      </c>
    </row>
    <row r="6229" spans="1:66" hidden="1">
      <c r="A6229">
        <v>104048</v>
      </c>
      <c r="B6229" s="3" t="s">
        <v>602</v>
      </c>
      <c r="C6229" s="1">
        <v>43300101</v>
      </c>
      <c r="D6229" t="s">
        <v>67</v>
      </c>
      <c r="H6229" t="str">
        <f t="shared" si="641"/>
        <v>00674840152</v>
      </c>
      <c r="I6229" t="str">
        <f t="shared" si="641"/>
        <v>00674840152</v>
      </c>
      <c r="K6229" t="str">
        <f>""</f>
        <v/>
      </c>
      <c r="M6229" t="s">
        <v>68</v>
      </c>
      <c r="N6229" t="str">
        <f t="shared" si="640"/>
        <v>FOR</v>
      </c>
      <c r="O6229" t="s">
        <v>69</v>
      </c>
      <c r="P6229" s="3" t="s">
        <v>70</v>
      </c>
      <c r="Q6229">
        <v>2015</v>
      </c>
      <c r="R6229" s="2">
        <v>42065</v>
      </c>
      <c r="S6229" s="2">
        <v>42075</v>
      </c>
      <c r="T6229" s="2">
        <v>42075</v>
      </c>
      <c r="U6229" s="2">
        <v>42135</v>
      </c>
      <c r="V6229" t="s">
        <v>71</v>
      </c>
      <c r="W6229" t="str">
        <f>"          5301633684"</f>
        <v xml:space="preserve">          5301633684</v>
      </c>
      <c r="X6229">
        <v>290.60000000000002</v>
      </c>
      <c r="Y6229">
        <v>0</v>
      </c>
      <c r="Z6229"/>
      <c r="AB6229"/>
      <c r="AC6229">
        <v>238.2</v>
      </c>
      <c r="AD6229">
        <v>268</v>
      </c>
      <c r="AE6229" s="1">
        <v>63837.599999999999</v>
      </c>
      <c r="AF6229">
        <v>0</v>
      </c>
      <c r="AJ6229">
        <v>0</v>
      </c>
      <c r="AK6229">
        <v>0</v>
      </c>
      <c r="AL6229">
        <v>0</v>
      </c>
      <c r="AM6229">
        <v>0</v>
      </c>
      <c r="AN6229">
        <v>0</v>
      </c>
      <c r="AO6229">
        <v>0</v>
      </c>
      <c r="AP6229" s="2">
        <v>42746</v>
      </c>
      <c r="AQ6229" t="s">
        <v>72</v>
      </c>
      <c r="AR6229" t="s">
        <v>72</v>
      </c>
      <c r="AS6229">
        <v>230</v>
      </c>
      <c r="AT6229" s="4">
        <v>42403</v>
      </c>
      <c r="AU6229" t="s">
        <v>73</v>
      </c>
      <c r="AV6229">
        <v>230</v>
      </c>
      <c r="AW6229" s="4">
        <v>42403</v>
      </c>
      <c r="BD6229">
        <v>0</v>
      </c>
      <c r="BN6229" t="s">
        <v>74</v>
      </c>
    </row>
    <row r="6230" spans="1:66" hidden="1">
      <c r="A6230">
        <v>104048</v>
      </c>
      <c r="B6230" s="3" t="s">
        <v>602</v>
      </c>
      <c r="C6230" s="1">
        <v>43300101</v>
      </c>
      <c r="D6230" t="s">
        <v>67</v>
      </c>
      <c r="H6230" t="str">
        <f t="shared" si="641"/>
        <v>00674840152</v>
      </c>
      <c r="I6230" t="str">
        <f t="shared" si="641"/>
        <v>00674840152</v>
      </c>
      <c r="K6230" t="str">
        <f>""</f>
        <v/>
      </c>
      <c r="M6230" t="s">
        <v>68</v>
      </c>
      <c r="N6230" t="str">
        <f t="shared" si="640"/>
        <v>FOR</v>
      </c>
      <c r="O6230" t="s">
        <v>69</v>
      </c>
      <c r="P6230" s="3" t="s">
        <v>70</v>
      </c>
      <c r="Q6230">
        <v>2015</v>
      </c>
      <c r="R6230" s="2">
        <v>42065</v>
      </c>
      <c r="S6230" s="2">
        <v>42075</v>
      </c>
      <c r="T6230" s="2">
        <v>42075</v>
      </c>
      <c r="U6230" s="2">
        <v>42135</v>
      </c>
      <c r="V6230" t="s">
        <v>71</v>
      </c>
      <c r="W6230" t="str">
        <f>"          5301633685"</f>
        <v xml:space="preserve">          5301633685</v>
      </c>
      <c r="X6230">
        <v>308.05</v>
      </c>
      <c r="Y6230">
        <v>0</v>
      </c>
      <c r="Z6230"/>
      <c r="AB6230"/>
      <c r="AC6230">
        <v>252.5</v>
      </c>
      <c r="AD6230">
        <v>268</v>
      </c>
      <c r="AE6230" s="1">
        <v>67670</v>
      </c>
      <c r="AF6230">
        <v>0</v>
      </c>
      <c r="AJ6230">
        <v>0</v>
      </c>
      <c r="AK6230">
        <v>0</v>
      </c>
      <c r="AL6230">
        <v>0</v>
      </c>
      <c r="AM6230">
        <v>0</v>
      </c>
      <c r="AN6230">
        <v>0</v>
      </c>
      <c r="AO6230">
        <v>0</v>
      </c>
      <c r="AP6230" s="2">
        <v>42746</v>
      </c>
      <c r="AQ6230" t="s">
        <v>72</v>
      </c>
      <c r="AR6230" t="s">
        <v>72</v>
      </c>
      <c r="AS6230">
        <v>230</v>
      </c>
      <c r="AT6230" s="4">
        <v>42403</v>
      </c>
      <c r="AU6230" t="s">
        <v>73</v>
      </c>
      <c r="AV6230">
        <v>230</v>
      </c>
      <c r="AW6230" s="4">
        <v>42403</v>
      </c>
      <c r="BD6230">
        <v>0</v>
      </c>
      <c r="BN6230" t="s">
        <v>74</v>
      </c>
    </row>
    <row r="6231" spans="1:66" hidden="1">
      <c r="A6231">
        <v>104048</v>
      </c>
      <c r="B6231" s="3" t="s">
        <v>602</v>
      </c>
      <c r="C6231" s="1">
        <v>43300101</v>
      </c>
      <c r="D6231" t="s">
        <v>67</v>
      </c>
      <c r="H6231" t="str">
        <f t="shared" si="641"/>
        <v>00674840152</v>
      </c>
      <c r="I6231" t="str">
        <f t="shared" si="641"/>
        <v>00674840152</v>
      </c>
      <c r="K6231" t="str">
        <f>""</f>
        <v/>
      </c>
      <c r="M6231" t="s">
        <v>68</v>
      </c>
      <c r="N6231" t="str">
        <f t="shared" si="640"/>
        <v>FOR</v>
      </c>
      <c r="O6231" t="s">
        <v>69</v>
      </c>
      <c r="P6231" s="3" t="s">
        <v>70</v>
      </c>
      <c r="Q6231">
        <v>2015</v>
      </c>
      <c r="R6231" s="2">
        <v>42066</v>
      </c>
      <c r="S6231" s="2">
        <v>42076</v>
      </c>
      <c r="T6231" s="2">
        <v>42076</v>
      </c>
      <c r="U6231" s="2">
        <v>42136</v>
      </c>
      <c r="V6231" t="s">
        <v>71</v>
      </c>
      <c r="W6231" t="str">
        <f>"          5301633873"</f>
        <v xml:space="preserve">          5301633873</v>
      </c>
      <c r="X6231">
        <v>464.94</v>
      </c>
      <c r="Y6231">
        <v>0</v>
      </c>
      <c r="Z6231"/>
      <c r="AB6231"/>
      <c r="AC6231">
        <v>381.1</v>
      </c>
      <c r="AD6231">
        <v>267</v>
      </c>
      <c r="AE6231" s="1">
        <v>101753.7</v>
      </c>
      <c r="AF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 s="2">
        <v>42746</v>
      </c>
      <c r="AQ6231" t="s">
        <v>72</v>
      </c>
      <c r="AR6231" t="s">
        <v>72</v>
      </c>
      <c r="AS6231">
        <v>230</v>
      </c>
      <c r="AT6231" s="4">
        <v>42403</v>
      </c>
      <c r="AU6231" t="s">
        <v>73</v>
      </c>
      <c r="AV6231">
        <v>230</v>
      </c>
      <c r="AW6231" s="4">
        <v>42403</v>
      </c>
      <c r="BD6231">
        <v>0</v>
      </c>
      <c r="BN6231" t="s">
        <v>74</v>
      </c>
    </row>
    <row r="6232" spans="1:66" hidden="1">
      <c r="A6232">
        <v>104048</v>
      </c>
      <c r="B6232" s="3" t="s">
        <v>602</v>
      </c>
      <c r="C6232" s="1">
        <v>43300101</v>
      </c>
      <c r="D6232" t="s">
        <v>67</v>
      </c>
      <c r="H6232" t="str">
        <f t="shared" si="641"/>
        <v>00674840152</v>
      </c>
      <c r="I6232" t="str">
        <f t="shared" si="641"/>
        <v>00674840152</v>
      </c>
      <c r="K6232" t="str">
        <f>""</f>
        <v/>
      </c>
      <c r="M6232" t="s">
        <v>68</v>
      </c>
      <c r="N6232" t="str">
        <f t="shared" si="640"/>
        <v>FOR</v>
      </c>
      <c r="O6232" t="s">
        <v>69</v>
      </c>
      <c r="P6232" s="3" t="s">
        <v>70</v>
      </c>
      <c r="Q6232">
        <v>2015</v>
      </c>
      <c r="R6232" s="2">
        <v>42066</v>
      </c>
      <c r="S6232" s="2">
        <v>42086</v>
      </c>
      <c r="T6232" s="2">
        <v>42086</v>
      </c>
      <c r="U6232" s="2">
        <v>42146</v>
      </c>
      <c r="V6232" t="s">
        <v>71</v>
      </c>
      <c r="W6232" t="str">
        <f>"          5301634323"</f>
        <v xml:space="preserve">          5301634323</v>
      </c>
      <c r="X6232">
        <v>581.21</v>
      </c>
      <c r="Y6232">
        <v>0</v>
      </c>
      <c r="Z6232"/>
      <c r="AB6232"/>
      <c r="AC6232">
        <v>476.4</v>
      </c>
      <c r="AD6232">
        <v>257</v>
      </c>
      <c r="AE6232" s="1">
        <v>122434.8</v>
      </c>
      <c r="AF6232">
        <v>0</v>
      </c>
      <c r="AJ6232">
        <v>0</v>
      </c>
      <c r="AK6232">
        <v>0</v>
      </c>
      <c r="AL6232">
        <v>0</v>
      </c>
      <c r="AM6232">
        <v>0</v>
      </c>
      <c r="AN6232">
        <v>0</v>
      </c>
      <c r="AO6232">
        <v>0</v>
      </c>
      <c r="AP6232" s="2">
        <v>42746</v>
      </c>
      <c r="AQ6232" t="s">
        <v>72</v>
      </c>
      <c r="AR6232" t="s">
        <v>72</v>
      </c>
      <c r="AS6232">
        <v>230</v>
      </c>
      <c r="AT6232" s="4">
        <v>42403</v>
      </c>
      <c r="AU6232" t="s">
        <v>73</v>
      </c>
      <c r="AV6232">
        <v>230</v>
      </c>
      <c r="AW6232" s="4">
        <v>42403</v>
      </c>
      <c r="BD6232">
        <v>0</v>
      </c>
      <c r="BN6232" t="s">
        <v>74</v>
      </c>
    </row>
    <row r="6233" spans="1:66" hidden="1">
      <c r="A6233">
        <v>104048</v>
      </c>
      <c r="B6233" s="3" t="s">
        <v>602</v>
      </c>
      <c r="C6233" s="1">
        <v>43300101</v>
      </c>
      <c r="D6233" t="s">
        <v>67</v>
      </c>
      <c r="H6233" t="str">
        <f t="shared" si="641"/>
        <v>00674840152</v>
      </c>
      <c r="I6233" t="str">
        <f t="shared" si="641"/>
        <v>00674840152</v>
      </c>
      <c r="K6233" t="str">
        <f>""</f>
        <v/>
      </c>
      <c r="M6233" t="s">
        <v>68</v>
      </c>
      <c r="N6233" t="str">
        <f t="shared" si="640"/>
        <v>FOR</v>
      </c>
      <c r="O6233" t="s">
        <v>69</v>
      </c>
      <c r="P6233" s="3" t="s">
        <v>70</v>
      </c>
      <c r="Q6233">
        <v>2015</v>
      </c>
      <c r="R6233" s="2">
        <v>42067</v>
      </c>
      <c r="S6233" s="2">
        <v>42080</v>
      </c>
      <c r="T6233" s="2">
        <v>42080</v>
      </c>
      <c r="U6233" s="2">
        <v>42140</v>
      </c>
      <c r="V6233" t="s">
        <v>71</v>
      </c>
      <c r="W6233" t="str">
        <f>"          5301634379"</f>
        <v xml:space="preserve">          5301634379</v>
      </c>
      <c r="X6233">
        <v>804.57</v>
      </c>
      <c r="Y6233">
        <v>0</v>
      </c>
      <c r="Z6233"/>
      <c r="AB6233"/>
      <c r="AC6233">
        <v>659.48</v>
      </c>
      <c r="AD6233">
        <v>275</v>
      </c>
      <c r="AE6233" s="1">
        <v>181357</v>
      </c>
      <c r="AF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 s="2">
        <v>42746</v>
      </c>
      <c r="AQ6233" t="s">
        <v>72</v>
      </c>
      <c r="AR6233" t="s">
        <v>72</v>
      </c>
      <c r="AS6233">
        <v>382</v>
      </c>
      <c r="AT6233" s="4">
        <v>42415</v>
      </c>
      <c r="AU6233" t="s">
        <v>73</v>
      </c>
      <c r="AV6233">
        <v>382</v>
      </c>
      <c r="AW6233" s="4">
        <v>42415</v>
      </c>
      <c r="BD6233">
        <v>0</v>
      </c>
      <c r="BN6233" t="s">
        <v>74</v>
      </c>
    </row>
    <row r="6234" spans="1:66" hidden="1">
      <c r="A6234">
        <v>104048</v>
      </c>
      <c r="B6234" s="3" t="s">
        <v>602</v>
      </c>
      <c r="C6234" s="1">
        <v>43300101</v>
      </c>
      <c r="D6234" t="s">
        <v>67</v>
      </c>
      <c r="H6234" t="str">
        <f t="shared" ref="H6234:I6253" si="642">"00674840152"</f>
        <v>00674840152</v>
      </c>
      <c r="I6234" t="str">
        <f t="shared" si="642"/>
        <v>00674840152</v>
      </c>
      <c r="K6234" t="str">
        <f>""</f>
        <v/>
      </c>
      <c r="M6234" t="s">
        <v>68</v>
      </c>
      <c r="N6234" t="str">
        <f t="shared" si="640"/>
        <v>FOR</v>
      </c>
      <c r="O6234" t="s">
        <v>69</v>
      </c>
      <c r="P6234" s="3" t="s">
        <v>70</v>
      </c>
      <c r="Q6234">
        <v>2015</v>
      </c>
      <c r="R6234" s="2">
        <v>42068</v>
      </c>
      <c r="S6234" s="2">
        <v>42080</v>
      </c>
      <c r="T6234" s="2">
        <v>42080</v>
      </c>
      <c r="U6234" s="2">
        <v>42140</v>
      </c>
      <c r="V6234" t="s">
        <v>71</v>
      </c>
      <c r="W6234" t="str">
        <f>"          5301634568"</f>
        <v xml:space="preserve">          5301634568</v>
      </c>
      <c r="X6234">
        <v>613.66</v>
      </c>
      <c r="Y6234">
        <v>0</v>
      </c>
      <c r="Z6234"/>
      <c r="AB6234"/>
      <c r="AC6234">
        <v>503</v>
      </c>
      <c r="AD6234">
        <v>263</v>
      </c>
      <c r="AE6234" s="1">
        <v>132289</v>
      </c>
      <c r="AF6234">
        <v>0</v>
      </c>
      <c r="AJ6234">
        <v>0</v>
      </c>
      <c r="AK6234">
        <v>0</v>
      </c>
      <c r="AL6234">
        <v>0</v>
      </c>
      <c r="AM6234">
        <v>0</v>
      </c>
      <c r="AN6234">
        <v>0</v>
      </c>
      <c r="AO6234">
        <v>0</v>
      </c>
      <c r="AP6234" s="2">
        <v>42746</v>
      </c>
      <c r="AQ6234" t="s">
        <v>72</v>
      </c>
      <c r="AR6234" t="s">
        <v>72</v>
      </c>
      <c r="AS6234">
        <v>230</v>
      </c>
      <c r="AT6234" s="4">
        <v>42403</v>
      </c>
      <c r="AU6234" t="s">
        <v>73</v>
      </c>
      <c r="AV6234">
        <v>230</v>
      </c>
      <c r="AW6234" s="4">
        <v>42403</v>
      </c>
      <c r="BD6234">
        <v>0</v>
      </c>
      <c r="BN6234" t="s">
        <v>74</v>
      </c>
    </row>
    <row r="6235" spans="1:66" hidden="1">
      <c r="A6235">
        <v>104048</v>
      </c>
      <c r="B6235" s="3" t="s">
        <v>602</v>
      </c>
      <c r="C6235" s="1">
        <v>43300101</v>
      </c>
      <c r="D6235" t="s">
        <v>67</v>
      </c>
      <c r="H6235" t="str">
        <f t="shared" si="642"/>
        <v>00674840152</v>
      </c>
      <c r="I6235" t="str">
        <f t="shared" si="642"/>
        <v>00674840152</v>
      </c>
      <c r="K6235" t="str">
        <f>""</f>
        <v/>
      </c>
      <c r="M6235" t="s">
        <v>68</v>
      </c>
      <c r="N6235" t="str">
        <f t="shared" si="640"/>
        <v>FOR</v>
      </c>
      <c r="O6235" t="s">
        <v>69</v>
      </c>
      <c r="P6235" s="3" t="s">
        <v>70</v>
      </c>
      <c r="Q6235">
        <v>2015</v>
      </c>
      <c r="R6235" s="2">
        <v>42068</v>
      </c>
      <c r="S6235" s="2">
        <v>42080</v>
      </c>
      <c r="T6235" s="2">
        <v>42080</v>
      </c>
      <c r="U6235" s="2">
        <v>42140</v>
      </c>
      <c r="V6235" t="s">
        <v>71</v>
      </c>
      <c r="W6235" t="str">
        <f>"          5301634569"</f>
        <v xml:space="preserve">          5301634569</v>
      </c>
      <c r="X6235" s="1">
        <v>1227.32</v>
      </c>
      <c r="Y6235">
        <v>0</v>
      </c>
      <c r="Z6235"/>
      <c r="AB6235"/>
      <c r="AC6235" s="1">
        <v>1006</v>
      </c>
      <c r="AD6235">
        <v>263</v>
      </c>
      <c r="AE6235" s="1">
        <v>264578</v>
      </c>
      <c r="AF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 s="2">
        <v>42746</v>
      </c>
      <c r="AQ6235" t="s">
        <v>72</v>
      </c>
      <c r="AR6235" t="s">
        <v>72</v>
      </c>
      <c r="AS6235">
        <v>230</v>
      </c>
      <c r="AT6235" s="4">
        <v>42403</v>
      </c>
      <c r="AU6235" t="s">
        <v>73</v>
      </c>
      <c r="AV6235">
        <v>230</v>
      </c>
      <c r="AW6235" s="4">
        <v>42403</v>
      </c>
      <c r="BD6235">
        <v>0</v>
      </c>
      <c r="BN6235" t="s">
        <v>74</v>
      </c>
    </row>
    <row r="6236" spans="1:66" hidden="1">
      <c r="A6236">
        <v>104048</v>
      </c>
      <c r="B6236" s="3" t="s">
        <v>602</v>
      </c>
      <c r="C6236" s="1">
        <v>43300101</v>
      </c>
      <c r="D6236" t="s">
        <v>67</v>
      </c>
      <c r="H6236" t="str">
        <f t="shared" si="642"/>
        <v>00674840152</v>
      </c>
      <c r="I6236" t="str">
        <f t="shared" si="642"/>
        <v>00674840152</v>
      </c>
      <c r="K6236" t="str">
        <f>""</f>
        <v/>
      </c>
      <c r="M6236" t="s">
        <v>68</v>
      </c>
      <c r="N6236" t="str">
        <f t="shared" si="640"/>
        <v>FOR</v>
      </c>
      <c r="O6236" t="s">
        <v>69</v>
      </c>
      <c r="P6236" s="3" t="s">
        <v>70</v>
      </c>
      <c r="Q6236">
        <v>2015</v>
      </c>
      <c r="R6236" s="2">
        <v>42068</v>
      </c>
      <c r="S6236" s="2">
        <v>42080</v>
      </c>
      <c r="T6236" s="2">
        <v>42080</v>
      </c>
      <c r="U6236" s="2">
        <v>42140</v>
      </c>
      <c r="V6236" t="s">
        <v>71</v>
      </c>
      <c r="W6236" t="str">
        <f>"          5301634570"</f>
        <v xml:space="preserve">          5301634570</v>
      </c>
      <c r="X6236">
        <v>180.8</v>
      </c>
      <c r="Y6236">
        <v>0</v>
      </c>
      <c r="Z6236"/>
      <c r="AB6236"/>
      <c r="AC6236">
        <v>148.19999999999999</v>
      </c>
      <c r="AD6236">
        <v>263</v>
      </c>
      <c r="AE6236" s="1">
        <v>38976.6</v>
      </c>
      <c r="AF6236">
        <v>0</v>
      </c>
      <c r="AJ6236">
        <v>0</v>
      </c>
      <c r="AK6236">
        <v>0</v>
      </c>
      <c r="AL6236">
        <v>0</v>
      </c>
      <c r="AM6236">
        <v>0</v>
      </c>
      <c r="AN6236">
        <v>0</v>
      </c>
      <c r="AO6236">
        <v>0</v>
      </c>
      <c r="AP6236" s="2">
        <v>42746</v>
      </c>
      <c r="AQ6236" t="s">
        <v>72</v>
      </c>
      <c r="AR6236" t="s">
        <v>72</v>
      </c>
      <c r="AS6236">
        <v>230</v>
      </c>
      <c r="AT6236" s="4">
        <v>42403</v>
      </c>
      <c r="AU6236" t="s">
        <v>73</v>
      </c>
      <c r="AV6236">
        <v>230</v>
      </c>
      <c r="AW6236" s="4">
        <v>42403</v>
      </c>
      <c r="BD6236">
        <v>0</v>
      </c>
      <c r="BN6236" t="s">
        <v>74</v>
      </c>
    </row>
    <row r="6237" spans="1:66" hidden="1">
      <c r="A6237">
        <v>104048</v>
      </c>
      <c r="B6237" s="3" t="s">
        <v>602</v>
      </c>
      <c r="C6237" s="1">
        <v>43300101</v>
      </c>
      <c r="D6237" t="s">
        <v>67</v>
      </c>
      <c r="H6237" t="str">
        <f t="shared" si="642"/>
        <v>00674840152</v>
      </c>
      <c r="I6237" t="str">
        <f t="shared" si="642"/>
        <v>00674840152</v>
      </c>
      <c r="K6237" t="str">
        <f>""</f>
        <v/>
      </c>
      <c r="M6237" t="s">
        <v>68</v>
      </c>
      <c r="N6237" t="str">
        <f t="shared" si="640"/>
        <v>FOR</v>
      </c>
      <c r="O6237" t="s">
        <v>69</v>
      </c>
      <c r="P6237" s="3" t="s">
        <v>70</v>
      </c>
      <c r="Q6237">
        <v>2015</v>
      </c>
      <c r="R6237" s="2">
        <v>42072</v>
      </c>
      <c r="S6237" s="2">
        <v>42080</v>
      </c>
      <c r="T6237" s="2">
        <v>42080</v>
      </c>
      <c r="U6237" s="2">
        <v>42140</v>
      </c>
      <c r="V6237" t="s">
        <v>71</v>
      </c>
      <c r="W6237" t="str">
        <f>"          5301635288"</f>
        <v xml:space="preserve">          5301635288</v>
      </c>
      <c r="X6237" s="1">
        <v>1671.4</v>
      </c>
      <c r="Y6237">
        <v>0</v>
      </c>
      <c r="Z6237"/>
      <c r="AB6237"/>
      <c r="AC6237" s="1">
        <v>1370</v>
      </c>
      <c r="AD6237">
        <v>263</v>
      </c>
      <c r="AE6237" s="1">
        <v>360310</v>
      </c>
      <c r="AF6237">
        <v>0</v>
      </c>
      <c r="AJ6237">
        <v>0</v>
      </c>
      <c r="AK6237">
        <v>0</v>
      </c>
      <c r="AL6237">
        <v>0</v>
      </c>
      <c r="AM6237">
        <v>0</v>
      </c>
      <c r="AN6237">
        <v>0</v>
      </c>
      <c r="AO6237">
        <v>0</v>
      </c>
      <c r="AP6237" s="2">
        <v>42746</v>
      </c>
      <c r="AQ6237" t="s">
        <v>72</v>
      </c>
      <c r="AR6237" t="s">
        <v>72</v>
      </c>
      <c r="AS6237">
        <v>230</v>
      </c>
      <c r="AT6237" s="4">
        <v>42403</v>
      </c>
      <c r="AU6237" t="s">
        <v>73</v>
      </c>
      <c r="AV6237">
        <v>230</v>
      </c>
      <c r="AW6237" s="4">
        <v>42403</v>
      </c>
      <c r="BD6237">
        <v>0</v>
      </c>
      <c r="BN6237" t="s">
        <v>74</v>
      </c>
    </row>
    <row r="6238" spans="1:66" hidden="1">
      <c r="A6238">
        <v>104048</v>
      </c>
      <c r="B6238" s="3" t="s">
        <v>602</v>
      </c>
      <c r="C6238" s="1">
        <v>43300101</v>
      </c>
      <c r="D6238" t="s">
        <v>67</v>
      </c>
      <c r="H6238" t="str">
        <f t="shared" si="642"/>
        <v>00674840152</v>
      </c>
      <c r="I6238" t="str">
        <f t="shared" si="642"/>
        <v>00674840152</v>
      </c>
      <c r="K6238" t="str">
        <f>""</f>
        <v/>
      </c>
      <c r="M6238" t="s">
        <v>68</v>
      </c>
      <c r="N6238" t="str">
        <f t="shared" si="640"/>
        <v>FOR</v>
      </c>
      <c r="O6238" t="s">
        <v>69</v>
      </c>
      <c r="P6238" s="3" t="s">
        <v>70</v>
      </c>
      <c r="Q6238">
        <v>2015</v>
      </c>
      <c r="R6238" s="2">
        <v>42073</v>
      </c>
      <c r="S6238" s="2">
        <v>42080</v>
      </c>
      <c r="T6238" s="2">
        <v>42080</v>
      </c>
      <c r="U6238" s="2">
        <v>42140</v>
      </c>
      <c r="V6238" t="s">
        <v>71</v>
      </c>
      <c r="W6238" t="str">
        <f>"          5301635648"</f>
        <v xml:space="preserve">          5301635648</v>
      </c>
      <c r="X6238">
        <v>187.94</v>
      </c>
      <c r="Y6238">
        <v>0</v>
      </c>
      <c r="Z6238"/>
      <c r="AB6238"/>
      <c r="AC6238">
        <v>154.05000000000001</v>
      </c>
      <c r="AD6238">
        <v>263</v>
      </c>
      <c r="AE6238" s="1">
        <v>40515.15</v>
      </c>
      <c r="AF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 s="2">
        <v>42746</v>
      </c>
      <c r="AQ6238" t="s">
        <v>72</v>
      </c>
      <c r="AR6238" t="s">
        <v>72</v>
      </c>
      <c r="AS6238">
        <v>230</v>
      </c>
      <c r="AT6238" s="4">
        <v>42403</v>
      </c>
      <c r="AU6238" t="s">
        <v>73</v>
      </c>
      <c r="AV6238">
        <v>230</v>
      </c>
      <c r="AW6238" s="4">
        <v>42403</v>
      </c>
      <c r="BD6238">
        <v>0</v>
      </c>
      <c r="BN6238" t="s">
        <v>74</v>
      </c>
    </row>
    <row r="6239" spans="1:66" hidden="1">
      <c r="A6239">
        <v>104048</v>
      </c>
      <c r="B6239" s="3" t="s">
        <v>602</v>
      </c>
      <c r="C6239" s="1">
        <v>43300101</v>
      </c>
      <c r="D6239" t="s">
        <v>67</v>
      </c>
      <c r="H6239" t="str">
        <f t="shared" si="642"/>
        <v>00674840152</v>
      </c>
      <c r="I6239" t="str">
        <f t="shared" si="642"/>
        <v>00674840152</v>
      </c>
      <c r="K6239" t="str">
        <f>""</f>
        <v/>
      </c>
      <c r="M6239" t="s">
        <v>68</v>
      </c>
      <c r="N6239" t="str">
        <f t="shared" si="640"/>
        <v>FOR</v>
      </c>
      <c r="O6239" t="s">
        <v>69</v>
      </c>
      <c r="P6239" s="3" t="s">
        <v>70</v>
      </c>
      <c r="Q6239">
        <v>2015</v>
      </c>
      <c r="R6239" s="2">
        <v>42074</v>
      </c>
      <c r="S6239" s="2">
        <v>42086</v>
      </c>
      <c r="T6239" s="2">
        <v>42086</v>
      </c>
      <c r="U6239" s="2">
        <v>42146</v>
      </c>
      <c r="V6239" t="s">
        <v>71</v>
      </c>
      <c r="W6239" t="str">
        <f>"          5301635969"</f>
        <v xml:space="preserve">          5301635969</v>
      </c>
      <c r="X6239">
        <v>92.72</v>
      </c>
      <c r="Y6239">
        <v>0</v>
      </c>
      <c r="Z6239"/>
      <c r="AB6239"/>
      <c r="AC6239">
        <v>76</v>
      </c>
      <c r="AD6239">
        <v>269</v>
      </c>
      <c r="AE6239" s="1">
        <v>20444</v>
      </c>
      <c r="AF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 s="2">
        <v>42746</v>
      </c>
      <c r="AQ6239" t="s">
        <v>72</v>
      </c>
      <c r="AR6239" t="s">
        <v>72</v>
      </c>
      <c r="AS6239">
        <v>382</v>
      </c>
      <c r="AT6239" s="4">
        <v>42415</v>
      </c>
      <c r="AU6239" t="s">
        <v>73</v>
      </c>
      <c r="AV6239">
        <v>382</v>
      </c>
      <c r="AW6239" s="4">
        <v>42415</v>
      </c>
      <c r="BD6239">
        <v>0</v>
      </c>
      <c r="BN6239" t="s">
        <v>74</v>
      </c>
    </row>
    <row r="6240" spans="1:66" hidden="1">
      <c r="A6240">
        <v>104048</v>
      </c>
      <c r="B6240" s="3" t="s">
        <v>602</v>
      </c>
      <c r="C6240" s="1">
        <v>43300101</v>
      </c>
      <c r="D6240" t="s">
        <v>67</v>
      </c>
      <c r="H6240" t="str">
        <f t="shared" si="642"/>
        <v>00674840152</v>
      </c>
      <c r="I6240" t="str">
        <f t="shared" si="642"/>
        <v>00674840152</v>
      </c>
      <c r="K6240" t="str">
        <f>""</f>
        <v/>
      </c>
      <c r="M6240" t="s">
        <v>68</v>
      </c>
      <c r="N6240" t="str">
        <f t="shared" si="640"/>
        <v>FOR</v>
      </c>
      <c r="O6240" t="s">
        <v>69</v>
      </c>
      <c r="P6240" s="3" t="s">
        <v>70</v>
      </c>
      <c r="Q6240">
        <v>2015</v>
      </c>
      <c r="R6240" s="2">
        <v>42075</v>
      </c>
      <c r="S6240" s="2">
        <v>42086</v>
      </c>
      <c r="T6240" s="2">
        <v>42086</v>
      </c>
      <c r="U6240" s="2">
        <v>42146</v>
      </c>
      <c r="V6240" t="s">
        <v>71</v>
      </c>
      <c r="W6240" t="str">
        <f>"          5301636281"</f>
        <v xml:space="preserve">          5301636281</v>
      </c>
      <c r="X6240">
        <v>310.98</v>
      </c>
      <c r="Y6240">
        <v>0</v>
      </c>
      <c r="Z6240"/>
      <c r="AB6240"/>
      <c r="AC6240">
        <v>254.9</v>
      </c>
      <c r="AD6240">
        <v>257</v>
      </c>
      <c r="AE6240" s="1">
        <v>65509.3</v>
      </c>
      <c r="AF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 s="2">
        <v>42746</v>
      </c>
      <c r="AQ6240" t="s">
        <v>72</v>
      </c>
      <c r="AR6240" t="s">
        <v>72</v>
      </c>
      <c r="AS6240">
        <v>230</v>
      </c>
      <c r="AT6240" s="4">
        <v>42403</v>
      </c>
      <c r="AU6240" t="s">
        <v>73</v>
      </c>
      <c r="AV6240">
        <v>230</v>
      </c>
      <c r="AW6240" s="4">
        <v>42403</v>
      </c>
      <c r="BD6240">
        <v>0</v>
      </c>
      <c r="BN6240" t="s">
        <v>74</v>
      </c>
    </row>
    <row r="6241" spans="1:66" hidden="1">
      <c r="A6241">
        <v>104048</v>
      </c>
      <c r="B6241" s="3" t="s">
        <v>602</v>
      </c>
      <c r="C6241" s="1">
        <v>43300101</v>
      </c>
      <c r="D6241" t="s">
        <v>67</v>
      </c>
      <c r="H6241" t="str">
        <f t="shared" si="642"/>
        <v>00674840152</v>
      </c>
      <c r="I6241" t="str">
        <f t="shared" si="642"/>
        <v>00674840152</v>
      </c>
      <c r="K6241" t="str">
        <f>""</f>
        <v/>
      </c>
      <c r="M6241" t="s">
        <v>68</v>
      </c>
      <c r="N6241" t="str">
        <f t="shared" si="640"/>
        <v>FOR</v>
      </c>
      <c r="O6241" t="s">
        <v>69</v>
      </c>
      <c r="P6241" s="3" t="s">
        <v>70</v>
      </c>
      <c r="Q6241">
        <v>2015</v>
      </c>
      <c r="R6241" s="2">
        <v>42076</v>
      </c>
      <c r="S6241" s="2">
        <v>42086</v>
      </c>
      <c r="T6241" s="2">
        <v>42086</v>
      </c>
      <c r="U6241" s="2">
        <v>42146</v>
      </c>
      <c r="V6241" t="s">
        <v>71</v>
      </c>
      <c r="W6241" t="str">
        <f>"          5301636747"</f>
        <v xml:space="preserve">          5301636747</v>
      </c>
      <c r="X6241">
        <v>367.59</v>
      </c>
      <c r="Y6241">
        <v>0</v>
      </c>
      <c r="Z6241"/>
      <c r="AB6241"/>
      <c r="AC6241">
        <v>301.3</v>
      </c>
      <c r="AD6241">
        <v>269</v>
      </c>
      <c r="AE6241" s="1">
        <v>81049.7</v>
      </c>
      <c r="AF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 s="2">
        <v>42746</v>
      </c>
      <c r="AQ6241" t="s">
        <v>72</v>
      </c>
      <c r="AR6241" t="s">
        <v>72</v>
      </c>
      <c r="AS6241">
        <v>382</v>
      </c>
      <c r="AT6241" s="4">
        <v>42415</v>
      </c>
      <c r="AU6241" t="s">
        <v>73</v>
      </c>
      <c r="AV6241">
        <v>382</v>
      </c>
      <c r="AW6241" s="4">
        <v>42415</v>
      </c>
      <c r="BD6241">
        <v>0</v>
      </c>
      <c r="BN6241" t="s">
        <v>74</v>
      </c>
    </row>
    <row r="6242" spans="1:66" hidden="1">
      <c r="A6242">
        <v>104048</v>
      </c>
      <c r="B6242" s="3" t="s">
        <v>602</v>
      </c>
      <c r="C6242" s="1">
        <v>43300101</v>
      </c>
      <c r="D6242" t="s">
        <v>67</v>
      </c>
      <c r="H6242" t="str">
        <f t="shared" si="642"/>
        <v>00674840152</v>
      </c>
      <c r="I6242" t="str">
        <f t="shared" si="642"/>
        <v>00674840152</v>
      </c>
      <c r="K6242" t="str">
        <f>""</f>
        <v/>
      </c>
      <c r="M6242" t="s">
        <v>68</v>
      </c>
      <c r="N6242" t="str">
        <f t="shared" si="640"/>
        <v>FOR</v>
      </c>
      <c r="O6242" t="s">
        <v>69</v>
      </c>
      <c r="P6242" s="3" t="s">
        <v>70</v>
      </c>
      <c r="Q6242">
        <v>2015</v>
      </c>
      <c r="R6242" s="2">
        <v>42080</v>
      </c>
      <c r="S6242" s="2">
        <v>42095</v>
      </c>
      <c r="T6242" s="2">
        <v>42095</v>
      </c>
      <c r="U6242" s="2">
        <v>42155</v>
      </c>
      <c r="V6242" t="s">
        <v>71</v>
      </c>
      <c r="W6242" t="str">
        <f>"          5301637403"</f>
        <v xml:space="preserve">          5301637403</v>
      </c>
      <c r="X6242">
        <v>145.12</v>
      </c>
      <c r="Y6242">
        <v>0</v>
      </c>
      <c r="Z6242"/>
      <c r="AB6242"/>
      <c r="AC6242">
        <v>118.95</v>
      </c>
      <c r="AD6242">
        <v>248</v>
      </c>
      <c r="AE6242" s="1">
        <v>29499.599999999999</v>
      </c>
      <c r="AF6242">
        <v>0</v>
      </c>
      <c r="AJ6242">
        <v>0</v>
      </c>
      <c r="AK6242">
        <v>0</v>
      </c>
      <c r="AL6242">
        <v>0</v>
      </c>
      <c r="AM6242">
        <v>0</v>
      </c>
      <c r="AN6242">
        <v>0</v>
      </c>
      <c r="AO6242">
        <v>0</v>
      </c>
      <c r="AP6242" s="2">
        <v>42746</v>
      </c>
      <c r="AQ6242" t="s">
        <v>72</v>
      </c>
      <c r="AR6242" t="s">
        <v>72</v>
      </c>
      <c r="AS6242">
        <v>230</v>
      </c>
      <c r="AT6242" s="4">
        <v>42403</v>
      </c>
      <c r="AU6242" t="s">
        <v>73</v>
      </c>
      <c r="AV6242">
        <v>230</v>
      </c>
      <c r="AW6242" s="4">
        <v>42403</v>
      </c>
      <c r="BD6242">
        <v>0</v>
      </c>
      <c r="BN6242" t="s">
        <v>74</v>
      </c>
    </row>
    <row r="6243" spans="1:66" hidden="1">
      <c r="A6243">
        <v>104048</v>
      </c>
      <c r="B6243" s="3" t="s">
        <v>602</v>
      </c>
      <c r="C6243" s="1">
        <v>43300101</v>
      </c>
      <c r="D6243" t="s">
        <v>67</v>
      </c>
      <c r="H6243" t="str">
        <f t="shared" si="642"/>
        <v>00674840152</v>
      </c>
      <c r="I6243" t="str">
        <f t="shared" si="642"/>
        <v>00674840152</v>
      </c>
      <c r="K6243" t="str">
        <f>""</f>
        <v/>
      </c>
      <c r="M6243" t="s">
        <v>68</v>
      </c>
      <c r="N6243" t="str">
        <f t="shared" si="640"/>
        <v>FOR</v>
      </c>
      <c r="O6243" t="s">
        <v>69</v>
      </c>
      <c r="P6243" s="3" t="s">
        <v>70</v>
      </c>
      <c r="Q6243">
        <v>2015</v>
      </c>
      <c r="R6243" s="2">
        <v>42082</v>
      </c>
      <c r="S6243" s="2">
        <v>42095</v>
      </c>
      <c r="T6243" s="2">
        <v>42095</v>
      </c>
      <c r="U6243" s="2">
        <v>42155</v>
      </c>
      <c r="V6243" t="s">
        <v>71</v>
      </c>
      <c r="W6243" t="str">
        <f>"          5301638036"</f>
        <v xml:space="preserve">          5301638036</v>
      </c>
      <c r="X6243">
        <v>381.8</v>
      </c>
      <c r="Y6243">
        <v>0</v>
      </c>
      <c r="Z6243"/>
      <c r="AB6243"/>
      <c r="AC6243">
        <v>312.95</v>
      </c>
      <c r="AD6243">
        <v>248</v>
      </c>
      <c r="AE6243" s="1">
        <v>77611.600000000006</v>
      </c>
      <c r="AF6243">
        <v>0</v>
      </c>
      <c r="AJ6243">
        <v>0</v>
      </c>
      <c r="AK6243">
        <v>0</v>
      </c>
      <c r="AL6243">
        <v>0</v>
      </c>
      <c r="AM6243">
        <v>0</v>
      </c>
      <c r="AN6243">
        <v>0</v>
      </c>
      <c r="AO6243">
        <v>0</v>
      </c>
      <c r="AP6243" s="2">
        <v>42746</v>
      </c>
      <c r="AQ6243" t="s">
        <v>72</v>
      </c>
      <c r="AR6243" t="s">
        <v>72</v>
      </c>
      <c r="AS6243">
        <v>230</v>
      </c>
      <c r="AT6243" s="4">
        <v>42403</v>
      </c>
      <c r="AU6243" t="s">
        <v>73</v>
      </c>
      <c r="AV6243">
        <v>230</v>
      </c>
      <c r="AW6243" s="4">
        <v>42403</v>
      </c>
      <c r="BD6243">
        <v>0</v>
      </c>
      <c r="BN6243" t="s">
        <v>74</v>
      </c>
    </row>
    <row r="6244" spans="1:66" hidden="1">
      <c r="A6244">
        <v>104048</v>
      </c>
      <c r="B6244" s="3" t="s">
        <v>602</v>
      </c>
      <c r="C6244" s="1">
        <v>43300101</v>
      </c>
      <c r="D6244" t="s">
        <v>67</v>
      </c>
      <c r="H6244" t="str">
        <f t="shared" si="642"/>
        <v>00674840152</v>
      </c>
      <c r="I6244" t="str">
        <f t="shared" si="642"/>
        <v>00674840152</v>
      </c>
      <c r="K6244" t="str">
        <f>""</f>
        <v/>
      </c>
      <c r="M6244" t="s">
        <v>68</v>
      </c>
      <c r="N6244" t="str">
        <f t="shared" si="640"/>
        <v>FOR</v>
      </c>
      <c r="O6244" t="s">
        <v>69</v>
      </c>
      <c r="P6244" s="3" t="s">
        <v>70</v>
      </c>
      <c r="Q6244">
        <v>2015</v>
      </c>
      <c r="R6244" s="2">
        <v>42086</v>
      </c>
      <c r="S6244" s="2">
        <v>42107</v>
      </c>
      <c r="T6244" s="2">
        <v>42107</v>
      </c>
      <c r="U6244" s="2">
        <v>42167</v>
      </c>
      <c r="V6244" t="s">
        <v>71</v>
      </c>
      <c r="W6244" t="str">
        <f>"          5301638641"</f>
        <v xml:space="preserve">          5301638641</v>
      </c>
      <c r="X6244">
        <v>308.05</v>
      </c>
      <c r="Y6244">
        <v>0</v>
      </c>
      <c r="Z6244"/>
      <c r="AB6244"/>
      <c r="AC6244">
        <v>252.5</v>
      </c>
      <c r="AD6244">
        <v>236</v>
      </c>
      <c r="AE6244" s="1">
        <v>59590</v>
      </c>
      <c r="AF6244">
        <v>0</v>
      </c>
      <c r="AJ6244">
        <v>0</v>
      </c>
      <c r="AK6244">
        <v>0</v>
      </c>
      <c r="AL6244">
        <v>0</v>
      </c>
      <c r="AM6244">
        <v>0</v>
      </c>
      <c r="AN6244">
        <v>0</v>
      </c>
      <c r="AO6244">
        <v>0</v>
      </c>
      <c r="AP6244" s="2">
        <v>42746</v>
      </c>
      <c r="AQ6244" t="s">
        <v>72</v>
      </c>
      <c r="AR6244" t="s">
        <v>72</v>
      </c>
      <c r="AS6244">
        <v>230</v>
      </c>
      <c r="AT6244" s="4">
        <v>42403</v>
      </c>
      <c r="AU6244" t="s">
        <v>73</v>
      </c>
      <c r="AV6244">
        <v>230</v>
      </c>
      <c r="AW6244" s="4">
        <v>42403</v>
      </c>
      <c r="BD6244">
        <v>0</v>
      </c>
      <c r="BN6244" t="s">
        <v>74</v>
      </c>
    </row>
    <row r="6245" spans="1:66" hidden="1">
      <c r="A6245">
        <v>104048</v>
      </c>
      <c r="B6245" s="3" t="s">
        <v>602</v>
      </c>
      <c r="C6245" s="1">
        <v>43300101</v>
      </c>
      <c r="D6245" t="s">
        <v>67</v>
      </c>
      <c r="H6245" t="str">
        <f t="shared" si="642"/>
        <v>00674840152</v>
      </c>
      <c r="I6245" t="str">
        <f t="shared" si="642"/>
        <v>00674840152</v>
      </c>
      <c r="K6245" t="str">
        <f>""</f>
        <v/>
      </c>
      <c r="M6245" t="s">
        <v>68</v>
      </c>
      <c r="N6245" t="str">
        <f t="shared" si="640"/>
        <v>FOR</v>
      </c>
      <c r="O6245" t="s">
        <v>69</v>
      </c>
      <c r="P6245" s="3" t="s">
        <v>70</v>
      </c>
      <c r="Q6245">
        <v>2015</v>
      </c>
      <c r="R6245" s="2">
        <v>42086</v>
      </c>
      <c r="S6245" s="2">
        <v>42107</v>
      </c>
      <c r="T6245" s="2">
        <v>42107</v>
      </c>
      <c r="U6245" s="2">
        <v>42167</v>
      </c>
      <c r="V6245" t="s">
        <v>71</v>
      </c>
      <c r="W6245" t="str">
        <f>"          5301638642"</f>
        <v xml:space="preserve">          5301638642</v>
      </c>
      <c r="X6245">
        <v>308.05</v>
      </c>
      <c r="Y6245">
        <v>0</v>
      </c>
      <c r="Z6245"/>
      <c r="AB6245"/>
      <c r="AC6245">
        <v>252.5</v>
      </c>
      <c r="AD6245">
        <v>236</v>
      </c>
      <c r="AE6245" s="1">
        <v>59590</v>
      </c>
      <c r="AF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 s="2">
        <v>42746</v>
      </c>
      <c r="AQ6245" t="s">
        <v>72</v>
      </c>
      <c r="AR6245" t="s">
        <v>72</v>
      </c>
      <c r="AS6245">
        <v>230</v>
      </c>
      <c r="AT6245" s="4">
        <v>42403</v>
      </c>
      <c r="AU6245" t="s">
        <v>73</v>
      </c>
      <c r="AV6245">
        <v>230</v>
      </c>
      <c r="AW6245" s="4">
        <v>42403</v>
      </c>
      <c r="BD6245">
        <v>0</v>
      </c>
      <c r="BN6245" t="s">
        <v>74</v>
      </c>
    </row>
    <row r="6246" spans="1:66" hidden="1">
      <c r="A6246">
        <v>104048</v>
      </c>
      <c r="B6246" s="3" t="s">
        <v>602</v>
      </c>
      <c r="C6246" s="1">
        <v>43300101</v>
      </c>
      <c r="D6246" t="s">
        <v>67</v>
      </c>
      <c r="H6246" t="str">
        <f t="shared" si="642"/>
        <v>00674840152</v>
      </c>
      <c r="I6246" t="str">
        <f t="shared" si="642"/>
        <v>00674840152</v>
      </c>
      <c r="K6246" t="str">
        <f>""</f>
        <v/>
      </c>
      <c r="M6246" t="s">
        <v>68</v>
      </c>
      <c r="N6246" t="str">
        <f t="shared" si="640"/>
        <v>FOR</v>
      </c>
      <c r="O6246" t="s">
        <v>69</v>
      </c>
      <c r="P6246" s="3" t="s">
        <v>70</v>
      </c>
      <c r="Q6246">
        <v>2015</v>
      </c>
      <c r="R6246" s="2">
        <v>42086</v>
      </c>
      <c r="S6246" s="2">
        <v>42107</v>
      </c>
      <c r="T6246" s="2">
        <v>42107</v>
      </c>
      <c r="U6246" s="2">
        <v>42167</v>
      </c>
      <c r="V6246" t="s">
        <v>71</v>
      </c>
      <c r="W6246" t="str">
        <f>"          5301638643"</f>
        <v xml:space="preserve">          5301638643</v>
      </c>
      <c r="X6246">
        <v>887.55</v>
      </c>
      <c r="Y6246">
        <v>0</v>
      </c>
      <c r="Z6246"/>
      <c r="AB6246"/>
      <c r="AC6246">
        <v>727.5</v>
      </c>
      <c r="AD6246">
        <v>236</v>
      </c>
      <c r="AE6246" s="1">
        <v>171690</v>
      </c>
      <c r="AF6246">
        <v>0</v>
      </c>
      <c r="AJ6246">
        <v>0</v>
      </c>
      <c r="AK6246">
        <v>0</v>
      </c>
      <c r="AL6246">
        <v>0</v>
      </c>
      <c r="AM6246">
        <v>0</v>
      </c>
      <c r="AN6246">
        <v>0</v>
      </c>
      <c r="AO6246">
        <v>0</v>
      </c>
      <c r="AP6246" s="2">
        <v>42746</v>
      </c>
      <c r="AQ6246" t="s">
        <v>72</v>
      </c>
      <c r="AR6246" t="s">
        <v>72</v>
      </c>
      <c r="AS6246">
        <v>230</v>
      </c>
      <c r="AT6246" s="4">
        <v>42403</v>
      </c>
      <c r="AU6246" t="s">
        <v>73</v>
      </c>
      <c r="AV6246">
        <v>230</v>
      </c>
      <c r="AW6246" s="4">
        <v>42403</v>
      </c>
      <c r="BD6246">
        <v>0</v>
      </c>
      <c r="BN6246" t="s">
        <v>74</v>
      </c>
    </row>
    <row r="6247" spans="1:66" hidden="1">
      <c r="A6247">
        <v>104048</v>
      </c>
      <c r="B6247" s="3" t="s">
        <v>602</v>
      </c>
      <c r="C6247" s="1">
        <v>43300101</v>
      </c>
      <c r="D6247" t="s">
        <v>67</v>
      </c>
      <c r="H6247" t="str">
        <f t="shared" si="642"/>
        <v>00674840152</v>
      </c>
      <c r="I6247" t="str">
        <f t="shared" si="642"/>
        <v>00674840152</v>
      </c>
      <c r="K6247" t="str">
        <f>""</f>
        <v/>
      </c>
      <c r="M6247" t="s">
        <v>68</v>
      </c>
      <c r="N6247" t="str">
        <f t="shared" si="640"/>
        <v>FOR</v>
      </c>
      <c r="O6247" t="s">
        <v>69</v>
      </c>
      <c r="P6247" s="3" t="s">
        <v>70</v>
      </c>
      <c r="Q6247">
        <v>2015</v>
      </c>
      <c r="R6247" s="2">
        <v>42087</v>
      </c>
      <c r="S6247" s="2">
        <v>42107</v>
      </c>
      <c r="T6247" s="2">
        <v>42107</v>
      </c>
      <c r="U6247" s="2">
        <v>42167</v>
      </c>
      <c r="V6247" t="s">
        <v>71</v>
      </c>
      <c r="W6247" t="str">
        <f>"          5301638906"</f>
        <v xml:space="preserve">          5301638906</v>
      </c>
      <c r="X6247" s="1">
        <v>1331.39</v>
      </c>
      <c r="Y6247">
        <v>0</v>
      </c>
      <c r="Z6247"/>
      <c r="AB6247"/>
      <c r="AC6247" s="1">
        <v>1091.3</v>
      </c>
      <c r="AD6247">
        <v>236</v>
      </c>
      <c r="AE6247" s="1">
        <v>257546.8</v>
      </c>
      <c r="AF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 s="2">
        <v>42746</v>
      </c>
      <c r="AQ6247" t="s">
        <v>72</v>
      </c>
      <c r="AR6247" t="s">
        <v>72</v>
      </c>
      <c r="AS6247">
        <v>230</v>
      </c>
      <c r="AT6247" s="4">
        <v>42403</v>
      </c>
      <c r="AU6247" t="s">
        <v>73</v>
      </c>
      <c r="AV6247">
        <v>230</v>
      </c>
      <c r="AW6247" s="4">
        <v>42403</v>
      </c>
      <c r="BD6247">
        <v>0</v>
      </c>
      <c r="BN6247" t="s">
        <v>74</v>
      </c>
    </row>
    <row r="6248" spans="1:66" hidden="1">
      <c r="A6248">
        <v>104048</v>
      </c>
      <c r="B6248" s="3" t="s">
        <v>602</v>
      </c>
      <c r="C6248" s="1">
        <v>43300101</v>
      </c>
      <c r="D6248" t="s">
        <v>67</v>
      </c>
      <c r="H6248" t="str">
        <f t="shared" si="642"/>
        <v>00674840152</v>
      </c>
      <c r="I6248" t="str">
        <f t="shared" si="642"/>
        <v>00674840152</v>
      </c>
      <c r="K6248" t="str">
        <f>""</f>
        <v/>
      </c>
      <c r="M6248" t="s">
        <v>68</v>
      </c>
      <c r="N6248" t="str">
        <f t="shared" si="640"/>
        <v>FOR</v>
      </c>
      <c r="O6248" t="s">
        <v>69</v>
      </c>
      <c r="P6248" s="3" t="s">
        <v>70</v>
      </c>
      <c r="Q6248">
        <v>2015</v>
      </c>
      <c r="R6248" s="2">
        <v>42087</v>
      </c>
      <c r="S6248" s="2">
        <v>42108</v>
      </c>
      <c r="T6248" s="2">
        <v>42108</v>
      </c>
      <c r="U6248" s="2">
        <v>42168</v>
      </c>
      <c r="V6248" t="s">
        <v>71</v>
      </c>
      <c r="W6248" t="str">
        <f>"          5301638907"</f>
        <v xml:space="preserve">          5301638907</v>
      </c>
      <c r="X6248" s="1">
        <v>1258.21</v>
      </c>
      <c r="Y6248">
        <v>0</v>
      </c>
      <c r="Z6248"/>
      <c r="AB6248"/>
      <c r="AC6248" s="1">
        <v>1031.32</v>
      </c>
      <c r="AD6248">
        <v>247</v>
      </c>
      <c r="AE6248" s="1">
        <v>254736.04</v>
      </c>
      <c r="AF6248">
        <v>0</v>
      </c>
      <c r="AJ6248">
        <v>0</v>
      </c>
      <c r="AK6248">
        <v>0</v>
      </c>
      <c r="AL6248">
        <v>0</v>
      </c>
      <c r="AM6248">
        <v>0</v>
      </c>
      <c r="AN6248">
        <v>0</v>
      </c>
      <c r="AO6248">
        <v>0</v>
      </c>
      <c r="AP6248" s="2">
        <v>42746</v>
      </c>
      <c r="AQ6248" t="s">
        <v>72</v>
      </c>
      <c r="AR6248" t="s">
        <v>72</v>
      </c>
      <c r="AS6248">
        <v>382</v>
      </c>
      <c r="AT6248" s="4">
        <v>42415</v>
      </c>
      <c r="AU6248" t="s">
        <v>73</v>
      </c>
      <c r="AV6248">
        <v>382</v>
      </c>
      <c r="AW6248" s="4">
        <v>42415</v>
      </c>
      <c r="BD6248">
        <v>0</v>
      </c>
      <c r="BN6248" t="s">
        <v>74</v>
      </c>
    </row>
    <row r="6249" spans="1:66" hidden="1">
      <c r="A6249">
        <v>104048</v>
      </c>
      <c r="B6249" s="3" t="s">
        <v>602</v>
      </c>
      <c r="C6249" s="1">
        <v>43300101</v>
      </c>
      <c r="D6249" t="s">
        <v>67</v>
      </c>
      <c r="H6249" t="str">
        <f t="shared" si="642"/>
        <v>00674840152</v>
      </c>
      <c r="I6249" t="str">
        <f t="shared" si="642"/>
        <v>00674840152</v>
      </c>
      <c r="K6249" t="str">
        <f>""</f>
        <v/>
      </c>
      <c r="M6249" t="s">
        <v>68</v>
      </c>
      <c r="N6249" t="str">
        <f t="shared" si="640"/>
        <v>FOR</v>
      </c>
      <c r="O6249" t="s">
        <v>69</v>
      </c>
      <c r="P6249" s="3" t="s">
        <v>75</v>
      </c>
      <c r="Q6249">
        <v>2015</v>
      </c>
      <c r="R6249" s="2">
        <v>42094</v>
      </c>
      <c r="S6249" s="2">
        <v>42142</v>
      </c>
      <c r="T6249" s="2">
        <v>42137</v>
      </c>
      <c r="U6249" s="2">
        <v>42197</v>
      </c>
      <c r="V6249" t="s">
        <v>71</v>
      </c>
      <c r="W6249" t="str">
        <f>"          5301640452"</f>
        <v xml:space="preserve">          5301640452</v>
      </c>
      <c r="X6249">
        <v>472.63</v>
      </c>
      <c r="Y6249">
        <v>0</v>
      </c>
      <c r="Z6249"/>
      <c r="AB6249"/>
      <c r="AC6249">
        <v>387.4</v>
      </c>
      <c r="AD6249">
        <v>206</v>
      </c>
      <c r="AE6249" s="1">
        <v>79804.399999999994</v>
      </c>
      <c r="AF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 s="2">
        <v>42746</v>
      </c>
      <c r="AQ6249" t="s">
        <v>72</v>
      </c>
      <c r="AR6249" t="s">
        <v>72</v>
      </c>
      <c r="AS6249">
        <v>230</v>
      </c>
      <c r="AT6249" s="4">
        <v>42403</v>
      </c>
      <c r="AU6249" t="s">
        <v>73</v>
      </c>
      <c r="AV6249">
        <v>230</v>
      </c>
      <c r="AW6249" s="4">
        <v>42403</v>
      </c>
      <c r="BD6249">
        <v>0</v>
      </c>
      <c r="BN6249" t="s">
        <v>74</v>
      </c>
    </row>
    <row r="6250" spans="1:66" hidden="1">
      <c r="A6250">
        <v>104048</v>
      </c>
      <c r="B6250" s="3" t="s">
        <v>602</v>
      </c>
      <c r="C6250" s="1">
        <v>43300101</v>
      </c>
      <c r="D6250" t="s">
        <v>67</v>
      </c>
      <c r="H6250" t="str">
        <f t="shared" si="642"/>
        <v>00674840152</v>
      </c>
      <c r="I6250" t="str">
        <f t="shared" si="642"/>
        <v>00674840152</v>
      </c>
      <c r="K6250" t="str">
        <f>""</f>
        <v/>
      </c>
      <c r="M6250" t="s">
        <v>68</v>
      </c>
      <c r="N6250" t="str">
        <f t="shared" si="640"/>
        <v>FOR</v>
      </c>
      <c r="O6250" t="s">
        <v>69</v>
      </c>
      <c r="P6250" s="3" t="s">
        <v>75</v>
      </c>
      <c r="Q6250">
        <v>2015</v>
      </c>
      <c r="R6250" s="2">
        <v>42094</v>
      </c>
      <c r="S6250" s="2">
        <v>42124</v>
      </c>
      <c r="T6250" s="2">
        <v>42124</v>
      </c>
      <c r="U6250" s="2">
        <v>42184</v>
      </c>
      <c r="V6250" t="s">
        <v>71</v>
      </c>
      <c r="W6250" t="str">
        <f>"          5301640641"</f>
        <v xml:space="preserve">          5301640641</v>
      </c>
      <c r="X6250" s="1">
        <v>1131.18</v>
      </c>
      <c r="Y6250">
        <v>0</v>
      </c>
      <c r="Z6250"/>
      <c r="AB6250"/>
      <c r="AC6250">
        <v>927.2</v>
      </c>
      <c r="AD6250">
        <v>231</v>
      </c>
      <c r="AE6250" s="1">
        <v>214183.2</v>
      </c>
      <c r="AF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 s="2">
        <v>42746</v>
      </c>
      <c r="AQ6250" t="s">
        <v>72</v>
      </c>
      <c r="AR6250" t="s">
        <v>72</v>
      </c>
      <c r="AS6250">
        <v>382</v>
      </c>
      <c r="AT6250" s="4">
        <v>42415</v>
      </c>
      <c r="AU6250" t="s">
        <v>73</v>
      </c>
      <c r="AV6250">
        <v>382</v>
      </c>
      <c r="AW6250" s="4">
        <v>42415</v>
      </c>
      <c r="BD6250">
        <v>0</v>
      </c>
      <c r="BN6250" t="s">
        <v>74</v>
      </c>
    </row>
    <row r="6251" spans="1:66" hidden="1">
      <c r="A6251">
        <v>104048</v>
      </c>
      <c r="B6251" s="3" t="s">
        <v>602</v>
      </c>
      <c r="C6251" s="1">
        <v>43300101</v>
      </c>
      <c r="D6251" t="s">
        <v>67</v>
      </c>
      <c r="H6251" t="str">
        <f t="shared" si="642"/>
        <v>00674840152</v>
      </c>
      <c r="I6251" t="str">
        <f t="shared" si="642"/>
        <v>00674840152</v>
      </c>
      <c r="K6251" t="str">
        <f>""</f>
        <v/>
      </c>
      <c r="M6251" t="s">
        <v>68</v>
      </c>
      <c r="N6251" t="str">
        <f t="shared" si="640"/>
        <v>FOR</v>
      </c>
      <c r="O6251" t="s">
        <v>69</v>
      </c>
      <c r="P6251" s="3" t="s">
        <v>75</v>
      </c>
      <c r="Q6251">
        <v>2015</v>
      </c>
      <c r="R6251" s="2">
        <v>42094</v>
      </c>
      <c r="S6251" s="2">
        <v>42124</v>
      </c>
      <c r="T6251" s="2">
        <v>42124</v>
      </c>
      <c r="U6251" s="2">
        <v>42184</v>
      </c>
      <c r="V6251" t="s">
        <v>71</v>
      </c>
      <c r="W6251" t="str">
        <f>"          5301640642"</f>
        <v xml:space="preserve">          5301640642</v>
      </c>
      <c r="X6251" s="1">
        <v>1530.27</v>
      </c>
      <c r="Y6251">
        <v>0</v>
      </c>
      <c r="Z6251"/>
      <c r="AB6251"/>
      <c r="AC6251" s="1">
        <v>1254.32</v>
      </c>
      <c r="AD6251">
        <v>231</v>
      </c>
      <c r="AE6251" s="1">
        <v>289747.92</v>
      </c>
      <c r="AF6251">
        <v>0</v>
      </c>
      <c r="AJ6251">
        <v>0</v>
      </c>
      <c r="AK6251">
        <v>0</v>
      </c>
      <c r="AL6251">
        <v>0</v>
      </c>
      <c r="AM6251">
        <v>0</v>
      </c>
      <c r="AN6251">
        <v>0</v>
      </c>
      <c r="AO6251">
        <v>0</v>
      </c>
      <c r="AP6251" s="2">
        <v>42746</v>
      </c>
      <c r="AQ6251" t="s">
        <v>72</v>
      </c>
      <c r="AR6251" t="s">
        <v>72</v>
      </c>
      <c r="AS6251">
        <v>382</v>
      </c>
      <c r="AT6251" s="4">
        <v>42415</v>
      </c>
      <c r="AU6251" t="s">
        <v>73</v>
      </c>
      <c r="AV6251">
        <v>382</v>
      </c>
      <c r="AW6251" s="4">
        <v>42415</v>
      </c>
      <c r="BD6251">
        <v>0</v>
      </c>
      <c r="BN6251" t="s">
        <v>74</v>
      </c>
    </row>
    <row r="6252" spans="1:66" hidden="1">
      <c r="A6252">
        <v>104048</v>
      </c>
      <c r="B6252" s="3" t="s">
        <v>602</v>
      </c>
      <c r="C6252" s="1">
        <v>43300101</v>
      </c>
      <c r="D6252" t="s">
        <v>67</v>
      </c>
      <c r="H6252" t="str">
        <f t="shared" si="642"/>
        <v>00674840152</v>
      </c>
      <c r="I6252" t="str">
        <f t="shared" si="642"/>
        <v>00674840152</v>
      </c>
      <c r="K6252" t="str">
        <f>""</f>
        <v/>
      </c>
      <c r="M6252" t="s">
        <v>68</v>
      </c>
      <c r="N6252" t="str">
        <f t="shared" si="640"/>
        <v>FOR</v>
      </c>
      <c r="O6252" t="s">
        <v>69</v>
      </c>
      <c r="P6252" s="3" t="s">
        <v>75</v>
      </c>
      <c r="Q6252">
        <v>2015</v>
      </c>
      <c r="R6252" s="2">
        <v>42095</v>
      </c>
      <c r="S6252" s="2">
        <v>42135</v>
      </c>
      <c r="T6252" s="2">
        <v>42132</v>
      </c>
      <c r="U6252" s="2">
        <v>42192</v>
      </c>
      <c r="V6252" t="s">
        <v>71</v>
      </c>
      <c r="W6252" t="str">
        <f>"          5301641076"</f>
        <v xml:space="preserve">          5301641076</v>
      </c>
      <c r="X6252" s="1">
        <v>1464</v>
      </c>
      <c r="Y6252">
        <v>0</v>
      </c>
      <c r="Z6252"/>
      <c r="AB6252"/>
      <c r="AC6252" s="1">
        <v>1200</v>
      </c>
      <c r="AD6252">
        <v>261</v>
      </c>
      <c r="AE6252" s="1">
        <v>313200</v>
      </c>
      <c r="AF6252">
        <v>0</v>
      </c>
      <c r="AJ6252">
        <v>0</v>
      </c>
      <c r="AK6252">
        <v>0</v>
      </c>
      <c r="AL6252">
        <v>0</v>
      </c>
      <c r="AM6252">
        <v>0</v>
      </c>
      <c r="AN6252">
        <v>0</v>
      </c>
      <c r="AO6252">
        <v>0</v>
      </c>
      <c r="AP6252" s="2">
        <v>42746</v>
      </c>
      <c r="AQ6252" t="s">
        <v>72</v>
      </c>
      <c r="AR6252" t="s">
        <v>72</v>
      </c>
      <c r="AS6252">
        <v>873</v>
      </c>
      <c r="AT6252" s="4">
        <v>42453</v>
      </c>
      <c r="AU6252" t="s">
        <v>73</v>
      </c>
      <c r="AV6252">
        <v>873</v>
      </c>
      <c r="AW6252" s="4">
        <v>42453</v>
      </c>
      <c r="BD6252">
        <v>0</v>
      </c>
      <c r="BN6252" t="s">
        <v>74</v>
      </c>
    </row>
    <row r="6253" spans="1:66" hidden="1">
      <c r="A6253">
        <v>104048</v>
      </c>
      <c r="B6253" s="3" t="s">
        <v>602</v>
      </c>
      <c r="C6253" s="1">
        <v>43300101</v>
      </c>
      <c r="D6253" t="s">
        <v>67</v>
      </c>
      <c r="H6253" t="str">
        <f t="shared" si="642"/>
        <v>00674840152</v>
      </c>
      <c r="I6253" t="str">
        <f t="shared" si="642"/>
        <v>00674840152</v>
      </c>
      <c r="K6253" t="str">
        <f>""</f>
        <v/>
      </c>
      <c r="M6253" t="s">
        <v>68</v>
      </c>
      <c r="N6253" t="str">
        <f t="shared" si="640"/>
        <v>FOR</v>
      </c>
      <c r="O6253" t="s">
        <v>69</v>
      </c>
      <c r="P6253" s="3" t="s">
        <v>75</v>
      </c>
      <c r="Q6253">
        <v>2015</v>
      </c>
      <c r="R6253" s="2">
        <v>42096</v>
      </c>
      <c r="S6253" s="2">
        <v>42142</v>
      </c>
      <c r="T6253" s="2">
        <v>42137</v>
      </c>
      <c r="U6253" s="2">
        <v>42197</v>
      </c>
      <c r="V6253" t="s">
        <v>71</v>
      </c>
      <c r="W6253" t="str">
        <f>"          5301641342"</f>
        <v xml:space="preserve">          5301641342</v>
      </c>
      <c r="X6253" s="1">
        <v>5563.2</v>
      </c>
      <c r="Y6253">
        <v>0</v>
      </c>
      <c r="Z6253"/>
      <c r="AB6253"/>
      <c r="AC6253" s="1">
        <v>4560</v>
      </c>
      <c r="AD6253">
        <v>256</v>
      </c>
      <c r="AE6253" s="1">
        <v>1167360</v>
      </c>
      <c r="AF6253">
        <v>0</v>
      </c>
      <c r="AJ6253">
        <v>0</v>
      </c>
      <c r="AK6253">
        <v>0</v>
      </c>
      <c r="AL6253">
        <v>0</v>
      </c>
      <c r="AM6253">
        <v>0</v>
      </c>
      <c r="AN6253">
        <v>0</v>
      </c>
      <c r="AO6253">
        <v>0</v>
      </c>
      <c r="AP6253" s="2">
        <v>42746</v>
      </c>
      <c r="AQ6253" t="s">
        <v>72</v>
      </c>
      <c r="AR6253" t="s">
        <v>72</v>
      </c>
      <c r="AS6253">
        <v>873</v>
      </c>
      <c r="AT6253" s="4">
        <v>42453</v>
      </c>
      <c r="AU6253" t="s">
        <v>73</v>
      </c>
      <c r="AV6253">
        <v>873</v>
      </c>
      <c r="AW6253" s="4">
        <v>42453</v>
      </c>
      <c r="BD6253">
        <v>0</v>
      </c>
      <c r="BN6253" t="s">
        <v>74</v>
      </c>
    </row>
    <row r="6254" spans="1:66" hidden="1">
      <c r="A6254">
        <v>104048</v>
      </c>
      <c r="B6254" s="3" t="s">
        <v>602</v>
      </c>
      <c r="C6254" s="1">
        <v>43300101</v>
      </c>
      <c r="D6254" t="s">
        <v>67</v>
      </c>
      <c r="H6254" t="str">
        <f t="shared" ref="H6254:I6273" si="643">"00674840152"</f>
        <v>00674840152</v>
      </c>
      <c r="I6254" t="str">
        <f t="shared" si="643"/>
        <v>00674840152</v>
      </c>
      <c r="K6254" t="str">
        <f>""</f>
        <v/>
      </c>
      <c r="M6254" t="s">
        <v>68</v>
      </c>
      <c r="N6254" t="str">
        <f t="shared" si="640"/>
        <v>FOR</v>
      </c>
      <c r="O6254" t="s">
        <v>69</v>
      </c>
      <c r="P6254" s="3" t="s">
        <v>75</v>
      </c>
      <c r="Q6254">
        <v>2015</v>
      </c>
      <c r="R6254" s="2">
        <v>42096</v>
      </c>
      <c r="S6254" s="2">
        <v>42124</v>
      </c>
      <c r="T6254" s="2">
        <v>42124</v>
      </c>
      <c r="U6254" s="2">
        <v>42184</v>
      </c>
      <c r="V6254" t="s">
        <v>71</v>
      </c>
      <c r="W6254" t="str">
        <f>"          5301641343"</f>
        <v xml:space="preserve">          5301641343</v>
      </c>
      <c r="X6254" s="1">
        <v>5563.2</v>
      </c>
      <c r="Y6254">
        <v>0</v>
      </c>
      <c r="Z6254"/>
      <c r="AB6254"/>
      <c r="AC6254" s="1">
        <v>4560</v>
      </c>
      <c r="AD6254">
        <v>269</v>
      </c>
      <c r="AE6254" s="1">
        <v>1226640</v>
      </c>
      <c r="AF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 s="2">
        <v>42746</v>
      </c>
      <c r="AQ6254" t="s">
        <v>72</v>
      </c>
      <c r="AR6254" t="s">
        <v>72</v>
      </c>
      <c r="AS6254">
        <v>873</v>
      </c>
      <c r="AT6254" s="4">
        <v>42453</v>
      </c>
      <c r="AU6254" t="s">
        <v>73</v>
      </c>
      <c r="AV6254">
        <v>873</v>
      </c>
      <c r="AW6254" s="4">
        <v>42453</v>
      </c>
      <c r="BD6254">
        <v>0</v>
      </c>
      <c r="BN6254" t="s">
        <v>74</v>
      </c>
    </row>
    <row r="6255" spans="1:66" hidden="1">
      <c r="A6255">
        <v>104048</v>
      </c>
      <c r="B6255" s="3" t="s">
        <v>602</v>
      </c>
      <c r="C6255" s="1">
        <v>43300101</v>
      </c>
      <c r="D6255" t="s">
        <v>67</v>
      </c>
      <c r="H6255" t="str">
        <f t="shared" si="643"/>
        <v>00674840152</v>
      </c>
      <c r="I6255" t="str">
        <f t="shared" si="643"/>
        <v>00674840152</v>
      </c>
      <c r="K6255" t="str">
        <f>""</f>
        <v/>
      </c>
      <c r="M6255" t="s">
        <v>68</v>
      </c>
      <c r="N6255" t="str">
        <f t="shared" si="640"/>
        <v>FOR</v>
      </c>
      <c r="O6255" t="s">
        <v>69</v>
      </c>
      <c r="P6255" s="3" t="s">
        <v>75</v>
      </c>
      <c r="Q6255">
        <v>2015</v>
      </c>
      <c r="R6255" s="2">
        <v>42101</v>
      </c>
      <c r="S6255" s="2">
        <v>42142</v>
      </c>
      <c r="T6255" s="2">
        <v>42137</v>
      </c>
      <c r="U6255" s="2">
        <v>42197</v>
      </c>
      <c r="V6255" t="s">
        <v>71</v>
      </c>
      <c r="W6255" t="str">
        <f>"          5301641821"</f>
        <v xml:space="preserve">          5301641821</v>
      </c>
      <c r="X6255">
        <v>224.48</v>
      </c>
      <c r="Y6255">
        <v>0</v>
      </c>
      <c r="Z6255"/>
      <c r="AB6255"/>
      <c r="AC6255">
        <v>184</v>
      </c>
      <c r="AD6255">
        <v>256</v>
      </c>
      <c r="AE6255" s="1">
        <v>47104</v>
      </c>
      <c r="AF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 s="2">
        <v>42746</v>
      </c>
      <c r="AQ6255" t="s">
        <v>72</v>
      </c>
      <c r="AR6255" t="s">
        <v>72</v>
      </c>
      <c r="AS6255">
        <v>873</v>
      </c>
      <c r="AT6255" s="4">
        <v>42453</v>
      </c>
      <c r="AU6255" t="s">
        <v>73</v>
      </c>
      <c r="AV6255">
        <v>873</v>
      </c>
      <c r="AW6255" s="4">
        <v>42453</v>
      </c>
      <c r="BD6255">
        <v>0</v>
      </c>
      <c r="BN6255" t="s">
        <v>74</v>
      </c>
    </row>
    <row r="6256" spans="1:66" hidden="1">
      <c r="A6256">
        <v>104048</v>
      </c>
      <c r="B6256" s="3" t="s">
        <v>602</v>
      </c>
      <c r="C6256" s="1">
        <v>43300101</v>
      </c>
      <c r="D6256" t="s">
        <v>67</v>
      </c>
      <c r="H6256" t="str">
        <f t="shared" si="643"/>
        <v>00674840152</v>
      </c>
      <c r="I6256" t="str">
        <f t="shared" si="643"/>
        <v>00674840152</v>
      </c>
      <c r="K6256" t="str">
        <f>""</f>
        <v/>
      </c>
      <c r="M6256" t="s">
        <v>68</v>
      </c>
      <c r="N6256" t="str">
        <f t="shared" si="640"/>
        <v>FOR</v>
      </c>
      <c r="O6256" t="s">
        <v>69</v>
      </c>
      <c r="P6256" s="3" t="s">
        <v>75</v>
      </c>
      <c r="Q6256">
        <v>2015</v>
      </c>
      <c r="R6256" s="2">
        <v>42102</v>
      </c>
      <c r="S6256" s="2">
        <v>42115</v>
      </c>
      <c r="T6256" s="2">
        <v>42114</v>
      </c>
      <c r="U6256" s="2">
        <v>42174</v>
      </c>
      <c r="V6256" t="s">
        <v>71</v>
      </c>
      <c r="W6256" t="str">
        <f>"          5301642126"</f>
        <v xml:space="preserve">          5301642126</v>
      </c>
      <c r="X6256">
        <v>646.79999999999995</v>
      </c>
      <c r="Y6256">
        <v>0</v>
      </c>
      <c r="Z6256"/>
      <c r="AB6256"/>
      <c r="AC6256">
        <v>588</v>
      </c>
      <c r="AD6256">
        <v>279</v>
      </c>
      <c r="AE6256" s="1">
        <v>164052</v>
      </c>
      <c r="AF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0</v>
      </c>
      <c r="AP6256" s="2">
        <v>42746</v>
      </c>
      <c r="AQ6256" t="s">
        <v>72</v>
      </c>
      <c r="AR6256" t="s">
        <v>72</v>
      </c>
      <c r="AS6256">
        <v>873</v>
      </c>
      <c r="AT6256" s="4">
        <v>42453</v>
      </c>
      <c r="AU6256" t="s">
        <v>73</v>
      </c>
      <c r="AV6256">
        <v>873</v>
      </c>
      <c r="AW6256" s="4">
        <v>42453</v>
      </c>
      <c r="BD6256">
        <v>0</v>
      </c>
      <c r="BN6256" t="s">
        <v>74</v>
      </c>
    </row>
    <row r="6257" spans="1:66" hidden="1">
      <c r="A6257">
        <v>104048</v>
      </c>
      <c r="B6257" s="3" t="s">
        <v>602</v>
      </c>
      <c r="C6257" s="1">
        <v>43300101</v>
      </c>
      <c r="D6257" t="s">
        <v>67</v>
      </c>
      <c r="H6257" t="str">
        <f t="shared" si="643"/>
        <v>00674840152</v>
      </c>
      <c r="I6257" t="str">
        <f t="shared" si="643"/>
        <v>00674840152</v>
      </c>
      <c r="K6257" t="str">
        <f>""</f>
        <v/>
      </c>
      <c r="M6257" t="s">
        <v>68</v>
      </c>
      <c r="N6257" t="str">
        <f t="shared" si="640"/>
        <v>FOR</v>
      </c>
      <c r="O6257" t="s">
        <v>69</v>
      </c>
      <c r="P6257" s="3" t="s">
        <v>75</v>
      </c>
      <c r="Q6257">
        <v>2015</v>
      </c>
      <c r="R6257" s="2">
        <v>42108</v>
      </c>
      <c r="S6257" s="2">
        <v>42117</v>
      </c>
      <c r="T6257" s="2">
        <v>42115</v>
      </c>
      <c r="U6257" s="2">
        <v>42175</v>
      </c>
      <c r="V6257" t="s">
        <v>71</v>
      </c>
      <c r="W6257" t="str">
        <f>"          5301643424"</f>
        <v xml:space="preserve">          5301643424</v>
      </c>
      <c r="X6257">
        <v>732</v>
      </c>
      <c r="Y6257">
        <v>0</v>
      </c>
      <c r="Z6257"/>
      <c r="AB6257"/>
      <c r="AC6257">
        <v>600</v>
      </c>
      <c r="AD6257">
        <v>317</v>
      </c>
      <c r="AE6257" s="1">
        <v>190200</v>
      </c>
      <c r="AF6257">
        <v>0</v>
      </c>
      <c r="AJ6257">
        <v>0</v>
      </c>
      <c r="AK6257">
        <v>0</v>
      </c>
      <c r="AL6257">
        <v>0</v>
      </c>
      <c r="AM6257">
        <v>0</v>
      </c>
      <c r="AN6257">
        <v>0</v>
      </c>
      <c r="AO6257">
        <v>0</v>
      </c>
      <c r="AP6257" s="2">
        <v>42746</v>
      </c>
      <c r="AQ6257" t="s">
        <v>72</v>
      </c>
      <c r="AR6257" t="s">
        <v>72</v>
      </c>
      <c r="AS6257">
        <v>1226</v>
      </c>
      <c r="AT6257" s="4">
        <v>42492</v>
      </c>
      <c r="AU6257" t="s">
        <v>73</v>
      </c>
      <c r="AV6257">
        <v>1226</v>
      </c>
      <c r="AW6257" s="4">
        <v>42492</v>
      </c>
      <c r="BD6257">
        <v>0</v>
      </c>
      <c r="BN6257" t="s">
        <v>74</v>
      </c>
    </row>
    <row r="6258" spans="1:66" hidden="1">
      <c r="A6258">
        <v>104048</v>
      </c>
      <c r="B6258" s="3" t="s">
        <v>602</v>
      </c>
      <c r="C6258" s="1">
        <v>43300101</v>
      </c>
      <c r="D6258" t="s">
        <v>67</v>
      </c>
      <c r="H6258" t="str">
        <f t="shared" si="643"/>
        <v>00674840152</v>
      </c>
      <c r="I6258" t="str">
        <f t="shared" si="643"/>
        <v>00674840152</v>
      </c>
      <c r="K6258" t="str">
        <f>""</f>
        <v/>
      </c>
      <c r="M6258" t="s">
        <v>68</v>
      </c>
      <c r="N6258" t="str">
        <f t="shared" si="640"/>
        <v>FOR</v>
      </c>
      <c r="O6258" t="s">
        <v>69</v>
      </c>
      <c r="P6258" s="3" t="s">
        <v>75</v>
      </c>
      <c r="Q6258">
        <v>2015</v>
      </c>
      <c r="R6258" s="2">
        <v>42108</v>
      </c>
      <c r="S6258" s="2">
        <v>42117</v>
      </c>
      <c r="T6258" s="2">
        <v>42115</v>
      </c>
      <c r="U6258" s="2">
        <v>42175</v>
      </c>
      <c r="V6258" t="s">
        <v>71</v>
      </c>
      <c r="W6258" t="str">
        <f>"          5301643425"</f>
        <v xml:space="preserve">          5301643425</v>
      </c>
      <c r="X6258">
        <v>362.4</v>
      </c>
      <c r="Y6258">
        <v>0</v>
      </c>
      <c r="Z6258"/>
      <c r="AB6258"/>
      <c r="AC6258">
        <v>297.05</v>
      </c>
      <c r="AD6258">
        <v>241</v>
      </c>
      <c r="AE6258" s="1">
        <v>71589.05</v>
      </c>
      <c r="AF6258">
        <v>0</v>
      </c>
      <c r="AJ6258">
        <v>0</v>
      </c>
      <c r="AK6258">
        <v>0</v>
      </c>
      <c r="AL6258">
        <v>0</v>
      </c>
      <c r="AM6258">
        <v>0</v>
      </c>
      <c r="AN6258">
        <v>0</v>
      </c>
      <c r="AO6258">
        <v>0</v>
      </c>
      <c r="AP6258" s="2">
        <v>42746</v>
      </c>
      <c r="AQ6258" t="s">
        <v>72</v>
      </c>
      <c r="AR6258" t="s">
        <v>72</v>
      </c>
      <c r="AS6258">
        <v>422</v>
      </c>
      <c r="AT6258" s="4">
        <v>42416</v>
      </c>
      <c r="AU6258" t="s">
        <v>73</v>
      </c>
      <c r="AV6258">
        <v>422</v>
      </c>
      <c r="AW6258" s="4">
        <v>42416</v>
      </c>
      <c r="BD6258">
        <v>0</v>
      </c>
      <c r="BN6258" t="s">
        <v>74</v>
      </c>
    </row>
    <row r="6259" spans="1:66" hidden="1">
      <c r="A6259">
        <v>104048</v>
      </c>
      <c r="B6259" s="3" t="s">
        <v>602</v>
      </c>
      <c r="C6259" s="1">
        <v>43300101</v>
      </c>
      <c r="D6259" t="s">
        <v>67</v>
      </c>
      <c r="H6259" t="str">
        <f t="shared" si="643"/>
        <v>00674840152</v>
      </c>
      <c r="I6259" t="str">
        <f t="shared" si="643"/>
        <v>00674840152</v>
      </c>
      <c r="K6259" t="str">
        <f>""</f>
        <v/>
      </c>
      <c r="M6259" t="s">
        <v>68</v>
      </c>
      <c r="N6259" t="str">
        <f t="shared" si="640"/>
        <v>FOR</v>
      </c>
      <c r="O6259" t="s">
        <v>69</v>
      </c>
      <c r="P6259" s="3" t="s">
        <v>75</v>
      </c>
      <c r="Q6259">
        <v>2015</v>
      </c>
      <c r="R6259" s="2">
        <v>42108</v>
      </c>
      <c r="S6259" s="2">
        <v>42116</v>
      </c>
      <c r="T6259" s="2">
        <v>42115</v>
      </c>
      <c r="U6259" s="2">
        <v>42175</v>
      </c>
      <c r="V6259" t="s">
        <v>71</v>
      </c>
      <c r="W6259" t="str">
        <f>"          5301643426"</f>
        <v xml:space="preserve">          5301643426</v>
      </c>
      <c r="X6259" s="1">
        <v>1927.6</v>
      </c>
      <c r="Y6259">
        <v>0</v>
      </c>
      <c r="Z6259"/>
      <c r="AB6259"/>
      <c r="AC6259" s="1">
        <v>1580</v>
      </c>
      <c r="AD6259">
        <v>278</v>
      </c>
      <c r="AE6259" s="1">
        <v>439240</v>
      </c>
      <c r="AF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0</v>
      </c>
      <c r="AP6259" s="2">
        <v>42746</v>
      </c>
      <c r="AQ6259" t="s">
        <v>72</v>
      </c>
      <c r="AR6259" t="s">
        <v>72</v>
      </c>
      <c r="AS6259">
        <v>873</v>
      </c>
      <c r="AT6259" s="4">
        <v>42453</v>
      </c>
      <c r="AU6259" t="s">
        <v>73</v>
      </c>
      <c r="AV6259">
        <v>873</v>
      </c>
      <c r="AW6259" s="4">
        <v>42453</v>
      </c>
      <c r="BD6259">
        <v>0</v>
      </c>
      <c r="BN6259" t="s">
        <v>74</v>
      </c>
    </row>
    <row r="6260" spans="1:66" hidden="1">
      <c r="A6260">
        <v>104048</v>
      </c>
      <c r="B6260" s="3" t="s">
        <v>602</v>
      </c>
      <c r="C6260" s="1">
        <v>43300101</v>
      </c>
      <c r="D6260" t="s">
        <v>67</v>
      </c>
      <c r="H6260" t="str">
        <f t="shared" si="643"/>
        <v>00674840152</v>
      </c>
      <c r="I6260" t="str">
        <f t="shared" si="643"/>
        <v>00674840152</v>
      </c>
      <c r="K6260" t="str">
        <f>""</f>
        <v/>
      </c>
      <c r="M6260" t="s">
        <v>68</v>
      </c>
      <c r="N6260" t="str">
        <f t="shared" si="640"/>
        <v>FOR</v>
      </c>
      <c r="O6260" t="s">
        <v>69</v>
      </c>
      <c r="P6260" s="3" t="s">
        <v>75</v>
      </c>
      <c r="Q6260">
        <v>2015</v>
      </c>
      <c r="R6260" s="2">
        <v>42109</v>
      </c>
      <c r="S6260" s="2">
        <v>42117</v>
      </c>
      <c r="T6260" s="2">
        <v>42115</v>
      </c>
      <c r="U6260" s="2">
        <v>42175</v>
      </c>
      <c r="V6260" t="s">
        <v>71</v>
      </c>
      <c r="W6260" t="str">
        <f>"          5301643912"</f>
        <v xml:space="preserve">          5301643912</v>
      </c>
      <c r="X6260" s="1">
        <v>4026</v>
      </c>
      <c r="Y6260">
        <v>0</v>
      </c>
      <c r="Z6260"/>
      <c r="AB6260"/>
      <c r="AC6260" s="1">
        <v>3300</v>
      </c>
      <c r="AD6260">
        <v>241</v>
      </c>
      <c r="AE6260" s="1">
        <v>795300</v>
      </c>
      <c r="AF6260">
        <v>0</v>
      </c>
      <c r="AJ6260">
        <v>0</v>
      </c>
      <c r="AK6260">
        <v>0</v>
      </c>
      <c r="AL6260">
        <v>0</v>
      </c>
      <c r="AM6260">
        <v>0</v>
      </c>
      <c r="AN6260">
        <v>0</v>
      </c>
      <c r="AO6260">
        <v>0</v>
      </c>
      <c r="AP6260" s="2">
        <v>42746</v>
      </c>
      <c r="AQ6260" t="s">
        <v>72</v>
      </c>
      <c r="AR6260" t="s">
        <v>72</v>
      </c>
      <c r="AS6260">
        <v>422</v>
      </c>
      <c r="AT6260" s="4">
        <v>42416</v>
      </c>
      <c r="AU6260" t="s">
        <v>73</v>
      </c>
      <c r="AV6260">
        <v>422</v>
      </c>
      <c r="AW6260" s="4">
        <v>42416</v>
      </c>
      <c r="BD6260">
        <v>0</v>
      </c>
      <c r="BN6260" t="s">
        <v>74</v>
      </c>
    </row>
    <row r="6261" spans="1:66" hidden="1">
      <c r="A6261">
        <v>104048</v>
      </c>
      <c r="B6261" s="3" t="s">
        <v>602</v>
      </c>
      <c r="C6261" s="1">
        <v>43300101</v>
      </c>
      <c r="D6261" t="s">
        <v>67</v>
      </c>
      <c r="H6261" t="str">
        <f t="shared" si="643"/>
        <v>00674840152</v>
      </c>
      <c r="I6261" t="str">
        <f t="shared" si="643"/>
        <v>00674840152</v>
      </c>
      <c r="K6261" t="str">
        <f>""</f>
        <v/>
      </c>
      <c r="M6261" t="s">
        <v>68</v>
      </c>
      <c r="N6261" t="str">
        <f t="shared" si="640"/>
        <v>FOR</v>
      </c>
      <c r="O6261" t="s">
        <v>69</v>
      </c>
      <c r="P6261" s="3" t="s">
        <v>75</v>
      </c>
      <c r="Q6261">
        <v>2015</v>
      </c>
      <c r="R6261" s="2">
        <v>42114</v>
      </c>
      <c r="S6261" s="2">
        <v>42117</v>
      </c>
      <c r="T6261" s="2">
        <v>42115</v>
      </c>
      <c r="U6261" s="2">
        <v>42175</v>
      </c>
      <c r="V6261" t="s">
        <v>71</v>
      </c>
      <c r="W6261" t="str">
        <f>"          5301644970"</f>
        <v xml:space="preserve">          5301644970</v>
      </c>
      <c r="X6261">
        <v>159.36000000000001</v>
      </c>
      <c r="Y6261">
        <v>0</v>
      </c>
      <c r="Z6261"/>
      <c r="AB6261"/>
      <c r="AC6261">
        <v>130.62</v>
      </c>
      <c r="AD6261">
        <v>241</v>
      </c>
      <c r="AE6261" s="1">
        <v>31479.42</v>
      </c>
      <c r="AF6261">
        <v>0</v>
      </c>
      <c r="AJ6261">
        <v>0</v>
      </c>
      <c r="AK6261">
        <v>0</v>
      </c>
      <c r="AL6261">
        <v>0</v>
      </c>
      <c r="AM6261">
        <v>0</v>
      </c>
      <c r="AN6261">
        <v>0</v>
      </c>
      <c r="AO6261">
        <v>0</v>
      </c>
      <c r="AP6261" s="2">
        <v>42746</v>
      </c>
      <c r="AQ6261" t="s">
        <v>72</v>
      </c>
      <c r="AR6261" t="s">
        <v>72</v>
      </c>
      <c r="AS6261">
        <v>422</v>
      </c>
      <c r="AT6261" s="4">
        <v>42416</v>
      </c>
      <c r="AU6261" t="s">
        <v>73</v>
      </c>
      <c r="AV6261">
        <v>422</v>
      </c>
      <c r="AW6261" s="4">
        <v>42416</v>
      </c>
      <c r="BD6261">
        <v>0</v>
      </c>
      <c r="BN6261" t="s">
        <v>74</v>
      </c>
    </row>
    <row r="6262" spans="1:66" hidden="1">
      <c r="A6262">
        <v>104048</v>
      </c>
      <c r="B6262" s="3" t="s">
        <v>602</v>
      </c>
      <c r="C6262" s="1">
        <v>43300101</v>
      </c>
      <c r="D6262" t="s">
        <v>67</v>
      </c>
      <c r="H6262" t="str">
        <f t="shared" si="643"/>
        <v>00674840152</v>
      </c>
      <c r="I6262" t="str">
        <f t="shared" si="643"/>
        <v>00674840152</v>
      </c>
      <c r="K6262" t="str">
        <f>""</f>
        <v/>
      </c>
      <c r="M6262" t="s">
        <v>68</v>
      </c>
      <c r="N6262" t="str">
        <f t="shared" si="640"/>
        <v>FOR</v>
      </c>
      <c r="O6262" t="s">
        <v>69</v>
      </c>
      <c r="P6262" s="3" t="s">
        <v>75</v>
      </c>
      <c r="Q6262">
        <v>2015</v>
      </c>
      <c r="R6262" s="2">
        <v>42114</v>
      </c>
      <c r="S6262" s="2">
        <v>42116</v>
      </c>
      <c r="T6262" s="2">
        <v>42115</v>
      </c>
      <c r="U6262" s="2">
        <v>42175</v>
      </c>
      <c r="V6262" t="s">
        <v>71</v>
      </c>
      <c r="W6262" t="str">
        <f>"          5301644971"</f>
        <v xml:space="preserve">          5301644971</v>
      </c>
      <c r="X6262">
        <v>582.86</v>
      </c>
      <c r="Y6262">
        <v>0</v>
      </c>
      <c r="Z6262"/>
      <c r="AB6262"/>
      <c r="AC6262">
        <v>477.75</v>
      </c>
      <c r="AD6262">
        <v>278</v>
      </c>
      <c r="AE6262" s="1">
        <v>132814.5</v>
      </c>
      <c r="AF6262">
        <v>0</v>
      </c>
      <c r="AJ6262">
        <v>0</v>
      </c>
      <c r="AK6262">
        <v>0</v>
      </c>
      <c r="AL6262">
        <v>0</v>
      </c>
      <c r="AM6262">
        <v>0</v>
      </c>
      <c r="AN6262">
        <v>0</v>
      </c>
      <c r="AO6262">
        <v>0</v>
      </c>
      <c r="AP6262" s="2">
        <v>42746</v>
      </c>
      <c r="AQ6262" t="s">
        <v>72</v>
      </c>
      <c r="AR6262" t="s">
        <v>72</v>
      </c>
      <c r="AS6262">
        <v>873</v>
      </c>
      <c r="AT6262" s="4">
        <v>42453</v>
      </c>
      <c r="AU6262" t="s">
        <v>73</v>
      </c>
      <c r="AV6262">
        <v>873</v>
      </c>
      <c r="AW6262" s="4">
        <v>42453</v>
      </c>
      <c r="BD6262">
        <v>0</v>
      </c>
      <c r="BN6262" t="s">
        <v>74</v>
      </c>
    </row>
    <row r="6263" spans="1:66" hidden="1">
      <c r="A6263">
        <v>104048</v>
      </c>
      <c r="B6263" s="3" t="s">
        <v>602</v>
      </c>
      <c r="C6263" s="1">
        <v>43300101</v>
      </c>
      <c r="D6263" t="s">
        <v>67</v>
      </c>
      <c r="H6263" t="str">
        <f t="shared" si="643"/>
        <v>00674840152</v>
      </c>
      <c r="I6263" t="str">
        <f t="shared" si="643"/>
        <v>00674840152</v>
      </c>
      <c r="K6263" t="str">
        <f>""</f>
        <v/>
      </c>
      <c r="M6263" t="s">
        <v>68</v>
      </c>
      <c r="N6263" t="str">
        <f t="shared" si="640"/>
        <v>FOR</v>
      </c>
      <c r="O6263" t="s">
        <v>69</v>
      </c>
      <c r="P6263" s="3" t="s">
        <v>75</v>
      </c>
      <c r="Q6263">
        <v>2015</v>
      </c>
      <c r="R6263" s="2">
        <v>42115</v>
      </c>
      <c r="S6263" s="2">
        <v>42135</v>
      </c>
      <c r="T6263" s="2">
        <v>42132</v>
      </c>
      <c r="U6263" s="2">
        <v>42192</v>
      </c>
      <c r="V6263" t="s">
        <v>71</v>
      </c>
      <c r="W6263" t="str">
        <f>"          5301645297"</f>
        <v xml:space="preserve">          5301645297</v>
      </c>
      <c r="X6263">
        <v>166.71</v>
      </c>
      <c r="Y6263">
        <v>0</v>
      </c>
      <c r="Z6263"/>
      <c r="AB6263"/>
      <c r="AC6263">
        <v>136.65</v>
      </c>
      <c r="AD6263">
        <v>261</v>
      </c>
      <c r="AE6263" s="1">
        <v>35665.65</v>
      </c>
      <c r="AF6263">
        <v>0</v>
      </c>
      <c r="AJ6263">
        <v>0</v>
      </c>
      <c r="AK6263">
        <v>0</v>
      </c>
      <c r="AL6263">
        <v>0</v>
      </c>
      <c r="AM6263">
        <v>0</v>
      </c>
      <c r="AN6263">
        <v>0</v>
      </c>
      <c r="AO6263">
        <v>0</v>
      </c>
      <c r="AP6263" s="2">
        <v>42746</v>
      </c>
      <c r="AQ6263" t="s">
        <v>72</v>
      </c>
      <c r="AR6263" t="s">
        <v>72</v>
      </c>
      <c r="AS6263">
        <v>873</v>
      </c>
      <c r="AT6263" s="4">
        <v>42453</v>
      </c>
      <c r="AU6263" t="s">
        <v>73</v>
      </c>
      <c r="AV6263">
        <v>873</v>
      </c>
      <c r="AW6263" s="4">
        <v>42453</v>
      </c>
      <c r="BD6263">
        <v>0</v>
      </c>
      <c r="BN6263" t="s">
        <v>74</v>
      </c>
    </row>
    <row r="6264" spans="1:66" hidden="1">
      <c r="A6264">
        <v>104048</v>
      </c>
      <c r="B6264" s="3" t="s">
        <v>602</v>
      </c>
      <c r="C6264" s="1">
        <v>43300101</v>
      </c>
      <c r="D6264" t="s">
        <v>67</v>
      </c>
      <c r="H6264" t="str">
        <f t="shared" si="643"/>
        <v>00674840152</v>
      </c>
      <c r="I6264" t="str">
        <f t="shared" si="643"/>
        <v>00674840152</v>
      </c>
      <c r="K6264" t="str">
        <f>""</f>
        <v/>
      </c>
      <c r="M6264" t="s">
        <v>68</v>
      </c>
      <c r="N6264" t="str">
        <f t="shared" si="640"/>
        <v>FOR</v>
      </c>
      <c r="O6264" t="s">
        <v>69</v>
      </c>
      <c r="P6264" s="3" t="s">
        <v>75</v>
      </c>
      <c r="Q6264">
        <v>2015</v>
      </c>
      <c r="R6264" s="2">
        <v>42116</v>
      </c>
      <c r="S6264" s="2">
        <v>42142</v>
      </c>
      <c r="T6264" s="2">
        <v>42137</v>
      </c>
      <c r="U6264" s="2">
        <v>42197</v>
      </c>
      <c r="V6264" t="s">
        <v>71</v>
      </c>
      <c r="W6264" t="str">
        <f>"          5301645480"</f>
        <v xml:space="preserve">          5301645480</v>
      </c>
      <c r="X6264" s="1">
        <v>1346.59</v>
      </c>
      <c r="Y6264">
        <v>0</v>
      </c>
      <c r="Z6264"/>
      <c r="AB6264"/>
      <c r="AC6264" s="1">
        <v>1103.76</v>
      </c>
      <c r="AD6264">
        <v>256</v>
      </c>
      <c r="AE6264" s="1">
        <v>282562.56</v>
      </c>
      <c r="AF6264">
        <v>0</v>
      </c>
      <c r="AJ6264">
        <v>0</v>
      </c>
      <c r="AK6264">
        <v>0</v>
      </c>
      <c r="AL6264">
        <v>0</v>
      </c>
      <c r="AM6264">
        <v>0</v>
      </c>
      <c r="AN6264">
        <v>0</v>
      </c>
      <c r="AO6264">
        <v>0</v>
      </c>
      <c r="AP6264" s="2">
        <v>42746</v>
      </c>
      <c r="AQ6264" t="s">
        <v>72</v>
      </c>
      <c r="AR6264" t="s">
        <v>72</v>
      </c>
      <c r="AS6264">
        <v>873</v>
      </c>
      <c r="AT6264" s="4">
        <v>42453</v>
      </c>
      <c r="AU6264" t="s">
        <v>73</v>
      </c>
      <c r="AV6264">
        <v>873</v>
      </c>
      <c r="AW6264" s="4">
        <v>42453</v>
      </c>
      <c r="BD6264">
        <v>0</v>
      </c>
      <c r="BN6264" t="s">
        <v>74</v>
      </c>
    </row>
    <row r="6265" spans="1:66" hidden="1">
      <c r="A6265">
        <v>104048</v>
      </c>
      <c r="B6265" s="3" t="s">
        <v>602</v>
      </c>
      <c r="C6265" s="1">
        <v>43300101</v>
      </c>
      <c r="D6265" t="s">
        <v>67</v>
      </c>
      <c r="H6265" t="str">
        <f t="shared" si="643"/>
        <v>00674840152</v>
      </c>
      <c r="I6265" t="str">
        <f t="shared" si="643"/>
        <v>00674840152</v>
      </c>
      <c r="K6265" t="str">
        <f>""</f>
        <v/>
      </c>
      <c r="M6265" t="s">
        <v>68</v>
      </c>
      <c r="N6265" t="str">
        <f t="shared" si="640"/>
        <v>FOR</v>
      </c>
      <c r="O6265" t="s">
        <v>69</v>
      </c>
      <c r="P6265" s="3" t="s">
        <v>75</v>
      </c>
      <c r="Q6265">
        <v>2015</v>
      </c>
      <c r="R6265" s="2">
        <v>42122</v>
      </c>
      <c r="S6265" s="2">
        <v>42124</v>
      </c>
      <c r="T6265" s="2">
        <v>42123</v>
      </c>
      <c r="U6265" s="2">
        <v>42183</v>
      </c>
      <c r="V6265" t="s">
        <v>71</v>
      </c>
      <c r="W6265" t="str">
        <f>"          5301646907"</f>
        <v xml:space="preserve">          5301646907</v>
      </c>
      <c r="X6265">
        <v>758.79</v>
      </c>
      <c r="Y6265">
        <v>0</v>
      </c>
      <c r="Z6265"/>
      <c r="AB6265"/>
      <c r="AC6265">
        <v>621.96</v>
      </c>
      <c r="AD6265">
        <v>270</v>
      </c>
      <c r="AE6265" s="1">
        <v>167929.2</v>
      </c>
      <c r="AF6265">
        <v>0</v>
      </c>
      <c r="AJ6265">
        <v>0</v>
      </c>
      <c r="AK6265">
        <v>0</v>
      </c>
      <c r="AL6265">
        <v>0</v>
      </c>
      <c r="AM6265">
        <v>0</v>
      </c>
      <c r="AN6265">
        <v>0</v>
      </c>
      <c r="AO6265">
        <v>0</v>
      </c>
      <c r="AP6265" s="2">
        <v>42746</v>
      </c>
      <c r="AQ6265" t="s">
        <v>72</v>
      </c>
      <c r="AR6265" t="s">
        <v>72</v>
      </c>
      <c r="AS6265">
        <v>873</v>
      </c>
      <c r="AT6265" s="4">
        <v>42453</v>
      </c>
      <c r="AU6265" t="s">
        <v>73</v>
      </c>
      <c r="AV6265">
        <v>873</v>
      </c>
      <c r="AW6265" s="4">
        <v>42453</v>
      </c>
      <c r="BD6265">
        <v>0</v>
      </c>
      <c r="BN6265" t="s">
        <v>74</v>
      </c>
    </row>
    <row r="6266" spans="1:66" hidden="1">
      <c r="A6266">
        <v>104048</v>
      </c>
      <c r="B6266" s="3" t="s">
        <v>602</v>
      </c>
      <c r="C6266" s="1">
        <v>43300101</v>
      </c>
      <c r="D6266" t="s">
        <v>67</v>
      </c>
      <c r="H6266" t="str">
        <f t="shared" si="643"/>
        <v>00674840152</v>
      </c>
      <c r="I6266" t="str">
        <f t="shared" si="643"/>
        <v>00674840152</v>
      </c>
      <c r="K6266" t="str">
        <f>""</f>
        <v/>
      </c>
      <c r="M6266" t="s">
        <v>68</v>
      </c>
      <c r="N6266" t="str">
        <f t="shared" si="640"/>
        <v>FOR</v>
      </c>
      <c r="O6266" t="s">
        <v>69</v>
      </c>
      <c r="P6266" s="3" t="s">
        <v>75</v>
      </c>
      <c r="Q6266">
        <v>2015</v>
      </c>
      <c r="R6266" s="2">
        <v>42130</v>
      </c>
      <c r="S6266" s="2">
        <v>42131</v>
      </c>
      <c r="T6266" s="2">
        <v>42131</v>
      </c>
      <c r="U6266" s="2">
        <v>42191</v>
      </c>
      <c r="V6266" t="s">
        <v>71</v>
      </c>
      <c r="W6266" t="str">
        <f>"          5301648625"</f>
        <v xml:space="preserve">          5301648625</v>
      </c>
      <c r="X6266">
        <v>388.08</v>
      </c>
      <c r="Y6266">
        <v>0</v>
      </c>
      <c r="Z6266"/>
      <c r="AB6266"/>
      <c r="AC6266">
        <v>352.8</v>
      </c>
      <c r="AD6266">
        <v>262</v>
      </c>
      <c r="AE6266" s="1">
        <v>92433.600000000006</v>
      </c>
      <c r="AF6266">
        <v>0</v>
      </c>
      <c r="AJ6266">
        <v>0</v>
      </c>
      <c r="AK6266">
        <v>0</v>
      </c>
      <c r="AL6266">
        <v>0</v>
      </c>
      <c r="AM6266">
        <v>0</v>
      </c>
      <c r="AN6266">
        <v>0</v>
      </c>
      <c r="AO6266">
        <v>0</v>
      </c>
      <c r="AP6266" s="2">
        <v>42746</v>
      </c>
      <c r="AQ6266" t="s">
        <v>72</v>
      </c>
      <c r="AR6266" t="s">
        <v>72</v>
      </c>
      <c r="AS6266">
        <v>873</v>
      </c>
      <c r="AT6266" s="4">
        <v>42453</v>
      </c>
      <c r="AU6266" t="s">
        <v>73</v>
      </c>
      <c r="AV6266">
        <v>873</v>
      </c>
      <c r="AW6266" s="4">
        <v>42453</v>
      </c>
      <c r="BD6266">
        <v>0</v>
      </c>
      <c r="BN6266" t="s">
        <v>74</v>
      </c>
    </row>
    <row r="6267" spans="1:66" hidden="1">
      <c r="A6267">
        <v>104048</v>
      </c>
      <c r="B6267" s="3" t="s">
        <v>602</v>
      </c>
      <c r="C6267" s="1">
        <v>43300101</v>
      </c>
      <c r="D6267" t="s">
        <v>67</v>
      </c>
      <c r="H6267" t="str">
        <f t="shared" si="643"/>
        <v>00674840152</v>
      </c>
      <c r="I6267" t="str">
        <f t="shared" si="643"/>
        <v>00674840152</v>
      </c>
      <c r="K6267" t="str">
        <f>""</f>
        <v/>
      </c>
      <c r="M6267" t="s">
        <v>68</v>
      </c>
      <c r="N6267" t="str">
        <f t="shared" si="640"/>
        <v>FOR</v>
      </c>
      <c r="O6267" t="s">
        <v>69</v>
      </c>
      <c r="P6267" s="3" t="s">
        <v>75</v>
      </c>
      <c r="Q6267">
        <v>2015</v>
      </c>
      <c r="R6267" s="2">
        <v>42136</v>
      </c>
      <c r="S6267" s="2">
        <v>42158</v>
      </c>
      <c r="T6267" s="2">
        <v>42138</v>
      </c>
      <c r="U6267" s="2">
        <v>42198</v>
      </c>
      <c r="V6267" t="s">
        <v>71</v>
      </c>
      <c r="W6267" t="str">
        <f>"          5301649862"</f>
        <v xml:space="preserve">          5301649862</v>
      </c>
      <c r="X6267" s="1">
        <v>2516.4299999999998</v>
      </c>
      <c r="Y6267">
        <v>0</v>
      </c>
      <c r="Z6267"/>
      <c r="AB6267"/>
      <c r="AC6267" s="1">
        <v>2062.65</v>
      </c>
      <c r="AD6267">
        <v>255</v>
      </c>
      <c r="AE6267" s="1">
        <v>525975.75</v>
      </c>
      <c r="AF6267">
        <v>0</v>
      </c>
      <c r="AJ6267">
        <v>0</v>
      </c>
      <c r="AK6267">
        <v>0</v>
      </c>
      <c r="AL6267">
        <v>0</v>
      </c>
      <c r="AM6267">
        <v>0</v>
      </c>
      <c r="AN6267">
        <v>0</v>
      </c>
      <c r="AO6267">
        <v>0</v>
      </c>
      <c r="AP6267" s="2">
        <v>42746</v>
      </c>
      <c r="AQ6267" t="s">
        <v>72</v>
      </c>
      <c r="AR6267" t="s">
        <v>72</v>
      </c>
      <c r="AS6267">
        <v>873</v>
      </c>
      <c r="AT6267" s="4">
        <v>42453</v>
      </c>
      <c r="AU6267" t="s">
        <v>73</v>
      </c>
      <c r="AV6267">
        <v>873</v>
      </c>
      <c r="AW6267" s="4">
        <v>42453</v>
      </c>
      <c r="BD6267">
        <v>0</v>
      </c>
      <c r="BN6267" t="s">
        <v>74</v>
      </c>
    </row>
    <row r="6268" spans="1:66" hidden="1">
      <c r="A6268">
        <v>104048</v>
      </c>
      <c r="B6268" s="3" t="s">
        <v>602</v>
      </c>
      <c r="C6268" s="1">
        <v>43300101</v>
      </c>
      <c r="D6268" t="s">
        <v>67</v>
      </c>
      <c r="H6268" t="str">
        <f t="shared" si="643"/>
        <v>00674840152</v>
      </c>
      <c r="I6268" t="str">
        <f t="shared" si="643"/>
        <v>00674840152</v>
      </c>
      <c r="K6268" t="str">
        <f>""</f>
        <v/>
      </c>
      <c r="M6268" t="s">
        <v>68</v>
      </c>
      <c r="N6268" t="str">
        <f t="shared" si="640"/>
        <v>FOR</v>
      </c>
      <c r="O6268" t="s">
        <v>69</v>
      </c>
      <c r="P6268" s="3" t="s">
        <v>75</v>
      </c>
      <c r="Q6268">
        <v>2015</v>
      </c>
      <c r="R6268" s="2">
        <v>42139</v>
      </c>
      <c r="S6268" s="2">
        <v>42158</v>
      </c>
      <c r="T6268" s="2">
        <v>42140</v>
      </c>
      <c r="U6268" s="2">
        <v>42200</v>
      </c>
      <c r="V6268" t="s">
        <v>71</v>
      </c>
      <c r="W6268" t="str">
        <f>"          5301650641"</f>
        <v xml:space="preserve">          5301650641</v>
      </c>
      <c r="X6268">
        <v>142.88999999999999</v>
      </c>
      <c r="Y6268">
        <v>0</v>
      </c>
      <c r="Z6268"/>
      <c r="AB6268"/>
      <c r="AC6268">
        <v>117.12</v>
      </c>
      <c r="AD6268">
        <v>253</v>
      </c>
      <c r="AE6268" s="1">
        <v>29631.360000000001</v>
      </c>
      <c r="AF6268">
        <v>0</v>
      </c>
      <c r="AJ6268">
        <v>0</v>
      </c>
      <c r="AK6268">
        <v>0</v>
      </c>
      <c r="AL6268">
        <v>0</v>
      </c>
      <c r="AM6268">
        <v>0</v>
      </c>
      <c r="AN6268">
        <v>0</v>
      </c>
      <c r="AO6268">
        <v>0</v>
      </c>
      <c r="AP6268" s="2">
        <v>42746</v>
      </c>
      <c r="AQ6268" t="s">
        <v>72</v>
      </c>
      <c r="AR6268" t="s">
        <v>72</v>
      </c>
      <c r="AS6268">
        <v>873</v>
      </c>
      <c r="AT6268" s="4">
        <v>42453</v>
      </c>
      <c r="AU6268" t="s">
        <v>73</v>
      </c>
      <c r="AV6268">
        <v>873</v>
      </c>
      <c r="AW6268" s="4">
        <v>42453</v>
      </c>
      <c r="BD6268">
        <v>0</v>
      </c>
      <c r="BN6268" t="s">
        <v>74</v>
      </c>
    </row>
    <row r="6269" spans="1:66" hidden="1">
      <c r="A6269">
        <v>104048</v>
      </c>
      <c r="B6269" s="3" t="s">
        <v>602</v>
      </c>
      <c r="C6269" s="1">
        <v>43300101</v>
      </c>
      <c r="D6269" t="s">
        <v>67</v>
      </c>
      <c r="H6269" t="str">
        <f t="shared" si="643"/>
        <v>00674840152</v>
      </c>
      <c r="I6269" t="str">
        <f t="shared" si="643"/>
        <v>00674840152</v>
      </c>
      <c r="K6269" t="str">
        <f>""</f>
        <v/>
      </c>
      <c r="M6269" t="s">
        <v>68</v>
      </c>
      <c r="N6269" t="str">
        <f t="shared" si="640"/>
        <v>FOR</v>
      </c>
      <c r="O6269" t="s">
        <v>69</v>
      </c>
      <c r="P6269" s="3" t="s">
        <v>75</v>
      </c>
      <c r="Q6269">
        <v>2015</v>
      </c>
      <c r="R6269" s="2">
        <v>42139</v>
      </c>
      <c r="S6269" s="2">
        <v>42158</v>
      </c>
      <c r="T6269" s="2">
        <v>42140</v>
      </c>
      <c r="U6269" s="2">
        <v>42200</v>
      </c>
      <c r="V6269" t="s">
        <v>71</v>
      </c>
      <c r="W6269" t="str">
        <f>"          5301650642"</f>
        <v xml:space="preserve">          5301650642</v>
      </c>
      <c r="X6269">
        <v>401.2</v>
      </c>
      <c r="Y6269">
        <v>0</v>
      </c>
      <c r="Z6269"/>
      <c r="AB6269"/>
      <c r="AC6269">
        <v>328.85</v>
      </c>
      <c r="AD6269">
        <v>253</v>
      </c>
      <c r="AE6269" s="1">
        <v>83199.05</v>
      </c>
      <c r="AF6269">
        <v>0</v>
      </c>
      <c r="AJ6269">
        <v>0</v>
      </c>
      <c r="AK6269">
        <v>0</v>
      </c>
      <c r="AL6269">
        <v>0</v>
      </c>
      <c r="AM6269">
        <v>0</v>
      </c>
      <c r="AN6269">
        <v>0</v>
      </c>
      <c r="AO6269">
        <v>0</v>
      </c>
      <c r="AP6269" s="2">
        <v>42746</v>
      </c>
      <c r="AQ6269" t="s">
        <v>72</v>
      </c>
      <c r="AR6269" t="s">
        <v>72</v>
      </c>
      <c r="AS6269">
        <v>873</v>
      </c>
      <c r="AT6269" s="4">
        <v>42453</v>
      </c>
      <c r="AU6269" t="s">
        <v>73</v>
      </c>
      <c r="AV6269">
        <v>873</v>
      </c>
      <c r="AW6269" s="4">
        <v>42453</v>
      </c>
      <c r="BD6269">
        <v>0</v>
      </c>
      <c r="BN6269" t="s">
        <v>74</v>
      </c>
    </row>
    <row r="6270" spans="1:66" hidden="1">
      <c r="A6270">
        <v>104048</v>
      </c>
      <c r="B6270" s="3" t="s">
        <v>602</v>
      </c>
      <c r="C6270" s="1">
        <v>43300101</v>
      </c>
      <c r="D6270" t="s">
        <v>67</v>
      </c>
      <c r="H6270" t="str">
        <f t="shared" si="643"/>
        <v>00674840152</v>
      </c>
      <c r="I6270" t="str">
        <f t="shared" si="643"/>
        <v>00674840152</v>
      </c>
      <c r="K6270" t="str">
        <f>""</f>
        <v/>
      </c>
      <c r="M6270" t="s">
        <v>68</v>
      </c>
      <c r="N6270" t="str">
        <f t="shared" si="640"/>
        <v>FOR</v>
      </c>
      <c r="O6270" t="s">
        <v>69</v>
      </c>
      <c r="P6270" s="3" t="s">
        <v>75</v>
      </c>
      <c r="Q6270">
        <v>2015</v>
      </c>
      <c r="R6270" s="2">
        <v>42139</v>
      </c>
      <c r="S6270" s="2">
        <v>42158</v>
      </c>
      <c r="T6270" s="2">
        <v>42140</v>
      </c>
      <c r="U6270" s="2">
        <v>42200</v>
      </c>
      <c r="V6270" t="s">
        <v>71</v>
      </c>
      <c r="W6270" t="str">
        <f>"          5301650643"</f>
        <v xml:space="preserve">          5301650643</v>
      </c>
      <c r="X6270">
        <v>653.19000000000005</v>
      </c>
      <c r="Y6270">
        <v>0</v>
      </c>
      <c r="Z6270"/>
      <c r="AB6270"/>
      <c r="AC6270">
        <v>535.4</v>
      </c>
      <c r="AD6270">
        <v>253</v>
      </c>
      <c r="AE6270" s="1">
        <v>135456.20000000001</v>
      </c>
      <c r="AF6270">
        <v>0</v>
      </c>
      <c r="AJ6270">
        <v>0</v>
      </c>
      <c r="AK6270">
        <v>0</v>
      </c>
      <c r="AL6270">
        <v>0</v>
      </c>
      <c r="AM6270">
        <v>0</v>
      </c>
      <c r="AN6270">
        <v>0</v>
      </c>
      <c r="AO6270">
        <v>0</v>
      </c>
      <c r="AP6270" s="2">
        <v>42746</v>
      </c>
      <c r="AQ6270" t="s">
        <v>72</v>
      </c>
      <c r="AR6270" t="s">
        <v>72</v>
      </c>
      <c r="AS6270">
        <v>873</v>
      </c>
      <c r="AT6270" s="4">
        <v>42453</v>
      </c>
      <c r="AU6270" t="s">
        <v>73</v>
      </c>
      <c r="AV6270">
        <v>873</v>
      </c>
      <c r="AW6270" s="4">
        <v>42453</v>
      </c>
      <c r="BD6270">
        <v>0</v>
      </c>
      <c r="BN6270" t="s">
        <v>74</v>
      </c>
    </row>
    <row r="6271" spans="1:66" hidden="1">
      <c r="A6271">
        <v>104048</v>
      </c>
      <c r="B6271" s="3" t="s">
        <v>602</v>
      </c>
      <c r="C6271" s="1">
        <v>43300101</v>
      </c>
      <c r="D6271" t="s">
        <v>67</v>
      </c>
      <c r="H6271" t="str">
        <f t="shared" si="643"/>
        <v>00674840152</v>
      </c>
      <c r="I6271" t="str">
        <f t="shared" si="643"/>
        <v>00674840152</v>
      </c>
      <c r="K6271" t="str">
        <f>""</f>
        <v/>
      </c>
      <c r="M6271" t="s">
        <v>68</v>
      </c>
      <c r="N6271" t="str">
        <f t="shared" si="640"/>
        <v>FOR</v>
      </c>
      <c r="O6271" t="s">
        <v>69</v>
      </c>
      <c r="P6271" s="3" t="s">
        <v>75</v>
      </c>
      <c r="Q6271">
        <v>2015</v>
      </c>
      <c r="R6271" s="2">
        <v>42139</v>
      </c>
      <c r="S6271" s="2">
        <v>42158</v>
      </c>
      <c r="T6271" s="2">
        <v>42140</v>
      </c>
      <c r="U6271" s="2">
        <v>42200</v>
      </c>
      <c r="V6271" t="s">
        <v>71</v>
      </c>
      <c r="W6271" t="str">
        <f>"          5301650644"</f>
        <v xml:space="preserve">          5301650644</v>
      </c>
      <c r="X6271">
        <v>623.77</v>
      </c>
      <c r="Y6271">
        <v>0</v>
      </c>
      <c r="Z6271"/>
      <c r="AB6271"/>
      <c r="AC6271">
        <v>511.29</v>
      </c>
      <c r="AD6271">
        <v>253</v>
      </c>
      <c r="AE6271" s="1">
        <v>129356.37</v>
      </c>
      <c r="AF6271">
        <v>0</v>
      </c>
      <c r="AJ6271">
        <v>0</v>
      </c>
      <c r="AK6271">
        <v>0</v>
      </c>
      <c r="AL6271">
        <v>0</v>
      </c>
      <c r="AM6271">
        <v>0</v>
      </c>
      <c r="AN6271">
        <v>0</v>
      </c>
      <c r="AO6271">
        <v>0</v>
      </c>
      <c r="AP6271" s="2">
        <v>42746</v>
      </c>
      <c r="AQ6271" t="s">
        <v>72</v>
      </c>
      <c r="AR6271" t="s">
        <v>72</v>
      </c>
      <c r="AS6271">
        <v>873</v>
      </c>
      <c r="AT6271" s="4">
        <v>42453</v>
      </c>
      <c r="AU6271" t="s">
        <v>73</v>
      </c>
      <c r="AV6271">
        <v>873</v>
      </c>
      <c r="AW6271" s="4">
        <v>42453</v>
      </c>
      <c r="BD6271">
        <v>0</v>
      </c>
      <c r="BN6271" t="s">
        <v>74</v>
      </c>
    </row>
    <row r="6272" spans="1:66" hidden="1">
      <c r="A6272">
        <v>104048</v>
      </c>
      <c r="B6272" s="3" t="s">
        <v>602</v>
      </c>
      <c r="C6272" s="1">
        <v>43300101</v>
      </c>
      <c r="D6272" t="s">
        <v>67</v>
      </c>
      <c r="H6272" t="str">
        <f t="shared" si="643"/>
        <v>00674840152</v>
      </c>
      <c r="I6272" t="str">
        <f t="shared" si="643"/>
        <v>00674840152</v>
      </c>
      <c r="K6272" t="str">
        <f>""</f>
        <v/>
      </c>
      <c r="M6272" t="s">
        <v>68</v>
      </c>
      <c r="N6272" t="str">
        <f t="shared" ref="N6272:N6335" si="644">"FOR"</f>
        <v>FOR</v>
      </c>
      <c r="O6272" t="s">
        <v>69</v>
      </c>
      <c r="P6272" s="3" t="s">
        <v>75</v>
      </c>
      <c r="Q6272">
        <v>2015</v>
      </c>
      <c r="R6272" s="2">
        <v>42139</v>
      </c>
      <c r="S6272" s="2">
        <v>42158</v>
      </c>
      <c r="T6272" s="2">
        <v>42140</v>
      </c>
      <c r="U6272" s="2">
        <v>42200</v>
      </c>
      <c r="V6272" t="s">
        <v>71</v>
      </c>
      <c r="W6272" t="str">
        <f>"          5301650645"</f>
        <v xml:space="preserve">          5301650645</v>
      </c>
      <c r="X6272">
        <v>340.26</v>
      </c>
      <c r="Y6272">
        <v>0</v>
      </c>
      <c r="Z6272"/>
      <c r="AB6272"/>
      <c r="AC6272">
        <v>278.89999999999998</v>
      </c>
      <c r="AD6272">
        <v>253</v>
      </c>
      <c r="AE6272" s="1">
        <v>70561.7</v>
      </c>
      <c r="AF6272">
        <v>0</v>
      </c>
      <c r="AJ6272">
        <v>0</v>
      </c>
      <c r="AK6272">
        <v>0</v>
      </c>
      <c r="AL6272">
        <v>0</v>
      </c>
      <c r="AM6272">
        <v>0</v>
      </c>
      <c r="AN6272">
        <v>0</v>
      </c>
      <c r="AO6272">
        <v>0</v>
      </c>
      <c r="AP6272" s="2">
        <v>42746</v>
      </c>
      <c r="AQ6272" t="s">
        <v>72</v>
      </c>
      <c r="AR6272" t="s">
        <v>72</v>
      </c>
      <c r="AS6272">
        <v>873</v>
      </c>
      <c r="AT6272" s="4">
        <v>42453</v>
      </c>
      <c r="AU6272" t="s">
        <v>73</v>
      </c>
      <c r="AV6272">
        <v>873</v>
      </c>
      <c r="AW6272" s="4">
        <v>42453</v>
      </c>
      <c r="BD6272">
        <v>0</v>
      </c>
      <c r="BN6272" t="s">
        <v>74</v>
      </c>
    </row>
    <row r="6273" spans="1:66" hidden="1">
      <c r="A6273">
        <v>104048</v>
      </c>
      <c r="B6273" s="3" t="s">
        <v>602</v>
      </c>
      <c r="C6273" s="1">
        <v>43300101</v>
      </c>
      <c r="D6273" t="s">
        <v>67</v>
      </c>
      <c r="H6273" t="str">
        <f t="shared" si="643"/>
        <v>00674840152</v>
      </c>
      <c r="I6273" t="str">
        <f t="shared" si="643"/>
        <v>00674840152</v>
      </c>
      <c r="K6273" t="str">
        <f>""</f>
        <v/>
      </c>
      <c r="M6273" t="s">
        <v>68</v>
      </c>
      <c r="N6273" t="str">
        <f t="shared" si="644"/>
        <v>FOR</v>
      </c>
      <c r="O6273" t="s">
        <v>69</v>
      </c>
      <c r="P6273" s="3" t="s">
        <v>75</v>
      </c>
      <c r="Q6273">
        <v>2015</v>
      </c>
      <c r="R6273" s="2">
        <v>42139</v>
      </c>
      <c r="S6273" s="2">
        <v>42158</v>
      </c>
      <c r="T6273" s="2">
        <v>42140</v>
      </c>
      <c r="U6273" s="2">
        <v>42200</v>
      </c>
      <c r="V6273" t="s">
        <v>71</v>
      </c>
      <c r="W6273" t="str">
        <f>"          5301650646"</f>
        <v xml:space="preserve">          5301650646</v>
      </c>
      <c r="X6273" s="1">
        <v>1767.88</v>
      </c>
      <c r="Y6273">
        <v>0</v>
      </c>
      <c r="Z6273"/>
      <c r="AB6273"/>
      <c r="AC6273" s="1">
        <v>1449.08</v>
      </c>
      <c r="AD6273">
        <v>253</v>
      </c>
      <c r="AE6273" s="1">
        <v>366617.24</v>
      </c>
      <c r="AF6273">
        <v>0</v>
      </c>
      <c r="AJ6273">
        <v>0</v>
      </c>
      <c r="AK6273">
        <v>0</v>
      </c>
      <c r="AL6273">
        <v>0</v>
      </c>
      <c r="AM6273">
        <v>0</v>
      </c>
      <c r="AN6273">
        <v>0</v>
      </c>
      <c r="AO6273">
        <v>0</v>
      </c>
      <c r="AP6273" s="2">
        <v>42746</v>
      </c>
      <c r="AQ6273" t="s">
        <v>72</v>
      </c>
      <c r="AR6273" t="s">
        <v>72</v>
      </c>
      <c r="AS6273">
        <v>873</v>
      </c>
      <c r="AT6273" s="4">
        <v>42453</v>
      </c>
      <c r="AU6273" t="s">
        <v>73</v>
      </c>
      <c r="AV6273">
        <v>873</v>
      </c>
      <c r="AW6273" s="4">
        <v>42453</v>
      </c>
      <c r="BD6273">
        <v>0</v>
      </c>
      <c r="BN6273" t="s">
        <v>74</v>
      </c>
    </row>
    <row r="6274" spans="1:66" hidden="1">
      <c r="A6274">
        <v>104048</v>
      </c>
      <c r="B6274" s="3" t="s">
        <v>602</v>
      </c>
      <c r="C6274" s="1">
        <v>43300101</v>
      </c>
      <c r="D6274" t="s">
        <v>67</v>
      </c>
      <c r="H6274" t="str">
        <f t="shared" ref="H6274:I6293" si="645">"00674840152"</f>
        <v>00674840152</v>
      </c>
      <c r="I6274" t="str">
        <f t="shared" si="645"/>
        <v>00674840152</v>
      </c>
      <c r="K6274" t="str">
        <f>""</f>
        <v/>
      </c>
      <c r="M6274" t="s">
        <v>68</v>
      </c>
      <c r="N6274" t="str">
        <f t="shared" si="644"/>
        <v>FOR</v>
      </c>
      <c r="O6274" t="s">
        <v>69</v>
      </c>
      <c r="P6274" s="3" t="s">
        <v>75</v>
      </c>
      <c r="Q6274">
        <v>2015</v>
      </c>
      <c r="R6274" s="2">
        <v>42139</v>
      </c>
      <c r="S6274" s="2">
        <v>42158</v>
      </c>
      <c r="T6274" s="2">
        <v>42140</v>
      </c>
      <c r="U6274" s="2">
        <v>42200</v>
      </c>
      <c r="V6274" t="s">
        <v>71</v>
      </c>
      <c r="W6274" t="str">
        <f>"          5301650647"</f>
        <v xml:space="preserve">          5301650647</v>
      </c>
      <c r="X6274">
        <v>282.97000000000003</v>
      </c>
      <c r="Y6274">
        <v>0</v>
      </c>
      <c r="Z6274"/>
      <c r="AB6274"/>
      <c r="AC6274">
        <v>231.94</v>
      </c>
      <c r="AD6274">
        <v>253</v>
      </c>
      <c r="AE6274" s="1">
        <v>58680.82</v>
      </c>
      <c r="AF6274">
        <v>0</v>
      </c>
      <c r="AJ6274">
        <v>0</v>
      </c>
      <c r="AK6274">
        <v>0</v>
      </c>
      <c r="AL6274">
        <v>0</v>
      </c>
      <c r="AM6274">
        <v>0</v>
      </c>
      <c r="AN6274">
        <v>0</v>
      </c>
      <c r="AO6274">
        <v>0</v>
      </c>
      <c r="AP6274" s="2">
        <v>42746</v>
      </c>
      <c r="AQ6274" t="s">
        <v>72</v>
      </c>
      <c r="AR6274" t="s">
        <v>72</v>
      </c>
      <c r="AS6274">
        <v>873</v>
      </c>
      <c r="AT6274" s="4">
        <v>42453</v>
      </c>
      <c r="AU6274" t="s">
        <v>73</v>
      </c>
      <c r="AV6274">
        <v>873</v>
      </c>
      <c r="AW6274" s="4">
        <v>42453</v>
      </c>
      <c r="BD6274">
        <v>0</v>
      </c>
      <c r="BN6274" t="s">
        <v>74</v>
      </c>
    </row>
    <row r="6275" spans="1:66" hidden="1">
      <c r="A6275">
        <v>104048</v>
      </c>
      <c r="B6275" s="3" t="s">
        <v>602</v>
      </c>
      <c r="C6275" s="1">
        <v>43300101</v>
      </c>
      <c r="D6275" t="s">
        <v>67</v>
      </c>
      <c r="H6275" t="str">
        <f t="shared" si="645"/>
        <v>00674840152</v>
      </c>
      <c r="I6275" t="str">
        <f t="shared" si="645"/>
        <v>00674840152</v>
      </c>
      <c r="K6275" t="str">
        <f>""</f>
        <v/>
      </c>
      <c r="M6275" t="s">
        <v>68</v>
      </c>
      <c r="N6275" t="str">
        <f t="shared" si="644"/>
        <v>FOR</v>
      </c>
      <c r="O6275" t="s">
        <v>69</v>
      </c>
      <c r="P6275" s="3" t="s">
        <v>75</v>
      </c>
      <c r="Q6275">
        <v>2015</v>
      </c>
      <c r="R6275" s="2">
        <v>42139</v>
      </c>
      <c r="S6275" s="2">
        <v>42158</v>
      </c>
      <c r="T6275" s="2">
        <v>42140</v>
      </c>
      <c r="U6275" s="2">
        <v>42200</v>
      </c>
      <c r="V6275" t="s">
        <v>71</v>
      </c>
      <c r="W6275" t="str">
        <f>"          5301650648"</f>
        <v xml:space="preserve">          5301650648</v>
      </c>
      <c r="X6275" s="1">
        <v>1468.58</v>
      </c>
      <c r="Y6275">
        <v>0</v>
      </c>
      <c r="Z6275"/>
      <c r="AB6275"/>
      <c r="AC6275" s="1">
        <v>1203.75</v>
      </c>
      <c r="AD6275">
        <v>253</v>
      </c>
      <c r="AE6275" s="1">
        <v>304548.75</v>
      </c>
      <c r="AF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 s="2">
        <v>42746</v>
      </c>
      <c r="AQ6275" t="s">
        <v>72</v>
      </c>
      <c r="AR6275" t="s">
        <v>72</v>
      </c>
      <c r="AS6275">
        <v>873</v>
      </c>
      <c r="AT6275" s="4">
        <v>42453</v>
      </c>
      <c r="AU6275" t="s">
        <v>73</v>
      </c>
      <c r="AV6275">
        <v>873</v>
      </c>
      <c r="AW6275" s="4">
        <v>42453</v>
      </c>
      <c r="BD6275">
        <v>0</v>
      </c>
      <c r="BN6275" t="s">
        <v>74</v>
      </c>
    </row>
    <row r="6276" spans="1:66" hidden="1">
      <c r="A6276">
        <v>104048</v>
      </c>
      <c r="B6276" s="3" t="s">
        <v>602</v>
      </c>
      <c r="C6276" s="1">
        <v>43300101</v>
      </c>
      <c r="D6276" t="s">
        <v>67</v>
      </c>
      <c r="H6276" t="str">
        <f t="shared" si="645"/>
        <v>00674840152</v>
      </c>
      <c r="I6276" t="str">
        <f t="shared" si="645"/>
        <v>00674840152</v>
      </c>
      <c r="K6276" t="str">
        <f>""</f>
        <v/>
      </c>
      <c r="M6276" t="s">
        <v>68</v>
      </c>
      <c r="N6276" t="str">
        <f t="shared" si="644"/>
        <v>FOR</v>
      </c>
      <c r="O6276" t="s">
        <v>69</v>
      </c>
      <c r="P6276" s="3" t="s">
        <v>75</v>
      </c>
      <c r="Q6276">
        <v>2015</v>
      </c>
      <c r="R6276" s="2">
        <v>42144</v>
      </c>
      <c r="S6276" s="2">
        <v>42160</v>
      </c>
      <c r="T6276" s="2">
        <v>42145</v>
      </c>
      <c r="U6276" s="2">
        <v>42205</v>
      </c>
      <c r="V6276" t="s">
        <v>71</v>
      </c>
      <c r="W6276" t="str">
        <f>"          5301651932"</f>
        <v xml:space="preserve">          5301651932</v>
      </c>
      <c r="X6276" s="1">
        <v>2316.7800000000002</v>
      </c>
      <c r="Y6276">
        <v>0</v>
      </c>
      <c r="Z6276"/>
      <c r="AB6276"/>
      <c r="AC6276" s="1">
        <v>1899</v>
      </c>
      <c r="AD6276">
        <v>248</v>
      </c>
      <c r="AE6276" s="1">
        <v>470952</v>
      </c>
      <c r="AF6276">
        <v>0</v>
      </c>
      <c r="AJ6276">
        <v>0</v>
      </c>
      <c r="AK6276">
        <v>0</v>
      </c>
      <c r="AL6276">
        <v>0</v>
      </c>
      <c r="AM6276">
        <v>0</v>
      </c>
      <c r="AN6276">
        <v>0</v>
      </c>
      <c r="AO6276">
        <v>0</v>
      </c>
      <c r="AP6276" s="2">
        <v>42746</v>
      </c>
      <c r="AQ6276" t="s">
        <v>72</v>
      </c>
      <c r="AR6276" t="s">
        <v>72</v>
      </c>
      <c r="AS6276">
        <v>873</v>
      </c>
      <c r="AT6276" s="4">
        <v>42453</v>
      </c>
      <c r="AU6276" t="s">
        <v>73</v>
      </c>
      <c r="AV6276">
        <v>873</v>
      </c>
      <c r="AW6276" s="4">
        <v>42453</v>
      </c>
      <c r="BD6276">
        <v>0</v>
      </c>
      <c r="BN6276" t="s">
        <v>74</v>
      </c>
    </row>
    <row r="6277" spans="1:66" hidden="1">
      <c r="A6277">
        <v>104048</v>
      </c>
      <c r="B6277" s="3" t="s">
        <v>602</v>
      </c>
      <c r="C6277" s="1">
        <v>43300101</v>
      </c>
      <c r="D6277" t="s">
        <v>67</v>
      </c>
      <c r="H6277" t="str">
        <f t="shared" si="645"/>
        <v>00674840152</v>
      </c>
      <c r="I6277" t="str">
        <f t="shared" si="645"/>
        <v>00674840152</v>
      </c>
      <c r="K6277" t="str">
        <f>""</f>
        <v/>
      </c>
      <c r="M6277" t="s">
        <v>68</v>
      </c>
      <c r="N6277" t="str">
        <f t="shared" si="644"/>
        <v>FOR</v>
      </c>
      <c r="O6277" t="s">
        <v>69</v>
      </c>
      <c r="P6277" s="3" t="s">
        <v>75</v>
      </c>
      <c r="Q6277">
        <v>2015</v>
      </c>
      <c r="R6277" s="2">
        <v>42144</v>
      </c>
      <c r="S6277" s="2">
        <v>42160</v>
      </c>
      <c r="T6277" s="2">
        <v>42145</v>
      </c>
      <c r="U6277" s="2">
        <v>42205</v>
      </c>
      <c r="V6277" t="s">
        <v>71</v>
      </c>
      <c r="W6277" t="str">
        <f>"          5301651933"</f>
        <v xml:space="preserve">          5301651933</v>
      </c>
      <c r="X6277">
        <v>963.8</v>
      </c>
      <c r="Y6277">
        <v>0</v>
      </c>
      <c r="Z6277"/>
      <c r="AB6277"/>
      <c r="AC6277">
        <v>790</v>
      </c>
      <c r="AD6277">
        <v>248</v>
      </c>
      <c r="AE6277" s="1">
        <v>195920</v>
      </c>
      <c r="AF6277">
        <v>0</v>
      </c>
      <c r="AJ6277">
        <v>0</v>
      </c>
      <c r="AK6277">
        <v>0</v>
      </c>
      <c r="AL6277">
        <v>0</v>
      </c>
      <c r="AM6277">
        <v>0</v>
      </c>
      <c r="AN6277">
        <v>0</v>
      </c>
      <c r="AO6277">
        <v>0</v>
      </c>
      <c r="AP6277" s="2">
        <v>42746</v>
      </c>
      <c r="AQ6277" t="s">
        <v>72</v>
      </c>
      <c r="AR6277" t="s">
        <v>72</v>
      </c>
      <c r="AS6277">
        <v>873</v>
      </c>
      <c r="AT6277" s="4">
        <v>42453</v>
      </c>
      <c r="AU6277" t="s">
        <v>73</v>
      </c>
      <c r="AV6277">
        <v>873</v>
      </c>
      <c r="AW6277" s="4">
        <v>42453</v>
      </c>
      <c r="BD6277">
        <v>0</v>
      </c>
      <c r="BN6277" t="s">
        <v>74</v>
      </c>
    </row>
    <row r="6278" spans="1:66" hidden="1">
      <c r="A6278">
        <v>104048</v>
      </c>
      <c r="B6278" s="3" t="s">
        <v>602</v>
      </c>
      <c r="C6278" s="1">
        <v>43300101</v>
      </c>
      <c r="D6278" t="s">
        <v>67</v>
      </c>
      <c r="H6278" t="str">
        <f t="shared" si="645"/>
        <v>00674840152</v>
      </c>
      <c r="I6278" t="str">
        <f t="shared" si="645"/>
        <v>00674840152</v>
      </c>
      <c r="K6278" t="str">
        <f>""</f>
        <v/>
      </c>
      <c r="M6278" t="s">
        <v>68</v>
      </c>
      <c r="N6278" t="str">
        <f t="shared" si="644"/>
        <v>FOR</v>
      </c>
      <c r="O6278" t="s">
        <v>69</v>
      </c>
      <c r="P6278" s="3" t="s">
        <v>75</v>
      </c>
      <c r="Q6278">
        <v>2015</v>
      </c>
      <c r="R6278" s="2">
        <v>42149</v>
      </c>
      <c r="S6278" s="2">
        <v>42160</v>
      </c>
      <c r="T6278" s="2">
        <v>42150</v>
      </c>
      <c r="U6278" s="2">
        <v>42210</v>
      </c>
      <c r="V6278" t="s">
        <v>71</v>
      </c>
      <c r="W6278" t="str">
        <f>"          5301652981"</f>
        <v xml:space="preserve">          5301652981</v>
      </c>
      <c r="X6278">
        <v>646.79999999999995</v>
      </c>
      <c r="Y6278">
        <v>0</v>
      </c>
      <c r="Z6278"/>
      <c r="AB6278"/>
      <c r="AC6278">
        <v>588</v>
      </c>
      <c r="AD6278">
        <v>243</v>
      </c>
      <c r="AE6278" s="1">
        <v>142884</v>
      </c>
      <c r="AF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0</v>
      </c>
      <c r="AP6278" s="2">
        <v>42746</v>
      </c>
      <c r="AQ6278" t="s">
        <v>72</v>
      </c>
      <c r="AR6278" t="s">
        <v>72</v>
      </c>
      <c r="AS6278">
        <v>873</v>
      </c>
      <c r="AT6278" s="4">
        <v>42453</v>
      </c>
      <c r="AU6278" t="s">
        <v>73</v>
      </c>
      <c r="AV6278">
        <v>873</v>
      </c>
      <c r="AW6278" s="4">
        <v>42453</v>
      </c>
      <c r="BD6278">
        <v>0</v>
      </c>
      <c r="BN6278" t="s">
        <v>74</v>
      </c>
    </row>
    <row r="6279" spans="1:66" hidden="1">
      <c r="A6279">
        <v>104048</v>
      </c>
      <c r="B6279" s="3" t="s">
        <v>602</v>
      </c>
      <c r="C6279" s="1">
        <v>43300101</v>
      </c>
      <c r="D6279" t="s">
        <v>67</v>
      </c>
      <c r="H6279" t="str">
        <f t="shared" si="645"/>
        <v>00674840152</v>
      </c>
      <c r="I6279" t="str">
        <f t="shared" si="645"/>
        <v>00674840152</v>
      </c>
      <c r="K6279" t="str">
        <f>""</f>
        <v/>
      </c>
      <c r="M6279" t="s">
        <v>68</v>
      </c>
      <c r="N6279" t="str">
        <f t="shared" si="644"/>
        <v>FOR</v>
      </c>
      <c r="O6279" t="s">
        <v>69</v>
      </c>
      <c r="P6279" s="3" t="s">
        <v>75</v>
      </c>
      <c r="Q6279">
        <v>2015</v>
      </c>
      <c r="R6279" s="2">
        <v>42149</v>
      </c>
      <c r="S6279" s="2">
        <v>42160</v>
      </c>
      <c r="T6279" s="2">
        <v>42150</v>
      </c>
      <c r="U6279" s="2">
        <v>42210</v>
      </c>
      <c r="V6279" t="s">
        <v>71</v>
      </c>
      <c r="W6279" t="str">
        <f>"          5301652982"</f>
        <v xml:space="preserve">          5301652982</v>
      </c>
      <c r="X6279">
        <v>336.72</v>
      </c>
      <c r="Y6279">
        <v>0</v>
      </c>
      <c r="Z6279"/>
      <c r="AB6279"/>
      <c r="AC6279">
        <v>276</v>
      </c>
      <c r="AD6279">
        <v>243</v>
      </c>
      <c r="AE6279" s="1">
        <v>67068</v>
      </c>
      <c r="AF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 s="2">
        <v>42746</v>
      </c>
      <c r="AQ6279" t="s">
        <v>72</v>
      </c>
      <c r="AR6279" t="s">
        <v>72</v>
      </c>
      <c r="AS6279">
        <v>873</v>
      </c>
      <c r="AT6279" s="4">
        <v>42453</v>
      </c>
      <c r="AU6279" t="s">
        <v>73</v>
      </c>
      <c r="AV6279">
        <v>873</v>
      </c>
      <c r="AW6279" s="4">
        <v>42453</v>
      </c>
      <c r="BD6279">
        <v>0</v>
      </c>
      <c r="BN6279" t="s">
        <v>74</v>
      </c>
    </row>
    <row r="6280" spans="1:66" hidden="1">
      <c r="A6280">
        <v>104048</v>
      </c>
      <c r="B6280" s="3" t="s">
        <v>602</v>
      </c>
      <c r="C6280" s="1">
        <v>43300101</v>
      </c>
      <c r="D6280" t="s">
        <v>67</v>
      </c>
      <c r="H6280" t="str">
        <f t="shared" si="645"/>
        <v>00674840152</v>
      </c>
      <c r="I6280" t="str">
        <f t="shared" si="645"/>
        <v>00674840152</v>
      </c>
      <c r="K6280" t="str">
        <f>""</f>
        <v/>
      </c>
      <c r="M6280" t="s">
        <v>68</v>
      </c>
      <c r="N6280" t="str">
        <f t="shared" si="644"/>
        <v>FOR</v>
      </c>
      <c r="O6280" t="s">
        <v>69</v>
      </c>
      <c r="P6280" s="3" t="s">
        <v>75</v>
      </c>
      <c r="Q6280">
        <v>2015</v>
      </c>
      <c r="R6280" s="2">
        <v>42150</v>
      </c>
      <c r="S6280" s="2">
        <v>42160</v>
      </c>
      <c r="T6280" s="2">
        <v>42151</v>
      </c>
      <c r="U6280" s="2">
        <v>42211</v>
      </c>
      <c r="V6280" t="s">
        <v>71</v>
      </c>
      <c r="W6280" t="str">
        <f>"          5301653056"</f>
        <v xml:space="preserve">          5301653056</v>
      </c>
      <c r="X6280" s="1">
        <v>5563.2</v>
      </c>
      <c r="Y6280">
        <v>0</v>
      </c>
      <c r="Z6280"/>
      <c r="AB6280"/>
      <c r="AC6280" s="1">
        <v>4560</v>
      </c>
      <c r="AD6280">
        <v>242</v>
      </c>
      <c r="AE6280" s="1">
        <v>1103520</v>
      </c>
      <c r="AF6280">
        <v>0</v>
      </c>
      <c r="AJ6280">
        <v>0</v>
      </c>
      <c r="AK6280">
        <v>0</v>
      </c>
      <c r="AL6280">
        <v>0</v>
      </c>
      <c r="AM6280">
        <v>0</v>
      </c>
      <c r="AN6280">
        <v>0</v>
      </c>
      <c r="AO6280">
        <v>0</v>
      </c>
      <c r="AP6280" s="2">
        <v>42746</v>
      </c>
      <c r="AQ6280" t="s">
        <v>72</v>
      </c>
      <c r="AR6280" t="s">
        <v>72</v>
      </c>
      <c r="AS6280">
        <v>873</v>
      </c>
      <c r="AT6280" s="4">
        <v>42453</v>
      </c>
      <c r="AU6280" t="s">
        <v>73</v>
      </c>
      <c r="AV6280">
        <v>873</v>
      </c>
      <c r="AW6280" s="4">
        <v>42453</v>
      </c>
      <c r="BD6280">
        <v>0</v>
      </c>
      <c r="BN6280" t="s">
        <v>74</v>
      </c>
    </row>
    <row r="6281" spans="1:66" hidden="1">
      <c r="A6281">
        <v>104048</v>
      </c>
      <c r="B6281" s="3" t="s">
        <v>602</v>
      </c>
      <c r="C6281" s="1">
        <v>43300101</v>
      </c>
      <c r="D6281" t="s">
        <v>67</v>
      </c>
      <c r="H6281" t="str">
        <f t="shared" si="645"/>
        <v>00674840152</v>
      </c>
      <c r="I6281" t="str">
        <f t="shared" si="645"/>
        <v>00674840152</v>
      </c>
      <c r="K6281" t="str">
        <f>""</f>
        <v/>
      </c>
      <c r="M6281" t="s">
        <v>68</v>
      </c>
      <c r="N6281" t="str">
        <f t="shared" si="644"/>
        <v>FOR</v>
      </c>
      <c r="O6281" t="s">
        <v>69</v>
      </c>
      <c r="P6281" s="3" t="s">
        <v>75</v>
      </c>
      <c r="Q6281">
        <v>2015</v>
      </c>
      <c r="R6281" s="2">
        <v>42150</v>
      </c>
      <c r="S6281" s="2">
        <v>42160</v>
      </c>
      <c r="T6281" s="2">
        <v>42152</v>
      </c>
      <c r="U6281" s="2">
        <v>42212</v>
      </c>
      <c r="V6281" t="s">
        <v>71</v>
      </c>
      <c r="W6281" t="str">
        <f>"          5301653057"</f>
        <v xml:space="preserve">          5301653057</v>
      </c>
      <c r="X6281">
        <v>192.88</v>
      </c>
      <c r="Y6281">
        <v>0</v>
      </c>
      <c r="Z6281"/>
      <c r="AB6281"/>
      <c r="AC6281">
        <v>158.1</v>
      </c>
      <c r="AD6281">
        <v>241</v>
      </c>
      <c r="AE6281" s="1">
        <v>38102.1</v>
      </c>
      <c r="AF6281">
        <v>0</v>
      </c>
      <c r="AJ6281">
        <v>0</v>
      </c>
      <c r="AK6281">
        <v>0</v>
      </c>
      <c r="AL6281">
        <v>0</v>
      </c>
      <c r="AM6281">
        <v>0</v>
      </c>
      <c r="AN6281">
        <v>0</v>
      </c>
      <c r="AO6281">
        <v>0</v>
      </c>
      <c r="AP6281" s="2">
        <v>42746</v>
      </c>
      <c r="AQ6281" t="s">
        <v>72</v>
      </c>
      <c r="AR6281" t="s">
        <v>72</v>
      </c>
      <c r="AS6281">
        <v>873</v>
      </c>
      <c r="AT6281" s="4">
        <v>42453</v>
      </c>
      <c r="AU6281" t="s">
        <v>73</v>
      </c>
      <c r="AV6281">
        <v>873</v>
      </c>
      <c r="AW6281" s="4">
        <v>42453</v>
      </c>
      <c r="BD6281">
        <v>0</v>
      </c>
      <c r="BN6281" t="s">
        <v>74</v>
      </c>
    </row>
    <row r="6282" spans="1:66" hidden="1">
      <c r="A6282">
        <v>104048</v>
      </c>
      <c r="B6282" s="3" t="s">
        <v>602</v>
      </c>
      <c r="C6282" s="1">
        <v>43300101</v>
      </c>
      <c r="D6282" t="s">
        <v>67</v>
      </c>
      <c r="H6282" t="str">
        <f t="shared" si="645"/>
        <v>00674840152</v>
      </c>
      <c r="I6282" t="str">
        <f t="shared" si="645"/>
        <v>00674840152</v>
      </c>
      <c r="K6282" t="str">
        <f>""</f>
        <v/>
      </c>
      <c r="M6282" t="s">
        <v>68</v>
      </c>
      <c r="N6282" t="str">
        <f t="shared" si="644"/>
        <v>FOR</v>
      </c>
      <c r="O6282" t="s">
        <v>69</v>
      </c>
      <c r="P6282" s="3" t="s">
        <v>75</v>
      </c>
      <c r="Q6282">
        <v>2015</v>
      </c>
      <c r="R6282" s="2">
        <v>42150</v>
      </c>
      <c r="S6282" s="2">
        <v>42160</v>
      </c>
      <c r="T6282" s="2">
        <v>42151</v>
      </c>
      <c r="U6282" s="2">
        <v>42211</v>
      </c>
      <c r="V6282" t="s">
        <v>71</v>
      </c>
      <c r="W6282" t="str">
        <f>"          5301653058"</f>
        <v xml:space="preserve">          5301653058</v>
      </c>
      <c r="X6282">
        <v>804.57</v>
      </c>
      <c r="Y6282">
        <v>0</v>
      </c>
      <c r="Z6282"/>
      <c r="AB6282"/>
      <c r="AC6282">
        <v>659.48</v>
      </c>
      <c r="AD6282">
        <v>242</v>
      </c>
      <c r="AE6282" s="1">
        <v>159594.16</v>
      </c>
      <c r="AF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 s="2">
        <v>42746</v>
      </c>
      <c r="AQ6282" t="s">
        <v>72</v>
      </c>
      <c r="AR6282" t="s">
        <v>72</v>
      </c>
      <c r="AS6282">
        <v>873</v>
      </c>
      <c r="AT6282" s="4">
        <v>42453</v>
      </c>
      <c r="AU6282" t="s">
        <v>73</v>
      </c>
      <c r="AV6282">
        <v>873</v>
      </c>
      <c r="AW6282" s="4">
        <v>42453</v>
      </c>
      <c r="BD6282">
        <v>0</v>
      </c>
      <c r="BN6282" t="s">
        <v>74</v>
      </c>
    </row>
    <row r="6283" spans="1:66" hidden="1">
      <c r="A6283">
        <v>104048</v>
      </c>
      <c r="B6283" s="3" t="s">
        <v>602</v>
      </c>
      <c r="C6283" s="1">
        <v>43300101</v>
      </c>
      <c r="D6283" t="s">
        <v>67</v>
      </c>
      <c r="H6283" t="str">
        <f t="shared" si="645"/>
        <v>00674840152</v>
      </c>
      <c r="I6283" t="str">
        <f t="shared" si="645"/>
        <v>00674840152</v>
      </c>
      <c r="K6283" t="str">
        <f>""</f>
        <v/>
      </c>
      <c r="M6283" t="s">
        <v>68</v>
      </c>
      <c r="N6283" t="str">
        <f t="shared" si="644"/>
        <v>FOR</v>
      </c>
      <c r="O6283" t="s">
        <v>69</v>
      </c>
      <c r="P6283" s="3" t="s">
        <v>75</v>
      </c>
      <c r="Q6283">
        <v>2015</v>
      </c>
      <c r="R6283" s="2">
        <v>42150</v>
      </c>
      <c r="S6283" s="2">
        <v>42160</v>
      </c>
      <c r="T6283" s="2">
        <v>42151</v>
      </c>
      <c r="U6283" s="2">
        <v>42211</v>
      </c>
      <c r="V6283" t="s">
        <v>71</v>
      </c>
      <c r="W6283" t="str">
        <f>"          5301653059"</f>
        <v xml:space="preserve">          5301653059</v>
      </c>
      <c r="X6283" s="1">
        <v>5563.2</v>
      </c>
      <c r="Y6283">
        <v>0</v>
      </c>
      <c r="Z6283"/>
      <c r="AB6283"/>
      <c r="AC6283" s="1">
        <v>4560</v>
      </c>
      <c r="AD6283">
        <v>242</v>
      </c>
      <c r="AE6283" s="1">
        <v>1103520</v>
      </c>
      <c r="AF6283">
        <v>0</v>
      </c>
      <c r="AJ6283">
        <v>0</v>
      </c>
      <c r="AK6283">
        <v>0</v>
      </c>
      <c r="AL6283">
        <v>0</v>
      </c>
      <c r="AM6283">
        <v>0</v>
      </c>
      <c r="AN6283">
        <v>0</v>
      </c>
      <c r="AO6283">
        <v>0</v>
      </c>
      <c r="AP6283" s="2">
        <v>42746</v>
      </c>
      <c r="AQ6283" t="s">
        <v>72</v>
      </c>
      <c r="AR6283" t="s">
        <v>72</v>
      </c>
      <c r="AS6283">
        <v>873</v>
      </c>
      <c r="AT6283" s="4">
        <v>42453</v>
      </c>
      <c r="AU6283" t="s">
        <v>73</v>
      </c>
      <c r="AV6283">
        <v>873</v>
      </c>
      <c r="AW6283" s="4">
        <v>42453</v>
      </c>
      <c r="BD6283">
        <v>0</v>
      </c>
      <c r="BN6283" t="s">
        <v>74</v>
      </c>
    </row>
    <row r="6284" spans="1:66" hidden="1">
      <c r="A6284">
        <v>104048</v>
      </c>
      <c r="B6284" s="3" t="s">
        <v>602</v>
      </c>
      <c r="C6284" s="1">
        <v>43300101</v>
      </c>
      <c r="D6284" t="s">
        <v>67</v>
      </c>
      <c r="H6284" t="str">
        <f t="shared" si="645"/>
        <v>00674840152</v>
      </c>
      <c r="I6284" t="str">
        <f t="shared" si="645"/>
        <v>00674840152</v>
      </c>
      <c r="K6284" t="str">
        <f>""</f>
        <v/>
      </c>
      <c r="M6284" t="s">
        <v>68</v>
      </c>
      <c r="N6284" t="str">
        <f t="shared" si="644"/>
        <v>FOR</v>
      </c>
      <c r="O6284" t="s">
        <v>69</v>
      </c>
      <c r="P6284" s="3" t="s">
        <v>75</v>
      </c>
      <c r="Q6284">
        <v>2015</v>
      </c>
      <c r="R6284" s="2">
        <v>42163</v>
      </c>
      <c r="S6284" s="2">
        <v>42165</v>
      </c>
      <c r="T6284" s="2">
        <v>42164</v>
      </c>
      <c r="U6284" s="2">
        <v>42224</v>
      </c>
      <c r="V6284" t="s">
        <v>71</v>
      </c>
      <c r="W6284" t="str">
        <f>"          5301655991"</f>
        <v xml:space="preserve">          5301655991</v>
      </c>
      <c r="X6284">
        <v>378.36</v>
      </c>
      <c r="Y6284">
        <v>0</v>
      </c>
      <c r="Z6284"/>
      <c r="AB6284"/>
      <c r="AC6284">
        <v>310.13</v>
      </c>
      <c r="AD6284">
        <v>268</v>
      </c>
      <c r="AE6284" s="1">
        <v>83114.84</v>
      </c>
      <c r="AF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0</v>
      </c>
      <c r="AP6284" s="2">
        <v>42746</v>
      </c>
      <c r="AQ6284" t="s">
        <v>72</v>
      </c>
      <c r="AR6284" t="s">
        <v>72</v>
      </c>
      <c r="AS6284">
        <v>1226</v>
      </c>
      <c r="AT6284" s="4">
        <v>42492</v>
      </c>
      <c r="AU6284" t="s">
        <v>73</v>
      </c>
      <c r="AV6284">
        <v>1226</v>
      </c>
      <c r="AW6284" s="4">
        <v>42492</v>
      </c>
      <c r="BD6284">
        <v>0</v>
      </c>
      <c r="BN6284" t="s">
        <v>74</v>
      </c>
    </row>
    <row r="6285" spans="1:66" hidden="1">
      <c r="A6285">
        <v>104048</v>
      </c>
      <c r="B6285" s="3" t="s">
        <v>602</v>
      </c>
      <c r="C6285" s="1">
        <v>43300101</v>
      </c>
      <c r="D6285" t="s">
        <v>67</v>
      </c>
      <c r="H6285" t="str">
        <f t="shared" si="645"/>
        <v>00674840152</v>
      </c>
      <c r="I6285" t="str">
        <f t="shared" si="645"/>
        <v>00674840152</v>
      </c>
      <c r="K6285" t="str">
        <f>""</f>
        <v/>
      </c>
      <c r="M6285" t="s">
        <v>68</v>
      </c>
      <c r="N6285" t="str">
        <f t="shared" si="644"/>
        <v>FOR</v>
      </c>
      <c r="O6285" t="s">
        <v>69</v>
      </c>
      <c r="P6285" s="3" t="s">
        <v>75</v>
      </c>
      <c r="Q6285">
        <v>2015</v>
      </c>
      <c r="R6285" s="2">
        <v>42165</v>
      </c>
      <c r="S6285" s="2">
        <v>42167</v>
      </c>
      <c r="T6285" s="2">
        <v>42166</v>
      </c>
      <c r="U6285" s="2">
        <v>42226</v>
      </c>
      <c r="V6285" t="s">
        <v>71</v>
      </c>
      <c r="W6285" t="str">
        <f>"          5301656761"</f>
        <v xml:space="preserve">          5301656761</v>
      </c>
      <c r="X6285">
        <v>316</v>
      </c>
      <c r="Y6285">
        <v>0</v>
      </c>
      <c r="Z6285"/>
      <c r="AB6285"/>
      <c r="AC6285">
        <v>259.02</v>
      </c>
      <c r="AD6285">
        <v>266</v>
      </c>
      <c r="AE6285" s="1">
        <v>68899.320000000007</v>
      </c>
      <c r="AF6285">
        <v>0</v>
      </c>
      <c r="AJ6285">
        <v>0</v>
      </c>
      <c r="AK6285">
        <v>0</v>
      </c>
      <c r="AL6285">
        <v>0</v>
      </c>
      <c r="AM6285">
        <v>0</v>
      </c>
      <c r="AN6285">
        <v>0</v>
      </c>
      <c r="AO6285">
        <v>0</v>
      </c>
      <c r="AP6285" s="2">
        <v>42746</v>
      </c>
      <c r="AQ6285" t="s">
        <v>72</v>
      </c>
      <c r="AR6285" t="s">
        <v>72</v>
      </c>
      <c r="AS6285">
        <v>1226</v>
      </c>
      <c r="AT6285" s="4">
        <v>42492</v>
      </c>
      <c r="AU6285" t="s">
        <v>73</v>
      </c>
      <c r="AV6285">
        <v>1226</v>
      </c>
      <c r="AW6285" s="4">
        <v>42492</v>
      </c>
      <c r="BD6285">
        <v>0</v>
      </c>
      <c r="BN6285" t="s">
        <v>74</v>
      </c>
    </row>
    <row r="6286" spans="1:66" hidden="1">
      <c r="A6286">
        <v>104048</v>
      </c>
      <c r="B6286" s="3" t="s">
        <v>602</v>
      </c>
      <c r="C6286" s="1">
        <v>43300101</v>
      </c>
      <c r="D6286" t="s">
        <v>67</v>
      </c>
      <c r="H6286" t="str">
        <f t="shared" si="645"/>
        <v>00674840152</v>
      </c>
      <c r="I6286" t="str">
        <f t="shared" si="645"/>
        <v>00674840152</v>
      </c>
      <c r="K6286" t="str">
        <f>""</f>
        <v/>
      </c>
      <c r="M6286" t="s">
        <v>68</v>
      </c>
      <c r="N6286" t="str">
        <f t="shared" si="644"/>
        <v>FOR</v>
      </c>
      <c r="O6286" t="s">
        <v>69</v>
      </c>
      <c r="P6286" s="3" t="s">
        <v>75</v>
      </c>
      <c r="Q6286">
        <v>2015</v>
      </c>
      <c r="R6286" s="2">
        <v>42166</v>
      </c>
      <c r="S6286" s="2">
        <v>42167</v>
      </c>
      <c r="T6286" s="2">
        <v>42167</v>
      </c>
      <c r="U6286" s="2">
        <v>42227</v>
      </c>
      <c r="V6286" t="s">
        <v>71</v>
      </c>
      <c r="W6286" t="str">
        <f>"          5301657110"</f>
        <v xml:space="preserve">          5301657110</v>
      </c>
      <c r="X6286">
        <v>877.06</v>
      </c>
      <c r="Y6286">
        <v>0</v>
      </c>
      <c r="Z6286"/>
      <c r="AB6286"/>
      <c r="AC6286">
        <v>718.9</v>
      </c>
      <c r="AD6286">
        <v>265</v>
      </c>
      <c r="AE6286" s="1">
        <v>190508.5</v>
      </c>
      <c r="AF6286">
        <v>0</v>
      </c>
      <c r="AJ6286">
        <v>0</v>
      </c>
      <c r="AK6286">
        <v>0</v>
      </c>
      <c r="AL6286">
        <v>0</v>
      </c>
      <c r="AM6286">
        <v>0</v>
      </c>
      <c r="AN6286">
        <v>0</v>
      </c>
      <c r="AO6286">
        <v>0</v>
      </c>
      <c r="AP6286" s="2">
        <v>42746</v>
      </c>
      <c r="AQ6286" t="s">
        <v>72</v>
      </c>
      <c r="AR6286" t="s">
        <v>72</v>
      </c>
      <c r="AS6286">
        <v>1226</v>
      </c>
      <c r="AT6286" s="4">
        <v>42492</v>
      </c>
      <c r="AU6286" t="s">
        <v>73</v>
      </c>
      <c r="AV6286">
        <v>1226</v>
      </c>
      <c r="AW6286" s="4">
        <v>42492</v>
      </c>
      <c r="BD6286">
        <v>0</v>
      </c>
      <c r="BN6286" t="s">
        <v>74</v>
      </c>
    </row>
    <row r="6287" spans="1:66" hidden="1">
      <c r="A6287">
        <v>104048</v>
      </c>
      <c r="B6287" s="3" t="s">
        <v>602</v>
      </c>
      <c r="C6287" s="1">
        <v>43300101</v>
      </c>
      <c r="D6287" t="s">
        <v>67</v>
      </c>
      <c r="H6287" t="str">
        <f t="shared" si="645"/>
        <v>00674840152</v>
      </c>
      <c r="I6287" t="str">
        <f t="shared" si="645"/>
        <v>00674840152</v>
      </c>
      <c r="K6287" t="str">
        <f>""</f>
        <v/>
      </c>
      <c r="M6287" t="s">
        <v>68</v>
      </c>
      <c r="N6287" t="str">
        <f t="shared" si="644"/>
        <v>FOR</v>
      </c>
      <c r="O6287" t="s">
        <v>69</v>
      </c>
      <c r="P6287" s="3" t="s">
        <v>75</v>
      </c>
      <c r="Q6287">
        <v>2015</v>
      </c>
      <c r="R6287" s="2">
        <v>42171</v>
      </c>
      <c r="S6287" s="2">
        <v>42172</v>
      </c>
      <c r="T6287" s="2">
        <v>42172</v>
      </c>
      <c r="U6287" s="2">
        <v>42232</v>
      </c>
      <c r="V6287" t="s">
        <v>71</v>
      </c>
      <c r="W6287" t="str">
        <f>"          5301658277"</f>
        <v xml:space="preserve">          5301658277</v>
      </c>
      <c r="X6287">
        <v>136.1</v>
      </c>
      <c r="Y6287">
        <v>0</v>
      </c>
      <c r="Z6287"/>
      <c r="AB6287"/>
      <c r="AC6287">
        <v>111.56</v>
      </c>
      <c r="AD6287">
        <v>260</v>
      </c>
      <c r="AE6287" s="1">
        <v>29005.599999999999</v>
      </c>
      <c r="AF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0</v>
      </c>
      <c r="AP6287" s="2">
        <v>42746</v>
      </c>
      <c r="AQ6287" t="s">
        <v>72</v>
      </c>
      <c r="AR6287" t="s">
        <v>72</v>
      </c>
      <c r="AS6287">
        <v>1226</v>
      </c>
      <c r="AT6287" s="4">
        <v>42492</v>
      </c>
      <c r="AU6287" t="s">
        <v>73</v>
      </c>
      <c r="AV6287">
        <v>1226</v>
      </c>
      <c r="AW6287" s="4">
        <v>42492</v>
      </c>
      <c r="BD6287">
        <v>0</v>
      </c>
      <c r="BN6287" t="s">
        <v>74</v>
      </c>
    </row>
    <row r="6288" spans="1:66" hidden="1">
      <c r="A6288">
        <v>104048</v>
      </c>
      <c r="B6288" s="3" t="s">
        <v>602</v>
      </c>
      <c r="C6288" s="1">
        <v>43300101</v>
      </c>
      <c r="D6288" t="s">
        <v>67</v>
      </c>
      <c r="H6288" t="str">
        <f t="shared" si="645"/>
        <v>00674840152</v>
      </c>
      <c r="I6288" t="str">
        <f t="shared" si="645"/>
        <v>00674840152</v>
      </c>
      <c r="K6288" t="str">
        <f>""</f>
        <v/>
      </c>
      <c r="M6288" t="s">
        <v>68</v>
      </c>
      <c r="N6288" t="str">
        <f t="shared" si="644"/>
        <v>FOR</v>
      </c>
      <c r="O6288" t="s">
        <v>69</v>
      </c>
      <c r="P6288" s="3" t="s">
        <v>75</v>
      </c>
      <c r="Q6288">
        <v>2015</v>
      </c>
      <c r="R6288" s="2">
        <v>42172</v>
      </c>
      <c r="S6288" s="2">
        <v>42174</v>
      </c>
      <c r="T6288" s="2">
        <v>42173</v>
      </c>
      <c r="U6288" s="2">
        <v>42233</v>
      </c>
      <c r="V6288" t="s">
        <v>71</v>
      </c>
      <c r="W6288" t="str">
        <f>"          5301658635"</f>
        <v xml:space="preserve">          5301658635</v>
      </c>
      <c r="X6288">
        <v>646.79999999999995</v>
      </c>
      <c r="Y6288">
        <v>0</v>
      </c>
      <c r="Z6288"/>
      <c r="AB6288"/>
      <c r="AC6288">
        <v>588</v>
      </c>
      <c r="AD6288">
        <v>259</v>
      </c>
      <c r="AE6288" s="1">
        <v>152292</v>
      </c>
      <c r="AF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0</v>
      </c>
      <c r="AP6288" s="2">
        <v>42746</v>
      </c>
      <c r="AQ6288" t="s">
        <v>72</v>
      </c>
      <c r="AR6288" t="s">
        <v>72</v>
      </c>
      <c r="AS6288">
        <v>1226</v>
      </c>
      <c r="AT6288" s="4">
        <v>42492</v>
      </c>
      <c r="AU6288" t="s">
        <v>73</v>
      </c>
      <c r="AV6288">
        <v>1226</v>
      </c>
      <c r="AW6288" s="4">
        <v>42492</v>
      </c>
      <c r="BD6288">
        <v>0</v>
      </c>
      <c r="BN6288" t="s">
        <v>74</v>
      </c>
    </row>
    <row r="6289" spans="1:66" hidden="1">
      <c r="A6289">
        <v>104048</v>
      </c>
      <c r="B6289" s="3" t="s">
        <v>602</v>
      </c>
      <c r="C6289" s="1">
        <v>43300101</v>
      </c>
      <c r="D6289" t="s">
        <v>67</v>
      </c>
      <c r="H6289" t="str">
        <f t="shared" si="645"/>
        <v>00674840152</v>
      </c>
      <c r="I6289" t="str">
        <f t="shared" si="645"/>
        <v>00674840152</v>
      </c>
      <c r="K6289" t="str">
        <f>""</f>
        <v/>
      </c>
      <c r="M6289" t="s">
        <v>68</v>
      </c>
      <c r="N6289" t="str">
        <f t="shared" si="644"/>
        <v>FOR</v>
      </c>
      <c r="O6289" t="s">
        <v>69</v>
      </c>
      <c r="P6289" s="3" t="s">
        <v>75</v>
      </c>
      <c r="Q6289">
        <v>2015</v>
      </c>
      <c r="R6289" s="2">
        <v>42174</v>
      </c>
      <c r="S6289" s="2">
        <v>42181</v>
      </c>
      <c r="T6289" s="2">
        <v>42175</v>
      </c>
      <c r="U6289" s="2">
        <v>42235</v>
      </c>
      <c r="V6289" t="s">
        <v>71</v>
      </c>
      <c r="W6289" t="str">
        <f>"          5301659310"</f>
        <v xml:space="preserve">          5301659310</v>
      </c>
      <c r="X6289" s="1">
        <v>10221.040000000001</v>
      </c>
      <c r="Y6289">
        <v>0</v>
      </c>
      <c r="Z6289"/>
      <c r="AB6289"/>
      <c r="AC6289" s="1">
        <v>8377.9</v>
      </c>
      <c r="AD6289">
        <v>257</v>
      </c>
      <c r="AE6289" s="1">
        <v>2153120.2999999998</v>
      </c>
      <c r="AF6289">
        <v>0</v>
      </c>
      <c r="AJ6289">
        <v>0</v>
      </c>
      <c r="AK6289">
        <v>0</v>
      </c>
      <c r="AL6289">
        <v>0</v>
      </c>
      <c r="AM6289">
        <v>0</v>
      </c>
      <c r="AN6289">
        <v>0</v>
      </c>
      <c r="AO6289">
        <v>0</v>
      </c>
      <c r="AP6289" s="2">
        <v>42746</v>
      </c>
      <c r="AQ6289" t="s">
        <v>72</v>
      </c>
      <c r="AR6289" t="s">
        <v>72</v>
      </c>
      <c r="AS6289">
        <v>1226</v>
      </c>
      <c r="AT6289" s="4">
        <v>42492</v>
      </c>
      <c r="AU6289" t="s">
        <v>73</v>
      </c>
      <c r="AV6289">
        <v>1226</v>
      </c>
      <c r="AW6289" s="4">
        <v>42492</v>
      </c>
      <c r="BD6289">
        <v>0</v>
      </c>
      <c r="BN6289" t="s">
        <v>74</v>
      </c>
    </row>
    <row r="6290" spans="1:66" hidden="1">
      <c r="A6290">
        <v>104048</v>
      </c>
      <c r="B6290" s="3" t="s">
        <v>602</v>
      </c>
      <c r="C6290" s="1">
        <v>43300101</v>
      </c>
      <c r="D6290" t="s">
        <v>67</v>
      </c>
      <c r="H6290" t="str">
        <f t="shared" si="645"/>
        <v>00674840152</v>
      </c>
      <c r="I6290" t="str">
        <f t="shared" si="645"/>
        <v>00674840152</v>
      </c>
      <c r="K6290" t="str">
        <f>""</f>
        <v/>
      </c>
      <c r="M6290" t="s">
        <v>68</v>
      </c>
      <c r="N6290" t="str">
        <f t="shared" si="644"/>
        <v>FOR</v>
      </c>
      <c r="O6290" t="s">
        <v>69</v>
      </c>
      <c r="P6290" s="3" t="s">
        <v>75</v>
      </c>
      <c r="Q6290">
        <v>2015</v>
      </c>
      <c r="R6290" s="2">
        <v>42174</v>
      </c>
      <c r="S6290" s="2">
        <v>42181</v>
      </c>
      <c r="T6290" s="2">
        <v>42175</v>
      </c>
      <c r="U6290" s="2">
        <v>42235</v>
      </c>
      <c r="V6290" t="s">
        <v>71</v>
      </c>
      <c r="W6290" t="str">
        <f>"          5301659311"</f>
        <v xml:space="preserve">          5301659311</v>
      </c>
      <c r="X6290" s="1">
        <v>4406.8599999999997</v>
      </c>
      <c r="Y6290">
        <v>0</v>
      </c>
      <c r="Z6290"/>
      <c r="AB6290"/>
      <c r="AC6290" s="1">
        <v>3612.18</v>
      </c>
      <c r="AD6290">
        <v>257</v>
      </c>
      <c r="AE6290" s="1">
        <v>928330.26</v>
      </c>
      <c r="AF6290">
        <v>0</v>
      </c>
      <c r="AJ6290">
        <v>0</v>
      </c>
      <c r="AK6290">
        <v>0</v>
      </c>
      <c r="AL6290">
        <v>0</v>
      </c>
      <c r="AM6290">
        <v>0</v>
      </c>
      <c r="AN6290">
        <v>0</v>
      </c>
      <c r="AO6290">
        <v>0</v>
      </c>
      <c r="AP6290" s="2">
        <v>42746</v>
      </c>
      <c r="AQ6290" t="s">
        <v>72</v>
      </c>
      <c r="AR6290" t="s">
        <v>72</v>
      </c>
      <c r="AS6290">
        <v>1226</v>
      </c>
      <c r="AT6290" s="4">
        <v>42492</v>
      </c>
      <c r="AU6290" t="s">
        <v>73</v>
      </c>
      <c r="AV6290">
        <v>1226</v>
      </c>
      <c r="AW6290" s="4">
        <v>42492</v>
      </c>
      <c r="BD6290">
        <v>0</v>
      </c>
      <c r="BN6290" t="s">
        <v>74</v>
      </c>
    </row>
    <row r="6291" spans="1:66" hidden="1">
      <c r="A6291">
        <v>104048</v>
      </c>
      <c r="B6291" s="3" t="s">
        <v>602</v>
      </c>
      <c r="C6291" s="1">
        <v>43300101</v>
      </c>
      <c r="D6291" t="s">
        <v>67</v>
      </c>
      <c r="H6291" t="str">
        <f t="shared" si="645"/>
        <v>00674840152</v>
      </c>
      <c r="I6291" t="str">
        <f t="shared" si="645"/>
        <v>00674840152</v>
      </c>
      <c r="K6291" t="str">
        <f>""</f>
        <v/>
      </c>
      <c r="M6291" t="s">
        <v>68</v>
      </c>
      <c r="N6291" t="str">
        <f t="shared" si="644"/>
        <v>FOR</v>
      </c>
      <c r="O6291" t="s">
        <v>69</v>
      </c>
      <c r="P6291" s="3" t="s">
        <v>75</v>
      </c>
      <c r="Q6291">
        <v>2015</v>
      </c>
      <c r="R6291" s="2">
        <v>42181</v>
      </c>
      <c r="S6291" s="2">
        <v>42186</v>
      </c>
      <c r="T6291" s="2">
        <v>42182</v>
      </c>
      <c r="U6291" s="2">
        <v>42242</v>
      </c>
      <c r="V6291" t="s">
        <v>71</v>
      </c>
      <c r="W6291" t="str">
        <f>"          5301661029"</f>
        <v xml:space="preserve">          5301661029</v>
      </c>
      <c r="X6291" s="1">
        <v>1756.8</v>
      </c>
      <c r="Y6291">
        <v>0</v>
      </c>
      <c r="Z6291"/>
      <c r="AB6291"/>
      <c r="AC6291" s="1">
        <v>1440</v>
      </c>
      <c r="AD6291">
        <v>250</v>
      </c>
      <c r="AE6291" s="1">
        <v>360000</v>
      </c>
      <c r="AF6291">
        <v>0</v>
      </c>
      <c r="AJ6291">
        <v>0</v>
      </c>
      <c r="AK6291">
        <v>0</v>
      </c>
      <c r="AL6291">
        <v>0</v>
      </c>
      <c r="AM6291">
        <v>0</v>
      </c>
      <c r="AN6291">
        <v>0</v>
      </c>
      <c r="AO6291">
        <v>0</v>
      </c>
      <c r="AP6291" s="2">
        <v>42746</v>
      </c>
      <c r="AQ6291" t="s">
        <v>72</v>
      </c>
      <c r="AR6291" t="s">
        <v>72</v>
      </c>
      <c r="AS6291">
        <v>1226</v>
      </c>
      <c r="AT6291" s="4">
        <v>42492</v>
      </c>
      <c r="AU6291" t="s">
        <v>73</v>
      </c>
      <c r="AV6291">
        <v>1226</v>
      </c>
      <c r="AW6291" s="4">
        <v>42492</v>
      </c>
      <c r="BD6291">
        <v>0</v>
      </c>
      <c r="BN6291" t="s">
        <v>74</v>
      </c>
    </row>
    <row r="6292" spans="1:66" hidden="1">
      <c r="A6292">
        <v>104048</v>
      </c>
      <c r="B6292" s="3" t="s">
        <v>602</v>
      </c>
      <c r="C6292" s="1">
        <v>43300101</v>
      </c>
      <c r="D6292" t="s">
        <v>67</v>
      </c>
      <c r="H6292" t="str">
        <f t="shared" si="645"/>
        <v>00674840152</v>
      </c>
      <c r="I6292" t="str">
        <f t="shared" si="645"/>
        <v>00674840152</v>
      </c>
      <c r="K6292" t="str">
        <f>""</f>
        <v/>
      </c>
      <c r="M6292" t="s">
        <v>68</v>
      </c>
      <c r="N6292" t="str">
        <f t="shared" si="644"/>
        <v>FOR</v>
      </c>
      <c r="O6292" t="s">
        <v>69</v>
      </c>
      <c r="P6292" s="3" t="s">
        <v>75</v>
      </c>
      <c r="Q6292">
        <v>2015</v>
      </c>
      <c r="R6292" s="2">
        <v>42181</v>
      </c>
      <c r="S6292" s="2">
        <v>42186</v>
      </c>
      <c r="T6292" s="2">
        <v>42182</v>
      </c>
      <c r="U6292" s="2">
        <v>42242</v>
      </c>
      <c r="V6292" t="s">
        <v>71</v>
      </c>
      <c r="W6292" t="str">
        <f>"          5301661030"</f>
        <v xml:space="preserve">          5301661030</v>
      </c>
      <c r="X6292">
        <v>605.12</v>
      </c>
      <c r="Y6292">
        <v>0</v>
      </c>
      <c r="Z6292"/>
      <c r="AB6292"/>
      <c r="AC6292">
        <v>496</v>
      </c>
      <c r="AD6292">
        <v>250</v>
      </c>
      <c r="AE6292" s="1">
        <v>124000</v>
      </c>
      <c r="AF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 s="2">
        <v>42746</v>
      </c>
      <c r="AQ6292" t="s">
        <v>72</v>
      </c>
      <c r="AR6292" t="s">
        <v>72</v>
      </c>
      <c r="AS6292">
        <v>1226</v>
      </c>
      <c r="AT6292" s="4">
        <v>42492</v>
      </c>
      <c r="AU6292" t="s">
        <v>73</v>
      </c>
      <c r="AV6292">
        <v>1226</v>
      </c>
      <c r="AW6292" s="4">
        <v>42492</v>
      </c>
      <c r="BD6292">
        <v>0</v>
      </c>
      <c r="BN6292" t="s">
        <v>74</v>
      </c>
    </row>
    <row r="6293" spans="1:66" hidden="1">
      <c r="A6293">
        <v>104048</v>
      </c>
      <c r="B6293" s="3" t="s">
        <v>602</v>
      </c>
      <c r="C6293" s="1">
        <v>43300101</v>
      </c>
      <c r="D6293" t="s">
        <v>67</v>
      </c>
      <c r="H6293" t="str">
        <f t="shared" si="645"/>
        <v>00674840152</v>
      </c>
      <c r="I6293" t="str">
        <f t="shared" si="645"/>
        <v>00674840152</v>
      </c>
      <c r="K6293" t="str">
        <f>""</f>
        <v/>
      </c>
      <c r="M6293" t="s">
        <v>68</v>
      </c>
      <c r="N6293" t="str">
        <f t="shared" si="644"/>
        <v>FOR</v>
      </c>
      <c r="O6293" t="s">
        <v>69</v>
      </c>
      <c r="P6293" s="3" t="s">
        <v>75</v>
      </c>
      <c r="Q6293">
        <v>2015</v>
      </c>
      <c r="R6293" s="2">
        <v>42181</v>
      </c>
      <c r="S6293" s="2">
        <v>42186</v>
      </c>
      <c r="T6293" s="2">
        <v>42182</v>
      </c>
      <c r="U6293" s="2">
        <v>42242</v>
      </c>
      <c r="V6293" t="s">
        <v>71</v>
      </c>
      <c r="W6293" t="str">
        <f>"          5301661031"</f>
        <v xml:space="preserve">          5301661031</v>
      </c>
      <c r="X6293" s="1">
        <v>1927.6</v>
      </c>
      <c r="Y6293">
        <v>0</v>
      </c>
      <c r="Z6293"/>
      <c r="AB6293"/>
      <c r="AC6293" s="1">
        <v>1580</v>
      </c>
      <c r="AD6293">
        <v>250</v>
      </c>
      <c r="AE6293" s="1">
        <v>395000</v>
      </c>
      <c r="AF6293">
        <v>0</v>
      </c>
      <c r="AJ6293">
        <v>0</v>
      </c>
      <c r="AK6293">
        <v>0</v>
      </c>
      <c r="AL6293">
        <v>0</v>
      </c>
      <c r="AM6293">
        <v>0</v>
      </c>
      <c r="AN6293">
        <v>0</v>
      </c>
      <c r="AO6293">
        <v>0</v>
      </c>
      <c r="AP6293" s="2">
        <v>42746</v>
      </c>
      <c r="AQ6293" t="s">
        <v>72</v>
      </c>
      <c r="AR6293" t="s">
        <v>72</v>
      </c>
      <c r="AS6293">
        <v>1226</v>
      </c>
      <c r="AT6293" s="4">
        <v>42492</v>
      </c>
      <c r="AU6293" t="s">
        <v>73</v>
      </c>
      <c r="AV6293">
        <v>1226</v>
      </c>
      <c r="AW6293" s="4">
        <v>42492</v>
      </c>
      <c r="BD6293">
        <v>0</v>
      </c>
      <c r="BN6293" t="s">
        <v>74</v>
      </c>
    </row>
    <row r="6294" spans="1:66" hidden="1">
      <c r="A6294">
        <v>104048</v>
      </c>
      <c r="B6294" s="3" t="s">
        <v>602</v>
      </c>
      <c r="C6294" s="1">
        <v>43300101</v>
      </c>
      <c r="D6294" t="s">
        <v>67</v>
      </c>
      <c r="H6294" t="str">
        <f t="shared" ref="H6294:I6313" si="646">"00674840152"</f>
        <v>00674840152</v>
      </c>
      <c r="I6294" t="str">
        <f t="shared" si="646"/>
        <v>00674840152</v>
      </c>
      <c r="K6294" t="str">
        <f>""</f>
        <v/>
      </c>
      <c r="M6294" t="s">
        <v>68</v>
      </c>
      <c r="N6294" t="str">
        <f t="shared" si="644"/>
        <v>FOR</v>
      </c>
      <c r="O6294" t="s">
        <v>69</v>
      </c>
      <c r="P6294" s="3" t="s">
        <v>75</v>
      </c>
      <c r="Q6294">
        <v>2015</v>
      </c>
      <c r="R6294" s="2">
        <v>42184</v>
      </c>
      <c r="S6294" s="2">
        <v>42191</v>
      </c>
      <c r="T6294" s="2">
        <v>42185</v>
      </c>
      <c r="U6294" s="2">
        <v>42245</v>
      </c>
      <c r="V6294" t="s">
        <v>71</v>
      </c>
      <c r="W6294" t="str">
        <f>"          5301661383"</f>
        <v xml:space="preserve">          5301661383</v>
      </c>
      <c r="X6294">
        <v>827.01</v>
      </c>
      <c r="Y6294">
        <v>0</v>
      </c>
      <c r="Z6294"/>
      <c r="AB6294"/>
      <c r="AC6294">
        <v>677.88</v>
      </c>
      <c r="AD6294">
        <v>247</v>
      </c>
      <c r="AE6294" s="1">
        <v>167436.35999999999</v>
      </c>
      <c r="AF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 s="2">
        <v>42746</v>
      </c>
      <c r="AQ6294" t="s">
        <v>72</v>
      </c>
      <c r="AR6294" t="s">
        <v>72</v>
      </c>
      <c r="AS6294">
        <v>1226</v>
      </c>
      <c r="AT6294" s="4">
        <v>42492</v>
      </c>
      <c r="AU6294" t="s">
        <v>73</v>
      </c>
      <c r="AV6294">
        <v>1226</v>
      </c>
      <c r="AW6294" s="4">
        <v>42492</v>
      </c>
      <c r="BD6294">
        <v>0</v>
      </c>
      <c r="BN6294" t="s">
        <v>74</v>
      </c>
    </row>
    <row r="6295" spans="1:66" hidden="1">
      <c r="A6295">
        <v>104048</v>
      </c>
      <c r="B6295" s="3" t="s">
        <v>602</v>
      </c>
      <c r="C6295" s="1">
        <v>43300101</v>
      </c>
      <c r="D6295" t="s">
        <v>67</v>
      </c>
      <c r="H6295" t="str">
        <f t="shared" si="646"/>
        <v>00674840152</v>
      </c>
      <c r="I6295" t="str">
        <f t="shared" si="646"/>
        <v>00674840152</v>
      </c>
      <c r="K6295" t="str">
        <f>""</f>
        <v/>
      </c>
      <c r="M6295" t="s">
        <v>68</v>
      </c>
      <c r="N6295" t="str">
        <f t="shared" si="644"/>
        <v>FOR</v>
      </c>
      <c r="O6295" t="s">
        <v>69</v>
      </c>
      <c r="P6295" s="3" t="s">
        <v>75</v>
      </c>
      <c r="Q6295">
        <v>2015</v>
      </c>
      <c r="R6295" s="2">
        <v>42184</v>
      </c>
      <c r="S6295" s="2">
        <v>42191</v>
      </c>
      <c r="T6295" s="2">
        <v>42185</v>
      </c>
      <c r="U6295" s="2">
        <v>42245</v>
      </c>
      <c r="V6295" t="s">
        <v>71</v>
      </c>
      <c r="W6295" t="str">
        <f>"          5301661384"</f>
        <v xml:space="preserve">          5301661384</v>
      </c>
      <c r="X6295">
        <v>199.91</v>
      </c>
      <c r="Y6295">
        <v>0</v>
      </c>
      <c r="Z6295"/>
      <c r="AB6295"/>
      <c r="AC6295">
        <v>163.86</v>
      </c>
      <c r="AD6295">
        <v>247</v>
      </c>
      <c r="AE6295" s="1">
        <v>40473.42</v>
      </c>
      <c r="AF6295">
        <v>0</v>
      </c>
      <c r="AJ6295">
        <v>0</v>
      </c>
      <c r="AK6295">
        <v>0</v>
      </c>
      <c r="AL6295">
        <v>0</v>
      </c>
      <c r="AM6295">
        <v>0</v>
      </c>
      <c r="AN6295">
        <v>0</v>
      </c>
      <c r="AO6295">
        <v>0</v>
      </c>
      <c r="AP6295" s="2">
        <v>42746</v>
      </c>
      <c r="AQ6295" t="s">
        <v>72</v>
      </c>
      <c r="AR6295" t="s">
        <v>72</v>
      </c>
      <c r="AS6295">
        <v>1226</v>
      </c>
      <c r="AT6295" s="4">
        <v>42492</v>
      </c>
      <c r="AU6295" t="s">
        <v>73</v>
      </c>
      <c r="AV6295">
        <v>1226</v>
      </c>
      <c r="AW6295" s="4">
        <v>42492</v>
      </c>
      <c r="BD6295">
        <v>0</v>
      </c>
      <c r="BN6295" t="s">
        <v>74</v>
      </c>
    </row>
    <row r="6296" spans="1:66" hidden="1">
      <c r="A6296">
        <v>104048</v>
      </c>
      <c r="B6296" s="3" t="s">
        <v>602</v>
      </c>
      <c r="C6296" s="1">
        <v>43300101</v>
      </c>
      <c r="D6296" t="s">
        <v>67</v>
      </c>
      <c r="H6296" t="str">
        <f t="shared" si="646"/>
        <v>00674840152</v>
      </c>
      <c r="I6296" t="str">
        <f t="shared" si="646"/>
        <v>00674840152</v>
      </c>
      <c r="K6296" t="str">
        <f>""</f>
        <v/>
      </c>
      <c r="M6296" t="s">
        <v>68</v>
      </c>
      <c r="N6296" t="str">
        <f t="shared" si="644"/>
        <v>FOR</v>
      </c>
      <c r="O6296" t="s">
        <v>69</v>
      </c>
      <c r="P6296" s="3" t="s">
        <v>75</v>
      </c>
      <c r="Q6296">
        <v>2015</v>
      </c>
      <c r="R6296" s="2">
        <v>42184</v>
      </c>
      <c r="S6296" s="2">
        <v>42191</v>
      </c>
      <c r="T6296" s="2">
        <v>42185</v>
      </c>
      <c r="U6296" s="2">
        <v>42245</v>
      </c>
      <c r="V6296" t="s">
        <v>71</v>
      </c>
      <c r="W6296" t="str">
        <f>"          5301661385"</f>
        <v xml:space="preserve">          5301661385</v>
      </c>
      <c r="X6296">
        <v>793.9</v>
      </c>
      <c r="Y6296">
        <v>0</v>
      </c>
      <c r="Z6296"/>
      <c r="AB6296"/>
      <c r="AC6296">
        <v>650.74</v>
      </c>
      <c r="AD6296">
        <v>247</v>
      </c>
      <c r="AE6296" s="1">
        <v>160732.78</v>
      </c>
      <c r="AF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 s="2">
        <v>42746</v>
      </c>
      <c r="AQ6296" t="s">
        <v>72</v>
      </c>
      <c r="AR6296" t="s">
        <v>72</v>
      </c>
      <c r="AS6296">
        <v>1226</v>
      </c>
      <c r="AT6296" s="4">
        <v>42492</v>
      </c>
      <c r="AU6296" t="s">
        <v>73</v>
      </c>
      <c r="AV6296">
        <v>1226</v>
      </c>
      <c r="AW6296" s="4">
        <v>42492</v>
      </c>
      <c r="BD6296">
        <v>0</v>
      </c>
      <c r="BN6296" t="s">
        <v>74</v>
      </c>
    </row>
    <row r="6297" spans="1:66" hidden="1">
      <c r="A6297">
        <v>104048</v>
      </c>
      <c r="B6297" s="3" t="s">
        <v>602</v>
      </c>
      <c r="C6297" s="1">
        <v>43300101</v>
      </c>
      <c r="D6297" t="s">
        <v>67</v>
      </c>
      <c r="H6297" t="str">
        <f t="shared" si="646"/>
        <v>00674840152</v>
      </c>
      <c r="I6297" t="str">
        <f t="shared" si="646"/>
        <v>00674840152</v>
      </c>
      <c r="K6297" t="str">
        <f>""</f>
        <v/>
      </c>
      <c r="M6297" t="s">
        <v>68</v>
      </c>
      <c r="N6297" t="str">
        <f t="shared" si="644"/>
        <v>FOR</v>
      </c>
      <c r="O6297" t="s">
        <v>69</v>
      </c>
      <c r="P6297" s="3" t="s">
        <v>75</v>
      </c>
      <c r="Q6297">
        <v>2015</v>
      </c>
      <c r="R6297" s="2">
        <v>42185</v>
      </c>
      <c r="S6297" s="2">
        <v>42191</v>
      </c>
      <c r="T6297" s="2">
        <v>42187</v>
      </c>
      <c r="U6297" s="2">
        <v>42247</v>
      </c>
      <c r="V6297" t="s">
        <v>71</v>
      </c>
      <c r="W6297" t="str">
        <f>"          5301661866"</f>
        <v xml:space="preserve">          5301661866</v>
      </c>
      <c r="X6297">
        <v>222.6</v>
      </c>
      <c r="Y6297">
        <v>0</v>
      </c>
      <c r="Z6297"/>
      <c r="AB6297"/>
      <c r="AC6297">
        <v>182.46</v>
      </c>
      <c r="AD6297">
        <v>245</v>
      </c>
      <c r="AE6297" s="1">
        <v>44702.7</v>
      </c>
      <c r="AF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0</v>
      </c>
      <c r="AP6297" s="2">
        <v>42746</v>
      </c>
      <c r="AQ6297" t="s">
        <v>72</v>
      </c>
      <c r="AR6297" t="s">
        <v>72</v>
      </c>
      <c r="AS6297">
        <v>1226</v>
      </c>
      <c r="AT6297" s="4">
        <v>42492</v>
      </c>
      <c r="AU6297" t="s">
        <v>73</v>
      </c>
      <c r="AV6297">
        <v>1226</v>
      </c>
      <c r="AW6297" s="4">
        <v>42492</v>
      </c>
      <c r="BD6297">
        <v>0</v>
      </c>
      <c r="BN6297" t="s">
        <v>74</v>
      </c>
    </row>
    <row r="6298" spans="1:66" hidden="1">
      <c r="A6298">
        <v>104048</v>
      </c>
      <c r="B6298" s="3" t="s">
        <v>602</v>
      </c>
      <c r="C6298" s="1">
        <v>43300101</v>
      </c>
      <c r="D6298" t="s">
        <v>67</v>
      </c>
      <c r="H6298" t="str">
        <f t="shared" si="646"/>
        <v>00674840152</v>
      </c>
      <c r="I6298" t="str">
        <f t="shared" si="646"/>
        <v>00674840152</v>
      </c>
      <c r="K6298" t="str">
        <f>""</f>
        <v/>
      </c>
      <c r="M6298" t="s">
        <v>68</v>
      </c>
      <c r="N6298" t="str">
        <f t="shared" si="644"/>
        <v>FOR</v>
      </c>
      <c r="O6298" t="s">
        <v>69</v>
      </c>
      <c r="P6298" s="3" t="s">
        <v>75</v>
      </c>
      <c r="Q6298">
        <v>2015</v>
      </c>
      <c r="R6298" s="2">
        <v>42187</v>
      </c>
      <c r="S6298" s="2">
        <v>42191</v>
      </c>
      <c r="T6298" s="2">
        <v>42188</v>
      </c>
      <c r="U6298" s="2">
        <v>42248</v>
      </c>
      <c r="V6298" t="s">
        <v>71</v>
      </c>
      <c r="W6298" t="str">
        <f>"          5301662542"</f>
        <v xml:space="preserve">          5301662542</v>
      </c>
      <c r="X6298" s="1">
        <v>8719.58</v>
      </c>
      <c r="Y6298">
        <v>0</v>
      </c>
      <c r="Z6298"/>
      <c r="AB6298"/>
      <c r="AC6298" s="1">
        <v>7147.2</v>
      </c>
      <c r="AD6298">
        <v>272</v>
      </c>
      <c r="AE6298" s="1">
        <v>1944038.3999999999</v>
      </c>
      <c r="AF6298">
        <v>0</v>
      </c>
      <c r="AJ6298">
        <v>0</v>
      </c>
      <c r="AK6298">
        <v>0</v>
      </c>
      <c r="AL6298">
        <v>0</v>
      </c>
      <c r="AM6298">
        <v>0</v>
      </c>
      <c r="AN6298">
        <v>0</v>
      </c>
      <c r="AO6298">
        <v>0</v>
      </c>
      <c r="AP6298" s="2">
        <v>42746</v>
      </c>
      <c r="AQ6298" t="s">
        <v>72</v>
      </c>
      <c r="AR6298" t="s">
        <v>72</v>
      </c>
      <c r="AS6298">
        <v>1459</v>
      </c>
      <c r="AT6298" s="4">
        <v>42520</v>
      </c>
      <c r="AU6298" t="s">
        <v>73</v>
      </c>
      <c r="AV6298">
        <v>1459</v>
      </c>
      <c r="AW6298" s="4">
        <v>42520</v>
      </c>
      <c r="BD6298">
        <v>0</v>
      </c>
      <c r="BN6298" t="s">
        <v>74</v>
      </c>
    </row>
    <row r="6299" spans="1:66" hidden="1">
      <c r="A6299">
        <v>104048</v>
      </c>
      <c r="B6299" s="3" t="s">
        <v>602</v>
      </c>
      <c r="C6299" s="1">
        <v>43300101</v>
      </c>
      <c r="D6299" t="s">
        <v>67</v>
      </c>
      <c r="H6299" t="str">
        <f t="shared" si="646"/>
        <v>00674840152</v>
      </c>
      <c r="I6299" t="str">
        <f t="shared" si="646"/>
        <v>00674840152</v>
      </c>
      <c r="K6299" t="str">
        <f>""</f>
        <v/>
      </c>
      <c r="M6299" t="s">
        <v>68</v>
      </c>
      <c r="N6299" t="str">
        <f t="shared" si="644"/>
        <v>FOR</v>
      </c>
      <c r="O6299" t="s">
        <v>69</v>
      </c>
      <c r="P6299" s="3" t="s">
        <v>75</v>
      </c>
      <c r="Q6299">
        <v>2015</v>
      </c>
      <c r="R6299" s="2">
        <v>42192</v>
      </c>
      <c r="S6299" s="2">
        <v>42198</v>
      </c>
      <c r="T6299" s="2">
        <v>42193</v>
      </c>
      <c r="U6299" s="2">
        <v>42253</v>
      </c>
      <c r="V6299" t="s">
        <v>71</v>
      </c>
      <c r="W6299" t="str">
        <f>"          5301663536"</f>
        <v xml:space="preserve">          5301663536</v>
      </c>
      <c r="X6299" s="1">
        <v>11126.4</v>
      </c>
      <c r="Y6299">
        <v>0</v>
      </c>
      <c r="Z6299"/>
      <c r="AB6299"/>
      <c r="AC6299" s="1">
        <v>9120</v>
      </c>
      <c r="AD6299">
        <v>267</v>
      </c>
      <c r="AE6299" s="1">
        <v>2435040</v>
      </c>
      <c r="AF6299">
        <v>0</v>
      </c>
      <c r="AJ6299">
        <v>0</v>
      </c>
      <c r="AK6299">
        <v>0</v>
      </c>
      <c r="AL6299">
        <v>0</v>
      </c>
      <c r="AM6299">
        <v>0</v>
      </c>
      <c r="AN6299">
        <v>0</v>
      </c>
      <c r="AO6299">
        <v>0</v>
      </c>
      <c r="AP6299" s="2">
        <v>42746</v>
      </c>
      <c r="AQ6299" t="s">
        <v>72</v>
      </c>
      <c r="AR6299" t="s">
        <v>72</v>
      </c>
      <c r="AS6299">
        <v>1459</v>
      </c>
      <c r="AT6299" s="4">
        <v>42520</v>
      </c>
      <c r="AU6299" t="s">
        <v>73</v>
      </c>
      <c r="AV6299">
        <v>1459</v>
      </c>
      <c r="AW6299" s="4">
        <v>42520</v>
      </c>
      <c r="BD6299">
        <v>0</v>
      </c>
      <c r="BN6299" t="s">
        <v>74</v>
      </c>
    </row>
    <row r="6300" spans="1:66" hidden="1">
      <c r="A6300">
        <v>104048</v>
      </c>
      <c r="B6300" s="3" t="s">
        <v>602</v>
      </c>
      <c r="C6300" s="1">
        <v>43300101</v>
      </c>
      <c r="D6300" t="s">
        <v>67</v>
      </c>
      <c r="H6300" t="str">
        <f t="shared" si="646"/>
        <v>00674840152</v>
      </c>
      <c r="I6300" t="str">
        <f t="shared" si="646"/>
        <v>00674840152</v>
      </c>
      <c r="K6300" t="str">
        <f>""</f>
        <v/>
      </c>
      <c r="M6300" t="s">
        <v>68</v>
      </c>
      <c r="N6300" t="str">
        <f t="shared" si="644"/>
        <v>FOR</v>
      </c>
      <c r="O6300" t="s">
        <v>69</v>
      </c>
      <c r="P6300" s="3" t="s">
        <v>75</v>
      </c>
      <c r="Q6300">
        <v>2015</v>
      </c>
      <c r="R6300" s="2">
        <v>42193</v>
      </c>
      <c r="S6300" s="2">
        <v>42195</v>
      </c>
      <c r="T6300" s="2">
        <v>42194</v>
      </c>
      <c r="U6300" s="2">
        <v>42254</v>
      </c>
      <c r="V6300" t="s">
        <v>71</v>
      </c>
      <c r="W6300" t="str">
        <f>"          5301663814"</f>
        <v xml:space="preserve">          5301663814</v>
      </c>
      <c r="X6300">
        <v>210.15</v>
      </c>
      <c r="Y6300">
        <v>0</v>
      </c>
      <c r="Z6300"/>
      <c r="AB6300"/>
      <c r="AC6300">
        <v>172.25</v>
      </c>
      <c r="AD6300">
        <v>266</v>
      </c>
      <c r="AE6300" s="1">
        <v>45818.5</v>
      </c>
      <c r="AF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0</v>
      </c>
      <c r="AP6300" s="2">
        <v>42746</v>
      </c>
      <c r="AQ6300" t="s">
        <v>72</v>
      </c>
      <c r="AR6300" t="s">
        <v>72</v>
      </c>
      <c r="AS6300">
        <v>1459</v>
      </c>
      <c r="AT6300" s="4">
        <v>42520</v>
      </c>
      <c r="AU6300" t="s">
        <v>73</v>
      </c>
      <c r="AV6300">
        <v>1459</v>
      </c>
      <c r="AW6300" s="4">
        <v>42520</v>
      </c>
      <c r="BD6300">
        <v>0</v>
      </c>
      <c r="BN6300" t="s">
        <v>74</v>
      </c>
    </row>
    <row r="6301" spans="1:66" hidden="1">
      <c r="A6301">
        <v>104048</v>
      </c>
      <c r="B6301" s="3" t="s">
        <v>602</v>
      </c>
      <c r="C6301" s="1">
        <v>43300101</v>
      </c>
      <c r="D6301" t="s">
        <v>67</v>
      </c>
      <c r="H6301" t="str">
        <f t="shared" si="646"/>
        <v>00674840152</v>
      </c>
      <c r="I6301" t="str">
        <f t="shared" si="646"/>
        <v>00674840152</v>
      </c>
      <c r="K6301" t="str">
        <f>""</f>
        <v/>
      </c>
      <c r="M6301" t="s">
        <v>68</v>
      </c>
      <c r="N6301" t="str">
        <f t="shared" si="644"/>
        <v>FOR</v>
      </c>
      <c r="O6301" t="s">
        <v>69</v>
      </c>
      <c r="P6301" s="3" t="s">
        <v>75</v>
      </c>
      <c r="Q6301">
        <v>2015</v>
      </c>
      <c r="R6301" s="2">
        <v>42193</v>
      </c>
      <c r="S6301" s="2">
        <v>42195</v>
      </c>
      <c r="T6301" s="2">
        <v>42194</v>
      </c>
      <c r="U6301" s="2">
        <v>42254</v>
      </c>
      <c r="V6301" t="s">
        <v>71</v>
      </c>
      <c r="W6301" t="str">
        <f>"          5301663815"</f>
        <v xml:space="preserve">          5301663815</v>
      </c>
      <c r="X6301">
        <v>963.8</v>
      </c>
      <c r="Y6301">
        <v>0</v>
      </c>
      <c r="Z6301"/>
      <c r="AB6301"/>
      <c r="AC6301">
        <v>790</v>
      </c>
      <c r="AD6301">
        <v>266</v>
      </c>
      <c r="AE6301" s="1">
        <v>210140</v>
      </c>
      <c r="AF6301">
        <v>0</v>
      </c>
      <c r="AJ6301">
        <v>0</v>
      </c>
      <c r="AK6301">
        <v>0</v>
      </c>
      <c r="AL6301">
        <v>0</v>
      </c>
      <c r="AM6301">
        <v>0</v>
      </c>
      <c r="AN6301">
        <v>0</v>
      </c>
      <c r="AO6301">
        <v>0</v>
      </c>
      <c r="AP6301" s="2">
        <v>42746</v>
      </c>
      <c r="AQ6301" t="s">
        <v>72</v>
      </c>
      <c r="AR6301" t="s">
        <v>72</v>
      </c>
      <c r="AS6301">
        <v>1459</v>
      </c>
      <c r="AT6301" s="4">
        <v>42520</v>
      </c>
      <c r="AU6301" t="s">
        <v>73</v>
      </c>
      <c r="AV6301">
        <v>1459</v>
      </c>
      <c r="AW6301" s="4">
        <v>42520</v>
      </c>
      <c r="BD6301">
        <v>0</v>
      </c>
      <c r="BN6301" t="s">
        <v>74</v>
      </c>
    </row>
    <row r="6302" spans="1:66" hidden="1">
      <c r="A6302">
        <v>104048</v>
      </c>
      <c r="B6302" s="3" t="s">
        <v>602</v>
      </c>
      <c r="C6302" s="1">
        <v>43300101</v>
      </c>
      <c r="D6302" t="s">
        <v>67</v>
      </c>
      <c r="H6302" t="str">
        <f t="shared" si="646"/>
        <v>00674840152</v>
      </c>
      <c r="I6302" t="str">
        <f t="shared" si="646"/>
        <v>00674840152</v>
      </c>
      <c r="K6302" t="str">
        <f>""</f>
        <v/>
      </c>
      <c r="M6302" t="s">
        <v>68</v>
      </c>
      <c r="N6302" t="str">
        <f t="shared" si="644"/>
        <v>FOR</v>
      </c>
      <c r="O6302" t="s">
        <v>69</v>
      </c>
      <c r="P6302" s="3" t="s">
        <v>75</v>
      </c>
      <c r="Q6302">
        <v>2015</v>
      </c>
      <c r="R6302" s="2">
        <v>42193</v>
      </c>
      <c r="S6302" s="2">
        <v>42195</v>
      </c>
      <c r="T6302" s="2">
        <v>42194</v>
      </c>
      <c r="U6302" s="2">
        <v>42254</v>
      </c>
      <c r="V6302" t="s">
        <v>71</v>
      </c>
      <c r="W6302" t="str">
        <f>"          5301663816"</f>
        <v xml:space="preserve">          5301663816</v>
      </c>
      <c r="X6302">
        <v>605.12</v>
      </c>
      <c r="Y6302">
        <v>0</v>
      </c>
      <c r="Z6302"/>
      <c r="AB6302"/>
      <c r="AC6302">
        <v>496</v>
      </c>
      <c r="AD6302">
        <v>266</v>
      </c>
      <c r="AE6302" s="1">
        <v>131936</v>
      </c>
      <c r="AF6302">
        <v>0</v>
      </c>
      <c r="AJ6302">
        <v>0</v>
      </c>
      <c r="AK6302">
        <v>0</v>
      </c>
      <c r="AL6302">
        <v>0</v>
      </c>
      <c r="AM6302">
        <v>0</v>
      </c>
      <c r="AN6302">
        <v>0</v>
      </c>
      <c r="AO6302">
        <v>0</v>
      </c>
      <c r="AP6302" s="2">
        <v>42746</v>
      </c>
      <c r="AQ6302" t="s">
        <v>72</v>
      </c>
      <c r="AR6302" t="s">
        <v>72</v>
      </c>
      <c r="AS6302">
        <v>1459</v>
      </c>
      <c r="AT6302" s="4">
        <v>42520</v>
      </c>
      <c r="AU6302" t="s">
        <v>73</v>
      </c>
      <c r="AV6302">
        <v>1459</v>
      </c>
      <c r="AW6302" s="4">
        <v>42520</v>
      </c>
      <c r="BD6302">
        <v>0</v>
      </c>
      <c r="BN6302" t="s">
        <v>74</v>
      </c>
    </row>
    <row r="6303" spans="1:66" hidden="1">
      <c r="A6303">
        <v>104048</v>
      </c>
      <c r="B6303" s="3" t="s">
        <v>602</v>
      </c>
      <c r="C6303" s="1">
        <v>43300101</v>
      </c>
      <c r="D6303" t="s">
        <v>67</v>
      </c>
      <c r="H6303" t="str">
        <f t="shared" si="646"/>
        <v>00674840152</v>
      </c>
      <c r="I6303" t="str">
        <f t="shared" si="646"/>
        <v>00674840152</v>
      </c>
      <c r="K6303" t="str">
        <f>""</f>
        <v/>
      </c>
      <c r="M6303" t="s">
        <v>68</v>
      </c>
      <c r="N6303" t="str">
        <f t="shared" si="644"/>
        <v>FOR</v>
      </c>
      <c r="O6303" t="s">
        <v>69</v>
      </c>
      <c r="P6303" s="3" t="s">
        <v>75</v>
      </c>
      <c r="Q6303">
        <v>2015</v>
      </c>
      <c r="R6303" s="2">
        <v>42207</v>
      </c>
      <c r="S6303" s="2">
        <v>42209</v>
      </c>
      <c r="T6303" s="2">
        <v>42208</v>
      </c>
      <c r="U6303" s="2">
        <v>42268</v>
      </c>
      <c r="V6303" t="s">
        <v>71</v>
      </c>
      <c r="W6303" t="str">
        <f>"          5301667700"</f>
        <v xml:space="preserve">          5301667700</v>
      </c>
      <c r="X6303" s="1">
        <v>1293.5999999999999</v>
      </c>
      <c r="Y6303">
        <v>0</v>
      </c>
      <c r="Z6303"/>
      <c r="AB6303"/>
      <c r="AC6303" s="1">
        <v>1176</v>
      </c>
      <c r="AD6303">
        <v>252</v>
      </c>
      <c r="AE6303" s="1">
        <v>296352</v>
      </c>
      <c r="AF6303">
        <v>0</v>
      </c>
      <c r="AJ6303">
        <v>0</v>
      </c>
      <c r="AK6303">
        <v>0</v>
      </c>
      <c r="AL6303">
        <v>0</v>
      </c>
      <c r="AM6303">
        <v>0</v>
      </c>
      <c r="AN6303">
        <v>0</v>
      </c>
      <c r="AO6303">
        <v>0</v>
      </c>
      <c r="AP6303" s="2">
        <v>42746</v>
      </c>
      <c r="AQ6303" t="s">
        <v>72</v>
      </c>
      <c r="AR6303" t="s">
        <v>72</v>
      </c>
      <c r="AS6303">
        <v>1459</v>
      </c>
      <c r="AT6303" s="4">
        <v>42520</v>
      </c>
      <c r="AU6303" t="s">
        <v>73</v>
      </c>
      <c r="AV6303">
        <v>1459</v>
      </c>
      <c r="AW6303" s="4">
        <v>42520</v>
      </c>
      <c r="BD6303">
        <v>0</v>
      </c>
      <c r="BN6303" t="s">
        <v>74</v>
      </c>
    </row>
    <row r="6304" spans="1:66" hidden="1">
      <c r="A6304">
        <v>104048</v>
      </c>
      <c r="B6304" s="3" t="s">
        <v>602</v>
      </c>
      <c r="C6304" s="1">
        <v>43300101</v>
      </c>
      <c r="D6304" t="s">
        <v>67</v>
      </c>
      <c r="H6304" t="str">
        <f t="shared" si="646"/>
        <v>00674840152</v>
      </c>
      <c r="I6304" t="str">
        <f t="shared" si="646"/>
        <v>00674840152</v>
      </c>
      <c r="K6304" t="str">
        <f>""</f>
        <v/>
      </c>
      <c r="M6304" t="s">
        <v>68</v>
      </c>
      <c r="N6304" t="str">
        <f t="shared" si="644"/>
        <v>FOR</v>
      </c>
      <c r="O6304" t="s">
        <v>69</v>
      </c>
      <c r="P6304" s="3" t="s">
        <v>75</v>
      </c>
      <c r="Q6304">
        <v>2015</v>
      </c>
      <c r="R6304" s="2">
        <v>42208</v>
      </c>
      <c r="S6304" s="2">
        <v>42212</v>
      </c>
      <c r="T6304" s="2">
        <v>42209</v>
      </c>
      <c r="U6304" s="2">
        <v>42269</v>
      </c>
      <c r="V6304" t="s">
        <v>71</v>
      </c>
      <c r="W6304" t="str">
        <f>"          5301668100"</f>
        <v xml:space="preserve">          5301668100</v>
      </c>
      <c r="X6304" s="1">
        <v>4272.4399999999996</v>
      </c>
      <c r="Y6304">
        <v>0</v>
      </c>
      <c r="Z6304"/>
      <c r="AB6304"/>
      <c r="AC6304" s="1">
        <v>3502</v>
      </c>
      <c r="AD6304">
        <v>251</v>
      </c>
      <c r="AE6304" s="1">
        <v>879002</v>
      </c>
      <c r="AF6304">
        <v>0</v>
      </c>
      <c r="AJ6304">
        <v>0</v>
      </c>
      <c r="AK6304">
        <v>0</v>
      </c>
      <c r="AL6304">
        <v>0</v>
      </c>
      <c r="AM6304">
        <v>0</v>
      </c>
      <c r="AN6304">
        <v>0</v>
      </c>
      <c r="AO6304">
        <v>0</v>
      </c>
      <c r="AP6304" s="2">
        <v>42746</v>
      </c>
      <c r="AQ6304" t="s">
        <v>72</v>
      </c>
      <c r="AR6304" t="s">
        <v>72</v>
      </c>
      <c r="AS6304">
        <v>1459</v>
      </c>
      <c r="AT6304" s="4">
        <v>42520</v>
      </c>
      <c r="AU6304" t="s">
        <v>73</v>
      </c>
      <c r="AV6304">
        <v>1459</v>
      </c>
      <c r="AW6304" s="4">
        <v>42520</v>
      </c>
      <c r="BD6304">
        <v>0</v>
      </c>
      <c r="BN6304" t="s">
        <v>74</v>
      </c>
    </row>
    <row r="6305" spans="1:66" hidden="1">
      <c r="A6305">
        <v>104048</v>
      </c>
      <c r="B6305" s="3" t="s">
        <v>602</v>
      </c>
      <c r="C6305" s="1">
        <v>43300101</v>
      </c>
      <c r="D6305" t="s">
        <v>67</v>
      </c>
      <c r="H6305" t="str">
        <f t="shared" si="646"/>
        <v>00674840152</v>
      </c>
      <c r="I6305" t="str">
        <f t="shared" si="646"/>
        <v>00674840152</v>
      </c>
      <c r="K6305" t="str">
        <f>""</f>
        <v/>
      </c>
      <c r="M6305" t="s">
        <v>68</v>
      </c>
      <c r="N6305" t="str">
        <f t="shared" si="644"/>
        <v>FOR</v>
      </c>
      <c r="O6305" t="s">
        <v>69</v>
      </c>
      <c r="P6305" s="3" t="s">
        <v>75</v>
      </c>
      <c r="Q6305">
        <v>2015</v>
      </c>
      <c r="R6305" s="2">
        <v>42213</v>
      </c>
      <c r="S6305" s="2">
        <v>42215</v>
      </c>
      <c r="T6305" s="2">
        <v>42214</v>
      </c>
      <c r="U6305" s="2">
        <v>42274</v>
      </c>
      <c r="V6305" t="s">
        <v>71</v>
      </c>
      <c r="W6305" t="str">
        <f>"          5301669039"</f>
        <v xml:space="preserve">          5301669039</v>
      </c>
      <c r="X6305" s="1">
        <v>1399.58</v>
      </c>
      <c r="Y6305">
        <v>0</v>
      </c>
      <c r="Z6305"/>
      <c r="AB6305"/>
      <c r="AC6305" s="1">
        <v>1147.2</v>
      </c>
      <c r="AD6305">
        <v>246</v>
      </c>
      <c r="AE6305" s="1">
        <v>282211.20000000001</v>
      </c>
      <c r="AF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0</v>
      </c>
      <c r="AP6305" s="2">
        <v>42746</v>
      </c>
      <c r="AQ6305" t="s">
        <v>72</v>
      </c>
      <c r="AR6305" t="s">
        <v>72</v>
      </c>
      <c r="AS6305">
        <v>1459</v>
      </c>
      <c r="AT6305" s="4">
        <v>42520</v>
      </c>
      <c r="AU6305" t="s">
        <v>73</v>
      </c>
      <c r="AV6305">
        <v>1459</v>
      </c>
      <c r="AW6305" s="4">
        <v>42520</v>
      </c>
      <c r="BD6305">
        <v>0</v>
      </c>
      <c r="BN6305" t="s">
        <v>74</v>
      </c>
    </row>
    <row r="6306" spans="1:66" hidden="1">
      <c r="A6306">
        <v>104048</v>
      </c>
      <c r="B6306" s="3" t="s">
        <v>602</v>
      </c>
      <c r="C6306" s="1">
        <v>43300101</v>
      </c>
      <c r="D6306" t="s">
        <v>67</v>
      </c>
      <c r="H6306" t="str">
        <f t="shared" si="646"/>
        <v>00674840152</v>
      </c>
      <c r="I6306" t="str">
        <f t="shared" si="646"/>
        <v>00674840152</v>
      </c>
      <c r="K6306" t="str">
        <f>""</f>
        <v/>
      </c>
      <c r="M6306" t="s">
        <v>68</v>
      </c>
      <c r="N6306" t="str">
        <f t="shared" si="644"/>
        <v>FOR</v>
      </c>
      <c r="O6306" t="s">
        <v>69</v>
      </c>
      <c r="P6306" s="3" t="s">
        <v>75</v>
      </c>
      <c r="Q6306">
        <v>2015</v>
      </c>
      <c r="R6306" s="2">
        <v>42214</v>
      </c>
      <c r="S6306" s="2">
        <v>42216</v>
      </c>
      <c r="T6306" s="2">
        <v>42215</v>
      </c>
      <c r="U6306" s="2">
        <v>42275</v>
      </c>
      <c r="V6306" t="s">
        <v>71</v>
      </c>
      <c r="W6306" t="str">
        <f>"          5301669546"</f>
        <v xml:space="preserve">          5301669546</v>
      </c>
      <c r="X6306" s="1">
        <v>1756.8</v>
      </c>
      <c r="Y6306">
        <v>0</v>
      </c>
      <c r="Z6306"/>
      <c r="AB6306"/>
      <c r="AC6306" s="1">
        <v>1440</v>
      </c>
      <c r="AD6306">
        <v>245</v>
      </c>
      <c r="AE6306" s="1">
        <v>352800</v>
      </c>
      <c r="AF6306">
        <v>0</v>
      </c>
      <c r="AJ6306">
        <v>0</v>
      </c>
      <c r="AK6306">
        <v>0</v>
      </c>
      <c r="AL6306">
        <v>0</v>
      </c>
      <c r="AM6306">
        <v>0</v>
      </c>
      <c r="AN6306">
        <v>0</v>
      </c>
      <c r="AO6306">
        <v>0</v>
      </c>
      <c r="AP6306" s="2">
        <v>42746</v>
      </c>
      <c r="AQ6306" t="s">
        <v>72</v>
      </c>
      <c r="AR6306" t="s">
        <v>72</v>
      </c>
      <c r="AS6306">
        <v>1459</v>
      </c>
      <c r="AT6306" s="4">
        <v>42520</v>
      </c>
      <c r="AU6306" t="s">
        <v>73</v>
      </c>
      <c r="AV6306">
        <v>1459</v>
      </c>
      <c r="AW6306" s="4">
        <v>42520</v>
      </c>
      <c r="BD6306">
        <v>0</v>
      </c>
      <c r="BN6306" t="s">
        <v>74</v>
      </c>
    </row>
    <row r="6307" spans="1:66" hidden="1">
      <c r="A6307">
        <v>104048</v>
      </c>
      <c r="B6307" s="3" t="s">
        <v>602</v>
      </c>
      <c r="C6307" s="1">
        <v>43300101</v>
      </c>
      <c r="D6307" t="s">
        <v>67</v>
      </c>
      <c r="H6307" t="str">
        <f t="shared" si="646"/>
        <v>00674840152</v>
      </c>
      <c r="I6307" t="str">
        <f t="shared" si="646"/>
        <v>00674840152</v>
      </c>
      <c r="K6307" t="str">
        <f>""</f>
        <v/>
      </c>
      <c r="M6307" t="s">
        <v>68</v>
      </c>
      <c r="N6307" t="str">
        <f t="shared" si="644"/>
        <v>FOR</v>
      </c>
      <c r="O6307" t="s">
        <v>69</v>
      </c>
      <c r="P6307" s="3" t="s">
        <v>75</v>
      </c>
      <c r="Q6307">
        <v>2015</v>
      </c>
      <c r="R6307" s="2">
        <v>42216</v>
      </c>
      <c r="S6307" s="2">
        <v>42217</v>
      </c>
      <c r="T6307" s="2">
        <v>42217</v>
      </c>
      <c r="U6307" s="2">
        <v>42277</v>
      </c>
      <c r="V6307" t="s">
        <v>71</v>
      </c>
      <c r="W6307" t="str">
        <f>"          5301670264"</f>
        <v xml:space="preserve">          5301670264</v>
      </c>
      <c r="X6307">
        <v>559.98</v>
      </c>
      <c r="Y6307">
        <v>0</v>
      </c>
      <c r="Z6307"/>
      <c r="AB6307"/>
      <c r="AC6307">
        <v>459</v>
      </c>
      <c r="AD6307">
        <v>243</v>
      </c>
      <c r="AE6307" s="1">
        <v>111537</v>
      </c>
      <c r="AF6307">
        <v>0</v>
      </c>
      <c r="AJ6307">
        <v>0</v>
      </c>
      <c r="AK6307">
        <v>0</v>
      </c>
      <c r="AL6307">
        <v>0</v>
      </c>
      <c r="AM6307">
        <v>0</v>
      </c>
      <c r="AN6307">
        <v>0</v>
      </c>
      <c r="AO6307">
        <v>0</v>
      </c>
      <c r="AP6307" s="2">
        <v>42746</v>
      </c>
      <c r="AQ6307" t="s">
        <v>72</v>
      </c>
      <c r="AR6307" t="s">
        <v>72</v>
      </c>
      <c r="AS6307">
        <v>1459</v>
      </c>
      <c r="AT6307" s="4">
        <v>42520</v>
      </c>
      <c r="AU6307" t="s">
        <v>73</v>
      </c>
      <c r="AV6307">
        <v>1459</v>
      </c>
      <c r="AW6307" s="4">
        <v>42520</v>
      </c>
      <c r="BD6307">
        <v>0</v>
      </c>
      <c r="BN6307" t="s">
        <v>74</v>
      </c>
    </row>
    <row r="6308" spans="1:66" hidden="1">
      <c r="A6308">
        <v>104048</v>
      </c>
      <c r="B6308" s="3" t="s">
        <v>602</v>
      </c>
      <c r="C6308" s="1">
        <v>43300101</v>
      </c>
      <c r="D6308" t="s">
        <v>67</v>
      </c>
      <c r="H6308" t="str">
        <f t="shared" si="646"/>
        <v>00674840152</v>
      </c>
      <c r="I6308" t="str">
        <f t="shared" si="646"/>
        <v>00674840152</v>
      </c>
      <c r="K6308" t="str">
        <f>""</f>
        <v/>
      </c>
      <c r="M6308" t="s">
        <v>68</v>
      </c>
      <c r="N6308" t="str">
        <f t="shared" si="644"/>
        <v>FOR</v>
      </c>
      <c r="O6308" t="s">
        <v>69</v>
      </c>
      <c r="P6308" s="3" t="s">
        <v>75</v>
      </c>
      <c r="Q6308">
        <v>2015</v>
      </c>
      <c r="R6308" s="2">
        <v>42233</v>
      </c>
      <c r="S6308" s="2">
        <v>42234</v>
      </c>
      <c r="T6308" s="2">
        <v>42234</v>
      </c>
      <c r="U6308" s="2">
        <v>42294</v>
      </c>
      <c r="V6308" t="s">
        <v>71</v>
      </c>
      <c r="W6308" t="str">
        <f>"          5301671735"</f>
        <v xml:space="preserve">          5301671735</v>
      </c>
      <c r="X6308">
        <v>565.49</v>
      </c>
      <c r="Y6308">
        <v>0</v>
      </c>
      <c r="Z6308"/>
      <c r="AB6308"/>
      <c r="AC6308">
        <v>463.52</v>
      </c>
      <c r="AD6308">
        <v>285</v>
      </c>
      <c r="AE6308" s="1">
        <v>132103.20000000001</v>
      </c>
      <c r="AF6308">
        <v>0</v>
      </c>
      <c r="AJ6308">
        <v>0</v>
      </c>
      <c r="AK6308">
        <v>0</v>
      </c>
      <c r="AL6308">
        <v>0</v>
      </c>
      <c r="AM6308">
        <v>0</v>
      </c>
      <c r="AN6308">
        <v>0</v>
      </c>
      <c r="AO6308">
        <v>0</v>
      </c>
      <c r="AP6308" s="2">
        <v>42746</v>
      </c>
      <c r="AQ6308" t="s">
        <v>72</v>
      </c>
      <c r="AR6308" t="s">
        <v>72</v>
      </c>
      <c r="AS6308">
        <v>2015</v>
      </c>
      <c r="AT6308" s="4">
        <v>42579</v>
      </c>
      <c r="AU6308" t="s">
        <v>73</v>
      </c>
      <c r="AV6308">
        <v>2015</v>
      </c>
      <c r="AW6308" s="4">
        <v>42579</v>
      </c>
      <c r="BD6308">
        <v>0</v>
      </c>
      <c r="BN6308" t="s">
        <v>74</v>
      </c>
    </row>
    <row r="6309" spans="1:66" hidden="1">
      <c r="A6309">
        <v>104048</v>
      </c>
      <c r="B6309" s="3" t="s">
        <v>602</v>
      </c>
      <c r="C6309" s="1">
        <v>43300101</v>
      </c>
      <c r="D6309" t="s">
        <v>67</v>
      </c>
      <c r="H6309" t="str">
        <f t="shared" si="646"/>
        <v>00674840152</v>
      </c>
      <c r="I6309" t="str">
        <f t="shared" si="646"/>
        <v>00674840152</v>
      </c>
      <c r="K6309" t="str">
        <f>""</f>
        <v/>
      </c>
      <c r="M6309" t="s">
        <v>68</v>
      </c>
      <c r="N6309" t="str">
        <f t="shared" si="644"/>
        <v>FOR</v>
      </c>
      <c r="O6309" t="s">
        <v>69</v>
      </c>
      <c r="P6309" s="3" t="s">
        <v>75</v>
      </c>
      <c r="Q6309">
        <v>2015</v>
      </c>
      <c r="R6309" s="2">
        <v>42234</v>
      </c>
      <c r="S6309" s="2">
        <v>42236</v>
      </c>
      <c r="T6309" s="2">
        <v>42235</v>
      </c>
      <c r="U6309" s="2">
        <v>42295</v>
      </c>
      <c r="V6309" t="s">
        <v>71</v>
      </c>
      <c r="W6309" t="str">
        <f>"          5301671973"</f>
        <v xml:space="preserve">          5301671973</v>
      </c>
      <c r="X6309">
        <v>804.86</v>
      </c>
      <c r="Y6309">
        <v>0</v>
      </c>
      <c r="Z6309"/>
      <c r="AB6309"/>
      <c r="AC6309">
        <v>659.72</v>
      </c>
      <c r="AD6309">
        <v>284</v>
      </c>
      <c r="AE6309" s="1">
        <v>187360.48</v>
      </c>
      <c r="AF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 s="2">
        <v>42746</v>
      </c>
      <c r="AQ6309" t="s">
        <v>72</v>
      </c>
      <c r="AR6309" t="s">
        <v>72</v>
      </c>
      <c r="AS6309">
        <v>2015</v>
      </c>
      <c r="AT6309" s="4">
        <v>42579</v>
      </c>
      <c r="AU6309" t="s">
        <v>73</v>
      </c>
      <c r="AV6309">
        <v>2015</v>
      </c>
      <c r="AW6309" s="4">
        <v>42579</v>
      </c>
      <c r="BD6309">
        <v>0</v>
      </c>
      <c r="BN6309" t="s">
        <v>74</v>
      </c>
    </row>
    <row r="6310" spans="1:66" hidden="1">
      <c r="A6310">
        <v>104048</v>
      </c>
      <c r="B6310" s="3" t="s">
        <v>602</v>
      </c>
      <c r="C6310" s="1">
        <v>43300101</v>
      </c>
      <c r="D6310" t="s">
        <v>67</v>
      </c>
      <c r="H6310" t="str">
        <f t="shared" si="646"/>
        <v>00674840152</v>
      </c>
      <c r="I6310" t="str">
        <f t="shared" si="646"/>
        <v>00674840152</v>
      </c>
      <c r="K6310" t="str">
        <f>""</f>
        <v/>
      </c>
      <c r="M6310" t="s">
        <v>68</v>
      </c>
      <c r="N6310" t="str">
        <f t="shared" si="644"/>
        <v>FOR</v>
      </c>
      <c r="O6310" t="s">
        <v>69</v>
      </c>
      <c r="P6310" s="3" t="s">
        <v>75</v>
      </c>
      <c r="Q6310">
        <v>2015</v>
      </c>
      <c r="R6310" s="2">
        <v>42241</v>
      </c>
      <c r="S6310" s="2">
        <v>42242</v>
      </c>
      <c r="T6310" s="2">
        <v>42242</v>
      </c>
      <c r="U6310" s="2">
        <v>42302</v>
      </c>
      <c r="V6310" t="s">
        <v>71</v>
      </c>
      <c r="W6310" t="str">
        <f>"          5301673531"</f>
        <v xml:space="preserve">          5301673531</v>
      </c>
      <c r="X6310" s="1">
        <v>1927.6</v>
      </c>
      <c r="Y6310">
        <v>0</v>
      </c>
      <c r="Z6310"/>
      <c r="AB6310"/>
      <c r="AC6310" s="1">
        <v>1580</v>
      </c>
      <c r="AD6310">
        <v>277</v>
      </c>
      <c r="AE6310" s="1">
        <v>437660</v>
      </c>
      <c r="AF6310">
        <v>0</v>
      </c>
      <c r="AJ6310">
        <v>0</v>
      </c>
      <c r="AK6310">
        <v>0</v>
      </c>
      <c r="AL6310">
        <v>0</v>
      </c>
      <c r="AM6310">
        <v>0</v>
      </c>
      <c r="AN6310">
        <v>0</v>
      </c>
      <c r="AO6310">
        <v>0</v>
      </c>
      <c r="AP6310" s="2">
        <v>42746</v>
      </c>
      <c r="AQ6310" t="s">
        <v>72</v>
      </c>
      <c r="AR6310" t="s">
        <v>72</v>
      </c>
      <c r="AS6310">
        <v>2015</v>
      </c>
      <c r="AT6310" s="4">
        <v>42579</v>
      </c>
      <c r="AU6310" t="s">
        <v>73</v>
      </c>
      <c r="AV6310">
        <v>2015</v>
      </c>
      <c r="AW6310" s="4">
        <v>42579</v>
      </c>
      <c r="BD6310">
        <v>0</v>
      </c>
      <c r="BN6310" t="s">
        <v>74</v>
      </c>
    </row>
    <row r="6311" spans="1:66" hidden="1">
      <c r="A6311">
        <v>104048</v>
      </c>
      <c r="B6311" s="3" t="s">
        <v>602</v>
      </c>
      <c r="C6311" s="1">
        <v>43300101</v>
      </c>
      <c r="D6311" t="s">
        <v>67</v>
      </c>
      <c r="H6311" t="str">
        <f t="shared" si="646"/>
        <v>00674840152</v>
      </c>
      <c r="I6311" t="str">
        <f t="shared" si="646"/>
        <v>00674840152</v>
      </c>
      <c r="K6311" t="str">
        <f>""</f>
        <v/>
      </c>
      <c r="M6311" t="s">
        <v>68</v>
      </c>
      <c r="N6311" t="str">
        <f t="shared" si="644"/>
        <v>FOR</v>
      </c>
      <c r="O6311" t="s">
        <v>69</v>
      </c>
      <c r="P6311" s="3" t="s">
        <v>75</v>
      </c>
      <c r="Q6311">
        <v>2015</v>
      </c>
      <c r="R6311" s="2">
        <v>42243</v>
      </c>
      <c r="S6311" s="2">
        <v>42248</v>
      </c>
      <c r="T6311" s="2">
        <v>42244</v>
      </c>
      <c r="U6311" s="2">
        <v>42304</v>
      </c>
      <c r="V6311" t="s">
        <v>71</v>
      </c>
      <c r="W6311" t="str">
        <f>"          5301674049"</f>
        <v xml:space="preserve">          5301674049</v>
      </c>
      <c r="X6311">
        <v>610</v>
      </c>
      <c r="Y6311">
        <v>0</v>
      </c>
      <c r="Z6311"/>
      <c r="AB6311"/>
      <c r="AC6311">
        <v>500</v>
      </c>
      <c r="AD6311">
        <v>275</v>
      </c>
      <c r="AE6311" s="1">
        <v>137500</v>
      </c>
      <c r="AF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 s="2">
        <v>42746</v>
      </c>
      <c r="AQ6311" t="s">
        <v>72</v>
      </c>
      <c r="AR6311" t="s">
        <v>72</v>
      </c>
      <c r="AS6311">
        <v>2015</v>
      </c>
      <c r="AT6311" s="4">
        <v>42579</v>
      </c>
      <c r="AU6311" t="s">
        <v>73</v>
      </c>
      <c r="AV6311">
        <v>2015</v>
      </c>
      <c r="AW6311" s="4">
        <v>42579</v>
      </c>
      <c r="BD6311">
        <v>0</v>
      </c>
      <c r="BN6311" t="s">
        <v>74</v>
      </c>
    </row>
    <row r="6312" spans="1:66" hidden="1">
      <c r="A6312">
        <v>104048</v>
      </c>
      <c r="B6312" s="3" t="s">
        <v>602</v>
      </c>
      <c r="C6312" s="1">
        <v>43300101</v>
      </c>
      <c r="D6312" t="s">
        <v>67</v>
      </c>
      <c r="H6312" t="str">
        <f t="shared" si="646"/>
        <v>00674840152</v>
      </c>
      <c r="I6312" t="str">
        <f t="shared" si="646"/>
        <v>00674840152</v>
      </c>
      <c r="K6312" t="str">
        <f>""</f>
        <v/>
      </c>
      <c r="M6312" t="s">
        <v>68</v>
      </c>
      <c r="N6312" t="str">
        <f t="shared" si="644"/>
        <v>FOR</v>
      </c>
      <c r="O6312" t="s">
        <v>69</v>
      </c>
      <c r="P6312" s="3" t="s">
        <v>75</v>
      </c>
      <c r="Q6312">
        <v>2015</v>
      </c>
      <c r="R6312" s="2">
        <v>42248</v>
      </c>
      <c r="S6312" s="2">
        <v>42249</v>
      </c>
      <c r="T6312" s="2">
        <v>42249</v>
      </c>
      <c r="U6312" s="2">
        <v>42309</v>
      </c>
      <c r="V6312" t="s">
        <v>71</v>
      </c>
      <c r="W6312" t="str">
        <f>"          5301674692"</f>
        <v xml:space="preserve">          5301674692</v>
      </c>
      <c r="X6312" s="1">
        <v>5563.2</v>
      </c>
      <c r="Y6312">
        <v>0</v>
      </c>
      <c r="Z6312"/>
      <c r="AB6312"/>
      <c r="AC6312" s="1">
        <v>4560</v>
      </c>
      <c r="AD6312">
        <v>310</v>
      </c>
      <c r="AE6312" s="1">
        <v>1413600</v>
      </c>
      <c r="AF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 s="2">
        <v>42746</v>
      </c>
      <c r="AQ6312" t="s">
        <v>72</v>
      </c>
      <c r="AR6312" t="s">
        <v>72</v>
      </c>
      <c r="AS6312">
        <v>2297</v>
      </c>
      <c r="AT6312" s="4">
        <v>42619</v>
      </c>
      <c r="AU6312" t="s">
        <v>73</v>
      </c>
      <c r="AV6312">
        <v>2297</v>
      </c>
      <c r="AW6312" s="4">
        <v>42619</v>
      </c>
      <c r="BD6312">
        <v>0</v>
      </c>
      <c r="BN6312" t="s">
        <v>74</v>
      </c>
    </row>
    <row r="6313" spans="1:66" hidden="1">
      <c r="A6313">
        <v>104048</v>
      </c>
      <c r="B6313" s="3" t="s">
        <v>602</v>
      </c>
      <c r="C6313" s="1">
        <v>43300101</v>
      </c>
      <c r="D6313" t="s">
        <v>67</v>
      </c>
      <c r="H6313" t="str">
        <f t="shared" si="646"/>
        <v>00674840152</v>
      </c>
      <c r="I6313" t="str">
        <f t="shared" si="646"/>
        <v>00674840152</v>
      </c>
      <c r="K6313" t="str">
        <f>""</f>
        <v/>
      </c>
      <c r="M6313" t="s">
        <v>68</v>
      </c>
      <c r="N6313" t="str">
        <f t="shared" si="644"/>
        <v>FOR</v>
      </c>
      <c r="O6313" t="s">
        <v>69</v>
      </c>
      <c r="P6313" s="3" t="s">
        <v>75</v>
      </c>
      <c r="Q6313">
        <v>2015</v>
      </c>
      <c r="R6313" s="2">
        <v>42248</v>
      </c>
      <c r="S6313" s="2">
        <v>42249</v>
      </c>
      <c r="T6313" s="2">
        <v>42249</v>
      </c>
      <c r="U6313" s="2">
        <v>42309</v>
      </c>
      <c r="V6313" t="s">
        <v>71</v>
      </c>
      <c r="W6313" t="str">
        <f>"          5301674693"</f>
        <v xml:space="preserve">          5301674693</v>
      </c>
      <c r="X6313" s="1">
        <v>5563.2</v>
      </c>
      <c r="Y6313">
        <v>0</v>
      </c>
      <c r="Z6313"/>
      <c r="AB6313"/>
      <c r="AC6313" s="1">
        <v>4560</v>
      </c>
      <c r="AD6313">
        <v>310</v>
      </c>
      <c r="AE6313" s="1">
        <v>1413600</v>
      </c>
      <c r="AF6313">
        <v>0</v>
      </c>
      <c r="AJ6313">
        <v>0</v>
      </c>
      <c r="AK6313">
        <v>0</v>
      </c>
      <c r="AL6313">
        <v>0</v>
      </c>
      <c r="AM6313">
        <v>0</v>
      </c>
      <c r="AN6313">
        <v>0</v>
      </c>
      <c r="AO6313">
        <v>0</v>
      </c>
      <c r="AP6313" s="2">
        <v>42746</v>
      </c>
      <c r="AQ6313" t="s">
        <v>72</v>
      </c>
      <c r="AR6313" t="s">
        <v>72</v>
      </c>
      <c r="AS6313">
        <v>2297</v>
      </c>
      <c r="AT6313" s="4">
        <v>42619</v>
      </c>
      <c r="AU6313" t="s">
        <v>73</v>
      </c>
      <c r="AV6313">
        <v>2297</v>
      </c>
      <c r="AW6313" s="4">
        <v>42619</v>
      </c>
      <c r="BD6313">
        <v>0</v>
      </c>
      <c r="BN6313" t="s">
        <v>74</v>
      </c>
    </row>
    <row r="6314" spans="1:66" hidden="1">
      <c r="A6314">
        <v>104048</v>
      </c>
      <c r="B6314" s="3" t="s">
        <v>602</v>
      </c>
      <c r="C6314" s="1">
        <v>43300101</v>
      </c>
      <c r="D6314" t="s">
        <v>67</v>
      </c>
      <c r="H6314" t="str">
        <f t="shared" ref="H6314:I6333" si="647">"00674840152"</f>
        <v>00674840152</v>
      </c>
      <c r="I6314" t="str">
        <f t="shared" si="647"/>
        <v>00674840152</v>
      </c>
      <c r="K6314" t="str">
        <f>""</f>
        <v/>
      </c>
      <c r="M6314" t="s">
        <v>68</v>
      </c>
      <c r="N6314" t="str">
        <f t="shared" si="644"/>
        <v>FOR</v>
      </c>
      <c r="O6314" t="s">
        <v>69</v>
      </c>
      <c r="P6314" s="3" t="s">
        <v>75</v>
      </c>
      <c r="Q6314">
        <v>2015</v>
      </c>
      <c r="R6314" s="2">
        <v>42249</v>
      </c>
      <c r="S6314" s="2">
        <v>42251</v>
      </c>
      <c r="T6314" s="2">
        <v>42250</v>
      </c>
      <c r="U6314" s="2">
        <v>42310</v>
      </c>
      <c r="V6314" t="s">
        <v>71</v>
      </c>
      <c r="W6314" t="str">
        <f>"          5301674762"</f>
        <v xml:space="preserve">          5301674762</v>
      </c>
      <c r="X6314" s="1">
        <v>1464</v>
      </c>
      <c r="Y6314">
        <v>0</v>
      </c>
      <c r="Z6314"/>
      <c r="AB6314"/>
      <c r="AC6314" s="1">
        <v>1200</v>
      </c>
      <c r="AD6314">
        <v>309</v>
      </c>
      <c r="AE6314" s="1">
        <v>370800</v>
      </c>
      <c r="AF6314">
        <v>0</v>
      </c>
      <c r="AJ6314">
        <v>0</v>
      </c>
      <c r="AK6314">
        <v>0</v>
      </c>
      <c r="AL6314">
        <v>0</v>
      </c>
      <c r="AM6314">
        <v>0</v>
      </c>
      <c r="AN6314">
        <v>0</v>
      </c>
      <c r="AO6314">
        <v>0</v>
      </c>
      <c r="AP6314" s="2">
        <v>42746</v>
      </c>
      <c r="AQ6314" t="s">
        <v>72</v>
      </c>
      <c r="AR6314" t="s">
        <v>72</v>
      </c>
      <c r="AS6314">
        <v>2297</v>
      </c>
      <c r="AT6314" s="4">
        <v>42619</v>
      </c>
      <c r="AU6314" t="s">
        <v>73</v>
      </c>
      <c r="AV6314">
        <v>2297</v>
      </c>
      <c r="AW6314" s="4">
        <v>42619</v>
      </c>
      <c r="BD6314">
        <v>0</v>
      </c>
      <c r="BN6314" t="s">
        <v>74</v>
      </c>
    </row>
    <row r="6315" spans="1:66" hidden="1">
      <c r="A6315">
        <v>104048</v>
      </c>
      <c r="B6315" s="3" t="s">
        <v>602</v>
      </c>
      <c r="C6315" s="1">
        <v>43300101</v>
      </c>
      <c r="D6315" t="s">
        <v>67</v>
      </c>
      <c r="H6315" t="str">
        <f t="shared" si="647"/>
        <v>00674840152</v>
      </c>
      <c r="I6315" t="str">
        <f t="shared" si="647"/>
        <v>00674840152</v>
      </c>
      <c r="K6315" t="str">
        <f>""</f>
        <v/>
      </c>
      <c r="M6315" t="s">
        <v>68</v>
      </c>
      <c r="N6315" t="str">
        <f t="shared" si="644"/>
        <v>FOR</v>
      </c>
      <c r="O6315" t="s">
        <v>69</v>
      </c>
      <c r="P6315" s="3" t="s">
        <v>75</v>
      </c>
      <c r="Q6315">
        <v>2015</v>
      </c>
      <c r="R6315" s="2">
        <v>42249</v>
      </c>
      <c r="S6315" s="2">
        <v>42251</v>
      </c>
      <c r="T6315" s="2">
        <v>42250</v>
      </c>
      <c r="U6315" s="2">
        <v>42310</v>
      </c>
      <c r="V6315" t="s">
        <v>71</v>
      </c>
      <c r="W6315" t="str">
        <f>"          5301674763"</f>
        <v xml:space="preserve">          5301674763</v>
      </c>
      <c r="X6315">
        <v>907.68</v>
      </c>
      <c r="Y6315">
        <v>0</v>
      </c>
      <c r="Z6315"/>
      <c r="AB6315"/>
      <c r="AC6315">
        <v>744</v>
      </c>
      <c r="AD6315">
        <v>309</v>
      </c>
      <c r="AE6315" s="1">
        <v>229896</v>
      </c>
      <c r="AF6315">
        <v>0</v>
      </c>
      <c r="AJ6315">
        <v>0</v>
      </c>
      <c r="AK6315">
        <v>0</v>
      </c>
      <c r="AL6315">
        <v>0</v>
      </c>
      <c r="AM6315">
        <v>0</v>
      </c>
      <c r="AN6315">
        <v>0</v>
      </c>
      <c r="AO6315">
        <v>0</v>
      </c>
      <c r="AP6315" s="2">
        <v>42746</v>
      </c>
      <c r="AQ6315" t="s">
        <v>72</v>
      </c>
      <c r="AR6315" t="s">
        <v>72</v>
      </c>
      <c r="AS6315">
        <v>2297</v>
      </c>
      <c r="AT6315" s="4">
        <v>42619</v>
      </c>
      <c r="AU6315" t="s">
        <v>73</v>
      </c>
      <c r="AV6315">
        <v>2297</v>
      </c>
      <c r="AW6315" s="4">
        <v>42619</v>
      </c>
      <c r="BD6315">
        <v>0</v>
      </c>
      <c r="BN6315" t="s">
        <v>74</v>
      </c>
    </row>
    <row r="6316" spans="1:66" hidden="1">
      <c r="A6316">
        <v>104048</v>
      </c>
      <c r="B6316" s="3" t="s">
        <v>602</v>
      </c>
      <c r="C6316" s="1">
        <v>43300101</v>
      </c>
      <c r="D6316" t="s">
        <v>67</v>
      </c>
      <c r="H6316" t="str">
        <f t="shared" si="647"/>
        <v>00674840152</v>
      </c>
      <c r="I6316" t="str">
        <f t="shared" si="647"/>
        <v>00674840152</v>
      </c>
      <c r="K6316" t="str">
        <f>""</f>
        <v/>
      </c>
      <c r="M6316" t="s">
        <v>68</v>
      </c>
      <c r="N6316" t="str">
        <f t="shared" si="644"/>
        <v>FOR</v>
      </c>
      <c r="O6316" t="s">
        <v>69</v>
      </c>
      <c r="P6316" s="3" t="s">
        <v>75</v>
      </c>
      <c r="Q6316">
        <v>2015</v>
      </c>
      <c r="R6316" s="2">
        <v>42249</v>
      </c>
      <c r="S6316" s="2">
        <v>42251</v>
      </c>
      <c r="T6316" s="2">
        <v>42250</v>
      </c>
      <c r="U6316" s="2">
        <v>42310</v>
      </c>
      <c r="V6316" t="s">
        <v>71</v>
      </c>
      <c r="W6316" t="str">
        <f>"          5301674764"</f>
        <v xml:space="preserve">          5301674764</v>
      </c>
      <c r="X6316" s="1">
        <v>6371.33</v>
      </c>
      <c r="Y6316">
        <v>0</v>
      </c>
      <c r="Z6316"/>
      <c r="AB6316"/>
      <c r="AC6316" s="1">
        <v>5222.3999999999996</v>
      </c>
      <c r="AD6316">
        <v>309</v>
      </c>
      <c r="AE6316" s="1">
        <v>1613721.6000000001</v>
      </c>
      <c r="AF6316">
        <v>0</v>
      </c>
      <c r="AJ6316">
        <v>0</v>
      </c>
      <c r="AK6316">
        <v>0</v>
      </c>
      <c r="AL6316">
        <v>0</v>
      </c>
      <c r="AM6316">
        <v>0</v>
      </c>
      <c r="AN6316">
        <v>0</v>
      </c>
      <c r="AO6316">
        <v>0</v>
      </c>
      <c r="AP6316" s="2">
        <v>42746</v>
      </c>
      <c r="AQ6316" t="s">
        <v>72</v>
      </c>
      <c r="AR6316" t="s">
        <v>72</v>
      </c>
      <c r="AS6316">
        <v>2297</v>
      </c>
      <c r="AT6316" s="4">
        <v>42619</v>
      </c>
      <c r="AU6316" t="s">
        <v>73</v>
      </c>
      <c r="AV6316">
        <v>2297</v>
      </c>
      <c r="AW6316" s="4">
        <v>42619</v>
      </c>
      <c r="BD6316">
        <v>0</v>
      </c>
      <c r="BN6316" t="s">
        <v>74</v>
      </c>
    </row>
    <row r="6317" spans="1:66" hidden="1">
      <c r="A6317">
        <v>104048</v>
      </c>
      <c r="B6317" s="3" t="s">
        <v>602</v>
      </c>
      <c r="C6317" s="1">
        <v>43300101</v>
      </c>
      <c r="D6317" t="s">
        <v>67</v>
      </c>
      <c r="H6317" t="str">
        <f t="shared" si="647"/>
        <v>00674840152</v>
      </c>
      <c r="I6317" t="str">
        <f t="shared" si="647"/>
        <v>00674840152</v>
      </c>
      <c r="K6317" t="str">
        <f>""</f>
        <v/>
      </c>
      <c r="M6317" t="s">
        <v>68</v>
      </c>
      <c r="N6317" t="str">
        <f t="shared" si="644"/>
        <v>FOR</v>
      </c>
      <c r="O6317" t="s">
        <v>69</v>
      </c>
      <c r="P6317" s="3" t="s">
        <v>75</v>
      </c>
      <c r="Q6317">
        <v>2015</v>
      </c>
      <c r="R6317" s="2">
        <v>42249</v>
      </c>
      <c r="S6317" s="2">
        <v>42251</v>
      </c>
      <c r="T6317" s="2">
        <v>42250</v>
      </c>
      <c r="U6317" s="2">
        <v>42310</v>
      </c>
      <c r="V6317" t="s">
        <v>71</v>
      </c>
      <c r="W6317" t="str">
        <f>"          5301674765"</f>
        <v xml:space="preserve">          5301674765</v>
      </c>
      <c r="X6317" s="1">
        <v>3294</v>
      </c>
      <c r="Y6317">
        <v>0</v>
      </c>
      <c r="Z6317"/>
      <c r="AB6317"/>
      <c r="AC6317" s="1">
        <v>2700</v>
      </c>
      <c r="AD6317">
        <v>309</v>
      </c>
      <c r="AE6317" s="1">
        <v>834300</v>
      </c>
      <c r="AF6317">
        <v>0</v>
      </c>
      <c r="AJ6317">
        <v>0</v>
      </c>
      <c r="AK6317">
        <v>0</v>
      </c>
      <c r="AL6317">
        <v>0</v>
      </c>
      <c r="AM6317">
        <v>0</v>
      </c>
      <c r="AN6317">
        <v>0</v>
      </c>
      <c r="AO6317">
        <v>0</v>
      </c>
      <c r="AP6317" s="2">
        <v>42746</v>
      </c>
      <c r="AQ6317" t="s">
        <v>72</v>
      </c>
      <c r="AR6317" t="s">
        <v>72</v>
      </c>
      <c r="AS6317">
        <v>2297</v>
      </c>
      <c r="AT6317" s="4">
        <v>42619</v>
      </c>
      <c r="AU6317" t="s">
        <v>73</v>
      </c>
      <c r="AV6317">
        <v>2297</v>
      </c>
      <c r="AW6317" s="4">
        <v>42619</v>
      </c>
      <c r="BD6317">
        <v>0</v>
      </c>
      <c r="BN6317" t="s">
        <v>74</v>
      </c>
    </row>
    <row r="6318" spans="1:66" hidden="1">
      <c r="A6318">
        <v>104048</v>
      </c>
      <c r="B6318" s="3" t="s">
        <v>602</v>
      </c>
      <c r="C6318" s="1">
        <v>43300101</v>
      </c>
      <c r="D6318" t="s">
        <v>67</v>
      </c>
      <c r="H6318" t="str">
        <f t="shared" si="647"/>
        <v>00674840152</v>
      </c>
      <c r="I6318" t="str">
        <f t="shared" si="647"/>
        <v>00674840152</v>
      </c>
      <c r="K6318" t="str">
        <f>""</f>
        <v/>
      </c>
      <c r="M6318" t="s">
        <v>68</v>
      </c>
      <c r="N6318" t="str">
        <f t="shared" si="644"/>
        <v>FOR</v>
      </c>
      <c r="O6318" t="s">
        <v>69</v>
      </c>
      <c r="P6318" s="3" t="s">
        <v>75</v>
      </c>
      <c r="Q6318">
        <v>2015</v>
      </c>
      <c r="R6318" s="2">
        <v>42250</v>
      </c>
      <c r="S6318" s="2">
        <v>42251</v>
      </c>
      <c r="T6318" s="2">
        <v>42251</v>
      </c>
      <c r="U6318" s="2">
        <v>42311</v>
      </c>
      <c r="V6318" t="s">
        <v>71</v>
      </c>
      <c r="W6318" t="str">
        <f>"          5301675021"</f>
        <v xml:space="preserve">          5301675021</v>
      </c>
      <c r="X6318" s="1">
        <v>1176.1500000000001</v>
      </c>
      <c r="Y6318">
        <v>0</v>
      </c>
      <c r="Z6318"/>
      <c r="AB6318"/>
      <c r="AC6318">
        <v>964.06</v>
      </c>
      <c r="AD6318">
        <v>308</v>
      </c>
      <c r="AE6318" s="1">
        <v>296930.48</v>
      </c>
      <c r="AF6318">
        <v>0</v>
      </c>
      <c r="AJ6318">
        <v>0</v>
      </c>
      <c r="AK6318">
        <v>0</v>
      </c>
      <c r="AL6318">
        <v>0</v>
      </c>
      <c r="AM6318">
        <v>0</v>
      </c>
      <c r="AN6318">
        <v>0</v>
      </c>
      <c r="AO6318">
        <v>0</v>
      </c>
      <c r="AP6318" s="2">
        <v>42746</v>
      </c>
      <c r="AQ6318" t="s">
        <v>72</v>
      </c>
      <c r="AR6318" t="s">
        <v>72</v>
      </c>
      <c r="AS6318">
        <v>2297</v>
      </c>
      <c r="AT6318" s="4">
        <v>42619</v>
      </c>
      <c r="AU6318" t="s">
        <v>73</v>
      </c>
      <c r="AV6318">
        <v>2297</v>
      </c>
      <c r="AW6318" s="4">
        <v>42619</v>
      </c>
      <c r="BD6318">
        <v>0</v>
      </c>
      <c r="BN6318" t="s">
        <v>74</v>
      </c>
    </row>
    <row r="6319" spans="1:66" hidden="1">
      <c r="A6319">
        <v>104048</v>
      </c>
      <c r="B6319" s="3" t="s">
        <v>602</v>
      </c>
      <c r="C6319" s="1">
        <v>43300101</v>
      </c>
      <c r="D6319" t="s">
        <v>67</v>
      </c>
      <c r="H6319" t="str">
        <f t="shared" si="647"/>
        <v>00674840152</v>
      </c>
      <c r="I6319" t="str">
        <f t="shared" si="647"/>
        <v>00674840152</v>
      </c>
      <c r="K6319" t="str">
        <f>""</f>
        <v/>
      </c>
      <c r="M6319" t="s">
        <v>68</v>
      </c>
      <c r="N6319" t="str">
        <f t="shared" si="644"/>
        <v>FOR</v>
      </c>
      <c r="O6319" t="s">
        <v>69</v>
      </c>
      <c r="P6319" s="3" t="s">
        <v>75</v>
      </c>
      <c r="Q6319">
        <v>2015</v>
      </c>
      <c r="R6319" s="2">
        <v>42251</v>
      </c>
      <c r="S6319" s="2">
        <v>42254</v>
      </c>
      <c r="T6319" s="2">
        <v>42252</v>
      </c>
      <c r="U6319" s="2">
        <v>42312</v>
      </c>
      <c r="V6319" t="s">
        <v>71</v>
      </c>
      <c r="W6319" t="str">
        <f>"          5301675445"</f>
        <v xml:space="preserve">          5301675445</v>
      </c>
      <c r="X6319">
        <v>238.14</v>
      </c>
      <c r="Y6319">
        <v>0</v>
      </c>
      <c r="Z6319"/>
      <c r="AB6319"/>
      <c r="AC6319">
        <v>195.2</v>
      </c>
      <c r="AD6319">
        <v>307</v>
      </c>
      <c r="AE6319" s="1">
        <v>59926.400000000001</v>
      </c>
      <c r="AF6319">
        <v>0</v>
      </c>
      <c r="AJ6319">
        <v>0</v>
      </c>
      <c r="AK6319">
        <v>0</v>
      </c>
      <c r="AL6319">
        <v>0</v>
      </c>
      <c r="AM6319">
        <v>0</v>
      </c>
      <c r="AN6319">
        <v>0</v>
      </c>
      <c r="AO6319">
        <v>0</v>
      </c>
      <c r="AP6319" s="2">
        <v>42746</v>
      </c>
      <c r="AQ6319" t="s">
        <v>72</v>
      </c>
      <c r="AR6319" t="s">
        <v>72</v>
      </c>
      <c r="AS6319">
        <v>2297</v>
      </c>
      <c r="AT6319" s="4">
        <v>42619</v>
      </c>
      <c r="AU6319" t="s">
        <v>73</v>
      </c>
      <c r="AV6319">
        <v>2297</v>
      </c>
      <c r="AW6319" s="4">
        <v>42619</v>
      </c>
      <c r="BD6319">
        <v>0</v>
      </c>
      <c r="BN6319" t="s">
        <v>74</v>
      </c>
    </row>
    <row r="6320" spans="1:66" hidden="1">
      <c r="A6320">
        <v>104048</v>
      </c>
      <c r="B6320" s="3" t="s">
        <v>602</v>
      </c>
      <c r="C6320" s="1">
        <v>43300101</v>
      </c>
      <c r="D6320" t="s">
        <v>67</v>
      </c>
      <c r="H6320" t="str">
        <f t="shared" si="647"/>
        <v>00674840152</v>
      </c>
      <c r="I6320" t="str">
        <f t="shared" si="647"/>
        <v>00674840152</v>
      </c>
      <c r="K6320" t="str">
        <f>""</f>
        <v/>
      </c>
      <c r="M6320" t="s">
        <v>68</v>
      </c>
      <c r="N6320" t="str">
        <f t="shared" si="644"/>
        <v>FOR</v>
      </c>
      <c r="O6320" t="s">
        <v>69</v>
      </c>
      <c r="P6320" s="3" t="s">
        <v>75</v>
      </c>
      <c r="Q6320">
        <v>2015</v>
      </c>
      <c r="R6320" s="2">
        <v>42251</v>
      </c>
      <c r="S6320" s="2">
        <v>42254</v>
      </c>
      <c r="T6320" s="2">
        <v>42252</v>
      </c>
      <c r="U6320" s="2">
        <v>42312</v>
      </c>
      <c r="V6320" t="s">
        <v>71</v>
      </c>
      <c r="W6320" t="str">
        <f>"          5301675446"</f>
        <v xml:space="preserve">          5301675446</v>
      </c>
      <c r="X6320" s="1">
        <v>1144.06</v>
      </c>
      <c r="Y6320">
        <v>0</v>
      </c>
      <c r="Z6320"/>
      <c r="AB6320"/>
      <c r="AC6320">
        <v>937.75</v>
      </c>
      <c r="AD6320">
        <v>307</v>
      </c>
      <c r="AE6320" s="1">
        <v>287889.25</v>
      </c>
      <c r="AF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0</v>
      </c>
      <c r="AP6320" s="2">
        <v>42746</v>
      </c>
      <c r="AQ6320" t="s">
        <v>72</v>
      </c>
      <c r="AR6320" t="s">
        <v>72</v>
      </c>
      <c r="AS6320">
        <v>2297</v>
      </c>
      <c r="AT6320" s="4">
        <v>42619</v>
      </c>
      <c r="AU6320" t="s">
        <v>73</v>
      </c>
      <c r="AV6320">
        <v>2297</v>
      </c>
      <c r="AW6320" s="4">
        <v>42619</v>
      </c>
      <c r="BD6320">
        <v>0</v>
      </c>
      <c r="BN6320" t="s">
        <v>74</v>
      </c>
    </row>
    <row r="6321" spans="1:66" hidden="1">
      <c r="A6321">
        <v>104048</v>
      </c>
      <c r="B6321" s="3" t="s">
        <v>602</v>
      </c>
      <c r="C6321" s="1">
        <v>43300101</v>
      </c>
      <c r="D6321" t="s">
        <v>67</v>
      </c>
      <c r="H6321" t="str">
        <f t="shared" si="647"/>
        <v>00674840152</v>
      </c>
      <c r="I6321" t="str">
        <f t="shared" si="647"/>
        <v>00674840152</v>
      </c>
      <c r="K6321" t="str">
        <f>""</f>
        <v/>
      </c>
      <c r="M6321" t="s">
        <v>68</v>
      </c>
      <c r="N6321" t="str">
        <f t="shared" si="644"/>
        <v>FOR</v>
      </c>
      <c r="O6321" t="s">
        <v>69</v>
      </c>
      <c r="P6321" s="3" t="s">
        <v>75</v>
      </c>
      <c r="Q6321">
        <v>2015</v>
      </c>
      <c r="R6321" s="2">
        <v>42254</v>
      </c>
      <c r="S6321" s="2">
        <v>42255</v>
      </c>
      <c r="T6321" s="2">
        <v>42255</v>
      </c>
      <c r="U6321" s="2">
        <v>42315</v>
      </c>
      <c r="V6321" t="s">
        <v>71</v>
      </c>
      <c r="W6321" t="str">
        <f>"          5301675795"</f>
        <v xml:space="preserve">          5301675795</v>
      </c>
      <c r="X6321">
        <v>398.06</v>
      </c>
      <c r="Y6321">
        <v>0</v>
      </c>
      <c r="Z6321"/>
      <c r="AB6321"/>
      <c r="AC6321">
        <v>326.27999999999997</v>
      </c>
      <c r="AD6321">
        <v>304</v>
      </c>
      <c r="AE6321" s="1">
        <v>99189.119999999995</v>
      </c>
      <c r="AF6321">
        <v>0</v>
      </c>
      <c r="AJ6321">
        <v>0</v>
      </c>
      <c r="AK6321">
        <v>0</v>
      </c>
      <c r="AL6321">
        <v>0</v>
      </c>
      <c r="AM6321">
        <v>0</v>
      </c>
      <c r="AN6321">
        <v>0</v>
      </c>
      <c r="AO6321">
        <v>0</v>
      </c>
      <c r="AP6321" s="2">
        <v>42746</v>
      </c>
      <c r="AQ6321" t="s">
        <v>72</v>
      </c>
      <c r="AR6321" t="s">
        <v>72</v>
      </c>
      <c r="AS6321">
        <v>2297</v>
      </c>
      <c r="AT6321" s="4">
        <v>42619</v>
      </c>
      <c r="AU6321" t="s">
        <v>73</v>
      </c>
      <c r="AV6321">
        <v>2297</v>
      </c>
      <c r="AW6321" s="4">
        <v>42619</v>
      </c>
      <c r="BD6321">
        <v>0</v>
      </c>
      <c r="BN6321" t="s">
        <v>74</v>
      </c>
    </row>
    <row r="6322" spans="1:66" hidden="1">
      <c r="A6322">
        <v>104048</v>
      </c>
      <c r="B6322" s="3" t="s">
        <v>602</v>
      </c>
      <c r="C6322" s="1">
        <v>43300101</v>
      </c>
      <c r="D6322" t="s">
        <v>67</v>
      </c>
      <c r="H6322" t="str">
        <f t="shared" si="647"/>
        <v>00674840152</v>
      </c>
      <c r="I6322" t="str">
        <f t="shared" si="647"/>
        <v>00674840152</v>
      </c>
      <c r="K6322" t="str">
        <f>""</f>
        <v/>
      </c>
      <c r="M6322" t="s">
        <v>68</v>
      </c>
      <c r="N6322" t="str">
        <f t="shared" si="644"/>
        <v>FOR</v>
      </c>
      <c r="O6322" t="s">
        <v>69</v>
      </c>
      <c r="P6322" s="3" t="s">
        <v>75</v>
      </c>
      <c r="Q6322">
        <v>2015</v>
      </c>
      <c r="R6322" s="2">
        <v>42255</v>
      </c>
      <c r="S6322" s="2">
        <v>42258</v>
      </c>
      <c r="T6322" s="2">
        <v>42256</v>
      </c>
      <c r="U6322" s="2">
        <v>42316</v>
      </c>
      <c r="V6322" t="s">
        <v>71</v>
      </c>
      <c r="W6322" t="str">
        <f>"          5301676004"</f>
        <v xml:space="preserve">          5301676004</v>
      </c>
      <c r="X6322">
        <v>706.87</v>
      </c>
      <c r="Y6322">
        <v>0</v>
      </c>
      <c r="Z6322"/>
      <c r="AB6322"/>
      <c r="AC6322">
        <v>579.4</v>
      </c>
      <c r="AD6322">
        <v>303</v>
      </c>
      <c r="AE6322" s="1">
        <v>175558.2</v>
      </c>
      <c r="AF6322">
        <v>0</v>
      </c>
      <c r="AJ6322">
        <v>0</v>
      </c>
      <c r="AK6322">
        <v>0</v>
      </c>
      <c r="AL6322">
        <v>0</v>
      </c>
      <c r="AM6322">
        <v>0</v>
      </c>
      <c r="AN6322">
        <v>0</v>
      </c>
      <c r="AO6322">
        <v>0</v>
      </c>
      <c r="AP6322" s="2">
        <v>42746</v>
      </c>
      <c r="AQ6322" t="s">
        <v>72</v>
      </c>
      <c r="AR6322" t="s">
        <v>72</v>
      </c>
      <c r="AS6322">
        <v>2297</v>
      </c>
      <c r="AT6322" s="4">
        <v>42619</v>
      </c>
      <c r="AU6322" t="s">
        <v>73</v>
      </c>
      <c r="AV6322">
        <v>2297</v>
      </c>
      <c r="AW6322" s="4">
        <v>42619</v>
      </c>
      <c r="BD6322">
        <v>0</v>
      </c>
      <c r="BN6322" t="s">
        <v>74</v>
      </c>
    </row>
    <row r="6323" spans="1:66" hidden="1">
      <c r="A6323">
        <v>104048</v>
      </c>
      <c r="B6323" s="3" t="s">
        <v>602</v>
      </c>
      <c r="C6323" s="1">
        <v>43300101</v>
      </c>
      <c r="D6323" t="s">
        <v>67</v>
      </c>
      <c r="H6323" t="str">
        <f t="shared" si="647"/>
        <v>00674840152</v>
      </c>
      <c r="I6323" t="str">
        <f t="shared" si="647"/>
        <v>00674840152</v>
      </c>
      <c r="K6323" t="str">
        <f>""</f>
        <v/>
      </c>
      <c r="M6323" t="s">
        <v>68</v>
      </c>
      <c r="N6323" t="str">
        <f t="shared" si="644"/>
        <v>FOR</v>
      </c>
      <c r="O6323" t="s">
        <v>69</v>
      </c>
      <c r="P6323" s="3" t="s">
        <v>75</v>
      </c>
      <c r="Q6323">
        <v>2015</v>
      </c>
      <c r="R6323" s="2">
        <v>42264</v>
      </c>
      <c r="S6323" s="2">
        <v>42265</v>
      </c>
      <c r="T6323" s="2">
        <v>42265</v>
      </c>
      <c r="U6323" s="2">
        <v>42325</v>
      </c>
      <c r="V6323" t="s">
        <v>71</v>
      </c>
      <c r="W6323" t="str">
        <f>"          5301677732"</f>
        <v xml:space="preserve">          5301677732</v>
      </c>
      <c r="X6323">
        <v>466.65</v>
      </c>
      <c r="Y6323">
        <v>0</v>
      </c>
      <c r="Z6323"/>
      <c r="AB6323"/>
      <c r="AC6323">
        <v>382.5</v>
      </c>
      <c r="AD6323">
        <v>294</v>
      </c>
      <c r="AE6323" s="1">
        <v>112455</v>
      </c>
      <c r="AF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0</v>
      </c>
      <c r="AP6323" s="2">
        <v>42746</v>
      </c>
      <c r="AQ6323" t="s">
        <v>72</v>
      </c>
      <c r="AR6323" t="s">
        <v>72</v>
      </c>
      <c r="AS6323">
        <v>2297</v>
      </c>
      <c r="AT6323" s="4">
        <v>42619</v>
      </c>
      <c r="AU6323" t="s">
        <v>73</v>
      </c>
      <c r="AV6323">
        <v>2297</v>
      </c>
      <c r="AW6323" s="4">
        <v>42619</v>
      </c>
      <c r="BD6323">
        <v>0</v>
      </c>
      <c r="BN6323" t="s">
        <v>74</v>
      </c>
    </row>
    <row r="6324" spans="1:66" hidden="1">
      <c r="A6324">
        <v>104048</v>
      </c>
      <c r="B6324" s="3" t="s">
        <v>602</v>
      </c>
      <c r="C6324" s="1">
        <v>43300101</v>
      </c>
      <c r="D6324" t="s">
        <v>67</v>
      </c>
      <c r="H6324" t="str">
        <f t="shared" si="647"/>
        <v>00674840152</v>
      </c>
      <c r="I6324" t="str">
        <f t="shared" si="647"/>
        <v>00674840152</v>
      </c>
      <c r="K6324" t="str">
        <f>""</f>
        <v/>
      </c>
      <c r="M6324" t="s">
        <v>68</v>
      </c>
      <c r="N6324" t="str">
        <f t="shared" si="644"/>
        <v>FOR</v>
      </c>
      <c r="O6324" t="s">
        <v>69</v>
      </c>
      <c r="P6324" s="3" t="s">
        <v>75</v>
      </c>
      <c r="Q6324">
        <v>2015</v>
      </c>
      <c r="R6324" s="2">
        <v>42264</v>
      </c>
      <c r="S6324" s="2">
        <v>42265</v>
      </c>
      <c r="T6324" s="2">
        <v>42265</v>
      </c>
      <c r="U6324" s="2">
        <v>42325</v>
      </c>
      <c r="V6324" t="s">
        <v>71</v>
      </c>
      <c r="W6324" t="str">
        <f>"          5301677733"</f>
        <v xml:space="preserve">          5301677733</v>
      </c>
      <c r="X6324" s="1">
        <v>1592.83</v>
      </c>
      <c r="Y6324">
        <v>0</v>
      </c>
      <c r="Z6324"/>
      <c r="AB6324"/>
      <c r="AC6324" s="1">
        <v>1305.5999999999999</v>
      </c>
      <c r="AD6324">
        <v>294</v>
      </c>
      <c r="AE6324" s="1">
        <v>383846.40000000002</v>
      </c>
      <c r="AF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0</v>
      </c>
      <c r="AP6324" s="2">
        <v>42746</v>
      </c>
      <c r="AQ6324" t="s">
        <v>72</v>
      </c>
      <c r="AR6324" t="s">
        <v>72</v>
      </c>
      <c r="AS6324">
        <v>2297</v>
      </c>
      <c r="AT6324" s="4">
        <v>42619</v>
      </c>
      <c r="AU6324" t="s">
        <v>73</v>
      </c>
      <c r="AV6324">
        <v>2297</v>
      </c>
      <c r="AW6324" s="4">
        <v>42619</v>
      </c>
      <c r="BD6324">
        <v>0</v>
      </c>
      <c r="BN6324" t="s">
        <v>74</v>
      </c>
    </row>
    <row r="6325" spans="1:66" hidden="1">
      <c r="A6325">
        <v>104048</v>
      </c>
      <c r="B6325" s="3" t="s">
        <v>602</v>
      </c>
      <c r="C6325" s="1">
        <v>43300101</v>
      </c>
      <c r="D6325" t="s">
        <v>67</v>
      </c>
      <c r="H6325" t="str">
        <f t="shared" si="647"/>
        <v>00674840152</v>
      </c>
      <c r="I6325" t="str">
        <f t="shared" si="647"/>
        <v>00674840152</v>
      </c>
      <c r="K6325" t="str">
        <f>""</f>
        <v/>
      </c>
      <c r="M6325" t="s">
        <v>68</v>
      </c>
      <c r="N6325" t="str">
        <f t="shared" si="644"/>
        <v>FOR</v>
      </c>
      <c r="O6325" t="s">
        <v>69</v>
      </c>
      <c r="P6325" s="3" t="s">
        <v>75</v>
      </c>
      <c r="Q6325">
        <v>2015</v>
      </c>
      <c r="R6325" s="2">
        <v>42264</v>
      </c>
      <c r="S6325" s="2">
        <v>42265</v>
      </c>
      <c r="T6325" s="2">
        <v>42265</v>
      </c>
      <c r="U6325" s="2">
        <v>42325</v>
      </c>
      <c r="V6325" t="s">
        <v>71</v>
      </c>
      <c r="W6325" t="str">
        <f>"          5301677734"</f>
        <v xml:space="preserve">          5301677734</v>
      </c>
      <c r="X6325" s="1">
        <v>1647</v>
      </c>
      <c r="Y6325">
        <v>0</v>
      </c>
      <c r="Z6325"/>
      <c r="AB6325"/>
      <c r="AC6325" s="1">
        <v>1350</v>
      </c>
      <c r="AD6325">
        <v>294</v>
      </c>
      <c r="AE6325" s="1">
        <v>396900</v>
      </c>
      <c r="AF6325">
        <v>0</v>
      </c>
      <c r="AJ6325">
        <v>0</v>
      </c>
      <c r="AK6325">
        <v>0</v>
      </c>
      <c r="AL6325">
        <v>0</v>
      </c>
      <c r="AM6325">
        <v>0</v>
      </c>
      <c r="AN6325">
        <v>0</v>
      </c>
      <c r="AO6325">
        <v>0</v>
      </c>
      <c r="AP6325" s="2">
        <v>42746</v>
      </c>
      <c r="AQ6325" t="s">
        <v>72</v>
      </c>
      <c r="AR6325" t="s">
        <v>72</v>
      </c>
      <c r="AS6325">
        <v>2297</v>
      </c>
      <c r="AT6325" s="4">
        <v>42619</v>
      </c>
      <c r="AU6325" t="s">
        <v>73</v>
      </c>
      <c r="AV6325">
        <v>2297</v>
      </c>
      <c r="AW6325" s="4">
        <v>42619</v>
      </c>
      <c r="BD6325">
        <v>0</v>
      </c>
      <c r="BN6325" t="s">
        <v>74</v>
      </c>
    </row>
    <row r="6326" spans="1:66" hidden="1">
      <c r="A6326">
        <v>104048</v>
      </c>
      <c r="B6326" s="3" t="s">
        <v>602</v>
      </c>
      <c r="C6326" s="1">
        <v>43300101</v>
      </c>
      <c r="D6326" t="s">
        <v>67</v>
      </c>
      <c r="H6326" t="str">
        <f t="shared" si="647"/>
        <v>00674840152</v>
      </c>
      <c r="I6326" t="str">
        <f t="shared" si="647"/>
        <v>00674840152</v>
      </c>
      <c r="K6326" t="str">
        <f>""</f>
        <v/>
      </c>
      <c r="M6326" t="s">
        <v>68</v>
      </c>
      <c r="N6326" t="str">
        <f t="shared" si="644"/>
        <v>FOR</v>
      </c>
      <c r="O6326" t="s">
        <v>69</v>
      </c>
      <c r="P6326" s="3" t="s">
        <v>75</v>
      </c>
      <c r="Q6326">
        <v>2015</v>
      </c>
      <c r="R6326" s="2">
        <v>42264</v>
      </c>
      <c r="S6326" s="2">
        <v>42265</v>
      </c>
      <c r="T6326" s="2">
        <v>42265</v>
      </c>
      <c r="U6326" s="2">
        <v>42325</v>
      </c>
      <c r="V6326" t="s">
        <v>71</v>
      </c>
      <c r="W6326" t="str">
        <f>"          5301677735"</f>
        <v xml:space="preserve">          5301677735</v>
      </c>
      <c r="X6326">
        <v>732</v>
      </c>
      <c r="Y6326">
        <v>0</v>
      </c>
      <c r="Z6326"/>
      <c r="AB6326"/>
      <c r="AC6326">
        <v>600</v>
      </c>
      <c r="AD6326">
        <v>294</v>
      </c>
      <c r="AE6326" s="1">
        <v>176400</v>
      </c>
      <c r="AF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 s="2">
        <v>42746</v>
      </c>
      <c r="AQ6326" t="s">
        <v>72</v>
      </c>
      <c r="AR6326" t="s">
        <v>72</v>
      </c>
      <c r="AS6326">
        <v>2297</v>
      </c>
      <c r="AT6326" s="4">
        <v>42619</v>
      </c>
      <c r="AU6326" t="s">
        <v>73</v>
      </c>
      <c r="AV6326">
        <v>2297</v>
      </c>
      <c r="AW6326" s="4">
        <v>42619</v>
      </c>
      <c r="BD6326">
        <v>0</v>
      </c>
      <c r="BN6326" t="s">
        <v>74</v>
      </c>
    </row>
    <row r="6327" spans="1:66" hidden="1">
      <c r="A6327">
        <v>104048</v>
      </c>
      <c r="B6327" s="3" t="s">
        <v>602</v>
      </c>
      <c r="C6327" s="1">
        <v>43300101</v>
      </c>
      <c r="D6327" t="s">
        <v>67</v>
      </c>
      <c r="H6327" t="str">
        <f t="shared" si="647"/>
        <v>00674840152</v>
      </c>
      <c r="I6327" t="str">
        <f t="shared" si="647"/>
        <v>00674840152</v>
      </c>
      <c r="K6327" t="str">
        <f>""</f>
        <v/>
      </c>
      <c r="M6327" t="s">
        <v>68</v>
      </c>
      <c r="N6327" t="str">
        <f t="shared" si="644"/>
        <v>FOR</v>
      </c>
      <c r="O6327" t="s">
        <v>69</v>
      </c>
      <c r="P6327" s="3" t="s">
        <v>75</v>
      </c>
      <c r="Q6327">
        <v>2015</v>
      </c>
      <c r="R6327" s="2">
        <v>42264</v>
      </c>
      <c r="S6327" s="2">
        <v>42265</v>
      </c>
      <c r="T6327" s="2">
        <v>42265</v>
      </c>
      <c r="U6327" s="2">
        <v>42325</v>
      </c>
      <c r="V6327" t="s">
        <v>71</v>
      </c>
      <c r="W6327" t="str">
        <f>"          5301677736"</f>
        <v xml:space="preserve">          5301677736</v>
      </c>
      <c r="X6327">
        <v>780.8</v>
      </c>
      <c r="Y6327">
        <v>0</v>
      </c>
      <c r="Z6327"/>
      <c r="AB6327"/>
      <c r="AC6327">
        <v>640</v>
      </c>
      <c r="AD6327">
        <v>294</v>
      </c>
      <c r="AE6327" s="1">
        <v>188160</v>
      </c>
      <c r="AF6327">
        <v>0</v>
      </c>
      <c r="AJ6327">
        <v>0</v>
      </c>
      <c r="AK6327">
        <v>0</v>
      </c>
      <c r="AL6327">
        <v>0</v>
      </c>
      <c r="AM6327">
        <v>0</v>
      </c>
      <c r="AN6327">
        <v>0</v>
      </c>
      <c r="AO6327">
        <v>0</v>
      </c>
      <c r="AP6327" s="2">
        <v>42746</v>
      </c>
      <c r="AQ6327" t="s">
        <v>72</v>
      </c>
      <c r="AR6327" t="s">
        <v>72</v>
      </c>
      <c r="AS6327">
        <v>2297</v>
      </c>
      <c r="AT6327" s="4">
        <v>42619</v>
      </c>
      <c r="AU6327" t="s">
        <v>73</v>
      </c>
      <c r="AV6327">
        <v>2297</v>
      </c>
      <c r="AW6327" s="4">
        <v>42619</v>
      </c>
      <c r="BD6327">
        <v>0</v>
      </c>
      <c r="BN6327" t="s">
        <v>74</v>
      </c>
    </row>
    <row r="6328" spans="1:66" hidden="1">
      <c r="A6328">
        <v>104048</v>
      </c>
      <c r="B6328" s="3" t="s">
        <v>602</v>
      </c>
      <c r="C6328" s="1">
        <v>43300101</v>
      </c>
      <c r="D6328" t="s">
        <v>67</v>
      </c>
      <c r="H6328" t="str">
        <f t="shared" si="647"/>
        <v>00674840152</v>
      </c>
      <c r="I6328" t="str">
        <f t="shared" si="647"/>
        <v>00674840152</v>
      </c>
      <c r="K6328" t="str">
        <f>""</f>
        <v/>
      </c>
      <c r="M6328" t="s">
        <v>68</v>
      </c>
      <c r="N6328" t="str">
        <f t="shared" si="644"/>
        <v>FOR</v>
      </c>
      <c r="O6328" t="s">
        <v>69</v>
      </c>
      <c r="P6328" s="3" t="s">
        <v>75</v>
      </c>
      <c r="Q6328">
        <v>2015</v>
      </c>
      <c r="R6328" s="2">
        <v>42264</v>
      </c>
      <c r="S6328" s="2">
        <v>42265</v>
      </c>
      <c r="T6328" s="2">
        <v>42265</v>
      </c>
      <c r="U6328" s="2">
        <v>42325</v>
      </c>
      <c r="V6328" t="s">
        <v>71</v>
      </c>
      <c r="W6328" t="str">
        <f>"          5301677737"</f>
        <v xml:space="preserve">          5301677737</v>
      </c>
      <c r="X6328">
        <v>902.8</v>
      </c>
      <c r="Y6328">
        <v>0</v>
      </c>
      <c r="Z6328"/>
      <c r="AB6328"/>
      <c r="AC6328">
        <v>740</v>
      </c>
      <c r="AD6328">
        <v>294</v>
      </c>
      <c r="AE6328" s="1">
        <v>217560</v>
      </c>
      <c r="AF6328">
        <v>0</v>
      </c>
      <c r="AJ6328">
        <v>0</v>
      </c>
      <c r="AK6328">
        <v>0</v>
      </c>
      <c r="AL6328">
        <v>0</v>
      </c>
      <c r="AM6328">
        <v>0</v>
      </c>
      <c r="AN6328">
        <v>0</v>
      </c>
      <c r="AO6328">
        <v>0</v>
      </c>
      <c r="AP6328" s="2">
        <v>42746</v>
      </c>
      <c r="AQ6328" t="s">
        <v>72</v>
      </c>
      <c r="AR6328" t="s">
        <v>72</v>
      </c>
      <c r="AS6328">
        <v>2297</v>
      </c>
      <c r="AT6328" s="4">
        <v>42619</v>
      </c>
      <c r="AU6328" t="s">
        <v>73</v>
      </c>
      <c r="AV6328">
        <v>2297</v>
      </c>
      <c r="AW6328" s="4">
        <v>42619</v>
      </c>
      <c r="BD6328">
        <v>0</v>
      </c>
      <c r="BN6328" t="s">
        <v>74</v>
      </c>
    </row>
    <row r="6329" spans="1:66" hidden="1">
      <c r="A6329">
        <v>104048</v>
      </c>
      <c r="B6329" s="3" t="s">
        <v>602</v>
      </c>
      <c r="C6329" s="1">
        <v>43300101</v>
      </c>
      <c r="D6329" t="s">
        <v>67</v>
      </c>
      <c r="H6329" t="str">
        <f t="shared" si="647"/>
        <v>00674840152</v>
      </c>
      <c r="I6329" t="str">
        <f t="shared" si="647"/>
        <v>00674840152</v>
      </c>
      <c r="K6329" t="str">
        <f>""</f>
        <v/>
      </c>
      <c r="M6329" t="s">
        <v>68</v>
      </c>
      <c r="N6329" t="str">
        <f t="shared" si="644"/>
        <v>FOR</v>
      </c>
      <c r="O6329" t="s">
        <v>69</v>
      </c>
      <c r="P6329" s="3" t="s">
        <v>75</v>
      </c>
      <c r="Q6329">
        <v>2015</v>
      </c>
      <c r="R6329" s="2">
        <v>42264</v>
      </c>
      <c r="S6329" s="2">
        <v>42265</v>
      </c>
      <c r="T6329" s="2">
        <v>42265</v>
      </c>
      <c r="U6329" s="2">
        <v>42325</v>
      </c>
      <c r="V6329" t="s">
        <v>71</v>
      </c>
      <c r="W6329" t="str">
        <f>"          5301677738"</f>
        <v xml:space="preserve">          5301677738</v>
      </c>
      <c r="X6329">
        <v>204.96</v>
      </c>
      <c r="Y6329">
        <v>0</v>
      </c>
      <c r="Z6329"/>
      <c r="AB6329"/>
      <c r="AC6329">
        <v>168</v>
      </c>
      <c r="AD6329">
        <v>294</v>
      </c>
      <c r="AE6329" s="1">
        <v>49392</v>
      </c>
      <c r="AF6329">
        <v>0</v>
      </c>
      <c r="AJ6329">
        <v>0</v>
      </c>
      <c r="AK6329">
        <v>0</v>
      </c>
      <c r="AL6329">
        <v>0</v>
      </c>
      <c r="AM6329">
        <v>0</v>
      </c>
      <c r="AN6329">
        <v>0</v>
      </c>
      <c r="AO6329">
        <v>0</v>
      </c>
      <c r="AP6329" s="2">
        <v>42746</v>
      </c>
      <c r="AQ6329" t="s">
        <v>72</v>
      </c>
      <c r="AR6329" t="s">
        <v>72</v>
      </c>
      <c r="AS6329">
        <v>2297</v>
      </c>
      <c r="AT6329" s="4">
        <v>42619</v>
      </c>
      <c r="AU6329" t="s">
        <v>73</v>
      </c>
      <c r="AV6329">
        <v>2297</v>
      </c>
      <c r="AW6329" s="4">
        <v>42619</v>
      </c>
      <c r="BD6329">
        <v>0</v>
      </c>
      <c r="BN6329" t="s">
        <v>74</v>
      </c>
    </row>
    <row r="6330" spans="1:66" hidden="1">
      <c r="A6330">
        <v>104048</v>
      </c>
      <c r="B6330" s="3" t="s">
        <v>602</v>
      </c>
      <c r="C6330" s="1">
        <v>43300101</v>
      </c>
      <c r="D6330" t="s">
        <v>67</v>
      </c>
      <c r="H6330" t="str">
        <f t="shared" si="647"/>
        <v>00674840152</v>
      </c>
      <c r="I6330" t="str">
        <f t="shared" si="647"/>
        <v>00674840152</v>
      </c>
      <c r="K6330" t="str">
        <f>""</f>
        <v/>
      </c>
      <c r="M6330" t="s">
        <v>68</v>
      </c>
      <c r="N6330" t="str">
        <f t="shared" si="644"/>
        <v>FOR</v>
      </c>
      <c r="O6330" t="s">
        <v>69</v>
      </c>
      <c r="P6330" s="3" t="s">
        <v>75</v>
      </c>
      <c r="Q6330">
        <v>2015</v>
      </c>
      <c r="R6330" s="2">
        <v>42269</v>
      </c>
      <c r="S6330" s="2">
        <v>42270</v>
      </c>
      <c r="T6330" s="2">
        <v>42270</v>
      </c>
      <c r="U6330" s="2">
        <v>42330</v>
      </c>
      <c r="V6330" t="s">
        <v>71</v>
      </c>
      <c r="W6330" t="str">
        <f>"          5301678773"</f>
        <v xml:space="preserve">          5301678773</v>
      </c>
      <c r="X6330" s="1">
        <v>1927.6</v>
      </c>
      <c r="Y6330">
        <v>0</v>
      </c>
      <c r="Z6330"/>
      <c r="AB6330"/>
      <c r="AC6330" s="1">
        <v>1580</v>
      </c>
      <c r="AD6330">
        <v>289</v>
      </c>
      <c r="AE6330" s="1">
        <v>456620</v>
      </c>
      <c r="AF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 s="2">
        <v>42746</v>
      </c>
      <c r="AQ6330" t="s">
        <v>72</v>
      </c>
      <c r="AR6330" t="s">
        <v>72</v>
      </c>
      <c r="AS6330">
        <v>2297</v>
      </c>
      <c r="AT6330" s="4">
        <v>42619</v>
      </c>
      <c r="AU6330" t="s">
        <v>73</v>
      </c>
      <c r="AV6330">
        <v>2297</v>
      </c>
      <c r="AW6330" s="4">
        <v>42619</v>
      </c>
      <c r="BD6330">
        <v>0</v>
      </c>
      <c r="BN6330" t="s">
        <v>74</v>
      </c>
    </row>
    <row r="6331" spans="1:66" hidden="1">
      <c r="A6331">
        <v>104048</v>
      </c>
      <c r="B6331" s="3" t="s">
        <v>602</v>
      </c>
      <c r="C6331" s="1">
        <v>43300101</v>
      </c>
      <c r="D6331" t="s">
        <v>67</v>
      </c>
      <c r="H6331" t="str">
        <f t="shared" si="647"/>
        <v>00674840152</v>
      </c>
      <c r="I6331" t="str">
        <f t="shared" si="647"/>
        <v>00674840152</v>
      </c>
      <c r="K6331" t="str">
        <f>""</f>
        <v/>
      </c>
      <c r="M6331" t="s">
        <v>68</v>
      </c>
      <c r="N6331" t="str">
        <f t="shared" si="644"/>
        <v>FOR</v>
      </c>
      <c r="O6331" t="s">
        <v>69</v>
      </c>
      <c r="P6331" s="3" t="s">
        <v>75</v>
      </c>
      <c r="Q6331">
        <v>2015</v>
      </c>
      <c r="R6331" s="2">
        <v>42270</v>
      </c>
      <c r="S6331" s="2">
        <v>42272</v>
      </c>
      <c r="T6331" s="2">
        <v>42271</v>
      </c>
      <c r="U6331" s="2">
        <v>42331</v>
      </c>
      <c r="V6331" t="s">
        <v>71</v>
      </c>
      <c r="W6331" t="str">
        <f>"          5301679065"</f>
        <v xml:space="preserve">          5301679065</v>
      </c>
      <c r="X6331">
        <v>331.23</v>
      </c>
      <c r="Y6331">
        <v>0</v>
      </c>
      <c r="Z6331"/>
      <c r="AB6331"/>
      <c r="AC6331">
        <v>271.5</v>
      </c>
      <c r="AD6331">
        <v>288</v>
      </c>
      <c r="AE6331" s="1">
        <v>78192</v>
      </c>
      <c r="AF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 s="2">
        <v>42746</v>
      </c>
      <c r="AQ6331" t="s">
        <v>72</v>
      </c>
      <c r="AR6331" t="s">
        <v>72</v>
      </c>
      <c r="AS6331">
        <v>2297</v>
      </c>
      <c r="AT6331" s="4">
        <v>42619</v>
      </c>
      <c r="AU6331" t="s">
        <v>73</v>
      </c>
      <c r="AV6331">
        <v>2297</v>
      </c>
      <c r="AW6331" s="4">
        <v>42619</v>
      </c>
      <c r="BD6331">
        <v>0</v>
      </c>
      <c r="BN6331" t="s">
        <v>74</v>
      </c>
    </row>
    <row r="6332" spans="1:66" hidden="1">
      <c r="A6332">
        <v>104048</v>
      </c>
      <c r="B6332" s="3" t="s">
        <v>602</v>
      </c>
      <c r="C6332" s="1">
        <v>43300101</v>
      </c>
      <c r="D6332" t="s">
        <v>67</v>
      </c>
      <c r="H6332" t="str">
        <f t="shared" si="647"/>
        <v>00674840152</v>
      </c>
      <c r="I6332" t="str">
        <f t="shared" si="647"/>
        <v>00674840152</v>
      </c>
      <c r="K6332" t="str">
        <f>""</f>
        <v/>
      </c>
      <c r="M6332" t="s">
        <v>68</v>
      </c>
      <c r="N6332" t="str">
        <f t="shared" si="644"/>
        <v>FOR</v>
      </c>
      <c r="O6332" t="s">
        <v>69</v>
      </c>
      <c r="P6332" s="3" t="s">
        <v>75</v>
      </c>
      <c r="Q6332">
        <v>2015</v>
      </c>
      <c r="R6332" s="2">
        <v>42272</v>
      </c>
      <c r="S6332" s="2">
        <v>42275</v>
      </c>
      <c r="T6332" s="2">
        <v>42273</v>
      </c>
      <c r="U6332" s="2">
        <v>42333</v>
      </c>
      <c r="V6332" t="s">
        <v>71</v>
      </c>
      <c r="W6332" t="str">
        <f>"          5301679681"</f>
        <v xml:space="preserve">          5301679681</v>
      </c>
      <c r="X6332">
        <v>878.4</v>
      </c>
      <c r="Y6332">
        <v>0</v>
      </c>
      <c r="Z6332"/>
      <c r="AB6332"/>
      <c r="AC6332">
        <v>720</v>
      </c>
      <c r="AD6332">
        <v>286</v>
      </c>
      <c r="AE6332" s="1">
        <v>205920</v>
      </c>
      <c r="AF6332">
        <v>0</v>
      </c>
      <c r="AJ6332">
        <v>0</v>
      </c>
      <c r="AK6332">
        <v>0</v>
      </c>
      <c r="AL6332">
        <v>0</v>
      </c>
      <c r="AM6332">
        <v>0</v>
      </c>
      <c r="AN6332">
        <v>0</v>
      </c>
      <c r="AO6332">
        <v>0</v>
      </c>
      <c r="AP6332" s="2">
        <v>42746</v>
      </c>
      <c r="AQ6332" t="s">
        <v>72</v>
      </c>
      <c r="AR6332" t="s">
        <v>72</v>
      </c>
      <c r="AS6332">
        <v>2297</v>
      </c>
      <c r="AT6332" s="4">
        <v>42619</v>
      </c>
      <c r="AU6332" t="s">
        <v>73</v>
      </c>
      <c r="AV6332">
        <v>2297</v>
      </c>
      <c r="AW6332" s="4">
        <v>42619</v>
      </c>
      <c r="BD6332">
        <v>0</v>
      </c>
      <c r="BN6332" t="s">
        <v>74</v>
      </c>
    </row>
    <row r="6333" spans="1:66">
      <c r="A6333">
        <v>104048</v>
      </c>
      <c r="B6333" s="3" t="s">
        <v>602</v>
      </c>
      <c r="C6333" s="1">
        <v>43300101</v>
      </c>
      <c r="D6333" t="s">
        <v>67</v>
      </c>
      <c r="H6333" t="str">
        <f t="shared" si="647"/>
        <v>00674840152</v>
      </c>
      <c r="I6333" t="str">
        <f t="shared" si="647"/>
        <v>00674840152</v>
      </c>
      <c r="K6333" t="str">
        <f>""</f>
        <v/>
      </c>
      <c r="M6333" t="s">
        <v>68</v>
      </c>
      <c r="N6333" t="str">
        <f t="shared" si="644"/>
        <v>FOR</v>
      </c>
      <c r="O6333" t="s">
        <v>69</v>
      </c>
      <c r="P6333" s="3" t="s">
        <v>75</v>
      </c>
      <c r="Q6333">
        <v>2015</v>
      </c>
      <c r="R6333" s="2">
        <v>42282</v>
      </c>
      <c r="S6333" s="2">
        <v>42284</v>
      </c>
      <c r="T6333" s="2">
        <v>42283</v>
      </c>
      <c r="U6333" s="2">
        <v>42343</v>
      </c>
      <c r="V6333" t="s">
        <v>71</v>
      </c>
      <c r="W6333" t="str">
        <f>"          5301681579"</f>
        <v xml:space="preserve">          5301681579</v>
      </c>
      <c r="X6333" s="1">
        <v>8344.7999999999993</v>
      </c>
      <c r="Y6333">
        <v>0</v>
      </c>
      <c r="Z6333" s="5">
        <v>6840</v>
      </c>
      <c r="AA6333">
        <v>304</v>
      </c>
      <c r="AB6333" s="5">
        <v>2079360</v>
      </c>
      <c r="AC6333" s="1">
        <v>6840</v>
      </c>
      <c r="AD6333">
        <v>304</v>
      </c>
      <c r="AE6333" s="1">
        <v>2079360</v>
      </c>
      <c r="AF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 s="2">
        <v>42746</v>
      </c>
      <c r="AQ6333" t="s">
        <v>72</v>
      </c>
      <c r="AR6333" t="s">
        <v>72</v>
      </c>
      <c r="AS6333">
        <v>2623</v>
      </c>
      <c r="AT6333" s="4">
        <v>42647</v>
      </c>
      <c r="AU6333" t="s">
        <v>73</v>
      </c>
      <c r="AV6333">
        <v>2623</v>
      </c>
      <c r="AW6333" s="4">
        <v>42647</v>
      </c>
      <c r="BD6333">
        <v>0</v>
      </c>
      <c r="BN6333" t="s">
        <v>74</v>
      </c>
    </row>
    <row r="6334" spans="1:66">
      <c r="A6334">
        <v>104048</v>
      </c>
      <c r="B6334" s="3" t="s">
        <v>602</v>
      </c>
      <c r="C6334" s="1">
        <v>43300101</v>
      </c>
      <c r="D6334" t="s">
        <v>67</v>
      </c>
      <c r="H6334" t="str">
        <f t="shared" ref="H6334:I6353" si="648">"00674840152"</f>
        <v>00674840152</v>
      </c>
      <c r="I6334" t="str">
        <f t="shared" si="648"/>
        <v>00674840152</v>
      </c>
      <c r="K6334" t="str">
        <f>""</f>
        <v/>
      </c>
      <c r="M6334" t="s">
        <v>68</v>
      </c>
      <c r="N6334" t="str">
        <f t="shared" si="644"/>
        <v>FOR</v>
      </c>
      <c r="O6334" t="s">
        <v>69</v>
      </c>
      <c r="P6334" s="3" t="s">
        <v>75</v>
      </c>
      <c r="Q6334">
        <v>2015</v>
      </c>
      <c r="R6334" s="2">
        <v>42282</v>
      </c>
      <c r="S6334" s="2">
        <v>42284</v>
      </c>
      <c r="T6334" s="2">
        <v>42283</v>
      </c>
      <c r="U6334" s="2">
        <v>42343</v>
      </c>
      <c r="V6334" t="s">
        <v>71</v>
      </c>
      <c r="W6334" t="str">
        <f>"          5301681580"</f>
        <v xml:space="preserve">          5301681580</v>
      </c>
      <c r="X6334" s="1">
        <v>5563.2</v>
      </c>
      <c r="Y6334">
        <v>0</v>
      </c>
      <c r="Z6334" s="5">
        <v>4560</v>
      </c>
      <c r="AA6334">
        <v>304</v>
      </c>
      <c r="AB6334" s="5">
        <v>1386240</v>
      </c>
      <c r="AC6334" s="1">
        <v>4560</v>
      </c>
      <c r="AD6334">
        <v>304</v>
      </c>
      <c r="AE6334" s="1">
        <v>1386240</v>
      </c>
      <c r="AF6334">
        <v>0</v>
      </c>
      <c r="AJ6334">
        <v>0</v>
      </c>
      <c r="AK6334">
        <v>0</v>
      </c>
      <c r="AL6334">
        <v>0</v>
      </c>
      <c r="AM6334">
        <v>0</v>
      </c>
      <c r="AN6334">
        <v>0</v>
      </c>
      <c r="AO6334">
        <v>0</v>
      </c>
      <c r="AP6334" s="2">
        <v>42746</v>
      </c>
      <c r="AQ6334" t="s">
        <v>72</v>
      </c>
      <c r="AR6334" t="s">
        <v>72</v>
      </c>
      <c r="AS6334">
        <v>2623</v>
      </c>
      <c r="AT6334" s="4">
        <v>42647</v>
      </c>
      <c r="AU6334" t="s">
        <v>73</v>
      </c>
      <c r="AV6334">
        <v>2623</v>
      </c>
      <c r="AW6334" s="4">
        <v>42647</v>
      </c>
      <c r="BD6334">
        <v>0</v>
      </c>
      <c r="BN6334" t="s">
        <v>74</v>
      </c>
    </row>
    <row r="6335" spans="1:66">
      <c r="A6335">
        <v>104048</v>
      </c>
      <c r="B6335" s="3" t="s">
        <v>602</v>
      </c>
      <c r="C6335" s="1">
        <v>43300101</v>
      </c>
      <c r="D6335" t="s">
        <v>67</v>
      </c>
      <c r="H6335" t="str">
        <f t="shared" si="648"/>
        <v>00674840152</v>
      </c>
      <c r="I6335" t="str">
        <f t="shared" si="648"/>
        <v>00674840152</v>
      </c>
      <c r="K6335" t="str">
        <f>""</f>
        <v/>
      </c>
      <c r="M6335" t="s">
        <v>68</v>
      </c>
      <c r="N6335" t="str">
        <f t="shared" si="644"/>
        <v>FOR</v>
      </c>
      <c r="O6335" t="s">
        <v>69</v>
      </c>
      <c r="P6335" s="3" t="s">
        <v>75</v>
      </c>
      <c r="Q6335">
        <v>2015</v>
      </c>
      <c r="R6335" s="2">
        <v>42283</v>
      </c>
      <c r="S6335" s="2">
        <v>42286</v>
      </c>
      <c r="T6335" s="2">
        <v>42284</v>
      </c>
      <c r="U6335" s="2">
        <v>42344</v>
      </c>
      <c r="V6335" t="s">
        <v>71</v>
      </c>
      <c r="W6335" t="str">
        <f>"          5301681905"</f>
        <v xml:space="preserve">          5301681905</v>
      </c>
      <c r="X6335" s="1">
        <v>1464</v>
      </c>
      <c r="Y6335">
        <v>0</v>
      </c>
      <c r="Z6335" s="5">
        <v>1200</v>
      </c>
      <c r="AA6335">
        <v>303</v>
      </c>
      <c r="AB6335" s="5">
        <v>363600</v>
      </c>
      <c r="AC6335" s="1">
        <v>1200</v>
      </c>
      <c r="AD6335">
        <v>303</v>
      </c>
      <c r="AE6335" s="1">
        <v>363600</v>
      </c>
      <c r="AF6335">
        <v>0</v>
      </c>
      <c r="AJ6335">
        <v>0</v>
      </c>
      <c r="AK6335">
        <v>0</v>
      </c>
      <c r="AL6335">
        <v>0</v>
      </c>
      <c r="AM6335">
        <v>0</v>
      </c>
      <c r="AN6335">
        <v>0</v>
      </c>
      <c r="AO6335">
        <v>0</v>
      </c>
      <c r="AP6335" s="2">
        <v>42746</v>
      </c>
      <c r="AQ6335" t="s">
        <v>72</v>
      </c>
      <c r="AR6335" t="s">
        <v>72</v>
      </c>
      <c r="AS6335">
        <v>2623</v>
      </c>
      <c r="AT6335" s="4">
        <v>42647</v>
      </c>
      <c r="AU6335" t="s">
        <v>73</v>
      </c>
      <c r="AV6335">
        <v>2623</v>
      </c>
      <c r="AW6335" s="4">
        <v>42647</v>
      </c>
      <c r="BD6335">
        <v>0</v>
      </c>
      <c r="BN6335" t="s">
        <v>74</v>
      </c>
    </row>
    <row r="6336" spans="1:66">
      <c r="A6336">
        <v>104048</v>
      </c>
      <c r="B6336" s="3" t="s">
        <v>602</v>
      </c>
      <c r="C6336" s="1">
        <v>43300101</v>
      </c>
      <c r="D6336" t="s">
        <v>67</v>
      </c>
      <c r="H6336" t="str">
        <f t="shared" si="648"/>
        <v>00674840152</v>
      </c>
      <c r="I6336" t="str">
        <f t="shared" si="648"/>
        <v>00674840152</v>
      </c>
      <c r="K6336" t="str">
        <f>""</f>
        <v/>
      </c>
      <c r="M6336" t="s">
        <v>68</v>
      </c>
      <c r="N6336" t="str">
        <f t="shared" ref="N6336:N6399" si="649">"FOR"</f>
        <v>FOR</v>
      </c>
      <c r="O6336" t="s">
        <v>69</v>
      </c>
      <c r="P6336" s="3" t="s">
        <v>75</v>
      </c>
      <c r="Q6336">
        <v>2015</v>
      </c>
      <c r="R6336" s="2">
        <v>42283</v>
      </c>
      <c r="S6336" s="2">
        <v>42291</v>
      </c>
      <c r="T6336" s="2">
        <v>42284</v>
      </c>
      <c r="U6336" s="2">
        <v>42344</v>
      </c>
      <c r="V6336" t="s">
        <v>71</v>
      </c>
      <c r="W6336" t="str">
        <f>"          5301681906"</f>
        <v xml:space="preserve">          5301681906</v>
      </c>
      <c r="X6336" s="1">
        <v>3185.66</v>
      </c>
      <c r="Y6336">
        <v>0</v>
      </c>
      <c r="Z6336" s="5">
        <v>2611.1999999999998</v>
      </c>
      <c r="AA6336">
        <v>303</v>
      </c>
      <c r="AB6336" s="5">
        <v>791193.59999999998</v>
      </c>
      <c r="AC6336" s="1">
        <v>2611.1999999999998</v>
      </c>
      <c r="AD6336">
        <v>303</v>
      </c>
      <c r="AE6336" s="1">
        <v>791193.59999999998</v>
      </c>
      <c r="AF6336">
        <v>0</v>
      </c>
      <c r="AJ6336">
        <v>0</v>
      </c>
      <c r="AK6336">
        <v>0</v>
      </c>
      <c r="AL6336">
        <v>0</v>
      </c>
      <c r="AM6336">
        <v>0</v>
      </c>
      <c r="AN6336">
        <v>0</v>
      </c>
      <c r="AO6336">
        <v>0</v>
      </c>
      <c r="AP6336" s="2">
        <v>42746</v>
      </c>
      <c r="AQ6336" t="s">
        <v>72</v>
      </c>
      <c r="AR6336" t="s">
        <v>72</v>
      </c>
      <c r="AS6336">
        <v>2623</v>
      </c>
      <c r="AT6336" s="4">
        <v>42647</v>
      </c>
      <c r="AU6336" t="s">
        <v>73</v>
      </c>
      <c r="AV6336">
        <v>2623</v>
      </c>
      <c r="AW6336" s="4">
        <v>42647</v>
      </c>
      <c r="BD6336">
        <v>0</v>
      </c>
      <c r="BN6336" t="s">
        <v>74</v>
      </c>
    </row>
    <row r="6337" spans="1:66">
      <c r="A6337">
        <v>104048</v>
      </c>
      <c r="B6337" s="3" t="s">
        <v>602</v>
      </c>
      <c r="C6337" s="1">
        <v>43300101</v>
      </c>
      <c r="D6337" t="s">
        <v>67</v>
      </c>
      <c r="H6337" t="str">
        <f t="shared" si="648"/>
        <v>00674840152</v>
      </c>
      <c r="I6337" t="str">
        <f t="shared" si="648"/>
        <v>00674840152</v>
      </c>
      <c r="K6337" t="str">
        <f>""</f>
        <v/>
      </c>
      <c r="M6337" t="s">
        <v>68</v>
      </c>
      <c r="N6337" t="str">
        <f t="shared" si="649"/>
        <v>FOR</v>
      </c>
      <c r="O6337" t="s">
        <v>69</v>
      </c>
      <c r="P6337" s="3" t="s">
        <v>75</v>
      </c>
      <c r="Q6337">
        <v>2015</v>
      </c>
      <c r="R6337" s="2">
        <v>42290</v>
      </c>
      <c r="S6337" s="2">
        <v>42291</v>
      </c>
      <c r="T6337" s="2">
        <v>42291</v>
      </c>
      <c r="U6337" s="2">
        <v>42351</v>
      </c>
      <c r="V6337" t="s">
        <v>71</v>
      </c>
      <c r="W6337" t="str">
        <f>"          5301683563"</f>
        <v xml:space="preserve">          5301683563</v>
      </c>
      <c r="X6337">
        <v>646.79999999999995</v>
      </c>
      <c r="Y6337">
        <v>0</v>
      </c>
      <c r="Z6337" s="3">
        <v>588</v>
      </c>
      <c r="AA6337">
        <v>296</v>
      </c>
      <c r="AB6337" s="5">
        <v>174048</v>
      </c>
      <c r="AC6337">
        <v>588</v>
      </c>
      <c r="AD6337">
        <v>296</v>
      </c>
      <c r="AE6337" s="1">
        <v>174048</v>
      </c>
      <c r="AF6337">
        <v>0</v>
      </c>
      <c r="AJ6337">
        <v>0</v>
      </c>
      <c r="AK6337">
        <v>0</v>
      </c>
      <c r="AL6337">
        <v>0</v>
      </c>
      <c r="AM6337">
        <v>0</v>
      </c>
      <c r="AN6337">
        <v>0</v>
      </c>
      <c r="AO6337">
        <v>0</v>
      </c>
      <c r="AP6337" s="2">
        <v>42746</v>
      </c>
      <c r="AQ6337" t="s">
        <v>72</v>
      </c>
      <c r="AR6337" t="s">
        <v>72</v>
      </c>
      <c r="AS6337">
        <v>2623</v>
      </c>
      <c r="AT6337" s="4">
        <v>42647</v>
      </c>
      <c r="AU6337" t="s">
        <v>73</v>
      </c>
      <c r="AV6337">
        <v>2623</v>
      </c>
      <c r="AW6337" s="4">
        <v>42647</v>
      </c>
      <c r="BD6337">
        <v>0</v>
      </c>
      <c r="BN6337" t="s">
        <v>74</v>
      </c>
    </row>
    <row r="6338" spans="1:66">
      <c r="A6338">
        <v>104048</v>
      </c>
      <c r="B6338" s="3" t="s">
        <v>602</v>
      </c>
      <c r="C6338" s="1">
        <v>43300101</v>
      </c>
      <c r="D6338" t="s">
        <v>67</v>
      </c>
      <c r="H6338" t="str">
        <f t="shared" si="648"/>
        <v>00674840152</v>
      </c>
      <c r="I6338" t="str">
        <f t="shared" si="648"/>
        <v>00674840152</v>
      </c>
      <c r="K6338" t="str">
        <f>""</f>
        <v/>
      </c>
      <c r="M6338" t="s">
        <v>68</v>
      </c>
      <c r="N6338" t="str">
        <f t="shared" si="649"/>
        <v>FOR</v>
      </c>
      <c r="O6338" t="s">
        <v>69</v>
      </c>
      <c r="P6338" s="3" t="s">
        <v>75</v>
      </c>
      <c r="Q6338">
        <v>2015</v>
      </c>
      <c r="R6338" s="2">
        <v>42292</v>
      </c>
      <c r="S6338" s="2">
        <v>42293</v>
      </c>
      <c r="T6338" s="2">
        <v>42293</v>
      </c>
      <c r="U6338" s="2">
        <v>42353</v>
      </c>
      <c r="V6338" t="s">
        <v>71</v>
      </c>
      <c r="W6338" t="str">
        <f>"          5301684172"</f>
        <v xml:space="preserve">          5301684172</v>
      </c>
      <c r="X6338">
        <v>565.49</v>
      </c>
      <c r="Y6338">
        <v>0</v>
      </c>
      <c r="Z6338" s="3">
        <v>463.52</v>
      </c>
      <c r="AA6338">
        <v>294</v>
      </c>
      <c r="AB6338" s="5">
        <v>136274.88</v>
      </c>
      <c r="AC6338">
        <v>463.52</v>
      </c>
      <c r="AD6338">
        <v>294</v>
      </c>
      <c r="AE6338" s="1">
        <v>136274.88</v>
      </c>
      <c r="AF6338">
        <v>0</v>
      </c>
      <c r="AJ6338">
        <v>0</v>
      </c>
      <c r="AK6338">
        <v>0</v>
      </c>
      <c r="AL6338">
        <v>0</v>
      </c>
      <c r="AM6338">
        <v>0</v>
      </c>
      <c r="AN6338">
        <v>0</v>
      </c>
      <c r="AO6338">
        <v>0</v>
      </c>
      <c r="AP6338" s="2">
        <v>42746</v>
      </c>
      <c r="AQ6338" t="s">
        <v>72</v>
      </c>
      <c r="AR6338" t="s">
        <v>72</v>
      </c>
      <c r="AS6338">
        <v>2623</v>
      </c>
      <c r="AT6338" s="4">
        <v>42647</v>
      </c>
      <c r="AU6338" t="s">
        <v>73</v>
      </c>
      <c r="AV6338">
        <v>2623</v>
      </c>
      <c r="AW6338" s="4">
        <v>42647</v>
      </c>
      <c r="BD6338">
        <v>0</v>
      </c>
      <c r="BN6338" t="s">
        <v>74</v>
      </c>
    </row>
    <row r="6339" spans="1:66">
      <c r="A6339">
        <v>104048</v>
      </c>
      <c r="B6339" s="3" t="s">
        <v>602</v>
      </c>
      <c r="C6339" s="1">
        <v>43300101</v>
      </c>
      <c r="D6339" t="s">
        <v>67</v>
      </c>
      <c r="H6339" t="str">
        <f t="shared" si="648"/>
        <v>00674840152</v>
      </c>
      <c r="I6339" t="str">
        <f t="shared" si="648"/>
        <v>00674840152</v>
      </c>
      <c r="K6339" t="str">
        <f>""</f>
        <v/>
      </c>
      <c r="M6339" t="s">
        <v>68</v>
      </c>
      <c r="N6339" t="str">
        <f t="shared" si="649"/>
        <v>FOR</v>
      </c>
      <c r="O6339" t="s">
        <v>69</v>
      </c>
      <c r="P6339" s="3" t="s">
        <v>75</v>
      </c>
      <c r="Q6339">
        <v>2015</v>
      </c>
      <c r="R6339" s="2">
        <v>42292</v>
      </c>
      <c r="S6339" s="2">
        <v>42293</v>
      </c>
      <c r="T6339" s="2">
        <v>42293</v>
      </c>
      <c r="U6339" s="2">
        <v>42353</v>
      </c>
      <c r="V6339" t="s">
        <v>71</v>
      </c>
      <c r="W6339" t="str">
        <f>"          5301684173"</f>
        <v xml:space="preserve">          5301684173</v>
      </c>
      <c r="X6339">
        <v>451.79</v>
      </c>
      <c r="Y6339">
        <v>0</v>
      </c>
      <c r="Z6339" s="3">
        <v>370.32</v>
      </c>
      <c r="AA6339">
        <v>294</v>
      </c>
      <c r="AB6339" s="5">
        <v>108874.08</v>
      </c>
      <c r="AC6339">
        <v>370.32</v>
      </c>
      <c r="AD6339">
        <v>294</v>
      </c>
      <c r="AE6339" s="1">
        <v>108874.08</v>
      </c>
      <c r="AF6339">
        <v>0</v>
      </c>
      <c r="AJ6339">
        <v>0</v>
      </c>
      <c r="AK6339">
        <v>0</v>
      </c>
      <c r="AL6339">
        <v>0</v>
      </c>
      <c r="AM6339">
        <v>0</v>
      </c>
      <c r="AN6339">
        <v>0</v>
      </c>
      <c r="AO6339">
        <v>0</v>
      </c>
      <c r="AP6339" s="2">
        <v>42746</v>
      </c>
      <c r="AQ6339" t="s">
        <v>72</v>
      </c>
      <c r="AR6339" t="s">
        <v>72</v>
      </c>
      <c r="AS6339">
        <v>2623</v>
      </c>
      <c r="AT6339" s="4">
        <v>42647</v>
      </c>
      <c r="AU6339" t="s">
        <v>73</v>
      </c>
      <c r="AV6339">
        <v>2623</v>
      </c>
      <c r="AW6339" s="4">
        <v>42647</v>
      </c>
      <c r="BD6339">
        <v>0</v>
      </c>
      <c r="BN6339" t="s">
        <v>74</v>
      </c>
    </row>
    <row r="6340" spans="1:66">
      <c r="A6340">
        <v>104048</v>
      </c>
      <c r="B6340" s="3" t="s">
        <v>602</v>
      </c>
      <c r="C6340" s="1">
        <v>43300101</v>
      </c>
      <c r="D6340" t="s">
        <v>67</v>
      </c>
      <c r="H6340" t="str">
        <f t="shared" si="648"/>
        <v>00674840152</v>
      </c>
      <c r="I6340" t="str">
        <f t="shared" si="648"/>
        <v>00674840152</v>
      </c>
      <c r="K6340" t="str">
        <f>""</f>
        <v/>
      </c>
      <c r="M6340" t="s">
        <v>68</v>
      </c>
      <c r="N6340" t="str">
        <f t="shared" si="649"/>
        <v>FOR</v>
      </c>
      <c r="O6340" t="s">
        <v>69</v>
      </c>
      <c r="P6340" s="3" t="s">
        <v>75</v>
      </c>
      <c r="Q6340">
        <v>2015</v>
      </c>
      <c r="R6340" s="2">
        <v>42292</v>
      </c>
      <c r="S6340" s="2">
        <v>42293</v>
      </c>
      <c r="T6340" s="2">
        <v>42293</v>
      </c>
      <c r="U6340" s="2">
        <v>42353</v>
      </c>
      <c r="V6340" t="s">
        <v>71</v>
      </c>
      <c r="W6340" t="str">
        <f>"          5301684174"</f>
        <v xml:space="preserve">          5301684174</v>
      </c>
      <c r="X6340" s="1">
        <v>2880.37</v>
      </c>
      <c r="Y6340">
        <v>0</v>
      </c>
      <c r="Z6340" s="5">
        <v>2360.96</v>
      </c>
      <c r="AA6340">
        <v>294</v>
      </c>
      <c r="AB6340" s="5">
        <v>694122.24</v>
      </c>
      <c r="AC6340" s="1">
        <v>2360.96</v>
      </c>
      <c r="AD6340">
        <v>294</v>
      </c>
      <c r="AE6340" s="1">
        <v>694122.24</v>
      </c>
      <c r="AF6340">
        <v>0</v>
      </c>
      <c r="AJ6340">
        <v>0</v>
      </c>
      <c r="AK6340">
        <v>0</v>
      </c>
      <c r="AL6340">
        <v>0</v>
      </c>
      <c r="AM6340">
        <v>0</v>
      </c>
      <c r="AN6340">
        <v>0</v>
      </c>
      <c r="AO6340">
        <v>0</v>
      </c>
      <c r="AP6340" s="2">
        <v>42746</v>
      </c>
      <c r="AQ6340" t="s">
        <v>72</v>
      </c>
      <c r="AR6340" t="s">
        <v>72</v>
      </c>
      <c r="AS6340">
        <v>2623</v>
      </c>
      <c r="AT6340" s="4">
        <v>42647</v>
      </c>
      <c r="AU6340" t="s">
        <v>73</v>
      </c>
      <c r="AV6340">
        <v>2623</v>
      </c>
      <c r="AW6340" s="4">
        <v>42647</v>
      </c>
      <c r="BD6340">
        <v>0</v>
      </c>
      <c r="BN6340" t="s">
        <v>74</v>
      </c>
    </row>
    <row r="6341" spans="1:66">
      <c r="A6341">
        <v>104048</v>
      </c>
      <c r="B6341" s="3" t="s">
        <v>602</v>
      </c>
      <c r="C6341" s="1">
        <v>43300101</v>
      </c>
      <c r="D6341" t="s">
        <v>67</v>
      </c>
      <c r="H6341" t="str">
        <f t="shared" si="648"/>
        <v>00674840152</v>
      </c>
      <c r="I6341" t="str">
        <f t="shared" si="648"/>
        <v>00674840152</v>
      </c>
      <c r="K6341" t="str">
        <f>""</f>
        <v/>
      </c>
      <c r="M6341" t="s">
        <v>68</v>
      </c>
      <c r="N6341" t="str">
        <f t="shared" si="649"/>
        <v>FOR</v>
      </c>
      <c r="O6341" t="s">
        <v>69</v>
      </c>
      <c r="P6341" s="3" t="s">
        <v>75</v>
      </c>
      <c r="Q6341">
        <v>2015</v>
      </c>
      <c r="R6341" s="2">
        <v>42298</v>
      </c>
      <c r="S6341" s="2">
        <v>42300</v>
      </c>
      <c r="T6341" s="2">
        <v>42299</v>
      </c>
      <c r="U6341" s="2">
        <v>42359</v>
      </c>
      <c r="V6341" t="s">
        <v>71</v>
      </c>
      <c r="W6341" t="str">
        <f>"          5301685599"</f>
        <v xml:space="preserve">          5301685599</v>
      </c>
      <c r="X6341">
        <v>445.2</v>
      </c>
      <c r="Y6341">
        <v>0</v>
      </c>
      <c r="Z6341" s="3">
        <v>364.92</v>
      </c>
      <c r="AA6341">
        <v>288</v>
      </c>
      <c r="AB6341" s="5">
        <v>105096.96000000001</v>
      </c>
      <c r="AC6341">
        <v>364.92</v>
      </c>
      <c r="AD6341">
        <v>288</v>
      </c>
      <c r="AE6341" s="1">
        <v>105096.96000000001</v>
      </c>
      <c r="AF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0</v>
      </c>
      <c r="AP6341" s="2">
        <v>42746</v>
      </c>
      <c r="AQ6341" t="s">
        <v>72</v>
      </c>
      <c r="AR6341" t="s">
        <v>72</v>
      </c>
      <c r="AS6341">
        <v>2623</v>
      </c>
      <c r="AT6341" s="4">
        <v>42647</v>
      </c>
      <c r="AU6341" t="s">
        <v>73</v>
      </c>
      <c r="AV6341">
        <v>2623</v>
      </c>
      <c r="AW6341" s="4">
        <v>42647</v>
      </c>
      <c r="BD6341">
        <v>0</v>
      </c>
      <c r="BN6341" t="s">
        <v>74</v>
      </c>
    </row>
    <row r="6342" spans="1:66">
      <c r="A6342">
        <v>104048</v>
      </c>
      <c r="B6342" s="3" t="s">
        <v>602</v>
      </c>
      <c r="C6342" s="1">
        <v>43300101</v>
      </c>
      <c r="D6342" t="s">
        <v>67</v>
      </c>
      <c r="H6342" t="str">
        <f t="shared" si="648"/>
        <v>00674840152</v>
      </c>
      <c r="I6342" t="str">
        <f t="shared" si="648"/>
        <v>00674840152</v>
      </c>
      <c r="K6342" t="str">
        <f>""</f>
        <v/>
      </c>
      <c r="M6342" t="s">
        <v>68</v>
      </c>
      <c r="N6342" t="str">
        <f t="shared" si="649"/>
        <v>FOR</v>
      </c>
      <c r="O6342" t="s">
        <v>69</v>
      </c>
      <c r="P6342" s="3" t="s">
        <v>75</v>
      </c>
      <c r="Q6342">
        <v>2015</v>
      </c>
      <c r="R6342" s="2">
        <v>42300</v>
      </c>
      <c r="S6342" s="2">
        <v>42305</v>
      </c>
      <c r="T6342" s="2">
        <v>42301</v>
      </c>
      <c r="U6342" s="2">
        <v>42361</v>
      </c>
      <c r="V6342" t="s">
        <v>71</v>
      </c>
      <c r="W6342" t="str">
        <f>"          5301686259"</f>
        <v xml:space="preserve">          5301686259</v>
      </c>
      <c r="X6342">
        <v>907.68</v>
      </c>
      <c r="Y6342">
        <v>0</v>
      </c>
      <c r="Z6342" s="3">
        <v>744</v>
      </c>
      <c r="AA6342">
        <v>286</v>
      </c>
      <c r="AB6342" s="5">
        <v>212784</v>
      </c>
      <c r="AC6342">
        <v>744</v>
      </c>
      <c r="AD6342">
        <v>286</v>
      </c>
      <c r="AE6342" s="1">
        <v>212784</v>
      </c>
      <c r="AF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0</v>
      </c>
      <c r="AP6342" s="2">
        <v>42746</v>
      </c>
      <c r="AQ6342" t="s">
        <v>72</v>
      </c>
      <c r="AR6342" t="s">
        <v>72</v>
      </c>
      <c r="AS6342">
        <v>2623</v>
      </c>
      <c r="AT6342" s="4">
        <v>42647</v>
      </c>
      <c r="AU6342" t="s">
        <v>73</v>
      </c>
      <c r="AV6342">
        <v>2623</v>
      </c>
      <c r="AW6342" s="4">
        <v>42647</v>
      </c>
      <c r="BD6342">
        <v>0</v>
      </c>
      <c r="BN6342" t="s">
        <v>74</v>
      </c>
    </row>
    <row r="6343" spans="1:66">
      <c r="A6343">
        <v>104048</v>
      </c>
      <c r="B6343" s="3" t="s">
        <v>602</v>
      </c>
      <c r="C6343" s="1">
        <v>43300101</v>
      </c>
      <c r="D6343" t="s">
        <v>67</v>
      </c>
      <c r="H6343" t="str">
        <f t="shared" si="648"/>
        <v>00674840152</v>
      </c>
      <c r="I6343" t="str">
        <f t="shared" si="648"/>
        <v>00674840152</v>
      </c>
      <c r="K6343" t="str">
        <f>""</f>
        <v/>
      </c>
      <c r="M6343" t="s">
        <v>68</v>
      </c>
      <c r="N6343" t="str">
        <f t="shared" si="649"/>
        <v>FOR</v>
      </c>
      <c r="O6343" t="s">
        <v>69</v>
      </c>
      <c r="P6343" s="3" t="s">
        <v>75</v>
      </c>
      <c r="Q6343">
        <v>2015</v>
      </c>
      <c r="R6343" s="2">
        <v>42303</v>
      </c>
      <c r="S6343" s="2">
        <v>42305</v>
      </c>
      <c r="T6343" s="2">
        <v>42304</v>
      </c>
      <c r="U6343" s="2">
        <v>42364</v>
      </c>
      <c r="V6343" t="s">
        <v>71</v>
      </c>
      <c r="W6343" t="str">
        <f>"          5301686564"</f>
        <v xml:space="preserve">          5301686564</v>
      </c>
      <c r="X6343">
        <v>979.05</v>
      </c>
      <c r="Y6343">
        <v>0</v>
      </c>
      <c r="Z6343" s="3">
        <v>802.5</v>
      </c>
      <c r="AA6343">
        <v>283</v>
      </c>
      <c r="AB6343" s="5">
        <v>227107.5</v>
      </c>
      <c r="AC6343">
        <v>802.5</v>
      </c>
      <c r="AD6343">
        <v>283</v>
      </c>
      <c r="AE6343" s="1">
        <v>227107.5</v>
      </c>
      <c r="AF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0</v>
      </c>
      <c r="AP6343" s="2">
        <v>42746</v>
      </c>
      <c r="AQ6343" t="s">
        <v>72</v>
      </c>
      <c r="AR6343" t="s">
        <v>72</v>
      </c>
      <c r="AS6343">
        <v>2623</v>
      </c>
      <c r="AT6343" s="4">
        <v>42647</v>
      </c>
      <c r="AU6343" t="s">
        <v>73</v>
      </c>
      <c r="AV6343">
        <v>2623</v>
      </c>
      <c r="AW6343" s="4">
        <v>42647</v>
      </c>
      <c r="BD6343">
        <v>0</v>
      </c>
      <c r="BN6343" t="s">
        <v>74</v>
      </c>
    </row>
    <row r="6344" spans="1:66">
      <c r="A6344">
        <v>104048</v>
      </c>
      <c r="B6344" s="3" t="s">
        <v>602</v>
      </c>
      <c r="C6344" s="1">
        <v>43300101</v>
      </c>
      <c r="D6344" t="s">
        <v>67</v>
      </c>
      <c r="H6344" t="str">
        <f t="shared" si="648"/>
        <v>00674840152</v>
      </c>
      <c r="I6344" t="str">
        <f t="shared" si="648"/>
        <v>00674840152</v>
      </c>
      <c r="K6344" t="str">
        <f>""</f>
        <v/>
      </c>
      <c r="M6344" t="s">
        <v>68</v>
      </c>
      <c r="N6344" t="str">
        <f t="shared" si="649"/>
        <v>FOR</v>
      </c>
      <c r="O6344" t="s">
        <v>69</v>
      </c>
      <c r="P6344" s="3" t="s">
        <v>75</v>
      </c>
      <c r="Q6344">
        <v>2015</v>
      </c>
      <c r="R6344" s="2">
        <v>42305</v>
      </c>
      <c r="S6344" s="2">
        <v>42307</v>
      </c>
      <c r="T6344" s="2">
        <v>42306</v>
      </c>
      <c r="U6344" s="2">
        <v>42366</v>
      </c>
      <c r="V6344" t="s">
        <v>71</v>
      </c>
      <c r="W6344" t="str">
        <f>"          5301687174"</f>
        <v xml:space="preserve">          5301687174</v>
      </c>
      <c r="X6344">
        <v>877.06</v>
      </c>
      <c r="Y6344">
        <v>0</v>
      </c>
      <c r="Z6344" s="3">
        <v>718.9</v>
      </c>
      <c r="AA6344">
        <v>281</v>
      </c>
      <c r="AB6344" s="5">
        <v>202010.9</v>
      </c>
      <c r="AC6344">
        <v>718.9</v>
      </c>
      <c r="AD6344">
        <v>281</v>
      </c>
      <c r="AE6344" s="1">
        <v>202010.9</v>
      </c>
      <c r="AF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0</v>
      </c>
      <c r="AP6344" s="2">
        <v>42746</v>
      </c>
      <c r="AQ6344" t="s">
        <v>72</v>
      </c>
      <c r="AR6344" t="s">
        <v>72</v>
      </c>
      <c r="AS6344">
        <v>2623</v>
      </c>
      <c r="AT6344" s="4">
        <v>42647</v>
      </c>
      <c r="AU6344" t="s">
        <v>73</v>
      </c>
      <c r="AV6344">
        <v>2623</v>
      </c>
      <c r="AW6344" s="4">
        <v>42647</v>
      </c>
      <c r="BD6344">
        <v>0</v>
      </c>
      <c r="BN6344" t="s">
        <v>74</v>
      </c>
    </row>
    <row r="6345" spans="1:66">
      <c r="A6345">
        <v>104048</v>
      </c>
      <c r="B6345" s="3" t="s">
        <v>602</v>
      </c>
      <c r="C6345" s="1">
        <v>43300101</v>
      </c>
      <c r="D6345" t="s">
        <v>67</v>
      </c>
      <c r="H6345" t="str">
        <f t="shared" si="648"/>
        <v>00674840152</v>
      </c>
      <c r="I6345" t="str">
        <f t="shared" si="648"/>
        <v>00674840152</v>
      </c>
      <c r="K6345" t="str">
        <f>""</f>
        <v/>
      </c>
      <c r="M6345" t="s">
        <v>68</v>
      </c>
      <c r="N6345" t="str">
        <f t="shared" si="649"/>
        <v>FOR</v>
      </c>
      <c r="O6345" t="s">
        <v>69</v>
      </c>
      <c r="P6345" s="3" t="s">
        <v>75</v>
      </c>
      <c r="Q6345">
        <v>2015</v>
      </c>
      <c r="R6345" s="2">
        <v>42310</v>
      </c>
      <c r="S6345" s="2">
        <v>42311</v>
      </c>
      <c r="T6345" s="2">
        <v>42311</v>
      </c>
      <c r="U6345" s="2">
        <v>42371</v>
      </c>
      <c r="V6345" t="s">
        <v>71</v>
      </c>
      <c r="W6345" t="str">
        <f>"          5301688055"</f>
        <v xml:space="preserve">          5301688055</v>
      </c>
      <c r="X6345">
        <v>68.05</v>
      </c>
      <c r="Y6345">
        <v>0</v>
      </c>
      <c r="Z6345" s="3">
        <v>55.78</v>
      </c>
      <c r="AA6345">
        <v>307</v>
      </c>
      <c r="AB6345" s="5">
        <v>17124.46</v>
      </c>
      <c r="AC6345">
        <v>55.78</v>
      </c>
      <c r="AD6345">
        <v>307</v>
      </c>
      <c r="AE6345" s="1">
        <v>17124.46</v>
      </c>
      <c r="AF6345">
        <v>0</v>
      </c>
      <c r="AJ6345">
        <v>0</v>
      </c>
      <c r="AK6345">
        <v>0</v>
      </c>
      <c r="AL6345">
        <v>0</v>
      </c>
      <c r="AM6345">
        <v>0</v>
      </c>
      <c r="AN6345">
        <v>0</v>
      </c>
      <c r="AO6345">
        <v>0</v>
      </c>
      <c r="AP6345" s="2">
        <v>42746</v>
      </c>
      <c r="AQ6345" t="s">
        <v>72</v>
      </c>
      <c r="AR6345" t="s">
        <v>72</v>
      </c>
      <c r="AS6345">
        <v>2926</v>
      </c>
      <c r="AT6345" s="4">
        <v>42678</v>
      </c>
      <c r="AU6345" t="s">
        <v>73</v>
      </c>
      <c r="AV6345">
        <v>2926</v>
      </c>
      <c r="AW6345" s="4">
        <v>42678</v>
      </c>
      <c r="BD6345">
        <v>0</v>
      </c>
      <c r="BN6345" t="s">
        <v>74</v>
      </c>
    </row>
    <row r="6346" spans="1:66">
      <c r="A6346">
        <v>104048</v>
      </c>
      <c r="B6346" s="3" t="s">
        <v>602</v>
      </c>
      <c r="C6346" s="1">
        <v>43300101</v>
      </c>
      <c r="D6346" t="s">
        <v>67</v>
      </c>
      <c r="H6346" t="str">
        <f t="shared" si="648"/>
        <v>00674840152</v>
      </c>
      <c r="I6346" t="str">
        <f t="shared" si="648"/>
        <v>00674840152</v>
      </c>
      <c r="K6346" t="str">
        <f>""</f>
        <v/>
      </c>
      <c r="M6346" t="s">
        <v>68</v>
      </c>
      <c r="N6346" t="str">
        <f t="shared" si="649"/>
        <v>FOR</v>
      </c>
      <c r="O6346" t="s">
        <v>69</v>
      </c>
      <c r="P6346" s="3" t="s">
        <v>75</v>
      </c>
      <c r="Q6346">
        <v>2015</v>
      </c>
      <c r="R6346" s="2">
        <v>42310</v>
      </c>
      <c r="S6346" s="2">
        <v>42311</v>
      </c>
      <c r="T6346" s="2">
        <v>42311</v>
      </c>
      <c r="U6346" s="2">
        <v>42371</v>
      </c>
      <c r="V6346" t="s">
        <v>71</v>
      </c>
      <c r="W6346" t="str">
        <f>"          5301688056"</f>
        <v xml:space="preserve">          5301688056</v>
      </c>
      <c r="X6346">
        <v>211.65</v>
      </c>
      <c r="Y6346">
        <v>0</v>
      </c>
      <c r="Z6346" s="3">
        <v>173.48</v>
      </c>
      <c r="AA6346">
        <v>307</v>
      </c>
      <c r="AB6346" s="5">
        <v>53258.36</v>
      </c>
      <c r="AC6346">
        <v>173.48</v>
      </c>
      <c r="AD6346">
        <v>307</v>
      </c>
      <c r="AE6346" s="1">
        <v>53258.36</v>
      </c>
      <c r="AF6346">
        <v>0</v>
      </c>
      <c r="AJ6346">
        <v>0</v>
      </c>
      <c r="AK6346">
        <v>0</v>
      </c>
      <c r="AL6346">
        <v>0</v>
      </c>
      <c r="AM6346">
        <v>0</v>
      </c>
      <c r="AN6346">
        <v>0</v>
      </c>
      <c r="AO6346">
        <v>0</v>
      </c>
      <c r="AP6346" s="2">
        <v>42746</v>
      </c>
      <c r="AQ6346" t="s">
        <v>72</v>
      </c>
      <c r="AR6346" t="s">
        <v>72</v>
      </c>
      <c r="AS6346">
        <v>2926</v>
      </c>
      <c r="AT6346" s="4">
        <v>42678</v>
      </c>
      <c r="AU6346" t="s">
        <v>73</v>
      </c>
      <c r="AV6346">
        <v>2926</v>
      </c>
      <c r="AW6346" s="4">
        <v>42678</v>
      </c>
      <c r="BD6346">
        <v>0</v>
      </c>
      <c r="BN6346" t="s">
        <v>74</v>
      </c>
    </row>
    <row r="6347" spans="1:66">
      <c r="A6347">
        <v>104048</v>
      </c>
      <c r="B6347" s="3" t="s">
        <v>602</v>
      </c>
      <c r="C6347" s="1">
        <v>43300101</v>
      </c>
      <c r="D6347" t="s">
        <v>67</v>
      </c>
      <c r="H6347" t="str">
        <f t="shared" si="648"/>
        <v>00674840152</v>
      </c>
      <c r="I6347" t="str">
        <f t="shared" si="648"/>
        <v>00674840152</v>
      </c>
      <c r="K6347" t="str">
        <f>""</f>
        <v/>
      </c>
      <c r="M6347" t="s">
        <v>68</v>
      </c>
      <c r="N6347" t="str">
        <f t="shared" si="649"/>
        <v>FOR</v>
      </c>
      <c r="O6347" t="s">
        <v>69</v>
      </c>
      <c r="P6347" s="3" t="s">
        <v>75</v>
      </c>
      <c r="Q6347">
        <v>2015</v>
      </c>
      <c r="R6347" s="2">
        <v>42311</v>
      </c>
      <c r="S6347" s="2">
        <v>42312</v>
      </c>
      <c r="T6347" s="2">
        <v>42312</v>
      </c>
      <c r="U6347" s="2">
        <v>42372</v>
      </c>
      <c r="V6347" t="s">
        <v>71</v>
      </c>
      <c r="W6347" t="str">
        <f>"          5301688396"</f>
        <v xml:space="preserve">          5301688396</v>
      </c>
      <c r="X6347">
        <v>465.42</v>
      </c>
      <c r="Y6347">
        <v>0</v>
      </c>
      <c r="Z6347" s="3">
        <v>381.49</v>
      </c>
      <c r="AA6347">
        <v>306</v>
      </c>
      <c r="AB6347" s="5">
        <v>116735.94</v>
      </c>
      <c r="AC6347">
        <v>381.49</v>
      </c>
      <c r="AD6347">
        <v>306</v>
      </c>
      <c r="AE6347" s="1">
        <v>116735.94</v>
      </c>
      <c r="AF6347">
        <v>0</v>
      </c>
      <c r="AJ6347">
        <v>0</v>
      </c>
      <c r="AK6347">
        <v>0</v>
      </c>
      <c r="AL6347">
        <v>0</v>
      </c>
      <c r="AM6347">
        <v>0</v>
      </c>
      <c r="AN6347">
        <v>0</v>
      </c>
      <c r="AO6347">
        <v>0</v>
      </c>
      <c r="AP6347" s="2">
        <v>42746</v>
      </c>
      <c r="AQ6347" t="s">
        <v>72</v>
      </c>
      <c r="AR6347" t="s">
        <v>72</v>
      </c>
      <c r="AS6347">
        <v>2926</v>
      </c>
      <c r="AT6347" s="4">
        <v>42678</v>
      </c>
      <c r="AU6347" t="s">
        <v>73</v>
      </c>
      <c r="AV6347">
        <v>2926</v>
      </c>
      <c r="AW6347" s="4">
        <v>42678</v>
      </c>
      <c r="BD6347">
        <v>0</v>
      </c>
      <c r="BN6347" t="s">
        <v>74</v>
      </c>
    </row>
    <row r="6348" spans="1:66">
      <c r="A6348">
        <v>104048</v>
      </c>
      <c r="B6348" s="3" t="s">
        <v>602</v>
      </c>
      <c r="C6348" s="1">
        <v>43300101</v>
      </c>
      <c r="D6348" t="s">
        <v>67</v>
      </c>
      <c r="H6348" t="str">
        <f t="shared" si="648"/>
        <v>00674840152</v>
      </c>
      <c r="I6348" t="str">
        <f t="shared" si="648"/>
        <v>00674840152</v>
      </c>
      <c r="K6348" t="str">
        <f>""</f>
        <v/>
      </c>
      <c r="M6348" t="s">
        <v>68</v>
      </c>
      <c r="N6348" t="str">
        <f t="shared" si="649"/>
        <v>FOR</v>
      </c>
      <c r="O6348" t="s">
        <v>69</v>
      </c>
      <c r="P6348" s="3" t="s">
        <v>75</v>
      </c>
      <c r="Q6348">
        <v>2015</v>
      </c>
      <c r="R6348" s="2">
        <v>42313</v>
      </c>
      <c r="S6348" s="2">
        <v>42318</v>
      </c>
      <c r="T6348" s="2">
        <v>42314</v>
      </c>
      <c r="U6348" s="2">
        <v>42374</v>
      </c>
      <c r="V6348" t="s">
        <v>71</v>
      </c>
      <c r="W6348" t="str">
        <f>"          5301688898"</f>
        <v xml:space="preserve">          5301688898</v>
      </c>
      <c r="X6348" s="1">
        <v>5563.2</v>
      </c>
      <c r="Y6348">
        <v>0</v>
      </c>
      <c r="Z6348" s="5">
        <v>4560</v>
      </c>
      <c r="AA6348">
        <v>304</v>
      </c>
      <c r="AB6348" s="5">
        <v>1386240</v>
      </c>
      <c r="AC6348" s="1">
        <v>4560</v>
      </c>
      <c r="AD6348">
        <v>304</v>
      </c>
      <c r="AE6348" s="1">
        <v>1386240</v>
      </c>
      <c r="AF6348">
        <v>0</v>
      </c>
      <c r="AJ6348">
        <v>0</v>
      </c>
      <c r="AK6348">
        <v>0</v>
      </c>
      <c r="AL6348">
        <v>0</v>
      </c>
      <c r="AM6348">
        <v>0</v>
      </c>
      <c r="AN6348">
        <v>0</v>
      </c>
      <c r="AO6348">
        <v>0</v>
      </c>
      <c r="AP6348" s="2">
        <v>42746</v>
      </c>
      <c r="AQ6348" t="s">
        <v>72</v>
      </c>
      <c r="AR6348" t="s">
        <v>72</v>
      </c>
      <c r="AS6348">
        <v>2926</v>
      </c>
      <c r="AT6348" s="4">
        <v>42678</v>
      </c>
      <c r="AU6348" t="s">
        <v>73</v>
      </c>
      <c r="AV6348">
        <v>2926</v>
      </c>
      <c r="AW6348" s="4">
        <v>42678</v>
      </c>
      <c r="BD6348">
        <v>0</v>
      </c>
      <c r="BN6348" t="s">
        <v>74</v>
      </c>
    </row>
    <row r="6349" spans="1:66">
      <c r="A6349">
        <v>104048</v>
      </c>
      <c r="B6349" s="3" t="s">
        <v>602</v>
      </c>
      <c r="C6349" s="1">
        <v>43300101</v>
      </c>
      <c r="D6349" t="s">
        <v>67</v>
      </c>
      <c r="H6349" t="str">
        <f t="shared" si="648"/>
        <v>00674840152</v>
      </c>
      <c r="I6349" t="str">
        <f t="shared" si="648"/>
        <v>00674840152</v>
      </c>
      <c r="K6349" t="str">
        <f>""</f>
        <v/>
      </c>
      <c r="M6349" t="s">
        <v>68</v>
      </c>
      <c r="N6349" t="str">
        <f t="shared" si="649"/>
        <v>FOR</v>
      </c>
      <c r="O6349" t="s">
        <v>69</v>
      </c>
      <c r="P6349" s="3" t="s">
        <v>75</v>
      </c>
      <c r="Q6349">
        <v>2015</v>
      </c>
      <c r="R6349" s="2">
        <v>42314</v>
      </c>
      <c r="S6349" s="2">
        <v>42318</v>
      </c>
      <c r="T6349" s="2">
        <v>42315</v>
      </c>
      <c r="U6349" s="2">
        <v>42375</v>
      </c>
      <c r="V6349" t="s">
        <v>71</v>
      </c>
      <c r="W6349" t="str">
        <f>"          5301689257"</f>
        <v xml:space="preserve">          5301689257</v>
      </c>
      <c r="X6349">
        <v>646.79999999999995</v>
      </c>
      <c r="Y6349">
        <v>0</v>
      </c>
      <c r="Z6349" s="3">
        <v>588</v>
      </c>
      <c r="AA6349">
        <v>303</v>
      </c>
      <c r="AB6349" s="5">
        <v>178164</v>
      </c>
      <c r="AC6349">
        <v>588</v>
      </c>
      <c r="AD6349">
        <v>303</v>
      </c>
      <c r="AE6349" s="1">
        <v>178164</v>
      </c>
      <c r="AF6349">
        <v>0</v>
      </c>
      <c r="AJ6349">
        <v>0</v>
      </c>
      <c r="AK6349">
        <v>0</v>
      </c>
      <c r="AL6349">
        <v>0</v>
      </c>
      <c r="AM6349">
        <v>0</v>
      </c>
      <c r="AN6349">
        <v>0</v>
      </c>
      <c r="AO6349">
        <v>0</v>
      </c>
      <c r="AP6349" s="2">
        <v>42746</v>
      </c>
      <c r="AQ6349" t="s">
        <v>72</v>
      </c>
      <c r="AR6349" t="s">
        <v>72</v>
      </c>
      <c r="AS6349">
        <v>2926</v>
      </c>
      <c r="AT6349" s="4">
        <v>42678</v>
      </c>
      <c r="AU6349" t="s">
        <v>73</v>
      </c>
      <c r="AV6349">
        <v>2926</v>
      </c>
      <c r="AW6349" s="4">
        <v>42678</v>
      </c>
      <c r="BD6349">
        <v>0</v>
      </c>
      <c r="BN6349" t="s">
        <v>74</v>
      </c>
    </row>
    <row r="6350" spans="1:66">
      <c r="A6350">
        <v>104048</v>
      </c>
      <c r="B6350" s="3" t="s">
        <v>602</v>
      </c>
      <c r="C6350" s="1">
        <v>43300101</v>
      </c>
      <c r="D6350" t="s">
        <v>67</v>
      </c>
      <c r="H6350" t="str">
        <f t="shared" si="648"/>
        <v>00674840152</v>
      </c>
      <c r="I6350" t="str">
        <f t="shared" si="648"/>
        <v>00674840152</v>
      </c>
      <c r="K6350" t="str">
        <f>""</f>
        <v/>
      </c>
      <c r="M6350" t="s">
        <v>68</v>
      </c>
      <c r="N6350" t="str">
        <f t="shared" si="649"/>
        <v>FOR</v>
      </c>
      <c r="O6350" t="s">
        <v>69</v>
      </c>
      <c r="P6350" s="3" t="s">
        <v>75</v>
      </c>
      <c r="Q6350">
        <v>2015</v>
      </c>
      <c r="R6350" s="2">
        <v>42317</v>
      </c>
      <c r="S6350" s="2">
        <v>42318</v>
      </c>
      <c r="T6350" s="2">
        <v>42318</v>
      </c>
      <c r="U6350" s="2">
        <v>42378</v>
      </c>
      <c r="V6350" t="s">
        <v>71</v>
      </c>
      <c r="W6350" t="str">
        <f>"          5301689586"</f>
        <v xml:space="preserve">          5301689586</v>
      </c>
      <c r="X6350" s="1">
        <v>3185.66</v>
      </c>
      <c r="Y6350">
        <v>0</v>
      </c>
      <c r="Z6350" s="5">
        <v>2611.1999999999998</v>
      </c>
      <c r="AA6350">
        <v>300</v>
      </c>
      <c r="AB6350" s="5">
        <v>783360</v>
      </c>
      <c r="AC6350" s="1">
        <v>2611.1999999999998</v>
      </c>
      <c r="AD6350">
        <v>300</v>
      </c>
      <c r="AE6350" s="1">
        <v>783360</v>
      </c>
      <c r="AF6350">
        <v>0</v>
      </c>
      <c r="AJ6350">
        <v>0</v>
      </c>
      <c r="AK6350">
        <v>0</v>
      </c>
      <c r="AL6350">
        <v>0</v>
      </c>
      <c r="AM6350">
        <v>0</v>
      </c>
      <c r="AN6350">
        <v>0</v>
      </c>
      <c r="AO6350">
        <v>0</v>
      </c>
      <c r="AP6350" s="2">
        <v>42746</v>
      </c>
      <c r="AQ6350" t="s">
        <v>72</v>
      </c>
      <c r="AR6350" t="s">
        <v>72</v>
      </c>
      <c r="AS6350">
        <v>2926</v>
      </c>
      <c r="AT6350" s="4">
        <v>42678</v>
      </c>
      <c r="AU6350" t="s">
        <v>73</v>
      </c>
      <c r="AV6350">
        <v>2926</v>
      </c>
      <c r="AW6350" s="4">
        <v>42678</v>
      </c>
      <c r="BD6350">
        <v>0</v>
      </c>
      <c r="BN6350" t="s">
        <v>74</v>
      </c>
    </row>
    <row r="6351" spans="1:66">
      <c r="A6351">
        <v>104048</v>
      </c>
      <c r="B6351" s="3" t="s">
        <v>602</v>
      </c>
      <c r="C6351" s="1">
        <v>43300101</v>
      </c>
      <c r="D6351" t="s">
        <v>67</v>
      </c>
      <c r="H6351" t="str">
        <f t="shared" si="648"/>
        <v>00674840152</v>
      </c>
      <c r="I6351" t="str">
        <f t="shared" si="648"/>
        <v>00674840152</v>
      </c>
      <c r="K6351" t="str">
        <f>""</f>
        <v/>
      </c>
      <c r="M6351" t="s">
        <v>68</v>
      </c>
      <c r="N6351" t="str">
        <f t="shared" si="649"/>
        <v>FOR</v>
      </c>
      <c r="O6351" t="s">
        <v>69</v>
      </c>
      <c r="P6351" s="3" t="s">
        <v>75</v>
      </c>
      <c r="Q6351">
        <v>2015</v>
      </c>
      <c r="R6351" s="2">
        <v>42318</v>
      </c>
      <c r="S6351" s="2">
        <v>42320</v>
      </c>
      <c r="T6351" s="2">
        <v>42319</v>
      </c>
      <c r="U6351" s="2">
        <v>42379</v>
      </c>
      <c r="V6351" t="s">
        <v>71</v>
      </c>
      <c r="W6351" t="str">
        <f>"          5301689781"</f>
        <v xml:space="preserve">          5301689781</v>
      </c>
      <c r="X6351" s="1">
        <v>5726.68</v>
      </c>
      <c r="Y6351">
        <v>0</v>
      </c>
      <c r="Z6351" s="5">
        <v>4694</v>
      </c>
      <c r="AA6351">
        <v>299</v>
      </c>
      <c r="AB6351" s="5">
        <v>1403506</v>
      </c>
      <c r="AC6351" s="1">
        <v>4694</v>
      </c>
      <c r="AD6351">
        <v>299</v>
      </c>
      <c r="AE6351" s="1">
        <v>1403506</v>
      </c>
      <c r="AF6351">
        <v>0</v>
      </c>
      <c r="AJ6351">
        <v>0</v>
      </c>
      <c r="AK6351">
        <v>0</v>
      </c>
      <c r="AL6351">
        <v>0</v>
      </c>
      <c r="AM6351">
        <v>0</v>
      </c>
      <c r="AN6351">
        <v>0</v>
      </c>
      <c r="AO6351">
        <v>0</v>
      </c>
      <c r="AP6351" s="2">
        <v>42746</v>
      </c>
      <c r="AQ6351" t="s">
        <v>72</v>
      </c>
      <c r="AR6351" t="s">
        <v>72</v>
      </c>
      <c r="AS6351">
        <v>2926</v>
      </c>
      <c r="AT6351" s="4">
        <v>42678</v>
      </c>
      <c r="AU6351" t="s">
        <v>73</v>
      </c>
      <c r="AV6351">
        <v>2926</v>
      </c>
      <c r="AW6351" s="4">
        <v>42678</v>
      </c>
      <c r="BD6351">
        <v>0</v>
      </c>
      <c r="BN6351" t="s">
        <v>74</v>
      </c>
    </row>
    <row r="6352" spans="1:66">
      <c r="A6352">
        <v>104048</v>
      </c>
      <c r="B6352" s="3" t="s">
        <v>602</v>
      </c>
      <c r="C6352" s="1">
        <v>43300101</v>
      </c>
      <c r="D6352" t="s">
        <v>67</v>
      </c>
      <c r="H6352" t="str">
        <f t="shared" si="648"/>
        <v>00674840152</v>
      </c>
      <c r="I6352" t="str">
        <f t="shared" si="648"/>
        <v>00674840152</v>
      </c>
      <c r="K6352" t="str">
        <f>""</f>
        <v/>
      </c>
      <c r="M6352" t="s">
        <v>68</v>
      </c>
      <c r="N6352" t="str">
        <f t="shared" si="649"/>
        <v>FOR</v>
      </c>
      <c r="O6352" t="s">
        <v>69</v>
      </c>
      <c r="P6352" s="3" t="s">
        <v>75</v>
      </c>
      <c r="Q6352">
        <v>2015</v>
      </c>
      <c r="R6352" s="2">
        <v>42318</v>
      </c>
      <c r="S6352" s="2">
        <v>42320</v>
      </c>
      <c r="T6352" s="2">
        <v>42319</v>
      </c>
      <c r="U6352" s="2">
        <v>42379</v>
      </c>
      <c r="V6352" t="s">
        <v>71</v>
      </c>
      <c r="W6352" t="str">
        <f>"          5301689782"</f>
        <v xml:space="preserve">          5301689782</v>
      </c>
      <c r="X6352" s="1">
        <v>2635.2</v>
      </c>
      <c r="Y6352">
        <v>0</v>
      </c>
      <c r="Z6352" s="5">
        <v>2160</v>
      </c>
      <c r="AA6352">
        <v>299</v>
      </c>
      <c r="AB6352" s="5">
        <v>645840</v>
      </c>
      <c r="AC6352" s="1">
        <v>2160</v>
      </c>
      <c r="AD6352">
        <v>299</v>
      </c>
      <c r="AE6352" s="1">
        <v>645840</v>
      </c>
      <c r="AF6352">
        <v>0</v>
      </c>
      <c r="AJ6352">
        <v>0</v>
      </c>
      <c r="AK6352">
        <v>0</v>
      </c>
      <c r="AL6352">
        <v>0</v>
      </c>
      <c r="AM6352">
        <v>0</v>
      </c>
      <c r="AN6352">
        <v>0</v>
      </c>
      <c r="AO6352">
        <v>0</v>
      </c>
      <c r="AP6352" s="2">
        <v>42746</v>
      </c>
      <c r="AQ6352" t="s">
        <v>72</v>
      </c>
      <c r="AR6352" t="s">
        <v>72</v>
      </c>
      <c r="AS6352">
        <v>2926</v>
      </c>
      <c r="AT6352" s="4">
        <v>42678</v>
      </c>
      <c r="AU6352" t="s">
        <v>73</v>
      </c>
      <c r="AV6352">
        <v>2926</v>
      </c>
      <c r="AW6352" s="4">
        <v>42678</v>
      </c>
      <c r="BD6352">
        <v>0</v>
      </c>
      <c r="BN6352" t="s">
        <v>74</v>
      </c>
    </row>
    <row r="6353" spans="1:66">
      <c r="A6353">
        <v>104048</v>
      </c>
      <c r="B6353" s="3" t="s">
        <v>602</v>
      </c>
      <c r="C6353" s="1">
        <v>43300101</v>
      </c>
      <c r="D6353" t="s">
        <v>67</v>
      </c>
      <c r="H6353" t="str">
        <f t="shared" si="648"/>
        <v>00674840152</v>
      </c>
      <c r="I6353" t="str">
        <f t="shared" si="648"/>
        <v>00674840152</v>
      </c>
      <c r="K6353" t="str">
        <f>""</f>
        <v/>
      </c>
      <c r="M6353" t="s">
        <v>68</v>
      </c>
      <c r="N6353" t="str">
        <f t="shared" si="649"/>
        <v>FOR</v>
      </c>
      <c r="O6353" t="s">
        <v>69</v>
      </c>
      <c r="P6353" s="3" t="s">
        <v>75</v>
      </c>
      <c r="Q6353">
        <v>2015</v>
      </c>
      <c r="R6353" s="2">
        <v>42319</v>
      </c>
      <c r="S6353" s="2">
        <v>42320</v>
      </c>
      <c r="T6353" s="2">
        <v>42320</v>
      </c>
      <c r="U6353" s="2">
        <v>42380</v>
      </c>
      <c r="V6353" t="s">
        <v>71</v>
      </c>
      <c r="W6353" t="str">
        <f>"          5301690189"</f>
        <v xml:space="preserve">          5301690189</v>
      </c>
      <c r="X6353" s="1">
        <v>10730.57</v>
      </c>
      <c r="Y6353">
        <v>0</v>
      </c>
      <c r="Z6353" s="5">
        <v>8795.5499999999993</v>
      </c>
      <c r="AA6353">
        <v>298</v>
      </c>
      <c r="AB6353" s="5">
        <v>2621073.9</v>
      </c>
      <c r="AC6353" s="1">
        <v>8795.5499999999993</v>
      </c>
      <c r="AD6353">
        <v>298</v>
      </c>
      <c r="AE6353" s="1">
        <v>2621073.9</v>
      </c>
      <c r="AF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 s="2">
        <v>42746</v>
      </c>
      <c r="AQ6353" t="s">
        <v>72</v>
      </c>
      <c r="AR6353" t="s">
        <v>72</v>
      </c>
      <c r="AS6353">
        <v>2926</v>
      </c>
      <c r="AT6353" s="4">
        <v>42678</v>
      </c>
      <c r="AU6353" t="s">
        <v>73</v>
      </c>
      <c r="AV6353">
        <v>2926</v>
      </c>
      <c r="AW6353" s="4">
        <v>42678</v>
      </c>
      <c r="BD6353">
        <v>0</v>
      </c>
      <c r="BN6353" t="s">
        <v>74</v>
      </c>
    </row>
    <row r="6354" spans="1:66">
      <c r="A6354">
        <v>104048</v>
      </c>
      <c r="B6354" s="3" t="s">
        <v>602</v>
      </c>
      <c r="C6354" s="1">
        <v>43300101</v>
      </c>
      <c r="D6354" t="s">
        <v>67</v>
      </c>
      <c r="H6354" t="str">
        <f t="shared" ref="H6354:I6373" si="650">"00674840152"</f>
        <v>00674840152</v>
      </c>
      <c r="I6354" t="str">
        <f t="shared" si="650"/>
        <v>00674840152</v>
      </c>
      <c r="K6354" t="str">
        <f>""</f>
        <v/>
      </c>
      <c r="M6354" t="s">
        <v>68</v>
      </c>
      <c r="N6354" t="str">
        <f t="shared" si="649"/>
        <v>FOR</v>
      </c>
      <c r="O6354" t="s">
        <v>69</v>
      </c>
      <c r="P6354" s="3" t="s">
        <v>75</v>
      </c>
      <c r="Q6354">
        <v>2015</v>
      </c>
      <c r="R6354" s="2">
        <v>42327</v>
      </c>
      <c r="S6354" s="2">
        <v>42328</v>
      </c>
      <c r="T6354" s="2">
        <v>42328</v>
      </c>
      <c r="U6354" s="2">
        <v>42388</v>
      </c>
      <c r="V6354" t="s">
        <v>71</v>
      </c>
      <c r="W6354" t="str">
        <f>"          5301692120"</f>
        <v xml:space="preserve">          5301692120</v>
      </c>
      <c r="X6354">
        <v>66.25</v>
      </c>
      <c r="Y6354">
        <v>0</v>
      </c>
      <c r="Z6354" s="3">
        <v>54.3</v>
      </c>
      <c r="AA6354">
        <v>290</v>
      </c>
      <c r="AB6354" s="5">
        <v>15747</v>
      </c>
      <c r="AC6354">
        <v>54.3</v>
      </c>
      <c r="AD6354">
        <v>290</v>
      </c>
      <c r="AE6354" s="1">
        <v>15747</v>
      </c>
      <c r="AF6354">
        <v>0</v>
      </c>
      <c r="AJ6354">
        <v>0</v>
      </c>
      <c r="AK6354">
        <v>0</v>
      </c>
      <c r="AL6354">
        <v>0</v>
      </c>
      <c r="AM6354">
        <v>0</v>
      </c>
      <c r="AN6354">
        <v>0</v>
      </c>
      <c r="AO6354">
        <v>0</v>
      </c>
      <c r="AP6354" s="2">
        <v>42746</v>
      </c>
      <c r="AQ6354" t="s">
        <v>72</v>
      </c>
      <c r="AR6354" t="s">
        <v>72</v>
      </c>
      <c r="AS6354">
        <v>2926</v>
      </c>
      <c r="AT6354" s="4">
        <v>42678</v>
      </c>
      <c r="AU6354" t="s">
        <v>73</v>
      </c>
      <c r="AV6354">
        <v>2926</v>
      </c>
      <c r="AW6354" s="4">
        <v>42678</v>
      </c>
      <c r="BD6354">
        <v>0</v>
      </c>
      <c r="BN6354" t="s">
        <v>74</v>
      </c>
    </row>
    <row r="6355" spans="1:66">
      <c r="A6355">
        <v>104048</v>
      </c>
      <c r="B6355" s="3" t="s">
        <v>602</v>
      </c>
      <c r="C6355" s="1">
        <v>43300101</v>
      </c>
      <c r="D6355" t="s">
        <v>67</v>
      </c>
      <c r="H6355" t="str">
        <f t="shared" si="650"/>
        <v>00674840152</v>
      </c>
      <c r="I6355" t="str">
        <f t="shared" si="650"/>
        <v>00674840152</v>
      </c>
      <c r="K6355" t="str">
        <f>""</f>
        <v/>
      </c>
      <c r="M6355" t="s">
        <v>68</v>
      </c>
      <c r="N6355" t="str">
        <f t="shared" si="649"/>
        <v>FOR</v>
      </c>
      <c r="O6355" t="s">
        <v>69</v>
      </c>
      <c r="P6355" s="3" t="s">
        <v>75</v>
      </c>
      <c r="Q6355">
        <v>2015</v>
      </c>
      <c r="R6355" s="2">
        <v>42328</v>
      </c>
      <c r="S6355" s="2">
        <v>42331</v>
      </c>
      <c r="T6355" s="2">
        <v>42329</v>
      </c>
      <c r="U6355" s="2">
        <v>42389</v>
      </c>
      <c r="V6355" t="s">
        <v>71</v>
      </c>
      <c r="W6355" t="str">
        <f>"          5301692395"</f>
        <v xml:space="preserve">          5301692395</v>
      </c>
      <c r="X6355">
        <v>66.25</v>
      </c>
      <c r="Y6355">
        <v>0</v>
      </c>
      <c r="Z6355" s="3">
        <v>54.3</v>
      </c>
      <c r="AA6355">
        <v>289</v>
      </c>
      <c r="AB6355" s="5">
        <v>15692.7</v>
      </c>
      <c r="AC6355">
        <v>54.3</v>
      </c>
      <c r="AD6355">
        <v>289</v>
      </c>
      <c r="AE6355" s="1">
        <v>15692.7</v>
      </c>
      <c r="AF6355">
        <v>0</v>
      </c>
      <c r="AJ6355">
        <v>0</v>
      </c>
      <c r="AK6355">
        <v>0</v>
      </c>
      <c r="AL6355">
        <v>0</v>
      </c>
      <c r="AM6355">
        <v>0</v>
      </c>
      <c r="AN6355">
        <v>0</v>
      </c>
      <c r="AO6355">
        <v>0</v>
      </c>
      <c r="AP6355" s="2">
        <v>42746</v>
      </c>
      <c r="AQ6355" t="s">
        <v>72</v>
      </c>
      <c r="AR6355" t="s">
        <v>72</v>
      </c>
      <c r="AS6355">
        <v>2926</v>
      </c>
      <c r="AT6355" s="4">
        <v>42678</v>
      </c>
      <c r="AU6355" t="s">
        <v>73</v>
      </c>
      <c r="AV6355">
        <v>2926</v>
      </c>
      <c r="AW6355" s="4">
        <v>42678</v>
      </c>
      <c r="BD6355">
        <v>0</v>
      </c>
      <c r="BN6355" t="s">
        <v>74</v>
      </c>
    </row>
    <row r="6356" spans="1:66">
      <c r="A6356">
        <v>104048</v>
      </c>
      <c r="B6356" s="3" t="s">
        <v>602</v>
      </c>
      <c r="C6356" s="1">
        <v>43300101</v>
      </c>
      <c r="D6356" t="s">
        <v>67</v>
      </c>
      <c r="H6356" t="str">
        <f t="shared" si="650"/>
        <v>00674840152</v>
      </c>
      <c r="I6356" t="str">
        <f t="shared" si="650"/>
        <v>00674840152</v>
      </c>
      <c r="K6356" t="str">
        <f>""</f>
        <v/>
      </c>
      <c r="M6356" t="s">
        <v>68</v>
      </c>
      <c r="N6356" t="str">
        <f t="shared" si="649"/>
        <v>FOR</v>
      </c>
      <c r="O6356" t="s">
        <v>69</v>
      </c>
      <c r="P6356" s="3" t="s">
        <v>75</v>
      </c>
      <c r="Q6356">
        <v>2015</v>
      </c>
      <c r="R6356" s="2">
        <v>42332</v>
      </c>
      <c r="S6356" s="2">
        <v>42333</v>
      </c>
      <c r="T6356" s="2">
        <v>42333</v>
      </c>
      <c r="U6356" s="2">
        <v>42393</v>
      </c>
      <c r="V6356" t="s">
        <v>71</v>
      </c>
      <c r="W6356" t="str">
        <f>"          5301693001"</f>
        <v xml:space="preserve">          5301693001</v>
      </c>
      <c r="X6356" s="1">
        <v>1153.3399999999999</v>
      </c>
      <c r="Y6356">
        <v>0</v>
      </c>
      <c r="Z6356" s="3">
        <v>945.36</v>
      </c>
      <c r="AA6356">
        <v>285</v>
      </c>
      <c r="AB6356" s="5">
        <v>269427.59999999998</v>
      </c>
      <c r="AC6356">
        <v>945.36</v>
      </c>
      <c r="AD6356">
        <v>285</v>
      </c>
      <c r="AE6356" s="1">
        <v>269427.59999999998</v>
      </c>
      <c r="AF6356">
        <v>0</v>
      </c>
      <c r="AJ6356">
        <v>0</v>
      </c>
      <c r="AK6356">
        <v>0</v>
      </c>
      <c r="AL6356">
        <v>0</v>
      </c>
      <c r="AM6356">
        <v>0</v>
      </c>
      <c r="AN6356">
        <v>0</v>
      </c>
      <c r="AO6356">
        <v>0</v>
      </c>
      <c r="AP6356" s="2">
        <v>42746</v>
      </c>
      <c r="AQ6356" t="s">
        <v>72</v>
      </c>
      <c r="AR6356" t="s">
        <v>72</v>
      </c>
      <c r="AS6356">
        <v>2926</v>
      </c>
      <c r="AT6356" s="4">
        <v>42678</v>
      </c>
      <c r="AU6356" t="s">
        <v>73</v>
      </c>
      <c r="AV6356">
        <v>2926</v>
      </c>
      <c r="AW6356" s="4">
        <v>42678</v>
      </c>
      <c r="BD6356">
        <v>0</v>
      </c>
      <c r="BN6356" t="s">
        <v>74</v>
      </c>
    </row>
    <row r="6357" spans="1:66">
      <c r="A6357">
        <v>104048</v>
      </c>
      <c r="B6357" s="3" t="s">
        <v>602</v>
      </c>
      <c r="C6357" s="1">
        <v>43300101</v>
      </c>
      <c r="D6357" t="s">
        <v>67</v>
      </c>
      <c r="H6357" t="str">
        <f t="shared" si="650"/>
        <v>00674840152</v>
      </c>
      <c r="I6357" t="str">
        <f t="shared" si="650"/>
        <v>00674840152</v>
      </c>
      <c r="K6357" t="str">
        <f>""</f>
        <v/>
      </c>
      <c r="M6357" t="s">
        <v>68</v>
      </c>
      <c r="N6357" t="str">
        <f t="shared" si="649"/>
        <v>FOR</v>
      </c>
      <c r="O6357" t="s">
        <v>69</v>
      </c>
      <c r="P6357" s="3" t="s">
        <v>75</v>
      </c>
      <c r="Q6357">
        <v>2015</v>
      </c>
      <c r="R6357" s="2">
        <v>42338</v>
      </c>
      <c r="S6357" s="2">
        <v>42340</v>
      </c>
      <c r="T6357" s="2">
        <v>42339</v>
      </c>
      <c r="U6357" s="2">
        <v>42399</v>
      </c>
      <c r="V6357" t="s">
        <v>71</v>
      </c>
      <c r="W6357" t="str">
        <f>"          5301694306"</f>
        <v xml:space="preserve">          5301694306</v>
      </c>
      <c r="X6357">
        <v>808.5</v>
      </c>
      <c r="Y6357">
        <v>0</v>
      </c>
      <c r="Z6357" s="3">
        <v>735</v>
      </c>
      <c r="AA6357">
        <v>279</v>
      </c>
      <c r="AB6357" s="5">
        <v>205065</v>
      </c>
      <c r="AC6357">
        <v>735</v>
      </c>
      <c r="AD6357">
        <v>279</v>
      </c>
      <c r="AE6357" s="1">
        <v>205065</v>
      </c>
      <c r="AF6357">
        <v>0</v>
      </c>
      <c r="AJ6357">
        <v>0</v>
      </c>
      <c r="AK6357">
        <v>0</v>
      </c>
      <c r="AL6357">
        <v>0</v>
      </c>
      <c r="AM6357">
        <v>0</v>
      </c>
      <c r="AN6357">
        <v>0</v>
      </c>
      <c r="AO6357">
        <v>0</v>
      </c>
      <c r="AP6357" s="2">
        <v>42746</v>
      </c>
      <c r="AQ6357" t="s">
        <v>72</v>
      </c>
      <c r="AR6357" t="s">
        <v>72</v>
      </c>
      <c r="AS6357">
        <v>2926</v>
      </c>
      <c r="AT6357" s="4">
        <v>42678</v>
      </c>
      <c r="AU6357" t="s">
        <v>73</v>
      </c>
      <c r="AV6357">
        <v>2926</v>
      </c>
      <c r="AW6357" s="4">
        <v>42678</v>
      </c>
      <c r="BD6357">
        <v>0</v>
      </c>
      <c r="BN6357" t="s">
        <v>74</v>
      </c>
    </row>
    <row r="6358" spans="1:66">
      <c r="A6358">
        <v>104048</v>
      </c>
      <c r="B6358" s="3" t="s">
        <v>602</v>
      </c>
      <c r="C6358" s="1">
        <v>43300101</v>
      </c>
      <c r="D6358" t="s">
        <v>67</v>
      </c>
      <c r="H6358" t="str">
        <f t="shared" si="650"/>
        <v>00674840152</v>
      </c>
      <c r="I6358" t="str">
        <f t="shared" si="650"/>
        <v>00674840152</v>
      </c>
      <c r="K6358" t="str">
        <f>""</f>
        <v/>
      </c>
      <c r="M6358" t="s">
        <v>68</v>
      </c>
      <c r="N6358" t="str">
        <f t="shared" si="649"/>
        <v>FOR</v>
      </c>
      <c r="O6358" t="s">
        <v>69</v>
      </c>
      <c r="P6358" s="3" t="s">
        <v>75</v>
      </c>
      <c r="Q6358">
        <v>2015</v>
      </c>
      <c r="R6358" s="2">
        <v>42347</v>
      </c>
      <c r="S6358" s="2">
        <v>42347</v>
      </c>
      <c r="T6358" s="2">
        <v>42347</v>
      </c>
      <c r="U6358" s="2">
        <v>42407</v>
      </c>
      <c r="V6358" t="s">
        <v>71</v>
      </c>
      <c r="W6358" t="str">
        <f>"          5301695585"</f>
        <v xml:space="preserve">          5301695585</v>
      </c>
      <c r="X6358">
        <v>316.47000000000003</v>
      </c>
      <c r="Y6358">
        <v>0</v>
      </c>
      <c r="Z6358" s="3">
        <v>259.39999999999998</v>
      </c>
      <c r="AA6358">
        <v>285</v>
      </c>
      <c r="AB6358" s="5">
        <v>73929</v>
      </c>
      <c r="AC6358">
        <v>259.39999999999998</v>
      </c>
      <c r="AD6358">
        <v>285</v>
      </c>
      <c r="AE6358" s="1">
        <v>73929</v>
      </c>
      <c r="AF6358">
        <v>0</v>
      </c>
      <c r="AJ6358">
        <v>0</v>
      </c>
      <c r="AK6358">
        <v>0</v>
      </c>
      <c r="AL6358">
        <v>0</v>
      </c>
      <c r="AM6358">
        <v>0</v>
      </c>
      <c r="AN6358">
        <v>0</v>
      </c>
      <c r="AO6358">
        <v>0</v>
      </c>
      <c r="AP6358" s="2">
        <v>42746</v>
      </c>
      <c r="AQ6358" t="s">
        <v>72</v>
      </c>
      <c r="AR6358" t="s">
        <v>72</v>
      </c>
      <c r="AS6358">
        <v>3179</v>
      </c>
      <c r="AT6358" s="4">
        <v>42692</v>
      </c>
      <c r="AU6358" t="s">
        <v>73</v>
      </c>
      <c r="AV6358">
        <v>3179</v>
      </c>
      <c r="AW6358" s="4">
        <v>42692</v>
      </c>
      <c r="BD6358">
        <v>0</v>
      </c>
      <c r="BN6358" t="s">
        <v>74</v>
      </c>
    </row>
    <row r="6359" spans="1:66">
      <c r="A6359">
        <v>104048</v>
      </c>
      <c r="B6359" s="3" t="s">
        <v>602</v>
      </c>
      <c r="C6359" s="1">
        <v>43300101</v>
      </c>
      <c r="D6359" t="s">
        <v>67</v>
      </c>
      <c r="H6359" t="str">
        <f t="shared" si="650"/>
        <v>00674840152</v>
      </c>
      <c r="I6359" t="str">
        <f t="shared" si="650"/>
        <v>00674840152</v>
      </c>
      <c r="K6359" t="str">
        <f>""</f>
        <v/>
      </c>
      <c r="M6359" t="s">
        <v>68</v>
      </c>
      <c r="N6359" t="str">
        <f t="shared" si="649"/>
        <v>FOR</v>
      </c>
      <c r="O6359" t="s">
        <v>69</v>
      </c>
      <c r="P6359" s="3" t="s">
        <v>75</v>
      </c>
      <c r="Q6359">
        <v>2015</v>
      </c>
      <c r="R6359" s="2">
        <v>42347</v>
      </c>
      <c r="S6359" s="2">
        <v>42347</v>
      </c>
      <c r="T6359" s="2">
        <v>42347</v>
      </c>
      <c r="U6359" s="2">
        <v>42407</v>
      </c>
      <c r="V6359" t="s">
        <v>71</v>
      </c>
      <c r="W6359" t="str">
        <f>"          5301695586"</f>
        <v xml:space="preserve">          5301695586</v>
      </c>
      <c r="X6359">
        <v>65.22</v>
      </c>
      <c r="Y6359">
        <v>0</v>
      </c>
      <c r="Z6359" s="3">
        <v>53.46</v>
      </c>
      <c r="AA6359">
        <v>285</v>
      </c>
      <c r="AB6359" s="5">
        <v>15236.1</v>
      </c>
      <c r="AC6359">
        <v>53.46</v>
      </c>
      <c r="AD6359">
        <v>285</v>
      </c>
      <c r="AE6359" s="1">
        <v>15236.1</v>
      </c>
      <c r="AF6359">
        <v>0</v>
      </c>
      <c r="AJ6359">
        <v>0</v>
      </c>
      <c r="AK6359">
        <v>0</v>
      </c>
      <c r="AL6359">
        <v>0</v>
      </c>
      <c r="AM6359">
        <v>0</v>
      </c>
      <c r="AN6359">
        <v>0</v>
      </c>
      <c r="AO6359">
        <v>0</v>
      </c>
      <c r="AP6359" s="2">
        <v>42746</v>
      </c>
      <c r="AQ6359" t="s">
        <v>72</v>
      </c>
      <c r="AR6359" t="s">
        <v>72</v>
      </c>
      <c r="AS6359">
        <v>3179</v>
      </c>
      <c r="AT6359" s="4">
        <v>42692</v>
      </c>
      <c r="AU6359" t="s">
        <v>73</v>
      </c>
      <c r="AV6359">
        <v>3179</v>
      </c>
      <c r="AW6359" s="4">
        <v>42692</v>
      </c>
      <c r="BD6359">
        <v>0</v>
      </c>
      <c r="BN6359" t="s">
        <v>74</v>
      </c>
    </row>
    <row r="6360" spans="1:66">
      <c r="A6360">
        <v>104048</v>
      </c>
      <c r="B6360" s="3" t="s">
        <v>602</v>
      </c>
      <c r="C6360" s="1">
        <v>43300101</v>
      </c>
      <c r="D6360" t="s">
        <v>67</v>
      </c>
      <c r="H6360" t="str">
        <f t="shared" si="650"/>
        <v>00674840152</v>
      </c>
      <c r="I6360" t="str">
        <f t="shared" si="650"/>
        <v>00674840152</v>
      </c>
      <c r="K6360" t="str">
        <f>""</f>
        <v/>
      </c>
      <c r="M6360" t="s">
        <v>68</v>
      </c>
      <c r="N6360" t="str">
        <f t="shared" si="649"/>
        <v>FOR</v>
      </c>
      <c r="O6360" t="s">
        <v>69</v>
      </c>
      <c r="P6360" s="3" t="s">
        <v>75</v>
      </c>
      <c r="Q6360">
        <v>2015</v>
      </c>
      <c r="R6360" s="2">
        <v>42353</v>
      </c>
      <c r="S6360" s="2">
        <v>42354</v>
      </c>
      <c r="T6360" s="2">
        <v>42354</v>
      </c>
      <c r="U6360" s="2">
        <v>42414</v>
      </c>
      <c r="V6360" t="s">
        <v>71</v>
      </c>
      <c r="W6360" t="str">
        <f>"          5301697704"</f>
        <v xml:space="preserve">          5301697704</v>
      </c>
      <c r="X6360">
        <v>933.3</v>
      </c>
      <c r="Y6360">
        <v>0</v>
      </c>
      <c r="Z6360" s="3">
        <v>765</v>
      </c>
      <c r="AA6360">
        <v>278</v>
      </c>
      <c r="AB6360" s="5">
        <v>212670</v>
      </c>
      <c r="AC6360">
        <v>765</v>
      </c>
      <c r="AD6360">
        <v>278</v>
      </c>
      <c r="AE6360" s="1">
        <v>212670</v>
      </c>
      <c r="AF6360">
        <v>0</v>
      </c>
      <c r="AJ6360">
        <v>0</v>
      </c>
      <c r="AK6360">
        <v>0</v>
      </c>
      <c r="AL6360">
        <v>0</v>
      </c>
      <c r="AM6360">
        <v>0</v>
      </c>
      <c r="AN6360">
        <v>0</v>
      </c>
      <c r="AO6360">
        <v>0</v>
      </c>
      <c r="AP6360" s="2">
        <v>42746</v>
      </c>
      <c r="AQ6360" t="s">
        <v>72</v>
      </c>
      <c r="AR6360" t="s">
        <v>72</v>
      </c>
      <c r="AS6360">
        <v>3179</v>
      </c>
      <c r="AT6360" s="4">
        <v>42692</v>
      </c>
      <c r="AU6360" t="s">
        <v>73</v>
      </c>
      <c r="AV6360">
        <v>3179</v>
      </c>
      <c r="AW6360" s="4">
        <v>42692</v>
      </c>
      <c r="BD6360">
        <v>0</v>
      </c>
      <c r="BN6360" t="s">
        <v>74</v>
      </c>
    </row>
    <row r="6361" spans="1:66">
      <c r="A6361">
        <v>104048</v>
      </c>
      <c r="B6361" s="3" t="s">
        <v>602</v>
      </c>
      <c r="C6361" s="1">
        <v>43300101</v>
      </c>
      <c r="D6361" t="s">
        <v>67</v>
      </c>
      <c r="H6361" t="str">
        <f t="shared" si="650"/>
        <v>00674840152</v>
      </c>
      <c r="I6361" t="str">
        <f t="shared" si="650"/>
        <v>00674840152</v>
      </c>
      <c r="K6361" t="str">
        <f>""</f>
        <v/>
      </c>
      <c r="M6361" t="s">
        <v>68</v>
      </c>
      <c r="N6361" t="str">
        <f t="shared" si="649"/>
        <v>FOR</v>
      </c>
      <c r="O6361" t="s">
        <v>69</v>
      </c>
      <c r="P6361" s="3" t="s">
        <v>75</v>
      </c>
      <c r="Q6361">
        <v>2016</v>
      </c>
      <c r="R6361" s="2">
        <v>42387</v>
      </c>
      <c r="S6361" s="2">
        <v>42389</v>
      </c>
      <c r="T6361" s="2">
        <v>42388</v>
      </c>
      <c r="U6361" s="2">
        <v>42448</v>
      </c>
      <c r="V6361" t="s">
        <v>71</v>
      </c>
      <c r="W6361" t="str">
        <f>"          5301703036"</f>
        <v xml:space="preserve">          5301703036</v>
      </c>
      <c r="X6361">
        <v>808.5</v>
      </c>
      <c r="Y6361">
        <v>0</v>
      </c>
      <c r="Z6361" s="3">
        <v>735</v>
      </c>
      <c r="AA6361">
        <v>244</v>
      </c>
      <c r="AB6361" s="5">
        <v>179340</v>
      </c>
      <c r="AC6361">
        <v>735</v>
      </c>
      <c r="AD6361">
        <v>244</v>
      </c>
      <c r="AE6361" s="1">
        <v>179340</v>
      </c>
      <c r="AF6361">
        <v>0</v>
      </c>
      <c r="AJ6361">
        <v>0</v>
      </c>
      <c r="AK6361">
        <v>0</v>
      </c>
      <c r="AL6361">
        <v>0</v>
      </c>
      <c r="AM6361">
        <v>808.5</v>
      </c>
      <c r="AN6361">
        <v>808.5</v>
      </c>
      <c r="AO6361">
        <v>808.5</v>
      </c>
      <c r="AP6361" s="2">
        <v>42746</v>
      </c>
      <c r="AQ6361" t="s">
        <v>72</v>
      </c>
      <c r="AR6361" t="s">
        <v>72</v>
      </c>
      <c r="AS6361">
        <v>3179</v>
      </c>
      <c r="AT6361" s="4">
        <v>42692</v>
      </c>
      <c r="AU6361" t="s">
        <v>73</v>
      </c>
      <c r="AV6361">
        <v>3179</v>
      </c>
      <c r="AW6361" s="4">
        <v>42692</v>
      </c>
      <c r="BD6361">
        <v>0</v>
      </c>
      <c r="BN6361" t="s">
        <v>74</v>
      </c>
    </row>
    <row r="6362" spans="1:66">
      <c r="A6362">
        <v>104048</v>
      </c>
      <c r="B6362" s="3" t="s">
        <v>602</v>
      </c>
      <c r="C6362" s="1">
        <v>43300101</v>
      </c>
      <c r="D6362" t="s">
        <v>67</v>
      </c>
      <c r="H6362" t="str">
        <f t="shared" si="650"/>
        <v>00674840152</v>
      </c>
      <c r="I6362" t="str">
        <f t="shared" si="650"/>
        <v>00674840152</v>
      </c>
      <c r="K6362" t="str">
        <f>""</f>
        <v/>
      </c>
      <c r="M6362" t="s">
        <v>68</v>
      </c>
      <c r="N6362" t="str">
        <f t="shared" si="649"/>
        <v>FOR</v>
      </c>
      <c r="O6362" t="s">
        <v>69</v>
      </c>
      <c r="P6362" s="3" t="s">
        <v>75</v>
      </c>
      <c r="Q6362">
        <v>2016</v>
      </c>
      <c r="R6362" s="2">
        <v>42390</v>
      </c>
      <c r="S6362" s="2">
        <v>42395</v>
      </c>
      <c r="T6362" s="2">
        <v>42391</v>
      </c>
      <c r="U6362" s="2">
        <v>42451</v>
      </c>
      <c r="V6362" t="s">
        <v>71</v>
      </c>
      <c r="W6362" t="str">
        <f>"          5301703925"</f>
        <v xml:space="preserve">          5301703925</v>
      </c>
      <c r="X6362">
        <v>120.93</v>
      </c>
      <c r="Y6362">
        <v>0</v>
      </c>
      <c r="Z6362" s="3">
        <v>116.28</v>
      </c>
      <c r="AA6362">
        <v>241</v>
      </c>
      <c r="AB6362" s="5">
        <v>28023.48</v>
      </c>
      <c r="AC6362">
        <v>116.28</v>
      </c>
      <c r="AD6362">
        <v>241</v>
      </c>
      <c r="AE6362" s="1">
        <v>28023.48</v>
      </c>
      <c r="AF6362">
        <v>0</v>
      </c>
      <c r="AJ6362">
        <v>0</v>
      </c>
      <c r="AK6362">
        <v>0</v>
      </c>
      <c r="AL6362">
        <v>0</v>
      </c>
      <c r="AM6362">
        <v>120.93</v>
      </c>
      <c r="AN6362">
        <v>120.93</v>
      </c>
      <c r="AO6362">
        <v>120.93</v>
      </c>
      <c r="AP6362" s="2">
        <v>42746</v>
      </c>
      <c r="AQ6362" t="s">
        <v>72</v>
      </c>
      <c r="AR6362" t="s">
        <v>72</v>
      </c>
      <c r="AS6362">
        <v>3179</v>
      </c>
      <c r="AT6362" s="4">
        <v>42692</v>
      </c>
      <c r="AU6362" t="s">
        <v>73</v>
      </c>
      <c r="AV6362">
        <v>3179</v>
      </c>
      <c r="AW6362" s="4">
        <v>42692</v>
      </c>
      <c r="BD6362">
        <v>0</v>
      </c>
      <c r="BN6362" t="s">
        <v>74</v>
      </c>
    </row>
    <row r="6363" spans="1:66">
      <c r="A6363">
        <v>104048</v>
      </c>
      <c r="B6363" s="3" t="s">
        <v>602</v>
      </c>
      <c r="C6363" s="1">
        <v>43300101</v>
      </c>
      <c r="D6363" t="s">
        <v>67</v>
      </c>
      <c r="H6363" t="str">
        <f t="shared" si="650"/>
        <v>00674840152</v>
      </c>
      <c r="I6363" t="str">
        <f t="shared" si="650"/>
        <v>00674840152</v>
      </c>
      <c r="K6363" t="str">
        <f>""</f>
        <v/>
      </c>
      <c r="M6363" t="s">
        <v>68</v>
      </c>
      <c r="N6363" t="str">
        <f t="shared" si="649"/>
        <v>FOR</v>
      </c>
      <c r="O6363" t="s">
        <v>69</v>
      </c>
      <c r="P6363" s="3" t="s">
        <v>75</v>
      </c>
      <c r="Q6363">
        <v>2016</v>
      </c>
      <c r="R6363" s="2">
        <v>42390</v>
      </c>
      <c r="S6363" s="2">
        <v>42395</v>
      </c>
      <c r="T6363" s="2">
        <v>42391</v>
      </c>
      <c r="U6363" s="2">
        <v>42451</v>
      </c>
      <c r="V6363" t="s">
        <v>71</v>
      </c>
      <c r="W6363" t="str">
        <f>"          5301703926"</f>
        <v xml:space="preserve">          5301703926</v>
      </c>
      <c r="X6363">
        <v>435.28</v>
      </c>
      <c r="Y6363">
        <v>0</v>
      </c>
      <c r="Z6363" s="3">
        <v>356.79</v>
      </c>
      <c r="AA6363">
        <v>241</v>
      </c>
      <c r="AB6363" s="5">
        <v>85986.39</v>
      </c>
      <c r="AC6363">
        <v>356.79</v>
      </c>
      <c r="AD6363">
        <v>241</v>
      </c>
      <c r="AE6363" s="1">
        <v>85986.39</v>
      </c>
      <c r="AF6363">
        <v>0</v>
      </c>
      <c r="AJ6363">
        <v>0</v>
      </c>
      <c r="AK6363">
        <v>0</v>
      </c>
      <c r="AL6363">
        <v>0</v>
      </c>
      <c r="AM6363">
        <v>435.28</v>
      </c>
      <c r="AN6363">
        <v>435.28</v>
      </c>
      <c r="AO6363">
        <v>435.28</v>
      </c>
      <c r="AP6363" s="2">
        <v>42746</v>
      </c>
      <c r="AQ6363" t="s">
        <v>72</v>
      </c>
      <c r="AR6363" t="s">
        <v>72</v>
      </c>
      <c r="AS6363">
        <v>3179</v>
      </c>
      <c r="AT6363" s="4">
        <v>42692</v>
      </c>
      <c r="AU6363" t="s">
        <v>73</v>
      </c>
      <c r="AV6363">
        <v>3179</v>
      </c>
      <c r="AW6363" s="4">
        <v>42692</v>
      </c>
      <c r="BD6363">
        <v>0</v>
      </c>
      <c r="BN6363" t="s">
        <v>74</v>
      </c>
    </row>
    <row r="6364" spans="1:66">
      <c r="A6364">
        <v>104048</v>
      </c>
      <c r="B6364" s="3" t="s">
        <v>602</v>
      </c>
      <c r="C6364" s="1">
        <v>43300101</v>
      </c>
      <c r="D6364" t="s">
        <v>67</v>
      </c>
      <c r="H6364" t="str">
        <f t="shared" si="650"/>
        <v>00674840152</v>
      </c>
      <c r="I6364" t="str">
        <f t="shared" si="650"/>
        <v>00674840152</v>
      </c>
      <c r="K6364" t="str">
        <f>""</f>
        <v/>
      </c>
      <c r="M6364" t="s">
        <v>68</v>
      </c>
      <c r="N6364" t="str">
        <f t="shared" si="649"/>
        <v>FOR</v>
      </c>
      <c r="O6364" t="s">
        <v>69</v>
      </c>
      <c r="P6364" s="3" t="s">
        <v>75</v>
      </c>
      <c r="Q6364">
        <v>2016</v>
      </c>
      <c r="R6364" s="2">
        <v>42390</v>
      </c>
      <c r="S6364" s="2">
        <v>42395</v>
      </c>
      <c r="T6364" s="2">
        <v>42391</v>
      </c>
      <c r="U6364" s="2">
        <v>42451</v>
      </c>
      <c r="V6364" t="s">
        <v>71</v>
      </c>
      <c r="W6364" t="str">
        <f>"          5301703927"</f>
        <v xml:space="preserve">          5301703927</v>
      </c>
      <c r="X6364">
        <v>523.23</v>
      </c>
      <c r="Y6364">
        <v>0</v>
      </c>
      <c r="Z6364" s="3">
        <v>428.88</v>
      </c>
      <c r="AA6364">
        <v>241</v>
      </c>
      <c r="AB6364" s="5">
        <v>103360.08</v>
      </c>
      <c r="AC6364">
        <v>428.88</v>
      </c>
      <c r="AD6364">
        <v>241</v>
      </c>
      <c r="AE6364" s="1">
        <v>103360.08</v>
      </c>
      <c r="AF6364">
        <v>0</v>
      </c>
      <c r="AJ6364">
        <v>0</v>
      </c>
      <c r="AK6364">
        <v>0</v>
      </c>
      <c r="AL6364">
        <v>0</v>
      </c>
      <c r="AM6364">
        <v>523.23</v>
      </c>
      <c r="AN6364">
        <v>523.23</v>
      </c>
      <c r="AO6364">
        <v>523.23</v>
      </c>
      <c r="AP6364" s="2">
        <v>42746</v>
      </c>
      <c r="AQ6364" t="s">
        <v>72</v>
      </c>
      <c r="AR6364" t="s">
        <v>72</v>
      </c>
      <c r="AS6364">
        <v>3179</v>
      </c>
      <c r="AT6364" s="4">
        <v>42692</v>
      </c>
      <c r="AU6364" t="s">
        <v>73</v>
      </c>
      <c r="AV6364">
        <v>3179</v>
      </c>
      <c r="AW6364" s="4">
        <v>42692</v>
      </c>
      <c r="BD6364">
        <v>0</v>
      </c>
      <c r="BN6364" t="s">
        <v>74</v>
      </c>
    </row>
    <row r="6365" spans="1:66">
      <c r="A6365">
        <v>104048</v>
      </c>
      <c r="B6365" s="3" t="s">
        <v>602</v>
      </c>
      <c r="C6365" s="1">
        <v>43300101</v>
      </c>
      <c r="D6365" t="s">
        <v>67</v>
      </c>
      <c r="H6365" t="str">
        <f t="shared" si="650"/>
        <v>00674840152</v>
      </c>
      <c r="I6365" t="str">
        <f t="shared" si="650"/>
        <v>00674840152</v>
      </c>
      <c r="K6365" t="str">
        <f>""</f>
        <v/>
      </c>
      <c r="M6365" t="s">
        <v>68</v>
      </c>
      <c r="N6365" t="str">
        <f t="shared" si="649"/>
        <v>FOR</v>
      </c>
      <c r="O6365" t="s">
        <v>69</v>
      </c>
      <c r="P6365" s="3" t="s">
        <v>75</v>
      </c>
      <c r="Q6365">
        <v>2016</v>
      </c>
      <c r="R6365" s="2">
        <v>42390</v>
      </c>
      <c r="S6365" s="2">
        <v>42395</v>
      </c>
      <c r="T6365" s="2">
        <v>42391</v>
      </c>
      <c r="U6365" s="2">
        <v>42451</v>
      </c>
      <c r="V6365" t="s">
        <v>71</v>
      </c>
      <c r="W6365" t="str">
        <f>"          5301703928"</f>
        <v xml:space="preserve">          5301703928</v>
      </c>
      <c r="X6365">
        <v>86.91</v>
      </c>
      <c r="Y6365">
        <v>0</v>
      </c>
      <c r="Z6365" s="3">
        <v>71.239999999999995</v>
      </c>
      <c r="AA6365">
        <v>241</v>
      </c>
      <c r="AB6365" s="5">
        <v>17168.84</v>
      </c>
      <c r="AC6365">
        <v>71.239999999999995</v>
      </c>
      <c r="AD6365">
        <v>241</v>
      </c>
      <c r="AE6365" s="1">
        <v>17168.84</v>
      </c>
      <c r="AF6365">
        <v>0</v>
      </c>
      <c r="AJ6365">
        <v>0</v>
      </c>
      <c r="AK6365">
        <v>0</v>
      </c>
      <c r="AL6365">
        <v>0</v>
      </c>
      <c r="AM6365">
        <v>86.91</v>
      </c>
      <c r="AN6365">
        <v>86.91</v>
      </c>
      <c r="AO6365">
        <v>86.91</v>
      </c>
      <c r="AP6365" s="2">
        <v>42746</v>
      </c>
      <c r="AQ6365" t="s">
        <v>72</v>
      </c>
      <c r="AR6365" t="s">
        <v>72</v>
      </c>
      <c r="AS6365">
        <v>3179</v>
      </c>
      <c r="AT6365" s="4">
        <v>42692</v>
      </c>
      <c r="AU6365" t="s">
        <v>73</v>
      </c>
      <c r="AV6365">
        <v>3179</v>
      </c>
      <c r="AW6365" s="4">
        <v>42692</v>
      </c>
      <c r="BD6365">
        <v>0</v>
      </c>
      <c r="BN6365" t="s">
        <v>74</v>
      </c>
    </row>
    <row r="6366" spans="1:66">
      <c r="A6366">
        <v>104048</v>
      </c>
      <c r="B6366" s="3" t="s">
        <v>602</v>
      </c>
      <c r="C6366" s="1">
        <v>43300101</v>
      </c>
      <c r="D6366" t="s">
        <v>67</v>
      </c>
      <c r="H6366" t="str">
        <f t="shared" si="650"/>
        <v>00674840152</v>
      </c>
      <c r="I6366" t="str">
        <f t="shared" si="650"/>
        <v>00674840152</v>
      </c>
      <c r="K6366" t="str">
        <f>""</f>
        <v/>
      </c>
      <c r="M6366" t="s">
        <v>68</v>
      </c>
      <c r="N6366" t="str">
        <f t="shared" si="649"/>
        <v>FOR</v>
      </c>
      <c r="O6366" t="s">
        <v>69</v>
      </c>
      <c r="P6366" s="3" t="s">
        <v>75</v>
      </c>
      <c r="Q6366">
        <v>2016</v>
      </c>
      <c r="R6366" s="2">
        <v>42390</v>
      </c>
      <c r="S6366" s="2">
        <v>42395</v>
      </c>
      <c r="T6366" s="2">
        <v>42391</v>
      </c>
      <c r="U6366" s="2">
        <v>42451</v>
      </c>
      <c r="V6366" t="s">
        <v>71</v>
      </c>
      <c r="W6366" t="str">
        <f>"          5301703929"</f>
        <v xml:space="preserve">          5301703929</v>
      </c>
      <c r="X6366" s="1">
        <v>3685.01</v>
      </c>
      <c r="Y6366">
        <v>0</v>
      </c>
      <c r="Z6366" s="5">
        <v>3020.5</v>
      </c>
      <c r="AA6366">
        <v>241</v>
      </c>
      <c r="AB6366" s="5">
        <v>727940.5</v>
      </c>
      <c r="AC6366" s="1">
        <v>3020.5</v>
      </c>
      <c r="AD6366">
        <v>241</v>
      </c>
      <c r="AE6366" s="1">
        <v>727940.5</v>
      </c>
      <c r="AF6366">
        <v>0</v>
      </c>
      <c r="AJ6366">
        <v>0</v>
      </c>
      <c r="AK6366">
        <v>0</v>
      </c>
      <c r="AL6366">
        <v>0</v>
      </c>
      <c r="AM6366" s="1">
        <v>3685.01</v>
      </c>
      <c r="AN6366" s="1">
        <v>3685.01</v>
      </c>
      <c r="AO6366" s="1">
        <v>3685.01</v>
      </c>
      <c r="AP6366" s="2">
        <v>42746</v>
      </c>
      <c r="AQ6366" t="s">
        <v>72</v>
      </c>
      <c r="AR6366" t="s">
        <v>72</v>
      </c>
      <c r="AS6366">
        <v>3179</v>
      </c>
      <c r="AT6366" s="4">
        <v>42692</v>
      </c>
      <c r="AU6366" t="s">
        <v>73</v>
      </c>
      <c r="AV6366">
        <v>3179</v>
      </c>
      <c r="AW6366" s="4">
        <v>42692</v>
      </c>
      <c r="BD6366">
        <v>0</v>
      </c>
      <c r="BN6366" t="s">
        <v>74</v>
      </c>
    </row>
    <row r="6367" spans="1:66">
      <c r="A6367">
        <v>104048</v>
      </c>
      <c r="B6367" s="3" t="s">
        <v>602</v>
      </c>
      <c r="C6367" s="1">
        <v>43300101</v>
      </c>
      <c r="D6367" t="s">
        <v>67</v>
      </c>
      <c r="H6367" t="str">
        <f t="shared" si="650"/>
        <v>00674840152</v>
      </c>
      <c r="I6367" t="str">
        <f t="shared" si="650"/>
        <v>00674840152</v>
      </c>
      <c r="K6367" t="str">
        <f>""</f>
        <v/>
      </c>
      <c r="M6367" t="s">
        <v>68</v>
      </c>
      <c r="N6367" t="str">
        <f t="shared" si="649"/>
        <v>FOR</v>
      </c>
      <c r="O6367" t="s">
        <v>69</v>
      </c>
      <c r="P6367" s="3" t="s">
        <v>75</v>
      </c>
      <c r="Q6367">
        <v>2016</v>
      </c>
      <c r="R6367" s="2">
        <v>42390</v>
      </c>
      <c r="S6367" s="2">
        <v>42395</v>
      </c>
      <c r="T6367" s="2">
        <v>42391</v>
      </c>
      <c r="U6367" s="2">
        <v>42451</v>
      </c>
      <c r="V6367" t="s">
        <v>71</v>
      </c>
      <c r="W6367" t="str">
        <f>"          5301703930"</f>
        <v xml:space="preserve">          5301703930</v>
      </c>
      <c r="X6367">
        <v>722.04</v>
      </c>
      <c r="Y6367">
        <v>0</v>
      </c>
      <c r="Z6367" s="3">
        <v>591.84</v>
      </c>
      <c r="AA6367">
        <v>241</v>
      </c>
      <c r="AB6367" s="5">
        <v>142633.44</v>
      </c>
      <c r="AC6367">
        <v>591.84</v>
      </c>
      <c r="AD6367">
        <v>241</v>
      </c>
      <c r="AE6367" s="1">
        <v>142633.44</v>
      </c>
      <c r="AF6367">
        <v>0</v>
      </c>
      <c r="AJ6367">
        <v>0</v>
      </c>
      <c r="AK6367">
        <v>0</v>
      </c>
      <c r="AL6367">
        <v>0</v>
      </c>
      <c r="AM6367">
        <v>722.04</v>
      </c>
      <c r="AN6367">
        <v>722.04</v>
      </c>
      <c r="AO6367">
        <v>722.04</v>
      </c>
      <c r="AP6367" s="2">
        <v>42746</v>
      </c>
      <c r="AQ6367" t="s">
        <v>72</v>
      </c>
      <c r="AR6367" t="s">
        <v>72</v>
      </c>
      <c r="AS6367">
        <v>3179</v>
      </c>
      <c r="AT6367" s="4">
        <v>42692</v>
      </c>
      <c r="AU6367" t="s">
        <v>73</v>
      </c>
      <c r="AV6367">
        <v>3179</v>
      </c>
      <c r="AW6367" s="4">
        <v>42692</v>
      </c>
      <c r="BD6367">
        <v>0</v>
      </c>
      <c r="BN6367" t="s">
        <v>74</v>
      </c>
    </row>
    <row r="6368" spans="1:66">
      <c r="A6368">
        <v>104048</v>
      </c>
      <c r="B6368" s="3" t="s">
        <v>602</v>
      </c>
      <c r="C6368" s="1">
        <v>43300101</v>
      </c>
      <c r="D6368" t="s">
        <v>67</v>
      </c>
      <c r="H6368" t="str">
        <f t="shared" si="650"/>
        <v>00674840152</v>
      </c>
      <c r="I6368" t="str">
        <f t="shared" si="650"/>
        <v>00674840152</v>
      </c>
      <c r="K6368" t="str">
        <f>""</f>
        <v/>
      </c>
      <c r="M6368" t="s">
        <v>68</v>
      </c>
      <c r="N6368" t="str">
        <f t="shared" si="649"/>
        <v>FOR</v>
      </c>
      <c r="O6368" t="s">
        <v>69</v>
      </c>
      <c r="P6368" s="3" t="s">
        <v>75</v>
      </c>
      <c r="Q6368">
        <v>2016</v>
      </c>
      <c r="R6368" s="2">
        <v>42390</v>
      </c>
      <c r="S6368" s="2">
        <v>42395</v>
      </c>
      <c r="T6368" s="2">
        <v>42391</v>
      </c>
      <c r="U6368" s="2">
        <v>42451</v>
      </c>
      <c r="V6368" t="s">
        <v>71</v>
      </c>
      <c r="W6368" t="str">
        <f>"          5301703931"</f>
        <v xml:space="preserve">          5301703931</v>
      </c>
      <c r="X6368">
        <v>849.36</v>
      </c>
      <c r="Y6368">
        <v>0</v>
      </c>
      <c r="Z6368" s="3">
        <v>696.2</v>
      </c>
      <c r="AA6368">
        <v>241</v>
      </c>
      <c r="AB6368" s="5">
        <v>167784.2</v>
      </c>
      <c r="AC6368">
        <v>696.2</v>
      </c>
      <c r="AD6368">
        <v>241</v>
      </c>
      <c r="AE6368" s="1">
        <v>167784.2</v>
      </c>
      <c r="AF6368">
        <v>0</v>
      </c>
      <c r="AJ6368">
        <v>0</v>
      </c>
      <c r="AK6368">
        <v>0</v>
      </c>
      <c r="AL6368">
        <v>0</v>
      </c>
      <c r="AM6368">
        <v>849.36</v>
      </c>
      <c r="AN6368">
        <v>849.36</v>
      </c>
      <c r="AO6368">
        <v>849.36</v>
      </c>
      <c r="AP6368" s="2">
        <v>42746</v>
      </c>
      <c r="AQ6368" t="s">
        <v>72</v>
      </c>
      <c r="AR6368" t="s">
        <v>72</v>
      </c>
      <c r="AS6368">
        <v>3179</v>
      </c>
      <c r="AT6368" s="4">
        <v>42692</v>
      </c>
      <c r="AU6368" t="s">
        <v>73</v>
      </c>
      <c r="AV6368">
        <v>3179</v>
      </c>
      <c r="AW6368" s="4">
        <v>42692</v>
      </c>
      <c r="BD6368">
        <v>0</v>
      </c>
      <c r="BN6368" t="s">
        <v>74</v>
      </c>
    </row>
    <row r="6369" spans="1:66">
      <c r="A6369">
        <v>104048</v>
      </c>
      <c r="B6369" s="3" t="s">
        <v>602</v>
      </c>
      <c r="C6369" s="1">
        <v>43300101</v>
      </c>
      <c r="D6369" t="s">
        <v>67</v>
      </c>
      <c r="H6369" t="str">
        <f t="shared" si="650"/>
        <v>00674840152</v>
      </c>
      <c r="I6369" t="str">
        <f t="shared" si="650"/>
        <v>00674840152</v>
      </c>
      <c r="K6369" t="str">
        <f>""</f>
        <v/>
      </c>
      <c r="M6369" t="s">
        <v>68</v>
      </c>
      <c r="N6369" t="str">
        <f t="shared" si="649"/>
        <v>FOR</v>
      </c>
      <c r="O6369" t="s">
        <v>69</v>
      </c>
      <c r="P6369" s="3" t="s">
        <v>75</v>
      </c>
      <c r="Q6369">
        <v>2016</v>
      </c>
      <c r="R6369" s="2">
        <v>42391</v>
      </c>
      <c r="S6369" s="2">
        <v>42395</v>
      </c>
      <c r="T6369" s="2">
        <v>42392</v>
      </c>
      <c r="U6369" s="2">
        <v>42452</v>
      </c>
      <c r="V6369" t="s">
        <v>71</v>
      </c>
      <c r="W6369" t="str">
        <f>"          5301704481"</f>
        <v xml:space="preserve">          5301704481</v>
      </c>
      <c r="X6369" s="1">
        <v>2427.8000000000002</v>
      </c>
      <c r="Y6369">
        <v>0</v>
      </c>
      <c r="Z6369" s="5">
        <v>1990</v>
      </c>
      <c r="AA6369">
        <v>240</v>
      </c>
      <c r="AB6369" s="5">
        <v>477600</v>
      </c>
      <c r="AC6369" s="1">
        <v>1990</v>
      </c>
      <c r="AD6369">
        <v>240</v>
      </c>
      <c r="AE6369" s="1">
        <v>477600</v>
      </c>
      <c r="AF6369">
        <v>0</v>
      </c>
      <c r="AJ6369">
        <v>0</v>
      </c>
      <c r="AK6369">
        <v>0</v>
      </c>
      <c r="AL6369">
        <v>0</v>
      </c>
      <c r="AM6369" s="1">
        <v>2427.8000000000002</v>
      </c>
      <c r="AN6369" s="1">
        <v>2427.8000000000002</v>
      </c>
      <c r="AO6369" s="1">
        <v>2427.8000000000002</v>
      </c>
      <c r="AP6369" s="2">
        <v>42746</v>
      </c>
      <c r="AQ6369" t="s">
        <v>72</v>
      </c>
      <c r="AR6369" t="s">
        <v>72</v>
      </c>
      <c r="AS6369">
        <v>3179</v>
      </c>
      <c r="AT6369" s="4">
        <v>42692</v>
      </c>
      <c r="AU6369" t="s">
        <v>73</v>
      </c>
      <c r="AV6369">
        <v>3179</v>
      </c>
      <c r="AW6369" s="4">
        <v>42692</v>
      </c>
      <c r="BD6369">
        <v>0</v>
      </c>
      <c r="BN6369" t="s">
        <v>74</v>
      </c>
    </row>
    <row r="6370" spans="1:66">
      <c r="A6370">
        <v>104048</v>
      </c>
      <c r="B6370" s="3" t="s">
        <v>602</v>
      </c>
      <c r="C6370" s="1">
        <v>43300101</v>
      </c>
      <c r="D6370" t="s">
        <v>67</v>
      </c>
      <c r="H6370" t="str">
        <f t="shared" si="650"/>
        <v>00674840152</v>
      </c>
      <c r="I6370" t="str">
        <f t="shared" si="650"/>
        <v>00674840152</v>
      </c>
      <c r="K6370" t="str">
        <f>""</f>
        <v/>
      </c>
      <c r="M6370" t="s">
        <v>68</v>
      </c>
      <c r="N6370" t="str">
        <f t="shared" si="649"/>
        <v>FOR</v>
      </c>
      <c r="O6370" t="s">
        <v>69</v>
      </c>
      <c r="P6370" s="3" t="s">
        <v>75</v>
      </c>
      <c r="Q6370">
        <v>2016</v>
      </c>
      <c r="R6370" s="2">
        <v>42394</v>
      </c>
      <c r="S6370" s="2">
        <v>42395</v>
      </c>
      <c r="T6370" s="2">
        <v>42395</v>
      </c>
      <c r="U6370" s="2">
        <v>42455</v>
      </c>
      <c r="V6370" t="s">
        <v>71</v>
      </c>
      <c r="W6370" t="str">
        <f>"          5301705018"</f>
        <v xml:space="preserve">          5301705018</v>
      </c>
      <c r="X6370" s="1">
        <v>1258.21</v>
      </c>
      <c r="Y6370">
        <v>0</v>
      </c>
      <c r="Z6370" s="5">
        <v>1031.32</v>
      </c>
      <c r="AA6370">
        <v>237</v>
      </c>
      <c r="AB6370" s="5">
        <v>244422.84</v>
      </c>
      <c r="AC6370" s="1">
        <v>1031.32</v>
      </c>
      <c r="AD6370">
        <v>237</v>
      </c>
      <c r="AE6370" s="1">
        <v>244422.84</v>
      </c>
      <c r="AF6370">
        <v>0</v>
      </c>
      <c r="AJ6370">
        <v>0</v>
      </c>
      <c r="AK6370">
        <v>0</v>
      </c>
      <c r="AL6370">
        <v>0</v>
      </c>
      <c r="AM6370" s="1">
        <v>1258.21</v>
      </c>
      <c r="AN6370" s="1">
        <v>1258.21</v>
      </c>
      <c r="AO6370" s="1">
        <v>1258.21</v>
      </c>
      <c r="AP6370" s="2">
        <v>42746</v>
      </c>
      <c r="AQ6370" t="s">
        <v>72</v>
      </c>
      <c r="AR6370" t="s">
        <v>72</v>
      </c>
      <c r="AS6370">
        <v>3179</v>
      </c>
      <c r="AT6370" s="4">
        <v>42692</v>
      </c>
      <c r="AU6370" t="s">
        <v>73</v>
      </c>
      <c r="AV6370">
        <v>3179</v>
      </c>
      <c r="AW6370" s="4">
        <v>42692</v>
      </c>
      <c r="BD6370">
        <v>0</v>
      </c>
      <c r="BN6370" t="s">
        <v>74</v>
      </c>
    </row>
    <row r="6371" spans="1:66">
      <c r="A6371">
        <v>104048</v>
      </c>
      <c r="B6371" s="3" t="s">
        <v>602</v>
      </c>
      <c r="C6371" s="1">
        <v>43300101</v>
      </c>
      <c r="D6371" t="s">
        <v>67</v>
      </c>
      <c r="H6371" t="str">
        <f t="shared" si="650"/>
        <v>00674840152</v>
      </c>
      <c r="I6371" t="str">
        <f t="shared" si="650"/>
        <v>00674840152</v>
      </c>
      <c r="K6371" t="str">
        <f>""</f>
        <v/>
      </c>
      <c r="M6371" t="s">
        <v>68</v>
      </c>
      <c r="N6371" t="str">
        <f t="shared" si="649"/>
        <v>FOR</v>
      </c>
      <c r="O6371" t="s">
        <v>69</v>
      </c>
      <c r="P6371" s="3" t="s">
        <v>75</v>
      </c>
      <c r="Q6371">
        <v>2016</v>
      </c>
      <c r="R6371" s="2">
        <v>42395</v>
      </c>
      <c r="S6371" s="2">
        <v>42396</v>
      </c>
      <c r="T6371" s="2">
        <v>42396</v>
      </c>
      <c r="U6371" s="2">
        <v>42456</v>
      </c>
      <c r="V6371" t="s">
        <v>71</v>
      </c>
      <c r="W6371" t="str">
        <f>"          5301705174"</f>
        <v xml:space="preserve">          5301705174</v>
      </c>
      <c r="X6371" s="1">
        <v>4832.66</v>
      </c>
      <c r="Y6371">
        <v>0</v>
      </c>
      <c r="Z6371" s="5">
        <v>3961.2</v>
      </c>
      <c r="AA6371">
        <v>236</v>
      </c>
      <c r="AB6371" s="5">
        <v>934843.2</v>
      </c>
      <c r="AC6371" s="1">
        <v>3961.2</v>
      </c>
      <c r="AD6371">
        <v>236</v>
      </c>
      <c r="AE6371" s="1">
        <v>934843.2</v>
      </c>
      <c r="AF6371">
        <v>0</v>
      </c>
      <c r="AJ6371">
        <v>0</v>
      </c>
      <c r="AK6371">
        <v>0</v>
      </c>
      <c r="AL6371">
        <v>0</v>
      </c>
      <c r="AM6371" s="1">
        <v>4832.66</v>
      </c>
      <c r="AN6371" s="1">
        <v>4832.66</v>
      </c>
      <c r="AO6371" s="1">
        <v>4832.66</v>
      </c>
      <c r="AP6371" s="2">
        <v>42746</v>
      </c>
      <c r="AQ6371" t="s">
        <v>72</v>
      </c>
      <c r="AR6371" t="s">
        <v>72</v>
      </c>
      <c r="AS6371">
        <v>3179</v>
      </c>
      <c r="AT6371" s="4">
        <v>42692</v>
      </c>
      <c r="AU6371" t="s">
        <v>73</v>
      </c>
      <c r="AV6371">
        <v>3179</v>
      </c>
      <c r="AW6371" s="4">
        <v>42692</v>
      </c>
      <c r="BD6371">
        <v>0</v>
      </c>
      <c r="BN6371" t="s">
        <v>74</v>
      </c>
    </row>
    <row r="6372" spans="1:66">
      <c r="A6372">
        <v>104048</v>
      </c>
      <c r="B6372" s="3" t="s">
        <v>602</v>
      </c>
      <c r="C6372" s="1">
        <v>43300101</v>
      </c>
      <c r="D6372" t="s">
        <v>67</v>
      </c>
      <c r="H6372" t="str">
        <f t="shared" si="650"/>
        <v>00674840152</v>
      </c>
      <c r="I6372" t="str">
        <f t="shared" si="650"/>
        <v>00674840152</v>
      </c>
      <c r="K6372" t="str">
        <f>""</f>
        <v/>
      </c>
      <c r="M6372" t="s">
        <v>68</v>
      </c>
      <c r="N6372" t="str">
        <f t="shared" si="649"/>
        <v>FOR</v>
      </c>
      <c r="O6372" t="s">
        <v>69</v>
      </c>
      <c r="P6372" s="3" t="s">
        <v>75</v>
      </c>
      <c r="Q6372">
        <v>2016</v>
      </c>
      <c r="R6372" s="2">
        <v>42395</v>
      </c>
      <c r="S6372" s="2">
        <v>42396</v>
      </c>
      <c r="T6372" s="2">
        <v>42396</v>
      </c>
      <c r="U6372" s="2">
        <v>42456</v>
      </c>
      <c r="V6372" t="s">
        <v>71</v>
      </c>
      <c r="W6372" t="str">
        <f>"          5301705175"</f>
        <v xml:space="preserve">          5301705175</v>
      </c>
      <c r="X6372">
        <v>623.77</v>
      </c>
      <c r="Y6372">
        <v>0</v>
      </c>
      <c r="Z6372" s="3">
        <v>511.29</v>
      </c>
      <c r="AA6372">
        <v>236</v>
      </c>
      <c r="AB6372" s="5">
        <v>120664.44</v>
      </c>
      <c r="AC6372">
        <v>511.29</v>
      </c>
      <c r="AD6372">
        <v>236</v>
      </c>
      <c r="AE6372" s="1">
        <v>120664.44</v>
      </c>
      <c r="AF6372">
        <v>0</v>
      </c>
      <c r="AJ6372">
        <v>0</v>
      </c>
      <c r="AK6372">
        <v>0</v>
      </c>
      <c r="AL6372">
        <v>0</v>
      </c>
      <c r="AM6372">
        <v>623.77</v>
      </c>
      <c r="AN6372">
        <v>623.77</v>
      </c>
      <c r="AO6372">
        <v>623.77</v>
      </c>
      <c r="AP6372" s="2">
        <v>42746</v>
      </c>
      <c r="AQ6372" t="s">
        <v>72</v>
      </c>
      <c r="AR6372" t="s">
        <v>72</v>
      </c>
      <c r="AS6372">
        <v>3179</v>
      </c>
      <c r="AT6372" s="4">
        <v>42692</v>
      </c>
      <c r="AU6372" t="s">
        <v>73</v>
      </c>
      <c r="AV6372">
        <v>3179</v>
      </c>
      <c r="AW6372" s="4">
        <v>42692</v>
      </c>
      <c r="BD6372">
        <v>0</v>
      </c>
      <c r="BN6372" t="s">
        <v>74</v>
      </c>
    </row>
    <row r="6373" spans="1:66">
      <c r="A6373">
        <v>104048</v>
      </c>
      <c r="B6373" s="3" t="s">
        <v>602</v>
      </c>
      <c r="C6373" s="1">
        <v>43300101</v>
      </c>
      <c r="D6373" t="s">
        <v>67</v>
      </c>
      <c r="H6373" t="str">
        <f t="shared" si="650"/>
        <v>00674840152</v>
      </c>
      <c r="I6373" t="str">
        <f t="shared" si="650"/>
        <v>00674840152</v>
      </c>
      <c r="K6373" t="str">
        <f>""</f>
        <v/>
      </c>
      <c r="M6373" t="s">
        <v>68</v>
      </c>
      <c r="N6373" t="str">
        <f t="shared" si="649"/>
        <v>FOR</v>
      </c>
      <c r="O6373" t="s">
        <v>69</v>
      </c>
      <c r="P6373" s="3" t="s">
        <v>75</v>
      </c>
      <c r="Q6373">
        <v>2016</v>
      </c>
      <c r="R6373" s="2">
        <v>42396</v>
      </c>
      <c r="S6373" s="2">
        <v>42401</v>
      </c>
      <c r="T6373" s="2">
        <v>42397</v>
      </c>
      <c r="U6373" s="2">
        <v>42457</v>
      </c>
      <c r="V6373" t="s">
        <v>71</v>
      </c>
      <c r="W6373" t="str">
        <f>"          5301705653"</f>
        <v xml:space="preserve">          5301705653</v>
      </c>
      <c r="X6373">
        <v>211.63</v>
      </c>
      <c r="Y6373">
        <v>0</v>
      </c>
      <c r="Z6373" s="3">
        <v>173.47</v>
      </c>
      <c r="AA6373">
        <v>235</v>
      </c>
      <c r="AB6373" s="5">
        <v>40765.449999999997</v>
      </c>
      <c r="AC6373">
        <v>173.47</v>
      </c>
      <c r="AD6373">
        <v>235</v>
      </c>
      <c r="AE6373" s="1">
        <v>40765.449999999997</v>
      </c>
      <c r="AF6373">
        <v>0</v>
      </c>
      <c r="AJ6373">
        <v>0</v>
      </c>
      <c r="AK6373">
        <v>0</v>
      </c>
      <c r="AL6373">
        <v>0</v>
      </c>
      <c r="AM6373">
        <v>211.63</v>
      </c>
      <c r="AN6373">
        <v>211.63</v>
      </c>
      <c r="AO6373">
        <v>211.63</v>
      </c>
      <c r="AP6373" s="2">
        <v>42746</v>
      </c>
      <c r="AQ6373" t="s">
        <v>72</v>
      </c>
      <c r="AR6373" t="s">
        <v>72</v>
      </c>
      <c r="AS6373">
        <v>3179</v>
      </c>
      <c r="AT6373" s="4">
        <v>42692</v>
      </c>
      <c r="AU6373" t="s">
        <v>73</v>
      </c>
      <c r="AV6373">
        <v>3179</v>
      </c>
      <c r="AW6373" s="4">
        <v>42692</v>
      </c>
      <c r="BD6373">
        <v>0</v>
      </c>
      <c r="BN6373" t="s">
        <v>74</v>
      </c>
    </row>
    <row r="6374" spans="1:66">
      <c r="A6374">
        <v>104048</v>
      </c>
      <c r="B6374" s="3" t="s">
        <v>602</v>
      </c>
      <c r="C6374" s="1">
        <v>43300101</v>
      </c>
      <c r="D6374" t="s">
        <v>67</v>
      </c>
      <c r="H6374" t="str">
        <f t="shared" ref="H6374:I6393" si="651">"00674840152"</f>
        <v>00674840152</v>
      </c>
      <c r="I6374" t="str">
        <f t="shared" si="651"/>
        <v>00674840152</v>
      </c>
      <c r="K6374" t="str">
        <f>""</f>
        <v/>
      </c>
      <c r="M6374" t="s">
        <v>68</v>
      </c>
      <c r="N6374" t="str">
        <f t="shared" si="649"/>
        <v>FOR</v>
      </c>
      <c r="O6374" t="s">
        <v>69</v>
      </c>
      <c r="P6374" s="3" t="s">
        <v>75</v>
      </c>
      <c r="Q6374">
        <v>2016</v>
      </c>
      <c r="R6374" s="2">
        <v>42396</v>
      </c>
      <c r="S6374" s="2">
        <v>42401</v>
      </c>
      <c r="T6374" s="2">
        <v>42397</v>
      </c>
      <c r="U6374" s="2">
        <v>42457</v>
      </c>
      <c r="V6374" t="s">
        <v>71</v>
      </c>
      <c r="W6374" t="str">
        <f>"          5301705654"</f>
        <v xml:space="preserve">          5301705654</v>
      </c>
      <c r="X6374">
        <v>706.87</v>
      </c>
      <c r="Y6374">
        <v>0</v>
      </c>
      <c r="Z6374" s="3">
        <v>579.4</v>
      </c>
      <c r="AA6374">
        <v>235</v>
      </c>
      <c r="AB6374" s="5">
        <v>136159</v>
      </c>
      <c r="AC6374">
        <v>579.4</v>
      </c>
      <c r="AD6374">
        <v>235</v>
      </c>
      <c r="AE6374" s="1">
        <v>136159</v>
      </c>
      <c r="AF6374">
        <v>0</v>
      </c>
      <c r="AJ6374">
        <v>0</v>
      </c>
      <c r="AK6374">
        <v>0</v>
      </c>
      <c r="AL6374">
        <v>0</v>
      </c>
      <c r="AM6374">
        <v>706.87</v>
      </c>
      <c r="AN6374">
        <v>706.87</v>
      </c>
      <c r="AO6374">
        <v>706.87</v>
      </c>
      <c r="AP6374" s="2">
        <v>42746</v>
      </c>
      <c r="AQ6374" t="s">
        <v>72</v>
      </c>
      <c r="AR6374" t="s">
        <v>72</v>
      </c>
      <c r="AS6374">
        <v>3179</v>
      </c>
      <c r="AT6374" s="4">
        <v>42692</v>
      </c>
      <c r="AU6374" t="s">
        <v>73</v>
      </c>
      <c r="AV6374">
        <v>3179</v>
      </c>
      <c r="AW6374" s="4">
        <v>42692</v>
      </c>
      <c r="BD6374">
        <v>0</v>
      </c>
      <c r="BN6374" t="s">
        <v>74</v>
      </c>
    </row>
    <row r="6375" spans="1:66">
      <c r="A6375">
        <v>104048</v>
      </c>
      <c r="B6375" s="3" t="s">
        <v>602</v>
      </c>
      <c r="C6375" s="1">
        <v>43300101</v>
      </c>
      <c r="D6375" t="s">
        <v>67</v>
      </c>
      <c r="H6375" t="str">
        <f t="shared" si="651"/>
        <v>00674840152</v>
      </c>
      <c r="I6375" t="str">
        <f t="shared" si="651"/>
        <v>00674840152</v>
      </c>
      <c r="K6375" t="str">
        <f>""</f>
        <v/>
      </c>
      <c r="M6375" t="s">
        <v>68</v>
      </c>
      <c r="N6375" t="str">
        <f t="shared" si="649"/>
        <v>FOR</v>
      </c>
      <c r="O6375" t="s">
        <v>69</v>
      </c>
      <c r="P6375" s="3" t="s">
        <v>75</v>
      </c>
      <c r="Q6375">
        <v>2016</v>
      </c>
      <c r="R6375" s="2">
        <v>42398</v>
      </c>
      <c r="S6375" s="2">
        <v>42399</v>
      </c>
      <c r="T6375" s="2">
        <v>42399</v>
      </c>
      <c r="U6375" s="2">
        <v>42459</v>
      </c>
      <c r="V6375" t="s">
        <v>71</v>
      </c>
      <c r="W6375" t="str">
        <f>"          5301706224"</f>
        <v xml:space="preserve">          5301706224</v>
      </c>
      <c r="X6375" s="1">
        <v>1949.27</v>
      </c>
      <c r="Y6375">
        <v>0</v>
      </c>
      <c r="Z6375" s="5">
        <v>1597.76</v>
      </c>
      <c r="AA6375">
        <v>233</v>
      </c>
      <c r="AB6375" s="5">
        <v>372278.08</v>
      </c>
      <c r="AC6375" s="1">
        <v>1597.76</v>
      </c>
      <c r="AD6375">
        <v>233</v>
      </c>
      <c r="AE6375" s="1">
        <v>372278.08</v>
      </c>
      <c r="AF6375">
        <v>0</v>
      </c>
      <c r="AJ6375">
        <v>0</v>
      </c>
      <c r="AK6375">
        <v>0</v>
      </c>
      <c r="AL6375">
        <v>0</v>
      </c>
      <c r="AM6375" s="1">
        <v>1949.27</v>
      </c>
      <c r="AN6375" s="1">
        <v>1949.27</v>
      </c>
      <c r="AO6375" s="1">
        <v>1949.27</v>
      </c>
      <c r="AP6375" s="2">
        <v>42746</v>
      </c>
      <c r="AQ6375" t="s">
        <v>72</v>
      </c>
      <c r="AR6375" t="s">
        <v>72</v>
      </c>
      <c r="AS6375">
        <v>3179</v>
      </c>
      <c r="AT6375" s="4">
        <v>42692</v>
      </c>
      <c r="AU6375" t="s">
        <v>73</v>
      </c>
      <c r="AV6375">
        <v>3179</v>
      </c>
      <c r="AW6375" s="4">
        <v>42692</v>
      </c>
      <c r="BD6375">
        <v>0</v>
      </c>
      <c r="BN6375" t="s">
        <v>74</v>
      </c>
    </row>
    <row r="6376" spans="1:66">
      <c r="A6376">
        <v>104048</v>
      </c>
      <c r="B6376" s="3" t="s">
        <v>602</v>
      </c>
      <c r="C6376" s="1">
        <v>43300101</v>
      </c>
      <c r="D6376" t="s">
        <v>67</v>
      </c>
      <c r="H6376" t="str">
        <f t="shared" si="651"/>
        <v>00674840152</v>
      </c>
      <c r="I6376" t="str">
        <f t="shared" si="651"/>
        <v>00674840152</v>
      </c>
      <c r="K6376" t="str">
        <f>""</f>
        <v/>
      </c>
      <c r="M6376" t="s">
        <v>68</v>
      </c>
      <c r="N6376" t="str">
        <f t="shared" si="649"/>
        <v>FOR</v>
      </c>
      <c r="O6376" t="s">
        <v>69</v>
      </c>
      <c r="P6376" s="3" t="s">
        <v>75</v>
      </c>
      <c r="Q6376">
        <v>2016</v>
      </c>
      <c r="R6376" s="2">
        <v>42398</v>
      </c>
      <c r="S6376" s="2">
        <v>42399</v>
      </c>
      <c r="T6376" s="2">
        <v>42399</v>
      </c>
      <c r="U6376" s="2">
        <v>42459</v>
      </c>
      <c r="V6376" t="s">
        <v>71</v>
      </c>
      <c r="W6376" t="str">
        <f>"          5301706225"</f>
        <v xml:space="preserve">          5301706225</v>
      </c>
      <c r="X6376">
        <v>120.96</v>
      </c>
      <c r="Y6376">
        <v>0</v>
      </c>
      <c r="Z6376" s="3">
        <v>99.15</v>
      </c>
      <c r="AA6376">
        <v>233</v>
      </c>
      <c r="AB6376" s="5">
        <v>23101.95</v>
      </c>
      <c r="AC6376">
        <v>99.15</v>
      </c>
      <c r="AD6376">
        <v>233</v>
      </c>
      <c r="AE6376" s="1">
        <v>23101.95</v>
      </c>
      <c r="AF6376">
        <v>0</v>
      </c>
      <c r="AJ6376">
        <v>0</v>
      </c>
      <c r="AK6376">
        <v>0</v>
      </c>
      <c r="AL6376">
        <v>0</v>
      </c>
      <c r="AM6376">
        <v>120.96</v>
      </c>
      <c r="AN6376">
        <v>120.96</v>
      </c>
      <c r="AO6376">
        <v>120.96</v>
      </c>
      <c r="AP6376" s="2">
        <v>42746</v>
      </c>
      <c r="AQ6376" t="s">
        <v>72</v>
      </c>
      <c r="AR6376" t="s">
        <v>72</v>
      </c>
      <c r="AS6376">
        <v>3179</v>
      </c>
      <c r="AT6376" s="4">
        <v>42692</v>
      </c>
      <c r="AU6376" t="s">
        <v>73</v>
      </c>
      <c r="AV6376">
        <v>3179</v>
      </c>
      <c r="AW6376" s="4">
        <v>42692</v>
      </c>
      <c r="BD6376">
        <v>0</v>
      </c>
      <c r="BN6376" t="s">
        <v>74</v>
      </c>
    </row>
    <row r="6377" spans="1:66">
      <c r="A6377">
        <v>104048</v>
      </c>
      <c r="B6377" s="3" t="s">
        <v>602</v>
      </c>
      <c r="C6377" s="1">
        <v>43300101</v>
      </c>
      <c r="D6377" t="s">
        <v>67</v>
      </c>
      <c r="H6377" t="str">
        <f t="shared" si="651"/>
        <v>00674840152</v>
      </c>
      <c r="I6377" t="str">
        <f t="shared" si="651"/>
        <v>00674840152</v>
      </c>
      <c r="K6377" t="str">
        <f>""</f>
        <v/>
      </c>
      <c r="M6377" t="s">
        <v>68</v>
      </c>
      <c r="N6377" t="str">
        <f t="shared" si="649"/>
        <v>FOR</v>
      </c>
      <c r="O6377" t="s">
        <v>69</v>
      </c>
      <c r="P6377" s="3" t="s">
        <v>75</v>
      </c>
      <c r="Q6377">
        <v>2016</v>
      </c>
      <c r="R6377" s="2">
        <v>42398</v>
      </c>
      <c r="S6377" s="2">
        <v>42399</v>
      </c>
      <c r="T6377" s="2">
        <v>42399</v>
      </c>
      <c r="U6377" s="2">
        <v>42459</v>
      </c>
      <c r="V6377" t="s">
        <v>71</v>
      </c>
      <c r="W6377" t="str">
        <f>"          5301706226"</f>
        <v xml:space="preserve">          5301706226</v>
      </c>
      <c r="X6377" s="1">
        <v>1174.8599999999999</v>
      </c>
      <c r="Y6377">
        <v>0</v>
      </c>
      <c r="Z6377" s="3">
        <v>963</v>
      </c>
      <c r="AA6377">
        <v>233</v>
      </c>
      <c r="AB6377" s="5">
        <v>224379</v>
      </c>
      <c r="AC6377">
        <v>963</v>
      </c>
      <c r="AD6377">
        <v>233</v>
      </c>
      <c r="AE6377" s="1">
        <v>224379</v>
      </c>
      <c r="AF6377">
        <v>0</v>
      </c>
      <c r="AJ6377">
        <v>0</v>
      </c>
      <c r="AK6377">
        <v>0</v>
      </c>
      <c r="AL6377">
        <v>0</v>
      </c>
      <c r="AM6377" s="1">
        <v>1174.8599999999999</v>
      </c>
      <c r="AN6377" s="1">
        <v>1174.8599999999999</v>
      </c>
      <c r="AO6377" s="1">
        <v>1174.8599999999999</v>
      </c>
      <c r="AP6377" s="2">
        <v>42746</v>
      </c>
      <c r="AQ6377" t="s">
        <v>72</v>
      </c>
      <c r="AR6377" t="s">
        <v>72</v>
      </c>
      <c r="AS6377">
        <v>3179</v>
      </c>
      <c r="AT6377" s="4">
        <v>42692</v>
      </c>
      <c r="AU6377" t="s">
        <v>73</v>
      </c>
      <c r="AV6377">
        <v>3179</v>
      </c>
      <c r="AW6377" s="4">
        <v>42692</v>
      </c>
      <c r="BD6377">
        <v>0</v>
      </c>
      <c r="BN6377" t="s">
        <v>74</v>
      </c>
    </row>
    <row r="6378" spans="1:66">
      <c r="A6378">
        <v>104048</v>
      </c>
      <c r="B6378" s="3" t="s">
        <v>602</v>
      </c>
      <c r="C6378" s="1">
        <v>43300101</v>
      </c>
      <c r="D6378" t="s">
        <v>67</v>
      </c>
      <c r="H6378" t="str">
        <f t="shared" si="651"/>
        <v>00674840152</v>
      </c>
      <c r="I6378" t="str">
        <f t="shared" si="651"/>
        <v>00674840152</v>
      </c>
      <c r="K6378" t="str">
        <f>""</f>
        <v/>
      </c>
      <c r="M6378" t="s">
        <v>68</v>
      </c>
      <c r="N6378" t="str">
        <f t="shared" si="649"/>
        <v>FOR</v>
      </c>
      <c r="O6378" t="s">
        <v>69</v>
      </c>
      <c r="P6378" s="3" t="s">
        <v>75</v>
      </c>
      <c r="Q6378">
        <v>2016</v>
      </c>
      <c r="R6378" s="2">
        <v>42398</v>
      </c>
      <c r="S6378" s="2">
        <v>42399</v>
      </c>
      <c r="T6378" s="2">
        <v>42399</v>
      </c>
      <c r="U6378" s="2">
        <v>42459</v>
      </c>
      <c r="V6378" t="s">
        <v>71</v>
      </c>
      <c r="W6378" t="str">
        <f>"          5301706227"</f>
        <v xml:space="preserve">          5301706227</v>
      </c>
      <c r="X6378">
        <v>489.53</v>
      </c>
      <c r="Y6378">
        <v>0</v>
      </c>
      <c r="Z6378" s="3">
        <v>401.25</v>
      </c>
      <c r="AA6378">
        <v>233</v>
      </c>
      <c r="AB6378" s="5">
        <v>93491.25</v>
      </c>
      <c r="AC6378">
        <v>401.25</v>
      </c>
      <c r="AD6378">
        <v>233</v>
      </c>
      <c r="AE6378" s="1">
        <v>93491.25</v>
      </c>
      <c r="AF6378">
        <v>0</v>
      </c>
      <c r="AJ6378">
        <v>0</v>
      </c>
      <c r="AK6378">
        <v>0</v>
      </c>
      <c r="AL6378">
        <v>0</v>
      </c>
      <c r="AM6378">
        <v>489.53</v>
      </c>
      <c r="AN6378">
        <v>489.53</v>
      </c>
      <c r="AO6378">
        <v>489.53</v>
      </c>
      <c r="AP6378" s="2">
        <v>42746</v>
      </c>
      <c r="AQ6378" t="s">
        <v>72</v>
      </c>
      <c r="AR6378" t="s">
        <v>72</v>
      </c>
      <c r="AS6378">
        <v>3179</v>
      </c>
      <c r="AT6378" s="4">
        <v>42692</v>
      </c>
      <c r="AU6378" t="s">
        <v>73</v>
      </c>
      <c r="AV6378">
        <v>3179</v>
      </c>
      <c r="AW6378" s="4">
        <v>42692</v>
      </c>
      <c r="BD6378">
        <v>0</v>
      </c>
      <c r="BN6378" t="s">
        <v>74</v>
      </c>
    </row>
    <row r="6379" spans="1:66">
      <c r="A6379">
        <v>104048</v>
      </c>
      <c r="B6379" s="3" t="s">
        <v>602</v>
      </c>
      <c r="C6379" s="1">
        <v>43300101</v>
      </c>
      <c r="D6379" t="s">
        <v>67</v>
      </c>
      <c r="H6379" t="str">
        <f t="shared" si="651"/>
        <v>00674840152</v>
      </c>
      <c r="I6379" t="str">
        <f t="shared" si="651"/>
        <v>00674840152</v>
      </c>
      <c r="K6379" t="str">
        <f>""</f>
        <v/>
      </c>
      <c r="M6379" t="s">
        <v>68</v>
      </c>
      <c r="N6379" t="str">
        <f t="shared" si="649"/>
        <v>FOR</v>
      </c>
      <c r="O6379" t="s">
        <v>69</v>
      </c>
      <c r="P6379" s="3" t="s">
        <v>75</v>
      </c>
      <c r="Q6379">
        <v>2016</v>
      </c>
      <c r="R6379" s="2">
        <v>42398</v>
      </c>
      <c r="S6379" s="2">
        <v>42399</v>
      </c>
      <c r="T6379" s="2">
        <v>42399</v>
      </c>
      <c r="U6379" s="2">
        <v>42459</v>
      </c>
      <c r="V6379" t="s">
        <v>71</v>
      </c>
      <c r="W6379" t="str">
        <f>"          5301706228"</f>
        <v xml:space="preserve">          5301706228</v>
      </c>
      <c r="X6379">
        <v>560.71</v>
      </c>
      <c r="Y6379">
        <v>0</v>
      </c>
      <c r="Z6379" s="3">
        <v>459.6</v>
      </c>
      <c r="AA6379">
        <v>233</v>
      </c>
      <c r="AB6379" s="5">
        <v>107086.8</v>
      </c>
      <c r="AC6379">
        <v>459.6</v>
      </c>
      <c r="AD6379">
        <v>233</v>
      </c>
      <c r="AE6379" s="1">
        <v>107086.8</v>
      </c>
      <c r="AF6379">
        <v>0</v>
      </c>
      <c r="AJ6379">
        <v>0</v>
      </c>
      <c r="AK6379">
        <v>0</v>
      </c>
      <c r="AL6379">
        <v>0</v>
      </c>
      <c r="AM6379">
        <v>560.71</v>
      </c>
      <c r="AN6379">
        <v>560.71</v>
      </c>
      <c r="AO6379">
        <v>560.71</v>
      </c>
      <c r="AP6379" s="2">
        <v>42746</v>
      </c>
      <c r="AQ6379" t="s">
        <v>72</v>
      </c>
      <c r="AR6379" t="s">
        <v>72</v>
      </c>
      <c r="AS6379">
        <v>3179</v>
      </c>
      <c r="AT6379" s="4">
        <v>42692</v>
      </c>
      <c r="AU6379" t="s">
        <v>73</v>
      </c>
      <c r="AV6379">
        <v>3179</v>
      </c>
      <c r="AW6379" s="4">
        <v>42692</v>
      </c>
      <c r="BD6379">
        <v>0</v>
      </c>
      <c r="BN6379" t="s">
        <v>74</v>
      </c>
    </row>
    <row r="6380" spans="1:66">
      <c r="A6380">
        <v>104048</v>
      </c>
      <c r="B6380" s="3" t="s">
        <v>602</v>
      </c>
      <c r="C6380" s="1">
        <v>43300101</v>
      </c>
      <c r="D6380" t="s">
        <v>67</v>
      </c>
      <c r="H6380" t="str">
        <f t="shared" si="651"/>
        <v>00674840152</v>
      </c>
      <c r="I6380" t="str">
        <f t="shared" si="651"/>
        <v>00674840152</v>
      </c>
      <c r="K6380" t="str">
        <f>""</f>
        <v/>
      </c>
      <c r="M6380" t="s">
        <v>68</v>
      </c>
      <c r="N6380" t="str">
        <f t="shared" si="649"/>
        <v>FOR</v>
      </c>
      <c r="O6380" t="s">
        <v>69</v>
      </c>
      <c r="P6380" s="3" t="s">
        <v>75</v>
      </c>
      <c r="Q6380">
        <v>2016</v>
      </c>
      <c r="R6380" s="2">
        <v>42398</v>
      </c>
      <c r="S6380" s="2">
        <v>42399</v>
      </c>
      <c r="T6380" s="2">
        <v>42399</v>
      </c>
      <c r="U6380" s="2">
        <v>42459</v>
      </c>
      <c r="V6380" t="s">
        <v>71</v>
      </c>
      <c r="W6380" t="str">
        <f>"          5301706229"</f>
        <v xml:space="preserve">          5301706229</v>
      </c>
      <c r="X6380">
        <v>757.4</v>
      </c>
      <c r="Y6380">
        <v>0</v>
      </c>
      <c r="Z6380" s="3">
        <v>620.82000000000005</v>
      </c>
      <c r="AA6380">
        <v>233</v>
      </c>
      <c r="AB6380" s="5">
        <v>144651.06</v>
      </c>
      <c r="AC6380">
        <v>620.82000000000005</v>
      </c>
      <c r="AD6380">
        <v>233</v>
      </c>
      <c r="AE6380" s="1">
        <v>144651.06</v>
      </c>
      <c r="AF6380">
        <v>0</v>
      </c>
      <c r="AJ6380">
        <v>0</v>
      </c>
      <c r="AK6380">
        <v>0</v>
      </c>
      <c r="AL6380">
        <v>0</v>
      </c>
      <c r="AM6380">
        <v>757.4</v>
      </c>
      <c r="AN6380">
        <v>757.4</v>
      </c>
      <c r="AO6380">
        <v>757.4</v>
      </c>
      <c r="AP6380" s="2">
        <v>42746</v>
      </c>
      <c r="AQ6380" t="s">
        <v>72</v>
      </c>
      <c r="AR6380" t="s">
        <v>72</v>
      </c>
      <c r="AS6380">
        <v>3179</v>
      </c>
      <c r="AT6380" s="4">
        <v>42692</v>
      </c>
      <c r="AU6380" t="s">
        <v>73</v>
      </c>
      <c r="AV6380">
        <v>3179</v>
      </c>
      <c r="AW6380" s="4">
        <v>42692</v>
      </c>
      <c r="BD6380">
        <v>0</v>
      </c>
      <c r="BN6380" t="s">
        <v>74</v>
      </c>
    </row>
    <row r="6381" spans="1:66">
      <c r="A6381">
        <v>104048</v>
      </c>
      <c r="B6381" s="3" t="s">
        <v>602</v>
      </c>
      <c r="C6381" s="1">
        <v>43300101</v>
      </c>
      <c r="D6381" t="s">
        <v>67</v>
      </c>
      <c r="H6381" t="str">
        <f t="shared" si="651"/>
        <v>00674840152</v>
      </c>
      <c r="I6381" t="str">
        <f t="shared" si="651"/>
        <v>00674840152</v>
      </c>
      <c r="K6381" t="str">
        <f>""</f>
        <v/>
      </c>
      <c r="M6381" t="s">
        <v>68</v>
      </c>
      <c r="N6381" t="str">
        <f t="shared" si="649"/>
        <v>FOR</v>
      </c>
      <c r="O6381" t="s">
        <v>69</v>
      </c>
      <c r="P6381" s="3" t="s">
        <v>75</v>
      </c>
      <c r="Q6381">
        <v>2016</v>
      </c>
      <c r="R6381" s="2">
        <v>42398</v>
      </c>
      <c r="S6381" s="2">
        <v>42399</v>
      </c>
      <c r="T6381" s="2">
        <v>42399</v>
      </c>
      <c r="U6381" s="2">
        <v>42459</v>
      </c>
      <c r="V6381" t="s">
        <v>71</v>
      </c>
      <c r="W6381" t="str">
        <f>"          5301706230"</f>
        <v xml:space="preserve">          5301706230</v>
      </c>
      <c r="X6381">
        <v>64.290000000000006</v>
      </c>
      <c r="Y6381">
        <v>0</v>
      </c>
      <c r="Z6381" s="3">
        <v>52.7</v>
      </c>
      <c r="AA6381">
        <v>233</v>
      </c>
      <c r="AB6381" s="5">
        <v>12279.1</v>
      </c>
      <c r="AC6381">
        <v>52.7</v>
      </c>
      <c r="AD6381">
        <v>233</v>
      </c>
      <c r="AE6381" s="1">
        <v>12279.1</v>
      </c>
      <c r="AF6381">
        <v>0</v>
      </c>
      <c r="AJ6381">
        <v>0</v>
      </c>
      <c r="AK6381">
        <v>0</v>
      </c>
      <c r="AL6381">
        <v>0</v>
      </c>
      <c r="AM6381">
        <v>64.290000000000006</v>
      </c>
      <c r="AN6381">
        <v>64.290000000000006</v>
      </c>
      <c r="AO6381">
        <v>64.290000000000006</v>
      </c>
      <c r="AP6381" s="2">
        <v>42746</v>
      </c>
      <c r="AQ6381" t="s">
        <v>72</v>
      </c>
      <c r="AR6381" t="s">
        <v>72</v>
      </c>
      <c r="AS6381">
        <v>3179</v>
      </c>
      <c r="AT6381" s="4">
        <v>42692</v>
      </c>
      <c r="AU6381" t="s">
        <v>73</v>
      </c>
      <c r="AV6381">
        <v>3179</v>
      </c>
      <c r="AW6381" s="4">
        <v>42692</v>
      </c>
      <c r="BD6381">
        <v>0</v>
      </c>
      <c r="BN6381" t="s">
        <v>74</v>
      </c>
    </row>
    <row r="6382" spans="1:66">
      <c r="A6382">
        <v>104048</v>
      </c>
      <c r="B6382" s="3" t="s">
        <v>602</v>
      </c>
      <c r="C6382" s="1">
        <v>43300101</v>
      </c>
      <c r="D6382" t="s">
        <v>67</v>
      </c>
      <c r="H6382" t="str">
        <f t="shared" si="651"/>
        <v>00674840152</v>
      </c>
      <c r="I6382" t="str">
        <f t="shared" si="651"/>
        <v>00674840152</v>
      </c>
      <c r="K6382" t="str">
        <f>""</f>
        <v/>
      </c>
      <c r="M6382" t="s">
        <v>68</v>
      </c>
      <c r="N6382" t="str">
        <f t="shared" si="649"/>
        <v>FOR</v>
      </c>
      <c r="O6382" t="s">
        <v>69</v>
      </c>
      <c r="P6382" s="3" t="s">
        <v>75</v>
      </c>
      <c r="Q6382">
        <v>2016</v>
      </c>
      <c r="R6382" s="2">
        <v>42398</v>
      </c>
      <c r="S6382" s="2">
        <v>42399</v>
      </c>
      <c r="T6382" s="2">
        <v>42399</v>
      </c>
      <c r="U6382" s="2">
        <v>42459</v>
      </c>
      <c r="V6382" t="s">
        <v>71</v>
      </c>
      <c r="W6382" t="str">
        <f>"          5301706231"</f>
        <v xml:space="preserve">          5301706231</v>
      </c>
      <c r="X6382" s="1">
        <v>11126.4</v>
      </c>
      <c r="Y6382">
        <v>0</v>
      </c>
      <c r="Z6382" s="5">
        <v>9120</v>
      </c>
      <c r="AA6382">
        <v>233</v>
      </c>
      <c r="AB6382" s="5">
        <v>2124960</v>
      </c>
      <c r="AC6382" s="1">
        <v>9120</v>
      </c>
      <c r="AD6382">
        <v>233</v>
      </c>
      <c r="AE6382" s="1">
        <v>2124960</v>
      </c>
      <c r="AF6382">
        <v>0</v>
      </c>
      <c r="AJ6382">
        <v>0</v>
      </c>
      <c r="AK6382">
        <v>0</v>
      </c>
      <c r="AL6382">
        <v>0</v>
      </c>
      <c r="AM6382" s="1">
        <v>11126.4</v>
      </c>
      <c r="AN6382" s="1">
        <v>11126.4</v>
      </c>
      <c r="AO6382" s="1">
        <v>11126.4</v>
      </c>
      <c r="AP6382" s="2">
        <v>42746</v>
      </c>
      <c r="AQ6382" t="s">
        <v>72</v>
      </c>
      <c r="AR6382" t="s">
        <v>72</v>
      </c>
      <c r="AS6382">
        <v>3179</v>
      </c>
      <c r="AT6382" s="4">
        <v>42692</v>
      </c>
      <c r="AU6382" t="s">
        <v>73</v>
      </c>
      <c r="AV6382">
        <v>3179</v>
      </c>
      <c r="AW6382" s="4">
        <v>42692</v>
      </c>
      <c r="BD6382">
        <v>0</v>
      </c>
      <c r="BN6382" t="s">
        <v>74</v>
      </c>
    </row>
    <row r="6383" spans="1:66">
      <c r="A6383">
        <v>104048</v>
      </c>
      <c r="B6383" s="3" t="s">
        <v>602</v>
      </c>
      <c r="C6383" s="1">
        <v>43300101</v>
      </c>
      <c r="D6383" t="s">
        <v>67</v>
      </c>
      <c r="H6383" t="str">
        <f t="shared" si="651"/>
        <v>00674840152</v>
      </c>
      <c r="I6383" t="str">
        <f t="shared" si="651"/>
        <v>00674840152</v>
      </c>
      <c r="K6383" t="str">
        <f>""</f>
        <v/>
      </c>
      <c r="M6383" t="s">
        <v>68</v>
      </c>
      <c r="N6383" t="str">
        <f t="shared" si="649"/>
        <v>FOR</v>
      </c>
      <c r="O6383" t="s">
        <v>69</v>
      </c>
      <c r="P6383" s="3" t="s">
        <v>75</v>
      </c>
      <c r="Q6383">
        <v>2016</v>
      </c>
      <c r="R6383" s="2">
        <v>42398</v>
      </c>
      <c r="S6383" s="2">
        <v>42399</v>
      </c>
      <c r="T6383" s="2">
        <v>42399</v>
      </c>
      <c r="U6383" s="2">
        <v>42459</v>
      </c>
      <c r="V6383" t="s">
        <v>71</v>
      </c>
      <c r="W6383" t="str">
        <f>"          5301706232"</f>
        <v xml:space="preserve">          5301706232</v>
      </c>
      <c r="X6383" s="1">
        <v>16689.599999999999</v>
      </c>
      <c r="Y6383">
        <v>0</v>
      </c>
      <c r="Z6383" s="5">
        <v>13680</v>
      </c>
      <c r="AA6383">
        <v>233</v>
      </c>
      <c r="AB6383" s="5">
        <v>3187440</v>
      </c>
      <c r="AC6383" s="1">
        <v>13680</v>
      </c>
      <c r="AD6383">
        <v>233</v>
      </c>
      <c r="AE6383" s="1">
        <v>3187440</v>
      </c>
      <c r="AF6383">
        <v>0</v>
      </c>
      <c r="AJ6383">
        <v>0</v>
      </c>
      <c r="AK6383">
        <v>0</v>
      </c>
      <c r="AL6383">
        <v>0</v>
      </c>
      <c r="AM6383" s="1">
        <v>16689.599999999999</v>
      </c>
      <c r="AN6383" s="1">
        <v>16689.599999999999</v>
      </c>
      <c r="AO6383" s="1">
        <v>16689.599999999999</v>
      </c>
      <c r="AP6383" s="2">
        <v>42746</v>
      </c>
      <c r="AQ6383" t="s">
        <v>72</v>
      </c>
      <c r="AR6383" t="s">
        <v>72</v>
      </c>
      <c r="AS6383">
        <v>3179</v>
      </c>
      <c r="AT6383" s="4">
        <v>42692</v>
      </c>
      <c r="AU6383" t="s">
        <v>73</v>
      </c>
      <c r="AV6383">
        <v>3179</v>
      </c>
      <c r="AW6383" s="4">
        <v>42692</v>
      </c>
      <c r="BD6383">
        <v>0</v>
      </c>
      <c r="BN6383" t="s">
        <v>74</v>
      </c>
    </row>
    <row r="6384" spans="1:66">
      <c r="A6384">
        <v>104048</v>
      </c>
      <c r="B6384" s="3" t="s">
        <v>602</v>
      </c>
      <c r="C6384" s="1">
        <v>43300101</v>
      </c>
      <c r="D6384" t="s">
        <v>67</v>
      </c>
      <c r="H6384" t="str">
        <f t="shared" si="651"/>
        <v>00674840152</v>
      </c>
      <c r="I6384" t="str">
        <f t="shared" si="651"/>
        <v>00674840152</v>
      </c>
      <c r="K6384" t="str">
        <f>""</f>
        <v/>
      </c>
      <c r="M6384" t="s">
        <v>68</v>
      </c>
      <c r="N6384" t="str">
        <f t="shared" si="649"/>
        <v>FOR</v>
      </c>
      <c r="O6384" t="s">
        <v>69</v>
      </c>
      <c r="P6384" s="3" t="s">
        <v>75</v>
      </c>
      <c r="Q6384">
        <v>2016</v>
      </c>
      <c r="R6384" s="2">
        <v>42398</v>
      </c>
      <c r="S6384" s="2">
        <v>42401</v>
      </c>
      <c r="T6384" s="2">
        <v>42399</v>
      </c>
      <c r="U6384" s="2">
        <v>42459</v>
      </c>
      <c r="V6384" t="s">
        <v>71</v>
      </c>
      <c r="W6384" t="str">
        <f>"          5301706233"</f>
        <v xml:space="preserve">          5301706233</v>
      </c>
      <c r="X6384">
        <v>87.51</v>
      </c>
      <c r="Y6384">
        <v>0</v>
      </c>
      <c r="Z6384" s="3">
        <v>71.73</v>
      </c>
      <c r="AA6384">
        <v>233</v>
      </c>
      <c r="AB6384" s="5">
        <v>16713.09</v>
      </c>
      <c r="AC6384">
        <v>71.73</v>
      </c>
      <c r="AD6384">
        <v>233</v>
      </c>
      <c r="AE6384" s="1">
        <v>16713.09</v>
      </c>
      <c r="AF6384">
        <v>0</v>
      </c>
      <c r="AJ6384">
        <v>0</v>
      </c>
      <c r="AK6384">
        <v>0</v>
      </c>
      <c r="AL6384">
        <v>0</v>
      </c>
      <c r="AM6384">
        <v>87.51</v>
      </c>
      <c r="AN6384">
        <v>87.51</v>
      </c>
      <c r="AO6384">
        <v>87.51</v>
      </c>
      <c r="AP6384" s="2">
        <v>42746</v>
      </c>
      <c r="AQ6384" t="s">
        <v>72</v>
      </c>
      <c r="AR6384" t="s">
        <v>72</v>
      </c>
      <c r="AS6384">
        <v>3179</v>
      </c>
      <c r="AT6384" s="4">
        <v>42692</v>
      </c>
      <c r="AU6384" t="s">
        <v>73</v>
      </c>
      <c r="AV6384">
        <v>3179</v>
      </c>
      <c r="AW6384" s="4">
        <v>42692</v>
      </c>
      <c r="BD6384">
        <v>0</v>
      </c>
      <c r="BN6384" t="s">
        <v>74</v>
      </c>
    </row>
    <row r="6385" spans="1:66">
      <c r="A6385">
        <v>104048</v>
      </c>
      <c r="B6385" s="3" t="s">
        <v>602</v>
      </c>
      <c r="C6385" s="1">
        <v>43300101</v>
      </c>
      <c r="D6385" t="s">
        <v>67</v>
      </c>
      <c r="H6385" t="str">
        <f t="shared" si="651"/>
        <v>00674840152</v>
      </c>
      <c r="I6385" t="str">
        <f t="shared" si="651"/>
        <v>00674840152</v>
      </c>
      <c r="K6385" t="str">
        <f>""</f>
        <v/>
      </c>
      <c r="M6385" t="s">
        <v>68</v>
      </c>
      <c r="N6385" t="str">
        <f t="shared" si="649"/>
        <v>FOR</v>
      </c>
      <c r="O6385" t="s">
        <v>69</v>
      </c>
      <c r="P6385" s="3" t="s">
        <v>75</v>
      </c>
      <c r="Q6385">
        <v>2016</v>
      </c>
      <c r="R6385" s="2">
        <v>42409</v>
      </c>
      <c r="S6385" s="2">
        <v>42411</v>
      </c>
      <c r="T6385" s="2">
        <v>42410</v>
      </c>
      <c r="U6385" s="2">
        <v>42470</v>
      </c>
      <c r="V6385" t="s">
        <v>71</v>
      </c>
      <c r="W6385" t="str">
        <f>"          5301708758"</f>
        <v xml:space="preserve">          5301708758</v>
      </c>
      <c r="X6385">
        <v>71.44</v>
      </c>
      <c r="Y6385">
        <v>0</v>
      </c>
      <c r="Z6385" s="3">
        <v>58.56</v>
      </c>
      <c r="AA6385">
        <v>249</v>
      </c>
      <c r="AB6385" s="5">
        <v>14581.44</v>
      </c>
      <c r="AC6385">
        <v>58.56</v>
      </c>
      <c r="AD6385">
        <v>249</v>
      </c>
      <c r="AE6385" s="1">
        <v>14581.44</v>
      </c>
      <c r="AF6385">
        <v>12.88</v>
      </c>
      <c r="AJ6385">
        <v>0</v>
      </c>
      <c r="AK6385">
        <v>0</v>
      </c>
      <c r="AL6385">
        <v>0</v>
      </c>
      <c r="AM6385">
        <v>71.44</v>
      </c>
      <c r="AN6385">
        <v>71.44</v>
      </c>
      <c r="AO6385">
        <v>71.44</v>
      </c>
      <c r="AP6385" s="2">
        <v>42746</v>
      </c>
      <c r="AQ6385" t="s">
        <v>72</v>
      </c>
      <c r="AR6385" t="s">
        <v>72</v>
      </c>
      <c r="AS6385">
        <v>3525</v>
      </c>
      <c r="AT6385" s="4">
        <v>42719</v>
      </c>
      <c r="AU6385" t="s">
        <v>73</v>
      </c>
      <c r="AV6385">
        <v>3525</v>
      </c>
      <c r="AW6385" s="4">
        <v>42719</v>
      </c>
      <c r="BD6385">
        <v>12.88</v>
      </c>
      <c r="BN6385" t="s">
        <v>74</v>
      </c>
    </row>
    <row r="6386" spans="1:66">
      <c r="A6386">
        <v>104048</v>
      </c>
      <c r="B6386" s="3" t="s">
        <v>602</v>
      </c>
      <c r="C6386" s="1">
        <v>43300101</v>
      </c>
      <c r="D6386" t="s">
        <v>67</v>
      </c>
      <c r="H6386" t="str">
        <f t="shared" si="651"/>
        <v>00674840152</v>
      </c>
      <c r="I6386" t="str">
        <f t="shared" si="651"/>
        <v>00674840152</v>
      </c>
      <c r="K6386" t="str">
        <f>""</f>
        <v/>
      </c>
      <c r="M6386" t="s">
        <v>68</v>
      </c>
      <c r="N6386" t="str">
        <f t="shared" si="649"/>
        <v>FOR</v>
      </c>
      <c r="O6386" t="s">
        <v>69</v>
      </c>
      <c r="P6386" s="3" t="s">
        <v>75</v>
      </c>
      <c r="Q6386">
        <v>2016</v>
      </c>
      <c r="R6386" s="2">
        <v>42412</v>
      </c>
      <c r="S6386" s="2">
        <v>42417</v>
      </c>
      <c r="T6386" s="2">
        <v>42413</v>
      </c>
      <c r="U6386" s="2">
        <v>42473</v>
      </c>
      <c r="V6386" t="s">
        <v>71</v>
      </c>
      <c r="W6386" t="str">
        <f>"          5301709536"</f>
        <v xml:space="preserve">          5301709536</v>
      </c>
      <c r="X6386">
        <v>928.91</v>
      </c>
      <c r="Y6386">
        <v>0</v>
      </c>
      <c r="Z6386" s="3">
        <v>761.4</v>
      </c>
      <c r="AA6386">
        <v>246</v>
      </c>
      <c r="AB6386" s="5">
        <v>187304.4</v>
      </c>
      <c r="AC6386">
        <v>761.4</v>
      </c>
      <c r="AD6386">
        <v>246</v>
      </c>
      <c r="AE6386" s="1">
        <v>187304.4</v>
      </c>
      <c r="AF6386">
        <v>167.51</v>
      </c>
      <c r="AJ6386">
        <v>0</v>
      </c>
      <c r="AK6386">
        <v>0</v>
      </c>
      <c r="AL6386">
        <v>0</v>
      </c>
      <c r="AM6386">
        <v>928.91</v>
      </c>
      <c r="AN6386">
        <v>928.91</v>
      </c>
      <c r="AO6386">
        <v>928.91</v>
      </c>
      <c r="AP6386" s="2">
        <v>42746</v>
      </c>
      <c r="AQ6386" t="s">
        <v>72</v>
      </c>
      <c r="AR6386" t="s">
        <v>72</v>
      </c>
      <c r="AS6386">
        <v>3525</v>
      </c>
      <c r="AT6386" s="4">
        <v>42719</v>
      </c>
      <c r="AU6386" t="s">
        <v>73</v>
      </c>
      <c r="AV6386">
        <v>3525</v>
      </c>
      <c r="AW6386" s="4">
        <v>42719</v>
      </c>
      <c r="BD6386">
        <v>167.51</v>
      </c>
      <c r="BN6386" t="s">
        <v>74</v>
      </c>
    </row>
    <row r="6387" spans="1:66">
      <c r="A6387">
        <v>104048</v>
      </c>
      <c r="B6387" s="3" t="s">
        <v>602</v>
      </c>
      <c r="C6387" s="1">
        <v>43300101</v>
      </c>
      <c r="D6387" t="s">
        <v>67</v>
      </c>
      <c r="H6387" t="str">
        <f t="shared" si="651"/>
        <v>00674840152</v>
      </c>
      <c r="I6387" t="str">
        <f t="shared" si="651"/>
        <v>00674840152</v>
      </c>
      <c r="K6387" t="str">
        <f>""</f>
        <v/>
      </c>
      <c r="M6387" t="s">
        <v>68</v>
      </c>
      <c r="N6387" t="str">
        <f t="shared" si="649"/>
        <v>FOR</v>
      </c>
      <c r="O6387" t="s">
        <v>69</v>
      </c>
      <c r="P6387" s="3" t="s">
        <v>75</v>
      </c>
      <c r="Q6387">
        <v>2016</v>
      </c>
      <c r="R6387" s="2">
        <v>42412</v>
      </c>
      <c r="S6387" s="2">
        <v>42417</v>
      </c>
      <c r="T6387" s="2">
        <v>42413</v>
      </c>
      <c r="U6387" s="2">
        <v>42473</v>
      </c>
      <c r="V6387" t="s">
        <v>71</v>
      </c>
      <c r="W6387" t="str">
        <f>"          5301709537"</f>
        <v xml:space="preserve">          5301709537</v>
      </c>
      <c r="X6387">
        <v>164.92</v>
      </c>
      <c r="Y6387">
        <v>0</v>
      </c>
      <c r="Z6387" s="3">
        <v>135.18</v>
      </c>
      <c r="AA6387">
        <v>246</v>
      </c>
      <c r="AB6387" s="5">
        <v>33254.28</v>
      </c>
      <c r="AC6387">
        <v>135.18</v>
      </c>
      <c r="AD6387">
        <v>246</v>
      </c>
      <c r="AE6387" s="1">
        <v>33254.28</v>
      </c>
      <c r="AF6387">
        <v>29.74</v>
      </c>
      <c r="AJ6387">
        <v>0</v>
      </c>
      <c r="AK6387">
        <v>0</v>
      </c>
      <c r="AL6387">
        <v>0</v>
      </c>
      <c r="AM6387">
        <v>164.92</v>
      </c>
      <c r="AN6387">
        <v>164.92</v>
      </c>
      <c r="AO6387">
        <v>164.92</v>
      </c>
      <c r="AP6387" s="2">
        <v>42746</v>
      </c>
      <c r="AQ6387" t="s">
        <v>72</v>
      </c>
      <c r="AR6387" t="s">
        <v>72</v>
      </c>
      <c r="AS6387">
        <v>3525</v>
      </c>
      <c r="AT6387" s="4">
        <v>42719</v>
      </c>
      <c r="AU6387" t="s">
        <v>73</v>
      </c>
      <c r="AV6387">
        <v>3525</v>
      </c>
      <c r="AW6387" s="4">
        <v>42719</v>
      </c>
      <c r="BD6387">
        <v>29.74</v>
      </c>
      <c r="BN6387" t="s">
        <v>74</v>
      </c>
    </row>
    <row r="6388" spans="1:66">
      <c r="A6388">
        <v>104048</v>
      </c>
      <c r="B6388" s="3" t="s">
        <v>602</v>
      </c>
      <c r="C6388" s="1">
        <v>43300101</v>
      </c>
      <c r="D6388" t="s">
        <v>67</v>
      </c>
      <c r="H6388" t="str">
        <f t="shared" si="651"/>
        <v>00674840152</v>
      </c>
      <c r="I6388" t="str">
        <f t="shared" si="651"/>
        <v>00674840152</v>
      </c>
      <c r="K6388" t="str">
        <f>""</f>
        <v/>
      </c>
      <c r="M6388" t="s">
        <v>68</v>
      </c>
      <c r="N6388" t="str">
        <f t="shared" si="649"/>
        <v>FOR</v>
      </c>
      <c r="O6388" t="s">
        <v>69</v>
      </c>
      <c r="P6388" s="3" t="s">
        <v>75</v>
      </c>
      <c r="Q6388">
        <v>2016</v>
      </c>
      <c r="R6388" s="2">
        <v>42412</v>
      </c>
      <c r="S6388" s="2">
        <v>42417</v>
      </c>
      <c r="T6388" s="2">
        <v>42413</v>
      </c>
      <c r="U6388" s="2">
        <v>42473</v>
      </c>
      <c r="V6388" t="s">
        <v>71</v>
      </c>
      <c r="W6388" t="str">
        <f>"          5301709538"</f>
        <v xml:space="preserve">          5301709538</v>
      </c>
      <c r="X6388">
        <v>102.08</v>
      </c>
      <c r="Y6388">
        <v>0</v>
      </c>
      <c r="Z6388" s="3">
        <v>83.67</v>
      </c>
      <c r="AA6388">
        <v>246</v>
      </c>
      <c r="AB6388" s="5">
        <v>20582.82</v>
      </c>
      <c r="AC6388">
        <v>83.67</v>
      </c>
      <c r="AD6388">
        <v>246</v>
      </c>
      <c r="AE6388" s="1">
        <v>20582.82</v>
      </c>
      <c r="AF6388">
        <v>18.41</v>
      </c>
      <c r="AJ6388">
        <v>0</v>
      </c>
      <c r="AK6388">
        <v>0</v>
      </c>
      <c r="AL6388">
        <v>0</v>
      </c>
      <c r="AM6388">
        <v>102.08</v>
      </c>
      <c r="AN6388">
        <v>102.08</v>
      </c>
      <c r="AO6388">
        <v>102.08</v>
      </c>
      <c r="AP6388" s="2">
        <v>42746</v>
      </c>
      <c r="AQ6388" t="s">
        <v>72</v>
      </c>
      <c r="AR6388" t="s">
        <v>72</v>
      </c>
      <c r="AS6388">
        <v>3525</v>
      </c>
      <c r="AT6388" s="4">
        <v>42719</v>
      </c>
      <c r="AU6388" t="s">
        <v>73</v>
      </c>
      <c r="AV6388">
        <v>3525</v>
      </c>
      <c r="AW6388" s="4">
        <v>42719</v>
      </c>
      <c r="BD6388">
        <v>18.41</v>
      </c>
      <c r="BN6388" t="s">
        <v>74</v>
      </c>
    </row>
    <row r="6389" spans="1:66">
      <c r="A6389">
        <v>104048</v>
      </c>
      <c r="B6389" s="3" t="s">
        <v>602</v>
      </c>
      <c r="C6389" s="1">
        <v>43300101</v>
      </c>
      <c r="D6389" t="s">
        <v>67</v>
      </c>
      <c r="H6389" t="str">
        <f t="shared" si="651"/>
        <v>00674840152</v>
      </c>
      <c r="I6389" t="str">
        <f t="shared" si="651"/>
        <v>00674840152</v>
      </c>
      <c r="K6389" t="str">
        <f>""</f>
        <v/>
      </c>
      <c r="M6389" t="s">
        <v>68</v>
      </c>
      <c r="N6389" t="str">
        <f t="shared" si="649"/>
        <v>FOR</v>
      </c>
      <c r="O6389" t="s">
        <v>69</v>
      </c>
      <c r="P6389" s="3" t="s">
        <v>75</v>
      </c>
      <c r="Q6389">
        <v>2016</v>
      </c>
      <c r="R6389" s="2">
        <v>42412</v>
      </c>
      <c r="S6389" s="2">
        <v>42417</v>
      </c>
      <c r="T6389" s="2">
        <v>42413</v>
      </c>
      <c r="U6389" s="2">
        <v>42473</v>
      </c>
      <c r="V6389" t="s">
        <v>71</v>
      </c>
      <c r="W6389" t="str">
        <f>"          5301709539"</f>
        <v xml:space="preserve">          5301709539</v>
      </c>
      <c r="X6389">
        <v>97.83</v>
      </c>
      <c r="Y6389">
        <v>0</v>
      </c>
      <c r="Z6389" s="3">
        <v>80.19</v>
      </c>
      <c r="AA6389">
        <v>246</v>
      </c>
      <c r="AB6389" s="5">
        <v>19726.740000000002</v>
      </c>
      <c r="AC6389">
        <v>80.19</v>
      </c>
      <c r="AD6389">
        <v>246</v>
      </c>
      <c r="AE6389" s="1">
        <v>19726.740000000002</v>
      </c>
      <c r="AF6389">
        <v>17.64</v>
      </c>
      <c r="AJ6389">
        <v>0</v>
      </c>
      <c r="AK6389">
        <v>0</v>
      </c>
      <c r="AL6389">
        <v>0</v>
      </c>
      <c r="AM6389">
        <v>97.83</v>
      </c>
      <c r="AN6389">
        <v>97.83</v>
      </c>
      <c r="AO6389">
        <v>97.83</v>
      </c>
      <c r="AP6389" s="2">
        <v>42746</v>
      </c>
      <c r="AQ6389" t="s">
        <v>72</v>
      </c>
      <c r="AR6389" t="s">
        <v>72</v>
      </c>
      <c r="AS6389">
        <v>3525</v>
      </c>
      <c r="AT6389" s="4">
        <v>42719</v>
      </c>
      <c r="AU6389" t="s">
        <v>73</v>
      </c>
      <c r="AV6389">
        <v>3525</v>
      </c>
      <c r="AW6389" s="4">
        <v>42719</v>
      </c>
      <c r="BD6389">
        <v>17.64</v>
      </c>
      <c r="BN6389" t="s">
        <v>74</v>
      </c>
    </row>
    <row r="6390" spans="1:66">
      <c r="A6390">
        <v>104048</v>
      </c>
      <c r="B6390" s="3" t="s">
        <v>602</v>
      </c>
      <c r="C6390" s="1">
        <v>43300101</v>
      </c>
      <c r="D6390" t="s">
        <v>67</v>
      </c>
      <c r="H6390" t="str">
        <f t="shared" si="651"/>
        <v>00674840152</v>
      </c>
      <c r="I6390" t="str">
        <f t="shared" si="651"/>
        <v>00674840152</v>
      </c>
      <c r="K6390" t="str">
        <f>""</f>
        <v/>
      </c>
      <c r="M6390" t="s">
        <v>68</v>
      </c>
      <c r="N6390" t="str">
        <f t="shared" si="649"/>
        <v>FOR</v>
      </c>
      <c r="O6390" t="s">
        <v>69</v>
      </c>
      <c r="P6390" s="3" t="s">
        <v>75</v>
      </c>
      <c r="Q6390">
        <v>2016</v>
      </c>
      <c r="R6390" s="2">
        <v>42416</v>
      </c>
      <c r="S6390" s="2">
        <v>42417</v>
      </c>
      <c r="T6390" s="2">
        <v>42417</v>
      </c>
      <c r="U6390" s="2">
        <v>42477</v>
      </c>
      <c r="V6390" t="s">
        <v>71</v>
      </c>
      <c r="W6390" t="str">
        <f>"          5301710159"</f>
        <v xml:space="preserve">          5301710159</v>
      </c>
      <c r="X6390">
        <v>195.66</v>
      </c>
      <c r="Y6390">
        <v>0</v>
      </c>
      <c r="Z6390" s="3">
        <v>160.38</v>
      </c>
      <c r="AA6390">
        <v>242</v>
      </c>
      <c r="AB6390" s="5">
        <v>38811.96</v>
      </c>
      <c r="AC6390">
        <v>160.38</v>
      </c>
      <c r="AD6390">
        <v>242</v>
      </c>
      <c r="AE6390" s="1">
        <v>38811.96</v>
      </c>
      <c r="AF6390">
        <v>35.28</v>
      </c>
      <c r="AJ6390">
        <v>0</v>
      </c>
      <c r="AK6390">
        <v>0</v>
      </c>
      <c r="AL6390">
        <v>0</v>
      </c>
      <c r="AM6390">
        <v>195.66</v>
      </c>
      <c r="AN6390">
        <v>195.66</v>
      </c>
      <c r="AO6390">
        <v>195.66</v>
      </c>
      <c r="AP6390" s="2">
        <v>42746</v>
      </c>
      <c r="AQ6390" t="s">
        <v>72</v>
      </c>
      <c r="AR6390" t="s">
        <v>72</v>
      </c>
      <c r="AS6390">
        <v>3525</v>
      </c>
      <c r="AT6390" s="4">
        <v>42719</v>
      </c>
      <c r="AU6390" t="s">
        <v>73</v>
      </c>
      <c r="AV6390">
        <v>3525</v>
      </c>
      <c r="AW6390" s="4">
        <v>42719</v>
      </c>
      <c r="BD6390">
        <v>35.28</v>
      </c>
      <c r="BN6390" t="s">
        <v>74</v>
      </c>
    </row>
    <row r="6391" spans="1:66">
      <c r="A6391">
        <v>104048</v>
      </c>
      <c r="B6391" s="3" t="s">
        <v>602</v>
      </c>
      <c r="C6391" s="1">
        <v>43300101</v>
      </c>
      <c r="D6391" t="s">
        <v>67</v>
      </c>
      <c r="H6391" t="str">
        <f t="shared" si="651"/>
        <v>00674840152</v>
      </c>
      <c r="I6391" t="str">
        <f t="shared" si="651"/>
        <v>00674840152</v>
      </c>
      <c r="K6391" t="str">
        <f>""</f>
        <v/>
      </c>
      <c r="M6391" t="s">
        <v>68</v>
      </c>
      <c r="N6391" t="str">
        <f t="shared" si="649"/>
        <v>FOR</v>
      </c>
      <c r="O6391" t="s">
        <v>69</v>
      </c>
      <c r="P6391" s="3" t="s">
        <v>75</v>
      </c>
      <c r="Q6391">
        <v>2016</v>
      </c>
      <c r="R6391" s="2">
        <v>42416</v>
      </c>
      <c r="S6391" s="2">
        <v>42417</v>
      </c>
      <c r="T6391" s="2">
        <v>42417</v>
      </c>
      <c r="U6391" s="2">
        <v>42477</v>
      </c>
      <c r="V6391" t="s">
        <v>71</v>
      </c>
      <c r="W6391" t="str">
        <f>"          5301710160"</f>
        <v xml:space="preserve">          5301710160</v>
      </c>
      <c r="X6391">
        <v>204.15</v>
      </c>
      <c r="Y6391">
        <v>0</v>
      </c>
      <c r="Z6391" s="3">
        <v>167.34</v>
      </c>
      <c r="AA6391">
        <v>242</v>
      </c>
      <c r="AB6391" s="5">
        <v>40496.28</v>
      </c>
      <c r="AC6391">
        <v>167.34</v>
      </c>
      <c r="AD6391">
        <v>242</v>
      </c>
      <c r="AE6391" s="1">
        <v>40496.28</v>
      </c>
      <c r="AF6391">
        <v>36.81</v>
      </c>
      <c r="AJ6391">
        <v>0</v>
      </c>
      <c r="AK6391">
        <v>0</v>
      </c>
      <c r="AL6391">
        <v>0</v>
      </c>
      <c r="AM6391">
        <v>204.15</v>
      </c>
      <c r="AN6391">
        <v>204.15</v>
      </c>
      <c r="AO6391">
        <v>204.15</v>
      </c>
      <c r="AP6391" s="2">
        <v>42746</v>
      </c>
      <c r="AQ6391" t="s">
        <v>72</v>
      </c>
      <c r="AR6391" t="s">
        <v>72</v>
      </c>
      <c r="AS6391">
        <v>3525</v>
      </c>
      <c r="AT6391" s="4">
        <v>42719</v>
      </c>
      <c r="AU6391" t="s">
        <v>73</v>
      </c>
      <c r="AV6391">
        <v>3525</v>
      </c>
      <c r="AW6391" s="4">
        <v>42719</v>
      </c>
      <c r="BD6391">
        <v>36.81</v>
      </c>
      <c r="BN6391" t="s">
        <v>74</v>
      </c>
    </row>
    <row r="6392" spans="1:66">
      <c r="A6392">
        <v>104048</v>
      </c>
      <c r="B6392" s="3" t="s">
        <v>602</v>
      </c>
      <c r="C6392" s="1">
        <v>43300101</v>
      </c>
      <c r="D6392" t="s">
        <v>67</v>
      </c>
      <c r="H6392" t="str">
        <f t="shared" si="651"/>
        <v>00674840152</v>
      </c>
      <c r="I6392" t="str">
        <f t="shared" si="651"/>
        <v>00674840152</v>
      </c>
      <c r="K6392" t="str">
        <f>""</f>
        <v/>
      </c>
      <c r="M6392" t="s">
        <v>68</v>
      </c>
      <c r="N6392" t="str">
        <f t="shared" si="649"/>
        <v>FOR</v>
      </c>
      <c r="O6392" t="s">
        <v>69</v>
      </c>
      <c r="P6392" s="3" t="s">
        <v>75</v>
      </c>
      <c r="Q6392">
        <v>2016</v>
      </c>
      <c r="R6392" s="2">
        <v>42416</v>
      </c>
      <c r="S6392" s="2">
        <v>42417</v>
      </c>
      <c r="T6392" s="2">
        <v>42417</v>
      </c>
      <c r="U6392" s="2">
        <v>42477</v>
      </c>
      <c r="V6392" t="s">
        <v>71</v>
      </c>
      <c r="W6392" t="str">
        <f>"          5301710161"</f>
        <v xml:space="preserve">          5301710161</v>
      </c>
      <c r="X6392">
        <v>884.5</v>
      </c>
      <c r="Y6392">
        <v>0</v>
      </c>
      <c r="Z6392" s="3">
        <v>725</v>
      </c>
      <c r="AA6392">
        <v>242</v>
      </c>
      <c r="AB6392" s="5">
        <v>175450</v>
      </c>
      <c r="AC6392">
        <v>725</v>
      </c>
      <c r="AD6392">
        <v>242</v>
      </c>
      <c r="AE6392" s="1">
        <v>175450</v>
      </c>
      <c r="AF6392">
        <v>159.5</v>
      </c>
      <c r="AJ6392">
        <v>0</v>
      </c>
      <c r="AK6392">
        <v>0</v>
      </c>
      <c r="AL6392">
        <v>0</v>
      </c>
      <c r="AM6392">
        <v>884.5</v>
      </c>
      <c r="AN6392">
        <v>884.5</v>
      </c>
      <c r="AO6392">
        <v>884.5</v>
      </c>
      <c r="AP6392" s="2">
        <v>42746</v>
      </c>
      <c r="AQ6392" t="s">
        <v>72</v>
      </c>
      <c r="AR6392" t="s">
        <v>72</v>
      </c>
      <c r="AS6392">
        <v>3525</v>
      </c>
      <c r="AT6392" s="4">
        <v>42719</v>
      </c>
      <c r="AU6392" t="s">
        <v>73</v>
      </c>
      <c r="AV6392">
        <v>3525</v>
      </c>
      <c r="AW6392" s="4">
        <v>42719</v>
      </c>
      <c r="BD6392">
        <v>159.5</v>
      </c>
      <c r="BN6392" t="s">
        <v>74</v>
      </c>
    </row>
    <row r="6393" spans="1:66">
      <c r="A6393">
        <v>104048</v>
      </c>
      <c r="B6393" s="3" t="s">
        <v>602</v>
      </c>
      <c r="C6393" s="1">
        <v>43300101</v>
      </c>
      <c r="D6393" t="s">
        <v>67</v>
      </c>
      <c r="H6393" t="str">
        <f t="shared" si="651"/>
        <v>00674840152</v>
      </c>
      <c r="I6393" t="str">
        <f t="shared" si="651"/>
        <v>00674840152</v>
      </c>
      <c r="K6393" t="str">
        <f>""</f>
        <v/>
      </c>
      <c r="M6393" t="s">
        <v>68</v>
      </c>
      <c r="N6393" t="str">
        <f t="shared" si="649"/>
        <v>FOR</v>
      </c>
      <c r="O6393" t="s">
        <v>69</v>
      </c>
      <c r="P6393" s="3" t="s">
        <v>75</v>
      </c>
      <c r="Q6393">
        <v>2016</v>
      </c>
      <c r="R6393" s="2">
        <v>42416</v>
      </c>
      <c r="S6393" s="2">
        <v>42417</v>
      </c>
      <c r="T6393" s="2">
        <v>42417</v>
      </c>
      <c r="U6393" s="2">
        <v>42477</v>
      </c>
      <c r="V6393" t="s">
        <v>71</v>
      </c>
      <c r="W6393" t="str">
        <f>"          5301710162"</f>
        <v xml:space="preserve">          5301710162</v>
      </c>
      <c r="X6393">
        <v>142.88999999999999</v>
      </c>
      <c r="Y6393">
        <v>0</v>
      </c>
      <c r="Z6393" s="3">
        <v>117.12</v>
      </c>
      <c r="AA6393">
        <v>242</v>
      </c>
      <c r="AB6393" s="5">
        <v>28343.040000000001</v>
      </c>
      <c r="AC6393">
        <v>117.12</v>
      </c>
      <c r="AD6393">
        <v>242</v>
      </c>
      <c r="AE6393" s="1">
        <v>28343.040000000001</v>
      </c>
      <c r="AF6393">
        <v>25.77</v>
      </c>
      <c r="AJ6393">
        <v>0</v>
      </c>
      <c r="AK6393">
        <v>0</v>
      </c>
      <c r="AL6393">
        <v>0</v>
      </c>
      <c r="AM6393">
        <v>142.88999999999999</v>
      </c>
      <c r="AN6393">
        <v>142.88999999999999</v>
      </c>
      <c r="AO6393">
        <v>142.88999999999999</v>
      </c>
      <c r="AP6393" s="2">
        <v>42746</v>
      </c>
      <c r="AQ6393" t="s">
        <v>72</v>
      </c>
      <c r="AR6393" t="s">
        <v>72</v>
      </c>
      <c r="AS6393">
        <v>3525</v>
      </c>
      <c r="AT6393" s="4">
        <v>42719</v>
      </c>
      <c r="AU6393" t="s">
        <v>73</v>
      </c>
      <c r="AV6393">
        <v>3525</v>
      </c>
      <c r="AW6393" s="4">
        <v>42719</v>
      </c>
      <c r="BD6393">
        <v>25.77</v>
      </c>
      <c r="BN6393" t="s">
        <v>74</v>
      </c>
    </row>
    <row r="6394" spans="1:66">
      <c r="A6394">
        <v>104048</v>
      </c>
      <c r="B6394" s="3" t="s">
        <v>602</v>
      </c>
      <c r="C6394" s="1">
        <v>43300101</v>
      </c>
      <c r="D6394" t="s">
        <v>67</v>
      </c>
      <c r="H6394" t="str">
        <f t="shared" ref="H6394:I6413" si="652">"00674840152"</f>
        <v>00674840152</v>
      </c>
      <c r="I6394" t="str">
        <f t="shared" si="652"/>
        <v>00674840152</v>
      </c>
      <c r="K6394" t="str">
        <f>""</f>
        <v/>
      </c>
      <c r="M6394" t="s">
        <v>68</v>
      </c>
      <c r="N6394" t="str">
        <f t="shared" si="649"/>
        <v>FOR</v>
      </c>
      <c r="O6394" t="s">
        <v>69</v>
      </c>
      <c r="P6394" s="3" t="s">
        <v>75</v>
      </c>
      <c r="Q6394">
        <v>2016</v>
      </c>
      <c r="R6394" s="2">
        <v>42417</v>
      </c>
      <c r="S6394" s="2">
        <v>42418</v>
      </c>
      <c r="T6394" s="2">
        <v>42418</v>
      </c>
      <c r="U6394" s="2">
        <v>42478</v>
      </c>
      <c r="V6394" t="s">
        <v>71</v>
      </c>
      <c r="W6394" t="str">
        <f>"          5301710463"</f>
        <v xml:space="preserve">          5301710463</v>
      </c>
      <c r="X6394">
        <v>776.16</v>
      </c>
      <c r="Y6394">
        <v>0</v>
      </c>
      <c r="Z6394" s="3">
        <v>705.6</v>
      </c>
      <c r="AA6394">
        <v>241</v>
      </c>
      <c r="AB6394" s="5">
        <v>170049.6</v>
      </c>
      <c r="AC6394">
        <v>705.6</v>
      </c>
      <c r="AD6394">
        <v>241</v>
      </c>
      <c r="AE6394" s="1">
        <v>170049.6</v>
      </c>
      <c r="AF6394">
        <v>70.56</v>
      </c>
      <c r="AJ6394">
        <v>0</v>
      </c>
      <c r="AK6394">
        <v>0</v>
      </c>
      <c r="AL6394">
        <v>0</v>
      </c>
      <c r="AM6394">
        <v>776.16</v>
      </c>
      <c r="AN6394">
        <v>776.16</v>
      </c>
      <c r="AO6394">
        <v>776.16</v>
      </c>
      <c r="AP6394" s="2">
        <v>42746</v>
      </c>
      <c r="AQ6394" t="s">
        <v>72</v>
      </c>
      <c r="AR6394" t="s">
        <v>72</v>
      </c>
      <c r="AS6394">
        <v>3525</v>
      </c>
      <c r="AT6394" s="4">
        <v>42719</v>
      </c>
      <c r="AU6394" t="s">
        <v>73</v>
      </c>
      <c r="AV6394">
        <v>3525</v>
      </c>
      <c r="AW6394" s="4">
        <v>42719</v>
      </c>
      <c r="BD6394">
        <v>70.56</v>
      </c>
      <c r="BN6394" t="s">
        <v>74</v>
      </c>
    </row>
    <row r="6395" spans="1:66">
      <c r="A6395">
        <v>104048</v>
      </c>
      <c r="B6395" s="3" t="s">
        <v>602</v>
      </c>
      <c r="C6395" s="1">
        <v>43300101</v>
      </c>
      <c r="D6395" t="s">
        <v>67</v>
      </c>
      <c r="H6395" t="str">
        <f t="shared" si="652"/>
        <v>00674840152</v>
      </c>
      <c r="I6395" t="str">
        <f t="shared" si="652"/>
        <v>00674840152</v>
      </c>
      <c r="K6395" t="str">
        <f>""</f>
        <v/>
      </c>
      <c r="M6395" t="s">
        <v>68</v>
      </c>
      <c r="N6395" t="str">
        <f t="shared" si="649"/>
        <v>FOR</v>
      </c>
      <c r="O6395" t="s">
        <v>69</v>
      </c>
      <c r="P6395" s="3" t="s">
        <v>75</v>
      </c>
      <c r="Q6395">
        <v>2016</v>
      </c>
      <c r="R6395" s="2">
        <v>42417</v>
      </c>
      <c r="S6395" s="2">
        <v>42418</v>
      </c>
      <c r="T6395" s="2">
        <v>42418</v>
      </c>
      <c r="U6395" s="2">
        <v>42478</v>
      </c>
      <c r="V6395" t="s">
        <v>71</v>
      </c>
      <c r="W6395" t="str">
        <f>"          5301710464"</f>
        <v xml:space="preserve">          5301710464</v>
      </c>
      <c r="X6395" s="1">
        <v>3294</v>
      </c>
      <c r="Y6395">
        <v>0</v>
      </c>
      <c r="Z6395" s="5">
        <v>2700</v>
      </c>
      <c r="AA6395">
        <v>241</v>
      </c>
      <c r="AB6395" s="5">
        <v>650700</v>
      </c>
      <c r="AC6395" s="1">
        <v>2700</v>
      </c>
      <c r="AD6395">
        <v>241</v>
      </c>
      <c r="AE6395" s="1">
        <v>650700</v>
      </c>
      <c r="AF6395">
        <v>594</v>
      </c>
      <c r="AJ6395">
        <v>0</v>
      </c>
      <c r="AK6395">
        <v>0</v>
      </c>
      <c r="AL6395">
        <v>0</v>
      </c>
      <c r="AM6395" s="1">
        <v>3294</v>
      </c>
      <c r="AN6395" s="1">
        <v>3294</v>
      </c>
      <c r="AO6395" s="1">
        <v>3294</v>
      </c>
      <c r="AP6395" s="2">
        <v>42746</v>
      </c>
      <c r="AQ6395" t="s">
        <v>72</v>
      </c>
      <c r="AR6395" t="s">
        <v>72</v>
      </c>
      <c r="AS6395">
        <v>3525</v>
      </c>
      <c r="AT6395" s="4">
        <v>42719</v>
      </c>
      <c r="AU6395" t="s">
        <v>73</v>
      </c>
      <c r="AV6395">
        <v>3525</v>
      </c>
      <c r="AW6395" s="4">
        <v>42719</v>
      </c>
      <c r="BD6395">
        <v>594</v>
      </c>
      <c r="BN6395" t="s">
        <v>74</v>
      </c>
    </row>
    <row r="6396" spans="1:66">
      <c r="A6396">
        <v>104048</v>
      </c>
      <c r="B6396" s="3" t="s">
        <v>602</v>
      </c>
      <c r="C6396" s="1">
        <v>43300101</v>
      </c>
      <c r="D6396" t="s">
        <v>67</v>
      </c>
      <c r="H6396" t="str">
        <f t="shared" si="652"/>
        <v>00674840152</v>
      </c>
      <c r="I6396" t="str">
        <f t="shared" si="652"/>
        <v>00674840152</v>
      </c>
      <c r="K6396" t="str">
        <f>""</f>
        <v/>
      </c>
      <c r="M6396" t="s">
        <v>68</v>
      </c>
      <c r="N6396" t="str">
        <f t="shared" si="649"/>
        <v>FOR</v>
      </c>
      <c r="O6396" t="s">
        <v>69</v>
      </c>
      <c r="P6396" s="3" t="s">
        <v>75</v>
      </c>
      <c r="Q6396">
        <v>2016</v>
      </c>
      <c r="R6396" s="2">
        <v>42417</v>
      </c>
      <c r="S6396" s="2">
        <v>42418</v>
      </c>
      <c r="T6396" s="2">
        <v>42418</v>
      </c>
      <c r="U6396" s="2">
        <v>42478</v>
      </c>
      <c r="V6396" t="s">
        <v>71</v>
      </c>
      <c r="W6396" t="str">
        <f>"          5301710465"</f>
        <v xml:space="preserve">          5301710465</v>
      </c>
      <c r="X6396" s="1">
        <v>6371.33</v>
      </c>
      <c r="Y6396">
        <v>0</v>
      </c>
      <c r="Z6396" s="5">
        <v>5222.3999999999996</v>
      </c>
      <c r="AA6396">
        <v>241</v>
      </c>
      <c r="AB6396" s="5">
        <v>1258598.3999999999</v>
      </c>
      <c r="AC6396" s="1">
        <v>5222.3999999999996</v>
      </c>
      <c r="AD6396">
        <v>241</v>
      </c>
      <c r="AE6396" s="1">
        <v>1258598.3999999999</v>
      </c>
      <c r="AF6396" s="1">
        <v>1148.93</v>
      </c>
      <c r="AJ6396">
        <v>0</v>
      </c>
      <c r="AK6396">
        <v>0</v>
      </c>
      <c r="AL6396">
        <v>0</v>
      </c>
      <c r="AM6396" s="1">
        <v>6371.33</v>
      </c>
      <c r="AN6396" s="1">
        <v>6371.33</v>
      </c>
      <c r="AO6396" s="1">
        <v>6371.33</v>
      </c>
      <c r="AP6396" s="2">
        <v>42746</v>
      </c>
      <c r="AQ6396" t="s">
        <v>72</v>
      </c>
      <c r="AR6396" t="s">
        <v>72</v>
      </c>
      <c r="AS6396">
        <v>3525</v>
      </c>
      <c r="AT6396" s="4">
        <v>42719</v>
      </c>
      <c r="AU6396" t="s">
        <v>73</v>
      </c>
      <c r="AV6396">
        <v>3525</v>
      </c>
      <c r="AW6396" s="4">
        <v>42719</v>
      </c>
      <c r="BD6396" s="1">
        <v>1148.93</v>
      </c>
      <c r="BN6396" t="s">
        <v>74</v>
      </c>
    </row>
    <row r="6397" spans="1:66">
      <c r="A6397">
        <v>104048</v>
      </c>
      <c r="B6397" s="3" t="s">
        <v>602</v>
      </c>
      <c r="C6397" s="1">
        <v>43300101</v>
      </c>
      <c r="D6397" t="s">
        <v>67</v>
      </c>
      <c r="H6397" t="str">
        <f t="shared" si="652"/>
        <v>00674840152</v>
      </c>
      <c r="I6397" t="str">
        <f t="shared" si="652"/>
        <v>00674840152</v>
      </c>
      <c r="K6397" t="str">
        <f>""</f>
        <v/>
      </c>
      <c r="M6397" t="s">
        <v>68</v>
      </c>
      <c r="N6397" t="str">
        <f t="shared" si="649"/>
        <v>FOR</v>
      </c>
      <c r="O6397" t="s">
        <v>69</v>
      </c>
      <c r="P6397" s="3" t="s">
        <v>75</v>
      </c>
      <c r="Q6397">
        <v>2016</v>
      </c>
      <c r="R6397" s="2">
        <v>42423</v>
      </c>
      <c r="S6397" s="2">
        <v>42425</v>
      </c>
      <c r="T6397" s="2">
        <v>42424</v>
      </c>
      <c r="U6397" s="2">
        <v>42484</v>
      </c>
      <c r="V6397" t="s">
        <v>71</v>
      </c>
      <c r="W6397" t="str">
        <f>"          5301711824"</f>
        <v xml:space="preserve">          5301711824</v>
      </c>
      <c r="X6397" s="1">
        <v>1464</v>
      </c>
      <c r="Y6397">
        <v>0</v>
      </c>
      <c r="Z6397" s="5">
        <v>1200</v>
      </c>
      <c r="AA6397">
        <v>235</v>
      </c>
      <c r="AB6397" s="5">
        <v>282000</v>
      </c>
      <c r="AC6397" s="1">
        <v>1200</v>
      </c>
      <c r="AD6397">
        <v>235</v>
      </c>
      <c r="AE6397" s="1">
        <v>282000</v>
      </c>
      <c r="AF6397">
        <v>264</v>
      </c>
      <c r="AJ6397">
        <v>0</v>
      </c>
      <c r="AK6397">
        <v>0</v>
      </c>
      <c r="AL6397">
        <v>0</v>
      </c>
      <c r="AM6397" s="1">
        <v>1464</v>
      </c>
      <c r="AN6397" s="1">
        <v>1464</v>
      </c>
      <c r="AO6397" s="1">
        <v>1464</v>
      </c>
      <c r="AP6397" s="2">
        <v>42746</v>
      </c>
      <c r="AQ6397" t="s">
        <v>72</v>
      </c>
      <c r="AR6397" t="s">
        <v>72</v>
      </c>
      <c r="AS6397">
        <v>3525</v>
      </c>
      <c r="AT6397" s="4">
        <v>42719</v>
      </c>
      <c r="AU6397" t="s">
        <v>73</v>
      </c>
      <c r="AV6397">
        <v>3525</v>
      </c>
      <c r="AW6397" s="4">
        <v>42719</v>
      </c>
      <c r="BD6397">
        <v>264</v>
      </c>
      <c r="BN6397" t="s">
        <v>74</v>
      </c>
    </row>
    <row r="6398" spans="1:66">
      <c r="A6398">
        <v>104048</v>
      </c>
      <c r="B6398" s="3" t="s">
        <v>602</v>
      </c>
      <c r="C6398" s="1">
        <v>43300101</v>
      </c>
      <c r="D6398" t="s">
        <v>67</v>
      </c>
      <c r="H6398" t="str">
        <f t="shared" si="652"/>
        <v>00674840152</v>
      </c>
      <c r="I6398" t="str">
        <f t="shared" si="652"/>
        <v>00674840152</v>
      </c>
      <c r="K6398" t="str">
        <f>""</f>
        <v/>
      </c>
      <c r="M6398" t="s">
        <v>68</v>
      </c>
      <c r="N6398" t="str">
        <f t="shared" si="649"/>
        <v>FOR</v>
      </c>
      <c r="O6398" t="s">
        <v>69</v>
      </c>
      <c r="P6398" s="3" t="s">
        <v>75</v>
      </c>
      <c r="Q6398">
        <v>2016</v>
      </c>
      <c r="R6398" s="2">
        <v>42423</v>
      </c>
      <c r="S6398" s="2">
        <v>42425</v>
      </c>
      <c r="T6398" s="2">
        <v>42424</v>
      </c>
      <c r="U6398" s="2">
        <v>42484</v>
      </c>
      <c r="V6398" t="s">
        <v>71</v>
      </c>
      <c r="W6398" t="str">
        <f>"          5301711825"</f>
        <v xml:space="preserve">          5301711825</v>
      </c>
      <c r="X6398">
        <v>66.25</v>
      </c>
      <c r="Y6398">
        <v>0</v>
      </c>
      <c r="Z6398" s="3">
        <v>54.3</v>
      </c>
      <c r="AA6398">
        <v>235</v>
      </c>
      <c r="AB6398" s="5">
        <v>12760.5</v>
      </c>
      <c r="AC6398">
        <v>54.3</v>
      </c>
      <c r="AD6398">
        <v>235</v>
      </c>
      <c r="AE6398" s="1">
        <v>12760.5</v>
      </c>
      <c r="AF6398">
        <v>11.95</v>
      </c>
      <c r="AJ6398">
        <v>0</v>
      </c>
      <c r="AK6398">
        <v>0</v>
      </c>
      <c r="AL6398">
        <v>0</v>
      </c>
      <c r="AM6398">
        <v>66.25</v>
      </c>
      <c r="AN6398">
        <v>66.25</v>
      </c>
      <c r="AO6398">
        <v>66.25</v>
      </c>
      <c r="AP6398" s="2">
        <v>42746</v>
      </c>
      <c r="AQ6398" t="s">
        <v>72</v>
      </c>
      <c r="AR6398" t="s">
        <v>72</v>
      </c>
      <c r="AS6398">
        <v>3525</v>
      </c>
      <c r="AT6398" s="4">
        <v>42719</v>
      </c>
      <c r="AU6398" t="s">
        <v>73</v>
      </c>
      <c r="AV6398">
        <v>3525</v>
      </c>
      <c r="AW6398" s="4">
        <v>42719</v>
      </c>
      <c r="BD6398">
        <v>11.95</v>
      </c>
      <c r="BN6398" t="s">
        <v>74</v>
      </c>
    </row>
    <row r="6399" spans="1:66">
      <c r="A6399">
        <v>104048</v>
      </c>
      <c r="B6399" s="3" t="s">
        <v>602</v>
      </c>
      <c r="C6399" s="1">
        <v>43300101</v>
      </c>
      <c r="D6399" t="s">
        <v>67</v>
      </c>
      <c r="H6399" t="str">
        <f t="shared" si="652"/>
        <v>00674840152</v>
      </c>
      <c r="I6399" t="str">
        <f t="shared" si="652"/>
        <v>00674840152</v>
      </c>
      <c r="K6399" t="str">
        <f>""</f>
        <v/>
      </c>
      <c r="M6399" t="s">
        <v>68</v>
      </c>
      <c r="N6399" t="str">
        <f t="shared" si="649"/>
        <v>FOR</v>
      </c>
      <c r="O6399" t="s">
        <v>69</v>
      </c>
      <c r="P6399" s="3" t="s">
        <v>75</v>
      </c>
      <c r="Q6399">
        <v>2016</v>
      </c>
      <c r="R6399" s="2">
        <v>42423</v>
      </c>
      <c r="S6399" s="2">
        <v>42425</v>
      </c>
      <c r="T6399" s="2">
        <v>42424</v>
      </c>
      <c r="U6399" s="2">
        <v>42484</v>
      </c>
      <c r="V6399" t="s">
        <v>71</v>
      </c>
      <c r="W6399" t="str">
        <f>"          5301711826"</f>
        <v xml:space="preserve">          5301711826</v>
      </c>
      <c r="X6399">
        <v>66.25</v>
      </c>
      <c r="Y6399">
        <v>0</v>
      </c>
      <c r="Z6399" s="3">
        <v>54.3</v>
      </c>
      <c r="AA6399">
        <v>235</v>
      </c>
      <c r="AB6399" s="5">
        <v>12760.5</v>
      </c>
      <c r="AC6399">
        <v>54.3</v>
      </c>
      <c r="AD6399">
        <v>235</v>
      </c>
      <c r="AE6399" s="1">
        <v>12760.5</v>
      </c>
      <c r="AF6399">
        <v>11.95</v>
      </c>
      <c r="AJ6399">
        <v>0</v>
      </c>
      <c r="AK6399">
        <v>0</v>
      </c>
      <c r="AL6399">
        <v>0</v>
      </c>
      <c r="AM6399">
        <v>66.25</v>
      </c>
      <c r="AN6399">
        <v>66.25</v>
      </c>
      <c r="AO6399">
        <v>66.25</v>
      </c>
      <c r="AP6399" s="2">
        <v>42746</v>
      </c>
      <c r="AQ6399" t="s">
        <v>72</v>
      </c>
      <c r="AR6399" t="s">
        <v>72</v>
      </c>
      <c r="AS6399">
        <v>3525</v>
      </c>
      <c r="AT6399" s="4">
        <v>42719</v>
      </c>
      <c r="AU6399" t="s">
        <v>73</v>
      </c>
      <c r="AV6399">
        <v>3525</v>
      </c>
      <c r="AW6399" s="4">
        <v>42719</v>
      </c>
      <c r="BD6399">
        <v>11.95</v>
      </c>
      <c r="BN6399" t="s">
        <v>74</v>
      </c>
    </row>
    <row r="6400" spans="1:66">
      <c r="A6400">
        <v>104048</v>
      </c>
      <c r="B6400" s="3" t="s">
        <v>602</v>
      </c>
      <c r="C6400" s="1">
        <v>43300101</v>
      </c>
      <c r="D6400" t="s">
        <v>67</v>
      </c>
      <c r="H6400" t="str">
        <f t="shared" si="652"/>
        <v>00674840152</v>
      </c>
      <c r="I6400" t="str">
        <f t="shared" si="652"/>
        <v>00674840152</v>
      </c>
      <c r="K6400" t="str">
        <f>""</f>
        <v/>
      </c>
      <c r="M6400" t="s">
        <v>68</v>
      </c>
      <c r="N6400" t="str">
        <f t="shared" ref="N6400:N6463" si="653">"FOR"</f>
        <v>FOR</v>
      </c>
      <c r="O6400" t="s">
        <v>69</v>
      </c>
      <c r="P6400" s="3" t="s">
        <v>75</v>
      </c>
      <c r="Q6400">
        <v>2016</v>
      </c>
      <c r="R6400" s="2">
        <v>42424</v>
      </c>
      <c r="S6400" s="2">
        <v>42425</v>
      </c>
      <c r="T6400" s="2">
        <v>42425</v>
      </c>
      <c r="U6400" s="2">
        <v>42485</v>
      </c>
      <c r="V6400" t="s">
        <v>71</v>
      </c>
      <c r="W6400" t="str">
        <f>"          5301712261"</f>
        <v xml:space="preserve">          5301712261</v>
      </c>
      <c r="X6400" s="1">
        <v>3185.66</v>
      </c>
      <c r="Y6400">
        <v>0</v>
      </c>
      <c r="Z6400" s="5">
        <v>2611.1999999999998</v>
      </c>
      <c r="AA6400">
        <v>234</v>
      </c>
      <c r="AB6400" s="5">
        <v>611020.80000000005</v>
      </c>
      <c r="AC6400" s="1">
        <v>2611.1999999999998</v>
      </c>
      <c r="AD6400">
        <v>234</v>
      </c>
      <c r="AE6400" s="1">
        <v>611020.80000000005</v>
      </c>
      <c r="AF6400">
        <v>574.46</v>
      </c>
      <c r="AJ6400">
        <v>0</v>
      </c>
      <c r="AK6400">
        <v>0</v>
      </c>
      <c r="AL6400">
        <v>0</v>
      </c>
      <c r="AM6400" s="1">
        <v>3185.66</v>
      </c>
      <c r="AN6400" s="1">
        <v>3185.66</v>
      </c>
      <c r="AO6400" s="1">
        <v>3185.66</v>
      </c>
      <c r="AP6400" s="2">
        <v>42746</v>
      </c>
      <c r="AQ6400" t="s">
        <v>72</v>
      </c>
      <c r="AR6400" t="s">
        <v>72</v>
      </c>
      <c r="AS6400">
        <v>3525</v>
      </c>
      <c r="AT6400" s="4">
        <v>42719</v>
      </c>
      <c r="AU6400" t="s">
        <v>73</v>
      </c>
      <c r="AV6400">
        <v>3525</v>
      </c>
      <c r="AW6400" s="4">
        <v>42719</v>
      </c>
      <c r="BD6400">
        <v>574.46</v>
      </c>
      <c r="BN6400" t="s">
        <v>74</v>
      </c>
    </row>
    <row r="6401" spans="1:66">
      <c r="A6401">
        <v>104048</v>
      </c>
      <c r="B6401" s="3" t="s">
        <v>602</v>
      </c>
      <c r="C6401" s="1">
        <v>43300101</v>
      </c>
      <c r="D6401" t="s">
        <v>67</v>
      </c>
      <c r="H6401" t="str">
        <f t="shared" si="652"/>
        <v>00674840152</v>
      </c>
      <c r="I6401" t="str">
        <f t="shared" si="652"/>
        <v>00674840152</v>
      </c>
      <c r="K6401" t="str">
        <f>""</f>
        <v/>
      </c>
      <c r="M6401" t="s">
        <v>68</v>
      </c>
      <c r="N6401" t="str">
        <f t="shared" si="653"/>
        <v>FOR</v>
      </c>
      <c r="O6401" t="s">
        <v>69</v>
      </c>
      <c r="P6401" s="3" t="s">
        <v>75</v>
      </c>
      <c r="Q6401">
        <v>2016</v>
      </c>
      <c r="R6401" s="2">
        <v>42425</v>
      </c>
      <c r="S6401" s="2">
        <v>42436</v>
      </c>
      <c r="T6401" s="2">
        <v>42426</v>
      </c>
      <c r="U6401" s="2">
        <v>42486</v>
      </c>
      <c r="V6401" t="s">
        <v>71</v>
      </c>
      <c r="W6401" t="str">
        <f>"          5301712687"</f>
        <v xml:space="preserve">          5301712687</v>
      </c>
      <c r="X6401" s="1">
        <v>3660</v>
      </c>
      <c r="Y6401">
        <v>0</v>
      </c>
      <c r="Z6401" s="5">
        <v>3000</v>
      </c>
      <c r="AA6401">
        <v>233</v>
      </c>
      <c r="AB6401" s="5">
        <v>699000</v>
      </c>
      <c r="AC6401" s="1">
        <v>3000</v>
      </c>
      <c r="AD6401">
        <v>233</v>
      </c>
      <c r="AE6401" s="1">
        <v>699000</v>
      </c>
      <c r="AF6401">
        <v>660</v>
      </c>
      <c r="AJ6401">
        <v>0</v>
      </c>
      <c r="AK6401">
        <v>0</v>
      </c>
      <c r="AL6401">
        <v>0</v>
      </c>
      <c r="AM6401" s="1">
        <v>3660</v>
      </c>
      <c r="AN6401" s="1">
        <v>3660</v>
      </c>
      <c r="AO6401" s="1">
        <v>3660</v>
      </c>
      <c r="AP6401" s="2">
        <v>42746</v>
      </c>
      <c r="AQ6401" t="s">
        <v>72</v>
      </c>
      <c r="AR6401" t="s">
        <v>72</v>
      </c>
      <c r="AS6401">
        <v>3525</v>
      </c>
      <c r="AT6401" s="4">
        <v>42719</v>
      </c>
      <c r="AU6401" t="s">
        <v>73</v>
      </c>
      <c r="AV6401">
        <v>3525</v>
      </c>
      <c r="AW6401" s="4">
        <v>42719</v>
      </c>
      <c r="BD6401">
        <v>660</v>
      </c>
      <c r="BN6401" t="s">
        <v>74</v>
      </c>
    </row>
    <row r="6402" spans="1:66">
      <c r="A6402">
        <v>104048</v>
      </c>
      <c r="B6402" s="3" t="s">
        <v>602</v>
      </c>
      <c r="C6402" s="1">
        <v>43300101</v>
      </c>
      <c r="D6402" t="s">
        <v>67</v>
      </c>
      <c r="H6402" t="str">
        <f t="shared" si="652"/>
        <v>00674840152</v>
      </c>
      <c r="I6402" t="str">
        <f t="shared" si="652"/>
        <v>00674840152</v>
      </c>
      <c r="K6402" t="str">
        <f>""</f>
        <v/>
      </c>
      <c r="M6402" t="s">
        <v>68</v>
      </c>
      <c r="N6402" t="str">
        <f t="shared" si="653"/>
        <v>FOR</v>
      </c>
      <c r="O6402" t="s">
        <v>69</v>
      </c>
      <c r="P6402" s="3" t="s">
        <v>75</v>
      </c>
      <c r="Q6402">
        <v>2016</v>
      </c>
      <c r="R6402" s="2">
        <v>42426</v>
      </c>
      <c r="S6402" s="2">
        <v>42433</v>
      </c>
      <c r="T6402" s="2">
        <v>42427</v>
      </c>
      <c r="U6402" s="2">
        <v>42487</v>
      </c>
      <c r="V6402" t="s">
        <v>71</v>
      </c>
      <c r="W6402" t="str">
        <f>"          5301712728"</f>
        <v xml:space="preserve">          5301712728</v>
      </c>
      <c r="X6402">
        <v>442.32</v>
      </c>
      <c r="Y6402">
        <v>0</v>
      </c>
      <c r="Z6402" s="3">
        <v>362.56</v>
      </c>
      <c r="AA6402">
        <v>232</v>
      </c>
      <c r="AB6402" s="5">
        <v>84113.919999999998</v>
      </c>
      <c r="AC6402">
        <v>362.56</v>
      </c>
      <c r="AD6402">
        <v>232</v>
      </c>
      <c r="AE6402" s="1">
        <v>84113.919999999998</v>
      </c>
      <c r="AF6402">
        <v>79.760000000000005</v>
      </c>
      <c r="AJ6402">
        <v>0</v>
      </c>
      <c r="AK6402">
        <v>0</v>
      </c>
      <c r="AL6402">
        <v>0</v>
      </c>
      <c r="AM6402">
        <v>442.32</v>
      </c>
      <c r="AN6402">
        <v>442.32</v>
      </c>
      <c r="AO6402">
        <v>442.32</v>
      </c>
      <c r="AP6402" s="2">
        <v>42746</v>
      </c>
      <c r="AQ6402" t="s">
        <v>72</v>
      </c>
      <c r="AR6402" t="s">
        <v>72</v>
      </c>
      <c r="AS6402">
        <v>3524</v>
      </c>
      <c r="AT6402" s="4">
        <v>42719</v>
      </c>
      <c r="AU6402" t="s">
        <v>73</v>
      </c>
      <c r="AV6402">
        <v>3524</v>
      </c>
      <c r="AW6402" s="4">
        <v>42719</v>
      </c>
      <c r="BD6402">
        <v>79.760000000000005</v>
      </c>
      <c r="BN6402" t="s">
        <v>74</v>
      </c>
    </row>
    <row r="6403" spans="1:66">
      <c r="A6403">
        <v>104048</v>
      </c>
      <c r="B6403" s="3" t="s">
        <v>602</v>
      </c>
      <c r="C6403" s="1">
        <v>43300101</v>
      </c>
      <c r="D6403" t="s">
        <v>67</v>
      </c>
      <c r="H6403" t="str">
        <f t="shared" si="652"/>
        <v>00674840152</v>
      </c>
      <c r="I6403" t="str">
        <f t="shared" si="652"/>
        <v>00674840152</v>
      </c>
      <c r="K6403" t="str">
        <f>""</f>
        <v/>
      </c>
      <c r="M6403" t="s">
        <v>68</v>
      </c>
      <c r="N6403" t="str">
        <f t="shared" si="653"/>
        <v>FOR</v>
      </c>
      <c r="O6403" t="s">
        <v>69</v>
      </c>
      <c r="P6403" s="3" t="s">
        <v>75</v>
      </c>
      <c r="Q6403">
        <v>2016</v>
      </c>
      <c r="R6403" s="2">
        <v>42426</v>
      </c>
      <c r="S6403" s="2">
        <v>42433</v>
      </c>
      <c r="T6403" s="2">
        <v>42427</v>
      </c>
      <c r="U6403" s="2">
        <v>42487</v>
      </c>
      <c r="V6403" t="s">
        <v>71</v>
      </c>
      <c r="W6403" t="str">
        <f>"          5301712729"</f>
        <v xml:space="preserve">          5301712729</v>
      </c>
      <c r="X6403">
        <v>242.54</v>
      </c>
      <c r="Y6403">
        <v>0</v>
      </c>
      <c r="Z6403" s="3">
        <v>198.8</v>
      </c>
      <c r="AA6403">
        <v>232</v>
      </c>
      <c r="AB6403" s="5">
        <v>46121.599999999999</v>
      </c>
      <c r="AC6403">
        <v>198.8</v>
      </c>
      <c r="AD6403">
        <v>232</v>
      </c>
      <c r="AE6403" s="1">
        <v>46121.599999999999</v>
      </c>
      <c r="AF6403">
        <v>43.74</v>
      </c>
      <c r="AJ6403">
        <v>0</v>
      </c>
      <c r="AK6403">
        <v>0</v>
      </c>
      <c r="AL6403">
        <v>0</v>
      </c>
      <c r="AM6403">
        <v>242.54</v>
      </c>
      <c r="AN6403">
        <v>242.54</v>
      </c>
      <c r="AO6403">
        <v>242.54</v>
      </c>
      <c r="AP6403" s="2">
        <v>42746</v>
      </c>
      <c r="AQ6403" t="s">
        <v>72</v>
      </c>
      <c r="AR6403" t="s">
        <v>72</v>
      </c>
      <c r="AS6403">
        <v>3524</v>
      </c>
      <c r="AT6403" s="4">
        <v>42719</v>
      </c>
      <c r="AU6403" t="s">
        <v>73</v>
      </c>
      <c r="AV6403">
        <v>3524</v>
      </c>
      <c r="AW6403" s="4">
        <v>42719</v>
      </c>
      <c r="BD6403">
        <v>43.74</v>
      </c>
      <c r="BN6403" t="s">
        <v>74</v>
      </c>
    </row>
    <row r="6404" spans="1:66">
      <c r="A6404">
        <v>104048</v>
      </c>
      <c r="B6404" s="3" t="s">
        <v>602</v>
      </c>
      <c r="C6404" s="1">
        <v>43300101</v>
      </c>
      <c r="D6404" t="s">
        <v>67</v>
      </c>
      <c r="H6404" t="str">
        <f t="shared" si="652"/>
        <v>00674840152</v>
      </c>
      <c r="I6404" t="str">
        <f t="shared" si="652"/>
        <v>00674840152</v>
      </c>
      <c r="K6404" t="str">
        <f>""</f>
        <v/>
      </c>
      <c r="M6404" t="s">
        <v>68</v>
      </c>
      <c r="N6404" t="str">
        <f t="shared" si="653"/>
        <v>FOR</v>
      </c>
      <c r="O6404" t="s">
        <v>69</v>
      </c>
      <c r="P6404" s="3" t="s">
        <v>75</v>
      </c>
      <c r="Q6404">
        <v>2016</v>
      </c>
      <c r="R6404" s="2">
        <v>42426</v>
      </c>
      <c r="S6404" s="2">
        <v>42433</v>
      </c>
      <c r="T6404" s="2">
        <v>42427</v>
      </c>
      <c r="U6404" s="2">
        <v>42487</v>
      </c>
      <c r="V6404" t="s">
        <v>71</v>
      </c>
      <c r="W6404" t="str">
        <f>"          5301712730"</f>
        <v xml:space="preserve">          5301712730</v>
      </c>
      <c r="X6404">
        <v>268.99</v>
      </c>
      <c r="Y6404">
        <v>0</v>
      </c>
      <c r="Z6404" s="3">
        <v>220.48</v>
      </c>
      <c r="AA6404">
        <v>232</v>
      </c>
      <c r="AB6404" s="5">
        <v>51151.360000000001</v>
      </c>
      <c r="AC6404">
        <v>220.48</v>
      </c>
      <c r="AD6404">
        <v>232</v>
      </c>
      <c r="AE6404" s="1">
        <v>51151.360000000001</v>
      </c>
      <c r="AF6404">
        <v>48.51</v>
      </c>
      <c r="AJ6404">
        <v>0</v>
      </c>
      <c r="AK6404">
        <v>0</v>
      </c>
      <c r="AL6404">
        <v>0</v>
      </c>
      <c r="AM6404">
        <v>268.99</v>
      </c>
      <c r="AN6404">
        <v>268.99</v>
      </c>
      <c r="AO6404">
        <v>268.99</v>
      </c>
      <c r="AP6404" s="2">
        <v>42746</v>
      </c>
      <c r="AQ6404" t="s">
        <v>72</v>
      </c>
      <c r="AR6404" t="s">
        <v>72</v>
      </c>
      <c r="AS6404">
        <v>3524</v>
      </c>
      <c r="AT6404" s="4">
        <v>42719</v>
      </c>
      <c r="AU6404" t="s">
        <v>73</v>
      </c>
      <c r="AV6404">
        <v>3524</v>
      </c>
      <c r="AW6404" s="4">
        <v>42719</v>
      </c>
      <c r="BD6404">
        <v>48.51</v>
      </c>
      <c r="BN6404" t="s">
        <v>74</v>
      </c>
    </row>
    <row r="6405" spans="1:66">
      <c r="A6405">
        <v>104048</v>
      </c>
      <c r="B6405" s="3" t="s">
        <v>602</v>
      </c>
      <c r="C6405" s="1">
        <v>43300101</v>
      </c>
      <c r="D6405" t="s">
        <v>67</v>
      </c>
      <c r="H6405" t="str">
        <f t="shared" si="652"/>
        <v>00674840152</v>
      </c>
      <c r="I6405" t="str">
        <f t="shared" si="652"/>
        <v>00674840152</v>
      </c>
      <c r="K6405" t="str">
        <f>""</f>
        <v/>
      </c>
      <c r="M6405" t="s">
        <v>68</v>
      </c>
      <c r="N6405" t="str">
        <f t="shared" si="653"/>
        <v>FOR</v>
      </c>
      <c r="O6405" t="s">
        <v>69</v>
      </c>
      <c r="P6405" s="3" t="s">
        <v>75</v>
      </c>
      <c r="Q6405">
        <v>2016</v>
      </c>
      <c r="R6405" s="2">
        <v>42426</v>
      </c>
      <c r="S6405" s="2">
        <v>42433</v>
      </c>
      <c r="T6405" s="2">
        <v>42427</v>
      </c>
      <c r="U6405" s="2">
        <v>42487</v>
      </c>
      <c r="V6405" t="s">
        <v>71</v>
      </c>
      <c r="W6405" t="str">
        <f>"          5301712731"</f>
        <v xml:space="preserve">          5301712731</v>
      </c>
      <c r="X6405">
        <v>268.99</v>
      </c>
      <c r="Y6405">
        <v>0</v>
      </c>
      <c r="Z6405" s="3">
        <v>220.48</v>
      </c>
      <c r="AA6405">
        <v>232</v>
      </c>
      <c r="AB6405" s="5">
        <v>51151.360000000001</v>
      </c>
      <c r="AC6405">
        <v>220.48</v>
      </c>
      <c r="AD6405">
        <v>232</v>
      </c>
      <c r="AE6405" s="1">
        <v>51151.360000000001</v>
      </c>
      <c r="AF6405">
        <v>48.51</v>
      </c>
      <c r="AJ6405">
        <v>0</v>
      </c>
      <c r="AK6405">
        <v>0</v>
      </c>
      <c r="AL6405">
        <v>0</v>
      </c>
      <c r="AM6405">
        <v>268.99</v>
      </c>
      <c r="AN6405">
        <v>268.99</v>
      </c>
      <c r="AO6405">
        <v>268.99</v>
      </c>
      <c r="AP6405" s="2">
        <v>42746</v>
      </c>
      <c r="AQ6405" t="s">
        <v>72</v>
      </c>
      <c r="AR6405" t="s">
        <v>72</v>
      </c>
      <c r="AS6405">
        <v>3524</v>
      </c>
      <c r="AT6405" s="4">
        <v>42719</v>
      </c>
      <c r="AU6405" t="s">
        <v>73</v>
      </c>
      <c r="AV6405">
        <v>3524</v>
      </c>
      <c r="AW6405" s="4">
        <v>42719</v>
      </c>
      <c r="BD6405">
        <v>48.51</v>
      </c>
      <c r="BN6405" t="s">
        <v>74</v>
      </c>
    </row>
    <row r="6406" spans="1:66">
      <c r="A6406">
        <v>104048</v>
      </c>
      <c r="B6406" s="3" t="s">
        <v>602</v>
      </c>
      <c r="C6406" s="1">
        <v>43300101</v>
      </c>
      <c r="D6406" t="s">
        <v>67</v>
      </c>
      <c r="H6406" t="str">
        <f t="shared" si="652"/>
        <v>00674840152</v>
      </c>
      <c r="I6406" t="str">
        <f t="shared" si="652"/>
        <v>00674840152</v>
      </c>
      <c r="K6406" t="str">
        <f>""</f>
        <v/>
      </c>
      <c r="M6406" t="s">
        <v>68</v>
      </c>
      <c r="N6406" t="str">
        <f t="shared" si="653"/>
        <v>FOR</v>
      </c>
      <c r="O6406" t="s">
        <v>69</v>
      </c>
      <c r="P6406" s="3" t="s">
        <v>75</v>
      </c>
      <c r="Q6406">
        <v>2016</v>
      </c>
      <c r="R6406" s="2">
        <v>42426</v>
      </c>
      <c r="S6406" s="2">
        <v>42433</v>
      </c>
      <c r="T6406" s="2">
        <v>42427</v>
      </c>
      <c r="U6406" s="2">
        <v>42487</v>
      </c>
      <c r="V6406" t="s">
        <v>71</v>
      </c>
      <c r="W6406" t="str">
        <f>"          5301712732"</f>
        <v xml:space="preserve">          5301712732</v>
      </c>
      <c r="X6406">
        <v>288.02</v>
      </c>
      <c r="Y6406">
        <v>0</v>
      </c>
      <c r="Z6406" s="3">
        <v>236.08</v>
      </c>
      <c r="AA6406">
        <v>232</v>
      </c>
      <c r="AB6406" s="5">
        <v>54770.559999999998</v>
      </c>
      <c r="AC6406">
        <v>236.08</v>
      </c>
      <c r="AD6406">
        <v>232</v>
      </c>
      <c r="AE6406" s="1">
        <v>54770.559999999998</v>
      </c>
      <c r="AF6406">
        <v>51.94</v>
      </c>
      <c r="AJ6406">
        <v>0</v>
      </c>
      <c r="AK6406">
        <v>0</v>
      </c>
      <c r="AL6406">
        <v>0</v>
      </c>
      <c r="AM6406">
        <v>288.02</v>
      </c>
      <c r="AN6406">
        <v>288.02</v>
      </c>
      <c r="AO6406">
        <v>288.02</v>
      </c>
      <c r="AP6406" s="2">
        <v>42746</v>
      </c>
      <c r="AQ6406" t="s">
        <v>72</v>
      </c>
      <c r="AR6406" t="s">
        <v>72</v>
      </c>
      <c r="AS6406">
        <v>3524</v>
      </c>
      <c r="AT6406" s="4">
        <v>42719</v>
      </c>
      <c r="AU6406" t="s">
        <v>73</v>
      </c>
      <c r="AV6406">
        <v>3524</v>
      </c>
      <c r="AW6406" s="4">
        <v>42719</v>
      </c>
      <c r="BD6406">
        <v>51.94</v>
      </c>
      <c r="BN6406" t="s">
        <v>74</v>
      </c>
    </row>
    <row r="6407" spans="1:66">
      <c r="A6407">
        <v>104048</v>
      </c>
      <c r="B6407" s="3" t="s">
        <v>602</v>
      </c>
      <c r="C6407" s="1">
        <v>43300101</v>
      </c>
      <c r="D6407" t="s">
        <v>67</v>
      </c>
      <c r="H6407" t="str">
        <f t="shared" si="652"/>
        <v>00674840152</v>
      </c>
      <c r="I6407" t="str">
        <f t="shared" si="652"/>
        <v>00674840152</v>
      </c>
      <c r="K6407" t="str">
        <f>""</f>
        <v/>
      </c>
      <c r="M6407" t="s">
        <v>68</v>
      </c>
      <c r="N6407" t="str">
        <f t="shared" si="653"/>
        <v>FOR</v>
      </c>
      <c r="O6407" t="s">
        <v>69</v>
      </c>
      <c r="P6407" s="3" t="s">
        <v>75</v>
      </c>
      <c r="Q6407">
        <v>2016</v>
      </c>
      <c r="R6407" s="2">
        <v>42426</v>
      </c>
      <c r="S6407" s="2">
        <v>42433</v>
      </c>
      <c r="T6407" s="2">
        <v>42427</v>
      </c>
      <c r="U6407" s="2">
        <v>42487</v>
      </c>
      <c r="V6407" t="s">
        <v>71</v>
      </c>
      <c r="W6407" t="str">
        <f>"          5301712733"</f>
        <v xml:space="preserve">          5301712733</v>
      </c>
      <c r="X6407">
        <v>329.11</v>
      </c>
      <c r="Y6407">
        <v>0</v>
      </c>
      <c r="Z6407" s="3">
        <v>269.76</v>
      </c>
      <c r="AA6407">
        <v>232</v>
      </c>
      <c r="AB6407" s="5">
        <v>62584.32</v>
      </c>
      <c r="AC6407">
        <v>269.76</v>
      </c>
      <c r="AD6407">
        <v>232</v>
      </c>
      <c r="AE6407" s="1">
        <v>62584.32</v>
      </c>
      <c r="AF6407">
        <v>59.35</v>
      </c>
      <c r="AJ6407">
        <v>0</v>
      </c>
      <c r="AK6407">
        <v>0</v>
      </c>
      <c r="AL6407">
        <v>0</v>
      </c>
      <c r="AM6407">
        <v>329.11</v>
      </c>
      <c r="AN6407">
        <v>329.11</v>
      </c>
      <c r="AO6407">
        <v>329.11</v>
      </c>
      <c r="AP6407" s="2">
        <v>42746</v>
      </c>
      <c r="AQ6407" t="s">
        <v>72</v>
      </c>
      <c r="AR6407" t="s">
        <v>72</v>
      </c>
      <c r="AS6407">
        <v>3524</v>
      </c>
      <c r="AT6407" s="4">
        <v>42719</v>
      </c>
      <c r="AU6407" t="s">
        <v>73</v>
      </c>
      <c r="AV6407">
        <v>3524</v>
      </c>
      <c r="AW6407" s="4">
        <v>42719</v>
      </c>
      <c r="BD6407">
        <v>59.35</v>
      </c>
      <c r="BN6407" t="s">
        <v>74</v>
      </c>
    </row>
    <row r="6408" spans="1:66">
      <c r="A6408">
        <v>104048</v>
      </c>
      <c r="B6408" s="3" t="s">
        <v>602</v>
      </c>
      <c r="C6408" s="1">
        <v>43300101</v>
      </c>
      <c r="D6408" t="s">
        <v>67</v>
      </c>
      <c r="H6408" t="str">
        <f t="shared" si="652"/>
        <v>00674840152</v>
      </c>
      <c r="I6408" t="str">
        <f t="shared" si="652"/>
        <v>00674840152</v>
      </c>
      <c r="K6408" t="str">
        <f>""</f>
        <v/>
      </c>
      <c r="M6408" t="s">
        <v>68</v>
      </c>
      <c r="N6408" t="str">
        <f t="shared" si="653"/>
        <v>FOR</v>
      </c>
      <c r="O6408" t="s">
        <v>69</v>
      </c>
      <c r="P6408" s="3" t="s">
        <v>75</v>
      </c>
      <c r="Q6408">
        <v>2016</v>
      </c>
      <c r="R6408" s="2">
        <v>42426</v>
      </c>
      <c r="S6408" s="2">
        <v>42433</v>
      </c>
      <c r="T6408" s="2">
        <v>42427</v>
      </c>
      <c r="U6408" s="2">
        <v>42487</v>
      </c>
      <c r="V6408" t="s">
        <v>71</v>
      </c>
      <c r="W6408" t="str">
        <f>"          5301712734"</f>
        <v xml:space="preserve">          5301712734</v>
      </c>
      <c r="X6408" s="1">
        <v>6861.69</v>
      </c>
      <c r="Y6408">
        <v>0</v>
      </c>
      <c r="Z6408" s="5">
        <v>5624.34</v>
      </c>
      <c r="AA6408">
        <v>232</v>
      </c>
      <c r="AB6408" s="5">
        <v>1304846.8799999999</v>
      </c>
      <c r="AC6408" s="1">
        <v>5624.34</v>
      </c>
      <c r="AD6408">
        <v>232</v>
      </c>
      <c r="AE6408" s="1">
        <v>1304846.8799999999</v>
      </c>
      <c r="AF6408" s="1">
        <v>1237.3499999999999</v>
      </c>
      <c r="AJ6408">
        <v>0</v>
      </c>
      <c r="AK6408">
        <v>0</v>
      </c>
      <c r="AL6408">
        <v>0</v>
      </c>
      <c r="AM6408" s="1">
        <v>6861.69</v>
      </c>
      <c r="AN6408" s="1">
        <v>6861.69</v>
      </c>
      <c r="AO6408" s="1">
        <v>6861.69</v>
      </c>
      <c r="AP6408" s="2">
        <v>42746</v>
      </c>
      <c r="AQ6408" t="s">
        <v>72</v>
      </c>
      <c r="AR6408" t="s">
        <v>72</v>
      </c>
      <c r="AS6408">
        <v>3524</v>
      </c>
      <c r="AT6408" s="4">
        <v>42719</v>
      </c>
      <c r="AU6408" t="s">
        <v>73</v>
      </c>
      <c r="AV6408">
        <v>3524</v>
      </c>
      <c r="AW6408" s="4">
        <v>42719</v>
      </c>
      <c r="BD6408" s="1">
        <v>1237.3499999999999</v>
      </c>
      <c r="BN6408" t="s">
        <v>74</v>
      </c>
    </row>
    <row r="6409" spans="1:66">
      <c r="A6409">
        <v>104048</v>
      </c>
      <c r="B6409" s="3" t="s">
        <v>602</v>
      </c>
      <c r="C6409" s="1">
        <v>43300101</v>
      </c>
      <c r="D6409" t="s">
        <v>67</v>
      </c>
      <c r="H6409" t="str">
        <f t="shared" si="652"/>
        <v>00674840152</v>
      </c>
      <c r="I6409" t="str">
        <f t="shared" si="652"/>
        <v>00674840152</v>
      </c>
      <c r="K6409" t="str">
        <f>""</f>
        <v/>
      </c>
      <c r="M6409" t="s">
        <v>68</v>
      </c>
      <c r="N6409" t="str">
        <f t="shared" si="653"/>
        <v>FOR</v>
      </c>
      <c r="O6409" t="s">
        <v>69</v>
      </c>
      <c r="P6409" s="3" t="s">
        <v>75</v>
      </c>
      <c r="Q6409">
        <v>2016</v>
      </c>
      <c r="R6409" s="2">
        <v>42426</v>
      </c>
      <c r="S6409" s="2">
        <v>42433</v>
      </c>
      <c r="T6409" s="2">
        <v>42427</v>
      </c>
      <c r="U6409" s="2">
        <v>42487</v>
      </c>
      <c r="V6409" t="s">
        <v>71</v>
      </c>
      <c r="W6409" t="str">
        <f>"          5301712735"</f>
        <v xml:space="preserve">          5301712735</v>
      </c>
      <c r="X6409" s="1">
        <v>1464.61</v>
      </c>
      <c r="Y6409">
        <v>0</v>
      </c>
      <c r="Z6409" s="5">
        <v>1200.5</v>
      </c>
      <c r="AA6409">
        <v>232</v>
      </c>
      <c r="AB6409" s="5">
        <v>278516</v>
      </c>
      <c r="AC6409" s="1">
        <v>1200.5</v>
      </c>
      <c r="AD6409">
        <v>232</v>
      </c>
      <c r="AE6409" s="1">
        <v>278516</v>
      </c>
      <c r="AF6409">
        <v>264.11</v>
      </c>
      <c r="AJ6409">
        <v>0</v>
      </c>
      <c r="AK6409">
        <v>0</v>
      </c>
      <c r="AL6409">
        <v>0</v>
      </c>
      <c r="AM6409" s="1">
        <v>1464.61</v>
      </c>
      <c r="AN6409" s="1">
        <v>1464.61</v>
      </c>
      <c r="AO6409" s="1">
        <v>1464.61</v>
      </c>
      <c r="AP6409" s="2">
        <v>42746</v>
      </c>
      <c r="AQ6409" t="s">
        <v>72</v>
      </c>
      <c r="AR6409" t="s">
        <v>72</v>
      </c>
      <c r="AS6409">
        <v>3524</v>
      </c>
      <c r="AT6409" s="4">
        <v>42719</v>
      </c>
      <c r="AU6409" t="s">
        <v>73</v>
      </c>
      <c r="AV6409">
        <v>3524</v>
      </c>
      <c r="AW6409" s="4">
        <v>42719</v>
      </c>
      <c r="BD6409">
        <v>264.11</v>
      </c>
      <c r="BN6409" t="s">
        <v>74</v>
      </c>
    </row>
    <row r="6410" spans="1:66">
      <c r="A6410">
        <v>104048</v>
      </c>
      <c r="B6410" s="3" t="s">
        <v>602</v>
      </c>
      <c r="C6410" s="1">
        <v>43300101</v>
      </c>
      <c r="D6410" t="s">
        <v>67</v>
      </c>
      <c r="H6410" t="str">
        <f t="shared" si="652"/>
        <v>00674840152</v>
      </c>
      <c r="I6410" t="str">
        <f t="shared" si="652"/>
        <v>00674840152</v>
      </c>
      <c r="K6410" t="str">
        <f>""</f>
        <v/>
      </c>
      <c r="M6410" t="s">
        <v>68</v>
      </c>
      <c r="N6410" t="str">
        <f t="shared" si="653"/>
        <v>FOR</v>
      </c>
      <c r="O6410" t="s">
        <v>69</v>
      </c>
      <c r="P6410" s="3" t="s">
        <v>75</v>
      </c>
      <c r="Q6410">
        <v>2016</v>
      </c>
      <c r="R6410" s="2">
        <v>42426</v>
      </c>
      <c r="S6410" s="2">
        <v>42433</v>
      </c>
      <c r="T6410" s="2">
        <v>42427</v>
      </c>
      <c r="U6410" s="2">
        <v>42487</v>
      </c>
      <c r="V6410" t="s">
        <v>71</v>
      </c>
      <c r="W6410" t="str">
        <f>"          5301712736"</f>
        <v xml:space="preserve">          5301712736</v>
      </c>
      <c r="X6410">
        <v>183.37</v>
      </c>
      <c r="Y6410">
        <v>0</v>
      </c>
      <c r="Z6410" s="3">
        <v>150.30000000000001</v>
      </c>
      <c r="AA6410">
        <v>232</v>
      </c>
      <c r="AB6410" s="5">
        <v>34869.599999999999</v>
      </c>
      <c r="AC6410">
        <v>150.30000000000001</v>
      </c>
      <c r="AD6410">
        <v>232</v>
      </c>
      <c r="AE6410" s="1">
        <v>34869.599999999999</v>
      </c>
      <c r="AF6410">
        <v>33.07</v>
      </c>
      <c r="AJ6410">
        <v>0</v>
      </c>
      <c r="AK6410">
        <v>0</v>
      </c>
      <c r="AL6410">
        <v>0</v>
      </c>
      <c r="AM6410">
        <v>183.37</v>
      </c>
      <c r="AN6410">
        <v>183.37</v>
      </c>
      <c r="AO6410">
        <v>183.37</v>
      </c>
      <c r="AP6410" s="2">
        <v>42746</v>
      </c>
      <c r="AQ6410" t="s">
        <v>72</v>
      </c>
      <c r="AR6410" t="s">
        <v>72</v>
      </c>
      <c r="AS6410">
        <v>3524</v>
      </c>
      <c r="AT6410" s="4">
        <v>42719</v>
      </c>
      <c r="AU6410" t="s">
        <v>73</v>
      </c>
      <c r="AV6410">
        <v>3524</v>
      </c>
      <c r="AW6410" s="4">
        <v>42719</v>
      </c>
      <c r="BD6410">
        <v>33.07</v>
      </c>
      <c r="BN6410" t="s">
        <v>74</v>
      </c>
    </row>
    <row r="6411" spans="1:66">
      <c r="A6411">
        <v>104048</v>
      </c>
      <c r="B6411" s="3" t="s">
        <v>602</v>
      </c>
      <c r="C6411" s="1">
        <v>43300101</v>
      </c>
      <c r="D6411" t="s">
        <v>67</v>
      </c>
      <c r="H6411" t="str">
        <f t="shared" si="652"/>
        <v>00674840152</v>
      </c>
      <c r="I6411" t="str">
        <f t="shared" si="652"/>
        <v>00674840152</v>
      </c>
      <c r="K6411" t="str">
        <f>""</f>
        <v/>
      </c>
      <c r="M6411" t="s">
        <v>68</v>
      </c>
      <c r="N6411" t="str">
        <f t="shared" si="653"/>
        <v>FOR</v>
      </c>
      <c r="O6411" t="s">
        <v>69</v>
      </c>
      <c r="P6411" s="3" t="s">
        <v>75</v>
      </c>
      <c r="Q6411">
        <v>2016</v>
      </c>
      <c r="R6411" s="2">
        <v>42426</v>
      </c>
      <c r="S6411" s="2">
        <v>42433</v>
      </c>
      <c r="T6411" s="2">
        <v>42427</v>
      </c>
      <c r="U6411" s="2">
        <v>42487</v>
      </c>
      <c r="V6411" t="s">
        <v>71</v>
      </c>
      <c r="W6411" t="str">
        <f>"          5301712737"</f>
        <v xml:space="preserve">          5301712737</v>
      </c>
      <c r="X6411">
        <v>183.37</v>
      </c>
      <c r="Y6411">
        <v>0</v>
      </c>
      <c r="Z6411" s="3">
        <v>150.30000000000001</v>
      </c>
      <c r="AA6411">
        <v>232</v>
      </c>
      <c r="AB6411" s="5">
        <v>34869.599999999999</v>
      </c>
      <c r="AC6411">
        <v>150.30000000000001</v>
      </c>
      <c r="AD6411">
        <v>232</v>
      </c>
      <c r="AE6411" s="1">
        <v>34869.599999999999</v>
      </c>
      <c r="AF6411">
        <v>33.07</v>
      </c>
      <c r="AJ6411">
        <v>0</v>
      </c>
      <c r="AK6411">
        <v>0</v>
      </c>
      <c r="AL6411">
        <v>0</v>
      </c>
      <c r="AM6411">
        <v>183.37</v>
      </c>
      <c r="AN6411">
        <v>183.37</v>
      </c>
      <c r="AO6411">
        <v>183.37</v>
      </c>
      <c r="AP6411" s="2">
        <v>42746</v>
      </c>
      <c r="AQ6411" t="s">
        <v>72</v>
      </c>
      <c r="AR6411" t="s">
        <v>72</v>
      </c>
      <c r="AS6411">
        <v>3524</v>
      </c>
      <c r="AT6411" s="4">
        <v>42719</v>
      </c>
      <c r="AU6411" t="s">
        <v>73</v>
      </c>
      <c r="AV6411">
        <v>3524</v>
      </c>
      <c r="AW6411" s="4">
        <v>42719</v>
      </c>
      <c r="BD6411">
        <v>33.07</v>
      </c>
      <c r="BN6411" t="s">
        <v>74</v>
      </c>
    </row>
    <row r="6412" spans="1:66">
      <c r="A6412">
        <v>104048</v>
      </c>
      <c r="B6412" s="3" t="s">
        <v>602</v>
      </c>
      <c r="C6412" s="1">
        <v>43300101</v>
      </c>
      <c r="D6412" t="s">
        <v>67</v>
      </c>
      <c r="H6412" t="str">
        <f t="shared" si="652"/>
        <v>00674840152</v>
      </c>
      <c r="I6412" t="str">
        <f t="shared" si="652"/>
        <v>00674840152</v>
      </c>
      <c r="K6412" t="str">
        <f>""</f>
        <v/>
      </c>
      <c r="M6412" t="s">
        <v>68</v>
      </c>
      <c r="N6412" t="str">
        <f t="shared" si="653"/>
        <v>FOR</v>
      </c>
      <c r="O6412" t="s">
        <v>69</v>
      </c>
      <c r="P6412" s="3" t="s">
        <v>75</v>
      </c>
      <c r="Q6412">
        <v>2016</v>
      </c>
      <c r="R6412" s="2">
        <v>42426</v>
      </c>
      <c r="S6412" s="2">
        <v>42433</v>
      </c>
      <c r="T6412" s="2">
        <v>42427</v>
      </c>
      <c r="U6412" s="2">
        <v>42487</v>
      </c>
      <c r="V6412" t="s">
        <v>71</v>
      </c>
      <c r="W6412" t="str">
        <f>"          5301712738"</f>
        <v xml:space="preserve">          5301712738</v>
      </c>
      <c r="X6412">
        <v>300.85000000000002</v>
      </c>
      <c r="Y6412">
        <v>0</v>
      </c>
      <c r="Z6412" s="3">
        <v>246.6</v>
      </c>
      <c r="AA6412">
        <v>232</v>
      </c>
      <c r="AB6412" s="5">
        <v>57211.199999999997</v>
      </c>
      <c r="AC6412">
        <v>246.6</v>
      </c>
      <c r="AD6412">
        <v>232</v>
      </c>
      <c r="AE6412" s="1">
        <v>57211.199999999997</v>
      </c>
      <c r="AF6412">
        <v>54.25</v>
      </c>
      <c r="AJ6412">
        <v>0</v>
      </c>
      <c r="AK6412">
        <v>0</v>
      </c>
      <c r="AL6412">
        <v>0</v>
      </c>
      <c r="AM6412">
        <v>300.85000000000002</v>
      </c>
      <c r="AN6412">
        <v>300.85000000000002</v>
      </c>
      <c r="AO6412">
        <v>300.85000000000002</v>
      </c>
      <c r="AP6412" s="2">
        <v>42746</v>
      </c>
      <c r="AQ6412" t="s">
        <v>72</v>
      </c>
      <c r="AR6412" t="s">
        <v>72</v>
      </c>
      <c r="AS6412">
        <v>3524</v>
      </c>
      <c r="AT6412" s="4">
        <v>42719</v>
      </c>
      <c r="AU6412" t="s">
        <v>73</v>
      </c>
      <c r="AV6412">
        <v>3524</v>
      </c>
      <c r="AW6412" s="4">
        <v>42719</v>
      </c>
      <c r="BD6412">
        <v>54.25</v>
      </c>
      <c r="BN6412" t="s">
        <v>74</v>
      </c>
    </row>
    <row r="6413" spans="1:66">
      <c r="A6413">
        <v>104048</v>
      </c>
      <c r="B6413" s="3" t="s">
        <v>602</v>
      </c>
      <c r="C6413" s="1">
        <v>43300101</v>
      </c>
      <c r="D6413" t="s">
        <v>67</v>
      </c>
      <c r="H6413" t="str">
        <f t="shared" si="652"/>
        <v>00674840152</v>
      </c>
      <c r="I6413" t="str">
        <f t="shared" si="652"/>
        <v>00674840152</v>
      </c>
      <c r="K6413" t="str">
        <f>""</f>
        <v/>
      </c>
      <c r="M6413" t="s">
        <v>68</v>
      </c>
      <c r="N6413" t="str">
        <f t="shared" si="653"/>
        <v>FOR</v>
      </c>
      <c r="O6413" t="s">
        <v>69</v>
      </c>
      <c r="P6413" s="3" t="s">
        <v>75</v>
      </c>
      <c r="Q6413">
        <v>2016</v>
      </c>
      <c r="R6413" s="2">
        <v>42426</v>
      </c>
      <c r="S6413" s="2">
        <v>42433</v>
      </c>
      <c r="T6413" s="2">
        <v>42427</v>
      </c>
      <c r="U6413" s="2">
        <v>42487</v>
      </c>
      <c r="V6413" t="s">
        <v>71</v>
      </c>
      <c r="W6413" t="str">
        <f>"          5301712739"</f>
        <v xml:space="preserve">          5301712739</v>
      </c>
      <c r="X6413" s="1">
        <v>1894.27</v>
      </c>
      <c r="Y6413">
        <v>0</v>
      </c>
      <c r="Z6413" s="5">
        <v>1552.68</v>
      </c>
      <c r="AA6413">
        <v>232</v>
      </c>
      <c r="AB6413" s="5">
        <v>360221.76</v>
      </c>
      <c r="AC6413" s="1">
        <v>1552.68</v>
      </c>
      <c r="AD6413">
        <v>232</v>
      </c>
      <c r="AE6413" s="1">
        <v>360221.76</v>
      </c>
      <c r="AF6413">
        <v>341.59</v>
      </c>
      <c r="AJ6413">
        <v>0</v>
      </c>
      <c r="AK6413">
        <v>0</v>
      </c>
      <c r="AL6413">
        <v>0</v>
      </c>
      <c r="AM6413" s="1">
        <v>1894.27</v>
      </c>
      <c r="AN6413" s="1">
        <v>1894.27</v>
      </c>
      <c r="AO6413" s="1">
        <v>1894.27</v>
      </c>
      <c r="AP6413" s="2">
        <v>42746</v>
      </c>
      <c r="AQ6413" t="s">
        <v>72</v>
      </c>
      <c r="AR6413" t="s">
        <v>72</v>
      </c>
      <c r="AS6413">
        <v>3524</v>
      </c>
      <c r="AT6413" s="4">
        <v>42719</v>
      </c>
      <c r="AU6413" t="s">
        <v>73</v>
      </c>
      <c r="AV6413">
        <v>3524</v>
      </c>
      <c r="AW6413" s="4">
        <v>42719</v>
      </c>
      <c r="BD6413">
        <v>341.59</v>
      </c>
      <c r="BN6413" t="s">
        <v>74</v>
      </c>
    </row>
    <row r="6414" spans="1:66">
      <c r="A6414">
        <v>104048</v>
      </c>
      <c r="B6414" s="3" t="s">
        <v>602</v>
      </c>
      <c r="C6414" s="1">
        <v>43300101</v>
      </c>
      <c r="D6414" t="s">
        <v>67</v>
      </c>
      <c r="H6414" t="str">
        <f t="shared" ref="H6414:I6435" si="654">"00674840152"</f>
        <v>00674840152</v>
      </c>
      <c r="I6414" t="str">
        <f t="shared" si="654"/>
        <v>00674840152</v>
      </c>
      <c r="K6414" t="str">
        <f>""</f>
        <v/>
      </c>
      <c r="M6414" t="s">
        <v>68</v>
      </c>
      <c r="N6414" t="str">
        <f t="shared" si="653"/>
        <v>FOR</v>
      </c>
      <c r="O6414" t="s">
        <v>69</v>
      </c>
      <c r="P6414" s="3" t="s">
        <v>75</v>
      </c>
      <c r="Q6414">
        <v>2016</v>
      </c>
      <c r="R6414" s="2">
        <v>42426</v>
      </c>
      <c r="S6414" s="2">
        <v>42433</v>
      </c>
      <c r="T6414" s="2">
        <v>42427</v>
      </c>
      <c r="U6414" s="2">
        <v>42487</v>
      </c>
      <c r="V6414" t="s">
        <v>71</v>
      </c>
      <c r="W6414" t="str">
        <f>"          5301712740"</f>
        <v xml:space="preserve">          5301712740</v>
      </c>
      <c r="X6414">
        <v>372.34</v>
      </c>
      <c r="Y6414">
        <v>0</v>
      </c>
      <c r="Z6414" s="3">
        <v>305.2</v>
      </c>
      <c r="AA6414">
        <v>232</v>
      </c>
      <c r="AB6414" s="5">
        <v>70806.399999999994</v>
      </c>
      <c r="AC6414">
        <v>305.2</v>
      </c>
      <c r="AD6414">
        <v>232</v>
      </c>
      <c r="AE6414" s="1">
        <v>70806.399999999994</v>
      </c>
      <c r="AF6414">
        <v>67.14</v>
      </c>
      <c r="AJ6414">
        <v>0</v>
      </c>
      <c r="AK6414">
        <v>0</v>
      </c>
      <c r="AL6414">
        <v>0</v>
      </c>
      <c r="AM6414">
        <v>372.34</v>
      </c>
      <c r="AN6414">
        <v>372.34</v>
      </c>
      <c r="AO6414">
        <v>372.34</v>
      </c>
      <c r="AP6414" s="2">
        <v>42746</v>
      </c>
      <c r="AQ6414" t="s">
        <v>72</v>
      </c>
      <c r="AR6414" t="s">
        <v>72</v>
      </c>
      <c r="AS6414">
        <v>3524</v>
      </c>
      <c r="AT6414" s="4">
        <v>42719</v>
      </c>
      <c r="AU6414" t="s">
        <v>73</v>
      </c>
      <c r="AV6414">
        <v>3524</v>
      </c>
      <c r="AW6414" s="4">
        <v>42719</v>
      </c>
      <c r="BD6414">
        <v>67.14</v>
      </c>
      <c r="BN6414" t="s">
        <v>74</v>
      </c>
    </row>
    <row r="6415" spans="1:66">
      <c r="A6415">
        <v>104048</v>
      </c>
      <c r="B6415" s="3" t="s">
        <v>602</v>
      </c>
      <c r="C6415" s="1">
        <v>43300101</v>
      </c>
      <c r="D6415" t="s">
        <v>67</v>
      </c>
      <c r="H6415" t="str">
        <f t="shared" si="654"/>
        <v>00674840152</v>
      </c>
      <c r="I6415" t="str">
        <f t="shared" si="654"/>
        <v>00674840152</v>
      </c>
      <c r="K6415" t="str">
        <f>""</f>
        <v/>
      </c>
      <c r="M6415" t="s">
        <v>68</v>
      </c>
      <c r="N6415" t="str">
        <f t="shared" si="653"/>
        <v>FOR</v>
      </c>
      <c r="O6415" t="s">
        <v>69</v>
      </c>
      <c r="P6415" s="3" t="s">
        <v>75</v>
      </c>
      <c r="Q6415">
        <v>2016</v>
      </c>
      <c r="R6415" s="2">
        <v>42426</v>
      </c>
      <c r="S6415" s="2">
        <v>42433</v>
      </c>
      <c r="T6415" s="2">
        <v>42427</v>
      </c>
      <c r="U6415" s="2">
        <v>42487</v>
      </c>
      <c r="V6415" t="s">
        <v>71</v>
      </c>
      <c r="W6415" t="str">
        <f>"          5301712741"</f>
        <v xml:space="preserve">          5301712741</v>
      </c>
      <c r="X6415">
        <v>658.8</v>
      </c>
      <c r="Y6415">
        <v>0</v>
      </c>
      <c r="Z6415" s="3">
        <v>540</v>
      </c>
      <c r="AA6415">
        <v>232</v>
      </c>
      <c r="AB6415" s="5">
        <v>125280</v>
      </c>
      <c r="AC6415">
        <v>540</v>
      </c>
      <c r="AD6415">
        <v>232</v>
      </c>
      <c r="AE6415" s="1">
        <v>125280</v>
      </c>
      <c r="AF6415">
        <v>118.8</v>
      </c>
      <c r="AJ6415">
        <v>0</v>
      </c>
      <c r="AK6415">
        <v>0</v>
      </c>
      <c r="AL6415">
        <v>0</v>
      </c>
      <c r="AM6415">
        <v>658.8</v>
      </c>
      <c r="AN6415">
        <v>658.8</v>
      </c>
      <c r="AO6415">
        <v>658.8</v>
      </c>
      <c r="AP6415" s="2">
        <v>42746</v>
      </c>
      <c r="AQ6415" t="s">
        <v>72</v>
      </c>
      <c r="AR6415" t="s">
        <v>72</v>
      </c>
      <c r="AS6415">
        <v>3524</v>
      </c>
      <c r="AT6415" s="4">
        <v>42719</v>
      </c>
      <c r="AU6415" t="s">
        <v>73</v>
      </c>
      <c r="AV6415">
        <v>3524</v>
      </c>
      <c r="AW6415" s="4">
        <v>42719</v>
      </c>
      <c r="BD6415">
        <v>118.8</v>
      </c>
      <c r="BN6415" t="s">
        <v>74</v>
      </c>
    </row>
    <row r="6416" spans="1:66">
      <c r="A6416">
        <v>104048</v>
      </c>
      <c r="B6416" s="3" t="s">
        <v>602</v>
      </c>
      <c r="C6416" s="1">
        <v>43300101</v>
      </c>
      <c r="D6416" t="s">
        <v>67</v>
      </c>
      <c r="H6416" t="str">
        <f t="shared" si="654"/>
        <v>00674840152</v>
      </c>
      <c r="I6416" t="str">
        <f t="shared" si="654"/>
        <v>00674840152</v>
      </c>
      <c r="K6416" t="str">
        <f>""</f>
        <v/>
      </c>
      <c r="M6416" t="s">
        <v>68</v>
      </c>
      <c r="N6416" t="str">
        <f t="shared" si="653"/>
        <v>FOR</v>
      </c>
      <c r="O6416" t="s">
        <v>69</v>
      </c>
      <c r="P6416" s="3" t="s">
        <v>75</v>
      </c>
      <c r="Q6416">
        <v>2016</v>
      </c>
      <c r="R6416" s="2">
        <v>42426</v>
      </c>
      <c r="S6416" s="2">
        <v>42433</v>
      </c>
      <c r="T6416" s="2">
        <v>42427</v>
      </c>
      <c r="U6416" s="2">
        <v>42487</v>
      </c>
      <c r="V6416" t="s">
        <v>71</v>
      </c>
      <c r="W6416" t="str">
        <f>"          5301712742"</f>
        <v xml:space="preserve">          5301712742</v>
      </c>
      <c r="X6416" s="1">
        <v>1932.24</v>
      </c>
      <c r="Y6416">
        <v>0</v>
      </c>
      <c r="Z6416" s="5">
        <v>1583.8</v>
      </c>
      <c r="AA6416">
        <v>232</v>
      </c>
      <c r="AB6416" s="5">
        <v>367441.6</v>
      </c>
      <c r="AC6416" s="1">
        <v>1583.8</v>
      </c>
      <c r="AD6416">
        <v>232</v>
      </c>
      <c r="AE6416" s="1">
        <v>367441.6</v>
      </c>
      <c r="AF6416">
        <v>348.44</v>
      </c>
      <c r="AJ6416">
        <v>0</v>
      </c>
      <c r="AK6416">
        <v>0</v>
      </c>
      <c r="AL6416">
        <v>0</v>
      </c>
      <c r="AM6416" s="1">
        <v>1932.24</v>
      </c>
      <c r="AN6416" s="1">
        <v>1932.24</v>
      </c>
      <c r="AO6416" s="1">
        <v>1932.24</v>
      </c>
      <c r="AP6416" s="2">
        <v>42746</v>
      </c>
      <c r="AQ6416" t="s">
        <v>72</v>
      </c>
      <c r="AR6416" t="s">
        <v>72</v>
      </c>
      <c r="AS6416">
        <v>3524</v>
      </c>
      <c r="AT6416" s="4">
        <v>42719</v>
      </c>
      <c r="AU6416" t="s">
        <v>73</v>
      </c>
      <c r="AV6416">
        <v>3524</v>
      </c>
      <c r="AW6416" s="4">
        <v>42719</v>
      </c>
      <c r="BD6416">
        <v>348.44</v>
      </c>
      <c r="BN6416" t="s">
        <v>74</v>
      </c>
    </row>
    <row r="6417" spans="1:66">
      <c r="A6417">
        <v>104048</v>
      </c>
      <c r="B6417" s="3" t="s">
        <v>602</v>
      </c>
      <c r="C6417" s="1">
        <v>43300101</v>
      </c>
      <c r="D6417" t="s">
        <v>67</v>
      </c>
      <c r="H6417" t="str">
        <f t="shared" si="654"/>
        <v>00674840152</v>
      </c>
      <c r="I6417" t="str">
        <f t="shared" si="654"/>
        <v>00674840152</v>
      </c>
      <c r="K6417" t="str">
        <f>""</f>
        <v/>
      </c>
      <c r="M6417" t="s">
        <v>68</v>
      </c>
      <c r="N6417" t="str">
        <f t="shared" si="653"/>
        <v>FOR</v>
      </c>
      <c r="O6417" t="s">
        <v>69</v>
      </c>
      <c r="P6417" s="3" t="s">
        <v>75</v>
      </c>
      <c r="Q6417">
        <v>2016</v>
      </c>
      <c r="R6417" s="2">
        <v>42426</v>
      </c>
      <c r="S6417" s="2">
        <v>42433</v>
      </c>
      <c r="T6417" s="2">
        <v>42427</v>
      </c>
      <c r="U6417" s="2">
        <v>42487</v>
      </c>
      <c r="V6417" t="s">
        <v>71</v>
      </c>
      <c r="W6417" t="str">
        <f>"          5301712743"</f>
        <v xml:space="preserve">          5301712743</v>
      </c>
      <c r="X6417" s="1">
        <v>1549.03</v>
      </c>
      <c r="Y6417">
        <v>0</v>
      </c>
      <c r="Z6417" s="5">
        <v>1269.7</v>
      </c>
      <c r="AA6417">
        <v>232</v>
      </c>
      <c r="AB6417" s="5">
        <v>294570.40000000002</v>
      </c>
      <c r="AC6417" s="1">
        <v>1269.7</v>
      </c>
      <c r="AD6417">
        <v>232</v>
      </c>
      <c r="AE6417" s="1">
        <v>294570.40000000002</v>
      </c>
      <c r="AF6417">
        <v>279.33</v>
      </c>
      <c r="AJ6417">
        <v>0</v>
      </c>
      <c r="AK6417">
        <v>0</v>
      </c>
      <c r="AL6417">
        <v>0</v>
      </c>
      <c r="AM6417" s="1">
        <v>1549.03</v>
      </c>
      <c r="AN6417" s="1">
        <v>1549.03</v>
      </c>
      <c r="AO6417" s="1">
        <v>1549.03</v>
      </c>
      <c r="AP6417" s="2">
        <v>42746</v>
      </c>
      <c r="AQ6417" t="s">
        <v>72</v>
      </c>
      <c r="AR6417" t="s">
        <v>72</v>
      </c>
      <c r="AS6417">
        <v>3524</v>
      </c>
      <c r="AT6417" s="4">
        <v>42719</v>
      </c>
      <c r="AU6417" t="s">
        <v>73</v>
      </c>
      <c r="AV6417">
        <v>3524</v>
      </c>
      <c r="AW6417" s="4">
        <v>42719</v>
      </c>
      <c r="BD6417">
        <v>279.33</v>
      </c>
      <c r="BN6417" t="s">
        <v>74</v>
      </c>
    </row>
    <row r="6418" spans="1:66">
      <c r="A6418">
        <v>104048</v>
      </c>
      <c r="B6418" s="3" t="s">
        <v>602</v>
      </c>
      <c r="C6418" s="1">
        <v>43300101</v>
      </c>
      <c r="D6418" t="s">
        <v>67</v>
      </c>
      <c r="H6418" t="str">
        <f t="shared" si="654"/>
        <v>00674840152</v>
      </c>
      <c r="I6418" t="str">
        <f t="shared" si="654"/>
        <v>00674840152</v>
      </c>
      <c r="K6418" t="str">
        <f>""</f>
        <v/>
      </c>
      <c r="M6418" t="s">
        <v>68</v>
      </c>
      <c r="N6418" t="str">
        <f t="shared" si="653"/>
        <v>FOR</v>
      </c>
      <c r="O6418" t="s">
        <v>69</v>
      </c>
      <c r="P6418" s="3" t="s">
        <v>75</v>
      </c>
      <c r="Q6418">
        <v>2016</v>
      </c>
      <c r="R6418" s="2">
        <v>42426</v>
      </c>
      <c r="S6418" s="2">
        <v>42433</v>
      </c>
      <c r="T6418" s="2">
        <v>42427</v>
      </c>
      <c r="U6418" s="2">
        <v>42487</v>
      </c>
      <c r="V6418" t="s">
        <v>71</v>
      </c>
      <c r="W6418" t="str">
        <f>"          5301712744"</f>
        <v xml:space="preserve">          5301712744</v>
      </c>
      <c r="X6418" s="1">
        <v>1269.97</v>
      </c>
      <c r="Y6418">
        <v>0</v>
      </c>
      <c r="Z6418" s="5">
        <v>1040.96</v>
      </c>
      <c r="AA6418">
        <v>232</v>
      </c>
      <c r="AB6418" s="5">
        <v>241502.72</v>
      </c>
      <c r="AC6418" s="1">
        <v>1040.96</v>
      </c>
      <c r="AD6418">
        <v>232</v>
      </c>
      <c r="AE6418" s="1">
        <v>241502.72</v>
      </c>
      <c r="AF6418">
        <v>229.01</v>
      </c>
      <c r="AJ6418">
        <v>0</v>
      </c>
      <c r="AK6418">
        <v>0</v>
      </c>
      <c r="AL6418">
        <v>0</v>
      </c>
      <c r="AM6418" s="1">
        <v>1269.97</v>
      </c>
      <c r="AN6418" s="1">
        <v>1269.97</v>
      </c>
      <c r="AO6418" s="1">
        <v>1269.97</v>
      </c>
      <c r="AP6418" s="2">
        <v>42746</v>
      </c>
      <c r="AQ6418" t="s">
        <v>72</v>
      </c>
      <c r="AR6418" t="s">
        <v>72</v>
      </c>
      <c r="AS6418">
        <v>3524</v>
      </c>
      <c r="AT6418" s="4">
        <v>42719</v>
      </c>
      <c r="AU6418" t="s">
        <v>73</v>
      </c>
      <c r="AV6418">
        <v>3524</v>
      </c>
      <c r="AW6418" s="4">
        <v>42719</v>
      </c>
      <c r="BD6418">
        <v>229.01</v>
      </c>
      <c r="BN6418" t="s">
        <v>74</v>
      </c>
    </row>
    <row r="6419" spans="1:66">
      <c r="A6419">
        <v>104048</v>
      </c>
      <c r="B6419" s="3" t="s">
        <v>602</v>
      </c>
      <c r="C6419" s="1">
        <v>43300101</v>
      </c>
      <c r="D6419" t="s">
        <v>67</v>
      </c>
      <c r="H6419" t="str">
        <f t="shared" si="654"/>
        <v>00674840152</v>
      </c>
      <c r="I6419" t="str">
        <f t="shared" si="654"/>
        <v>00674840152</v>
      </c>
      <c r="K6419" t="str">
        <f>""</f>
        <v/>
      </c>
      <c r="M6419" t="s">
        <v>68</v>
      </c>
      <c r="N6419" t="str">
        <f t="shared" si="653"/>
        <v>FOR</v>
      </c>
      <c r="O6419" t="s">
        <v>69</v>
      </c>
      <c r="P6419" s="3" t="s">
        <v>75</v>
      </c>
      <c r="Q6419">
        <v>2016</v>
      </c>
      <c r="R6419" s="2">
        <v>42426</v>
      </c>
      <c r="S6419" s="2">
        <v>42433</v>
      </c>
      <c r="T6419" s="2">
        <v>42427</v>
      </c>
      <c r="U6419" s="2">
        <v>42487</v>
      </c>
      <c r="V6419" t="s">
        <v>71</v>
      </c>
      <c r="W6419" t="str">
        <f>"          5301712745"</f>
        <v xml:space="preserve">          5301712745</v>
      </c>
      <c r="X6419">
        <v>249.86</v>
      </c>
      <c r="Y6419">
        <v>0</v>
      </c>
      <c r="Z6419" s="3">
        <v>204.8</v>
      </c>
      <c r="AA6419">
        <v>232</v>
      </c>
      <c r="AB6419" s="5">
        <v>47513.599999999999</v>
      </c>
      <c r="AC6419">
        <v>204.8</v>
      </c>
      <c r="AD6419">
        <v>232</v>
      </c>
      <c r="AE6419" s="1">
        <v>47513.599999999999</v>
      </c>
      <c r="AF6419">
        <v>45.06</v>
      </c>
      <c r="AJ6419">
        <v>0</v>
      </c>
      <c r="AK6419">
        <v>0</v>
      </c>
      <c r="AL6419">
        <v>0</v>
      </c>
      <c r="AM6419">
        <v>249.86</v>
      </c>
      <c r="AN6419">
        <v>249.86</v>
      </c>
      <c r="AO6419">
        <v>249.86</v>
      </c>
      <c r="AP6419" s="2">
        <v>42746</v>
      </c>
      <c r="AQ6419" t="s">
        <v>72</v>
      </c>
      <c r="AR6419" t="s">
        <v>72</v>
      </c>
      <c r="AS6419">
        <v>3524</v>
      </c>
      <c r="AT6419" s="4">
        <v>42719</v>
      </c>
      <c r="AU6419" t="s">
        <v>73</v>
      </c>
      <c r="AV6419">
        <v>3524</v>
      </c>
      <c r="AW6419" s="4">
        <v>42719</v>
      </c>
      <c r="BD6419">
        <v>45.06</v>
      </c>
      <c r="BN6419" t="s">
        <v>74</v>
      </c>
    </row>
    <row r="6420" spans="1:66">
      <c r="A6420">
        <v>104048</v>
      </c>
      <c r="B6420" s="3" t="s">
        <v>602</v>
      </c>
      <c r="C6420" s="1">
        <v>43300101</v>
      </c>
      <c r="D6420" t="s">
        <v>67</v>
      </c>
      <c r="H6420" t="str">
        <f t="shared" si="654"/>
        <v>00674840152</v>
      </c>
      <c r="I6420" t="str">
        <f t="shared" si="654"/>
        <v>00674840152</v>
      </c>
      <c r="K6420" t="str">
        <f>""</f>
        <v/>
      </c>
      <c r="M6420" t="s">
        <v>68</v>
      </c>
      <c r="N6420" t="str">
        <f t="shared" si="653"/>
        <v>FOR</v>
      </c>
      <c r="O6420" t="s">
        <v>69</v>
      </c>
      <c r="P6420" s="3" t="s">
        <v>75</v>
      </c>
      <c r="Q6420">
        <v>2016</v>
      </c>
      <c r="R6420" s="2">
        <v>42426</v>
      </c>
      <c r="S6420" s="2">
        <v>42433</v>
      </c>
      <c r="T6420" s="2">
        <v>42427</v>
      </c>
      <c r="U6420" s="2">
        <v>42487</v>
      </c>
      <c r="V6420" t="s">
        <v>71</v>
      </c>
      <c r="W6420" t="str">
        <f>"          5301712747"</f>
        <v xml:space="preserve">          5301712747</v>
      </c>
      <c r="X6420">
        <v>257.32</v>
      </c>
      <c r="Y6420">
        <v>0</v>
      </c>
      <c r="Z6420" s="3">
        <v>210.92</v>
      </c>
      <c r="AA6420">
        <v>232</v>
      </c>
      <c r="AB6420" s="5">
        <v>48933.440000000002</v>
      </c>
      <c r="AC6420">
        <v>210.92</v>
      </c>
      <c r="AD6420">
        <v>232</v>
      </c>
      <c r="AE6420" s="1">
        <v>48933.440000000002</v>
      </c>
      <c r="AF6420">
        <v>46.4</v>
      </c>
      <c r="AJ6420">
        <v>0</v>
      </c>
      <c r="AK6420">
        <v>0</v>
      </c>
      <c r="AL6420">
        <v>0</v>
      </c>
      <c r="AM6420">
        <v>257.32</v>
      </c>
      <c r="AN6420">
        <v>257.32</v>
      </c>
      <c r="AO6420">
        <v>257.32</v>
      </c>
      <c r="AP6420" s="2">
        <v>42746</v>
      </c>
      <c r="AQ6420" t="s">
        <v>72</v>
      </c>
      <c r="AR6420" t="s">
        <v>72</v>
      </c>
      <c r="AS6420">
        <v>3524</v>
      </c>
      <c r="AT6420" s="4">
        <v>42719</v>
      </c>
      <c r="AU6420" t="s">
        <v>73</v>
      </c>
      <c r="AV6420">
        <v>3524</v>
      </c>
      <c r="AW6420" s="4">
        <v>42719</v>
      </c>
      <c r="BD6420">
        <v>46.4</v>
      </c>
      <c r="BN6420" t="s">
        <v>74</v>
      </c>
    </row>
    <row r="6421" spans="1:66">
      <c r="A6421">
        <v>104048</v>
      </c>
      <c r="B6421" s="3" t="s">
        <v>602</v>
      </c>
      <c r="C6421" s="1">
        <v>43300101</v>
      </c>
      <c r="D6421" t="s">
        <v>67</v>
      </c>
      <c r="H6421" t="str">
        <f t="shared" si="654"/>
        <v>00674840152</v>
      </c>
      <c r="I6421" t="str">
        <f t="shared" si="654"/>
        <v>00674840152</v>
      </c>
      <c r="K6421" t="str">
        <f>""</f>
        <v/>
      </c>
      <c r="M6421" t="s">
        <v>68</v>
      </c>
      <c r="N6421" t="str">
        <f t="shared" si="653"/>
        <v>FOR</v>
      </c>
      <c r="O6421" t="s">
        <v>69</v>
      </c>
      <c r="P6421" s="3" t="s">
        <v>75</v>
      </c>
      <c r="Q6421">
        <v>2016</v>
      </c>
      <c r="R6421" s="2">
        <v>42426</v>
      </c>
      <c r="S6421" s="2">
        <v>42433</v>
      </c>
      <c r="T6421" s="2">
        <v>42427</v>
      </c>
      <c r="U6421" s="2">
        <v>42487</v>
      </c>
      <c r="V6421" t="s">
        <v>71</v>
      </c>
      <c r="W6421" t="str">
        <f>"          5301712748"</f>
        <v xml:space="preserve">          5301712748</v>
      </c>
      <c r="X6421">
        <v>138.96</v>
      </c>
      <c r="Y6421">
        <v>0</v>
      </c>
      <c r="Z6421" s="3">
        <v>113.9</v>
      </c>
      <c r="AA6421">
        <v>232</v>
      </c>
      <c r="AB6421" s="5">
        <v>26424.799999999999</v>
      </c>
      <c r="AC6421">
        <v>113.9</v>
      </c>
      <c r="AD6421">
        <v>232</v>
      </c>
      <c r="AE6421" s="1">
        <v>26424.799999999999</v>
      </c>
      <c r="AF6421">
        <v>25.06</v>
      </c>
      <c r="AJ6421">
        <v>0</v>
      </c>
      <c r="AK6421">
        <v>0</v>
      </c>
      <c r="AL6421">
        <v>0</v>
      </c>
      <c r="AM6421">
        <v>138.96</v>
      </c>
      <c r="AN6421">
        <v>138.96</v>
      </c>
      <c r="AO6421">
        <v>138.96</v>
      </c>
      <c r="AP6421" s="2">
        <v>42746</v>
      </c>
      <c r="AQ6421" t="s">
        <v>72</v>
      </c>
      <c r="AR6421" t="s">
        <v>72</v>
      </c>
      <c r="AS6421">
        <v>3524</v>
      </c>
      <c r="AT6421" s="4">
        <v>42719</v>
      </c>
      <c r="AU6421" t="s">
        <v>73</v>
      </c>
      <c r="AV6421">
        <v>3524</v>
      </c>
      <c r="AW6421" s="4">
        <v>42719</v>
      </c>
      <c r="BD6421">
        <v>25.06</v>
      </c>
      <c r="BN6421" t="s">
        <v>74</v>
      </c>
    </row>
    <row r="6422" spans="1:66">
      <c r="A6422">
        <v>104048</v>
      </c>
      <c r="B6422" s="3" t="s">
        <v>602</v>
      </c>
      <c r="C6422" s="1">
        <v>43300101</v>
      </c>
      <c r="D6422" t="s">
        <v>67</v>
      </c>
      <c r="H6422" t="str">
        <f t="shared" si="654"/>
        <v>00674840152</v>
      </c>
      <c r="I6422" t="str">
        <f t="shared" si="654"/>
        <v>00674840152</v>
      </c>
      <c r="K6422" t="str">
        <f>""</f>
        <v/>
      </c>
      <c r="M6422" t="s">
        <v>68</v>
      </c>
      <c r="N6422" t="str">
        <f t="shared" si="653"/>
        <v>FOR</v>
      </c>
      <c r="O6422" t="s">
        <v>69</v>
      </c>
      <c r="P6422" s="3" t="s">
        <v>75</v>
      </c>
      <c r="Q6422">
        <v>2016</v>
      </c>
      <c r="R6422" s="2">
        <v>42426</v>
      </c>
      <c r="S6422" s="2">
        <v>42433</v>
      </c>
      <c r="T6422" s="2">
        <v>42427</v>
      </c>
      <c r="U6422" s="2">
        <v>42487</v>
      </c>
      <c r="V6422" t="s">
        <v>71</v>
      </c>
      <c r="W6422" t="str">
        <f>"          5301712749"</f>
        <v xml:space="preserve">          5301712749</v>
      </c>
      <c r="X6422">
        <v>138.71</v>
      </c>
      <c r="Y6422">
        <v>0</v>
      </c>
      <c r="Z6422" s="3">
        <v>113.7</v>
      </c>
      <c r="AA6422">
        <v>232</v>
      </c>
      <c r="AB6422" s="5">
        <v>26378.400000000001</v>
      </c>
      <c r="AC6422">
        <v>113.7</v>
      </c>
      <c r="AD6422">
        <v>232</v>
      </c>
      <c r="AE6422" s="1">
        <v>26378.400000000001</v>
      </c>
      <c r="AF6422">
        <v>25.01</v>
      </c>
      <c r="AJ6422">
        <v>0</v>
      </c>
      <c r="AK6422">
        <v>0</v>
      </c>
      <c r="AL6422">
        <v>0</v>
      </c>
      <c r="AM6422">
        <v>138.71</v>
      </c>
      <c r="AN6422">
        <v>138.71</v>
      </c>
      <c r="AO6422">
        <v>138.71</v>
      </c>
      <c r="AP6422" s="2">
        <v>42746</v>
      </c>
      <c r="AQ6422" t="s">
        <v>72</v>
      </c>
      <c r="AR6422" t="s">
        <v>72</v>
      </c>
      <c r="AS6422">
        <v>3524</v>
      </c>
      <c r="AT6422" s="4">
        <v>42719</v>
      </c>
      <c r="AU6422" t="s">
        <v>73</v>
      </c>
      <c r="AV6422">
        <v>3524</v>
      </c>
      <c r="AW6422" s="4">
        <v>42719</v>
      </c>
      <c r="BD6422">
        <v>25.01</v>
      </c>
      <c r="BN6422" t="s">
        <v>74</v>
      </c>
    </row>
    <row r="6423" spans="1:66">
      <c r="A6423">
        <v>104048</v>
      </c>
      <c r="B6423" s="3" t="s">
        <v>602</v>
      </c>
      <c r="C6423" s="1">
        <v>43300101</v>
      </c>
      <c r="D6423" t="s">
        <v>67</v>
      </c>
      <c r="H6423" t="str">
        <f t="shared" si="654"/>
        <v>00674840152</v>
      </c>
      <c r="I6423" t="str">
        <f t="shared" si="654"/>
        <v>00674840152</v>
      </c>
      <c r="K6423" t="str">
        <f>""</f>
        <v/>
      </c>
      <c r="M6423" t="s">
        <v>68</v>
      </c>
      <c r="N6423" t="str">
        <f t="shared" si="653"/>
        <v>FOR</v>
      </c>
      <c r="O6423" t="s">
        <v>69</v>
      </c>
      <c r="P6423" s="3" t="s">
        <v>75</v>
      </c>
      <c r="Q6423">
        <v>2016</v>
      </c>
      <c r="R6423" s="2">
        <v>42426</v>
      </c>
      <c r="S6423" s="2">
        <v>42433</v>
      </c>
      <c r="T6423" s="2">
        <v>42427</v>
      </c>
      <c r="U6423" s="2">
        <v>42487</v>
      </c>
      <c r="V6423" t="s">
        <v>71</v>
      </c>
      <c r="W6423" t="str">
        <f>"          5301712750"</f>
        <v xml:space="preserve">          5301712750</v>
      </c>
      <c r="X6423">
        <v>163.31</v>
      </c>
      <c r="Y6423">
        <v>0</v>
      </c>
      <c r="Z6423" s="3">
        <v>133.86000000000001</v>
      </c>
      <c r="AA6423">
        <v>232</v>
      </c>
      <c r="AB6423" s="5">
        <v>31055.52</v>
      </c>
      <c r="AC6423">
        <v>133.86000000000001</v>
      </c>
      <c r="AD6423">
        <v>232</v>
      </c>
      <c r="AE6423" s="1">
        <v>31055.52</v>
      </c>
      <c r="AF6423">
        <v>29.45</v>
      </c>
      <c r="AJ6423">
        <v>0</v>
      </c>
      <c r="AK6423">
        <v>0</v>
      </c>
      <c r="AL6423">
        <v>0</v>
      </c>
      <c r="AM6423">
        <v>163.31</v>
      </c>
      <c r="AN6423">
        <v>163.31</v>
      </c>
      <c r="AO6423">
        <v>163.31</v>
      </c>
      <c r="AP6423" s="2">
        <v>42746</v>
      </c>
      <c r="AQ6423" t="s">
        <v>72</v>
      </c>
      <c r="AR6423" t="s">
        <v>72</v>
      </c>
      <c r="AS6423">
        <v>3525</v>
      </c>
      <c r="AT6423" s="4">
        <v>42719</v>
      </c>
      <c r="AU6423" t="s">
        <v>73</v>
      </c>
      <c r="AV6423">
        <v>3525</v>
      </c>
      <c r="AW6423" s="4">
        <v>42719</v>
      </c>
      <c r="BD6423">
        <v>29.45</v>
      </c>
      <c r="BN6423" t="s">
        <v>74</v>
      </c>
    </row>
    <row r="6424" spans="1:66">
      <c r="A6424">
        <v>104048</v>
      </c>
      <c r="B6424" s="3" t="s">
        <v>602</v>
      </c>
      <c r="C6424" s="1">
        <v>43300101</v>
      </c>
      <c r="D6424" t="s">
        <v>67</v>
      </c>
      <c r="H6424" t="str">
        <f t="shared" si="654"/>
        <v>00674840152</v>
      </c>
      <c r="I6424" t="str">
        <f t="shared" si="654"/>
        <v>00674840152</v>
      </c>
      <c r="K6424" t="str">
        <f>""</f>
        <v/>
      </c>
      <c r="M6424" t="s">
        <v>68</v>
      </c>
      <c r="N6424" t="str">
        <f t="shared" si="653"/>
        <v>FOR</v>
      </c>
      <c r="O6424" t="s">
        <v>69</v>
      </c>
      <c r="P6424" s="3" t="s">
        <v>75</v>
      </c>
      <c r="Q6424">
        <v>2016</v>
      </c>
      <c r="R6424" s="2">
        <v>42429</v>
      </c>
      <c r="S6424" s="2">
        <v>42436</v>
      </c>
      <c r="T6424" s="2">
        <v>42430</v>
      </c>
      <c r="U6424" s="2">
        <v>42490</v>
      </c>
      <c r="V6424" t="s">
        <v>71</v>
      </c>
      <c r="W6424" t="str">
        <f>"          5301713185"</f>
        <v xml:space="preserve">          5301713185</v>
      </c>
      <c r="X6424">
        <v>13.25</v>
      </c>
      <c r="Y6424">
        <v>0</v>
      </c>
      <c r="Z6424" s="3">
        <v>10.86</v>
      </c>
      <c r="AA6424">
        <v>229</v>
      </c>
      <c r="AB6424" s="5">
        <v>2486.94</v>
      </c>
      <c r="AC6424">
        <v>10.86</v>
      </c>
      <c r="AD6424">
        <v>229</v>
      </c>
      <c r="AE6424" s="1">
        <v>2486.94</v>
      </c>
      <c r="AF6424">
        <v>2.39</v>
      </c>
      <c r="AJ6424">
        <v>0</v>
      </c>
      <c r="AK6424">
        <v>0</v>
      </c>
      <c r="AL6424">
        <v>0</v>
      </c>
      <c r="AM6424">
        <v>13.25</v>
      </c>
      <c r="AN6424">
        <v>13.25</v>
      </c>
      <c r="AO6424">
        <v>13.25</v>
      </c>
      <c r="AP6424" s="2">
        <v>42746</v>
      </c>
      <c r="AQ6424" t="s">
        <v>72</v>
      </c>
      <c r="AR6424" t="s">
        <v>72</v>
      </c>
      <c r="AS6424">
        <v>3525</v>
      </c>
      <c r="AT6424" s="4">
        <v>42719</v>
      </c>
      <c r="AU6424" t="s">
        <v>73</v>
      </c>
      <c r="AV6424">
        <v>3525</v>
      </c>
      <c r="AW6424" s="4">
        <v>42719</v>
      </c>
      <c r="BD6424">
        <v>2.39</v>
      </c>
      <c r="BN6424" t="s">
        <v>74</v>
      </c>
    </row>
    <row r="6425" spans="1:66">
      <c r="A6425">
        <v>104048</v>
      </c>
      <c r="B6425" s="3" t="s">
        <v>602</v>
      </c>
      <c r="C6425" s="1">
        <v>43300101</v>
      </c>
      <c r="D6425" t="s">
        <v>67</v>
      </c>
      <c r="H6425" t="str">
        <f t="shared" si="654"/>
        <v>00674840152</v>
      </c>
      <c r="I6425" t="str">
        <f t="shared" si="654"/>
        <v>00674840152</v>
      </c>
      <c r="K6425" t="str">
        <f>""</f>
        <v/>
      </c>
      <c r="M6425" t="s">
        <v>68</v>
      </c>
      <c r="N6425" t="str">
        <f t="shared" si="653"/>
        <v>FOR</v>
      </c>
      <c r="O6425" t="s">
        <v>69</v>
      </c>
      <c r="P6425" s="3" t="s">
        <v>75</v>
      </c>
      <c r="Q6425">
        <v>2016</v>
      </c>
      <c r="R6425" s="2">
        <v>42429</v>
      </c>
      <c r="S6425" s="2">
        <v>42436</v>
      </c>
      <c r="T6425" s="2">
        <v>42430</v>
      </c>
      <c r="U6425" s="2">
        <v>42490</v>
      </c>
      <c r="V6425" t="s">
        <v>71</v>
      </c>
      <c r="W6425" t="str">
        <f>"          5301713186"</f>
        <v xml:space="preserve">          5301713186</v>
      </c>
      <c r="X6425">
        <v>53</v>
      </c>
      <c r="Y6425">
        <v>0</v>
      </c>
      <c r="Z6425" s="3">
        <v>43.44</v>
      </c>
      <c r="AA6425">
        <v>229</v>
      </c>
      <c r="AB6425" s="5">
        <v>9947.76</v>
      </c>
      <c r="AC6425">
        <v>43.44</v>
      </c>
      <c r="AD6425">
        <v>229</v>
      </c>
      <c r="AE6425" s="1">
        <v>9947.76</v>
      </c>
      <c r="AF6425">
        <v>9.56</v>
      </c>
      <c r="AJ6425">
        <v>0</v>
      </c>
      <c r="AK6425">
        <v>0</v>
      </c>
      <c r="AL6425">
        <v>0</v>
      </c>
      <c r="AM6425">
        <v>53</v>
      </c>
      <c r="AN6425">
        <v>53</v>
      </c>
      <c r="AO6425">
        <v>53</v>
      </c>
      <c r="AP6425" s="2">
        <v>42746</v>
      </c>
      <c r="AQ6425" t="s">
        <v>72</v>
      </c>
      <c r="AR6425" t="s">
        <v>72</v>
      </c>
      <c r="AS6425">
        <v>3525</v>
      </c>
      <c r="AT6425" s="4">
        <v>42719</v>
      </c>
      <c r="AU6425" t="s">
        <v>73</v>
      </c>
      <c r="AV6425">
        <v>3525</v>
      </c>
      <c r="AW6425" s="4">
        <v>42719</v>
      </c>
      <c r="BD6425">
        <v>9.56</v>
      </c>
      <c r="BN6425" t="s">
        <v>74</v>
      </c>
    </row>
    <row r="6426" spans="1:66">
      <c r="A6426">
        <v>104048</v>
      </c>
      <c r="B6426" s="3" t="s">
        <v>602</v>
      </c>
      <c r="C6426" s="1">
        <v>43300101</v>
      </c>
      <c r="D6426" t="s">
        <v>67</v>
      </c>
      <c r="H6426" t="str">
        <f t="shared" si="654"/>
        <v>00674840152</v>
      </c>
      <c r="I6426" t="str">
        <f t="shared" si="654"/>
        <v>00674840152</v>
      </c>
      <c r="K6426" t="str">
        <f>""</f>
        <v/>
      </c>
      <c r="M6426" t="s">
        <v>68</v>
      </c>
      <c r="N6426" t="str">
        <f t="shared" si="653"/>
        <v>FOR</v>
      </c>
      <c r="O6426" t="s">
        <v>69</v>
      </c>
      <c r="P6426" s="3" t="s">
        <v>75</v>
      </c>
      <c r="Q6426">
        <v>2016</v>
      </c>
      <c r="R6426" s="2">
        <v>42430</v>
      </c>
      <c r="S6426" s="2">
        <v>42436</v>
      </c>
      <c r="T6426" s="2">
        <v>42431</v>
      </c>
      <c r="U6426" s="2">
        <v>42491</v>
      </c>
      <c r="V6426" t="s">
        <v>71</v>
      </c>
      <c r="W6426" t="str">
        <f>"          5301713355"</f>
        <v xml:space="preserve">          5301713355</v>
      </c>
      <c r="X6426">
        <v>186.66</v>
      </c>
      <c r="Y6426">
        <v>0</v>
      </c>
      <c r="Z6426" s="3">
        <v>153</v>
      </c>
      <c r="AA6426">
        <v>228</v>
      </c>
      <c r="AB6426" s="5">
        <v>34884</v>
      </c>
      <c r="AC6426">
        <v>153</v>
      </c>
      <c r="AD6426">
        <v>228</v>
      </c>
      <c r="AE6426" s="1">
        <v>34884</v>
      </c>
      <c r="AF6426">
        <v>33.659999999999997</v>
      </c>
      <c r="AJ6426">
        <v>0</v>
      </c>
      <c r="AK6426">
        <v>0</v>
      </c>
      <c r="AL6426">
        <v>0</v>
      </c>
      <c r="AM6426">
        <v>186.66</v>
      </c>
      <c r="AN6426">
        <v>186.66</v>
      </c>
      <c r="AO6426">
        <v>186.66</v>
      </c>
      <c r="AP6426" s="2">
        <v>42746</v>
      </c>
      <c r="AQ6426" t="s">
        <v>72</v>
      </c>
      <c r="AR6426" t="s">
        <v>72</v>
      </c>
      <c r="AS6426">
        <v>3525</v>
      </c>
      <c r="AT6426" s="4">
        <v>42719</v>
      </c>
      <c r="AU6426" t="s">
        <v>73</v>
      </c>
      <c r="AV6426">
        <v>3525</v>
      </c>
      <c r="AW6426" s="4">
        <v>42719</v>
      </c>
      <c r="BD6426">
        <v>33.659999999999997</v>
      </c>
      <c r="BN6426" t="s">
        <v>74</v>
      </c>
    </row>
    <row r="6427" spans="1:66">
      <c r="A6427">
        <v>104048</v>
      </c>
      <c r="B6427" s="3" t="s">
        <v>602</v>
      </c>
      <c r="C6427" s="1">
        <v>43300101</v>
      </c>
      <c r="D6427" t="s">
        <v>67</v>
      </c>
      <c r="H6427" t="str">
        <f t="shared" si="654"/>
        <v>00674840152</v>
      </c>
      <c r="I6427" t="str">
        <f t="shared" si="654"/>
        <v>00674840152</v>
      </c>
      <c r="K6427" t="str">
        <f>""</f>
        <v/>
      </c>
      <c r="M6427" t="s">
        <v>68</v>
      </c>
      <c r="N6427" t="str">
        <f t="shared" si="653"/>
        <v>FOR</v>
      </c>
      <c r="O6427" t="s">
        <v>69</v>
      </c>
      <c r="P6427" s="3" t="s">
        <v>75</v>
      </c>
      <c r="Q6427">
        <v>2016</v>
      </c>
      <c r="R6427" s="2">
        <v>42430</v>
      </c>
      <c r="S6427" s="2">
        <v>42436</v>
      </c>
      <c r="T6427" s="2">
        <v>42431</v>
      </c>
      <c r="U6427" s="2">
        <v>42491</v>
      </c>
      <c r="V6427" t="s">
        <v>71</v>
      </c>
      <c r="W6427" t="str">
        <f>"          5301713356"</f>
        <v xml:space="preserve">          5301713356</v>
      </c>
      <c r="X6427" s="1">
        <v>1293.5999999999999</v>
      </c>
      <c r="Y6427">
        <v>0</v>
      </c>
      <c r="Z6427" s="5">
        <v>1176</v>
      </c>
      <c r="AA6427">
        <v>228</v>
      </c>
      <c r="AB6427" s="5">
        <v>268128</v>
      </c>
      <c r="AC6427" s="1">
        <v>1176</v>
      </c>
      <c r="AD6427">
        <v>228</v>
      </c>
      <c r="AE6427" s="1">
        <v>268128</v>
      </c>
      <c r="AF6427">
        <v>117.6</v>
      </c>
      <c r="AJ6427">
        <v>0</v>
      </c>
      <c r="AK6427">
        <v>0</v>
      </c>
      <c r="AL6427">
        <v>0</v>
      </c>
      <c r="AM6427" s="1">
        <v>1293.5999999999999</v>
      </c>
      <c r="AN6427" s="1">
        <v>1293.5999999999999</v>
      </c>
      <c r="AO6427" s="1">
        <v>1293.5999999999999</v>
      </c>
      <c r="AP6427" s="2">
        <v>42746</v>
      </c>
      <c r="AQ6427" t="s">
        <v>72</v>
      </c>
      <c r="AR6427" t="s">
        <v>72</v>
      </c>
      <c r="AS6427">
        <v>3525</v>
      </c>
      <c r="AT6427" s="4">
        <v>42719</v>
      </c>
      <c r="AU6427" t="s">
        <v>73</v>
      </c>
      <c r="AV6427">
        <v>3525</v>
      </c>
      <c r="AW6427" s="4">
        <v>42719</v>
      </c>
      <c r="BD6427">
        <v>117.6</v>
      </c>
      <c r="BN6427" t="s">
        <v>74</v>
      </c>
    </row>
    <row r="6428" spans="1:66">
      <c r="A6428">
        <v>104048</v>
      </c>
      <c r="B6428" s="3" t="s">
        <v>602</v>
      </c>
      <c r="C6428" s="1">
        <v>43300101</v>
      </c>
      <c r="D6428" t="s">
        <v>67</v>
      </c>
      <c r="H6428" t="str">
        <f t="shared" si="654"/>
        <v>00674840152</v>
      </c>
      <c r="I6428" t="str">
        <f t="shared" si="654"/>
        <v>00674840152</v>
      </c>
      <c r="K6428" t="str">
        <f>""</f>
        <v/>
      </c>
      <c r="M6428" t="s">
        <v>68</v>
      </c>
      <c r="N6428" t="str">
        <f t="shared" si="653"/>
        <v>FOR</v>
      </c>
      <c r="O6428" t="s">
        <v>69</v>
      </c>
      <c r="P6428" s="3" t="s">
        <v>75</v>
      </c>
      <c r="Q6428">
        <v>2016</v>
      </c>
      <c r="R6428" s="2">
        <v>42430</v>
      </c>
      <c r="S6428" s="2">
        <v>42436</v>
      </c>
      <c r="T6428" s="2">
        <v>42431</v>
      </c>
      <c r="U6428" s="2">
        <v>42491</v>
      </c>
      <c r="V6428" t="s">
        <v>71</v>
      </c>
      <c r="W6428" t="str">
        <f>"          5301713357"</f>
        <v xml:space="preserve">          5301713357</v>
      </c>
      <c r="X6428" s="1">
        <v>1258.21</v>
      </c>
      <c r="Y6428">
        <v>0</v>
      </c>
      <c r="Z6428" s="5">
        <v>1031.32</v>
      </c>
      <c r="AA6428">
        <v>228</v>
      </c>
      <c r="AB6428" s="5">
        <v>235140.96</v>
      </c>
      <c r="AC6428" s="1">
        <v>1031.32</v>
      </c>
      <c r="AD6428">
        <v>228</v>
      </c>
      <c r="AE6428" s="1">
        <v>235140.96</v>
      </c>
      <c r="AF6428">
        <v>226.89</v>
      </c>
      <c r="AJ6428">
        <v>0</v>
      </c>
      <c r="AK6428">
        <v>0</v>
      </c>
      <c r="AL6428">
        <v>0</v>
      </c>
      <c r="AM6428" s="1">
        <v>1258.21</v>
      </c>
      <c r="AN6428" s="1">
        <v>1258.21</v>
      </c>
      <c r="AO6428" s="1">
        <v>1258.21</v>
      </c>
      <c r="AP6428" s="2">
        <v>42746</v>
      </c>
      <c r="AQ6428" t="s">
        <v>72</v>
      </c>
      <c r="AR6428" t="s">
        <v>72</v>
      </c>
      <c r="AS6428">
        <v>3525</v>
      </c>
      <c r="AT6428" s="4">
        <v>42719</v>
      </c>
      <c r="AU6428" t="s">
        <v>73</v>
      </c>
      <c r="AV6428">
        <v>3525</v>
      </c>
      <c r="AW6428" s="4">
        <v>42719</v>
      </c>
      <c r="BD6428">
        <v>226.89</v>
      </c>
      <c r="BN6428" t="s">
        <v>74</v>
      </c>
    </row>
    <row r="6429" spans="1:66">
      <c r="A6429">
        <v>104048</v>
      </c>
      <c r="B6429" s="3" t="s">
        <v>602</v>
      </c>
      <c r="C6429" s="1">
        <v>43300101</v>
      </c>
      <c r="D6429" t="s">
        <v>67</v>
      </c>
      <c r="H6429" t="str">
        <f t="shared" si="654"/>
        <v>00674840152</v>
      </c>
      <c r="I6429" t="str">
        <f t="shared" si="654"/>
        <v>00674840152</v>
      </c>
      <c r="K6429" t="str">
        <f>""</f>
        <v/>
      </c>
      <c r="M6429" t="s">
        <v>68</v>
      </c>
      <c r="N6429" t="str">
        <f t="shared" si="653"/>
        <v>FOR</v>
      </c>
      <c r="O6429" t="s">
        <v>69</v>
      </c>
      <c r="P6429" s="3" t="s">
        <v>75</v>
      </c>
      <c r="Q6429">
        <v>2016</v>
      </c>
      <c r="R6429" s="2">
        <v>42430</v>
      </c>
      <c r="S6429" s="2">
        <v>42436</v>
      </c>
      <c r="T6429" s="2">
        <v>42431</v>
      </c>
      <c r="U6429" s="2">
        <v>42491</v>
      </c>
      <c r="V6429" t="s">
        <v>71</v>
      </c>
      <c r="W6429" t="str">
        <f>"          5301713358"</f>
        <v xml:space="preserve">          5301713358</v>
      </c>
      <c r="X6429">
        <v>210.15</v>
      </c>
      <c r="Y6429">
        <v>0</v>
      </c>
      <c r="Z6429" s="3">
        <v>172.25</v>
      </c>
      <c r="AA6429">
        <v>228</v>
      </c>
      <c r="AB6429" s="5">
        <v>39273</v>
      </c>
      <c r="AC6429">
        <v>172.25</v>
      </c>
      <c r="AD6429">
        <v>228</v>
      </c>
      <c r="AE6429" s="1">
        <v>39273</v>
      </c>
      <c r="AF6429">
        <v>37.9</v>
      </c>
      <c r="AJ6429">
        <v>0</v>
      </c>
      <c r="AK6429">
        <v>0</v>
      </c>
      <c r="AL6429">
        <v>0</v>
      </c>
      <c r="AM6429">
        <v>210.15</v>
      </c>
      <c r="AN6429">
        <v>210.15</v>
      </c>
      <c r="AO6429">
        <v>210.15</v>
      </c>
      <c r="AP6429" s="2">
        <v>42746</v>
      </c>
      <c r="AQ6429" t="s">
        <v>72</v>
      </c>
      <c r="AR6429" t="s">
        <v>72</v>
      </c>
      <c r="AS6429">
        <v>3525</v>
      </c>
      <c r="AT6429" s="4">
        <v>42719</v>
      </c>
      <c r="AU6429" t="s">
        <v>73</v>
      </c>
      <c r="AV6429">
        <v>3525</v>
      </c>
      <c r="AW6429" s="4">
        <v>42719</v>
      </c>
      <c r="BD6429">
        <v>37.9</v>
      </c>
      <c r="BN6429" t="s">
        <v>74</v>
      </c>
    </row>
    <row r="6430" spans="1:66">
      <c r="A6430">
        <v>104048</v>
      </c>
      <c r="B6430" s="3" t="s">
        <v>602</v>
      </c>
      <c r="C6430" s="1">
        <v>43300101</v>
      </c>
      <c r="D6430" t="s">
        <v>67</v>
      </c>
      <c r="H6430" t="str">
        <f t="shared" si="654"/>
        <v>00674840152</v>
      </c>
      <c r="I6430" t="str">
        <f t="shared" si="654"/>
        <v>00674840152</v>
      </c>
      <c r="K6430" t="str">
        <f>""</f>
        <v/>
      </c>
      <c r="M6430" t="s">
        <v>68</v>
      </c>
      <c r="N6430" t="str">
        <f t="shared" si="653"/>
        <v>FOR</v>
      </c>
      <c r="O6430" t="s">
        <v>69</v>
      </c>
      <c r="P6430" s="3" t="s">
        <v>75</v>
      </c>
      <c r="Q6430">
        <v>2016</v>
      </c>
      <c r="R6430" s="2">
        <v>42431</v>
      </c>
      <c r="S6430" s="2">
        <v>42436</v>
      </c>
      <c r="T6430" s="2">
        <v>42432</v>
      </c>
      <c r="U6430" s="2">
        <v>42492</v>
      </c>
      <c r="V6430" t="s">
        <v>71</v>
      </c>
      <c r="W6430" t="str">
        <f>"          5301714034"</f>
        <v xml:space="preserve">          5301714034</v>
      </c>
      <c r="X6430" s="1">
        <v>2449.7600000000002</v>
      </c>
      <c r="Y6430">
        <v>0</v>
      </c>
      <c r="Z6430" s="5">
        <v>2008</v>
      </c>
      <c r="AA6430">
        <v>227</v>
      </c>
      <c r="AB6430" s="5">
        <v>455816</v>
      </c>
      <c r="AC6430" s="1">
        <v>2008</v>
      </c>
      <c r="AD6430">
        <v>227</v>
      </c>
      <c r="AE6430" s="1">
        <v>455816</v>
      </c>
      <c r="AF6430">
        <v>441.76</v>
      </c>
      <c r="AJ6430">
        <v>0</v>
      </c>
      <c r="AK6430">
        <v>0</v>
      </c>
      <c r="AL6430">
        <v>0</v>
      </c>
      <c r="AM6430" s="1">
        <v>2449.7600000000002</v>
      </c>
      <c r="AN6430" s="1">
        <v>2449.7600000000002</v>
      </c>
      <c r="AO6430" s="1">
        <v>2449.7600000000002</v>
      </c>
      <c r="AP6430" s="2">
        <v>42746</v>
      </c>
      <c r="AQ6430" t="s">
        <v>72</v>
      </c>
      <c r="AR6430" t="s">
        <v>72</v>
      </c>
      <c r="AS6430">
        <v>3525</v>
      </c>
      <c r="AT6430" s="4">
        <v>42719</v>
      </c>
      <c r="AU6430" t="s">
        <v>73</v>
      </c>
      <c r="AV6430">
        <v>3525</v>
      </c>
      <c r="AW6430" s="4">
        <v>42719</v>
      </c>
      <c r="BD6430">
        <v>441.76</v>
      </c>
      <c r="BN6430" t="s">
        <v>74</v>
      </c>
    </row>
    <row r="6431" spans="1:66">
      <c r="A6431">
        <v>104048</v>
      </c>
      <c r="B6431" s="3" t="s">
        <v>602</v>
      </c>
      <c r="C6431" s="1">
        <v>43300101</v>
      </c>
      <c r="D6431" t="s">
        <v>67</v>
      </c>
      <c r="H6431" t="str">
        <f t="shared" si="654"/>
        <v>00674840152</v>
      </c>
      <c r="I6431" t="str">
        <f t="shared" si="654"/>
        <v>00674840152</v>
      </c>
      <c r="K6431" t="str">
        <f>""</f>
        <v/>
      </c>
      <c r="M6431" t="s">
        <v>68</v>
      </c>
      <c r="N6431" t="str">
        <f t="shared" si="653"/>
        <v>FOR</v>
      </c>
      <c r="O6431" t="s">
        <v>69</v>
      </c>
      <c r="P6431" s="3" t="s">
        <v>75</v>
      </c>
      <c r="Q6431">
        <v>2016</v>
      </c>
      <c r="R6431" s="2">
        <v>42438</v>
      </c>
      <c r="S6431" s="2">
        <v>42443</v>
      </c>
      <c r="T6431" s="2">
        <v>42439</v>
      </c>
      <c r="U6431" s="2">
        <v>42499</v>
      </c>
      <c r="V6431" t="s">
        <v>71</v>
      </c>
      <c r="W6431" t="str">
        <f>"          5301715571"</f>
        <v xml:space="preserve">          5301715571</v>
      </c>
      <c r="X6431" s="1">
        <v>1293.5999999999999</v>
      </c>
      <c r="Y6431">
        <v>0</v>
      </c>
      <c r="Z6431" s="5">
        <v>1176</v>
      </c>
      <c r="AA6431">
        <v>220</v>
      </c>
      <c r="AB6431" s="5">
        <v>258720</v>
      </c>
      <c r="AC6431" s="1">
        <v>1176</v>
      </c>
      <c r="AD6431">
        <v>220</v>
      </c>
      <c r="AE6431" s="1">
        <v>258720</v>
      </c>
      <c r="AF6431">
        <v>117.6</v>
      </c>
      <c r="AJ6431">
        <v>0</v>
      </c>
      <c r="AK6431">
        <v>0</v>
      </c>
      <c r="AL6431">
        <v>0</v>
      </c>
      <c r="AM6431" s="1">
        <v>1293.5999999999999</v>
      </c>
      <c r="AN6431" s="1">
        <v>1293.5999999999999</v>
      </c>
      <c r="AO6431" s="1">
        <v>1293.5999999999999</v>
      </c>
      <c r="AP6431" s="2">
        <v>42746</v>
      </c>
      <c r="AQ6431" t="s">
        <v>72</v>
      </c>
      <c r="AR6431" t="s">
        <v>72</v>
      </c>
      <c r="AS6431">
        <v>3525</v>
      </c>
      <c r="AT6431" s="4">
        <v>42719</v>
      </c>
      <c r="AU6431" t="s">
        <v>73</v>
      </c>
      <c r="AV6431">
        <v>3525</v>
      </c>
      <c r="AW6431" s="4">
        <v>42719</v>
      </c>
      <c r="BD6431">
        <v>117.6</v>
      </c>
      <c r="BN6431" t="s">
        <v>74</v>
      </c>
    </row>
    <row r="6432" spans="1:66">
      <c r="A6432">
        <v>104048</v>
      </c>
      <c r="B6432" s="3" t="s">
        <v>602</v>
      </c>
      <c r="C6432" s="1">
        <v>43300101</v>
      </c>
      <c r="D6432" t="s">
        <v>67</v>
      </c>
      <c r="H6432" t="str">
        <f t="shared" si="654"/>
        <v>00674840152</v>
      </c>
      <c r="I6432" t="str">
        <f t="shared" si="654"/>
        <v>00674840152</v>
      </c>
      <c r="K6432" t="str">
        <f>""</f>
        <v/>
      </c>
      <c r="M6432" t="s">
        <v>68</v>
      </c>
      <c r="N6432" t="str">
        <f t="shared" si="653"/>
        <v>FOR</v>
      </c>
      <c r="O6432" t="s">
        <v>69</v>
      </c>
      <c r="P6432" s="3" t="s">
        <v>75</v>
      </c>
      <c r="Q6432">
        <v>2016</v>
      </c>
      <c r="R6432" s="2">
        <v>42453</v>
      </c>
      <c r="S6432" s="2">
        <v>42454</v>
      </c>
      <c r="T6432" s="2">
        <v>42454</v>
      </c>
      <c r="U6432" s="2">
        <v>42514</v>
      </c>
      <c r="V6432" t="s">
        <v>71</v>
      </c>
      <c r="W6432" t="str">
        <f>"          5301719440"</f>
        <v xml:space="preserve">          5301719440</v>
      </c>
      <c r="X6432" s="1">
        <v>1927.6</v>
      </c>
      <c r="Y6432">
        <v>0</v>
      </c>
      <c r="Z6432" s="5">
        <v>1580</v>
      </c>
      <c r="AA6432">
        <v>205</v>
      </c>
      <c r="AB6432" s="5">
        <v>323900</v>
      </c>
      <c r="AC6432" s="1">
        <v>1580</v>
      </c>
      <c r="AD6432">
        <v>205</v>
      </c>
      <c r="AE6432" s="1">
        <v>323900</v>
      </c>
      <c r="AF6432">
        <v>347.6</v>
      </c>
      <c r="AJ6432">
        <v>0</v>
      </c>
      <c r="AK6432">
        <v>0</v>
      </c>
      <c r="AL6432">
        <v>0</v>
      </c>
      <c r="AM6432" s="1">
        <v>1927.6</v>
      </c>
      <c r="AN6432" s="1">
        <v>1927.6</v>
      </c>
      <c r="AO6432" s="1">
        <v>1927.6</v>
      </c>
      <c r="AP6432" s="2">
        <v>42746</v>
      </c>
      <c r="AQ6432" t="s">
        <v>72</v>
      </c>
      <c r="AR6432" t="s">
        <v>72</v>
      </c>
      <c r="AS6432">
        <v>3525</v>
      </c>
      <c r="AT6432" s="4">
        <v>42719</v>
      </c>
      <c r="AU6432" t="s">
        <v>73</v>
      </c>
      <c r="AV6432">
        <v>3525</v>
      </c>
      <c r="AW6432" s="4">
        <v>42719</v>
      </c>
      <c r="BD6432">
        <v>347.6</v>
      </c>
      <c r="BN6432" t="s">
        <v>74</v>
      </c>
    </row>
    <row r="6433" spans="1:66">
      <c r="A6433">
        <v>104048</v>
      </c>
      <c r="B6433" s="3" t="s">
        <v>602</v>
      </c>
      <c r="C6433" s="1">
        <v>43300101</v>
      </c>
      <c r="D6433" t="s">
        <v>67</v>
      </c>
      <c r="H6433" t="str">
        <f t="shared" si="654"/>
        <v>00674840152</v>
      </c>
      <c r="I6433" t="str">
        <f t="shared" si="654"/>
        <v>00674840152</v>
      </c>
      <c r="K6433" t="str">
        <f>""</f>
        <v/>
      </c>
      <c r="M6433" t="s">
        <v>68</v>
      </c>
      <c r="N6433" t="str">
        <f t="shared" si="653"/>
        <v>FOR</v>
      </c>
      <c r="O6433" t="s">
        <v>69</v>
      </c>
      <c r="P6433" s="3" t="s">
        <v>75</v>
      </c>
      <c r="Q6433">
        <v>2016</v>
      </c>
      <c r="R6433" s="2">
        <v>42453</v>
      </c>
      <c r="S6433" s="2">
        <v>42454</v>
      </c>
      <c r="T6433" s="2">
        <v>42454</v>
      </c>
      <c r="U6433" s="2">
        <v>42514</v>
      </c>
      <c r="V6433" t="s">
        <v>71</v>
      </c>
      <c r="W6433" t="str">
        <f>"          5301719441"</f>
        <v xml:space="preserve">          5301719441</v>
      </c>
      <c r="X6433">
        <v>605.12</v>
      </c>
      <c r="Y6433">
        <v>0</v>
      </c>
      <c r="Z6433" s="3">
        <v>496</v>
      </c>
      <c r="AA6433">
        <v>205</v>
      </c>
      <c r="AB6433" s="5">
        <v>101680</v>
      </c>
      <c r="AC6433">
        <v>496</v>
      </c>
      <c r="AD6433">
        <v>205</v>
      </c>
      <c r="AE6433" s="1">
        <v>101680</v>
      </c>
      <c r="AF6433">
        <v>109.12</v>
      </c>
      <c r="AJ6433">
        <v>0</v>
      </c>
      <c r="AK6433">
        <v>0</v>
      </c>
      <c r="AL6433">
        <v>0</v>
      </c>
      <c r="AM6433">
        <v>605.12</v>
      </c>
      <c r="AN6433">
        <v>605.12</v>
      </c>
      <c r="AO6433">
        <v>605.12</v>
      </c>
      <c r="AP6433" s="2">
        <v>42746</v>
      </c>
      <c r="AQ6433" t="s">
        <v>72</v>
      </c>
      <c r="AR6433" t="s">
        <v>72</v>
      </c>
      <c r="AS6433">
        <v>3525</v>
      </c>
      <c r="AT6433" s="4">
        <v>42719</v>
      </c>
      <c r="AU6433" t="s">
        <v>73</v>
      </c>
      <c r="AV6433">
        <v>3525</v>
      </c>
      <c r="AW6433" s="4">
        <v>42719</v>
      </c>
      <c r="BD6433">
        <v>109.12</v>
      </c>
      <c r="BN6433" t="s">
        <v>74</v>
      </c>
    </row>
    <row r="6434" spans="1:66">
      <c r="A6434">
        <v>104048</v>
      </c>
      <c r="B6434" s="3" t="s">
        <v>602</v>
      </c>
      <c r="C6434" s="1">
        <v>43300101</v>
      </c>
      <c r="D6434" t="s">
        <v>67</v>
      </c>
      <c r="H6434" t="str">
        <f t="shared" si="654"/>
        <v>00674840152</v>
      </c>
      <c r="I6434" t="str">
        <f t="shared" si="654"/>
        <v>00674840152</v>
      </c>
      <c r="K6434" t="str">
        <f>""</f>
        <v/>
      </c>
      <c r="M6434" t="s">
        <v>68</v>
      </c>
      <c r="N6434" t="str">
        <f t="shared" si="653"/>
        <v>FOR</v>
      </c>
      <c r="O6434" t="s">
        <v>69</v>
      </c>
      <c r="P6434" s="3" t="s">
        <v>75</v>
      </c>
      <c r="Q6434">
        <v>2016</v>
      </c>
      <c r="R6434" s="2">
        <v>42453</v>
      </c>
      <c r="S6434" s="2">
        <v>42454</v>
      </c>
      <c r="T6434" s="2">
        <v>42454</v>
      </c>
      <c r="U6434" s="2">
        <v>42514</v>
      </c>
      <c r="V6434" t="s">
        <v>71</v>
      </c>
      <c r="W6434" t="str">
        <f>"          5301719442"</f>
        <v xml:space="preserve">          5301719442</v>
      </c>
      <c r="X6434" s="1">
        <v>1756.8</v>
      </c>
      <c r="Y6434">
        <v>0</v>
      </c>
      <c r="Z6434" s="5">
        <v>1440</v>
      </c>
      <c r="AA6434">
        <v>205</v>
      </c>
      <c r="AB6434" s="5">
        <v>295200</v>
      </c>
      <c r="AC6434" s="1">
        <v>1440</v>
      </c>
      <c r="AD6434">
        <v>205</v>
      </c>
      <c r="AE6434" s="1">
        <v>295200</v>
      </c>
      <c r="AF6434">
        <v>316.8</v>
      </c>
      <c r="AJ6434">
        <v>0</v>
      </c>
      <c r="AK6434">
        <v>0</v>
      </c>
      <c r="AL6434">
        <v>0</v>
      </c>
      <c r="AM6434" s="1">
        <v>1756.8</v>
      </c>
      <c r="AN6434" s="1">
        <v>1756.8</v>
      </c>
      <c r="AO6434" s="1">
        <v>1756.8</v>
      </c>
      <c r="AP6434" s="2">
        <v>42746</v>
      </c>
      <c r="AQ6434" t="s">
        <v>72</v>
      </c>
      <c r="AR6434" t="s">
        <v>72</v>
      </c>
      <c r="AS6434">
        <v>3525</v>
      </c>
      <c r="AT6434" s="4">
        <v>42719</v>
      </c>
      <c r="AU6434" t="s">
        <v>73</v>
      </c>
      <c r="AV6434">
        <v>3525</v>
      </c>
      <c r="AW6434" s="4">
        <v>42719</v>
      </c>
      <c r="BD6434">
        <v>316.8</v>
      </c>
      <c r="BN6434" t="s">
        <v>74</v>
      </c>
    </row>
    <row r="6435" spans="1:66">
      <c r="A6435">
        <v>104048</v>
      </c>
      <c r="B6435" s="3" t="s">
        <v>602</v>
      </c>
      <c r="C6435" s="1">
        <v>43300101</v>
      </c>
      <c r="D6435" t="s">
        <v>67</v>
      </c>
      <c r="H6435" t="str">
        <f t="shared" si="654"/>
        <v>00674840152</v>
      </c>
      <c r="I6435" t="str">
        <f t="shared" si="654"/>
        <v>00674840152</v>
      </c>
      <c r="K6435" t="str">
        <f>""</f>
        <v/>
      </c>
      <c r="M6435" t="s">
        <v>68</v>
      </c>
      <c r="N6435" t="str">
        <f t="shared" si="653"/>
        <v>FOR</v>
      </c>
      <c r="O6435" t="s">
        <v>69</v>
      </c>
      <c r="P6435" s="3" t="s">
        <v>75</v>
      </c>
      <c r="Q6435">
        <v>2016</v>
      </c>
      <c r="R6435" s="2">
        <v>42453</v>
      </c>
      <c r="S6435" s="2">
        <v>42454</v>
      </c>
      <c r="T6435" s="2">
        <v>42454</v>
      </c>
      <c r="U6435" s="2">
        <v>42514</v>
      </c>
      <c r="V6435" t="s">
        <v>71</v>
      </c>
      <c r="W6435" t="str">
        <f>"          5301719443"</f>
        <v xml:space="preserve">          5301719443</v>
      </c>
      <c r="X6435">
        <v>66.25</v>
      </c>
      <c r="Y6435">
        <v>0</v>
      </c>
      <c r="Z6435" s="3">
        <v>54.3</v>
      </c>
      <c r="AA6435">
        <v>205</v>
      </c>
      <c r="AB6435" s="5">
        <v>11131.5</v>
      </c>
      <c r="AC6435">
        <v>54.3</v>
      </c>
      <c r="AD6435">
        <v>205</v>
      </c>
      <c r="AE6435" s="1">
        <v>11131.5</v>
      </c>
      <c r="AF6435">
        <v>11.95</v>
      </c>
      <c r="AJ6435">
        <v>0</v>
      </c>
      <c r="AK6435">
        <v>0</v>
      </c>
      <c r="AL6435">
        <v>0</v>
      </c>
      <c r="AM6435">
        <v>66.25</v>
      </c>
      <c r="AN6435">
        <v>66.25</v>
      </c>
      <c r="AO6435">
        <v>66.25</v>
      </c>
      <c r="AP6435" s="2">
        <v>42746</v>
      </c>
      <c r="AQ6435" t="s">
        <v>72</v>
      </c>
      <c r="AR6435" t="s">
        <v>72</v>
      </c>
      <c r="AS6435">
        <v>3525</v>
      </c>
      <c r="AT6435" s="4">
        <v>42719</v>
      </c>
      <c r="AU6435" t="s">
        <v>73</v>
      </c>
      <c r="AV6435">
        <v>3525</v>
      </c>
      <c r="AW6435" s="4">
        <v>42719</v>
      </c>
      <c r="BD6435">
        <v>11.95</v>
      </c>
      <c r="BN6435" t="s">
        <v>74</v>
      </c>
    </row>
    <row r="6436" spans="1:66" hidden="1">
      <c r="A6436">
        <v>104053</v>
      </c>
      <c r="B6436" s="3" t="s">
        <v>603</v>
      </c>
      <c r="C6436" s="1">
        <v>43300101</v>
      </c>
      <c r="D6436" t="s">
        <v>67</v>
      </c>
      <c r="H6436" t="str">
        <f t="shared" ref="H6436:I6439" si="655">"00394900484"</f>
        <v>00394900484</v>
      </c>
      <c r="I6436" t="str">
        <f t="shared" si="655"/>
        <v>00394900484</v>
      </c>
      <c r="K6436" t="str">
        <f>""</f>
        <v/>
      </c>
      <c r="M6436" t="s">
        <v>68</v>
      </c>
      <c r="N6436" t="str">
        <f t="shared" si="653"/>
        <v>FOR</v>
      </c>
      <c r="O6436" t="s">
        <v>69</v>
      </c>
      <c r="P6436" s="3" t="s">
        <v>75</v>
      </c>
      <c r="Q6436">
        <v>2015</v>
      </c>
      <c r="R6436" s="2">
        <v>42123</v>
      </c>
      <c r="S6436" s="2">
        <v>42142</v>
      </c>
      <c r="T6436" s="2">
        <v>42137</v>
      </c>
      <c r="U6436" s="2">
        <v>42197</v>
      </c>
      <c r="V6436" t="s">
        <v>71</v>
      </c>
      <c r="W6436" t="str">
        <f>"          15VPA00016"</f>
        <v xml:space="preserve">          15VPA00016</v>
      </c>
      <c r="X6436">
        <v>808.94</v>
      </c>
      <c r="Y6436">
        <v>0</v>
      </c>
      <c r="Z6436"/>
      <c r="AB6436"/>
      <c r="AC6436">
        <v>735.4</v>
      </c>
      <c r="AD6436">
        <v>233</v>
      </c>
      <c r="AE6436" s="1">
        <v>171348.2</v>
      </c>
      <c r="AF6436">
        <v>0</v>
      </c>
      <c r="AJ6436">
        <v>0</v>
      </c>
      <c r="AK6436">
        <v>0</v>
      </c>
      <c r="AL6436">
        <v>0</v>
      </c>
      <c r="AM6436">
        <v>0</v>
      </c>
      <c r="AN6436">
        <v>0</v>
      </c>
      <c r="AO6436">
        <v>0</v>
      </c>
      <c r="AP6436" s="2">
        <v>42746</v>
      </c>
      <c r="AQ6436" t="s">
        <v>72</v>
      </c>
      <c r="AR6436" t="s">
        <v>72</v>
      </c>
      <c r="AS6436">
        <v>606</v>
      </c>
      <c r="AT6436" s="4">
        <v>42430</v>
      </c>
      <c r="AU6436" t="s">
        <v>73</v>
      </c>
      <c r="AV6436">
        <v>606</v>
      </c>
      <c r="AW6436" s="4">
        <v>42430</v>
      </c>
      <c r="BD6436">
        <v>0</v>
      </c>
      <c r="BN6436" t="s">
        <v>74</v>
      </c>
    </row>
    <row r="6437" spans="1:66" hidden="1">
      <c r="A6437">
        <v>104053</v>
      </c>
      <c r="B6437" s="3" t="s">
        <v>603</v>
      </c>
      <c r="C6437" s="1">
        <v>43300101</v>
      </c>
      <c r="D6437" t="s">
        <v>67</v>
      </c>
      <c r="H6437" t="str">
        <f t="shared" si="655"/>
        <v>00394900484</v>
      </c>
      <c r="I6437" t="str">
        <f t="shared" si="655"/>
        <v>00394900484</v>
      </c>
      <c r="K6437" t="str">
        <f>""</f>
        <v/>
      </c>
      <c r="M6437" t="s">
        <v>68</v>
      </c>
      <c r="N6437" t="str">
        <f t="shared" si="653"/>
        <v>FOR</v>
      </c>
      <c r="O6437" t="s">
        <v>69</v>
      </c>
      <c r="P6437" s="3" t="s">
        <v>75</v>
      </c>
      <c r="Q6437">
        <v>2015</v>
      </c>
      <c r="R6437" s="2">
        <v>42179</v>
      </c>
      <c r="S6437" s="2">
        <v>42191</v>
      </c>
      <c r="T6437" s="2">
        <v>42185</v>
      </c>
      <c r="U6437" s="2">
        <v>42245</v>
      </c>
      <c r="V6437" t="s">
        <v>71</v>
      </c>
      <c r="W6437" t="str">
        <f>"          15VPA00594"</f>
        <v xml:space="preserve">          15VPA00594</v>
      </c>
      <c r="X6437">
        <v>404.47</v>
      </c>
      <c r="Y6437">
        <v>0</v>
      </c>
      <c r="Z6437"/>
      <c r="AB6437"/>
      <c r="AC6437">
        <v>367.7</v>
      </c>
      <c r="AD6437">
        <v>275</v>
      </c>
      <c r="AE6437" s="1">
        <v>101117.5</v>
      </c>
      <c r="AF6437">
        <v>0</v>
      </c>
      <c r="AJ6437">
        <v>0</v>
      </c>
      <c r="AK6437">
        <v>0</v>
      </c>
      <c r="AL6437">
        <v>0</v>
      </c>
      <c r="AM6437">
        <v>0</v>
      </c>
      <c r="AN6437">
        <v>0</v>
      </c>
      <c r="AO6437">
        <v>0</v>
      </c>
      <c r="AP6437" s="2">
        <v>42746</v>
      </c>
      <c r="AQ6437" t="s">
        <v>72</v>
      </c>
      <c r="AR6437" t="s">
        <v>72</v>
      </c>
      <c r="AS6437">
        <v>1410</v>
      </c>
      <c r="AT6437" s="4">
        <v>42520</v>
      </c>
      <c r="AU6437" t="s">
        <v>73</v>
      </c>
      <c r="AV6437">
        <v>1410</v>
      </c>
      <c r="AW6437" s="4">
        <v>42520</v>
      </c>
      <c r="BD6437">
        <v>0</v>
      </c>
      <c r="BN6437" t="s">
        <v>74</v>
      </c>
    </row>
    <row r="6438" spans="1:66" hidden="1">
      <c r="A6438">
        <v>104053</v>
      </c>
      <c r="B6438" s="3" t="s">
        <v>603</v>
      </c>
      <c r="C6438" s="1">
        <v>43300101</v>
      </c>
      <c r="D6438" t="s">
        <v>67</v>
      </c>
      <c r="H6438" t="str">
        <f t="shared" si="655"/>
        <v>00394900484</v>
      </c>
      <c r="I6438" t="str">
        <f t="shared" si="655"/>
        <v>00394900484</v>
      </c>
      <c r="K6438" t="str">
        <f>""</f>
        <v/>
      </c>
      <c r="M6438" t="s">
        <v>68</v>
      </c>
      <c r="N6438" t="str">
        <f t="shared" si="653"/>
        <v>FOR</v>
      </c>
      <c r="O6438" t="s">
        <v>69</v>
      </c>
      <c r="P6438" s="3" t="s">
        <v>75</v>
      </c>
      <c r="Q6438">
        <v>2015</v>
      </c>
      <c r="R6438" s="2">
        <v>42247</v>
      </c>
      <c r="S6438" s="2">
        <v>42248</v>
      </c>
      <c r="T6438" s="2">
        <v>42247</v>
      </c>
      <c r="U6438" s="2">
        <v>42307</v>
      </c>
      <c r="V6438" t="s">
        <v>71</v>
      </c>
      <c r="W6438" t="str">
        <f>"          15VPA00927"</f>
        <v xml:space="preserve">          15VPA00927</v>
      </c>
      <c r="X6438">
        <v>404.47</v>
      </c>
      <c r="Y6438">
        <v>0</v>
      </c>
      <c r="Z6438"/>
      <c r="AB6438"/>
      <c r="AC6438">
        <v>367.7</v>
      </c>
      <c r="AD6438">
        <v>213</v>
      </c>
      <c r="AE6438" s="1">
        <v>78320.100000000006</v>
      </c>
      <c r="AF6438">
        <v>0</v>
      </c>
      <c r="AJ6438">
        <v>0</v>
      </c>
      <c r="AK6438">
        <v>0</v>
      </c>
      <c r="AL6438">
        <v>0</v>
      </c>
      <c r="AM6438">
        <v>0</v>
      </c>
      <c r="AN6438">
        <v>0</v>
      </c>
      <c r="AO6438">
        <v>0</v>
      </c>
      <c r="AP6438" s="2">
        <v>42746</v>
      </c>
      <c r="AQ6438" t="s">
        <v>72</v>
      </c>
      <c r="AR6438" t="s">
        <v>72</v>
      </c>
      <c r="AS6438">
        <v>1410</v>
      </c>
      <c r="AT6438" s="4">
        <v>42520</v>
      </c>
      <c r="AU6438" t="s">
        <v>73</v>
      </c>
      <c r="AV6438">
        <v>1410</v>
      </c>
      <c r="AW6438" s="4">
        <v>42520</v>
      </c>
      <c r="BD6438">
        <v>0</v>
      </c>
      <c r="BN6438" t="s">
        <v>74</v>
      </c>
    </row>
    <row r="6439" spans="1:66" hidden="1">
      <c r="A6439">
        <v>104053</v>
      </c>
      <c r="B6439" s="3" t="s">
        <v>603</v>
      </c>
      <c r="C6439" s="1">
        <v>43300101</v>
      </c>
      <c r="D6439" t="s">
        <v>67</v>
      </c>
      <c r="H6439" t="str">
        <f t="shared" si="655"/>
        <v>00394900484</v>
      </c>
      <c r="I6439" t="str">
        <f t="shared" si="655"/>
        <v>00394900484</v>
      </c>
      <c r="K6439" t="str">
        <f>""</f>
        <v/>
      </c>
      <c r="M6439" t="s">
        <v>68</v>
      </c>
      <c r="N6439" t="str">
        <f t="shared" si="653"/>
        <v>FOR</v>
      </c>
      <c r="O6439" t="s">
        <v>69</v>
      </c>
      <c r="P6439" s="3" t="s">
        <v>75</v>
      </c>
      <c r="Q6439">
        <v>2015</v>
      </c>
      <c r="R6439" s="2">
        <v>42338</v>
      </c>
      <c r="S6439" s="2">
        <v>42340</v>
      </c>
      <c r="T6439" s="2">
        <v>42338</v>
      </c>
      <c r="U6439" s="2">
        <v>42398</v>
      </c>
      <c r="V6439" t="s">
        <v>71</v>
      </c>
      <c r="W6439" t="str">
        <f>"          15VPA01702"</f>
        <v xml:space="preserve">          15VPA01702</v>
      </c>
      <c r="X6439">
        <v>404.47</v>
      </c>
      <c r="Y6439">
        <v>0</v>
      </c>
      <c r="Z6439"/>
      <c r="AB6439"/>
      <c r="AC6439">
        <v>367.7</v>
      </c>
      <c r="AD6439">
        <v>122</v>
      </c>
      <c r="AE6439" s="1">
        <v>44859.4</v>
      </c>
      <c r="AF6439">
        <v>0</v>
      </c>
      <c r="AJ6439">
        <v>0</v>
      </c>
      <c r="AK6439">
        <v>0</v>
      </c>
      <c r="AL6439">
        <v>0</v>
      </c>
      <c r="AM6439">
        <v>0</v>
      </c>
      <c r="AN6439">
        <v>0</v>
      </c>
      <c r="AO6439">
        <v>0</v>
      </c>
      <c r="AP6439" s="2">
        <v>42746</v>
      </c>
      <c r="AQ6439" t="s">
        <v>72</v>
      </c>
      <c r="AR6439" t="s">
        <v>72</v>
      </c>
      <c r="AS6439">
        <v>1410</v>
      </c>
      <c r="AT6439" s="4">
        <v>42520</v>
      </c>
      <c r="AU6439" t="s">
        <v>73</v>
      </c>
      <c r="AV6439">
        <v>1410</v>
      </c>
      <c r="AW6439" s="4">
        <v>42520</v>
      </c>
      <c r="BD6439">
        <v>0</v>
      </c>
      <c r="BN6439" t="s">
        <v>74</v>
      </c>
    </row>
    <row r="6440" spans="1:66">
      <c r="A6440">
        <v>104054</v>
      </c>
      <c r="B6440" s="3" t="s">
        <v>604</v>
      </c>
      <c r="C6440" s="1">
        <v>43300101</v>
      </c>
      <c r="D6440" t="s">
        <v>67</v>
      </c>
      <c r="H6440" t="str">
        <f t="shared" ref="H6440:I6442" si="656">"00136740404"</f>
        <v>00136740404</v>
      </c>
      <c r="I6440" t="str">
        <f t="shared" si="656"/>
        <v>00136740404</v>
      </c>
      <c r="K6440" t="str">
        <f>""</f>
        <v/>
      </c>
      <c r="M6440" t="s">
        <v>68</v>
      </c>
      <c r="N6440" t="str">
        <f t="shared" si="653"/>
        <v>FOR</v>
      </c>
      <c r="O6440" t="s">
        <v>69</v>
      </c>
      <c r="P6440" s="3" t="s">
        <v>75</v>
      </c>
      <c r="Q6440">
        <v>2015</v>
      </c>
      <c r="R6440" s="2">
        <v>42303</v>
      </c>
      <c r="S6440" s="2">
        <v>42305</v>
      </c>
      <c r="T6440" s="2">
        <v>42303</v>
      </c>
      <c r="U6440" s="2">
        <v>42363</v>
      </c>
      <c r="V6440" t="s">
        <v>71</v>
      </c>
      <c r="W6440" t="str">
        <f>"             6323/PA"</f>
        <v xml:space="preserve">             6323/PA</v>
      </c>
      <c r="X6440">
        <v>790.56</v>
      </c>
      <c r="Y6440">
        <v>0</v>
      </c>
      <c r="Z6440" s="3">
        <v>648</v>
      </c>
      <c r="AA6440">
        <v>285</v>
      </c>
      <c r="AB6440" s="5">
        <v>184680</v>
      </c>
      <c r="AC6440">
        <v>648</v>
      </c>
      <c r="AD6440">
        <v>285</v>
      </c>
      <c r="AE6440" s="1">
        <v>184680</v>
      </c>
      <c r="AF6440">
        <v>0</v>
      </c>
      <c r="AJ6440">
        <v>0</v>
      </c>
      <c r="AK6440">
        <v>0</v>
      </c>
      <c r="AL6440">
        <v>0</v>
      </c>
      <c r="AM6440">
        <v>0</v>
      </c>
      <c r="AN6440">
        <v>0</v>
      </c>
      <c r="AO6440">
        <v>0</v>
      </c>
      <c r="AP6440" s="2">
        <v>42746</v>
      </c>
      <c r="AQ6440" t="s">
        <v>72</v>
      </c>
      <c r="AR6440" t="s">
        <v>72</v>
      </c>
      <c r="AS6440">
        <v>2679</v>
      </c>
      <c r="AT6440" s="4">
        <v>42648</v>
      </c>
      <c r="AU6440" t="s">
        <v>73</v>
      </c>
      <c r="AV6440">
        <v>2679</v>
      </c>
      <c r="AW6440" s="4">
        <v>42648</v>
      </c>
      <c r="BD6440">
        <v>0</v>
      </c>
      <c r="BN6440" t="s">
        <v>74</v>
      </c>
    </row>
    <row r="6441" spans="1:66">
      <c r="A6441">
        <v>104054</v>
      </c>
      <c r="B6441" s="3" t="s">
        <v>604</v>
      </c>
      <c r="C6441" s="1">
        <v>43300101</v>
      </c>
      <c r="D6441" t="s">
        <v>67</v>
      </c>
      <c r="H6441" t="str">
        <f t="shared" si="656"/>
        <v>00136740404</v>
      </c>
      <c r="I6441" t="str">
        <f t="shared" si="656"/>
        <v>00136740404</v>
      </c>
      <c r="K6441" t="str">
        <f>""</f>
        <v/>
      </c>
      <c r="M6441" t="s">
        <v>68</v>
      </c>
      <c r="N6441" t="str">
        <f t="shared" si="653"/>
        <v>FOR</v>
      </c>
      <c r="O6441" t="s">
        <v>69</v>
      </c>
      <c r="P6441" s="3" t="s">
        <v>75</v>
      </c>
      <c r="Q6441">
        <v>2015</v>
      </c>
      <c r="R6441" s="2">
        <v>42359</v>
      </c>
      <c r="S6441" s="2">
        <v>42361</v>
      </c>
      <c r="T6441" s="2">
        <v>42359</v>
      </c>
      <c r="U6441" s="2">
        <v>42419</v>
      </c>
      <c r="V6441" t="s">
        <v>71</v>
      </c>
      <c r="W6441" t="str">
        <f>"             7896/PA"</f>
        <v xml:space="preserve">             7896/PA</v>
      </c>
      <c r="X6441">
        <v>395.28</v>
      </c>
      <c r="Y6441">
        <v>0</v>
      </c>
      <c r="Z6441" s="3">
        <v>324</v>
      </c>
      <c r="AA6441">
        <v>229</v>
      </c>
      <c r="AB6441" s="5">
        <v>74196</v>
      </c>
      <c r="AC6441">
        <v>324</v>
      </c>
      <c r="AD6441">
        <v>229</v>
      </c>
      <c r="AE6441" s="1">
        <v>74196</v>
      </c>
      <c r="AF6441">
        <v>0</v>
      </c>
      <c r="AJ6441">
        <v>0</v>
      </c>
      <c r="AK6441">
        <v>0</v>
      </c>
      <c r="AL6441">
        <v>0</v>
      </c>
      <c r="AM6441">
        <v>0</v>
      </c>
      <c r="AN6441">
        <v>0</v>
      </c>
      <c r="AO6441">
        <v>0</v>
      </c>
      <c r="AP6441" s="2">
        <v>42746</v>
      </c>
      <c r="AQ6441" t="s">
        <v>72</v>
      </c>
      <c r="AR6441" t="s">
        <v>72</v>
      </c>
      <c r="AS6441">
        <v>2679</v>
      </c>
      <c r="AT6441" s="4">
        <v>42648</v>
      </c>
      <c r="AU6441" t="s">
        <v>73</v>
      </c>
      <c r="AV6441">
        <v>2679</v>
      </c>
      <c r="AW6441" s="4">
        <v>42648</v>
      </c>
      <c r="BD6441">
        <v>0</v>
      </c>
      <c r="BN6441" t="s">
        <v>74</v>
      </c>
    </row>
    <row r="6442" spans="1:66">
      <c r="A6442">
        <v>104054</v>
      </c>
      <c r="B6442" s="3" t="s">
        <v>604</v>
      </c>
      <c r="C6442" s="1">
        <v>43300101</v>
      </c>
      <c r="D6442" t="s">
        <v>67</v>
      </c>
      <c r="H6442" t="str">
        <f t="shared" si="656"/>
        <v>00136740404</v>
      </c>
      <c r="I6442" t="str">
        <f t="shared" si="656"/>
        <v>00136740404</v>
      </c>
      <c r="K6442" t="str">
        <f>""</f>
        <v/>
      </c>
      <c r="M6442" t="s">
        <v>68</v>
      </c>
      <c r="N6442" t="str">
        <f t="shared" si="653"/>
        <v>FOR</v>
      </c>
      <c r="O6442" t="s">
        <v>69</v>
      </c>
      <c r="P6442" s="3" t="s">
        <v>75</v>
      </c>
      <c r="Q6442">
        <v>2016</v>
      </c>
      <c r="R6442" s="2">
        <v>42422</v>
      </c>
      <c r="S6442" s="2">
        <v>42425</v>
      </c>
      <c r="T6442" s="2">
        <v>42422</v>
      </c>
      <c r="U6442" s="2">
        <v>42482</v>
      </c>
      <c r="V6442" t="s">
        <v>71</v>
      </c>
      <c r="W6442" t="str">
        <f>"             1061/PA"</f>
        <v xml:space="preserve">             1061/PA</v>
      </c>
      <c r="X6442">
        <v>779.03</v>
      </c>
      <c r="Y6442">
        <v>0</v>
      </c>
      <c r="Z6442" s="3">
        <v>638.54999999999995</v>
      </c>
      <c r="AA6442">
        <v>241</v>
      </c>
      <c r="AB6442" s="5">
        <v>153890.54999999999</v>
      </c>
      <c r="AC6442">
        <v>638.54999999999995</v>
      </c>
      <c r="AD6442">
        <v>241</v>
      </c>
      <c r="AE6442" s="1">
        <v>153890.54999999999</v>
      </c>
      <c r="AF6442">
        <v>140.47999999999999</v>
      </c>
      <c r="AJ6442">
        <v>0</v>
      </c>
      <c r="AK6442">
        <v>0</v>
      </c>
      <c r="AL6442">
        <v>0</v>
      </c>
      <c r="AM6442">
        <v>779.03</v>
      </c>
      <c r="AN6442">
        <v>779.03</v>
      </c>
      <c r="AO6442">
        <v>779.03</v>
      </c>
      <c r="AP6442" s="2">
        <v>42746</v>
      </c>
      <c r="AQ6442" t="s">
        <v>72</v>
      </c>
      <c r="AR6442" t="s">
        <v>72</v>
      </c>
      <c r="AS6442">
        <v>3598</v>
      </c>
      <c r="AT6442" s="4">
        <v>42723</v>
      </c>
      <c r="AU6442" t="s">
        <v>73</v>
      </c>
      <c r="AV6442">
        <v>3598</v>
      </c>
      <c r="AW6442" s="4">
        <v>42723</v>
      </c>
      <c r="BD6442">
        <v>140.47999999999999</v>
      </c>
      <c r="BN6442" t="s">
        <v>74</v>
      </c>
    </row>
    <row r="6443" spans="1:66">
      <c r="A6443">
        <v>104059</v>
      </c>
      <c r="B6443" s="3" t="s">
        <v>605</v>
      </c>
      <c r="C6443" s="1">
        <v>43300101</v>
      </c>
      <c r="D6443" t="s">
        <v>67</v>
      </c>
      <c r="H6443" t="str">
        <f t="shared" ref="H6443:I6449" si="657">"06911020631"</f>
        <v>06911020631</v>
      </c>
      <c r="I6443" t="str">
        <f t="shared" si="657"/>
        <v>06911020631</v>
      </c>
      <c r="K6443" t="str">
        <f>""</f>
        <v/>
      </c>
      <c r="M6443" t="s">
        <v>68</v>
      </c>
      <c r="N6443" t="str">
        <f t="shared" si="653"/>
        <v>FOR</v>
      </c>
      <c r="O6443" t="s">
        <v>69</v>
      </c>
      <c r="P6443" s="3" t="s">
        <v>75</v>
      </c>
      <c r="Q6443">
        <v>2015</v>
      </c>
      <c r="R6443" s="2">
        <v>42172</v>
      </c>
      <c r="S6443" s="2">
        <v>42212</v>
      </c>
      <c r="T6443" s="2">
        <v>42209</v>
      </c>
      <c r="U6443" s="2">
        <v>42269</v>
      </c>
      <c r="V6443" t="s">
        <v>71</v>
      </c>
      <c r="W6443" t="str">
        <f>"                 211"</f>
        <v xml:space="preserve">                 211</v>
      </c>
      <c r="X6443" s="1">
        <v>1610.6</v>
      </c>
      <c r="Y6443">
        <v>0</v>
      </c>
      <c r="Z6443" s="5">
        <v>1320.16</v>
      </c>
      <c r="AA6443">
        <v>399</v>
      </c>
      <c r="AB6443" s="5">
        <v>526743.84</v>
      </c>
      <c r="AC6443" s="1">
        <v>1320.16</v>
      </c>
      <c r="AD6443">
        <v>399</v>
      </c>
      <c r="AE6443" s="1">
        <v>526743.84</v>
      </c>
      <c r="AF6443">
        <v>0</v>
      </c>
      <c r="AJ6443">
        <v>0</v>
      </c>
      <c r="AK6443">
        <v>0</v>
      </c>
      <c r="AL6443">
        <v>0</v>
      </c>
      <c r="AM6443">
        <v>0</v>
      </c>
      <c r="AN6443">
        <v>0</v>
      </c>
      <c r="AO6443">
        <v>0</v>
      </c>
      <c r="AP6443" s="2">
        <v>42746</v>
      </c>
      <c r="AQ6443" t="s">
        <v>72</v>
      </c>
      <c r="AR6443" t="s">
        <v>72</v>
      </c>
      <c r="AS6443">
        <v>2875</v>
      </c>
      <c r="AT6443" s="4">
        <v>42668</v>
      </c>
      <c r="AU6443" t="s">
        <v>73</v>
      </c>
      <c r="AV6443">
        <v>2875</v>
      </c>
      <c r="AW6443" s="4">
        <v>42668</v>
      </c>
      <c r="BD6443">
        <v>0</v>
      </c>
      <c r="BN6443" t="s">
        <v>74</v>
      </c>
    </row>
    <row r="6444" spans="1:66" hidden="1">
      <c r="A6444">
        <v>104059</v>
      </c>
      <c r="B6444" s="3" t="s">
        <v>605</v>
      </c>
      <c r="C6444" s="1">
        <v>43300101</v>
      </c>
      <c r="D6444" t="s">
        <v>67</v>
      </c>
      <c r="H6444" t="str">
        <f t="shared" si="657"/>
        <v>06911020631</v>
      </c>
      <c r="I6444" t="str">
        <f t="shared" si="657"/>
        <v>06911020631</v>
      </c>
      <c r="K6444" t="str">
        <f>""</f>
        <v/>
      </c>
      <c r="M6444" t="s">
        <v>68</v>
      </c>
      <c r="N6444" t="str">
        <f t="shared" si="653"/>
        <v>FOR</v>
      </c>
      <c r="O6444" t="s">
        <v>69</v>
      </c>
      <c r="P6444" s="3" t="s">
        <v>70</v>
      </c>
      <c r="Q6444">
        <v>2015</v>
      </c>
      <c r="R6444" s="2">
        <v>42062</v>
      </c>
      <c r="S6444" s="2">
        <v>42068</v>
      </c>
      <c r="T6444" s="2">
        <v>42068</v>
      </c>
      <c r="U6444" s="2">
        <v>42128</v>
      </c>
      <c r="V6444" t="s">
        <v>71</v>
      </c>
      <c r="W6444" t="str">
        <f>"                 219"</f>
        <v xml:space="preserve">                 219</v>
      </c>
      <c r="X6444">
        <v>175.68</v>
      </c>
      <c r="Y6444">
        <v>0</v>
      </c>
      <c r="Z6444"/>
      <c r="AB6444"/>
      <c r="AC6444">
        <v>144</v>
      </c>
      <c r="AD6444">
        <v>280</v>
      </c>
      <c r="AE6444" s="1">
        <v>40320</v>
      </c>
      <c r="AF6444">
        <v>0</v>
      </c>
      <c r="AJ6444">
        <v>0</v>
      </c>
      <c r="AK6444">
        <v>0</v>
      </c>
      <c r="AL6444">
        <v>0</v>
      </c>
      <c r="AM6444">
        <v>0</v>
      </c>
      <c r="AN6444">
        <v>0</v>
      </c>
      <c r="AO6444">
        <v>0</v>
      </c>
      <c r="AP6444" s="2">
        <v>42746</v>
      </c>
      <c r="AQ6444" t="s">
        <v>72</v>
      </c>
      <c r="AR6444" t="s">
        <v>72</v>
      </c>
      <c r="AS6444">
        <v>335</v>
      </c>
      <c r="AT6444" s="4">
        <v>42408</v>
      </c>
      <c r="AU6444" t="s">
        <v>73</v>
      </c>
      <c r="AV6444">
        <v>335</v>
      </c>
      <c r="AW6444" s="4">
        <v>42408</v>
      </c>
      <c r="BD6444">
        <v>0</v>
      </c>
      <c r="BN6444" t="s">
        <v>74</v>
      </c>
    </row>
    <row r="6445" spans="1:66" hidden="1">
      <c r="A6445">
        <v>104059</v>
      </c>
      <c r="B6445" s="3" t="s">
        <v>605</v>
      </c>
      <c r="C6445" s="1">
        <v>43300101</v>
      </c>
      <c r="D6445" t="s">
        <v>67</v>
      </c>
      <c r="H6445" t="str">
        <f t="shared" si="657"/>
        <v>06911020631</v>
      </c>
      <c r="I6445" t="str">
        <f t="shared" si="657"/>
        <v>06911020631</v>
      </c>
      <c r="K6445" t="str">
        <f>""</f>
        <v/>
      </c>
      <c r="M6445" t="s">
        <v>68</v>
      </c>
      <c r="N6445" t="str">
        <f t="shared" si="653"/>
        <v>FOR</v>
      </c>
      <c r="O6445" t="s">
        <v>69</v>
      </c>
      <c r="P6445" s="3" t="s">
        <v>70</v>
      </c>
      <c r="Q6445">
        <v>2015</v>
      </c>
      <c r="R6445" s="2">
        <v>42067</v>
      </c>
      <c r="S6445" s="2">
        <v>42081</v>
      </c>
      <c r="T6445" s="2">
        <v>42081</v>
      </c>
      <c r="U6445" s="2">
        <v>42141</v>
      </c>
      <c r="V6445" t="s">
        <v>71</v>
      </c>
      <c r="W6445" t="str">
        <f>"                 241"</f>
        <v xml:space="preserve">                 241</v>
      </c>
      <c r="X6445" s="1">
        <v>2332.64</v>
      </c>
      <c r="Y6445">
        <v>0</v>
      </c>
      <c r="Z6445"/>
      <c r="AB6445"/>
      <c r="AC6445" s="1">
        <v>1912</v>
      </c>
      <c r="AD6445">
        <v>274</v>
      </c>
      <c r="AE6445" s="1">
        <v>523888</v>
      </c>
      <c r="AF6445">
        <v>0</v>
      </c>
      <c r="AJ6445">
        <v>0</v>
      </c>
      <c r="AK6445">
        <v>0</v>
      </c>
      <c r="AL6445">
        <v>0</v>
      </c>
      <c r="AM6445">
        <v>0</v>
      </c>
      <c r="AN6445">
        <v>0</v>
      </c>
      <c r="AO6445">
        <v>0</v>
      </c>
      <c r="AP6445" s="2">
        <v>42746</v>
      </c>
      <c r="AQ6445" t="s">
        <v>72</v>
      </c>
      <c r="AR6445" t="s">
        <v>72</v>
      </c>
      <c r="AS6445">
        <v>367</v>
      </c>
      <c r="AT6445" s="4">
        <v>42415</v>
      </c>
      <c r="AU6445" t="s">
        <v>73</v>
      </c>
      <c r="AV6445">
        <v>367</v>
      </c>
      <c r="AW6445" s="4">
        <v>42415</v>
      </c>
      <c r="BD6445">
        <v>0</v>
      </c>
      <c r="BN6445" t="s">
        <v>74</v>
      </c>
    </row>
    <row r="6446" spans="1:66" hidden="1">
      <c r="A6446">
        <v>104059</v>
      </c>
      <c r="B6446" s="3" t="s">
        <v>605</v>
      </c>
      <c r="C6446" s="1">
        <v>43300101</v>
      </c>
      <c r="D6446" t="s">
        <v>67</v>
      </c>
      <c r="H6446" t="str">
        <f t="shared" si="657"/>
        <v>06911020631</v>
      </c>
      <c r="I6446" t="str">
        <f t="shared" si="657"/>
        <v>06911020631</v>
      </c>
      <c r="K6446" t="str">
        <f>""</f>
        <v/>
      </c>
      <c r="M6446" t="s">
        <v>68</v>
      </c>
      <c r="N6446" t="str">
        <f t="shared" si="653"/>
        <v>FOR</v>
      </c>
      <c r="O6446" t="s">
        <v>69</v>
      </c>
      <c r="P6446" s="3" t="s">
        <v>75</v>
      </c>
      <c r="Q6446">
        <v>2015</v>
      </c>
      <c r="R6446" s="2">
        <v>42206</v>
      </c>
      <c r="S6446" s="2">
        <v>42212</v>
      </c>
      <c r="T6446" s="2">
        <v>42209</v>
      </c>
      <c r="U6446" s="2">
        <v>42269</v>
      </c>
      <c r="V6446" t="s">
        <v>71</v>
      </c>
      <c r="W6446" t="str">
        <f>"                 396"</f>
        <v xml:space="preserve">                 396</v>
      </c>
      <c r="X6446" s="1">
        <v>2455.62</v>
      </c>
      <c r="Y6446">
        <v>0</v>
      </c>
      <c r="Z6446"/>
      <c r="AB6446"/>
      <c r="AC6446" s="1">
        <v>2012.8</v>
      </c>
      <c r="AD6446">
        <v>258</v>
      </c>
      <c r="AE6446" s="1">
        <v>519302.40000000002</v>
      </c>
      <c r="AF6446">
        <v>0</v>
      </c>
      <c r="AJ6446">
        <v>0</v>
      </c>
      <c r="AK6446">
        <v>0</v>
      </c>
      <c r="AL6446">
        <v>0</v>
      </c>
      <c r="AM6446">
        <v>0</v>
      </c>
      <c r="AN6446">
        <v>0</v>
      </c>
      <c r="AO6446">
        <v>0</v>
      </c>
      <c r="AP6446" s="2">
        <v>42746</v>
      </c>
      <c r="AQ6446" t="s">
        <v>72</v>
      </c>
      <c r="AR6446" t="s">
        <v>72</v>
      </c>
      <c r="AS6446">
        <v>1497</v>
      </c>
      <c r="AT6446" s="4">
        <v>42527</v>
      </c>
      <c r="AU6446" t="s">
        <v>73</v>
      </c>
      <c r="AV6446">
        <v>1497</v>
      </c>
      <c r="AW6446" s="4">
        <v>42527</v>
      </c>
      <c r="BD6446">
        <v>0</v>
      </c>
      <c r="BN6446" t="s">
        <v>74</v>
      </c>
    </row>
    <row r="6447" spans="1:66" hidden="1">
      <c r="A6447">
        <v>104059</v>
      </c>
      <c r="B6447" s="3" t="s">
        <v>605</v>
      </c>
      <c r="C6447" s="1">
        <v>43300101</v>
      </c>
      <c r="D6447" t="s">
        <v>67</v>
      </c>
      <c r="H6447" t="str">
        <f t="shared" si="657"/>
        <v>06911020631</v>
      </c>
      <c r="I6447" t="str">
        <f t="shared" si="657"/>
        <v>06911020631</v>
      </c>
      <c r="K6447" t="str">
        <f>""</f>
        <v/>
      </c>
      <c r="M6447" t="s">
        <v>68</v>
      </c>
      <c r="N6447" t="str">
        <f t="shared" si="653"/>
        <v>FOR</v>
      </c>
      <c r="O6447" t="s">
        <v>69</v>
      </c>
      <c r="P6447" s="3" t="s">
        <v>75</v>
      </c>
      <c r="Q6447">
        <v>2015</v>
      </c>
      <c r="R6447" s="2">
        <v>42272</v>
      </c>
      <c r="S6447" s="2">
        <v>42283</v>
      </c>
      <c r="T6447" s="2">
        <v>42279</v>
      </c>
      <c r="U6447" s="2">
        <v>42339</v>
      </c>
      <c r="V6447" t="s">
        <v>71</v>
      </c>
      <c r="W6447" t="str">
        <f>"                 628"</f>
        <v xml:space="preserve">                 628</v>
      </c>
      <c r="X6447" s="1">
        <v>1083.3599999999999</v>
      </c>
      <c r="Y6447">
        <v>0</v>
      </c>
      <c r="Z6447"/>
      <c r="AB6447"/>
      <c r="AC6447">
        <v>888</v>
      </c>
      <c r="AD6447">
        <v>282</v>
      </c>
      <c r="AE6447" s="1">
        <v>250416</v>
      </c>
      <c r="AF6447">
        <v>0</v>
      </c>
      <c r="AJ6447">
        <v>0</v>
      </c>
      <c r="AK6447">
        <v>0</v>
      </c>
      <c r="AL6447">
        <v>0</v>
      </c>
      <c r="AM6447">
        <v>0</v>
      </c>
      <c r="AN6447">
        <v>0</v>
      </c>
      <c r="AO6447">
        <v>0</v>
      </c>
      <c r="AP6447" s="2">
        <v>42746</v>
      </c>
      <c r="AQ6447" t="s">
        <v>72</v>
      </c>
      <c r="AR6447" t="s">
        <v>72</v>
      </c>
      <c r="AS6447">
        <v>2362</v>
      </c>
      <c r="AT6447" s="4">
        <v>42621</v>
      </c>
      <c r="AU6447" t="s">
        <v>73</v>
      </c>
      <c r="AV6447">
        <v>2362</v>
      </c>
      <c r="AW6447" s="4">
        <v>42621</v>
      </c>
      <c r="BD6447">
        <v>0</v>
      </c>
      <c r="BN6447" t="s">
        <v>74</v>
      </c>
    </row>
    <row r="6448" spans="1:66">
      <c r="A6448">
        <v>104059</v>
      </c>
      <c r="B6448" s="3" t="s">
        <v>605</v>
      </c>
      <c r="C6448" s="1">
        <v>43300101</v>
      </c>
      <c r="D6448" t="s">
        <v>67</v>
      </c>
      <c r="H6448" t="str">
        <f t="shared" si="657"/>
        <v>06911020631</v>
      </c>
      <c r="I6448" t="str">
        <f t="shared" si="657"/>
        <v>06911020631</v>
      </c>
      <c r="K6448" t="str">
        <f>""</f>
        <v/>
      </c>
      <c r="M6448" t="s">
        <v>68</v>
      </c>
      <c r="N6448" t="str">
        <f t="shared" si="653"/>
        <v>FOR</v>
      </c>
      <c r="O6448" t="s">
        <v>69</v>
      </c>
      <c r="P6448" s="3" t="s">
        <v>75</v>
      </c>
      <c r="Q6448">
        <v>2015</v>
      </c>
      <c r="R6448" s="2">
        <v>42338</v>
      </c>
      <c r="S6448" s="2">
        <v>42340</v>
      </c>
      <c r="T6448" s="2">
        <v>42339</v>
      </c>
      <c r="U6448" s="2">
        <v>42399</v>
      </c>
      <c r="V6448" t="s">
        <v>71</v>
      </c>
      <c r="W6448" t="str">
        <f>"                 884"</f>
        <v xml:space="preserve">                 884</v>
      </c>
      <c r="X6448" s="1">
        <v>1097.8</v>
      </c>
      <c r="Y6448">
        <v>0</v>
      </c>
      <c r="Z6448" s="3">
        <v>899.84</v>
      </c>
      <c r="AA6448">
        <v>285</v>
      </c>
      <c r="AB6448" s="5">
        <v>256454.39999999999</v>
      </c>
      <c r="AC6448">
        <v>899.84</v>
      </c>
      <c r="AD6448">
        <v>285</v>
      </c>
      <c r="AE6448" s="1">
        <v>256454.39999999999</v>
      </c>
      <c r="AF6448">
        <v>0</v>
      </c>
      <c r="AJ6448">
        <v>0</v>
      </c>
      <c r="AK6448">
        <v>0</v>
      </c>
      <c r="AL6448">
        <v>0</v>
      </c>
      <c r="AM6448">
        <v>0</v>
      </c>
      <c r="AN6448">
        <v>0</v>
      </c>
      <c r="AO6448">
        <v>0</v>
      </c>
      <c r="AP6448" s="2">
        <v>42746</v>
      </c>
      <c r="AQ6448" t="s">
        <v>72</v>
      </c>
      <c r="AR6448" t="s">
        <v>72</v>
      </c>
      <c r="AS6448">
        <v>3058</v>
      </c>
      <c r="AT6448" s="4">
        <v>42684</v>
      </c>
      <c r="AU6448" t="s">
        <v>73</v>
      </c>
      <c r="AV6448">
        <v>3058</v>
      </c>
      <c r="AW6448" s="4">
        <v>42684</v>
      </c>
      <c r="BD6448">
        <v>0</v>
      </c>
      <c r="BN6448" t="s">
        <v>74</v>
      </c>
    </row>
    <row r="6449" spans="1:66">
      <c r="A6449">
        <v>104059</v>
      </c>
      <c r="B6449" s="3" t="s">
        <v>605</v>
      </c>
      <c r="C6449" s="1">
        <v>43300101</v>
      </c>
      <c r="D6449" t="s">
        <v>67</v>
      </c>
      <c r="H6449" t="str">
        <f t="shared" si="657"/>
        <v>06911020631</v>
      </c>
      <c r="I6449" t="str">
        <f t="shared" si="657"/>
        <v>06911020631</v>
      </c>
      <c r="K6449" t="str">
        <f>""</f>
        <v/>
      </c>
      <c r="M6449" t="s">
        <v>68</v>
      </c>
      <c r="N6449" t="str">
        <f t="shared" si="653"/>
        <v>FOR</v>
      </c>
      <c r="O6449" t="s">
        <v>69</v>
      </c>
      <c r="P6449" s="3" t="s">
        <v>75</v>
      </c>
      <c r="Q6449">
        <v>2015</v>
      </c>
      <c r="R6449" s="2">
        <v>42353</v>
      </c>
      <c r="S6449" s="2">
        <v>42355</v>
      </c>
      <c r="T6449" s="2">
        <v>42354</v>
      </c>
      <c r="U6449" s="2">
        <v>42414</v>
      </c>
      <c r="V6449" t="s">
        <v>71</v>
      </c>
      <c r="W6449" t="str">
        <f>"                 904"</f>
        <v xml:space="preserve">                 904</v>
      </c>
      <c r="X6449">
        <v>866.69</v>
      </c>
      <c r="Y6449">
        <v>0</v>
      </c>
      <c r="Z6449" s="3">
        <v>710.4</v>
      </c>
      <c r="AA6449">
        <v>270</v>
      </c>
      <c r="AB6449" s="5">
        <v>191808</v>
      </c>
      <c r="AC6449">
        <v>710.4</v>
      </c>
      <c r="AD6449">
        <v>270</v>
      </c>
      <c r="AE6449" s="1">
        <v>191808</v>
      </c>
      <c r="AF6449">
        <v>0</v>
      </c>
      <c r="AJ6449">
        <v>0</v>
      </c>
      <c r="AK6449">
        <v>0</v>
      </c>
      <c r="AL6449">
        <v>0</v>
      </c>
      <c r="AM6449">
        <v>0</v>
      </c>
      <c r="AN6449">
        <v>0</v>
      </c>
      <c r="AO6449">
        <v>0</v>
      </c>
      <c r="AP6449" s="2">
        <v>42746</v>
      </c>
      <c r="AQ6449" t="s">
        <v>72</v>
      </c>
      <c r="AR6449" t="s">
        <v>72</v>
      </c>
      <c r="AS6449">
        <v>3058</v>
      </c>
      <c r="AT6449" s="4">
        <v>42684</v>
      </c>
      <c r="AU6449" t="s">
        <v>73</v>
      </c>
      <c r="AV6449">
        <v>3058</v>
      </c>
      <c r="AW6449" s="4">
        <v>42684</v>
      </c>
      <c r="BD6449">
        <v>0</v>
      </c>
      <c r="BN6449" t="s">
        <v>74</v>
      </c>
    </row>
    <row r="6450" spans="1:66" hidden="1">
      <c r="A6450">
        <v>104082</v>
      </c>
      <c r="B6450" s="3" t="s">
        <v>606</v>
      </c>
      <c r="C6450" s="1">
        <v>43300101</v>
      </c>
      <c r="D6450" t="s">
        <v>67</v>
      </c>
      <c r="H6450" t="str">
        <f t="shared" ref="H6450:I6452" si="658">"02723670960"</f>
        <v>02723670960</v>
      </c>
      <c r="I6450" t="str">
        <f t="shared" si="658"/>
        <v>02723670960</v>
      </c>
      <c r="K6450" t="str">
        <f>""</f>
        <v/>
      </c>
      <c r="M6450" t="s">
        <v>68</v>
      </c>
      <c r="N6450" t="str">
        <f t="shared" si="653"/>
        <v>FOR</v>
      </c>
      <c r="O6450" t="s">
        <v>69</v>
      </c>
      <c r="P6450" s="3" t="s">
        <v>75</v>
      </c>
      <c r="Q6450">
        <v>2015</v>
      </c>
      <c r="R6450" s="2">
        <v>42178</v>
      </c>
      <c r="S6450" s="2">
        <v>42180</v>
      </c>
      <c r="T6450" s="2">
        <v>42178</v>
      </c>
      <c r="U6450" s="2">
        <v>42238</v>
      </c>
      <c r="V6450" t="s">
        <v>71</v>
      </c>
      <c r="W6450" t="str">
        <f>"           015010272"</f>
        <v xml:space="preserve">           015010272</v>
      </c>
      <c r="X6450" s="1">
        <v>18728.02</v>
      </c>
      <c r="Y6450">
        <v>0</v>
      </c>
      <c r="Z6450"/>
      <c r="AB6450"/>
      <c r="AC6450" s="1">
        <v>15350.84</v>
      </c>
      <c r="AD6450">
        <v>254</v>
      </c>
      <c r="AE6450" s="1">
        <v>3899113.36</v>
      </c>
      <c r="AF6450">
        <v>0</v>
      </c>
      <c r="AJ6450">
        <v>0</v>
      </c>
      <c r="AK6450">
        <v>0</v>
      </c>
      <c r="AL6450">
        <v>0</v>
      </c>
      <c r="AM6450">
        <v>0</v>
      </c>
      <c r="AN6450">
        <v>0</v>
      </c>
      <c r="AO6450">
        <v>0</v>
      </c>
      <c r="AP6450" s="2">
        <v>42746</v>
      </c>
      <c r="AQ6450" t="s">
        <v>72</v>
      </c>
      <c r="AR6450" t="s">
        <v>72</v>
      </c>
      <c r="AS6450">
        <v>1227</v>
      </c>
      <c r="AT6450" s="4">
        <v>42492</v>
      </c>
      <c r="AU6450" t="s">
        <v>73</v>
      </c>
      <c r="AV6450">
        <v>1227</v>
      </c>
      <c r="AW6450" s="4">
        <v>42492</v>
      </c>
      <c r="BD6450">
        <v>0</v>
      </c>
      <c r="BN6450" t="s">
        <v>74</v>
      </c>
    </row>
    <row r="6451" spans="1:66" hidden="1">
      <c r="A6451">
        <v>104082</v>
      </c>
      <c r="B6451" s="3" t="s">
        <v>606</v>
      </c>
      <c r="C6451" s="1">
        <v>43300101</v>
      </c>
      <c r="D6451" t="s">
        <v>67</v>
      </c>
      <c r="H6451" t="str">
        <f t="shared" si="658"/>
        <v>02723670960</v>
      </c>
      <c r="I6451" t="str">
        <f t="shared" si="658"/>
        <v>02723670960</v>
      </c>
      <c r="K6451" t="str">
        <f>""</f>
        <v/>
      </c>
      <c r="M6451" t="s">
        <v>68</v>
      </c>
      <c r="N6451" t="str">
        <f t="shared" si="653"/>
        <v>FOR</v>
      </c>
      <c r="O6451" t="s">
        <v>69</v>
      </c>
      <c r="P6451" s="3" t="s">
        <v>75</v>
      </c>
      <c r="Q6451">
        <v>2015</v>
      </c>
      <c r="R6451" s="2">
        <v>42214</v>
      </c>
      <c r="S6451" s="2">
        <v>42227</v>
      </c>
      <c r="T6451" s="2">
        <v>42214</v>
      </c>
      <c r="U6451" s="2">
        <v>42274</v>
      </c>
      <c r="V6451" t="s">
        <v>71</v>
      </c>
      <c r="W6451" t="str">
        <f>"           015010381"</f>
        <v xml:space="preserve">           015010381</v>
      </c>
      <c r="X6451" s="1">
        <v>18728.02</v>
      </c>
      <c r="Y6451">
        <v>0</v>
      </c>
      <c r="Z6451"/>
      <c r="AB6451"/>
      <c r="AC6451" s="1">
        <v>15350.84</v>
      </c>
      <c r="AD6451">
        <v>303</v>
      </c>
      <c r="AE6451" s="1">
        <v>4651304.5199999996</v>
      </c>
      <c r="AF6451">
        <v>0</v>
      </c>
      <c r="AJ6451">
        <v>0</v>
      </c>
      <c r="AK6451">
        <v>0</v>
      </c>
      <c r="AL6451">
        <v>0</v>
      </c>
      <c r="AM6451">
        <v>0</v>
      </c>
      <c r="AN6451">
        <v>0</v>
      </c>
      <c r="AO6451">
        <v>0</v>
      </c>
      <c r="AP6451" s="2">
        <v>42746</v>
      </c>
      <c r="AQ6451" t="s">
        <v>72</v>
      </c>
      <c r="AR6451" t="s">
        <v>72</v>
      </c>
      <c r="AS6451">
        <v>1948</v>
      </c>
      <c r="AT6451" s="4">
        <v>42577</v>
      </c>
      <c r="AU6451" t="s">
        <v>73</v>
      </c>
      <c r="AV6451">
        <v>1948</v>
      </c>
      <c r="AW6451" s="4">
        <v>42577</v>
      </c>
      <c r="BD6451">
        <v>0</v>
      </c>
      <c r="BN6451" t="s">
        <v>74</v>
      </c>
    </row>
    <row r="6452" spans="1:66" hidden="1">
      <c r="A6452">
        <v>104082</v>
      </c>
      <c r="B6452" s="3" t="s">
        <v>606</v>
      </c>
      <c r="C6452" s="1">
        <v>43300101</v>
      </c>
      <c r="D6452" t="s">
        <v>67</v>
      </c>
      <c r="H6452" t="str">
        <f t="shared" si="658"/>
        <v>02723670960</v>
      </c>
      <c r="I6452" t="str">
        <f t="shared" si="658"/>
        <v>02723670960</v>
      </c>
      <c r="K6452" t="str">
        <f>""</f>
        <v/>
      </c>
      <c r="M6452" t="s">
        <v>68</v>
      </c>
      <c r="N6452" t="str">
        <f t="shared" si="653"/>
        <v>FOR</v>
      </c>
      <c r="O6452" t="s">
        <v>69</v>
      </c>
      <c r="P6452" s="3" t="s">
        <v>75</v>
      </c>
      <c r="Q6452">
        <v>2015</v>
      </c>
      <c r="R6452" s="2">
        <v>42247</v>
      </c>
      <c r="S6452" s="2">
        <v>42249</v>
      </c>
      <c r="T6452" s="2">
        <v>42249</v>
      </c>
      <c r="U6452" s="2">
        <v>42309</v>
      </c>
      <c r="V6452" t="s">
        <v>71</v>
      </c>
      <c r="W6452" t="str">
        <f>"           015010404"</f>
        <v xml:space="preserve">           015010404</v>
      </c>
      <c r="X6452" s="1">
        <v>18728.02</v>
      </c>
      <c r="Y6452">
        <v>0</v>
      </c>
      <c r="Z6452"/>
      <c r="AB6452"/>
      <c r="AC6452" s="1">
        <v>15350.84</v>
      </c>
      <c r="AD6452">
        <v>270</v>
      </c>
      <c r="AE6452" s="1">
        <v>4144726.8</v>
      </c>
      <c r="AF6452">
        <v>0</v>
      </c>
      <c r="AJ6452">
        <v>0</v>
      </c>
      <c r="AK6452">
        <v>0</v>
      </c>
      <c r="AL6452">
        <v>0</v>
      </c>
      <c r="AM6452">
        <v>0</v>
      </c>
      <c r="AN6452">
        <v>0</v>
      </c>
      <c r="AO6452">
        <v>0</v>
      </c>
      <c r="AP6452" s="2">
        <v>42746</v>
      </c>
      <c r="AQ6452" t="s">
        <v>72</v>
      </c>
      <c r="AR6452" t="s">
        <v>72</v>
      </c>
      <c r="AS6452">
        <v>2038</v>
      </c>
      <c r="AT6452" s="4">
        <v>42579</v>
      </c>
      <c r="AU6452" t="s">
        <v>73</v>
      </c>
      <c r="AV6452">
        <v>2038</v>
      </c>
      <c r="AW6452" s="4">
        <v>42579</v>
      </c>
      <c r="BD6452">
        <v>0</v>
      </c>
      <c r="BN6452" t="s">
        <v>74</v>
      </c>
    </row>
    <row r="6453" spans="1:66" hidden="1">
      <c r="A6453">
        <v>104083</v>
      </c>
      <c r="B6453" s="3" t="s">
        <v>607</v>
      </c>
      <c r="C6453" s="1">
        <v>43300101</v>
      </c>
      <c r="D6453" t="s">
        <v>67</v>
      </c>
      <c r="H6453" t="str">
        <f t="shared" ref="H6453:H6484" si="659">"06324460150"</f>
        <v>06324460150</v>
      </c>
      <c r="I6453" t="str">
        <f t="shared" ref="I6453:I6484" si="660">"02804530968"</f>
        <v>02804530968</v>
      </c>
      <c r="K6453" t="str">
        <f>""</f>
        <v/>
      </c>
      <c r="M6453" t="s">
        <v>68</v>
      </c>
      <c r="N6453" t="str">
        <f t="shared" si="653"/>
        <v>FOR</v>
      </c>
      <c r="O6453" t="s">
        <v>69</v>
      </c>
      <c r="P6453" s="3" t="s">
        <v>70</v>
      </c>
      <c r="Q6453">
        <v>2015</v>
      </c>
      <c r="R6453" s="2">
        <v>42051</v>
      </c>
      <c r="S6453" s="2">
        <v>42073</v>
      </c>
      <c r="T6453" s="2">
        <v>42073</v>
      </c>
      <c r="U6453" s="2">
        <v>42133</v>
      </c>
      <c r="V6453" t="s">
        <v>71</v>
      </c>
      <c r="W6453" t="str">
        <f>"          2152006552"</f>
        <v xml:space="preserve">          2152006552</v>
      </c>
      <c r="X6453">
        <v>17.32</v>
      </c>
      <c r="Y6453">
        <v>0</v>
      </c>
      <c r="Z6453"/>
      <c r="AB6453"/>
      <c r="AC6453">
        <v>14.2</v>
      </c>
      <c r="AD6453">
        <v>275</v>
      </c>
      <c r="AE6453" s="1">
        <v>3905</v>
      </c>
      <c r="AF6453">
        <v>0</v>
      </c>
      <c r="AJ6453">
        <v>0</v>
      </c>
      <c r="AK6453">
        <v>0</v>
      </c>
      <c r="AL6453">
        <v>0</v>
      </c>
      <c r="AM6453">
        <v>0</v>
      </c>
      <c r="AN6453">
        <v>0</v>
      </c>
      <c r="AO6453">
        <v>0</v>
      </c>
      <c r="AP6453" s="2">
        <v>42746</v>
      </c>
      <c r="AQ6453" t="s">
        <v>72</v>
      </c>
      <c r="AR6453" t="s">
        <v>72</v>
      </c>
      <c r="AS6453">
        <v>306</v>
      </c>
      <c r="AT6453" s="4">
        <v>42408</v>
      </c>
      <c r="AU6453" t="s">
        <v>73</v>
      </c>
      <c r="AV6453">
        <v>306</v>
      </c>
      <c r="AW6453" s="4">
        <v>42408</v>
      </c>
      <c r="BD6453">
        <v>0</v>
      </c>
      <c r="BN6453" t="s">
        <v>74</v>
      </c>
    </row>
    <row r="6454" spans="1:66" hidden="1">
      <c r="A6454">
        <v>104083</v>
      </c>
      <c r="B6454" s="3" t="s">
        <v>607</v>
      </c>
      <c r="C6454" s="1">
        <v>43300101</v>
      </c>
      <c r="D6454" t="s">
        <v>67</v>
      </c>
      <c r="H6454" t="str">
        <f t="shared" si="659"/>
        <v>06324460150</v>
      </c>
      <c r="I6454" t="str">
        <f t="shared" si="660"/>
        <v>02804530968</v>
      </c>
      <c r="K6454" t="str">
        <f>""</f>
        <v/>
      </c>
      <c r="M6454" t="s">
        <v>68</v>
      </c>
      <c r="N6454" t="str">
        <f t="shared" si="653"/>
        <v>FOR</v>
      </c>
      <c r="O6454" t="s">
        <v>69</v>
      </c>
      <c r="P6454" s="3" t="s">
        <v>70</v>
      </c>
      <c r="Q6454">
        <v>2015</v>
      </c>
      <c r="R6454" s="2">
        <v>42059</v>
      </c>
      <c r="S6454" s="2">
        <v>42073</v>
      </c>
      <c r="T6454" s="2">
        <v>42073</v>
      </c>
      <c r="U6454" s="2">
        <v>42133</v>
      </c>
      <c r="V6454" t="s">
        <v>71</v>
      </c>
      <c r="W6454" t="str">
        <f>"          2152010100"</f>
        <v xml:space="preserve">          2152010100</v>
      </c>
      <c r="X6454">
        <v>499.59</v>
      </c>
      <c r="Y6454">
        <v>0</v>
      </c>
      <c r="Z6454"/>
      <c r="AB6454"/>
      <c r="AC6454">
        <v>409.5</v>
      </c>
      <c r="AD6454">
        <v>275</v>
      </c>
      <c r="AE6454" s="1">
        <v>112612.5</v>
      </c>
      <c r="AF6454">
        <v>0</v>
      </c>
      <c r="AJ6454">
        <v>0</v>
      </c>
      <c r="AK6454">
        <v>0</v>
      </c>
      <c r="AL6454">
        <v>0</v>
      </c>
      <c r="AM6454">
        <v>0</v>
      </c>
      <c r="AN6454">
        <v>0</v>
      </c>
      <c r="AO6454">
        <v>0</v>
      </c>
      <c r="AP6454" s="2">
        <v>42746</v>
      </c>
      <c r="AQ6454" t="s">
        <v>72</v>
      </c>
      <c r="AR6454" t="s">
        <v>72</v>
      </c>
      <c r="AS6454">
        <v>306</v>
      </c>
      <c r="AT6454" s="4">
        <v>42408</v>
      </c>
      <c r="AU6454" t="s">
        <v>73</v>
      </c>
      <c r="AV6454">
        <v>306</v>
      </c>
      <c r="AW6454" s="4">
        <v>42408</v>
      </c>
      <c r="BD6454">
        <v>0</v>
      </c>
      <c r="BN6454" t="s">
        <v>74</v>
      </c>
    </row>
    <row r="6455" spans="1:66" hidden="1">
      <c r="A6455">
        <v>104083</v>
      </c>
      <c r="B6455" s="3" t="s">
        <v>607</v>
      </c>
      <c r="C6455" s="1">
        <v>43300101</v>
      </c>
      <c r="D6455" t="s">
        <v>67</v>
      </c>
      <c r="H6455" t="str">
        <f t="shared" si="659"/>
        <v>06324460150</v>
      </c>
      <c r="I6455" t="str">
        <f t="shared" si="660"/>
        <v>02804530968</v>
      </c>
      <c r="K6455" t="str">
        <f>""</f>
        <v/>
      </c>
      <c r="M6455" t="s">
        <v>68</v>
      </c>
      <c r="N6455" t="str">
        <f t="shared" si="653"/>
        <v>FOR</v>
      </c>
      <c r="O6455" t="s">
        <v>69</v>
      </c>
      <c r="P6455" s="3" t="s">
        <v>70</v>
      </c>
      <c r="Q6455">
        <v>2015</v>
      </c>
      <c r="R6455" s="2">
        <v>42059</v>
      </c>
      <c r="S6455" s="2">
        <v>42073</v>
      </c>
      <c r="T6455" s="2">
        <v>42073</v>
      </c>
      <c r="U6455" s="2">
        <v>42133</v>
      </c>
      <c r="V6455" t="s">
        <v>71</v>
      </c>
      <c r="W6455" t="str">
        <f>"          2152010101"</f>
        <v xml:space="preserve">          2152010101</v>
      </c>
      <c r="X6455" s="1">
        <v>2268.2199999999998</v>
      </c>
      <c r="Y6455">
        <v>0</v>
      </c>
      <c r="Z6455"/>
      <c r="AB6455"/>
      <c r="AC6455" s="1">
        <v>1859.2</v>
      </c>
      <c r="AD6455">
        <v>275</v>
      </c>
      <c r="AE6455" s="1">
        <v>511280</v>
      </c>
      <c r="AF6455">
        <v>0</v>
      </c>
      <c r="AJ6455">
        <v>0</v>
      </c>
      <c r="AK6455">
        <v>0</v>
      </c>
      <c r="AL6455">
        <v>0</v>
      </c>
      <c r="AM6455">
        <v>0</v>
      </c>
      <c r="AN6455">
        <v>0</v>
      </c>
      <c r="AO6455">
        <v>0</v>
      </c>
      <c r="AP6455" s="2">
        <v>42746</v>
      </c>
      <c r="AQ6455" t="s">
        <v>72</v>
      </c>
      <c r="AR6455" t="s">
        <v>72</v>
      </c>
      <c r="AS6455">
        <v>306</v>
      </c>
      <c r="AT6455" s="4">
        <v>42408</v>
      </c>
      <c r="AU6455" t="s">
        <v>73</v>
      </c>
      <c r="AV6455">
        <v>306</v>
      </c>
      <c r="AW6455" s="4">
        <v>42408</v>
      </c>
      <c r="BD6455">
        <v>0</v>
      </c>
      <c r="BN6455" t="s">
        <v>74</v>
      </c>
    </row>
    <row r="6456" spans="1:66" hidden="1">
      <c r="A6456">
        <v>104083</v>
      </c>
      <c r="B6456" s="3" t="s">
        <v>607</v>
      </c>
      <c r="C6456" s="1">
        <v>43300101</v>
      </c>
      <c r="D6456" t="s">
        <v>67</v>
      </c>
      <c r="H6456" t="str">
        <f t="shared" si="659"/>
        <v>06324460150</v>
      </c>
      <c r="I6456" t="str">
        <f t="shared" si="660"/>
        <v>02804530968</v>
      </c>
      <c r="K6456" t="str">
        <f>""</f>
        <v/>
      </c>
      <c r="M6456" t="s">
        <v>68</v>
      </c>
      <c r="N6456" t="str">
        <f t="shared" si="653"/>
        <v>FOR</v>
      </c>
      <c r="O6456" t="s">
        <v>69</v>
      </c>
      <c r="P6456" s="3" t="s">
        <v>70</v>
      </c>
      <c r="Q6456">
        <v>2015</v>
      </c>
      <c r="R6456" s="2">
        <v>42060</v>
      </c>
      <c r="S6456" s="2">
        <v>42073</v>
      </c>
      <c r="T6456" s="2">
        <v>42073</v>
      </c>
      <c r="U6456" s="2">
        <v>42133</v>
      </c>
      <c r="V6456" t="s">
        <v>71</v>
      </c>
      <c r="W6456" t="str">
        <f>"          2152010433"</f>
        <v xml:space="preserve">          2152010433</v>
      </c>
      <c r="X6456">
        <v>418.34</v>
      </c>
      <c r="Y6456">
        <v>0</v>
      </c>
      <c r="Z6456"/>
      <c r="AB6456"/>
      <c r="AC6456">
        <v>342.9</v>
      </c>
      <c r="AD6456">
        <v>275</v>
      </c>
      <c r="AE6456" s="1">
        <v>94297.5</v>
      </c>
      <c r="AF6456">
        <v>0</v>
      </c>
      <c r="AJ6456">
        <v>0</v>
      </c>
      <c r="AK6456">
        <v>0</v>
      </c>
      <c r="AL6456">
        <v>0</v>
      </c>
      <c r="AM6456">
        <v>0</v>
      </c>
      <c r="AN6456">
        <v>0</v>
      </c>
      <c r="AO6456">
        <v>0</v>
      </c>
      <c r="AP6456" s="2">
        <v>42746</v>
      </c>
      <c r="AQ6456" t="s">
        <v>72</v>
      </c>
      <c r="AR6456" t="s">
        <v>72</v>
      </c>
      <c r="AS6456">
        <v>306</v>
      </c>
      <c r="AT6456" s="4">
        <v>42408</v>
      </c>
      <c r="AU6456" t="s">
        <v>73</v>
      </c>
      <c r="AV6456">
        <v>306</v>
      </c>
      <c r="AW6456" s="4">
        <v>42408</v>
      </c>
      <c r="BD6456">
        <v>0</v>
      </c>
      <c r="BN6456" t="s">
        <v>74</v>
      </c>
    </row>
    <row r="6457" spans="1:66" hidden="1">
      <c r="A6457">
        <v>104083</v>
      </c>
      <c r="B6457" s="3" t="s">
        <v>607</v>
      </c>
      <c r="C6457" s="1">
        <v>43300101</v>
      </c>
      <c r="D6457" t="s">
        <v>67</v>
      </c>
      <c r="H6457" t="str">
        <f t="shared" si="659"/>
        <v>06324460150</v>
      </c>
      <c r="I6457" t="str">
        <f t="shared" si="660"/>
        <v>02804530968</v>
      </c>
      <c r="K6457" t="str">
        <f>""</f>
        <v/>
      </c>
      <c r="M6457" t="s">
        <v>68</v>
      </c>
      <c r="N6457" t="str">
        <f t="shared" si="653"/>
        <v>FOR</v>
      </c>
      <c r="O6457" t="s">
        <v>69</v>
      </c>
      <c r="P6457" s="3" t="s">
        <v>70</v>
      </c>
      <c r="Q6457">
        <v>2015</v>
      </c>
      <c r="R6457" s="2">
        <v>42060</v>
      </c>
      <c r="S6457" s="2">
        <v>42073</v>
      </c>
      <c r="T6457" s="2">
        <v>42073</v>
      </c>
      <c r="U6457" s="2">
        <v>42133</v>
      </c>
      <c r="V6457" t="s">
        <v>71</v>
      </c>
      <c r="W6457" t="str">
        <f>"          2152010434"</f>
        <v xml:space="preserve">          2152010434</v>
      </c>
      <c r="X6457">
        <v>521.17999999999995</v>
      </c>
      <c r="Y6457">
        <v>0</v>
      </c>
      <c r="Z6457"/>
      <c r="AB6457"/>
      <c r="AC6457">
        <v>427.2</v>
      </c>
      <c r="AD6457">
        <v>275</v>
      </c>
      <c r="AE6457" s="1">
        <v>117480</v>
      </c>
      <c r="AF6457">
        <v>0</v>
      </c>
      <c r="AJ6457">
        <v>0</v>
      </c>
      <c r="AK6457">
        <v>0</v>
      </c>
      <c r="AL6457">
        <v>0</v>
      </c>
      <c r="AM6457">
        <v>0</v>
      </c>
      <c r="AN6457">
        <v>0</v>
      </c>
      <c r="AO6457">
        <v>0</v>
      </c>
      <c r="AP6457" s="2">
        <v>42746</v>
      </c>
      <c r="AQ6457" t="s">
        <v>72</v>
      </c>
      <c r="AR6457" t="s">
        <v>72</v>
      </c>
      <c r="AS6457">
        <v>306</v>
      </c>
      <c r="AT6457" s="4">
        <v>42408</v>
      </c>
      <c r="AU6457" t="s">
        <v>73</v>
      </c>
      <c r="AV6457">
        <v>306</v>
      </c>
      <c r="AW6457" s="4">
        <v>42408</v>
      </c>
      <c r="BD6457">
        <v>0</v>
      </c>
      <c r="BN6457" t="s">
        <v>74</v>
      </c>
    </row>
    <row r="6458" spans="1:66" hidden="1">
      <c r="A6458">
        <v>104083</v>
      </c>
      <c r="B6458" s="3" t="s">
        <v>607</v>
      </c>
      <c r="C6458" s="1">
        <v>43300101</v>
      </c>
      <c r="D6458" t="s">
        <v>67</v>
      </c>
      <c r="H6458" t="str">
        <f t="shared" si="659"/>
        <v>06324460150</v>
      </c>
      <c r="I6458" t="str">
        <f t="shared" si="660"/>
        <v>02804530968</v>
      </c>
      <c r="K6458" t="str">
        <f>""</f>
        <v/>
      </c>
      <c r="M6458" t="s">
        <v>68</v>
      </c>
      <c r="N6458" t="str">
        <f t="shared" si="653"/>
        <v>FOR</v>
      </c>
      <c r="O6458" t="s">
        <v>69</v>
      </c>
      <c r="P6458" s="3" t="s">
        <v>70</v>
      </c>
      <c r="Q6458">
        <v>2015</v>
      </c>
      <c r="R6458" s="2">
        <v>42060</v>
      </c>
      <c r="S6458" s="2">
        <v>42073</v>
      </c>
      <c r="T6458" s="2">
        <v>42073</v>
      </c>
      <c r="U6458" s="2">
        <v>42133</v>
      </c>
      <c r="V6458" t="s">
        <v>71</v>
      </c>
      <c r="W6458" t="str">
        <f>"          2152010435"</f>
        <v xml:space="preserve">          2152010435</v>
      </c>
      <c r="X6458">
        <v>541.67999999999995</v>
      </c>
      <c r="Y6458">
        <v>0</v>
      </c>
      <c r="Z6458"/>
      <c r="AB6458"/>
      <c r="AC6458">
        <v>444</v>
      </c>
      <c r="AD6458">
        <v>275</v>
      </c>
      <c r="AE6458" s="1">
        <v>122100</v>
      </c>
      <c r="AF6458">
        <v>0</v>
      </c>
      <c r="AJ6458">
        <v>0</v>
      </c>
      <c r="AK6458">
        <v>0</v>
      </c>
      <c r="AL6458">
        <v>0</v>
      </c>
      <c r="AM6458">
        <v>0</v>
      </c>
      <c r="AN6458">
        <v>0</v>
      </c>
      <c r="AO6458">
        <v>0</v>
      </c>
      <c r="AP6458" s="2">
        <v>42746</v>
      </c>
      <c r="AQ6458" t="s">
        <v>72</v>
      </c>
      <c r="AR6458" t="s">
        <v>72</v>
      </c>
      <c r="AS6458">
        <v>306</v>
      </c>
      <c r="AT6458" s="4">
        <v>42408</v>
      </c>
      <c r="AU6458" t="s">
        <v>73</v>
      </c>
      <c r="AV6458">
        <v>306</v>
      </c>
      <c r="AW6458" s="4">
        <v>42408</v>
      </c>
      <c r="BD6458">
        <v>0</v>
      </c>
      <c r="BN6458" t="s">
        <v>74</v>
      </c>
    </row>
    <row r="6459" spans="1:66" hidden="1">
      <c r="A6459">
        <v>104083</v>
      </c>
      <c r="B6459" s="3" t="s">
        <v>607</v>
      </c>
      <c r="C6459" s="1">
        <v>43300101</v>
      </c>
      <c r="D6459" t="s">
        <v>67</v>
      </c>
      <c r="H6459" t="str">
        <f t="shared" si="659"/>
        <v>06324460150</v>
      </c>
      <c r="I6459" t="str">
        <f t="shared" si="660"/>
        <v>02804530968</v>
      </c>
      <c r="K6459" t="str">
        <f>""</f>
        <v/>
      </c>
      <c r="M6459" t="s">
        <v>68</v>
      </c>
      <c r="N6459" t="str">
        <f t="shared" si="653"/>
        <v>FOR</v>
      </c>
      <c r="O6459" t="s">
        <v>69</v>
      </c>
      <c r="P6459" s="3" t="s">
        <v>70</v>
      </c>
      <c r="Q6459">
        <v>2015</v>
      </c>
      <c r="R6459" s="2">
        <v>42060</v>
      </c>
      <c r="S6459" s="2">
        <v>42073</v>
      </c>
      <c r="T6459" s="2">
        <v>42073</v>
      </c>
      <c r="U6459" s="2">
        <v>42133</v>
      </c>
      <c r="V6459" t="s">
        <v>71</v>
      </c>
      <c r="W6459" t="str">
        <f>"          2152010436"</f>
        <v xml:space="preserve">          2152010436</v>
      </c>
      <c r="X6459" s="1">
        <v>6820.41</v>
      </c>
      <c r="Y6459">
        <v>0</v>
      </c>
      <c r="Z6459"/>
      <c r="AB6459"/>
      <c r="AC6459" s="1">
        <v>5590.5</v>
      </c>
      <c r="AD6459">
        <v>275</v>
      </c>
      <c r="AE6459" s="1">
        <v>1537387.5</v>
      </c>
      <c r="AF6459">
        <v>0</v>
      </c>
      <c r="AJ6459">
        <v>0</v>
      </c>
      <c r="AK6459">
        <v>0</v>
      </c>
      <c r="AL6459">
        <v>0</v>
      </c>
      <c r="AM6459">
        <v>0</v>
      </c>
      <c r="AN6459">
        <v>0</v>
      </c>
      <c r="AO6459">
        <v>0</v>
      </c>
      <c r="AP6459" s="2">
        <v>42746</v>
      </c>
      <c r="AQ6459" t="s">
        <v>72</v>
      </c>
      <c r="AR6459" t="s">
        <v>72</v>
      </c>
      <c r="AS6459">
        <v>306</v>
      </c>
      <c r="AT6459" s="4">
        <v>42408</v>
      </c>
      <c r="AU6459" t="s">
        <v>73</v>
      </c>
      <c r="AV6459">
        <v>306</v>
      </c>
      <c r="AW6459" s="4">
        <v>42408</v>
      </c>
      <c r="BD6459">
        <v>0</v>
      </c>
      <c r="BN6459" t="s">
        <v>74</v>
      </c>
    </row>
    <row r="6460" spans="1:66" hidden="1">
      <c r="A6460">
        <v>104083</v>
      </c>
      <c r="B6460" s="3" t="s">
        <v>607</v>
      </c>
      <c r="C6460" s="1">
        <v>43300101</v>
      </c>
      <c r="D6460" t="s">
        <v>67</v>
      </c>
      <c r="H6460" t="str">
        <f t="shared" si="659"/>
        <v>06324460150</v>
      </c>
      <c r="I6460" t="str">
        <f t="shared" si="660"/>
        <v>02804530968</v>
      </c>
      <c r="K6460" t="str">
        <f>""</f>
        <v/>
      </c>
      <c r="M6460" t="s">
        <v>68</v>
      </c>
      <c r="N6460" t="str">
        <f t="shared" si="653"/>
        <v>FOR</v>
      </c>
      <c r="O6460" t="s">
        <v>69</v>
      </c>
      <c r="P6460" s="3" t="s">
        <v>70</v>
      </c>
      <c r="Q6460">
        <v>2015</v>
      </c>
      <c r="R6460" s="2">
        <v>42060</v>
      </c>
      <c r="S6460" s="2">
        <v>42073</v>
      </c>
      <c r="T6460" s="2">
        <v>42073</v>
      </c>
      <c r="U6460" s="2">
        <v>42133</v>
      </c>
      <c r="V6460" t="s">
        <v>71</v>
      </c>
      <c r="W6460" t="str">
        <f>"          2152010437"</f>
        <v xml:space="preserve">          2152010437</v>
      </c>
      <c r="X6460">
        <v>80.52</v>
      </c>
      <c r="Y6460">
        <v>0</v>
      </c>
      <c r="Z6460"/>
      <c r="AB6460"/>
      <c r="AC6460">
        <v>66</v>
      </c>
      <c r="AD6460">
        <v>275</v>
      </c>
      <c r="AE6460" s="1">
        <v>18150</v>
      </c>
      <c r="AF6460">
        <v>0</v>
      </c>
      <c r="AJ6460">
        <v>0</v>
      </c>
      <c r="AK6460">
        <v>0</v>
      </c>
      <c r="AL6460">
        <v>0</v>
      </c>
      <c r="AM6460">
        <v>0</v>
      </c>
      <c r="AN6460">
        <v>0</v>
      </c>
      <c r="AO6460">
        <v>0</v>
      </c>
      <c r="AP6460" s="2">
        <v>42746</v>
      </c>
      <c r="AQ6460" t="s">
        <v>72</v>
      </c>
      <c r="AR6460" t="s">
        <v>72</v>
      </c>
      <c r="AS6460">
        <v>306</v>
      </c>
      <c r="AT6460" s="4">
        <v>42408</v>
      </c>
      <c r="AU6460" t="s">
        <v>73</v>
      </c>
      <c r="AV6460">
        <v>306</v>
      </c>
      <c r="AW6460" s="4">
        <v>42408</v>
      </c>
      <c r="BD6460">
        <v>0</v>
      </c>
      <c r="BN6460" t="s">
        <v>74</v>
      </c>
    </row>
    <row r="6461" spans="1:66" hidden="1">
      <c r="A6461">
        <v>104083</v>
      </c>
      <c r="B6461" s="3" t="s">
        <v>607</v>
      </c>
      <c r="C6461" s="1">
        <v>43300101</v>
      </c>
      <c r="D6461" t="s">
        <v>67</v>
      </c>
      <c r="H6461" t="str">
        <f t="shared" si="659"/>
        <v>06324460150</v>
      </c>
      <c r="I6461" t="str">
        <f t="shared" si="660"/>
        <v>02804530968</v>
      </c>
      <c r="K6461" t="str">
        <f>""</f>
        <v/>
      </c>
      <c r="M6461" t="s">
        <v>68</v>
      </c>
      <c r="N6461" t="str">
        <f t="shared" si="653"/>
        <v>FOR</v>
      </c>
      <c r="O6461" t="s">
        <v>69</v>
      </c>
      <c r="P6461" s="3" t="s">
        <v>70</v>
      </c>
      <c r="Q6461">
        <v>2015</v>
      </c>
      <c r="R6461" s="2">
        <v>42062</v>
      </c>
      <c r="S6461" s="2">
        <v>42073</v>
      </c>
      <c r="T6461" s="2">
        <v>42073</v>
      </c>
      <c r="U6461" s="2">
        <v>42133</v>
      </c>
      <c r="V6461" t="s">
        <v>71</v>
      </c>
      <c r="W6461" t="str">
        <f>"          2152011385"</f>
        <v xml:space="preserve">          2152011385</v>
      </c>
      <c r="X6461">
        <v>237.9</v>
      </c>
      <c r="Y6461">
        <v>0</v>
      </c>
      <c r="Z6461"/>
      <c r="AB6461"/>
      <c r="AC6461">
        <v>195</v>
      </c>
      <c r="AD6461">
        <v>275</v>
      </c>
      <c r="AE6461" s="1">
        <v>53625</v>
      </c>
      <c r="AF6461">
        <v>0</v>
      </c>
      <c r="AJ6461">
        <v>0</v>
      </c>
      <c r="AK6461">
        <v>0</v>
      </c>
      <c r="AL6461">
        <v>0</v>
      </c>
      <c r="AM6461">
        <v>0</v>
      </c>
      <c r="AN6461">
        <v>0</v>
      </c>
      <c r="AO6461">
        <v>0</v>
      </c>
      <c r="AP6461" s="2">
        <v>42746</v>
      </c>
      <c r="AQ6461" t="s">
        <v>72</v>
      </c>
      <c r="AR6461" t="s">
        <v>72</v>
      </c>
      <c r="AS6461">
        <v>306</v>
      </c>
      <c r="AT6461" s="4">
        <v>42408</v>
      </c>
      <c r="AU6461" t="s">
        <v>73</v>
      </c>
      <c r="AV6461">
        <v>306</v>
      </c>
      <c r="AW6461" s="4">
        <v>42408</v>
      </c>
      <c r="BD6461">
        <v>0</v>
      </c>
      <c r="BN6461" t="s">
        <v>74</v>
      </c>
    </row>
    <row r="6462" spans="1:66" hidden="1">
      <c r="A6462">
        <v>104083</v>
      </c>
      <c r="B6462" s="3" t="s">
        <v>607</v>
      </c>
      <c r="C6462" s="1">
        <v>43300101</v>
      </c>
      <c r="D6462" t="s">
        <v>67</v>
      </c>
      <c r="H6462" t="str">
        <f t="shared" si="659"/>
        <v>06324460150</v>
      </c>
      <c r="I6462" t="str">
        <f t="shared" si="660"/>
        <v>02804530968</v>
      </c>
      <c r="K6462" t="str">
        <f>""</f>
        <v/>
      </c>
      <c r="M6462" t="s">
        <v>68</v>
      </c>
      <c r="N6462" t="str">
        <f t="shared" si="653"/>
        <v>FOR</v>
      </c>
      <c r="O6462" t="s">
        <v>69</v>
      </c>
      <c r="P6462" s="3" t="s">
        <v>70</v>
      </c>
      <c r="Q6462">
        <v>2015</v>
      </c>
      <c r="R6462" s="2">
        <v>42073</v>
      </c>
      <c r="S6462" s="2">
        <v>42086</v>
      </c>
      <c r="T6462" s="2">
        <v>42086</v>
      </c>
      <c r="U6462" s="2">
        <v>42146</v>
      </c>
      <c r="V6462" t="s">
        <v>71</v>
      </c>
      <c r="W6462" t="str">
        <f>"          2152012330"</f>
        <v xml:space="preserve">          2152012330</v>
      </c>
      <c r="X6462">
        <v>781.78</v>
      </c>
      <c r="Y6462">
        <v>0</v>
      </c>
      <c r="Z6462"/>
      <c r="AB6462"/>
      <c r="AC6462">
        <v>640.79999999999995</v>
      </c>
      <c r="AD6462">
        <v>270</v>
      </c>
      <c r="AE6462" s="1">
        <v>173016</v>
      </c>
      <c r="AF6462">
        <v>0</v>
      </c>
      <c r="AJ6462">
        <v>0</v>
      </c>
      <c r="AK6462">
        <v>0</v>
      </c>
      <c r="AL6462">
        <v>0</v>
      </c>
      <c r="AM6462">
        <v>0</v>
      </c>
      <c r="AN6462">
        <v>0</v>
      </c>
      <c r="AO6462">
        <v>0</v>
      </c>
      <c r="AP6462" s="2">
        <v>42746</v>
      </c>
      <c r="AQ6462" t="s">
        <v>72</v>
      </c>
      <c r="AR6462" t="s">
        <v>72</v>
      </c>
      <c r="AS6462">
        <v>399</v>
      </c>
      <c r="AT6462" s="4">
        <v>42416</v>
      </c>
      <c r="AU6462" t="s">
        <v>73</v>
      </c>
      <c r="AV6462">
        <v>399</v>
      </c>
      <c r="AW6462" s="4">
        <v>42416</v>
      </c>
      <c r="BD6462">
        <v>0</v>
      </c>
      <c r="BN6462" t="s">
        <v>74</v>
      </c>
    </row>
    <row r="6463" spans="1:66" hidden="1">
      <c r="A6463">
        <v>104083</v>
      </c>
      <c r="B6463" s="3" t="s">
        <v>607</v>
      </c>
      <c r="C6463" s="1">
        <v>43300101</v>
      </c>
      <c r="D6463" t="s">
        <v>67</v>
      </c>
      <c r="H6463" t="str">
        <f t="shared" si="659"/>
        <v>06324460150</v>
      </c>
      <c r="I6463" t="str">
        <f t="shared" si="660"/>
        <v>02804530968</v>
      </c>
      <c r="K6463" t="str">
        <f>""</f>
        <v/>
      </c>
      <c r="M6463" t="s">
        <v>68</v>
      </c>
      <c r="N6463" t="str">
        <f t="shared" si="653"/>
        <v>FOR</v>
      </c>
      <c r="O6463" t="s">
        <v>69</v>
      </c>
      <c r="P6463" s="3" t="s">
        <v>70</v>
      </c>
      <c r="Q6463">
        <v>2015</v>
      </c>
      <c r="R6463" s="2">
        <v>42073</v>
      </c>
      <c r="S6463" s="2">
        <v>42086</v>
      </c>
      <c r="T6463" s="2">
        <v>42086</v>
      </c>
      <c r="U6463" s="2">
        <v>42146</v>
      </c>
      <c r="V6463" t="s">
        <v>71</v>
      </c>
      <c r="W6463" t="str">
        <f>"          2152012331"</f>
        <v xml:space="preserve">          2152012331</v>
      </c>
      <c r="X6463">
        <v>80.52</v>
      </c>
      <c r="Y6463">
        <v>0</v>
      </c>
      <c r="Z6463"/>
      <c r="AB6463"/>
      <c r="AC6463">
        <v>66</v>
      </c>
      <c r="AD6463">
        <v>270</v>
      </c>
      <c r="AE6463" s="1">
        <v>17820</v>
      </c>
      <c r="AF6463">
        <v>0</v>
      </c>
      <c r="AJ6463">
        <v>0</v>
      </c>
      <c r="AK6463">
        <v>0</v>
      </c>
      <c r="AL6463">
        <v>0</v>
      </c>
      <c r="AM6463">
        <v>0</v>
      </c>
      <c r="AN6463">
        <v>0</v>
      </c>
      <c r="AO6463">
        <v>0</v>
      </c>
      <c r="AP6463" s="2">
        <v>42746</v>
      </c>
      <c r="AQ6463" t="s">
        <v>72</v>
      </c>
      <c r="AR6463" t="s">
        <v>72</v>
      </c>
      <c r="AS6463">
        <v>399</v>
      </c>
      <c r="AT6463" s="4">
        <v>42416</v>
      </c>
      <c r="AU6463" t="s">
        <v>73</v>
      </c>
      <c r="AV6463">
        <v>399</v>
      </c>
      <c r="AW6463" s="4">
        <v>42416</v>
      </c>
      <c r="BD6463">
        <v>0</v>
      </c>
      <c r="BN6463" t="s">
        <v>74</v>
      </c>
    </row>
    <row r="6464" spans="1:66" hidden="1">
      <c r="A6464">
        <v>104083</v>
      </c>
      <c r="B6464" s="3" t="s">
        <v>607</v>
      </c>
      <c r="C6464" s="1">
        <v>43300101</v>
      </c>
      <c r="D6464" t="s">
        <v>67</v>
      </c>
      <c r="H6464" t="str">
        <f t="shared" si="659"/>
        <v>06324460150</v>
      </c>
      <c r="I6464" t="str">
        <f t="shared" si="660"/>
        <v>02804530968</v>
      </c>
      <c r="K6464" t="str">
        <f>""</f>
        <v/>
      </c>
      <c r="M6464" t="s">
        <v>68</v>
      </c>
      <c r="N6464" t="str">
        <f t="shared" ref="N6464:N6527" si="661">"FOR"</f>
        <v>FOR</v>
      </c>
      <c r="O6464" t="s">
        <v>69</v>
      </c>
      <c r="P6464" s="3" t="s">
        <v>70</v>
      </c>
      <c r="Q6464">
        <v>2015</v>
      </c>
      <c r="R6464" s="2">
        <v>42074</v>
      </c>
      <c r="S6464" s="2">
        <v>42086</v>
      </c>
      <c r="T6464" s="2">
        <v>42086</v>
      </c>
      <c r="U6464" s="2">
        <v>42146</v>
      </c>
      <c r="V6464" t="s">
        <v>71</v>
      </c>
      <c r="W6464" t="str">
        <f>"          2152012846"</f>
        <v xml:space="preserve">          2152012846</v>
      </c>
      <c r="X6464">
        <v>233.87</v>
      </c>
      <c r="Y6464">
        <v>0</v>
      </c>
      <c r="Z6464"/>
      <c r="AB6464"/>
      <c r="AC6464">
        <v>191.7</v>
      </c>
      <c r="AD6464">
        <v>270</v>
      </c>
      <c r="AE6464" s="1">
        <v>51759</v>
      </c>
      <c r="AF6464">
        <v>0</v>
      </c>
      <c r="AJ6464">
        <v>0</v>
      </c>
      <c r="AK6464">
        <v>0</v>
      </c>
      <c r="AL6464">
        <v>0</v>
      </c>
      <c r="AM6464">
        <v>0</v>
      </c>
      <c r="AN6464">
        <v>0</v>
      </c>
      <c r="AO6464">
        <v>0</v>
      </c>
      <c r="AP6464" s="2">
        <v>42746</v>
      </c>
      <c r="AQ6464" t="s">
        <v>72</v>
      </c>
      <c r="AR6464" t="s">
        <v>72</v>
      </c>
      <c r="AS6464">
        <v>399</v>
      </c>
      <c r="AT6464" s="4">
        <v>42416</v>
      </c>
      <c r="AU6464" t="s">
        <v>73</v>
      </c>
      <c r="AV6464">
        <v>399</v>
      </c>
      <c r="AW6464" s="4">
        <v>42416</v>
      </c>
      <c r="BD6464">
        <v>0</v>
      </c>
      <c r="BN6464" t="s">
        <v>74</v>
      </c>
    </row>
    <row r="6465" spans="1:66" hidden="1">
      <c r="A6465">
        <v>104083</v>
      </c>
      <c r="B6465" s="3" t="s">
        <v>607</v>
      </c>
      <c r="C6465" s="1">
        <v>43300101</v>
      </c>
      <c r="D6465" t="s">
        <v>67</v>
      </c>
      <c r="H6465" t="str">
        <f t="shared" si="659"/>
        <v>06324460150</v>
      </c>
      <c r="I6465" t="str">
        <f t="shared" si="660"/>
        <v>02804530968</v>
      </c>
      <c r="K6465" t="str">
        <f>""</f>
        <v/>
      </c>
      <c r="M6465" t="s">
        <v>68</v>
      </c>
      <c r="N6465" t="str">
        <f t="shared" si="661"/>
        <v>FOR</v>
      </c>
      <c r="O6465" t="s">
        <v>69</v>
      </c>
      <c r="P6465" s="3" t="s">
        <v>70</v>
      </c>
      <c r="Q6465">
        <v>2015</v>
      </c>
      <c r="R6465" s="2">
        <v>42082</v>
      </c>
      <c r="S6465" s="2">
        <v>42097</v>
      </c>
      <c r="T6465" s="2">
        <v>42097</v>
      </c>
      <c r="U6465" s="2">
        <v>42157</v>
      </c>
      <c r="V6465" t="s">
        <v>71</v>
      </c>
      <c r="W6465" t="str">
        <f>"          2152015142"</f>
        <v xml:space="preserve">          2152015142</v>
      </c>
      <c r="X6465">
        <v>417.24</v>
      </c>
      <c r="Y6465">
        <v>0</v>
      </c>
      <c r="Z6465"/>
      <c r="AB6465"/>
      <c r="AC6465">
        <v>342</v>
      </c>
      <c r="AD6465">
        <v>259</v>
      </c>
      <c r="AE6465" s="1">
        <v>88578</v>
      </c>
      <c r="AF6465">
        <v>0</v>
      </c>
      <c r="AJ6465">
        <v>0</v>
      </c>
      <c r="AK6465">
        <v>0</v>
      </c>
      <c r="AL6465">
        <v>0</v>
      </c>
      <c r="AM6465">
        <v>0</v>
      </c>
      <c r="AN6465">
        <v>0</v>
      </c>
      <c r="AO6465">
        <v>0</v>
      </c>
      <c r="AP6465" s="2">
        <v>42746</v>
      </c>
      <c r="AQ6465" t="s">
        <v>72</v>
      </c>
      <c r="AR6465" t="s">
        <v>72</v>
      </c>
      <c r="AS6465">
        <v>399</v>
      </c>
      <c r="AT6465" s="4">
        <v>42416</v>
      </c>
      <c r="AU6465" t="s">
        <v>73</v>
      </c>
      <c r="AV6465">
        <v>399</v>
      </c>
      <c r="AW6465" s="4">
        <v>42416</v>
      </c>
      <c r="BD6465">
        <v>0</v>
      </c>
      <c r="BN6465" t="s">
        <v>74</v>
      </c>
    </row>
    <row r="6466" spans="1:66" hidden="1">
      <c r="A6466">
        <v>104083</v>
      </c>
      <c r="B6466" s="3" t="s">
        <v>607</v>
      </c>
      <c r="C6466" s="1">
        <v>43300101</v>
      </c>
      <c r="D6466" t="s">
        <v>67</v>
      </c>
      <c r="H6466" t="str">
        <f t="shared" si="659"/>
        <v>06324460150</v>
      </c>
      <c r="I6466" t="str">
        <f t="shared" si="660"/>
        <v>02804530968</v>
      </c>
      <c r="K6466" t="str">
        <f>""</f>
        <v/>
      </c>
      <c r="M6466" t="s">
        <v>68</v>
      </c>
      <c r="N6466" t="str">
        <f t="shared" si="661"/>
        <v>FOR</v>
      </c>
      <c r="O6466" t="s">
        <v>69</v>
      </c>
      <c r="P6466" s="3" t="s">
        <v>70</v>
      </c>
      <c r="Q6466">
        <v>2015</v>
      </c>
      <c r="R6466" s="2">
        <v>42083</v>
      </c>
      <c r="S6466" s="2">
        <v>42097</v>
      </c>
      <c r="T6466" s="2">
        <v>42097</v>
      </c>
      <c r="U6466" s="2">
        <v>42157</v>
      </c>
      <c r="V6466" t="s">
        <v>71</v>
      </c>
      <c r="W6466" t="str">
        <f>"          2152015352"</f>
        <v xml:space="preserve">          2152015352</v>
      </c>
      <c r="X6466">
        <v>292.07</v>
      </c>
      <c r="Y6466">
        <v>0</v>
      </c>
      <c r="Z6466"/>
      <c r="AB6466"/>
      <c r="AC6466">
        <v>239.4</v>
      </c>
      <c r="AD6466">
        <v>259</v>
      </c>
      <c r="AE6466" s="1">
        <v>62004.6</v>
      </c>
      <c r="AF6466">
        <v>0</v>
      </c>
      <c r="AJ6466">
        <v>0</v>
      </c>
      <c r="AK6466">
        <v>0</v>
      </c>
      <c r="AL6466">
        <v>0</v>
      </c>
      <c r="AM6466">
        <v>0</v>
      </c>
      <c r="AN6466">
        <v>0</v>
      </c>
      <c r="AO6466">
        <v>0</v>
      </c>
      <c r="AP6466" s="2">
        <v>42746</v>
      </c>
      <c r="AQ6466" t="s">
        <v>72</v>
      </c>
      <c r="AR6466" t="s">
        <v>72</v>
      </c>
      <c r="AS6466">
        <v>399</v>
      </c>
      <c r="AT6466" s="4">
        <v>42416</v>
      </c>
      <c r="AU6466" t="s">
        <v>73</v>
      </c>
      <c r="AV6466">
        <v>399</v>
      </c>
      <c r="AW6466" s="4">
        <v>42416</v>
      </c>
      <c r="BD6466">
        <v>0</v>
      </c>
      <c r="BN6466" t="s">
        <v>74</v>
      </c>
    </row>
    <row r="6467" spans="1:66" hidden="1">
      <c r="A6467">
        <v>104083</v>
      </c>
      <c r="B6467" s="3" t="s">
        <v>607</v>
      </c>
      <c r="C6467" s="1">
        <v>43300101</v>
      </c>
      <c r="D6467" t="s">
        <v>67</v>
      </c>
      <c r="H6467" t="str">
        <f t="shared" si="659"/>
        <v>06324460150</v>
      </c>
      <c r="I6467" t="str">
        <f t="shared" si="660"/>
        <v>02804530968</v>
      </c>
      <c r="K6467" t="str">
        <f>""</f>
        <v/>
      </c>
      <c r="M6467" t="s">
        <v>68</v>
      </c>
      <c r="N6467" t="str">
        <f t="shared" si="661"/>
        <v>FOR</v>
      </c>
      <c r="O6467" t="s">
        <v>69</v>
      </c>
      <c r="P6467" s="3" t="s">
        <v>75</v>
      </c>
      <c r="Q6467">
        <v>2015</v>
      </c>
      <c r="R6467" s="2">
        <v>42095</v>
      </c>
      <c r="S6467" s="2">
        <v>42107</v>
      </c>
      <c r="T6467" s="2">
        <v>42103</v>
      </c>
      <c r="U6467" s="2">
        <v>42163</v>
      </c>
      <c r="V6467" t="s">
        <v>71</v>
      </c>
      <c r="W6467" t="str">
        <f>"          2152017431"</f>
        <v xml:space="preserve">          2152017431</v>
      </c>
      <c r="X6467">
        <v>499.59</v>
      </c>
      <c r="Y6467">
        <v>0</v>
      </c>
      <c r="Z6467"/>
      <c r="AB6467"/>
      <c r="AC6467">
        <v>409.5</v>
      </c>
      <c r="AD6467">
        <v>290</v>
      </c>
      <c r="AE6467" s="1">
        <v>118755</v>
      </c>
      <c r="AF6467">
        <v>0</v>
      </c>
      <c r="AJ6467">
        <v>0</v>
      </c>
      <c r="AK6467">
        <v>0</v>
      </c>
      <c r="AL6467">
        <v>0</v>
      </c>
      <c r="AM6467">
        <v>0</v>
      </c>
      <c r="AN6467">
        <v>0</v>
      </c>
      <c r="AO6467">
        <v>0</v>
      </c>
      <c r="AP6467" s="2">
        <v>42746</v>
      </c>
      <c r="AQ6467" t="s">
        <v>72</v>
      </c>
      <c r="AR6467" t="s">
        <v>72</v>
      </c>
      <c r="AS6467">
        <v>857</v>
      </c>
      <c r="AT6467" s="4">
        <v>42453</v>
      </c>
      <c r="AU6467" t="s">
        <v>73</v>
      </c>
      <c r="AV6467">
        <v>857</v>
      </c>
      <c r="AW6467" s="4">
        <v>42453</v>
      </c>
      <c r="BD6467">
        <v>0</v>
      </c>
      <c r="BN6467" t="s">
        <v>74</v>
      </c>
    </row>
    <row r="6468" spans="1:66" hidden="1">
      <c r="A6468">
        <v>104083</v>
      </c>
      <c r="B6468" s="3" t="s">
        <v>607</v>
      </c>
      <c r="C6468" s="1">
        <v>43300101</v>
      </c>
      <c r="D6468" t="s">
        <v>67</v>
      </c>
      <c r="H6468" t="str">
        <f t="shared" si="659"/>
        <v>06324460150</v>
      </c>
      <c r="I6468" t="str">
        <f t="shared" si="660"/>
        <v>02804530968</v>
      </c>
      <c r="K6468" t="str">
        <f>""</f>
        <v/>
      </c>
      <c r="M6468" t="s">
        <v>68</v>
      </c>
      <c r="N6468" t="str">
        <f t="shared" si="661"/>
        <v>FOR</v>
      </c>
      <c r="O6468" t="s">
        <v>69</v>
      </c>
      <c r="P6468" s="3" t="s">
        <v>75</v>
      </c>
      <c r="Q6468">
        <v>2015</v>
      </c>
      <c r="R6468" s="2">
        <v>42095</v>
      </c>
      <c r="S6468" s="2">
        <v>42107</v>
      </c>
      <c r="T6468" s="2">
        <v>42103</v>
      </c>
      <c r="U6468" s="2">
        <v>42163</v>
      </c>
      <c r="V6468" t="s">
        <v>71</v>
      </c>
      <c r="W6468" t="str">
        <f>"          2152017432"</f>
        <v xml:space="preserve">          2152017432</v>
      </c>
      <c r="X6468" s="1">
        <v>2268.2199999999998</v>
      </c>
      <c r="Y6468">
        <v>0</v>
      </c>
      <c r="Z6468"/>
      <c r="AB6468"/>
      <c r="AC6468" s="1">
        <v>1859.2</v>
      </c>
      <c r="AD6468">
        <v>290</v>
      </c>
      <c r="AE6468" s="1">
        <v>539168</v>
      </c>
      <c r="AF6468">
        <v>0</v>
      </c>
      <c r="AJ6468">
        <v>0</v>
      </c>
      <c r="AK6468">
        <v>0</v>
      </c>
      <c r="AL6468">
        <v>0</v>
      </c>
      <c r="AM6468">
        <v>0</v>
      </c>
      <c r="AN6468">
        <v>0</v>
      </c>
      <c r="AO6468">
        <v>0</v>
      </c>
      <c r="AP6468" s="2">
        <v>42746</v>
      </c>
      <c r="AQ6468" t="s">
        <v>72</v>
      </c>
      <c r="AR6468" t="s">
        <v>72</v>
      </c>
      <c r="AS6468">
        <v>857</v>
      </c>
      <c r="AT6468" s="4">
        <v>42453</v>
      </c>
      <c r="AU6468" t="s">
        <v>73</v>
      </c>
      <c r="AV6468">
        <v>857</v>
      </c>
      <c r="AW6468" s="4">
        <v>42453</v>
      </c>
      <c r="BD6468">
        <v>0</v>
      </c>
      <c r="BN6468" t="s">
        <v>74</v>
      </c>
    </row>
    <row r="6469" spans="1:66" hidden="1">
      <c r="A6469">
        <v>104083</v>
      </c>
      <c r="B6469" s="3" t="s">
        <v>607</v>
      </c>
      <c r="C6469" s="1">
        <v>43300101</v>
      </c>
      <c r="D6469" t="s">
        <v>67</v>
      </c>
      <c r="H6469" t="str">
        <f t="shared" si="659"/>
        <v>06324460150</v>
      </c>
      <c r="I6469" t="str">
        <f t="shared" si="660"/>
        <v>02804530968</v>
      </c>
      <c r="K6469" t="str">
        <f>""</f>
        <v/>
      </c>
      <c r="M6469" t="s">
        <v>68</v>
      </c>
      <c r="N6469" t="str">
        <f t="shared" si="661"/>
        <v>FOR</v>
      </c>
      <c r="O6469" t="s">
        <v>69</v>
      </c>
      <c r="P6469" s="3" t="s">
        <v>75</v>
      </c>
      <c r="Q6469">
        <v>2015</v>
      </c>
      <c r="R6469" s="2">
        <v>42101</v>
      </c>
      <c r="S6469" s="2">
        <v>42107</v>
      </c>
      <c r="T6469" s="2">
        <v>42103</v>
      </c>
      <c r="U6469" s="2">
        <v>42163</v>
      </c>
      <c r="V6469" t="s">
        <v>71</v>
      </c>
      <c r="W6469" t="str">
        <f>"          2152018213"</f>
        <v xml:space="preserve">          2152018213</v>
      </c>
      <c r="X6469" s="1">
        <v>3306.32</v>
      </c>
      <c r="Y6469">
        <v>0</v>
      </c>
      <c r="Z6469"/>
      <c r="AB6469"/>
      <c r="AC6469" s="1">
        <v>2710.1</v>
      </c>
      <c r="AD6469">
        <v>290</v>
      </c>
      <c r="AE6469" s="1">
        <v>785929</v>
      </c>
      <c r="AF6469">
        <v>0</v>
      </c>
      <c r="AJ6469">
        <v>0</v>
      </c>
      <c r="AK6469">
        <v>0</v>
      </c>
      <c r="AL6469">
        <v>0</v>
      </c>
      <c r="AM6469">
        <v>0</v>
      </c>
      <c r="AN6469">
        <v>0</v>
      </c>
      <c r="AO6469">
        <v>0</v>
      </c>
      <c r="AP6469" s="2">
        <v>42746</v>
      </c>
      <c r="AQ6469" t="s">
        <v>72</v>
      </c>
      <c r="AR6469" t="s">
        <v>72</v>
      </c>
      <c r="AS6469">
        <v>857</v>
      </c>
      <c r="AT6469" s="4">
        <v>42453</v>
      </c>
      <c r="AU6469" t="s">
        <v>73</v>
      </c>
      <c r="AV6469">
        <v>857</v>
      </c>
      <c r="AW6469" s="4">
        <v>42453</v>
      </c>
      <c r="BD6469">
        <v>0</v>
      </c>
      <c r="BN6469" t="s">
        <v>74</v>
      </c>
    </row>
    <row r="6470" spans="1:66" hidden="1">
      <c r="A6470">
        <v>104083</v>
      </c>
      <c r="B6470" s="3" t="s">
        <v>607</v>
      </c>
      <c r="C6470" s="1">
        <v>43300101</v>
      </c>
      <c r="D6470" t="s">
        <v>67</v>
      </c>
      <c r="H6470" t="str">
        <f t="shared" si="659"/>
        <v>06324460150</v>
      </c>
      <c r="I6470" t="str">
        <f t="shared" si="660"/>
        <v>02804530968</v>
      </c>
      <c r="K6470" t="str">
        <f>""</f>
        <v/>
      </c>
      <c r="M6470" t="s">
        <v>68</v>
      </c>
      <c r="N6470" t="str">
        <f t="shared" si="661"/>
        <v>FOR</v>
      </c>
      <c r="O6470" t="s">
        <v>69</v>
      </c>
      <c r="P6470" s="3" t="s">
        <v>75</v>
      </c>
      <c r="Q6470">
        <v>2015</v>
      </c>
      <c r="R6470" s="2">
        <v>42101</v>
      </c>
      <c r="S6470" s="2">
        <v>42107</v>
      </c>
      <c r="T6470" s="2">
        <v>42103</v>
      </c>
      <c r="U6470" s="2">
        <v>42163</v>
      </c>
      <c r="V6470" t="s">
        <v>71</v>
      </c>
      <c r="W6470" t="str">
        <f>"          2152018214"</f>
        <v xml:space="preserve">          2152018214</v>
      </c>
      <c r="X6470">
        <v>603.9</v>
      </c>
      <c r="Y6470">
        <v>0</v>
      </c>
      <c r="Z6470"/>
      <c r="AB6470"/>
      <c r="AC6470">
        <v>495</v>
      </c>
      <c r="AD6470">
        <v>290</v>
      </c>
      <c r="AE6470" s="1">
        <v>143550</v>
      </c>
      <c r="AF6470">
        <v>0</v>
      </c>
      <c r="AJ6470">
        <v>0</v>
      </c>
      <c r="AK6470">
        <v>0</v>
      </c>
      <c r="AL6470">
        <v>0</v>
      </c>
      <c r="AM6470">
        <v>0</v>
      </c>
      <c r="AN6470">
        <v>0</v>
      </c>
      <c r="AO6470">
        <v>0</v>
      </c>
      <c r="AP6470" s="2">
        <v>42746</v>
      </c>
      <c r="AQ6470" t="s">
        <v>72</v>
      </c>
      <c r="AR6470" t="s">
        <v>72</v>
      </c>
      <c r="AS6470">
        <v>857</v>
      </c>
      <c r="AT6470" s="4">
        <v>42453</v>
      </c>
      <c r="AU6470" t="s">
        <v>73</v>
      </c>
      <c r="AV6470">
        <v>857</v>
      </c>
      <c r="AW6470" s="4">
        <v>42453</v>
      </c>
      <c r="BD6470">
        <v>0</v>
      </c>
      <c r="BN6470" t="s">
        <v>74</v>
      </c>
    </row>
    <row r="6471" spans="1:66" hidden="1">
      <c r="A6471">
        <v>104083</v>
      </c>
      <c r="B6471" s="3" t="s">
        <v>607</v>
      </c>
      <c r="C6471" s="1">
        <v>43300101</v>
      </c>
      <c r="D6471" t="s">
        <v>67</v>
      </c>
      <c r="H6471" t="str">
        <f t="shared" si="659"/>
        <v>06324460150</v>
      </c>
      <c r="I6471" t="str">
        <f t="shared" si="660"/>
        <v>02804530968</v>
      </c>
      <c r="K6471" t="str">
        <f>""</f>
        <v/>
      </c>
      <c r="M6471" t="s">
        <v>68</v>
      </c>
      <c r="N6471" t="str">
        <f t="shared" si="661"/>
        <v>FOR</v>
      </c>
      <c r="O6471" t="s">
        <v>69</v>
      </c>
      <c r="P6471" s="3" t="s">
        <v>75</v>
      </c>
      <c r="Q6471">
        <v>2015</v>
      </c>
      <c r="R6471" s="2">
        <v>42102</v>
      </c>
      <c r="S6471" s="2">
        <v>42107</v>
      </c>
      <c r="T6471" s="2">
        <v>42103</v>
      </c>
      <c r="U6471" s="2">
        <v>42163</v>
      </c>
      <c r="V6471" t="s">
        <v>71</v>
      </c>
      <c r="W6471" t="str">
        <f>"          2152018493"</f>
        <v xml:space="preserve">          2152018493</v>
      </c>
      <c r="X6471">
        <v>260.95999999999998</v>
      </c>
      <c r="Y6471">
        <v>0</v>
      </c>
      <c r="Z6471"/>
      <c r="AB6471"/>
      <c r="AC6471">
        <v>213.9</v>
      </c>
      <c r="AD6471">
        <v>290</v>
      </c>
      <c r="AE6471" s="1">
        <v>62031</v>
      </c>
      <c r="AF6471">
        <v>0</v>
      </c>
      <c r="AJ6471">
        <v>0</v>
      </c>
      <c r="AK6471">
        <v>0</v>
      </c>
      <c r="AL6471">
        <v>0</v>
      </c>
      <c r="AM6471">
        <v>0</v>
      </c>
      <c r="AN6471">
        <v>0</v>
      </c>
      <c r="AO6471">
        <v>0</v>
      </c>
      <c r="AP6471" s="2">
        <v>42746</v>
      </c>
      <c r="AQ6471" t="s">
        <v>72</v>
      </c>
      <c r="AR6471" t="s">
        <v>72</v>
      </c>
      <c r="AS6471">
        <v>857</v>
      </c>
      <c r="AT6471" s="4">
        <v>42453</v>
      </c>
      <c r="AU6471" t="s">
        <v>73</v>
      </c>
      <c r="AV6471">
        <v>857</v>
      </c>
      <c r="AW6471" s="4">
        <v>42453</v>
      </c>
      <c r="BD6471">
        <v>0</v>
      </c>
      <c r="BN6471" t="s">
        <v>74</v>
      </c>
    </row>
    <row r="6472" spans="1:66" hidden="1">
      <c r="A6472">
        <v>104083</v>
      </c>
      <c r="B6472" s="3" t="s">
        <v>607</v>
      </c>
      <c r="C6472" s="1">
        <v>43300101</v>
      </c>
      <c r="D6472" t="s">
        <v>67</v>
      </c>
      <c r="H6472" t="str">
        <f t="shared" si="659"/>
        <v>06324460150</v>
      </c>
      <c r="I6472" t="str">
        <f t="shared" si="660"/>
        <v>02804530968</v>
      </c>
      <c r="K6472" t="str">
        <f>""</f>
        <v/>
      </c>
      <c r="M6472" t="s">
        <v>68</v>
      </c>
      <c r="N6472" t="str">
        <f t="shared" si="661"/>
        <v>FOR</v>
      </c>
      <c r="O6472" t="s">
        <v>69</v>
      </c>
      <c r="P6472" s="3" t="s">
        <v>75</v>
      </c>
      <c r="Q6472">
        <v>2015</v>
      </c>
      <c r="R6472" s="2">
        <v>42104</v>
      </c>
      <c r="S6472" s="2">
        <v>42108</v>
      </c>
      <c r="T6472" s="2">
        <v>42107</v>
      </c>
      <c r="U6472" s="2">
        <v>42167</v>
      </c>
      <c r="V6472" t="s">
        <v>71</v>
      </c>
      <c r="W6472" t="str">
        <f>"          2152019035"</f>
        <v xml:space="preserve">          2152019035</v>
      </c>
      <c r="X6472">
        <v>109.8</v>
      </c>
      <c r="Y6472">
        <v>0</v>
      </c>
      <c r="Z6472"/>
      <c r="AB6472"/>
      <c r="AC6472">
        <v>90</v>
      </c>
      <c r="AD6472">
        <v>286</v>
      </c>
      <c r="AE6472" s="1">
        <v>25740</v>
      </c>
      <c r="AF6472">
        <v>0</v>
      </c>
      <c r="AJ6472">
        <v>0</v>
      </c>
      <c r="AK6472">
        <v>0</v>
      </c>
      <c r="AL6472">
        <v>0</v>
      </c>
      <c r="AM6472">
        <v>0</v>
      </c>
      <c r="AN6472">
        <v>0</v>
      </c>
      <c r="AO6472">
        <v>0</v>
      </c>
      <c r="AP6472" s="2">
        <v>42746</v>
      </c>
      <c r="AQ6472" t="s">
        <v>72</v>
      </c>
      <c r="AR6472" t="s">
        <v>72</v>
      </c>
      <c r="AS6472">
        <v>857</v>
      </c>
      <c r="AT6472" s="4">
        <v>42453</v>
      </c>
      <c r="AU6472" t="s">
        <v>73</v>
      </c>
      <c r="AV6472">
        <v>857</v>
      </c>
      <c r="AW6472" s="4">
        <v>42453</v>
      </c>
      <c r="BD6472">
        <v>0</v>
      </c>
      <c r="BN6472" t="s">
        <v>74</v>
      </c>
    </row>
    <row r="6473" spans="1:66" hidden="1">
      <c r="A6473">
        <v>104083</v>
      </c>
      <c r="B6473" s="3" t="s">
        <v>607</v>
      </c>
      <c r="C6473" s="1">
        <v>43300101</v>
      </c>
      <c r="D6473" t="s">
        <v>67</v>
      </c>
      <c r="H6473" t="str">
        <f t="shared" si="659"/>
        <v>06324460150</v>
      </c>
      <c r="I6473" t="str">
        <f t="shared" si="660"/>
        <v>02804530968</v>
      </c>
      <c r="K6473" t="str">
        <f>""</f>
        <v/>
      </c>
      <c r="M6473" t="s">
        <v>68</v>
      </c>
      <c r="N6473" t="str">
        <f t="shared" si="661"/>
        <v>FOR</v>
      </c>
      <c r="O6473" t="s">
        <v>69</v>
      </c>
      <c r="P6473" s="3" t="s">
        <v>75</v>
      </c>
      <c r="Q6473">
        <v>2015</v>
      </c>
      <c r="R6473" s="2">
        <v>42107</v>
      </c>
      <c r="S6473" s="2">
        <v>42115</v>
      </c>
      <c r="T6473" s="2">
        <v>42110</v>
      </c>
      <c r="U6473" s="2">
        <v>42170</v>
      </c>
      <c r="V6473" t="s">
        <v>71</v>
      </c>
      <c r="W6473" t="str">
        <f>"          2152019323"</f>
        <v xml:space="preserve">          2152019323</v>
      </c>
      <c r="X6473">
        <v>608.9</v>
      </c>
      <c r="Y6473">
        <v>0</v>
      </c>
      <c r="Z6473"/>
      <c r="AB6473"/>
      <c r="AC6473">
        <v>499.1</v>
      </c>
      <c r="AD6473">
        <v>283</v>
      </c>
      <c r="AE6473" s="1">
        <v>141245.29999999999</v>
      </c>
      <c r="AF6473">
        <v>0</v>
      </c>
      <c r="AJ6473">
        <v>0</v>
      </c>
      <c r="AK6473">
        <v>0</v>
      </c>
      <c r="AL6473">
        <v>0</v>
      </c>
      <c r="AM6473">
        <v>0</v>
      </c>
      <c r="AN6473">
        <v>0</v>
      </c>
      <c r="AO6473">
        <v>0</v>
      </c>
      <c r="AP6473" s="2">
        <v>42746</v>
      </c>
      <c r="AQ6473" t="s">
        <v>72</v>
      </c>
      <c r="AR6473" t="s">
        <v>72</v>
      </c>
      <c r="AS6473">
        <v>857</v>
      </c>
      <c r="AT6473" s="4">
        <v>42453</v>
      </c>
      <c r="AU6473" t="s">
        <v>73</v>
      </c>
      <c r="AV6473">
        <v>857</v>
      </c>
      <c r="AW6473" s="4">
        <v>42453</v>
      </c>
      <c r="BD6473">
        <v>0</v>
      </c>
      <c r="BN6473" t="s">
        <v>74</v>
      </c>
    </row>
    <row r="6474" spans="1:66" hidden="1">
      <c r="A6474">
        <v>104083</v>
      </c>
      <c r="B6474" s="3" t="s">
        <v>607</v>
      </c>
      <c r="C6474" s="1">
        <v>43300101</v>
      </c>
      <c r="D6474" t="s">
        <v>67</v>
      </c>
      <c r="H6474" t="str">
        <f t="shared" si="659"/>
        <v>06324460150</v>
      </c>
      <c r="I6474" t="str">
        <f t="shared" si="660"/>
        <v>02804530968</v>
      </c>
      <c r="K6474" t="str">
        <f>""</f>
        <v/>
      </c>
      <c r="M6474" t="s">
        <v>68</v>
      </c>
      <c r="N6474" t="str">
        <f t="shared" si="661"/>
        <v>FOR</v>
      </c>
      <c r="O6474" t="s">
        <v>69</v>
      </c>
      <c r="P6474" s="3" t="s">
        <v>75</v>
      </c>
      <c r="Q6474">
        <v>2015</v>
      </c>
      <c r="R6474" s="2">
        <v>42108</v>
      </c>
      <c r="S6474" s="2">
        <v>42115</v>
      </c>
      <c r="T6474" s="2">
        <v>42110</v>
      </c>
      <c r="U6474" s="2">
        <v>42170</v>
      </c>
      <c r="V6474" t="s">
        <v>71</v>
      </c>
      <c r="W6474" t="str">
        <f>"          2152019579"</f>
        <v xml:space="preserve">          2152019579</v>
      </c>
      <c r="X6474">
        <v>237.9</v>
      </c>
      <c r="Y6474">
        <v>0</v>
      </c>
      <c r="Z6474"/>
      <c r="AB6474"/>
      <c r="AC6474">
        <v>195</v>
      </c>
      <c r="AD6474">
        <v>283</v>
      </c>
      <c r="AE6474" s="1">
        <v>55185</v>
      </c>
      <c r="AF6474">
        <v>0</v>
      </c>
      <c r="AJ6474">
        <v>0</v>
      </c>
      <c r="AK6474">
        <v>0</v>
      </c>
      <c r="AL6474">
        <v>0</v>
      </c>
      <c r="AM6474">
        <v>0</v>
      </c>
      <c r="AN6474">
        <v>0</v>
      </c>
      <c r="AO6474">
        <v>0</v>
      </c>
      <c r="AP6474" s="2">
        <v>42746</v>
      </c>
      <c r="AQ6474" t="s">
        <v>72</v>
      </c>
      <c r="AR6474" t="s">
        <v>72</v>
      </c>
      <c r="AS6474">
        <v>857</v>
      </c>
      <c r="AT6474" s="4">
        <v>42453</v>
      </c>
      <c r="AU6474" t="s">
        <v>73</v>
      </c>
      <c r="AV6474">
        <v>857</v>
      </c>
      <c r="AW6474" s="4">
        <v>42453</v>
      </c>
      <c r="BD6474">
        <v>0</v>
      </c>
      <c r="BN6474" t="s">
        <v>74</v>
      </c>
    </row>
    <row r="6475" spans="1:66" hidden="1">
      <c r="A6475">
        <v>104083</v>
      </c>
      <c r="B6475" s="3" t="s">
        <v>607</v>
      </c>
      <c r="C6475" s="1">
        <v>43300101</v>
      </c>
      <c r="D6475" t="s">
        <v>67</v>
      </c>
      <c r="H6475" t="str">
        <f t="shared" si="659"/>
        <v>06324460150</v>
      </c>
      <c r="I6475" t="str">
        <f t="shared" si="660"/>
        <v>02804530968</v>
      </c>
      <c r="K6475" t="str">
        <f>""</f>
        <v/>
      </c>
      <c r="M6475" t="s">
        <v>68</v>
      </c>
      <c r="N6475" t="str">
        <f t="shared" si="661"/>
        <v>FOR</v>
      </c>
      <c r="O6475" t="s">
        <v>69</v>
      </c>
      <c r="P6475" s="3" t="s">
        <v>75</v>
      </c>
      <c r="Q6475">
        <v>2015</v>
      </c>
      <c r="R6475" s="2">
        <v>42121</v>
      </c>
      <c r="S6475" s="2">
        <v>42123</v>
      </c>
      <c r="T6475" s="2">
        <v>42123</v>
      </c>
      <c r="U6475" s="2">
        <v>42183</v>
      </c>
      <c r="V6475" t="s">
        <v>71</v>
      </c>
      <c r="W6475" t="str">
        <f>"          2152022132"</f>
        <v xml:space="preserve">          2152022132</v>
      </c>
      <c r="X6475">
        <v>212.28</v>
      </c>
      <c r="Y6475">
        <v>0</v>
      </c>
      <c r="Z6475"/>
      <c r="AB6475"/>
      <c r="AC6475">
        <v>174</v>
      </c>
      <c r="AD6475">
        <v>270</v>
      </c>
      <c r="AE6475" s="1">
        <v>46980</v>
      </c>
      <c r="AF6475">
        <v>0</v>
      </c>
      <c r="AJ6475">
        <v>0</v>
      </c>
      <c r="AK6475">
        <v>0</v>
      </c>
      <c r="AL6475">
        <v>0</v>
      </c>
      <c r="AM6475">
        <v>0</v>
      </c>
      <c r="AN6475">
        <v>0</v>
      </c>
      <c r="AO6475">
        <v>0</v>
      </c>
      <c r="AP6475" s="2">
        <v>42746</v>
      </c>
      <c r="AQ6475" t="s">
        <v>72</v>
      </c>
      <c r="AR6475" t="s">
        <v>72</v>
      </c>
      <c r="AS6475">
        <v>857</v>
      </c>
      <c r="AT6475" s="4">
        <v>42453</v>
      </c>
      <c r="AU6475" t="s">
        <v>73</v>
      </c>
      <c r="AV6475">
        <v>857</v>
      </c>
      <c r="AW6475" s="4">
        <v>42453</v>
      </c>
      <c r="BD6475">
        <v>0</v>
      </c>
      <c r="BN6475" t="s">
        <v>74</v>
      </c>
    </row>
    <row r="6476" spans="1:66" hidden="1">
      <c r="A6476">
        <v>104083</v>
      </c>
      <c r="B6476" s="3" t="s">
        <v>607</v>
      </c>
      <c r="C6476" s="1">
        <v>43300101</v>
      </c>
      <c r="D6476" t="s">
        <v>67</v>
      </c>
      <c r="H6476" t="str">
        <f t="shared" si="659"/>
        <v>06324460150</v>
      </c>
      <c r="I6476" t="str">
        <f t="shared" si="660"/>
        <v>02804530968</v>
      </c>
      <c r="K6476" t="str">
        <f>""</f>
        <v/>
      </c>
      <c r="M6476" t="s">
        <v>68</v>
      </c>
      <c r="N6476" t="str">
        <f t="shared" si="661"/>
        <v>FOR</v>
      </c>
      <c r="O6476" t="s">
        <v>69</v>
      </c>
      <c r="P6476" s="3" t="s">
        <v>75</v>
      </c>
      <c r="Q6476">
        <v>2015</v>
      </c>
      <c r="R6476" s="2">
        <v>42121</v>
      </c>
      <c r="S6476" s="2">
        <v>42123</v>
      </c>
      <c r="T6476" s="2">
        <v>42123</v>
      </c>
      <c r="U6476" s="2">
        <v>42183</v>
      </c>
      <c r="V6476" t="s">
        <v>71</v>
      </c>
      <c r="W6476" t="str">
        <f>"          2152022133"</f>
        <v xml:space="preserve">          2152022133</v>
      </c>
      <c r="X6476">
        <v>683.2</v>
      </c>
      <c r="Y6476">
        <v>0</v>
      </c>
      <c r="Z6476"/>
      <c r="AB6476"/>
      <c r="AC6476">
        <v>560</v>
      </c>
      <c r="AD6476">
        <v>270</v>
      </c>
      <c r="AE6476" s="1">
        <v>151200</v>
      </c>
      <c r="AF6476">
        <v>0</v>
      </c>
      <c r="AJ6476">
        <v>0</v>
      </c>
      <c r="AK6476">
        <v>0</v>
      </c>
      <c r="AL6476">
        <v>0</v>
      </c>
      <c r="AM6476">
        <v>0</v>
      </c>
      <c r="AN6476">
        <v>0</v>
      </c>
      <c r="AO6476">
        <v>0</v>
      </c>
      <c r="AP6476" s="2">
        <v>42746</v>
      </c>
      <c r="AQ6476" t="s">
        <v>72</v>
      </c>
      <c r="AR6476" t="s">
        <v>72</v>
      </c>
      <c r="AS6476">
        <v>857</v>
      </c>
      <c r="AT6476" s="4">
        <v>42453</v>
      </c>
      <c r="AU6476" t="s">
        <v>73</v>
      </c>
      <c r="AV6476">
        <v>857</v>
      </c>
      <c r="AW6476" s="4">
        <v>42453</v>
      </c>
      <c r="BD6476">
        <v>0</v>
      </c>
      <c r="BN6476" t="s">
        <v>74</v>
      </c>
    </row>
    <row r="6477" spans="1:66" hidden="1">
      <c r="A6477">
        <v>104083</v>
      </c>
      <c r="B6477" s="3" t="s">
        <v>607</v>
      </c>
      <c r="C6477" s="1">
        <v>43300101</v>
      </c>
      <c r="D6477" t="s">
        <v>67</v>
      </c>
      <c r="H6477" t="str">
        <f t="shared" si="659"/>
        <v>06324460150</v>
      </c>
      <c r="I6477" t="str">
        <f t="shared" si="660"/>
        <v>02804530968</v>
      </c>
      <c r="K6477" t="str">
        <f>""</f>
        <v/>
      </c>
      <c r="M6477" t="s">
        <v>68</v>
      </c>
      <c r="N6477" t="str">
        <f t="shared" si="661"/>
        <v>FOR</v>
      </c>
      <c r="O6477" t="s">
        <v>69</v>
      </c>
      <c r="P6477" s="3" t="s">
        <v>75</v>
      </c>
      <c r="Q6477">
        <v>2015</v>
      </c>
      <c r="R6477" s="2">
        <v>42124</v>
      </c>
      <c r="S6477" s="2">
        <v>42128</v>
      </c>
      <c r="T6477" s="2">
        <v>42124</v>
      </c>
      <c r="U6477" s="2">
        <v>42184</v>
      </c>
      <c r="V6477" t="s">
        <v>71</v>
      </c>
      <c r="W6477" t="str">
        <f>"          2152023261"</f>
        <v xml:space="preserve">          2152023261</v>
      </c>
      <c r="X6477" s="1">
        <v>1042.3699999999999</v>
      </c>
      <c r="Y6477">
        <v>0</v>
      </c>
      <c r="Z6477"/>
      <c r="AB6477"/>
      <c r="AC6477">
        <v>854.4</v>
      </c>
      <c r="AD6477">
        <v>269</v>
      </c>
      <c r="AE6477" s="1">
        <v>229833.60000000001</v>
      </c>
      <c r="AF6477">
        <v>0</v>
      </c>
      <c r="AJ6477">
        <v>0</v>
      </c>
      <c r="AK6477">
        <v>0</v>
      </c>
      <c r="AL6477">
        <v>0</v>
      </c>
      <c r="AM6477">
        <v>0</v>
      </c>
      <c r="AN6477">
        <v>0</v>
      </c>
      <c r="AO6477">
        <v>0</v>
      </c>
      <c r="AP6477" s="2">
        <v>42746</v>
      </c>
      <c r="AQ6477" t="s">
        <v>72</v>
      </c>
      <c r="AR6477" t="s">
        <v>72</v>
      </c>
      <c r="AS6477">
        <v>857</v>
      </c>
      <c r="AT6477" s="4">
        <v>42453</v>
      </c>
      <c r="AU6477" t="s">
        <v>73</v>
      </c>
      <c r="AV6477">
        <v>857</v>
      </c>
      <c r="AW6477" s="4">
        <v>42453</v>
      </c>
      <c r="BD6477">
        <v>0</v>
      </c>
      <c r="BN6477" t="s">
        <v>74</v>
      </c>
    </row>
    <row r="6478" spans="1:66" hidden="1">
      <c r="A6478">
        <v>104083</v>
      </c>
      <c r="B6478" s="3" t="s">
        <v>607</v>
      </c>
      <c r="C6478" s="1">
        <v>43300101</v>
      </c>
      <c r="D6478" t="s">
        <v>67</v>
      </c>
      <c r="H6478" t="str">
        <f t="shared" si="659"/>
        <v>06324460150</v>
      </c>
      <c r="I6478" t="str">
        <f t="shared" si="660"/>
        <v>02804530968</v>
      </c>
      <c r="K6478" t="str">
        <f>""</f>
        <v/>
      </c>
      <c r="M6478" t="s">
        <v>68</v>
      </c>
      <c r="N6478" t="str">
        <f t="shared" si="661"/>
        <v>FOR</v>
      </c>
      <c r="O6478" t="s">
        <v>69</v>
      </c>
      <c r="P6478" s="3" t="s">
        <v>75</v>
      </c>
      <c r="Q6478">
        <v>2015</v>
      </c>
      <c r="R6478" s="2">
        <v>42129</v>
      </c>
      <c r="S6478" s="2">
        <v>42131</v>
      </c>
      <c r="T6478" s="2">
        <v>42130</v>
      </c>
      <c r="U6478" s="2">
        <v>42190</v>
      </c>
      <c r="V6478" t="s">
        <v>71</v>
      </c>
      <c r="W6478" t="str">
        <f>"          2152023830"</f>
        <v xml:space="preserve">          2152023830</v>
      </c>
      <c r="X6478">
        <v>333.06</v>
      </c>
      <c r="Y6478">
        <v>0</v>
      </c>
      <c r="Z6478"/>
      <c r="AB6478"/>
      <c r="AC6478">
        <v>273</v>
      </c>
      <c r="AD6478">
        <v>263</v>
      </c>
      <c r="AE6478" s="1">
        <v>71799</v>
      </c>
      <c r="AF6478">
        <v>0</v>
      </c>
      <c r="AJ6478">
        <v>0</v>
      </c>
      <c r="AK6478">
        <v>0</v>
      </c>
      <c r="AL6478">
        <v>0</v>
      </c>
      <c r="AM6478">
        <v>0</v>
      </c>
      <c r="AN6478">
        <v>0</v>
      </c>
      <c r="AO6478">
        <v>0</v>
      </c>
      <c r="AP6478" s="2">
        <v>42746</v>
      </c>
      <c r="AQ6478" t="s">
        <v>72</v>
      </c>
      <c r="AR6478" t="s">
        <v>72</v>
      </c>
      <c r="AS6478">
        <v>857</v>
      </c>
      <c r="AT6478" s="4">
        <v>42453</v>
      </c>
      <c r="AU6478" t="s">
        <v>73</v>
      </c>
      <c r="AV6478">
        <v>857</v>
      </c>
      <c r="AW6478" s="4">
        <v>42453</v>
      </c>
      <c r="BD6478">
        <v>0</v>
      </c>
      <c r="BN6478" t="s">
        <v>74</v>
      </c>
    </row>
    <row r="6479" spans="1:66" hidden="1">
      <c r="A6479">
        <v>104083</v>
      </c>
      <c r="B6479" s="3" t="s">
        <v>607</v>
      </c>
      <c r="C6479" s="1">
        <v>43300101</v>
      </c>
      <c r="D6479" t="s">
        <v>67</v>
      </c>
      <c r="H6479" t="str">
        <f t="shared" si="659"/>
        <v>06324460150</v>
      </c>
      <c r="I6479" t="str">
        <f t="shared" si="660"/>
        <v>02804530968</v>
      </c>
      <c r="K6479" t="str">
        <f>""</f>
        <v/>
      </c>
      <c r="M6479" t="s">
        <v>68</v>
      </c>
      <c r="N6479" t="str">
        <f t="shared" si="661"/>
        <v>FOR</v>
      </c>
      <c r="O6479" t="s">
        <v>69</v>
      </c>
      <c r="P6479" s="3" t="s">
        <v>75</v>
      </c>
      <c r="Q6479">
        <v>2015</v>
      </c>
      <c r="R6479" s="2">
        <v>42129</v>
      </c>
      <c r="S6479" s="2">
        <v>42131</v>
      </c>
      <c r="T6479" s="2">
        <v>42130</v>
      </c>
      <c r="U6479" s="2">
        <v>42190</v>
      </c>
      <c r="V6479" t="s">
        <v>71</v>
      </c>
      <c r="W6479" t="str">
        <f>"          2152023831"</f>
        <v xml:space="preserve">          2152023831</v>
      </c>
      <c r="X6479" s="1">
        <v>1839.76</v>
      </c>
      <c r="Y6479">
        <v>0</v>
      </c>
      <c r="Z6479"/>
      <c r="AB6479"/>
      <c r="AC6479" s="1">
        <v>1508</v>
      </c>
      <c r="AD6479">
        <v>263</v>
      </c>
      <c r="AE6479" s="1">
        <v>396604</v>
      </c>
      <c r="AF6479">
        <v>0</v>
      </c>
      <c r="AJ6479">
        <v>0</v>
      </c>
      <c r="AK6479">
        <v>0</v>
      </c>
      <c r="AL6479">
        <v>0</v>
      </c>
      <c r="AM6479">
        <v>0</v>
      </c>
      <c r="AN6479">
        <v>0</v>
      </c>
      <c r="AO6479">
        <v>0</v>
      </c>
      <c r="AP6479" s="2">
        <v>42746</v>
      </c>
      <c r="AQ6479" t="s">
        <v>72</v>
      </c>
      <c r="AR6479" t="s">
        <v>72</v>
      </c>
      <c r="AS6479">
        <v>857</v>
      </c>
      <c r="AT6479" s="4">
        <v>42453</v>
      </c>
      <c r="AU6479" t="s">
        <v>73</v>
      </c>
      <c r="AV6479">
        <v>857</v>
      </c>
      <c r="AW6479" s="4">
        <v>42453</v>
      </c>
      <c r="BD6479">
        <v>0</v>
      </c>
      <c r="BN6479" t="s">
        <v>74</v>
      </c>
    </row>
    <row r="6480" spans="1:66" hidden="1">
      <c r="A6480">
        <v>104083</v>
      </c>
      <c r="B6480" s="3" t="s">
        <v>607</v>
      </c>
      <c r="C6480" s="1">
        <v>43300101</v>
      </c>
      <c r="D6480" t="s">
        <v>67</v>
      </c>
      <c r="H6480" t="str">
        <f t="shared" si="659"/>
        <v>06324460150</v>
      </c>
      <c r="I6480" t="str">
        <f t="shared" si="660"/>
        <v>02804530968</v>
      </c>
      <c r="K6480" t="str">
        <f>""</f>
        <v/>
      </c>
      <c r="M6480" t="s">
        <v>68</v>
      </c>
      <c r="N6480" t="str">
        <f t="shared" si="661"/>
        <v>FOR</v>
      </c>
      <c r="O6480" t="s">
        <v>69</v>
      </c>
      <c r="P6480" s="3" t="s">
        <v>75</v>
      </c>
      <c r="Q6480">
        <v>2015</v>
      </c>
      <c r="R6480" s="2">
        <v>42129</v>
      </c>
      <c r="S6480" s="2">
        <v>42131</v>
      </c>
      <c r="T6480" s="2">
        <v>42130</v>
      </c>
      <c r="U6480" s="2">
        <v>42190</v>
      </c>
      <c r="V6480" t="s">
        <v>71</v>
      </c>
      <c r="W6480" t="str">
        <f>"          2152023832"</f>
        <v xml:space="preserve">          2152023832</v>
      </c>
      <c r="X6480">
        <v>512.4</v>
      </c>
      <c r="Y6480">
        <v>0</v>
      </c>
      <c r="Z6480"/>
      <c r="AB6480"/>
      <c r="AC6480">
        <v>420</v>
      </c>
      <c r="AD6480">
        <v>263</v>
      </c>
      <c r="AE6480" s="1">
        <v>110460</v>
      </c>
      <c r="AF6480">
        <v>0</v>
      </c>
      <c r="AJ6480">
        <v>0</v>
      </c>
      <c r="AK6480">
        <v>0</v>
      </c>
      <c r="AL6480">
        <v>0</v>
      </c>
      <c r="AM6480">
        <v>0</v>
      </c>
      <c r="AN6480">
        <v>0</v>
      </c>
      <c r="AO6480">
        <v>0</v>
      </c>
      <c r="AP6480" s="2">
        <v>42746</v>
      </c>
      <c r="AQ6480" t="s">
        <v>72</v>
      </c>
      <c r="AR6480" t="s">
        <v>72</v>
      </c>
      <c r="AS6480">
        <v>857</v>
      </c>
      <c r="AT6480" s="4">
        <v>42453</v>
      </c>
      <c r="AU6480" t="s">
        <v>73</v>
      </c>
      <c r="AV6480">
        <v>857</v>
      </c>
      <c r="AW6480" s="4">
        <v>42453</v>
      </c>
      <c r="BD6480">
        <v>0</v>
      </c>
      <c r="BN6480" t="s">
        <v>74</v>
      </c>
    </row>
    <row r="6481" spans="1:66" hidden="1">
      <c r="A6481">
        <v>104083</v>
      </c>
      <c r="B6481" s="3" t="s">
        <v>607</v>
      </c>
      <c r="C6481" s="1">
        <v>43300101</v>
      </c>
      <c r="D6481" t="s">
        <v>67</v>
      </c>
      <c r="H6481" t="str">
        <f t="shared" si="659"/>
        <v>06324460150</v>
      </c>
      <c r="I6481" t="str">
        <f t="shared" si="660"/>
        <v>02804530968</v>
      </c>
      <c r="K6481" t="str">
        <f>""</f>
        <v/>
      </c>
      <c r="M6481" t="s">
        <v>68</v>
      </c>
      <c r="N6481" t="str">
        <f t="shared" si="661"/>
        <v>FOR</v>
      </c>
      <c r="O6481" t="s">
        <v>69</v>
      </c>
      <c r="P6481" s="3" t="s">
        <v>75</v>
      </c>
      <c r="Q6481">
        <v>2015</v>
      </c>
      <c r="R6481" s="2">
        <v>42129</v>
      </c>
      <c r="S6481" s="2">
        <v>42131</v>
      </c>
      <c r="T6481" s="2">
        <v>42130</v>
      </c>
      <c r="U6481" s="2">
        <v>42190</v>
      </c>
      <c r="V6481" t="s">
        <v>71</v>
      </c>
      <c r="W6481" t="str">
        <f>"          2152023833"</f>
        <v xml:space="preserve">          2152023833</v>
      </c>
      <c r="X6481">
        <v>69.540000000000006</v>
      </c>
      <c r="Y6481">
        <v>0</v>
      </c>
      <c r="Z6481"/>
      <c r="AB6481"/>
      <c r="AC6481">
        <v>57</v>
      </c>
      <c r="AD6481">
        <v>263</v>
      </c>
      <c r="AE6481" s="1">
        <v>14991</v>
      </c>
      <c r="AF6481">
        <v>0</v>
      </c>
      <c r="AJ6481">
        <v>0</v>
      </c>
      <c r="AK6481">
        <v>0</v>
      </c>
      <c r="AL6481">
        <v>0</v>
      </c>
      <c r="AM6481">
        <v>0</v>
      </c>
      <c r="AN6481">
        <v>0</v>
      </c>
      <c r="AO6481">
        <v>0</v>
      </c>
      <c r="AP6481" s="2">
        <v>42746</v>
      </c>
      <c r="AQ6481" t="s">
        <v>72</v>
      </c>
      <c r="AR6481" t="s">
        <v>72</v>
      </c>
      <c r="AS6481">
        <v>857</v>
      </c>
      <c r="AT6481" s="4">
        <v>42453</v>
      </c>
      <c r="AU6481" t="s">
        <v>73</v>
      </c>
      <c r="AV6481">
        <v>857</v>
      </c>
      <c r="AW6481" s="4">
        <v>42453</v>
      </c>
      <c r="BD6481">
        <v>0</v>
      </c>
      <c r="BN6481" t="s">
        <v>74</v>
      </c>
    </row>
    <row r="6482" spans="1:66" hidden="1">
      <c r="A6482">
        <v>104083</v>
      </c>
      <c r="B6482" s="3" t="s">
        <v>607</v>
      </c>
      <c r="C6482" s="1">
        <v>43300101</v>
      </c>
      <c r="D6482" t="s">
        <v>67</v>
      </c>
      <c r="H6482" t="str">
        <f t="shared" si="659"/>
        <v>06324460150</v>
      </c>
      <c r="I6482" t="str">
        <f t="shared" si="660"/>
        <v>02804530968</v>
      </c>
      <c r="K6482" t="str">
        <f>""</f>
        <v/>
      </c>
      <c r="M6482" t="s">
        <v>68</v>
      </c>
      <c r="N6482" t="str">
        <f t="shared" si="661"/>
        <v>FOR</v>
      </c>
      <c r="O6482" t="s">
        <v>69</v>
      </c>
      <c r="P6482" s="3" t="s">
        <v>75</v>
      </c>
      <c r="Q6482">
        <v>2015</v>
      </c>
      <c r="R6482" s="2">
        <v>42129</v>
      </c>
      <c r="S6482" s="2">
        <v>42131</v>
      </c>
      <c r="T6482" s="2">
        <v>42130</v>
      </c>
      <c r="U6482" s="2">
        <v>42190</v>
      </c>
      <c r="V6482" t="s">
        <v>71</v>
      </c>
      <c r="W6482" t="str">
        <f>"          2152023834"</f>
        <v xml:space="preserve">          2152023834</v>
      </c>
      <c r="X6482">
        <v>812.52</v>
      </c>
      <c r="Y6482">
        <v>0</v>
      </c>
      <c r="Z6482"/>
      <c r="AB6482"/>
      <c r="AC6482">
        <v>666</v>
      </c>
      <c r="AD6482">
        <v>263</v>
      </c>
      <c r="AE6482" s="1">
        <v>175158</v>
      </c>
      <c r="AF6482">
        <v>0</v>
      </c>
      <c r="AJ6482">
        <v>0</v>
      </c>
      <c r="AK6482">
        <v>0</v>
      </c>
      <c r="AL6482">
        <v>0</v>
      </c>
      <c r="AM6482">
        <v>0</v>
      </c>
      <c r="AN6482">
        <v>0</v>
      </c>
      <c r="AO6482">
        <v>0</v>
      </c>
      <c r="AP6482" s="2">
        <v>42746</v>
      </c>
      <c r="AQ6482" t="s">
        <v>72</v>
      </c>
      <c r="AR6482" t="s">
        <v>72</v>
      </c>
      <c r="AS6482">
        <v>857</v>
      </c>
      <c r="AT6482" s="4">
        <v>42453</v>
      </c>
      <c r="AU6482" t="s">
        <v>73</v>
      </c>
      <c r="AV6482">
        <v>857</v>
      </c>
      <c r="AW6482" s="4">
        <v>42453</v>
      </c>
      <c r="BD6482">
        <v>0</v>
      </c>
      <c r="BN6482" t="s">
        <v>74</v>
      </c>
    </row>
    <row r="6483" spans="1:66" hidden="1">
      <c r="A6483">
        <v>104083</v>
      </c>
      <c r="B6483" s="3" t="s">
        <v>607</v>
      </c>
      <c r="C6483" s="1">
        <v>43300101</v>
      </c>
      <c r="D6483" t="s">
        <v>67</v>
      </c>
      <c r="H6483" t="str">
        <f t="shared" si="659"/>
        <v>06324460150</v>
      </c>
      <c r="I6483" t="str">
        <f t="shared" si="660"/>
        <v>02804530968</v>
      </c>
      <c r="K6483" t="str">
        <f>""</f>
        <v/>
      </c>
      <c r="M6483" t="s">
        <v>68</v>
      </c>
      <c r="N6483" t="str">
        <f t="shared" si="661"/>
        <v>FOR</v>
      </c>
      <c r="O6483" t="s">
        <v>69</v>
      </c>
      <c r="P6483" s="3" t="s">
        <v>75</v>
      </c>
      <c r="Q6483">
        <v>2015</v>
      </c>
      <c r="R6483" s="2">
        <v>42139</v>
      </c>
      <c r="S6483" s="2">
        <v>42158</v>
      </c>
      <c r="T6483" s="2">
        <v>42140</v>
      </c>
      <c r="U6483" s="2">
        <v>42200</v>
      </c>
      <c r="V6483" t="s">
        <v>71</v>
      </c>
      <c r="W6483" t="str">
        <f>"          2152025890"</f>
        <v xml:space="preserve">          2152025890</v>
      </c>
      <c r="X6483">
        <v>695.4</v>
      </c>
      <c r="Y6483">
        <v>0</v>
      </c>
      <c r="Z6483"/>
      <c r="AB6483"/>
      <c r="AC6483">
        <v>570</v>
      </c>
      <c r="AD6483">
        <v>253</v>
      </c>
      <c r="AE6483" s="1">
        <v>144210</v>
      </c>
      <c r="AF6483">
        <v>0</v>
      </c>
      <c r="AJ6483">
        <v>0</v>
      </c>
      <c r="AK6483">
        <v>0</v>
      </c>
      <c r="AL6483">
        <v>0</v>
      </c>
      <c r="AM6483">
        <v>0</v>
      </c>
      <c r="AN6483">
        <v>0</v>
      </c>
      <c r="AO6483">
        <v>0</v>
      </c>
      <c r="AP6483" s="2">
        <v>42746</v>
      </c>
      <c r="AQ6483" t="s">
        <v>72</v>
      </c>
      <c r="AR6483" t="s">
        <v>72</v>
      </c>
      <c r="AS6483">
        <v>857</v>
      </c>
      <c r="AT6483" s="4">
        <v>42453</v>
      </c>
      <c r="AU6483" t="s">
        <v>73</v>
      </c>
      <c r="AV6483">
        <v>857</v>
      </c>
      <c r="AW6483" s="4">
        <v>42453</v>
      </c>
      <c r="BD6483">
        <v>0</v>
      </c>
      <c r="BN6483" t="s">
        <v>74</v>
      </c>
    </row>
    <row r="6484" spans="1:66" hidden="1">
      <c r="A6484">
        <v>104083</v>
      </c>
      <c r="B6484" s="3" t="s">
        <v>607</v>
      </c>
      <c r="C6484" s="1">
        <v>43300101</v>
      </c>
      <c r="D6484" t="s">
        <v>67</v>
      </c>
      <c r="H6484" t="str">
        <f t="shared" si="659"/>
        <v>06324460150</v>
      </c>
      <c r="I6484" t="str">
        <f t="shared" si="660"/>
        <v>02804530968</v>
      </c>
      <c r="K6484" t="str">
        <f>""</f>
        <v/>
      </c>
      <c r="M6484" t="s">
        <v>68</v>
      </c>
      <c r="N6484" t="str">
        <f t="shared" si="661"/>
        <v>FOR</v>
      </c>
      <c r="O6484" t="s">
        <v>69</v>
      </c>
      <c r="P6484" s="3" t="s">
        <v>75</v>
      </c>
      <c r="Q6484">
        <v>2015</v>
      </c>
      <c r="R6484" s="2">
        <v>42143</v>
      </c>
      <c r="S6484" s="2">
        <v>42160</v>
      </c>
      <c r="T6484" s="2">
        <v>42145</v>
      </c>
      <c r="U6484" s="2">
        <v>42205</v>
      </c>
      <c r="V6484" t="s">
        <v>71</v>
      </c>
      <c r="W6484" t="str">
        <f>"          2152026523"</f>
        <v xml:space="preserve">          2152026523</v>
      </c>
      <c r="X6484" s="1">
        <v>2971.43</v>
      </c>
      <c r="Y6484">
        <v>0</v>
      </c>
      <c r="Z6484"/>
      <c r="AB6484"/>
      <c r="AC6484" s="1">
        <v>2435.6</v>
      </c>
      <c r="AD6484">
        <v>248</v>
      </c>
      <c r="AE6484" s="1">
        <v>604028.80000000005</v>
      </c>
      <c r="AF6484">
        <v>0</v>
      </c>
      <c r="AJ6484">
        <v>0</v>
      </c>
      <c r="AK6484">
        <v>0</v>
      </c>
      <c r="AL6484">
        <v>0</v>
      </c>
      <c r="AM6484">
        <v>0</v>
      </c>
      <c r="AN6484">
        <v>0</v>
      </c>
      <c r="AO6484">
        <v>0</v>
      </c>
      <c r="AP6484" s="2">
        <v>42746</v>
      </c>
      <c r="AQ6484" t="s">
        <v>72</v>
      </c>
      <c r="AR6484" t="s">
        <v>72</v>
      </c>
      <c r="AS6484">
        <v>857</v>
      </c>
      <c r="AT6484" s="4">
        <v>42453</v>
      </c>
      <c r="AU6484" t="s">
        <v>73</v>
      </c>
      <c r="AV6484">
        <v>857</v>
      </c>
      <c r="AW6484" s="4">
        <v>42453</v>
      </c>
      <c r="BD6484">
        <v>0</v>
      </c>
      <c r="BN6484" t="s">
        <v>74</v>
      </c>
    </row>
    <row r="6485" spans="1:66" hidden="1">
      <c r="A6485">
        <v>104083</v>
      </c>
      <c r="B6485" s="3" t="s">
        <v>607</v>
      </c>
      <c r="C6485" s="1">
        <v>43300101</v>
      </c>
      <c r="D6485" t="s">
        <v>67</v>
      </c>
      <c r="H6485" t="str">
        <f t="shared" ref="H6485:H6516" si="662">"06324460150"</f>
        <v>06324460150</v>
      </c>
      <c r="I6485" t="str">
        <f t="shared" ref="I6485:I6516" si="663">"02804530968"</f>
        <v>02804530968</v>
      </c>
      <c r="K6485" t="str">
        <f>""</f>
        <v/>
      </c>
      <c r="M6485" t="s">
        <v>68</v>
      </c>
      <c r="N6485" t="str">
        <f t="shared" si="661"/>
        <v>FOR</v>
      </c>
      <c r="O6485" t="s">
        <v>69</v>
      </c>
      <c r="P6485" s="3" t="s">
        <v>75</v>
      </c>
      <c r="Q6485">
        <v>2015</v>
      </c>
      <c r="R6485" s="2">
        <v>42159</v>
      </c>
      <c r="S6485" s="2">
        <v>42163</v>
      </c>
      <c r="T6485" s="2">
        <v>42160</v>
      </c>
      <c r="U6485" s="2">
        <v>42220</v>
      </c>
      <c r="V6485" t="s">
        <v>71</v>
      </c>
      <c r="W6485" t="str">
        <f>"          2152029498"</f>
        <v xml:space="preserve">          2152029498</v>
      </c>
      <c r="X6485" s="1">
        <v>1281</v>
      </c>
      <c r="Y6485">
        <v>0</v>
      </c>
      <c r="Z6485"/>
      <c r="AB6485"/>
      <c r="AC6485" s="1">
        <v>1050</v>
      </c>
      <c r="AD6485">
        <v>307</v>
      </c>
      <c r="AE6485" s="1">
        <v>322350</v>
      </c>
      <c r="AF6485">
        <v>0</v>
      </c>
      <c r="AJ6485">
        <v>0</v>
      </c>
      <c r="AK6485">
        <v>0</v>
      </c>
      <c r="AL6485">
        <v>0</v>
      </c>
      <c r="AM6485">
        <v>0</v>
      </c>
      <c r="AN6485">
        <v>0</v>
      </c>
      <c r="AO6485">
        <v>0</v>
      </c>
      <c r="AP6485" s="2">
        <v>42746</v>
      </c>
      <c r="AQ6485" t="s">
        <v>72</v>
      </c>
      <c r="AR6485" t="s">
        <v>72</v>
      </c>
      <c r="AS6485">
        <v>1532</v>
      </c>
      <c r="AT6485" s="4">
        <v>42527</v>
      </c>
      <c r="AU6485" t="s">
        <v>73</v>
      </c>
      <c r="AV6485">
        <v>1532</v>
      </c>
      <c r="AW6485" s="4">
        <v>42527</v>
      </c>
      <c r="BD6485">
        <v>0</v>
      </c>
      <c r="BN6485" t="s">
        <v>74</v>
      </c>
    </row>
    <row r="6486" spans="1:66" hidden="1">
      <c r="A6486">
        <v>104083</v>
      </c>
      <c r="B6486" s="3" t="s">
        <v>607</v>
      </c>
      <c r="C6486" s="1">
        <v>43300101</v>
      </c>
      <c r="D6486" t="s">
        <v>67</v>
      </c>
      <c r="H6486" t="str">
        <f t="shared" si="662"/>
        <v>06324460150</v>
      </c>
      <c r="I6486" t="str">
        <f t="shared" si="663"/>
        <v>02804530968</v>
      </c>
      <c r="K6486" t="str">
        <f>""</f>
        <v/>
      </c>
      <c r="M6486" t="s">
        <v>68</v>
      </c>
      <c r="N6486" t="str">
        <f t="shared" si="661"/>
        <v>FOR</v>
      </c>
      <c r="O6486" t="s">
        <v>69</v>
      </c>
      <c r="P6486" s="3" t="s">
        <v>75</v>
      </c>
      <c r="Q6486">
        <v>2015</v>
      </c>
      <c r="R6486" s="2">
        <v>42159</v>
      </c>
      <c r="S6486" s="2">
        <v>42163</v>
      </c>
      <c r="T6486" s="2">
        <v>42160</v>
      </c>
      <c r="U6486" s="2">
        <v>42220</v>
      </c>
      <c r="V6486" t="s">
        <v>71</v>
      </c>
      <c r="W6486" t="str">
        <f>"          2152029499"</f>
        <v xml:space="preserve">          2152029499</v>
      </c>
      <c r="X6486">
        <v>287.43</v>
      </c>
      <c r="Y6486">
        <v>0</v>
      </c>
      <c r="Z6486"/>
      <c r="AB6486"/>
      <c r="AC6486">
        <v>235.6</v>
      </c>
      <c r="AD6486">
        <v>307</v>
      </c>
      <c r="AE6486" s="1">
        <v>72329.2</v>
      </c>
      <c r="AF6486">
        <v>0</v>
      </c>
      <c r="AJ6486">
        <v>0</v>
      </c>
      <c r="AK6486">
        <v>0</v>
      </c>
      <c r="AL6486">
        <v>0</v>
      </c>
      <c r="AM6486">
        <v>0</v>
      </c>
      <c r="AN6486">
        <v>0</v>
      </c>
      <c r="AO6486">
        <v>0</v>
      </c>
      <c r="AP6486" s="2">
        <v>42746</v>
      </c>
      <c r="AQ6486" t="s">
        <v>72</v>
      </c>
      <c r="AR6486" t="s">
        <v>72</v>
      </c>
      <c r="AS6486">
        <v>1532</v>
      </c>
      <c r="AT6486" s="4">
        <v>42527</v>
      </c>
      <c r="AU6486" t="s">
        <v>73</v>
      </c>
      <c r="AV6486">
        <v>1532</v>
      </c>
      <c r="AW6486" s="4">
        <v>42527</v>
      </c>
      <c r="BD6486">
        <v>0</v>
      </c>
      <c r="BN6486" t="s">
        <v>74</v>
      </c>
    </row>
    <row r="6487" spans="1:66" hidden="1">
      <c r="A6487">
        <v>104083</v>
      </c>
      <c r="B6487" s="3" t="s">
        <v>607</v>
      </c>
      <c r="C6487" s="1">
        <v>43300101</v>
      </c>
      <c r="D6487" t="s">
        <v>67</v>
      </c>
      <c r="H6487" t="str">
        <f t="shared" si="662"/>
        <v>06324460150</v>
      </c>
      <c r="I6487" t="str">
        <f t="shared" si="663"/>
        <v>02804530968</v>
      </c>
      <c r="K6487" t="str">
        <f>""</f>
        <v/>
      </c>
      <c r="M6487" t="s">
        <v>68</v>
      </c>
      <c r="N6487" t="str">
        <f t="shared" si="661"/>
        <v>FOR</v>
      </c>
      <c r="O6487" t="s">
        <v>69</v>
      </c>
      <c r="P6487" s="3" t="s">
        <v>75</v>
      </c>
      <c r="Q6487">
        <v>2015</v>
      </c>
      <c r="R6487" s="2">
        <v>42159</v>
      </c>
      <c r="S6487" s="2">
        <v>42163</v>
      </c>
      <c r="T6487" s="2">
        <v>42160</v>
      </c>
      <c r="U6487" s="2">
        <v>42220</v>
      </c>
      <c r="V6487" t="s">
        <v>71</v>
      </c>
      <c r="W6487" t="str">
        <f>"          2152029500"</f>
        <v xml:space="preserve">          2152029500</v>
      </c>
      <c r="X6487" s="1">
        <v>1869.65</v>
      </c>
      <c r="Y6487">
        <v>0</v>
      </c>
      <c r="Z6487"/>
      <c r="AB6487"/>
      <c r="AC6487" s="1">
        <v>1532.5</v>
      </c>
      <c r="AD6487">
        <v>307</v>
      </c>
      <c r="AE6487" s="1">
        <v>470477.5</v>
      </c>
      <c r="AF6487">
        <v>0</v>
      </c>
      <c r="AJ6487">
        <v>0</v>
      </c>
      <c r="AK6487">
        <v>0</v>
      </c>
      <c r="AL6487">
        <v>0</v>
      </c>
      <c r="AM6487">
        <v>0</v>
      </c>
      <c r="AN6487">
        <v>0</v>
      </c>
      <c r="AO6487">
        <v>0</v>
      </c>
      <c r="AP6487" s="2">
        <v>42746</v>
      </c>
      <c r="AQ6487" t="s">
        <v>72</v>
      </c>
      <c r="AR6487" t="s">
        <v>72</v>
      </c>
      <c r="AS6487">
        <v>1532</v>
      </c>
      <c r="AT6487" s="4">
        <v>42527</v>
      </c>
      <c r="AU6487" t="s">
        <v>73</v>
      </c>
      <c r="AV6487">
        <v>1532</v>
      </c>
      <c r="AW6487" s="4">
        <v>42527</v>
      </c>
      <c r="BD6487">
        <v>0</v>
      </c>
      <c r="BN6487" t="s">
        <v>74</v>
      </c>
    </row>
    <row r="6488" spans="1:66" hidden="1">
      <c r="A6488">
        <v>104083</v>
      </c>
      <c r="B6488" s="3" t="s">
        <v>607</v>
      </c>
      <c r="C6488" s="1">
        <v>43300101</v>
      </c>
      <c r="D6488" t="s">
        <v>67</v>
      </c>
      <c r="H6488" t="str">
        <f t="shared" si="662"/>
        <v>06324460150</v>
      </c>
      <c r="I6488" t="str">
        <f t="shared" si="663"/>
        <v>02804530968</v>
      </c>
      <c r="K6488" t="str">
        <f>""</f>
        <v/>
      </c>
      <c r="M6488" t="s">
        <v>68</v>
      </c>
      <c r="N6488" t="str">
        <f t="shared" si="661"/>
        <v>FOR</v>
      </c>
      <c r="O6488" t="s">
        <v>69</v>
      </c>
      <c r="P6488" s="3" t="s">
        <v>75</v>
      </c>
      <c r="Q6488">
        <v>2015</v>
      </c>
      <c r="R6488" s="2">
        <v>42178</v>
      </c>
      <c r="S6488" s="2">
        <v>42185</v>
      </c>
      <c r="T6488" s="2">
        <v>42181</v>
      </c>
      <c r="U6488" s="2">
        <v>42241</v>
      </c>
      <c r="V6488" t="s">
        <v>71</v>
      </c>
      <c r="W6488" t="str">
        <f>"          2152033205"</f>
        <v xml:space="preserve">          2152033205</v>
      </c>
      <c r="X6488">
        <v>499.59</v>
      </c>
      <c r="Y6488">
        <v>0</v>
      </c>
      <c r="Z6488"/>
      <c r="AB6488"/>
      <c r="AC6488">
        <v>409.5</v>
      </c>
      <c r="AD6488">
        <v>286</v>
      </c>
      <c r="AE6488" s="1">
        <v>117117</v>
      </c>
      <c r="AF6488">
        <v>0</v>
      </c>
      <c r="AJ6488">
        <v>0</v>
      </c>
      <c r="AK6488">
        <v>0</v>
      </c>
      <c r="AL6488">
        <v>0</v>
      </c>
      <c r="AM6488">
        <v>0</v>
      </c>
      <c r="AN6488">
        <v>0</v>
      </c>
      <c r="AO6488">
        <v>0</v>
      </c>
      <c r="AP6488" s="2">
        <v>42746</v>
      </c>
      <c r="AQ6488" t="s">
        <v>72</v>
      </c>
      <c r="AR6488" t="s">
        <v>72</v>
      </c>
      <c r="AS6488">
        <v>1532</v>
      </c>
      <c r="AT6488" s="4">
        <v>42527</v>
      </c>
      <c r="AU6488" t="s">
        <v>73</v>
      </c>
      <c r="AV6488">
        <v>1532</v>
      </c>
      <c r="AW6488" s="4">
        <v>42527</v>
      </c>
      <c r="BD6488">
        <v>0</v>
      </c>
      <c r="BN6488" t="s">
        <v>74</v>
      </c>
    </row>
    <row r="6489" spans="1:66" hidden="1">
      <c r="A6489">
        <v>104083</v>
      </c>
      <c r="B6489" s="3" t="s">
        <v>607</v>
      </c>
      <c r="C6489" s="1">
        <v>43300101</v>
      </c>
      <c r="D6489" t="s">
        <v>67</v>
      </c>
      <c r="H6489" t="str">
        <f t="shared" si="662"/>
        <v>06324460150</v>
      </c>
      <c r="I6489" t="str">
        <f t="shared" si="663"/>
        <v>02804530968</v>
      </c>
      <c r="K6489" t="str">
        <f>""</f>
        <v/>
      </c>
      <c r="M6489" t="s">
        <v>68</v>
      </c>
      <c r="N6489" t="str">
        <f t="shared" si="661"/>
        <v>FOR</v>
      </c>
      <c r="O6489" t="s">
        <v>69</v>
      </c>
      <c r="P6489" s="3" t="s">
        <v>75</v>
      </c>
      <c r="Q6489">
        <v>2015</v>
      </c>
      <c r="R6489" s="2">
        <v>42178</v>
      </c>
      <c r="S6489" s="2">
        <v>42185</v>
      </c>
      <c r="T6489" s="2">
        <v>42181</v>
      </c>
      <c r="U6489" s="2">
        <v>42241</v>
      </c>
      <c r="V6489" t="s">
        <v>71</v>
      </c>
      <c r="W6489" t="str">
        <f>"          2152033206"</f>
        <v xml:space="preserve">          2152033206</v>
      </c>
      <c r="X6489" s="1">
        <v>4516.4399999999996</v>
      </c>
      <c r="Y6489">
        <v>0</v>
      </c>
      <c r="Z6489"/>
      <c r="AB6489"/>
      <c r="AC6489" s="1">
        <v>3702</v>
      </c>
      <c r="AD6489">
        <v>286</v>
      </c>
      <c r="AE6489" s="1">
        <v>1058772</v>
      </c>
      <c r="AF6489">
        <v>0</v>
      </c>
      <c r="AJ6489">
        <v>0</v>
      </c>
      <c r="AK6489">
        <v>0</v>
      </c>
      <c r="AL6489">
        <v>0</v>
      </c>
      <c r="AM6489">
        <v>0</v>
      </c>
      <c r="AN6489">
        <v>0</v>
      </c>
      <c r="AO6489">
        <v>0</v>
      </c>
      <c r="AP6489" s="2">
        <v>42746</v>
      </c>
      <c r="AQ6489" t="s">
        <v>72</v>
      </c>
      <c r="AR6489" t="s">
        <v>72</v>
      </c>
      <c r="AS6489">
        <v>1532</v>
      </c>
      <c r="AT6489" s="4">
        <v>42527</v>
      </c>
      <c r="AU6489" t="s">
        <v>73</v>
      </c>
      <c r="AV6489">
        <v>1532</v>
      </c>
      <c r="AW6489" s="4">
        <v>42527</v>
      </c>
      <c r="BD6489">
        <v>0</v>
      </c>
      <c r="BN6489" t="s">
        <v>74</v>
      </c>
    </row>
    <row r="6490" spans="1:66" hidden="1">
      <c r="A6490">
        <v>104083</v>
      </c>
      <c r="B6490" s="3" t="s">
        <v>607</v>
      </c>
      <c r="C6490" s="1">
        <v>43300101</v>
      </c>
      <c r="D6490" t="s">
        <v>67</v>
      </c>
      <c r="H6490" t="str">
        <f t="shared" si="662"/>
        <v>06324460150</v>
      </c>
      <c r="I6490" t="str">
        <f t="shared" si="663"/>
        <v>02804530968</v>
      </c>
      <c r="K6490" t="str">
        <f>""</f>
        <v/>
      </c>
      <c r="M6490" t="s">
        <v>68</v>
      </c>
      <c r="N6490" t="str">
        <f t="shared" si="661"/>
        <v>FOR</v>
      </c>
      <c r="O6490" t="s">
        <v>69</v>
      </c>
      <c r="P6490" s="3" t="s">
        <v>75</v>
      </c>
      <c r="Q6490">
        <v>2015</v>
      </c>
      <c r="R6490" s="2">
        <v>42178</v>
      </c>
      <c r="S6490" s="2">
        <v>42185</v>
      </c>
      <c r="T6490" s="2">
        <v>42181</v>
      </c>
      <c r="U6490" s="2">
        <v>42241</v>
      </c>
      <c r="V6490" t="s">
        <v>71</v>
      </c>
      <c r="W6490" t="str">
        <f>"          2152033207"</f>
        <v xml:space="preserve">          2152033207</v>
      </c>
      <c r="X6490" s="1">
        <v>2329.2199999999998</v>
      </c>
      <c r="Y6490">
        <v>0</v>
      </c>
      <c r="Z6490"/>
      <c r="AB6490"/>
      <c r="AC6490" s="1">
        <v>1909.2</v>
      </c>
      <c r="AD6490">
        <v>286</v>
      </c>
      <c r="AE6490" s="1">
        <v>546031.19999999995</v>
      </c>
      <c r="AF6490">
        <v>0</v>
      </c>
      <c r="AJ6490">
        <v>0</v>
      </c>
      <c r="AK6490">
        <v>0</v>
      </c>
      <c r="AL6490">
        <v>0</v>
      </c>
      <c r="AM6490">
        <v>0</v>
      </c>
      <c r="AN6490">
        <v>0</v>
      </c>
      <c r="AO6490">
        <v>0</v>
      </c>
      <c r="AP6490" s="2">
        <v>42746</v>
      </c>
      <c r="AQ6490" t="s">
        <v>72</v>
      </c>
      <c r="AR6490" t="s">
        <v>72</v>
      </c>
      <c r="AS6490">
        <v>1532</v>
      </c>
      <c r="AT6490" s="4">
        <v>42527</v>
      </c>
      <c r="AU6490" t="s">
        <v>73</v>
      </c>
      <c r="AV6490">
        <v>1532</v>
      </c>
      <c r="AW6490" s="4">
        <v>42527</v>
      </c>
      <c r="BD6490">
        <v>0</v>
      </c>
      <c r="BN6490" t="s">
        <v>74</v>
      </c>
    </row>
    <row r="6491" spans="1:66" hidden="1">
      <c r="A6491">
        <v>104083</v>
      </c>
      <c r="B6491" s="3" t="s">
        <v>607</v>
      </c>
      <c r="C6491" s="1">
        <v>43300101</v>
      </c>
      <c r="D6491" t="s">
        <v>67</v>
      </c>
      <c r="H6491" t="str">
        <f t="shared" si="662"/>
        <v>06324460150</v>
      </c>
      <c r="I6491" t="str">
        <f t="shared" si="663"/>
        <v>02804530968</v>
      </c>
      <c r="K6491" t="str">
        <f>""</f>
        <v/>
      </c>
      <c r="M6491" t="s">
        <v>68</v>
      </c>
      <c r="N6491" t="str">
        <f t="shared" si="661"/>
        <v>FOR</v>
      </c>
      <c r="O6491" t="s">
        <v>69</v>
      </c>
      <c r="P6491" s="3" t="s">
        <v>75</v>
      </c>
      <c r="Q6491">
        <v>2015</v>
      </c>
      <c r="R6491" s="2">
        <v>42191</v>
      </c>
      <c r="S6491" s="2">
        <v>42193</v>
      </c>
      <c r="T6491" s="2">
        <v>42192</v>
      </c>
      <c r="U6491" s="2">
        <v>42252</v>
      </c>
      <c r="V6491" t="s">
        <v>71</v>
      </c>
      <c r="W6491" t="str">
        <f>"          2152035572"</f>
        <v xml:space="preserve">          2152035572</v>
      </c>
      <c r="X6491" s="1">
        <v>3945.48</v>
      </c>
      <c r="Y6491">
        <v>0</v>
      </c>
      <c r="Z6491"/>
      <c r="AB6491"/>
      <c r="AC6491" s="1">
        <v>3234</v>
      </c>
      <c r="AD6491">
        <v>324</v>
      </c>
      <c r="AE6491" s="1">
        <v>1047816</v>
      </c>
      <c r="AF6491">
        <v>0</v>
      </c>
      <c r="AJ6491">
        <v>0</v>
      </c>
      <c r="AK6491">
        <v>0</v>
      </c>
      <c r="AL6491">
        <v>0</v>
      </c>
      <c r="AM6491">
        <v>0</v>
      </c>
      <c r="AN6491">
        <v>0</v>
      </c>
      <c r="AO6491">
        <v>0</v>
      </c>
      <c r="AP6491" s="2">
        <v>42746</v>
      </c>
      <c r="AQ6491" t="s">
        <v>72</v>
      </c>
      <c r="AR6491" t="s">
        <v>72</v>
      </c>
      <c r="AS6491">
        <v>1919</v>
      </c>
      <c r="AT6491" s="4">
        <v>42576</v>
      </c>
      <c r="AU6491" t="s">
        <v>73</v>
      </c>
      <c r="AV6491">
        <v>1919</v>
      </c>
      <c r="AW6491" s="4">
        <v>42576</v>
      </c>
      <c r="BD6491">
        <v>0</v>
      </c>
      <c r="BN6491" t="s">
        <v>74</v>
      </c>
    </row>
    <row r="6492" spans="1:66" hidden="1">
      <c r="A6492">
        <v>104083</v>
      </c>
      <c r="B6492" s="3" t="s">
        <v>607</v>
      </c>
      <c r="C6492" s="1">
        <v>43300101</v>
      </c>
      <c r="D6492" t="s">
        <v>67</v>
      </c>
      <c r="H6492" t="str">
        <f t="shared" si="662"/>
        <v>06324460150</v>
      </c>
      <c r="I6492" t="str">
        <f t="shared" si="663"/>
        <v>02804530968</v>
      </c>
      <c r="K6492" t="str">
        <f>""</f>
        <v/>
      </c>
      <c r="M6492" t="s">
        <v>68</v>
      </c>
      <c r="N6492" t="str">
        <f t="shared" si="661"/>
        <v>FOR</v>
      </c>
      <c r="O6492" t="s">
        <v>69</v>
      </c>
      <c r="P6492" s="3" t="s">
        <v>75</v>
      </c>
      <c r="Q6492">
        <v>2015</v>
      </c>
      <c r="R6492" s="2">
        <v>42192</v>
      </c>
      <c r="S6492" s="2">
        <v>42195</v>
      </c>
      <c r="T6492" s="2">
        <v>42194</v>
      </c>
      <c r="U6492" s="2">
        <v>42254</v>
      </c>
      <c r="V6492" t="s">
        <v>71</v>
      </c>
      <c r="W6492" t="str">
        <f>"          2152035835"</f>
        <v xml:space="preserve">          2152035835</v>
      </c>
      <c r="X6492">
        <v>805.2</v>
      </c>
      <c r="Y6492">
        <v>0</v>
      </c>
      <c r="Z6492"/>
      <c r="AB6492"/>
      <c r="AC6492">
        <v>660</v>
      </c>
      <c r="AD6492">
        <v>322</v>
      </c>
      <c r="AE6492" s="1">
        <v>212520</v>
      </c>
      <c r="AF6492">
        <v>0</v>
      </c>
      <c r="AJ6492">
        <v>0</v>
      </c>
      <c r="AK6492">
        <v>0</v>
      </c>
      <c r="AL6492">
        <v>0</v>
      </c>
      <c r="AM6492">
        <v>0</v>
      </c>
      <c r="AN6492">
        <v>0</v>
      </c>
      <c r="AO6492">
        <v>0</v>
      </c>
      <c r="AP6492" s="2">
        <v>42746</v>
      </c>
      <c r="AQ6492" t="s">
        <v>72</v>
      </c>
      <c r="AR6492" t="s">
        <v>72</v>
      </c>
      <c r="AS6492">
        <v>1919</v>
      </c>
      <c r="AT6492" s="4">
        <v>42576</v>
      </c>
      <c r="AU6492" t="s">
        <v>73</v>
      </c>
      <c r="AV6492">
        <v>1919</v>
      </c>
      <c r="AW6492" s="4">
        <v>42576</v>
      </c>
      <c r="BD6492">
        <v>0</v>
      </c>
      <c r="BN6492" t="s">
        <v>74</v>
      </c>
    </row>
    <row r="6493" spans="1:66" hidden="1">
      <c r="A6493">
        <v>104083</v>
      </c>
      <c r="B6493" s="3" t="s">
        <v>607</v>
      </c>
      <c r="C6493" s="1">
        <v>43300101</v>
      </c>
      <c r="D6493" t="s">
        <v>67</v>
      </c>
      <c r="H6493" t="str">
        <f t="shared" si="662"/>
        <v>06324460150</v>
      </c>
      <c r="I6493" t="str">
        <f t="shared" si="663"/>
        <v>02804530968</v>
      </c>
      <c r="K6493" t="str">
        <f>""</f>
        <v/>
      </c>
      <c r="M6493" t="s">
        <v>68</v>
      </c>
      <c r="N6493" t="str">
        <f t="shared" si="661"/>
        <v>FOR</v>
      </c>
      <c r="O6493" t="s">
        <v>69</v>
      </c>
      <c r="P6493" s="3" t="s">
        <v>75</v>
      </c>
      <c r="Q6493">
        <v>2015</v>
      </c>
      <c r="R6493" s="2">
        <v>42192</v>
      </c>
      <c r="S6493" s="2">
        <v>42195</v>
      </c>
      <c r="T6493" s="2">
        <v>42194</v>
      </c>
      <c r="U6493" s="2">
        <v>42254</v>
      </c>
      <c r="V6493" t="s">
        <v>71</v>
      </c>
      <c r="W6493" t="str">
        <f>"          2152035836"</f>
        <v xml:space="preserve">          2152035836</v>
      </c>
      <c r="X6493" s="1">
        <v>1070.55</v>
      </c>
      <c r="Y6493">
        <v>0</v>
      </c>
      <c r="Z6493"/>
      <c r="AB6493"/>
      <c r="AC6493">
        <v>877.5</v>
      </c>
      <c r="AD6493">
        <v>322</v>
      </c>
      <c r="AE6493" s="1">
        <v>282555</v>
      </c>
      <c r="AF6493">
        <v>0</v>
      </c>
      <c r="AJ6493">
        <v>0</v>
      </c>
      <c r="AK6493">
        <v>0</v>
      </c>
      <c r="AL6493">
        <v>0</v>
      </c>
      <c r="AM6493">
        <v>0</v>
      </c>
      <c r="AN6493">
        <v>0</v>
      </c>
      <c r="AO6493">
        <v>0</v>
      </c>
      <c r="AP6493" s="2">
        <v>42746</v>
      </c>
      <c r="AQ6493" t="s">
        <v>72</v>
      </c>
      <c r="AR6493" t="s">
        <v>72</v>
      </c>
      <c r="AS6493">
        <v>1919</v>
      </c>
      <c r="AT6493" s="4">
        <v>42576</v>
      </c>
      <c r="AU6493" t="s">
        <v>73</v>
      </c>
      <c r="AV6493">
        <v>1919</v>
      </c>
      <c r="AW6493" s="4">
        <v>42576</v>
      </c>
      <c r="BD6493">
        <v>0</v>
      </c>
      <c r="BN6493" t="s">
        <v>74</v>
      </c>
    </row>
    <row r="6494" spans="1:66" hidden="1">
      <c r="A6494">
        <v>104083</v>
      </c>
      <c r="B6494" s="3" t="s">
        <v>607</v>
      </c>
      <c r="C6494" s="1">
        <v>43300101</v>
      </c>
      <c r="D6494" t="s">
        <v>67</v>
      </c>
      <c r="H6494" t="str">
        <f t="shared" si="662"/>
        <v>06324460150</v>
      </c>
      <c r="I6494" t="str">
        <f t="shared" si="663"/>
        <v>02804530968</v>
      </c>
      <c r="K6494" t="str">
        <f>""</f>
        <v/>
      </c>
      <c r="M6494" t="s">
        <v>68</v>
      </c>
      <c r="N6494" t="str">
        <f t="shared" si="661"/>
        <v>FOR</v>
      </c>
      <c r="O6494" t="s">
        <v>69</v>
      </c>
      <c r="P6494" s="3" t="s">
        <v>75</v>
      </c>
      <c r="Q6494">
        <v>2015</v>
      </c>
      <c r="R6494" s="2">
        <v>42192</v>
      </c>
      <c r="S6494" s="2">
        <v>42195</v>
      </c>
      <c r="T6494" s="2">
        <v>42194</v>
      </c>
      <c r="U6494" s="2">
        <v>42254</v>
      </c>
      <c r="V6494" t="s">
        <v>71</v>
      </c>
      <c r="W6494" t="str">
        <f>"          2152035837"</f>
        <v xml:space="preserve">          2152035837</v>
      </c>
      <c r="X6494">
        <v>872.3</v>
      </c>
      <c r="Y6494">
        <v>0</v>
      </c>
      <c r="Z6494"/>
      <c r="AB6494"/>
      <c r="AC6494">
        <v>715</v>
      </c>
      <c r="AD6494">
        <v>322</v>
      </c>
      <c r="AE6494" s="1">
        <v>230230</v>
      </c>
      <c r="AF6494">
        <v>0</v>
      </c>
      <c r="AJ6494">
        <v>0</v>
      </c>
      <c r="AK6494">
        <v>0</v>
      </c>
      <c r="AL6494">
        <v>0</v>
      </c>
      <c r="AM6494">
        <v>0</v>
      </c>
      <c r="AN6494">
        <v>0</v>
      </c>
      <c r="AO6494">
        <v>0</v>
      </c>
      <c r="AP6494" s="2">
        <v>42746</v>
      </c>
      <c r="AQ6494" t="s">
        <v>72</v>
      </c>
      <c r="AR6494" t="s">
        <v>72</v>
      </c>
      <c r="AS6494">
        <v>1919</v>
      </c>
      <c r="AT6494" s="4">
        <v>42576</v>
      </c>
      <c r="AU6494" t="s">
        <v>73</v>
      </c>
      <c r="AV6494">
        <v>1919</v>
      </c>
      <c r="AW6494" s="4">
        <v>42576</v>
      </c>
      <c r="BD6494">
        <v>0</v>
      </c>
      <c r="BN6494" t="s">
        <v>74</v>
      </c>
    </row>
    <row r="6495" spans="1:66" hidden="1">
      <c r="A6495">
        <v>104083</v>
      </c>
      <c r="B6495" s="3" t="s">
        <v>607</v>
      </c>
      <c r="C6495" s="1">
        <v>43300101</v>
      </c>
      <c r="D6495" t="s">
        <v>67</v>
      </c>
      <c r="H6495" t="str">
        <f t="shared" si="662"/>
        <v>06324460150</v>
      </c>
      <c r="I6495" t="str">
        <f t="shared" si="663"/>
        <v>02804530968</v>
      </c>
      <c r="K6495" t="str">
        <f>""</f>
        <v/>
      </c>
      <c r="M6495" t="s">
        <v>68</v>
      </c>
      <c r="N6495" t="str">
        <f t="shared" si="661"/>
        <v>FOR</v>
      </c>
      <c r="O6495" t="s">
        <v>69</v>
      </c>
      <c r="P6495" s="3" t="s">
        <v>75</v>
      </c>
      <c r="Q6495">
        <v>2015</v>
      </c>
      <c r="R6495" s="2">
        <v>42192</v>
      </c>
      <c r="S6495" s="2">
        <v>42195</v>
      </c>
      <c r="T6495" s="2">
        <v>42194</v>
      </c>
      <c r="U6495" s="2">
        <v>42254</v>
      </c>
      <c r="V6495" t="s">
        <v>71</v>
      </c>
      <c r="W6495" t="str">
        <f>"          2152035838"</f>
        <v xml:space="preserve">          2152035838</v>
      </c>
      <c r="X6495">
        <v>683.2</v>
      </c>
      <c r="Y6495">
        <v>0</v>
      </c>
      <c r="Z6495"/>
      <c r="AB6495"/>
      <c r="AC6495">
        <v>560</v>
      </c>
      <c r="AD6495">
        <v>322</v>
      </c>
      <c r="AE6495" s="1">
        <v>180320</v>
      </c>
      <c r="AF6495">
        <v>0</v>
      </c>
      <c r="AJ6495">
        <v>0</v>
      </c>
      <c r="AK6495">
        <v>0</v>
      </c>
      <c r="AL6495">
        <v>0</v>
      </c>
      <c r="AM6495">
        <v>0</v>
      </c>
      <c r="AN6495">
        <v>0</v>
      </c>
      <c r="AO6495">
        <v>0</v>
      </c>
      <c r="AP6495" s="2">
        <v>42746</v>
      </c>
      <c r="AQ6495" t="s">
        <v>72</v>
      </c>
      <c r="AR6495" t="s">
        <v>72</v>
      </c>
      <c r="AS6495">
        <v>1919</v>
      </c>
      <c r="AT6495" s="4">
        <v>42576</v>
      </c>
      <c r="AU6495" t="s">
        <v>73</v>
      </c>
      <c r="AV6495">
        <v>1919</v>
      </c>
      <c r="AW6495" s="4">
        <v>42576</v>
      </c>
      <c r="BD6495">
        <v>0</v>
      </c>
      <c r="BN6495" t="s">
        <v>74</v>
      </c>
    </row>
    <row r="6496" spans="1:66" hidden="1">
      <c r="A6496">
        <v>104083</v>
      </c>
      <c r="B6496" s="3" t="s">
        <v>607</v>
      </c>
      <c r="C6496" s="1">
        <v>43300101</v>
      </c>
      <c r="D6496" t="s">
        <v>67</v>
      </c>
      <c r="H6496" t="str">
        <f t="shared" si="662"/>
        <v>06324460150</v>
      </c>
      <c r="I6496" t="str">
        <f t="shared" si="663"/>
        <v>02804530968</v>
      </c>
      <c r="K6496" t="str">
        <f>""</f>
        <v/>
      </c>
      <c r="M6496" t="s">
        <v>68</v>
      </c>
      <c r="N6496" t="str">
        <f t="shared" si="661"/>
        <v>FOR</v>
      </c>
      <c r="O6496" t="s">
        <v>69</v>
      </c>
      <c r="P6496" s="3" t="s">
        <v>75</v>
      </c>
      <c r="Q6496">
        <v>2015</v>
      </c>
      <c r="R6496" s="2">
        <v>42193</v>
      </c>
      <c r="S6496" s="2">
        <v>42195</v>
      </c>
      <c r="T6496" s="2">
        <v>42194</v>
      </c>
      <c r="U6496" s="2">
        <v>42254</v>
      </c>
      <c r="V6496" t="s">
        <v>71</v>
      </c>
      <c r="W6496" t="str">
        <f>"          2152036119"</f>
        <v xml:space="preserve">          2152036119</v>
      </c>
      <c r="X6496" s="1">
        <v>1354.2</v>
      </c>
      <c r="Y6496">
        <v>0</v>
      </c>
      <c r="Z6496"/>
      <c r="AB6496"/>
      <c r="AC6496" s="1">
        <v>1110</v>
      </c>
      <c r="AD6496">
        <v>322</v>
      </c>
      <c r="AE6496" s="1">
        <v>357420</v>
      </c>
      <c r="AF6496">
        <v>0</v>
      </c>
      <c r="AJ6496">
        <v>0</v>
      </c>
      <c r="AK6496">
        <v>0</v>
      </c>
      <c r="AL6496">
        <v>0</v>
      </c>
      <c r="AM6496">
        <v>0</v>
      </c>
      <c r="AN6496">
        <v>0</v>
      </c>
      <c r="AO6496">
        <v>0</v>
      </c>
      <c r="AP6496" s="2">
        <v>42746</v>
      </c>
      <c r="AQ6496" t="s">
        <v>72</v>
      </c>
      <c r="AR6496" t="s">
        <v>72</v>
      </c>
      <c r="AS6496">
        <v>1919</v>
      </c>
      <c r="AT6496" s="4">
        <v>42576</v>
      </c>
      <c r="AU6496" t="s">
        <v>73</v>
      </c>
      <c r="AV6496">
        <v>1919</v>
      </c>
      <c r="AW6496" s="4">
        <v>42576</v>
      </c>
      <c r="BD6496">
        <v>0</v>
      </c>
      <c r="BN6496" t="s">
        <v>74</v>
      </c>
    </row>
    <row r="6497" spans="1:66" hidden="1">
      <c r="A6497">
        <v>104083</v>
      </c>
      <c r="B6497" s="3" t="s">
        <v>607</v>
      </c>
      <c r="C6497" s="1">
        <v>43300101</v>
      </c>
      <c r="D6497" t="s">
        <v>67</v>
      </c>
      <c r="H6497" t="str">
        <f t="shared" si="662"/>
        <v>06324460150</v>
      </c>
      <c r="I6497" t="str">
        <f t="shared" si="663"/>
        <v>02804530968</v>
      </c>
      <c r="K6497" t="str">
        <f>""</f>
        <v/>
      </c>
      <c r="M6497" t="s">
        <v>68</v>
      </c>
      <c r="N6497" t="str">
        <f t="shared" si="661"/>
        <v>FOR</v>
      </c>
      <c r="O6497" t="s">
        <v>69</v>
      </c>
      <c r="P6497" s="3" t="s">
        <v>75</v>
      </c>
      <c r="Q6497">
        <v>2015</v>
      </c>
      <c r="R6497" s="2">
        <v>42193</v>
      </c>
      <c r="S6497" s="2">
        <v>42195</v>
      </c>
      <c r="T6497" s="2">
        <v>42194</v>
      </c>
      <c r="U6497" s="2">
        <v>42254</v>
      </c>
      <c r="V6497" t="s">
        <v>71</v>
      </c>
      <c r="W6497" t="str">
        <f>"          2152036120"</f>
        <v xml:space="preserve">          2152036120</v>
      </c>
      <c r="X6497">
        <v>204.96</v>
      </c>
      <c r="Y6497">
        <v>0</v>
      </c>
      <c r="Z6497"/>
      <c r="AB6497"/>
      <c r="AC6497">
        <v>168</v>
      </c>
      <c r="AD6497">
        <v>322</v>
      </c>
      <c r="AE6497" s="1">
        <v>54096</v>
      </c>
      <c r="AF6497">
        <v>0</v>
      </c>
      <c r="AJ6497">
        <v>0</v>
      </c>
      <c r="AK6497">
        <v>0</v>
      </c>
      <c r="AL6497">
        <v>0</v>
      </c>
      <c r="AM6497">
        <v>0</v>
      </c>
      <c r="AN6497">
        <v>0</v>
      </c>
      <c r="AO6497">
        <v>0</v>
      </c>
      <c r="AP6497" s="2">
        <v>42746</v>
      </c>
      <c r="AQ6497" t="s">
        <v>72</v>
      </c>
      <c r="AR6497" t="s">
        <v>72</v>
      </c>
      <c r="AS6497">
        <v>1919</v>
      </c>
      <c r="AT6497" s="4">
        <v>42576</v>
      </c>
      <c r="AU6497" t="s">
        <v>73</v>
      </c>
      <c r="AV6497">
        <v>1919</v>
      </c>
      <c r="AW6497" s="4">
        <v>42576</v>
      </c>
      <c r="BD6497">
        <v>0</v>
      </c>
      <c r="BN6497" t="s">
        <v>74</v>
      </c>
    </row>
    <row r="6498" spans="1:66" hidden="1">
      <c r="A6498">
        <v>104083</v>
      </c>
      <c r="B6498" s="3" t="s">
        <v>607</v>
      </c>
      <c r="C6498" s="1">
        <v>43300101</v>
      </c>
      <c r="D6498" t="s">
        <v>67</v>
      </c>
      <c r="H6498" t="str">
        <f t="shared" si="662"/>
        <v>06324460150</v>
      </c>
      <c r="I6498" t="str">
        <f t="shared" si="663"/>
        <v>02804530968</v>
      </c>
      <c r="K6498" t="str">
        <f>""</f>
        <v/>
      </c>
      <c r="M6498" t="s">
        <v>68</v>
      </c>
      <c r="N6498" t="str">
        <f t="shared" si="661"/>
        <v>FOR</v>
      </c>
      <c r="O6498" t="s">
        <v>69</v>
      </c>
      <c r="P6498" s="3" t="s">
        <v>75</v>
      </c>
      <c r="Q6498">
        <v>2015</v>
      </c>
      <c r="R6498" s="2">
        <v>42195</v>
      </c>
      <c r="S6498" s="2">
        <v>42202</v>
      </c>
      <c r="T6498" s="2">
        <v>42199</v>
      </c>
      <c r="U6498" s="2">
        <v>42259</v>
      </c>
      <c r="V6498" t="s">
        <v>71</v>
      </c>
      <c r="W6498" t="str">
        <f>"          2152036834"</f>
        <v xml:space="preserve">          2152036834</v>
      </c>
      <c r="X6498">
        <v>868.64</v>
      </c>
      <c r="Y6498">
        <v>0</v>
      </c>
      <c r="Z6498"/>
      <c r="AB6498"/>
      <c r="AC6498">
        <v>712</v>
      </c>
      <c r="AD6498">
        <v>317</v>
      </c>
      <c r="AE6498" s="1">
        <v>225704</v>
      </c>
      <c r="AF6498">
        <v>0</v>
      </c>
      <c r="AJ6498">
        <v>0</v>
      </c>
      <c r="AK6498">
        <v>0</v>
      </c>
      <c r="AL6498">
        <v>0</v>
      </c>
      <c r="AM6498">
        <v>0</v>
      </c>
      <c r="AN6498">
        <v>0</v>
      </c>
      <c r="AO6498">
        <v>0</v>
      </c>
      <c r="AP6498" s="2">
        <v>42746</v>
      </c>
      <c r="AQ6498" t="s">
        <v>72</v>
      </c>
      <c r="AR6498" t="s">
        <v>72</v>
      </c>
      <c r="AS6498">
        <v>1919</v>
      </c>
      <c r="AT6498" s="4">
        <v>42576</v>
      </c>
      <c r="AU6498" t="s">
        <v>73</v>
      </c>
      <c r="AV6498">
        <v>1919</v>
      </c>
      <c r="AW6498" s="4">
        <v>42576</v>
      </c>
      <c r="BD6498">
        <v>0</v>
      </c>
      <c r="BN6498" t="s">
        <v>74</v>
      </c>
    </row>
    <row r="6499" spans="1:66" hidden="1">
      <c r="A6499">
        <v>104083</v>
      </c>
      <c r="B6499" s="3" t="s">
        <v>607</v>
      </c>
      <c r="C6499" s="1">
        <v>43300101</v>
      </c>
      <c r="D6499" t="s">
        <v>67</v>
      </c>
      <c r="H6499" t="str">
        <f t="shared" si="662"/>
        <v>06324460150</v>
      </c>
      <c r="I6499" t="str">
        <f t="shared" si="663"/>
        <v>02804530968</v>
      </c>
      <c r="K6499" t="str">
        <f>""</f>
        <v/>
      </c>
      <c r="M6499" t="s">
        <v>68</v>
      </c>
      <c r="N6499" t="str">
        <f t="shared" si="661"/>
        <v>FOR</v>
      </c>
      <c r="O6499" t="s">
        <v>69</v>
      </c>
      <c r="P6499" s="3" t="s">
        <v>75</v>
      </c>
      <c r="Q6499">
        <v>2015</v>
      </c>
      <c r="R6499" s="2">
        <v>42198</v>
      </c>
      <c r="S6499" s="2">
        <v>42202</v>
      </c>
      <c r="T6499" s="2">
        <v>42199</v>
      </c>
      <c r="U6499" s="2">
        <v>42259</v>
      </c>
      <c r="V6499" t="s">
        <v>71</v>
      </c>
      <c r="W6499" t="str">
        <f>"          2152037174"</f>
        <v xml:space="preserve">          2152037174</v>
      </c>
      <c r="X6499" s="1">
        <v>1739.72</v>
      </c>
      <c r="Y6499">
        <v>0</v>
      </c>
      <c r="Z6499"/>
      <c r="AB6499"/>
      <c r="AC6499" s="1">
        <v>1426</v>
      </c>
      <c r="AD6499">
        <v>317</v>
      </c>
      <c r="AE6499" s="1">
        <v>452042</v>
      </c>
      <c r="AF6499">
        <v>0</v>
      </c>
      <c r="AJ6499">
        <v>0</v>
      </c>
      <c r="AK6499">
        <v>0</v>
      </c>
      <c r="AL6499">
        <v>0</v>
      </c>
      <c r="AM6499">
        <v>0</v>
      </c>
      <c r="AN6499">
        <v>0</v>
      </c>
      <c r="AO6499">
        <v>0</v>
      </c>
      <c r="AP6499" s="2">
        <v>42746</v>
      </c>
      <c r="AQ6499" t="s">
        <v>72</v>
      </c>
      <c r="AR6499" t="s">
        <v>72</v>
      </c>
      <c r="AS6499">
        <v>1919</v>
      </c>
      <c r="AT6499" s="4">
        <v>42576</v>
      </c>
      <c r="AU6499" t="s">
        <v>73</v>
      </c>
      <c r="AV6499">
        <v>1919</v>
      </c>
      <c r="AW6499" s="4">
        <v>42576</v>
      </c>
      <c r="BD6499">
        <v>0</v>
      </c>
      <c r="BN6499" t="s">
        <v>74</v>
      </c>
    </row>
    <row r="6500" spans="1:66" hidden="1">
      <c r="A6500">
        <v>104083</v>
      </c>
      <c r="B6500" s="3" t="s">
        <v>607</v>
      </c>
      <c r="C6500" s="1">
        <v>43300101</v>
      </c>
      <c r="D6500" t="s">
        <v>67</v>
      </c>
      <c r="H6500" t="str">
        <f t="shared" si="662"/>
        <v>06324460150</v>
      </c>
      <c r="I6500" t="str">
        <f t="shared" si="663"/>
        <v>02804530968</v>
      </c>
      <c r="K6500" t="str">
        <f>""</f>
        <v/>
      </c>
      <c r="M6500" t="s">
        <v>68</v>
      </c>
      <c r="N6500" t="str">
        <f t="shared" si="661"/>
        <v>FOR</v>
      </c>
      <c r="O6500" t="s">
        <v>69</v>
      </c>
      <c r="P6500" s="3" t="s">
        <v>75</v>
      </c>
      <c r="Q6500">
        <v>2015</v>
      </c>
      <c r="R6500" s="2">
        <v>42202</v>
      </c>
      <c r="S6500" s="2">
        <v>42205</v>
      </c>
      <c r="T6500" s="2">
        <v>42203</v>
      </c>
      <c r="U6500" s="2">
        <v>42263</v>
      </c>
      <c r="V6500" t="s">
        <v>71</v>
      </c>
      <c r="W6500" t="str">
        <f>"          2152038294"</f>
        <v xml:space="preserve">          2152038294</v>
      </c>
      <c r="X6500">
        <v>536.79999999999995</v>
      </c>
      <c r="Y6500">
        <v>0</v>
      </c>
      <c r="Z6500"/>
      <c r="AB6500"/>
      <c r="AC6500">
        <v>440</v>
      </c>
      <c r="AD6500">
        <v>313</v>
      </c>
      <c r="AE6500" s="1">
        <v>137720</v>
      </c>
      <c r="AF6500">
        <v>0</v>
      </c>
      <c r="AJ6500">
        <v>0</v>
      </c>
      <c r="AK6500">
        <v>0</v>
      </c>
      <c r="AL6500">
        <v>0</v>
      </c>
      <c r="AM6500">
        <v>0</v>
      </c>
      <c r="AN6500">
        <v>0</v>
      </c>
      <c r="AO6500">
        <v>0</v>
      </c>
      <c r="AP6500" s="2">
        <v>42746</v>
      </c>
      <c r="AQ6500" t="s">
        <v>72</v>
      </c>
      <c r="AR6500" t="s">
        <v>72</v>
      </c>
      <c r="AS6500">
        <v>1919</v>
      </c>
      <c r="AT6500" s="4">
        <v>42576</v>
      </c>
      <c r="AU6500" t="s">
        <v>73</v>
      </c>
      <c r="AV6500">
        <v>1919</v>
      </c>
      <c r="AW6500" s="4">
        <v>42576</v>
      </c>
      <c r="BD6500">
        <v>0</v>
      </c>
      <c r="BN6500" t="s">
        <v>74</v>
      </c>
    </row>
    <row r="6501" spans="1:66" hidden="1">
      <c r="A6501">
        <v>104083</v>
      </c>
      <c r="B6501" s="3" t="s">
        <v>607</v>
      </c>
      <c r="C6501" s="1">
        <v>43300101</v>
      </c>
      <c r="D6501" t="s">
        <v>67</v>
      </c>
      <c r="H6501" t="str">
        <f t="shared" si="662"/>
        <v>06324460150</v>
      </c>
      <c r="I6501" t="str">
        <f t="shared" si="663"/>
        <v>02804530968</v>
      </c>
      <c r="K6501" t="str">
        <f>""</f>
        <v/>
      </c>
      <c r="M6501" t="s">
        <v>68</v>
      </c>
      <c r="N6501" t="str">
        <f t="shared" si="661"/>
        <v>FOR</v>
      </c>
      <c r="O6501" t="s">
        <v>69</v>
      </c>
      <c r="P6501" s="3" t="s">
        <v>75</v>
      </c>
      <c r="Q6501">
        <v>2015</v>
      </c>
      <c r="R6501" s="2">
        <v>42202</v>
      </c>
      <c r="S6501" s="2">
        <v>42205</v>
      </c>
      <c r="T6501" s="2">
        <v>42203</v>
      </c>
      <c r="U6501" s="2">
        <v>42263</v>
      </c>
      <c r="V6501" t="s">
        <v>71</v>
      </c>
      <c r="W6501" t="str">
        <f>"          2152038295"</f>
        <v xml:space="preserve">          2152038295</v>
      </c>
      <c r="X6501">
        <v>118.95</v>
      </c>
      <c r="Y6501">
        <v>0</v>
      </c>
      <c r="Z6501"/>
      <c r="AB6501"/>
      <c r="AC6501">
        <v>97.5</v>
      </c>
      <c r="AD6501">
        <v>313</v>
      </c>
      <c r="AE6501" s="1">
        <v>30517.5</v>
      </c>
      <c r="AF6501">
        <v>0</v>
      </c>
      <c r="AJ6501">
        <v>0</v>
      </c>
      <c r="AK6501">
        <v>0</v>
      </c>
      <c r="AL6501">
        <v>0</v>
      </c>
      <c r="AM6501">
        <v>0</v>
      </c>
      <c r="AN6501">
        <v>0</v>
      </c>
      <c r="AO6501">
        <v>0</v>
      </c>
      <c r="AP6501" s="2">
        <v>42746</v>
      </c>
      <c r="AQ6501" t="s">
        <v>72</v>
      </c>
      <c r="AR6501" t="s">
        <v>72</v>
      </c>
      <c r="AS6501">
        <v>1919</v>
      </c>
      <c r="AT6501" s="4">
        <v>42576</v>
      </c>
      <c r="AU6501" t="s">
        <v>73</v>
      </c>
      <c r="AV6501">
        <v>1919</v>
      </c>
      <c r="AW6501" s="4">
        <v>42576</v>
      </c>
      <c r="BD6501">
        <v>0</v>
      </c>
      <c r="BN6501" t="s">
        <v>74</v>
      </c>
    </row>
    <row r="6502" spans="1:66" hidden="1">
      <c r="A6502">
        <v>104083</v>
      </c>
      <c r="B6502" s="3" t="s">
        <v>607</v>
      </c>
      <c r="C6502" s="1">
        <v>43300101</v>
      </c>
      <c r="D6502" t="s">
        <v>67</v>
      </c>
      <c r="H6502" t="str">
        <f t="shared" si="662"/>
        <v>06324460150</v>
      </c>
      <c r="I6502" t="str">
        <f t="shared" si="663"/>
        <v>02804530968</v>
      </c>
      <c r="K6502" t="str">
        <f>""</f>
        <v/>
      </c>
      <c r="M6502" t="s">
        <v>68</v>
      </c>
      <c r="N6502" t="str">
        <f t="shared" si="661"/>
        <v>FOR</v>
      </c>
      <c r="O6502" t="s">
        <v>69</v>
      </c>
      <c r="P6502" s="3" t="s">
        <v>75</v>
      </c>
      <c r="Q6502">
        <v>2015</v>
      </c>
      <c r="R6502" s="2">
        <v>42202</v>
      </c>
      <c r="S6502" s="2">
        <v>42205</v>
      </c>
      <c r="T6502" s="2">
        <v>42203</v>
      </c>
      <c r="U6502" s="2">
        <v>42263</v>
      </c>
      <c r="V6502" t="s">
        <v>71</v>
      </c>
      <c r="W6502" t="str">
        <f>"          2152038296"</f>
        <v xml:space="preserve">          2152038296</v>
      </c>
      <c r="X6502" s="1">
        <v>2958.65</v>
      </c>
      <c r="Y6502">
        <v>0</v>
      </c>
      <c r="Z6502"/>
      <c r="AB6502"/>
      <c r="AC6502" s="1">
        <v>2425.12</v>
      </c>
      <c r="AD6502">
        <v>313</v>
      </c>
      <c r="AE6502" s="1">
        <v>759062.56</v>
      </c>
      <c r="AF6502">
        <v>0</v>
      </c>
      <c r="AJ6502">
        <v>0</v>
      </c>
      <c r="AK6502">
        <v>0</v>
      </c>
      <c r="AL6502">
        <v>0</v>
      </c>
      <c r="AM6502">
        <v>0</v>
      </c>
      <c r="AN6502">
        <v>0</v>
      </c>
      <c r="AO6502">
        <v>0</v>
      </c>
      <c r="AP6502" s="2">
        <v>42746</v>
      </c>
      <c r="AQ6502" t="s">
        <v>72</v>
      </c>
      <c r="AR6502" t="s">
        <v>72</v>
      </c>
      <c r="AS6502">
        <v>1919</v>
      </c>
      <c r="AT6502" s="4">
        <v>42576</v>
      </c>
      <c r="AU6502" t="s">
        <v>73</v>
      </c>
      <c r="AV6502">
        <v>1919</v>
      </c>
      <c r="AW6502" s="4">
        <v>42576</v>
      </c>
      <c r="BD6502">
        <v>0</v>
      </c>
      <c r="BN6502" t="s">
        <v>74</v>
      </c>
    </row>
    <row r="6503" spans="1:66" hidden="1">
      <c r="A6503">
        <v>104083</v>
      </c>
      <c r="B6503" s="3" t="s">
        <v>607</v>
      </c>
      <c r="C6503" s="1">
        <v>43300101</v>
      </c>
      <c r="D6503" t="s">
        <v>67</v>
      </c>
      <c r="H6503" t="str">
        <f t="shared" si="662"/>
        <v>06324460150</v>
      </c>
      <c r="I6503" t="str">
        <f t="shared" si="663"/>
        <v>02804530968</v>
      </c>
      <c r="K6503" t="str">
        <f>""</f>
        <v/>
      </c>
      <c r="M6503" t="s">
        <v>68</v>
      </c>
      <c r="N6503" t="str">
        <f t="shared" si="661"/>
        <v>FOR</v>
      </c>
      <c r="O6503" t="s">
        <v>69</v>
      </c>
      <c r="P6503" s="3" t="s">
        <v>75</v>
      </c>
      <c r="Q6503">
        <v>2015</v>
      </c>
      <c r="R6503" s="2">
        <v>42213</v>
      </c>
      <c r="S6503" s="2">
        <v>42215</v>
      </c>
      <c r="T6503" s="2">
        <v>42214</v>
      </c>
      <c r="U6503" s="2">
        <v>42274</v>
      </c>
      <c r="V6503" t="s">
        <v>71</v>
      </c>
      <c r="W6503" t="str">
        <f>"          2152040565"</f>
        <v xml:space="preserve">          2152040565</v>
      </c>
      <c r="X6503">
        <v>333.06</v>
      </c>
      <c r="Y6503">
        <v>0</v>
      </c>
      <c r="Z6503"/>
      <c r="AB6503"/>
      <c r="AC6503">
        <v>273</v>
      </c>
      <c r="AD6503">
        <v>302</v>
      </c>
      <c r="AE6503" s="1">
        <v>82446</v>
      </c>
      <c r="AF6503">
        <v>0</v>
      </c>
      <c r="AJ6503">
        <v>0</v>
      </c>
      <c r="AK6503">
        <v>0</v>
      </c>
      <c r="AL6503">
        <v>0</v>
      </c>
      <c r="AM6503">
        <v>0</v>
      </c>
      <c r="AN6503">
        <v>0</v>
      </c>
      <c r="AO6503">
        <v>0</v>
      </c>
      <c r="AP6503" s="2">
        <v>42746</v>
      </c>
      <c r="AQ6503" t="s">
        <v>72</v>
      </c>
      <c r="AR6503" t="s">
        <v>72</v>
      </c>
      <c r="AS6503">
        <v>1919</v>
      </c>
      <c r="AT6503" s="4">
        <v>42576</v>
      </c>
      <c r="AU6503" t="s">
        <v>73</v>
      </c>
      <c r="AV6503">
        <v>1919</v>
      </c>
      <c r="AW6503" s="4">
        <v>42576</v>
      </c>
      <c r="BD6503">
        <v>0</v>
      </c>
      <c r="BN6503" t="s">
        <v>74</v>
      </c>
    </row>
    <row r="6504" spans="1:66" hidden="1">
      <c r="A6504">
        <v>104083</v>
      </c>
      <c r="B6504" s="3" t="s">
        <v>607</v>
      </c>
      <c r="C6504" s="1">
        <v>43300101</v>
      </c>
      <c r="D6504" t="s">
        <v>67</v>
      </c>
      <c r="H6504" t="str">
        <f t="shared" si="662"/>
        <v>06324460150</v>
      </c>
      <c r="I6504" t="str">
        <f t="shared" si="663"/>
        <v>02804530968</v>
      </c>
      <c r="K6504" t="str">
        <f>""</f>
        <v/>
      </c>
      <c r="M6504" t="s">
        <v>68</v>
      </c>
      <c r="N6504" t="str">
        <f t="shared" si="661"/>
        <v>FOR</v>
      </c>
      <c r="O6504" t="s">
        <v>69</v>
      </c>
      <c r="P6504" s="3" t="s">
        <v>75</v>
      </c>
      <c r="Q6504">
        <v>2015</v>
      </c>
      <c r="R6504" s="2">
        <v>42213</v>
      </c>
      <c r="S6504" s="2">
        <v>42215</v>
      </c>
      <c r="T6504" s="2">
        <v>42214</v>
      </c>
      <c r="U6504" s="2">
        <v>42274</v>
      </c>
      <c r="V6504" t="s">
        <v>71</v>
      </c>
      <c r="W6504" t="str">
        <f>"          2152040566"</f>
        <v xml:space="preserve">          2152040566</v>
      </c>
      <c r="X6504" s="1">
        <v>2536.62</v>
      </c>
      <c r="Y6504">
        <v>0</v>
      </c>
      <c r="Z6504"/>
      <c r="AB6504"/>
      <c r="AC6504" s="1">
        <v>2079.1999999999998</v>
      </c>
      <c r="AD6504">
        <v>302</v>
      </c>
      <c r="AE6504" s="1">
        <v>627918.4</v>
      </c>
      <c r="AF6504">
        <v>0</v>
      </c>
      <c r="AJ6504">
        <v>0</v>
      </c>
      <c r="AK6504">
        <v>0</v>
      </c>
      <c r="AL6504">
        <v>0</v>
      </c>
      <c r="AM6504">
        <v>0</v>
      </c>
      <c r="AN6504">
        <v>0</v>
      </c>
      <c r="AO6504">
        <v>0</v>
      </c>
      <c r="AP6504" s="2">
        <v>42746</v>
      </c>
      <c r="AQ6504" t="s">
        <v>72</v>
      </c>
      <c r="AR6504" t="s">
        <v>72</v>
      </c>
      <c r="AS6504">
        <v>1919</v>
      </c>
      <c r="AT6504" s="4">
        <v>42576</v>
      </c>
      <c r="AU6504" t="s">
        <v>73</v>
      </c>
      <c r="AV6504">
        <v>1919</v>
      </c>
      <c r="AW6504" s="4">
        <v>42576</v>
      </c>
      <c r="BD6504">
        <v>0</v>
      </c>
      <c r="BN6504" t="s">
        <v>74</v>
      </c>
    </row>
    <row r="6505" spans="1:66" hidden="1">
      <c r="A6505">
        <v>104083</v>
      </c>
      <c r="B6505" s="3" t="s">
        <v>607</v>
      </c>
      <c r="C6505" s="1">
        <v>43300101</v>
      </c>
      <c r="D6505" t="s">
        <v>67</v>
      </c>
      <c r="H6505" t="str">
        <f t="shared" si="662"/>
        <v>06324460150</v>
      </c>
      <c r="I6505" t="str">
        <f t="shared" si="663"/>
        <v>02804530968</v>
      </c>
      <c r="K6505" t="str">
        <f>""</f>
        <v/>
      </c>
      <c r="M6505" t="s">
        <v>68</v>
      </c>
      <c r="N6505" t="str">
        <f t="shared" si="661"/>
        <v>FOR</v>
      </c>
      <c r="O6505" t="s">
        <v>69</v>
      </c>
      <c r="P6505" s="3" t="s">
        <v>75</v>
      </c>
      <c r="Q6505">
        <v>2015</v>
      </c>
      <c r="R6505" s="2">
        <v>42214</v>
      </c>
      <c r="S6505" s="2">
        <v>42216</v>
      </c>
      <c r="T6505" s="2">
        <v>42215</v>
      </c>
      <c r="U6505" s="2">
        <v>42275</v>
      </c>
      <c r="V6505" t="s">
        <v>71</v>
      </c>
      <c r="W6505" t="str">
        <f>"          2152040922"</f>
        <v xml:space="preserve">          2152040922</v>
      </c>
      <c r="X6505">
        <v>318.42</v>
      </c>
      <c r="Y6505">
        <v>0</v>
      </c>
      <c r="Z6505"/>
      <c r="AB6505"/>
      <c r="AC6505">
        <v>261</v>
      </c>
      <c r="AD6505">
        <v>301</v>
      </c>
      <c r="AE6505" s="1">
        <v>78561</v>
      </c>
      <c r="AF6505">
        <v>0</v>
      </c>
      <c r="AJ6505">
        <v>0</v>
      </c>
      <c r="AK6505">
        <v>0</v>
      </c>
      <c r="AL6505">
        <v>0</v>
      </c>
      <c r="AM6505">
        <v>0</v>
      </c>
      <c r="AN6505">
        <v>0</v>
      </c>
      <c r="AO6505">
        <v>0</v>
      </c>
      <c r="AP6505" s="2">
        <v>42746</v>
      </c>
      <c r="AQ6505" t="s">
        <v>72</v>
      </c>
      <c r="AR6505" t="s">
        <v>72</v>
      </c>
      <c r="AS6505">
        <v>1919</v>
      </c>
      <c r="AT6505" s="4">
        <v>42576</v>
      </c>
      <c r="AU6505" t="s">
        <v>73</v>
      </c>
      <c r="AV6505">
        <v>1919</v>
      </c>
      <c r="AW6505" s="4">
        <v>42576</v>
      </c>
      <c r="BD6505">
        <v>0</v>
      </c>
      <c r="BN6505" t="s">
        <v>74</v>
      </c>
    </row>
    <row r="6506" spans="1:66" hidden="1">
      <c r="A6506">
        <v>104083</v>
      </c>
      <c r="B6506" s="3" t="s">
        <v>607</v>
      </c>
      <c r="C6506" s="1">
        <v>43300101</v>
      </c>
      <c r="D6506" t="s">
        <v>67</v>
      </c>
      <c r="H6506" t="str">
        <f t="shared" si="662"/>
        <v>06324460150</v>
      </c>
      <c r="I6506" t="str">
        <f t="shared" si="663"/>
        <v>02804530968</v>
      </c>
      <c r="K6506" t="str">
        <f>""</f>
        <v/>
      </c>
      <c r="M6506" t="s">
        <v>68</v>
      </c>
      <c r="N6506" t="str">
        <f t="shared" si="661"/>
        <v>FOR</v>
      </c>
      <c r="O6506" t="s">
        <v>69</v>
      </c>
      <c r="P6506" s="3" t="s">
        <v>75</v>
      </c>
      <c r="Q6506">
        <v>2015</v>
      </c>
      <c r="R6506" s="2">
        <v>42214</v>
      </c>
      <c r="S6506" s="2">
        <v>42216</v>
      </c>
      <c r="T6506" s="2">
        <v>42215</v>
      </c>
      <c r="U6506" s="2">
        <v>42275</v>
      </c>
      <c r="V6506" t="s">
        <v>71</v>
      </c>
      <c r="W6506" t="str">
        <f>"          2152040923"</f>
        <v xml:space="preserve">          2152040923</v>
      </c>
      <c r="X6506">
        <v>143.72</v>
      </c>
      <c r="Y6506">
        <v>0</v>
      </c>
      <c r="Z6506"/>
      <c r="AB6506"/>
      <c r="AC6506">
        <v>117.8</v>
      </c>
      <c r="AD6506">
        <v>301</v>
      </c>
      <c r="AE6506" s="1">
        <v>35457.800000000003</v>
      </c>
      <c r="AF6506">
        <v>0</v>
      </c>
      <c r="AJ6506">
        <v>0</v>
      </c>
      <c r="AK6506">
        <v>0</v>
      </c>
      <c r="AL6506">
        <v>0</v>
      </c>
      <c r="AM6506">
        <v>0</v>
      </c>
      <c r="AN6506">
        <v>0</v>
      </c>
      <c r="AO6506">
        <v>0</v>
      </c>
      <c r="AP6506" s="2">
        <v>42746</v>
      </c>
      <c r="AQ6506" t="s">
        <v>72</v>
      </c>
      <c r="AR6506" t="s">
        <v>72</v>
      </c>
      <c r="AS6506">
        <v>1919</v>
      </c>
      <c r="AT6506" s="4">
        <v>42576</v>
      </c>
      <c r="AU6506" t="s">
        <v>73</v>
      </c>
      <c r="AV6506">
        <v>1919</v>
      </c>
      <c r="AW6506" s="4">
        <v>42576</v>
      </c>
      <c r="BD6506">
        <v>0</v>
      </c>
      <c r="BN6506" t="s">
        <v>74</v>
      </c>
    </row>
    <row r="6507" spans="1:66" hidden="1">
      <c r="A6507">
        <v>104083</v>
      </c>
      <c r="B6507" s="3" t="s">
        <v>607</v>
      </c>
      <c r="C6507" s="1">
        <v>43300101</v>
      </c>
      <c r="D6507" t="s">
        <v>67</v>
      </c>
      <c r="H6507" t="str">
        <f t="shared" si="662"/>
        <v>06324460150</v>
      </c>
      <c r="I6507" t="str">
        <f t="shared" si="663"/>
        <v>02804530968</v>
      </c>
      <c r="K6507" t="str">
        <f>""</f>
        <v/>
      </c>
      <c r="M6507" t="s">
        <v>68</v>
      </c>
      <c r="N6507" t="str">
        <f t="shared" si="661"/>
        <v>FOR</v>
      </c>
      <c r="O6507" t="s">
        <v>69</v>
      </c>
      <c r="P6507" s="3" t="s">
        <v>75</v>
      </c>
      <c r="Q6507">
        <v>2015</v>
      </c>
      <c r="R6507" s="2">
        <v>42216</v>
      </c>
      <c r="S6507" s="2">
        <v>42219</v>
      </c>
      <c r="T6507" s="2">
        <v>42219</v>
      </c>
      <c r="U6507" s="2">
        <v>42279</v>
      </c>
      <c r="V6507" t="s">
        <v>71</v>
      </c>
      <c r="W6507" t="str">
        <f>"          2152041603"</f>
        <v xml:space="preserve">          2152041603</v>
      </c>
      <c r="X6507">
        <v>71.86</v>
      </c>
      <c r="Y6507">
        <v>0</v>
      </c>
      <c r="Z6507"/>
      <c r="AB6507"/>
      <c r="AC6507">
        <v>58.9</v>
      </c>
      <c r="AD6507">
        <v>297</v>
      </c>
      <c r="AE6507" s="1">
        <v>17493.3</v>
      </c>
      <c r="AF6507">
        <v>0</v>
      </c>
      <c r="AJ6507">
        <v>0</v>
      </c>
      <c r="AK6507">
        <v>0</v>
      </c>
      <c r="AL6507">
        <v>0</v>
      </c>
      <c r="AM6507">
        <v>0</v>
      </c>
      <c r="AN6507">
        <v>0</v>
      </c>
      <c r="AO6507">
        <v>0</v>
      </c>
      <c r="AP6507" s="2">
        <v>42746</v>
      </c>
      <c r="AQ6507" t="s">
        <v>72</v>
      </c>
      <c r="AR6507" t="s">
        <v>72</v>
      </c>
      <c r="AS6507">
        <v>1919</v>
      </c>
      <c r="AT6507" s="4">
        <v>42576</v>
      </c>
      <c r="AU6507" t="s">
        <v>73</v>
      </c>
      <c r="AV6507">
        <v>1919</v>
      </c>
      <c r="AW6507" s="4">
        <v>42576</v>
      </c>
      <c r="BD6507">
        <v>0</v>
      </c>
      <c r="BN6507" t="s">
        <v>74</v>
      </c>
    </row>
    <row r="6508" spans="1:66" hidden="1">
      <c r="A6508">
        <v>104083</v>
      </c>
      <c r="B6508" s="3" t="s">
        <v>607</v>
      </c>
      <c r="C6508" s="1">
        <v>43300101</v>
      </c>
      <c r="D6508" t="s">
        <v>67</v>
      </c>
      <c r="H6508" t="str">
        <f t="shared" si="662"/>
        <v>06324460150</v>
      </c>
      <c r="I6508" t="str">
        <f t="shared" si="663"/>
        <v>02804530968</v>
      </c>
      <c r="K6508" t="str">
        <f>""</f>
        <v/>
      </c>
      <c r="M6508" t="s">
        <v>68</v>
      </c>
      <c r="N6508" t="str">
        <f t="shared" si="661"/>
        <v>FOR</v>
      </c>
      <c r="O6508" t="s">
        <v>69</v>
      </c>
      <c r="P6508" s="3" t="s">
        <v>75</v>
      </c>
      <c r="Q6508">
        <v>2015</v>
      </c>
      <c r="R6508" s="2">
        <v>42236</v>
      </c>
      <c r="S6508" s="2">
        <v>42241</v>
      </c>
      <c r="T6508" s="2">
        <v>42237</v>
      </c>
      <c r="U6508" s="2">
        <v>42297</v>
      </c>
      <c r="V6508" t="s">
        <v>71</v>
      </c>
      <c r="W6508" t="str">
        <f>"          2152043998"</f>
        <v xml:space="preserve">          2152043998</v>
      </c>
      <c r="X6508" s="1">
        <v>1302.96</v>
      </c>
      <c r="Y6508">
        <v>0</v>
      </c>
      <c r="Z6508"/>
      <c r="AB6508"/>
      <c r="AC6508" s="1">
        <v>1068</v>
      </c>
      <c r="AD6508">
        <v>282</v>
      </c>
      <c r="AE6508" s="1">
        <v>301176</v>
      </c>
      <c r="AF6508">
        <v>0</v>
      </c>
      <c r="AJ6508">
        <v>0</v>
      </c>
      <c r="AK6508">
        <v>0</v>
      </c>
      <c r="AL6508">
        <v>0</v>
      </c>
      <c r="AM6508">
        <v>0</v>
      </c>
      <c r="AN6508">
        <v>0</v>
      </c>
      <c r="AO6508">
        <v>0</v>
      </c>
      <c r="AP6508" s="2">
        <v>42746</v>
      </c>
      <c r="AQ6508" t="s">
        <v>72</v>
      </c>
      <c r="AR6508" t="s">
        <v>72</v>
      </c>
      <c r="AS6508">
        <v>2016</v>
      </c>
      <c r="AT6508" s="4">
        <v>42579</v>
      </c>
      <c r="AU6508" t="s">
        <v>73</v>
      </c>
      <c r="AV6508">
        <v>2016</v>
      </c>
      <c r="AW6508" s="4">
        <v>42579</v>
      </c>
      <c r="BD6508">
        <v>0</v>
      </c>
      <c r="BN6508" t="s">
        <v>74</v>
      </c>
    </row>
    <row r="6509" spans="1:66" hidden="1">
      <c r="A6509">
        <v>104083</v>
      </c>
      <c r="B6509" s="3" t="s">
        <v>607</v>
      </c>
      <c r="C6509" s="1">
        <v>43300101</v>
      </c>
      <c r="D6509" t="s">
        <v>67</v>
      </c>
      <c r="H6509" t="str">
        <f t="shared" si="662"/>
        <v>06324460150</v>
      </c>
      <c r="I6509" t="str">
        <f t="shared" si="663"/>
        <v>02804530968</v>
      </c>
      <c r="K6509" t="str">
        <f>""</f>
        <v/>
      </c>
      <c r="M6509" t="s">
        <v>68</v>
      </c>
      <c r="N6509" t="str">
        <f t="shared" si="661"/>
        <v>FOR</v>
      </c>
      <c r="O6509" t="s">
        <v>69</v>
      </c>
      <c r="P6509" s="3" t="s">
        <v>75</v>
      </c>
      <c r="Q6509">
        <v>2015</v>
      </c>
      <c r="R6509" s="2">
        <v>42242</v>
      </c>
      <c r="S6509" s="2">
        <v>42245</v>
      </c>
      <c r="T6509" s="2">
        <v>42243</v>
      </c>
      <c r="U6509" s="2">
        <v>42303</v>
      </c>
      <c r="V6509" t="s">
        <v>71</v>
      </c>
      <c r="W6509" t="str">
        <f>"          2152044660"</f>
        <v xml:space="preserve">          2152044660</v>
      </c>
      <c r="X6509">
        <v>333.06</v>
      </c>
      <c r="Y6509">
        <v>0</v>
      </c>
      <c r="Z6509"/>
      <c r="AB6509"/>
      <c r="AC6509">
        <v>273</v>
      </c>
      <c r="AD6509">
        <v>276</v>
      </c>
      <c r="AE6509" s="1">
        <v>75348</v>
      </c>
      <c r="AF6509">
        <v>0</v>
      </c>
      <c r="AJ6509">
        <v>0</v>
      </c>
      <c r="AK6509">
        <v>0</v>
      </c>
      <c r="AL6509">
        <v>0</v>
      </c>
      <c r="AM6509">
        <v>0</v>
      </c>
      <c r="AN6509">
        <v>0</v>
      </c>
      <c r="AO6509">
        <v>0</v>
      </c>
      <c r="AP6509" s="2">
        <v>42746</v>
      </c>
      <c r="AQ6509" t="s">
        <v>72</v>
      </c>
      <c r="AR6509" t="s">
        <v>72</v>
      </c>
      <c r="AS6509">
        <v>2016</v>
      </c>
      <c r="AT6509" s="4">
        <v>42579</v>
      </c>
      <c r="AU6509" t="s">
        <v>73</v>
      </c>
      <c r="AV6509">
        <v>2016</v>
      </c>
      <c r="AW6509" s="4">
        <v>42579</v>
      </c>
      <c r="BD6509">
        <v>0</v>
      </c>
      <c r="BN6509" t="s">
        <v>74</v>
      </c>
    </row>
    <row r="6510" spans="1:66" hidden="1">
      <c r="A6510">
        <v>104083</v>
      </c>
      <c r="B6510" s="3" t="s">
        <v>607</v>
      </c>
      <c r="C6510" s="1">
        <v>43300101</v>
      </c>
      <c r="D6510" t="s">
        <v>67</v>
      </c>
      <c r="H6510" t="str">
        <f t="shared" si="662"/>
        <v>06324460150</v>
      </c>
      <c r="I6510" t="str">
        <f t="shared" si="663"/>
        <v>02804530968</v>
      </c>
      <c r="K6510" t="str">
        <f>""</f>
        <v/>
      </c>
      <c r="M6510" t="s">
        <v>68</v>
      </c>
      <c r="N6510" t="str">
        <f t="shared" si="661"/>
        <v>FOR</v>
      </c>
      <c r="O6510" t="s">
        <v>69</v>
      </c>
      <c r="P6510" s="3" t="s">
        <v>75</v>
      </c>
      <c r="Q6510">
        <v>2015</v>
      </c>
      <c r="R6510" s="2">
        <v>42242</v>
      </c>
      <c r="S6510" s="2">
        <v>42245</v>
      </c>
      <c r="T6510" s="2">
        <v>42243</v>
      </c>
      <c r="U6510" s="2">
        <v>42303</v>
      </c>
      <c r="V6510" t="s">
        <v>71</v>
      </c>
      <c r="W6510" t="str">
        <f>"          2152044661"</f>
        <v xml:space="preserve">          2152044661</v>
      </c>
      <c r="X6510">
        <v>317.2</v>
      </c>
      <c r="Y6510">
        <v>0</v>
      </c>
      <c r="Z6510"/>
      <c r="AB6510"/>
      <c r="AC6510">
        <v>260</v>
      </c>
      <c r="AD6510">
        <v>276</v>
      </c>
      <c r="AE6510" s="1">
        <v>71760</v>
      </c>
      <c r="AF6510">
        <v>0</v>
      </c>
      <c r="AJ6510">
        <v>0</v>
      </c>
      <c r="AK6510">
        <v>0</v>
      </c>
      <c r="AL6510">
        <v>0</v>
      </c>
      <c r="AM6510">
        <v>0</v>
      </c>
      <c r="AN6510">
        <v>0</v>
      </c>
      <c r="AO6510">
        <v>0</v>
      </c>
      <c r="AP6510" s="2">
        <v>42746</v>
      </c>
      <c r="AQ6510" t="s">
        <v>72</v>
      </c>
      <c r="AR6510" t="s">
        <v>72</v>
      </c>
      <c r="AS6510">
        <v>2016</v>
      </c>
      <c r="AT6510" s="4">
        <v>42579</v>
      </c>
      <c r="AU6510" t="s">
        <v>73</v>
      </c>
      <c r="AV6510">
        <v>2016</v>
      </c>
      <c r="AW6510" s="4">
        <v>42579</v>
      </c>
      <c r="BD6510">
        <v>0</v>
      </c>
      <c r="BN6510" t="s">
        <v>74</v>
      </c>
    </row>
    <row r="6511" spans="1:66" hidden="1">
      <c r="A6511">
        <v>104083</v>
      </c>
      <c r="B6511" s="3" t="s">
        <v>607</v>
      </c>
      <c r="C6511" s="1">
        <v>43300101</v>
      </c>
      <c r="D6511" t="s">
        <v>67</v>
      </c>
      <c r="H6511" t="str">
        <f t="shared" si="662"/>
        <v>06324460150</v>
      </c>
      <c r="I6511" t="str">
        <f t="shared" si="663"/>
        <v>02804530968</v>
      </c>
      <c r="K6511" t="str">
        <f>""</f>
        <v/>
      </c>
      <c r="M6511" t="s">
        <v>68</v>
      </c>
      <c r="N6511" t="str">
        <f t="shared" si="661"/>
        <v>FOR</v>
      </c>
      <c r="O6511" t="s">
        <v>69</v>
      </c>
      <c r="P6511" s="3" t="s">
        <v>75</v>
      </c>
      <c r="Q6511">
        <v>2015</v>
      </c>
      <c r="R6511" s="2">
        <v>42244</v>
      </c>
      <c r="S6511" s="2">
        <v>42245</v>
      </c>
      <c r="T6511" s="2">
        <v>42245</v>
      </c>
      <c r="U6511" s="2">
        <v>42305</v>
      </c>
      <c r="V6511" t="s">
        <v>71</v>
      </c>
      <c r="W6511" t="str">
        <f>"          2152045276"</f>
        <v xml:space="preserve">          2152045276</v>
      </c>
      <c r="X6511">
        <v>973.56</v>
      </c>
      <c r="Y6511">
        <v>0</v>
      </c>
      <c r="Z6511"/>
      <c r="AB6511"/>
      <c r="AC6511">
        <v>798</v>
      </c>
      <c r="AD6511">
        <v>274</v>
      </c>
      <c r="AE6511" s="1">
        <v>218652</v>
      </c>
      <c r="AF6511">
        <v>0</v>
      </c>
      <c r="AJ6511">
        <v>0</v>
      </c>
      <c r="AK6511">
        <v>0</v>
      </c>
      <c r="AL6511">
        <v>0</v>
      </c>
      <c r="AM6511">
        <v>0</v>
      </c>
      <c r="AN6511">
        <v>0</v>
      </c>
      <c r="AO6511">
        <v>0</v>
      </c>
      <c r="AP6511" s="2">
        <v>42746</v>
      </c>
      <c r="AQ6511" t="s">
        <v>72</v>
      </c>
      <c r="AR6511" t="s">
        <v>72</v>
      </c>
      <c r="AS6511">
        <v>2016</v>
      </c>
      <c r="AT6511" s="4">
        <v>42579</v>
      </c>
      <c r="AU6511" t="s">
        <v>73</v>
      </c>
      <c r="AV6511">
        <v>2016</v>
      </c>
      <c r="AW6511" s="4">
        <v>42579</v>
      </c>
      <c r="BD6511">
        <v>0</v>
      </c>
      <c r="BN6511" t="s">
        <v>74</v>
      </c>
    </row>
    <row r="6512" spans="1:66" hidden="1">
      <c r="A6512">
        <v>104083</v>
      </c>
      <c r="B6512" s="3" t="s">
        <v>607</v>
      </c>
      <c r="C6512" s="1">
        <v>43300101</v>
      </c>
      <c r="D6512" t="s">
        <v>67</v>
      </c>
      <c r="H6512" t="str">
        <f t="shared" si="662"/>
        <v>06324460150</v>
      </c>
      <c r="I6512" t="str">
        <f t="shared" si="663"/>
        <v>02804530968</v>
      </c>
      <c r="K6512" t="str">
        <f>""</f>
        <v/>
      </c>
      <c r="M6512" t="s">
        <v>68</v>
      </c>
      <c r="N6512" t="str">
        <f t="shared" si="661"/>
        <v>FOR</v>
      </c>
      <c r="O6512" t="s">
        <v>69</v>
      </c>
      <c r="P6512" s="3" t="s">
        <v>75</v>
      </c>
      <c r="Q6512">
        <v>2015</v>
      </c>
      <c r="R6512" s="2">
        <v>42248</v>
      </c>
      <c r="S6512" s="2">
        <v>42251</v>
      </c>
      <c r="T6512" s="2">
        <v>42250</v>
      </c>
      <c r="U6512" s="2">
        <v>42310</v>
      </c>
      <c r="V6512" t="s">
        <v>71</v>
      </c>
      <c r="W6512" t="str">
        <f>"          2152045767"</f>
        <v xml:space="preserve">          2152045767</v>
      </c>
      <c r="X6512">
        <v>831.55</v>
      </c>
      <c r="Y6512">
        <v>0</v>
      </c>
      <c r="Z6512"/>
      <c r="AB6512"/>
      <c r="AC6512">
        <v>681.6</v>
      </c>
      <c r="AD6512">
        <v>311</v>
      </c>
      <c r="AE6512" s="1">
        <v>211977.60000000001</v>
      </c>
      <c r="AF6512">
        <v>0</v>
      </c>
      <c r="AJ6512">
        <v>0</v>
      </c>
      <c r="AK6512">
        <v>0</v>
      </c>
      <c r="AL6512">
        <v>0</v>
      </c>
      <c r="AM6512">
        <v>0</v>
      </c>
      <c r="AN6512">
        <v>0</v>
      </c>
      <c r="AO6512">
        <v>0</v>
      </c>
      <c r="AP6512" s="2">
        <v>42746</v>
      </c>
      <c r="AQ6512" t="s">
        <v>72</v>
      </c>
      <c r="AR6512" t="s">
        <v>72</v>
      </c>
      <c r="AS6512">
        <v>2395</v>
      </c>
      <c r="AT6512" s="4">
        <v>42621</v>
      </c>
      <c r="AU6512" t="s">
        <v>73</v>
      </c>
      <c r="AV6512">
        <v>2395</v>
      </c>
      <c r="AW6512" s="4">
        <v>42621</v>
      </c>
      <c r="BD6512">
        <v>0</v>
      </c>
      <c r="BN6512" t="s">
        <v>74</v>
      </c>
    </row>
    <row r="6513" spans="1:66" hidden="1">
      <c r="A6513">
        <v>104083</v>
      </c>
      <c r="B6513" s="3" t="s">
        <v>607</v>
      </c>
      <c r="C6513" s="1">
        <v>43300101</v>
      </c>
      <c r="D6513" t="s">
        <v>67</v>
      </c>
      <c r="H6513" t="str">
        <f t="shared" si="662"/>
        <v>06324460150</v>
      </c>
      <c r="I6513" t="str">
        <f t="shared" si="663"/>
        <v>02804530968</v>
      </c>
      <c r="K6513" t="str">
        <f>""</f>
        <v/>
      </c>
      <c r="M6513" t="s">
        <v>68</v>
      </c>
      <c r="N6513" t="str">
        <f t="shared" si="661"/>
        <v>FOR</v>
      </c>
      <c r="O6513" t="s">
        <v>69</v>
      </c>
      <c r="P6513" s="3" t="s">
        <v>75</v>
      </c>
      <c r="Q6513">
        <v>2015</v>
      </c>
      <c r="R6513" s="2">
        <v>42248</v>
      </c>
      <c r="S6513" s="2">
        <v>42251</v>
      </c>
      <c r="T6513" s="2">
        <v>42250</v>
      </c>
      <c r="U6513" s="2">
        <v>42310</v>
      </c>
      <c r="V6513" t="s">
        <v>71</v>
      </c>
      <c r="W6513" t="str">
        <f>"          2152045768"</f>
        <v xml:space="preserve">          2152045768</v>
      </c>
      <c r="X6513" s="1">
        <v>3843</v>
      </c>
      <c r="Y6513">
        <v>0</v>
      </c>
      <c r="Z6513"/>
      <c r="AB6513"/>
      <c r="AC6513" s="1">
        <v>3150</v>
      </c>
      <c r="AD6513">
        <v>311</v>
      </c>
      <c r="AE6513" s="1">
        <v>979650</v>
      </c>
      <c r="AF6513">
        <v>0</v>
      </c>
      <c r="AJ6513">
        <v>0</v>
      </c>
      <c r="AK6513">
        <v>0</v>
      </c>
      <c r="AL6513">
        <v>0</v>
      </c>
      <c r="AM6513">
        <v>0</v>
      </c>
      <c r="AN6513">
        <v>0</v>
      </c>
      <c r="AO6513">
        <v>0</v>
      </c>
      <c r="AP6513" s="2">
        <v>42746</v>
      </c>
      <c r="AQ6513" t="s">
        <v>72</v>
      </c>
      <c r="AR6513" t="s">
        <v>72</v>
      </c>
      <c r="AS6513">
        <v>2395</v>
      </c>
      <c r="AT6513" s="4">
        <v>42621</v>
      </c>
      <c r="AU6513" t="s">
        <v>73</v>
      </c>
      <c r="AV6513">
        <v>2395</v>
      </c>
      <c r="AW6513" s="4">
        <v>42621</v>
      </c>
      <c r="BD6513">
        <v>0</v>
      </c>
      <c r="BN6513" t="s">
        <v>74</v>
      </c>
    </row>
    <row r="6514" spans="1:66" hidden="1">
      <c r="A6514">
        <v>104083</v>
      </c>
      <c r="B6514" s="3" t="s">
        <v>607</v>
      </c>
      <c r="C6514" s="1">
        <v>43300101</v>
      </c>
      <c r="D6514" t="s">
        <v>67</v>
      </c>
      <c r="H6514" t="str">
        <f t="shared" si="662"/>
        <v>06324460150</v>
      </c>
      <c r="I6514" t="str">
        <f t="shared" si="663"/>
        <v>02804530968</v>
      </c>
      <c r="K6514" t="str">
        <f>""</f>
        <v/>
      </c>
      <c r="M6514" t="s">
        <v>68</v>
      </c>
      <c r="N6514" t="str">
        <f t="shared" si="661"/>
        <v>FOR</v>
      </c>
      <c r="O6514" t="s">
        <v>69</v>
      </c>
      <c r="P6514" s="3" t="s">
        <v>75</v>
      </c>
      <c r="Q6514">
        <v>2015</v>
      </c>
      <c r="R6514" s="2">
        <v>42248</v>
      </c>
      <c r="S6514" s="2">
        <v>42251</v>
      </c>
      <c r="T6514" s="2">
        <v>42250</v>
      </c>
      <c r="U6514" s="2">
        <v>42310</v>
      </c>
      <c r="V6514" t="s">
        <v>71</v>
      </c>
      <c r="W6514" t="str">
        <f>"          2152045769"</f>
        <v xml:space="preserve">          2152045769</v>
      </c>
      <c r="X6514">
        <v>359.29</v>
      </c>
      <c r="Y6514">
        <v>0</v>
      </c>
      <c r="Z6514"/>
      <c r="AB6514"/>
      <c r="AC6514">
        <v>294.5</v>
      </c>
      <c r="AD6514">
        <v>311</v>
      </c>
      <c r="AE6514" s="1">
        <v>91589.5</v>
      </c>
      <c r="AF6514">
        <v>0</v>
      </c>
      <c r="AJ6514">
        <v>0</v>
      </c>
      <c r="AK6514">
        <v>0</v>
      </c>
      <c r="AL6514">
        <v>0</v>
      </c>
      <c r="AM6514">
        <v>0</v>
      </c>
      <c r="AN6514">
        <v>0</v>
      </c>
      <c r="AO6514">
        <v>0</v>
      </c>
      <c r="AP6514" s="2">
        <v>42746</v>
      </c>
      <c r="AQ6514" t="s">
        <v>72</v>
      </c>
      <c r="AR6514" t="s">
        <v>72</v>
      </c>
      <c r="AS6514">
        <v>2395</v>
      </c>
      <c r="AT6514" s="4">
        <v>42621</v>
      </c>
      <c r="AU6514" t="s">
        <v>73</v>
      </c>
      <c r="AV6514">
        <v>2395</v>
      </c>
      <c r="AW6514" s="4">
        <v>42621</v>
      </c>
      <c r="BD6514">
        <v>0</v>
      </c>
      <c r="BN6514" t="s">
        <v>74</v>
      </c>
    </row>
    <row r="6515" spans="1:66" hidden="1">
      <c r="A6515">
        <v>104083</v>
      </c>
      <c r="B6515" s="3" t="s">
        <v>607</v>
      </c>
      <c r="C6515" s="1">
        <v>43300101</v>
      </c>
      <c r="D6515" t="s">
        <v>67</v>
      </c>
      <c r="H6515" t="str">
        <f t="shared" si="662"/>
        <v>06324460150</v>
      </c>
      <c r="I6515" t="str">
        <f t="shared" si="663"/>
        <v>02804530968</v>
      </c>
      <c r="K6515" t="str">
        <f>""</f>
        <v/>
      </c>
      <c r="M6515" t="s">
        <v>68</v>
      </c>
      <c r="N6515" t="str">
        <f t="shared" si="661"/>
        <v>FOR</v>
      </c>
      <c r="O6515" t="s">
        <v>69</v>
      </c>
      <c r="P6515" s="3" t="s">
        <v>75</v>
      </c>
      <c r="Q6515">
        <v>2015</v>
      </c>
      <c r="R6515" s="2">
        <v>42248</v>
      </c>
      <c r="S6515" s="2">
        <v>42251</v>
      </c>
      <c r="T6515" s="2">
        <v>42250</v>
      </c>
      <c r="U6515" s="2">
        <v>42310</v>
      </c>
      <c r="V6515" t="s">
        <v>71</v>
      </c>
      <c r="W6515" t="str">
        <f>"          2152045770"</f>
        <v xml:space="preserve">          2152045770</v>
      </c>
      <c r="X6515">
        <v>143.72</v>
      </c>
      <c r="Y6515">
        <v>0</v>
      </c>
      <c r="Z6515"/>
      <c r="AB6515"/>
      <c r="AC6515">
        <v>117.8</v>
      </c>
      <c r="AD6515">
        <v>311</v>
      </c>
      <c r="AE6515" s="1">
        <v>36635.800000000003</v>
      </c>
      <c r="AF6515">
        <v>0</v>
      </c>
      <c r="AJ6515">
        <v>0</v>
      </c>
      <c r="AK6515">
        <v>0</v>
      </c>
      <c r="AL6515">
        <v>0</v>
      </c>
      <c r="AM6515">
        <v>0</v>
      </c>
      <c r="AN6515">
        <v>0</v>
      </c>
      <c r="AO6515">
        <v>0</v>
      </c>
      <c r="AP6515" s="2">
        <v>42746</v>
      </c>
      <c r="AQ6515" t="s">
        <v>72</v>
      </c>
      <c r="AR6515" t="s">
        <v>72</v>
      </c>
      <c r="AS6515">
        <v>2395</v>
      </c>
      <c r="AT6515" s="4">
        <v>42621</v>
      </c>
      <c r="AU6515" t="s">
        <v>73</v>
      </c>
      <c r="AV6515">
        <v>2395</v>
      </c>
      <c r="AW6515" s="4">
        <v>42621</v>
      </c>
      <c r="BD6515">
        <v>0</v>
      </c>
      <c r="BN6515" t="s">
        <v>74</v>
      </c>
    </row>
    <row r="6516" spans="1:66" hidden="1">
      <c r="A6516">
        <v>104083</v>
      </c>
      <c r="B6516" s="3" t="s">
        <v>607</v>
      </c>
      <c r="C6516" s="1">
        <v>43300101</v>
      </c>
      <c r="D6516" t="s">
        <v>67</v>
      </c>
      <c r="H6516" t="str">
        <f t="shared" si="662"/>
        <v>06324460150</v>
      </c>
      <c r="I6516" t="str">
        <f t="shared" si="663"/>
        <v>02804530968</v>
      </c>
      <c r="K6516" t="str">
        <f>""</f>
        <v/>
      </c>
      <c r="M6516" t="s">
        <v>68</v>
      </c>
      <c r="N6516" t="str">
        <f t="shared" si="661"/>
        <v>FOR</v>
      </c>
      <c r="O6516" t="s">
        <v>69</v>
      </c>
      <c r="P6516" s="3" t="s">
        <v>75</v>
      </c>
      <c r="Q6516">
        <v>2015</v>
      </c>
      <c r="R6516" s="2">
        <v>42258</v>
      </c>
      <c r="S6516" s="2">
        <v>42261</v>
      </c>
      <c r="T6516" s="2">
        <v>42259</v>
      </c>
      <c r="U6516" s="2">
        <v>42319</v>
      </c>
      <c r="V6516" t="s">
        <v>71</v>
      </c>
      <c r="W6516" t="str">
        <f>"          2152047569"</f>
        <v xml:space="preserve">          2152047569</v>
      </c>
      <c r="X6516" s="1">
        <v>4392</v>
      </c>
      <c r="Y6516">
        <v>0</v>
      </c>
      <c r="Z6516"/>
      <c r="AB6516"/>
      <c r="AC6516" s="1">
        <v>3600</v>
      </c>
      <c r="AD6516">
        <v>302</v>
      </c>
      <c r="AE6516" s="1">
        <v>1087200</v>
      </c>
      <c r="AF6516">
        <v>0</v>
      </c>
      <c r="AJ6516">
        <v>0</v>
      </c>
      <c r="AK6516">
        <v>0</v>
      </c>
      <c r="AL6516">
        <v>0</v>
      </c>
      <c r="AM6516">
        <v>0</v>
      </c>
      <c r="AN6516">
        <v>0</v>
      </c>
      <c r="AO6516">
        <v>0</v>
      </c>
      <c r="AP6516" s="2">
        <v>42746</v>
      </c>
      <c r="AQ6516" t="s">
        <v>72</v>
      </c>
      <c r="AR6516" t="s">
        <v>72</v>
      </c>
      <c r="AS6516">
        <v>2395</v>
      </c>
      <c r="AT6516" s="4">
        <v>42621</v>
      </c>
      <c r="AU6516" t="s">
        <v>73</v>
      </c>
      <c r="AV6516">
        <v>2395</v>
      </c>
      <c r="AW6516" s="4">
        <v>42621</v>
      </c>
      <c r="BD6516">
        <v>0</v>
      </c>
      <c r="BN6516" t="s">
        <v>74</v>
      </c>
    </row>
    <row r="6517" spans="1:66" hidden="1">
      <c r="A6517">
        <v>104083</v>
      </c>
      <c r="B6517" s="3" t="s">
        <v>607</v>
      </c>
      <c r="C6517" s="1">
        <v>43300101</v>
      </c>
      <c r="D6517" t="s">
        <v>67</v>
      </c>
      <c r="H6517" t="str">
        <f t="shared" ref="H6517:H6548" si="664">"06324460150"</f>
        <v>06324460150</v>
      </c>
      <c r="I6517" t="str">
        <f t="shared" ref="I6517:I6548" si="665">"02804530968"</f>
        <v>02804530968</v>
      </c>
      <c r="K6517" t="str">
        <f>""</f>
        <v/>
      </c>
      <c r="M6517" t="s">
        <v>68</v>
      </c>
      <c r="N6517" t="str">
        <f t="shared" si="661"/>
        <v>FOR</v>
      </c>
      <c r="O6517" t="s">
        <v>69</v>
      </c>
      <c r="P6517" s="3" t="s">
        <v>75</v>
      </c>
      <c r="Q6517">
        <v>2015</v>
      </c>
      <c r="R6517" s="2">
        <v>42268</v>
      </c>
      <c r="S6517" s="2">
        <v>42270</v>
      </c>
      <c r="T6517" s="2">
        <v>42269</v>
      </c>
      <c r="U6517" s="2">
        <v>42329</v>
      </c>
      <c r="V6517" t="s">
        <v>71</v>
      </c>
      <c r="W6517" t="str">
        <f>"          2152049070"</f>
        <v xml:space="preserve">          2152049070</v>
      </c>
      <c r="X6517" s="1">
        <v>1086.29</v>
      </c>
      <c r="Y6517">
        <v>0</v>
      </c>
      <c r="Z6517"/>
      <c r="AB6517"/>
      <c r="AC6517">
        <v>890.4</v>
      </c>
      <c r="AD6517">
        <v>292</v>
      </c>
      <c r="AE6517" s="1">
        <v>259996.79999999999</v>
      </c>
      <c r="AF6517">
        <v>0</v>
      </c>
      <c r="AJ6517">
        <v>0</v>
      </c>
      <c r="AK6517">
        <v>0</v>
      </c>
      <c r="AL6517">
        <v>0</v>
      </c>
      <c r="AM6517">
        <v>0</v>
      </c>
      <c r="AN6517">
        <v>0</v>
      </c>
      <c r="AO6517">
        <v>0</v>
      </c>
      <c r="AP6517" s="2">
        <v>42746</v>
      </c>
      <c r="AQ6517" t="s">
        <v>72</v>
      </c>
      <c r="AR6517" t="s">
        <v>72</v>
      </c>
      <c r="AS6517">
        <v>2395</v>
      </c>
      <c r="AT6517" s="4">
        <v>42621</v>
      </c>
      <c r="AU6517" t="s">
        <v>73</v>
      </c>
      <c r="AV6517">
        <v>2395</v>
      </c>
      <c r="AW6517" s="4">
        <v>42621</v>
      </c>
      <c r="BD6517">
        <v>0</v>
      </c>
      <c r="BN6517" t="s">
        <v>74</v>
      </c>
    </row>
    <row r="6518" spans="1:66">
      <c r="A6518">
        <v>104083</v>
      </c>
      <c r="B6518" s="3" t="s">
        <v>607</v>
      </c>
      <c r="C6518" s="1">
        <v>43300101</v>
      </c>
      <c r="D6518" t="s">
        <v>67</v>
      </c>
      <c r="H6518" t="str">
        <f t="shared" si="664"/>
        <v>06324460150</v>
      </c>
      <c r="I6518" t="str">
        <f t="shared" si="665"/>
        <v>02804530968</v>
      </c>
      <c r="K6518" t="str">
        <f>""</f>
        <v/>
      </c>
      <c r="M6518" t="s">
        <v>68</v>
      </c>
      <c r="N6518" t="str">
        <f t="shared" si="661"/>
        <v>FOR</v>
      </c>
      <c r="O6518" t="s">
        <v>69</v>
      </c>
      <c r="P6518" s="3" t="s">
        <v>75</v>
      </c>
      <c r="Q6518">
        <v>2015</v>
      </c>
      <c r="R6518" s="2">
        <v>42283</v>
      </c>
      <c r="S6518" s="2">
        <v>42289</v>
      </c>
      <c r="T6518" s="2">
        <v>42284</v>
      </c>
      <c r="U6518" s="2">
        <v>42344</v>
      </c>
      <c r="V6518" t="s">
        <v>71</v>
      </c>
      <c r="W6518" t="str">
        <f>"          2152051915"</f>
        <v xml:space="preserve">          2152051915</v>
      </c>
      <c r="X6518">
        <v>499.59</v>
      </c>
      <c r="Y6518">
        <v>0</v>
      </c>
      <c r="Z6518" s="3">
        <v>409.5</v>
      </c>
      <c r="AA6518">
        <v>303</v>
      </c>
      <c r="AB6518" s="5">
        <v>124078.5</v>
      </c>
      <c r="AC6518">
        <v>409.5</v>
      </c>
      <c r="AD6518">
        <v>303</v>
      </c>
      <c r="AE6518" s="1">
        <v>124078.5</v>
      </c>
      <c r="AF6518">
        <v>0</v>
      </c>
      <c r="AJ6518">
        <v>0</v>
      </c>
      <c r="AK6518">
        <v>0</v>
      </c>
      <c r="AL6518">
        <v>0</v>
      </c>
      <c r="AM6518">
        <v>0</v>
      </c>
      <c r="AN6518">
        <v>0</v>
      </c>
      <c r="AO6518">
        <v>0</v>
      </c>
      <c r="AP6518" s="2">
        <v>42746</v>
      </c>
      <c r="AQ6518" t="s">
        <v>72</v>
      </c>
      <c r="AR6518" t="s">
        <v>72</v>
      </c>
      <c r="AS6518">
        <v>2625</v>
      </c>
      <c r="AT6518" s="4">
        <v>42647</v>
      </c>
      <c r="AU6518" t="s">
        <v>73</v>
      </c>
      <c r="AV6518">
        <v>2625</v>
      </c>
      <c r="AW6518" s="4">
        <v>42647</v>
      </c>
      <c r="BD6518">
        <v>0</v>
      </c>
      <c r="BN6518" t="s">
        <v>74</v>
      </c>
    </row>
    <row r="6519" spans="1:66">
      <c r="A6519">
        <v>104083</v>
      </c>
      <c r="B6519" s="3" t="s">
        <v>607</v>
      </c>
      <c r="C6519" s="1">
        <v>43300101</v>
      </c>
      <c r="D6519" t="s">
        <v>67</v>
      </c>
      <c r="H6519" t="str">
        <f t="shared" si="664"/>
        <v>06324460150</v>
      </c>
      <c r="I6519" t="str">
        <f t="shared" si="665"/>
        <v>02804530968</v>
      </c>
      <c r="K6519" t="str">
        <f>""</f>
        <v/>
      </c>
      <c r="M6519" t="s">
        <v>68</v>
      </c>
      <c r="N6519" t="str">
        <f t="shared" si="661"/>
        <v>FOR</v>
      </c>
      <c r="O6519" t="s">
        <v>69</v>
      </c>
      <c r="P6519" s="3" t="s">
        <v>75</v>
      </c>
      <c r="Q6519">
        <v>2015</v>
      </c>
      <c r="R6519" s="2">
        <v>42283</v>
      </c>
      <c r="S6519" s="2">
        <v>42286</v>
      </c>
      <c r="T6519" s="2">
        <v>42284</v>
      </c>
      <c r="U6519" s="2">
        <v>42344</v>
      </c>
      <c r="V6519" t="s">
        <v>71</v>
      </c>
      <c r="W6519" t="str">
        <f>"          2152051916"</f>
        <v xml:space="preserve">          2152051916</v>
      </c>
      <c r="X6519">
        <v>216.67</v>
      </c>
      <c r="Y6519">
        <v>0</v>
      </c>
      <c r="Z6519" s="3">
        <v>177.6</v>
      </c>
      <c r="AA6519">
        <v>303</v>
      </c>
      <c r="AB6519" s="5">
        <v>53812.800000000003</v>
      </c>
      <c r="AC6519">
        <v>177.6</v>
      </c>
      <c r="AD6519">
        <v>303</v>
      </c>
      <c r="AE6519" s="1">
        <v>53812.800000000003</v>
      </c>
      <c r="AF6519">
        <v>0</v>
      </c>
      <c r="AJ6519">
        <v>0</v>
      </c>
      <c r="AK6519">
        <v>0</v>
      </c>
      <c r="AL6519">
        <v>0</v>
      </c>
      <c r="AM6519">
        <v>0</v>
      </c>
      <c r="AN6519">
        <v>0</v>
      </c>
      <c r="AO6519">
        <v>0</v>
      </c>
      <c r="AP6519" s="2">
        <v>42746</v>
      </c>
      <c r="AQ6519" t="s">
        <v>72</v>
      </c>
      <c r="AR6519" t="s">
        <v>72</v>
      </c>
      <c r="AS6519">
        <v>2625</v>
      </c>
      <c r="AT6519" s="4">
        <v>42647</v>
      </c>
      <c r="AU6519" t="s">
        <v>73</v>
      </c>
      <c r="AV6519">
        <v>2625</v>
      </c>
      <c r="AW6519" s="4">
        <v>42647</v>
      </c>
      <c r="BD6519">
        <v>0</v>
      </c>
      <c r="BN6519" t="s">
        <v>74</v>
      </c>
    </row>
    <row r="6520" spans="1:66">
      <c r="A6520">
        <v>104083</v>
      </c>
      <c r="B6520" s="3" t="s">
        <v>607</v>
      </c>
      <c r="C6520" s="1">
        <v>43300101</v>
      </c>
      <c r="D6520" t="s">
        <v>67</v>
      </c>
      <c r="H6520" t="str">
        <f t="shared" si="664"/>
        <v>06324460150</v>
      </c>
      <c r="I6520" t="str">
        <f t="shared" si="665"/>
        <v>02804530968</v>
      </c>
      <c r="K6520" t="str">
        <f>""</f>
        <v/>
      </c>
      <c r="M6520" t="s">
        <v>68</v>
      </c>
      <c r="N6520" t="str">
        <f t="shared" si="661"/>
        <v>FOR</v>
      </c>
      <c r="O6520" t="s">
        <v>69</v>
      </c>
      <c r="P6520" s="3" t="s">
        <v>75</v>
      </c>
      <c r="Q6520">
        <v>2015</v>
      </c>
      <c r="R6520" s="2">
        <v>42283</v>
      </c>
      <c r="S6520" s="2">
        <v>42286</v>
      </c>
      <c r="T6520" s="2">
        <v>42284</v>
      </c>
      <c r="U6520" s="2">
        <v>42344</v>
      </c>
      <c r="V6520" t="s">
        <v>71</v>
      </c>
      <c r="W6520" t="str">
        <f>"          2152051917"</f>
        <v xml:space="preserve">          2152051917</v>
      </c>
      <c r="X6520">
        <v>225.7</v>
      </c>
      <c r="Y6520">
        <v>0</v>
      </c>
      <c r="Z6520" s="3">
        <v>185</v>
      </c>
      <c r="AA6520">
        <v>303</v>
      </c>
      <c r="AB6520" s="5">
        <v>56055</v>
      </c>
      <c r="AC6520">
        <v>185</v>
      </c>
      <c r="AD6520">
        <v>303</v>
      </c>
      <c r="AE6520" s="1">
        <v>56055</v>
      </c>
      <c r="AF6520">
        <v>0</v>
      </c>
      <c r="AJ6520">
        <v>0</v>
      </c>
      <c r="AK6520">
        <v>0</v>
      </c>
      <c r="AL6520">
        <v>0</v>
      </c>
      <c r="AM6520">
        <v>0</v>
      </c>
      <c r="AN6520">
        <v>0</v>
      </c>
      <c r="AO6520">
        <v>0</v>
      </c>
      <c r="AP6520" s="2">
        <v>42746</v>
      </c>
      <c r="AQ6520" t="s">
        <v>72</v>
      </c>
      <c r="AR6520" t="s">
        <v>72</v>
      </c>
      <c r="AS6520">
        <v>2625</v>
      </c>
      <c r="AT6520" s="4">
        <v>42647</v>
      </c>
      <c r="AU6520" t="s">
        <v>73</v>
      </c>
      <c r="AV6520">
        <v>2625</v>
      </c>
      <c r="AW6520" s="4">
        <v>42647</v>
      </c>
      <c r="BD6520">
        <v>0</v>
      </c>
      <c r="BN6520" t="s">
        <v>74</v>
      </c>
    </row>
    <row r="6521" spans="1:66">
      <c r="A6521">
        <v>104083</v>
      </c>
      <c r="B6521" s="3" t="s">
        <v>607</v>
      </c>
      <c r="C6521" s="1">
        <v>43300101</v>
      </c>
      <c r="D6521" t="s">
        <v>67</v>
      </c>
      <c r="H6521" t="str">
        <f t="shared" si="664"/>
        <v>06324460150</v>
      </c>
      <c r="I6521" t="str">
        <f t="shared" si="665"/>
        <v>02804530968</v>
      </c>
      <c r="K6521" t="str">
        <f>""</f>
        <v/>
      </c>
      <c r="M6521" t="s">
        <v>68</v>
      </c>
      <c r="N6521" t="str">
        <f t="shared" si="661"/>
        <v>FOR</v>
      </c>
      <c r="O6521" t="s">
        <v>69</v>
      </c>
      <c r="P6521" s="3" t="s">
        <v>75</v>
      </c>
      <c r="Q6521">
        <v>2015</v>
      </c>
      <c r="R6521" s="2">
        <v>42300</v>
      </c>
      <c r="S6521" s="2">
        <v>42305</v>
      </c>
      <c r="T6521" s="2">
        <v>42301</v>
      </c>
      <c r="U6521" s="2">
        <v>42361</v>
      </c>
      <c r="V6521" t="s">
        <v>71</v>
      </c>
      <c r="W6521" t="str">
        <f>"          2152055441"</f>
        <v xml:space="preserve">          2152055441</v>
      </c>
      <c r="X6521" s="1">
        <v>4381.63</v>
      </c>
      <c r="Y6521">
        <v>0</v>
      </c>
      <c r="Z6521" s="5">
        <v>3591.5</v>
      </c>
      <c r="AA6521">
        <v>286</v>
      </c>
      <c r="AB6521" s="5">
        <v>1027169</v>
      </c>
      <c r="AC6521" s="1">
        <v>3591.5</v>
      </c>
      <c r="AD6521">
        <v>286</v>
      </c>
      <c r="AE6521" s="1">
        <v>1027169</v>
      </c>
      <c r="AF6521">
        <v>0</v>
      </c>
      <c r="AJ6521">
        <v>0</v>
      </c>
      <c r="AK6521">
        <v>0</v>
      </c>
      <c r="AL6521">
        <v>0</v>
      </c>
      <c r="AM6521">
        <v>0</v>
      </c>
      <c r="AN6521">
        <v>0</v>
      </c>
      <c r="AO6521">
        <v>0</v>
      </c>
      <c r="AP6521" s="2">
        <v>42746</v>
      </c>
      <c r="AQ6521" t="s">
        <v>72</v>
      </c>
      <c r="AR6521" t="s">
        <v>72</v>
      </c>
      <c r="AS6521">
        <v>2625</v>
      </c>
      <c r="AT6521" s="4">
        <v>42647</v>
      </c>
      <c r="AU6521" t="s">
        <v>73</v>
      </c>
      <c r="AV6521">
        <v>2625</v>
      </c>
      <c r="AW6521" s="4">
        <v>42647</v>
      </c>
      <c r="BD6521">
        <v>0</v>
      </c>
      <c r="BN6521" t="s">
        <v>74</v>
      </c>
    </row>
    <row r="6522" spans="1:66">
      <c r="A6522">
        <v>104083</v>
      </c>
      <c r="B6522" s="3" t="s">
        <v>607</v>
      </c>
      <c r="C6522" s="1">
        <v>43300101</v>
      </c>
      <c r="D6522" t="s">
        <v>67</v>
      </c>
      <c r="H6522" t="str">
        <f t="shared" si="664"/>
        <v>06324460150</v>
      </c>
      <c r="I6522" t="str">
        <f t="shared" si="665"/>
        <v>02804530968</v>
      </c>
      <c r="K6522" t="str">
        <f>""</f>
        <v/>
      </c>
      <c r="M6522" t="s">
        <v>68</v>
      </c>
      <c r="N6522" t="str">
        <f t="shared" si="661"/>
        <v>FOR</v>
      </c>
      <c r="O6522" t="s">
        <v>69</v>
      </c>
      <c r="P6522" s="3" t="s">
        <v>75</v>
      </c>
      <c r="Q6522">
        <v>2015</v>
      </c>
      <c r="R6522" s="2">
        <v>42300</v>
      </c>
      <c r="S6522" s="2">
        <v>42305</v>
      </c>
      <c r="T6522" s="2">
        <v>42301</v>
      </c>
      <c r="U6522" s="2">
        <v>42361</v>
      </c>
      <c r="V6522" t="s">
        <v>71</v>
      </c>
      <c r="W6522" t="str">
        <f>"          2152055442"</f>
        <v xml:space="preserve">          2152055442</v>
      </c>
      <c r="X6522">
        <v>45.75</v>
      </c>
      <c r="Y6522">
        <v>0</v>
      </c>
      <c r="Z6522" s="3">
        <v>37.5</v>
      </c>
      <c r="AA6522">
        <v>286</v>
      </c>
      <c r="AB6522" s="5">
        <v>10725</v>
      </c>
      <c r="AC6522">
        <v>37.5</v>
      </c>
      <c r="AD6522">
        <v>286</v>
      </c>
      <c r="AE6522" s="1">
        <v>10725</v>
      </c>
      <c r="AF6522">
        <v>0</v>
      </c>
      <c r="AJ6522">
        <v>0</v>
      </c>
      <c r="AK6522">
        <v>0</v>
      </c>
      <c r="AL6522">
        <v>0</v>
      </c>
      <c r="AM6522">
        <v>0</v>
      </c>
      <c r="AN6522">
        <v>0</v>
      </c>
      <c r="AO6522">
        <v>0</v>
      </c>
      <c r="AP6522" s="2">
        <v>42746</v>
      </c>
      <c r="AQ6522" t="s">
        <v>72</v>
      </c>
      <c r="AR6522" t="s">
        <v>72</v>
      </c>
      <c r="AS6522">
        <v>2625</v>
      </c>
      <c r="AT6522" s="4">
        <v>42647</v>
      </c>
      <c r="AU6522" t="s">
        <v>73</v>
      </c>
      <c r="AV6522">
        <v>2625</v>
      </c>
      <c r="AW6522" s="4">
        <v>42647</v>
      </c>
      <c r="BD6522">
        <v>0</v>
      </c>
      <c r="BN6522" t="s">
        <v>74</v>
      </c>
    </row>
    <row r="6523" spans="1:66">
      <c r="A6523">
        <v>104083</v>
      </c>
      <c r="B6523" s="3" t="s">
        <v>607</v>
      </c>
      <c r="C6523" s="1">
        <v>43300101</v>
      </c>
      <c r="D6523" t="s">
        <v>67</v>
      </c>
      <c r="H6523" t="str">
        <f t="shared" si="664"/>
        <v>06324460150</v>
      </c>
      <c r="I6523" t="str">
        <f t="shared" si="665"/>
        <v>02804530968</v>
      </c>
      <c r="K6523" t="str">
        <f>""</f>
        <v/>
      </c>
      <c r="M6523" t="s">
        <v>68</v>
      </c>
      <c r="N6523" t="str">
        <f t="shared" si="661"/>
        <v>FOR</v>
      </c>
      <c r="O6523" t="s">
        <v>69</v>
      </c>
      <c r="P6523" s="3" t="s">
        <v>75</v>
      </c>
      <c r="Q6523">
        <v>2015</v>
      </c>
      <c r="R6523" s="2">
        <v>42318</v>
      </c>
      <c r="S6523" s="2">
        <v>42324</v>
      </c>
      <c r="T6523" s="2">
        <v>42320</v>
      </c>
      <c r="U6523" s="2">
        <v>42380</v>
      </c>
      <c r="V6523" t="s">
        <v>71</v>
      </c>
      <c r="W6523" t="str">
        <f>"          2152058768"</f>
        <v xml:space="preserve">          2152058768</v>
      </c>
      <c r="X6523" s="1">
        <v>3432.84</v>
      </c>
      <c r="Y6523">
        <v>0</v>
      </c>
      <c r="Z6523" s="5">
        <v>2813.8</v>
      </c>
      <c r="AA6523">
        <v>267</v>
      </c>
      <c r="AB6523" s="5">
        <v>751284.6</v>
      </c>
      <c r="AC6523" s="1">
        <v>2813.8</v>
      </c>
      <c r="AD6523">
        <v>267</v>
      </c>
      <c r="AE6523" s="1">
        <v>751284.6</v>
      </c>
      <c r="AF6523">
        <v>0</v>
      </c>
      <c r="AJ6523">
        <v>0</v>
      </c>
      <c r="AK6523">
        <v>0</v>
      </c>
      <c r="AL6523">
        <v>0</v>
      </c>
      <c r="AM6523">
        <v>0</v>
      </c>
      <c r="AN6523">
        <v>0</v>
      </c>
      <c r="AO6523">
        <v>0</v>
      </c>
      <c r="AP6523" s="2">
        <v>42746</v>
      </c>
      <c r="AQ6523" t="s">
        <v>72</v>
      </c>
      <c r="AR6523" t="s">
        <v>72</v>
      </c>
      <c r="AS6523">
        <v>2625</v>
      </c>
      <c r="AT6523" s="4">
        <v>42647</v>
      </c>
      <c r="AU6523" t="s">
        <v>73</v>
      </c>
      <c r="AV6523">
        <v>2625</v>
      </c>
      <c r="AW6523" s="4">
        <v>42647</v>
      </c>
      <c r="BD6523">
        <v>0</v>
      </c>
      <c r="BN6523" t="s">
        <v>74</v>
      </c>
    </row>
    <row r="6524" spans="1:66">
      <c r="A6524">
        <v>104083</v>
      </c>
      <c r="B6524" s="3" t="s">
        <v>607</v>
      </c>
      <c r="C6524" s="1">
        <v>43300101</v>
      </c>
      <c r="D6524" t="s">
        <v>67</v>
      </c>
      <c r="H6524" t="str">
        <f t="shared" si="664"/>
        <v>06324460150</v>
      </c>
      <c r="I6524" t="str">
        <f t="shared" si="665"/>
        <v>02804530968</v>
      </c>
      <c r="K6524" t="str">
        <f>""</f>
        <v/>
      </c>
      <c r="M6524" t="s">
        <v>68</v>
      </c>
      <c r="N6524" t="str">
        <f t="shared" si="661"/>
        <v>FOR</v>
      </c>
      <c r="O6524" t="s">
        <v>69</v>
      </c>
      <c r="P6524" s="3" t="s">
        <v>75</v>
      </c>
      <c r="Q6524">
        <v>2015</v>
      </c>
      <c r="R6524" s="2">
        <v>42318</v>
      </c>
      <c r="S6524" s="2">
        <v>42324</v>
      </c>
      <c r="T6524" s="2">
        <v>42320</v>
      </c>
      <c r="U6524" s="2">
        <v>42380</v>
      </c>
      <c r="V6524" t="s">
        <v>71</v>
      </c>
      <c r="W6524" t="str">
        <f>"          2152058769"</f>
        <v xml:space="preserve">          2152058769</v>
      </c>
      <c r="X6524">
        <v>268.39999999999998</v>
      </c>
      <c r="Y6524">
        <v>0</v>
      </c>
      <c r="Z6524" s="3">
        <v>220</v>
      </c>
      <c r="AA6524">
        <v>267</v>
      </c>
      <c r="AB6524" s="5">
        <v>58740</v>
      </c>
      <c r="AC6524">
        <v>220</v>
      </c>
      <c r="AD6524">
        <v>267</v>
      </c>
      <c r="AE6524" s="1">
        <v>58740</v>
      </c>
      <c r="AF6524">
        <v>0</v>
      </c>
      <c r="AJ6524">
        <v>0</v>
      </c>
      <c r="AK6524">
        <v>0</v>
      </c>
      <c r="AL6524">
        <v>0</v>
      </c>
      <c r="AM6524">
        <v>0</v>
      </c>
      <c r="AN6524">
        <v>0</v>
      </c>
      <c r="AO6524">
        <v>0</v>
      </c>
      <c r="AP6524" s="2">
        <v>42746</v>
      </c>
      <c r="AQ6524" t="s">
        <v>72</v>
      </c>
      <c r="AR6524" t="s">
        <v>72</v>
      </c>
      <c r="AS6524">
        <v>2625</v>
      </c>
      <c r="AT6524" s="4">
        <v>42647</v>
      </c>
      <c r="AU6524" t="s">
        <v>73</v>
      </c>
      <c r="AV6524">
        <v>2625</v>
      </c>
      <c r="AW6524" s="4">
        <v>42647</v>
      </c>
      <c r="BD6524">
        <v>0</v>
      </c>
      <c r="BN6524" t="s">
        <v>74</v>
      </c>
    </row>
    <row r="6525" spans="1:66">
      <c r="A6525">
        <v>104083</v>
      </c>
      <c r="B6525" s="3" t="s">
        <v>607</v>
      </c>
      <c r="C6525" s="1">
        <v>43300101</v>
      </c>
      <c r="D6525" t="s">
        <v>67</v>
      </c>
      <c r="H6525" t="str">
        <f t="shared" si="664"/>
        <v>06324460150</v>
      </c>
      <c r="I6525" t="str">
        <f t="shared" si="665"/>
        <v>02804530968</v>
      </c>
      <c r="K6525" t="str">
        <f>""</f>
        <v/>
      </c>
      <c r="M6525" t="s">
        <v>68</v>
      </c>
      <c r="N6525" t="str">
        <f t="shared" si="661"/>
        <v>FOR</v>
      </c>
      <c r="O6525" t="s">
        <v>69</v>
      </c>
      <c r="P6525" s="3" t="s">
        <v>75</v>
      </c>
      <c r="Q6525">
        <v>2015</v>
      </c>
      <c r="R6525" s="2">
        <v>42320</v>
      </c>
      <c r="S6525" s="2">
        <v>42324</v>
      </c>
      <c r="T6525" s="2">
        <v>42321</v>
      </c>
      <c r="U6525" s="2">
        <v>42381</v>
      </c>
      <c r="V6525" t="s">
        <v>71</v>
      </c>
      <c r="W6525" t="str">
        <f>"          2152059402"</f>
        <v xml:space="preserve">          2152059402</v>
      </c>
      <c r="X6525">
        <v>812.52</v>
      </c>
      <c r="Y6525">
        <v>0</v>
      </c>
      <c r="Z6525" s="3">
        <v>666</v>
      </c>
      <c r="AA6525">
        <v>266</v>
      </c>
      <c r="AB6525" s="5">
        <v>177156</v>
      </c>
      <c r="AC6525">
        <v>666</v>
      </c>
      <c r="AD6525">
        <v>266</v>
      </c>
      <c r="AE6525" s="1">
        <v>177156</v>
      </c>
      <c r="AF6525">
        <v>0</v>
      </c>
      <c r="AJ6525">
        <v>0</v>
      </c>
      <c r="AK6525">
        <v>0</v>
      </c>
      <c r="AL6525">
        <v>0</v>
      </c>
      <c r="AM6525">
        <v>0</v>
      </c>
      <c r="AN6525">
        <v>0</v>
      </c>
      <c r="AO6525">
        <v>0</v>
      </c>
      <c r="AP6525" s="2">
        <v>42746</v>
      </c>
      <c r="AQ6525" t="s">
        <v>72</v>
      </c>
      <c r="AR6525" t="s">
        <v>72</v>
      </c>
      <c r="AS6525">
        <v>2625</v>
      </c>
      <c r="AT6525" s="4">
        <v>42647</v>
      </c>
      <c r="AU6525" t="s">
        <v>73</v>
      </c>
      <c r="AV6525">
        <v>2625</v>
      </c>
      <c r="AW6525" s="4">
        <v>42647</v>
      </c>
      <c r="BD6525">
        <v>0</v>
      </c>
      <c r="BN6525" t="s">
        <v>74</v>
      </c>
    </row>
    <row r="6526" spans="1:66">
      <c r="A6526">
        <v>104083</v>
      </c>
      <c r="B6526" s="3" t="s">
        <v>607</v>
      </c>
      <c r="C6526" s="1">
        <v>43300101</v>
      </c>
      <c r="D6526" t="s">
        <v>67</v>
      </c>
      <c r="H6526" t="str">
        <f t="shared" si="664"/>
        <v>06324460150</v>
      </c>
      <c r="I6526" t="str">
        <f t="shared" si="665"/>
        <v>02804530968</v>
      </c>
      <c r="K6526" t="str">
        <f>""</f>
        <v/>
      </c>
      <c r="M6526" t="s">
        <v>68</v>
      </c>
      <c r="N6526" t="str">
        <f t="shared" si="661"/>
        <v>FOR</v>
      </c>
      <c r="O6526" t="s">
        <v>69</v>
      </c>
      <c r="P6526" s="3" t="s">
        <v>75</v>
      </c>
      <c r="Q6526">
        <v>2015</v>
      </c>
      <c r="R6526" s="2">
        <v>42320</v>
      </c>
      <c r="S6526" s="2">
        <v>42324</v>
      </c>
      <c r="T6526" s="2">
        <v>42321</v>
      </c>
      <c r="U6526" s="2">
        <v>42381</v>
      </c>
      <c r="V6526" t="s">
        <v>71</v>
      </c>
      <c r="W6526" t="str">
        <f>"          2152059403"</f>
        <v xml:space="preserve">          2152059403</v>
      </c>
      <c r="X6526" s="1">
        <v>4611.6000000000004</v>
      </c>
      <c r="Y6526">
        <v>0</v>
      </c>
      <c r="Z6526" s="5">
        <v>3780</v>
      </c>
      <c r="AA6526">
        <v>266</v>
      </c>
      <c r="AB6526" s="5">
        <v>1005480</v>
      </c>
      <c r="AC6526" s="1">
        <v>3780</v>
      </c>
      <c r="AD6526">
        <v>266</v>
      </c>
      <c r="AE6526" s="1">
        <v>1005480</v>
      </c>
      <c r="AF6526">
        <v>0</v>
      </c>
      <c r="AJ6526">
        <v>0</v>
      </c>
      <c r="AK6526">
        <v>0</v>
      </c>
      <c r="AL6526">
        <v>0</v>
      </c>
      <c r="AM6526">
        <v>0</v>
      </c>
      <c r="AN6526">
        <v>0</v>
      </c>
      <c r="AO6526">
        <v>0</v>
      </c>
      <c r="AP6526" s="2">
        <v>42746</v>
      </c>
      <c r="AQ6526" t="s">
        <v>72</v>
      </c>
      <c r="AR6526" t="s">
        <v>72</v>
      </c>
      <c r="AS6526">
        <v>2625</v>
      </c>
      <c r="AT6526" s="4">
        <v>42647</v>
      </c>
      <c r="AU6526" t="s">
        <v>73</v>
      </c>
      <c r="AV6526">
        <v>2625</v>
      </c>
      <c r="AW6526" s="4">
        <v>42647</v>
      </c>
      <c r="BD6526">
        <v>0</v>
      </c>
      <c r="BN6526" t="s">
        <v>74</v>
      </c>
    </row>
    <row r="6527" spans="1:66">
      <c r="A6527">
        <v>104083</v>
      </c>
      <c r="B6527" s="3" t="s">
        <v>607</v>
      </c>
      <c r="C6527" s="1">
        <v>43300101</v>
      </c>
      <c r="D6527" t="s">
        <v>67</v>
      </c>
      <c r="H6527" t="str">
        <f t="shared" si="664"/>
        <v>06324460150</v>
      </c>
      <c r="I6527" t="str">
        <f t="shared" si="665"/>
        <v>02804530968</v>
      </c>
      <c r="K6527" t="str">
        <f>""</f>
        <v/>
      </c>
      <c r="M6527" t="s">
        <v>68</v>
      </c>
      <c r="N6527" t="str">
        <f t="shared" si="661"/>
        <v>FOR</v>
      </c>
      <c r="O6527" t="s">
        <v>69</v>
      </c>
      <c r="P6527" s="3" t="s">
        <v>75</v>
      </c>
      <c r="Q6527">
        <v>2015</v>
      </c>
      <c r="R6527" s="2">
        <v>42324</v>
      </c>
      <c r="S6527" s="2">
        <v>42326</v>
      </c>
      <c r="T6527" s="2">
        <v>42325</v>
      </c>
      <c r="U6527" s="2">
        <v>42385</v>
      </c>
      <c r="V6527" t="s">
        <v>71</v>
      </c>
      <c r="W6527" t="str">
        <f>"          2152059951"</f>
        <v xml:space="preserve">          2152059951</v>
      </c>
      <c r="X6527">
        <v>556.32000000000005</v>
      </c>
      <c r="Y6527">
        <v>0</v>
      </c>
      <c r="Z6527" s="3">
        <v>456</v>
      </c>
      <c r="AA6527">
        <v>262</v>
      </c>
      <c r="AB6527" s="5">
        <v>119472</v>
      </c>
      <c r="AC6527">
        <v>456</v>
      </c>
      <c r="AD6527">
        <v>262</v>
      </c>
      <c r="AE6527" s="1">
        <v>119472</v>
      </c>
      <c r="AF6527">
        <v>0</v>
      </c>
      <c r="AJ6527">
        <v>0</v>
      </c>
      <c r="AK6527">
        <v>0</v>
      </c>
      <c r="AL6527">
        <v>0</v>
      </c>
      <c r="AM6527">
        <v>0</v>
      </c>
      <c r="AN6527">
        <v>0</v>
      </c>
      <c r="AO6527">
        <v>0</v>
      </c>
      <c r="AP6527" s="2">
        <v>42746</v>
      </c>
      <c r="AQ6527" t="s">
        <v>72</v>
      </c>
      <c r="AR6527" t="s">
        <v>72</v>
      </c>
      <c r="AS6527">
        <v>2625</v>
      </c>
      <c r="AT6527" s="4">
        <v>42647</v>
      </c>
      <c r="AU6527" t="s">
        <v>73</v>
      </c>
      <c r="AV6527">
        <v>2625</v>
      </c>
      <c r="AW6527" s="4">
        <v>42647</v>
      </c>
      <c r="BD6527">
        <v>0</v>
      </c>
      <c r="BN6527" t="s">
        <v>74</v>
      </c>
    </row>
    <row r="6528" spans="1:66">
      <c r="A6528">
        <v>104083</v>
      </c>
      <c r="B6528" s="3" t="s">
        <v>607</v>
      </c>
      <c r="C6528" s="1">
        <v>43300101</v>
      </c>
      <c r="D6528" t="s">
        <v>67</v>
      </c>
      <c r="H6528" t="str">
        <f t="shared" si="664"/>
        <v>06324460150</v>
      </c>
      <c r="I6528" t="str">
        <f t="shared" si="665"/>
        <v>02804530968</v>
      </c>
      <c r="K6528" t="str">
        <f>""</f>
        <v/>
      </c>
      <c r="M6528" t="s">
        <v>68</v>
      </c>
      <c r="N6528" t="str">
        <f t="shared" ref="N6528:N6591" si="666">"FOR"</f>
        <v>FOR</v>
      </c>
      <c r="O6528" t="s">
        <v>69</v>
      </c>
      <c r="P6528" s="3" t="s">
        <v>75</v>
      </c>
      <c r="Q6528">
        <v>2015</v>
      </c>
      <c r="R6528" s="2">
        <v>42326</v>
      </c>
      <c r="S6528" s="2">
        <v>42328</v>
      </c>
      <c r="T6528" s="2">
        <v>42327</v>
      </c>
      <c r="U6528" s="2">
        <v>42387</v>
      </c>
      <c r="V6528" t="s">
        <v>71</v>
      </c>
      <c r="W6528" t="str">
        <f>"          2152060620"</f>
        <v xml:space="preserve">          2152060620</v>
      </c>
      <c r="X6528">
        <v>143.72</v>
      </c>
      <c r="Y6528">
        <v>0</v>
      </c>
      <c r="Z6528" s="3">
        <v>117.8</v>
      </c>
      <c r="AA6528">
        <v>260</v>
      </c>
      <c r="AB6528" s="5">
        <v>30628</v>
      </c>
      <c r="AC6528">
        <v>117.8</v>
      </c>
      <c r="AD6528">
        <v>260</v>
      </c>
      <c r="AE6528" s="1">
        <v>30628</v>
      </c>
      <c r="AF6528">
        <v>0</v>
      </c>
      <c r="AJ6528">
        <v>0</v>
      </c>
      <c r="AK6528">
        <v>0</v>
      </c>
      <c r="AL6528">
        <v>0</v>
      </c>
      <c r="AM6528">
        <v>0</v>
      </c>
      <c r="AN6528">
        <v>0</v>
      </c>
      <c r="AO6528">
        <v>0</v>
      </c>
      <c r="AP6528" s="2">
        <v>42746</v>
      </c>
      <c r="AQ6528" t="s">
        <v>72</v>
      </c>
      <c r="AR6528" t="s">
        <v>72</v>
      </c>
      <c r="AS6528">
        <v>2625</v>
      </c>
      <c r="AT6528" s="4">
        <v>42647</v>
      </c>
      <c r="AU6528" t="s">
        <v>73</v>
      </c>
      <c r="AV6528">
        <v>2625</v>
      </c>
      <c r="AW6528" s="4">
        <v>42647</v>
      </c>
      <c r="BD6528">
        <v>0</v>
      </c>
      <c r="BN6528" t="s">
        <v>74</v>
      </c>
    </row>
    <row r="6529" spans="1:66">
      <c r="A6529">
        <v>104083</v>
      </c>
      <c r="B6529" s="3" t="s">
        <v>607</v>
      </c>
      <c r="C6529" s="1">
        <v>43300101</v>
      </c>
      <c r="D6529" t="s">
        <v>67</v>
      </c>
      <c r="H6529" t="str">
        <f t="shared" si="664"/>
        <v>06324460150</v>
      </c>
      <c r="I6529" t="str">
        <f t="shared" si="665"/>
        <v>02804530968</v>
      </c>
      <c r="K6529" t="str">
        <f>""</f>
        <v/>
      </c>
      <c r="M6529" t="s">
        <v>68</v>
      </c>
      <c r="N6529" t="str">
        <f t="shared" si="666"/>
        <v>FOR</v>
      </c>
      <c r="O6529" t="s">
        <v>69</v>
      </c>
      <c r="P6529" s="3" t="s">
        <v>75</v>
      </c>
      <c r="Q6529">
        <v>2015</v>
      </c>
      <c r="R6529" s="2">
        <v>42326</v>
      </c>
      <c r="S6529" s="2">
        <v>42331</v>
      </c>
      <c r="T6529" s="2">
        <v>42327</v>
      </c>
      <c r="U6529" s="2">
        <v>42387</v>
      </c>
      <c r="V6529" t="s">
        <v>71</v>
      </c>
      <c r="W6529" t="str">
        <f>"          2152060621"</f>
        <v xml:space="preserve">          2152060621</v>
      </c>
      <c r="X6529">
        <v>415.78</v>
      </c>
      <c r="Y6529">
        <v>0</v>
      </c>
      <c r="Z6529" s="3">
        <v>340.8</v>
      </c>
      <c r="AA6529">
        <v>260</v>
      </c>
      <c r="AB6529" s="5">
        <v>88608</v>
      </c>
      <c r="AC6529">
        <v>340.8</v>
      </c>
      <c r="AD6529">
        <v>260</v>
      </c>
      <c r="AE6529" s="1">
        <v>88608</v>
      </c>
      <c r="AF6529">
        <v>0</v>
      </c>
      <c r="AJ6529">
        <v>0</v>
      </c>
      <c r="AK6529">
        <v>0</v>
      </c>
      <c r="AL6529">
        <v>0</v>
      </c>
      <c r="AM6529">
        <v>0</v>
      </c>
      <c r="AN6529">
        <v>0</v>
      </c>
      <c r="AO6529">
        <v>0</v>
      </c>
      <c r="AP6529" s="2">
        <v>42746</v>
      </c>
      <c r="AQ6529" t="s">
        <v>72</v>
      </c>
      <c r="AR6529" t="s">
        <v>72</v>
      </c>
      <c r="AS6529">
        <v>2625</v>
      </c>
      <c r="AT6529" s="4">
        <v>42647</v>
      </c>
      <c r="AU6529" t="s">
        <v>73</v>
      </c>
      <c r="AV6529">
        <v>2625</v>
      </c>
      <c r="AW6529" s="4">
        <v>42647</v>
      </c>
      <c r="BD6529">
        <v>0</v>
      </c>
      <c r="BN6529" t="s">
        <v>74</v>
      </c>
    </row>
    <row r="6530" spans="1:66">
      <c r="A6530">
        <v>104083</v>
      </c>
      <c r="B6530" s="3" t="s">
        <v>607</v>
      </c>
      <c r="C6530" s="1">
        <v>43300101</v>
      </c>
      <c r="D6530" t="s">
        <v>67</v>
      </c>
      <c r="H6530" t="str">
        <f t="shared" si="664"/>
        <v>06324460150</v>
      </c>
      <c r="I6530" t="str">
        <f t="shared" si="665"/>
        <v>02804530968</v>
      </c>
      <c r="K6530" t="str">
        <f>""</f>
        <v/>
      </c>
      <c r="M6530" t="s">
        <v>68</v>
      </c>
      <c r="N6530" t="str">
        <f t="shared" si="666"/>
        <v>FOR</v>
      </c>
      <c r="O6530" t="s">
        <v>69</v>
      </c>
      <c r="P6530" s="3" t="s">
        <v>75</v>
      </c>
      <c r="Q6530">
        <v>2015</v>
      </c>
      <c r="R6530" s="2">
        <v>42326</v>
      </c>
      <c r="S6530" s="2">
        <v>42328</v>
      </c>
      <c r="T6530" s="2">
        <v>42327</v>
      </c>
      <c r="U6530" s="2">
        <v>42387</v>
      </c>
      <c r="V6530" t="s">
        <v>71</v>
      </c>
      <c r="W6530" t="str">
        <f>"          2152060622"</f>
        <v xml:space="preserve">          2152060622</v>
      </c>
      <c r="X6530">
        <v>448.35</v>
      </c>
      <c r="Y6530">
        <v>0</v>
      </c>
      <c r="Z6530" s="3">
        <v>367.5</v>
      </c>
      <c r="AA6530">
        <v>260</v>
      </c>
      <c r="AB6530" s="5">
        <v>95550</v>
      </c>
      <c r="AC6530">
        <v>367.5</v>
      </c>
      <c r="AD6530">
        <v>260</v>
      </c>
      <c r="AE6530" s="1">
        <v>95550</v>
      </c>
      <c r="AF6530">
        <v>0</v>
      </c>
      <c r="AJ6530">
        <v>0</v>
      </c>
      <c r="AK6530">
        <v>0</v>
      </c>
      <c r="AL6530">
        <v>0</v>
      </c>
      <c r="AM6530">
        <v>0</v>
      </c>
      <c r="AN6530">
        <v>0</v>
      </c>
      <c r="AO6530">
        <v>0</v>
      </c>
      <c r="AP6530" s="2">
        <v>42746</v>
      </c>
      <c r="AQ6530" t="s">
        <v>72</v>
      </c>
      <c r="AR6530" t="s">
        <v>72</v>
      </c>
      <c r="AS6530">
        <v>2625</v>
      </c>
      <c r="AT6530" s="4">
        <v>42647</v>
      </c>
      <c r="AU6530" t="s">
        <v>73</v>
      </c>
      <c r="AV6530">
        <v>2625</v>
      </c>
      <c r="AW6530" s="4">
        <v>42647</v>
      </c>
      <c r="BD6530">
        <v>0</v>
      </c>
      <c r="BN6530" t="s">
        <v>74</v>
      </c>
    </row>
    <row r="6531" spans="1:66">
      <c r="A6531">
        <v>104083</v>
      </c>
      <c r="B6531" s="3" t="s">
        <v>607</v>
      </c>
      <c r="C6531" s="1">
        <v>43300101</v>
      </c>
      <c r="D6531" t="s">
        <v>67</v>
      </c>
      <c r="H6531" t="str">
        <f t="shared" si="664"/>
        <v>06324460150</v>
      </c>
      <c r="I6531" t="str">
        <f t="shared" si="665"/>
        <v>02804530968</v>
      </c>
      <c r="K6531" t="str">
        <f>""</f>
        <v/>
      </c>
      <c r="M6531" t="s">
        <v>68</v>
      </c>
      <c r="N6531" t="str">
        <f t="shared" si="666"/>
        <v>FOR</v>
      </c>
      <c r="O6531" t="s">
        <v>69</v>
      </c>
      <c r="P6531" s="3" t="s">
        <v>75</v>
      </c>
      <c r="Q6531">
        <v>2015</v>
      </c>
      <c r="R6531" s="2">
        <v>42328</v>
      </c>
      <c r="S6531" s="2">
        <v>42331</v>
      </c>
      <c r="T6531" s="2">
        <v>42329</v>
      </c>
      <c r="U6531" s="2">
        <v>42389</v>
      </c>
      <c r="V6531" t="s">
        <v>71</v>
      </c>
      <c r="W6531" t="str">
        <f>"          2152061118"</f>
        <v xml:space="preserve">          2152061118</v>
      </c>
      <c r="X6531">
        <v>434.32</v>
      </c>
      <c r="Y6531">
        <v>0</v>
      </c>
      <c r="Z6531" s="3">
        <v>356</v>
      </c>
      <c r="AA6531">
        <v>258</v>
      </c>
      <c r="AB6531" s="5">
        <v>91848</v>
      </c>
      <c r="AC6531">
        <v>356</v>
      </c>
      <c r="AD6531">
        <v>258</v>
      </c>
      <c r="AE6531" s="1">
        <v>91848</v>
      </c>
      <c r="AF6531">
        <v>0</v>
      </c>
      <c r="AJ6531">
        <v>0</v>
      </c>
      <c r="AK6531">
        <v>0</v>
      </c>
      <c r="AL6531">
        <v>0</v>
      </c>
      <c r="AM6531">
        <v>0</v>
      </c>
      <c r="AN6531">
        <v>0</v>
      </c>
      <c r="AO6531">
        <v>0</v>
      </c>
      <c r="AP6531" s="2">
        <v>42746</v>
      </c>
      <c r="AQ6531" t="s">
        <v>72</v>
      </c>
      <c r="AR6531" t="s">
        <v>72</v>
      </c>
      <c r="AS6531">
        <v>2625</v>
      </c>
      <c r="AT6531" s="4">
        <v>42647</v>
      </c>
      <c r="AU6531" t="s">
        <v>73</v>
      </c>
      <c r="AV6531">
        <v>2625</v>
      </c>
      <c r="AW6531" s="4">
        <v>42647</v>
      </c>
      <c r="BD6531">
        <v>0</v>
      </c>
      <c r="BN6531" t="s">
        <v>74</v>
      </c>
    </row>
    <row r="6532" spans="1:66">
      <c r="A6532">
        <v>104083</v>
      </c>
      <c r="B6532" s="3" t="s">
        <v>607</v>
      </c>
      <c r="C6532" s="1">
        <v>43300101</v>
      </c>
      <c r="D6532" t="s">
        <v>67</v>
      </c>
      <c r="H6532" t="str">
        <f t="shared" si="664"/>
        <v>06324460150</v>
      </c>
      <c r="I6532" t="str">
        <f t="shared" si="665"/>
        <v>02804530968</v>
      </c>
      <c r="K6532" t="str">
        <f>""</f>
        <v/>
      </c>
      <c r="M6532" t="s">
        <v>68</v>
      </c>
      <c r="N6532" t="str">
        <f t="shared" si="666"/>
        <v>FOR</v>
      </c>
      <c r="O6532" t="s">
        <v>69</v>
      </c>
      <c r="P6532" s="3" t="s">
        <v>75</v>
      </c>
      <c r="Q6532">
        <v>2015</v>
      </c>
      <c r="R6532" s="2">
        <v>42332</v>
      </c>
      <c r="S6532" s="2">
        <v>42334</v>
      </c>
      <c r="T6532" s="2">
        <v>42333</v>
      </c>
      <c r="U6532" s="2">
        <v>42393</v>
      </c>
      <c r="V6532" t="s">
        <v>71</v>
      </c>
      <c r="W6532" t="str">
        <f>"          2152061614"</f>
        <v xml:space="preserve">          2152061614</v>
      </c>
      <c r="X6532">
        <v>839.97</v>
      </c>
      <c r="Y6532">
        <v>0</v>
      </c>
      <c r="Z6532" s="3">
        <v>688.5</v>
      </c>
      <c r="AA6532">
        <v>254</v>
      </c>
      <c r="AB6532" s="5">
        <v>174879</v>
      </c>
      <c r="AC6532">
        <v>688.5</v>
      </c>
      <c r="AD6532">
        <v>254</v>
      </c>
      <c r="AE6532" s="1">
        <v>174879</v>
      </c>
      <c r="AF6532">
        <v>0</v>
      </c>
      <c r="AJ6532">
        <v>0</v>
      </c>
      <c r="AK6532">
        <v>0</v>
      </c>
      <c r="AL6532">
        <v>0</v>
      </c>
      <c r="AM6532">
        <v>0</v>
      </c>
      <c r="AN6532">
        <v>0</v>
      </c>
      <c r="AO6532">
        <v>0</v>
      </c>
      <c r="AP6532" s="2">
        <v>42746</v>
      </c>
      <c r="AQ6532" t="s">
        <v>72</v>
      </c>
      <c r="AR6532" t="s">
        <v>72</v>
      </c>
      <c r="AS6532">
        <v>2625</v>
      </c>
      <c r="AT6532" s="4">
        <v>42647</v>
      </c>
      <c r="AU6532" t="s">
        <v>73</v>
      </c>
      <c r="AV6532">
        <v>2625</v>
      </c>
      <c r="AW6532" s="4">
        <v>42647</v>
      </c>
      <c r="BD6532">
        <v>0</v>
      </c>
      <c r="BN6532" t="s">
        <v>74</v>
      </c>
    </row>
    <row r="6533" spans="1:66">
      <c r="A6533">
        <v>104083</v>
      </c>
      <c r="B6533" s="3" t="s">
        <v>607</v>
      </c>
      <c r="C6533" s="1">
        <v>43300101</v>
      </c>
      <c r="D6533" t="s">
        <v>67</v>
      </c>
      <c r="H6533" t="str">
        <f t="shared" si="664"/>
        <v>06324460150</v>
      </c>
      <c r="I6533" t="str">
        <f t="shared" si="665"/>
        <v>02804530968</v>
      </c>
      <c r="K6533" t="str">
        <f>""</f>
        <v/>
      </c>
      <c r="M6533" t="s">
        <v>68</v>
      </c>
      <c r="N6533" t="str">
        <f t="shared" si="666"/>
        <v>FOR</v>
      </c>
      <c r="O6533" t="s">
        <v>69</v>
      </c>
      <c r="P6533" s="3" t="s">
        <v>75</v>
      </c>
      <c r="Q6533">
        <v>2015</v>
      </c>
      <c r="R6533" s="2">
        <v>42332</v>
      </c>
      <c r="S6533" s="2">
        <v>42334</v>
      </c>
      <c r="T6533" s="2">
        <v>42333</v>
      </c>
      <c r="U6533" s="2">
        <v>42393</v>
      </c>
      <c r="V6533" t="s">
        <v>71</v>
      </c>
      <c r="W6533" t="str">
        <f>"          2152061615"</f>
        <v xml:space="preserve">          2152061615</v>
      </c>
      <c r="X6533">
        <v>872.3</v>
      </c>
      <c r="Y6533">
        <v>0</v>
      </c>
      <c r="Z6533" s="3">
        <v>715</v>
      </c>
      <c r="AA6533">
        <v>254</v>
      </c>
      <c r="AB6533" s="5">
        <v>181610</v>
      </c>
      <c r="AC6533">
        <v>715</v>
      </c>
      <c r="AD6533">
        <v>254</v>
      </c>
      <c r="AE6533" s="1">
        <v>181610</v>
      </c>
      <c r="AF6533">
        <v>0</v>
      </c>
      <c r="AJ6533">
        <v>0</v>
      </c>
      <c r="AK6533">
        <v>0</v>
      </c>
      <c r="AL6533">
        <v>0</v>
      </c>
      <c r="AM6533">
        <v>0</v>
      </c>
      <c r="AN6533">
        <v>0</v>
      </c>
      <c r="AO6533">
        <v>0</v>
      </c>
      <c r="AP6533" s="2">
        <v>42746</v>
      </c>
      <c r="AQ6533" t="s">
        <v>72</v>
      </c>
      <c r="AR6533" t="s">
        <v>72</v>
      </c>
      <c r="AS6533">
        <v>2625</v>
      </c>
      <c r="AT6533" s="4">
        <v>42647</v>
      </c>
      <c r="AU6533" t="s">
        <v>73</v>
      </c>
      <c r="AV6533">
        <v>2625</v>
      </c>
      <c r="AW6533" s="4">
        <v>42647</v>
      </c>
      <c r="BD6533">
        <v>0</v>
      </c>
      <c r="BN6533" t="s">
        <v>74</v>
      </c>
    </row>
    <row r="6534" spans="1:66">
      <c r="A6534">
        <v>104083</v>
      </c>
      <c r="B6534" s="3" t="s">
        <v>607</v>
      </c>
      <c r="C6534" s="1">
        <v>43300101</v>
      </c>
      <c r="D6534" t="s">
        <v>67</v>
      </c>
      <c r="H6534" t="str">
        <f t="shared" si="664"/>
        <v>06324460150</v>
      </c>
      <c r="I6534" t="str">
        <f t="shared" si="665"/>
        <v>02804530968</v>
      </c>
      <c r="K6534" t="str">
        <f>""</f>
        <v/>
      </c>
      <c r="M6534" t="s">
        <v>68</v>
      </c>
      <c r="N6534" t="str">
        <f t="shared" si="666"/>
        <v>FOR</v>
      </c>
      <c r="O6534" t="s">
        <v>69</v>
      </c>
      <c r="P6534" s="3" t="s">
        <v>75</v>
      </c>
      <c r="Q6534">
        <v>2015</v>
      </c>
      <c r="R6534" s="2">
        <v>42333</v>
      </c>
      <c r="S6534" s="2">
        <v>42338</v>
      </c>
      <c r="T6534" s="2">
        <v>42334</v>
      </c>
      <c r="U6534" s="2">
        <v>42394</v>
      </c>
      <c r="V6534" t="s">
        <v>71</v>
      </c>
      <c r="W6534" t="str">
        <f>"          2152061918"</f>
        <v xml:space="preserve">          2152061918</v>
      </c>
      <c r="X6534">
        <v>333.06</v>
      </c>
      <c r="Y6534">
        <v>0</v>
      </c>
      <c r="Z6534" s="3">
        <v>273</v>
      </c>
      <c r="AA6534">
        <v>253</v>
      </c>
      <c r="AB6534" s="5">
        <v>69069</v>
      </c>
      <c r="AC6534">
        <v>273</v>
      </c>
      <c r="AD6534">
        <v>253</v>
      </c>
      <c r="AE6534" s="1">
        <v>69069</v>
      </c>
      <c r="AF6534">
        <v>0</v>
      </c>
      <c r="AJ6534">
        <v>0</v>
      </c>
      <c r="AK6534">
        <v>0</v>
      </c>
      <c r="AL6534">
        <v>0</v>
      </c>
      <c r="AM6534">
        <v>0</v>
      </c>
      <c r="AN6534">
        <v>0</v>
      </c>
      <c r="AO6534">
        <v>0</v>
      </c>
      <c r="AP6534" s="2">
        <v>42746</v>
      </c>
      <c r="AQ6534" t="s">
        <v>72</v>
      </c>
      <c r="AR6534" t="s">
        <v>72</v>
      </c>
      <c r="AS6534">
        <v>2625</v>
      </c>
      <c r="AT6534" s="4">
        <v>42647</v>
      </c>
      <c r="AU6534" t="s">
        <v>73</v>
      </c>
      <c r="AV6534">
        <v>2625</v>
      </c>
      <c r="AW6534" s="4">
        <v>42647</v>
      </c>
      <c r="BD6534">
        <v>0</v>
      </c>
      <c r="BN6534" t="s">
        <v>74</v>
      </c>
    </row>
    <row r="6535" spans="1:66">
      <c r="A6535">
        <v>104083</v>
      </c>
      <c r="B6535" s="3" t="s">
        <v>607</v>
      </c>
      <c r="C6535" s="1">
        <v>43300101</v>
      </c>
      <c r="D6535" t="s">
        <v>67</v>
      </c>
      <c r="H6535" t="str">
        <f t="shared" si="664"/>
        <v>06324460150</v>
      </c>
      <c r="I6535" t="str">
        <f t="shared" si="665"/>
        <v>02804530968</v>
      </c>
      <c r="K6535" t="str">
        <f>""</f>
        <v/>
      </c>
      <c r="M6535" t="s">
        <v>68</v>
      </c>
      <c r="N6535" t="str">
        <f t="shared" si="666"/>
        <v>FOR</v>
      </c>
      <c r="O6535" t="s">
        <v>69</v>
      </c>
      <c r="P6535" s="3" t="s">
        <v>75</v>
      </c>
      <c r="Q6535">
        <v>2015</v>
      </c>
      <c r="R6535" s="2">
        <v>42335</v>
      </c>
      <c r="S6535" s="2">
        <v>42340</v>
      </c>
      <c r="T6535" s="2">
        <v>42338</v>
      </c>
      <c r="U6535" s="2">
        <v>42398</v>
      </c>
      <c r="V6535" t="s">
        <v>71</v>
      </c>
      <c r="W6535" t="str">
        <f>"          2152062795"</f>
        <v xml:space="preserve">          2152062795</v>
      </c>
      <c r="X6535">
        <v>153.72</v>
      </c>
      <c r="Y6535">
        <v>0</v>
      </c>
      <c r="Z6535" s="3">
        <v>126</v>
      </c>
      <c r="AA6535">
        <v>249</v>
      </c>
      <c r="AB6535" s="5">
        <v>31374</v>
      </c>
      <c r="AC6535">
        <v>126</v>
      </c>
      <c r="AD6535">
        <v>249</v>
      </c>
      <c r="AE6535" s="1">
        <v>31374</v>
      </c>
      <c r="AF6535">
        <v>0</v>
      </c>
      <c r="AJ6535">
        <v>0</v>
      </c>
      <c r="AK6535">
        <v>0</v>
      </c>
      <c r="AL6535">
        <v>0</v>
      </c>
      <c r="AM6535">
        <v>0</v>
      </c>
      <c r="AN6535">
        <v>0</v>
      </c>
      <c r="AO6535">
        <v>0</v>
      </c>
      <c r="AP6535" s="2">
        <v>42746</v>
      </c>
      <c r="AQ6535" t="s">
        <v>72</v>
      </c>
      <c r="AR6535" t="s">
        <v>72</v>
      </c>
      <c r="AS6535">
        <v>2625</v>
      </c>
      <c r="AT6535" s="4">
        <v>42647</v>
      </c>
      <c r="AU6535" t="s">
        <v>73</v>
      </c>
      <c r="AV6535">
        <v>2625</v>
      </c>
      <c r="AW6535" s="4">
        <v>42647</v>
      </c>
      <c r="BD6535">
        <v>0</v>
      </c>
      <c r="BN6535" t="s">
        <v>74</v>
      </c>
    </row>
    <row r="6536" spans="1:66">
      <c r="A6536">
        <v>104083</v>
      </c>
      <c r="B6536" s="3" t="s">
        <v>607</v>
      </c>
      <c r="C6536" s="1">
        <v>43300101</v>
      </c>
      <c r="D6536" t="s">
        <v>67</v>
      </c>
      <c r="H6536" t="str">
        <f t="shared" si="664"/>
        <v>06324460150</v>
      </c>
      <c r="I6536" t="str">
        <f t="shared" si="665"/>
        <v>02804530968</v>
      </c>
      <c r="K6536" t="str">
        <f>""</f>
        <v/>
      </c>
      <c r="M6536" t="s">
        <v>68</v>
      </c>
      <c r="N6536" t="str">
        <f t="shared" si="666"/>
        <v>FOR</v>
      </c>
      <c r="O6536" t="s">
        <v>69</v>
      </c>
      <c r="P6536" s="3" t="s">
        <v>75</v>
      </c>
      <c r="Q6536">
        <v>2015</v>
      </c>
      <c r="R6536" s="2">
        <v>42336</v>
      </c>
      <c r="S6536" s="2">
        <v>42340</v>
      </c>
      <c r="T6536" s="2">
        <v>42338</v>
      </c>
      <c r="U6536" s="2">
        <v>42398</v>
      </c>
      <c r="V6536" t="s">
        <v>71</v>
      </c>
      <c r="W6536" t="str">
        <f>"          2152062932"</f>
        <v xml:space="preserve">          2152062932</v>
      </c>
      <c r="X6536">
        <v>869.86</v>
      </c>
      <c r="Y6536">
        <v>0</v>
      </c>
      <c r="Z6536" s="3">
        <v>713</v>
      </c>
      <c r="AA6536">
        <v>249</v>
      </c>
      <c r="AB6536" s="5">
        <v>177537</v>
      </c>
      <c r="AC6536">
        <v>713</v>
      </c>
      <c r="AD6536">
        <v>249</v>
      </c>
      <c r="AE6536" s="1">
        <v>177537</v>
      </c>
      <c r="AF6536">
        <v>0</v>
      </c>
      <c r="AJ6536">
        <v>0</v>
      </c>
      <c r="AK6536">
        <v>0</v>
      </c>
      <c r="AL6536">
        <v>0</v>
      </c>
      <c r="AM6536">
        <v>0</v>
      </c>
      <c r="AN6536">
        <v>0</v>
      </c>
      <c r="AO6536">
        <v>0</v>
      </c>
      <c r="AP6536" s="2">
        <v>42746</v>
      </c>
      <c r="AQ6536" t="s">
        <v>72</v>
      </c>
      <c r="AR6536" t="s">
        <v>72</v>
      </c>
      <c r="AS6536">
        <v>2625</v>
      </c>
      <c r="AT6536" s="4">
        <v>42647</v>
      </c>
      <c r="AU6536" t="s">
        <v>73</v>
      </c>
      <c r="AV6536">
        <v>2625</v>
      </c>
      <c r="AW6536" s="4">
        <v>42647</v>
      </c>
      <c r="BD6536">
        <v>0</v>
      </c>
      <c r="BN6536" t="s">
        <v>74</v>
      </c>
    </row>
    <row r="6537" spans="1:66">
      <c r="A6537">
        <v>104083</v>
      </c>
      <c r="B6537" s="3" t="s">
        <v>607</v>
      </c>
      <c r="C6537" s="1">
        <v>43300101</v>
      </c>
      <c r="D6537" t="s">
        <v>67</v>
      </c>
      <c r="H6537" t="str">
        <f t="shared" si="664"/>
        <v>06324460150</v>
      </c>
      <c r="I6537" t="str">
        <f t="shared" si="665"/>
        <v>02804530968</v>
      </c>
      <c r="K6537" t="str">
        <f>""</f>
        <v/>
      </c>
      <c r="M6537" t="s">
        <v>68</v>
      </c>
      <c r="N6537" t="str">
        <f t="shared" si="666"/>
        <v>FOR</v>
      </c>
      <c r="O6537" t="s">
        <v>69</v>
      </c>
      <c r="P6537" s="3" t="s">
        <v>75</v>
      </c>
      <c r="Q6537">
        <v>2015</v>
      </c>
      <c r="R6537" s="2">
        <v>42348</v>
      </c>
      <c r="S6537" s="2">
        <v>42353</v>
      </c>
      <c r="T6537" s="2">
        <v>42349</v>
      </c>
      <c r="U6537" s="2">
        <v>42409</v>
      </c>
      <c r="V6537" t="s">
        <v>71</v>
      </c>
      <c r="W6537" t="str">
        <f>"          2152064591"</f>
        <v xml:space="preserve">          2152064591</v>
      </c>
      <c r="X6537" s="1">
        <v>1076.04</v>
      </c>
      <c r="Y6537">
        <v>0</v>
      </c>
      <c r="Z6537" s="3">
        <v>882</v>
      </c>
      <c r="AA6537">
        <v>281</v>
      </c>
      <c r="AB6537" s="5">
        <v>247842</v>
      </c>
      <c r="AC6537">
        <v>882</v>
      </c>
      <c r="AD6537">
        <v>281</v>
      </c>
      <c r="AE6537" s="1">
        <v>247842</v>
      </c>
      <c r="AF6537">
        <v>0</v>
      </c>
      <c r="AJ6537">
        <v>0</v>
      </c>
      <c r="AK6537">
        <v>0</v>
      </c>
      <c r="AL6537">
        <v>0</v>
      </c>
      <c r="AM6537">
        <v>0</v>
      </c>
      <c r="AN6537">
        <v>0</v>
      </c>
      <c r="AO6537">
        <v>0</v>
      </c>
      <c r="AP6537" s="2">
        <v>42746</v>
      </c>
      <c r="AQ6537" t="s">
        <v>72</v>
      </c>
      <c r="AR6537" t="s">
        <v>72</v>
      </c>
      <c r="AS6537">
        <v>3134</v>
      </c>
      <c r="AT6537" s="4">
        <v>42690</v>
      </c>
      <c r="AU6537" t="s">
        <v>73</v>
      </c>
      <c r="AV6537">
        <v>3134</v>
      </c>
      <c r="AW6537" s="4">
        <v>42690</v>
      </c>
      <c r="BD6537">
        <v>0</v>
      </c>
      <c r="BN6537" t="s">
        <v>74</v>
      </c>
    </row>
    <row r="6538" spans="1:66">
      <c r="A6538">
        <v>104083</v>
      </c>
      <c r="B6538" s="3" t="s">
        <v>607</v>
      </c>
      <c r="C6538" s="1">
        <v>43300101</v>
      </c>
      <c r="D6538" t="s">
        <v>67</v>
      </c>
      <c r="H6538" t="str">
        <f t="shared" si="664"/>
        <v>06324460150</v>
      </c>
      <c r="I6538" t="str">
        <f t="shared" si="665"/>
        <v>02804530968</v>
      </c>
      <c r="K6538" t="str">
        <f>""</f>
        <v/>
      </c>
      <c r="M6538" t="s">
        <v>68</v>
      </c>
      <c r="N6538" t="str">
        <f t="shared" si="666"/>
        <v>FOR</v>
      </c>
      <c r="O6538" t="s">
        <v>69</v>
      </c>
      <c r="P6538" s="3" t="s">
        <v>75</v>
      </c>
      <c r="Q6538">
        <v>2015</v>
      </c>
      <c r="R6538" s="2">
        <v>42360</v>
      </c>
      <c r="S6538" s="2">
        <v>42366</v>
      </c>
      <c r="T6538" s="2">
        <v>42361</v>
      </c>
      <c r="U6538" s="2">
        <v>42421</v>
      </c>
      <c r="V6538" t="s">
        <v>71</v>
      </c>
      <c r="W6538" t="str">
        <f>"          2152067247"</f>
        <v xml:space="preserve">          2152067247</v>
      </c>
      <c r="X6538">
        <v>333.06</v>
      </c>
      <c r="Y6538">
        <v>0</v>
      </c>
      <c r="Z6538" s="3">
        <v>273</v>
      </c>
      <c r="AA6538">
        <v>269</v>
      </c>
      <c r="AB6538" s="5">
        <v>73437</v>
      </c>
      <c r="AC6538">
        <v>273</v>
      </c>
      <c r="AD6538">
        <v>269</v>
      </c>
      <c r="AE6538" s="1">
        <v>73437</v>
      </c>
      <c r="AF6538">
        <v>0</v>
      </c>
      <c r="AJ6538">
        <v>0</v>
      </c>
      <c r="AK6538">
        <v>0</v>
      </c>
      <c r="AL6538">
        <v>0</v>
      </c>
      <c r="AM6538">
        <v>0</v>
      </c>
      <c r="AN6538">
        <v>0</v>
      </c>
      <c r="AO6538">
        <v>0</v>
      </c>
      <c r="AP6538" s="2">
        <v>42746</v>
      </c>
      <c r="AQ6538" t="s">
        <v>72</v>
      </c>
      <c r="AR6538" t="s">
        <v>72</v>
      </c>
      <c r="AS6538">
        <v>3134</v>
      </c>
      <c r="AT6538" s="4">
        <v>42690</v>
      </c>
      <c r="AU6538" t="s">
        <v>73</v>
      </c>
      <c r="AV6538">
        <v>3134</v>
      </c>
      <c r="AW6538" s="4">
        <v>42690</v>
      </c>
      <c r="BD6538">
        <v>0</v>
      </c>
      <c r="BN6538" t="s">
        <v>74</v>
      </c>
    </row>
    <row r="6539" spans="1:66">
      <c r="A6539">
        <v>104083</v>
      </c>
      <c r="B6539" s="3" t="s">
        <v>607</v>
      </c>
      <c r="C6539" s="1">
        <v>43300101</v>
      </c>
      <c r="D6539" t="s">
        <v>67</v>
      </c>
      <c r="H6539" t="str">
        <f t="shared" si="664"/>
        <v>06324460150</v>
      </c>
      <c r="I6539" t="str">
        <f t="shared" si="665"/>
        <v>02804530968</v>
      </c>
      <c r="K6539" t="str">
        <f>""</f>
        <v/>
      </c>
      <c r="M6539" t="s">
        <v>68</v>
      </c>
      <c r="N6539" t="str">
        <f t="shared" si="666"/>
        <v>FOR</v>
      </c>
      <c r="O6539" t="s">
        <v>69</v>
      </c>
      <c r="P6539" s="3" t="s">
        <v>75</v>
      </c>
      <c r="Q6539">
        <v>2015</v>
      </c>
      <c r="R6539" s="2">
        <v>42360</v>
      </c>
      <c r="S6539" s="2">
        <v>42366</v>
      </c>
      <c r="T6539" s="2">
        <v>42361</v>
      </c>
      <c r="U6539" s="2">
        <v>42421</v>
      </c>
      <c r="V6539" t="s">
        <v>71</v>
      </c>
      <c r="W6539" t="str">
        <f>"          2152067248"</f>
        <v xml:space="preserve">          2152067248</v>
      </c>
      <c r="X6539">
        <v>274.5</v>
      </c>
      <c r="Y6539">
        <v>0</v>
      </c>
      <c r="Z6539" s="3">
        <v>225</v>
      </c>
      <c r="AA6539">
        <v>269</v>
      </c>
      <c r="AB6539" s="5">
        <v>60525</v>
      </c>
      <c r="AC6539">
        <v>225</v>
      </c>
      <c r="AD6539">
        <v>269</v>
      </c>
      <c r="AE6539" s="1">
        <v>60525</v>
      </c>
      <c r="AF6539">
        <v>0</v>
      </c>
      <c r="AJ6539">
        <v>0</v>
      </c>
      <c r="AK6539">
        <v>0</v>
      </c>
      <c r="AL6539">
        <v>0</v>
      </c>
      <c r="AM6539">
        <v>0</v>
      </c>
      <c r="AN6539">
        <v>0</v>
      </c>
      <c r="AO6539">
        <v>0</v>
      </c>
      <c r="AP6539" s="2">
        <v>42746</v>
      </c>
      <c r="AQ6539" t="s">
        <v>72</v>
      </c>
      <c r="AR6539" t="s">
        <v>72</v>
      </c>
      <c r="AS6539">
        <v>3134</v>
      </c>
      <c r="AT6539" s="4">
        <v>42690</v>
      </c>
      <c r="AU6539" t="s">
        <v>73</v>
      </c>
      <c r="AV6539">
        <v>3134</v>
      </c>
      <c r="AW6539" s="4">
        <v>42690</v>
      </c>
      <c r="BD6539">
        <v>0</v>
      </c>
      <c r="BN6539" t="s">
        <v>74</v>
      </c>
    </row>
    <row r="6540" spans="1:66">
      <c r="A6540">
        <v>104083</v>
      </c>
      <c r="B6540" s="3" t="s">
        <v>607</v>
      </c>
      <c r="C6540" s="1">
        <v>43300101</v>
      </c>
      <c r="D6540" t="s">
        <v>67</v>
      </c>
      <c r="H6540" t="str">
        <f t="shared" si="664"/>
        <v>06324460150</v>
      </c>
      <c r="I6540" t="str">
        <f t="shared" si="665"/>
        <v>02804530968</v>
      </c>
      <c r="K6540" t="str">
        <f>""</f>
        <v/>
      </c>
      <c r="M6540" t="s">
        <v>68</v>
      </c>
      <c r="N6540" t="str">
        <f t="shared" si="666"/>
        <v>FOR</v>
      </c>
      <c r="O6540" t="s">
        <v>69</v>
      </c>
      <c r="P6540" s="3" t="s">
        <v>75</v>
      </c>
      <c r="Q6540">
        <v>2015</v>
      </c>
      <c r="R6540" s="2">
        <v>42361</v>
      </c>
      <c r="S6540" s="2">
        <v>42366</v>
      </c>
      <c r="T6540" s="2">
        <v>42362</v>
      </c>
      <c r="U6540" s="2">
        <v>42422</v>
      </c>
      <c r="V6540" t="s">
        <v>71</v>
      </c>
      <c r="W6540" t="str">
        <f>"          2152067551"</f>
        <v xml:space="preserve">          2152067551</v>
      </c>
      <c r="X6540">
        <v>91.5</v>
      </c>
      <c r="Y6540">
        <v>0</v>
      </c>
      <c r="Z6540" s="3">
        <v>75</v>
      </c>
      <c r="AA6540">
        <v>268</v>
      </c>
      <c r="AB6540" s="5">
        <v>20100</v>
      </c>
      <c r="AC6540">
        <v>75</v>
      </c>
      <c r="AD6540">
        <v>268</v>
      </c>
      <c r="AE6540" s="1">
        <v>20100</v>
      </c>
      <c r="AF6540">
        <v>0</v>
      </c>
      <c r="AJ6540">
        <v>0</v>
      </c>
      <c r="AK6540">
        <v>0</v>
      </c>
      <c r="AL6540">
        <v>0</v>
      </c>
      <c r="AM6540">
        <v>0</v>
      </c>
      <c r="AN6540">
        <v>0</v>
      </c>
      <c r="AO6540">
        <v>0</v>
      </c>
      <c r="AP6540" s="2">
        <v>42746</v>
      </c>
      <c r="AQ6540" t="s">
        <v>72</v>
      </c>
      <c r="AR6540" t="s">
        <v>72</v>
      </c>
      <c r="AS6540">
        <v>3134</v>
      </c>
      <c r="AT6540" s="4">
        <v>42690</v>
      </c>
      <c r="AU6540" t="s">
        <v>73</v>
      </c>
      <c r="AV6540">
        <v>3134</v>
      </c>
      <c r="AW6540" s="4">
        <v>42690</v>
      </c>
      <c r="BD6540">
        <v>0</v>
      </c>
      <c r="BN6540" t="s">
        <v>74</v>
      </c>
    </row>
    <row r="6541" spans="1:66">
      <c r="A6541">
        <v>104083</v>
      </c>
      <c r="B6541" s="3" t="s">
        <v>607</v>
      </c>
      <c r="C6541" s="1">
        <v>43300101</v>
      </c>
      <c r="D6541" t="s">
        <v>67</v>
      </c>
      <c r="H6541" t="str">
        <f t="shared" si="664"/>
        <v>06324460150</v>
      </c>
      <c r="I6541" t="str">
        <f t="shared" si="665"/>
        <v>02804530968</v>
      </c>
      <c r="K6541" t="str">
        <f>""</f>
        <v/>
      </c>
      <c r="M6541" t="s">
        <v>68</v>
      </c>
      <c r="N6541" t="str">
        <f t="shared" si="666"/>
        <v>FOR</v>
      </c>
      <c r="O6541" t="s">
        <v>69</v>
      </c>
      <c r="P6541" s="3" t="s">
        <v>75</v>
      </c>
      <c r="Q6541">
        <v>2016</v>
      </c>
      <c r="R6541" s="2">
        <v>42387</v>
      </c>
      <c r="S6541" s="2">
        <v>42389</v>
      </c>
      <c r="T6541" s="2">
        <v>42388</v>
      </c>
      <c r="U6541" s="2">
        <v>42448</v>
      </c>
      <c r="V6541" t="s">
        <v>71</v>
      </c>
      <c r="W6541" t="str">
        <f>"          2162002252"</f>
        <v xml:space="preserve">          2162002252</v>
      </c>
      <c r="X6541">
        <v>499.59</v>
      </c>
      <c r="Y6541">
        <v>0</v>
      </c>
      <c r="Z6541" s="3">
        <v>409.5</v>
      </c>
      <c r="AA6541">
        <v>275</v>
      </c>
      <c r="AB6541" s="5">
        <v>112612.5</v>
      </c>
      <c r="AC6541">
        <v>409.5</v>
      </c>
      <c r="AD6541">
        <v>275</v>
      </c>
      <c r="AE6541" s="1">
        <v>112612.5</v>
      </c>
      <c r="AF6541">
        <v>90.09</v>
      </c>
      <c r="AJ6541">
        <v>0</v>
      </c>
      <c r="AK6541">
        <v>0</v>
      </c>
      <c r="AL6541">
        <v>0</v>
      </c>
      <c r="AM6541">
        <v>499.59</v>
      </c>
      <c r="AN6541">
        <v>499.59</v>
      </c>
      <c r="AO6541">
        <v>499.59</v>
      </c>
      <c r="AP6541" s="2">
        <v>42746</v>
      </c>
      <c r="AQ6541" t="s">
        <v>72</v>
      </c>
      <c r="AR6541" t="s">
        <v>72</v>
      </c>
      <c r="AS6541">
        <v>3586</v>
      </c>
      <c r="AT6541" s="4">
        <v>42723</v>
      </c>
      <c r="AU6541" t="s">
        <v>73</v>
      </c>
      <c r="AV6541">
        <v>3586</v>
      </c>
      <c r="AW6541" s="4">
        <v>42723</v>
      </c>
      <c r="BD6541">
        <v>90.09</v>
      </c>
      <c r="BN6541" t="s">
        <v>74</v>
      </c>
    </row>
    <row r="6542" spans="1:66">
      <c r="A6542">
        <v>104083</v>
      </c>
      <c r="B6542" s="3" t="s">
        <v>607</v>
      </c>
      <c r="C6542" s="1">
        <v>43300101</v>
      </c>
      <c r="D6542" t="s">
        <v>67</v>
      </c>
      <c r="H6542" t="str">
        <f t="shared" si="664"/>
        <v>06324460150</v>
      </c>
      <c r="I6542" t="str">
        <f t="shared" si="665"/>
        <v>02804530968</v>
      </c>
      <c r="K6542" t="str">
        <f>""</f>
        <v/>
      </c>
      <c r="M6542" t="s">
        <v>68</v>
      </c>
      <c r="N6542" t="str">
        <f t="shared" si="666"/>
        <v>FOR</v>
      </c>
      <c r="O6542" t="s">
        <v>69</v>
      </c>
      <c r="P6542" s="3" t="s">
        <v>75</v>
      </c>
      <c r="Q6542">
        <v>2016</v>
      </c>
      <c r="R6542" s="2">
        <v>42387</v>
      </c>
      <c r="S6542" s="2">
        <v>42389</v>
      </c>
      <c r="T6542" s="2">
        <v>42388</v>
      </c>
      <c r="U6542" s="2">
        <v>42448</v>
      </c>
      <c r="V6542" t="s">
        <v>71</v>
      </c>
      <c r="W6542" t="str">
        <f>"          2162002253"</f>
        <v xml:space="preserve">          2162002253</v>
      </c>
      <c r="X6542" s="1">
        <v>1839.76</v>
      </c>
      <c r="Y6542">
        <v>0</v>
      </c>
      <c r="Z6542" s="5">
        <v>1508</v>
      </c>
      <c r="AA6542">
        <v>275</v>
      </c>
      <c r="AB6542" s="5">
        <v>414700</v>
      </c>
      <c r="AC6542" s="1">
        <v>1508</v>
      </c>
      <c r="AD6542">
        <v>275</v>
      </c>
      <c r="AE6542" s="1">
        <v>414700</v>
      </c>
      <c r="AF6542">
        <v>331.76</v>
      </c>
      <c r="AJ6542">
        <v>0</v>
      </c>
      <c r="AK6542">
        <v>0</v>
      </c>
      <c r="AL6542">
        <v>0</v>
      </c>
      <c r="AM6542" s="1">
        <v>1839.76</v>
      </c>
      <c r="AN6542" s="1">
        <v>1839.76</v>
      </c>
      <c r="AO6542" s="1">
        <v>1839.76</v>
      </c>
      <c r="AP6542" s="2">
        <v>42746</v>
      </c>
      <c r="AQ6542" t="s">
        <v>72</v>
      </c>
      <c r="AR6542" t="s">
        <v>72</v>
      </c>
      <c r="AS6542">
        <v>3586</v>
      </c>
      <c r="AT6542" s="4">
        <v>42723</v>
      </c>
      <c r="AU6542" t="s">
        <v>73</v>
      </c>
      <c r="AV6542">
        <v>3586</v>
      </c>
      <c r="AW6542" s="4">
        <v>42723</v>
      </c>
      <c r="BD6542">
        <v>331.76</v>
      </c>
      <c r="BN6542" t="s">
        <v>74</v>
      </c>
    </row>
    <row r="6543" spans="1:66">
      <c r="A6543">
        <v>104083</v>
      </c>
      <c r="B6543" s="3" t="s">
        <v>607</v>
      </c>
      <c r="C6543" s="1">
        <v>43300101</v>
      </c>
      <c r="D6543" t="s">
        <v>67</v>
      </c>
      <c r="H6543" t="str">
        <f t="shared" si="664"/>
        <v>06324460150</v>
      </c>
      <c r="I6543" t="str">
        <f t="shared" si="665"/>
        <v>02804530968</v>
      </c>
      <c r="K6543" t="str">
        <f>""</f>
        <v/>
      </c>
      <c r="M6543" t="s">
        <v>68</v>
      </c>
      <c r="N6543" t="str">
        <f t="shared" si="666"/>
        <v>FOR</v>
      </c>
      <c r="O6543" t="s">
        <v>69</v>
      </c>
      <c r="P6543" s="3" t="s">
        <v>75</v>
      </c>
      <c r="Q6543">
        <v>2016</v>
      </c>
      <c r="R6543" s="2">
        <v>42389</v>
      </c>
      <c r="S6543" s="2">
        <v>42395</v>
      </c>
      <c r="T6543" s="2">
        <v>42391</v>
      </c>
      <c r="U6543" s="2">
        <v>42451</v>
      </c>
      <c r="V6543" t="s">
        <v>71</v>
      </c>
      <c r="W6543" t="str">
        <f>"          2162002909"</f>
        <v xml:space="preserve">          2162002909</v>
      </c>
      <c r="X6543" s="1">
        <v>6588</v>
      </c>
      <c r="Y6543">
        <v>0</v>
      </c>
      <c r="Z6543" s="5">
        <v>5400</v>
      </c>
      <c r="AA6543">
        <v>272</v>
      </c>
      <c r="AB6543" s="5">
        <v>1468800</v>
      </c>
      <c r="AC6543" s="1">
        <v>5400</v>
      </c>
      <c r="AD6543">
        <v>272</v>
      </c>
      <c r="AE6543" s="1">
        <v>1468800</v>
      </c>
      <c r="AF6543" s="1">
        <v>1188</v>
      </c>
      <c r="AJ6543">
        <v>0</v>
      </c>
      <c r="AK6543">
        <v>0</v>
      </c>
      <c r="AL6543">
        <v>0</v>
      </c>
      <c r="AM6543" s="1">
        <v>6588</v>
      </c>
      <c r="AN6543" s="1">
        <v>6588</v>
      </c>
      <c r="AO6543" s="1">
        <v>6588</v>
      </c>
      <c r="AP6543" s="2">
        <v>42746</v>
      </c>
      <c r="AQ6543" t="s">
        <v>72</v>
      </c>
      <c r="AR6543" t="s">
        <v>72</v>
      </c>
      <c r="AS6543">
        <v>3586</v>
      </c>
      <c r="AT6543" s="4">
        <v>42723</v>
      </c>
      <c r="AU6543" t="s">
        <v>73</v>
      </c>
      <c r="AV6543">
        <v>3586</v>
      </c>
      <c r="AW6543" s="4">
        <v>42723</v>
      </c>
      <c r="BD6543" s="1">
        <v>1188</v>
      </c>
      <c r="BN6543" t="s">
        <v>74</v>
      </c>
    </row>
    <row r="6544" spans="1:66">
      <c r="A6544">
        <v>104083</v>
      </c>
      <c r="B6544" s="3" t="s">
        <v>607</v>
      </c>
      <c r="C6544" s="1">
        <v>43300101</v>
      </c>
      <c r="D6544" t="s">
        <v>67</v>
      </c>
      <c r="H6544" t="str">
        <f t="shared" si="664"/>
        <v>06324460150</v>
      </c>
      <c r="I6544" t="str">
        <f t="shared" si="665"/>
        <v>02804530968</v>
      </c>
      <c r="K6544" t="str">
        <f>""</f>
        <v/>
      </c>
      <c r="M6544" t="s">
        <v>68</v>
      </c>
      <c r="N6544" t="str">
        <f t="shared" si="666"/>
        <v>FOR</v>
      </c>
      <c r="O6544" t="s">
        <v>69</v>
      </c>
      <c r="P6544" s="3" t="s">
        <v>75</v>
      </c>
      <c r="Q6544">
        <v>2016</v>
      </c>
      <c r="R6544" s="2">
        <v>42390</v>
      </c>
      <c r="S6544" s="2">
        <v>42395</v>
      </c>
      <c r="T6544" s="2">
        <v>42391</v>
      </c>
      <c r="U6544" s="2">
        <v>42451</v>
      </c>
      <c r="V6544" t="s">
        <v>71</v>
      </c>
      <c r="W6544" t="str">
        <f>"          2162003212"</f>
        <v xml:space="preserve">          2162003212</v>
      </c>
      <c r="X6544" s="1">
        <v>8784</v>
      </c>
      <c r="Y6544">
        <v>0</v>
      </c>
      <c r="Z6544" s="5">
        <v>7200</v>
      </c>
      <c r="AA6544">
        <v>272</v>
      </c>
      <c r="AB6544" s="5">
        <v>1958400</v>
      </c>
      <c r="AC6544" s="1">
        <v>7200</v>
      </c>
      <c r="AD6544">
        <v>272</v>
      </c>
      <c r="AE6544" s="1">
        <v>1958400</v>
      </c>
      <c r="AF6544" s="1">
        <v>1584</v>
      </c>
      <c r="AJ6544">
        <v>0</v>
      </c>
      <c r="AK6544">
        <v>0</v>
      </c>
      <c r="AL6544">
        <v>0</v>
      </c>
      <c r="AM6544" s="1">
        <v>8784</v>
      </c>
      <c r="AN6544" s="1">
        <v>8784</v>
      </c>
      <c r="AO6544" s="1">
        <v>8784</v>
      </c>
      <c r="AP6544" s="2">
        <v>42746</v>
      </c>
      <c r="AQ6544" t="s">
        <v>72</v>
      </c>
      <c r="AR6544" t="s">
        <v>72</v>
      </c>
      <c r="AS6544">
        <v>3586</v>
      </c>
      <c r="AT6544" s="4">
        <v>42723</v>
      </c>
      <c r="AU6544" t="s">
        <v>73</v>
      </c>
      <c r="AV6544">
        <v>3586</v>
      </c>
      <c r="AW6544" s="4">
        <v>42723</v>
      </c>
      <c r="BD6544" s="1">
        <v>1584</v>
      </c>
      <c r="BN6544" t="s">
        <v>74</v>
      </c>
    </row>
    <row r="6545" spans="1:66">
      <c r="A6545">
        <v>104083</v>
      </c>
      <c r="B6545" s="3" t="s">
        <v>607</v>
      </c>
      <c r="C6545" s="1">
        <v>43300101</v>
      </c>
      <c r="D6545" t="s">
        <v>67</v>
      </c>
      <c r="H6545" t="str">
        <f t="shared" si="664"/>
        <v>06324460150</v>
      </c>
      <c r="I6545" t="str">
        <f t="shared" si="665"/>
        <v>02804530968</v>
      </c>
      <c r="K6545" t="str">
        <f>""</f>
        <v/>
      </c>
      <c r="M6545" t="s">
        <v>68</v>
      </c>
      <c r="N6545" t="str">
        <f t="shared" si="666"/>
        <v>FOR</v>
      </c>
      <c r="O6545" t="s">
        <v>69</v>
      </c>
      <c r="P6545" s="3" t="s">
        <v>75</v>
      </c>
      <c r="Q6545">
        <v>2016</v>
      </c>
      <c r="R6545" s="2">
        <v>42390</v>
      </c>
      <c r="S6545" s="2">
        <v>42395</v>
      </c>
      <c r="T6545" s="2">
        <v>42391</v>
      </c>
      <c r="U6545" s="2">
        <v>42451</v>
      </c>
      <c r="V6545" t="s">
        <v>71</v>
      </c>
      <c r="W6545" t="str">
        <f>"          2162003213"</f>
        <v xml:space="preserve">          2162003213</v>
      </c>
      <c r="X6545">
        <v>649.65</v>
      </c>
      <c r="Y6545">
        <v>0</v>
      </c>
      <c r="Z6545" s="3">
        <v>532.5</v>
      </c>
      <c r="AA6545">
        <v>272</v>
      </c>
      <c r="AB6545" s="5">
        <v>144840</v>
      </c>
      <c r="AC6545">
        <v>532.5</v>
      </c>
      <c r="AD6545">
        <v>272</v>
      </c>
      <c r="AE6545" s="1">
        <v>144840</v>
      </c>
      <c r="AF6545">
        <v>117.15</v>
      </c>
      <c r="AJ6545">
        <v>0</v>
      </c>
      <c r="AK6545">
        <v>0</v>
      </c>
      <c r="AL6545">
        <v>0</v>
      </c>
      <c r="AM6545">
        <v>649.65</v>
      </c>
      <c r="AN6545">
        <v>649.65</v>
      </c>
      <c r="AO6545">
        <v>649.65</v>
      </c>
      <c r="AP6545" s="2">
        <v>42746</v>
      </c>
      <c r="AQ6545" t="s">
        <v>72</v>
      </c>
      <c r="AR6545" t="s">
        <v>72</v>
      </c>
      <c r="AS6545">
        <v>3586</v>
      </c>
      <c r="AT6545" s="4">
        <v>42723</v>
      </c>
      <c r="AU6545" t="s">
        <v>73</v>
      </c>
      <c r="AV6545">
        <v>3586</v>
      </c>
      <c r="AW6545" s="4">
        <v>42723</v>
      </c>
      <c r="BD6545">
        <v>117.15</v>
      </c>
      <c r="BN6545" t="s">
        <v>74</v>
      </c>
    </row>
    <row r="6546" spans="1:66">
      <c r="A6546">
        <v>104083</v>
      </c>
      <c r="B6546" s="3" t="s">
        <v>607</v>
      </c>
      <c r="C6546" s="1">
        <v>43300101</v>
      </c>
      <c r="D6546" t="s">
        <v>67</v>
      </c>
      <c r="H6546" t="str">
        <f t="shared" si="664"/>
        <v>06324460150</v>
      </c>
      <c r="I6546" t="str">
        <f t="shared" si="665"/>
        <v>02804530968</v>
      </c>
      <c r="K6546" t="str">
        <f>""</f>
        <v/>
      </c>
      <c r="M6546" t="s">
        <v>68</v>
      </c>
      <c r="N6546" t="str">
        <f t="shared" si="666"/>
        <v>FOR</v>
      </c>
      <c r="O6546" t="s">
        <v>69</v>
      </c>
      <c r="P6546" s="3" t="s">
        <v>75</v>
      </c>
      <c r="Q6546">
        <v>2016</v>
      </c>
      <c r="R6546" s="2">
        <v>42390</v>
      </c>
      <c r="S6546" s="2">
        <v>42395</v>
      </c>
      <c r="T6546" s="2">
        <v>42391</v>
      </c>
      <c r="U6546" s="2">
        <v>42451</v>
      </c>
      <c r="V6546" t="s">
        <v>71</v>
      </c>
      <c r="W6546" t="str">
        <f>"          2162003214"</f>
        <v xml:space="preserve">          2162003214</v>
      </c>
      <c r="X6546">
        <v>805.2</v>
      </c>
      <c r="Y6546">
        <v>0</v>
      </c>
      <c r="Z6546" s="3">
        <v>660</v>
      </c>
      <c r="AA6546">
        <v>272</v>
      </c>
      <c r="AB6546" s="5">
        <v>179520</v>
      </c>
      <c r="AC6546">
        <v>660</v>
      </c>
      <c r="AD6546">
        <v>272</v>
      </c>
      <c r="AE6546" s="1">
        <v>179520</v>
      </c>
      <c r="AF6546">
        <v>145.19999999999999</v>
      </c>
      <c r="AJ6546">
        <v>0</v>
      </c>
      <c r="AK6546">
        <v>0</v>
      </c>
      <c r="AL6546">
        <v>0</v>
      </c>
      <c r="AM6546">
        <v>805.2</v>
      </c>
      <c r="AN6546">
        <v>805.2</v>
      </c>
      <c r="AO6546">
        <v>805.2</v>
      </c>
      <c r="AP6546" s="2">
        <v>42746</v>
      </c>
      <c r="AQ6546" t="s">
        <v>72</v>
      </c>
      <c r="AR6546" t="s">
        <v>72</v>
      </c>
      <c r="AS6546">
        <v>3586</v>
      </c>
      <c r="AT6546" s="4">
        <v>42723</v>
      </c>
      <c r="AU6546" t="s">
        <v>73</v>
      </c>
      <c r="AV6546">
        <v>3586</v>
      </c>
      <c r="AW6546" s="4">
        <v>42723</v>
      </c>
      <c r="BD6546">
        <v>145.19999999999999</v>
      </c>
      <c r="BN6546" t="s">
        <v>74</v>
      </c>
    </row>
    <row r="6547" spans="1:66">
      <c r="A6547">
        <v>104083</v>
      </c>
      <c r="B6547" s="3" t="s">
        <v>607</v>
      </c>
      <c r="C6547" s="1">
        <v>43300101</v>
      </c>
      <c r="D6547" t="s">
        <v>67</v>
      </c>
      <c r="H6547" t="str">
        <f t="shared" si="664"/>
        <v>06324460150</v>
      </c>
      <c r="I6547" t="str">
        <f t="shared" si="665"/>
        <v>02804530968</v>
      </c>
      <c r="K6547" t="str">
        <f>""</f>
        <v/>
      </c>
      <c r="M6547" t="s">
        <v>68</v>
      </c>
      <c r="N6547" t="str">
        <f t="shared" si="666"/>
        <v>FOR</v>
      </c>
      <c r="O6547" t="s">
        <v>69</v>
      </c>
      <c r="P6547" s="3" t="s">
        <v>75</v>
      </c>
      <c r="Q6547">
        <v>2016</v>
      </c>
      <c r="R6547" s="2">
        <v>42390</v>
      </c>
      <c r="S6547" s="2">
        <v>42395</v>
      </c>
      <c r="T6547" s="2">
        <v>42391</v>
      </c>
      <c r="U6547" s="2">
        <v>42451</v>
      </c>
      <c r="V6547" t="s">
        <v>71</v>
      </c>
      <c r="W6547" t="str">
        <f>"          2162003215"</f>
        <v xml:space="preserve">          2162003215</v>
      </c>
      <c r="X6547" s="1">
        <v>5431.44</v>
      </c>
      <c r="Y6547">
        <v>0</v>
      </c>
      <c r="Z6547" s="5">
        <v>4452</v>
      </c>
      <c r="AA6547">
        <v>272</v>
      </c>
      <c r="AB6547" s="5">
        <v>1210944</v>
      </c>
      <c r="AC6547" s="1">
        <v>4452</v>
      </c>
      <c r="AD6547">
        <v>272</v>
      </c>
      <c r="AE6547" s="1">
        <v>1210944</v>
      </c>
      <c r="AF6547">
        <v>979.44</v>
      </c>
      <c r="AJ6547">
        <v>0</v>
      </c>
      <c r="AK6547">
        <v>0</v>
      </c>
      <c r="AL6547">
        <v>0</v>
      </c>
      <c r="AM6547" s="1">
        <v>5431.44</v>
      </c>
      <c r="AN6547" s="1">
        <v>5431.44</v>
      </c>
      <c r="AO6547" s="1">
        <v>5431.44</v>
      </c>
      <c r="AP6547" s="2">
        <v>42746</v>
      </c>
      <c r="AQ6547" t="s">
        <v>72</v>
      </c>
      <c r="AR6547" t="s">
        <v>72</v>
      </c>
      <c r="AS6547">
        <v>3586</v>
      </c>
      <c r="AT6547" s="4">
        <v>42723</v>
      </c>
      <c r="AU6547" t="s">
        <v>73</v>
      </c>
      <c r="AV6547">
        <v>3586</v>
      </c>
      <c r="AW6547" s="4">
        <v>42723</v>
      </c>
      <c r="BD6547">
        <v>979.44</v>
      </c>
      <c r="BN6547" t="s">
        <v>74</v>
      </c>
    </row>
    <row r="6548" spans="1:66">
      <c r="A6548">
        <v>104083</v>
      </c>
      <c r="B6548" s="3" t="s">
        <v>607</v>
      </c>
      <c r="C6548" s="1">
        <v>43300101</v>
      </c>
      <c r="D6548" t="s">
        <v>67</v>
      </c>
      <c r="H6548" t="str">
        <f t="shared" si="664"/>
        <v>06324460150</v>
      </c>
      <c r="I6548" t="str">
        <f t="shared" si="665"/>
        <v>02804530968</v>
      </c>
      <c r="K6548" t="str">
        <f>""</f>
        <v/>
      </c>
      <c r="M6548" t="s">
        <v>68</v>
      </c>
      <c r="N6548" t="str">
        <f t="shared" si="666"/>
        <v>FOR</v>
      </c>
      <c r="O6548" t="s">
        <v>69</v>
      </c>
      <c r="P6548" s="3" t="s">
        <v>75</v>
      </c>
      <c r="Q6548">
        <v>2016</v>
      </c>
      <c r="R6548" s="2">
        <v>42390</v>
      </c>
      <c r="S6548" s="2">
        <v>42395</v>
      </c>
      <c r="T6548" s="2">
        <v>42391</v>
      </c>
      <c r="U6548" s="2">
        <v>42451</v>
      </c>
      <c r="V6548" t="s">
        <v>71</v>
      </c>
      <c r="W6548" t="str">
        <f>"          2162003216"</f>
        <v xml:space="preserve">          2162003216</v>
      </c>
      <c r="X6548">
        <v>713.7</v>
      </c>
      <c r="Y6548">
        <v>0</v>
      </c>
      <c r="Z6548" s="3">
        <v>585</v>
      </c>
      <c r="AA6548">
        <v>272</v>
      </c>
      <c r="AB6548" s="5">
        <v>159120</v>
      </c>
      <c r="AC6548">
        <v>585</v>
      </c>
      <c r="AD6548">
        <v>272</v>
      </c>
      <c r="AE6548" s="1">
        <v>159120</v>
      </c>
      <c r="AF6548">
        <v>128.69999999999999</v>
      </c>
      <c r="AJ6548">
        <v>0</v>
      </c>
      <c r="AK6548">
        <v>0</v>
      </c>
      <c r="AL6548">
        <v>0</v>
      </c>
      <c r="AM6548">
        <v>713.7</v>
      </c>
      <c r="AN6548">
        <v>713.7</v>
      </c>
      <c r="AO6548">
        <v>713.7</v>
      </c>
      <c r="AP6548" s="2">
        <v>42746</v>
      </c>
      <c r="AQ6548" t="s">
        <v>72</v>
      </c>
      <c r="AR6548" t="s">
        <v>72</v>
      </c>
      <c r="AS6548">
        <v>3586</v>
      </c>
      <c r="AT6548" s="4">
        <v>42723</v>
      </c>
      <c r="AU6548" t="s">
        <v>73</v>
      </c>
      <c r="AV6548">
        <v>3586</v>
      </c>
      <c r="AW6548" s="4">
        <v>42723</v>
      </c>
      <c r="BD6548">
        <v>128.69999999999999</v>
      </c>
      <c r="BN6548" t="s">
        <v>74</v>
      </c>
    </row>
    <row r="6549" spans="1:66">
      <c r="A6549">
        <v>104083</v>
      </c>
      <c r="B6549" s="3" t="s">
        <v>607</v>
      </c>
      <c r="C6549" s="1">
        <v>43300101</v>
      </c>
      <c r="D6549" t="s">
        <v>67</v>
      </c>
      <c r="H6549" t="str">
        <f t="shared" ref="H6549:H6560" si="667">"06324460150"</f>
        <v>06324460150</v>
      </c>
      <c r="I6549" t="str">
        <f t="shared" ref="I6549:I6560" si="668">"02804530968"</f>
        <v>02804530968</v>
      </c>
      <c r="K6549" t="str">
        <f>""</f>
        <v/>
      </c>
      <c r="M6549" t="s">
        <v>68</v>
      </c>
      <c r="N6549" t="str">
        <f t="shared" si="666"/>
        <v>FOR</v>
      </c>
      <c r="O6549" t="s">
        <v>69</v>
      </c>
      <c r="P6549" s="3" t="s">
        <v>75</v>
      </c>
      <c r="Q6549">
        <v>2016</v>
      </c>
      <c r="R6549" s="2">
        <v>42391</v>
      </c>
      <c r="S6549" s="2">
        <v>42395</v>
      </c>
      <c r="T6549" s="2">
        <v>42392</v>
      </c>
      <c r="U6549" s="2">
        <v>42452</v>
      </c>
      <c r="V6549" t="s">
        <v>71</v>
      </c>
      <c r="W6549" t="str">
        <f>"          2162003517"</f>
        <v xml:space="preserve">          2162003517</v>
      </c>
      <c r="X6549">
        <v>683.2</v>
      </c>
      <c r="Y6549">
        <v>0</v>
      </c>
      <c r="Z6549" s="3">
        <v>560</v>
      </c>
      <c r="AA6549">
        <v>271</v>
      </c>
      <c r="AB6549" s="5">
        <v>151760</v>
      </c>
      <c r="AC6549">
        <v>560</v>
      </c>
      <c r="AD6549">
        <v>271</v>
      </c>
      <c r="AE6549" s="1">
        <v>151760</v>
      </c>
      <c r="AF6549">
        <v>123.2</v>
      </c>
      <c r="AJ6549">
        <v>0</v>
      </c>
      <c r="AK6549">
        <v>0</v>
      </c>
      <c r="AL6549">
        <v>0</v>
      </c>
      <c r="AM6549">
        <v>683.2</v>
      </c>
      <c r="AN6549">
        <v>683.2</v>
      </c>
      <c r="AO6549">
        <v>683.2</v>
      </c>
      <c r="AP6549" s="2">
        <v>42746</v>
      </c>
      <c r="AQ6549" t="s">
        <v>72</v>
      </c>
      <c r="AR6549" t="s">
        <v>72</v>
      </c>
      <c r="AS6549">
        <v>3586</v>
      </c>
      <c r="AT6549" s="4">
        <v>42723</v>
      </c>
      <c r="AU6549" t="s">
        <v>73</v>
      </c>
      <c r="AV6549">
        <v>3586</v>
      </c>
      <c r="AW6549" s="4">
        <v>42723</v>
      </c>
      <c r="BD6549">
        <v>123.2</v>
      </c>
      <c r="BN6549" t="s">
        <v>74</v>
      </c>
    </row>
    <row r="6550" spans="1:66">
      <c r="A6550">
        <v>104083</v>
      </c>
      <c r="B6550" s="3" t="s">
        <v>607</v>
      </c>
      <c r="C6550" s="1">
        <v>43300101</v>
      </c>
      <c r="D6550" t="s">
        <v>67</v>
      </c>
      <c r="H6550" t="str">
        <f t="shared" si="667"/>
        <v>06324460150</v>
      </c>
      <c r="I6550" t="str">
        <f t="shared" si="668"/>
        <v>02804530968</v>
      </c>
      <c r="K6550" t="str">
        <f>""</f>
        <v/>
      </c>
      <c r="M6550" t="s">
        <v>68</v>
      </c>
      <c r="N6550" t="str">
        <f t="shared" si="666"/>
        <v>FOR</v>
      </c>
      <c r="O6550" t="s">
        <v>69</v>
      </c>
      <c r="P6550" s="3" t="s">
        <v>75</v>
      </c>
      <c r="Q6550">
        <v>2016</v>
      </c>
      <c r="R6550" s="2">
        <v>42394</v>
      </c>
      <c r="S6550" s="2">
        <v>42396</v>
      </c>
      <c r="T6550" s="2">
        <v>42395</v>
      </c>
      <c r="U6550" s="2">
        <v>42455</v>
      </c>
      <c r="V6550" t="s">
        <v>71</v>
      </c>
      <c r="W6550" t="str">
        <f>"          2162003838"</f>
        <v xml:space="preserve">          2162003838</v>
      </c>
      <c r="X6550" s="1">
        <v>1304.79</v>
      </c>
      <c r="Y6550">
        <v>0</v>
      </c>
      <c r="Z6550" s="5">
        <v>1069.5</v>
      </c>
      <c r="AA6550">
        <v>268</v>
      </c>
      <c r="AB6550" s="5">
        <v>286626</v>
      </c>
      <c r="AC6550" s="1">
        <v>1069.5</v>
      </c>
      <c r="AD6550">
        <v>268</v>
      </c>
      <c r="AE6550" s="1">
        <v>286626</v>
      </c>
      <c r="AF6550">
        <v>235.29</v>
      </c>
      <c r="AJ6550">
        <v>0</v>
      </c>
      <c r="AK6550">
        <v>0</v>
      </c>
      <c r="AL6550">
        <v>0</v>
      </c>
      <c r="AM6550" s="1">
        <v>1304.79</v>
      </c>
      <c r="AN6550" s="1">
        <v>1304.79</v>
      </c>
      <c r="AO6550" s="1">
        <v>1304.79</v>
      </c>
      <c r="AP6550" s="2">
        <v>42746</v>
      </c>
      <c r="AQ6550" t="s">
        <v>72</v>
      </c>
      <c r="AR6550" t="s">
        <v>72</v>
      </c>
      <c r="AS6550">
        <v>3586</v>
      </c>
      <c r="AT6550" s="4">
        <v>42723</v>
      </c>
      <c r="AU6550" t="s">
        <v>73</v>
      </c>
      <c r="AV6550">
        <v>3586</v>
      </c>
      <c r="AW6550" s="4">
        <v>42723</v>
      </c>
      <c r="BD6550">
        <v>235.29</v>
      </c>
      <c r="BN6550" t="s">
        <v>74</v>
      </c>
    </row>
    <row r="6551" spans="1:66">
      <c r="A6551">
        <v>104083</v>
      </c>
      <c r="B6551" s="3" t="s">
        <v>607</v>
      </c>
      <c r="C6551" s="1">
        <v>43300101</v>
      </c>
      <c r="D6551" t="s">
        <v>67</v>
      </c>
      <c r="H6551" t="str">
        <f t="shared" si="667"/>
        <v>06324460150</v>
      </c>
      <c r="I6551" t="str">
        <f t="shared" si="668"/>
        <v>02804530968</v>
      </c>
      <c r="K6551" t="str">
        <f>""</f>
        <v/>
      </c>
      <c r="M6551" t="s">
        <v>68</v>
      </c>
      <c r="N6551" t="str">
        <f t="shared" si="666"/>
        <v>FOR</v>
      </c>
      <c r="O6551" t="s">
        <v>69</v>
      </c>
      <c r="P6551" s="3" t="s">
        <v>75</v>
      </c>
      <c r="Q6551">
        <v>2016</v>
      </c>
      <c r="R6551" s="2">
        <v>42398</v>
      </c>
      <c r="S6551" s="2">
        <v>42399</v>
      </c>
      <c r="T6551" s="2">
        <v>42399</v>
      </c>
      <c r="U6551" s="2">
        <v>42459</v>
      </c>
      <c r="V6551" t="s">
        <v>71</v>
      </c>
      <c r="W6551" t="str">
        <f>"          2162005277"</f>
        <v xml:space="preserve">          2162005277</v>
      </c>
      <c r="X6551">
        <v>646.72</v>
      </c>
      <c r="Y6551">
        <v>0</v>
      </c>
      <c r="Z6551" s="3">
        <v>530.1</v>
      </c>
      <c r="AA6551">
        <v>264</v>
      </c>
      <c r="AB6551" s="5">
        <v>139946.4</v>
      </c>
      <c r="AC6551">
        <v>530.1</v>
      </c>
      <c r="AD6551">
        <v>264</v>
      </c>
      <c r="AE6551" s="1">
        <v>139946.4</v>
      </c>
      <c r="AF6551">
        <v>116.62</v>
      </c>
      <c r="AJ6551">
        <v>0</v>
      </c>
      <c r="AK6551">
        <v>0</v>
      </c>
      <c r="AL6551">
        <v>0</v>
      </c>
      <c r="AM6551">
        <v>646.72</v>
      </c>
      <c r="AN6551">
        <v>646.72</v>
      </c>
      <c r="AO6551">
        <v>646.72</v>
      </c>
      <c r="AP6551" s="2">
        <v>42746</v>
      </c>
      <c r="AQ6551" t="s">
        <v>72</v>
      </c>
      <c r="AR6551" t="s">
        <v>72</v>
      </c>
      <c r="AS6551">
        <v>3586</v>
      </c>
      <c r="AT6551" s="4">
        <v>42723</v>
      </c>
      <c r="AU6551" t="s">
        <v>73</v>
      </c>
      <c r="AV6551">
        <v>3586</v>
      </c>
      <c r="AW6551" s="4">
        <v>42723</v>
      </c>
      <c r="BD6551">
        <v>116.62</v>
      </c>
      <c r="BN6551" t="s">
        <v>74</v>
      </c>
    </row>
    <row r="6552" spans="1:66">
      <c r="A6552">
        <v>104083</v>
      </c>
      <c r="B6552" s="3" t="s">
        <v>607</v>
      </c>
      <c r="C6552" s="1">
        <v>43300101</v>
      </c>
      <c r="D6552" t="s">
        <v>67</v>
      </c>
      <c r="H6552" t="str">
        <f t="shared" si="667"/>
        <v>06324460150</v>
      </c>
      <c r="I6552" t="str">
        <f t="shared" si="668"/>
        <v>02804530968</v>
      </c>
      <c r="K6552" t="str">
        <f>""</f>
        <v/>
      </c>
      <c r="M6552" t="s">
        <v>68</v>
      </c>
      <c r="N6552" t="str">
        <f t="shared" si="666"/>
        <v>FOR</v>
      </c>
      <c r="O6552" t="s">
        <v>69</v>
      </c>
      <c r="P6552" s="3" t="s">
        <v>75</v>
      </c>
      <c r="Q6552">
        <v>2016</v>
      </c>
      <c r="R6552" s="2">
        <v>42398</v>
      </c>
      <c r="S6552" s="2">
        <v>42399</v>
      </c>
      <c r="T6552" s="2">
        <v>42399</v>
      </c>
      <c r="U6552" s="2">
        <v>42459</v>
      </c>
      <c r="V6552" t="s">
        <v>71</v>
      </c>
      <c r="W6552" t="str">
        <f>"          2162005278"</f>
        <v xml:space="preserve">          2162005278</v>
      </c>
      <c r="X6552">
        <v>993.08</v>
      </c>
      <c r="Y6552">
        <v>0</v>
      </c>
      <c r="Z6552" s="3">
        <v>814</v>
      </c>
      <c r="AA6552">
        <v>264</v>
      </c>
      <c r="AB6552" s="5">
        <v>214896</v>
      </c>
      <c r="AC6552">
        <v>814</v>
      </c>
      <c r="AD6552">
        <v>264</v>
      </c>
      <c r="AE6552" s="1">
        <v>214896</v>
      </c>
      <c r="AF6552">
        <v>179.08</v>
      </c>
      <c r="AJ6552">
        <v>0</v>
      </c>
      <c r="AK6552">
        <v>0</v>
      </c>
      <c r="AL6552">
        <v>0</v>
      </c>
      <c r="AM6552">
        <v>993.08</v>
      </c>
      <c r="AN6552">
        <v>993.08</v>
      </c>
      <c r="AO6552">
        <v>993.08</v>
      </c>
      <c r="AP6552" s="2">
        <v>42746</v>
      </c>
      <c r="AQ6552" t="s">
        <v>72</v>
      </c>
      <c r="AR6552" t="s">
        <v>72</v>
      </c>
      <c r="AS6552">
        <v>3586</v>
      </c>
      <c r="AT6552" s="4">
        <v>42723</v>
      </c>
      <c r="AU6552" t="s">
        <v>73</v>
      </c>
      <c r="AV6552">
        <v>3586</v>
      </c>
      <c r="AW6552" s="4">
        <v>42723</v>
      </c>
      <c r="BD6552">
        <v>179.08</v>
      </c>
      <c r="BN6552" t="s">
        <v>74</v>
      </c>
    </row>
    <row r="6553" spans="1:66">
      <c r="A6553">
        <v>104083</v>
      </c>
      <c r="B6553" s="3" t="s">
        <v>607</v>
      </c>
      <c r="C6553" s="1">
        <v>43300101</v>
      </c>
      <c r="D6553" t="s">
        <v>67</v>
      </c>
      <c r="H6553" t="str">
        <f t="shared" si="667"/>
        <v>06324460150</v>
      </c>
      <c r="I6553" t="str">
        <f t="shared" si="668"/>
        <v>02804530968</v>
      </c>
      <c r="K6553" t="str">
        <f>""</f>
        <v/>
      </c>
      <c r="M6553" t="s">
        <v>68</v>
      </c>
      <c r="N6553" t="str">
        <f t="shared" si="666"/>
        <v>FOR</v>
      </c>
      <c r="O6553" t="s">
        <v>69</v>
      </c>
      <c r="P6553" s="3" t="s">
        <v>75</v>
      </c>
      <c r="Q6553">
        <v>2016</v>
      </c>
      <c r="R6553" s="2">
        <v>42398</v>
      </c>
      <c r="S6553" s="2">
        <v>42399</v>
      </c>
      <c r="T6553" s="2">
        <v>42399</v>
      </c>
      <c r="U6553" s="2">
        <v>42459</v>
      </c>
      <c r="V6553" t="s">
        <v>71</v>
      </c>
      <c r="W6553" t="str">
        <f>"          2162005279"</f>
        <v xml:space="preserve">          2162005279</v>
      </c>
      <c r="X6553">
        <v>69.540000000000006</v>
      </c>
      <c r="Y6553">
        <v>0</v>
      </c>
      <c r="Z6553" s="3">
        <v>57</v>
      </c>
      <c r="AA6553">
        <v>264</v>
      </c>
      <c r="AB6553" s="5">
        <v>15048</v>
      </c>
      <c r="AC6553">
        <v>57</v>
      </c>
      <c r="AD6553">
        <v>264</v>
      </c>
      <c r="AE6553" s="1">
        <v>15048</v>
      </c>
      <c r="AF6553">
        <v>12.54</v>
      </c>
      <c r="AJ6553">
        <v>0</v>
      </c>
      <c r="AK6553">
        <v>0</v>
      </c>
      <c r="AL6553">
        <v>0</v>
      </c>
      <c r="AM6553">
        <v>69.540000000000006</v>
      </c>
      <c r="AN6553">
        <v>69.540000000000006</v>
      </c>
      <c r="AO6553">
        <v>69.540000000000006</v>
      </c>
      <c r="AP6553" s="2">
        <v>42746</v>
      </c>
      <c r="AQ6553" t="s">
        <v>72</v>
      </c>
      <c r="AR6553" t="s">
        <v>72</v>
      </c>
      <c r="AS6553">
        <v>3586</v>
      </c>
      <c r="AT6553" s="4">
        <v>42723</v>
      </c>
      <c r="AU6553" t="s">
        <v>73</v>
      </c>
      <c r="AV6553">
        <v>3586</v>
      </c>
      <c r="AW6553" s="4">
        <v>42723</v>
      </c>
      <c r="BD6553">
        <v>12.54</v>
      </c>
      <c r="BN6553" t="s">
        <v>74</v>
      </c>
    </row>
    <row r="6554" spans="1:66">
      <c r="A6554">
        <v>104083</v>
      </c>
      <c r="B6554" s="3" t="s">
        <v>607</v>
      </c>
      <c r="C6554" s="1">
        <v>43300101</v>
      </c>
      <c r="D6554" t="s">
        <v>67</v>
      </c>
      <c r="H6554" t="str">
        <f t="shared" si="667"/>
        <v>06324460150</v>
      </c>
      <c r="I6554" t="str">
        <f t="shared" si="668"/>
        <v>02804530968</v>
      </c>
      <c r="K6554" t="str">
        <f>""</f>
        <v/>
      </c>
      <c r="M6554" t="s">
        <v>68</v>
      </c>
      <c r="N6554" t="str">
        <f t="shared" si="666"/>
        <v>FOR</v>
      </c>
      <c r="O6554" t="s">
        <v>69</v>
      </c>
      <c r="P6554" s="3" t="s">
        <v>75</v>
      </c>
      <c r="Q6554">
        <v>2016</v>
      </c>
      <c r="R6554" s="2">
        <v>42399</v>
      </c>
      <c r="S6554" s="2">
        <v>42403</v>
      </c>
      <c r="T6554" s="2">
        <v>42402</v>
      </c>
      <c r="U6554" s="2">
        <v>42462</v>
      </c>
      <c r="V6554" t="s">
        <v>71</v>
      </c>
      <c r="W6554" t="str">
        <f>"          2162005686"</f>
        <v xml:space="preserve">          2162005686</v>
      </c>
      <c r="X6554">
        <v>536.79999999999995</v>
      </c>
      <c r="Y6554">
        <v>0</v>
      </c>
      <c r="Z6554" s="3">
        <v>440</v>
      </c>
      <c r="AA6554">
        <v>261</v>
      </c>
      <c r="AB6554" s="5">
        <v>114840</v>
      </c>
      <c r="AC6554">
        <v>440</v>
      </c>
      <c r="AD6554">
        <v>261</v>
      </c>
      <c r="AE6554" s="1">
        <v>114840</v>
      </c>
      <c r="AF6554">
        <v>96.8</v>
      </c>
      <c r="AJ6554">
        <v>0</v>
      </c>
      <c r="AK6554">
        <v>0</v>
      </c>
      <c r="AL6554">
        <v>0</v>
      </c>
      <c r="AM6554">
        <v>536.79999999999995</v>
      </c>
      <c r="AN6554">
        <v>536.79999999999995</v>
      </c>
      <c r="AO6554">
        <v>536.79999999999995</v>
      </c>
      <c r="AP6554" s="2">
        <v>42746</v>
      </c>
      <c r="AQ6554" t="s">
        <v>72</v>
      </c>
      <c r="AR6554" t="s">
        <v>72</v>
      </c>
      <c r="AS6554">
        <v>3586</v>
      </c>
      <c r="AT6554" s="4">
        <v>42723</v>
      </c>
      <c r="AU6554" t="s">
        <v>73</v>
      </c>
      <c r="AV6554">
        <v>3586</v>
      </c>
      <c r="AW6554" s="4">
        <v>42723</v>
      </c>
      <c r="BD6554">
        <v>96.8</v>
      </c>
      <c r="BN6554" t="s">
        <v>74</v>
      </c>
    </row>
    <row r="6555" spans="1:66">
      <c r="A6555">
        <v>104083</v>
      </c>
      <c r="B6555" s="3" t="s">
        <v>607</v>
      </c>
      <c r="C6555" s="1">
        <v>43300101</v>
      </c>
      <c r="D6555" t="s">
        <v>67</v>
      </c>
      <c r="H6555" t="str">
        <f t="shared" si="667"/>
        <v>06324460150</v>
      </c>
      <c r="I6555" t="str">
        <f t="shared" si="668"/>
        <v>02804530968</v>
      </c>
      <c r="K6555" t="str">
        <f>""</f>
        <v/>
      </c>
      <c r="M6555" t="s">
        <v>68</v>
      </c>
      <c r="N6555" t="str">
        <f t="shared" si="666"/>
        <v>FOR</v>
      </c>
      <c r="O6555" t="s">
        <v>69</v>
      </c>
      <c r="P6555" s="3" t="s">
        <v>75</v>
      </c>
      <c r="Q6555">
        <v>2016</v>
      </c>
      <c r="R6555" s="2">
        <v>42410</v>
      </c>
      <c r="S6555" s="2">
        <v>42417</v>
      </c>
      <c r="T6555" s="2">
        <v>42411</v>
      </c>
      <c r="U6555" s="2">
        <v>42471</v>
      </c>
      <c r="V6555" t="s">
        <v>71</v>
      </c>
      <c r="W6555" t="str">
        <f>"          2162007643"</f>
        <v xml:space="preserve">          2162007643</v>
      </c>
      <c r="X6555">
        <v>695.4</v>
      </c>
      <c r="Y6555">
        <v>0</v>
      </c>
      <c r="Z6555" s="3">
        <v>570</v>
      </c>
      <c r="AA6555">
        <v>252</v>
      </c>
      <c r="AB6555" s="5">
        <v>143640</v>
      </c>
      <c r="AC6555">
        <v>570</v>
      </c>
      <c r="AD6555">
        <v>252</v>
      </c>
      <c r="AE6555" s="1">
        <v>143640</v>
      </c>
      <c r="AF6555">
        <v>125.4</v>
      </c>
      <c r="AJ6555">
        <v>0</v>
      </c>
      <c r="AK6555">
        <v>0</v>
      </c>
      <c r="AL6555">
        <v>0</v>
      </c>
      <c r="AM6555">
        <v>695.4</v>
      </c>
      <c r="AN6555">
        <v>695.4</v>
      </c>
      <c r="AO6555">
        <v>695.4</v>
      </c>
      <c r="AP6555" s="2">
        <v>42746</v>
      </c>
      <c r="AQ6555" t="s">
        <v>72</v>
      </c>
      <c r="AR6555" t="s">
        <v>72</v>
      </c>
      <c r="AS6555">
        <v>3586</v>
      </c>
      <c r="AT6555" s="4">
        <v>42723</v>
      </c>
      <c r="AU6555" t="s">
        <v>73</v>
      </c>
      <c r="AV6555">
        <v>3586</v>
      </c>
      <c r="AW6555" s="4">
        <v>42723</v>
      </c>
      <c r="BD6555">
        <v>125.4</v>
      </c>
      <c r="BN6555" t="s">
        <v>74</v>
      </c>
    </row>
    <row r="6556" spans="1:66">
      <c r="A6556">
        <v>104083</v>
      </c>
      <c r="B6556" s="3" t="s">
        <v>607</v>
      </c>
      <c r="C6556" s="1">
        <v>43300101</v>
      </c>
      <c r="D6556" t="s">
        <v>67</v>
      </c>
      <c r="H6556" t="str">
        <f t="shared" si="667"/>
        <v>06324460150</v>
      </c>
      <c r="I6556" t="str">
        <f t="shared" si="668"/>
        <v>02804530968</v>
      </c>
      <c r="K6556" t="str">
        <f>""</f>
        <v/>
      </c>
      <c r="M6556" t="s">
        <v>68</v>
      </c>
      <c r="N6556" t="str">
        <f t="shared" si="666"/>
        <v>FOR</v>
      </c>
      <c r="O6556" t="s">
        <v>69</v>
      </c>
      <c r="P6556" s="3" t="s">
        <v>75</v>
      </c>
      <c r="Q6556">
        <v>2016</v>
      </c>
      <c r="R6556" s="2">
        <v>42418</v>
      </c>
      <c r="S6556" s="2">
        <v>42422</v>
      </c>
      <c r="T6556" s="2">
        <v>42419</v>
      </c>
      <c r="U6556" s="2">
        <v>42479</v>
      </c>
      <c r="V6556" t="s">
        <v>71</v>
      </c>
      <c r="W6556" t="str">
        <f>"          2162009352"</f>
        <v xml:space="preserve">          2162009352</v>
      </c>
      <c r="X6556">
        <v>868.64</v>
      </c>
      <c r="Y6556">
        <v>0</v>
      </c>
      <c r="Z6556" s="3">
        <v>712</v>
      </c>
      <c r="AA6556">
        <v>244</v>
      </c>
      <c r="AB6556" s="5">
        <v>173728</v>
      </c>
      <c r="AC6556">
        <v>712</v>
      </c>
      <c r="AD6556">
        <v>244</v>
      </c>
      <c r="AE6556" s="1">
        <v>173728</v>
      </c>
      <c r="AF6556">
        <v>156.63999999999999</v>
      </c>
      <c r="AJ6556">
        <v>0</v>
      </c>
      <c r="AK6556">
        <v>0</v>
      </c>
      <c r="AL6556">
        <v>0</v>
      </c>
      <c r="AM6556">
        <v>868.64</v>
      </c>
      <c r="AN6556">
        <v>868.64</v>
      </c>
      <c r="AO6556">
        <v>868.64</v>
      </c>
      <c r="AP6556" s="2">
        <v>42746</v>
      </c>
      <c r="AQ6556" t="s">
        <v>72</v>
      </c>
      <c r="AR6556" t="s">
        <v>72</v>
      </c>
      <c r="AS6556">
        <v>3586</v>
      </c>
      <c r="AT6556" s="4">
        <v>42723</v>
      </c>
      <c r="AU6556" t="s">
        <v>73</v>
      </c>
      <c r="AV6556">
        <v>3586</v>
      </c>
      <c r="AW6556" s="4">
        <v>42723</v>
      </c>
      <c r="BD6556">
        <v>156.63999999999999</v>
      </c>
      <c r="BN6556" t="s">
        <v>74</v>
      </c>
    </row>
    <row r="6557" spans="1:66">
      <c r="A6557">
        <v>104083</v>
      </c>
      <c r="B6557" s="3" t="s">
        <v>607</v>
      </c>
      <c r="C6557" s="1">
        <v>43300101</v>
      </c>
      <c r="D6557" t="s">
        <v>67</v>
      </c>
      <c r="H6557" t="str">
        <f t="shared" si="667"/>
        <v>06324460150</v>
      </c>
      <c r="I6557" t="str">
        <f t="shared" si="668"/>
        <v>02804530968</v>
      </c>
      <c r="K6557" t="str">
        <f>""</f>
        <v/>
      </c>
      <c r="M6557" t="s">
        <v>68</v>
      </c>
      <c r="N6557" t="str">
        <f t="shared" si="666"/>
        <v>FOR</v>
      </c>
      <c r="O6557" t="s">
        <v>69</v>
      </c>
      <c r="P6557" s="3" t="s">
        <v>75</v>
      </c>
      <c r="Q6557">
        <v>2016</v>
      </c>
      <c r="R6557" s="2">
        <v>42422</v>
      </c>
      <c r="S6557" s="2">
        <v>42425</v>
      </c>
      <c r="T6557" s="2">
        <v>42423</v>
      </c>
      <c r="U6557" s="2">
        <v>42483</v>
      </c>
      <c r="V6557" t="s">
        <v>71</v>
      </c>
      <c r="W6557" t="str">
        <f>"          2162009986"</f>
        <v xml:space="preserve">          2162009986</v>
      </c>
      <c r="X6557">
        <v>499.59</v>
      </c>
      <c r="Y6557">
        <v>0</v>
      </c>
      <c r="Z6557" s="3">
        <v>409.5</v>
      </c>
      <c r="AA6557">
        <v>240</v>
      </c>
      <c r="AB6557" s="5">
        <v>98280</v>
      </c>
      <c r="AC6557">
        <v>409.5</v>
      </c>
      <c r="AD6557">
        <v>240</v>
      </c>
      <c r="AE6557" s="1">
        <v>98280</v>
      </c>
      <c r="AF6557">
        <v>90.09</v>
      </c>
      <c r="AJ6557">
        <v>0</v>
      </c>
      <c r="AK6557">
        <v>0</v>
      </c>
      <c r="AL6557">
        <v>0</v>
      </c>
      <c r="AM6557">
        <v>499.59</v>
      </c>
      <c r="AN6557">
        <v>499.59</v>
      </c>
      <c r="AO6557">
        <v>499.59</v>
      </c>
      <c r="AP6557" s="2">
        <v>42746</v>
      </c>
      <c r="AQ6557" t="s">
        <v>72</v>
      </c>
      <c r="AR6557" t="s">
        <v>72</v>
      </c>
      <c r="AS6557">
        <v>3586</v>
      </c>
      <c r="AT6557" s="4">
        <v>42723</v>
      </c>
      <c r="AU6557" t="s">
        <v>73</v>
      </c>
      <c r="AV6557">
        <v>3586</v>
      </c>
      <c r="AW6557" s="4">
        <v>42723</v>
      </c>
      <c r="BD6557">
        <v>90.09</v>
      </c>
      <c r="BN6557" t="s">
        <v>74</v>
      </c>
    </row>
    <row r="6558" spans="1:66">
      <c r="A6558">
        <v>104083</v>
      </c>
      <c r="B6558" s="3" t="s">
        <v>607</v>
      </c>
      <c r="C6558" s="1">
        <v>43300101</v>
      </c>
      <c r="D6558" t="s">
        <v>67</v>
      </c>
      <c r="H6558" t="str">
        <f t="shared" si="667"/>
        <v>06324460150</v>
      </c>
      <c r="I6558" t="str">
        <f t="shared" si="668"/>
        <v>02804530968</v>
      </c>
      <c r="K6558" t="str">
        <f>""</f>
        <v/>
      </c>
      <c r="M6558" t="s">
        <v>68</v>
      </c>
      <c r="N6558" t="str">
        <f t="shared" si="666"/>
        <v>FOR</v>
      </c>
      <c r="O6558" t="s">
        <v>69</v>
      </c>
      <c r="P6558" s="3" t="s">
        <v>75</v>
      </c>
      <c r="Q6558">
        <v>2016</v>
      </c>
      <c r="R6558" s="2">
        <v>42422</v>
      </c>
      <c r="S6558" s="2">
        <v>42425</v>
      </c>
      <c r="T6558" s="2">
        <v>42423</v>
      </c>
      <c r="U6558" s="2">
        <v>42483</v>
      </c>
      <c r="V6558" t="s">
        <v>71</v>
      </c>
      <c r="W6558" t="str">
        <f>"          2162009987"</f>
        <v xml:space="preserve">          2162009987</v>
      </c>
      <c r="X6558" s="1">
        <v>1900.76</v>
      </c>
      <c r="Y6558">
        <v>0</v>
      </c>
      <c r="Z6558" s="5">
        <v>1558</v>
      </c>
      <c r="AA6558">
        <v>240</v>
      </c>
      <c r="AB6558" s="5">
        <v>373920</v>
      </c>
      <c r="AC6558" s="1">
        <v>1558</v>
      </c>
      <c r="AD6558">
        <v>240</v>
      </c>
      <c r="AE6558" s="1">
        <v>373920</v>
      </c>
      <c r="AF6558">
        <v>342.76</v>
      </c>
      <c r="AJ6558">
        <v>0</v>
      </c>
      <c r="AK6558">
        <v>0</v>
      </c>
      <c r="AL6558">
        <v>0</v>
      </c>
      <c r="AM6558" s="1">
        <v>1900.76</v>
      </c>
      <c r="AN6558" s="1">
        <v>1900.76</v>
      </c>
      <c r="AO6558" s="1">
        <v>1900.76</v>
      </c>
      <c r="AP6558" s="2">
        <v>42746</v>
      </c>
      <c r="AQ6558" t="s">
        <v>72</v>
      </c>
      <c r="AR6558" t="s">
        <v>72</v>
      </c>
      <c r="AS6558">
        <v>3586</v>
      </c>
      <c r="AT6558" s="4">
        <v>42723</v>
      </c>
      <c r="AU6558" t="s">
        <v>73</v>
      </c>
      <c r="AV6558">
        <v>3586</v>
      </c>
      <c r="AW6558" s="4">
        <v>42723</v>
      </c>
      <c r="BD6558">
        <v>342.76</v>
      </c>
      <c r="BN6558" t="s">
        <v>74</v>
      </c>
    </row>
    <row r="6559" spans="1:66">
      <c r="A6559">
        <v>104083</v>
      </c>
      <c r="B6559" s="3" t="s">
        <v>607</v>
      </c>
      <c r="C6559" s="1">
        <v>43300101</v>
      </c>
      <c r="D6559" t="s">
        <v>67</v>
      </c>
      <c r="H6559" t="str">
        <f t="shared" si="667"/>
        <v>06324460150</v>
      </c>
      <c r="I6559" t="str">
        <f t="shared" si="668"/>
        <v>02804530968</v>
      </c>
      <c r="K6559" t="str">
        <f>""</f>
        <v/>
      </c>
      <c r="M6559" t="s">
        <v>68</v>
      </c>
      <c r="N6559" t="str">
        <f t="shared" si="666"/>
        <v>FOR</v>
      </c>
      <c r="O6559" t="s">
        <v>69</v>
      </c>
      <c r="P6559" s="3" t="s">
        <v>75</v>
      </c>
      <c r="Q6559">
        <v>2016</v>
      </c>
      <c r="R6559" s="2">
        <v>42422</v>
      </c>
      <c r="S6559" s="2">
        <v>42425</v>
      </c>
      <c r="T6559" s="2">
        <v>42423</v>
      </c>
      <c r="U6559" s="2">
        <v>42483</v>
      </c>
      <c r="V6559" t="s">
        <v>71</v>
      </c>
      <c r="W6559" t="str">
        <f>"          2162009988"</f>
        <v xml:space="preserve">          2162009988</v>
      </c>
      <c r="X6559">
        <v>325.01</v>
      </c>
      <c r="Y6559">
        <v>0</v>
      </c>
      <c r="Z6559" s="3">
        <v>266.39999999999998</v>
      </c>
      <c r="AA6559">
        <v>240</v>
      </c>
      <c r="AB6559" s="5">
        <v>63936</v>
      </c>
      <c r="AC6559">
        <v>266.39999999999998</v>
      </c>
      <c r="AD6559">
        <v>240</v>
      </c>
      <c r="AE6559" s="1">
        <v>63936</v>
      </c>
      <c r="AF6559">
        <v>58.61</v>
      </c>
      <c r="AJ6559">
        <v>0</v>
      </c>
      <c r="AK6559">
        <v>0</v>
      </c>
      <c r="AL6559">
        <v>0</v>
      </c>
      <c r="AM6559">
        <v>325.01</v>
      </c>
      <c r="AN6559">
        <v>325.01</v>
      </c>
      <c r="AO6559">
        <v>325.01</v>
      </c>
      <c r="AP6559" s="2">
        <v>42746</v>
      </c>
      <c r="AQ6559" t="s">
        <v>72</v>
      </c>
      <c r="AR6559" t="s">
        <v>72</v>
      </c>
      <c r="AS6559">
        <v>3586</v>
      </c>
      <c r="AT6559" s="4">
        <v>42723</v>
      </c>
      <c r="AU6559" t="s">
        <v>73</v>
      </c>
      <c r="AV6559">
        <v>3586</v>
      </c>
      <c r="AW6559" s="4">
        <v>42723</v>
      </c>
      <c r="BD6559">
        <v>58.61</v>
      </c>
      <c r="BN6559" t="s">
        <v>74</v>
      </c>
    </row>
    <row r="6560" spans="1:66">
      <c r="A6560">
        <v>104083</v>
      </c>
      <c r="B6560" s="3" t="s">
        <v>607</v>
      </c>
      <c r="C6560" s="1">
        <v>43300101</v>
      </c>
      <c r="D6560" t="s">
        <v>67</v>
      </c>
      <c r="H6560" t="str">
        <f t="shared" si="667"/>
        <v>06324460150</v>
      </c>
      <c r="I6560" t="str">
        <f t="shared" si="668"/>
        <v>02804530968</v>
      </c>
      <c r="K6560" t="str">
        <f>""</f>
        <v/>
      </c>
      <c r="M6560" t="s">
        <v>68</v>
      </c>
      <c r="N6560" t="str">
        <f t="shared" si="666"/>
        <v>FOR</v>
      </c>
      <c r="O6560" t="s">
        <v>69</v>
      </c>
      <c r="P6560" s="3" t="s">
        <v>75</v>
      </c>
      <c r="Q6560">
        <v>2016</v>
      </c>
      <c r="R6560" s="2">
        <v>42429</v>
      </c>
      <c r="S6560" s="2">
        <v>42436</v>
      </c>
      <c r="T6560" s="2">
        <v>42430</v>
      </c>
      <c r="U6560" s="2">
        <v>42490</v>
      </c>
      <c r="V6560" t="s">
        <v>71</v>
      </c>
      <c r="W6560" t="str">
        <f>"          2162011851"</f>
        <v xml:space="preserve">          2162011851</v>
      </c>
      <c r="X6560">
        <v>212.28</v>
      </c>
      <c r="Y6560">
        <v>0</v>
      </c>
      <c r="Z6560" s="3">
        <v>174</v>
      </c>
      <c r="AA6560">
        <v>233</v>
      </c>
      <c r="AB6560" s="5">
        <v>40542</v>
      </c>
      <c r="AC6560">
        <v>174</v>
      </c>
      <c r="AD6560">
        <v>233</v>
      </c>
      <c r="AE6560" s="1">
        <v>40542</v>
      </c>
      <c r="AF6560">
        <v>38.28</v>
      </c>
      <c r="AJ6560">
        <v>0</v>
      </c>
      <c r="AK6560">
        <v>0</v>
      </c>
      <c r="AL6560">
        <v>0</v>
      </c>
      <c r="AM6560">
        <v>212.28</v>
      </c>
      <c r="AN6560">
        <v>212.28</v>
      </c>
      <c r="AO6560">
        <v>212.28</v>
      </c>
      <c r="AP6560" s="2">
        <v>42746</v>
      </c>
      <c r="AQ6560" t="s">
        <v>72</v>
      </c>
      <c r="AR6560" t="s">
        <v>72</v>
      </c>
      <c r="AS6560">
        <v>3586</v>
      </c>
      <c r="AT6560" s="4">
        <v>42723</v>
      </c>
      <c r="AU6560" t="s">
        <v>73</v>
      </c>
      <c r="AV6560">
        <v>3586</v>
      </c>
      <c r="AW6560" s="4">
        <v>42723</v>
      </c>
      <c r="BD6560">
        <v>38.28</v>
      </c>
      <c r="BN6560" t="s">
        <v>74</v>
      </c>
    </row>
    <row r="6561" spans="1:66">
      <c r="A6561">
        <v>104084</v>
      </c>
      <c r="B6561" s="3" t="s">
        <v>608</v>
      </c>
      <c r="C6561" s="1">
        <v>43300101</v>
      </c>
      <c r="D6561" t="s">
        <v>67</v>
      </c>
      <c r="H6561" t="str">
        <f t="shared" ref="H6561:I6580" si="669">"13144290155"</f>
        <v>13144290155</v>
      </c>
      <c r="I6561" t="str">
        <f t="shared" si="669"/>
        <v>13144290155</v>
      </c>
      <c r="K6561" t="str">
        <f>""</f>
        <v/>
      </c>
      <c r="M6561" t="s">
        <v>68</v>
      </c>
      <c r="N6561" t="str">
        <f t="shared" si="666"/>
        <v>FOR</v>
      </c>
      <c r="O6561" t="s">
        <v>69</v>
      </c>
      <c r="P6561" s="3" t="s">
        <v>70</v>
      </c>
      <c r="Q6561">
        <v>2014</v>
      </c>
      <c r="R6561" s="2">
        <v>41955</v>
      </c>
      <c r="S6561" s="2">
        <v>42264</v>
      </c>
      <c r="T6561" s="2">
        <v>42264</v>
      </c>
      <c r="U6561" s="2">
        <v>42324</v>
      </c>
      <c r="V6561" t="s">
        <v>71</v>
      </c>
      <c r="W6561" t="str">
        <f>"          2014313921"</f>
        <v xml:space="preserve">          2014313921</v>
      </c>
      <c r="X6561" s="1">
        <v>3050</v>
      </c>
      <c r="Y6561">
        <v>0</v>
      </c>
      <c r="Z6561" s="5">
        <v>3050</v>
      </c>
      <c r="AA6561">
        <v>365</v>
      </c>
      <c r="AB6561" s="5">
        <v>1113250</v>
      </c>
      <c r="AC6561" s="1">
        <v>3050</v>
      </c>
      <c r="AD6561">
        <v>365</v>
      </c>
      <c r="AE6561" s="1">
        <v>1113250</v>
      </c>
      <c r="AF6561">
        <v>0</v>
      </c>
      <c r="AJ6561">
        <v>0</v>
      </c>
      <c r="AK6561">
        <v>0</v>
      </c>
      <c r="AL6561">
        <v>0</v>
      </c>
      <c r="AM6561">
        <v>0</v>
      </c>
      <c r="AN6561">
        <v>0</v>
      </c>
      <c r="AO6561">
        <v>0</v>
      </c>
      <c r="AP6561" s="2">
        <v>42746</v>
      </c>
      <c r="AQ6561" t="s">
        <v>72</v>
      </c>
      <c r="AR6561" t="s">
        <v>72</v>
      </c>
      <c r="AS6561">
        <v>3100</v>
      </c>
      <c r="AT6561" s="4">
        <v>42689</v>
      </c>
      <c r="AU6561" t="s">
        <v>73</v>
      </c>
      <c r="AV6561">
        <v>3100</v>
      </c>
      <c r="AW6561" s="4">
        <v>42689</v>
      </c>
      <c r="BD6561">
        <v>0</v>
      </c>
      <c r="BN6561" t="s">
        <v>74</v>
      </c>
    </row>
    <row r="6562" spans="1:66" hidden="1">
      <c r="A6562">
        <v>104084</v>
      </c>
      <c r="B6562" s="3" t="s">
        <v>608</v>
      </c>
      <c r="C6562" s="1">
        <v>43300101</v>
      </c>
      <c r="D6562" t="s">
        <v>67</v>
      </c>
      <c r="H6562" t="str">
        <f t="shared" si="669"/>
        <v>13144290155</v>
      </c>
      <c r="I6562" t="str">
        <f t="shared" si="669"/>
        <v>13144290155</v>
      </c>
      <c r="K6562" t="str">
        <f>""</f>
        <v/>
      </c>
      <c r="M6562" t="s">
        <v>68</v>
      </c>
      <c r="N6562" t="str">
        <f t="shared" si="666"/>
        <v>FOR</v>
      </c>
      <c r="O6562" t="s">
        <v>69</v>
      </c>
      <c r="P6562" s="3" t="s">
        <v>70</v>
      </c>
      <c r="Q6562">
        <v>2015</v>
      </c>
      <c r="R6562" s="2">
        <v>42051</v>
      </c>
      <c r="S6562" s="2">
        <v>42264</v>
      </c>
      <c r="T6562" s="2">
        <v>42264</v>
      </c>
      <c r="U6562" s="2">
        <v>42324</v>
      </c>
      <c r="V6562" t="s">
        <v>71</v>
      </c>
      <c r="W6562" t="str">
        <f>"          2015301563"</f>
        <v xml:space="preserve">          2015301563</v>
      </c>
      <c r="X6562">
        <v>353.8</v>
      </c>
      <c r="Y6562">
        <v>0</v>
      </c>
      <c r="Z6562"/>
      <c r="AB6562"/>
      <c r="AC6562">
        <v>290</v>
      </c>
      <c r="AD6562">
        <v>84</v>
      </c>
      <c r="AE6562" s="1">
        <v>24360</v>
      </c>
      <c r="AF6562">
        <v>0</v>
      </c>
      <c r="AJ6562">
        <v>0</v>
      </c>
      <c r="AK6562">
        <v>0</v>
      </c>
      <c r="AL6562">
        <v>0</v>
      </c>
      <c r="AM6562">
        <v>0</v>
      </c>
      <c r="AN6562">
        <v>0</v>
      </c>
      <c r="AO6562">
        <v>0</v>
      </c>
      <c r="AP6562" s="2">
        <v>42746</v>
      </c>
      <c r="AQ6562" t="s">
        <v>72</v>
      </c>
      <c r="AR6562" t="s">
        <v>72</v>
      </c>
      <c r="AS6562">
        <v>292</v>
      </c>
      <c r="AT6562" s="4">
        <v>42408</v>
      </c>
      <c r="AU6562" t="s">
        <v>73</v>
      </c>
      <c r="AV6562">
        <v>292</v>
      </c>
      <c r="AW6562" s="4">
        <v>42408</v>
      </c>
      <c r="BD6562">
        <v>0</v>
      </c>
      <c r="BN6562" t="s">
        <v>74</v>
      </c>
    </row>
    <row r="6563" spans="1:66" hidden="1">
      <c r="A6563">
        <v>104084</v>
      </c>
      <c r="B6563" s="3" t="s">
        <v>608</v>
      </c>
      <c r="C6563" s="1">
        <v>43300101</v>
      </c>
      <c r="D6563" t="s">
        <v>67</v>
      </c>
      <c r="H6563" t="str">
        <f t="shared" si="669"/>
        <v>13144290155</v>
      </c>
      <c r="I6563" t="str">
        <f t="shared" si="669"/>
        <v>13144290155</v>
      </c>
      <c r="K6563" t="str">
        <f>""</f>
        <v/>
      </c>
      <c r="M6563" t="s">
        <v>68</v>
      </c>
      <c r="N6563" t="str">
        <f t="shared" si="666"/>
        <v>FOR</v>
      </c>
      <c r="O6563" t="s">
        <v>69</v>
      </c>
      <c r="P6563" s="3" t="s">
        <v>70</v>
      </c>
      <c r="Q6563">
        <v>2015</v>
      </c>
      <c r="R6563" s="2">
        <v>42062</v>
      </c>
      <c r="S6563" s="2">
        <v>42264</v>
      </c>
      <c r="T6563" s="2">
        <v>42264</v>
      </c>
      <c r="U6563" s="2">
        <v>42324</v>
      </c>
      <c r="V6563" t="s">
        <v>71</v>
      </c>
      <c r="W6563" t="str">
        <f>"          2015302135"</f>
        <v xml:space="preserve">          2015302135</v>
      </c>
      <c r="X6563">
        <v>473.36</v>
      </c>
      <c r="Y6563">
        <v>0</v>
      </c>
      <c r="Z6563"/>
      <c r="AB6563"/>
      <c r="AC6563">
        <v>388</v>
      </c>
      <c r="AD6563">
        <v>84</v>
      </c>
      <c r="AE6563" s="1">
        <v>32592</v>
      </c>
      <c r="AF6563">
        <v>0</v>
      </c>
      <c r="AJ6563">
        <v>0</v>
      </c>
      <c r="AK6563">
        <v>0</v>
      </c>
      <c r="AL6563">
        <v>0</v>
      </c>
      <c r="AM6563">
        <v>0</v>
      </c>
      <c r="AN6563">
        <v>0</v>
      </c>
      <c r="AO6563">
        <v>0</v>
      </c>
      <c r="AP6563" s="2">
        <v>42746</v>
      </c>
      <c r="AQ6563" t="s">
        <v>72</v>
      </c>
      <c r="AR6563" t="s">
        <v>72</v>
      </c>
      <c r="AS6563">
        <v>292</v>
      </c>
      <c r="AT6563" s="4">
        <v>42408</v>
      </c>
      <c r="AU6563" t="s">
        <v>73</v>
      </c>
      <c r="AV6563">
        <v>292</v>
      </c>
      <c r="AW6563" s="4">
        <v>42408</v>
      </c>
      <c r="BD6563">
        <v>0</v>
      </c>
      <c r="BN6563" t="s">
        <v>74</v>
      </c>
    </row>
    <row r="6564" spans="1:66" hidden="1">
      <c r="A6564">
        <v>104084</v>
      </c>
      <c r="B6564" s="3" t="s">
        <v>608</v>
      </c>
      <c r="C6564" s="1">
        <v>43300101</v>
      </c>
      <c r="D6564" t="s">
        <v>67</v>
      </c>
      <c r="H6564" t="str">
        <f t="shared" si="669"/>
        <v>13144290155</v>
      </c>
      <c r="I6564" t="str">
        <f t="shared" si="669"/>
        <v>13144290155</v>
      </c>
      <c r="K6564" t="str">
        <f>""</f>
        <v/>
      </c>
      <c r="M6564" t="s">
        <v>68</v>
      </c>
      <c r="N6564" t="str">
        <f t="shared" si="666"/>
        <v>FOR</v>
      </c>
      <c r="O6564" t="s">
        <v>69</v>
      </c>
      <c r="P6564" s="3" t="s">
        <v>70</v>
      </c>
      <c r="Q6564">
        <v>2015</v>
      </c>
      <c r="R6564" s="2">
        <v>42072</v>
      </c>
      <c r="S6564" s="2">
        <v>42264</v>
      </c>
      <c r="T6564" s="2">
        <v>42264</v>
      </c>
      <c r="U6564" s="2">
        <v>42324</v>
      </c>
      <c r="V6564" t="s">
        <v>71</v>
      </c>
      <c r="W6564" t="str">
        <f>"          2015302471"</f>
        <v xml:space="preserve">          2015302471</v>
      </c>
      <c r="X6564" s="1">
        <v>6405</v>
      </c>
      <c r="Y6564">
        <v>0</v>
      </c>
      <c r="Z6564"/>
      <c r="AB6564"/>
      <c r="AC6564" s="1">
        <v>5250</v>
      </c>
      <c r="AD6564">
        <v>92</v>
      </c>
      <c r="AE6564" s="1">
        <v>483000</v>
      </c>
      <c r="AF6564">
        <v>0</v>
      </c>
      <c r="AJ6564">
        <v>0</v>
      </c>
      <c r="AK6564">
        <v>0</v>
      </c>
      <c r="AL6564">
        <v>0</v>
      </c>
      <c r="AM6564">
        <v>0</v>
      </c>
      <c r="AN6564">
        <v>0</v>
      </c>
      <c r="AO6564">
        <v>0</v>
      </c>
      <c r="AP6564" s="2">
        <v>42746</v>
      </c>
      <c r="AQ6564" t="s">
        <v>72</v>
      </c>
      <c r="AR6564" t="s">
        <v>72</v>
      </c>
      <c r="AS6564">
        <v>403</v>
      </c>
      <c r="AT6564" s="4">
        <v>42416</v>
      </c>
      <c r="AU6564" t="s">
        <v>73</v>
      </c>
      <c r="AV6564">
        <v>403</v>
      </c>
      <c r="AW6564" s="4">
        <v>42416</v>
      </c>
      <c r="BD6564">
        <v>0</v>
      </c>
      <c r="BN6564" t="s">
        <v>74</v>
      </c>
    </row>
    <row r="6565" spans="1:66" hidden="1">
      <c r="A6565">
        <v>104084</v>
      </c>
      <c r="B6565" s="3" t="s">
        <v>608</v>
      </c>
      <c r="C6565" s="1">
        <v>43300101</v>
      </c>
      <c r="D6565" t="s">
        <v>67</v>
      </c>
      <c r="H6565" t="str">
        <f t="shared" si="669"/>
        <v>13144290155</v>
      </c>
      <c r="I6565" t="str">
        <f t="shared" si="669"/>
        <v>13144290155</v>
      </c>
      <c r="K6565" t="str">
        <f>""</f>
        <v/>
      </c>
      <c r="M6565" t="s">
        <v>68</v>
      </c>
      <c r="N6565" t="str">
        <f t="shared" si="666"/>
        <v>FOR</v>
      </c>
      <c r="O6565" t="s">
        <v>69</v>
      </c>
      <c r="P6565" s="3" t="s">
        <v>70</v>
      </c>
      <c r="Q6565">
        <v>2015</v>
      </c>
      <c r="R6565" s="2">
        <v>42083</v>
      </c>
      <c r="S6565" s="2">
        <v>42264</v>
      </c>
      <c r="T6565" s="2">
        <v>42264</v>
      </c>
      <c r="U6565" s="2">
        <v>42324</v>
      </c>
      <c r="V6565" t="s">
        <v>71</v>
      </c>
      <c r="W6565" t="str">
        <f>"          2015303110"</f>
        <v xml:space="preserve">          2015303110</v>
      </c>
      <c r="X6565" s="1">
        <v>1220</v>
      </c>
      <c r="Y6565">
        <v>0</v>
      </c>
      <c r="Z6565"/>
      <c r="AB6565"/>
      <c r="AC6565" s="1">
        <v>1000</v>
      </c>
      <c r="AD6565">
        <v>92</v>
      </c>
      <c r="AE6565" s="1">
        <v>92000</v>
      </c>
      <c r="AF6565">
        <v>0</v>
      </c>
      <c r="AJ6565">
        <v>0</v>
      </c>
      <c r="AK6565">
        <v>0</v>
      </c>
      <c r="AL6565">
        <v>0</v>
      </c>
      <c r="AM6565">
        <v>0</v>
      </c>
      <c r="AN6565">
        <v>0</v>
      </c>
      <c r="AO6565">
        <v>0</v>
      </c>
      <c r="AP6565" s="2">
        <v>42746</v>
      </c>
      <c r="AQ6565" t="s">
        <v>72</v>
      </c>
      <c r="AR6565" t="s">
        <v>72</v>
      </c>
      <c r="AS6565">
        <v>403</v>
      </c>
      <c r="AT6565" s="4">
        <v>42416</v>
      </c>
      <c r="AU6565" t="s">
        <v>73</v>
      </c>
      <c r="AV6565">
        <v>403</v>
      </c>
      <c r="AW6565" s="4">
        <v>42416</v>
      </c>
      <c r="BD6565">
        <v>0</v>
      </c>
      <c r="BN6565" t="s">
        <v>74</v>
      </c>
    </row>
    <row r="6566" spans="1:66" hidden="1">
      <c r="A6566">
        <v>104084</v>
      </c>
      <c r="B6566" s="3" t="s">
        <v>608</v>
      </c>
      <c r="C6566" s="1">
        <v>43300101</v>
      </c>
      <c r="D6566" t="s">
        <v>67</v>
      </c>
      <c r="H6566" t="str">
        <f t="shared" si="669"/>
        <v>13144290155</v>
      </c>
      <c r="I6566" t="str">
        <f t="shared" si="669"/>
        <v>13144290155</v>
      </c>
      <c r="K6566" t="str">
        <f>""</f>
        <v/>
      </c>
      <c r="M6566" t="s">
        <v>68</v>
      </c>
      <c r="N6566" t="str">
        <f t="shared" si="666"/>
        <v>FOR</v>
      </c>
      <c r="O6566" t="s">
        <v>69</v>
      </c>
      <c r="P6566" s="3" t="s">
        <v>70</v>
      </c>
      <c r="Q6566">
        <v>2015</v>
      </c>
      <c r="R6566" s="2">
        <v>42090</v>
      </c>
      <c r="S6566" s="2">
        <v>42264</v>
      </c>
      <c r="T6566" s="2">
        <v>42264</v>
      </c>
      <c r="U6566" s="2">
        <v>42324</v>
      </c>
      <c r="V6566" t="s">
        <v>71</v>
      </c>
      <c r="W6566" t="str">
        <f>"          2015303475"</f>
        <v xml:space="preserve">          2015303475</v>
      </c>
      <c r="X6566">
        <v>946.72</v>
      </c>
      <c r="Y6566">
        <v>0</v>
      </c>
      <c r="Z6566"/>
      <c r="AB6566"/>
      <c r="AC6566">
        <v>776</v>
      </c>
      <c r="AD6566">
        <v>92</v>
      </c>
      <c r="AE6566" s="1">
        <v>71392</v>
      </c>
      <c r="AF6566">
        <v>0</v>
      </c>
      <c r="AJ6566">
        <v>0</v>
      </c>
      <c r="AK6566">
        <v>0</v>
      </c>
      <c r="AL6566">
        <v>0</v>
      </c>
      <c r="AM6566">
        <v>0</v>
      </c>
      <c r="AN6566">
        <v>0</v>
      </c>
      <c r="AO6566">
        <v>0</v>
      </c>
      <c r="AP6566" s="2">
        <v>42746</v>
      </c>
      <c r="AQ6566" t="s">
        <v>72</v>
      </c>
      <c r="AR6566" t="s">
        <v>72</v>
      </c>
      <c r="AS6566">
        <v>403</v>
      </c>
      <c r="AT6566" s="4">
        <v>42416</v>
      </c>
      <c r="AU6566" t="s">
        <v>73</v>
      </c>
      <c r="AV6566">
        <v>403</v>
      </c>
      <c r="AW6566" s="4">
        <v>42416</v>
      </c>
      <c r="BD6566">
        <v>0</v>
      </c>
      <c r="BN6566" t="s">
        <v>74</v>
      </c>
    </row>
    <row r="6567" spans="1:66" hidden="1">
      <c r="A6567">
        <v>104084</v>
      </c>
      <c r="B6567" s="3" t="s">
        <v>608</v>
      </c>
      <c r="C6567" s="1">
        <v>43300101</v>
      </c>
      <c r="D6567" t="s">
        <v>67</v>
      </c>
      <c r="H6567" t="str">
        <f t="shared" si="669"/>
        <v>13144290155</v>
      </c>
      <c r="I6567" t="str">
        <f t="shared" si="669"/>
        <v>13144290155</v>
      </c>
      <c r="K6567" t="str">
        <f>""</f>
        <v/>
      </c>
      <c r="M6567" t="s">
        <v>68</v>
      </c>
      <c r="N6567" t="str">
        <f t="shared" si="666"/>
        <v>FOR</v>
      </c>
      <c r="O6567" t="s">
        <v>69</v>
      </c>
      <c r="P6567" s="3" t="s">
        <v>75</v>
      </c>
      <c r="Q6567">
        <v>2015</v>
      </c>
      <c r="R6567" s="2">
        <v>42095</v>
      </c>
      <c r="S6567" s="2">
        <v>42142</v>
      </c>
      <c r="T6567" s="2">
        <v>42137</v>
      </c>
      <c r="U6567" s="2">
        <v>42197</v>
      </c>
      <c r="V6567" t="s">
        <v>71</v>
      </c>
      <c r="W6567" t="str">
        <f>"          2015303597"</f>
        <v xml:space="preserve">          2015303597</v>
      </c>
      <c r="X6567" s="1">
        <v>1061.4000000000001</v>
      </c>
      <c r="Y6567">
        <v>0</v>
      </c>
      <c r="Z6567"/>
      <c r="AB6567"/>
      <c r="AC6567">
        <v>870</v>
      </c>
      <c r="AD6567">
        <v>219</v>
      </c>
      <c r="AE6567" s="1">
        <v>190530</v>
      </c>
      <c r="AF6567">
        <v>0</v>
      </c>
      <c r="AJ6567">
        <v>0</v>
      </c>
      <c r="AK6567">
        <v>0</v>
      </c>
      <c r="AL6567">
        <v>0</v>
      </c>
      <c r="AM6567">
        <v>0</v>
      </c>
      <c r="AN6567">
        <v>0</v>
      </c>
      <c r="AO6567">
        <v>0</v>
      </c>
      <c r="AP6567" s="2">
        <v>42746</v>
      </c>
      <c r="AQ6567" t="s">
        <v>72</v>
      </c>
      <c r="AR6567" t="s">
        <v>72</v>
      </c>
      <c r="AS6567">
        <v>403</v>
      </c>
      <c r="AT6567" s="4">
        <v>42416</v>
      </c>
      <c r="AU6567" t="s">
        <v>73</v>
      </c>
      <c r="AV6567">
        <v>403</v>
      </c>
      <c r="AW6567" s="4">
        <v>42416</v>
      </c>
      <c r="BD6567">
        <v>0</v>
      </c>
      <c r="BN6567" t="s">
        <v>74</v>
      </c>
    </row>
    <row r="6568" spans="1:66" hidden="1">
      <c r="A6568">
        <v>104084</v>
      </c>
      <c r="B6568" s="3" t="s">
        <v>608</v>
      </c>
      <c r="C6568" s="1">
        <v>43300101</v>
      </c>
      <c r="D6568" t="s">
        <v>67</v>
      </c>
      <c r="H6568" t="str">
        <f t="shared" si="669"/>
        <v>13144290155</v>
      </c>
      <c r="I6568" t="str">
        <f t="shared" si="669"/>
        <v>13144290155</v>
      </c>
      <c r="K6568" t="str">
        <f>""</f>
        <v/>
      </c>
      <c r="M6568" t="s">
        <v>68</v>
      </c>
      <c r="N6568" t="str">
        <f t="shared" si="666"/>
        <v>FOR</v>
      </c>
      <c r="O6568" t="s">
        <v>69</v>
      </c>
      <c r="P6568" s="3" t="s">
        <v>75</v>
      </c>
      <c r="Q6568">
        <v>2015</v>
      </c>
      <c r="R6568" s="2">
        <v>42103</v>
      </c>
      <c r="S6568" s="2">
        <v>42115</v>
      </c>
      <c r="T6568" s="2">
        <v>42114</v>
      </c>
      <c r="U6568" s="2">
        <v>42174</v>
      </c>
      <c r="V6568" t="s">
        <v>71</v>
      </c>
      <c r="W6568" t="str">
        <f>"          2015303853"</f>
        <v xml:space="preserve">          2015303853</v>
      </c>
      <c r="X6568" s="1">
        <v>3843</v>
      </c>
      <c r="Y6568">
        <v>0</v>
      </c>
      <c r="Z6568"/>
      <c r="AB6568"/>
      <c r="AC6568" s="1">
        <v>3150</v>
      </c>
      <c r="AD6568">
        <v>242</v>
      </c>
      <c r="AE6568" s="1">
        <v>762300</v>
      </c>
      <c r="AF6568">
        <v>0</v>
      </c>
      <c r="AJ6568">
        <v>0</v>
      </c>
      <c r="AK6568">
        <v>0</v>
      </c>
      <c r="AL6568">
        <v>0</v>
      </c>
      <c r="AM6568">
        <v>0</v>
      </c>
      <c r="AN6568">
        <v>0</v>
      </c>
      <c r="AO6568">
        <v>0</v>
      </c>
      <c r="AP6568" s="2">
        <v>42746</v>
      </c>
      <c r="AQ6568" t="s">
        <v>72</v>
      </c>
      <c r="AR6568" t="s">
        <v>72</v>
      </c>
      <c r="AS6568">
        <v>403</v>
      </c>
      <c r="AT6568" s="4">
        <v>42416</v>
      </c>
      <c r="AU6568" t="s">
        <v>73</v>
      </c>
      <c r="AV6568">
        <v>403</v>
      </c>
      <c r="AW6568" s="4">
        <v>42416</v>
      </c>
      <c r="BD6568">
        <v>0</v>
      </c>
      <c r="BN6568" t="s">
        <v>74</v>
      </c>
    </row>
    <row r="6569" spans="1:66" hidden="1">
      <c r="A6569">
        <v>104084</v>
      </c>
      <c r="B6569" s="3" t="s">
        <v>608</v>
      </c>
      <c r="C6569" s="1">
        <v>43300101</v>
      </c>
      <c r="D6569" t="s">
        <v>67</v>
      </c>
      <c r="H6569" t="str">
        <f t="shared" si="669"/>
        <v>13144290155</v>
      </c>
      <c r="I6569" t="str">
        <f t="shared" si="669"/>
        <v>13144290155</v>
      </c>
      <c r="K6569" t="str">
        <f>""</f>
        <v/>
      </c>
      <c r="M6569" t="s">
        <v>68</v>
      </c>
      <c r="N6569" t="str">
        <f t="shared" si="666"/>
        <v>FOR</v>
      </c>
      <c r="O6569" t="s">
        <v>69</v>
      </c>
      <c r="P6569" s="3" t="s">
        <v>75</v>
      </c>
      <c r="Q6569">
        <v>2015</v>
      </c>
      <c r="R6569" s="2">
        <v>42103</v>
      </c>
      <c r="S6569" s="2">
        <v>42115</v>
      </c>
      <c r="T6569" s="2">
        <v>42114</v>
      </c>
      <c r="U6569" s="2">
        <v>42174</v>
      </c>
      <c r="V6569" t="s">
        <v>71</v>
      </c>
      <c r="W6569" t="str">
        <f>"          2015303854"</f>
        <v xml:space="preserve">          2015303854</v>
      </c>
      <c r="X6569" s="1">
        <v>11480.2</v>
      </c>
      <c r="Y6569">
        <v>0</v>
      </c>
      <c r="Z6569"/>
      <c r="AB6569"/>
      <c r="AC6569" s="1">
        <v>9410</v>
      </c>
      <c r="AD6569">
        <v>242</v>
      </c>
      <c r="AE6569" s="1">
        <v>2277220</v>
      </c>
      <c r="AF6569">
        <v>0</v>
      </c>
      <c r="AJ6569">
        <v>0</v>
      </c>
      <c r="AK6569">
        <v>0</v>
      </c>
      <c r="AL6569">
        <v>0</v>
      </c>
      <c r="AM6569">
        <v>0</v>
      </c>
      <c r="AN6569">
        <v>0</v>
      </c>
      <c r="AO6569">
        <v>0</v>
      </c>
      <c r="AP6569" s="2">
        <v>42746</v>
      </c>
      <c r="AQ6569" t="s">
        <v>72</v>
      </c>
      <c r="AR6569" t="s">
        <v>72</v>
      </c>
      <c r="AS6569">
        <v>403</v>
      </c>
      <c r="AT6569" s="4">
        <v>42416</v>
      </c>
      <c r="AU6569" t="s">
        <v>73</v>
      </c>
      <c r="AV6569">
        <v>403</v>
      </c>
      <c r="AW6569" s="4">
        <v>42416</v>
      </c>
      <c r="BD6569">
        <v>0</v>
      </c>
      <c r="BN6569" t="s">
        <v>74</v>
      </c>
    </row>
    <row r="6570" spans="1:66" hidden="1">
      <c r="A6570">
        <v>104084</v>
      </c>
      <c r="B6570" s="3" t="s">
        <v>608</v>
      </c>
      <c r="C6570" s="1">
        <v>43300101</v>
      </c>
      <c r="D6570" t="s">
        <v>67</v>
      </c>
      <c r="H6570" t="str">
        <f t="shared" si="669"/>
        <v>13144290155</v>
      </c>
      <c r="I6570" t="str">
        <f t="shared" si="669"/>
        <v>13144290155</v>
      </c>
      <c r="K6570" t="str">
        <f>""</f>
        <v/>
      </c>
      <c r="M6570" t="s">
        <v>68</v>
      </c>
      <c r="N6570" t="str">
        <f t="shared" si="666"/>
        <v>FOR</v>
      </c>
      <c r="O6570" t="s">
        <v>69</v>
      </c>
      <c r="P6570" s="3" t="s">
        <v>75</v>
      </c>
      <c r="Q6570">
        <v>2015</v>
      </c>
      <c r="R6570" s="2">
        <v>42121</v>
      </c>
      <c r="S6570" s="2">
        <v>42123</v>
      </c>
      <c r="T6570" s="2">
        <v>42123</v>
      </c>
      <c r="U6570" s="2">
        <v>42183</v>
      </c>
      <c r="V6570" t="s">
        <v>71</v>
      </c>
      <c r="W6570" t="str">
        <f>"          2015304451"</f>
        <v xml:space="preserve">          2015304451</v>
      </c>
      <c r="X6570" s="1">
        <v>2440</v>
      </c>
      <c r="Y6570">
        <v>0</v>
      </c>
      <c r="Z6570"/>
      <c r="AB6570"/>
      <c r="AC6570" s="1">
        <v>2000</v>
      </c>
      <c r="AD6570">
        <v>233</v>
      </c>
      <c r="AE6570" s="1">
        <v>466000</v>
      </c>
      <c r="AF6570">
        <v>0</v>
      </c>
      <c r="AJ6570">
        <v>0</v>
      </c>
      <c r="AK6570">
        <v>0</v>
      </c>
      <c r="AL6570">
        <v>0</v>
      </c>
      <c r="AM6570">
        <v>0</v>
      </c>
      <c r="AN6570">
        <v>0</v>
      </c>
      <c r="AO6570">
        <v>0</v>
      </c>
      <c r="AP6570" s="2">
        <v>42746</v>
      </c>
      <c r="AQ6570" t="s">
        <v>72</v>
      </c>
      <c r="AR6570" t="s">
        <v>72</v>
      </c>
      <c r="AS6570">
        <v>403</v>
      </c>
      <c r="AT6570" s="4">
        <v>42416</v>
      </c>
      <c r="AU6570" t="s">
        <v>73</v>
      </c>
      <c r="AV6570">
        <v>403</v>
      </c>
      <c r="AW6570" s="4">
        <v>42416</v>
      </c>
      <c r="BD6570">
        <v>0</v>
      </c>
      <c r="BN6570" t="s">
        <v>74</v>
      </c>
    </row>
    <row r="6571" spans="1:66">
      <c r="A6571">
        <v>104084</v>
      </c>
      <c r="B6571" s="3" t="s">
        <v>608</v>
      </c>
      <c r="C6571" s="1">
        <v>43300101</v>
      </c>
      <c r="D6571" t="s">
        <v>67</v>
      </c>
      <c r="H6571" t="str">
        <f t="shared" si="669"/>
        <v>13144290155</v>
      </c>
      <c r="I6571" t="str">
        <f t="shared" si="669"/>
        <v>13144290155</v>
      </c>
      <c r="K6571" t="str">
        <f>""</f>
        <v/>
      </c>
      <c r="M6571" t="s">
        <v>68</v>
      </c>
      <c r="N6571" t="str">
        <f t="shared" si="666"/>
        <v>FOR</v>
      </c>
      <c r="O6571" t="s">
        <v>69</v>
      </c>
      <c r="P6571" s="3" t="s">
        <v>75</v>
      </c>
      <c r="Q6571">
        <v>2015</v>
      </c>
      <c r="R6571" s="2">
        <v>42132</v>
      </c>
      <c r="S6571" s="2">
        <v>42138</v>
      </c>
      <c r="T6571" s="2">
        <v>42137</v>
      </c>
      <c r="U6571" s="2">
        <v>42197</v>
      </c>
      <c r="V6571" t="s">
        <v>71</v>
      </c>
      <c r="W6571" t="str">
        <f>"          2015304958"</f>
        <v xml:space="preserve">          2015304958</v>
      </c>
      <c r="X6571" s="1">
        <v>3050</v>
      </c>
      <c r="Y6571">
        <v>0</v>
      </c>
      <c r="Z6571" s="5">
        <v>2500</v>
      </c>
      <c r="AA6571">
        <v>492</v>
      </c>
      <c r="AB6571" s="5">
        <v>1230000</v>
      </c>
      <c r="AC6571" s="1">
        <v>2500</v>
      </c>
      <c r="AD6571">
        <v>492</v>
      </c>
      <c r="AE6571" s="1">
        <v>1230000</v>
      </c>
      <c r="AF6571">
        <v>0</v>
      </c>
      <c r="AJ6571">
        <v>0</v>
      </c>
      <c r="AK6571">
        <v>0</v>
      </c>
      <c r="AL6571">
        <v>0</v>
      </c>
      <c r="AM6571">
        <v>0</v>
      </c>
      <c r="AN6571">
        <v>0</v>
      </c>
      <c r="AO6571">
        <v>0</v>
      </c>
      <c r="AP6571" s="2">
        <v>42746</v>
      </c>
      <c r="AQ6571" t="s">
        <v>72</v>
      </c>
      <c r="AR6571" t="s">
        <v>72</v>
      </c>
      <c r="AS6571">
        <v>3100</v>
      </c>
      <c r="AT6571" s="4">
        <v>42689</v>
      </c>
      <c r="AU6571" t="s">
        <v>73</v>
      </c>
      <c r="AV6571">
        <v>3100</v>
      </c>
      <c r="AW6571" s="4">
        <v>42689</v>
      </c>
      <c r="BD6571">
        <v>0</v>
      </c>
      <c r="BN6571" t="s">
        <v>74</v>
      </c>
    </row>
    <row r="6572" spans="1:66" hidden="1">
      <c r="A6572">
        <v>104084</v>
      </c>
      <c r="B6572" s="3" t="s">
        <v>608</v>
      </c>
      <c r="C6572" s="1">
        <v>43300101</v>
      </c>
      <c r="D6572" t="s">
        <v>67</v>
      </c>
      <c r="H6572" t="str">
        <f t="shared" si="669"/>
        <v>13144290155</v>
      </c>
      <c r="I6572" t="str">
        <f t="shared" si="669"/>
        <v>13144290155</v>
      </c>
      <c r="K6572" t="str">
        <f>""</f>
        <v/>
      </c>
      <c r="M6572" t="s">
        <v>68</v>
      </c>
      <c r="N6572" t="str">
        <f t="shared" si="666"/>
        <v>FOR</v>
      </c>
      <c r="O6572" t="s">
        <v>69</v>
      </c>
      <c r="P6572" s="3" t="s">
        <v>75</v>
      </c>
      <c r="Q6572">
        <v>2015</v>
      </c>
      <c r="R6572" s="2">
        <v>42146</v>
      </c>
      <c r="S6572" s="2">
        <v>42160</v>
      </c>
      <c r="T6572" s="2">
        <v>42148</v>
      </c>
      <c r="U6572" s="2">
        <v>42208</v>
      </c>
      <c r="V6572" t="s">
        <v>71</v>
      </c>
      <c r="W6572" t="str">
        <f>"          2015305483"</f>
        <v xml:space="preserve">          2015305483</v>
      </c>
      <c r="X6572">
        <v>473.36</v>
      </c>
      <c r="Y6572">
        <v>0</v>
      </c>
      <c r="Z6572"/>
      <c r="AB6572"/>
      <c r="AC6572">
        <v>388</v>
      </c>
      <c r="AD6572">
        <v>208</v>
      </c>
      <c r="AE6572" s="1">
        <v>80704</v>
      </c>
      <c r="AF6572">
        <v>0</v>
      </c>
      <c r="AJ6572">
        <v>0</v>
      </c>
      <c r="AK6572">
        <v>0</v>
      </c>
      <c r="AL6572">
        <v>0</v>
      </c>
      <c r="AM6572">
        <v>0</v>
      </c>
      <c r="AN6572">
        <v>0</v>
      </c>
      <c r="AO6572">
        <v>0</v>
      </c>
      <c r="AP6572" s="2">
        <v>42746</v>
      </c>
      <c r="AQ6572" t="s">
        <v>72</v>
      </c>
      <c r="AR6572" t="s">
        <v>72</v>
      </c>
      <c r="AS6572">
        <v>403</v>
      </c>
      <c r="AT6572" s="4">
        <v>42416</v>
      </c>
      <c r="AU6572" t="s">
        <v>73</v>
      </c>
      <c r="AV6572">
        <v>403</v>
      </c>
      <c r="AW6572" s="4">
        <v>42416</v>
      </c>
      <c r="BD6572">
        <v>0</v>
      </c>
      <c r="BN6572" t="s">
        <v>74</v>
      </c>
    </row>
    <row r="6573" spans="1:66" hidden="1">
      <c r="A6573">
        <v>104084</v>
      </c>
      <c r="B6573" s="3" t="s">
        <v>608</v>
      </c>
      <c r="C6573" s="1">
        <v>43300101</v>
      </c>
      <c r="D6573" t="s">
        <v>67</v>
      </c>
      <c r="H6573" t="str">
        <f t="shared" si="669"/>
        <v>13144290155</v>
      </c>
      <c r="I6573" t="str">
        <f t="shared" si="669"/>
        <v>13144290155</v>
      </c>
      <c r="K6573" t="str">
        <f>""</f>
        <v/>
      </c>
      <c r="M6573" t="s">
        <v>68</v>
      </c>
      <c r="N6573" t="str">
        <f t="shared" si="666"/>
        <v>FOR</v>
      </c>
      <c r="O6573" t="s">
        <v>69</v>
      </c>
      <c r="P6573" s="3" t="s">
        <v>75</v>
      </c>
      <c r="Q6573">
        <v>2015</v>
      </c>
      <c r="R6573" s="2">
        <v>42153</v>
      </c>
      <c r="S6573" s="2">
        <v>42158</v>
      </c>
      <c r="T6573" s="2">
        <v>42153</v>
      </c>
      <c r="U6573" s="2">
        <v>42213</v>
      </c>
      <c r="V6573" t="s">
        <v>71</v>
      </c>
      <c r="W6573" t="str">
        <f>"          2015305725"</f>
        <v xml:space="preserve">          2015305725</v>
      </c>
      <c r="X6573" s="1">
        <v>1073.5999999999999</v>
      </c>
      <c r="Y6573">
        <v>0</v>
      </c>
      <c r="Z6573"/>
      <c r="AB6573"/>
      <c r="AC6573">
        <v>880</v>
      </c>
      <c r="AD6573">
        <v>203</v>
      </c>
      <c r="AE6573" s="1">
        <v>178640</v>
      </c>
      <c r="AF6573">
        <v>0</v>
      </c>
      <c r="AJ6573">
        <v>0</v>
      </c>
      <c r="AK6573">
        <v>0</v>
      </c>
      <c r="AL6573">
        <v>0</v>
      </c>
      <c r="AM6573">
        <v>0</v>
      </c>
      <c r="AN6573">
        <v>0</v>
      </c>
      <c r="AO6573">
        <v>0</v>
      </c>
      <c r="AP6573" s="2">
        <v>42746</v>
      </c>
      <c r="AQ6573" t="s">
        <v>72</v>
      </c>
      <c r="AR6573" t="s">
        <v>72</v>
      </c>
      <c r="AS6573">
        <v>403</v>
      </c>
      <c r="AT6573" s="4">
        <v>42416</v>
      </c>
      <c r="AU6573" t="s">
        <v>73</v>
      </c>
      <c r="AV6573">
        <v>403</v>
      </c>
      <c r="AW6573" s="4">
        <v>42416</v>
      </c>
      <c r="BD6573">
        <v>0</v>
      </c>
      <c r="BN6573" t="s">
        <v>74</v>
      </c>
    </row>
    <row r="6574" spans="1:66" hidden="1">
      <c r="A6574">
        <v>104084</v>
      </c>
      <c r="B6574" s="3" t="s">
        <v>608</v>
      </c>
      <c r="C6574" s="1">
        <v>43300101</v>
      </c>
      <c r="D6574" t="s">
        <v>67</v>
      </c>
      <c r="H6574" t="str">
        <f t="shared" si="669"/>
        <v>13144290155</v>
      </c>
      <c r="I6574" t="str">
        <f t="shared" si="669"/>
        <v>13144290155</v>
      </c>
      <c r="K6574" t="str">
        <f>""</f>
        <v/>
      </c>
      <c r="M6574" t="s">
        <v>68</v>
      </c>
      <c r="N6574" t="str">
        <f t="shared" si="666"/>
        <v>FOR</v>
      </c>
      <c r="O6574" t="s">
        <v>69</v>
      </c>
      <c r="P6574" s="3" t="s">
        <v>75</v>
      </c>
      <c r="Q6574">
        <v>2015</v>
      </c>
      <c r="R6574" s="2">
        <v>42153</v>
      </c>
      <c r="S6574" s="2">
        <v>42158</v>
      </c>
      <c r="T6574" s="2">
        <v>42153</v>
      </c>
      <c r="U6574" s="2">
        <v>42213</v>
      </c>
      <c r="V6574" t="s">
        <v>71</v>
      </c>
      <c r="W6574" t="str">
        <f>"          2015305740"</f>
        <v xml:space="preserve">          2015305740</v>
      </c>
      <c r="X6574" s="1">
        <v>1061.4000000000001</v>
      </c>
      <c r="Y6574">
        <v>0</v>
      </c>
      <c r="Z6574"/>
      <c r="AB6574"/>
      <c r="AC6574">
        <v>870</v>
      </c>
      <c r="AD6574">
        <v>203</v>
      </c>
      <c r="AE6574" s="1">
        <v>176610</v>
      </c>
      <c r="AF6574">
        <v>0</v>
      </c>
      <c r="AJ6574">
        <v>0</v>
      </c>
      <c r="AK6574">
        <v>0</v>
      </c>
      <c r="AL6574">
        <v>0</v>
      </c>
      <c r="AM6574">
        <v>0</v>
      </c>
      <c r="AN6574">
        <v>0</v>
      </c>
      <c r="AO6574">
        <v>0</v>
      </c>
      <c r="AP6574" s="2">
        <v>42746</v>
      </c>
      <c r="AQ6574" t="s">
        <v>72</v>
      </c>
      <c r="AR6574" t="s">
        <v>72</v>
      </c>
      <c r="AS6574">
        <v>403</v>
      </c>
      <c r="AT6574" s="4">
        <v>42416</v>
      </c>
      <c r="AU6574" t="s">
        <v>73</v>
      </c>
      <c r="AV6574">
        <v>403</v>
      </c>
      <c r="AW6574" s="4">
        <v>42416</v>
      </c>
      <c r="BD6574">
        <v>0</v>
      </c>
      <c r="BN6574" t="s">
        <v>74</v>
      </c>
    </row>
    <row r="6575" spans="1:66" hidden="1">
      <c r="A6575">
        <v>104084</v>
      </c>
      <c r="B6575" s="3" t="s">
        <v>608</v>
      </c>
      <c r="C6575" s="1">
        <v>43300101</v>
      </c>
      <c r="D6575" t="s">
        <v>67</v>
      </c>
      <c r="H6575" t="str">
        <f t="shared" si="669"/>
        <v>13144290155</v>
      </c>
      <c r="I6575" t="str">
        <f t="shared" si="669"/>
        <v>13144290155</v>
      </c>
      <c r="K6575" t="str">
        <f>""</f>
        <v/>
      </c>
      <c r="M6575" t="s">
        <v>68</v>
      </c>
      <c r="N6575" t="str">
        <f t="shared" si="666"/>
        <v>FOR</v>
      </c>
      <c r="O6575" t="s">
        <v>69</v>
      </c>
      <c r="P6575" s="3" t="s">
        <v>75</v>
      </c>
      <c r="Q6575">
        <v>2015</v>
      </c>
      <c r="R6575" s="2">
        <v>42164</v>
      </c>
      <c r="S6575" s="2">
        <v>42165</v>
      </c>
      <c r="T6575" s="2">
        <v>42164</v>
      </c>
      <c r="U6575" s="2">
        <v>42224</v>
      </c>
      <c r="V6575" t="s">
        <v>71</v>
      </c>
      <c r="W6575" t="str">
        <f>"          2015306142"</f>
        <v xml:space="preserve">          2015306142</v>
      </c>
      <c r="X6575" s="1">
        <v>13468.8</v>
      </c>
      <c r="Y6575">
        <v>0</v>
      </c>
      <c r="Z6575"/>
      <c r="AB6575"/>
      <c r="AC6575" s="1">
        <v>11040</v>
      </c>
      <c r="AD6575">
        <v>296</v>
      </c>
      <c r="AE6575" s="1">
        <v>3267840</v>
      </c>
      <c r="AF6575">
        <v>0</v>
      </c>
      <c r="AJ6575">
        <v>0</v>
      </c>
      <c r="AK6575">
        <v>0</v>
      </c>
      <c r="AL6575">
        <v>0</v>
      </c>
      <c r="AM6575">
        <v>0</v>
      </c>
      <c r="AN6575">
        <v>0</v>
      </c>
      <c r="AO6575">
        <v>0</v>
      </c>
      <c r="AP6575" s="2">
        <v>42746</v>
      </c>
      <c r="AQ6575" t="s">
        <v>72</v>
      </c>
      <c r="AR6575" t="s">
        <v>72</v>
      </c>
      <c r="AS6575">
        <v>1471</v>
      </c>
      <c r="AT6575" s="4">
        <v>42520</v>
      </c>
      <c r="AU6575" t="s">
        <v>73</v>
      </c>
      <c r="AV6575">
        <v>1471</v>
      </c>
      <c r="AW6575" s="4">
        <v>42520</v>
      </c>
      <c r="BD6575">
        <v>0</v>
      </c>
      <c r="BN6575" t="s">
        <v>74</v>
      </c>
    </row>
    <row r="6576" spans="1:66" hidden="1">
      <c r="A6576">
        <v>104084</v>
      </c>
      <c r="B6576" s="3" t="s">
        <v>608</v>
      </c>
      <c r="C6576" s="1">
        <v>43300101</v>
      </c>
      <c r="D6576" t="s">
        <v>67</v>
      </c>
      <c r="H6576" t="str">
        <f t="shared" si="669"/>
        <v>13144290155</v>
      </c>
      <c r="I6576" t="str">
        <f t="shared" si="669"/>
        <v>13144290155</v>
      </c>
      <c r="K6576" t="str">
        <f>""</f>
        <v/>
      </c>
      <c r="M6576" t="s">
        <v>68</v>
      </c>
      <c r="N6576" t="str">
        <f t="shared" si="666"/>
        <v>FOR</v>
      </c>
      <c r="O6576" t="s">
        <v>69</v>
      </c>
      <c r="P6576" s="3" t="s">
        <v>75</v>
      </c>
      <c r="Q6576">
        <v>2015</v>
      </c>
      <c r="R6576" s="2">
        <v>42166</v>
      </c>
      <c r="S6576" s="2">
        <v>42167</v>
      </c>
      <c r="T6576" s="2">
        <v>42167</v>
      </c>
      <c r="U6576" s="2">
        <v>42227</v>
      </c>
      <c r="V6576" t="s">
        <v>71</v>
      </c>
      <c r="W6576" t="str">
        <f>"          2015306246"</f>
        <v xml:space="preserve">          2015306246</v>
      </c>
      <c r="X6576" s="1">
        <v>7686</v>
      </c>
      <c r="Y6576">
        <v>0</v>
      </c>
      <c r="Z6576"/>
      <c r="AB6576"/>
      <c r="AC6576" s="1">
        <v>6300</v>
      </c>
      <c r="AD6576">
        <v>293</v>
      </c>
      <c r="AE6576" s="1">
        <v>1845900</v>
      </c>
      <c r="AF6576">
        <v>0</v>
      </c>
      <c r="AJ6576">
        <v>0</v>
      </c>
      <c r="AK6576">
        <v>0</v>
      </c>
      <c r="AL6576">
        <v>0</v>
      </c>
      <c r="AM6576">
        <v>0</v>
      </c>
      <c r="AN6576">
        <v>0</v>
      </c>
      <c r="AO6576">
        <v>0</v>
      </c>
      <c r="AP6576" s="2">
        <v>42746</v>
      </c>
      <c r="AQ6576" t="s">
        <v>72</v>
      </c>
      <c r="AR6576" t="s">
        <v>72</v>
      </c>
      <c r="AS6576">
        <v>1471</v>
      </c>
      <c r="AT6576" s="4">
        <v>42520</v>
      </c>
      <c r="AU6576" t="s">
        <v>73</v>
      </c>
      <c r="AV6576">
        <v>1471</v>
      </c>
      <c r="AW6576" s="4">
        <v>42520</v>
      </c>
      <c r="BD6576">
        <v>0</v>
      </c>
      <c r="BN6576" t="s">
        <v>74</v>
      </c>
    </row>
    <row r="6577" spans="1:66" hidden="1">
      <c r="A6577">
        <v>104084</v>
      </c>
      <c r="B6577" s="3" t="s">
        <v>608</v>
      </c>
      <c r="C6577" s="1">
        <v>43300101</v>
      </c>
      <c r="D6577" t="s">
        <v>67</v>
      </c>
      <c r="H6577" t="str">
        <f t="shared" si="669"/>
        <v>13144290155</v>
      </c>
      <c r="I6577" t="str">
        <f t="shared" si="669"/>
        <v>13144290155</v>
      </c>
      <c r="K6577" t="str">
        <f>""</f>
        <v/>
      </c>
      <c r="M6577" t="s">
        <v>68</v>
      </c>
      <c r="N6577" t="str">
        <f t="shared" si="666"/>
        <v>FOR</v>
      </c>
      <c r="O6577" t="s">
        <v>69</v>
      </c>
      <c r="P6577" s="3" t="s">
        <v>75</v>
      </c>
      <c r="Q6577">
        <v>2015</v>
      </c>
      <c r="R6577" s="2">
        <v>42174</v>
      </c>
      <c r="S6577" s="2">
        <v>42178</v>
      </c>
      <c r="T6577" s="2">
        <v>42175</v>
      </c>
      <c r="U6577" s="2">
        <v>42235</v>
      </c>
      <c r="V6577" t="s">
        <v>71</v>
      </c>
      <c r="W6577" t="str">
        <f>"          2015306522"</f>
        <v xml:space="preserve">          2015306522</v>
      </c>
      <c r="X6577">
        <v>946.72</v>
      </c>
      <c r="Y6577">
        <v>0</v>
      </c>
      <c r="Z6577"/>
      <c r="AB6577"/>
      <c r="AC6577">
        <v>776</v>
      </c>
      <c r="AD6577">
        <v>285</v>
      </c>
      <c r="AE6577" s="1">
        <v>221160</v>
      </c>
      <c r="AF6577">
        <v>0</v>
      </c>
      <c r="AJ6577">
        <v>0</v>
      </c>
      <c r="AK6577">
        <v>0</v>
      </c>
      <c r="AL6577">
        <v>0</v>
      </c>
      <c r="AM6577">
        <v>0</v>
      </c>
      <c r="AN6577">
        <v>0</v>
      </c>
      <c r="AO6577">
        <v>0</v>
      </c>
      <c r="AP6577" s="2">
        <v>42746</v>
      </c>
      <c r="AQ6577" t="s">
        <v>72</v>
      </c>
      <c r="AR6577" t="s">
        <v>72</v>
      </c>
      <c r="AS6577">
        <v>1471</v>
      </c>
      <c r="AT6577" s="4">
        <v>42520</v>
      </c>
      <c r="AU6577" t="s">
        <v>73</v>
      </c>
      <c r="AV6577">
        <v>1471</v>
      </c>
      <c r="AW6577" s="4">
        <v>42520</v>
      </c>
      <c r="BD6577">
        <v>0</v>
      </c>
      <c r="BN6577" t="s">
        <v>74</v>
      </c>
    </row>
    <row r="6578" spans="1:66" hidden="1">
      <c r="A6578">
        <v>104084</v>
      </c>
      <c r="B6578" s="3" t="s">
        <v>608</v>
      </c>
      <c r="C6578" s="1">
        <v>43300101</v>
      </c>
      <c r="D6578" t="s">
        <v>67</v>
      </c>
      <c r="H6578" t="str">
        <f t="shared" si="669"/>
        <v>13144290155</v>
      </c>
      <c r="I6578" t="str">
        <f t="shared" si="669"/>
        <v>13144290155</v>
      </c>
      <c r="K6578" t="str">
        <f>""</f>
        <v/>
      </c>
      <c r="M6578" t="s">
        <v>68</v>
      </c>
      <c r="N6578" t="str">
        <f t="shared" si="666"/>
        <v>FOR</v>
      </c>
      <c r="O6578" t="s">
        <v>69</v>
      </c>
      <c r="P6578" s="3" t="s">
        <v>75</v>
      </c>
      <c r="Q6578">
        <v>2015</v>
      </c>
      <c r="R6578" s="2">
        <v>42188</v>
      </c>
      <c r="S6578" s="2">
        <v>42191</v>
      </c>
      <c r="T6578" s="2">
        <v>42188</v>
      </c>
      <c r="U6578" s="2">
        <v>42248</v>
      </c>
      <c r="V6578" t="s">
        <v>71</v>
      </c>
      <c r="W6578" t="str">
        <f>"          2015307007"</f>
        <v xml:space="preserve">          2015307007</v>
      </c>
      <c r="X6578">
        <v>353.8</v>
      </c>
      <c r="Y6578">
        <v>0</v>
      </c>
      <c r="Z6578"/>
      <c r="AB6578"/>
      <c r="AC6578">
        <v>290</v>
      </c>
      <c r="AD6578">
        <v>329</v>
      </c>
      <c r="AE6578" s="1">
        <v>95410</v>
      </c>
      <c r="AF6578">
        <v>0</v>
      </c>
      <c r="AJ6578">
        <v>0</v>
      </c>
      <c r="AK6578">
        <v>0</v>
      </c>
      <c r="AL6578">
        <v>0</v>
      </c>
      <c r="AM6578">
        <v>0</v>
      </c>
      <c r="AN6578">
        <v>0</v>
      </c>
      <c r="AO6578">
        <v>0</v>
      </c>
      <c r="AP6578" s="2">
        <v>42746</v>
      </c>
      <c r="AQ6578" t="s">
        <v>72</v>
      </c>
      <c r="AR6578" t="s">
        <v>72</v>
      </c>
      <c r="AS6578">
        <v>1937</v>
      </c>
      <c r="AT6578" s="4">
        <v>42577</v>
      </c>
      <c r="AU6578" t="s">
        <v>73</v>
      </c>
      <c r="AV6578">
        <v>1937</v>
      </c>
      <c r="AW6578" s="4">
        <v>42577</v>
      </c>
      <c r="BD6578">
        <v>0</v>
      </c>
      <c r="BN6578" t="s">
        <v>74</v>
      </c>
    </row>
    <row r="6579" spans="1:66" hidden="1">
      <c r="A6579">
        <v>104084</v>
      </c>
      <c r="B6579" s="3" t="s">
        <v>608</v>
      </c>
      <c r="C6579" s="1">
        <v>43300101</v>
      </c>
      <c r="D6579" t="s">
        <v>67</v>
      </c>
      <c r="H6579" t="str">
        <f t="shared" si="669"/>
        <v>13144290155</v>
      </c>
      <c r="I6579" t="str">
        <f t="shared" si="669"/>
        <v>13144290155</v>
      </c>
      <c r="K6579" t="str">
        <f>""</f>
        <v/>
      </c>
      <c r="M6579" t="s">
        <v>68</v>
      </c>
      <c r="N6579" t="str">
        <f t="shared" si="666"/>
        <v>FOR</v>
      </c>
      <c r="O6579" t="s">
        <v>69</v>
      </c>
      <c r="P6579" s="3" t="s">
        <v>75</v>
      </c>
      <c r="Q6579">
        <v>2015</v>
      </c>
      <c r="R6579" s="2">
        <v>42200</v>
      </c>
      <c r="S6579" s="2">
        <v>42202</v>
      </c>
      <c r="T6579" s="2">
        <v>42201</v>
      </c>
      <c r="U6579" s="2">
        <v>42261</v>
      </c>
      <c r="V6579" t="s">
        <v>71</v>
      </c>
      <c r="W6579" t="str">
        <f>"          2015307416"</f>
        <v xml:space="preserve">          2015307416</v>
      </c>
      <c r="X6579" s="1">
        <v>15410.95</v>
      </c>
      <c r="Y6579">
        <v>0</v>
      </c>
      <c r="Z6579"/>
      <c r="AB6579"/>
      <c r="AC6579" s="1">
        <v>12631.93</v>
      </c>
      <c r="AD6579">
        <v>316</v>
      </c>
      <c r="AE6579" s="1">
        <v>3991689.88</v>
      </c>
      <c r="AF6579">
        <v>0</v>
      </c>
      <c r="AJ6579">
        <v>0</v>
      </c>
      <c r="AK6579">
        <v>0</v>
      </c>
      <c r="AL6579">
        <v>0</v>
      </c>
      <c r="AM6579">
        <v>0</v>
      </c>
      <c r="AN6579">
        <v>0</v>
      </c>
      <c r="AO6579">
        <v>0</v>
      </c>
      <c r="AP6579" s="2">
        <v>42746</v>
      </c>
      <c r="AQ6579" t="s">
        <v>72</v>
      </c>
      <c r="AR6579" t="s">
        <v>72</v>
      </c>
      <c r="AS6579">
        <v>1937</v>
      </c>
      <c r="AT6579" s="4">
        <v>42577</v>
      </c>
      <c r="AU6579" t="s">
        <v>73</v>
      </c>
      <c r="AV6579">
        <v>1937</v>
      </c>
      <c r="AW6579" s="4">
        <v>42577</v>
      </c>
      <c r="BD6579">
        <v>0</v>
      </c>
      <c r="BN6579" t="s">
        <v>74</v>
      </c>
    </row>
    <row r="6580" spans="1:66" hidden="1">
      <c r="A6580">
        <v>104084</v>
      </c>
      <c r="B6580" s="3" t="s">
        <v>608</v>
      </c>
      <c r="C6580" s="1">
        <v>43300101</v>
      </c>
      <c r="D6580" t="s">
        <v>67</v>
      </c>
      <c r="H6580" t="str">
        <f t="shared" si="669"/>
        <v>13144290155</v>
      </c>
      <c r="I6580" t="str">
        <f t="shared" si="669"/>
        <v>13144290155</v>
      </c>
      <c r="K6580" t="str">
        <f>""</f>
        <v/>
      </c>
      <c r="M6580" t="s">
        <v>68</v>
      </c>
      <c r="N6580" t="str">
        <f t="shared" si="666"/>
        <v>FOR</v>
      </c>
      <c r="O6580" t="s">
        <v>69</v>
      </c>
      <c r="P6580" s="3" t="s">
        <v>75</v>
      </c>
      <c r="Q6580">
        <v>2015</v>
      </c>
      <c r="R6580" s="2">
        <v>42208</v>
      </c>
      <c r="S6580" s="2">
        <v>42209</v>
      </c>
      <c r="T6580" s="2">
        <v>42208</v>
      </c>
      <c r="U6580" s="2">
        <v>42268</v>
      </c>
      <c r="V6580" t="s">
        <v>71</v>
      </c>
      <c r="W6580" t="str">
        <f>"          2015307654"</f>
        <v xml:space="preserve">          2015307654</v>
      </c>
      <c r="X6580" s="1">
        <v>12810</v>
      </c>
      <c r="Y6580">
        <v>0</v>
      </c>
      <c r="Z6580"/>
      <c r="AB6580"/>
      <c r="AC6580" s="1">
        <v>10500</v>
      </c>
      <c r="AD6580">
        <v>309</v>
      </c>
      <c r="AE6580" s="1">
        <v>3244500</v>
      </c>
      <c r="AF6580">
        <v>0</v>
      </c>
      <c r="AJ6580">
        <v>0</v>
      </c>
      <c r="AK6580">
        <v>0</v>
      </c>
      <c r="AL6580">
        <v>0</v>
      </c>
      <c r="AM6580">
        <v>0</v>
      </c>
      <c r="AN6580">
        <v>0</v>
      </c>
      <c r="AO6580">
        <v>0</v>
      </c>
      <c r="AP6580" s="2">
        <v>42746</v>
      </c>
      <c r="AQ6580" t="s">
        <v>72</v>
      </c>
      <c r="AR6580" t="s">
        <v>72</v>
      </c>
      <c r="AS6580">
        <v>1937</v>
      </c>
      <c r="AT6580" s="4">
        <v>42577</v>
      </c>
      <c r="AU6580" t="s">
        <v>73</v>
      </c>
      <c r="AV6580">
        <v>1937</v>
      </c>
      <c r="AW6580" s="4">
        <v>42577</v>
      </c>
      <c r="BD6580">
        <v>0</v>
      </c>
      <c r="BN6580" t="s">
        <v>74</v>
      </c>
    </row>
    <row r="6581" spans="1:66" hidden="1">
      <c r="A6581">
        <v>104084</v>
      </c>
      <c r="B6581" s="3" t="s">
        <v>608</v>
      </c>
      <c r="C6581" s="1">
        <v>43300101</v>
      </c>
      <c r="D6581" t="s">
        <v>67</v>
      </c>
      <c r="H6581" t="str">
        <f t="shared" ref="H6581:I6594" si="670">"13144290155"</f>
        <v>13144290155</v>
      </c>
      <c r="I6581" t="str">
        <f t="shared" si="670"/>
        <v>13144290155</v>
      </c>
      <c r="K6581" t="str">
        <f>""</f>
        <v/>
      </c>
      <c r="M6581" t="s">
        <v>68</v>
      </c>
      <c r="N6581" t="str">
        <f t="shared" si="666"/>
        <v>FOR</v>
      </c>
      <c r="O6581" t="s">
        <v>69</v>
      </c>
      <c r="P6581" s="3" t="s">
        <v>75</v>
      </c>
      <c r="Q6581">
        <v>2015</v>
      </c>
      <c r="R6581" s="2">
        <v>42235</v>
      </c>
      <c r="S6581" s="2">
        <v>42236</v>
      </c>
      <c r="T6581" s="2">
        <v>42235</v>
      </c>
      <c r="U6581" s="2">
        <v>42295</v>
      </c>
      <c r="V6581" t="s">
        <v>71</v>
      </c>
      <c r="W6581" t="str">
        <f>"          2015308184"</f>
        <v xml:space="preserve">          2015308184</v>
      </c>
      <c r="X6581">
        <v>946.72</v>
      </c>
      <c r="Y6581">
        <v>0</v>
      </c>
      <c r="Z6581"/>
      <c r="AB6581"/>
      <c r="AC6581">
        <v>776</v>
      </c>
      <c r="AD6581">
        <v>282</v>
      </c>
      <c r="AE6581" s="1">
        <v>218832</v>
      </c>
      <c r="AF6581">
        <v>0</v>
      </c>
      <c r="AJ6581">
        <v>0</v>
      </c>
      <c r="AK6581">
        <v>0</v>
      </c>
      <c r="AL6581">
        <v>0</v>
      </c>
      <c r="AM6581">
        <v>0</v>
      </c>
      <c r="AN6581">
        <v>0</v>
      </c>
      <c r="AO6581">
        <v>0</v>
      </c>
      <c r="AP6581" s="2">
        <v>42746</v>
      </c>
      <c r="AQ6581" t="s">
        <v>72</v>
      </c>
      <c r="AR6581" t="s">
        <v>72</v>
      </c>
      <c r="AS6581">
        <v>1937</v>
      </c>
      <c r="AT6581" s="4">
        <v>42577</v>
      </c>
      <c r="AU6581" t="s">
        <v>73</v>
      </c>
      <c r="AV6581">
        <v>1937</v>
      </c>
      <c r="AW6581" s="4">
        <v>42577</v>
      </c>
      <c r="BD6581">
        <v>0</v>
      </c>
      <c r="BN6581" t="s">
        <v>74</v>
      </c>
    </row>
    <row r="6582" spans="1:66" hidden="1">
      <c r="A6582">
        <v>104084</v>
      </c>
      <c r="B6582" s="3" t="s">
        <v>608</v>
      </c>
      <c r="C6582" s="1">
        <v>43300101</v>
      </c>
      <c r="D6582" t="s">
        <v>67</v>
      </c>
      <c r="H6582" t="str">
        <f t="shared" si="670"/>
        <v>13144290155</v>
      </c>
      <c r="I6582" t="str">
        <f t="shared" si="670"/>
        <v>13144290155</v>
      </c>
      <c r="K6582" t="str">
        <f>""</f>
        <v/>
      </c>
      <c r="M6582" t="s">
        <v>68</v>
      </c>
      <c r="N6582" t="str">
        <f t="shared" si="666"/>
        <v>FOR</v>
      </c>
      <c r="O6582" t="s">
        <v>69</v>
      </c>
      <c r="P6582" s="3" t="s">
        <v>75</v>
      </c>
      <c r="Q6582">
        <v>2015</v>
      </c>
      <c r="R6582" s="2">
        <v>42244</v>
      </c>
      <c r="S6582" s="2">
        <v>42245</v>
      </c>
      <c r="T6582" s="2">
        <v>42244</v>
      </c>
      <c r="U6582" s="2">
        <v>42304</v>
      </c>
      <c r="V6582" t="s">
        <v>71</v>
      </c>
      <c r="W6582" t="str">
        <f>"          2015308389"</f>
        <v xml:space="preserve">          2015308389</v>
      </c>
      <c r="X6582">
        <v>707.6</v>
      </c>
      <c r="Y6582">
        <v>0</v>
      </c>
      <c r="Z6582"/>
      <c r="AB6582"/>
      <c r="AC6582">
        <v>580</v>
      </c>
      <c r="AD6582">
        <v>273</v>
      </c>
      <c r="AE6582" s="1">
        <v>158340</v>
      </c>
      <c r="AF6582">
        <v>0</v>
      </c>
      <c r="AJ6582">
        <v>0</v>
      </c>
      <c r="AK6582">
        <v>0</v>
      </c>
      <c r="AL6582">
        <v>0</v>
      </c>
      <c r="AM6582">
        <v>0</v>
      </c>
      <c r="AN6582">
        <v>0</v>
      </c>
      <c r="AO6582">
        <v>0</v>
      </c>
      <c r="AP6582" s="2">
        <v>42746</v>
      </c>
      <c r="AQ6582" t="s">
        <v>72</v>
      </c>
      <c r="AR6582" t="s">
        <v>72</v>
      </c>
      <c r="AS6582">
        <v>1937</v>
      </c>
      <c r="AT6582" s="4">
        <v>42577</v>
      </c>
      <c r="AU6582" t="s">
        <v>73</v>
      </c>
      <c r="AV6582">
        <v>1937</v>
      </c>
      <c r="AW6582" s="4">
        <v>42577</v>
      </c>
      <c r="BD6582">
        <v>0</v>
      </c>
      <c r="BN6582" t="s">
        <v>74</v>
      </c>
    </row>
    <row r="6583" spans="1:66" hidden="1">
      <c r="A6583">
        <v>104084</v>
      </c>
      <c r="B6583" s="3" t="s">
        <v>608</v>
      </c>
      <c r="C6583" s="1">
        <v>43300101</v>
      </c>
      <c r="D6583" t="s">
        <v>67</v>
      </c>
      <c r="H6583" t="str">
        <f t="shared" si="670"/>
        <v>13144290155</v>
      </c>
      <c r="I6583" t="str">
        <f t="shared" si="670"/>
        <v>13144290155</v>
      </c>
      <c r="K6583" t="str">
        <f>""</f>
        <v/>
      </c>
      <c r="M6583" t="s">
        <v>68</v>
      </c>
      <c r="N6583" t="str">
        <f t="shared" si="666"/>
        <v>FOR</v>
      </c>
      <c r="O6583" t="s">
        <v>69</v>
      </c>
      <c r="P6583" s="3" t="s">
        <v>75</v>
      </c>
      <c r="Q6583">
        <v>2015</v>
      </c>
      <c r="R6583" s="2">
        <v>42263</v>
      </c>
      <c r="S6583" s="2">
        <v>42265</v>
      </c>
      <c r="T6583" s="2">
        <v>42264</v>
      </c>
      <c r="U6583" s="2">
        <v>42324</v>
      </c>
      <c r="V6583" t="s">
        <v>71</v>
      </c>
      <c r="W6583" t="str">
        <f>"          2015308931"</f>
        <v xml:space="preserve">          2015308931</v>
      </c>
      <c r="X6583">
        <v>732</v>
      </c>
      <c r="Y6583">
        <v>0</v>
      </c>
      <c r="Z6583"/>
      <c r="AB6583"/>
      <c r="AC6583">
        <v>600</v>
      </c>
      <c r="AD6583">
        <v>296</v>
      </c>
      <c r="AE6583" s="1">
        <v>177600</v>
      </c>
      <c r="AF6583">
        <v>0</v>
      </c>
      <c r="AJ6583">
        <v>0</v>
      </c>
      <c r="AK6583">
        <v>0</v>
      </c>
      <c r="AL6583">
        <v>0</v>
      </c>
      <c r="AM6583">
        <v>0</v>
      </c>
      <c r="AN6583">
        <v>0</v>
      </c>
      <c r="AO6583">
        <v>0</v>
      </c>
      <c r="AP6583" s="2">
        <v>42746</v>
      </c>
      <c r="AQ6583" t="s">
        <v>72</v>
      </c>
      <c r="AR6583" t="s">
        <v>72</v>
      </c>
      <c r="AS6583">
        <v>2330</v>
      </c>
      <c r="AT6583" s="4">
        <v>42620</v>
      </c>
      <c r="AU6583" t="s">
        <v>73</v>
      </c>
      <c r="AV6583">
        <v>2330</v>
      </c>
      <c r="AW6583" s="4">
        <v>42620</v>
      </c>
      <c r="BD6583">
        <v>0</v>
      </c>
      <c r="BN6583" t="s">
        <v>74</v>
      </c>
    </row>
    <row r="6584" spans="1:66">
      <c r="A6584">
        <v>104084</v>
      </c>
      <c r="B6584" s="3" t="s">
        <v>608</v>
      </c>
      <c r="C6584" s="1">
        <v>43300101</v>
      </c>
      <c r="D6584" t="s">
        <v>67</v>
      </c>
      <c r="H6584" t="str">
        <f t="shared" si="670"/>
        <v>13144290155</v>
      </c>
      <c r="I6584" t="str">
        <f t="shared" si="670"/>
        <v>13144290155</v>
      </c>
      <c r="K6584" t="str">
        <f>""</f>
        <v/>
      </c>
      <c r="M6584" t="s">
        <v>68</v>
      </c>
      <c r="N6584" t="str">
        <f t="shared" si="666"/>
        <v>FOR</v>
      </c>
      <c r="O6584" t="s">
        <v>69</v>
      </c>
      <c r="P6584" s="3" t="s">
        <v>75</v>
      </c>
      <c r="Q6584">
        <v>2015</v>
      </c>
      <c r="R6584" s="2">
        <v>42291</v>
      </c>
      <c r="S6584" s="2">
        <v>42292</v>
      </c>
      <c r="T6584" s="2">
        <v>42291</v>
      </c>
      <c r="U6584" s="2">
        <v>42351</v>
      </c>
      <c r="V6584" t="s">
        <v>71</v>
      </c>
      <c r="W6584" t="str">
        <f>"          2015309736"</f>
        <v xml:space="preserve">          2015309736</v>
      </c>
      <c r="X6584" s="1">
        <v>1098</v>
      </c>
      <c r="Y6584">
        <v>0</v>
      </c>
      <c r="Z6584" s="3">
        <v>900</v>
      </c>
      <c r="AA6584">
        <v>296</v>
      </c>
      <c r="AB6584" s="5">
        <v>266400</v>
      </c>
      <c r="AC6584">
        <v>900</v>
      </c>
      <c r="AD6584">
        <v>296</v>
      </c>
      <c r="AE6584" s="1">
        <v>266400</v>
      </c>
      <c r="AF6584">
        <v>0</v>
      </c>
      <c r="AJ6584">
        <v>0</v>
      </c>
      <c r="AK6584">
        <v>0</v>
      </c>
      <c r="AL6584">
        <v>0</v>
      </c>
      <c r="AM6584">
        <v>0</v>
      </c>
      <c r="AN6584">
        <v>0</v>
      </c>
      <c r="AO6584">
        <v>0</v>
      </c>
      <c r="AP6584" s="2">
        <v>42746</v>
      </c>
      <c r="AQ6584" t="s">
        <v>72</v>
      </c>
      <c r="AR6584" t="s">
        <v>72</v>
      </c>
      <c r="AS6584">
        <v>2629</v>
      </c>
      <c r="AT6584" s="4">
        <v>42647</v>
      </c>
      <c r="AU6584" t="s">
        <v>73</v>
      </c>
      <c r="AV6584">
        <v>2629</v>
      </c>
      <c r="AW6584" s="4">
        <v>42647</v>
      </c>
      <c r="BD6584">
        <v>0</v>
      </c>
      <c r="BN6584" t="s">
        <v>74</v>
      </c>
    </row>
    <row r="6585" spans="1:66">
      <c r="A6585">
        <v>104084</v>
      </c>
      <c r="B6585" s="3" t="s">
        <v>608</v>
      </c>
      <c r="C6585" s="1">
        <v>43300101</v>
      </c>
      <c r="D6585" t="s">
        <v>67</v>
      </c>
      <c r="H6585" t="str">
        <f t="shared" si="670"/>
        <v>13144290155</v>
      </c>
      <c r="I6585" t="str">
        <f t="shared" si="670"/>
        <v>13144290155</v>
      </c>
      <c r="K6585" t="str">
        <f>""</f>
        <v/>
      </c>
      <c r="M6585" t="s">
        <v>68</v>
      </c>
      <c r="N6585" t="str">
        <f t="shared" si="666"/>
        <v>FOR</v>
      </c>
      <c r="O6585" t="s">
        <v>69</v>
      </c>
      <c r="P6585" s="3" t="s">
        <v>75</v>
      </c>
      <c r="Q6585">
        <v>2015</v>
      </c>
      <c r="R6585" s="2">
        <v>42292</v>
      </c>
      <c r="S6585" s="2">
        <v>42293</v>
      </c>
      <c r="T6585" s="2">
        <v>42292</v>
      </c>
      <c r="U6585" s="2">
        <v>42352</v>
      </c>
      <c r="V6585" t="s">
        <v>71</v>
      </c>
      <c r="W6585" t="str">
        <f>"          2015309802"</f>
        <v xml:space="preserve">          2015309802</v>
      </c>
      <c r="X6585" s="1">
        <v>12810</v>
      </c>
      <c r="Y6585">
        <v>0</v>
      </c>
      <c r="Z6585" s="5">
        <v>10500</v>
      </c>
      <c r="AA6585">
        <v>295</v>
      </c>
      <c r="AB6585" s="5">
        <v>3097500</v>
      </c>
      <c r="AC6585" s="1">
        <v>10500</v>
      </c>
      <c r="AD6585">
        <v>295</v>
      </c>
      <c r="AE6585" s="1">
        <v>3097500</v>
      </c>
      <c r="AF6585">
        <v>0</v>
      </c>
      <c r="AJ6585">
        <v>0</v>
      </c>
      <c r="AK6585">
        <v>0</v>
      </c>
      <c r="AL6585">
        <v>0</v>
      </c>
      <c r="AM6585">
        <v>0</v>
      </c>
      <c r="AN6585">
        <v>0</v>
      </c>
      <c r="AO6585">
        <v>0</v>
      </c>
      <c r="AP6585" s="2">
        <v>42746</v>
      </c>
      <c r="AQ6585" t="s">
        <v>72</v>
      </c>
      <c r="AR6585" t="s">
        <v>72</v>
      </c>
      <c r="AS6585">
        <v>2629</v>
      </c>
      <c r="AT6585" s="4">
        <v>42647</v>
      </c>
      <c r="AU6585" t="s">
        <v>73</v>
      </c>
      <c r="AV6585">
        <v>2629</v>
      </c>
      <c r="AW6585" s="4">
        <v>42647</v>
      </c>
      <c r="BD6585">
        <v>0</v>
      </c>
      <c r="BN6585" t="s">
        <v>74</v>
      </c>
    </row>
    <row r="6586" spans="1:66">
      <c r="A6586">
        <v>104084</v>
      </c>
      <c r="B6586" s="3" t="s">
        <v>608</v>
      </c>
      <c r="C6586" s="1">
        <v>43300101</v>
      </c>
      <c r="D6586" t="s">
        <v>67</v>
      </c>
      <c r="H6586" t="str">
        <f t="shared" si="670"/>
        <v>13144290155</v>
      </c>
      <c r="I6586" t="str">
        <f t="shared" si="670"/>
        <v>13144290155</v>
      </c>
      <c r="K6586" t="str">
        <f>""</f>
        <v/>
      </c>
      <c r="M6586" t="s">
        <v>68</v>
      </c>
      <c r="N6586" t="str">
        <f t="shared" si="666"/>
        <v>FOR</v>
      </c>
      <c r="O6586" t="s">
        <v>69</v>
      </c>
      <c r="P6586" s="3" t="s">
        <v>75</v>
      </c>
      <c r="Q6586">
        <v>2015</v>
      </c>
      <c r="R6586" s="2">
        <v>42314</v>
      </c>
      <c r="S6586" s="2">
        <v>42318</v>
      </c>
      <c r="T6586" s="2">
        <v>42314</v>
      </c>
      <c r="U6586" s="2">
        <v>42374</v>
      </c>
      <c r="V6586" t="s">
        <v>71</v>
      </c>
      <c r="W6586" t="str">
        <f>"          2015310437"</f>
        <v xml:space="preserve">          2015310437</v>
      </c>
      <c r="X6586" s="1">
        <v>18917.38</v>
      </c>
      <c r="Y6586">
        <v>0</v>
      </c>
      <c r="Z6586" s="5">
        <v>15506.05</v>
      </c>
      <c r="AA6586">
        <v>304</v>
      </c>
      <c r="AB6586" s="5">
        <v>4713839.2</v>
      </c>
      <c r="AC6586" s="1">
        <v>15506.05</v>
      </c>
      <c r="AD6586">
        <v>304</v>
      </c>
      <c r="AE6586" s="1">
        <v>4713839.2</v>
      </c>
      <c r="AF6586">
        <v>0</v>
      </c>
      <c r="AJ6586">
        <v>0</v>
      </c>
      <c r="AK6586">
        <v>0</v>
      </c>
      <c r="AL6586">
        <v>0</v>
      </c>
      <c r="AM6586">
        <v>0</v>
      </c>
      <c r="AN6586">
        <v>0</v>
      </c>
      <c r="AO6586">
        <v>0</v>
      </c>
      <c r="AP6586" s="2">
        <v>42746</v>
      </c>
      <c r="AQ6586" t="s">
        <v>72</v>
      </c>
      <c r="AR6586" t="s">
        <v>72</v>
      </c>
      <c r="AS6586">
        <v>2930</v>
      </c>
      <c r="AT6586" s="4">
        <v>42678</v>
      </c>
      <c r="AU6586" t="s">
        <v>73</v>
      </c>
      <c r="AV6586">
        <v>2930</v>
      </c>
      <c r="AW6586" s="4">
        <v>42678</v>
      </c>
      <c r="BD6586">
        <v>0</v>
      </c>
      <c r="BN6586" t="s">
        <v>74</v>
      </c>
    </row>
    <row r="6587" spans="1:66">
      <c r="A6587">
        <v>104084</v>
      </c>
      <c r="B6587" s="3" t="s">
        <v>608</v>
      </c>
      <c r="C6587" s="1">
        <v>43300101</v>
      </c>
      <c r="D6587" t="s">
        <v>67</v>
      </c>
      <c r="H6587" t="str">
        <f t="shared" si="670"/>
        <v>13144290155</v>
      </c>
      <c r="I6587" t="str">
        <f t="shared" si="670"/>
        <v>13144290155</v>
      </c>
      <c r="K6587" t="str">
        <f>""</f>
        <v/>
      </c>
      <c r="M6587" t="s">
        <v>68</v>
      </c>
      <c r="N6587" t="str">
        <f t="shared" si="666"/>
        <v>FOR</v>
      </c>
      <c r="O6587" t="s">
        <v>69</v>
      </c>
      <c r="P6587" s="3" t="s">
        <v>75</v>
      </c>
      <c r="Q6587">
        <v>2015</v>
      </c>
      <c r="R6587" s="2">
        <v>42317</v>
      </c>
      <c r="S6587" s="2">
        <v>42318</v>
      </c>
      <c r="T6587" s="2">
        <v>42317</v>
      </c>
      <c r="U6587" s="2">
        <v>42377</v>
      </c>
      <c r="V6587" t="s">
        <v>71</v>
      </c>
      <c r="W6587" t="str">
        <f>"          2015310483"</f>
        <v xml:space="preserve">          2015310483</v>
      </c>
      <c r="X6587">
        <v>473.36</v>
      </c>
      <c r="Y6587">
        <v>0</v>
      </c>
      <c r="Z6587" s="3">
        <v>388</v>
      </c>
      <c r="AA6587">
        <v>301</v>
      </c>
      <c r="AB6587" s="5">
        <v>116788</v>
      </c>
      <c r="AC6587">
        <v>388</v>
      </c>
      <c r="AD6587">
        <v>301</v>
      </c>
      <c r="AE6587" s="1">
        <v>116788</v>
      </c>
      <c r="AF6587">
        <v>0</v>
      </c>
      <c r="AJ6587">
        <v>0</v>
      </c>
      <c r="AK6587">
        <v>0</v>
      </c>
      <c r="AL6587">
        <v>0</v>
      </c>
      <c r="AM6587">
        <v>0</v>
      </c>
      <c r="AN6587">
        <v>0</v>
      </c>
      <c r="AO6587">
        <v>0</v>
      </c>
      <c r="AP6587" s="2">
        <v>42746</v>
      </c>
      <c r="AQ6587" t="s">
        <v>72</v>
      </c>
      <c r="AR6587" t="s">
        <v>72</v>
      </c>
      <c r="AS6587">
        <v>2930</v>
      </c>
      <c r="AT6587" s="4">
        <v>42678</v>
      </c>
      <c r="AU6587" t="s">
        <v>73</v>
      </c>
      <c r="AV6587">
        <v>2930</v>
      </c>
      <c r="AW6587" s="4">
        <v>42678</v>
      </c>
      <c r="BD6587">
        <v>0</v>
      </c>
      <c r="BN6587" t="s">
        <v>74</v>
      </c>
    </row>
    <row r="6588" spans="1:66">
      <c r="A6588">
        <v>104084</v>
      </c>
      <c r="B6588" s="3" t="s">
        <v>608</v>
      </c>
      <c r="C6588" s="1">
        <v>43300101</v>
      </c>
      <c r="D6588" t="s">
        <v>67</v>
      </c>
      <c r="H6588" t="str">
        <f t="shared" si="670"/>
        <v>13144290155</v>
      </c>
      <c r="I6588" t="str">
        <f t="shared" si="670"/>
        <v>13144290155</v>
      </c>
      <c r="K6588" t="str">
        <f>""</f>
        <v/>
      </c>
      <c r="M6588" t="s">
        <v>68</v>
      </c>
      <c r="N6588" t="str">
        <f t="shared" si="666"/>
        <v>FOR</v>
      </c>
      <c r="O6588" t="s">
        <v>69</v>
      </c>
      <c r="P6588" s="3" t="s">
        <v>75</v>
      </c>
      <c r="Q6588">
        <v>2015</v>
      </c>
      <c r="R6588" s="2">
        <v>42318</v>
      </c>
      <c r="S6588" s="2">
        <v>42320</v>
      </c>
      <c r="T6588" s="2">
        <v>42318</v>
      </c>
      <c r="U6588" s="2">
        <v>42378</v>
      </c>
      <c r="V6588" t="s">
        <v>71</v>
      </c>
      <c r="W6588" t="str">
        <f>"          2015310520"</f>
        <v xml:space="preserve">          2015310520</v>
      </c>
      <c r="X6588" s="1">
        <v>3050</v>
      </c>
      <c r="Y6588">
        <v>0</v>
      </c>
      <c r="Z6588" s="5">
        <v>2500</v>
      </c>
      <c r="AA6588">
        <v>311</v>
      </c>
      <c r="AB6588" s="5">
        <v>777500</v>
      </c>
      <c r="AC6588" s="1">
        <v>2500</v>
      </c>
      <c r="AD6588">
        <v>311</v>
      </c>
      <c r="AE6588" s="1">
        <v>777500</v>
      </c>
      <c r="AF6588">
        <v>0</v>
      </c>
      <c r="AJ6588">
        <v>0</v>
      </c>
      <c r="AK6588">
        <v>0</v>
      </c>
      <c r="AL6588">
        <v>0</v>
      </c>
      <c r="AM6588">
        <v>0</v>
      </c>
      <c r="AN6588">
        <v>0</v>
      </c>
      <c r="AO6588">
        <v>0</v>
      </c>
      <c r="AP6588" s="2">
        <v>42746</v>
      </c>
      <c r="AQ6588" t="s">
        <v>72</v>
      </c>
      <c r="AR6588" t="s">
        <v>72</v>
      </c>
      <c r="AS6588">
        <v>3100</v>
      </c>
      <c r="AT6588" s="4">
        <v>42689</v>
      </c>
      <c r="AU6588" t="s">
        <v>73</v>
      </c>
      <c r="AV6588">
        <v>3100</v>
      </c>
      <c r="AW6588" s="4">
        <v>42689</v>
      </c>
      <c r="BD6588">
        <v>0</v>
      </c>
      <c r="BN6588" t="s">
        <v>74</v>
      </c>
    </row>
    <row r="6589" spans="1:66">
      <c r="A6589">
        <v>104084</v>
      </c>
      <c r="B6589" s="3" t="s">
        <v>608</v>
      </c>
      <c r="C6589" s="1">
        <v>43300101</v>
      </c>
      <c r="D6589" t="s">
        <v>67</v>
      </c>
      <c r="H6589" t="str">
        <f t="shared" si="670"/>
        <v>13144290155</v>
      </c>
      <c r="I6589" t="str">
        <f t="shared" si="670"/>
        <v>13144290155</v>
      </c>
      <c r="K6589" t="str">
        <f>""</f>
        <v/>
      </c>
      <c r="M6589" t="s">
        <v>68</v>
      </c>
      <c r="N6589" t="str">
        <f t="shared" si="666"/>
        <v>FOR</v>
      </c>
      <c r="O6589" t="s">
        <v>69</v>
      </c>
      <c r="P6589" s="3" t="s">
        <v>75</v>
      </c>
      <c r="Q6589">
        <v>2015</v>
      </c>
      <c r="R6589" s="2">
        <v>42327</v>
      </c>
      <c r="S6589" s="2">
        <v>42328</v>
      </c>
      <c r="T6589" s="2">
        <v>42327</v>
      </c>
      <c r="U6589" s="2">
        <v>42387</v>
      </c>
      <c r="V6589" t="s">
        <v>71</v>
      </c>
      <c r="W6589" t="str">
        <f>"          2015310891"</f>
        <v xml:space="preserve">          2015310891</v>
      </c>
      <c r="X6589" s="1">
        <v>1037</v>
      </c>
      <c r="Y6589">
        <v>0</v>
      </c>
      <c r="Z6589" s="3">
        <v>850</v>
      </c>
      <c r="AA6589">
        <v>291</v>
      </c>
      <c r="AB6589" s="5">
        <v>247350</v>
      </c>
      <c r="AC6589">
        <v>850</v>
      </c>
      <c r="AD6589">
        <v>291</v>
      </c>
      <c r="AE6589" s="1">
        <v>247350</v>
      </c>
      <c r="AF6589">
        <v>0</v>
      </c>
      <c r="AJ6589">
        <v>0</v>
      </c>
      <c r="AK6589">
        <v>0</v>
      </c>
      <c r="AL6589">
        <v>0</v>
      </c>
      <c r="AM6589">
        <v>0</v>
      </c>
      <c r="AN6589">
        <v>0</v>
      </c>
      <c r="AO6589">
        <v>0</v>
      </c>
      <c r="AP6589" s="2">
        <v>42746</v>
      </c>
      <c r="AQ6589" t="s">
        <v>72</v>
      </c>
      <c r="AR6589" t="s">
        <v>72</v>
      </c>
      <c r="AS6589">
        <v>2930</v>
      </c>
      <c r="AT6589" s="4">
        <v>42678</v>
      </c>
      <c r="AU6589" t="s">
        <v>73</v>
      </c>
      <c r="AV6589">
        <v>2930</v>
      </c>
      <c r="AW6589" s="4">
        <v>42678</v>
      </c>
      <c r="BD6589">
        <v>0</v>
      </c>
      <c r="BN6589" t="s">
        <v>74</v>
      </c>
    </row>
    <row r="6590" spans="1:66">
      <c r="A6590">
        <v>104084</v>
      </c>
      <c r="B6590" s="3" t="s">
        <v>608</v>
      </c>
      <c r="C6590" s="1">
        <v>43300101</v>
      </c>
      <c r="D6590" t="s">
        <v>67</v>
      </c>
      <c r="H6590" t="str">
        <f t="shared" si="670"/>
        <v>13144290155</v>
      </c>
      <c r="I6590" t="str">
        <f t="shared" si="670"/>
        <v>13144290155</v>
      </c>
      <c r="K6590" t="str">
        <f>""</f>
        <v/>
      </c>
      <c r="M6590" t="s">
        <v>68</v>
      </c>
      <c r="N6590" t="str">
        <f t="shared" si="666"/>
        <v>FOR</v>
      </c>
      <c r="O6590" t="s">
        <v>69</v>
      </c>
      <c r="P6590" s="3" t="s">
        <v>75</v>
      </c>
      <c r="Q6590">
        <v>2015</v>
      </c>
      <c r="R6590" s="2">
        <v>42345</v>
      </c>
      <c r="S6590" s="2">
        <v>42347</v>
      </c>
      <c r="T6590" s="2">
        <v>42345</v>
      </c>
      <c r="U6590" s="2">
        <v>42405</v>
      </c>
      <c r="V6590" t="s">
        <v>71</v>
      </c>
      <c r="W6590" t="str">
        <f>"          2015311457"</f>
        <v xml:space="preserve">          2015311457</v>
      </c>
      <c r="X6590" s="1">
        <v>5124</v>
      </c>
      <c r="Y6590">
        <v>0</v>
      </c>
      <c r="Z6590" s="5">
        <v>4200</v>
      </c>
      <c r="AA6590">
        <v>287</v>
      </c>
      <c r="AB6590" s="5">
        <v>1205400</v>
      </c>
      <c r="AC6590" s="1">
        <v>4200</v>
      </c>
      <c r="AD6590">
        <v>287</v>
      </c>
      <c r="AE6590" s="1">
        <v>1205400</v>
      </c>
      <c r="AF6590">
        <v>0</v>
      </c>
      <c r="AJ6590">
        <v>0</v>
      </c>
      <c r="AK6590">
        <v>0</v>
      </c>
      <c r="AL6590">
        <v>0</v>
      </c>
      <c r="AM6590">
        <v>0</v>
      </c>
      <c r="AN6590">
        <v>0</v>
      </c>
      <c r="AO6590">
        <v>0</v>
      </c>
      <c r="AP6590" s="2">
        <v>42746</v>
      </c>
      <c r="AQ6590" t="s">
        <v>72</v>
      </c>
      <c r="AR6590" t="s">
        <v>72</v>
      </c>
      <c r="AS6590">
        <v>3180</v>
      </c>
      <c r="AT6590" s="4">
        <v>42692</v>
      </c>
      <c r="AU6590" t="s">
        <v>73</v>
      </c>
      <c r="AV6590">
        <v>3180</v>
      </c>
      <c r="AW6590" s="4">
        <v>42692</v>
      </c>
      <c r="BD6590">
        <v>0</v>
      </c>
      <c r="BN6590" t="s">
        <v>74</v>
      </c>
    </row>
    <row r="6591" spans="1:66">
      <c r="A6591">
        <v>104084</v>
      </c>
      <c r="B6591" s="3" t="s">
        <v>608</v>
      </c>
      <c r="C6591" s="1">
        <v>43300101</v>
      </c>
      <c r="D6591" t="s">
        <v>67</v>
      </c>
      <c r="H6591" t="str">
        <f t="shared" si="670"/>
        <v>13144290155</v>
      </c>
      <c r="I6591" t="str">
        <f t="shared" si="670"/>
        <v>13144290155</v>
      </c>
      <c r="K6591" t="str">
        <f>""</f>
        <v/>
      </c>
      <c r="M6591" t="s">
        <v>68</v>
      </c>
      <c r="N6591" t="str">
        <f t="shared" si="666"/>
        <v>FOR</v>
      </c>
      <c r="O6591" t="s">
        <v>69</v>
      </c>
      <c r="P6591" s="3" t="s">
        <v>75</v>
      </c>
      <c r="Q6591">
        <v>2016</v>
      </c>
      <c r="R6591" s="2">
        <v>42373</v>
      </c>
      <c r="S6591" s="2">
        <v>42391</v>
      </c>
      <c r="T6591" s="2">
        <v>42374</v>
      </c>
      <c r="U6591" s="2">
        <v>42434</v>
      </c>
      <c r="V6591" t="s">
        <v>71</v>
      </c>
      <c r="W6591" t="str">
        <f>"          2016300007"</f>
        <v xml:space="preserve">          2016300007</v>
      </c>
      <c r="X6591" s="1">
        <v>12810</v>
      </c>
      <c r="Y6591">
        <v>0</v>
      </c>
      <c r="Z6591" s="5">
        <v>10500</v>
      </c>
      <c r="AA6591">
        <v>258</v>
      </c>
      <c r="AB6591" s="5">
        <v>2709000</v>
      </c>
      <c r="AC6591" s="1">
        <v>10500</v>
      </c>
      <c r="AD6591">
        <v>258</v>
      </c>
      <c r="AE6591" s="1">
        <v>2709000</v>
      </c>
      <c r="AF6591">
        <v>0</v>
      </c>
      <c r="AJ6591">
        <v>0</v>
      </c>
      <c r="AK6591">
        <v>0</v>
      </c>
      <c r="AL6591">
        <v>0</v>
      </c>
      <c r="AM6591" s="1">
        <v>12810</v>
      </c>
      <c r="AN6591" s="1">
        <v>12810</v>
      </c>
      <c r="AO6591" s="1">
        <v>12810</v>
      </c>
      <c r="AP6591" s="2">
        <v>42746</v>
      </c>
      <c r="AQ6591" t="s">
        <v>72</v>
      </c>
      <c r="AR6591" t="s">
        <v>72</v>
      </c>
      <c r="AS6591">
        <v>3180</v>
      </c>
      <c r="AT6591" s="4">
        <v>42692</v>
      </c>
      <c r="AU6591" t="s">
        <v>73</v>
      </c>
      <c r="AV6591">
        <v>3180</v>
      </c>
      <c r="AW6591" s="4">
        <v>42692</v>
      </c>
      <c r="BD6591">
        <v>0</v>
      </c>
      <c r="BN6591" t="s">
        <v>74</v>
      </c>
    </row>
    <row r="6592" spans="1:66">
      <c r="A6592">
        <v>104084</v>
      </c>
      <c r="B6592" s="3" t="s">
        <v>608</v>
      </c>
      <c r="C6592" s="1">
        <v>43300101</v>
      </c>
      <c r="D6592" t="s">
        <v>67</v>
      </c>
      <c r="H6592" t="str">
        <f t="shared" si="670"/>
        <v>13144290155</v>
      </c>
      <c r="I6592" t="str">
        <f t="shared" si="670"/>
        <v>13144290155</v>
      </c>
      <c r="K6592" t="str">
        <f>""</f>
        <v/>
      </c>
      <c r="M6592" t="s">
        <v>68</v>
      </c>
      <c r="N6592" t="str">
        <f t="shared" ref="N6592:N6655" si="671">"FOR"</f>
        <v>FOR</v>
      </c>
      <c r="O6592" t="s">
        <v>69</v>
      </c>
      <c r="P6592" s="3" t="s">
        <v>75</v>
      </c>
      <c r="Q6592">
        <v>2016</v>
      </c>
      <c r="R6592" s="2">
        <v>42411</v>
      </c>
      <c r="S6592" s="2">
        <v>42417</v>
      </c>
      <c r="T6592" s="2">
        <v>42412</v>
      </c>
      <c r="U6592" s="2">
        <v>42472</v>
      </c>
      <c r="V6592" t="s">
        <v>71</v>
      </c>
      <c r="W6592" t="str">
        <f>"          2016301175"</f>
        <v xml:space="preserve">          2016301175</v>
      </c>
      <c r="X6592" s="1">
        <v>12810</v>
      </c>
      <c r="Y6592">
        <v>0</v>
      </c>
      <c r="Z6592" s="5">
        <v>10500</v>
      </c>
      <c r="AA6592">
        <v>251</v>
      </c>
      <c r="AB6592" s="5">
        <v>2635500</v>
      </c>
      <c r="AC6592" s="1">
        <v>10500</v>
      </c>
      <c r="AD6592">
        <v>251</v>
      </c>
      <c r="AE6592" s="1">
        <v>2635500</v>
      </c>
      <c r="AF6592" s="1">
        <v>2310</v>
      </c>
      <c r="AJ6592">
        <v>0</v>
      </c>
      <c r="AK6592">
        <v>0</v>
      </c>
      <c r="AL6592">
        <v>0</v>
      </c>
      <c r="AM6592" s="1">
        <v>12810</v>
      </c>
      <c r="AN6592" s="1">
        <v>12810</v>
      </c>
      <c r="AO6592" s="1">
        <v>12810</v>
      </c>
      <c r="AP6592" s="2">
        <v>42746</v>
      </c>
      <c r="AQ6592" t="s">
        <v>72</v>
      </c>
      <c r="AR6592" t="s">
        <v>72</v>
      </c>
      <c r="AS6592">
        <v>3576</v>
      </c>
      <c r="AT6592" s="4">
        <v>42723</v>
      </c>
      <c r="AU6592" t="s">
        <v>73</v>
      </c>
      <c r="AV6592">
        <v>3576</v>
      </c>
      <c r="AW6592" s="4">
        <v>42723</v>
      </c>
      <c r="BD6592" s="1">
        <v>2310</v>
      </c>
      <c r="BN6592" t="s">
        <v>74</v>
      </c>
    </row>
    <row r="6593" spans="1:66">
      <c r="A6593">
        <v>104084</v>
      </c>
      <c r="B6593" s="3" t="s">
        <v>608</v>
      </c>
      <c r="C6593" s="1">
        <v>43300101</v>
      </c>
      <c r="D6593" t="s">
        <v>67</v>
      </c>
      <c r="H6593" t="str">
        <f t="shared" si="670"/>
        <v>13144290155</v>
      </c>
      <c r="I6593" t="str">
        <f t="shared" si="670"/>
        <v>13144290155</v>
      </c>
      <c r="K6593" t="str">
        <f>""</f>
        <v/>
      </c>
      <c r="M6593" t="s">
        <v>68</v>
      </c>
      <c r="N6593" t="str">
        <f t="shared" si="671"/>
        <v>FOR</v>
      </c>
      <c r="O6593" t="s">
        <v>69</v>
      </c>
      <c r="P6593" s="3" t="s">
        <v>75</v>
      </c>
      <c r="Q6593">
        <v>2016</v>
      </c>
      <c r="R6593" s="2">
        <v>42411</v>
      </c>
      <c r="S6593" s="2">
        <v>42417</v>
      </c>
      <c r="T6593" s="2">
        <v>42412</v>
      </c>
      <c r="U6593" s="2">
        <v>42472</v>
      </c>
      <c r="V6593" t="s">
        <v>71</v>
      </c>
      <c r="W6593" t="str">
        <f>"          2016301176"</f>
        <v xml:space="preserve">          2016301176</v>
      </c>
      <c r="X6593" s="1">
        <v>1647</v>
      </c>
      <c r="Y6593">
        <v>0</v>
      </c>
      <c r="Z6593" s="5">
        <v>1350</v>
      </c>
      <c r="AA6593">
        <v>251</v>
      </c>
      <c r="AB6593" s="5">
        <v>338850</v>
      </c>
      <c r="AC6593" s="1">
        <v>1350</v>
      </c>
      <c r="AD6593">
        <v>251</v>
      </c>
      <c r="AE6593" s="1">
        <v>338850</v>
      </c>
      <c r="AF6593">
        <v>297</v>
      </c>
      <c r="AJ6593">
        <v>0</v>
      </c>
      <c r="AK6593">
        <v>0</v>
      </c>
      <c r="AL6593">
        <v>0</v>
      </c>
      <c r="AM6593" s="1">
        <v>1647</v>
      </c>
      <c r="AN6593" s="1">
        <v>1647</v>
      </c>
      <c r="AO6593" s="1">
        <v>1647</v>
      </c>
      <c r="AP6593" s="2">
        <v>42746</v>
      </c>
      <c r="AQ6593" t="s">
        <v>72</v>
      </c>
      <c r="AR6593" t="s">
        <v>72</v>
      </c>
      <c r="AS6593">
        <v>3576</v>
      </c>
      <c r="AT6593" s="4">
        <v>42723</v>
      </c>
      <c r="AU6593" t="s">
        <v>73</v>
      </c>
      <c r="AV6593">
        <v>3576</v>
      </c>
      <c r="AW6593" s="4">
        <v>42723</v>
      </c>
      <c r="BD6593">
        <v>297</v>
      </c>
      <c r="BN6593" t="s">
        <v>74</v>
      </c>
    </row>
    <row r="6594" spans="1:66">
      <c r="A6594">
        <v>104084</v>
      </c>
      <c r="B6594" s="3" t="s">
        <v>608</v>
      </c>
      <c r="C6594" s="1">
        <v>43300101</v>
      </c>
      <c r="D6594" t="s">
        <v>67</v>
      </c>
      <c r="H6594" t="str">
        <f t="shared" si="670"/>
        <v>13144290155</v>
      </c>
      <c r="I6594" t="str">
        <f t="shared" si="670"/>
        <v>13144290155</v>
      </c>
      <c r="K6594" t="str">
        <f>""</f>
        <v/>
      </c>
      <c r="M6594" t="s">
        <v>68</v>
      </c>
      <c r="N6594" t="str">
        <f t="shared" si="671"/>
        <v>FOR</v>
      </c>
      <c r="O6594" t="s">
        <v>69</v>
      </c>
      <c r="P6594" s="3" t="s">
        <v>100</v>
      </c>
      <c r="Q6594">
        <v>2016</v>
      </c>
      <c r="R6594" s="2">
        <v>42451</v>
      </c>
      <c r="S6594" s="2">
        <v>42451</v>
      </c>
      <c r="T6594" s="2">
        <v>42451</v>
      </c>
      <c r="U6594" s="2">
        <v>42511</v>
      </c>
      <c r="V6594" t="s">
        <v>71</v>
      </c>
      <c r="W6594" t="str">
        <f>"          2016302324"</f>
        <v xml:space="preserve">          2016302324</v>
      </c>
      <c r="X6594">
        <v>-414.8</v>
      </c>
      <c r="Y6594">
        <v>0</v>
      </c>
      <c r="Z6594" s="3">
        <v>-340</v>
      </c>
      <c r="AA6594">
        <v>167</v>
      </c>
      <c r="AB6594" s="5">
        <v>-56780</v>
      </c>
      <c r="AC6594">
        <v>-340</v>
      </c>
      <c r="AD6594">
        <v>167</v>
      </c>
      <c r="AE6594" s="1">
        <v>-56780</v>
      </c>
      <c r="AF6594">
        <v>0</v>
      </c>
      <c r="AJ6594">
        <v>0</v>
      </c>
      <c r="AK6594">
        <v>0</v>
      </c>
      <c r="AL6594">
        <v>0</v>
      </c>
      <c r="AM6594">
        <v>-414.8</v>
      </c>
      <c r="AN6594">
        <v>-414.8</v>
      </c>
      <c r="AO6594">
        <v>-414.8</v>
      </c>
      <c r="AP6594" s="2">
        <v>42746</v>
      </c>
      <c r="AQ6594" t="s">
        <v>72</v>
      </c>
      <c r="AR6594" t="s">
        <v>72</v>
      </c>
      <c r="AS6594">
        <v>2930</v>
      </c>
      <c r="AT6594" s="4">
        <v>42678</v>
      </c>
      <c r="AU6594" t="s">
        <v>73</v>
      </c>
      <c r="AV6594">
        <v>2930</v>
      </c>
      <c r="AW6594" s="4">
        <v>42678</v>
      </c>
      <c r="BD6594">
        <v>0</v>
      </c>
      <c r="BN6594" t="s">
        <v>74</v>
      </c>
    </row>
    <row r="6595" spans="1:66" hidden="1">
      <c r="A6595">
        <v>104093</v>
      </c>
      <c r="B6595" s="3" t="s">
        <v>609</v>
      </c>
      <c r="C6595" s="1">
        <v>43300101</v>
      </c>
      <c r="D6595" t="s">
        <v>67</v>
      </c>
      <c r="H6595" t="str">
        <f t="shared" ref="H6595:H6658" si="672">"12572900152"</f>
        <v>12572900152</v>
      </c>
      <c r="I6595" t="str">
        <f t="shared" ref="I6595:I6658" si="673">"06032681006"</f>
        <v>06032681006</v>
      </c>
      <c r="K6595" t="str">
        <f>""</f>
        <v/>
      </c>
      <c r="M6595" t="s">
        <v>68</v>
      </c>
      <c r="N6595" t="str">
        <f t="shared" si="671"/>
        <v>FOR</v>
      </c>
      <c r="O6595" t="s">
        <v>69</v>
      </c>
      <c r="P6595" s="3" t="s">
        <v>70</v>
      </c>
      <c r="Q6595">
        <v>2013</v>
      </c>
      <c r="R6595" s="2">
        <v>41472</v>
      </c>
      <c r="S6595" s="2">
        <v>41939</v>
      </c>
      <c r="T6595" s="2">
        <v>41939</v>
      </c>
      <c r="U6595" s="2">
        <v>41999</v>
      </c>
      <c r="V6595" t="s">
        <v>71</v>
      </c>
      <c r="W6595" t="str">
        <f>"            25128622"</f>
        <v xml:space="preserve">            25128622</v>
      </c>
      <c r="X6595">
        <v>74.88</v>
      </c>
      <c r="Y6595">
        <v>0</v>
      </c>
      <c r="Z6595"/>
      <c r="AB6595"/>
      <c r="AC6595">
        <v>74.88</v>
      </c>
      <c r="AD6595">
        <v>431</v>
      </c>
      <c r="AE6595" s="1">
        <v>32273.279999999999</v>
      </c>
      <c r="AF6595">
        <v>0</v>
      </c>
      <c r="AJ6595">
        <v>0</v>
      </c>
      <c r="AK6595">
        <v>0</v>
      </c>
      <c r="AL6595">
        <v>0</v>
      </c>
      <c r="AM6595">
        <v>0</v>
      </c>
      <c r="AN6595">
        <v>0</v>
      </c>
      <c r="AO6595">
        <v>0</v>
      </c>
      <c r="AP6595" s="2">
        <v>42746</v>
      </c>
      <c r="AQ6595" t="s">
        <v>72</v>
      </c>
      <c r="AR6595" t="s">
        <v>72</v>
      </c>
      <c r="AS6595">
        <v>598</v>
      </c>
      <c r="AT6595" s="4">
        <v>42430</v>
      </c>
      <c r="AU6595" t="s">
        <v>73</v>
      </c>
      <c r="AV6595">
        <v>598</v>
      </c>
      <c r="AW6595" s="4">
        <v>42430</v>
      </c>
      <c r="BD6595">
        <v>0</v>
      </c>
      <c r="BN6595" t="s">
        <v>74</v>
      </c>
    </row>
    <row r="6596" spans="1:66">
      <c r="A6596">
        <v>104093</v>
      </c>
      <c r="B6596" s="3" t="s">
        <v>609</v>
      </c>
      <c r="C6596" s="1">
        <v>43300101</v>
      </c>
      <c r="D6596" t="s">
        <v>67</v>
      </c>
      <c r="H6596" t="str">
        <f t="shared" si="672"/>
        <v>12572900152</v>
      </c>
      <c r="I6596" t="str">
        <f t="shared" si="673"/>
        <v>06032681006</v>
      </c>
      <c r="K6596" t="str">
        <f>""</f>
        <v/>
      </c>
      <c r="M6596" t="s">
        <v>68</v>
      </c>
      <c r="N6596" t="str">
        <f t="shared" si="671"/>
        <v>FOR</v>
      </c>
      <c r="O6596" t="s">
        <v>69</v>
      </c>
      <c r="P6596" s="3" t="s">
        <v>70</v>
      </c>
      <c r="Q6596">
        <v>2013</v>
      </c>
      <c r="R6596" s="2">
        <v>41557</v>
      </c>
      <c r="S6596" s="2">
        <v>42681</v>
      </c>
      <c r="T6596" s="2">
        <v>42681</v>
      </c>
      <c r="U6596" s="2">
        <v>42741</v>
      </c>
      <c r="V6596" t="s">
        <v>71</v>
      </c>
      <c r="W6596" t="str">
        <f>"            25141869"</f>
        <v xml:space="preserve">            25141869</v>
      </c>
      <c r="X6596">
        <v>707.62</v>
      </c>
      <c r="Y6596">
        <v>0</v>
      </c>
      <c r="Z6596" s="3">
        <v>707.62</v>
      </c>
      <c r="AA6596">
        <v>-53</v>
      </c>
      <c r="AB6596" s="5">
        <v>-37503.86</v>
      </c>
      <c r="AC6596">
        <v>707.62</v>
      </c>
      <c r="AD6596">
        <v>-53</v>
      </c>
      <c r="AE6596" s="1">
        <v>-37503.86</v>
      </c>
      <c r="AF6596">
        <v>0</v>
      </c>
      <c r="AJ6596">
        <v>0</v>
      </c>
      <c r="AK6596">
        <v>707.62</v>
      </c>
      <c r="AL6596">
        <v>0</v>
      </c>
      <c r="AM6596">
        <v>0</v>
      </c>
      <c r="AN6596">
        <v>707.62</v>
      </c>
      <c r="AO6596">
        <v>0</v>
      </c>
      <c r="AP6596" s="2">
        <v>42746</v>
      </c>
      <c r="AQ6596" t="s">
        <v>72</v>
      </c>
      <c r="AR6596" t="s">
        <v>72</v>
      </c>
      <c r="AS6596">
        <v>3087</v>
      </c>
      <c r="AT6596" s="4">
        <v>42688</v>
      </c>
      <c r="AV6596">
        <v>3087</v>
      </c>
      <c r="AW6596" s="4">
        <v>42688</v>
      </c>
      <c r="BD6596">
        <v>0</v>
      </c>
      <c r="BN6596" t="s">
        <v>74</v>
      </c>
    </row>
    <row r="6597" spans="1:66">
      <c r="A6597">
        <v>104093</v>
      </c>
      <c r="B6597" s="3" t="s">
        <v>609</v>
      </c>
      <c r="C6597" s="1">
        <v>43300101</v>
      </c>
      <c r="D6597" t="s">
        <v>67</v>
      </c>
      <c r="H6597" t="str">
        <f t="shared" si="672"/>
        <v>12572900152</v>
      </c>
      <c r="I6597" t="str">
        <f t="shared" si="673"/>
        <v>06032681006</v>
      </c>
      <c r="K6597" t="str">
        <f>""</f>
        <v/>
      </c>
      <c r="M6597" t="s">
        <v>68</v>
      </c>
      <c r="N6597" t="str">
        <f t="shared" si="671"/>
        <v>FOR</v>
      </c>
      <c r="O6597" t="s">
        <v>69</v>
      </c>
      <c r="P6597" s="3" t="s">
        <v>70</v>
      </c>
      <c r="Q6597">
        <v>2013</v>
      </c>
      <c r="R6597" s="2">
        <v>41597</v>
      </c>
      <c r="S6597" s="2">
        <v>42681</v>
      </c>
      <c r="T6597" s="2">
        <v>42681</v>
      </c>
      <c r="U6597" s="2">
        <v>42741</v>
      </c>
      <c r="V6597" t="s">
        <v>71</v>
      </c>
      <c r="W6597" t="str">
        <f>"            25149014"</f>
        <v xml:space="preserve">            25149014</v>
      </c>
      <c r="X6597" s="1">
        <v>5415.58</v>
      </c>
      <c r="Y6597">
        <v>0</v>
      </c>
      <c r="Z6597" s="5">
        <v>5415.58</v>
      </c>
      <c r="AA6597">
        <v>-53</v>
      </c>
      <c r="AB6597" s="5">
        <v>-287025.74</v>
      </c>
      <c r="AC6597" s="1">
        <v>5415.58</v>
      </c>
      <c r="AD6597">
        <v>-53</v>
      </c>
      <c r="AE6597" s="1">
        <v>-287025.74</v>
      </c>
      <c r="AF6597">
        <v>0</v>
      </c>
      <c r="AJ6597">
        <v>0</v>
      </c>
      <c r="AK6597" s="1">
        <v>5415.58</v>
      </c>
      <c r="AL6597">
        <v>0</v>
      </c>
      <c r="AM6597">
        <v>0</v>
      </c>
      <c r="AN6597" s="1">
        <v>5415.58</v>
      </c>
      <c r="AO6597">
        <v>0</v>
      </c>
      <c r="AP6597" s="2">
        <v>42746</v>
      </c>
      <c r="AQ6597" t="s">
        <v>72</v>
      </c>
      <c r="AR6597" t="s">
        <v>72</v>
      </c>
      <c r="AS6597">
        <v>3087</v>
      </c>
      <c r="AT6597" s="4">
        <v>42688</v>
      </c>
      <c r="AV6597">
        <v>3087</v>
      </c>
      <c r="AW6597" s="4">
        <v>42688</v>
      </c>
      <c r="BD6597">
        <v>0</v>
      </c>
      <c r="BN6597" t="s">
        <v>74</v>
      </c>
    </row>
    <row r="6598" spans="1:66">
      <c r="A6598">
        <v>104093</v>
      </c>
      <c r="B6598" s="3" t="s">
        <v>609</v>
      </c>
      <c r="C6598" s="1">
        <v>43300101</v>
      </c>
      <c r="D6598" t="s">
        <v>67</v>
      </c>
      <c r="H6598" t="str">
        <f t="shared" si="672"/>
        <v>12572900152</v>
      </c>
      <c r="I6598" t="str">
        <f t="shared" si="673"/>
        <v>06032681006</v>
      </c>
      <c r="K6598" t="str">
        <f>""</f>
        <v/>
      </c>
      <c r="M6598" t="s">
        <v>68</v>
      </c>
      <c r="N6598" t="str">
        <f t="shared" si="671"/>
        <v>FOR</v>
      </c>
      <c r="O6598" t="s">
        <v>69</v>
      </c>
      <c r="P6598" s="3" t="s">
        <v>70</v>
      </c>
      <c r="Q6598">
        <v>2013</v>
      </c>
      <c r="R6598" s="2">
        <v>41597</v>
      </c>
      <c r="S6598" s="2">
        <v>42681</v>
      </c>
      <c r="T6598" s="2">
        <v>42681</v>
      </c>
      <c r="U6598" s="2">
        <v>42741</v>
      </c>
      <c r="V6598" t="s">
        <v>71</v>
      </c>
      <c r="W6598" t="str">
        <f>"            25149048"</f>
        <v xml:space="preserve">            25149048</v>
      </c>
      <c r="X6598" s="1">
        <v>5464.16</v>
      </c>
      <c r="Y6598">
        <v>0</v>
      </c>
      <c r="Z6598" s="5">
        <v>5464.16</v>
      </c>
      <c r="AA6598">
        <v>-53</v>
      </c>
      <c r="AB6598" s="5">
        <v>-289600.48</v>
      </c>
      <c r="AC6598" s="1">
        <v>5464.16</v>
      </c>
      <c r="AD6598">
        <v>-53</v>
      </c>
      <c r="AE6598" s="1">
        <v>-289600.48</v>
      </c>
      <c r="AF6598">
        <v>0</v>
      </c>
      <c r="AJ6598">
        <v>0</v>
      </c>
      <c r="AK6598" s="1">
        <v>5464.16</v>
      </c>
      <c r="AL6598">
        <v>0</v>
      </c>
      <c r="AM6598">
        <v>0</v>
      </c>
      <c r="AN6598" s="1">
        <v>5464.16</v>
      </c>
      <c r="AO6598">
        <v>0</v>
      </c>
      <c r="AP6598" s="2">
        <v>42746</v>
      </c>
      <c r="AQ6598" t="s">
        <v>72</v>
      </c>
      <c r="AR6598" t="s">
        <v>72</v>
      </c>
      <c r="AS6598">
        <v>3087</v>
      </c>
      <c r="AT6598" s="4">
        <v>42688</v>
      </c>
      <c r="AV6598">
        <v>3087</v>
      </c>
      <c r="AW6598" s="4">
        <v>42688</v>
      </c>
      <c r="BD6598">
        <v>0</v>
      </c>
      <c r="BN6598" t="s">
        <v>74</v>
      </c>
    </row>
    <row r="6599" spans="1:66">
      <c r="A6599">
        <v>104093</v>
      </c>
      <c r="B6599" s="3" t="s">
        <v>609</v>
      </c>
      <c r="C6599" s="1">
        <v>43300101</v>
      </c>
      <c r="D6599" t="s">
        <v>67</v>
      </c>
      <c r="H6599" t="str">
        <f t="shared" si="672"/>
        <v>12572900152</v>
      </c>
      <c r="I6599" t="str">
        <f t="shared" si="673"/>
        <v>06032681006</v>
      </c>
      <c r="K6599" t="str">
        <f>""</f>
        <v/>
      </c>
      <c r="M6599" t="s">
        <v>68</v>
      </c>
      <c r="N6599" t="str">
        <f t="shared" si="671"/>
        <v>FOR</v>
      </c>
      <c r="O6599" t="s">
        <v>69</v>
      </c>
      <c r="P6599" s="3" t="s">
        <v>70</v>
      </c>
      <c r="Q6599">
        <v>2013</v>
      </c>
      <c r="R6599" s="2">
        <v>41597</v>
      </c>
      <c r="S6599" s="2">
        <v>42681</v>
      </c>
      <c r="T6599" s="2">
        <v>42681</v>
      </c>
      <c r="U6599" s="2">
        <v>42741</v>
      </c>
      <c r="V6599" t="s">
        <v>71</v>
      </c>
      <c r="W6599" t="str">
        <f>"            25149049"</f>
        <v xml:space="preserve">            25149049</v>
      </c>
      <c r="X6599">
        <v>421.2</v>
      </c>
      <c r="Y6599">
        <v>0</v>
      </c>
      <c r="Z6599" s="3">
        <v>421.2</v>
      </c>
      <c r="AA6599">
        <v>-53</v>
      </c>
      <c r="AB6599" s="5">
        <v>-22323.599999999999</v>
      </c>
      <c r="AC6599">
        <v>421.2</v>
      </c>
      <c r="AD6599">
        <v>-53</v>
      </c>
      <c r="AE6599" s="1">
        <v>-22323.599999999999</v>
      </c>
      <c r="AF6599">
        <v>0</v>
      </c>
      <c r="AJ6599">
        <v>0</v>
      </c>
      <c r="AK6599">
        <v>421.2</v>
      </c>
      <c r="AL6599">
        <v>0</v>
      </c>
      <c r="AM6599">
        <v>0</v>
      </c>
      <c r="AN6599">
        <v>421.2</v>
      </c>
      <c r="AO6599">
        <v>0</v>
      </c>
      <c r="AP6599" s="2">
        <v>42746</v>
      </c>
      <c r="AQ6599" t="s">
        <v>72</v>
      </c>
      <c r="AR6599" t="s">
        <v>72</v>
      </c>
      <c r="AS6599">
        <v>3087</v>
      </c>
      <c r="AT6599" s="4">
        <v>42688</v>
      </c>
      <c r="AV6599">
        <v>3087</v>
      </c>
      <c r="AW6599" s="4">
        <v>42688</v>
      </c>
      <c r="BD6599">
        <v>0</v>
      </c>
      <c r="BN6599" t="s">
        <v>74</v>
      </c>
    </row>
    <row r="6600" spans="1:66" hidden="1">
      <c r="A6600">
        <v>104093</v>
      </c>
      <c r="B6600" s="3" t="s">
        <v>609</v>
      </c>
      <c r="C6600" s="1">
        <v>43300101</v>
      </c>
      <c r="D6600" t="s">
        <v>67</v>
      </c>
      <c r="H6600" t="str">
        <f t="shared" si="672"/>
        <v>12572900152</v>
      </c>
      <c r="I6600" t="str">
        <f t="shared" si="673"/>
        <v>06032681006</v>
      </c>
      <c r="K6600" t="str">
        <f>""</f>
        <v/>
      </c>
      <c r="M6600" t="s">
        <v>68</v>
      </c>
      <c r="N6600" t="str">
        <f t="shared" si="671"/>
        <v>FOR</v>
      </c>
      <c r="O6600" t="s">
        <v>69</v>
      </c>
      <c r="P6600" s="3" t="s">
        <v>70</v>
      </c>
      <c r="Q6600">
        <v>2014</v>
      </c>
      <c r="R6600" s="2">
        <v>41662</v>
      </c>
      <c r="S6600" s="2">
        <v>42339</v>
      </c>
      <c r="T6600" s="2">
        <v>42339</v>
      </c>
      <c r="U6600" s="2">
        <v>42399</v>
      </c>
      <c r="V6600" t="s">
        <v>71</v>
      </c>
      <c r="W6600" t="str">
        <f>"            25160270"</f>
        <v xml:space="preserve">            25160270</v>
      </c>
      <c r="X6600">
        <v>936</v>
      </c>
      <c r="Y6600">
        <v>0</v>
      </c>
      <c r="Z6600"/>
      <c r="AB6600"/>
      <c r="AC6600">
        <v>936</v>
      </c>
      <c r="AD6600">
        <v>4</v>
      </c>
      <c r="AE6600" s="1">
        <v>3744</v>
      </c>
      <c r="AF6600">
        <v>0</v>
      </c>
      <c r="AJ6600">
        <v>0</v>
      </c>
      <c r="AK6600">
        <v>0</v>
      </c>
      <c r="AL6600">
        <v>0</v>
      </c>
      <c r="AM6600">
        <v>0</v>
      </c>
      <c r="AN6600">
        <v>0</v>
      </c>
      <c r="AO6600">
        <v>0</v>
      </c>
      <c r="AP6600" s="2">
        <v>42746</v>
      </c>
      <c r="AQ6600" t="s">
        <v>72</v>
      </c>
      <c r="AR6600" t="s">
        <v>72</v>
      </c>
      <c r="AS6600">
        <v>228</v>
      </c>
      <c r="AT6600" s="4">
        <v>42403</v>
      </c>
      <c r="AU6600" t="s">
        <v>73</v>
      </c>
      <c r="AV6600">
        <v>228</v>
      </c>
      <c r="AW6600" s="4">
        <v>42403</v>
      </c>
      <c r="BD6600">
        <v>0</v>
      </c>
      <c r="BN6600" t="s">
        <v>74</v>
      </c>
    </row>
    <row r="6601" spans="1:66" hidden="1">
      <c r="A6601">
        <v>104093</v>
      </c>
      <c r="B6601" s="3" t="s">
        <v>609</v>
      </c>
      <c r="C6601" s="1">
        <v>43300101</v>
      </c>
      <c r="D6601" t="s">
        <v>67</v>
      </c>
      <c r="H6601" t="str">
        <f t="shared" si="672"/>
        <v>12572900152</v>
      </c>
      <c r="I6601" t="str">
        <f t="shared" si="673"/>
        <v>06032681006</v>
      </c>
      <c r="K6601" t="str">
        <f>""</f>
        <v/>
      </c>
      <c r="M6601" t="s">
        <v>68</v>
      </c>
      <c r="N6601" t="str">
        <f t="shared" si="671"/>
        <v>FOR</v>
      </c>
      <c r="O6601" t="s">
        <v>69</v>
      </c>
      <c r="P6601" s="3" t="s">
        <v>70</v>
      </c>
      <c r="Q6601">
        <v>2014</v>
      </c>
      <c r="R6601" s="2">
        <v>41662</v>
      </c>
      <c r="S6601" s="2">
        <v>42339</v>
      </c>
      <c r="T6601" s="2">
        <v>42339</v>
      </c>
      <c r="U6601" s="2">
        <v>42399</v>
      </c>
      <c r="V6601" t="s">
        <v>71</v>
      </c>
      <c r="W6601" t="str">
        <f>"            25160271"</f>
        <v xml:space="preserve">            25160271</v>
      </c>
      <c r="X6601">
        <v>936</v>
      </c>
      <c r="Y6601">
        <v>0</v>
      </c>
      <c r="Z6601"/>
      <c r="AB6601"/>
      <c r="AC6601">
        <v>936</v>
      </c>
      <c r="AD6601">
        <v>4</v>
      </c>
      <c r="AE6601" s="1">
        <v>3744</v>
      </c>
      <c r="AF6601">
        <v>0</v>
      </c>
      <c r="AJ6601">
        <v>0</v>
      </c>
      <c r="AK6601">
        <v>0</v>
      </c>
      <c r="AL6601">
        <v>0</v>
      </c>
      <c r="AM6601">
        <v>0</v>
      </c>
      <c r="AN6601">
        <v>0</v>
      </c>
      <c r="AO6601">
        <v>0</v>
      </c>
      <c r="AP6601" s="2">
        <v>42746</v>
      </c>
      <c r="AQ6601" t="s">
        <v>72</v>
      </c>
      <c r="AR6601" t="s">
        <v>72</v>
      </c>
      <c r="AS6601">
        <v>228</v>
      </c>
      <c r="AT6601" s="4">
        <v>42403</v>
      </c>
      <c r="AU6601" t="s">
        <v>73</v>
      </c>
      <c r="AV6601">
        <v>228</v>
      </c>
      <c r="AW6601" s="4">
        <v>42403</v>
      </c>
      <c r="BD6601">
        <v>0</v>
      </c>
      <c r="BN6601" t="s">
        <v>74</v>
      </c>
    </row>
    <row r="6602" spans="1:66" hidden="1">
      <c r="A6602">
        <v>104093</v>
      </c>
      <c r="B6602" s="3" t="s">
        <v>609</v>
      </c>
      <c r="C6602" s="1">
        <v>43300101</v>
      </c>
      <c r="D6602" t="s">
        <v>67</v>
      </c>
      <c r="H6602" t="str">
        <f t="shared" si="672"/>
        <v>12572900152</v>
      </c>
      <c r="I6602" t="str">
        <f t="shared" si="673"/>
        <v>06032681006</v>
      </c>
      <c r="K6602" t="str">
        <f>""</f>
        <v/>
      </c>
      <c r="M6602" t="s">
        <v>68</v>
      </c>
      <c r="N6602" t="str">
        <f t="shared" si="671"/>
        <v>FOR</v>
      </c>
      <c r="O6602" t="s">
        <v>69</v>
      </c>
      <c r="P6602" s="3" t="s">
        <v>70</v>
      </c>
      <c r="Q6602">
        <v>2014</v>
      </c>
      <c r="R6602" s="2">
        <v>41662</v>
      </c>
      <c r="S6602" s="2">
        <v>42339</v>
      </c>
      <c r="T6602" s="2">
        <v>42339</v>
      </c>
      <c r="U6602" s="2">
        <v>42399</v>
      </c>
      <c r="V6602" t="s">
        <v>71</v>
      </c>
      <c r="W6602" t="str">
        <f>"            25160272"</f>
        <v xml:space="preserve">            25160272</v>
      </c>
      <c r="X6602">
        <v>936</v>
      </c>
      <c r="Y6602">
        <v>0</v>
      </c>
      <c r="Z6602"/>
      <c r="AB6602"/>
      <c r="AC6602">
        <v>936</v>
      </c>
      <c r="AD6602">
        <v>4</v>
      </c>
      <c r="AE6602" s="1">
        <v>3744</v>
      </c>
      <c r="AF6602">
        <v>0</v>
      </c>
      <c r="AJ6602">
        <v>0</v>
      </c>
      <c r="AK6602">
        <v>0</v>
      </c>
      <c r="AL6602">
        <v>0</v>
      </c>
      <c r="AM6602">
        <v>0</v>
      </c>
      <c r="AN6602">
        <v>0</v>
      </c>
      <c r="AO6602">
        <v>0</v>
      </c>
      <c r="AP6602" s="2">
        <v>42746</v>
      </c>
      <c r="AQ6602" t="s">
        <v>72</v>
      </c>
      <c r="AR6602" t="s">
        <v>72</v>
      </c>
      <c r="AS6602">
        <v>228</v>
      </c>
      <c r="AT6602" s="4">
        <v>42403</v>
      </c>
      <c r="AU6602" t="s">
        <v>73</v>
      </c>
      <c r="AV6602">
        <v>228</v>
      </c>
      <c r="AW6602" s="4">
        <v>42403</v>
      </c>
      <c r="BD6602">
        <v>0</v>
      </c>
      <c r="BN6602" t="s">
        <v>74</v>
      </c>
    </row>
    <row r="6603" spans="1:66" hidden="1">
      <c r="A6603">
        <v>104093</v>
      </c>
      <c r="B6603" s="3" t="s">
        <v>609</v>
      </c>
      <c r="C6603" s="1">
        <v>43300101</v>
      </c>
      <c r="D6603" t="s">
        <v>67</v>
      </c>
      <c r="H6603" t="str">
        <f t="shared" si="672"/>
        <v>12572900152</v>
      </c>
      <c r="I6603" t="str">
        <f t="shared" si="673"/>
        <v>06032681006</v>
      </c>
      <c r="K6603" t="str">
        <f>""</f>
        <v/>
      </c>
      <c r="M6603" t="s">
        <v>68</v>
      </c>
      <c r="N6603" t="str">
        <f t="shared" si="671"/>
        <v>FOR</v>
      </c>
      <c r="O6603" t="s">
        <v>69</v>
      </c>
      <c r="P6603" s="3" t="s">
        <v>70</v>
      </c>
      <c r="Q6603">
        <v>2014</v>
      </c>
      <c r="R6603" s="2">
        <v>41662</v>
      </c>
      <c r="S6603" s="2">
        <v>42339</v>
      </c>
      <c r="T6603" s="2">
        <v>42339</v>
      </c>
      <c r="U6603" s="2">
        <v>42399</v>
      </c>
      <c r="V6603" t="s">
        <v>71</v>
      </c>
      <c r="W6603" t="str">
        <f>"            25160273"</f>
        <v xml:space="preserve">            25160273</v>
      </c>
      <c r="X6603">
        <v>936</v>
      </c>
      <c r="Y6603">
        <v>0</v>
      </c>
      <c r="Z6603"/>
      <c r="AB6603"/>
      <c r="AC6603">
        <v>936</v>
      </c>
      <c r="AD6603">
        <v>4</v>
      </c>
      <c r="AE6603" s="1">
        <v>3744</v>
      </c>
      <c r="AF6603">
        <v>0</v>
      </c>
      <c r="AJ6603">
        <v>0</v>
      </c>
      <c r="AK6603">
        <v>0</v>
      </c>
      <c r="AL6603">
        <v>0</v>
      </c>
      <c r="AM6603">
        <v>0</v>
      </c>
      <c r="AN6603">
        <v>0</v>
      </c>
      <c r="AO6603">
        <v>0</v>
      </c>
      <c r="AP6603" s="2">
        <v>42746</v>
      </c>
      <c r="AQ6603" t="s">
        <v>72</v>
      </c>
      <c r="AR6603" t="s">
        <v>72</v>
      </c>
      <c r="AS6603">
        <v>228</v>
      </c>
      <c r="AT6603" s="4">
        <v>42403</v>
      </c>
      <c r="AU6603" t="s">
        <v>73</v>
      </c>
      <c r="AV6603">
        <v>228</v>
      </c>
      <c r="AW6603" s="4">
        <v>42403</v>
      </c>
      <c r="BD6603">
        <v>0</v>
      </c>
      <c r="BN6603" t="s">
        <v>74</v>
      </c>
    </row>
    <row r="6604" spans="1:66" hidden="1">
      <c r="A6604">
        <v>104093</v>
      </c>
      <c r="B6604" s="3" t="s">
        <v>609</v>
      </c>
      <c r="C6604" s="1">
        <v>43300101</v>
      </c>
      <c r="D6604" t="s">
        <v>67</v>
      </c>
      <c r="H6604" t="str">
        <f t="shared" si="672"/>
        <v>12572900152</v>
      </c>
      <c r="I6604" t="str">
        <f t="shared" si="673"/>
        <v>06032681006</v>
      </c>
      <c r="K6604" t="str">
        <f>""</f>
        <v/>
      </c>
      <c r="M6604" t="s">
        <v>68</v>
      </c>
      <c r="N6604" t="str">
        <f t="shared" si="671"/>
        <v>FOR</v>
      </c>
      <c r="O6604" t="s">
        <v>69</v>
      </c>
      <c r="P6604" s="3" t="s">
        <v>70</v>
      </c>
      <c r="Q6604">
        <v>2014</v>
      </c>
      <c r="R6604" s="2">
        <v>41667</v>
      </c>
      <c r="S6604" s="2">
        <v>42339</v>
      </c>
      <c r="T6604" s="2">
        <v>42339</v>
      </c>
      <c r="U6604" s="2">
        <v>42399</v>
      </c>
      <c r="V6604" t="s">
        <v>71</v>
      </c>
      <c r="W6604" t="str">
        <f>"            25161154"</f>
        <v xml:space="preserve">            25161154</v>
      </c>
      <c r="X6604">
        <v>926.64</v>
      </c>
      <c r="Y6604">
        <v>0</v>
      </c>
      <c r="Z6604"/>
      <c r="AB6604"/>
      <c r="AC6604">
        <v>926.64</v>
      </c>
      <c r="AD6604">
        <v>4</v>
      </c>
      <c r="AE6604" s="1">
        <v>3706.56</v>
      </c>
      <c r="AF6604">
        <v>0</v>
      </c>
      <c r="AJ6604">
        <v>0</v>
      </c>
      <c r="AK6604">
        <v>0</v>
      </c>
      <c r="AL6604">
        <v>0</v>
      </c>
      <c r="AM6604">
        <v>0</v>
      </c>
      <c r="AN6604">
        <v>0</v>
      </c>
      <c r="AO6604">
        <v>0</v>
      </c>
      <c r="AP6604" s="2">
        <v>42746</v>
      </c>
      <c r="AQ6604" t="s">
        <v>72</v>
      </c>
      <c r="AR6604" t="s">
        <v>72</v>
      </c>
      <c r="AS6604">
        <v>228</v>
      </c>
      <c r="AT6604" s="4">
        <v>42403</v>
      </c>
      <c r="AU6604" t="s">
        <v>73</v>
      </c>
      <c r="AV6604">
        <v>228</v>
      </c>
      <c r="AW6604" s="4">
        <v>42403</v>
      </c>
      <c r="BD6604">
        <v>0</v>
      </c>
      <c r="BN6604" t="s">
        <v>74</v>
      </c>
    </row>
    <row r="6605" spans="1:66" hidden="1">
      <c r="A6605">
        <v>104093</v>
      </c>
      <c r="B6605" s="3" t="s">
        <v>609</v>
      </c>
      <c r="C6605" s="1">
        <v>43300101</v>
      </c>
      <c r="D6605" t="s">
        <v>67</v>
      </c>
      <c r="H6605" t="str">
        <f t="shared" si="672"/>
        <v>12572900152</v>
      </c>
      <c r="I6605" t="str">
        <f t="shared" si="673"/>
        <v>06032681006</v>
      </c>
      <c r="K6605" t="str">
        <f>""</f>
        <v/>
      </c>
      <c r="M6605" t="s">
        <v>68</v>
      </c>
      <c r="N6605" t="str">
        <f t="shared" si="671"/>
        <v>FOR</v>
      </c>
      <c r="O6605" t="s">
        <v>69</v>
      </c>
      <c r="P6605" s="3" t="s">
        <v>78</v>
      </c>
      <c r="Q6605">
        <v>2014</v>
      </c>
      <c r="R6605" s="2">
        <v>41680</v>
      </c>
      <c r="S6605" s="2">
        <v>41695</v>
      </c>
      <c r="T6605" s="2">
        <v>41695</v>
      </c>
      <c r="U6605" s="2">
        <v>41785</v>
      </c>
      <c r="V6605" t="s">
        <v>71</v>
      </c>
      <c r="W6605" t="str">
        <f>"            25163499"</f>
        <v xml:space="preserve">            25163499</v>
      </c>
      <c r="X6605">
        <v>707.62</v>
      </c>
      <c r="Y6605">
        <v>0</v>
      </c>
      <c r="Z6605"/>
      <c r="AB6605"/>
      <c r="AC6605">
        <v>707.62</v>
      </c>
      <c r="AD6605">
        <v>645</v>
      </c>
      <c r="AE6605" s="1">
        <v>456414.9</v>
      </c>
      <c r="AF6605">
        <v>0</v>
      </c>
      <c r="AJ6605">
        <v>0</v>
      </c>
      <c r="AK6605">
        <v>0</v>
      </c>
      <c r="AL6605">
        <v>0</v>
      </c>
      <c r="AM6605">
        <v>0</v>
      </c>
      <c r="AN6605">
        <v>0</v>
      </c>
      <c r="AO6605">
        <v>0</v>
      </c>
      <c r="AP6605" s="2">
        <v>42746</v>
      </c>
      <c r="AQ6605" t="s">
        <v>72</v>
      </c>
      <c r="AR6605" t="s">
        <v>72</v>
      </c>
      <c r="AS6605">
        <v>598</v>
      </c>
      <c r="AT6605" s="4">
        <v>42430</v>
      </c>
      <c r="AU6605" t="s">
        <v>73</v>
      </c>
      <c r="AV6605">
        <v>598</v>
      </c>
      <c r="AW6605" s="4">
        <v>42430</v>
      </c>
      <c r="BD6605">
        <v>0</v>
      </c>
      <c r="BN6605" t="s">
        <v>74</v>
      </c>
    </row>
    <row r="6606" spans="1:66" hidden="1">
      <c r="A6606">
        <v>104093</v>
      </c>
      <c r="B6606" s="3" t="s">
        <v>609</v>
      </c>
      <c r="C6606" s="1">
        <v>43300101</v>
      </c>
      <c r="D6606" t="s">
        <v>67</v>
      </c>
      <c r="H6606" t="str">
        <f t="shared" si="672"/>
        <v>12572900152</v>
      </c>
      <c r="I6606" t="str">
        <f t="shared" si="673"/>
        <v>06032681006</v>
      </c>
      <c r="K6606" t="str">
        <f>""</f>
        <v/>
      </c>
      <c r="M6606" t="s">
        <v>68</v>
      </c>
      <c r="N6606" t="str">
        <f t="shared" si="671"/>
        <v>FOR</v>
      </c>
      <c r="O6606" t="s">
        <v>69</v>
      </c>
      <c r="P6606" s="3" t="s">
        <v>70</v>
      </c>
      <c r="Q6606">
        <v>2014</v>
      </c>
      <c r="R6606" s="2">
        <v>41752</v>
      </c>
      <c r="S6606" s="2">
        <v>42339</v>
      </c>
      <c r="T6606" s="2">
        <v>42339</v>
      </c>
      <c r="U6606" s="2">
        <v>42399</v>
      </c>
      <c r="V6606" t="s">
        <v>71</v>
      </c>
      <c r="W6606" t="str">
        <f>"            25177205"</f>
        <v xml:space="preserve">            25177205</v>
      </c>
      <c r="X6606">
        <v>936</v>
      </c>
      <c r="Y6606">
        <v>0</v>
      </c>
      <c r="Z6606"/>
      <c r="AB6606"/>
      <c r="AC6606">
        <v>936</v>
      </c>
      <c r="AD6606">
        <v>4</v>
      </c>
      <c r="AE6606" s="1">
        <v>3744</v>
      </c>
      <c r="AF6606">
        <v>0</v>
      </c>
      <c r="AJ6606">
        <v>0</v>
      </c>
      <c r="AK6606">
        <v>0</v>
      </c>
      <c r="AL6606">
        <v>0</v>
      </c>
      <c r="AM6606">
        <v>0</v>
      </c>
      <c r="AN6606">
        <v>0</v>
      </c>
      <c r="AO6606">
        <v>0</v>
      </c>
      <c r="AP6606" s="2">
        <v>42746</v>
      </c>
      <c r="AQ6606" t="s">
        <v>72</v>
      </c>
      <c r="AR6606" t="s">
        <v>72</v>
      </c>
      <c r="AS6606">
        <v>228</v>
      </c>
      <c r="AT6606" s="4">
        <v>42403</v>
      </c>
      <c r="AU6606" t="s">
        <v>73</v>
      </c>
      <c r="AV6606">
        <v>228</v>
      </c>
      <c r="AW6606" s="4">
        <v>42403</v>
      </c>
      <c r="BD6606">
        <v>0</v>
      </c>
      <c r="BN6606" t="s">
        <v>74</v>
      </c>
    </row>
    <row r="6607" spans="1:66" hidden="1">
      <c r="A6607">
        <v>104093</v>
      </c>
      <c r="B6607" s="3" t="s">
        <v>609</v>
      </c>
      <c r="C6607" s="1">
        <v>43300101</v>
      </c>
      <c r="D6607" t="s">
        <v>67</v>
      </c>
      <c r="H6607" t="str">
        <f t="shared" si="672"/>
        <v>12572900152</v>
      </c>
      <c r="I6607" t="str">
        <f t="shared" si="673"/>
        <v>06032681006</v>
      </c>
      <c r="K6607" t="str">
        <f>""</f>
        <v/>
      </c>
      <c r="M6607" t="s">
        <v>68</v>
      </c>
      <c r="N6607" t="str">
        <f t="shared" si="671"/>
        <v>FOR</v>
      </c>
      <c r="O6607" t="s">
        <v>69</v>
      </c>
      <c r="P6607" s="3" t="s">
        <v>70</v>
      </c>
      <c r="Q6607">
        <v>2014</v>
      </c>
      <c r="R6607" s="2">
        <v>41752</v>
      </c>
      <c r="S6607" s="2">
        <v>42339</v>
      </c>
      <c r="T6607" s="2">
        <v>42339</v>
      </c>
      <c r="U6607" s="2">
        <v>42399</v>
      </c>
      <c r="V6607" t="s">
        <v>71</v>
      </c>
      <c r="W6607" t="str">
        <f>"            25177206"</f>
        <v xml:space="preserve">            25177206</v>
      </c>
      <c r="X6607">
        <v>936</v>
      </c>
      <c r="Y6607">
        <v>0</v>
      </c>
      <c r="Z6607"/>
      <c r="AB6607"/>
      <c r="AC6607">
        <v>936</v>
      </c>
      <c r="AD6607">
        <v>4</v>
      </c>
      <c r="AE6607" s="1">
        <v>3744</v>
      </c>
      <c r="AF6607">
        <v>0</v>
      </c>
      <c r="AJ6607">
        <v>0</v>
      </c>
      <c r="AK6607">
        <v>0</v>
      </c>
      <c r="AL6607">
        <v>0</v>
      </c>
      <c r="AM6607">
        <v>0</v>
      </c>
      <c r="AN6607">
        <v>0</v>
      </c>
      <c r="AO6607">
        <v>0</v>
      </c>
      <c r="AP6607" s="2">
        <v>42746</v>
      </c>
      <c r="AQ6607" t="s">
        <v>72</v>
      </c>
      <c r="AR6607" t="s">
        <v>72</v>
      </c>
      <c r="AS6607">
        <v>228</v>
      </c>
      <c r="AT6607" s="4">
        <v>42403</v>
      </c>
      <c r="AU6607" t="s">
        <v>73</v>
      </c>
      <c r="AV6607">
        <v>228</v>
      </c>
      <c r="AW6607" s="4">
        <v>42403</v>
      </c>
      <c r="BD6607">
        <v>0</v>
      </c>
      <c r="BN6607" t="s">
        <v>74</v>
      </c>
    </row>
    <row r="6608" spans="1:66" hidden="1">
      <c r="A6608">
        <v>104093</v>
      </c>
      <c r="B6608" s="3" t="s">
        <v>609</v>
      </c>
      <c r="C6608" s="1">
        <v>43300101</v>
      </c>
      <c r="D6608" t="s">
        <v>67</v>
      </c>
      <c r="H6608" t="str">
        <f t="shared" si="672"/>
        <v>12572900152</v>
      </c>
      <c r="I6608" t="str">
        <f t="shared" si="673"/>
        <v>06032681006</v>
      </c>
      <c r="K6608" t="str">
        <f>""</f>
        <v/>
      </c>
      <c r="M6608" t="s">
        <v>68</v>
      </c>
      <c r="N6608" t="str">
        <f t="shared" si="671"/>
        <v>FOR</v>
      </c>
      <c r="O6608" t="s">
        <v>69</v>
      </c>
      <c r="P6608" s="3" t="s">
        <v>70</v>
      </c>
      <c r="Q6608">
        <v>2014</v>
      </c>
      <c r="R6608" s="2">
        <v>41752</v>
      </c>
      <c r="S6608" s="2">
        <v>42339</v>
      </c>
      <c r="T6608" s="2">
        <v>42339</v>
      </c>
      <c r="U6608" s="2">
        <v>42399</v>
      </c>
      <c r="V6608" t="s">
        <v>71</v>
      </c>
      <c r="W6608" t="str">
        <f>"            25177208"</f>
        <v xml:space="preserve">            25177208</v>
      </c>
      <c r="X6608">
        <v>936</v>
      </c>
      <c r="Y6608">
        <v>0</v>
      </c>
      <c r="Z6608"/>
      <c r="AB6608"/>
      <c r="AC6608">
        <v>936</v>
      </c>
      <c r="AD6608">
        <v>4</v>
      </c>
      <c r="AE6608" s="1">
        <v>3744</v>
      </c>
      <c r="AF6608">
        <v>0</v>
      </c>
      <c r="AJ6608">
        <v>0</v>
      </c>
      <c r="AK6608">
        <v>0</v>
      </c>
      <c r="AL6608">
        <v>0</v>
      </c>
      <c r="AM6608">
        <v>0</v>
      </c>
      <c r="AN6608">
        <v>0</v>
      </c>
      <c r="AO6608">
        <v>0</v>
      </c>
      <c r="AP6608" s="2">
        <v>42746</v>
      </c>
      <c r="AQ6608" t="s">
        <v>72</v>
      </c>
      <c r="AR6608" t="s">
        <v>72</v>
      </c>
      <c r="AS6608">
        <v>228</v>
      </c>
      <c r="AT6608" s="4">
        <v>42403</v>
      </c>
      <c r="AU6608" t="s">
        <v>73</v>
      </c>
      <c r="AV6608">
        <v>228</v>
      </c>
      <c r="AW6608" s="4">
        <v>42403</v>
      </c>
      <c r="BD6608">
        <v>0</v>
      </c>
      <c r="BN6608" t="s">
        <v>74</v>
      </c>
    </row>
    <row r="6609" spans="1:66" hidden="1">
      <c r="A6609">
        <v>104093</v>
      </c>
      <c r="B6609" s="3" t="s">
        <v>609</v>
      </c>
      <c r="C6609" s="1">
        <v>43300101</v>
      </c>
      <c r="D6609" t="s">
        <v>67</v>
      </c>
      <c r="H6609" t="str">
        <f t="shared" si="672"/>
        <v>12572900152</v>
      </c>
      <c r="I6609" t="str">
        <f t="shared" si="673"/>
        <v>06032681006</v>
      </c>
      <c r="K6609" t="str">
        <f>""</f>
        <v/>
      </c>
      <c r="M6609" t="s">
        <v>68</v>
      </c>
      <c r="N6609" t="str">
        <f t="shared" si="671"/>
        <v>FOR</v>
      </c>
      <c r="O6609" t="s">
        <v>69</v>
      </c>
      <c r="P6609" s="3" t="s">
        <v>70</v>
      </c>
      <c r="Q6609">
        <v>2014</v>
      </c>
      <c r="R6609" s="2">
        <v>41752</v>
      </c>
      <c r="S6609" s="2">
        <v>42339</v>
      </c>
      <c r="T6609" s="2">
        <v>42339</v>
      </c>
      <c r="U6609" s="2">
        <v>42399</v>
      </c>
      <c r="V6609" t="s">
        <v>71</v>
      </c>
      <c r="W6609" t="str">
        <f>"            25177209"</f>
        <v xml:space="preserve">            25177209</v>
      </c>
      <c r="X6609">
        <v>936</v>
      </c>
      <c r="Y6609">
        <v>0</v>
      </c>
      <c r="Z6609"/>
      <c r="AB6609"/>
      <c r="AC6609">
        <v>936</v>
      </c>
      <c r="AD6609">
        <v>4</v>
      </c>
      <c r="AE6609" s="1">
        <v>3744</v>
      </c>
      <c r="AF6609">
        <v>0</v>
      </c>
      <c r="AJ6609">
        <v>0</v>
      </c>
      <c r="AK6609">
        <v>0</v>
      </c>
      <c r="AL6609">
        <v>0</v>
      </c>
      <c r="AM6609">
        <v>0</v>
      </c>
      <c r="AN6609">
        <v>0</v>
      </c>
      <c r="AO6609">
        <v>0</v>
      </c>
      <c r="AP6609" s="2">
        <v>42746</v>
      </c>
      <c r="AQ6609" t="s">
        <v>72</v>
      </c>
      <c r="AR6609" t="s">
        <v>72</v>
      </c>
      <c r="AS6609">
        <v>228</v>
      </c>
      <c r="AT6609" s="4">
        <v>42403</v>
      </c>
      <c r="AU6609" t="s">
        <v>73</v>
      </c>
      <c r="AV6609">
        <v>228</v>
      </c>
      <c r="AW6609" s="4">
        <v>42403</v>
      </c>
      <c r="BD6609">
        <v>0</v>
      </c>
      <c r="BN6609" t="s">
        <v>74</v>
      </c>
    </row>
    <row r="6610" spans="1:66" hidden="1">
      <c r="A6610">
        <v>104093</v>
      </c>
      <c r="B6610" s="3" t="s">
        <v>609</v>
      </c>
      <c r="C6610" s="1">
        <v>43300101</v>
      </c>
      <c r="D6610" t="s">
        <v>67</v>
      </c>
      <c r="H6610" t="str">
        <f t="shared" si="672"/>
        <v>12572900152</v>
      </c>
      <c r="I6610" t="str">
        <f t="shared" si="673"/>
        <v>06032681006</v>
      </c>
      <c r="K6610" t="str">
        <f>""</f>
        <v/>
      </c>
      <c r="M6610" t="s">
        <v>68</v>
      </c>
      <c r="N6610" t="str">
        <f t="shared" si="671"/>
        <v>FOR</v>
      </c>
      <c r="O6610" t="s">
        <v>69</v>
      </c>
      <c r="P6610" s="3" t="s">
        <v>70</v>
      </c>
      <c r="Q6610">
        <v>2014</v>
      </c>
      <c r="R6610" s="2">
        <v>41752</v>
      </c>
      <c r="S6610" s="2">
        <v>42339</v>
      </c>
      <c r="T6610" s="2">
        <v>42339</v>
      </c>
      <c r="U6610" s="2">
        <v>42399</v>
      </c>
      <c r="V6610" t="s">
        <v>71</v>
      </c>
      <c r="W6610" t="str">
        <f>"            25177210"</f>
        <v xml:space="preserve">            25177210</v>
      </c>
      <c r="X6610">
        <v>936</v>
      </c>
      <c r="Y6610">
        <v>0</v>
      </c>
      <c r="Z6610"/>
      <c r="AB6610"/>
      <c r="AC6610">
        <v>936</v>
      </c>
      <c r="AD6610">
        <v>4</v>
      </c>
      <c r="AE6610" s="1">
        <v>3744</v>
      </c>
      <c r="AF6610">
        <v>0</v>
      </c>
      <c r="AJ6610">
        <v>0</v>
      </c>
      <c r="AK6610">
        <v>0</v>
      </c>
      <c r="AL6610">
        <v>0</v>
      </c>
      <c r="AM6610">
        <v>0</v>
      </c>
      <c r="AN6610">
        <v>0</v>
      </c>
      <c r="AO6610">
        <v>0</v>
      </c>
      <c r="AP6610" s="2">
        <v>42746</v>
      </c>
      <c r="AQ6610" t="s">
        <v>72</v>
      </c>
      <c r="AR6610" t="s">
        <v>72</v>
      </c>
      <c r="AS6610">
        <v>228</v>
      </c>
      <c r="AT6610" s="4">
        <v>42403</v>
      </c>
      <c r="AU6610" t="s">
        <v>73</v>
      </c>
      <c r="AV6610">
        <v>228</v>
      </c>
      <c r="AW6610" s="4">
        <v>42403</v>
      </c>
      <c r="BD6610">
        <v>0</v>
      </c>
      <c r="BN6610" t="s">
        <v>74</v>
      </c>
    </row>
    <row r="6611" spans="1:66" hidden="1">
      <c r="A6611">
        <v>104093</v>
      </c>
      <c r="B6611" s="3" t="s">
        <v>609</v>
      </c>
      <c r="C6611" s="1">
        <v>43300101</v>
      </c>
      <c r="D6611" t="s">
        <v>67</v>
      </c>
      <c r="H6611" t="str">
        <f t="shared" si="672"/>
        <v>12572900152</v>
      </c>
      <c r="I6611" t="str">
        <f t="shared" si="673"/>
        <v>06032681006</v>
      </c>
      <c r="K6611" t="str">
        <f>""</f>
        <v/>
      </c>
      <c r="M6611" t="s">
        <v>68</v>
      </c>
      <c r="N6611" t="str">
        <f t="shared" si="671"/>
        <v>FOR</v>
      </c>
      <c r="O6611" t="s">
        <v>69</v>
      </c>
      <c r="P6611" s="3" t="s">
        <v>70</v>
      </c>
      <c r="Q6611">
        <v>2014</v>
      </c>
      <c r="R6611" s="2">
        <v>41752</v>
      </c>
      <c r="S6611" s="2">
        <v>42339</v>
      </c>
      <c r="T6611" s="2">
        <v>42339</v>
      </c>
      <c r="U6611" s="2">
        <v>42399</v>
      </c>
      <c r="V6611" t="s">
        <v>71</v>
      </c>
      <c r="W6611" t="str">
        <f>"            25177211"</f>
        <v xml:space="preserve">            25177211</v>
      </c>
      <c r="X6611">
        <v>936</v>
      </c>
      <c r="Y6611">
        <v>0</v>
      </c>
      <c r="Z6611"/>
      <c r="AB6611"/>
      <c r="AC6611">
        <v>936</v>
      </c>
      <c r="AD6611">
        <v>4</v>
      </c>
      <c r="AE6611" s="1">
        <v>3744</v>
      </c>
      <c r="AF6611">
        <v>0</v>
      </c>
      <c r="AJ6611">
        <v>0</v>
      </c>
      <c r="AK6611">
        <v>0</v>
      </c>
      <c r="AL6611">
        <v>0</v>
      </c>
      <c r="AM6611">
        <v>0</v>
      </c>
      <c r="AN6611">
        <v>0</v>
      </c>
      <c r="AO6611">
        <v>0</v>
      </c>
      <c r="AP6611" s="2">
        <v>42746</v>
      </c>
      <c r="AQ6611" t="s">
        <v>72</v>
      </c>
      <c r="AR6611" t="s">
        <v>72</v>
      </c>
      <c r="AS6611">
        <v>228</v>
      </c>
      <c r="AT6611" s="4">
        <v>42403</v>
      </c>
      <c r="AU6611" t="s">
        <v>73</v>
      </c>
      <c r="AV6611">
        <v>228</v>
      </c>
      <c r="AW6611" s="4">
        <v>42403</v>
      </c>
      <c r="BD6611">
        <v>0</v>
      </c>
      <c r="BN6611" t="s">
        <v>74</v>
      </c>
    </row>
    <row r="6612" spans="1:66" hidden="1">
      <c r="A6612">
        <v>104093</v>
      </c>
      <c r="B6612" s="3" t="s">
        <v>609</v>
      </c>
      <c r="C6612" s="1">
        <v>43300101</v>
      </c>
      <c r="D6612" t="s">
        <v>67</v>
      </c>
      <c r="H6612" t="str">
        <f t="shared" si="672"/>
        <v>12572900152</v>
      </c>
      <c r="I6612" t="str">
        <f t="shared" si="673"/>
        <v>06032681006</v>
      </c>
      <c r="K6612" t="str">
        <f>""</f>
        <v/>
      </c>
      <c r="M6612" t="s">
        <v>68</v>
      </c>
      <c r="N6612" t="str">
        <f t="shared" si="671"/>
        <v>FOR</v>
      </c>
      <c r="O6612" t="s">
        <v>69</v>
      </c>
      <c r="P6612" s="3" t="s">
        <v>70</v>
      </c>
      <c r="Q6612">
        <v>2014</v>
      </c>
      <c r="R6612" s="2">
        <v>41752</v>
      </c>
      <c r="S6612" s="2">
        <v>42339</v>
      </c>
      <c r="T6612" s="2">
        <v>42339</v>
      </c>
      <c r="U6612" s="2">
        <v>42399</v>
      </c>
      <c r="V6612" t="s">
        <v>71</v>
      </c>
      <c r="W6612" t="str">
        <f>"            25177212"</f>
        <v xml:space="preserve">            25177212</v>
      </c>
      <c r="X6612">
        <v>936</v>
      </c>
      <c r="Y6612">
        <v>0</v>
      </c>
      <c r="Z6612"/>
      <c r="AB6612"/>
      <c r="AC6612">
        <v>936</v>
      </c>
      <c r="AD6612">
        <v>4</v>
      </c>
      <c r="AE6612" s="1">
        <v>3744</v>
      </c>
      <c r="AF6612">
        <v>0</v>
      </c>
      <c r="AJ6612">
        <v>0</v>
      </c>
      <c r="AK6612">
        <v>0</v>
      </c>
      <c r="AL6612">
        <v>0</v>
      </c>
      <c r="AM6612">
        <v>0</v>
      </c>
      <c r="AN6612">
        <v>0</v>
      </c>
      <c r="AO6612">
        <v>0</v>
      </c>
      <c r="AP6612" s="2">
        <v>42746</v>
      </c>
      <c r="AQ6612" t="s">
        <v>72</v>
      </c>
      <c r="AR6612" t="s">
        <v>72</v>
      </c>
      <c r="AS6612">
        <v>228</v>
      </c>
      <c r="AT6612" s="4">
        <v>42403</v>
      </c>
      <c r="AU6612" t="s">
        <v>73</v>
      </c>
      <c r="AV6612">
        <v>228</v>
      </c>
      <c r="AW6612" s="4">
        <v>42403</v>
      </c>
      <c r="BD6612">
        <v>0</v>
      </c>
      <c r="BN6612" t="s">
        <v>74</v>
      </c>
    </row>
    <row r="6613" spans="1:66" hidden="1">
      <c r="A6613">
        <v>104093</v>
      </c>
      <c r="B6613" s="3" t="s">
        <v>609</v>
      </c>
      <c r="C6613" s="1">
        <v>43300101</v>
      </c>
      <c r="D6613" t="s">
        <v>67</v>
      </c>
      <c r="H6613" t="str">
        <f t="shared" si="672"/>
        <v>12572900152</v>
      </c>
      <c r="I6613" t="str">
        <f t="shared" si="673"/>
        <v>06032681006</v>
      </c>
      <c r="K6613" t="str">
        <f>""</f>
        <v/>
      </c>
      <c r="M6613" t="s">
        <v>68</v>
      </c>
      <c r="N6613" t="str">
        <f t="shared" si="671"/>
        <v>FOR</v>
      </c>
      <c r="O6613" t="s">
        <v>69</v>
      </c>
      <c r="P6613" s="3" t="s">
        <v>70</v>
      </c>
      <c r="Q6613">
        <v>2014</v>
      </c>
      <c r="R6613" s="2">
        <v>41752</v>
      </c>
      <c r="S6613" s="2">
        <v>42339</v>
      </c>
      <c r="T6613" s="2">
        <v>42339</v>
      </c>
      <c r="U6613" s="2">
        <v>42399</v>
      </c>
      <c r="V6613" t="s">
        <v>71</v>
      </c>
      <c r="W6613" t="str">
        <f>"            25177213"</f>
        <v xml:space="preserve">            25177213</v>
      </c>
      <c r="X6613">
        <v>936</v>
      </c>
      <c r="Y6613">
        <v>0</v>
      </c>
      <c r="Z6613"/>
      <c r="AB6613"/>
      <c r="AC6613">
        <v>936</v>
      </c>
      <c r="AD6613">
        <v>4</v>
      </c>
      <c r="AE6613" s="1">
        <v>3744</v>
      </c>
      <c r="AF6613">
        <v>0</v>
      </c>
      <c r="AJ6613">
        <v>0</v>
      </c>
      <c r="AK6613">
        <v>0</v>
      </c>
      <c r="AL6613">
        <v>0</v>
      </c>
      <c r="AM6613">
        <v>0</v>
      </c>
      <c r="AN6613">
        <v>0</v>
      </c>
      <c r="AO6613">
        <v>0</v>
      </c>
      <c r="AP6613" s="2">
        <v>42746</v>
      </c>
      <c r="AQ6613" t="s">
        <v>72</v>
      </c>
      <c r="AR6613" t="s">
        <v>72</v>
      </c>
      <c r="AS6613">
        <v>228</v>
      </c>
      <c r="AT6613" s="4">
        <v>42403</v>
      </c>
      <c r="AU6613" t="s">
        <v>73</v>
      </c>
      <c r="AV6613">
        <v>228</v>
      </c>
      <c r="AW6613" s="4">
        <v>42403</v>
      </c>
      <c r="BD6613">
        <v>0</v>
      </c>
      <c r="BN6613" t="s">
        <v>74</v>
      </c>
    </row>
    <row r="6614" spans="1:66" hidden="1">
      <c r="A6614">
        <v>104093</v>
      </c>
      <c r="B6614" s="3" t="s">
        <v>609</v>
      </c>
      <c r="C6614" s="1">
        <v>43300101</v>
      </c>
      <c r="D6614" t="s">
        <v>67</v>
      </c>
      <c r="H6614" t="str">
        <f t="shared" si="672"/>
        <v>12572900152</v>
      </c>
      <c r="I6614" t="str">
        <f t="shared" si="673"/>
        <v>06032681006</v>
      </c>
      <c r="K6614" t="str">
        <f>""</f>
        <v/>
      </c>
      <c r="M6614" t="s">
        <v>68</v>
      </c>
      <c r="N6614" t="str">
        <f t="shared" si="671"/>
        <v>FOR</v>
      </c>
      <c r="O6614" t="s">
        <v>69</v>
      </c>
      <c r="P6614" s="3" t="s">
        <v>70</v>
      </c>
      <c r="Q6614">
        <v>2014</v>
      </c>
      <c r="R6614" s="2">
        <v>41809</v>
      </c>
      <c r="S6614" s="2">
        <v>42339</v>
      </c>
      <c r="T6614" s="2">
        <v>42339</v>
      </c>
      <c r="U6614" s="2">
        <v>42399</v>
      </c>
      <c r="V6614" t="s">
        <v>71</v>
      </c>
      <c r="W6614" t="str">
        <f>"            25187300"</f>
        <v xml:space="preserve">            25187300</v>
      </c>
      <c r="X6614">
        <v>252.72</v>
      </c>
      <c r="Y6614">
        <v>0</v>
      </c>
      <c r="Z6614"/>
      <c r="AB6614"/>
      <c r="AC6614">
        <v>252.72</v>
      </c>
      <c r="AD6614">
        <v>4</v>
      </c>
      <c r="AE6614" s="1">
        <v>1010.88</v>
      </c>
      <c r="AF6614">
        <v>0</v>
      </c>
      <c r="AJ6614">
        <v>0</v>
      </c>
      <c r="AK6614">
        <v>0</v>
      </c>
      <c r="AL6614">
        <v>0</v>
      </c>
      <c r="AM6614">
        <v>0</v>
      </c>
      <c r="AN6614">
        <v>0</v>
      </c>
      <c r="AO6614">
        <v>0</v>
      </c>
      <c r="AP6614" s="2">
        <v>42746</v>
      </c>
      <c r="AQ6614" t="s">
        <v>72</v>
      </c>
      <c r="AR6614" t="s">
        <v>72</v>
      </c>
      <c r="AS6614">
        <v>228</v>
      </c>
      <c r="AT6614" s="4">
        <v>42403</v>
      </c>
      <c r="AU6614" t="s">
        <v>73</v>
      </c>
      <c r="AV6614">
        <v>228</v>
      </c>
      <c r="AW6614" s="4">
        <v>42403</v>
      </c>
      <c r="BD6614">
        <v>0</v>
      </c>
      <c r="BN6614" t="s">
        <v>74</v>
      </c>
    </row>
    <row r="6615" spans="1:66" hidden="1">
      <c r="A6615">
        <v>104093</v>
      </c>
      <c r="B6615" s="3" t="s">
        <v>609</v>
      </c>
      <c r="C6615" s="1">
        <v>43300101</v>
      </c>
      <c r="D6615" t="s">
        <v>67</v>
      </c>
      <c r="H6615" t="str">
        <f t="shared" si="672"/>
        <v>12572900152</v>
      </c>
      <c r="I6615" t="str">
        <f t="shared" si="673"/>
        <v>06032681006</v>
      </c>
      <c r="K6615" t="str">
        <f>""</f>
        <v/>
      </c>
      <c r="M6615" t="s">
        <v>68</v>
      </c>
      <c r="N6615" t="str">
        <f t="shared" si="671"/>
        <v>FOR</v>
      </c>
      <c r="O6615" t="s">
        <v>69</v>
      </c>
      <c r="P6615" s="3" t="s">
        <v>70</v>
      </c>
      <c r="Q6615">
        <v>2014</v>
      </c>
      <c r="R6615" s="2">
        <v>41809</v>
      </c>
      <c r="S6615" s="2">
        <v>42339</v>
      </c>
      <c r="T6615" s="2">
        <v>42339</v>
      </c>
      <c r="U6615" s="2">
        <v>42399</v>
      </c>
      <c r="V6615" t="s">
        <v>71</v>
      </c>
      <c r="W6615" t="str">
        <f>"            25187301"</f>
        <v xml:space="preserve">            25187301</v>
      </c>
      <c r="X6615">
        <v>707.62</v>
      </c>
      <c r="Y6615">
        <v>0</v>
      </c>
      <c r="Z6615"/>
      <c r="AB6615"/>
      <c r="AC6615">
        <v>707.62</v>
      </c>
      <c r="AD6615">
        <v>4</v>
      </c>
      <c r="AE6615" s="1">
        <v>2830.48</v>
      </c>
      <c r="AF6615">
        <v>0</v>
      </c>
      <c r="AJ6615">
        <v>0</v>
      </c>
      <c r="AK6615">
        <v>0</v>
      </c>
      <c r="AL6615">
        <v>0</v>
      </c>
      <c r="AM6615">
        <v>0</v>
      </c>
      <c r="AN6615">
        <v>0</v>
      </c>
      <c r="AO6615">
        <v>0</v>
      </c>
      <c r="AP6615" s="2">
        <v>42746</v>
      </c>
      <c r="AQ6615" t="s">
        <v>72</v>
      </c>
      <c r="AR6615" t="s">
        <v>72</v>
      </c>
      <c r="AS6615">
        <v>228</v>
      </c>
      <c r="AT6615" s="4">
        <v>42403</v>
      </c>
      <c r="AU6615" t="s">
        <v>73</v>
      </c>
      <c r="AV6615">
        <v>228</v>
      </c>
      <c r="AW6615" s="4">
        <v>42403</v>
      </c>
      <c r="BD6615">
        <v>0</v>
      </c>
      <c r="BN6615" t="s">
        <v>74</v>
      </c>
    </row>
    <row r="6616" spans="1:66" hidden="1">
      <c r="A6616">
        <v>104093</v>
      </c>
      <c r="B6616" s="3" t="s">
        <v>609</v>
      </c>
      <c r="C6616" s="1">
        <v>43300101</v>
      </c>
      <c r="D6616" t="s">
        <v>67</v>
      </c>
      <c r="H6616" t="str">
        <f t="shared" si="672"/>
        <v>12572900152</v>
      </c>
      <c r="I6616" t="str">
        <f t="shared" si="673"/>
        <v>06032681006</v>
      </c>
      <c r="K6616" t="str">
        <f>""</f>
        <v/>
      </c>
      <c r="M6616" t="s">
        <v>68</v>
      </c>
      <c r="N6616" t="str">
        <f t="shared" si="671"/>
        <v>FOR</v>
      </c>
      <c r="O6616" t="s">
        <v>69</v>
      </c>
      <c r="P6616" s="3" t="s">
        <v>70</v>
      </c>
      <c r="Q6616">
        <v>2014</v>
      </c>
      <c r="R6616" s="2">
        <v>41809</v>
      </c>
      <c r="S6616" s="2">
        <v>42339</v>
      </c>
      <c r="T6616" s="2">
        <v>42339</v>
      </c>
      <c r="U6616" s="2">
        <v>42399</v>
      </c>
      <c r="V6616" t="s">
        <v>71</v>
      </c>
      <c r="W6616" t="str">
        <f>"            25187302"</f>
        <v xml:space="preserve">            25187302</v>
      </c>
      <c r="X6616">
        <v>74.88</v>
      </c>
      <c r="Y6616">
        <v>0</v>
      </c>
      <c r="Z6616"/>
      <c r="AB6616"/>
      <c r="AC6616">
        <v>74.88</v>
      </c>
      <c r="AD6616">
        <v>4</v>
      </c>
      <c r="AE6616">
        <v>299.52</v>
      </c>
      <c r="AF6616">
        <v>0</v>
      </c>
      <c r="AJ6616">
        <v>0</v>
      </c>
      <c r="AK6616">
        <v>0</v>
      </c>
      <c r="AL6616">
        <v>0</v>
      </c>
      <c r="AM6616">
        <v>0</v>
      </c>
      <c r="AN6616">
        <v>0</v>
      </c>
      <c r="AO6616">
        <v>0</v>
      </c>
      <c r="AP6616" s="2">
        <v>42746</v>
      </c>
      <c r="AQ6616" t="s">
        <v>72</v>
      </c>
      <c r="AR6616" t="s">
        <v>72</v>
      </c>
      <c r="AS6616">
        <v>228</v>
      </c>
      <c r="AT6616" s="4">
        <v>42403</v>
      </c>
      <c r="AU6616" t="s">
        <v>73</v>
      </c>
      <c r="AV6616">
        <v>228</v>
      </c>
      <c r="AW6616" s="4">
        <v>42403</v>
      </c>
      <c r="BD6616">
        <v>0</v>
      </c>
      <c r="BN6616" t="s">
        <v>74</v>
      </c>
    </row>
    <row r="6617" spans="1:66" hidden="1">
      <c r="A6617">
        <v>104093</v>
      </c>
      <c r="B6617" s="3" t="s">
        <v>609</v>
      </c>
      <c r="C6617" s="1">
        <v>43300101</v>
      </c>
      <c r="D6617" t="s">
        <v>67</v>
      </c>
      <c r="H6617" t="str">
        <f t="shared" si="672"/>
        <v>12572900152</v>
      </c>
      <c r="I6617" t="str">
        <f t="shared" si="673"/>
        <v>06032681006</v>
      </c>
      <c r="K6617" t="str">
        <f>""</f>
        <v/>
      </c>
      <c r="M6617" t="s">
        <v>68</v>
      </c>
      <c r="N6617" t="str">
        <f t="shared" si="671"/>
        <v>FOR</v>
      </c>
      <c r="O6617" t="s">
        <v>69</v>
      </c>
      <c r="P6617" s="3" t="s">
        <v>70</v>
      </c>
      <c r="Q6617">
        <v>2014</v>
      </c>
      <c r="R6617" s="2">
        <v>41835</v>
      </c>
      <c r="S6617" s="2">
        <v>42339</v>
      </c>
      <c r="T6617" s="2">
        <v>42339</v>
      </c>
      <c r="U6617" s="2">
        <v>42399</v>
      </c>
      <c r="V6617" t="s">
        <v>71</v>
      </c>
      <c r="W6617" t="str">
        <f>"            25191610"</f>
        <v xml:space="preserve">            25191610</v>
      </c>
      <c r="X6617">
        <v>936</v>
      </c>
      <c r="Y6617">
        <v>0</v>
      </c>
      <c r="Z6617"/>
      <c r="AB6617"/>
      <c r="AC6617">
        <v>936</v>
      </c>
      <c r="AD6617">
        <v>4</v>
      </c>
      <c r="AE6617" s="1">
        <v>3744</v>
      </c>
      <c r="AF6617">
        <v>0</v>
      </c>
      <c r="AJ6617">
        <v>0</v>
      </c>
      <c r="AK6617">
        <v>0</v>
      </c>
      <c r="AL6617">
        <v>0</v>
      </c>
      <c r="AM6617">
        <v>0</v>
      </c>
      <c r="AN6617">
        <v>0</v>
      </c>
      <c r="AO6617">
        <v>0</v>
      </c>
      <c r="AP6617" s="2">
        <v>42746</v>
      </c>
      <c r="AQ6617" t="s">
        <v>72</v>
      </c>
      <c r="AR6617" t="s">
        <v>72</v>
      </c>
      <c r="AS6617">
        <v>228</v>
      </c>
      <c r="AT6617" s="4">
        <v>42403</v>
      </c>
      <c r="AU6617" t="s">
        <v>73</v>
      </c>
      <c r="AV6617">
        <v>228</v>
      </c>
      <c r="AW6617" s="4">
        <v>42403</v>
      </c>
      <c r="BD6617">
        <v>0</v>
      </c>
      <c r="BN6617" t="s">
        <v>74</v>
      </c>
    </row>
    <row r="6618" spans="1:66" hidden="1">
      <c r="A6618">
        <v>104093</v>
      </c>
      <c r="B6618" s="3" t="s">
        <v>609</v>
      </c>
      <c r="C6618" s="1">
        <v>43300101</v>
      </c>
      <c r="D6618" t="s">
        <v>67</v>
      </c>
      <c r="H6618" t="str">
        <f t="shared" si="672"/>
        <v>12572900152</v>
      </c>
      <c r="I6618" t="str">
        <f t="shared" si="673"/>
        <v>06032681006</v>
      </c>
      <c r="K6618" t="str">
        <f>""</f>
        <v/>
      </c>
      <c r="M6618" t="s">
        <v>68</v>
      </c>
      <c r="N6618" t="str">
        <f t="shared" si="671"/>
        <v>FOR</v>
      </c>
      <c r="O6618" t="s">
        <v>69</v>
      </c>
      <c r="P6618" s="3" t="s">
        <v>70</v>
      </c>
      <c r="Q6618">
        <v>2014</v>
      </c>
      <c r="R6618" s="2">
        <v>41835</v>
      </c>
      <c r="S6618" s="2">
        <v>42339</v>
      </c>
      <c r="T6618" s="2">
        <v>42339</v>
      </c>
      <c r="U6618" s="2">
        <v>42399</v>
      </c>
      <c r="V6618" t="s">
        <v>71</v>
      </c>
      <c r="W6618" t="str">
        <f>"            25191611"</f>
        <v xml:space="preserve">            25191611</v>
      </c>
      <c r="X6618">
        <v>936</v>
      </c>
      <c r="Y6618">
        <v>0</v>
      </c>
      <c r="Z6618"/>
      <c r="AB6618"/>
      <c r="AC6618">
        <v>936</v>
      </c>
      <c r="AD6618">
        <v>4</v>
      </c>
      <c r="AE6618" s="1">
        <v>3744</v>
      </c>
      <c r="AF6618">
        <v>0</v>
      </c>
      <c r="AJ6618">
        <v>0</v>
      </c>
      <c r="AK6618">
        <v>0</v>
      </c>
      <c r="AL6618">
        <v>0</v>
      </c>
      <c r="AM6618">
        <v>0</v>
      </c>
      <c r="AN6618">
        <v>0</v>
      </c>
      <c r="AO6618">
        <v>0</v>
      </c>
      <c r="AP6618" s="2">
        <v>42746</v>
      </c>
      <c r="AQ6618" t="s">
        <v>72</v>
      </c>
      <c r="AR6618" t="s">
        <v>72</v>
      </c>
      <c r="AS6618">
        <v>228</v>
      </c>
      <c r="AT6618" s="4">
        <v>42403</v>
      </c>
      <c r="AU6618" t="s">
        <v>73</v>
      </c>
      <c r="AV6618">
        <v>228</v>
      </c>
      <c r="AW6618" s="4">
        <v>42403</v>
      </c>
      <c r="BD6618">
        <v>0</v>
      </c>
      <c r="BN6618" t="s">
        <v>74</v>
      </c>
    </row>
    <row r="6619" spans="1:66" hidden="1">
      <c r="A6619">
        <v>104093</v>
      </c>
      <c r="B6619" s="3" t="s">
        <v>609</v>
      </c>
      <c r="C6619" s="1">
        <v>43300101</v>
      </c>
      <c r="D6619" t="s">
        <v>67</v>
      </c>
      <c r="H6619" t="str">
        <f t="shared" si="672"/>
        <v>12572900152</v>
      </c>
      <c r="I6619" t="str">
        <f t="shared" si="673"/>
        <v>06032681006</v>
      </c>
      <c r="K6619" t="str">
        <f>""</f>
        <v/>
      </c>
      <c r="M6619" t="s">
        <v>68</v>
      </c>
      <c r="N6619" t="str">
        <f t="shared" si="671"/>
        <v>FOR</v>
      </c>
      <c r="O6619" t="s">
        <v>69</v>
      </c>
      <c r="P6619" s="3" t="s">
        <v>70</v>
      </c>
      <c r="Q6619">
        <v>2014</v>
      </c>
      <c r="R6619" s="2">
        <v>41835</v>
      </c>
      <c r="S6619" s="2">
        <v>42339</v>
      </c>
      <c r="T6619" s="2">
        <v>42339</v>
      </c>
      <c r="U6619" s="2">
        <v>42399</v>
      </c>
      <c r="V6619" t="s">
        <v>71</v>
      </c>
      <c r="W6619" t="str">
        <f>"            25191612"</f>
        <v xml:space="preserve">            25191612</v>
      </c>
      <c r="X6619">
        <v>936</v>
      </c>
      <c r="Y6619">
        <v>0</v>
      </c>
      <c r="Z6619"/>
      <c r="AB6619"/>
      <c r="AC6619">
        <v>936</v>
      </c>
      <c r="AD6619">
        <v>4</v>
      </c>
      <c r="AE6619" s="1">
        <v>3744</v>
      </c>
      <c r="AF6619">
        <v>0</v>
      </c>
      <c r="AJ6619">
        <v>0</v>
      </c>
      <c r="AK6619">
        <v>0</v>
      </c>
      <c r="AL6619">
        <v>0</v>
      </c>
      <c r="AM6619">
        <v>0</v>
      </c>
      <c r="AN6619">
        <v>0</v>
      </c>
      <c r="AO6619">
        <v>0</v>
      </c>
      <c r="AP6619" s="2">
        <v>42746</v>
      </c>
      <c r="AQ6619" t="s">
        <v>72</v>
      </c>
      <c r="AR6619" t="s">
        <v>72</v>
      </c>
      <c r="AS6619">
        <v>228</v>
      </c>
      <c r="AT6619" s="4">
        <v>42403</v>
      </c>
      <c r="AU6619" t="s">
        <v>73</v>
      </c>
      <c r="AV6619">
        <v>228</v>
      </c>
      <c r="AW6619" s="4">
        <v>42403</v>
      </c>
      <c r="BD6619">
        <v>0</v>
      </c>
      <c r="BN6619" t="s">
        <v>74</v>
      </c>
    </row>
    <row r="6620" spans="1:66" hidden="1">
      <c r="A6620">
        <v>104093</v>
      </c>
      <c r="B6620" s="3" t="s">
        <v>609</v>
      </c>
      <c r="C6620" s="1">
        <v>43300101</v>
      </c>
      <c r="D6620" t="s">
        <v>67</v>
      </c>
      <c r="H6620" t="str">
        <f t="shared" si="672"/>
        <v>12572900152</v>
      </c>
      <c r="I6620" t="str">
        <f t="shared" si="673"/>
        <v>06032681006</v>
      </c>
      <c r="K6620" t="str">
        <f>""</f>
        <v/>
      </c>
      <c r="M6620" t="s">
        <v>68</v>
      </c>
      <c r="N6620" t="str">
        <f t="shared" si="671"/>
        <v>FOR</v>
      </c>
      <c r="O6620" t="s">
        <v>69</v>
      </c>
      <c r="P6620" s="3" t="s">
        <v>70</v>
      </c>
      <c r="Q6620">
        <v>2014</v>
      </c>
      <c r="R6620" s="2">
        <v>41835</v>
      </c>
      <c r="S6620" s="2">
        <v>42339</v>
      </c>
      <c r="T6620" s="2">
        <v>42339</v>
      </c>
      <c r="U6620" s="2">
        <v>42399</v>
      </c>
      <c r="V6620" t="s">
        <v>71</v>
      </c>
      <c r="W6620" t="str">
        <f>"            25191613"</f>
        <v xml:space="preserve">            25191613</v>
      </c>
      <c r="X6620" s="1">
        <v>3801.2</v>
      </c>
      <c r="Y6620">
        <v>0</v>
      </c>
      <c r="Z6620"/>
      <c r="AB6620"/>
      <c r="AC6620" s="1">
        <v>3801.2</v>
      </c>
      <c r="AD6620">
        <v>4</v>
      </c>
      <c r="AE6620" s="1">
        <v>15204.8</v>
      </c>
      <c r="AF6620">
        <v>0</v>
      </c>
      <c r="AJ6620">
        <v>0</v>
      </c>
      <c r="AK6620">
        <v>0</v>
      </c>
      <c r="AL6620">
        <v>0</v>
      </c>
      <c r="AM6620">
        <v>0</v>
      </c>
      <c r="AN6620">
        <v>0</v>
      </c>
      <c r="AO6620">
        <v>0</v>
      </c>
      <c r="AP6620" s="2">
        <v>42746</v>
      </c>
      <c r="AQ6620" t="s">
        <v>72</v>
      </c>
      <c r="AR6620" t="s">
        <v>72</v>
      </c>
      <c r="AS6620">
        <v>228</v>
      </c>
      <c r="AT6620" s="4">
        <v>42403</v>
      </c>
      <c r="AU6620" t="s">
        <v>73</v>
      </c>
      <c r="AV6620">
        <v>228</v>
      </c>
      <c r="AW6620" s="4">
        <v>42403</v>
      </c>
      <c r="BD6620">
        <v>0</v>
      </c>
      <c r="BN6620" t="s">
        <v>74</v>
      </c>
    </row>
    <row r="6621" spans="1:66" hidden="1">
      <c r="A6621">
        <v>104093</v>
      </c>
      <c r="B6621" s="3" t="s">
        <v>609</v>
      </c>
      <c r="C6621" s="1">
        <v>43300101</v>
      </c>
      <c r="D6621" t="s">
        <v>67</v>
      </c>
      <c r="H6621" t="str">
        <f t="shared" si="672"/>
        <v>12572900152</v>
      </c>
      <c r="I6621" t="str">
        <f t="shared" si="673"/>
        <v>06032681006</v>
      </c>
      <c r="K6621" t="str">
        <f>""</f>
        <v/>
      </c>
      <c r="M6621" t="s">
        <v>68</v>
      </c>
      <c r="N6621" t="str">
        <f t="shared" si="671"/>
        <v>FOR</v>
      </c>
      <c r="O6621" t="s">
        <v>69</v>
      </c>
      <c r="P6621" s="3" t="s">
        <v>70</v>
      </c>
      <c r="Q6621">
        <v>2014</v>
      </c>
      <c r="R6621" s="2">
        <v>41835</v>
      </c>
      <c r="S6621" s="2">
        <v>42339</v>
      </c>
      <c r="T6621" s="2">
        <v>42339</v>
      </c>
      <c r="U6621" s="2">
        <v>42399</v>
      </c>
      <c r="V6621" t="s">
        <v>71</v>
      </c>
      <c r="W6621" t="str">
        <f>"            25191614"</f>
        <v xml:space="preserve">            25191614</v>
      </c>
      <c r="X6621">
        <v>74.88</v>
      </c>
      <c r="Y6621">
        <v>0</v>
      </c>
      <c r="Z6621"/>
      <c r="AB6621"/>
      <c r="AC6621">
        <v>74.88</v>
      </c>
      <c r="AD6621">
        <v>4</v>
      </c>
      <c r="AE6621">
        <v>299.52</v>
      </c>
      <c r="AF6621">
        <v>0</v>
      </c>
      <c r="AJ6621">
        <v>0</v>
      </c>
      <c r="AK6621">
        <v>0</v>
      </c>
      <c r="AL6621">
        <v>0</v>
      </c>
      <c r="AM6621">
        <v>0</v>
      </c>
      <c r="AN6621">
        <v>0</v>
      </c>
      <c r="AO6621">
        <v>0</v>
      </c>
      <c r="AP6621" s="2">
        <v>42746</v>
      </c>
      <c r="AQ6621" t="s">
        <v>72</v>
      </c>
      <c r="AR6621" t="s">
        <v>72</v>
      </c>
      <c r="AS6621">
        <v>228</v>
      </c>
      <c r="AT6621" s="4">
        <v>42403</v>
      </c>
      <c r="AU6621" t="s">
        <v>73</v>
      </c>
      <c r="AV6621">
        <v>228</v>
      </c>
      <c r="AW6621" s="4">
        <v>42403</v>
      </c>
      <c r="BD6621">
        <v>0</v>
      </c>
      <c r="BN6621" t="s">
        <v>74</v>
      </c>
    </row>
    <row r="6622" spans="1:66" hidden="1">
      <c r="A6622">
        <v>104093</v>
      </c>
      <c r="B6622" s="3" t="s">
        <v>609</v>
      </c>
      <c r="C6622" s="1">
        <v>43300101</v>
      </c>
      <c r="D6622" t="s">
        <v>67</v>
      </c>
      <c r="H6622" t="str">
        <f t="shared" si="672"/>
        <v>12572900152</v>
      </c>
      <c r="I6622" t="str">
        <f t="shared" si="673"/>
        <v>06032681006</v>
      </c>
      <c r="K6622" t="str">
        <f>""</f>
        <v/>
      </c>
      <c r="M6622" t="s">
        <v>68</v>
      </c>
      <c r="N6622" t="str">
        <f t="shared" si="671"/>
        <v>FOR</v>
      </c>
      <c r="O6622" t="s">
        <v>69</v>
      </c>
      <c r="P6622" s="3" t="s">
        <v>70</v>
      </c>
      <c r="Q6622">
        <v>2014</v>
      </c>
      <c r="R6622" s="2">
        <v>41835</v>
      </c>
      <c r="S6622" s="2">
        <v>42339</v>
      </c>
      <c r="T6622" s="2">
        <v>42339</v>
      </c>
      <c r="U6622" s="2">
        <v>42399</v>
      </c>
      <c r="V6622" t="s">
        <v>71</v>
      </c>
      <c r="W6622" t="str">
        <f>"            25191615"</f>
        <v xml:space="preserve">            25191615</v>
      </c>
      <c r="X6622">
        <v>252.72</v>
      </c>
      <c r="Y6622">
        <v>0</v>
      </c>
      <c r="Z6622"/>
      <c r="AB6622"/>
      <c r="AC6622">
        <v>252.72</v>
      </c>
      <c r="AD6622">
        <v>4</v>
      </c>
      <c r="AE6622" s="1">
        <v>1010.88</v>
      </c>
      <c r="AF6622">
        <v>0</v>
      </c>
      <c r="AJ6622">
        <v>0</v>
      </c>
      <c r="AK6622">
        <v>0</v>
      </c>
      <c r="AL6622">
        <v>0</v>
      </c>
      <c r="AM6622">
        <v>0</v>
      </c>
      <c r="AN6622">
        <v>0</v>
      </c>
      <c r="AO6622">
        <v>0</v>
      </c>
      <c r="AP6622" s="2">
        <v>42746</v>
      </c>
      <c r="AQ6622" t="s">
        <v>72</v>
      </c>
      <c r="AR6622" t="s">
        <v>72</v>
      </c>
      <c r="AS6622">
        <v>228</v>
      </c>
      <c r="AT6622" s="4">
        <v>42403</v>
      </c>
      <c r="AU6622" t="s">
        <v>73</v>
      </c>
      <c r="AV6622">
        <v>228</v>
      </c>
      <c r="AW6622" s="4">
        <v>42403</v>
      </c>
      <c r="BD6622">
        <v>0</v>
      </c>
      <c r="BN6622" t="s">
        <v>74</v>
      </c>
    </row>
    <row r="6623" spans="1:66" hidden="1">
      <c r="A6623">
        <v>104093</v>
      </c>
      <c r="B6623" s="3" t="s">
        <v>609</v>
      </c>
      <c r="C6623" s="1">
        <v>43300101</v>
      </c>
      <c r="D6623" t="s">
        <v>67</v>
      </c>
      <c r="H6623" t="str">
        <f t="shared" si="672"/>
        <v>12572900152</v>
      </c>
      <c r="I6623" t="str">
        <f t="shared" si="673"/>
        <v>06032681006</v>
      </c>
      <c r="K6623" t="str">
        <f>""</f>
        <v/>
      </c>
      <c r="M6623" t="s">
        <v>68</v>
      </c>
      <c r="N6623" t="str">
        <f t="shared" si="671"/>
        <v>FOR</v>
      </c>
      <c r="O6623" t="s">
        <v>69</v>
      </c>
      <c r="P6623" s="3" t="s">
        <v>70</v>
      </c>
      <c r="Q6623">
        <v>2014</v>
      </c>
      <c r="R6623" s="2">
        <v>41836</v>
      </c>
      <c r="S6623" s="2">
        <v>42339</v>
      </c>
      <c r="T6623" s="2">
        <v>42339</v>
      </c>
      <c r="U6623" s="2">
        <v>42399</v>
      </c>
      <c r="V6623" t="s">
        <v>71</v>
      </c>
      <c r="W6623" t="str">
        <f>"            25191866"</f>
        <v xml:space="preserve">            25191866</v>
      </c>
      <c r="X6623">
        <v>707.62</v>
      </c>
      <c r="Y6623">
        <v>0</v>
      </c>
      <c r="Z6623"/>
      <c r="AB6623"/>
      <c r="AC6623">
        <v>707.62</v>
      </c>
      <c r="AD6623">
        <v>4</v>
      </c>
      <c r="AE6623" s="1">
        <v>2830.48</v>
      </c>
      <c r="AF6623">
        <v>0</v>
      </c>
      <c r="AJ6623">
        <v>0</v>
      </c>
      <c r="AK6623">
        <v>0</v>
      </c>
      <c r="AL6623">
        <v>0</v>
      </c>
      <c r="AM6623">
        <v>0</v>
      </c>
      <c r="AN6623">
        <v>0</v>
      </c>
      <c r="AO6623">
        <v>0</v>
      </c>
      <c r="AP6623" s="2">
        <v>42746</v>
      </c>
      <c r="AQ6623" t="s">
        <v>72</v>
      </c>
      <c r="AR6623" t="s">
        <v>72</v>
      </c>
      <c r="AS6623">
        <v>228</v>
      </c>
      <c r="AT6623" s="4">
        <v>42403</v>
      </c>
      <c r="AU6623" t="s">
        <v>73</v>
      </c>
      <c r="AV6623">
        <v>228</v>
      </c>
      <c r="AW6623" s="4">
        <v>42403</v>
      </c>
      <c r="BD6623">
        <v>0</v>
      </c>
      <c r="BN6623" t="s">
        <v>74</v>
      </c>
    </row>
    <row r="6624" spans="1:66" hidden="1">
      <c r="A6624">
        <v>104093</v>
      </c>
      <c r="B6624" s="3" t="s">
        <v>609</v>
      </c>
      <c r="C6624" s="1">
        <v>43300101</v>
      </c>
      <c r="D6624" t="s">
        <v>67</v>
      </c>
      <c r="H6624" t="str">
        <f t="shared" si="672"/>
        <v>12572900152</v>
      </c>
      <c r="I6624" t="str">
        <f t="shared" si="673"/>
        <v>06032681006</v>
      </c>
      <c r="K6624" t="str">
        <f>""</f>
        <v/>
      </c>
      <c r="M6624" t="s">
        <v>68</v>
      </c>
      <c r="N6624" t="str">
        <f t="shared" si="671"/>
        <v>FOR</v>
      </c>
      <c r="O6624" t="s">
        <v>69</v>
      </c>
      <c r="P6624" s="3" t="s">
        <v>70</v>
      </c>
      <c r="Q6624">
        <v>2014</v>
      </c>
      <c r="R6624" s="2">
        <v>41841</v>
      </c>
      <c r="S6624" s="2">
        <v>42339</v>
      </c>
      <c r="T6624" s="2">
        <v>42339</v>
      </c>
      <c r="U6624" s="2">
        <v>42399</v>
      </c>
      <c r="V6624" t="s">
        <v>71</v>
      </c>
      <c r="W6624" t="str">
        <f>"            25192517"</f>
        <v xml:space="preserve">            25192517</v>
      </c>
      <c r="X6624">
        <v>691.6</v>
      </c>
      <c r="Y6624">
        <v>0</v>
      </c>
      <c r="Z6624"/>
      <c r="AB6624"/>
      <c r="AC6624">
        <v>691.6</v>
      </c>
      <c r="AD6624">
        <v>4</v>
      </c>
      <c r="AE6624" s="1">
        <v>2766.4</v>
      </c>
      <c r="AF6624">
        <v>0</v>
      </c>
      <c r="AJ6624">
        <v>0</v>
      </c>
      <c r="AK6624">
        <v>0</v>
      </c>
      <c r="AL6624">
        <v>0</v>
      </c>
      <c r="AM6624">
        <v>0</v>
      </c>
      <c r="AN6624">
        <v>0</v>
      </c>
      <c r="AO6624">
        <v>0</v>
      </c>
      <c r="AP6624" s="2">
        <v>42746</v>
      </c>
      <c r="AQ6624" t="s">
        <v>72</v>
      </c>
      <c r="AR6624" t="s">
        <v>72</v>
      </c>
      <c r="AS6624">
        <v>228</v>
      </c>
      <c r="AT6624" s="4">
        <v>42403</v>
      </c>
      <c r="AU6624" t="s">
        <v>73</v>
      </c>
      <c r="AV6624">
        <v>228</v>
      </c>
      <c r="AW6624" s="4">
        <v>42403</v>
      </c>
      <c r="BD6624">
        <v>0</v>
      </c>
      <c r="BN6624" t="s">
        <v>74</v>
      </c>
    </row>
    <row r="6625" spans="1:66" hidden="1">
      <c r="A6625">
        <v>104093</v>
      </c>
      <c r="B6625" s="3" t="s">
        <v>609</v>
      </c>
      <c r="C6625" s="1">
        <v>43300101</v>
      </c>
      <c r="D6625" t="s">
        <v>67</v>
      </c>
      <c r="H6625" t="str">
        <f t="shared" si="672"/>
        <v>12572900152</v>
      </c>
      <c r="I6625" t="str">
        <f t="shared" si="673"/>
        <v>06032681006</v>
      </c>
      <c r="K6625" t="str">
        <f>""</f>
        <v/>
      </c>
      <c r="M6625" t="s">
        <v>68</v>
      </c>
      <c r="N6625" t="str">
        <f t="shared" si="671"/>
        <v>FOR</v>
      </c>
      <c r="O6625" t="s">
        <v>69</v>
      </c>
      <c r="P6625" s="3" t="s">
        <v>70</v>
      </c>
      <c r="Q6625">
        <v>2014</v>
      </c>
      <c r="R6625" s="2">
        <v>41953</v>
      </c>
      <c r="S6625" s="2">
        <v>42340</v>
      </c>
      <c r="T6625" s="2">
        <v>42340</v>
      </c>
      <c r="U6625" s="2">
        <v>42400</v>
      </c>
      <c r="V6625" t="s">
        <v>71</v>
      </c>
      <c r="W6625" t="str">
        <f>"            25210787"</f>
        <v xml:space="preserve">            25210787</v>
      </c>
      <c r="X6625">
        <v>707.62</v>
      </c>
      <c r="Y6625">
        <v>0</v>
      </c>
      <c r="Z6625"/>
      <c r="AB6625"/>
      <c r="AC6625">
        <v>707.62</v>
      </c>
      <c r="AD6625">
        <v>3</v>
      </c>
      <c r="AE6625" s="1">
        <v>2122.86</v>
      </c>
      <c r="AF6625">
        <v>0</v>
      </c>
      <c r="AJ6625">
        <v>0</v>
      </c>
      <c r="AK6625">
        <v>0</v>
      </c>
      <c r="AL6625">
        <v>0</v>
      </c>
      <c r="AM6625">
        <v>0</v>
      </c>
      <c r="AN6625">
        <v>0</v>
      </c>
      <c r="AO6625">
        <v>0</v>
      </c>
      <c r="AP6625" s="2">
        <v>42746</v>
      </c>
      <c r="AQ6625" t="s">
        <v>72</v>
      </c>
      <c r="AR6625" t="s">
        <v>72</v>
      </c>
      <c r="AS6625">
        <v>228</v>
      </c>
      <c r="AT6625" s="4">
        <v>42403</v>
      </c>
      <c r="AU6625" t="s">
        <v>73</v>
      </c>
      <c r="AV6625">
        <v>228</v>
      </c>
      <c r="AW6625" s="4">
        <v>42403</v>
      </c>
      <c r="BD6625">
        <v>0</v>
      </c>
      <c r="BN6625" t="s">
        <v>74</v>
      </c>
    </row>
    <row r="6626" spans="1:66" hidden="1">
      <c r="A6626">
        <v>104093</v>
      </c>
      <c r="B6626" s="3" t="s">
        <v>609</v>
      </c>
      <c r="C6626" s="1">
        <v>43300101</v>
      </c>
      <c r="D6626" t="s">
        <v>67</v>
      </c>
      <c r="H6626" t="str">
        <f t="shared" si="672"/>
        <v>12572900152</v>
      </c>
      <c r="I6626" t="str">
        <f t="shared" si="673"/>
        <v>06032681006</v>
      </c>
      <c r="K6626" t="str">
        <f>""</f>
        <v/>
      </c>
      <c r="M6626" t="s">
        <v>68</v>
      </c>
      <c r="N6626" t="str">
        <f t="shared" si="671"/>
        <v>FOR</v>
      </c>
      <c r="O6626" t="s">
        <v>69</v>
      </c>
      <c r="P6626" s="3" t="s">
        <v>70</v>
      </c>
      <c r="Q6626">
        <v>2014</v>
      </c>
      <c r="R6626" s="2">
        <v>41953</v>
      </c>
      <c r="S6626" s="2">
        <v>42340</v>
      </c>
      <c r="T6626" s="2">
        <v>42340</v>
      </c>
      <c r="U6626" s="2">
        <v>42400</v>
      </c>
      <c r="V6626" t="s">
        <v>71</v>
      </c>
      <c r="W6626" t="str">
        <f>"            25210788"</f>
        <v xml:space="preserve">            25210788</v>
      </c>
      <c r="X6626">
        <v>252.72</v>
      </c>
      <c r="Y6626">
        <v>0</v>
      </c>
      <c r="Z6626"/>
      <c r="AB6626"/>
      <c r="AC6626">
        <v>252.72</v>
      </c>
      <c r="AD6626">
        <v>3</v>
      </c>
      <c r="AE6626">
        <v>758.16</v>
      </c>
      <c r="AF6626">
        <v>0</v>
      </c>
      <c r="AJ6626">
        <v>0</v>
      </c>
      <c r="AK6626">
        <v>0</v>
      </c>
      <c r="AL6626">
        <v>0</v>
      </c>
      <c r="AM6626">
        <v>0</v>
      </c>
      <c r="AN6626">
        <v>0</v>
      </c>
      <c r="AO6626">
        <v>0</v>
      </c>
      <c r="AP6626" s="2">
        <v>42746</v>
      </c>
      <c r="AQ6626" t="s">
        <v>72</v>
      </c>
      <c r="AR6626" t="s">
        <v>72</v>
      </c>
      <c r="AS6626">
        <v>228</v>
      </c>
      <c r="AT6626" s="4">
        <v>42403</v>
      </c>
      <c r="AU6626" t="s">
        <v>73</v>
      </c>
      <c r="AV6626">
        <v>228</v>
      </c>
      <c r="AW6626" s="4">
        <v>42403</v>
      </c>
      <c r="BD6626">
        <v>0</v>
      </c>
      <c r="BN6626" t="s">
        <v>74</v>
      </c>
    </row>
    <row r="6627" spans="1:66" hidden="1">
      <c r="A6627">
        <v>104093</v>
      </c>
      <c r="B6627" s="3" t="s">
        <v>609</v>
      </c>
      <c r="C6627" s="1">
        <v>43300101</v>
      </c>
      <c r="D6627" t="s">
        <v>67</v>
      </c>
      <c r="H6627" t="str">
        <f t="shared" si="672"/>
        <v>12572900152</v>
      </c>
      <c r="I6627" t="str">
        <f t="shared" si="673"/>
        <v>06032681006</v>
      </c>
      <c r="K6627" t="str">
        <f>""</f>
        <v/>
      </c>
      <c r="M6627" t="s">
        <v>68</v>
      </c>
      <c r="N6627" t="str">
        <f t="shared" si="671"/>
        <v>FOR</v>
      </c>
      <c r="O6627" t="s">
        <v>69</v>
      </c>
      <c r="P6627" s="3" t="s">
        <v>70</v>
      </c>
      <c r="Q6627">
        <v>2014</v>
      </c>
      <c r="R6627" s="2">
        <v>41953</v>
      </c>
      <c r="S6627" s="2">
        <v>42340</v>
      </c>
      <c r="T6627" s="2">
        <v>42340</v>
      </c>
      <c r="U6627" s="2">
        <v>42400</v>
      </c>
      <c r="V6627" t="s">
        <v>71</v>
      </c>
      <c r="W6627" t="str">
        <f>"            25210789"</f>
        <v xml:space="preserve">            25210789</v>
      </c>
      <c r="X6627">
        <v>74.88</v>
      </c>
      <c r="Y6627">
        <v>0</v>
      </c>
      <c r="Z6627"/>
      <c r="AB6627"/>
      <c r="AC6627">
        <v>74.88</v>
      </c>
      <c r="AD6627">
        <v>3</v>
      </c>
      <c r="AE6627">
        <v>224.64</v>
      </c>
      <c r="AF6627">
        <v>0</v>
      </c>
      <c r="AJ6627">
        <v>0</v>
      </c>
      <c r="AK6627">
        <v>0</v>
      </c>
      <c r="AL6627">
        <v>0</v>
      </c>
      <c r="AM6627">
        <v>0</v>
      </c>
      <c r="AN6627">
        <v>0</v>
      </c>
      <c r="AO6627">
        <v>0</v>
      </c>
      <c r="AP6627" s="2">
        <v>42746</v>
      </c>
      <c r="AQ6627" t="s">
        <v>72</v>
      </c>
      <c r="AR6627" t="s">
        <v>72</v>
      </c>
      <c r="AS6627">
        <v>228</v>
      </c>
      <c r="AT6627" s="4">
        <v>42403</v>
      </c>
      <c r="AU6627" t="s">
        <v>73</v>
      </c>
      <c r="AV6627">
        <v>228</v>
      </c>
      <c r="AW6627" s="4">
        <v>42403</v>
      </c>
      <c r="BD6627">
        <v>0</v>
      </c>
      <c r="BN6627" t="s">
        <v>74</v>
      </c>
    </row>
    <row r="6628" spans="1:66" hidden="1">
      <c r="A6628">
        <v>104093</v>
      </c>
      <c r="B6628" s="3" t="s">
        <v>609</v>
      </c>
      <c r="C6628" s="1">
        <v>43300101</v>
      </c>
      <c r="D6628" t="s">
        <v>67</v>
      </c>
      <c r="H6628" t="str">
        <f t="shared" si="672"/>
        <v>12572900152</v>
      </c>
      <c r="I6628" t="str">
        <f t="shared" si="673"/>
        <v>06032681006</v>
      </c>
      <c r="K6628" t="str">
        <f>""</f>
        <v/>
      </c>
      <c r="M6628" t="s">
        <v>68</v>
      </c>
      <c r="N6628" t="str">
        <f t="shared" si="671"/>
        <v>FOR</v>
      </c>
      <c r="O6628" t="s">
        <v>69</v>
      </c>
      <c r="P6628" s="3" t="s">
        <v>70</v>
      </c>
      <c r="Q6628">
        <v>2014</v>
      </c>
      <c r="R6628" s="2">
        <v>41953</v>
      </c>
      <c r="S6628" s="2">
        <v>42340</v>
      </c>
      <c r="T6628" s="2">
        <v>42340</v>
      </c>
      <c r="U6628" s="2">
        <v>42400</v>
      </c>
      <c r="V6628" t="s">
        <v>71</v>
      </c>
      <c r="W6628" t="str">
        <f>"            25210790"</f>
        <v xml:space="preserve">            25210790</v>
      </c>
      <c r="X6628">
        <v>252.72</v>
      </c>
      <c r="Y6628">
        <v>0</v>
      </c>
      <c r="Z6628"/>
      <c r="AB6628"/>
      <c r="AC6628">
        <v>252.72</v>
      </c>
      <c r="AD6628">
        <v>3</v>
      </c>
      <c r="AE6628">
        <v>758.16</v>
      </c>
      <c r="AF6628">
        <v>0</v>
      </c>
      <c r="AJ6628">
        <v>0</v>
      </c>
      <c r="AK6628">
        <v>0</v>
      </c>
      <c r="AL6628">
        <v>0</v>
      </c>
      <c r="AM6628">
        <v>0</v>
      </c>
      <c r="AN6628">
        <v>0</v>
      </c>
      <c r="AO6628">
        <v>0</v>
      </c>
      <c r="AP6628" s="2">
        <v>42746</v>
      </c>
      <c r="AQ6628" t="s">
        <v>72</v>
      </c>
      <c r="AR6628" t="s">
        <v>72</v>
      </c>
      <c r="AS6628">
        <v>228</v>
      </c>
      <c r="AT6628" s="4">
        <v>42403</v>
      </c>
      <c r="AU6628" t="s">
        <v>73</v>
      </c>
      <c r="AV6628">
        <v>228</v>
      </c>
      <c r="AW6628" s="4">
        <v>42403</v>
      </c>
      <c r="BD6628">
        <v>0</v>
      </c>
      <c r="BN6628" t="s">
        <v>74</v>
      </c>
    </row>
    <row r="6629" spans="1:66" hidden="1">
      <c r="A6629">
        <v>104093</v>
      </c>
      <c r="B6629" s="3" t="s">
        <v>609</v>
      </c>
      <c r="C6629" s="1">
        <v>43300101</v>
      </c>
      <c r="D6629" t="s">
        <v>67</v>
      </c>
      <c r="H6629" t="str">
        <f t="shared" si="672"/>
        <v>12572900152</v>
      </c>
      <c r="I6629" t="str">
        <f t="shared" si="673"/>
        <v>06032681006</v>
      </c>
      <c r="K6629" t="str">
        <f>""</f>
        <v/>
      </c>
      <c r="M6629" t="s">
        <v>68</v>
      </c>
      <c r="N6629" t="str">
        <f t="shared" si="671"/>
        <v>FOR</v>
      </c>
      <c r="O6629" t="s">
        <v>69</v>
      </c>
      <c r="P6629" s="3" t="s">
        <v>70</v>
      </c>
      <c r="Q6629">
        <v>2014</v>
      </c>
      <c r="R6629" s="2">
        <v>41953</v>
      </c>
      <c r="S6629" s="2">
        <v>42340</v>
      </c>
      <c r="T6629" s="2">
        <v>42340</v>
      </c>
      <c r="U6629" s="2">
        <v>42400</v>
      </c>
      <c r="V6629" t="s">
        <v>71</v>
      </c>
      <c r="W6629" t="str">
        <f>"            25210791"</f>
        <v xml:space="preserve">            25210791</v>
      </c>
      <c r="X6629">
        <v>707.62</v>
      </c>
      <c r="Y6629">
        <v>0</v>
      </c>
      <c r="Z6629"/>
      <c r="AB6629"/>
      <c r="AC6629">
        <v>707.62</v>
      </c>
      <c r="AD6629">
        <v>3</v>
      </c>
      <c r="AE6629" s="1">
        <v>2122.86</v>
      </c>
      <c r="AF6629">
        <v>0</v>
      </c>
      <c r="AJ6629">
        <v>0</v>
      </c>
      <c r="AK6629">
        <v>0</v>
      </c>
      <c r="AL6629">
        <v>0</v>
      </c>
      <c r="AM6629">
        <v>0</v>
      </c>
      <c r="AN6629">
        <v>0</v>
      </c>
      <c r="AO6629">
        <v>0</v>
      </c>
      <c r="AP6629" s="2">
        <v>42746</v>
      </c>
      <c r="AQ6629" t="s">
        <v>72</v>
      </c>
      <c r="AR6629" t="s">
        <v>72</v>
      </c>
      <c r="AS6629">
        <v>228</v>
      </c>
      <c r="AT6629" s="4">
        <v>42403</v>
      </c>
      <c r="AU6629" t="s">
        <v>73</v>
      </c>
      <c r="AV6629">
        <v>228</v>
      </c>
      <c r="AW6629" s="4">
        <v>42403</v>
      </c>
      <c r="BD6629">
        <v>0</v>
      </c>
      <c r="BN6629" t="s">
        <v>74</v>
      </c>
    </row>
    <row r="6630" spans="1:66" hidden="1">
      <c r="A6630">
        <v>104093</v>
      </c>
      <c r="B6630" s="3" t="s">
        <v>609</v>
      </c>
      <c r="C6630" s="1">
        <v>43300101</v>
      </c>
      <c r="D6630" t="s">
        <v>67</v>
      </c>
      <c r="H6630" t="str">
        <f t="shared" si="672"/>
        <v>12572900152</v>
      </c>
      <c r="I6630" t="str">
        <f t="shared" si="673"/>
        <v>06032681006</v>
      </c>
      <c r="K6630" t="str">
        <f>""</f>
        <v/>
      </c>
      <c r="M6630" t="s">
        <v>68</v>
      </c>
      <c r="N6630" t="str">
        <f t="shared" si="671"/>
        <v>FOR</v>
      </c>
      <c r="O6630" t="s">
        <v>69</v>
      </c>
      <c r="P6630" s="3" t="s">
        <v>70</v>
      </c>
      <c r="Q6630">
        <v>2014</v>
      </c>
      <c r="R6630" s="2">
        <v>41953</v>
      </c>
      <c r="S6630" s="2">
        <v>42340</v>
      </c>
      <c r="T6630" s="2">
        <v>42340</v>
      </c>
      <c r="U6630" s="2">
        <v>42400</v>
      </c>
      <c r="V6630" t="s">
        <v>71</v>
      </c>
      <c r="W6630" t="str">
        <f>"            25210792"</f>
        <v xml:space="preserve">            25210792</v>
      </c>
      <c r="X6630">
        <v>74.88</v>
      </c>
      <c r="Y6630">
        <v>0</v>
      </c>
      <c r="Z6630"/>
      <c r="AB6630"/>
      <c r="AC6630">
        <v>74.88</v>
      </c>
      <c r="AD6630">
        <v>3</v>
      </c>
      <c r="AE6630">
        <v>224.64</v>
      </c>
      <c r="AF6630">
        <v>0</v>
      </c>
      <c r="AJ6630">
        <v>0</v>
      </c>
      <c r="AK6630">
        <v>0</v>
      </c>
      <c r="AL6630">
        <v>0</v>
      </c>
      <c r="AM6630">
        <v>0</v>
      </c>
      <c r="AN6630">
        <v>0</v>
      </c>
      <c r="AO6630">
        <v>0</v>
      </c>
      <c r="AP6630" s="2">
        <v>42746</v>
      </c>
      <c r="AQ6630" t="s">
        <v>72</v>
      </c>
      <c r="AR6630" t="s">
        <v>72</v>
      </c>
      <c r="AS6630">
        <v>228</v>
      </c>
      <c r="AT6630" s="4">
        <v>42403</v>
      </c>
      <c r="AU6630" t="s">
        <v>73</v>
      </c>
      <c r="AV6630">
        <v>228</v>
      </c>
      <c r="AW6630" s="4">
        <v>42403</v>
      </c>
      <c r="BD6630">
        <v>0</v>
      </c>
      <c r="BN6630" t="s">
        <v>74</v>
      </c>
    </row>
    <row r="6631" spans="1:66" hidden="1">
      <c r="A6631">
        <v>104093</v>
      </c>
      <c r="B6631" s="3" t="s">
        <v>609</v>
      </c>
      <c r="C6631" s="1">
        <v>43300101</v>
      </c>
      <c r="D6631" t="s">
        <v>67</v>
      </c>
      <c r="H6631" t="str">
        <f t="shared" si="672"/>
        <v>12572900152</v>
      </c>
      <c r="I6631" t="str">
        <f t="shared" si="673"/>
        <v>06032681006</v>
      </c>
      <c r="K6631" t="str">
        <f>""</f>
        <v/>
      </c>
      <c r="M6631" t="s">
        <v>68</v>
      </c>
      <c r="N6631" t="str">
        <f t="shared" si="671"/>
        <v>FOR</v>
      </c>
      <c r="O6631" t="s">
        <v>69</v>
      </c>
      <c r="P6631" s="3" t="s">
        <v>70</v>
      </c>
      <c r="Q6631">
        <v>2014</v>
      </c>
      <c r="R6631" s="2">
        <v>41957</v>
      </c>
      <c r="S6631" s="2">
        <v>42340</v>
      </c>
      <c r="T6631" s="2">
        <v>42340</v>
      </c>
      <c r="U6631" s="2">
        <v>42400</v>
      </c>
      <c r="V6631" t="s">
        <v>71</v>
      </c>
      <c r="W6631" t="str">
        <f>"            25211799"</f>
        <v xml:space="preserve">            25211799</v>
      </c>
      <c r="X6631">
        <v>74.88</v>
      </c>
      <c r="Y6631">
        <v>0</v>
      </c>
      <c r="Z6631"/>
      <c r="AB6631"/>
      <c r="AC6631">
        <v>74.88</v>
      </c>
      <c r="AD6631">
        <v>3</v>
      </c>
      <c r="AE6631">
        <v>224.64</v>
      </c>
      <c r="AF6631">
        <v>0</v>
      </c>
      <c r="AJ6631">
        <v>0</v>
      </c>
      <c r="AK6631">
        <v>0</v>
      </c>
      <c r="AL6631">
        <v>0</v>
      </c>
      <c r="AM6631">
        <v>0</v>
      </c>
      <c r="AN6631">
        <v>0</v>
      </c>
      <c r="AO6631">
        <v>0</v>
      </c>
      <c r="AP6631" s="2">
        <v>42746</v>
      </c>
      <c r="AQ6631" t="s">
        <v>72</v>
      </c>
      <c r="AR6631" t="s">
        <v>72</v>
      </c>
      <c r="AS6631">
        <v>228</v>
      </c>
      <c r="AT6631" s="4">
        <v>42403</v>
      </c>
      <c r="AU6631" t="s">
        <v>73</v>
      </c>
      <c r="AV6631">
        <v>228</v>
      </c>
      <c r="AW6631" s="4">
        <v>42403</v>
      </c>
      <c r="BD6631">
        <v>0</v>
      </c>
      <c r="BN6631" t="s">
        <v>74</v>
      </c>
    </row>
    <row r="6632" spans="1:66" hidden="1">
      <c r="A6632">
        <v>104093</v>
      </c>
      <c r="B6632" s="3" t="s">
        <v>609</v>
      </c>
      <c r="C6632" s="1">
        <v>43300101</v>
      </c>
      <c r="D6632" t="s">
        <v>67</v>
      </c>
      <c r="H6632" t="str">
        <f t="shared" si="672"/>
        <v>12572900152</v>
      </c>
      <c r="I6632" t="str">
        <f t="shared" si="673"/>
        <v>06032681006</v>
      </c>
      <c r="K6632" t="str">
        <f>""</f>
        <v/>
      </c>
      <c r="M6632" t="s">
        <v>68</v>
      </c>
      <c r="N6632" t="str">
        <f t="shared" si="671"/>
        <v>FOR</v>
      </c>
      <c r="O6632" t="s">
        <v>69</v>
      </c>
      <c r="P6632" s="3" t="s">
        <v>70</v>
      </c>
      <c r="Q6632">
        <v>2014</v>
      </c>
      <c r="R6632" s="2">
        <v>41957</v>
      </c>
      <c r="S6632" s="2">
        <v>42340</v>
      </c>
      <c r="T6632" s="2">
        <v>42340</v>
      </c>
      <c r="U6632" s="2">
        <v>42400</v>
      </c>
      <c r="V6632" t="s">
        <v>71</v>
      </c>
      <c r="W6632" t="str">
        <f>"            25211857"</f>
        <v xml:space="preserve">            25211857</v>
      </c>
      <c r="X6632">
        <v>252.72</v>
      </c>
      <c r="Y6632">
        <v>0</v>
      </c>
      <c r="Z6632"/>
      <c r="AB6632"/>
      <c r="AC6632">
        <v>252.72</v>
      </c>
      <c r="AD6632">
        <v>3</v>
      </c>
      <c r="AE6632">
        <v>758.16</v>
      </c>
      <c r="AF6632">
        <v>0</v>
      </c>
      <c r="AJ6632">
        <v>0</v>
      </c>
      <c r="AK6632">
        <v>0</v>
      </c>
      <c r="AL6632">
        <v>0</v>
      </c>
      <c r="AM6632">
        <v>0</v>
      </c>
      <c r="AN6632">
        <v>0</v>
      </c>
      <c r="AO6632">
        <v>0</v>
      </c>
      <c r="AP6632" s="2">
        <v>42746</v>
      </c>
      <c r="AQ6632" t="s">
        <v>72</v>
      </c>
      <c r="AR6632" t="s">
        <v>72</v>
      </c>
      <c r="AS6632">
        <v>228</v>
      </c>
      <c r="AT6632" s="4">
        <v>42403</v>
      </c>
      <c r="AU6632" t="s">
        <v>73</v>
      </c>
      <c r="AV6632">
        <v>228</v>
      </c>
      <c r="AW6632" s="4">
        <v>42403</v>
      </c>
      <c r="BD6632">
        <v>0</v>
      </c>
      <c r="BN6632" t="s">
        <v>74</v>
      </c>
    </row>
    <row r="6633" spans="1:66" hidden="1">
      <c r="A6633">
        <v>104093</v>
      </c>
      <c r="B6633" s="3" t="s">
        <v>609</v>
      </c>
      <c r="C6633" s="1">
        <v>43300101</v>
      </c>
      <c r="D6633" t="s">
        <v>67</v>
      </c>
      <c r="H6633" t="str">
        <f t="shared" si="672"/>
        <v>12572900152</v>
      </c>
      <c r="I6633" t="str">
        <f t="shared" si="673"/>
        <v>06032681006</v>
      </c>
      <c r="K6633" t="str">
        <f>""</f>
        <v/>
      </c>
      <c r="M6633" t="s">
        <v>68</v>
      </c>
      <c r="N6633" t="str">
        <f t="shared" si="671"/>
        <v>FOR</v>
      </c>
      <c r="O6633" t="s">
        <v>69</v>
      </c>
      <c r="P6633" s="3" t="s">
        <v>70</v>
      </c>
      <c r="Q6633">
        <v>2014</v>
      </c>
      <c r="R6633" s="2">
        <v>41962</v>
      </c>
      <c r="S6633" s="2">
        <v>42340</v>
      </c>
      <c r="T6633" s="2">
        <v>42340</v>
      </c>
      <c r="U6633" s="2">
        <v>42400</v>
      </c>
      <c r="V6633" t="s">
        <v>71</v>
      </c>
      <c r="W6633" t="str">
        <f>"            25212608"</f>
        <v xml:space="preserve">            25212608</v>
      </c>
      <c r="X6633">
        <v>252.72</v>
      </c>
      <c r="Y6633">
        <v>0</v>
      </c>
      <c r="Z6633"/>
      <c r="AB6633"/>
      <c r="AC6633">
        <v>252.72</v>
      </c>
      <c r="AD6633">
        <v>3</v>
      </c>
      <c r="AE6633">
        <v>758.16</v>
      </c>
      <c r="AF6633">
        <v>0</v>
      </c>
      <c r="AJ6633">
        <v>0</v>
      </c>
      <c r="AK6633">
        <v>0</v>
      </c>
      <c r="AL6633">
        <v>0</v>
      </c>
      <c r="AM6633">
        <v>0</v>
      </c>
      <c r="AN6633">
        <v>0</v>
      </c>
      <c r="AO6633">
        <v>0</v>
      </c>
      <c r="AP6633" s="2">
        <v>42746</v>
      </c>
      <c r="AQ6633" t="s">
        <v>72</v>
      </c>
      <c r="AR6633" t="s">
        <v>72</v>
      </c>
      <c r="AS6633">
        <v>228</v>
      </c>
      <c r="AT6633" s="4">
        <v>42403</v>
      </c>
      <c r="AU6633" t="s">
        <v>73</v>
      </c>
      <c r="AV6633">
        <v>228</v>
      </c>
      <c r="AW6633" s="4">
        <v>42403</v>
      </c>
      <c r="BD6633">
        <v>0</v>
      </c>
      <c r="BN6633" t="s">
        <v>74</v>
      </c>
    </row>
    <row r="6634" spans="1:66" hidden="1">
      <c r="A6634">
        <v>104093</v>
      </c>
      <c r="B6634" s="3" t="s">
        <v>609</v>
      </c>
      <c r="C6634" s="1">
        <v>43300101</v>
      </c>
      <c r="D6634" t="s">
        <v>67</v>
      </c>
      <c r="H6634" t="str">
        <f t="shared" si="672"/>
        <v>12572900152</v>
      </c>
      <c r="I6634" t="str">
        <f t="shared" si="673"/>
        <v>06032681006</v>
      </c>
      <c r="K6634" t="str">
        <f>""</f>
        <v/>
      </c>
      <c r="M6634" t="s">
        <v>68</v>
      </c>
      <c r="N6634" t="str">
        <f t="shared" si="671"/>
        <v>FOR</v>
      </c>
      <c r="O6634" t="s">
        <v>69</v>
      </c>
      <c r="P6634" s="3" t="s">
        <v>70</v>
      </c>
      <c r="Q6634">
        <v>2014</v>
      </c>
      <c r="R6634" s="2">
        <v>41962</v>
      </c>
      <c r="S6634" s="2">
        <v>42340</v>
      </c>
      <c r="T6634" s="2">
        <v>42340</v>
      </c>
      <c r="U6634" s="2">
        <v>42400</v>
      </c>
      <c r="V6634" t="s">
        <v>71</v>
      </c>
      <c r="W6634" t="str">
        <f>"            25212609"</f>
        <v xml:space="preserve">            25212609</v>
      </c>
      <c r="X6634">
        <v>707.62</v>
      </c>
      <c r="Y6634">
        <v>0</v>
      </c>
      <c r="Z6634"/>
      <c r="AB6634"/>
      <c r="AC6634">
        <v>707.62</v>
      </c>
      <c r="AD6634">
        <v>3</v>
      </c>
      <c r="AE6634" s="1">
        <v>2122.86</v>
      </c>
      <c r="AF6634">
        <v>0</v>
      </c>
      <c r="AJ6634">
        <v>0</v>
      </c>
      <c r="AK6634">
        <v>0</v>
      </c>
      <c r="AL6634">
        <v>0</v>
      </c>
      <c r="AM6634">
        <v>0</v>
      </c>
      <c r="AN6634">
        <v>0</v>
      </c>
      <c r="AO6634">
        <v>0</v>
      </c>
      <c r="AP6634" s="2">
        <v>42746</v>
      </c>
      <c r="AQ6634" t="s">
        <v>72</v>
      </c>
      <c r="AR6634" t="s">
        <v>72</v>
      </c>
      <c r="AS6634">
        <v>228</v>
      </c>
      <c r="AT6634" s="4">
        <v>42403</v>
      </c>
      <c r="AU6634" t="s">
        <v>73</v>
      </c>
      <c r="AV6634">
        <v>228</v>
      </c>
      <c r="AW6634" s="4">
        <v>42403</v>
      </c>
      <c r="BD6634">
        <v>0</v>
      </c>
      <c r="BN6634" t="s">
        <v>74</v>
      </c>
    </row>
    <row r="6635" spans="1:66" hidden="1">
      <c r="A6635">
        <v>104093</v>
      </c>
      <c r="B6635" s="3" t="s">
        <v>609</v>
      </c>
      <c r="C6635" s="1">
        <v>43300101</v>
      </c>
      <c r="D6635" t="s">
        <v>67</v>
      </c>
      <c r="H6635" t="str">
        <f t="shared" si="672"/>
        <v>12572900152</v>
      </c>
      <c r="I6635" t="str">
        <f t="shared" si="673"/>
        <v>06032681006</v>
      </c>
      <c r="K6635" t="str">
        <f>""</f>
        <v/>
      </c>
      <c r="M6635" t="s">
        <v>68</v>
      </c>
      <c r="N6635" t="str">
        <f t="shared" si="671"/>
        <v>FOR</v>
      </c>
      <c r="O6635" t="s">
        <v>69</v>
      </c>
      <c r="P6635" s="3" t="s">
        <v>70</v>
      </c>
      <c r="Q6635">
        <v>2014</v>
      </c>
      <c r="R6635" s="2">
        <v>41962</v>
      </c>
      <c r="S6635" s="2">
        <v>42340</v>
      </c>
      <c r="T6635" s="2">
        <v>42340</v>
      </c>
      <c r="U6635" s="2">
        <v>42400</v>
      </c>
      <c r="V6635" t="s">
        <v>71</v>
      </c>
      <c r="W6635" t="str">
        <f>"            25212610"</f>
        <v xml:space="preserve">            25212610</v>
      </c>
      <c r="X6635">
        <v>74.88</v>
      </c>
      <c r="Y6635">
        <v>0</v>
      </c>
      <c r="Z6635"/>
      <c r="AB6635"/>
      <c r="AC6635">
        <v>74.88</v>
      </c>
      <c r="AD6635">
        <v>3</v>
      </c>
      <c r="AE6635">
        <v>224.64</v>
      </c>
      <c r="AF6635">
        <v>0</v>
      </c>
      <c r="AJ6635">
        <v>0</v>
      </c>
      <c r="AK6635">
        <v>0</v>
      </c>
      <c r="AL6635">
        <v>0</v>
      </c>
      <c r="AM6635">
        <v>0</v>
      </c>
      <c r="AN6635">
        <v>0</v>
      </c>
      <c r="AO6635">
        <v>0</v>
      </c>
      <c r="AP6635" s="2">
        <v>42746</v>
      </c>
      <c r="AQ6635" t="s">
        <v>72</v>
      </c>
      <c r="AR6635" t="s">
        <v>72</v>
      </c>
      <c r="AS6635">
        <v>228</v>
      </c>
      <c r="AT6635" s="4">
        <v>42403</v>
      </c>
      <c r="AU6635" t="s">
        <v>73</v>
      </c>
      <c r="AV6635">
        <v>228</v>
      </c>
      <c r="AW6635" s="4">
        <v>42403</v>
      </c>
      <c r="BD6635">
        <v>0</v>
      </c>
      <c r="BN6635" t="s">
        <v>74</v>
      </c>
    </row>
    <row r="6636" spans="1:66" hidden="1">
      <c r="A6636">
        <v>104093</v>
      </c>
      <c r="B6636" s="3" t="s">
        <v>609</v>
      </c>
      <c r="C6636" s="1">
        <v>43300101</v>
      </c>
      <c r="D6636" t="s">
        <v>67</v>
      </c>
      <c r="H6636" t="str">
        <f t="shared" si="672"/>
        <v>12572900152</v>
      </c>
      <c r="I6636" t="str">
        <f t="shared" si="673"/>
        <v>06032681006</v>
      </c>
      <c r="K6636" t="str">
        <f>""</f>
        <v/>
      </c>
      <c r="M6636" t="s">
        <v>68</v>
      </c>
      <c r="N6636" t="str">
        <f t="shared" si="671"/>
        <v>FOR</v>
      </c>
      <c r="O6636" t="s">
        <v>69</v>
      </c>
      <c r="P6636" s="3" t="s">
        <v>70</v>
      </c>
      <c r="Q6636">
        <v>2014</v>
      </c>
      <c r="R6636" s="2">
        <v>41969</v>
      </c>
      <c r="S6636" s="2">
        <v>42340</v>
      </c>
      <c r="T6636" s="2">
        <v>42340</v>
      </c>
      <c r="U6636" s="2">
        <v>42400</v>
      </c>
      <c r="V6636" t="s">
        <v>71</v>
      </c>
      <c r="W6636" t="str">
        <f>"            25214179"</f>
        <v xml:space="preserve">            25214179</v>
      </c>
      <c r="X6636">
        <v>116.48</v>
      </c>
      <c r="Y6636">
        <v>0</v>
      </c>
      <c r="Z6636"/>
      <c r="AB6636"/>
      <c r="AC6636">
        <v>116.48</v>
      </c>
      <c r="AD6636">
        <v>3</v>
      </c>
      <c r="AE6636">
        <v>349.44</v>
      </c>
      <c r="AF6636">
        <v>0</v>
      </c>
      <c r="AJ6636">
        <v>0</v>
      </c>
      <c r="AK6636">
        <v>0</v>
      </c>
      <c r="AL6636">
        <v>0</v>
      </c>
      <c r="AM6636">
        <v>0</v>
      </c>
      <c r="AN6636">
        <v>0</v>
      </c>
      <c r="AO6636">
        <v>0</v>
      </c>
      <c r="AP6636" s="2">
        <v>42746</v>
      </c>
      <c r="AQ6636" t="s">
        <v>72</v>
      </c>
      <c r="AR6636" t="s">
        <v>72</v>
      </c>
      <c r="AS6636">
        <v>228</v>
      </c>
      <c r="AT6636" s="4">
        <v>42403</v>
      </c>
      <c r="AU6636" t="s">
        <v>73</v>
      </c>
      <c r="AV6636">
        <v>228</v>
      </c>
      <c r="AW6636" s="4">
        <v>42403</v>
      </c>
      <c r="BD6636">
        <v>0</v>
      </c>
      <c r="BN6636" t="s">
        <v>74</v>
      </c>
    </row>
    <row r="6637" spans="1:66" hidden="1">
      <c r="A6637">
        <v>104093</v>
      </c>
      <c r="B6637" s="3" t="s">
        <v>609</v>
      </c>
      <c r="C6637" s="1">
        <v>43300101</v>
      </c>
      <c r="D6637" t="s">
        <v>67</v>
      </c>
      <c r="H6637" t="str">
        <f t="shared" si="672"/>
        <v>12572900152</v>
      </c>
      <c r="I6637" t="str">
        <f t="shared" si="673"/>
        <v>06032681006</v>
      </c>
      <c r="K6637" t="str">
        <f>""</f>
        <v/>
      </c>
      <c r="M6637" t="s">
        <v>68</v>
      </c>
      <c r="N6637" t="str">
        <f t="shared" si="671"/>
        <v>FOR</v>
      </c>
      <c r="O6637" t="s">
        <v>69</v>
      </c>
      <c r="P6637" s="3" t="s">
        <v>70</v>
      </c>
      <c r="Q6637">
        <v>2014</v>
      </c>
      <c r="R6637" s="2">
        <v>41971</v>
      </c>
      <c r="S6637" s="2">
        <v>42340</v>
      </c>
      <c r="T6637" s="2">
        <v>42340</v>
      </c>
      <c r="U6637" s="2">
        <v>42400</v>
      </c>
      <c r="V6637" t="s">
        <v>71</v>
      </c>
      <c r="W6637" t="str">
        <f>"            25214749"</f>
        <v xml:space="preserve">            25214749</v>
      </c>
      <c r="X6637">
        <v>403.42</v>
      </c>
      <c r="Y6637">
        <v>0</v>
      </c>
      <c r="Z6637"/>
      <c r="AB6637"/>
      <c r="AC6637">
        <v>403.42</v>
      </c>
      <c r="AD6637">
        <v>3</v>
      </c>
      <c r="AE6637" s="1">
        <v>1210.26</v>
      </c>
      <c r="AF6637">
        <v>0</v>
      </c>
      <c r="AJ6637">
        <v>0</v>
      </c>
      <c r="AK6637">
        <v>0</v>
      </c>
      <c r="AL6637">
        <v>0</v>
      </c>
      <c r="AM6637">
        <v>0</v>
      </c>
      <c r="AN6637">
        <v>0</v>
      </c>
      <c r="AO6637">
        <v>0</v>
      </c>
      <c r="AP6637" s="2">
        <v>42746</v>
      </c>
      <c r="AQ6637" t="s">
        <v>72</v>
      </c>
      <c r="AR6637" t="s">
        <v>72</v>
      </c>
      <c r="AS6637">
        <v>228</v>
      </c>
      <c r="AT6637" s="4">
        <v>42403</v>
      </c>
      <c r="AU6637" t="s">
        <v>73</v>
      </c>
      <c r="AV6637">
        <v>228</v>
      </c>
      <c r="AW6637" s="4">
        <v>42403</v>
      </c>
      <c r="BD6637">
        <v>0</v>
      </c>
      <c r="BN6637" t="s">
        <v>74</v>
      </c>
    </row>
    <row r="6638" spans="1:66" hidden="1">
      <c r="A6638">
        <v>104093</v>
      </c>
      <c r="B6638" s="3" t="s">
        <v>609</v>
      </c>
      <c r="C6638" s="1">
        <v>43300101</v>
      </c>
      <c r="D6638" t="s">
        <v>67</v>
      </c>
      <c r="H6638" t="str">
        <f t="shared" si="672"/>
        <v>12572900152</v>
      </c>
      <c r="I6638" t="str">
        <f t="shared" si="673"/>
        <v>06032681006</v>
      </c>
      <c r="K6638" t="str">
        <f>""</f>
        <v/>
      </c>
      <c r="M6638" t="s">
        <v>68</v>
      </c>
      <c r="N6638" t="str">
        <f t="shared" si="671"/>
        <v>FOR</v>
      </c>
      <c r="O6638" t="s">
        <v>69</v>
      </c>
      <c r="P6638" s="3" t="s">
        <v>70</v>
      </c>
      <c r="Q6638">
        <v>2014</v>
      </c>
      <c r="R6638" s="2">
        <v>41971</v>
      </c>
      <c r="S6638" s="2">
        <v>42340</v>
      </c>
      <c r="T6638" s="2">
        <v>42340</v>
      </c>
      <c r="U6638" s="2">
        <v>42400</v>
      </c>
      <c r="V6638" t="s">
        <v>71</v>
      </c>
      <c r="W6638" t="str">
        <f>"            25214750"</f>
        <v xml:space="preserve">            25214750</v>
      </c>
      <c r="X6638">
        <v>74.88</v>
      </c>
      <c r="Y6638">
        <v>0</v>
      </c>
      <c r="Z6638"/>
      <c r="AB6638"/>
      <c r="AC6638">
        <v>74.88</v>
      </c>
      <c r="AD6638">
        <v>3</v>
      </c>
      <c r="AE6638">
        <v>224.64</v>
      </c>
      <c r="AF6638">
        <v>0</v>
      </c>
      <c r="AJ6638">
        <v>0</v>
      </c>
      <c r="AK6638">
        <v>0</v>
      </c>
      <c r="AL6638">
        <v>0</v>
      </c>
      <c r="AM6638">
        <v>0</v>
      </c>
      <c r="AN6638">
        <v>0</v>
      </c>
      <c r="AO6638">
        <v>0</v>
      </c>
      <c r="AP6638" s="2">
        <v>42746</v>
      </c>
      <c r="AQ6638" t="s">
        <v>72</v>
      </c>
      <c r="AR6638" t="s">
        <v>72</v>
      </c>
      <c r="AS6638">
        <v>228</v>
      </c>
      <c r="AT6638" s="4">
        <v>42403</v>
      </c>
      <c r="AU6638" t="s">
        <v>73</v>
      </c>
      <c r="AV6638">
        <v>228</v>
      </c>
      <c r="AW6638" s="4">
        <v>42403</v>
      </c>
      <c r="BD6638">
        <v>0</v>
      </c>
      <c r="BN6638" t="s">
        <v>74</v>
      </c>
    </row>
    <row r="6639" spans="1:66" hidden="1">
      <c r="A6639">
        <v>104093</v>
      </c>
      <c r="B6639" s="3" t="s">
        <v>609</v>
      </c>
      <c r="C6639" s="1">
        <v>43300101</v>
      </c>
      <c r="D6639" t="s">
        <v>67</v>
      </c>
      <c r="H6639" t="str">
        <f t="shared" si="672"/>
        <v>12572900152</v>
      </c>
      <c r="I6639" t="str">
        <f t="shared" si="673"/>
        <v>06032681006</v>
      </c>
      <c r="K6639" t="str">
        <f>""</f>
        <v/>
      </c>
      <c r="M6639" t="s">
        <v>68</v>
      </c>
      <c r="N6639" t="str">
        <f t="shared" si="671"/>
        <v>FOR</v>
      </c>
      <c r="O6639" t="s">
        <v>69</v>
      </c>
      <c r="P6639" s="3" t="s">
        <v>70</v>
      </c>
      <c r="Q6639">
        <v>2014</v>
      </c>
      <c r="R6639" s="2">
        <v>41971</v>
      </c>
      <c r="S6639" s="2">
        <v>42340</v>
      </c>
      <c r="T6639" s="2">
        <v>42340</v>
      </c>
      <c r="U6639" s="2">
        <v>42400</v>
      </c>
      <c r="V6639" t="s">
        <v>71</v>
      </c>
      <c r="W6639" t="str">
        <f>"            25214751"</f>
        <v xml:space="preserve">            25214751</v>
      </c>
      <c r="X6639">
        <v>74.88</v>
      </c>
      <c r="Y6639">
        <v>0</v>
      </c>
      <c r="Z6639"/>
      <c r="AB6639"/>
      <c r="AC6639">
        <v>74.88</v>
      </c>
      <c r="AD6639">
        <v>3</v>
      </c>
      <c r="AE6639">
        <v>224.64</v>
      </c>
      <c r="AF6639">
        <v>0</v>
      </c>
      <c r="AJ6639">
        <v>0</v>
      </c>
      <c r="AK6639">
        <v>0</v>
      </c>
      <c r="AL6639">
        <v>0</v>
      </c>
      <c r="AM6639">
        <v>0</v>
      </c>
      <c r="AN6639">
        <v>0</v>
      </c>
      <c r="AO6639">
        <v>0</v>
      </c>
      <c r="AP6639" s="2">
        <v>42746</v>
      </c>
      <c r="AQ6639" t="s">
        <v>72</v>
      </c>
      <c r="AR6639" t="s">
        <v>72</v>
      </c>
      <c r="AS6639">
        <v>228</v>
      </c>
      <c r="AT6639" s="4">
        <v>42403</v>
      </c>
      <c r="AU6639" t="s">
        <v>73</v>
      </c>
      <c r="AV6639">
        <v>228</v>
      </c>
      <c r="AW6639" s="4">
        <v>42403</v>
      </c>
      <c r="BD6639">
        <v>0</v>
      </c>
      <c r="BN6639" t="s">
        <v>74</v>
      </c>
    </row>
    <row r="6640" spans="1:66" hidden="1">
      <c r="A6640">
        <v>104093</v>
      </c>
      <c r="B6640" s="3" t="s">
        <v>609</v>
      </c>
      <c r="C6640" s="1">
        <v>43300101</v>
      </c>
      <c r="D6640" t="s">
        <v>67</v>
      </c>
      <c r="H6640" t="str">
        <f t="shared" si="672"/>
        <v>12572900152</v>
      </c>
      <c r="I6640" t="str">
        <f t="shared" si="673"/>
        <v>06032681006</v>
      </c>
      <c r="K6640" t="str">
        <f>""</f>
        <v/>
      </c>
      <c r="M6640" t="s">
        <v>68</v>
      </c>
      <c r="N6640" t="str">
        <f t="shared" si="671"/>
        <v>FOR</v>
      </c>
      <c r="O6640" t="s">
        <v>69</v>
      </c>
      <c r="P6640" s="3" t="s">
        <v>70</v>
      </c>
      <c r="Q6640">
        <v>2014</v>
      </c>
      <c r="R6640" s="2">
        <v>41971</v>
      </c>
      <c r="S6640" s="2">
        <v>42340</v>
      </c>
      <c r="T6640" s="2">
        <v>42340</v>
      </c>
      <c r="U6640" s="2">
        <v>42400</v>
      </c>
      <c r="V6640" t="s">
        <v>71</v>
      </c>
      <c r="W6640" t="str">
        <f>"            25214752"</f>
        <v xml:space="preserve">            25214752</v>
      </c>
      <c r="X6640">
        <v>74.88</v>
      </c>
      <c r="Y6640">
        <v>0</v>
      </c>
      <c r="Z6640"/>
      <c r="AB6640"/>
      <c r="AC6640">
        <v>74.88</v>
      </c>
      <c r="AD6640">
        <v>3</v>
      </c>
      <c r="AE6640">
        <v>224.64</v>
      </c>
      <c r="AF6640">
        <v>0</v>
      </c>
      <c r="AJ6640">
        <v>0</v>
      </c>
      <c r="AK6640">
        <v>0</v>
      </c>
      <c r="AL6640">
        <v>0</v>
      </c>
      <c r="AM6640">
        <v>0</v>
      </c>
      <c r="AN6640">
        <v>0</v>
      </c>
      <c r="AO6640">
        <v>0</v>
      </c>
      <c r="AP6640" s="2">
        <v>42746</v>
      </c>
      <c r="AQ6640" t="s">
        <v>72</v>
      </c>
      <c r="AR6640" t="s">
        <v>72</v>
      </c>
      <c r="AS6640">
        <v>228</v>
      </c>
      <c r="AT6640" s="4">
        <v>42403</v>
      </c>
      <c r="AU6640" t="s">
        <v>73</v>
      </c>
      <c r="AV6640">
        <v>228</v>
      </c>
      <c r="AW6640" s="4">
        <v>42403</v>
      </c>
      <c r="BD6640">
        <v>0</v>
      </c>
      <c r="BN6640" t="s">
        <v>74</v>
      </c>
    </row>
    <row r="6641" spans="1:66" hidden="1">
      <c r="A6641">
        <v>104093</v>
      </c>
      <c r="B6641" s="3" t="s">
        <v>609</v>
      </c>
      <c r="C6641" s="1">
        <v>43300101</v>
      </c>
      <c r="D6641" t="s">
        <v>67</v>
      </c>
      <c r="H6641" t="str">
        <f t="shared" si="672"/>
        <v>12572900152</v>
      </c>
      <c r="I6641" t="str">
        <f t="shared" si="673"/>
        <v>06032681006</v>
      </c>
      <c r="K6641" t="str">
        <f>""</f>
        <v/>
      </c>
      <c r="M6641" t="s">
        <v>68</v>
      </c>
      <c r="N6641" t="str">
        <f t="shared" si="671"/>
        <v>FOR</v>
      </c>
      <c r="O6641" t="s">
        <v>69</v>
      </c>
      <c r="P6641" s="3" t="s">
        <v>70</v>
      </c>
      <c r="Q6641">
        <v>2014</v>
      </c>
      <c r="R6641" s="2">
        <v>41983</v>
      </c>
      <c r="S6641" s="2">
        <v>42340</v>
      </c>
      <c r="T6641" s="2">
        <v>42340</v>
      </c>
      <c r="U6641" s="2">
        <v>42400</v>
      </c>
      <c r="V6641" t="s">
        <v>71</v>
      </c>
      <c r="W6641" t="str">
        <f>"            25216597"</f>
        <v xml:space="preserve">            25216597</v>
      </c>
      <c r="X6641">
        <v>252.72</v>
      </c>
      <c r="Y6641">
        <v>0</v>
      </c>
      <c r="Z6641"/>
      <c r="AB6641"/>
      <c r="AC6641">
        <v>252.72</v>
      </c>
      <c r="AD6641">
        <v>3</v>
      </c>
      <c r="AE6641">
        <v>758.16</v>
      </c>
      <c r="AF6641">
        <v>0</v>
      </c>
      <c r="AJ6641">
        <v>0</v>
      </c>
      <c r="AK6641">
        <v>0</v>
      </c>
      <c r="AL6641">
        <v>0</v>
      </c>
      <c r="AM6641">
        <v>0</v>
      </c>
      <c r="AN6641">
        <v>0</v>
      </c>
      <c r="AO6641">
        <v>0</v>
      </c>
      <c r="AP6641" s="2">
        <v>42746</v>
      </c>
      <c r="AQ6641" t="s">
        <v>72</v>
      </c>
      <c r="AR6641" t="s">
        <v>72</v>
      </c>
      <c r="AS6641">
        <v>228</v>
      </c>
      <c r="AT6641" s="4">
        <v>42403</v>
      </c>
      <c r="AU6641" t="s">
        <v>73</v>
      </c>
      <c r="AV6641">
        <v>228</v>
      </c>
      <c r="AW6641" s="4">
        <v>42403</v>
      </c>
      <c r="BD6641">
        <v>0</v>
      </c>
      <c r="BN6641" t="s">
        <v>74</v>
      </c>
    </row>
    <row r="6642" spans="1:66" hidden="1">
      <c r="A6642">
        <v>104093</v>
      </c>
      <c r="B6642" s="3" t="s">
        <v>609</v>
      </c>
      <c r="C6642" s="1">
        <v>43300101</v>
      </c>
      <c r="D6642" t="s">
        <v>67</v>
      </c>
      <c r="H6642" t="str">
        <f t="shared" si="672"/>
        <v>12572900152</v>
      </c>
      <c r="I6642" t="str">
        <f t="shared" si="673"/>
        <v>06032681006</v>
      </c>
      <c r="K6642" t="str">
        <f>""</f>
        <v/>
      </c>
      <c r="M6642" t="s">
        <v>68</v>
      </c>
      <c r="N6642" t="str">
        <f t="shared" si="671"/>
        <v>FOR</v>
      </c>
      <c r="O6642" t="s">
        <v>69</v>
      </c>
      <c r="P6642" s="3" t="s">
        <v>70</v>
      </c>
      <c r="Q6642">
        <v>2014</v>
      </c>
      <c r="R6642" s="2">
        <v>41983</v>
      </c>
      <c r="S6642" s="2">
        <v>42340</v>
      </c>
      <c r="T6642" s="2">
        <v>42340</v>
      </c>
      <c r="U6642" s="2">
        <v>42400</v>
      </c>
      <c r="V6642" t="s">
        <v>71</v>
      </c>
      <c r="W6642" t="str">
        <f>"            25216598"</f>
        <v xml:space="preserve">            25216598</v>
      </c>
      <c r="X6642">
        <v>707.62</v>
      </c>
      <c r="Y6642">
        <v>0</v>
      </c>
      <c r="Z6642"/>
      <c r="AB6642"/>
      <c r="AC6642">
        <v>707.62</v>
      </c>
      <c r="AD6642">
        <v>3</v>
      </c>
      <c r="AE6642" s="1">
        <v>2122.86</v>
      </c>
      <c r="AF6642">
        <v>0</v>
      </c>
      <c r="AJ6642">
        <v>0</v>
      </c>
      <c r="AK6642">
        <v>0</v>
      </c>
      <c r="AL6642">
        <v>0</v>
      </c>
      <c r="AM6642">
        <v>0</v>
      </c>
      <c r="AN6642">
        <v>0</v>
      </c>
      <c r="AO6642">
        <v>0</v>
      </c>
      <c r="AP6642" s="2">
        <v>42746</v>
      </c>
      <c r="AQ6642" t="s">
        <v>72</v>
      </c>
      <c r="AR6642" t="s">
        <v>72</v>
      </c>
      <c r="AS6642">
        <v>228</v>
      </c>
      <c r="AT6642" s="4">
        <v>42403</v>
      </c>
      <c r="AU6642" t="s">
        <v>73</v>
      </c>
      <c r="AV6642">
        <v>228</v>
      </c>
      <c r="AW6642" s="4">
        <v>42403</v>
      </c>
      <c r="BD6642">
        <v>0</v>
      </c>
      <c r="BN6642" t="s">
        <v>74</v>
      </c>
    </row>
    <row r="6643" spans="1:66" hidden="1">
      <c r="A6643">
        <v>104093</v>
      </c>
      <c r="B6643" s="3" t="s">
        <v>609</v>
      </c>
      <c r="C6643" s="1">
        <v>43300101</v>
      </c>
      <c r="D6643" t="s">
        <v>67</v>
      </c>
      <c r="H6643" t="str">
        <f t="shared" si="672"/>
        <v>12572900152</v>
      </c>
      <c r="I6643" t="str">
        <f t="shared" si="673"/>
        <v>06032681006</v>
      </c>
      <c r="K6643" t="str">
        <f>""</f>
        <v/>
      </c>
      <c r="M6643" t="s">
        <v>68</v>
      </c>
      <c r="N6643" t="str">
        <f t="shared" si="671"/>
        <v>FOR</v>
      </c>
      <c r="O6643" t="s">
        <v>69</v>
      </c>
      <c r="P6643" s="3" t="s">
        <v>70</v>
      </c>
      <c r="Q6643">
        <v>2014</v>
      </c>
      <c r="R6643" s="2">
        <v>42002</v>
      </c>
      <c r="S6643" s="2">
        <v>42340</v>
      </c>
      <c r="T6643" s="2">
        <v>42340</v>
      </c>
      <c r="U6643" s="2">
        <v>42400</v>
      </c>
      <c r="V6643" t="s">
        <v>71</v>
      </c>
      <c r="W6643" t="str">
        <f>"            25219586"</f>
        <v xml:space="preserve">            25219586</v>
      </c>
      <c r="X6643">
        <v>707.62</v>
      </c>
      <c r="Y6643">
        <v>0</v>
      </c>
      <c r="Z6643"/>
      <c r="AB6643"/>
      <c r="AC6643">
        <v>707.62</v>
      </c>
      <c r="AD6643">
        <v>3</v>
      </c>
      <c r="AE6643" s="1">
        <v>2122.86</v>
      </c>
      <c r="AF6643">
        <v>0</v>
      </c>
      <c r="AJ6643">
        <v>0</v>
      </c>
      <c r="AK6643">
        <v>0</v>
      </c>
      <c r="AL6643">
        <v>0</v>
      </c>
      <c r="AM6643">
        <v>0</v>
      </c>
      <c r="AN6643">
        <v>0</v>
      </c>
      <c r="AO6643">
        <v>0</v>
      </c>
      <c r="AP6643" s="2">
        <v>42746</v>
      </c>
      <c r="AQ6643" t="s">
        <v>72</v>
      </c>
      <c r="AR6643" t="s">
        <v>72</v>
      </c>
      <c r="AS6643">
        <v>228</v>
      </c>
      <c r="AT6643" s="4">
        <v>42403</v>
      </c>
      <c r="AU6643" t="s">
        <v>73</v>
      </c>
      <c r="AV6643">
        <v>228</v>
      </c>
      <c r="AW6643" s="4">
        <v>42403</v>
      </c>
      <c r="BD6643">
        <v>0</v>
      </c>
      <c r="BN6643" t="s">
        <v>74</v>
      </c>
    </row>
    <row r="6644" spans="1:66" hidden="1">
      <c r="A6644">
        <v>104093</v>
      </c>
      <c r="B6644" s="3" t="s">
        <v>609</v>
      </c>
      <c r="C6644" s="1">
        <v>43300101</v>
      </c>
      <c r="D6644" t="s">
        <v>67</v>
      </c>
      <c r="H6644" t="str">
        <f t="shared" si="672"/>
        <v>12572900152</v>
      </c>
      <c r="I6644" t="str">
        <f t="shared" si="673"/>
        <v>06032681006</v>
      </c>
      <c r="K6644" t="str">
        <f>""</f>
        <v/>
      </c>
      <c r="M6644" t="s">
        <v>68</v>
      </c>
      <c r="N6644" t="str">
        <f t="shared" si="671"/>
        <v>FOR</v>
      </c>
      <c r="O6644" t="s">
        <v>69</v>
      </c>
      <c r="P6644" s="3" t="s">
        <v>70</v>
      </c>
      <c r="Q6644">
        <v>2015</v>
      </c>
      <c r="R6644" s="2">
        <v>42041</v>
      </c>
      <c r="S6644" s="2">
        <v>42059</v>
      </c>
      <c r="T6644" s="2">
        <v>42059</v>
      </c>
      <c r="U6644" s="2">
        <v>42119</v>
      </c>
      <c r="V6644" t="s">
        <v>71</v>
      </c>
      <c r="W6644" t="str">
        <f>"            25227134"</f>
        <v xml:space="preserve">            25227134</v>
      </c>
      <c r="X6644">
        <v>824.42</v>
      </c>
      <c r="Y6644">
        <v>0</v>
      </c>
      <c r="Z6644"/>
      <c r="AB6644"/>
      <c r="AC6644">
        <v>675.75</v>
      </c>
      <c r="AD6644">
        <v>284</v>
      </c>
      <c r="AE6644" s="1">
        <v>191913</v>
      </c>
      <c r="AF6644">
        <v>0</v>
      </c>
      <c r="AJ6644">
        <v>0</v>
      </c>
      <c r="AK6644">
        <v>0</v>
      </c>
      <c r="AL6644">
        <v>0</v>
      </c>
      <c r="AM6644">
        <v>0</v>
      </c>
      <c r="AN6644">
        <v>0</v>
      </c>
      <c r="AO6644">
        <v>0</v>
      </c>
      <c r="AP6644" s="2">
        <v>42746</v>
      </c>
      <c r="AQ6644" t="s">
        <v>72</v>
      </c>
      <c r="AR6644" t="s">
        <v>72</v>
      </c>
      <c r="AS6644">
        <v>228</v>
      </c>
      <c r="AT6644" s="4">
        <v>42403</v>
      </c>
      <c r="AU6644" t="s">
        <v>73</v>
      </c>
      <c r="AV6644">
        <v>228</v>
      </c>
      <c r="AW6644" s="4">
        <v>42403</v>
      </c>
      <c r="BD6644">
        <v>0</v>
      </c>
      <c r="BN6644" t="s">
        <v>74</v>
      </c>
    </row>
    <row r="6645" spans="1:66" hidden="1">
      <c r="A6645">
        <v>104093</v>
      </c>
      <c r="B6645" s="3" t="s">
        <v>609</v>
      </c>
      <c r="C6645" s="1">
        <v>43300101</v>
      </c>
      <c r="D6645" t="s">
        <v>67</v>
      </c>
      <c r="H6645" t="str">
        <f t="shared" si="672"/>
        <v>12572900152</v>
      </c>
      <c r="I6645" t="str">
        <f t="shared" si="673"/>
        <v>06032681006</v>
      </c>
      <c r="K6645" t="str">
        <f>""</f>
        <v/>
      </c>
      <c r="M6645" t="s">
        <v>68</v>
      </c>
      <c r="N6645" t="str">
        <f t="shared" si="671"/>
        <v>FOR</v>
      </c>
      <c r="O6645" t="s">
        <v>69</v>
      </c>
      <c r="P6645" s="3" t="s">
        <v>70</v>
      </c>
      <c r="Q6645">
        <v>2015</v>
      </c>
      <c r="R6645" s="2">
        <v>42044</v>
      </c>
      <c r="S6645" s="2">
        <v>42059</v>
      </c>
      <c r="T6645" s="2">
        <v>42059</v>
      </c>
      <c r="U6645" s="2">
        <v>42119</v>
      </c>
      <c r="V6645" t="s">
        <v>71</v>
      </c>
      <c r="W6645" t="str">
        <f>"            25227389"</f>
        <v xml:space="preserve">            25227389</v>
      </c>
      <c r="X6645" s="1">
        <v>3914.68</v>
      </c>
      <c r="Y6645">
        <v>0</v>
      </c>
      <c r="Z6645"/>
      <c r="AB6645"/>
      <c r="AC6645" s="1">
        <v>3208.75</v>
      </c>
      <c r="AD6645">
        <v>284</v>
      </c>
      <c r="AE6645" s="1">
        <v>911285</v>
      </c>
      <c r="AF6645">
        <v>0</v>
      </c>
      <c r="AJ6645">
        <v>0</v>
      </c>
      <c r="AK6645">
        <v>0</v>
      </c>
      <c r="AL6645">
        <v>0</v>
      </c>
      <c r="AM6645">
        <v>0</v>
      </c>
      <c r="AN6645">
        <v>0</v>
      </c>
      <c r="AO6645">
        <v>0</v>
      </c>
      <c r="AP6645" s="2">
        <v>42746</v>
      </c>
      <c r="AQ6645" t="s">
        <v>72</v>
      </c>
      <c r="AR6645" t="s">
        <v>72</v>
      </c>
      <c r="AS6645">
        <v>228</v>
      </c>
      <c r="AT6645" s="4">
        <v>42403</v>
      </c>
      <c r="AU6645" t="s">
        <v>73</v>
      </c>
      <c r="AV6645">
        <v>228</v>
      </c>
      <c r="AW6645" s="4">
        <v>42403</v>
      </c>
      <c r="BD6645">
        <v>0</v>
      </c>
      <c r="BN6645" t="s">
        <v>74</v>
      </c>
    </row>
    <row r="6646" spans="1:66" hidden="1">
      <c r="A6646">
        <v>104093</v>
      </c>
      <c r="B6646" s="3" t="s">
        <v>609</v>
      </c>
      <c r="C6646" s="1">
        <v>43300101</v>
      </c>
      <c r="D6646" t="s">
        <v>67</v>
      </c>
      <c r="H6646" t="str">
        <f t="shared" si="672"/>
        <v>12572900152</v>
      </c>
      <c r="I6646" t="str">
        <f t="shared" si="673"/>
        <v>06032681006</v>
      </c>
      <c r="K6646" t="str">
        <f>""</f>
        <v/>
      </c>
      <c r="M6646" t="s">
        <v>68</v>
      </c>
      <c r="N6646" t="str">
        <f t="shared" si="671"/>
        <v>FOR</v>
      </c>
      <c r="O6646" t="s">
        <v>69</v>
      </c>
      <c r="P6646" s="3" t="s">
        <v>70</v>
      </c>
      <c r="Q6646">
        <v>2015</v>
      </c>
      <c r="R6646" s="2">
        <v>42044</v>
      </c>
      <c r="S6646" s="2">
        <v>42059</v>
      </c>
      <c r="T6646" s="2">
        <v>42059</v>
      </c>
      <c r="U6646" s="2">
        <v>42119</v>
      </c>
      <c r="V6646" t="s">
        <v>71</v>
      </c>
      <c r="W6646" t="str">
        <f>"            25227403"</f>
        <v xml:space="preserve">            25227403</v>
      </c>
      <c r="X6646" s="1">
        <v>5599.8</v>
      </c>
      <c r="Y6646">
        <v>0</v>
      </c>
      <c r="Z6646"/>
      <c r="AB6646"/>
      <c r="AC6646" s="1">
        <v>4590</v>
      </c>
      <c r="AD6646">
        <v>284</v>
      </c>
      <c r="AE6646" s="1">
        <v>1303560</v>
      </c>
      <c r="AF6646">
        <v>0</v>
      </c>
      <c r="AJ6646">
        <v>0</v>
      </c>
      <c r="AK6646">
        <v>0</v>
      </c>
      <c r="AL6646">
        <v>0</v>
      </c>
      <c r="AM6646">
        <v>0</v>
      </c>
      <c r="AN6646">
        <v>0</v>
      </c>
      <c r="AO6646">
        <v>0</v>
      </c>
      <c r="AP6646" s="2">
        <v>42746</v>
      </c>
      <c r="AQ6646" t="s">
        <v>72</v>
      </c>
      <c r="AR6646" t="s">
        <v>72</v>
      </c>
      <c r="AS6646">
        <v>228</v>
      </c>
      <c r="AT6646" s="4">
        <v>42403</v>
      </c>
      <c r="AU6646" t="s">
        <v>73</v>
      </c>
      <c r="AV6646">
        <v>228</v>
      </c>
      <c r="AW6646" s="4">
        <v>42403</v>
      </c>
      <c r="BD6646">
        <v>0</v>
      </c>
      <c r="BN6646" t="s">
        <v>74</v>
      </c>
    </row>
    <row r="6647" spans="1:66" hidden="1">
      <c r="A6647">
        <v>104093</v>
      </c>
      <c r="B6647" s="3" t="s">
        <v>609</v>
      </c>
      <c r="C6647" s="1">
        <v>43300101</v>
      </c>
      <c r="D6647" t="s">
        <v>67</v>
      </c>
      <c r="H6647" t="str">
        <f t="shared" si="672"/>
        <v>12572900152</v>
      </c>
      <c r="I6647" t="str">
        <f t="shared" si="673"/>
        <v>06032681006</v>
      </c>
      <c r="K6647" t="str">
        <f>""</f>
        <v/>
      </c>
      <c r="M6647" t="s">
        <v>68</v>
      </c>
      <c r="N6647" t="str">
        <f t="shared" si="671"/>
        <v>FOR</v>
      </c>
      <c r="O6647" t="s">
        <v>69</v>
      </c>
      <c r="P6647" s="3" t="s">
        <v>70</v>
      </c>
      <c r="Q6647">
        <v>2015</v>
      </c>
      <c r="R6647" s="2">
        <v>42044</v>
      </c>
      <c r="S6647" s="2">
        <v>42059</v>
      </c>
      <c r="T6647" s="2">
        <v>42059</v>
      </c>
      <c r="U6647" s="2">
        <v>42119</v>
      </c>
      <c r="V6647" t="s">
        <v>71</v>
      </c>
      <c r="W6647" t="str">
        <f>"            25227446"</f>
        <v xml:space="preserve">            25227446</v>
      </c>
      <c r="X6647" s="1">
        <v>3263.52</v>
      </c>
      <c r="Y6647">
        <v>0</v>
      </c>
      <c r="Z6647"/>
      <c r="AB6647"/>
      <c r="AC6647" s="1">
        <v>3138</v>
      </c>
      <c r="AD6647">
        <v>284</v>
      </c>
      <c r="AE6647" s="1">
        <v>891192</v>
      </c>
      <c r="AF6647">
        <v>0</v>
      </c>
      <c r="AJ6647">
        <v>0</v>
      </c>
      <c r="AK6647">
        <v>0</v>
      </c>
      <c r="AL6647">
        <v>0</v>
      </c>
      <c r="AM6647">
        <v>0</v>
      </c>
      <c r="AN6647">
        <v>0</v>
      </c>
      <c r="AO6647">
        <v>0</v>
      </c>
      <c r="AP6647" s="2">
        <v>42746</v>
      </c>
      <c r="AQ6647" t="s">
        <v>72</v>
      </c>
      <c r="AR6647" t="s">
        <v>72</v>
      </c>
      <c r="AS6647">
        <v>228</v>
      </c>
      <c r="AT6647" s="4">
        <v>42403</v>
      </c>
      <c r="AU6647" t="s">
        <v>73</v>
      </c>
      <c r="AV6647">
        <v>228</v>
      </c>
      <c r="AW6647" s="4">
        <v>42403</v>
      </c>
      <c r="BD6647">
        <v>0</v>
      </c>
      <c r="BN6647" t="s">
        <v>74</v>
      </c>
    </row>
    <row r="6648" spans="1:66" hidden="1">
      <c r="A6648">
        <v>104093</v>
      </c>
      <c r="B6648" s="3" t="s">
        <v>609</v>
      </c>
      <c r="C6648" s="1">
        <v>43300101</v>
      </c>
      <c r="D6648" t="s">
        <v>67</v>
      </c>
      <c r="H6648" t="str">
        <f t="shared" si="672"/>
        <v>12572900152</v>
      </c>
      <c r="I6648" t="str">
        <f t="shared" si="673"/>
        <v>06032681006</v>
      </c>
      <c r="K6648" t="str">
        <f>""</f>
        <v/>
      </c>
      <c r="M6648" t="s">
        <v>68</v>
      </c>
      <c r="N6648" t="str">
        <f t="shared" si="671"/>
        <v>FOR</v>
      </c>
      <c r="O6648" t="s">
        <v>69</v>
      </c>
      <c r="P6648" s="3" t="s">
        <v>70</v>
      </c>
      <c r="Q6648">
        <v>2015</v>
      </c>
      <c r="R6648" s="2">
        <v>42045</v>
      </c>
      <c r="S6648" s="2">
        <v>42059</v>
      </c>
      <c r="T6648" s="2">
        <v>42059</v>
      </c>
      <c r="U6648" s="2">
        <v>42119</v>
      </c>
      <c r="V6648" t="s">
        <v>71</v>
      </c>
      <c r="W6648" t="str">
        <f>"            25227514"</f>
        <v xml:space="preserve">            25227514</v>
      </c>
      <c r="X6648">
        <v>403.42</v>
      </c>
      <c r="Y6648">
        <v>0</v>
      </c>
      <c r="Z6648"/>
      <c r="AB6648"/>
      <c r="AC6648">
        <v>387.9</v>
      </c>
      <c r="AD6648">
        <v>284</v>
      </c>
      <c r="AE6648" s="1">
        <v>110163.6</v>
      </c>
      <c r="AF6648">
        <v>0</v>
      </c>
      <c r="AJ6648">
        <v>0</v>
      </c>
      <c r="AK6648">
        <v>0</v>
      </c>
      <c r="AL6648">
        <v>0</v>
      </c>
      <c r="AM6648">
        <v>0</v>
      </c>
      <c r="AN6648">
        <v>0</v>
      </c>
      <c r="AO6648">
        <v>0</v>
      </c>
      <c r="AP6648" s="2">
        <v>42746</v>
      </c>
      <c r="AQ6648" t="s">
        <v>72</v>
      </c>
      <c r="AR6648" t="s">
        <v>72</v>
      </c>
      <c r="AS6648">
        <v>228</v>
      </c>
      <c r="AT6648" s="4">
        <v>42403</v>
      </c>
      <c r="AU6648" t="s">
        <v>73</v>
      </c>
      <c r="AV6648">
        <v>228</v>
      </c>
      <c r="AW6648" s="4">
        <v>42403</v>
      </c>
      <c r="BD6648">
        <v>0</v>
      </c>
      <c r="BN6648" t="s">
        <v>74</v>
      </c>
    </row>
    <row r="6649" spans="1:66" hidden="1">
      <c r="A6649">
        <v>104093</v>
      </c>
      <c r="B6649" s="3" t="s">
        <v>609</v>
      </c>
      <c r="C6649" s="1">
        <v>43300101</v>
      </c>
      <c r="D6649" t="s">
        <v>67</v>
      </c>
      <c r="H6649" t="str">
        <f t="shared" si="672"/>
        <v>12572900152</v>
      </c>
      <c r="I6649" t="str">
        <f t="shared" si="673"/>
        <v>06032681006</v>
      </c>
      <c r="K6649" t="str">
        <f>""</f>
        <v/>
      </c>
      <c r="M6649" t="s">
        <v>68</v>
      </c>
      <c r="N6649" t="str">
        <f t="shared" si="671"/>
        <v>FOR</v>
      </c>
      <c r="O6649" t="s">
        <v>69</v>
      </c>
      <c r="P6649" s="3" t="s">
        <v>70</v>
      </c>
      <c r="Q6649">
        <v>2015</v>
      </c>
      <c r="R6649" s="2">
        <v>42045</v>
      </c>
      <c r="S6649" s="2">
        <v>42059</v>
      </c>
      <c r="T6649" s="2">
        <v>42059</v>
      </c>
      <c r="U6649" s="2">
        <v>42119</v>
      </c>
      <c r="V6649" t="s">
        <v>71</v>
      </c>
      <c r="W6649" t="str">
        <f>"            25227541"</f>
        <v xml:space="preserve">            25227541</v>
      </c>
      <c r="X6649">
        <v>74.88</v>
      </c>
      <c r="Y6649">
        <v>0</v>
      </c>
      <c r="Z6649"/>
      <c r="AB6649"/>
      <c r="AC6649">
        <v>72</v>
      </c>
      <c r="AD6649">
        <v>284</v>
      </c>
      <c r="AE6649" s="1">
        <v>20448</v>
      </c>
      <c r="AF6649">
        <v>0</v>
      </c>
      <c r="AJ6649">
        <v>0</v>
      </c>
      <c r="AK6649">
        <v>0</v>
      </c>
      <c r="AL6649">
        <v>0</v>
      </c>
      <c r="AM6649">
        <v>0</v>
      </c>
      <c r="AN6649">
        <v>0</v>
      </c>
      <c r="AO6649">
        <v>0</v>
      </c>
      <c r="AP6649" s="2">
        <v>42746</v>
      </c>
      <c r="AQ6649" t="s">
        <v>72</v>
      </c>
      <c r="AR6649" t="s">
        <v>72</v>
      </c>
      <c r="AS6649">
        <v>228</v>
      </c>
      <c r="AT6649" s="4">
        <v>42403</v>
      </c>
      <c r="AU6649" t="s">
        <v>73</v>
      </c>
      <c r="AV6649">
        <v>228</v>
      </c>
      <c r="AW6649" s="4">
        <v>42403</v>
      </c>
      <c r="BD6649">
        <v>0</v>
      </c>
      <c r="BN6649" t="s">
        <v>74</v>
      </c>
    </row>
    <row r="6650" spans="1:66" hidden="1">
      <c r="A6650">
        <v>104093</v>
      </c>
      <c r="B6650" s="3" t="s">
        <v>609</v>
      </c>
      <c r="C6650" s="1">
        <v>43300101</v>
      </c>
      <c r="D6650" t="s">
        <v>67</v>
      </c>
      <c r="H6650" t="str">
        <f t="shared" si="672"/>
        <v>12572900152</v>
      </c>
      <c r="I6650" t="str">
        <f t="shared" si="673"/>
        <v>06032681006</v>
      </c>
      <c r="K6650" t="str">
        <f>""</f>
        <v/>
      </c>
      <c r="M6650" t="s">
        <v>68</v>
      </c>
      <c r="N6650" t="str">
        <f t="shared" si="671"/>
        <v>FOR</v>
      </c>
      <c r="O6650" t="s">
        <v>69</v>
      </c>
      <c r="P6650" s="3" t="s">
        <v>70</v>
      </c>
      <c r="Q6650">
        <v>2015</v>
      </c>
      <c r="R6650" s="2">
        <v>42045</v>
      </c>
      <c r="S6650" s="2">
        <v>42059</v>
      </c>
      <c r="T6650" s="2">
        <v>42059</v>
      </c>
      <c r="U6650" s="2">
        <v>42119</v>
      </c>
      <c r="V6650" t="s">
        <v>71</v>
      </c>
      <c r="W6650" t="str">
        <f>"            25227542"</f>
        <v xml:space="preserve">            25227542</v>
      </c>
      <c r="X6650">
        <v>252.72</v>
      </c>
      <c r="Y6650">
        <v>0</v>
      </c>
      <c r="Z6650"/>
      <c r="AB6650"/>
      <c r="AC6650">
        <v>243</v>
      </c>
      <c r="AD6650">
        <v>284</v>
      </c>
      <c r="AE6650" s="1">
        <v>69012</v>
      </c>
      <c r="AF6650">
        <v>0</v>
      </c>
      <c r="AJ6650">
        <v>0</v>
      </c>
      <c r="AK6650">
        <v>0</v>
      </c>
      <c r="AL6650">
        <v>0</v>
      </c>
      <c r="AM6650">
        <v>0</v>
      </c>
      <c r="AN6650">
        <v>0</v>
      </c>
      <c r="AO6650">
        <v>0</v>
      </c>
      <c r="AP6650" s="2">
        <v>42746</v>
      </c>
      <c r="AQ6650" t="s">
        <v>72</v>
      </c>
      <c r="AR6650" t="s">
        <v>72</v>
      </c>
      <c r="AS6650">
        <v>228</v>
      </c>
      <c r="AT6650" s="4">
        <v>42403</v>
      </c>
      <c r="AU6650" t="s">
        <v>73</v>
      </c>
      <c r="AV6650">
        <v>228</v>
      </c>
      <c r="AW6650" s="4">
        <v>42403</v>
      </c>
      <c r="BD6650">
        <v>0</v>
      </c>
      <c r="BN6650" t="s">
        <v>74</v>
      </c>
    </row>
    <row r="6651" spans="1:66" hidden="1">
      <c r="A6651">
        <v>104093</v>
      </c>
      <c r="B6651" s="3" t="s">
        <v>609</v>
      </c>
      <c r="C6651" s="1">
        <v>43300101</v>
      </c>
      <c r="D6651" t="s">
        <v>67</v>
      </c>
      <c r="H6651" t="str">
        <f t="shared" si="672"/>
        <v>12572900152</v>
      </c>
      <c r="I6651" t="str">
        <f t="shared" si="673"/>
        <v>06032681006</v>
      </c>
      <c r="K6651" t="str">
        <f>""</f>
        <v/>
      </c>
      <c r="M6651" t="s">
        <v>68</v>
      </c>
      <c r="N6651" t="str">
        <f t="shared" si="671"/>
        <v>FOR</v>
      </c>
      <c r="O6651" t="s">
        <v>69</v>
      </c>
      <c r="P6651" s="3" t="s">
        <v>70</v>
      </c>
      <c r="Q6651">
        <v>2015</v>
      </c>
      <c r="R6651" s="2">
        <v>42045</v>
      </c>
      <c r="S6651" s="2">
        <v>42059</v>
      </c>
      <c r="T6651" s="2">
        <v>42059</v>
      </c>
      <c r="U6651" s="2">
        <v>42119</v>
      </c>
      <c r="V6651" t="s">
        <v>71</v>
      </c>
      <c r="W6651" t="str">
        <f>"            25227543"</f>
        <v xml:space="preserve">            25227543</v>
      </c>
      <c r="X6651">
        <v>707.62</v>
      </c>
      <c r="Y6651">
        <v>0</v>
      </c>
      <c r="Z6651"/>
      <c r="AB6651"/>
      <c r="AC6651">
        <v>680.4</v>
      </c>
      <c r="AD6651">
        <v>284</v>
      </c>
      <c r="AE6651" s="1">
        <v>193233.6</v>
      </c>
      <c r="AF6651">
        <v>0</v>
      </c>
      <c r="AJ6651">
        <v>0</v>
      </c>
      <c r="AK6651">
        <v>0</v>
      </c>
      <c r="AL6651">
        <v>0</v>
      </c>
      <c r="AM6651">
        <v>0</v>
      </c>
      <c r="AN6651">
        <v>0</v>
      </c>
      <c r="AO6651">
        <v>0</v>
      </c>
      <c r="AP6651" s="2">
        <v>42746</v>
      </c>
      <c r="AQ6651" t="s">
        <v>72</v>
      </c>
      <c r="AR6651" t="s">
        <v>72</v>
      </c>
      <c r="AS6651">
        <v>228</v>
      </c>
      <c r="AT6651" s="4">
        <v>42403</v>
      </c>
      <c r="AU6651" t="s">
        <v>73</v>
      </c>
      <c r="AV6651">
        <v>228</v>
      </c>
      <c r="AW6651" s="4">
        <v>42403</v>
      </c>
      <c r="BD6651">
        <v>0</v>
      </c>
      <c r="BN6651" t="s">
        <v>74</v>
      </c>
    </row>
    <row r="6652" spans="1:66" hidden="1">
      <c r="A6652">
        <v>104093</v>
      </c>
      <c r="B6652" s="3" t="s">
        <v>609</v>
      </c>
      <c r="C6652" s="1">
        <v>43300101</v>
      </c>
      <c r="D6652" t="s">
        <v>67</v>
      </c>
      <c r="H6652" t="str">
        <f t="shared" si="672"/>
        <v>12572900152</v>
      </c>
      <c r="I6652" t="str">
        <f t="shared" si="673"/>
        <v>06032681006</v>
      </c>
      <c r="K6652" t="str">
        <f>""</f>
        <v/>
      </c>
      <c r="M6652" t="s">
        <v>68</v>
      </c>
      <c r="N6652" t="str">
        <f t="shared" si="671"/>
        <v>FOR</v>
      </c>
      <c r="O6652" t="s">
        <v>69</v>
      </c>
      <c r="P6652" s="3" t="s">
        <v>70</v>
      </c>
      <c r="Q6652">
        <v>2015</v>
      </c>
      <c r="R6652" s="2">
        <v>42045</v>
      </c>
      <c r="S6652" s="2">
        <v>42059</v>
      </c>
      <c r="T6652" s="2">
        <v>42059</v>
      </c>
      <c r="U6652" s="2">
        <v>42119</v>
      </c>
      <c r="V6652" t="s">
        <v>71</v>
      </c>
      <c r="W6652" t="str">
        <f>"            25227544"</f>
        <v xml:space="preserve">            25227544</v>
      </c>
      <c r="X6652">
        <v>74.88</v>
      </c>
      <c r="Y6652">
        <v>0</v>
      </c>
      <c r="Z6652"/>
      <c r="AB6652"/>
      <c r="AC6652">
        <v>72</v>
      </c>
      <c r="AD6652">
        <v>284</v>
      </c>
      <c r="AE6652" s="1">
        <v>20448</v>
      </c>
      <c r="AF6652">
        <v>0</v>
      </c>
      <c r="AJ6652">
        <v>0</v>
      </c>
      <c r="AK6652">
        <v>0</v>
      </c>
      <c r="AL6652">
        <v>0</v>
      </c>
      <c r="AM6652">
        <v>0</v>
      </c>
      <c r="AN6652">
        <v>0</v>
      </c>
      <c r="AO6652">
        <v>0</v>
      </c>
      <c r="AP6652" s="2">
        <v>42746</v>
      </c>
      <c r="AQ6652" t="s">
        <v>72</v>
      </c>
      <c r="AR6652" t="s">
        <v>72</v>
      </c>
      <c r="AS6652">
        <v>228</v>
      </c>
      <c r="AT6652" s="4">
        <v>42403</v>
      </c>
      <c r="AU6652" t="s">
        <v>73</v>
      </c>
      <c r="AV6652">
        <v>228</v>
      </c>
      <c r="AW6652" s="4">
        <v>42403</v>
      </c>
      <c r="BD6652">
        <v>0</v>
      </c>
      <c r="BN6652" t="s">
        <v>74</v>
      </c>
    </row>
    <row r="6653" spans="1:66" hidden="1">
      <c r="A6653">
        <v>104093</v>
      </c>
      <c r="B6653" s="3" t="s">
        <v>609</v>
      </c>
      <c r="C6653" s="1">
        <v>43300101</v>
      </c>
      <c r="D6653" t="s">
        <v>67</v>
      </c>
      <c r="H6653" t="str">
        <f t="shared" si="672"/>
        <v>12572900152</v>
      </c>
      <c r="I6653" t="str">
        <f t="shared" si="673"/>
        <v>06032681006</v>
      </c>
      <c r="K6653" t="str">
        <f>""</f>
        <v/>
      </c>
      <c r="M6653" t="s">
        <v>68</v>
      </c>
      <c r="N6653" t="str">
        <f t="shared" si="671"/>
        <v>FOR</v>
      </c>
      <c r="O6653" t="s">
        <v>69</v>
      </c>
      <c r="P6653" s="3" t="s">
        <v>70</v>
      </c>
      <c r="Q6653">
        <v>2015</v>
      </c>
      <c r="R6653" s="2">
        <v>42045</v>
      </c>
      <c r="S6653" s="2">
        <v>42059</v>
      </c>
      <c r="T6653" s="2">
        <v>42059</v>
      </c>
      <c r="U6653" s="2">
        <v>42119</v>
      </c>
      <c r="V6653" t="s">
        <v>71</v>
      </c>
      <c r="W6653" t="str">
        <f>"            25227545"</f>
        <v xml:space="preserve">            25227545</v>
      </c>
      <c r="X6653">
        <v>74.88</v>
      </c>
      <c r="Y6653">
        <v>0</v>
      </c>
      <c r="Z6653"/>
      <c r="AB6653"/>
      <c r="AC6653">
        <v>72</v>
      </c>
      <c r="AD6653">
        <v>284</v>
      </c>
      <c r="AE6653" s="1">
        <v>20448</v>
      </c>
      <c r="AF6653">
        <v>0</v>
      </c>
      <c r="AJ6653">
        <v>0</v>
      </c>
      <c r="AK6653">
        <v>0</v>
      </c>
      <c r="AL6653">
        <v>0</v>
      </c>
      <c r="AM6653">
        <v>0</v>
      </c>
      <c r="AN6653">
        <v>0</v>
      </c>
      <c r="AO6653">
        <v>0</v>
      </c>
      <c r="AP6653" s="2">
        <v>42746</v>
      </c>
      <c r="AQ6653" t="s">
        <v>72</v>
      </c>
      <c r="AR6653" t="s">
        <v>72</v>
      </c>
      <c r="AS6653">
        <v>228</v>
      </c>
      <c r="AT6653" s="4">
        <v>42403</v>
      </c>
      <c r="AU6653" t="s">
        <v>73</v>
      </c>
      <c r="AV6653">
        <v>228</v>
      </c>
      <c r="AW6653" s="4">
        <v>42403</v>
      </c>
      <c r="BD6653">
        <v>0</v>
      </c>
      <c r="BN6653" t="s">
        <v>74</v>
      </c>
    </row>
    <row r="6654" spans="1:66" hidden="1">
      <c r="A6654">
        <v>104093</v>
      </c>
      <c r="B6654" s="3" t="s">
        <v>609</v>
      </c>
      <c r="C6654" s="1">
        <v>43300101</v>
      </c>
      <c r="D6654" t="s">
        <v>67</v>
      </c>
      <c r="H6654" t="str">
        <f t="shared" si="672"/>
        <v>12572900152</v>
      </c>
      <c r="I6654" t="str">
        <f t="shared" si="673"/>
        <v>06032681006</v>
      </c>
      <c r="K6654" t="str">
        <f>""</f>
        <v/>
      </c>
      <c r="M6654" t="s">
        <v>68</v>
      </c>
      <c r="N6654" t="str">
        <f t="shared" si="671"/>
        <v>FOR</v>
      </c>
      <c r="O6654" t="s">
        <v>69</v>
      </c>
      <c r="P6654" s="3" t="s">
        <v>70</v>
      </c>
      <c r="Q6654">
        <v>2015</v>
      </c>
      <c r="R6654" s="2">
        <v>42045</v>
      </c>
      <c r="S6654" s="2">
        <v>42059</v>
      </c>
      <c r="T6654" s="2">
        <v>42059</v>
      </c>
      <c r="U6654" s="2">
        <v>42119</v>
      </c>
      <c r="V6654" t="s">
        <v>71</v>
      </c>
      <c r="W6654" t="str">
        <f>"            25227546"</f>
        <v xml:space="preserve">            25227546</v>
      </c>
      <c r="X6654">
        <v>74.88</v>
      </c>
      <c r="Y6654">
        <v>0</v>
      </c>
      <c r="Z6654"/>
      <c r="AB6654"/>
      <c r="AC6654">
        <v>72</v>
      </c>
      <c r="AD6654">
        <v>284</v>
      </c>
      <c r="AE6654" s="1">
        <v>20448</v>
      </c>
      <c r="AF6654">
        <v>0</v>
      </c>
      <c r="AJ6654">
        <v>0</v>
      </c>
      <c r="AK6654">
        <v>0</v>
      </c>
      <c r="AL6654">
        <v>0</v>
      </c>
      <c r="AM6654">
        <v>0</v>
      </c>
      <c r="AN6654">
        <v>0</v>
      </c>
      <c r="AO6654">
        <v>0</v>
      </c>
      <c r="AP6654" s="2">
        <v>42746</v>
      </c>
      <c r="AQ6654" t="s">
        <v>72</v>
      </c>
      <c r="AR6654" t="s">
        <v>72</v>
      </c>
      <c r="AS6654">
        <v>228</v>
      </c>
      <c r="AT6654" s="4">
        <v>42403</v>
      </c>
      <c r="AU6654" t="s">
        <v>73</v>
      </c>
      <c r="AV6654">
        <v>228</v>
      </c>
      <c r="AW6654" s="4">
        <v>42403</v>
      </c>
      <c r="BD6654">
        <v>0</v>
      </c>
      <c r="BN6654" t="s">
        <v>74</v>
      </c>
    </row>
    <row r="6655" spans="1:66" hidden="1">
      <c r="A6655">
        <v>104093</v>
      </c>
      <c r="B6655" s="3" t="s">
        <v>609</v>
      </c>
      <c r="C6655" s="1">
        <v>43300101</v>
      </c>
      <c r="D6655" t="s">
        <v>67</v>
      </c>
      <c r="H6655" t="str">
        <f t="shared" si="672"/>
        <v>12572900152</v>
      </c>
      <c r="I6655" t="str">
        <f t="shared" si="673"/>
        <v>06032681006</v>
      </c>
      <c r="K6655" t="str">
        <f>""</f>
        <v/>
      </c>
      <c r="M6655" t="s">
        <v>68</v>
      </c>
      <c r="N6655" t="str">
        <f t="shared" si="671"/>
        <v>FOR</v>
      </c>
      <c r="O6655" t="s">
        <v>69</v>
      </c>
      <c r="P6655" s="3" t="s">
        <v>70</v>
      </c>
      <c r="Q6655">
        <v>2015</v>
      </c>
      <c r="R6655" s="2">
        <v>42045</v>
      </c>
      <c r="S6655" s="2">
        <v>42059</v>
      </c>
      <c r="T6655" s="2">
        <v>42059</v>
      </c>
      <c r="U6655" s="2">
        <v>42119</v>
      </c>
      <c r="V6655" t="s">
        <v>71</v>
      </c>
      <c r="W6655" t="str">
        <f>"            25227547"</f>
        <v xml:space="preserve">            25227547</v>
      </c>
      <c r="X6655">
        <v>74.88</v>
      </c>
      <c r="Y6655">
        <v>0</v>
      </c>
      <c r="Z6655"/>
      <c r="AB6655"/>
      <c r="AC6655">
        <v>72</v>
      </c>
      <c r="AD6655">
        <v>284</v>
      </c>
      <c r="AE6655" s="1">
        <v>20448</v>
      </c>
      <c r="AF6655">
        <v>0</v>
      </c>
      <c r="AJ6655">
        <v>0</v>
      </c>
      <c r="AK6655">
        <v>0</v>
      </c>
      <c r="AL6655">
        <v>0</v>
      </c>
      <c r="AM6655">
        <v>0</v>
      </c>
      <c r="AN6655">
        <v>0</v>
      </c>
      <c r="AO6655">
        <v>0</v>
      </c>
      <c r="AP6655" s="2">
        <v>42746</v>
      </c>
      <c r="AQ6655" t="s">
        <v>72</v>
      </c>
      <c r="AR6655" t="s">
        <v>72</v>
      </c>
      <c r="AS6655">
        <v>228</v>
      </c>
      <c r="AT6655" s="4">
        <v>42403</v>
      </c>
      <c r="AU6655" t="s">
        <v>73</v>
      </c>
      <c r="AV6655">
        <v>228</v>
      </c>
      <c r="AW6655" s="4">
        <v>42403</v>
      </c>
      <c r="BD6655">
        <v>0</v>
      </c>
      <c r="BN6655" t="s">
        <v>74</v>
      </c>
    </row>
    <row r="6656" spans="1:66" hidden="1">
      <c r="A6656">
        <v>104093</v>
      </c>
      <c r="B6656" s="3" t="s">
        <v>609</v>
      </c>
      <c r="C6656" s="1">
        <v>43300101</v>
      </c>
      <c r="D6656" t="s">
        <v>67</v>
      </c>
      <c r="H6656" t="str">
        <f t="shared" si="672"/>
        <v>12572900152</v>
      </c>
      <c r="I6656" t="str">
        <f t="shared" si="673"/>
        <v>06032681006</v>
      </c>
      <c r="K6656" t="str">
        <f>""</f>
        <v/>
      </c>
      <c r="M6656" t="s">
        <v>68</v>
      </c>
      <c r="N6656" t="str">
        <f t="shared" ref="N6656:N6719" si="674">"FOR"</f>
        <v>FOR</v>
      </c>
      <c r="O6656" t="s">
        <v>69</v>
      </c>
      <c r="P6656" s="3" t="s">
        <v>70</v>
      </c>
      <c r="Q6656">
        <v>2015</v>
      </c>
      <c r="R6656" s="2">
        <v>42045</v>
      </c>
      <c r="S6656" s="2">
        <v>42059</v>
      </c>
      <c r="T6656" s="2">
        <v>42059</v>
      </c>
      <c r="U6656" s="2">
        <v>42119</v>
      </c>
      <c r="V6656" t="s">
        <v>71</v>
      </c>
      <c r="W6656" t="str">
        <f>"            25227549"</f>
        <v xml:space="preserve">            25227549</v>
      </c>
      <c r="X6656">
        <v>74.88</v>
      </c>
      <c r="Y6656">
        <v>0</v>
      </c>
      <c r="Z6656"/>
      <c r="AB6656"/>
      <c r="AC6656">
        <v>72</v>
      </c>
      <c r="AD6656">
        <v>284</v>
      </c>
      <c r="AE6656" s="1">
        <v>20448</v>
      </c>
      <c r="AF6656">
        <v>0</v>
      </c>
      <c r="AJ6656">
        <v>0</v>
      </c>
      <c r="AK6656">
        <v>0</v>
      </c>
      <c r="AL6656">
        <v>0</v>
      </c>
      <c r="AM6656">
        <v>0</v>
      </c>
      <c r="AN6656">
        <v>0</v>
      </c>
      <c r="AO6656">
        <v>0</v>
      </c>
      <c r="AP6656" s="2">
        <v>42746</v>
      </c>
      <c r="AQ6656" t="s">
        <v>72</v>
      </c>
      <c r="AR6656" t="s">
        <v>72</v>
      </c>
      <c r="AS6656">
        <v>228</v>
      </c>
      <c r="AT6656" s="4">
        <v>42403</v>
      </c>
      <c r="AU6656" t="s">
        <v>73</v>
      </c>
      <c r="AV6656">
        <v>228</v>
      </c>
      <c r="AW6656" s="4">
        <v>42403</v>
      </c>
      <c r="BD6656">
        <v>0</v>
      </c>
      <c r="BN6656" t="s">
        <v>74</v>
      </c>
    </row>
    <row r="6657" spans="1:66" hidden="1">
      <c r="A6657">
        <v>104093</v>
      </c>
      <c r="B6657" s="3" t="s">
        <v>609</v>
      </c>
      <c r="C6657" s="1">
        <v>43300101</v>
      </c>
      <c r="D6657" t="s">
        <v>67</v>
      </c>
      <c r="H6657" t="str">
        <f t="shared" si="672"/>
        <v>12572900152</v>
      </c>
      <c r="I6657" t="str">
        <f t="shared" si="673"/>
        <v>06032681006</v>
      </c>
      <c r="K6657" t="str">
        <f>""</f>
        <v/>
      </c>
      <c r="M6657" t="s">
        <v>68</v>
      </c>
      <c r="N6657" t="str">
        <f t="shared" si="674"/>
        <v>FOR</v>
      </c>
      <c r="O6657" t="s">
        <v>69</v>
      </c>
      <c r="P6657" s="3" t="s">
        <v>70</v>
      </c>
      <c r="Q6657">
        <v>2015</v>
      </c>
      <c r="R6657" s="2">
        <v>42045</v>
      </c>
      <c r="S6657" s="2">
        <v>42059</v>
      </c>
      <c r="T6657" s="2">
        <v>42059</v>
      </c>
      <c r="U6657" s="2">
        <v>42119</v>
      </c>
      <c r="V6657" t="s">
        <v>71</v>
      </c>
      <c r="W6657" t="str">
        <f>"            25227553"</f>
        <v xml:space="preserve">            25227553</v>
      </c>
      <c r="X6657">
        <v>74.88</v>
      </c>
      <c r="Y6657">
        <v>0</v>
      </c>
      <c r="Z6657"/>
      <c r="AB6657"/>
      <c r="AC6657">
        <v>72</v>
      </c>
      <c r="AD6657">
        <v>284</v>
      </c>
      <c r="AE6657" s="1">
        <v>20448</v>
      </c>
      <c r="AF6657">
        <v>0</v>
      </c>
      <c r="AJ6657">
        <v>0</v>
      </c>
      <c r="AK6657">
        <v>0</v>
      </c>
      <c r="AL6657">
        <v>0</v>
      </c>
      <c r="AM6657">
        <v>0</v>
      </c>
      <c r="AN6657">
        <v>0</v>
      </c>
      <c r="AO6657">
        <v>0</v>
      </c>
      <c r="AP6657" s="2">
        <v>42746</v>
      </c>
      <c r="AQ6657" t="s">
        <v>72</v>
      </c>
      <c r="AR6657" t="s">
        <v>72</v>
      </c>
      <c r="AS6657">
        <v>228</v>
      </c>
      <c r="AT6657" s="4">
        <v>42403</v>
      </c>
      <c r="AU6657" t="s">
        <v>73</v>
      </c>
      <c r="AV6657">
        <v>228</v>
      </c>
      <c r="AW6657" s="4">
        <v>42403</v>
      </c>
      <c r="BD6657">
        <v>0</v>
      </c>
      <c r="BN6657" t="s">
        <v>74</v>
      </c>
    </row>
    <row r="6658" spans="1:66" hidden="1">
      <c r="A6658">
        <v>104093</v>
      </c>
      <c r="B6658" s="3" t="s">
        <v>609</v>
      </c>
      <c r="C6658" s="1">
        <v>43300101</v>
      </c>
      <c r="D6658" t="s">
        <v>67</v>
      </c>
      <c r="H6658" t="str">
        <f t="shared" si="672"/>
        <v>12572900152</v>
      </c>
      <c r="I6658" t="str">
        <f t="shared" si="673"/>
        <v>06032681006</v>
      </c>
      <c r="K6658" t="str">
        <f>""</f>
        <v/>
      </c>
      <c r="M6658" t="s">
        <v>68</v>
      </c>
      <c r="N6658" t="str">
        <f t="shared" si="674"/>
        <v>FOR</v>
      </c>
      <c r="O6658" t="s">
        <v>69</v>
      </c>
      <c r="P6658" s="3" t="s">
        <v>70</v>
      </c>
      <c r="Q6658">
        <v>2015</v>
      </c>
      <c r="R6658" s="2">
        <v>42045</v>
      </c>
      <c r="S6658" s="2">
        <v>42059</v>
      </c>
      <c r="T6658" s="2">
        <v>42059</v>
      </c>
      <c r="U6658" s="2">
        <v>42119</v>
      </c>
      <c r="V6658" t="s">
        <v>71</v>
      </c>
      <c r="W6658" t="str">
        <f>"            25227554"</f>
        <v xml:space="preserve">            25227554</v>
      </c>
      <c r="X6658">
        <v>403.42</v>
      </c>
      <c r="Y6658">
        <v>0</v>
      </c>
      <c r="Z6658"/>
      <c r="AB6658"/>
      <c r="AC6658">
        <v>387.9</v>
      </c>
      <c r="AD6658">
        <v>284</v>
      </c>
      <c r="AE6658" s="1">
        <v>110163.6</v>
      </c>
      <c r="AF6658">
        <v>0</v>
      </c>
      <c r="AJ6658">
        <v>0</v>
      </c>
      <c r="AK6658">
        <v>0</v>
      </c>
      <c r="AL6658">
        <v>0</v>
      </c>
      <c r="AM6658">
        <v>0</v>
      </c>
      <c r="AN6658">
        <v>0</v>
      </c>
      <c r="AO6658">
        <v>0</v>
      </c>
      <c r="AP6658" s="2">
        <v>42746</v>
      </c>
      <c r="AQ6658" t="s">
        <v>72</v>
      </c>
      <c r="AR6658" t="s">
        <v>72</v>
      </c>
      <c r="AS6658">
        <v>228</v>
      </c>
      <c r="AT6658" s="4">
        <v>42403</v>
      </c>
      <c r="AU6658" t="s">
        <v>73</v>
      </c>
      <c r="AV6658">
        <v>228</v>
      </c>
      <c r="AW6658" s="4">
        <v>42403</v>
      </c>
      <c r="BD6658">
        <v>0</v>
      </c>
      <c r="BN6658" t="s">
        <v>74</v>
      </c>
    </row>
    <row r="6659" spans="1:66" hidden="1">
      <c r="A6659">
        <v>104093</v>
      </c>
      <c r="B6659" s="3" t="s">
        <v>609</v>
      </c>
      <c r="C6659" s="1">
        <v>43300101</v>
      </c>
      <c r="D6659" t="s">
        <v>67</v>
      </c>
      <c r="H6659" t="str">
        <f t="shared" ref="H6659:H6722" si="675">"12572900152"</f>
        <v>12572900152</v>
      </c>
      <c r="I6659" t="str">
        <f t="shared" ref="I6659:I6722" si="676">"06032681006"</f>
        <v>06032681006</v>
      </c>
      <c r="K6659" t="str">
        <f>""</f>
        <v/>
      </c>
      <c r="M6659" t="s">
        <v>68</v>
      </c>
      <c r="N6659" t="str">
        <f t="shared" si="674"/>
        <v>FOR</v>
      </c>
      <c r="O6659" t="s">
        <v>69</v>
      </c>
      <c r="P6659" s="3" t="s">
        <v>70</v>
      </c>
      <c r="Q6659">
        <v>2015</v>
      </c>
      <c r="R6659" s="2">
        <v>42045</v>
      </c>
      <c r="S6659" s="2">
        <v>42059</v>
      </c>
      <c r="T6659" s="2">
        <v>42059</v>
      </c>
      <c r="U6659" s="2">
        <v>42119</v>
      </c>
      <c r="V6659" t="s">
        <v>71</v>
      </c>
      <c r="W6659" t="str">
        <f>"            25227555"</f>
        <v xml:space="preserve">            25227555</v>
      </c>
      <c r="X6659">
        <v>74.88</v>
      </c>
      <c r="Y6659">
        <v>0</v>
      </c>
      <c r="Z6659"/>
      <c r="AB6659"/>
      <c r="AC6659">
        <v>72</v>
      </c>
      <c r="AD6659">
        <v>284</v>
      </c>
      <c r="AE6659" s="1">
        <v>20448</v>
      </c>
      <c r="AF6659">
        <v>0</v>
      </c>
      <c r="AJ6659">
        <v>0</v>
      </c>
      <c r="AK6659">
        <v>0</v>
      </c>
      <c r="AL6659">
        <v>0</v>
      </c>
      <c r="AM6659">
        <v>0</v>
      </c>
      <c r="AN6659">
        <v>0</v>
      </c>
      <c r="AO6659">
        <v>0</v>
      </c>
      <c r="AP6659" s="2">
        <v>42746</v>
      </c>
      <c r="AQ6659" t="s">
        <v>72</v>
      </c>
      <c r="AR6659" t="s">
        <v>72</v>
      </c>
      <c r="AS6659">
        <v>228</v>
      </c>
      <c r="AT6659" s="4">
        <v>42403</v>
      </c>
      <c r="AU6659" t="s">
        <v>73</v>
      </c>
      <c r="AV6659">
        <v>228</v>
      </c>
      <c r="AW6659" s="4">
        <v>42403</v>
      </c>
      <c r="BD6659">
        <v>0</v>
      </c>
      <c r="BN6659" t="s">
        <v>74</v>
      </c>
    </row>
    <row r="6660" spans="1:66" hidden="1">
      <c r="A6660">
        <v>104093</v>
      </c>
      <c r="B6660" s="3" t="s">
        <v>609</v>
      </c>
      <c r="C6660" s="1">
        <v>43300101</v>
      </c>
      <c r="D6660" t="s">
        <v>67</v>
      </c>
      <c r="H6660" t="str">
        <f t="shared" si="675"/>
        <v>12572900152</v>
      </c>
      <c r="I6660" t="str">
        <f t="shared" si="676"/>
        <v>06032681006</v>
      </c>
      <c r="K6660" t="str">
        <f>""</f>
        <v/>
      </c>
      <c r="M6660" t="s">
        <v>68</v>
      </c>
      <c r="N6660" t="str">
        <f t="shared" si="674"/>
        <v>FOR</v>
      </c>
      <c r="O6660" t="s">
        <v>69</v>
      </c>
      <c r="P6660" s="3" t="s">
        <v>70</v>
      </c>
      <c r="Q6660">
        <v>2015</v>
      </c>
      <c r="R6660" s="2">
        <v>42045</v>
      </c>
      <c r="S6660" s="2">
        <v>42059</v>
      </c>
      <c r="T6660" s="2">
        <v>42059</v>
      </c>
      <c r="U6660" s="2">
        <v>42119</v>
      </c>
      <c r="V6660" t="s">
        <v>71</v>
      </c>
      <c r="W6660" t="str">
        <f>"            25227556"</f>
        <v xml:space="preserve">            25227556</v>
      </c>
      <c r="X6660">
        <v>74.88</v>
      </c>
      <c r="Y6660">
        <v>0</v>
      </c>
      <c r="Z6660"/>
      <c r="AB6660"/>
      <c r="AC6660">
        <v>72</v>
      </c>
      <c r="AD6660">
        <v>284</v>
      </c>
      <c r="AE6660" s="1">
        <v>20448</v>
      </c>
      <c r="AF6660">
        <v>0</v>
      </c>
      <c r="AJ6660">
        <v>0</v>
      </c>
      <c r="AK6660">
        <v>0</v>
      </c>
      <c r="AL6660">
        <v>0</v>
      </c>
      <c r="AM6660">
        <v>0</v>
      </c>
      <c r="AN6660">
        <v>0</v>
      </c>
      <c r="AO6660">
        <v>0</v>
      </c>
      <c r="AP6660" s="2">
        <v>42746</v>
      </c>
      <c r="AQ6660" t="s">
        <v>72</v>
      </c>
      <c r="AR6660" t="s">
        <v>72</v>
      </c>
      <c r="AS6660">
        <v>228</v>
      </c>
      <c r="AT6660" s="4">
        <v>42403</v>
      </c>
      <c r="AU6660" t="s">
        <v>73</v>
      </c>
      <c r="AV6660">
        <v>228</v>
      </c>
      <c r="AW6660" s="4">
        <v>42403</v>
      </c>
      <c r="BD6660">
        <v>0</v>
      </c>
      <c r="BN6660" t="s">
        <v>74</v>
      </c>
    </row>
    <row r="6661" spans="1:66" hidden="1">
      <c r="A6661">
        <v>104093</v>
      </c>
      <c r="B6661" s="3" t="s">
        <v>609</v>
      </c>
      <c r="C6661" s="1">
        <v>43300101</v>
      </c>
      <c r="D6661" t="s">
        <v>67</v>
      </c>
      <c r="H6661" t="str">
        <f t="shared" si="675"/>
        <v>12572900152</v>
      </c>
      <c r="I6661" t="str">
        <f t="shared" si="676"/>
        <v>06032681006</v>
      </c>
      <c r="K6661" t="str">
        <f>""</f>
        <v/>
      </c>
      <c r="M6661" t="s">
        <v>68</v>
      </c>
      <c r="N6661" t="str">
        <f t="shared" si="674"/>
        <v>FOR</v>
      </c>
      <c r="O6661" t="s">
        <v>69</v>
      </c>
      <c r="P6661" s="3" t="s">
        <v>70</v>
      </c>
      <c r="Q6661">
        <v>2015</v>
      </c>
      <c r="R6661" s="2">
        <v>42045</v>
      </c>
      <c r="S6661" s="2">
        <v>42059</v>
      </c>
      <c r="T6661" s="2">
        <v>42059</v>
      </c>
      <c r="U6661" s="2">
        <v>42119</v>
      </c>
      <c r="V6661" t="s">
        <v>71</v>
      </c>
      <c r="W6661" t="str">
        <f>"            25227557"</f>
        <v xml:space="preserve">            25227557</v>
      </c>
      <c r="X6661">
        <v>707.62</v>
      </c>
      <c r="Y6661">
        <v>0</v>
      </c>
      <c r="Z6661"/>
      <c r="AB6661"/>
      <c r="AC6661">
        <v>680.4</v>
      </c>
      <c r="AD6661">
        <v>284</v>
      </c>
      <c r="AE6661" s="1">
        <v>193233.6</v>
      </c>
      <c r="AF6661">
        <v>0</v>
      </c>
      <c r="AJ6661">
        <v>0</v>
      </c>
      <c r="AK6661">
        <v>0</v>
      </c>
      <c r="AL6661">
        <v>0</v>
      </c>
      <c r="AM6661">
        <v>0</v>
      </c>
      <c r="AN6661">
        <v>0</v>
      </c>
      <c r="AO6661">
        <v>0</v>
      </c>
      <c r="AP6661" s="2">
        <v>42746</v>
      </c>
      <c r="AQ6661" t="s">
        <v>72</v>
      </c>
      <c r="AR6661" t="s">
        <v>72</v>
      </c>
      <c r="AS6661">
        <v>228</v>
      </c>
      <c r="AT6661" s="4">
        <v>42403</v>
      </c>
      <c r="AU6661" t="s">
        <v>73</v>
      </c>
      <c r="AV6661">
        <v>228</v>
      </c>
      <c r="AW6661" s="4">
        <v>42403</v>
      </c>
      <c r="BD6661">
        <v>0</v>
      </c>
      <c r="BN6661" t="s">
        <v>74</v>
      </c>
    </row>
    <row r="6662" spans="1:66" hidden="1">
      <c r="A6662">
        <v>104093</v>
      </c>
      <c r="B6662" s="3" t="s">
        <v>609</v>
      </c>
      <c r="C6662" s="1">
        <v>43300101</v>
      </c>
      <c r="D6662" t="s">
        <v>67</v>
      </c>
      <c r="H6662" t="str">
        <f t="shared" si="675"/>
        <v>12572900152</v>
      </c>
      <c r="I6662" t="str">
        <f t="shared" si="676"/>
        <v>06032681006</v>
      </c>
      <c r="K6662" t="str">
        <f>""</f>
        <v/>
      </c>
      <c r="M6662" t="s">
        <v>68</v>
      </c>
      <c r="N6662" t="str">
        <f t="shared" si="674"/>
        <v>FOR</v>
      </c>
      <c r="O6662" t="s">
        <v>69</v>
      </c>
      <c r="P6662" s="3" t="s">
        <v>70</v>
      </c>
      <c r="Q6662">
        <v>2015</v>
      </c>
      <c r="R6662" s="2">
        <v>42045</v>
      </c>
      <c r="S6662" s="2">
        <v>42059</v>
      </c>
      <c r="T6662" s="2">
        <v>42059</v>
      </c>
      <c r="U6662" s="2">
        <v>42119</v>
      </c>
      <c r="V6662" t="s">
        <v>71</v>
      </c>
      <c r="W6662" t="str">
        <f>"            25227558"</f>
        <v xml:space="preserve">            25227558</v>
      </c>
      <c r="X6662">
        <v>74.88</v>
      </c>
      <c r="Y6662">
        <v>0</v>
      </c>
      <c r="Z6662"/>
      <c r="AB6662"/>
      <c r="AC6662">
        <v>72</v>
      </c>
      <c r="AD6662">
        <v>284</v>
      </c>
      <c r="AE6662" s="1">
        <v>20448</v>
      </c>
      <c r="AF6662">
        <v>0</v>
      </c>
      <c r="AJ6662">
        <v>0</v>
      </c>
      <c r="AK6662">
        <v>0</v>
      </c>
      <c r="AL6662">
        <v>0</v>
      </c>
      <c r="AM6662">
        <v>0</v>
      </c>
      <c r="AN6662">
        <v>0</v>
      </c>
      <c r="AO6662">
        <v>0</v>
      </c>
      <c r="AP6662" s="2">
        <v>42746</v>
      </c>
      <c r="AQ6662" t="s">
        <v>72</v>
      </c>
      <c r="AR6662" t="s">
        <v>72</v>
      </c>
      <c r="AS6662">
        <v>228</v>
      </c>
      <c r="AT6662" s="4">
        <v>42403</v>
      </c>
      <c r="AU6662" t="s">
        <v>73</v>
      </c>
      <c r="AV6662">
        <v>228</v>
      </c>
      <c r="AW6662" s="4">
        <v>42403</v>
      </c>
      <c r="BD6662">
        <v>0</v>
      </c>
      <c r="BN6662" t="s">
        <v>74</v>
      </c>
    </row>
    <row r="6663" spans="1:66" hidden="1">
      <c r="A6663">
        <v>104093</v>
      </c>
      <c r="B6663" s="3" t="s">
        <v>609</v>
      </c>
      <c r="C6663" s="1">
        <v>43300101</v>
      </c>
      <c r="D6663" t="s">
        <v>67</v>
      </c>
      <c r="H6663" t="str">
        <f t="shared" si="675"/>
        <v>12572900152</v>
      </c>
      <c r="I6663" t="str">
        <f t="shared" si="676"/>
        <v>06032681006</v>
      </c>
      <c r="K6663" t="str">
        <f>""</f>
        <v/>
      </c>
      <c r="M6663" t="s">
        <v>68</v>
      </c>
      <c r="N6663" t="str">
        <f t="shared" si="674"/>
        <v>FOR</v>
      </c>
      <c r="O6663" t="s">
        <v>69</v>
      </c>
      <c r="P6663" s="3" t="s">
        <v>70</v>
      </c>
      <c r="Q6663">
        <v>2015</v>
      </c>
      <c r="R6663" s="2">
        <v>42047</v>
      </c>
      <c r="S6663" s="2">
        <v>42066</v>
      </c>
      <c r="T6663" s="2">
        <v>42066</v>
      </c>
      <c r="U6663" s="2">
        <v>42126</v>
      </c>
      <c r="V6663" t="s">
        <v>71</v>
      </c>
      <c r="W6663" t="str">
        <f>"            25228015"</f>
        <v xml:space="preserve">            25228015</v>
      </c>
      <c r="X6663">
        <v>707.62</v>
      </c>
      <c r="Y6663">
        <v>0</v>
      </c>
      <c r="Z6663"/>
      <c r="AB6663"/>
      <c r="AC6663">
        <v>680.4</v>
      </c>
      <c r="AD6663">
        <v>277</v>
      </c>
      <c r="AE6663" s="1">
        <v>188470.8</v>
      </c>
      <c r="AF6663">
        <v>0</v>
      </c>
      <c r="AJ6663">
        <v>0</v>
      </c>
      <c r="AK6663">
        <v>0</v>
      </c>
      <c r="AL6663">
        <v>0</v>
      </c>
      <c r="AM6663">
        <v>0</v>
      </c>
      <c r="AN6663">
        <v>0</v>
      </c>
      <c r="AO6663">
        <v>0</v>
      </c>
      <c r="AP6663" s="2">
        <v>42746</v>
      </c>
      <c r="AQ6663" t="s">
        <v>72</v>
      </c>
      <c r="AR6663" t="s">
        <v>72</v>
      </c>
      <c r="AS6663">
        <v>228</v>
      </c>
      <c r="AT6663" s="4">
        <v>42403</v>
      </c>
      <c r="AU6663" t="s">
        <v>73</v>
      </c>
      <c r="AV6663">
        <v>228</v>
      </c>
      <c r="AW6663" s="4">
        <v>42403</v>
      </c>
      <c r="BD6663">
        <v>0</v>
      </c>
      <c r="BN6663" t="s">
        <v>74</v>
      </c>
    </row>
    <row r="6664" spans="1:66" hidden="1">
      <c r="A6664">
        <v>104093</v>
      </c>
      <c r="B6664" s="3" t="s">
        <v>609</v>
      </c>
      <c r="C6664" s="1">
        <v>43300101</v>
      </c>
      <c r="D6664" t="s">
        <v>67</v>
      </c>
      <c r="H6664" t="str">
        <f t="shared" si="675"/>
        <v>12572900152</v>
      </c>
      <c r="I6664" t="str">
        <f t="shared" si="676"/>
        <v>06032681006</v>
      </c>
      <c r="K6664" t="str">
        <f>""</f>
        <v/>
      </c>
      <c r="M6664" t="s">
        <v>68</v>
      </c>
      <c r="N6664" t="str">
        <f t="shared" si="674"/>
        <v>FOR</v>
      </c>
      <c r="O6664" t="s">
        <v>69</v>
      </c>
      <c r="P6664" s="3" t="s">
        <v>70</v>
      </c>
      <c r="Q6664">
        <v>2015</v>
      </c>
      <c r="R6664" s="2">
        <v>42047</v>
      </c>
      <c r="S6664" s="2">
        <v>42066</v>
      </c>
      <c r="T6664" s="2">
        <v>42066</v>
      </c>
      <c r="U6664" s="2">
        <v>42126</v>
      </c>
      <c r="V6664" t="s">
        <v>71</v>
      </c>
      <c r="W6664" t="str">
        <f>"            25228016"</f>
        <v xml:space="preserve">            25228016</v>
      </c>
      <c r="X6664">
        <v>252.72</v>
      </c>
      <c r="Y6664">
        <v>0</v>
      </c>
      <c r="Z6664"/>
      <c r="AB6664"/>
      <c r="AC6664">
        <v>243</v>
      </c>
      <c r="AD6664">
        <v>277</v>
      </c>
      <c r="AE6664" s="1">
        <v>67311</v>
      </c>
      <c r="AF6664">
        <v>0</v>
      </c>
      <c r="AJ6664">
        <v>0</v>
      </c>
      <c r="AK6664">
        <v>0</v>
      </c>
      <c r="AL6664">
        <v>0</v>
      </c>
      <c r="AM6664">
        <v>0</v>
      </c>
      <c r="AN6664">
        <v>0</v>
      </c>
      <c r="AO6664">
        <v>0</v>
      </c>
      <c r="AP6664" s="2">
        <v>42746</v>
      </c>
      <c r="AQ6664" t="s">
        <v>72</v>
      </c>
      <c r="AR6664" t="s">
        <v>72</v>
      </c>
      <c r="AS6664">
        <v>228</v>
      </c>
      <c r="AT6664" s="4">
        <v>42403</v>
      </c>
      <c r="AU6664" t="s">
        <v>73</v>
      </c>
      <c r="AV6664">
        <v>228</v>
      </c>
      <c r="AW6664" s="4">
        <v>42403</v>
      </c>
      <c r="BD6664">
        <v>0</v>
      </c>
      <c r="BN6664" t="s">
        <v>74</v>
      </c>
    </row>
    <row r="6665" spans="1:66" hidden="1">
      <c r="A6665">
        <v>104093</v>
      </c>
      <c r="B6665" s="3" t="s">
        <v>609</v>
      </c>
      <c r="C6665" s="1">
        <v>43300101</v>
      </c>
      <c r="D6665" t="s">
        <v>67</v>
      </c>
      <c r="H6665" t="str">
        <f t="shared" si="675"/>
        <v>12572900152</v>
      </c>
      <c r="I6665" t="str">
        <f t="shared" si="676"/>
        <v>06032681006</v>
      </c>
      <c r="K6665" t="str">
        <f>""</f>
        <v/>
      </c>
      <c r="M6665" t="s">
        <v>68</v>
      </c>
      <c r="N6665" t="str">
        <f t="shared" si="674"/>
        <v>FOR</v>
      </c>
      <c r="O6665" t="s">
        <v>69</v>
      </c>
      <c r="P6665" s="3" t="s">
        <v>70</v>
      </c>
      <c r="Q6665">
        <v>2015</v>
      </c>
      <c r="R6665" s="2">
        <v>42047</v>
      </c>
      <c r="S6665" s="2">
        <v>42066</v>
      </c>
      <c r="T6665" s="2">
        <v>42066</v>
      </c>
      <c r="U6665" s="2">
        <v>42126</v>
      </c>
      <c r="V6665" t="s">
        <v>71</v>
      </c>
      <c r="W6665" t="str">
        <f>"            25228017"</f>
        <v xml:space="preserve">            25228017</v>
      </c>
      <c r="X6665">
        <v>74.88</v>
      </c>
      <c r="Y6665">
        <v>0</v>
      </c>
      <c r="Z6665"/>
      <c r="AB6665"/>
      <c r="AC6665">
        <v>72</v>
      </c>
      <c r="AD6665">
        <v>277</v>
      </c>
      <c r="AE6665" s="1">
        <v>19944</v>
      </c>
      <c r="AF6665">
        <v>0</v>
      </c>
      <c r="AJ6665">
        <v>0</v>
      </c>
      <c r="AK6665">
        <v>0</v>
      </c>
      <c r="AL6665">
        <v>0</v>
      </c>
      <c r="AM6665">
        <v>0</v>
      </c>
      <c r="AN6665">
        <v>0</v>
      </c>
      <c r="AO6665">
        <v>0</v>
      </c>
      <c r="AP6665" s="2">
        <v>42746</v>
      </c>
      <c r="AQ6665" t="s">
        <v>72</v>
      </c>
      <c r="AR6665" t="s">
        <v>72</v>
      </c>
      <c r="AS6665">
        <v>228</v>
      </c>
      <c r="AT6665" s="4">
        <v>42403</v>
      </c>
      <c r="AU6665" t="s">
        <v>73</v>
      </c>
      <c r="AV6665">
        <v>228</v>
      </c>
      <c r="AW6665" s="4">
        <v>42403</v>
      </c>
      <c r="BD6665">
        <v>0</v>
      </c>
      <c r="BN6665" t="s">
        <v>74</v>
      </c>
    </row>
    <row r="6666" spans="1:66" hidden="1">
      <c r="A6666">
        <v>104093</v>
      </c>
      <c r="B6666" s="3" t="s">
        <v>609</v>
      </c>
      <c r="C6666" s="1">
        <v>43300101</v>
      </c>
      <c r="D6666" t="s">
        <v>67</v>
      </c>
      <c r="H6666" t="str">
        <f t="shared" si="675"/>
        <v>12572900152</v>
      </c>
      <c r="I6666" t="str">
        <f t="shared" si="676"/>
        <v>06032681006</v>
      </c>
      <c r="K6666" t="str">
        <f>""</f>
        <v/>
      </c>
      <c r="M6666" t="s">
        <v>68</v>
      </c>
      <c r="N6666" t="str">
        <f t="shared" si="674"/>
        <v>FOR</v>
      </c>
      <c r="O6666" t="s">
        <v>69</v>
      </c>
      <c r="P6666" s="3" t="s">
        <v>70</v>
      </c>
      <c r="Q6666">
        <v>2015</v>
      </c>
      <c r="R6666" s="2">
        <v>42047</v>
      </c>
      <c r="S6666" s="2">
        <v>42066</v>
      </c>
      <c r="T6666" s="2">
        <v>42066</v>
      </c>
      <c r="U6666" s="2">
        <v>42126</v>
      </c>
      <c r="V6666" t="s">
        <v>71</v>
      </c>
      <c r="W6666" t="str">
        <f>"            25228092"</f>
        <v xml:space="preserve">            25228092</v>
      </c>
      <c r="X6666">
        <v>871.08</v>
      </c>
      <c r="Y6666">
        <v>0</v>
      </c>
      <c r="Z6666"/>
      <c r="AB6666"/>
      <c r="AC6666">
        <v>714</v>
      </c>
      <c r="AD6666">
        <v>277</v>
      </c>
      <c r="AE6666" s="1">
        <v>197778</v>
      </c>
      <c r="AF6666">
        <v>0</v>
      </c>
      <c r="AJ6666">
        <v>0</v>
      </c>
      <c r="AK6666">
        <v>0</v>
      </c>
      <c r="AL6666">
        <v>0</v>
      </c>
      <c r="AM6666">
        <v>0</v>
      </c>
      <c r="AN6666">
        <v>0</v>
      </c>
      <c r="AO6666">
        <v>0</v>
      </c>
      <c r="AP6666" s="2">
        <v>42746</v>
      </c>
      <c r="AQ6666" t="s">
        <v>72</v>
      </c>
      <c r="AR6666" t="s">
        <v>72</v>
      </c>
      <c r="AS6666">
        <v>228</v>
      </c>
      <c r="AT6666" s="4">
        <v>42403</v>
      </c>
      <c r="AU6666" t="s">
        <v>73</v>
      </c>
      <c r="AV6666">
        <v>228</v>
      </c>
      <c r="AW6666" s="4">
        <v>42403</v>
      </c>
      <c r="BD6666">
        <v>0</v>
      </c>
      <c r="BN6666" t="s">
        <v>74</v>
      </c>
    </row>
    <row r="6667" spans="1:66" hidden="1">
      <c r="A6667">
        <v>104093</v>
      </c>
      <c r="B6667" s="3" t="s">
        <v>609</v>
      </c>
      <c r="C6667" s="1">
        <v>43300101</v>
      </c>
      <c r="D6667" t="s">
        <v>67</v>
      </c>
      <c r="H6667" t="str">
        <f t="shared" si="675"/>
        <v>12572900152</v>
      </c>
      <c r="I6667" t="str">
        <f t="shared" si="676"/>
        <v>06032681006</v>
      </c>
      <c r="K6667" t="str">
        <f>""</f>
        <v/>
      </c>
      <c r="M6667" t="s">
        <v>68</v>
      </c>
      <c r="N6667" t="str">
        <f t="shared" si="674"/>
        <v>FOR</v>
      </c>
      <c r="O6667" t="s">
        <v>69</v>
      </c>
      <c r="P6667" s="3" t="s">
        <v>70</v>
      </c>
      <c r="Q6667">
        <v>2015</v>
      </c>
      <c r="R6667" s="2">
        <v>42048</v>
      </c>
      <c r="S6667" s="2">
        <v>42066</v>
      </c>
      <c r="T6667" s="2">
        <v>42066</v>
      </c>
      <c r="U6667" s="2">
        <v>42126</v>
      </c>
      <c r="V6667" t="s">
        <v>71</v>
      </c>
      <c r="W6667" t="str">
        <f>"            25228421"</f>
        <v xml:space="preserve">            25228421</v>
      </c>
      <c r="X6667">
        <v>403.48</v>
      </c>
      <c r="Y6667">
        <v>0</v>
      </c>
      <c r="Z6667"/>
      <c r="AB6667"/>
      <c r="AC6667">
        <v>330.72</v>
      </c>
      <c r="AD6667">
        <v>277</v>
      </c>
      <c r="AE6667" s="1">
        <v>91609.44</v>
      </c>
      <c r="AF6667">
        <v>0</v>
      </c>
      <c r="AJ6667">
        <v>0</v>
      </c>
      <c r="AK6667">
        <v>0</v>
      </c>
      <c r="AL6667">
        <v>0</v>
      </c>
      <c r="AM6667">
        <v>0</v>
      </c>
      <c r="AN6667">
        <v>0</v>
      </c>
      <c r="AO6667">
        <v>0</v>
      </c>
      <c r="AP6667" s="2">
        <v>42746</v>
      </c>
      <c r="AQ6667" t="s">
        <v>72</v>
      </c>
      <c r="AR6667" t="s">
        <v>72</v>
      </c>
      <c r="AS6667">
        <v>228</v>
      </c>
      <c r="AT6667" s="4">
        <v>42403</v>
      </c>
      <c r="AU6667" t="s">
        <v>73</v>
      </c>
      <c r="AV6667">
        <v>228</v>
      </c>
      <c r="AW6667" s="4">
        <v>42403</v>
      </c>
      <c r="BD6667">
        <v>0</v>
      </c>
      <c r="BN6667" t="s">
        <v>74</v>
      </c>
    </row>
    <row r="6668" spans="1:66" hidden="1">
      <c r="A6668">
        <v>104093</v>
      </c>
      <c r="B6668" s="3" t="s">
        <v>609</v>
      </c>
      <c r="C6668" s="1">
        <v>43300101</v>
      </c>
      <c r="D6668" t="s">
        <v>67</v>
      </c>
      <c r="H6668" t="str">
        <f t="shared" si="675"/>
        <v>12572900152</v>
      </c>
      <c r="I6668" t="str">
        <f t="shared" si="676"/>
        <v>06032681006</v>
      </c>
      <c r="K6668" t="str">
        <f>""</f>
        <v/>
      </c>
      <c r="M6668" t="s">
        <v>68</v>
      </c>
      <c r="N6668" t="str">
        <f t="shared" si="674"/>
        <v>FOR</v>
      </c>
      <c r="O6668" t="s">
        <v>69</v>
      </c>
      <c r="P6668" s="3" t="s">
        <v>70</v>
      </c>
      <c r="Q6668">
        <v>2015</v>
      </c>
      <c r="R6668" s="2">
        <v>42053</v>
      </c>
      <c r="S6668" s="2">
        <v>42068</v>
      </c>
      <c r="T6668" s="2">
        <v>42068</v>
      </c>
      <c r="U6668" s="2">
        <v>42128</v>
      </c>
      <c r="V6668" t="s">
        <v>71</v>
      </c>
      <c r="W6668" t="str">
        <f>"            25229158"</f>
        <v xml:space="preserve">            25229158</v>
      </c>
      <c r="X6668">
        <v>74.88</v>
      </c>
      <c r="Y6668">
        <v>0</v>
      </c>
      <c r="Z6668"/>
      <c r="AB6668"/>
      <c r="AC6668">
        <v>72</v>
      </c>
      <c r="AD6668">
        <v>275</v>
      </c>
      <c r="AE6668" s="1">
        <v>19800</v>
      </c>
      <c r="AF6668">
        <v>0</v>
      </c>
      <c r="AJ6668">
        <v>0</v>
      </c>
      <c r="AK6668">
        <v>0</v>
      </c>
      <c r="AL6668">
        <v>0</v>
      </c>
      <c r="AM6668">
        <v>0</v>
      </c>
      <c r="AN6668">
        <v>0</v>
      </c>
      <c r="AO6668">
        <v>0</v>
      </c>
      <c r="AP6668" s="2">
        <v>42746</v>
      </c>
      <c r="AQ6668" t="s">
        <v>72</v>
      </c>
      <c r="AR6668" t="s">
        <v>72</v>
      </c>
      <c r="AS6668">
        <v>228</v>
      </c>
      <c r="AT6668" s="4">
        <v>42403</v>
      </c>
      <c r="AU6668" t="s">
        <v>73</v>
      </c>
      <c r="AV6668">
        <v>228</v>
      </c>
      <c r="AW6668" s="4">
        <v>42403</v>
      </c>
      <c r="BD6668">
        <v>0</v>
      </c>
      <c r="BN6668" t="s">
        <v>74</v>
      </c>
    </row>
    <row r="6669" spans="1:66" hidden="1">
      <c r="A6669">
        <v>104093</v>
      </c>
      <c r="B6669" s="3" t="s">
        <v>609</v>
      </c>
      <c r="C6669" s="1">
        <v>43300101</v>
      </c>
      <c r="D6669" t="s">
        <v>67</v>
      </c>
      <c r="H6669" t="str">
        <f t="shared" si="675"/>
        <v>12572900152</v>
      </c>
      <c r="I6669" t="str">
        <f t="shared" si="676"/>
        <v>06032681006</v>
      </c>
      <c r="K6669" t="str">
        <f>""</f>
        <v/>
      </c>
      <c r="M6669" t="s">
        <v>68</v>
      </c>
      <c r="N6669" t="str">
        <f t="shared" si="674"/>
        <v>FOR</v>
      </c>
      <c r="O6669" t="s">
        <v>69</v>
      </c>
      <c r="P6669" s="3" t="s">
        <v>70</v>
      </c>
      <c r="Q6669">
        <v>2015</v>
      </c>
      <c r="R6669" s="2">
        <v>42053</v>
      </c>
      <c r="S6669" s="2">
        <v>42068</v>
      </c>
      <c r="T6669" s="2">
        <v>42068</v>
      </c>
      <c r="U6669" s="2">
        <v>42128</v>
      </c>
      <c r="V6669" t="s">
        <v>71</v>
      </c>
      <c r="W6669" t="str">
        <f>"            25229214"</f>
        <v xml:space="preserve">            25229214</v>
      </c>
      <c r="X6669">
        <v>74.88</v>
      </c>
      <c r="Y6669">
        <v>0</v>
      </c>
      <c r="Z6669"/>
      <c r="AB6669"/>
      <c r="AC6669">
        <v>72</v>
      </c>
      <c r="AD6669">
        <v>275</v>
      </c>
      <c r="AE6669" s="1">
        <v>19800</v>
      </c>
      <c r="AF6669">
        <v>0</v>
      </c>
      <c r="AJ6669">
        <v>0</v>
      </c>
      <c r="AK6669">
        <v>0</v>
      </c>
      <c r="AL6669">
        <v>0</v>
      </c>
      <c r="AM6669">
        <v>0</v>
      </c>
      <c r="AN6669">
        <v>0</v>
      </c>
      <c r="AO6669">
        <v>0</v>
      </c>
      <c r="AP6669" s="2">
        <v>42746</v>
      </c>
      <c r="AQ6669" t="s">
        <v>72</v>
      </c>
      <c r="AR6669" t="s">
        <v>72</v>
      </c>
      <c r="AS6669">
        <v>228</v>
      </c>
      <c r="AT6669" s="4">
        <v>42403</v>
      </c>
      <c r="AU6669" t="s">
        <v>73</v>
      </c>
      <c r="AV6669">
        <v>228</v>
      </c>
      <c r="AW6669" s="4">
        <v>42403</v>
      </c>
      <c r="BD6669">
        <v>0</v>
      </c>
      <c r="BN6669" t="s">
        <v>74</v>
      </c>
    </row>
    <row r="6670" spans="1:66" hidden="1">
      <c r="A6670">
        <v>104093</v>
      </c>
      <c r="B6670" s="3" t="s">
        <v>609</v>
      </c>
      <c r="C6670" s="1">
        <v>43300101</v>
      </c>
      <c r="D6670" t="s">
        <v>67</v>
      </c>
      <c r="H6670" t="str">
        <f t="shared" si="675"/>
        <v>12572900152</v>
      </c>
      <c r="I6670" t="str">
        <f t="shared" si="676"/>
        <v>06032681006</v>
      </c>
      <c r="K6670" t="str">
        <f>""</f>
        <v/>
      </c>
      <c r="M6670" t="s">
        <v>68</v>
      </c>
      <c r="N6670" t="str">
        <f t="shared" si="674"/>
        <v>FOR</v>
      </c>
      <c r="O6670" t="s">
        <v>69</v>
      </c>
      <c r="P6670" s="3" t="s">
        <v>70</v>
      </c>
      <c r="Q6670">
        <v>2015</v>
      </c>
      <c r="R6670" s="2">
        <v>42053</v>
      </c>
      <c r="S6670" s="2">
        <v>42068</v>
      </c>
      <c r="T6670" s="2">
        <v>42068</v>
      </c>
      <c r="U6670" s="2">
        <v>42128</v>
      </c>
      <c r="V6670" t="s">
        <v>71</v>
      </c>
      <c r="W6670" t="str">
        <f>"            25229215"</f>
        <v xml:space="preserve">            25229215</v>
      </c>
      <c r="X6670">
        <v>74.88</v>
      </c>
      <c r="Y6670">
        <v>0</v>
      </c>
      <c r="Z6670"/>
      <c r="AB6670"/>
      <c r="AC6670">
        <v>72</v>
      </c>
      <c r="AD6670">
        <v>275</v>
      </c>
      <c r="AE6670" s="1">
        <v>19800</v>
      </c>
      <c r="AF6670">
        <v>0</v>
      </c>
      <c r="AJ6670">
        <v>0</v>
      </c>
      <c r="AK6670">
        <v>0</v>
      </c>
      <c r="AL6670">
        <v>0</v>
      </c>
      <c r="AM6670">
        <v>0</v>
      </c>
      <c r="AN6670">
        <v>0</v>
      </c>
      <c r="AO6670">
        <v>0</v>
      </c>
      <c r="AP6670" s="2">
        <v>42746</v>
      </c>
      <c r="AQ6670" t="s">
        <v>72</v>
      </c>
      <c r="AR6670" t="s">
        <v>72</v>
      </c>
      <c r="AS6670">
        <v>228</v>
      </c>
      <c r="AT6670" s="4">
        <v>42403</v>
      </c>
      <c r="AU6670" t="s">
        <v>73</v>
      </c>
      <c r="AV6670">
        <v>228</v>
      </c>
      <c r="AW6670" s="4">
        <v>42403</v>
      </c>
      <c r="BD6670">
        <v>0</v>
      </c>
      <c r="BN6670" t="s">
        <v>74</v>
      </c>
    </row>
    <row r="6671" spans="1:66" hidden="1">
      <c r="A6671">
        <v>104093</v>
      </c>
      <c r="B6671" s="3" t="s">
        <v>609</v>
      </c>
      <c r="C6671" s="1">
        <v>43300101</v>
      </c>
      <c r="D6671" t="s">
        <v>67</v>
      </c>
      <c r="H6671" t="str">
        <f t="shared" si="675"/>
        <v>12572900152</v>
      </c>
      <c r="I6671" t="str">
        <f t="shared" si="676"/>
        <v>06032681006</v>
      </c>
      <c r="K6671" t="str">
        <f>""</f>
        <v/>
      </c>
      <c r="M6671" t="s">
        <v>68</v>
      </c>
      <c r="N6671" t="str">
        <f t="shared" si="674"/>
        <v>FOR</v>
      </c>
      <c r="O6671" t="s">
        <v>69</v>
      </c>
      <c r="P6671" s="3" t="s">
        <v>70</v>
      </c>
      <c r="Q6671">
        <v>2015</v>
      </c>
      <c r="R6671" s="2">
        <v>42053</v>
      </c>
      <c r="S6671" s="2">
        <v>42068</v>
      </c>
      <c r="T6671" s="2">
        <v>42068</v>
      </c>
      <c r="U6671" s="2">
        <v>42128</v>
      </c>
      <c r="V6671" t="s">
        <v>71</v>
      </c>
      <c r="W6671" t="str">
        <f>"            25229218"</f>
        <v xml:space="preserve">            25229218</v>
      </c>
      <c r="X6671">
        <v>403.42</v>
      </c>
      <c r="Y6671">
        <v>0</v>
      </c>
      <c r="Z6671"/>
      <c r="AB6671"/>
      <c r="AC6671">
        <v>387.9</v>
      </c>
      <c r="AD6671">
        <v>275</v>
      </c>
      <c r="AE6671" s="1">
        <v>106672.5</v>
      </c>
      <c r="AF6671">
        <v>0</v>
      </c>
      <c r="AJ6671">
        <v>0</v>
      </c>
      <c r="AK6671">
        <v>0</v>
      </c>
      <c r="AL6671">
        <v>0</v>
      </c>
      <c r="AM6671">
        <v>0</v>
      </c>
      <c r="AN6671">
        <v>0</v>
      </c>
      <c r="AO6671">
        <v>0</v>
      </c>
      <c r="AP6671" s="2">
        <v>42746</v>
      </c>
      <c r="AQ6671" t="s">
        <v>72</v>
      </c>
      <c r="AR6671" t="s">
        <v>72</v>
      </c>
      <c r="AS6671">
        <v>228</v>
      </c>
      <c r="AT6671" s="4">
        <v>42403</v>
      </c>
      <c r="AU6671" t="s">
        <v>73</v>
      </c>
      <c r="AV6671">
        <v>228</v>
      </c>
      <c r="AW6671" s="4">
        <v>42403</v>
      </c>
      <c r="BD6671">
        <v>0</v>
      </c>
      <c r="BN6671" t="s">
        <v>74</v>
      </c>
    </row>
    <row r="6672" spans="1:66" hidden="1">
      <c r="A6672">
        <v>104093</v>
      </c>
      <c r="B6672" s="3" t="s">
        <v>609</v>
      </c>
      <c r="C6672" s="1">
        <v>43300101</v>
      </c>
      <c r="D6672" t="s">
        <v>67</v>
      </c>
      <c r="H6672" t="str">
        <f t="shared" si="675"/>
        <v>12572900152</v>
      </c>
      <c r="I6672" t="str">
        <f t="shared" si="676"/>
        <v>06032681006</v>
      </c>
      <c r="K6672" t="str">
        <f>""</f>
        <v/>
      </c>
      <c r="M6672" t="s">
        <v>68</v>
      </c>
      <c r="N6672" t="str">
        <f t="shared" si="674"/>
        <v>FOR</v>
      </c>
      <c r="O6672" t="s">
        <v>69</v>
      </c>
      <c r="P6672" s="3" t="s">
        <v>70</v>
      </c>
      <c r="Q6672">
        <v>2015</v>
      </c>
      <c r="R6672" s="2">
        <v>42053</v>
      </c>
      <c r="S6672" s="2">
        <v>42068</v>
      </c>
      <c r="T6672" s="2">
        <v>42068</v>
      </c>
      <c r="U6672" s="2">
        <v>42128</v>
      </c>
      <c r="V6672" t="s">
        <v>71</v>
      </c>
      <c r="W6672" t="str">
        <f>"            25229340"</f>
        <v xml:space="preserve">            25229340</v>
      </c>
      <c r="X6672" s="1">
        <v>3538.08</v>
      </c>
      <c r="Y6672">
        <v>0</v>
      </c>
      <c r="Z6672"/>
      <c r="AB6672"/>
      <c r="AC6672" s="1">
        <v>3402</v>
      </c>
      <c r="AD6672">
        <v>275</v>
      </c>
      <c r="AE6672" s="1">
        <v>935550</v>
      </c>
      <c r="AF6672">
        <v>0</v>
      </c>
      <c r="AJ6672">
        <v>0</v>
      </c>
      <c r="AK6672">
        <v>0</v>
      </c>
      <c r="AL6672">
        <v>0</v>
      </c>
      <c r="AM6672">
        <v>0</v>
      </c>
      <c r="AN6672">
        <v>0</v>
      </c>
      <c r="AO6672">
        <v>0</v>
      </c>
      <c r="AP6672" s="2">
        <v>42746</v>
      </c>
      <c r="AQ6672" t="s">
        <v>72</v>
      </c>
      <c r="AR6672" t="s">
        <v>72</v>
      </c>
      <c r="AS6672">
        <v>228</v>
      </c>
      <c r="AT6672" s="4">
        <v>42403</v>
      </c>
      <c r="AU6672" t="s">
        <v>73</v>
      </c>
      <c r="AV6672">
        <v>228</v>
      </c>
      <c r="AW6672" s="4">
        <v>42403</v>
      </c>
      <c r="BD6672">
        <v>0</v>
      </c>
      <c r="BN6672" t="s">
        <v>74</v>
      </c>
    </row>
    <row r="6673" spans="1:66" hidden="1">
      <c r="A6673">
        <v>104093</v>
      </c>
      <c r="B6673" s="3" t="s">
        <v>609</v>
      </c>
      <c r="C6673" s="1">
        <v>43300101</v>
      </c>
      <c r="D6673" t="s">
        <v>67</v>
      </c>
      <c r="H6673" t="str">
        <f t="shared" si="675"/>
        <v>12572900152</v>
      </c>
      <c r="I6673" t="str">
        <f t="shared" si="676"/>
        <v>06032681006</v>
      </c>
      <c r="K6673" t="str">
        <f>""</f>
        <v/>
      </c>
      <c r="M6673" t="s">
        <v>68</v>
      </c>
      <c r="N6673" t="str">
        <f t="shared" si="674"/>
        <v>FOR</v>
      </c>
      <c r="O6673" t="s">
        <v>69</v>
      </c>
      <c r="P6673" s="3" t="s">
        <v>70</v>
      </c>
      <c r="Q6673">
        <v>2015</v>
      </c>
      <c r="R6673" s="2">
        <v>42054</v>
      </c>
      <c r="S6673" s="2">
        <v>42073</v>
      </c>
      <c r="T6673" s="2">
        <v>42073</v>
      </c>
      <c r="U6673" s="2">
        <v>42133</v>
      </c>
      <c r="V6673" t="s">
        <v>71</v>
      </c>
      <c r="W6673" t="str">
        <f>"            25229512"</f>
        <v xml:space="preserve">            25229512</v>
      </c>
      <c r="X6673" s="1">
        <v>5848.68</v>
      </c>
      <c r="Y6673">
        <v>0</v>
      </c>
      <c r="Z6673"/>
      <c r="AB6673"/>
      <c r="AC6673" s="1">
        <v>4794</v>
      </c>
      <c r="AD6673">
        <v>270</v>
      </c>
      <c r="AE6673" s="1">
        <v>1294380</v>
      </c>
      <c r="AF6673">
        <v>0</v>
      </c>
      <c r="AJ6673">
        <v>0</v>
      </c>
      <c r="AK6673">
        <v>0</v>
      </c>
      <c r="AL6673">
        <v>0</v>
      </c>
      <c r="AM6673">
        <v>0</v>
      </c>
      <c r="AN6673">
        <v>0</v>
      </c>
      <c r="AO6673">
        <v>0</v>
      </c>
      <c r="AP6673" s="2">
        <v>42746</v>
      </c>
      <c r="AQ6673" t="s">
        <v>72</v>
      </c>
      <c r="AR6673" t="s">
        <v>72</v>
      </c>
      <c r="AS6673">
        <v>228</v>
      </c>
      <c r="AT6673" s="4">
        <v>42403</v>
      </c>
      <c r="AU6673" t="s">
        <v>73</v>
      </c>
      <c r="AV6673">
        <v>228</v>
      </c>
      <c r="AW6673" s="4">
        <v>42403</v>
      </c>
      <c r="BD6673">
        <v>0</v>
      </c>
      <c r="BN6673" t="s">
        <v>74</v>
      </c>
    </row>
    <row r="6674" spans="1:66" hidden="1">
      <c r="A6674">
        <v>104093</v>
      </c>
      <c r="B6674" s="3" t="s">
        <v>609</v>
      </c>
      <c r="C6674" s="1">
        <v>43300101</v>
      </c>
      <c r="D6674" t="s">
        <v>67</v>
      </c>
      <c r="H6674" t="str">
        <f t="shared" si="675"/>
        <v>12572900152</v>
      </c>
      <c r="I6674" t="str">
        <f t="shared" si="676"/>
        <v>06032681006</v>
      </c>
      <c r="K6674" t="str">
        <f>""</f>
        <v/>
      </c>
      <c r="M6674" t="s">
        <v>68</v>
      </c>
      <c r="N6674" t="str">
        <f t="shared" si="674"/>
        <v>FOR</v>
      </c>
      <c r="O6674" t="s">
        <v>69</v>
      </c>
      <c r="P6674" s="3" t="s">
        <v>70</v>
      </c>
      <c r="Q6674">
        <v>2015</v>
      </c>
      <c r="R6674" s="2">
        <v>42055</v>
      </c>
      <c r="S6674" s="2">
        <v>42073</v>
      </c>
      <c r="T6674" s="2">
        <v>42073</v>
      </c>
      <c r="U6674" s="2">
        <v>42133</v>
      </c>
      <c r="V6674" t="s">
        <v>71</v>
      </c>
      <c r="W6674" t="str">
        <f>"            25229687"</f>
        <v xml:space="preserve">            25229687</v>
      </c>
      <c r="X6674">
        <v>403.42</v>
      </c>
      <c r="Y6674">
        <v>0</v>
      </c>
      <c r="Z6674"/>
      <c r="AB6674"/>
      <c r="AC6674">
        <v>387.9</v>
      </c>
      <c r="AD6674">
        <v>270</v>
      </c>
      <c r="AE6674" s="1">
        <v>104733</v>
      </c>
      <c r="AF6674">
        <v>0</v>
      </c>
      <c r="AJ6674">
        <v>0</v>
      </c>
      <c r="AK6674">
        <v>0</v>
      </c>
      <c r="AL6674">
        <v>0</v>
      </c>
      <c r="AM6674">
        <v>0</v>
      </c>
      <c r="AN6674">
        <v>0</v>
      </c>
      <c r="AO6674">
        <v>0</v>
      </c>
      <c r="AP6674" s="2">
        <v>42746</v>
      </c>
      <c r="AQ6674" t="s">
        <v>72</v>
      </c>
      <c r="AR6674" t="s">
        <v>72</v>
      </c>
      <c r="AS6674">
        <v>228</v>
      </c>
      <c r="AT6674" s="4">
        <v>42403</v>
      </c>
      <c r="AU6674" t="s">
        <v>73</v>
      </c>
      <c r="AV6674">
        <v>228</v>
      </c>
      <c r="AW6674" s="4">
        <v>42403</v>
      </c>
      <c r="BD6674">
        <v>0</v>
      </c>
      <c r="BN6674" t="s">
        <v>74</v>
      </c>
    </row>
    <row r="6675" spans="1:66" hidden="1">
      <c r="A6675">
        <v>104093</v>
      </c>
      <c r="B6675" s="3" t="s">
        <v>609</v>
      </c>
      <c r="C6675" s="1">
        <v>43300101</v>
      </c>
      <c r="D6675" t="s">
        <v>67</v>
      </c>
      <c r="H6675" t="str">
        <f t="shared" si="675"/>
        <v>12572900152</v>
      </c>
      <c r="I6675" t="str">
        <f t="shared" si="676"/>
        <v>06032681006</v>
      </c>
      <c r="K6675" t="str">
        <f>""</f>
        <v/>
      </c>
      <c r="M6675" t="s">
        <v>68</v>
      </c>
      <c r="N6675" t="str">
        <f t="shared" si="674"/>
        <v>FOR</v>
      </c>
      <c r="O6675" t="s">
        <v>69</v>
      </c>
      <c r="P6675" s="3" t="s">
        <v>70</v>
      </c>
      <c r="Q6675">
        <v>2015</v>
      </c>
      <c r="R6675" s="2">
        <v>42061</v>
      </c>
      <c r="S6675" s="2">
        <v>42080</v>
      </c>
      <c r="T6675" s="2">
        <v>42080</v>
      </c>
      <c r="U6675" s="2">
        <v>42140</v>
      </c>
      <c r="V6675" t="s">
        <v>71</v>
      </c>
      <c r="W6675" t="str">
        <f>"            25230834"</f>
        <v xml:space="preserve">            25230834</v>
      </c>
      <c r="X6675">
        <v>74.88</v>
      </c>
      <c r="Y6675">
        <v>0</v>
      </c>
      <c r="Z6675"/>
      <c r="AB6675"/>
      <c r="AC6675">
        <v>72</v>
      </c>
      <c r="AD6675">
        <v>263</v>
      </c>
      <c r="AE6675" s="1">
        <v>18936</v>
      </c>
      <c r="AF6675">
        <v>0</v>
      </c>
      <c r="AJ6675">
        <v>0</v>
      </c>
      <c r="AK6675">
        <v>0</v>
      </c>
      <c r="AL6675">
        <v>0</v>
      </c>
      <c r="AM6675">
        <v>0</v>
      </c>
      <c r="AN6675">
        <v>0</v>
      </c>
      <c r="AO6675">
        <v>0</v>
      </c>
      <c r="AP6675" s="2">
        <v>42746</v>
      </c>
      <c r="AQ6675" t="s">
        <v>72</v>
      </c>
      <c r="AR6675" t="s">
        <v>72</v>
      </c>
      <c r="AS6675">
        <v>228</v>
      </c>
      <c r="AT6675" s="4">
        <v>42403</v>
      </c>
      <c r="AU6675" t="s">
        <v>73</v>
      </c>
      <c r="AV6675">
        <v>228</v>
      </c>
      <c r="AW6675" s="4">
        <v>42403</v>
      </c>
      <c r="BD6675">
        <v>0</v>
      </c>
      <c r="BN6675" t="s">
        <v>74</v>
      </c>
    </row>
    <row r="6676" spans="1:66" hidden="1">
      <c r="A6676">
        <v>104093</v>
      </c>
      <c r="B6676" s="3" t="s">
        <v>609</v>
      </c>
      <c r="C6676" s="1">
        <v>43300101</v>
      </c>
      <c r="D6676" t="s">
        <v>67</v>
      </c>
      <c r="H6676" t="str">
        <f t="shared" si="675"/>
        <v>12572900152</v>
      </c>
      <c r="I6676" t="str">
        <f t="shared" si="676"/>
        <v>06032681006</v>
      </c>
      <c r="K6676" t="str">
        <f>""</f>
        <v/>
      </c>
      <c r="M6676" t="s">
        <v>68</v>
      </c>
      <c r="N6676" t="str">
        <f t="shared" si="674"/>
        <v>FOR</v>
      </c>
      <c r="O6676" t="s">
        <v>69</v>
      </c>
      <c r="P6676" s="3" t="s">
        <v>70</v>
      </c>
      <c r="Q6676">
        <v>2015</v>
      </c>
      <c r="R6676" s="2">
        <v>42061</v>
      </c>
      <c r="S6676" s="2">
        <v>42080</v>
      </c>
      <c r="T6676" s="2">
        <v>42080</v>
      </c>
      <c r="U6676" s="2">
        <v>42140</v>
      </c>
      <c r="V6676" t="s">
        <v>71</v>
      </c>
      <c r="W6676" t="str">
        <f>"            25230835"</f>
        <v xml:space="preserve">            25230835</v>
      </c>
      <c r="X6676">
        <v>403.42</v>
      </c>
      <c r="Y6676">
        <v>0</v>
      </c>
      <c r="Z6676"/>
      <c r="AB6676"/>
      <c r="AC6676">
        <v>387.9</v>
      </c>
      <c r="AD6676">
        <v>263</v>
      </c>
      <c r="AE6676" s="1">
        <v>102017.7</v>
      </c>
      <c r="AF6676">
        <v>0</v>
      </c>
      <c r="AJ6676">
        <v>0</v>
      </c>
      <c r="AK6676">
        <v>0</v>
      </c>
      <c r="AL6676">
        <v>0</v>
      </c>
      <c r="AM6676">
        <v>0</v>
      </c>
      <c r="AN6676">
        <v>0</v>
      </c>
      <c r="AO6676">
        <v>0</v>
      </c>
      <c r="AP6676" s="2">
        <v>42746</v>
      </c>
      <c r="AQ6676" t="s">
        <v>72</v>
      </c>
      <c r="AR6676" t="s">
        <v>72</v>
      </c>
      <c r="AS6676">
        <v>228</v>
      </c>
      <c r="AT6676" s="4">
        <v>42403</v>
      </c>
      <c r="AU6676" t="s">
        <v>73</v>
      </c>
      <c r="AV6676">
        <v>228</v>
      </c>
      <c r="AW6676" s="4">
        <v>42403</v>
      </c>
      <c r="BD6676">
        <v>0</v>
      </c>
      <c r="BN6676" t="s">
        <v>74</v>
      </c>
    </row>
    <row r="6677" spans="1:66" hidden="1">
      <c r="A6677">
        <v>104093</v>
      </c>
      <c r="B6677" s="3" t="s">
        <v>609</v>
      </c>
      <c r="C6677" s="1">
        <v>43300101</v>
      </c>
      <c r="D6677" t="s">
        <v>67</v>
      </c>
      <c r="H6677" t="str">
        <f t="shared" si="675"/>
        <v>12572900152</v>
      </c>
      <c r="I6677" t="str">
        <f t="shared" si="676"/>
        <v>06032681006</v>
      </c>
      <c r="K6677" t="str">
        <f>""</f>
        <v/>
      </c>
      <c r="M6677" t="s">
        <v>68</v>
      </c>
      <c r="N6677" t="str">
        <f t="shared" si="674"/>
        <v>FOR</v>
      </c>
      <c r="O6677" t="s">
        <v>69</v>
      </c>
      <c r="P6677" s="3" t="s">
        <v>70</v>
      </c>
      <c r="Q6677">
        <v>2015</v>
      </c>
      <c r="R6677" s="2">
        <v>42061</v>
      </c>
      <c r="S6677" s="2">
        <v>42080</v>
      </c>
      <c r="T6677" s="2">
        <v>42080</v>
      </c>
      <c r="U6677" s="2">
        <v>42140</v>
      </c>
      <c r="V6677" t="s">
        <v>71</v>
      </c>
      <c r="W6677" t="str">
        <f>"            25230849"</f>
        <v xml:space="preserve">            25230849</v>
      </c>
      <c r="X6677">
        <v>74.88</v>
      </c>
      <c r="Y6677">
        <v>0</v>
      </c>
      <c r="Z6677"/>
      <c r="AB6677"/>
      <c r="AC6677">
        <v>72</v>
      </c>
      <c r="AD6677">
        <v>263</v>
      </c>
      <c r="AE6677" s="1">
        <v>18936</v>
      </c>
      <c r="AF6677">
        <v>0</v>
      </c>
      <c r="AJ6677">
        <v>0</v>
      </c>
      <c r="AK6677">
        <v>0</v>
      </c>
      <c r="AL6677">
        <v>0</v>
      </c>
      <c r="AM6677">
        <v>0</v>
      </c>
      <c r="AN6677">
        <v>0</v>
      </c>
      <c r="AO6677">
        <v>0</v>
      </c>
      <c r="AP6677" s="2">
        <v>42746</v>
      </c>
      <c r="AQ6677" t="s">
        <v>72</v>
      </c>
      <c r="AR6677" t="s">
        <v>72</v>
      </c>
      <c r="AS6677">
        <v>228</v>
      </c>
      <c r="AT6677" s="4">
        <v>42403</v>
      </c>
      <c r="AU6677" t="s">
        <v>73</v>
      </c>
      <c r="AV6677">
        <v>228</v>
      </c>
      <c r="AW6677" s="4">
        <v>42403</v>
      </c>
      <c r="BD6677">
        <v>0</v>
      </c>
      <c r="BN6677" t="s">
        <v>74</v>
      </c>
    </row>
    <row r="6678" spans="1:66" hidden="1">
      <c r="A6678">
        <v>104093</v>
      </c>
      <c r="B6678" s="3" t="s">
        <v>609</v>
      </c>
      <c r="C6678" s="1">
        <v>43300101</v>
      </c>
      <c r="D6678" t="s">
        <v>67</v>
      </c>
      <c r="H6678" t="str">
        <f t="shared" si="675"/>
        <v>12572900152</v>
      </c>
      <c r="I6678" t="str">
        <f t="shared" si="676"/>
        <v>06032681006</v>
      </c>
      <c r="K6678" t="str">
        <f>""</f>
        <v/>
      </c>
      <c r="M6678" t="s">
        <v>68</v>
      </c>
      <c r="N6678" t="str">
        <f t="shared" si="674"/>
        <v>FOR</v>
      </c>
      <c r="O6678" t="s">
        <v>69</v>
      </c>
      <c r="P6678" s="3" t="s">
        <v>70</v>
      </c>
      <c r="Q6678">
        <v>2015</v>
      </c>
      <c r="R6678" s="2">
        <v>42061</v>
      </c>
      <c r="S6678" s="2">
        <v>42080</v>
      </c>
      <c r="T6678" s="2">
        <v>42080</v>
      </c>
      <c r="U6678" s="2">
        <v>42140</v>
      </c>
      <c r="V6678" t="s">
        <v>71</v>
      </c>
      <c r="W6678" t="str">
        <f>"            25230851"</f>
        <v xml:space="preserve">            25230851</v>
      </c>
      <c r="X6678">
        <v>74.88</v>
      </c>
      <c r="Y6678">
        <v>0</v>
      </c>
      <c r="Z6678"/>
      <c r="AB6678"/>
      <c r="AC6678">
        <v>72</v>
      </c>
      <c r="AD6678">
        <v>263</v>
      </c>
      <c r="AE6678" s="1">
        <v>18936</v>
      </c>
      <c r="AF6678">
        <v>0</v>
      </c>
      <c r="AJ6678">
        <v>0</v>
      </c>
      <c r="AK6678">
        <v>0</v>
      </c>
      <c r="AL6678">
        <v>0</v>
      </c>
      <c r="AM6678">
        <v>0</v>
      </c>
      <c r="AN6678">
        <v>0</v>
      </c>
      <c r="AO6678">
        <v>0</v>
      </c>
      <c r="AP6678" s="2">
        <v>42746</v>
      </c>
      <c r="AQ6678" t="s">
        <v>72</v>
      </c>
      <c r="AR6678" t="s">
        <v>72</v>
      </c>
      <c r="AS6678">
        <v>228</v>
      </c>
      <c r="AT6678" s="4">
        <v>42403</v>
      </c>
      <c r="AU6678" t="s">
        <v>73</v>
      </c>
      <c r="AV6678">
        <v>228</v>
      </c>
      <c r="AW6678" s="4">
        <v>42403</v>
      </c>
      <c r="BD6678">
        <v>0</v>
      </c>
      <c r="BN6678" t="s">
        <v>74</v>
      </c>
    </row>
    <row r="6679" spans="1:66" hidden="1">
      <c r="A6679">
        <v>104093</v>
      </c>
      <c r="B6679" s="3" t="s">
        <v>609</v>
      </c>
      <c r="C6679" s="1">
        <v>43300101</v>
      </c>
      <c r="D6679" t="s">
        <v>67</v>
      </c>
      <c r="H6679" t="str">
        <f t="shared" si="675"/>
        <v>12572900152</v>
      </c>
      <c r="I6679" t="str">
        <f t="shared" si="676"/>
        <v>06032681006</v>
      </c>
      <c r="K6679" t="str">
        <f>""</f>
        <v/>
      </c>
      <c r="M6679" t="s">
        <v>68</v>
      </c>
      <c r="N6679" t="str">
        <f t="shared" si="674"/>
        <v>FOR</v>
      </c>
      <c r="O6679" t="s">
        <v>69</v>
      </c>
      <c r="P6679" s="3" t="s">
        <v>70</v>
      </c>
      <c r="Q6679">
        <v>2015</v>
      </c>
      <c r="R6679" s="2">
        <v>42061</v>
      </c>
      <c r="S6679" s="2">
        <v>42080</v>
      </c>
      <c r="T6679" s="2">
        <v>42080</v>
      </c>
      <c r="U6679" s="2">
        <v>42140</v>
      </c>
      <c r="V6679" t="s">
        <v>71</v>
      </c>
      <c r="W6679" t="str">
        <f>"            25230852"</f>
        <v xml:space="preserve">            25230852</v>
      </c>
      <c r="X6679">
        <v>74.88</v>
      </c>
      <c r="Y6679">
        <v>0</v>
      </c>
      <c r="Z6679"/>
      <c r="AB6679"/>
      <c r="AC6679">
        <v>72</v>
      </c>
      <c r="AD6679">
        <v>263</v>
      </c>
      <c r="AE6679" s="1">
        <v>18936</v>
      </c>
      <c r="AF6679">
        <v>0</v>
      </c>
      <c r="AJ6679">
        <v>0</v>
      </c>
      <c r="AK6679">
        <v>0</v>
      </c>
      <c r="AL6679">
        <v>0</v>
      </c>
      <c r="AM6679">
        <v>0</v>
      </c>
      <c r="AN6679">
        <v>0</v>
      </c>
      <c r="AO6679">
        <v>0</v>
      </c>
      <c r="AP6679" s="2">
        <v>42746</v>
      </c>
      <c r="AQ6679" t="s">
        <v>72</v>
      </c>
      <c r="AR6679" t="s">
        <v>72</v>
      </c>
      <c r="AS6679">
        <v>228</v>
      </c>
      <c r="AT6679" s="4">
        <v>42403</v>
      </c>
      <c r="AU6679" t="s">
        <v>73</v>
      </c>
      <c r="AV6679">
        <v>228</v>
      </c>
      <c r="AW6679" s="4">
        <v>42403</v>
      </c>
      <c r="BD6679">
        <v>0</v>
      </c>
      <c r="BN6679" t="s">
        <v>74</v>
      </c>
    </row>
    <row r="6680" spans="1:66" hidden="1">
      <c r="A6680">
        <v>104093</v>
      </c>
      <c r="B6680" s="3" t="s">
        <v>609</v>
      </c>
      <c r="C6680" s="1">
        <v>43300101</v>
      </c>
      <c r="D6680" t="s">
        <v>67</v>
      </c>
      <c r="H6680" t="str">
        <f t="shared" si="675"/>
        <v>12572900152</v>
      </c>
      <c r="I6680" t="str">
        <f t="shared" si="676"/>
        <v>06032681006</v>
      </c>
      <c r="K6680" t="str">
        <f>""</f>
        <v/>
      </c>
      <c r="M6680" t="s">
        <v>68</v>
      </c>
      <c r="N6680" t="str">
        <f t="shared" si="674"/>
        <v>FOR</v>
      </c>
      <c r="O6680" t="s">
        <v>69</v>
      </c>
      <c r="P6680" s="3" t="s">
        <v>70</v>
      </c>
      <c r="Q6680">
        <v>2015</v>
      </c>
      <c r="R6680" s="2">
        <v>42066</v>
      </c>
      <c r="S6680" s="2">
        <v>42081</v>
      </c>
      <c r="T6680" s="2">
        <v>42081</v>
      </c>
      <c r="U6680" s="2">
        <v>42141</v>
      </c>
      <c r="V6680" t="s">
        <v>71</v>
      </c>
      <c r="W6680" t="str">
        <f>"            25231913"</f>
        <v xml:space="preserve">            25231913</v>
      </c>
      <c r="X6680">
        <v>936</v>
      </c>
      <c r="Y6680">
        <v>0</v>
      </c>
      <c r="Z6680"/>
      <c r="AB6680"/>
      <c r="AC6680">
        <v>900</v>
      </c>
      <c r="AD6680">
        <v>275</v>
      </c>
      <c r="AE6680" s="1">
        <v>247500</v>
      </c>
      <c r="AF6680">
        <v>0</v>
      </c>
      <c r="AJ6680">
        <v>0</v>
      </c>
      <c r="AK6680">
        <v>0</v>
      </c>
      <c r="AL6680">
        <v>0</v>
      </c>
      <c r="AM6680">
        <v>0</v>
      </c>
      <c r="AN6680">
        <v>0</v>
      </c>
      <c r="AO6680">
        <v>0</v>
      </c>
      <c r="AP6680" s="2">
        <v>42746</v>
      </c>
      <c r="AQ6680" t="s">
        <v>72</v>
      </c>
      <c r="AR6680" t="s">
        <v>72</v>
      </c>
      <c r="AS6680">
        <v>412</v>
      </c>
      <c r="AT6680" s="4">
        <v>42416</v>
      </c>
      <c r="AU6680" t="s">
        <v>73</v>
      </c>
      <c r="AV6680">
        <v>412</v>
      </c>
      <c r="AW6680" s="4">
        <v>42416</v>
      </c>
      <c r="BD6680">
        <v>0</v>
      </c>
      <c r="BN6680" t="s">
        <v>74</v>
      </c>
    </row>
    <row r="6681" spans="1:66" hidden="1">
      <c r="A6681">
        <v>104093</v>
      </c>
      <c r="B6681" s="3" t="s">
        <v>609</v>
      </c>
      <c r="C6681" s="1">
        <v>43300101</v>
      </c>
      <c r="D6681" t="s">
        <v>67</v>
      </c>
      <c r="H6681" t="str">
        <f t="shared" si="675"/>
        <v>12572900152</v>
      </c>
      <c r="I6681" t="str">
        <f t="shared" si="676"/>
        <v>06032681006</v>
      </c>
      <c r="K6681" t="str">
        <f>""</f>
        <v/>
      </c>
      <c r="M6681" t="s">
        <v>68</v>
      </c>
      <c r="N6681" t="str">
        <f t="shared" si="674"/>
        <v>FOR</v>
      </c>
      <c r="O6681" t="s">
        <v>69</v>
      </c>
      <c r="P6681" s="3" t="s">
        <v>70</v>
      </c>
      <c r="Q6681">
        <v>2015</v>
      </c>
      <c r="R6681" s="2">
        <v>42072</v>
      </c>
      <c r="S6681" s="2">
        <v>42086</v>
      </c>
      <c r="T6681" s="2">
        <v>42086</v>
      </c>
      <c r="U6681" s="2">
        <v>42146</v>
      </c>
      <c r="V6681" t="s">
        <v>71</v>
      </c>
      <c r="W6681" t="str">
        <f>"            25232983"</f>
        <v xml:space="preserve">            25232983</v>
      </c>
      <c r="X6681" s="1">
        <v>4266.08</v>
      </c>
      <c r="Y6681">
        <v>0</v>
      </c>
      <c r="Z6681"/>
      <c r="AB6681"/>
      <c r="AC6681" s="1">
        <v>4102</v>
      </c>
      <c r="AD6681">
        <v>270</v>
      </c>
      <c r="AE6681" s="1">
        <v>1107540</v>
      </c>
      <c r="AF6681">
        <v>0</v>
      </c>
      <c r="AJ6681">
        <v>0</v>
      </c>
      <c r="AK6681">
        <v>0</v>
      </c>
      <c r="AL6681">
        <v>0</v>
      </c>
      <c r="AM6681">
        <v>0</v>
      </c>
      <c r="AN6681">
        <v>0</v>
      </c>
      <c r="AO6681">
        <v>0</v>
      </c>
      <c r="AP6681" s="2">
        <v>42746</v>
      </c>
      <c r="AQ6681" t="s">
        <v>72</v>
      </c>
      <c r="AR6681" t="s">
        <v>72</v>
      </c>
      <c r="AS6681">
        <v>412</v>
      </c>
      <c r="AT6681" s="4">
        <v>42416</v>
      </c>
      <c r="AU6681" t="s">
        <v>73</v>
      </c>
      <c r="AV6681">
        <v>412</v>
      </c>
      <c r="AW6681" s="4">
        <v>42416</v>
      </c>
      <c r="BD6681">
        <v>0</v>
      </c>
      <c r="BN6681" t="s">
        <v>74</v>
      </c>
    </row>
    <row r="6682" spans="1:66" hidden="1">
      <c r="A6682">
        <v>104093</v>
      </c>
      <c r="B6682" s="3" t="s">
        <v>609</v>
      </c>
      <c r="C6682" s="1">
        <v>43300101</v>
      </c>
      <c r="D6682" t="s">
        <v>67</v>
      </c>
      <c r="H6682" t="str">
        <f t="shared" si="675"/>
        <v>12572900152</v>
      </c>
      <c r="I6682" t="str">
        <f t="shared" si="676"/>
        <v>06032681006</v>
      </c>
      <c r="K6682" t="str">
        <f>""</f>
        <v/>
      </c>
      <c r="M6682" t="s">
        <v>68</v>
      </c>
      <c r="N6682" t="str">
        <f t="shared" si="674"/>
        <v>FOR</v>
      </c>
      <c r="O6682" t="s">
        <v>69</v>
      </c>
      <c r="P6682" s="3" t="s">
        <v>70</v>
      </c>
      <c r="Q6682">
        <v>2015</v>
      </c>
      <c r="R6682" s="2">
        <v>42075</v>
      </c>
      <c r="S6682" s="2">
        <v>42094</v>
      </c>
      <c r="T6682" s="2">
        <v>42094</v>
      </c>
      <c r="U6682" s="2">
        <v>42154</v>
      </c>
      <c r="V6682" t="s">
        <v>71</v>
      </c>
      <c r="W6682" t="str">
        <f>"            25233639"</f>
        <v xml:space="preserve">            25233639</v>
      </c>
      <c r="X6682">
        <v>468</v>
      </c>
      <c r="Y6682">
        <v>0</v>
      </c>
      <c r="Z6682"/>
      <c r="AB6682"/>
      <c r="AC6682">
        <v>450</v>
      </c>
      <c r="AD6682">
        <v>262</v>
      </c>
      <c r="AE6682" s="1">
        <v>117900</v>
      </c>
      <c r="AF6682">
        <v>0</v>
      </c>
      <c r="AJ6682">
        <v>0</v>
      </c>
      <c r="AK6682">
        <v>0</v>
      </c>
      <c r="AL6682">
        <v>0</v>
      </c>
      <c r="AM6682">
        <v>0</v>
      </c>
      <c r="AN6682">
        <v>0</v>
      </c>
      <c r="AO6682">
        <v>0</v>
      </c>
      <c r="AP6682" s="2">
        <v>42746</v>
      </c>
      <c r="AQ6682" t="s">
        <v>72</v>
      </c>
      <c r="AR6682" t="s">
        <v>72</v>
      </c>
      <c r="AS6682">
        <v>412</v>
      </c>
      <c r="AT6682" s="4">
        <v>42416</v>
      </c>
      <c r="AU6682" t="s">
        <v>73</v>
      </c>
      <c r="AV6682">
        <v>412</v>
      </c>
      <c r="AW6682" s="4">
        <v>42416</v>
      </c>
      <c r="BD6682">
        <v>0</v>
      </c>
      <c r="BN6682" t="s">
        <v>74</v>
      </c>
    </row>
    <row r="6683" spans="1:66" hidden="1">
      <c r="A6683">
        <v>104093</v>
      </c>
      <c r="B6683" s="3" t="s">
        <v>609</v>
      </c>
      <c r="C6683" s="1">
        <v>43300101</v>
      </c>
      <c r="D6683" t="s">
        <v>67</v>
      </c>
      <c r="H6683" t="str">
        <f t="shared" si="675"/>
        <v>12572900152</v>
      </c>
      <c r="I6683" t="str">
        <f t="shared" si="676"/>
        <v>06032681006</v>
      </c>
      <c r="K6683" t="str">
        <f>""</f>
        <v/>
      </c>
      <c r="M6683" t="s">
        <v>68</v>
      </c>
      <c r="N6683" t="str">
        <f t="shared" si="674"/>
        <v>FOR</v>
      </c>
      <c r="O6683" t="s">
        <v>69</v>
      </c>
      <c r="P6683" s="3" t="s">
        <v>70</v>
      </c>
      <c r="Q6683">
        <v>2015</v>
      </c>
      <c r="R6683" s="2">
        <v>42080</v>
      </c>
      <c r="S6683" s="2">
        <v>42103</v>
      </c>
      <c r="T6683" s="2">
        <v>42103</v>
      </c>
      <c r="U6683" s="2">
        <v>42163</v>
      </c>
      <c r="V6683" t="s">
        <v>71</v>
      </c>
      <c r="W6683" t="str">
        <f>"            25234242"</f>
        <v xml:space="preserve">            25234242</v>
      </c>
      <c r="X6683">
        <v>707.62</v>
      </c>
      <c r="Y6683">
        <v>0</v>
      </c>
      <c r="Z6683"/>
      <c r="AB6683"/>
      <c r="AC6683">
        <v>680.4</v>
      </c>
      <c r="AD6683">
        <v>253</v>
      </c>
      <c r="AE6683" s="1">
        <v>172141.2</v>
      </c>
      <c r="AF6683">
        <v>0</v>
      </c>
      <c r="AJ6683">
        <v>0</v>
      </c>
      <c r="AK6683">
        <v>0</v>
      </c>
      <c r="AL6683">
        <v>0</v>
      </c>
      <c r="AM6683">
        <v>0</v>
      </c>
      <c r="AN6683">
        <v>0</v>
      </c>
      <c r="AO6683">
        <v>0</v>
      </c>
      <c r="AP6683" s="2">
        <v>42746</v>
      </c>
      <c r="AQ6683" t="s">
        <v>72</v>
      </c>
      <c r="AR6683" t="s">
        <v>72</v>
      </c>
      <c r="AS6683">
        <v>412</v>
      </c>
      <c r="AT6683" s="4">
        <v>42416</v>
      </c>
      <c r="AU6683" t="s">
        <v>73</v>
      </c>
      <c r="AV6683">
        <v>412</v>
      </c>
      <c r="AW6683" s="4">
        <v>42416</v>
      </c>
      <c r="BD6683">
        <v>0</v>
      </c>
      <c r="BN6683" t="s">
        <v>74</v>
      </c>
    </row>
    <row r="6684" spans="1:66" hidden="1">
      <c r="A6684">
        <v>104093</v>
      </c>
      <c r="B6684" s="3" t="s">
        <v>609</v>
      </c>
      <c r="C6684" s="1">
        <v>43300101</v>
      </c>
      <c r="D6684" t="s">
        <v>67</v>
      </c>
      <c r="H6684" t="str">
        <f t="shared" si="675"/>
        <v>12572900152</v>
      </c>
      <c r="I6684" t="str">
        <f t="shared" si="676"/>
        <v>06032681006</v>
      </c>
      <c r="K6684" t="str">
        <f>""</f>
        <v/>
      </c>
      <c r="M6684" t="s">
        <v>68</v>
      </c>
      <c r="N6684" t="str">
        <f t="shared" si="674"/>
        <v>FOR</v>
      </c>
      <c r="O6684" t="s">
        <v>69</v>
      </c>
      <c r="P6684" s="3" t="s">
        <v>70</v>
      </c>
      <c r="Q6684">
        <v>2015</v>
      </c>
      <c r="R6684" s="2">
        <v>42080</v>
      </c>
      <c r="S6684" s="2">
        <v>42102</v>
      </c>
      <c r="T6684" s="2">
        <v>42102</v>
      </c>
      <c r="U6684" s="2">
        <v>42162</v>
      </c>
      <c r="V6684" t="s">
        <v>71</v>
      </c>
      <c r="W6684" t="str">
        <f>"            25234244"</f>
        <v xml:space="preserve">            25234244</v>
      </c>
      <c r="X6684">
        <v>252.72</v>
      </c>
      <c r="Y6684">
        <v>0</v>
      </c>
      <c r="Z6684"/>
      <c r="AB6684"/>
      <c r="AC6684">
        <v>243</v>
      </c>
      <c r="AD6684">
        <v>254</v>
      </c>
      <c r="AE6684" s="1">
        <v>61722</v>
      </c>
      <c r="AF6684">
        <v>0</v>
      </c>
      <c r="AJ6684">
        <v>0</v>
      </c>
      <c r="AK6684">
        <v>0</v>
      </c>
      <c r="AL6684">
        <v>0</v>
      </c>
      <c r="AM6684">
        <v>0</v>
      </c>
      <c r="AN6684">
        <v>0</v>
      </c>
      <c r="AO6684">
        <v>0</v>
      </c>
      <c r="AP6684" s="2">
        <v>42746</v>
      </c>
      <c r="AQ6684" t="s">
        <v>72</v>
      </c>
      <c r="AR6684" t="s">
        <v>72</v>
      </c>
      <c r="AS6684">
        <v>412</v>
      </c>
      <c r="AT6684" s="4">
        <v>42416</v>
      </c>
      <c r="AU6684" t="s">
        <v>73</v>
      </c>
      <c r="AV6684">
        <v>412</v>
      </c>
      <c r="AW6684" s="4">
        <v>42416</v>
      </c>
      <c r="BD6684">
        <v>0</v>
      </c>
      <c r="BN6684" t="s">
        <v>74</v>
      </c>
    </row>
    <row r="6685" spans="1:66" hidden="1">
      <c r="A6685">
        <v>104093</v>
      </c>
      <c r="B6685" s="3" t="s">
        <v>609</v>
      </c>
      <c r="C6685" s="1">
        <v>43300101</v>
      </c>
      <c r="D6685" t="s">
        <v>67</v>
      </c>
      <c r="H6685" t="str">
        <f t="shared" si="675"/>
        <v>12572900152</v>
      </c>
      <c r="I6685" t="str">
        <f t="shared" si="676"/>
        <v>06032681006</v>
      </c>
      <c r="K6685" t="str">
        <f>""</f>
        <v/>
      </c>
      <c r="M6685" t="s">
        <v>68</v>
      </c>
      <c r="N6685" t="str">
        <f t="shared" si="674"/>
        <v>FOR</v>
      </c>
      <c r="O6685" t="s">
        <v>69</v>
      </c>
      <c r="P6685" s="3" t="s">
        <v>70</v>
      </c>
      <c r="Q6685">
        <v>2015</v>
      </c>
      <c r="R6685" s="2">
        <v>42080</v>
      </c>
      <c r="S6685" s="2">
        <v>42102</v>
      </c>
      <c r="T6685" s="2">
        <v>42102</v>
      </c>
      <c r="U6685" s="2">
        <v>42162</v>
      </c>
      <c r="V6685" t="s">
        <v>71</v>
      </c>
      <c r="W6685" t="str">
        <f>"            25234253"</f>
        <v xml:space="preserve">            25234253</v>
      </c>
      <c r="X6685">
        <v>936</v>
      </c>
      <c r="Y6685">
        <v>0</v>
      </c>
      <c r="Z6685"/>
      <c r="AB6685"/>
      <c r="AC6685">
        <v>900</v>
      </c>
      <c r="AD6685">
        <v>254</v>
      </c>
      <c r="AE6685" s="1">
        <v>228600</v>
      </c>
      <c r="AF6685">
        <v>0</v>
      </c>
      <c r="AJ6685">
        <v>0</v>
      </c>
      <c r="AK6685">
        <v>0</v>
      </c>
      <c r="AL6685">
        <v>0</v>
      </c>
      <c r="AM6685">
        <v>0</v>
      </c>
      <c r="AN6685">
        <v>0</v>
      </c>
      <c r="AO6685">
        <v>0</v>
      </c>
      <c r="AP6685" s="2">
        <v>42746</v>
      </c>
      <c r="AQ6685" t="s">
        <v>72</v>
      </c>
      <c r="AR6685" t="s">
        <v>72</v>
      </c>
      <c r="AS6685">
        <v>412</v>
      </c>
      <c r="AT6685" s="4">
        <v>42416</v>
      </c>
      <c r="AU6685" t="s">
        <v>73</v>
      </c>
      <c r="AV6685">
        <v>412</v>
      </c>
      <c r="AW6685" s="4">
        <v>42416</v>
      </c>
      <c r="BD6685">
        <v>0</v>
      </c>
      <c r="BN6685" t="s">
        <v>74</v>
      </c>
    </row>
    <row r="6686" spans="1:66" hidden="1">
      <c r="A6686">
        <v>104093</v>
      </c>
      <c r="B6686" s="3" t="s">
        <v>609</v>
      </c>
      <c r="C6686" s="1">
        <v>43300101</v>
      </c>
      <c r="D6686" t="s">
        <v>67</v>
      </c>
      <c r="H6686" t="str">
        <f t="shared" si="675"/>
        <v>12572900152</v>
      </c>
      <c r="I6686" t="str">
        <f t="shared" si="676"/>
        <v>06032681006</v>
      </c>
      <c r="K6686" t="str">
        <f>""</f>
        <v/>
      </c>
      <c r="M6686" t="s">
        <v>68</v>
      </c>
      <c r="N6686" t="str">
        <f t="shared" si="674"/>
        <v>FOR</v>
      </c>
      <c r="O6686" t="s">
        <v>69</v>
      </c>
      <c r="P6686" s="3" t="s">
        <v>70</v>
      </c>
      <c r="Q6686">
        <v>2015</v>
      </c>
      <c r="R6686" s="2">
        <v>42080</v>
      </c>
      <c r="S6686" s="2">
        <v>42103</v>
      </c>
      <c r="T6686" s="2">
        <v>42103</v>
      </c>
      <c r="U6686" s="2">
        <v>42163</v>
      </c>
      <c r="V6686" t="s">
        <v>71</v>
      </c>
      <c r="W6686" t="str">
        <f>"            25234254"</f>
        <v xml:space="preserve">            25234254</v>
      </c>
      <c r="X6686">
        <v>936</v>
      </c>
      <c r="Y6686">
        <v>0</v>
      </c>
      <c r="Z6686"/>
      <c r="AB6686"/>
      <c r="AC6686">
        <v>900</v>
      </c>
      <c r="AD6686">
        <v>253</v>
      </c>
      <c r="AE6686" s="1">
        <v>227700</v>
      </c>
      <c r="AF6686">
        <v>0</v>
      </c>
      <c r="AJ6686">
        <v>0</v>
      </c>
      <c r="AK6686">
        <v>0</v>
      </c>
      <c r="AL6686">
        <v>0</v>
      </c>
      <c r="AM6686">
        <v>0</v>
      </c>
      <c r="AN6686">
        <v>0</v>
      </c>
      <c r="AO6686">
        <v>0</v>
      </c>
      <c r="AP6686" s="2">
        <v>42746</v>
      </c>
      <c r="AQ6686" t="s">
        <v>72</v>
      </c>
      <c r="AR6686" t="s">
        <v>72</v>
      </c>
      <c r="AS6686">
        <v>412</v>
      </c>
      <c r="AT6686" s="4">
        <v>42416</v>
      </c>
      <c r="AU6686" t="s">
        <v>73</v>
      </c>
      <c r="AV6686">
        <v>412</v>
      </c>
      <c r="AW6686" s="4">
        <v>42416</v>
      </c>
      <c r="BD6686">
        <v>0</v>
      </c>
      <c r="BN6686" t="s">
        <v>74</v>
      </c>
    </row>
    <row r="6687" spans="1:66" hidden="1">
      <c r="A6687">
        <v>104093</v>
      </c>
      <c r="B6687" s="3" t="s">
        <v>609</v>
      </c>
      <c r="C6687" s="1">
        <v>43300101</v>
      </c>
      <c r="D6687" t="s">
        <v>67</v>
      </c>
      <c r="H6687" t="str">
        <f t="shared" si="675"/>
        <v>12572900152</v>
      </c>
      <c r="I6687" t="str">
        <f t="shared" si="676"/>
        <v>06032681006</v>
      </c>
      <c r="K6687" t="str">
        <f>""</f>
        <v/>
      </c>
      <c r="M6687" t="s">
        <v>68</v>
      </c>
      <c r="N6687" t="str">
        <f t="shared" si="674"/>
        <v>FOR</v>
      </c>
      <c r="O6687" t="s">
        <v>69</v>
      </c>
      <c r="P6687" s="3" t="s">
        <v>70</v>
      </c>
      <c r="Q6687">
        <v>2015</v>
      </c>
      <c r="R6687" s="2">
        <v>42080</v>
      </c>
      <c r="S6687" s="2">
        <v>42103</v>
      </c>
      <c r="T6687" s="2">
        <v>42103</v>
      </c>
      <c r="U6687" s="2">
        <v>42163</v>
      </c>
      <c r="V6687" t="s">
        <v>71</v>
      </c>
      <c r="W6687" t="str">
        <f>"            25234255"</f>
        <v xml:space="preserve">            25234255</v>
      </c>
      <c r="X6687">
        <v>936</v>
      </c>
      <c r="Y6687">
        <v>0</v>
      </c>
      <c r="Z6687"/>
      <c r="AB6687"/>
      <c r="AC6687">
        <v>900</v>
      </c>
      <c r="AD6687">
        <v>253</v>
      </c>
      <c r="AE6687" s="1">
        <v>227700</v>
      </c>
      <c r="AF6687">
        <v>0</v>
      </c>
      <c r="AJ6687">
        <v>0</v>
      </c>
      <c r="AK6687">
        <v>0</v>
      </c>
      <c r="AL6687">
        <v>0</v>
      </c>
      <c r="AM6687">
        <v>0</v>
      </c>
      <c r="AN6687">
        <v>0</v>
      </c>
      <c r="AO6687">
        <v>0</v>
      </c>
      <c r="AP6687" s="2">
        <v>42746</v>
      </c>
      <c r="AQ6687" t="s">
        <v>72</v>
      </c>
      <c r="AR6687" t="s">
        <v>72</v>
      </c>
      <c r="AS6687">
        <v>412</v>
      </c>
      <c r="AT6687" s="4">
        <v>42416</v>
      </c>
      <c r="AU6687" t="s">
        <v>73</v>
      </c>
      <c r="AV6687">
        <v>412</v>
      </c>
      <c r="AW6687" s="4">
        <v>42416</v>
      </c>
      <c r="BD6687">
        <v>0</v>
      </c>
      <c r="BN6687" t="s">
        <v>74</v>
      </c>
    </row>
    <row r="6688" spans="1:66" hidden="1">
      <c r="A6688">
        <v>104093</v>
      </c>
      <c r="B6688" s="3" t="s">
        <v>609</v>
      </c>
      <c r="C6688" s="1">
        <v>43300101</v>
      </c>
      <c r="D6688" t="s">
        <v>67</v>
      </c>
      <c r="H6688" t="str">
        <f t="shared" si="675"/>
        <v>12572900152</v>
      </c>
      <c r="I6688" t="str">
        <f t="shared" si="676"/>
        <v>06032681006</v>
      </c>
      <c r="K6688" t="str">
        <f>""</f>
        <v/>
      </c>
      <c r="M6688" t="s">
        <v>68</v>
      </c>
      <c r="N6688" t="str">
        <f t="shared" si="674"/>
        <v>FOR</v>
      </c>
      <c r="O6688" t="s">
        <v>69</v>
      </c>
      <c r="P6688" s="3" t="s">
        <v>70</v>
      </c>
      <c r="Q6688">
        <v>2015</v>
      </c>
      <c r="R6688" s="2">
        <v>42080</v>
      </c>
      <c r="S6688" s="2">
        <v>42103</v>
      </c>
      <c r="T6688" s="2">
        <v>42103</v>
      </c>
      <c r="U6688" s="2">
        <v>42163</v>
      </c>
      <c r="V6688" t="s">
        <v>71</v>
      </c>
      <c r="W6688" t="str">
        <f>"            25234256"</f>
        <v xml:space="preserve">            25234256</v>
      </c>
      <c r="X6688">
        <v>936</v>
      </c>
      <c r="Y6688">
        <v>0</v>
      </c>
      <c r="Z6688"/>
      <c r="AB6688"/>
      <c r="AC6688">
        <v>900</v>
      </c>
      <c r="AD6688">
        <v>253</v>
      </c>
      <c r="AE6688" s="1">
        <v>227700</v>
      </c>
      <c r="AF6688">
        <v>0</v>
      </c>
      <c r="AJ6688">
        <v>0</v>
      </c>
      <c r="AK6688">
        <v>0</v>
      </c>
      <c r="AL6688">
        <v>0</v>
      </c>
      <c r="AM6688">
        <v>0</v>
      </c>
      <c r="AN6688">
        <v>0</v>
      </c>
      <c r="AO6688">
        <v>0</v>
      </c>
      <c r="AP6688" s="2">
        <v>42746</v>
      </c>
      <c r="AQ6688" t="s">
        <v>72</v>
      </c>
      <c r="AR6688" t="s">
        <v>72</v>
      </c>
      <c r="AS6688">
        <v>412</v>
      </c>
      <c r="AT6688" s="4">
        <v>42416</v>
      </c>
      <c r="AU6688" t="s">
        <v>73</v>
      </c>
      <c r="AV6688">
        <v>412</v>
      </c>
      <c r="AW6688" s="4">
        <v>42416</v>
      </c>
      <c r="BD6688">
        <v>0</v>
      </c>
      <c r="BN6688" t="s">
        <v>74</v>
      </c>
    </row>
    <row r="6689" spans="1:66" hidden="1">
      <c r="A6689">
        <v>104093</v>
      </c>
      <c r="B6689" s="3" t="s">
        <v>609</v>
      </c>
      <c r="C6689" s="1">
        <v>43300101</v>
      </c>
      <c r="D6689" t="s">
        <v>67</v>
      </c>
      <c r="H6689" t="str">
        <f t="shared" si="675"/>
        <v>12572900152</v>
      </c>
      <c r="I6689" t="str">
        <f t="shared" si="676"/>
        <v>06032681006</v>
      </c>
      <c r="K6689" t="str">
        <f>""</f>
        <v/>
      </c>
      <c r="M6689" t="s">
        <v>68</v>
      </c>
      <c r="N6689" t="str">
        <f t="shared" si="674"/>
        <v>FOR</v>
      </c>
      <c r="O6689" t="s">
        <v>69</v>
      </c>
      <c r="P6689" s="3" t="s">
        <v>70</v>
      </c>
      <c r="Q6689">
        <v>2015</v>
      </c>
      <c r="R6689" s="2">
        <v>42080</v>
      </c>
      <c r="S6689" s="2">
        <v>42103</v>
      </c>
      <c r="T6689" s="2">
        <v>42103</v>
      </c>
      <c r="U6689" s="2">
        <v>42163</v>
      </c>
      <c r="V6689" t="s">
        <v>71</v>
      </c>
      <c r="W6689" t="str">
        <f>"            25234304"</f>
        <v xml:space="preserve">            25234304</v>
      </c>
      <c r="X6689">
        <v>252.72</v>
      </c>
      <c r="Y6689">
        <v>0</v>
      </c>
      <c r="Z6689"/>
      <c r="AB6689"/>
      <c r="AC6689">
        <v>243</v>
      </c>
      <c r="AD6689">
        <v>253</v>
      </c>
      <c r="AE6689" s="1">
        <v>61479</v>
      </c>
      <c r="AF6689">
        <v>0</v>
      </c>
      <c r="AJ6689">
        <v>0</v>
      </c>
      <c r="AK6689">
        <v>0</v>
      </c>
      <c r="AL6689">
        <v>0</v>
      </c>
      <c r="AM6689">
        <v>0</v>
      </c>
      <c r="AN6689">
        <v>0</v>
      </c>
      <c r="AO6689">
        <v>0</v>
      </c>
      <c r="AP6689" s="2">
        <v>42746</v>
      </c>
      <c r="AQ6689" t="s">
        <v>72</v>
      </c>
      <c r="AR6689" t="s">
        <v>72</v>
      </c>
      <c r="AS6689">
        <v>412</v>
      </c>
      <c r="AT6689" s="4">
        <v>42416</v>
      </c>
      <c r="AU6689" t="s">
        <v>73</v>
      </c>
      <c r="AV6689">
        <v>412</v>
      </c>
      <c r="AW6689" s="4">
        <v>42416</v>
      </c>
      <c r="BD6689">
        <v>0</v>
      </c>
      <c r="BN6689" t="s">
        <v>74</v>
      </c>
    </row>
    <row r="6690" spans="1:66" hidden="1">
      <c r="A6690">
        <v>104093</v>
      </c>
      <c r="B6690" s="3" t="s">
        <v>609</v>
      </c>
      <c r="C6690" s="1">
        <v>43300101</v>
      </c>
      <c r="D6690" t="s">
        <v>67</v>
      </c>
      <c r="H6690" t="str">
        <f t="shared" si="675"/>
        <v>12572900152</v>
      </c>
      <c r="I6690" t="str">
        <f t="shared" si="676"/>
        <v>06032681006</v>
      </c>
      <c r="K6690" t="str">
        <f>""</f>
        <v/>
      </c>
      <c r="M6690" t="s">
        <v>68</v>
      </c>
      <c r="N6690" t="str">
        <f t="shared" si="674"/>
        <v>FOR</v>
      </c>
      <c r="O6690" t="s">
        <v>69</v>
      </c>
      <c r="P6690" s="3" t="s">
        <v>70</v>
      </c>
      <c r="Q6690">
        <v>2015</v>
      </c>
      <c r="R6690" s="2">
        <v>42080</v>
      </c>
      <c r="S6690" s="2">
        <v>42103</v>
      </c>
      <c r="T6690" s="2">
        <v>42103</v>
      </c>
      <c r="U6690" s="2">
        <v>42163</v>
      </c>
      <c r="V6690" t="s">
        <v>71</v>
      </c>
      <c r="W6690" t="str">
        <f>"            25234305"</f>
        <v xml:space="preserve">            25234305</v>
      </c>
      <c r="X6690">
        <v>74.88</v>
      </c>
      <c r="Y6690">
        <v>0</v>
      </c>
      <c r="Z6690"/>
      <c r="AB6690"/>
      <c r="AC6690">
        <v>72</v>
      </c>
      <c r="AD6690">
        <v>253</v>
      </c>
      <c r="AE6690" s="1">
        <v>18216</v>
      </c>
      <c r="AF6690">
        <v>0</v>
      </c>
      <c r="AJ6690">
        <v>0</v>
      </c>
      <c r="AK6690">
        <v>0</v>
      </c>
      <c r="AL6690">
        <v>0</v>
      </c>
      <c r="AM6690">
        <v>0</v>
      </c>
      <c r="AN6690">
        <v>0</v>
      </c>
      <c r="AO6690">
        <v>0</v>
      </c>
      <c r="AP6690" s="2">
        <v>42746</v>
      </c>
      <c r="AQ6690" t="s">
        <v>72</v>
      </c>
      <c r="AR6690" t="s">
        <v>72</v>
      </c>
      <c r="AS6690">
        <v>412</v>
      </c>
      <c r="AT6690" s="4">
        <v>42416</v>
      </c>
      <c r="AU6690" t="s">
        <v>73</v>
      </c>
      <c r="AV6690">
        <v>412</v>
      </c>
      <c r="AW6690" s="4">
        <v>42416</v>
      </c>
      <c r="BD6690">
        <v>0</v>
      </c>
      <c r="BN6690" t="s">
        <v>74</v>
      </c>
    </row>
    <row r="6691" spans="1:66" hidden="1">
      <c r="A6691">
        <v>104093</v>
      </c>
      <c r="B6691" s="3" t="s">
        <v>609</v>
      </c>
      <c r="C6691" s="1">
        <v>43300101</v>
      </c>
      <c r="D6691" t="s">
        <v>67</v>
      </c>
      <c r="H6691" t="str">
        <f t="shared" si="675"/>
        <v>12572900152</v>
      </c>
      <c r="I6691" t="str">
        <f t="shared" si="676"/>
        <v>06032681006</v>
      </c>
      <c r="K6691" t="str">
        <f>""</f>
        <v/>
      </c>
      <c r="M6691" t="s">
        <v>68</v>
      </c>
      <c r="N6691" t="str">
        <f t="shared" si="674"/>
        <v>FOR</v>
      </c>
      <c r="O6691" t="s">
        <v>69</v>
      </c>
      <c r="P6691" s="3" t="s">
        <v>70</v>
      </c>
      <c r="Q6691">
        <v>2015</v>
      </c>
      <c r="R6691" s="2">
        <v>42081</v>
      </c>
      <c r="S6691" s="2">
        <v>42103</v>
      </c>
      <c r="T6691" s="2">
        <v>42103</v>
      </c>
      <c r="U6691" s="2">
        <v>42163</v>
      </c>
      <c r="V6691" t="s">
        <v>71</v>
      </c>
      <c r="W6691" t="str">
        <f>"            25234603"</f>
        <v xml:space="preserve">            25234603</v>
      </c>
      <c r="X6691">
        <v>936</v>
      </c>
      <c r="Y6691">
        <v>0</v>
      </c>
      <c r="Z6691"/>
      <c r="AB6691"/>
      <c r="AC6691">
        <v>900</v>
      </c>
      <c r="AD6691">
        <v>253</v>
      </c>
      <c r="AE6691" s="1">
        <v>227700</v>
      </c>
      <c r="AF6691">
        <v>0</v>
      </c>
      <c r="AJ6691">
        <v>0</v>
      </c>
      <c r="AK6691">
        <v>0</v>
      </c>
      <c r="AL6691">
        <v>0</v>
      </c>
      <c r="AM6691">
        <v>0</v>
      </c>
      <c r="AN6691">
        <v>0</v>
      </c>
      <c r="AO6691">
        <v>0</v>
      </c>
      <c r="AP6691" s="2">
        <v>42746</v>
      </c>
      <c r="AQ6691" t="s">
        <v>72</v>
      </c>
      <c r="AR6691" t="s">
        <v>72</v>
      </c>
      <c r="AS6691">
        <v>412</v>
      </c>
      <c r="AT6691" s="4">
        <v>42416</v>
      </c>
      <c r="AU6691" t="s">
        <v>73</v>
      </c>
      <c r="AV6691">
        <v>412</v>
      </c>
      <c r="AW6691" s="4">
        <v>42416</v>
      </c>
      <c r="BD6691">
        <v>0</v>
      </c>
      <c r="BN6691" t="s">
        <v>74</v>
      </c>
    </row>
    <row r="6692" spans="1:66" hidden="1">
      <c r="A6692">
        <v>104093</v>
      </c>
      <c r="B6692" s="3" t="s">
        <v>609</v>
      </c>
      <c r="C6692" s="1">
        <v>43300101</v>
      </c>
      <c r="D6692" t="s">
        <v>67</v>
      </c>
      <c r="H6692" t="str">
        <f t="shared" si="675"/>
        <v>12572900152</v>
      </c>
      <c r="I6692" t="str">
        <f t="shared" si="676"/>
        <v>06032681006</v>
      </c>
      <c r="K6692" t="str">
        <f>""</f>
        <v/>
      </c>
      <c r="M6692" t="s">
        <v>68</v>
      </c>
      <c r="N6692" t="str">
        <f t="shared" si="674"/>
        <v>FOR</v>
      </c>
      <c r="O6692" t="s">
        <v>69</v>
      </c>
      <c r="P6692" s="3" t="s">
        <v>70</v>
      </c>
      <c r="Q6692">
        <v>2015</v>
      </c>
      <c r="R6692" s="2">
        <v>42081</v>
      </c>
      <c r="S6692" s="2">
        <v>42103</v>
      </c>
      <c r="T6692" s="2">
        <v>42103</v>
      </c>
      <c r="U6692" s="2">
        <v>42163</v>
      </c>
      <c r="V6692" t="s">
        <v>71</v>
      </c>
      <c r="W6692" t="str">
        <f>"            25234604"</f>
        <v xml:space="preserve">            25234604</v>
      </c>
      <c r="X6692">
        <v>936</v>
      </c>
      <c r="Y6692">
        <v>0</v>
      </c>
      <c r="Z6692"/>
      <c r="AB6692"/>
      <c r="AC6692">
        <v>900</v>
      </c>
      <c r="AD6692">
        <v>253</v>
      </c>
      <c r="AE6692" s="1">
        <v>227700</v>
      </c>
      <c r="AF6692">
        <v>0</v>
      </c>
      <c r="AJ6692">
        <v>0</v>
      </c>
      <c r="AK6692">
        <v>0</v>
      </c>
      <c r="AL6692">
        <v>0</v>
      </c>
      <c r="AM6692">
        <v>0</v>
      </c>
      <c r="AN6692">
        <v>0</v>
      </c>
      <c r="AO6692">
        <v>0</v>
      </c>
      <c r="AP6692" s="2">
        <v>42746</v>
      </c>
      <c r="AQ6692" t="s">
        <v>72</v>
      </c>
      <c r="AR6692" t="s">
        <v>72</v>
      </c>
      <c r="AS6692">
        <v>412</v>
      </c>
      <c r="AT6692" s="4">
        <v>42416</v>
      </c>
      <c r="AU6692" t="s">
        <v>73</v>
      </c>
      <c r="AV6692">
        <v>412</v>
      </c>
      <c r="AW6692" s="4">
        <v>42416</v>
      </c>
      <c r="BD6692">
        <v>0</v>
      </c>
      <c r="BN6692" t="s">
        <v>74</v>
      </c>
    </row>
    <row r="6693" spans="1:66" hidden="1">
      <c r="A6693">
        <v>104093</v>
      </c>
      <c r="B6693" s="3" t="s">
        <v>609</v>
      </c>
      <c r="C6693" s="1">
        <v>43300101</v>
      </c>
      <c r="D6693" t="s">
        <v>67</v>
      </c>
      <c r="H6693" t="str">
        <f t="shared" si="675"/>
        <v>12572900152</v>
      </c>
      <c r="I6693" t="str">
        <f t="shared" si="676"/>
        <v>06032681006</v>
      </c>
      <c r="K6693" t="str">
        <f>""</f>
        <v/>
      </c>
      <c r="M6693" t="s">
        <v>68</v>
      </c>
      <c r="N6693" t="str">
        <f t="shared" si="674"/>
        <v>FOR</v>
      </c>
      <c r="O6693" t="s">
        <v>69</v>
      </c>
      <c r="P6693" s="3" t="s">
        <v>70</v>
      </c>
      <c r="Q6693">
        <v>2015</v>
      </c>
      <c r="R6693" s="2">
        <v>42083</v>
      </c>
      <c r="S6693" s="2">
        <v>42103</v>
      </c>
      <c r="T6693" s="2">
        <v>42103</v>
      </c>
      <c r="U6693" s="2">
        <v>42163</v>
      </c>
      <c r="V6693" t="s">
        <v>71</v>
      </c>
      <c r="W6693" t="str">
        <f>"            25235098"</f>
        <v xml:space="preserve">            25235098</v>
      </c>
      <c r="X6693" s="1">
        <v>2755.48</v>
      </c>
      <c r="Y6693">
        <v>0</v>
      </c>
      <c r="Z6693"/>
      <c r="AB6693"/>
      <c r="AC6693" s="1">
        <v>2649.5</v>
      </c>
      <c r="AD6693">
        <v>253</v>
      </c>
      <c r="AE6693" s="1">
        <v>670323.5</v>
      </c>
      <c r="AF6693">
        <v>0</v>
      </c>
      <c r="AJ6693">
        <v>0</v>
      </c>
      <c r="AK6693">
        <v>0</v>
      </c>
      <c r="AL6693">
        <v>0</v>
      </c>
      <c r="AM6693">
        <v>0</v>
      </c>
      <c r="AN6693">
        <v>0</v>
      </c>
      <c r="AO6693">
        <v>0</v>
      </c>
      <c r="AP6693" s="2">
        <v>42746</v>
      </c>
      <c r="AQ6693" t="s">
        <v>72</v>
      </c>
      <c r="AR6693" t="s">
        <v>72</v>
      </c>
      <c r="AS6693">
        <v>412</v>
      </c>
      <c r="AT6693" s="4">
        <v>42416</v>
      </c>
      <c r="AU6693" t="s">
        <v>73</v>
      </c>
      <c r="AV6693">
        <v>412</v>
      </c>
      <c r="AW6693" s="4">
        <v>42416</v>
      </c>
      <c r="BD6693">
        <v>0</v>
      </c>
      <c r="BN6693" t="s">
        <v>74</v>
      </c>
    </row>
    <row r="6694" spans="1:66" hidden="1">
      <c r="A6694">
        <v>104093</v>
      </c>
      <c r="B6694" s="3" t="s">
        <v>609</v>
      </c>
      <c r="C6694" s="1">
        <v>43300101</v>
      </c>
      <c r="D6694" t="s">
        <v>67</v>
      </c>
      <c r="H6694" t="str">
        <f t="shared" si="675"/>
        <v>12572900152</v>
      </c>
      <c r="I6694" t="str">
        <f t="shared" si="676"/>
        <v>06032681006</v>
      </c>
      <c r="K6694" t="str">
        <f>""</f>
        <v/>
      </c>
      <c r="M6694" t="s">
        <v>68</v>
      </c>
      <c r="N6694" t="str">
        <f t="shared" si="674"/>
        <v>FOR</v>
      </c>
      <c r="O6694" t="s">
        <v>69</v>
      </c>
      <c r="P6694" s="3" t="s">
        <v>70</v>
      </c>
      <c r="Q6694">
        <v>2015</v>
      </c>
      <c r="R6694" s="2">
        <v>42089</v>
      </c>
      <c r="S6694" s="2">
        <v>42108</v>
      </c>
      <c r="T6694" s="2">
        <v>42108</v>
      </c>
      <c r="U6694" s="2">
        <v>42168</v>
      </c>
      <c r="V6694" t="s">
        <v>71</v>
      </c>
      <c r="W6694" t="str">
        <f>"            25236540"</f>
        <v xml:space="preserve">            25236540</v>
      </c>
      <c r="X6694" s="1">
        <v>1866.6</v>
      </c>
      <c r="Y6694">
        <v>0</v>
      </c>
      <c r="Z6694"/>
      <c r="AB6694"/>
      <c r="AC6694" s="1">
        <v>1530</v>
      </c>
      <c r="AD6694">
        <v>248</v>
      </c>
      <c r="AE6694" s="1">
        <v>379440</v>
      </c>
      <c r="AF6694">
        <v>0</v>
      </c>
      <c r="AJ6694">
        <v>0</v>
      </c>
      <c r="AK6694">
        <v>0</v>
      </c>
      <c r="AL6694">
        <v>0</v>
      </c>
      <c r="AM6694">
        <v>0</v>
      </c>
      <c r="AN6694">
        <v>0</v>
      </c>
      <c r="AO6694">
        <v>0</v>
      </c>
      <c r="AP6694" s="2">
        <v>42746</v>
      </c>
      <c r="AQ6694" t="s">
        <v>72</v>
      </c>
      <c r="AR6694" t="s">
        <v>72</v>
      </c>
      <c r="AS6694">
        <v>412</v>
      </c>
      <c r="AT6694" s="4">
        <v>42416</v>
      </c>
      <c r="AU6694" t="s">
        <v>73</v>
      </c>
      <c r="AV6694">
        <v>412</v>
      </c>
      <c r="AW6694" s="4">
        <v>42416</v>
      </c>
      <c r="BD6694">
        <v>0</v>
      </c>
      <c r="BN6694" t="s">
        <v>74</v>
      </c>
    </row>
    <row r="6695" spans="1:66" hidden="1">
      <c r="A6695">
        <v>104093</v>
      </c>
      <c r="B6695" s="3" t="s">
        <v>609</v>
      </c>
      <c r="C6695" s="1">
        <v>43300101</v>
      </c>
      <c r="D6695" t="s">
        <v>67</v>
      </c>
      <c r="H6695" t="str">
        <f t="shared" si="675"/>
        <v>12572900152</v>
      </c>
      <c r="I6695" t="str">
        <f t="shared" si="676"/>
        <v>06032681006</v>
      </c>
      <c r="K6695" t="str">
        <f>""</f>
        <v/>
      </c>
      <c r="M6695" t="s">
        <v>68</v>
      </c>
      <c r="N6695" t="str">
        <f t="shared" si="674"/>
        <v>FOR</v>
      </c>
      <c r="O6695" t="s">
        <v>69</v>
      </c>
      <c r="P6695" s="3" t="s">
        <v>75</v>
      </c>
      <c r="Q6695">
        <v>2015</v>
      </c>
      <c r="R6695" s="2">
        <v>42097</v>
      </c>
      <c r="S6695" s="2">
        <v>42104</v>
      </c>
      <c r="T6695" s="2">
        <v>42103</v>
      </c>
      <c r="U6695" s="2">
        <v>42163</v>
      </c>
      <c r="V6695" t="s">
        <v>71</v>
      </c>
      <c r="W6695" t="str">
        <f>"            25238438"</f>
        <v xml:space="preserve">            25238438</v>
      </c>
      <c r="X6695">
        <v>74.88</v>
      </c>
      <c r="Y6695">
        <v>0</v>
      </c>
      <c r="Z6695"/>
      <c r="AB6695"/>
      <c r="AC6695">
        <v>72</v>
      </c>
      <c r="AD6695">
        <v>267</v>
      </c>
      <c r="AE6695" s="1">
        <v>19224</v>
      </c>
      <c r="AF6695">
        <v>0</v>
      </c>
      <c r="AJ6695">
        <v>0</v>
      </c>
      <c r="AK6695">
        <v>0</v>
      </c>
      <c r="AL6695">
        <v>0</v>
      </c>
      <c r="AM6695">
        <v>0</v>
      </c>
      <c r="AN6695">
        <v>0</v>
      </c>
      <c r="AO6695">
        <v>0</v>
      </c>
      <c r="AP6695" s="2">
        <v>42746</v>
      </c>
      <c r="AQ6695" t="s">
        <v>72</v>
      </c>
      <c r="AR6695" t="s">
        <v>72</v>
      </c>
      <c r="AS6695">
        <v>598</v>
      </c>
      <c r="AT6695" s="4">
        <v>42430</v>
      </c>
      <c r="AU6695" t="s">
        <v>73</v>
      </c>
      <c r="AV6695">
        <v>598</v>
      </c>
      <c r="AW6695" s="4">
        <v>42430</v>
      </c>
      <c r="BD6695">
        <v>0</v>
      </c>
      <c r="BN6695" t="s">
        <v>74</v>
      </c>
    </row>
    <row r="6696" spans="1:66" hidden="1">
      <c r="A6696">
        <v>104093</v>
      </c>
      <c r="B6696" s="3" t="s">
        <v>609</v>
      </c>
      <c r="C6696" s="1">
        <v>43300101</v>
      </c>
      <c r="D6696" t="s">
        <v>67</v>
      </c>
      <c r="H6696" t="str">
        <f t="shared" si="675"/>
        <v>12572900152</v>
      </c>
      <c r="I6696" t="str">
        <f t="shared" si="676"/>
        <v>06032681006</v>
      </c>
      <c r="K6696" t="str">
        <f>""</f>
        <v/>
      </c>
      <c r="M6696" t="s">
        <v>68</v>
      </c>
      <c r="N6696" t="str">
        <f t="shared" si="674"/>
        <v>FOR</v>
      </c>
      <c r="O6696" t="s">
        <v>69</v>
      </c>
      <c r="P6696" s="3" t="s">
        <v>75</v>
      </c>
      <c r="Q6696">
        <v>2015</v>
      </c>
      <c r="R6696" s="2">
        <v>42097</v>
      </c>
      <c r="S6696" s="2">
        <v>42104</v>
      </c>
      <c r="T6696" s="2">
        <v>42103</v>
      </c>
      <c r="U6696" s="2">
        <v>42163</v>
      </c>
      <c r="V6696" t="s">
        <v>71</v>
      </c>
      <c r="W6696" t="str">
        <f>"            25238443"</f>
        <v xml:space="preserve">            25238443</v>
      </c>
      <c r="X6696">
        <v>403.42</v>
      </c>
      <c r="Y6696">
        <v>0</v>
      </c>
      <c r="Z6696"/>
      <c r="AB6696"/>
      <c r="AC6696">
        <v>387.9</v>
      </c>
      <c r="AD6696">
        <v>267</v>
      </c>
      <c r="AE6696" s="1">
        <v>103569.3</v>
      </c>
      <c r="AF6696">
        <v>0</v>
      </c>
      <c r="AJ6696">
        <v>0</v>
      </c>
      <c r="AK6696">
        <v>0</v>
      </c>
      <c r="AL6696">
        <v>0</v>
      </c>
      <c r="AM6696">
        <v>0</v>
      </c>
      <c r="AN6696">
        <v>0</v>
      </c>
      <c r="AO6696">
        <v>0</v>
      </c>
      <c r="AP6696" s="2">
        <v>42746</v>
      </c>
      <c r="AQ6696" t="s">
        <v>72</v>
      </c>
      <c r="AR6696" t="s">
        <v>72</v>
      </c>
      <c r="AS6696">
        <v>598</v>
      </c>
      <c r="AT6696" s="4">
        <v>42430</v>
      </c>
      <c r="AU6696" t="s">
        <v>73</v>
      </c>
      <c r="AV6696">
        <v>598</v>
      </c>
      <c r="AW6696" s="4">
        <v>42430</v>
      </c>
      <c r="BD6696">
        <v>0</v>
      </c>
      <c r="BN6696" t="s">
        <v>74</v>
      </c>
    </row>
    <row r="6697" spans="1:66" hidden="1">
      <c r="A6697">
        <v>104093</v>
      </c>
      <c r="B6697" s="3" t="s">
        <v>609</v>
      </c>
      <c r="C6697" s="1">
        <v>43300101</v>
      </c>
      <c r="D6697" t="s">
        <v>67</v>
      </c>
      <c r="H6697" t="str">
        <f t="shared" si="675"/>
        <v>12572900152</v>
      </c>
      <c r="I6697" t="str">
        <f t="shared" si="676"/>
        <v>06032681006</v>
      </c>
      <c r="K6697" t="str">
        <f>""</f>
        <v/>
      </c>
      <c r="M6697" t="s">
        <v>68</v>
      </c>
      <c r="N6697" t="str">
        <f t="shared" si="674"/>
        <v>FOR</v>
      </c>
      <c r="O6697" t="s">
        <v>69</v>
      </c>
      <c r="P6697" s="3" t="s">
        <v>75</v>
      </c>
      <c r="Q6697">
        <v>2015</v>
      </c>
      <c r="R6697" s="2">
        <v>42097</v>
      </c>
      <c r="S6697" s="2">
        <v>42104</v>
      </c>
      <c r="T6697" s="2">
        <v>42103</v>
      </c>
      <c r="U6697" s="2">
        <v>42163</v>
      </c>
      <c r="V6697" t="s">
        <v>71</v>
      </c>
      <c r="W6697" t="str">
        <f>"            25238449"</f>
        <v xml:space="preserve">            25238449</v>
      </c>
      <c r="X6697">
        <v>74.88</v>
      </c>
      <c r="Y6697">
        <v>0</v>
      </c>
      <c r="Z6697"/>
      <c r="AB6697"/>
      <c r="AC6697">
        <v>72</v>
      </c>
      <c r="AD6697">
        <v>267</v>
      </c>
      <c r="AE6697" s="1">
        <v>19224</v>
      </c>
      <c r="AF6697">
        <v>0</v>
      </c>
      <c r="AJ6697">
        <v>0</v>
      </c>
      <c r="AK6697">
        <v>0</v>
      </c>
      <c r="AL6697">
        <v>0</v>
      </c>
      <c r="AM6697">
        <v>0</v>
      </c>
      <c r="AN6697">
        <v>0</v>
      </c>
      <c r="AO6697">
        <v>0</v>
      </c>
      <c r="AP6697" s="2">
        <v>42746</v>
      </c>
      <c r="AQ6697" t="s">
        <v>72</v>
      </c>
      <c r="AR6697" t="s">
        <v>72</v>
      </c>
      <c r="AS6697">
        <v>598</v>
      </c>
      <c r="AT6697" s="4">
        <v>42430</v>
      </c>
      <c r="AU6697" t="s">
        <v>73</v>
      </c>
      <c r="AV6697">
        <v>598</v>
      </c>
      <c r="AW6697" s="4">
        <v>42430</v>
      </c>
      <c r="BD6697">
        <v>0</v>
      </c>
      <c r="BN6697" t="s">
        <v>74</v>
      </c>
    </row>
    <row r="6698" spans="1:66" hidden="1">
      <c r="A6698">
        <v>104093</v>
      </c>
      <c r="B6698" s="3" t="s">
        <v>609</v>
      </c>
      <c r="C6698" s="1">
        <v>43300101</v>
      </c>
      <c r="D6698" t="s">
        <v>67</v>
      </c>
      <c r="H6698" t="str">
        <f t="shared" si="675"/>
        <v>12572900152</v>
      </c>
      <c r="I6698" t="str">
        <f t="shared" si="676"/>
        <v>06032681006</v>
      </c>
      <c r="K6698" t="str">
        <f>""</f>
        <v/>
      </c>
      <c r="M6698" t="s">
        <v>68</v>
      </c>
      <c r="N6698" t="str">
        <f t="shared" si="674"/>
        <v>FOR</v>
      </c>
      <c r="O6698" t="s">
        <v>69</v>
      </c>
      <c r="P6698" s="3" t="s">
        <v>75</v>
      </c>
      <c r="Q6698">
        <v>2015</v>
      </c>
      <c r="R6698" s="2">
        <v>42097</v>
      </c>
      <c r="S6698" s="2">
        <v>42104</v>
      </c>
      <c r="T6698" s="2">
        <v>42103</v>
      </c>
      <c r="U6698" s="2">
        <v>42163</v>
      </c>
      <c r="V6698" t="s">
        <v>71</v>
      </c>
      <c r="W6698" t="str">
        <f>"            25238453"</f>
        <v xml:space="preserve">            25238453</v>
      </c>
      <c r="X6698">
        <v>74.88</v>
      </c>
      <c r="Y6698">
        <v>0</v>
      </c>
      <c r="Z6698"/>
      <c r="AB6698"/>
      <c r="AC6698">
        <v>72</v>
      </c>
      <c r="AD6698">
        <v>267</v>
      </c>
      <c r="AE6698" s="1">
        <v>19224</v>
      </c>
      <c r="AF6698">
        <v>0</v>
      </c>
      <c r="AJ6698">
        <v>0</v>
      </c>
      <c r="AK6698">
        <v>0</v>
      </c>
      <c r="AL6698">
        <v>0</v>
      </c>
      <c r="AM6698">
        <v>0</v>
      </c>
      <c r="AN6698">
        <v>0</v>
      </c>
      <c r="AO6698">
        <v>0</v>
      </c>
      <c r="AP6698" s="2">
        <v>42746</v>
      </c>
      <c r="AQ6698" t="s">
        <v>72</v>
      </c>
      <c r="AR6698" t="s">
        <v>72</v>
      </c>
      <c r="AS6698">
        <v>598</v>
      </c>
      <c r="AT6698" s="4">
        <v>42430</v>
      </c>
      <c r="AU6698" t="s">
        <v>73</v>
      </c>
      <c r="AV6698">
        <v>598</v>
      </c>
      <c r="AW6698" s="4">
        <v>42430</v>
      </c>
      <c r="BD6698">
        <v>0</v>
      </c>
      <c r="BN6698" t="s">
        <v>74</v>
      </c>
    </row>
    <row r="6699" spans="1:66" hidden="1">
      <c r="A6699">
        <v>104093</v>
      </c>
      <c r="B6699" s="3" t="s">
        <v>609</v>
      </c>
      <c r="C6699" s="1">
        <v>43300101</v>
      </c>
      <c r="D6699" t="s">
        <v>67</v>
      </c>
      <c r="H6699" t="str">
        <f t="shared" si="675"/>
        <v>12572900152</v>
      </c>
      <c r="I6699" t="str">
        <f t="shared" si="676"/>
        <v>06032681006</v>
      </c>
      <c r="K6699" t="str">
        <f>""</f>
        <v/>
      </c>
      <c r="M6699" t="s">
        <v>68</v>
      </c>
      <c r="N6699" t="str">
        <f t="shared" si="674"/>
        <v>FOR</v>
      </c>
      <c r="O6699" t="s">
        <v>69</v>
      </c>
      <c r="P6699" s="3" t="s">
        <v>75</v>
      </c>
      <c r="Q6699">
        <v>2015</v>
      </c>
      <c r="R6699" s="2">
        <v>42097</v>
      </c>
      <c r="S6699" s="2">
        <v>42128</v>
      </c>
      <c r="T6699" s="2">
        <v>42103</v>
      </c>
      <c r="U6699" s="2">
        <v>42163</v>
      </c>
      <c r="V6699" t="s">
        <v>71</v>
      </c>
      <c r="W6699" t="str">
        <f>"            25238482"</f>
        <v xml:space="preserve">            25238482</v>
      </c>
      <c r="X6699" s="1">
        <v>5378.98</v>
      </c>
      <c r="Y6699">
        <v>0</v>
      </c>
      <c r="Z6699"/>
      <c r="AB6699"/>
      <c r="AC6699" s="1">
        <v>4409</v>
      </c>
      <c r="AD6699">
        <v>267</v>
      </c>
      <c r="AE6699" s="1">
        <v>1177203</v>
      </c>
      <c r="AF6699">
        <v>0</v>
      </c>
      <c r="AJ6699">
        <v>0</v>
      </c>
      <c r="AK6699">
        <v>0</v>
      </c>
      <c r="AL6699">
        <v>0</v>
      </c>
      <c r="AM6699">
        <v>0</v>
      </c>
      <c r="AN6699">
        <v>0</v>
      </c>
      <c r="AO6699">
        <v>0</v>
      </c>
      <c r="AP6699" s="2">
        <v>42746</v>
      </c>
      <c r="AQ6699" t="s">
        <v>72</v>
      </c>
      <c r="AR6699" t="s">
        <v>72</v>
      </c>
      <c r="AS6699">
        <v>598</v>
      </c>
      <c r="AT6699" s="4">
        <v>42430</v>
      </c>
      <c r="AU6699" t="s">
        <v>73</v>
      </c>
      <c r="AV6699">
        <v>598</v>
      </c>
      <c r="AW6699" s="4">
        <v>42430</v>
      </c>
      <c r="BD6699">
        <v>0</v>
      </c>
      <c r="BN6699" t="s">
        <v>74</v>
      </c>
    </row>
    <row r="6700" spans="1:66" hidden="1">
      <c r="A6700">
        <v>104093</v>
      </c>
      <c r="B6700" s="3" t="s">
        <v>609</v>
      </c>
      <c r="C6700" s="1">
        <v>43300101</v>
      </c>
      <c r="D6700" t="s">
        <v>67</v>
      </c>
      <c r="H6700" t="str">
        <f t="shared" si="675"/>
        <v>12572900152</v>
      </c>
      <c r="I6700" t="str">
        <f t="shared" si="676"/>
        <v>06032681006</v>
      </c>
      <c r="K6700" t="str">
        <f>""</f>
        <v/>
      </c>
      <c r="M6700" t="s">
        <v>68</v>
      </c>
      <c r="N6700" t="str">
        <f t="shared" si="674"/>
        <v>FOR</v>
      </c>
      <c r="O6700" t="s">
        <v>69</v>
      </c>
      <c r="P6700" s="3" t="s">
        <v>75</v>
      </c>
      <c r="Q6700">
        <v>2015</v>
      </c>
      <c r="R6700" s="2">
        <v>42101</v>
      </c>
      <c r="S6700" s="2">
        <v>42104</v>
      </c>
      <c r="T6700" s="2">
        <v>42103</v>
      </c>
      <c r="U6700" s="2">
        <v>42163</v>
      </c>
      <c r="V6700" t="s">
        <v>71</v>
      </c>
      <c r="W6700" t="str">
        <f>"            25238671"</f>
        <v xml:space="preserve">            25238671</v>
      </c>
      <c r="X6700">
        <v>252.72</v>
      </c>
      <c r="Y6700">
        <v>0</v>
      </c>
      <c r="Z6700"/>
      <c r="AB6700"/>
      <c r="AC6700">
        <v>243</v>
      </c>
      <c r="AD6700">
        <v>267</v>
      </c>
      <c r="AE6700" s="1">
        <v>64881</v>
      </c>
      <c r="AF6700">
        <v>0</v>
      </c>
      <c r="AJ6700">
        <v>0</v>
      </c>
      <c r="AK6700">
        <v>0</v>
      </c>
      <c r="AL6700">
        <v>0</v>
      </c>
      <c r="AM6700">
        <v>0</v>
      </c>
      <c r="AN6700">
        <v>0</v>
      </c>
      <c r="AO6700">
        <v>0</v>
      </c>
      <c r="AP6700" s="2">
        <v>42746</v>
      </c>
      <c r="AQ6700" t="s">
        <v>72</v>
      </c>
      <c r="AR6700" t="s">
        <v>72</v>
      </c>
      <c r="AS6700">
        <v>598</v>
      </c>
      <c r="AT6700" s="4">
        <v>42430</v>
      </c>
      <c r="AU6700" t="s">
        <v>73</v>
      </c>
      <c r="AV6700">
        <v>598</v>
      </c>
      <c r="AW6700" s="4">
        <v>42430</v>
      </c>
      <c r="BD6700">
        <v>0</v>
      </c>
      <c r="BN6700" t="s">
        <v>74</v>
      </c>
    </row>
    <row r="6701" spans="1:66" hidden="1">
      <c r="A6701">
        <v>104093</v>
      </c>
      <c r="B6701" s="3" t="s">
        <v>609</v>
      </c>
      <c r="C6701" s="1">
        <v>43300101</v>
      </c>
      <c r="D6701" t="s">
        <v>67</v>
      </c>
      <c r="H6701" t="str">
        <f t="shared" si="675"/>
        <v>12572900152</v>
      </c>
      <c r="I6701" t="str">
        <f t="shared" si="676"/>
        <v>06032681006</v>
      </c>
      <c r="K6701" t="str">
        <f>""</f>
        <v/>
      </c>
      <c r="M6701" t="s">
        <v>68</v>
      </c>
      <c r="N6701" t="str">
        <f t="shared" si="674"/>
        <v>FOR</v>
      </c>
      <c r="O6701" t="s">
        <v>69</v>
      </c>
      <c r="P6701" s="3" t="s">
        <v>75</v>
      </c>
      <c r="Q6701">
        <v>2015</v>
      </c>
      <c r="R6701" s="2">
        <v>42101</v>
      </c>
      <c r="S6701" s="2">
        <v>42104</v>
      </c>
      <c r="T6701" s="2">
        <v>42103</v>
      </c>
      <c r="U6701" s="2">
        <v>42163</v>
      </c>
      <c r="V6701" t="s">
        <v>71</v>
      </c>
      <c r="W6701" t="str">
        <f>"            25238676"</f>
        <v xml:space="preserve">            25238676</v>
      </c>
      <c r="X6701">
        <v>74.88</v>
      </c>
      <c r="Y6701">
        <v>0</v>
      </c>
      <c r="Z6701"/>
      <c r="AB6701"/>
      <c r="AC6701">
        <v>72</v>
      </c>
      <c r="AD6701">
        <v>267</v>
      </c>
      <c r="AE6701" s="1">
        <v>19224</v>
      </c>
      <c r="AF6701">
        <v>0</v>
      </c>
      <c r="AJ6701">
        <v>0</v>
      </c>
      <c r="AK6701">
        <v>0</v>
      </c>
      <c r="AL6701">
        <v>0</v>
      </c>
      <c r="AM6701">
        <v>0</v>
      </c>
      <c r="AN6701">
        <v>0</v>
      </c>
      <c r="AO6701">
        <v>0</v>
      </c>
      <c r="AP6701" s="2">
        <v>42746</v>
      </c>
      <c r="AQ6701" t="s">
        <v>72</v>
      </c>
      <c r="AR6701" t="s">
        <v>72</v>
      </c>
      <c r="AS6701">
        <v>598</v>
      </c>
      <c r="AT6701" s="4">
        <v>42430</v>
      </c>
      <c r="AU6701" t="s">
        <v>73</v>
      </c>
      <c r="AV6701">
        <v>598</v>
      </c>
      <c r="AW6701" s="4">
        <v>42430</v>
      </c>
      <c r="BD6701">
        <v>0</v>
      </c>
      <c r="BN6701" t="s">
        <v>74</v>
      </c>
    </row>
    <row r="6702" spans="1:66" hidden="1">
      <c r="A6702">
        <v>104093</v>
      </c>
      <c r="B6702" s="3" t="s">
        <v>609</v>
      </c>
      <c r="C6702" s="1">
        <v>43300101</v>
      </c>
      <c r="D6702" t="s">
        <v>67</v>
      </c>
      <c r="H6702" t="str">
        <f t="shared" si="675"/>
        <v>12572900152</v>
      </c>
      <c r="I6702" t="str">
        <f t="shared" si="676"/>
        <v>06032681006</v>
      </c>
      <c r="K6702" t="str">
        <f>""</f>
        <v/>
      </c>
      <c r="M6702" t="s">
        <v>68</v>
      </c>
      <c r="N6702" t="str">
        <f t="shared" si="674"/>
        <v>FOR</v>
      </c>
      <c r="O6702" t="s">
        <v>69</v>
      </c>
      <c r="P6702" s="3" t="s">
        <v>75</v>
      </c>
      <c r="Q6702">
        <v>2015</v>
      </c>
      <c r="R6702" s="2">
        <v>42101</v>
      </c>
      <c r="S6702" s="2">
        <v>42104</v>
      </c>
      <c r="T6702" s="2">
        <v>42103</v>
      </c>
      <c r="U6702" s="2">
        <v>42163</v>
      </c>
      <c r="V6702" t="s">
        <v>71</v>
      </c>
      <c r="W6702" t="str">
        <f>"            25238677"</f>
        <v xml:space="preserve">            25238677</v>
      </c>
      <c r="X6702">
        <v>707.62</v>
      </c>
      <c r="Y6702">
        <v>0</v>
      </c>
      <c r="Z6702"/>
      <c r="AB6702"/>
      <c r="AC6702">
        <v>680.4</v>
      </c>
      <c r="AD6702">
        <v>267</v>
      </c>
      <c r="AE6702" s="1">
        <v>181666.8</v>
      </c>
      <c r="AF6702">
        <v>0</v>
      </c>
      <c r="AJ6702">
        <v>0</v>
      </c>
      <c r="AK6702">
        <v>0</v>
      </c>
      <c r="AL6702">
        <v>0</v>
      </c>
      <c r="AM6702">
        <v>0</v>
      </c>
      <c r="AN6702">
        <v>0</v>
      </c>
      <c r="AO6702">
        <v>0</v>
      </c>
      <c r="AP6702" s="2">
        <v>42746</v>
      </c>
      <c r="AQ6702" t="s">
        <v>72</v>
      </c>
      <c r="AR6702" t="s">
        <v>72</v>
      </c>
      <c r="AS6702">
        <v>598</v>
      </c>
      <c r="AT6702" s="4">
        <v>42430</v>
      </c>
      <c r="AU6702" t="s">
        <v>73</v>
      </c>
      <c r="AV6702">
        <v>598</v>
      </c>
      <c r="AW6702" s="4">
        <v>42430</v>
      </c>
      <c r="BD6702">
        <v>0</v>
      </c>
      <c r="BN6702" t="s">
        <v>74</v>
      </c>
    </row>
    <row r="6703" spans="1:66" hidden="1">
      <c r="A6703">
        <v>104093</v>
      </c>
      <c r="B6703" s="3" t="s">
        <v>609</v>
      </c>
      <c r="C6703" s="1">
        <v>43300101</v>
      </c>
      <c r="D6703" t="s">
        <v>67</v>
      </c>
      <c r="H6703" t="str">
        <f t="shared" si="675"/>
        <v>12572900152</v>
      </c>
      <c r="I6703" t="str">
        <f t="shared" si="676"/>
        <v>06032681006</v>
      </c>
      <c r="K6703" t="str">
        <f>""</f>
        <v/>
      </c>
      <c r="M6703" t="s">
        <v>68</v>
      </c>
      <c r="N6703" t="str">
        <f t="shared" si="674"/>
        <v>FOR</v>
      </c>
      <c r="O6703" t="s">
        <v>69</v>
      </c>
      <c r="P6703" s="3" t="s">
        <v>75</v>
      </c>
      <c r="Q6703">
        <v>2015</v>
      </c>
      <c r="R6703" s="2">
        <v>42103</v>
      </c>
      <c r="S6703" s="2">
        <v>42115</v>
      </c>
      <c r="T6703" s="2">
        <v>42110</v>
      </c>
      <c r="U6703" s="2">
        <v>42170</v>
      </c>
      <c r="V6703" t="s">
        <v>71</v>
      </c>
      <c r="W6703" t="str">
        <f>"            25239096"</f>
        <v xml:space="preserve">            25239096</v>
      </c>
      <c r="X6703">
        <v>74.88</v>
      </c>
      <c r="Y6703">
        <v>0</v>
      </c>
      <c r="Z6703"/>
      <c r="AB6703"/>
      <c r="AC6703">
        <v>72</v>
      </c>
      <c r="AD6703">
        <v>260</v>
      </c>
      <c r="AE6703" s="1">
        <v>18720</v>
      </c>
      <c r="AF6703">
        <v>0</v>
      </c>
      <c r="AJ6703">
        <v>0</v>
      </c>
      <c r="AK6703">
        <v>0</v>
      </c>
      <c r="AL6703">
        <v>0</v>
      </c>
      <c r="AM6703">
        <v>0</v>
      </c>
      <c r="AN6703">
        <v>0</v>
      </c>
      <c r="AO6703">
        <v>0</v>
      </c>
      <c r="AP6703" s="2">
        <v>42746</v>
      </c>
      <c r="AQ6703" t="s">
        <v>72</v>
      </c>
      <c r="AR6703" t="s">
        <v>72</v>
      </c>
      <c r="AS6703">
        <v>598</v>
      </c>
      <c r="AT6703" s="4">
        <v>42430</v>
      </c>
      <c r="AU6703" t="s">
        <v>73</v>
      </c>
      <c r="AV6703">
        <v>598</v>
      </c>
      <c r="AW6703" s="4">
        <v>42430</v>
      </c>
      <c r="BD6703">
        <v>0</v>
      </c>
      <c r="BN6703" t="s">
        <v>74</v>
      </c>
    </row>
    <row r="6704" spans="1:66" hidden="1">
      <c r="A6704">
        <v>104093</v>
      </c>
      <c r="B6704" s="3" t="s">
        <v>609</v>
      </c>
      <c r="C6704" s="1">
        <v>43300101</v>
      </c>
      <c r="D6704" t="s">
        <v>67</v>
      </c>
      <c r="H6704" t="str">
        <f t="shared" si="675"/>
        <v>12572900152</v>
      </c>
      <c r="I6704" t="str">
        <f t="shared" si="676"/>
        <v>06032681006</v>
      </c>
      <c r="K6704" t="str">
        <f>""</f>
        <v/>
      </c>
      <c r="M6704" t="s">
        <v>68</v>
      </c>
      <c r="N6704" t="str">
        <f t="shared" si="674"/>
        <v>FOR</v>
      </c>
      <c r="O6704" t="s">
        <v>69</v>
      </c>
      <c r="P6704" s="3" t="s">
        <v>75</v>
      </c>
      <c r="Q6704">
        <v>2015</v>
      </c>
      <c r="R6704" s="2">
        <v>42103</v>
      </c>
      <c r="S6704" s="2">
        <v>42115</v>
      </c>
      <c r="T6704" s="2">
        <v>42114</v>
      </c>
      <c r="U6704" s="2">
        <v>42174</v>
      </c>
      <c r="V6704" t="s">
        <v>71</v>
      </c>
      <c r="W6704" t="str">
        <f>"            25239098"</f>
        <v xml:space="preserve">            25239098</v>
      </c>
      <c r="X6704">
        <v>74.88</v>
      </c>
      <c r="Y6704">
        <v>0</v>
      </c>
      <c r="Z6704"/>
      <c r="AB6704"/>
      <c r="AC6704">
        <v>72</v>
      </c>
      <c r="AD6704">
        <v>256</v>
      </c>
      <c r="AE6704" s="1">
        <v>18432</v>
      </c>
      <c r="AF6704">
        <v>0</v>
      </c>
      <c r="AJ6704">
        <v>0</v>
      </c>
      <c r="AK6704">
        <v>0</v>
      </c>
      <c r="AL6704">
        <v>0</v>
      </c>
      <c r="AM6704">
        <v>0</v>
      </c>
      <c r="AN6704">
        <v>0</v>
      </c>
      <c r="AO6704">
        <v>0</v>
      </c>
      <c r="AP6704" s="2">
        <v>42746</v>
      </c>
      <c r="AQ6704" t="s">
        <v>72</v>
      </c>
      <c r="AR6704" t="s">
        <v>72</v>
      </c>
      <c r="AS6704">
        <v>598</v>
      </c>
      <c r="AT6704" s="4">
        <v>42430</v>
      </c>
      <c r="AU6704" t="s">
        <v>73</v>
      </c>
      <c r="AV6704">
        <v>598</v>
      </c>
      <c r="AW6704" s="4">
        <v>42430</v>
      </c>
      <c r="BD6704">
        <v>0</v>
      </c>
      <c r="BN6704" t="s">
        <v>74</v>
      </c>
    </row>
    <row r="6705" spans="1:66" hidden="1">
      <c r="A6705">
        <v>104093</v>
      </c>
      <c r="B6705" s="3" t="s">
        <v>609</v>
      </c>
      <c r="C6705" s="1">
        <v>43300101</v>
      </c>
      <c r="D6705" t="s">
        <v>67</v>
      </c>
      <c r="H6705" t="str">
        <f t="shared" si="675"/>
        <v>12572900152</v>
      </c>
      <c r="I6705" t="str">
        <f t="shared" si="676"/>
        <v>06032681006</v>
      </c>
      <c r="K6705" t="str">
        <f>""</f>
        <v/>
      </c>
      <c r="M6705" t="s">
        <v>68</v>
      </c>
      <c r="N6705" t="str">
        <f t="shared" si="674"/>
        <v>FOR</v>
      </c>
      <c r="O6705" t="s">
        <v>69</v>
      </c>
      <c r="P6705" s="3" t="s">
        <v>75</v>
      </c>
      <c r="Q6705">
        <v>2015</v>
      </c>
      <c r="R6705" s="2">
        <v>42103</v>
      </c>
      <c r="S6705" s="2">
        <v>42115</v>
      </c>
      <c r="T6705" s="2">
        <v>42110</v>
      </c>
      <c r="U6705" s="2">
        <v>42170</v>
      </c>
      <c r="V6705" t="s">
        <v>71</v>
      </c>
      <c r="W6705" t="str">
        <f>"            25239105"</f>
        <v xml:space="preserve">            25239105</v>
      </c>
      <c r="X6705">
        <v>74.88</v>
      </c>
      <c r="Y6705">
        <v>0</v>
      </c>
      <c r="Z6705"/>
      <c r="AB6705"/>
      <c r="AC6705">
        <v>72</v>
      </c>
      <c r="AD6705">
        <v>260</v>
      </c>
      <c r="AE6705" s="1">
        <v>18720</v>
      </c>
      <c r="AF6705">
        <v>0</v>
      </c>
      <c r="AJ6705">
        <v>0</v>
      </c>
      <c r="AK6705">
        <v>0</v>
      </c>
      <c r="AL6705">
        <v>0</v>
      </c>
      <c r="AM6705">
        <v>0</v>
      </c>
      <c r="AN6705">
        <v>0</v>
      </c>
      <c r="AO6705">
        <v>0</v>
      </c>
      <c r="AP6705" s="2">
        <v>42746</v>
      </c>
      <c r="AQ6705" t="s">
        <v>72</v>
      </c>
      <c r="AR6705" t="s">
        <v>72</v>
      </c>
      <c r="AS6705">
        <v>598</v>
      </c>
      <c r="AT6705" s="4">
        <v>42430</v>
      </c>
      <c r="AU6705" t="s">
        <v>73</v>
      </c>
      <c r="AV6705">
        <v>598</v>
      </c>
      <c r="AW6705" s="4">
        <v>42430</v>
      </c>
      <c r="BD6705">
        <v>0</v>
      </c>
      <c r="BN6705" t="s">
        <v>74</v>
      </c>
    </row>
    <row r="6706" spans="1:66" hidden="1">
      <c r="A6706">
        <v>104093</v>
      </c>
      <c r="B6706" s="3" t="s">
        <v>609</v>
      </c>
      <c r="C6706" s="1">
        <v>43300101</v>
      </c>
      <c r="D6706" t="s">
        <v>67</v>
      </c>
      <c r="H6706" t="str">
        <f t="shared" si="675"/>
        <v>12572900152</v>
      </c>
      <c r="I6706" t="str">
        <f t="shared" si="676"/>
        <v>06032681006</v>
      </c>
      <c r="K6706" t="str">
        <f>""</f>
        <v/>
      </c>
      <c r="M6706" t="s">
        <v>68</v>
      </c>
      <c r="N6706" t="str">
        <f t="shared" si="674"/>
        <v>FOR</v>
      </c>
      <c r="O6706" t="s">
        <v>69</v>
      </c>
      <c r="P6706" s="3" t="s">
        <v>75</v>
      </c>
      <c r="Q6706">
        <v>2015</v>
      </c>
      <c r="R6706" s="2">
        <v>42103</v>
      </c>
      <c r="S6706" s="2">
        <v>42115</v>
      </c>
      <c r="T6706" s="2">
        <v>42110</v>
      </c>
      <c r="U6706" s="2">
        <v>42170</v>
      </c>
      <c r="V6706" t="s">
        <v>71</v>
      </c>
      <c r="W6706" t="str">
        <f>"            25239107"</f>
        <v xml:space="preserve">            25239107</v>
      </c>
      <c r="X6706">
        <v>748.8</v>
      </c>
      <c r="Y6706">
        <v>0</v>
      </c>
      <c r="Z6706"/>
      <c r="AB6706"/>
      <c r="AC6706">
        <v>720</v>
      </c>
      <c r="AD6706">
        <v>260</v>
      </c>
      <c r="AE6706" s="1">
        <v>187200</v>
      </c>
      <c r="AF6706">
        <v>0</v>
      </c>
      <c r="AJ6706">
        <v>0</v>
      </c>
      <c r="AK6706">
        <v>0</v>
      </c>
      <c r="AL6706">
        <v>0</v>
      </c>
      <c r="AM6706">
        <v>0</v>
      </c>
      <c r="AN6706">
        <v>0</v>
      </c>
      <c r="AO6706">
        <v>0</v>
      </c>
      <c r="AP6706" s="2">
        <v>42746</v>
      </c>
      <c r="AQ6706" t="s">
        <v>72</v>
      </c>
      <c r="AR6706" t="s">
        <v>72</v>
      </c>
      <c r="AS6706">
        <v>598</v>
      </c>
      <c r="AT6706" s="4">
        <v>42430</v>
      </c>
      <c r="AU6706" t="s">
        <v>73</v>
      </c>
      <c r="AV6706">
        <v>598</v>
      </c>
      <c r="AW6706" s="4">
        <v>42430</v>
      </c>
      <c r="BD6706">
        <v>0</v>
      </c>
      <c r="BN6706" t="s">
        <v>74</v>
      </c>
    </row>
    <row r="6707" spans="1:66" hidden="1">
      <c r="A6707">
        <v>104093</v>
      </c>
      <c r="B6707" s="3" t="s">
        <v>609</v>
      </c>
      <c r="C6707" s="1">
        <v>43300101</v>
      </c>
      <c r="D6707" t="s">
        <v>67</v>
      </c>
      <c r="H6707" t="str">
        <f t="shared" si="675"/>
        <v>12572900152</v>
      </c>
      <c r="I6707" t="str">
        <f t="shared" si="676"/>
        <v>06032681006</v>
      </c>
      <c r="K6707" t="str">
        <f>""</f>
        <v/>
      </c>
      <c r="M6707" t="s">
        <v>68</v>
      </c>
      <c r="N6707" t="str">
        <f t="shared" si="674"/>
        <v>FOR</v>
      </c>
      <c r="O6707" t="s">
        <v>69</v>
      </c>
      <c r="P6707" s="3" t="s">
        <v>75</v>
      </c>
      <c r="Q6707">
        <v>2015</v>
      </c>
      <c r="R6707" s="2">
        <v>42103</v>
      </c>
      <c r="S6707" s="2">
        <v>42115</v>
      </c>
      <c r="T6707" s="2">
        <v>42110</v>
      </c>
      <c r="U6707" s="2">
        <v>42170</v>
      </c>
      <c r="V6707" t="s">
        <v>71</v>
      </c>
      <c r="W6707" t="str">
        <f>"            25239108"</f>
        <v xml:space="preserve">            25239108</v>
      </c>
      <c r="X6707">
        <v>74.88</v>
      </c>
      <c r="Y6707">
        <v>0</v>
      </c>
      <c r="Z6707"/>
      <c r="AB6707"/>
      <c r="AC6707">
        <v>72</v>
      </c>
      <c r="AD6707">
        <v>260</v>
      </c>
      <c r="AE6707" s="1">
        <v>18720</v>
      </c>
      <c r="AF6707">
        <v>0</v>
      </c>
      <c r="AJ6707">
        <v>0</v>
      </c>
      <c r="AK6707">
        <v>0</v>
      </c>
      <c r="AL6707">
        <v>0</v>
      </c>
      <c r="AM6707">
        <v>0</v>
      </c>
      <c r="AN6707">
        <v>0</v>
      </c>
      <c r="AO6707">
        <v>0</v>
      </c>
      <c r="AP6707" s="2">
        <v>42746</v>
      </c>
      <c r="AQ6707" t="s">
        <v>72</v>
      </c>
      <c r="AR6707" t="s">
        <v>72</v>
      </c>
      <c r="AS6707">
        <v>598</v>
      </c>
      <c r="AT6707" s="4">
        <v>42430</v>
      </c>
      <c r="AU6707" t="s">
        <v>73</v>
      </c>
      <c r="AV6707">
        <v>598</v>
      </c>
      <c r="AW6707" s="4">
        <v>42430</v>
      </c>
      <c r="BD6707">
        <v>0</v>
      </c>
      <c r="BN6707" t="s">
        <v>74</v>
      </c>
    </row>
    <row r="6708" spans="1:66" hidden="1">
      <c r="A6708">
        <v>104093</v>
      </c>
      <c r="B6708" s="3" t="s">
        <v>609</v>
      </c>
      <c r="C6708" s="1">
        <v>43300101</v>
      </c>
      <c r="D6708" t="s">
        <v>67</v>
      </c>
      <c r="H6708" t="str">
        <f t="shared" si="675"/>
        <v>12572900152</v>
      </c>
      <c r="I6708" t="str">
        <f t="shared" si="676"/>
        <v>06032681006</v>
      </c>
      <c r="K6708" t="str">
        <f>""</f>
        <v/>
      </c>
      <c r="M6708" t="s">
        <v>68</v>
      </c>
      <c r="N6708" t="str">
        <f t="shared" si="674"/>
        <v>FOR</v>
      </c>
      <c r="O6708" t="s">
        <v>69</v>
      </c>
      <c r="P6708" s="3" t="s">
        <v>75</v>
      </c>
      <c r="Q6708">
        <v>2015</v>
      </c>
      <c r="R6708" s="2">
        <v>42103</v>
      </c>
      <c r="S6708" s="2">
        <v>42165</v>
      </c>
      <c r="T6708" s="2">
        <v>42164</v>
      </c>
      <c r="U6708" s="2">
        <v>42224</v>
      </c>
      <c r="V6708" t="s">
        <v>71</v>
      </c>
      <c r="W6708" t="str">
        <f>"            25239111"</f>
        <v xml:space="preserve">            25239111</v>
      </c>
      <c r="X6708">
        <v>74.88</v>
      </c>
      <c r="Y6708">
        <v>0</v>
      </c>
      <c r="Z6708"/>
      <c r="AB6708"/>
      <c r="AC6708">
        <v>72</v>
      </c>
      <c r="AD6708">
        <v>206</v>
      </c>
      <c r="AE6708" s="1">
        <v>14832</v>
      </c>
      <c r="AF6708">
        <v>0</v>
      </c>
      <c r="AJ6708">
        <v>0</v>
      </c>
      <c r="AK6708">
        <v>0</v>
      </c>
      <c r="AL6708">
        <v>0</v>
      </c>
      <c r="AM6708">
        <v>0</v>
      </c>
      <c r="AN6708">
        <v>0</v>
      </c>
      <c r="AO6708">
        <v>0</v>
      </c>
      <c r="AP6708" s="2">
        <v>42746</v>
      </c>
      <c r="AQ6708" t="s">
        <v>72</v>
      </c>
      <c r="AR6708" t="s">
        <v>72</v>
      </c>
      <c r="AS6708">
        <v>598</v>
      </c>
      <c r="AT6708" s="4">
        <v>42430</v>
      </c>
      <c r="AU6708" t="s">
        <v>73</v>
      </c>
      <c r="AV6708">
        <v>598</v>
      </c>
      <c r="AW6708" s="4">
        <v>42430</v>
      </c>
      <c r="BD6708">
        <v>0</v>
      </c>
      <c r="BN6708" t="s">
        <v>74</v>
      </c>
    </row>
    <row r="6709" spans="1:66" hidden="1">
      <c r="A6709">
        <v>104093</v>
      </c>
      <c r="B6709" s="3" t="s">
        <v>609</v>
      </c>
      <c r="C6709" s="1">
        <v>43300101</v>
      </c>
      <c r="D6709" t="s">
        <v>67</v>
      </c>
      <c r="H6709" t="str">
        <f t="shared" si="675"/>
        <v>12572900152</v>
      </c>
      <c r="I6709" t="str">
        <f t="shared" si="676"/>
        <v>06032681006</v>
      </c>
      <c r="K6709" t="str">
        <f>""</f>
        <v/>
      </c>
      <c r="M6709" t="s">
        <v>68</v>
      </c>
      <c r="N6709" t="str">
        <f t="shared" si="674"/>
        <v>FOR</v>
      </c>
      <c r="O6709" t="s">
        <v>69</v>
      </c>
      <c r="P6709" s="3" t="s">
        <v>75</v>
      </c>
      <c r="Q6709">
        <v>2015</v>
      </c>
      <c r="R6709" s="2">
        <v>42104</v>
      </c>
      <c r="S6709" s="2">
        <v>42115</v>
      </c>
      <c r="T6709" s="2">
        <v>42110</v>
      </c>
      <c r="U6709" s="2">
        <v>42170</v>
      </c>
      <c r="V6709" t="s">
        <v>71</v>
      </c>
      <c r="W6709" t="str">
        <f>"            25239548"</f>
        <v xml:space="preserve">            25239548</v>
      </c>
      <c r="X6709" s="1">
        <v>7027.2</v>
      </c>
      <c r="Y6709">
        <v>0</v>
      </c>
      <c r="Z6709"/>
      <c r="AB6709"/>
      <c r="AC6709" s="1">
        <v>5760</v>
      </c>
      <c r="AD6709">
        <v>260</v>
      </c>
      <c r="AE6709" s="1">
        <v>1497600</v>
      </c>
      <c r="AF6709">
        <v>0</v>
      </c>
      <c r="AJ6709">
        <v>0</v>
      </c>
      <c r="AK6709">
        <v>0</v>
      </c>
      <c r="AL6709">
        <v>0</v>
      </c>
      <c r="AM6709">
        <v>0</v>
      </c>
      <c r="AN6709">
        <v>0</v>
      </c>
      <c r="AO6709">
        <v>0</v>
      </c>
      <c r="AP6709" s="2">
        <v>42746</v>
      </c>
      <c r="AQ6709" t="s">
        <v>72</v>
      </c>
      <c r="AR6709" t="s">
        <v>72</v>
      </c>
      <c r="AS6709">
        <v>598</v>
      </c>
      <c r="AT6709" s="4">
        <v>42430</v>
      </c>
      <c r="AU6709" t="s">
        <v>73</v>
      </c>
      <c r="AV6709">
        <v>598</v>
      </c>
      <c r="AW6709" s="4">
        <v>42430</v>
      </c>
      <c r="BD6709">
        <v>0</v>
      </c>
      <c r="BN6709" t="s">
        <v>74</v>
      </c>
    </row>
    <row r="6710" spans="1:66" hidden="1">
      <c r="A6710">
        <v>104093</v>
      </c>
      <c r="B6710" s="3" t="s">
        <v>609</v>
      </c>
      <c r="C6710" s="1">
        <v>43300101</v>
      </c>
      <c r="D6710" t="s">
        <v>67</v>
      </c>
      <c r="H6710" t="str">
        <f t="shared" si="675"/>
        <v>12572900152</v>
      </c>
      <c r="I6710" t="str">
        <f t="shared" si="676"/>
        <v>06032681006</v>
      </c>
      <c r="K6710" t="str">
        <f>""</f>
        <v/>
      </c>
      <c r="M6710" t="s">
        <v>68</v>
      </c>
      <c r="N6710" t="str">
        <f t="shared" si="674"/>
        <v>FOR</v>
      </c>
      <c r="O6710" t="s">
        <v>69</v>
      </c>
      <c r="P6710" s="3" t="s">
        <v>75</v>
      </c>
      <c r="Q6710">
        <v>2015</v>
      </c>
      <c r="R6710" s="2">
        <v>42104</v>
      </c>
      <c r="S6710" s="2">
        <v>42115</v>
      </c>
      <c r="T6710" s="2">
        <v>42110</v>
      </c>
      <c r="U6710" s="2">
        <v>42170</v>
      </c>
      <c r="V6710" t="s">
        <v>71</v>
      </c>
      <c r="W6710" t="str">
        <f>"            25239554"</f>
        <v xml:space="preserve">            25239554</v>
      </c>
      <c r="X6710" s="1">
        <v>2059.1999999999998</v>
      </c>
      <c r="Y6710">
        <v>0</v>
      </c>
      <c r="Z6710"/>
      <c r="AB6710"/>
      <c r="AC6710" s="1">
        <v>1980</v>
      </c>
      <c r="AD6710">
        <v>260</v>
      </c>
      <c r="AE6710" s="1">
        <v>514800</v>
      </c>
      <c r="AF6710">
        <v>0</v>
      </c>
      <c r="AJ6710">
        <v>0</v>
      </c>
      <c r="AK6710">
        <v>0</v>
      </c>
      <c r="AL6710">
        <v>0</v>
      </c>
      <c r="AM6710">
        <v>0</v>
      </c>
      <c r="AN6710">
        <v>0</v>
      </c>
      <c r="AO6710">
        <v>0</v>
      </c>
      <c r="AP6710" s="2">
        <v>42746</v>
      </c>
      <c r="AQ6710" t="s">
        <v>72</v>
      </c>
      <c r="AR6710" t="s">
        <v>72</v>
      </c>
      <c r="AS6710">
        <v>598</v>
      </c>
      <c r="AT6710" s="4">
        <v>42430</v>
      </c>
      <c r="AU6710" t="s">
        <v>73</v>
      </c>
      <c r="AV6710">
        <v>598</v>
      </c>
      <c r="AW6710" s="4">
        <v>42430</v>
      </c>
      <c r="BD6710">
        <v>0</v>
      </c>
      <c r="BN6710" t="s">
        <v>74</v>
      </c>
    </row>
    <row r="6711" spans="1:66" hidden="1">
      <c r="A6711">
        <v>104093</v>
      </c>
      <c r="B6711" s="3" t="s">
        <v>609</v>
      </c>
      <c r="C6711" s="1">
        <v>43300101</v>
      </c>
      <c r="D6711" t="s">
        <v>67</v>
      </c>
      <c r="H6711" t="str">
        <f t="shared" si="675"/>
        <v>12572900152</v>
      </c>
      <c r="I6711" t="str">
        <f t="shared" si="676"/>
        <v>06032681006</v>
      </c>
      <c r="K6711" t="str">
        <f>""</f>
        <v/>
      </c>
      <c r="M6711" t="s">
        <v>68</v>
      </c>
      <c r="N6711" t="str">
        <f t="shared" si="674"/>
        <v>FOR</v>
      </c>
      <c r="O6711" t="s">
        <v>69</v>
      </c>
      <c r="P6711" s="3" t="s">
        <v>75</v>
      </c>
      <c r="Q6711">
        <v>2015</v>
      </c>
      <c r="R6711" s="2">
        <v>42107</v>
      </c>
      <c r="S6711" s="2">
        <v>42116</v>
      </c>
      <c r="T6711" s="2">
        <v>42114</v>
      </c>
      <c r="U6711" s="2">
        <v>42174</v>
      </c>
      <c r="V6711" t="s">
        <v>71</v>
      </c>
      <c r="W6711" t="str">
        <f>"            25239743"</f>
        <v xml:space="preserve">            25239743</v>
      </c>
      <c r="X6711" s="1">
        <v>5967.02</v>
      </c>
      <c r="Y6711">
        <v>0</v>
      </c>
      <c r="Z6711"/>
      <c r="AB6711"/>
      <c r="AC6711" s="1">
        <v>4891</v>
      </c>
      <c r="AD6711">
        <v>242</v>
      </c>
      <c r="AE6711" s="1">
        <v>1183622</v>
      </c>
      <c r="AF6711">
        <v>0</v>
      </c>
      <c r="AJ6711">
        <v>0</v>
      </c>
      <c r="AK6711">
        <v>0</v>
      </c>
      <c r="AL6711">
        <v>0</v>
      </c>
      <c r="AM6711">
        <v>0</v>
      </c>
      <c r="AN6711">
        <v>0</v>
      </c>
      <c r="AO6711">
        <v>0</v>
      </c>
      <c r="AP6711" s="2">
        <v>42746</v>
      </c>
      <c r="AQ6711" t="s">
        <v>72</v>
      </c>
      <c r="AR6711" t="s">
        <v>72</v>
      </c>
      <c r="AS6711">
        <v>455</v>
      </c>
      <c r="AT6711" s="4">
        <v>42416</v>
      </c>
      <c r="AU6711" t="s">
        <v>73</v>
      </c>
      <c r="AV6711">
        <v>455</v>
      </c>
      <c r="AW6711" s="4">
        <v>42416</v>
      </c>
      <c r="BD6711">
        <v>0</v>
      </c>
      <c r="BN6711" t="s">
        <v>74</v>
      </c>
    </row>
    <row r="6712" spans="1:66" hidden="1">
      <c r="A6712">
        <v>104093</v>
      </c>
      <c r="B6712" s="3" t="s">
        <v>609</v>
      </c>
      <c r="C6712" s="1">
        <v>43300101</v>
      </c>
      <c r="D6712" t="s">
        <v>67</v>
      </c>
      <c r="H6712" t="str">
        <f t="shared" si="675"/>
        <v>12572900152</v>
      </c>
      <c r="I6712" t="str">
        <f t="shared" si="676"/>
        <v>06032681006</v>
      </c>
      <c r="K6712" t="str">
        <f>""</f>
        <v/>
      </c>
      <c r="M6712" t="s">
        <v>68</v>
      </c>
      <c r="N6712" t="str">
        <f t="shared" si="674"/>
        <v>FOR</v>
      </c>
      <c r="O6712" t="s">
        <v>69</v>
      </c>
      <c r="P6712" s="3" t="s">
        <v>75</v>
      </c>
      <c r="Q6712">
        <v>2015</v>
      </c>
      <c r="R6712" s="2">
        <v>42110</v>
      </c>
      <c r="S6712" s="2">
        <v>42115</v>
      </c>
      <c r="T6712" s="2">
        <v>42114</v>
      </c>
      <c r="U6712" s="2">
        <v>42174</v>
      </c>
      <c r="V6712" t="s">
        <v>71</v>
      </c>
      <c r="W6712" t="str">
        <f>"            25240511"</f>
        <v xml:space="preserve">            25240511</v>
      </c>
      <c r="X6712" s="1">
        <v>1617.72</v>
      </c>
      <c r="Y6712">
        <v>0</v>
      </c>
      <c r="Z6712"/>
      <c r="AB6712"/>
      <c r="AC6712" s="1">
        <v>1326</v>
      </c>
      <c r="AD6712">
        <v>256</v>
      </c>
      <c r="AE6712" s="1">
        <v>339456</v>
      </c>
      <c r="AF6712">
        <v>0</v>
      </c>
      <c r="AJ6712">
        <v>0</v>
      </c>
      <c r="AK6712">
        <v>0</v>
      </c>
      <c r="AL6712">
        <v>0</v>
      </c>
      <c r="AM6712">
        <v>0</v>
      </c>
      <c r="AN6712">
        <v>0</v>
      </c>
      <c r="AO6712">
        <v>0</v>
      </c>
      <c r="AP6712" s="2">
        <v>42746</v>
      </c>
      <c r="AQ6712" t="s">
        <v>72</v>
      </c>
      <c r="AR6712" t="s">
        <v>72</v>
      </c>
      <c r="AS6712">
        <v>598</v>
      </c>
      <c r="AT6712" s="4">
        <v>42430</v>
      </c>
      <c r="AU6712" t="s">
        <v>73</v>
      </c>
      <c r="AV6712">
        <v>598</v>
      </c>
      <c r="AW6712" s="4">
        <v>42430</v>
      </c>
      <c r="BD6712">
        <v>0</v>
      </c>
      <c r="BN6712" t="s">
        <v>74</v>
      </c>
    </row>
    <row r="6713" spans="1:66" hidden="1">
      <c r="A6713">
        <v>104093</v>
      </c>
      <c r="B6713" s="3" t="s">
        <v>609</v>
      </c>
      <c r="C6713" s="1">
        <v>43300101</v>
      </c>
      <c r="D6713" t="s">
        <v>67</v>
      </c>
      <c r="H6713" t="str">
        <f t="shared" si="675"/>
        <v>12572900152</v>
      </c>
      <c r="I6713" t="str">
        <f t="shared" si="676"/>
        <v>06032681006</v>
      </c>
      <c r="K6713" t="str">
        <f>""</f>
        <v/>
      </c>
      <c r="M6713" t="s">
        <v>68</v>
      </c>
      <c r="N6713" t="str">
        <f t="shared" si="674"/>
        <v>FOR</v>
      </c>
      <c r="O6713" t="s">
        <v>69</v>
      </c>
      <c r="P6713" s="3" t="s">
        <v>75</v>
      </c>
      <c r="Q6713">
        <v>2015</v>
      </c>
      <c r="R6713" s="2">
        <v>42114</v>
      </c>
      <c r="S6713" s="2">
        <v>42122</v>
      </c>
      <c r="T6713" s="2">
        <v>42121</v>
      </c>
      <c r="U6713" s="2">
        <v>42181</v>
      </c>
      <c r="V6713" t="s">
        <v>71</v>
      </c>
      <c r="W6713" t="str">
        <f>"            25241033"</f>
        <v xml:space="preserve">            25241033</v>
      </c>
      <c r="X6713">
        <v>707.62</v>
      </c>
      <c r="Y6713">
        <v>0</v>
      </c>
      <c r="Z6713"/>
      <c r="AB6713"/>
      <c r="AC6713">
        <v>680.4</v>
      </c>
      <c r="AD6713">
        <v>249</v>
      </c>
      <c r="AE6713" s="1">
        <v>169419.6</v>
      </c>
      <c r="AF6713">
        <v>0</v>
      </c>
      <c r="AJ6713">
        <v>0</v>
      </c>
      <c r="AK6713">
        <v>0</v>
      </c>
      <c r="AL6713">
        <v>0</v>
      </c>
      <c r="AM6713">
        <v>0</v>
      </c>
      <c r="AN6713">
        <v>0</v>
      </c>
      <c r="AO6713">
        <v>0</v>
      </c>
      <c r="AP6713" s="2">
        <v>42746</v>
      </c>
      <c r="AQ6713" t="s">
        <v>72</v>
      </c>
      <c r="AR6713" t="s">
        <v>72</v>
      </c>
      <c r="AS6713">
        <v>598</v>
      </c>
      <c r="AT6713" s="4">
        <v>42430</v>
      </c>
      <c r="AU6713" t="s">
        <v>73</v>
      </c>
      <c r="AV6713">
        <v>598</v>
      </c>
      <c r="AW6713" s="4">
        <v>42430</v>
      </c>
      <c r="BD6713">
        <v>0</v>
      </c>
      <c r="BN6713" t="s">
        <v>74</v>
      </c>
    </row>
    <row r="6714" spans="1:66" hidden="1">
      <c r="A6714">
        <v>104093</v>
      </c>
      <c r="B6714" s="3" t="s">
        <v>609</v>
      </c>
      <c r="C6714" s="1">
        <v>43300101</v>
      </c>
      <c r="D6714" t="s">
        <v>67</v>
      </c>
      <c r="H6714" t="str">
        <f t="shared" si="675"/>
        <v>12572900152</v>
      </c>
      <c r="I6714" t="str">
        <f t="shared" si="676"/>
        <v>06032681006</v>
      </c>
      <c r="K6714" t="str">
        <f>""</f>
        <v/>
      </c>
      <c r="M6714" t="s">
        <v>68</v>
      </c>
      <c r="N6714" t="str">
        <f t="shared" si="674"/>
        <v>FOR</v>
      </c>
      <c r="O6714" t="s">
        <v>69</v>
      </c>
      <c r="P6714" s="3" t="s">
        <v>75</v>
      </c>
      <c r="Q6714">
        <v>2015</v>
      </c>
      <c r="R6714" s="2">
        <v>42114</v>
      </c>
      <c r="S6714" s="2">
        <v>42122</v>
      </c>
      <c r="T6714" s="2">
        <v>42121</v>
      </c>
      <c r="U6714" s="2">
        <v>42181</v>
      </c>
      <c r="V6714" t="s">
        <v>71</v>
      </c>
      <c r="W6714" t="str">
        <f>"            25241035"</f>
        <v xml:space="preserve">            25241035</v>
      </c>
      <c r="X6714">
        <v>252.72</v>
      </c>
      <c r="Y6714">
        <v>0</v>
      </c>
      <c r="Z6714"/>
      <c r="AB6714"/>
      <c r="AC6714">
        <v>243</v>
      </c>
      <c r="AD6714">
        <v>249</v>
      </c>
      <c r="AE6714" s="1">
        <v>60507</v>
      </c>
      <c r="AF6714">
        <v>0</v>
      </c>
      <c r="AJ6714">
        <v>0</v>
      </c>
      <c r="AK6714">
        <v>0</v>
      </c>
      <c r="AL6714">
        <v>0</v>
      </c>
      <c r="AM6714">
        <v>0</v>
      </c>
      <c r="AN6714">
        <v>0</v>
      </c>
      <c r="AO6714">
        <v>0</v>
      </c>
      <c r="AP6714" s="2">
        <v>42746</v>
      </c>
      <c r="AQ6714" t="s">
        <v>72</v>
      </c>
      <c r="AR6714" t="s">
        <v>72</v>
      </c>
      <c r="AS6714">
        <v>598</v>
      </c>
      <c r="AT6714" s="4">
        <v>42430</v>
      </c>
      <c r="AU6714" t="s">
        <v>73</v>
      </c>
      <c r="AV6714">
        <v>598</v>
      </c>
      <c r="AW6714" s="4">
        <v>42430</v>
      </c>
      <c r="BD6714">
        <v>0</v>
      </c>
      <c r="BN6714" t="s">
        <v>74</v>
      </c>
    </row>
    <row r="6715" spans="1:66" hidden="1">
      <c r="A6715">
        <v>104093</v>
      </c>
      <c r="B6715" s="3" t="s">
        <v>609</v>
      </c>
      <c r="C6715" s="1">
        <v>43300101</v>
      </c>
      <c r="D6715" t="s">
        <v>67</v>
      </c>
      <c r="H6715" t="str">
        <f t="shared" si="675"/>
        <v>12572900152</v>
      </c>
      <c r="I6715" t="str">
        <f t="shared" si="676"/>
        <v>06032681006</v>
      </c>
      <c r="K6715" t="str">
        <f>""</f>
        <v/>
      </c>
      <c r="M6715" t="s">
        <v>68</v>
      </c>
      <c r="N6715" t="str">
        <f t="shared" si="674"/>
        <v>FOR</v>
      </c>
      <c r="O6715" t="s">
        <v>69</v>
      </c>
      <c r="P6715" s="3" t="s">
        <v>75</v>
      </c>
      <c r="Q6715">
        <v>2015</v>
      </c>
      <c r="R6715" s="2">
        <v>42114</v>
      </c>
      <c r="S6715" s="2">
        <v>42142</v>
      </c>
      <c r="T6715" s="2">
        <v>42137</v>
      </c>
      <c r="U6715" s="2">
        <v>42197</v>
      </c>
      <c r="V6715" t="s">
        <v>71</v>
      </c>
      <c r="W6715" t="str">
        <f>"            25241036"</f>
        <v xml:space="preserve">            25241036</v>
      </c>
      <c r="X6715">
        <v>748.8</v>
      </c>
      <c r="Y6715">
        <v>0</v>
      </c>
      <c r="Z6715"/>
      <c r="AB6715"/>
      <c r="AC6715">
        <v>720</v>
      </c>
      <c r="AD6715">
        <v>233</v>
      </c>
      <c r="AE6715" s="1">
        <v>167760</v>
      </c>
      <c r="AF6715">
        <v>0</v>
      </c>
      <c r="AJ6715">
        <v>0</v>
      </c>
      <c r="AK6715">
        <v>0</v>
      </c>
      <c r="AL6715">
        <v>0</v>
      </c>
      <c r="AM6715">
        <v>0</v>
      </c>
      <c r="AN6715">
        <v>0</v>
      </c>
      <c r="AO6715">
        <v>0</v>
      </c>
      <c r="AP6715" s="2">
        <v>42746</v>
      </c>
      <c r="AQ6715" t="s">
        <v>72</v>
      </c>
      <c r="AR6715" t="s">
        <v>72</v>
      </c>
      <c r="AS6715">
        <v>598</v>
      </c>
      <c r="AT6715" s="4">
        <v>42430</v>
      </c>
      <c r="AU6715" t="s">
        <v>73</v>
      </c>
      <c r="AV6715">
        <v>598</v>
      </c>
      <c r="AW6715" s="4">
        <v>42430</v>
      </c>
      <c r="BD6715">
        <v>0</v>
      </c>
      <c r="BN6715" t="s">
        <v>74</v>
      </c>
    </row>
    <row r="6716" spans="1:66" hidden="1">
      <c r="A6716">
        <v>104093</v>
      </c>
      <c r="B6716" s="3" t="s">
        <v>609</v>
      </c>
      <c r="C6716" s="1">
        <v>43300101</v>
      </c>
      <c r="D6716" t="s">
        <v>67</v>
      </c>
      <c r="H6716" t="str">
        <f t="shared" si="675"/>
        <v>12572900152</v>
      </c>
      <c r="I6716" t="str">
        <f t="shared" si="676"/>
        <v>06032681006</v>
      </c>
      <c r="K6716" t="str">
        <f>""</f>
        <v/>
      </c>
      <c r="M6716" t="s">
        <v>68</v>
      </c>
      <c r="N6716" t="str">
        <f t="shared" si="674"/>
        <v>FOR</v>
      </c>
      <c r="O6716" t="s">
        <v>69</v>
      </c>
      <c r="P6716" s="3" t="s">
        <v>75</v>
      </c>
      <c r="Q6716">
        <v>2015</v>
      </c>
      <c r="R6716" s="2">
        <v>42114</v>
      </c>
      <c r="S6716" s="2">
        <v>42165</v>
      </c>
      <c r="T6716" s="2">
        <v>42164</v>
      </c>
      <c r="U6716" s="2">
        <v>42224</v>
      </c>
      <c r="V6716" t="s">
        <v>71</v>
      </c>
      <c r="W6716" t="str">
        <f>"            25241038"</f>
        <v xml:space="preserve">            25241038</v>
      </c>
      <c r="X6716">
        <v>74.88</v>
      </c>
      <c r="Y6716">
        <v>0</v>
      </c>
      <c r="Z6716"/>
      <c r="AB6716"/>
      <c r="AC6716">
        <v>72</v>
      </c>
      <c r="AD6716">
        <v>206</v>
      </c>
      <c r="AE6716" s="1">
        <v>14832</v>
      </c>
      <c r="AF6716">
        <v>0</v>
      </c>
      <c r="AJ6716">
        <v>0</v>
      </c>
      <c r="AK6716">
        <v>0</v>
      </c>
      <c r="AL6716">
        <v>0</v>
      </c>
      <c r="AM6716">
        <v>0</v>
      </c>
      <c r="AN6716">
        <v>0</v>
      </c>
      <c r="AO6716">
        <v>0</v>
      </c>
      <c r="AP6716" s="2">
        <v>42746</v>
      </c>
      <c r="AQ6716" t="s">
        <v>72</v>
      </c>
      <c r="AR6716" t="s">
        <v>72</v>
      </c>
      <c r="AS6716">
        <v>598</v>
      </c>
      <c r="AT6716" s="4">
        <v>42430</v>
      </c>
      <c r="AU6716" t="s">
        <v>73</v>
      </c>
      <c r="AV6716">
        <v>598</v>
      </c>
      <c r="AW6716" s="4">
        <v>42430</v>
      </c>
      <c r="BD6716">
        <v>0</v>
      </c>
      <c r="BN6716" t="s">
        <v>74</v>
      </c>
    </row>
    <row r="6717" spans="1:66" hidden="1">
      <c r="A6717">
        <v>104093</v>
      </c>
      <c r="B6717" s="3" t="s">
        <v>609</v>
      </c>
      <c r="C6717" s="1">
        <v>43300101</v>
      </c>
      <c r="D6717" t="s">
        <v>67</v>
      </c>
      <c r="H6717" t="str">
        <f t="shared" si="675"/>
        <v>12572900152</v>
      </c>
      <c r="I6717" t="str">
        <f t="shared" si="676"/>
        <v>06032681006</v>
      </c>
      <c r="K6717" t="str">
        <f>""</f>
        <v/>
      </c>
      <c r="M6717" t="s">
        <v>68</v>
      </c>
      <c r="N6717" t="str">
        <f t="shared" si="674"/>
        <v>FOR</v>
      </c>
      <c r="O6717" t="s">
        <v>69</v>
      </c>
      <c r="P6717" s="3" t="s">
        <v>75</v>
      </c>
      <c r="Q6717">
        <v>2015</v>
      </c>
      <c r="R6717" s="2">
        <v>42114</v>
      </c>
      <c r="S6717" s="2">
        <v>42165</v>
      </c>
      <c r="T6717" s="2">
        <v>42164</v>
      </c>
      <c r="U6717" s="2">
        <v>42224</v>
      </c>
      <c r="V6717" t="s">
        <v>71</v>
      </c>
      <c r="W6717" t="str">
        <f>"            25241040"</f>
        <v xml:space="preserve">            25241040</v>
      </c>
      <c r="X6717">
        <v>74.88</v>
      </c>
      <c r="Y6717">
        <v>0</v>
      </c>
      <c r="Z6717"/>
      <c r="AB6717"/>
      <c r="AC6717">
        <v>72</v>
      </c>
      <c r="AD6717">
        <v>206</v>
      </c>
      <c r="AE6717" s="1">
        <v>14832</v>
      </c>
      <c r="AF6717">
        <v>0</v>
      </c>
      <c r="AJ6717">
        <v>0</v>
      </c>
      <c r="AK6717">
        <v>0</v>
      </c>
      <c r="AL6717">
        <v>0</v>
      </c>
      <c r="AM6717">
        <v>0</v>
      </c>
      <c r="AN6717">
        <v>0</v>
      </c>
      <c r="AO6717">
        <v>0</v>
      </c>
      <c r="AP6717" s="2">
        <v>42746</v>
      </c>
      <c r="AQ6717" t="s">
        <v>72</v>
      </c>
      <c r="AR6717" t="s">
        <v>72</v>
      </c>
      <c r="AS6717">
        <v>598</v>
      </c>
      <c r="AT6717" s="4">
        <v>42430</v>
      </c>
      <c r="AU6717" t="s">
        <v>73</v>
      </c>
      <c r="AV6717">
        <v>598</v>
      </c>
      <c r="AW6717" s="4">
        <v>42430</v>
      </c>
      <c r="BD6717">
        <v>0</v>
      </c>
      <c r="BN6717" t="s">
        <v>74</v>
      </c>
    </row>
    <row r="6718" spans="1:66" hidden="1">
      <c r="A6718">
        <v>104093</v>
      </c>
      <c r="B6718" s="3" t="s">
        <v>609</v>
      </c>
      <c r="C6718" s="1">
        <v>43300101</v>
      </c>
      <c r="D6718" t="s">
        <v>67</v>
      </c>
      <c r="H6718" t="str">
        <f t="shared" si="675"/>
        <v>12572900152</v>
      </c>
      <c r="I6718" t="str">
        <f t="shared" si="676"/>
        <v>06032681006</v>
      </c>
      <c r="K6718" t="str">
        <f>""</f>
        <v/>
      </c>
      <c r="M6718" t="s">
        <v>68</v>
      </c>
      <c r="N6718" t="str">
        <f t="shared" si="674"/>
        <v>FOR</v>
      </c>
      <c r="O6718" t="s">
        <v>69</v>
      </c>
      <c r="P6718" s="3" t="s">
        <v>75</v>
      </c>
      <c r="Q6718">
        <v>2015</v>
      </c>
      <c r="R6718" s="2">
        <v>42114</v>
      </c>
      <c r="S6718" s="2">
        <v>42122</v>
      </c>
      <c r="T6718" s="2">
        <v>42121</v>
      </c>
      <c r="U6718" s="2">
        <v>42181</v>
      </c>
      <c r="V6718" t="s">
        <v>71</v>
      </c>
      <c r="W6718" t="str">
        <f>"            25241041"</f>
        <v xml:space="preserve">            25241041</v>
      </c>
      <c r="X6718">
        <v>74.88</v>
      </c>
      <c r="Y6718">
        <v>0</v>
      </c>
      <c r="Z6718"/>
      <c r="AB6718"/>
      <c r="AC6718">
        <v>72</v>
      </c>
      <c r="AD6718">
        <v>249</v>
      </c>
      <c r="AE6718" s="1">
        <v>17928</v>
      </c>
      <c r="AF6718">
        <v>0</v>
      </c>
      <c r="AJ6718">
        <v>0</v>
      </c>
      <c r="AK6718">
        <v>0</v>
      </c>
      <c r="AL6718">
        <v>0</v>
      </c>
      <c r="AM6718">
        <v>0</v>
      </c>
      <c r="AN6718">
        <v>0</v>
      </c>
      <c r="AO6718">
        <v>0</v>
      </c>
      <c r="AP6718" s="2">
        <v>42746</v>
      </c>
      <c r="AQ6718" t="s">
        <v>72</v>
      </c>
      <c r="AR6718" t="s">
        <v>72</v>
      </c>
      <c r="AS6718">
        <v>598</v>
      </c>
      <c r="AT6718" s="4">
        <v>42430</v>
      </c>
      <c r="AU6718" t="s">
        <v>73</v>
      </c>
      <c r="AV6718">
        <v>598</v>
      </c>
      <c r="AW6718" s="4">
        <v>42430</v>
      </c>
      <c r="BD6718">
        <v>0</v>
      </c>
      <c r="BN6718" t="s">
        <v>74</v>
      </c>
    </row>
    <row r="6719" spans="1:66" hidden="1">
      <c r="A6719">
        <v>104093</v>
      </c>
      <c r="B6719" s="3" t="s">
        <v>609</v>
      </c>
      <c r="C6719" s="1">
        <v>43300101</v>
      </c>
      <c r="D6719" t="s">
        <v>67</v>
      </c>
      <c r="H6719" t="str">
        <f t="shared" si="675"/>
        <v>12572900152</v>
      </c>
      <c r="I6719" t="str">
        <f t="shared" si="676"/>
        <v>06032681006</v>
      </c>
      <c r="K6719" t="str">
        <f>""</f>
        <v/>
      </c>
      <c r="M6719" t="s">
        <v>68</v>
      </c>
      <c r="N6719" t="str">
        <f t="shared" si="674"/>
        <v>FOR</v>
      </c>
      <c r="O6719" t="s">
        <v>69</v>
      </c>
      <c r="P6719" s="3" t="s">
        <v>75</v>
      </c>
      <c r="Q6719">
        <v>2015</v>
      </c>
      <c r="R6719" s="2">
        <v>42114</v>
      </c>
      <c r="S6719" s="2">
        <v>42122</v>
      </c>
      <c r="T6719" s="2">
        <v>42121</v>
      </c>
      <c r="U6719" s="2">
        <v>42181</v>
      </c>
      <c r="V6719" t="s">
        <v>71</v>
      </c>
      <c r="W6719" t="str">
        <f>"            25241042"</f>
        <v xml:space="preserve">            25241042</v>
      </c>
      <c r="X6719">
        <v>74.88</v>
      </c>
      <c r="Y6719">
        <v>0</v>
      </c>
      <c r="Z6719"/>
      <c r="AB6719"/>
      <c r="AC6719">
        <v>72</v>
      </c>
      <c r="AD6719">
        <v>249</v>
      </c>
      <c r="AE6719" s="1">
        <v>17928</v>
      </c>
      <c r="AF6719">
        <v>0</v>
      </c>
      <c r="AJ6719">
        <v>0</v>
      </c>
      <c r="AK6719">
        <v>0</v>
      </c>
      <c r="AL6719">
        <v>0</v>
      </c>
      <c r="AM6719">
        <v>0</v>
      </c>
      <c r="AN6719">
        <v>0</v>
      </c>
      <c r="AO6719">
        <v>0</v>
      </c>
      <c r="AP6719" s="2">
        <v>42746</v>
      </c>
      <c r="AQ6719" t="s">
        <v>72</v>
      </c>
      <c r="AR6719" t="s">
        <v>72</v>
      </c>
      <c r="AS6719">
        <v>598</v>
      </c>
      <c r="AT6719" s="4">
        <v>42430</v>
      </c>
      <c r="AU6719" t="s">
        <v>73</v>
      </c>
      <c r="AV6719">
        <v>598</v>
      </c>
      <c r="AW6719" s="4">
        <v>42430</v>
      </c>
      <c r="BD6719">
        <v>0</v>
      </c>
      <c r="BN6719" t="s">
        <v>74</v>
      </c>
    </row>
    <row r="6720" spans="1:66" hidden="1">
      <c r="A6720">
        <v>104093</v>
      </c>
      <c r="B6720" s="3" t="s">
        <v>609</v>
      </c>
      <c r="C6720" s="1">
        <v>43300101</v>
      </c>
      <c r="D6720" t="s">
        <v>67</v>
      </c>
      <c r="H6720" t="str">
        <f t="shared" si="675"/>
        <v>12572900152</v>
      </c>
      <c r="I6720" t="str">
        <f t="shared" si="676"/>
        <v>06032681006</v>
      </c>
      <c r="K6720" t="str">
        <f>""</f>
        <v/>
      </c>
      <c r="M6720" t="s">
        <v>68</v>
      </c>
      <c r="N6720" t="str">
        <f t="shared" ref="N6720:N6783" si="677">"FOR"</f>
        <v>FOR</v>
      </c>
      <c r="O6720" t="s">
        <v>69</v>
      </c>
      <c r="P6720" s="3" t="s">
        <v>75</v>
      </c>
      <c r="Q6720">
        <v>2015</v>
      </c>
      <c r="R6720" s="2">
        <v>42116</v>
      </c>
      <c r="S6720" s="2">
        <v>42122</v>
      </c>
      <c r="T6720" s="2">
        <v>42121</v>
      </c>
      <c r="U6720" s="2">
        <v>42181</v>
      </c>
      <c r="V6720" t="s">
        <v>71</v>
      </c>
      <c r="W6720" t="str">
        <f>"            25241602"</f>
        <v xml:space="preserve">            25241602</v>
      </c>
      <c r="X6720">
        <v>926.64</v>
      </c>
      <c r="Y6720">
        <v>0</v>
      </c>
      <c r="Z6720"/>
      <c r="AB6720"/>
      <c r="AC6720">
        <v>891</v>
      </c>
      <c r="AD6720">
        <v>249</v>
      </c>
      <c r="AE6720" s="1">
        <v>221859</v>
      </c>
      <c r="AF6720">
        <v>0</v>
      </c>
      <c r="AJ6720">
        <v>0</v>
      </c>
      <c r="AK6720">
        <v>0</v>
      </c>
      <c r="AL6720">
        <v>0</v>
      </c>
      <c r="AM6720">
        <v>0</v>
      </c>
      <c r="AN6720">
        <v>0</v>
      </c>
      <c r="AO6720">
        <v>0</v>
      </c>
      <c r="AP6720" s="2">
        <v>42746</v>
      </c>
      <c r="AQ6720" t="s">
        <v>72</v>
      </c>
      <c r="AR6720" t="s">
        <v>72</v>
      </c>
      <c r="AS6720">
        <v>598</v>
      </c>
      <c r="AT6720" s="4">
        <v>42430</v>
      </c>
      <c r="AU6720" t="s">
        <v>73</v>
      </c>
      <c r="AV6720">
        <v>598</v>
      </c>
      <c r="AW6720" s="4">
        <v>42430</v>
      </c>
      <c r="BD6720">
        <v>0</v>
      </c>
      <c r="BN6720" t="s">
        <v>74</v>
      </c>
    </row>
    <row r="6721" spans="1:66" hidden="1">
      <c r="A6721">
        <v>104093</v>
      </c>
      <c r="B6721" s="3" t="s">
        <v>609</v>
      </c>
      <c r="C6721" s="1">
        <v>43300101</v>
      </c>
      <c r="D6721" t="s">
        <v>67</v>
      </c>
      <c r="H6721" t="str">
        <f t="shared" si="675"/>
        <v>12572900152</v>
      </c>
      <c r="I6721" t="str">
        <f t="shared" si="676"/>
        <v>06032681006</v>
      </c>
      <c r="K6721" t="str">
        <f>""</f>
        <v/>
      </c>
      <c r="M6721" t="s">
        <v>68</v>
      </c>
      <c r="N6721" t="str">
        <f t="shared" si="677"/>
        <v>FOR</v>
      </c>
      <c r="O6721" t="s">
        <v>69</v>
      </c>
      <c r="P6721" s="3" t="s">
        <v>75</v>
      </c>
      <c r="Q6721">
        <v>2015</v>
      </c>
      <c r="R6721" s="2">
        <v>42116</v>
      </c>
      <c r="S6721" s="2">
        <v>42122</v>
      </c>
      <c r="T6721" s="2">
        <v>42121</v>
      </c>
      <c r="U6721" s="2">
        <v>42181</v>
      </c>
      <c r="V6721" t="s">
        <v>71</v>
      </c>
      <c r="W6721" t="str">
        <f>"            25241604"</f>
        <v xml:space="preserve">            25241604</v>
      </c>
      <c r="X6721">
        <v>252.72</v>
      </c>
      <c r="Y6721">
        <v>0</v>
      </c>
      <c r="Z6721"/>
      <c r="AB6721"/>
      <c r="AC6721">
        <v>243</v>
      </c>
      <c r="AD6721">
        <v>249</v>
      </c>
      <c r="AE6721" s="1">
        <v>60507</v>
      </c>
      <c r="AF6721">
        <v>0</v>
      </c>
      <c r="AJ6721">
        <v>0</v>
      </c>
      <c r="AK6721">
        <v>0</v>
      </c>
      <c r="AL6721">
        <v>0</v>
      </c>
      <c r="AM6721">
        <v>0</v>
      </c>
      <c r="AN6721">
        <v>0</v>
      </c>
      <c r="AO6721">
        <v>0</v>
      </c>
      <c r="AP6721" s="2">
        <v>42746</v>
      </c>
      <c r="AQ6721" t="s">
        <v>72</v>
      </c>
      <c r="AR6721" t="s">
        <v>72</v>
      </c>
      <c r="AS6721">
        <v>598</v>
      </c>
      <c r="AT6721" s="4">
        <v>42430</v>
      </c>
      <c r="AU6721" t="s">
        <v>73</v>
      </c>
      <c r="AV6721">
        <v>598</v>
      </c>
      <c r="AW6721" s="4">
        <v>42430</v>
      </c>
      <c r="BD6721">
        <v>0</v>
      </c>
      <c r="BN6721" t="s">
        <v>74</v>
      </c>
    </row>
    <row r="6722" spans="1:66" hidden="1">
      <c r="A6722">
        <v>104093</v>
      </c>
      <c r="B6722" s="3" t="s">
        <v>609</v>
      </c>
      <c r="C6722" s="1">
        <v>43300101</v>
      </c>
      <c r="D6722" t="s">
        <v>67</v>
      </c>
      <c r="H6722" t="str">
        <f t="shared" si="675"/>
        <v>12572900152</v>
      </c>
      <c r="I6722" t="str">
        <f t="shared" si="676"/>
        <v>06032681006</v>
      </c>
      <c r="K6722" t="str">
        <f>""</f>
        <v/>
      </c>
      <c r="M6722" t="s">
        <v>68</v>
      </c>
      <c r="N6722" t="str">
        <f t="shared" si="677"/>
        <v>FOR</v>
      </c>
      <c r="O6722" t="s">
        <v>69</v>
      </c>
      <c r="P6722" s="3" t="s">
        <v>75</v>
      </c>
      <c r="Q6722">
        <v>2015</v>
      </c>
      <c r="R6722" s="2">
        <v>42116</v>
      </c>
      <c r="S6722" s="2">
        <v>42122</v>
      </c>
      <c r="T6722" s="2">
        <v>42121</v>
      </c>
      <c r="U6722" s="2">
        <v>42181</v>
      </c>
      <c r="V6722" t="s">
        <v>71</v>
      </c>
      <c r="W6722" t="str">
        <f>"            25241605"</f>
        <v xml:space="preserve">            25241605</v>
      </c>
      <c r="X6722">
        <v>74.88</v>
      </c>
      <c r="Y6722">
        <v>0</v>
      </c>
      <c r="Z6722"/>
      <c r="AB6722"/>
      <c r="AC6722">
        <v>72</v>
      </c>
      <c r="AD6722">
        <v>249</v>
      </c>
      <c r="AE6722" s="1">
        <v>17928</v>
      </c>
      <c r="AF6722">
        <v>0</v>
      </c>
      <c r="AJ6722">
        <v>0</v>
      </c>
      <c r="AK6722">
        <v>0</v>
      </c>
      <c r="AL6722">
        <v>0</v>
      </c>
      <c r="AM6722">
        <v>0</v>
      </c>
      <c r="AN6722">
        <v>0</v>
      </c>
      <c r="AO6722">
        <v>0</v>
      </c>
      <c r="AP6722" s="2">
        <v>42746</v>
      </c>
      <c r="AQ6722" t="s">
        <v>72</v>
      </c>
      <c r="AR6722" t="s">
        <v>72</v>
      </c>
      <c r="AS6722">
        <v>598</v>
      </c>
      <c r="AT6722" s="4">
        <v>42430</v>
      </c>
      <c r="AU6722" t="s">
        <v>73</v>
      </c>
      <c r="AV6722">
        <v>598</v>
      </c>
      <c r="AW6722" s="4">
        <v>42430</v>
      </c>
      <c r="BD6722">
        <v>0</v>
      </c>
      <c r="BN6722" t="s">
        <v>74</v>
      </c>
    </row>
    <row r="6723" spans="1:66" hidden="1">
      <c r="A6723">
        <v>104093</v>
      </c>
      <c r="B6723" s="3" t="s">
        <v>609</v>
      </c>
      <c r="C6723" s="1">
        <v>43300101</v>
      </c>
      <c r="D6723" t="s">
        <v>67</v>
      </c>
      <c r="H6723" t="str">
        <f t="shared" ref="H6723:H6786" si="678">"12572900152"</f>
        <v>12572900152</v>
      </c>
      <c r="I6723" t="str">
        <f t="shared" ref="I6723:I6786" si="679">"06032681006"</f>
        <v>06032681006</v>
      </c>
      <c r="K6723" t="str">
        <f>""</f>
        <v/>
      </c>
      <c r="M6723" t="s">
        <v>68</v>
      </c>
      <c r="N6723" t="str">
        <f t="shared" si="677"/>
        <v>FOR</v>
      </c>
      <c r="O6723" t="s">
        <v>69</v>
      </c>
      <c r="P6723" s="3" t="s">
        <v>75</v>
      </c>
      <c r="Q6723">
        <v>2015</v>
      </c>
      <c r="R6723" s="2">
        <v>42117</v>
      </c>
      <c r="S6723" s="2">
        <v>42121</v>
      </c>
      <c r="T6723" s="2">
        <v>42120</v>
      </c>
      <c r="U6723" s="2">
        <v>42180</v>
      </c>
      <c r="V6723" t="s">
        <v>71</v>
      </c>
      <c r="W6723" t="str">
        <f>"            25241773"</f>
        <v xml:space="preserve">            25241773</v>
      </c>
      <c r="X6723">
        <v>74.88</v>
      </c>
      <c r="Y6723">
        <v>0</v>
      </c>
      <c r="Z6723"/>
      <c r="AB6723"/>
      <c r="AC6723">
        <v>72</v>
      </c>
      <c r="AD6723">
        <v>250</v>
      </c>
      <c r="AE6723" s="1">
        <v>18000</v>
      </c>
      <c r="AF6723">
        <v>0</v>
      </c>
      <c r="AJ6723">
        <v>0</v>
      </c>
      <c r="AK6723">
        <v>0</v>
      </c>
      <c r="AL6723">
        <v>0</v>
      </c>
      <c r="AM6723">
        <v>0</v>
      </c>
      <c r="AN6723">
        <v>0</v>
      </c>
      <c r="AO6723">
        <v>0</v>
      </c>
      <c r="AP6723" s="2">
        <v>42746</v>
      </c>
      <c r="AQ6723" t="s">
        <v>72</v>
      </c>
      <c r="AR6723" t="s">
        <v>72</v>
      </c>
      <c r="AS6723">
        <v>598</v>
      </c>
      <c r="AT6723" s="4">
        <v>42430</v>
      </c>
      <c r="AU6723" t="s">
        <v>73</v>
      </c>
      <c r="AV6723">
        <v>598</v>
      </c>
      <c r="AW6723" s="4">
        <v>42430</v>
      </c>
      <c r="BD6723">
        <v>0</v>
      </c>
      <c r="BN6723" t="s">
        <v>74</v>
      </c>
    </row>
    <row r="6724" spans="1:66" hidden="1">
      <c r="A6724">
        <v>104093</v>
      </c>
      <c r="B6724" s="3" t="s">
        <v>609</v>
      </c>
      <c r="C6724" s="1">
        <v>43300101</v>
      </c>
      <c r="D6724" t="s">
        <v>67</v>
      </c>
      <c r="H6724" t="str">
        <f t="shared" si="678"/>
        <v>12572900152</v>
      </c>
      <c r="I6724" t="str">
        <f t="shared" si="679"/>
        <v>06032681006</v>
      </c>
      <c r="K6724" t="str">
        <f>""</f>
        <v/>
      </c>
      <c r="M6724" t="s">
        <v>68</v>
      </c>
      <c r="N6724" t="str">
        <f t="shared" si="677"/>
        <v>FOR</v>
      </c>
      <c r="O6724" t="s">
        <v>69</v>
      </c>
      <c r="P6724" s="3" t="s">
        <v>75</v>
      </c>
      <c r="Q6724">
        <v>2015</v>
      </c>
      <c r="R6724" s="2">
        <v>42118</v>
      </c>
      <c r="S6724" s="2">
        <v>42128</v>
      </c>
      <c r="T6724" s="2">
        <v>42128</v>
      </c>
      <c r="U6724" s="2">
        <v>42188</v>
      </c>
      <c r="V6724" t="s">
        <v>71</v>
      </c>
      <c r="W6724" t="str">
        <f>"            25242121"</f>
        <v xml:space="preserve">            25242121</v>
      </c>
      <c r="X6724" s="1">
        <v>3748.16</v>
      </c>
      <c r="Y6724">
        <v>0</v>
      </c>
      <c r="Z6724"/>
      <c r="AB6724"/>
      <c r="AC6724" s="1">
        <v>3604</v>
      </c>
      <c r="AD6724">
        <v>242</v>
      </c>
      <c r="AE6724" s="1">
        <v>872168</v>
      </c>
      <c r="AF6724">
        <v>0</v>
      </c>
      <c r="AJ6724">
        <v>0</v>
      </c>
      <c r="AK6724">
        <v>0</v>
      </c>
      <c r="AL6724">
        <v>0</v>
      </c>
      <c r="AM6724">
        <v>0</v>
      </c>
      <c r="AN6724">
        <v>0</v>
      </c>
      <c r="AO6724">
        <v>0</v>
      </c>
      <c r="AP6724" s="2">
        <v>42746</v>
      </c>
      <c r="AQ6724" t="s">
        <v>72</v>
      </c>
      <c r="AR6724" t="s">
        <v>72</v>
      </c>
      <c r="AS6724">
        <v>598</v>
      </c>
      <c r="AT6724" s="4">
        <v>42430</v>
      </c>
      <c r="AU6724" t="s">
        <v>73</v>
      </c>
      <c r="AV6724">
        <v>598</v>
      </c>
      <c r="AW6724" s="4">
        <v>42430</v>
      </c>
      <c r="BD6724">
        <v>0</v>
      </c>
      <c r="BN6724" t="s">
        <v>74</v>
      </c>
    </row>
    <row r="6725" spans="1:66" hidden="1">
      <c r="A6725">
        <v>104093</v>
      </c>
      <c r="B6725" s="3" t="s">
        <v>609</v>
      </c>
      <c r="C6725" s="1">
        <v>43300101</v>
      </c>
      <c r="D6725" t="s">
        <v>67</v>
      </c>
      <c r="H6725" t="str">
        <f t="shared" si="678"/>
        <v>12572900152</v>
      </c>
      <c r="I6725" t="str">
        <f t="shared" si="679"/>
        <v>06032681006</v>
      </c>
      <c r="K6725" t="str">
        <f>""</f>
        <v/>
      </c>
      <c r="M6725" t="s">
        <v>68</v>
      </c>
      <c r="N6725" t="str">
        <f t="shared" si="677"/>
        <v>FOR</v>
      </c>
      <c r="O6725" t="s">
        <v>69</v>
      </c>
      <c r="P6725" s="3" t="s">
        <v>75</v>
      </c>
      <c r="Q6725">
        <v>2015</v>
      </c>
      <c r="R6725" s="2">
        <v>42118</v>
      </c>
      <c r="S6725" s="2">
        <v>42128</v>
      </c>
      <c r="T6725" s="2">
        <v>42128</v>
      </c>
      <c r="U6725" s="2">
        <v>42188</v>
      </c>
      <c r="V6725" t="s">
        <v>71</v>
      </c>
      <c r="W6725" t="str">
        <f>"            25242122"</f>
        <v xml:space="preserve">            25242122</v>
      </c>
      <c r="X6725">
        <v>252.72</v>
      </c>
      <c r="Y6725">
        <v>0</v>
      </c>
      <c r="Z6725"/>
      <c r="AB6725"/>
      <c r="AC6725">
        <v>243</v>
      </c>
      <c r="AD6725">
        <v>242</v>
      </c>
      <c r="AE6725" s="1">
        <v>58806</v>
      </c>
      <c r="AF6725">
        <v>0</v>
      </c>
      <c r="AJ6725">
        <v>0</v>
      </c>
      <c r="AK6725">
        <v>0</v>
      </c>
      <c r="AL6725">
        <v>0</v>
      </c>
      <c r="AM6725">
        <v>0</v>
      </c>
      <c r="AN6725">
        <v>0</v>
      </c>
      <c r="AO6725">
        <v>0</v>
      </c>
      <c r="AP6725" s="2">
        <v>42746</v>
      </c>
      <c r="AQ6725" t="s">
        <v>72</v>
      </c>
      <c r="AR6725" t="s">
        <v>72</v>
      </c>
      <c r="AS6725">
        <v>598</v>
      </c>
      <c r="AT6725" s="4">
        <v>42430</v>
      </c>
      <c r="AU6725" t="s">
        <v>73</v>
      </c>
      <c r="AV6725">
        <v>598</v>
      </c>
      <c r="AW6725" s="4">
        <v>42430</v>
      </c>
      <c r="BD6725">
        <v>0</v>
      </c>
      <c r="BN6725" t="s">
        <v>74</v>
      </c>
    </row>
    <row r="6726" spans="1:66" hidden="1">
      <c r="A6726">
        <v>104093</v>
      </c>
      <c r="B6726" s="3" t="s">
        <v>609</v>
      </c>
      <c r="C6726" s="1">
        <v>43300101</v>
      </c>
      <c r="D6726" t="s">
        <v>67</v>
      </c>
      <c r="H6726" t="str">
        <f t="shared" si="678"/>
        <v>12572900152</v>
      </c>
      <c r="I6726" t="str">
        <f t="shared" si="679"/>
        <v>06032681006</v>
      </c>
      <c r="K6726" t="str">
        <f>""</f>
        <v/>
      </c>
      <c r="M6726" t="s">
        <v>68</v>
      </c>
      <c r="N6726" t="str">
        <f t="shared" si="677"/>
        <v>FOR</v>
      </c>
      <c r="O6726" t="s">
        <v>69</v>
      </c>
      <c r="P6726" s="3" t="s">
        <v>75</v>
      </c>
      <c r="Q6726">
        <v>2015</v>
      </c>
      <c r="R6726" s="2">
        <v>42118</v>
      </c>
      <c r="S6726" s="2">
        <v>42128</v>
      </c>
      <c r="T6726" s="2">
        <v>42128</v>
      </c>
      <c r="U6726" s="2">
        <v>42188</v>
      </c>
      <c r="V6726" t="s">
        <v>71</v>
      </c>
      <c r="W6726" t="str">
        <f>"            25242123"</f>
        <v xml:space="preserve">            25242123</v>
      </c>
      <c r="X6726">
        <v>926.64</v>
      </c>
      <c r="Y6726">
        <v>0</v>
      </c>
      <c r="Z6726"/>
      <c r="AB6726"/>
      <c r="AC6726">
        <v>891</v>
      </c>
      <c r="AD6726">
        <v>242</v>
      </c>
      <c r="AE6726" s="1">
        <v>215622</v>
      </c>
      <c r="AF6726">
        <v>0</v>
      </c>
      <c r="AJ6726">
        <v>0</v>
      </c>
      <c r="AK6726">
        <v>0</v>
      </c>
      <c r="AL6726">
        <v>0</v>
      </c>
      <c r="AM6726">
        <v>0</v>
      </c>
      <c r="AN6726">
        <v>0</v>
      </c>
      <c r="AO6726">
        <v>0</v>
      </c>
      <c r="AP6726" s="2">
        <v>42746</v>
      </c>
      <c r="AQ6726" t="s">
        <v>72</v>
      </c>
      <c r="AR6726" t="s">
        <v>72</v>
      </c>
      <c r="AS6726">
        <v>598</v>
      </c>
      <c r="AT6726" s="4">
        <v>42430</v>
      </c>
      <c r="AU6726" t="s">
        <v>73</v>
      </c>
      <c r="AV6726">
        <v>598</v>
      </c>
      <c r="AW6726" s="4">
        <v>42430</v>
      </c>
      <c r="BD6726">
        <v>0</v>
      </c>
      <c r="BN6726" t="s">
        <v>74</v>
      </c>
    </row>
    <row r="6727" spans="1:66" hidden="1">
      <c r="A6727">
        <v>104093</v>
      </c>
      <c r="B6727" s="3" t="s">
        <v>609</v>
      </c>
      <c r="C6727" s="1">
        <v>43300101</v>
      </c>
      <c r="D6727" t="s">
        <v>67</v>
      </c>
      <c r="H6727" t="str">
        <f t="shared" si="678"/>
        <v>12572900152</v>
      </c>
      <c r="I6727" t="str">
        <f t="shared" si="679"/>
        <v>06032681006</v>
      </c>
      <c r="K6727" t="str">
        <f>""</f>
        <v/>
      </c>
      <c r="M6727" t="s">
        <v>68</v>
      </c>
      <c r="N6727" t="str">
        <f t="shared" si="677"/>
        <v>FOR</v>
      </c>
      <c r="O6727" t="s">
        <v>69</v>
      </c>
      <c r="P6727" s="3" t="s">
        <v>75</v>
      </c>
      <c r="Q6727">
        <v>2015</v>
      </c>
      <c r="R6727" s="2">
        <v>42118</v>
      </c>
      <c r="S6727" s="2">
        <v>42128</v>
      </c>
      <c r="T6727" s="2">
        <v>42128</v>
      </c>
      <c r="U6727" s="2">
        <v>42188</v>
      </c>
      <c r="V6727" t="s">
        <v>71</v>
      </c>
      <c r="W6727" t="str">
        <f>"            25242124"</f>
        <v xml:space="preserve">            25242124</v>
      </c>
      <c r="X6727">
        <v>74.88</v>
      </c>
      <c r="Y6727">
        <v>0</v>
      </c>
      <c r="Z6727"/>
      <c r="AB6727"/>
      <c r="AC6727">
        <v>72</v>
      </c>
      <c r="AD6727">
        <v>242</v>
      </c>
      <c r="AE6727" s="1">
        <v>17424</v>
      </c>
      <c r="AF6727">
        <v>0</v>
      </c>
      <c r="AJ6727">
        <v>0</v>
      </c>
      <c r="AK6727">
        <v>0</v>
      </c>
      <c r="AL6727">
        <v>0</v>
      </c>
      <c r="AM6727">
        <v>0</v>
      </c>
      <c r="AN6727">
        <v>0</v>
      </c>
      <c r="AO6727">
        <v>0</v>
      </c>
      <c r="AP6727" s="2">
        <v>42746</v>
      </c>
      <c r="AQ6727" t="s">
        <v>72</v>
      </c>
      <c r="AR6727" t="s">
        <v>72</v>
      </c>
      <c r="AS6727">
        <v>598</v>
      </c>
      <c r="AT6727" s="4">
        <v>42430</v>
      </c>
      <c r="AU6727" t="s">
        <v>73</v>
      </c>
      <c r="AV6727">
        <v>598</v>
      </c>
      <c r="AW6727" s="4">
        <v>42430</v>
      </c>
      <c r="BD6727">
        <v>0</v>
      </c>
      <c r="BN6727" t="s">
        <v>74</v>
      </c>
    </row>
    <row r="6728" spans="1:66" hidden="1">
      <c r="A6728">
        <v>104093</v>
      </c>
      <c r="B6728" s="3" t="s">
        <v>609</v>
      </c>
      <c r="C6728" s="1">
        <v>43300101</v>
      </c>
      <c r="D6728" t="s">
        <v>67</v>
      </c>
      <c r="H6728" t="str">
        <f t="shared" si="678"/>
        <v>12572900152</v>
      </c>
      <c r="I6728" t="str">
        <f t="shared" si="679"/>
        <v>06032681006</v>
      </c>
      <c r="K6728" t="str">
        <f>""</f>
        <v/>
      </c>
      <c r="M6728" t="s">
        <v>68</v>
      </c>
      <c r="N6728" t="str">
        <f t="shared" si="677"/>
        <v>FOR</v>
      </c>
      <c r="O6728" t="s">
        <v>69</v>
      </c>
      <c r="P6728" s="3" t="s">
        <v>75</v>
      </c>
      <c r="Q6728">
        <v>2015</v>
      </c>
      <c r="R6728" s="2">
        <v>42118</v>
      </c>
      <c r="S6728" s="2">
        <v>42128</v>
      </c>
      <c r="T6728" s="2">
        <v>42128</v>
      </c>
      <c r="U6728" s="2">
        <v>42188</v>
      </c>
      <c r="V6728" t="s">
        <v>71</v>
      </c>
      <c r="W6728" t="str">
        <f>"            25242125"</f>
        <v xml:space="preserve">            25242125</v>
      </c>
      <c r="X6728">
        <v>74.88</v>
      </c>
      <c r="Y6728">
        <v>0</v>
      </c>
      <c r="Z6728"/>
      <c r="AB6728"/>
      <c r="AC6728">
        <v>72</v>
      </c>
      <c r="AD6728">
        <v>242</v>
      </c>
      <c r="AE6728" s="1">
        <v>17424</v>
      </c>
      <c r="AF6728">
        <v>0</v>
      </c>
      <c r="AJ6728">
        <v>0</v>
      </c>
      <c r="AK6728">
        <v>0</v>
      </c>
      <c r="AL6728">
        <v>0</v>
      </c>
      <c r="AM6728">
        <v>0</v>
      </c>
      <c r="AN6728">
        <v>0</v>
      </c>
      <c r="AO6728">
        <v>0</v>
      </c>
      <c r="AP6728" s="2">
        <v>42746</v>
      </c>
      <c r="AQ6728" t="s">
        <v>72</v>
      </c>
      <c r="AR6728" t="s">
        <v>72</v>
      </c>
      <c r="AS6728">
        <v>598</v>
      </c>
      <c r="AT6728" s="4">
        <v>42430</v>
      </c>
      <c r="AU6728" t="s">
        <v>73</v>
      </c>
      <c r="AV6728">
        <v>598</v>
      </c>
      <c r="AW6728" s="4">
        <v>42430</v>
      </c>
      <c r="BD6728">
        <v>0</v>
      </c>
      <c r="BN6728" t="s">
        <v>74</v>
      </c>
    </row>
    <row r="6729" spans="1:66" hidden="1">
      <c r="A6729">
        <v>104093</v>
      </c>
      <c r="B6729" s="3" t="s">
        <v>609</v>
      </c>
      <c r="C6729" s="1">
        <v>43300101</v>
      </c>
      <c r="D6729" t="s">
        <v>67</v>
      </c>
      <c r="H6729" t="str">
        <f t="shared" si="678"/>
        <v>12572900152</v>
      </c>
      <c r="I6729" t="str">
        <f t="shared" si="679"/>
        <v>06032681006</v>
      </c>
      <c r="K6729" t="str">
        <f>""</f>
        <v/>
      </c>
      <c r="M6729" t="s">
        <v>68</v>
      </c>
      <c r="N6729" t="str">
        <f t="shared" si="677"/>
        <v>FOR</v>
      </c>
      <c r="O6729" t="s">
        <v>69</v>
      </c>
      <c r="P6729" s="3" t="s">
        <v>75</v>
      </c>
      <c r="Q6729">
        <v>2015</v>
      </c>
      <c r="R6729" s="2">
        <v>42118</v>
      </c>
      <c r="S6729" s="2">
        <v>42128</v>
      </c>
      <c r="T6729" s="2">
        <v>42128</v>
      </c>
      <c r="U6729" s="2">
        <v>42188</v>
      </c>
      <c r="V6729" t="s">
        <v>71</v>
      </c>
      <c r="W6729" t="str">
        <f>"            25242126"</f>
        <v xml:space="preserve">            25242126</v>
      </c>
      <c r="X6729">
        <v>74.88</v>
      </c>
      <c r="Y6729">
        <v>0</v>
      </c>
      <c r="Z6729"/>
      <c r="AB6729"/>
      <c r="AC6729">
        <v>72</v>
      </c>
      <c r="AD6729">
        <v>242</v>
      </c>
      <c r="AE6729" s="1">
        <v>17424</v>
      </c>
      <c r="AF6729">
        <v>0</v>
      </c>
      <c r="AJ6729">
        <v>0</v>
      </c>
      <c r="AK6729">
        <v>0</v>
      </c>
      <c r="AL6729">
        <v>0</v>
      </c>
      <c r="AM6729">
        <v>0</v>
      </c>
      <c r="AN6729">
        <v>0</v>
      </c>
      <c r="AO6729">
        <v>0</v>
      </c>
      <c r="AP6729" s="2">
        <v>42746</v>
      </c>
      <c r="AQ6729" t="s">
        <v>72</v>
      </c>
      <c r="AR6729" t="s">
        <v>72</v>
      </c>
      <c r="AS6729">
        <v>598</v>
      </c>
      <c r="AT6729" s="4">
        <v>42430</v>
      </c>
      <c r="AU6729" t="s">
        <v>73</v>
      </c>
      <c r="AV6729">
        <v>598</v>
      </c>
      <c r="AW6729" s="4">
        <v>42430</v>
      </c>
      <c r="BD6729">
        <v>0</v>
      </c>
      <c r="BN6729" t="s">
        <v>74</v>
      </c>
    </row>
    <row r="6730" spans="1:66" hidden="1">
      <c r="A6730">
        <v>104093</v>
      </c>
      <c r="B6730" s="3" t="s">
        <v>609</v>
      </c>
      <c r="C6730" s="1">
        <v>43300101</v>
      </c>
      <c r="D6730" t="s">
        <v>67</v>
      </c>
      <c r="H6730" t="str">
        <f t="shared" si="678"/>
        <v>12572900152</v>
      </c>
      <c r="I6730" t="str">
        <f t="shared" si="679"/>
        <v>06032681006</v>
      </c>
      <c r="K6730" t="str">
        <f>""</f>
        <v/>
      </c>
      <c r="M6730" t="s">
        <v>68</v>
      </c>
      <c r="N6730" t="str">
        <f t="shared" si="677"/>
        <v>FOR</v>
      </c>
      <c r="O6730" t="s">
        <v>69</v>
      </c>
      <c r="P6730" s="3" t="s">
        <v>75</v>
      </c>
      <c r="Q6730">
        <v>2015</v>
      </c>
      <c r="R6730" s="2">
        <v>42118</v>
      </c>
      <c r="S6730" s="2">
        <v>42128</v>
      </c>
      <c r="T6730" s="2">
        <v>42128</v>
      </c>
      <c r="U6730" s="2">
        <v>42188</v>
      </c>
      <c r="V6730" t="s">
        <v>71</v>
      </c>
      <c r="W6730" t="str">
        <f>"            25242127"</f>
        <v xml:space="preserve">            25242127</v>
      </c>
      <c r="X6730">
        <v>252.72</v>
      </c>
      <c r="Y6730">
        <v>0</v>
      </c>
      <c r="Z6730"/>
      <c r="AB6730"/>
      <c r="AC6730">
        <v>243</v>
      </c>
      <c r="AD6730">
        <v>242</v>
      </c>
      <c r="AE6730" s="1">
        <v>58806</v>
      </c>
      <c r="AF6730">
        <v>0</v>
      </c>
      <c r="AJ6730">
        <v>0</v>
      </c>
      <c r="AK6730">
        <v>0</v>
      </c>
      <c r="AL6730">
        <v>0</v>
      </c>
      <c r="AM6730">
        <v>0</v>
      </c>
      <c r="AN6730">
        <v>0</v>
      </c>
      <c r="AO6730">
        <v>0</v>
      </c>
      <c r="AP6730" s="2">
        <v>42746</v>
      </c>
      <c r="AQ6730" t="s">
        <v>72</v>
      </c>
      <c r="AR6730" t="s">
        <v>72</v>
      </c>
      <c r="AS6730">
        <v>598</v>
      </c>
      <c r="AT6730" s="4">
        <v>42430</v>
      </c>
      <c r="AU6730" t="s">
        <v>73</v>
      </c>
      <c r="AV6730">
        <v>598</v>
      </c>
      <c r="AW6730" s="4">
        <v>42430</v>
      </c>
      <c r="BD6730">
        <v>0</v>
      </c>
      <c r="BN6730" t="s">
        <v>74</v>
      </c>
    </row>
    <row r="6731" spans="1:66" hidden="1">
      <c r="A6731">
        <v>104093</v>
      </c>
      <c r="B6731" s="3" t="s">
        <v>609</v>
      </c>
      <c r="C6731" s="1">
        <v>43300101</v>
      </c>
      <c r="D6731" t="s">
        <v>67</v>
      </c>
      <c r="H6731" t="str">
        <f t="shared" si="678"/>
        <v>12572900152</v>
      </c>
      <c r="I6731" t="str">
        <f t="shared" si="679"/>
        <v>06032681006</v>
      </c>
      <c r="K6731" t="str">
        <f>""</f>
        <v/>
      </c>
      <c r="M6731" t="s">
        <v>68</v>
      </c>
      <c r="N6731" t="str">
        <f t="shared" si="677"/>
        <v>FOR</v>
      </c>
      <c r="O6731" t="s">
        <v>69</v>
      </c>
      <c r="P6731" s="3" t="s">
        <v>75</v>
      </c>
      <c r="Q6731">
        <v>2015</v>
      </c>
      <c r="R6731" s="2">
        <v>42118</v>
      </c>
      <c r="S6731" s="2">
        <v>42128</v>
      </c>
      <c r="T6731" s="2">
        <v>42128</v>
      </c>
      <c r="U6731" s="2">
        <v>42188</v>
      </c>
      <c r="V6731" t="s">
        <v>71</v>
      </c>
      <c r="W6731" t="str">
        <f>"            25242130"</f>
        <v xml:space="preserve">            25242130</v>
      </c>
      <c r="X6731">
        <v>74.88</v>
      </c>
      <c r="Y6731">
        <v>0</v>
      </c>
      <c r="Z6731"/>
      <c r="AB6731"/>
      <c r="AC6731">
        <v>72</v>
      </c>
      <c r="AD6731">
        <v>242</v>
      </c>
      <c r="AE6731" s="1">
        <v>17424</v>
      </c>
      <c r="AF6731">
        <v>0</v>
      </c>
      <c r="AJ6731">
        <v>0</v>
      </c>
      <c r="AK6731">
        <v>0</v>
      </c>
      <c r="AL6731">
        <v>0</v>
      </c>
      <c r="AM6731">
        <v>0</v>
      </c>
      <c r="AN6731">
        <v>0</v>
      </c>
      <c r="AO6731">
        <v>0</v>
      </c>
      <c r="AP6731" s="2">
        <v>42746</v>
      </c>
      <c r="AQ6731" t="s">
        <v>72</v>
      </c>
      <c r="AR6731" t="s">
        <v>72</v>
      </c>
      <c r="AS6731">
        <v>598</v>
      </c>
      <c r="AT6731" s="4">
        <v>42430</v>
      </c>
      <c r="AU6731" t="s">
        <v>73</v>
      </c>
      <c r="AV6731">
        <v>598</v>
      </c>
      <c r="AW6731" s="4">
        <v>42430</v>
      </c>
      <c r="BD6731">
        <v>0</v>
      </c>
      <c r="BN6731" t="s">
        <v>74</v>
      </c>
    </row>
    <row r="6732" spans="1:66" hidden="1">
      <c r="A6732">
        <v>104093</v>
      </c>
      <c r="B6732" s="3" t="s">
        <v>609</v>
      </c>
      <c r="C6732" s="1">
        <v>43300101</v>
      </c>
      <c r="D6732" t="s">
        <v>67</v>
      </c>
      <c r="H6732" t="str">
        <f t="shared" si="678"/>
        <v>12572900152</v>
      </c>
      <c r="I6732" t="str">
        <f t="shared" si="679"/>
        <v>06032681006</v>
      </c>
      <c r="K6732" t="str">
        <f>""</f>
        <v/>
      </c>
      <c r="M6732" t="s">
        <v>68</v>
      </c>
      <c r="N6732" t="str">
        <f t="shared" si="677"/>
        <v>FOR</v>
      </c>
      <c r="O6732" t="s">
        <v>69</v>
      </c>
      <c r="P6732" s="3" t="s">
        <v>75</v>
      </c>
      <c r="Q6732">
        <v>2015</v>
      </c>
      <c r="R6732" s="2">
        <v>42118</v>
      </c>
      <c r="S6732" s="2">
        <v>42128</v>
      </c>
      <c r="T6732" s="2">
        <v>42128</v>
      </c>
      <c r="U6732" s="2">
        <v>42188</v>
      </c>
      <c r="V6732" t="s">
        <v>71</v>
      </c>
      <c r="W6732" t="str">
        <f>"            25242131"</f>
        <v xml:space="preserve">            25242131</v>
      </c>
      <c r="X6732">
        <v>74.88</v>
      </c>
      <c r="Y6732">
        <v>0</v>
      </c>
      <c r="Z6732"/>
      <c r="AB6732"/>
      <c r="AC6732">
        <v>72</v>
      </c>
      <c r="AD6732">
        <v>242</v>
      </c>
      <c r="AE6732" s="1">
        <v>17424</v>
      </c>
      <c r="AF6732">
        <v>0</v>
      </c>
      <c r="AJ6732">
        <v>0</v>
      </c>
      <c r="AK6732">
        <v>0</v>
      </c>
      <c r="AL6732">
        <v>0</v>
      </c>
      <c r="AM6732">
        <v>0</v>
      </c>
      <c r="AN6732">
        <v>0</v>
      </c>
      <c r="AO6732">
        <v>0</v>
      </c>
      <c r="AP6732" s="2">
        <v>42746</v>
      </c>
      <c r="AQ6732" t="s">
        <v>72</v>
      </c>
      <c r="AR6732" t="s">
        <v>72</v>
      </c>
      <c r="AS6732">
        <v>598</v>
      </c>
      <c r="AT6732" s="4">
        <v>42430</v>
      </c>
      <c r="AU6732" t="s">
        <v>73</v>
      </c>
      <c r="AV6732">
        <v>598</v>
      </c>
      <c r="AW6732" s="4">
        <v>42430</v>
      </c>
      <c r="BD6732">
        <v>0</v>
      </c>
      <c r="BN6732" t="s">
        <v>74</v>
      </c>
    </row>
    <row r="6733" spans="1:66" hidden="1">
      <c r="A6733">
        <v>104093</v>
      </c>
      <c r="B6733" s="3" t="s">
        <v>609</v>
      </c>
      <c r="C6733" s="1">
        <v>43300101</v>
      </c>
      <c r="D6733" t="s">
        <v>67</v>
      </c>
      <c r="H6733" t="str">
        <f t="shared" si="678"/>
        <v>12572900152</v>
      </c>
      <c r="I6733" t="str">
        <f t="shared" si="679"/>
        <v>06032681006</v>
      </c>
      <c r="K6733" t="str">
        <f>""</f>
        <v/>
      </c>
      <c r="M6733" t="s">
        <v>68</v>
      </c>
      <c r="N6733" t="str">
        <f t="shared" si="677"/>
        <v>FOR</v>
      </c>
      <c r="O6733" t="s">
        <v>69</v>
      </c>
      <c r="P6733" s="3" t="s">
        <v>75</v>
      </c>
      <c r="Q6733">
        <v>2015</v>
      </c>
      <c r="R6733" s="2">
        <v>42118</v>
      </c>
      <c r="S6733" s="2">
        <v>42128</v>
      </c>
      <c r="T6733" s="2">
        <v>42128</v>
      </c>
      <c r="U6733" s="2">
        <v>42188</v>
      </c>
      <c r="V6733" t="s">
        <v>71</v>
      </c>
      <c r="W6733" t="str">
        <f>"            25242132"</f>
        <v xml:space="preserve">            25242132</v>
      </c>
      <c r="X6733">
        <v>74.88</v>
      </c>
      <c r="Y6733">
        <v>0</v>
      </c>
      <c r="Z6733"/>
      <c r="AB6733"/>
      <c r="AC6733">
        <v>72</v>
      </c>
      <c r="AD6733">
        <v>242</v>
      </c>
      <c r="AE6733" s="1">
        <v>17424</v>
      </c>
      <c r="AF6733">
        <v>0</v>
      </c>
      <c r="AJ6733">
        <v>0</v>
      </c>
      <c r="AK6733">
        <v>0</v>
      </c>
      <c r="AL6733">
        <v>0</v>
      </c>
      <c r="AM6733">
        <v>0</v>
      </c>
      <c r="AN6733">
        <v>0</v>
      </c>
      <c r="AO6733">
        <v>0</v>
      </c>
      <c r="AP6733" s="2">
        <v>42746</v>
      </c>
      <c r="AQ6733" t="s">
        <v>72</v>
      </c>
      <c r="AR6733" t="s">
        <v>72</v>
      </c>
      <c r="AS6733">
        <v>598</v>
      </c>
      <c r="AT6733" s="4">
        <v>42430</v>
      </c>
      <c r="AU6733" t="s">
        <v>73</v>
      </c>
      <c r="AV6733">
        <v>598</v>
      </c>
      <c r="AW6733" s="4">
        <v>42430</v>
      </c>
      <c r="BD6733">
        <v>0</v>
      </c>
      <c r="BN6733" t="s">
        <v>74</v>
      </c>
    </row>
    <row r="6734" spans="1:66" hidden="1">
      <c r="A6734">
        <v>104093</v>
      </c>
      <c r="B6734" s="3" t="s">
        <v>609</v>
      </c>
      <c r="C6734" s="1">
        <v>43300101</v>
      </c>
      <c r="D6734" t="s">
        <v>67</v>
      </c>
      <c r="H6734" t="str">
        <f t="shared" si="678"/>
        <v>12572900152</v>
      </c>
      <c r="I6734" t="str">
        <f t="shared" si="679"/>
        <v>06032681006</v>
      </c>
      <c r="K6734" t="str">
        <f>""</f>
        <v/>
      </c>
      <c r="M6734" t="s">
        <v>68</v>
      </c>
      <c r="N6734" t="str">
        <f t="shared" si="677"/>
        <v>FOR</v>
      </c>
      <c r="O6734" t="s">
        <v>69</v>
      </c>
      <c r="P6734" s="3" t="s">
        <v>75</v>
      </c>
      <c r="Q6734">
        <v>2015</v>
      </c>
      <c r="R6734" s="2">
        <v>42118</v>
      </c>
      <c r="S6734" s="2">
        <v>42128</v>
      </c>
      <c r="T6734" s="2">
        <v>42128</v>
      </c>
      <c r="U6734" s="2">
        <v>42188</v>
      </c>
      <c r="V6734" t="s">
        <v>71</v>
      </c>
      <c r="W6734" t="str">
        <f>"            25242134"</f>
        <v xml:space="preserve">            25242134</v>
      </c>
      <c r="X6734">
        <v>707.62</v>
      </c>
      <c r="Y6734">
        <v>0</v>
      </c>
      <c r="Z6734"/>
      <c r="AB6734"/>
      <c r="AC6734">
        <v>680.4</v>
      </c>
      <c r="AD6734">
        <v>242</v>
      </c>
      <c r="AE6734" s="1">
        <v>164656.79999999999</v>
      </c>
      <c r="AF6734">
        <v>0</v>
      </c>
      <c r="AJ6734">
        <v>0</v>
      </c>
      <c r="AK6734">
        <v>0</v>
      </c>
      <c r="AL6734">
        <v>0</v>
      </c>
      <c r="AM6734">
        <v>0</v>
      </c>
      <c r="AN6734">
        <v>0</v>
      </c>
      <c r="AO6734">
        <v>0</v>
      </c>
      <c r="AP6734" s="2">
        <v>42746</v>
      </c>
      <c r="AQ6734" t="s">
        <v>72</v>
      </c>
      <c r="AR6734" t="s">
        <v>72</v>
      </c>
      <c r="AS6734">
        <v>598</v>
      </c>
      <c r="AT6734" s="4">
        <v>42430</v>
      </c>
      <c r="AU6734" t="s">
        <v>73</v>
      </c>
      <c r="AV6734">
        <v>598</v>
      </c>
      <c r="AW6734" s="4">
        <v>42430</v>
      </c>
      <c r="BD6734">
        <v>0</v>
      </c>
      <c r="BN6734" t="s">
        <v>74</v>
      </c>
    </row>
    <row r="6735" spans="1:66" hidden="1">
      <c r="A6735">
        <v>104093</v>
      </c>
      <c r="B6735" s="3" t="s">
        <v>609</v>
      </c>
      <c r="C6735" s="1">
        <v>43300101</v>
      </c>
      <c r="D6735" t="s">
        <v>67</v>
      </c>
      <c r="H6735" t="str">
        <f t="shared" si="678"/>
        <v>12572900152</v>
      </c>
      <c r="I6735" t="str">
        <f t="shared" si="679"/>
        <v>06032681006</v>
      </c>
      <c r="K6735" t="str">
        <f>""</f>
        <v/>
      </c>
      <c r="M6735" t="s">
        <v>68</v>
      </c>
      <c r="N6735" t="str">
        <f t="shared" si="677"/>
        <v>FOR</v>
      </c>
      <c r="O6735" t="s">
        <v>69</v>
      </c>
      <c r="P6735" s="3" t="s">
        <v>75</v>
      </c>
      <c r="Q6735">
        <v>2015</v>
      </c>
      <c r="R6735" s="2">
        <v>42118</v>
      </c>
      <c r="S6735" s="2">
        <v>42128</v>
      </c>
      <c r="T6735" s="2">
        <v>42128</v>
      </c>
      <c r="U6735" s="2">
        <v>42188</v>
      </c>
      <c r="V6735" t="s">
        <v>71</v>
      </c>
      <c r="W6735" t="str">
        <f>"            25242135"</f>
        <v xml:space="preserve">            25242135</v>
      </c>
      <c r="X6735">
        <v>707.62</v>
      </c>
      <c r="Y6735">
        <v>0</v>
      </c>
      <c r="Z6735"/>
      <c r="AB6735"/>
      <c r="AC6735">
        <v>680.4</v>
      </c>
      <c r="AD6735">
        <v>242</v>
      </c>
      <c r="AE6735" s="1">
        <v>164656.79999999999</v>
      </c>
      <c r="AF6735">
        <v>0</v>
      </c>
      <c r="AJ6735">
        <v>0</v>
      </c>
      <c r="AK6735">
        <v>0</v>
      </c>
      <c r="AL6735">
        <v>0</v>
      </c>
      <c r="AM6735">
        <v>0</v>
      </c>
      <c r="AN6735">
        <v>0</v>
      </c>
      <c r="AO6735">
        <v>0</v>
      </c>
      <c r="AP6735" s="2">
        <v>42746</v>
      </c>
      <c r="AQ6735" t="s">
        <v>72</v>
      </c>
      <c r="AR6735" t="s">
        <v>72</v>
      </c>
      <c r="AS6735">
        <v>598</v>
      </c>
      <c r="AT6735" s="4">
        <v>42430</v>
      </c>
      <c r="AU6735" t="s">
        <v>73</v>
      </c>
      <c r="AV6735">
        <v>598</v>
      </c>
      <c r="AW6735" s="4">
        <v>42430</v>
      </c>
      <c r="BD6735">
        <v>0</v>
      </c>
      <c r="BN6735" t="s">
        <v>74</v>
      </c>
    </row>
    <row r="6736" spans="1:66" hidden="1">
      <c r="A6736">
        <v>104093</v>
      </c>
      <c r="B6736" s="3" t="s">
        <v>609</v>
      </c>
      <c r="C6736" s="1">
        <v>43300101</v>
      </c>
      <c r="D6736" t="s">
        <v>67</v>
      </c>
      <c r="H6736" t="str">
        <f t="shared" si="678"/>
        <v>12572900152</v>
      </c>
      <c r="I6736" t="str">
        <f t="shared" si="679"/>
        <v>06032681006</v>
      </c>
      <c r="K6736" t="str">
        <f>""</f>
        <v/>
      </c>
      <c r="M6736" t="s">
        <v>68</v>
      </c>
      <c r="N6736" t="str">
        <f t="shared" si="677"/>
        <v>FOR</v>
      </c>
      <c r="O6736" t="s">
        <v>69</v>
      </c>
      <c r="P6736" s="3" t="s">
        <v>75</v>
      </c>
      <c r="Q6736">
        <v>2015</v>
      </c>
      <c r="R6736" s="2">
        <v>42118</v>
      </c>
      <c r="S6736" s="2">
        <v>42128</v>
      </c>
      <c r="T6736" s="2">
        <v>42128</v>
      </c>
      <c r="U6736" s="2">
        <v>42188</v>
      </c>
      <c r="V6736" t="s">
        <v>71</v>
      </c>
      <c r="W6736" t="str">
        <f>"            25242136"</f>
        <v xml:space="preserve">            25242136</v>
      </c>
      <c r="X6736">
        <v>252.72</v>
      </c>
      <c r="Y6736">
        <v>0</v>
      </c>
      <c r="Z6736"/>
      <c r="AB6736"/>
      <c r="AC6736">
        <v>243</v>
      </c>
      <c r="AD6736">
        <v>242</v>
      </c>
      <c r="AE6736" s="1">
        <v>58806</v>
      </c>
      <c r="AF6736">
        <v>0</v>
      </c>
      <c r="AJ6736">
        <v>0</v>
      </c>
      <c r="AK6736">
        <v>0</v>
      </c>
      <c r="AL6736">
        <v>0</v>
      </c>
      <c r="AM6736">
        <v>0</v>
      </c>
      <c r="AN6736">
        <v>0</v>
      </c>
      <c r="AO6736">
        <v>0</v>
      </c>
      <c r="AP6736" s="2">
        <v>42746</v>
      </c>
      <c r="AQ6736" t="s">
        <v>72</v>
      </c>
      <c r="AR6736" t="s">
        <v>72</v>
      </c>
      <c r="AS6736">
        <v>598</v>
      </c>
      <c r="AT6736" s="4">
        <v>42430</v>
      </c>
      <c r="AU6736" t="s">
        <v>73</v>
      </c>
      <c r="AV6736">
        <v>598</v>
      </c>
      <c r="AW6736" s="4">
        <v>42430</v>
      </c>
      <c r="BD6736">
        <v>0</v>
      </c>
      <c r="BN6736" t="s">
        <v>74</v>
      </c>
    </row>
    <row r="6737" spans="1:66" hidden="1">
      <c r="A6737">
        <v>104093</v>
      </c>
      <c r="B6737" s="3" t="s">
        <v>609</v>
      </c>
      <c r="C6737" s="1">
        <v>43300101</v>
      </c>
      <c r="D6737" t="s">
        <v>67</v>
      </c>
      <c r="H6737" t="str">
        <f t="shared" si="678"/>
        <v>12572900152</v>
      </c>
      <c r="I6737" t="str">
        <f t="shared" si="679"/>
        <v>06032681006</v>
      </c>
      <c r="K6737" t="str">
        <f>""</f>
        <v/>
      </c>
      <c r="M6737" t="s">
        <v>68</v>
      </c>
      <c r="N6737" t="str">
        <f t="shared" si="677"/>
        <v>FOR</v>
      </c>
      <c r="O6737" t="s">
        <v>69</v>
      </c>
      <c r="P6737" s="3" t="s">
        <v>75</v>
      </c>
      <c r="Q6737">
        <v>2015</v>
      </c>
      <c r="R6737" s="2">
        <v>42118</v>
      </c>
      <c r="S6737" s="2">
        <v>42128</v>
      </c>
      <c r="T6737" s="2">
        <v>42128</v>
      </c>
      <c r="U6737" s="2">
        <v>42188</v>
      </c>
      <c r="V6737" t="s">
        <v>71</v>
      </c>
      <c r="W6737" t="str">
        <f>"            25242137"</f>
        <v xml:space="preserve">            25242137</v>
      </c>
      <c r="X6737">
        <v>707.62</v>
      </c>
      <c r="Y6737">
        <v>0</v>
      </c>
      <c r="Z6737"/>
      <c r="AB6737"/>
      <c r="AC6737">
        <v>680.4</v>
      </c>
      <c r="AD6737">
        <v>242</v>
      </c>
      <c r="AE6737" s="1">
        <v>164656.79999999999</v>
      </c>
      <c r="AF6737">
        <v>0</v>
      </c>
      <c r="AJ6737">
        <v>0</v>
      </c>
      <c r="AK6737">
        <v>0</v>
      </c>
      <c r="AL6737">
        <v>0</v>
      </c>
      <c r="AM6737">
        <v>0</v>
      </c>
      <c r="AN6737">
        <v>0</v>
      </c>
      <c r="AO6737">
        <v>0</v>
      </c>
      <c r="AP6737" s="2">
        <v>42746</v>
      </c>
      <c r="AQ6737" t="s">
        <v>72</v>
      </c>
      <c r="AR6737" t="s">
        <v>72</v>
      </c>
      <c r="AS6737">
        <v>598</v>
      </c>
      <c r="AT6737" s="4">
        <v>42430</v>
      </c>
      <c r="AU6737" t="s">
        <v>73</v>
      </c>
      <c r="AV6737">
        <v>598</v>
      </c>
      <c r="AW6737" s="4">
        <v>42430</v>
      </c>
      <c r="BD6737">
        <v>0</v>
      </c>
      <c r="BN6737" t="s">
        <v>74</v>
      </c>
    </row>
    <row r="6738" spans="1:66" hidden="1">
      <c r="A6738">
        <v>104093</v>
      </c>
      <c r="B6738" s="3" t="s">
        <v>609</v>
      </c>
      <c r="C6738" s="1">
        <v>43300101</v>
      </c>
      <c r="D6738" t="s">
        <v>67</v>
      </c>
      <c r="H6738" t="str">
        <f t="shared" si="678"/>
        <v>12572900152</v>
      </c>
      <c r="I6738" t="str">
        <f t="shared" si="679"/>
        <v>06032681006</v>
      </c>
      <c r="K6738" t="str">
        <f>""</f>
        <v/>
      </c>
      <c r="M6738" t="s">
        <v>68</v>
      </c>
      <c r="N6738" t="str">
        <f t="shared" si="677"/>
        <v>FOR</v>
      </c>
      <c r="O6738" t="s">
        <v>69</v>
      </c>
      <c r="P6738" s="3" t="s">
        <v>75</v>
      </c>
      <c r="Q6738">
        <v>2015</v>
      </c>
      <c r="R6738" s="2">
        <v>42118</v>
      </c>
      <c r="S6738" s="2">
        <v>42128</v>
      </c>
      <c r="T6738" s="2">
        <v>42128</v>
      </c>
      <c r="U6738" s="2">
        <v>42188</v>
      </c>
      <c r="V6738" t="s">
        <v>71</v>
      </c>
      <c r="W6738" t="str">
        <f>"            25242356"</f>
        <v xml:space="preserve">            25242356</v>
      </c>
      <c r="X6738" s="1">
        <v>5490</v>
      </c>
      <c r="Y6738">
        <v>0</v>
      </c>
      <c r="Z6738"/>
      <c r="AB6738"/>
      <c r="AC6738" s="1">
        <v>4500</v>
      </c>
      <c r="AD6738">
        <v>242</v>
      </c>
      <c r="AE6738" s="1">
        <v>1089000</v>
      </c>
      <c r="AF6738">
        <v>0</v>
      </c>
      <c r="AJ6738">
        <v>0</v>
      </c>
      <c r="AK6738">
        <v>0</v>
      </c>
      <c r="AL6738">
        <v>0</v>
      </c>
      <c r="AM6738">
        <v>0</v>
      </c>
      <c r="AN6738">
        <v>0</v>
      </c>
      <c r="AO6738">
        <v>0</v>
      </c>
      <c r="AP6738" s="2">
        <v>42746</v>
      </c>
      <c r="AQ6738" t="s">
        <v>72</v>
      </c>
      <c r="AR6738" t="s">
        <v>72</v>
      </c>
      <c r="AS6738">
        <v>598</v>
      </c>
      <c r="AT6738" s="4">
        <v>42430</v>
      </c>
      <c r="AU6738" t="s">
        <v>73</v>
      </c>
      <c r="AV6738">
        <v>598</v>
      </c>
      <c r="AW6738" s="4">
        <v>42430</v>
      </c>
      <c r="BD6738">
        <v>0</v>
      </c>
      <c r="BN6738" t="s">
        <v>74</v>
      </c>
    </row>
    <row r="6739" spans="1:66" hidden="1">
      <c r="A6739">
        <v>104093</v>
      </c>
      <c r="B6739" s="3" t="s">
        <v>609</v>
      </c>
      <c r="C6739" s="1">
        <v>43300101</v>
      </c>
      <c r="D6739" t="s">
        <v>67</v>
      </c>
      <c r="H6739" t="str">
        <f t="shared" si="678"/>
        <v>12572900152</v>
      </c>
      <c r="I6739" t="str">
        <f t="shared" si="679"/>
        <v>06032681006</v>
      </c>
      <c r="K6739" t="str">
        <f>""</f>
        <v/>
      </c>
      <c r="M6739" t="s">
        <v>68</v>
      </c>
      <c r="N6739" t="str">
        <f t="shared" si="677"/>
        <v>FOR</v>
      </c>
      <c r="O6739" t="s">
        <v>69</v>
      </c>
      <c r="P6739" s="3" t="s">
        <v>75</v>
      </c>
      <c r="Q6739">
        <v>2015</v>
      </c>
      <c r="R6739" s="2">
        <v>42122</v>
      </c>
      <c r="S6739" s="2">
        <v>42131</v>
      </c>
      <c r="T6739" s="2">
        <v>42130</v>
      </c>
      <c r="U6739" s="2">
        <v>42190</v>
      </c>
      <c r="V6739" t="s">
        <v>71</v>
      </c>
      <c r="W6739" t="str">
        <f>"            25242819"</f>
        <v xml:space="preserve">            25242819</v>
      </c>
      <c r="X6739">
        <v>74.88</v>
      </c>
      <c r="Y6739">
        <v>0</v>
      </c>
      <c r="Z6739"/>
      <c r="AB6739"/>
      <c r="AC6739">
        <v>72</v>
      </c>
      <c r="AD6739">
        <v>240</v>
      </c>
      <c r="AE6739" s="1">
        <v>17280</v>
      </c>
      <c r="AF6739">
        <v>0</v>
      </c>
      <c r="AJ6739">
        <v>0</v>
      </c>
      <c r="AK6739">
        <v>0</v>
      </c>
      <c r="AL6739">
        <v>0</v>
      </c>
      <c r="AM6739">
        <v>0</v>
      </c>
      <c r="AN6739">
        <v>0</v>
      </c>
      <c r="AO6739">
        <v>0</v>
      </c>
      <c r="AP6739" s="2">
        <v>42746</v>
      </c>
      <c r="AQ6739" t="s">
        <v>72</v>
      </c>
      <c r="AR6739" t="s">
        <v>72</v>
      </c>
      <c r="AS6739">
        <v>598</v>
      </c>
      <c r="AT6739" s="4">
        <v>42430</v>
      </c>
      <c r="AU6739" t="s">
        <v>73</v>
      </c>
      <c r="AV6739">
        <v>598</v>
      </c>
      <c r="AW6739" s="4">
        <v>42430</v>
      </c>
      <c r="BD6739">
        <v>0</v>
      </c>
      <c r="BN6739" t="s">
        <v>74</v>
      </c>
    </row>
    <row r="6740" spans="1:66" hidden="1">
      <c r="A6740">
        <v>104093</v>
      </c>
      <c r="B6740" s="3" t="s">
        <v>609</v>
      </c>
      <c r="C6740" s="1">
        <v>43300101</v>
      </c>
      <c r="D6740" t="s">
        <v>67</v>
      </c>
      <c r="H6740" t="str">
        <f t="shared" si="678"/>
        <v>12572900152</v>
      </c>
      <c r="I6740" t="str">
        <f t="shared" si="679"/>
        <v>06032681006</v>
      </c>
      <c r="K6740" t="str">
        <f>""</f>
        <v/>
      </c>
      <c r="M6740" t="s">
        <v>68</v>
      </c>
      <c r="N6740" t="str">
        <f t="shared" si="677"/>
        <v>FOR</v>
      </c>
      <c r="O6740" t="s">
        <v>69</v>
      </c>
      <c r="P6740" s="3" t="s">
        <v>75</v>
      </c>
      <c r="Q6740">
        <v>2015</v>
      </c>
      <c r="R6740" s="2">
        <v>42122</v>
      </c>
      <c r="S6740" s="2">
        <v>42131</v>
      </c>
      <c r="T6740" s="2">
        <v>42130</v>
      </c>
      <c r="U6740" s="2">
        <v>42190</v>
      </c>
      <c r="V6740" t="s">
        <v>71</v>
      </c>
      <c r="W6740" t="str">
        <f>"            25242823"</f>
        <v xml:space="preserve">            25242823</v>
      </c>
      <c r="X6740">
        <v>74.88</v>
      </c>
      <c r="Y6740">
        <v>0</v>
      </c>
      <c r="Z6740"/>
      <c r="AB6740"/>
      <c r="AC6740">
        <v>72</v>
      </c>
      <c r="AD6740">
        <v>240</v>
      </c>
      <c r="AE6740" s="1">
        <v>17280</v>
      </c>
      <c r="AF6740">
        <v>0</v>
      </c>
      <c r="AJ6740">
        <v>0</v>
      </c>
      <c r="AK6740">
        <v>0</v>
      </c>
      <c r="AL6740">
        <v>0</v>
      </c>
      <c r="AM6740">
        <v>0</v>
      </c>
      <c r="AN6740">
        <v>0</v>
      </c>
      <c r="AO6740">
        <v>0</v>
      </c>
      <c r="AP6740" s="2">
        <v>42746</v>
      </c>
      <c r="AQ6740" t="s">
        <v>72</v>
      </c>
      <c r="AR6740" t="s">
        <v>72</v>
      </c>
      <c r="AS6740">
        <v>598</v>
      </c>
      <c r="AT6740" s="4">
        <v>42430</v>
      </c>
      <c r="AU6740" t="s">
        <v>73</v>
      </c>
      <c r="AV6740">
        <v>598</v>
      </c>
      <c r="AW6740" s="4">
        <v>42430</v>
      </c>
      <c r="BD6740">
        <v>0</v>
      </c>
      <c r="BN6740" t="s">
        <v>74</v>
      </c>
    </row>
    <row r="6741" spans="1:66" hidden="1">
      <c r="A6741">
        <v>104093</v>
      </c>
      <c r="B6741" s="3" t="s">
        <v>609</v>
      </c>
      <c r="C6741" s="1">
        <v>43300101</v>
      </c>
      <c r="D6741" t="s">
        <v>67</v>
      </c>
      <c r="H6741" t="str">
        <f t="shared" si="678"/>
        <v>12572900152</v>
      </c>
      <c r="I6741" t="str">
        <f t="shared" si="679"/>
        <v>06032681006</v>
      </c>
      <c r="K6741" t="str">
        <f>""</f>
        <v/>
      </c>
      <c r="M6741" t="s">
        <v>68</v>
      </c>
      <c r="N6741" t="str">
        <f t="shared" si="677"/>
        <v>FOR</v>
      </c>
      <c r="O6741" t="s">
        <v>69</v>
      </c>
      <c r="P6741" s="3" t="s">
        <v>75</v>
      </c>
      <c r="Q6741">
        <v>2015</v>
      </c>
      <c r="R6741" s="2">
        <v>42122</v>
      </c>
      <c r="S6741" s="2">
        <v>42131</v>
      </c>
      <c r="T6741" s="2">
        <v>42130</v>
      </c>
      <c r="U6741" s="2">
        <v>42190</v>
      </c>
      <c r="V6741" t="s">
        <v>71</v>
      </c>
      <c r="W6741" t="str">
        <f>"            25242824"</f>
        <v xml:space="preserve">            25242824</v>
      </c>
      <c r="X6741">
        <v>74.88</v>
      </c>
      <c r="Y6741">
        <v>0</v>
      </c>
      <c r="Z6741"/>
      <c r="AB6741"/>
      <c r="AC6741">
        <v>72</v>
      </c>
      <c r="AD6741">
        <v>240</v>
      </c>
      <c r="AE6741" s="1">
        <v>17280</v>
      </c>
      <c r="AF6741">
        <v>0</v>
      </c>
      <c r="AJ6741">
        <v>0</v>
      </c>
      <c r="AK6741">
        <v>0</v>
      </c>
      <c r="AL6741">
        <v>0</v>
      </c>
      <c r="AM6741">
        <v>0</v>
      </c>
      <c r="AN6741">
        <v>0</v>
      </c>
      <c r="AO6741">
        <v>0</v>
      </c>
      <c r="AP6741" s="2">
        <v>42746</v>
      </c>
      <c r="AQ6741" t="s">
        <v>72</v>
      </c>
      <c r="AR6741" t="s">
        <v>72</v>
      </c>
      <c r="AS6741">
        <v>598</v>
      </c>
      <c r="AT6741" s="4">
        <v>42430</v>
      </c>
      <c r="AU6741" t="s">
        <v>73</v>
      </c>
      <c r="AV6741">
        <v>598</v>
      </c>
      <c r="AW6741" s="4">
        <v>42430</v>
      </c>
      <c r="BD6741">
        <v>0</v>
      </c>
      <c r="BN6741" t="s">
        <v>74</v>
      </c>
    </row>
    <row r="6742" spans="1:66" hidden="1">
      <c r="A6742">
        <v>104093</v>
      </c>
      <c r="B6742" s="3" t="s">
        <v>609</v>
      </c>
      <c r="C6742" s="1">
        <v>43300101</v>
      </c>
      <c r="D6742" t="s">
        <v>67</v>
      </c>
      <c r="H6742" t="str">
        <f t="shared" si="678"/>
        <v>12572900152</v>
      </c>
      <c r="I6742" t="str">
        <f t="shared" si="679"/>
        <v>06032681006</v>
      </c>
      <c r="K6742" t="str">
        <f>""</f>
        <v/>
      </c>
      <c r="M6742" t="s">
        <v>68</v>
      </c>
      <c r="N6742" t="str">
        <f t="shared" si="677"/>
        <v>FOR</v>
      </c>
      <c r="O6742" t="s">
        <v>69</v>
      </c>
      <c r="P6742" s="3" t="s">
        <v>75</v>
      </c>
      <c r="Q6742">
        <v>2015</v>
      </c>
      <c r="R6742" s="2">
        <v>42122</v>
      </c>
      <c r="S6742" s="2">
        <v>42131</v>
      </c>
      <c r="T6742" s="2">
        <v>42130</v>
      </c>
      <c r="U6742" s="2">
        <v>42190</v>
      </c>
      <c r="V6742" t="s">
        <v>71</v>
      </c>
      <c r="W6742" t="str">
        <f>"            25242829"</f>
        <v xml:space="preserve">            25242829</v>
      </c>
      <c r="X6742">
        <v>252.72</v>
      </c>
      <c r="Y6742">
        <v>0</v>
      </c>
      <c r="Z6742"/>
      <c r="AB6742"/>
      <c r="AC6742">
        <v>243</v>
      </c>
      <c r="AD6742">
        <v>240</v>
      </c>
      <c r="AE6742" s="1">
        <v>58320</v>
      </c>
      <c r="AF6742">
        <v>0</v>
      </c>
      <c r="AJ6742">
        <v>0</v>
      </c>
      <c r="AK6742">
        <v>0</v>
      </c>
      <c r="AL6742">
        <v>0</v>
      </c>
      <c r="AM6742">
        <v>0</v>
      </c>
      <c r="AN6742">
        <v>0</v>
      </c>
      <c r="AO6742">
        <v>0</v>
      </c>
      <c r="AP6742" s="2">
        <v>42746</v>
      </c>
      <c r="AQ6742" t="s">
        <v>72</v>
      </c>
      <c r="AR6742" t="s">
        <v>72</v>
      </c>
      <c r="AS6742">
        <v>598</v>
      </c>
      <c r="AT6742" s="4">
        <v>42430</v>
      </c>
      <c r="AU6742" t="s">
        <v>73</v>
      </c>
      <c r="AV6742">
        <v>598</v>
      </c>
      <c r="AW6742" s="4">
        <v>42430</v>
      </c>
      <c r="BD6742">
        <v>0</v>
      </c>
      <c r="BN6742" t="s">
        <v>74</v>
      </c>
    </row>
    <row r="6743" spans="1:66" hidden="1">
      <c r="A6743">
        <v>104093</v>
      </c>
      <c r="B6743" s="3" t="s">
        <v>609</v>
      </c>
      <c r="C6743" s="1">
        <v>43300101</v>
      </c>
      <c r="D6743" t="s">
        <v>67</v>
      </c>
      <c r="H6743" t="str">
        <f t="shared" si="678"/>
        <v>12572900152</v>
      </c>
      <c r="I6743" t="str">
        <f t="shared" si="679"/>
        <v>06032681006</v>
      </c>
      <c r="K6743" t="str">
        <f>""</f>
        <v/>
      </c>
      <c r="M6743" t="s">
        <v>68</v>
      </c>
      <c r="N6743" t="str">
        <f t="shared" si="677"/>
        <v>FOR</v>
      </c>
      <c r="O6743" t="s">
        <v>69</v>
      </c>
      <c r="P6743" s="3" t="s">
        <v>75</v>
      </c>
      <c r="Q6743">
        <v>2015</v>
      </c>
      <c r="R6743" s="2">
        <v>42122</v>
      </c>
      <c r="S6743" s="2">
        <v>42132</v>
      </c>
      <c r="T6743" s="2">
        <v>42130</v>
      </c>
      <c r="U6743" s="2">
        <v>42190</v>
      </c>
      <c r="V6743" t="s">
        <v>71</v>
      </c>
      <c r="W6743" t="str">
        <f>"            25242972"</f>
        <v xml:space="preserve">            25242972</v>
      </c>
      <c r="X6743" s="1">
        <v>17210.54</v>
      </c>
      <c r="Y6743">
        <v>0</v>
      </c>
      <c r="Z6743"/>
      <c r="AB6743"/>
      <c r="AC6743" s="1">
        <v>14107</v>
      </c>
      <c r="AD6743">
        <v>226</v>
      </c>
      <c r="AE6743" s="1">
        <v>3188182</v>
      </c>
      <c r="AF6743">
        <v>0</v>
      </c>
      <c r="AJ6743">
        <v>0</v>
      </c>
      <c r="AK6743">
        <v>0</v>
      </c>
      <c r="AL6743">
        <v>0</v>
      </c>
      <c r="AM6743">
        <v>0</v>
      </c>
      <c r="AN6743">
        <v>0</v>
      </c>
      <c r="AO6743">
        <v>0</v>
      </c>
      <c r="AP6743" s="2">
        <v>42746</v>
      </c>
      <c r="AQ6743" t="s">
        <v>72</v>
      </c>
      <c r="AR6743" t="s">
        <v>72</v>
      </c>
      <c r="AS6743">
        <v>455</v>
      </c>
      <c r="AT6743" s="4">
        <v>42416</v>
      </c>
      <c r="AU6743" t="s">
        <v>73</v>
      </c>
      <c r="AV6743">
        <v>455</v>
      </c>
      <c r="AW6743" s="4">
        <v>42416</v>
      </c>
      <c r="BD6743">
        <v>0</v>
      </c>
      <c r="BN6743" t="s">
        <v>74</v>
      </c>
    </row>
    <row r="6744" spans="1:66" hidden="1">
      <c r="A6744">
        <v>104093</v>
      </c>
      <c r="B6744" s="3" t="s">
        <v>609</v>
      </c>
      <c r="C6744" s="1">
        <v>43300101</v>
      </c>
      <c r="D6744" t="s">
        <v>67</v>
      </c>
      <c r="H6744" t="str">
        <f t="shared" si="678"/>
        <v>12572900152</v>
      </c>
      <c r="I6744" t="str">
        <f t="shared" si="679"/>
        <v>06032681006</v>
      </c>
      <c r="K6744" t="str">
        <f>""</f>
        <v/>
      </c>
      <c r="M6744" t="s">
        <v>68</v>
      </c>
      <c r="N6744" t="str">
        <f t="shared" si="677"/>
        <v>FOR</v>
      </c>
      <c r="O6744" t="s">
        <v>69</v>
      </c>
      <c r="P6744" s="3" t="s">
        <v>75</v>
      </c>
      <c r="Q6744">
        <v>2015</v>
      </c>
      <c r="R6744" s="2">
        <v>42130</v>
      </c>
      <c r="S6744" s="2">
        <v>42135</v>
      </c>
      <c r="T6744" s="2">
        <v>42133</v>
      </c>
      <c r="U6744" s="2">
        <v>42193</v>
      </c>
      <c r="V6744" t="s">
        <v>71</v>
      </c>
      <c r="W6744" t="str">
        <f>"            25244404"</f>
        <v xml:space="preserve">            25244404</v>
      </c>
      <c r="X6744" s="1">
        <v>3801.2</v>
      </c>
      <c r="Y6744">
        <v>0</v>
      </c>
      <c r="Z6744"/>
      <c r="AB6744"/>
      <c r="AC6744" s="1">
        <v>3655</v>
      </c>
      <c r="AD6744">
        <v>260</v>
      </c>
      <c r="AE6744" s="1">
        <v>950300</v>
      </c>
      <c r="AF6744">
        <v>0</v>
      </c>
      <c r="AJ6744">
        <v>0</v>
      </c>
      <c r="AK6744">
        <v>0</v>
      </c>
      <c r="AL6744">
        <v>0</v>
      </c>
      <c r="AM6744">
        <v>0</v>
      </c>
      <c r="AN6744">
        <v>0</v>
      </c>
      <c r="AO6744">
        <v>0</v>
      </c>
      <c r="AP6744" s="2">
        <v>42746</v>
      </c>
      <c r="AQ6744" t="s">
        <v>72</v>
      </c>
      <c r="AR6744" t="s">
        <v>72</v>
      </c>
      <c r="AS6744">
        <v>866</v>
      </c>
      <c r="AT6744" s="4">
        <v>42453</v>
      </c>
      <c r="AU6744" t="s">
        <v>73</v>
      </c>
      <c r="AV6744">
        <v>866</v>
      </c>
      <c r="AW6744" s="4">
        <v>42453</v>
      </c>
      <c r="BD6744">
        <v>0</v>
      </c>
      <c r="BN6744" t="s">
        <v>74</v>
      </c>
    </row>
    <row r="6745" spans="1:66" hidden="1">
      <c r="A6745">
        <v>104093</v>
      </c>
      <c r="B6745" s="3" t="s">
        <v>609</v>
      </c>
      <c r="C6745" s="1">
        <v>43300101</v>
      </c>
      <c r="D6745" t="s">
        <v>67</v>
      </c>
      <c r="H6745" t="str">
        <f t="shared" si="678"/>
        <v>12572900152</v>
      </c>
      <c r="I6745" t="str">
        <f t="shared" si="679"/>
        <v>06032681006</v>
      </c>
      <c r="K6745" t="str">
        <f>""</f>
        <v/>
      </c>
      <c r="M6745" t="s">
        <v>68</v>
      </c>
      <c r="N6745" t="str">
        <f t="shared" si="677"/>
        <v>FOR</v>
      </c>
      <c r="O6745" t="s">
        <v>69</v>
      </c>
      <c r="P6745" s="3" t="s">
        <v>75</v>
      </c>
      <c r="Q6745">
        <v>2015</v>
      </c>
      <c r="R6745" s="2">
        <v>42131</v>
      </c>
      <c r="S6745" s="2">
        <v>42135</v>
      </c>
      <c r="T6745" s="2">
        <v>42133</v>
      </c>
      <c r="U6745" s="2">
        <v>42193</v>
      </c>
      <c r="V6745" t="s">
        <v>71</v>
      </c>
      <c r="W6745" t="str">
        <f>"            25244598"</f>
        <v xml:space="preserve">            25244598</v>
      </c>
      <c r="X6745">
        <v>74.88</v>
      </c>
      <c r="Y6745">
        <v>0</v>
      </c>
      <c r="Z6745"/>
      <c r="AB6745"/>
      <c r="AC6745">
        <v>72</v>
      </c>
      <c r="AD6745">
        <v>260</v>
      </c>
      <c r="AE6745" s="1">
        <v>18720</v>
      </c>
      <c r="AF6745">
        <v>0</v>
      </c>
      <c r="AJ6745">
        <v>0</v>
      </c>
      <c r="AK6745">
        <v>0</v>
      </c>
      <c r="AL6745">
        <v>0</v>
      </c>
      <c r="AM6745">
        <v>0</v>
      </c>
      <c r="AN6745">
        <v>0</v>
      </c>
      <c r="AO6745">
        <v>0</v>
      </c>
      <c r="AP6745" s="2">
        <v>42746</v>
      </c>
      <c r="AQ6745" t="s">
        <v>72</v>
      </c>
      <c r="AR6745" t="s">
        <v>72</v>
      </c>
      <c r="AS6745">
        <v>866</v>
      </c>
      <c r="AT6745" s="4">
        <v>42453</v>
      </c>
      <c r="AU6745" t="s">
        <v>73</v>
      </c>
      <c r="AV6745">
        <v>866</v>
      </c>
      <c r="AW6745" s="4">
        <v>42453</v>
      </c>
      <c r="BD6745">
        <v>0</v>
      </c>
      <c r="BN6745" t="s">
        <v>74</v>
      </c>
    </row>
    <row r="6746" spans="1:66" hidden="1">
      <c r="A6746">
        <v>104093</v>
      </c>
      <c r="B6746" s="3" t="s">
        <v>609</v>
      </c>
      <c r="C6746" s="1">
        <v>43300101</v>
      </c>
      <c r="D6746" t="s">
        <v>67</v>
      </c>
      <c r="H6746" t="str">
        <f t="shared" si="678"/>
        <v>12572900152</v>
      </c>
      <c r="I6746" t="str">
        <f t="shared" si="679"/>
        <v>06032681006</v>
      </c>
      <c r="K6746" t="str">
        <f>""</f>
        <v/>
      </c>
      <c r="M6746" t="s">
        <v>68</v>
      </c>
      <c r="N6746" t="str">
        <f t="shared" si="677"/>
        <v>FOR</v>
      </c>
      <c r="O6746" t="s">
        <v>69</v>
      </c>
      <c r="P6746" s="3" t="s">
        <v>75</v>
      </c>
      <c r="Q6746">
        <v>2015</v>
      </c>
      <c r="R6746" s="2">
        <v>42131</v>
      </c>
      <c r="S6746" s="2">
        <v>42135</v>
      </c>
      <c r="T6746" s="2">
        <v>42133</v>
      </c>
      <c r="U6746" s="2">
        <v>42193</v>
      </c>
      <c r="V6746" t="s">
        <v>71</v>
      </c>
      <c r="W6746" t="str">
        <f>"            25244600"</f>
        <v xml:space="preserve">            25244600</v>
      </c>
      <c r="X6746">
        <v>74.88</v>
      </c>
      <c r="Y6746">
        <v>0</v>
      </c>
      <c r="Z6746"/>
      <c r="AB6746"/>
      <c r="AC6746">
        <v>72</v>
      </c>
      <c r="AD6746">
        <v>260</v>
      </c>
      <c r="AE6746" s="1">
        <v>18720</v>
      </c>
      <c r="AF6746">
        <v>0</v>
      </c>
      <c r="AJ6746">
        <v>0</v>
      </c>
      <c r="AK6746">
        <v>0</v>
      </c>
      <c r="AL6746">
        <v>0</v>
      </c>
      <c r="AM6746">
        <v>0</v>
      </c>
      <c r="AN6746">
        <v>0</v>
      </c>
      <c r="AO6746">
        <v>0</v>
      </c>
      <c r="AP6746" s="2">
        <v>42746</v>
      </c>
      <c r="AQ6746" t="s">
        <v>72</v>
      </c>
      <c r="AR6746" t="s">
        <v>72</v>
      </c>
      <c r="AS6746">
        <v>866</v>
      </c>
      <c r="AT6746" s="4">
        <v>42453</v>
      </c>
      <c r="AU6746" t="s">
        <v>73</v>
      </c>
      <c r="AV6746">
        <v>866</v>
      </c>
      <c r="AW6746" s="4">
        <v>42453</v>
      </c>
      <c r="BD6746">
        <v>0</v>
      </c>
      <c r="BN6746" t="s">
        <v>74</v>
      </c>
    </row>
    <row r="6747" spans="1:66" hidden="1">
      <c r="A6747">
        <v>104093</v>
      </c>
      <c r="B6747" s="3" t="s">
        <v>609</v>
      </c>
      <c r="C6747" s="1">
        <v>43300101</v>
      </c>
      <c r="D6747" t="s">
        <v>67</v>
      </c>
      <c r="H6747" t="str">
        <f t="shared" si="678"/>
        <v>12572900152</v>
      </c>
      <c r="I6747" t="str">
        <f t="shared" si="679"/>
        <v>06032681006</v>
      </c>
      <c r="K6747" t="str">
        <f>""</f>
        <v/>
      </c>
      <c r="M6747" t="s">
        <v>68</v>
      </c>
      <c r="N6747" t="str">
        <f t="shared" si="677"/>
        <v>FOR</v>
      </c>
      <c r="O6747" t="s">
        <v>69</v>
      </c>
      <c r="P6747" s="3" t="s">
        <v>75</v>
      </c>
      <c r="Q6747">
        <v>2015</v>
      </c>
      <c r="R6747" s="2">
        <v>42131</v>
      </c>
      <c r="S6747" s="2">
        <v>42135</v>
      </c>
      <c r="T6747" s="2">
        <v>42133</v>
      </c>
      <c r="U6747" s="2">
        <v>42193</v>
      </c>
      <c r="V6747" t="s">
        <v>71</v>
      </c>
      <c r="W6747" t="str">
        <f>"            25244603"</f>
        <v xml:space="preserve">            25244603</v>
      </c>
      <c r="X6747">
        <v>926.64</v>
      </c>
      <c r="Y6747">
        <v>0</v>
      </c>
      <c r="Z6747"/>
      <c r="AB6747"/>
      <c r="AC6747">
        <v>891</v>
      </c>
      <c r="AD6747">
        <v>260</v>
      </c>
      <c r="AE6747" s="1">
        <v>231660</v>
      </c>
      <c r="AF6747">
        <v>0</v>
      </c>
      <c r="AJ6747">
        <v>0</v>
      </c>
      <c r="AK6747">
        <v>0</v>
      </c>
      <c r="AL6747">
        <v>0</v>
      </c>
      <c r="AM6747">
        <v>0</v>
      </c>
      <c r="AN6747">
        <v>0</v>
      </c>
      <c r="AO6747">
        <v>0</v>
      </c>
      <c r="AP6747" s="2">
        <v>42746</v>
      </c>
      <c r="AQ6747" t="s">
        <v>72</v>
      </c>
      <c r="AR6747" t="s">
        <v>72</v>
      </c>
      <c r="AS6747">
        <v>866</v>
      </c>
      <c r="AT6747" s="4">
        <v>42453</v>
      </c>
      <c r="AU6747" t="s">
        <v>73</v>
      </c>
      <c r="AV6747">
        <v>866</v>
      </c>
      <c r="AW6747" s="4">
        <v>42453</v>
      </c>
      <c r="BD6747">
        <v>0</v>
      </c>
      <c r="BN6747" t="s">
        <v>74</v>
      </c>
    </row>
    <row r="6748" spans="1:66" hidden="1">
      <c r="A6748">
        <v>104093</v>
      </c>
      <c r="B6748" s="3" t="s">
        <v>609</v>
      </c>
      <c r="C6748" s="1">
        <v>43300101</v>
      </c>
      <c r="D6748" t="s">
        <v>67</v>
      </c>
      <c r="H6748" t="str">
        <f t="shared" si="678"/>
        <v>12572900152</v>
      </c>
      <c r="I6748" t="str">
        <f t="shared" si="679"/>
        <v>06032681006</v>
      </c>
      <c r="K6748" t="str">
        <f>""</f>
        <v/>
      </c>
      <c r="M6748" t="s">
        <v>68</v>
      </c>
      <c r="N6748" t="str">
        <f t="shared" si="677"/>
        <v>FOR</v>
      </c>
      <c r="O6748" t="s">
        <v>69</v>
      </c>
      <c r="P6748" s="3" t="s">
        <v>75</v>
      </c>
      <c r="Q6748">
        <v>2015</v>
      </c>
      <c r="R6748" s="2">
        <v>42131</v>
      </c>
      <c r="S6748" s="2">
        <v>42135</v>
      </c>
      <c r="T6748" s="2">
        <v>42133</v>
      </c>
      <c r="U6748" s="2">
        <v>42193</v>
      </c>
      <c r="V6748" t="s">
        <v>71</v>
      </c>
      <c r="W6748" t="str">
        <f>"            25244605"</f>
        <v xml:space="preserve">            25244605</v>
      </c>
      <c r="X6748">
        <v>252.72</v>
      </c>
      <c r="Y6748">
        <v>0</v>
      </c>
      <c r="Z6748"/>
      <c r="AB6748"/>
      <c r="AC6748">
        <v>243</v>
      </c>
      <c r="AD6748">
        <v>260</v>
      </c>
      <c r="AE6748" s="1">
        <v>63180</v>
      </c>
      <c r="AF6748">
        <v>0</v>
      </c>
      <c r="AJ6748">
        <v>0</v>
      </c>
      <c r="AK6748">
        <v>0</v>
      </c>
      <c r="AL6748">
        <v>0</v>
      </c>
      <c r="AM6748">
        <v>0</v>
      </c>
      <c r="AN6748">
        <v>0</v>
      </c>
      <c r="AO6748">
        <v>0</v>
      </c>
      <c r="AP6748" s="2">
        <v>42746</v>
      </c>
      <c r="AQ6748" t="s">
        <v>72</v>
      </c>
      <c r="AR6748" t="s">
        <v>72</v>
      </c>
      <c r="AS6748">
        <v>866</v>
      </c>
      <c r="AT6748" s="4">
        <v>42453</v>
      </c>
      <c r="AU6748" t="s">
        <v>73</v>
      </c>
      <c r="AV6748">
        <v>866</v>
      </c>
      <c r="AW6748" s="4">
        <v>42453</v>
      </c>
      <c r="BD6748">
        <v>0</v>
      </c>
      <c r="BN6748" t="s">
        <v>74</v>
      </c>
    </row>
    <row r="6749" spans="1:66" hidden="1">
      <c r="A6749">
        <v>104093</v>
      </c>
      <c r="B6749" s="3" t="s">
        <v>609</v>
      </c>
      <c r="C6749" s="1">
        <v>43300101</v>
      </c>
      <c r="D6749" t="s">
        <v>67</v>
      </c>
      <c r="H6749" t="str">
        <f t="shared" si="678"/>
        <v>12572900152</v>
      </c>
      <c r="I6749" t="str">
        <f t="shared" si="679"/>
        <v>06032681006</v>
      </c>
      <c r="K6749" t="str">
        <f>""</f>
        <v/>
      </c>
      <c r="M6749" t="s">
        <v>68</v>
      </c>
      <c r="N6749" t="str">
        <f t="shared" si="677"/>
        <v>FOR</v>
      </c>
      <c r="O6749" t="s">
        <v>69</v>
      </c>
      <c r="P6749" s="3" t="s">
        <v>75</v>
      </c>
      <c r="Q6749">
        <v>2015</v>
      </c>
      <c r="R6749" s="2">
        <v>42131</v>
      </c>
      <c r="S6749" s="2">
        <v>42135</v>
      </c>
      <c r="T6749" s="2">
        <v>42133</v>
      </c>
      <c r="U6749" s="2">
        <v>42193</v>
      </c>
      <c r="V6749" t="s">
        <v>71</v>
      </c>
      <c r="W6749" t="str">
        <f>"            25244608"</f>
        <v xml:space="preserve">            25244608</v>
      </c>
      <c r="X6749">
        <v>74.88</v>
      </c>
      <c r="Y6749">
        <v>0</v>
      </c>
      <c r="Z6749"/>
      <c r="AB6749"/>
      <c r="AC6749">
        <v>72</v>
      </c>
      <c r="AD6749">
        <v>260</v>
      </c>
      <c r="AE6749" s="1">
        <v>18720</v>
      </c>
      <c r="AF6749">
        <v>0</v>
      </c>
      <c r="AJ6749">
        <v>0</v>
      </c>
      <c r="AK6749">
        <v>0</v>
      </c>
      <c r="AL6749">
        <v>0</v>
      </c>
      <c r="AM6749">
        <v>0</v>
      </c>
      <c r="AN6749">
        <v>0</v>
      </c>
      <c r="AO6749">
        <v>0</v>
      </c>
      <c r="AP6749" s="2">
        <v>42746</v>
      </c>
      <c r="AQ6749" t="s">
        <v>72</v>
      </c>
      <c r="AR6749" t="s">
        <v>72</v>
      </c>
      <c r="AS6749">
        <v>866</v>
      </c>
      <c r="AT6749" s="4">
        <v>42453</v>
      </c>
      <c r="AU6749" t="s">
        <v>73</v>
      </c>
      <c r="AV6749">
        <v>866</v>
      </c>
      <c r="AW6749" s="4">
        <v>42453</v>
      </c>
      <c r="BD6749">
        <v>0</v>
      </c>
      <c r="BN6749" t="s">
        <v>74</v>
      </c>
    </row>
    <row r="6750" spans="1:66" hidden="1">
      <c r="A6750">
        <v>104093</v>
      </c>
      <c r="B6750" s="3" t="s">
        <v>609</v>
      </c>
      <c r="C6750" s="1">
        <v>43300101</v>
      </c>
      <c r="D6750" t="s">
        <v>67</v>
      </c>
      <c r="H6750" t="str">
        <f t="shared" si="678"/>
        <v>12572900152</v>
      </c>
      <c r="I6750" t="str">
        <f t="shared" si="679"/>
        <v>06032681006</v>
      </c>
      <c r="K6750" t="str">
        <f>""</f>
        <v/>
      </c>
      <c r="M6750" t="s">
        <v>68</v>
      </c>
      <c r="N6750" t="str">
        <f t="shared" si="677"/>
        <v>FOR</v>
      </c>
      <c r="O6750" t="s">
        <v>69</v>
      </c>
      <c r="P6750" s="3" t="s">
        <v>75</v>
      </c>
      <c r="Q6750">
        <v>2015</v>
      </c>
      <c r="R6750" s="2">
        <v>42132</v>
      </c>
      <c r="S6750" s="2">
        <v>42158</v>
      </c>
      <c r="T6750" s="2">
        <v>42138</v>
      </c>
      <c r="U6750" s="2">
        <v>42198</v>
      </c>
      <c r="V6750" t="s">
        <v>71</v>
      </c>
      <c r="W6750" t="str">
        <f>"            25245014"</f>
        <v xml:space="preserve">            25245014</v>
      </c>
      <c r="X6750">
        <v>497.76</v>
      </c>
      <c r="Y6750">
        <v>0</v>
      </c>
      <c r="Z6750"/>
      <c r="AB6750"/>
      <c r="AC6750">
        <v>408</v>
      </c>
      <c r="AD6750">
        <v>255</v>
      </c>
      <c r="AE6750" s="1">
        <v>104040</v>
      </c>
      <c r="AF6750">
        <v>0</v>
      </c>
      <c r="AJ6750">
        <v>0</v>
      </c>
      <c r="AK6750">
        <v>0</v>
      </c>
      <c r="AL6750">
        <v>0</v>
      </c>
      <c r="AM6750">
        <v>0</v>
      </c>
      <c r="AN6750">
        <v>0</v>
      </c>
      <c r="AO6750">
        <v>0</v>
      </c>
      <c r="AP6750" s="2">
        <v>42746</v>
      </c>
      <c r="AQ6750" t="s">
        <v>72</v>
      </c>
      <c r="AR6750" t="s">
        <v>72</v>
      </c>
      <c r="AS6750">
        <v>866</v>
      </c>
      <c r="AT6750" s="4">
        <v>42453</v>
      </c>
      <c r="AU6750" t="s">
        <v>73</v>
      </c>
      <c r="AV6750">
        <v>866</v>
      </c>
      <c r="AW6750" s="4">
        <v>42453</v>
      </c>
      <c r="BD6750">
        <v>0</v>
      </c>
      <c r="BN6750" t="s">
        <v>74</v>
      </c>
    </row>
    <row r="6751" spans="1:66" hidden="1">
      <c r="A6751">
        <v>104093</v>
      </c>
      <c r="B6751" s="3" t="s">
        <v>609</v>
      </c>
      <c r="C6751" s="1">
        <v>43300101</v>
      </c>
      <c r="D6751" t="s">
        <v>67</v>
      </c>
      <c r="H6751" t="str">
        <f t="shared" si="678"/>
        <v>12572900152</v>
      </c>
      <c r="I6751" t="str">
        <f t="shared" si="679"/>
        <v>06032681006</v>
      </c>
      <c r="K6751" t="str">
        <f>""</f>
        <v/>
      </c>
      <c r="M6751" t="s">
        <v>68</v>
      </c>
      <c r="N6751" t="str">
        <f t="shared" si="677"/>
        <v>FOR</v>
      </c>
      <c r="O6751" t="s">
        <v>69</v>
      </c>
      <c r="P6751" s="3" t="s">
        <v>75</v>
      </c>
      <c r="Q6751">
        <v>2015</v>
      </c>
      <c r="R6751" s="2">
        <v>42132</v>
      </c>
      <c r="S6751" s="2">
        <v>42158</v>
      </c>
      <c r="T6751" s="2">
        <v>42138</v>
      </c>
      <c r="U6751" s="2">
        <v>42198</v>
      </c>
      <c r="V6751" t="s">
        <v>71</v>
      </c>
      <c r="W6751" t="str">
        <f>"            25245125"</f>
        <v xml:space="preserve">            25245125</v>
      </c>
      <c r="X6751">
        <v>998.4</v>
      </c>
      <c r="Y6751">
        <v>0</v>
      </c>
      <c r="Z6751"/>
      <c r="AB6751"/>
      <c r="AC6751">
        <v>960</v>
      </c>
      <c r="AD6751">
        <v>255</v>
      </c>
      <c r="AE6751" s="1">
        <v>244800</v>
      </c>
      <c r="AF6751">
        <v>0</v>
      </c>
      <c r="AJ6751">
        <v>0</v>
      </c>
      <c r="AK6751">
        <v>0</v>
      </c>
      <c r="AL6751">
        <v>0</v>
      </c>
      <c r="AM6751">
        <v>0</v>
      </c>
      <c r="AN6751">
        <v>0</v>
      </c>
      <c r="AO6751">
        <v>0</v>
      </c>
      <c r="AP6751" s="2">
        <v>42746</v>
      </c>
      <c r="AQ6751" t="s">
        <v>72</v>
      </c>
      <c r="AR6751" t="s">
        <v>72</v>
      </c>
      <c r="AS6751">
        <v>866</v>
      </c>
      <c r="AT6751" s="4">
        <v>42453</v>
      </c>
      <c r="AU6751" t="s">
        <v>73</v>
      </c>
      <c r="AV6751">
        <v>866</v>
      </c>
      <c r="AW6751" s="4">
        <v>42453</v>
      </c>
      <c r="BD6751">
        <v>0</v>
      </c>
      <c r="BN6751" t="s">
        <v>74</v>
      </c>
    </row>
    <row r="6752" spans="1:66" hidden="1">
      <c r="A6752">
        <v>104093</v>
      </c>
      <c r="B6752" s="3" t="s">
        <v>609</v>
      </c>
      <c r="C6752" s="1">
        <v>43300101</v>
      </c>
      <c r="D6752" t="s">
        <v>67</v>
      </c>
      <c r="H6752" t="str">
        <f t="shared" si="678"/>
        <v>12572900152</v>
      </c>
      <c r="I6752" t="str">
        <f t="shared" si="679"/>
        <v>06032681006</v>
      </c>
      <c r="K6752" t="str">
        <f>""</f>
        <v/>
      </c>
      <c r="M6752" t="s">
        <v>68</v>
      </c>
      <c r="N6752" t="str">
        <f t="shared" si="677"/>
        <v>FOR</v>
      </c>
      <c r="O6752" t="s">
        <v>69</v>
      </c>
      <c r="P6752" s="3" t="s">
        <v>75</v>
      </c>
      <c r="Q6752">
        <v>2015</v>
      </c>
      <c r="R6752" s="2">
        <v>42132</v>
      </c>
      <c r="S6752" s="2">
        <v>42158</v>
      </c>
      <c r="T6752" s="2">
        <v>42138</v>
      </c>
      <c r="U6752" s="2">
        <v>42198</v>
      </c>
      <c r="V6752" t="s">
        <v>71</v>
      </c>
      <c r="W6752" t="str">
        <f>"            25245129"</f>
        <v xml:space="preserve">            25245129</v>
      </c>
      <c r="X6752" s="1">
        <v>5160.6000000000004</v>
      </c>
      <c r="Y6752">
        <v>0</v>
      </c>
      <c r="Z6752"/>
      <c r="AB6752"/>
      <c r="AC6752" s="1">
        <v>4230</v>
      </c>
      <c r="AD6752">
        <v>255</v>
      </c>
      <c r="AE6752" s="1">
        <v>1078650</v>
      </c>
      <c r="AF6752">
        <v>0</v>
      </c>
      <c r="AJ6752">
        <v>0</v>
      </c>
      <c r="AK6752">
        <v>0</v>
      </c>
      <c r="AL6752">
        <v>0</v>
      </c>
      <c r="AM6752">
        <v>0</v>
      </c>
      <c r="AN6752">
        <v>0</v>
      </c>
      <c r="AO6752">
        <v>0</v>
      </c>
      <c r="AP6752" s="2">
        <v>42746</v>
      </c>
      <c r="AQ6752" t="s">
        <v>72</v>
      </c>
      <c r="AR6752" t="s">
        <v>72</v>
      </c>
      <c r="AS6752">
        <v>866</v>
      </c>
      <c r="AT6752" s="4">
        <v>42453</v>
      </c>
      <c r="AU6752" t="s">
        <v>73</v>
      </c>
      <c r="AV6752">
        <v>866</v>
      </c>
      <c r="AW6752" s="4">
        <v>42453</v>
      </c>
      <c r="BD6752">
        <v>0</v>
      </c>
      <c r="BN6752" t="s">
        <v>74</v>
      </c>
    </row>
    <row r="6753" spans="1:66" hidden="1">
      <c r="A6753">
        <v>104093</v>
      </c>
      <c r="B6753" s="3" t="s">
        <v>609</v>
      </c>
      <c r="C6753" s="1">
        <v>43300101</v>
      </c>
      <c r="D6753" t="s">
        <v>67</v>
      </c>
      <c r="H6753" t="str">
        <f t="shared" si="678"/>
        <v>12572900152</v>
      </c>
      <c r="I6753" t="str">
        <f t="shared" si="679"/>
        <v>06032681006</v>
      </c>
      <c r="K6753" t="str">
        <f>""</f>
        <v/>
      </c>
      <c r="M6753" t="s">
        <v>68</v>
      </c>
      <c r="N6753" t="str">
        <f t="shared" si="677"/>
        <v>FOR</v>
      </c>
      <c r="O6753" t="s">
        <v>69</v>
      </c>
      <c r="P6753" s="3" t="s">
        <v>75</v>
      </c>
      <c r="Q6753">
        <v>2015</v>
      </c>
      <c r="R6753" s="2">
        <v>42135</v>
      </c>
      <c r="S6753" s="2">
        <v>42139</v>
      </c>
      <c r="T6753" s="2">
        <v>42137</v>
      </c>
      <c r="U6753" s="2">
        <v>42197</v>
      </c>
      <c r="V6753" t="s">
        <v>71</v>
      </c>
      <c r="W6753" t="str">
        <f>"            25245189"</f>
        <v xml:space="preserve">            25245189</v>
      </c>
      <c r="X6753">
        <v>707.62</v>
      </c>
      <c r="Y6753">
        <v>0</v>
      </c>
      <c r="Z6753"/>
      <c r="AB6753"/>
      <c r="AC6753">
        <v>680.4</v>
      </c>
      <c r="AD6753">
        <v>256</v>
      </c>
      <c r="AE6753" s="1">
        <v>174182.39999999999</v>
      </c>
      <c r="AF6753">
        <v>0</v>
      </c>
      <c r="AJ6753">
        <v>0</v>
      </c>
      <c r="AK6753">
        <v>0</v>
      </c>
      <c r="AL6753">
        <v>0</v>
      </c>
      <c r="AM6753">
        <v>0</v>
      </c>
      <c r="AN6753">
        <v>0</v>
      </c>
      <c r="AO6753">
        <v>0</v>
      </c>
      <c r="AP6753" s="2">
        <v>42746</v>
      </c>
      <c r="AQ6753" t="s">
        <v>72</v>
      </c>
      <c r="AR6753" t="s">
        <v>72</v>
      </c>
      <c r="AS6753">
        <v>866</v>
      </c>
      <c r="AT6753" s="4">
        <v>42453</v>
      </c>
      <c r="AU6753" t="s">
        <v>73</v>
      </c>
      <c r="AV6753">
        <v>866</v>
      </c>
      <c r="AW6753" s="4">
        <v>42453</v>
      </c>
      <c r="BD6753">
        <v>0</v>
      </c>
      <c r="BN6753" t="s">
        <v>74</v>
      </c>
    </row>
    <row r="6754" spans="1:66" hidden="1">
      <c r="A6754">
        <v>104093</v>
      </c>
      <c r="B6754" s="3" t="s">
        <v>609</v>
      </c>
      <c r="C6754" s="1">
        <v>43300101</v>
      </c>
      <c r="D6754" t="s">
        <v>67</v>
      </c>
      <c r="H6754" t="str">
        <f t="shared" si="678"/>
        <v>12572900152</v>
      </c>
      <c r="I6754" t="str">
        <f t="shared" si="679"/>
        <v>06032681006</v>
      </c>
      <c r="K6754" t="str">
        <f>""</f>
        <v/>
      </c>
      <c r="M6754" t="s">
        <v>68</v>
      </c>
      <c r="N6754" t="str">
        <f t="shared" si="677"/>
        <v>FOR</v>
      </c>
      <c r="O6754" t="s">
        <v>69</v>
      </c>
      <c r="P6754" s="3" t="s">
        <v>75</v>
      </c>
      <c r="Q6754">
        <v>2015</v>
      </c>
      <c r="R6754" s="2">
        <v>42135</v>
      </c>
      <c r="S6754" s="2">
        <v>42139</v>
      </c>
      <c r="T6754" s="2">
        <v>42137</v>
      </c>
      <c r="U6754" s="2">
        <v>42197</v>
      </c>
      <c r="V6754" t="s">
        <v>71</v>
      </c>
      <c r="W6754" t="str">
        <f>"            25245190"</f>
        <v xml:space="preserve">            25245190</v>
      </c>
      <c r="X6754">
        <v>252.72</v>
      </c>
      <c r="Y6754">
        <v>0</v>
      </c>
      <c r="Z6754"/>
      <c r="AB6754"/>
      <c r="AC6754">
        <v>243</v>
      </c>
      <c r="AD6754">
        <v>256</v>
      </c>
      <c r="AE6754" s="1">
        <v>62208</v>
      </c>
      <c r="AF6754">
        <v>0</v>
      </c>
      <c r="AJ6754">
        <v>0</v>
      </c>
      <c r="AK6754">
        <v>0</v>
      </c>
      <c r="AL6754">
        <v>0</v>
      </c>
      <c r="AM6754">
        <v>0</v>
      </c>
      <c r="AN6754">
        <v>0</v>
      </c>
      <c r="AO6754">
        <v>0</v>
      </c>
      <c r="AP6754" s="2">
        <v>42746</v>
      </c>
      <c r="AQ6754" t="s">
        <v>72</v>
      </c>
      <c r="AR6754" t="s">
        <v>72</v>
      </c>
      <c r="AS6754">
        <v>866</v>
      </c>
      <c r="AT6754" s="4">
        <v>42453</v>
      </c>
      <c r="AU6754" t="s">
        <v>73</v>
      </c>
      <c r="AV6754">
        <v>866</v>
      </c>
      <c r="AW6754" s="4">
        <v>42453</v>
      </c>
      <c r="BD6754">
        <v>0</v>
      </c>
      <c r="BN6754" t="s">
        <v>74</v>
      </c>
    </row>
    <row r="6755" spans="1:66" hidden="1">
      <c r="A6755">
        <v>104093</v>
      </c>
      <c r="B6755" s="3" t="s">
        <v>609</v>
      </c>
      <c r="C6755" s="1">
        <v>43300101</v>
      </c>
      <c r="D6755" t="s">
        <v>67</v>
      </c>
      <c r="H6755" t="str">
        <f t="shared" si="678"/>
        <v>12572900152</v>
      </c>
      <c r="I6755" t="str">
        <f t="shared" si="679"/>
        <v>06032681006</v>
      </c>
      <c r="K6755" t="str">
        <f>""</f>
        <v/>
      </c>
      <c r="M6755" t="s">
        <v>68</v>
      </c>
      <c r="N6755" t="str">
        <f t="shared" si="677"/>
        <v>FOR</v>
      </c>
      <c r="O6755" t="s">
        <v>69</v>
      </c>
      <c r="P6755" s="3" t="s">
        <v>75</v>
      </c>
      <c r="Q6755">
        <v>2015</v>
      </c>
      <c r="R6755" s="2">
        <v>42135</v>
      </c>
      <c r="S6755" s="2">
        <v>42139</v>
      </c>
      <c r="T6755" s="2">
        <v>42137</v>
      </c>
      <c r="U6755" s="2">
        <v>42197</v>
      </c>
      <c r="V6755" t="s">
        <v>71</v>
      </c>
      <c r="W6755" t="str">
        <f>"            25245191"</f>
        <v xml:space="preserve">            25245191</v>
      </c>
      <c r="X6755">
        <v>74.88</v>
      </c>
      <c r="Y6755">
        <v>0</v>
      </c>
      <c r="Z6755"/>
      <c r="AB6755"/>
      <c r="AC6755">
        <v>72</v>
      </c>
      <c r="AD6755">
        <v>256</v>
      </c>
      <c r="AE6755" s="1">
        <v>18432</v>
      </c>
      <c r="AF6755">
        <v>0</v>
      </c>
      <c r="AJ6755">
        <v>0</v>
      </c>
      <c r="AK6755">
        <v>0</v>
      </c>
      <c r="AL6755">
        <v>0</v>
      </c>
      <c r="AM6755">
        <v>0</v>
      </c>
      <c r="AN6755">
        <v>0</v>
      </c>
      <c r="AO6755">
        <v>0</v>
      </c>
      <c r="AP6755" s="2">
        <v>42746</v>
      </c>
      <c r="AQ6755" t="s">
        <v>72</v>
      </c>
      <c r="AR6755" t="s">
        <v>72</v>
      </c>
      <c r="AS6755">
        <v>866</v>
      </c>
      <c r="AT6755" s="4">
        <v>42453</v>
      </c>
      <c r="AU6755" t="s">
        <v>73</v>
      </c>
      <c r="AV6755">
        <v>866</v>
      </c>
      <c r="AW6755" s="4">
        <v>42453</v>
      </c>
      <c r="BD6755">
        <v>0</v>
      </c>
      <c r="BN6755" t="s">
        <v>74</v>
      </c>
    </row>
    <row r="6756" spans="1:66" hidden="1">
      <c r="A6756">
        <v>104093</v>
      </c>
      <c r="B6756" s="3" t="s">
        <v>609</v>
      </c>
      <c r="C6756" s="1">
        <v>43300101</v>
      </c>
      <c r="D6756" t="s">
        <v>67</v>
      </c>
      <c r="H6756" t="str">
        <f t="shared" si="678"/>
        <v>12572900152</v>
      </c>
      <c r="I6756" t="str">
        <f t="shared" si="679"/>
        <v>06032681006</v>
      </c>
      <c r="K6756" t="str">
        <f>""</f>
        <v/>
      </c>
      <c r="M6756" t="s">
        <v>68</v>
      </c>
      <c r="N6756" t="str">
        <f t="shared" si="677"/>
        <v>FOR</v>
      </c>
      <c r="O6756" t="s">
        <v>69</v>
      </c>
      <c r="P6756" s="3" t="s">
        <v>75</v>
      </c>
      <c r="Q6756">
        <v>2015</v>
      </c>
      <c r="R6756" s="2">
        <v>42135</v>
      </c>
      <c r="S6756" s="2">
        <v>42139</v>
      </c>
      <c r="T6756" s="2">
        <v>42137</v>
      </c>
      <c r="U6756" s="2">
        <v>42197</v>
      </c>
      <c r="V6756" t="s">
        <v>71</v>
      </c>
      <c r="W6756" t="str">
        <f>"            25245216"</f>
        <v xml:space="preserve">            25245216</v>
      </c>
      <c r="X6756">
        <v>707.62</v>
      </c>
      <c r="Y6756">
        <v>0</v>
      </c>
      <c r="Z6756"/>
      <c r="AB6756"/>
      <c r="AC6756">
        <v>680.4</v>
      </c>
      <c r="AD6756">
        <v>256</v>
      </c>
      <c r="AE6756" s="1">
        <v>174182.39999999999</v>
      </c>
      <c r="AF6756">
        <v>0</v>
      </c>
      <c r="AJ6756">
        <v>0</v>
      </c>
      <c r="AK6756">
        <v>0</v>
      </c>
      <c r="AL6756">
        <v>0</v>
      </c>
      <c r="AM6756">
        <v>0</v>
      </c>
      <c r="AN6756">
        <v>0</v>
      </c>
      <c r="AO6756">
        <v>0</v>
      </c>
      <c r="AP6756" s="2">
        <v>42746</v>
      </c>
      <c r="AQ6756" t="s">
        <v>72</v>
      </c>
      <c r="AR6756" t="s">
        <v>72</v>
      </c>
      <c r="AS6756">
        <v>866</v>
      </c>
      <c r="AT6756" s="4">
        <v>42453</v>
      </c>
      <c r="AU6756" t="s">
        <v>73</v>
      </c>
      <c r="AV6756">
        <v>866</v>
      </c>
      <c r="AW6756" s="4">
        <v>42453</v>
      </c>
      <c r="BD6756">
        <v>0</v>
      </c>
      <c r="BN6756" t="s">
        <v>74</v>
      </c>
    </row>
    <row r="6757" spans="1:66" hidden="1">
      <c r="A6757">
        <v>104093</v>
      </c>
      <c r="B6757" s="3" t="s">
        <v>609</v>
      </c>
      <c r="C6757" s="1">
        <v>43300101</v>
      </c>
      <c r="D6757" t="s">
        <v>67</v>
      </c>
      <c r="H6757" t="str">
        <f t="shared" si="678"/>
        <v>12572900152</v>
      </c>
      <c r="I6757" t="str">
        <f t="shared" si="679"/>
        <v>06032681006</v>
      </c>
      <c r="K6757" t="str">
        <f>""</f>
        <v/>
      </c>
      <c r="M6757" t="s">
        <v>68</v>
      </c>
      <c r="N6757" t="str">
        <f t="shared" si="677"/>
        <v>FOR</v>
      </c>
      <c r="O6757" t="s">
        <v>69</v>
      </c>
      <c r="P6757" s="3" t="s">
        <v>75</v>
      </c>
      <c r="Q6757">
        <v>2015</v>
      </c>
      <c r="R6757" s="2">
        <v>42146</v>
      </c>
      <c r="S6757" s="2">
        <v>42163</v>
      </c>
      <c r="T6757" s="2">
        <v>42149</v>
      </c>
      <c r="U6757" s="2">
        <v>42209</v>
      </c>
      <c r="V6757" t="s">
        <v>71</v>
      </c>
      <c r="W6757" t="str">
        <f>"            25247666"</f>
        <v xml:space="preserve">            25247666</v>
      </c>
      <c r="X6757" s="1">
        <v>10615.22</v>
      </c>
      <c r="Y6757">
        <v>0</v>
      </c>
      <c r="Z6757"/>
      <c r="AB6757"/>
      <c r="AC6757" s="1">
        <v>8701</v>
      </c>
      <c r="AD6757">
        <v>244</v>
      </c>
      <c r="AE6757" s="1">
        <v>2123044</v>
      </c>
      <c r="AF6757">
        <v>0</v>
      </c>
      <c r="AJ6757">
        <v>0</v>
      </c>
      <c r="AK6757">
        <v>0</v>
      </c>
      <c r="AL6757">
        <v>0</v>
      </c>
      <c r="AM6757">
        <v>0</v>
      </c>
      <c r="AN6757">
        <v>0</v>
      </c>
      <c r="AO6757">
        <v>0</v>
      </c>
      <c r="AP6757" s="2">
        <v>42746</v>
      </c>
      <c r="AQ6757" t="s">
        <v>72</v>
      </c>
      <c r="AR6757" t="s">
        <v>72</v>
      </c>
      <c r="AS6757">
        <v>866</v>
      </c>
      <c r="AT6757" s="4">
        <v>42453</v>
      </c>
      <c r="AU6757" t="s">
        <v>73</v>
      </c>
      <c r="AV6757">
        <v>866</v>
      </c>
      <c r="AW6757" s="4">
        <v>42453</v>
      </c>
      <c r="BD6757">
        <v>0</v>
      </c>
      <c r="BN6757" t="s">
        <v>74</v>
      </c>
    </row>
    <row r="6758" spans="1:66" hidden="1">
      <c r="A6758">
        <v>104093</v>
      </c>
      <c r="B6758" s="3" t="s">
        <v>609</v>
      </c>
      <c r="C6758" s="1">
        <v>43300101</v>
      </c>
      <c r="D6758" t="s">
        <v>67</v>
      </c>
      <c r="H6758" t="str">
        <f t="shared" si="678"/>
        <v>12572900152</v>
      </c>
      <c r="I6758" t="str">
        <f t="shared" si="679"/>
        <v>06032681006</v>
      </c>
      <c r="K6758" t="str">
        <f>""</f>
        <v/>
      </c>
      <c r="M6758" t="s">
        <v>68</v>
      </c>
      <c r="N6758" t="str">
        <f t="shared" si="677"/>
        <v>FOR</v>
      </c>
      <c r="O6758" t="s">
        <v>69</v>
      </c>
      <c r="P6758" s="3" t="s">
        <v>75</v>
      </c>
      <c r="Q6758">
        <v>2015</v>
      </c>
      <c r="R6758" s="2">
        <v>42152</v>
      </c>
      <c r="S6758" s="2">
        <v>42158</v>
      </c>
      <c r="T6758" s="2">
        <v>42154</v>
      </c>
      <c r="U6758" s="2">
        <v>42214</v>
      </c>
      <c r="V6758" t="s">
        <v>71</v>
      </c>
      <c r="W6758" t="str">
        <f>"            25248984"</f>
        <v xml:space="preserve">            25248984</v>
      </c>
      <c r="X6758">
        <v>707.62</v>
      </c>
      <c r="Y6758">
        <v>0</v>
      </c>
      <c r="Z6758"/>
      <c r="AB6758"/>
      <c r="AC6758">
        <v>680.4</v>
      </c>
      <c r="AD6758">
        <v>239</v>
      </c>
      <c r="AE6758" s="1">
        <v>162615.6</v>
      </c>
      <c r="AF6758">
        <v>0</v>
      </c>
      <c r="AJ6758">
        <v>0</v>
      </c>
      <c r="AK6758">
        <v>0</v>
      </c>
      <c r="AL6758">
        <v>0</v>
      </c>
      <c r="AM6758">
        <v>0</v>
      </c>
      <c r="AN6758">
        <v>0</v>
      </c>
      <c r="AO6758">
        <v>0</v>
      </c>
      <c r="AP6758" s="2">
        <v>42746</v>
      </c>
      <c r="AQ6758" t="s">
        <v>72</v>
      </c>
      <c r="AR6758" t="s">
        <v>72</v>
      </c>
      <c r="AS6758">
        <v>866</v>
      </c>
      <c r="AT6758" s="4">
        <v>42453</v>
      </c>
      <c r="AU6758" t="s">
        <v>73</v>
      </c>
      <c r="AV6758">
        <v>866</v>
      </c>
      <c r="AW6758" s="4">
        <v>42453</v>
      </c>
      <c r="BD6758">
        <v>0</v>
      </c>
      <c r="BN6758" t="s">
        <v>74</v>
      </c>
    </row>
    <row r="6759" spans="1:66" hidden="1">
      <c r="A6759">
        <v>104093</v>
      </c>
      <c r="B6759" s="3" t="s">
        <v>609</v>
      </c>
      <c r="C6759" s="1">
        <v>43300101</v>
      </c>
      <c r="D6759" t="s">
        <v>67</v>
      </c>
      <c r="H6759" t="str">
        <f t="shared" si="678"/>
        <v>12572900152</v>
      </c>
      <c r="I6759" t="str">
        <f t="shared" si="679"/>
        <v>06032681006</v>
      </c>
      <c r="K6759" t="str">
        <f>""</f>
        <v/>
      </c>
      <c r="M6759" t="s">
        <v>68</v>
      </c>
      <c r="N6759" t="str">
        <f t="shared" si="677"/>
        <v>FOR</v>
      </c>
      <c r="O6759" t="s">
        <v>69</v>
      </c>
      <c r="P6759" s="3" t="s">
        <v>75</v>
      </c>
      <c r="Q6759">
        <v>2015</v>
      </c>
      <c r="R6759" s="2">
        <v>42152</v>
      </c>
      <c r="S6759" s="2">
        <v>42158</v>
      </c>
      <c r="T6759" s="2">
        <v>42154</v>
      </c>
      <c r="U6759" s="2">
        <v>42214</v>
      </c>
      <c r="V6759" t="s">
        <v>71</v>
      </c>
      <c r="W6759" t="str">
        <f>"            25248986"</f>
        <v xml:space="preserve">            25248986</v>
      </c>
      <c r="X6759">
        <v>252.72</v>
      </c>
      <c r="Y6759">
        <v>0</v>
      </c>
      <c r="Z6759"/>
      <c r="AB6759"/>
      <c r="AC6759">
        <v>243</v>
      </c>
      <c r="AD6759">
        <v>239</v>
      </c>
      <c r="AE6759" s="1">
        <v>58077</v>
      </c>
      <c r="AF6759">
        <v>0</v>
      </c>
      <c r="AJ6759">
        <v>0</v>
      </c>
      <c r="AK6759">
        <v>0</v>
      </c>
      <c r="AL6759">
        <v>0</v>
      </c>
      <c r="AM6759">
        <v>0</v>
      </c>
      <c r="AN6759">
        <v>0</v>
      </c>
      <c r="AO6759">
        <v>0</v>
      </c>
      <c r="AP6759" s="2">
        <v>42746</v>
      </c>
      <c r="AQ6759" t="s">
        <v>72</v>
      </c>
      <c r="AR6759" t="s">
        <v>72</v>
      </c>
      <c r="AS6759">
        <v>866</v>
      </c>
      <c r="AT6759" s="4">
        <v>42453</v>
      </c>
      <c r="AU6759" t="s">
        <v>73</v>
      </c>
      <c r="AV6759">
        <v>866</v>
      </c>
      <c r="AW6759" s="4">
        <v>42453</v>
      </c>
      <c r="BD6759">
        <v>0</v>
      </c>
      <c r="BN6759" t="s">
        <v>74</v>
      </c>
    </row>
    <row r="6760" spans="1:66" hidden="1">
      <c r="A6760">
        <v>104093</v>
      </c>
      <c r="B6760" s="3" t="s">
        <v>609</v>
      </c>
      <c r="C6760" s="1">
        <v>43300101</v>
      </c>
      <c r="D6760" t="s">
        <v>67</v>
      </c>
      <c r="H6760" t="str">
        <f t="shared" si="678"/>
        <v>12572900152</v>
      </c>
      <c r="I6760" t="str">
        <f t="shared" si="679"/>
        <v>06032681006</v>
      </c>
      <c r="K6760" t="str">
        <f>""</f>
        <v/>
      </c>
      <c r="M6760" t="s">
        <v>68</v>
      </c>
      <c r="N6760" t="str">
        <f t="shared" si="677"/>
        <v>FOR</v>
      </c>
      <c r="O6760" t="s">
        <v>69</v>
      </c>
      <c r="P6760" s="3" t="s">
        <v>75</v>
      </c>
      <c r="Q6760">
        <v>2015</v>
      </c>
      <c r="R6760" s="2">
        <v>42152</v>
      </c>
      <c r="S6760" s="2">
        <v>42158</v>
      </c>
      <c r="T6760" s="2">
        <v>42154</v>
      </c>
      <c r="U6760" s="2">
        <v>42214</v>
      </c>
      <c r="V6760" t="s">
        <v>71</v>
      </c>
      <c r="W6760" t="str">
        <f>"            25248988"</f>
        <v xml:space="preserve">            25248988</v>
      </c>
      <c r="X6760">
        <v>252.72</v>
      </c>
      <c r="Y6760">
        <v>0</v>
      </c>
      <c r="Z6760"/>
      <c r="AB6760"/>
      <c r="AC6760">
        <v>243</v>
      </c>
      <c r="AD6760">
        <v>239</v>
      </c>
      <c r="AE6760" s="1">
        <v>58077</v>
      </c>
      <c r="AF6760">
        <v>0</v>
      </c>
      <c r="AJ6760">
        <v>0</v>
      </c>
      <c r="AK6760">
        <v>0</v>
      </c>
      <c r="AL6760">
        <v>0</v>
      </c>
      <c r="AM6760">
        <v>0</v>
      </c>
      <c r="AN6760">
        <v>0</v>
      </c>
      <c r="AO6760">
        <v>0</v>
      </c>
      <c r="AP6760" s="2">
        <v>42746</v>
      </c>
      <c r="AQ6760" t="s">
        <v>72</v>
      </c>
      <c r="AR6760" t="s">
        <v>72</v>
      </c>
      <c r="AS6760">
        <v>866</v>
      </c>
      <c r="AT6760" s="4">
        <v>42453</v>
      </c>
      <c r="AU6760" t="s">
        <v>73</v>
      </c>
      <c r="AV6760">
        <v>866</v>
      </c>
      <c r="AW6760" s="4">
        <v>42453</v>
      </c>
      <c r="BD6760">
        <v>0</v>
      </c>
      <c r="BN6760" t="s">
        <v>74</v>
      </c>
    </row>
    <row r="6761" spans="1:66" hidden="1">
      <c r="A6761">
        <v>104093</v>
      </c>
      <c r="B6761" s="3" t="s">
        <v>609</v>
      </c>
      <c r="C6761" s="1">
        <v>43300101</v>
      </c>
      <c r="D6761" t="s">
        <v>67</v>
      </c>
      <c r="H6761" t="str">
        <f t="shared" si="678"/>
        <v>12572900152</v>
      </c>
      <c r="I6761" t="str">
        <f t="shared" si="679"/>
        <v>06032681006</v>
      </c>
      <c r="K6761" t="str">
        <f>""</f>
        <v/>
      </c>
      <c r="M6761" t="s">
        <v>68</v>
      </c>
      <c r="N6761" t="str">
        <f t="shared" si="677"/>
        <v>FOR</v>
      </c>
      <c r="O6761" t="s">
        <v>69</v>
      </c>
      <c r="P6761" s="3" t="s">
        <v>75</v>
      </c>
      <c r="Q6761">
        <v>2015</v>
      </c>
      <c r="R6761" s="2">
        <v>42152</v>
      </c>
      <c r="S6761" s="2">
        <v>42158</v>
      </c>
      <c r="T6761" s="2">
        <v>42154</v>
      </c>
      <c r="U6761" s="2">
        <v>42214</v>
      </c>
      <c r="V6761" t="s">
        <v>71</v>
      </c>
      <c r="W6761" t="str">
        <f>"            25248989"</f>
        <v xml:space="preserve">            25248989</v>
      </c>
      <c r="X6761">
        <v>74.88</v>
      </c>
      <c r="Y6761">
        <v>0</v>
      </c>
      <c r="Z6761"/>
      <c r="AB6761"/>
      <c r="AC6761">
        <v>72</v>
      </c>
      <c r="AD6761">
        <v>239</v>
      </c>
      <c r="AE6761" s="1">
        <v>17208</v>
      </c>
      <c r="AF6761">
        <v>0</v>
      </c>
      <c r="AJ6761">
        <v>0</v>
      </c>
      <c r="AK6761">
        <v>0</v>
      </c>
      <c r="AL6761">
        <v>0</v>
      </c>
      <c r="AM6761">
        <v>0</v>
      </c>
      <c r="AN6761">
        <v>0</v>
      </c>
      <c r="AO6761">
        <v>0</v>
      </c>
      <c r="AP6761" s="2">
        <v>42746</v>
      </c>
      <c r="AQ6761" t="s">
        <v>72</v>
      </c>
      <c r="AR6761" t="s">
        <v>72</v>
      </c>
      <c r="AS6761">
        <v>866</v>
      </c>
      <c r="AT6761" s="4">
        <v>42453</v>
      </c>
      <c r="AU6761" t="s">
        <v>73</v>
      </c>
      <c r="AV6761">
        <v>866</v>
      </c>
      <c r="AW6761" s="4">
        <v>42453</v>
      </c>
      <c r="BD6761">
        <v>0</v>
      </c>
      <c r="BN6761" t="s">
        <v>74</v>
      </c>
    </row>
    <row r="6762" spans="1:66" hidden="1">
      <c r="A6762">
        <v>104093</v>
      </c>
      <c r="B6762" s="3" t="s">
        <v>609</v>
      </c>
      <c r="C6762" s="1">
        <v>43300101</v>
      </c>
      <c r="D6762" t="s">
        <v>67</v>
      </c>
      <c r="H6762" t="str">
        <f t="shared" si="678"/>
        <v>12572900152</v>
      </c>
      <c r="I6762" t="str">
        <f t="shared" si="679"/>
        <v>06032681006</v>
      </c>
      <c r="K6762" t="str">
        <f>""</f>
        <v/>
      </c>
      <c r="M6762" t="s">
        <v>68</v>
      </c>
      <c r="N6762" t="str">
        <f t="shared" si="677"/>
        <v>FOR</v>
      </c>
      <c r="O6762" t="s">
        <v>69</v>
      </c>
      <c r="P6762" s="3" t="s">
        <v>75</v>
      </c>
      <c r="Q6762">
        <v>2015</v>
      </c>
      <c r="R6762" s="2">
        <v>42152</v>
      </c>
      <c r="S6762" s="2">
        <v>42158</v>
      </c>
      <c r="T6762" s="2">
        <v>42154</v>
      </c>
      <c r="U6762" s="2">
        <v>42214</v>
      </c>
      <c r="V6762" t="s">
        <v>71</v>
      </c>
      <c r="W6762" t="str">
        <f>"            25248993"</f>
        <v xml:space="preserve">            25248993</v>
      </c>
      <c r="X6762">
        <v>252.72</v>
      </c>
      <c r="Y6762">
        <v>0</v>
      </c>
      <c r="Z6762"/>
      <c r="AB6762"/>
      <c r="AC6762">
        <v>243</v>
      </c>
      <c r="AD6762">
        <v>239</v>
      </c>
      <c r="AE6762" s="1">
        <v>58077</v>
      </c>
      <c r="AF6762">
        <v>0</v>
      </c>
      <c r="AJ6762">
        <v>0</v>
      </c>
      <c r="AK6762">
        <v>0</v>
      </c>
      <c r="AL6762">
        <v>0</v>
      </c>
      <c r="AM6762">
        <v>0</v>
      </c>
      <c r="AN6762">
        <v>0</v>
      </c>
      <c r="AO6762">
        <v>0</v>
      </c>
      <c r="AP6762" s="2">
        <v>42746</v>
      </c>
      <c r="AQ6762" t="s">
        <v>72</v>
      </c>
      <c r="AR6762" t="s">
        <v>72</v>
      </c>
      <c r="AS6762">
        <v>866</v>
      </c>
      <c r="AT6762" s="4">
        <v>42453</v>
      </c>
      <c r="AU6762" t="s">
        <v>73</v>
      </c>
      <c r="AV6762">
        <v>866</v>
      </c>
      <c r="AW6762" s="4">
        <v>42453</v>
      </c>
      <c r="BD6762">
        <v>0</v>
      </c>
      <c r="BN6762" t="s">
        <v>74</v>
      </c>
    </row>
    <row r="6763" spans="1:66" hidden="1">
      <c r="A6763">
        <v>104093</v>
      </c>
      <c r="B6763" s="3" t="s">
        <v>609</v>
      </c>
      <c r="C6763" s="1">
        <v>43300101</v>
      </c>
      <c r="D6763" t="s">
        <v>67</v>
      </c>
      <c r="H6763" t="str">
        <f t="shared" si="678"/>
        <v>12572900152</v>
      </c>
      <c r="I6763" t="str">
        <f t="shared" si="679"/>
        <v>06032681006</v>
      </c>
      <c r="K6763" t="str">
        <f>""</f>
        <v/>
      </c>
      <c r="M6763" t="s">
        <v>68</v>
      </c>
      <c r="N6763" t="str">
        <f t="shared" si="677"/>
        <v>FOR</v>
      </c>
      <c r="O6763" t="s">
        <v>69</v>
      </c>
      <c r="P6763" s="3" t="s">
        <v>75</v>
      </c>
      <c r="Q6763">
        <v>2015</v>
      </c>
      <c r="R6763" s="2">
        <v>42152</v>
      </c>
      <c r="S6763" s="2">
        <v>42158</v>
      </c>
      <c r="T6763" s="2">
        <v>42154</v>
      </c>
      <c r="U6763" s="2">
        <v>42214</v>
      </c>
      <c r="V6763" t="s">
        <v>71</v>
      </c>
      <c r="W6763" t="str">
        <f>"            25248995"</f>
        <v xml:space="preserve">            25248995</v>
      </c>
      <c r="X6763">
        <v>707.62</v>
      </c>
      <c r="Y6763">
        <v>0</v>
      </c>
      <c r="Z6763"/>
      <c r="AB6763"/>
      <c r="AC6763">
        <v>680.4</v>
      </c>
      <c r="AD6763">
        <v>239</v>
      </c>
      <c r="AE6763" s="1">
        <v>162615.6</v>
      </c>
      <c r="AF6763">
        <v>0</v>
      </c>
      <c r="AJ6763">
        <v>0</v>
      </c>
      <c r="AK6763">
        <v>0</v>
      </c>
      <c r="AL6763">
        <v>0</v>
      </c>
      <c r="AM6763">
        <v>0</v>
      </c>
      <c r="AN6763">
        <v>0</v>
      </c>
      <c r="AO6763">
        <v>0</v>
      </c>
      <c r="AP6763" s="2">
        <v>42746</v>
      </c>
      <c r="AQ6763" t="s">
        <v>72</v>
      </c>
      <c r="AR6763" t="s">
        <v>72</v>
      </c>
      <c r="AS6763">
        <v>866</v>
      </c>
      <c r="AT6763" s="4">
        <v>42453</v>
      </c>
      <c r="AU6763" t="s">
        <v>73</v>
      </c>
      <c r="AV6763">
        <v>866</v>
      </c>
      <c r="AW6763" s="4">
        <v>42453</v>
      </c>
      <c r="BD6763">
        <v>0</v>
      </c>
      <c r="BN6763" t="s">
        <v>74</v>
      </c>
    </row>
    <row r="6764" spans="1:66" hidden="1">
      <c r="A6764">
        <v>104093</v>
      </c>
      <c r="B6764" s="3" t="s">
        <v>609</v>
      </c>
      <c r="C6764" s="1">
        <v>43300101</v>
      </c>
      <c r="D6764" t="s">
        <v>67</v>
      </c>
      <c r="H6764" t="str">
        <f t="shared" si="678"/>
        <v>12572900152</v>
      </c>
      <c r="I6764" t="str">
        <f t="shared" si="679"/>
        <v>06032681006</v>
      </c>
      <c r="K6764" t="str">
        <f>""</f>
        <v/>
      </c>
      <c r="M6764" t="s">
        <v>68</v>
      </c>
      <c r="N6764" t="str">
        <f t="shared" si="677"/>
        <v>FOR</v>
      </c>
      <c r="O6764" t="s">
        <v>69</v>
      </c>
      <c r="P6764" s="3" t="s">
        <v>75</v>
      </c>
      <c r="Q6764">
        <v>2015</v>
      </c>
      <c r="R6764" s="2">
        <v>42152</v>
      </c>
      <c r="S6764" s="2">
        <v>42158</v>
      </c>
      <c r="T6764" s="2">
        <v>42154</v>
      </c>
      <c r="U6764" s="2">
        <v>42214</v>
      </c>
      <c r="V6764" t="s">
        <v>71</v>
      </c>
      <c r="W6764" t="str">
        <f>"            25248997"</f>
        <v xml:space="preserve">            25248997</v>
      </c>
      <c r="X6764">
        <v>74.88</v>
      </c>
      <c r="Y6764">
        <v>0</v>
      </c>
      <c r="Z6764"/>
      <c r="AB6764"/>
      <c r="AC6764">
        <v>72</v>
      </c>
      <c r="AD6764">
        <v>239</v>
      </c>
      <c r="AE6764" s="1">
        <v>17208</v>
      </c>
      <c r="AF6764">
        <v>0</v>
      </c>
      <c r="AJ6764">
        <v>0</v>
      </c>
      <c r="AK6764">
        <v>0</v>
      </c>
      <c r="AL6764">
        <v>0</v>
      </c>
      <c r="AM6764">
        <v>0</v>
      </c>
      <c r="AN6764">
        <v>0</v>
      </c>
      <c r="AO6764">
        <v>0</v>
      </c>
      <c r="AP6764" s="2">
        <v>42746</v>
      </c>
      <c r="AQ6764" t="s">
        <v>72</v>
      </c>
      <c r="AR6764" t="s">
        <v>72</v>
      </c>
      <c r="AS6764">
        <v>866</v>
      </c>
      <c r="AT6764" s="4">
        <v>42453</v>
      </c>
      <c r="AU6764" t="s">
        <v>73</v>
      </c>
      <c r="AV6764">
        <v>866</v>
      </c>
      <c r="AW6764" s="4">
        <v>42453</v>
      </c>
      <c r="BD6764">
        <v>0</v>
      </c>
      <c r="BN6764" t="s">
        <v>74</v>
      </c>
    </row>
    <row r="6765" spans="1:66" hidden="1">
      <c r="A6765">
        <v>104093</v>
      </c>
      <c r="B6765" s="3" t="s">
        <v>609</v>
      </c>
      <c r="C6765" s="1">
        <v>43300101</v>
      </c>
      <c r="D6765" t="s">
        <v>67</v>
      </c>
      <c r="H6765" t="str">
        <f t="shared" si="678"/>
        <v>12572900152</v>
      </c>
      <c r="I6765" t="str">
        <f t="shared" si="679"/>
        <v>06032681006</v>
      </c>
      <c r="K6765" t="str">
        <f>""</f>
        <v/>
      </c>
      <c r="M6765" t="s">
        <v>68</v>
      </c>
      <c r="N6765" t="str">
        <f t="shared" si="677"/>
        <v>FOR</v>
      </c>
      <c r="O6765" t="s">
        <v>69</v>
      </c>
      <c r="P6765" s="3" t="s">
        <v>75</v>
      </c>
      <c r="Q6765">
        <v>2015</v>
      </c>
      <c r="R6765" s="2">
        <v>42152</v>
      </c>
      <c r="S6765" s="2">
        <v>42158</v>
      </c>
      <c r="T6765" s="2">
        <v>42154</v>
      </c>
      <c r="U6765" s="2">
        <v>42214</v>
      </c>
      <c r="V6765" t="s">
        <v>71</v>
      </c>
      <c r="W6765" t="str">
        <f>"            25248998"</f>
        <v xml:space="preserve">            25248998</v>
      </c>
      <c r="X6765">
        <v>707.62</v>
      </c>
      <c r="Y6765">
        <v>0</v>
      </c>
      <c r="Z6765"/>
      <c r="AB6765"/>
      <c r="AC6765">
        <v>680.4</v>
      </c>
      <c r="AD6765">
        <v>239</v>
      </c>
      <c r="AE6765" s="1">
        <v>162615.6</v>
      </c>
      <c r="AF6765">
        <v>0</v>
      </c>
      <c r="AJ6765">
        <v>0</v>
      </c>
      <c r="AK6765">
        <v>0</v>
      </c>
      <c r="AL6765">
        <v>0</v>
      </c>
      <c r="AM6765">
        <v>0</v>
      </c>
      <c r="AN6765">
        <v>0</v>
      </c>
      <c r="AO6765">
        <v>0</v>
      </c>
      <c r="AP6765" s="2">
        <v>42746</v>
      </c>
      <c r="AQ6765" t="s">
        <v>72</v>
      </c>
      <c r="AR6765" t="s">
        <v>72</v>
      </c>
      <c r="AS6765">
        <v>866</v>
      </c>
      <c r="AT6765" s="4">
        <v>42453</v>
      </c>
      <c r="AU6765" t="s">
        <v>73</v>
      </c>
      <c r="AV6765">
        <v>866</v>
      </c>
      <c r="AW6765" s="4">
        <v>42453</v>
      </c>
      <c r="BD6765">
        <v>0</v>
      </c>
      <c r="BN6765" t="s">
        <v>74</v>
      </c>
    </row>
    <row r="6766" spans="1:66" hidden="1">
      <c r="A6766">
        <v>104093</v>
      </c>
      <c r="B6766" s="3" t="s">
        <v>609</v>
      </c>
      <c r="C6766" s="1">
        <v>43300101</v>
      </c>
      <c r="D6766" t="s">
        <v>67</v>
      </c>
      <c r="H6766" t="str">
        <f t="shared" si="678"/>
        <v>12572900152</v>
      </c>
      <c r="I6766" t="str">
        <f t="shared" si="679"/>
        <v>06032681006</v>
      </c>
      <c r="K6766" t="str">
        <f>""</f>
        <v/>
      </c>
      <c r="M6766" t="s">
        <v>68</v>
      </c>
      <c r="N6766" t="str">
        <f t="shared" si="677"/>
        <v>FOR</v>
      </c>
      <c r="O6766" t="s">
        <v>69</v>
      </c>
      <c r="P6766" s="3" t="s">
        <v>75</v>
      </c>
      <c r="Q6766">
        <v>2015</v>
      </c>
      <c r="R6766" s="2">
        <v>42152</v>
      </c>
      <c r="S6766" s="2">
        <v>42158</v>
      </c>
      <c r="T6766" s="2">
        <v>42154</v>
      </c>
      <c r="U6766" s="2">
        <v>42214</v>
      </c>
      <c r="V6766" t="s">
        <v>71</v>
      </c>
      <c r="W6766" t="str">
        <f>"            25249002"</f>
        <v xml:space="preserve">            25249002</v>
      </c>
      <c r="X6766">
        <v>252.72</v>
      </c>
      <c r="Y6766">
        <v>0</v>
      </c>
      <c r="Z6766"/>
      <c r="AB6766"/>
      <c r="AC6766">
        <v>243</v>
      </c>
      <c r="AD6766">
        <v>239</v>
      </c>
      <c r="AE6766" s="1">
        <v>58077</v>
      </c>
      <c r="AF6766">
        <v>0</v>
      </c>
      <c r="AJ6766">
        <v>0</v>
      </c>
      <c r="AK6766">
        <v>0</v>
      </c>
      <c r="AL6766">
        <v>0</v>
      </c>
      <c r="AM6766">
        <v>0</v>
      </c>
      <c r="AN6766">
        <v>0</v>
      </c>
      <c r="AO6766">
        <v>0</v>
      </c>
      <c r="AP6766" s="2">
        <v>42746</v>
      </c>
      <c r="AQ6766" t="s">
        <v>72</v>
      </c>
      <c r="AR6766" t="s">
        <v>72</v>
      </c>
      <c r="AS6766">
        <v>866</v>
      </c>
      <c r="AT6766" s="4">
        <v>42453</v>
      </c>
      <c r="AU6766" t="s">
        <v>73</v>
      </c>
      <c r="AV6766">
        <v>866</v>
      </c>
      <c r="AW6766" s="4">
        <v>42453</v>
      </c>
      <c r="BD6766">
        <v>0</v>
      </c>
      <c r="BN6766" t="s">
        <v>74</v>
      </c>
    </row>
    <row r="6767" spans="1:66" hidden="1">
      <c r="A6767">
        <v>104093</v>
      </c>
      <c r="B6767" s="3" t="s">
        <v>609</v>
      </c>
      <c r="C6767" s="1">
        <v>43300101</v>
      </c>
      <c r="D6767" t="s">
        <v>67</v>
      </c>
      <c r="H6767" t="str">
        <f t="shared" si="678"/>
        <v>12572900152</v>
      </c>
      <c r="I6767" t="str">
        <f t="shared" si="679"/>
        <v>06032681006</v>
      </c>
      <c r="K6767" t="str">
        <f>""</f>
        <v/>
      </c>
      <c r="M6767" t="s">
        <v>68</v>
      </c>
      <c r="N6767" t="str">
        <f t="shared" si="677"/>
        <v>FOR</v>
      </c>
      <c r="O6767" t="s">
        <v>69</v>
      </c>
      <c r="P6767" s="3" t="s">
        <v>75</v>
      </c>
      <c r="Q6767">
        <v>2015</v>
      </c>
      <c r="R6767" s="2">
        <v>42152</v>
      </c>
      <c r="S6767" s="2">
        <v>42158</v>
      </c>
      <c r="T6767" s="2">
        <v>42154</v>
      </c>
      <c r="U6767" s="2">
        <v>42214</v>
      </c>
      <c r="V6767" t="s">
        <v>71</v>
      </c>
      <c r="W6767" t="str">
        <f>"            25249006"</f>
        <v xml:space="preserve">            25249006</v>
      </c>
      <c r="X6767">
        <v>74.88</v>
      </c>
      <c r="Y6767">
        <v>0</v>
      </c>
      <c r="Z6767"/>
      <c r="AB6767"/>
      <c r="AC6767">
        <v>72</v>
      </c>
      <c r="AD6767">
        <v>239</v>
      </c>
      <c r="AE6767" s="1">
        <v>17208</v>
      </c>
      <c r="AF6767">
        <v>0</v>
      </c>
      <c r="AJ6767">
        <v>0</v>
      </c>
      <c r="AK6767">
        <v>0</v>
      </c>
      <c r="AL6767">
        <v>0</v>
      </c>
      <c r="AM6767">
        <v>0</v>
      </c>
      <c r="AN6767">
        <v>0</v>
      </c>
      <c r="AO6767">
        <v>0</v>
      </c>
      <c r="AP6767" s="2">
        <v>42746</v>
      </c>
      <c r="AQ6767" t="s">
        <v>72</v>
      </c>
      <c r="AR6767" t="s">
        <v>72</v>
      </c>
      <c r="AS6767">
        <v>866</v>
      </c>
      <c r="AT6767" s="4">
        <v>42453</v>
      </c>
      <c r="AU6767" t="s">
        <v>73</v>
      </c>
      <c r="AV6767">
        <v>866</v>
      </c>
      <c r="AW6767" s="4">
        <v>42453</v>
      </c>
      <c r="BD6767">
        <v>0</v>
      </c>
      <c r="BN6767" t="s">
        <v>74</v>
      </c>
    </row>
    <row r="6768" spans="1:66" hidden="1">
      <c r="A6768">
        <v>104093</v>
      </c>
      <c r="B6768" s="3" t="s">
        <v>609</v>
      </c>
      <c r="C6768" s="1">
        <v>43300101</v>
      </c>
      <c r="D6768" t="s">
        <v>67</v>
      </c>
      <c r="H6768" t="str">
        <f t="shared" si="678"/>
        <v>12572900152</v>
      </c>
      <c r="I6768" t="str">
        <f t="shared" si="679"/>
        <v>06032681006</v>
      </c>
      <c r="K6768" t="str">
        <f>""</f>
        <v/>
      </c>
      <c r="M6768" t="s">
        <v>68</v>
      </c>
      <c r="N6768" t="str">
        <f t="shared" si="677"/>
        <v>FOR</v>
      </c>
      <c r="O6768" t="s">
        <v>69</v>
      </c>
      <c r="P6768" s="3" t="s">
        <v>75</v>
      </c>
      <c r="Q6768">
        <v>2015</v>
      </c>
      <c r="R6768" s="2">
        <v>42152</v>
      </c>
      <c r="S6768" s="2">
        <v>42158</v>
      </c>
      <c r="T6768" s="2">
        <v>42154</v>
      </c>
      <c r="U6768" s="2">
        <v>42214</v>
      </c>
      <c r="V6768" t="s">
        <v>71</v>
      </c>
      <c r="W6768" t="str">
        <f>"            25249008"</f>
        <v xml:space="preserve">            25249008</v>
      </c>
      <c r="X6768">
        <v>74.88</v>
      </c>
      <c r="Y6768">
        <v>0</v>
      </c>
      <c r="Z6768"/>
      <c r="AB6768"/>
      <c r="AC6768">
        <v>72</v>
      </c>
      <c r="AD6768">
        <v>239</v>
      </c>
      <c r="AE6768" s="1">
        <v>17208</v>
      </c>
      <c r="AF6768">
        <v>0</v>
      </c>
      <c r="AJ6768">
        <v>0</v>
      </c>
      <c r="AK6768">
        <v>0</v>
      </c>
      <c r="AL6768">
        <v>0</v>
      </c>
      <c r="AM6768">
        <v>0</v>
      </c>
      <c r="AN6768">
        <v>0</v>
      </c>
      <c r="AO6768">
        <v>0</v>
      </c>
      <c r="AP6768" s="2">
        <v>42746</v>
      </c>
      <c r="AQ6768" t="s">
        <v>72</v>
      </c>
      <c r="AR6768" t="s">
        <v>72</v>
      </c>
      <c r="AS6768">
        <v>866</v>
      </c>
      <c r="AT6768" s="4">
        <v>42453</v>
      </c>
      <c r="AU6768" t="s">
        <v>73</v>
      </c>
      <c r="AV6768">
        <v>866</v>
      </c>
      <c r="AW6768" s="4">
        <v>42453</v>
      </c>
      <c r="BD6768">
        <v>0</v>
      </c>
      <c r="BN6768" t="s">
        <v>74</v>
      </c>
    </row>
    <row r="6769" spans="1:66" hidden="1">
      <c r="A6769">
        <v>104093</v>
      </c>
      <c r="B6769" s="3" t="s">
        <v>609</v>
      </c>
      <c r="C6769" s="1">
        <v>43300101</v>
      </c>
      <c r="D6769" t="s">
        <v>67</v>
      </c>
      <c r="H6769" t="str">
        <f t="shared" si="678"/>
        <v>12572900152</v>
      </c>
      <c r="I6769" t="str">
        <f t="shared" si="679"/>
        <v>06032681006</v>
      </c>
      <c r="K6769" t="str">
        <f>""</f>
        <v/>
      </c>
      <c r="M6769" t="s">
        <v>68</v>
      </c>
      <c r="N6769" t="str">
        <f t="shared" si="677"/>
        <v>FOR</v>
      </c>
      <c r="O6769" t="s">
        <v>69</v>
      </c>
      <c r="P6769" s="3" t="s">
        <v>75</v>
      </c>
      <c r="Q6769">
        <v>2015</v>
      </c>
      <c r="R6769" s="2">
        <v>42152</v>
      </c>
      <c r="S6769" s="2">
        <v>42158</v>
      </c>
      <c r="T6769" s="2">
        <v>42154</v>
      </c>
      <c r="U6769" s="2">
        <v>42214</v>
      </c>
      <c r="V6769" t="s">
        <v>71</v>
      </c>
      <c r="W6769" t="str">
        <f>"            25249011"</f>
        <v xml:space="preserve">            25249011</v>
      </c>
      <c r="X6769">
        <v>74.88</v>
      </c>
      <c r="Y6769">
        <v>0</v>
      </c>
      <c r="Z6769"/>
      <c r="AB6769"/>
      <c r="AC6769">
        <v>72</v>
      </c>
      <c r="AD6769">
        <v>239</v>
      </c>
      <c r="AE6769" s="1">
        <v>17208</v>
      </c>
      <c r="AF6769">
        <v>0</v>
      </c>
      <c r="AJ6769">
        <v>0</v>
      </c>
      <c r="AK6769">
        <v>0</v>
      </c>
      <c r="AL6769">
        <v>0</v>
      </c>
      <c r="AM6769">
        <v>0</v>
      </c>
      <c r="AN6769">
        <v>0</v>
      </c>
      <c r="AO6769">
        <v>0</v>
      </c>
      <c r="AP6769" s="2">
        <v>42746</v>
      </c>
      <c r="AQ6769" t="s">
        <v>72</v>
      </c>
      <c r="AR6769" t="s">
        <v>72</v>
      </c>
      <c r="AS6769">
        <v>866</v>
      </c>
      <c r="AT6769" s="4">
        <v>42453</v>
      </c>
      <c r="AU6769" t="s">
        <v>73</v>
      </c>
      <c r="AV6769">
        <v>866</v>
      </c>
      <c r="AW6769" s="4">
        <v>42453</v>
      </c>
      <c r="BD6769">
        <v>0</v>
      </c>
      <c r="BN6769" t="s">
        <v>74</v>
      </c>
    </row>
    <row r="6770" spans="1:66" hidden="1">
      <c r="A6770">
        <v>104093</v>
      </c>
      <c r="B6770" s="3" t="s">
        <v>609</v>
      </c>
      <c r="C6770" s="1">
        <v>43300101</v>
      </c>
      <c r="D6770" t="s">
        <v>67</v>
      </c>
      <c r="H6770" t="str">
        <f t="shared" si="678"/>
        <v>12572900152</v>
      </c>
      <c r="I6770" t="str">
        <f t="shared" si="679"/>
        <v>06032681006</v>
      </c>
      <c r="K6770" t="str">
        <f>""</f>
        <v/>
      </c>
      <c r="M6770" t="s">
        <v>68</v>
      </c>
      <c r="N6770" t="str">
        <f t="shared" si="677"/>
        <v>FOR</v>
      </c>
      <c r="O6770" t="s">
        <v>69</v>
      </c>
      <c r="P6770" s="3" t="s">
        <v>75</v>
      </c>
      <c r="Q6770">
        <v>2015</v>
      </c>
      <c r="R6770" s="2">
        <v>42152</v>
      </c>
      <c r="S6770" s="2">
        <v>42158</v>
      </c>
      <c r="T6770" s="2">
        <v>42154</v>
      </c>
      <c r="U6770" s="2">
        <v>42214</v>
      </c>
      <c r="V6770" t="s">
        <v>71</v>
      </c>
      <c r="W6770" t="str">
        <f>"            25249013"</f>
        <v xml:space="preserve">            25249013</v>
      </c>
      <c r="X6770">
        <v>74.88</v>
      </c>
      <c r="Y6770">
        <v>0</v>
      </c>
      <c r="Z6770"/>
      <c r="AB6770"/>
      <c r="AC6770">
        <v>72</v>
      </c>
      <c r="AD6770">
        <v>239</v>
      </c>
      <c r="AE6770" s="1">
        <v>17208</v>
      </c>
      <c r="AF6770">
        <v>0</v>
      </c>
      <c r="AJ6770">
        <v>0</v>
      </c>
      <c r="AK6770">
        <v>0</v>
      </c>
      <c r="AL6770">
        <v>0</v>
      </c>
      <c r="AM6770">
        <v>0</v>
      </c>
      <c r="AN6770">
        <v>0</v>
      </c>
      <c r="AO6770">
        <v>0</v>
      </c>
      <c r="AP6770" s="2">
        <v>42746</v>
      </c>
      <c r="AQ6770" t="s">
        <v>72</v>
      </c>
      <c r="AR6770" t="s">
        <v>72</v>
      </c>
      <c r="AS6770">
        <v>866</v>
      </c>
      <c r="AT6770" s="4">
        <v>42453</v>
      </c>
      <c r="AU6770" t="s">
        <v>73</v>
      </c>
      <c r="AV6770">
        <v>866</v>
      </c>
      <c r="AW6770" s="4">
        <v>42453</v>
      </c>
      <c r="BD6770">
        <v>0</v>
      </c>
      <c r="BN6770" t="s">
        <v>74</v>
      </c>
    </row>
    <row r="6771" spans="1:66" hidden="1">
      <c r="A6771">
        <v>104093</v>
      </c>
      <c r="B6771" s="3" t="s">
        <v>609</v>
      </c>
      <c r="C6771" s="1">
        <v>43300101</v>
      </c>
      <c r="D6771" t="s">
        <v>67</v>
      </c>
      <c r="H6771" t="str">
        <f t="shared" si="678"/>
        <v>12572900152</v>
      </c>
      <c r="I6771" t="str">
        <f t="shared" si="679"/>
        <v>06032681006</v>
      </c>
      <c r="K6771" t="str">
        <f>""</f>
        <v/>
      </c>
      <c r="M6771" t="s">
        <v>68</v>
      </c>
      <c r="N6771" t="str">
        <f t="shared" si="677"/>
        <v>FOR</v>
      </c>
      <c r="O6771" t="s">
        <v>69</v>
      </c>
      <c r="P6771" s="3" t="s">
        <v>75</v>
      </c>
      <c r="Q6771">
        <v>2015</v>
      </c>
      <c r="R6771" s="2">
        <v>42152</v>
      </c>
      <c r="S6771" s="2">
        <v>42158</v>
      </c>
      <c r="T6771" s="2">
        <v>42154</v>
      </c>
      <c r="U6771" s="2">
        <v>42214</v>
      </c>
      <c r="V6771" t="s">
        <v>71</v>
      </c>
      <c r="W6771" t="str">
        <f>"            25249017"</f>
        <v xml:space="preserve">            25249017</v>
      </c>
      <c r="X6771">
        <v>74.88</v>
      </c>
      <c r="Y6771">
        <v>0</v>
      </c>
      <c r="Z6771"/>
      <c r="AB6771"/>
      <c r="AC6771">
        <v>72</v>
      </c>
      <c r="AD6771">
        <v>239</v>
      </c>
      <c r="AE6771" s="1">
        <v>17208</v>
      </c>
      <c r="AF6771">
        <v>0</v>
      </c>
      <c r="AJ6771">
        <v>0</v>
      </c>
      <c r="AK6771">
        <v>0</v>
      </c>
      <c r="AL6771">
        <v>0</v>
      </c>
      <c r="AM6771">
        <v>0</v>
      </c>
      <c r="AN6771">
        <v>0</v>
      </c>
      <c r="AO6771">
        <v>0</v>
      </c>
      <c r="AP6771" s="2">
        <v>42746</v>
      </c>
      <c r="AQ6771" t="s">
        <v>72</v>
      </c>
      <c r="AR6771" t="s">
        <v>72</v>
      </c>
      <c r="AS6771">
        <v>866</v>
      </c>
      <c r="AT6771" s="4">
        <v>42453</v>
      </c>
      <c r="AU6771" t="s">
        <v>73</v>
      </c>
      <c r="AV6771">
        <v>866</v>
      </c>
      <c r="AW6771" s="4">
        <v>42453</v>
      </c>
      <c r="BD6771">
        <v>0</v>
      </c>
      <c r="BN6771" t="s">
        <v>74</v>
      </c>
    </row>
    <row r="6772" spans="1:66" hidden="1">
      <c r="A6772">
        <v>104093</v>
      </c>
      <c r="B6772" s="3" t="s">
        <v>609</v>
      </c>
      <c r="C6772" s="1">
        <v>43300101</v>
      </c>
      <c r="D6772" t="s">
        <v>67</v>
      </c>
      <c r="H6772" t="str">
        <f t="shared" si="678"/>
        <v>12572900152</v>
      </c>
      <c r="I6772" t="str">
        <f t="shared" si="679"/>
        <v>06032681006</v>
      </c>
      <c r="K6772" t="str">
        <f>""</f>
        <v/>
      </c>
      <c r="M6772" t="s">
        <v>68</v>
      </c>
      <c r="N6772" t="str">
        <f t="shared" si="677"/>
        <v>FOR</v>
      </c>
      <c r="O6772" t="s">
        <v>69</v>
      </c>
      <c r="P6772" s="3" t="s">
        <v>75</v>
      </c>
      <c r="Q6772">
        <v>2015</v>
      </c>
      <c r="R6772" s="2">
        <v>42152</v>
      </c>
      <c r="S6772" s="2">
        <v>42158</v>
      </c>
      <c r="T6772" s="2">
        <v>42154</v>
      </c>
      <c r="U6772" s="2">
        <v>42214</v>
      </c>
      <c r="V6772" t="s">
        <v>71</v>
      </c>
      <c r="W6772" t="str">
        <f>"            25249020"</f>
        <v xml:space="preserve">            25249020</v>
      </c>
      <c r="X6772">
        <v>707.62</v>
      </c>
      <c r="Y6772">
        <v>0</v>
      </c>
      <c r="Z6772"/>
      <c r="AB6772"/>
      <c r="AC6772">
        <v>680.4</v>
      </c>
      <c r="AD6772">
        <v>239</v>
      </c>
      <c r="AE6772" s="1">
        <v>162615.6</v>
      </c>
      <c r="AF6772">
        <v>0</v>
      </c>
      <c r="AJ6772">
        <v>0</v>
      </c>
      <c r="AK6772">
        <v>0</v>
      </c>
      <c r="AL6772">
        <v>0</v>
      </c>
      <c r="AM6772">
        <v>0</v>
      </c>
      <c r="AN6772">
        <v>0</v>
      </c>
      <c r="AO6772">
        <v>0</v>
      </c>
      <c r="AP6772" s="2">
        <v>42746</v>
      </c>
      <c r="AQ6772" t="s">
        <v>72</v>
      </c>
      <c r="AR6772" t="s">
        <v>72</v>
      </c>
      <c r="AS6772">
        <v>866</v>
      </c>
      <c r="AT6772" s="4">
        <v>42453</v>
      </c>
      <c r="AU6772" t="s">
        <v>73</v>
      </c>
      <c r="AV6772">
        <v>866</v>
      </c>
      <c r="AW6772" s="4">
        <v>42453</v>
      </c>
      <c r="BD6772">
        <v>0</v>
      </c>
      <c r="BN6772" t="s">
        <v>74</v>
      </c>
    </row>
    <row r="6773" spans="1:66" hidden="1">
      <c r="A6773">
        <v>104093</v>
      </c>
      <c r="B6773" s="3" t="s">
        <v>609</v>
      </c>
      <c r="C6773" s="1">
        <v>43300101</v>
      </c>
      <c r="D6773" t="s">
        <v>67</v>
      </c>
      <c r="H6773" t="str">
        <f t="shared" si="678"/>
        <v>12572900152</v>
      </c>
      <c r="I6773" t="str">
        <f t="shared" si="679"/>
        <v>06032681006</v>
      </c>
      <c r="K6773" t="str">
        <f>""</f>
        <v/>
      </c>
      <c r="M6773" t="s">
        <v>68</v>
      </c>
      <c r="N6773" t="str">
        <f t="shared" si="677"/>
        <v>FOR</v>
      </c>
      <c r="O6773" t="s">
        <v>69</v>
      </c>
      <c r="P6773" s="3" t="s">
        <v>75</v>
      </c>
      <c r="Q6773">
        <v>2015</v>
      </c>
      <c r="R6773" s="2">
        <v>42152</v>
      </c>
      <c r="S6773" s="2">
        <v>42158</v>
      </c>
      <c r="T6773" s="2">
        <v>42154</v>
      </c>
      <c r="U6773" s="2">
        <v>42214</v>
      </c>
      <c r="V6773" t="s">
        <v>71</v>
      </c>
      <c r="W6773" t="str">
        <f>"            25249023"</f>
        <v xml:space="preserve">            25249023</v>
      </c>
      <c r="X6773">
        <v>252.72</v>
      </c>
      <c r="Y6773">
        <v>0</v>
      </c>
      <c r="Z6773"/>
      <c r="AB6773"/>
      <c r="AC6773">
        <v>243</v>
      </c>
      <c r="AD6773">
        <v>239</v>
      </c>
      <c r="AE6773" s="1">
        <v>58077</v>
      </c>
      <c r="AF6773">
        <v>0</v>
      </c>
      <c r="AJ6773">
        <v>0</v>
      </c>
      <c r="AK6773">
        <v>0</v>
      </c>
      <c r="AL6773">
        <v>0</v>
      </c>
      <c r="AM6773">
        <v>0</v>
      </c>
      <c r="AN6773">
        <v>0</v>
      </c>
      <c r="AO6773">
        <v>0</v>
      </c>
      <c r="AP6773" s="2">
        <v>42746</v>
      </c>
      <c r="AQ6773" t="s">
        <v>72</v>
      </c>
      <c r="AR6773" t="s">
        <v>72</v>
      </c>
      <c r="AS6773">
        <v>866</v>
      </c>
      <c r="AT6773" s="4">
        <v>42453</v>
      </c>
      <c r="AU6773" t="s">
        <v>73</v>
      </c>
      <c r="AV6773">
        <v>866</v>
      </c>
      <c r="AW6773" s="4">
        <v>42453</v>
      </c>
      <c r="BD6773">
        <v>0</v>
      </c>
      <c r="BN6773" t="s">
        <v>74</v>
      </c>
    </row>
    <row r="6774" spans="1:66" hidden="1">
      <c r="A6774">
        <v>104093</v>
      </c>
      <c r="B6774" s="3" t="s">
        <v>609</v>
      </c>
      <c r="C6774" s="1">
        <v>43300101</v>
      </c>
      <c r="D6774" t="s">
        <v>67</v>
      </c>
      <c r="H6774" t="str">
        <f t="shared" si="678"/>
        <v>12572900152</v>
      </c>
      <c r="I6774" t="str">
        <f t="shared" si="679"/>
        <v>06032681006</v>
      </c>
      <c r="K6774" t="str">
        <f>""</f>
        <v/>
      </c>
      <c r="M6774" t="s">
        <v>68</v>
      </c>
      <c r="N6774" t="str">
        <f t="shared" si="677"/>
        <v>FOR</v>
      </c>
      <c r="O6774" t="s">
        <v>69</v>
      </c>
      <c r="P6774" s="3" t="s">
        <v>75</v>
      </c>
      <c r="Q6774">
        <v>2015</v>
      </c>
      <c r="R6774" s="2">
        <v>42152</v>
      </c>
      <c r="S6774" s="2">
        <v>42158</v>
      </c>
      <c r="T6774" s="2">
        <v>42154</v>
      </c>
      <c r="U6774" s="2">
        <v>42214</v>
      </c>
      <c r="V6774" t="s">
        <v>71</v>
      </c>
      <c r="W6774" t="str">
        <f>"            25249100"</f>
        <v xml:space="preserve">            25249100</v>
      </c>
      <c r="X6774" s="1">
        <v>6844.2</v>
      </c>
      <c r="Y6774">
        <v>0</v>
      </c>
      <c r="Z6774"/>
      <c r="AB6774"/>
      <c r="AC6774" s="1">
        <v>5610</v>
      </c>
      <c r="AD6774">
        <v>239</v>
      </c>
      <c r="AE6774" s="1">
        <v>1340790</v>
      </c>
      <c r="AF6774">
        <v>0</v>
      </c>
      <c r="AJ6774">
        <v>0</v>
      </c>
      <c r="AK6774">
        <v>0</v>
      </c>
      <c r="AL6774">
        <v>0</v>
      </c>
      <c r="AM6774">
        <v>0</v>
      </c>
      <c r="AN6774">
        <v>0</v>
      </c>
      <c r="AO6774">
        <v>0</v>
      </c>
      <c r="AP6774" s="2">
        <v>42746</v>
      </c>
      <c r="AQ6774" t="s">
        <v>72</v>
      </c>
      <c r="AR6774" t="s">
        <v>72</v>
      </c>
      <c r="AS6774">
        <v>866</v>
      </c>
      <c r="AT6774" s="4">
        <v>42453</v>
      </c>
      <c r="AU6774" t="s">
        <v>73</v>
      </c>
      <c r="AV6774">
        <v>866</v>
      </c>
      <c r="AW6774" s="4">
        <v>42453</v>
      </c>
      <c r="BD6774">
        <v>0</v>
      </c>
      <c r="BN6774" t="s">
        <v>74</v>
      </c>
    </row>
    <row r="6775" spans="1:66" hidden="1">
      <c r="A6775">
        <v>104093</v>
      </c>
      <c r="B6775" s="3" t="s">
        <v>609</v>
      </c>
      <c r="C6775" s="1">
        <v>43300101</v>
      </c>
      <c r="D6775" t="s">
        <v>67</v>
      </c>
      <c r="H6775" t="str">
        <f t="shared" si="678"/>
        <v>12572900152</v>
      </c>
      <c r="I6775" t="str">
        <f t="shared" si="679"/>
        <v>06032681006</v>
      </c>
      <c r="K6775" t="str">
        <f>""</f>
        <v/>
      </c>
      <c r="M6775" t="s">
        <v>68</v>
      </c>
      <c r="N6775" t="str">
        <f t="shared" si="677"/>
        <v>FOR</v>
      </c>
      <c r="O6775" t="s">
        <v>69</v>
      </c>
      <c r="P6775" s="3" t="s">
        <v>75</v>
      </c>
      <c r="Q6775">
        <v>2015</v>
      </c>
      <c r="R6775" s="2">
        <v>42160</v>
      </c>
      <c r="S6775" s="2">
        <v>42164</v>
      </c>
      <c r="T6775" s="2">
        <v>42163</v>
      </c>
      <c r="U6775" s="2">
        <v>42223</v>
      </c>
      <c r="V6775" t="s">
        <v>71</v>
      </c>
      <c r="W6775" t="str">
        <f>"            25250509"</f>
        <v xml:space="preserve">            25250509</v>
      </c>
      <c r="X6775">
        <v>74.88</v>
      </c>
      <c r="Y6775">
        <v>0</v>
      </c>
      <c r="Z6775"/>
      <c r="AB6775"/>
      <c r="AC6775">
        <v>72</v>
      </c>
      <c r="AD6775">
        <v>269</v>
      </c>
      <c r="AE6775" s="1">
        <v>19368</v>
      </c>
      <c r="AF6775">
        <v>0</v>
      </c>
      <c r="AJ6775">
        <v>0</v>
      </c>
      <c r="AK6775">
        <v>0</v>
      </c>
      <c r="AL6775">
        <v>0</v>
      </c>
      <c r="AM6775">
        <v>0</v>
      </c>
      <c r="AN6775">
        <v>0</v>
      </c>
      <c r="AO6775">
        <v>0</v>
      </c>
      <c r="AP6775" s="2">
        <v>42746</v>
      </c>
      <c r="AQ6775" t="s">
        <v>72</v>
      </c>
      <c r="AR6775" t="s">
        <v>72</v>
      </c>
      <c r="AS6775">
        <v>1225</v>
      </c>
      <c r="AT6775" s="4">
        <v>42492</v>
      </c>
      <c r="AU6775" t="s">
        <v>73</v>
      </c>
      <c r="AV6775">
        <v>1225</v>
      </c>
      <c r="AW6775" s="4">
        <v>42492</v>
      </c>
      <c r="BD6775">
        <v>0</v>
      </c>
      <c r="BN6775" t="s">
        <v>74</v>
      </c>
    </row>
    <row r="6776" spans="1:66" hidden="1">
      <c r="A6776">
        <v>104093</v>
      </c>
      <c r="B6776" s="3" t="s">
        <v>609</v>
      </c>
      <c r="C6776" s="1">
        <v>43300101</v>
      </c>
      <c r="D6776" t="s">
        <v>67</v>
      </c>
      <c r="H6776" t="str">
        <f t="shared" si="678"/>
        <v>12572900152</v>
      </c>
      <c r="I6776" t="str">
        <f t="shared" si="679"/>
        <v>06032681006</v>
      </c>
      <c r="K6776" t="str">
        <f>""</f>
        <v/>
      </c>
      <c r="M6776" t="s">
        <v>68</v>
      </c>
      <c r="N6776" t="str">
        <f t="shared" si="677"/>
        <v>FOR</v>
      </c>
      <c r="O6776" t="s">
        <v>69</v>
      </c>
      <c r="P6776" s="3" t="s">
        <v>75</v>
      </c>
      <c r="Q6776">
        <v>2015</v>
      </c>
      <c r="R6776" s="2">
        <v>42160</v>
      </c>
      <c r="S6776" s="2">
        <v>42164</v>
      </c>
      <c r="T6776" s="2">
        <v>42163</v>
      </c>
      <c r="U6776" s="2">
        <v>42223</v>
      </c>
      <c r="V6776" t="s">
        <v>71</v>
      </c>
      <c r="W6776" t="str">
        <f>"            25250512"</f>
        <v xml:space="preserve">            25250512</v>
      </c>
      <c r="X6776">
        <v>74.88</v>
      </c>
      <c r="Y6776">
        <v>0</v>
      </c>
      <c r="Z6776"/>
      <c r="AB6776"/>
      <c r="AC6776">
        <v>72</v>
      </c>
      <c r="AD6776">
        <v>269</v>
      </c>
      <c r="AE6776" s="1">
        <v>19368</v>
      </c>
      <c r="AF6776">
        <v>0</v>
      </c>
      <c r="AJ6776">
        <v>0</v>
      </c>
      <c r="AK6776">
        <v>0</v>
      </c>
      <c r="AL6776">
        <v>0</v>
      </c>
      <c r="AM6776">
        <v>0</v>
      </c>
      <c r="AN6776">
        <v>0</v>
      </c>
      <c r="AO6776">
        <v>0</v>
      </c>
      <c r="AP6776" s="2">
        <v>42746</v>
      </c>
      <c r="AQ6776" t="s">
        <v>72</v>
      </c>
      <c r="AR6776" t="s">
        <v>72</v>
      </c>
      <c r="AS6776">
        <v>1225</v>
      </c>
      <c r="AT6776" s="4">
        <v>42492</v>
      </c>
      <c r="AU6776" t="s">
        <v>73</v>
      </c>
      <c r="AV6776">
        <v>1225</v>
      </c>
      <c r="AW6776" s="4">
        <v>42492</v>
      </c>
      <c r="BD6776">
        <v>0</v>
      </c>
      <c r="BN6776" t="s">
        <v>74</v>
      </c>
    </row>
    <row r="6777" spans="1:66" hidden="1">
      <c r="A6777">
        <v>104093</v>
      </c>
      <c r="B6777" s="3" t="s">
        <v>609</v>
      </c>
      <c r="C6777" s="1">
        <v>43300101</v>
      </c>
      <c r="D6777" t="s">
        <v>67</v>
      </c>
      <c r="H6777" t="str">
        <f t="shared" si="678"/>
        <v>12572900152</v>
      </c>
      <c r="I6777" t="str">
        <f t="shared" si="679"/>
        <v>06032681006</v>
      </c>
      <c r="K6777" t="str">
        <f>""</f>
        <v/>
      </c>
      <c r="M6777" t="s">
        <v>68</v>
      </c>
      <c r="N6777" t="str">
        <f t="shared" si="677"/>
        <v>FOR</v>
      </c>
      <c r="O6777" t="s">
        <v>69</v>
      </c>
      <c r="P6777" s="3" t="s">
        <v>75</v>
      </c>
      <c r="Q6777">
        <v>2015</v>
      </c>
      <c r="R6777" s="2">
        <v>42160</v>
      </c>
      <c r="S6777" s="2">
        <v>42164</v>
      </c>
      <c r="T6777" s="2">
        <v>42163</v>
      </c>
      <c r="U6777" s="2">
        <v>42223</v>
      </c>
      <c r="V6777" t="s">
        <v>71</v>
      </c>
      <c r="W6777" t="str">
        <f>"            25250514"</f>
        <v xml:space="preserve">            25250514</v>
      </c>
      <c r="X6777">
        <v>74.88</v>
      </c>
      <c r="Y6777">
        <v>0</v>
      </c>
      <c r="Z6777"/>
      <c r="AB6777"/>
      <c r="AC6777">
        <v>72</v>
      </c>
      <c r="AD6777">
        <v>269</v>
      </c>
      <c r="AE6777" s="1">
        <v>19368</v>
      </c>
      <c r="AF6777">
        <v>0</v>
      </c>
      <c r="AJ6777">
        <v>0</v>
      </c>
      <c r="AK6777">
        <v>0</v>
      </c>
      <c r="AL6777">
        <v>0</v>
      </c>
      <c r="AM6777">
        <v>0</v>
      </c>
      <c r="AN6777">
        <v>0</v>
      </c>
      <c r="AO6777">
        <v>0</v>
      </c>
      <c r="AP6777" s="2">
        <v>42746</v>
      </c>
      <c r="AQ6777" t="s">
        <v>72</v>
      </c>
      <c r="AR6777" t="s">
        <v>72</v>
      </c>
      <c r="AS6777">
        <v>1225</v>
      </c>
      <c r="AT6777" s="4">
        <v>42492</v>
      </c>
      <c r="AU6777" t="s">
        <v>73</v>
      </c>
      <c r="AV6777">
        <v>1225</v>
      </c>
      <c r="AW6777" s="4">
        <v>42492</v>
      </c>
      <c r="BD6777">
        <v>0</v>
      </c>
      <c r="BN6777" t="s">
        <v>74</v>
      </c>
    </row>
    <row r="6778" spans="1:66" hidden="1">
      <c r="A6778">
        <v>104093</v>
      </c>
      <c r="B6778" s="3" t="s">
        <v>609</v>
      </c>
      <c r="C6778" s="1">
        <v>43300101</v>
      </c>
      <c r="D6778" t="s">
        <v>67</v>
      </c>
      <c r="H6778" t="str">
        <f t="shared" si="678"/>
        <v>12572900152</v>
      </c>
      <c r="I6778" t="str">
        <f t="shared" si="679"/>
        <v>06032681006</v>
      </c>
      <c r="K6778" t="str">
        <f>""</f>
        <v/>
      </c>
      <c r="M6778" t="s">
        <v>68</v>
      </c>
      <c r="N6778" t="str">
        <f t="shared" si="677"/>
        <v>FOR</v>
      </c>
      <c r="O6778" t="s">
        <v>69</v>
      </c>
      <c r="P6778" s="3" t="s">
        <v>75</v>
      </c>
      <c r="Q6778">
        <v>2015</v>
      </c>
      <c r="R6778" s="2">
        <v>42160</v>
      </c>
      <c r="S6778" s="2">
        <v>42164</v>
      </c>
      <c r="T6778" s="2">
        <v>42163</v>
      </c>
      <c r="U6778" s="2">
        <v>42223</v>
      </c>
      <c r="V6778" t="s">
        <v>71</v>
      </c>
      <c r="W6778" t="str">
        <f>"            25250516"</f>
        <v xml:space="preserve">            25250516</v>
      </c>
      <c r="X6778">
        <v>74.88</v>
      </c>
      <c r="Y6778">
        <v>0</v>
      </c>
      <c r="Z6778"/>
      <c r="AB6778"/>
      <c r="AC6778">
        <v>72</v>
      </c>
      <c r="AD6778">
        <v>269</v>
      </c>
      <c r="AE6778" s="1">
        <v>19368</v>
      </c>
      <c r="AF6778">
        <v>0</v>
      </c>
      <c r="AJ6778">
        <v>0</v>
      </c>
      <c r="AK6778">
        <v>0</v>
      </c>
      <c r="AL6778">
        <v>0</v>
      </c>
      <c r="AM6778">
        <v>0</v>
      </c>
      <c r="AN6778">
        <v>0</v>
      </c>
      <c r="AO6778">
        <v>0</v>
      </c>
      <c r="AP6778" s="2">
        <v>42746</v>
      </c>
      <c r="AQ6778" t="s">
        <v>72</v>
      </c>
      <c r="AR6778" t="s">
        <v>72</v>
      </c>
      <c r="AS6778">
        <v>1225</v>
      </c>
      <c r="AT6778" s="4">
        <v>42492</v>
      </c>
      <c r="AU6778" t="s">
        <v>73</v>
      </c>
      <c r="AV6778">
        <v>1225</v>
      </c>
      <c r="AW6778" s="4">
        <v>42492</v>
      </c>
      <c r="BD6778">
        <v>0</v>
      </c>
      <c r="BN6778" t="s">
        <v>74</v>
      </c>
    </row>
    <row r="6779" spans="1:66" hidden="1">
      <c r="A6779">
        <v>104093</v>
      </c>
      <c r="B6779" s="3" t="s">
        <v>609</v>
      </c>
      <c r="C6779" s="1">
        <v>43300101</v>
      </c>
      <c r="D6779" t="s">
        <v>67</v>
      </c>
      <c r="H6779" t="str">
        <f t="shared" si="678"/>
        <v>12572900152</v>
      </c>
      <c r="I6779" t="str">
        <f t="shared" si="679"/>
        <v>06032681006</v>
      </c>
      <c r="K6779" t="str">
        <f>""</f>
        <v/>
      </c>
      <c r="M6779" t="s">
        <v>68</v>
      </c>
      <c r="N6779" t="str">
        <f t="shared" si="677"/>
        <v>FOR</v>
      </c>
      <c r="O6779" t="s">
        <v>69</v>
      </c>
      <c r="P6779" s="3" t="s">
        <v>75</v>
      </c>
      <c r="Q6779">
        <v>2015</v>
      </c>
      <c r="R6779" s="2">
        <v>42160</v>
      </c>
      <c r="S6779" s="2">
        <v>42164</v>
      </c>
      <c r="T6779" s="2">
        <v>42163</v>
      </c>
      <c r="U6779" s="2">
        <v>42223</v>
      </c>
      <c r="V6779" t="s">
        <v>71</v>
      </c>
      <c r="W6779" t="str">
        <f>"            25250517"</f>
        <v xml:space="preserve">            25250517</v>
      </c>
      <c r="X6779">
        <v>403.42</v>
      </c>
      <c r="Y6779">
        <v>0</v>
      </c>
      <c r="Z6779"/>
      <c r="AB6779"/>
      <c r="AC6779">
        <v>387.9</v>
      </c>
      <c r="AD6779">
        <v>269</v>
      </c>
      <c r="AE6779" s="1">
        <v>104345.1</v>
      </c>
      <c r="AF6779">
        <v>0</v>
      </c>
      <c r="AJ6779">
        <v>0</v>
      </c>
      <c r="AK6779">
        <v>0</v>
      </c>
      <c r="AL6779">
        <v>0</v>
      </c>
      <c r="AM6779">
        <v>0</v>
      </c>
      <c r="AN6779">
        <v>0</v>
      </c>
      <c r="AO6779">
        <v>0</v>
      </c>
      <c r="AP6779" s="2">
        <v>42746</v>
      </c>
      <c r="AQ6779" t="s">
        <v>72</v>
      </c>
      <c r="AR6779" t="s">
        <v>72</v>
      </c>
      <c r="AS6779">
        <v>1225</v>
      </c>
      <c r="AT6779" s="4">
        <v>42492</v>
      </c>
      <c r="AU6779" t="s">
        <v>73</v>
      </c>
      <c r="AV6779">
        <v>1225</v>
      </c>
      <c r="AW6779" s="4">
        <v>42492</v>
      </c>
      <c r="BD6779">
        <v>0</v>
      </c>
      <c r="BN6779" t="s">
        <v>74</v>
      </c>
    </row>
    <row r="6780" spans="1:66" hidden="1">
      <c r="A6780">
        <v>104093</v>
      </c>
      <c r="B6780" s="3" t="s">
        <v>609</v>
      </c>
      <c r="C6780" s="1">
        <v>43300101</v>
      </c>
      <c r="D6780" t="s">
        <v>67</v>
      </c>
      <c r="H6780" t="str">
        <f t="shared" si="678"/>
        <v>12572900152</v>
      </c>
      <c r="I6780" t="str">
        <f t="shared" si="679"/>
        <v>06032681006</v>
      </c>
      <c r="K6780" t="str">
        <f>""</f>
        <v/>
      </c>
      <c r="M6780" t="s">
        <v>68</v>
      </c>
      <c r="N6780" t="str">
        <f t="shared" si="677"/>
        <v>FOR</v>
      </c>
      <c r="O6780" t="s">
        <v>69</v>
      </c>
      <c r="P6780" s="3" t="s">
        <v>75</v>
      </c>
      <c r="Q6780">
        <v>2015</v>
      </c>
      <c r="R6780" s="2">
        <v>42160</v>
      </c>
      <c r="S6780" s="2">
        <v>42164</v>
      </c>
      <c r="T6780" s="2">
        <v>42163</v>
      </c>
      <c r="U6780" s="2">
        <v>42223</v>
      </c>
      <c r="V6780" t="s">
        <v>71</v>
      </c>
      <c r="W6780" t="str">
        <f>"            25250518"</f>
        <v xml:space="preserve">            25250518</v>
      </c>
      <c r="X6780">
        <v>74.88</v>
      </c>
      <c r="Y6780">
        <v>0</v>
      </c>
      <c r="Z6780"/>
      <c r="AB6780"/>
      <c r="AC6780">
        <v>72</v>
      </c>
      <c r="AD6780">
        <v>269</v>
      </c>
      <c r="AE6780" s="1">
        <v>19368</v>
      </c>
      <c r="AF6780">
        <v>0</v>
      </c>
      <c r="AJ6780">
        <v>0</v>
      </c>
      <c r="AK6780">
        <v>0</v>
      </c>
      <c r="AL6780">
        <v>0</v>
      </c>
      <c r="AM6780">
        <v>0</v>
      </c>
      <c r="AN6780">
        <v>0</v>
      </c>
      <c r="AO6780">
        <v>0</v>
      </c>
      <c r="AP6780" s="2">
        <v>42746</v>
      </c>
      <c r="AQ6780" t="s">
        <v>72</v>
      </c>
      <c r="AR6780" t="s">
        <v>72</v>
      </c>
      <c r="AS6780">
        <v>1225</v>
      </c>
      <c r="AT6780" s="4">
        <v>42492</v>
      </c>
      <c r="AU6780" t="s">
        <v>73</v>
      </c>
      <c r="AV6780">
        <v>1225</v>
      </c>
      <c r="AW6780" s="4">
        <v>42492</v>
      </c>
      <c r="BD6780">
        <v>0</v>
      </c>
      <c r="BN6780" t="s">
        <v>74</v>
      </c>
    </row>
    <row r="6781" spans="1:66" hidden="1">
      <c r="A6781">
        <v>104093</v>
      </c>
      <c r="B6781" s="3" t="s">
        <v>609</v>
      </c>
      <c r="C6781" s="1">
        <v>43300101</v>
      </c>
      <c r="D6781" t="s">
        <v>67</v>
      </c>
      <c r="H6781" t="str">
        <f t="shared" si="678"/>
        <v>12572900152</v>
      </c>
      <c r="I6781" t="str">
        <f t="shared" si="679"/>
        <v>06032681006</v>
      </c>
      <c r="K6781" t="str">
        <f>""</f>
        <v/>
      </c>
      <c r="M6781" t="s">
        <v>68</v>
      </c>
      <c r="N6781" t="str">
        <f t="shared" si="677"/>
        <v>FOR</v>
      </c>
      <c r="O6781" t="s">
        <v>69</v>
      </c>
      <c r="P6781" s="3" t="s">
        <v>75</v>
      </c>
      <c r="Q6781">
        <v>2015</v>
      </c>
      <c r="R6781" s="2">
        <v>42160</v>
      </c>
      <c r="S6781" s="2">
        <v>42164</v>
      </c>
      <c r="T6781" s="2">
        <v>42163</v>
      </c>
      <c r="U6781" s="2">
        <v>42223</v>
      </c>
      <c r="V6781" t="s">
        <v>71</v>
      </c>
      <c r="W6781" t="str">
        <f>"            25250519"</f>
        <v xml:space="preserve">            25250519</v>
      </c>
      <c r="X6781">
        <v>252.72</v>
      </c>
      <c r="Y6781">
        <v>0</v>
      </c>
      <c r="Z6781"/>
      <c r="AB6781"/>
      <c r="AC6781">
        <v>243</v>
      </c>
      <c r="AD6781">
        <v>269</v>
      </c>
      <c r="AE6781" s="1">
        <v>65367</v>
      </c>
      <c r="AF6781">
        <v>0</v>
      </c>
      <c r="AJ6781">
        <v>0</v>
      </c>
      <c r="AK6781">
        <v>0</v>
      </c>
      <c r="AL6781">
        <v>0</v>
      </c>
      <c r="AM6781">
        <v>0</v>
      </c>
      <c r="AN6781">
        <v>0</v>
      </c>
      <c r="AO6781">
        <v>0</v>
      </c>
      <c r="AP6781" s="2">
        <v>42746</v>
      </c>
      <c r="AQ6781" t="s">
        <v>72</v>
      </c>
      <c r="AR6781" t="s">
        <v>72</v>
      </c>
      <c r="AS6781">
        <v>1225</v>
      </c>
      <c r="AT6781" s="4">
        <v>42492</v>
      </c>
      <c r="AU6781" t="s">
        <v>73</v>
      </c>
      <c r="AV6781">
        <v>1225</v>
      </c>
      <c r="AW6781" s="4">
        <v>42492</v>
      </c>
      <c r="BD6781">
        <v>0</v>
      </c>
      <c r="BN6781" t="s">
        <v>74</v>
      </c>
    </row>
    <row r="6782" spans="1:66" hidden="1">
      <c r="A6782">
        <v>104093</v>
      </c>
      <c r="B6782" s="3" t="s">
        <v>609</v>
      </c>
      <c r="C6782" s="1">
        <v>43300101</v>
      </c>
      <c r="D6782" t="s">
        <v>67</v>
      </c>
      <c r="H6782" t="str">
        <f t="shared" si="678"/>
        <v>12572900152</v>
      </c>
      <c r="I6782" t="str">
        <f t="shared" si="679"/>
        <v>06032681006</v>
      </c>
      <c r="K6782" t="str">
        <f>""</f>
        <v/>
      </c>
      <c r="M6782" t="s">
        <v>68</v>
      </c>
      <c r="N6782" t="str">
        <f t="shared" si="677"/>
        <v>FOR</v>
      </c>
      <c r="O6782" t="s">
        <v>69</v>
      </c>
      <c r="P6782" s="3" t="s">
        <v>75</v>
      </c>
      <c r="Q6782">
        <v>2015</v>
      </c>
      <c r="R6782" s="2">
        <v>42160</v>
      </c>
      <c r="S6782" s="2">
        <v>42164</v>
      </c>
      <c r="T6782" s="2">
        <v>42163</v>
      </c>
      <c r="U6782" s="2">
        <v>42223</v>
      </c>
      <c r="V6782" t="s">
        <v>71</v>
      </c>
      <c r="W6782" t="str">
        <f>"            25250520"</f>
        <v xml:space="preserve">            25250520</v>
      </c>
      <c r="X6782">
        <v>74.88</v>
      </c>
      <c r="Y6782">
        <v>0</v>
      </c>
      <c r="Z6782"/>
      <c r="AB6782"/>
      <c r="AC6782">
        <v>72</v>
      </c>
      <c r="AD6782">
        <v>269</v>
      </c>
      <c r="AE6782" s="1">
        <v>19368</v>
      </c>
      <c r="AF6782">
        <v>0</v>
      </c>
      <c r="AJ6782">
        <v>0</v>
      </c>
      <c r="AK6782">
        <v>0</v>
      </c>
      <c r="AL6782">
        <v>0</v>
      </c>
      <c r="AM6782">
        <v>0</v>
      </c>
      <c r="AN6782">
        <v>0</v>
      </c>
      <c r="AO6782">
        <v>0</v>
      </c>
      <c r="AP6782" s="2">
        <v>42746</v>
      </c>
      <c r="AQ6782" t="s">
        <v>72</v>
      </c>
      <c r="AR6782" t="s">
        <v>72</v>
      </c>
      <c r="AS6782">
        <v>1225</v>
      </c>
      <c r="AT6782" s="4">
        <v>42492</v>
      </c>
      <c r="AU6782" t="s">
        <v>73</v>
      </c>
      <c r="AV6782">
        <v>1225</v>
      </c>
      <c r="AW6782" s="4">
        <v>42492</v>
      </c>
      <c r="BD6782">
        <v>0</v>
      </c>
      <c r="BN6782" t="s">
        <v>74</v>
      </c>
    </row>
    <row r="6783" spans="1:66" hidden="1">
      <c r="A6783">
        <v>104093</v>
      </c>
      <c r="B6783" s="3" t="s">
        <v>609</v>
      </c>
      <c r="C6783" s="1">
        <v>43300101</v>
      </c>
      <c r="D6783" t="s">
        <v>67</v>
      </c>
      <c r="H6783" t="str">
        <f t="shared" si="678"/>
        <v>12572900152</v>
      </c>
      <c r="I6783" t="str">
        <f t="shared" si="679"/>
        <v>06032681006</v>
      </c>
      <c r="K6783" t="str">
        <f>""</f>
        <v/>
      </c>
      <c r="M6783" t="s">
        <v>68</v>
      </c>
      <c r="N6783" t="str">
        <f t="shared" si="677"/>
        <v>FOR</v>
      </c>
      <c r="O6783" t="s">
        <v>69</v>
      </c>
      <c r="P6783" s="3" t="s">
        <v>75</v>
      </c>
      <c r="Q6783">
        <v>2015</v>
      </c>
      <c r="R6783" s="2">
        <v>42160</v>
      </c>
      <c r="S6783" s="2">
        <v>42164</v>
      </c>
      <c r="T6783" s="2">
        <v>42163</v>
      </c>
      <c r="U6783" s="2">
        <v>42223</v>
      </c>
      <c r="V6783" t="s">
        <v>71</v>
      </c>
      <c r="W6783" t="str">
        <f>"            25250544"</f>
        <v xml:space="preserve">            25250544</v>
      </c>
      <c r="X6783">
        <v>707.62</v>
      </c>
      <c r="Y6783">
        <v>0</v>
      </c>
      <c r="Z6783"/>
      <c r="AB6783"/>
      <c r="AC6783">
        <v>680.4</v>
      </c>
      <c r="AD6783">
        <v>269</v>
      </c>
      <c r="AE6783" s="1">
        <v>183027.6</v>
      </c>
      <c r="AF6783">
        <v>0</v>
      </c>
      <c r="AJ6783">
        <v>0</v>
      </c>
      <c r="AK6783">
        <v>0</v>
      </c>
      <c r="AL6783">
        <v>0</v>
      </c>
      <c r="AM6783">
        <v>0</v>
      </c>
      <c r="AN6783">
        <v>0</v>
      </c>
      <c r="AO6783">
        <v>0</v>
      </c>
      <c r="AP6783" s="2">
        <v>42746</v>
      </c>
      <c r="AQ6783" t="s">
        <v>72</v>
      </c>
      <c r="AR6783" t="s">
        <v>72</v>
      </c>
      <c r="AS6783">
        <v>1225</v>
      </c>
      <c r="AT6783" s="4">
        <v>42492</v>
      </c>
      <c r="AU6783" t="s">
        <v>73</v>
      </c>
      <c r="AV6783">
        <v>1225</v>
      </c>
      <c r="AW6783" s="4">
        <v>42492</v>
      </c>
      <c r="BD6783">
        <v>0</v>
      </c>
      <c r="BN6783" t="s">
        <v>74</v>
      </c>
    </row>
    <row r="6784" spans="1:66" hidden="1">
      <c r="A6784">
        <v>104093</v>
      </c>
      <c r="B6784" s="3" t="s">
        <v>609</v>
      </c>
      <c r="C6784" s="1">
        <v>43300101</v>
      </c>
      <c r="D6784" t="s">
        <v>67</v>
      </c>
      <c r="H6784" t="str">
        <f t="shared" si="678"/>
        <v>12572900152</v>
      </c>
      <c r="I6784" t="str">
        <f t="shared" si="679"/>
        <v>06032681006</v>
      </c>
      <c r="K6784" t="str">
        <f>""</f>
        <v/>
      </c>
      <c r="M6784" t="s">
        <v>68</v>
      </c>
      <c r="N6784" t="str">
        <f t="shared" ref="N6784:N6847" si="680">"FOR"</f>
        <v>FOR</v>
      </c>
      <c r="O6784" t="s">
        <v>69</v>
      </c>
      <c r="P6784" s="3" t="s">
        <v>75</v>
      </c>
      <c r="Q6784">
        <v>2015</v>
      </c>
      <c r="R6784" s="2">
        <v>42160</v>
      </c>
      <c r="S6784" s="2">
        <v>42164</v>
      </c>
      <c r="T6784" s="2">
        <v>42163</v>
      </c>
      <c r="U6784" s="2">
        <v>42223</v>
      </c>
      <c r="V6784" t="s">
        <v>71</v>
      </c>
      <c r="W6784" t="str">
        <f>"            25250545"</f>
        <v xml:space="preserve">            25250545</v>
      </c>
      <c r="X6784">
        <v>252.72</v>
      </c>
      <c r="Y6784">
        <v>0</v>
      </c>
      <c r="Z6784"/>
      <c r="AB6784"/>
      <c r="AC6784">
        <v>243</v>
      </c>
      <c r="AD6784">
        <v>269</v>
      </c>
      <c r="AE6784" s="1">
        <v>65367</v>
      </c>
      <c r="AF6784">
        <v>0</v>
      </c>
      <c r="AJ6784">
        <v>0</v>
      </c>
      <c r="AK6784">
        <v>0</v>
      </c>
      <c r="AL6784">
        <v>0</v>
      </c>
      <c r="AM6784">
        <v>0</v>
      </c>
      <c r="AN6784">
        <v>0</v>
      </c>
      <c r="AO6784">
        <v>0</v>
      </c>
      <c r="AP6784" s="2">
        <v>42746</v>
      </c>
      <c r="AQ6784" t="s">
        <v>72</v>
      </c>
      <c r="AR6784" t="s">
        <v>72</v>
      </c>
      <c r="AS6784">
        <v>1225</v>
      </c>
      <c r="AT6784" s="4">
        <v>42492</v>
      </c>
      <c r="AU6784" t="s">
        <v>73</v>
      </c>
      <c r="AV6784">
        <v>1225</v>
      </c>
      <c r="AW6784" s="4">
        <v>42492</v>
      </c>
      <c r="BD6784">
        <v>0</v>
      </c>
      <c r="BN6784" t="s">
        <v>74</v>
      </c>
    </row>
    <row r="6785" spans="1:66" hidden="1">
      <c r="A6785">
        <v>104093</v>
      </c>
      <c r="B6785" s="3" t="s">
        <v>609</v>
      </c>
      <c r="C6785" s="1">
        <v>43300101</v>
      </c>
      <c r="D6785" t="s">
        <v>67</v>
      </c>
      <c r="H6785" t="str">
        <f t="shared" si="678"/>
        <v>12572900152</v>
      </c>
      <c r="I6785" t="str">
        <f t="shared" si="679"/>
        <v>06032681006</v>
      </c>
      <c r="K6785" t="str">
        <f>""</f>
        <v/>
      </c>
      <c r="M6785" t="s">
        <v>68</v>
      </c>
      <c r="N6785" t="str">
        <f t="shared" si="680"/>
        <v>FOR</v>
      </c>
      <c r="O6785" t="s">
        <v>69</v>
      </c>
      <c r="P6785" s="3" t="s">
        <v>75</v>
      </c>
      <c r="Q6785">
        <v>2015</v>
      </c>
      <c r="R6785" s="2">
        <v>42160</v>
      </c>
      <c r="S6785" s="2">
        <v>42164</v>
      </c>
      <c r="T6785" s="2">
        <v>42163</v>
      </c>
      <c r="U6785" s="2">
        <v>42223</v>
      </c>
      <c r="V6785" t="s">
        <v>71</v>
      </c>
      <c r="W6785" t="str">
        <f>"            25250546"</f>
        <v xml:space="preserve">            25250546</v>
      </c>
      <c r="X6785">
        <v>74.88</v>
      </c>
      <c r="Y6785">
        <v>0</v>
      </c>
      <c r="Z6785"/>
      <c r="AB6785"/>
      <c r="AC6785">
        <v>72</v>
      </c>
      <c r="AD6785">
        <v>269</v>
      </c>
      <c r="AE6785" s="1">
        <v>19368</v>
      </c>
      <c r="AF6785">
        <v>0</v>
      </c>
      <c r="AJ6785">
        <v>0</v>
      </c>
      <c r="AK6785">
        <v>0</v>
      </c>
      <c r="AL6785">
        <v>0</v>
      </c>
      <c r="AM6785">
        <v>0</v>
      </c>
      <c r="AN6785">
        <v>0</v>
      </c>
      <c r="AO6785">
        <v>0</v>
      </c>
      <c r="AP6785" s="2">
        <v>42746</v>
      </c>
      <c r="AQ6785" t="s">
        <v>72</v>
      </c>
      <c r="AR6785" t="s">
        <v>72</v>
      </c>
      <c r="AS6785">
        <v>1225</v>
      </c>
      <c r="AT6785" s="4">
        <v>42492</v>
      </c>
      <c r="AU6785" t="s">
        <v>73</v>
      </c>
      <c r="AV6785">
        <v>1225</v>
      </c>
      <c r="AW6785" s="4">
        <v>42492</v>
      </c>
      <c r="BD6785">
        <v>0</v>
      </c>
      <c r="BN6785" t="s">
        <v>74</v>
      </c>
    </row>
    <row r="6786" spans="1:66" hidden="1">
      <c r="A6786">
        <v>104093</v>
      </c>
      <c r="B6786" s="3" t="s">
        <v>609</v>
      </c>
      <c r="C6786" s="1">
        <v>43300101</v>
      </c>
      <c r="D6786" t="s">
        <v>67</v>
      </c>
      <c r="H6786" t="str">
        <f t="shared" si="678"/>
        <v>12572900152</v>
      </c>
      <c r="I6786" t="str">
        <f t="shared" si="679"/>
        <v>06032681006</v>
      </c>
      <c r="K6786" t="str">
        <f>""</f>
        <v/>
      </c>
      <c r="M6786" t="s">
        <v>68</v>
      </c>
      <c r="N6786" t="str">
        <f t="shared" si="680"/>
        <v>FOR</v>
      </c>
      <c r="O6786" t="s">
        <v>69</v>
      </c>
      <c r="P6786" s="3" t="s">
        <v>75</v>
      </c>
      <c r="Q6786">
        <v>2015</v>
      </c>
      <c r="R6786" s="2">
        <v>42160</v>
      </c>
      <c r="S6786" s="2">
        <v>42164</v>
      </c>
      <c r="T6786" s="2">
        <v>42163</v>
      </c>
      <c r="U6786" s="2">
        <v>42223</v>
      </c>
      <c r="V6786" t="s">
        <v>71</v>
      </c>
      <c r="W6786" t="str">
        <f>"            25250547"</f>
        <v xml:space="preserve">            25250547</v>
      </c>
      <c r="X6786">
        <v>707.62</v>
      </c>
      <c r="Y6786">
        <v>0</v>
      </c>
      <c r="Z6786"/>
      <c r="AB6786"/>
      <c r="AC6786">
        <v>680.4</v>
      </c>
      <c r="AD6786">
        <v>269</v>
      </c>
      <c r="AE6786" s="1">
        <v>183027.6</v>
      </c>
      <c r="AF6786">
        <v>0</v>
      </c>
      <c r="AJ6786">
        <v>0</v>
      </c>
      <c r="AK6786">
        <v>0</v>
      </c>
      <c r="AL6786">
        <v>0</v>
      </c>
      <c r="AM6786">
        <v>0</v>
      </c>
      <c r="AN6786">
        <v>0</v>
      </c>
      <c r="AO6786">
        <v>0</v>
      </c>
      <c r="AP6786" s="2">
        <v>42746</v>
      </c>
      <c r="AQ6786" t="s">
        <v>72</v>
      </c>
      <c r="AR6786" t="s">
        <v>72</v>
      </c>
      <c r="AS6786">
        <v>1225</v>
      </c>
      <c r="AT6786" s="4">
        <v>42492</v>
      </c>
      <c r="AU6786" t="s">
        <v>73</v>
      </c>
      <c r="AV6786">
        <v>1225</v>
      </c>
      <c r="AW6786" s="4">
        <v>42492</v>
      </c>
      <c r="BD6786">
        <v>0</v>
      </c>
      <c r="BN6786" t="s">
        <v>74</v>
      </c>
    </row>
    <row r="6787" spans="1:66" hidden="1">
      <c r="A6787">
        <v>104093</v>
      </c>
      <c r="B6787" s="3" t="s">
        <v>609</v>
      </c>
      <c r="C6787" s="1">
        <v>43300101</v>
      </c>
      <c r="D6787" t="s">
        <v>67</v>
      </c>
      <c r="H6787" t="str">
        <f t="shared" ref="H6787:H6850" si="681">"12572900152"</f>
        <v>12572900152</v>
      </c>
      <c r="I6787" t="str">
        <f t="shared" ref="I6787:I6850" si="682">"06032681006"</f>
        <v>06032681006</v>
      </c>
      <c r="K6787" t="str">
        <f>""</f>
        <v/>
      </c>
      <c r="M6787" t="s">
        <v>68</v>
      </c>
      <c r="N6787" t="str">
        <f t="shared" si="680"/>
        <v>FOR</v>
      </c>
      <c r="O6787" t="s">
        <v>69</v>
      </c>
      <c r="P6787" s="3" t="s">
        <v>75</v>
      </c>
      <c r="Q6787">
        <v>2015</v>
      </c>
      <c r="R6787" s="2">
        <v>42160</v>
      </c>
      <c r="S6787" s="2">
        <v>42164</v>
      </c>
      <c r="T6787" s="2">
        <v>42163</v>
      </c>
      <c r="U6787" s="2">
        <v>42223</v>
      </c>
      <c r="V6787" t="s">
        <v>71</v>
      </c>
      <c r="W6787" t="str">
        <f>"            25250587"</f>
        <v xml:space="preserve">            25250587</v>
      </c>
      <c r="X6787">
        <v>605.22</v>
      </c>
      <c r="Y6787">
        <v>0</v>
      </c>
      <c r="Z6787"/>
      <c r="AB6787"/>
      <c r="AC6787">
        <v>496.08</v>
      </c>
      <c r="AD6787">
        <v>269</v>
      </c>
      <c r="AE6787" s="1">
        <v>133445.51999999999</v>
      </c>
      <c r="AF6787">
        <v>0</v>
      </c>
      <c r="AJ6787">
        <v>0</v>
      </c>
      <c r="AK6787">
        <v>0</v>
      </c>
      <c r="AL6787">
        <v>0</v>
      </c>
      <c r="AM6787">
        <v>0</v>
      </c>
      <c r="AN6787">
        <v>0</v>
      </c>
      <c r="AO6787">
        <v>0</v>
      </c>
      <c r="AP6787" s="2">
        <v>42746</v>
      </c>
      <c r="AQ6787" t="s">
        <v>72</v>
      </c>
      <c r="AR6787" t="s">
        <v>72</v>
      </c>
      <c r="AS6787">
        <v>1225</v>
      </c>
      <c r="AT6787" s="4">
        <v>42492</v>
      </c>
      <c r="AU6787" t="s">
        <v>73</v>
      </c>
      <c r="AV6787">
        <v>1225</v>
      </c>
      <c r="AW6787" s="4">
        <v>42492</v>
      </c>
      <c r="BD6787">
        <v>0</v>
      </c>
      <c r="BN6787" t="s">
        <v>74</v>
      </c>
    </row>
    <row r="6788" spans="1:66" hidden="1">
      <c r="A6788">
        <v>104093</v>
      </c>
      <c r="B6788" s="3" t="s">
        <v>609</v>
      </c>
      <c r="C6788" s="1">
        <v>43300101</v>
      </c>
      <c r="D6788" t="s">
        <v>67</v>
      </c>
      <c r="H6788" t="str">
        <f t="shared" si="681"/>
        <v>12572900152</v>
      </c>
      <c r="I6788" t="str">
        <f t="shared" si="682"/>
        <v>06032681006</v>
      </c>
      <c r="K6788" t="str">
        <f>""</f>
        <v/>
      </c>
      <c r="M6788" t="s">
        <v>68</v>
      </c>
      <c r="N6788" t="str">
        <f t="shared" si="680"/>
        <v>FOR</v>
      </c>
      <c r="O6788" t="s">
        <v>69</v>
      </c>
      <c r="P6788" s="3" t="s">
        <v>75</v>
      </c>
      <c r="Q6788">
        <v>2015</v>
      </c>
      <c r="R6788" s="2">
        <v>42160</v>
      </c>
      <c r="S6788" s="2">
        <v>42164</v>
      </c>
      <c r="T6788" s="2">
        <v>42163</v>
      </c>
      <c r="U6788" s="2">
        <v>42223</v>
      </c>
      <c r="V6788" t="s">
        <v>71</v>
      </c>
      <c r="W6788" t="str">
        <f>"            25250633"</f>
        <v xml:space="preserve">            25250633</v>
      </c>
      <c r="X6788" s="1">
        <v>3036.32</v>
      </c>
      <c r="Y6788">
        <v>0</v>
      </c>
      <c r="Z6788"/>
      <c r="AB6788"/>
      <c r="AC6788" s="1">
        <v>2842</v>
      </c>
      <c r="AD6788">
        <v>269</v>
      </c>
      <c r="AE6788" s="1">
        <v>764498</v>
      </c>
      <c r="AF6788">
        <v>0</v>
      </c>
      <c r="AJ6788">
        <v>0</v>
      </c>
      <c r="AK6788">
        <v>0</v>
      </c>
      <c r="AL6788">
        <v>0</v>
      </c>
      <c r="AM6788">
        <v>0</v>
      </c>
      <c r="AN6788">
        <v>0</v>
      </c>
      <c r="AO6788">
        <v>0</v>
      </c>
      <c r="AP6788" s="2">
        <v>42746</v>
      </c>
      <c r="AQ6788" t="s">
        <v>72</v>
      </c>
      <c r="AR6788" t="s">
        <v>72</v>
      </c>
      <c r="AS6788">
        <v>1225</v>
      </c>
      <c r="AT6788" s="4">
        <v>42492</v>
      </c>
      <c r="AU6788" t="s">
        <v>73</v>
      </c>
      <c r="AV6788">
        <v>1225</v>
      </c>
      <c r="AW6788" s="4">
        <v>42492</v>
      </c>
      <c r="BD6788">
        <v>0</v>
      </c>
      <c r="BN6788" t="s">
        <v>74</v>
      </c>
    </row>
    <row r="6789" spans="1:66" hidden="1">
      <c r="A6789">
        <v>104093</v>
      </c>
      <c r="B6789" s="3" t="s">
        <v>609</v>
      </c>
      <c r="C6789" s="1">
        <v>43300101</v>
      </c>
      <c r="D6789" t="s">
        <v>67</v>
      </c>
      <c r="H6789" t="str">
        <f t="shared" si="681"/>
        <v>12572900152</v>
      </c>
      <c r="I6789" t="str">
        <f t="shared" si="682"/>
        <v>06032681006</v>
      </c>
      <c r="K6789" t="str">
        <f>""</f>
        <v/>
      </c>
      <c r="M6789" t="s">
        <v>68</v>
      </c>
      <c r="N6789" t="str">
        <f t="shared" si="680"/>
        <v>FOR</v>
      </c>
      <c r="O6789" t="s">
        <v>69</v>
      </c>
      <c r="P6789" s="3" t="s">
        <v>75</v>
      </c>
      <c r="Q6789">
        <v>2015</v>
      </c>
      <c r="R6789" s="2">
        <v>42163</v>
      </c>
      <c r="S6789" s="2">
        <v>42165</v>
      </c>
      <c r="T6789" s="2">
        <v>42164</v>
      </c>
      <c r="U6789" s="2">
        <v>42224</v>
      </c>
      <c r="V6789" t="s">
        <v>71</v>
      </c>
      <c r="W6789" t="str">
        <f>"            25250726"</f>
        <v xml:space="preserve">            25250726</v>
      </c>
      <c r="X6789">
        <v>936</v>
      </c>
      <c r="Y6789">
        <v>0</v>
      </c>
      <c r="Z6789"/>
      <c r="AB6789"/>
      <c r="AC6789">
        <v>900</v>
      </c>
      <c r="AD6789">
        <v>268</v>
      </c>
      <c r="AE6789" s="1">
        <v>241200</v>
      </c>
      <c r="AF6789">
        <v>0</v>
      </c>
      <c r="AJ6789">
        <v>0</v>
      </c>
      <c r="AK6789">
        <v>0</v>
      </c>
      <c r="AL6789">
        <v>0</v>
      </c>
      <c r="AM6789">
        <v>0</v>
      </c>
      <c r="AN6789">
        <v>0</v>
      </c>
      <c r="AO6789">
        <v>0</v>
      </c>
      <c r="AP6789" s="2">
        <v>42746</v>
      </c>
      <c r="AQ6789" t="s">
        <v>72</v>
      </c>
      <c r="AR6789" t="s">
        <v>72</v>
      </c>
      <c r="AS6789">
        <v>1225</v>
      </c>
      <c r="AT6789" s="4">
        <v>42492</v>
      </c>
      <c r="AU6789" t="s">
        <v>73</v>
      </c>
      <c r="AV6789">
        <v>1225</v>
      </c>
      <c r="AW6789" s="4">
        <v>42492</v>
      </c>
      <c r="BD6789">
        <v>0</v>
      </c>
      <c r="BN6789" t="s">
        <v>74</v>
      </c>
    </row>
    <row r="6790" spans="1:66" hidden="1">
      <c r="A6790">
        <v>104093</v>
      </c>
      <c r="B6790" s="3" t="s">
        <v>609</v>
      </c>
      <c r="C6790" s="1">
        <v>43300101</v>
      </c>
      <c r="D6790" t="s">
        <v>67</v>
      </c>
      <c r="H6790" t="str">
        <f t="shared" si="681"/>
        <v>12572900152</v>
      </c>
      <c r="I6790" t="str">
        <f t="shared" si="682"/>
        <v>06032681006</v>
      </c>
      <c r="K6790" t="str">
        <f>""</f>
        <v/>
      </c>
      <c r="M6790" t="s">
        <v>68</v>
      </c>
      <c r="N6790" t="str">
        <f t="shared" si="680"/>
        <v>FOR</v>
      </c>
      <c r="O6790" t="s">
        <v>69</v>
      </c>
      <c r="P6790" s="3" t="s">
        <v>75</v>
      </c>
      <c r="Q6790">
        <v>2015</v>
      </c>
      <c r="R6790" s="2">
        <v>42163</v>
      </c>
      <c r="S6790" s="2">
        <v>42165</v>
      </c>
      <c r="T6790" s="2">
        <v>42164</v>
      </c>
      <c r="U6790" s="2">
        <v>42224</v>
      </c>
      <c r="V6790" t="s">
        <v>71</v>
      </c>
      <c r="W6790" t="str">
        <f>"            25250752"</f>
        <v xml:space="preserve">            25250752</v>
      </c>
      <c r="X6790">
        <v>74.88</v>
      </c>
      <c r="Y6790">
        <v>0</v>
      </c>
      <c r="Z6790"/>
      <c r="AB6790"/>
      <c r="AC6790">
        <v>72</v>
      </c>
      <c r="AD6790">
        <v>268</v>
      </c>
      <c r="AE6790" s="1">
        <v>19296</v>
      </c>
      <c r="AF6790">
        <v>0</v>
      </c>
      <c r="AJ6790">
        <v>0</v>
      </c>
      <c r="AK6790">
        <v>0</v>
      </c>
      <c r="AL6790">
        <v>0</v>
      </c>
      <c r="AM6790">
        <v>0</v>
      </c>
      <c r="AN6790">
        <v>0</v>
      </c>
      <c r="AO6790">
        <v>0</v>
      </c>
      <c r="AP6790" s="2">
        <v>42746</v>
      </c>
      <c r="AQ6790" t="s">
        <v>72</v>
      </c>
      <c r="AR6790" t="s">
        <v>72</v>
      </c>
      <c r="AS6790">
        <v>1225</v>
      </c>
      <c r="AT6790" s="4">
        <v>42492</v>
      </c>
      <c r="AU6790" t="s">
        <v>73</v>
      </c>
      <c r="AV6790">
        <v>1225</v>
      </c>
      <c r="AW6790" s="4">
        <v>42492</v>
      </c>
      <c r="BD6790">
        <v>0</v>
      </c>
      <c r="BN6790" t="s">
        <v>74</v>
      </c>
    </row>
    <row r="6791" spans="1:66" hidden="1">
      <c r="A6791">
        <v>104093</v>
      </c>
      <c r="B6791" s="3" t="s">
        <v>609</v>
      </c>
      <c r="C6791" s="1">
        <v>43300101</v>
      </c>
      <c r="D6791" t="s">
        <v>67</v>
      </c>
      <c r="H6791" t="str">
        <f t="shared" si="681"/>
        <v>12572900152</v>
      </c>
      <c r="I6791" t="str">
        <f t="shared" si="682"/>
        <v>06032681006</v>
      </c>
      <c r="K6791" t="str">
        <f>""</f>
        <v/>
      </c>
      <c r="M6791" t="s">
        <v>68</v>
      </c>
      <c r="N6791" t="str">
        <f t="shared" si="680"/>
        <v>FOR</v>
      </c>
      <c r="O6791" t="s">
        <v>69</v>
      </c>
      <c r="P6791" s="3" t="s">
        <v>75</v>
      </c>
      <c r="Q6791">
        <v>2015</v>
      </c>
      <c r="R6791" s="2">
        <v>42163</v>
      </c>
      <c r="S6791" s="2">
        <v>42165</v>
      </c>
      <c r="T6791" s="2">
        <v>42164</v>
      </c>
      <c r="U6791" s="2">
        <v>42224</v>
      </c>
      <c r="V6791" t="s">
        <v>71</v>
      </c>
      <c r="W6791" t="str">
        <f>"            25250760"</f>
        <v xml:space="preserve">            25250760</v>
      </c>
      <c r="X6791">
        <v>252.72</v>
      </c>
      <c r="Y6791">
        <v>0</v>
      </c>
      <c r="Z6791"/>
      <c r="AB6791"/>
      <c r="AC6791">
        <v>243</v>
      </c>
      <c r="AD6791">
        <v>268</v>
      </c>
      <c r="AE6791" s="1">
        <v>65124</v>
      </c>
      <c r="AF6791">
        <v>0</v>
      </c>
      <c r="AJ6791">
        <v>0</v>
      </c>
      <c r="AK6791">
        <v>0</v>
      </c>
      <c r="AL6791">
        <v>0</v>
      </c>
      <c r="AM6791">
        <v>0</v>
      </c>
      <c r="AN6791">
        <v>0</v>
      </c>
      <c r="AO6791">
        <v>0</v>
      </c>
      <c r="AP6791" s="2">
        <v>42746</v>
      </c>
      <c r="AQ6791" t="s">
        <v>72</v>
      </c>
      <c r="AR6791" t="s">
        <v>72</v>
      </c>
      <c r="AS6791">
        <v>1225</v>
      </c>
      <c r="AT6791" s="4">
        <v>42492</v>
      </c>
      <c r="AU6791" t="s">
        <v>73</v>
      </c>
      <c r="AV6791">
        <v>1225</v>
      </c>
      <c r="AW6791" s="4">
        <v>42492</v>
      </c>
      <c r="BD6791">
        <v>0</v>
      </c>
      <c r="BN6791" t="s">
        <v>74</v>
      </c>
    </row>
    <row r="6792" spans="1:66" hidden="1">
      <c r="A6792">
        <v>104093</v>
      </c>
      <c r="B6792" s="3" t="s">
        <v>609</v>
      </c>
      <c r="C6792" s="1">
        <v>43300101</v>
      </c>
      <c r="D6792" t="s">
        <v>67</v>
      </c>
      <c r="H6792" t="str">
        <f t="shared" si="681"/>
        <v>12572900152</v>
      </c>
      <c r="I6792" t="str">
        <f t="shared" si="682"/>
        <v>06032681006</v>
      </c>
      <c r="K6792" t="str">
        <f>""</f>
        <v/>
      </c>
      <c r="M6792" t="s">
        <v>68</v>
      </c>
      <c r="N6792" t="str">
        <f t="shared" si="680"/>
        <v>FOR</v>
      </c>
      <c r="O6792" t="s">
        <v>69</v>
      </c>
      <c r="P6792" s="3" t="s">
        <v>75</v>
      </c>
      <c r="Q6792">
        <v>2015</v>
      </c>
      <c r="R6792" s="2">
        <v>42163</v>
      </c>
      <c r="S6792" s="2">
        <v>42166</v>
      </c>
      <c r="T6792" s="2">
        <v>42164</v>
      </c>
      <c r="U6792" s="2">
        <v>42224</v>
      </c>
      <c r="V6792" t="s">
        <v>71</v>
      </c>
      <c r="W6792" t="str">
        <f>"            25250784"</f>
        <v xml:space="preserve">            25250784</v>
      </c>
      <c r="X6792" s="1">
        <v>5538.8</v>
      </c>
      <c r="Y6792">
        <v>0</v>
      </c>
      <c r="Z6792"/>
      <c r="AB6792"/>
      <c r="AC6792" s="1">
        <v>4540</v>
      </c>
      <c r="AD6792">
        <v>268</v>
      </c>
      <c r="AE6792" s="1">
        <v>1216720</v>
      </c>
      <c r="AF6792">
        <v>0</v>
      </c>
      <c r="AJ6792">
        <v>0</v>
      </c>
      <c r="AK6792">
        <v>0</v>
      </c>
      <c r="AL6792">
        <v>0</v>
      </c>
      <c r="AM6792">
        <v>0</v>
      </c>
      <c r="AN6792">
        <v>0</v>
      </c>
      <c r="AO6792">
        <v>0</v>
      </c>
      <c r="AP6792" s="2">
        <v>42746</v>
      </c>
      <c r="AQ6792" t="s">
        <v>72</v>
      </c>
      <c r="AR6792" t="s">
        <v>72</v>
      </c>
      <c r="AS6792">
        <v>1225</v>
      </c>
      <c r="AT6792" s="4">
        <v>42492</v>
      </c>
      <c r="AU6792" t="s">
        <v>73</v>
      </c>
      <c r="AV6792">
        <v>1225</v>
      </c>
      <c r="AW6792" s="4">
        <v>42492</v>
      </c>
      <c r="BD6792">
        <v>0</v>
      </c>
      <c r="BN6792" t="s">
        <v>74</v>
      </c>
    </row>
    <row r="6793" spans="1:66" hidden="1">
      <c r="A6793">
        <v>104093</v>
      </c>
      <c r="B6793" s="3" t="s">
        <v>609</v>
      </c>
      <c r="C6793" s="1">
        <v>43300101</v>
      </c>
      <c r="D6793" t="s">
        <v>67</v>
      </c>
      <c r="H6793" t="str">
        <f t="shared" si="681"/>
        <v>12572900152</v>
      </c>
      <c r="I6793" t="str">
        <f t="shared" si="682"/>
        <v>06032681006</v>
      </c>
      <c r="K6793" t="str">
        <f>""</f>
        <v/>
      </c>
      <c r="M6793" t="s">
        <v>68</v>
      </c>
      <c r="N6793" t="str">
        <f t="shared" si="680"/>
        <v>FOR</v>
      </c>
      <c r="O6793" t="s">
        <v>69</v>
      </c>
      <c r="P6793" s="3" t="s">
        <v>75</v>
      </c>
      <c r="Q6793">
        <v>2015</v>
      </c>
      <c r="R6793" s="2">
        <v>42163</v>
      </c>
      <c r="S6793" s="2">
        <v>42165</v>
      </c>
      <c r="T6793" s="2">
        <v>42164</v>
      </c>
      <c r="U6793" s="2">
        <v>42224</v>
      </c>
      <c r="V6793" t="s">
        <v>71</v>
      </c>
      <c r="W6793" t="str">
        <f>"            25250878"</f>
        <v xml:space="preserve">            25250878</v>
      </c>
      <c r="X6793">
        <v>907.83</v>
      </c>
      <c r="Y6793">
        <v>0</v>
      </c>
      <c r="Z6793"/>
      <c r="AB6793"/>
      <c r="AC6793">
        <v>744.12</v>
      </c>
      <c r="AD6793">
        <v>268</v>
      </c>
      <c r="AE6793" s="1">
        <v>199424.16</v>
      </c>
      <c r="AF6793">
        <v>0</v>
      </c>
      <c r="AJ6793">
        <v>0</v>
      </c>
      <c r="AK6793">
        <v>0</v>
      </c>
      <c r="AL6793">
        <v>0</v>
      </c>
      <c r="AM6793">
        <v>0</v>
      </c>
      <c r="AN6793">
        <v>0</v>
      </c>
      <c r="AO6793">
        <v>0</v>
      </c>
      <c r="AP6793" s="2">
        <v>42746</v>
      </c>
      <c r="AQ6793" t="s">
        <v>72</v>
      </c>
      <c r="AR6793" t="s">
        <v>72</v>
      </c>
      <c r="AS6793">
        <v>1225</v>
      </c>
      <c r="AT6793" s="4">
        <v>42492</v>
      </c>
      <c r="AU6793" t="s">
        <v>73</v>
      </c>
      <c r="AV6793">
        <v>1225</v>
      </c>
      <c r="AW6793" s="4">
        <v>42492</v>
      </c>
      <c r="BD6793">
        <v>0</v>
      </c>
      <c r="BN6793" t="s">
        <v>74</v>
      </c>
    </row>
    <row r="6794" spans="1:66" hidden="1">
      <c r="A6794">
        <v>104093</v>
      </c>
      <c r="B6794" s="3" t="s">
        <v>609</v>
      </c>
      <c r="C6794" s="1">
        <v>43300101</v>
      </c>
      <c r="D6794" t="s">
        <v>67</v>
      </c>
      <c r="H6794" t="str">
        <f t="shared" si="681"/>
        <v>12572900152</v>
      </c>
      <c r="I6794" t="str">
        <f t="shared" si="682"/>
        <v>06032681006</v>
      </c>
      <c r="K6794" t="str">
        <f>""</f>
        <v/>
      </c>
      <c r="M6794" t="s">
        <v>68</v>
      </c>
      <c r="N6794" t="str">
        <f t="shared" si="680"/>
        <v>FOR</v>
      </c>
      <c r="O6794" t="s">
        <v>69</v>
      </c>
      <c r="P6794" s="3" t="s">
        <v>75</v>
      </c>
      <c r="Q6794">
        <v>2015</v>
      </c>
      <c r="R6794" s="2">
        <v>42166</v>
      </c>
      <c r="S6794" s="2">
        <v>42170</v>
      </c>
      <c r="T6794" s="2">
        <v>42168</v>
      </c>
      <c r="U6794" s="2">
        <v>42228</v>
      </c>
      <c r="V6794" t="s">
        <v>71</v>
      </c>
      <c r="W6794" t="str">
        <f>"            25251447"</f>
        <v xml:space="preserve">            25251447</v>
      </c>
      <c r="X6794">
        <v>74.88</v>
      </c>
      <c r="Y6794">
        <v>0</v>
      </c>
      <c r="Z6794"/>
      <c r="AB6794"/>
      <c r="AC6794">
        <v>72</v>
      </c>
      <c r="AD6794">
        <v>264</v>
      </c>
      <c r="AE6794" s="1">
        <v>19008</v>
      </c>
      <c r="AF6794">
        <v>0</v>
      </c>
      <c r="AJ6794">
        <v>0</v>
      </c>
      <c r="AK6794">
        <v>0</v>
      </c>
      <c r="AL6794">
        <v>0</v>
      </c>
      <c r="AM6794">
        <v>0</v>
      </c>
      <c r="AN6794">
        <v>0</v>
      </c>
      <c r="AO6794">
        <v>0</v>
      </c>
      <c r="AP6794" s="2">
        <v>42746</v>
      </c>
      <c r="AQ6794" t="s">
        <v>72</v>
      </c>
      <c r="AR6794" t="s">
        <v>72</v>
      </c>
      <c r="AS6794">
        <v>1225</v>
      </c>
      <c r="AT6794" s="4">
        <v>42492</v>
      </c>
      <c r="AU6794" t="s">
        <v>73</v>
      </c>
      <c r="AV6794">
        <v>1225</v>
      </c>
      <c r="AW6794" s="4">
        <v>42492</v>
      </c>
      <c r="BD6794">
        <v>0</v>
      </c>
      <c r="BN6794" t="s">
        <v>74</v>
      </c>
    </row>
    <row r="6795" spans="1:66" hidden="1">
      <c r="A6795">
        <v>104093</v>
      </c>
      <c r="B6795" s="3" t="s">
        <v>609</v>
      </c>
      <c r="C6795" s="1">
        <v>43300101</v>
      </c>
      <c r="D6795" t="s">
        <v>67</v>
      </c>
      <c r="H6795" t="str">
        <f t="shared" si="681"/>
        <v>12572900152</v>
      </c>
      <c r="I6795" t="str">
        <f t="shared" si="682"/>
        <v>06032681006</v>
      </c>
      <c r="K6795" t="str">
        <f>""</f>
        <v/>
      </c>
      <c r="M6795" t="s">
        <v>68</v>
      </c>
      <c r="N6795" t="str">
        <f t="shared" si="680"/>
        <v>FOR</v>
      </c>
      <c r="O6795" t="s">
        <v>69</v>
      </c>
      <c r="P6795" s="3" t="s">
        <v>75</v>
      </c>
      <c r="Q6795">
        <v>2015</v>
      </c>
      <c r="R6795" s="2">
        <v>42166</v>
      </c>
      <c r="S6795" s="2">
        <v>42170</v>
      </c>
      <c r="T6795" s="2">
        <v>42168</v>
      </c>
      <c r="U6795" s="2">
        <v>42228</v>
      </c>
      <c r="V6795" t="s">
        <v>71</v>
      </c>
      <c r="W6795" t="str">
        <f>"            25251449"</f>
        <v xml:space="preserve">            25251449</v>
      </c>
      <c r="X6795">
        <v>707.62</v>
      </c>
      <c r="Y6795">
        <v>0</v>
      </c>
      <c r="Z6795"/>
      <c r="AB6795"/>
      <c r="AC6795">
        <v>680.4</v>
      </c>
      <c r="AD6795">
        <v>349</v>
      </c>
      <c r="AE6795" s="1">
        <v>237459.6</v>
      </c>
      <c r="AF6795">
        <v>0</v>
      </c>
      <c r="AJ6795">
        <v>0</v>
      </c>
      <c r="AK6795">
        <v>0</v>
      </c>
      <c r="AL6795">
        <v>0</v>
      </c>
      <c r="AM6795">
        <v>0</v>
      </c>
      <c r="AN6795">
        <v>0</v>
      </c>
      <c r="AO6795">
        <v>0</v>
      </c>
      <c r="AP6795" s="2">
        <v>42746</v>
      </c>
      <c r="AQ6795" t="s">
        <v>72</v>
      </c>
      <c r="AR6795" t="s">
        <v>72</v>
      </c>
      <c r="AS6795">
        <v>1938</v>
      </c>
      <c r="AT6795" s="4">
        <v>42577</v>
      </c>
      <c r="AU6795" t="s">
        <v>73</v>
      </c>
      <c r="AV6795">
        <v>1938</v>
      </c>
      <c r="AW6795" s="4">
        <v>42577</v>
      </c>
      <c r="BD6795">
        <v>0</v>
      </c>
      <c r="BN6795" t="s">
        <v>74</v>
      </c>
    </row>
    <row r="6796" spans="1:66" hidden="1">
      <c r="A6796">
        <v>104093</v>
      </c>
      <c r="B6796" s="3" t="s">
        <v>609</v>
      </c>
      <c r="C6796" s="1">
        <v>43300101</v>
      </c>
      <c r="D6796" t="s">
        <v>67</v>
      </c>
      <c r="H6796" t="str">
        <f t="shared" si="681"/>
        <v>12572900152</v>
      </c>
      <c r="I6796" t="str">
        <f t="shared" si="682"/>
        <v>06032681006</v>
      </c>
      <c r="K6796" t="str">
        <f>""</f>
        <v/>
      </c>
      <c r="M6796" t="s">
        <v>68</v>
      </c>
      <c r="N6796" t="str">
        <f t="shared" si="680"/>
        <v>FOR</v>
      </c>
      <c r="O6796" t="s">
        <v>69</v>
      </c>
      <c r="P6796" s="3" t="s">
        <v>75</v>
      </c>
      <c r="Q6796">
        <v>2015</v>
      </c>
      <c r="R6796" s="2">
        <v>42166</v>
      </c>
      <c r="S6796" s="2">
        <v>42170</v>
      </c>
      <c r="T6796" s="2">
        <v>42168</v>
      </c>
      <c r="U6796" s="2">
        <v>42228</v>
      </c>
      <c r="V6796" t="s">
        <v>71</v>
      </c>
      <c r="W6796" t="str">
        <f>"            25251498"</f>
        <v xml:space="preserve">            25251498</v>
      </c>
      <c r="X6796">
        <v>252.72</v>
      </c>
      <c r="Y6796">
        <v>0</v>
      </c>
      <c r="Z6796"/>
      <c r="AB6796"/>
      <c r="AC6796">
        <v>243</v>
      </c>
      <c r="AD6796">
        <v>264</v>
      </c>
      <c r="AE6796" s="1">
        <v>64152</v>
      </c>
      <c r="AF6796">
        <v>0</v>
      </c>
      <c r="AJ6796">
        <v>0</v>
      </c>
      <c r="AK6796">
        <v>0</v>
      </c>
      <c r="AL6796">
        <v>0</v>
      </c>
      <c r="AM6796">
        <v>0</v>
      </c>
      <c r="AN6796">
        <v>0</v>
      </c>
      <c r="AO6796">
        <v>0</v>
      </c>
      <c r="AP6796" s="2">
        <v>42746</v>
      </c>
      <c r="AQ6796" t="s">
        <v>72</v>
      </c>
      <c r="AR6796" t="s">
        <v>72</v>
      </c>
      <c r="AS6796">
        <v>1225</v>
      </c>
      <c r="AT6796" s="4">
        <v>42492</v>
      </c>
      <c r="AU6796" t="s">
        <v>73</v>
      </c>
      <c r="AV6796">
        <v>1225</v>
      </c>
      <c r="AW6796" s="4">
        <v>42492</v>
      </c>
      <c r="BD6796">
        <v>0</v>
      </c>
      <c r="BN6796" t="s">
        <v>74</v>
      </c>
    </row>
    <row r="6797" spans="1:66" hidden="1">
      <c r="A6797">
        <v>104093</v>
      </c>
      <c r="B6797" s="3" t="s">
        <v>609</v>
      </c>
      <c r="C6797" s="1">
        <v>43300101</v>
      </c>
      <c r="D6797" t="s">
        <v>67</v>
      </c>
      <c r="H6797" t="str">
        <f t="shared" si="681"/>
        <v>12572900152</v>
      </c>
      <c r="I6797" t="str">
        <f t="shared" si="682"/>
        <v>06032681006</v>
      </c>
      <c r="K6797" t="str">
        <f>""</f>
        <v/>
      </c>
      <c r="M6797" t="s">
        <v>68</v>
      </c>
      <c r="N6797" t="str">
        <f t="shared" si="680"/>
        <v>FOR</v>
      </c>
      <c r="O6797" t="s">
        <v>69</v>
      </c>
      <c r="P6797" s="3" t="s">
        <v>75</v>
      </c>
      <c r="Q6797">
        <v>2015</v>
      </c>
      <c r="R6797" s="2">
        <v>42166</v>
      </c>
      <c r="S6797" s="2">
        <v>42170</v>
      </c>
      <c r="T6797" s="2">
        <v>42170</v>
      </c>
      <c r="U6797" s="2">
        <v>42230</v>
      </c>
      <c r="V6797" t="s">
        <v>71</v>
      </c>
      <c r="W6797" t="str">
        <f>"            25251506"</f>
        <v xml:space="preserve">            25251506</v>
      </c>
      <c r="X6797">
        <v>707.62</v>
      </c>
      <c r="Y6797">
        <v>0</v>
      </c>
      <c r="Z6797"/>
      <c r="AB6797"/>
      <c r="AC6797">
        <v>680.4</v>
      </c>
      <c r="AD6797">
        <v>262</v>
      </c>
      <c r="AE6797" s="1">
        <v>178264.8</v>
      </c>
      <c r="AF6797">
        <v>0</v>
      </c>
      <c r="AJ6797">
        <v>0</v>
      </c>
      <c r="AK6797">
        <v>0</v>
      </c>
      <c r="AL6797">
        <v>0</v>
      </c>
      <c r="AM6797">
        <v>0</v>
      </c>
      <c r="AN6797">
        <v>0</v>
      </c>
      <c r="AO6797">
        <v>0</v>
      </c>
      <c r="AP6797" s="2">
        <v>42746</v>
      </c>
      <c r="AQ6797" t="s">
        <v>72</v>
      </c>
      <c r="AR6797" t="s">
        <v>72</v>
      </c>
      <c r="AS6797">
        <v>1225</v>
      </c>
      <c r="AT6797" s="4">
        <v>42492</v>
      </c>
      <c r="AU6797" t="s">
        <v>73</v>
      </c>
      <c r="AV6797">
        <v>1225</v>
      </c>
      <c r="AW6797" s="4">
        <v>42492</v>
      </c>
      <c r="BD6797">
        <v>0</v>
      </c>
      <c r="BN6797" t="s">
        <v>74</v>
      </c>
    </row>
    <row r="6798" spans="1:66" hidden="1">
      <c r="A6798">
        <v>104093</v>
      </c>
      <c r="B6798" s="3" t="s">
        <v>609</v>
      </c>
      <c r="C6798" s="1">
        <v>43300101</v>
      </c>
      <c r="D6798" t="s">
        <v>67</v>
      </c>
      <c r="H6798" t="str">
        <f t="shared" si="681"/>
        <v>12572900152</v>
      </c>
      <c r="I6798" t="str">
        <f t="shared" si="682"/>
        <v>06032681006</v>
      </c>
      <c r="K6798" t="str">
        <f>""</f>
        <v/>
      </c>
      <c r="M6798" t="s">
        <v>68</v>
      </c>
      <c r="N6798" t="str">
        <f t="shared" si="680"/>
        <v>FOR</v>
      </c>
      <c r="O6798" t="s">
        <v>69</v>
      </c>
      <c r="P6798" s="3" t="s">
        <v>75</v>
      </c>
      <c r="Q6798">
        <v>2015</v>
      </c>
      <c r="R6798" s="2">
        <v>42167</v>
      </c>
      <c r="S6798" s="2">
        <v>42171</v>
      </c>
      <c r="T6798" s="2">
        <v>42170</v>
      </c>
      <c r="U6798" s="2">
        <v>42230</v>
      </c>
      <c r="V6798" t="s">
        <v>71</v>
      </c>
      <c r="W6798" t="str">
        <f>"            25251892"</f>
        <v xml:space="preserve">            25251892</v>
      </c>
      <c r="X6798">
        <v>215.28</v>
      </c>
      <c r="Y6798">
        <v>0</v>
      </c>
      <c r="Z6798"/>
      <c r="AB6798"/>
      <c r="AC6798">
        <v>207</v>
      </c>
      <c r="AD6798">
        <v>262</v>
      </c>
      <c r="AE6798" s="1">
        <v>54234</v>
      </c>
      <c r="AF6798">
        <v>0</v>
      </c>
      <c r="AJ6798">
        <v>0</v>
      </c>
      <c r="AK6798">
        <v>0</v>
      </c>
      <c r="AL6798">
        <v>0</v>
      </c>
      <c r="AM6798">
        <v>0</v>
      </c>
      <c r="AN6798">
        <v>0</v>
      </c>
      <c r="AO6798">
        <v>0</v>
      </c>
      <c r="AP6798" s="2">
        <v>42746</v>
      </c>
      <c r="AQ6798" t="s">
        <v>72</v>
      </c>
      <c r="AR6798" t="s">
        <v>72</v>
      </c>
      <c r="AS6798">
        <v>1225</v>
      </c>
      <c r="AT6798" s="4">
        <v>42492</v>
      </c>
      <c r="AU6798" t="s">
        <v>73</v>
      </c>
      <c r="AV6798">
        <v>1225</v>
      </c>
      <c r="AW6798" s="4">
        <v>42492</v>
      </c>
      <c r="BD6798">
        <v>0</v>
      </c>
      <c r="BN6798" t="s">
        <v>74</v>
      </c>
    </row>
    <row r="6799" spans="1:66" hidden="1">
      <c r="A6799">
        <v>104093</v>
      </c>
      <c r="B6799" s="3" t="s">
        <v>609</v>
      </c>
      <c r="C6799" s="1">
        <v>43300101</v>
      </c>
      <c r="D6799" t="s">
        <v>67</v>
      </c>
      <c r="H6799" t="str">
        <f t="shared" si="681"/>
        <v>12572900152</v>
      </c>
      <c r="I6799" t="str">
        <f t="shared" si="682"/>
        <v>06032681006</v>
      </c>
      <c r="K6799" t="str">
        <f>""</f>
        <v/>
      </c>
      <c r="M6799" t="s">
        <v>68</v>
      </c>
      <c r="N6799" t="str">
        <f t="shared" si="680"/>
        <v>FOR</v>
      </c>
      <c r="O6799" t="s">
        <v>69</v>
      </c>
      <c r="P6799" s="3" t="s">
        <v>75</v>
      </c>
      <c r="Q6799">
        <v>2015</v>
      </c>
      <c r="R6799" s="2">
        <v>42169</v>
      </c>
      <c r="S6799" s="2">
        <v>42171</v>
      </c>
      <c r="T6799" s="2">
        <v>42170</v>
      </c>
      <c r="U6799" s="2">
        <v>42230</v>
      </c>
      <c r="V6799" t="s">
        <v>71</v>
      </c>
      <c r="W6799" t="str">
        <f>"            25252020"</f>
        <v xml:space="preserve">            25252020</v>
      </c>
      <c r="X6799">
        <v>252.72</v>
      </c>
      <c r="Y6799">
        <v>0</v>
      </c>
      <c r="Z6799"/>
      <c r="AB6799"/>
      <c r="AC6799">
        <v>243</v>
      </c>
      <c r="AD6799">
        <v>262</v>
      </c>
      <c r="AE6799" s="1">
        <v>63666</v>
      </c>
      <c r="AF6799">
        <v>0</v>
      </c>
      <c r="AJ6799">
        <v>0</v>
      </c>
      <c r="AK6799">
        <v>0</v>
      </c>
      <c r="AL6799">
        <v>0</v>
      </c>
      <c r="AM6799">
        <v>0</v>
      </c>
      <c r="AN6799">
        <v>0</v>
      </c>
      <c r="AO6799">
        <v>0</v>
      </c>
      <c r="AP6799" s="2">
        <v>42746</v>
      </c>
      <c r="AQ6799" t="s">
        <v>72</v>
      </c>
      <c r="AR6799" t="s">
        <v>72</v>
      </c>
      <c r="AS6799">
        <v>1225</v>
      </c>
      <c r="AT6799" s="4">
        <v>42492</v>
      </c>
      <c r="AU6799" t="s">
        <v>73</v>
      </c>
      <c r="AV6799">
        <v>1225</v>
      </c>
      <c r="AW6799" s="4">
        <v>42492</v>
      </c>
      <c r="BD6799">
        <v>0</v>
      </c>
      <c r="BN6799" t="s">
        <v>74</v>
      </c>
    </row>
    <row r="6800" spans="1:66" hidden="1">
      <c r="A6800">
        <v>104093</v>
      </c>
      <c r="B6800" s="3" t="s">
        <v>609</v>
      </c>
      <c r="C6800" s="1">
        <v>43300101</v>
      </c>
      <c r="D6800" t="s">
        <v>67</v>
      </c>
      <c r="H6800" t="str">
        <f t="shared" si="681"/>
        <v>12572900152</v>
      </c>
      <c r="I6800" t="str">
        <f t="shared" si="682"/>
        <v>06032681006</v>
      </c>
      <c r="K6800" t="str">
        <f>""</f>
        <v/>
      </c>
      <c r="M6800" t="s">
        <v>68</v>
      </c>
      <c r="N6800" t="str">
        <f t="shared" si="680"/>
        <v>FOR</v>
      </c>
      <c r="O6800" t="s">
        <v>69</v>
      </c>
      <c r="P6800" s="3" t="s">
        <v>75</v>
      </c>
      <c r="Q6800">
        <v>2015</v>
      </c>
      <c r="R6800" s="2">
        <v>42169</v>
      </c>
      <c r="S6800" s="2">
        <v>42171</v>
      </c>
      <c r="T6800" s="2">
        <v>42170</v>
      </c>
      <c r="U6800" s="2">
        <v>42230</v>
      </c>
      <c r="V6800" t="s">
        <v>71</v>
      </c>
      <c r="W6800" t="str">
        <f>"            25252021"</f>
        <v xml:space="preserve">            25252021</v>
      </c>
      <c r="X6800">
        <v>707.62</v>
      </c>
      <c r="Y6800">
        <v>0</v>
      </c>
      <c r="Z6800"/>
      <c r="AB6800"/>
      <c r="AC6800">
        <v>680.4</v>
      </c>
      <c r="AD6800">
        <v>262</v>
      </c>
      <c r="AE6800" s="1">
        <v>178264.8</v>
      </c>
      <c r="AF6800">
        <v>0</v>
      </c>
      <c r="AJ6800">
        <v>0</v>
      </c>
      <c r="AK6800">
        <v>0</v>
      </c>
      <c r="AL6800">
        <v>0</v>
      </c>
      <c r="AM6800">
        <v>0</v>
      </c>
      <c r="AN6800">
        <v>0</v>
      </c>
      <c r="AO6800">
        <v>0</v>
      </c>
      <c r="AP6800" s="2">
        <v>42746</v>
      </c>
      <c r="AQ6800" t="s">
        <v>72</v>
      </c>
      <c r="AR6800" t="s">
        <v>72</v>
      </c>
      <c r="AS6800">
        <v>1225</v>
      </c>
      <c r="AT6800" s="4">
        <v>42492</v>
      </c>
      <c r="AU6800" t="s">
        <v>73</v>
      </c>
      <c r="AV6800">
        <v>1225</v>
      </c>
      <c r="AW6800" s="4">
        <v>42492</v>
      </c>
      <c r="BD6800">
        <v>0</v>
      </c>
      <c r="BN6800" t="s">
        <v>74</v>
      </c>
    </row>
    <row r="6801" spans="1:66" hidden="1">
      <c r="A6801">
        <v>104093</v>
      </c>
      <c r="B6801" s="3" t="s">
        <v>609</v>
      </c>
      <c r="C6801" s="1">
        <v>43300101</v>
      </c>
      <c r="D6801" t="s">
        <v>67</v>
      </c>
      <c r="H6801" t="str">
        <f t="shared" si="681"/>
        <v>12572900152</v>
      </c>
      <c r="I6801" t="str">
        <f t="shared" si="682"/>
        <v>06032681006</v>
      </c>
      <c r="K6801" t="str">
        <f>""</f>
        <v/>
      </c>
      <c r="M6801" t="s">
        <v>68</v>
      </c>
      <c r="N6801" t="str">
        <f t="shared" si="680"/>
        <v>FOR</v>
      </c>
      <c r="O6801" t="s">
        <v>69</v>
      </c>
      <c r="P6801" s="3" t="s">
        <v>75</v>
      </c>
      <c r="Q6801">
        <v>2015</v>
      </c>
      <c r="R6801" s="2">
        <v>42172</v>
      </c>
      <c r="S6801" s="2">
        <v>42174</v>
      </c>
      <c r="T6801" s="2">
        <v>42173</v>
      </c>
      <c r="U6801" s="2">
        <v>42233</v>
      </c>
      <c r="V6801" t="s">
        <v>71</v>
      </c>
      <c r="W6801" t="str">
        <f>"            25252493"</f>
        <v xml:space="preserve">            25252493</v>
      </c>
      <c r="X6801">
        <v>936</v>
      </c>
      <c r="Y6801">
        <v>0</v>
      </c>
      <c r="Z6801"/>
      <c r="AB6801"/>
      <c r="AC6801">
        <v>900</v>
      </c>
      <c r="AD6801">
        <v>259</v>
      </c>
      <c r="AE6801" s="1">
        <v>233100</v>
      </c>
      <c r="AF6801">
        <v>0</v>
      </c>
      <c r="AJ6801">
        <v>0</v>
      </c>
      <c r="AK6801">
        <v>0</v>
      </c>
      <c r="AL6801">
        <v>0</v>
      </c>
      <c r="AM6801">
        <v>0</v>
      </c>
      <c r="AN6801">
        <v>0</v>
      </c>
      <c r="AO6801">
        <v>0</v>
      </c>
      <c r="AP6801" s="2">
        <v>42746</v>
      </c>
      <c r="AQ6801" t="s">
        <v>72</v>
      </c>
      <c r="AR6801" t="s">
        <v>72</v>
      </c>
      <c r="AS6801">
        <v>1225</v>
      </c>
      <c r="AT6801" s="4">
        <v>42492</v>
      </c>
      <c r="AU6801" t="s">
        <v>73</v>
      </c>
      <c r="AV6801">
        <v>1225</v>
      </c>
      <c r="AW6801" s="4">
        <v>42492</v>
      </c>
      <c r="BD6801">
        <v>0</v>
      </c>
      <c r="BN6801" t="s">
        <v>74</v>
      </c>
    </row>
    <row r="6802" spans="1:66" hidden="1">
      <c r="A6802">
        <v>104093</v>
      </c>
      <c r="B6802" s="3" t="s">
        <v>609</v>
      </c>
      <c r="C6802" s="1">
        <v>43300101</v>
      </c>
      <c r="D6802" t="s">
        <v>67</v>
      </c>
      <c r="H6802" t="str">
        <f t="shared" si="681"/>
        <v>12572900152</v>
      </c>
      <c r="I6802" t="str">
        <f t="shared" si="682"/>
        <v>06032681006</v>
      </c>
      <c r="K6802" t="str">
        <f>""</f>
        <v/>
      </c>
      <c r="M6802" t="s">
        <v>68</v>
      </c>
      <c r="N6802" t="str">
        <f t="shared" si="680"/>
        <v>FOR</v>
      </c>
      <c r="O6802" t="s">
        <v>69</v>
      </c>
      <c r="P6802" s="3" t="s">
        <v>75</v>
      </c>
      <c r="Q6802">
        <v>2015</v>
      </c>
      <c r="R6802" s="2">
        <v>42173</v>
      </c>
      <c r="S6802" s="2">
        <v>42177</v>
      </c>
      <c r="T6802" s="2">
        <v>42174</v>
      </c>
      <c r="U6802" s="2">
        <v>42234</v>
      </c>
      <c r="V6802" t="s">
        <v>71</v>
      </c>
      <c r="W6802" t="str">
        <f>"            25252814"</f>
        <v xml:space="preserve">            25252814</v>
      </c>
      <c r="X6802">
        <v>74.88</v>
      </c>
      <c r="Y6802">
        <v>0</v>
      </c>
      <c r="Z6802"/>
      <c r="AB6802"/>
      <c r="AC6802">
        <v>72</v>
      </c>
      <c r="AD6802">
        <v>258</v>
      </c>
      <c r="AE6802" s="1">
        <v>18576</v>
      </c>
      <c r="AF6802">
        <v>0</v>
      </c>
      <c r="AJ6802">
        <v>0</v>
      </c>
      <c r="AK6802">
        <v>0</v>
      </c>
      <c r="AL6802">
        <v>0</v>
      </c>
      <c r="AM6802">
        <v>0</v>
      </c>
      <c r="AN6802">
        <v>0</v>
      </c>
      <c r="AO6802">
        <v>0</v>
      </c>
      <c r="AP6802" s="2">
        <v>42746</v>
      </c>
      <c r="AQ6802" t="s">
        <v>72</v>
      </c>
      <c r="AR6802" t="s">
        <v>72</v>
      </c>
      <c r="AS6802">
        <v>1225</v>
      </c>
      <c r="AT6802" s="4">
        <v>42492</v>
      </c>
      <c r="AU6802" t="s">
        <v>73</v>
      </c>
      <c r="AV6802">
        <v>1225</v>
      </c>
      <c r="AW6802" s="4">
        <v>42492</v>
      </c>
      <c r="BD6802">
        <v>0</v>
      </c>
      <c r="BN6802" t="s">
        <v>74</v>
      </c>
    </row>
    <row r="6803" spans="1:66" hidden="1">
      <c r="A6803">
        <v>104093</v>
      </c>
      <c r="B6803" s="3" t="s">
        <v>609</v>
      </c>
      <c r="C6803" s="1">
        <v>43300101</v>
      </c>
      <c r="D6803" t="s">
        <v>67</v>
      </c>
      <c r="H6803" t="str">
        <f t="shared" si="681"/>
        <v>12572900152</v>
      </c>
      <c r="I6803" t="str">
        <f t="shared" si="682"/>
        <v>06032681006</v>
      </c>
      <c r="K6803" t="str">
        <f>""</f>
        <v/>
      </c>
      <c r="M6803" t="s">
        <v>68</v>
      </c>
      <c r="N6803" t="str">
        <f t="shared" si="680"/>
        <v>FOR</v>
      </c>
      <c r="O6803" t="s">
        <v>69</v>
      </c>
      <c r="P6803" s="3" t="s">
        <v>75</v>
      </c>
      <c r="Q6803">
        <v>2015</v>
      </c>
      <c r="R6803" s="2">
        <v>42173</v>
      </c>
      <c r="S6803" s="2">
        <v>42177</v>
      </c>
      <c r="T6803" s="2">
        <v>42174</v>
      </c>
      <c r="U6803" s="2">
        <v>42234</v>
      </c>
      <c r="V6803" t="s">
        <v>71</v>
      </c>
      <c r="W6803" t="str">
        <f>"            25252815"</f>
        <v xml:space="preserve">            25252815</v>
      </c>
      <c r="X6803">
        <v>74.88</v>
      </c>
      <c r="Y6803">
        <v>0</v>
      </c>
      <c r="Z6803"/>
      <c r="AB6803"/>
      <c r="AC6803">
        <v>72</v>
      </c>
      <c r="AD6803">
        <v>258</v>
      </c>
      <c r="AE6803" s="1">
        <v>18576</v>
      </c>
      <c r="AF6803">
        <v>0</v>
      </c>
      <c r="AJ6803">
        <v>0</v>
      </c>
      <c r="AK6803">
        <v>0</v>
      </c>
      <c r="AL6803">
        <v>0</v>
      </c>
      <c r="AM6803">
        <v>0</v>
      </c>
      <c r="AN6803">
        <v>0</v>
      </c>
      <c r="AO6803">
        <v>0</v>
      </c>
      <c r="AP6803" s="2">
        <v>42746</v>
      </c>
      <c r="AQ6803" t="s">
        <v>72</v>
      </c>
      <c r="AR6803" t="s">
        <v>72</v>
      </c>
      <c r="AS6803">
        <v>1225</v>
      </c>
      <c r="AT6803" s="4">
        <v>42492</v>
      </c>
      <c r="AU6803" t="s">
        <v>73</v>
      </c>
      <c r="AV6803">
        <v>1225</v>
      </c>
      <c r="AW6803" s="4">
        <v>42492</v>
      </c>
      <c r="BD6803">
        <v>0</v>
      </c>
      <c r="BN6803" t="s">
        <v>74</v>
      </c>
    </row>
    <row r="6804" spans="1:66" hidden="1">
      <c r="A6804">
        <v>104093</v>
      </c>
      <c r="B6804" s="3" t="s">
        <v>609</v>
      </c>
      <c r="C6804" s="1">
        <v>43300101</v>
      </c>
      <c r="D6804" t="s">
        <v>67</v>
      </c>
      <c r="H6804" t="str">
        <f t="shared" si="681"/>
        <v>12572900152</v>
      </c>
      <c r="I6804" t="str">
        <f t="shared" si="682"/>
        <v>06032681006</v>
      </c>
      <c r="K6804" t="str">
        <f>""</f>
        <v/>
      </c>
      <c r="M6804" t="s">
        <v>68</v>
      </c>
      <c r="N6804" t="str">
        <f t="shared" si="680"/>
        <v>FOR</v>
      </c>
      <c r="O6804" t="s">
        <v>69</v>
      </c>
      <c r="P6804" s="3" t="s">
        <v>75</v>
      </c>
      <c r="Q6804">
        <v>2015</v>
      </c>
      <c r="R6804" s="2">
        <v>42173</v>
      </c>
      <c r="S6804" s="2">
        <v>42177</v>
      </c>
      <c r="T6804" s="2">
        <v>42174</v>
      </c>
      <c r="U6804" s="2">
        <v>42234</v>
      </c>
      <c r="V6804" t="s">
        <v>71</v>
      </c>
      <c r="W6804" t="str">
        <f>"            25252816"</f>
        <v xml:space="preserve">            25252816</v>
      </c>
      <c r="X6804">
        <v>74.88</v>
      </c>
      <c r="Y6804">
        <v>0</v>
      </c>
      <c r="Z6804"/>
      <c r="AB6804"/>
      <c r="AC6804">
        <v>72</v>
      </c>
      <c r="AD6804">
        <v>258</v>
      </c>
      <c r="AE6804" s="1">
        <v>18576</v>
      </c>
      <c r="AF6804">
        <v>0</v>
      </c>
      <c r="AJ6804">
        <v>0</v>
      </c>
      <c r="AK6804">
        <v>0</v>
      </c>
      <c r="AL6804">
        <v>0</v>
      </c>
      <c r="AM6804">
        <v>0</v>
      </c>
      <c r="AN6804">
        <v>0</v>
      </c>
      <c r="AO6804">
        <v>0</v>
      </c>
      <c r="AP6804" s="2">
        <v>42746</v>
      </c>
      <c r="AQ6804" t="s">
        <v>72</v>
      </c>
      <c r="AR6804" t="s">
        <v>72</v>
      </c>
      <c r="AS6804">
        <v>1225</v>
      </c>
      <c r="AT6804" s="4">
        <v>42492</v>
      </c>
      <c r="AU6804" t="s">
        <v>73</v>
      </c>
      <c r="AV6804">
        <v>1225</v>
      </c>
      <c r="AW6804" s="4">
        <v>42492</v>
      </c>
      <c r="BD6804">
        <v>0</v>
      </c>
      <c r="BN6804" t="s">
        <v>74</v>
      </c>
    </row>
    <row r="6805" spans="1:66" hidden="1">
      <c r="A6805">
        <v>104093</v>
      </c>
      <c r="B6805" s="3" t="s">
        <v>609</v>
      </c>
      <c r="C6805" s="1">
        <v>43300101</v>
      </c>
      <c r="D6805" t="s">
        <v>67</v>
      </c>
      <c r="H6805" t="str">
        <f t="shared" si="681"/>
        <v>12572900152</v>
      </c>
      <c r="I6805" t="str">
        <f t="shared" si="682"/>
        <v>06032681006</v>
      </c>
      <c r="K6805" t="str">
        <f>""</f>
        <v/>
      </c>
      <c r="M6805" t="s">
        <v>68</v>
      </c>
      <c r="N6805" t="str">
        <f t="shared" si="680"/>
        <v>FOR</v>
      </c>
      <c r="O6805" t="s">
        <v>69</v>
      </c>
      <c r="P6805" s="3" t="s">
        <v>75</v>
      </c>
      <c r="Q6805">
        <v>2015</v>
      </c>
      <c r="R6805" s="2">
        <v>42173</v>
      </c>
      <c r="S6805" s="2">
        <v>42177</v>
      </c>
      <c r="T6805" s="2">
        <v>42174</v>
      </c>
      <c r="U6805" s="2">
        <v>42234</v>
      </c>
      <c r="V6805" t="s">
        <v>71</v>
      </c>
      <c r="W6805" t="str">
        <f>"            25252817"</f>
        <v xml:space="preserve">            25252817</v>
      </c>
      <c r="X6805">
        <v>74.88</v>
      </c>
      <c r="Y6805">
        <v>0</v>
      </c>
      <c r="Z6805"/>
      <c r="AB6805"/>
      <c r="AC6805">
        <v>72</v>
      </c>
      <c r="AD6805">
        <v>258</v>
      </c>
      <c r="AE6805" s="1">
        <v>18576</v>
      </c>
      <c r="AF6805">
        <v>0</v>
      </c>
      <c r="AJ6805">
        <v>0</v>
      </c>
      <c r="AK6805">
        <v>0</v>
      </c>
      <c r="AL6805">
        <v>0</v>
      </c>
      <c r="AM6805">
        <v>0</v>
      </c>
      <c r="AN6805">
        <v>0</v>
      </c>
      <c r="AO6805">
        <v>0</v>
      </c>
      <c r="AP6805" s="2">
        <v>42746</v>
      </c>
      <c r="AQ6805" t="s">
        <v>72</v>
      </c>
      <c r="AR6805" t="s">
        <v>72</v>
      </c>
      <c r="AS6805">
        <v>1225</v>
      </c>
      <c r="AT6805" s="4">
        <v>42492</v>
      </c>
      <c r="AU6805" t="s">
        <v>73</v>
      </c>
      <c r="AV6805">
        <v>1225</v>
      </c>
      <c r="AW6805" s="4">
        <v>42492</v>
      </c>
      <c r="BD6805">
        <v>0</v>
      </c>
      <c r="BN6805" t="s">
        <v>74</v>
      </c>
    </row>
    <row r="6806" spans="1:66" hidden="1">
      <c r="A6806">
        <v>104093</v>
      </c>
      <c r="B6806" s="3" t="s">
        <v>609</v>
      </c>
      <c r="C6806" s="1">
        <v>43300101</v>
      </c>
      <c r="D6806" t="s">
        <v>67</v>
      </c>
      <c r="H6806" t="str">
        <f t="shared" si="681"/>
        <v>12572900152</v>
      </c>
      <c r="I6806" t="str">
        <f t="shared" si="682"/>
        <v>06032681006</v>
      </c>
      <c r="K6806" t="str">
        <f>""</f>
        <v/>
      </c>
      <c r="M6806" t="s">
        <v>68</v>
      </c>
      <c r="N6806" t="str">
        <f t="shared" si="680"/>
        <v>FOR</v>
      </c>
      <c r="O6806" t="s">
        <v>69</v>
      </c>
      <c r="P6806" s="3" t="s">
        <v>75</v>
      </c>
      <c r="Q6806">
        <v>2015</v>
      </c>
      <c r="R6806" s="2">
        <v>42173</v>
      </c>
      <c r="S6806" s="2">
        <v>42177</v>
      </c>
      <c r="T6806" s="2">
        <v>42174</v>
      </c>
      <c r="U6806" s="2">
        <v>42234</v>
      </c>
      <c r="V6806" t="s">
        <v>71</v>
      </c>
      <c r="W6806" t="str">
        <f>"            25252833"</f>
        <v xml:space="preserve">            25252833</v>
      </c>
      <c r="X6806">
        <v>74.88</v>
      </c>
      <c r="Y6806">
        <v>0</v>
      </c>
      <c r="Z6806"/>
      <c r="AB6806"/>
      <c r="AC6806">
        <v>72</v>
      </c>
      <c r="AD6806">
        <v>258</v>
      </c>
      <c r="AE6806" s="1">
        <v>18576</v>
      </c>
      <c r="AF6806">
        <v>0</v>
      </c>
      <c r="AJ6806">
        <v>0</v>
      </c>
      <c r="AK6806">
        <v>0</v>
      </c>
      <c r="AL6806">
        <v>0</v>
      </c>
      <c r="AM6806">
        <v>0</v>
      </c>
      <c r="AN6806">
        <v>0</v>
      </c>
      <c r="AO6806">
        <v>0</v>
      </c>
      <c r="AP6806" s="2">
        <v>42746</v>
      </c>
      <c r="AQ6806" t="s">
        <v>72</v>
      </c>
      <c r="AR6806" t="s">
        <v>72</v>
      </c>
      <c r="AS6806">
        <v>1225</v>
      </c>
      <c r="AT6806" s="4">
        <v>42492</v>
      </c>
      <c r="AU6806" t="s">
        <v>73</v>
      </c>
      <c r="AV6806">
        <v>1225</v>
      </c>
      <c r="AW6806" s="4">
        <v>42492</v>
      </c>
      <c r="BD6806">
        <v>0</v>
      </c>
      <c r="BN6806" t="s">
        <v>74</v>
      </c>
    </row>
    <row r="6807" spans="1:66" hidden="1">
      <c r="A6807">
        <v>104093</v>
      </c>
      <c r="B6807" s="3" t="s">
        <v>609</v>
      </c>
      <c r="C6807" s="1">
        <v>43300101</v>
      </c>
      <c r="D6807" t="s">
        <v>67</v>
      </c>
      <c r="H6807" t="str">
        <f t="shared" si="681"/>
        <v>12572900152</v>
      </c>
      <c r="I6807" t="str">
        <f t="shared" si="682"/>
        <v>06032681006</v>
      </c>
      <c r="K6807" t="str">
        <f>""</f>
        <v/>
      </c>
      <c r="M6807" t="s">
        <v>68</v>
      </c>
      <c r="N6807" t="str">
        <f t="shared" si="680"/>
        <v>FOR</v>
      </c>
      <c r="O6807" t="s">
        <v>69</v>
      </c>
      <c r="P6807" s="3" t="s">
        <v>75</v>
      </c>
      <c r="Q6807">
        <v>2015</v>
      </c>
      <c r="R6807" s="2">
        <v>42173</v>
      </c>
      <c r="S6807" s="2">
        <v>42177</v>
      </c>
      <c r="T6807" s="2">
        <v>42174</v>
      </c>
      <c r="U6807" s="2">
        <v>42234</v>
      </c>
      <c r="V6807" t="s">
        <v>71</v>
      </c>
      <c r="W6807" t="str">
        <f>"            25252837"</f>
        <v xml:space="preserve">            25252837</v>
      </c>
      <c r="X6807">
        <v>936</v>
      </c>
      <c r="Y6807">
        <v>0</v>
      </c>
      <c r="Z6807"/>
      <c r="AB6807"/>
      <c r="AC6807">
        <v>900</v>
      </c>
      <c r="AD6807">
        <v>258</v>
      </c>
      <c r="AE6807" s="1">
        <v>232200</v>
      </c>
      <c r="AF6807">
        <v>0</v>
      </c>
      <c r="AJ6807">
        <v>0</v>
      </c>
      <c r="AK6807">
        <v>0</v>
      </c>
      <c r="AL6807">
        <v>0</v>
      </c>
      <c r="AM6807">
        <v>0</v>
      </c>
      <c r="AN6807">
        <v>0</v>
      </c>
      <c r="AO6807">
        <v>0</v>
      </c>
      <c r="AP6807" s="2">
        <v>42746</v>
      </c>
      <c r="AQ6807" t="s">
        <v>72</v>
      </c>
      <c r="AR6807" t="s">
        <v>72</v>
      </c>
      <c r="AS6807">
        <v>1225</v>
      </c>
      <c r="AT6807" s="4">
        <v>42492</v>
      </c>
      <c r="AU6807" t="s">
        <v>73</v>
      </c>
      <c r="AV6807">
        <v>1225</v>
      </c>
      <c r="AW6807" s="4">
        <v>42492</v>
      </c>
      <c r="BD6807">
        <v>0</v>
      </c>
      <c r="BN6807" t="s">
        <v>74</v>
      </c>
    </row>
    <row r="6808" spans="1:66" hidden="1">
      <c r="A6808">
        <v>104093</v>
      </c>
      <c r="B6808" s="3" t="s">
        <v>609</v>
      </c>
      <c r="C6808" s="1">
        <v>43300101</v>
      </c>
      <c r="D6808" t="s">
        <v>67</v>
      </c>
      <c r="H6808" t="str">
        <f t="shared" si="681"/>
        <v>12572900152</v>
      </c>
      <c r="I6808" t="str">
        <f t="shared" si="682"/>
        <v>06032681006</v>
      </c>
      <c r="K6808" t="str">
        <f>""</f>
        <v/>
      </c>
      <c r="M6808" t="s">
        <v>68</v>
      </c>
      <c r="N6808" t="str">
        <f t="shared" si="680"/>
        <v>FOR</v>
      </c>
      <c r="O6808" t="s">
        <v>69</v>
      </c>
      <c r="P6808" s="3" t="s">
        <v>75</v>
      </c>
      <c r="Q6808">
        <v>2015</v>
      </c>
      <c r="R6808" s="2">
        <v>42173</v>
      </c>
      <c r="S6808" s="2">
        <v>42177</v>
      </c>
      <c r="T6808" s="2">
        <v>42174</v>
      </c>
      <c r="U6808" s="2">
        <v>42234</v>
      </c>
      <c r="V6808" t="s">
        <v>71</v>
      </c>
      <c r="W6808" t="str">
        <f>"            25252844"</f>
        <v xml:space="preserve">            25252844</v>
      </c>
      <c r="X6808">
        <v>74.88</v>
      </c>
      <c r="Y6808">
        <v>0</v>
      </c>
      <c r="Z6808"/>
      <c r="AB6808"/>
      <c r="AC6808">
        <v>72</v>
      </c>
      <c r="AD6808">
        <v>258</v>
      </c>
      <c r="AE6808" s="1">
        <v>18576</v>
      </c>
      <c r="AF6808">
        <v>0</v>
      </c>
      <c r="AJ6808">
        <v>0</v>
      </c>
      <c r="AK6808">
        <v>0</v>
      </c>
      <c r="AL6808">
        <v>0</v>
      </c>
      <c r="AM6808">
        <v>0</v>
      </c>
      <c r="AN6808">
        <v>0</v>
      </c>
      <c r="AO6808">
        <v>0</v>
      </c>
      <c r="AP6808" s="2">
        <v>42746</v>
      </c>
      <c r="AQ6808" t="s">
        <v>72</v>
      </c>
      <c r="AR6808" t="s">
        <v>72</v>
      </c>
      <c r="AS6808">
        <v>1225</v>
      </c>
      <c r="AT6808" s="4">
        <v>42492</v>
      </c>
      <c r="AU6808" t="s">
        <v>73</v>
      </c>
      <c r="AV6808">
        <v>1225</v>
      </c>
      <c r="AW6808" s="4">
        <v>42492</v>
      </c>
      <c r="BD6808">
        <v>0</v>
      </c>
      <c r="BN6808" t="s">
        <v>74</v>
      </c>
    </row>
    <row r="6809" spans="1:66" hidden="1">
      <c r="A6809">
        <v>104093</v>
      </c>
      <c r="B6809" s="3" t="s">
        <v>609</v>
      </c>
      <c r="C6809" s="1">
        <v>43300101</v>
      </c>
      <c r="D6809" t="s">
        <v>67</v>
      </c>
      <c r="H6809" t="str">
        <f t="shared" si="681"/>
        <v>12572900152</v>
      </c>
      <c r="I6809" t="str">
        <f t="shared" si="682"/>
        <v>06032681006</v>
      </c>
      <c r="K6809" t="str">
        <f>""</f>
        <v/>
      </c>
      <c r="M6809" t="s">
        <v>68</v>
      </c>
      <c r="N6809" t="str">
        <f t="shared" si="680"/>
        <v>FOR</v>
      </c>
      <c r="O6809" t="s">
        <v>69</v>
      </c>
      <c r="P6809" s="3" t="s">
        <v>75</v>
      </c>
      <c r="Q6809">
        <v>2015</v>
      </c>
      <c r="R6809" s="2">
        <v>42173</v>
      </c>
      <c r="S6809" s="2">
        <v>42177</v>
      </c>
      <c r="T6809" s="2">
        <v>42174</v>
      </c>
      <c r="U6809" s="2">
        <v>42234</v>
      </c>
      <c r="V6809" t="s">
        <v>71</v>
      </c>
      <c r="W6809" t="str">
        <f>"            25252850"</f>
        <v xml:space="preserve">            25252850</v>
      </c>
      <c r="X6809">
        <v>707.62</v>
      </c>
      <c r="Y6809">
        <v>0</v>
      </c>
      <c r="Z6809"/>
      <c r="AB6809"/>
      <c r="AC6809">
        <v>680.4</v>
      </c>
      <c r="AD6809">
        <v>258</v>
      </c>
      <c r="AE6809" s="1">
        <v>175543.2</v>
      </c>
      <c r="AF6809">
        <v>0</v>
      </c>
      <c r="AJ6809">
        <v>0</v>
      </c>
      <c r="AK6809">
        <v>0</v>
      </c>
      <c r="AL6809">
        <v>0</v>
      </c>
      <c r="AM6809">
        <v>0</v>
      </c>
      <c r="AN6809">
        <v>0</v>
      </c>
      <c r="AO6809">
        <v>0</v>
      </c>
      <c r="AP6809" s="2">
        <v>42746</v>
      </c>
      <c r="AQ6809" t="s">
        <v>72</v>
      </c>
      <c r="AR6809" t="s">
        <v>72</v>
      </c>
      <c r="AS6809">
        <v>1225</v>
      </c>
      <c r="AT6809" s="4">
        <v>42492</v>
      </c>
      <c r="AU6809" t="s">
        <v>73</v>
      </c>
      <c r="AV6809">
        <v>1225</v>
      </c>
      <c r="AW6809" s="4">
        <v>42492</v>
      </c>
      <c r="BD6809">
        <v>0</v>
      </c>
      <c r="BN6809" t="s">
        <v>74</v>
      </c>
    </row>
    <row r="6810" spans="1:66" hidden="1">
      <c r="A6810">
        <v>104093</v>
      </c>
      <c r="B6810" s="3" t="s">
        <v>609</v>
      </c>
      <c r="C6810" s="1">
        <v>43300101</v>
      </c>
      <c r="D6810" t="s">
        <v>67</v>
      </c>
      <c r="H6810" t="str">
        <f t="shared" si="681"/>
        <v>12572900152</v>
      </c>
      <c r="I6810" t="str">
        <f t="shared" si="682"/>
        <v>06032681006</v>
      </c>
      <c r="K6810" t="str">
        <f>""</f>
        <v/>
      </c>
      <c r="M6810" t="s">
        <v>68</v>
      </c>
      <c r="N6810" t="str">
        <f t="shared" si="680"/>
        <v>FOR</v>
      </c>
      <c r="O6810" t="s">
        <v>69</v>
      </c>
      <c r="P6810" s="3" t="s">
        <v>75</v>
      </c>
      <c r="Q6810">
        <v>2015</v>
      </c>
      <c r="R6810" s="2">
        <v>42173</v>
      </c>
      <c r="S6810" s="2">
        <v>42177</v>
      </c>
      <c r="T6810" s="2">
        <v>42174</v>
      </c>
      <c r="U6810" s="2">
        <v>42234</v>
      </c>
      <c r="V6810" t="s">
        <v>71</v>
      </c>
      <c r="W6810" t="str">
        <f>"            25252851"</f>
        <v xml:space="preserve">            25252851</v>
      </c>
      <c r="X6810">
        <v>252.72</v>
      </c>
      <c r="Y6810">
        <v>0</v>
      </c>
      <c r="Z6810"/>
      <c r="AB6810"/>
      <c r="AC6810">
        <v>243</v>
      </c>
      <c r="AD6810">
        <v>258</v>
      </c>
      <c r="AE6810" s="1">
        <v>62694</v>
      </c>
      <c r="AF6810">
        <v>0</v>
      </c>
      <c r="AJ6810">
        <v>0</v>
      </c>
      <c r="AK6810">
        <v>0</v>
      </c>
      <c r="AL6810">
        <v>0</v>
      </c>
      <c r="AM6810">
        <v>0</v>
      </c>
      <c r="AN6810">
        <v>0</v>
      </c>
      <c r="AO6810">
        <v>0</v>
      </c>
      <c r="AP6810" s="2">
        <v>42746</v>
      </c>
      <c r="AQ6810" t="s">
        <v>72</v>
      </c>
      <c r="AR6810" t="s">
        <v>72</v>
      </c>
      <c r="AS6810">
        <v>1225</v>
      </c>
      <c r="AT6810" s="4">
        <v>42492</v>
      </c>
      <c r="AU6810" t="s">
        <v>73</v>
      </c>
      <c r="AV6810">
        <v>1225</v>
      </c>
      <c r="AW6810" s="4">
        <v>42492</v>
      </c>
      <c r="BD6810">
        <v>0</v>
      </c>
      <c r="BN6810" t="s">
        <v>74</v>
      </c>
    </row>
    <row r="6811" spans="1:66" hidden="1">
      <c r="A6811">
        <v>104093</v>
      </c>
      <c r="B6811" s="3" t="s">
        <v>609</v>
      </c>
      <c r="C6811" s="1">
        <v>43300101</v>
      </c>
      <c r="D6811" t="s">
        <v>67</v>
      </c>
      <c r="H6811" t="str">
        <f t="shared" si="681"/>
        <v>12572900152</v>
      </c>
      <c r="I6811" t="str">
        <f t="shared" si="682"/>
        <v>06032681006</v>
      </c>
      <c r="K6811" t="str">
        <f>""</f>
        <v/>
      </c>
      <c r="M6811" t="s">
        <v>68</v>
      </c>
      <c r="N6811" t="str">
        <f t="shared" si="680"/>
        <v>FOR</v>
      </c>
      <c r="O6811" t="s">
        <v>69</v>
      </c>
      <c r="P6811" s="3" t="s">
        <v>75</v>
      </c>
      <c r="Q6811">
        <v>2015</v>
      </c>
      <c r="R6811" s="2">
        <v>42173</v>
      </c>
      <c r="S6811" s="2">
        <v>42177</v>
      </c>
      <c r="T6811" s="2">
        <v>42174</v>
      </c>
      <c r="U6811" s="2">
        <v>42234</v>
      </c>
      <c r="V6811" t="s">
        <v>71</v>
      </c>
      <c r="W6811" t="str">
        <f>"            25252853"</f>
        <v xml:space="preserve">            25252853</v>
      </c>
      <c r="X6811">
        <v>707.62</v>
      </c>
      <c r="Y6811">
        <v>0</v>
      </c>
      <c r="Z6811"/>
      <c r="AB6811"/>
      <c r="AC6811">
        <v>680.4</v>
      </c>
      <c r="AD6811">
        <v>258</v>
      </c>
      <c r="AE6811" s="1">
        <v>175543.2</v>
      </c>
      <c r="AF6811">
        <v>0</v>
      </c>
      <c r="AJ6811">
        <v>0</v>
      </c>
      <c r="AK6811">
        <v>0</v>
      </c>
      <c r="AL6811">
        <v>0</v>
      </c>
      <c r="AM6811">
        <v>0</v>
      </c>
      <c r="AN6811">
        <v>0</v>
      </c>
      <c r="AO6811">
        <v>0</v>
      </c>
      <c r="AP6811" s="2">
        <v>42746</v>
      </c>
      <c r="AQ6811" t="s">
        <v>72</v>
      </c>
      <c r="AR6811" t="s">
        <v>72</v>
      </c>
      <c r="AS6811">
        <v>1225</v>
      </c>
      <c r="AT6811" s="4">
        <v>42492</v>
      </c>
      <c r="AU6811" t="s">
        <v>73</v>
      </c>
      <c r="AV6811">
        <v>1225</v>
      </c>
      <c r="AW6811" s="4">
        <v>42492</v>
      </c>
      <c r="BD6811">
        <v>0</v>
      </c>
      <c r="BN6811" t="s">
        <v>74</v>
      </c>
    </row>
    <row r="6812" spans="1:66" hidden="1">
      <c r="A6812">
        <v>104093</v>
      </c>
      <c r="B6812" s="3" t="s">
        <v>609</v>
      </c>
      <c r="C6812" s="1">
        <v>43300101</v>
      </c>
      <c r="D6812" t="s">
        <v>67</v>
      </c>
      <c r="H6812" t="str">
        <f t="shared" si="681"/>
        <v>12572900152</v>
      </c>
      <c r="I6812" t="str">
        <f t="shared" si="682"/>
        <v>06032681006</v>
      </c>
      <c r="K6812" t="str">
        <f>""</f>
        <v/>
      </c>
      <c r="M6812" t="s">
        <v>68</v>
      </c>
      <c r="N6812" t="str">
        <f t="shared" si="680"/>
        <v>FOR</v>
      </c>
      <c r="O6812" t="s">
        <v>69</v>
      </c>
      <c r="P6812" s="3" t="s">
        <v>75</v>
      </c>
      <c r="Q6812">
        <v>2015</v>
      </c>
      <c r="R6812" s="2">
        <v>42173</v>
      </c>
      <c r="S6812" s="2">
        <v>42177</v>
      </c>
      <c r="T6812" s="2">
        <v>42174</v>
      </c>
      <c r="U6812" s="2">
        <v>42234</v>
      </c>
      <c r="V6812" t="s">
        <v>71</v>
      </c>
      <c r="W6812" t="str">
        <f>"            25252855"</f>
        <v xml:space="preserve">            25252855</v>
      </c>
      <c r="X6812">
        <v>74.88</v>
      </c>
      <c r="Y6812">
        <v>0</v>
      </c>
      <c r="Z6812"/>
      <c r="AB6812"/>
      <c r="AC6812">
        <v>72</v>
      </c>
      <c r="AD6812">
        <v>258</v>
      </c>
      <c r="AE6812" s="1">
        <v>18576</v>
      </c>
      <c r="AF6812">
        <v>0</v>
      </c>
      <c r="AJ6812">
        <v>0</v>
      </c>
      <c r="AK6812">
        <v>0</v>
      </c>
      <c r="AL6812">
        <v>0</v>
      </c>
      <c r="AM6812">
        <v>0</v>
      </c>
      <c r="AN6812">
        <v>0</v>
      </c>
      <c r="AO6812">
        <v>0</v>
      </c>
      <c r="AP6812" s="2">
        <v>42746</v>
      </c>
      <c r="AQ6812" t="s">
        <v>72</v>
      </c>
      <c r="AR6812" t="s">
        <v>72</v>
      </c>
      <c r="AS6812">
        <v>1225</v>
      </c>
      <c r="AT6812" s="4">
        <v>42492</v>
      </c>
      <c r="AU6812" t="s">
        <v>73</v>
      </c>
      <c r="AV6812">
        <v>1225</v>
      </c>
      <c r="AW6812" s="4">
        <v>42492</v>
      </c>
      <c r="BD6812">
        <v>0</v>
      </c>
      <c r="BN6812" t="s">
        <v>74</v>
      </c>
    </row>
    <row r="6813" spans="1:66" hidden="1">
      <c r="A6813">
        <v>104093</v>
      </c>
      <c r="B6813" s="3" t="s">
        <v>609</v>
      </c>
      <c r="C6813" s="1">
        <v>43300101</v>
      </c>
      <c r="D6813" t="s">
        <v>67</v>
      </c>
      <c r="H6813" t="str">
        <f t="shared" si="681"/>
        <v>12572900152</v>
      </c>
      <c r="I6813" t="str">
        <f t="shared" si="682"/>
        <v>06032681006</v>
      </c>
      <c r="K6813" t="str">
        <f>""</f>
        <v/>
      </c>
      <c r="M6813" t="s">
        <v>68</v>
      </c>
      <c r="N6813" t="str">
        <f t="shared" si="680"/>
        <v>FOR</v>
      </c>
      <c r="O6813" t="s">
        <v>69</v>
      </c>
      <c r="P6813" s="3" t="s">
        <v>75</v>
      </c>
      <c r="Q6813">
        <v>2015</v>
      </c>
      <c r="R6813" s="2">
        <v>42173</v>
      </c>
      <c r="S6813" s="2">
        <v>42177</v>
      </c>
      <c r="T6813" s="2">
        <v>42174</v>
      </c>
      <c r="U6813" s="2">
        <v>42234</v>
      </c>
      <c r="V6813" t="s">
        <v>71</v>
      </c>
      <c r="W6813" t="str">
        <f>"            25252857"</f>
        <v xml:space="preserve">            25252857</v>
      </c>
      <c r="X6813">
        <v>707.62</v>
      </c>
      <c r="Y6813">
        <v>0</v>
      </c>
      <c r="Z6813"/>
      <c r="AB6813"/>
      <c r="AC6813">
        <v>680.4</v>
      </c>
      <c r="AD6813">
        <v>258</v>
      </c>
      <c r="AE6813" s="1">
        <v>175543.2</v>
      </c>
      <c r="AF6813">
        <v>0</v>
      </c>
      <c r="AJ6813">
        <v>0</v>
      </c>
      <c r="AK6813">
        <v>0</v>
      </c>
      <c r="AL6813">
        <v>0</v>
      </c>
      <c r="AM6813">
        <v>0</v>
      </c>
      <c r="AN6813">
        <v>0</v>
      </c>
      <c r="AO6813">
        <v>0</v>
      </c>
      <c r="AP6813" s="2">
        <v>42746</v>
      </c>
      <c r="AQ6813" t="s">
        <v>72</v>
      </c>
      <c r="AR6813" t="s">
        <v>72</v>
      </c>
      <c r="AS6813">
        <v>1225</v>
      </c>
      <c r="AT6813" s="4">
        <v>42492</v>
      </c>
      <c r="AU6813" t="s">
        <v>73</v>
      </c>
      <c r="AV6813">
        <v>1225</v>
      </c>
      <c r="AW6813" s="4">
        <v>42492</v>
      </c>
      <c r="BD6813">
        <v>0</v>
      </c>
      <c r="BN6813" t="s">
        <v>74</v>
      </c>
    </row>
    <row r="6814" spans="1:66" hidden="1">
      <c r="A6814">
        <v>104093</v>
      </c>
      <c r="B6814" s="3" t="s">
        <v>609</v>
      </c>
      <c r="C6814" s="1">
        <v>43300101</v>
      </c>
      <c r="D6814" t="s">
        <v>67</v>
      </c>
      <c r="H6814" t="str">
        <f t="shared" si="681"/>
        <v>12572900152</v>
      </c>
      <c r="I6814" t="str">
        <f t="shared" si="682"/>
        <v>06032681006</v>
      </c>
      <c r="K6814" t="str">
        <f>""</f>
        <v/>
      </c>
      <c r="M6814" t="s">
        <v>68</v>
      </c>
      <c r="N6814" t="str">
        <f t="shared" si="680"/>
        <v>FOR</v>
      </c>
      <c r="O6814" t="s">
        <v>69</v>
      </c>
      <c r="P6814" s="3" t="s">
        <v>75</v>
      </c>
      <c r="Q6814">
        <v>2015</v>
      </c>
      <c r="R6814" s="2">
        <v>42173</v>
      </c>
      <c r="S6814" s="2">
        <v>42177</v>
      </c>
      <c r="T6814" s="2">
        <v>42174</v>
      </c>
      <c r="U6814" s="2">
        <v>42234</v>
      </c>
      <c r="V6814" t="s">
        <v>71</v>
      </c>
      <c r="W6814" t="str">
        <f>"            25252858"</f>
        <v xml:space="preserve">            25252858</v>
      </c>
      <c r="X6814">
        <v>252.72</v>
      </c>
      <c r="Y6814">
        <v>0</v>
      </c>
      <c r="Z6814"/>
      <c r="AB6814"/>
      <c r="AC6814">
        <v>243</v>
      </c>
      <c r="AD6814">
        <v>258</v>
      </c>
      <c r="AE6814" s="1">
        <v>62694</v>
      </c>
      <c r="AF6814">
        <v>0</v>
      </c>
      <c r="AJ6814">
        <v>0</v>
      </c>
      <c r="AK6814">
        <v>0</v>
      </c>
      <c r="AL6814">
        <v>0</v>
      </c>
      <c r="AM6814">
        <v>0</v>
      </c>
      <c r="AN6814">
        <v>0</v>
      </c>
      <c r="AO6814">
        <v>0</v>
      </c>
      <c r="AP6814" s="2">
        <v>42746</v>
      </c>
      <c r="AQ6814" t="s">
        <v>72</v>
      </c>
      <c r="AR6814" t="s">
        <v>72</v>
      </c>
      <c r="AS6814">
        <v>1225</v>
      </c>
      <c r="AT6814" s="4">
        <v>42492</v>
      </c>
      <c r="AU6814" t="s">
        <v>73</v>
      </c>
      <c r="AV6814">
        <v>1225</v>
      </c>
      <c r="AW6814" s="4">
        <v>42492</v>
      </c>
      <c r="BD6814">
        <v>0</v>
      </c>
      <c r="BN6814" t="s">
        <v>74</v>
      </c>
    </row>
    <row r="6815" spans="1:66" hidden="1">
      <c r="A6815">
        <v>104093</v>
      </c>
      <c r="B6815" s="3" t="s">
        <v>609</v>
      </c>
      <c r="C6815" s="1">
        <v>43300101</v>
      </c>
      <c r="D6815" t="s">
        <v>67</v>
      </c>
      <c r="H6815" t="str">
        <f t="shared" si="681"/>
        <v>12572900152</v>
      </c>
      <c r="I6815" t="str">
        <f t="shared" si="682"/>
        <v>06032681006</v>
      </c>
      <c r="K6815" t="str">
        <f>""</f>
        <v/>
      </c>
      <c r="M6815" t="s">
        <v>68</v>
      </c>
      <c r="N6815" t="str">
        <f t="shared" si="680"/>
        <v>FOR</v>
      </c>
      <c r="O6815" t="s">
        <v>69</v>
      </c>
      <c r="P6815" s="3" t="s">
        <v>75</v>
      </c>
      <c r="Q6815">
        <v>2015</v>
      </c>
      <c r="R6815" s="2">
        <v>42177</v>
      </c>
      <c r="S6815" s="2">
        <v>42181</v>
      </c>
      <c r="T6815" s="2">
        <v>42178</v>
      </c>
      <c r="U6815" s="2">
        <v>42238</v>
      </c>
      <c r="V6815" t="s">
        <v>71</v>
      </c>
      <c r="W6815" t="str">
        <f>"            25253535"</f>
        <v xml:space="preserve">            25253535</v>
      </c>
      <c r="X6815" s="1">
        <v>6408.48</v>
      </c>
      <c r="Y6815">
        <v>0</v>
      </c>
      <c r="Z6815"/>
      <c r="AB6815"/>
      <c r="AC6815" s="1">
        <v>6162</v>
      </c>
      <c r="AD6815">
        <v>254</v>
      </c>
      <c r="AE6815" s="1">
        <v>1565148</v>
      </c>
      <c r="AF6815">
        <v>0</v>
      </c>
      <c r="AJ6815">
        <v>0</v>
      </c>
      <c r="AK6815">
        <v>0</v>
      </c>
      <c r="AL6815">
        <v>0</v>
      </c>
      <c r="AM6815">
        <v>0</v>
      </c>
      <c r="AN6815">
        <v>0</v>
      </c>
      <c r="AO6815">
        <v>0</v>
      </c>
      <c r="AP6815" s="2">
        <v>42746</v>
      </c>
      <c r="AQ6815" t="s">
        <v>72</v>
      </c>
      <c r="AR6815" t="s">
        <v>72</v>
      </c>
      <c r="AS6815">
        <v>1225</v>
      </c>
      <c r="AT6815" s="4">
        <v>42492</v>
      </c>
      <c r="AU6815" t="s">
        <v>73</v>
      </c>
      <c r="AV6815">
        <v>1225</v>
      </c>
      <c r="AW6815" s="4">
        <v>42492</v>
      </c>
      <c r="BD6815">
        <v>0</v>
      </c>
      <c r="BN6815" t="s">
        <v>74</v>
      </c>
    </row>
    <row r="6816" spans="1:66" hidden="1">
      <c r="A6816">
        <v>104093</v>
      </c>
      <c r="B6816" s="3" t="s">
        <v>609</v>
      </c>
      <c r="C6816" s="1">
        <v>43300101</v>
      </c>
      <c r="D6816" t="s">
        <v>67</v>
      </c>
      <c r="H6816" t="str">
        <f t="shared" si="681"/>
        <v>12572900152</v>
      </c>
      <c r="I6816" t="str">
        <f t="shared" si="682"/>
        <v>06032681006</v>
      </c>
      <c r="K6816" t="str">
        <f>""</f>
        <v/>
      </c>
      <c r="M6816" t="s">
        <v>68</v>
      </c>
      <c r="N6816" t="str">
        <f t="shared" si="680"/>
        <v>FOR</v>
      </c>
      <c r="O6816" t="s">
        <v>69</v>
      </c>
      <c r="P6816" s="3" t="s">
        <v>75</v>
      </c>
      <c r="Q6816">
        <v>2015</v>
      </c>
      <c r="R6816" s="2">
        <v>42177</v>
      </c>
      <c r="S6816" s="2">
        <v>42181</v>
      </c>
      <c r="T6816" s="2">
        <v>42178</v>
      </c>
      <c r="U6816" s="2">
        <v>42238</v>
      </c>
      <c r="V6816" t="s">
        <v>71</v>
      </c>
      <c r="W6816" t="str">
        <f>"            25253540"</f>
        <v xml:space="preserve">            25253540</v>
      </c>
      <c r="X6816" s="1">
        <v>6174.48</v>
      </c>
      <c r="Y6816">
        <v>0</v>
      </c>
      <c r="Z6816"/>
      <c r="AB6816"/>
      <c r="AC6816" s="1">
        <v>5937</v>
      </c>
      <c r="AD6816">
        <v>254</v>
      </c>
      <c r="AE6816" s="1">
        <v>1507998</v>
      </c>
      <c r="AF6816">
        <v>0</v>
      </c>
      <c r="AJ6816">
        <v>0</v>
      </c>
      <c r="AK6816">
        <v>0</v>
      </c>
      <c r="AL6816">
        <v>0</v>
      </c>
      <c r="AM6816">
        <v>0</v>
      </c>
      <c r="AN6816">
        <v>0</v>
      </c>
      <c r="AO6816">
        <v>0</v>
      </c>
      <c r="AP6816" s="2">
        <v>42746</v>
      </c>
      <c r="AQ6816" t="s">
        <v>72</v>
      </c>
      <c r="AR6816" t="s">
        <v>72</v>
      </c>
      <c r="AS6816">
        <v>1225</v>
      </c>
      <c r="AT6816" s="4">
        <v>42492</v>
      </c>
      <c r="AU6816" t="s">
        <v>73</v>
      </c>
      <c r="AV6816">
        <v>1225</v>
      </c>
      <c r="AW6816" s="4">
        <v>42492</v>
      </c>
      <c r="BD6816">
        <v>0</v>
      </c>
      <c r="BN6816" t="s">
        <v>74</v>
      </c>
    </row>
    <row r="6817" spans="1:66" hidden="1">
      <c r="A6817">
        <v>104093</v>
      </c>
      <c r="B6817" s="3" t="s">
        <v>609</v>
      </c>
      <c r="C6817" s="1">
        <v>43300101</v>
      </c>
      <c r="D6817" t="s">
        <v>67</v>
      </c>
      <c r="H6817" t="str">
        <f t="shared" si="681"/>
        <v>12572900152</v>
      </c>
      <c r="I6817" t="str">
        <f t="shared" si="682"/>
        <v>06032681006</v>
      </c>
      <c r="K6817" t="str">
        <f>""</f>
        <v/>
      </c>
      <c r="M6817" t="s">
        <v>68</v>
      </c>
      <c r="N6817" t="str">
        <f t="shared" si="680"/>
        <v>FOR</v>
      </c>
      <c r="O6817" t="s">
        <v>69</v>
      </c>
      <c r="P6817" s="3" t="s">
        <v>75</v>
      </c>
      <c r="Q6817">
        <v>2015</v>
      </c>
      <c r="R6817" s="2">
        <v>42178</v>
      </c>
      <c r="S6817" s="2">
        <v>42186</v>
      </c>
      <c r="T6817" s="2">
        <v>42182</v>
      </c>
      <c r="U6817" s="2">
        <v>42242</v>
      </c>
      <c r="V6817" t="s">
        <v>71</v>
      </c>
      <c r="W6817" t="str">
        <f>"            25253751"</f>
        <v xml:space="preserve">            25253751</v>
      </c>
      <c r="X6817">
        <v>276.64</v>
      </c>
      <c r="Y6817">
        <v>0</v>
      </c>
      <c r="Z6817"/>
      <c r="AB6817"/>
      <c r="AC6817">
        <v>266</v>
      </c>
      <c r="AD6817">
        <v>250</v>
      </c>
      <c r="AE6817" s="1">
        <v>66500</v>
      </c>
      <c r="AF6817">
        <v>0</v>
      </c>
      <c r="AJ6817">
        <v>0</v>
      </c>
      <c r="AK6817">
        <v>0</v>
      </c>
      <c r="AL6817">
        <v>0</v>
      </c>
      <c r="AM6817">
        <v>0</v>
      </c>
      <c r="AN6817">
        <v>0</v>
      </c>
      <c r="AO6817">
        <v>0</v>
      </c>
      <c r="AP6817" s="2">
        <v>42746</v>
      </c>
      <c r="AQ6817" t="s">
        <v>72</v>
      </c>
      <c r="AR6817" t="s">
        <v>72</v>
      </c>
      <c r="AS6817">
        <v>1225</v>
      </c>
      <c r="AT6817" s="4">
        <v>42492</v>
      </c>
      <c r="AU6817" t="s">
        <v>73</v>
      </c>
      <c r="AV6817">
        <v>1225</v>
      </c>
      <c r="AW6817" s="4">
        <v>42492</v>
      </c>
      <c r="BD6817">
        <v>0</v>
      </c>
      <c r="BN6817" t="s">
        <v>74</v>
      </c>
    </row>
    <row r="6818" spans="1:66" hidden="1">
      <c r="A6818">
        <v>104093</v>
      </c>
      <c r="B6818" s="3" t="s">
        <v>609</v>
      </c>
      <c r="C6818" s="1">
        <v>43300101</v>
      </c>
      <c r="D6818" t="s">
        <v>67</v>
      </c>
      <c r="H6818" t="str">
        <f t="shared" si="681"/>
        <v>12572900152</v>
      </c>
      <c r="I6818" t="str">
        <f t="shared" si="682"/>
        <v>06032681006</v>
      </c>
      <c r="K6818" t="str">
        <f>""</f>
        <v/>
      </c>
      <c r="M6818" t="s">
        <v>68</v>
      </c>
      <c r="N6818" t="str">
        <f t="shared" si="680"/>
        <v>FOR</v>
      </c>
      <c r="O6818" t="s">
        <v>69</v>
      </c>
      <c r="P6818" s="3" t="s">
        <v>75</v>
      </c>
      <c r="Q6818">
        <v>2015</v>
      </c>
      <c r="R6818" s="2">
        <v>42181</v>
      </c>
      <c r="S6818" s="2">
        <v>42187</v>
      </c>
      <c r="T6818" s="2">
        <v>42184</v>
      </c>
      <c r="U6818" s="2">
        <v>42244</v>
      </c>
      <c r="V6818" t="s">
        <v>71</v>
      </c>
      <c r="W6818" t="str">
        <f>"            25254874"</f>
        <v xml:space="preserve">            25254874</v>
      </c>
      <c r="X6818">
        <v>933.3</v>
      </c>
      <c r="Y6818">
        <v>0</v>
      </c>
      <c r="Z6818"/>
      <c r="AB6818"/>
      <c r="AC6818">
        <v>765</v>
      </c>
      <c r="AD6818">
        <v>248</v>
      </c>
      <c r="AE6818" s="1">
        <v>189720</v>
      </c>
      <c r="AF6818">
        <v>0</v>
      </c>
      <c r="AJ6818">
        <v>0</v>
      </c>
      <c r="AK6818">
        <v>0</v>
      </c>
      <c r="AL6818">
        <v>0</v>
      </c>
      <c r="AM6818">
        <v>0</v>
      </c>
      <c r="AN6818">
        <v>0</v>
      </c>
      <c r="AO6818">
        <v>0</v>
      </c>
      <c r="AP6818" s="2">
        <v>42746</v>
      </c>
      <c r="AQ6818" t="s">
        <v>72</v>
      </c>
      <c r="AR6818" t="s">
        <v>72</v>
      </c>
      <c r="AS6818">
        <v>1225</v>
      </c>
      <c r="AT6818" s="4">
        <v>42492</v>
      </c>
      <c r="AU6818" t="s">
        <v>73</v>
      </c>
      <c r="AV6818">
        <v>1225</v>
      </c>
      <c r="AW6818" s="4">
        <v>42492</v>
      </c>
      <c r="BD6818">
        <v>0</v>
      </c>
      <c r="BN6818" t="s">
        <v>74</v>
      </c>
    </row>
    <row r="6819" spans="1:66" hidden="1">
      <c r="A6819">
        <v>104093</v>
      </c>
      <c r="B6819" s="3" t="s">
        <v>609</v>
      </c>
      <c r="C6819" s="1">
        <v>43300101</v>
      </c>
      <c r="D6819" t="s">
        <v>67</v>
      </c>
      <c r="H6819" t="str">
        <f t="shared" si="681"/>
        <v>12572900152</v>
      </c>
      <c r="I6819" t="str">
        <f t="shared" si="682"/>
        <v>06032681006</v>
      </c>
      <c r="K6819" t="str">
        <f>""</f>
        <v/>
      </c>
      <c r="M6819" t="s">
        <v>68</v>
      </c>
      <c r="N6819" t="str">
        <f t="shared" si="680"/>
        <v>FOR</v>
      </c>
      <c r="O6819" t="s">
        <v>69</v>
      </c>
      <c r="P6819" s="3" t="s">
        <v>75</v>
      </c>
      <c r="Q6819">
        <v>2015</v>
      </c>
      <c r="R6819" s="2">
        <v>42184</v>
      </c>
      <c r="S6819" s="2">
        <v>42191</v>
      </c>
      <c r="T6819" s="2">
        <v>42185</v>
      </c>
      <c r="U6819" s="2">
        <v>42245</v>
      </c>
      <c r="V6819" t="s">
        <v>71</v>
      </c>
      <c r="W6819" t="str">
        <f>"            25254999"</f>
        <v xml:space="preserve">            25254999</v>
      </c>
      <c r="X6819">
        <v>707.62</v>
      </c>
      <c r="Y6819">
        <v>0</v>
      </c>
      <c r="Z6819"/>
      <c r="AB6819"/>
      <c r="AC6819">
        <v>680.4</v>
      </c>
      <c r="AD6819">
        <v>247</v>
      </c>
      <c r="AE6819" s="1">
        <v>168058.8</v>
      </c>
      <c r="AF6819">
        <v>0</v>
      </c>
      <c r="AJ6819">
        <v>0</v>
      </c>
      <c r="AK6819">
        <v>0</v>
      </c>
      <c r="AL6819">
        <v>0</v>
      </c>
      <c r="AM6819">
        <v>0</v>
      </c>
      <c r="AN6819">
        <v>0</v>
      </c>
      <c r="AO6819">
        <v>0</v>
      </c>
      <c r="AP6819" s="2">
        <v>42746</v>
      </c>
      <c r="AQ6819" t="s">
        <v>72</v>
      </c>
      <c r="AR6819" t="s">
        <v>72</v>
      </c>
      <c r="AS6819">
        <v>1225</v>
      </c>
      <c r="AT6819" s="4">
        <v>42492</v>
      </c>
      <c r="AU6819" t="s">
        <v>73</v>
      </c>
      <c r="AV6819">
        <v>1225</v>
      </c>
      <c r="AW6819" s="4">
        <v>42492</v>
      </c>
      <c r="BD6819">
        <v>0</v>
      </c>
      <c r="BN6819" t="s">
        <v>74</v>
      </c>
    </row>
    <row r="6820" spans="1:66" hidden="1">
      <c r="A6820">
        <v>104093</v>
      </c>
      <c r="B6820" s="3" t="s">
        <v>609</v>
      </c>
      <c r="C6820" s="1">
        <v>43300101</v>
      </c>
      <c r="D6820" t="s">
        <v>67</v>
      </c>
      <c r="H6820" t="str">
        <f t="shared" si="681"/>
        <v>12572900152</v>
      </c>
      <c r="I6820" t="str">
        <f t="shared" si="682"/>
        <v>06032681006</v>
      </c>
      <c r="K6820" t="str">
        <f>""</f>
        <v/>
      </c>
      <c r="M6820" t="s">
        <v>68</v>
      </c>
      <c r="N6820" t="str">
        <f t="shared" si="680"/>
        <v>FOR</v>
      </c>
      <c r="O6820" t="s">
        <v>69</v>
      </c>
      <c r="P6820" s="3" t="s">
        <v>75</v>
      </c>
      <c r="Q6820">
        <v>2015</v>
      </c>
      <c r="R6820" s="2">
        <v>42184</v>
      </c>
      <c r="S6820" s="2">
        <v>42191</v>
      </c>
      <c r="T6820" s="2">
        <v>42185</v>
      </c>
      <c r="U6820" s="2">
        <v>42245</v>
      </c>
      <c r="V6820" t="s">
        <v>71</v>
      </c>
      <c r="W6820" t="str">
        <f>"            25255006"</f>
        <v xml:space="preserve">            25255006</v>
      </c>
      <c r="X6820">
        <v>74.88</v>
      </c>
      <c r="Y6820">
        <v>0</v>
      </c>
      <c r="Z6820"/>
      <c r="AB6820"/>
      <c r="AC6820">
        <v>72</v>
      </c>
      <c r="AD6820">
        <v>247</v>
      </c>
      <c r="AE6820" s="1">
        <v>17784</v>
      </c>
      <c r="AF6820">
        <v>0</v>
      </c>
      <c r="AJ6820">
        <v>0</v>
      </c>
      <c r="AK6820">
        <v>0</v>
      </c>
      <c r="AL6820">
        <v>0</v>
      </c>
      <c r="AM6820">
        <v>0</v>
      </c>
      <c r="AN6820">
        <v>0</v>
      </c>
      <c r="AO6820">
        <v>0</v>
      </c>
      <c r="AP6820" s="2">
        <v>42746</v>
      </c>
      <c r="AQ6820" t="s">
        <v>72</v>
      </c>
      <c r="AR6820" t="s">
        <v>72</v>
      </c>
      <c r="AS6820">
        <v>1225</v>
      </c>
      <c r="AT6820" s="4">
        <v>42492</v>
      </c>
      <c r="AU6820" t="s">
        <v>73</v>
      </c>
      <c r="AV6820">
        <v>1225</v>
      </c>
      <c r="AW6820" s="4">
        <v>42492</v>
      </c>
      <c r="BD6820">
        <v>0</v>
      </c>
      <c r="BN6820" t="s">
        <v>74</v>
      </c>
    </row>
    <row r="6821" spans="1:66" hidden="1">
      <c r="A6821">
        <v>104093</v>
      </c>
      <c r="B6821" s="3" t="s">
        <v>609</v>
      </c>
      <c r="C6821" s="1">
        <v>43300101</v>
      </c>
      <c r="D6821" t="s">
        <v>67</v>
      </c>
      <c r="H6821" t="str">
        <f t="shared" si="681"/>
        <v>12572900152</v>
      </c>
      <c r="I6821" t="str">
        <f t="shared" si="682"/>
        <v>06032681006</v>
      </c>
      <c r="K6821" t="str">
        <f>""</f>
        <v/>
      </c>
      <c r="M6821" t="s">
        <v>68</v>
      </c>
      <c r="N6821" t="str">
        <f t="shared" si="680"/>
        <v>FOR</v>
      </c>
      <c r="O6821" t="s">
        <v>69</v>
      </c>
      <c r="P6821" s="3" t="s">
        <v>75</v>
      </c>
      <c r="Q6821">
        <v>2015</v>
      </c>
      <c r="R6821" s="2">
        <v>42184</v>
      </c>
      <c r="S6821" s="2">
        <v>42191</v>
      </c>
      <c r="T6821" s="2">
        <v>42185</v>
      </c>
      <c r="U6821" s="2">
        <v>42245</v>
      </c>
      <c r="V6821" t="s">
        <v>71</v>
      </c>
      <c r="W6821" t="str">
        <f>"            25255009"</f>
        <v xml:space="preserve">            25255009</v>
      </c>
      <c r="X6821">
        <v>74.88</v>
      </c>
      <c r="Y6821">
        <v>0</v>
      </c>
      <c r="Z6821"/>
      <c r="AB6821"/>
      <c r="AC6821">
        <v>72</v>
      </c>
      <c r="AD6821">
        <v>247</v>
      </c>
      <c r="AE6821" s="1">
        <v>17784</v>
      </c>
      <c r="AF6821">
        <v>0</v>
      </c>
      <c r="AJ6821">
        <v>0</v>
      </c>
      <c r="AK6821">
        <v>0</v>
      </c>
      <c r="AL6821">
        <v>0</v>
      </c>
      <c r="AM6821">
        <v>0</v>
      </c>
      <c r="AN6821">
        <v>0</v>
      </c>
      <c r="AO6821">
        <v>0</v>
      </c>
      <c r="AP6821" s="2">
        <v>42746</v>
      </c>
      <c r="AQ6821" t="s">
        <v>72</v>
      </c>
      <c r="AR6821" t="s">
        <v>72</v>
      </c>
      <c r="AS6821">
        <v>1225</v>
      </c>
      <c r="AT6821" s="4">
        <v>42492</v>
      </c>
      <c r="AU6821" t="s">
        <v>73</v>
      </c>
      <c r="AV6821">
        <v>1225</v>
      </c>
      <c r="AW6821" s="4">
        <v>42492</v>
      </c>
      <c r="BD6821">
        <v>0</v>
      </c>
      <c r="BN6821" t="s">
        <v>74</v>
      </c>
    </row>
    <row r="6822" spans="1:66" hidden="1">
      <c r="A6822">
        <v>104093</v>
      </c>
      <c r="B6822" s="3" t="s">
        <v>609</v>
      </c>
      <c r="C6822" s="1">
        <v>43300101</v>
      </c>
      <c r="D6822" t="s">
        <v>67</v>
      </c>
      <c r="H6822" t="str">
        <f t="shared" si="681"/>
        <v>12572900152</v>
      </c>
      <c r="I6822" t="str">
        <f t="shared" si="682"/>
        <v>06032681006</v>
      </c>
      <c r="K6822" t="str">
        <f>""</f>
        <v/>
      </c>
      <c r="M6822" t="s">
        <v>68</v>
      </c>
      <c r="N6822" t="str">
        <f t="shared" si="680"/>
        <v>FOR</v>
      </c>
      <c r="O6822" t="s">
        <v>69</v>
      </c>
      <c r="P6822" s="3" t="s">
        <v>75</v>
      </c>
      <c r="Q6822">
        <v>2015</v>
      </c>
      <c r="R6822" s="2">
        <v>42184</v>
      </c>
      <c r="S6822" s="2">
        <v>42191</v>
      </c>
      <c r="T6822" s="2">
        <v>42185</v>
      </c>
      <c r="U6822" s="2">
        <v>42245</v>
      </c>
      <c r="V6822" t="s">
        <v>71</v>
      </c>
      <c r="W6822" t="str">
        <f>"            25255010"</f>
        <v xml:space="preserve">            25255010</v>
      </c>
      <c r="X6822">
        <v>252.72</v>
      </c>
      <c r="Y6822">
        <v>0</v>
      </c>
      <c r="Z6822"/>
      <c r="AB6822"/>
      <c r="AC6822">
        <v>243</v>
      </c>
      <c r="AD6822">
        <v>247</v>
      </c>
      <c r="AE6822" s="1">
        <v>60021</v>
      </c>
      <c r="AF6822">
        <v>0</v>
      </c>
      <c r="AJ6822">
        <v>0</v>
      </c>
      <c r="AK6822">
        <v>0</v>
      </c>
      <c r="AL6822">
        <v>0</v>
      </c>
      <c r="AM6822">
        <v>0</v>
      </c>
      <c r="AN6822">
        <v>0</v>
      </c>
      <c r="AO6822">
        <v>0</v>
      </c>
      <c r="AP6822" s="2">
        <v>42746</v>
      </c>
      <c r="AQ6822" t="s">
        <v>72</v>
      </c>
      <c r="AR6822" t="s">
        <v>72</v>
      </c>
      <c r="AS6822">
        <v>1225</v>
      </c>
      <c r="AT6822" s="4">
        <v>42492</v>
      </c>
      <c r="AU6822" t="s">
        <v>73</v>
      </c>
      <c r="AV6822">
        <v>1225</v>
      </c>
      <c r="AW6822" s="4">
        <v>42492</v>
      </c>
      <c r="BD6822">
        <v>0</v>
      </c>
      <c r="BN6822" t="s">
        <v>74</v>
      </c>
    </row>
    <row r="6823" spans="1:66" hidden="1">
      <c r="A6823">
        <v>104093</v>
      </c>
      <c r="B6823" s="3" t="s">
        <v>609</v>
      </c>
      <c r="C6823" s="1">
        <v>43300101</v>
      </c>
      <c r="D6823" t="s">
        <v>67</v>
      </c>
      <c r="H6823" t="str">
        <f t="shared" si="681"/>
        <v>12572900152</v>
      </c>
      <c r="I6823" t="str">
        <f t="shared" si="682"/>
        <v>06032681006</v>
      </c>
      <c r="K6823" t="str">
        <f>""</f>
        <v/>
      </c>
      <c r="M6823" t="s">
        <v>68</v>
      </c>
      <c r="N6823" t="str">
        <f t="shared" si="680"/>
        <v>FOR</v>
      </c>
      <c r="O6823" t="s">
        <v>69</v>
      </c>
      <c r="P6823" s="3" t="s">
        <v>75</v>
      </c>
      <c r="Q6823">
        <v>2015</v>
      </c>
      <c r="R6823" s="2">
        <v>42184</v>
      </c>
      <c r="S6823" s="2">
        <v>42191</v>
      </c>
      <c r="T6823" s="2">
        <v>42185</v>
      </c>
      <c r="U6823" s="2">
        <v>42245</v>
      </c>
      <c r="V6823" t="s">
        <v>71</v>
      </c>
      <c r="W6823" t="str">
        <f>"            25255012"</f>
        <v xml:space="preserve">            25255012</v>
      </c>
      <c r="X6823">
        <v>74.88</v>
      </c>
      <c r="Y6823">
        <v>0</v>
      </c>
      <c r="Z6823"/>
      <c r="AB6823"/>
      <c r="AC6823">
        <v>72</v>
      </c>
      <c r="AD6823">
        <v>247</v>
      </c>
      <c r="AE6823" s="1">
        <v>17784</v>
      </c>
      <c r="AF6823">
        <v>0</v>
      </c>
      <c r="AJ6823">
        <v>0</v>
      </c>
      <c r="AK6823">
        <v>0</v>
      </c>
      <c r="AL6823">
        <v>0</v>
      </c>
      <c r="AM6823">
        <v>0</v>
      </c>
      <c r="AN6823">
        <v>0</v>
      </c>
      <c r="AO6823">
        <v>0</v>
      </c>
      <c r="AP6823" s="2">
        <v>42746</v>
      </c>
      <c r="AQ6823" t="s">
        <v>72</v>
      </c>
      <c r="AR6823" t="s">
        <v>72</v>
      </c>
      <c r="AS6823">
        <v>1225</v>
      </c>
      <c r="AT6823" s="4">
        <v>42492</v>
      </c>
      <c r="AU6823" t="s">
        <v>73</v>
      </c>
      <c r="AV6823">
        <v>1225</v>
      </c>
      <c r="AW6823" s="4">
        <v>42492</v>
      </c>
      <c r="BD6823">
        <v>0</v>
      </c>
      <c r="BN6823" t="s">
        <v>74</v>
      </c>
    </row>
    <row r="6824" spans="1:66" hidden="1">
      <c r="A6824">
        <v>104093</v>
      </c>
      <c r="B6824" s="3" t="s">
        <v>609</v>
      </c>
      <c r="C6824" s="1">
        <v>43300101</v>
      </c>
      <c r="D6824" t="s">
        <v>67</v>
      </c>
      <c r="H6824" t="str">
        <f t="shared" si="681"/>
        <v>12572900152</v>
      </c>
      <c r="I6824" t="str">
        <f t="shared" si="682"/>
        <v>06032681006</v>
      </c>
      <c r="K6824" t="str">
        <f>""</f>
        <v/>
      </c>
      <c r="M6824" t="s">
        <v>68</v>
      </c>
      <c r="N6824" t="str">
        <f t="shared" si="680"/>
        <v>FOR</v>
      </c>
      <c r="O6824" t="s">
        <v>69</v>
      </c>
      <c r="P6824" s="3" t="s">
        <v>75</v>
      </c>
      <c r="Q6824">
        <v>2015</v>
      </c>
      <c r="R6824" s="2">
        <v>42185</v>
      </c>
      <c r="S6824" s="2">
        <v>42191</v>
      </c>
      <c r="T6824" s="2">
        <v>42186</v>
      </c>
      <c r="U6824" s="2">
        <v>42246</v>
      </c>
      <c r="V6824" t="s">
        <v>71</v>
      </c>
      <c r="W6824" t="str">
        <f>"            25255369"</f>
        <v xml:space="preserve">            25255369</v>
      </c>
      <c r="X6824">
        <v>252.72</v>
      </c>
      <c r="Y6824">
        <v>0</v>
      </c>
      <c r="Z6824"/>
      <c r="AB6824"/>
      <c r="AC6824">
        <v>243</v>
      </c>
      <c r="AD6824">
        <v>246</v>
      </c>
      <c r="AE6824" s="1">
        <v>59778</v>
      </c>
      <c r="AF6824">
        <v>0</v>
      </c>
      <c r="AJ6824">
        <v>0</v>
      </c>
      <c r="AK6824">
        <v>0</v>
      </c>
      <c r="AL6824">
        <v>0</v>
      </c>
      <c r="AM6824">
        <v>0</v>
      </c>
      <c r="AN6824">
        <v>0</v>
      </c>
      <c r="AO6824">
        <v>0</v>
      </c>
      <c r="AP6824" s="2">
        <v>42746</v>
      </c>
      <c r="AQ6824" t="s">
        <v>72</v>
      </c>
      <c r="AR6824" t="s">
        <v>72</v>
      </c>
      <c r="AS6824">
        <v>1225</v>
      </c>
      <c r="AT6824" s="4">
        <v>42492</v>
      </c>
      <c r="AU6824" t="s">
        <v>73</v>
      </c>
      <c r="AV6824">
        <v>1225</v>
      </c>
      <c r="AW6824" s="4">
        <v>42492</v>
      </c>
      <c r="BD6824">
        <v>0</v>
      </c>
      <c r="BN6824" t="s">
        <v>74</v>
      </c>
    </row>
    <row r="6825" spans="1:66" hidden="1">
      <c r="A6825">
        <v>104093</v>
      </c>
      <c r="B6825" s="3" t="s">
        <v>609</v>
      </c>
      <c r="C6825" s="1">
        <v>43300101</v>
      </c>
      <c r="D6825" t="s">
        <v>67</v>
      </c>
      <c r="H6825" t="str">
        <f t="shared" si="681"/>
        <v>12572900152</v>
      </c>
      <c r="I6825" t="str">
        <f t="shared" si="682"/>
        <v>06032681006</v>
      </c>
      <c r="K6825" t="str">
        <f>""</f>
        <v/>
      </c>
      <c r="M6825" t="s">
        <v>68</v>
      </c>
      <c r="N6825" t="str">
        <f t="shared" si="680"/>
        <v>FOR</v>
      </c>
      <c r="O6825" t="s">
        <v>69</v>
      </c>
      <c r="P6825" s="3" t="s">
        <v>75</v>
      </c>
      <c r="Q6825">
        <v>2015</v>
      </c>
      <c r="R6825" s="2">
        <v>42185</v>
      </c>
      <c r="S6825" s="2">
        <v>42191</v>
      </c>
      <c r="T6825" s="2">
        <v>42186</v>
      </c>
      <c r="U6825" s="2">
        <v>42246</v>
      </c>
      <c r="V6825" t="s">
        <v>71</v>
      </c>
      <c r="W6825" t="str">
        <f>"            25255371"</f>
        <v xml:space="preserve">            25255371</v>
      </c>
      <c r="X6825">
        <v>707.62</v>
      </c>
      <c r="Y6825">
        <v>0</v>
      </c>
      <c r="Z6825"/>
      <c r="AB6825"/>
      <c r="AC6825">
        <v>680.4</v>
      </c>
      <c r="AD6825">
        <v>246</v>
      </c>
      <c r="AE6825" s="1">
        <v>167378.4</v>
      </c>
      <c r="AF6825">
        <v>0</v>
      </c>
      <c r="AJ6825">
        <v>0</v>
      </c>
      <c r="AK6825">
        <v>0</v>
      </c>
      <c r="AL6825">
        <v>0</v>
      </c>
      <c r="AM6825">
        <v>0</v>
      </c>
      <c r="AN6825">
        <v>0</v>
      </c>
      <c r="AO6825">
        <v>0</v>
      </c>
      <c r="AP6825" s="2">
        <v>42746</v>
      </c>
      <c r="AQ6825" t="s">
        <v>72</v>
      </c>
      <c r="AR6825" t="s">
        <v>72</v>
      </c>
      <c r="AS6825">
        <v>1225</v>
      </c>
      <c r="AT6825" s="4">
        <v>42492</v>
      </c>
      <c r="AU6825" t="s">
        <v>73</v>
      </c>
      <c r="AV6825">
        <v>1225</v>
      </c>
      <c r="AW6825" s="4">
        <v>42492</v>
      </c>
      <c r="BD6825">
        <v>0</v>
      </c>
      <c r="BN6825" t="s">
        <v>74</v>
      </c>
    </row>
    <row r="6826" spans="1:66" hidden="1">
      <c r="A6826">
        <v>104093</v>
      </c>
      <c r="B6826" s="3" t="s">
        <v>609</v>
      </c>
      <c r="C6826" s="1">
        <v>43300101</v>
      </c>
      <c r="D6826" t="s">
        <v>67</v>
      </c>
      <c r="H6826" t="str">
        <f t="shared" si="681"/>
        <v>12572900152</v>
      </c>
      <c r="I6826" t="str">
        <f t="shared" si="682"/>
        <v>06032681006</v>
      </c>
      <c r="K6826" t="str">
        <f>""</f>
        <v/>
      </c>
      <c r="M6826" t="s">
        <v>68</v>
      </c>
      <c r="N6826" t="str">
        <f t="shared" si="680"/>
        <v>FOR</v>
      </c>
      <c r="O6826" t="s">
        <v>69</v>
      </c>
      <c r="P6826" s="3" t="s">
        <v>75</v>
      </c>
      <c r="Q6826">
        <v>2015</v>
      </c>
      <c r="R6826" s="2">
        <v>42185</v>
      </c>
      <c r="S6826" s="2">
        <v>42191</v>
      </c>
      <c r="T6826" s="2">
        <v>42186</v>
      </c>
      <c r="U6826" s="2">
        <v>42246</v>
      </c>
      <c r="V6826" t="s">
        <v>71</v>
      </c>
      <c r="W6826" t="str">
        <f>"            25255372"</f>
        <v xml:space="preserve">            25255372</v>
      </c>
      <c r="X6826">
        <v>252.72</v>
      </c>
      <c r="Y6826">
        <v>0</v>
      </c>
      <c r="Z6826"/>
      <c r="AB6826"/>
      <c r="AC6826">
        <v>243</v>
      </c>
      <c r="AD6826">
        <v>246</v>
      </c>
      <c r="AE6826" s="1">
        <v>59778</v>
      </c>
      <c r="AF6826">
        <v>0</v>
      </c>
      <c r="AJ6826">
        <v>0</v>
      </c>
      <c r="AK6826">
        <v>0</v>
      </c>
      <c r="AL6826">
        <v>0</v>
      </c>
      <c r="AM6826">
        <v>0</v>
      </c>
      <c r="AN6826">
        <v>0</v>
      </c>
      <c r="AO6826">
        <v>0</v>
      </c>
      <c r="AP6826" s="2">
        <v>42746</v>
      </c>
      <c r="AQ6826" t="s">
        <v>72</v>
      </c>
      <c r="AR6826" t="s">
        <v>72</v>
      </c>
      <c r="AS6826">
        <v>1225</v>
      </c>
      <c r="AT6826" s="4">
        <v>42492</v>
      </c>
      <c r="AU6826" t="s">
        <v>73</v>
      </c>
      <c r="AV6826">
        <v>1225</v>
      </c>
      <c r="AW6826" s="4">
        <v>42492</v>
      </c>
      <c r="BD6826">
        <v>0</v>
      </c>
      <c r="BN6826" t="s">
        <v>74</v>
      </c>
    </row>
    <row r="6827" spans="1:66" hidden="1">
      <c r="A6827">
        <v>104093</v>
      </c>
      <c r="B6827" s="3" t="s">
        <v>609</v>
      </c>
      <c r="C6827" s="1">
        <v>43300101</v>
      </c>
      <c r="D6827" t="s">
        <v>67</v>
      </c>
      <c r="H6827" t="str">
        <f t="shared" si="681"/>
        <v>12572900152</v>
      </c>
      <c r="I6827" t="str">
        <f t="shared" si="682"/>
        <v>06032681006</v>
      </c>
      <c r="K6827" t="str">
        <f>""</f>
        <v/>
      </c>
      <c r="M6827" t="s">
        <v>68</v>
      </c>
      <c r="N6827" t="str">
        <f t="shared" si="680"/>
        <v>FOR</v>
      </c>
      <c r="O6827" t="s">
        <v>69</v>
      </c>
      <c r="P6827" s="3" t="s">
        <v>75</v>
      </c>
      <c r="Q6827">
        <v>2015</v>
      </c>
      <c r="R6827" s="2">
        <v>42192</v>
      </c>
      <c r="S6827" s="2">
        <v>42195</v>
      </c>
      <c r="T6827" s="2">
        <v>42194</v>
      </c>
      <c r="U6827" s="2">
        <v>42254</v>
      </c>
      <c r="V6827" t="s">
        <v>71</v>
      </c>
      <c r="W6827" t="str">
        <f>"            25256647"</f>
        <v xml:space="preserve">            25256647</v>
      </c>
      <c r="X6827">
        <v>707.62</v>
      </c>
      <c r="Y6827">
        <v>0</v>
      </c>
      <c r="Z6827"/>
      <c r="AB6827"/>
      <c r="AC6827">
        <v>680.4</v>
      </c>
      <c r="AD6827">
        <v>323</v>
      </c>
      <c r="AE6827" s="1">
        <v>219769.2</v>
      </c>
      <c r="AF6827">
        <v>0</v>
      </c>
      <c r="AJ6827">
        <v>0</v>
      </c>
      <c r="AK6827">
        <v>0</v>
      </c>
      <c r="AL6827">
        <v>0</v>
      </c>
      <c r="AM6827">
        <v>0</v>
      </c>
      <c r="AN6827">
        <v>0</v>
      </c>
      <c r="AO6827">
        <v>0</v>
      </c>
      <c r="AP6827" s="2">
        <v>42746</v>
      </c>
      <c r="AQ6827" t="s">
        <v>72</v>
      </c>
      <c r="AR6827" t="s">
        <v>72</v>
      </c>
      <c r="AS6827">
        <v>1938</v>
      </c>
      <c r="AT6827" s="4">
        <v>42577</v>
      </c>
      <c r="AU6827" t="s">
        <v>73</v>
      </c>
      <c r="AV6827">
        <v>1938</v>
      </c>
      <c r="AW6827" s="4">
        <v>42577</v>
      </c>
      <c r="BD6827">
        <v>0</v>
      </c>
      <c r="BN6827" t="s">
        <v>74</v>
      </c>
    </row>
    <row r="6828" spans="1:66" hidden="1">
      <c r="A6828">
        <v>104093</v>
      </c>
      <c r="B6828" s="3" t="s">
        <v>609</v>
      </c>
      <c r="C6828" s="1">
        <v>43300101</v>
      </c>
      <c r="D6828" t="s">
        <v>67</v>
      </c>
      <c r="H6828" t="str">
        <f t="shared" si="681"/>
        <v>12572900152</v>
      </c>
      <c r="I6828" t="str">
        <f t="shared" si="682"/>
        <v>06032681006</v>
      </c>
      <c r="K6828" t="str">
        <f>""</f>
        <v/>
      </c>
      <c r="M6828" t="s">
        <v>68</v>
      </c>
      <c r="N6828" t="str">
        <f t="shared" si="680"/>
        <v>FOR</v>
      </c>
      <c r="O6828" t="s">
        <v>69</v>
      </c>
      <c r="P6828" s="3" t="s">
        <v>75</v>
      </c>
      <c r="Q6828">
        <v>2015</v>
      </c>
      <c r="R6828" s="2">
        <v>42192</v>
      </c>
      <c r="S6828" s="2">
        <v>42195</v>
      </c>
      <c r="T6828" s="2">
        <v>42194</v>
      </c>
      <c r="U6828" s="2">
        <v>42254</v>
      </c>
      <c r="V6828" t="s">
        <v>71</v>
      </c>
      <c r="W6828" t="str">
        <f>"            25256652"</f>
        <v xml:space="preserve">            25256652</v>
      </c>
      <c r="X6828">
        <v>252.72</v>
      </c>
      <c r="Y6828">
        <v>0</v>
      </c>
      <c r="Z6828"/>
      <c r="AB6828"/>
      <c r="AC6828">
        <v>243</v>
      </c>
      <c r="AD6828">
        <v>323</v>
      </c>
      <c r="AE6828" s="1">
        <v>78489</v>
      </c>
      <c r="AF6828">
        <v>0</v>
      </c>
      <c r="AJ6828">
        <v>0</v>
      </c>
      <c r="AK6828">
        <v>0</v>
      </c>
      <c r="AL6828">
        <v>0</v>
      </c>
      <c r="AM6828">
        <v>0</v>
      </c>
      <c r="AN6828">
        <v>0</v>
      </c>
      <c r="AO6828">
        <v>0</v>
      </c>
      <c r="AP6828" s="2">
        <v>42746</v>
      </c>
      <c r="AQ6828" t="s">
        <v>72</v>
      </c>
      <c r="AR6828" t="s">
        <v>72</v>
      </c>
      <c r="AS6828">
        <v>1938</v>
      </c>
      <c r="AT6828" s="4">
        <v>42577</v>
      </c>
      <c r="AU6828" t="s">
        <v>73</v>
      </c>
      <c r="AV6828">
        <v>1938</v>
      </c>
      <c r="AW6828" s="4">
        <v>42577</v>
      </c>
      <c r="BD6828">
        <v>0</v>
      </c>
      <c r="BN6828" t="s">
        <v>74</v>
      </c>
    </row>
    <row r="6829" spans="1:66" hidden="1">
      <c r="A6829">
        <v>104093</v>
      </c>
      <c r="B6829" s="3" t="s">
        <v>609</v>
      </c>
      <c r="C6829" s="1">
        <v>43300101</v>
      </c>
      <c r="D6829" t="s">
        <v>67</v>
      </c>
      <c r="H6829" t="str">
        <f t="shared" si="681"/>
        <v>12572900152</v>
      </c>
      <c r="I6829" t="str">
        <f t="shared" si="682"/>
        <v>06032681006</v>
      </c>
      <c r="K6829" t="str">
        <f>""</f>
        <v/>
      </c>
      <c r="M6829" t="s">
        <v>68</v>
      </c>
      <c r="N6829" t="str">
        <f t="shared" si="680"/>
        <v>FOR</v>
      </c>
      <c r="O6829" t="s">
        <v>69</v>
      </c>
      <c r="P6829" s="3" t="s">
        <v>75</v>
      </c>
      <c r="Q6829">
        <v>2015</v>
      </c>
      <c r="R6829" s="2">
        <v>42192</v>
      </c>
      <c r="S6829" s="2">
        <v>42195</v>
      </c>
      <c r="T6829" s="2">
        <v>42194</v>
      </c>
      <c r="U6829" s="2">
        <v>42254</v>
      </c>
      <c r="V6829" t="s">
        <v>71</v>
      </c>
      <c r="W6829" t="str">
        <f>"            25256653"</f>
        <v xml:space="preserve">            25256653</v>
      </c>
      <c r="X6829">
        <v>74.88</v>
      </c>
      <c r="Y6829">
        <v>0</v>
      </c>
      <c r="Z6829"/>
      <c r="AB6829"/>
      <c r="AC6829">
        <v>72</v>
      </c>
      <c r="AD6829">
        <v>323</v>
      </c>
      <c r="AE6829" s="1">
        <v>23256</v>
      </c>
      <c r="AF6829">
        <v>0</v>
      </c>
      <c r="AJ6829">
        <v>0</v>
      </c>
      <c r="AK6829">
        <v>0</v>
      </c>
      <c r="AL6829">
        <v>0</v>
      </c>
      <c r="AM6829">
        <v>0</v>
      </c>
      <c r="AN6829">
        <v>0</v>
      </c>
      <c r="AO6829">
        <v>0</v>
      </c>
      <c r="AP6829" s="2">
        <v>42746</v>
      </c>
      <c r="AQ6829" t="s">
        <v>72</v>
      </c>
      <c r="AR6829" t="s">
        <v>72</v>
      </c>
      <c r="AS6829">
        <v>1938</v>
      </c>
      <c r="AT6829" s="4">
        <v>42577</v>
      </c>
      <c r="AU6829" t="s">
        <v>73</v>
      </c>
      <c r="AV6829">
        <v>1938</v>
      </c>
      <c r="AW6829" s="4">
        <v>42577</v>
      </c>
      <c r="BD6829">
        <v>0</v>
      </c>
      <c r="BN6829" t="s">
        <v>74</v>
      </c>
    </row>
    <row r="6830" spans="1:66" hidden="1">
      <c r="A6830">
        <v>104093</v>
      </c>
      <c r="B6830" s="3" t="s">
        <v>609</v>
      </c>
      <c r="C6830" s="1">
        <v>43300101</v>
      </c>
      <c r="D6830" t="s">
        <v>67</v>
      </c>
      <c r="H6830" t="str">
        <f t="shared" si="681"/>
        <v>12572900152</v>
      </c>
      <c r="I6830" t="str">
        <f t="shared" si="682"/>
        <v>06032681006</v>
      </c>
      <c r="K6830" t="str">
        <f>""</f>
        <v/>
      </c>
      <c r="M6830" t="s">
        <v>68</v>
      </c>
      <c r="N6830" t="str">
        <f t="shared" si="680"/>
        <v>FOR</v>
      </c>
      <c r="O6830" t="s">
        <v>69</v>
      </c>
      <c r="P6830" s="3" t="s">
        <v>75</v>
      </c>
      <c r="Q6830">
        <v>2015</v>
      </c>
      <c r="R6830" s="2">
        <v>42193</v>
      </c>
      <c r="S6830" s="2">
        <v>42195</v>
      </c>
      <c r="T6830" s="2">
        <v>42195</v>
      </c>
      <c r="U6830" s="2">
        <v>42255</v>
      </c>
      <c r="V6830" t="s">
        <v>71</v>
      </c>
      <c r="W6830" t="str">
        <f>"            25256815"</f>
        <v xml:space="preserve">            25256815</v>
      </c>
      <c r="X6830">
        <v>936</v>
      </c>
      <c r="Y6830">
        <v>0</v>
      </c>
      <c r="Z6830"/>
      <c r="AB6830"/>
      <c r="AC6830">
        <v>900</v>
      </c>
      <c r="AD6830">
        <v>322</v>
      </c>
      <c r="AE6830" s="1">
        <v>289800</v>
      </c>
      <c r="AF6830">
        <v>0</v>
      </c>
      <c r="AJ6830">
        <v>0</v>
      </c>
      <c r="AK6830">
        <v>0</v>
      </c>
      <c r="AL6830">
        <v>0</v>
      </c>
      <c r="AM6830">
        <v>0</v>
      </c>
      <c r="AN6830">
        <v>0</v>
      </c>
      <c r="AO6830">
        <v>0</v>
      </c>
      <c r="AP6830" s="2">
        <v>42746</v>
      </c>
      <c r="AQ6830" t="s">
        <v>72</v>
      </c>
      <c r="AR6830" t="s">
        <v>72</v>
      </c>
      <c r="AS6830">
        <v>1938</v>
      </c>
      <c r="AT6830" s="4">
        <v>42577</v>
      </c>
      <c r="AU6830" t="s">
        <v>73</v>
      </c>
      <c r="AV6830">
        <v>1938</v>
      </c>
      <c r="AW6830" s="4">
        <v>42577</v>
      </c>
      <c r="BD6830">
        <v>0</v>
      </c>
      <c r="BN6830" t="s">
        <v>74</v>
      </c>
    </row>
    <row r="6831" spans="1:66" hidden="1">
      <c r="A6831">
        <v>104093</v>
      </c>
      <c r="B6831" s="3" t="s">
        <v>609</v>
      </c>
      <c r="C6831" s="1">
        <v>43300101</v>
      </c>
      <c r="D6831" t="s">
        <v>67</v>
      </c>
      <c r="H6831" t="str">
        <f t="shared" si="681"/>
        <v>12572900152</v>
      </c>
      <c r="I6831" t="str">
        <f t="shared" si="682"/>
        <v>06032681006</v>
      </c>
      <c r="K6831" t="str">
        <f>""</f>
        <v/>
      </c>
      <c r="M6831" t="s">
        <v>68</v>
      </c>
      <c r="N6831" t="str">
        <f t="shared" si="680"/>
        <v>FOR</v>
      </c>
      <c r="O6831" t="s">
        <v>69</v>
      </c>
      <c r="P6831" s="3" t="s">
        <v>75</v>
      </c>
      <c r="Q6831">
        <v>2015</v>
      </c>
      <c r="R6831" s="2">
        <v>42193</v>
      </c>
      <c r="S6831" s="2">
        <v>42195</v>
      </c>
      <c r="T6831" s="2">
        <v>42195</v>
      </c>
      <c r="U6831" s="2">
        <v>42255</v>
      </c>
      <c r="V6831" t="s">
        <v>71</v>
      </c>
      <c r="W6831" t="str">
        <f>"            25256817"</f>
        <v xml:space="preserve">            25256817</v>
      </c>
      <c r="X6831">
        <v>936</v>
      </c>
      <c r="Y6831">
        <v>0</v>
      </c>
      <c r="Z6831"/>
      <c r="AB6831"/>
      <c r="AC6831">
        <v>900</v>
      </c>
      <c r="AD6831">
        <v>322</v>
      </c>
      <c r="AE6831" s="1">
        <v>289800</v>
      </c>
      <c r="AF6831">
        <v>0</v>
      </c>
      <c r="AJ6831">
        <v>0</v>
      </c>
      <c r="AK6831">
        <v>0</v>
      </c>
      <c r="AL6831">
        <v>0</v>
      </c>
      <c r="AM6831">
        <v>0</v>
      </c>
      <c r="AN6831">
        <v>0</v>
      </c>
      <c r="AO6831">
        <v>0</v>
      </c>
      <c r="AP6831" s="2">
        <v>42746</v>
      </c>
      <c r="AQ6831" t="s">
        <v>72</v>
      </c>
      <c r="AR6831" t="s">
        <v>72</v>
      </c>
      <c r="AS6831">
        <v>1938</v>
      </c>
      <c r="AT6831" s="4">
        <v>42577</v>
      </c>
      <c r="AU6831" t="s">
        <v>73</v>
      </c>
      <c r="AV6831">
        <v>1938</v>
      </c>
      <c r="AW6831" s="4">
        <v>42577</v>
      </c>
      <c r="BD6831">
        <v>0</v>
      </c>
      <c r="BN6831" t="s">
        <v>74</v>
      </c>
    </row>
    <row r="6832" spans="1:66" hidden="1">
      <c r="A6832">
        <v>104093</v>
      </c>
      <c r="B6832" s="3" t="s">
        <v>609</v>
      </c>
      <c r="C6832" s="1">
        <v>43300101</v>
      </c>
      <c r="D6832" t="s">
        <v>67</v>
      </c>
      <c r="H6832" t="str">
        <f t="shared" si="681"/>
        <v>12572900152</v>
      </c>
      <c r="I6832" t="str">
        <f t="shared" si="682"/>
        <v>06032681006</v>
      </c>
      <c r="K6832" t="str">
        <f>""</f>
        <v/>
      </c>
      <c r="M6832" t="s">
        <v>68</v>
      </c>
      <c r="N6832" t="str">
        <f t="shared" si="680"/>
        <v>FOR</v>
      </c>
      <c r="O6832" t="s">
        <v>69</v>
      </c>
      <c r="P6832" s="3" t="s">
        <v>75</v>
      </c>
      <c r="Q6832">
        <v>2015</v>
      </c>
      <c r="R6832" s="2">
        <v>42193</v>
      </c>
      <c r="S6832" s="2">
        <v>42338</v>
      </c>
      <c r="T6832" s="2">
        <v>42334</v>
      </c>
      <c r="U6832" s="2">
        <v>42394</v>
      </c>
      <c r="V6832" t="s">
        <v>71</v>
      </c>
      <c r="W6832" t="str">
        <f>"            25256818"</f>
        <v xml:space="preserve">            25256818</v>
      </c>
      <c r="X6832">
        <v>936</v>
      </c>
      <c r="Y6832">
        <v>0</v>
      </c>
      <c r="Z6832"/>
      <c r="AB6832"/>
      <c r="AC6832">
        <v>900</v>
      </c>
      <c r="AD6832">
        <v>185</v>
      </c>
      <c r="AE6832" s="1">
        <v>166500</v>
      </c>
      <c r="AF6832">
        <v>0</v>
      </c>
      <c r="AJ6832">
        <v>0</v>
      </c>
      <c r="AK6832">
        <v>0</v>
      </c>
      <c r="AL6832">
        <v>0</v>
      </c>
      <c r="AM6832">
        <v>0</v>
      </c>
      <c r="AN6832">
        <v>0</v>
      </c>
      <c r="AO6832">
        <v>0</v>
      </c>
      <c r="AP6832" s="2">
        <v>42746</v>
      </c>
      <c r="AQ6832" t="s">
        <v>72</v>
      </c>
      <c r="AR6832" t="s">
        <v>72</v>
      </c>
      <c r="AS6832">
        <v>2029</v>
      </c>
      <c r="AT6832" s="4">
        <v>42579</v>
      </c>
      <c r="AU6832" t="s">
        <v>73</v>
      </c>
      <c r="AV6832">
        <v>2029</v>
      </c>
      <c r="AW6832" s="4">
        <v>42579</v>
      </c>
      <c r="BD6832">
        <v>0</v>
      </c>
      <c r="BN6832" t="s">
        <v>74</v>
      </c>
    </row>
    <row r="6833" spans="1:66" hidden="1">
      <c r="A6833">
        <v>104093</v>
      </c>
      <c r="B6833" s="3" t="s">
        <v>609</v>
      </c>
      <c r="C6833" s="1">
        <v>43300101</v>
      </c>
      <c r="D6833" t="s">
        <v>67</v>
      </c>
      <c r="H6833" t="str">
        <f t="shared" si="681"/>
        <v>12572900152</v>
      </c>
      <c r="I6833" t="str">
        <f t="shared" si="682"/>
        <v>06032681006</v>
      </c>
      <c r="K6833" t="str">
        <f>""</f>
        <v/>
      </c>
      <c r="M6833" t="s">
        <v>68</v>
      </c>
      <c r="N6833" t="str">
        <f t="shared" si="680"/>
        <v>FOR</v>
      </c>
      <c r="O6833" t="s">
        <v>69</v>
      </c>
      <c r="P6833" s="3" t="s">
        <v>75</v>
      </c>
      <c r="Q6833">
        <v>2015</v>
      </c>
      <c r="R6833" s="2">
        <v>42193</v>
      </c>
      <c r="S6833" s="2">
        <v>42338</v>
      </c>
      <c r="T6833" s="2">
        <v>42334</v>
      </c>
      <c r="U6833" s="2">
        <v>42394</v>
      </c>
      <c r="V6833" t="s">
        <v>71</v>
      </c>
      <c r="W6833" t="str">
        <f>"            25256819"</f>
        <v xml:space="preserve">            25256819</v>
      </c>
      <c r="X6833">
        <v>936</v>
      </c>
      <c r="Y6833">
        <v>0</v>
      </c>
      <c r="Z6833"/>
      <c r="AB6833"/>
      <c r="AC6833">
        <v>900</v>
      </c>
      <c r="AD6833">
        <v>185</v>
      </c>
      <c r="AE6833" s="1">
        <v>166500</v>
      </c>
      <c r="AF6833">
        <v>0</v>
      </c>
      <c r="AJ6833">
        <v>0</v>
      </c>
      <c r="AK6833">
        <v>0</v>
      </c>
      <c r="AL6833">
        <v>0</v>
      </c>
      <c r="AM6833">
        <v>0</v>
      </c>
      <c r="AN6833">
        <v>0</v>
      </c>
      <c r="AO6833">
        <v>0</v>
      </c>
      <c r="AP6833" s="2">
        <v>42746</v>
      </c>
      <c r="AQ6833" t="s">
        <v>72</v>
      </c>
      <c r="AR6833" t="s">
        <v>72</v>
      </c>
      <c r="AS6833">
        <v>2029</v>
      </c>
      <c r="AT6833" s="4">
        <v>42579</v>
      </c>
      <c r="AU6833" t="s">
        <v>73</v>
      </c>
      <c r="AV6833">
        <v>2029</v>
      </c>
      <c r="AW6833" s="4">
        <v>42579</v>
      </c>
      <c r="BD6833">
        <v>0</v>
      </c>
      <c r="BN6833" t="s">
        <v>74</v>
      </c>
    </row>
    <row r="6834" spans="1:66" hidden="1">
      <c r="A6834">
        <v>104093</v>
      </c>
      <c r="B6834" s="3" t="s">
        <v>609</v>
      </c>
      <c r="C6834" s="1">
        <v>43300101</v>
      </c>
      <c r="D6834" t="s">
        <v>67</v>
      </c>
      <c r="H6834" t="str">
        <f t="shared" si="681"/>
        <v>12572900152</v>
      </c>
      <c r="I6834" t="str">
        <f t="shared" si="682"/>
        <v>06032681006</v>
      </c>
      <c r="K6834" t="str">
        <f>""</f>
        <v/>
      </c>
      <c r="M6834" t="s">
        <v>68</v>
      </c>
      <c r="N6834" t="str">
        <f t="shared" si="680"/>
        <v>FOR</v>
      </c>
      <c r="O6834" t="s">
        <v>69</v>
      </c>
      <c r="P6834" s="3" t="s">
        <v>75</v>
      </c>
      <c r="Q6834">
        <v>2015</v>
      </c>
      <c r="R6834" s="2">
        <v>42193</v>
      </c>
      <c r="S6834" s="2">
        <v>42195</v>
      </c>
      <c r="T6834" s="2">
        <v>42195</v>
      </c>
      <c r="U6834" s="2">
        <v>42255</v>
      </c>
      <c r="V6834" t="s">
        <v>71</v>
      </c>
      <c r="W6834" t="str">
        <f>"            25256820"</f>
        <v xml:space="preserve">            25256820</v>
      </c>
      <c r="X6834">
        <v>936</v>
      </c>
      <c r="Y6834">
        <v>0</v>
      </c>
      <c r="Z6834"/>
      <c r="AB6834"/>
      <c r="AC6834">
        <v>900</v>
      </c>
      <c r="AD6834">
        <v>322</v>
      </c>
      <c r="AE6834" s="1">
        <v>289800</v>
      </c>
      <c r="AF6834">
        <v>0</v>
      </c>
      <c r="AJ6834">
        <v>0</v>
      </c>
      <c r="AK6834">
        <v>0</v>
      </c>
      <c r="AL6834">
        <v>0</v>
      </c>
      <c r="AM6834">
        <v>0</v>
      </c>
      <c r="AN6834">
        <v>0</v>
      </c>
      <c r="AO6834">
        <v>0</v>
      </c>
      <c r="AP6834" s="2">
        <v>42746</v>
      </c>
      <c r="AQ6834" t="s">
        <v>72</v>
      </c>
      <c r="AR6834" t="s">
        <v>72</v>
      </c>
      <c r="AS6834">
        <v>1938</v>
      </c>
      <c r="AT6834" s="4">
        <v>42577</v>
      </c>
      <c r="AU6834" t="s">
        <v>73</v>
      </c>
      <c r="AV6834">
        <v>1938</v>
      </c>
      <c r="AW6834" s="4">
        <v>42577</v>
      </c>
      <c r="BD6834">
        <v>0</v>
      </c>
      <c r="BN6834" t="s">
        <v>74</v>
      </c>
    </row>
    <row r="6835" spans="1:66" hidden="1">
      <c r="A6835">
        <v>104093</v>
      </c>
      <c r="B6835" s="3" t="s">
        <v>609</v>
      </c>
      <c r="C6835" s="1">
        <v>43300101</v>
      </c>
      <c r="D6835" t="s">
        <v>67</v>
      </c>
      <c r="H6835" t="str">
        <f t="shared" si="681"/>
        <v>12572900152</v>
      </c>
      <c r="I6835" t="str">
        <f t="shared" si="682"/>
        <v>06032681006</v>
      </c>
      <c r="K6835" t="str">
        <f>""</f>
        <v/>
      </c>
      <c r="M6835" t="s">
        <v>68</v>
      </c>
      <c r="N6835" t="str">
        <f t="shared" si="680"/>
        <v>FOR</v>
      </c>
      <c r="O6835" t="s">
        <v>69</v>
      </c>
      <c r="P6835" s="3" t="s">
        <v>75</v>
      </c>
      <c r="Q6835">
        <v>2015</v>
      </c>
      <c r="R6835" s="2">
        <v>42194</v>
      </c>
      <c r="S6835" s="2">
        <v>42198</v>
      </c>
      <c r="T6835" s="2">
        <v>42196</v>
      </c>
      <c r="U6835" s="2">
        <v>42256</v>
      </c>
      <c r="V6835" t="s">
        <v>71</v>
      </c>
      <c r="W6835" t="str">
        <f>"            25257132"</f>
        <v xml:space="preserve">            25257132</v>
      </c>
      <c r="X6835">
        <v>707.62</v>
      </c>
      <c r="Y6835">
        <v>0</v>
      </c>
      <c r="Z6835"/>
      <c r="AB6835"/>
      <c r="AC6835">
        <v>680.4</v>
      </c>
      <c r="AD6835">
        <v>321</v>
      </c>
      <c r="AE6835" s="1">
        <v>218408.4</v>
      </c>
      <c r="AF6835">
        <v>0</v>
      </c>
      <c r="AJ6835">
        <v>0</v>
      </c>
      <c r="AK6835">
        <v>0</v>
      </c>
      <c r="AL6835">
        <v>0</v>
      </c>
      <c r="AM6835">
        <v>0</v>
      </c>
      <c r="AN6835">
        <v>0</v>
      </c>
      <c r="AO6835">
        <v>0</v>
      </c>
      <c r="AP6835" s="2">
        <v>42746</v>
      </c>
      <c r="AQ6835" t="s">
        <v>72</v>
      </c>
      <c r="AR6835" t="s">
        <v>72</v>
      </c>
      <c r="AS6835">
        <v>1938</v>
      </c>
      <c r="AT6835" s="4">
        <v>42577</v>
      </c>
      <c r="AU6835" t="s">
        <v>73</v>
      </c>
      <c r="AV6835">
        <v>1938</v>
      </c>
      <c r="AW6835" s="4">
        <v>42577</v>
      </c>
      <c r="BD6835">
        <v>0</v>
      </c>
      <c r="BN6835" t="s">
        <v>74</v>
      </c>
    </row>
    <row r="6836" spans="1:66" hidden="1">
      <c r="A6836">
        <v>104093</v>
      </c>
      <c r="B6836" s="3" t="s">
        <v>609</v>
      </c>
      <c r="C6836" s="1">
        <v>43300101</v>
      </c>
      <c r="D6836" t="s">
        <v>67</v>
      </c>
      <c r="H6836" t="str">
        <f t="shared" si="681"/>
        <v>12572900152</v>
      </c>
      <c r="I6836" t="str">
        <f t="shared" si="682"/>
        <v>06032681006</v>
      </c>
      <c r="K6836" t="str">
        <f>""</f>
        <v/>
      </c>
      <c r="M6836" t="s">
        <v>68</v>
      </c>
      <c r="N6836" t="str">
        <f t="shared" si="680"/>
        <v>FOR</v>
      </c>
      <c r="O6836" t="s">
        <v>69</v>
      </c>
      <c r="P6836" s="3" t="s">
        <v>75</v>
      </c>
      <c r="Q6836">
        <v>2015</v>
      </c>
      <c r="R6836" s="2">
        <v>42194</v>
      </c>
      <c r="S6836" s="2">
        <v>42198</v>
      </c>
      <c r="T6836" s="2">
        <v>42196</v>
      </c>
      <c r="U6836" s="2">
        <v>42256</v>
      </c>
      <c r="V6836" t="s">
        <v>71</v>
      </c>
      <c r="W6836" t="str">
        <f>"            25257133"</f>
        <v xml:space="preserve">            25257133</v>
      </c>
      <c r="X6836">
        <v>252.72</v>
      </c>
      <c r="Y6836">
        <v>0</v>
      </c>
      <c r="Z6836"/>
      <c r="AB6836"/>
      <c r="AC6836">
        <v>243</v>
      </c>
      <c r="AD6836">
        <v>321</v>
      </c>
      <c r="AE6836" s="1">
        <v>78003</v>
      </c>
      <c r="AF6836">
        <v>0</v>
      </c>
      <c r="AJ6836">
        <v>0</v>
      </c>
      <c r="AK6836">
        <v>0</v>
      </c>
      <c r="AL6836">
        <v>0</v>
      </c>
      <c r="AM6836">
        <v>0</v>
      </c>
      <c r="AN6836">
        <v>0</v>
      </c>
      <c r="AO6836">
        <v>0</v>
      </c>
      <c r="AP6836" s="2">
        <v>42746</v>
      </c>
      <c r="AQ6836" t="s">
        <v>72</v>
      </c>
      <c r="AR6836" t="s">
        <v>72</v>
      </c>
      <c r="AS6836">
        <v>1938</v>
      </c>
      <c r="AT6836" s="4">
        <v>42577</v>
      </c>
      <c r="AU6836" t="s">
        <v>73</v>
      </c>
      <c r="AV6836">
        <v>1938</v>
      </c>
      <c r="AW6836" s="4">
        <v>42577</v>
      </c>
      <c r="BD6836">
        <v>0</v>
      </c>
      <c r="BN6836" t="s">
        <v>74</v>
      </c>
    </row>
    <row r="6837" spans="1:66" hidden="1">
      <c r="A6837">
        <v>104093</v>
      </c>
      <c r="B6837" s="3" t="s">
        <v>609</v>
      </c>
      <c r="C6837" s="1">
        <v>43300101</v>
      </c>
      <c r="D6837" t="s">
        <v>67</v>
      </c>
      <c r="H6837" t="str">
        <f t="shared" si="681"/>
        <v>12572900152</v>
      </c>
      <c r="I6837" t="str">
        <f t="shared" si="682"/>
        <v>06032681006</v>
      </c>
      <c r="K6837" t="str">
        <f>""</f>
        <v/>
      </c>
      <c r="M6837" t="s">
        <v>68</v>
      </c>
      <c r="N6837" t="str">
        <f t="shared" si="680"/>
        <v>FOR</v>
      </c>
      <c r="O6837" t="s">
        <v>69</v>
      </c>
      <c r="P6837" s="3" t="s">
        <v>75</v>
      </c>
      <c r="Q6837">
        <v>2015</v>
      </c>
      <c r="R6837" s="2">
        <v>42198</v>
      </c>
      <c r="S6837" s="2">
        <v>42202</v>
      </c>
      <c r="T6837" s="2">
        <v>42199</v>
      </c>
      <c r="U6837" s="2">
        <v>42259</v>
      </c>
      <c r="V6837" t="s">
        <v>71</v>
      </c>
      <c r="W6837" t="str">
        <f>"            25257577"</f>
        <v xml:space="preserve">            25257577</v>
      </c>
      <c r="X6837">
        <v>74.88</v>
      </c>
      <c r="Y6837">
        <v>0</v>
      </c>
      <c r="Z6837"/>
      <c r="AB6837"/>
      <c r="AC6837">
        <v>72</v>
      </c>
      <c r="AD6837">
        <v>318</v>
      </c>
      <c r="AE6837" s="1">
        <v>22896</v>
      </c>
      <c r="AF6837">
        <v>0</v>
      </c>
      <c r="AJ6837">
        <v>0</v>
      </c>
      <c r="AK6837">
        <v>0</v>
      </c>
      <c r="AL6837">
        <v>0</v>
      </c>
      <c r="AM6837">
        <v>0</v>
      </c>
      <c r="AN6837">
        <v>0</v>
      </c>
      <c r="AO6837">
        <v>0</v>
      </c>
      <c r="AP6837" s="2">
        <v>42746</v>
      </c>
      <c r="AQ6837" t="s">
        <v>72</v>
      </c>
      <c r="AR6837" t="s">
        <v>72</v>
      </c>
      <c r="AS6837">
        <v>1938</v>
      </c>
      <c r="AT6837" s="4">
        <v>42577</v>
      </c>
      <c r="AU6837" t="s">
        <v>73</v>
      </c>
      <c r="AV6837">
        <v>1938</v>
      </c>
      <c r="AW6837" s="4">
        <v>42577</v>
      </c>
      <c r="BD6837">
        <v>0</v>
      </c>
      <c r="BN6837" t="s">
        <v>74</v>
      </c>
    </row>
    <row r="6838" spans="1:66" hidden="1">
      <c r="A6838">
        <v>104093</v>
      </c>
      <c r="B6838" s="3" t="s">
        <v>609</v>
      </c>
      <c r="C6838" s="1">
        <v>43300101</v>
      </c>
      <c r="D6838" t="s">
        <v>67</v>
      </c>
      <c r="H6838" t="str">
        <f t="shared" si="681"/>
        <v>12572900152</v>
      </c>
      <c r="I6838" t="str">
        <f t="shared" si="682"/>
        <v>06032681006</v>
      </c>
      <c r="K6838" t="str">
        <f>""</f>
        <v/>
      </c>
      <c r="M6838" t="s">
        <v>68</v>
      </c>
      <c r="N6838" t="str">
        <f t="shared" si="680"/>
        <v>FOR</v>
      </c>
      <c r="O6838" t="s">
        <v>69</v>
      </c>
      <c r="P6838" s="3" t="s">
        <v>75</v>
      </c>
      <c r="Q6838">
        <v>2015</v>
      </c>
      <c r="R6838" s="2">
        <v>42198</v>
      </c>
      <c r="S6838" s="2">
        <v>42202</v>
      </c>
      <c r="T6838" s="2">
        <v>42199</v>
      </c>
      <c r="U6838" s="2">
        <v>42259</v>
      </c>
      <c r="V6838" t="s">
        <v>71</v>
      </c>
      <c r="W6838" t="str">
        <f>"            25257579"</f>
        <v xml:space="preserve">            25257579</v>
      </c>
      <c r="X6838">
        <v>74.88</v>
      </c>
      <c r="Y6838">
        <v>0</v>
      </c>
      <c r="Z6838"/>
      <c r="AB6838"/>
      <c r="AC6838">
        <v>72</v>
      </c>
      <c r="AD6838">
        <v>318</v>
      </c>
      <c r="AE6838" s="1">
        <v>22896</v>
      </c>
      <c r="AF6838">
        <v>0</v>
      </c>
      <c r="AJ6838">
        <v>0</v>
      </c>
      <c r="AK6838">
        <v>0</v>
      </c>
      <c r="AL6838">
        <v>0</v>
      </c>
      <c r="AM6838">
        <v>0</v>
      </c>
      <c r="AN6838">
        <v>0</v>
      </c>
      <c r="AO6838">
        <v>0</v>
      </c>
      <c r="AP6838" s="2">
        <v>42746</v>
      </c>
      <c r="AQ6838" t="s">
        <v>72</v>
      </c>
      <c r="AR6838" t="s">
        <v>72</v>
      </c>
      <c r="AS6838">
        <v>1938</v>
      </c>
      <c r="AT6838" s="4">
        <v>42577</v>
      </c>
      <c r="AU6838" t="s">
        <v>73</v>
      </c>
      <c r="AV6838">
        <v>1938</v>
      </c>
      <c r="AW6838" s="4">
        <v>42577</v>
      </c>
      <c r="BD6838">
        <v>0</v>
      </c>
      <c r="BN6838" t="s">
        <v>74</v>
      </c>
    </row>
    <row r="6839" spans="1:66" hidden="1">
      <c r="A6839">
        <v>104093</v>
      </c>
      <c r="B6839" s="3" t="s">
        <v>609</v>
      </c>
      <c r="C6839" s="1">
        <v>43300101</v>
      </c>
      <c r="D6839" t="s">
        <v>67</v>
      </c>
      <c r="H6839" t="str">
        <f t="shared" si="681"/>
        <v>12572900152</v>
      </c>
      <c r="I6839" t="str">
        <f t="shared" si="682"/>
        <v>06032681006</v>
      </c>
      <c r="K6839" t="str">
        <f>""</f>
        <v/>
      </c>
      <c r="M6839" t="s">
        <v>68</v>
      </c>
      <c r="N6839" t="str">
        <f t="shared" si="680"/>
        <v>FOR</v>
      </c>
      <c r="O6839" t="s">
        <v>69</v>
      </c>
      <c r="P6839" s="3" t="s">
        <v>75</v>
      </c>
      <c r="Q6839">
        <v>2015</v>
      </c>
      <c r="R6839" s="2">
        <v>42198</v>
      </c>
      <c r="S6839" s="2">
        <v>42202</v>
      </c>
      <c r="T6839" s="2">
        <v>42199</v>
      </c>
      <c r="U6839" s="2">
        <v>42259</v>
      </c>
      <c r="V6839" t="s">
        <v>71</v>
      </c>
      <c r="W6839" t="str">
        <f>"            25257582"</f>
        <v xml:space="preserve">            25257582</v>
      </c>
      <c r="X6839">
        <v>74.88</v>
      </c>
      <c r="Y6839">
        <v>0</v>
      </c>
      <c r="Z6839"/>
      <c r="AB6839"/>
      <c r="AC6839">
        <v>72</v>
      </c>
      <c r="AD6839">
        <v>318</v>
      </c>
      <c r="AE6839" s="1">
        <v>22896</v>
      </c>
      <c r="AF6839">
        <v>0</v>
      </c>
      <c r="AJ6839">
        <v>0</v>
      </c>
      <c r="AK6839">
        <v>0</v>
      </c>
      <c r="AL6839">
        <v>0</v>
      </c>
      <c r="AM6839">
        <v>0</v>
      </c>
      <c r="AN6839">
        <v>0</v>
      </c>
      <c r="AO6839">
        <v>0</v>
      </c>
      <c r="AP6839" s="2">
        <v>42746</v>
      </c>
      <c r="AQ6839" t="s">
        <v>72</v>
      </c>
      <c r="AR6839" t="s">
        <v>72</v>
      </c>
      <c r="AS6839">
        <v>1938</v>
      </c>
      <c r="AT6839" s="4">
        <v>42577</v>
      </c>
      <c r="AU6839" t="s">
        <v>73</v>
      </c>
      <c r="AV6839">
        <v>1938</v>
      </c>
      <c r="AW6839" s="4">
        <v>42577</v>
      </c>
      <c r="BD6839">
        <v>0</v>
      </c>
      <c r="BN6839" t="s">
        <v>74</v>
      </c>
    </row>
    <row r="6840" spans="1:66" hidden="1">
      <c r="A6840">
        <v>104093</v>
      </c>
      <c r="B6840" s="3" t="s">
        <v>609</v>
      </c>
      <c r="C6840" s="1">
        <v>43300101</v>
      </c>
      <c r="D6840" t="s">
        <v>67</v>
      </c>
      <c r="H6840" t="str">
        <f t="shared" si="681"/>
        <v>12572900152</v>
      </c>
      <c r="I6840" t="str">
        <f t="shared" si="682"/>
        <v>06032681006</v>
      </c>
      <c r="K6840" t="str">
        <f>""</f>
        <v/>
      </c>
      <c r="M6840" t="s">
        <v>68</v>
      </c>
      <c r="N6840" t="str">
        <f t="shared" si="680"/>
        <v>FOR</v>
      </c>
      <c r="O6840" t="s">
        <v>69</v>
      </c>
      <c r="P6840" s="3" t="s">
        <v>75</v>
      </c>
      <c r="Q6840">
        <v>2015</v>
      </c>
      <c r="R6840" s="2">
        <v>42198</v>
      </c>
      <c r="S6840" s="2">
        <v>42202</v>
      </c>
      <c r="T6840" s="2">
        <v>42199</v>
      </c>
      <c r="U6840" s="2">
        <v>42259</v>
      </c>
      <c r="V6840" t="s">
        <v>71</v>
      </c>
      <c r="W6840" t="str">
        <f>"            25257585"</f>
        <v xml:space="preserve">            25257585</v>
      </c>
      <c r="X6840">
        <v>74.88</v>
      </c>
      <c r="Y6840">
        <v>0</v>
      </c>
      <c r="Z6840"/>
      <c r="AB6840"/>
      <c r="AC6840">
        <v>72</v>
      </c>
      <c r="AD6840">
        <v>318</v>
      </c>
      <c r="AE6840" s="1">
        <v>22896</v>
      </c>
      <c r="AF6840">
        <v>0</v>
      </c>
      <c r="AJ6840">
        <v>0</v>
      </c>
      <c r="AK6840">
        <v>0</v>
      </c>
      <c r="AL6840">
        <v>0</v>
      </c>
      <c r="AM6840">
        <v>0</v>
      </c>
      <c r="AN6840">
        <v>0</v>
      </c>
      <c r="AO6840">
        <v>0</v>
      </c>
      <c r="AP6840" s="2">
        <v>42746</v>
      </c>
      <c r="AQ6840" t="s">
        <v>72</v>
      </c>
      <c r="AR6840" t="s">
        <v>72</v>
      </c>
      <c r="AS6840">
        <v>1938</v>
      </c>
      <c r="AT6840" s="4">
        <v>42577</v>
      </c>
      <c r="AU6840" t="s">
        <v>73</v>
      </c>
      <c r="AV6840">
        <v>1938</v>
      </c>
      <c r="AW6840" s="4">
        <v>42577</v>
      </c>
      <c r="BD6840">
        <v>0</v>
      </c>
      <c r="BN6840" t="s">
        <v>74</v>
      </c>
    </row>
    <row r="6841" spans="1:66" hidden="1">
      <c r="A6841">
        <v>104093</v>
      </c>
      <c r="B6841" s="3" t="s">
        <v>609</v>
      </c>
      <c r="C6841" s="1">
        <v>43300101</v>
      </c>
      <c r="D6841" t="s">
        <v>67</v>
      </c>
      <c r="H6841" t="str">
        <f t="shared" si="681"/>
        <v>12572900152</v>
      </c>
      <c r="I6841" t="str">
        <f t="shared" si="682"/>
        <v>06032681006</v>
      </c>
      <c r="K6841" t="str">
        <f>""</f>
        <v/>
      </c>
      <c r="M6841" t="s">
        <v>68</v>
      </c>
      <c r="N6841" t="str">
        <f t="shared" si="680"/>
        <v>FOR</v>
      </c>
      <c r="O6841" t="s">
        <v>69</v>
      </c>
      <c r="P6841" s="3" t="s">
        <v>75</v>
      </c>
      <c r="Q6841">
        <v>2015</v>
      </c>
      <c r="R6841" s="2">
        <v>42202</v>
      </c>
      <c r="S6841" s="2">
        <v>42206</v>
      </c>
      <c r="T6841" s="2">
        <v>42205</v>
      </c>
      <c r="U6841" s="2">
        <v>42265</v>
      </c>
      <c r="V6841" t="s">
        <v>71</v>
      </c>
      <c r="W6841" t="str">
        <f>"            25258604"</f>
        <v xml:space="preserve">            25258604</v>
      </c>
      <c r="X6841" s="1">
        <v>3157.44</v>
      </c>
      <c r="Y6841">
        <v>0</v>
      </c>
      <c r="Z6841"/>
      <c r="AB6841"/>
      <c r="AC6841" s="1">
        <v>3036</v>
      </c>
      <c r="AD6841">
        <v>312</v>
      </c>
      <c r="AE6841" s="1">
        <v>947232</v>
      </c>
      <c r="AF6841">
        <v>0</v>
      </c>
      <c r="AJ6841">
        <v>0</v>
      </c>
      <c r="AK6841">
        <v>0</v>
      </c>
      <c r="AL6841">
        <v>0</v>
      </c>
      <c r="AM6841">
        <v>0</v>
      </c>
      <c r="AN6841">
        <v>0</v>
      </c>
      <c r="AO6841">
        <v>0</v>
      </c>
      <c r="AP6841" s="2">
        <v>42746</v>
      </c>
      <c r="AQ6841" t="s">
        <v>72</v>
      </c>
      <c r="AR6841" t="s">
        <v>72</v>
      </c>
      <c r="AS6841">
        <v>1938</v>
      </c>
      <c r="AT6841" s="4">
        <v>42577</v>
      </c>
      <c r="AU6841" t="s">
        <v>73</v>
      </c>
      <c r="AV6841">
        <v>1938</v>
      </c>
      <c r="AW6841" s="4">
        <v>42577</v>
      </c>
      <c r="BD6841">
        <v>0</v>
      </c>
      <c r="BN6841" t="s">
        <v>74</v>
      </c>
    </row>
    <row r="6842" spans="1:66" hidden="1">
      <c r="A6842">
        <v>104093</v>
      </c>
      <c r="B6842" s="3" t="s">
        <v>609</v>
      </c>
      <c r="C6842" s="1">
        <v>43300101</v>
      </c>
      <c r="D6842" t="s">
        <v>67</v>
      </c>
      <c r="H6842" t="str">
        <f t="shared" si="681"/>
        <v>12572900152</v>
      </c>
      <c r="I6842" t="str">
        <f t="shared" si="682"/>
        <v>06032681006</v>
      </c>
      <c r="K6842" t="str">
        <f>""</f>
        <v/>
      </c>
      <c r="M6842" t="s">
        <v>68</v>
      </c>
      <c r="N6842" t="str">
        <f t="shared" si="680"/>
        <v>FOR</v>
      </c>
      <c r="O6842" t="s">
        <v>69</v>
      </c>
      <c r="P6842" s="3" t="s">
        <v>75</v>
      </c>
      <c r="Q6842">
        <v>2015</v>
      </c>
      <c r="R6842" s="2">
        <v>42202</v>
      </c>
      <c r="S6842" s="2">
        <v>42206</v>
      </c>
      <c r="T6842" s="2">
        <v>42205</v>
      </c>
      <c r="U6842" s="2">
        <v>42265</v>
      </c>
      <c r="V6842" t="s">
        <v>71</v>
      </c>
      <c r="W6842" t="str">
        <f>"            25258605"</f>
        <v xml:space="preserve">            25258605</v>
      </c>
      <c r="X6842" s="1">
        <v>5160.6000000000004</v>
      </c>
      <c r="Y6842">
        <v>0</v>
      </c>
      <c r="Z6842"/>
      <c r="AB6842"/>
      <c r="AC6842" s="1">
        <v>4230</v>
      </c>
      <c r="AD6842">
        <v>312</v>
      </c>
      <c r="AE6842" s="1">
        <v>1319760</v>
      </c>
      <c r="AF6842">
        <v>0</v>
      </c>
      <c r="AJ6842">
        <v>0</v>
      </c>
      <c r="AK6842">
        <v>0</v>
      </c>
      <c r="AL6842">
        <v>0</v>
      </c>
      <c r="AM6842">
        <v>0</v>
      </c>
      <c r="AN6842">
        <v>0</v>
      </c>
      <c r="AO6842">
        <v>0</v>
      </c>
      <c r="AP6842" s="2">
        <v>42746</v>
      </c>
      <c r="AQ6842" t="s">
        <v>72</v>
      </c>
      <c r="AR6842" t="s">
        <v>72</v>
      </c>
      <c r="AS6842">
        <v>1938</v>
      </c>
      <c r="AT6842" s="4">
        <v>42577</v>
      </c>
      <c r="AU6842" t="s">
        <v>73</v>
      </c>
      <c r="AV6842">
        <v>1938</v>
      </c>
      <c r="AW6842" s="4">
        <v>42577</v>
      </c>
      <c r="BD6842">
        <v>0</v>
      </c>
      <c r="BN6842" t="s">
        <v>74</v>
      </c>
    </row>
    <row r="6843" spans="1:66" hidden="1">
      <c r="A6843">
        <v>104093</v>
      </c>
      <c r="B6843" s="3" t="s">
        <v>609</v>
      </c>
      <c r="C6843" s="1">
        <v>43300101</v>
      </c>
      <c r="D6843" t="s">
        <v>67</v>
      </c>
      <c r="H6843" t="str">
        <f t="shared" si="681"/>
        <v>12572900152</v>
      </c>
      <c r="I6843" t="str">
        <f t="shared" si="682"/>
        <v>06032681006</v>
      </c>
      <c r="K6843" t="str">
        <f>""</f>
        <v/>
      </c>
      <c r="M6843" t="s">
        <v>68</v>
      </c>
      <c r="N6843" t="str">
        <f t="shared" si="680"/>
        <v>FOR</v>
      </c>
      <c r="O6843" t="s">
        <v>69</v>
      </c>
      <c r="P6843" s="3" t="s">
        <v>75</v>
      </c>
      <c r="Q6843">
        <v>2015</v>
      </c>
      <c r="R6843" s="2">
        <v>42206</v>
      </c>
      <c r="S6843" s="2">
        <v>42212</v>
      </c>
      <c r="T6843" s="2">
        <v>42212</v>
      </c>
      <c r="U6843" s="2">
        <v>42272</v>
      </c>
      <c r="V6843" t="s">
        <v>71</v>
      </c>
      <c r="W6843" t="str">
        <f>"            25258908"</f>
        <v xml:space="preserve">            25258908</v>
      </c>
      <c r="X6843">
        <v>936</v>
      </c>
      <c r="Y6843">
        <v>0</v>
      </c>
      <c r="Z6843"/>
      <c r="AB6843"/>
      <c r="AC6843">
        <v>900</v>
      </c>
      <c r="AD6843">
        <v>305</v>
      </c>
      <c r="AE6843" s="1">
        <v>274500</v>
      </c>
      <c r="AF6843">
        <v>0</v>
      </c>
      <c r="AJ6843">
        <v>0</v>
      </c>
      <c r="AK6843">
        <v>0</v>
      </c>
      <c r="AL6843">
        <v>0</v>
      </c>
      <c r="AM6843">
        <v>0</v>
      </c>
      <c r="AN6843">
        <v>0</v>
      </c>
      <c r="AO6843">
        <v>0</v>
      </c>
      <c r="AP6843" s="2">
        <v>42746</v>
      </c>
      <c r="AQ6843" t="s">
        <v>72</v>
      </c>
      <c r="AR6843" t="s">
        <v>72</v>
      </c>
      <c r="AS6843">
        <v>1938</v>
      </c>
      <c r="AT6843" s="4">
        <v>42577</v>
      </c>
      <c r="AU6843" t="s">
        <v>73</v>
      </c>
      <c r="AV6843">
        <v>1938</v>
      </c>
      <c r="AW6843" s="4">
        <v>42577</v>
      </c>
      <c r="BD6843">
        <v>0</v>
      </c>
      <c r="BN6843" t="s">
        <v>74</v>
      </c>
    </row>
    <row r="6844" spans="1:66" hidden="1">
      <c r="A6844">
        <v>104093</v>
      </c>
      <c r="B6844" s="3" t="s">
        <v>609</v>
      </c>
      <c r="C6844" s="1">
        <v>43300101</v>
      </c>
      <c r="D6844" t="s">
        <v>67</v>
      </c>
      <c r="H6844" t="str">
        <f t="shared" si="681"/>
        <v>12572900152</v>
      </c>
      <c r="I6844" t="str">
        <f t="shared" si="682"/>
        <v>06032681006</v>
      </c>
      <c r="K6844" t="str">
        <f>""</f>
        <v/>
      </c>
      <c r="M6844" t="s">
        <v>68</v>
      </c>
      <c r="N6844" t="str">
        <f t="shared" si="680"/>
        <v>FOR</v>
      </c>
      <c r="O6844" t="s">
        <v>69</v>
      </c>
      <c r="P6844" s="3" t="s">
        <v>75</v>
      </c>
      <c r="Q6844">
        <v>2015</v>
      </c>
      <c r="R6844" s="2">
        <v>42213</v>
      </c>
      <c r="S6844" s="2">
        <v>42215</v>
      </c>
      <c r="T6844" s="2">
        <v>42214</v>
      </c>
      <c r="U6844" s="2">
        <v>42274</v>
      </c>
      <c r="V6844" t="s">
        <v>71</v>
      </c>
      <c r="W6844" t="str">
        <f>"            25259933"</f>
        <v xml:space="preserve">            25259933</v>
      </c>
      <c r="X6844">
        <v>252.72</v>
      </c>
      <c r="Y6844">
        <v>0</v>
      </c>
      <c r="Z6844"/>
      <c r="AB6844"/>
      <c r="AC6844">
        <v>243</v>
      </c>
      <c r="AD6844">
        <v>303</v>
      </c>
      <c r="AE6844" s="1">
        <v>73629</v>
      </c>
      <c r="AF6844">
        <v>0</v>
      </c>
      <c r="AJ6844">
        <v>0</v>
      </c>
      <c r="AK6844">
        <v>0</v>
      </c>
      <c r="AL6844">
        <v>0</v>
      </c>
      <c r="AM6844">
        <v>0</v>
      </c>
      <c r="AN6844">
        <v>0</v>
      </c>
      <c r="AO6844">
        <v>0</v>
      </c>
      <c r="AP6844" s="2">
        <v>42746</v>
      </c>
      <c r="AQ6844" t="s">
        <v>72</v>
      </c>
      <c r="AR6844" t="s">
        <v>72</v>
      </c>
      <c r="AS6844">
        <v>1938</v>
      </c>
      <c r="AT6844" s="4">
        <v>42577</v>
      </c>
      <c r="AU6844" t="s">
        <v>73</v>
      </c>
      <c r="AV6844">
        <v>1938</v>
      </c>
      <c r="AW6844" s="4">
        <v>42577</v>
      </c>
      <c r="BD6844">
        <v>0</v>
      </c>
      <c r="BN6844" t="s">
        <v>74</v>
      </c>
    </row>
    <row r="6845" spans="1:66" hidden="1">
      <c r="A6845">
        <v>104093</v>
      </c>
      <c r="B6845" s="3" t="s">
        <v>609</v>
      </c>
      <c r="C6845" s="1">
        <v>43300101</v>
      </c>
      <c r="D6845" t="s">
        <v>67</v>
      </c>
      <c r="H6845" t="str">
        <f t="shared" si="681"/>
        <v>12572900152</v>
      </c>
      <c r="I6845" t="str">
        <f t="shared" si="682"/>
        <v>06032681006</v>
      </c>
      <c r="K6845" t="str">
        <f>""</f>
        <v/>
      </c>
      <c r="M6845" t="s">
        <v>68</v>
      </c>
      <c r="N6845" t="str">
        <f t="shared" si="680"/>
        <v>FOR</v>
      </c>
      <c r="O6845" t="s">
        <v>69</v>
      </c>
      <c r="P6845" s="3" t="s">
        <v>75</v>
      </c>
      <c r="Q6845">
        <v>2015</v>
      </c>
      <c r="R6845" s="2">
        <v>42213</v>
      </c>
      <c r="S6845" s="2">
        <v>42215</v>
      </c>
      <c r="T6845" s="2">
        <v>42214</v>
      </c>
      <c r="U6845" s="2">
        <v>42274</v>
      </c>
      <c r="V6845" t="s">
        <v>71</v>
      </c>
      <c r="W6845" t="str">
        <f>"            25259935"</f>
        <v xml:space="preserve">            25259935</v>
      </c>
      <c r="X6845">
        <v>707.62</v>
      </c>
      <c r="Y6845">
        <v>0</v>
      </c>
      <c r="Z6845"/>
      <c r="AB6845"/>
      <c r="AC6845">
        <v>680.4</v>
      </c>
      <c r="AD6845">
        <v>303</v>
      </c>
      <c r="AE6845" s="1">
        <v>206161.2</v>
      </c>
      <c r="AF6845">
        <v>0</v>
      </c>
      <c r="AJ6845">
        <v>0</v>
      </c>
      <c r="AK6845">
        <v>0</v>
      </c>
      <c r="AL6845">
        <v>0</v>
      </c>
      <c r="AM6845">
        <v>0</v>
      </c>
      <c r="AN6845">
        <v>0</v>
      </c>
      <c r="AO6845">
        <v>0</v>
      </c>
      <c r="AP6845" s="2">
        <v>42746</v>
      </c>
      <c r="AQ6845" t="s">
        <v>72</v>
      </c>
      <c r="AR6845" t="s">
        <v>72</v>
      </c>
      <c r="AS6845">
        <v>1938</v>
      </c>
      <c r="AT6845" s="4">
        <v>42577</v>
      </c>
      <c r="AU6845" t="s">
        <v>73</v>
      </c>
      <c r="AV6845">
        <v>1938</v>
      </c>
      <c r="AW6845" s="4">
        <v>42577</v>
      </c>
      <c r="BD6845">
        <v>0</v>
      </c>
      <c r="BN6845" t="s">
        <v>74</v>
      </c>
    </row>
    <row r="6846" spans="1:66" hidden="1">
      <c r="A6846">
        <v>104093</v>
      </c>
      <c r="B6846" s="3" t="s">
        <v>609</v>
      </c>
      <c r="C6846" s="1">
        <v>43300101</v>
      </c>
      <c r="D6846" t="s">
        <v>67</v>
      </c>
      <c r="H6846" t="str">
        <f t="shared" si="681"/>
        <v>12572900152</v>
      </c>
      <c r="I6846" t="str">
        <f t="shared" si="682"/>
        <v>06032681006</v>
      </c>
      <c r="K6846" t="str">
        <f>""</f>
        <v/>
      </c>
      <c r="M6846" t="s">
        <v>68</v>
      </c>
      <c r="N6846" t="str">
        <f t="shared" si="680"/>
        <v>FOR</v>
      </c>
      <c r="O6846" t="s">
        <v>69</v>
      </c>
      <c r="P6846" s="3" t="s">
        <v>75</v>
      </c>
      <c r="Q6846">
        <v>2015</v>
      </c>
      <c r="R6846" s="2">
        <v>42213</v>
      </c>
      <c r="S6846" s="2">
        <v>42215</v>
      </c>
      <c r="T6846" s="2">
        <v>42214</v>
      </c>
      <c r="U6846" s="2">
        <v>42274</v>
      </c>
      <c r="V6846" t="s">
        <v>71</v>
      </c>
      <c r="W6846" t="str">
        <f>"            25259936"</f>
        <v xml:space="preserve">            25259936</v>
      </c>
      <c r="X6846">
        <v>74.88</v>
      </c>
      <c r="Y6846">
        <v>0</v>
      </c>
      <c r="Z6846"/>
      <c r="AB6846"/>
      <c r="AC6846">
        <v>72</v>
      </c>
      <c r="AD6846">
        <v>303</v>
      </c>
      <c r="AE6846" s="1">
        <v>21816</v>
      </c>
      <c r="AF6846">
        <v>0</v>
      </c>
      <c r="AJ6846">
        <v>0</v>
      </c>
      <c r="AK6846">
        <v>0</v>
      </c>
      <c r="AL6846">
        <v>0</v>
      </c>
      <c r="AM6846">
        <v>0</v>
      </c>
      <c r="AN6846">
        <v>0</v>
      </c>
      <c r="AO6846">
        <v>0</v>
      </c>
      <c r="AP6846" s="2">
        <v>42746</v>
      </c>
      <c r="AQ6846" t="s">
        <v>72</v>
      </c>
      <c r="AR6846" t="s">
        <v>72</v>
      </c>
      <c r="AS6846">
        <v>1938</v>
      </c>
      <c r="AT6846" s="4">
        <v>42577</v>
      </c>
      <c r="AU6846" t="s">
        <v>73</v>
      </c>
      <c r="AV6846">
        <v>1938</v>
      </c>
      <c r="AW6846" s="4">
        <v>42577</v>
      </c>
      <c r="BD6846">
        <v>0</v>
      </c>
      <c r="BN6846" t="s">
        <v>74</v>
      </c>
    </row>
    <row r="6847" spans="1:66" hidden="1">
      <c r="A6847">
        <v>104093</v>
      </c>
      <c r="B6847" s="3" t="s">
        <v>609</v>
      </c>
      <c r="C6847" s="1">
        <v>43300101</v>
      </c>
      <c r="D6847" t="s">
        <v>67</v>
      </c>
      <c r="H6847" t="str">
        <f t="shared" si="681"/>
        <v>12572900152</v>
      </c>
      <c r="I6847" t="str">
        <f t="shared" si="682"/>
        <v>06032681006</v>
      </c>
      <c r="K6847" t="str">
        <f>""</f>
        <v/>
      </c>
      <c r="M6847" t="s">
        <v>68</v>
      </c>
      <c r="N6847" t="str">
        <f t="shared" si="680"/>
        <v>FOR</v>
      </c>
      <c r="O6847" t="s">
        <v>69</v>
      </c>
      <c r="P6847" s="3" t="s">
        <v>75</v>
      </c>
      <c r="Q6847">
        <v>2015</v>
      </c>
      <c r="R6847" s="2">
        <v>42213</v>
      </c>
      <c r="S6847" s="2">
        <v>42215</v>
      </c>
      <c r="T6847" s="2">
        <v>42214</v>
      </c>
      <c r="U6847" s="2">
        <v>42274</v>
      </c>
      <c r="V6847" t="s">
        <v>71</v>
      </c>
      <c r="W6847" t="str">
        <f>"            25259938"</f>
        <v xml:space="preserve">            25259938</v>
      </c>
      <c r="X6847">
        <v>74.88</v>
      </c>
      <c r="Y6847">
        <v>0</v>
      </c>
      <c r="Z6847"/>
      <c r="AB6847"/>
      <c r="AC6847">
        <v>72</v>
      </c>
      <c r="AD6847">
        <v>303</v>
      </c>
      <c r="AE6847" s="1">
        <v>21816</v>
      </c>
      <c r="AF6847">
        <v>0</v>
      </c>
      <c r="AJ6847">
        <v>0</v>
      </c>
      <c r="AK6847">
        <v>0</v>
      </c>
      <c r="AL6847">
        <v>0</v>
      </c>
      <c r="AM6847">
        <v>0</v>
      </c>
      <c r="AN6847">
        <v>0</v>
      </c>
      <c r="AO6847">
        <v>0</v>
      </c>
      <c r="AP6847" s="2">
        <v>42746</v>
      </c>
      <c r="AQ6847" t="s">
        <v>72</v>
      </c>
      <c r="AR6847" t="s">
        <v>72</v>
      </c>
      <c r="AS6847">
        <v>1938</v>
      </c>
      <c r="AT6847" s="4">
        <v>42577</v>
      </c>
      <c r="AU6847" t="s">
        <v>73</v>
      </c>
      <c r="AV6847">
        <v>1938</v>
      </c>
      <c r="AW6847" s="4">
        <v>42577</v>
      </c>
      <c r="BD6847">
        <v>0</v>
      </c>
      <c r="BN6847" t="s">
        <v>74</v>
      </c>
    </row>
    <row r="6848" spans="1:66" hidden="1">
      <c r="A6848">
        <v>104093</v>
      </c>
      <c r="B6848" s="3" t="s">
        <v>609</v>
      </c>
      <c r="C6848" s="1">
        <v>43300101</v>
      </c>
      <c r="D6848" t="s">
        <v>67</v>
      </c>
      <c r="H6848" t="str">
        <f t="shared" si="681"/>
        <v>12572900152</v>
      </c>
      <c r="I6848" t="str">
        <f t="shared" si="682"/>
        <v>06032681006</v>
      </c>
      <c r="K6848" t="str">
        <f>""</f>
        <v/>
      </c>
      <c r="M6848" t="s">
        <v>68</v>
      </c>
      <c r="N6848" t="str">
        <f t="shared" ref="N6848:N6911" si="683">"FOR"</f>
        <v>FOR</v>
      </c>
      <c r="O6848" t="s">
        <v>69</v>
      </c>
      <c r="P6848" s="3" t="s">
        <v>75</v>
      </c>
      <c r="Q6848">
        <v>2015</v>
      </c>
      <c r="R6848" s="2">
        <v>42213</v>
      </c>
      <c r="S6848" s="2">
        <v>42215</v>
      </c>
      <c r="T6848" s="2">
        <v>42214</v>
      </c>
      <c r="U6848" s="2">
        <v>42274</v>
      </c>
      <c r="V6848" t="s">
        <v>71</v>
      </c>
      <c r="W6848" t="str">
        <f>"            25259940"</f>
        <v xml:space="preserve">            25259940</v>
      </c>
      <c r="X6848">
        <v>926.64</v>
      </c>
      <c r="Y6848">
        <v>0</v>
      </c>
      <c r="Z6848"/>
      <c r="AB6848"/>
      <c r="AC6848">
        <v>891</v>
      </c>
      <c r="AD6848">
        <v>303</v>
      </c>
      <c r="AE6848" s="1">
        <v>269973</v>
      </c>
      <c r="AF6848">
        <v>0</v>
      </c>
      <c r="AJ6848">
        <v>0</v>
      </c>
      <c r="AK6848">
        <v>0</v>
      </c>
      <c r="AL6848">
        <v>0</v>
      </c>
      <c r="AM6848">
        <v>0</v>
      </c>
      <c r="AN6848">
        <v>0</v>
      </c>
      <c r="AO6848">
        <v>0</v>
      </c>
      <c r="AP6848" s="2">
        <v>42746</v>
      </c>
      <c r="AQ6848" t="s">
        <v>72</v>
      </c>
      <c r="AR6848" t="s">
        <v>72</v>
      </c>
      <c r="AS6848">
        <v>1938</v>
      </c>
      <c r="AT6848" s="4">
        <v>42577</v>
      </c>
      <c r="AU6848" t="s">
        <v>73</v>
      </c>
      <c r="AV6848">
        <v>1938</v>
      </c>
      <c r="AW6848" s="4">
        <v>42577</v>
      </c>
      <c r="BD6848">
        <v>0</v>
      </c>
      <c r="BN6848" t="s">
        <v>74</v>
      </c>
    </row>
    <row r="6849" spans="1:66" hidden="1">
      <c r="A6849">
        <v>104093</v>
      </c>
      <c r="B6849" s="3" t="s">
        <v>609</v>
      </c>
      <c r="C6849" s="1">
        <v>43300101</v>
      </c>
      <c r="D6849" t="s">
        <v>67</v>
      </c>
      <c r="H6849" t="str">
        <f t="shared" si="681"/>
        <v>12572900152</v>
      </c>
      <c r="I6849" t="str">
        <f t="shared" si="682"/>
        <v>06032681006</v>
      </c>
      <c r="K6849" t="str">
        <f>""</f>
        <v/>
      </c>
      <c r="M6849" t="s">
        <v>68</v>
      </c>
      <c r="N6849" t="str">
        <f t="shared" si="683"/>
        <v>FOR</v>
      </c>
      <c r="O6849" t="s">
        <v>69</v>
      </c>
      <c r="P6849" s="3" t="s">
        <v>75</v>
      </c>
      <c r="Q6849">
        <v>2015</v>
      </c>
      <c r="R6849" s="2">
        <v>42215</v>
      </c>
      <c r="S6849" s="2">
        <v>42217</v>
      </c>
      <c r="T6849" s="2">
        <v>42216</v>
      </c>
      <c r="U6849" s="2">
        <v>42276</v>
      </c>
      <c r="V6849" t="s">
        <v>71</v>
      </c>
      <c r="W6849" t="str">
        <f>"            25260588"</f>
        <v xml:space="preserve">            25260588</v>
      </c>
      <c r="X6849">
        <v>474.24</v>
      </c>
      <c r="Y6849">
        <v>0</v>
      </c>
      <c r="Z6849"/>
      <c r="AB6849"/>
      <c r="AC6849">
        <v>456</v>
      </c>
      <c r="AD6849">
        <v>301</v>
      </c>
      <c r="AE6849" s="1">
        <v>137256</v>
      </c>
      <c r="AF6849">
        <v>0</v>
      </c>
      <c r="AJ6849">
        <v>0</v>
      </c>
      <c r="AK6849">
        <v>0</v>
      </c>
      <c r="AL6849">
        <v>0</v>
      </c>
      <c r="AM6849">
        <v>0</v>
      </c>
      <c r="AN6849">
        <v>0</v>
      </c>
      <c r="AO6849">
        <v>0</v>
      </c>
      <c r="AP6849" s="2">
        <v>42746</v>
      </c>
      <c r="AQ6849" t="s">
        <v>72</v>
      </c>
      <c r="AR6849" t="s">
        <v>72</v>
      </c>
      <c r="AS6849">
        <v>1938</v>
      </c>
      <c r="AT6849" s="4">
        <v>42577</v>
      </c>
      <c r="AU6849" t="s">
        <v>73</v>
      </c>
      <c r="AV6849">
        <v>1938</v>
      </c>
      <c r="AW6849" s="4">
        <v>42577</v>
      </c>
      <c r="BD6849">
        <v>0</v>
      </c>
      <c r="BN6849" t="s">
        <v>74</v>
      </c>
    </row>
    <row r="6850" spans="1:66" hidden="1">
      <c r="A6850">
        <v>104093</v>
      </c>
      <c r="B6850" s="3" t="s">
        <v>609</v>
      </c>
      <c r="C6850" s="1">
        <v>43300101</v>
      </c>
      <c r="D6850" t="s">
        <v>67</v>
      </c>
      <c r="H6850" t="str">
        <f t="shared" si="681"/>
        <v>12572900152</v>
      </c>
      <c r="I6850" t="str">
        <f t="shared" si="682"/>
        <v>06032681006</v>
      </c>
      <c r="K6850" t="str">
        <f>""</f>
        <v/>
      </c>
      <c r="M6850" t="s">
        <v>68</v>
      </c>
      <c r="N6850" t="str">
        <f t="shared" si="683"/>
        <v>FOR</v>
      </c>
      <c r="O6850" t="s">
        <v>69</v>
      </c>
      <c r="P6850" s="3" t="s">
        <v>75</v>
      </c>
      <c r="Q6850">
        <v>2015</v>
      </c>
      <c r="R6850" s="2">
        <v>42220</v>
      </c>
      <c r="S6850" s="2">
        <v>42223</v>
      </c>
      <c r="T6850" s="2">
        <v>42221</v>
      </c>
      <c r="U6850" s="2">
        <v>42281</v>
      </c>
      <c r="V6850" t="s">
        <v>71</v>
      </c>
      <c r="W6850" t="str">
        <f>"            25261395"</f>
        <v xml:space="preserve">            25261395</v>
      </c>
      <c r="X6850">
        <v>252.72</v>
      </c>
      <c r="Y6850">
        <v>0</v>
      </c>
      <c r="Z6850"/>
      <c r="AB6850"/>
      <c r="AC6850">
        <v>243</v>
      </c>
      <c r="AD6850">
        <v>298</v>
      </c>
      <c r="AE6850" s="1">
        <v>72414</v>
      </c>
      <c r="AF6850">
        <v>0</v>
      </c>
      <c r="AJ6850">
        <v>0</v>
      </c>
      <c r="AK6850">
        <v>0</v>
      </c>
      <c r="AL6850">
        <v>0</v>
      </c>
      <c r="AM6850">
        <v>0</v>
      </c>
      <c r="AN6850">
        <v>0</v>
      </c>
      <c r="AO6850">
        <v>0</v>
      </c>
      <c r="AP6850" s="2">
        <v>42746</v>
      </c>
      <c r="AQ6850" t="s">
        <v>72</v>
      </c>
      <c r="AR6850" t="s">
        <v>72</v>
      </c>
      <c r="AS6850">
        <v>2029</v>
      </c>
      <c r="AT6850" s="4">
        <v>42579</v>
      </c>
      <c r="AU6850" t="s">
        <v>73</v>
      </c>
      <c r="AV6850">
        <v>2029</v>
      </c>
      <c r="AW6850" s="4">
        <v>42579</v>
      </c>
      <c r="BD6850">
        <v>0</v>
      </c>
      <c r="BN6850" t="s">
        <v>74</v>
      </c>
    </row>
    <row r="6851" spans="1:66" hidden="1">
      <c r="A6851">
        <v>104093</v>
      </c>
      <c r="B6851" s="3" t="s">
        <v>609</v>
      </c>
      <c r="C6851" s="1">
        <v>43300101</v>
      </c>
      <c r="D6851" t="s">
        <v>67</v>
      </c>
      <c r="H6851" t="str">
        <f t="shared" ref="H6851:H6914" si="684">"12572900152"</f>
        <v>12572900152</v>
      </c>
      <c r="I6851" t="str">
        <f t="shared" ref="I6851:I6914" si="685">"06032681006"</f>
        <v>06032681006</v>
      </c>
      <c r="K6851" t="str">
        <f>""</f>
        <v/>
      </c>
      <c r="M6851" t="s">
        <v>68</v>
      </c>
      <c r="N6851" t="str">
        <f t="shared" si="683"/>
        <v>FOR</v>
      </c>
      <c r="O6851" t="s">
        <v>69</v>
      </c>
      <c r="P6851" s="3" t="s">
        <v>75</v>
      </c>
      <c r="Q6851">
        <v>2015</v>
      </c>
      <c r="R6851" s="2">
        <v>42220</v>
      </c>
      <c r="S6851" s="2">
        <v>42223</v>
      </c>
      <c r="T6851" s="2">
        <v>42221</v>
      </c>
      <c r="U6851" s="2">
        <v>42281</v>
      </c>
      <c r="V6851" t="s">
        <v>71</v>
      </c>
      <c r="W6851" t="str">
        <f>"            25261405"</f>
        <v xml:space="preserve">            25261405</v>
      </c>
      <c r="X6851">
        <v>74.88</v>
      </c>
      <c r="Y6851">
        <v>0</v>
      </c>
      <c r="Z6851"/>
      <c r="AB6851"/>
      <c r="AC6851">
        <v>72</v>
      </c>
      <c r="AD6851">
        <v>298</v>
      </c>
      <c r="AE6851" s="1">
        <v>21456</v>
      </c>
      <c r="AF6851">
        <v>0</v>
      </c>
      <c r="AJ6851">
        <v>0</v>
      </c>
      <c r="AK6851">
        <v>0</v>
      </c>
      <c r="AL6851">
        <v>0</v>
      </c>
      <c r="AM6851">
        <v>0</v>
      </c>
      <c r="AN6851">
        <v>0</v>
      </c>
      <c r="AO6851">
        <v>0</v>
      </c>
      <c r="AP6851" s="2">
        <v>42746</v>
      </c>
      <c r="AQ6851" t="s">
        <v>72</v>
      </c>
      <c r="AR6851" t="s">
        <v>72</v>
      </c>
      <c r="AS6851">
        <v>2029</v>
      </c>
      <c r="AT6851" s="4">
        <v>42579</v>
      </c>
      <c r="AU6851" t="s">
        <v>73</v>
      </c>
      <c r="AV6851">
        <v>2029</v>
      </c>
      <c r="AW6851" s="4">
        <v>42579</v>
      </c>
      <c r="BD6851">
        <v>0</v>
      </c>
      <c r="BN6851" t="s">
        <v>74</v>
      </c>
    </row>
    <row r="6852" spans="1:66" hidden="1">
      <c r="A6852">
        <v>104093</v>
      </c>
      <c r="B6852" s="3" t="s">
        <v>609</v>
      </c>
      <c r="C6852" s="1">
        <v>43300101</v>
      </c>
      <c r="D6852" t="s">
        <v>67</v>
      </c>
      <c r="H6852" t="str">
        <f t="shared" si="684"/>
        <v>12572900152</v>
      </c>
      <c r="I6852" t="str">
        <f t="shared" si="685"/>
        <v>06032681006</v>
      </c>
      <c r="K6852" t="str">
        <f>""</f>
        <v/>
      </c>
      <c r="M6852" t="s">
        <v>68</v>
      </c>
      <c r="N6852" t="str">
        <f t="shared" si="683"/>
        <v>FOR</v>
      </c>
      <c r="O6852" t="s">
        <v>69</v>
      </c>
      <c r="P6852" s="3" t="s">
        <v>75</v>
      </c>
      <c r="Q6852">
        <v>2015</v>
      </c>
      <c r="R6852" s="2">
        <v>42220</v>
      </c>
      <c r="S6852" s="2">
        <v>42223</v>
      </c>
      <c r="T6852" s="2">
        <v>42221</v>
      </c>
      <c r="U6852" s="2">
        <v>42281</v>
      </c>
      <c r="V6852" t="s">
        <v>71</v>
      </c>
      <c r="W6852" t="str">
        <f>"            25261407"</f>
        <v xml:space="preserve">            25261407</v>
      </c>
      <c r="X6852">
        <v>74.88</v>
      </c>
      <c r="Y6852">
        <v>0</v>
      </c>
      <c r="Z6852"/>
      <c r="AB6852"/>
      <c r="AC6852">
        <v>72</v>
      </c>
      <c r="AD6852">
        <v>298</v>
      </c>
      <c r="AE6852" s="1">
        <v>21456</v>
      </c>
      <c r="AF6852">
        <v>0</v>
      </c>
      <c r="AJ6852">
        <v>0</v>
      </c>
      <c r="AK6852">
        <v>0</v>
      </c>
      <c r="AL6852">
        <v>0</v>
      </c>
      <c r="AM6852">
        <v>0</v>
      </c>
      <c r="AN6852">
        <v>0</v>
      </c>
      <c r="AO6852">
        <v>0</v>
      </c>
      <c r="AP6852" s="2">
        <v>42746</v>
      </c>
      <c r="AQ6852" t="s">
        <v>72</v>
      </c>
      <c r="AR6852" t="s">
        <v>72</v>
      </c>
      <c r="AS6852">
        <v>2029</v>
      </c>
      <c r="AT6852" s="4">
        <v>42579</v>
      </c>
      <c r="AU6852" t="s">
        <v>73</v>
      </c>
      <c r="AV6852">
        <v>2029</v>
      </c>
      <c r="AW6852" s="4">
        <v>42579</v>
      </c>
      <c r="BD6852">
        <v>0</v>
      </c>
      <c r="BN6852" t="s">
        <v>74</v>
      </c>
    </row>
    <row r="6853" spans="1:66" hidden="1">
      <c r="A6853">
        <v>104093</v>
      </c>
      <c r="B6853" s="3" t="s">
        <v>609</v>
      </c>
      <c r="C6853" s="1">
        <v>43300101</v>
      </c>
      <c r="D6853" t="s">
        <v>67</v>
      </c>
      <c r="H6853" t="str">
        <f t="shared" si="684"/>
        <v>12572900152</v>
      </c>
      <c r="I6853" t="str">
        <f t="shared" si="685"/>
        <v>06032681006</v>
      </c>
      <c r="K6853" t="str">
        <f>""</f>
        <v/>
      </c>
      <c r="M6853" t="s">
        <v>68</v>
      </c>
      <c r="N6853" t="str">
        <f t="shared" si="683"/>
        <v>FOR</v>
      </c>
      <c r="O6853" t="s">
        <v>69</v>
      </c>
      <c r="P6853" s="3" t="s">
        <v>75</v>
      </c>
      <c r="Q6853">
        <v>2015</v>
      </c>
      <c r="R6853" s="2">
        <v>42220</v>
      </c>
      <c r="S6853" s="2">
        <v>42223</v>
      </c>
      <c r="T6853" s="2">
        <v>42221</v>
      </c>
      <c r="U6853" s="2">
        <v>42281</v>
      </c>
      <c r="V6853" t="s">
        <v>71</v>
      </c>
      <c r="W6853" t="str">
        <f>"            25261411"</f>
        <v xml:space="preserve">            25261411</v>
      </c>
      <c r="X6853">
        <v>403.42</v>
      </c>
      <c r="Y6853">
        <v>0</v>
      </c>
      <c r="Z6853"/>
      <c r="AB6853"/>
      <c r="AC6853">
        <v>387.9</v>
      </c>
      <c r="AD6853">
        <v>298</v>
      </c>
      <c r="AE6853" s="1">
        <v>115594.2</v>
      </c>
      <c r="AF6853">
        <v>0</v>
      </c>
      <c r="AJ6853">
        <v>0</v>
      </c>
      <c r="AK6853">
        <v>0</v>
      </c>
      <c r="AL6853">
        <v>0</v>
      </c>
      <c r="AM6853">
        <v>0</v>
      </c>
      <c r="AN6853">
        <v>0</v>
      </c>
      <c r="AO6853">
        <v>0</v>
      </c>
      <c r="AP6853" s="2">
        <v>42746</v>
      </c>
      <c r="AQ6853" t="s">
        <v>72</v>
      </c>
      <c r="AR6853" t="s">
        <v>72</v>
      </c>
      <c r="AS6853">
        <v>2029</v>
      </c>
      <c r="AT6853" s="4">
        <v>42579</v>
      </c>
      <c r="AU6853" t="s">
        <v>73</v>
      </c>
      <c r="AV6853">
        <v>2029</v>
      </c>
      <c r="AW6853" s="4">
        <v>42579</v>
      </c>
      <c r="BD6853">
        <v>0</v>
      </c>
      <c r="BN6853" t="s">
        <v>74</v>
      </c>
    </row>
    <row r="6854" spans="1:66" hidden="1">
      <c r="A6854">
        <v>104093</v>
      </c>
      <c r="B6854" s="3" t="s">
        <v>609</v>
      </c>
      <c r="C6854" s="1">
        <v>43300101</v>
      </c>
      <c r="D6854" t="s">
        <v>67</v>
      </c>
      <c r="H6854" t="str">
        <f t="shared" si="684"/>
        <v>12572900152</v>
      </c>
      <c r="I6854" t="str">
        <f t="shared" si="685"/>
        <v>06032681006</v>
      </c>
      <c r="K6854" t="str">
        <f>""</f>
        <v/>
      </c>
      <c r="M6854" t="s">
        <v>68</v>
      </c>
      <c r="N6854" t="str">
        <f t="shared" si="683"/>
        <v>FOR</v>
      </c>
      <c r="O6854" t="s">
        <v>69</v>
      </c>
      <c r="P6854" s="3" t="s">
        <v>75</v>
      </c>
      <c r="Q6854">
        <v>2015</v>
      </c>
      <c r="R6854" s="2">
        <v>42220</v>
      </c>
      <c r="S6854" s="2">
        <v>42223</v>
      </c>
      <c r="T6854" s="2">
        <v>42221</v>
      </c>
      <c r="U6854" s="2">
        <v>42281</v>
      </c>
      <c r="V6854" t="s">
        <v>71</v>
      </c>
      <c r="W6854" t="str">
        <f>"            25261413"</f>
        <v xml:space="preserve">            25261413</v>
      </c>
      <c r="X6854">
        <v>74.88</v>
      </c>
      <c r="Y6854">
        <v>0</v>
      </c>
      <c r="Z6854"/>
      <c r="AB6854"/>
      <c r="AC6854">
        <v>72</v>
      </c>
      <c r="AD6854">
        <v>298</v>
      </c>
      <c r="AE6854" s="1">
        <v>21456</v>
      </c>
      <c r="AF6854">
        <v>0</v>
      </c>
      <c r="AJ6854">
        <v>0</v>
      </c>
      <c r="AK6854">
        <v>0</v>
      </c>
      <c r="AL6854">
        <v>0</v>
      </c>
      <c r="AM6854">
        <v>0</v>
      </c>
      <c r="AN6854">
        <v>0</v>
      </c>
      <c r="AO6854">
        <v>0</v>
      </c>
      <c r="AP6854" s="2">
        <v>42746</v>
      </c>
      <c r="AQ6854" t="s">
        <v>72</v>
      </c>
      <c r="AR6854" t="s">
        <v>72</v>
      </c>
      <c r="AS6854">
        <v>2029</v>
      </c>
      <c r="AT6854" s="4">
        <v>42579</v>
      </c>
      <c r="AU6854" t="s">
        <v>73</v>
      </c>
      <c r="AV6854">
        <v>2029</v>
      </c>
      <c r="AW6854" s="4">
        <v>42579</v>
      </c>
      <c r="BD6854">
        <v>0</v>
      </c>
      <c r="BN6854" t="s">
        <v>74</v>
      </c>
    </row>
    <row r="6855" spans="1:66" hidden="1">
      <c r="A6855">
        <v>104093</v>
      </c>
      <c r="B6855" s="3" t="s">
        <v>609</v>
      </c>
      <c r="C6855" s="1">
        <v>43300101</v>
      </c>
      <c r="D6855" t="s">
        <v>67</v>
      </c>
      <c r="H6855" t="str">
        <f t="shared" si="684"/>
        <v>12572900152</v>
      </c>
      <c r="I6855" t="str">
        <f t="shared" si="685"/>
        <v>06032681006</v>
      </c>
      <c r="K6855" t="str">
        <f>""</f>
        <v/>
      </c>
      <c r="M6855" t="s">
        <v>68</v>
      </c>
      <c r="N6855" t="str">
        <f t="shared" si="683"/>
        <v>FOR</v>
      </c>
      <c r="O6855" t="s">
        <v>69</v>
      </c>
      <c r="P6855" s="3" t="s">
        <v>75</v>
      </c>
      <c r="Q6855">
        <v>2015</v>
      </c>
      <c r="R6855" s="2">
        <v>42220</v>
      </c>
      <c r="S6855" s="2">
        <v>42223</v>
      </c>
      <c r="T6855" s="2">
        <v>42221</v>
      </c>
      <c r="U6855" s="2">
        <v>42281</v>
      </c>
      <c r="V6855" t="s">
        <v>71</v>
      </c>
      <c r="W6855" t="str">
        <f>"            25261415"</f>
        <v xml:space="preserve">            25261415</v>
      </c>
      <c r="X6855">
        <v>74.88</v>
      </c>
      <c r="Y6855">
        <v>0</v>
      </c>
      <c r="Z6855"/>
      <c r="AB6855"/>
      <c r="AC6855">
        <v>72</v>
      </c>
      <c r="AD6855">
        <v>298</v>
      </c>
      <c r="AE6855" s="1">
        <v>21456</v>
      </c>
      <c r="AF6855">
        <v>0</v>
      </c>
      <c r="AJ6855">
        <v>0</v>
      </c>
      <c r="AK6855">
        <v>0</v>
      </c>
      <c r="AL6855">
        <v>0</v>
      </c>
      <c r="AM6855">
        <v>0</v>
      </c>
      <c r="AN6855">
        <v>0</v>
      </c>
      <c r="AO6855">
        <v>0</v>
      </c>
      <c r="AP6855" s="2">
        <v>42746</v>
      </c>
      <c r="AQ6855" t="s">
        <v>72</v>
      </c>
      <c r="AR6855" t="s">
        <v>72</v>
      </c>
      <c r="AS6855">
        <v>2029</v>
      </c>
      <c r="AT6855" s="4">
        <v>42579</v>
      </c>
      <c r="AU6855" t="s">
        <v>73</v>
      </c>
      <c r="AV6855">
        <v>2029</v>
      </c>
      <c r="AW6855" s="4">
        <v>42579</v>
      </c>
      <c r="BD6855">
        <v>0</v>
      </c>
      <c r="BN6855" t="s">
        <v>74</v>
      </c>
    </row>
    <row r="6856" spans="1:66" hidden="1">
      <c r="A6856">
        <v>104093</v>
      </c>
      <c r="B6856" s="3" t="s">
        <v>609</v>
      </c>
      <c r="C6856" s="1">
        <v>43300101</v>
      </c>
      <c r="D6856" t="s">
        <v>67</v>
      </c>
      <c r="H6856" t="str">
        <f t="shared" si="684"/>
        <v>12572900152</v>
      </c>
      <c r="I6856" t="str">
        <f t="shared" si="685"/>
        <v>06032681006</v>
      </c>
      <c r="K6856" t="str">
        <f>""</f>
        <v/>
      </c>
      <c r="M6856" t="s">
        <v>68</v>
      </c>
      <c r="N6856" t="str">
        <f t="shared" si="683"/>
        <v>FOR</v>
      </c>
      <c r="O6856" t="s">
        <v>69</v>
      </c>
      <c r="P6856" s="3" t="s">
        <v>75</v>
      </c>
      <c r="Q6856">
        <v>2015</v>
      </c>
      <c r="R6856" s="2">
        <v>42225</v>
      </c>
      <c r="S6856" s="2">
        <v>42229</v>
      </c>
      <c r="T6856" s="2">
        <v>42227</v>
      </c>
      <c r="U6856" s="2">
        <v>42287</v>
      </c>
      <c r="V6856" t="s">
        <v>71</v>
      </c>
      <c r="W6856" t="str">
        <f>"            25262147"</f>
        <v xml:space="preserve">            25262147</v>
      </c>
      <c r="X6856">
        <v>707.62</v>
      </c>
      <c r="Y6856">
        <v>0</v>
      </c>
      <c r="Z6856"/>
      <c r="AB6856"/>
      <c r="AC6856">
        <v>680.4</v>
      </c>
      <c r="AD6856">
        <v>292</v>
      </c>
      <c r="AE6856" s="1">
        <v>198676.8</v>
      </c>
      <c r="AF6856">
        <v>0</v>
      </c>
      <c r="AJ6856">
        <v>0</v>
      </c>
      <c r="AK6856">
        <v>0</v>
      </c>
      <c r="AL6856">
        <v>0</v>
      </c>
      <c r="AM6856">
        <v>0</v>
      </c>
      <c r="AN6856">
        <v>0</v>
      </c>
      <c r="AO6856">
        <v>0</v>
      </c>
      <c r="AP6856" s="2">
        <v>42746</v>
      </c>
      <c r="AQ6856" t="s">
        <v>72</v>
      </c>
      <c r="AR6856" t="s">
        <v>72</v>
      </c>
      <c r="AS6856">
        <v>2029</v>
      </c>
      <c r="AT6856" s="4">
        <v>42579</v>
      </c>
      <c r="AU6856" t="s">
        <v>73</v>
      </c>
      <c r="AV6856">
        <v>2029</v>
      </c>
      <c r="AW6856" s="4">
        <v>42579</v>
      </c>
      <c r="BD6856">
        <v>0</v>
      </c>
      <c r="BN6856" t="s">
        <v>74</v>
      </c>
    </row>
    <row r="6857" spans="1:66" hidden="1">
      <c r="A6857">
        <v>104093</v>
      </c>
      <c r="B6857" s="3" t="s">
        <v>609</v>
      </c>
      <c r="C6857" s="1">
        <v>43300101</v>
      </c>
      <c r="D6857" t="s">
        <v>67</v>
      </c>
      <c r="H6857" t="str">
        <f t="shared" si="684"/>
        <v>12572900152</v>
      </c>
      <c r="I6857" t="str">
        <f t="shared" si="685"/>
        <v>06032681006</v>
      </c>
      <c r="K6857" t="str">
        <f>""</f>
        <v/>
      </c>
      <c r="M6857" t="s">
        <v>68</v>
      </c>
      <c r="N6857" t="str">
        <f t="shared" si="683"/>
        <v>FOR</v>
      </c>
      <c r="O6857" t="s">
        <v>69</v>
      </c>
      <c r="P6857" s="3" t="s">
        <v>75</v>
      </c>
      <c r="Q6857">
        <v>2015</v>
      </c>
      <c r="R6857" s="2">
        <v>42227</v>
      </c>
      <c r="S6857" s="2">
        <v>42229</v>
      </c>
      <c r="T6857" s="2">
        <v>42228</v>
      </c>
      <c r="U6857" s="2">
        <v>42288</v>
      </c>
      <c r="V6857" t="s">
        <v>71</v>
      </c>
      <c r="W6857" t="str">
        <f>"            25262179"</f>
        <v xml:space="preserve">            25262179</v>
      </c>
      <c r="X6857">
        <v>74.88</v>
      </c>
      <c r="Y6857">
        <v>0</v>
      </c>
      <c r="Z6857"/>
      <c r="AB6857"/>
      <c r="AC6857">
        <v>72</v>
      </c>
      <c r="AD6857">
        <v>291</v>
      </c>
      <c r="AE6857" s="1">
        <v>20952</v>
      </c>
      <c r="AF6857">
        <v>0</v>
      </c>
      <c r="AJ6857">
        <v>0</v>
      </c>
      <c r="AK6857">
        <v>0</v>
      </c>
      <c r="AL6857">
        <v>0</v>
      </c>
      <c r="AM6857">
        <v>0</v>
      </c>
      <c r="AN6857">
        <v>0</v>
      </c>
      <c r="AO6857">
        <v>0</v>
      </c>
      <c r="AP6857" s="2">
        <v>42746</v>
      </c>
      <c r="AQ6857" t="s">
        <v>72</v>
      </c>
      <c r="AR6857" t="s">
        <v>72</v>
      </c>
      <c r="AS6857">
        <v>2029</v>
      </c>
      <c r="AT6857" s="4">
        <v>42579</v>
      </c>
      <c r="AU6857" t="s">
        <v>73</v>
      </c>
      <c r="AV6857">
        <v>2029</v>
      </c>
      <c r="AW6857" s="4">
        <v>42579</v>
      </c>
      <c r="BD6857">
        <v>0</v>
      </c>
      <c r="BN6857" t="s">
        <v>74</v>
      </c>
    </row>
    <row r="6858" spans="1:66" hidden="1">
      <c r="A6858">
        <v>104093</v>
      </c>
      <c r="B6858" s="3" t="s">
        <v>609</v>
      </c>
      <c r="C6858" s="1">
        <v>43300101</v>
      </c>
      <c r="D6858" t="s">
        <v>67</v>
      </c>
      <c r="H6858" t="str">
        <f t="shared" si="684"/>
        <v>12572900152</v>
      </c>
      <c r="I6858" t="str">
        <f t="shared" si="685"/>
        <v>06032681006</v>
      </c>
      <c r="K6858" t="str">
        <f>""</f>
        <v/>
      </c>
      <c r="M6858" t="s">
        <v>68</v>
      </c>
      <c r="N6858" t="str">
        <f t="shared" si="683"/>
        <v>FOR</v>
      </c>
      <c r="O6858" t="s">
        <v>69</v>
      </c>
      <c r="P6858" s="3" t="s">
        <v>75</v>
      </c>
      <c r="Q6858">
        <v>2015</v>
      </c>
      <c r="R6858" s="2">
        <v>42227</v>
      </c>
      <c r="S6858" s="2">
        <v>42229</v>
      </c>
      <c r="T6858" s="2">
        <v>42228</v>
      </c>
      <c r="U6858" s="2">
        <v>42288</v>
      </c>
      <c r="V6858" t="s">
        <v>71</v>
      </c>
      <c r="W6858" t="str">
        <f>"            25262180"</f>
        <v xml:space="preserve">            25262180</v>
      </c>
      <c r="X6858">
        <v>707.62</v>
      </c>
      <c r="Y6858">
        <v>0</v>
      </c>
      <c r="Z6858"/>
      <c r="AB6858"/>
      <c r="AC6858">
        <v>680.4</v>
      </c>
      <c r="AD6858">
        <v>291</v>
      </c>
      <c r="AE6858" s="1">
        <v>197996.4</v>
      </c>
      <c r="AF6858">
        <v>0</v>
      </c>
      <c r="AJ6858">
        <v>0</v>
      </c>
      <c r="AK6858">
        <v>0</v>
      </c>
      <c r="AL6858">
        <v>0</v>
      </c>
      <c r="AM6858">
        <v>0</v>
      </c>
      <c r="AN6858">
        <v>0</v>
      </c>
      <c r="AO6858">
        <v>0</v>
      </c>
      <c r="AP6858" s="2">
        <v>42746</v>
      </c>
      <c r="AQ6858" t="s">
        <v>72</v>
      </c>
      <c r="AR6858" t="s">
        <v>72</v>
      </c>
      <c r="AS6858">
        <v>2029</v>
      </c>
      <c r="AT6858" s="4">
        <v>42579</v>
      </c>
      <c r="AU6858" t="s">
        <v>73</v>
      </c>
      <c r="AV6858">
        <v>2029</v>
      </c>
      <c r="AW6858" s="4">
        <v>42579</v>
      </c>
      <c r="BD6858">
        <v>0</v>
      </c>
      <c r="BN6858" t="s">
        <v>74</v>
      </c>
    </row>
    <row r="6859" spans="1:66" hidden="1">
      <c r="A6859">
        <v>104093</v>
      </c>
      <c r="B6859" s="3" t="s">
        <v>609</v>
      </c>
      <c r="C6859" s="1">
        <v>43300101</v>
      </c>
      <c r="D6859" t="s">
        <v>67</v>
      </c>
      <c r="H6859" t="str">
        <f t="shared" si="684"/>
        <v>12572900152</v>
      </c>
      <c r="I6859" t="str">
        <f t="shared" si="685"/>
        <v>06032681006</v>
      </c>
      <c r="K6859" t="str">
        <f>""</f>
        <v/>
      </c>
      <c r="M6859" t="s">
        <v>68</v>
      </c>
      <c r="N6859" t="str">
        <f t="shared" si="683"/>
        <v>FOR</v>
      </c>
      <c r="O6859" t="s">
        <v>69</v>
      </c>
      <c r="P6859" s="3" t="s">
        <v>75</v>
      </c>
      <c r="Q6859">
        <v>2015</v>
      </c>
      <c r="R6859" s="2">
        <v>42227</v>
      </c>
      <c r="S6859" s="2">
        <v>42229</v>
      </c>
      <c r="T6859" s="2">
        <v>42228</v>
      </c>
      <c r="U6859" s="2">
        <v>42288</v>
      </c>
      <c r="V6859" t="s">
        <v>71</v>
      </c>
      <c r="W6859" t="str">
        <f>"            25262181"</f>
        <v xml:space="preserve">            25262181</v>
      </c>
      <c r="X6859">
        <v>252.72</v>
      </c>
      <c r="Y6859">
        <v>0</v>
      </c>
      <c r="Z6859"/>
      <c r="AB6859"/>
      <c r="AC6859">
        <v>243</v>
      </c>
      <c r="AD6859">
        <v>291</v>
      </c>
      <c r="AE6859" s="1">
        <v>70713</v>
      </c>
      <c r="AF6859">
        <v>0</v>
      </c>
      <c r="AJ6859">
        <v>0</v>
      </c>
      <c r="AK6859">
        <v>0</v>
      </c>
      <c r="AL6859">
        <v>0</v>
      </c>
      <c r="AM6859">
        <v>0</v>
      </c>
      <c r="AN6859">
        <v>0</v>
      </c>
      <c r="AO6859">
        <v>0</v>
      </c>
      <c r="AP6859" s="2">
        <v>42746</v>
      </c>
      <c r="AQ6859" t="s">
        <v>72</v>
      </c>
      <c r="AR6859" t="s">
        <v>72</v>
      </c>
      <c r="AS6859">
        <v>2029</v>
      </c>
      <c r="AT6859" s="4">
        <v>42579</v>
      </c>
      <c r="AU6859" t="s">
        <v>73</v>
      </c>
      <c r="AV6859">
        <v>2029</v>
      </c>
      <c r="AW6859" s="4">
        <v>42579</v>
      </c>
      <c r="BD6859">
        <v>0</v>
      </c>
      <c r="BN6859" t="s">
        <v>74</v>
      </c>
    </row>
    <row r="6860" spans="1:66" hidden="1">
      <c r="A6860">
        <v>104093</v>
      </c>
      <c r="B6860" s="3" t="s">
        <v>609</v>
      </c>
      <c r="C6860" s="1">
        <v>43300101</v>
      </c>
      <c r="D6860" t="s">
        <v>67</v>
      </c>
      <c r="H6860" t="str">
        <f t="shared" si="684"/>
        <v>12572900152</v>
      </c>
      <c r="I6860" t="str">
        <f t="shared" si="685"/>
        <v>06032681006</v>
      </c>
      <c r="K6860" t="str">
        <f>""</f>
        <v/>
      </c>
      <c r="M6860" t="s">
        <v>68</v>
      </c>
      <c r="N6860" t="str">
        <f t="shared" si="683"/>
        <v>FOR</v>
      </c>
      <c r="O6860" t="s">
        <v>69</v>
      </c>
      <c r="P6860" s="3" t="s">
        <v>75</v>
      </c>
      <c r="Q6860">
        <v>2015</v>
      </c>
      <c r="R6860" s="2">
        <v>42227</v>
      </c>
      <c r="S6860" s="2">
        <v>42229</v>
      </c>
      <c r="T6860" s="2">
        <v>42228</v>
      </c>
      <c r="U6860" s="2">
        <v>42288</v>
      </c>
      <c r="V6860" t="s">
        <v>71</v>
      </c>
      <c r="W6860" t="str">
        <f>"            25262236"</f>
        <v xml:space="preserve">            25262236</v>
      </c>
      <c r="X6860">
        <v>926.64</v>
      </c>
      <c r="Y6860">
        <v>0</v>
      </c>
      <c r="Z6860"/>
      <c r="AB6860"/>
      <c r="AC6860">
        <v>891</v>
      </c>
      <c r="AD6860">
        <v>291</v>
      </c>
      <c r="AE6860" s="1">
        <v>259281</v>
      </c>
      <c r="AF6860">
        <v>0</v>
      </c>
      <c r="AJ6860">
        <v>0</v>
      </c>
      <c r="AK6860">
        <v>0</v>
      </c>
      <c r="AL6860">
        <v>0</v>
      </c>
      <c r="AM6860">
        <v>0</v>
      </c>
      <c r="AN6860">
        <v>0</v>
      </c>
      <c r="AO6860">
        <v>0</v>
      </c>
      <c r="AP6860" s="2">
        <v>42746</v>
      </c>
      <c r="AQ6860" t="s">
        <v>72</v>
      </c>
      <c r="AR6860" t="s">
        <v>72</v>
      </c>
      <c r="AS6860">
        <v>2029</v>
      </c>
      <c r="AT6860" s="4">
        <v>42579</v>
      </c>
      <c r="AU6860" t="s">
        <v>73</v>
      </c>
      <c r="AV6860">
        <v>2029</v>
      </c>
      <c r="AW6860" s="4">
        <v>42579</v>
      </c>
      <c r="BD6860">
        <v>0</v>
      </c>
      <c r="BN6860" t="s">
        <v>74</v>
      </c>
    </row>
    <row r="6861" spans="1:66" hidden="1">
      <c r="A6861">
        <v>104093</v>
      </c>
      <c r="B6861" s="3" t="s">
        <v>609</v>
      </c>
      <c r="C6861" s="1">
        <v>43300101</v>
      </c>
      <c r="D6861" t="s">
        <v>67</v>
      </c>
      <c r="H6861" t="str">
        <f t="shared" si="684"/>
        <v>12572900152</v>
      </c>
      <c r="I6861" t="str">
        <f t="shared" si="685"/>
        <v>06032681006</v>
      </c>
      <c r="K6861" t="str">
        <f>""</f>
        <v/>
      </c>
      <c r="M6861" t="s">
        <v>68</v>
      </c>
      <c r="N6861" t="str">
        <f t="shared" si="683"/>
        <v>FOR</v>
      </c>
      <c r="O6861" t="s">
        <v>69</v>
      </c>
      <c r="P6861" s="3" t="s">
        <v>75</v>
      </c>
      <c r="Q6861">
        <v>2015</v>
      </c>
      <c r="R6861" s="2">
        <v>42227</v>
      </c>
      <c r="S6861" s="2">
        <v>42229</v>
      </c>
      <c r="T6861" s="2">
        <v>42228</v>
      </c>
      <c r="U6861" s="2">
        <v>42288</v>
      </c>
      <c r="V6861" t="s">
        <v>71</v>
      </c>
      <c r="W6861" t="str">
        <f>"            25262238"</f>
        <v xml:space="preserve">            25262238</v>
      </c>
      <c r="X6861">
        <v>926.64</v>
      </c>
      <c r="Y6861">
        <v>0</v>
      </c>
      <c r="Z6861"/>
      <c r="AB6861"/>
      <c r="AC6861">
        <v>891</v>
      </c>
      <c r="AD6861">
        <v>291</v>
      </c>
      <c r="AE6861" s="1">
        <v>259281</v>
      </c>
      <c r="AF6861">
        <v>0</v>
      </c>
      <c r="AJ6861">
        <v>0</v>
      </c>
      <c r="AK6861">
        <v>0</v>
      </c>
      <c r="AL6861">
        <v>0</v>
      </c>
      <c r="AM6861">
        <v>0</v>
      </c>
      <c r="AN6861">
        <v>0</v>
      </c>
      <c r="AO6861">
        <v>0</v>
      </c>
      <c r="AP6861" s="2">
        <v>42746</v>
      </c>
      <c r="AQ6861" t="s">
        <v>72</v>
      </c>
      <c r="AR6861" t="s">
        <v>72</v>
      </c>
      <c r="AS6861">
        <v>2029</v>
      </c>
      <c r="AT6861" s="4">
        <v>42579</v>
      </c>
      <c r="AU6861" t="s">
        <v>73</v>
      </c>
      <c r="AV6861">
        <v>2029</v>
      </c>
      <c r="AW6861" s="4">
        <v>42579</v>
      </c>
      <c r="BD6861">
        <v>0</v>
      </c>
      <c r="BN6861" t="s">
        <v>74</v>
      </c>
    </row>
    <row r="6862" spans="1:66" hidden="1">
      <c r="A6862">
        <v>104093</v>
      </c>
      <c r="B6862" s="3" t="s">
        <v>609</v>
      </c>
      <c r="C6862" s="1">
        <v>43300101</v>
      </c>
      <c r="D6862" t="s">
        <v>67</v>
      </c>
      <c r="H6862" t="str">
        <f t="shared" si="684"/>
        <v>12572900152</v>
      </c>
      <c r="I6862" t="str">
        <f t="shared" si="685"/>
        <v>06032681006</v>
      </c>
      <c r="K6862" t="str">
        <f>""</f>
        <v/>
      </c>
      <c r="M6862" t="s">
        <v>68</v>
      </c>
      <c r="N6862" t="str">
        <f t="shared" si="683"/>
        <v>FOR</v>
      </c>
      <c r="O6862" t="s">
        <v>69</v>
      </c>
      <c r="P6862" s="3" t="s">
        <v>75</v>
      </c>
      <c r="Q6862">
        <v>2015</v>
      </c>
      <c r="R6862" s="2">
        <v>42227</v>
      </c>
      <c r="S6862" s="2">
        <v>42229</v>
      </c>
      <c r="T6862" s="2">
        <v>42228</v>
      </c>
      <c r="U6862" s="2">
        <v>42288</v>
      </c>
      <c r="V6862" t="s">
        <v>71</v>
      </c>
      <c r="W6862" t="str">
        <f>"            25262240"</f>
        <v xml:space="preserve">            25262240</v>
      </c>
      <c r="X6862">
        <v>252.72</v>
      </c>
      <c r="Y6862">
        <v>0</v>
      </c>
      <c r="Z6862"/>
      <c r="AB6862"/>
      <c r="AC6862">
        <v>243</v>
      </c>
      <c r="AD6862">
        <v>291</v>
      </c>
      <c r="AE6862" s="1">
        <v>70713</v>
      </c>
      <c r="AF6862">
        <v>0</v>
      </c>
      <c r="AJ6862">
        <v>0</v>
      </c>
      <c r="AK6862">
        <v>0</v>
      </c>
      <c r="AL6862">
        <v>0</v>
      </c>
      <c r="AM6862">
        <v>0</v>
      </c>
      <c r="AN6862">
        <v>0</v>
      </c>
      <c r="AO6862">
        <v>0</v>
      </c>
      <c r="AP6862" s="2">
        <v>42746</v>
      </c>
      <c r="AQ6862" t="s">
        <v>72</v>
      </c>
      <c r="AR6862" t="s">
        <v>72</v>
      </c>
      <c r="AS6862">
        <v>2029</v>
      </c>
      <c r="AT6862" s="4">
        <v>42579</v>
      </c>
      <c r="AU6862" t="s">
        <v>73</v>
      </c>
      <c r="AV6862">
        <v>2029</v>
      </c>
      <c r="AW6862" s="4">
        <v>42579</v>
      </c>
      <c r="BD6862">
        <v>0</v>
      </c>
      <c r="BN6862" t="s">
        <v>74</v>
      </c>
    </row>
    <row r="6863" spans="1:66" hidden="1">
      <c r="A6863">
        <v>104093</v>
      </c>
      <c r="B6863" s="3" t="s">
        <v>609</v>
      </c>
      <c r="C6863" s="1">
        <v>43300101</v>
      </c>
      <c r="D6863" t="s">
        <v>67</v>
      </c>
      <c r="H6863" t="str">
        <f t="shared" si="684"/>
        <v>12572900152</v>
      </c>
      <c r="I6863" t="str">
        <f t="shared" si="685"/>
        <v>06032681006</v>
      </c>
      <c r="K6863" t="str">
        <f>""</f>
        <v/>
      </c>
      <c r="M6863" t="s">
        <v>68</v>
      </c>
      <c r="N6863" t="str">
        <f t="shared" si="683"/>
        <v>FOR</v>
      </c>
      <c r="O6863" t="s">
        <v>69</v>
      </c>
      <c r="P6863" s="3" t="s">
        <v>75</v>
      </c>
      <c r="Q6863">
        <v>2015</v>
      </c>
      <c r="R6863" s="2">
        <v>42227</v>
      </c>
      <c r="S6863" s="2">
        <v>42229</v>
      </c>
      <c r="T6863" s="2">
        <v>42228</v>
      </c>
      <c r="U6863" s="2">
        <v>42288</v>
      </c>
      <c r="V6863" t="s">
        <v>71</v>
      </c>
      <c r="W6863" t="str">
        <f>"            25262241"</f>
        <v xml:space="preserve">            25262241</v>
      </c>
      <c r="X6863">
        <v>252.72</v>
      </c>
      <c r="Y6863">
        <v>0</v>
      </c>
      <c r="Z6863"/>
      <c r="AB6863"/>
      <c r="AC6863">
        <v>243</v>
      </c>
      <c r="AD6863">
        <v>291</v>
      </c>
      <c r="AE6863" s="1">
        <v>70713</v>
      </c>
      <c r="AF6863">
        <v>0</v>
      </c>
      <c r="AJ6863">
        <v>0</v>
      </c>
      <c r="AK6863">
        <v>0</v>
      </c>
      <c r="AL6863">
        <v>0</v>
      </c>
      <c r="AM6863">
        <v>0</v>
      </c>
      <c r="AN6863">
        <v>0</v>
      </c>
      <c r="AO6863">
        <v>0</v>
      </c>
      <c r="AP6863" s="2">
        <v>42746</v>
      </c>
      <c r="AQ6863" t="s">
        <v>72</v>
      </c>
      <c r="AR6863" t="s">
        <v>72</v>
      </c>
      <c r="AS6863">
        <v>2029</v>
      </c>
      <c r="AT6863" s="4">
        <v>42579</v>
      </c>
      <c r="AU6863" t="s">
        <v>73</v>
      </c>
      <c r="AV6863">
        <v>2029</v>
      </c>
      <c r="AW6863" s="4">
        <v>42579</v>
      </c>
      <c r="BD6863">
        <v>0</v>
      </c>
      <c r="BN6863" t="s">
        <v>74</v>
      </c>
    </row>
    <row r="6864" spans="1:66" hidden="1">
      <c r="A6864">
        <v>104093</v>
      </c>
      <c r="B6864" s="3" t="s">
        <v>609</v>
      </c>
      <c r="C6864" s="1">
        <v>43300101</v>
      </c>
      <c r="D6864" t="s">
        <v>67</v>
      </c>
      <c r="H6864" t="str">
        <f t="shared" si="684"/>
        <v>12572900152</v>
      </c>
      <c r="I6864" t="str">
        <f t="shared" si="685"/>
        <v>06032681006</v>
      </c>
      <c r="K6864" t="str">
        <f>""</f>
        <v/>
      </c>
      <c r="M6864" t="s">
        <v>68</v>
      </c>
      <c r="N6864" t="str">
        <f t="shared" si="683"/>
        <v>FOR</v>
      </c>
      <c r="O6864" t="s">
        <v>69</v>
      </c>
      <c r="P6864" s="3" t="s">
        <v>75</v>
      </c>
      <c r="Q6864">
        <v>2015</v>
      </c>
      <c r="R6864" s="2">
        <v>42227</v>
      </c>
      <c r="S6864" s="2">
        <v>42229</v>
      </c>
      <c r="T6864" s="2">
        <v>42228</v>
      </c>
      <c r="U6864" s="2">
        <v>42288</v>
      </c>
      <c r="V6864" t="s">
        <v>71</v>
      </c>
      <c r="W6864" t="str">
        <f>"            25262243"</f>
        <v xml:space="preserve">            25262243</v>
      </c>
      <c r="X6864">
        <v>926.64</v>
      </c>
      <c r="Y6864">
        <v>0</v>
      </c>
      <c r="Z6864"/>
      <c r="AB6864"/>
      <c r="AC6864">
        <v>891</v>
      </c>
      <c r="AD6864">
        <v>291</v>
      </c>
      <c r="AE6864" s="1">
        <v>259281</v>
      </c>
      <c r="AF6864">
        <v>0</v>
      </c>
      <c r="AJ6864">
        <v>0</v>
      </c>
      <c r="AK6864">
        <v>0</v>
      </c>
      <c r="AL6864">
        <v>0</v>
      </c>
      <c r="AM6864">
        <v>0</v>
      </c>
      <c r="AN6864">
        <v>0</v>
      </c>
      <c r="AO6864">
        <v>0</v>
      </c>
      <c r="AP6864" s="2">
        <v>42746</v>
      </c>
      <c r="AQ6864" t="s">
        <v>72</v>
      </c>
      <c r="AR6864" t="s">
        <v>72</v>
      </c>
      <c r="AS6864">
        <v>2029</v>
      </c>
      <c r="AT6864" s="4">
        <v>42579</v>
      </c>
      <c r="AU6864" t="s">
        <v>73</v>
      </c>
      <c r="AV6864">
        <v>2029</v>
      </c>
      <c r="AW6864" s="4">
        <v>42579</v>
      </c>
      <c r="BD6864">
        <v>0</v>
      </c>
      <c r="BN6864" t="s">
        <v>74</v>
      </c>
    </row>
    <row r="6865" spans="1:66" hidden="1">
      <c r="A6865">
        <v>104093</v>
      </c>
      <c r="B6865" s="3" t="s">
        <v>609</v>
      </c>
      <c r="C6865" s="1">
        <v>43300101</v>
      </c>
      <c r="D6865" t="s">
        <v>67</v>
      </c>
      <c r="H6865" t="str">
        <f t="shared" si="684"/>
        <v>12572900152</v>
      </c>
      <c r="I6865" t="str">
        <f t="shared" si="685"/>
        <v>06032681006</v>
      </c>
      <c r="K6865" t="str">
        <f>""</f>
        <v/>
      </c>
      <c r="M6865" t="s">
        <v>68</v>
      </c>
      <c r="N6865" t="str">
        <f t="shared" si="683"/>
        <v>FOR</v>
      </c>
      <c r="O6865" t="s">
        <v>69</v>
      </c>
      <c r="P6865" s="3" t="s">
        <v>75</v>
      </c>
      <c r="Q6865">
        <v>2015</v>
      </c>
      <c r="R6865" s="2">
        <v>42227</v>
      </c>
      <c r="S6865" s="2">
        <v>42229</v>
      </c>
      <c r="T6865" s="2">
        <v>42228</v>
      </c>
      <c r="U6865" s="2">
        <v>42288</v>
      </c>
      <c r="V6865" t="s">
        <v>71</v>
      </c>
      <c r="W6865" t="str">
        <f>"            25262245"</f>
        <v xml:space="preserve">            25262245</v>
      </c>
      <c r="X6865">
        <v>74.88</v>
      </c>
      <c r="Y6865">
        <v>0</v>
      </c>
      <c r="Z6865"/>
      <c r="AB6865"/>
      <c r="AC6865">
        <v>72</v>
      </c>
      <c r="AD6865">
        <v>291</v>
      </c>
      <c r="AE6865" s="1">
        <v>20952</v>
      </c>
      <c r="AF6865">
        <v>0</v>
      </c>
      <c r="AJ6865">
        <v>0</v>
      </c>
      <c r="AK6865">
        <v>0</v>
      </c>
      <c r="AL6865">
        <v>0</v>
      </c>
      <c r="AM6865">
        <v>0</v>
      </c>
      <c r="AN6865">
        <v>0</v>
      </c>
      <c r="AO6865">
        <v>0</v>
      </c>
      <c r="AP6865" s="2">
        <v>42746</v>
      </c>
      <c r="AQ6865" t="s">
        <v>72</v>
      </c>
      <c r="AR6865" t="s">
        <v>72</v>
      </c>
      <c r="AS6865">
        <v>2029</v>
      </c>
      <c r="AT6865" s="4">
        <v>42579</v>
      </c>
      <c r="AU6865" t="s">
        <v>73</v>
      </c>
      <c r="AV6865">
        <v>2029</v>
      </c>
      <c r="AW6865" s="4">
        <v>42579</v>
      </c>
      <c r="BD6865">
        <v>0</v>
      </c>
      <c r="BN6865" t="s">
        <v>74</v>
      </c>
    </row>
    <row r="6866" spans="1:66" hidden="1">
      <c r="A6866">
        <v>104093</v>
      </c>
      <c r="B6866" s="3" t="s">
        <v>609</v>
      </c>
      <c r="C6866" s="1">
        <v>43300101</v>
      </c>
      <c r="D6866" t="s">
        <v>67</v>
      </c>
      <c r="H6866" t="str">
        <f t="shared" si="684"/>
        <v>12572900152</v>
      </c>
      <c r="I6866" t="str">
        <f t="shared" si="685"/>
        <v>06032681006</v>
      </c>
      <c r="K6866" t="str">
        <f>""</f>
        <v/>
      </c>
      <c r="M6866" t="s">
        <v>68</v>
      </c>
      <c r="N6866" t="str">
        <f t="shared" si="683"/>
        <v>FOR</v>
      </c>
      <c r="O6866" t="s">
        <v>69</v>
      </c>
      <c r="P6866" s="3" t="s">
        <v>75</v>
      </c>
      <c r="Q6866">
        <v>2015</v>
      </c>
      <c r="R6866" s="2">
        <v>42227</v>
      </c>
      <c r="S6866" s="2">
        <v>42229</v>
      </c>
      <c r="T6866" s="2">
        <v>42228</v>
      </c>
      <c r="U6866" s="2">
        <v>42288</v>
      </c>
      <c r="V6866" t="s">
        <v>71</v>
      </c>
      <c r="W6866" t="str">
        <f>"            25262247"</f>
        <v xml:space="preserve">            25262247</v>
      </c>
      <c r="X6866">
        <v>707.62</v>
      </c>
      <c r="Y6866">
        <v>0</v>
      </c>
      <c r="Z6866"/>
      <c r="AB6866"/>
      <c r="AC6866">
        <v>680.4</v>
      </c>
      <c r="AD6866">
        <v>291</v>
      </c>
      <c r="AE6866" s="1">
        <v>197996.4</v>
      </c>
      <c r="AF6866">
        <v>0</v>
      </c>
      <c r="AJ6866">
        <v>0</v>
      </c>
      <c r="AK6866">
        <v>0</v>
      </c>
      <c r="AL6866">
        <v>0</v>
      </c>
      <c r="AM6866">
        <v>0</v>
      </c>
      <c r="AN6866">
        <v>0</v>
      </c>
      <c r="AO6866">
        <v>0</v>
      </c>
      <c r="AP6866" s="2">
        <v>42746</v>
      </c>
      <c r="AQ6866" t="s">
        <v>72</v>
      </c>
      <c r="AR6866" t="s">
        <v>72</v>
      </c>
      <c r="AS6866">
        <v>2029</v>
      </c>
      <c r="AT6866" s="4">
        <v>42579</v>
      </c>
      <c r="AU6866" t="s">
        <v>73</v>
      </c>
      <c r="AV6866">
        <v>2029</v>
      </c>
      <c r="AW6866" s="4">
        <v>42579</v>
      </c>
      <c r="BD6866">
        <v>0</v>
      </c>
      <c r="BN6866" t="s">
        <v>74</v>
      </c>
    </row>
    <row r="6867" spans="1:66" hidden="1">
      <c r="A6867">
        <v>104093</v>
      </c>
      <c r="B6867" s="3" t="s">
        <v>609</v>
      </c>
      <c r="C6867" s="1">
        <v>43300101</v>
      </c>
      <c r="D6867" t="s">
        <v>67</v>
      </c>
      <c r="H6867" t="str">
        <f t="shared" si="684"/>
        <v>12572900152</v>
      </c>
      <c r="I6867" t="str">
        <f t="shared" si="685"/>
        <v>06032681006</v>
      </c>
      <c r="K6867" t="str">
        <f>""</f>
        <v/>
      </c>
      <c r="M6867" t="s">
        <v>68</v>
      </c>
      <c r="N6867" t="str">
        <f t="shared" si="683"/>
        <v>FOR</v>
      </c>
      <c r="O6867" t="s">
        <v>69</v>
      </c>
      <c r="P6867" s="3" t="s">
        <v>75</v>
      </c>
      <c r="Q6867">
        <v>2015</v>
      </c>
      <c r="R6867" s="2">
        <v>42227</v>
      </c>
      <c r="S6867" s="2">
        <v>42229</v>
      </c>
      <c r="T6867" s="2">
        <v>42228</v>
      </c>
      <c r="U6867" s="2">
        <v>42288</v>
      </c>
      <c r="V6867" t="s">
        <v>71</v>
      </c>
      <c r="W6867" t="str">
        <f>"            25262250"</f>
        <v xml:space="preserve">            25262250</v>
      </c>
      <c r="X6867">
        <v>252.72</v>
      </c>
      <c r="Y6867">
        <v>0</v>
      </c>
      <c r="Z6867"/>
      <c r="AB6867"/>
      <c r="AC6867">
        <v>243</v>
      </c>
      <c r="AD6867">
        <v>291</v>
      </c>
      <c r="AE6867" s="1">
        <v>70713</v>
      </c>
      <c r="AF6867">
        <v>0</v>
      </c>
      <c r="AJ6867">
        <v>0</v>
      </c>
      <c r="AK6867">
        <v>0</v>
      </c>
      <c r="AL6867">
        <v>0</v>
      </c>
      <c r="AM6867">
        <v>0</v>
      </c>
      <c r="AN6867">
        <v>0</v>
      </c>
      <c r="AO6867">
        <v>0</v>
      </c>
      <c r="AP6867" s="2">
        <v>42746</v>
      </c>
      <c r="AQ6867" t="s">
        <v>72</v>
      </c>
      <c r="AR6867" t="s">
        <v>72</v>
      </c>
      <c r="AS6867">
        <v>2029</v>
      </c>
      <c r="AT6867" s="4">
        <v>42579</v>
      </c>
      <c r="AU6867" t="s">
        <v>73</v>
      </c>
      <c r="AV6867">
        <v>2029</v>
      </c>
      <c r="AW6867" s="4">
        <v>42579</v>
      </c>
      <c r="BD6867">
        <v>0</v>
      </c>
      <c r="BN6867" t="s">
        <v>74</v>
      </c>
    </row>
    <row r="6868" spans="1:66" hidden="1">
      <c r="A6868">
        <v>104093</v>
      </c>
      <c r="B6868" s="3" t="s">
        <v>609</v>
      </c>
      <c r="C6868" s="1">
        <v>43300101</v>
      </c>
      <c r="D6868" t="s">
        <v>67</v>
      </c>
      <c r="H6868" t="str">
        <f t="shared" si="684"/>
        <v>12572900152</v>
      </c>
      <c r="I6868" t="str">
        <f t="shared" si="685"/>
        <v>06032681006</v>
      </c>
      <c r="K6868" t="str">
        <f>""</f>
        <v/>
      </c>
      <c r="M6868" t="s">
        <v>68</v>
      </c>
      <c r="N6868" t="str">
        <f t="shared" si="683"/>
        <v>FOR</v>
      </c>
      <c r="O6868" t="s">
        <v>69</v>
      </c>
      <c r="P6868" s="3" t="s">
        <v>75</v>
      </c>
      <c r="Q6868">
        <v>2015</v>
      </c>
      <c r="R6868" s="2">
        <v>42227</v>
      </c>
      <c r="S6868" s="2">
        <v>42229</v>
      </c>
      <c r="T6868" s="2">
        <v>42228</v>
      </c>
      <c r="U6868" s="2">
        <v>42288</v>
      </c>
      <c r="V6868" t="s">
        <v>71</v>
      </c>
      <c r="W6868" t="str">
        <f>"            25262251"</f>
        <v xml:space="preserve">            25262251</v>
      </c>
      <c r="X6868">
        <v>74.88</v>
      </c>
      <c r="Y6868">
        <v>0</v>
      </c>
      <c r="Z6868"/>
      <c r="AB6868"/>
      <c r="AC6868">
        <v>72</v>
      </c>
      <c r="AD6868">
        <v>291</v>
      </c>
      <c r="AE6868" s="1">
        <v>20952</v>
      </c>
      <c r="AF6868">
        <v>0</v>
      </c>
      <c r="AJ6868">
        <v>0</v>
      </c>
      <c r="AK6868">
        <v>0</v>
      </c>
      <c r="AL6868">
        <v>0</v>
      </c>
      <c r="AM6868">
        <v>0</v>
      </c>
      <c r="AN6868">
        <v>0</v>
      </c>
      <c r="AO6868">
        <v>0</v>
      </c>
      <c r="AP6868" s="2">
        <v>42746</v>
      </c>
      <c r="AQ6868" t="s">
        <v>72</v>
      </c>
      <c r="AR6868" t="s">
        <v>72</v>
      </c>
      <c r="AS6868">
        <v>2029</v>
      </c>
      <c r="AT6868" s="4">
        <v>42579</v>
      </c>
      <c r="AU6868" t="s">
        <v>73</v>
      </c>
      <c r="AV6868">
        <v>2029</v>
      </c>
      <c r="AW6868" s="4">
        <v>42579</v>
      </c>
      <c r="BD6868">
        <v>0</v>
      </c>
      <c r="BN6868" t="s">
        <v>74</v>
      </c>
    </row>
    <row r="6869" spans="1:66" hidden="1">
      <c r="A6869">
        <v>104093</v>
      </c>
      <c r="B6869" s="3" t="s">
        <v>609</v>
      </c>
      <c r="C6869" s="1">
        <v>43300101</v>
      </c>
      <c r="D6869" t="s">
        <v>67</v>
      </c>
      <c r="H6869" t="str">
        <f t="shared" si="684"/>
        <v>12572900152</v>
      </c>
      <c r="I6869" t="str">
        <f t="shared" si="685"/>
        <v>06032681006</v>
      </c>
      <c r="K6869" t="str">
        <f>""</f>
        <v/>
      </c>
      <c r="M6869" t="s">
        <v>68</v>
      </c>
      <c r="N6869" t="str">
        <f t="shared" si="683"/>
        <v>FOR</v>
      </c>
      <c r="O6869" t="s">
        <v>69</v>
      </c>
      <c r="P6869" s="3" t="s">
        <v>75</v>
      </c>
      <c r="Q6869">
        <v>2015</v>
      </c>
      <c r="R6869" s="2">
        <v>42227</v>
      </c>
      <c r="S6869" s="2">
        <v>42229</v>
      </c>
      <c r="T6869" s="2">
        <v>42228</v>
      </c>
      <c r="U6869" s="2">
        <v>42288</v>
      </c>
      <c r="V6869" t="s">
        <v>71</v>
      </c>
      <c r="W6869" t="str">
        <f>"            25262347"</f>
        <v xml:space="preserve">            25262347</v>
      </c>
      <c r="X6869" s="1">
        <v>6471.92</v>
      </c>
      <c r="Y6869">
        <v>0</v>
      </c>
      <c r="Z6869"/>
      <c r="AB6869"/>
      <c r="AC6869" s="1">
        <v>6223</v>
      </c>
      <c r="AD6869">
        <v>291</v>
      </c>
      <c r="AE6869" s="1">
        <v>1810893</v>
      </c>
      <c r="AF6869">
        <v>0</v>
      </c>
      <c r="AJ6869">
        <v>0</v>
      </c>
      <c r="AK6869">
        <v>0</v>
      </c>
      <c r="AL6869">
        <v>0</v>
      </c>
      <c r="AM6869">
        <v>0</v>
      </c>
      <c r="AN6869">
        <v>0</v>
      </c>
      <c r="AO6869">
        <v>0</v>
      </c>
      <c r="AP6869" s="2">
        <v>42746</v>
      </c>
      <c r="AQ6869" t="s">
        <v>72</v>
      </c>
      <c r="AR6869" t="s">
        <v>72</v>
      </c>
      <c r="AS6869">
        <v>2029</v>
      </c>
      <c r="AT6869" s="4">
        <v>42579</v>
      </c>
      <c r="AU6869" t="s">
        <v>73</v>
      </c>
      <c r="AV6869">
        <v>2029</v>
      </c>
      <c r="AW6869" s="4">
        <v>42579</v>
      </c>
      <c r="BD6869">
        <v>0</v>
      </c>
      <c r="BN6869" t="s">
        <v>74</v>
      </c>
    </row>
    <row r="6870" spans="1:66" hidden="1">
      <c r="A6870">
        <v>104093</v>
      </c>
      <c r="B6870" s="3" t="s">
        <v>609</v>
      </c>
      <c r="C6870" s="1">
        <v>43300101</v>
      </c>
      <c r="D6870" t="s">
        <v>67</v>
      </c>
      <c r="H6870" t="str">
        <f t="shared" si="684"/>
        <v>12572900152</v>
      </c>
      <c r="I6870" t="str">
        <f t="shared" si="685"/>
        <v>06032681006</v>
      </c>
      <c r="K6870" t="str">
        <f>""</f>
        <v/>
      </c>
      <c r="M6870" t="s">
        <v>68</v>
      </c>
      <c r="N6870" t="str">
        <f t="shared" si="683"/>
        <v>FOR</v>
      </c>
      <c r="O6870" t="s">
        <v>69</v>
      </c>
      <c r="P6870" s="3" t="s">
        <v>75</v>
      </c>
      <c r="Q6870">
        <v>2015</v>
      </c>
      <c r="R6870" s="2">
        <v>42227</v>
      </c>
      <c r="S6870" s="2">
        <v>42229</v>
      </c>
      <c r="T6870" s="2">
        <v>42228</v>
      </c>
      <c r="U6870" s="2">
        <v>42288</v>
      </c>
      <c r="V6870" t="s">
        <v>71</v>
      </c>
      <c r="W6870" t="str">
        <f>"            25262349"</f>
        <v xml:space="preserve">            25262349</v>
      </c>
      <c r="X6870" s="1">
        <v>3513.6</v>
      </c>
      <c r="Y6870">
        <v>0</v>
      </c>
      <c r="Z6870"/>
      <c r="AB6870"/>
      <c r="AC6870" s="1">
        <v>2880</v>
      </c>
      <c r="AD6870">
        <v>291</v>
      </c>
      <c r="AE6870" s="1">
        <v>838080</v>
      </c>
      <c r="AF6870">
        <v>0</v>
      </c>
      <c r="AJ6870">
        <v>0</v>
      </c>
      <c r="AK6870">
        <v>0</v>
      </c>
      <c r="AL6870">
        <v>0</v>
      </c>
      <c r="AM6870">
        <v>0</v>
      </c>
      <c r="AN6870">
        <v>0</v>
      </c>
      <c r="AO6870">
        <v>0</v>
      </c>
      <c r="AP6870" s="2">
        <v>42746</v>
      </c>
      <c r="AQ6870" t="s">
        <v>72</v>
      </c>
      <c r="AR6870" t="s">
        <v>72</v>
      </c>
      <c r="AS6870">
        <v>2029</v>
      </c>
      <c r="AT6870" s="4">
        <v>42579</v>
      </c>
      <c r="AU6870" t="s">
        <v>73</v>
      </c>
      <c r="AV6870">
        <v>2029</v>
      </c>
      <c r="AW6870" s="4">
        <v>42579</v>
      </c>
      <c r="BD6870">
        <v>0</v>
      </c>
      <c r="BN6870" t="s">
        <v>74</v>
      </c>
    </row>
    <row r="6871" spans="1:66" hidden="1">
      <c r="A6871">
        <v>104093</v>
      </c>
      <c r="B6871" s="3" t="s">
        <v>609</v>
      </c>
      <c r="C6871" s="1">
        <v>43300101</v>
      </c>
      <c r="D6871" t="s">
        <v>67</v>
      </c>
      <c r="H6871" t="str">
        <f t="shared" si="684"/>
        <v>12572900152</v>
      </c>
      <c r="I6871" t="str">
        <f t="shared" si="685"/>
        <v>06032681006</v>
      </c>
      <c r="K6871" t="str">
        <f>""</f>
        <v/>
      </c>
      <c r="M6871" t="s">
        <v>68</v>
      </c>
      <c r="N6871" t="str">
        <f t="shared" si="683"/>
        <v>FOR</v>
      </c>
      <c r="O6871" t="s">
        <v>69</v>
      </c>
      <c r="P6871" s="3" t="s">
        <v>75</v>
      </c>
      <c r="Q6871">
        <v>2015</v>
      </c>
      <c r="R6871" s="2">
        <v>42229</v>
      </c>
      <c r="S6871" s="2">
        <v>42233</v>
      </c>
      <c r="T6871" s="2">
        <v>42230</v>
      </c>
      <c r="U6871" s="2">
        <v>42290</v>
      </c>
      <c r="V6871" t="s">
        <v>71</v>
      </c>
      <c r="W6871" t="str">
        <f>"            25262748"</f>
        <v xml:space="preserve">            25262748</v>
      </c>
      <c r="X6871">
        <v>116.48</v>
      </c>
      <c r="Y6871">
        <v>0</v>
      </c>
      <c r="Z6871"/>
      <c r="AB6871"/>
      <c r="AC6871">
        <v>112</v>
      </c>
      <c r="AD6871">
        <v>289</v>
      </c>
      <c r="AE6871" s="1">
        <v>32368</v>
      </c>
      <c r="AF6871">
        <v>0</v>
      </c>
      <c r="AJ6871">
        <v>0</v>
      </c>
      <c r="AK6871">
        <v>0</v>
      </c>
      <c r="AL6871">
        <v>0</v>
      </c>
      <c r="AM6871">
        <v>0</v>
      </c>
      <c r="AN6871">
        <v>0</v>
      </c>
      <c r="AO6871">
        <v>0</v>
      </c>
      <c r="AP6871" s="2">
        <v>42746</v>
      </c>
      <c r="AQ6871" t="s">
        <v>72</v>
      </c>
      <c r="AR6871" t="s">
        <v>72</v>
      </c>
      <c r="AS6871">
        <v>2029</v>
      </c>
      <c r="AT6871" s="4">
        <v>42579</v>
      </c>
      <c r="AU6871" t="s">
        <v>73</v>
      </c>
      <c r="AV6871">
        <v>2029</v>
      </c>
      <c r="AW6871" s="4">
        <v>42579</v>
      </c>
      <c r="BD6871">
        <v>0</v>
      </c>
      <c r="BN6871" t="s">
        <v>74</v>
      </c>
    </row>
    <row r="6872" spans="1:66" hidden="1">
      <c r="A6872">
        <v>104093</v>
      </c>
      <c r="B6872" s="3" t="s">
        <v>609</v>
      </c>
      <c r="C6872" s="1">
        <v>43300101</v>
      </c>
      <c r="D6872" t="s">
        <v>67</v>
      </c>
      <c r="H6872" t="str">
        <f t="shared" si="684"/>
        <v>12572900152</v>
      </c>
      <c r="I6872" t="str">
        <f t="shared" si="685"/>
        <v>06032681006</v>
      </c>
      <c r="K6872" t="str">
        <f>""</f>
        <v/>
      </c>
      <c r="M6872" t="s">
        <v>68</v>
      </c>
      <c r="N6872" t="str">
        <f t="shared" si="683"/>
        <v>FOR</v>
      </c>
      <c r="O6872" t="s">
        <v>69</v>
      </c>
      <c r="P6872" s="3" t="s">
        <v>75</v>
      </c>
      <c r="Q6872">
        <v>2015</v>
      </c>
      <c r="R6872" s="2">
        <v>42230</v>
      </c>
      <c r="S6872" s="2">
        <v>42234</v>
      </c>
      <c r="T6872" s="2">
        <v>42233</v>
      </c>
      <c r="U6872" s="2">
        <v>42293</v>
      </c>
      <c r="V6872" t="s">
        <v>71</v>
      </c>
      <c r="W6872" t="str">
        <f>"            25262990"</f>
        <v xml:space="preserve">            25262990</v>
      </c>
      <c r="X6872">
        <v>465.92</v>
      </c>
      <c r="Y6872">
        <v>0</v>
      </c>
      <c r="Z6872"/>
      <c r="AB6872"/>
      <c r="AC6872">
        <v>448</v>
      </c>
      <c r="AD6872">
        <v>286</v>
      </c>
      <c r="AE6872" s="1">
        <v>128128</v>
      </c>
      <c r="AF6872">
        <v>0</v>
      </c>
      <c r="AJ6872">
        <v>0</v>
      </c>
      <c r="AK6872">
        <v>0</v>
      </c>
      <c r="AL6872">
        <v>0</v>
      </c>
      <c r="AM6872">
        <v>0</v>
      </c>
      <c r="AN6872">
        <v>0</v>
      </c>
      <c r="AO6872">
        <v>0</v>
      </c>
      <c r="AP6872" s="2">
        <v>42746</v>
      </c>
      <c r="AQ6872" t="s">
        <v>72</v>
      </c>
      <c r="AR6872" t="s">
        <v>72</v>
      </c>
      <c r="AS6872">
        <v>2029</v>
      </c>
      <c r="AT6872" s="4">
        <v>42579</v>
      </c>
      <c r="AU6872" t="s">
        <v>73</v>
      </c>
      <c r="AV6872">
        <v>2029</v>
      </c>
      <c r="AW6872" s="4">
        <v>42579</v>
      </c>
      <c r="BD6872">
        <v>0</v>
      </c>
      <c r="BN6872" t="s">
        <v>74</v>
      </c>
    </row>
    <row r="6873" spans="1:66" hidden="1">
      <c r="A6873">
        <v>104093</v>
      </c>
      <c r="B6873" s="3" t="s">
        <v>609</v>
      </c>
      <c r="C6873" s="1">
        <v>43300101</v>
      </c>
      <c r="D6873" t="s">
        <v>67</v>
      </c>
      <c r="H6873" t="str">
        <f t="shared" si="684"/>
        <v>12572900152</v>
      </c>
      <c r="I6873" t="str">
        <f t="shared" si="685"/>
        <v>06032681006</v>
      </c>
      <c r="K6873" t="str">
        <f>""</f>
        <v/>
      </c>
      <c r="M6873" t="s">
        <v>68</v>
      </c>
      <c r="N6873" t="str">
        <f t="shared" si="683"/>
        <v>FOR</v>
      </c>
      <c r="O6873" t="s">
        <v>69</v>
      </c>
      <c r="P6873" s="3" t="s">
        <v>75</v>
      </c>
      <c r="Q6873">
        <v>2015</v>
      </c>
      <c r="R6873" s="2">
        <v>42234</v>
      </c>
      <c r="S6873" s="2">
        <v>42236</v>
      </c>
      <c r="T6873" s="2">
        <v>42235</v>
      </c>
      <c r="U6873" s="2">
        <v>42295</v>
      </c>
      <c r="V6873" t="s">
        <v>71</v>
      </c>
      <c r="W6873" t="str">
        <f>"            25263179"</f>
        <v xml:space="preserve">            25263179</v>
      </c>
      <c r="X6873">
        <v>74.88</v>
      </c>
      <c r="Y6873">
        <v>0</v>
      </c>
      <c r="Z6873"/>
      <c r="AB6873"/>
      <c r="AC6873">
        <v>72</v>
      </c>
      <c r="AD6873">
        <v>284</v>
      </c>
      <c r="AE6873" s="1">
        <v>20448</v>
      </c>
      <c r="AF6873">
        <v>0</v>
      </c>
      <c r="AJ6873">
        <v>0</v>
      </c>
      <c r="AK6873">
        <v>0</v>
      </c>
      <c r="AL6873">
        <v>0</v>
      </c>
      <c r="AM6873">
        <v>0</v>
      </c>
      <c r="AN6873">
        <v>0</v>
      </c>
      <c r="AO6873">
        <v>0</v>
      </c>
      <c r="AP6873" s="2">
        <v>42746</v>
      </c>
      <c r="AQ6873" t="s">
        <v>72</v>
      </c>
      <c r="AR6873" t="s">
        <v>72</v>
      </c>
      <c r="AS6873">
        <v>2029</v>
      </c>
      <c r="AT6873" s="4">
        <v>42579</v>
      </c>
      <c r="AU6873" t="s">
        <v>73</v>
      </c>
      <c r="AV6873">
        <v>2029</v>
      </c>
      <c r="AW6873" s="4">
        <v>42579</v>
      </c>
      <c r="BD6873">
        <v>0</v>
      </c>
      <c r="BN6873" t="s">
        <v>74</v>
      </c>
    </row>
    <row r="6874" spans="1:66" hidden="1">
      <c r="A6874">
        <v>104093</v>
      </c>
      <c r="B6874" s="3" t="s">
        <v>609</v>
      </c>
      <c r="C6874" s="1">
        <v>43300101</v>
      </c>
      <c r="D6874" t="s">
        <v>67</v>
      </c>
      <c r="H6874" t="str">
        <f t="shared" si="684"/>
        <v>12572900152</v>
      </c>
      <c r="I6874" t="str">
        <f t="shared" si="685"/>
        <v>06032681006</v>
      </c>
      <c r="K6874" t="str">
        <f>""</f>
        <v/>
      </c>
      <c r="M6874" t="s">
        <v>68</v>
      </c>
      <c r="N6874" t="str">
        <f t="shared" si="683"/>
        <v>FOR</v>
      </c>
      <c r="O6874" t="s">
        <v>69</v>
      </c>
      <c r="P6874" s="3" t="s">
        <v>75</v>
      </c>
      <c r="Q6874">
        <v>2015</v>
      </c>
      <c r="R6874" s="2">
        <v>42234</v>
      </c>
      <c r="S6874" s="2">
        <v>42236</v>
      </c>
      <c r="T6874" s="2">
        <v>42235</v>
      </c>
      <c r="U6874" s="2">
        <v>42295</v>
      </c>
      <c r="V6874" t="s">
        <v>71</v>
      </c>
      <c r="W6874" t="str">
        <f>"            25263182"</f>
        <v xml:space="preserve">            25263182</v>
      </c>
      <c r="X6874">
        <v>74.88</v>
      </c>
      <c r="Y6874">
        <v>0</v>
      </c>
      <c r="Z6874"/>
      <c r="AB6874"/>
      <c r="AC6874">
        <v>72</v>
      </c>
      <c r="AD6874">
        <v>284</v>
      </c>
      <c r="AE6874" s="1">
        <v>20448</v>
      </c>
      <c r="AF6874">
        <v>0</v>
      </c>
      <c r="AJ6874">
        <v>0</v>
      </c>
      <c r="AK6874">
        <v>0</v>
      </c>
      <c r="AL6874">
        <v>0</v>
      </c>
      <c r="AM6874">
        <v>0</v>
      </c>
      <c r="AN6874">
        <v>0</v>
      </c>
      <c r="AO6874">
        <v>0</v>
      </c>
      <c r="AP6874" s="2">
        <v>42746</v>
      </c>
      <c r="AQ6874" t="s">
        <v>72</v>
      </c>
      <c r="AR6874" t="s">
        <v>72</v>
      </c>
      <c r="AS6874">
        <v>2029</v>
      </c>
      <c r="AT6874" s="4">
        <v>42579</v>
      </c>
      <c r="AU6874" t="s">
        <v>73</v>
      </c>
      <c r="AV6874">
        <v>2029</v>
      </c>
      <c r="AW6874" s="4">
        <v>42579</v>
      </c>
      <c r="BD6874">
        <v>0</v>
      </c>
      <c r="BN6874" t="s">
        <v>74</v>
      </c>
    </row>
    <row r="6875" spans="1:66" hidden="1">
      <c r="A6875">
        <v>104093</v>
      </c>
      <c r="B6875" s="3" t="s">
        <v>609</v>
      </c>
      <c r="C6875" s="1">
        <v>43300101</v>
      </c>
      <c r="D6875" t="s">
        <v>67</v>
      </c>
      <c r="H6875" t="str">
        <f t="shared" si="684"/>
        <v>12572900152</v>
      </c>
      <c r="I6875" t="str">
        <f t="shared" si="685"/>
        <v>06032681006</v>
      </c>
      <c r="K6875" t="str">
        <f>""</f>
        <v/>
      </c>
      <c r="M6875" t="s">
        <v>68</v>
      </c>
      <c r="N6875" t="str">
        <f t="shared" si="683"/>
        <v>FOR</v>
      </c>
      <c r="O6875" t="s">
        <v>69</v>
      </c>
      <c r="P6875" s="3" t="s">
        <v>75</v>
      </c>
      <c r="Q6875">
        <v>2015</v>
      </c>
      <c r="R6875" s="2">
        <v>42234</v>
      </c>
      <c r="S6875" s="2">
        <v>42236</v>
      </c>
      <c r="T6875" s="2">
        <v>42235</v>
      </c>
      <c r="U6875" s="2">
        <v>42295</v>
      </c>
      <c r="V6875" t="s">
        <v>71</v>
      </c>
      <c r="W6875" t="str">
        <f>"            25263184"</f>
        <v xml:space="preserve">            25263184</v>
      </c>
      <c r="X6875">
        <v>403.42</v>
      </c>
      <c r="Y6875">
        <v>0</v>
      </c>
      <c r="Z6875"/>
      <c r="AB6875"/>
      <c r="AC6875">
        <v>387.9</v>
      </c>
      <c r="AD6875">
        <v>284</v>
      </c>
      <c r="AE6875" s="1">
        <v>110163.6</v>
      </c>
      <c r="AF6875">
        <v>0</v>
      </c>
      <c r="AJ6875">
        <v>0</v>
      </c>
      <c r="AK6875">
        <v>0</v>
      </c>
      <c r="AL6875">
        <v>0</v>
      </c>
      <c r="AM6875">
        <v>0</v>
      </c>
      <c r="AN6875">
        <v>0</v>
      </c>
      <c r="AO6875">
        <v>0</v>
      </c>
      <c r="AP6875" s="2">
        <v>42746</v>
      </c>
      <c r="AQ6875" t="s">
        <v>72</v>
      </c>
      <c r="AR6875" t="s">
        <v>72</v>
      </c>
      <c r="AS6875">
        <v>2029</v>
      </c>
      <c r="AT6875" s="4">
        <v>42579</v>
      </c>
      <c r="AU6875" t="s">
        <v>73</v>
      </c>
      <c r="AV6875">
        <v>2029</v>
      </c>
      <c r="AW6875" s="4">
        <v>42579</v>
      </c>
      <c r="BD6875">
        <v>0</v>
      </c>
      <c r="BN6875" t="s">
        <v>74</v>
      </c>
    </row>
    <row r="6876" spans="1:66" hidden="1">
      <c r="A6876">
        <v>104093</v>
      </c>
      <c r="B6876" s="3" t="s">
        <v>609</v>
      </c>
      <c r="C6876" s="1">
        <v>43300101</v>
      </c>
      <c r="D6876" t="s">
        <v>67</v>
      </c>
      <c r="H6876" t="str">
        <f t="shared" si="684"/>
        <v>12572900152</v>
      </c>
      <c r="I6876" t="str">
        <f t="shared" si="685"/>
        <v>06032681006</v>
      </c>
      <c r="K6876" t="str">
        <f>""</f>
        <v/>
      </c>
      <c r="M6876" t="s">
        <v>68</v>
      </c>
      <c r="N6876" t="str">
        <f t="shared" si="683"/>
        <v>FOR</v>
      </c>
      <c r="O6876" t="s">
        <v>69</v>
      </c>
      <c r="P6876" s="3" t="s">
        <v>75</v>
      </c>
      <c r="Q6876">
        <v>2015</v>
      </c>
      <c r="R6876" s="2">
        <v>42234</v>
      </c>
      <c r="S6876" s="2">
        <v>42236</v>
      </c>
      <c r="T6876" s="2">
        <v>42235</v>
      </c>
      <c r="U6876" s="2">
        <v>42295</v>
      </c>
      <c r="V6876" t="s">
        <v>71</v>
      </c>
      <c r="W6876" t="str">
        <f>"            25263186"</f>
        <v xml:space="preserve">            25263186</v>
      </c>
      <c r="X6876">
        <v>74.88</v>
      </c>
      <c r="Y6876">
        <v>0</v>
      </c>
      <c r="Z6876"/>
      <c r="AB6876"/>
      <c r="AC6876">
        <v>72</v>
      </c>
      <c r="AD6876">
        <v>284</v>
      </c>
      <c r="AE6876" s="1">
        <v>20448</v>
      </c>
      <c r="AF6876">
        <v>0</v>
      </c>
      <c r="AJ6876">
        <v>0</v>
      </c>
      <c r="AK6876">
        <v>0</v>
      </c>
      <c r="AL6876">
        <v>0</v>
      </c>
      <c r="AM6876">
        <v>0</v>
      </c>
      <c r="AN6876">
        <v>0</v>
      </c>
      <c r="AO6876">
        <v>0</v>
      </c>
      <c r="AP6876" s="2">
        <v>42746</v>
      </c>
      <c r="AQ6876" t="s">
        <v>72</v>
      </c>
      <c r="AR6876" t="s">
        <v>72</v>
      </c>
      <c r="AS6876">
        <v>2029</v>
      </c>
      <c r="AT6876" s="4">
        <v>42579</v>
      </c>
      <c r="AU6876" t="s">
        <v>73</v>
      </c>
      <c r="AV6876">
        <v>2029</v>
      </c>
      <c r="AW6876" s="4">
        <v>42579</v>
      </c>
      <c r="BD6876">
        <v>0</v>
      </c>
      <c r="BN6876" t="s">
        <v>74</v>
      </c>
    </row>
    <row r="6877" spans="1:66" hidden="1">
      <c r="A6877">
        <v>104093</v>
      </c>
      <c r="B6877" s="3" t="s">
        <v>609</v>
      </c>
      <c r="C6877" s="1">
        <v>43300101</v>
      </c>
      <c r="D6877" t="s">
        <v>67</v>
      </c>
      <c r="H6877" t="str">
        <f t="shared" si="684"/>
        <v>12572900152</v>
      </c>
      <c r="I6877" t="str">
        <f t="shared" si="685"/>
        <v>06032681006</v>
      </c>
      <c r="K6877" t="str">
        <f>""</f>
        <v/>
      </c>
      <c r="M6877" t="s">
        <v>68</v>
      </c>
      <c r="N6877" t="str">
        <f t="shared" si="683"/>
        <v>FOR</v>
      </c>
      <c r="O6877" t="s">
        <v>69</v>
      </c>
      <c r="P6877" s="3" t="s">
        <v>75</v>
      </c>
      <c r="Q6877">
        <v>2015</v>
      </c>
      <c r="R6877" s="2">
        <v>42234</v>
      </c>
      <c r="S6877" s="2">
        <v>42236</v>
      </c>
      <c r="T6877" s="2">
        <v>42235</v>
      </c>
      <c r="U6877" s="2">
        <v>42295</v>
      </c>
      <c r="V6877" t="s">
        <v>71</v>
      </c>
      <c r="W6877" t="str">
        <f>"            25263189"</f>
        <v xml:space="preserve">            25263189</v>
      </c>
      <c r="X6877">
        <v>74.88</v>
      </c>
      <c r="Y6877">
        <v>0</v>
      </c>
      <c r="Z6877"/>
      <c r="AB6877"/>
      <c r="AC6877">
        <v>72</v>
      </c>
      <c r="AD6877">
        <v>284</v>
      </c>
      <c r="AE6877" s="1">
        <v>20448</v>
      </c>
      <c r="AF6877">
        <v>0</v>
      </c>
      <c r="AJ6877">
        <v>0</v>
      </c>
      <c r="AK6877">
        <v>0</v>
      </c>
      <c r="AL6877">
        <v>0</v>
      </c>
      <c r="AM6877">
        <v>0</v>
      </c>
      <c r="AN6877">
        <v>0</v>
      </c>
      <c r="AO6877">
        <v>0</v>
      </c>
      <c r="AP6877" s="2">
        <v>42746</v>
      </c>
      <c r="AQ6877" t="s">
        <v>72</v>
      </c>
      <c r="AR6877" t="s">
        <v>72</v>
      </c>
      <c r="AS6877">
        <v>2029</v>
      </c>
      <c r="AT6877" s="4">
        <v>42579</v>
      </c>
      <c r="AU6877" t="s">
        <v>73</v>
      </c>
      <c r="AV6877">
        <v>2029</v>
      </c>
      <c r="AW6877" s="4">
        <v>42579</v>
      </c>
      <c r="BD6877">
        <v>0</v>
      </c>
      <c r="BN6877" t="s">
        <v>74</v>
      </c>
    </row>
    <row r="6878" spans="1:66" hidden="1">
      <c r="A6878">
        <v>104093</v>
      </c>
      <c r="B6878" s="3" t="s">
        <v>609</v>
      </c>
      <c r="C6878" s="1">
        <v>43300101</v>
      </c>
      <c r="D6878" t="s">
        <v>67</v>
      </c>
      <c r="H6878" t="str">
        <f t="shared" si="684"/>
        <v>12572900152</v>
      </c>
      <c r="I6878" t="str">
        <f t="shared" si="685"/>
        <v>06032681006</v>
      </c>
      <c r="K6878" t="str">
        <f>""</f>
        <v/>
      </c>
      <c r="M6878" t="s">
        <v>68</v>
      </c>
      <c r="N6878" t="str">
        <f t="shared" si="683"/>
        <v>FOR</v>
      </c>
      <c r="O6878" t="s">
        <v>69</v>
      </c>
      <c r="P6878" s="3" t="s">
        <v>75</v>
      </c>
      <c r="Q6878">
        <v>2015</v>
      </c>
      <c r="R6878" s="2">
        <v>42236</v>
      </c>
      <c r="S6878" s="2">
        <v>42241</v>
      </c>
      <c r="T6878" s="2">
        <v>42238</v>
      </c>
      <c r="U6878" s="2">
        <v>42298</v>
      </c>
      <c r="V6878" t="s">
        <v>71</v>
      </c>
      <c r="W6878" t="str">
        <f>"            25263457"</f>
        <v xml:space="preserve">            25263457</v>
      </c>
      <c r="X6878">
        <v>74.88</v>
      </c>
      <c r="Y6878">
        <v>0</v>
      </c>
      <c r="Z6878"/>
      <c r="AB6878"/>
      <c r="AC6878">
        <v>72</v>
      </c>
      <c r="AD6878">
        <v>281</v>
      </c>
      <c r="AE6878" s="1">
        <v>20232</v>
      </c>
      <c r="AF6878">
        <v>0</v>
      </c>
      <c r="AJ6878">
        <v>0</v>
      </c>
      <c r="AK6878">
        <v>0</v>
      </c>
      <c r="AL6878">
        <v>0</v>
      </c>
      <c r="AM6878">
        <v>0</v>
      </c>
      <c r="AN6878">
        <v>0</v>
      </c>
      <c r="AO6878">
        <v>0</v>
      </c>
      <c r="AP6878" s="2">
        <v>42746</v>
      </c>
      <c r="AQ6878" t="s">
        <v>72</v>
      </c>
      <c r="AR6878" t="s">
        <v>72</v>
      </c>
      <c r="AS6878">
        <v>2029</v>
      </c>
      <c r="AT6878" s="4">
        <v>42579</v>
      </c>
      <c r="AU6878" t="s">
        <v>73</v>
      </c>
      <c r="AV6878">
        <v>2029</v>
      </c>
      <c r="AW6878" s="4">
        <v>42579</v>
      </c>
      <c r="BD6878">
        <v>0</v>
      </c>
      <c r="BN6878" t="s">
        <v>74</v>
      </c>
    </row>
    <row r="6879" spans="1:66" hidden="1">
      <c r="A6879">
        <v>104093</v>
      </c>
      <c r="B6879" s="3" t="s">
        <v>609</v>
      </c>
      <c r="C6879" s="1">
        <v>43300101</v>
      </c>
      <c r="D6879" t="s">
        <v>67</v>
      </c>
      <c r="H6879" t="str">
        <f t="shared" si="684"/>
        <v>12572900152</v>
      </c>
      <c r="I6879" t="str">
        <f t="shared" si="685"/>
        <v>06032681006</v>
      </c>
      <c r="K6879" t="str">
        <f>""</f>
        <v/>
      </c>
      <c r="M6879" t="s">
        <v>68</v>
      </c>
      <c r="N6879" t="str">
        <f t="shared" si="683"/>
        <v>FOR</v>
      </c>
      <c r="O6879" t="s">
        <v>69</v>
      </c>
      <c r="P6879" s="3" t="s">
        <v>75</v>
      </c>
      <c r="Q6879">
        <v>2015</v>
      </c>
      <c r="R6879" s="2">
        <v>42236</v>
      </c>
      <c r="S6879" s="2">
        <v>42241</v>
      </c>
      <c r="T6879" s="2">
        <v>42238</v>
      </c>
      <c r="U6879" s="2">
        <v>42298</v>
      </c>
      <c r="V6879" t="s">
        <v>71</v>
      </c>
      <c r="W6879" t="str">
        <f>"            25263458"</f>
        <v xml:space="preserve">            25263458</v>
      </c>
      <c r="X6879">
        <v>252.72</v>
      </c>
      <c r="Y6879">
        <v>0</v>
      </c>
      <c r="Z6879"/>
      <c r="AB6879"/>
      <c r="AC6879">
        <v>243</v>
      </c>
      <c r="AD6879">
        <v>281</v>
      </c>
      <c r="AE6879" s="1">
        <v>68283</v>
      </c>
      <c r="AF6879">
        <v>0</v>
      </c>
      <c r="AJ6879">
        <v>0</v>
      </c>
      <c r="AK6879">
        <v>0</v>
      </c>
      <c r="AL6879">
        <v>0</v>
      </c>
      <c r="AM6879">
        <v>0</v>
      </c>
      <c r="AN6879">
        <v>0</v>
      </c>
      <c r="AO6879">
        <v>0</v>
      </c>
      <c r="AP6879" s="2">
        <v>42746</v>
      </c>
      <c r="AQ6879" t="s">
        <v>72</v>
      </c>
      <c r="AR6879" t="s">
        <v>72</v>
      </c>
      <c r="AS6879">
        <v>2029</v>
      </c>
      <c r="AT6879" s="4">
        <v>42579</v>
      </c>
      <c r="AU6879" t="s">
        <v>73</v>
      </c>
      <c r="AV6879">
        <v>2029</v>
      </c>
      <c r="AW6879" s="4">
        <v>42579</v>
      </c>
      <c r="BD6879">
        <v>0</v>
      </c>
      <c r="BN6879" t="s">
        <v>74</v>
      </c>
    </row>
    <row r="6880" spans="1:66" hidden="1">
      <c r="A6880">
        <v>104093</v>
      </c>
      <c r="B6880" s="3" t="s">
        <v>609</v>
      </c>
      <c r="C6880" s="1">
        <v>43300101</v>
      </c>
      <c r="D6880" t="s">
        <v>67</v>
      </c>
      <c r="H6880" t="str">
        <f t="shared" si="684"/>
        <v>12572900152</v>
      </c>
      <c r="I6880" t="str">
        <f t="shared" si="685"/>
        <v>06032681006</v>
      </c>
      <c r="K6880" t="str">
        <f>""</f>
        <v/>
      </c>
      <c r="M6880" t="s">
        <v>68</v>
      </c>
      <c r="N6880" t="str">
        <f t="shared" si="683"/>
        <v>FOR</v>
      </c>
      <c r="O6880" t="s">
        <v>69</v>
      </c>
      <c r="P6880" s="3" t="s">
        <v>75</v>
      </c>
      <c r="Q6880">
        <v>2015</v>
      </c>
      <c r="R6880" s="2">
        <v>42236</v>
      </c>
      <c r="S6880" s="2">
        <v>42241</v>
      </c>
      <c r="T6880" s="2">
        <v>42238</v>
      </c>
      <c r="U6880" s="2">
        <v>42298</v>
      </c>
      <c r="V6880" t="s">
        <v>71</v>
      </c>
      <c r="W6880" t="str">
        <f>"            25263459"</f>
        <v xml:space="preserve">            25263459</v>
      </c>
      <c r="X6880">
        <v>707.62</v>
      </c>
      <c r="Y6880">
        <v>0</v>
      </c>
      <c r="Z6880"/>
      <c r="AB6880"/>
      <c r="AC6880">
        <v>680.4</v>
      </c>
      <c r="AD6880">
        <v>281</v>
      </c>
      <c r="AE6880" s="1">
        <v>191192.4</v>
      </c>
      <c r="AF6880">
        <v>0</v>
      </c>
      <c r="AJ6880">
        <v>0</v>
      </c>
      <c r="AK6880">
        <v>0</v>
      </c>
      <c r="AL6880">
        <v>0</v>
      </c>
      <c r="AM6880">
        <v>0</v>
      </c>
      <c r="AN6880">
        <v>0</v>
      </c>
      <c r="AO6880">
        <v>0</v>
      </c>
      <c r="AP6880" s="2">
        <v>42746</v>
      </c>
      <c r="AQ6880" t="s">
        <v>72</v>
      </c>
      <c r="AR6880" t="s">
        <v>72</v>
      </c>
      <c r="AS6880">
        <v>2029</v>
      </c>
      <c r="AT6880" s="4">
        <v>42579</v>
      </c>
      <c r="AU6880" t="s">
        <v>73</v>
      </c>
      <c r="AV6880">
        <v>2029</v>
      </c>
      <c r="AW6880" s="4">
        <v>42579</v>
      </c>
      <c r="BD6880">
        <v>0</v>
      </c>
      <c r="BN6880" t="s">
        <v>74</v>
      </c>
    </row>
    <row r="6881" spans="1:66" hidden="1">
      <c r="A6881">
        <v>104093</v>
      </c>
      <c r="B6881" s="3" t="s">
        <v>609</v>
      </c>
      <c r="C6881" s="1">
        <v>43300101</v>
      </c>
      <c r="D6881" t="s">
        <v>67</v>
      </c>
      <c r="H6881" t="str">
        <f t="shared" si="684"/>
        <v>12572900152</v>
      </c>
      <c r="I6881" t="str">
        <f t="shared" si="685"/>
        <v>06032681006</v>
      </c>
      <c r="K6881" t="str">
        <f>""</f>
        <v/>
      </c>
      <c r="M6881" t="s">
        <v>68</v>
      </c>
      <c r="N6881" t="str">
        <f t="shared" si="683"/>
        <v>FOR</v>
      </c>
      <c r="O6881" t="s">
        <v>69</v>
      </c>
      <c r="P6881" s="3" t="s">
        <v>75</v>
      </c>
      <c r="Q6881">
        <v>2015</v>
      </c>
      <c r="R6881" s="2">
        <v>42241</v>
      </c>
      <c r="S6881" s="2">
        <v>42243</v>
      </c>
      <c r="T6881" s="2">
        <v>42242</v>
      </c>
      <c r="U6881" s="2">
        <v>42302</v>
      </c>
      <c r="V6881" t="s">
        <v>71</v>
      </c>
      <c r="W6881" t="str">
        <f>"            25263946"</f>
        <v xml:space="preserve">            25263946</v>
      </c>
      <c r="X6881">
        <v>252.72</v>
      </c>
      <c r="Y6881">
        <v>0</v>
      </c>
      <c r="Z6881"/>
      <c r="AB6881"/>
      <c r="AC6881">
        <v>243</v>
      </c>
      <c r="AD6881">
        <v>277</v>
      </c>
      <c r="AE6881" s="1">
        <v>67311</v>
      </c>
      <c r="AF6881">
        <v>0</v>
      </c>
      <c r="AJ6881">
        <v>0</v>
      </c>
      <c r="AK6881">
        <v>0</v>
      </c>
      <c r="AL6881">
        <v>0</v>
      </c>
      <c r="AM6881">
        <v>0</v>
      </c>
      <c r="AN6881">
        <v>0</v>
      </c>
      <c r="AO6881">
        <v>0</v>
      </c>
      <c r="AP6881" s="2">
        <v>42746</v>
      </c>
      <c r="AQ6881" t="s">
        <v>72</v>
      </c>
      <c r="AR6881" t="s">
        <v>72</v>
      </c>
      <c r="AS6881">
        <v>2029</v>
      </c>
      <c r="AT6881" s="4">
        <v>42579</v>
      </c>
      <c r="AU6881" t="s">
        <v>73</v>
      </c>
      <c r="AV6881">
        <v>2029</v>
      </c>
      <c r="AW6881" s="4">
        <v>42579</v>
      </c>
      <c r="BD6881">
        <v>0</v>
      </c>
      <c r="BN6881" t="s">
        <v>74</v>
      </c>
    </row>
    <row r="6882" spans="1:66" hidden="1">
      <c r="A6882">
        <v>104093</v>
      </c>
      <c r="B6882" s="3" t="s">
        <v>609</v>
      </c>
      <c r="C6882" s="1">
        <v>43300101</v>
      </c>
      <c r="D6882" t="s">
        <v>67</v>
      </c>
      <c r="H6882" t="str">
        <f t="shared" si="684"/>
        <v>12572900152</v>
      </c>
      <c r="I6882" t="str">
        <f t="shared" si="685"/>
        <v>06032681006</v>
      </c>
      <c r="K6882" t="str">
        <f>""</f>
        <v/>
      </c>
      <c r="M6882" t="s">
        <v>68</v>
      </c>
      <c r="N6882" t="str">
        <f t="shared" si="683"/>
        <v>FOR</v>
      </c>
      <c r="O6882" t="s">
        <v>69</v>
      </c>
      <c r="P6882" s="3" t="s">
        <v>75</v>
      </c>
      <c r="Q6882">
        <v>2015</v>
      </c>
      <c r="R6882" s="2">
        <v>42241</v>
      </c>
      <c r="S6882" s="2">
        <v>42243</v>
      </c>
      <c r="T6882" s="2">
        <v>42242</v>
      </c>
      <c r="U6882" s="2">
        <v>42302</v>
      </c>
      <c r="V6882" t="s">
        <v>71</v>
      </c>
      <c r="W6882" t="str">
        <f>"            25263949"</f>
        <v xml:space="preserve">            25263949</v>
      </c>
      <c r="X6882">
        <v>74.88</v>
      </c>
      <c r="Y6882">
        <v>0</v>
      </c>
      <c r="Z6882"/>
      <c r="AB6882"/>
      <c r="AC6882">
        <v>72</v>
      </c>
      <c r="AD6882">
        <v>277</v>
      </c>
      <c r="AE6882" s="1">
        <v>19944</v>
      </c>
      <c r="AF6882">
        <v>0</v>
      </c>
      <c r="AJ6882">
        <v>0</v>
      </c>
      <c r="AK6882">
        <v>0</v>
      </c>
      <c r="AL6882">
        <v>0</v>
      </c>
      <c r="AM6882">
        <v>0</v>
      </c>
      <c r="AN6882">
        <v>0</v>
      </c>
      <c r="AO6882">
        <v>0</v>
      </c>
      <c r="AP6882" s="2">
        <v>42746</v>
      </c>
      <c r="AQ6882" t="s">
        <v>72</v>
      </c>
      <c r="AR6882" t="s">
        <v>72</v>
      </c>
      <c r="AS6882">
        <v>2029</v>
      </c>
      <c r="AT6882" s="4">
        <v>42579</v>
      </c>
      <c r="AU6882" t="s">
        <v>73</v>
      </c>
      <c r="AV6882">
        <v>2029</v>
      </c>
      <c r="AW6882" s="4">
        <v>42579</v>
      </c>
      <c r="BD6882">
        <v>0</v>
      </c>
      <c r="BN6882" t="s">
        <v>74</v>
      </c>
    </row>
    <row r="6883" spans="1:66" hidden="1">
      <c r="A6883">
        <v>104093</v>
      </c>
      <c r="B6883" s="3" t="s">
        <v>609</v>
      </c>
      <c r="C6883" s="1">
        <v>43300101</v>
      </c>
      <c r="D6883" t="s">
        <v>67</v>
      </c>
      <c r="H6883" t="str">
        <f t="shared" si="684"/>
        <v>12572900152</v>
      </c>
      <c r="I6883" t="str">
        <f t="shared" si="685"/>
        <v>06032681006</v>
      </c>
      <c r="K6883" t="str">
        <f>""</f>
        <v/>
      </c>
      <c r="M6883" t="s">
        <v>68</v>
      </c>
      <c r="N6883" t="str">
        <f t="shared" si="683"/>
        <v>FOR</v>
      </c>
      <c r="O6883" t="s">
        <v>69</v>
      </c>
      <c r="P6883" s="3" t="s">
        <v>75</v>
      </c>
      <c r="Q6883">
        <v>2015</v>
      </c>
      <c r="R6883" s="2">
        <v>42241</v>
      </c>
      <c r="S6883" s="2">
        <v>42243</v>
      </c>
      <c r="T6883" s="2">
        <v>42242</v>
      </c>
      <c r="U6883" s="2">
        <v>42302</v>
      </c>
      <c r="V6883" t="s">
        <v>71</v>
      </c>
      <c r="W6883" t="str">
        <f>"            25263950"</f>
        <v xml:space="preserve">            25263950</v>
      </c>
      <c r="X6883">
        <v>926.64</v>
      </c>
      <c r="Y6883">
        <v>0</v>
      </c>
      <c r="Z6883"/>
      <c r="AB6883"/>
      <c r="AC6883">
        <v>891</v>
      </c>
      <c r="AD6883">
        <v>277</v>
      </c>
      <c r="AE6883" s="1">
        <v>246807</v>
      </c>
      <c r="AF6883">
        <v>0</v>
      </c>
      <c r="AJ6883">
        <v>0</v>
      </c>
      <c r="AK6883">
        <v>0</v>
      </c>
      <c r="AL6883">
        <v>0</v>
      </c>
      <c r="AM6883">
        <v>0</v>
      </c>
      <c r="AN6883">
        <v>0</v>
      </c>
      <c r="AO6883">
        <v>0</v>
      </c>
      <c r="AP6883" s="2">
        <v>42746</v>
      </c>
      <c r="AQ6883" t="s">
        <v>72</v>
      </c>
      <c r="AR6883" t="s">
        <v>72</v>
      </c>
      <c r="AS6883">
        <v>2029</v>
      </c>
      <c r="AT6883" s="4">
        <v>42579</v>
      </c>
      <c r="AU6883" t="s">
        <v>73</v>
      </c>
      <c r="AV6883">
        <v>2029</v>
      </c>
      <c r="AW6883" s="4">
        <v>42579</v>
      </c>
      <c r="BD6883">
        <v>0</v>
      </c>
      <c r="BN6883" t="s">
        <v>74</v>
      </c>
    </row>
    <row r="6884" spans="1:66" hidden="1">
      <c r="A6884">
        <v>104093</v>
      </c>
      <c r="B6884" s="3" t="s">
        <v>609</v>
      </c>
      <c r="C6884" s="1">
        <v>43300101</v>
      </c>
      <c r="D6884" t="s">
        <v>67</v>
      </c>
      <c r="H6884" t="str">
        <f t="shared" si="684"/>
        <v>12572900152</v>
      </c>
      <c r="I6884" t="str">
        <f t="shared" si="685"/>
        <v>06032681006</v>
      </c>
      <c r="K6884" t="str">
        <f>""</f>
        <v/>
      </c>
      <c r="M6884" t="s">
        <v>68</v>
      </c>
      <c r="N6884" t="str">
        <f t="shared" si="683"/>
        <v>FOR</v>
      </c>
      <c r="O6884" t="s">
        <v>69</v>
      </c>
      <c r="P6884" s="3" t="s">
        <v>75</v>
      </c>
      <c r="Q6884">
        <v>2015</v>
      </c>
      <c r="R6884" s="2">
        <v>42241</v>
      </c>
      <c r="S6884" s="2">
        <v>42243</v>
      </c>
      <c r="T6884" s="2">
        <v>42242</v>
      </c>
      <c r="U6884" s="2">
        <v>42302</v>
      </c>
      <c r="V6884" t="s">
        <v>71</v>
      </c>
      <c r="W6884" t="str">
        <f>"            25263951"</f>
        <v xml:space="preserve">            25263951</v>
      </c>
      <c r="X6884">
        <v>74.88</v>
      </c>
      <c r="Y6884">
        <v>0</v>
      </c>
      <c r="Z6884"/>
      <c r="AB6884"/>
      <c r="AC6884">
        <v>72</v>
      </c>
      <c r="AD6884">
        <v>277</v>
      </c>
      <c r="AE6884" s="1">
        <v>19944</v>
      </c>
      <c r="AF6884">
        <v>0</v>
      </c>
      <c r="AJ6884">
        <v>0</v>
      </c>
      <c r="AK6884">
        <v>0</v>
      </c>
      <c r="AL6884">
        <v>0</v>
      </c>
      <c r="AM6884">
        <v>0</v>
      </c>
      <c r="AN6884">
        <v>0</v>
      </c>
      <c r="AO6884">
        <v>0</v>
      </c>
      <c r="AP6884" s="2">
        <v>42746</v>
      </c>
      <c r="AQ6884" t="s">
        <v>72</v>
      </c>
      <c r="AR6884" t="s">
        <v>72</v>
      </c>
      <c r="AS6884">
        <v>2029</v>
      </c>
      <c r="AT6884" s="4">
        <v>42579</v>
      </c>
      <c r="AU6884" t="s">
        <v>73</v>
      </c>
      <c r="AV6884">
        <v>2029</v>
      </c>
      <c r="AW6884" s="4">
        <v>42579</v>
      </c>
      <c r="BD6884">
        <v>0</v>
      </c>
      <c r="BN6884" t="s">
        <v>74</v>
      </c>
    </row>
    <row r="6885" spans="1:66" hidden="1">
      <c r="A6885">
        <v>104093</v>
      </c>
      <c r="B6885" s="3" t="s">
        <v>609</v>
      </c>
      <c r="C6885" s="1">
        <v>43300101</v>
      </c>
      <c r="D6885" t="s">
        <v>67</v>
      </c>
      <c r="H6885" t="str">
        <f t="shared" si="684"/>
        <v>12572900152</v>
      </c>
      <c r="I6885" t="str">
        <f t="shared" si="685"/>
        <v>06032681006</v>
      </c>
      <c r="K6885" t="str">
        <f>""</f>
        <v/>
      </c>
      <c r="M6885" t="s">
        <v>68</v>
      </c>
      <c r="N6885" t="str">
        <f t="shared" si="683"/>
        <v>FOR</v>
      </c>
      <c r="O6885" t="s">
        <v>69</v>
      </c>
      <c r="P6885" s="3" t="s">
        <v>75</v>
      </c>
      <c r="Q6885">
        <v>2015</v>
      </c>
      <c r="R6885" s="2">
        <v>42241</v>
      </c>
      <c r="S6885" s="2">
        <v>42243</v>
      </c>
      <c r="T6885" s="2">
        <v>42242</v>
      </c>
      <c r="U6885" s="2">
        <v>42302</v>
      </c>
      <c r="V6885" t="s">
        <v>71</v>
      </c>
      <c r="W6885" t="str">
        <f>"            25263952"</f>
        <v xml:space="preserve">            25263952</v>
      </c>
      <c r="X6885">
        <v>926.64</v>
      </c>
      <c r="Y6885">
        <v>0</v>
      </c>
      <c r="Z6885"/>
      <c r="AB6885"/>
      <c r="AC6885">
        <v>891</v>
      </c>
      <c r="AD6885">
        <v>277</v>
      </c>
      <c r="AE6885" s="1">
        <v>246807</v>
      </c>
      <c r="AF6885">
        <v>0</v>
      </c>
      <c r="AJ6885">
        <v>0</v>
      </c>
      <c r="AK6885">
        <v>0</v>
      </c>
      <c r="AL6885">
        <v>0</v>
      </c>
      <c r="AM6885">
        <v>0</v>
      </c>
      <c r="AN6885">
        <v>0</v>
      </c>
      <c r="AO6885">
        <v>0</v>
      </c>
      <c r="AP6885" s="2">
        <v>42746</v>
      </c>
      <c r="AQ6885" t="s">
        <v>72</v>
      </c>
      <c r="AR6885" t="s">
        <v>72</v>
      </c>
      <c r="AS6885">
        <v>2029</v>
      </c>
      <c r="AT6885" s="4">
        <v>42579</v>
      </c>
      <c r="AU6885" t="s">
        <v>73</v>
      </c>
      <c r="AV6885">
        <v>2029</v>
      </c>
      <c r="AW6885" s="4">
        <v>42579</v>
      </c>
      <c r="BD6885">
        <v>0</v>
      </c>
      <c r="BN6885" t="s">
        <v>74</v>
      </c>
    </row>
    <row r="6886" spans="1:66" hidden="1">
      <c r="A6886">
        <v>104093</v>
      </c>
      <c r="B6886" s="3" t="s">
        <v>609</v>
      </c>
      <c r="C6886" s="1">
        <v>43300101</v>
      </c>
      <c r="D6886" t="s">
        <v>67</v>
      </c>
      <c r="H6886" t="str">
        <f t="shared" si="684"/>
        <v>12572900152</v>
      </c>
      <c r="I6886" t="str">
        <f t="shared" si="685"/>
        <v>06032681006</v>
      </c>
      <c r="K6886" t="str">
        <f>""</f>
        <v/>
      </c>
      <c r="M6886" t="s">
        <v>68</v>
      </c>
      <c r="N6886" t="str">
        <f t="shared" si="683"/>
        <v>FOR</v>
      </c>
      <c r="O6886" t="s">
        <v>69</v>
      </c>
      <c r="P6886" s="3" t="s">
        <v>75</v>
      </c>
      <c r="Q6886">
        <v>2015</v>
      </c>
      <c r="R6886" s="2">
        <v>42241</v>
      </c>
      <c r="S6886" s="2">
        <v>42243</v>
      </c>
      <c r="T6886" s="2">
        <v>42242</v>
      </c>
      <c r="U6886" s="2">
        <v>42302</v>
      </c>
      <c r="V6886" t="s">
        <v>71</v>
      </c>
      <c r="W6886" t="str">
        <f>"            25263953"</f>
        <v xml:space="preserve">            25263953</v>
      </c>
      <c r="X6886">
        <v>74.88</v>
      </c>
      <c r="Y6886">
        <v>0</v>
      </c>
      <c r="Z6886"/>
      <c r="AB6886"/>
      <c r="AC6886">
        <v>72</v>
      </c>
      <c r="AD6886">
        <v>277</v>
      </c>
      <c r="AE6886" s="1">
        <v>19944</v>
      </c>
      <c r="AF6886">
        <v>0</v>
      </c>
      <c r="AJ6886">
        <v>0</v>
      </c>
      <c r="AK6886">
        <v>0</v>
      </c>
      <c r="AL6886">
        <v>0</v>
      </c>
      <c r="AM6886">
        <v>0</v>
      </c>
      <c r="AN6886">
        <v>0</v>
      </c>
      <c r="AO6886">
        <v>0</v>
      </c>
      <c r="AP6886" s="2">
        <v>42746</v>
      </c>
      <c r="AQ6886" t="s">
        <v>72</v>
      </c>
      <c r="AR6886" t="s">
        <v>72</v>
      </c>
      <c r="AS6886">
        <v>2029</v>
      </c>
      <c r="AT6886" s="4">
        <v>42579</v>
      </c>
      <c r="AU6886" t="s">
        <v>73</v>
      </c>
      <c r="AV6886">
        <v>2029</v>
      </c>
      <c r="AW6886" s="4">
        <v>42579</v>
      </c>
      <c r="BD6886">
        <v>0</v>
      </c>
      <c r="BN6886" t="s">
        <v>74</v>
      </c>
    </row>
    <row r="6887" spans="1:66" hidden="1">
      <c r="A6887">
        <v>104093</v>
      </c>
      <c r="B6887" s="3" t="s">
        <v>609</v>
      </c>
      <c r="C6887" s="1">
        <v>43300101</v>
      </c>
      <c r="D6887" t="s">
        <v>67</v>
      </c>
      <c r="H6887" t="str">
        <f t="shared" si="684"/>
        <v>12572900152</v>
      </c>
      <c r="I6887" t="str">
        <f t="shared" si="685"/>
        <v>06032681006</v>
      </c>
      <c r="K6887" t="str">
        <f>""</f>
        <v/>
      </c>
      <c r="M6887" t="s">
        <v>68</v>
      </c>
      <c r="N6887" t="str">
        <f t="shared" si="683"/>
        <v>FOR</v>
      </c>
      <c r="O6887" t="s">
        <v>69</v>
      </c>
      <c r="P6887" s="3" t="s">
        <v>75</v>
      </c>
      <c r="Q6887">
        <v>2015</v>
      </c>
      <c r="R6887" s="2">
        <v>42241</v>
      </c>
      <c r="S6887" s="2">
        <v>42243</v>
      </c>
      <c r="T6887" s="2">
        <v>42242</v>
      </c>
      <c r="U6887" s="2">
        <v>42302</v>
      </c>
      <c r="V6887" t="s">
        <v>71</v>
      </c>
      <c r="W6887" t="str">
        <f>"            25263954"</f>
        <v xml:space="preserve">            25263954</v>
      </c>
      <c r="X6887">
        <v>252.72</v>
      </c>
      <c r="Y6887">
        <v>0</v>
      </c>
      <c r="Z6887"/>
      <c r="AB6887"/>
      <c r="AC6887">
        <v>243</v>
      </c>
      <c r="AD6887">
        <v>277</v>
      </c>
      <c r="AE6887" s="1">
        <v>67311</v>
      </c>
      <c r="AF6887">
        <v>0</v>
      </c>
      <c r="AJ6887">
        <v>0</v>
      </c>
      <c r="AK6887">
        <v>0</v>
      </c>
      <c r="AL6887">
        <v>0</v>
      </c>
      <c r="AM6887">
        <v>0</v>
      </c>
      <c r="AN6887">
        <v>0</v>
      </c>
      <c r="AO6887">
        <v>0</v>
      </c>
      <c r="AP6887" s="2">
        <v>42746</v>
      </c>
      <c r="AQ6887" t="s">
        <v>72</v>
      </c>
      <c r="AR6887" t="s">
        <v>72</v>
      </c>
      <c r="AS6887">
        <v>2029</v>
      </c>
      <c r="AT6887" s="4">
        <v>42579</v>
      </c>
      <c r="AU6887" t="s">
        <v>73</v>
      </c>
      <c r="AV6887">
        <v>2029</v>
      </c>
      <c r="AW6887" s="4">
        <v>42579</v>
      </c>
      <c r="BD6887">
        <v>0</v>
      </c>
      <c r="BN6887" t="s">
        <v>74</v>
      </c>
    </row>
    <row r="6888" spans="1:66" hidden="1">
      <c r="A6888">
        <v>104093</v>
      </c>
      <c r="B6888" s="3" t="s">
        <v>609</v>
      </c>
      <c r="C6888" s="1">
        <v>43300101</v>
      </c>
      <c r="D6888" t="s">
        <v>67</v>
      </c>
      <c r="H6888" t="str">
        <f t="shared" si="684"/>
        <v>12572900152</v>
      </c>
      <c r="I6888" t="str">
        <f t="shared" si="685"/>
        <v>06032681006</v>
      </c>
      <c r="K6888" t="str">
        <f>""</f>
        <v/>
      </c>
      <c r="M6888" t="s">
        <v>68</v>
      </c>
      <c r="N6888" t="str">
        <f t="shared" si="683"/>
        <v>FOR</v>
      </c>
      <c r="O6888" t="s">
        <v>69</v>
      </c>
      <c r="P6888" s="3" t="s">
        <v>75</v>
      </c>
      <c r="Q6888">
        <v>2015</v>
      </c>
      <c r="R6888" s="2">
        <v>42241</v>
      </c>
      <c r="S6888" s="2">
        <v>42243</v>
      </c>
      <c r="T6888" s="2">
        <v>42242</v>
      </c>
      <c r="U6888" s="2">
        <v>42302</v>
      </c>
      <c r="V6888" t="s">
        <v>71</v>
      </c>
      <c r="W6888" t="str">
        <f>"            25263956"</f>
        <v xml:space="preserve">            25263956</v>
      </c>
      <c r="X6888">
        <v>707.62</v>
      </c>
      <c r="Y6888">
        <v>0</v>
      </c>
      <c r="Z6888"/>
      <c r="AB6888"/>
      <c r="AC6888">
        <v>680.4</v>
      </c>
      <c r="AD6888">
        <v>277</v>
      </c>
      <c r="AE6888" s="1">
        <v>188470.8</v>
      </c>
      <c r="AF6888">
        <v>0</v>
      </c>
      <c r="AJ6888">
        <v>0</v>
      </c>
      <c r="AK6888">
        <v>0</v>
      </c>
      <c r="AL6888">
        <v>0</v>
      </c>
      <c r="AM6888">
        <v>0</v>
      </c>
      <c r="AN6888">
        <v>0</v>
      </c>
      <c r="AO6888">
        <v>0</v>
      </c>
      <c r="AP6888" s="2">
        <v>42746</v>
      </c>
      <c r="AQ6888" t="s">
        <v>72</v>
      </c>
      <c r="AR6888" t="s">
        <v>72</v>
      </c>
      <c r="AS6888">
        <v>2029</v>
      </c>
      <c r="AT6888" s="4">
        <v>42579</v>
      </c>
      <c r="AU6888" t="s">
        <v>73</v>
      </c>
      <c r="AV6888">
        <v>2029</v>
      </c>
      <c r="AW6888" s="4">
        <v>42579</v>
      </c>
      <c r="BD6888">
        <v>0</v>
      </c>
      <c r="BN6888" t="s">
        <v>74</v>
      </c>
    </row>
    <row r="6889" spans="1:66" hidden="1">
      <c r="A6889">
        <v>104093</v>
      </c>
      <c r="B6889" s="3" t="s">
        <v>609</v>
      </c>
      <c r="C6889" s="1">
        <v>43300101</v>
      </c>
      <c r="D6889" t="s">
        <v>67</v>
      </c>
      <c r="H6889" t="str">
        <f t="shared" si="684"/>
        <v>12572900152</v>
      </c>
      <c r="I6889" t="str">
        <f t="shared" si="685"/>
        <v>06032681006</v>
      </c>
      <c r="K6889" t="str">
        <f>""</f>
        <v/>
      </c>
      <c r="M6889" t="s">
        <v>68</v>
      </c>
      <c r="N6889" t="str">
        <f t="shared" si="683"/>
        <v>FOR</v>
      </c>
      <c r="O6889" t="s">
        <v>69</v>
      </c>
      <c r="P6889" s="3" t="s">
        <v>75</v>
      </c>
      <c r="Q6889">
        <v>2015</v>
      </c>
      <c r="R6889" s="2">
        <v>42241</v>
      </c>
      <c r="S6889" s="2">
        <v>42243</v>
      </c>
      <c r="T6889" s="2">
        <v>42242</v>
      </c>
      <c r="U6889" s="2">
        <v>42302</v>
      </c>
      <c r="V6889" t="s">
        <v>71</v>
      </c>
      <c r="W6889" t="str">
        <f>"            25263957"</f>
        <v xml:space="preserve">            25263957</v>
      </c>
      <c r="X6889">
        <v>707.62</v>
      </c>
      <c r="Y6889">
        <v>0</v>
      </c>
      <c r="Z6889"/>
      <c r="AB6889"/>
      <c r="AC6889">
        <v>680.4</v>
      </c>
      <c r="AD6889">
        <v>277</v>
      </c>
      <c r="AE6889" s="1">
        <v>188470.8</v>
      </c>
      <c r="AF6889">
        <v>0</v>
      </c>
      <c r="AJ6889">
        <v>0</v>
      </c>
      <c r="AK6889">
        <v>0</v>
      </c>
      <c r="AL6889">
        <v>0</v>
      </c>
      <c r="AM6889">
        <v>0</v>
      </c>
      <c r="AN6889">
        <v>0</v>
      </c>
      <c r="AO6889">
        <v>0</v>
      </c>
      <c r="AP6889" s="2">
        <v>42746</v>
      </c>
      <c r="AQ6889" t="s">
        <v>72</v>
      </c>
      <c r="AR6889" t="s">
        <v>72</v>
      </c>
      <c r="AS6889">
        <v>2029</v>
      </c>
      <c r="AT6889" s="4">
        <v>42579</v>
      </c>
      <c r="AU6889" t="s">
        <v>73</v>
      </c>
      <c r="AV6889">
        <v>2029</v>
      </c>
      <c r="AW6889" s="4">
        <v>42579</v>
      </c>
      <c r="BD6889">
        <v>0</v>
      </c>
      <c r="BN6889" t="s">
        <v>74</v>
      </c>
    </row>
    <row r="6890" spans="1:66" hidden="1">
      <c r="A6890">
        <v>104093</v>
      </c>
      <c r="B6890" s="3" t="s">
        <v>609</v>
      </c>
      <c r="C6890" s="1">
        <v>43300101</v>
      </c>
      <c r="D6890" t="s">
        <v>67</v>
      </c>
      <c r="H6890" t="str">
        <f t="shared" si="684"/>
        <v>12572900152</v>
      </c>
      <c r="I6890" t="str">
        <f t="shared" si="685"/>
        <v>06032681006</v>
      </c>
      <c r="K6890" t="str">
        <f>""</f>
        <v/>
      </c>
      <c r="M6890" t="s">
        <v>68</v>
      </c>
      <c r="N6890" t="str">
        <f t="shared" si="683"/>
        <v>FOR</v>
      </c>
      <c r="O6890" t="s">
        <v>69</v>
      </c>
      <c r="P6890" s="3" t="s">
        <v>75</v>
      </c>
      <c r="Q6890">
        <v>2015</v>
      </c>
      <c r="R6890" s="2">
        <v>42241</v>
      </c>
      <c r="S6890" s="2">
        <v>42243</v>
      </c>
      <c r="T6890" s="2">
        <v>42242</v>
      </c>
      <c r="U6890" s="2">
        <v>42302</v>
      </c>
      <c r="V6890" t="s">
        <v>71</v>
      </c>
      <c r="W6890" t="str">
        <f>"            25263958"</f>
        <v xml:space="preserve">            25263958</v>
      </c>
      <c r="X6890">
        <v>74.88</v>
      </c>
      <c r="Y6890">
        <v>0</v>
      </c>
      <c r="Z6890"/>
      <c r="AB6890"/>
      <c r="AC6890">
        <v>72</v>
      </c>
      <c r="AD6890">
        <v>277</v>
      </c>
      <c r="AE6890" s="1">
        <v>19944</v>
      </c>
      <c r="AF6890">
        <v>0</v>
      </c>
      <c r="AJ6890">
        <v>0</v>
      </c>
      <c r="AK6890">
        <v>0</v>
      </c>
      <c r="AL6890">
        <v>0</v>
      </c>
      <c r="AM6890">
        <v>0</v>
      </c>
      <c r="AN6890">
        <v>0</v>
      </c>
      <c r="AO6890">
        <v>0</v>
      </c>
      <c r="AP6890" s="2">
        <v>42746</v>
      </c>
      <c r="AQ6890" t="s">
        <v>72</v>
      </c>
      <c r="AR6890" t="s">
        <v>72</v>
      </c>
      <c r="AS6890">
        <v>2029</v>
      </c>
      <c r="AT6890" s="4">
        <v>42579</v>
      </c>
      <c r="AU6890" t="s">
        <v>73</v>
      </c>
      <c r="AV6890">
        <v>2029</v>
      </c>
      <c r="AW6890" s="4">
        <v>42579</v>
      </c>
      <c r="BD6890">
        <v>0</v>
      </c>
      <c r="BN6890" t="s">
        <v>74</v>
      </c>
    </row>
    <row r="6891" spans="1:66" hidden="1">
      <c r="A6891">
        <v>104093</v>
      </c>
      <c r="B6891" s="3" t="s">
        <v>609</v>
      </c>
      <c r="C6891" s="1">
        <v>43300101</v>
      </c>
      <c r="D6891" t="s">
        <v>67</v>
      </c>
      <c r="H6891" t="str">
        <f t="shared" si="684"/>
        <v>12572900152</v>
      </c>
      <c r="I6891" t="str">
        <f t="shared" si="685"/>
        <v>06032681006</v>
      </c>
      <c r="K6891" t="str">
        <f>""</f>
        <v/>
      </c>
      <c r="M6891" t="s">
        <v>68</v>
      </c>
      <c r="N6891" t="str">
        <f t="shared" si="683"/>
        <v>FOR</v>
      </c>
      <c r="O6891" t="s">
        <v>69</v>
      </c>
      <c r="P6891" s="3" t="s">
        <v>75</v>
      </c>
      <c r="Q6891">
        <v>2015</v>
      </c>
      <c r="R6891" s="2">
        <v>42247</v>
      </c>
      <c r="S6891" s="2">
        <v>42249</v>
      </c>
      <c r="T6891" s="2">
        <v>42248</v>
      </c>
      <c r="U6891" s="2">
        <v>42308</v>
      </c>
      <c r="V6891" t="s">
        <v>71</v>
      </c>
      <c r="W6891" t="str">
        <f>"            25264769"</f>
        <v xml:space="preserve">            25264769</v>
      </c>
      <c r="X6891">
        <v>74.88</v>
      </c>
      <c r="Y6891">
        <v>0</v>
      </c>
      <c r="Z6891"/>
      <c r="AB6891"/>
      <c r="AC6891">
        <v>72</v>
      </c>
      <c r="AD6891">
        <v>271</v>
      </c>
      <c r="AE6891" s="1">
        <v>19512</v>
      </c>
      <c r="AF6891">
        <v>0</v>
      </c>
      <c r="AJ6891">
        <v>0</v>
      </c>
      <c r="AK6891">
        <v>0</v>
      </c>
      <c r="AL6891">
        <v>0</v>
      </c>
      <c r="AM6891">
        <v>0</v>
      </c>
      <c r="AN6891">
        <v>0</v>
      </c>
      <c r="AO6891">
        <v>0</v>
      </c>
      <c r="AP6891" s="2">
        <v>42746</v>
      </c>
      <c r="AQ6891" t="s">
        <v>72</v>
      </c>
      <c r="AR6891" t="s">
        <v>72</v>
      </c>
      <c r="AS6891">
        <v>2029</v>
      </c>
      <c r="AT6891" s="4">
        <v>42579</v>
      </c>
      <c r="AU6891" t="s">
        <v>73</v>
      </c>
      <c r="AV6891">
        <v>2029</v>
      </c>
      <c r="AW6891" s="4">
        <v>42579</v>
      </c>
      <c r="BD6891">
        <v>0</v>
      </c>
      <c r="BN6891" t="s">
        <v>74</v>
      </c>
    </row>
    <row r="6892" spans="1:66" hidden="1">
      <c r="A6892">
        <v>104093</v>
      </c>
      <c r="B6892" s="3" t="s">
        <v>609</v>
      </c>
      <c r="C6892" s="1">
        <v>43300101</v>
      </c>
      <c r="D6892" t="s">
        <v>67</v>
      </c>
      <c r="H6892" t="str">
        <f t="shared" si="684"/>
        <v>12572900152</v>
      </c>
      <c r="I6892" t="str">
        <f t="shared" si="685"/>
        <v>06032681006</v>
      </c>
      <c r="K6892" t="str">
        <f>""</f>
        <v/>
      </c>
      <c r="M6892" t="s">
        <v>68</v>
      </c>
      <c r="N6892" t="str">
        <f t="shared" si="683"/>
        <v>FOR</v>
      </c>
      <c r="O6892" t="s">
        <v>69</v>
      </c>
      <c r="P6892" s="3" t="s">
        <v>75</v>
      </c>
      <c r="Q6892">
        <v>2015</v>
      </c>
      <c r="R6892" s="2">
        <v>42247</v>
      </c>
      <c r="S6892" s="2">
        <v>42249</v>
      </c>
      <c r="T6892" s="2">
        <v>42248</v>
      </c>
      <c r="U6892" s="2">
        <v>42308</v>
      </c>
      <c r="V6892" t="s">
        <v>71</v>
      </c>
      <c r="W6892" t="str">
        <f>"            25264770"</f>
        <v xml:space="preserve">            25264770</v>
      </c>
      <c r="X6892">
        <v>74.88</v>
      </c>
      <c r="Y6892">
        <v>0</v>
      </c>
      <c r="Z6892"/>
      <c r="AB6892"/>
      <c r="AC6892">
        <v>72</v>
      </c>
      <c r="AD6892">
        <v>271</v>
      </c>
      <c r="AE6892" s="1">
        <v>19512</v>
      </c>
      <c r="AF6892">
        <v>0</v>
      </c>
      <c r="AJ6892">
        <v>0</v>
      </c>
      <c r="AK6892">
        <v>0</v>
      </c>
      <c r="AL6892">
        <v>0</v>
      </c>
      <c r="AM6892">
        <v>0</v>
      </c>
      <c r="AN6892">
        <v>0</v>
      </c>
      <c r="AO6892">
        <v>0</v>
      </c>
      <c r="AP6892" s="2">
        <v>42746</v>
      </c>
      <c r="AQ6892" t="s">
        <v>72</v>
      </c>
      <c r="AR6892" t="s">
        <v>72</v>
      </c>
      <c r="AS6892">
        <v>2029</v>
      </c>
      <c r="AT6892" s="4">
        <v>42579</v>
      </c>
      <c r="AU6892" t="s">
        <v>73</v>
      </c>
      <c r="AV6892">
        <v>2029</v>
      </c>
      <c r="AW6892" s="4">
        <v>42579</v>
      </c>
      <c r="BD6892">
        <v>0</v>
      </c>
      <c r="BN6892" t="s">
        <v>74</v>
      </c>
    </row>
    <row r="6893" spans="1:66" hidden="1">
      <c r="A6893">
        <v>104093</v>
      </c>
      <c r="B6893" s="3" t="s">
        <v>609</v>
      </c>
      <c r="C6893" s="1">
        <v>43300101</v>
      </c>
      <c r="D6893" t="s">
        <v>67</v>
      </c>
      <c r="H6893" t="str">
        <f t="shared" si="684"/>
        <v>12572900152</v>
      </c>
      <c r="I6893" t="str">
        <f t="shared" si="685"/>
        <v>06032681006</v>
      </c>
      <c r="K6893" t="str">
        <f>""</f>
        <v/>
      </c>
      <c r="M6893" t="s">
        <v>68</v>
      </c>
      <c r="N6893" t="str">
        <f t="shared" si="683"/>
        <v>FOR</v>
      </c>
      <c r="O6893" t="s">
        <v>69</v>
      </c>
      <c r="P6893" s="3" t="s">
        <v>75</v>
      </c>
      <c r="Q6893">
        <v>2015</v>
      </c>
      <c r="R6893" s="2">
        <v>42247</v>
      </c>
      <c r="S6893" s="2">
        <v>42249</v>
      </c>
      <c r="T6893" s="2">
        <v>42248</v>
      </c>
      <c r="U6893" s="2">
        <v>42308</v>
      </c>
      <c r="V6893" t="s">
        <v>71</v>
      </c>
      <c r="W6893" t="str">
        <f>"            25264773"</f>
        <v xml:space="preserve">            25264773</v>
      </c>
      <c r="X6893">
        <v>74.88</v>
      </c>
      <c r="Y6893">
        <v>0</v>
      </c>
      <c r="Z6893"/>
      <c r="AB6893"/>
      <c r="AC6893">
        <v>72</v>
      </c>
      <c r="AD6893">
        <v>271</v>
      </c>
      <c r="AE6893" s="1">
        <v>19512</v>
      </c>
      <c r="AF6893">
        <v>0</v>
      </c>
      <c r="AJ6893">
        <v>0</v>
      </c>
      <c r="AK6893">
        <v>0</v>
      </c>
      <c r="AL6893">
        <v>0</v>
      </c>
      <c r="AM6893">
        <v>0</v>
      </c>
      <c r="AN6893">
        <v>0</v>
      </c>
      <c r="AO6893">
        <v>0</v>
      </c>
      <c r="AP6893" s="2">
        <v>42746</v>
      </c>
      <c r="AQ6893" t="s">
        <v>72</v>
      </c>
      <c r="AR6893" t="s">
        <v>72</v>
      </c>
      <c r="AS6893">
        <v>2029</v>
      </c>
      <c r="AT6893" s="4">
        <v>42579</v>
      </c>
      <c r="AU6893" t="s">
        <v>73</v>
      </c>
      <c r="AV6893">
        <v>2029</v>
      </c>
      <c r="AW6893" s="4">
        <v>42579</v>
      </c>
      <c r="BD6893">
        <v>0</v>
      </c>
      <c r="BN6893" t="s">
        <v>74</v>
      </c>
    </row>
    <row r="6894" spans="1:66" hidden="1">
      <c r="A6894">
        <v>104093</v>
      </c>
      <c r="B6894" s="3" t="s">
        <v>609</v>
      </c>
      <c r="C6894" s="1">
        <v>43300101</v>
      </c>
      <c r="D6894" t="s">
        <v>67</v>
      </c>
      <c r="H6894" t="str">
        <f t="shared" si="684"/>
        <v>12572900152</v>
      </c>
      <c r="I6894" t="str">
        <f t="shared" si="685"/>
        <v>06032681006</v>
      </c>
      <c r="K6894" t="str">
        <f>""</f>
        <v/>
      </c>
      <c r="M6894" t="s">
        <v>68</v>
      </c>
      <c r="N6894" t="str">
        <f t="shared" si="683"/>
        <v>FOR</v>
      </c>
      <c r="O6894" t="s">
        <v>69</v>
      </c>
      <c r="P6894" s="3" t="s">
        <v>75</v>
      </c>
      <c r="Q6894">
        <v>2015</v>
      </c>
      <c r="R6894" s="2">
        <v>42247</v>
      </c>
      <c r="S6894" s="2">
        <v>42249</v>
      </c>
      <c r="T6894" s="2">
        <v>42248</v>
      </c>
      <c r="U6894" s="2">
        <v>42308</v>
      </c>
      <c r="V6894" t="s">
        <v>71</v>
      </c>
      <c r="W6894" t="str">
        <f>"            25264775"</f>
        <v xml:space="preserve">            25264775</v>
      </c>
      <c r="X6894">
        <v>74.88</v>
      </c>
      <c r="Y6894">
        <v>0</v>
      </c>
      <c r="Z6894"/>
      <c r="AB6894"/>
      <c r="AC6894">
        <v>72</v>
      </c>
      <c r="AD6894">
        <v>271</v>
      </c>
      <c r="AE6894" s="1">
        <v>19512</v>
      </c>
      <c r="AF6894">
        <v>0</v>
      </c>
      <c r="AJ6894">
        <v>0</v>
      </c>
      <c r="AK6894">
        <v>0</v>
      </c>
      <c r="AL6894">
        <v>0</v>
      </c>
      <c r="AM6894">
        <v>0</v>
      </c>
      <c r="AN6894">
        <v>0</v>
      </c>
      <c r="AO6894">
        <v>0</v>
      </c>
      <c r="AP6894" s="2">
        <v>42746</v>
      </c>
      <c r="AQ6894" t="s">
        <v>72</v>
      </c>
      <c r="AR6894" t="s">
        <v>72</v>
      </c>
      <c r="AS6894">
        <v>2029</v>
      </c>
      <c r="AT6894" s="4">
        <v>42579</v>
      </c>
      <c r="AU6894" t="s">
        <v>73</v>
      </c>
      <c r="AV6894">
        <v>2029</v>
      </c>
      <c r="AW6894" s="4">
        <v>42579</v>
      </c>
      <c r="BD6894">
        <v>0</v>
      </c>
      <c r="BN6894" t="s">
        <v>74</v>
      </c>
    </row>
    <row r="6895" spans="1:66" hidden="1">
      <c r="A6895">
        <v>104093</v>
      </c>
      <c r="B6895" s="3" t="s">
        <v>609</v>
      </c>
      <c r="C6895" s="1">
        <v>43300101</v>
      </c>
      <c r="D6895" t="s">
        <v>67</v>
      </c>
      <c r="H6895" t="str">
        <f t="shared" si="684"/>
        <v>12572900152</v>
      </c>
      <c r="I6895" t="str">
        <f t="shared" si="685"/>
        <v>06032681006</v>
      </c>
      <c r="K6895" t="str">
        <f>""</f>
        <v/>
      </c>
      <c r="M6895" t="s">
        <v>68</v>
      </c>
      <c r="N6895" t="str">
        <f t="shared" si="683"/>
        <v>FOR</v>
      </c>
      <c r="O6895" t="s">
        <v>69</v>
      </c>
      <c r="P6895" s="3" t="s">
        <v>75</v>
      </c>
      <c r="Q6895">
        <v>2015</v>
      </c>
      <c r="R6895" s="2">
        <v>42247</v>
      </c>
      <c r="S6895" s="2">
        <v>42249</v>
      </c>
      <c r="T6895" s="2">
        <v>42248</v>
      </c>
      <c r="U6895" s="2">
        <v>42308</v>
      </c>
      <c r="V6895" t="s">
        <v>71</v>
      </c>
      <c r="W6895" t="str">
        <f>"            25264776"</f>
        <v xml:space="preserve">            25264776</v>
      </c>
      <c r="X6895">
        <v>936</v>
      </c>
      <c r="Y6895">
        <v>0</v>
      </c>
      <c r="Z6895"/>
      <c r="AB6895"/>
      <c r="AC6895">
        <v>900</v>
      </c>
      <c r="AD6895">
        <v>271</v>
      </c>
      <c r="AE6895" s="1">
        <v>243900</v>
      </c>
      <c r="AF6895">
        <v>0</v>
      </c>
      <c r="AJ6895">
        <v>0</v>
      </c>
      <c r="AK6895">
        <v>0</v>
      </c>
      <c r="AL6895">
        <v>0</v>
      </c>
      <c r="AM6895">
        <v>0</v>
      </c>
      <c r="AN6895">
        <v>0</v>
      </c>
      <c r="AO6895">
        <v>0</v>
      </c>
      <c r="AP6895" s="2">
        <v>42746</v>
      </c>
      <c r="AQ6895" t="s">
        <v>72</v>
      </c>
      <c r="AR6895" t="s">
        <v>72</v>
      </c>
      <c r="AS6895">
        <v>2029</v>
      </c>
      <c r="AT6895" s="4">
        <v>42579</v>
      </c>
      <c r="AU6895" t="s">
        <v>73</v>
      </c>
      <c r="AV6895">
        <v>2029</v>
      </c>
      <c r="AW6895" s="4">
        <v>42579</v>
      </c>
      <c r="BD6895">
        <v>0</v>
      </c>
      <c r="BN6895" t="s">
        <v>74</v>
      </c>
    </row>
    <row r="6896" spans="1:66" hidden="1">
      <c r="A6896">
        <v>104093</v>
      </c>
      <c r="B6896" s="3" t="s">
        <v>609</v>
      </c>
      <c r="C6896" s="1">
        <v>43300101</v>
      </c>
      <c r="D6896" t="s">
        <v>67</v>
      </c>
      <c r="H6896" t="str">
        <f t="shared" si="684"/>
        <v>12572900152</v>
      </c>
      <c r="I6896" t="str">
        <f t="shared" si="685"/>
        <v>06032681006</v>
      </c>
      <c r="K6896" t="str">
        <f>""</f>
        <v/>
      </c>
      <c r="M6896" t="s">
        <v>68</v>
      </c>
      <c r="N6896" t="str">
        <f t="shared" si="683"/>
        <v>FOR</v>
      </c>
      <c r="O6896" t="s">
        <v>69</v>
      </c>
      <c r="P6896" s="3" t="s">
        <v>75</v>
      </c>
      <c r="Q6896">
        <v>2015</v>
      </c>
      <c r="R6896" s="2">
        <v>42247</v>
      </c>
      <c r="S6896" s="2">
        <v>42249</v>
      </c>
      <c r="T6896" s="2">
        <v>42248</v>
      </c>
      <c r="U6896" s="2">
        <v>42308</v>
      </c>
      <c r="V6896" t="s">
        <v>71</v>
      </c>
      <c r="W6896" t="str">
        <f>"            25264777"</f>
        <v xml:space="preserve">            25264777</v>
      </c>
      <c r="X6896">
        <v>74.88</v>
      </c>
      <c r="Y6896">
        <v>0</v>
      </c>
      <c r="Z6896"/>
      <c r="AB6896"/>
      <c r="AC6896">
        <v>72</v>
      </c>
      <c r="AD6896">
        <v>271</v>
      </c>
      <c r="AE6896" s="1">
        <v>19512</v>
      </c>
      <c r="AF6896">
        <v>0</v>
      </c>
      <c r="AJ6896">
        <v>0</v>
      </c>
      <c r="AK6896">
        <v>0</v>
      </c>
      <c r="AL6896">
        <v>0</v>
      </c>
      <c r="AM6896">
        <v>0</v>
      </c>
      <c r="AN6896">
        <v>0</v>
      </c>
      <c r="AO6896">
        <v>0</v>
      </c>
      <c r="AP6896" s="2">
        <v>42746</v>
      </c>
      <c r="AQ6896" t="s">
        <v>72</v>
      </c>
      <c r="AR6896" t="s">
        <v>72</v>
      </c>
      <c r="AS6896">
        <v>2029</v>
      </c>
      <c r="AT6896" s="4">
        <v>42579</v>
      </c>
      <c r="AU6896" t="s">
        <v>73</v>
      </c>
      <c r="AV6896">
        <v>2029</v>
      </c>
      <c r="AW6896" s="4">
        <v>42579</v>
      </c>
      <c r="BD6896">
        <v>0</v>
      </c>
      <c r="BN6896" t="s">
        <v>74</v>
      </c>
    </row>
    <row r="6897" spans="1:66" hidden="1">
      <c r="A6897">
        <v>104093</v>
      </c>
      <c r="B6897" s="3" t="s">
        <v>609</v>
      </c>
      <c r="C6897" s="1">
        <v>43300101</v>
      </c>
      <c r="D6897" t="s">
        <v>67</v>
      </c>
      <c r="H6897" t="str">
        <f t="shared" si="684"/>
        <v>12572900152</v>
      </c>
      <c r="I6897" t="str">
        <f t="shared" si="685"/>
        <v>06032681006</v>
      </c>
      <c r="K6897" t="str">
        <f>""</f>
        <v/>
      </c>
      <c r="M6897" t="s">
        <v>68</v>
      </c>
      <c r="N6897" t="str">
        <f t="shared" si="683"/>
        <v>FOR</v>
      </c>
      <c r="O6897" t="s">
        <v>69</v>
      </c>
      <c r="P6897" s="3" t="s">
        <v>75</v>
      </c>
      <c r="Q6897">
        <v>2015</v>
      </c>
      <c r="R6897" s="2">
        <v>42247</v>
      </c>
      <c r="S6897" s="2">
        <v>42249</v>
      </c>
      <c r="T6897" s="2">
        <v>42248</v>
      </c>
      <c r="U6897" s="2">
        <v>42308</v>
      </c>
      <c r="V6897" t="s">
        <v>71</v>
      </c>
      <c r="W6897" t="str">
        <f>"            25264778"</f>
        <v xml:space="preserve">            25264778</v>
      </c>
      <c r="X6897">
        <v>74.88</v>
      </c>
      <c r="Y6897">
        <v>0</v>
      </c>
      <c r="Z6897"/>
      <c r="AB6897"/>
      <c r="AC6897">
        <v>72</v>
      </c>
      <c r="AD6897">
        <v>271</v>
      </c>
      <c r="AE6897" s="1">
        <v>19512</v>
      </c>
      <c r="AF6897">
        <v>0</v>
      </c>
      <c r="AJ6897">
        <v>0</v>
      </c>
      <c r="AK6897">
        <v>0</v>
      </c>
      <c r="AL6897">
        <v>0</v>
      </c>
      <c r="AM6897">
        <v>0</v>
      </c>
      <c r="AN6897">
        <v>0</v>
      </c>
      <c r="AO6897">
        <v>0</v>
      </c>
      <c r="AP6897" s="2">
        <v>42746</v>
      </c>
      <c r="AQ6897" t="s">
        <v>72</v>
      </c>
      <c r="AR6897" t="s">
        <v>72</v>
      </c>
      <c r="AS6897">
        <v>2029</v>
      </c>
      <c r="AT6897" s="4">
        <v>42579</v>
      </c>
      <c r="AU6897" t="s">
        <v>73</v>
      </c>
      <c r="AV6897">
        <v>2029</v>
      </c>
      <c r="AW6897" s="4">
        <v>42579</v>
      </c>
      <c r="BD6897">
        <v>0</v>
      </c>
      <c r="BN6897" t="s">
        <v>74</v>
      </c>
    </row>
    <row r="6898" spans="1:66" hidden="1">
      <c r="A6898">
        <v>104093</v>
      </c>
      <c r="B6898" s="3" t="s">
        <v>609</v>
      </c>
      <c r="C6898" s="1">
        <v>43300101</v>
      </c>
      <c r="D6898" t="s">
        <v>67</v>
      </c>
      <c r="H6898" t="str">
        <f t="shared" si="684"/>
        <v>12572900152</v>
      </c>
      <c r="I6898" t="str">
        <f t="shared" si="685"/>
        <v>06032681006</v>
      </c>
      <c r="K6898" t="str">
        <f>""</f>
        <v/>
      </c>
      <c r="M6898" t="s">
        <v>68</v>
      </c>
      <c r="N6898" t="str">
        <f t="shared" si="683"/>
        <v>FOR</v>
      </c>
      <c r="O6898" t="s">
        <v>69</v>
      </c>
      <c r="P6898" s="3" t="s">
        <v>75</v>
      </c>
      <c r="Q6898">
        <v>2015</v>
      </c>
      <c r="R6898" s="2">
        <v>42247</v>
      </c>
      <c r="S6898" s="2">
        <v>42249</v>
      </c>
      <c r="T6898" s="2">
        <v>42248</v>
      </c>
      <c r="U6898" s="2">
        <v>42308</v>
      </c>
      <c r="V6898" t="s">
        <v>71</v>
      </c>
      <c r="W6898" t="str">
        <f>"            25264823"</f>
        <v xml:space="preserve">            25264823</v>
      </c>
      <c r="X6898">
        <v>252.72</v>
      </c>
      <c r="Y6898">
        <v>0</v>
      </c>
      <c r="Z6898"/>
      <c r="AB6898"/>
      <c r="AC6898">
        <v>243</v>
      </c>
      <c r="AD6898">
        <v>271</v>
      </c>
      <c r="AE6898" s="1">
        <v>65853</v>
      </c>
      <c r="AF6898">
        <v>0</v>
      </c>
      <c r="AJ6898">
        <v>0</v>
      </c>
      <c r="AK6898">
        <v>0</v>
      </c>
      <c r="AL6898">
        <v>0</v>
      </c>
      <c r="AM6898">
        <v>0</v>
      </c>
      <c r="AN6898">
        <v>0</v>
      </c>
      <c r="AO6898">
        <v>0</v>
      </c>
      <c r="AP6898" s="2">
        <v>42746</v>
      </c>
      <c r="AQ6898" t="s">
        <v>72</v>
      </c>
      <c r="AR6898" t="s">
        <v>72</v>
      </c>
      <c r="AS6898">
        <v>2029</v>
      </c>
      <c r="AT6898" s="4">
        <v>42579</v>
      </c>
      <c r="AU6898" t="s">
        <v>73</v>
      </c>
      <c r="AV6898">
        <v>2029</v>
      </c>
      <c r="AW6898" s="4">
        <v>42579</v>
      </c>
      <c r="BD6898">
        <v>0</v>
      </c>
      <c r="BN6898" t="s">
        <v>74</v>
      </c>
    </row>
    <row r="6899" spans="1:66" hidden="1">
      <c r="A6899">
        <v>104093</v>
      </c>
      <c r="B6899" s="3" t="s">
        <v>609</v>
      </c>
      <c r="C6899" s="1">
        <v>43300101</v>
      </c>
      <c r="D6899" t="s">
        <v>67</v>
      </c>
      <c r="H6899" t="str">
        <f t="shared" si="684"/>
        <v>12572900152</v>
      </c>
      <c r="I6899" t="str">
        <f t="shared" si="685"/>
        <v>06032681006</v>
      </c>
      <c r="K6899" t="str">
        <f>""</f>
        <v/>
      </c>
      <c r="M6899" t="s">
        <v>68</v>
      </c>
      <c r="N6899" t="str">
        <f t="shared" si="683"/>
        <v>FOR</v>
      </c>
      <c r="O6899" t="s">
        <v>69</v>
      </c>
      <c r="P6899" s="3" t="s">
        <v>75</v>
      </c>
      <c r="Q6899">
        <v>2015</v>
      </c>
      <c r="R6899" s="2">
        <v>42247</v>
      </c>
      <c r="S6899" s="2">
        <v>42249</v>
      </c>
      <c r="T6899" s="2">
        <v>42248</v>
      </c>
      <c r="U6899" s="2">
        <v>42308</v>
      </c>
      <c r="V6899" t="s">
        <v>71</v>
      </c>
      <c r="W6899" t="str">
        <f>"            25264827"</f>
        <v xml:space="preserve">            25264827</v>
      </c>
      <c r="X6899">
        <v>74.88</v>
      </c>
      <c r="Y6899">
        <v>0</v>
      </c>
      <c r="Z6899"/>
      <c r="AB6899"/>
      <c r="AC6899">
        <v>72</v>
      </c>
      <c r="AD6899">
        <v>271</v>
      </c>
      <c r="AE6899" s="1">
        <v>19512</v>
      </c>
      <c r="AF6899">
        <v>0</v>
      </c>
      <c r="AJ6899">
        <v>0</v>
      </c>
      <c r="AK6899">
        <v>0</v>
      </c>
      <c r="AL6899">
        <v>0</v>
      </c>
      <c r="AM6899">
        <v>0</v>
      </c>
      <c r="AN6899">
        <v>0</v>
      </c>
      <c r="AO6899">
        <v>0</v>
      </c>
      <c r="AP6899" s="2">
        <v>42746</v>
      </c>
      <c r="AQ6899" t="s">
        <v>72</v>
      </c>
      <c r="AR6899" t="s">
        <v>72</v>
      </c>
      <c r="AS6899">
        <v>2029</v>
      </c>
      <c r="AT6899" s="4">
        <v>42579</v>
      </c>
      <c r="AU6899" t="s">
        <v>73</v>
      </c>
      <c r="AV6899">
        <v>2029</v>
      </c>
      <c r="AW6899" s="4">
        <v>42579</v>
      </c>
      <c r="BD6899">
        <v>0</v>
      </c>
      <c r="BN6899" t="s">
        <v>74</v>
      </c>
    </row>
    <row r="6900" spans="1:66" hidden="1">
      <c r="A6900">
        <v>104093</v>
      </c>
      <c r="B6900" s="3" t="s">
        <v>609</v>
      </c>
      <c r="C6900" s="1">
        <v>43300101</v>
      </c>
      <c r="D6900" t="s">
        <v>67</v>
      </c>
      <c r="H6900" t="str">
        <f t="shared" si="684"/>
        <v>12572900152</v>
      </c>
      <c r="I6900" t="str">
        <f t="shared" si="685"/>
        <v>06032681006</v>
      </c>
      <c r="K6900" t="str">
        <f>""</f>
        <v/>
      </c>
      <c r="M6900" t="s">
        <v>68</v>
      </c>
      <c r="N6900" t="str">
        <f t="shared" si="683"/>
        <v>FOR</v>
      </c>
      <c r="O6900" t="s">
        <v>69</v>
      </c>
      <c r="P6900" s="3" t="s">
        <v>75</v>
      </c>
      <c r="Q6900">
        <v>2015</v>
      </c>
      <c r="R6900" s="2">
        <v>42248</v>
      </c>
      <c r="S6900" s="2">
        <v>42251</v>
      </c>
      <c r="T6900" s="2">
        <v>42249</v>
      </c>
      <c r="U6900" s="2">
        <v>42309</v>
      </c>
      <c r="V6900" t="s">
        <v>71</v>
      </c>
      <c r="W6900" t="str">
        <f>"            25265251"</f>
        <v xml:space="preserve">            25265251</v>
      </c>
      <c r="X6900">
        <v>252.72</v>
      </c>
      <c r="Y6900">
        <v>0</v>
      </c>
      <c r="Z6900"/>
      <c r="AB6900"/>
      <c r="AC6900">
        <v>243</v>
      </c>
      <c r="AD6900">
        <v>310</v>
      </c>
      <c r="AE6900" s="1">
        <v>75330</v>
      </c>
      <c r="AF6900">
        <v>0</v>
      </c>
      <c r="AJ6900">
        <v>0</v>
      </c>
      <c r="AK6900">
        <v>0</v>
      </c>
      <c r="AL6900">
        <v>0</v>
      </c>
      <c r="AM6900">
        <v>0</v>
      </c>
      <c r="AN6900">
        <v>0</v>
      </c>
      <c r="AO6900">
        <v>0</v>
      </c>
      <c r="AP6900" s="2">
        <v>42746</v>
      </c>
      <c r="AQ6900" t="s">
        <v>72</v>
      </c>
      <c r="AR6900" t="s">
        <v>72</v>
      </c>
      <c r="AS6900">
        <v>2280</v>
      </c>
      <c r="AT6900" s="4">
        <v>42619</v>
      </c>
      <c r="AU6900" t="s">
        <v>73</v>
      </c>
      <c r="AV6900">
        <v>2280</v>
      </c>
      <c r="AW6900" s="4">
        <v>42619</v>
      </c>
      <c r="BD6900">
        <v>0</v>
      </c>
      <c r="BN6900" t="s">
        <v>74</v>
      </c>
    </row>
    <row r="6901" spans="1:66" hidden="1">
      <c r="A6901">
        <v>104093</v>
      </c>
      <c r="B6901" s="3" t="s">
        <v>609</v>
      </c>
      <c r="C6901" s="1">
        <v>43300101</v>
      </c>
      <c r="D6901" t="s">
        <v>67</v>
      </c>
      <c r="H6901" t="str">
        <f t="shared" si="684"/>
        <v>12572900152</v>
      </c>
      <c r="I6901" t="str">
        <f t="shared" si="685"/>
        <v>06032681006</v>
      </c>
      <c r="K6901" t="str">
        <f>""</f>
        <v/>
      </c>
      <c r="M6901" t="s">
        <v>68</v>
      </c>
      <c r="N6901" t="str">
        <f t="shared" si="683"/>
        <v>FOR</v>
      </c>
      <c r="O6901" t="s">
        <v>69</v>
      </c>
      <c r="P6901" s="3" t="s">
        <v>75</v>
      </c>
      <c r="Q6901">
        <v>2015</v>
      </c>
      <c r="R6901" s="2">
        <v>42248</v>
      </c>
      <c r="S6901" s="2">
        <v>42251</v>
      </c>
      <c r="T6901" s="2">
        <v>42249</v>
      </c>
      <c r="U6901" s="2">
        <v>42309</v>
      </c>
      <c r="V6901" t="s">
        <v>71</v>
      </c>
      <c r="W6901" t="str">
        <f>"            25265252"</f>
        <v xml:space="preserve">            25265252</v>
      </c>
      <c r="X6901">
        <v>707.62</v>
      </c>
      <c r="Y6901">
        <v>0</v>
      </c>
      <c r="Z6901"/>
      <c r="AB6901"/>
      <c r="AC6901">
        <v>680.4</v>
      </c>
      <c r="AD6901">
        <v>310</v>
      </c>
      <c r="AE6901" s="1">
        <v>210924</v>
      </c>
      <c r="AF6901">
        <v>0</v>
      </c>
      <c r="AJ6901">
        <v>0</v>
      </c>
      <c r="AK6901">
        <v>0</v>
      </c>
      <c r="AL6901">
        <v>0</v>
      </c>
      <c r="AM6901">
        <v>0</v>
      </c>
      <c r="AN6901">
        <v>0</v>
      </c>
      <c r="AO6901">
        <v>0</v>
      </c>
      <c r="AP6901" s="2">
        <v>42746</v>
      </c>
      <c r="AQ6901" t="s">
        <v>72</v>
      </c>
      <c r="AR6901" t="s">
        <v>72</v>
      </c>
      <c r="AS6901">
        <v>2280</v>
      </c>
      <c r="AT6901" s="4">
        <v>42619</v>
      </c>
      <c r="AU6901" t="s">
        <v>73</v>
      </c>
      <c r="AV6901">
        <v>2280</v>
      </c>
      <c r="AW6901" s="4">
        <v>42619</v>
      </c>
      <c r="BD6901">
        <v>0</v>
      </c>
      <c r="BN6901" t="s">
        <v>74</v>
      </c>
    </row>
    <row r="6902" spans="1:66" hidden="1">
      <c r="A6902">
        <v>104093</v>
      </c>
      <c r="B6902" s="3" t="s">
        <v>609</v>
      </c>
      <c r="C6902" s="1">
        <v>43300101</v>
      </c>
      <c r="D6902" t="s">
        <v>67</v>
      </c>
      <c r="H6902" t="str">
        <f t="shared" si="684"/>
        <v>12572900152</v>
      </c>
      <c r="I6902" t="str">
        <f t="shared" si="685"/>
        <v>06032681006</v>
      </c>
      <c r="K6902" t="str">
        <f>""</f>
        <v/>
      </c>
      <c r="M6902" t="s">
        <v>68</v>
      </c>
      <c r="N6902" t="str">
        <f t="shared" si="683"/>
        <v>FOR</v>
      </c>
      <c r="O6902" t="s">
        <v>69</v>
      </c>
      <c r="P6902" s="3" t="s">
        <v>75</v>
      </c>
      <c r="Q6902">
        <v>2015</v>
      </c>
      <c r="R6902" s="2">
        <v>42248</v>
      </c>
      <c r="S6902" s="2">
        <v>42251</v>
      </c>
      <c r="T6902" s="2">
        <v>42249</v>
      </c>
      <c r="U6902" s="2">
        <v>42309</v>
      </c>
      <c r="V6902" t="s">
        <v>71</v>
      </c>
      <c r="W6902" t="str">
        <f>"            25265253"</f>
        <v xml:space="preserve">            25265253</v>
      </c>
      <c r="X6902">
        <v>74.88</v>
      </c>
      <c r="Y6902">
        <v>0</v>
      </c>
      <c r="Z6902"/>
      <c r="AB6902"/>
      <c r="AC6902">
        <v>72</v>
      </c>
      <c r="AD6902">
        <v>310</v>
      </c>
      <c r="AE6902" s="1">
        <v>22320</v>
      </c>
      <c r="AF6902">
        <v>0</v>
      </c>
      <c r="AJ6902">
        <v>0</v>
      </c>
      <c r="AK6902">
        <v>0</v>
      </c>
      <c r="AL6902">
        <v>0</v>
      </c>
      <c r="AM6902">
        <v>0</v>
      </c>
      <c r="AN6902">
        <v>0</v>
      </c>
      <c r="AO6902">
        <v>0</v>
      </c>
      <c r="AP6902" s="2">
        <v>42746</v>
      </c>
      <c r="AQ6902" t="s">
        <v>72</v>
      </c>
      <c r="AR6902" t="s">
        <v>72</v>
      </c>
      <c r="AS6902">
        <v>2280</v>
      </c>
      <c r="AT6902" s="4">
        <v>42619</v>
      </c>
      <c r="AU6902" t="s">
        <v>73</v>
      </c>
      <c r="AV6902">
        <v>2280</v>
      </c>
      <c r="AW6902" s="4">
        <v>42619</v>
      </c>
      <c r="BD6902">
        <v>0</v>
      </c>
      <c r="BN6902" t="s">
        <v>74</v>
      </c>
    </row>
    <row r="6903" spans="1:66" hidden="1">
      <c r="A6903">
        <v>104093</v>
      </c>
      <c r="B6903" s="3" t="s">
        <v>609</v>
      </c>
      <c r="C6903" s="1">
        <v>43300101</v>
      </c>
      <c r="D6903" t="s">
        <v>67</v>
      </c>
      <c r="H6903" t="str">
        <f t="shared" si="684"/>
        <v>12572900152</v>
      </c>
      <c r="I6903" t="str">
        <f t="shared" si="685"/>
        <v>06032681006</v>
      </c>
      <c r="K6903" t="str">
        <f>""</f>
        <v/>
      </c>
      <c r="M6903" t="s">
        <v>68</v>
      </c>
      <c r="N6903" t="str">
        <f t="shared" si="683"/>
        <v>FOR</v>
      </c>
      <c r="O6903" t="s">
        <v>69</v>
      </c>
      <c r="P6903" s="3" t="s">
        <v>75</v>
      </c>
      <c r="Q6903">
        <v>2015</v>
      </c>
      <c r="R6903" s="2">
        <v>42248</v>
      </c>
      <c r="S6903" s="2">
        <v>42251</v>
      </c>
      <c r="T6903" s="2">
        <v>42249</v>
      </c>
      <c r="U6903" s="2">
        <v>42309</v>
      </c>
      <c r="V6903" t="s">
        <v>71</v>
      </c>
      <c r="W6903" t="str">
        <f>"            25265254"</f>
        <v xml:space="preserve">            25265254</v>
      </c>
      <c r="X6903">
        <v>252.72</v>
      </c>
      <c r="Y6903">
        <v>0</v>
      </c>
      <c r="Z6903"/>
      <c r="AB6903"/>
      <c r="AC6903">
        <v>243</v>
      </c>
      <c r="AD6903">
        <v>310</v>
      </c>
      <c r="AE6903" s="1">
        <v>75330</v>
      </c>
      <c r="AF6903">
        <v>0</v>
      </c>
      <c r="AJ6903">
        <v>0</v>
      </c>
      <c r="AK6903">
        <v>0</v>
      </c>
      <c r="AL6903">
        <v>0</v>
      </c>
      <c r="AM6903">
        <v>0</v>
      </c>
      <c r="AN6903">
        <v>0</v>
      </c>
      <c r="AO6903">
        <v>0</v>
      </c>
      <c r="AP6903" s="2">
        <v>42746</v>
      </c>
      <c r="AQ6903" t="s">
        <v>72</v>
      </c>
      <c r="AR6903" t="s">
        <v>72</v>
      </c>
      <c r="AS6903">
        <v>2280</v>
      </c>
      <c r="AT6903" s="4">
        <v>42619</v>
      </c>
      <c r="AU6903" t="s">
        <v>73</v>
      </c>
      <c r="AV6903">
        <v>2280</v>
      </c>
      <c r="AW6903" s="4">
        <v>42619</v>
      </c>
      <c r="BD6903">
        <v>0</v>
      </c>
      <c r="BN6903" t="s">
        <v>74</v>
      </c>
    </row>
    <row r="6904" spans="1:66" hidden="1">
      <c r="A6904">
        <v>104093</v>
      </c>
      <c r="B6904" s="3" t="s">
        <v>609</v>
      </c>
      <c r="C6904" s="1">
        <v>43300101</v>
      </c>
      <c r="D6904" t="s">
        <v>67</v>
      </c>
      <c r="H6904" t="str">
        <f t="shared" si="684"/>
        <v>12572900152</v>
      </c>
      <c r="I6904" t="str">
        <f t="shared" si="685"/>
        <v>06032681006</v>
      </c>
      <c r="K6904" t="str">
        <f>""</f>
        <v/>
      </c>
      <c r="M6904" t="s">
        <v>68</v>
      </c>
      <c r="N6904" t="str">
        <f t="shared" si="683"/>
        <v>FOR</v>
      </c>
      <c r="O6904" t="s">
        <v>69</v>
      </c>
      <c r="P6904" s="3" t="s">
        <v>75</v>
      </c>
      <c r="Q6904">
        <v>2015</v>
      </c>
      <c r="R6904" s="2">
        <v>42248</v>
      </c>
      <c r="S6904" s="2">
        <v>42251</v>
      </c>
      <c r="T6904" s="2">
        <v>42249</v>
      </c>
      <c r="U6904" s="2">
        <v>42309</v>
      </c>
      <c r="V6904" t="s">
        <v>71</v>
      </c>
      <c r="W6904" t="str">
        <f>"            25265255"</f>
        <v xml:space="preserve">            25265255</v>
      </c>
      <c r="X6904">
        <v>707.62</v>
      </c>
      <c r="Y6904">
        <v>0</v>
      </c>
      <c r="Z6904"/>
      <c r="AB6904"/>
      <c r="AC6904">
        <v>680.4</v>
      </c>
      <c r="AD6904">
        <v>310</v>
      </c>
      <c r="AE6904" s="1">
        <v>210924</v>
      </c>
      <c r="AF6904">
        <v>0</v>
      </c>
      <c r="AJ6904">
        <v>0</v>
      </c>
      <c r="AK6904">
        <v>0</v>
      </c>
      <c r="AL6904">
        <v>0</v>
      </c>
      <c r="AM6904">
        <v>0</v>
      </c>
      <c r="AN6904">
        <v>0</v>
      </c>
      <c r="AO6904">
        <v>0</v>
      </c>
      <c r="AP6904" s="2">
        <v>42746</v>
      </c>
      <c r="AQ6904" t="s">
        <v>72</v>
      </c>
      <c r="AR6904" t="s">
        <v>72</v>
      </c>
      <c r="AS6904">
        <v>2280</v>
      </c>
      <c r="AT6904" s="4">
        <v>42619</v>
      </c>
      <c r="AU6904" t="s">
        <v>73</v>
      </c>
      <c r="AV6904">
        <v>2280</v>
      </c>
      <c r="AW6904" s="4">
        <v>42619</v>
      </c>
      <c r="BD6904">
        <v>0</v>
      </c>
      <c r="BN6904" t="s">
        <v>74</v>
      </c>
    </row>
    <row r="6905" spans="1:66" hidden="1">
      <c r="A6905">
        <v>104093</v>
      </c>
      <c r="B6905" s="3" t="s">
        <v>609</v>
      </c>
      <c r="C6905" s="1">
        <v>43300101</v>
      </c>
      <c r="D6905" t="s">
        <v>67</v>
      </c>
      <c r="H6905" t="str">
        <f t="shared" si="684"/>
        <v>12572900152</v>
      </c>
      <c r="I6905" t="str">
        <f t="shared" si="685"/>
        <v>06032681006</v>
      </c>
      <c r="K6905" t="str">
        <f>""</f>
        <v/>
      </c>
      <c r="M6905" t="s">
        <v>68</v>
      </c>
      <c r="N6905" t="str">
        <f t="shared" si="683"/>
        <v>FOR</v>
      </c>
      <c r="O6905" t="s">
        <v>69</v>
      </c>
      <c r="P6905" s="3" t="s">
        <v>75</v>
      </c>
      <c r="Q6905">
        <v>2015</v>
      </c>
      <c r="R6905" s="2">
        <v>42248</v>
      </c>
      <c r="S6905" s="2">
        <v>42251</v>
      </c>
      <c r="T6905" s="2">
        <v>42249</v>
      </c>
      <c r="U6905" s="2">
        <v>42309</v>
      </c>
      <c r="V6905" t="s">
        <v>71</v>
      </c>
      <c r="W6905" t="str">
        <f>"            25265257"</f>
        <v xml:space="preserve">            25265257</v>
      </c>
      <c r="X6905">
        <v>74.88</v>
      </c>
      <c r="Y6905">
        <v>0</v>
      </c>
      <c r="Z6905"/>
      <c r="AB6905"/>
      <c r="AC6905">
        <v>72</v>
      </c>
      <c r="AD6905">
        <v>310</v>
      </c>
      <c r="AE6905" s="1">
        <v>22320</v>
      </c>
      <c r="AF6905">
        <v>0</v>
      </c>
      <c r="AJ6905">
        <v>0</v>
      </c>
      <c r="AK6905">
        <v>0</v>
      </c>
      <c r="AL6905">
        <v>0</v>
      </c>
      <c r="AM6905">
        <v>0</v>
      </c>
      <c r="AN6905">
        <v>0</v>
      </c>
      <c r="AO6905">
        <v>0</v>
      </c>
      <c r="AP6905" s="2">
        <v>42746</v>
      </c>
      <c r="AQ6905" t="s">
        <v>72</v>
      </c>
      <c r="AR6905" t="s">
        <v>72</v>
      </c>
      <c r="AS6905">
        <v>2280</v>
      </c>
      <c r="AT6905" s="4">
        <v>42619</v>
      </c>
      <c r="AU6905" t="s">
        <v>73</v>
      </c>
      <c r="AV6905">
        <v>2280</v>
      </c>
      <c r="AW6905" s="4">
        <v>42619</v>
      </c>
      <c r="BD6905">
        <v>0</v>
      </c>
      <c r="BN6905" t="s">
        <v>74</v>
      </c>
    </row>
    <row r="6906" spans="1:66" hidden="1">
      <c r="A6906">
        <v>104093</v>
      </c>
      <c r="B6906" s="3" t="s">
        <v>609</v>
      </c>
      <c r="C6906" s="1">
        <v>43300101</v>
      </c>
      <c r="D6906" t="s">
        <v>67</v>
      </c>
      <c r="H6906" t="str">
        <f t="shared" si="684"/>
        <v>12572900152</v>
      </c>
      <c r="I6906" t="str">
        <f t="shared" si="685"/>
        <v>06032681006</v>
      </c>
      <c r="K6906" t="str">
        <f>""</f>
        <v/>
      </c>
      <c r="M6906" t="s">
        <v>68</v>
      </c>
      <c r="N6906" t="str">
        <f t="shared" si="683"/>
        <v>FOR</v>
      </c>
      <c r="O6906" t="s">
        <v>69</v>
      </c>
      <c r="P6906" s="3" t="s">
        <v>75</v>
      </c>
      <c r="Q6906">
        <v>2015</v>
      </c>
      <c r="R6906" s="2">
        <v>42251</v>
      </c>
      <c r="S6906" s="2">
        <v>42254</v>
      </c>
      <c r="T6906" s="2">
        <v>42254</v>
      </c>
      <c r="U6906" s="2">
        <v>42314</v>
      </c>
      <c r="V6906" t="s">
        <v>71</v>
      </c>
      <c r="W6906" t="str">
        <f>"            25265780"</f>
        <v xml:space="preserve">            25265780</v>
      </c>
      <c r="X6906" s="1">
        <v>5275.4</v>
      </c>
      <c r="Y6906">
        <v>0</v>
      </c>
      <c r="Z6906"/>
      <c r="AB6906"/>
      <c r="AC6906" s="1">
        <v>5072.5</v>
      </c>
      <c r="AD6906">
        <v>305</v>
      </c>
      <c r="AE6906" s="1">
        <v>1547112.5</v>
      </c>
      <c r="AF6906">
        <v>0</v>
      </c>
      <c r="AJ6906">
        <v>0</v>
      </c>
      <c r="AK6906">
        <v>0</v>
      </c>
      <c r="AL6906">
        <v>0</v>
      </c>
      <c r="AM6906">
        <v>0</v>
      </c>
      <c r="AN6906">
        <v>0</v>
      </c>
      <c r="AO6906">
        <v>0</v>
      </c>
      <c r="AP6906" s="2">
        <v>42746</v>
      </c>
      <c r="AQ6906" t="s">
        <v>72</v>
      </c>
      <c r="AR6906" t="s">
        <v>72</v>
      </c>
      <c r="AS6906">
        <v>2280</v>
      </c>
      <c r="AT6906" s="4">
        <v>42619</v>
      </c>
      <c r="AU6906" t="s">
        <v>73</v>
      </c>
      <c r="AV6906">
        <v>2280</v>
      </c>
      <c r="AW6906" s="4">
        <v>42619</v>
      </c>
      <c r="BD6906">
        <v>0</v>
      </c>
      <c r="BN6906" t="s">
        <v>74</v>
      </c>
    </row>
    <row r="6907" spans="1:66" hidden="1">
      <c r="A6907">
        <v>104093</v>
      </c>
      <c r="B6907" s="3" t="s">
        <v>609</v>
      </c>
      <c r="C6907" s="1">
        <v>43300101</v>
      </c>
      <c r="D6907" t="s">
        <v>67</v>
      </c>
      <c r="H6907" t="str">
        <f t="shared" si="684"/>
        <v>12572900152</v>
      </c>
      <c r="I6907" t="str">
        <f t="shared" si="685"/>
        <v>06032681006</v>
      </c>
      <c r="K6907" t="str">
        <f>""</f>
        <v/>
      </c>
      <c r="M6907" t="s">
        <v>68</v>
      </c>
      <c r="N6907" t="str">
        <f t="shared" si="683"/>
        <v>FOR</v>
      </c>
      <c r="O6907" t="s">
        <v>69</v>
      </c>
      <c r="P6907" s="3" t="s">
        <v>75</v>
      </c>
      <c r="Q6907">
        <v>2015</v>
      </c>
      <c r="R6907" s="2">
        <v>42257</v>
      </c>
      <c r="S6907" s="2">
        <v>42261</v>
      </c>
      <c r="T6907" s="2">
        <v>42258</v>
      </c>
      <c r="U6907" s="2">
        <v>42318</v>
      </c>
      <c r="V6907" t="s">
        <v>71</v>
      </c>
      <c r="W6907" t="str">
        <f>"            25266775"</f>
        <v xml:space="preserve">            25266775</v>
      </c>
      <c r="X6907" s="1">
        <v>3187.25</v>
      </c>
      <c r="Y6907">
        <v>0</v>
      </c>
      <c r="Z6907"/>
      <c r="AB6907"/>
      <c r="AC6907" s="1">
        <v>2612.5</v>
      </c>
      <c r="AD6907">
        <v>301</v>
      </c>
      <c r="AE6907" s="1">
        <v>786362.5</v>
      </c>
      <c r="AF6907">
        <v>0</v>
      </c>
      <c r="AJ6907">
        <v>0</v>
      </c>
      <c r="AK6907">
        <v>0</v>
      </c>
      <c r="AL6907">
        <v>0</v>
      </c>
      <c r="AM6907">
        <v>0</v>
      </c>
      <c r="AN6907">
        <v>0</v>
      </c>
      <c r="AO6907">
        <v>0</v>
      </c>
      <c r="AP6907" s="2">
        <v>42746</v>
      </c>
      <c r="AQ6907" t="s">
        <v>72</v>
      </c>
      <c r="AR6907" t="s">
        <v>72</v>
      </c>
      <c r="AS6907">
        <v>2280</v>
      </c>
      <c r="AT6907" s="4">
        <v>42619</v>
      </c>
      <c r="AU6907" t="s">
        <v>73</v>
      </c>
      <c r="AV6907">
        <v>2280</v>
      </c>
      <c r="AW6907" s="4">
        <v>42619</v>
      </c>
      <c r="BD6907">
        <v>0</v>
      </c>
      <c r="BN6907" t="s">
        <v>74</v>
      </c>
    </row>
    <row r="6908" spans="1:66" hidden="1">
      <c r="A6908">
        <v>104093</v>
      </c>
      <c r="B6908" s="3" t="s">
        <v>609</v>
      </c>
      <c r="C6908" s="1">
        <v>43300101</v>
      </c>
      <c r="D6908" t="s">
        <v>67</v>
      </c>
      <c r="H6908" t="str">
        <f t="shared" si="684"/>
        <v>12572900152</v>
      </c>
      <c r="I6908" t="str">
        <f t="shared" si="685"/>
        <v>06032681006</v>
      </c>
      <c r="K6908" t="str">
        <f>""</f>
        <v/>
      </c>
      <c r="M6908" t="s">
        <v>68</v>
      </c>
      <c r="N6908" t="str">
        <f t="shared" si="683"/>
        <v>FOR</v>
      </c>
      <c r="O6908" t="s">
        <v>69</v>
      </c>
      <c r="P6908" s="3" t="s">
        <v>75</v>
      </c>
      <c r="Q6908">
        <v>2015</v>
      </c>
      <c r="R6908" s="2">
        <v>42262</v>
      </c>
      <c r="S6908" s="2">
        <v>42265</v>
      </c>
      <c r="T6908" s="2">
        <v>42263</v>
      </c>
      <c r="U6908" s="2">
        <v>42323</v>
      </c>
      <c r="V6908" t="s">
        <v>71</v>
      </c>
      <c r="W6908" t="str">
        <f>"            25267373"</f>
        <v xml:space="preserve">            25267373</v>
      </c>
      <c r="X6908">
        <v>936</v>
      </c>
      <c r="Y6908">
        <v>0</v>
      </c>
      <c r="Z6908"/>
      <c r="AB6908"/>
      <c r="AC6908">
        <v>900</v>
      </c>
      <c r="AD6908">
        <v>296</v>
      </c>
      <c r="AE6908" s="1">
        <v>266400</v>
      </c>
      <c r="AF6908">
        <v>0</v>
      </c>
      <c r="AJ6908">
        <v>0</v>
      </c>
      <c r="AK6908">
        <v>0</v>
      </c>
      <c r="AL6908">
        <v>0</v>
      </c>
      <c r="AM6908">
        <v>0</v>
      </c>
      <c r="AN6908">
        <v>0</v>
      </c>
      <c r="AO6908">
        <v>0</v>
      </c>
      <c r="AP6908" s="2">
        <v>42746</v>
      </c>
      <c r="AQ6908" t="s">
        <v>72</v>
      </c>
      <c r="AR6908" t="s">
        <v>72</v>
      </c>
      <c r="AS6908">
        <v>2280</v>
      </c>
      <c r="AT6908" s="4">
        <v>42619</v>
      </c>
      <c r="AU6908" t="s">
        <v>73</v>
      </c>
      <c r="AV6908">
        <v>2280</v>
      </c>
      <c r="AW6908" s="4">
        <v>42619</v>
      </c>
      <c r="BD6908">
        <v>0</v>
      </c>
      <c r="BN6908" t="s">
        <v>74</v>
      </c>
    </row>
    <row r="6909" spans="1:66" hidden="1">
      <c r="A6909">
        <v>104093</v>
      </c>
      <c r="B6909" s="3" t="s">
        <v>609</v>
      </c>
      <c r="C6909" s="1">
        <v>43300101</v>
      </c>
      <c r="D6909" t="s">
        <v>67</v>
      </c>
      <c r="H6909" t="str">
        <f t="shared" si="684"/>
        <v>12572900152</v>
      </c>
      <c r="I6909" t="str">
        <f t="shared" si="685"/>
        <v>06032681006</v>
      </c>
      <c r="K6909" t="str">
        <f>""</f>
        <v/>
      </c>
      <c r="M6909" t="s">
        <v>68</v>
      </c>
      <c r="N6909" t="str">
        <f t="shared" si="683"/>
        <v>FOR</v>
      </c>
      <c r="O6909" t="s">
        <v>69</v>
      </c>
      <c r="P6909" s="3" t="s">
        <v>75</v>
      </c>
      <c r="Q6909">
        <v>2015</v>
      </c>
      <c r="R6909" s="2">
        <v>42262</v>
      </c>
      <c r="S6909" s="2">
        <v>42265</v>
      </c>
      <c r="T6909" s="2">
        <v>42263</v>
      </c>
      <c r="U6909" s="2">
        <v>42323</v>
      </c>
      <c r="V6909" t="s">
        <v>71</v>
      </c>
      <c r="W6909" t="str">
        <f>"            25267375"</f>
        <v xml:space="preserve">            25267375</v>
      </c>
      <c r="X6909">
        <v>936</v>
      </c>
      <c r="Y6909">
        <v>0</v>
      </c>
      <c r="Z6909"/>
      <c r="AB6909"/>
      <c r="AC6909">
        <v>900</v>
      </c>
      <c r="AD6909">
        <v>296</v>
      </c>
      <c r="AE6909" s="1">
        <v>266400</v>
      </c>
      <c r="AF6909">
        <v>0</v>
      </c>
      <c r="AJ6909">
        <v>0</v>
      </c>
      <c r="AK6909">
        <v>0</v>
      </c>
      <c r="AL6909">
        <v>0</v>
      </c>
      <c r="AM6909">
        <v>0</v>
      </c>
      <c r="AN6909">
        <v>0</v>
      </c>
      <c r="AO6909">
        <v>0</v>
      </c>
      <c r="AP6909" s="2">
        <v>42746</v>
      </c>
      <c r="AQ6909" t="s">
        <v>72</v>
      </c>
      <c r="AR6909" t="s">
        <v>72</v>
      </c>
      <c r="AS6909">
        <v>2280</v>
      </c>
      <c r="AT6909" s="4">
        <v>42619</v>
      </c>
      <c r="AU6909" t="s">
        <v>73</v>
      </c>
      <c r="AV6909">
        <v>2280</v>
      </c>
      <c r="AW6909" s="4">
        <v>42619</v>
      </c>
      <c r="BD6909">
        <v>0</v>
      </c>
      <c r="BN6909" t="s">
        <v>74</v>
      </c>
    </row>
    <row r="6910" spans="1:66" hidden="1">
      <c r="A6910">
        <v>104093</v>
      </c>
      <c r="B6910" s="3" t="s">
        <v>609</v>
      </c>
      <c r="C6910" s="1">
        <v>43300101</v>
      </c>
      <c r="D6910" t="s">
        <v>67</v>
      </c>
      <c r="H6910" t="str">
        <f t="shared" si="684"/>
        <v>12572900152</v>
      </c>
      <c r="I6910" t="str">
        <f t="shared" si="685"/>
        <v>06032681006</v>
      </c>
      <c r="K6910" t="str">
        <f>""</f>
        <v/>
      </c>
      <c r="M6910" t="s">
        <v>68</v>
      </c>
      <c r="N6910" t="str">
        <f t="shared" si="683"/>
        <v>FOR</v>
      </c>
      <c r="O6910" t="s">
        <v>69</v>
      </c>
      <c r="P6910" s="3" t="s">
        <v>75</v>
      </c>
      <c r="Q6910">
        <v>2015</v>
      </c>
      <c r="R6910" s="2">
        <v>42262</v>
      </c>
      <c r="S6910" s="2">
        <v>42265</v>
      </c>
      <c r="T6910" s="2">
        <v>42263</v>
      </c>
      <c r="U6910" s="2">
        <v>42323</v>
      </c>
      <c r="V6910" t="s">
        <v>71</v>
      </c>
      <c r="W6910" t="str">
        <f>"            25267376"</f>
        <v xml:space="preserve">            25267376</v>
      </c>
      <c r="X6910">
        <v>936</v>
      </c>
      <c r="Y6910">
        <v>0</v>
      </c>
      <c r="Z6910"/>
      <c r="AB6910"/>
      <c r="AC6910">
        <v>900</v>
      </c>
      <c r="AD6910">
        <v>296</v>
      </c>
      <c r="AE6910" s="1">
        <v>266400</v>
      </c>
      <c r="AF6910">
        <v>0</v>
      </c>
      <c r="AJ6910">
        <v>0</v>
      </c>
      <c r="AK6910">
        <v>0</v>
      </c>
      <c r="AL6910">
        <v>0</v>
      </c>
      <c r="AM6910">
        <v>0</v>
      </c>
      <c r="AN6910">
        <v>0</v>
      </c>
      <c r="AO6910">
        <v>0</v>
      </c>
      <c r="AP6910" s="2">
        <v>42746</v>
      </c>
      <c r="AQ6910" t="s">
        <v>72</v>
      </c>
      <c r="AR6910" t="s">
        <v>72</v>
      </c>
      <c r="AS6910">
        <v>2280</v>
      </c>
      <c r="AT6910" s="4">
        <v>42619</v>
      </c>
      <c r="AU6910" t="s">
        <v>73</v>
      </c>
      <c r="AV6910">
        <v>2280</v>
      </c>
      <c r="AW6910" s="4">
        <v>42619</v>
      </c>
      <c r="BD6910">
        <v>0</v>
      </c>
      <c r="BN6910" t="s">
        <v>74</v>
      </c>
    </row>
    <row r="6911" spans="1:66" hidden="1">
      <c r="A6911">
        <v>104093</v>
      </c>
      <c r="B6911" s="3" t="s">
        <v>609</v>
      </c>
      <c r="C6911" s="1">
        <v>43300101</v>
      </c>
      <c r="D6911" t="s">
        <v>67</v>
      </c>
      <c r="H6911" t="str">
        <f t="shared" si="684"/>
        <v>12572900152</v>
      </c>
      <c r="I6911" t="str">
        <f t="shared" si="685"/>
        <v>06032681006</v>
      </c>
      <c r="K6911" t="str">
        <f>""</f>
        <v/>
      </c>
      <c r="M6911" t="s">
        <v>68</v>
      </c>
      <c r="N6911" t="str">
        <f t="shared" si="683"/>
        <v>FOR</v>
      </c>
      <c r="O6911" t="s">
        <v>69</v>
      </c>
      <c r="P6911" s="3" t="s">
        <v>75</v>
      </c>
      <c r="Q6911">
        <v>2015</v>
      </c>
      <c r="R6911" s="2">
        <v>42262</v>
      </c>
      <c r="S6911" s="2">
        <v>42265</v>
      </c>
      <c r="T6911" s="2">
        <v>42263</v>
      </c>
      <c r="U6911" s="2">
        <v>42323</v>
      </c>
      <c r="V6911" t="s">
        <v>71</v>
      </c>
      <c r="W6911" t="str">
        <f>"            25267377"</f>
        <v xml:space="preserve">            25267377</v>
      </c>
      <c r="X6911">
        <v>936</v>
      </c>
      <c r="Y6911">
        <v>0</v>
      </c>
      <c r="Z6911"/>
      <c r="AB6911"/>
      <c r="AC6911">
        <v>900</v>
      </c>
      <c r="AD6911">
        <v>296</v>
      </c>
      <c r="AE6911" s="1">
        <v>266400</v>
      </c>
      <c r="AF6911">
        <v>0</v>
      </c>
      <c r="AJ6911">
        <v>0</v>
      </c>
      <c r="AK6911">
        <v>0</v>
      </c>
      <c r="AL6911">
        <v>0</v>
      </c>
      <c r="AM6911">
        <v>0</v>
      </c>
      <c r="AN6911">
        <v>0</v>
      </c>
      <c r="AO6911">
        <v>0</v>
      </c>
      <c r="AP6911" s="2">
        <v>42746</v>
      </c>
      <c r="AQ6911" t="s">
        <v>72</v>
      </c>
      <c r="AR6911" t="s">
        <v>72</v>
      </c>
      <c r="AS6911">
        <v>2280</v>
      </c>
      <c r="AT6911" s="4">
        <v>42619</v>
      </c>
      <c r="AU6911" t="s">
        <v>73</v>
      </c>
      <c r="AV6911">
        <v>2280</v>
      </c>
      <c r="AW6911" s="4">
        <v>42619</v>
      </c>
      <c r="BD6911">
        <v>0</v>
      </c>
      <c r="BN6911" t="s">
        <v>74</v>
      </c>
    </row>
    <row r="6912" spans="1:66" hidden="1">
      <c r="A6912">
        <v>104093</v>
      </c>
      <c r="B6912" s="3" t="s">
        <v>609</v>
      </c>
      <c r="C6912" s="1">
        <v>43300101</v>
      </c>
      <c r="D6912" t="s">
        <v>67</v>
      </c>
      <c r="H6912" t="str">
        <f t="shared" si="684"/>
        <v>12572900152</v>
      </c>
      <c r="I6912" t="str">
        <f t="shared" si="685"/>
        <v>06032681006</v>
      </c>
      <c r="K6912" t="str">
        <f>""</f>
        <v/>
      </c>
      <c r="M6912" t="s">
        <v>68</v>
      </c>
      <c r="N6912" t="str">
        <f t="shared" ref="N6912:N6975" si="686">"FOR"</f>
        <v>FOR</v>
      </c>
      <c r="O6912" t="s">
        <v>69</v>
      </c>
      <c r="P6912" s="3" t="s">
        <v>75</v>
      </c>
      <c r="Q6912">
        <v>2015</v>
      </c>
      <c r="R6912" s="2">
        <v>42263</v>
      </c>
      <c r="S6912" s="2">
        <v>42265</v>
      </c>
      <c r="T6912" s="2">
        <v>42264</v>
      </c>
      <c r="U6912" s="2">
        <v>42324</v>
      </c>
      <c r="V6912" t="s">
        <v>71</v>
      </c>
      <c r="W6912" t="str">
        <f>"            25267598"</f>
        <v xml:space="preserve">            25267598</v>
      </c>
      <c r="X6912">
        <v>74.88</v>
      </c>
      <c r="Y6912">
        <v>0</v>
      </c>
      <c r="Z6912"/>
      <c r="AB6912"/>
      <c r="AC6912">
        <v>72</v>
      </c>
      <c r="AD6912">
        <v>295</v>
      </c>
      <c r="AE6912" s="1">
        <v>21240</v>
      </c>
      <c r="AF6912">
        <v>0</v>
      </c>
      <c r="AJ6912">
        <v>0</v>
      </c>
      <c r="AK6912">
        <v>0</v>
      </c>
      <c r="AL6912">
        <v>0</v>
      </c>
      <c r="AM6912">
        <v>0</v>
      </c>
      <c r="AN6912">
        <v>0</v>
      </c>
      <c r="AO6912">
        <v>0</v>
      </c>
      <c r="AP6912" s="2">
        <v>42746</v>
      </c>
      <c r="AQ6912" t="s">
        <v>72</v>
      </c>
      <c r="AR6912" t="s">
        <v>72</v>
      </c>
      <c r="AS6912">
        <v>2280</v>
      </c>
      <c r="AT6912" s="4">
        <v>42619</v>
      </c>
      <c r="AU6912" t="s">
        <v>73</v>
      </c>
      <c r="AV6912">
        <v>2280</v>
      </c>
      <c r="AW6912" s="4">
        <v>42619</v>
      </c>
      <c r="BD6912">
        <v>0</v>
      </c>
      <c r="BN6912" t="s">
        <v>74</v>
      </c>
    </row>
    <row r="6913" spans="1:66" hidden="1">
      <c r="A6913">
        <v>104093</v>
      </c>
      <c r="B6913" s="3" t="s">
        <v>609</v>
      </c>
      <c r="C6913" s="1">
        <v>43300101</v>
      </c>
      <c r="D6913" t="s">
        <v>67</v>
      </c>
      <c r="H6913" t="str">
        <f t="shared" si="684"/>
        <v>12572900152</v>
      </c>
      <c r="I6913" t="str">
        <f t="shared" si="685"/>
        <v>06032681006</v>
      </c>
      <c r="K6913" t="str">
        <f>""</f>
        <v/>
      </c>
      <c r="M6913" t="s">
        <v>68</v>
      </c>
      <c r="N6913" t="str">
        <f t="shared" si="686"/>
        <v>FOR</v>
      </c>
      <c r="O6913" t="s">
        <v>69</v>
      </c>
      <c r="P6913" s="3" t="s">
        <v>75</v>
      </c>
      <c r="Q6913">
        <v>2015</v>
      </c>
      <c r="R6913" s="2">
        <v>42263</v>
      </c>
      <c r="S6913" s="2">
        <v>42265</v>
      </c>
      <c r="T6913" s="2">
        <v>42264</v>
      </c>
      <c r="U6913" s="2">
        <v>42324</v>
      </c>
      <c r="V6913" t="s">
        <v>71</v>
      </c>
      <c r="W6913" t="str">
        <f>"            25267601"</f>
        <v xml:space="preserve">            25267601</v>
      </c>
      <c r="X6913">
        <v>748.8</v>
      </c>
      <c r="Y6913">
        <v>0</v>
      </c>
      <c r="Z6913"/>
      <c r="AB6913"/>
      <c r="AC6913">
        <v>720</v>
      </c>
      <c r="AD6913">
        <v>295</v>
      </c>
      <c r="AE6913" s="1">
        <v>212400</v>
      </c>
      <c r="AF6913">
        <v>0</v>
      </c>
      <c r="AJ6913">
        <v>0</v>
      </c>
      <c r="AK6913">
        <v>0</v>
      </c>
      <c r="AL6913">
        <v>0</v>
      </c>
      <c r="AM6913">
        <v>0</v>
      </c>
      <c r="AN6913">
        <v>0</v>
      </c>
      <c r="AO6913">
        <v>0</v>
      </c>
      <c r="AP6913" s="2">
        <v>42746</v>
      </c>
      <c r="AQ6913" t="s">
        <v>72</v>
      </c>
      <c r="AR6913" t="s">
        <v>72</v>
      </c>
      <c r="AS6913">
        <v>2280</v>
      </c>
      <c r="AT6913" s="4">
        <v>42619</v>
      </c>
      <c r="AU6913" t="s">
        <v>73</v>
      </c>
      <c r="AV6913">
        <v>2280</v>
      </c>
      <c r="AW6913" s="4">
        <v>42619</v>
      </c>
      <c r="BD6913">
        <v>0</v>
      </c>
      <c r="BN6913" t="s">
        <v>74</v>
      </c>
    </row>
    <row r="6914" spans="1:66" hidden="1">
      <c r="A6914">
        <v>104093</v>
      </c>
      <c r="B6914" s="3" t="s">
        <v>609</v>
      </c>
      <c r="C6914" s="1">
        <v>43300101</v>
      </c>
      <c r="D6914" t="s">
        <v>67</v>
      </c>
      <c r="H6914" t="str">
        <f t="shared" si="684"/>
        <v>12572900152</v>
      </c>
      <c r="I6914" t="str">
        <f t="shared" si="685"/>
        <v>06032681006</v>
      </c>
      <c r="K6914" t="str">
        <f>""</f>
        <v/>
      </c>
      <c r="M6914" t="s">
        <v>68</v>
      </c>
      <c r="N6914" t="str">
        <f t="shared" si="686"/>
        <v>FOR</v>
      </c>
      <c r="O6914" t="s">
        <v>69</v>
      </c>
      <c r="P6914" s="3" t="s">
        <v>75</v>
      </c>
      <c r="Q6914">
        <v>2015</v>
      </c>
      <c r="R6914" s="2">
        <v>42263</v>
      </c>
      <c r="S6914" s="2">
        <v>42265</v>
      </c>
      <c r="T6914" s="2">
        <v>42264</v>
      </c>
      <c r="U6914" s="2">
        <v>42324</v>
      </c>
      <c r="V6914" t="s">
        <v>71</v>
      </c>
      <c r="W6914" t="str">
        <f>"            25267602"</f>
        <v xml:space="preserve">            25267602</v>
      </c>
      <c r="X6914">
        <v>74.88</v>
      </c>
      <c r="Y6914">
        <v>0</v>
      </c>
      <c r="Z6914"/>
      <c r="AB6914"/>
      <c r="AC6914">
        <v>72</v>
      </c>
      <c r="AD6914">
        <v>295</v>
      </c>
      <c r="AE6914" s="1">
        <v>21240</v>
      </c>
      <c r="AF6914">
        <v>0</v>
      </c>
      <c r="AJ6914">
        <v>0</v>
      </c>
      <c r="AK6914">
        <v>0</v>
      </c>
      <c r="AL6914">
        <v>0</v>
      </c>
      <c r="AM6914">
        <v>0</v>
      </c>
      <c r="AN6914">
        <v>0</v>
      </c>
      <c r="AO6914">
        <v>0</v>
      </c>
      <c r="AP6914" s="2">
        <v>42746</v>
      </c>
      <c r="AQ6914" t="s">
        <v>72</v>
      </c>
      <c r="AR6914" t="s">
        <v>72</v>
      </c>
      <c r="AS6914">
        <v>2280</v>
      </c>
      <c r="AT6914" s="4">
        <v>42619</v>
      </c>
      <c r="AU6914" t="s">
        <v>73</v>
      </c>
      <c r="AV6914">
        <v>2280</v>
      </c>
      <c r="AW6914" s="4">
        <v>42619</v>
      </c>
      <c r="BD6914">
        <v>0</v>
      </c>
      <c r="BN6914" t="s">
        <v>74</v>
      </c>
    </row>
    <row r="6915" spans="1:66" hidden="1">
      <c r="A6915">
        <v>104093</v>
      </c>
      <c r="B6915" s="3" t="s">
        <v>609</v>
      </c>
      <c r="C6915" s="1">
        <v>43300101</v>
      </c>
      <c r="D6915" t="s">
        <v>67</v>
      </c>
      <c r="H6915" t="str">
        <f t="shared" ref="H6915:H6978" si="687">"12572900152"</f>
        <v>12572900152</v>
      </c>
      <c r="I6915" t="str">
        <f t="shared" ref="I6915:I6978" si="688">"06032681006"</f>
        <v>06032681006</v>
      </c>
      <c r="K6915" t="str">
        <f>""</f>
        <v/>
      </c>
      <c r="M6915" t="s">
        <v>68</v>
      </c>
      <c r="N6915" t="str">
        <f t="shared" si="686"/>
        <v>FOR</v>
      </c>
      <c r="O6915" t="s">
        <v>69</v>
      </c>
      <c r="P6915" s="3" t="s">
        <v>75</v>
      </c>
      <c r="Q6915">
        <v>2015</v>
      </c>
      <c r="R6915" s="2">
        <v>42263</v>
      </c>
      <c r="S6915" s="2">
        <v>42265</v>
      </c>
      <c r="T6915" s="2">
        <v>42264</v>
      </c>
      <c r="U6915" s="2">
        <v>42324</v>
      </c>
      <c r="V6915" t="s">
        <v>71</v>
      </c>
      <c r="W6915" t="str">
        <f>"            25267604"</f>
        <v xml:space="preserve">            25267604</v>
      </c>
      <c r="X6915">
        <v>403.42</v>
      </c>
      <c r="Y6915">
        <v>0</v>
      </c>
      <c r="Z6915"/>
      <c r="AB6915"/>
      <c r="AC6915">
        <v>387.9</v>
      </c>
      <c r="AD6915">
        <v>295</v>
      </c>
      <c r="AE6915" s="1">
        <v>114430.5</v>
      </c>
      <c r="AF6915">
        <v>0</v>
      </c>
      <c r="AJ6915">
        <v>0</v>
      </c>
      <c r="AK6915">
        <v>0</v>
      </c>
      <c r="AL6915">
        <v>0</v>
      </c>
      <c r="AM6915">
        <v>0</v>
      </c>
      <c r="AN6915">
        <v>0</v>
      </c>
      <c r="AO6915">
        <v>0</v>
      </c>
      <c r="AP6915" s="2">
        <v>42746</v>
      </c>
      <c r="AQ6915" t="s">
        <v>72</v>
      </c>
      <c r="AR6915" t="s">
        <v>72</v>
      </c>
      <c r="AS6915">
        <v>2280</v>
      </c>
      <c r="AT6915" s="4">
        <v>42619</v>
      </c>
      <c r="AU6915" t="s">
        <v>73</v>
      </c>
      <c r="AV6915">
        <v>2280</v>
      </c>
      <c r="AW6915" s="4">
        <v>42619</v>
      </c>
      <c r="BD6915">
        <v>0</v>
      </c>
      <c r="BN6915" t="s">
        <v>74</v>
      </c>
    </row>
    <row r="6916" spans="1:66" hidden="1">
      <c r="A6916">
        <v>104093</v>
      </c>
      <c r="B6916" s="3" t="s">
        <v>609</v>
      </c>
      <c r="C6916" s="1">
        <v>43300101</v>
      </c>
      <c r="D6916" t="s">
        <v>67</v>
      </c>
      <c r="H6916" t="str">
        <f t="shared" si="687"/>
        <v>12572900152</v>
      </c>
      <c r="I6916" t="str">
        <f t="shared" si="688"/>
        <v>06032681006</v>
      </c>
      <c r="K6916" t="str">
        <f>""</f>
        <v/>
      </c>
      <c r="M6916" t="s">
        <v>68</v>
      </c>
      <c r="N6916" t="str">
        <f t="shared" si="686"/>
        <v>FOR</v>
      </c>
      <c r="O6916" t="s">
        <v>69</v>
      </c>
      <c r="P6916" s="3" t="s">
        <v>75</v>
      </c>
      <c r="Q6916">
        <v>2015</v>
      </c>
      <c r="R6916" s="2">
        <v>42263</v>
      </c>
      <c r="S6916" s="2">
        <v>42265</v>
      </c>
      <c r="T6916" s="2">
        <v>42264</v>
      </c>
      <c r="U6916" s="2">
        <v>42324</v>
      </c>
      <c r="V6916" t="s">
        <v>71</v>
      </c>
      <c r="W6916" t="str">
        <f>"            25267607"</f>
        <v xml:space="preserve">            25267607</v>
      </c>
      <c r="X6916">
        <v>74.88</v>
      </c>
      <c r="Y6916">
        <v>0</v>
      </c>
      <c r="Z6916"/>
      <c r="AB6916"/>
      <c r="AC6916">
        <v>72</v>
      </c>
      <c r="AD6916">
        <v>295</v>
      </c>
      <c r="AE6916" s="1">
        <v>21240</v>
      </c>
      <c r="AF6916">
        <v>0</v>
      </c>
      <c r="AJ6916">
        <v>0</v>
      </c>
      <c r="AK6916">
        <v>0</v>
      </c>
      <c r="AL6916">
        <v>0</v>
      </c>
      <c r="AM6916">
        <v>0</v>
      </c>
      <c r="AN6916">
        <v>0</v>
      </c>
      <c r="AO6916">
        <v>0</v>
      </c>
      <c r="AP6916" s="2">
        <v>42746</v>
      </c>
      <c r="AQ6916" t="s">
        <v>72</v>
      </c>
      <c r="AR6916" t="s">
        <v>72</v>
      </c>
      <c r="AS6916">
        <v>2280</v>
      </c>
      <c r="AT6916" s="4">
        <v>42619</v>
      </c>
      <c r="AU6916" t="s">
        <v>73</v>
      </c>
      <c r="AV6916">
        <v>2280</v>
      </c>
      <c r="AW6916" s="4">
        <v>42619</v>
      </c>
      <c r="BD6916">
        <v>0</v>
      </c>
      <c r="BN6916" t="s">
        <v>74</v>
      </c>
    </row>
    <row r="6917" spans="1:66" hidden="1">
      <c r="A6917">
        <v>104093</v>
      </c>
      <c r="B6917" s="3" t="s">
        <v>609</v>
      </c>
      <c r="C6917" s="1">
        <v>43300101</v>
      </c>
      <c r="D6917" t="s">
        <v>67</v>
      </c>
      <c r="H6917" t="str">
        <f t="shared" si="687"/>
        <v>12572900152</v>
      </c>
      <c r="I6917" t="str">
        <f t="shared" si="688"/>
        <v>06032681006</v>
      </c>
      <c r="K6917" t="str">
        <f>""</f>
        <v/>
      </c>
      <c r="M6917" t="s">
        <v>68</v>
      </c>
      <c r="N6917" t="str">
        <f t="shared" si="686"/>
        <v>FOR</v>
      </c>
      <c r="O6917" t="s">
        <v>69</v>
      </c>
      <c r="P6917" s="3" t="s">
        <v>75</v>
      </c>
      <c r="Q6917">
        <v>2015</v>
      </c>
      <c r="R6917" s="2">
        <v>42263</v>
      </c>
      <c r="S6917" s="2">
        <v>42265</v>
      </c>
      <c r="T6917" s="2">
        <v>42264</v>
      </c>
      <c r="U6917" s="2">
        <v>42324</v>
      </c>
      <c r="V6917" t="s">
        <v>71</v>
      </c>
      <c r="W6917" t="str">
        <f>"            25267613"</f>
        <v xml:space="preserve">            25267613</v>
      </c>
      <c r="X6917">
        <v>74.88</v>
      </c>
      <c r="Y6917">
        <v>0</v>
      </c>
      <c r="Z6917"/>
      <c r="AB6917"/>
      <c r="AC6917">
        <v>72</v>
      </c>
      <c r="AD6917">
        <v>295</v>
      </c>
      <c r="AE6917" s="1">
        <v>21240</v>
      </c>
      <c r="AF6917">
        <v>0</v>
      </c>
      <c r="AJ6917">
        <v>0</v>
      </c>
      <c r="AK6917">
        <v>0</v>
      </c>
      <c r="AL6917">
        <v>0</v>
      </c>
      <c r="AM6917">
        <v>0</v>
      </c>
      <c r="AN6917">
        <v>0</v>
      </c>
      <c r="AO6917">
        <v>0</v>
      </c>
      <c r="AP6917" s="2">
        <v>42746</v>
      </c>
      <c r="AQ6917" t="s">
        <v>72</v>
      </c>
      <c r="AR6917" t="s">
        <v>72</v>
      </c>
      <c r="AS6917">
        <v>2280</v>
      </c>
      <c r="AT6917" s="4">
        <v>42619</v>
      </c>
      <c r="AU6917" t="s">
        <v>73</v>
      </c>
      <c r="AV6917">
        <v>2280</v>
      </c>
      <c r="AW6917" s="4">
        <v>42619</v>
      </c>
      <c r="BD6917">
        <v>0</v>
      </c>
      <c r="BN6917" t="s">
        <v>74</v>
      </c>
    </row>
    <row r="6918" spans="1:66" hidden="1">
      <c r="A6918">
        <v>104093</v>
      </c>
      <c r="B6918" s="3" t="s">
        <v>609</v>
      </c>
      <c r="C6918" s="1">
        <v>43300101</v>
      </c>
      <c r="D6918" t="s">
        <v>67</v>
      </c>
      <c r="H6918" t="str">
        <f t="shared" si="687"/>
        <v>12572900152</v>
      </c>
      <c r="I6918" t="str">
        <f t="shared" si="688"/>
        <v>06032681006</v>
      </c>
      <c r="K6918" t="str">
        <f>""</f>
        <v/>
      </c>
      <c r="M6918" t="s">
        <v>68</v>
      </c>
      <c r="N6918" t="str">
        <f t="shared" si="686"/>
        <v>FOR</v>
      </c>
      <c r="O6918" t="s">
        <v>69</v>
      </c>
      <c r="P6918" s="3" t="s">
        <v>75</v>
      </c>
      <c r="Q6918">
        <v>2015</v>
      </c>
      <c r="R6918" s="2">
        <v>42263</v>
      </c>
      <c r="S6918" s="2">
        <v>42265</v>
      </c>
      <c r="T6918" s="2">
        <v>42264</v>
      </c>
      <c r="U6918" s="2">
        <v>42324</v>
      </c>
      <c r="V6918" t="s">
        <v>71</v>
      </c>
      <c r="W6918" t="str">
        <f>"            25267615"</f>
        <v xml:space="preserve">            25267615</v>
      </c>
      <c r="X6918">
        <v>74.88</v>
      </c>
      <c r="Y6918">
        <v>0</v>
      </c>
      <c r="Z6918"/>
      <c r="AB6918"/>
      <c r="AC6918">
        <v>72</v>
      </c>
      <c r="AD6918">
        <v>295</v>
      </c>
      <c r="AE6918" s="1">
        <v>21240</v>
      </c>
      <c r="AF6918">
        <v>0</v>
      </c>
      <c r="AJ6918">
        <v>0</v>
      </c>
      <c r="AK6918">
        <v>0</v>
      </c>
      <c r="AL6918">
        <v>0</v>
      </c>
      <c r="AM6918">
        <v>0</v>
      </c>
      <c r="AN6918">
        <v>0</v>
      </c>
      <c r="AO6918">
        <v>0</v>
      </c>
      <c r="AP6918" s="2">
        <v>42746</v>
      </c>
      <c r="AQ6918" t="s">
        <v>72</v>
      </c>
      <c r="AR6918" t="s">
        <v>72</v>
      </c>
      <c r="AS6918">
        <v>2280</v>
      </c>
      <c r="AT6918" s="4">
        <v>42619</v>
      </c>
      <c r="AU6918" t="s">
        <v>73</v>
      </c>
      <c r="AV6918">
        <v>2280</v>
      </c>
      <c r="AW6918" s="4">
        <v>42619</v>
      </c>
      <c r="BD6918">
        <v>0</v>
      </c>
      <c r="BN6918" t="s">
        <v>74</v>
      </c>
    </row>
    <row r="6919" spans="1:66" hidden="1">
      <c r="A6919">
        <v>104093</v>
      </c>
      <c r="B6919" s="3" t="s">
        <v>609</v>
      </c>
      <c r="C6919" s="1">
        <v>43300101</v>
      </c>
      <c r="D6919" t="s">
        <v>67</v>
      </c>
      <c r="H6919" t="str">
        <f t="shared" si="687"/>
        <v>12572900152</v>
      </c>
      <c r="I6919" t="str">
        <f t="shared" si="688"/>
        <v>06032681006</v>
      </c>
      <c r="K6919" t="str">
        <f>""</f>
        <v/>
      </c>
      <c r="M6919" t="s">
        <v>68</v>
      </c>
      <c r="N6919" t="str">
        <f t="shared" si="686"/>
        <v>FOR</v>
      </c>
      <c r="O6919" t="s">
        <v>69</v>
      </c>
      <c r="P6919" s="3" t="s">
        <v>75</v>
      </c>
      <c r="Q6919">
        <v>2015</v>
      </c>
      <c r="R6919" s="2">
        <v>42268</v>
      </c>
      <c r="S6919" s="2">
        <v>42270</v>
      </c>
      <c r="T6919" s="2">
        <v>42269</v>
      </c>
      <c r="U6919" s="2">
        <v>42329</v>
      </c>
      <c r="V6919" t="s">
        <v>71</v>
      </c>
      <c r="W6919" t="str">
        <f>"            25268326"</f>
        <v xml:space="preserve">            25268326</v>
      </c>
      <c r="X6919">
        <v>74.88</v>
      </c>
      <c r="Y6919">
        <v>0</v>
      </c>
      <c r="Z6919"/>
      <c r="AB6919"/>
      <c r="AC6919">
        <v>72</v>
      </c>
      <c r="AD6919">
        <v>290</v>
      </c>
      <c r="AE6919" s="1">
        <v>20880</v>
      </c>
      <c r="AF6919">
        <v>0</v>
      </c>
      <c r="AJ6919">
        <v>0</v>
      </c>
      <c r="AK6919">
        <v>0</v>
      </c>
      <c r="AL6919">
        <v>0</v>
      </c>
      <c r="AM6919">
        <v>0</v>
      </c>
      <c r="AN6919">
        <v>0</v>
      </c>
      <c r="AO6919">
        <v>0</v>
      </c>
      <c r="AP6919" s="2">
        <v>42746</v>
      </c>
      <c r="AQ6919" t="s">
        <v>72</v>
      </c>
      <c r="AR6919" t="s">
        <v>72</v>
      </c>
      <c r="AS6919">
        <v>2280</v>
      </c>
      <c r="AT6919" s="4">
        <v>42619</v>
      </c>
      <c r="AU6919" t="s">
        <v>73</v>
      </c>
      <c r="AV6919">
        <v>2280</v>
      </c>
      <c r="AW6919" s="4">
        <v>42619</v>
      </c>
      <c r="BD6919">
        <v>0</v>
      </c>
      <c r="BN6919" t="s">
        <v>74</v>
      </c>
    </row>
    <row r="6920" spans="1:66" hidden="1">
      <c r="A6920">
        <v>104093</v>
      </c>
      <c r="B6920" s="3" t="s">
        <v>609</v>
      </c>
      <c r="C6920" s="1">
        <v>43300101</v>
      </c>
      <c r="D6920" t="s">
        <v>67</v>
      </c>
      <c r="H6920" t="str">
        <f t="shared" si="687"/>
        <v>12572900152</v>
      </c>
      <c r="I6920" t="str">
        <f t="shared" si="688"/>
        <v>06032681006</v>
      </c>
      <c r="K6920" t="str">
        <f>""</f>
        <v/>
      </c>
      <c r="M6920" t="s">
        <v>68</v>
      </c>
      <c r="N6920" t="str">
        <f t="shared" si="686"/>
        <v>FOR</v>
      </c>
      <c r="O6920" t="s">
        <v>69</v>
      </c>
      <c r="P6920" s="3" t="s">
        <v>75</v>
      </c>
      <c r="Q6920">
        <v>2015</v>
      </c>
      <c r="R6920" s="2">
        <v>42268</v>
      </c>
      <c r="S6920" s="2">
        <v>42269</v>
      </c>
      <c r="T6920" s="2">
        <v>42269</v>
      </c>
      <c r="U6920" s="2">
        <v>42329</v>
      </c>
      <c r="V6920" t="s">
        <v>71</v>
      </c>
      <c r="W6920" t="str">
        <f>"            25268343"</f>
        <v xml:space="preserve">            25268343</v>
      </c>
      <c r="X6920">
        <v>252.72</v>
      </c>
      <c r="Y6920">
        <v>0</v>
      </c>
      <c r="Z6920"/>
      <c r="AB6920"/>
      <c r="AC6920">
        <v>243</v>
      </c>
      <c r="AD6920">
        <v>290</v>
      </c>
      <c r="AE6920" s="1">
        <v>70470</v>
      </c>
      <c r="AF6920">
        <v>0</v>
      </c>
      <c r="AJ6920">
        <v>0</v>
      </c>
      <c r="AK6920">
        <v>0</v>
      </c>
      <c r="AL6920">
        <v>0</v>
      </c>
      <c r="AM6920">
        <v>0</v>
      </c>
      <c r="AN6920">
        <v>0</v>
      </c>
      <c r="AO6920">
        <v>0</v>
      </c>
      <c r="AP6920" s="2">
        <v>42746</v>
      </c>
      <c r="AQ6920" t="s">
        <v>72</v>
      </c>
      <c r="AR6920" t="s">
        <v>72</v>
      </c>
      <c r="AS6920">
        <v>2280</v>
      </c>
      <c r="AT6920" s="4">
        <v>42619</v>
      </c>
      <c r="AU6920" t="s">
        <v>73</v>
      </c>
      <c r="AV6920">
        <v>2280</v>
      </c>
      <c r="AW6920" s="4">
        <v>42619</v>
      </c>
      <c r="BD6920">
        <v>0</v>
      </c>
      <c r="BN6920" t="s">
        <v>74</v>
      </c>
    </row>
    <row r="6921" spans="1:66" hidden="1">
      <c r="A6921">
        <v>104093</v>
      </c>
      <c r="B6921" s="3" t="s">
        <v>609</v>
      </c>
      <c r="C6921" s="1">
        <v>43300101</v>
      </c>
      <c r="D6921" t="s">
        <v>67</v>
      </c>
      <c r="H6921" t="str">
        <f t="shared" si="687"/>
        <v>12572900152</v>
      </c>
      <c r="I6921" t="str">
        <f t="shared" si="688"/>
        <v>06032681006</v>
      </c>
      <c r="K6921" t="str">
        <f>""</f>
        <v/>
      </c>
      <c r="M6921" t="s">
        <v>68</v>
      </c>
      <c r="N6921" t="str">
        <f t="shared" si="686"/>
        <v>FOR</v>
      </c>
      <c r="O6921" t="s">
        <v>69</v>
      </c>
      <c r="P6921" s="3" t="s">
        <v>75</v>
      </c>
      <c r="Q6921">
        <v>2015</v>
      </c>
      <c r="R6921" s="2">
        <v>42268</v>
      </c>
      <c r="S6921" s="2">
        <v>42270</v>
      </c>
      <c r="T6921" s="2">
        <v>42269</v>
      </c>
      <c r="U6921" s="2">
        <v>42329</v>
      </c>
      <c r="V6921" t="s">
        <v>71</v>
      </c>
      <c r="W6921" t="str">
        <f>"            25268345"</f>
        <v xml:space="preserve">            25268345</v>
      </c>
      <c r="X6921">
        <v>74.88</v>
      </c>
      <c r="Y6921">
        <v>0</v>
      </c>
      <c r="Z6921"/>
      <c r="AB6921"/>
      <c r="AC6921">
        <v>72</v>
      </c>
      <c r="AD6921">
        <v>290</v>
      </c>
      <c r="AE6921" s="1">
        <v>20880</v>
      </c>
      <c r="AF6921">
        <v>0</v>
      </c>
      <c r="AJ6921">
        <v>0</v>
      </c>
      <c r="AK6921">
        <v>0</v>
      </c>
      <c r="AL6921">
        <v>0</v>
      </c>
      <c r="AM6921">
        <v>0</v>
      </c>
      <c r="AN6921">
        <v>0</v>
      </c>
      <c r="AO6921">
        <v>0</v>
      </c>
      <c r="AP6921" s="2">
        <v>42746</v>
      </c>
      <c r="AQ6921" t="s">
        <v>72</v>
      </c>
      <c r="AR6921" t="s">
        <v>72</v>
      </c>
      <c r="AS6921">
        <v>2280</v>
      </c>
      <c r="AT6921" s="4">
        <v>42619</v>
      </c>
      <c r="AU6921" t="s">
        <v>73</v>
      </c>
      <c r="AV6921">
        <v>2280</v>
      </c>
      <c r="AW6921" s="4">
        <v>42619</v>
      </c>
      <c r="BD6921">
        <v>0</v>
      </c>
      <c r="BN6921" t="s">
        <v>74</v>
      </c>
    </row>
    <row r="6922" spans="1:66" hidden="1">
      <c r="A6922">
        <v>104093</v>
      </c>
      <c r="B6922" s="3" t="s">
        <v>609</v>
      </c>
      <c r="C6922" s="1">
        <v>43300101</v>
      </c>
      <c r="D6922" t="s">
        <v>67</v>
      </c>
      <c r="H6922" t="str">
        <f t="shared" si="687"/>
        <v>12572900152</v>
      </c>
      <c r="I6922" t="str">
        <f t="shared" si="688"/>
        <v>06032681006</v>
      </c>
      <c r="K6922" t="str">
        <f>""</f>
        <v/>
      </c>
      <c r="M6922" t="s">
        <v>68</v>
      </c>
      <c r="N6922" t="str">
        <f t="shared" si="686"/>
        <v>FOR</v>
      </c>
      <c r="O6922" t="s">
        <v>69</v>
      </c>
      <c r="P6922" s="3" t="s">
        <v>75</v>
      </c>
      <c r="Q6922">
        <v>2015</v>
      </c>
      <c r="R6922" s="2">
        <v>42268</v>
      </c>
      <c r="S6922" s="2">
        <v>42269</v>
      </c>
      <c r="T6922" s="2">
        <v>42269</v>
      </c>
      <c r="U6922" s="2">
        <v>42329</v>
      </c>
      <c r="V6922" t="s">
        <v>71</v>
      </c>
      <c r="W6922" t="str">
        <f>"            25268346"</f>
        <v xml:space="preserve">            25268346</v>
      </c>
      <c r="X6922">
        <v>806.83</v>
      </c>
      <c r="Y6922">
        <v>0</v>
      </c>
      <c r="Z6922"/>
      <c r="AB6922"/>
      <c r="AC6922">
        <v>775.8</v>
      </c>
      <c r="AD6922">
        <v>290</v>
      </c>
      <c r="AE6922" s="1">
        <v>224982</v>
      </c>
      <c r="AF6922">
        <v>0</v>
      </c>
      <c r="AJ6922">
        <v>0</v>
      </c>
      <c r="AK6922">
        <v>0</v>
      </c>
      <c r="AL6922">
        <v>0</v>
      </c>
      <c r="AM6922">
        <v>0</v>
      </c>
      <c r="AN6922">
        <v>0</v>
      </c>
      <c r="AO6922">
        <v>0</v>
      </c>
      <c r="AP6922" s="2">
        <v>42746</v>
      </c>
      <c r="AQ6922" t="s">
        <v>72</v>
      </c>
      <c r="AR6922" t="s">
        <v>72</v>
      </c>
      <c r="AS6922">
        <v>2280</v>
      </c>
      <c r="AT6922" s="4">
        <v>42619</v>
      </c>
      <c r="AU6922" t="s">
        <v>73</v>
      </c>
      <c r="AV6922">
        <v>2280</v>
      </c>
      <c r="AW6922" s="4">
        <v>42619</v>
      </c>
      <c r="BD6922">
        <v>0</v>
      </c>
      <c r="BN6922" t="s">
        <v>74</v>
      </c>
    </row>
    <row r="6923" spans="1:66" hidden="1">
      <c r="A6923">
        <v>104093</v>
      </c>
      <c r="B6923" s="3" t="s">
        <v>609</v>
      </c>
      <c r="C6923" s="1">
        <v>43300101</v>
      </c>
      <c r="D6923" t="s">
        <v>67</v>
      </c>
      <c r="H6923" t="str">
        <f t="shared" si="687"/>
        <v>12572900152</v>
      </c>
      <c r="I6923" t="str">
        <f t="shared" si="688"/>
        <v>06032681006</v>
      </c>
      <c r="K6923" t="str">
        <f>""</f>
        <v/>
      </c>
      <c r="M6923" t="s">
        <v>68</v>
      </c>
      <c r="N6923" t="str">
        <f t="shared" si="686"/>
        <v>FOR</v>
      </c>
      <c r="O6923" t="s">
        <v>69</v>
      </c>
      <c r="P6923" s="3" t="s">
        <v>75</v>
      </c>
      <c r="Q6923">
        <v>2015</v>
      </c>
      <c r="R6923" s="2">
        <v>42268</v>
      </c>
      <c r="S6923" s="2">
        <v>42277</v>
      </c>
      <c r="T6923" s="2">
        <v>42269</v>
      </c>
      <c r="U6923" s="2">
        <v>42329</v>
      </c>
      <c r="V6923" t="s">
        <v>71</v>
      </c>
      <c r="W6923" t="str">
        <f>"            25268473"</f>
        <v xml:space="preserve">            25268473</v>
      </c>
      <c r="X6923" s="1">
        <v>1513.04</v>
      </c>
      <c r="Y6923">
        <v>0</v>
      </c>
      <c r="Z6923"/>
      <c r="AB6923"/>
      <c r="AC6923" s="1">
        <v>1240.2</v>
      </c>
      <c r="AD6923">
        <v>290</v>
      </c>
      <c r="AE6923" s="1">
        <v>359658</v>
      </c>
      <c r="AF6923">
        <v>0</v>
      </c>
      <c r="AJ6923">
        <v>0</v>
      </c>
      <c r="AK6923">
        <v>0</v>
      </c>
      <c r="AL6923">
        <v>0</v>
      </c>
      <c r="AM6923">
        <v>0</v>
      </c>
      <c r="AN6923">
        <v>0</v>
      </c>
      <c r="AO6923">
        <v>0</v>
      </c>
      <c r="AP6923" s="2">
        <v>42746</v>
      </c>
      <c r="AQ6923" t="s">
        <v>72</v>
      </c>
      <c r="AR6923" t="s">
        <v>72</v>
      </c>
      <c r="AS6923">
        <v>2280</v>
      </c>
      <c r="AT6923" s="4">
        <v>42619</v>
      </c>
      <c r="AU6923" t="s">
        <v>73</v>
      </c>
      <c r="AV6923">
        <v>2280</v>
      </c>
      <c r="AW6923" s="4">
        <v>42619</v>
      </c>
      <c r="BD6923">
        <v>0</v>
      </c>
      <c r="BN6923" t="s">
        <v>74</v>
      </c>
    </row>
    <row r="6924" spans="1:66" hidden="1">
      <c r="A6924">
        <v>104093</v>
      </c>
      <c r="B6924" s="3" t="s">
        <v>609</v>
      </c>
      <c r="C6924" s="1">
        <v>43300101</v>
      </c>
      <c r="D6924" t="s">
        <v>67</v>
      </c>
      <c r="H6924" t="str">
        <f t="shared" si="687"/>
        <v>12572900152</v>
      </c>
      <c r="I6924" t="str">
        <f t="shared" si="688"/>
        <v>06032681006</v>
      </c>
      <c r="K6924" t="str">
        <f>""</f>
        <v/>
      </c>
      <c r="M6924" t="s">
        <v>68</v>
      </c>
      <c r="N6924" t="str">
        <f t="shared" si="686"/>
        <v>FOR</v>
      </c>
      <c r="O6924" t="s">
        <v>69</v>
      </c>
      <c r="P6924" s="3" t="s">
        <v>75</v>
      </c>
      <c r="Q6924">
        <v>2015</v>
      </c>
      <c r="R6924" s="2">
        <v>42275</v>
      </c>
      <c r="S6924" s="2">
        <v>42277</v>
      </c>
      <c r="T6924" s="2">
        <v>42276</v>
      </c>
      <c r="U6924" s="2">
        <v>42336</v>
      </c>
      <c r="V6924" t="s">
        <v>71</v>
      </c>
      <c r="W6924" t="str">
        <f>"            25269701"</f>
        <v xml:space="preserve">            25269701</v>
      </c>
      <c r="X6924">
        <v>252.72</v>
      </c>
      <c r="Y6924">
        <v>0</v>
      </c>
      <c r="Z6924"/>
      <c r="AB6924"/>
      <c r="AC6924">
        <v>243</v>
      </c>
      <c r="AD6924">
        <v>283</v>
      </c>
      <c r="AE6924" s="1">
        <v>68769</v>
      </c>
      <c r="AF6924">
        <v>0</v>
      </c>
      <c r="AJ6924">
        <v>0</v>
      </c>
      <c r="AK6924">
        <v>0</v>
      </c>
      <c r="AL6924">
        <v>0</v>
      </c>
      <c r="AM6924">
        <v>0</v>
      </c>
      <c r="AN6924">
        <v>0</v>
      </c>
      <c r="AO6924">
        <v>0</v>
      </c>
      <c r="AP6924" s="2">
        <v>42746</v>
      </c>
      <c r="AQ6924" t="s">
        <v>72</v>
      </c>
      <c r="AR6924" t="s">
        <v>72</v>
      </c>
      <c r="AS6924">
        <v>2280</v>
      </c>
      <c r="AT6924" s="4">
        <v>42619</v>
      </c>
      <c r="AU6924" t="s">
        <v>73</v>
      </c>
      <c r="AV6924">
        <v>2280</v>
      </c>
      <c r="AW6924" s="4">
        <v>42619</v>
      </c>
      <c r="BD6924">
        <v>0</v>
      </c>
      <c r="BN6924" t="s">
        <v>74</v>
      </c>
    </row>
    <row r="6925" spans="1:66" hidden="1">
      <c r="A6925">
        <v>104093</v>
      </c>
      <c r="B6925" s="3" t="s">
        <v>609</v>
      </c>
      <c r="C6925" s="1">
        <v>43300101</v>
      </c>
      <c r="D6925" t="s">
        <v>67</v>
      </c>
      <c r="H6925" t="str">
        <f t="shared" si="687"/>
        <v>12572900152</v>
      </c>
      <c r="I6925" t="str">
        <f t="shared" si="688"/>
        <v>06032681006</v>
      </c>
      <c r="K6925" t="str">
        <f>""</f>
        <v/>
      </c>
      <c r="M6925" t="s">
        <v>68</v>
      </c>
      <c r="N6925" t="str">
        <f t="shared" si="686"/>
        <v>FOR</v>
      </c>
      <c r="O6925" t="s">
        <v>69</v>
      </c>
      <c r="P6925" s="3" t="s">
        <v>75</v>
      </c>
      <c r="Q6925">
        <v>2015</v>
      </c>
      <c r="R6925" s="2">
        <v>42275</v>
      </c>
      <c r="S6925" s="2">
        <v>42277</v>
      </c>
      <c r="T6925" s="2">
        <v>42276</v>
      </c>
      <c r="U6925" s="2">
        <v>42336</v>
      </c>
      <c r="V6925" t="s">
        <v>71</v>
      </c>
      <c r="W6925" t="str">
        <f>"            25269704"</f>
        <v xml:space="preserve">            25269704</v>
      </c>
      <c r="X6925">
        <v>707.62</v>
      </c>
      <c r="Y6925">
        <v>0</v>
      </c>
      <c r="Z6925"/>
      <c r="AB6925"/>
      <c r="AC6925">
        <v>680.4</v>
      </c>
      <c r="AD6925">
        <v>283</v>
      </c>
      <c r="AE6925" s="1">
        <v>192553.2</v>
      </c>
      <c r="AF6925">
        <v>0</v>
      </c>
      <c r="AJ6925">
        <v>0</v>
      </c>
      <c r="AK6925">
        <v>0</v>
      </c>
      <c r="AL6925">
        <v>0</v>
      </c>
      <c r="AM6925">
        <v>0</v>
      </c>
      <c r="AN6925">
        <v>0</v>
      </c>
      <c r="AO6925">
        <v>0</v>
      </c>
      <c r="AP6925" s="2">
        <v>42746</v>
      </c>
      <c r="AQ6925" t="s">
        <v>72</v>
      </c>
      <c r="AR6925" t="s">
        <v>72</v>
      </c>
      <c r="AS6925">
        <v>2280</v>
      </c>
      <c r="AT6925" s="4">
        <v>42619</v>
      </c>
      <c r="AU6925" t="s">
        <v>73</v>
      </c>
      <c r="AV6925">
        <v>2280</v>
      </c>
      <c r="AW6925" s="4">
        <v>42619</v>
      </c>
      <c r="BD6925">
        <v>0</v>
      </c>
      <c r="BN6925" t="s">
        <v>74</v>
      </c>
    </row>
    <row r="6926" spans="1:66" hidden="1">
      <c r="A6926">
        <v>104093</v>
      </c>
      <c r="B6926" s="3" t="s">
        <v>609</v>
      </c>
      <c r="C6926" s="1">
        <v>43300101</v>
      </c>
      <c r="D6926" t="s">
        <v>67</v>
      </c>
      <c r="H6926" t="str">
        <f t="shared" si="687"/>
        <v>12572900152</v>
      </c>
      <c r="I6926" t="str">
        <f t="shared" si="688"/>
        <v>06032681006</v>
      </c>
      <c r="K6926" t="str">
        <f>""</f>
        <v/>
      </c>
      <c r="M6926" t="s">
        <v>68</v>
      </c>
      <c r="N6926" t="str">
        <f t="shared" si="686"/>
        <v>FOR</v>
      </c>
      <c r="O6926" t="s">
        <v>69</v>
      </c>
      <c r="P6926" s="3" t="s">
        <v>75</v>
      </c>
      <c r="Q6926">
        <v>2015</v>
      </c>
      <c r="R6926" s="2">
        <v>42275</v>
      </c>
      <c r="S6926" s="2">
        <v>42277</v>
      </c>
      <c r="T6926" s="2">
        <v>42276</v>
      </c>
      <c r="U6926" s="2">
        <v>42336</v>
      </c>
      <c r="V6926" t="s">
        <v>71</v>
      </c>
      <c r="W6926" t="str">
        <f>"            25269707"</f>
        <v xml:space="preserve">            25269707</v>
      </c>
      <c r="X6926">
        <v>74.88</v>
      </c>
      <c r="Y6926">
        <v>0</v>
      </c>
      <c r="Z6926"/>
      <c r="AB6926"/>
      <c r="AC6926">
        <v>72</v>
      </c>
      <c r="AD6926">
        <v>283</v>
      </c>
      <c r="AE6926" s="1">
        <v>20376</v>
      </c>
      <c r="AF6926">
        <v>0</v>
      </c>
      <c r="AJ6926">
        <v>0</v>
      </c>
      <c r="AK6926">
        <v>0</v>
      </c>
      <c r="AL6926">
        <v>0</v>
      </c>
      <c r="AM6926">
        <v>0</v>
      </c>
      <c r="AN6926">
        <v>0</v>
      </c>
      <c r="AO6926">
        <v>0</v>
      </c>
      <c r="AP6926" s="2">
        <v>42746</v>
      </c>
      <c r="AQ6926" t="s">
        <v>72</v>
      </c>
      <c r="AR6926" t="s">
        <v>72</v>
      </c>
      <c r="AS6926">
        <v>2280</v>
      </c>
      <c r="AT6926" s="4">
        <v>42619</v>
      </c>
      <c r="AU6926" t="s">
        <v>73</v>
      </c>
      <c r="AV6926">
        <v>2280</v>
      </c>
      <c r="AW6926" s="4">
        <v>42619</v>
      </c>
      <c r="BD6926">
        <v>0</v>
      </c>
      <c r="BN6926" t="s">
        <v>74</v>
      </c>
    </row>
    <row r="6927" spans="1:66" hidden="1">
      <c r="A6927">
        <v>104093</v>
      </c>
      <c r="B6927" s="3" t="s">
        <v>609</v>
      </c>
      <c r="C6927" s="1">
        <v>43300101</v>
      </c>
      <c r="D6927" t="s">
        <v>67</v>
      </c>
      <c r="H6927" t="str">
        <f t="shared" si="687"/>
        <v>12572900152</v>
      </c>
      <c r="I6927" t="str">
        <f t="shared" si="688"/>
        <v>06032681006</v>
      </c>
      <c r="K6927" t="str">
        <f>""</f>
        <v/>
      </c>
      <c r="M6927" t="s">
        <v>68</v>
      </c>
      <c r="N6927" t="str">
        <f t="shared" si="686"/>
        <v>FOR</v>
      </c>
      <c r="O6927" t="s">
        <v>69</v>
      </c>
      <c r="P6927" s="3" t="s">
        <v>75</v>
      </c>
      <c r="Q6927">
        <v>2015</v>
      </c>
      <c r="R6927" s="2">
        <v>42277</v>
      </c>
      <c r="S6927" s="2">
        <v>42282</v>
      </c>
      <c r="T6927" s="2">
        <v>42278</v>
      </c>
      <c r="U6927" s="2">
        <v>42338</v>
      </c>
      <c r="V6927" t="s">
        <v>71</v>
      </c>
      <c r="W6927" t="str">
        <f>"            25270411"</f>
        <v xml:space="preserve">            25270411</v>
      </c>
      <c r="X6927">
        <v>252.72</v>
      </c>
      <c r="Y6927">
        <v>0</v>
      </c>
      <c r="Z6927"/>
      <c r="AB6927"/>
      <c r="AC6927">
        <v>243</v>
      </c>
      <c r="AD6927">
        <v>281</v>
      </c>
      <c r="AE6927" s="1">
        <v>68283</v>
      </c>
      <c r="AF6927">
        <v>0</v>
      </c>
      <c r="AJ6927">
        <v>0</v>
      </c>
      <c r="AK6927">
        <v>0</v>
      </c>
      <c r="AL6927">
        <v>0</v>
      </c>
      <c r="AM6927">
        <v>0</v>
      </c>
      <c r="AN6927">
        <v>0</v>
      </c>
      <c r="AO6927">
        <v>0</v>
      </c>
      <c r="AP6927" s="2">
        <v>42746</v>
      </c>
      <c r="AQ6927" t="s">
        <v>72</v>
      </c>
      <c r="AR6927" t="s">
        <v>72</v>
      </c>
      <c r="AS6927">
        <v>2280</v>
      </c>
      <c r="AT6927" s="4">
        <v>42619</v>
      </c>
      <c r="AU6927" t="s">
        <v>73</v>
      </c>
      <c r="AV6927">
        <v>2280</v>
      </c>
      <c r="AW6927" s="4">
        <v>42619</v>
      </c>
      <c r="BD6927">
        <v>0</v>
      </c>
      <c r="BN6927" t="s">
        <v>74</v>
      </c>
    </row>
    <row r="6928" spans="1:66">
      <c r="A6928">
        <v>104093</v>
      </c>
      <c r="B6928" s="3" t="s">
        <v>609</v>
      </c>
      <c r="C6928" s="1">
        <v>43300101</v>
      </c>
      <c r="D6928" t="s">
        <v>67</v>
      </c>
      <c r="H6928" t="str">
        <f t="shared" si="687"/>
        <v>12572900152</v>
      </c>
      <c r="I6928" t="str">
        <f t="shared" si="688"/>
        <v>06032681006</v>
      </c>
      <c r="K6928" t="str">
        <f>""</f>
        <v/>
      </c>
      <c r="M6928" t="s">
        <v>68</v>
      </c>
      <c r="N6928" t="str">
        <f t="shared" si="686"/>
        <v>FOR</v>
      </c>
      <c r="O6928" t="s">
        <v>69</v>
      </c>
      <c r="P6928" s="3" t="s">
        <v>75</v>
      </c>
      <c r="Q6928">
        <v>2015</v>
      </c>
      <c r="R6928" s="2">
        <v>42283</v>
      </c>
      <c r="S6928" s="2">
        <v>42289</v>
      </c>
      <c r="T6928" s="2">
        <v>42284</v>
      </c>
      <c r="U6928" s="2">
        <v>42344</v>
      </c>
      <c r="V6928" t="s">
        <v>71</v>
      </c>
      <c r="W6928" t="str">
        <f>"            25271589"</f>
        <v xml:space="preserve">            25271589</v>
      </c>
      <c r="X6928">
        <v>707.62</v>
      </c>
      <c r="Y6928">
        <v>0</v>
      </c>
      <c r="Z6928" s="3">
        <v>680.4</v>
      </c>
      <c r="AA6928">
        <v>303</v>
      </c>
      <c r="AB6928" s="5">
        <v>206161.2</v>
      </c>
      <c r="AC6928">
        <v>680.4</v>
      </c>
      <c r="AD6928">
        <v>303</v>
      </c>
      <c r="AE6928" s="1">
        <v>206161.2</v>
      </c>
      <c r="AF6928">
        <v>0</v>
      </c>
      <c r="AJ6928">
        <v>0</v>
      </c>
      <c r="AK6928">
        <v>0</v>
      </c>
      <c r="AL6928">
        <v>0</v>
      </c>
      <c r="AM6928">
        <v>0</v>
      </c>
      <c r="AN6928">
        <v>0</v>
      </c>
      <c r="AO6928">
        <v>0</v>
      </c>
      <c r="AP6928" s="2">
        <v>42746</v>
      </c>
      <c r="AQ6928" t="s">
        <v>72</v>
      </c>
      <c r="AR6928" t="s">
        <v>72</v>
      </c>
      <c r="AS6928">
        <v>2633</v>
      </c>
      <c r="AT6928" s="4">
        <v>42647</v>
      </c>
      <c r="AU6928" t="s">
        <v>73</v>
      </c>
      <c r="AV6928">
        <v>2633</v>
      </c>
      <c r="AW6928" s="4">
        <v>42647</v>
      </c>
      <c r="BD6928">
        <v>0</v>
      </c>
      <c r="BN6928" t="s">
        <v>74</v>
      </c>
    </row>
    <row r="6929" spans="1:66">
      <c r="A6929">
        <v>104093</v>
      </c>
      <c r="B6929" s="3" t="s">
        <v>609</v>
      </c>
      <c r="C6929" s="1">
        <v>43300101</v>
      </c>
      <c r="D6929" t="s">
        <v>67</v>
      </c>
      <c r="H6929" t="str">
        <f t="shared" si="687"/>
        <v>12572900152</v>
      </c>
      <c r="I6929" t="str">
        <f t="shared" si="688"/>
        <v>06032681006</v>
      </c>
      <c r="K6929" t="str">
        <f>""</f>
        <v/>
      </c>
      <c r="M6929" t="s">
        <v>68</v>
      </c>
      <c r="N6929" t="str">
        <f t="shared" si="686"/>
        <v>FOR</v>
      </c>
      <c r="O6929" t="s">
        <v>69</v>
      </c>
      <c r="P6929" s="3" t="s">
        <v>75</v>
      </c>
      <c r="Q6929">
        <v>2015</v>
      </c>
      <c r="R6929" s="2">
        <v>42289</v>
      </c>
      <c r="S6929" s="2">
        <v>42290</v>
      </c>
      <c r="T6929" s="2">
        <v>42290</v>
      </c>
      <c r="U6929" s="2">
        <v>42350</v>
      </c>
      <c r="V6929" t="s">
        <v>71</v>
      </c>
      <c r="W6929" t="str">
        <f>"            25272491"</f>
        <v xml:space="preserve">            25272491</v>
      </c>
      <c r="X6929">
        <v>936</v>
      </c>
      <c r="Y6929">
        <v>0</v>
      </c>
      <c r="Z6929" s="3">
        <v>900</v>
      </c>
      <c r="AA6929">
        <v>297</v>
      </c>
      <c r="AB6929" s="5">
        <v>267300</v>
      </c>
      <c r="AC6929">
        <v>900</v>
      </c>
      <c r="AD6929">
        <v>297</v>
      </c>
      <c r="AE6929" s="1">
        <v>267300</v>
      </c>
      <c r="AF6929">
        <v>0</v>
      </c>
      <c r="AJ6929">
        <v>0</v>
      </c>
      <c r="AK6929">
        <v>0</v>
      </c>
      <c r="AL6929">
        <v>0</v>
      </c>
      <c r="AM6929">
        <v>0</v>
      </c>
      <c r="AN6929">
        <v>0</v>
      </c>
      <c r="AO6929">
        <v>0</v>
      </c>
      <c r="AP6929" s="2">
        <v>42746</v>
      </c>
      <c r="AQ6929" t="s">
        <v>72</v>
      </c>
      <c r="AR6929" t="s">
        <v>72</v>
      </c>
      <c r="AS6929">
        <v>2633</v>
      </c>
      <c r="AT6929" s="4">
        <v>42647</v>
      </c>
      <c r="AU6929" t="s">
        <v>73</v>
      </c>
      <c r="AV6929">
        <v>2633</v>
      </c>
      <c r="AW6929" s="4">
        <v>42647</v>
      </c>
      <c r="BD6929">
        <v>0</v>
      </c>
      <c r="BN6929" t="s">
        <v>74</v>
      </c>
    </row>
    <row r="6930" spans="1:66">
      <c r="A6930">
        <v>104093</v>
      </c>
      <c r="B6930" s="3" t="s">
        <v>609</v>
      </c>
      <c r="C6930" s="1">
        <v>43300101</v>
      </c>
      <c r="D6930" t="s">
        <v>67</v>
      </c>
      <c r="H6930" t="str">
        <f t="shared" si="687"/>
        <v>12572900152</v>
      </c>
      <c r="I6930" t="str">
        <f t="shared" si="688"/>
        <v>06032681006</v>
      </c>
      <c r="K6930" t="str">
        <f>""</f>
        <v/>
      </c>
      <c r="M6930" t="s">
        <v>68</v>
      </c>
      <c r="N6930" t="str">
        <f t="shared" si="686"/>
        <v>FOR</v>
      </c>
      <c r="O6930" t="s">
        <v>69</v>
      </c>
      <c r="P6930" s="3" t="s">
        <v>75</v>
      </c>
      <c r="Q6930">
        <v>2015</v>
      </c>
      <c r="R6930" s="2">
        <v>42289</v>
      </c>
      <c r="S6930" s="2">
        <v>42292</v>
      </c>
      <c r="T6930" s="2">
        <v>42291</v>
      </c>
      <c r="U6930" s="2">
        <v>42351</v>
      </c>
      <c r="V6930" t="s">
        <v>71</v>
      </c>
      <c r="W6930" t="str">
        <f>"            25272492"</f>
        <v xml:space="preserve">            25272492</v>
      </c>
      <c r="X6930">
        <v>74.88</v>
      </c>
      <c r="Y6930">
        <v>0</v>
      </c>
      <c r="Z6930" s="3">
        <v>72</v>
      </c>
      <c r="AA6930">
        <v>296</v>
      </c>
      <c r="AB6930" s="5">
        <v>21312</v>
      </c>
      <c r="AC6930">
        <v>72</v>
      </c>
      <c r="AD6930">
        <v>296</v>
      </c>
      <c r="AE6930" s="1">
        <v>21312</v>
      </c>
      <c r="AF6930">
        <v>0</v>
      </c>
      <c r="AJ6930">
        <v>0</v>
      </c>
      <c r="AK6930">
        <v>0</v>
      </c>
      <c r="AL6930">
        <v>0</v>
      </c>
      <c r="AM6930">
        <v>0</v>
      </c>
      <c r="AN6930">
        <v>0</v>
      </c>
      <c r="AO6930">
        <v>0</v>
      </c>
      <c r="AP6930" s="2">
        <v>42746</v>
      </c>
      <c r="AQ6930" t="s">
        <v>72</v>
      </c>
      <c r="AR6930" t="s">
        <v>72</v>
      </c>
      <c r="AS6930">
        <v>2633</v>
      </c>
      <c r="AT6930" s="4">
        <v>42647</v>
      </c>
      <c r="AU6930" t="s">
        <v>73</v>
      </c>
      <c r="AV6930">
        <v>2633</v>
      </c>
      <c r="AW6930" s="4">
        <v>42647</v>
      </c>
      <c r="BD6930">
        <v>0</v>
      </c>
      <c r="BN6930" t="s">
        <v>74</v>
      </c>
    </row>
    <row r="6931" spans="1:66">
      <c r="A6931">
        <v>104093</v>
      </c>
      <c r="B6931" s="3" t="s">
        <v>609</v>
      </c>
      <c r="C6931" s="1">
        <v>43300101</v>
      </c>
      <c r="D6931" t="s">
        <v>67</v>
      </c>
      <c r="H6931" t="str">
        <f t="shared" si="687"/>
        <v>12572900152</v>
      </c>
      <c r="I6931" t="str">
        <f t="shared" si="688"/>
        <v>06032681006</v>
      </c>
      <c r="K6931" t="str">
        <f>""</f>
        <v/>
      </c>
      <c r="M6931" t="s">
        <v>68</v>
      </c>
      <c r="N6931" t="str">
        <f t="shared" si="686"/>
        <v>FOR</v>
      </c>
      <c r="O6931" t="s">
        <v>69</v>
      </c>
      <c r="P6931" s="3" t="s">
        <v>75</v>
      </c>
      <c r="Q6931">
        <v>2015</v>
      </c>
      <c r="R6931" s="2">
        <v>42289</v>
      </c>
      <c r="S6931" s="2">
        <v>42292</v>
      </c>
      <c r="T6931" s="2">
        <v>42291</v>
      </c>
      <c r="U6931" s="2">
        <v>42351</v>
      </c>
      <c r="V6931" t="s">
        <v>71</v>
      </c>
      <c r="W6931" t="str">
        <f>"            25272493"</f>
        <v xml:space="preserve">            25272493</v>
      </c>
      <c r="X6931">
        <v>74.88</v>
      </c>
      <c r="Y6931">
        <v>0</v>
      </c>
      <c r="Z6931" s="3">
        <v>72</v>
      </c>
      <c r="AA6931">
        <v>296</v>
      </c>
      <c r="AB6931" s="5">
        <v>21312</v>
      </c>
      <c r="AC6931">
        <v>72</v>
      </c>
      <c r="AD6931">
        <v>296</v>
      </c>
      <c r="AE6931" s="1">
        <v>21312</v>
      </c>
      <c r="AF6931">
        <v>0</v>
      </c>
      <c r="AJ6931">
        <v>0</v>
      </c>
      <c r="AK6931">
        <v>0</v>
      </c>
      <c r="AL6931">
        <v>0</v>
      </c>
      <c r="AM6931">
        <v>0</v>
      </c>
      <c r="AN6931">
        <v>0</v>
      </c>
      <c r="AO6931">
        <v>0</v>
      </c>
      <c r="AP6931" s="2">
        <v>42746</v>
      </c>
      <c r="AQ6931" t="s">
        <v>72</v>
      </c>
      <c r="AR6931" t="s">
        <v>72</v>
      </c>
      <c r="AS6931">
        <v>2633</v>
      </c>
      <c r="AT6931" s="4">
        <v>42647</v>
      </c>
      <c r="AU6931" t="s">
        <v>73</v>
      </c>
      <c r="AV6931">
        <v>2633</v>
      </c>
      <c r="AW6931" s="4">
        <v>42647</v>
      </c>
      <c r="BD6931">
        <v>0</v>
      </c>
      <c r="BN6931" t="s">
        <v>74</v>
      </c>
    </row>
    <row r="6932" spans="1:66">
      <c r="A6932">
        <v>104093</v>
      </c>
      <c r="B6932" s="3" t="s">
        <v>609</v>
      </c>
      <c r="C6932" s="1">
        <v>43300101</v>
      </c>
      <c r="D6932" t="s">
        <v>67</v>
      </c>
      <c r="H6932" t="str">
        <f t="shared" si="687"/>
        <v>12572900152</v>
      </c>
      <c r="I6932" t="str">
        <f t="shared" si="688"/>
        <v>06032681006</v>
      </c>
      <c r="K6932" t="str">
        <f>""</f>
        <v/>
      </c>
      <c r="M6932" t="s">
        <v>68</v>
      </c>
      <c r="N6932" t="str">
        <f t="shared" si="686"/>
        <v>FOR</v>
      </c>
      <c r="O6932" t="s">
        <v>69</v>
      </c>
      <c r="P6932" s="3" t="s">
        <v>75</v>
      </c>
      <c r="Q6932">
        <v>2015</v>
      </c>
      <c r="R6932" s="2">
        <v>42290</v>
      </c>
      <c r="S6932" s="2">
        <v>42291</v>
      </c>
      <c r="T6932" s="2">
        <v>42291</v>
      </c>
      <c r="U6932" s="2">
        <v>42351</v>
      </c>
      <c r="V6932" t="s">
        <v>71</v>
      </c>
      <c r="W6932" t="str">
        <f>"            25272697"</f>
        <v xml:space="preserve">            25272697</v>
      </c>
      <c r="X6932">
        <v>74.88</v>
      </c>
      <c r="Y6932">
        <v>0</v>
      </c>
      <c r="Z6932" s="3">
        <v>72</v>
      </c>
      <c r="AA6932">
        <v>296</v>
      </c>
      <c r="AB6932" s="5">
        <v>21312</v>
      </c>
      <c r="AC6932">
        <v>72</v>
      </c>
      <c r="AD6932">
        <v>296</v>
      </c>
      <c r="AE6932" s="1">
        <v>21312</v>
      </c>
      <c r="AF6932">
        <v>0</v>
      </c>
      <c r="AJ6932">
        <v>0</v>
      </c>
      <c r="AK6932">
        <v>0</v>
      </c>
      <c r="AL6932">
        <v>0</v>
      </c>
      <c r="AM6932">
        <v>0</v>
      </c>
      <c r="AN6932">
        <v>0</v>
      </c>
      <c r="AO6932">
        <v>0</v>
      </c>
      <c r="AP6932" s="2">
        <v>42746</v>
      </c>
      <c r="AQ6932" t="s">
        <v>72</v>
      </c>
      <c r="AR6932" t="s">
        <v>72</v>
      </c>
      <c r="AS6932">
        <v>2633</v>
      </c>
      <c r="AT6932" s="4">
        <v>42647</v>
      </c>
      <c r="AU6932" t="s">
        <v>73</v>
      </c>
      <c r="AV6932">
        <v>2633</v>
      </c>
      <c r="AW6932" s="4">
        <v>42647</v>
      </c>
      <c r="BD6932">
        <v>0</v>
      </c>
      <c r="BN6932" t="s">
        <v>74</v>
      </c>
    </row>
    <row r="6933" spans="1:66">
      <c r="A6933">
        <v>104093</v>
      </c>
      <c r="B6933" s="3" t="s">
        <v>609</v>
      </c>
      <c r="C6933" s="1">
        <v>43300101</v>
      </c>
      <c r="D6933" t="s">
        <v>67</v>
      </c>
      <c r="H6933" t="str">
        <f t="shared" si="687"/>
        <v>12572900152</v>
      </c>
      <c r="I6933" t="str">
        <f t="shared" si="688"/>
        <v>06032681006</v>
      </c>
      <c r="K6933" t="str">
        <f>""</f>
        <v/>
      </c>
      <c r="M6933" t="s">
        <v>68</v>
      </c>
      <c r="N6933" t="str">
        <f t="shared" si="686"/>
        <v>FOR</v>
      </c>
      <c r="O6933" t="s">
        <v>69</v>
      </c>
      <c r="P6933" s="3" t="s">
        <v>75</v>
      </c>
      <c r="Q6933">
        <v>2015</v>
      </c>
      <c r="R6933" s="2">
        <v>42290</v>
      </c>
      <c r="S6933" s="2">
        <v>42292</v>
      </c>
      <c r="T6933" s="2">
        <v>42291</v>
      </c>
      <c r="U6933" s="2">
        <v>42351</v>
      </c>
      <c r="V6933" t="s">
        <v>71</v>
      </c>
      <c r="W6933" t="str">
        <f>"            25272698"</f>
        <v xml:space="preserve">            25272698</v>
      </c>
      <c r="X6933">
        <v>74.88</v>
      </c>
      <c r="Y6933">
        <v>0</v>
      </c>
      <c r="Z6933" s="3">
        <v>72</v>
      </c>
      <c r="AA6933">
        <v>296</v>
      </c>
      <c r="AB6933" s="5">
        <v>21312</v>
      </c>
      <c r="AC6933">
        <v>72</v>
      </c>
      <c r="AD6933">
        <v>296</v>
      </c>
      <c r="AE6933" s="1">
        <v>21312</v>
      </c>
      <c r="AF6933">
        <v>0</v>
      </c>
      <c r="AJ6933">
        <v>0</v>
      </c>
      <c r="AK6933">
        <v>0</v>
      </c>
      <c r="AL6933">
        <v>0</v>
      </c>
      <c r="AM6933">
        <v>0</v>
      </c>
      <c r="AN6933">
        <v>0</v>
      </c>
      <c r="AO6933">
        <v>0</v>
      </c>
      <c r="AP6933" s="2">
        <v>42746</v>
      </c>
      <c r="AQ6933" t="s">
        <v>72</v>
      </c>
      <c r="AR6933" t="s">
        <v>72</v>
      </c>
      <c r="AS6933">
        <v>2633</v>
      </c>
      <c r="AT6933" s="4">
        <v>42647</v>
      </c>
      <c r="AU6933" t="s">
        <v>73</v>
      </c>
      <c r="AV6933">
        <v>2633</v>
      </c>
      <c r="AW6933" s="4">
        <v>42647</v>
      </c>
      <c r="BD6933">
        <v>0</v>
      </c>
      <c r="BN6933" t="s">
        <v>74</v>
      </c>
    </row>
    <row r="6934" spans="1:66">
      <c r="A6934">
        <v>104093</v>
      </c>
      <c r="B6934" s="3" t="s">
        <v>609</v>
      </c>
      <c r="C6934" s="1">
        <v>43300101</v>
      </c>
      <c r="D6934" t="s">
        <v>67</v>
      </c>
      <c r="H6934" t="str">
        <f t="shared" si="687"/>
        <v>12572900152</v>
      </c>
      <c r="I6934" t="str">
        <f t="shared" si="688"/>
        <v>06032681006</v>
      </c>
      <c r="K6934" t="str">
        <f>""</f>
        <v/>
      </c>
      <c r="M6934" t="s">
        <v>68</v>
      </c>
      <c r="N6934" t="str">
        <f t="shared" si="686"/>
        <v>FOR</v>
      </c>
      <c r="O6934" t="s">
        <v>69</v>
      </c>
      <c r="P6934" s="3" t="s">
        <v>75</v>
      </c>
      <c r="Q6934">
        <v>2015</v>
      </c>
      <c r="R6934" s="2">
        <v>42291</v>
      </c>
      <c r="S6934" s="2">
        <v>42293</v>
      </c>
      <c r="T6934" s="2">
        <v>42292</v>
      </c>
      <c r="U6934" s="2">
        <v>42352</v>
      </c>
      <c r="V6934" t="s">
        <v>71</v>
      </c>
      <c r="W6934" t="str">
        <f>"            25272968"</f>
        <v xml:space="preserve">            25272968</v>
      </c>
      <c r="X6934">
        <v>707.62</v>
      </c>
      <c r="Y6934">
        <v>0</v>
      </c>
      <c r="Z6934" s="3">
        <v>680.4</v>
      </c>
      <c r="AA6934">
        <v>295</v>
      </c>
      <c r="AB6934" s="5">
        <v>200718</v>
      </c>
      <c r="AC6934">
        <v>680.4</v>
      </c>
      <c r="AD6934">
        <v>295</v>
      </c>
      <c r="AE6934" s="1">
        <v>200718</v>
      </c>
      <c r="AF6934">
        <v>0</v>
      </c>
      <c r="AJ6934">
        <v>0</v>
      </c>
      <c r="AK6934">
        <v>0</v>
      </c>
      <c r="AL6934">
        <v>0</v>
      </c>
      <c r="AM6934">
        <v>0</v>
      </c>
      <c r="AN6934">
        <v>0</v>
      </c>
      <c r="AO6934">
        <v>0</v>
      </c>
      <c r="AP6934" s="2">
        <v>42746</v>
      </c>
      <c r="AQ6934" t="s">
        <v>72</v>
      </c>
      <c r="AR6934" t="s">
        <v>72</v>
      </c>
      <c r="AS6934">
        <v>2633</v>
      </c>
      <c r="AT6934" s="4">
        <v>42647</v>
      </c>
      <c r="AU6934" t="s">
        <v>73</v>
      </c>
      <c r="AV6934">
        <v>2633</v>
      </c>
      <c r="AW6934" s="4">
        <v>42647</v>
      </c>
      <c r="BD6934">
        <v>0</v>
      </c>
      <c r="BN6934" t="s">
        <v>74</v>
      </c>
    </row>
    <row r="6935" spans="1:66">
      <c r="A6935">
        <v>104093</v>
      </c>
      <c r="B6935" s="3" t="s">
        <v>609</v>
      </c>
      <c r="C6935" s="1">
        <v>43300101</v>
      </c>
      <c r="D6935" t="s">
        <v>67</v>
      </c>
      <c r="H6935" t="str">
        <f t="shared" si="687"/>
        <v>12572900152</v>
      </c>
      <c r="I6935" t="str">
        <f t="shared" si="688"/>
        <v>06032681006</v>
      </c>
      <c r="K6935" t="str">
        <f>""</f>
        <v/>
      </c>
      <c r="M6935" t="s">
        <v>68</v>
      </c>
      <c r="N6935" t="str">
        <f t="shared" si="686"/>
        <v>FOR</v>
      </c>
      <c r="O6935" t="s">
        <v>69</v>
      </c>
      <c r="P6935" s="3" t="s">
        <v>75</v>
      </c>
      <c r="Q6935">
        <v>2015</v>
      </c>
      <c r="R6935" s="2">
        <v>42291</v>
      </c>
      <c r="S6935" s="2">
        <v>42292</v>
      </c>
      <c r="T6935" s="2">
        <v>42292</v>
      </c>
      <c r="U6935" s="2">
        <v>42352</v>
      </c>
      <c r="V6935" t="s">
        <v>71</v>
      </c>
      <c r="W6935" t="str">
        <f>"            25272969"</f>
        <v xml:space="preserve">            25272969</v>
      </c>
      <c r="X6935">
        <v>252.72</v>
      </c>
      <c r="Y6935">
        <v>0</v>
      </c>
      <c r="Z6935" s="3">
        <v>243</v>
      </c>
      <c r="AA6935">
        <v>295</v>
      </c>
      <c r="AB6935" s="5">
        <v>71685</v>
      </c>
      <c r="AC6935">
        <v>243</v>
      </c>
      <c r="AD6935">
        <v>295</v>
      </c>
      <c r="AE6935" s="1">
        <v>71685</v>
      </c>
      <c r="AF6935">
        <v>0</v>
      </c>
      <c r="AJ6935">
        <v>0</v>
      </c>
      <c r="AK6935">
        <v>0</v>
      </c>
      <c r="AL6935">
        <v>0</v>
      </c>
      <c r="AM6935">
        <v>0</v>
      </c>
      <c r="AN6935">
        <v>0</v>
      </c>
      <c r="AO6935">
        <v>0</v>
      </c>
      <c r="AP6935" s="2">
        <v>42746</v>
      </c>
      <c r="AQ6935" t="s">
        <v>72</v>
      </c>
      <c r="AR6935" t="s">
        <v>72</v>
      </c>
      <c r="AS6935">
        <v>2633</v>
      </c>
      <c r="AT6935" s="4">
        <v>42647</v>
      </c>
      <c r="AU6935" t="s">
        <v>73</v>
      </c>
      <c r="AV6935">
        <v>2633</v>
      </c>
      <c r="AW6935" s="4">
        <v>42647</v>
      </c>
      <c r="BD6935">
        <v>0</v>
      </c>
      <c r="BN6935" t="s">
        <v>74</v>
      </c>
    </row>
    <row r="6936" spans="1:66">
      <c r="A6936">
        <v>104093</v>
      </c>
      <c r="B6936" s="3" t="s">
        <v>609</v>
      </c>
      <c r="C6936" s="1">
        <v>43300101</v>
      </c>
      <c r="D6936" t="s">
        <v>67</v>
      </c>
      <c r="H6936" t="str">
        <f t="shared" si="687"/>
        <v>12572900152</v>
      </c>
      <c r="I6936" t="str">
        <f t="shared" si="688"/>
        <v>06032681006</v>
      </c>
      <c r="K6936" t="str">
        <f>""</f>
        <v/>
      </c>
      <c r="M6936" t="s">
        <v>68</v>
      </c>
      <c r="N6936" t="str">
        <f t="shared" si="686"/>
        <v>FOR</v>
      </c>
      <c r="O6936" t="s">
        <v>69</v>
      </c>
      <c r="P6936" s="3" t="s">
        <v>75</v>
      </c>
      <c r="Q6936">
        <v>2015</v>
      </c>
      <c r="R6936" s="2">
        <v>42291</v>
      </c>
      <c r="S6936" s="2">
        <v>42292</v>
      </c>
      <c r="T6936" s="2">
        <v>42292</v>
      </c>
      <c r="U6936" s="2">
        <v>42352</v>
      </c>
      <c r="V6936" t="s">
        <v>71</v>
      </c>
      <c r="W6936" t="str">
        <f>"            25272970"</f>
        <v xml:space="preserve">            25272970</v>
      </c>
      <c r="X6936">
        <v>74.88</v>
      </c>
      <c r="Y6936">
        <v>0</v>
      </c>
      <c r="Z6936" s="3">
        <v>72</v>
      </c>
      <c r="AA6936">
        <v>295</v>
      </c>
      <c r="AB6936" s="5">
        <v>21240</v>
      </c>
      <c r="AC6936">
        <v>72</v>
      </c>
      <c r="AD6936">
        <v>295</v>
      </c>
      <c r="AE6936" s="1">
        <v>21240</v>
      </c>
      <c r="AF6936">
        <v>0</v>
      </c>
      <c r="AJ6936">
        <v>0</v>
      </c>
      <c r="AK6936">
        <v>0</v>
      </c>
      <c r="AL6936">
        <v>0</v>
      </c>
      <c r="AM6936">
        <v>0</v>
      </c>
      <c r="AN6936">
        <v>0</v>
      </c>
      <c r="AO6936">
        <v>0</v>
      </c>
      <c r="AP6936" s="2">
        <v>42746</v>
      </c>
      <c r="AQ6936" t="s">
        <v>72</v>
      </c>
      <c r="AR6936" t="s">
        <v>72</v>
      </c>
      <c r="AS6936">
        <v>2633</v>
      </c>
      <c r="AT6936" s="4">
        <v>42647</v>
      </c>
      <c r="AU6936" t="s">
        <v>73</v>
      </c>
      <c r="AV6936">
        <v>2633</v>
      </c>
      <c r="AW6936" s="4">
        <v>42647</v>
      </c>
      <c r="BD6936">
        <v>0</v>
      </c>
      <c r="BN6936" t="s">
        <v>74</v>
      </c>
    </row>
    <row r="6937" spans="1:66">
      <c r="A6937">
        <v>104093</v>
      </c>
      <c r="B6937" s="3" t="s">
        <v>609</v>
      </c>
      <c r="C6937" s="1">
        <v>43300101</v>
      </c>
      <c r="D6937" t="s">
        <v>67</v>
      </c>
      <c r="H6937" t="str">
        <f t="shared" si="687"/>
        <v>12572900152</v>
      </c>
      <c r="I6937" t="str">
        <f t="shared" si="688"/>
        <v>06032681006</v>
      </c>
      <c r="K6937" t="str">
        <f>""</f>
        <v/>
      </c>
      <c r="M6937" t="s">
        <v>68</v>
      </c>
      <c r="N6937" t="str">
        <f t="shared" si="686"/>
        <v>FOR</v>
      </c>
      <c r="O6937" t="s">
        <v>69</v>
      </c>
      <c r="P6937" s="3" t="s">
        <v>75</v>
      </c>
      <c r="Q6937">
        <v>2015</v>
      </c>
      <c r="R6937" s="2">
        <v>42291</v>
      </c>
      <c r="S6937" s="2">
        <v>42292</v>
      </c>
      <c r="T6937" s="2">
        <v>42292</v>
      </c>
      <c r="U6937" s="2">
        <v>42352</v>
      </c>
      <c r="V6937" t="s">
        <v>71</v>
      </c>
      <c r="W6937" t="str">
        <f>"            25273226"</f>
        <v xml:space="preserve">            25273226</v>
      </c>
      <c r="X6937" s="1">
        <v>9130.68</v>
      </c>
      <c r="Y6937">
        <v>0</v>
      </c>
      <c r="Z6937" s="5">
        <v>8779.5</v>
      </c>
      <c r="AA6937">
        <v>295</v>
      </c>
      <c r="AB6937" s="5">
        <v>2589952.5</v>
      </c>
      <c r="AC6937" s="1">
        <v>8779.5</v>
      </c>
      <c r="AD6937">
        <v>295</v>
      </c>
      <c r="AE6937" s="1">
        <v>2589952.5</v>
      </c>
      <c r="AF6937">
        <v>0</v>
      </c>
      <c r="AJ6937">
        <v>0</v>
      </c>
      <c r="AK6937">
        <v>0</v>
      </c>
      <c r="AL6937">
        <v>0</v>
      </c>
      <c r="AM6937">
        <v>0</v>
      </c>
      <c r="AN6937">
        <v>0</v>
      </c>
      <c r="AO6937">
        <v>0</v>
      </c>
      <c r="AP6937" s="2">
        <v>42746</v>
      </c>
      <c r="AQ6937" t="s">
        <v>72</v>
      </c>
      <c r="AR6937" t="s">
        <v>72</v>
      </c>
      <c r="AS6937">
        <v>2633</v>
      </c>
      <c r="AT6937" s="4">
        <v>42647</v>
      </c>
      <c r="AU6937" t="s">
        <v>73</v>
      </c>
      <c r="AV6937">
        <v>2633</v>
      </c>
      <c r="AW6937" s="4">
        <v>42647</v>
      </c>
      <c r="BD6937">
        <v>0</v>
      </c>
      <c r="BN6937" t="s">
        <v>74</v>
      </c>
    </row>
    <row r="6938" spans="1:66">
      <c r="A6938">
        <v>104093</v>
      </c>
      <c r="B6938" s="3" t="s">
        <v>609</v>
      </c>
      <c r="C6938" s="1">
        <v>43300101</v>
      </c>
      <c r="D6938" t="s">
        <v>67</v>
      </c>
      <c r="H6938" t="str">
        <f t="shared" si="687"/>
        <v>12572900152</v>
      </c>
      <c r="I6938" t="str">
        <f t="shared" si="688"/>
        <v>06032681006</v>
      </c>
      <c r="K6938" t="str">
        <f>""</f>
        <v/>
      </c>
      <c r="M6938" t="s">
        <v>68</v>
      </c>
      <c r="N6938" t="str">
        <f t="shared" si="686"/>
        <v>FOR</v>
      </c>
      <c r="O6938" t="s">
        <v>69</v>
      </c>
      <c r="P6938" s="3" t="s">
        <v>75</v>
      </c>
      <c r="Q6938">
        <v>2015</v>
      </c>
      <c r="R6938" s="2">
        <v>42293</v>
      </c>
      <c r="S6938" s="2">
        <v>42298</v>
      </c>
      <c r="T6938" s="2">
        <v>42296</v>
      </c>
      <c r="U6938" s="2">
        <v>42356</v>
      </c>
      <c r="V6938" t="s">
        <v>71</v>
      </c>
      <c r="W6938" t="str">
        <f>"            25273641"</f>
        <v xml:space="preserve">            25273641</v>
      </c>
      <c r="X6938">
        <v>707.62</v>
      </c>
      <c r="Y6938">
        <v>0</v>
      </c>
      <c r="Z6938" s="3">
        <v>680.4</v>
      </c>
      <c r="AA6938">
        <v>291</v>
      </c>
      <c r="AB6938" s="5">
        <v>197996.4</v>
      </c>
      <c r="AC6938">
        <v>680.4</v>
      </c>
      <c r="AD6938">
        <v>291</v>
      </c>
      <c r="AE6938" s="1">
        <v>197996.4</v>
      </c>
      <c r="AF6938">
        <v>0</v>
      </c>
      <c r="AJ6938">
        <v>0</v>
      </c>
      <c r="AK6938">
        <v>0</v>
      </c>
      <c r="AL6938">
        <v>0</v>
      </c>
      <c r="AM6938">
        <v>0</v>
      </c>
      <c r="AN6938">
        <v>0</v>
      </c>
      <c r="AO6938">
        <v>0</v>
      </c>
      <c r="AP6938" s="2">
        <v>42746</v>
      </c>
      <c r="AQ6938" t="s">
        <v>72</v>
      </c>
      <c r="AR6938" t="s">
        <v>72</v>
      </c>
      <c r="AS6938">
        <v>2633</v>
      </c>
      <c r="AT6938" s="4">
        <v>42647</v>
      </c>
      <c r="AU6938" t="s">
        <v>73</v>
      </c>
      <c r="AV6938">
        <v>2633</v>
      </c>
      <c r="AW6938" s="4">
        <v>42647</v>
      </c>
      <c r="BD6938">
        <v>0</v>
      </c>
      <c r="BN6938" t="s">
        <v>74</v>
      </c>
    </row>
    <row r="6939" spans="1:66">
      <c r="A6939">
        <v>104093</v>
      </c>
      <c r="B6939" s="3" t="s">
        <v>609</v>
      </c>
      <c r="C6939" s="1">
        <v>43300101</v>
      </c>
      <c r="D6939" t="s">
        <v>67</v>
      </c>
      <c r="H6939" t="str">
        <f t="shared" si="687"/>
        <v>12572900152</v>
      </c>
      <c r="I6939" t="str">
        <f t="shared" si="688"/>
        <v>06032681006</v>
      </c>
      <c r="K6939" t="str">
        <f>""</f>
        <v/>
      </c>
      <c r="M6939" t="s">
        <v>68</v>
      </c>
      <c r="N6939" t="str">
        <f t="shared" si="686"/>
        <v>FOR</v>
      </c>
      <c r="O6939" t="s">
        <v>69</v>
      </c>
      <c r="P6939" s="3" t="s">
        <v>75</v>
      </c>
      <c r="Q6939">
        <v>2015</v>
      </c>
      <c r="R6939" s="2">
        <v>42293</v>
      </c>
      <c r="S6939" s="2">
        <v>42298</v>
      </c>
      <c r="T6939" s="2">
        <v>42296</v>
      </c>
      <c r="U6939" s="2">
        <v>42356</v>
      </c>
      <c r="V6939" t="s">
        <v>71</v>
      </c>
      <c r="W6939" t="str">
        <f>"            25273642"</f>
        <v xml:space="preserve">            25273642</v>
      </c>
      <c r="X6939">
        <v>252.72</v>
      </c>
      <c r="Y6939">
        <v>0</v>
      </c>
      <c r="Z6939" s="3">
        <v>243</v>
      </c>
      <c r="AA6939">
        <v>291</v>
      </c>
      <c r="AB6939" s="5">
        <v>70713</v>
      </c>
      <c r="AC6939">
        <v>243</v>
      </c>
      <c r="AD6939">
        <v>291</v>
      </c>
      <c r="AE6939" s="1">
        <v>70713</v>
      </c>
      <c r="AF6939">
        <v>0</v>
      </c>
      <c r="AJ6939">
        <v>0</v>
      </c>
      <c r="AK6939">
        <v>0</v>
      </c>
      <c r="AL6939">
        <v>0</v>
      </c>
      <c r="AM6939">
        <v>0</v>
      </c>
      <c r="AN6939">
        <v>0</v>
      </c>
      <c r="AO6939">
        <v>0</v>
      </c>
      <c r="AP6939" s="2">
        <v>42746</v>
      </c>
      <c r="AQ6939" t="s">
        <v>72</v>
      </c>
      <c r="AR6939" t="s">
        <v>72</v>
      </c>
      <c r="AS6939">
        <v>2633</v>
      </c>
      <c r="AT6939" s="4">
        <v>42647</v>
      </c>
      <c r="AU6939" t="s">
        <v>73</v>
      </c>
      <c r="AV6939">
        <v>2633</v>
      </c>
      <c r="AW6939" s="4">
        <v>42647</v>
      </c>
      <c r="BD6939">
        <v>0</v>
      </c>
      <c r="BN6939" t="s">
        <v>74</v>
      </c>
    </row>
    <row r="6940" spans="1:66">
      <c r="A6940">
        <v>104093</v>
      </c>
      <c r="B6940" s="3" t="s">
        <v>609</v>
      </c>
      <c r="C6940" s="1">
        <v>43300101</v>
      </c>
      <c r="D6940" t="s">
        <v>67</v>
      </c>
      <c r="H6940" t="str">
        <f t="shared" si="687"/>
        <v>12572900152</v>
      </c>
      <c r="I6940" t="str">
        <f t="shared" si="688"/>
        <v>06032681006</v>
      </c>
      <c r="K6940" t="str">
        <f>""</f>
        <v/>
      </c>
      <c r="M6940" t="s">
        <v>68</v>
      </c>
      <c r="N6940" t="str">
        <f t="shared" si="686"/>
        <v>FOR</v>
      </c>
      <c r="O6940" t="s">
        <v>69</v>
      </c>
      <c r="P6940" s="3" t="s">
        <v>75</v>
      </c>
      <c r="Q6940">
        <v>2015</v>
      </c>
      <c r="R6940" s="2">
        <v>42293</v>
      </c>
      <c r="S6940" s="2">
        <v>42298</v>
      </c>
      <c r="T6940" s="2">
        <v>42296</v>
      </c>
      <c r="U6940" s="2">
        <v>42356</v>
      </c>
      <c r="V6940" t="s">
        <v>71</v>
      </c>
      <c r="W6940" t="str">
        <f>"            25273643"</f>
        <v xml:space="preserve">            25273643</v>
      </c>
      <c r="X6940">
        <v>74.88</v>
      </c>
      <c r="Y6940">
        <v>0</v>
      </c>
      <c r="Z6940" s="3">
        <v>72</v>
      </c>
      <c r="AA6940">
        <v>291</v>
      </c>
      <c r="AB6940" s="5">
        <v>20952</v>
      </c>
      <c r="AC6940">
        <v>72</v>
      </c>
      <c r="AD6940">
        <v>291</v>
      </c>
      <c r="AE6940" s="1">
        <v>20952</v>
      </c>
      <c r="AF6940">
        <v>0</v>
      </c>
      <c r="AJ6940">
        <v>0</v>
      </c>
      <c r="AK6940">
        <v>0</v>
      </c>
      <c r="AL6940">
        <v>0</v>
      </c>
      <c r="AM6940">
        <v>0</v>
      </c>
      <c r="AN6940">
        <v>0</v>
      </c>
      <c r="AO6940">
        <v>0</v>
      </c>
      <c r="AP6940" s="2">
        <v>42746</v>
      </c>
      <c r="AQ6940" t="s">
        <v>72</v>
      </c>
      <c r="AR6940" t="s">
        <v>72</v>
      </c>
      <c r="AS6940">
        <v>2633</v>
      </c>
      <c r="AT6940" s="4">
        <v>42647</v>
      </c>
      <c r="AU6940" t="s">
        <v>73</v>
      </c>
      <c r="AV6940">
        <v>2633</v>
      </c>
      <c r="AW6940" s="4">
        <v>42647</v>
      </c>
      <c r="BD6940">
        <v>0</v>
      </c>
      <c r="BN6940" t="s">
        <v>74</v>
      </c>
    </row>
    <row r="6941" spans="1:66">
      <c r="A6941">
        <v>104093</v>
      </c>
      <c r="B6941" s="3" t="s">
        <v>609</v>
      </c>
      <c r="C6941" s="1">
        <v>43300101</v>
      </c>
      <c r="D6941" t="s">
        <v>67</v>
      </c>
      <c r="H6941" t="str">
        <f t="shared" si="687"/>
        <v>12572900152</v>
      </c>
      <c r="I6941" t="str">
        <f t="shared" si="688"/>
        <v>06032681006</v>
      </c>
      <c r="K6941" t="str">
        <f>""</f>
        <v/>
      </c>
      <c r="M6941" t="s">
        <v>68</v>
      </c>
      <c r="N6941" t="str">
        <f t="shared" si="686"/>
        <v>FOR</v>
      </c>
      <c r="O6941" t="s">
        <v>69</v>
      </c>
      <c r="P6941" s="3" t="s">
        <v>75</v>
      </c>
      <c r="Q6941">
        <v>2015</v>
      </c>
      <c r="R6941" s="2">
        <v>42293</v>
      </c>
      <c r="S6941" s="2">
        <v>42298</v>
      </c>
      <c r="T6941" s="2">
        <v>42296</v>
      </c>
      <c r="U6941" s="2">
        <v>42356</v>
      </c>
      <c r="V6941" t="s">
        <v>71</v>
      </c>
      <c r="W6941" t="str">
        <f>"            25273644"</f>
        <v xml:space="preserve">            25273644</v>
      </c>
      <c r="X6941">
        <v>707.62</v>
      </c>
      <c r="Y6941">
        <v>0</v>
      </c>
      <c r="Z6941" s="3">
        <v>680.4</v>
      </c>
      <c r="AA6941">
        <v>291</v>
      </c>
      <c r="AB6941" s="5">
        <v>197996.4</v>
      </c>
      <c r="AC6941">
        <v>680.4</v>
      </c>
      <c r="AD6941">
        <v>291</v>
      </c>
      <c r="AE6941" s="1">
        <v>197996.4</v>
      </c>
      <c r="AF6941">
        <v>0</v>
      </c>
      <c r="AJ6941">
        <v>0</v>
      </c>
      <c r="AK6941">
        <v>0</v>
      </c>
      <c r="AL6941">
        <v>0</v>
      </c>
      <c r="AM6941">
        <v>0</v>
      </c>
      <c r="AN6941">
        <v>0</v>
      </c>
      <c r="AO6941">
        <v>0</v>
      </c>
      <c r="AP6941" s="2">
        <v>42746</v>
      </c>
      <c r="AQ6941" t="s">
        <v>72</v>
      </c>
      <c r="AR6941" t="s">
        <v>72</v>
      </c>
      <c r="AS6941">
        <v>2633</v>
      </c>
      <c r="AT6941" s="4">
        <v>42647</v>
      </c>
      <c r="AU6941" t="s">
        <v>73</v>
      </c>
      <c r="AV6941">
        <v>2633</v>
      </c>
      <c r="AW6941" s="4">
        <v>42647</v>
      </c>
      <c r="BD6941">
        <v>0</v>
      </c>
      <c r="BN6941" t="s">
        <v>74</v>
      </c>
    </row>
    <row r="6942" spans="1:66">
      <c r="A6942">
        <v>104093</v>
      </c>
      <c r="B6942" s="3" t="s">
        <v>609</v>
      </c>
      <c r="C6942" s="1">
        <v>43300101</v>
      </c>
      <c r="D6942" t="s">
        <v>67</v>
      </c>
      <c r="H6942" t="str">
        <f t="shared" si="687"/>
        <v>12572900152</v>
      </c>
      <c r="I6942" t="str">
        <f t="shared" si="688"/>
        <v>06032681006</v>
      </c>
      <c r="K6942" t="str">
        <f>""</f>
        <v/>
      </c>
      <c r="M6942" t="s">
        <v>68</v>
      </c>
      <c r="N6942" t="str">
        <f t="shared" si="686"/>
        <v>FOR</v>
      </c>
      <c r="O6942" t="s">
        <v>69</v>
      </c>
      <c r="P6942" s="3" t="s">
        <v>75</v>
      </c>
      <c r="Q6942">
        <v>2015</v>
      </c>
      <c r="R6942" s="2">
        <v>42293</v>
      </c>
      <c r="S6942" s="2">
        <v>42298</v>
      </c>
      <c r="T6942" s="2">
        <v>42296</v>
      </c>
      <c r="U6942" s="2">
        <v>42356</v>
      </c>
      <c r="V6942" t="s">
        <v>71</v>
      </c>
      <c r="W6942" t="str">
        <f>"            25273645"</f>
        <v xml:space="preserve">            25273645</v>
      </c>
      <c r="X6942">
        <v>252.72</v>
      </c>
      <c r="Y6942">
        <v>0</v>
      </c>
      <c r="Z6942" s="3">
        <v>243</v>
      </c>
      <c r="AA6942">
        <v>291</v>
      </c>
      <c r="AB6942" s="5">
        <v>70713</v>
      </c>
      <c r="AC6942">
        <v>243</v>
      </c>
      <c r="AD6942">
        <v>291</v>
      </c>
      <c r="AE6942" s="1">
        <v>70713</v>
      </c>
      <c r="AF6942">
        <v>0</v>
      </c>
      <c r="AJ6942">
        <v>0</v>
      </c>
      <c r="AK6942">
        <v>0</v>
      </c>
      <c r="AL6942">
        <v>0</v>
      </c>
      <c r="AM6942">
        <v>0</v>
      </c>
      <c r="AN6942">
        <v>0</v>
      </c>
      <c r="AO6942">
        <v>0</v>
      </c>
      <c r="AP6942" s="2">
        <v>42746</v>
      </c>
      <c r="AQ6942" t="s">
        <v>72</v>
      </c>
      <c r="AR6942" t="s">
        <v>72</v>
      </c>
      <c r="AS6942">
        <v>2633</v>
      </c>
      <c r="AT6942" s="4">
        <v>42647</v>
      </c>
      <c r="AU6942" t="s">
        <v>73</v>
      </c>
      <c r="AV6942">
        <v>2633</v>
      </c>
      <c r="AW6942" s="4">
        <v>42647</v>
      </c>
      <c r="BD6942">
        <v>0</v>
      </c>
      <c r="BN6942" t="s">
        <v>74</v>
      </c>
    </row>
    <row r="6943" spans="1:66">
      <c r="A6943">
        <v>104093</v>
      </c>
      <c r="B6943" s="3" t="s">
        <v>609</v>
      </c>
      <c r="C6943" s="1">
        <v>43300101</v>
      </c>
      <c r="D6943" t="s">
        <v>67</v>
      </c>
      <c r="H6943" t="str">
        <f t="shared" si="687"/>
        <v>12572900152</v>
      </c>
      <c r="I6943" t="str">
        <f t="shared" si="688"/>
        <v>06032681006</v>
      </c>
      <c r="K6943" t="str">
        <f>""</f>
        <v/>
      </c>
      <c r="M6943" t="s">
        <v>68</v>
      </c>
      <c r="N6943" t="str">
        <f t="shared" si="686"/>
        <v>FOR</v>
      </c>
      <c r="O6943" t="s">
        <v>69</v>
      </c>
      <c r="P6943" s="3" t="s">
        <v>75</v>
      </c>
      <c r="Q6943">
        <v>2015</v>
      </c>
      <c r="R6943" s="2">
        <v>42293</v>
      </c>
      <c r="S6943" s="2">
        <v>42298</v>
      </c>
      <c r="T6943" s="2">
        <v>42296</v>
      </c>
      <c r="U6943" s="2">
        <v>42356</v>
      </c>
      <c r="V6943" t="s">
        <v>71</v>
      </c>
      <c r="W6943" t="str">
        <f>"            25273646"</f>
        <v xml:space="preserve">            25273646</v>
      </c>
      <c r="X6943">
        <v>74.88</v>
      </c>
      <c r="Y6943">
        <v>0</v>
      </c>
      <c r="Z6943" s="3">
        <v>72</v>
      </c>
      <c r="AA6943">
        <v>291</v>
      </c>
      <c r="AB6943" s="5">
        <v>20952</v>
      </c>
      <c r="AC6943">
        <v>72</v>
      </c>
      <c r="AD6943">
        <v>291</v>
      </c>
      <c r="AE6943" s="1">
        <v>20952</v>
      </c>
      <c r="AF6943">
        <v>0</v>
      </c>
      <c r="AJ6943">
        <v>0</v>
      </c>
      <c r="AK6943">
        <v>0</v>
      </c>
      <c r="AL6943">
        <v>0</v>
      </c>
      <c r="AM6943">
        <v>0</v>
      </c>
      <c r="AN6943">
        <v>0</v>
      </c>
      <c r="AO6943">
        <v>0</v>
      </c>
      <c r="AP6943" s="2">
        <v>42746</v>
      </c>
      <c r="AQ6943" t="s">
        <v>72</v>
      </c>
      <c r="AR6943" t="s">
        <v>72</v>
      </c>
      <c r="AS6943">
        <v>2633</v>
      </c>
      <c r="AT6943" s="4">
        <v>42647</v>
      </c>
      <c r="AU6943" t="s">
        <v>73</v>
      </c>
      <c r="AV6943">
        <v>2633</v>
      </c>
      <c r="AW6943" s="4">
        <v>42647</v>
      </c>
      <c r="BD6943">
        <v>0</v>
      </c>
      <c r="BN6943" t="s">
        <v>74</v>
      </c>
    </row>
    <row r="6944" spans="1:66">
      <c r="A6944">
        <v>104093</v>
      </c>
      <c r="B6944" s="3" t="s">
        <v>609</v>
      </c>
      <c r="C6944" s="1">
        <v>43300101</v>
      </c>
      <c r="D6944" t="s">
        <v>67</v>
      </c>
      <c r="H6944" t="str">
        <f t="shared" si="687"/>
        <v>12572900152</v>
      </c>
      <c r="I6944" t="str">
        <f t="shared" si="688"/>
        <v>06032681006</v>
      </c>
      <c r="K6944" t="str">
        <f>""</f>
        <v/>
      </c>
      <c r="M6944" t="s">
        <v>68</v>
      </c>
      <c r="N6944" t="str">
        <f t="shared" si="686"/>
        <v>FOR</v>
      </c>
      <c r="O6944" t="s">
        <v>69</v>
      </c>
      <c r="P6944" s="3" t="s">
        <v>75</v>
      </c>
      <c r="Q6944">
        <v>2015</v>
      </c>
      <c r="R6944" s="2">
        <v>42293</v>
      </c>
      <c r="S6944" s="2">
        <v>42298</v>
      </c>
      <c r="T6944" s="2">
        <v>42296</v>
      </c>
      <c r="U6944" s="2">
        <v>42356</v>
      </c>
      <c r="V6944" t="s">
        <v>71</v>
      </c>
      <c r="W6944" t="str">
        <f>"            25273668"</f>
        <v xml:space="preserve">            25273668</v>
      </c>
      <c r="X6944">
        <v>327.60000000000002</v>
      </c>
      <c r="Y6944">
        <v>0</v>
      </c>
      <c r="Z6944" s="3">
        <v>315</v>
      </c>
      <c r="AA6944">
        <v>291</v>
      </c>
      <c r="AB6944" s="5">
        <v>91665</v>
      </c>
      <c r="AC6944">
        <v>315</v>
      </c>
      <c r="AD6944">
        <v>291</v>
      </c>
      <c r="AE6944" s="1">
        <v>91665</v>
      </c>
      <c r="AF6944">
        <v>0</v>
      </c>
      <c r="AJ6944">
        <v>0</v>
      </c>
      <c r="AK6944">
        <v>0</v>
      </c>
      <c r="AL6944">
        <v>0</v>
      </c>
      <c r="AM6944">
        <v>0</v>
      </c>
      <c r="AN6944">
        <v>0</v>
      </c>
      <c r="AO6944">
        <v>0</v>
      </c>
      <c r="AP6944" s="2">
        <v>42746</v>
      </c>
      <c r="AQ6944" t="s">
        <v>72</v>
      </c>
      <c r="AR6944" t="s">
        <v>72</v>
      </c>
      <c r="AS6944">
        <v>2633</v>
      </c>
      <c r="AT6944" s="4">
        <v>42647</v>
      </c>
      <c r="AU6944" t="s">
        <v>73</v>
      </c>
      <c r="AV6944">
        <v>2633</v>
      </c>
      <c r="AW6944" s="4">
        <v>42647</v>
      </c>
      <c r="BD6944">
        <v>0</v>
      </c>
      <c r="BN6944" t="s">
        <v>74</v>
      </c>
    </row>
    <row r="6945" spans="1:66">
      <c r="A6945">
        <v>104093</v>
      </c>
      <c r="B6945" s="3" t="s">
        <v>609</v>
      </c>
      <c r="C6945" s="1">
        <v>43300101</v>
      </c>
      <c r="D6945" t="s">
        <v>67</v>
      </c>
      <c r="H6945" t="str">
        <f t="shared" si="687"/>
        <v>12572900152</v>
      </c>
      <c r="I6945" t="str">
        <f t="shared" si="688"/>
        <v>06032681006</v>
      </c>
      <c r="K6945" t="str">
        <f>""</f>
        <v/>
      </c>
      <c r="M6945" t="s">
        <v>68</v>
      </c>
      <c r="N6945" t="str">
        <f t="shared" si="686"/>
        <v>FOR</v>
      </c>
      <c r="O6945" t="s">
        <v>69</v>
      </c>
      <c r="P6945" s="3" t="s">
        <v>75</v>
      </c>
      <c r="Q6945">
        <v>2015</v>
      </c>
      <c r="R6945" s="2">
        <v>42298</v>
      </c>
      <c r="S6945" s="2">
        <v>42300</v>
      </c>
      <c r="T6945" s="2">
        <v>42299</v>
      </c>
      <c r="U6945" s="2">
        <v>42359</v>
      </c>
      <c r="V6945" t="s">
        <v>71</v>
      </c>
      <c r="W6945" t="str">
        <f>"            25274469"</f>
        <v xml:space="preserve">            25274469</v>
      </c>
      <c r="X6945">
        <v>74.88</v>
      </c>
      <c r="Y6945">
        <v>0</v>
      </c>
      <c r="Z6945" s="3">
        <v>72</v>
      </c>
      <c r="AA6945">
        <v>288</v>
      </c>
      <c r="AB6945" s="5">
        <v>20736</v>
      </c>
      <c r="AC6945">
        <v>72</v>
      </c>
      <c r="AD6945">
        <v>288</v>
      </c>
      <c r="AE6945" s="1">
        <v>20736</v>
      </c>
      <c r="AF6945">
        <v>0</v>
      </c>
      <c r="AJ6945">
        <v>0</v>
      </c>
      <c r="AK6945">
        <v>0</v>
      </c>
      <c r="AL6945">
        <v>0</v>
      </c>
      <c r="AM6945">
        <v>0</v>
      </c>
      <c r="AN6945">
        <v>0</v>
      </c>
      <c r="AO6945">
        <v>0</v>
      </c>
      <c r="AP6945" s="2">
        <v>42746</v>
      </c>
      <c r="AQ6945" t="s">
        <v>72</v>
      </c>
      <c r="AR6945" t="s">
        <v>72</v>
      </c>
      <c r="AS6945">
        <v>2633</v>
      </c>
      <c r="AT6945" s="4">
        <v>42647</v>
      </c>
      <c r="AU6945" t="s">
        <v>73</v>
      </c>
      <c r="AV6945">
        <v>2633</v>
      </c>
      <c r="AW6945" s="4">
        <v>42647</v>
      </c>
      <c r="BD6945">
        <v>0</v>
      </c>
      <c r="BN6945" t="s">
        <v>74</v>
      </c>
    </row>
    <row r="6946" spans="1:66">
      <c r="A6946">
        <v>104093</v>
      </c>
      <c r="B6946" s="3" t="s">
        <v>609</v>
      </c>
      <c r="C6946" s="1">
        <v>43300101</v>
      </c>
      <c r="D6946" t="s">
        <v>67</v>
      </c>
      <c r="H6946" t="str">
        <f t="shared" si="687"/>
        <v>12572900152</v>
      </c>
      <c r="I6946" t="str">
        <f t="shared" si="688"/>
        <v>06032681006</v>
      </c>
      <c r="K6946" t="str">
        <f>""</f>
        <v/>
      </c>
      <c r="M6946" t="s">
        <v>68</v>
      </c>
      <c r="N6946" t="str">
        <f t="shared" si="686"/>
        <v>FOR</v>
      </c>
      <c r="O6946" t="s">
        <v>69</v>
      </c>
      <c r="P6946" s="3" t="s">
        <v>75</v>
      </c>
      <c r="Q6946">
        <v>2015</v>
      </c>
      <c r="R6946" s="2">
        <v>42298</v>
      </c>
      <c r="S6946" s="2">
        <v>42300</v>
      </c>
      <c r="T6946" s="2">
        <v>42299</v>
      </c>
      <c r="U6946" s="2">
        <v>42359</v>
      </c>
      <c r="V6946" t="s">
        <v>71</v>
      </c>
      <c r="W6946" t="str">
        <f>"            25274471"</f>
        <v xml:space="preserve">            25274471</v>
      </c>
      <c r="X6946">
        <v>74.88</v>
      </c>
      <c r="Y6946">
        <v>0</v>
      </c>
      <c r="Z6946" s="3">
        <v>72</v>
      </c>
      <c r="AA6946">
        <v>288</v>
      </c>
      <c r="AB6946" s="5">
        <v>20736</v>
      </c>
      <c r="AC6946">
        <v>72</v>
      </c>
      <c r="AD6946">
        <v>288</v>
      </c>
      <c r="AE6946" s="1">
        <v>20736</v>
      </c>
      <c r="AF6946">
        <v>0</v>
      </c>
      <c r="AJ6946">
        <v>0</v>
      </c>
      <c r="AK6946">
        <v>0</v>
      </c>
      <c r="AL6946">
        <v>0</v>
      </c>
      <c r="AM6946">
        <v>0</v>
      </c>
      <c r="AN6946">
        <v>0</v>
      </c>
      <c r="AO6946">
        <v>0</v>
      </c>
      <c r="AP6946" s="2">
        <v>42746</v>
      </c>
      <c r="AQ6946" t="s">
        <v>72</v>
      </c>
      <c r="AR6946" t="s">
        <v>72</v>
      </c>
      <c r="AS6946">
        <v>2633</v>
      </c>
      <c r="AT6946" s="4">
        <v>42647</v>
      </c>
      <c r="AU6946" t="s">
        <v>73</v>
      </c>
      <c r="AV6946">
        <v>2633</v>
      </c>
      <c r="AW6946" s="4">
        <v>42647</v>
      </c>
      <c r="BD6946">
        <v>0</v>
      </c>
      <c r="BN6946" t="s">
        <v>74</v>
      </c>
    </row>
    <row r="6947" spans="1:66">
      <c r="A6947">
        <v>104093</v>
      </c>
      <c r="B6947" s="3" t="s">
        <v>609</v>
      </c>
      <c r="C6947" s="1">
        <v>43300101</v>
      </c>
      <c r="D6947" t="s">
        <v>67</v>
      </c>
      <c r="H6947" t="str">
        <f t="shared" si="687"/>
        <v>12572900152</v>
      </c>
      <c r="I6947" t="str">
        <f t="shared" si="688"/>
        <v>06032681006</v>
      </c>
      <c r="K6947" t="str">
        <f>""</f>
        <v/>
      </c>
      <c r="M6947" t="s">
        <v>68</v>
      </c>
      <c r="N6947" t="str">
        <f t="shared" si="686"/>
        <v>FOR</v>
      </c>
      <c r="O6947" t="s">
        <v>69</v>
      </c>
      <c r="P6947" s="3" t="s">
        <v>75</v>
      </c>
      <c r="Q6947">
        <v>2015</v>
      </c>
      <c r="R6947" s="2">
        <v>42298</v>
      </c>
      <c r="S6947" s="2">
        <v>42300</v>
      </c>
      <c r="T6947" s="2">
        <v>42299</v>
      </c>
      <c r="U6947" s="2">
        <v>42359</v>
      </c>
      <c r="V6947" t="s">
        <v>71</v>
      </c>
      <c r="W6947" t="str">
        <f>"            25274478"</f>
        <v xml:space="preserve">            25274478</v>
      </c>
      <c r="X6947">
        <v>74.88</v>
      </c>
      <c r="Y6947">
        <v>0</v>
      </c>
      <c r="Z6947" s="3">
        <v>72</v>
      </c>
      <c r="AA6947">
        <v>288</v>
      </c>
      <c r="AB6947" s="5">
        <v>20736</v>
      </c>
      <c r="AC6947">
        <v>72</v>
      </c>
      <c r="AD6947">
        <v>288</v>
      </c>
      <c r="AE6947" s="1">
        <v>20736</v>
      </c>
      <c r="AF6947">
        <v>0</v>
      </c>
      <c r="AJ6947">
        <v>0</v>
      </c>
      <c r="AK6947">
        <v>0</v>
      </c>
      <c r="AL6947">
        <v>0</v>
      </c>
      <c r="AM6947">
        <v>0</v>
      </c>
      <c r="AN6947">
        <v>0</v>
      </c>
      <c r="AO6947">
        <v>0</v>
      </c>
      <c r="AP6947" s="2">
        <v>42746</v>
      </c>
      <c r="AQ6947" t="s">
        <v>72</v>
      </c>
      <c r="AR6947" t="s">
        <v>72</v>
      </c>
      <c r="AS6947">
        <v>2633</v>
      </c>
      <c r="AT6947" s="4">
        <v>42647</v>
      </c>
      <c r="AU6947" t="s">
        <v>73</v>
      </c>
      <c r="AV6947">
        <v>2633</v>
      </c>
      <c r="AW6947" s="4">
        <v>42647</v>
      </c>
      <c r="BD6947">
        <v>0</v>
      </c>
      <c r="BN6947" t="s">
        <v>74</v>
      </c>
    </row>
    <row r="6948" spans="1:66">
      <c r="A6948">
        <v>104093</v>
      </c>
      <c r="B6948" s="3" t="s">
        <v>609</v>
      </c>
      <c r="C6948" s="1">
        <v>43300101</v>
      </c>
      <c r="D6948" t="s">
        <v>67</v>
      </c>
      <c r="H6948" t="str">
        <f t="shared" si="687"/>
        <v>12572900152</v>
      </c>
      <c r="I6948" t="str">
        <f t="shared" si="688"/>
        <v>06032681006</v>
      </c>
      <c r="K6948" t="str">
        <f>""</f>
        <v/>
      </c>
      <c r="M6948" t="s">
        <v>68</v>
      </c>
      <c r="N6948" t="str">
        <f t="shared" si="686"/>
        <v>FOR</v>
      </c>
      <c r="O6948" t="s">
        <v>69</v>
      </c>
      <c r="P6948" s="3" t="s">
        <v>75</v>
      </c>
      <c r="Q6948">
        <v>2015</v>
      </c>
      <c r="R6948" s="2">
        <v>42298</v>
      </c>
      <c r="S6948" s="2">
        <v>42300</v>
      </c>
      <c r="T6948" s="2">
        <v>42299</v>
      </c>
      <c r="U6948" s="2">
        <v>42359</v>
      </c>
      <c r="V6948" t="s">
        <v>71</v>
      </c>
      <c r="W6948" t="str">
        <f>"            25274480"</f>
        <v xml:space="preserve">            25274480</v>
      </c>
      <c r="X6948">
        <v>936</v>
      </c>
      <c r="Y6948">
        <v>0</v>
      </c>
      <c r="Z6948" s="3">
        <v>900</v>
      </c>
      <c r="AA6948">
        <v>288</v>
      </c>
      <c r="AB6948" s="5">
        <v>259200</v>
      </c>
      <c r="AC6948">
        <v>900</v>
      </c>
      <c r="AD6948">
        <v>288</v>
      </c>
      <c r="AE6948" s="1">
        <v>259200</v>
      </c>
      <c r="AF6948">
        <v>0</v>
      </c>
      <c r="AJ6948">
        <v>0</v>
      </c>
      <c r="AK6948">
        <v>0</v>
      </c>
      <c r="AL6948">
        <v>0</v>
      </c>
      <c r="AM6948">
        <v>0</v>
      </c>
      <c r="AN6948">
        <v>0</v>
      </c>
      <c r="AO6948">
        <v>0</v>
      </c>
      <c r="AP6948" s="2">
        <v>42746</v>
      </c>
      <c r="AQ6948" t="s">
        <v>72</v>
      </c>
      <c r="AR6948" t="s">
        <v>72</v>
      </c>
      <c r="AS6948">
        <v>2633</v>
      </c>
      <c r="AT6948" s="4">
        <v>42647</v>
      </c>
      <c r="AU6948" t="s">
        <v>73</v>
      </c>
      <c r="AV6948">
        <v>2633</v>
      </c>
      <c r="AW6948" s="4">
        <v>42647</v>
      </c>
      <c r="BD6948">
        <v>0</v>
      </c>
      <c r="BN6948" t="s">
        <v>74</v>
      </c>
    </row>
    <row r="6949" spans="1:66">
      <c r="A6949">
        <v>104093</v>
      </c>
      <c r="B6949" s="3" t="s">
        <v>609</v>
      </c>
      <c r="C6949" s="1">
        <v>43300101</v>
      </c>
      <c r="D6949" t="s">
        <v>67</v>
      </c>
      <c r="H6949" t="str">
        <f t="shared" si="687"/>
        <v>12572900152</v>
      </c>
      <c r="I6949" t="str">
        <f t="shared" si="688"/>
        <v>06032681006</v>
      </c>
      <c r="K6949" t="str">
        <f>""</f>
        <v/>
      </c>
      <c r="M6949" t="s">
        <v>68</v>
      </c>
      <c r="N6949" t="str">
        <f t="shared" si="686"/>
        <v>FOR</v>
      </c>
      <c r="O6949" t="s">
        <v>69</v>
      </c>
      <c r="P6949" s="3" t="s">
        <v>75</v>
      </c>
      <c r="Q6949">
        <v>2015</v>
      </c>
      <c r="R6949" s="2">
        <v>42298</v>
      </c>
      <c r="S6949" s="2">
        <v>42300</v>
      </c>
      <c r="T6949" s="2">
        <v>42299</v>
      </c>
      <c r="U6949" s="2">
        <v>42359</v>
      </c>
      <c r="V6949" t="s">
        <v>71</v>
      </c>
      <c r="W6949" t="str">
        <f>"            25274481"</f>
        <v xml:space="preserve">            25274481</v>
      </c>
      <c r="X6949">
        <v>74.88</v>
      </c>
      <c r="Y6949">
        <v>0</v>
      </c>
      <c r="Z6949" s="3">
        <v>72</v>
      </c>
      <c r="AA6949">
        <v>288</v>
      </c>
      <c r="AB6949" s="5">
        <v>20736</v>
      </c>
      <c r="AC6949">
        <v>72</v>
      </c>
      <c r="AD6949">
        <v>288</v>
      </c>
      <c r="AE6949" s="1">
        <v>20736</v>
      </c>
      <c r="AF6949">
        <v>0</v>
      </c>
      <c r="AJ6949">
        <v>0</v>
      </c>
      <c r="AK6949">
        <v>0</v>
      </c>
      <c r="AL6949">
        <v>0</v>
      </c>
      <c r="AM6949">
        <v>0</v>
      </c>
      <c r="AN6949">
        <v>0</v>
      </c>
      <c r="AO6949">
        <v>0</v>
      </c>
      <c r="AP6949" s="2">
        <v>42746</v>
      </c>
      <c r="AQ6949" t="s">
        <v>72</v>
      </c>
      <c r="AR6949" t="s">
        <v>72</v>
      </c>
      <c r="AS6949">
        <v>2633</v>
      </c>
      <c r="AT6949" s="4">
        <v>42647</v>
      </c>
      <c r="AU6949" t="s">
        <v>73</v>
      </c>
      <c r="AV6949">
        <v>2633</v>
      </c>
      <c r="AW6949" s="4">
        <v>42647</v>
      </c>
      <c r="BD6949">
        <v>0</v>
      </c>
      <c r="BN6949" t="s">
        <v>74</v>
      </c>
    </row>
    <row r="6950" spans="1:66">
      <c r="A6950">
        <v>104093</v>
      </c>
      <c r="B6950" s="3" t="s">
        <v>609</v>
      </c>
      <c r="C6950" s="1">
        <v>43300101</v>
      </c>
      <c r="D6950" t="s">
        <v>67</v>
      </c>
      <c r="H6950" t="str">
        <f t="shared" si="687"/>
        <v>12572900152</v>
      </c>
      <c r="I6950" t="str">
        <f t="shared" si="688"/>
        <v>06032681006</v>
      </c>
      <c r="K6950" t="str">
        <f>""</f>
        <v/>
      </c>
      <c r="M6950" t="s">
        <v>68</v>
      </c>
      <c r="N6950" t="str">
        <f t="shared" si="686"/>
        <v>FOR</v>
      </c>
      <c r="O6950" t="s">
        <v>69</v>
      </c>
      <c r="P6950" s="3" t="s">
        <v>75</v>
      </c>
      <c r="Q6950">
        <v>2015</v>
      </c>
      <c r="R6950" s="2">
        <v>42299</v>
      </c>
      <c r="S6950" s="2">
        <v>42300</v>
      </c>
      <c r="T6950" s="2">
        <v>42300</v>
      </c>
      <c r="U6950" s="2">
        <v>42360</v>
      </c>
      <c r="V6950" t="s">
        <v>71</v>
      </c>
      <c r="W6950" t="str">
        <f>"            25274826"</f>
        <v xml:space="preserve">            25274826</v>
      </c>
      <c r="X6950">
        <v>74.88</v>
      </c>
      <c r="Y6950">
        <v>0</v>
      </c>
      <c r="Z6950" s="3">
        <v>72</v>
      </c>
      <c r="AA6950">
        <v>287</v>
      </c>
      <c r="AB6950" s="5">
        <v>20664</v>
      </c>
      <c r="AC6950">
        <v>72</v>
      </c>
      <c r="AD6950">
        <v>287</v>
      </c>
      <c r="AE6950" s="1">
        <v>20664</v>
      </c>
      <c r="AF6950">
        <v>0</v>
      </c>
      <c r="AJ6950">
        <v>0</v>
      </c>
      <c r="AK6950">
        <v>0</v>
      </c>
      <c r="AL6950">
        <v>0</v>
      </c>
      <c r="AM6950">
        <v>0</v>
      </c>
      <c r="AN6950">
        <v>0</v>
      </c>
      <c r="AO6950">
        <v>0</v>
      </c>
      <c r="AP6950" s="2">
        <v>42746</v>
      </c>
      <c r="AQ6950" t="s">
        <v>72</v>
      </c>
      <c r="AR6950" t="s">
        <v>72</v>
      </c>
      <c r="AS6950">
        <v>2633</v>
      </c>
      <c r="AT6950" s="4">
        <v>42647</v>
      </c>
      <c r="AU6950" t="s">
        <v>73</v>
      </c>
      <c r="AV6950">
        <v>2633</v>
      </c>
      <c r="AW6950" s="4">
        <v>42647</v>
      </c>
      <c r="BD6950">
        <v>0</v>
      </c>
      <c r="BN6950" t="s">
        <v>74</v>
      </c>
    </row>
    <row r="6951" spans="1:66">
      <c r="A6951">
        <v>104093</v>
      </c>
      <c r="B6951" s="3" t="s">
        <v>609</v>
      </c>
      <c r="C6951" s="1">
        <v>43300101</v>
      </c>
      <c r="D6951" t="s">
        <v>67</v>
      </c>
      <c r="H6951" t="str">
        <f t="shared" si="687"/>
        <v>12572900152</v>
      </c>
      <c r="I6951" t="str">
        <f t="shared" si="688"/>
        <v>06032681006</v>
      </c>
      <c r="K6951" t="str">
        <f>""</f>
        <v/>
      </c>
      <c r="M6951" t="s">
        <v>68</v>
      </c>
      <c r="N6951" t="str">
        <f t="shared" si="686"/>
        <v>FOR</v>
      </c>
      <c r="O6951" t="s">
        <v>69</v>
      </c>
      <c r="P6951" s="3" t="s">
        <v>75</v>
      </c>
      <c r="Q6951">
        <v>2015</v>
      </c>
      <c r="R6951" s="2">
        <v>42299</v>
      </c>
      <c r="S6951" s="2">
        <v>42300</v>
      </c>
      <c r="T6951" s="2">
        <v>42300</v>
      </c>
      <c r="U6951" s="2">
        <v>42360</v>
      </c>
      <c r="V6951" t="s">
        <v>71</v>
      </c>
      <c r="W6951" t="str">
        <f>"            25274828"</f>
        <v xml:space="preserve">            25274828</v>
      </c>
      <c r="X6951">
        <v>748.8</v>
      </c>
      <c r="Y6951">
        <v>0</v>
      </c>
      <c r="Z6951" s="3">
        <v>720</v>
      </c>
      <c r="AA6951">
        <v>287</v>
      </c>
      <c r="AB6951" s="5">
        <v>206640</v>
      </c>
      <c r="AC6951">
        <v>720</v>
      </c>
      <c r="AD6951">
        <v>287</v>
      </c>
      <c r="AE6951" s="1">
        <v>206640</v>
      </c>
      <c r="AF6951">
        <v>0</v>
      </c>
      <c r="AJ6951">
        <v>0</v>
      </c>
      <c r="AK6951">
        <v>0</v>
      </c>
      <c r="AL6951">
        <v>0</v>
      </c>
      <c r="AM6951">
        <v>0</v>
      </c>
      <c r="AN6951">
        <v>0</v>
      </c>
      <c r="AO6951">
        <v>0</v>
      </c>
      <c r="AP6951" s="2">
        <v>42746</v>
      </c>
      <c r="AQ6951" t="s">
        <v>72</v>
      </c>
      <c r="AR6951" t="s">
        <v>72</v>
      </c>
      <c r="AS6951">
        <v>2633</v>
      </c>
      <c r="AT6951" s="4">
        <v>42647</v>
      </c>
      <c r="AU6951" t="s">
        <v>73</v>
      </c>
      <c r="AV6951">
        <v>2633</v>
      </c>
      <c r="AW6951" s="4">
        <v>42647</v>
      </c>
      <c r="BD6951">
        <v>0</v>
      </c>
      <c r="BN6951" t="s">
        <v>74</v>
      </c>
    </row>
    <row r="6952" spans="1:66">
      <c r="A6952">
        <v>104093</v>
      </c>
      <c r="B6952" s="3" t="s">
        <v>609</v>
      </c>
      <c r="C6952" s="1">
        <v>43300101</v>
      </c>
      <c r="D6952" t="s">
        <v>67</v>
      </c>
      <c r="H6952" t="str">
        <f t="shared" si="687"/>
        <v>12572900152</v>
      </c>
      <c r="I6952" t="str">
        <f t="shared" si="688"/>
        <v>06032681006</v>
      </c>
      <c r="K6952" t="str">
        <f>""</f>
        <v/>
      </c>
      <c r="M6952" t="s">
        <v>68</v>
      </c>
      <c r="N6952" t="str">
        <f t="shared" si="686"/>
        <v>FOR</v>
      </c>
      <c r="O6952" t="s">
        <v>69</v>
      </c>
      <c r="P6952" s="3" t="s">
        <v>75</v>
      </c>
      <c r="Q6952">
        <v>2015</v>
      </c>
      <c r="R6952" s="2">
        <v>42299</v>
      </c>
      <c r="S6952" s="2">
        <v>42300</v>
      </c>
      <c r="T6952" s="2">
        <v>42300</v>
      </c>
      <c r="U6952" s="2">
        <v>42360</v>
      </c>
      <c r="V6952" t="s">
        <v>71</v>
      </c>
      <c r="W6952" t="str">
        <f>"            25274831"</f>
        <v xml:space="preserve">            25274831</v>
      </c>
      <c r="X6952">
        <v>74.88</v>
      </c>
      <c r="Y6952">
        <v>0</v>
      </c>
      <c r="Z6952" s="3">
        <v>72</v>
      </c>
      <c r="AA6952">
        <v>287</v>
      </c>
      <c r="AB6952" s="5">
        <v>20664</v>
      </c>
      <c r="AC6952">
        <v>72</v>
      </c>
      <c r="AD6952">
        <v>287</v>
      </c>
      <c r="AE6952" s="1">
        <v>20664</v>
      </c>
      <c r="AF6952">
        <v>0</v>
      </c>
      <c r="AJ6952">
        <v>0</v>
      </c>
      <c r="AK6952">
        <v>0</v>
      </c>
      <c r="AL6952">
        <v>0</v>
      </c>
      <c r="AM6952">
        <v>0</v>
      </c>
      <c r="AN6952">
        <v>0</v>
      </c>
      <c r="AO6952">
        <v>0</v>
      </c>
      <c r="AP6952" s="2">
        <v>42746</v>
      </c>
      <c r="AQ6952" t="s">
        <v>72</v>
      </c>
      <c r="AR6952" t="s">
        <v>72</v>
      </c>
      <c r="AS6952">
        <v>2633</v>
      </c>
      <c r="AT6952" s="4">
        <v>42647</v>
      </c>
      <c r="AU6952" t="s">
        <v>73</v>
      </c>
      <c r="AV6952">
        <v>2633</v>
      </c>
      <c r="AW6952" s="4">
        <v>42647</v>
      </c>
      <c r="BD6952">
        <v>0</v>
      </c>
      <c r="BN6952" t="s">
        <v>74</v>
      </c>
    </row>
    <row r="6953" spans="1:66">
      <c r="A6953">
        <v>104093</v>
      </c>
      <c r="B6953" s="3" t="s">
        <v>609</v>
      </c>
      <c r="C6953" s="1">
        <v>43300101</v>
      </c>
      <c r="D6953" t="s">
        <v>67</v>
      </c>
      <c r="H6953" t="str">
        <f t="shared" si="687"/>
        <v>12572900152</v>
      </c>
      <c r="I6953" t="str">
        <f t="shared" si="688"/>
        <v>06032681006</v>
      </c>
      <c r="K6953" t="str">
        <f>""</f>
        <v/>
      </c>
      <c r="M6953" t="s">
        <v>68</v>
      </c>
      <c r="N6953" t="str">
        <f t="shared" si="686"/>
        <v>FOR</v>
      </c>
      <c r="O6953" t="s">
        <v>69</v>
      </c>
      <c r="P6953" s="3" t="s">
        <v>75</v>
      </c>
      <c r="Q6953">
        <v>2015</v>
      </c>
      <c r="R6953" s="2">
        <v>42299</v>
      </c>
      <c r="S6953" s="2">
        <v>42300</v>
      </c>
      <c r="T6953" s="2">
        <v>42300</v>
      </c>
      <c r="U6953" s="2">
        <v>42360</v>
      </c>
      <c r="V6953" t="s">
        <v>71</v>
      </c>
      <c r="W6953" t="str">
        <f>"            25274834"</f>
        <v xml:space="preserve">            25274834</v>
      </c>
      <c r="X6953">
        <v>74.88</v>
      </c>
      <c r="Y6953">
        <v>0</v>
      </c>
      <c r="Z6953" s="3">
        <v>72</v>
      </c>
      <c r="AA6953">
        <v>287</v>
      </c>
      <c r="AB6953" s="5">
        <v>20664</v>
      </c>
      <c r="AC6953">
        <v>72</v>
      </c>
      <c r="AD6953">
        <v>287</v>
      </c>
      <c r="AE6953" s="1">
        <v>20664</v>
      </c>
      <c r="AF6953">
        <v>0</v>
      </c>
      <c r="AJ6953">
        <v>0</v>
      </c>
      <c r="AK6953">
        <v>0</v>
      </c>
      <c r="AL6953">
        <v>0</v>
      </c>
      <c r="AM6953">
        <v>0</v>
      </c>
      <c r="AN6953">
        <v>0</v>
      </c>
      <c r="AO6953">
        <v>0</v>
      </c>
      <c r="AP6953" s="2">
        <v>42746</v>
      </c>
      <c r="AQ6953" t="s">
        <v>72</v>
      </c>
      <c r="AR6953" t="s">
        <v>72</v>
      </c>
      <c r="AS6953">
        <v>2633</v>
      </c>
      <c r="AT6953" s="4">
        <v>42647</v>
      </c>
      <c r="AU6953" t="s">
        <v>73</v>
      </c>
      <c r="AV6953">
        <v>2633</v>
      </c>
      <c r="AW6953" s="4">
        <v>42647</v>
      </c>
      <c r="BD6953">
        <v>0</v>
      </c>
      <c r="BN6953" t="s">
        <v>74</v>
      </c>
    </row>
    <row r="6954" spans="1:66">
      <c r="A6954">
        <v>104093</v>
      </c>
      <c r="B6954" s="3" t="s">
        <v>609</v>
      </c>
      <c r="C6954" s="1">
        <v>43300101</v>
      </c>
      <c r="D6954" t="s">
        <v>67</v>
      </c>
      <c r="H6954" t="str">
        <f t="shared" si="687"/>
        <v>12572900152</v>
      </c>
      <c r="I6954" t="str">
        <f t="shared" si="688"/>
        <v>06032681006</v>
      </c>
      <c r="K6954" t="str">
        <f>""</f>
        <v/>
      </c>
      <c r="M6954" t="s">
        <v>68</v>
      </c>
      <c r="N6954" t="str">
        <f t="shared" si="686"/>
        <v>FOR</v>
      </c>
      <c r="O6954" t="s">
        <v>69</v>
      </c>
      <c r="P6954" s="3" t="s">
        <v>75</v>
      </c>
      <c r="Q6954">
        <v>2015</v>
      </c>
      <c r="R6954" s="2">
        <v>42299</v>
      </c>
      <c r="S6954" s="2">
        <v>42300</v>
      </c>
      <c r="T6954" s="2">
        <v>42300</v>
      </c>
      <c r="U6954" s="2">
        <v>42360</v>
      </c>
      <c r="V6954" t="s">
        <v>71</v>
      </c>
      <c r="W6954" t="str">
        <f>"            25274837"</f>
        <v xml:space="preserve">            25274837</v>
      </c>
      <c r="X6954">
        <v>74.88</v>
      </c>
      <c r="Y6954">
        <v>0</v>
      </c>
      <c r="Z6954" s="3">
        <v>72</v>
      </c>
      <c r="AA6954">
        <v>287</v>
      </c>
      <c r="AB6954" s="5">
        <v>20664</v>
      </c>
      <c r="AC6954">
        <v>72</v>
      </c>
      <c r="AD6954">
        <v>287</v>
      </c>
      <c r="AE6954" s="1">
        <v>20664</v>
      </c>
      <c r="AF6954">
        <v>0</v>
      </c>
      <c r="AJ6954">
        <v>0</v>
      </c>
      <c r="AK6954">
        <v>0</v>
      </c>
      <c r="AL6954">
        <v>0</v>
      </c>
      <c r="AM6954">
        <v>0</v>
      </c>
      <c r="AN6954">
        <v>0</v>
      </c>
      <c r="AO6954">
        <v>0</v>
      </c>
      <c r="AP6954" s="2">
        <v>42746</v>
      </c>
      <c r="AQ6954" t="s">
        <v>72</v>
      </c>
      <c r="AR6954" t="s">
        <v>72</v>
      </c>
      <c r="AS6954">
        <v>2633</v>
      </c>
      <c r="AT6954" s="4">
        <v>42647</v>
      </c>
      <c r="AU6954" t="s">
        <v>73</v>
      </c>
      <c r="AV6954">
        <v>2633</v>
      </c>
      <c r="AW6954" s="4">
        <v>42647</v>
      </c>
      <c r="BD6954">
        <v>0</v>
      </c>
      <c r="BN6954" t="s">
        <v>74</v>
      </c>
    </row>
    <row r="6955" spans="1:66">
      <c r="A6955">
        <v>104093</v>
      </c>
      <c r="B6955" s="3" t="s">
        <v>609</v>
      </c>
      <c r="C6955" s="1">
        <v>43300101</v>
      </c>
      <c r="D6955" t="s">
        <v>67</v>
      </c>
      <c r="H6955" t="str">
        <f t="shared" si="687"/>
        <v>12572900152</v>
      </c>
      <c r="I6955" t="str">
        <f t="shared" si="688"/>
        <v>06032681006</v>
      </c>
      <c r="K6955" t="str">
        <f>""</f>
        <v/>
      </c>
      <c r="M6955" t="s">
        <v>68</v>
      </c>
      <c r="N6955" t="str">
        <f t="shared" si="686"/>
        <v>FOR</v>
      </c>
      <c r="O6955" t="s">
        <v>69</v>
      </c>
      <c r="P6955" s="3" t="s">
        <v>75</v>
      </c>
      <c r="Q6955">
        <v>2015</v>
      </c>
      <c r="R6955" s="2">
        <v>42299</v>
      </c>
      <c r="S6955" s="2">
        <v>42300</v>
      </c>
      <c r="T6955" s="2">
        <v>42300</v>
      </c>
      <c r="U6955" s="2">
        <v>42360</v>
      </c>
      <c r="V6955" t="s">
        <v>71</v>
      </c>
      <c r="W6955" t="str">
        <f>"            25274838"</f>
        <v xml:space="preserve">            25274838</v>
      </c>
      <c r="X6955">
        <v>252.72</v>
      </c>
      <c r="Y6955">
        <v>0</v>
      </c>
      <c r="Z6955" s="3">
        <v>243</v>
      </c>
      <c r="AA6955">
        <v>287</v>
      </c>
      <c r="AB6955" s="5">
        <v>69741</v>
      </c>
      <c r="AC6955">
        <v>243</v>
      </c>
      <c r="AD6955">
        <v>287</v>
      </c>
      <c r="AE6955" s="1">
        <v>69741</v>
      </c>
      <c r="AF6955">
        <v>0</v>
      </c>
      <c r="AJ6955">
        <v>0</v>
      </c>
      <c r="AK6955">
        <v>0</v>
      </c>
      <c r="AL6955">
        <v>0</v>
      </c>
      <c r="AM6955">
        <v>0</v>
      </c>
      <c r="AN6955">
        <v>0</v>
      </c>
      <c r="AO6955">
        <v>0</v>
      </c>
      <c r="AP6955" s="2">
        <v>42746</v>
      </c>
      <c r="AQ6955" t="s">
        <v>72</v>
      </c>
      <c r="AR6955" t="s">
        <v>72</v>
      </c>
      <c r="AS6955">
        <v>2633</v>
      </c>
      <c r="AT6955" s="4">
        <v>42647</v>
      </c>
      <c r="AU6955" t="s">
        <v>73</v>
      </c>
      <c r="AV6955">
        <v>2633</v>
      </c>
      <c r="AW6955" s="4">
        <v>42647</v>
      </c>
      <c r="BD6955">
        <v>0</v>
      </c>
      <c r="BN6955" t="s">
        <v>74</v>
      </c>
    </row>
    <row r="6956" spans="1:66">
      <c r="A6956">
        <v>104093</v>
      </c>
      <c r="B6956" s="3" t="s">
        <v>609</v>
      </c>
      <c r="C6956" s="1">
        <v>43300101</v>
      </c>
      <c r="D6956" t="s">
        <v>67</v>
      </c>
      <c r="H6956" t="str">
        <f t="shared" si="687"/>
        <v>12572900152</v>
      </c>
      <c r="I6956" t="str">
        <f t="shared" si="688"/>
        <v>06032681006</v>
      </c>
      <c r="K6956" t="str">
        <f>""</f>
        <v/>
      </c>
      <c r="M6956" t="s">
        <v>68</v>
      </c>
      <c r="N6956" t="str">
        <f t="shared" si="686"/>
        <v>FOR</v>
      </c>
      <c r="O6956" t="s">
        <v>69</v>
      </c>
      <c r="P6956" s="3" t="s">
        <v>75</v>
      </c>
      <c r="Q6956">
        <v>2015</v>
      </c>
      <c r="R6956" s="2">
        <v>42299</v>
      </c>
      <c r="S6956" s="2">
        <v>42300</v>
      </c>
      <c r="T6956" s="2">
        <v>42300</v>
      </c>
      <c r="U6956" s="2">
        <v>42360</v>
      </c>
      <c r="V6956" t="s">
        <v>71</v>
      </c>
      <c r="W6956" t="str">
        <f>"            25274839"</f>
        <v xml:space="preserve">            25274839</v>
      </c>
      <c r="X6956">
        <v>252.72</v>
      </c>
      <c r="Y6956">
        <v>0</v>
      </c>
      <c r="Z6956" s="3">
        <v>243</v>
      </c>
      <c r="AA6956">
        <v>287</v>
      </c>
      <c r="AB6956" s="5">
        <v>69741</v>
      </c>
      <c r="AC6956">
        <v>243</v>
      </c>
      <c r="AD6956">
        <v>287</v>
      </c>
      <c r="AE6956" s="1">
        <v>69741</v>
      </c>
      <c r="AF6956">
        <v>0</v>
      </c>
      <c r="AJ6956">
        <v>0</v>
      </c>
      <c r="AK6956">
        <v>0</v>
      </c>
      <c r="AL6956">
        <v>0</v>
      </c>
      <c r="AM6956">
        <v>0</v>
      </c>
      <c r="AN6956">
        <v>0</v>
      </c>
      <c r="AO6956">
        <v>0</v>
      </c>
      <c r="AP6956" s="2">
        <v>42746</v>
      </c>
      <c r="AQ6956" t="s">
        <v>72</v>
      </c>
      <c r="AR6956" t="s">
        <v>72</v>
      </c>
      <c r="AS6956">
        <v>2633</v>
      </c>
      <c r="AT6956" s="4">
        <v>42647</v>
      </c>
      <c r="AU6956" t="s">
        <v>73</v>
      </c>
      <c r="AV6956">
        <v>2633</v>
      </c>
      <c r="AW6956" s="4">
        <v>42647</v>
      </c>
      <c r="BD6956">
        <v>0</v>
      </c>
      <c r="BN6956" t="s">
        <v>74</v>
      </c>
    </row>
    <row r="6957" spans="1:66">
      <c r="A6957">
        <v>104093</v>
      </c>
      <c r="B6957" s="3" t="s">
        <v>609</v>
      </c>
      <c r="C6957" s="1">
        <v>43300101</v>
      </c>
      <c r="D6957" t="s">
        <v>67</v>
      </c>
      <c r="H6957" t="str">
        <f t="shared" si="687"/>
        <v>12572900152</v>
      </c>
      <c r="I6957" t="str">
        <f t="shared" si="688"/>
        <v>06032681006</v>
      </c>
      <c r="K6957" t="str">
        <f>""</f>
        <v/>
      </c>
      <c r="M6957" t="s">
        <v>68</v>
      </c>
      <c r="N6957" t="str">
        <f t="shared" si="686"/>
        <v>FOR</v>
      </c>
      <c r="O6957" t="s">
        <v>69</v>
      </c>
      <c r="P6957" s="3" t="s">
        <v>75</v>
      </c>
      <c r="Q6957">
        <v>2015</v>
      </c>
      <c r="R6957" s="2">
        <v>42299</v>
      </c>
      <c r="S6957" s="2">
        <v>42300</v>
      </c>
      <c r="T6957" s="2">
        <v>42300</v>
      </c>
      <c r="U6957" s="2">
        <v>42360</v>
      </c>
      <c r="V6957" t="s">
        <v>71</v>
      </c>
      <c r="W6957" t="str">
        <f>"            25274840"</f>
        <v xml:space="preserve">            25274840</v>
      </c>
      <c r="X6957">
        <v>707.62</v>
      </c>
      <c r="Y6957">
        <v>0</v>
      </c>
      <c r="Z6957" s="3">
        <v>680.4</v>
      </c>
      <c r="AA6957">
        <v>287</v>
      </c>
      <c r="AB6957" s="5">
        <v>195274.8</v>
      </c>
      <c r="AC6957">
        <v>680.4</v>
      </c>
      <c r="AD6957">
        <v>287</v>
      </c>
      <c r="AE6957" s="1">
        <v>195274.8</v>
      </c>
      <c r="AF6957">
        <v>0</v>
      </c>
      <c r="AJ6957">
        <v>0</v>
      </c>
      <c r="AK6957">
        <v>0</v>
      </c>
      <c r="AL6957">
        <v>0</v>
      </c>
      <c r="AM6957">
        <v>0</v>
      </c>
      <c r="AN6957">
        <v>0</v>
      </c>
      <c r="AO6957">
        <v>0</v>
      </c>
      <c r="AP6957" s="2">
        <v>42746</v>
      </c>
      <c r="AQ6957" t="s">
        <v>72</v>
      </c>
      <c r="AR6957" t="s">
        <v>72</v>
      </c>
      <c r="AS6957">
        <v>2633</v>
      </c>
      <c r="AT6957" s="4">
        <v>42647</v>
      </c>
      <c r="AU6957" t="s">
        <v>73</v>
      </c>
      <c r="AV6957">
        <v>2633</v>
      </c>
      <c r="AW6957" s="4">
        <v>42647</v>
      </c>
      <c r="BD6957">
        <v>0</v>
      </c>
      <c r="BN6957" t="s">
        <v>74</v>
      </c>
    </row>
    <row r="6958" spans="1:66">
      <c r="A6958">
        <v>104093</v>
      </c>
      <c r="B6958" s="3" t="s">
        <v>609</v>
      </c>
      <c r="C6958" s="1">
        <v>43300101</v>
      </c>
      <c r="D6958" t="s">
        <v>67</v>
      </c>
      <c r="H6958" t="str">
        <f t="shared" si="687"/>
        <v>12572900152</v>
      </c>
      <c r="I6958" t="str">
        <f t="shared" si="688"/>
        <v>06032681006</v>
      </c>
      <c r="K6958" t="str">
        <f>""</f>
        <v/>
      </c>
      <c r="M6958" t="s">
        <v>68</v>
      </c>
      <c r="N6958" t="str">
        <f t="shared" si="686"/>
        <v>FOR</v>
      </c>
      <c r="O6958" t="s">
        <v>69</v>
      </c>
      <c r="P6958" s="3" t="s">
        <v>75</v>
      </c>
      <c r="Q6958">
        <v>2015</v>
      </c>
      <c r="R6958" s="2">
        <v>42299</v>
      </c>
      <c r="S6958" s="2">
        <v>42300</v>
      </c>
      <c r="T6958" s="2">
        <v>42300</v>
      </c>
      <c r="U6958" s="2">
        <v>42360</v>
      </c>
      <c r="V6958" t="s">
        <v>71</v>
      </c>
      <c r="W6958" t="str">
        <f>"            25274841"</f>
        <v xml:space="preserve">            25274841</v>
      </c>
      <c r="X6958">
        <v>74.88</v>
      </c>
      <c r="Y6958">
        <v>0</v>
      </c>
      <c r="Z6958" s="3">
        <v>72</v>
      </c>
      <c r="AA6958">
        <v>287</v>
      </c>
      <c r="AB6958" s="5">
        <v>20664</v>
      </c>
      <c r="AC6958">
        <v>72</v>
      </c>
      <c r="AD6958">
        <v>287</v>
      </c>
      <c r="AE6958" s="1">
        <v>20664</v>
      </c>
      <c r="AF6958">
        <v>0</v>
      </c>
      <c r="AJ6958">
        <v>0</v>
      </c>
      <c r="AK6958">
        <v>0</v>
      </c>
      <c r="AL6958">
        <v>0</v>
      </c>
      <c r="AM6958">
        <v>0</v>
      </c>
      <c r="AN6958">
        <v>0</v>
      </c>
      <c r="AO6958">
        <v>0</v>
      </c>
      <c r="AP6958" s="2">
        <v>42746</v>
      </c>
      <c r="AQ6958" t="s">
        <v>72</v>
      </c>
      <c r="AR6958" t="s">
        <v>72</v>
      </c>
      <c r="AS6958">
        <v>2633</v>
      </c>
      <c r="AT6958" s="4">
        <v>42647</v>
      </c>
      <c r="AU6958" t="s">
        <v>73</v>
      </c>
      <c r="AV6958">
        <v>2633</v>
      </c>
      <c r="AW6958" s="4">
        <v>42647</v>
      </c>
      <c r="BD6958">
        <v>0</v>
      </c>
      <c r="BN6958" t="s">
        <v>74</v>
      </c>
    </row>
    <row r="6959" spans="1:66">
      <c r="A6959">
        <v>104093</v>
      </c>
      <c r="B6959" s="3" t="s">
        <v>609</v>
      </c>
      <c r="C6959" s="1">
        <v>43300101</v>
      </c>
      <c r="D6959" t="s">
        <v>67</v>
      </c>
      <c r="H6959" t="str">
        <f t="shared" si="687"/>
        <v>12572900152</v>
      </c>
      <c r="I6959" t="str">
        <f t="shared" si="688"/>
        <v>06032681006</v>
      </c>
      <c r="K6959" t="str">
        <f>""</f>
        <v/>
      </c>
      <c r="M6959" t="s">
        <v>68</v>
      </c>
      <c r="N6959" t="str">
        <f t="shared" si="686"/>
        <v>FOR</v>
      </c>
      <c r="O6959" t="s">
        <v>69</v>
      </c>
      <c r="P6959" s="3" t="s">
        <v>75</v>
      </c>
      <c r="Q6959">
        <v>2015</v>
      </c>
      <c r="R6959" s="2">
        <v>42305</v>
      </c>
      <c r="S6959" s="2">
        <v>42307</v>
      </c>
      <c r="T6959" s="2">
        <v>42306</v>
      </c>
      <c r="U6959" s="2">
        <v>42366</v>
      </c>
      <c r="V6959" t="s">
        <v>71</v>
      </c>
      <c r="W6959" t="str">
        <f>"            25276010"</f>
        <v xml:space="preserve">            25276010</v>
      </c>
      <c r="X6959">
        <v>936</v>
      </c>
      <c r="Y6959">
        <v>0</v>
      </c>
      <c r="Z6959" s="3">
        <v>900</v>
      </c>
      <c r="AA6959">
        <v>281</v>
      </c>
      <c r="AB6959" s="5">
        <v>252900</v>
      </c>
      <c r="AC6959">
        <v>900</v>
      </c>
      <c r="AD6959">
        <v>281</v>
      </c>
      <c r="AE6959" s="1">
        <v>252900</v>
      </c>
      <c r="AF6959">
        <v>0</v>
      </c>
      <c r="AJ6959">
        <v>0</v>
      </c>
      <c r="AK6959">
        <v>0</v>
      </c>
      <c r="AL6959">
        <v>0</v>
      </c>
      <c r="AM6959">
        <v>0</v>
      </c>
      <c r="AN6959">
        <v>0</v>
      </c>
      <c r="AO6959">
        <v>0</v>
      </c>
      <c r="AP6959" s="2">
        <v>42746</v>
      </c>
      <c r="AQ6959" t="s">
        <v>72</v>
      </c>
      <c r="AR6959" t="s">
        <v>72</v>
      </c>
      <c r="AS6959">
        <v>2633</v>
      </c>
      <c r="AT6959" s="4">
        <v>42647</v>
      </c>
      <c r="AU6959" t="s">
        <v>73</v>
      </c>
      <c r="AV6959">
        <v>2633</v>
      </c>
      <c r="AW6959" s="4">
        <v>42647</v>
      </c>
      <c r="BD6959">
        <v>0</v>
      </c>
      <c r="BN6959" t="s">
        <v>74</v>
      </c>
    </row>
    <row r="6960" spans="1:66">
      <c r="A6960">
        <v>104093</v>
      </c>
      <c r="B6960" s="3" t="s">
        <v>609</v>
      </c>
      <c r="C6960" s="1">
        <v>43300101</v>
      </c>
      <c r="D6960" t="s">
        <v>67</v>
      </c>
      <c r="H6960" t="str">
        <f t="shared" si="687"/>
        <v>12572900152</v>
      </c>
      <c r="I6960" t="str">
        <f t="shared" si="688"/>
        <v>06032681006</v>
      </c>
      <c r="K6960" t="str">
        <f>""</f>
        <v/>
      </c>
      <c r="M6960" t="s">
        <v>68</v>
      </c>
      <c r="N6960" t="str">
        <f t="shared" si="686"/>
        <v>FOR</v>
      </c>
      <c r="O6960" t="s">
        <v>69</v>
      </c>
      <c r="P6960" s="3" t="s">
        <v>75</v>
      </c>
      <c r="Q6960">
        <v>2015</v>
      </c>
      <c r="R6960" s="2">
        <v>42305</v>
      </c>
      <c r="S6960" s="2">
        <v>42307</v>
      </c>
      <c r="T6960" s="2">
        <v>42306</v>
      </c>
      <c r="U6960" s="2">
        <v>42366</v>
      </c>
      <c r="V6960" t="s">
        <v>71</v>
      </c>
      <c r="W6960" t="str">
        <f>"            25276167"</f>
        <v xml:space="preserve">            25276167</v>
      </c>
      <c r="X6960" s="1">
        <v>10760.4</v>
      </c>
      <c r="Y6960">
        <v>0</v>
      </c>
      <c r="Z6960" s="5">
        <v>8820</v>
      </c>
      <c r="AA6960">
        <v>281</v>
      </c>
      <c r="AB6960" s="5">
        <v>2478420</v>
      </c>
      <c r="AC6960" s="1">
        <v>8820</v>
      </c>
      <c r="AD6960">
        <v>281</v>
      </c>
      <c r="AE6960" s="1">
        <v>2478420</v>
      </c>
      <c r="AF6960">
        <v>0</v>
      </c>
      <c r="AJ6960">
        <v>0</v>
      </c>
      <c r="AK6960">
        <v>0</v>
      </c>
      <c r="AL6960">
        <v>0</v>
      </c>
      <c r="AM6960">
        <v>0</v>
      </c>
      <c r="AN6960">
        <v>0</v>
      </c>
      <c r="AO6960">
        <v>0</v>
      </c>
      <c r="AP6960" s="2">
        <v>42746</v>
      </c>
      <c r="AQ6960" t="s">
        <v>72</v>
      </c>
      <c r="AR6960" t="s">
        <v>72</v>
      </c>
      <c r="AS6960">
        <v>2633</v>
      </c>
      <c r="AT6960" s="4">
        <v>42647</v>
      </c>
      <c r="AU6960" t="s">
        <v>73</v>
      </c>
      <c r="AV6960">
        <v>2633</v>
      </c>
      <c r="AW6960" s="4">
        <v>42647</v>
      </c>
      <c r="BD6960">
        <v>0</v>
      </c>
      <c r="BN6960" t="s">
        <v>74</v>
      </c>
    </row>
    <row r="6961" spans="1:66">
      <c r="A6961">
        <v>104093</v>
      </c>
      <c r="B6961" s="3" t="s">
        <v>609</v>
      </c>
      <c r="C6961" s="1">
        <v>43300101</v>
      </c>
      <c r="D6961" t="s">
        <v>67</v>
      </c>
      <c r="H6961" t="str">
        <f t="shared" si="687"/>
        <v>12572900152</v>
      </c>
      <c r="I6961" t="str">
        <f t="shared" si="688"/>
        <v>06032681006</v>
      </c>
      <c r="K6961" t="str">
        <f>""</f>
        <v/>
      </c>
      <c r="M6961" t="s">
        <v>68</v>
      </c>
      <c r="N6961" t="str">
        <f t="shared" si="686"/>
        <v>FOR</v>
      </c>
      <c r="O6961" t="s">
        <v>69</v>
      </c>
      <c r="P6961" s="3" t="s">
        <v>75</v>
      </c>
      <c r="Q6961">
        <v>2015</v>
      </c>
      <c r="R6961" s="2">
        <v>42305</v>
      </c>
      <c r="S6961" s="2">
        <v>42307</v>
      </c>
      <c r="T6961" s="2">
        <v>42306</v>
      </c>
      <c r="U6961" s="2">
        <v>42366</v>
      </c>
      <c r="V6961" t="s">
        <v>71</v>
      </c>
      <c r="W6961" t="str">
        <f>"            25276201"</f>
        <v xml:space="preserve">            25276201</v>
      </c>
      <c r="X6961" s="1">
        <v>3182.4</v>
      </c>
      <c r="Y6961">
        <v>0</v>
      </c>
      <c r="Z6961" s="5">
        <v>3060</v>
      </c>
      <c r="AA6961">
        <v>281</v>
      </c>
      <c r="AB6961" s="5">
        <v>859860</v>
      </c>
      <c r="AC6961" s="1">
        <v>3060</v>
      </c>
      <c r="AD6961">
        <v>281</v>
      </c>
      <c r="AE6961" s="1">
        <v>859860</v>
      </c>
      <c r="AF6961">
        <v>0</v>
      </c>
      <c r="AJ6961">
        <v>0</v>
      </c>
      <c r="AK6961">
        <v>0</v>
      </c>
      <c r="AL6961">
        <v>0</v>
      </c>
      <c r="AM6961">
        <v>0</v>
      </c>
      <c r="AN6961">
        <v>0</v>
      </c>
      <c r="AO6961">
        <v>0</v>
      </c>
      <c r="AP6961" s="2">
        <v>42746</v>
      </c>
      <c r="AQ6961" t="s">
        <v>72</v>
      </c>
      <c r="AR6961" t="s">
        <v>72</v>
      </c>
      <c r="AS6961">
        <v>2633</v>
      </c>
      <c r="AT6961" s="4">
        <v>42647</v>
      </c>
      <c r="AU6961" t="s">
        <v>73</v>
      </c>
      <c r="AV6961">
        <v>2633</v>
      </c>
      <c r="AW6961" s="4">
        <v>42647</v>
      </c>
      <c r="BD6961">
        <v>0</v>
      </c>
      <c r="BN6961" t="s">
        <v>74</v>
      </c>
    </row>
    <row r="6962" spans="1:66">
      <c r="A6962">
        <v>104093</v>
      </c>
      <c r="B6962" s="3" t="s">
        <v>609</v>
      </c>
      <c r="C6962" s="1">
        <v>43300101</v>
      </c>
      <c r="D6962" t="s">
        <v>67</v>
      </c>
      <c r="H6962" t="str">
        <f t="shared" si="687"/>
        <v>12572900152</v>
      </c>
      <c r="I6962" t="str">
        <f t="shared" si="688"/>
        <v>06032681006</v>
      </c>
      <c r="K6962" t="str">
        <f>""</f>
        <v/>
      </c>
      <c r="M6962" t="s">
        <v>68</v>
      </c>
      <c r="N6962" t="str">
        <f t="shared" si="686"/>
        <v>FOR</v>
      </c>
      <c r="O6962" t="s">
        <v>69</v>
      </c>
      <c r="P6962" s="3" t="s">
        <v>75</v>
      </c>
      <c r="Q6962">
        <v>2015</v>
      </c>
      <c r="R6962" s="2">
        <v>42306</v>
      </c>
      <c r="S6962" s="2">
        <v>42312</v>
      </c>
      <c r="T6962" s="2">
        <v>42312</v>
      </c>
      <c r="U6962" s="2">
        <v>42372</v>
      </c>
      <c r="V6962" t="s">
        <v>71</v>
      </c>
      <c r="W6962" t="str">
        <f>"            25276424"</f>
        <v xml:space="preserve">            25276424</v>
      </c>
      <c r="X6962">
        <v>74.88</v>
      </c>
      <c r="Y6962">
        <v>0</v>
      </c>
      <c r="Z6962" s="3">
        <v>72</v>
      </c>
      <c r="AA6962">
        <v>275</v>
      </c>
      <c r="AB6962" s="5">
        <v>19800</v>
      </c>
      <c r="AC6962">
        <v>72</v>
      </c>
      <c r="AD6962">
        <v>275</v>
      </c>
      <c r="AE6962" s="1">
        <v>19800</v>
      </c>
      <c r="AF6962">
        <v>0</v>
      </c>
      <c r="AJ6962">
        <v>0</v>
      </c>
      <c r="AK6962">
        <v>0</v>
      </c>
      <c r="AL6962">
        <v>0</v>
      </c>
      <c r="AM6962">
        <v>0</v>
      </c>
      <c r="AN6962">
        <v>0</v>
      </c>
      <c r="AO6962">
        <v>0</v>
      </c>
      <c r="AP6962" s="2">
        <v>42746</v>
      </c>
      <c r="AQ6962" t="s">
        <v>72</v>
      </c>
      <c r="AR6962" t="s">
        <v>72</v>
      </c>
      <c r="AS6962">
        <v>2633</v>
      </c>
      <c r="AT6962" s="4">
        <v>42647</v>
      </c>
      <c r="AU6962" t="s">
        <v>73</v>
      </c>
      <c r="AV6962">
        <v>2633</v>
      </c>
      <c r="AW6962" s="4">
        <v>42647</v>
      </c>
      <c r="BD6962">
        <v>0</v>
      </c>
      <c r="BN6962" t="s">
        <v>74</v>
      </c>
    </row>
    <row r="6963" spans="1:66">
      <c r="A6963">
        <v>104093</v>
      </c>
      <c r="B6963" s="3" t="s">
        <v>609</v>
      </c>
      <c r="C6963" s="1">
        <v>43300101</v>
      </c>
      <c r="D6963" t="s">
        <v>67</v>
      </c>
      <c r="H6963" t="str">
        <f t="shared" si="687"/>
        <v>12572900152</v>
      </c>
      <c r="I6963" t="str">
        <f t="shared" si="688"/>
        <v>06032681006</v>
      </c>
      <c r="K6963" t="str">
        <f>""</f>
        <v/>
      </c>
      <c r="M6963" t="s">
        <v>68</v>
      </c>
      <c r="N6963" t="str">
        <f t="shared" si="686"/>
        <v>FOR</v>
      </c>
      <c r="O6963" t="s">
        <v>69</v>
      </c>
      <c r="P6963" s="3" t="s">
        <v>75</v>
      </c>
      <c r="Q6963">
        <v>2015</v>
      </c>
      <c r="R6963" s="2">
        <v>42306</v>
      </c>
      <c r="S6963" s="2">
        <v>42312</v>
      </c>
      <c r="T6963" s="2">
        <v>42312</v>
      </c>
      <c r="U6963" s="2">
        <v>42372</v>
      </c>
      <c r="V6963" t="s">
        <v>71</v>
      </c>
      <c r="W6963" t="str">
        <f>"            25276427"</f>
        <v xml:space="preserve">            25276427</v>
      </c>
      <c r="X6963">
        <v>403.42</v>
      </c>
      <c r="Y6963">
        <v>0</v>
      </c>
      <c r="Z6963" s="3">
        <v>387.9</v>
      </c>
      <c r="AA6963">
        <v>275</v>
      </c>
      <c r="AB6963" s="5">
        <v>106672.5</v>
      </c>
      <c r="AC6963">
        <v>387.9</v>
      </c>
      <c r="AD6963">
        <v>275</v>
      </c>
      <c r="AE6963" s="1">
        <v>106672.5</v>
      </c>
      <c r="AF6963">
        <v>0</v>
      </c>
      <c r="AJ6963">
        <v>0</v>
      </c>
      <c r="AK6963">
        <v>0</v>
      </c>
      <c r="AL6963">
        <v>0</v>
      </c>
      <c r="AM6963">
        <v>0</v>
      </c>
      <c r="AN6963">
        <v>0</v>
      </c>
      <c r="AO6963">
        <v>0</v>
      </c>
      <c r="AP6963" s="2">
        <v>42746</v>
      </c>
      <c r="AQ6963" t="s">
        <v>72</v>
      </c>
      <c r="AR6963" t="s">
        <v>72</v>
      </c>
      <c r="AS6963">
        <v>2633</v>
      </c>
      <c r="AT6963" s="4">
        <v>42647</v>
      </c>
      <c r="AU6963" t="s">
        <v>73</v>
      </c>
      <c r="AV6963">
        <v>2633</v>
      </c>
      <c r="AW6963" s="4">
        <v>42647</v>
      </c>
      <c r="BD6963">
        <v>0</v>
      </c>
      <c r="BN6963" t="s">
        <v>74</v>
      </c>
    </row>
    <row r="6964" spans="1:66">
      <c r="A6964">
        <v>104093</v>
      </c>
      <c r="B6964" s="3" t="s">
        <v>609</v>
      </c>
      <c r="C6964" s="1">
        <v>43300101</v>
      </c>
      <c r="D6964" t="s">
        <v>67</v>
      </c>
      <c r="H6964" t="str">
        <f t="shared" si="687"/>
        <v>12572900152</v>
      </c>
      <c r="I6964" t="str">
        <f t="shared" si="688"/>
        <v>06032681006</v>
      </c>
      <c r="K6964" t="str">
        <f>""</f>
        <v/>
      </c>
      <c r="M6964" t="s">
        <v>68</v>
      </c>
      <c r="N6964" t="str">
        <f t="shared" si="686"/>
        <v>FOR</v>
      </c>
      <c r="O6964" t="s">
        <v>69</v>
      </c>
      <c r="P6964" s="3" t="s">
        <v>75</v>
      </c>
      <c r="Q6964">
        <v>2015</v>
      </c>
      <c r="R6964" s="2">
        <v>42306</v>
      </c>
      <c r="S6964" s="2">
        <v>42312</v>
      </c>
      <c r="T6964" s="2">
        <v>42312</v>
      </c>
      <c r="U6964" s="2">
        <v>42372</v>
      </c>
      <c r="V6964" t="s">
        <v>71</v>
      </c>
      <c r="W6964" t="str">
        <f>"            25276434"</f>
        <v xml:space="preserve">            25276434</v>
      </c>
      <c r="X6964">
        <v>74.88</v>
      </c>
      <c r="Y6964">
        <v>0</v>
      </c>
      <c r="Z6964" s="3">
        <v>72</v>
      </c>
      <c r="AA6964">
        <v>275</v>
      </c>
      <c r="AB6964" s="5">
        <v>19800</v>
      </c>
      <c r="AC6964">
        <v>72</v>
      </c>
      <c r="AD6964">
        <v>275</v>
      </c>
      <c r="AE6964" s="1">
        <v>19800</v>
      </c>
      <c r="AF6964">
        <v>0</v>
      </c>
      <c r="AJ6964">
        <v>0</v>
      </c>
      <c r="AK6964">
        <v>0</v>
      </c>
      <c r="AL6964">
        <v>0</v>
      </c>
      <c r="AM6964">
        <v>0</v>
      </c>
      <c r="AN6964">
        <v>0</v>
      </c>
      <c r="AO6964">
        <v>0</v>
      </c>
      <c r="AP6964" s="2">
        <v>42746</v>
      </c>
      <c r="AQ6964" t="s">
        <v>72</v>
      </c>
      <c r="AR6964" t="s">
        <v>72</v>
      </c>
      <c r="AS6964">
        <v>2633</v>
      </c>
      <c r="AT6964" s="4">
        <v>42647</v>
      </c>
      <c r="AU6964" t="s">
        <v>73</v>
      </c>
      <c r="AV6964">
        <v>2633</v>
      </c>
      <c r="AW6964" s="4">
        <v>42647</v>
      </c>
      <c r="BD6964">
        <v>0</v>
      </c>
      <c r="BN6964" t="s">
        <v>74</v>
      </c>
    </row>
    <row r="6965" spans="1:66">
      <c r="A6965">
        <v>104093</v>
      </c>
      <c r="B6965" s="3" t="s">
        <v>609</v>
      </c>
      <c r="C6965" s="1">
        <v>43300101</v>
      </c>
      <c r="D6965" t="s">
        <v>67</v>
      </c>
      <c r="H6965" t="str">
        <f t="shared" si="687"/>
        <v>12572900152</v>
      </c>
      <c r="I6965" t="str">
        <f t="shared" si="688"/>
        <v>06032681006</v>
      </c>
      <c r="K6965" t="str">
        <f>""</f>
        <v/>
      </c>
      <c r="M6965" t="s">
        <v>68</v>
      </c>
      <c r="N6965" t="str">
        <f t="shared" si="686"/>
        <v>FOR</v>
      </c>
      <c r="O6965" t="s">
        <v>69</v>
      </c>
      <c r="P6965" s="3" t="s">
        <v>75</v>
      </c>
      <c r="Q6965">
        <v>2015</v>
      </c>
      <c r="R6965" s="2">
        <v>42306</v>
      </c>
      <c r="S6965" s="2">
        <v>42312</v>
      </c>
      <c r="T6965" s="2">
        <v>42312</v>
      </c>
      <c r="U6965" s="2">
        <v>42372</v>
      </c>
      <c r="V6965" t="s">
        <v>71</v>
      </c>
      <c r="W6965" t="str">
        <f>"            25276436"</f>
        <v xml:space="preserve">            25276436</v>
      </c>
      <c r="X6965">
        <v>74.88</v>
      </c>
      <c r="Y6965">
        <v>0</v>
      </c>
      <c r="Z6965" s="3">
        <v>72</v>
      </c>
      <c r="AA6965">
        <v>275</v>
      </c>
      <c r="AB6965" s="5">
        <v>19800</v>
      </c>
      <c r="AC6965">
        <v>72</v>
      </c>
      <c r="AD6965">
        <v>275</v>
      </c>
      <c r="AE6965" s="1">
        <v>19800</v>
      </c>
      <c r="AF6965">
        <v>0</v>
      </c>
      <c r="AJ6965">
        <v>0</v>
      </c>
      <c r="AK6965">
        <v>0</v>
      </c>
      <c r="AL6965">
        <v>0</v>
      </c>
      <c r="AM6965">
        <v>0</v>
      </c>
      <c r="AN6965">
        <v>0</v>
      </c>
      <c r="AO6965">
        <v>0</v>
      </c>
      <c r="AP6965" s="2">
        <v>42746</v>
      </c>
      <c r="AQ6965" t="s">
        <v>72</v>
      </c>
      <c r="AR6965" t="s">
        <v>72</v>
      </c>
      <c r="AS6965">
        <v>2633</v>
      </c>
      <c r="AT6965" s="4">
        <v>42647</v>
      </c>
      <c r="AU6965" t="s">
        <v>73</v>
      </c>
      <c r="AV6965">
        <v>2633</v>
      </c>
      <c r="AW6965" s="4">
        <v>42647</v>
      </c>
      <c r="BD6965">
        <v>0</v>
      </c>
      <c r="BN6965" t="s">
        <v>74</v>
      </c>
    </row>
    <row r="6966" spans="1:66">
      <c r="A6966">
        <v>104093</v>
      </c>
      <c r="B6966" s="3" t="s">
        <v>609</v>
      </c>
      <c r="C6966" s="1">
        <v>43300101</v>
      </c>
      <c r="D6966" t="s">
        <v>67</v>
      </c>
      <c r="H6966" t="str">
        <f t="shared" si="687"/>
        <v>12572900152</v>
      </c>
      <c r="I6966" t="str">
        <f t="shared" si="688"/>
        <v>06032681006</v>
      </c>
      <c r="K6966" t="str">
        <f>""</f>
        <v/>
      </c>
      <c r="M6966" t="s">
        <v>68</v>
      </c>
      <c r="N6966" t="str">
        <f t="shared" si="686"/>
        <v>FOR</v>
      </c>
      <c r="O6966" t="s">
        <v>69</v>
      </c>
      <c r="P6966" s="3" t="s">
        <v>75</v>
      </c>
      <c r="Q6966">
        <v>2015</v>
      </c>
      <c r="R6966" s="2">
        <v>42306</v>
      </c>
      <c r="S6966" s="2">
        <v>42310</v>
      </c>
      <c r="T6966" s="2">
        <v>42307</v>
      </c>
      <c r="U6966" s="2">
        <v>42367</v>
      </c>
      <c r="V6966" t="s">
        <v>71</v>
      </c>
      <c r="W6966" t="str">
        <f>"            25276559"</f>
        <v xml:space="preserve">            25276559</v>
      </c>
      <c r="X6966">
        <v>711.36</v>
      </c>
      <c r="Y6966">
        <v>0</v>
      </c>
      <c r="Z6966" s="3">
        <v>684</v>
      </c>
      <c r="AA6966">
        <v>280</v>
      </c>
      <c r="AB6966" s="5">
        <v>191520</v>
      </c>
      <c r="AC6966">
        <v>684</v>
      </c>
      <c r="AD6966">
        <v>280</v>
      </c>
      <c r="AE6966" s="1">
        <v>191520</v>
      </c>
      <c r="AF6966">
        <v>0</v>
      </c>
      <c r="AJ6966">
        <v>0</v>
      </c>
      <c r="AK6966">
        <v>0</v>
      </c>
      <c r="AL6966">
        <v>0</v>
      </c>
      <c r="AM6966">
        <v>0</v>
      </c>
      <c r="AN6966">
        <v>0</v>
      </c>
      <c r="AO6966">
        <v>0</v>
      </c>
      <c r="AP6966" s="2">
        <v>42746</v>
      </c>
      <c r="AQ6966" t="s">
        <v>72</v>
      </c>
      <c r="AR6966" t="s">
        <v>72</v>
      </c>
      <c r="AS6966">
        <v>2633</v>
      </c>
      <c r="AT6966" s="4">
        <v>42647</v>
      </c>
      <c r="AU6966" t="s">
        <v>73</v>
      </c>
      <c r="AV6966">
        <v>2633</v>
      </c>
      <c r="AW6966" s="4">
        <v>42647</v>
      </c>
      <c r="BD6966">
        <v>0</v>
      </c>
      <c r="BN6966" t="s">
        <v>74</v>
      </c>
    </row>
    <row r="6967" spans="1:66">
      <c r="A6967">
        <v>104093</v>
      </c>
      <c r="B6967" s="3" t="s">
        <v>609</v>
      </c>
      <c r="C6967" s="1">
        <v>43300101</v>
      </c>
      <c r="D6967" t="s">
        <v>67</v>
      </c>
      <c r="H6967" t="str">
        <f t="shared" si="687"/>
        <v>12572900152</v>
      </c>
      <c r="I6967" t="str">
        <f t="shared" si="688"/>
        <v>06032681006</v>
      </c>
      <c r="K6967" t="str">
        <f>""</f>
        <v/>
      </c>
      <c r="M6967" t="s">
        <v>68</v>
      </c>
      <c r="N6967" t="str">
        <f t="shared" si="686"/>
        <v>FOR</v>
      </c>
      <c r="O6967" t="s">
        <v>69</v>
      </c>
      <c r="P6967" s="3" t="s">
        <v>75</v>
      </c>
      <c r="Q6967">
        <v>2015</v>
      </c>
      <c r="R6967" s="2">
        <v>42318</v>
      </c>
      <c r="S6967" s="2">
        <v>42320</v>
      </c>
      <c r="T6967" s="2">
        <v>42319</v>
      </c>
      <c r="U6967" s="2">
        <v>42379</v>
      </c>
      <c r="V6967" t="s">
        <v>71</v>
      </c>
      <c r="W6967" t="str">
        <f>"            25278463"</f>
        <v xml:space="preserve">            25278463</v>
      </c>
      <c r="X6967">
        <v>252.72</v>
      </c>
      <c r="Y6967">
        <v>0</v>
      </c>
      <c r="Z6967" s="3">
        <v>243</v>
      </c>
      <c r="AA6967">
        <v>303</v>
      </c>
      <c r="AB6967" s="5">
        <v>73629</v>
      </c>
      <c r="AC6967">
        <v>243</v>
      </c>
      <c r="AD6967">
        <v>303</v>
      </c>
      <c r="AE6967" s="1">
        <v>73629</v>
      </c>
      <c r="AF6967">
        <v>0</v>
      </c>
      <c r="AJ6967">
        <v>0</v>
      </c>
      <c r="AK6967">
        <v>0</v>
      </c>
      <c r="AL6967">
        <v>0</v>
      </c>
      <c r="AM6967">
        <v>0</v>
      </c>
      <c r="AN6967">
        <v>0</v>
      </c>
      <c r="AO6967">
        <v>0</v>
      </c>
      <c r="AP6967" s="2">
        <v>42746</v>
      </c>
      <c r="AQ6967" t="s">
        <v>72</v>
      </c>
      <c r="AR6967" t="s">
        <v>72</v>
      </c>
      <c r="AS6967">
        <v>2963</v>
      </c>
      <c r="AT6967" s="4">
        <v>42682</v>
      </c>
      <c r="AU6967" t="s">
        <v>73</v>
      </c>
      <c r="AV6967">
        <v>2963</v>
      </c>
      <c r="AW6967" s="4">
        <v>42682</v>
      </c>
      <c r="BD6967">
        <v>0</v>
      </c>
      <c r="BN6967" t="s">
        <v>74</v>
      </c>
    </row>
    <row r="6968" spans="1:66">
      <c r="A6968">
        <v>104093</v>
      </c>
      <c r="B6968" s="3" t="s">
        <v>609</v>
      </c>
      <c r="C6968" s="1">
        <v>43300101</v>
      </c>
      <c r="D6968" t="s">
        <v>67</v>
      </c>
      <c r="H6968" t="str">
        <f t="shared" si="687"/>
        <v>12572900152</v>
      </c>
      <c r="I6968" t="str">
        <f t="shared" si="688"/>
        <v>06032681006</v>
      </c>
      <c r="K6968" t="str">
        <f>""</f>
        <v/>
      </c>
      <c r="M6968" t="s">
        <v>68</v>
      </c>
      <c r="N6968" t="str">
        <f t="shared" si="686"/>
        <v>FOR</v>
      </c>
      <c r="O6968" t="s">
        <v>69</v>
      </c>
      <c r="P6968" s="3" t="s">
        <v>75</v>
      </c>
      <c r="Q6968">
        <v>2015</v>
      </c>
      <c r="R6968" s="2">
        <v>42318</v>
      </c>
      <c r="S6968" s="2">
        <v>42320</v>
      </c>
      <c r="T6968" s="2">
        <v>42319</v>
      </c>
      <c r="U6968" s="2">
        <v>42379</v>
      </c>
      <c r="V6968" t="s">
        <v>71</v>
      </c>
      <c r="W6968" t="str">
        <f>"            25278465"</f>
        <v xml:space="preserve">            25278465</v>
      </c>
      <c r="X6968">
        <v>707.62</v>
      </c>
      <c r="Y6968">
        <v>0</v>
      </c>
      <c r="Z6968" s="3">
        <v>680.4</v>
      </c>
      <c r="AA6968">
        <v>303</v>
      </c>
      <c r="AB6968" s="5">
        <v>206161.2</v>
      </c>
      <c r="AC6968">
        <v>680.4</v>
      </c>
      <c r="AD6968">
        <v>303</v>
      </c>
      <c r="AE6968" s="1">
        <v>206161.2</v>
      </c>
      <c r="AF6968">
        <v>0</v>
      </c>
      <c r="AJ6968">
        <v>0</v>
      </c>
      <c r="AK6968">
        <v>0</v>
      </c>
      <c r="AL6968">
        <v>0</v>
      </c>
      <c r="AM6968">
        <v>0</v>
      </c>
      <c r="AN6968">
        <v>0</v>
      </c>
      <c r="AO6968">
        <v>0</v>
      </c>
      <c r="AP6968" s="2">
        <v>42746</v>
      </c>
      <c r="AQ6968" t="s">
        <v>72</v>
      </c>
      <c r="AR6968" t="s">
        <v>72</v>
      </c>
      <c r="AS6968">
        <v>2963</v>
      </c>
      <c r="AT6968" s="4">
        <v>42682</v>
      </c>
      <c r="AU6968" t="s">
        <v>73</v>
      </c>
      <c r="AV6968">
        <v>2963</v>
      </c>
      <c r="AW6968" s="4">
        <v>42682</v>
      </c>
      <c r="BD6968">
        <v>0</v>
      </c>
      <c r="BN6968" t="s">
        <v>74</v>
      </c>
    </row>
    <row r="6969" spans="1:66">
      <c r="A6969">
        <v>104093</v>
      </c>
      <c r="B6969" s="3" t="s">
        <v>609</v>
      </c>
      <c r="C6969" s="1">
        <v>43300101</v>
      </c>
      <c r="D6969" t="s">
        <v>67</v>
      </c>
      <c r="H6969" t="str">
        <f t="shared" si="687"/>
        <v>12572900152</v>
      </c>
      <c r="I6969" t="str">
        <f t="shared" si="688"/>
        <v>06032681006</v>
      </c>
      <c r="K6969" t="str">
        <f>""</f>
        <v/>
      </c>
      <c r="M6969" t="s">
        <v>68</v>
      </c>
      <c r="N6969" t="str">
        <f t="shared" si="686"/>
        <v>FOR</v>
      </c>
      <c r="O6969" t="s">
        <v>69</v>
      </c>
      <c r="P6969" s="3" t="s">
        <v>75</v>
      </c>
      <c r="Q6969">
        <v>2015</v>
      </c>
      <c r="R6969" s="2">
        <v>42318</v>
      </c>
      <c r="S6969" s="2">
        <v>42320</v>
      </c>
      <c r="T6969" s="2">
        <v>42319</v>
      </c>
      <c r="U6969" s="2">
        <v>42379</v>
      </c>
      <c r="V6969" t="s">
        <v>71</v>
      </c>
      <c r="W6969" t="str">
        <f>"            25278466"</f>
        <v xml:space="preserve">            25278466</v>
      </c>
      <c r="X6969">
        <v>74.88</v>
      </c>
      <c r="Y6969">
        <v>0</v>
      </c>
      <c r="Z6969" s="3">
        <v>72</v>
      </c>
      <c r="AA6969">
        <v>303</v>
      </c>
      <c r="AB6969" s="5">
        <v>21816</v>
      </c>
      <c r="AC6969">
        <v>72</v>
      </c>
      <c r="AD6969">
        <v>303</v>
      </c>
      <c r="AE6969" s="1">
        <v>21816</v>
      </c>
      <c r="AF6969">
        <v>0</v>
      </c>
      <c r="AJ6969">
        <v>0</v>
      </c>
      <c r="AK6969">
        <v>0</v>
      </c>
      <c r="AL6969">
        <v>0</v>
      </c>
      <c r="AM6969">
        <v>0</v>
      </c>
      <c r="AN6969">
        <v>0</v>
      </c>
      <c r="AO6969">
        <v>0</v>
      </c>
      <c r="AP6969" s="2">
        <v>42746</v>
      </c>
      <c r="AQ6969" t="s">
        <v>72</v>
      </c>
      <c r="AR6969" t="s">
        <v>72</v>
      </c>
      <c r="AS6969">
        <v>2963</v>
      </c>
      <c r="AT6969" s="4">
        <v>42682</v>
      </c>
      <c r="AU6969" t="s">
        <v>73</v>
      </c>
      <c r="AV6969">
        <v>2963</v>
      </c>
      <c r="AW6969" s="4">
        <v>42682</v>
      </c>
      <c r="BD6969">
        <v>0</v>
      </c>
      <c r="BN6969" t="s">
        <v>74</v>
      </c>
    </row>
    <row r="6970" spans="1:66">
      <c r="A6970">
        <v>104093</v>
      </c>
      <c r="B6970" s="3" t="s">
        <v>609</v>
      </c>
      <c r="C6970" s="1">
        <v>43300101</v>
      </c>
      <c r="D6970" t="s">
        <v>67</v>
      </c>
      <c r="H6970" t="str">
        <f t="shared" si="687"/>
        <v>12572900152</v>
      </c>
      <c r="I6970" t="str">
        <f t="shared" si="688"/>
        <v>06032681006</v>
      </c>
      <c r="K6970" t="str">
        <f>""</f>
        <v/>
      </c>
      <c r="M6970" t="s">
        <v>68</v>
      </c>
      <c r="N6970" t="str">
        <f t="shared" si="686"/>
        <v>FOR</v>
      </c>
      <c r="O6970" t="s">
        <v>69</v>
      </c>
      <c r="P6970" s="3" t="s">
        <v>75</v>
      </c>
      <c r="Q6970">
        <v>2015</v>
      </c>
      <c r="R6970" s="2">
        <v>42318</v>
      </c>
      <c r="S6970" s="2">
        <v>42320</v>
      </c>
      <c r="T6970" s="2">
        <v>42319</v>
      </c>
      <c r="U6970" s="2">
        <v>42379</v>
      </c>
      <c r="V6970" t="s">
        <v>71</v>
      </c>
      <c r="W6970" t="str">
        <f>"            25278468"</f>
        <v xml:space="preserve">            25278468</v>
      </c>
      <c r="X6970">
        <v>74.88</v>
      </c>
      <c r="Y6970">
        <v>0</v>
      </c>
      <c r="Z6970" s="3">
        <v>72</v>
      </c>
      <c r="AA6970">
        <v>303</v>
      </c>
      <c r="AB6970" s="5">
        <v>21816</v>
      </c>
      <c r="AC6970">
        <v>72</v>
      </c>
      <c r="AD6970">
        <v>303</v>
      </c>
      <c r="AE6970" s="1">
        <v>21816</v>
      </c>
      <c r="AF6970">
        <v>0</v>
      </c>
      <c r="AJ6970">
        <v>0</v>
      </c>
      <c r="AK6970">
        <v>0</v>
      </c>
      <c r="AL6970">
        <v>0</v>
      </c>
      <c r="AM6970">
        <v>0</v>
      </c>
      <c r="AN6970">
        <v>0</v>
      </c>
      <c r="AO6970">
        <v>0</v>
      </c>
      <c r="AP6970" s="2">
        <v>42746</v>
      </c>
      <c r="AQ6970" t="s">
        <v>72</v>
      </c>
      <c r="AR6970" t="s">
        <v>72</v>
      </c>
      <c r="AS6970">
        <v>2963</v>
      </c>
      <c r="AT6970" s="4">
        <v>42682</v>
      </c>
      <c r="AU6970" t="s">
        <v>73</v>
      </c>
      <c r="AV6970">
        <v>2963</v>
      </c>
      <c r="AW6970" s="4">
        <v>42682</v>
      </c>
      <c r="BD6970">
        <v>0</v>
      </c>
      <c r="BN6970" t="s">
        <v>74</v>
      </c>
    </row>
    <row r="6971" spans="1:66">
      <c r="A6971">
        <v>104093</v>
      </c>
      <c r="B6971" s="3" t="s">
        <v>609</v>
      </c>
      <c r="C6971" s="1">
        <v>43300101</v>
      </c>
      <c r="D6971" t="s">
        <v>67</v>
      </c>
      <c r="H6971" t="str">
        <f t="shared" si="687"/>
        <v>12572900152</v>
      </c>
      <c r="I6971" t="str">
        <f t="shared" si="688"/>
        <v>06032681006</v>
      </c>
      <c r="K6971" t="str">
        <f>""</f>
        <v/>
      </c>
      <c r="M6971" t="s">
        <v>68</v>
      </c>
      <c r="N6971" t="str">
        <f t="shared" si="686"/>
        <v>FOR</v>
      </c>
      <c r="O6971" t="s">
        <v>69</v>
      </c>
      <c r="P6971" s="3" t="s">
        <v>75</v>
      </c>
      <c r="Q6971">
        <v>2015</v>
      </c>
      <c r="R6971" s="2">
        <v>42318</v>
      </c>
      <c r="S6971" s="2">
        <v>42320</v>
      </c>
      <c r="T6971" s="2">
        <v>42319</v>
      </c>
      <c r="U6971" s="2">
        <v>42379</v>
      </c>
      <c r="V6971" t="s">
        <v>71</v>
      </c>
      <c r="W6971" t="str">
        <f>"            25278470"</f>
        <v xml:space="preserve">            25278470</v>
      </c>
      <c r="X6971">
        <v>252.72</v>
      </c>
      <c r="Y6971">
        <v>0</v>
      </c>
      <c r="Z6971" s="3">
        <v>243</v>
      </c>
      <c r="AA6971">
        <v>303</v>
      </c>
      <c r="AB6971" s="5">
        <v>73629</v>
      </c>
      <c r="AC6971">
        <v>243</v>
      </c>
      <c r="AD6971">
        <v>303</v>
      </c>
      <c r="AE6971" s="1">
        <v>73629</v>
      </c>
      <c r="AF6971">
        <v>0</v>
      </c>
      <c r="AJ6971">
        <v>0</v>
      </c>
      <c r="AK6971">
        <v>0</v>
      </c>
      <c r="AL6971">
        <v>0</v>
      </c>
      <c r="AM6971">
        <v>0</v>
      </c>
      <c r="AN6971">
        <v>0</v>
      </c>
      <c r="AO6971">
        <v>0</v>
      </c>
      <c r="AP6971" s="2">
        <v>42746</v>
      </c>
      <c r="AQ6971" t="s">
        <v>72</v>
      </c>
      <c r="AR6971" t="s">
        <v>72</v>
      </c>
      <c r="AS6971">
        <v>2963</v>
      </c>
      <c r="AT6971" s="4">
        <v>42682</v>
      </c>
      <c r="AU6971" t="s">
        <v>73</v>
      </c>
      <c r="AV6971">
        <v>2963</v>
      </c>
      <c r="AW6971" s="4">
        <v>42682</v>
      </c>
      <c r="BD6971">
        <v>0</v>
      </c>
      <c r="BN6971" t="s">
        <v>74</v>
      </c>
    </row>
    <row r="6972" spans="1:66">
      <c r="A6972">
        <v>104093</v>
      </c>
      <c r="B6972" s="3" t="s">
        <v>609</v>
      </c>
      <c r="C6972" s="1">
        <v>43300101</v>
      </c>
      <c r="D6972" t="s">
        <v>67</v>
      </c>
      <c r="H6972" t="str">
        <f t="shared" si="687"/>
        <v>12572900152</v>
      </c>
      <c r="I6972" t="str">
        <f t="shared" si="688"/>
        <v>06032681006</v>
      </c>
      <c r="K6972" t="str">
        <f>""</f>
        <v/>
      </c>
      <c r="M6972" t="s">
        <v>68</v>
      </c>
      <c r="N6972" t="str">
        <f t="shared" si="686"/>
        <v>FOR</v>
      </c>
      <c r="O6972" t="s">
        <v>69</v>
      </c>
      <c r="P6972" s="3" t="s">
        <v>75</v>
      </c>
      <c r="Q6972">
        <v>2015</v>
      </c>
      <c r="R6972" s="2">
        <v>42318</v>
      </c>
      <c r="S6972" s="2">
        <v>42320</v>
      </c>
      <c r="T6972" s="2">
        <v>42319</v>
      </c>
      <c r="U6972" s="2">
        <v>42379</v>
      </c>
      <c r="V6972" t="s">
        <v>71</v>
      </c>
      <c r="W6972" t="str">
        <f>"            25278471"</f>
        <v xml:space="preserve">            25278471</v>
      </c>
      <c r="X6972">
        <v>707.62</v>
      </c>
      <c r="Y6972">
        <v>0</v>
      </c>
      <c r="Z6972" s="3">
        <v>680.4</v>
      </c>
      <c r="AA6972">
        <v>303</v>
      </c>
      <c r="AB6972" s="5">
        <v>206161.2</v>
      </c>
      <c r="AC6972">
        <v>680.4</v>
      </c>
      <c r="AD6972">
        <v>303</v>
      </c>
      <c r="AE6972" s="1">
        <v>206161.2</v>
      </c>
      <c r="AF6972">
        <v>0</v>
      </c>
      <c r="AJ6972">
        <v>0</v>
      </c>
      <c r="AK6972">
        <v>0</v>
      </c>
      <c r="AL6972">
        <v>0</v>
      </c>
      <c r="AM6972">
        <v>0</v>
      </c>
      <c r="AN6972">
        <v>0</v>
      </c>
      <c r="AO6972">
        <v>0</v>
      </c>
      <c r="AP6972" s="2">
        <v>42746</v>
      </c>
      <c r="AQ6972" t="s">
        <v>72</v>
      </c>
      <c r="AR6972" t="s">
        <v>72</v>
      </c>
      <c r="AS6972">
        <v>2963</v>
      </c>
      <c r="AT6972" s="4">
        <v>42682</v>
      </c>
      <c r="AU6972" t="s">
        <v>73</v>
      </c>
      <c r="AV6972">
        <v>2963</v>
      </c>
      <c r="AW6972" s="4">
        <v>42682</v>
      </c>
      <c r="BD6972">
        <v>0</v>
      </c>
      <c r="BN6972" t="s">
        <v>74</v>
      </c>
    </row>
    <row r="6973" spans="1:66">
      <c r="A6973">
        <v>104093</v>
      </c>
      <c r="B6973" s="3" t="s">
        <v>609</v>
      </c>
      <c r="C6973" s="1">
        <v>43300101</v>
      </c>
      <c r="D6973" t="s">
        <v>67</v>
      </c>
      <c r="H6973" t="str">
        <f t="shared" si="687"/>
        <v>12572900152</v>
      </c>
      <c r="I6973" t="str">
        <f t="shared" si="688"/>
        <v>06032681006</v>
      </c>
      <c r="K6973" t="str">
        <f>""</f>
        <v/>
      </c>
      <c r="M6973" t="s">
        <v>68</v>
      </c>
      <c r="N6973" t="str">
        <f t="shared" si="686"/>
        <v>FOR</v>
      </c>
      <c r="O6973" t="s">
        <v>69</v>
      </c>
      <c r="P6973" s="3" t="s">
        <v>75</v>
      </c>
      <c r="Q6973">
        <v>2015</v>
      </c>
      <c r="R6973" s="2">
        <v>42318</v>
      </c>
      <c r="S6973" s="2">
        <v>42320</v>
      </c>
      <c r="T6973" s="2">
        <v>42319</v>
      </c>
      <c r="U6973" s="2">
        <v>42379</v>
      </c>
      <c r="V6973" t="s">
        <v>71</v>
      </c>
      <c r="W6973" t="str">
        <f>"            25278475"</f>
        <v xml:space="preserve">            25278475</v>
      </c>
      <c r="X6973">
        <v>74.88</v>
      </c>
      <c r="Y6973">
        <v>0</v>
      </c>
      <c r="Z6973" s="3">
        <v>72</v>
      </c>
      <c r="AA6973">
        <v>303</v>
      </c>
      <c r="AB6973" s="5">
        <v>21816</v>
      </c>
      <c r="AC6973">
        <v>72</v>
      </c>
      <c r="AD6973">
        <v>303</v>
      </c>
      <c r="AE6973" s="1">
        <v>21816</v>
      </c>
      <c r="AF6973">
        <v>0</v>
      </c>
      <c r="AJ6973">
        <v>0</v>
      </c>
      <c r="AK6973">
        <v>0</v>
      </c>
      <c r="AL6973">
        <v>0</v>
      </c>
      <c r="AM6973">
        <v>0</v>
      </c>
      <c r="AN6973">
        <v>0</v>
      </c>
      <c r="AO6973">
        <v>0</v>
      </c>
      <c r="AP6973" s="2">
        <v>42746</v>
      </c>
      <c r="AQ6973" t="s">
        <v>72</v>
      </c>
      <c r="AR6973" t="s">
        <v>72</v>
      </c>
      <c r="AS6973">
        <v>2963</v>
      </c>
      <c r="AT6973" s="4">
        <v>42682</v>
      </c>
      <c r="AU6973" t="s">
        <v>73</v>
      </c>
      <c r="AV6973">
        <v>2963</v>
      </c>
      <c r="AW6973" s="4">
        <v>42682</v>
      </c>
      <c r="BD6973">
        <v>0</v>
      </c>
      <c r="BN6973" t="s">
        <v>74</v>
      </c>
    </row>
    <row r="6974" spans="1:66">
      <c r="A6974">
        <v>104093</v>
      </c>
      <c r="B6974" s="3" t="s">
        <v>609</v>
      </c>
      <c r="C6974" s="1">
        <v>43300101</v>
      </c>
      <c r="D6974" t="s">
        <v>67</v>
      </c>
      <c r="H6974" t="str">
        <f t="shared" si="687"/>
        <v>12572900152</v>
      </c>
      <c r="I6974" t="str">
        <f t="shared" si="688"/>
        <v>06032681006</v>
      </c>
      <c r="K6974" t="str">
        <f>""</f>
        <v/>
      </c>
      <c r="M6974" t="s">
        <v>68</v>
      </c>
      <c r="N6974" t="str">
        <f t="shared" si="686"/>
        <v>FOR</v>
      </c>
      <c r="O6974" t="s">
        <v>69</v>
      </c>
      <c r="P6974" s="3" t="s">
        <v>75</v>
      </c>
      <c r="Q6974">
        <v>2015</v>
      </c>
      <c r="R6974" s="2">
        <v>42318</v>
      </c>
      <c r="S6974" s="2">
        <v>42320</v>
      </c>
      <c r="T6974" s="2">
        <v>42319</v>
      </c>
      <c r="U6974" s="2">
        <v>42379</v>
      </c>
      <c r="V6974" t="s">
        <v>71</v>
      </c>
      <c r="W6974" t="str">
        <f>"            25278476"</f>
        <v xml:space="preserve">            25278476</v>
      </c>
      <c r="X6974">
        <v>252.72</v>
      </c>
      <c r="Y6974">
        <v>0</v>
      </c>
      <c r="Z6974" s="3">
        <v>243</v>
      </c>
      <c r="AA6974">
        <v>303</v>
      </c>
      <c r="AB6974" s="5">
        <v>73629</v>
      </c>
      <c r="AC6974">
        <v>243</v>
      </c>
      <c r="AD6974">
        <v>303</v>
      </c>
      <c r="AE6974" s="1">
        <v>73629</v>
      </c>
      <c r="AF6974">
        <v>0</v>
      </c>
      <c r="AJ6974">
        <v>0</v>
      </c>
      <c r="AK6974">
        <v>0</v>
      </c>
      <c r="AL6974">
        <v>0</v>
      </c>
      <c r="AM6974">
        <v>0</v>
      </c>
      <c r="AN6974">
        <v>0</v>
      </c>
      <c r="AO6974">
        <v>0</v>
      </c>
      <c r="AP6974" s="2">
        <v>42746</v>
      </c>
      <c r="AQ6974" t="s">
        <v>72</v>
      </c>
      <c r="AR6974" t="s">
        <v>72</v>
      </c>
      <c r="AS6974">
        <v>2963</v>
      </c>
      <c r="AT6974" s="4">
        <v>42682</v>
      </c>
      <c r="AU6974" t="s">
        <v>73</v>
      </c>
      <c r="AV6974">
        <v>2963</v>
      </c>
      <c r="AW6974" s="4">
        <v>42682</v>
      </c>
      <c r="BD6974">
        <v>0</v>
      </c>
      <c r="BN6974" t="s">
        <v>74</v>
      </c>
    </row>
    <row r="6975" spans="1:66">
      <c r="A6975">
        <v>104093</v>
      </c>
      <c r="B6975" s="3" t="s">
        <v>609</v>
      </c>
      <c r="C6975" s="1">
        <v>43300101</v>
      </c>
      <c r="D6975" t="s">
        <v>67</v>
      </c>
      <c r="H6975" t="str">
        <f t="shared" si="687"/>
        <v>12572900152</v>
      </c>
      <c r="I6975" t="str">
        <f t="shared" si="688"/>
        <v>06032681006</v>
      </c>
      <c r="K6975" t="str">
        <f>""</f>
        <v/>
      </c>
      <c r="M6975" t="s">
        <v>68</v>
      </c>
      <c r="N6975" t="str">
        <f t="shared" si="686"/>
        <v>FOR</v>
      </c>
      <c r="O6975" t="s">
        <v>69</v>
      </c>
      <c r="P6975" s="3" t="s">
        <v>75</v>
      </c>
      <c r="Q6975">
        <v>2015</v>
      </c>
      <c r="R6975" s="2">
        <v>42318</v>
      </c>
      <c r="S6975" s="2">
        <v>42320</v>
      </c>
      <c r="T6975" s="2">
        <v>42319</v>
      </c>
      <c r="U6975" s="2">
        <v>42379</v>
      </c>
      <c r="V6975" t="s">
        <v>71</v>
      </c>
      <c r="W6975" t="str">
        <f>"            25278479"</f>
        <v xml:space="preserve">            25278479</v>
      </c>
      <c r="X6975">
        <v>707.62</v>
      </c>
      <c r="Y6975">
        <v>0</v>
      </c>
      <c r="Z6975" s="3">
        <v>680.4</v>
      </c>
      <c r="AA6975">
        <v>303</v>
      </c>
      <c r="AB6975" s="5">
        <v>206161.2</v>
      </c>
      <c r="AC6975">
        <v>680.4</v>
      </c>
      <c r="AD6975">
        <v>303</v>
      </c>
      <c r="AE6975" s="1">
        <v>206161.2</v>
      </c>
      <c r="AF6975">
        <v>0</v>
      </c>
      <c r="AJ6975">
        <v>0</v>
      </c>
      <c r="AK6975">
        <v>0</v>
      </c>
      <c r="AL6975">
        <v>0</v>
      </c>
      <c r="AM6975">
        <v>0</v>
      </c>
      <c r="AN6975">
        <v>0</v>
      </c>
      <c r="AO6975">
        <v>0</v>
      </c>
      <c r="AP6975" s="2">
        <v>42746</v>
      </c>
      <c r="AQ6975" t="s">
        <v>72</v>
      </c>
      <c r="AR6975" t="s">
        <v>72</v>
      </c>
      <c r="AS6975">
        <v>2963</v>
      </c>
      <c r="AT6975" s="4">
        <v>42682</v>
      </c>
      <c r="AU6975" t="s">
        <v>73</v>
      </c>
      <c r="AV6975">
        <v>2963</v>
      </c>
      <c r="AW6975" s="4">
        <v>42682</v>
      </c>
      <c r="BD6975">
        <v>0</v>
      </c>
      <c r="BN6975" t="s">
        <v>74</v>
      </c>
    </row>
    <row r="6976" spans="1:66">
      <c r="A6976">
        <v>104093</v>
      </c>
      <c r="B6976" s="3" t="s">
        <v>609</v>
      </c>
      <c r="C6976" s="1">
        <v>43300101</v>
      </c>
      <c r="D6976" t="s">
        <v>67</v>
      </c>
      <c r="H6976" t="str">
        <f t="shared" si="687"/>
        <v>12572900152</v>
      </c>
      <c r="I6976" t="str">
        <f t="shared" si="688"/>
        <v>06032681006</v>
      </c>
      <c r="K6976" t="str">
        <f>""</f>
        <v/>
      </c>
      <c r="M6976" t="s">
        <v>68</v>
      </c>
      <c r="N6976" t="str">
        <f t="shared" ref="N6976:N7039" si="689">"FOR"</f>
        <v>FOR</v>
      </c>
      <c r="O6976" t="s">
        <v>69</v>
      </c>
      <c r="P6976" s="3" t="s">
        <v>75</v>
      </c>
      <c r="Q6976">
        <v>2015</v>
      </c>
      <c r="R6976" s="2">
        <v>42319</v>
      </c>
      <c r="S6976" s="2">
        <v>42324</v>
      </c>
      <c r="T6976" s="2">
        <v>42320</v>
      </c>
      <c r="U6976" s="2">
        <v>42380</v>
      </c>
      <c r="V6976" t="s">
        <v>71</v>
      </c>
      <c r="W6976" t="str">
        <f>"            25278859"</f>
        <v xml:space="preserve">            25278859</v>
      </c>
      <c r="X6976">
        <v>474.24</v>
      </c>
      <c r="Y6976">
        <v>0</v>
      </c>
      <c r="Z6976" s="3">
        <v>456</v>
      </c>
      <c r="AA6976">
        <v>302</v>
      </c>
      <c r="AB6976" s="5">
        <v>137712</v>
      </c>
      <c r="AC6976">
        <v>456</v>
      </c>
      <c r="AD6976">
        <v>302</v>
      </c>
      <c r="AE6976" s="1">
        <v>137712</v>
      </c>
      <c r="AF6976">
        <v>0</v>
      </c>
      <c r="AJ6976">
        <v>0</v>
      </c>
      <c r="AK6976">
        <v>0</v>
      </c>
      <c r="AL6976">
        <v>0</v>
      </c>
      <c r="AM6976">
        <v>0</v>
      </c>
      <c r="AN6976">
        <v>0</v>
      </c>
      <c r="AO6976">
        <v>0</v>
      </c>
      <c r="AP6976" s="2">
        <v>42746</v>
      </c>
      <c r="AQ6976" t="s">
        <v>72</v>
      </c>
      <c r="AR6976" t="s">
        <v>72</v>
      </c>
      <c r="AS6976">
        <v>2963</v>
      </c>
      <c r="AT6976" s="4">
        <v>42682</v>
      </c>
      <c r="AU6976" t="s">
        <v>73</v>
      </c>
      <c r="AV6976">
        <v>2963</v>
      </c>
      <c r="AW6976" s="4">
        <v>42682</v>
      </c>
      <c r="BD6976">
        <v>0</v>
      </c>
      <c r="BN6976" t="s">
        <v>74</v>
      </c>
    </row>
    <row r="6977" spans="1:66">
      <c r="A6977">
        <v>104093</v>
      </c>
      <c r="B6977" s="3" t="s">
        <v>609</v>
      </c>
      <c r="C6977" s="1">
        <v>43300101</v>
      </c>
      <c r="D6977" t="s">
        <v>67</v>
      </c>
      <c r="H6977" t="str">
        <f t="shared" si="687"/>
        <v>12572900152</v>
      </c>
      <c r="I6977" t="str">
        <f t="shared" si="688"/>
        <v>06032681006</v>
      </c>
      <c r="K6977" t="str">
        <f>""</f>
        <v/>
      </c>
      <c r="M6977" t="s">
        <v>68</v>
      </c>
      <c r="N6977" t="str">
        <f t="shared" si="689"/>
        <v>FOR</v>
      </c>
      <c r="O6977" t="s">
        <v>69</v>
      </c>
      <c r="P6977" s="3" t="s">
        <v>75</v>
      </c>
      <c r="Q6977">
        <v>2015</v>
      </c>
      <c r="R6977" s="2">
        <v>42321</v>
      </c>
      <c r="S6977" s="2">
        <v>42326</v>
      </c>
      <c r="T6977" s="2">
        <v>42324</v>
      </c>
      <c r="U6977" s="2">
        <v>42384</v>
      </c>
      <c r="V6977" t="s">
        <v>71</v>
      </c>
      <c r="W6977" t="str">
        <f>"            25279306"</f>
        <v xml:space="preserve">            25279306</v>
      </c>
      <c r="X6977">
        <v>707.62</v>
      </c>
      <c r="Y6977">
        <v>0</v>
      </c>
      <c r="Z6977" s="3">
        <v>680.4</v>
      </c>
      <c r="AA6977">
        <v>298</v>
      </c>
      <c r="AB6977" s="5">
        <v>202759.2</v>
      </c>
      <c r="AC6977">
        <v>680.4</v>
      </c>
      <c r="AD6977">
        <v>298</v>
      </c>
      <c r="AE6977" s="1">
        <v>202759.2</v>
      </c>
      <c r="AF6977">
        <v>0</v>
      </c>
      <c r="AJ6977">
        <v>0</v>
      </c>
      <c r="AK6977">
        <v>0</v>
      </c>
      <c r="AL6977">
        <v>0</v>
      </c>
      <c r="AM6977">
        <v>0</v>
      </c>
      <c r="AN6977">
        <v>0</v>
      </c>
      <c r="AO6977">
        <v>0</v>
      </c>
      <c r="AP6977" s="2">
        <v>42746</v>
      </c>
      <c r="AQ6977" t="s">
        <v>72</v>
      </c>
      <c r="AR6977" t="s">
        <v>72</v>
      </c>
      <c r="AS6977">
        <v>2963</v>
      </c>
      <c r="AT6977" s="4">
        <v>42682</v>
      </c>
      <c r="AU6977" t="s">
        <v>73</v>
      </c>
      <c r="AV6977">
        <v>2963</v>
      </c>
      <c r="AW6977" s="4">
        <v>42682</v>
      </c>
      <c r="BD6977">
        <v>0</v>
      </c>
      <c r="BN6977" t="s">
        <v>74</v>
      </c>
    </row>
    <row r="6978" spans="1:66">
      <c r="A6978">
        <v>104093</v>
      </c>
      <c r="B6978" s="3" t="s">
        <v>609</v>
      </c>
      <c r="C6978" s="1">
        <v>43300101</v>
      </c>
      <c r="D6978" t="s">
        <v>67</v>
      </c>
      <c r="H6978" t="str">
        <f t="shared" si="687"/>
        <v>12572900152</v>
      </c>
      <c r="I6978" t="str">
        <f t="shared" si="688"/>
        <v>06032681006</v>
      </c>
      <c r="K6978" t="str">
        <f>""</f>
        <v/>
      </c>
      <c r="M6978" t="s">
        <v>68</v>
      </c>
      <c r="N6978" t="str">
        <f t="shared" si="689"/>
        <v>FOR</v>
      </c>
      <c r="O6978" t="s">
        <v>69</v>
      </c>
      <c r="P6978" s="3" t="s">
        <v>75</v>
      </c>
      <c r="Q6978">
        <v>2015</v>
      </c>
      <c r="R6978" s="2">
        <v>42321</v>
      </c>
      <c r="S6978" s="2">
        <v>42326</v>
      </c>
      <c r="T6978" s="2">
        <v>42324</v>
      </c>
      <c r="U6978" s="2">
        <v>42384</v>
      </c>
      <c r="V6978" t="s">
        <v>71</v>
      </c>
      <c r="W6978" t="str">
        <f>"            25279307"</f>
        <v xml:space="preserve">            25279307</v>
      </c>
      <c r="X6978">
        <v>252.72</v>
      </c>
      <c r="Y6978">
        <v>0</v>
      </c>
      <c r="Z6978" s="3">
        <v>243</v>
      </c>
      <c r="AA6978">
        <v>298</v>
      </c>
      <c r="AB6978" s="5">
        <v>72414</v>
      </c>
      <c r="AC6978">
        <v>243</v>
      </c>
      <c r="AD6978">
        <v>298</v>
      </c>
      <c r="AE6978" s="1">
        <v>72414</v>
      </c>
      <c r="AF6978">
        <v>0</v>
      </c>
      <c r="AJ6978">
        <v>0</v>
      </c>
      <c r="AK6978">
        <v>0</v>
      </c>
      <c r="AL6978">
        <v>0</v>
      </c>
      <c r="AM6978">
        <v>0</v>
      </c>
      <c r="AN6978">
        <v>0</v>
      </c>
      <c r="AO6978">
        <v>0</v>
      </c>
      <c r="AP6978" s="2">
        <v>42746</v>
      </c>
      <c r="AQ6978" t="s">
        <v>72</v>
      </c>
      <c r="AR6978" t="s">
        <v>72</v>
      </c>
      <c r="AS6978">
        <v>2963</v>
      </c>
      <c r="AT6978" s="4">
        <v>42682</v>
      </c>
      <c r="AU6978" t="s">
        <v>73</v>
      </c>
      <c r="AV6978">
        <v>2963</v>
      </c>
      <c r="AW6978" s="4">
        <v>42682</v>
      </c>
      <c r="BD6978">
        <v>0</v>
      </c>
      <c r="BN6978" t="s">
        <v>74</v>
      </c>
    </row>
    <row r="6979" spans="1:66">
      <c r="A6979">
        <v>104093</v>
      </c>
      <c r="B6979" s="3" t="s">
        <v>609</v>
      </c>
      <c r="C6979" s="1">
        <v>43300101</v>
      </c>
      <c r="D6979" t="s">
        <v>67</v>
      </c>
      <c r="H6979" t="str">
        <f t="shared" ref="H6979:H7042" si="690">"12572900152"</f>
        <v>12572900152</v>
      </c>
      <c r="I6979" t="str">
        <f t="shared" ref="I6979:I7042" si="691">"06032681006"</f>
        <v>06032681006</v>
      </c>
      <c r="K6979" t="str">
        <f>""</f>
        <v/>
      </c>
      <c r="M6979" t="s">
        <v>68</v>
      </c>
      <c r="N6979" t="str">
        <f t="shared" si="689"/>
        <v>FOR</v>
      </c>
      <c r="O6979" t="s">
        <v>69</v>
      </c>
      <c r="P6979" s="3" t="s">
        <v>75</v>
      </c>
      <c r="Q6979">
        <v>2015</v>
      </c>
      <c r="R6979" s="2">
        <v>42321</v>
      </c>
      <c r="S6979" s="2">
        <v>42326</v>
      </c>
      <c r="T6979" s="2">
        <v>42324</v>
      </c>
      <c r="U6979" s="2">
        <v>42384</v>
      </c>
      <c r="V6979" t="s">
        <v>71</v>
      </c>
      <c r="W6979" t="str">
        <f>"            25279308"</f>
        <v xml:space="preserve">            25279308</v>
      </c>
      <c r="X6979">
        <v>74.88</v>
      </c>
      <c r="Y6979">
        <v>0</v>
      </c>
      <c r="Z6979" s="3">
        <v>72</v>
      </c>
      <c r="AA6979">
        <v>298</v>
      </c>
      <c r="AB6979" s="5">
        <v>21456</v>
      </c>
      <c r="AC6979">
        <v>72</v>
      </c>
      <c r="AD6979">
        <v>298</v>
      </c>
      <c r="AE6979" s="1">
        <v>21456</v>
      </c>
      <c r="AF6979">
        <v>0</v>
      </c>
      <c r="AJ6979">
        <v>0</v>
      </c>
      <c r="AK6979">
        <v>0</v>
      </c>
      <c r="AL6979">
        <v>0</v>
      </c>
      <c r="AM6979">
        <v>0</v>
      </c>
      <c r="AN6979">
        <v>0</v>
      </c>
      <c r="AO6979">
        <v>0</v>
      </c>
      <c r="AP6979" s="2">
        <v>42746</v>
      </c>
      <c r="AQ6979" t="s">
        <v>72</v>
      </c>
      <c r="AR6979" t="s">
        <v>72</v>
      </c>
      <c r="AS6979">
        <v>2963</v>
      </c>
      <c r="AT6979" s="4">
        <v>42682</v>
      </c>
      <c r="AU6979" t="s">
        <v>73</v>
      </c>
      <c r="AV6979">
        <v>2963</v>
      </c>
      <c r="AW6979" s="4">
        <v>42682</v>
      </c>
      <c r="BD6979">
        <v>0</v>
      </c>
      <c r="BN6979" t="s">
        <v>74</v>
      </c>
    </row>
    <row r="6980" spans="1:66">
      <c r="A6980">
        <v>104093</v>
      </c>
      <c r="B6980" s="3" t="s">
        <v>609</v>
      </c>
      <c r="C6980" s="1">
        <v>43300101</v>
      </c>
      <c r="D6980" t="s">
        <v>67</v>
      </c>
      <c r="H6980" t="str">
        <f t="shared" si="690"/>
        <v>12572900152</v>
      </c>
      <c r="I6980" t="str">
        <f t="shared" si="691"/>
        <v>06032681006</v>
      </c>
      <c r="K6980" t="str">
        <f>""</f>
        <v/>
      </c>
      <c r="M6980" t="s">
        <v>68</v>
      </c>
      <c r="N6980" t="str">
        <f t="shared" si="689"/>
        <v>FOR</v>
      </c>
      <c r="O6980" t="s">
        <v>69</v>
      </c>
      <c r="P6980" s="3" t="s">
        <v>75</v>
      </c>
      <c r="Q6980">
        <v>2015</v>
      </c>
      <c r="R6980" s="2">
        <v>42321</v>
      </c>
      <c r="S6980" s="2">
        <v>42326</v>
      </c>
      <c r="T6980" s="2">
        <v>42324</v>
      </c>
      <c r="U6980" s="2">
        <v>42384</v>
      </c>
      <c r="V6980" t="s">
        <v>71</v>
      </c>
      <c r="W6980" t="str">
        <f>"            25279309"</f>
        <v xml:space="preserve">            25279309</v>
      </c>
      <c r="X6980">
        <v>252.72</v>
      </c>
      <c r="Y6980">
        <v>0</v>
      </c>
      <c r="Z6980" s="3">
        <v>243</v>
      </c>
      <c r="AA6980">
        <v>298</v>
      </c>
      <c r="AB6980" s="5">
        <v>72414</v>
      </c>
      <c r="AC6980">
        <v>243</v>
      </c>
      <c r="AD6980">
        <v>298</v>
      </c>
      <c r="AE6980" s="1">
        <v>72414</v>
      </c>
      <c r="AF6980">
        <v>0</v>
      </c>
      <c r="AJ6980">
        <v>0</v>
      </c>
      <c r="AK6980">
        <v>0</v>
      </c>
      <c r="AL6980">
        <v>0</v>
      </c>
      <c r="AM6980">
        <v>0</v>
      </c>
      <c r="AN6980">
        <v>0</v>
      </c>
      <c r="AO6980">
        <v>0</v>
      </c>
      <c r="AP6980" s="2">
        <v>42746</v>
      </c>
      <c r="AQ6980" t="s">
        <v>72</v>
      </c>
      <c r="AR6980" t="s">
        <v>72</v>
      </c>
      <c r="AS6980">
        <v>2963</v>
      </c>
      <c r="AT6980" s="4">
        <v>42682</v>
      </c>
      <c r="AU6980" t="s">
        <v>73</v>
      </c>
      <c r="AV6980">
        <v>2963</v>
      </c>
      <c r="AW6980" s="4">
        <v>42682</v>
      </c>
      <c r="BD6980">
        <v>0</v>
      </c>
      <c r="BN6980" t="s">
        <v>74</v>
      </c>
    </row>
    <row r="6981" spans="1:66">
      <c r="A6981">
        <v>104093</v>
      </c>
      <c r="B6981" s="3" t="s">
        <v>609</v>
      </c>
      <c r="C6981" s="1">
        <v>43300101</v>
      </c>
      <c r="D6981" t="s">
        <v>67</v>
      </c>
      <c r="H6981" t="str">
        <f t="shared" si="690"/>
        <v>12572900152</v>
      </c>
      <c r="I6981" t="str">
        <f t="shared" si="691"/>
        <v>06032681006</v>
      </c>
      <c r="K6981" t="str">
        <f>""</f>
        <v/>
      </c>
      <c r="M6981" t="s">
        <v>68</v>
      </c>
      <c r="N6981" t="str">
        <f t="shared" si="689"/>
        <v>FOR</v>
      </c>
      <c r="O6981" t="s">
        <v>69</v>
      </c>
      <c r="P6981" s="3" t="s">
        <v>75</v>
      </c>
      <c r="Q6981">
        <v>2015</v>
      </c>
      <c r="R6981" s="2">
        <v>42321</v>
      </c>
      <c r="S6981" s="2">
        <v>42326</v>
      </c>
      <c r="T6981" s="2">
        <v>42324</v>
      </c>
      <c r="U6981" s="2">
        <v>42384</v>
      </c>
      <c r="V6981" t="s">
        <v>71</v>
      </c>
      <c r="W6981" t="str">
        <f>"            25279310"</f>
        <v xml:space="preserve">            25279310</v>
      </c>
      <c r="X6981">
        <v>707.62</v>
      </c>
      <c r="Y6981">
        <v>0</v>
      </c>
      <c r="Z6981" s="3">
        <v>680.4</v>
      </c>
      <c r="AA6981">
        <v>298</v>
      </c>
      <c r="AB6981" s="5">
        <v>202759.2</v>
      </c>
      <c r="AC6981">
        <v>680.4</v>
      </c>
      <c r="AD6981">
        <v>298</v>
      </c>
      <c r="AE6981" s="1">
        <v>202759.2</v>
      </c>
      <c r="AF6981">
        <v>0</v>
      </c>
      <c r="AJ6981">
        <v>0</v>
      </c>
      <c r="AK6981">
        <v>0</v>
      </c>
      <c r="AL6981">
        <v>0</v>
      </c>
      <c r="AM6981">
        <v>0</v>
      </c>
      <c r="AN6981">
        <v>0</v>
      </c>
      <c r="AO6981">
        <v>0</v>
      </c>
      <c r="AP6981" s="2">
        <v>42746</v>
      </c>
      <c r="AQ6981" t="s">
        <v>72</v>
      </c>
      <c r="AR6981" t="s">
        <v>72</v>
      </c>
      <c r="AS6981">
        <v>2963</v>
      </c>
      <c r="AT6981" s="4">
        <v>42682</v>
      </c>
      <c r="AU6981" t="s">
        <v>73</v>
      </c>
      <c r="AV6981">
        <v>2963</v>
      </c>
      <c r="AW6981" s="4">
        <v>42682</v>
      </c>
      <c r="BD6981">
        <v>0</v>
      </c>
      <c r="BN6981" t="s">
        <v>74</v>
      </c>
    </row>
    <row r="6982" spans="1:66">
      <c r="A6982">
        <v>104093</v>
      </c>
      <c r="B6982" s="3" t="s">
        <v>609</v>
      </c>
      <c r="C6982" s="1">
        <v>43300101</v>
      </c>
      <c r="D6982" t="s">
        <v>67</v>
      </c>
      <c r="H6982" t="str">
        <f t="shared" si="690"/>
        <v>12572900152</v>
      </c>
      <c r="I6982" t="str">
        <f t="shared" si="691"/>
        <v>06032681006</v>
      </c>
      <c r="K6982" t="str">
        <f>""</f>
        <v/>
      </c>
      <c r="M6982" t="s">
        <v>68</v>
      </c>
      <c r="N6982" t="str">
        <f t="shared" si="689"/>
        <v>FOR</v>
      </c>
      <c r="O6982" t="s">
        <v>69</v>
      </c>
      <c r="P6982" s="3" t="s">
        <v>75</v>
      </c>
      <c r="Q6982">
        <v>2015</v>
      </c>
      <c r="R6982" s="2">
        <v>42321</v>
      </c>
      <c r="S6982" s="2">
        <v>42326</v>
      </c>
      <c r="T6982" s="2">
        <v>42324</v>
      </c>
      <c r="U6982" s="2">
        <v>42384</v>
      </c>
      <c r="V6982" t="s">
        <v>71</v>
      </c>
      <c r="W6982" t="str">
        <f>"            25279311"</f>
        <v xml:space="preserve">            25279311</v>
      </c>
      <c r="X6982">
        <v>74.88</v>
      </c>
      <c r="Y6982">
        <v>0</v>
      </c>
      <c r="Z6982" s="3">
        <v>72</v>
      </c>
      <c r="AA6982">
        <v>298</v>
      </c>
      <c r="AB6982" s="5">
        <v>21456</v>
      </c>
      <c r="AC6982">
        <v>72</v>
      </c>
      <c r="AD6982">
        <v>298</v>
      </c>
      <c r="AE6982" s="1">
        <v>21456</v>
      </c>
      <c r="AF6982">
        <v>0</v>
      </c>
      <c r="AJ6982">
        <v>0</v>
      </c>
      <c r="AK6982">
        <v>0</v>
      </c>
      <c r="AL6982">
        <v>0</v>
      </c>
      <c r="AM6982">
        <v>0</v>
      </c>
      <c r="AN6982">
        <v>0</v>
      </c>
      <c r="AO6982">
        <v>0</v>
      </c>
      <c r="AP6982" s="2">
        <v>42746</v>
      </c>
      <c r="AQ6982" t="s">
        <v>72</v>
      </c>
      <c r="AR6982" t="s">
        <v>72</v>
      </c>
      <c r="AS6982">
        <v>2963</v>
      </c>
      <c r="AT6982" s="4">
        <v>42682</v>
      </c>
      <c r="AU6982" t="s">
        <v>73</v>
      </c>
      <c r="AV6982">
        <v>2963</v>
      </c>
      <c r="AW6982" s="4">
        <v>42682</v>
      </c>
      <c r="BD6982">
        <v>0</v>
      </c>
      <c r="BN6982" t="s">
        <v>74</v>
      </c>
    </row>
    <row r="6983" spans="1:66">
      <c r="A6983">
        <v>104093</v>
      </c>
      <c r="B6983" s="3" t="s">
        <v>609</v>
      </c>
      <c r="C6983" s="1">
        <v>43300101</v>
      </c>
      <c r="D6983" t="s">
        <v>67</v>
      </c>
      <c r="H6983" t="str">
        <f t="shared" si="690"/>
        <v>12572900152</v>
      </c>
      <c r="I6983" t="str">
        <f t="shared" si="691"/>
        <v>06032681006</v>
      </c>
      <c r="K6983" t="str">
        <f>""</f>
        <v/>
      </c>
      <c r="M6983" t="s">
        <v>68</v>
      </c>
      <c r="N6983" t="str">
        <f t="shared" si="689"/>
        <v>FOR</v>
      </c>
      <c r="O6983" t="s">
        <v>69</v>
      </c>
      <c r="P6983" s="3" t="s">
        <v>75</v>
      </c>
      <c r="Q6983">
        <v>2015</v>
      </c>
      <c r="R6983" s="2">
        <v>42321</v>
      </c>
      <c r="S6983" s="2">
        <v>42326</v>
      </c>
      <c r="T6983" s="2">
        <v>42324</v>
      </c>
      <c r="U6983" s="2">
        <v>42384</v>
      </c>
      <c r="V6983" t="s">
        <v>71</v>
      </c>
      <c r="W6983" t="str">
        <f>"            25279357"</f>
        <v xml:space="preserve">            25279357</v>
      </c>
      <c r="X6983">
        <v>936</v>
      </c>
      <c r="Y6983">
        <v>0</v>
      </c>
      <c r="Z6983" s="3">
        <v>900</v>
      </c>
      <c r="AA6983">
        <v>298</v>
      </c>
      <c r="AB6983" s="5">
        <v>268200</v>
      </c>
      <c r="AC6983">
        <v>900</v>
      </c>
      <c r="AD6983">
        <v>298</v>
      </c>
      <c r="AE6983" s="1">
        <v>268200</v>
      </c>
      <c r="AF6983">
        <v>0</v>
      </c>
      <c r="AJ6983">
        <v>0</v>
      </c>
      <c r="AK6983">
        <v>0</v>
      </c>
      <c r="AL6983">
        <v>0</v>
      </c>
      <c r="AM6983">
        <v>0</v>
      </c>
      <c r="AN6983">
        <v>0</v>
      </c>
      <c r="AO6983">
        <v>0</v>
      </c>
      <c r="AP6983" s="2">
        <v>42746</v>
      </c>
      <c r="AQ6983" t="s">
        <v>72</v>
      </c>
      <c r="AR6983" t="s">
        <v>72</v>
      </c>
      <c r="AS6983">
        <v>2963</v>
      </c>
      <c r="AT6983" s="4">
        <v>42682</v>
      </c>
      <c r="AU6983" t="s">
        <v>73</v>
      </c>
      <c r="AV6983">
        <v>2963</v>
      </c>
      <c r="AW6983" s="4">
        <v>42682</v>
      </c>
      <c r="BD6983">
        <v>0</v>
      </c>
      <c r="BN6983" t="s">
        <v>74</v>
      </c>
    </row>
    <row r="6984" spans="1:66">
      <c r="A6984">
        <v>104093</v>
      </c>
      <c r="B6984" s="3" t="s">
        <v>609</v>
      </c>
      <c r="C6984" s="1">
        <v>43300101</v>
      </c>
      <c r="D6984" t="s">
        <v>67</v>
      </c>
      <c r="H6984" t="str">
        <f t="shared" si="690"/>
        <v>12572900152</v>
      </c>
      <c r="I6984" t="str">
        <f t="shared" si="691"/>
        <v>06032681006</v>
      </c>
      <c r="K6984" t="str">
        <f>""</f>
        <v/>
      </c>
      <c r="M6984" t="s">
        <v>68</v>
      </c>
      <c r="N6984" t="str">
        <f t="shared" si="689"/>
        <v>FOR</v>
      </c>
      <c r="O6984" t="s">
        <v>69</v>
      </c>
      <c r="P6984" s="3" t="s">
        <v>75</v>
      </c>
      <c r="Q6984">
        <v>2015</v>
      </c>
      <c r="R6984" s="2">
        <v>42321</v>
      </c>
      <c r="S6984" s="2">
        <v>42326</v>
      </c>
      <c r="T6984" s="2">
        <v>42324</v>
      </c>
      <c r="U6984" s="2">
        <v>42384</v>
      </c>
      <c r="V6984" t="s">
        <v>71</v>
      </c>
      <c r="W6984" t="str">
        <f>"            25279361"</f>
        <v xml:space="preserve">            25279361</v>
      </c>
      <c r="X6984">
        <v>936</v>
      </c>
      <c r="Y6984">
        <v>0</v>
      </c>
      <c r="Z6984" s="3">
        <v>900</v>
      </c>
      <c r="AA6984">
        <v>298</v>
      </c>
      <c r="AB6984" s="5">
        <v>268200</v>
      </c>
      <c r="AC6984">
        <v>900</v>
      </c>
      <c r="AD6984">
        <v>298</v>
      </c>
      <c r="AE6984" s="1">
        <v>268200</v>
      </c>
      <c r="AF6984">
        <v>0</v>
      </c>
      <c r="AJ6984">
        <v>0</v>
      </c>
      <c r="AK6984">
        <v>0</v>
      </c>
      <c r="AL6984">
        <v>0</v>
      </c>
      <c r="AM6984">
        <v>0</v>
      </c>
      <c r="AN6984">
        <v>0</v>
      </c>
      <c r="AO6984">
        <v>0</v>
      </c>
      <c r="AP6984" s="2">
        <v>42746</v>
      </c>
      <c r="AQ6984" t="s">
        <v>72</v>
      </c>
      <c r="AR6984" t="s">
        <v>72</v>
      </c>
      <c r="AS6984">
        <v>2963</v>
      </c>
      <c r="AT6984" s="4">
        <v>42682</v>
      </c>
      <c r="AU6984" t="s">
        <v>73</v>
      </c>
      <c r="AV6984">
        <v>2963</v>
      </c>
      <c r="AW6984" s="4">
        <v>42682</v>
      </c>
      <c r="BD6984">
        <v>0</v>
      </c>
      <c r="BN6984" t="s">
        <v>74</v>
      </c>
    </row>
    <row r="6985" spans="1:66">
      <c r="A6985">
        <v>104093</v>
      </c>
      <c r="B6985" s="3" t="s">
        <v>609</v>
      </c>
      <c r="C6985" s="1">
        <v>43300101</v>
      </c>
      <c r="D6985" t="s">
        <v>67</v>
      </c>
      <c r="H6985" t="str">
        <f t="shared" si="690"/>
        <v>12572900152</v>
      </c>
      <c r="I6985" t="str">
        <f t="shared" si="691"/>
        <v>06032681006</v>
      </c>
      <c r="K6985" t="str">
        <f>""</f>
        <v/>
      </c>
      <c r="M6985" t="s">
        <v>68</v>
      </c>
      <c r="N6985" t="str">
        <f t="shared" si="689"/>
        <v>FOR</v>
      </c>
      <c r="O6985" t="s">
        <v>69</v>
      </c>
      <c r="P6985" s="3" t="s">
        <v>75</v>
      </c>
      <c r="Q6985">
        <v>2015</v>
      </c>
      <c r="R6985" s="2">
        <v>42321</v>
      </c>
      <c r="S6985" s="2">
        <v>42326</v>
      </c>
      <c r="T6985" s="2">
        <v>42324</v>
      </c>
      <c r="U6985" s="2">
        <v>42384</v>
      </c>
      <c r="V6985" t="s">
        <v>71</v>
      </c>
      <c r="W6985" t="str">
        <f>"            25279363"</f>
        <v xml:space="preserve">            25279363</v>
      </c>
      <c r="X6985">
        <v>936</v>
      </c>
      <c r="Y6985">
        <v>0</v>
      </c>
      <c r="Z6985" s="3">
        <v>900</v>
      </c>
      <c r="AA6985">
        <v>298</v>
      </c>
      <c r="AB6985" s="5">
        <v>268200</v>
      </c>
      <c r="AC6985">
        <v>900</v>
      </c>
      <c r="AD6985">
        <v>298</v>
      </c>
      <c r="AE6985" s="1">
        <v>268200</v>
      </c>
      <c r="AF6985">
        <v>0</v>
      </c>
      <c r="AJ6985">
        <v>0</v>
      </c>
      <c r="AK6985">
        <v>0</v>
      </c>
      <c r="AL6985">
        <v>0</v>
      </c>
      <c r="AM6985">
        <v>0</v>
      </c>
      <c r="AN6985">
        <v>0</v>
      </c>
      <c r="AO6985">
        <v>0</v>
      </c>
      <c r="AP6985" s="2">
        <v>42746</v>
      </c>
      <c r="AQ6985" t="s">
        <v>72</v>
      </c>
      <c r="AR6985" t="s">
        <v>72</v>
      </c>
      <c r="AS6985">
        <v>2963</v>
      </c>
      <c r="AT6985" s="4">
        <v>42682</v>
      </c>
      <c r="AU6985" t="s">
        <v>73</v>
      </c>
      <c r="AV6985">
        <v>2963</v>
      </c>
      <c r="AW6985" s="4">
        <v>42682</v>
      </c>
      <c r="BD6985">
        <v>0</v>
      </c>
      <c r="BN6985" t="s">
        <v>74</v>
      </c>
    </row>
    <row r="6986" spans="1:66">
      <c r="A6986">
        <v>104093</v>
      </c>
      <c r="B6986" s="3" t="s">
        <v>609</v>
      </c>
      <c r="C6986" s="1">
        <v>43300101</v>
      </c>
      <c r="D6986" t="s">
        <v>67</v>
      </c>
      <c r="H6986" t="str">
        <f t="shared" si="690"/>
        <v>12572900152</v>
      </c>
      <c r="I6986" t="str">
        <f t="shared" si="691"/>
        <v>06032681006</v>
      </c>
      <c r="K6986" t="str">
        <f>""</f>
        <v/>
      </c>
      <c r="M6986" t="s">
        <v>68</v>
      </c>
      <c r="N6986" t="str">
        <f t="shared" si="689"/>
        <v>FOR</v>
      </c>
      <c r="O6986" t="s">
        <v>69</v>
      </c>
      <c r="P6986" s="3" t="s">
        <v>75</v>
      </c>
      <c r="Q6986">
        <v>2015</v>
      </c>
      <c r="R6986" s="2">
        <v>42325</v>
      </c>
      <c r="S6986" s="2">
        <v>42328</v>
      </c>
      <c r="T6986" s="2">
        <v>42327</v>
      </c>
      <c r="U6986" s="2">
        <v>42387</v>
      </c>
      <c r="V6986" t="s">
        <v>71</v>
      </c>
      <c r="W6986" t="str">
        <f>"            25279837"</f>
        <v xml:space="preserve">            25279837</v>
      </c>
      <c r="X6986">
        <v>74.88</v>
      </c>
      <c r="Y6986">
        <v>0</v>
      </c>
      <c r="Z6986" s="3">
        <v>72</v>
      </c>
      <c r="AA6986">
        <v>295</v>
      </c>
      <c r="AB6986" s="5">
        <v>21240</v>
      </c>
      <c r="AC6986">
        <v>72</v>
      </c>
      <c r="AD6986">
        <v>295</v>
      </c>
      <c r="AE6986" s="1">
        <v>21240</v>
      </c>
      <c r="AF6986">
        <v>0</v>
      </c>
      <c r="AJ6986">
        <v>0</v>
      </c>
      <c r="AK6986">
        <v>0</v>
      </c>
      <c r="AL6986">
        <v>0</v>
      </c>
      <c r="AM6986">
        <v>0</v>
      </c>
      <c r="AN6986">
        <v>0</v>
      </c>
      <c r="AO6986">
        <v>0</v>
      </c>
      <c r="AP6986" s="2">
        <v>42746</v>
      </c>
      <c r="AQ6986" t="s">
        <v>72</v>
      </c>
      <c r="AR6986" t="s">
        <v>72</v>
      </c>
      <c r="AS6986">
        <v>2963</v>
      </c>
      <c r="AT6986" s="4">
        <v>42682</v>
      </c>
      <c r="AU6986" t="s">
        <v>73</v>
      </c>
      <c r="AV6986">
        <v>2963</v>
      </c>
      <c r="AW6986" s="4">
        <v>42682</v>
      </c>
      <c r="BD6986">
        <v>0</v>
      </c>
      <c r="BN6986" t="s">
        <v>74</v>
      </c>
    </row>
    <row r="6987" spans="1:66">
      <c r="A6987">
        <v>104093</v>
      </c>
      <c r="B6987" s="3" t="s">
        <v>609</v>
      </c>
      <c r="C6987" s="1">
        <v>43300101</v>
      </c>
      <c r="D6987" t="s">
        <v>67</v>
      </c>
      <c r="H6987" t="str">
        <f t="shared" si="690"/>
        <v>12572900152</v>
      </c>
      <c r="I6987" t="str">
        <f t="shared" si="691"/>
        <v>06032681006</v>
      </c>
      <c r="K6987" t="str">
        <f>""</f>
        <v/>
      </c>
      <c r="M6987" t="s">
        <v>68</v>
      </c>
      <c r="N6987" t="str">
        <f t="shared" si="689"/>
        <v>FOR</v>
      </c>
      <c r="O6987" t="s">
        <v>69</v>
      </c>
      <c r="P6987" s="3" t="s">
        <v>75</v>
      </c>
      <c r="Q6987">
        <v>2015</v>
      </c>
      <c r="R6987" s="2">
        <v>42325</v>
      </c>
      <c r="S6987" s="2">
        <v>42328</v>
      </c>
      <c r="T6987" s="2">
        <v>42327</v>
      </c>
      <c r="U6987" s="2">
        <v>42387</v>
      </c>
      <c r="V6987" t="s">
        <v>71</v>
      </c>
      <c r="W6987" t="str">
        <f>"            25279841"</f>
        <v xml:space="preserve">            25279841</v>
      </c>
      <c r="X6987">
        <v>252.72</v>
      </c>
      <c r="Y6987">
        <v>0</v>
      </c>
      <c r="Z6987" s="3">
        <v>243</v>
      </c>
      <c r="AA6987">
        <v>295</v>
      </c>
      <c r="AB6987" s="5">
        <v>71685</v>
      </c>
      <c r="AC6987">
        <v>243</v>
      </c>
      <c r="AD6987">
        <v>295</v>
      </c>
      <c r="AE6987" s="1">
        <v>71685</v>
      </c>
      <c r="AF6987">
        <v>0</v>
      </c>
      <c r="AJ6987">
        <v>0</v>
      </c>
      <c r="AK6987">
        <v>0</v>
      </c>
      <c r="AL6987">
        <v>0</v>
      </c>
      <c r="AM6987">
        <v>0</v>
      </c>
      <c r="AN6987">
        <v>0</v>
      </c>
      <c r="AO6987">
        <v>0</v>
      </c>
      <c r="AP6987" s="2">
        <v>42746</v>
      </c>
      <c r="AQ6987" t="s">
        <v>72</v>
      </c>
      <c r="AR6987" t="s">
        <v>72</v>
      </c>
      <c r="AS6987">
        <v>2963</v>
      </c>
      <c r="AT6987" s="4">
        <v>42682</v>
      </c>
      <c r="AU6987" t="s">
        <v>73</v>
      </c>
      <c r="AV6987">
        <v>2963</v>
      </c>
      <c r="AW6987" s="4">
        <v>42682</v>
      </c>
      <c r="BD6987">
        <v>0</v>
      </c>
      <c r="BN6987" t="s">
        <v>74</v>
      </c>
    </row>
    <row r="6988" spans="1:66">
      <c r="A6988">
        <v>104093</v>
      </c>
      <c r="B6988" s="3" t="s">
        <v>609</v>
      </c>
      <c r="C6988" s="1">
        <v>43300101</v>
      </c>
      <c r="D6988" t="s">
        <v>67</v>
      </c>
      <c r="H6988" t="str">
        <f t="shared" si="690"/>
        <v>12572900152</v>
      </c>
      <c r="I6988" t="str">
        <f t="shared" si="691"/>
        <v>06032681006</v>
      </c>
      <c r="K6988" t="str">
        <f>""</f>
        <v/>
      </c>
      <c r="M6988" t="s">
        <v>68</v>
      </c>
      <c r="N6988" t="str">
        <f t="shared" si="689"/>
        <v>FOR</v>
      </c>
      <c r="O6988" t="s">
        <v>69</v>
      </c>
      <c r="P6988" s="3" t="s">
        <v>75</v>
      </c>
      <c r="Q6988">
        <v>2015</v>
      </c>
      <c r="R6988" s="2">
        <v>42325</v>
      </c>
      <c r="S6988" s="2">
        <v>42327</v>
      </c>
      <c r="T6988" s="2">
        <v>42326</v>
      </c>
      <c r="U6988" s="2">
        <v>42386</v>
      </c>
      <c r="V6988" t="s">
        <v>71</v>
      </c>
      <c r="W6988" t="str">
        <f>"            25279842"</f>
        <v xml:space="preserve">            25279842</v>
      </c>
      <c r="X6988">
        <v>926.64</v>
      </c>
      <c r="Y6988">
        <v>0</v>
      </c>
      <c r="Z6988" s="3">
        <v>891</v>
      </c>
      <c r="AA6988">
        <v>296</v>
      </c>
      <c r="AB6988" s="5">
        <v>263736</v>
      </c>
      <c r="AC6988">
        <v>891</v>
      </c>
      <c r="AD6988">
        <v>296</v>
      </c>
      <c r="AE6988" s="1">
        <v>263736</v>
      </c>
      <c r="AF6988">
        <v>0</v>
      </c>
      <c r="AJ6988">
        <v>0</v>
      </c>
      <c r="AK6988">
        <v>0</v>
      </c>
      <c r="AL6988">
        <v>0</v>
      </c>
      <c r="AM6988">
        <v>0</v>
      </c>
      <c r="AN6988">
        <v>0</v>
      </c>
      <c r="AO6988">
        <v>0</v>
      </c>
      <c r="AP6988" s="2">
        <v>42746</v>
      </c>
      <c r="AQ6988" t="s">
        <v>72</v>
      </c>
      <c r="AR6988" t="s">
        <v>72</v>
      </c>
      <c r="AS6988">
        <v>2963</v>
      </c>
      <c r="AT6988" s="4">
        <v>42682</v>
      </c>
      <c r="AU6988" t="s">
        <v>73</v>
      </c>
      <c r="AV6988">
        <v>2963</v>
      </c>
      <c r="AW6988" s="4">
        <v>42682</v>
      </c>
      <c r="BD6988">
        <v>0</v>
      </c>
      <c r="BN6988" t="s">
        <v>74</v>
      </c>
    </row>
    <row r="6989" spans="1:66">
      <c r="A6989">
        <v>104093</v>
      </c>
      <c r="B6989" s="3" t="s">
        <v>609</v>
      </c>
      <c r="C6989" s="1">
        <v>43300101</v>
      </c>
      <c r="D6989" t="s">
        <v>67</v>
      </c>
      <c r="H6989" t="str">
        <f t="shared" si="690"/>
        <v>12572900152</v>
      </c>
      <c r="I6989" t="str">
        <f t="shared" si="691"/>
        <v>06032681006</v>
      </c>
      <c r="K6989" t="str">
        <f>""</f>
        <v/>
      </c>
      <c r="M6989" t="s">
        <v>68</v>
      </c>
      <c r="N6989" t="str">
        <f t="shared" si="689"/>
        <v>FOR</v>
      </c>
      <c r="O6989" t="s">
        <v>69</v>
      </c>
      <c r="P6989" s="3" t="s">
        <v>75</v>
      </c>
      <c r="Q6989">
        <v>2015</v>
      </c>
      <c r="R6989" s="2">
        <v>42327</v>
      </c>
      <c r="S6989" s="2">
        <v>42328</v>
      </c>
      <c r="T6989" s="2">
        <v>42328</v>
      </c>
      <c r="U6989" s="2">
        <v>42388</v>
      </c>
      <c r="V6989" t="s">
        <v>71</v>
      </c>
      <c r="W6989" t="str">
        <f>"            25280504"</f>
        <v xml:space="preserve">            25280504</v>
      </c>
      <c r="X6989">
        <v>707.62</v>
      </c>
      <c r="Y6989">
        <v>0</v>
      </c>
      <c r="Z6989" s="3">
        <v>680.4</v>
      </c>
      <c r="AA6989">
        <v>294</v>
      </c>
      <c r="AB6989" s="5">
        <v>200037.6</v>
      </c>
      <c r="AC6989">
        <v>680.4</v>
      </c>
      <c r="AD6989">
        <v>294</v>
      </c>
      <c r="AE6989" s="1">
        <v>200037.6</v>
      </c>
      <c r="AF6989">
        <v>0</v>
      </c>
      <c r="AJ6989">
        <v>0</v>
      </c>
      <c r="AK6989">
        <v>0</v>
      </c>
      <c r="AL6989">
        <v>0</v>
      </c>
      <c r="AM6989">
        <v>0</v>
      </c>
      <c r="AN6989">
        <v>0</v>
      </c>
      <c r="AO6989">
        <v>0</v>
      </c>
      <c r="AP6989" s="2">
        <v>42746</v>
      </c>
      <c r="AQ6989" t="s">
        <v>72</v>
      </c>
      <c r="AR6989" t="s">
        <v>72</v>
      </c>
      <c r="AS6989">
        <v>2963</v>
      </c>
      <c r="AT6989" s="4">
        <v>42682</v>
      </c>
      <c r="AU6989" t="s">
        <v>73</v>
      </c>
      <c r="AV6989">
        <v>2963</v>
      </c>
      <c r="AW6989" s="4">
        <v>42682</v>
      </c>
      <c r="BD6989">
        <v>0</v>
      </c>
      <c r="BN6989" t="s">
        <v>74</v>
      </c>
    </row>
    <row r="6990" spans="1:66">
      <c r="A6990">
        <v>104093</v>
      </c>
      <c r="B6990" s="3" t="s">
        <v>609</v>
      </c>
      <c r="C6990" s="1">
        <v>43300101</v>
      </c>
      <c r="D6990" t="s">
        <v>67</v>
      </c>
      <c r="H6990" t="str">
        <f t="shared" si="690"/>
        <v>12572900152</v>
      </c>
      <c r="I6990" t="str">
        <f t="shared" si="691"/>
        <v>06032681006</v>
      </c>
      <c r="K6990" t="str">
        <f>""</f>
        <v/>
      </c>
      <c r="M6990" t="s">
        <v>68</v>
      </c>
      <c r="N6990" t="str">
        <f t="shared" si="689"/>
        <v>FOR</v>
      </c>
      <c r="O6990" t="s">
        <v>69</v>
      </c>
      <c r="P6990" s="3" t="s">
        <v>75</v>
      </c>
      <c r="Q6990">
        <v>2015</v>
      </c>
      <c r="R6990" s="2">
        <v>42327</v>
      </c>
      <c r="S6990" s="2">
        <v>42331</v>
      </c>
      <c r="T6990" s="2">
        <v>42330</v>
      </c>
      <c r="U6990" s="2">
        <v>42390</v>
      </c>
      <c r="V6990" t="s">
        <v>71</v>
      </c>
      <c r="W6990" t="str">
        <f>"            25280505"</f>
        <v xml:space="preserve">            25280505</v>
      </c>
      <c r="X6990">
        <v>74.88</v>
      </c>
      <c r="Y6990">
        <v>0</v>
      </c>
      <c r="Z6990" s="3">
        <v>72</v>
      </c>
      <c r="AA6990">
        <v>292</v>
      </c>
      <c r="AB6990" s="5">
        <v>21024</v>
      </c>
      <c r="AC6990">
        <v>72</v>
      </c>
      <c r="AD6990">
        <v>292</v>
      </c>
      <c r="AE6990" s="1">
        <v>21024</v>
      </c>
      <c r="AF6990">
        <v>0</v>
      </c>
      <c r="AJ6990">
        <v>0</v>
      </c>
      <c r="AK6990">
        <v>0</v>
      </c>
      <c r="AL6990">
        <v>0</v>
      </c>
      <c r="AM6990">
        <v>0</v>
      </c>
      <c r="AN6990">
        <v>0</v>
      </c>
      <c r="AO6990">
        <v>0</v>
      </c>
      <c r="AP6990" s="2">
        <v>42746</v>
      </c>
      <c r="AQ6990" t="s">
        <v>72</v>
      </c>
      <c r="AR6990" t="s">
        <v>72</v>
      </c>
      <c r="AS6990">
        <v>2963</v>
      </c>
      <c r="AT6990" s="4">
        <v>42682</v>
      </c>
      <c r="AU6990" t="s">
        <v>73</v>
      </c>
      <c r="AV6990">
        <v>2963</v>
      </c>
      <c r="AW6990" s="4">
        <v>42682</v>
      </c>
      <c r="BD6990">
        <v>0</v>
      </c>
      <c r="BN6990" t="s">
        <v>74</v>
      </c>
    </row>
    <row r="6991" spans="1:66">
      <c r="A6991">
        <v>104093</v>
      </c>
      <c r="B6991" s="3" t="s">
        <v>609</v>
      </c>
      <c r="C6991" s="1">
        <v>43300101</v>
      </c>
      <c r="D6991" t="s">
        <v>67</v>
      </c>
      <c r="H6991" t="str">
        <f t="shared" si="690"/>
        <v>12572900152</v>
      </c>
      <c r="I6991" t="str">
        <f t="shared" si="691"/>
        <v>06032681006</v>
      </c>
      <c r="K6991" t="str">
        <f>""</f>
        <v/>
      </c>
      <c r="M6991" t="s">
        <v>68</v>
      </c>
      <c r="N6991" t="str">
        <f t="shared" si="689"/>
        <v>FOR</v>
      </c>
      <c r="O6991" t="s">
        <v>69</v>
      </c>
      <c r="P6991" s="3" t="s">
        <v>75</v>
      </c>
      <c r="Q6991">
        <v>2015</v>
      </c>
      <c r="R6991" s="2">
        <v>42327</v>
      </c>
      <c r="S6991" s="2">
        <v>42331</v>
      </c>
      <c r="T6991" s="2">
        <v>42330</v>
      </c>
      <c r="U6991" s="2">
        <v>42390</v>
      </c>
      <c r="V6991" t="s">
        <v>71</v>
      </c>
      <c r="W6991" t="str">
        <f>"            25280506"</f>
        <v xml:space="preserve">            25280506</v>
      </c>
      <c r="X6991">
        <v>252.72</v>
      </c>
      <c r="Y6991">
        <v>0</v>
      </c>
      <c r="Z6991" s="3">
        <v>243</v>
      </c>
      <c r="AA6991">
        <v>292</v>
      </c>
      <c r="AB6991" s="5">
        <v>70956</v>
      </c>
      <c r="AC6991">
        <v>243</v>
      </c>
      <c r="AD6991">
        <v>292</v>
      </c>
      <c r="AE6991" s="1">
        <v>70956</v>
      </c>
      <c r="AF6991">
        <v>0</v>
      </c>
      <c r="AJ6991">
        <v>0</v>
      </c>
      <c r="AK6991">
        <v>0</v>
      </c>
      <c r="AL6991">
        <v>0</v>
      </c>
      <c r="AM6991">
        <v>0</v>
      </c>
      <c r="AN6991">
        <v>0</v>
      </c>
      <c r="AO6991">
        <v>0</v>
      </c>
      <c r="AP6991" s="2">
        <v>42746</v>
      </c>
      <c r="AQ6991" t="s">
        <v>72</v>
      </c>
      <c r="AR6991" t="s">
        <v>72</v>
      </c>
      <c r="AS6991">
        <v>2963</v>
      </c>
      <c r="AT6991" s="4">
        <v>42682</v>
      </c>
      <c r="AU6991" t="s">
        <v>73</v>
      </c>
      <c r="AV6991">
        <v>2963</v>
      </c>
      <c r="AW6991" s="4">
        <v>42682</v>
      </c>
      <c r="BD6991">
        <v>0</v>
      </c>
      <c r="BN6991" t="s">
        <v>74</v>
      </c>
    </row>
    <row r="6992" spans="1:66">
      <c r="A6992">
        <v>104093</v>
      </c>
      <c r="B6992" s="3" t="s">
        <v>609</v>
      </c>
      <c r="C6992" s="1">
        <v>43300101</v>
      </c>
      <c r="D6992" t="s">
        <v>67</v>
      </c>
      <c r="H6992" t="str">
        <f t="shared" si="690"/>
        <v>12572900152</v>
      </c>
      <c r="I6992" t="str">
        <f t="shared" si="691"/>
        <v>06032681006</v>
      </c>
      <c r="K6992" t="str">
        <f>""</f>
        <v/>
      </c>
      <c r="M6992" t="s">
        <v>68</v>
      </c>
      <c r="N6992" t="str">
        <f t="shared" si="689"/>
        <v>FOR</v>
      </c>
      <c r="O6992" t="s">
        <v>69</v>
      </c>
      <c r="P6992" s="3" t="s">
        <v>75</v>
      </c>
      <c r="Q6992">
        <v>2015</v>
      </c>
      <c r="R6992" s="2">
        <v>42327</v>
      </c>
      <c r="S6992" s="2">
        <v>42331</v>
      </c>
      <c r="T6992" s="2">
        <v>42330</v>
      </c>
      <c r="U6992" s="2">
        <v>42390</v>
      </c>
      <c r="V6992" t="s">
        <v>71</v>
      </c>
      <c r="W6992" t="str">
        <f>"            25280507"</f>
        <v xml:space="preserve">            25280507</v>
      </c>
      <c r="X6992">
        <v>74.88</v>
      </c>
      <c r="Y6992">
        <v>0</v>
      </c>
      <c r="Z6992" s="3">
        <v>72</v>
      </c>
      <c r="AA6992">
        <v>292</v>
      </c>
      <c r="AB6992" s="5">
        <v>21024</v>
      </c>
      <c r="AC6992">
        <v>72</v>
      </c>
      <c r="AD6992">
        <v>292</v>
      </c>
      <c r="AE6992" s="1">
        <v>21024</v>
      </c>
      <c r="AF6992">
        <v>0</v>
      </c>
      <c r="AJ6992">
        <v>0</v>
      </c>
      <c r="AK6992">
        <v>0</v>
      </c>
      <c r="AL6992">
        <v>0</v>
      </c>
      <c r="AM6992">
        <v>0</v>
      </c>
      <c r="AN6992">
        <v>0</v>
      </c>
      <c r="AO6992">
        <v>0</v>
      </c>
      <c r="AP6992" s="2">
        <v>42746</v>
      </c>
      <c r="AQ6992" t="s">
        <v>72</v>
      </c>
      <c r="AR6992" t="s">
        <v>72</v>
      </c>
      <c r="AS6992">
        <v>2963</v>
      </c>
      <c r="AT6992" s="4">
        <v>42682</v>
      </c>
      <c r="AU6992" t="s">
        <v>73</v>
      </c>
      <c r="AV6992">
        <v>2963</v>
      </c>
      <c r="AW6992" s="4">
        <v>42682</v>
      </c>
      <c r="BD6992">
        <v>0</v>
      </c>
      <c r="BN6992" t="s">
        <v>74</v>
      </c>
    </row>
    <row r="6993" spans="1:66">
      <c r="A6993">
        <v>104093</v>
      </c>
      <c r="B6993" s="3" t="s">
        <v>609</v>
      </c>
      <c r="C6993" s="1">
        <v>43300101</v>
      </c>
      <c r="D6993" t="s">
        <v>67</v>
      </c>
      <c r="H6993" t="str">
        <f t="shared" si="690"/>
        <v>12572900152</v>
      </c>
      <c r="I6993" t="str">
        <f t="shared" si="691"/>
        <v>06032681006</v>
      </c>
      <c r="K6993" t="str">
        <f>""</f>
        <v/>
      </c>
      <c r="M6993" t="s">
        <v>68</v>
      </c>
      <c r="N6993" t="str">
        <f t="shared" si="689"/>
        <v>FOR</v>
      </c>
      <c r="O6993" t="s">
        <v>69</v>
      </c>
      <c r="P6993" s="3" t="s">
        <v>75</v>
      </c>
      <c r="Q6993">
        <v>2015</v>
      </c>
      <c r="R6993" s="2">
        <v>42327</v>
      </c>
      <c r="S6993" s="2">
        <v>42331</v>
      </c>
      <c r="T6993" s="2">
        <v>42330</v>
      </c>
      <c r="U6993" s="2">
        <v>42390</v>
      </c>
      <c r="V6993" t="s">
        <v>71</v>
      </c>
      <c r="W6993" t="str">
        <f>"            25280508"</f>
        <v xml:space="preserve">            25280508</v>
      </c>
      <c r="X6993">
        <v>74.88</v>
      </c>
      <c r="Y6993">
        <v>0</v>
      </c>
      <c r="Z6993" s="3">
        <v>72</v>
      </c>
      <c r="AA6993">
        <v>292</v>
      </c>
      <c r="AB6993" s="5">
        <v>21024</v>
      </c>
      <c r="AC6993">
        <v>72</v>
      </c>
      <c r="AD6993">
        <v>292</v>
      </c>
      <c r="AE6993" s="1">
        <v>21024</v>
      </c>
      <c r="AF6993">
        <v>0</v>
      </c>
      <c r="AJ6993">
        <v>0</v>
      </c>
      <c r="AK6993">
        <v>0</v>
      </c>
      <c r="AL6993">
        <v>0</v>
      </c>
      <c r="AM6993">
        <v>0</v>
      </c>
      <c r="AN6993">
        <v>0</v>
      </c>
      <c r="AO6993">
        <v>0</v>
      </c>
      <c r="AP6993" s="2">
        <v>42746</v>
      </c>
      <c r="AQ6993" t="s">
        <v>72</v>
      </c>
      <c r="AR6993" t="s">
        <v>72</v>
      </c>
      <c r="AS6993">
        <v>2963</v>
      </c>
      <c r="AT6993" s="4">
        <v>42682</v>
      </c>
      <c r="AU6993" t="s">
        <v>73</v>
      </c>
      <c r="AV6993">
        <v>2963</v>
      </c>
      <c r="AW6993" s="4">
        <v>42682</v>
      </c>
      <c r="BD6993">
        <v>0</v>
      </c>
      <c r="BN6993" t="s">
        <v>74</v>
      </c>
    </row>
    <row r="6994" spans="1:66">
      <c r="A6994">
        <v>104093</v>
      </c>
      <c r="B6994" s="3" t="s">
        <v>609</v>
      </c>
      <c r="C6994" s="1">
        <v>43300101</v>
      </c>
      <c r="D6994" t="s">
        <v>67</v>
      </c>
      <c r="H6994" t="str">
        <f t="shared" si="690"/>
        <v>12572900152</v>
      </c>
      <c r="I6994" t="str">
        <f t="shared" si="691"/>
        <v>06032681006</v>
      </c>
      <c r="K6994" t="str">
        <f>""</f>
        <v/>
      </c>
      <c r="M6994" t="s">
        <v>68</v>
      </c>
      <c r="N6994" t="str">
        <f t="shared" si="689"/>
        <v>FOR</v>
      </c>
      <c r="O6994" t="s">
        <v>69</v>
      </c>
      <c r="P6994" s="3" t="s">
        <v>75</v>
      </c>
      <c r="Q6994">
        <v>2015</v>
      </c>
      <c r="R6994" s="2">
        <v>42327</v>
      </c>
      <c r="S6994" s="2">
        <v>42331</v>
      </c>
      <c r="T6994" s="2">
        <v>42330</v>
      </c>
      <c r="U6994" s="2">
        <v>42390</v>
      </c>
      <c r="V6994" t="s">
        <v>71</v>
      </c>
      <c r="W6994" t="str">
        <f>"            25280509"</f>
        <v xml:space="preserve">            25280509</v>
      </c>
      <c r="X6994">
        <v>74.88</v>
      </c>
      <c r="Y6994">
        <v>0</v>
      </c>
      <c r="Z6994" s="3">
        <v>72</v>
      </c>
      <c r="AA6994">
        <v>292</v>
      </c>
      <c r="AB6994" s="5">
        <v>21024</v>
      </c>
      <c r="AC6994">
        <v>72</v>
      </c>
      <c r="AD6994">
        <v>292</v>
      </c>
      <c r="AE6994" s="1">
        <v>21024</v>
      </c>
      <c r="AF6994">
        <v>0</v>
      </c>
      <c r="AJ6994">
        <v>0</v>
      </c>
      <c r="AK6994">
        <v>0</v>
      </c>
      <c r="AL6994">
        <v>0</v>
      </c>
      <c r="AM6994">
        <v>0</v>
      </c>
      <c r="AN6994">
        <v>0</v>
      </c>
      <c r="AO6994">
        <v>0</v>
      </c>
      <c r="AP6994" s="2">
        <v>42746</v>
      </c>
      <c r="AQ6994" t="s">
        <v>72</v>
      </c>
      <c r="AR6994" t="s">
        <v>72</v>
      </c>
      <c r="AS6994">
        <v>2963</v>
      </c>
      <c r="AT6994" s="4">
        <v>42682</v>
      </c>
      <c r="AU6994" t="s">
        <v>73</v>
      </c>
      <c r="AV6994">
        <v>2963</v>
      </c>
      <c r="AW6994" s="4">
        <v>42682</v>
      </c>
      <c r="BD6994">
        <v>0</v>
      </c>
      <c r="BN6994" t="s">
        <v>74</v>
      </c>
    </row>
    <row r="6995" spans="1:66">
      <c r="A6995">
        <v>104093</v>
      </c>
      <c r="B6995" s="3" t="s">
        <v>609</v>
      </c>
      <c r="C6995" s="1">
        <v>43300101</v>
      </c>
      <c r="D6995" t="s">
        <v>67</v>
      </c>
      <c r="H6995" t="str">
        <f t="shared" si="690"/>
        <v>12572900152</v>
      </c>
      <c r="I6995" t="str">
        <f t="shared" si="691"/>
        <v>06032681006</v>
      </c>
      <c r="K6995" t="str">
        <f>""</f>
        <v/>
      </c>
      <c r="M6995" t="s">
        <v>68</v>
      </c>
      <c r="N6995" t="str">
        <f t="shared" si="689"/>
        <v>FOR</v>
      </c>
      <c r="O6995" t="s">
        <v>69</v>
      </c>
      <c r="P6995" s="3" t="s">
        <v>75</v>
      </c>
      <c r="Q6995">
        <v>2015</v>
      </c>
      <c r="R6995" s="2">
        <v>42327</v>
      </c>
      <c r="S6995" s="2">
        <v>42331</v>
      </c>
      <c r="T6995" s="2">
        <v>42330</v>
      </c>
      <c r="U6995" s="2">
        <v>42390</v>
      </c>
      <c r="V6995" t="s">
        <v>71</v>
      </c>
      <c r="W6995" t="str">
        <f>"            25280510"</f>
        <v xml:space="preserve">            25280510</v>
      </c>
      <c r="X6995">
        <v>403.42</v>
      </c>
      <c r="Y6995">
        <v>0</v>
      </c>
      <c r="Z6995" s="3">
        <v>387.9</v>
      </c>
      <c r="AA6995">
        <v>292</v>
      </c>
      <c r="AB6995" s="5">
        <v>113266.8</v>
      </c>
      <c r="AC6995">
        <v>387.9</v>
      </c>
      <c r="AD6995">
        <v>292</v>
      </c>
      <c r="AE6995" s="1">
        <v>113266.8</v>
      </c>
      <c r="AF6995">
        <v>0</v>
      </c>
      <c r="AJ6995">
        <v>0</v>
      </c>
      <c r="AK6995">
        <v>0</v>
      </c>
      <c r="AL6995">
        <v>0</v>
      </c>
      <c r="AM6995">
        <v>0</v>
      </c>
      <c r="AN6995">
        <v>0</v>
      </c>
      <c r="AO6995">
        <v>0</v>
      </c>
      <c r="AP6995" s="2">
        <v>42746</v>
      </c>
      <c r="AQ6995" t="s">
        <v>72</v>
      </c>
      <c r="AR6995" t="s">
        <v>72</v>
      </c>
      <c r="AS6995">
        <v>2963</v>
      </c>
      <c r="AT6995" s="4">
        <v>42682</v>
      </c>
      <c r="AU6995" t="s">
        <v>73</v>
      </c>
      <c r="AV6995">
        <v>2963</v>
      </c>
      <c r="AW6995" s="4">
        <v>42682</v>
      </c>
      <c r="BD6995">
        <v>0</v>
      </c>
      <c r="BN6995" t="s">
        <v>74</v>
      </c>
    </row>
    <row r="6996" spans="1:66">
      <c r="A6996">
        <v>104093</v>
      </c>
      <c r="B6996" s="3" t="s">
        <v>609</v>
      </c>
      <c r="C6996" s="1">
        <v>43300101</v>
      </c>
      <c r="D6996" t="s">
        <v>67</v>
      </c>
      <c r="H6996" t="str">
        <f t="shared" si="690"/>
        <v>12572900152</v>
      </c>
      <c r="I6996" t="str">
        <f t="shared" si="691"/>
        <v>06032681006</v>
      </c>
      <c r="K6996" t="str">
        <f>""</f>
        <v/>
      </c>
      <c r="M6996" t="s">
        <v>68</v>
      </c>
      <c r="N6996" t="str">
        <f t="shared" si="689"/>
        <v>FOR</v>
      </c>
      <c r="O6996" t="s">
        <v>69</v>
      </c>
      <c r="P6996" s="3" t="s">
        <v>75</v>
      </c>
      <c r="Q6996">
        <v>2015</v>
      </c>
      <c r="R6996" s="2">
        <v>42327</v>
      </c>
      <c r="S6996" s="2">
        <v>42331</v>
      </c>
      <c r="T6996" s="2">
        <v>42330</v>
      </c>
      <c r="U6996" s="2">
        <v>42390</v>
      </c>
      <c r="V6996" t="s">
        <v>71</v>
      </c>
      <c r="W6996" t="str">
        <f>"            25280512"</f>
        <v xml:space="preserve">            25280512</v>
      </c>
      <c r="X6996">
        <v>74.88</v>
      </c>
      <c r="Y6996">
        <v>0</v>
      </c>
      <c r="Z6996" s="3">
        <v>72</v>
      </c>
      <c r="AA6996">
        <v>292</v>
      </c>
      <c r="AB6996" s="5">
        <v>21024</v>
      </c>
      <c r="AC6996">
        <v>72</v>
      </c>
      <c r="AD6996">
        <v>292</v>
      </c>
      <c r="AE6996" s="1">
        <v>21024</v>
      </c>
      <c r="AF6996">
        <v>0</v>
      </c>
      <c r="AJ6996">
        <v>0</v>
      </c>
      <c r="AK6996">
        <v>0</v>
      </c>
      <c r="AL6996">
        <v>0</v>
      </c>
      <c r="AM6996">
        <v>0</v>
      </c>
      <c r="AN6996">
        <v>0</v>
      </c>
      <c r="AO6996">
        <v>0</v>
      </c>
      <c r="AP6996" s="2">
        <v>42746</v>
      </c>
      <c r="AQ6996" t="s">
        <v>72</v>
      </c>
      <c r="AR6996" t="s">
        <v>72</v>
      </c>
      <c r="AS6996">
        <v>2963</v>
      </c>
      <c r="AT6996" s="4">
        <v>42682</v>
      </c>
      <c r="AU6996" t="s">
        <v>73</v>
      </c>
      <c r="AV6996">
        <v>2963</v>
      </c>
      <c r="AW6996" s="4">
        <v>42682</v>
      </c>
      <c r="BD6996">
        <v>0</v>
      </c>
      <c r="BN6996" t="s">
        <v>74</v>
      </c>
    </row>
    <row r="6997" spans="1:66">
      <c r="A6997">
        <v>104093</v>
      </c>
      <c r="B6997" s="3" t="s">
        <v>609</v>
      </c>
      <c r="C6997" s="1">
        <v>43300101</v>
      </c>
      <c r="D6997" t="s">
        <v>67</v>
      </c>
      <c r="H6997" t="str">
        <f t="shared" si="690"/>
        <v>12572900152</v>
      </c>
      <c r="I6997" t="str">
        <f t="shared" si="691"/>
        <v>06032681006</v>
      </c>
      <c r="K6997" t="str">
        <f>""</f>
        <v/>
      </c>
      <c r="M6997" t="s">
        <v>68</v>
      </c>
      <c r="N6997" t="str">
        <f t="shared" si="689"/>
        <v>FOR</v>
      </c>
      <c r="O6997" t="s">
        <v>69</v>
      </c>
      <c r="P6997" s="3" t="s">
        <v>75</v>
      </c>
      <c r="Q6997">
        <v>2015</v>
      </c>
      <c r="R6997" s="2">
        <v>42327</v>
      </c>
      <c r="S6997" s="2">
        <v>42331</v>
      </c>
      <c r="T6997" s="2">
        <v>42330</v>
      </c>
      <c r="U6997" s="2">
        <v>42390</v>
      </c>
      <c r="V6997" t="s">
        <v>71</v>
      </c>
      <c r="W6997" t="str">
        <f>"            25280513"</f>
        <v xml:space="preserve">            25280513</v>
      </c>
      <c r="X6997">
        <v>74.88</v>
      </c>
      <c r="Y6997">
        <v>0</v>
      </c>
      <c r="Z6997" s="3">
        <v>72</v>
      </c>
      <c r="AA6997">
        <v>292</v>
      </c>
      <c r="AB6997" s="5">
        <v>21024</v>
      </c>
      <c r="AC6997">
        <v>72</v>
      </c>
      <c r="AD6997">
        <v>292</v>
      </c>
      <c r="AE6997" s="1">
        <v>21024</v>
      </c>
      <c r="AF6997">
        <v>0</v>
      </c>
      <c r="AJ6997">
        <v>0</v>
      </c>
      <c r="AK6997">
        <v>0</v>
      </c>
      <c r="AL6997">
        <v>0</v>
      </c>
      <c r="AM6997">
        <v>0</v>
      </c>
      <c r="AN6997">
        <v>0</v>
      </c>
      <c r="AO6997">
        <v>0</v>
      </c>
      <c r="AP6997" s="2">
        <v>42746</v>
      </c>
      <c r="AQ6997" t="s">
        <v>72</v>
      </c>
      <c r="AR6997" t="s">
        <v>72</v>
      </c>
      <c r="AS6997">
        <v>2963</v>
      </c>
      <c r="AT6997" s="4">
        <v>42682</v>
      </c>
      <c r="AU6997" t="s">
        <v>73</v>
      </c>
      <c r="AV6997">
        <v>2963</v>
      </c>
      <c r="AW6997" s="4">
        <v>42682</v>
      </c>
      <c r="BD6997">
        <v>0</v>
      </c>
      <c r="BN6997" t="s">
        <v>74</v>
      </c>
    </row>
    <row r="6998" spans="1:66">
      <c r="A6998">
        <v>104093</v>
      </c>
      <c r="B6998" s="3" t="s">
        <v>609</v>
      </c>
      <c r="C6998" s="1">
        <v>43300101</v>
      </c>
      <c r="D6998" t="s">
        <v>67</v>
      </c>
      <c r="H6998" t="str">
        <f t="shared" si="690"/>
        <v>12572900152</v>
      </c>
      <c r="I6998" t="str">
        <f t="shared" si="691"/>
        <v>06032681006</v>
      </c>
      <c r="K6998" t="str">
        <f>""</f>
        <v/>
      </c>
      <c r="M6998" t="s">
        <v>68</v>
      </c>
      <c r="N6998" t="str">
        <f t="shared" si="689"/>
        <v>FOR</v>
      </c>
      <c r="O6998" t="s">
        <v>69</v>
      </c>
      <c r="P6998" s="3" t="s">
        <v>75</v>
      </c>
      <c r="Q6998">
        <v>2015</v>
      </c>
      <c r="R6998" s="2">
        <v>42328</v>
      </c>
      <c r="S6998" s="2">
        <v>42331</v>
      </c>
      <c r="T6998" s="2">
        <v>42331</v>
      </c>
      <c r="U6998" s="2">
        <v>42391</v>
      </c>
      <c r="V6998" t="s">
        <v>71</v>
      </c>
      <c r="W6998" t="str">
        <f>"            25280842"</f>
        <v xml:space="preserve">            25280842</v>
      </c>
      <c r="X6998">
        <v>926.64</v>
      </c>
      <c r="Y6998">
        <v>0</v>
      </c>
      <c r="Z6998" s="3">
        <v>891</v>
      </c>
      <c r="AA6998">
        <v>291</v>
      </c>
      <c r="AB6998" s="5">
        <v>259281</v>
      </c>
      <c r="AC6998">
        <v>891</v>
      </c>
      <c r="AD6998">
        <v>291</v>
      </c>
      <c r="AE6998" s="1">
        <v>259281</v>
      </c>
      <c r="AF6998">
        <v>0</v>
      </c>
      <c r="AJ6998">
        <v>0</v>
      </c>
      <c r="AK6998">
        <v>0</v>
      </c>
      <c r="AL6998">
        <v>0</v>
      </c>
      <c r="AM6998">
        <v>0</v>
      </c>
      <c r="AN6998">
        <v>0</v>
      </c>
      <c r="AO6998">
        <v>0</v>
      </c>
      <c r="AP6998" s="2">
        <v>42746</v>
      </c>
      <c r="AQ6998" t="s">
        <v>72</v>
      </c>
      <c r="AR6998" t="s">
        <v>72</v>
      </c>
      <c r="AS6998">
        <v>2963</v>
      </c>
      <c r="AT6998" s="4">
        <v>42682</v>
      </c>
      <c r="AU6998" t="s">
        <v>73</v>
      </c>
      <c r="AV6998">
        <v>2963</v>
      </c>
      <c r="AW6998" s="4">
        <v>42682</v>
      </c>
      <c r="BD6998">
        <v>0</v>
      </c>
      <c r="BN6998" t="s">
        <v>74</v>
      </c>
    </row>
    <row r="6999" spans="1:66">
      <c r="A6999">
        <v>104093</v>
      </c>
      <c r="B6999" s="3" t="s">
        <v>609</v>
      </c>
      <c r="C6999" s="1">
        <v>43300101</v>
      </c>
      <c r="D6999" t="s">
        <v>67</v>
      </c>
      <c r="H6999" t="str">
        <f t="shared" si="690"/>
        <v>12572900152</v>
      </c>
      <c r="I6999" t="str">
        <f t="shared" si="691"/>
        <v>06032681006</v>
      </c>
      <c r="K6999" t="str">
        <f>""</f>
        <v/>
      </c>
      <c r="M6999" t="s">
        <v>68</v>
      </c>
      <c r="N6999" t="str">
        <f t="shared" si="689"/>
        <v>FOR</v>
      </c>
      <c r="O6999" t="s">
        <v>69</v>
      </c>
      <c r="P6999" s="3" t="s">
        <v>75</v>
      </c>
      <c r="Q6999">
        <v>2015</v>
      </c>
      <c r="R6999" s="2">
        <v>42328</v>
      </c>
      <c r="S6999" s="2">
        <v>42331</v>
      </c>
      <c r="T6999" s="2">
        <v>42331</v>
      </c>
      <c r="U6999" s="2">
        <v>42391</v>
      </c>
      <c r="V6999" t="s">
        <v>71</v>
      </c>
      <c r="W6999" t="str">
        <f>"            25280846"</f>
        <v xml:space="preserve">            25280846</v>
      </c>
      <c r="X6999">
        <v>252.72</v>
      </c>
      <c r="Y6999">
        <v>0</v>
      </c>
      <c r="Z6999" s="3">
        <v>243</v>
      </c>
      <c r="AA6999">
        <v>291</v>
      </c>
      <c r="AB6999" s="5">
        <v>70713</v>
      </c>
      <c r="AC6999">
        <v>243</v>
      </c>
      <c r="AD6999">
        <v>291</v>
      </c>
      <c r="AE6999" s="1">
        <v>70713</v>
      </c>
      <c r="AF6999">
        <v>0</v>
      </c>
      <c r="AJ6999">
        <v>0</v>
      </c>
      <c r="AK6999">
        <v>0</v>
      </c>
      <c r="AL6999">
        <v>0</v>
      </c>
      <c r="AM6999">
        <v>0</v>
      </c>
      <c r="AN6999">
        <v>0</v>
      </c>
      <c r="AO6999">
        <v>0</v>
      </c>
      <c r="AP6999" s="2">
        <v>42746</v>
      </c>
      <c r="AQ6999" t="s">
        <v>72</v>
      </c>
      <c r="AR6999" t="s">
        <v>72</v>
      </c>
      <c r="AS6999">
        <v>2963</v>
      </c>
      <c r="AT6999" s="4">
        <v>42682</v>
      </c>
      <c r="AU6999" t="s">
        <v>73</v>
      </c>
      <c r="AV6999">
        <v>2963</v>
      </c>
      <c r="AW6999" s="4">
        <v>42682</v>
      </c>
      <c r="BD6999">
        <v>0</v>
      </c>
      <c r="BN6999" t="s">
        <v>74</v>
      </c>
    </row>
    <row r="7000" spans="1:66">
      <c r="A7000">
        <v>104093</v>
      </c>
      <c r="B7000" s="3" t="s">
        <v>609</v>
      </c>
      <c r="C7000" s="1">
        <v>43300101</v>
      </c>
      <c r="D7000" t="s">
        <v>67</v>
      </c>
      <c r="H7000" t="str">
        <f t="shared" si="690"/>
        <v>12572900152</v>
      </c>
      <c r="I7000" t="str">
        <f t="shared" si="691"/>
        <v>06032681006</v>
      </c>
      <c r="K7000" t="str">
        <f>""</f>
        <v/>
      </c>
      <c r="M7000" t="s">
        <v>68</v>
      </c>
      <c r="N7000" t="str">
        <f t="shared" si="689"/>
        <v>FOR</v>
      </c>
      <c r="O7000" t="s">
        <v>69</v>
      </c>
      <c r="P7000" s="3" t="s">
        <v>75</v>
      </c>
      <c r="Q7000">
        <v>2015</v>
      </c>
      <c r="R7000" s="2">
        <v>42328</v>
      </c>
      <c r="S7000" s="2">
        <v>42338</v>
      </c>
      <c r="T7000" s="2">
        <v>42337</v>
      </c>
      <c r="U7000" s="2">
        <v>42397</v>
      </c>
      <c r="V7000" t="s">
        <v>71</v>
      </c>
      <c r="W7000" t="str">
        <f>"            25280848"</f>
        <v xml:space="preserve">            25280848</v>
      </c>
      <c r="X7000">
        <v>74.88</v>
      </c>
      <c r="Y7000">
        <v>0</v>
      </c>
      <c r="Z7000" s="3">
        <v>72</v>
      </c>
      <c r="AA7000">
        <v>285</v>
      </c>
      <c r="AB7000" s="5">
        <v>20520</v>
      </c>
      <c r="AC7000">
        <v>72</v>
      </c>
      <c r="AD7000">
        <v>285</v>
      </c>
      <c r="AE7000" s="1">
        <v>20520</v>
      </c>
      <c r="AF7000">
        <v>0</v>
      </c>
      <c r="AJ7000">
        <v>0</v>
      </c>
      <c r="AK7000">
        <v>0</v>
      </c>
      <c r="AL7000">
        <v>0</v>
      </c>
      <c r="AM7000">
        <v>0</v>
      </c>
      <c r="AN7000">
        <v>0</v>
      </c>
      <c r="AO7000">
        <v>0</v>
      </c>
      <c r="AP7000" s="2">
        <v>42746</v>
      </c>
      <c r="AQ7000" t="s">
        <v>72</v>
      </c>
      <c r="AR7000" t="s">
        <v>72</v>
      </c>
      <c r="AS7000">
        <v>2963</v>
      </c>
      <c r="AT7000" s="4">
        <v>42682</v>
      </c>
      <c r="AU7000" t="s">
        <v>73</v>
      </c>
      <c r="AV7000">
        <v>2963</v>
      </c>
      <c r="AW7000" s="4">
        <v>42682</v>
      </c>
      <c r="BD7000">
        <v>0</v>
      </c>
      <c r="BN7000" t="s">
        <v>74</v>
      </c>
    </row>
    <row r="7001" spans="1:66">
      <c r="A7001">
        <v>104093</v>
      </c>
      <c r="B7001" s="3" t="s">
        <v>609</v>
      </c>
      <c r="C7001" s="1">
        <v>43300101</v>
      </c>
      <c r="D7001" t="s">
        <v>67</v>
      </c>
      <c r="H7001" t="str">
        <f t="shared" si="690"/>
        <v>12572900152</v>
      </c>
      <c r="I7001" t="str">
        <f t="shared" si="691"/>
        <v>06032681006</v>
      </c>
      <c r="K7001" t="str">
        <f>""</f>
        <v/>
      </c>
      <c r="M7001" t="s">
        <v>68</v>
      </c>
      <c r="N7001" t="str">
        <f t="shared" si="689"/>
        <v>FOR</v>
      </c>
      <c r="O7001" t="s">
        <v>69</v>
      </c>
      <c r="P7001" s="3" t="s">
        <v>75</v>
      </c>
      <c r="Q7001">
        <v>2015</v>
      </c>
      <c r="R7001" s="2">
        <v>42328</v>
      </c>
      <c r="S7001" s="2">
        <v>42337</v>
      </c>
      <c r="T7001" s="2">
        <v>42337</v>
      </c>
      <c r="U7001" s="2">
        <v>42397</v>
      </c>
      <c r="V7001" t="s">
        <v>71</v>
      </c>
      <c r="W7001" t="str">
        <f>"            25280852"</f>
        <v xml:space="preserve">            25280852</v>
      </c>
      <c r="X7001">
        <v>74.88</v>
      </c>
      <c r="Y7001">
        <v>0</v>
      </c>
      <c r="Z7001" s="3">
        <v>72</v>
      </c>
      <c r="AA7001">
        <v>285</v>
      </c>
      <c r="AB7001" s="5">
        <v>20520</v>
      </c>
      <c r="AC7001">
        <v>72</v>
      </c>
      <c r="AD7001">
        <v>285</v>
      </c>
      <c r="AE7001" s="1">
        <v>20520</v>
      </c>
      <c r="AF7001">
        <v>0</v>
      </c>
      <c r="AJ7001">
        <v>0</v>
      </c>
      <c r="AK7001">
        <v>0</v>
      </c>
      <c r="AL7001">
        <v>0</v>
      </c>
      <c r="AM7001">
        <v>0</v>
      </c>
      <c r="AN7001">
        <v>0</v>
      </c>
      <c r="AO7001">
        <v>0</v>
      </c>
      <c r="AP7001" s="2">
        <v>42746</v>
      </c>
      <c r="AQ7001" t="s">
        <v>72</v>
      </c>
      <c r="AR7001" t="s">
        <v>72</v>
      </c>
      <c r="AS7001">
        <v>2963</v>
      </c>
      <c r="AT7001" s="4">
        <v>42682</v>
      </c>
      <c r="AU7001" t="s">
        <v>73</v>
      </c>
      <c r="AV7001">
        <v>2963</v>
      </c>
      <c r="AW7001" s="4">
        <v>42682</v>
      </c>
      <c r="BD7001">
        <v>0</v>
      </c>
      <c r="BN7001" t="s">
        <v>74</v>
      </c>
    </row>
    <row r="7002" spans="1:66">
      <c r="A7002">
        <v>104093</v>
      </c>
      <c r="B7002" s="3" t="s">
        <v>609</v>
      </c>
      <c r="C7002" s="1">
        <v>43300101</v>
      </c>
      <c r="D7002" t="s">
        <v>67</v>
      </c>
      <c r="H7002" t="str">
        <f t="shared" si="690"/>
        <v>12572900152</v>
      </c>
      <c r="I7002" t="str">
        <f t="shared" si="691"/>
        <v>06032681006</v>
      </c>
      <c r="K7002" t="str">
        <f>""</f>
        <v/>
      </c>
      <c r="M7002" t="s">
        <v>68</v>
      </c>
      <c r="N7002" t="str">
        <f t="shared" si="689"/>
        <v>FOR</v>
      </c>
      <c r="O7002" t="s">
        <v>69</v>
      </c>
      <c r="P7002" s="3" t="s">
        <v>75</v>
      </c>
      <c r="Q7002">
        <v>2015</v>
      </c>
      <c r="R7002" s="2">
        <v>42332</v>
      </c>
      <c r="S7002" s="2">
        <v>42338</v>
      </c>
      <c r="T7002" s="2">
        <v>42334</v>
      </c>
      <c r="U7002" s="2">
        <v>42394</v>
      </c>
      <c r="V7002" t="s">
        <v>71</v>
      </c>
      <c r="W7002" t="str">
        <f>"            25281557"</f>
        <v xml:space="preserve">            25281557</v>
      </c>
      <c r="X7002">
        <v>74.88</v>
      </c>
      <c r="Y7002">
        <v>0</v>
      </c>
      <c r="Z7002" s="3">
        <v>72</v>
      </c>
      <c r="AA7002">
        <v>288</v>
      </c>
      <c r="AB7002" s="5">
        <v>20736</v>
      </c>
      <c r="AC7002">
        <v>72</v>
      </c>
      <c r="AD7002">
        <v>288</v>
      </c>
      <c r="AE7002" s="1">
        <v>20736</v>
      </c>
      <c r="AF7002">
        <v>0</v>
      </c>
      <c r="AJ7002">
        <v>0</v>
      </c>
      <c r="AK7002">
        <v>0</v>
      </c>
      <c r="AL7002">
        <v>0</v>
      </c>
      <c r="AM7002">
        <v>0</v>
      </c>
      <c r="AN7002">
        <v>0</v>
      </c>
      <c r="AO7002">
        <v>0</v>
      </c>
      <c r="AP7002" s="2">
        <v>42746</v>
      </c>
      <c r="AQ7002" t="s">
        <v>72</v>
      </c>
      <c r="AR7002" t="s">
        <v>72</v>
      </c>
      <c r="AS7002">
        <v>2963</v>
      </c>
      <c r="AT7002" s="4">
        <v>42682</v>
      </c>
      <c r="AU7002" t="s">
        <v>73</v>
      </c>
      <c r="AV7002">
        <v>2963</v>
      </c>
      <c r="AW7002" s="4">
        <v>42682</v>
      </c>
      <c r="BD7002">
        <v>0</v>
      </c>
      <c r="BN7002" t="s">
        <v>74</v>
      </c>
    </row>
    <row r="7003" spans="1:66">
      <c r="A7003">
        <v>104093</v>
      </c>
      <c r="B7003" s="3" t="s">
        <v>609</v>
      </c>
      <c r="C7003" s="1">
        <v>43300101</v>
      </c>
      <c r="D7003" t="s">
        <v>67</v>
      </c>
      <c r="H7003" t="str">
        <f t="shared" si="690"/>
        <v>12572900152</v>
      </c>
      <c r="I7003" t="str">
        <f t="shared" si="691"/>
        <v>06032681006</v>
      </c>
      <c r="K7003" t="str">
        <f>""</f>
        <v/>
      </c>
      <c r="M7003" t="s">
        <v>68</v>
      </c>
      <c r="N7003" t="str">
        <f t="shared" si="689"/>
        <v>FOR</v>
      </c>
      <c r="O7003" t="s">
        <v>69</v>
      </c>
      <c r="P7003" s="3" t="s">
        <v>75</v>
      </c>
      <c r="Q7003">
        <v>2015</v>
      </c>
      <c r="R7003" s="2">
        <v>42332</v>
      </c>
      <c r="S7003" s="2">
        <v>42338</v>
      </c>
      <c r="T7003" s="2">
        <v>42337</v>
      </c>
      <c r="U7003" s="2">
        <v>42397</v>
      </c>
      <c r="V7003" t="s">
        <v>71</v>
      </c>
      <c r="W7003" t="str">
        <f>"            25281561"</f>
        <v xml:space="preserve">            25281561</v>
      </c>
      <c r="X7003">
        <v>252.72</v>
      </c>
      <c r="Y7003">
        <v>0</v>
      </c>
      <c r="Z7003" s="3">
        <v>243</v>
      </c>
      <c r="AA7003">
        <v>285</v>
      </c>
      <c r="AB7003" s="5">
        <v>69255</v>
      </c>
      <c r="AC7003">
        <v>243</v>
      </c>
      <c r="AD7003">
        <v>285</v>
      </c>
      <c r="AE7003" s="1">
        <v>69255</v>
      </c>
      <c r="AF7003">
        <v>0</v>
      </c>
      <c r="AJ7003">
        <v>0</v>
      </c>
      <c r="AK7003">
        <v>0</v>
      </c>
      <c r="AL7003">
        <v>0</v>
      </c>
      <c r="AM7003">
        <v>0</v>
      </c>
      <c r="AN7003">
        <v>0</v>
      </c>
      <c r="AO7003">
        <v>0</v>
      </c>
      <c r="AP7003" s="2">
        <v>42746</v>
      </c>
      <c r="AQ7003" t="s">
        <v>72</v>
      </c>
      <c r="AR7003" t="s">
        <v>72</v>
      </c>
      <c r="AS7003">
        <v>2963</v>
      </c>
      <c r="AT7003" s="4">
        <v>42682</v>
      </c>
      <c r="AU7003" t="s">
        <v>73</v>
      </c>
      <c r="AV7003">
        <v>2963</v>
      </c>
      <c r="AW7003" s="4">
        <v>42682</v>
      </c>
      <c r="BD7003">
        <v>0</v>
      </c>
      <c r="BN7003" t="s">
        <v>74</v>
      </c>
    </row>
    <row r="7004" spans="1:66">
      <c r="A7004">
        <v>104093</v>
      </c>
      <c r="B7004" s="3" t="s">
        <v>609</v>
      </c>
      <c r="C7004" s="1">
        <v>43300101</v>
      </c>
      <c r="D7004" t="s">
        <v>67</v>
      </c>
      <c r="H7004" t="str">
        <f t="shared" si="690"/>
        <v>12572900152</v>
      </c>
      <c r="I7004" t="str">
        <f t="shared" si="691"/>
        <v>06032681006</v>
      </c>
      <c r="K7004" t="str">
        <f>""</f>
        <v/>
      </c>
      <c r="M7004" t="s">
        <v>68</v>
      </c>
      <c r="N7004" t="str">
        <f t="shared" si="689"/>
        <v>FOR</v>
      </c>
      <c r="O7004" t="s">
        <v>69</v>
      </c>
      <c r="P7004" s="3" t="s">
        <v>75</v>
      </c>
      <c r="Q7004">
        <v>2015</v>
      </c>
      <c r="R7004" s="2">
        <v>42332</v>
      </c>
      <c r="S7004" s="2">
        <v>42338</v>
      </c>
      <c r="T7004" s="2">
        <v>42337</v>
      </c>
      <c r="U7004" s="2">
        <v>42397</v>
      </c>
      <c r="V7004" t="s">
        <v>71</v>
      </c>
      <c r="W7004" t="str">
        <f>"            25281563"</f>
        <v xml:space="preserve">            25281563</v>
      </c>
      <c r="X7004">
        <v>74.88</v>
      </c>
      <c r="Y7004">
        <v>0</v>
      </c>
      <c r="Z7004" s="3">
        <v>72</v>
      </c>
      <c r="AA7004">
        <v>285</v>
      </c>
      <c r="AB7004" s="5">
        <v>20520</v>
      </c>
      <c r="AC7004">
        <v>72</v>
      </c>
      <c r="AD7004">
        <v>285</v>
      </c>
      <c r="AE7004" s="1">
        <v>20520</v>
      </c>
      <c r="AF7004">
        <v>0</v>
      </c>
      <c r="AJ7004">
        <v>0</v>
      </c>
      <c r="AK7004">
        <v>0</v>
      </c>
      <c r="AL7004">
        <v>0</v>
      </c>
      <c r="AM7004">
        <v>0</v>
      </c>
      <c r="AN7004">
        <v>0</v>
      </c>
      <c r="AO7004">
        <v>0</v>
      </c>
      <c r="AP7004" s="2">
        <v>42746</v>
      </c>
      <c r="AQ7004" t="s">
        <v>72</v>
      </c>
      <c r="AR7004" t="s">
        <v>72</v>
      </c>
      <c r="AS7004">
        <v>2963</v>
      </c>
      <c r="AT7004" s="4">
        <v>42682</v>
      </c>
      <c r="AU7004" t="s">
        <v>73</v>
      </c>
      <c r="AV7004">
        <v>2963</v>
      </c>
      <c r="AW7004" s="4">
        <v>42682</v>
      </c>
      <c r="BD7004">
        <v>0</v>
      </c>
      <c r="BN7004" t="s">
        <v>74</v>
      </c>
    </row>
    <row r="7005" spans="1:66">
      <c r="A7005">
        <v>104093</v>
      </c>
      <c r="B7005" s="3" t="s">
        <v>609</v>
      </c>
      <c r="C7005" s="1">
        <v>43300101</v>
      </c>
      <c r="D7005" t="s">
        <v>67</v>
      </c>
      <c r="H7005" t="str">
        <f t="shared" si="690"/>
        <v>12572900152</v>
      </c>
      <c r="I7005" t="str">
        <f t="shared" si="691"/>
        <v>06032681006</v>
      </c>
      <c r="K7005" t="str">
        <f>""</f>
        <v/>
      </c>
      <c r="M7005" t="s">
        <v>68</v>
      </c>
      <c r="N7005" t="str">
        <f t="shared" si="689"/>
        <v>FOR</v>
      </c>
      <c r="O7005" t="s">
        <v>69</v>
      </c>
      <c r="P7005" s="3" t="s">
        <v>75</v>
      </c>
      <c r="Q7005">
        <v>2015</v>
      </c>
      <c r="R7005" s="2">
        <v>42334</v>
      </c>
      <c r="S7005" s="2">
        <v>42338</v>
      </c>
      <c r="T7005" s="2">
        <v>42335</v>
      </c>
      <c r="U7005" s="2">
        <v>42395</v>
      </c>
      <c r="V7005" t="s">
        <v>71</v>
      </c>
      <c r="W7005" t="str">
        <f>"            25282141"</f>
        <v xml:space="preserve">            25282141</v>
      </c>
      <c r="X7005">
        <v>926.64</v>
      </c>
      <c r="Y7005">
        <v>0</v>
      </c>
      <c r="Z7005" s="3">
        <v>891</v>
      </c>
      <c r="AA7005">
        <v>287</v>
      </c>
      <c r="AB7005" s="5">
        <v>255717</v>
      </c>
      <c r="AC7005">
        <v>891</v>
      </c>
      <c r="AD7005">
        <v>287</v>
      </c>
      <c r="AE7005" s="1">
        <v>255717</v>
      </c>
      <c r="AF7005">
        <v>0</v>
      </c>
      <c r="AJ7005">
        <v>0</v>
      </c>
      <c r="AK7005">
        <v>0</v>
      </c>
      <c r="AL7005">
        <v>0</v>
      </c>
      <c r="AM7005">
        <v>0</v>
      </c>
      <c r="AN7005">
        <v>0</v>
      </c>
      <c r="AO7005">
        <v>0</v>
      </c>
      <c r="AP7005" s="2">
        <v>42746</v>
      </c>
      <c r="AQ7005" t="s">
        <v>72</v>
      </c>
      <c r="AR7005" t="s">
        <v>72</v>
      </c>
      <c r="AS7005">
        <v>2963</v>
      </c>
      <c r="AT7005" s="4">
        <v>42682</v>
      </c>
      <c r="AU7005" t="s">
        <v>73</v>
      </c>
      <c r="AV7005">
        <v>2963</v>
      </c>
      <c r="AW7005" s="4">
        <v>42682</v>
      </c>
      <c r="BD7005">
        <v>0</v>
      </c>
      <c r="BN7005" t="s">
        <v>74</v>
      </c>
    </row>
    <row r="7006" spans="1:66">
      <c r="A7006">
        <v>104093</v>
      </c>
      <c r="B7006" s="3" t="s">
        <v>609</v>
      </c>
      <c r="C7006" s="1">
        <v>43300101</v>
      </c>
      <c r="D7006" t="s">
        <v>67</v>
      </c>
      <c r="H7006" t="str">
        <f t="shared" si="690"/>
        <v>12572900152</v>
      </c>
      <c r="I7006" t="str">
        <f t="shared" si="691"/>
        <v>06032681006</v>
      </c>
      <c r="K7006" t="str">
        <f>""</f>
        <v/>
      </c>
      <c r="M7006" t="s">
        <v>68</v>
      </c>
      <c r="N7006" t="str">
        <f t="shared" si="689"/>
        <v>FOR</v>
      </c>
      <c r="O7006" t="s">
        <v>69</v>
      </c>
      <c r="P7006" s="3" t="s">
        <v>75</v>
      </c>
      <c r="Q7006">
        <v>2015</v>
      </c>
      <c r="R7006" s="2">
        <v>42335</v>
      </c>
      <c r="S7006" s="2">
        <v>42348</v>
      </c>
      <c r="T7006" s="2">
        <v>42347</v>
      </c>
      <c r="U7006" s="2">
        <v>42407</v>
      </c>
      <c r="V7006" t="s">
        <v>71</v>
      </c>
      <c r="W7006" t="str">
        <f>"            25282485"</f>
        <v xml:space="preserve">            25282485</v>
      </c>
      <c r="X7006">
        <v>707.62</v>
      </c>
      <c r="Y7006">
        <v>0</v>
      </c>
      <c r="Z7006" s="3">
        <v>680.4</v>
      </c>
      <c r="AA7006">
        <v>275</v>
      </c>
      <c r="AB7006" s="5">
        <v>187110</v>
      </c>
      <c r="AC7006">
        <v>680.4</v>
      </c>
      <c r="AD7006">
        <v>275</v>
      </c>
      <c r="AE7006" s="1">
        <v>187110</v>
      </c>
      <c r="AF7006">
        <v>0</v>
      </c>
      <c r="AJ7006">
        <v>0</v>
      </c>
      <c r="AK7006">
        <v>0</v>
      </c>
      <c r="AL7006">
        <v>0</v>
      </c>
      <c r="AM7006">
        <v>0</v>
      </c>
      <c r="AN7006">
        <v>0</v>
      </c>
      <c r="AO7006">
        <v>0</v>
      </c>
      <c r="AP7006" s="2">
        <v>42746</v>
      </c>
      <c r="AQ7006" t="s">
        <v>72</v>
      </c>
      <c r="AR7006" t="s">
        <v>72</v>
      </c>
      <c r="AS7006">
        <v>2963</v>
      </c>
      <c r="AT7006" s="4">
        <v>42682</v>
      </c>
      <c r="AU7006" t="s">
        <v>73</v>
      </c>
      <c r="AV7006">
        <v>2963</v>
      </c>
      <c r="AW7006" s="4">
        <v>42682</v>
      </c>
      <c r="BD7006">
        <v>0</v>
      </c>
      <c r="BN7006" t="s">
        <v>74</v>
      </c>
    </row>
    <row r="7007" spans="1:66">
      <c r="A7007">
        <v>104093</v>
      </c>
      <c r="B7007" s="3" t="s">
        <v>609</v>
      </c>
      <c r="C7007" s="1">
        <v>43300101</v>
      </c>
      <c r="D7007" t="s">
        <v>67</v>
      </c>
      <c r="H7007" t="str">
        <f t="shared" si="690"/>
        <v>12572900152</v>
      </c>
      <c r="I7007" t="str">
        <f t="shared" si="691"/>
        <v>06032681006</v>
      </c>
      <c r="K7007" t="str">
        <f>""</f>
        <v/>
      </c>
      <c r="M7007" t="s">
        <v>68</v>
      </c>
      <c r="N7007" t="str">
        <f t="shared" si="689"/>
        <v>FOR</v>
      </c>
      <c r="O7007" t="s">
        <v>69</v>
      </c>
      <c r="P7007" s="3" t="s">
        <v>75</v>
      </c>
      <c r="Q7007">
        <v>2015</v>
      </c>
      <c r="R7007" s="2">
        <v>42335</v>
      </c>
      <c r="S7007" s="2">
        <v>42348</v>
      </c>
      <c r="T7007" s="2">
        <v>42347</v>
      </c>
      <c r="U7007" s="2">
        <v>42407</v>
      </c>
      <c r="V7007" t="s">
        <v>71</v>
      </c>
      <c r="W7007" t="str">
        <f>"            25282488"</f>
        <v xml:space="preserve">            25282488</v>
      </c>
      <c r="X7007">
        <v>74.88</v>
      </c>
      <c r="Y7007">
        <v>0</v>
      </c>
      <c r="Z7007" s="3">
        <v>72</v>
      </c>
      <c r="AA7007">
        <v>275</v>
      </c>
      <c r="AB7007" s="5">
        <v>19800</v>
      </c>
      <c r="AC7007">
        <v>72</v>
      </c>
      <c r="AD7007">
        <v>275</v>
      </c>
      <c r="AE7007" s="1">
        <v>19800</v>
      </c>
      <c r="AF7007">
        <v>0</v>
      </c>
      <c r="AJ7007">
        <v>0</v>
      </c>
      <c r="AK7007">
        <v>0</v>
      </c>
      <c r="AL7007">
        <v>0</v>
      </c>
      <c r="AM7007">
        <v>0</v>
      </c>
      <c r="AN7007">
        <v>0</v>
      </c>
      <c r="AO7007">
        <v>0</v>
      </c>
      <c r="AP7007" s="2">
        <v>42746</v>
      </c>
      <c r="AQ7007" t="s">
        <v>72</v>
      </c>
      <c r="AR7007" t="s">
        <v>72</v>
      </c>
      <c r="AS7007">
        <v>2963</v>
      </c>
      <c r="AT7007" s="4">
        <v>42682</v>
      </c>
      <c r="AU7007" t="s">
        <v>73</v>
      </c>
      <c r="AV7007">
        <v>2963</v>
      </c>
      <c r="AW7007" s="4">
        <v>42682</v>
      </c>
      <c r="BD7007">
        <v>0</v>
      </c>
      <c r="BN7007" t="s">
        <v>74</v>
      </c>
    </row>
    <row r="7008" spans="1:66">
      <c r="A7008">
        <v>104093</v>
      </c>
      <c r="B7008" s="3" t="s">
        <v>609</v>
      </c>
      <c r="C7008" s="1">
        <v>43300101</v>
      </c>
      <c r="D7008" t="s">
        <v>67</v>
      </c>
      <c r="H7008" t="str">
        <f t="shared" si="690"/>
        <v>12572900152</v>
      </c>
      <c r="I7008" t="str">
        <f t="shared" si="691"/>
        <v>06032681006</v>
      </c>
      <c r="K7008" t="str">
        <f>""</f>
        <v/>
      </c>
      <c r="M7008" t="s">
        <v>68</v>
      </c>
      <c r="N7008" t="str">
        <f t="shared" si="689"/>
        <v>FOR</v>
      </c>
      <c r="O7008" t="s">
        <v>69</v>
      </c>
      <c r="P7008" s="3" t="s">
        <v>75</v>
      </c>
      <c r="Q7008">
        <v>2015</v>
      </c>
      <c r="R7008" s="2">
        <v>42335</v>
      </c>
      <c r="S7008" s="2">
        <v>42348</v>
      </c>
      <c r="T7008" s="2">
        <v>42347</v>
      </c>
      <c r="U7008" s="2">
        <v>42407</v>
      </c>
      <c r="V7008" t="s">
        <v>71</v>
      </c>
      <c r="W7008" t="str">
        <f>"            25282489"</f>
        <v xml:space="preserve">            25282489</v>
      </c>
      <c r="X7008">
        <v>252.72</v>
      </c>
      <c r="Y7008">
        <v>0</v>
      </c>
      <c r="Z7008" s="3">
        <v>243</v>
      </c>
      <c r="AA7008">
        <v>275</v>
      </c>
      <c r="AB7008" s="5">
        <v>66825</v>
      </c>
      <c r="AC7008">
        <v>243</v>
      </c>
      <c r="AD7008">
        <v>275</v>
      </c>
      <c r="AE7008" s="1">
        <v>66825</v>
      </c>
      <c r="AF7008">
        <v>0</v>
      </c>
      <c r="AJ7008">
        <v>0</v>
      </c>
      <c r="AK7008">
        <v>0</v>
      </c>
      <c r="AL7008">
        <v>0</v>
      </c>
      <c r="AM7008">
        <v>0</v>
      </c>
      <c r="AN7008">
        <v>0</v>
      </c>
      <c r="AO7008">
        <v>0</v>
      </c>
      <c r="AP7008" s="2">
        <v>42746</v>
      </c>
      <c r="AQ7008" t="s">
        <v>72</v>
      </c>
      <c r="AR7008" t="s">
        <v>72</v>
      </c>
      <c r="AS7008">
        <v>2963</v>
      </c>
      <c r="AT7008" s="4">
        <v>42682</v>
      </c>
      <c r="AU7008" t="s">
        <v>73</v>
      </c>
      <c r="AV7008">
        <v>2963</v>
      </c>
      <c r="AW7008" s="4">
        <v>42682</v>
      </c>
      <c r="BD7008">
        <v>0</v>
      </c>
      <c r="BN7008" t="s">
        <v>74</v>
      </c>
    </row>
    <row r="7009" spans="1:66">
      <c r="A7009">
        <v>104093</v>
      </c>
      <c r="B7009" s="3" t="s">
        <v>609</v>
      </c>
      <c r="C7009" s="1">
        <v>43300101</v>
      </c>
      <c r="D7009" t="s">
        <v>67</v>
      </c>
      <c r="H7009" t="str">
        <f t="shared" si="690"/>
        <v>12572900152</v>
      </c>
      <c r="I7009" t="str">
        <f t="shared" si="691"/>
        <v>06032681006</v>
      </c>
      <c r="K7009" t="str">
        <f>""</f>
        <v/>
      </c>
      <c r="M7009" t="s">
        <v>68</v>
      </c>
      <c r="N7009" t="str">
        <f t="shared" si="689"/>
        <v>FOR</v>
      </c>
      <c r="O7009" t="s">
        <v>69</v>
      </c>
      <c r="P7009" s="3" t="s">
        <v>75</v>
      </c>
      <c r="Q7009">
        <v>2015</v>
      </c>
      <c r="R7009" s="2">
        <v>42340</v>
      </c>
      <c r="S7009" s="2">
        <v>42342</v>
      </c>
      <c r="T7009" s="2">
        <v>42341</v>
      </c>
      <c r="U7009" s="2">
        <v>42401</v>
      </c>
      <c r="V7009" t="s">
        <v>71</v>
      </c>
      <c r="W7009" t="str">
        <f>"            25283631"</f>
        <v xml:space="preserve">            25283631</v>
      </c>
      <c r="X7009">
        <v>748.8</v>
      </c>
      <c r="Y7009">
        <v>0</v>
      </c>
      <c r="Z7009" s="3">
        <v>720</v>
      </c>
      <c r="AA7009">
        <v>281</v>
      </c>
      <c r="AB7009" s="5">
        <v>202320</v>
      </c>
      <c r="AC7009">
        <v>720</v>
      </c>
      <c r="AD7009">
        <v>281</v>
      </c>
      <c r="AE7009" s="1">
        <v>202320</v>
      </c>
      <c r="AF7009">
        <v>0</v>
      </c>
      <c r="AJ7009">
        <v>0</v>
      </c>
      <c r="AK7009">
        <v>0</v>
      </c>
      <c r="AL7009">
        <v>0</v>
      </c>
      <c r="AM7009">
        <v>0</v>
      </c>
      <c r="AN7009">
        <v>0</v>
      </c>
      <c r="AO7009">
        <v>0</v>
      </c>
      <c r="AP7009" s="2">
        <v>42746</v>
      </c>
      <c r="AQ7009" t="s">
        <v>72</v>
      </c>
      <c r="AR7009" t="s">
        <v>72</v>
      </c>
      <c r="AS7009">
        <v>2963</v>
      </c>
      <c r="AT7009" s="4">
        <v>42682</v>
      </c>
      <c r="AU7009" t="s">
        <v>73</v>
      </c>
      <c r="AV7009">
        <v>2963</v>
      </c>
      <c r="AW7009" s="4">
        <v>42682</v>
      </c>
      <c r="BD7009">
        <v>0</v>
      </c>
      <c r="BN7009" t="s">
        <v>74</v>
      </c>
    </row>
    <row r="7010" spans="1:66">
      <c r="A7010">
        <v>104093</v>
      </c>
      <c r="B7010" s="3" t="s">
        <v>609</v>
      </c>
      <c r="C7010" s="1">
        <v>43300101</v>
      </c>
      <c r="D7010" t="s">
        <v>67</v>
      </c>
      <c r="H7010" t="str">
        <f t="shared" si="690"/>
        <v>12572900152</v>
      </c>
      <c r="I7010" t="str">
        <f t="shared" si="691"/>
        <v>06032681006</v>
      </c>
      <c r="K7010" t="str">
        <f>""</f>
        <v/>
      </c>
      <c r="M7010" t="s">
        <v>68</v>
      </c>
      <c r="N7010" t="str">
        <f t="shared" si="689"/>
        <v>FOR</v>
      </c>
      <c r="O7010" t="s">
        <v>69</v>
      </c>
      <c r="P7010" s="3" t="s">
        <v>75</v>
      </c>
      <c r="Q7010">
        <v>2015</v>
      </c>
      <c r="R7010" s="2">
        <v>42341</v>
      </c>
      <c r="S7010" s="2">
        <v>42345</v>
      </c>
      <c r="T7010" s="2">
        <v>42342</v>
      </c>
      <c r="U7010" s="2">
        <v>42402</v>
      </c>
      <c r="V7010" t="s">
        <v>71</v>
      </c>
      <c r="W7010" t="str">
        <f>"            25283802"</f>
        <v xml:space="preserve">            25283802</v>
      </c>
      <c r="X7010">
        <v>74.88</v>
      </c>
      <c r="Y7010">
        <v>0</v>
      </c>
      <c r="Z7010" s="3">
        <v>72</v>
      </c>
      <c r="AA7010">
        <v>280</v>
      </c>
      <c r="AB7010" s="5">
        <v>20160</v>
      </c>
      <c r="AC7010">
        <v>72</v>
      </c>
      <c r="AD7010">
        <v>280</v>
      </c>
      <c r="AE7010" s="1">
        <v>20160</v>
      </c>
      <c r="AF7010">
        <v>0</v>
      </c>
      <c r="AJ7010">
        <v>0</v>
      </c>
      <c r="AK7010">
        <v>0</v>
      </c>
      <c r="AL7010">
        <v>0</v>
      </c>
      <c r="AM7010">
        <v>0</v>
      </c>
      <c r="AN7010">
        <v>0</v>
      </c>
      <c r="AO7010">
        <v>0</v>
      </c>
      <c r="AP7010" s="2">
        <v>42746</v>
      </c>
      <c r="AQ7010" t="s">
        <v>72</v>
      </c>
      <c r="AR7010" t="s">
        <v>72</v>
      </c>
      <c r="AS7010">
        <v>2963</v>
      </c>
      <c r="AT7010" s="4">
        <v>42682</v>
      </c>
      <c r="AU7010" t="s">
        <v>73</v>
      </c>
      <c r="AV7010">
        <v>2963</v>
      </c>
      <c r="AW7010" s="4">
        <v>42682</v>
      </c>
      <c r="BD7010">
        <v>0</v>
      </c>
      <c r="BN7010" t="s">
        <v>74</v>
      </c>
    </row>
    <row r="7011" spans="1:66">
      <c r="A7011">
        <v>104093</v>
      </c>
      <c r="B7011" s="3" t="s">
        <v>609</v>
      </c>
      <c r="C7011" s="1">
        <v>43300101</v>
      </c>
      <c r="D7011" t="s">
        <v>67</v>
      </c>
      <c r="H7011" t="str">
        <f t="shared" si="690"/>
        <v>12572900152</v>
      </c>
      <c r="I7011" t="str">
        <f t="shared" si="691"/>
        <v>06032681006</v>
      </c>
      <c r="K7011" t="str">
        <f>""</f>
        <v/>
      </c>
      <c r="M7011" t="s">
        <v>68</v>
      </c>
      <c r="N7011" t="str">
        <f t="shared" si="689"/>
        <v>FOR</v>
      </c>
      <c r="O7011" t="s">
        <v>69</v>
      </c>
      <c r="P7011" s="3" t="s">
        <v>75</v>
      </c>
      <c r="Q7011">
        <v>2015</v>
      </c>
      <c r="R7011" s="2">
        <v>42341</v>
      </c>
      <c r="S7011" s="2">
        <v>42345</v>
      </c>
      <c r="T7011" s="2">
        <v>42342</v>
      </c>
      <c r="U7011" s="2">
        <v>42402</v>
      </c>
      <c r="V7011" t="s">
        <v>71</v>
      </c>
      <c r="W7011" t="str">
        <f>"            25283804"</f>
        <v xml:space="preserve">            25283804</v>
      </c>
      <c r="X7011">
        <v>74.88</v>
      </c>
      <c r="Y7011">
        <v>0</v>
      </c>
      <c r="Z7011" s="3">
        <v>72</v>
      </c>
      <c r="AA7011">
        <v>280</v>
      </c>
      <c r="AB7011" s="5">
        <v>20160</v>
      </c>
      <c r="AC7011">
        <v>72</v>
      </c>
      <c r="AD7011">
        <v>280</v>
      </c>
      <c r="AE7011" s="1">
        <v>20160</v>
      </c>
      <c r="AF7011">
        <v>0</v>
      </c>
      <c r="AJ7011">
        <v>0</v>
      </c>
      <c r="AK7011">
        <v>0</v>
      </c>
      <c r="AL7011">
        <v>0</v>
      </c>
      <c r="AM7011">
        <v>0</v>
      </c>
      <c r="AN7011">
        <v>0</v>
      </c>
      <c r="AO7011">
        <v>0</v>
      </c>
      <c r="AP7011" s="2">
        <v>42746</v>
      </c>
      <c r="AQ7011" t="s">
        <v>72</v>
      </c>
      <c r="AR7011" t="s">
        <v>72</v>
      </c>
      <c r="AS7011">
        <v>2963</v>
      </c>
      <c r="AT7011" s="4">
        <v>42682</v>
      </c>
      <c r="AU7011" t="s">
        <v>73</v>
      </c>
      <c r="AV7011">
        <v>2963</v>
      </c>
      <c r="AW7011" s="4">
        <v>42682</v>
      </c>
      <c r="BD7011">
        <v>0</v>
      </c>
      <c r="BN7011" t="s">
        <v>74</v>
      </c>
    </row>
    <row r="7012" spans="1:66">
      <c r="A7012">
        <v>104093</v>
      </c>
      <c r="B7012" s="3" t="s">
        <v>609</v>
      </c>
      <c r="C7012" s="1">
        <v>43300101</v>
      </c>
      <c r="D7012" t="s">
        <v>67</v>
      </c>
      <c r="H7012" t="str">
        <f t="shared" si="690"/>
        <v>12572900152</v>
      </c>
      <c r="I7012" t="str">
        <f t="shared" si="691"/>
        <v>06032681006</v>
      </c>
      <c r="K7012" t="str">
        <f>""</f>
        <v/>
      </c>
      <c r="M7012" t="s">
        <v>68</v>
      </c>
      <c r="N7012" t="str">
        <f t="shared" si="689"/>
        <v>FOR</v>
      </c>
      <c r="O7012" t="s">
        <v>69</v>
      </c>
      <c r="P7012" s="3" t="s">
        <v>75</v>
      </c>
      <c r="Q7012">
        <v>2015</v>
      </c>
      <c r="R7012" s="2">
        <v>42341</v>
      </c>
      <c r="S7012" s="2">
        <v>42345</v>
      </c>
      <c r="T7012" s="2">
        <v>42342</v>
      </c>
      <c r="U7012" s="2">
        <v>42402</v>
      </c>
      <c r="V7012" t="s">
        <v>71</v>
      </c>
      <c r="W7012" t="str">
        <f>"            25283806"</f>
        <v xml:space="preserve">            25283806</v>
      </c>
      <c r="X7012">
        <v>74.88</v>
      </c>
      <c r="Y7012">
        <v>0</v>
      </c>
      <c r="Z7012" s="3">
        <v>72</v>
      </c>
      <c r="AA7012">
        <v>280</v>
      </c>
      <c r="AB7012" s="5">
        <v>20160</v>
      </c>
      <c r="AC7012">
        <v>72</v>
      </c>
      <c r="AD7012">
        <v>280</v>
      </c>
      <c r="AE7012" s="1">
        <v>20160</v>
      </c>
      <c r="AF7012">
        <v>0</v>
      </c>
      <c r="AJ7012">
        <v>0</v>
      </c>
      <c r="AK7012">
        <v>0</v>
      </c>
      <c r="AL7012">
        <v>0</v>
      </c>
      <c r="AM7012">
        <v>0</v>
      </c>
      <c r="AN7012">
        <v>0</v>
      </c>
      <c r="AO7012">
        <v>0</v>
      </c>
      <c r="AP7012" s="2">
        <v>42746</v>
      </c>
      <c r="AQ7012" t="s">
        <v>72</v>
      </c>
      <c r="AR7012" t="s">
        <v>72</v>
      </c>
      <c r="AS7012">
        <v>2963</v>
      </c>
      <c r="AT7012" s="4">
        <v>42682</v>
      </c>
      <c r="AU7012" t="s">
        <v>73</v>
      </c>
      <c r="AV7012">
        <v>2963</v>
      </c>
      <c r="AW7012" s="4">
        <v>42682</v>
      </c>
      <c r="BD7012">
        <v>0</v>
      </c>
      <c r="BN7012" t="s">
        <v>74</v>
      </c>
    </row>
    <row r="7013" spans="1:66">
      <c r="A7013">
        <v>104093</v>
      </c>
      <c r="B7013" s="3" t="s">
        <v>609</v>
      </c>
      <c r="C7013" s="1">
        <v>43300101</v>
      </c>
      <c r="D7013" t="s">
        <v>67</v>
      </c>
      <c r="H7013" t="str">
        <f t="shared" si="690"/>
        <v>12572900152</v>
      </c>
      <c r="I7013" t="str">
        <f t="shared" si="691"/>
        <v>06032681006</v>
      </c>
      <c r="K7013" t="str">
        <f>""</f>
        <v/>
      </c>
      <c r="M7013" t="s">
        <v>68</v>
      </c>
      <c r="N7013" t="str">
        <f t="shared" si="689"/>
        <v>FOR</v>
      </c>
      <c r="O7013" t="s">
        <v>69</v>
      </c>
      <c r="P7013" s="3" t="s">
        <v>75</v>
      </c>
      <c r="Q7013">
        <v>2015</v>
      </c>
      <c r="R7013" s="2">
        <v>42342</v>
      </c>
      <c r="S7013" s="2">
        <v>42345</v>
      </c>
      <c r="T7013" s="2">
        <v>42345</v>
      </c>
      <c r="U7013" s="2">
        <v>42405</v>
      </c>
      <c r="V7013" t="s">
        <v>71</v>
      </c>
      <c r="W7013" t="str">
        <f>"            25284052"</f>
        <v xml:space="preserve">            25284052</v>
      </c>
      <c r="X7013">
        <v>707.62</v>
      </c>
      <c r="Y7013">
        <v>0</v>
      </c>
      <c r="Z7013" s="3">
        <v>680.4</v>
      </c>
      <c r="AA7013">
        <v>277</v>
      </c>
      <c r="AB7013" s="5">
        <v>188470.8</v>
      </c>
      <c r="AC7013">
        <v>680.4</v>
      </c>
      <c r="AD7013">
        <v>277</v>
      </c>
      <c r="AE7013" s="1">
        <v>188470.8</v>
      </c>
      <c r="AF7013">
        <v>0</v>
      </c>
      <c r="AJ7013">
        <v>0</v>
      </c>
      <c r="AK7013">
        <v>0</v>
      </c>
      <c r="AL7013">
        <v>0</v>
      </c>
      <c r="AM7013">
        <v>0</v>
      </c>
      <c r="AN7013">
        <v>0</v>
      </c>
      <c r="AO7013">
        <v>0</v>
      </c>
      <c r="AP7013" s="2">
        <v>42746</v>
      </c>
      <c r="AQ7013" t="s">
        <v>72</v>
      </c>
      <c r="AR7013" t="s">
        <v>72</v>
      </c>
      <c r="AS7013">
        <v>2963</v>
      </c>
      <c r="AT7013" s="4">
        <v>42682</v>
      </c>
      <c r="AU7013" t="s">
        <v>73</v>
      </c>
      <c r="AV7013">
        <v>2963</v>
      </c>
      <c r="AW7013" s="4">
        <v>42682</v>
      </c>
      <c r="BD7013">
        <v>0</v>
      </c>
      <c r="BN7013" t="s">
        <v>74</v>
      </c>
    </row>
    <row r="7014" spans="1:66">
      <c r="A7014">
        <v>104093</v>
      </c>
      <c r="B7014" s="3" t="s">
        <v>609</v>
      </c>
      <c r="C7014" s="1">
        <v>43300101</v>
      </c>
      <c r="D7014" t="s">
        <v>67</v>
      </c>
      <c r="H7014" t="str">
        <f t="shared" si="690"/>
        <v>12572900152</v>
      </c>
      <c r="I7014" t="str">
        <f t="shared" si="691"/>
        <v>06032681006</v>
      </c>
      <c r="K7014" t="str">
        <f>""</f>
        <v/>
      </c>
      <c r="M7014" t="s">
        <v>68</v>
      </c>
      <c r="N7014" t="str">
        <f t="shared" si="689"/>
        <v>FOR</v>
      </c>
      <c r="O7014" t="s">
        <v>69</v>
      </c>
      <c r="P7014" s="3" t="s">
        <v>75</v>
      </c>
      <c r="Q7014">
        <v>2015</v>
      </c>
      <c r="R7014" s="2">
        <v>42342</v>
      </c>
      <c r="S7014" s="2">
        <v>42348</v>
      </c>
      <c r="T7014" s="2">
        <v>42347</v>
      </c>
      <c r="U7014" s="2">
        <v>42407</v>
      </c>
      <c r="V7014" t="s">
        <v>71</v>
      </c>
      <c r="W7014" t="str">
        <f>"            25284055"</f>
        <v xml:space="preserve">            25284055</v>
      </c>
      <c r="X7014">
        <v>252.72</v>
      </c>
      <c r="Y7014">
        <v>0</v>
      </c>
      <c r="Z7014" s="3">
        <v>243</v>
      </c>
      <c r="AA7014">
        <v>275</v>
      </c>
      <c r="AB7014" s="5">
        <v>66825</v>
      </c>
      <c r="AC7014">
        <v>243</v>
      </c>
      <c r="AD7014">
        <v>275</v>
      </c>
      <c r="AE7014" s="1">
        <v>66825</v>
      </c>
      <c r="AF7014">
        <v>0</v>
      </c>
      <c r="AJ7014">
        <v>0</v>
      </c>
      <c r="AK7014">
        <v>0</v>
      </c>
      <c r="AL7014">
        <v>0</v>
      </c>
      <c r="AM7014">
        <v>0</v>
      </c>
      <c r="AN7014">
        <v>0</v>
      </c>
      <c r="AO7014">
        <v>0</v>
      </c>
      <c r="AP7014" s="2">
        <v>42746</v>
      </c>
      <c r="AQ7014" t="s">
        <v>72</v>
      </c>
      <c r="AR7014" t="s">
        <v>72</v>
      </c>
      <c r="AS7014">
        <v>2963</v>
      </c>
      <c r="AT7014" s="4">
        <v>42682</v>
      </c>
      <c r="AU7014" t="s">
        <v>73</v>
      </c>
      <c r="AV7014">
        <v>2963</v>
      </c>
      <c r="AW7014" s="4">
        <v>42682</v>
      </c>
      <c r="BD7014">
        <v>0</v>
      </c>
      <c r="BN7014" t="s">
        <v>74</v>
      </c>
    </row>
    <row r="7015" spans="1:66">
      <c r="A7015">
        <v>104093</v>
      </c>
      <c r="B7015" s="3" t="s">
        <v>609</v>
      </c>
      <c r="C7015" s="1">
        <v>43300101</v>
      </c>
      <c r="D7015" t="s">
        <v>67</v>
      </c>
      <c r="H7015" t="str">
        <f t="shared" si="690"/>
        <v>12572900152</v>
      </c>
      <c r="I7015" t="str">
        <f t="shared" si="691"/>
        <v>06032681006</v>
      </c>
      <c r="K7015" t="str">
        <f>""</f>
        <v/>
      </c>
      <c r="M7015" t="s">
        <v>68</v>
      </c>
      <c r="N7015" t="str">
        <f t="shared" si="689"/>
        <v>FOR</v>
      </c>
      <c r="O7015" t="s">
        <v>69</v>
      </c>
      <c r="P7015" s="3" t="s">
        <v>75</v>
      </c>
      <c r="Q7015">
        <v>2015</v>
      </c>
      <c r="R7015" s="2">
        <v>42342</v>
      </c>
      <c r="S7015" s="2">
        <v>42345</v>
      </c>
      <c r="T7015" s="2">
        <v>42345</v>
      </c>
      <c r="U7015" s="2">
        <v>42405</v>
      </c>
      <c r="V7015" t="s">
        <v>71</v>
      </c>
      <c r="W7015" t="str">
        <f>"            25284056"</f>
        <v xml:space="preserve">            25284056</v>
      </c>
      <c r="X7015">
        <v>74.88</v>
      </c>
      <c r="Y7015">
        <v>0</v>
      </c>
      <c r="Z7015" s="3">
        <v>72</v>
      </c>
      <c r="AA7015">
        <v>277</v>
      </c>
      <c r="AB7015" s="5">
        <v>19944</v>
      </c>
      <c r="AC7015">
        <v>72</v>
      </c>
      <c r="AD7015">
        <v>277</v>
      </c>
      <c r="AE7015" s="1">
        <v>19944</v>
      </c>
      <c r="AF7015">
        <v>0</v>
      </c>
      <c r="AJ7015">
        <v>0</v>
      </c>
      <c r="AK7015">
        <v>0</v>
      </c>
      <c r="AL7015">
        <v>0</v>
      </c>
      <c r="AM7015">
        <v>0</v>
      </c>
      <c r="AN7015">
        <v>0</v>
      </c>
      <c r="AO7015">
        <v>0</v>
      </c>
      <c r="AP7015" s="2">
        <v>42746</v>
      </c>
      <c r="AQ7015" t="s">
        <v>72</v>
      </c>
      <c r="AR7015" t="s">
        <v>72</v>
      </c>
      <c r="AS7015">
        <v>2963</v>
      </c>
      <c r="AT7015" s="4">
        <v>42682</v>
      </c>
      <c r="AU7015" t="s">
        <v>73</v>
      </c>
      <c r="AV7015">
        <v>2963</v>
      </c>
      <c r="AW7015" s="4">
        <v>42682</v>
      </c>
      <c r="BD7015">
        <v>0</v>
      </c>
      <c r="BN7015" t="s">
        <v>74</v>
      </c>
    </row>
    <row r="7016" spans="1:66">
      <c r="A7016">
        <v>104093</v>
      </c>
      <c r="B7016" s="3" t="s">
        <v>609</v>
      </c>
      <c r="C7016" s="1">
        <v>43300101</v>
      </c>
      <c r="D7016" t="s">
        <v>67</v>
      </c>
      <c r="H7016" t="str">
        <f t="shared" si="690"/>
        <v>12572900152</v>
      </c>
      <c r="I7016" t="str">
        <f t="shared" si="691"/>
        <v>06032681006</v>
      </c>
      <c r="K7016" t="str">
        <f>""</f>
        <v/>
      </c>
      <c r="M7016" t="s">
        <v>68</v>
      </c>
      <c r="N7016" t="str">
        <f t="shared" si="689"/>
        <v>FOR</v>
      </c>
      <c r="O7016" t="s">
        <v>69</v>
      </c>
      <c r="P7016" s="3" t="s">
        <v>75</v>
      </c>
      <c r="Q7016">
        <v>2015</v>
      </c>
      <c r="R7016" s="2">
        <v>42348</v>
      </c>
      <c r="S7016" s="2">
        <v>42353</v>
      </c>
      <c r="T7016" s="2">
        <v>42349</v>
      </c>
      <c r="U7016" s="2">
        <v>42409</v>
      </c>
      <c r="V7016" t="s">
        <v>71</v>
      </c>
      <c r="W7016" t="str">
        <f>"            25284834"</f>
        <v xml:space="preserve">            25284834</v>
      </c>
      <c r="X7016">
        <v>74.88</v>
      </c>
      <c r="Y7016">
        <v>0</v>
      </c>
      <c r="Z7016" s="3">
        <v>72</v>
      </c>
      <c r="AA7016">
        <v>273</v>
      </c>
      <c r="AB7016" s="5">
        <v>19656</v>
      </c>
      <c r="AC7016">
        <v>72</v>
      </c>
      <c r="AD7016">
        <v>273</v>
      </c>
      <c r="AE7016" s="1">
        <v>19656</v>
      </c>
      <c r="AF7016">
        <v>0</v>
      </c>
      <c r="AJ7016">
        <v>0</v>
      </c>
      <c r="AK7016">
        <v>0</v>
      </c>
      <c r="AL7016">
        <v>0</v>
      </c>
      <c r="AM7016">
        <v>0</v>
      </c>
      <c r="AN7016">
        <v>0</v>
      </c>
      <c r="AO7016">
        <v>0</v>
      </c>
      <c r="AP7016" s="2">
        <v>42746</v>
      </c>
      <c r="AQ7016" t="s">
        <v>72</v>
      </c>
      <c r="AR7016" t="s">
        <v>72</v>
      </c>
      <c r="AS7016">
        <v>2963</v>
      </c>
      <c r="AT7016" s="4">
        <v>42682</v>
      </c>
      <c r="AU7016" t="s">
        <v>73</v>
      </c>
      <c r="AV7016">
        <v>2963</v>
      </c>
      <c r="AW7016" s="4">
        <v>42682</v>
      </c>
      <c r="BD7016">
        <v>0</v>
      </c>
      <c r="BN7016" t="s">
        <v>74</v>
      </c>
    </row>
    <row r="7017" spans="1:66">
      <c r="A7017">
        <v>104093</v>
      </c>
      <c r="B7017" s="3" t="s">
        <v>609</v>
      </c>
      <c r="C7017" s="1">
        <v>43300101</v>
      </c>
      <c r="D7017" t="s">
        <v>67</v>
      </c>
      <c r="H7017" t="str">
        <f t="shared" si="690"/>
        <v>12572900152</v>
      </c>
      <c r="I7017" t="str">
        <f t="shared" si="691"/>
        <v>06032681006</v>
      </c>
      <c r="K7017" t="str">
        <f>""</f>
        <v/>
      </c>
      <c r="M7017" t="s">
        <v>68</v>
      </c>
      <c r="N7017" t="str">
        <f t="shared" si="689"/>
        <v>FOR</v>
      </c>
      <c r="O7017" t="s">
        <v>69</v>
      </c>
      <c r="P7017" s="3" t="s">
        <v>75</v>
      </c>
      <c r="Q7017">
        <v>2015</v>
      </c>
      <c r="R7017" s="2">
        <v>42348</v>
      </c>
      <c r="S7017" s="2">
        <v>42353</v>
      </c>
      <c r="T7017" s="2">
        <v>42349</v>
      </c>
      <c r="U7017" s="2">
        <v>42409</v>
      </c>
      <c r="V7017" t="s">
        <v>71</v>
      </c>
      <c r="W7017" t="str">
        <f>"            25284835"</f>
        <v xml:space="preserve">            25284835</v>
      </c>
      <c r="X7017">
        <v>252.72</v>
      </c>
      <c r="Y7017">
        <v>0</v>
      </c>
      <c r="Z7017" s="3">
        <v>243</v>
      </c>
      <c r="AA7017">
        <v>273</v>
      </c>
      <c r="AB7017" s="5">
        <v>66339</v>
      </c>
      <c r="AC7017">
        <v>243</v>
      </c>
      <c r="AD7017">
        <v>273</v>
      </c>
      <c r="AE7017" s="1">
        <v>66339</v>
      </c>
      <c r="AF7017">
        <v>0</v>
      </c>
      <c r="AJ7017">
        <v>0</v>
      </c>
      <c r="AK7017">
        <v>0</v>
      </c>
      <c r="AL7017">
        <v>0</v>
      </c>
      <c r="AM7017">
        <v>0</v>
      </c>
      <c r="AN7017">
        <v>0</v>
      </c>
      <c r="AO7017">
        <v>0</v>
      </c>
      <c r="AP7017" s="2">
        <v>42746</v>
      </c>
      <c r="AQ7017" t="s">
        <v>72</v>
      </c>
      <c r="AR7017" t="s">
        <v>72</v>
      </c>
      <c r="AS7017">
        <v>2963</v>
      </c>
      <c r="AT7017" s="4">
        <v>42682</v>
      </c>
      <c r="AU7017" t="s">
        <v>73</v>
      </c>
      <c r="AV7017">
        <v>2963</v>
      </c>
      <c r="AW7017" s="4">
        <v>42682</v>
      </c>
      <c r="BD7017">
        <v>0</v>
      </c>
      <c r="BN7017" t="s">
        <v>74</v>
      </c>
    </row>
    <row r="7018" spans="1:66">
      <c r="A7018">
        <v>104093</v>
      </c>
      <c r="B7018" s="3" t="s">
        <v>609</v>
      </c>
      <c r="C7018" s="1">
        <v>43300101</v>
      </c>
      <c r="D7018" t="s">
        <v>67</v>
      </c>
      <c r="H7018" t="str">
        <f t="shared" si="690"/>
        <v>12572900152</v>
      </c>
      <c r="I7018" t="str">
        <f t="shared" si="691"/>
        <v>06032681006</v>
      </c>
      <c r="K7018" t="str">
        <f>""</f>
        <v/>
      </c>
      <c r="M7018" t="s">
        <v>68</v>
      </c>
      <c r="N7018" t="str">
        <f t="shared" si="689"/>
        <v>FOR</v>
      </c>
      <c r="O7018" t="s">
        <v>69</v>
      </c>
      <c r="P7018" s="3" t="s">
        <v>75</v>
      </c>
      <c r="Q7018">
        <v>2015</v>
      </c>
      <c r="R7018" s="2">
        <v>42348</v>
      </c>
      <c r="S7018" s="2">
        <v>42353</v>
      </c>
      <c r="T7018" s="2">
        <v>42349</v>
      </c>
      <c r="U7018" s="2">
        <v>42409</v>
      </c>
      <c r="V7018" t="s">
        <v>71</v>
      </c>
      <c r="W7018" t="str">
        <f>"            25284837"</f>
        <v xml:space="preserve">            25284837</v>
      </c>
      <c r="X7018">
        <v>707.62</v>
      </c>
      <c r="Y7018">
        <v>0</v>
      </c>
      <c r="Z7018" s="3">
        <v>680.4</v>
      </c>
      <c r="AA7018">
        <v>273</v>
      </c>
      <c r="AB7018" s="5">
        <v>185749.2</v>
      </c>
      <c r="AC7018">
        <v>680.4</v>
      </c>
      <c r="AD7018">
        <v>273</v>
      </c>
      <c r="AE7018" s="1">
        <v>185749.2</v>
      </c>
      <c r="AF7018">
        <v>0</v>
      </c>
      <c r="AJ7018">
        <v>0</v>
      </c>
      <c r="AK7018">
        <v>0</v>
      </c>
      <c r="AL7018">
        <v>0</v>
      </c>
      <c r="AM7018">
        <v>0</v>
      </c>
      <c r="AN7018">
        <v>0</v>
      </c>
      <c r="AO7018">
        <v>0</v>
      </c>
      <c r="AP7018" s="2">
        <v>42746</v>
      </c>
      <c r="AQ7018" t="s">
        <v>72</v>
      </c>
      <c r="AR7018" t="s">
        <v>72</v>
      </c>
      <c r="AS7018">
        <v>2963</v>
      </c>
      <c r="AT7018" s="4">
        <v>42682</v>
      </c>
      <c r="AU7018" t="s">
        <v>73</v>
      </c>
      <c r="AV7018">
        <v>2963</v>
      </c>
      <c r="AW7018" s="4">
        <v>42682</v>
      </c>
      <c r="BD7018">
        <v>0</v>
      </c>
      <c r="BN7018" t="s">
        <v>74</v>
      </c>
    </row>
    <row r="7019" spans="1:66">
      <c r="A7019">
        <v>104093</v>
      </c>
      <c r="B7019" s="3" t="s">
        <v>609</v>
      </c>
      <c r="C7019" s="1">
        <v>43300101</v>
      </c>
      <c r="D7019" t="s">
        <v>67</v>
      </c>
      <c r="H7019" t="str">
        <f t="shared" si="690"/>
        <v>12572900152</v>
      </c>
      <c r="I7019" t="str">
        <f t="shared" si="691"/>
        <v>06032681006</v>
      </c>
      <c r="K7019" t="str">
        <f>""</f>
        <v/>
      </c>
      <c r="M7019" t="s">
        <v>68</v>
      </c>
      <c r="N7019" t="str">
        <f t="shared" si="689"/>
        <v>FOR</v>
      </c>
      <c r="O7019" t="s">
        <v>69</v>
      </c>
      <c r="P7019" s="3" t="s">
        <v>75</v>
      </c>
      <c r="Q7019">
        <v>2015</v>
      </c>
      <c r="R7019" s="2">
        <v>42349</v>
      </c>
      <c r="S7019" s="2">
        <v>42354</v>
      </c>
      <c r="T7019" s="2">
        <v>42352</v>
      </c>
      <c r="U7019" s="2">
        <v>42412</v>
      </c>
      <c r="V7019" t="s">
        <v>71</v>
      </c>
      <c r="W7019" t="str">
        <f>"            25285056"</f>
        <v xml:space="preserve">            25285056</v>
      </c>
      <c r="X7019">
        <v>74.88</v>
      </c>
      <c r="Y7019">
        <v>0</v>
      </c>
      <c r="Z7019" s="3">
        <v>72</v>
      </c>
      <c r="AA7019">
        <v>270</v>
      </c>
      <c r="AB7019" s="5">
        <v>19440</v>
      </c>
      <c r="AC7019">
        <v>72</v>
      </c>
      <c r="AD7019">
        <v>270</v>
      </c>
      <c r="AE7019" s="1">
        <v>19440</v>
      </c>
      <c r="AF7019">
        <v>0</v>
      </c>
      <c r="AJ7019">
        <v>0</v>
      </c>
      <c r="AK7019">
        <v>0</v>
      </c>
      <c r="AL7019">
        <v>0</v>
      </c>
      <c r="AM7019">
        <v>0</v>
      </c>
      <c r="AN7019">
        <v>0</v>
      </c>
      <c r="AO7019">
        <v>0</v>
      </c>
      <c r="AP7019" s="2">
        <v>42746</v>
      </c>
      <c r="AQ7019" t="s">
        <v>72</v>
      </c>
      <c r="AR7019" t="s">
        <v>72</v>
      </c>
      <c r="AS7019">
        <v>2963</v>
      </c>
      <c r="AT7019" s="4">
        <v>42682</v>
      </c>
      <c r="AU7019" t="s">
        <v>73</v>
      </c>
      <c r="AV7019">
        <v>2963</v>
      </c>
      <c r="AW7019" s="4">
        <v>42682</v>
      </c>
      <c r="BD7019">
        <v>0</v>
      </c>
      <c r="BN7019" t="s">
        <v>74</v>
      </c>
    </row>
    <row r="7020" spans="1:66">
      <c r="A7020">
        <v>104093</v>
      </c>
      <c r="B7020" s="3" t="s">
        <v>609</v>
      </c>
      <c r="C7020" s="1">
        <v>43300101</v>
      </c>
      <c r="D7020" t="s">
        <v>67</v>
      </c>
      <c r="H7020" t="str">
        <f t="shared" si="690"/>
        <v>12572900152</v>
      </c>
      <c r="I7020" t="str">
        <f t="shared" si="691"/>
        <v>06032681006</v>
      </c>
      <c r="K7020" t="str">
        <f>""</f>
        <v/>
      </c>
      <c r="M7020" t="s">
        <v>68</v>
      </c>
      <c r="N7020" t="str">
        <f t="shared" si="689"/>
        <v>FOR</v>
      </c>
      <c r="O7020" t="s">
        <v>69</v>
      </c>
      <c r="P7020" s="3" t="s">
        <v>75</v>
      </c>
      <c r="Q7020">
        <v>2015</v>
      </c>
      <c r="R7020" s="2">
        <v>42349</v>
      </c>
      <c r="S7020" s="2">
        <v>42354</v>
      </c>
      <c r="T7020" s="2">
        <v>42352</v>
      </c>
      <c r="U7020" s="2">
        <v>42412</v>
      </c>
      <c r="V7020" t="s">
        <v>71</v>
      </c>
      <c r="W7020" t="str">
        <f>"            25285057"</f>
        <v xml:space="preserve">            25285057</v>
      </c>
      <c r="X7020">
        <v>74.88</v>
      </c>
      <c r="Y7020">
        <v>0</v>
      </c>
      <c r="Z7020" s="3">
        <v>72</v>
      </c>
      <c r="AA7020">
        <v>270</v>
      </c>
      <c r="AB7020" s="5">
        <v>19440</v>
      </c>
      <c r="AC7020">
        <v>72</v>
      </c>
      <c r="AD7020">
        <v>270</v>
      </c>
      <c r="AE7020" s="1">
        <v>19440</v>
      </c>
      <c r="AF7020">
        <v>0</v>
      </c>
      <c r="AJ7020">
        <v>0</v>
      </c>
      <c r="AK7020">
        <v>0</v>
      </c>
      <c r="AL7020">
        <v>0</v>
      </c>
      <c r="AM7020">
        <v>0</v>
      </c>
      <c r="AN7020">
        <v>0</v>
      </c>
      <c r="AO7020">
        <v>0</v>
      </c>
      <c r="AP7020" s="2">
        <v>42746</v>
      </c>
      <c r="AQ7020" t="s">
        <v>72</v>
      </c>
      <c r="AR7020" t="s">
        <v>72</v>
      </c>
      <c r="AS7020">
        <v>2963</v>
      </c>
      <c r="AT7020" s="4">
        <v>42682</v>
      </c>
      <c r="AU7020" t="s">
        <v>73</v>
      </c>
      <c r="AV7020">
        <v>2963</v>
      </c>
      <c r="AW7020" s="4">
        <v>42682</v>
      </c>
      <c r="BD7020">
        <v>0</v>
      </c>
      <c r="BN7020" t="s">
        <v>74</v>
      </c>
    </row>
    <row r="7021" spans="1:66">
      <c r="A7021">
        <v>104093</v>
      </c>
      <c r="B7021" s="3" t="s">
        <v>609</v>
      </c>
      <c r="C7021" s="1">
        <v>43300101</v>
      </c>
      <c r="D7021" t="s">
        <v>67</v>
      </c>
      <c r="H7021" t="str">
        <f t="shared" si="690"/>
        <v>12572900152</v>
      </c>
      <c r="I7021" t="str">
        <f t="shared" si="691"/>
        <v>06032681006</v>
      </c>
      <c r="K7021" t="str">
        <f>""</f>
        <v/>
      </c>
      <c r="M7021" t="s">
        <v>68</v>
      </c>
      <c r="N7021" t="str">
        <f t="shared" si="689"/>
        <v>FOR</v>
      </c>
      <c r="O7021" t="s">
        <v>69</v>
      </c>
      <c r="P7021" s="3" t="s">
        <v>75</v>
      </c>
      <c r="Q7021">
        <v>2015</v>
      </c>
      <c r="R7021" s="2">
        <v>42349</v>
      </c>
      <c r="S7021" s="2">
        <v>42354</v>
      </c>
      <c r="T7021" s="2">
        <v>42352</v>
      </c>
      <c r="U7021" s="2">
        <v>42412</v>
      </c>
      <c r="V7021" t="s">
        <v>71</v>
      </c>
      <c r="W7021" t="str">
        <f>"            25285058"</f>
        <v xml:space="preserve">            25285058</v>
      </c>
      <c r="X7021">
        <v>74.88</v>
      </c>
      <c r="Y7021">
        <v>0</v>
      </c>
      <c r="Z7021" s="3">
        <v>72</v>
      </c>
      <c r="AA7021">
        <v>270</v>
      </c>
      <c r="AB7021" s="5">
        <v>19440</v>
      </c>
      <c r="AC7021">
        <v>72</v>
      </c>
      <c r="AD7021">
        <v>270</v>
      </c>
      <c r="AE7021" s="1">
        <v>19440</v>
      </c>
      <c r="AF7021">
        <v>0</v>
      </c>
      <c r="AJ7021">
        <v>0</v>
      </c>
      <c r="AK7021">
        <v>0</v>
      </c>
      <c r="AL7021">
        <v>0</v>
      </c>
      <c r="AM7021">
        <v>0</v>
      </c>
      <c r="AN7021">
        <v>0</v>
      </c>
      <c r="AO7021">
        <v>0</v>
      </c>
      <c r="AP7021" s="2">
        <v>42746</v>
      </c>
      <c r="AQ7021" t="s">
        <v>72</v>
      </c>
      <c r="AR7021" t="s">
        <v>72</v>
      </c>
      <c r="AS7021">
        <v>2963</v>
      </c>
      <c r="AT7021" s="4">
        <v>42682</v>
      </c>
      <c r="AU7021" t="s">
        <v>73</v>
      </c>
      <c r="AV7021">
        <v>2963</v>
      </c>
      <c r="AW7021" s="4">
        <v>42682</v>
      </c>
      <c r="BD7021">
        <v>0</v>
      </c>
      <c r="BN7021" t="s">
        <v>74</v>
      </c>
    </row>
    <row r="7022" spans="1:66">
      <c r="A7022">
        <v>104093</v>
      </c>
      <c r="B7022" s="3" t="s">
        <v>609</v>
      </c>
      <c r="C7022" s="1">
        <v>43300101</v>
      </c>
      <c r="D7022" t="s">
        <v>67</v>
      </c>
      <c r="H7022" t="str">
        <f t="shared" si="690"/>
        <v>12572900152</v>
      </c>
      <c r="I7022" t="str">
        <f t="shared" si="691"/>
        <v>06032681006</v>
      </c>
      <c r="K7022" t="str">
        <f>""</f>
        <v/>
      </c>
      <c r="M7022" t="s">
        <v>68</v>
      </c>
      <c r="N7022" t="str">
        <f t="shared" si="689"/>
        <v>FOR</v>
      </c>
      <c r="O7022" t="s">
        <v>69</v>
      </c>
      <c r="P7022" s="3" t="s">
        <v>75</v>
      </c>
      <c r="Q7022">
        <v>2015</v>
      </c>
      <c r="R7022" s="2">
        <v>42349</v>
      </c>
      <c r="S7022" s="2">
        <v>42354</v>
      </c>
      <c r="T7022" s="2">
        <v>42352</v>
      </c>
      <c r="U7022" s="2">
        <v>42412</v>
      </c>
      <c r="V7022" t="s">
        <v>71</v>
      </c>
      <c r="W7022" t="str">
        <f>"            25285059"</f>
        <v xml:space="preserve">            25285059</v>
      </c>
      <c r="X7022">
        <v>748.8</v>
      </c>
      <c r="Y7022">
        <v>0</v>
      </c>
      <c r="Z7022" s="3">
        <v>720</v>
      </c>
      <c r="AA7022">
        <v>270</v>
      </c>
      <c r="AB7022" s="5">
        <v>194400</v>
      </c>
      <c r="AC7022">
        <v>720</v>
      </c>
      <c r="AD7022">
        <v>270</v>
      </c>
      <c r="AE7022" s="1">
        <v>194400</v>
      </c>
      <c r="AF7022">
        <v>0</v>
      </c>
      <c r="AJ7022">
        <v>0</v>
      </c>
      <c r="AK7022">
        <v>0</v>
      </c>
      <c r="AL7022">
        <v>0</v>
      </c>
      <c r="AM7022">
        <v>0</v>
      </c>
      <c r="AN7022">
        <v>0</v>
      </c>
      <c r="AO7022">
        <v>0</v>
      </c>
      <c r="AP7022" s="2">
        <v>42746</v>
      </c>
      <c r="AQ7022" t="s">
        <v>72</v>
      </c>
      <c r="AR7022" t="s">
        <v>72</v>
      </c>
      <c r="AS7022">
        <v>2963</v>
      </c>
      <c r="AT7022" s="4">
        <v>42682</v>
      </c>
      <c r="AU7022" t="s">
        <v>73</v>
      </c>
      <c r="AV7022">
        <v>2963</v>
      </c>
      <c r="AW7022" s="4">
        <v>42682</v>
      </c>
      <c r="BD7022">
        <v>0</v>
      </c>
      <c r="BN7022" t="s">
        <v>74</v>
      </c>
    </row>
    <row r="7023" spans="1:66">
      <c r="A7023">
        <v>104093</v>
      </c>
      <c r="B7023" s="3" t="s">
        <v>609</v>
      </c>
      <c r="C7023" s="1">
        <v>43300101</v>
      </c>
      <c r="D7023" t="s">
        <v>67</v>
      </c>
      <c r="H7023" t="str">
        <f t="shared" si="690"/>
        <v>12572900152</v>
      </c>
      <c r="I7023" t="str">
        <f t="shared" si="691"/>
        <v>06032681006</v>
      </c>
      <c r="K7023" t="str">
        <f>""</f>
        <v/>
      </c>
      <c r="M7023" t="s">
        <v>68</v>
      </c>
      <c r="N7023" t="str">
        <f t="shared" si="689"/>
        <v>FOR</v>
      </c>
      <c r="O7023" t="s">
        <v>69</v>
      </c>
      <c r="P7023" s="3" t="s">
        <v>75</v>
      </c>
      <c r="Q7023">
        <v>2015</v>
      </c>
      <c r="R7023" s="2">
        <v>42349</v>
      </c>
      <c r="S7023" s="2">
        <v>42354</v>
      </c>
      <c r="T7023" s="2">
        <v>42352</v>
      </c>
      <c r="U7023" s="2">
        <v>42412</v>
      </c>
      <c r="V7023" t="s">
        <v>71</v>
      </c>
      <c r="W7023" t="str">
        <f>"            25285180"</f>
        <v xml:space="preserve">            25285180</v>
      </c>
      <c r="X7023" s="1">
        <v>2635.2</v>
      </c>
      <c r="Y7023">
        <v>0</v>
      </c>
      <c r="Z7023" s="5">
        <v>2160</v>
      </c>
      <c r="AA7023">
        <v>270</v>
      </c>
      <c r="AB7023" s="5">
        <v>583200</v>
      </c>
      <c r="AC7023" s="1">
        <v>2160</v>
      </c>
      <c r="AD7023">
        <v>270</v>
      </c>
      <c r="AE7023" s="1">
        <v>583200</v>
      </c>
      <c r="AF7023">
        <v>0</v>
      </c>
      <c r="AJ7023">
        <v>0</v>
      </c>
      <c r="AK7023">
        <v>0</v>
      </c>
      <c r="AL7023">
        <v>0</v>
      </c>
      <c r="AM7023">
        <v>0</v>
      </c>
      <c r="AN7023">
        <v>0</v>
      </c>
      <c r="AO7023">
        <v>0</v>
      </c>
      <c r="AP7023" s="2">
        <v>42746</v>
      </c>
      <c r="AQ7023" t="s">
        <v>72</v>
      </c>
      <c r="AR7023" t="s">
        <v>72</v>
      </c>
      <c r="AS7023">
        <v>2963</v>
      </c>
      <c r="AT7023" s="4">
        <v>42682</v>
      </c>
      <c r="AU7023" t="s">
        <v>73</v>
      </c>
      <c r="AV7023">
        <v>2963</v>
      </c>
      <c r="AW7023" s="4">
        <v>42682</v>
      </c>
      <c r="BD7023">
        <v>0</v>
      </c>
      <c r="BN7023" t="s">
        <v>74</v>
      </c>
    </row>
    <row r="7024" spans="1:66">
      <c r="A7024">
        <v>104093</v>
      </c>
      <c r="B7024" s="3" t="s">
        <v>609</v>
      </c>
      <c r="C7024" s="1">
        <v>43300101</v>
      </c>
      <c r="D7024" t="s">
        <v>67</v>
      </c>
      <c r="H7024" t="str">
        <f t="shared" si="690"/>
        <v>12572900152</v>
      </c>
      <c r="I7024" t="str">
        <f t="shared" si="691"/>
        <v>06032681006</v>
      </c>
      <c r="K7024" t="str">
        <f>""</f>
        <v/>
      </c>
      <c r="M7024" t="s">
        <v>68</v>
      </c>
      <c r="N7024" t="str">
        <f t="shared" si="689"/>
        <v>FOR</v>
      </c>
      <c r="O7024" t="s">
        <v>69</v>
      </c>
      <c r="P7024" s="3" t="s">
        <v>75</v>
      </c>
      <c r="Q7024">
        <v>2015</v>
      </c>
      <c r="R7024" s="2">
        <v>42349</v>
      </c>
      <c r="S7024" s="2">
        <v>42354</v>
      </c>
      <c r="T7024" s="2">
        <v>42352</v>
      </c>
      <c r="U7024" s="2">
        <v>42412</v>
      </c>
      <c r="V7024" t="s">
        <v>71</v>
      </c>
      <c r="W7024" t="str">
        <f>"            25285184"</f>
        <v xml:space="preserve">            25285184</v>
      </c>
      <c r="X7024" s="1">
        <v>3256.24</v>
      </c>
      <c r="Y7024">
        <v>0</v>
      </c>
      <c r="Z7024" s="5">
        <v>3131</v>
      </c>
      <c r="AA7024">
        <v>270</v>
      </c>
      <c r="AB7024" s="5">
        <v>845370</v>
      </c>
      <c r="AC7024" s="1">
        <v>3131</v>
      </c>
      <c r="AD7024">
        <v>270</v>
      </c>
      <c r="AE7024" s="1">
        <v>845370</v>
      </c>
      <c r="AF7024">
        <v>0</v>
      </c>
      <c r="AJ7024">
        <v>0</v>
      </c>
      <c r="AK7024">
        <v>0</v>
      </c>
      <c r="AL7024">
        <v>0</v>
      </c>
      <c r="AM7024">
        <v>0</v>
      </c>
      <c r="AN7024">
        <v>0</v>
      </c>
      <c r="AO7024">
        <v>0</v>
      </c>
      <c r="AP7024" s="2">
        <v>42746</v>
      </c>
      <c r="AQ7024" t="s">
        <v>72</v>
      </c>
      <c r="AR7024" t="s">
        <v>72</v>
      </c>
      <c r="AS7024">
        <v>2963</v>
      </c>
      <c r="AT7024" s="4">
        <v>42682</v>
      </c>
      <c r="AU7024" t="s">
        <v>73</v>
      </c>
      <c r="AV7024">
        <v>2963</v>
      </c>
      <c r="AW7024" s="4">
        <v>42682</v>
      </c>
      <c r="BD7024">
        <v>0</v>
      </c>
      <c r="BN7024" t="s">
        <v>74</v>
      </c>
    </row>
    <row r="7025" spans="1:66">
      <c r="A7025">
        <v>104093</v>
      </c>
      <c r="B7025" s="3" t="s">
        <v>609</v>
      </c>
      <c r="C7025" s="1">
        <v>43300101</v>
      </c>
      <c r="D7025" t="s">
        <v>67</v>
      </c>
      <c r="H7025" t="str">
        <f t="shared" si="690"/>
        <v>12572900152</v>
      </c>
      <c r="I7025" t="str">
        <f t="shared" si="691"/>
        <v>06032681006</v>
      </c>
      <c r="K7025" t="str">
        <f>""</f>
        <v/>
      </c>
      <c r="M7025" t="s">
        <v>68</v>
      </c>
      <c r="N7025" t="str">
        <f t="shared" si="689"/>
        <v>FOR</v>
      </c>
      <c r="O7025" t="s">
        <v>69</v>
      </c>
      <c r="P7025" s="3" t="s">
        <v>75</v>
      </c>
      <c r="Q7025">
        <v>2015</v>
      </c>
      <c r="R7025" s="2">
        <v>42349</v>
      </c>
      <c r="S7025" s="2">
        <v>42354</v>
      </c>
      <c r="T7025" s="2">
        <v>42352</v>
      </c>
      <c r="U7025" s="2">
        <v>42412</v>
      </c>
      <c r="V7025" t="s">
        <v>71</v>
      </c>
      <c r="W7025" t="str">
        <f>"            25285187"</f>
        <v xml:space="preserve">            25285187</v>
      </c>
      <c r="X7025" s="1">
        <v>4183.92</v>
      </c>
      <c r="Y7025">
        <v>0</v>
      </c>
      <c r="Z7025" s="5">
        <v>4023</v>
      </c>
      <c r="AA7025">
        <v>270</v>
      </c>
      <c r="AB7025" s="5">
        <v>1086210</v>
      </c>
      <c r="AC7025" s="1">
        <v>4023</v>
      </c>
      <c r="AD7025">
        <v>270</v>
      </c>
      <c r="AE7025" s="1">
        <v>1086210</v>
      </c>
      <c r="AF7025">
        <v>0</v>
      </c>
      <c r="AJ7025">
        <v>0</v>
      </c>
      <c r="AK7025">
        <v>0</v>
      </c>
      <c r="AL7025">
        <v>0</v>
      </c>
      <c r="AM7025">
        <v>0</v>
      </c>
      <c r="AN7025">
        <v>0</v>
      </c>
      <c r="AO7025">
        <v>0</v>
      </c>
      <c r="AP7025" s="2">
        <v>42746</v>
      </c>
      <c r="AQ7025" t="s">
        <v>72</v>
      </c>
      <c r="AR7025" t="s">
        <v>72</v>
      </c>
      <c r="AS7025">
        <v>2963</v>
      </c>
      <c r="AT7025" s="4">
        <v>42682</v>
      </c>
      <c r="AU7025" t="s">
        <v>73</v>
      </c>
      <c r="AV7025">
        <v>2963</v>
      </c>
      <c r="AW7025" s="4">
        <v>42682</v>
      </c>
      <c r="BD7025">
        <v>0</v>
      </c>
      <c r="BN7025" t="s">
        <v>74</v>
      </c>
    </row>
    <row r="7026" spans="1:66">
      <c r="A7026">
        <v>104093</v>
      </c>
      <c r="B7026" s="3" t="s">
        <v>609</v>
      </c>
      <c r="C7026" s="1">
        <v>43300101</v>
      </c>
      <c r="D7026" t="s">
        <v>67</v>
      </c>
      <c r="H7026" t="str">
        <f t="shared" si="690"/>
        <v>12572900152</v>
      </c>
      <c r="I7026" t="str">
        <f t="shared" si="691"/>
        <v>06032681006</v>
      </c>
      <c r="K7026" t="str">
        <f>""</f>
        <v/>
      </c>
      <c r="M7026" t="s">
        <v>68</v>
      </c>
      <c r="N7026" t="str">
        <f t="shared" si="689"/>
        <v>FOR</v>
      </c>
      <c r="O7026" t="s">
        <v>69</v>
      </c>
      <c r="P7026" s="3" t="s">
        <v>75</v>
      </c>
      <c r="Q7026">
        <v>2015</v>
      </c>
      <c r="R7026" s="2">
        <v>42354</v>
      </c>
      <c r="S7026" s="2">
        <v>42359</v>
      </c>
      <c r="T7026" s="2">
        <v>42355</v>
      </c>
      <c r="U7026" s="2">
        <v>42415</v>
      </c>
      <c r="V7026" t="s">
        <v>71</v>
      </c>
      <c r="W7026" t="str">
        <f>"            25286019"</f>
        <v xml:space="preserve">            25286019</v>
      </c>
      <c r="X7026">
        <v>926.64</v>
      </c>
      <c r="Y7026">
        <v>0</v>
      </c>
      <c r="Z7026" s="3">
        <v>891</v>
      </c>
      <c r="AA7026">
        <v>267</v>
      </c>
      <c r="AB7026" s="5">
        <v>237897</v>
      </c>
      <c r="AC7026">
        <v>891</v>
      </c>
      <c r="AD7026">
        <v>267</v>
      </c>
      <c r="AE7026" s="1">
        <v>237897</v>
      </c>
      <c r="AF7026">
        <v>0</v>
      </c>
      <c r="AJ7026">
        <v>0</v>
      </c>
      <c r="AK7026">
        <v>0</v>
      </c>
      <c r="AL7026">
        <v>0</v>
      </c>
      <c r="AM7026">
        <v>0</v>
      </c>
      <c r="AN7026">
        <v>0</v>
      </c>
      <c r="AO7026">
        <v>0</v>
      </c>
      <c r="AP7026" s="2">
        <v>42746</v>
      </c>
      <c r="AQ7026" t="s">
        <v>72</v>
      </c>
      <c r="AR7026" t="s">
        <v>72</v>
      </c>
      <c r="AS7026">
        <v>2963</v>
      </c>
      <c r="AT7026" s="4">
        <v>42682</v>
      </c>
      <c r="AU7026" t="s">
        <v>73</v>
      </c>
      <c r="AV7026">
        <v>2963</v>
      </c>
      <c r="AW7026" s="4">
        <v>42682</v>
      </c>
      <c r="BD7026">
        <v>0</v>
      </c>
      <c r="BN7026" t="s">
        <v>74</v>
      </c>
    </row>
    <row r="7027" spans="1:66">
      <c r="A7027">
        <v>104093</v>
      </c>
      <c r="B7027" s="3" t="s">
        <v>609</v>
      </c>
      <c r="C7027" s="1">
        <v>43300101</v>
      </c>
      <c r="D7027" t="s">
        <v>67</v>
      </c>
      <c r="H7027" t="str">
        <f t="shared" si="690"/>
        <v>12572900152</v>
      </c>
      <c r="I7027" t="str">
        <f t="shared" si="691"/>
        <v>06032681006</v>
      </c>
      <c r="K7027" t="str">
        <f>""</f>
        <v/>
      </c>
      <c r="M7027" t="s">
        <v>68</v>
      </c>
      <c r="N7027" t="str">
        <f t="shared" si="689"/>
        <v>FOR</v>
      </c>
      <c r="O7027" t="s">
        <v>69</v>
      </c>
      <c r="P7027" s="3" t="s">
        <v>75</v>
      </c>
      <c r="Q7027">
        <v>2015</v>
      </c>
      <c r="R7027" s="2">
        <v>42354</v>
      </c>
      <c r="S7027" s="2">
        <v>42359</v>
      </c>
      <c r="T7027" s="2">
        <v>42355</v>
      </c>
      <c r="U7027" s="2">
        <v>42415</v>
      </c>
      <c r="V7027" t="s">
        <v>71</v>
      </c>
      <c r="W7027" t="str">
        <f>"            25286020"</f>
        <v xml:space="preserve">            25286020</v>
      </c>
      <c r="X7027">
        <v>252.72</v>
      </c>
      <c r="Y7027">
        <v>0</v>
      </c>
      <c r="Z7027" s="3">
        <v>243</v>
      </c>
      <c r="AA7027">
        <v>267</v>
      </c>
      <c r="AB7027" s="5">
        <v>64881</v>
      </c>
      <c r="AC7027">
        <v>243</v>
      </c>
      <c r="AD7027">
        <v>267</v>
      </c>
      <c r="AE7027" s="1">
        <v>64881</v>
      </c>
      <c r="AF7027">
        <v>0</v>
      </c>
      <c r="AJ7027">
        <v>0</v>
      </c>
      <c r="AK7027">
        <v>0</v>
      </c>
      <c r="AL7027">
        <v>0</v>
      </c>
      <c r="AM7027">
        <v>0</v>
      </c>
      <c r="AN7027">
        <v>0</v>
      </c>
      <c r="AO7027">
        <v>0</v>
      </c>
      <c r="AP7027" s="2">
        <v>42746</v>
      </c>
      <c r="AQ7027" t="s">
        <v>72</v>
      </c>
      <c r="AR7027" t="s">
        <v>72</v>
      </c>
      <c r="AS7027">
        <v>2963</v>
      </c>
      <c r="AT7027" s="4">
        <v>42682</v>
      </c>
      <c r="AU7027" t="s">
        <v>73</v>
      </c>
      <c r="AV7027">
        <v>2963</v>
      </c>
      <c r="AW7027" s="4">
        <v>42682</v>
      </c>
      <c r="BD7027">
        <v>0</v>
      </c>
      <c r="BN7027" t="s">
        <v>74</v>
      </c>
    </row>
    <row r="7028" spans="1:66">
      <c r="A7028">
        <v>104093</v>
      </c>
      <c r="B7028" s="3" t="s">
        <v>609</v>
      </c>
      <c r="C7028" s="1">
        <v>43300101</v>
      </c>
      <c r="D7028" t="s">
        <v>67</v>
      </c>
      <c r="H7028" t="str">
        <f t="shared" si="690"/>
        <v>12572900152</v>
      </c>
      <c r="I7028" t="str">
        <f t="shared" si="691"/>
        <v>06032681006</v>
      </c>
      <c r="K7028" t="str">
        <f>""</f>
        <v/>
      </c>
      <c r="M7028" t="s">
        <v>68</v>
      </c>
      <c r="N7028" t="str">
        <f t="shared" si="689"/>
        <v>FOR</v>
      </c>
      <c r="O7028" t="s">
        <v>69</v>
      </c>
      <c r="P7028" s="3" t="s">
        <v>75</v>
      </c>
      <c r="Q7028">
        <v>2015</v>
      </c>
      <c r="R7028" s="2">
        <v>42354</v>
      </c>
      <c r="S7028" s="2">
        <v>42359</v>
      </c>
      <c r="T7028" s="2">
        <v>42355</v>
      </c>
      <c r="U7028" s="2">
        <v>42415</v>
      </c>
      <c r="V7028" t="s">
        <v>71</v>
      </c>
      <c r="W7028" t="str">
        <f>"            25286021"</f>
        <v xml:space="preserve">            25286021</v>
      </c>
      <c r="X7028">
        <v>74.88</v>
      </c>
      <c r="Y7028">
        <v>0</v>
      </c>
      <c r="Z7028" s="3">
        <v>72</v>
      </c>
      <c r="AA7028">
        <v>267</v>
      </c>
      <c r="AB7028" s="5">
        <v>19224</v>
      </c>
      <c r="AC7028">
        <v>72</v>
      </c>
      <c r="AD7028">
        <v>267</v>
      </c>
      <c r="AE7028" s="1">
        <v>19224</v>
      </c>
      <c r="AF7028">
        <v>0</v>
      </c>
      <c r="AJ7028">
        <v>0</v>
      </c>
      <c r="AK7028">
        <v>0</v>
      </c>
      <c r="AL7028">
        <v>0</v>
      </c>
      <c r="AM7028">
        <v>0</v>
      </c>
      <c r="AN7028">
        <v>0</v>
      </c>
      <c r="AO7028">
        <v>0</v>
      </c>
      <c r="AP7028" s="2">
        <v>42746</v>
      </c>
      <c r="AQ7028" t="s">
        <v>72</v>
      </c>
      <c r="AR7028" t="s">
        <v>72</v>
      </c>
      <c r="AS7028">
        <v>2963</v>
      </c>
      <c r="AT7028" s="4">
        <v>42682</v>
      </c>
      <c r="AU7028" t="s">
        <v>73</v>
      </c>
      <c r="AV7028">
        <v>2963</v>
      </c>
      <c r="AW7028" s="4">
        <v>42682</v>
      </c>
      <c r="BD7028">
        <v>0</v>
      </c>
      <c r="BN7028" t="s">
        <v>74</v>
      </c>
    </row>
    <row r="7029" spans="1:66">
      <c r="A7029">
        <v>104093</v>
      </c>
      <c r="B7029" s="3" t="s">
        <v>609</v>
      </c>
      <c r="C7029" s="1">
        <v>43300101</v>
      </c>
      <c r="D7029" t="s">
        <v>67</v>
      </c>
      <c r="H7029" t="str">
        <f t="shared" si="690"/>
        <v>12572900152</v>
      </c>
      <c r="I7029" t="str">
        <f t="shared" si="691"/>
        <v>06032681006</v>
      </c>
      <c r="K7029" t="str">
        <f>""</f>
        <v/>
      </c>
      <c r="M7029" t="s">
        <v>68</v>
      </c>
      <c r="N7029" t="str">
        <f t="shared" si="689"/>
        <v>FOR</v>
      </c>
      <c r="O7029" t="s">
        <v>69</v>
      </c>
      <c r="P7029" s="3" t="s">
        <v>75</v>
      </c>
      <c r="Q7029">
        <v>2015</v>
      </c>
      <c r="R7029" s="2">
        <v>42354</v>
      </c>
      <c r="S7029" s="2">
        <v>42359</v>
      </c>
      <c r="T7029" s="2">
        <v>42355</v>
      </c>
      <c r="U7029" s="2">
        <v>42415</v>
      </c>
      <c r="V7029" t="s">
        <v>71</v>
      </c>
      <c r="W7029" t="str">
        <f>"            25286023"</f>
        <v xml:space="preserve">            25286023</v>
      </c>
      <c r="X7029">
        <v>74.88</v>
      </c>
      <c r="Y7029">
        <v>0</v>
      </c>
      <c r="Z7029" s="3">
        <v>72</v>
      </c>
      <c r="AA7029">
        <v>267</v>
      </c>
      <c r="AB7029" s="5">
        <v>19224</v>
      </c>
      <c r="AC7029">
        <v>72</v>
      </c>
      <c r="AD7029">
        <v>267</v>
      </c>
      <c r="AE7029" s="1">
        <v>19224</v>
      </c>
      <c r="AF7029">
        <v>0</v>
      </c>
      <c r="AJ7029">
        <v>0</v>
      </c>
      <c r="AK7029">
        <v>0</v>
      </c>
      <c r="AL7029">
        <v>0</v>
      </c>
      <c r="AM7029">
        <v>0</v>
      </c>
      <c r="AN7029">
        <v>0</v>
      </c>
      <c r="AO7029">
        <v>0</v>
      </c>
      <c r="AP7029" s="2">
        <v>42746</v>
      </c>
      <c r="AQ7029" t="s">
        <v>72</v>
      </c>
      <c r="AR7029" t="s">
        <v>72</v>
      </c>
      <c r="AS7029">
        <v>2963</v>
      </c>
      <c r="AT7029" s="4">
        <v>42682</v>
      </c>
      <c r="AU7029" t="s">
        <v>73</v>
      </c>
      <c r="AV7029">
        <v>2963</v>
      </c>
      <c r="AW7029" s="4">
        <v>42682</v>
      </c>
      <c r="BD7029">
        <v>0</v>
      </c>
      <c r="BN7029" t="s">
        <v>74</v>
      </c>
    </row>
    <row r="7030" spans="1:66">
      <c r="A7030">
        <v>104093</v>
      </c>
      <c r="B7030" s="3" t="s">
        <v>609</v>
      </c>
      <c r="C7030" s="1">
        <v>43300101</v>
      </c>
      <c r="D7030" t="s">
        <v>67</v>
      </c>
      <c r="H7030" t="str">
        <f t="shared" si="690"/>
        <v>12572900152</v>
      </c>
      <c r="I7030" t="str">
        <f t="shared" si="691"/>
        <v>06032681006</v>
      </c>
      <c r="K7030" t="str">
        <f>""</f>
        <v/>
      </c>
      <c r="M7030" t="s">
        <v>68</v>
      </c>
      <c r="N7030" t="str">
        <f t="shared" si="689"/>
        <v>FOR</v>
      </c>
      <c r="O7030" t="s">
        <v>69</v>
      </c>
      <c r="P7030" s="3" t="s">
        <v>75</v>
      </c>
      <c r="Q7030">
        <v>2015</v>
      </c>
      <c r="R7030" s="2">
        <v>42359</v>
      </c>
      <c r="S7030" s="2">
        <v>42369</v>
      </c>
      <c r="T7030" s="2">
        <v>42369</v>
      </c>
      <c r="U7030" s="2">
        <v>42429</v>
      </c>
      <c r="V7030" t="s">
        <v>71</v>
      </c>
      <c r="W7030" t="str">
        <f>"            25286976"</f>
        <v xml:space="preserve">            25286976</v>
      </c>
      <c r="X7030">
        <v>707.62</v>
      </c>
      <c r="Y7030">
        <v>0</v>
      </c>
      <c r="Z7030" s="3">
        <v>680.4</v>
      </c>
      <c r="AA7030">
        <v>253</v>
      </c>
      <c r="AB7030" s="5">
        <v>172141.2</v>
      </c>
      <c r="AC7030">
        <v>680.4</v>
      </c>
      <c r="AD7030">
        <v>253</v>
      </c>
      <c r="AE7030" s="1">
        <v>172141.2</v>
      </c>
      <c r="AF7030">
        <v>0</v>
      </c>
      <c r="AJ7030">
        <v>0</v>
      </c>
      <c r="AK7030">
        <v>0</v>
      </c>
      <c r="AL7030">
        <v>0</v>
      </c>
      <c r="AM7030">
        <v>0</v>
      </c>
      <c r="AN7030">
        <v>0</v>
      </c>
      <c r="AO7030">
        <v>0</v>
      </c>
      <c r="AP7030" s="2">
        <v>42746</v>
      </c>
      <c r="AQ7030" t="s">
        <v>72</v>
      </c>
      <c r="AR7030" t="s">
        <v>72</v>
      </c>
      <c r="AS7030">
        <v>2963</v>
      </c>
      <c r="AT7030" s="4">
        <v>42682</v>
      </c>
      <c r="AU7030" t="s">
        <v>73</v>
      </c>
      <c r="AV7030">
        <v>2963</v>
      </c>
      <c r="AW7030" s="4">
        <v>42682</v>
      </c>
      <c r="BD7030">
        <v>0</v>
      </c>
      <c r="BN7030" t="s">
        <v>74</v>
      </c>
    </row>
    <row r="7031" spans="1:66">
      <c r="A7031">
        <v>104093</v>
      </c>
      <c r="B7031" s="3" t="s">
        <v>609</v>
      </c>
      <c r="C7031" s="1">
        <v>43300101</v>
      </c>
      <c r="D7031" t="s">
        <v>67</v>
      </c>
      <c r="H7031" t="str">
        <f t="shared" si="690"/>
        <v>12572900152</v>
      </c>
      <c r="I7031" t="str">
        <f t="shared" si="691"/>
        <v>06032681006</v>
      </c>
      <c r="K7031" t="str">
        <f>""</f>
        <v/>
      </c>
      <c r="M7031" t="s">
        <v>68</v>
      </c>
      <c r="N7031" t="str">
        <f t="shared" si="689"/>
        <v>FOR</v>
      </c>
      <c r="O7031" t="s">
        <v>69</v>
      </c>
      <c r="P7031" s="3" t="s">
        <v>75</v>
      </c>
      <c r="Q7031">
        <v>2015</v>
      </c>
      <c r="R7031" s="2">
        <v>42359</v>
      </c>
      <c r="S7031" s="2">
        <v>42369</v>
      </c>
      <c r="T7031" s="2">
        <v>42369</v>
      </c>
      <c r="U7031" s="2">
        <v>42429</v>
      </c>
      <c r="V7031" t="s">
        <v>71</v>
      </c>
      <c r="W7031" t="str">
        <f>"            25286977"</f>
        <v xml:space="preserve">            25286977</v>
      </c>
      <c r="X7031">
        <v>252.72</v>
      </c>
      <c r="Y7031">
        <v>0</v>
      </c>
      <c r="Z7031" s="3">
        <v>243</v>
      </c>
      <c r="AA7031">
        <v>253</v>
      </c>
      <c r="AB7031" s="5">
        <v>61479</v>
      </c>
      <c r="AC7031">
        <v>243</v>
      </c>
      <c r="AD7031">
        <v>253</v>
      </c>
      <c r="AE7031" s="1">
        <v>61479</v>
      </c>
      <c r="AF7031">
        <v>0</v>
      </c>
      <c r="AJ7031">
        <v>0</v>
      </c>
      <c r="AK7031">
        <v>0</v>
      </c>
      <c r="AL7031">
        <v>0</v>
      </c>
      <c r="AM7031">
        <v>0</v>
      </c>
      <c r="AN7031">
        <v>0</v>
      </c>
      <c r="AO7031">
        <v>0</v>
      </c>
      <c r="AP7031" s="2">
        <v>42746</v>
      </c>
      <c r="AQ7031" t="s">
        <v>72</v>
      </c>
      <c r="AR7031" t="s">
        <v>72</v>
      </c>
      <c r="AS7031">
        <v>2963</v>
      </c>
      <c r="AT7031" s="4">
        <v>42682</v>
      </c>
      <c r="AU7031" t="s">
        <v>73</v>
      </c>
      <c r="AV7031">
        <v>2963</v>
      </c>
      <c r="AW7031" s="4">
        <v>42682</v>
      </c>
      <c r="BD7031">
        <v>0</v>
      </c>
      <c r="BN7031" t="s">
        <v>74</v>
      </c>
    </row>
    <row r="7032" spans="1:66">
      <c r="A7032">
        <v>104093</v>
      </c>
      <c r="B7032" s="3" t="s">
        <v>609</v>
      </c>
      <c r="C7032" s="1">
        <v>43300101</v>
      </c>
      <c r="D7032" t="s">
        <v>67</v>
      </c>
      <c r="H7032" t="str">
        <f t="shared" si="690"/>
        <v>12572900152</v>
      </c>
      <c r="I7032" t="str">
        <f t="shared" si="691"/>
        <v>06032681006</v>
      </c>
      <c r="K7032" t="str">
        <f>""</f>
        <v/>
      </c>
      <c r="M7032" t="s">
        <v>68</v>
      </c>
      <c r="N7032" t="str">
        <f t="shared" si="689"/>
        <v>FOR</v>
      </c>
      <c r="O7032" t="s">
        <v>69</v>
      </c>
      <c r="P7032" s="3" t="s">
        <v>75</v>
      </c>
      <c r="Q7032">
        <v>2015</v>
      </c>
      <c r="R7032" s="2">
        <v>42359</v>
      </c>
      <c r="S7032" s="2">
        <v>42369</v>
      </c>
      <c r="T7032" s="2">
        <v>42369</v>
      </c>
      <c r="U7032" s="2">
        <v>42429</v>
      </c>
      <c r="V7032" t="s">
        <v>71</v>
      </c>
      <c r="W7032" t="str">
        <f>"            25286983"</f>
        <v xml:space="preserve">            25286983</v>
      </c>
      <c r="X7032">
        <v>74.88</v>
      </c>
      <c r="Y7032">
        <v>0</v>
      </c>
      <c r="Z7032" s="3">
        <v>72</v>
      </c>
      <c r="AA7032">
        <v>253</v>
      </c>
      <c r="AB7032" s="5">
        <v>18216</v>
      </c>
      <c r="AC7032">
        <v>72</v>
      </c>
      <c r="AD7032">
        <v>253</v>
      </c>
      <c r="AE7032" s="1">
        <v>18216</v>
      </c>
      <c r="AF7032">
        <v>0</v>
      </c>
      <c r="AJ7032">
        <v>0</v>
      </c>
      <c r="AK7032">
        <v>0</v>
      </c>
      <c r="AL7032">
        <v>0</v>
      </c>
      <c r="AM7032">
        <v>0</v>
      </c>
      <c r="AN7032">
        <v>0</v>
      </c>
      <c r="AO7032">
        <v>0</v>
      </c>
      <c r="AP7032" s="2">
        <v>42746</v>
      </c>
      <c r="AQ7032" t="s">
        <v>72</v>
      </c>
      <c r="AR7032" t="s">
        <v>72</v>
      </c>
      <c r="AS7032">
        <v>2963</v>
      </c>
      <c r="AT7032" s="4">
        <v>42682</v>
      </c>
      <c r="AU7032" t="s">
        <v>73</v>
      </c>
      <c r="AV7032">
        <v>2963</v>
      </c>
      <c r="AW7032" s="4">
        <v>42682</v>
      </c>
      <c r="BD7032">
        <v>0</v>
      </c>
      <c r="BN7032" t="s">
        <v>74</v>
      </c>
    </row>
    <row r="7033" spans="1:66">
      <c r="A7033">
        <v>104093</v>
      </c>
      <c r="B7033" s="3" t="s">
        <v>609</v>
      </c>
      <c r="C7033" s="1">
        <v>43300101</v>
      </c>
      <c r="D7033" t="s">
        <v>67</v>
      </c>
      <c r="H7033" t="str">
        <f t="shared" si="690"/>
        <v>12572900152</v>
      </c>
      <c r="I7033" t="str">
        <f t="shared" si="691"/>
        <v>06032681006</v>
      </c>
      <c r="K7033" t="str">
        <f>""</f>
        <v/>
      </c>
      <c r="M7033" t="s">
        <v>68</v>
      </c>
      <c r="N7033" t="str">
        <f t="shared" si="689"/>
        <v>FOR</v>
      </c>
      <c r="O7033" t="s">
        <v>69</v>
      </c>
      <c r="P7033" s="3" t="s">
        <v>75</v>
      </c>
      <c r="Q7033">
        <v>2015</v>
      </c>
      <c r="R7033" s="2">
        <v>42366</v>
      </c>
      <c r="S7033" s="2">
        <v>42369</v>
      </c>
      <c r="T7033" s="2">
        <v>42369</v>
      </c>
      <c r="U7033" s="2">
        <v>42429</v>
      </c>
      <c r="V7033" t="s">
        <v>71</v>
      </c>
      <c r="W7033" t="str">
        <f>"            25288129"</f>
        <v xml:space="preserve">            25288129</v>
      </c>
      <c r="X7033">
        <v>707.62</v>
      </c>
      <c r="Y7033">
        <v>0</v>
      </c>
      <c r="Z7033" s="3">
        <v>680.4</v>
      </c>
      <c r="AA7033">
        <v>253</v>
      </c>
      <c r="AB7033" s="5">
        <v>172141.2</v>
      </c>
      <c r="AC7033">
        <v>680.4</v>
      </c>
      <c r="AD7033">
        <v>253</v>
      </c>
      <c r="AE7033" s="1">
        <v>172141.2</v>
      </c>
      <c r="AF7033">
        <v>0</v>
      </c>
      <c r="AJ7033">
        <v>0</v>
      </c>
      <c r="AK7033">
        <v>0</v>
      </c>
      <c r="AL7033">
        <v>0</v>
      </c>
      <c r="AM7033">
        <v>0</v>
      </c>
      <c r="AN7033">
        <v>0</v>
      </c>
      <c r="AO7033">
        <v>0</v>
      </c>
      <c r="AP7033" s="2">
        <v>42746</v>
      </c>
      <c r="AQ7033" t="s">
        <v>72</v>
      </c>
      <c r="AR7033" t="s">
        <v>72</v>
      </c>
      <c r="AS7033">
        <v>2963</v>
      </c>
      <c r="AT7033" s="4">
        <v>42682</v>
      </c>
      <c r="AU7033" t="s">
        <v>73</v>
      </c>
      <c r="AV7033">
        <v>2963</v>
      </c>
      <c r="AW7033" s="4">
        <v>42682</v>
      </c>
      <c r="BD7033">
        <v>0</v>
      </c>
      <c r="BN7033" t="s">
        <v>74</v>
      </c>
    </row>
    <row r="7034" spans="1:66">
      <c r="A7034">
        <v>104093</v>
      </c>
      <c r="B7034" s="3" t="s">
        <v>609</v>
      </c>
      <c r="C7034" s="1">
        <v>43300101</v>
      </c>
      <c r="D7034" t="s">
        <v>67</v>
      </c>
      <c r="H7034" t="str">
        <f t="shared" si="690"/>
        <v>12572900152</v>
      </c>
      <c r="I7034" t="str">
        <f t="shared" si="691"/>
        <v>06032681006</v>
      </c>
      <c r="K7034" t="str">
        <f>""</f>
        <v/>
      </c>
      <c r="M7034" t="s">
        <v>68</v>
      </c>
      <c r="N7034" t="str">
        <f t="shared" si="689"/>
        <v>FOR</v>
      </c>
      <c r="O7034" t="s">
        <v>69</v>
      </c>
      <c r="P7034" s="3" t="s">
        <v>75</v>
      </c>
      <c r="Q7034">
        <v>2015</v>
      </c>
      <c r="R7034" s="2">
        <v>42366</v>
      </c>
      <c r="S7034" s="2">
        <v>42369</v>
      </c>
      <c r="T7034" s="2">
        <v>42369</v>
      </c>
      <c r="U7034" s="2">
        <v>42429</v>
      </c>
      <c r="V7034" t="s">
        <v>71</v>
      </c>
      <c r="W7034" t="str">
        <f>"            25288130"</f>
        <v xml:space="preserve">            25288130</v>
      </c>
      <c r="X7034">
        <v>252.72</v>
      </c>
      <c r="Y7034">
        <v>0</v>
      </c>
      <c r="Z7034" s="3">
        <v>243</v>
      </c>
      <c r="AA7034">
        <v>253</v>
      </c>
      <c r="AB7034" s="5">
        <v>61479</v>
      </c>
      <c r="AC7034">
        <v>243</v>
      </c>
      <c r="AD7034">
        <v>253</v>
      </c>
      <c r="AE7034" s="1">
        <v>61479</v>
      </c>
      <c r="AF7034">
        <v>0</v>
      </c>
      <c r="AJ7034">
        <v>0</v>
      </c>
      <c r="AK7034">
        <v>0</v>
      </c>
      <c r="AL7034">
        <v>0</v>
      </c>
      <c r="AM7034">
        <v>0</v>
      </c>
      <c r="AN7034">
        <v>0</v>
      </c>
      <c r="AO7034">
        <v>0</v>
      </c>
      <c r="AP7034" s="2">
        <v>42746</v>
      </c>
      <c r="AQ7034" t="s">
        <v>72</v>
      </c>
      <c r="AR7034" t="s">
        <v>72</v>
      </c>
      <c r="AS7034">
        <v>2963</v>
      </c>
      <c r="AT7034" s="4">
        <v>42682</v>
      </c>
      <c r="AU7034" t="s">
        <v>73</v>
      </c>
      <c r="AV7034">
        <v>2963</v>
      </c>
      <c r="AW7034" s="4">
        <v>42682</v>
      </c>
      <c r="BD7034">
        <v>0</v>
      </c>
      <c r="BN7034" t="s">
        <v>74</v>
      </c>
    </row>
    <row r="7035" spans="1:66">
      <c r="A7035">
        <v>104093</v>
      </c>
      <c r="B7035" s="3" t="s">
        <v>609</v>
      </c>
      <c r="C7035" s="1">
        <v>43300101</v>
      </c>
      <c r="D7035" t="s">
        <v>67</v>
      </c>
      <c r="H7035" t="str">
        <f t="shared" si="690"/>
        <v>12572900152</v>
      </c>
      <c r="I7035" t="str">
        <f t="shared" si="691"/>
        <v>06032681006</v>
      </c>
      <c r="K7035" t="str">
        <f>""</f>
        <v/>
      </c>
      <c r="M7035" t="s">
        <v>68</v>
      </c>
      <c r="N7035" t="str">
        <f t="shared" si="689"/>
        <v>FOR</v>
      </c>
      <c r="O7035" t="s">
        <v>69</v>
      </c>
      <c r="P7035" s="3" t="s">
        <v>75</v>
      </c>
      <c r="Q7035">
        <v>2015</v>
      </c>
      <c r="R7035" s="2">
        <v>42366</v>
      </c>
      <c r="S7035" s="2">
        <v>42369</v>
      </c>
      <c r="T7035" s="2">
        <v>42369</v>
      </c>
      <c r="U7035" s="2">
        <v>42429</v>
      </c>
      <c r="V7035" t="s">
        <v>71</v>
      </c>
      <c r="W7035" t="str">
        <f>"            25288131"</f>
        <v xml:space="preserve">            25288131</v>
      </c>
      <c r="X7035">
        <v>707.62</v>
      </c>
      <c r="Y7035">
        <v>0</v>
      </c>
      <c r="Z7035" s="3">
        <v>680.4</v>
      </c>
      <c r="AA7035">
        <v>253</v>
      </c>
      <c r="AB7035" s="5">
        <v>172141.2</v>
      </c>
      <c r="AC7035">
        <v>680.4</v>
      </c>
      <c r="AD7035">
        <v>253</v>
      </c>
      <c r="AE7035" s="1">
        <v>172141.2</v>
      </c>
      <c r="AF7035">
        <v>0</v>
      </c>
      <c r="AJ7035">
        <v>0</v>
      </c>
      <c r="AK7035">
        <v>0</v>
      </c>
      <c r="AL7035">
        <v>0</v>
      </c>
      <c r="AM7035">
        <v>0</v>
      </c>
      <c r="AN7035">
        <v>0</v>
      </c>
      <c r="AO7035">
        <v>0</v>
      </c>
      <c r="AP7035" s="2">
        <v>42746</v>
      </c>
      <c r="AQ7035" t="s">
        <v>72</v>
      </c>
      <c r="AR7035" t="s">
        <v>72</v>
      </c>
      <c r="AS7035">
        <v>2963</v>
      </c>
      <c r="AT7035" s="4">
        <v>42682</v>
      </c>
      <c r="AU7035" t="s">
        <v>73</v>
      </c>
      <c r="AV7035">
        <v>2963</v>
      </c>
      <c r="AW7035" s="4">
        <v>42682</v>
      </c>
      <c r="BD7035">
        <v>0</v>
      </c>
      <c r="BN7035" t="s">
        <v>74</v>
      </c>
    </row>
    <row r="7036" spans="1:66">
      <c r="A7036">
        <v>104093</v>
      </c>
      <c r="B7036" s="3" t="s">
        <v>609</v>
      </c>
      <c r="C7036" s="1">
        <v>43300101</v>
      </c>
      <c r="D7036" t="s">
        <v>67</v>
      </c>
      <c r="H7036" t="str">
        <f t="shared" si="690"/>
        <v>12572900152</v>
      </c>
      <c r="I7036" t="str">
        <f t="shared" si="691"/>
        <v>06032681006</v>
      </c>
      <c r="K7036" t="str">
        <f>""</f>
        <v/>
      </c>
      <c r="M7036" t="s">
        <v>68</v>
      </c>
      <c r="N7036" t="str">
        <f t="shared" si="689"/>
        <v>FOR</v>
      </c>
      <c r="O7036" t="s">
        <v>69</v>
      </c>
      <c r="P7036" s="3" t="s">
        <v>75</v>
      </c>
      <c r="Q7036">
        <v>2015</v>
      </c>
      <c r="R7036" s="2">
        <v>42366</v>
      </c>
      <c r="S7036" s="2">
        <v>42369</v>
      </c>
      <c r="T7036" s="2">
        <v>42369</v>
      </c>
      <c r="U7036" s="2">
        <v>42429</v>
      </c>
      <c r="V7036" t="s">
        <v>71</v>
      </c>
      <c r="W7036" t="str">
        <f>"            25288132"</f>
        <v xml:space="preserve">            25288132</v>
      </c>
      <c r="X7036">
        <v>252.72</v>
      </c>
      <c r="Y7036">
        <v>0</v>
      </c>
      <c r="Z7036" s="3">
        <v>243</v>
      </c>
      <c r="AA7036">
        <v>253</v>
      </c>
      <c r="AB7036" s="5">
        <v>61479</v>
      </c>
      <c r="AC7036">
        <v>243</v>
      </c>
      <c r="AD7036">
        <v>253</v>
      </c>
      <c r="AE7036" s="1">
        <v>61479</v>
      </c>
      <c r="AF7036">
        <v>0</v>
      </c>
      <c r="AJ7036">
        <v>0</v>
      </c>
      <c r="AK7036">
        <v>0</v>
      </c>
      <c r="AL7036">
        <v>0</v>
      </c>
      <c r="AM7036">
        <v>0</v>
      </c>
      <c r="AN7036">
        <v>0</v>
      </c>
      <c r="AO7036">
        <v>0</v>
      </c>
      <c r="AP7036" s="2">
        <v>42746</v>
      </c>
      <c r="AQ7036" t="s">
        <v>72</v>
      </c>
      <c r="AR7036" t="s">
        <v>72</v>
      </c>
      <c r="AS7036">
        <v>2963</v>
      </c>
      <c r="AT7036" s="4">
        <v>42682</v>
      </c>
      <c r="AU7036" t="s">
        <v>73</v>
      </c>
      <c r="AV7036">
        <v>2963</v>
      </c>
      <c r="AW7036" s="4">
        <v>42682</v>
      </c>
      <c r="BD7036">
        <v>0</v>
      </c>
      <c r="BN7036" t="s">
        <v>74</v>
      </c>
    </row>
    <row r="7037" spans="1:66">
      <c r="A7037">
        <v>104093</v>
      </c>
      <c r="B7037" s="3" t="s">
        <v>609</v>
      </c>
      <c r="C7037" s="1">
        <v>43300101</v>
      </c>
      <c r="D7037" t="s">
        <v>67</v>
      </c>
      <c r="H7037" t="str">
        <f t="shared" si="690"/>
        <v>12572900152</v>
      </c>
      <c r="I7037" t="str">
        <f t="shared" si="691"/>
        <v>06032681006</v>
      </c>
      <c r="K7037" t="str">
        <f>""</f>
        <v/>
      </c>
      <c r="M7037" t="s">
        <v>68</v>
      </c>
      <c r="N7037" t="str">
        <f t="shared" si="689"/>
        <v>FOR</v>
      </c>
      <c r="O7037" t="s">
        <v>69</v>
      </c>
      <c r="P7037" s="3" t="s">
        <v>75</v>
      </c>
      <c r="Q7037">
        <v>2015</v>
      </c>
      <c r="R7037" s="2">
        <v>42366</v>
      </c>
      <c r="S7037" s="2">
        <v>42369</v>
      </c>
      <c r="T7037" s="2">
        <v>42369</v>
      </c>
      <c r="U7037" s="2">
        <v>42429</v>
      </c>
      <c r="V7037" t="s">
        <v>71</v>
      </c>
      <c r="W7037" t="str">
        <f>"            25288136"</f>
        <v xml:space="preserve">            25288136</v>
      </c>
      <c r="X7037">
        <v>74.88</v>
      </c>
      <c r="Y7037">
        <v>0</v>
      </c>
      <c r="Z7037" s="3">
        <v>72</v>
      </c>
      <c r="AA7037">
        <v>253</v>
      </c>
      <c r="AB7037" s="5">
        <v>18216</v>
      </c>
      <c r="AC7037">
        <v>72</v>
      </c>
      <c r="AD7037">
        <v>253</v>
      </c>
      <c r="AE7037" s="1">
        <v>18216</v>
      </c>
      <c r="AF7037">
        <v>0</v>
      </c>
      <c r="AJ7037">
        <v>0</v>
      </c>
      <c r="AK7037">
        <v>0</v>
      </c>
      <c r="AL7037">
        <v>0</v>
      </c>
      <c r="AM7037">
        <v>0</v>
      </c>
      <c r="AN7037">
        <v>0</v>
      </c>
      <c r="AO7037">
        <v>0</v>
      </c>
      <c r="AP7037" s="2">
        <v>42746</v>
      </c>
      <c r="AQ7037" t="s">
        <v>72</v>
      </c>
      <c r="AR7037" t="s">
        <v>72</v>
      </c>
      <c r="AS7037">
        <v>2963</v>
      </c>
      <c r="AT7037" s="4">
        <v>42682</v>
      </c>
      <c r="AU7037" t="s">
        <v>73</v>
      </c>
      <c r="AV7037">
        <v>2963</v>
      </c>
      <c r="AW7037" s="4">
        <v>42682</v>
      </c>
      <c r="BD7037">
        <v>0</v>
      </c>
      <c r="BN7037" t="s">
        <v>74</v>
      </c>
    </row>
    <row r="7038" spans="1:66">
      <c r="A7038">
        <v>104093</v>
      </c>
      <c r="B7038" s="3" t="s">
        <v>609</v>
      </c>
      <c r="C7038" s="1">
        <v>43300101</v>
      </c>
      <c r="D7038" t="s">
        <v>67</v>
      </c>
      <c r="H7038" t="str">
        <f t="shared" si="690"/>
        <v>12572900152</v>
      </c>
      <c r="I7038" t="str">
        <f t="shared" si="691"/>
        <v>06032681006</v>
      </c>
      <c r="K7038" t="str">
        <f>""</f>
        <v/>
      </c>
      <c r="M7038" t="s">
        <v>68</v>
      </c>
      <c r="N7038" t="str">
        <f t="shared" si="689"/>
        <v>FOR</v>
      </c>
      <c r="O7038" t="s">
        <v>69</v>
      </c>
      <c r="P7038" s="3" t="s">
        <v>75</v>
      </c>
      <c r="Q7038">
        <v>2015</v>
      </c>
      <c r="R7038" s="2">
        <v>42366</v>
      </c>
      <c r="S7038" s="2">
        <v>42369</v>
      </c>
      <c r="T7038" s="2">
        <v>42369</v>
      </c>
      <c r="U7038" s="2">
        <v>42429</v>
      </c>
      <c r="V7038" t="s">
        <v>71</v>
      </c>
      <c r="W7038" t="str">
        <f>"            25288239"</f>
        <v xml:space="preserve">            25288239</v>
      </c>
      <c r="X7038">
        <v>707.62</v>
      </c>
      <c r="Y7038">
        <v>0</v>
      </c>
      <c r="Z7038" s="3">
        <v>680.4</v>
      </c>
      <c r="AA7038">
        <v>253</v>
      </c>
      <c r="AB7038" s="5">
        <v>172141.2</v>
      </c>
      <c r="AC7038">
        <v>680.4</v>
      </c>
      <c r="AD7038">
        <v>253</v>
      </c>
      <c r="AE7038" s="1">
        <v>172141.2</v>
      </c>
      <c r="AF7038">
        <v>0</v>
      </c>
      <c r="AJ7038">
        <v>0</v>
      </c>
      <c r="AK7038">
        <v>0</v>
      </c>
      <c r="AL7038">
        <v>0</v>
      </c>
      <c r="AM7038">
        <v>0</v>
      </c>
      <c r="AN7038">
        <v>0</v>
      </c>
      <c r="AO7038">
        <v>0</v>
      </c>
      <c r="AP7038" s="2">
        <v>42746</v>
      </c>
      <c r="AQ7038" t="s">
        <v>72</v>
      </c>
      <c r="AR7038" t="s">
        <v>72</v>
      </c>
      <c r="AS7038">
        <v>2963</v>
      </c>
      <c r="AT7038" s="4">
        <v>42682</v>
      </c>
      <c r="AU7038" t="s">
        <v>73</v>
      </c>
      <c r="AV7038">
        <v>2963</v>
      </c>
      <c r="AW7038" s="4">
        <v>42682</v>
      </c>
      <c r="BD7038">
        <v>0</v>
      </c>
      <c r="BN7038" t="s">
        <v>74</v>
      </c>
    </row>
    <row r="7039" spans="1:66">
      <c r="A7039">
        <v>104093</v>
      </c>
      <c r="B7039" s="3" t="s">
        <v>609</v>
      </c>
      <c r="C7039" s="1">
        <v>43300101</v>
      </c>
      <c r="D7039" t="s">
        <v>67</v>
      </c>
      <c r="H7039" t="str">
        <f t="shared" si="690"/>
        <v>12572900152</v>
      </c>
      <c r="I7039" t="str">
        <f t="shared" si="691"/>
        <v>06032681006</v>
      </c>
      <c r="K7039" t="str">
        <f>""</f>
        <v/>
      </c>
      <c r="M7039" t="s">
        <v>68</v>
      </c>
      <c r="N7039" t="str">
        <f t="shared" si="689"/>
        <v>FOR</v>
      </c>
      <c r="O7039" t="s">
        <v>69</v>
      </c>
      <c r="P7039" s="3" t="s">
        <v>75</v>
      </c>
      <c r="Q7039">
        <v>2015</v>
      </c>
      <c r="R7039" s="2">
        <v>42366</v>
      </c>
      <c r="S7039" s="2">
        <v>42369</v>
      </c>
      <c r="T7039" s="2">
        <v>42369</v>
      </c>
      <c r="U7039" s="2">
        <v>42429</v>
      </c>
      <c r="V7039" t="s">
        <v>71</v>
      </c>
      <c r="W7039" t="str">
        <f>"            25288241"</f>
        <v xml:space="preserve">            25288241</v>
      </c>
      <c r="X7039">
        <v>74.88</v>
      </c>
      <c r="Y7039">
        <v>0</v>
      </c>
      <c r="Z7039" s="3">
        <v>72</v>
      </c>
      <c r="AA7039">
        <v>253</v>
      </c>
      <c r="AB7039" s="5">
        <v>18216</v>
      </c>
      <c r="AC7039">
        <v>72</v>
      </c>
      <c r="AD7039">
        <v>253</v>
      </c>
      <c r="AE7039" s="1">
        <v>18216</v>
      </c>
      <c r="AF7039">
        <v>0</v>
      </c>
      <c r="AJ7039">
        <v>0</v>
      </c>
      <c r="AK7039">
        <v>0</v>
      </c>
      <c r="AL7039">
        <v>0</v>
      </c>
      <c r="AM7039">
        <v>0</v>
      </c>
      <c r="AN7039">
        <v>0</v>
      </c>
      <c r="AO7039">
        <v>0</v>
      </c>
      <c r="AP7039" s="2">
        <v>42746</v>
      </c>
      <c r="AQ7039" t="s">
        <v>72</v>
      </c>
      <c r="AR7039" t="s">
        <v>72</v>
      </c>
      <c r="AS7039">
        <v>2963</v>
      </c>
      <c r="AT7039" s="4">
        <v>42682</v>
      </c>
      <c r="AU7039" t="s">
        <v>73</v>
      </c>
      <c r="AV7039">
        <v>2963</v>
      </c>
      <c r="AW7039" s="4">
        <v>42682</v>
      </c>
      <c r="BD7039">
        <v>0</v>
      </c>
      <c r="BN7039" t="s">
        <v>74</v>
      </c>
    </row>
    <row r="7040" spans="1:66">
      <c r="A7040">
        <v>104093</v>
      </c>
      <c r="B7040" s="3" t="s">
        <v>609</v>
      </c>
      <c r="C7040" s="1">
        <v>43300101</v>
      </c>
      <c r="D7040" t="s">
        <v>67</v>
      </c>
      <c r="H7040" t="str">
        <f t="shared" si="690"/>
        <v>12572900152</v>
      </c>
      <c r="I7040" t="str">
        <f t="shared" si="691"/>
        <v>06032681006</v>
      </c>
      <c r="K7040" t="str">
        <f>""</f>
        <v/>
      </c>
      <c r="M7040" t="s">
        <v>68</v>
      </c>
      <c r="N7040" t="str">
        <f t="shared" ref="N7040:N7103" si="692">"FOR"</f>
        <v>FOR</v>
      </c>
      <c r="O7040" t="s">
        <v>69</v>
      </c>
      <c r="P7040" s="3" t="s">
        <v>75</v>
      </c>
      <c r="Q7040">
        <v>2015</v>
      </c>
      <c r="R7040" s="2">
        <v>42366</v>
      </c>
      <c r="S7040" s="2">
        <v>42369</v>
      </c>
      <c r="T7040" s="2">
        <v>42369</v>
      </c>
      <c r="U7040" s="2">
        <v>42429</v>
      </c>
      <c r="V7040" t="s">
        <v>71</v>
      </c>
      <c r="W7040" t="str">
        <f>"            25288242"</f>
        <v xml:space="preserve">            25288242</v>
      </c>
      <c r="X7040">
        <v>252.72</v>
      </c>
      <c r="Y7040">
        <v>0</v>
      </c>
      <c r="Z7040" s="3">
        <v>243</v>
      </c>
      <c r="AA7040">
        <v>253</v>
      </c>
      <c r="AB7040" s="5">
        <v>61479</v>
      </c>
      <c r="AC7040">
        <v>243</v>
      </c>
      <c r="AD7040">
        <v>253</v>
      </c>
      <c r="AE7040" s="1">
        <v>61479</v>
      </c>
      <c r="AF7040">
        <v>0</v>
      </c>
      <c r="AJ7040">
        <v>0</v>
      </c>
      <c r="AK7040">
        <v>0</v>
      </c>
      <c r="AL7040">
        <v>0</v>
      </c>
      <c r="AM7040">
        <v>0</v>
      </c>
      <c r="AN7040">
        <v>0</v>
      </c>
      <c r="AO7040">
        <v>0</v>
      </c>
      <c r="AP7040" s="2">
        <v>42746</v>
      </c>
      <c r="AQ7040" t="s">
        <v>72</v>
      </c>
      <c r="AR7040" t="s">
        <v>72</v>
      </c>
      <c r="AS7040">
        <v>2963</v>
      </c>
      <c r="AT7040" s="4">
        <v>42682</v>
      </c>
      <c r="AU7040" t="s">
        <v>73</v>
      </c>
      <c r="AV7040">
        <v>2963</v>
      </c>
      <c r="AW7040" s="4">
        <v>42682</v>
      </c>
      <c r="BD7040">
        <v>0</v>
      </c>
      <c r="BN7040" t="s">
        <v>74</v>
      </c>
    </row>
    <row r="7041" spans="1:66">
      <c r="A7041">
        <v>104093</v>
      </c>
      <c r="B7041" s="3" t="s">
        <v>609</v>
      </c>
      <c r="C7041" s="1">
        <v>43300101</v>
      </c>
      <c r="D7041" t="s">
        <v>67</v>
      </c>
      <c r="H7041" t="str">
        <f t="shared" si="690"/>
        <v>12572900152</v>
      </c>
      <c r="I7041" t="str">
        <f t="shared" si="691"/>
        <v>06032681006</v>
      </c>
      <c r="K7041" t="str">
        <f>""</f>
        <v/>
      </c>
      <c r="M7041" t="s">
        <v>68</v>
      </c>
      <c r="N7041" t="str">
        <f t="shared" si="692"/>
        <v>FOR</v>
      </c>
      <c r="O7041" t="s">
        <v>69</v>
      </c>
      <c r="P7041" s="3" t="s">
        <v>75</v>
      </c>
      <c r="Q7041">
        <v>2015</v>
      </c>
      <c r="R7041" s="2">
        <v>42366</v>
      </c>
      <c r="S7041" s="2">
        <v>42369</v>
      </c>
      <c r="T7041" s="2">
        <v>42369</v>
      </c>
      <c r="U7041" s="2">
        <v>42429</v>
      </c>
      <c r="V7041" t="s">
        <v>71</v>
      </c>
      <c r="W7041" t="str">
        <f>"            25288244"</f>
        <v xml:space="preserve">            25288244</v>
      </c>
      <c r="X7041">
        <v>74.88</v>
      </c>
      <c r="Y7041">
        <v>0</v>
      </c>
      <c r="Z7041" s="3">
        <v>72</v>
      </c>
      <c r="AA7041">
        <v>253</v>
      </c>
      <c r="AB7041" s="5">
        <v>18216</v>
      </c>
      <c r="AC7041">
        <v>72</v>
      </c>
      <c r="AD7041">
        <v>253</v>
      </c>
      <c r="AE7041" s="1">
        <v>18216</v>
      </c>
      <c r="AF7041">
        <v>0</v>
      </c>
      <c r="AJ7041">
        <v>0</v>
      </c>
      <c r="AK7041">
        <v>0</v>
      </c>
      <c r="AL7041">
        <v>0</v>
      </c>
      <c r="AM7041">
        <v>0</v>
      </c>
      <c r="AN7041">
        <v>0</v>
      </c>
      <c r="AO7041">
        <v>0</v>
      </c>
      <c r="AP7041" s="2">
        <v>42746</v>
      </c>
      <c r="AQ7041" t="s">
        <v>72</v>
      </c>
      <c r="AR7041" t="s">
        <v>72</v>
      </c>
      <c r="AS7041">
        <v>2963</v>
      </c>
      <c r="AT7041" s="4">
        <v>42682</v>
      </c>
      <c r="AU7041" t="s">
        <v>73</v>
      </c>
      <c r="AV7041">
        <v>2963</v>
      </c>
      <c r="AW7041" s="4">
        <v>42682</v>
      </c>
      <c r="BD7041">
        <v>0</v>
      </c>
      <c r="BN7041" t="s">
        <v>74</v>
      </c>
    </row>
    <row r="7042" spans="1:66">
      <c r="A7042">
        <v>104093</v>
      </c>
      <c r="B7042" s="3" t="s">
        <v>609</v>
      </c>
      <c r="C7042" s="1">
        <v>43300101</v>
      </c>
      <c r="D7042" t="s">
        <v>67</v>
      </c>
      <c r="H7042" t="str">
        <f t="shared" si="690"/>
        <v>12572900152</v>
      </c>
      <c r="I7042" t="str">
        <f t="shared" si="691"/>
        <v>06032681006</v>
      </c>
      <c r="K7042" t="str">
        <f>""</f>
        <v/>
      </c>
      <c r="M7042" t="s">
        <v>68</v>
      </c>
      <c r="N7042" t="str">
        <f t="shared" si="692"/>
        <v>FOR</v>
      </c>
      <c r="O7042" t="s">
        <v>69</v>
      </c>
      <c r="P7042" s="3" t="s">
        <v>75</v>
      </c>
      <c r="Q7042">
        <v>2015</v>
      </c>
      <c r="R7042" s="2">
        <v>42366</v>
      </c>
      <c r="S7042" s="2">
        <v>42369</v>
      </c>
      <c r="T7042" s="2">
        <v>42369</v>
      </c>
      <c r="U7042" s="2">
        <v>42429</v>
      </c>
      <c r="V7042" t="s">
        <v>71</v>
      </c>
      <c r="W7042" t="str">
        <f>"            25288246"</f>
        <v xml:space="preserve">            25288246</v>
      </c>
      <c r="X7042">
        <v>707.62</v>
      </c>
      <c r="Y7042">
        <v>0</v>
      </c>
      <c r="Z7042" s="3">
        <v>680.4</v>
      </c>
      <c r="AA7042">
        <v>253</v>
      </c>
      <c r="AB7042" s="5">
        <v>172141.2</v>
      </c>
      <c r="AC7042">
        <v>680.4</v>
      </c>
      <c r="AD7042">
        <v>253</v>
      </c>
      <c r="AE7042" s="1">
        <v>172141.2</v>
      </c>
      <c r="AF7042">
        <v>0</v>
      </c>
      <c r="AJ7042">
        <v>0</v>
      </c>
      <c r="AK7042">
        <v>0</v>
      </c>
      <c r="AL7042">
        <v>0</v>
      </c>
      <c r="AM7042">
        <v>0</v>
      </c>
      <c r="AN7042">
        <v>0</v>
      </c>
      <c r="AO7042">
        <v>0</v>
      </c>
      <c r="AP7042" s="2">
        <v>42746</v>
      </c>
      <c r="AQ7042" t="s">
        <v>72</v>
      </c>
      <c r="AR7042" t="s">
        <v>72</v>
      </c>
      <c r="AS7042">
        <v>2963</v>
      </c>
      <c r="AT7042" s="4">
        <v>42682</v>
      </c>
      <c r="AU7042" t="s">
        <v>73</v>
      </c>
      <c r="AV7042">
        <v>2963</v>
      </c>
      <c r="AW7042" s="4">
        <v>42682</v>
      </c>
      <c r="BD7042">
        <v>0</v>
      </c>
      <c r="BN7042" t="s">
        <v>74</v>
      </c>
    </row>
    <row r="7043" spans="1:66">
      <c r="A7043">
        <v>104093</v>
      </c>
      <c r="B7043" s="3" t="s">
        <v>609</v>
      </c>
      <c r="C7043" s="1">
        <v>43300101</v>
      </c>
      <c r="D7043" t="s">
        <v>67</v>
      </c>
      <c r="H7043" t="str">
        <f t="shared" ref="H7043:H7106" si="693">"12572900152"</f>
        <v>12572900152</v>
      </c>
      <c r="I7043" t="str">
        <f t="shared" ref="I7043:I7106" si="694">"06032681006"</f>
        <v>06032681006</v>
      </c>
      <c r="K7043" t="str">
        <f>""</f>
        <v/>
      </c>
      <c r="M7043" t="s">
        <v>68</v>
      </c>
      <c r="N7043" t="str">
        <f t="shared" si="692"/>
        <v>FOR</v>
      </c>
      <c r="O7043" t="s">
        <v>69</v>
      </c>
      <c r="P7043" s="3" t="s">
        <v>75</v>
      </c>
      <c r="Q7043">
        <v>2015</v>
      </c>
      <c r="R7043" s="2">
        <v>42366</v>
      </c>
      <c r="S7043" s="2">
        <v>42369</v>
      </c>
      <c r="T7043" s="2">
        <v>42369</v>
      </c>
      <c r="U7043" s="2">
        <v>42429</v>
      </c>
      <c r="V7043" t="s">
        <v>71</v>
      </c>
      <c r="W7043" t="str">
        <f>"            25288247"</f>
        <v xml:space="preserve">            25288247</v>
      </c>
      <c r="X7043">
        <v>252.72</v>
      </c>
      <c r="Y7043">
        <v>0</v>
      </c>
      <c r="Z7043" s="3">
        <v>243</v>
      </c>
      <c r="AA7043">
        <v>253</v>
      </c>
      <c r="AB7043" s="5">
        <v>61479</v>
      </c>
      <c r="AC7043">
        <v>243</v>
      </c>
      <c r="AD7043">
        <v>253</v>
      </c>
      <c r="AE7043" s="1">
        <v>61479</v>
      </c>
      <c r="AF7043">
        <v>0</v>
      </c>
      <c r="AJ7043">
        <v>0</v>
      </c>
      <c r="AK7043">
        <v>0</v>
      </c>
      <c r="AL7043">
        <v>0</v>
      </c>
      <c r="AM7043">
        <v>0</v>
      </c>
      <c r="AN7043">
        <v>0</v>
      </c>
      <c r="AO7043">
        <v>0</v>
      </c>
      <c r="AP7043" s="2">
        <v>42746</v>
      </c>
      <c r="AQ7043" t="s">
        <v>72</v>
      </c>
      <c r="AR7043" t="s">
        <v>72</v>
      </c>
      <c r="AS7043">
        <v>2963</v>
      </c>
      <c r="AT7043" s="4">
        <v>42682</v>
      </c>
      <c r="AU7043" t="s">
        <v>73</v>
      </c>
      <c r="AV7043">
        <v>2963</v>
      </c>
      <c r="AW7043" s="4">
        <v>42682</v>
      </c>
      <c r="BD7043">
        <v>0</v>
      </c>
      <c r="BN7043" t="s">
        <v>74</v>
      </c>
    </row>
    <row r="7044" spans="1:66">
      <c r="A7044">
        <v>104093</v>
      </c>
      <c r="B7044" s="3" t="s">
        <v>609</v>
      </c>
      <c r="C7044" s="1">
        <v>43300101</v>
      </c>
      <c r="D7044" t="s">
        <v>67</v>
      </c>
      <c r="H7044" t="str">
        <f t="shared" si="693"/>
        <v>12572900152</v>
      </c>
      <c r="I7044" t="str">
        <f t="shared" si="694"/>
        <v>06032681006</v>
      </c>
      <c r="K7044" t="str">
        <f>""</f>
        <v/>
      </c>
      <c r="M7044" t="s">
        <v>68</v>
      </c>
      <c r="N7044" t="str">
        <f t="shared" si="692"/>
        <v>FOR</v>
      </c>
      <c r="O7044" t="s">
        <v>69</v>
      </c>
      <c r="P7044" s="3" t="s">
        <v>75</v>
      </c>
      <c r="Q7044">
        <v>2016</v>
      </c>
      <c r="R7044" s="2">
        <v>42381</v>
      </c>
      <c r="S7044" s="2">
        <v>42389</v>
      </c>
      <c r="T7044" s="2">
        <v>42384</v>
      </c>
      <c r="U7044" s="2">
        <v>42444</v>
      </c>
      <c r="V7044" t="s">
        <v>71</v>
      </c>
      <c r="W7044" t="str">
        <f>"            25290265"</f>
        <v xml:space="preserve">            25290265</v>
      </c>
      <c r="X7044">
        <v>936</v>
      </c>
      <c r="Y7044">
        <v>0</v>
      </c>
      <c r="Z7044" s="3">
        <v>900</v>
      </c>
      <c r="AA7044">
        <v>276</v>
      </c>
      <c r="AB7044" s="5">
        <v>248400</v>
      </c>
      <c r="AC7044">
        <v>900</v>
      </c>
      <c r="AD7044">
        <v>276</v>
      </c>
      <c r="AE7044" s="1">
        <v>248400</v>
      </c>
      <c r="AF7044">
        <v>36</v>
      </c>
      <c r="AJ7044">
        <v>0</v>
      </c>
      <c r="AK7044">
        <v>0</v>
      </c>
      <c r="AL7044">
        <v>0</v>
      </c>
      <c r="AM7044">
        <v>936</v>
      </c>
      <c r="AN7044">
        <v>936</v>
      </c>
      <c r="AO7044">
        <v>936</v>
      </c>
      <c r="AP7044" s="2">
        <v>42746</v>
      </c>
      <c r="AQ7044" t="s">
        <v>72</v>
      </c>
      <c r="AR7044" t="s">
        <v>72</v>
      </c>
      <c r="AS7044">
        <v>3549</v>
      </c>
      <c r="AT7044" s="4">
        <v>42720</v>
      </c>
      <c r="AU7044" t="s">
        <v>73</v>
      </c>
      <c r="AV7044">
        <v>3549</v>
      </c>
      <c r="AW7044" s="4">
        <v>42720</v>
      </c>
      <c r="BD7044">
        <v>36</v>
      </c>
      <c r="BN7044" t="s">
        <v>74</v>
      </c>
    </row>
    <row r="7045" spans="1:66">
      <c r="A7045">
        <v>104093</v>
      </c>
      <c r="B7045" s="3" t="s">
        <v>609</v>
      </c>
      <c r="C7045" s="1">
        <v>43300101</v>
      </c>
      <c r="D7045" t="s">
        <v>67</v>
      </c>
      <c r="H7045" t="str">
        <f t="shared" si="693"/>
        <v>12572900152</v>
      </c>
      <c r="I7045" t="str">
        <f t="shared" si="694"/>
        <v>06032681006</v>
      </c>
      <c r="K7045" t="str">
        <f>""</f>
        <v/>
      </c>
      <c r="M7045" t="s">
        <v>68</v>
      </c>
      <c r="N7045" t="str">
        <f t="shared" si="692"/>
        <v>FOR</v>
      </c>
      <c r="O7045" t="s">
        <v>69</v>
      </c>
      <c r="P7045" s="3" t="s">
        <v>75</v>
      </c>
      <c r="Q7045">
        <v>2016</v>
      </c>
      <c r="R7045" s="2">
        <v>42382</v>
      </c>
      <c r="S7045" s="2">
        <v>42389</v>
      </c>
      <c r="T7045" s="2">
        <v>42384</v>
      </c>
      <c r="U7045" s="2">
        <v>42444</v>
      </c>
      <c r="V7045" t="s">
        <v>71</v>
      </c>
      <c r="W7045" t="str">
        <f>"            25290552"</f>
        <v xml:space="preserve">            25290552</v>
      </c>
      <c r="X7045">
        <v>74.88</v>
      </c>
      <c r="Y7045">
        <v>0</v>
      </c>
      <c r="Z7045" s="3">
        <v>72</v>
      </c>
      <c r="AA7045">
        <v>276</v>
      </c>
      <c r="AB7045" s="5">
        <v>19872</v>
      </c>
      <c r="AC7045">
        <v>72</v>
      </c>
      <c r="AD7045">
        <v>276</v>
      </c>
      <c r="AE7045" s="1">
        <v>19872</v>
      </c>
      <c r="AF7045">
        <v>2.88</v>
      </c>
      <c r="AJ7045">
        <v>0</v>
      </c>
      <c r="AK7045">
        <v>0</v>
      </c>
      <c r="AL7045">
        <v>0</v>
      </c>
      <c r="AM7045">
        <v>74.88</v>
      </c>
      <c r="AN7045">
        <v>74.88</v>
      </c>
      <c r="AO7045">
        <v>74.88</v>
      </c>
      <c r="AP7045" s="2">
        <v>42746</v>
      </c>
      <c r="AQ7045" t="s">
        <v>72</v>
      </c>
      <c r="AR7045" t="s">
        <v>72</v>
      </c>
      <c r="AS7045">
        <v>3549</v>
      </c>
      <c r="AT7045" s="4">
        <v>42720</v>
      </c>
      <c r="AU7045" t="s">
        <v>73</v>
      </c>
      <c r="AV7045">
        <v>3549</v>
      </c>
      <c r="AW7045" s="4">
        <v>42720</v>
      </c>
      <c r="BD7045">
        <v>2.88</v>
      </c>
      <c r="BN7045" t="s">
        <v>74</v>
      </c>
    </row>
    <row r="7046" spans="1:66">
      <c r="A7046">
        <v>104093</v>
      </c>
      <c r="B7046" s="3" t="s">
        <v>609</v>
      </c>
      <c r="C7046" s="1">
        <v>43300101</v>
      </c>
      <c r="D7046" t="s">
        <v>67</v>
      </c>
      <c r="H7046" t="str">
        <f t="shared" si="693"/>
        <v>12572900152</v>
      </c>
      <c r="I7046" t="str">
        <f t="shared" si="694"/>
        <v>06032681006</v>
      </c>
      <c r="K7046" t="str">
        <f>""</f>
        <v/>
      </c>
      <c r="M7046" t="s">
        <v>68</v>
      </c>
      <c r="N7046" t="str">
        <f t="shared" si="692"/>
        <v>FOR</v>
      </c>
      <c r="O7046" t="s">
        <v>69</v>
      </c>
      <c r="P7046" s="3" t="s">
        <v>75</v>
      </c>
      <c r="Q7046">
        <v>2016</v>
      </c>
      <c r="R7046" s="2">
        <v>42382</v>
      </c>
      <c r="S7046" s="2">
        <v>42389</v>
      </c>
      <c r="T7046" s="2">
        <v>42384</v>
      </c>
      <c r="U7046" s="2">
        <v>42444</v>
      </c>
      <c r="V7046" t="s">
        <v>71</v>
      </c>
      <c r="W7046" t="str">
        <f>"            25290553"</f>
        <v xml:space="preserve">            25290553</v>
      </c>
      <c r="X7046">
        <v>707.62</v>
      </c>
      <c r="Y7046">
        <v>0</v>
      </c>
      <c r="Z7046" s="3">
        <v>680.4</v>
      </c>
      <c r="AA7046">
        <v>276</v>
      </c>
      <c r="AB7046" s="5">
        <v>187790.4</v>
      </c>
      <c r="AC7046">
        <v>680.4</v>
      </c>
      <c r="AD7046">
        <v>276</v>
      </c>
      <c r="AE7046" s="1">
        <v>187790.4</v>
      </c>
      <c r="AF7046">
        <v>27.22</v>
      </c>
      <c r="AJ7046">
        <v>0</v>
      </c>
      <c r="AK7046">
        <v>0</v>
      </c>
      <c r="AL7046">
        <v>0</v>
      </c>
      <c r="AM7046">
        <v>707.62</v>
      </c>
      <c r="AN7046">
        <v>707.62</v>
      </c>
      <c r="AO7046">
        <v>707.62</v>
      </c>
      <c r="AP7046" s="2">
        <v>42746</v>
      </c>
      <c r="AQ7046" t="s">
        <v>72</v>
      </c>
      <c r="AR7046" t="s">
        <v>72</v>
      </c>
      <c r="AS7046">
        <v>3549</v>
      </c>
      <c r="AT7046" s="4">
        <v>42720</v>
      </c>
      <c r="AU7046" t="s">
        <v>73</v>
      </c>
      <c r="AV7046">
        <v>3549</v>
      </c>
      <c r="AW7046" s="4">
        <v>42720</v>
      </c>
      <c r="BD7046">
        <v>27.22</v>
      </c>
      <c r="BN7046" t="s">
        <v>74</v>
      </c>
    </row>
    <row r="7047" spans="1:66">
      <c r="A7047">
        <v>104093</v>
      </c>
      <c r="B7047" s="3" t="s">
        <v>609</v>
      </c>
      <c r="C7047" s="1">
        <v>43300101</v>
      </c>
      <c r="D7047" t="s">
        <v>67</v>
      </c>
      <c r="H7047" t="str">
        <f t="shared" si="693"/>
        <v>12572900152</v>
      </c>
      <c r="I7047" t="str">
        <f t="shared" si="694"/>
        <v>06032681006</v>
      </c>
      <c r="K7047" t="str">
        <f>""</f>
        <v/>
      </c>
      <c r="M7047" t="s">
        <v>68</v>
      </c>
      <c r="N7047" t="str">
        <f t="shared" si="692"/>
        <v>FOR</v>
      </c>
      <c r="O7047" t="s">
        <v>69</v>
      </c>
      <c r="P7047" s="3" t="s">
        <v>75</v>
      </c>
      <c r="Q7047">
        <v>2016</v>
      </c>
      <c r="R7047" s="2">
        <v>42382</v>
      </c>
      <c r="S7047" s="2">
        <v>42389</v>
      </c>
      <c r="T7047" s="2">
        <v>42384</v>
      </c>
      <c r="U7047" s="2">
        <v>42444</v>
      </c>
      <c r="V7047" t="s">
        <v>71</v>
      </c>
      <c r="W7047" t="str">
        <f>"            25290555"</f>
        <v xml:space="preserve">            25290555</v>
      </c>
      <c r="X7047">
        <v>252.72</v>
      </c>
      <c r="Y7047">
        <v>0</v>
      </c>
      <c r="Z7047" s="3">
        <v>243</v>
      </c>
      <c r="AA7047">
        <v>276</v>
      </c>
      <c r="AB7047" s="5">
        <v>67068</v>
      </c>
      <c r="AC7047">
        <v>243</v>
      </c>
      <c r="AD7047">
        <v>276</v>
      </c>
      <c r="AE7047" s="1">
        <v>67068</v>
      </c>
      <c r="AF7047">
        <v>9.7200000000000006</v>
      </c>
      <c r="AJ7047">
        <v>0</v>
      </c>
      <c r="AK7047">
        <v>0</v>
      </c>
      <c r="AL7047">
        <v>0</v>
      </c>
      <c r="AM7047">
        <v>252.72</v>
      </c>
      <c r="AN7047">
        <v>252.72</v>
      </c>
      <c r="AO7047">
        <v>252.72</v>
      </c>
      <c r="AP7047" s="2">
        <v>42746</v>
      </c>
      <c r="AQ7047" t="s">
        <v>72</v>
      </c>
      <c r="AR7047" t="s">
        <v>72</v>
      </c>
      <c r="AS7047">
        <v>3549</v>
      </c>
      <c r="AT7047" s="4">
        <v>42720</v>
      </c>
      <c r="AU7047" t="s">
        <v>73</v>
      </c>
      <c r="AV7047">
        <v>3549</v>
      </c>
      <c r="AW7047" s="4">
        <v>42720</v>
      </c>
      <c r="BD7047">
        <v>9.7200000000000006</v>
      </c>
      <c r="BN7047" t="s">
        <v>74</v>
      </c>
    </row>
    <row r="7048" spans="1:66">
      <c r="A7048">
        <v>104093</v>
      </c>
      <c r="B7048" s="3" t="s">
        <v>609</v>
      </c>
      <c r="C7048" s="1">
        <v>43300101</v>
      </c>
      <c r="D7048" t="s">
        <v>67</v>
      </c>
      <c r="H7048" t="str">
        <f t="shared" si="693"/>
        <v>12572900152</v>
      </c>
      <c r="I7048" t="str">
        <f t="shared" si="694"/>
        <v>06032681006</v>
      </c>
      <c r="K7048" t="str">
        <f>""</f>
        <v/>
      </c>
      <c r="M7048" t="s">
        <v>68</v>
      </c>
      <c r="N7048" t="str">
        <f t="shared" si="692"/>
        <v>FOR</v>
      </c>
      <c r="O7048" t="s">
        <v>69</v>
      </c>
      <c r="P7048" s="3" t="s">
        <v>75</v>
      </c>
      <c r="Q7048">
        <v>2016</v>
      </c>
      <c r="R7048" s="2">
        <v>42382</v>
      </c>
      <c r="S7048" s="2">
        <v>42389</v>
      </c>
      <c r="T7048" s="2">
        <v>42384</v>
      </c>
      <c r="U7048" s="2">
        <v>42444</v>
      </c>
      <c r="V7048" t="s">
        <v>71</v>
      </c>
      <c r="W7048" t="str">
        <f>"            25290556"</f>
        <v xml:space="preserve">            25290556</v>
      </c>
      <c r="X7048">
        <v>252.72</v>
      </c>
      <c r="Y7048">
        <v>0</v>
      </c>
      <c r="Z7048" s="3">
        <v>243</v>
      </c>
      <c r="AA7048">
        <v>276</v>
      </c>
      <c r="AB7048" s="5">
        <v>67068</v>
      </c>
      <c r="AC7048">
        <v>243</v>
      </c>
      <c r="AD7048">
        <v>276</v>
      </c>
      <c r="AE7048" s="1">
        <v>67068</v>
      </c>
      <c r="AF7048">
        <v>9.7200000000000006</v>
      </c>
      <c r="AJ7048">
        <v>0</v>
      </c>
      <c r="AK7048">
        <v>0</v>
      </c>
      <c r="AL7048">
        <v>0</v>
      </c>
      <c r="AM7048">
        <v>252.72</v>
      </c>
      <c r="AN7048">
        <v>252.72</v>
      </c>
      <c r="AO7048">
        <v>252.72</v>
      </c>
      <c r="AP7048" s="2">
        <v>42746</v>
      </c>
      <c r="AQ7048" t="s">
        <v>72</v>
      </c>
      <c r="AR7048" t="s">
        <v>72</v>
      </c>
      <c r="AS7048">
        <v>3549</v>
      </c>
      <c r="AT7048" s="4">
        <v>42720</v>
      </c>
      <c r="AU7048" t="s">
        <v>73</v>
      </c>
      <c r="AV7048">
        <v>3549</v>
      </c>
      <c r="AW7048" s="4">
        <v>42720</v>
      </c>
      <c r="BD7048">
        <v>9.7200000000000006</v>
      </c>
      <c r="BN7048" t="s">
        <v>74</v>
      </c>
    </row>
    <row r="7049" spans="1:66">
      <c r="A7049">
        <v>104093</v>
      </c>
      <c r="B7049" s="3" t="s">
        <v>609</v>
      </c>
      <c r="C7049" s="1">
        <v>43300101</v>
      </c>
      <c r="D7049" t="s">
        <v>67</v>
      </c>
      <c r="H7049" t="str">
        <f t="shared" si="693"/>
        <v>12572900152</v>
      </c>
      <c r="I7049" t="str">
        <f t="shared" si="694"/>
        <v>06032681006</v>
      </c>
      <c r="K7049" t="str">
        <f>""</f>
        <v/>
      </c>
      <c r="M7049" t="s">
        <v>68</v>
      </c>
      <c r="N7049" t="str">
        <f t="shared" si="692"/>
        <v>FOR</v>
      </c>
      <c r="O7049" t="s">
        <v>69</v>
      </c>
      <c r="P7049" s="3" t="s">
        <v>75</v>
      </c>
      <c r="Q7049">
        <v>2016</v>
      </c>
      <c r="R7049" s="2">
        <v>42382</v>
      </c>
      <c r="S7049" s="2">
        <v>42389</v>
      </c>
      <c r="T7049" s="2">
        <v>42384</v>
      </c>
      <c r="U7049" s="2">
        <v>42444</v>
      </c>
      <c r="V7049" t="s">
        <v>71</v>
      </c>
      <c r="W7049" t="str">
        <f>"            25290558"</f>
        <v xml:space="preserve">            25290558</v>
      </c>
      <c r="X7049">
        <v>926.64</v>
      </c>
      <c r="Y7049">
        <v>0</v>
      </c>
      <c r="Z7049" s="3">
        <v>891</v>
      </c>
      <c r="AA7049">
        <v>276</v>
      </c>
      <c r="AB7049" s="5">
        <v>245916</v>
      </c>
      <c r="AC7049">
        <v>891</v>
      </c>
      <c r="AD7049">
        <v>276</v>
      </c>
      <c r="AE7049" s="1">
        <v>245916</v>
      </c>
      <c r="AF7049">
        <v>35.64</v>
      </c>
      <c r="AJ7049">
        <v>0</v>
      </c>
      <c r="AK7049">
        <v>0</v>
      </c>
      <c r="AL7049">
        <v>0</v>
      </c>
      <c r="AM7049">
        <v>926.64</v>
      </c>
      <c r="AN7049">
        <v>926.64</v>
      </c>
      <c r="AO7049">
        <v>926.64</v>
      </c>
      <c r="AP7049" s="2">
        <v>42746</v>
      </c>
      <c r="AQ7049" t="s">
        <v>72</v>
      </c>
      <c r="AR7049" t="s">
        <v>72</v>
      </c>
      <c r="AS7049">
        <v>3549</v>
      </c>
      <c r="AT7049" s="4">
        <v>42720</v>
      </c>
      <c r="AU7049" t="s">
        <v>73</v>
      </c>
      <c r="AV7049">
        <v>3549</v>
      </c>
      <c r="AW7049" s="4">
        <v>42720</v>
      </c>
      <c r="BD7049">
        <v>35.64</v>
      </c>
      <c r="BN7049" t="s">
        <v>74</v>
      </c>
    </row>
    <row r="7050" spans="1:66">
      <c r="A7050">
        <v>104093</v>
      </c>
      <c r="B7050" s="3" t="s">
        <v>609</v>
      </c>
      <c r="C7050" s="1">
        <v>43300101</v>
      </c>
      <c r="D7050" t="s">
        <v>67</v>
      </c>
      <c r="H7050" t="str">
        <f t="shared" si="693"/>
        <v>12572900152</v>
      </c>
      <c r="I7050" t="str">
        <f t="shared" si="694"/>
        <v>06032681006</v>
      </c>
      <c r="K7050" t="str">
        <f>""</f>
        <v/>
      </c>
      <c r="M7050" t="s">
        <v>68</v>
      </c>
      <c r="N7050" t="str">
        <f t="shared" si="692"/>
        <v>FOR</v>
      </c>
      <c r="O7050" t="s">
        <v>69</v>
      </c>
      <c r="P7050" s="3" t="s">
        <v>75</v>
      </c>
      <c r="Q7050">
        <v>2016</v>
      </c>
      <c r="R7050" s="2">
        <v>42382</v>
      </c>
      <c r="S7050" s="2">
        <v>42389</v>
      </c>
      <c r="T7050" s="2">
        <v>42384</v>
      </c>
      <c r="U7050" s="2">
        <v>42444</v>
      </c>
      <c r="V7050" t="s">
        <v>71</v>
      </c>
      <c r="W7050" t="str">
        <f>"            25290559"</f>
        <v xml:space="preserve">            25290559</v>
      </c>
      <c r="X7050">
        <v>74.88</v>
      </c>
      <c r="Y7050">
        <v>0</v>
      </c>
      <c r="Z7050" s="3">
        <v>72</v>
      </c>
      <c r="AA7050">
        <v>276</v>
      </c>
      <c r="AB7050" s="5">
        <v>19872</v>
      </c>
      <c r="AC7050">
        <v>72</v>
      </c>
      <c r="AD7050">
        <v>276</v>
      </c>
      <c r="AE7050" s="1">
        <v>19872</v>
      </c>
      <c r="AF7050">
        <v>2.88</v>
      </c>
      <c r="AJ7050">
        <v>0</v>
      </c>
      <c r="AK7050">
        <v>0</v>
      </c>
      <c r="AL7050">
        <v>0</v>
      </c>
      <c r="AM7050">
        <v>74.88</v>
      </c>
      <c r="AN7050">
        <v>74.88</v>
      </c>
      <c r="AO7050">
        <v>74.88</v>
      </c>
      <c r="AP7050" s="2">
        <v>42746</v>
      </c>
      <c r="AQ7050" t="s">
        <v>72</v>
      </c>
      <c r="AR7050" t="s">
        <v>72</v>
      </c>
      <c r="AS7050">
        <v>3549</v>
      </c>
      <c r="AT7050" s="4">
        <v>42720</v>
      </c>
      <c r="AU7050" t="s">
        <v>73</v>
      </c>
      <c r="AV7050">
        <v>3549</v>
      </c>
      <c r="AW7050" s="4">
        <v>42720</v>
      </c>
      <c r="BD7050">
        <v>2.88</v>
      </c>
      <c r="BN7050" t="s">
        <v>74</v>
      </c>
    </row>
    <row r="7051" spans="1:66">
      <c r="A7051">
        <v>104093</v>
      </c>
      <c r="B7051" s="3" t="s">
        <v>609</v>
      </c>
      <c r="C7051" s="1">
        <v>43300101</v>
      </c>
      <c r="D7051" t="s">
        <v>67</v>
      </c>
      <c r="H7051" t="str">
        <f t="shared" si="693"/>
        <v>12572900152</v>
      </c>
      <c r="I7051" t="str">
        <f t="shared" si="694"/>
        <v>06032681006</v>
      </c>
      <c r="K7051" t="str">
        <f>""</f>
        <v/>
      </c>
      <c r="M7051" t="s">
        <v>68</v>
      </c>
      <c r="N7051" t="str">
        <f t="shared" si="692"/>
        <v>FOR</v>
      </c>
      <c r="O7051" t="s">
        <v>69</v>
      </c>
      <c r="P7051" s="3" t="s">
        <v>75</v>
      </c>
      <c r="Q7051">
        <v>2016</v>
      </c>
      <c r="R7051" s="2">
        <v>42382</v>
      </c>
      <c r="S7051" s="2">
        <v>42389</v>
      </c>
      <c r="T7051" s="2">
        <v>42384</v>
      </c>
      <c r="U7051" s="2">
        <v>42444</v>
      </c>
      <c r="V7051" t="s">
        <v>71</v>
      </c>
      <c r="W7051" t="str">
        <f>"            25290560"</f>
        <v xml:space="preserve">            25290560</v>
      </c>
      <c r="X7051">
        <v>74.88</v>
      </c>
      <c r="Y7051">
        <v>0</v>
      </c>
      <c r="Z7051" s="3">
        <v>72</v>
      </c>
      <c r="AA7051">
        <v>276</v>
      </c>
      <c r="AB7051" s="5">
        <v>19872</v>
      </c>
      <c r="AC7051">
        <v>72</v>
      </c>
      <c r="AD7051">
        <v>276</v>
      </c>
      <c r="AE7051" s="1">
        <v>19872</v>
      </c>
      <c r="AF7051">
        <v>2.88</v>
      </c>
      <c r="AJ7051">
        <v>0</v>
      </c>
      <c r="AK7051">
        <v>0</v>
      </c>
      <c r="AL7051">
        <v>0</v>
      </c>
      <c r="AM7051">
        <v>74.88</v>
      </c>
      <c r="AN7051">
        <v>74.88</v>
      </c>
      <c r="AO7051">
        <v>74.88</v>
      </c>
      <c r="AP7051" s="2">
        <v>42746</v>
      </c>
      <c r="AQ7051" t="s">
        <v>72</v>
      </c>
      <c r="AR7051" t="s">
        <v>72</v>
      </c>
      <c r="AS7051">
        <v>3549</v>
      </c>
      <c r="AT7051" s="4">
        <v>42720</v>
      </c>
      <c r="AU7051" t="s">
        <v>73</v>
      </c>
      <c r="AV7051">
        <v>3549</v>
      </c>
      <c r="AW7051" s="4">
        <v>42720</v>
      </c>
      <c r="BD7051">
        <v>2.88</v>
      </c>
      <c r="BN7051" t="s">
        <v>74</v>
      </c>
    </row>
    <row r="7052" spans="1:66">
      <c r="A7052">
        <v>104093</v>
      </c>
      <c r="B7052" s="3" t="s">
        <v>609</v>
      </c>
      <c r="C7052" s="1">
        <v>43300101</v>
      </c>
      <c r="D7052" t="s">
        <v>67</v>
      </c>
      <c r="H7052" t="str">
        <f t="shared" si="693"/>
        <v>12572900152</v>
      </c>
      <c r="I7052" t="str">
        <f t="shared" si="694"/>
        <v>06032681006</v>
      </c>
      <c r="K7052" t="str">
        <f>""</f>
        <v/>
      </c>
      <c r="M7052" t="s">
        <v>68</v>
      </c>
      <c r="N7052" t="str">
        <f t="shared" si="692"/>
        <v>FOR</v>
      </c>
      <c r="O7052" t="s">
        <v>69</v>
      </c>
      <c r="P7052" s="3" t="s">
        <v>75</v>
      </c>
      <c r="Q7052">
        <v>2016</v>
      </c>
      <c r="R7052" s="2">
        <v>42382</v>
      </c>
      <c r="S7052" s="2">
        <v>42389</v>
      </c>
      <c r="T7052" s="2">
        <v>42384</v>
      </c>
      <c r="U7052" s="2">
        <v>42444</v>
      </c>
      <c r="V7052" t="s">
        <v>71</v>
      </c>
      <c r="W7052" t="str">
        <f>"            25290561"</f>
        <v xml:space="preserve">            25290561</v>
      </c>
      <c r="X7052">
        <v>707.62</v>
      </c>
      <c r="Y7052">
        <v>0</v>
      </c>
      <c r="Z7052" s="3">
        <v>680.4</v>
      </c>
      <c r="AA7052">
        <v>276</v>
      </c>
      <c r="AB7052" s="5">
        <v>187790.4</v>
      </c>
      <c r="AC7052">
        <v>680.4</v>
      </c>
      <c r="AD7052">
        <v>276</v>
      </c>
      <c r="AE7052" s="1">
        <v>187790.4</v>
      </c>
      <c r="AF7052">
        <v>27.22</v>
      </c>
      <c r="AJ7052">
        <v>0</v>
      </c>
      <c r="AK7052">
        <v>0</v>
      </c>
      <c r="AL7052">
        <v>0</v>
      </c>
      <c r="AM7052">
        <v>707.62</v>
      </c>
      <c r="AN7052">
        <v>707.62</v>
      </c>
      <c r="AO7052">
        <v>707.62</v>
      </c>
      <c r="AP7052" s="2">
        <v>42746</v>
      </c>
      <c r="AQ7052" t="s">
        <v>72</v>
      </c>
      <c r="AR7052" t="s">
        <v>72</v>
      </c>
      <c r="AS7052">
        <v>3549</v>
      </c>
      <c r="AT7052" s="4">
        <v>42720</v>
      </c>
      <c r="AU7052" t="s">
        <v>73</v>
      </c>
      <c r="AV7052">
        <v>3549</v>
      </c>
      <c r="AW7052" s="4">
        <v>42720</v>
      </c>
      <c r="BD7052">
        <v>27.22</v>
      </c>
      <c r="BN7052" t="s">
        <v>74</v>
      </c>
    </row>
    <row r="7053" spans="1:66">
      <c r="A7053">
        <v>104093</v>
      </c>
      <c r="B7053" s="3" t="s">
        <v>609</v>
      </c>
      <c r="C7053" s="1">
        <v>43300101</v>
      </c>
      <c r="D7053" t="s">
        <v>67</v>
      </c>
      <c r="H7053" t="str">
        <f t="shared" si="693"/>
        <v>12572900152</v>
      </c>
      <c r="I7053" t="str">
        <f t="shared" si="694"/>
        <v>06032681006</v>
      </c>
      <c r="K7053" t="str">
        <f>""</f>
        <v/>
      </c>
      <c r="M7053" t="s">
        <v>68</v>
      </c>
      <c r="N7053" t="str">
        <f t="shared" si="692"/>
        <v>FOR</v>
      </c>
      <c r="O7053" t="s">
        <v>69</v>
      </c>
      <c r="P7053" s="3" t="s">
        <v>75</v>
      </c>
      <c r="Q7053">
        <v>2016</v>
      </c>
      <c r="R7053" s="2">
        <v>42382</v>
      </c>
      <c r="S7053" s="2">
        <v>42389</v>
      </c>
      <c r="T7053" s="2">
        <v>42384</v>
      </c>
      <c r="U7053" s="2">
        <v>42444</v>
      </c>
      <c r="V7053" t="s">
        <v>71</v>
      </c>
      <c r="W7053" t="str">
        <f>"            25290562"</f>
        <v xml:space="preserve">            25290562</v>
      </c>
      <c r="X7053">
        <v>252.72</v>
      </c>
      <c r="Y7053">
        <v>0</v>
      </c>
      <c r="Z7053" s="3">
        <v>243</v>
      </c>
      <c r="AA7053">
        <v>276</v>
      </c>
      <c r="AB7053" s="5">
        <v>67068</v>
      </c>
      <c r="AC7053">
        <v>243</v>
      </c>
      <c r="AD7053">
        <v>276</v>
      </c>
      <c r="AE7053" s="1">
        <v>67068</v>
      </c>
      <c r="AF7053">
        <v>9.7200000000000006</v>
      </c>
      <c r="AJ7053">
        <v>0</v>
      </c>
      <c r="AK7053">
        <v>0</v>
      </c>
      <c r="AL7053">
        <v>0</v>
      </c>
      <c r="AM7053">
        <v>252.72</v>
      </c>
      <c r="AN7053">
        <v>252.72</v>
      </c>
      <c r="AO7053">
        <v>252.72</v>
      </c>
      <c r="AP7053" s="2">
        <v>42746</v>
      </c>
      <c r="AQ7053" t="s">
        <v>72</v>
      </c>
      <c r="AR7053" t="s">
        <v>72</v>
      </c>
      <c r="AS7053">
        <v>3549</v>
      </c>
      <c r="AT7053" s="4">
        <v>42720</v>
      </c>
      <c r="AU7053" t="s">
        <v>73</v>
      </c>
      <c r="AV7053">
        <v>3549</v>
      </c>
      <c r="AW7053" s="4">
        <v>42720</v>
      </c>
      <c r="BD7053">
        <v>9.7200000000000006</v>
      </c>
      <c r="BN7053" t="s">
        <v>74</v>
      </c>
    </row>
    <row r="7054" spans="1:66">
      <c r="A7054">
        <v>104093</v>
      </c>
      <c r="B7054" s="3" t="s">
        <v>609</v>
      </c>
      <c r="C7054" s="1">
        <v>43300101</v>
      </c>
      <c r="D7054" t="s">
        <v>67</v>
      </c>
      <c r="H7054" t="str">
        <f t="shared" si="693"/>
        <v>12572900152</v>
      </c>
      <c r="I7054" t="str">
        <f t="shared" si="694"/>
        <v>06032681006</v>
      </c>
      <c r="K7054" t="str">
        <f>""</f>
        <v/>
      </c>
      <c r="M7054" t="s">
        <v>68</v>
      </c>
      <c r="N7054" t="str">
        <f t="shared" si="692"/>
        <v>FOR</v>
      </c>
      <c r="O7054" t="s">
        <v>69</v>
      </c>
      <c r="P7054" s="3" t="s">
        <v>75</v>
      </c>
      <c r="Q7054">
        <v>2016</v>
      </c>
      <c r="R7054" s="2">
        <v>42382</v>
      </c>
      <c r="S7054" s="2">
        <v>42389</v>
      </c>
      <c r="T7054" s="2">
        <v>42384</v>
      </c>
      <c r="U7054" s="2">
        <v>42444</v>
      </c>
      <c r="V7054" t="s">
        <v>71</v>
      </c>
      <c r="W7054" t="str">
        <f>"            25290563"</f>
        <v xml:space="preserve">            25290563</v>
      </c>
      <c r="X7054">
        <v>74.88</v>
      </c>
      <c r="Y7054">
        <v>0</v>
      </c>
      <c r="Z7054" s="3">
        <v>72</v>
      </c>
      <c r="AA7054">
        <v>276</v>
      </c>
      <c r="AB7054" s="5">
        <v>19872</v>
      </c>
      <c r="AC7054">
        <v>72</v>
      </c>
      <c r="AD7054">
        <v>276</v>
      </c>
      <c r="AE7054" s="1">
        <v>19872</v>
      </c>
      <c r="AF7054">
        <v>2.88</v>
      </c>
      <c r="AJ7054">
        <v>0</v>
      </c>
      <c r="AK7054">
        <v>0</v>
      </c>
      <c r="AL7054">
        <v>0</v>
      </c>
      <c r="AM7054">
        <v>74.88</v>
      </c>
      <c r="AN7054">
        <v>74.88</v>
      </c>
      <c r="AO7054">
        <v>74.88</v>
      </c>
      <c r="AP7054" s="2">
        <v>42746</v>
      </c>
      <c r="AQ7054" t="s">
        <v>72</v>
      </c>
      <c r="AR7054" t="s">
        <v>72</v>
      </c>
      <c r="AS7054">
        <v>3549</v>
      </c>
      <c r="AT7054" s="4">
        <v>42720</v>
      </c>
      <c r="AU7054" t="s">
        <v>73</v>
      </c>
      <c r="AV7054">
        <v>3549</v>
      </c>
      <c r="AW7054" s="4">
        <v>42720</v>
      </c>
      <c r="BD7054">
        <v>2.88</v>
      </c>
      <c r="BN7054" t="s">
        <v>74</v>
      </c>
    </row>
    <row r="7055" spans="1:66">
      <c r="A7055">
        <v>104093</v>
      </c>
      <c r="B7055" s="3" t="s">
        <v>609</v>
      </c>
      <c r="C7055" s="1">
        <v>43300101</v>
      </c>
      <c r="D7055" t="s">
        <v>67</v>
      </c>
      <c r="H7055" t="str">
        <f t="shared" si="693"/>
        <v>12572900152</v>
      </c>
      <c r="I7055" t="str">
        <f t="shared" si="694"/>
        <v>06032681006</v>
      </c>
      <c r="K7055" t="str">
        <f>""</f>
        <v/>
      </c>
      <c r="M7055" t="s">
        <v>68</v>
      </c>
      <c r="N7055" t="str">
        <f t="shared" si="692"/>
        <v>FOR</v>
      </c>
      <c r="O7055" t="s">
        <v>69</v>
      </c>
      <c r="P7055" s="3" t="s">
        <v>75</v>
      </c>
      <c r="Q7055">
        <v>2016</v>
      </c>
      <c r="R7055" s="2">
        <v>42382</v>
      </c>
      <c r="S7055" s="2">
        <v>42389</v>
      </c>
      <c r="T7055" s="2">
        <v>42384</v>
      </c>
      <c r="U7055" s="2">
        <v>42444</v>
      </c>
      <c r="V7055" t="s">
        <v>71</v>
      </c>
      <c r="W7055" t="str">
        <f>"            25290564"</f>
        <v xml:space="preserve">            25290564</v>
      </c>
      <c r="X7055">
        <v>74.88</v>
      </c>
      <c r="Y7055">
        <v>0</v>
      </c>
      <c r="Z7055" s="3">
        <v>72</v>
      </c>
      <c r="AA7055">
        <v>276</v>
      </c>
      <c r="AB7055" s="5">
        <v>19872</v>
      </c>
      <c r="AC7055">
        <v>72</v>
      </c>
      <c r="AD7055">
        <v>276</v>
      </c>
      <c r="AE7055" s="1">
        <v>19872</v>
      </c>
      <c r="AF7055">
        <v>2.88</v>
      </c>
      <c r="AJ7055">
        <v>0</v>
      </c>
      <c r="AK7055">
        <v>0</v>
      </c>
      <c r="AL7055">
        <v>0</v>
      </c>
      <c r="AM7055">
        <v>74.88</v>
      </c>
      <c r="AN7055">
        <v>74.88</v>
      </c>
      <c r="AO7055">
        <v>74.88</v>
      </c>
      <c r="AP7055" s="2">
        <v>42746</v>
      </c>
      <c r="AQ7055" t="s">
        <v>72</v>
      </c>
      <c r="AR7055" t="s">
        <v>72</v>
      </c>
      <c r="AS7055">
        <v>3549</v>
      </c>
      <c r="AT7055" s="4">
        <v>42720</v>
      </c>
      <c r="AU7055" t="s">
        <v>73</v>
      </c>
      <c r="AV7055">
        <v>3549</v>
      </c>
      <c r="AW7055" s="4">
        <v>42720</v>
      </c>
      <c r="BD7055">
        <v>2.88</v>
      </c>
      <c r="BN7055" t="s">
        <v>74</v>
      </c>
    </row>
    <row r="7056" spans="1:66">
      <c r="A7056">
        <v>104093</v>
      </c>
      <c r="B7056" s="3" t="s">
        <v>609</v>
      </c>
      <c r="C7056" s="1">
        <v>43300101</v>
      </c>
      <c r="D7056" t="s">
        <v>67</v>
      </c>
      <c r="H7056" t="str">
        <f t="shared" si="693"/>
        <v>12572900152</v>
      </c>
      <c r="I7056" t="str">
        <f t="shared" si="694"/>
        <v>06032681006</v>
      </c>
      <c r="K7056" t="str">
        <f>""</f>
        <v/>
      </c>
      <c r="M7056" t="s">
        <v>68</v>
      </c>
      <c r="N7056" t="str">
        <f t="shared" si="692"/>
        <v>FOR</v>
      </c>
      <c r="O7056" t="s">
        <v>69</v>
      </c>
      <c r="P7056" s="3" t="s">
        <v>75</v>
      </c>
      <c r="Q7056">
        <v>2016</v>
      </c>
      <c r="R7056" s="2">
        <v>42382</v>
      </c>
      <c r="S7056" s="2">
        <v>42389</v>
      </c>
      <c r="T7056" s="2">
        <v>42384</v>
      </c>
      <c r="U7056" s="2">
        <v>42444</v>
      </c>
      <c r="V7056" t="s">
        <v>71</v>
      </c>
      <c r="W7056" t="str">
        <f>"            25290565"</f>
        <v xml:space="preserve">            25290565</v>
      </c>
      <c r="X7056">
        <v>252.72</v>
      </c>
      <c r="Y7056">
        <v>0</v>
      </c>
      <c r="Z7056" s="3">
        <v>243</v>
      </c>
      <c r="AA7056">
        <v>276</v>
      </c>
      <c r="AB7056" s="5">
        <v>67068</v>
      </c>
      <c r="AC7056">
        <v>243</v>
      </c>
      <c r="AD7056">
        <v>276</v>
      </c>
      <c r="AE7056" s="1">
        <v>67068</v>
      </c>
      <c r="AF7056">
        <v>9.7200000000000006</v>
      </c>
      <c r="AJ7056">
        <v>0</v>
      </c>
      <c r="AK7056">
        <v>0</v>
      </c>
      <c r="AL7056">
        <v>0</v>
      </c>
      <c r="AM7056">
        <v>252.72</v>
      </c>
      <c r="AN7056">
        <v>252.72</v>
      </c>
      <c r="AO7056">
        <v>252.72</v>
      </c>
      <c r="AP7056" s="2">
        <v>42746</v>
      </c>
      <c r="AQ7056" t="s">
        <v>72</v>
      </c>
      <c r="AR7056" t="s">
        <v>72</v>
      </c>
      <c r="AS7056">
        <v>3549</v>
      </c>
      <c r="AT7056" s="4">
        <v>42720</v>
      </c>
      <c r="AU7056" t="s">
        <v>73</v>
      </c>
      <c r="AV7056">
        <v>3549</v>
      </c>
      <c r="AW7056" s="4">
        <v>42720</v>
      </c>
      <c r="BD7056">
        <v>9.7200000000000006</v>
      </c>
      <c r="BN7056" t="s">
        <v>74</v>
      </c>
    </row>
    <row r="7057" spans="1:66">
      <c r="A7057">
        <v>104093</v>
      </c>
      <c r="B7057" s="3" t="s">
        <v>609</v>
      </c>
      <c r="C7057" s="1">
        <v>43300101</v>
      </c>
      <c r="D7057" t="s">
        <v>67</v>
      </c>
      <c r="H7057" t="str">
        <f t="shared" si="693"/>
        <v>12572900152</v>
      </c>
      <c r="I7057" t="str">
        <f t="shared" si="694"/>
        <v>06032681006</v>
      </c>
      <c r="K7057" t="str">
        <f>""</f>
        <v/>
      </c>
      <c r="M7057" t="s">
        <v>68</v>
      </c>
      <c r="N7057" t="str">
        <f t="shared" si="692"/>
        <v>FOR</v>
      </c>
      <c r="O7057" t="s">
        <v>69</v>
      </c>
      <c r="P7057" s="3" t="s">
        <v>75</v>
      </c>
      <c r="Q7057">
        <v>2016</v>
      </c>
      <c r="R7057" s="2">
        <v>42382</v>
      </c>
      <c r="S7057" s="2">
        <v>42389</v>
      </c>
      <c r="T7057" s="2">
        <v>42384</v>
      </c>
      <c r="U7057" s="2">
        <v>42444</v>
      </c>
      <c r="V7057" t="s">
        <v>71</v>
      </c>
      <c r="W7057" t="str">
        <f>"            25290566"</f>
        <v xml:space="preserve">            25290566</v>
      </c>
      <c r="X7057">
        <v>74.88</v>
      </c>
      <c r="Y7057">
        <v>0</v>
      </c>
      <c r="Z7057" s="3">
        <v>72</v>
      </c>
      <c r="AA7057">
        <v>276</v>
      </c>
      <c r="AB7057" s="5">
        <v>19872</v>
      </c>
      <c r="AC7057">
        <v>72</v>
      </c>
      <c r="AD7057">
        <v>276</v>
      </c>
      <c r="AE7057" s="1">
        <v>19872</v>
      </c>
      <c r="AF7057">
        <v>2.88</v>
      </c>
      <c r="AJ7057">
        <v>0</v>
      </c>
      <c r="AK7057">
        <v>0</v>
      </c>
      <c r="AL7057">
        <v>0</v>
      </c>
      <c r="AM7057">
        <v>74.88</v>
      </c>
      <c r="AN7057">
        <v>74.88</v>
      </c>
      <c r="AO7057">
        <v>74.88</v>
      </c>
      <c r="AP7057" s="2">
        <v>42746</v>
      </c>
      <c r="AQ7057" t="s">
        <v>72</v>
      </c>
      <c r="AR7057" t="s">
        <v>72</v>
      </c>
      <c r="AS7057">
        <v>3549</v>
      </c>
      <c r="AT7057" s="4">
        <v>42720</v>
      </c>
      <c r="AU7057" t="s">
        <v>73</v>
      </c>
      <c r="AV7057">
        <v>3549</v>
      </c>
      <c r="AW7057" s="4">
        <v>42720</v>
      </c>
      <c r="BD7057">
        <v>2.88</v>
      </c>
      <c r="BN7057" t="s">
        <v>74</v>
      </c>
    </row>
    <row r="7058" spans="1:66">
      <c r="A7058">
        <v>104093</v>
      </c>
      <c r="B7058" s="3" t="s">
        <v>609</v>
      </c>
      <c r="C7058" s="1">
        <v>43300101</v>
      </c>
      <c r="D7058" t="s">
        <v>67</v>
      </c>
      <c r="H7058" t="str">
        <f t="shared" si="693"/>
        <v>12572900152</v>
      </c>
      <c r="I7058" t="str">
        <f t="shared" si="694"/>
        <v>06032681006</v>
      </c>
      <c r="K7058" t="str">
        <f>""</f>
        <v/>
      </c>
      <c r="M7058" t="s">
        <v>68</v>
      </c>
      <c r="N7058" t="str">
        <f t="shared" si="692"/>
        <v>FOR</v>
      </c>
      <c r="O7058" t="s">
        <v>69</v>
      </c>
      <c r="P7058" s="3" t="s">
        <v>75</v>
      </c>
      <c r="Q7058">
        <v>2016</v>
      </c>
      <c r="R7058" s="2">
        <v>42383</v>
      </c>
      <c r="S7058" s="2">
        <v>42389</v>
      </c>
      <c r="T7058" s="2">
        <v>42384</v>
      </c>
      <c r="U7058" s="2">
        <v>42444</v>
      </c>
      <c r="V7058" t="s">
        <v>71</v>
      </c>
      <c r="W7058" t="str">
        <f>"            25291031"</f>
        <v xml:space="preserve">            25291031</v>
      </c>
      <c r="X7058" s="1">
        <v>4632.5600000000004</v>
      </c>
      <c r="Y7058">
        <v>0</v>
      </c>
      <c r="Z7058" s="5">
        <v>4435</v>
      </c>
      <c r="AA7058">
        <v>276</v>
      </c>
      <c r="AB7058" s="5">
        <v>1224060</v>
      </c>
      <c r="AC7058" s="1">
        <v>4435</v>
      </c>
      <c r="AD7058">
        <v>276</v>
      </c>
      <c r="AE7058" s="1">
        <v>1224060</v>
      </c>
      <c r="AF7058">
        <v>197.56</v>
      </c>
      <c r="AJ7058">
        <v>0</v>
      </c>
      <c r="AK7058">
        <v>0</v>
      </c>
      <c r="AL7058">
        <v>0</v>
      </c>
      <c r="AM7058" s="1">
        <v>4632.5600000000004</v>
      </c>
      <c r="AN7058" s="1">
        <v>4632.5600000000004</v>
      </c>
      <c r="AO7058" s="1">
        <v>4632.5600000000004</v>
      </c>
      <c r="AP7058" s="2">
        <v>42746</v>
      </c>
      <c r="AQ7058" t="s">
        <v>72</v>
      </c>
      <c r="AR7058" t="s">
        <v>72</v>
      </c>
      <c r="AS7058">
        <v>3549</v>
      </c>
      <c r="AT7058" s="4">
        <v>42720</v>
      </c>
      <c r="AU7058" t="s">
        <v>73</v>
      </c>
      <c r="AV7058">
        <v>3549</v>
      </c>
      <c r="AW7058" s="4">
        <v>42720</v>
      </c>
      <c r="BD7058">
        <v>197.56</v>
      </c>
      <c r="BN7058" t="s">
        <v>74</v>
      </c>
    </row>
    <row r="7059" spans="1:66">
      <c r="A7059">
        <v>104093</v>
      </c>
      <c r="B7059" s="3" t="s">
        <v>609</v>
      </c>
      <c r="C7059" s="1">
        <v>43300101</v>
      </c>
      <c r="D7059" t="s">
        <v>67</v>
      </c>
      <c r="H7059" t="str">
        <f t="shared" si="693"/>
        <v>12572900152</v>
      </c>
      <c r="I7059" t="str">
        <f t="shared" si="694"/>
        <v>06032681006</v>
      </c>
      <c r="K7059" t="str">
        <f>""</f>
        <v/>
      </c>
      <c r="M7059" t="s">
        <v>68</v>
      </c>
      <c r="N7059" t="str">
        <f t="shared" si="692"/>
        <v>FOR</v>
      </c>
      <c r="O7059" t="s">
        <v>69</v>
      </c>
      <c r="P7059" s="3" t="s">
        <v>75</v>
      </c>
      <c r="Q7059">
        <v>2016</v>
      </c>
      <c r="R7059" s="2">
        <v>42386</v>
      </c>
      <c r="S7059" s="2">
        <v>42395</v>
      </c>
      <c r="T7059" s="2">
        <v>42391</v>
      </c>
      <c r="U7059" s="2">
        <v>42451</v>
      </c>
      <c r="V7059" t="s">
        <v>71</v>
      </c>
      <c r="W7059" t="str">
        <f>"            25291360"</f>
        <v xml:space="preserve">            25291360</v>
      </c>
      <c r="X7059">
        <v>936</v>
      </c>
      <c r="Y7059">
        <v>0</v>
      </c>
      <c r="Z7059" s="3">
        <v>900</v>
      </c>
      <c r="AA7059">
        <v>269</v>
      </c>
      <c r="AB7059" s="5">
        <v>242100</v>
      </c>
      <c r="AC7059">
        <v>900</v>
      </c>
      <c r="AD7059">
        <v>269</v>
      </c>
      <c r="AE7059" s="1">
        <v>242100</v>
      </c>
      <c r="AF7059">
        <v>36</v>
      </c>
      <c r="AJ7059">
        <v>0</v>
      </c>
      <c r="AK7059">
        <v>0</v>
      </c>
      <c r="AL7059">
        <v>0</v>
      </c>
      <c r="AM7059">
        <v>936</v>
      </c>
      <c r="AN7059">
        <v>936</v>
      </c>
      <c r="AO7059">
        <v>936</v>
      </c>
      <c r="AP7059" s="2">
        <v>42746</v>
      </c>
      <c r="AQ7059" t="s">
        <v>72</v>
      </c>
      <c r="AR7059" t="s">
        <v>72</v>
      </c>
      <c r="AS7059">
        <v>3549</v>
      </c>
      <c r="AT7059" s="4">
        <v>42720</v>
      </c>
      <c r="AU7059" t="s">
        <v>73</v>
      </c>
      <c r="AV7059">
        <v>3549</v>
      </c>
      <c r="AW7059" s="4">
        <v>42720</v>
      </c>
      <c r="BD7059">
        <v>36</v>
      </c>
      <c r="BN7059" t="s">
        <v>74</v>
      </c>
    </row>
    <row r="7060" spans="1:66">
      <c r="A7060">
        <v>104093</v>
      </c>
      <c r="B7060" s="3" t="s">
        <v>609</v>
      </c>
      <c r="C7060" s="1">
        <v>43300101</v>
      </c>
      <c r="D7060" t="s">
        <v>67</v>
      </c>
      <c r="H7060" t="str">
        <f t="shared" si="693"/>
        <v>12572900152</v>
      </c>
      <c r="I7060" t="str">
        <f t="shared" si="694"/>
        <v>06032681006</v>
      </c>
      <c r="K7060" t="str">
        <f>""</f>
        <v/>
      </c>
      <c r="M7060" t="s">
        <v>68</v>
      </c>
      <c r="N7060" t="str">
        <f t="shared" si="692"/>
        <v>FOR</v>
      </c>
      <c r="O7060" t="s">
        <v>69</v>
      </c>
      <c r="P7060" s="3" t="s">
        <v>75</v>
      </c>
      <c r="Q7060">
        <v>2016</v>
      </c>
      <c r="R7060" s="2">
        <v>42387</v>
      </c>
      <c r="S7060" s="2">
        <v>42537</v>
      </c>
      <c r="T7060" s="2">
        <v>42535</v>
      </c>
      <c r="U7060" s="2">
        <v>42595</v>
      </c>
      <c r="V7060" t="s">
        <v>71</v>
      </c>
      <c r="W7060" t="str">
        <f>"            25291412"</f>
        <v xml:space="preserve">            25291412</v>
      </c>
      <c r="X7060">
        <v>707.62</v>
      </c>
      <c r="Y7060">
        <v>0</v>
      </c>
      <c r="Z7060" s="3">
        <v>680.4</v>
      </c>
      <c r="AA7060">
        <v>125</v>
      </c>
      <c r="AB7060" s="5">
        <v>85050</v>
      </c>
      <c r="AC7060">
        <v>680.4</v>
      </c>
      <c r="AD7060">
        <v>125</v>
      </c>
      <c r="AE7060" s="1">
        <v>85050</v>
      </c>
      <c r="AF7060">
        <v>27.22</v>
      </c>
      <c r="AJ7060">
        <v>0</v>
      </c>
      <c r="AK7060">
        <v>0</v>
      </c>
      <c r="AL7060">
        <v>0</v>
      </c>
      <c r="AM7060">
        <v>707.62</v>
      </c>
      <c r="AN7060">
        <v>707.62</v>
      </c>
      <c r="AO7060">
        <v>707.62</v>
      </c>
      <c r="AP7060" s="2">
        <v>42746</v>
      </c>
      <c r="AQ7060" t="s">
        <v>72</v>
      </c>
      <c r="AR7060" t="s">
        <v>72</v>
      </c>
      <c r="AS7060">
        <v>3549</v>
      </c>
      <c r="AT7060" s="4">
        <v>42720</v>
      </c>
      <c r="AU7060" t="s">
        <v>73</v>
      </c>
      <c r="AV7060">
        <v>3549</v>
      </c>
      <c r="AW7060" s="4">
        <v>42720</v>
      </c>
      <c r="BB7060">
        <v>27.22</v>
      </c>
      <c r="BD7060">
        <v>0</v>
      </c>
      <c r="BN7060" t="s">
        <v>74</v>
      </c>
    </row>
    <row r="7061" spans="1:66">
      <c r="A7061">
        <v>104093</v>
      </c>
      <c r="B7061" s="3" t="s">
        <v>609</v>
      </c>
      <c r="C7061" s="1">
        <v>43300101</v>
      </c>
      <c r="D7061" t="s">
        <v>67</v>
      </c>
      <c r="H7061" t="str">
        <f t="shared" si="693"/>
        <v>12572900152</v>
      </c>
      <c r="I7061" t="str">
        <f t="shared" si="694"/>
        <v>06032681006</v>
      </c>
      <c r="K7061" t="str">
        <f>""</f>
        <v/>
      </c>
      <c r="M7061" t="s">
        <v>68</v>
      </c>
      <c r="N7061" t="str">
        <f t="shared" si="692"/>
        <v>FOR</v>
      </c>
      <c r="O7061" t="s">
        <v>69</v>
      </c>
      <c r="P7061" s="3" t="s">
        <v>75</v>
      </c>
      <c r="Q7061">
        <v>2016</v>
      </c>
      <c r="R7061" s="2">
        <v>42387</v>
      </c>
      <c r="S7061" s="2">
        <v>42395</v>
      </c>
      <c r="T7061" s="2">
        <v>42391</v>
      </c>
      <c r="U7061" s="2">
        <v>42451</v>
      </c>
      <c r="V7061" t="s">
        <v>71</v>
      </c>
      <c r="W7061" t="str">
        <f>"            25291414"</f>
        <v xml:space="preserve">            25291414</v>
      </c>
      <c r="X7061">
        <v>252.72</v>
      </c>
      <c r="Y7061">
        <v>0</v>
      </c>
      <c r="Z7061" s="3">
        <v>243</v>
      </c>
      <c r="AA7061">
        <v>269</v>
      </c>
      <c r="AB7061" s="5">
        <v>65367</v>
      </c>
      <c r="AC7061">
        <v>243</v>
      </c>
      <c r="AD7061">
        <v>269</v>
      </c>
      <c r="AE7061" s="1">
        <v>65367</v>
      </c>
      <c r="AF7061">
        <v>9.7200000000000006</v>
      </c>
      <c r="AJ7061">
        <v>0</v>
      </c>
      <c r="AK7061">
        <v>0</v>
      </c>
      <c r="AL7061">
        <v>0</v>
      </c>
      <c r="AM7061">
        <v>252.72</v>
      </c>
      <c r="AN7061">
        <v>252.72</v>
      </c>
      <c r="AO7061">
        <v>252.72</v>
      </c>
      <c r="AP7061" s="2">
        <v>42746</v>
      </c>
      <c r="AQ7061" t="s">
        <v>72</v>
      </c>
      <c r="AR7061" t="s">
        <v>72</v>
      </c>
      <c r="AS7061">
        <v>3549</v>
      </c>
      <c r="AT7061" s="4">
        <v>42720</v>
      </c>
      <c r="AU7061" t="s">
        <v>73</v>
      </c>
      <c r="AV7061">
        <v>3549</v>
      </c>
      <c r="AW7061" s="4">
        <v>42720</v>
      </c>
      <c r="BD7061">
        <v>9.7200000000000006</v>
      </c>
      <c r="BN7061" t="s">
        <v>74</v>
      </c>
    </row>
    <row r="7062" spans="1:66">
      <c r="A7062">
        <v>104093</v>
      </c>
      <c r="B7062" s="3" t="s">
        <v>609</v>
      </c>
      <c r="C7062" s="1">
        <v>43300101</v>
      </c>
      <c r="D7062" t="s">
        <v>67</v>
      </c>
      <c r="H7062" t="str">
        <f t="shared" si="693"/>
        <v>12572900152</v>
      </c>
      <c r="I7062" t="str">
        <f t="shared" si="694"/>
        <v>06032681006</v>
      </c>
      <c r="K7062" t="str">
        <f>""</f>
        <v/>
      </c>
      <c r="M7062" t="s">
        <v>68</v>
      </c>
      <c r="N7062" t="str">
        <f t="shared" si="692"/>
        <v>FOR</v>
      </c>
      <c r="O7062" t="s">
        <v>69</v>
      </c>
      <c r="P7062" s="3" t="s">
        <v>75</v>
      </c>
      <c r="Q7062">
        <v>2016</v>
      </c>
      <c r="R7062" s="2">
        <v>42387</v>
      </c>
      <c r="S7062" s="2">
        <v>42537</v>
      </c>
      <c r="T7062" s="2">
        <v>42535</v>
      </c>
      <c r="U7062" s="2">
        <v>42595</v>
      </c>
      <c r="V7062" t="s">
        <v>71</v>
      </c>
      <c r="W7062" t="str">
        <f>"            25291415"</f>
        <v xml:space="preserve">            25291415</v>
      </c>
      <c r="X7062">
        <v>74.88</v>
      </c>
      <c r="Y7062">
        <v>0</v>
      </c>
      <c r="Z7062" s="3">
        <v>72</v>
      </c>
      <c r="AA7062">
        <v>125</v>
      </c>
      <c r="AB7062" s="5">
        <v>9000</v>
      </c>
      <c r="AC7062">
        <v>72</v>
      </c>
      <c r="AD7062">
        <v>125</v>
      </c>
      <c r="AE7062" s="1">
        <v>9000</v>
      </c>
      <c r="AF7062">
        <v>2.88</v>
      </c>
      <c r="AJ7062">
        <v>0</v>
      </c>
      <c r="AK7062">
        <v>0</v>
      </c>
      <c r="AL7062">
        <v>0</v>
      </c>
      <c r="AM7062">
        <v>74.88</v>
      </c>
      <c r="AN7062">
        <v>74.88</v>
      </c>
      <c r="AO7062">
        <v>74.88</v>
      </c>
      <c r="AP7062" s="2">
        <v>42746</v>
      </c>
      <c r="AQ7062" t="s">
        <v>72</v>
      </c>
      <c r="AR7062" t="s">
        <v>72</v>
      </c>
      <c r="AS7062">
        <v>3549</v>
      </c>
      <c r="AT7062" s="4">
        <v>42720</v>
      </c>
      <c r="AU7062" t="s">
        <v>73</v>
      </c>
      <c r="AV7062">
        <v>3549</v>
      </c>
      <c r="AW7062" s="4">
        <v>42720</v>
      </c>
      <c r="BB7062">
        <v>2.88</v>
      </c>
      <c r="BD7062">
        <v>0</v>
      </c>
      <c r="BN7062" t="s">
        <v>74</v>
      </c>
    </row>
    <row r="7063" spans="1:66">
      <c r="A7063">
        <v>104093</v>
      </c>
      <c r="B7063" s="3" t="s">
        <v>609</v>
      </c>
      <c r="C7063" s="1">
        <v>43300101</v>
      </c>
      <c r="D7063" t="s">
        <v>67</v>
      </c>
      <c r="H7063" t="str">
        <f t="shared" si="693"/>
        <v>12572900152</v>
      </c>
      <c r="I7063" t="str">
        <f t="shared" si="694"/>
        <v>06032681006</v>
      </c>
      <c r="K7063" t="str">
        <f>""</f>
        <v/>
      </c>
      <c r="M7063" t="s">
        <v>68</v>
      </c>
      <c r="N7063" t="str">
        <f t="shared" si="692"/>
        <v>FOR</v>
      </c>
      <c r="O7063" t="s">
        <v>69</v>
      </c>
      <c r="P7063" s="3" t="s">
        <v>75</v>
      </c>
      <c r="Q7063">
        <v>2016</v>
      </c>
      <c r="R7063" s="2">
        <v>42388</v>
      </c>
      <c r="S7063" s="2">
        <v>42391</v>
      </c>
      <c r="T7063" s="2">
        <v>42391</v>
      </c>
      <c r="U7063" s="2">
        <v>42451</v>
      </c>
      <c r="V7063" t="s">
        <v>71</v>
      </c>
      <c r="W7063" t="str">
        <f>"            25291776"</f>
        <v xml:space="preserve">            25291776</v>
      </c>
      <c r="X7063">
        <v>116.48</v>
      </c>
      <c r="Y7063">
        <v>0</v>
      </c>
      <c r="Z7063" s="3">
        <v>112</v>
      </c>
      <c r="AA7063">
        <v>269</v>
      </c>
      <c r="AB7063" s="5">
        <v>30128</v>
      </c>
      <c r="AC7063">
        <v>112</v>
      </c>
      <c r="AD7063">
        <v>269</v>
      </c>
      <c r="AE7063" s="1">
        <v>30128</v>
      </c>
      <c r="AF7063">
        <v>4.4800000000000004</v>
      </c>
      <c r="AJ7063">
        <v>0</v>
      </c>
      <c r="AK7063">
        <v>0</v>
      </c>
      <c r="AL7063">
        <v>0</v>
      </c>
      <c r="AM7063">
        <v>116.48</v>
      </c>
      <c r="AN7063">
        <v>116.48</v>
      </c>
      <c r="AO7063">
        <v>116.48</v>
      </c>
      <c r="AP7063" s="2">
        <v>42746</v>
      </c>
      <c r="AQ7063" t="s">
        <v>72</v>
      </c>
      <c r="AR7063" t="s">
        <v>72</v>
      </c>
      <c r="AS7063">
        <v>3549</v>
      </c>
      <c r="AT7063" s="4">
        <v>42720</v>
      </c>
      <c r="AU7063" t="s">
        <v>73</v>
      </c>
      <c r="AV7063">
        <v>3549</v>
      </c>
      <c r="AW7063" s="4">
        <v>42720</v>
      </c>
      <c r="BD7063">
        <v>4.4800000000000004</v>
      </c>
      <c r="BN7063" t="s">
        <v>74</v>
      </c>
    </row>
    <row r="7064" spans="1:66">
      <c r="A7064">
        <v>104093</v>
      </c>
      <c r="B7064" s="3" t="s">
        <v>609</v>
      </c>
      <c r="C7064" s="1">
        <v>43300101</v>
      </c>
      <c r="D7064" t="s">
        <v>67</v>
      </c>
      <c r="H7064" t="str">
        <f t="shared" si="693"/>
        <v>12572900152</v>
      </c>
      <c r="I7064" t="str">
        <f t="shared" si="694"/>
        <v>06032681006</v>
      </c>
      <c r="K7064" t="str">
        <f>""</f>
        <v/>
      </c>
      <c r="M7064" t="s">
        <v>68</v>
      </c>
      <c r="N7064" t="str">
        <f t="shared" si="692"/>
        <v>FOR</v>
      </c>
      <c r="O7064" t="s">
        <v>69</v>
      </c>
      <c r="P7064" s="3" t="s">
        <v>75</v>
      </c>
      <c r="Q7064">
        <v>2016</v>
      </c>
      <c r="R7064" s="2">
        <v>42389</v>
      </c>
      <c r="S7064" s="2">
        <v>42395</v>
      </c>
      <c r="T7064" s="2">
        <v>42391</v>
      </c>
      <c r="U7064" s="2">
        <v>42451</v>
      </c>
      <c r="V7064" t="s">
        <v>71</v>
      </c>
      <c r="W7064" t="str">
        <f>"            25291925"</f>
        <v xml:space="preserve">            25291925</v>
      </c>
      <c r="X7064">
        <v>707.62</v>
      </c>
      <c r="Y7064">
        <v>0</v>
      </c>
      <c r="Z7064" s="3">
        <v>680.4</v>
      </c>
      <c r="AA7064">
        <v>269</v>
      </c>
      <c r="AB7064" s="5">
        <v>183027.6</v>
      </c>
      <c r="AC7064">
        <v>680.4</v>
      </c>
      <c r="AD7064">
        <v>269</v>
      </c>
      <c r="AE7064" s="1">
        <v>183027.6</v>
      </c>
      <c r="AF7064">
        <v>27.22</v>
      </c>
      <c r="AJ7064">
        <v>0</v>
      </c>
      <c r="AK7064">
        <v>0</v>
      </c>
      <c r="AL7064">
        <v>0</v>
      </c>
      <c r="AM7064">
        <v>707.62</v>
      </c>
      <c r="AN7064">
        <v>707.62</v>
      </c>
      <c r="AO7064">
        <v>707.62</v>
      </c>
      <c r="AP7064" s="2">
        <v>42746</v>
      </c>
      <c r="AQ7064" t="s">
        <v>72</v>
      </c>
      <c r="AR7064" t="s">
        <v>72</v>
      </c>
      <c r="AS7064">
        <v>3549</v>
      </c>
      <c r="AT7064" s="4">
        <v>42720</v>
      </c>
      <c r="AU7064" t="s">
        <v>73</v>
      </c>
      <c r="AV7064">
        <v>3549</v>
      </c>
      <c r="AW7064" s="4">
        <v>42720</v>
      </c>
      <c r="BD7064">
        <v>27.22</v>
      </c>
      <c r="BN7064" t="s">
        <v>74</v>
      </c>
    </row>
    <row r="7065" spans="1:66">
      <c r="A7065">
        <v>104093</v>
      </c>
      <c r="B7065" s="3" t="s">
        <v>609</v>
      </c>
      <c r="C7065" s="1">
        <v>43300101</v>
      </c>
      <c r="D7065" t="s">
        <v>67</v>
      </c>
      <c r="H7065" t="str">
        <f t="shared" si="693"/>
        <v>12572900152</v>
      </c>
      <c r="I7065" t="str">
        <f t="shared" si="694"/>
        <v>06032681006</v>
      </c>
      <c r="K7065" t="str">
        <f>""</f>
        <v/>
      </c>
      <c r="M7065" t="s">
        <v>68</v>
      </c>
      <c r="N7065" t="str">
        <f t="shared" si="692"/>
        <v>FOR</v>
      </c>
      <c r="O7065" t="s">
        <v>69</v>
      </c>
      <c r="P7065" s="3" t="s">
        <v>75</v>
      </c>
      <c r="Q7065">
        <v>2016</v>
      </c>
      <c r="R7065" s="2">
        <v>42389</v>
      </c>
      <c r="S7065" s="2">
        <v>42537</v>
      </c>
      <c r="T7065" s="2">
        <v>42535</v>
      </c>
      <c r="U7065" s="2">
        <v>42595</v>
      </c>
      <c r="V7065" t="s">
        <v>71</v>
      </c>
      <c r="W7065" t="str">
        <f>"            25291926"</f>
        <v xml:space="preserve">            25291926</v>
      </c>
      <c r="X7065">
        <v>252.72</v>
      </c>
      <c r="Y7065">
        <v>0</v>
      </c>
      <c r="Z7065" s="3">
        <v>243</v>
      </c>
      <c r="AA7065">
        <v>125</v>
      </c>
      <c r="AB7065" s="5">
        <v>30375</v>
      </c>
      <c r="AC7065">
        <v>243</v>
      </c>
      <c r="AD7065">
        <v>125</v>
      </c>
      <c r="AE7065" s="1">
        <v>30375</v>
      </c>
      <c r="AF7065">
        <v>9.7200000000000006</v>
      </c>
      <c r="AJ7065">
        <v>0</v>
      </c>
      <c r="AK7065">
        <v>0</v>
      </c>
      <c r="AL7065">
        <v>0</v>
      </c>
      <c r="AM7065">
        <v>252.72</v>
      </c>
      <c r="AN7065">
        <v>252.72</v>
      </c>
      <c r="AO7065">
        <v>252.72</v>
      </c>
      <c r="AP7065" s="2">
        <v>42746</v>
      </c>
      <c r="AQ7065" t="s">
        <v>72</v>
      </c>
      <c r="AR7065" t="s">
        <v>72</v>
      </c>
      <c r="AS7065">
        <v>3549</v>
      </c>
      <c r="AT7065" s="4">
        <v>42720</v>
      </c>
      <c r="AU7065" t="s">
        <v>73</v>
      </c>
      <c r="AV7065">
        <v>3549</v>
      </c>
      <c r="AW7065" s="4">
        <v>42720</v>
      </c>
      <c r="BB7065">
        <v>9.7200000000000006</v>
      </c>
      <c r="BD7065">
        <v>0</v>
      </c>
      <c r="BN7065" t="s">
        <v>74</v>
      </c>
    </row>
    <row r="7066" spans="1:66">
      <c r="A7066">
        <v>104093</v>
      </c>
      <c r="B7066" s="3" t="s">
        <v>609</v>
      </c>
      <c r="C7066" s="1">
        <v>43300101</v>
      </c>
      <c r="D7066" t="s">
        <v>67</v>
      </c>
      <c r="H7066" t="str">
        <f t="shared" si="693"/>
        <v>12572900152</v>
      </c>
      <c r="I7066" t="str">
        <f t="shared" si="694"/>
        <v>06032681006</v>
      </c>
      <c r="K7066" t="str">
        <f>""</f>
        <v/>
      </c>
      <c r="M7066" t="s">
        <v>68</v>
      </c>
      <c r="N7066" t="str">
        <f t="shared" si="692"/>
        <v>FOR</v>
      </c>
      <c r="O7066" t="s">
        <v>69</v>
      </c>
      <c r="P7066" s="3" t="s">
        <v>75</v>
      </c>
      <c r="Q7066">
        <v>2016</v>
      </c>
      <c r="R7066" s="2">
        <v>42389</v>
      </c>
      <c r="S7066" s="2">
        <v>42395</v>
      </c>
      <c r="T7066" s="2">
        <v>42391</v>
      </c>
      <c r="U7066" s="2">
        <v>42451</v>
      </c>
      <c r="V7066" t="s">
        <v>71</v>
      </c>
      <c r="W7066" t="str">
        <f>"            25291928"</f>
        <v xml:space="preserve">            25291928</v>
      </c>
      <c r="X7066">
        <v>74.88</v>
      </c>
      <c r="Y7066">
        <v>0</v>
      </c>
      <c r="Z7066" s="3">
        <v>72</v>
      </c>
      <c r="AA7066">
        <v>269</v>
      </c>
      <c r="AB7066" s="5">
        <v>19368</v>
      </c>
      <c r="AC7066">
        <v>72</v>
      </c>
      <c r="AD7066">
        <v>269</v>
      </c>
      <c r="AE7066" s="1">
        <v>19368</v>
      </c>
      <c r="AF7066">
        <v>2.88</v>
      </c>
      <c r="AJ7066">
        <v>0</v>
      </c>
      <c r="AK7066">
        <v>0</v>
      </c>
      <c r="AL7066">
        <v>0</v>
      </c>
      <c r="AM7066">
        <v>74.88</v>
      </c>
      <c r="AN7066">
        <v>74.88</v>
      </c>
      <c r="AO7066">
        <v>74.88</v>
      </c>
      <c r="AP7066" s="2">
        <v>42746</v>
      </c>
      <c r="AQ7066" t="s">
        <v>72</v>
      </c>
      <c r="AR7066" t="s">
        <v>72</v>
      </c>
      <c r="AS7066">
        <v>3549</v>
      </c>
      <c r="AT7066" s="4">
        <v>42720</v>
      </c>
      <c r="AU7066" t="s">
        <v>73</v>
      </c>
      <c r="AV7066">
        <v>3549</v>
      </c>
      <c r="AW7066" s="4">
        <v>42720</v>
      </c>
      <c r="BD7066">
        <v>2.88</v>
      </c>
      <c r="BN7066" t="s">
        <v>74</v>
      </c>
    </row>
    <row r="7067" spans="1:66">
      <c r="A7067">
        <v>104093</v>
      </c>
      <c r="B7067" s="3" t="s">
        <v>609</v>
      </c>
      <c r="C7067" s="1">
        <v>43300101</v>
      </c>
      <c r="D7067" t="s">
        <v>67</v>
      </c>
      <c r="H7067" t="str">
        <f t="shared" si="693"/>
        <v>12572900152</v>
      </c>
      <c r="I7067" t="str">
        <f t="shared" si="694"/>
        <v>06032681006</v>
      </c>
      <c r="K7067" t="str">
        <f>""</f>
        <v/>
      </c>
      <c r="M7067" t="s">
        <v>68</v>
      </c>
      <c r="N7067" t="str">
        <f t="shared" si="692"/>
        <v>FOR</v>
      </c>
      <c r="O7067" t="s">
        <v>69</v>
      </c>
      <c r="P7067" s="3" t="s">
        <v>75</v>
      </c>
      <c r="Q7067">
        <v>2016</v>
      </c>
      <c r="R7067" s="2">
        <v>42389</v>
      </c>
      <c r="S7067" s="2">
        <v>42551</v>
      </c>
      <c r="T7067" s="2">
        <v>42551</v>
      </c>
      <c r="U7067" s="2">
        <v>42611</v>
      </c>
      <c r="V7067" t="s">
        <v>71</v>
      </c>
      <c r="W7067" t="str">
        <f>"            25291977"</f>
        <v xml:space="preserve">            25291977</v>
      </c>
      <c r="X7067">
        <v>548.24</v>
      </c>
      <c r="Y7067">
        <v>0</v>
      </c>
      <c r="Z7067" s="3">
        <v>469</v>
      </c>
      <c r="AA7067">
        <v>109</v>
      </c>
      <c r="AB7067" s="5">
        <v>51121</v>
      </c>
      <c r="AC7067">
        <v>469</v>
      </c>
      <c r="AD7067">
        <v>109</v>
      </c>
      <c r="AE7067" s="1">
        <v>51121</v>
      </c>
      <c r="AF7067">
        <v>79.239999999999995</v>
      </c>
      <c r="AJ7067">
        <v>0</v>
      </c>
      <c r="AK7067">
        <v>0</v>
      </c>
      <c r="AL7067">
        <v>0</v>
      </c>
      <c r="AM7067">
        <v>548.24</v>
      </c>
      <c r="AN7067">
        <v>548.24</v>
      </c>
      <c r="AO7067">
        <v>548.24</v>
      </c>
      <c r="AP7067" s="2">
        <v>42746</v>
      </c>
      <c r="AQ7067" t="s">
        <v>72</v>
      </c>
      <c r="AR7067" t="s">
        <v>72</v>
      </c>
      <c r="AS7067">
        <v>3549</v>
      </c>
      <c r="AT7067" s="4">
        <v>42720</v>
      </c>
      <c r="AU7067" t="s">
        <v>73</v>
      </c>
      <c r="AV7067">
        <v>3549</v>
      </c>
      <c r="AW7067" s="4">
        <v>42720</v>
      </c>
      <c r="BB7067">
        <v>79.239999999999995</v>
      </c>
      <c r="BD7067">
        <v>0</v>
      </c>
      <c r="BN7067" t="s">
        <v>74</v>
      </c>
    </row>
    <row r="7068" spans="1:66">
      <c r="A7068">
        <v>104093</v>
      </c>
      <c r="B7068" s="3" t="s">
        <v>609</v>
      </c>
      <c r="C7068" s="1">
        <v>43300101</v>
      </c>
      <c r="D7068" t="s">
        <v>67</v>
      </c>
      <c r="H7068" t="str">
        <f t="shared" si="693"/>
        <v>12572900152</v>
      </c>
      <c r="I7068" t="str">
        <f t="shared" si="694"/>
        <v>06032681006</v>
      </c>
      <c r="K7068" t="str">
        <f>""</f>
        <v/>
      </c>
      <c r="M7068" t="s">
        <v>68</v>
      </c>
      <c r="N7068" t="str">
        <f t="shared" si="692"/>
        <v>FOR</v>
      </c>
      <c r="O7068" t="s">
        <v>69</v>
      </c>
      <c r="P7068" s="3" t="s">
        <v>75</v>
      </c>
      <c r="Q7068">
        <v>2016</v>
      </c>
      <c r="R7068" s="2">
        <v>42391</v>
      </c>
      <c r="S7068" s="2">
        <v>42395</v>
      </c>
      <c r="T7068" s="2">
        <v>42394</v>
      </c>
      <c r="U7068" s="2">
        <v>42454</v>
      </c>
      <c r="V7068" t="s">
        <v>71</v>
      </c>
      <c r="W7068" t="str">
        <f>"            25292449"</f>
        <v xml:space="preserve">            25292449</v>
      </c>
      <c r="X7068" s="1">
        <v>6807.6</v>
      </c>
      <c r="Y7068">
        <v>0</v>
      </c>
      <c r="Z7068" s="5">
        <v>5580</v>
      </c>
      <c r="AA7068">
        <v>266</v>
      </c>
      <c r="AB7068" s="5">
        <v>1484280</v>
      </c>
      <c r="AC7068" s="1">
        <v>5580</v>
      </c>
      <c r="AD7068">
        <v>266</v>
      </c>
      <c r="AE7068" s="1">
        <v>1484280</v>
      </c>
      <c r="AF7068" s="1">
        <v>1227.5999999999999</v>
      </c>
      <c r="AJ7068">
        <v>0</v>
      </c>
      <c r="AK7068">
        <v>0</v>
      </c>
      <c r="AL7068">
        <v>0</v>
      </c>
      <c r="AM7068" s="1">
        <v>6807.6</v>
      </c>
      <c r="AN7068" s="1">
        <v>6807.6</v>
      </c>
      <c r="AO7068" s="1">
        <v>6807.6</v>
      </c>
      <c r="AP7068" s="2">
        <v>42746</v>
      </c>
      <c r="AQ7068" t="s">
        <v>72</v>
      </c>
      <c r="AR7068" t="s">
        <v>72</v>
      </c>
      <c r="AS7068">
        <v>3549</v>
      </c>
      <c r="AT7068" s="4">
        <v>42720</v>
      </c>
      <c r="AU7068" t="s">
        <v>73</v>
      </c>
      <c r="AV7068">
        <v>3549</v>
      </c>
      <c r="AW7068" s="4">
        <v>42720</v>
      </c>
      <c r="BD7068" s="1">
        <v>1227.5999999999999</v>
      </c>
      <c r="BN7068" t="s">
        <v>74</v>
      </c>
    </row>
    <row r="7069" spans="1:66">
      <c r="A7069">
        <v>104093</v>
      </c>
      <c r="B7069" s="3" t="s">
        <v>609</v>
      </c>
      <c r="C7069" s="1">
        <v>43300101</v>
      </c>
      <c r="D7069" t="s">
        <v>67</v>
      </c>
      <c r="H7069" t="str">
        <f t="shared" si="693"/>
        <v>12572900152</v>
      </c>
      <c r="I7069" t="str">
        <f t="shared" si="694"/>
        <v>06032681006</v>
      </c>
      <c r="K7069" t="str">
        <f>""</f>
        <v/>
      </c>
      <c r="M7069" t="s">
        <v>68</v>
      </c>
      <c r="N7069" t="str">
        <f t="shared" si="692"/>
        <v>FOR</v>
      </c>
      <c r="O7069" t="s">
        <v>69</v>
      </c>
      <c r="P7069" s="3" t="s">
        <v>75</v>
      </c>
      <c r="Q7069">
        <v>2016</v>
      </c>
      <c r="R7069" s="2">
        <v>42394</v>
      </c>
      <c r="S7069" s="2">
        <v>42401</v>
      </c>
      <c r="T7069" s="2">
        <v>42396</v>
      </c>
      <c r="U7069" s="2">
        <v>42456</v>
      </c>
      <c r="V7069" t="s">
        <v>71</v>
      </c>
      <c r="W7069" t="str">
        <f>"            25292621"</f>
        <v xml:space="preserve">            25292621</v>
      </c>
      <c r="X7069">
        <v>926.64</v>
      </c>
      <c r="Y7069">
        <v>0</v>
      </c>
      <c r="Z7069" s="3">
        <v>891</v>
      </c>
      <c r="AA7069">
        <v>264</v>
      </c>
      <c r="AB7069" s="5">
        <v>235224</v>
      </c>
      <c r="AC7069">
        <v>891</v>
      </c>
      <c r="AD7069">
        <v>264</v>
      </c>
      <c r="AE7069" s="1">
        <v>235224</v>
      </c>
      <c r="AF7069">
        <v>35.64</v>
      </c>
      <c r="AJ7069">
        <v>0</v>
      </c>
      <c r="AK7069">
        <v>0</v>
      </c>
      <c r="AL7069">
        <v>0</v>
      </c>
      <c r="AM7069">
        <v>926.64</v>
      </c>
      <c r="AN7069">
        <v>926.64</v>
      </c>
      <c r="AO7069">
        <v>926.64</v>
      </c>
      <c r="AP7069" s="2">
        <v>42746</v>
      </c>
      <c r="AQ7069" t="s">
        <v>72</v>
      </c>
      <c r="AR7069" t="s">
        <v>72</v>
      </c>
      <c r="AS7069">
        <v>3549</v>
      </c>
      <c r="AT7069" s="4">
        <v>42720</v>
      </c>
      <c r="AU7069" t="s">
        <v>73</v>
      </c>
      <c r="AV7069">
        <v>3549</v>
      </c>
      <c r="AW7069" s="4">
        <v>42720</v>
      </c>
      <c r="BD7069">
        <v>35.64</v>
      </c>
      <c r="BN7069" t="s">
        <v>74</v>
      </c>
    </row>
    <row r="7070" spans="1:66">
      <c r="A7070">
        <v>104093</v>
      </c>
      <c r="B7070" s="3" t="s">
        <v>609</v>
      </c>
      <c r="C7070" s="1">
        <v>43300101</v>
      </c>
      <c r="D7070" t="s">
        <v>67</v>
      </c>
      <c r="H7070" t="str">
        <f t="shared" si="693"/>
        <v>12572900152</v>
      </c>
      <c r="I7070" t="str">
        <f t="shared" si="694"/>
        <v>06032681006</v>
      </c>
      <c r="K7070" t="str">
        <f>""</f>
        <v/>
      </c>
      <c r="M7070" t="s">
        <v>68</v>
      </c>
      <c r="N7070" t="str">
        <f t="shared" si="692"/>
        <v>FOR</v>
      </c>
      <c r="O7070" t="s">
        <v>69</v>
      </c>
      <c r="P7070" s="3" t="s">
        <v>75</v>
      </c>
      <c r="Q7070">
        <v>2016</v>
      </c>
      <c r="R7070" s="2">
        <v>42394</v>
      </c>
      <c r="S7070" s="2">
        <v>42401</v>
      </c>
      <c r="T7070" s="2">
        <v>42396</v>
      </c>
      <c r="U7070" s="2">
        <v>42456</v>
      </c>
      <c r="V7070" t="s">
        <v>71</v>
      </c>
      <c r="W7070" t="str">
        <f>"            25292622"</f>
        <v xml:space="preserve">            25292622</v>
      </c>
      <c r="X7070">
        <v>252.72</v>
      </c>
      <c r="Y7070">
        <v>0</v>
      </c>
      <c r="Z7070" s="3">
        <v>243</v>
      </c>
      <c r="AA7070">
        <v>264</v>
      </c>
      <c r="AB7070" s="5">
        <v>64152</v>
      </c>
      <c r="AC7070">
        <v>243</v>
      </c>
      <c r="AD7070">
        <v>264</v>
      </c>
      <c r="AE7070" s="1">
        <v>64152</v>
      </c>
      <c r="AF7070">
        <v>9.7200000000000006</v>
      </c>
      <c r="AJ7070">
        <v>0</v>
      </c>
      <c r="AK7070">
        <v>0</v>
      </c>
      <c r="AL7070">
        <v>0</v>
      </c>
      <c r="AM7070">
        <v>252.72</v>
      </c>
      <c r="AN7070">
        <v>252.72</v>
      </c>
      <c r="AO7070">
        <v>252.72</v>
      </c>
      <c r="AP7070" s="2">
        <v>42746</v>
      </c>
      <c r="AQ7070" t="s">
        <v>72</v>
      </c>
      <c r="AR7070" t="s">
        <v>72</v>
      </c>
      <c r="AS7070">
        <v>3549</v>
      </c>
      <c r="AT7070" s="4">
        <v>42720</v>
      </c>
      <c r="AU7070" t="s">
        <v>73</v>
      </c>
      <c r="AV7070">
        <v>3549</v>
      </c>
      <c r="AW7070" s="4">
        <v>42720</v>
      </c>
      <c r="BD7070">
        <v>9.7200000000000006</v>
      </c>
      <c r="BN7070" t="s">
        <v>74</v>
      </c>
    </row>
    <row r="7071" spans="1:66">
      <c r="A7071">
        <v>104093</v>
      </c>
      <c r="B7071" s="3" t="s">
        <v>609</v>
      </c>
      <c r="C7071" s="1">
        <v>43300101</v>
      </c>
      <c r="D7071" t="s">
        <v>67</v>
      </c>
      <c r="H7071" t="str">
        <f t="shared" si="693"/>
        <v>12572900152</v>
      </c>
      <c r="I7071" t="str">
        <f t="shared" si="694"/>
        <v>06032681006</v>
      </c>
      <c r="K7071" t="str">
        <f>""</f>
        <v/>
      </c>
      <c r="M7071" t="s">
        <v>68</v>
      </c>
      <c r="N7071" t="str">
        <f t="shared" si="692"/>
        <v>FOR</v>
      </c>
      <c r="O7071" t="s">
        <v>69</v>
      </c>
      <c r="P7071" s="3" t="s">
        <v>75</v>
      </c>
      <c r="Q7071">
        <v>2016</v>
      </c>
      <c r="R7071" s="2">
        <v>42394</v>
      </c>
      <c r="S7071" s="2">
        <v>42397</v>
      </c>
      <c r="T7071" s="2">
        <v>42396</v>
      </c>
      <c r="U7071" s="2">
        <v>42456</v>
      </c>
      <c r="V7071" t="s">
        <v>71</v>
      </c>
      <c r="W7071" t="str">
        <f>"            25292624"</f>
        <v xml:space="preserve">            25292624</v>
      </c>
      <c r="X7071">
        <v>74.88</v>
      </c>
      <c r="Y7071">
        <v>0</v>
      </c>
      <c r="Z7071" s="3">
        <v>72</v>
      </c>
      <c r="AA7071">
        <v>264</v>
      </c>
      <c r="AB7071" s="5">
        <v>19008</v>
      </c>
      <c r="AC7071">
        <v>72</v>
      </c>
      <c r="AD7071">
        <v>264</v>
      </c>
      <c r="AE7071" s="1">
        <v>19008</v>
      </c>
      <c r="AF7071">
        <v>2.88</v>
      </c>
      <c r="AJ7071">
        <v>0</v>
      </c>
      <c r="AK7071">
        <v>0</v>
      </c>
      <c r="AL7071">
        <v>0</v>
      </c>
      <c r="AM7071">
        <v>74.88</v>
      </c>
      <c r="AN7071">
        <v>74.88</v>
      </c>
      <c r="AO7071">
        <v>74.88</v>
      </c>
      <c r="AP7071" s="2">
        <v>42746</v>
      </c>
      <c r="AQ7071" t="s">
        <v>72</v>
      </c>
      <c r="AR7071" t="s">
        <v>72</v>
      </c>
      <c r="AS7071">
        <v>3549</v>
      </c>
      <c r="AT7071" s="4">
        <v>42720</v>
      </c>
      <c r="AU7071" t="s">
        <v>73</v>
      </c>
      <c r="AV7071">
        <v>3549</v>
      </c>
      <c r="AW7071" s="4">
        <v>42720</v>
      </c>
      <c r="BD7071">
        <v>2.88</v>
      </c>
      <c r="BN7071" t="s">
        <v>74</v>
      </c>
    </row>
    <row r="7072" spans="1:66">
      <c r="A7072">
        <v>104093</v>
      </c>
      <c r="B7072" s="3" t="s">
        <v>609</v>
      </c>
      <c r="C7072" s="1">
        <v>43300101</v>
      </c>
      <c r="D7072" t="s">
        <v>67</v>
      </c>
      <c r="H7072" t="str">
        <f t="shared" si="693"/>
        <v>12572900152</v>
      </c>
      <c r="I7072" t="str">
        <f t="shared" si="694"/>
        <v>06032681006</v>
      </c>
      <c r="K7072" t="str">
        <f>""</f>
        <v/>
      </c>
      <c r="M7072" t="s">
        <v>68</v>
      </c>
      <c r="N7072" t="str">
        <f t="shared" si="692"/>
        <v>FOR</v>
      </c>
      <c r="O7072" t="s">
        <v>69</v>
      </c>
      <c r="P7072" s="3" t="s">
        <v>75</v>
      </c>
      <c r="Q7072">
        <v>2016</v>
      </c>
      <c r="R7072" s="2">
        <v>42394</v>
      </c>
      <c r="S7072" s="2">
        <v>42397</v>
      </c>
      <c r="T7072" s="2">
        <v>42396</v>
      </c>
      <c r="U7072" s="2">
        <v>42456</v>
      </c>
      <c r="V7072" t="s">
        <v>71</v>
      </c>
      <c r="W7072" t="str">
        <f>"            25292625"</f>
        <v xml:space="preserve">            25292625</v>
      </c>
      <c r="X7072">
        <v>74.88</v>
      </c>
      <c r="Y7072">
        <v>0</v>
      </c>
      <c r="Z7072" s="3">
        <v>72</v>
      </c>
      <c r="AA7072">
        <v>264</v>
      </c>
      <c r="AB7072" s="5">
        <v>19008</v>
      </c>
      <c r="AC7072">
        <v>72</v>
      </c>
      <c r="AD7072">
        <v>264</v>
      </c>
      <c r="AE7072" s="1">
        <v>19008</v>
      </c>
      <c r="AF7072">
        <v>2.88</v>
      </c>
      <c r="AJ7072">
        <v>0</v>
      </c>
      <c r="AK7072">
        <v>0</v>
      </c>
      <c r="AL7072">
        <v>0</v>
      </c>
      <c r="AM7072">
        <v>74.88</v>
      </c>
      <c r="AN7072">
        <v>74.88</v>
      </c>
      <c r="AO7072">
        <v>74.88</v>
      </c>
      <c r="AP7072" s="2">
        <v>42746</v>
      </c>
      <c r="AQ7072" t="s">
        <v>72</v>
      </c>
      <c r="AR7072" t="s">
        <v>72</v>
      </c>
      <c r="AS7072">
        <v>3549</v>
      </c>
      <c r="AT7072" s="4">
        <v>42720</v>
      </c>
      <c r="AU7072" t="s">
        <v>73</v>
      </c>
      <c r="AV7072">
        <v>3549</v>
      </c>
      <c r="AW7072" s="4">
        <v>42720</v>
      </c>
      <c r="BD7072">
        <v>2.88</v>
      </c>
      <c r="BN7072" t="s">
        <v>74</v>
      </c>
    </row>
    <row r="7073" spans="1:66">
      <c r="A7073">
        <v>104093</v>
      </c>
      <c r="B7073" s="3" t="s">
        <v>609</v>
      </c>
      <c r="C7073" s="1">
        <v>43300101</v>
      </c>
      <c r="D7073" t="s">
        <v>67</v>
      </c>
      <c r="H7073" t="str">
        <f t="shared" si="693"/>
        <v>12572900152</v>
      </c>
      <c r="I7073" t="str">
        <f t="shared" si="694"/>
        <v>06032681006</v>
      </c>
      <c r="K7073" t="str">
        <f>""</f>
        <v/>
      </c>
      <c r="M7073" t="s">
        <v>68</v>
      </c>
      <c r="N7073" t="str">
        <f t="shared" si="692"/>
        <v>FOR</v>
      </c>
      <c r="O7073" t="s">
        <v>69</v>
      </c>
      <c r="P7073" s="3" t="s">
        <v>75</v>
      </c>
      <c r="Q7073">
        <v>2016</v>
      </c>
      <c r="R7073" s="2">
        <v>42408</v>
      </c>
      <c r="S7073" s="2">
        <v>42410</v>
      </c>
      <c r="T7073" s="2">
        <v>42409</v>
      </c>
      <c r="U7073" s="2">
        <v>42469</v>
      </c>
      <c r="V7073" t="s">
        <v>71</v>
      </c>
      <c r="W7073" t="str">
        <f>"            25295634"</f>
        <v xml:space="preserve">            25295634</v>
      </c>
      <c r="X7073">
        <v>707.62</v>
      </c>
      <c r="Y7073">
        <v>0</v>
      </c>
      <c r="Z7073" s="3">
        <v>680.4</v>
      </c>
      <c r="AA7073">
        <v>254</v>
      </c>
      <c r="AB7073" s="5">
        <v>172821.6</v>
      </c>
      <c r="AC7073">
        <v>680.4</v>
      </c>
      <c r="AD7073">
        <v>254</v>
      </c>
      <c r="AE7073" s="1">
        <v>172821.6</v>
      </c>
      <c r="AF7073">
        <v>27.22</v>
      </c>
      <c r="AJ7073">
        <v>0</v>
      </c>
      <c r="AK7073">
        <v>0</v>
      </c>
      <c r="AL7073">
        <v>0</v>
      </c>
      <c r="AM7073">
        <v>707.62</v>
      </c>
      <c r="AN7073">
        <v>707.62</v>
      </c>
      <c r="AO7073">
        <v>707.62</v>
      </c>
      <c r="AP7073" s="2">
        <v>42746</v>
      </c>
      <c r="AQ7073" t="s">
        <v>72</v>
      </c>
      <c r="AR7073" t="s">
        <v>72</v>
      </c>
      <c r="AS7073">
        <v>3589</v>
      </c>
      <c r="AT7073" s="4">
        <v>42723</v>
      </c>
      <c r="AU7073" t="s">
        <v>73</v>
      </c>
      <c r="AV7073">
        <v>3589</v>
      </c>
      <c r="AW7073" s="4">
        <v>42723</v>
      </c>
      <c r="BD7073">
        <v>27.22</v>
      </c>
      <c r="BN7073" t="s">
        <v>74</v>
      </c>
    </row>
    <row r="7074" spans="1:66">
      <c r="A7074">
        <v>104093</v>
      </c>
      <c r="B7074" s="3" t="s">
        <v>609</v>
      </c>
      <c r="C7074" s="1">
        <v>43300101</v>
      </c>
      <c r="D7074" t="s">
        <v>67</v>
      </c>
      <c r="H7074" t="str">
        <f t="shared" si="693"/>
        <v>12572900152</v>
      </c>
      <c r="I7074" t="str">
        <f t="shared" si="694"/>
        <v>06032681006</v>
      </c>
      <c r="K7074" t="str">
        <f>""</f>
        <v/>
      </c>
      <c r="M7074" t="s">
        <v>68</v>
      </c>
      <c r="N7074" t="str">
        <f t="shared" si="692"/>
        <v>FOR</v>
      </c>
      <c r="O7074" t="s">
        <v>69</v>
      </c>
      <c r="P7074" s="3" t="s">
        <v>75</v>
      </c>
      <c r="Q7074">
        <v>2016</v>
      </c>
      <c r="R7074" s="2">
        <v>42408</v>
      </c>
      <c r="S7074" s="2">
        <v>42410</v>
      </c>
      <c r="T7074" s="2">
        <v>42409</v>
      </c>
      <c r="U7074" s="2">
        <v>42469</v>
      </c>
      <c r="V7074" t="s">
        <v>71</v>
      </c>
      <c r="W7074" t="str">
        <f>"            25295635"</f>
        <v xml:space="preserve">            25295635</v>
      </c>
      <c r="X7074">
        <v>74.88</v>
      </c>
      <c r="Y7074">
        <v>0</v>
      </c>
      <c r="Z7074" s="3">
        <v>72</v>
      </c>
      <c r="AA7074">
        <v>254</v>
      </c>
      <c r="AB7074" s="5">
        <v>18288</v>
      </c>
      <c r="AC7074">
        <v>72</v>
      </c>
      <c r="AD7074">
        <v>254</v>
      </c>
      <c r="AE7074" s="1">
        <v>18288</v>
      </c>
      <c r="AF7074">
        <v>2.88</v>
      </c>
      <c r="AJ7074">
        <v>0</v>
      </c>
      <c r="AK7074">
        <v>0</v>
      </c>
      <c r="AL7074">
        <v>0</v>
      </c>
      <c r="AM7074">
        <v>74.88</v>
      </c>
      <c r="AN7074">
        <v>74.88</v>
      </c>
      <c r="AO7074">
        <v>74.88</v>
      </c>
      <c r="AP7074" s="2">
        <v>42746</v>
      </c>
      <c r="AQ7074" t="s">
        <v>72</v>
      </c>
      <c r="AR7074" t="s">
        <v>72</v>
      </c>
      <c r="AS7074">
        <v>3589</v>
      </c>
      <c r="AT7074" s="4">
        <v>42723</v>
      </c>
      <c r="AU7074" t="s">
        <v>73</v>
      </c>
      <c r="AV7074">
        <v>3589</v>
      </c>
      <c r="AW7074" s="4">
        <v>42723</v>
      </c>
      <c r="BD7074">
        <v>2.88</v>
      </c>
      <c r="BN7074" t="s">
        <v>74</v>
      </c>
    </row>
    <row r="7075" spans="1:66">
      <c r="A7075">
        <v>104093</v>
      </c>
      <c r="B7075" s="3" t="s">
        <v>609</v>
      </c>
      <c r="C7075" s="1">
        <v>43300101</v>
      </c>
      <c r="D7075" t="s">
        <v>67</v>
      </c>
      <c r="H7075" t="str">
        <f t="shared" si="693"/>
        <v>12572900152</v>
      </c>
      <c r="I7075" t="str">
        <f t="shared" si="694"/>
        <v>06032681006</v>
      </c>
      <c r="K7075" t="str">
        <f>""</f>
        <v/>
      </c>
      <c r="M7075" t="s">
        <v>68</v>
      </c>
      <c r="N7075" t="str">
        <f t="shared" si="692"/>
        <v>FOR</v>
      </c>
      <c r="O7075" t="s">
        <v>69</v>
      </c>
      <c r="P7075" s="3" t="s">
        <v>75</v>
      </c>
      <c r="Q7075">
        <v>2016</v>
      </c>
      <c r="R7075" s="2">
        <v>42408</v>
      </c>
      <c r="S7075" s="2">
        <v>42410</v>
      </c>
      <c r="T7075" s="2">
        <v>42409</v>
      </c>
      <c r="U7075" s="2">
        <v>42469</v>
      </c>
      <c r="V7075" t="s">
        <v>71</v>
      </c>
      <c r="W7075" t="str">
        <f>"            25295636"</f>
        <v xml:space="preserve">            25295636</v>
      </c>
      <c r="X7075">
        <v>252.72</v>
      </c>
      <c r="Y7075">
        <v>0</v>
      </c>
      <c r="Z7075" s="3">
        <v>243</v>
      </c>
      <c r="AA7075">
        <v>254</v>
      </c>
      <c r="AB7075" s="5">
        <v>61722</v>
      </c>
      <c r="AC7075">
        <v>243</v>
      </c>
      <c r="AD7075">
        <v>254</v>
      </c>
      <c r="AE7075" s="1">
        <v>61722</v>
      </c>
      <c r="AF7075">
        <v>9.7200000000000006</v>
      </c>
      <c r="AJ7075">
        <v>0</v>
      </c>
      <c r="AK7075">
        <v>0</v>
      </c>
      <c r="AL7075">
        <v>0</v>
      </c>
      <c r="AM7075">
        <v>252.72</v>
      </c>
      <c r="AN7075">
        <v>252.72</v>
      </c>
      <c r="AO7075">
        <v>252.72</v>
      </c>
      <c r="AP7075" s="2">
        <v>42746</v>
      </c>
      <c r="AQ7075" t="s">
        <v>72</v>
      </c>
      <c r="AR7075" t="s">
        <v>72</v>
      </c>
      <c r="AS7075">
        <v>3589</v>
      </c>
      <c r="AT7075" s="4">
        <v>42723</v>
      </c>
      <c r="AU7075" t="s">
        <v>73</v>
      </c>
      <c r="AV7075">
        <v>3589</v>
      </c>
      <c r="AW7075" s="4">
        <v>42723</v>
      </c>
      <c r="BD7075">
        <v>9.7200000000000006</v>
      </c>
      <c r="BN7075" t="s">
        <v>74</v>
      </c>
    </row>
    <row r="7076" spans="1:66">
      <c r="A7076">
        <v>104093</v>
      </c>
      <c r="B7076" s="3" t="s">
        <v>609</v>
      </c>
      <c r="C7076" s="1">
        <v>43300101</v>
      </c>
      <c r="D7076" t="s">
        <v>67</v>
      </c>
      <c r="H7076" t="str">
        <f t="shared" si="693"/>
        <v>12572900152</v>
      </c>
      <c r="I7076" t="str">
        <f t="shared" si="694"/>
        <v>06032681006</v>
      </c>
      <c r="K7076" t="str">
        <f>""</f>
        <v/>
      </c>
      <c r="M7076" t="s">
        <v>68</v>
      </c>
      <c r="N7076" t="str">
        <f t="shared" si="692"/>
        <v>FOR</v>
      </c>
      <c r="O7076" t="s">
        <v>69</v>
      </c>
      <c r="P7076" s="3" t="s">
        <v>75</v>
      </c>
      <c r="Q7076">
        <v>2016</v>
      </c>
      <c r="R7076" s="2">
        <v>42408</v>
      </c>
      <c r="S7076" s="2">
        <v>42410</v>
      </c>
      <c r="T7076" s="2">
        <v>42409</v>
      </c>
      <c r="U7076" s="2">
        <v>42469</v>
      </c>
      <c r="V7076" t="s">
        <v>71</v>
      </c>
      <c r="W7076" t="str">
        <f>"            25295638"</f>
        <v xml:space="preserve">            25295638</v>
      </c>
      <c r="X7076">
        <v>74.88</v>
      </c>
      <c r="Y7076">
        <v>0</v>
      </c>
      <c r="Z7076" s="3">
        <v>72</v>
      </c>
      <c r="AA7076">
        <v>254</v>
      </c>
      <c r="AB7076" s="5">
        <v>18288</v>
      </c>
      <c r="AC7076">
        <v>72</v>
      </c>
      <c r="AD7076">
        <v>254</v>
      </c>
      <c r="AE7076" s="1">
        <v>18288</v>
      </c>
      <c r="AF7076">
        <v>2.88</v>
      </c>
      <c r="AJ7076">
        <v>0</v>
      </c>
      <c r="AK7076">
        <v>0</v>
      </c>
      <c r="AL7076">
        <v>0</v>
      </c>
      <c r="AM7076">
        <v>74.88</v>
      </c>
      <c r="AN7076">
        <v>74.88</v>
      </c>
      <c r="AO7076">
        <v>74.88</v>
      </c>
      <c r="AP7076" s="2">
        <v>42746</v>
      </c>
      <c r="AQ7076" t="s">
        <v>72</v>
      </c>
      <c r="AR7076" t="s">
        <v>72</v>
      </c>
      <c r="AS7076">
        <v>3589</v>
      </c>
      <c r="AT7076" s="4">
        <v>42723</v>
      </c>
      <c r="AU7076" t="s">
        <v>73</v>
      </c>
      <c r="AV7076">
        <v>3589</v>
      </c>
      <c r="AW7076" s="4">
        <v>42723</v>
      </c>
      <c r="BD7076">
        <v>2.88</v>
      </c>
      <c r="BN7076" t="s">
        <v>74</v>
      </c>
    </row>
    <row r="7077" spans="1:66">
      <c r="A7077">
        <v>104093</v>
      </c>
      <c r="B7077" s="3" t="s">
        <v>609</v>
      </c>
      <c r="C7077" s="1">
        <v>43300101</v>
      </c>
      <c r="D7077" t="s">
        <v>67</v>
      </c>
      <c r="H7077" t="str">
        <f t="shared" si="693"/>
        <v>12572900152</v>
      </c>
      <c r="I7077" t="str">
        <f t="shared" si="694"/>
        <v>06032681006</v>
      </c>
      <c r="K7077" t="str">
        <f>""</f>
        <v/>
      </c>
      <c r="M7077" t="s">
        <v>68</v>
      </c>
      <c r="N7077" t="str">
        <f t="shared" si="692"/>
        <v>FOR</v>
      </c>
      <c r="O7077" t="s">
        <v>69</v>
      </c>
      <c r="P7077" s="3" t="s">
        <v>75</v>
      </c>
      <c r="Q7077">
        <v>2016</v>
      </c>
      <c r="R7077" s="2">
        <v>42408</v>
      </c>
      <c r="S7077" s="2">
        <v>42410</v>
      </c>
      <c r="T7077" s="2">
        <v>42409</v>
      </c>
      <c r="U7077" s="2">
        <v>42469</v>
      </c>
      <c r="V7077" t="s">
        <v>71</v>
      </c>
      <c r="W7077" t="str">
        <f>"            25295639"</f>
        <v xml:space="preserve">            25295639</v>
      </c>
      <c r="X7077">
        <v>926.64</v>
      </c>
      <c r="Y7077">
        <v>0</v>
      </c>
      <c r="Z7077" s="3">
        <v>891</v>
      </c>
      <c r="AA7077">
        <v>254</v>
      </c>
      <c r="AB7077" s="5">
        <v>226314</v>
      </c>
      <c r="AC7077">
        <v>891</v>
      </c>
      <c r="AD7077">
        <v>254</v>
      </c>
      <c r="AE7077" s="1">
        <v>226314</v>
      </c>
      <c r="AF7077">
        <v>35.64</v>
      </c>
      <c r="AJ7077">
        <v>0</v>
      </c>
      <c r="AK7077">
        <v>0</v>
      </c>
      <c r="AL7077">
        <v>0</v>
      </c>
      <c r="AM7077">
        <v>926.64</v>
      </c>
      <c r="AN7077">
        <v>926.64</v>
      </c>
      <c r="AO7077">
        <v>926.64</v>
      </c>
      <c r="AP7077" s="2">
        <v>42746</v>
      </c>
      <c r="AQ7077" t="s">
        <v>72</v>
      </c>
      <c r="AR7077" t="s">
        <v>72</v>
      </c>
      <c r="AS7077">
        <v>3589</v>
      </c>
      <c r="AT7077" s="4">
        <v>42723</v>
      </c>
      <c r="AU7077" t="s">
        <v>73</v>
      </c>
      <c r="AV7077">
        <v>3589</v>
      </c>
      <c r="AW7077" s="4">
        <v>42723</v>
      </c>
      <c r="BD7077">
        <v>35.64</v>
      </c>
      <c r="BN7077" t="s">
        <v>74</v>
      </c>
    </row>
    <row r="7078" spans="1:66">
      <c r="A7078">
        <v>104093</v>
      </c>
      <c r="B7078" s="3" t="s">
        <v>609</v>
      </c>
      <c r="C7078" s="1">
        <v>43300101</v>
      </c>
      <c r="D7078" t="s">
        <v>67</v>
      </c>
      <c r="H7078" t="str">
        <f t="shared" si="693"/>
        <v>12572900152</v>
      </c>
      <c r="I7078" t="str">
        <f t="shared" si="694"/>
        <v>06032681006</v>
      </c>
      <c r="K7078" t="str">
        <f>""</f>
        <v/>
      </c>
      <c r="M7078" t="s">
        <v>68</v>
      </c>
      <c r="N7078" t="str">
        <f t="shared" si="692"/>
        <v>FOR</v>
      </c>
      <c r="O7078" t="s">
        <v>69</v>
      </c>
      <c r="P7078" s="3" t="s">
        <v>75</v>
      </c>
      <c r="Q7078">
        <v>2016</v>
      </c>
      <c r="R7078" s="2">
        <v>42408</v>
      </c>
      <c r="S7078" s="2">
        <v>42410</v>
      </c>
      <c r="T7078" s="2">
        <v>42409</v>
      </c>
      <c r="U7078" s="2">
        <v>42469</v>
      </c>
      <c r="V7078" t="s">
        <v>71</v>
      </c>
      <c r="W7078" t="str">
        <f>"            25295642"</f>
        <v xml:space="preserve">            25295642</v>
      </c>
      <c r="X7078">
        <v>74.88</v>
      </c>
      <c r="Y7078">
        <v>0</v>
      </c>
      <c r="Z7078" s="3">
        <v>72</v>
      </c>
      <c r="AA7078">
        <v>254</v>
      </c>
      <c r="AB7078" s="5">
        <v>18288</v>
      </c>
      <c r="AC7078">
        <v>72</v>
      </c>
      <c r="AD7078">
        <v>254</v>
      </c>
      <c r="AE7078" s="1">
        <v>18288</v>
      </c>
      <c r="AF7078">
        <v>2.88</v>
      </c>
      <c r="AJ7078">
        <v>0</v>
      </c>
      <c r="AK7078">
        <v>0</v>
      </c>
      <c r="AL7078">
        <v>0</v>
      </c>
      <c r="AM7078">
        <v>74.88</v>
      </c>
      <c r="AN7078">
        <v>74.88</v>
      </c>
      <c r="AO7078">
        <v>74.88</v>
      </c>
      <c r="AP7078" s="2">
        <v>42746</v>
      </c>
      <c r="AQ7078" t="s">
        <v>72</v>
      </c>
      <c r="AR7078" t="s">
        <v>72</v>
      </c>
      <c r="AS7078">
        <v>3589</v>
      </c>
      <c r="AT7078" s="4">
        <v>42723</v>
      </c>
      <c r="AU7078" t="s">
        <v>73</v>
      </c>
      <c r="AV7078">
        <v>3589</v>
      </c>
      <c r="AW7078" s="4">
        <v>42723</v>
      </c>
      <c r="BD7078">
        <v>2.88</v>
      </c>
      <c r="BN7078" t="s">
        <v>74</v>
      </c>
    </row>
    <row r="7079" spans="1:66">
      <c r="A7079">
        <v>104093</v>
      </c>
      <c r="B7079" s="3" t="s">
        <v>609</v>
      </c>
      <c r="C7079" s="1">
        <v>43300101</v>
      </c>
      <c r="D7079" t="s">
        <v>67</v>
      </c>
      <c r="H7079" t="str">
        <f t="shared" si="693"/>
        <v>12572900152</v>
      </c>
      <c r="I7079" t="str">
        <f t="shared" si="694"/>
        <v>06032681006</v>
      </c>
      <c r="K7079" t="str">
        <f>""</f>
        <v/>
      </c>
      <c r="M7079" t="s">
        <v>68</v>
      </c>
      <c r="N7079" t="str">
        <f t="shared" si="692"/>
        <v>FOR</v>
      </c>
      <c r="O7079" t="s">
        <v>69</v>
      </c>
      <c r="P7079" s="3" t="s">
        <v>75</v>
      </c>
      <c r="Q7079">
        <v>2016</v>
      </c>
      <c r="R7079" s="2">
        <v>42408</v>
      </c>
      <c r="S7079" s="2">
        <v>42410</v>
      </c>
      <c r="T7079" s="2">
        <v>42409</v>
      </c>
      <c r="U7079" s="2">
        <v>42469</v>
      </c>
      <c r="V7079" t="s">
        <v>71</v>
      </c>
      <c r="W7079" t="str">
        <f>"            25295643"</f>
        <v xml:space="preserve">            25295643</v>
      </c>
      <c r="X7079">
        <v>74.88</v>
      </c>
      <c r="Y7079">
        <v>0</v>
      </c>
      <c r="Z7079" s="3">
        <v>72</v>
      </c>
      <c r="AA7079">
        <v>254</v>
      </c>
      <c r="AB7079" s="5">
        <v>18288</v>
      </c>
      <c r="AC7079">
        <v>72</v>
      </c>
      <c r="AD7079">
        <v>254</v>
      </c>
      <c r="AE7079" s="1">
        <v>18288</v>
      </c>
      <c r="AF7079">
        <v>2.88</v>
      </c>
      <c r="AJ7079">
        <v>0</v>
      </c>
      <c r="AK7079">
        <v>0</v>
      </c>
      <c r="AL7079">
        <v>0</v>
      </c>
      <c r="AM7079">
        <v>74.88</v>
      </c>
      <c r="AN7079">
        <v>74.88</v>
      </c>
      <c r="AO7079">
        <v>74.88</v>
      </c>
      <c r="AP7079" s="2">
        <v>42746</v>
      </c>
      <c r="AQ7079" t="s">
        <v>72</v>
      </c>
      <c r="AR7079" t="s">
        <v>72</v>
      </c>
      <c r="AS7079">
        <v>3589</v>
      </c>
      <c r="AT7079" s="4">
        <v>42723</v>
      </c>
      <c r="AU7079" t="s">
        <v>73</v>
      </c>
      <c r="AV7079">
        <v>3589</v>
      </c>
      <c r="AW7079" s="4">
        <v>42723</v>
      </c>
      <c r="BD7079">
        <v>2.88</v>
      </c>
      <c r="BN7079" t="s">
        <v>74</v>
      </c>
    </row>
    <row r="7080" spans="1:66">
      <c r="A7080">
        <v>104093</v>
      </c>
      <c r="B7080" s="3" t="s">
        <v>609</v>
      </c>
      <c r="C7080" s="1">
        <v>43300101</v>
      </c>
      <c r="D7080" t="s">
        <v>67</v>
      </c>
      <c r="H7080" t="str">
        <f t="shared" si="693"/>
        <v>12572900152</v>
      </c>
      <c r="I7080" t="str">
        <f t="shared" si="694"/>
        <v>06032681006</v>
      </c>
      <c r="K7080" t="str">
        <f>""</f>
        <v/>
      </c>
      <c r="M7080" t="s">
        <v>68</v>
      </c>
      <c r="N7080" t="str">
        <f t="shared" si="692"/>
        <v>FOR</v>
      </c>
      <c r="O7080" t="s">
        <v>69</v>
      </c>
      <c r="P7080" s="3" t="s">
        <v>75</v>
      </c>
      <c r="Q7080">
        <v>2016</v>
      </c>
      <c r="R7080" s="2">
        <v>42408</v>
      </c>
      <c r="S7080" s="2">
        <v>42410</v>
      </c>
      <c r="T7080" s="2">
        <v>42409</v>
      </c>
      <c r="U7080" s="2">
        <v>42469</v>
      </c>
      <c r="V7080" t="s">
        <v>71</v>
      </c>
      <c r="W7080" t="str">
        <f>"            25295644"</f>
        <v xml:space="preserve">            25295644</v>
      </c>
      <c r="X7080">
        <v>252.72</v>
      </c>
      <c r="Y7080">
        <v>0</v>
      </c>
      <c r="Z7080" s="3">
        <v>243</v>
      </c>
      <c r="AA7080">
        <v>254</v>
      </c>
      <c r="AB7080" s="5">
        <v>61722</v>
      </c>
      <c r="AC7080">
        <v>243</v>
      </c>
      <c r="AD7080">
        <v>254</v>
      </c>
      <c r="AE7080" s="1">
        <v>61722</v>
      </c>
      <c r="AF7080">
        <v>9.7200000000000006</v>
      </c>
      <c r="AJ7080">
        <v>0</v>
      </c>
      <c r="AK7080">
        <v>0</v>
      </c>
      <c r="AL7080">
        <v>0</v>
      </c>
      <c r="AM7080">
        <v>252.72</v>
      </c>
      <c r="AN7080">
        <v>252.72</v>
      </c>
      <c r="AO7080">
        <v>252.72</v>
      </c>
      <c r="AP7080" s="2">
        <v>42746</v>
      </c>
      <c r="AQ7080" t="s">
        <v>72</v>
      </c>
      <c r="AR7080" t="s">
        <v>72</v>
      </c>
      <c r="AS7080">
        <v>3589</v>
      </c>
      <c r="AT7080" s="4">
        <v>42723</v>
      </c>
      <c r="AU7080" t="s">
        <v>73</v>
      </c>
      <c r="AV7080">
        <v>3589</v>
      </c>
      <c r="AW7080" s="4">
        <v>42723</v>
      </c>
      <c r="BD7080">
        <v>9.7200000000000006</v>
      </c>
      <c r="BN7080" t="s">
        <v>74</v>
      </c>
    </row>
    <row r="7081" spans="1:66">
      <c r="A7081">
        <v>104093</v>
      </c>
      <c r="B7081" s="3" t="s">
        <v>609</v>
      </c>
      <c r="C7081" s="1">
        <v>43300101</v>
      </c>
      <c r="D7081" t="s">
        <v>67</v>
      </c>
      <c r="H7081" t="str">
        <f t="shared" si="693"/>
        <v>12572900152</v>
      </c>
      <c r="I7081" t="str">
        <f t="shared" si="694"/>
        <v>06032681006</v>
      </c>
      <c r="K7081" t="str">
        <f>""</f>
        <v/>
      </c>
      <c r="M7081" t="s">
        <v>68</v>
      </c>
      <c r="N7081" t="str">
        <f t="shared" si="692"/>
        <v>FOR</v>
      </c>
      <c r="O7081" t="s">
        <v>69</v>
      </c>
      <c r="P7081" s="3" t="s">
        <v>75</v>
      </c>
      <c r="Q7081">
        <v>2016</v>
      </c>
      <c r="R7081" s="2">
        <v>42408</v>
      </c>
      <c r="S7081" s="2">
        <v>42410</v>
      </c>
      <c r="T7081" s="2">
        <v>42409</v>
      </c>
      <c r="U7081" s="2">
        <v>42469</v>
      </c>
      <c r="V7081" t="s">
        <v>71</v>
      </c>
      <c r="W7081" t="str">
        <f>"            25295645"</f>
        <v xml:space="preserve">            25295645</v>
      </c>
      <c r="X7081">
        <v>707.62</v>
      </c>
      <c r="Y7081">
        <v>0</v>
      </c>
      <c r="Z7081" s="3">
        <v>680.4</v>
      </c>
      <c r="AA7081">
        <v>254</v>
      </c>
      <c r="AB7081" s="5">
        <v>172821.6</v>
      </c>
      <c r="AC7081">
        <v>680.4</v>
      </c>
      <c r="AD7081">
        <v>254</v>
      </c>
      <c r="AE7081" s="1">
        <v>172821.6</v>
      </c>
      <c r="AF7081">
        <v>27.22</v>
      </c>
      <c r="AJ7081">
        <v>0</v>
      </c>
      <c r="AK7081">
        <v>0</v>
      </c>
      <c r="AL7081">
        <v>0</v>
      </c>
      <c r="AM7081">
        <v>707.62</v>
      </c>
      <c r="AN7081">
        <v>707.62</v>
      </c>
      <c r="AO7081">
        <v>707.62</v>
      </c>
      <c r="AP7081" s="2">
        <v>42746</v>
      </c>
      <c r="AQ7081" t="s">
        <v>72</v>
      </c>
      <c r="AR7081" t="s">
        <v>72</v>
      </c>
      <c r="AS7081">
        <v>3589</v>
      </c>
      <c r="AT7081" s="4">
        <v>42723</v>
      </c>
      <c r="AU7081" t="s">
        <v>73</v>
      </c>
      <c r="AV7081">
        <v>3589</v>
      </c>
      <c r="AW7081" s="4">
        <v>42723</v>
      </c>
      <c r="BD7081">
        <v>27.22</v>
      </c>
      <c r="BN7081" t="s">
        <v>74</v>
      </c>
    </row>
    <row r="7082" spans="1:66">
      <c r="A7082">
        <v>104093</v>
      </c>
      <c r="B7082" s="3" t="s">
        <v>609</v>
      </c>
      <c r="C7082" s="1">
        <v>43300101</v>
      </c>
      <c r="D7082" t="s">
        <v>67</v>
      </c>
      <c r="H7082" t="str">
        <f t="shared" si="693"/>
        <v>12572900152</v>
      </c>
      <c r="I7082" t="str">
        <f t="shared" si="694"/>
        <v>06032681006</v>
      </c>
      <c r="K7082" t="str">
        <f>""</f>
        <v/>
      </c>
      <c r="M7082" t="s">
        <v>68</v>
      </c>
      <c r="N7082" t="str">
        <f t="shared" si="692"/>
        <v>FOR</v>
      </c>
      <c r="O7082" t="s">
        <v>69</v>
      </c>
      <c r="P7082" s="3" t="s">
        <v>75</v>
      </c>
      <c r="Q7082">
        <v>2016</v>
      </c>
      <c r="R7082" s="2">
        <v>42409</v>
      </c>
      <c r="S7082" s="2">
        <v>42411</v>
      </c>
      <c r="T7082" s="2">
        <v>42410</v>
      </c>
      <c r="U7082" s="2">
        <v>42470</v>
      </c>
      <c r="V7082" t="s">
        <v>71</v>
      </c>
      <c r="W7082" t="str">
        <f>"            25295845"</f>
        <v xml:space="preserve">            25295845</v>
      </c>
      <c r="X7082">
        <v>252.72</v>
      </c>
      <c r="Y7082">
        <v>0</v>
      </c>
      <c r="Z7082" s="3">
        <v>243</v>
      </c>
      <c r="AA7082">
        <v>253</v>
      </c>
      <c r="AB7082" s="5">
        <v>61479</v>
      </c>
      <c r="AC7082">
        <v>243</v>
      </c>
      <c r="AD7082">
        <v>253</v>
      </c>
      <c r="AE7082" s="1">
        <v>61479</v>
      </c>
      <c r="AF7082">
        <v>9.7200000000000006</v>
      </c>
      <c r="AJ7082">
        <v>0</v>
      </c>
      <c r="AK7082">
        <v>0</v>
      </c>
      <c r="AL7082">
        <v>0</v>
      </c>
      <c r="AM7082">
        <v>252.72</v>
      </c>
      <c r="AN7082">
        <v>252.72</v>
      </c>
      <c r="AO7082">
        <v>252.72</v>
      </c>
      <c r="AP7082" s="2">
        <v>42746</v>
      </c>
      <c r="AQ7082" t="s">
        <v>72</v>
      </c>
      <c r="AR7082" t="s">
        <v>72</v>
      </c>
      <c r="AS7082">
        <v>3589</v>
      </c>
      <c r="AT7082" s="4">
        <v>42723</v>
      </c>
      <c r="AU7082" t="s">
        <v>73</v>
      </c>
      <c r="AV7082">
        <v>3589</v>
      </c>
      <c r="AW7082" s="4">
        <v>42723</v>
      </c>
      <c r="BD7082">
        <v>9.7200000000000006</v>
      </c>
      <c r="BN7082" t="s">
        <v>74</v>
      </c>
    </row>
    <row r="7083" spans="1:66">
      <c r="A7083">
        <v>104093</v>
      </c>
      <c r="B7083" s="3" t="s">
        <v>609</v>
      </c>
      <c r="C7083" s="1">
        <v>43300101</v>
      </c>
      <c r="D7083" t="s">
        <v>67</v>
      </c>
      <c r="H7083" t="str">
        <f t="shared" si="693"/>
        <v>12572900152</v>
      </c>
      <c r="I7083" t="str">
        <f t="shared" si="694"/>
        <v>06032681006</v>
      </c>
      <c r="K7083" t="str">
        <f>""</f>
        <v/>
      </c>
      <c r="M7083" t="s">
        <v>68</v>
      </c>
      <c r="N7083" t="str">
        <f t="shared" si="692"/>
        <v>FOR</v>
      </c>
      <c r="O7083" t="s">
        <v>69</v>
      </c>
      <c r="P7083" s="3" t="s">
        <v>75</v>
      </c>
      <c r="Q7083">
        <v>2016</v>
      </c>
      <c r="R7083" s="2">
        <v>42409</v>
      </c>
      <c r="S7083" s="2">
        <v>42411</v>
      </c>
      <c r="T7083" s="2">
        <v>42411</v>
      </c>
      <c r="U7083" s="2">
        <v>42471</v>
      </c>
      <c r="V7083" t="s">
        <v>71</v>
      </c>
      <c r="W7083" t="str">
        <f>"            25295896"</f>
        <v xml:space="preserve">            25295896</v>
      </c>
      <c r="X7083">
        <v>403.42</v>
      </c>
      <c r="Y7083">
        <v>0</v>
      </c>
      <c r="Z7083" s="3">
        <v>387.9</v>
      </c>
      <c r="AA7083">
        <v>252</v>
      </c>
      <c r="AB7083" s="5">
        <v>97750.8</v>
      </c>
      <c r="AC7083">
        <v>387.9</v>
      </c>
      <c r="AD7083">
        <v>252</v>
      </c>
      <c r="AE7083" s="1">
        <v>97750.8</v>
      </c>
      <c r="AF7083">
        <v>15.52</v>
      </c>
      <c r="AJ7083">
        <v>0</v>
      </c>
      <c r="AK7083">
        <v>0</v>
      </c>
      <c r="AL7083">
        <v>0</v>
      </c>
      <c r="AM7083">
        <v>403.42</v>
      </c>
      <c r="AN7083">
        <v>403.42</v>
      </c>
      <c r="AO7083">
        <v>403.42</v>
      </c>
      <c r="AP7083" s="2">
        <v>42746</v>
      </c>
      <c r="AQ7083" t="s">
        <v>72</v>
      </c>
      <c r="AR7083" t="s">
        <v>72</v>
      </c>
      <c r="AS7083">
        <v>3589</v>
      </c>
      <c r="AT7083" s="4">
        <v>42723</v>
      </c>
      <c r="AU7083" t="s">
        <v>73</v>
      </c>
      <c r="AV7083">
        <v>3589</v>
      </c>
      <c r="AW7083" s="4">
        <v>42723</v>
      </c>
      <c r="BD7083">
        <v>15.52</v>
      </c>
      <c r="BN7083" t="s">
        <v>74</v>
      </c>
    </row>
    <row r="7084" spans="1:66">
      <c r="A7084">
        <v>104093</v>
      </c>
      <c r="B7084" s="3" t="s">
        <v>609</v>
      </c>
      <c r="C7084" s="1">
        <v>43300101</v>
      </c>
      <c r="D7084" t="s">
        <v>67</v>
      </c>
      <c r="H7084" t="str">
        <f t="shared" si="693"/>
        <v>12572900152</v>
      </c>
      <c r="I7084" t="str">
        <f t="shared" si="694"/>
        <v>06032681006</v>
      </c>
      <c r="K7084" t="str">
        <f>""</f>
        <v/>
      </c>
      <c r="M7084" t="s">
        <v>68</v>
      </c>
      <c r="N7084" t="str">
        <f t="shared" si="692"/>
        <v>FOR</v>
      </c>
      <c r="O7084" t="s">
        <v>69</v>
      </c>
      <c r="P7084" s="3" t="s">
        <v>75</v>
      </c>
      <c r="Q7084">
        <v>2016</v>
      </c>
      <c r="R7084" s="2">
        <v>42409</v>
      </c>
      <c r="S7084" s="2">
        <v>42411</v>
      </c>
      <c r="T7084" s="2">
        <v>42410</v>
      </c>
      <c r="U7084" s="2">
        <v>42470</v>
      </c>
      <c r="V7084" t="s">
        <v>71</v>
      </c>
      <c r="W7084" t="str">
        <f>"            25295900"</f>
        <v xml:space="preserve">            25295900</v>
      </c>
      <c r="X7084">
        <v>74.88</v>
      </c>
      <c r="Y7084">
        <v>0</v>
      </c>
      <c r="Z7084" s="3">
        <v>72</v>
      </c>
      <c r="AA7084">
        <v>253</v>
      </c>
      <c r="AB7084" s="5">
        <v>18216</v>
      </c>
      <c r="AC7084">
        <v>72</v>
      </c>
      <c r="AD7084">
        <v>253</v>
      </c>
      <c r="AE7084" s="1">
        <v>18216</v>
      </c>
      <c r="AF7084">
        <v>2.88</v>
      </c>
      <c r="AJ7084">
        <v>0</v>
      </c>
      <c r="AK7084">
        <v>0</v>
      </c>
      <c r="AL7084">
        <v>0</v>
      </c>
      <c r="AM7084">
        <v>74.88</v>
      </c>
      <c r="AN7084">
        <v>74.88</v>
      </c>
      <c r="AO7084">
        <v>74.88</v>
      </c>
      <c r="AP7084" s="2">
        <v>42746</v>
      </c>
      <c r="AQ7084" t="s">
        <v>72</v>
      </c>
      <c r="AR7084" t="s">
        <v>72</v>
      </c>
      <c r="AS7084">
        <v>3589</v>
      </c>
      <c r="AT7084" s="4">
        <v>42723</v>
      </c>
      <c r="AU7084" t="s">
        <v>73</v>
      </c>
      <c r="AV7084">
        <v>3589</v>
      </c>
      <c r="AW7084" s="4">
        <v>42723</v>
      </c>
      <c r="BD7084">
        <v>2.88</v>
      </c>
      <c r="BN7084" t="s">
        <v>74</v>
      </c>
    </row>
    <row r="7085" spans="1:66">
      <c r="A7085">
        <v>104093</v>
      </c>
      <c r="B7085" s="3" t="s">
        <v>609</v>
      </c>
      <c r="C7085" s="1">
        <v>43300101</v>
      </c>
      <c r="D7085" t="s">
        <v>67</v>
      </c>
      <c r="H7085" t="str">
        <f t="shared" si="693"/>
        <v>12572900152</v>
      </c>
      <c r="I7085" t="str">
        <f t="shared" si="694"/>
        <v>06032681006</v>
      </c>
      <c r="K7085" t="str">
        <f>""</f>
        <v/>
      </c>
      <c r="M7085" t="s">
        <v>68</v>
      </c>
      <c r="N7085" t="str">
        <f t="shared" si="692"/>
        <v>FOR</v>
      </c>
      <c r="O7085" t="s">
        <v>69</v>
      </c>
      <c r="P7085" s="3" t="s">
        <v>75</v>
      </c>
      <c r="Q7085">
        <v>2016</v>
      </c>
      <c r="R7085" s="2">
        <v>42409</v>
      </c>
      <c r="S7085" s="2">
        <v>42411</v>
      </c>
      <c r="T7085" s="2">
        <v>42410</v>
      </c>
      <c r="U7085" s="2">
        <v>42470</v>
      </c>
      <c r="V7085" t="s">
        <v>71</v>
      </c>
      <c r="W7085" t="str">
        <f>"            25295901"</f>
        <v xml:space="preserve">            25295901</v>
      </c>
      <c r="X7085">
        <v>74.88</v>
      </c>
      <c r="Y7085">
        <v>0</v>
      </c>
      <c r="Z7085" s="3">
        <v>72</v>
      </c>
      <c r="AA7085">
        <v>253</v>
      </c>
      <c r="AB7085" s="5">
        <v>18216</v>
      </c>
      <c r="AC7085">
        <v>72</v>
      </c>
      <c r="AD7085">
        <v>253</v>
      </c>
      <c r="AE7085" s="1">
        <v>18216</v>
      </c>
      <c r="AF7085">
        <v>2.88</v>
      </c>
      <c r="AJ7085">
        <v>0</v>
      </c>
      <c r="AK7085">
        <v>0</v>
      </c>
      <c r="AL7085">
        <v>0</v>
      </c>
      <c r="AM7085">
        <v>74.88</v>
      </c>
      <c r="AN7085">
        <v>74.88</v>
      </c>
      <c r="AO7085">
        <v>74.88</v>
      </c>
      <c r="AP7085" s="2">
        <v>42746</v>
      </c>
      <c r="AQ7085" t="s">
        <v>72</v>
      </c>
      <c r="AR7085" t="s">
        <v>72</v>
      </c>
      <c r="AS7085">
        <v>3589</v>
      </c>
      <c r="AT7085" s="4">
        <v>42723</v>
      </c>
      <c r="AU7085" t="s">
        <v>73</v>
      </c>
      <c r="AV7085">
        <v>3589</v>
      </c>
      <c r="AW7085" s="4">
        <v>42723</v>
      </c>
      <c r="BD7085">
        <v>2.88</v>
      </c>
      <c r="BN7085" t="s">
        <v>74</v>
      </c>
    </row>
    <row r="7086" spans="1:66">
      <c r="A7086">
        <v>104093</v>
      </c>
      <c r="B7086" s="3" t="s">
        <v>609</v>
      </c>
      <c r="C7086" s="1">
        <v>43300101</v>
      </c>
      <c r="D7086" t="s">
        <v>67</v>
      </c>
      <c r="H7086" t="str">
        <f t="shared" si="693"/>
        <v>12572900152</v>
      </c>
      <c r="I7086" t="str">
        <f t="shared" si="694"/>
        <v>06032681006</v>
      </c>
      <c r="K7086" t="str">
        <f>""</f>
        <v/>
      </c>
      <c r="M7086" t="s">
        <v>68</v>
      </c>
      <c r="N7086" t="str">
        <f t="shared" si="692"/>
        <v>FOR</v>
      </c>
      <c r="O7086" t="s">
        <v>69</v>
      </c>
      <c r="P7086" s="3" t="s">
        <v>75</v>
      </c>
      <c r="Q7086">
        <v>2016</v>
      </c>
      <c r="R7086" s="2">
        <v>42409</v>
      </c>
      <c r="S7086" s="2">
        <v>42411</v>
      </c>
      <c r="T7086" s="2">
        <v>42410</v>
      </c>
      <c r="U7086" s="2">
        <v>42470</v>
      </c>
      <c r="V7086" t="s">
        <v>71</v>
      </c>
      <c r="W7086" t="str">
        <f>"            25295903"</f>
        <v xml:space="preserve">            25295903</v>
      </c>
      <c r="X7086">
        <v>74.88</v>
      </c>
      <c r="Y7086">
        <v>0</v>
      </c>
      <c r="Z7086" s="3">
        <v>72</v>
      </c>
      <c r="AA7086">
        <v>253</v>
      </c>
      <c r="AB7086" s="5">
        <v>18216</v>
      </c>
      <c r="AC7086">
        <v>72</v>
      </c>
      <c r="AD7086">
        <v>253</v>
      </c>
      <c r="AE7086" s="1">
        <v>18216</v>
      </c>
      <c r="AF7086">
        <v>2.88</v>
      </c>
      <c r="AJ7086">
        <v>0</v>
      </c>
      <c r="AK7086">
        <v>0</v>
      </c>
      <c r="AL7086">
        <v>0</v>
      </c>
      <c r="AM7086">
        <v>74.88</v>
      </c>
      <c r="AN7086">
        <v>74.88</v>
      </c>
      <c r="AO7086">
        <v>74.88</v>
      </c>
      <c r="AP7086" s="2">
        <v>42746</v>
      </c>
      <c r="AQ7086" t="s">
        <v>72</v>
      </c>
      <c r="AR7086" t="s">
        <v>72</v>
      </c>
      <c r="AS7086">
        <v>3589</v>
      </c>
      <c r="AT7086" s="4">
        <v>42723</v>
      </c>
      <c r="AU7086" t="s">
        <v>73</v>
      </c>
      <c r="AV7086">
        <v>3589</v>
      </c>
      <c r="AW7086" s="4">
        <v>42723</v>
      </c>
      <c r="BD7086">
        <v>2.88</v>
      </c>
      <c r="BN7086" t="s">
        <v>74</v>
      </c>
    </row>
    <row r="7087" spans="1:66">
      <c r="A7087">
        <v>104093</v>
      </c>
      <c r="B7087" s="3" t="s">
        <v>609</v>
      </c>
      <c r="C7087" s="1">
        <v>43300101</v>
      </c>
      <c r="D7087" t="s">
        <v>67</v>
      </c>
      <c r="H7087" t="str">
        <f t="shared" si="693"/>
        <v>12572900152</v>
      </c>
      <c r="I7087" t="str">
        <f t="shared" si="694"/>
        <v>06032681006</v>
      </c>
      <c r="K7087" t="str">
        <f>""</f>
        <v/>
      </c>
      <c r="M7087" t="s">
        <v>68</v>
      </c>
      <c r="N7087" t="str">
        <f t="shared" si="692"/>
        <v>FOR</v>
      </c>
      <c r="O7087" t="s">
        <v>69</v>
      </c>
      <c r="P7087" s="3" t="s">
        <v>75</v>
      </c>
      <c r="Q7087">
        <v>2016</v>
      </c>
      <c r="R7087" s="2">
        <v>42410</v>
      </c>
      <c r="S7087" s="2">
        <v>42417</v>
      </c>
      <c r="T7087" s="2">
        <v>42411</v>
      </c>
      <c r="U7087" s="2">
        <v>42471</v>
      </c>
      <c r="V7087" t="s">
        <v>71</v>
      </c>
      <c r="W7087" t="str">
        <f>"            25296102"</f>
        <v xml:space="preserve">            25296102</v>
      </c>
      <c r="X7087">
        <v>74.88</v>
      </c>
      <c r="Y7087">
        <v>0</v>
      </c>
      <c r="Z7087" s="3">
        <v>72</v>
      </c>
      <c r="AA7087">
        <v>252</v>
      </c>
      <c r="AB7087" s="5">
        <v>18144</v>
      </c>
      <c r="AC7087">
        <v>72</v>
      </c>
      <c r="AD7087">
        <v>252</v>
      </c>
      <c r="AE7087" s="1">
        <v>18144</v>
      </c>
      <c r="AF7087">
        <v>2.88</v>
      </c>
      <c r="AJ7087">
        <v>0</v>
      </c>
      <c r="AK7087">
        <v>0</v>
      </c>
      <c r="AL7087">
        <v>0</v>
      </c>
      <c r="AM7087">
        <v>74.88</v>
      </c>
      <c r="AN7087">
        <v>74.88</v>
      </c>
      <c r="AO7087">
        <v>74.88</v>
      </c>
      <c r="AP7087" s="2">
        <v>42746</v>
      </c>
      <c r="AQ7087" t="s">
        <v>72</v>
      </c>
      <c r="AR7087" t="s">
        <v>72</v>
      </c>
      <c r="AS7087">
        <v>3589</v>
      </c>
      <c r="AT7087" s="4">
        <v>42723</v>
      </c>
      <c r="AU7087" t="s">
        <v>73</v>
      </c>
      <c r="AV7087">
        <v>3589</v>
      </c>
      <c r="AW7087" s="4">
        <v>42723</v>
      </c>
      <c r="BD7087">
        <v>2.88</v>
      </c>
      <c r="BN7087" t="s">
        <v>74</v>
      </c>
    </row>
    <row r="7088" spans="1:66">
      <c r="A7088">
        <v>104093</v>
      </c>
      <c r="B7088" s="3" t="s">
        <v>609</v>
      </c>
      <c r="C7088" s="1">
        <v>43300101</v>
      </c>
      <c r="D7088" t="s">
        <v>67</v>
      </c>
      <c r="H7088" t="str">
        <f t="shared" si="693"/>
        <v>12572900152</v>
      </c>
      <c r="I7088" t="str">
        <f t="shared" si="694"/>
        <v>06032681006</v>
      </c>
      <c r="K7088" t="str">
        <f>""</f>
        <v/>
      </c>
      <c r="M7088" t="s">
        <v>68</v>
      </c>
      <c r="N7088" t="str">
        <f t="shared" si="692"/>
        <v>FOR</v>
      </c>
      <c r="O7088" t="s">
        <v>69</v>
      </c>
      <c r="P7088" s="3" t="s">
        <v>75</v>
      </c>
      <c r="Q7088">
        <v>2016</v>
      </c>
      <c r="R7088" s="2">
        <v>42412</v>
      </c>
      <c r="S7088" s="2">
        <v>42422</v>
      </c>
      <c r="T7088" s="2">
        <v>42417</v>
      </c>
      <c r="U7088" s="2">
        <v>42477</v>
      </c>
      <c r="V7088" t="s">
        <v>71</v>
      </c>
      <c r="W7088" t="str">
        <f>"            25296717"</f>
        <v xml:space="preserve">            25296717</v>
      </c>
      <c r="X7088">
        <v>707.62</v>
      </c>
      <c r="Y7088">
        <v>0</v>
      </c>
      <c r="Z7088" s="3">
        <v>680.4</v>
      </c>
      <c r="AA7088">
        <v>246</v>
      </c>
      <c r="AB7088" s="5">
        <v>167378.4</v>
      </c>
      <c r="AC7088">
        <v>680.4</v>
      </c>
      <c r="AD7088">
        <v>246</v>
      </c>
      <c r="AE7088" s="1">
        <v>167378.4</v>
      </c>
      <c r="AF7088">
        <v>27.22</v>
      </c>
      <c r="AJ7088">
        <v>0</v>
      </c>
      <c r="AK7088">
        <v>0</v>
      </c>
      <c r="AL7088">
        <v>0</v>
      </c>
      <c r="AM7088">
        <v>707.62</v>
      </c>
      <c r="AN7088">
        <v>707.62</v>
      </c>
      <c r="AO7088">
        <v>707.62</v>
      </c>
      <c r="AP7088" s="2">
        <v>42746</v>
      </c>
      <c r="AQ7088" t="s">
        <v>72</v>
      </c>
      <c r="AR7088" t="s">
        <v>72</v>
      </c>
      <c r="AS7088">
        <v>3589</v>
      </c>
      <c r="AT7088" s="4">
        <v>42723</v>
      </c>
      <c r="AU7088" t="s">
        <v>73</v>
      </c>
      <c r="AV7088">
        <v>3589</v>
      </c>
      <c r="AW7088" s="4">
        <v>42723</v>
      </c>
      <c r="BD7088">
        <v>27.22</v>
      </c>
      <c r="BN7088" t="s">
        <v>74</v>
      </c>
    </row>
    <row r="7089" spans="1:66">
      <c r="A7089">
        <v>104093</v>
      </c>
      <c r="B7089" s="3" t="s">
        <v>609</v>
      </c>
      <c r="C7089" s="1">
        <v>43300101</v>
      </c>
      <c r="D7089" t="s">
        <v>67</v>
      </c>
      <c r="H7089" t="str">
        <f t="shared" si="693"/>
        <v>12572900152</v>
      </c>
      <c r="I7089" t="str">
        <f t="shared" si="694"/>
        <v>06032681006</v>
      </c>
      <c r="K7089" t="str">
        <f>""</f>
        <v/>
      </c>
      <c r="M7089" t="s">
        <v>68</v>
      </c>
      <c r="N7089" t="str">
        <f t="shared" si="692"/>
        <v>FOR</v>
      </c>
      <c r="O7089" t="s">
        <v>69</v>
      </c>
      <c r="P7089" s="3" t="s">
        <v>75</v>
      </c>
      <c r="Q7089">
        <v>2016</v>
      </c>
      <c r="R7089" s="2">
        <v>42412</v>
      </c>
      <c r="S7089" s="2">
        <v>42417</v>
      </c>
      <c r="T7089" s="2">
        <v>42415</v>
      </c>
      <c r="U7089" s="2">
        <v>42475</v>
      </c>
      <c r="V7089" t="s">
        <v>71</v>
      </c>
      <c r="W7089" t="str">
        <f>"            25296728"</f>
        <v xml:space="preserve">            25296728</v>
      </c>
      <c r="X7089">
        <v>252.72</v>
      </c>
      <c r="Y7089">
        <v>0</v>
      </c>
      <c r="Z7089" s="3">
        <v>243</v>
      </c>
      <c r="AA7089">
        <v>248</v>
      </c>
      <c r="AB7089" s="5">
        <v>60264</v>
      </c>
      <c r="AC7089">
        <v>243</v>
      </c>
      <c r="AD7089">
        <v>248</v>
      </c>
      <c r="AE7089" s="1">
        <v>60264</v>
      </c>
      <c r="AF7089">
        <v>9.7200000000000006</v>
      </c>
      <c r="AJ7089">
        <v>0</v>
      </c>
      <c r="AK7089">
        <v>0</v>
      </c>
      <c r="AL7089">
        <v>0</v>
      </c>
      <c r="AM7089">
        <v>252.72</v>
      </c>
      <c r="AN7089">
        <v>252.72</v>
      </c>
      <c r="AO7089">
        <v>252.72</v>
      </c>
      <c r="AP7089" s="2">
        <v>42746</v>
      </c>
      <c r="AQ7089" t="s">
        <v>72</v>
      </c>
      <c r="AR7089" t="s">
        <v>72</v>
      </c>
      <c r="AS7089">
        <v>3589</v>
      </c>
      <c r="AT7089" s="4">
        <v>42723</v>
      </c>
      <c r="AU7089" t="s">
        <v>73</v>
      </c>
      <c r="AV7089">
        <v>3589</v>
      </c>
      <c r="AW7089" s="4">
        <v>42723</v>
      </c>
      <c r="BD7089">
        <v>9.7200000000000006</v>
      </c>
      <c r="BN7089" t="s">
        <v>74</v>
      </c>
    </row>
    <row r="7090" spans="1:66">
      <c r="A7090">
        <v>104093</v>
      </c>
      <c r="B7090" s="3" t="s">
        <v>609</v>
      </c>
      <c r="C7090" s="1">
        <v>43300101</v>
      </c>
      <c r="D7090" t="s">
        <v>67</v>
      </c>
      <c r="H7090" t="str">
        <f t="shared" si="693"/>
        <v>12572900152</v>
      </c>
      <c r="I7090" t="str">
        <f t="shared" si="694"/>
        <v>06032681006</v>
      </c>
      <c r="K7090" t="str">
        <f>""</f>
        <v/>
      </c>
      <c r="M7090" t="s">
        <v>68</v>
      </c>
      <c r="N7090" t="str">
        <f t="shared" si="692"/>
        <v>FOR</v>
      </c>
      <c r="O7090" t="s">
        <v>69</v>
      </c>
      <c r="P7090" s="3" t="s">
        <v>75</v>
      </c>
      <c r="Q7090">
        <v>2016</v>
      </c>
      <c r="R7090" s="2">
        <v>42412</v>
      </c>
      <c r="S7090" s="2">
        <v>42417</v>
      </c>
      <c r="T7090" s="2">
        <v>42415</v>
      </c>
      <c r="U7090" s="2">
        <v>42475</v>
      </c>
      <c r="V7090" t="s">
        <v>71</v>
      </c>
      <c r="W7090" t="str">
        <f>"            25296735"</f>
        <v xml:space="preserve">            25296735</v>
      </c>
      <c r="X7090">
        <v>74.88</v>
      </c>
      <c r="Y7090">
        <v>0</v>
      </c>
      <c r="Z7090" s="3">
        <v>72</v>
      </c>
      <c r="AA7090">
        <v>248</v>
      </c>
      <c r="AB7090" s="5">
        <v>17856</v>
      </c>
      <c r="AC7090">
        <v>72</v>
      </c>
      <c r="AD7090">
        <v>248</v>
      </c>
      <c r="AE7090" s="1">
        <v>17856</v>
      </c>
      <c r="AF7090">
        <v>2.88</v>
      </c>
      <c r="AJ7090">
        <v>0</v>
      </c>
      <c r="AK7090">
        <v>0</v>
      </c>
      <c r="AL7090">
        <v>0</v>
      </c>
      <c r="AM7090">
        <v>74.88</v>
      </c>
      <c r="AN7090">
        <v>74.88</v>
      </c>
      <c r="AO7090">
        <v>74.88</v>
      </c>
      <c r="AP7090" s="2">
        <v>42746</v>
      </c>
      <c r="AQ7090" t="s">
        <v>72</v>
      </c>
      <c r="AR7090" t="s">
        <v>72</v>
      </c>
      <c r="AS7090">
        <v>3589</v>
      </c>
      <c r="AT7090" s="4">
        <v>42723</v>
      </c>
      <c r="AU7090" t="s">
        <v>73</v>
      </c>
      <c r="AV7090">
        <v>3589</v>
      </c>
      <c r="AW7090" s="4">
        <v>42723</v>
      </c>
      <c r="BD7090">
        <v>2.88</v>
      </c>
      <c r="BN7090" t="s">
        <v>74</v>
      </c>
    </row>
    <row r="7091" spans="1:66">
      <c r="A7091">
        <v>104093</v>
      </c>
      <c r="B7091" s="3" t="s">
        <v>609</v>
      </c>
      <c r="C7091" s="1">
        <v>43300101</v>
      </c>
      <c r="D7091" t="s">
        <v>67</v>
      </c>
      <c r="H7091" t="str">
        <f t="shared" si="693"/>
        <v>12572900152</v>
      </c>
      <c r="I7091" t="str">
        <f t="shared" si="694"/>
        <v>06032681006</v>
      </c>
      <c r="K7091" t="str">
        <f>""</f>
        <v/>
      </c>
      <c r="M7091" t="s">
        <v>68</v>
      </c>
      <c r="N7091" t="str">
        <f t="shared" si="692"/>
        <v>FOR</v>
      </c>
      <c r="O7091" t="s">
        <v>69</v>
      </c>
      <c r="P7091" s="3" t="s">
        <v>75</v>
      </c>
      <c r="Q7091">
        <v>2016</v>
      </c>
      <c r="R7091" s="2">
        <v>42412</v>
      </c>
      <c r="S7091" s="2">
        <v>42417</v>
      </c>
      <c r="T7091" s="2">
        <v>42415</v>
      </c>
      <c r="U7091" s="2">
        <v>42475</v>
      </c>
      <c r="V7091" t="s">
        <v>71</v>
      </c>
      <c r="W7091" t="str">
        <f>"            25296739"</f>
        <v xml:space="preserve">            25296739</v>
      </c>
      <c r="X7091">
        <v>74.88</v>
      </c>
      <c r="Y7091">
        <v>0</v>
      </c>
      <c r="Z7091" s="3">
        <v>72</v>
      </c>
      <c r="AA7091">
        <v>248</v>
      </c>
      <c r="AB7091" s="5">
        <v>17856</v>
      </c>
      <c r="AC7091">
        <v>72</v>
      </c>
      <c r="AD7091">
        <v>248</v>
      </c>
      <c r="AE7091" s="1">
        <v>17856</v>
      </c>
      <c r="AF7091">
        <v>2.88</v>
      </c>
      <c r="AJ7091">
        <v>0</v>
      </c>
      <c r="AK7091">
        <v>0</v>
      </c>
      <c r="AL7091">
        <v>0</v>
      </c>
      <c r="AM7091">
        <v>74.88</v>
      </c>
      <c r="AN7091">
        <v>74.88</v>
      </c>
      <c r="AO7091">
        <v>74.88</v>
      </c>
      <c r="AP7091" s="2">
        <v>42746</v>
      </c>
      <c r="AQ7091" t="s">
        <v>72</v>
      </c>
      <c r="AR7091" t="s">
        <v>72</v>
      </c>
      <c r="AS7091">
        <v>3589</v>
      </c>
      <c r="AT7091" s="4">
        <v>42723</v>
      </c>
      <c r="AU7091" t="s">
        <v>73</v>
      </c>
      <c r="AV7091">
        <v>3589</v>
      </c>
      <c r="AW7091" s="4">
        <v>42723</v>
      </c>
      <c r="BD7091">
        <v>2.88</v>
      </c>
      <c r="BN7091" t="s">
        <v>74</v>
      </c>
    </row>
    <row r="7092" spans="1:66">
      <c r="A7092">
        <v>104093</v>
      </c>
      <c r="B7092" s="3" t="s">
        <v>609</v>
      </c>
      <c r="C7092" s="1">
        <v>43300101</v>
      </c>
      <c r="D7092" t="s">
        <v>67</v>
      </c>
      <c r="H7092" t="str">
        <f t="shared" si="693"/>
        <v>12572900152</v>
      </c>
      <c r="I7092" t="str">
        <f t="shared" si="694"/>
        <v>06032681006</v>
      </c>
      <c r="K7092" t="str">
        <f>""</f>
        <v/>
      </c>
      <c r="M7092" t="s">
        <v>68</v>
      </c>
      <c r="N7092" t="str">
        <f t="shared" si="692"/>
        <v>FOR</v>
      </c>
      <c r="O7092" t="s">
        <v>69</v>
      </c>
      <c r="P7092" s="3" t="s">
        <v>75</v>
      </c>
      <c r="Q7092">
        <v>2016</v>
      </c>
      <c r="R7092" s="2">
        <v>42412</v>
      </c>
      <c r="S7092" s="2">
        <v>42417</v>
      </c>
      <c r="T7092" s="2">
        <v>42415</v>
      </c>
      <c r="U7092" s="2">
        <v>42475</v>
      </c>
      <c r="V7092" t="s">
        <v>71</v>
      </c>
      <c r="W7092" t="str">
        <f>"            25296743"</f>
        <v xml:space="preserve">            25296743</v>
      </c>
      <c r="X7092">
        <v>74.88</v>
      </c>
      <c r="Y7092">
        <v>0</v>
      </c>
      <c r="Z7092" s="3">
        <v>72</v>
      </c>
      <c r="AA7092">
        <v>248</v>
      </c>
      <c r="AB7092" s="5">
        <v>17856</v>
      </c>
      <c r="AC7092">
        <v>72</v>
      </c>
      <c r="AD7092">
        <v>248</v>
      </c>
      <c r="AE7092" s="1">
        <v>17856</v>
      </c>
      <c r="AF7092">
        <v>2.88</v>
      </c>
      <c r="AJ7092">
        <v>0</v>
      </c>
      <c r="AK7092">
        <v>0</v>
      </c>
      <c r="AL7092">
        <v>0</v>
      </c>
      <c r="AM7092">
        <v>74.88</v>
      </c>
      <c r="AN7092">
        <v>74.88</v>
      </c>
      <c r="AO7092">
        <v>74.88</v>
      </c>
      <c r="AP7092" s="2">
        <v>42746</v>
      </c>
      <c r="AQ7092" t="s">
        <v>72</v>
      </c>
      <c r="AR7092" t="s">
        <v>72</v>
      </c>
      <c r="AS7092">
        <v>3589</v>
      </c>
      <c r="AT7092" s="4">
        <v>42723</v>
      </c>
      <c r="AU7092" t="s">
        <v>73</v>
      </c>
      <c r="AV7092">
        <v>3589</v>
      </c>
      <c r="AW7092" s="4">
        <v>42723</v>
      </c>
      <c r="BD7092">
        <v>2.88</v>
      </c>
      <c r="BN7092" t="s">
        <v>74</v>
      </c>
    </row>
    <row r="7093" spans="1:66">
      <c r="A7093">
        <v>104093</v>
      </c>
      <c r="B7093" s="3" t="s">
        <v>609</v>
      </c>
      <c r="C7093" s="1">
        <v>43300101</v>
      </c>
      <c r="D7093" t="s">
        <v>67</v>
      </c>
      <c r="H7093" t="str">
        <f t="shared" si="693"/>
        <v>12572900152</v>
      </c>
      <c r="I7093" t="str">
        <f t="shared" si="694"/>
        <v>06032681006</v>
      </c>
      <c r="K7093" t="str">
        <f>""</f>
        <v/>
      </c>
      <c r="M7093" t="s">
        <v>68</v>
      </c>
      <c r="N7093" t="str">
        <f t="shared" si="692"/>
        <v>FOR</v>
      </c>
      <c r="O7093" t="s">
        <v>69</v>
      </c>
      <c r="P7093" s="3" t="s">
        <v>75</v>
      </c>
      <c r="Q7093">
        <v>2016</v>
      </c>
      <c r="R7093" s="2">
        <v>42412</v>
      </c>
      <c r="S7093" s="2">
        <v>42417</v>
      </c>
      <c r="T7093" s="2">
        <v>42415</v>
      </c>
      <c r="U7093" s="2">
        <v>42475</v>
      </c>
      <c r="V7093" t="s">
        <v>71</v>
      </c>
      <c r="W7093" t="str">
        <f>"            25296748"</f>
        <v xml:space="preserve">            25296748</v>
      </c>
      <c r="X7093">
        <v>74.88</v>
      </c>
      <c r="Y7093">
        <v>0</v>
      </c>
      <c r="Z7093" s="3">
        <v>72</v>
      </c>
      <c r="AA7093">
        <v>248</v>
      </c>
      <c r="AB7093" s="5">
        <v>17856</v>
      </c>
      <c r="AC7093">
        <v>72</v>
      </c>
      <c r="AD7093">
        <v>248</v>
      </c>
      <c r="AE7093" s="1">
        <v>17856</v>
      </c>
      <c r="AF7093">
        <v>2.88</v>
      </c>
      <c r="AJ7093">
        <v>0</v>
      </c>
      <c r="AK7093">
        <v>0</v>
      </c>
      <c r="AL7093">
        <v>0</v>
      </c>
      <c r="AM7093">
        <v>74.88</v>
      </c>
      <c r="AN7093">
        <v>74.88</v>
      </c>
      <c r="AO7093">
        <v>74.88</v>
      </c>
      <c r="AP7093" s="2">
        <v>42746</v>
      </c>
      <c r="AQ7093" t="s">
        <v>72</v>
      </c>
      <c r="AR7093" t="s">
        <v>72</v>
      </c>
      <c r="AS7093">
        <v>3589</v>
      </c>
      <c r="AT7093" s="4">
        <v>42723</v>
      </c>
      <c r="AU7093" t="s">
        <v>73</v>
      </c>
      <c r="AV7093">
        <v>3589</v>
      </c>
      <c r="AW7093" s="4">
        <v>42723</v>
      </c>
      <c r="BD7093">
        <v>2.88</v>
      </c>
      <c r="BN7093" t="s">
        <v>74</v>
      </c>
    </row>
    <row r="7094" spans="1:66">
      <c r="A7094">
        <v>104093</v>
      </c>
      <c r="B7094" s="3" t="s">
        <v>609</v>
      </c>
      <c r="C7094" s="1">
        <v>43300101</v>
      </c>
      <c r="D7094" t="s">
        <v>67</v>
      </c>
      <c r="H7094" t="str">
        <f t="shared" si="693"/>
        <v>12572900152</v>
      </c>
      <c r="I7094" t="str">
        <f t="shared" si="694"/>
        <v>06032681006</v>
      </c>
      <c r="K7094" t="str">
        <f>""</f>
        <v/>
      </c>
      <c r="M7094" t="s">
        <v>68</v>
      </c>
      <c r="N7094" t="str">
        <f t="shared" si="692"/>
        <v>FOR</v>
      </c>
      <c r="O7094" t="s">
        <v>69</v>
      </c>
      <c r="P7094" s="3" t="s">
        <v>75</v>
      </c>
      <c r="Q7094">
        <v>2016</v>
      </c>
      <c r="R7094" s="2">
        <v>42412</v>
      </c>
      <c r="S7094" s="2">
        <v>42417</v>
      </c>
      <c r="T7094" s="2">
        <v>42415</v>
      </c>
      <c r="U7094" s="2">
        <v>42475</v>
      </c>
      <c r="V7094" t="s">
        <v>71</v>
      </c>
      <c r="W7094" t="str">
        <f>"            25296753"</f>
        <v xml:space="preserve">            25296753</v>
      </c>
      <c r="X7094">
        <v>74.88</v>
      </c>
      <c r="Y7094">
        <v>0</v>
      </c>
      <c r="Z7094" s="3">
        <v>72</v>
      </c>
      <c r="AA7094">
        <v>248</v>
      </c>
      <c r="AB7094" s="5">
        <v>17856</v>
      </c>
      <c r="AC7094">
        <v>72</v>
      </c>
      <c r="AD7094">
        <v>248</v>
      </c>
      <c r="AE7094" s="1">
        <v>17856</v>
      </c>
      <c r="AF7094">
        <v>2.88</v>
      </c>
      <c r="AJ7094">
        <v>0</v>
      </c>
      <c r="AK7094">
        <v>0</v>
      </c>
      <c r="AL7094">
        <v>0</v>
      </c>
      <c r="AM7094">
        <v>74.88</v>
      </c>
      <c r="AN7094">
        <v>74.88</v>
      </c>
      <c r="AO7094">
        <v>74.88</v>
      </c>
      <c r="AP7094" s="2">
        <v>42746</v>
      </c>
      <c r="AQ7094" t="s">
        <v>72</v>
      </c>
      <c r="AR7094" t="s">
        <v>72</v>
      </c>
      <c r="AS7094">
        <v>3589</v>
      </c>
      <c r="AT7094" s="4">
        <v>42723</v>
      </c>
      <c r="AU7094" t="s">
        <v>73</v>
      </c>
      <c r="AV7094">
        <v>3589</v>
      </c>
      <c r="AW7094" s="4">
        <v>42723</v>
      </c>
      <c r="BD7094">
        <v>2.88</v>
      </c>
      <c r="BN7094" t="s">
        <v>74</v>
      </c>
    </row>
    <row r="7095" spans="1:66">
      <c r="A7095">
        <v>104093</v>
      </c>
      <c r="B7095" s="3" t="s">
        <v>609</v>
      </c>
      <c r="C7095" s="1">
        <v>43300101</v>
      </c>
      <c r="D7095" t="s">
        <v>67</v>
      </c>
      <c r="H7095" t="str">
        <f t="shared" si="693"/>
        <v>12572900152</v>
      </c>
      <c r="I7095" t="str">
        <f t="shared" si="694"/>
        <v>06032681006</v>
      </c>
      <c r="K7095" t="str">
        <f>""</f>
        <v/>
      </c>
      <c r="M7095" t="s">
        <v>68</v>
      </c>
      <c r="N7095" t="str">
        <f t="shared" si="692"/>
        <v>FOR</v>
      </c>
      <c r="O7095" t="s">
        <v>69</v>
      </c>
      <c r="P7095" s="3" t="s">
        <v>75</v>
      </c>
      <c r="Q7095">
        <v>2016</v>
      </c>
      <c r="R7095" s="2">
        <v>42412</v>
      </c>
      <c r="S7095" s="2">
        <v>42417</v>
      </c>
      <c r="T7095" s="2">
        <v>42415</v>
      </c>
      <c r="U7095" s="2">
        <v>42475</v>
      </c>
      <c r="V7095" t="s">
        <v>71</v>
      </c>
      <c r="W7095" t="str">
        <f>"            25296760"</f>
        <v xml:space="preserve">            25296760</v>
      </c>
      <c r="X7095">
        <v>403.42</v>
      </c>
      <c r="Y7095">
        <v>0</v>
      </c>
      <c r="Z7095" s="3">
        <v>387.9</v>
      </c>
      <c r="AA7095">
        <v>248</v>
      </c>
      <c r="AB7095" s="5">
        <v>96199.2</v>
      </c>
      <c r="AC7095">
        <v>387.9</v>
      </c>
      <c r="AD7095">
        <v>248</v>
      </c>
      <c r="AE7095" s="1">
        <v>96199.2</v>
      </c>
      <c r="AF7095">
        <v>15.52</v>
      </c>
      <c r="AJ7095">
        <v>0</v>
      </c>
      <c r="AK7095">
        <v>0</v>
      </c>
      <c r="AL7095">
        <v>0</v>
      </c>
      <c r="AM7095">
        <v>403.42</v>
      </c>
      <c r="AN7095">
        <v>403.42</v>
      </c>
      <c r="AO7095">
        <v>403.42</v>
      </c>
      <c r="AP7095" s="2">
        <v>42746</v>
      </c>
      <c r="AQ7095" t="s">
        <v>72</v>
      </c>
      <c r="AR7095" t="s">
        <v>72</v>
      </c>
      <c r="AS7095">
        <v>3589</v>
      </c>
      <c r="AT7095" s="4">
        <v>42723</v>
      </c>
      <c r="AU7095" t="s">
        <v>73</v>
      </c>
      <c r="AV7095">
        <v>3589</v>
      </c>
      <c r="AW7095" s="4">
        <v>42723</v>
      </c>
      <c r="BD7095">
        <v>15.52</v>
      </c>
      <c r="BN7095" t="s">
        <v>74</v>
      </c>
    </row>
    <row r="7096" spans="1:66">
      <c r="A7096">
        <v>104093</v>
      </c>
      <c r="B7096" s="3" t="s">
        <v>609</v>
      </c>
      <c r="C7096" s="1">
        <v>43300101</v>
      </c>
      <c r="D7096" t="s">
        <v>67</v>
      </c>
      <c r="H7096" t="str">
        <f t="shared" si="693"/>
        <v>12572900152</v>
      </c>
      <c r="I7096" t="str">
        <f t="shared" si="694"/>
        <v>06032681006</v>
      </c>
      <c r="K7096" t="str">
        <f>""</f>
        <v/>
      </c>
      <c r="M7096" t="s">
        <v>68</v>
      </c>
      <c r="N7096" t="str">
        <f t="shared" si="692"/>
        <v>FOR</v>
      </c>
      <c r="O7096" t="s">
        <v>69</v>
      </c>
      <c r="P7096" s="3" t="s">
        <v>75</v>
      </c>
      <c r="Q7096">
        <v>2016</v>
      </c>
      <c r="R7096" s="2">
        <v>42412</v>
      </c>
      <c r="S7096" s="2">
        <v>42417</v>
      </c>
      <c r="T7096" s="2">
        <v>42415</v>
      </c>
      <c r="U7096" s="2">
        <v>42475</v>
      </c>
      <c r="V7096" t="s">
        <v>71</v>
      </c>
      <c r="W7096" t="str">
        <f>"            25296771"</f>
        <v xml:space="preserve">            25296771</v>
      </c>
      <c r="X7096">
        <v>707.62</v>
      </c>
      <c r="Y7096">
        <v>0</v>
      </c>
      <c r="Z7096" s="3">
        <v>680.4</v>
      </c>
      <c r="AA7096">
        <v>248</v>
      </c>
      <c r="AB7096" s="5">
        <v>168739.20000000001</v>
      </c>
      <c r="AC7096">
        <v>680.4</v>
      </c>
      <c r="AD7096">
        <v>248</v>
      </c>
      <c r="AE7096" s="1">
        <v>168739.20000000001</v>
      </c>
      <c r="AF7096">
        <v>27.22</v>
      </c>
      <c r="AJ7096">
        <v>0</v>
      </c>
      <c r="AK7096">
        <v>0</v>
      </c>
      <c r="AL7096">
        <v>0</v>
      </c>
      <c r="AM7096">
        <v>707.62</v>
      </c>
      <c r="AN7096">
        <v>707.62</v>
      </c>
      <c r="AO7096">
        <v>707.62</v>
      </c>
      <c r="AP7096" s="2">
        <v>42746</v>
      </c>
      <c r="AQ7096" t="s">
        <v>72</v>
      </c>
      <c r="AR7096" t="s">
        <v>72</v>
      </c>
      <c r="AS7096">
        <v>3589</v>
      </c>
      <c r="AT7096" s="4">
        <v>42723</v>
      </c>
      <c r="AU7096" t="s">
        <v>73</v>
      </c>
      <c r="AV7096">
        <v>3589</v>
      </c>
      <c r="AW7096" s="4">
        <v>42723</v>
      </c>
      <c r="BD7096">
        <v>27.22</v>
      </c>
      <c r="BN7096" t="s">
        <v>74</v>
      </c>
    </row>
    <row r="7097" spans="1:66">
      <c r="A7097">
        <v>104093</v>
      </c>
      <c r="B7097" s="3" t="s">
        <v>609</v>
      </c>
      <c r="C7097" s="1">
        <v>43300101</v>
      </c>
      <c r="D7097" t="s">
        <v>67</v>
      </c>
      <c r="H7097" t="str">
        <f t="shared" si="693"/>
        <v>12572900152</v>
      </c>
      <c r="I7097" t="str">
        <f t="shared" si="694"/>
        <v>06032681006</v>
      </c>
      <c r="K7097" t="str">
        <f>""</f>
        <v/>
      </c>
      <c r="M7097" t="s">
        <v>68</v>
      </c>
      <c r="N7097" t="str">
        <f t="shared" si="692"/>
        <v>FOR</v>
      </c>
      <c r="O7097" t="s">
        <v>69</v>
      </c>
      <c r="P7097" s="3" t="s">
        <v>75</v>
      </c>
      <c r="Q7097">
        <v>2016</v>
      </c>
      <c r="R7097" s="2">
        <v>42412</v>
      </c>
      <c r="S7097" s="2">
        <v>42444</v>
      </c>
      <c r="T7097" s="2">
        <v>42415</v>
      </c>
      <c r="U7097" s="2">
        <v>42475</v>
      </c>
      <c r="V7097" t="s">
        <v>71</v>
      </c>
      <c r="W7097" t="str">
        <f>"            25296785"</f>
        <v xml:space="preserve">            25296785</v>
      </c>
      <c r="X7097">
        <v>252.72</v>
      </c>
      <c r="Y7097">
        <v>0</v>
      </c>
      <c r="Z7097" s="3">
        <v>243</v>
      </c>
      <c r="AA7097">
        <v>248</v>
      </c>
      <c r="AB7097" s="5">
        <v>60264</v>
      </c>
      <c r="AC7097">
        <v>243</v>
      </c>
      <c r="AD7097">
        <v>248</v>
      </c>
      <c r="AE7097" s="1">
        <v>60264</v>
      </c>
      <c r="AF7097">
        <v>9.7200000000000006</v>
      </c>
      <c r="AJ7097">
        <v>0</v>
      </c>
      <c r="AK7097">
        <v>0</v>
      </c>
      <c r="AL7097">
        <v>0</v>
      </c>
      <c r="AM7097">
        <v>252.72</v>
      </c>
      <c r="AN7097">
        <v>252.72</v>
      </c>
      <c r="AO7097">
        <v>252.72</v>
      </c>
      <c r="AP7097" s="2">
        <v>42746</v>
      </c>
      <c r="AQ7097" t="s">
        <v>72</v>
      </c>
      <c r="AR7097" t="s">
        <v>72</v>
      </c>
      <c r="AS7097">
        <v>3589</v>
      </c>
      <c r="AT7097" s="4">
        <v>42723</v>
      </c>
      <c r="AU7097" t="s">
        <v>73</v>
      </c>
      <c r="AV7097">
        <v>3589</v>
      </c>
      <c r="AW7097" s="4">
        <v>42723</v>
      </c>
      <c r="BD7097">
        <v>9.7200000000000006</v>
      </c>
      <c r="BN7097" t="s">
        <v>74</v>
      </c>
    </row>
    <row r="7098" spans="1:66">
      <c r="A7098">
        <v>104093</v>
      </c>
      <c r="B7098" s="3" t="s">
        <v>609</v>
      </c>
      <c r="C7098" s="1">
        <v>43300101</v>
      </c>
      <c r="D7098" t="s">
        <v>67</v>
      </c>
      <c r="H7098" t="str">
        <f t="shared" si="693"/>
        <v>12572900152</v>
      </c>
      <c r="I7098" t="str">
        <f t="shared" si="694"/>
        <v>06032681006</v>
      </c>
      <c r="K7098" t="str">
        <f>""</f>
        <v/>
      </c>
      <c r="M7098" t="s">
        <v>68</v>
      </c>
      <c r="N7098" t="str">
        <f t="shared" si="692"/>
        <v>FOR</v>
      </c>
      <c r="O7098" t="s">
        <v>69</v>
      </c>
      <c r="P7098" s="3" t="s">
        <v>75</v>
      </c>
      <c r="Q7098">
        <v>2016</v>
      </c>
      <c r="R7098" s="2">
        <v>42412</v>
      </c>
      <c r="S7098" s="2">
        <v>42417</v>
      </c>
      <c r="T7098" s="2">
        <v>42415</v>
      </c>
      <c r="U7098" s="2">
        <v>42475</v>
      </c>
      <c r="V7098" t="s">
        <v>71</v>
      </c>
      <c r="W7098" t="str">
        <f>"            25296801"</f>
        <v xml:space="preserve">            25296801</v>
      </c>
      <c r="X7098">
        <v>74.88</v>
      </c>
      <c r="Y7098">
        <v>0</v>
      </c>
      <c r="Z7098" s="3">
        <v>72</v>
      </c>
      <c r="AA7098">
        <v>248</v>
      </c>
      <c r="AB7098" s="5">
        <v>17856</v>
      </c>
      <c r="AC7098">
        <v>72</v>
      </c>
      <c r="AD7098">
        <v>248</v>
      </c>
      <c r="AE7098" s="1">
        <v>17856</v>
      </c>
      <c r="AF7098">
        <v>2.88</v>
      </c>
      <c r="AJ7098">
        <v>0</v>
      </c>
      <c r="AK7098">
        <v>0</v>
      </c>
      <c r="AL7098">
        <v>0</v>
      </c>
      <c r="AM7098">
        <v>74.88</v>
      </c>
      <c r="AN7098">
        <v>74.88</v>
      </c>
      <c r="AO7098">
        <v>74.88</v>
      </c>
      <c r="AP7098" s="2">
        <v>42746</v>
      </c>
      <c r="AQ7098" t="s">
        <v>72</v>
      </c>
      <c r="AR7098" t="s">
        <v>72</v>
      </c>
      <c r="AS7098">
        <v>3589</v>
      </c>
      <c r="AT7098" s="4">
        <v>42723</v>
      </c>
      <c r="AU7098" t="s">
        <v>73</v>
      </c>
      <c r="AV7098">
        <v>3589</v>
      </c>
      <c r="AW7098" s="4">
        <v>42723</v>
      </c>
      <c r="BD7098">
        <v>2.88</v>
      </c>
      <c r="BN7098" t="s">
        <v>74</v>
      </c>
    </row>
    <row r="7099" spans="1:66">
      <c r="A7099">
        <v>104093</v>
      </c>
      <c r="B7099" s="3" t="s">
        <v>609</v>
      </c>
      <c r="C7099" s="1">
        <v>43300101</v>
      </c>
      <c r="D7099" t="s">
        <v>67</v>
      </c>
      <c r="H7099" t="str">
        <f t="shared" si="693"/>
        <v>12572900152</v>
      </c>
      <c r="I7099" t="str">
        <f t="shared" si="694"/>
        <v>06032681006</v>
      </c>
      <c r="K7099" t="str">
        <f>""</f>
        <v/>
      </c>
      <c r="M7099" t="s">
        <v>68</v>
      </c>
      <c r="N7099" t="str">
        <f t="shared" si="692"/>
        <v>FOR</v>
      </c>
      <c r="O7099" t="s">
        <v>69</v>
      </c>
      <c r="P7099" s="3" t="s">
        <v>75</v>
      </c>
      <c r="Q7099">
        <v>2016</v>
      </c>
      <c r="R7099" s="2">
        <v>42412</v>
      </c>
      <c r="S7099" s="2">
        <v>42418</v>
      </c>
      <c r="T7099" s="2">
        <v>42415</v>
      </c>
      <c r="U7099" s="2">
        <v>42475</v>
      </c>
      <c r="V7099" t="s">
        <v>71</v>
      </c>
      <c r="W7099" t="str">
        <f>"            25296852"</f>
        <v xml:space="preserve">            25296852</v>
      </c>
      <c r="X7099" s="1">
        <v>1207.8</v>
      </c>
      <c r="Y7099">
        <v>0</v>
      </c>
      <c r="Z7099" s="3">
        <v>990</v>
      </c>
      <c r="AA7099">
        <v>248</v>
      </c>
      <c r="AB7099" s="5">
        <v>245520</v>
      </c>
      <c r="AC7099">
        <v>990</v>
      </c>
      <c r="AD7099">
        <v>248</v>
      </c>
      <c r="AE7099" s="1">
        <v>245520</v>
      </c>
      <c r="AF7099">
        <v>217.8</v>
      </c>
      <c r="AJ7099">
        <v>0</v>
      </c>
      <c r="AK7099">
        <v>0</v>
      </c>
      <c r="AL7099">
        <v>0</v>
      </c>
      <c r="AM7099" s="1">
        <v>1207.8</v>
      </c>
      <c r="AN7099" s="1">
        <v>1207.8</v>
      </c>
      <c r="AO7099" s="1">
        <v>1207.8</v>
      </c>
      <c r="AP7099" s="2">
        <v>42746</v>
      </c>
      <c r="AQ7099" t="s">
        <v>72</v>
      </c>
      <c r="AR7099" t="s">
        <v>72</v>
      </c>
      <c r="AS7099">
        <v>3589</v>
      </c>
      <c r="AT7099" s="4">
        <v>42723</v>
      </c>
      <c r="AU7099" t="s">
        <v>73</v>
      </c>
      <c r="AV7099">
        <v>3589</v>
      </c>
      <c r="AW7099" s="4">
        <v>42723</v>
      </c>
      <c r="BD7099">
        <v>217.8</v>
      </c>
      <c r="BN7099" t="s">
        <v>74</v>
      </c>
    </row>
    <row r="7100" spans="1:66">
      <c r="A7100">
        <v>104093</v>
      </c>
      <c r="B7100" s="3" t="s">
        <v>609</v>
      </c>
      <c r="C7100" s="1">
        <v>43300101</v>
      </c>
      <c r="D7100" t="s">
        <v>67</v>
      </c>
      <c r="H7100" t="str">
        <f t="shared" si="693"/>
        <v>12572900152</v>
      </c>
      <c r="I7100" t="str">
        <f t="shared" si="694"/>
        <v>06032681006</v>
      </c>
      <c r="K7100" t="str">
        <f>""</f>
        <v/>
      </c>
      <c r="M7100" t="s">
        <v>68</v>
      </c>
      <c r="N7100" t="str">
        <f t="shared" si="692"/>
        <v>FOR</v>
      </c>
      <c r="O7100" t="s">
        <v>69</v>
      </c>
      <c r="P7100" s="3" t="s">
        <v>75</v>
      </c>
      <c r="Q7100">
        <v>2016</v>
      </c>
      <c r="R7100" s="2">
        <v>42415</v>
      </c>
      <c r="S7100" s="2">
        <v>42422</v>
      </c>
      <c r="T7100" s="2">
        <v>42417</v>
      </c>
      <c r="U7100" s="2">
        <v>42477</v>
      </c>
      <c r="V7100" t="s">
        <v>71</v>
      </c>
      <c r="W7100" t="str">
        <f>"            25297156"</f>
        <v xml:space="preserve">            25297156</v>
      </c>
      <c r="X7100" s="1">
        <v>3088.8</v>
      </c>
      <c r="Y7100">
        <v>0</v>
      </c>
      <c r="Z7100" s="5">
        <v>2970</v>
      </c>
      <c r="AA7100">
        <v>246</v>
      </c>
      <c r="AB7100" s="5">
        <v>730620</v>
      </c>
      <c r="AC7100" s="1">
        <v>2970</v>
      </c>
      <c r="AD7100">
        <v>246</v>
      </c>
      <c r="AE7100" s="1">
        <v>730620</v>
      </c>
      <c r="AF7100">
        <v>118.8</v>
      </c>
      <c r="AJ7100">
        <v>0</v>
      </c>
      <c r="AK7100">
        <v>0</v>
      </c>
      <c r="AL7100">
        <v>0</v>
      </c>
      <c r="AM7100" s="1">
        <v>3088.8</v>
      </c>
      <c r="AN7100" s="1">
        <v>3088.8</v>
      </c>
      <c r="AO7100" s="1">
        <v>3088.8</v>
      </c>
      <c r="AP7100" s="2">
        <v>42746</v>
      </c>
      <c r="AQ7100" t="s">
        <v>72</v>
      </c>
      <c r="AR7100" t="s">
        <v>72</v>
      </c>
      <c r="AS7100">
        <v>3589</v>
      </c>
      <c r="AT7100" s="4">
        <v>42723</v>
      </c>
      <c r="AU7100" t="s">
        <v>73</v>
      </c>
      <c r="AV7100">
        <v>3589</v>
      </c>
      <c r="AW7100" s="4">
        <v>42723</v>
      </c>
      <c r="BD7100">
        <v>118.8</v>
      </c>
      <c r="BN7100" t="s">
        <v>74</v>
      </c>
    </row>
    <row r="7101" spans="1:66">
      <c r="A7101">
        <v>104093</v>
      </c>
      <c r="B7101" s="3" t="s">
        <v>609</v>
      </c>
      <c r="C7101" s="1">
        <v>43300101</v>
      </c>
      <c r="D7101" t="s">
        <v>67</v>
      </c>
      <c r="H7101" t="str">
        <f t="shared" si="693"/>
        <v>12572900152</v>
      </c>
      <c r="I7101" t="str">
        <f t="shared" si="694"/>
        <v>06032681006</v>
      </c>
      <c r="K7101" t="str">
        <f>""</f>
        <v/>
      </c>
      <c r="M7101" t="s">
        <v>68</v>
      </c>
      <c r="N7101" t="str">
        <f t="shared" si="692"/>
        <v>FOR</v>
      </c>
      <c r="O7101" t="s">
        <v>69</v>
      </c>
      <c r="P7101" s="3" t="s">
        <v>75</v>
      </c>
      <c r="Q7101">
        <v>2016</v>
      </c>
      <c r="R7101" s="2">
        <v>42415</v>
      </c>
      <c r="S7101" s="2">
        <v>42422</v>
      </c>
      <c r="T7101" s="2">
        <v>42417</v>
      </c>
      <c r="U7101" s="2">
        <v>42477</v>
      </c>
      <c r="V7101" t="s">
        <v>71</v>
      </c>
      <c r="W7101" t="str">
        <f>"            25297160"</f>
        <v xml:space="preserve">            25297160</v>
      </c>
      <c r="X7101" s="1">
        <v>6807.6</v>
      </c>
      <c r="Y7101">
        <v>0</v>
      </c>
      <c r="Z7101" s="5">
        <v>5580</v>
      </c>
      <c r="AA7101">
        <v>246</v>
      </c>
      <c r="AB7101" s="5">
        <v>1372680</v>
      </c>
      <c r="AC7101" s="1">
        <v>5580</v>
      </c>
      <c r="AD7101">
        <v>246</v>
      </c>
      <c r="AE7101" s="1">
        <v>1372680</v>
      </c>
      <c r="AF7101" s="1">
        <v>1227.5999999999999</v>
      </c>
      <c r="AJ7101">
        <v>0</v>
      </c>
      <c r="AK7101">
        <v>0</v>
      </c>
      <c r="AL7101">
        <v>0</v>
      </c>
      <c r="AM7101" s="1">
        <v>6807.6</v>
      </c>
      <c r="AN7101" s="1">
        <v>6807.6</v>
      </c>
      <c r="AO7101" s="1">
        <v>6807.6</v>
      </c>
      <c r="AP7101" s="2">
        <v>42746</v>
      </c>
      <c r="AQ7101" t="s">
        <v>72</v>
      </c>
      <c r="AR7101" t="s">
        <v>72</v>
      </c>
      <c r="AS7101">
        <v>3589</v>
      </c>
      <c r="AT7101" s="4">
        <v>42723</v>
      </c>
      <c r="AU7101" t="s">
        <v>73</v>
      </c>
      <c r="AV7101">
        <v>3589</v>
      </c>
      <c r="AW7101" s="4">
        <v>42723</v>
      </c>
      <c r="BD7101" s="1">
        <v>1227.5999999999999</v>
      </c>
      <c r="BN7101" t="s">
        <v>74</v>
      </c>
    </row>
    <row r="7102" spans="1:66">
      <c r="A7102">
        <v>104093</v>
      </c>
      <c r="B7102" s="3" t="s">
        <v>609</v>
      </c>
      <c r="C7102" s="1">
        <v>43300101</v>
      </c>
      <c r="D7102" t="s">
        <v>67</v>
      </c>
      <c r="H7102" t="str">
        <f t="shared" si="693"/>
        <v>12572900152</v>
      </c>
      <c r="I7102" t="str">
        <f t="shared" si="694"/>
        <v>06032681006</v>
      </c>
      <c r="K7102" t="str">
        <f>""</f>
        <v/>
      </c>
      <c r="M7102" t="s">
        <v>68</v>
      </c>
      <c r="N7102" t="str">
        <f t="shared" si="692"/>
        <v>FOR</v>
      </c>
      <c r="O7102" t="s">
        <v>69</v>
      </c>
      <c r="P7102" s="3" t="s">
        <v>75</v>
      </c>
      <c r="Q7102">
        <v>2016</v>
      </c>
      <c r="R7102" s="2">
        <v>42419</v>
      </c>
      <c r="S7102" s="2">
        <v>42425</v>
      </c>
      <c r="T7102" s="2">
        <v>42422</v>
      </c>
      <c r="U7102" s="2">
        <v>42482</v>
      </c>
      <c r="V7102" t="s">
        <v>71</v>
      </c>
      <c r="W7102" t="str">
        <f>"            25298143"</f>
        <v xml:space="preserve">            25298143</v>
      </c>
      <c r="X7102" s="1">
        <v>3676.4</v>
      </c>
      <c r="Y7102">
        <v>0</v>
      </c>
      <c r="Z7102" s="5">
        <v>3535</v>
      </c>
      <c r="AA7102">
        <v>241</v>
      </c>
      <c r="AB7102" s="5">
        <v>851935</v>
      </c>
      <c r="AC7102" s="1">
        <v>3535</v>
      </c>
      <c r="AD7102">
        <v>241</v>
      </c>
      <c r="AE7102" s="1">
        <v>851935</v>
      </c>
      <c r="AF7102">
        <v>141.4</v>
      </c>
      <c r="AJ7102">
        <v>0</v>
      </c>
      <c r="AK7102">
        <v>0</v>
      </c>
      <c r="AL7102">
        <v>0</v>
      </c>
      <c r="AM7102" s="1">
        <v>3676.4</v>
      </c>
      <c r="AN7102" s="1">
        <v>3676.4</v>
      </c>
      <c r="AO7102" s="1">
        <v>3676.4</v>
      </c>
      <c r="AP7102" s="2">
        <v>42746</v>
      </c>
      <c r="AQ7102" t="s">
        <v>72</v>
      </c>
      <c r="AR7102" t="s">
        <v>72</v>
      </c>
      <c r="AS7102">
        <v>3589</v>
      </c>
      <c r="AT7102" s="4">
        <v>42723</v>
      </c>
      <c r="AU7102" t="s">
        <v>73</v>
      </c>
      <c r="AV7102">
        <v>3589</v>
      </c>
      <c r="AW7102" s="4">
        <v>42723</v>
      </c>
      <c r="BD7102">
        <v>141.4</v>
      </c>
      <c r="BN7102" t="s">
        <v>74</v>
      </c>
    </row>
    <row r="7103" spans="1:66">
      <c r="A7103">
        <v>104093</v>
      </c>
      <c r="B7103" s="3" t="s">
        <v>609</v>
      </c>
      <c r="C7103" s="1">
        <v>43300101</v>
      </c>
      <c r="D7103" t="s">
        <v>67</v>
      </c>
      <c r="H7103" t="str">
        <f t="shared" si="693"/>
        <v>12572900152</v>
      </c>
      <c r="I7103" t="str">
        <f t="shared" si="694"/>
        <v>06032681006</v>
      </c>
      <c r="K7103" t="str">
        <f>""</f>
        <v/>
      </c>
      <c r="M7103" t="s">
        <v>68</v>
      </c>
      <c r="N7103" t="str">
        <f t="shared" si="692"/>
        <v>FOR</v>
      </c>
      <c r="O7103" t="s">
        <v>69</v>
      </c>
      <c r="P7103" s="3" t="s">
        <v>75</v>
      </c>
      <c r="Q7103">
        <v>2016</v>
      </c>
      <c r="R7103" s="2">
        <v>42419</v>
      </c>
      <c r="S7103" s="2">
        <v>42425</v>
      </c>
      <c r="T7103" s="2">
        <v>42422</v>
      </c>
      <c r="U7103" s="2">
        <v>42482</v>
      </c>
      <c r="V7103" t="s">
        <v>71</v>
      </c>
      <c r="W7103" t="str">
        <f>"            25298150"</f>
        <v xml:space="preserve">            25298150</v>
      </c>
      <c r="X7103" s="1">
        <v>3733.2</v>
      </c>
      <c r="Y7103">
        <v>0</v>
      </c>
      <c r="Z7103" s="5">
        <v>3060</v>
      </c>
      <c r="AA7103">
        <v>241</v>
      </c>
      <c r="AB7103" s="5">
        <v>737460</v>
      </c>
      <c r="AC7103" s="1">
        <v>3060</v>
      </c>
      <c r="AD7103">
        <v>241</v>
      </c>
      <c r="AE7103" s="1">
        <v>737460</v>
      </c>
      <c r="AF7103">
        <v>673.2</v>
      </c>
      <c r="AJ7103">
        <v>0</v>
      </c>
      <c r="AK7103">
        <v>0</v>
      </c>
      <c r="AL7103">
        <v>0</v>
      </c>
      <c r="AM7103" s="1">
        <v>3733.2</v>
      </c>
      <c r="AN7103" s="1">
        <v>3733.2</v>
      </c>
      <c r="AO7103" s="1">
        <v>3733.2</v>
      </c>
      <c r="AP7103" s="2">
        <v>42746</v>
      </c>
      <c r="AQ7103" t="s">
        <v>72</v>
      </c>
      <c r="AR7103" t="s">
        <v>72</v>
      </c>
      <c r="AS7103">
        <v>3589</v>
      </c>
      <c r="AT7103" s="4">
        <v>42723</v>
      </c>
      <c r="AU7103" t="s">
        <v>73</v>
      </c>
      <c r="AV7103">
        <v>3589</v>
      </c>
      <c r="AW7103" s="4">
        <v>42723</v>
      </c>
      <c r="BD7103">
        <v>673.2</v>
      </c>
      <c r="BN7103" t="s">
        <v>74</v>
      </c>
    </row>
    <row r="7104" spans="1:66">
      <c r="A7104">
        <v>104093</v>
      </c>
      <c r="B7104" s="3" t="s">
        <v>609</v>
      </c>
      <c r="C7104" s="1">
        <v>43300101</v>
      </c>
      <c r="D7104" t="s">
        <v>67</v>
      </c>
      <c r="H7104" t="str">
        <f t="shared" si="693"/>
        <v>12572900152</v>
      </c>
      <c r="I7104" t="str">
        <f t="shared" si="694"/>
        <v>06032681006</v>
      </c>
      <c r="K7104" t="str">
        <f>""</f>
        <v/>
      </c>
      <c r="M7104" t="s">
        <v>68</v>
      </c>
      <c r="N7104" t="str">
        <f t="shared" ref="N7104:N7167" si="695">"FOR"</f>
        <v>FOR</v>
      </c>
      <c r="O7104" t="s">
        <v>69</v>
      </c>
      <c r="P7104" s="3" t="s">
        <v>75</v>
      </c>
      <c r="Q7104">
        <v>2016</v>
      </c>
      <c r="R7104" s="2">
        <v>42422</v>
      </c>
      <c r="S7104" s="2">
        <v>42425</v>
      </c>
      <c r="T7104" s="2">
        <v>42424</v>
      </c>
      <c r="U7104" s="2">
        <v>42484</v>
      </c>
      <c r="V7104" t="s">
        <v>71</v>
      </c>
      <c r="W7104" t="str">
        <f>"            25298292"</f>
        <v xml:space="preserve">            25298292</v>
      </c>
      <c r="X7104">
        <v>707.62</v>
      </c>
      <c r="Y7104">
        <v>0</v>
      </c>
      <c r="Z7104" s="3">
        <v>680.4</v>
      </c>
      <c r="AA7104">
        <v>239</v>
      </c>
      <c r="AB7104" s="5">
        <v>162615.6</v>
      </c>
      <c r="AC7104">
        <v>680.4</v>
      </c>
      <c r="AD7104">
        <v>239</v>
      </c>
      <c r="AE7104" s="1">
        <v>162615.6</v>
      </c>
      <c r="AF7104">
        <v>27.22</v>
      </c>
      <c r="AJ7104">
        <v>0</v>
      </c>
      <c r="AK7104">
        <v>0</v>
      </c>
      <c r="AL7104">
        <v>0</v>
      </c>
      <c r="AM7104">
        <v>707.62</v>
      </c>
      <c r="AN7104">
        <v>707.62</v>
      </c>
      <c r="AO7104">
        <v>707.62</v>
      </c>
      <c r="AP7104" s="2">
        <v>42746</v>
      </c>
      <c r="AQ7104" t="s">
        <v>72</v>
      </c>
      <c r="AR7104" t="s">
        <v>72</v>
      </c>
      <c r="AS7104">
        <v>3589</v>
      </c>
      <c r="AT7104" s="4">
        <v>42723</v>
      </c>
      <c r="AU7104" t="s">
        <v>73</v>
      </c>
      <c r="AV7104">
        <v>3589</v>
      </c>
      <c r="AW7104" s="4">
        <v>42723</v>
      </c>
      <c r="BD7104">
        <v>27.22</v>
      </c>
      <c r="BN7104" t="s">
        <v>74</v>
      </c>
    </row>
    <row r="7105" spans="1:66">
      <c r="A7105">
        <v>104093</v>
      </c>
      <c r="B7105" s="3" t="s">
        <v>609</v>
      </c>
      <c r="C7105" s="1">
        <v>43300101</v>
      </c>
      <c r="D7105" t="s">
        <v>67</v>
      </c>
      <c r="H7105" t="str">
        <f t="shared" si="693"/>
        <v>12572900152</v>
      </c>
      <c r="I7105" t="str">
        <f t="shared" si="694"/>
        <v>06032681006</v>
      </c>
      <c r="K7105" t="str">
        <f>""</f>
        <v/>
      </c>
      <c r="M7105" t="s">
        <v>68</v>
      </c>
      <c r="N7105" t="str">
        <f t="shared" si="695"/>
        <v>FOR</v>
      </c>
      <c r="O7105" t="s">
        <v>69</v>
      </c>
      <c r="P7105" s="3" t="s">
        <v>75</v>
      </c>
      <c r="Q7105">
        <v>2016</v>
      </c>
      <c r="R7105" s="2">
        <v>42422</v>
      </c>
      <c r="S7105" s="2">
        <v>42425</v>
      </c>
      <c r="T7105" s="2">
        <v>42424</v>
      </c>
      <c r="U7105" s="2">
        <v>42484</v>
      </c>
      <c r="V7105" t="s">
        <v>71</v>
      </c>
      <c r="W7105" t="str">
        <f>"            25298296"</f>
        <v xml:space="preserve">            25298296</v>
      </c>
      <c r="X7105">
        <v>252.72</v>
      </c>
      <c r="Y7105">
        <v>0</v>
      </c>
      <c r="Z7105" s="3">
        <v>243</v>
      </c>
      <c r="AA7105">
        <v>239</v>
      </c>
      <c r="AB7105" s="5">
        <v>58077</v>
      </c>
      <c r="AC7105">
        <v>243</v>
      </c>
      <c r="AD7105">
        <v>239</v>
      </c>
      <c r="AE7105" s="1">
        <v>58077</v>
      </c>
      <c r="AF7105">
        <v>9.7200000000000006</v>
      </c>
      <c r="AJ7105">
        <v>0</v>
      </c>
      <c r="AK7105">
        <v>0</v>
      </c>
      <c r="AL7105">
        <v>0</v>
      </c>
      <c r="AM7105">
        <v>252.72</v>
      </c>
      <c r="AN7105">
        <v>252.72</v>
      </c>
      <c r="AO7105">
        <v>252.72</v>
      </c>
      <c r="AP7105" s="2">
        <v>42746</v>
      </c>
      <c r="AQ7105" t="s">
        <v>72</v>
      </c>
      <c r="AR7105" t="s">
        <v>72</v>
      </c>
      <c r="AS7105">
        <v>3589</v>
      </c>
      <c r="AT7105" s="4">
        <v>42723</v>
      </c>
      <c r="AU7105" t="s">
        <v>73</v>
      </c>
      <c r="AV7105">
        <v>3589</v>
      </c>
      <c r="AW7105" s="4">
        <v>42723</v>
      </c>
      <c r="BD7105">
        <v>9.7200000000000006</v>
      </c>
      <c r="BN7105" t="s">
        <v>74</v>
      </c>
    </row>
    <row r="7106" spans="1:66">
      <c r="A7106">
        <v>104093</v>
      </c>
      <c r="B7106" s="3" t="s">
        <v>609</v>
      </c>
      <c r="C7106" s="1">
        <v>43300101</v>
      </c>
      <c r="D7106" t="s">
        <v>67</v>
      </c>
      <c r="H7106" t="str">
        <f t="shared" si="693"/>
        <v>12572900152</v>
      </c>
      <c r="I7106" t="str">
        <f t="shared" si="694"/>
        <v>06032681006</v>
      </c>
      <c r="K7106" t="str">
        <f>""</f>
        <v/>
      </c>
      <c r="M7106" t="s">
        <v>68</v>
      </c>
      <c r="N7106" t="str">
        <f t="shared" si="695"/>
        <v>FOR</v>
      </c>
      <c r="O7106" t="s">
        <v>69</v>
      </c>
      <c r="P7106" s="3" t="s">
        <v>75</v>
      </c>
      <c r="Q7106">
        <v>2016</v>
      </c>
      <c r="R7106" s="2">
        <v>42422</v>
      </c>
      <c r="S7106" s="2">
        <v>42530</v>
      </c>
      <c r="T7106" s="2">
        <v>42529</v>
      </c>
      <c r="U7106" s="2">
        <v>42589</v>
      </c>
      <c r="V7106" t="s">
        <v>71</v>
      </c>
      <c r="W7106" t="str">
        <f>"            25298303"</f>
        <v xml:space="preserve">            25298303</v>
      </c>
      <c r="X7106">
        <v>74.88</v>
      </c>
      <c r="Y7106">
        <v>0</v>
      </c>
      <c r="Z7106" s="3">
        <v>72</v>
      </c>
      <c r="AA7106">
        <v>134</v>
      </c>
      <c r="AB7106" s="5">
        <v>9648</v>
      </c>
      <c r="AC7106">
        <v>72</v>
      </c>
      <c r="AD7106">
        <v>134</v>
      </c>
      <c r="AE7106" s="1">
        <v>9648</v>
      </c>
      <c r="AF7106">
        <v>2.88</v>
      </c>
      <c r="AJ7106">
        <v>0</v>
      </c>
      <c r="AK7106">
        <v>0</v>
      </c>
      <c r="AL7106">
        <v>0</v>
      </c>
      <c r="AM7106">
        <v>74.88</v>
      </c>
      <c r="AN7106">
        <v>74.88</v>
      </c>
      <c r="AO7106">
        <v>74.88</v>
      </c>
      <c r="AP7106" s="2">
        <v>42746</v>
      </c>
      <c r="AQ7106" t="s">
        <v>72</v>
      </c>
      <c r="AR7106" t="s">
        <v>72</v>
      </c>
      <c r="AS7106">
        <v>3589</v>
      </c>
      <c r="AT7106" s="4">
        <v>42723</v>
      </c>
      <c r="AU7106" t="s">
        <v>73</v>
      </c>
      <c r="AV7106">
        <v>3589</v>
      </c>
      <c r="AW7106" s="4">
        <v>42723</v>
      </c>
      <c r="BB7106">
        <v>2.88</v>
      </c>
      <c r="BD7106">
        <v>0</v>
      </c>
      <c r="BN7106" t="s">
        <v>74</v>
      </c>
    </row>
    <row r="7107" spans="1:66">
      <c r="A7107">
        <v>104093</v>
      </c>
      <c r="B7107" s="3" t="s">
        <v>609</v>
      </c>
      <c r="C7107" s="1">
        <v>43300101</v>
      </c>
      <c r="D7107" t="s">
        <v>67</v>
      </c>
      <c r="H7107" t="str">
        <f t="shared" ref="H7107:H7116" si="696">"12572900152"</f>
        <v>12572900152</v>
      </c>
      <c r="I7107" t="str">
        <f t="shared" ref="I7107:I7116" si="697">"06032681006"</f>
        <v>06032681006</v>
      </c>
      <c r="K7107" t="str">
        <f>""</f>
        <v/>
      </c>
      <c r="M7107" t="s">
        <v>68</v>
      </c>
      <c r="N7107" t="str">
        <f t="shared" si="695"/>
        <v>FOR</v>
      </c>
      <c r="O7107" t="s">
        <v>69</v>
      </c>
      <c r="P7107" s="3" t="s">
        <v>75</v>
      </c>
      <c r="Q7107">
        <v>2016</v>
      </c>
      <c r="R7107" s="2">
        <v>42426</v>
      </c>
      <c r="S7107" s="2">
        <v>42436</v>
      </c>
      <c r="T7107" s="2">
        <v>42430</v>
      </c>
      <c r="U7107" s="2">
        <v>42490</v>
      </c>
      <c r="V7107" t="s">
        <v>71</v>
      </c>
      <c r="W7107" t="str">
        <f>"            25300011"</f>
        <v xml:space="preserve">            25300011</v>
      </c>
      <c r="X7107" s="1">
        <v>1291.68</v>
      </c>
      <c r="Y7107">
        <v>0</v>
      </c>
      <c r="Z7107" s="5">
        <v>1242</v>
      </c>
      <c r="AA7107">
        <v>233</v>
      </c>
      <c r="AB7107" s="5">
        <v>289386</v>
      </c>
      <c r="AC7107" s="1">
        <v>1242</v>
      </c>
      <c r="AD7107">
        <v>233</v>
      </c>
      <c r="AE7107" s="1">
        <v>289386</v>
      </c>
      <c r="AF7107">
        <v>49.68</v>
      </c>
      <c r="AJ7107">
        <v>0</v>
      </c>
      <c r="AK7107">
        <v>0</v>
      </c>
      <c r="AL7107">
        <v>0</v>
      </c>
      <c r="AM7107" s="1">
        <v>1291.68</v>
      </c>
      <c r="AN7107" s="1">
        <v>1291.68</v>
      </c>
      <c r="AO7107" s="1">
        <v>1291.68</v>
      </c>
      <c r="AP7107" s="2">
        <v>42746</v>
      </c>
      <c r="AQ7107" t="s">
        <v>72</v>
      </c>
      <c r="AR7107" t="s">
        <v>72</v>
      </c>
      <c r="AS7107">
        <v>3589</v>
      </c>
      <c r="AT7107" s="4">
        <v>42723</v>
      </c>
      <c r="AU7107" t="s">
        <v>73</v>
      </c>
      <c r="AV7107">
        <v>3589</v>
      </c>
      <c r="AW7107" s="4">
        <v>42723</v>
      </c>
      <c r="BD7107">
        <v>49.68</v>
      </c>
      <c r="BN7107" t="s">
        <v>74</v>
      </c>
    </row>
    <row r="7108" spans="1:66">
      <c r="A7108">
        <v>104093</v>
      </c>
      <c r="B7108" s="3" t="s">
        <v>609</v>
      </c>
      <c r="C7108" s="1">
        <v>43300101</v>
      </c>
      <c r="D7108" t="s">
        <v>67</v>
      </c>
      <c r="H7108" t="str">
        <f t="shared" si="696"/>
        <v>12572900152</v>
      </c>
      <c r="I7108" t="str">
        <f t="shared" si="697"/>
        <v>06032681006</v>
      </c>
      <c r="K7108" t="str">
        <f>""</f>
        <v/>
      </c>
      <c r="M7108" t="s">
        <v>68</v>
      </c>
      <c r="N7108" t="str">
        <f t="shared" si="695"/>
        <v>FOR</v>
      </c>
      <c r="O7108" t="s">
        <v>69</v>
      </c>
      <c r="P7108" s="3" t="s">
        <v>75</v>
      </c>
      <c r="Q7108">
        <v>2016</v>
      </c>
      <c r="R7108" s="2">
        <v>42429</v>
      </c>
      <c r="S7108" s="2">
        <v>42436</v>
      </c>
      <c r="T7108" s="2">
        <v>42435</v>
      </c>
      <c r="U7108" s="2">
        <v>42495</v>
      </c>
      <c r="V7108" t="s">
        <v>71</v>
      </c>
      <c r="W7108" t="str">
        <f>"            25300220"</f>
        <v xml:space="preserve">            25300220</v>
      </c>
      <c r="X7108">
        <v>403.42</v>
      </c>
      <c r="Y7108">
        <v>0</v>
      </c>
      <c r="Z7108" s="3">
        <v>387.9</v>
      </c>
      <c r="AA7108">
        <v>228</v>
      </c>
      <c r="AB7108" s="5">
        <v>88441.2</v>
      </c>
      <c r="AC7108">
        <v>387.9</v>
      </c>
      <c r="AD7108">
        <v>228</v>
      </c>
      <c r="AE7108" s="1">
        <v>88441.2</v>
      </c>
      <c r="AF7108">
        <v>15.52</v>
      </c>
      <c r="AJ7108">
        <v>0</v>
      </c>
      <c r="AK7108">
        <v>0</v>
      </c>
      <c r="AL7108">
        <v>0</v>
      </c>
      <c r="AM7108">
        <v>403.42</v>
      </c>
      <c r="AN7108">
        <v>403.42</v>
      </c>
      <c r="AO7108">
        <v>403.42</v>
      </c>
      <c r="AP7108" s="2">
        <v>42746</v>
      </c>
      <c r="AQ7108" t="s">
        <v>72</v>
      </c>
      <c r="AR7108" t="s">
        <v>72</v>
      </c>
      <c r="AS7108">
        <v>3589</v>
      </c>
      <c r="AT7108" s="4">
        <v>42723</v>
      </c>
      <c r="AU7108" t="s">
        <v>73</v>
      </c>
      <c r="AV7108">
        <v>3589</v>
      </c>
      <c r="AW7108" s="4">
        <v>42723</v>
      </c>
      <c r="BD7108">
        <v>15.52</v>
      </c>
      <c r="BN7108" t="s">
        <v>74</v>
      </c>
    </row>
    <row r="7109" spans="1:66">
      <c r="A7109">
        <v>104093</v>
      </c>
      <c r="B7109" s="3" t="s">
        <v>609</v>
      </c>
      <c r="C7109" s="1">
        <v>43300101</v>
      </c>
      <c r="D7109" t="s">
        <v>67</v>
      </c>
      <c r="H7109" t="str">
        <f t="shared" si="696"/>
        <v>12572900152</v>
      </c>
      <c r="I7109" t="str">
        <f t="shared" si="697"/>
        <v>06032681006</v>
      </c>
      <c r="K7109" t="str">
        <f>""</f>
        <v/>
      </c>
      <c r="M7109" t="s">
        <v>68</v>
      </c>
      <c r="N7109" t="str">
        <f t="shared" si="695"/>
        <v>FOR</v>
      </c>
      <c r="O7109" t="s">
        <v>69</v>
      </c>
      <c r="P7109" s="3" t="s">
        <v>75</v>
      </c>
      <c r="Q7109">
        <v>2016</v>
      </c>
      <c r="R7109" s="2">
        <v>42429</v>
      </c>
      <c r="S7109" s="2">
        <v>42436</v>
      </c>
      <c r="T7109" s="2">
        <v>42435</v>
      </c>
      <c r="U7109" s="2">
        <v>42495</v>
      </c>
      <c r="V7109" t="s">
        <v>71</v>
      </c>
      <c r="W7109" t="str">
        <f>"            25300221"</f>
        <v xml:space="preserve">            25300221</v>
      </c>
      <c r="X7109">
        <v>74.88</v>
      </c>
      <c r="Y7109">
        <v>0</v>
      </c>
      <c r="Z7109" s="3">
        <v>72</v>
      </c>
      <c r="AA7109">
        <v>228</v>
      </c>
      <c r="AB7109" s="5">
        <v>16416</v>
      </c>
      <c r="AC7109">
        <v>72</v>
      </c>
      <c r="AD7109">
        <v>228</v>
      </c>
      <c r="AE7109" s="1">
        <v>16416</v>
      </c>
      <c r="AF7109">
        <v>2.88</v>
      </c>
      <c r="AJ7109">
        <v>0</v>
      </c>
      <c r="AK7109">
        <v>0</v>
      </c>
      <c r="AL7109">
        <v>0</v>
      </c>
      <c r="AM7109">
        <v>74.88</v>
      </c>
      <c r="AN7109">
        <v>74.88</v>
      </c>
      <c r="AO7109">
        <v>74.88</v>
      </c>
      <c r="AP7109" s="2">
        <v>42746</v>
      </c>
      <c r="AQ7109" t="s">
        <v>72</v>
      </c>
      <c r="AR7109" t="s">
        <v>72</v>
      </c>
      <c r="AS7109">
        <v>3589</v>
      </c>
      <c r="AT7109" s="4">
        <v>42723</v>
      </c>
      <c r="AU7109" t="s">
        <v>73</v>
      </c>
      <c r="AV7109">
        <v>3589</v>
      </c>
      <c r="AW7109" s="4">
        <v>42723</v>
      </c>
      <c r="BD7109">
        <v>2.88</v>
      </c>
      <c r="BN7109" t="s">
        <v>74</v>
      </c>
    </row>
    <row r="7110" spans="1:66">
      <c r="A7110">
        <v>104093</v>
      </c>
      <c r="B7110" s="3" t="s">
        <v>609</v>
      </c>
      <c r="C7110" s="1">
        <v>43300101</v>
      </c>
      <c r="D7110" t="s">
        <v>67</v>
      </c>
      <c r="H7110" t="str">
        <f t="shared" si="696"/>
        <v>12572900152</v>
      </c>
      <c r="I7110" t="str">
        <f t="shared" si="697"/>
        <v>06032681006</v>
      </c>
      <c r="K7110" t="str">
        <f>""</f>
        <v/>
      </c>
      <c r="M7110" t="s">
        <v>68</v>
      </c>
      <c r="N7110" t="str">
        <f t="shared" si="695"/>
        <v>FOR</v>
      </c>
      <c r="O7110" t="s">
        <v>69</v>
      </c>
      <c r="P7110" s="3" t="s">
        <v>75</v>
      </c>
      <c r="Q7110">
        <v>2016</v>
      </c>
      <c r="R7110" s="2">
        <v>42429</v>
      </c>
      <c r="S7110" s="2">
        <v>42436</v>
      </c>
      <c r="T7110" s="2">
        <v>42435</v>
      </c>
      <c r="U7110" s="2">
        <v>42495</v>
      </c>
      <c r="V7110" t="s">
        <v>71</v>
      </c>
      <c r="W7110" t="str">
        <f>"            25300223"</f>
        <v xml:space="preserve">            25300223</v>
      </c>
      <c r="X7110">
        <v>74.88</v>
      </c>
      <c r="Y7110">
        <v>0</v>
      </c>
      <c r="Z7110" s="3">
        <v>72</v>
      </c>
      <c r="AA7110">
        <v>228</v>
      </c>
      <c r="AB7110" s="5">
        <v>16416</v>
      </c>
      <c r="AC7110">
        <v>72</v>
      </c>
      <c r="AD7110">
        <v>228</v>
      </c>
      <c r="AE7110" s="1">
        <v>16416</v>
      </c>
      <c r="AF7110">
        <v>2.88</v>
      </c>
      <c r="AJ7110">
        <v>0</v>
      </c>
      <c r="AK7110">
        <v>0</v>
      </c>
      <c r="AL7110">
        <v>0</v>
      </c>
      <c r="AM7110">
        <v>74.88</v>
      </c>
      <c r="AN7110">
        <v>74.88</v>
      </c>
      <c r="AO7110">
        <v>74.88</v>
      </c>
      <c r="AP7110" s="2">
        <v>42746</v>
      </c>
      <c r="AQ7110" t="s">
        <v>72</v>
      </c>
      <c r="AR7110" t="s">
        <v>72</v>
      </c>
      <c r="AS7110">
        <v>3589</v>
      </c>
      <c r="AT7110" s="4">
        <v>42723</v>
      </c>
      <c r="AU7110" t="s">
        <v>73</v>
      </c>
      <c r="AV7110">
        <v>3589</v>
      </c>
      <c r="AW7110" s="4">
        <v>42723</v>
      </c>
      <c r="BD7110">
        <v>2.88</v>
      </c>
      <c r="BN7110" t="s">
        <v>74</v>
      </c>
    </row>
    <row r="7111" spans="1:66">
      <c r="A7111">
        <v>104093</v>
      </c>
      <c r="B7111" s="3" t="s">
        <v>609</v>
      </c>
      <c r="C7111" s="1">
        <v>43300101</v>
      </c>
      <c r="D7111" t="s">
        <v>67</v>
      </c>
      <c r="H7111" t="str">
        <f t="shared" si="696"/>
        <v>12572900152</v>
      </c>
      <c r="I7111" t="str">
        <f t="shared" si="697"/>
        <v>06032681006</v>
      </c>
      <c r="K7111" t="str">
        <f>""</f>
        <v/>
      </c>
      <c r="M7111" t="s">
        <v>68</v>
      </c>
      <c r="N7111" t="str">
        <f t="shared" si="695"/>
        <v>FOR</v>
      </c>
      <c r="O7111" t="s">
        <v>69</v>
      </c>
      <c r="P7111" s="3" t="s">
        <v>75</v>
      </c>
      <c r="Q7111">
        <v>2016</v>
      </c>
      <c r="R7111" s="2">
        <v>42429</v>
      </c>
      <c r="S7111" s="2">
        <v>42436</v>
      </c>
      <c r="T7111" s="2">
        <v>42435</v>
      </c>
      <c r="U7111" s="2">
        <v>42495</v>
      </c>
      <c r="V7111" t="s">
        <v>71</v>
      </c>
      <c r="W7111" t="str">
        <f>"            25300231"</f>
        <v xml:space="preserve">            25300231</v>
      </c>
      <c r="X7111">
        <v>74.88</v>
      </c>
      <c r="Y7111">
        <v>0</v>
      </c>
      <c r="Z7111" s="3">
        <v>72</v>
      </c>
      <c r="AA7111">
        <v>228</v>
      </c>
      <c r="AB7111" s="5">
        <v>16416</v>
      </c>
      <c r="AC7111">
        <v>72</v>
      </c>
      <c r="AD7111">
        <v>228</v>
      </c>
      <c r="AE7111" s="1">
        <v>16416</v>
      </c>
      <c r="AF7111">
        <v>2.88</v>
      </c>
      <c r="AJ7111">
        <v>0</v>
      </c>
      <c r="AK7111">
        <v>0</v>
      </c>
      <c r="AL7111">
        <v>0</v>
      </c>
      <c r="AM7111">
        <v>74.88</v>
      </c>
      <c r="AN7111">
        <v>74.88</v>
      </c>
      <c r="AO7111">
        <v>74.88</v>
      </c>
      <c r="AP7111" s="2">
        <v>42746</v>
      </c>
      <c r="AQ7111" t="s">
        <v>72</v>
      </c>
      <c r="AR7111" t="s">
        <v>72</v>
      </c>
      <c r="AS7111">
        <v>3589</v>
      </c>
      <c r="AT7111" s="4">
        <v>42723</v>
      </c>
      <c r="AU7111" t="s">
        <v>73</v>
      </c>
      <c r="AV7111">
        <v>3589</v>
      </c>
      <c r="AW7111" s="4">
        <v>42723</v>
      </c>
      <c r="BD7111">
        <v>2.88</v>
      </c>
      <c r="BN7111" t="s">
        <v>74</v>
      </c>
    </row>
    <row r="7112" spans="1:66">
      <c r="A7112">
        <v>104093</v>
      </c>
      <c r="B7112" s="3" t="s">
        <v>609</v>
      </c>
      <c r="C7112" s="1">
        <v>43300101</v>
      </c>
      <c r="D7112" t="s">
        <v>67</v>
      </c>
      <c r="H7112" t="str">
        <f t="shared" si="696"/>
        <v>12572900152</v>
      </c>
      <c r="I7112" t="str">
        <f t="shared" si="697"/>
        <v>06032681006</v>
      </c>
      <c r="K7112" t="str">
        <f>""</f>
        <v/>
      </c>
      <c r="M7112" t="s">
        <v>68</v>
      </c>
      <c r="N7112" t="str">
        <f t="shared" si="695"/>
        <v>FOR</v>
      </c>
      <c r="O7112" t="s">
        <v>69</v>
      </c>
      <c r="P7112" s="3" t="s">
        <v>75</v>
      </c>
      <c r="Q7112">
        <v>2016</v>
      </c>
      <c r="R7112" s="2">
        <v>42429</v>
      </c>
      <c r="S7112" s="2">
        <v>42436</v>
      </c>
      <c r="T7112" s="2">
        <v>42435</v>
      </c>
      <c r="U7112" s="2">
        <v>42495</v>
      </c>
      <c r="V7112" t="s">
        <v>71</v>
      </c>
      <c r="W7112" t="str">
        <f>"            25300232"</f>
        <v xml:space="preserve">            25300232</v>
      </c>
      <c r="X7112">
        <v>74.88</v>
      </c>
      <c r="Y7112">
        <v>0</v>
      </c>
      <c r="Z7112" s="3">
        <v>72</v>
      </c>
      <c r="AA7112">
        <v>228</v>
      </c>
      <c r="AB7112" s="5">
        <v>16416</v>
      </c>
      <c r="AC7112">
        <v>72</v>
      </c>
      <c r="AD7112">
        <v>228</v>
      </c>
      <c r="AE7112" s="1">
        <v>16416</v>
      </c>
      <c r="AF7112">
        <v>2.88</v>
      </c>
      <c r="AJ7112">
        <v>0</v>
      </c>
      <c r="AK7112">
        <v>0</v>
      </c>
      <c r="AL7112">
        <v>0</v>
      </c>
      <c r="AM7112">
        <v>74.88</v>
      </c>
      <c r="AN7112">
        <v>74.88</v>
      </c>
      <c r="AO7112">
        <v>74.88</v>
      </c>
      <c r="AP7112" s="2">
        <v>42746</v>
      </c>
      <c r="AQ7112" t="s">
        <v>72</v>
      </c>
      <c r="AR7112" t="s">
        <v>72</v>
      </c>
      <c r="AS7112">
        <v>3589</v>
      </c>
      <c r="AT7112" s="4">
        <v>42723</v>
      </c>
      <c r="AU7112" t="s">
        <v>73</v>
      </c>
      <c r="AV7112">
        <v>3589</v>
      </c>
      <c r="AW7112" s="4">
        <v>42723</v>
      </c>
      <c r="BD7112">
        <v>2.88</v>
      </c>
      <c r="BN7112" t="s">
        <v>74</v>
      </c>
    </row>
    <row r="7113" spans="1:66">
      <c r="A7113">
        <v>104093</v>
      </c>
      <c r="B7113" s="3" t="s">
        <v>609</v>
      </c>
      <c r="C7113" s="1">
        <v>43300101</v>
      </c>
      <c r="D7113" t="s">
        <v>67</v>
      </c>
      <c r="H7113" t="str">
        <f t="shared" si="696"/>
        <v>12572900152</v>
      </c>
      <c r="I7113" t="str">
        <f t="shared" si="697"/>
        <v>06032681006</v>
      </c>
      <c r="K7113" t="str">
        <f>""</f>
        <v/>
      </c>
      <c r="M7113" t="s">
        <v>68</v>
      </c>
      <c r="N7113" t="str">
        <f t="shared" si="695"/>
        <v>FOR</v>
      </c>
      <c r="O7113" t="s">
        <v>69</v>
      </c>
      <c r="P7113" s="3" t="s">
        <v>75</v>
      </c>
      <c r="Q7113">
        <v>2016</v>
      </c>
      <c r="R7113" s="2">
        <v>42429</v>
      </c>
      <c r="S7113" s="2">
        <v>42436</v>
      </c>
      <c r="T7113" s="2">
        <v>42435</v>
      </c>
      <c r="U7113" s="2">
        <v>42495</v>
      </c>
      <c r="V7113" t="s">
        <v>71</v>
      </c>
      <c r="W7113" t="str">
        <f>"            25300239"</f>
        <v xml:space="preserve">            25300239</v>
      </c>
      <c r="X7113">
        <v>74.88</v>
      </c>
      <c r="Y7113">
        <v>0</v>
      </c>
      <c r="Z7113" s="3">
        <v>72</v>
      </c>
      <c r="AA7113">
        <v>228</v>
      </c>
      <c r="AB7113" s="5">
        <v>16416</v>
      </c>
      <c r="AC7113">
        <v>72</v>
      </c>
      <c r="AD7113">
        <v>228</v>
      </c>
      <c r="AE7113" s="1">
        <v>16416</v>
      </c>
      <c r="AF7113">
        <v>2.88</v>
      </c>
      <c r="AJ7113">
        <v>0</v>
      </c>
      <c r="AK7113">
        <v>0</v>
      </c>
      <c r="AL7113">
        <v>0</v>
      </c>
      <c r="AM7113">
        <v>74.88</v>
      </c>
      <c r="AN7113">
        <v>74.88</v>
      </c>
      <c r="AO7113">
        <v>74.88</v>
      </c>
      <c r="AP7113" s="2">
        <v>42746</v>
      </c>
      <c r="AQ7113" t="s">
        <v>72</v>
      </c>
      <c r="AR7113" t="s">
        <v>72</v>
      </c>
      <c r="AS7113">
        <v>3589</v>
      </c>
      <c r="AT7113" s="4">
        <v>42723</v>
      </c>
      <c r="AU7113" t="s">
        <v>73</v>
      </c>
      <c r="AV7113">
        <v>3589</v>
      </c>
      <c r="AW7113" s="4">
        <v>42723</v>
      </c>
      <c r="BD7113">
        <v>2.88</v>
      </c>
      <c r="BN7113" t="s">
        <v>74</v>
      </c>
    </row>
    <row r="7114" spans="1:66">
      <c r="A7114">
        <v>104093</v>
      </c>
      <c r="B7114" s="3" t="s">
        <v>609</v>
      </c>
      <c r="C7114" s="1">
        <v>43300101</v>
      </c>
      <c r="D7114" t="s">
        <v>67</v>
      </c>
      <c r="H7114" t="str">
        <f t="shared" si="696"/>
        <v>12572900152</v>
      </c>
      <c r="I7114" t="str">
        <f t="shared" si="697"/>
        <v>06032681006</v>
      </c>
      <c r="K7114" t="str">
        <f>""</f>
        <v/>
      </c>
      <c r="M7114" t="s">
        <v>68</v>
      </c>
      <c r="N7114" t="str">
        <f t="shared" si="695"/>
        <v>FOR</v>
      </c>
      <c r="O7114" t="s">
        <v>69</v>
      </c>
      <c r="P7114" s="3" t="s">
        <v>75</v>
      </c>
      <c r="Q7114">
        <v>2016</v>
      </c>
      <c r="R7114" s="2">
        <v>42429</v>
      </c>
      <c r="S7114" s="2">
        <v>42436</v>
      </c>
      <c r="T7114" s="2">
        <v>42435</v>
      </c>
      <c r="U7114" s="2">
        <v>42495</v>
      </c>
      <c r="V7114" t="s">
        <v>71</v>
      </c>
      <c r="W7114" t="str">
        <f>"            25300240"</f>
        <v xml:space="preserve">            25300240</v>
      </c>
      <c r="X7114">
        <v>74.88</v>
      </c>
      <c r="Y7114">
        <v>0</v>
      </c>
      <c r="Z7114" s="3">
        <v>72</v>
      </c>
      <c r="AA7114">
        <v>228</v>
      </c>
      <c r="AB7114" s="5">
        <v>16416</v>
      </c>
      <c r="AC7114">
        <v>72</v>
      </c>
      <c r="AD7114">
        <v>228</v>
      </c>
      <c r="AE7114" s="1">
        <v>16416</v>
      </c>
      <c r="AF7114">
        <v>2.88</v>
      </c>
      <c r="AJ7114">
        <v>0</v>
      </c>
      <c r="AK7114">
        <v>0</v>
      </c>
      <c r="AL7114">
        <v>0</v>
      </c>
      <c r="AM7114">
        <v>74.88</v>
      </c>
      <c r="AN7114">
        <v>74.88</v>
      </c>
      <c r="AO7114">
        <v>74.88</v>
      </c>
      <c r="AP7114" s="2">
        <v>42746</v>
      </c>
      <c r="AQ7114" t="s">
        <v>72</v>
      </c>
      <c r="AR7114" t="s">
        <v>72</v>
      </c>
      <c r="AS7114">
        <v>3589</v>
      </c>
      <c r="AT7114" s="4">
        <v>42723</v>
      </c>
      <c r="AU7114" t="s">
        <v>73</v>
      </c>
      <c r="AV7114">
        <v>3589</v>
      </c>
      <c r="AW7114" s="4">
        <v>42723</v>
      </c>
      <c r="BD7114">
        <v>2.88</v>
      </c>
      <c r="BN7114" t="s">
        <v>74</v>
      </c>
    </row>
    <row r="7115" spans="1:66">
      <c r="A7115">
        <v>104093</v>
      </c>
      <c r="B7115" s="3" t="s">
        <v>609</v>
      </c>
      <c r="C7115" s="1">
        <v>43300101</v>
      </c>
      <c r="D7115" t="s">
        <v>67</v>
      </c>
      <c r="H7115" t="str">
        <f t="shared" si="696"/>
        <v>12572900152</v>
      </c>
      <c r="I7115" t="str">
        <f t="shared" si="697"/>
        <v>06032681006</v>
      </c>
      <c r="K7115" t="str">
        <f>""</f>
        <v/>
      </c>
      <c r="M7115" t="s">
        <v>68</v>
      </c>
      <c r="N7115" t="str">
        <f t="shared" si="695"/>
        <v>FOR</v>
      </c>
      <c r="O7115" t="s">
        <v>69</v>
      </c>
      <c r="P7115" s="3" t="s">
        <v>75</v>
      </c>
      <c r="Q7115">
        <v>2016</v>
      </c>
      <c r="R7115" s="2">
        <v>42429</v>
      </c>
      <c r="S7115" s="2">
        <v>42436</v>
      </c>
      <c r="T7115" s="2">
        <v>42435</v>
      </c>
      <c r="U7115" s="2">
        <v>42495</v>
      </c>
      <c r="V7115" t="s">
        <v>71</v>
      </c>
      <c r="W7115" t="str">
        <f>"            25300241"</f>
        <v xml:space="preserve">            25300241</v>
      </c>
      <c r="X7115">
        <v>252.72</v>
      </c>
      <c r="Y7115">
        <v>0</v>
      </c>
      <c r="Z7115" s="3">
        <v>243</v>
      </c>
      <c r="AA7115">
        <v>228</v>
      </c>
      <c r="AB7115" s="5">
        <v>55404</v>
      </c>
      <c r="AC7115">
        <v>243</v>
      </c>
      <c r="AD7115">
        <v>228</v>
      </c>
      <c r="AE7115" s="1">
        <v>55404</v>
      </c>
      <c r="AF7115">
        <v>9.7200000000000006</v>
      </c>
      <c r="AJ7115">
        <v>0</v>
      </c>
      <c r="AK7115">
        <v>0</v>
      </c>
      <c r="AL7115">
        <v>0</v>
      </c>
      <c r="AM7115">
        <v>252.72</v>
      </c>
      <c r="AN7115">
        <v>252.72</v>
      </c>
      <c r="AO7115">
        <v>252.72</v>
      </c>
      <c r="AP7115" s="2">
        <v>42746</v>
      </c>
      <c r="AQ7115" t="s">
        <v>72</v>
      </c>
      <c r="AR7115" t="s">
        <v>72</v>
      </c>
      <c r="AS7115">
        <v>3589</v>
      </c>
      <c r="AT7115" s="4">
        <v>42723</v>
      </c>
      <c r="AU7115" t="s">
        <v>73</v>
      </c>
      <c r="AV7115">
        <v>3589</v>
      </c>
      <c r="AW7115" s="4">
        <v>42723</v>
      </c>
      <c r="BD7115">
        <v>9.7200000000000006</v>
      </c>
      <c r="BN7115" t="s">
        <v>74</v>
      </c>
    </row>
    <row r="7116" spans="1:66">
      <c r="A7116">
        <v>104093</v>
      </c>
      <c r="B7116" s="3" t="s">
        <v>609</v>
      </c>
      <c r="C7116" s="1">
        <v>43300101</v>
      </c>
      <c r="D7116" t="s">
        <v>67</v>
      </c>
      <c r="H7116" t="str">
        <f t="shared" si="696"/>
        <v>12572900152</v>
      </c>
      <c r="I7116" t="str">
        <f t="shared" si="697"/>
        <v>06032681006</v>
      </c>
      <c r="K7116" t="str">
        <f>""</f>
        <v/>
      </c>
      <c r="M7116" t="s">
        <v>68</v>
      </c>
      <c r="N7116" t="str">
        <f t="shared" si="695"/>
        <v>FOR</v>
      </c>
      <c r="O7116" t="s">
        <v>69</v>
      </c>
      <c r="P7116" s="3" t="s">
        <v>75</v>
      </c>
      <c r="Q7116">
        <v>2016</v>
      </c>
      <c r="R7116" s="2">
        <v>42429</v>
      </c>
      <c r="S7116" s="2">
        <v>42436</v>
      </c>
      <c r="T7116" s="2">
        <v>42435</v>
      </c>
      <c r="U7116" s="2">
        <v>42495</v>
      </c>
      <c r="V7116" t="s">
        <v>71</v>
      </c>
      <c r="W7116" t="str">
        <f>"            25300242"</f>
        <v xml:space="preserve">            25300242</v>
      </c>
      <c r="X7116">
        <v>707.62</v>
      </c>
      <c r="Y7116">
        <v>0</v>
      </c>
      <c r="Z7116" s="3">
        <v>680.4</v>
      </c>
      <c r="AA7116">
        <v>228</v>
      </c>
      <c r="AB7116" s="5">
        <v>155131.20000000001</v>
      </c>
      <c r="AC7116">
        <v>680.4</v>
      </c>
      <c r="AD7116">
        <v>228</v>
      </c>
      <c r="AE7116" s="1">
        <v>155131.20000000001</v>
      </c>
      <c r="AF7116">
        <v>27.22</v>
      </c>
      <c r="AJ7116">
        <v>0</v>
      </c>
      <c r="AK7116">
        <v>0</v>
      </c>
      <c r="AL7116">
        <v>0</v>
      </c>
      <c r="AM7116">
        <v>707.62</v>
      </c>
      <c r="AN7116">
        <v>707.62</v>
      </c>
      <c r="AO7116">
        <v>707.62</v>
      </c>
      <c r="AP7116" s="2">
        <v>42746</v>
      </c>
      <c r="AQ7116" t="s">
        <v>72</v>
      </c>
      <c r="AR7116" t="s">
        <v>72</v>
      </c>
      <c r="AS7116">
        <v>3589</v>
      </c>
      <c r="AT7116" s="4">
        <v>42723</v>
      </c>
      <c r="AU7116" t="s">
        <v>73</v>
      </c>
      <c r="AV7116">
        <v>3589</v>
      </c>
      <c r="AW7116" s="4">
        <v>42723</v>
      </c>
      <c r="BD7116">
        <v>27.22</v>
      </c>
      <c r="BN7116" t="s">
        <v>74</v>
      </c>
    </row>
    <row r="7117" spans="1:66" hidden="1">
      <c r="A7117">
        <v>104095</v>
      </c>
      <c r="B7117" s="3" t="s">
        <v>610</v>
      </c>
      <c r="C7117" s="1">
        <v>43300101</v>
      </c>
      <c r="D7117" t="s">
        <v>67</v>
      </c>
      <c r="H7117" t="str">
        <f t="shared" ref="H7117:I7136" si="698">"10181220152"</f>
        <v>10181220152</v>
      </c>
      <c r="I7117" t="str">
        <f t="shared" si="698"/>
        <v>10181220152</v>
      </c>
      <c r="K7117" t="str">
        <f>""</f>
        <v/>
      </c>
      <c r="M7117" t="s">
        <v>68</v>
      </c>
      <c r="N7117" t="str">
        <f t="shared" si="695"/>
        <v>FOR</v>
      </c>
      <c r="O7117" t="s">
        <v>69</v>
      </c>
      <c r="P7117" s="3" t="s">
        <v>70</v>
      </c>
      <c r="Q7117">
        <v>2015</v>
      </c>
      <c r="R7117" s="2">
        <v>42067</v>
      </c>
      <c r="S7117" s="2">
        <v>42080</v>
      </c>
      <c r="T7117" s="2">
        <v>42080</v>
      </c>
      <c r="U7117" s="2">
        <v>42140</v>
      </c>
      <c r="V7117" t="s">
        <v>71</v>
      </c>
      <c r="W7117" t="str">
        <f>"          9575309413"</f>
        <v xml:space="preserve">          9575309413</v>
      </c>
      <c r="X7117">
        <v>960.75</v>
      </c>
      <c r="Y7117">
        <v>0</v>
      </c>
      <c r="Z7117"/>
      <c r="AB7117"/>
      <c r="AC7117">
        <v>787.5</v>
      </c>
      <c r="AD7117">
        <v>268</v>
      </c>
      <c r="AE7117" s="1">
        <v>211050</v>
      </c>
      <c r="AF7117">
        <v>0</v>
      </c>
      <c r="AJ7117">
        <v>0</v>
      </c>
      <c r="AK7117">
        <v>0</v>
      </c>
      <c r="AL7117">
        <v>0</v>
      </c>
      <c r="AM7117">
        <v>0</v>
      </c>
      <c r="AN7117">
        <v>0</v>
      </c>
      <c r="AO7117">
        <v>0</v>
      </c>
      <c r="AP7117" s="2">
        <v>42746</v>
      </c>
      <c r="AQ7117" t="s">
        <v>72</v>
      </c>
      <c r="AR7117" t="s">
        <v>72</v>
      </c>
      <c r="AS7117">
        <v>308</v>
      </c>
      <c r="AT7117" s="4">
        <v>42408</v>
      </c>
      <c r="AU7117" t="s">
        <v>73</v>
      </c>
      <c r="AV7117">
        <v>308</v>
      </c>
      <c r="AW7117" s="4">
        <v>42408</v>
      </c>
      <c r="BD7117">
        <v>0</v>
      </c>
      <c r="BN7117" t="s">
        <v>74</v>
      </c>
    </row>
    <row r="7118" spans="1:66" hidden="1">
      <c r="A7118">
        <v>104095</v>
      </c>
      <c r="B7118" s="3" t="s">
        <v>610</v>
      </c>
      <c r="C7118" s="1">
        <v>43300101</v>
      </c>
      <c r="D7118" t="s">
        <v>67</v>
      </c>
      <c r="H7118" t="str">
        <f t="shared" si="698"/>
        <v>10181220152</v>
      </c>
      <c r="I7118" t="str">
        <f t="shared" si="698"/>
        <v>10181220152</v>
      </c>
      <c r="K7118" t="str">
        <f>""</f>
        <v/>
      </c>
      <c r="M7118" t="s">
        <v>68</v>
      </c>
      <c r="N7118" t="str">
        <f t="shared" si="695"/>
        <v>FOR</v>
      </c>
      <c r="O7118" t="s">
        <v>69</v>
      </c>
      <c r="P7118" s="3" t="s">
        <v>70</v>
      </c>
      <c r="Q7118">
        <v>2015</v>
      </c>
      <c r="R7118" s="2">
        <v>42068</v>
      </c>
      <c r="S7118" s="2">
        <v>42080</v>
      </c>
      <c r="T7118" s="2">
        <v>42080</v>
      </c>
      <c r="U7118" s="2">
        <v>42140</v>
      </c>
      <c r="V7118" t="s">
        <v>71</v>
      </c>
      <c r="W7118" t="str">
        <f>"          9575309633"</f>
        <v xml:space="preserve">          9575309633</v>
      </c>
      <c r="X7118">
        <v>213.5</v>
      </c>
      <c r="Y7118">
        <v>0</v>
      </c>
      <c r="Z7118"/>
      <c r="AB7118"/>
      <c r="AC7118">
        <v>175</v>
      </c>
      <c r="AD7118">
        <v>268</v>
      </c>
      <c r="AE7118" s="1">
        <v>46900</v>
      </c>
      <c r="AF7118">
        <v>0</v>
      </c>
      <c r="AJ7118">
        <v>0</v>
      </c>
      <c r="AK7118">
        <v>0</v>
      </c>
      <c r="AL7118">
        <v>0</v>
      </c>
      <c r="AM7118">
        <v>0</v>
      </c>
      <c r="AN7118">
        <v>0</v>
      </c>
      <c r="AO7118">
        <v>0</v>
      </c>
      <c r="AP7118" s="2">
        <v>42746</v>
      </c>
      <c r="AQ7118" t="s">
        <v>72</v>
      </c>
      <c r="AR7118" t="s">
        <v>72</v>
      </c>
      <c r="AS7118">
        <v>308</v>
      </c>
      <c r="AT7118" s="4">
        <v>42408</v>
      </c>
      <c r="AU7118" t="s">
        <v>73</v>
      </c>
      <c r="AV7118">
        <v>308</v>
      </c>
      <c r="AW7118" s="4">
        <v>42408</v>
      </c>
      <c r="BD7118">
        <v>0</v>
      </c>
      <c r="BN7118" t="s">
        <v>74</v>
      </c>
    </row>
    <row r="7119" spans="1:66" hidden="1">
      <c r="A7119">
        <v>104095</v>
      </c>
      <c r="B7119" s="3" t="s">
        <v>610</v>
      </c>
      <c r="C7119" s="1">
        <v>43300101</v>
      </c>
      <c r="D7119" t="s">
        <v>67</v>
      </c>
      <c r="H7119" t="str">
        <f t="shared" si="698"/>
        <v>10181220152</v>
      </c>
      <c r="I7119" t="str">
        <f t="shared" si="698"/>
        <v>10181220152</v>
      </c>
      <c r="K7119" t="str">
        <f>""</f>
        <v/>
      </c>
      <c r="M7119" t="s">
        <v>68</v>
      </c>
      <c r="N7119" t="str">
        <f t="shared" si="695"/>
        <v>FOR</v>
      </c>
      <c r="O7119" t="s">
        <v>69</v>
      </c>
      <c r="P7119" s="3" t="s">
        <v>70</v>
      </c>
      <c r="Q7119">
        <v>2015</v>
      </c>
      <c r="R7119" s="2">
        <v>42069</v>
      </c>
      <c r="S7119" s="2">
        <v>42081</v>
      </c>
      <c r="T7119" s="2">
        <v>42081</v>
      </c>
      <c r="U7119" s="2">
        <v>42141</v>
      </c>
      <c r="V7119" t="s">
        <v>71</v>
      </c>
      <c r="W7119" t="str">
        <f>"          9575309934"</f>
        <v xml:space="preserve">          9575309934</v>
      </c>
      <c r="X7119">
        <v>61</v>
      </c>
      <c r="Y7119">
        <v>0</v>
      </c>
      <c r="Z7119"/>
      <c r="AB7119"/>
      <c r="AC7119">
        <v>50</v>
      </c>
      <c r="AD7119">
        <v>267</v>
      </c>
      <c r="AE7119" s="1">
        <v>13350</v>
      </c>
      <c r="AF7119">
        <v>0</v>
      </c>
      <c r="AJ7119">
        <v>0</v>
      </c>
      <c r="AK7119">
        <v>0</v>
      </c>
      <c r="AL7119">
        <v>0</v>
      </c>
      <c r="AM7119">
        <v>0</v>
      </c>
      <c r="AN7119">
        <v>0</v>
      </c>
      <c r="AO7119">
        <v>0</v>
      </c>
      <c r="AP7119" s="2">
        <v>42746</v>
      </c>
      <c r="AQ7119" t="s">
        <v>72</v>
      </c>
      <c r="AR7119" t="s">
        <v>72</v>
      </c>
      <c r="AS7119">
        <v>308</v>
      </c>
      <c r="AT7119" s="4">
        <v>42408</v>
      </c>
      <c r="AU7119" t="s">
        <v>73</v>
      </c>
      <c r="AV7119">
        <v>308</v>
      </c>
      <c r="AW7119" s="4">
        <v>42408</v>
      </c>
      <c r="BD7119">
        <v>0</v>
      </c>
      <c r="BN7119" t="s">
        <v>74</v>
      </c>
    </row>
    <row r="7120" spans="1:66" hidden="1">
      <c r="A7120">
        <v>104095</v>
      </c>
      <c r="B7120" s="3" t="s">
        <v>610</v>
      </c>
      <c r="C7120" s="1">
        <v>43300101</v>
      </c>
      <c r="D7120" t="s">
        <v>67</v>
      </c>
      <c r="H7120" t="str">
        <f t="shared" si="698"/>
        <v>10181220152</v>
      </c>
      <c r="I7120" t="str">
        <f t="shared" si="698"/>
        <v>10181220152</v>
      </c>
      <c r="K7120" t="str">
        <f>""</f>
        <v/>
      </c>
      <c r="M7120" t="s">
        <v>68</v>
      </c>
      <c r="N7120" t="str">
        <f t="shared" si="695"/>
        <v>FOR</v>
      </c>
      <c r="O7120" t="s">
        <v>69</v>
      </c>
      <c r="P7120" s="3" t="s">
        <v>75</v>
      </c>
      <c r="Q7120">
        <v>2015</v>
      </c>
      <c r="R7120" s="2">
        <v>42096</v>
      </c>
      <c r="S7120" s="2">
        <v>42149</v>
      </c>
      <c r="T7120" s="2">
        <v>42138</v>
      </c>
      <c r="U7120" s="2">
        <v>42198</v>
      </c>
      <c r="V7120" t="s">
        <v>71</v>
      </c>
      <c r="W7120" t="str">
        <f>"          9575315769"</f>
        <v xml:space="preserve">          9575315769</v>
      </c>
      <c r="X7120" s="1">
        <v>10980</v>
      </c>
      <c r="Y7120">
        <v>0</v>
      </c>
      <c r="Z7120"/>
      <c r="AB7120"/>
      <c r="AC7120" s="1">
        <v>9000</v>
      </c>
      <c r="AD7120">
        <v>294</v>
      </c>
      <c r="AE7120" s="1">
        <v>2646000</v>
      </c>
      <c r="AF7120">
        <v>0</v>
      </c>
      <c r="AJ7120">
        <v>0</v>
      </c>
      <c r="AK7120">
        <v>0</v>
      </c>
      <c r="AL7120">
        <v>0</v>
      </c>
      <c r="AM7120">
        <v>0</v>
      </c>
      <c r="AN7120">
        <v>0</v>
      </c>
      <c r="AO7120">
        <v>0</v>
      </c>
      <c r="AP7120" s="2">
        <v>42746</v>
      </c>
      <c r="AQ7120" t="s">
        <v>72</v>
      </c>
      <c r="AR7120" t="s">
        <v>72</v>
      </c>
      <c r="AS7120">
        <v>1237</v>
      </c>
      <c r="AT7120" s="4">
        <v>42492</v>
      </c>
      <c r="AU7120" t="s">
        <v>73</v>
      </c>
      <c r="AV7120">
        <v>1237</v>
      </c>
      <c r="AW7120" s="4">
        <v>42492</v>
      </c>
      <c r="BD7120">
        <v>0</v>
      </c>
      <c r="BN7120" t="s">
        <v>74</v>
      </c>
    </row>
    <row r="7121" spans="1:66" hidden="1">
      <c r="A7121">
        <v>104095</v>
      </c>
      <c r="B7121" s="3" t="s">
        <v>610</v>
      </c>
      <c r="C7121" s="1">
        <v>43300101</v>
      </c>
      <c r="D7121" t="s">
        <v>67</v>
      </c>
      <c r="H7121" t="str">
        <f t="shared" si="698"/>
        <v>10181220152</v>
      </c>
      <c r="I7121" t="str">
        <f t="shared" si="698"/>
        <v>10181220152</v>
      </c>
      <c r="K7121" t="str">
        <f>""</f>
        <v/>
      </c>
      <c r="M7121" t="s">
        <v>68</v>
      </c>
      <c r="N7121" t="str">
        <f t="shared" si="695"/>
        <v>FOR</v>
      </c>
      <c r="O7121" t="s">
        <v>69</v>
      </c>
      <c r="P7121" s="3" t="s">
        <v>75</v>
      </c>
      <c r="Q7121">
        <v>2015</v>
      </c>
      <c r="R7121" s="2">
        <v>42103</v>
      </c>
      <c r="S7121" s="2">
        <v>42108</v>
      </c>
      <c r="T7121" s="2">
        <v>42107</v>
      </c>
      <c r="U7121" s="2">
        <v>42167</v>
      </c>
      <c r="V7121" t="s">
        <v>71</v>
      </c>
      <c r="W7121" t="str">
        <f>"          9575316353"</f>
        <v xml:space="preserve">          9575316353</v>
      </c>
      <c r="X7121">
        <v>61</v>
      </c>
      <c r="Y7121">
        <v>0</v>
      </c>
      <c r="Z7121"/>
      <c r="AB7121"/>
      <c r="AC7121">
        <v>50</v>
      </c>
      <c r="AD7121">
        <v>325</v>
      </c>
      <c r="AE7121" s="1">
        <v>16250</v>
      </c>
      <c r="AF7121">
        <v>0</v>
      </c>
      <c r="AJ7121">
        <v>0</v>
      </c>
      <c r="AK7121">
        <v>0</v>
      </c>
      <c r="AL7121">
        <v>0</v>
      </c>
      <c r="AM7121">
        <v>0</v>
      </c>
      <c r="AN7121">
        <v>0</v>
      </c>
      <c r="AO7121">
        <v>0</v>
      </c>
      <c r="AP7121" s="2">
        <v>42746</v>
      </c>
      <c r="AQ7121" t="s">
        <v>72</v>
      </c>
      <c r="AR7121" t="s">
        <v>72</v>
      </c>
      <c r="AS7121">
        <v>1237</v>
      </c>
      <c r="AT7121" s="4">
        <v>42492</v>
      </c>
      <c r="AU7121" t="s">
        <v>73</v>
      </c>
      <c r="AV7121">
        <v>1237</v>
      </c>
      <c r="AW7121" s="4">
        <v>42492</v>
      </c>
      <c r="BD7121">
        <v>0</v>
      </c>
      <c r="BN7121" t="s">
        <v>74</v>
      </c>
    </row>
    <row r="7122" spans="1:66" hidden="1">
      <c r="A7122">
        <v>104095</v>
      </c>
      <c r="B7122" s="3" t="s">
        <v>610</v>
      </c>
      <c r="C7122" s="1">
        <v>43300101</v>
      </c>
      <c r="D7122" t="s">
        <v>67</v>
      </c>
      <c r="H7122" t="str">
        <f t="shared" si="698"/>
        <v>10181220152</v>
      </c>
      <c r="I7122" t="str">
        <f t="shared" si="698"/>
        <v>10181220152</v>
      </c>
      <c r="K7122" t="str">
        <f>""</f>
        <v/>
      </c>
      <c r="M7122" t="s">
        <v>68</v>
      </c>
      <c r="N7122" t="str">
        <f t="shared" si="695"/>
        <v>FOR</v>
      </c>
      <c r="O7122" t="s">
        <v>69</v>
      </c>
      <c r="P7122" s="3" t="s">
        <v>75</v>
      </c>
      <c r="Q7122">
        <v>2015</v>
      </c>
      <c r="R7122" s="2">
        <v>42110</v>
      </c>
      <c r="S7122" s="2">
        <v>42116</v>
      </c>
      <c r="T7122" s="2">
        <v>42115</v>
      </c>
      <c r="U7122" s="2">
        <v>42175</v>
      </c>
      <c r="V7122" t="s">
        <v>71</v>
      </c>
      <c r="W7122" t="str">
        <f>"          9575317824"</f>
        <v xml:space="preserve">          9575317824</v>
      </c>
      <c r="X7122" s="1">
        <v>8242.0300000000007</v>
      </c>
      <c r="Y7122">
        <v>0</v>
      </c>
      <c r="Z7122"/>
      <c r="AB7122"/>
      <c r="AC7122" s="1">
        <v>6755.76</v>
      </c>
      <c r="AD7122">
        <v>317</v>
      </c>
      <c r="AE7122" s="1">
        <v>2141575.92</v>
      </c>
      <c r="AF7122">
        <v>0</v>
      </c>
      <c r="AJ7122">
        <v>0</v>
      </c>
      <c r="AK7122">
        <v>0</v>
      </c>
      <c r="AL7122">
        <v>0</v>
      </c>
      <c r="AM7122">
        <v>0</v>
      </c>
      <c r="AN7122">
        <v>0</v>
      </c>
      <c r="AO7122">
        <v>0</v>
      </c>
      <c r="AP7122" s="2">
        <v>42746</v>
      </c>
      <c r="AQ7122" t="s">
        <v>72</v>
      </c>
      <c r="AR7122" t="s">
        <v>72</v>
      </c>
      <c r="AS7122">
        <v>1237</v>
      </c>
      <c r="AT7122" s="4">
        <v>42492</v>
      </c>
      <c r="AU7122" t="s">
        <v>73</v>
      </c>
      <c r="AV7122">
        <v>1237</v>
      </c>
      <c r="AW7122" s="4">
        <v>42492</v>
      </c>
      <c r="BD7122">
        <v>0</v>
      </c>
      <c r="BN7122" t="s">
        <v>74</v>
      </c>
    </row>
    <row r="7123" spans="1:66" hidden="1">
      <c r="A7123">
        <v>104095</v>
      </c>
      <c r="B7123" s="3" t="s">
        <v>610</v>
      </c>
      <c r="C7123" s="1">
        <v>43300101</v>
      </c>
      <c r="D7123" t="s">
        <v>67</v>
      </c>
      <c r="H7123" t="str">
        <f t="shared" si="698"/>
        <v>10181220152</v>
      </c>
      <c r="I7123" t="str">
        <f t="shared" si="698"/>
        <v>10181220152</v>
      </c>
      <c r="K7123" t="str">
        <f>""</f>
        <v/>
      </c>
      <c r="M7123" t="s">
        <v>68</v>
      </c>
      <c r="N7123" t="str">
        <f t="shared" si="695"/>
        <v>FOR</v>
      </c>
      <c r="O7123" t="s">
        <v>69</v>
      </c>
      <c r="P7123" s="3" t="s">
        <v>75</v>
      </c>
      <c r="Q7123">
        <v>2015</v>
      </c>
      <c r="R7123" s="2">
        <v>42124</v>
      </c>
      <c r="S7123" s="2">
        <v>42142</v>
      </c>
      <c r="T7123" s="2">
        <v>42137</v>
      </c>
      <c r="U7123" s="2">
        <v>42197</v>
      </c>
      <c r="V7123" t="s">
        <v>71</v>
      </c>
      <c r="W7123" t="str">
        <f>"          9575320379"</f>
        <v xml:space="preserve">          9575320379</v>
      </c>
      <c r="X7123" s="1">
        <v>3092.88</v>
      </c>
      <c r="Y7123">
        <v>0</v>
      </c>
      <c r="Z7123"/>
      <c r="AB7123"/>
      <c r="AC7123" s="1">
        <v>2535.15</v>
      </c>
      <c r="AD7123">
        <v>295</v>
      </c>
      <c r="AE7123" s="1">
        <v>747869.25</v>
      </c>
      <c r="AF7123">
        <v>0</v>
      </c>
      <c r="AJ7123">
        <v>0</v>
      </c>
      <c r="AK7123">
        <v>0</v>
      </c>
      <c r="AL7123">
        <v>0</v>
      </c>
      <c r="AM7123">
        <v>0</v>
      </c>
      <c r="AN7123">
        <v>0</v>
      </c>
      <c r="AO7123">
        <v>0</v>
      </c>
      <c r="AP7123" s="2">
        <v>42746</v>
      </c>
      <c r="AQ7123" t="s">
        <v>72</v>
      </c>
      <c r="AR7123" t="s">
        <v>72</v>
      </c>
      <c r="AS7123">
        <v>1237</v>
      </c>
      <c r="AT7123" s="4">
        <v>42492</v>
      </c>
      <c r="AU7123" t="s">
        <v>73</v>
      </c>
      <c r="AV7123">
        <v>1237</v>
      </c>
      <c r="AW7123" s="4">
        <v>42492</v>
      </c>
      <c r="BD7123">
        <v>0</v>
      </c>
      <c r="BN7123" t="s">
        <v>74</v>
      </c>
    </row>
    <row r="7124" spans="1:66" hidden="1">
      <c r="A7124">
        <v>104095</v>
      </c>
      <c r="B7124" s="3" t="s">
        <v>610</v>
      </c>
      <c r="C7124" s="1">
        <v>43300101</v>
      </c>
      <c r="D7124" t="s">
        <v>67</v>
      </c>
      <c r="H7124" t="str">
        <f t="shared" si="698"/>
        <v>10181220152</v>
      </c>
      <c r="I7124" t="str">
        <f t="shared" si="698"/>
        <v>10181220152</v>
      </c>
      <c r="K7124" t="str">
        <f>""</f>
        <v/>
      </c>
      <c r="M7124" t="s">
        <v>68</v>
      </c>
      <c r="N7124" t="str">
        <f t="shared" si="695"/>
        <v>FOR</v>
      </c>
      <c r="O7124" t="s">
        <v>69</v>
      </c>
      <c r="P7124" s="3" t="s">
        <v>75</v>
      </c>
      <c r="Q7124">
        <v>2015</v>
      </c>
      <c r="R7124" s="2">
        <v>42129</v>
      </c>
      <c r="S7124" s="2">
        <v>42131</v>
      </c>
      <c r="T7124" s="2">
        <v>42130</v>
      </c>
      <c r="U7124" s="2">
        <v>42190</v>
      </c>
      <c r="V7124" t="s">
        <v>71</v>
      </c>
      <c r="W7124" t="str">
        <f>"          9575320746"</f>
        <v xml:space="preserve">          9575320746</v>
      </c>
      <c r="X7124" s="1">
        <v>4868.46</v>
      </c>
      <c r="Y7124">
        <v>0</v>
      </c>
      <c r="Z7124"/>
      <c r="AB7124"/>
      <c r="AC7124" s="1">
        <v>3990.54</v>
      </c>
      <c r="AD7124">
        <v>302</v>
      </c>
      <c r="AE7124" s="1">
        <v>1205143.08</v>
      </c>
      <c r="AF7124">
        <v>0</v>
      </c>
      <c r="AJ7124">
        <v>0</v>
      </c>
      <c r="AK7124">
        <v>0</v>
      </c>
      <c r="AL7124">
        <v>0</v>
      </c>
      <c r="AM7124">
        <v>0</v>
      </c>
      <c r="AN7124">
        <v>0</v>
      </c>
      <c r="AO7124">
        <v>0</v>
      </c>
      <c r="AP7124" s="2">
        <v>42746</v>
      </c>
      <c r="AQ7124" t="s">
        <v>72</v>
      </c>
      <c r="AR7124" t="s">
        <v>72</v>
      </c>
      <c r="AS7124">
        <v>1237</v>
      </c>
      <c r="AT7124" s="4">
        <v>42492</v>
      </c>
      <c r="AU7124" t="s">
        <v>73</v>
      </c>
      <c r="AV7124">
        <v>1237</v>
      </c>
      <c r="AW7124" s="4">
        <v>42492</v>
      </c>
      <c r="BD7124">
        <v>0</v>
      </c>
      <c r="BN7124" t="s">
        <v>74</v>
      </c>
    </row>
    <row r="7125" spans="1:66" hidden="1">
      <c r="A7125">
        <v>104095</v>
      </c>
      <c r="B7125" s="3" t="s">
        <v>610</v>
      </c>
      <c r="C7125" s="1">
        <v>43300101</v>
      </c>
      <c r="D7125" t="s">
        <v>67</v>
      </c>
      <c r="H7125" t="str">
        <f t="shared" si="698"/>
        <v>10181220152</v>
      </c>
      <c r="I7125" t="str">
        <f t="shared" si="698"/>
        <v>10181220152</v>
      </c>
      <c r="K7125" t="str">
        <f>""</f>
        <v/>
      </c>
      <c r="M7125" t="s">
        <v>68</v>
      </c>
      <c r="N7125" t="str">
        <f t="shared" si="695"/>
        <v>FOR</v>
      </c>
      <c r="O7125" t="s">
        <v>69</v>
      </c>
      <c r="P7125" s="3" t="s">
        <v>75</v>
      </c>
      <c r="Q7125">
        <v>2015</v>
      </c>
      <c r="R7125" s="2">
        <v>42163</v>
      </c>
      <c r="S7125" s="2">
        <v>42167</v>
      </c>
      <c r="T7125" s="2">
        <v>42165</v>
      </c>
      <c r="U7125" s="2">
        <v>42225</v>
      </c>
      <c r="V7125" t="s">
        <v>71</v>
      </c>
      <c r="W7125" t="str">
        <f>"          9575326719"</f>
        <v xml:space="preserve">          9575326719</v>
      </c>
      <c r="X7125" s="1">
        <v>12784.05</v>
      </c>
      <c r="Y7125">
        <v>0</v>
      </c>
      <c r="Z7125"/>
      <c r="AB7125"/>
      <c r="AC7125" s="1">
        <v>10478.73</v>
      </c>
      <c r="AD7125">
        <v>267</v>
      </c>
      <c r="AE7125" s="1">
        <v>2797820.91</v>
      </c>
      <c r="AF7125">
        <v>0</v>
      </c>
      <c r="AJ7125">
        <v>0</v>
      </c>
      <c r="AK7125">
        <v>0</v>
      </c>
      <c r="AL7125">
        <v>0</v>
      </c>
      <c r="AM7125">
        <v>0</v>
      </c>
      <c r="AN7125">
        <v>0</v>
      </c>
      <c r="AO7125">
        <v>0</v>
      </c>
      <c r="AP7125" s="2">
        <v>42746</v>
      </c>
      <c r="AQ7125" t="s">
        <v>72</v>
      </c>
      <c r="AR7125" t="s">
        <v>72</v>
      </c>
      <c r="AS7125">
        <v>1237</v>
      </c>
      <c r="AT7125" s="4">
        <v>42492</v>
      </c>
      <c r="AU7125" t="s">
        <v>73</v>
      </c>
      <c r="AV7125">
        <v>1237</v>
      </c>
      <c r="AW7125" s="4">
        <v>42492</v>
      </c>
      <c r="BD7125">
        <v>0</v>
      </c>
      <c r="BN7125" t="s">
        <v>74</v>
      </c>
    </row>
    <row r="7126" spans="1:66" hidden="1">
      <c r="A7126">
        <v>104095</v>
      </c>
      <c r="B7126" s="3" t="s">
        <v>610</v>
      </c>
      <c r="C7126" s="1">
        <v>43300101</v>
      </c>
      <c r="D7126" t="s">
        <v>67</v>
      </c>
      <c r="H7126" t="str">
        <f t="shared" si="698"/>
        <v>10181220152</v>
      </c>
      <c r="I7126" t="str">
        <f t="shared" si="698"/>
        <v>10181220152</v>
      </c>
      <c r="K7126" t="str">
        <f>""</f>
        <v/>
      </c>
      <c r="M7126" t="s">
        <v>68</v>
      </c>
      <c r="N7126" t="str">
        <f t="shared" si="695"/>
        <v>FOR</v>
      </c>
      <c r="O7126" t="s">
        <v>69</v>
      </c>
      <c r="P7126" s="3" t="s">
        <v>75</v>
      </c>
      <c r="Q7126">
        <v>2015</v>
      </c>
      <c r="R7126" s="2">
        <v>42185</v>
      </c>
      <c r="S7126" s="2">
        <v>42193</v>
      </c>
      <c r="T7126" s="2">
        <v>42192</v>
      </c>
      <c r="U7126" s="2">
        <v>42252</v>
      </c>
      <c r="V7126" t="s">
        <v>71</v>
      </c>
      <c r="W7126" t="str">
        <f>"          9575332071"</f>
        <v xml:space="preserve">          9575332071</v>
      </c>
      <c r="X7126" s="1">
        <v>4868.46</v>
      </c>
      <c r="Y7126">
        <v>0</v>
      </c>
      <c r="Z7126"/>
      <c r="AB7126"/>
      <c r="AC7126" s="1">
        <v>3990.54</v>
      </c>
      <c r="AD7126">
        <v>240</v>
      </c>
      <c r="AE7126" s="1">
        <v>957729.6</v>
      </c>
      <c r="AF7126">
        <v>0</v>
      </c>
      <c r="AJ7126">
        <v>0</v>
      </c>
      <c r="AK7126">
        <v>0</v>
      </c>
      <c r="AL7126">
        <v>0</v>
      </c>
      <c r="AM7126">
        <v>0</v>
      </c>
      <c r="AN7126">
        <v>0</v>
      </c>
      <c r="AO7126">
        <v>0</v>
      </c>
      <c r="AP7126" s="2">
        <v>42746</v>
      </c>
      <c r="AQ7126" t="s">
        <v>72</v>
      </c>
      <c r="AR7126" t="s">
        <v>72</v>
      </c>
      <c r="AS7126">
        <v>1237</v>
      </c>
      <c r="AT7126" s="4">
        <v>42492</v>
      </c>
      <c r="AU7126" t="s">
        <v>73</v>
      </c>
      <c r="AV7126">
        <v>1237</v>
      </c>
      <c r="AW7126" s="4">
        <v>42492</v>
      </c>
      <c r="BD7126">
        <v>0</v>
      </c>
      <c r="BN7126" t="s">
        <v>74</v>
      </c>
    </row>
    <row r="7127" spans="1:66" hidden="1">
      <c r="A7127">
        <v>104095</v>
      </c>
      <c r="B7127" s="3" t="s">
        <v>610</v>
      </c>
      <c r="C7127" s="1">
        <v>43300101</v>
      </c>
      <c r="D7127" t="s">
        <v>67</v>
      </c>
      <c r="H7127" t="str">
        <f t="shared" si="698"/>
        <v>10181220152</v>
      </c>
      <c r="I7127" t="str">
        <f t="shared" si="698"/>
        <v>10181220152</v>
      </c>
      <c r="K7127" t="str">
        <f>""</f>
        <v/>
      </c>
      <c r="M7127" t="s">
        <v>68</v>
      </c>
      <c r="N7127" t="str">
        <f t="shared" si="695"/>
        <v>FOR</v>
      </c>
      <c r="O7127" t="s">
        <v>69</v>
      </c>
      <c r="P7127" s="3" t="s">
        <v>75</v>
      </c>
      <c r="Q7127">
        <v>2015</v>
      </c>
      <c r="R7127" s="2">
        <v>42186</v>
      </c>
      <c r="S7127" s="2">
        <v>42193</v>
      </c>
      <c r="T7127" s="2">
        <v>42192</v>
      </c>
      <c r="U7127" s="2">
        <v>42252</v>
      </c>
      <c r="V7127" t="s">
        <v>71</v>
      </c>
      <c r="W7127" t="str">
        <f>"          9575332204"</f>
        <v xml:space="preserve">          9575332204</v>
      </c>
      <c r="X7127" s="1">
        <v>10980</v>
      </c>
      <c r="Y7127">
        <v>0</v>
      </c>
      <c r="Z7127"/>
      <c r="AB7127"/>
      <c r="AC7127" s="1">
        <v>9000</v>
      </c>
      <c r="AD7127">
        <v>317</v>
      </c>
      <c r="AE7127" s="1">
        <v>2853000</v>
      </c>
      <c r="AF7127">
        <v>0</v>
      </c>
      <c r="AJ7127">
        <v>0</v>
      </c>
      <c r="AK7127">
        <v>0</v>
      </c>
      <c r="AL7127">
        <v>0</v>
      </c>
      <c r="AM7127">
        <v>0</v>
      </c>
      <c r="AN7127">
        <v>0</v>
      </c>
      <c r="AO7127">
        <v>0</v>
      </c>
      <c r="AP7127" s="2">
        <v>42746</v>
      </c>
      <c r="AQ7127" t="s">
        <v>72</v>
      </c>
      <c r="AR7127" t="s">
        <v>72</v>
      </c>
      <c r="AS7127">
        <v>1879</v>
      </c>
      <c r="AT7127" s="4">
        <v>42569</v>
      </c>
      <c r="AU7127" t="s">
        <v>73</v>
      </c>
      <c r="AV7127">
        <v>1879</v>
      </c>
      <c r="AW7127" s="4">
        <v>42569</v>
      </c>
      <c r="BD7127">
        <v>0</v>
      </c>
      <c r="BN7127" t="s">
        <v>74</v>
      </c>
    </row>
    <row r="7128" spans="1:66" hidden="1">
      <c r="A7128">
        <v>104095</v>
      </c>
      <c r="B7128" s="3" t="s">
        <v>610</v>
      </c>
      <c r="C7128" s="1">
        <v>43300101</v>
      </c>
      <c r="D7128" t="s">
        <v>67</v>
      </c>
      <c r="H7128" t="str">
        <f t="shared" si="698"/>
        <v>10181220152</v>
      </c>
      <c r="I7128" t="str">
        <f t="shared" si="698"/>
        <v>10181220152</v>
      </c>
      <c r="K7128" t="str">
        <f>""</f>
        <v/>
      </c>
      <c r="M7128" t="s">
        <v>68</v>
      </c>
      <c r="N7128" t="str">
        <f t="shared" si="695"/>
        <v>FOR</v>
      </c>
      <c r="O7128" t="s">
        <v>69</v>
      </c>
      <c r="P7128" s="3" t="s">
        <v>75</v>
      </c>
      <c r="Q7128">
        <v>2015</v>
      </c>
      <c r="R7128" s="2">
        <v>42188</v>
      </c>
      <c r="S7128" s="2">
        <v>42191</v>
      </c>
      <c r="T7128" s="2">
        <v>42189</v>
      </c>
      <c r="U7128" s="2">
        <v>42249</v>
      </c>
      <c r="V7128" t="s">
        <v>71</v>
      </c>
      <c r="W7128" t="str">
        <f>"          9575332477"</f>
        <v xml:space="preserve">          9575332477</v>
      </c>
      <c r="X7128" s="1">
        <v>2440</v>
      </c>
      <c r="Y7128">
        <v>0</v>
      </c>
      <c r="Z7128"/>
      <c r="AB7128"/>
      <c r="AC7128" s="1">
        <v>2000</v>
      </c>
      <c r="AD7128">
        <v>320</v>
      </c>
      <c r="AE7128" s="1">
        <v>640000</v>
      </c>
      <c r="AF7128">
        <v>0</v>
      </c>
      <c r="AJ7128">
        <v>0</v>
      </c>
      <c r="AK7128">
        <v>0</v>
      </c>
      <c r="AL7128">
        <v>0</v>
      </c>
      <c r="AM7128">
        <v>0</v>
      </c>
      <c r="AN7128">
        <v>0</v>
      </c>
      <c r="AO7128">
        <v>0</v>
      </c>
      <c r="AP7128" s="2">
        <v>42746</v>
      </c>
      <c r="AQ7128" t="s">
        <v>72</v>
      </c>
      <c r="AR7128" t="s">
        <v>72</v>
      </c>
      <c r="AS7128">
        <v>1879</v>
      </c>
      <c r="AT7128" s="4">
        <v>42569</v>
      </c>
      <c r="AU7128" t="s">
        <v>73</v>
      </c>
      <c r="AV7128">
        <v>1879</v>
      </c>
      <c r="AW7128" s="4">
        <v>42569</v>
      </c>
      <c r="BD7128">
        <v>0</v>
      </c>
      <c r="BN7128" t="s">
        <v>74</v>
      </c>
    </row>
    <row r="7129" spans="1:66" hidden="1">
      <c r="A7129">
        <v>104095</v>
      </c>
      <c r="B7129" s="3" t="s">
        <v>610</v>
      </c>
      <c r="C7129" s="1">
        <v>43300101</v>
      </c>
      <c r="D7129" t="s">
        <v>67</v>
      </c>
      <c r="H7129" t="str">
        <f t="shared" si="698"/>
        <v>10181220152</v>
      </c>
      <c r="I7129" t="str">
        <f t="shared" si="698"/>
        <v>10181220152</v>
      </c>
      <c r="K7129" t="str">
        <f>""</f>
        <v/>
      </c>
      <c r="M7129" t="s">
        <v>68</v>
      </c>
      <c r="N7129" t="str">
        <f t="shared" si="695"/>
        <v>FOR</v>
      </c>
      <c r="O7129" t="s">
        <v>69</v>
      </c>
      <c r="P7129" s="3" t="s">
        <v>75</v>
      </c>
      <c r="Q7129">
        <v>2015</v>
      </c>
      <c r="R7129" s="2">
        <v>42192</v>
      </c>
      <c r="S7129" s="2">
        <v>42195</v>
      </c>
      <c r="T7129" s="2">
        <v>42193</v>
      </c>
      <c r="U7129" s="2">
        <v>42253</v>
      </c>
      <c r="V7129" t="s">
        <v>71</v>
      </c>
      <c r="W7129" t="str">
        <f>"          9575332918"</f>
        <v xml:space="preserve">          9575332918</v>
      </c>
      <c r="X7129" s="1">
        <v>1464</v>
      </c>
      <c r="Y7129">
        <v>0</v>
      </c>
      <c r="Z7129"/>
      <c r="AB7129"/>
      <c r="AC7129" s="1">
        <v>1200</v>
      </c>
      <c r="AD7129">
        <v>316</v>
      </c>
      <c r="AE7129" s="1">
        <v>379200</v>
      </c>
      <c r="AF7129">
        <v>0</v>
      </c>
      <c r="AJ7129">
        <v>0</v>
      </c>
      <c r="AK7129">
        <v>0</v>
      </c>
      <c r="AL7129">
        <v>0</v>
      </c>
      <c r="AM7129">
        <v>0</v>
      </c>
      <c r="AN7129">
        <v>0</v>
      </c>
      <c r="AO7129">
        <v>0</v>
      </c>
      <c r="AP7129" s="2">
        <v>42746</v>
      </c>
      <c r="AQ7129" t="s">
        <v>72</v>
      </c>
      <c r="AR7129" t="s">
        <v>72</v>
      </c>
      <c r="AS7129">
        <v>1879</v>
      </c>
      <c r="AT7129" s="4">
        <v>42569</v>
      </c>
      <c r="AU7129" t="s">
        <v>73</v>
      </c>
      <c r="AV7129">
        <v>1879</v>
      </c>
      <c r="AW7129" s="4">
        <v>42569</v>
      </c>
      <c r="BD7129">
        <v>0</v>
      </c>
      <c r="BN7129" t="s">
        <v>74</v>
      </c>
    </row>
    <row r="7130" spans="1:66" hidden="1">
      <c r="A7130">
        <v>104095</v>
      </c>
      <c r="B7130" s="3" t="s">
        <v>610</v>
      </c>
      <c r="C7130" s="1">
        <v>43300101</v>
      </c>
      <c r="D7130" t="s">
        <v>67</v>
      </c>
      <c r="H7130" t="str">
        <f t="shared" si="698"/>
        <v>10181220152</v>
      </c>
      <c r="I7130" t="str">
        <f t="shared" si="698"/>
        <v>10181220152</v>
      </c>
      <c r="K7130" t="str">
        <f>""</f>
        <v/>
      </c>
      <c r="M7130" t="s">
        <v>68</v>
      </c>
      <c r="N7130" t="str">
        <f t="shared" si="695"/>
        <v>FOR</v>
      </c>
      <c r="O7130" t="s">
        <v>69</v>
      </c>
      <c r="P7130" s="3" t="s">
        <v>75</v>
      </c>
      <c r="Q7130">
        <v>2015</v>
      </c>
      <c r="R7130" s="2">
        <v>42194</v>
      </c>
      <c r="S7130" s="2">
        <v>42198</v>
      </c>
      <c r="T7130" s="2">
        <v>42196</v>
      </c>
      <c r="U7130" s="2">
        <v>42256</v>
      </c>
      <c r="V7130" t="s">
        <v>71</v>
      </c>
      <c r="W7130" t="str">
        <f>"          9575333400"</f>
        <v xml:space="preserve">          9575333400</v>
      </c>
      <c r="X7130">
        <v>61</v>
      </c>
      <c r="Y7130">
        <v>0</v>
      </c>
      <c r="Z7130"/>
      <c r="AB7130"/>
      <c r="AC7130">
        <v>50</v>
      </c>
      <c r="AD7130">
        <v>313</v>
      </c>
      <c r="AE7130" s="1">
        <v>15650</v>
      </c>
      <c r="AF7130">
        <v>0</v>
      </c>
      <c r="AJ7130">
        <v>0</v>
      </c>
      <c r="AK7130">
        <v>0</v>
      </c>
      <c r="AL7130">
        <v>0</v>
      </c>
      <c r="AM7130">
        <v>0</v>
      </c>
      <c r="AN7130">
        <v>0</v>
      </c>
      <c r="AO7130">
        <v>0</v>
      </c>
      <c r="AP7130" s="2">
        <v>42746</v>
      </c>
      <c r="AQ7130" t="s">
        <v>72</v>
      </c>
      <c r="AR7130" t="s">
        <v>72</v>
      </c>
      <c r="AS7130">
        <v>1879</v>
      </c>
      <c r="AT7130" s="4">
        <v>42569</v>
      </c>
      <c r="AU7130" t="s">
        <v>73</v>
      </c>
      <c r="AV7130">
        <v>1879</v>
      </c>
      <c r="AW7130" s="4">
        <v>42569</v>
      </c>
      <c r="BD7130">
        <v>0</v>
      </c>
      <c r="BN7130" t="s">
        <v>74</v>
      </c>
    </row>
    <row r="7131" spans="1:66" hidden="1">
      <c r="A7131">
        <v>104095</v>
      </c>
      <c r="B7131" s="3" t="s">
        <v>610</v>
      </c>
      <c r="C7131" s="1">
        <v>43300101</v>
      </c>
      <c r="D7131" t="s">
        <v>67</v>
      </c>
      <c r="H7131" t="str">
        <f t="shared" si="698"/>
        <v>10181220152</v>
      </c>
      <c r="I7131" t="str">
        <f t="shared" si="698"/>
        <v>10181220152</v>
      </c>
      <c r="K7131" t="str">
        <f>""</f>
        <v/>
      </c>
      <c r="M7131" t="s">
        <v>68</v>
      </c>
      <c r="N7131" t="str">
        <f t="shared" si="695"/>
        <v>FOR</v>
      </c>
      <c r="O7131" t="s">
        <v>69</v>
      </c>
      <c r="P7131" s="3" t="s">
        <v>75</v>
      </c>
      <c r="Q7131">
        <v>2015</v>
      </c>
      <c r="R7131" s="2">
        <v>42198</v>
      </c>
      <c r="S7131" s="2">
        <v>42202</v>
      </c>
      <c r="T7131" s="2">
        <v>42199</v>
      </c>
      <c r="U7131" s="2">
        <v>42259</v>
      </c>
      <c r="V7131" t="s">
        <v>71</v>
      </c>
      <c r="W7131" t="str">
        <f>"          9575334241"</f>
        <v xml:space="preserve">          9575334241</v>
      </c>
      <c r="X7131" s="1">
        <v>6326.15</v>
      </c>
      <c r="Y7131">
        <v>0</v>
      </c>
      <c r="Z7131"/>
      <c r="AB7131"/>
      <c r="AC7131" s="1">
        <v>5185.37</v>
      </c>
      <c r="AD7131">
        <v>310</v>
      </c>
      <c r="AE7131" s="1">
        <v>1607464.7</v>
      </c>
      <c r="AF7131">
        <v>0</v>
      </c>
      <c r="AJ7131">
        <v>0</v>
      </c>
      <c r="AK7131">
        <v>0</v>
      </c>
      <c r="AL7131">
        <v>0</v>
      </c>
      <c r="AM7131">
        <v>0</v>
      </c>
      <c r="AN7131">
        <v>0</v>
      </c>
      <c r="AO7131">
        <v>0</v>
      </c>
      <c r="AP7131" s="2">
        <v>42746</v>
      </c>
      <c r="AQ7131" t="s">
        <v>72</v>
      </c>
      <c r="AR7131" t="s">
        <v>72</v>
      </c>
      <c r="AS7131">
        <v>1879</v>
      </c>
      <c r="AT7131" s="4">
        <v>42569</v>
      </c>
      <c r="AU7131" t="s">
        <v>73</v>
      </c>
      <c r="AV7131">
        <v>1879</v>
      </c>
      <c r="AW7131" s="4">
        <v>42569</v>
      </c>
      <c r="BD7131">
        <v>0</v>
      </c>
      <c r="BN7131" t="s">
        <v>74</v>
      </c>
    </row>
    <row r="7132" spans="1:66" hidden="1">
      <c r="A7132">
        <v>104095</v>
      </c>
      <c r="B7132" s="3" t="s">
        <v>610</v>
      </c>
      <c r="C7132" s="1">
        <v>43300101</v>
      </c>
      <c r="D7132" t="s">
        <v>67</v>
      </c>
      <c r="H7132" t="str">
        <f t="shared" si="698"/>
        <v>10181220152</v>
      </c>
      <c r="I7132" t="str">
        <f t="shared" si="698"/>
        <v>10181220152</v>
      </c>
      <c r="K7132" t="str">
        <f>""</f>
        <v/>
      </c>
      <c r="M7132" t="s">
        <v>68</v>
      </c>
      <c r="N7132" t="str">
        <f t="shared" si="695"/>
        <v>FOR</v>
      </c>
      <c r="O7132" t="s">
        <v>69</v>
      </c>
      <c r="P7132" s="3" t="s">
        <v>75</v>
      </c>
      <c r="Q7132">
        <v>2015</v>
      </c>
      <c r="R7132" s="2">
        <v>42198</v>
      </c>
      <c r="S7132" s="2">
        <v>42202</v>
      </c>
      <c r="T7132" s="2">
        <v>42199</v>
      </c>
      <c r="U7132" s="2">
        <v>42259</v>
      </c>
      <c r="V7132" t="s">
        <v>71</v>
      </c>
      <c r="W7132" t="str">
        <f>"          9575334242"</f>
        <v xml:space="preserve">          9575334242</v>
      </c>
      <c r="X7132">
        <v>213.5</v>
      </c>
      <c r="Y7132">
        <v>0</v>
      </c>
      <c r="Z7132"/>
      <c r="AB7132"/>
      <c r="AC7132">
        <v>175</v>
      </c>
      <c r="AD7132">
        <v>310</v>
      </c>
      <c r="AE7132" s="1">
        <v>54250</v>
      </c>
      <c r="AF7132">
        <v>0</v>
      </c>
      <c r="AJ7132">
        <v>0</v>
      </c>
      <c r="AK7132">
        <v>0</v>
      </c>
      <c r="AL7132">
        <v>0</v>
      </c>
      <c r="AM7132">
        <v>0</v>
      </c>
      <c r="AN7132">
        <v>0</v>
      </c>
      <c r="AO7132">
        <v>0</v>
      </c>
      <c r="AP7132" s="2">
        <v>42746</v>
      </c>
      <c r="AQ7132" t="s">
        <v>72</v>
      </c>
      <c r="AR7132" t="s">
        <v>72</v>
      </c>
      <c r="AS7132">
        <v>1879</v>
      </c>
      <c r="AT7132" s="4">
        <v>42569</v>
      </c>
      <c r="AU7132" t="s">
        <v>73</v>
      </c>
      <c r="AV7132">
        <v>1879</v>
      </c>
      <c r="AW7132" s="4">
        <v>42569</v>
      </c>
      <c r="BD7132">
        <v>0</v>
      </c>
      <c r="BN7132" t="s">
        <v>74</v>
      </c>
    </row>
    <row r="7133" spans="1:66" hidden="1">
      <c r="A7133">
        <v>104095</v>
      </c>
      <c r="B7133" s="3" t="s">
        <v>610</v>
      </c>
      <c r="C7133" s="1">
        <v>43300101</v>
      </c>
      <c r="D7133" t="s">
        <v>67</v>
      </c>
      <c r="H7133" t="str">
        <f t="shared" si="698"/>
        <v>10181220152</v>
      </c>
      <c r="I7133" t="str">
        <f t="shared" si="698"/>
        <v>10181220152</v>
      </c>
      <c r="K7133" t="str">
        <f>""</f>
        <v/>
      </c>
      <c r="M7133" t="s">
        <v>68</v>
      </c>
      <c r="N7133" t="str">
        <f t="shared" si="695"/>
        <v>FOR</v>
      </c>
      <c r="O7133" t="s">
        <v>69</v>
      </c>
      <c r="P7133" s="3" t="s">
        <v>75</v>
      </c>
      <c r="Q7133">
        <v>2015</v>
      </c>
      <c r="R7133" s="2">
        <v>42199</v>
      </c>
      <c r="S7133" s="2">
        <v>42202</v>
      </c>
      <c r="T7133" s="2">
        <v>42200</v>
      </c>
      <c r="U7133" s="2">
        <v>42260</v>
      </c>
      <c r="V7133" t="s">
        <v>71</v>
      </c>
      <c r="W7133" t="str">
        <f>"          9575334416"</f>
        <v xml:space="preserve">          9575334416</v>
      </c>
      <c r="X7133">
        <v>61</v>
      </c>
      <c r="Y7133">
        <v>0</v>
      </c>
      <c r="Z7133"/>
      <c r="AB7133"/>
      <c r="AC7133">
        <v>50</v>
      </c>
      <c r="AD7133">
        <v>309</v>
      </c>
      <c r="AE7133" s="1">
        <v>15450</v>
      </c>
      <c r="AF7133">
        <v>0</v>
      </c>
      <c r="AJ7133">
        <v>0</v>
      </c>
      <c r="AK7133">
        <v>0</v>
      </c>
      <c r="AL7133">
        <v>0</v>
      </c>
      <c r="AM7133">
        <v>0</v>
      </c>
      <c r="AN7133">
        <v>0</v>
      </c>
      <c r="AO7133">
        <v>0</v>
      </c>
      <c r="AP7133" s="2">
        <v>42746</v>
      </c>
      <c r="AQ7133" t="s">
        <v>72</v>
      </c>
      <c r="AR7133" t="s">
        <v>72</v>
      </c>
      <c r="AS7133">
        <v>1879</v>
      </c>
      <c r="AT7133" s="4">
        <v>42569</v>
      </c>
      <c r="AU7133" t="s">
        <v>73</v>
      </c>
      <c r="AV7133">
        <v>1879</v>
      </c>
      <c r="AW7133" s="4">
        <v>42569</v>
      </c>
      <c r="BD7133">
        <v>0</v>
      </c>
      <c r="BN7133" t="s">
        <v>74</v>
      </c>
    </row>
    <row r="7134" spans="1:66" hidden="1">
      <c r="A7134">
        <v>104095</v>
      </c>
      <c r="B7134" s="3" t="s">
        <v>610</v>
      </c>
      <c r="C7134" s="1">
        <v>43300101</v>
      </c>
      <c r="D7134" t="s">
        <v>67</v>
      </c>
      <c r="H7134" t="str">
        <f t="shared" si="698"/>
        <v>10181220152</v>
      </c>
      <c r="I7134" t="str">
        <f t="shared" si="698"/>
        <v>10181220152</v>
      </c>
      <c r="K7134" t="str">
        <f>""</f>
        <v/>
      </c>
      <c r="M7134" t="s">
        <v>68</v>
      </c>
      <c r="N7134" t="str">
        <f t="shared" si="695"/>
        <v>FOR</v>
      </c>
      <c r="O7134" t="s">
        <v>69</v>
      </c>
      <c r="P7134" s="3" t="s">
        <v>75</v>
      </c>
      <c r="Q7134">
        <v>2015</v>
      </c>
      <c r="R7134" s="2">
        <v>42202</v>
      </c>
      <c r="S7134" s="2">
        <v>42205</v>
      </c>
      <c r="T7134" s="2">
        <v>42203</v>
      </c>
      <c r="U7134" s="2">
        <v>42263</v>
      </c>
      <c r="V7134" t="s">
        <v>71</v>
      </c>
      <c r="W7134" t="str">
        <f>"          9575335047"</f>
        <v xml:space="preserve">          9575335047</v>
      </c>
      <c r="X7134" s="1">
        <v>9736.92</v>
      </c>
      <c r="Y7134">
        <v>0</v>
      </c>
      <c r="Z7134"/>
      <c r="AB7134"/>
      <c r="AC7134" s="1">
        <v>7981.08</v>
      </c>
      <c r="AD7134">
        <v>306</v>
      </c>
      <c r="AE7134" s="1">
        <v>2442210.48</v>
      </c>
      <c r="AF7134">
        <v>0</v>
      </c>
      <c r="AJ7134">
        <v>0</v>
      </c>
      <c r="AK7134">
        <v>0</v>
      </c>
      <c r="AL7134">
        <v>0</v>
      </c>
      <c r="AM7134">
        <v>0</v>
      </c>
      <c r="AN7134">
        <v>0</v>
      </c>
      <c r="AO7134">
        <v>0</v>
      </c>
      <c r="AP7134" s="2">
        <v>42746</v>
      </c>
      <c r="AQ7134" t="s">
        <v>72</v>
      </c>
      <c r="AR7134" t="s">
        <v>72</v>
      </c>
      <c r="AS7134">
        <v>1879</v>
      </c>
      <c r="AT7134" s="4">
        <v>42569</v>
      </c>
      <c r="AU7134" t="s">
        <v>73</v>
      </c>
      <c r="AV7134">
        <v>1879</v>
      </c>
      <c r="AW7134" s="4">
        <v>42569</v>
      </c>
      <c r="BD7134">
        <v>0</v>
      </c>
      <c r="BN7134" t="s">
        <v>74</v>
      </c>
    </row>
    <row r="7135" spans="1:66" hidden="1">
      <c r="A7135">
        <v>104095</v>
      </c>
      <c r="B7135" s="3" t="s">
        <v>610</v>
      </c>
      <c r="C7135" s="1">
        <v>43300101</v>
      </c>
      <c r="D7135" t="s">
        <v>67</v>
      </c>
      <c r="H7135" t="str">
        <f t="shared" si="698"/>
        <v>10181220152</v>
      </c>
      <c r="I7135" t="str">
        <f t="shared" si="698"/>
        <v>10181220152</v>
      </c>
      <c r="K7135" t="str">
        <f>""</f>
        <v/>
      </c>
      <c r="M7135" t="s">
        <v>68</v>
      </c>
      <c r="N7135" t="str">
        <f t="shared" si="695"/>
        <v>FOR</v>
      </c>
      <c r="O7135" t="s">
        <v>69</v>
      </c>
      <c r="P7135" s="3" t="s">
        <v>75</v>
      </c>
      <c r="Q7135">
        <v>2015</v>
      </c>
      <c r="R7135" s="2">
        <v>42209</v>
      </c>
      <c r="S7135" s="2">
        <v>42212</v>
      </c>
      <c r="T7135" s="2">
        <v>42210</v>
      </c>
      <c r="U7135" s="2">
        <v>42270</v>
      </c>
      <c r="V7135" t="s">
        <v>71</v>
      </c>
      <c r="W7135" t="str">
        <f>"          9575336322"</f>
        <v xml:space="preserve">          9575336322</v>
      </c>
      <c r="X7135">
        <v>683.2</v>
      </c>
      <c r="Y7135">
        <v>0</v>
      </c>
      <c r="Z7135"/>
      <c r="AB7135"/>
      <c r="AC7135">
        <v>560</v>
      </c>
      <c r="AD7135">
        <v>299</v>
      </c>
      <c r="AE7135" s="1">
        <v>167440</v>
      </c>
      <c r="AF7135">
        <v>0</v>
      </c>
      <c r="AJ7135">
        <v>0</v>
      </c>
      <c r="AK7135">
        <v>0</v>
      </c>
      <c r="AL7135">
        <v>0</v>
      </c>
      <c r="AM7135">
        <v>0</v>
      </c>
      <c r="AN7135">
        <v>0</v>
      </c>
      <c r="AO7135">
        <v>0</v>
      </c>
      <c r="AP7135" s="2">
        <v>42746</v>
      </c>
      <c r="AQ7135" t="s">
        <v>72</v>
      </c>
      <c r="AR7135" t="s">
        <v>72</v>
      </c>
      <c r="AS7135">
        <v>1879</v>
      </c>
      <c r="AT7135" s="4">
        <v>42569</v>
      </c>
      <c r="AU7135" t="s">
        <v>73</v>
      </c>
      <c r="AV7135">
        <v>1879</v>
      </c>
      <c r="AW7135" s="4">
        <v>42569</v>
      </c>
      <c r="BD7135">
        <v>0</v>
      </c>
      <c r="BN7135" t="s">
        <v>74</v>
      </c>
    </row>
    <row r="7136" spans="1:66" hidden="1">
      <c r="A7136">
        <v>104095</v>
      </c>
      <c r="B7136" s="3" t="s">
        <v>610</v>
      </c>
      <c r="C7136" s="1">
        <v>43300101</v>
      </c>
      <c r="D7136" t="s">
        <v>67</v>
      </c>
      <c r="H7136" t="str">
        <f t="shared" si="698"/>
        <v>10181220152</v>
      </c>
      <c r="I7136" t="str">
        <f t="shared" si="698"/>
        <v>10181220152</v>
      </c>
      <c r="K7136" t="str">
        <f>""</f>
        <v/>
      </c>
      <c r="M7136" t="s">
        <v>68</v>
      </c>
      <c r="N7136" t="str">
        <f t="shared" si="695"/>
        <v>FOR</v>
      </c>
      <c r="O7136" t="s">
        <v>69</v>
      </c>
      <c r="P7136" s="3" t="s">
        <v>75</v>
      </c>
      <c r="Q7136">
        <v>2015</v>
      </c>
      <c r="R7136" s="2">
        <v>42209</v>
      </c>
      <c r="S7136" s="2">
        <v>42212</v>
      </c>
      <c r="T7136" s="2">
        <v>42210</v>
      </c>
      <c r="U7136" s="2">
        <v>42270</v>
      </c>
      <c r="V7136" t="s">
        <v>71</v>
      </c>
      <c r="W7136" t="str">
        <f>"          9575336323"</f>
        <v xml:space="preserve">          9575336323</v>
      </c>
      <c r="X7136" s="1">
        <v>9736.92</v>
      </c>
      <c r="Y7136">
        <v>0</v>
      </c>
      <c r="Z7136"/>
      <c r="AB7136"/>
      <c r="AC7136" s="1">
        <v>7981.08</v>
      </c>
      <c r="AD7136">
        <v>299</v>
      </c>
      <c r="AE7136" s="1">
        <v>2386342.92</v>
      </c>
      <c r="AF7136">
        <v>0</v>
      </c>
      <c r="AJ7136">
        <v>0</v>
      </c>
      <c r="AK7136">
        <v>0</v>
      </c>
      <c r="AL7136">
        <v>0</v>
      </c>
      <c r="AM7136">
        <v>0</v>
      </c>
      <c r="AN7136">
        <v>0</v>
      </c>
      <c r="AO7136">
        <v>0</v>
      </c>
      <c r="AP7136" s="2">
        <v>42746</v>
      </c>
      <c r="AQ7136" t="s">
        <v>72</v>
      </c>
      <c r="AR7136" t="s">
        <v>72</v>
      </c>
      <c r="AS7136">
        <v>1879</v>
      </c>
      <c r="AT7136" s="4">
        <v>42569</v>
      </c>
      <c r="AU7136" t="s">
        <v>73</v>
      </c>
      <c r="AV7136">
        <v>1879</v>
      </c>
      <c r="AW7136" s="4">
        <v>42569</v>
      </c>
      <c r="BD7136">
        <v>0</v>
      </c>
      <c r="BN7136" t="s">
        <v>74</v>
      </c>
    </row>
    <row r="7137" spans="1:66" hidden="1">
      <c r="A7137">
        <v>104095</v>
      </c>
      <c r="B7137" s="3" t="s">
        <v>610</v>
      </c>
      <c r="C7137" s="1">
        <v>43300101</v>
      </c>
      <c r="D7137" t="s">
        <v>67</v>
      </c>
      <c r="H7137" t="str">
        <f t="shared" ref="H7137:I7152" si="699">"10181220152"</f>
        <v>10181220152</v>
      </c>
      <c r="I7137" t="str">
        <f t="shared" si="699"/>
        <v>10181220152</v>
      </c>
      <c r="K7137" t="str">
        <f>""</f>
        <v/>
      </c>
      <c r="M7137" t="s">
        <v>68</v>
      </c>
      <c r="N7137" t="str">
        <f t="shared" si="695"/>
        <v>FOR</v>
      </c>
      <c r="O7137" t="s">
        <v>69</v>
      </c>
      <c r="P7137" s="3" t="s">
        <v>75</v>
      </c>
      <c r="Q7137">
        <v>2015</v>
      </c>
      <c r="R7137" s="2">
        <v>42261</v>
      </c>
      <c r="S7137" s="2">
        <v>42263</v>
      </c>
      <c r="T7137" s="2">
        <v>42262</v>
      </c>
      <c r="U7137" s="2">
        <v>42322</v>
      </c>
      <c r="V7137" t="s">
        <v>71</v>
      </c>
      <c r="W7137" t="str">
        <f>"          9575342989"</f>
        <v xml:space="preserve">          9575342989</v>
      </c>
      <c r="X7137">
        <v>976</v>
      </c>
      <c r="Y7137">
        <v>0</v>
      </c>
      <c r="Z7137"/>
      <c r="AB7137"/>
      <c r="AC7137">
        <v>800</v>
      </c>
      <c r="AD7137">
        <v>297</v>
      </c>
      <c r="AE7137" s="1">
        <v>237600</v>
      </c>
      <c r="AF7137">
        <v>0</v>
      </c>
      <c r="AJ7137">
        <v>0</v>
      </c>
      <c r="AK7137">
        <v>0</v>
      </c>
      <c r="AL7137">
        <v>0</v>
      </c>
      <c r="AM7137">
        <v>0</v>
      </c>
      <c r="AN7137">
        <v>0</v>
      </c>
      <c r="AO7137">
        <v>0</v>
      </c>
      <c r="AP7137" s="2">
        <v>42746</v>
      </c>
      <c r="AQ7137" t="s">
        <v>72</v>
      </c>
      <c r="AR7137" t="s">
        <v>72</v>
      </c>
      <c r="AS7137">
        <v>2299</v>
      </c>
      <c r="AT7137" s="4">
        <v>42619</v>
      </c>
      <c r="AU7137" t="s">
        <v>73</v>
      </c>
      <c r="AV7137">
        <v>2299</v>
      </c>
      <c r="AW7137" s="4">
        <v>42619</v>
      </c>
      <c r="BD7137">
        <v>0</v>
      </c>
      <c r="BN7137" t="s">
        <v>74</v>
      </c>
    </row>
    <row r="7138" spans="1:66" hidden="1">
      <c r="A7138">
        <v>104095</v>
      </c>
      <c r="B7138" s="3" t="s">
        <v>610</v>
      </c>
      <c r="C7138" s="1">
        <v>43300101</v>
      </c>
      <c r="D7138" t="s">
        <v>67</v>
      </c>
      <c r="H7138" t="str">
        <f t="shared" si="699"/>
        <v>10181220152</v>
      </c>
      <c r="I7138" t="str">
        <f t="shared" si="699"/>
        <v>10181220152</v>
      </c>
      <c r="K7138" t="str">
        <f>""</f>
        <v/>
      </c>
      <c r="M7138" t="s">
        <v>68</v>
      </c>
      <c r="N7138" t="str">
        <f t="shared" si="695"/>
        <v>FOR</v>
      </c>
      <c r="O7138" t="s">
        <v>69</v>
      </c>
      <c r="P7138" s="3" t="s">
        <v>75</v>
      </c>
      <c r="Q7138">
        <v>2015</v>
      </c>
      <c r="R7138" s="2">
        <v>42292</v>
      </c>
      <c r="S7138" s="2">
        <v>42296</v>
      </c>
      <c r="T7138" s="2">
        <v>42293</v>
      </c>
      <c r="U7138" s="2">
        <v>42353</v>
      </c>
      <c r="V7138" t="s">
        <v>71</v>
      </c>
      <c r="W7138" t="str">
        <f>"          9575348535"</f>
        <v xml:space="preserve">          9575348535</v>
      </c>
      <c r="X7138" s="1">
        <v>10980</v>
      </c>
      <c r="Y7138">
        <v>0</v>
      </c>
      <c r="Z7138"/>
      <c r="AB7138"/>
      <c r="AC7138" s="1">
        <v>9000</v>
      </c>
      <c r="AD7138">
        <v>266</v>
      </c>
      <c r="AE7138" s="1">
        <v>2394000</v>
      </c>
      <c r="AF7138">
        <v>0</v>
      </c>
      <c r="AJ7138">
        <v>0</v>
      </c>
      <c r="AK7138">
        <v>0</v>
      </c>
      <c r="AL7138">
        <v>0</v>
      </c>
      <c r="AM7138">
        <v>0</v>
      </c>
      <c r="AN7138">
        <v>0</v>
      </c>
      <c r="AO7138">
        <v>0</v>
      </c>
      <c r="AP7138" s="2">
        <v>42746</v>
      </c>
      <c r="AQ7138" t="s">
        <v>72</v>
      </c>
      <c r="AR7138" t="s">
        <v>72</v>
      </c>
      <c r="AS7138">
        <v>2299</v>
      </c>
      <c r="AT7138" s="4">
        <v>42619</v>
      </c>
      <c r="AU7138" t="s">
        <v>73</v>
      </c>
      <c r="AV7138">
        <v>2299</v>
      </c>
      <c r="AW7138" s="4">
        <v>42619</v>
      </c>
      <c r="BD7138">
        <v>0</v>
      </c>
      <c r="BN7138" t="s">
        <v>74</v>
      </c>
    </row>
    <row r="7139" spans="1:66" hidden="1">
      <c r="A7139">
        <v>104095</v>
      </c>
      <c r="B7139" s="3" t="s">
        <v>610</v>
      </c>
      <c r="C7139" s="1">
        <v>43300101</v>
      </c>
      <c r="D7139" t="s">
        <v>67</v>
      </c>
      <c r="H7139" t="str">
        <f t="shared" si="699"/>
        <v>10181220152</v>
      </c>
      <c r="I7139" t="str">
        <f t="shared" si="699"/>
        <v>10181220152</v>
      </c>
      <c r="K7139" t="str">
        <f>""</f>
        <v/>
      </c>
      <c r="M7139" t="s">
        <v>68</v>
      </c>
      <c r="N7139" t="str">
        <f t="shared" si="695"/>
        <v>FOR</v>
      </c>
      <c r="O7139" t="s">
        <v>69</v>
      </c>
      <c r="P7139" s="3" t="s">
        <v>75</v>
      </c>
      <c r="Q7139">
        <v>2015</v>
      </c>
      <c r="R7139" s="2">
        <v>42304</v>
      </c>
      <c r="S7139" s="2">
        <v>42306</v>
      </c>
      <c r="T7139" s="2">
        <v>42305</v>
      </c>
      <c r="U7139" s="2">
        <v>42365</v>
      </c>
      <c r="V7139" t="s">
        <v>71</v>
      </c>
      <c r="W7139" t="str">
        <f>"          9575350104"</f>
        <v xml:space="preserve">          9575350104</v>
      </c>
      <c r="X7139" s="1">
        <v>4944.71</v>
      </c>
      <c r="Y7139">
        <v>0</v>
      </c>
      <c r="Z7139"/>
      <c r="AB7139"/>
      <c r="AC7139" s="1">
        <v>4053.04</v>
      </c>
      <c r="AD7139">
        <v>254</v>
      </c>
      <c r="AE7139" s="1">
        <v>1029472.16</v>
      </c>
      <c r="AF7139">
        <v>0</v>
      </c>
      <c r="AJ7139">
        <v>0</v>
      </c>
      <c r="AK7139">
        <v>0</v>
      </c>
      <c r="AL7139">
        <v>0</v>
      </c>
      <c r="AM7139">
        <v>0</v>
      </c>
      <c r="AN7139">
        <v>0</v>
      </c>
      <c r="AO7139">
        <v>0</v>
      </c>
      <c r="AP7139" s="2">
        <v>42746</v>
      </c>
      <c r="AQ7139" t="s">
        <v>72</v>
      </c>
      <c r="AR7139" t="s">
        <v>72</v>
      </c>
      <c r="AS7139">
        <v>2299</v>
      </c>
      <c r="AT7139" s="4">
        <v>42619</v>
      </c>
      <c r="AU7139" t="s">
        <v>73</v>
      </c>
      <c r="AV7139">
        <v>2299</v>
      </c>
      <c r="AW7139" s="4">
        <v>42619</v>
      </c>
      <c r="BD7139">
        <v>0</v>
      </c>
      <c r="BN7139" t="s">
        <v>74</v>
      </c>
    </row>
    <row r="7140" spans="1:66" hidden="1">
      <c r="A7140">
        <v>104095</v>
      </c>
      <c r="B7140" s="3" t="s">
        <v>610</v>
      </c>
      <c r="C7140" s="1">
        <v>43300101</v>
      </c>
      <c r="D7140" t="s">
        <v>67</v>
      </c>
      <c r="H7140" t="str">
        <f t="shared" si="699"/>
        <v>10181220152</v>
      </c>
      <c r="I7140" t="str">
        <f t="shared" si="699"/>
        <v>10181220152</v>
      </c>
      <c r="K7140" t="str">
        <f>""</f>
        <v/>
      </c>
      <c r="M7140" t="s">
        <v>68</v>
      </c>
      <c r="N7140" t="str">
        <f t="shared" si="695"/>
        <v>FOR</v>
      </c>
      <c r="O7140" t="s">
        <v>69</v>
      </c>
      <c r="P7140" s="3" t="s">
        <v>75</v>
      </c>
      <c r="Q7140">
        <v>2015</v>
      </c>
      <c r="R7140" s="2">
        <v>42305</v>
      </c>
      <c r="S7140" s="2">
        <v>42307</v>
      </c>
      <c r="T7140" s="2">
        <v>42306</v>
      </c>
      <c r="U7140" s="2">
        <v>42366</v>
      </c>
      <c r="V7140" t="s">
        <v>71</v>
      </c>
      <c r="W7140" t="str">
        <f>"          9575350473"</f>
        <v xml:space="preserve">          9575350473</v>
      </c>
      <c r="X7140">
        <v>91.5</v>
      </c>
      <c r="Y7140">
        <v>0</v>
      </c>
      <c r="Z7140"/>
      <c r="AB7140"/>
      <c r="AC7140">
        <v>75</v>
      </c>
      <c r="AD7140">
        <v>253</v>
      </c>
      <c r="AE7140" s="1">
        <v>18975</v>
      </c>
      <c r="AF7140">
        <v>0</v>
      </c>
      <c r="AJ7140">
        <v>0</v>
      </c>
      <c r="AK7140">
        <v>0</v>
      </c>
      <c r="AL7140">
        <v>0</v>
      </c>
      <c r="AM7140">
        <v>0</v>
      </c>
      <c r="AN7140">
        <v>0</v>
      </c>
      <c r="AO7140">
        <v>0</v>
      </c>
      <c r="AP7140" s="2">
        <v>42746</v>
      </c>
      <c r="AQ7140" t="s">
        <v>72</v>
      </c>
      <c r="AR7140" t="s">
        <v>72</v>
      </c>
      <c r="AS7140">
        <v>2299</v>
      </c>
      <c r="AT7140" s="4">
        <v>42619</v>
      </c>
      <c r="AU7140" t="s">
        <v>73</v>
      </c>
      <c r="AV7140">
        <v>2299</v>
      </c>
      <c r="AW7140" s="4">
        <v>42619</v>
      </c>
      <c r="BD7140">
        <v>0</v>
      </c>
      <c r="BN7140" t="s">
        <v>74</v>
      </c>
    </row>
    <row r="7141" spans="1:66">
      <c r="A7141">
        <v>104095</v>
      </c>
      <c r="B7141" s="3" t="s">
        <v>610</v>
      </c>
      <c r="C7141" s="1">
        <v>43300101</v>
      </c>
      <c r="D7141" t="s">
        <v>67</v>
      </c>
      <c r="H7141" t="str">
        <f t="shared" si="699"/>
        <v>10181220152</v>
      </c>
      <c r="I7141" t="str">
        <f t="shared" si="699"/>
        <v>10181220152</v>
      </c>
      <c r="K7141" t="str">
        <f>""</f>
        <v/>
      </c>
      <c r="M7141" t="s">
        <v>68</v>
      </c>
      <c r="N7141" t="str">
        <f t="shared" si="695"/>
        <v>FOR</v>
      </c>
      <c r="O7141" t="s">
        <v>69</v>
      </c>
      <c r="P7141" s="3" t="s">
        <v>75</v>
      </c>
      <c r="Q7141">
        <v>2015</v>
      </c>
      <c r="R7141" s="2">
        <v>42317</v>
      </c>
      <c r="S7141" s="2">
        <v>42318</v>
      </c>
      <c r="T7141" s="2">
        <v>42318</v>
      </c>
      <c r="U7141" s="2">
        <v>42378</v>
      </c>
      <c r="V7141" t="s">
        <v>71</v>
      </c>
      <c r="W7141" t="str">
        <f>"          9575352303"</f>
        <v xml:space="preserve">          9575352303</v>
      </c>
      <c r="X7141" s="1">
        <v>2440</v>
      </c>
      <c r="Y7141">
        <v>0</v>
      </c>
      <c r="Z7141" s="5">
        <v>2000</v>
      </c>
      <c r="AA7141">
        <v>304</v>
      </c>
      <c r="AB7141" s="5">
        <v>608000</v>
      </c>
      <c r="AC7141" s="1">
        <v>2000</v>
      </c>
      <c r="AD7141">
        <v>304</v>
      </c>
      <c r="AE7141" s="1">
        <v>608000</v>
      </c>
      <c r="AF7141">
        <v>0</v>
      </c>
      <c r="AJ7141">
        <v>0</v>
      </c>
      <c r="AK7141">
        <v>0</v>
      </c>
      <c r="AL7141">
        <v>0</v>
      </c>
      <c r="AM7141">
        <v>0</v>
      </c>
      <c r="AN7141">
        <v>0</v>
      </c>
      <c r="AO7141">
        <v>0</v>
      </c>
      <c r="AP7141" s="2">
        <v>42746</v>
      </c>
      <c r="AQ7141" t="s">
        <v>72</v>
      </c>
      <c r="AR7141" t="s">
        <v>72</v>
      </c>
      <c r="AS7141">
        <v>2971</v>
      </c>
      <c r="AT7141" s="4">
        <v>42682</v>
      </c>
      <c r="AU7141" t="s">
        <v>73</v>
      </c>
      <c r="AV7141">
        <v>2971</v>
      </c>
      <c r="AW7141" s="4">
        <v>42682</v>
      </c>
      <c r="BD7141">
        <v>0</v>
      </c>
      <c r="BN7141" t="s">
        <v>74</v>
      </c>
    </row>
    <row r="7142" spans="1:66">
      <c r="A7142">
        <v>104095</v>
      </c>
      <c r="B7142" s="3" t="s">
        <v>610</v>
      </c>
      <c r="C7142" s="1">
        <v>43300101</v>
      </c>
      <c r="D7142" t="s">
        <v>67</v>
      </c>
      <c r="H7142" t="str">
        <f t="shared" si="699"/>
        <v>10181220152</v>
      </c>
      <c r="I7142" t="str">
        <f t="shared" si="699"/>
        <v>10181220152</v>
      </c>
      <c r="K7142" t="str">
        <f>""</f>
        <v/>
      </c>
      <c r="M7142" t="s">
        <v>68</v>
      </c>
      <c r="N7142" t="str">
        <f t="shared" si="695"/>
        <v>FOR</v>
      </c>
      <c r="O7142" t="s">
        <v>69</v>
      </c>
      <c r="P7142" s="3" t="s">
        <v>75</v>
      </c>
      <c r="Q7142">
        <v>2015</v>
      </c>
      <c r="R7142" s="2">
        <v>42321</v>
      </c>
      <c r="S7142" s="2">
        <v>42326</v>
      </c>
      <c r="T7142" s="2">
        <v>42324</v>
      </c>
      <c r="U7142" s="2">
        <v>42384</v>
      </c>
      <c r="V7142" t="s">
        <v>71</v>
      </c>
      <c r="W7142" t="str">
        <f>"          9575353456"</f>
        <v xml:space="preserve">          9575353456</v>
      </c>
      <c r="X7142" s="1">
        <v>22720.35</v>
      </c>
      <c r="Y7142">
        <v>0</v>
      </c>
      <c r="Z7142" s="5">
        <v>18623.240000000002</v>
      </c>
      <c r="AA7142">
        <v>298</v>
      </c>
      <c r="AB7142" s="5">
        <v>5549725.5199999996</v>
      </c>
      <c r="AC7142" s="1">
        <v>18623.240000000002</v>
      </c>
      <c r="AD7142">
        <v>298</v>
      </c>
      <c r="AE7142" s="1">
        <v>5549725.5199999996</v>
      </c>
      <c r="AF7142">
        <v>0</v>
      </c>
      <c r="AJ7142">
        <v>0</v>
      </c>
      <c r="AK7142">
        <v>0</v>
      </c>
      <c r="AL7142">
        <v>0</v>
      </c>
      <c r="AM7142">
        <v>0</v>
      </c>
      <c r="AN7142">
        <v>0</v>
      </c>
      <c r="AO7142">
        <v>0</v>
      </c>
      <c r="AP7142" s="2">
        <v>42746</v>
      </c>
      <c r="AQ7142" t="s">
        <v>72</v>
      </c>
      <c r="AR7142" t="s">
        <v>72</v>
      </c>
      <c r="AS7142">
        <v>2971</v>
      </c>
      <c r="AT7142" s="4">
        <v>42682</v>
      </c>
      <c r="AU7142" t="s">
        <v>73</v>
      </c>
      <c r="AV7142">
        <v>2971</v>
      </c>
      <c r="AW7142" s="4">
        <v>42682</v>
      </c>
      <c r="BD7142">
        <v>0</v>
      </c>
      <c r="BN7142" t="s">
        <v>74</v>
      </c>
    </row>
    <row r="7143" spans="1:66">
      <c r="A7143">
        <v>104095</v>
      </c>
      <c r="B7143" s="3" t="s">
        <v>610</v>
      </c>
      <c r="C7143" s="1">
        <v>43300101</v>
      </c>
      <c r="D7143" t="s">
        <v>67</v>
      </c>
      <c r="H7143" t="str">
        <f t="shared" si="699"/>
        <v>10181220152</v>
      </c>
      <c r="I7143" t="str">
        <f t="shared" si="699"/>
        <v>10181220152</v>
      </c>
      <c r="K7143" t="str">
        <f>""</f>
        <v/>
      </c>
      <c r="M7143" t="s">
        <v>68</v>
      </c>
      <c r="N7143" t="str">
        <f t="shared" si="695"/>
        <v>FOR</v>
      </c>
      <c r="O7143" t="s">
        <v>69</v>
      </c>
      <c r="P7143" s="3" t="s">
        <v>75</v>
      </c>
      <c r="Q7143">
        <v>2015</v>
      </c>
      <c r="R7143" s="2">
        <v>42324</v>
      </c>
      <c r="S7143" s="2">
        <v>42326</v>
      </c>
      <c r="T7143" s="2">
        <v>42325</v>
      </c>
      <c r="U7143" s="2">
        <v>42385</v>
      </c>
      <c r="V7143" t="s">
        <v>71</v>
      </c>
      <c r="W7143" t="str">
        <f>"          9575353621"</f>
        <v xml:space="preserve">          9575353621</v>
      </c>
      <c r="X7143">
        <v>213.5</v>
      </c>
      <c r="Y7143">
        <v>0</v>
      </c>
      <c r="Z7143" s="3">
        <v>175</v>
      </c>
      <c r="AA7143">
        <v>297</v>
      </c>
      <c r="AB7143" s="5">
        <v>51975</v>
      </c>
      <c r="AC7143">
        <v>175</v>
      </c>
      <c r="AD7143">
        <v>297</v>
      </c>
      <c r="AE7143" s="1">
        <v>51975</v>
      </c>
      <c r="AF7143">
        <v>0</v>
      </c>
      <c r="AJ7143">
        <v>0</v>
      </c>
      <c r="AK7143">
        <v>0</v>
      </c>
      <c r="AL7143">
        <v>0</v>
      </c>
      <c r="AM7143">
        <v>0</v>
      </c>
      <c r="AN7143">
        <v>0</v>
      </c>
      <c r="AO7143">
        <v>0</v>
      </c>
      <c r="AP7143" s="2">
        <v>42746</v>
      </c>
      <c r="AQ7143" t="s">
        <v>72</v>
      </c>
      <c r="AR7143" t="s">
        <v>72</v>
      </c>
      <c r="AS7143">
        <v>2971</v>
      </c>
      <c r="AT7143" s="4">
        <v>42682</v>
      </c>
      <c r="AU7143" t="s">
        <v>73</v>
      </c>
      <c r="AV7143">
        <v>2971</v>
      </c>
      <c r="AW7143" s="4">
        <v>42682</v>
      </c>
      <c r="BD7143">
        <v>0</v>
      </c>
      <c r="BN7143" t="s">
        <v>74</v>
      </c>
    </row>
    <row r="7144" spans="1:66">
      <c r="A7144">
        <v>104095</v>
      </c>
      <c r="B7144" s="3" t="s">
        <v>610</v>
      </c>
      <c r="C7144" s="1">
        <v>43300101</v>
      </c>
      <c r="D7144" t="s">
        <v>67</v>
      </c>
      <c r="H7144" t="str">
        <f t="shared" si="699"/>
        <v>10181220152</v>
      </c>
      <c r="I7144" t="str">
        <f t="shared" si="699"/>
        <v>10181220152</v>
      </c>
      <c r="K7144" t="str">
        <f>""</f>
        <v/>
      </c>
      <c r="M7144" t="s">
        <v>68</v>
      </c>
      <c r="N7144" t="str">
        <f t="shared" si="695"/>
        <v>FOR</v>
      </c>
      <c r="O7144" t="s">
        <v>69</v>
      </c>
      <c r="P7144" s="3" t="s">
        <v>75</v>
      </c>
      <c r="Q7144">
        <v>2015</v>
      </c>
      <c r="R7144" s="2">
        <v>42339</v>
      </c>
      <c r="S7144" s="2">
        <v>42341</v>
      </c>
      <c r="T7144" s="2">
        <v>42340</v>
      </c>
      <c r="U7144" s="2">
        <v>42400</v>
      </c>
      <c r="V7144" t="s">
        <v>71</v>
      </c>
      <c r="W7144" t="str">
        <f>"          9575356089"</f>
        <v xml:space="preserve">          9575356089</v>
      </c>
      <c r="X7144" s="1">
        <v>2440</v>
      </c>
      <c r="Y7144">
        <v>0</v>
      </c>
      <c r="Z7144" s="5">
        <v>2000</v>
      </c>
      <c r="AA7144">
        <v>292</v>
      </c>
      <c r="AB7144" s="5">
        <v>584000</v>
      </c>
      <c r="AC7144" s="1">
        <v>2000</v>
      </c>
      <c r="AD7144">
        <v>292</v>
      </c>
      <c r="AE7144" s="1">
        <v>584000</v>
      </c>
      <c r="AF7144">
        <v>0</v>
      </c>
      <c r="AJ7144">
        <v>0</v>
      </c>
      <c r="AK7144">
        <v>0</v>
      </c>
      <c r="AL7144">
        <v>0</v>
      </c>
      <c r="AM7144">
        <v>0</v>
      </c>
      <c r="AN7144">
        <v>0</v>
      </c>
      <c r="AO7144">
        <v>0</v>
      </c>
      <c r="AP7144" s="2">
        <v>42746</v>
      </c>
      <c r="AQ7144" t="s">
        <v>72</v>
      </c>
      <c r="AR7144" t="s">
        <v>72</v>
      </c>
      <c r="AS7144">
        <v>3181</v>
      </c>
      <c r="AT7144" s="4">
        <v>42692</v>
      </c>
      <c r="AU7144" t="s">
        <v>73</v>
      </c>
      <c r="AV7144">
        <v>3181</v>
      </c>
      <c r="AW7144" s="4">
        <v>42692</v>
      </c>
      <c r="BD7144">
        <v>0</v>
      </c>
      <c r="BN7144" t="s">
        <v>74</v>
      </c>
    </row>
    <row r="7145" spans="1:66">
      <c r="A7145">
        <v>104095</v>
      </c>
      <c r="B7145" s="3" t="s">
        <v>610</v>
      </c>
      <c r="C7145" s="1">
        <v>43300101</v>
      </c>
      <c r="D7145" t="s">
        <v>67</v>
      </c>
      <c r="H7145" t="str">
        <f t="shared" si="699"/>
        <v>10181220152</v>
      </c>
      <c r="I7145" t="str">
        <f t="shared" si="699"/>
        <v>10181220152</v>
      </c>
      <c r="K7145" t="str">
        <f>""</f>
        <v/>
      </c>
      <c r="M7145" t="s">
        <v>68</v>
      </c>
      <c r="N7145" t="str">
        <f t="shared" si="695"/>
        <v>FOR</v>
      </c>
      <c r="O7145" t="s">
        <v>69</v>
      </c>
      <c r="P7145" s="3" t="s">
        <v>75</v>
      </c>
      <c r="Q7145">
        <v>2015</v>
      </c>
      <c r="R7145" s="2">
        <v>42352</v>
      </c>
      <c r="S7145" s="2">
        <v>42354</v>
      </c>
      <c r="T7145" s="2">
        <v>42353</v>
      </c>
      <c r="U7145" s="2">
        <v>42413</v>
      </c>
      <c r="V7145" t="s">
        <v>71</v>
      </c>
      <c r="W7145" t="str">
        <f>"          9575358608"</f>
        <v xml:space="preserve">          9575358608</v>
      </c>
      <c r="X7145">
        <v>61</v>
      </c>
      <c r="Y7145">
        <v>0</v>
      </c>
      <c r="Z7145" s="3">
        <v>50</v>
      </c>
      <c r="AA7145">
        <v>279</v>
      </c>
      <c r="AB7145" s="5">
        <v>13950</v>
      </c>
      <c r="AC7145">
        <v>50</v>
      </c>
      <c r="AD7145">
        <v>279</v>
      </c>
      <c r="AE7145" s="1">
        <v>13950</v>
      </c>
      <c r="AF7145">
        <v>0</v>
      </c>
      <c r="AJ7145">
        <v>0</v>
      </c>
      <c r="AK7145">
        <v>0</v>
      </c>
      <c r="AL7145">
        <v>0</v>
      </c>
      <c r="AM7145">
        <v>0</v>
      </c>
      <c r="AN7145">
        <v>0</v>
      </c>
      <c r="AO7145">
        <v>0</v>
      </c>
      <c r="AP7145" s="2">
        <v>42746</v>
      </c>
      <c r="AQ7145" t="s">
        <v>72</v>
      </c>
      <c r="AR7145" t="s">
        <v>72</v>
      </c>
      <c r="AS7145">
        <v>3181</v>
      </c>
      <c r="AT7145" s="4">
        <v>42692</v>
      </c>
      <c r="AU7145" t="s">
        <v>73</v>
      </c>
      <c r="AV7145">
        <v>3181</v>
      </c>
      <c r="AW7145" s="4">
        <v>42692</v>
      </c>
      <c r="BD7145">
        <v>0</v>
      </c>
      <c r="BN7145" t="s">
        <v>74</v>
      </c>
    </row>
    <row r="7146" spans="1:66">
      <c r="A7146">
        <v>104095</v>
      </c>
      <c r="B7146" s="3" t="s">
        <v>610</v>
      </c>
      <c r="C7146" s="1">
        <v>43300101</v>
      </c>
      <c r="D7146" t="s">
        <v>67</v>
      </c>
      <c r="H7146" t="str">
        <f t="shared" si="699"/>
        <v>10181220152</v>
      </c>
      <c r="I7146" t="str">
        <f t="shared" si="699"/>
        <v>10181220152</v>
      </c>
      <c r="K7146" t="str">
        <f>""</f>
        <v/>
      </c>
      <c r="M7146" t="s">
        <v>68</v>
      </c>
      <c r="N7146" t="str">
        <f t="shared" si="695"/>
        <v>FOR</v>
      </c>
      <c r="O7146" t="s">
        <v>69</v>
      </c>
      <c r="P7146" s="3" t="s">
        <v>75</v>
      </c>
      <c r="Q7146">
        <v>2015</v>
      </c>
      <c r="R7146" s="2">
        <v>42356</v>
      </c>
      <c r="S7146" s="2">
        <v>42361</v>
      </c>
      <c r="T7146" s="2">
        <v>42359</v>
      </c>
      <c r="U7146" s="2">
        <v>42419</v>
      </c>
      <c r="V7146" t="s">
        <v>71</v>
      </c>
      <c r="W7146" t="str">
        <f>"          9575359773"</f>
        <v xml:space="preserve">          9575359773</v>
      </c>
      <c r="X7146" s="1">
        <v>10980</v>
      </c>
      <c r="Y7146">
        <v>0</v>
      </c>
      <c r="Z7146" s="5">
        <v>9000</v>
      </c>
      <c r="AA7146">
        <v>273</v>
      </c>
      <c r="AB7146" s="5">
        <v>2457000</v>
      </c>
      <c r="AC7146" s="1">
        <v>9000</v>
      </c>
      <c r="AD7146">
        <v>273</v>
      </c>
      <c r="AE7146" s="1">
        <v>2457000</v>
      </c>
      <c r="AF7146">
        <v>0</v>
      </c>
      <c r="AJ7146">
        <v>0</v>
      </c>
      <c r="AK7146">
        <v>0</v>
      </c>
      <c r="AL7146">
        <v>0</v>
      </c>
      <c r="AM7146">
        <v>0</v>
      </c>
      <c r="AN7146">
        <v>0</v>
      </c>
      <c r="AO7146">
        <v>0</v>
      </c>
      <c r="AP7146" s="2">
        <v>42746</v>
      </c>
      <c r="AQ7146" t="s">
        <v>72</v>
      </c>
      <c r="AR7146" t="s">
        <v>72</v>
      </c>
      <c r="AS7146">
        <v>3181</v>
      </c>
      <c r="AT7146" s="4">
        <v>42692</v>
      </c>
      <c r="AU7146" t="s">
        <v>73</v>
      </c>
      <c r="AV7146">
        <v>3181</v>
      </c>
      <c r="AW7146" s="4">
        <v>42692</v>
      </c>
      <c r="BD7146">
        <v>0</v>
      </c>
      <c r="BN7146" t="s">
        <v>74</v>
      </c>
    </row>
    <row r="7147" spans="1:66" hidden="1">
      <c r="A7147">
        <v>104095</v>
      </c>
      <c r="B7147" s="3" t="s">
        <v>610</v>
      </c>
      <c r="C7147" s="1">
        <v>43300101</v>
      </c>
      <c r="D7147" t="s">
        <v>67</v>
      </c>
      <c r="H7147" t="str">
        <f t="shared" si="699"/>
        <v>10181220152</v>
      </c>
      <c r="I7147" t="str">
        <f t="shared" si="699"/>
        <v>10181220152</v>
      </c>
      <c r="K7147" t="str">
        <f>""</f>
        <v/>
      </c>
      <c r="M7147" t="s">
        <v>68</v>
      </c>
      <c r="N7147" t="str">
        <f t="shared" si="695"/>
        <v>FOR</v>
      </c>
      <c r="O7147" t="s">
        <v>69</v>
      </c>
      <c r="P7147" s="3" t="s">
        <v>75</v>
      </c>
      <c r="Q7147">
        <v>2015</v>
      </c>
      <c r="R7147" s="2">
        <v>42102</v>
      </c>
      <c r="S7147" s="2">
        <v>42108</v>
      </c>
      <c r="T7147" s="2">
        <v>42107</v>
      </c>
      <c r="U7147" s="2">
        <v>42167</v>
      </c>
      <c r="V7147" t="s">
        <v>71</v>
      </c>
      <c r="W7147" t="str">
        <f>"          9585303712"</f>
        <v xml:space="preserve">          9585303712</v>
      </c>
      <c r="X7147" s="1">
        <v>2440</v>
      </c>
      <c r="Y7147">
        <v>0</v>
      </c>
      <c r="Z7147"/>
      <c r="AB7147"/>
      <c r="AC7147" s="1">
        <v>2000</v>
      </c>
      <c r="AD7147">
        <v>325</v>
      </c>
      <c r="AE7147" s="1">
        <v>650000</v>
      </c>
      <c r="AF7147">
        <v>0</v>
      </c>
      <c r="AJ7147">
        <v>0</v>
      </c>
      <c r="AK7147">
        <v>0</v>
      </c>
      <c r="AL7147">
        <v>0</v>
      </c>
      <c r="AM7147">
        <v>0</v>
      </c>
      <c r="AN7147">
        <v>0</v>
      </c>
      <c r="AO7147">
        <v>0</v>
      </c>
      <c r="AP7147" s="2">
        <v>42746</v>
      </c>
      <c r="AQ7147" t="s">
        <v>72</v>
      </c>
      <c r="AR7147" t="s">
        <v>72</v>
      </c>
      <c r="AS7147">
        <v>1237</v>
      </c>
      <c r="AT7147" s="4">
        <v>42492</v>
      </c>
      <c r="AU7147" t="s">
        <v>73</v>
      </c>
      <c r="AV7147">
        <v>1237</v>
      </c>
      <c r="AW7147" s="4">
        <v>42492</v>
      </c>
      <c r="BD7147">
        <v>0</v>
      </c>
      <c r="BN7147" t="s">
        <v>74</v>
      </c>
    </row>
    <row r="7148" spans="1:66" hidden="1">
      <c r="A7148">
        <v>104095</v>
      </c>
      <c r="B7148" s="3" t="s">
        <v>610</v>
      </c>
      <c r="C7148" s="1">
        <v>43300101</v>
      </c>
      <c r="D7148" t="s">
        <v>67</v>
      </c>
      <c r="H7148" t="str">
        <f t="shared" si="699"/>
        <v>10181220152</v>
      </c>
      <c r="I7148" t="str">
        <f t="shared" si="699"/>
        <v>10181220152</v>
      </c>
      <c r="K7148" t="str">
        <f>""</f>
        <v/>
      </c>
      <c r="M7148" t="s">
        <v>68</v>
      </c>
      <c r="N7148" t="str">
        <f t="shared" si="695"/>
        <v>FOR</v>
      </c>
      <c r="O7148" t="s">
        <v>69</v>
      </c>
      <c r="P7148" s="3" t="s">
        <v>75</v>
      </c>
      <c r="Q7148">
        <v>2015</v>
      </c>
      <c r="R7148" s="2">
        <v>42102</v>
      </c>
      <c r="S7148" s="2">
        <v>42108</v>
      </c>
      <c r="T7148" s="2">
        <v>42107</v>
      </c>
      <c r="U7148" s="2">
        <v>42167</v>
      </c>
      <c r="V7148" t="s">
        <v>71</v>
      </c>
      <c r="W7148" t="str">
        <f>"          9585303713"</f>
        <v xml:space="preserve">          9585303713</v>
      </c>
      <c r="X7148" s="1">
        <v>2013</v>
      </c>
      <c r="Y7148">
        <v>0</v>
      </c>
      <c r="Z7148"/>
      <c r="AB7148"/>
      <c r="AC7148" s="1">
        <v>1650</v>
      </c>
      <c r="AD7148">
        <v>325</v>
      </c>
      <c r="AE7148" s="1">
        <v>536250</v>
      </c>
      <c r="AF7148">
        <v>0</v>
      </c>
      <c r="AJ7148">
        <v>0</v>
      </c>
      <c r="AK7148">
        <v>0</v>
      </c>
      <c r="AL7148">
        <v>0</v>
      </c>
      <c r="AM7148">
        <v>0</v>
      </c>
      <c r="AN7148">
        <v>0</v>
      </c>
      <c r="AO7148">
        <v>0</v>
      </c>
      <c r="AP7148" s="2">
        <v>42746</v>
      </c>
      <c r="AQ7148" t="s">
        <v>72</v>
      </c>
      <c r="AR7148" t="s">
        <v>72</v>
      </c>
      <c r="AS7148">
        <v>1237</v>
      </c>
      <c r="AT7148" s="4">
        <v>42492</v>
      </c>
      <c r="AU7148" t="s">
        <v>73</v>
      </c>
      <c r="AV7148">
        <v>1237</v>
      </c>
      <c r="AW7148" s="4">
        <v>42492</v>
      </c>
      <c r="BD7148">
        <v>0</v>
      </c>
      <c r="BN7148" t="s">
        <v>74</v>
      </c>
    </row>
    <row r="7149" spans="1:66" hidden="1">
      <c r="A7149">
        <v>104095</v>
      </c>
      <c r="B7149" s="3" t="s">
        <v>610</v>
      </c>
      <c r="C7149" s="1">
        <v>43300101</v>
      </c>
      <c r="D7149" t="s">
        <v>67</v>
      </c>
      <c r="H7149" t="str">
        <f t="shared" si="699"/>
        <v>10181220152</v>
      </c>
      <c r="I7149" t="str">
        <f t="shared" si="699"/>
        <v>10181220152</v>
      </c>
      <c r="K7149" t="str">
        <f>""</f>
        <v/>
      </c>
      <c r="M7149" t="s">
        <v>68</v>
      </c>
      <c r="N7149" t="str">
        <f t="shared" si="695"/>
        <v>FOR</v>
      </c>
      <c r="O7149" t="s">
        <v>69</v>
      </c>
      <c r="P7149" s="3" t="s">
        <v>75</v>
      </c>
      <c r="Q7149">
        <v>2015</v>
      </c>
      <c r="R7149" s="2">
        <v>42102</v>
      </c>
      <c r="S7149" s="2">
        <v>42108</v>
      </c>
      <c r="T7149" s="2">
        <v>42107</v>
      </c>
      <c r="U7149" s="2">
        <v>42167</v>
      </c>
      <c r="V7149" t="s">
        <v>71</v>
      </c>
      <c r="W7149" t="str">
        <f>"          9585303714"</f>
        <v xml:space="preserve">          9585303714</v>
      </c>
      <c r="X7149">
        <v>61</v>
      </c>
      <c r="Y7149">
        <v>0</v>
      </c>
      <c r="Z7149"/>
      <c r="AB7149"/>
      <c r="AC7149">
        <v>50</v>
      </c>
      <c r="AD7149">
        <v>325</v>
      </c>
      <c r="AE7149" s="1">
        <v>16250</v>
      </c>
      <c r="AF7149">
        <v>0</v>
      </c>
      <c r="AJ7149">
        <v>0</v>
      </c>
      <c r="AK7149">
        <v>0</v>
      </c>
      <c r="AL7149">
        <v>0</v>
      </c>
      <c r="AM7149">
        <v>0</v>
      </c>
      <c r="AN7149">
        <v>0</v>
      </c>
      <c r="AO7149">
        <v>0</v>
      </c>
      <c r="AP7149" s="2">
        <v>42746</v>
      </c>
      <c r="AQ7149" t="s">
        <v>72</v>
      </c>
      <c r="AR7149" t="s">
        <v>72</v>
      </c>
      <c r="AS7149">
        <v>1237</v>
      </c>
      <c r="AT7149" s="4">
        <v>42492</v>
      </c>
      <c r="AU7149" t="s">
        <v>73</v>
      </c>
      <c r="AV7149">
        <v>1237</v>
      </c>
      <c r="AW7149" s="4">
        <v>42492</v>
      </c>
      <c r="BD7149">
        <v>0</v>
      </c>
      <c r="BN7149" t="s">
        <v>74</v>
      </c>
    </row>
    <row r="7150" spans="1:66">
      <c r="A7150">
        <v>104095</v>
      </c>
      <c r="B7150" s="3" t="s">
        <v>610</v>
      </c>
      <c r="C7150" s="1">
        <v>43300101</v>
      </c>
      <c r="D7150" t="s">
        <v>67</v>
      </c>
      <c r="H7150" t="str">
        <f t="shared" si="699"/>
        <v>10181220152</v>
      </c>
      <c r="I7150" t="str">
        <f t="shared" si="699"/>
        <v>10181220152</v>
      </c>
      <c r="K7150" t="str">
        <f>""</f>
        <v/>
      </c>
      <c r="M7150" t="s">
        <v>68</v>
      </c>
      <c r="N7150" t="str">
        <f t="shared" si="695"/>
        <v>FOR</v>
      </c>
      <c r="O7150" t="s">
        <v>69</v>
      </c>
      <c r="P7150" s="3" t="s">
        <v>75</v>
      </c>
      <c r="Q7150">
        <v>2015</v>
      </c>
      <c r="R7150" s="2">
        <v>42341</v>
      </c>
      <c r="S7150" s="2">
        <v>42342</v>
      </c>
      <c r="T7150" s="2">
        <v>42342</v>
      </c>
      <c r="U7150" s="2">
        <v>42402</v>
      </c>
      <c r="V7150" t="s">
        <v>71</v>
      </c>
      <c r="W7150" t="str">
        <f>"          9585306690"</f>
        <v xml:space="preserve">          9585306690</v>
      </c>
      <c r="X7150" s="1">
        <v>7783.6</v>
      </c>
      <c r="Y7150">
        <v>0</v>
      </c>
      <c r="Z7150" s="5">
        <v>6380</v>
      </c>
      <c r="AA7150">
        <v>290</v>
      </c>
      <c r="AB7150" s="5">
        <v>1850200</v>
      </c>
      <c r="AC7150" s="1">
        <v>6380</v>
      </c>
      <c r="AD7150">
        <v>290</v>
      </c>
      <c r="AE7150" s="1">
        <v>1850200</v>
      </c>
      <c r="AF7150">
        <v>0</v>
      </c>
      <c r="AJ7150">
        <v>0</v>
      </c>
      <c r="AK7150">
        <v>0</v>
      </c>
      <c r="AL7150">
        <v>0</v>
      </c>
      <c r="AM7150">
        <v>0</v>
      </c>
      <c r="AN7150">
        <v>0</v>
      </c>
      <c r="AO7150">
        <v>0</v>
      </c>
      <c r="AP7150" s="2">
        <v>42746</v>
      </c>
      <c r="AQ7150" t="s">
        <v>72</v>
      </c>
      <c r="AR7150" t="s">
        <v>72</v>
      </c>
      <c r="AS7150">
        <v>3181</v>
      </c>
      <c r="AT7150" s="4">
        <v>42692</v>
      </c>
      <c r="AU7150" t="s">
        <v>73</v>
      </c>
      <c r="AV7150">
        <v>3181</v>
      </c>
      <c r="AW7150" s="4">
        <v>42692</v>
      </c>
      <c r="BD7150">
        <v>0</v>
      </c>
      <c r="BN7150" t="s">
        <v>74</v>
      </c>
    </row>
    <row r="7151" spans="1:66">
      <c r="A7151">
        <v>104095</v>
      </c>
      <c r="B7151" s="3" t="s">
        <v>610</v>
      </c>
      <c r="C7151" s="1">
        <v>43300101</v>
      </c>
      <c r="D7151" t="s">
        <v>67</v>
      </c>
      <c r="H7151" t="str">
        <f t="shared" si="699"/>
        <v>10181220152</v>
      </c>
      <c r="I7151" t="str">
        <f t="shared" si="699"/>
        <v>10181220152</v>
      </c>
      <c r="K7151" t="str">
        <f>""</f>
        <v/>
      </c>
      <c r="M7151" t="s">
        <v>68</v>
      </c>
      <c r="N7151" t="str">
        <f t="shared" si="695"/>
        <v>FOR</v>
      </c>
      <c r="O7151" t="s">
        <v>69</v>
      </c>
      <c r="P7151" s="3" t="s">
        <v>75</v>
      </c>
      <c r="Q7151">
        <v>2016</v>
      </c>
      <c r="R7151" s="2">
        <v>42388</v>
      </c>
      <c r="S7151" s="2">
        <v>42391</v>
      </c>
      <c r="T7151" s="2">
        <v>42390</v>
      </c>
      <c r="U7151" s="2">
        <v>42450</v>
      </c>
      <c r="V7151" t="s">
        <v>71</v>
      </c>
      <c r="W7151" t="str">
        <f>"          9576301796"</f>
        <v xml:space="preserve">          9576301796</v>
      </c>
      <c r="X7151" s="1">
        <v>40966.36</v>
      </c>
      <c r="Y7151">
        <v>0</v>
      </c>
      <c r="Z7151" s="5">
        <v>33578.980000000003</v>
      </c>
      <c r="AA7151">
        <v>242</v>
      </c>
      <c r="AB7151" s="5">
        <v>8126113.1600000001</v>
      </c>
      <c r="AC7151" s="1">
        <v>33578.980000000003</v>
      </c>
      <c r="AD7151">
        <v>242</v>
      </c>
      <c r="AE7151" s="1">
        <v>8126113.1600000001</v>
      </c>
      <c r="AF7151">
        <v>0</v>
      </c>
      <c r="AJ7151">
        <v>0</v>
      </c>
      <c r="AK7151">
        <v>0</v>
      </c>
      <c r="AL7151">
        <v>0</v>
      </c>
      <c r="AM7151" s="1">
        <v>40966.36</v>
      </c>
      <c r="AN7151" s="1">
        <v>40966.36</v>
      </c>
      <c r="AO7151" s="1">
        <v>40966.36</v>
      </c>
      <c r="AP7151" s="2">
        <v>42746</v>
      </c>
      <c r="AQ7151" t="s">
        <v>72</v>
      </c>
      <c r="AR7151" t="s">
        <v>72</v>
      </c>
      <c r="AS7151">
        <v>3181</v>
      </c>
      <c r="AT7151" s="4">
        <v>42692</v>
      </c>
      <c r="AU7151" t="s">
        <v>73</v>
      </c>
      <c r="AV7151">
        <v>3181</v>
      </c>
      <c r="AW7151" s="4">
        <v>42692</v>
      </c>
      <c r="BD7151">
        <v>0</v>
      </c>
      <c r="BN7151" t="s">
        <v>74</v>
      </c>
    </row>
    <row r="7152" spans="1:66">
      <c r="A7152">
        <v>104095</v>
      </c>
      <c r="B7152" s="3" t="s">
        <v>610</v>
      </c>
      <c r="C7152" s="1">
        <v>43300101</v>
      </c>
      <c r="D7152" t="s">
        <v>67</v>
      </c>
      <c r="H7152" t="str">
        <f t="shared" si="699"/>
        <v>10181220152</v>
      </c>
      <c r="I7152" t="str">
        <f t="shared" si="699"/>
        <v>10181220152</v>
      </c>
      <c r="K7152" t="str">
        <f>""</f>
        <v/>
      </c>
      <c r="M7152" t="s">
        <v>68</v>
      </c>
      <c r="N7152" t="str">
        <f t="shared" si="695"/>
        <v>FOR</v>
      </c>
      <c r="O7152" t="s">
        <v>69</v>
      </c>
      <c r="P7152" s="3" t="s">
        <v>75</v>
      </c>
      <c r="Q7152">
        <v>2016</v>
      </c>
      <c r="R7152" s="2">
        <v>42389</v>
      </c>
      <c r="S7152" s="2">
        <v>42391</v>
      </c>
      <c r="T7152" s="2">
        <v>42390</v>
      </c>
      <c r="U7152" s="2">
        <v>42450</v>
      </c>
      <c r="V7152" t="s">
        <v>71</v>
      </c>
      <c r="W7152" t="str">
        <f>"          9576302099"</f>
        <v xml:space="preserve">          9576302099</v>
      </c>
      <c r="X7152">
        <v>213.5</v>
      </c>
      <c r="Y7152">
        <v>0</v>
      </c>
      <c r="Z7152" s="3">
        <v>175</v>
      </c>
      <c r="AA7152">
        <v>242</v>
      </c>
      <c r="AB7152" s="5">
        <v>42350</v>
      </c>
      <c r="AC7152">
        <v>175</v>
      </c>
      <c r="AD7152">
        <v>242</v>
      </c>
      <c r="AE7152" s="1">
        <v>42350</v>
      </c>
      <c r="AF7152">
        <v>0</v>
      </c>
      <c r="AJ7152">
        <v>0</v>
      </c>
      <c r="AK7152">
        <v>0</v>
      </c>
      <c r="AL7152">
        <v>0</v>
      </c>
      <c r="AM7152">
        <v>213.5</v>
      </c>
      <c r="AN7152">
        <v>213.5</v>
      </c>
      <c r="AO7152">
        <v>213.5</v>
      </c>
      <c r="AP7152" s="2">
        <v>42746</v>
      </c>
      <c r="AQ7152" t="s">
        <v>72</v>
      </c>
      <c r="AR7152" t="s">
        <v>72</v>
      </c>
      <c r="AS7152">
        <v>3181</v>
      </c>
      <c r="AT7152" s="4">
        <v>42692</v>
      </c>
      <c r="AU7152" t="s">
        <v>73</v>
      </c>
      <c r="AV7152">
        <v>3181</v>
      </c>
      <c r="AW7152" s="4">
        <v>42692</v>
      </c>
      <c r="BD7152">
        <v>0</v>
      </c>
      <c r="BN7152" t="s">
        <v>74</v>
      </c>
    </row>
    <row r="7153" spans="1:66">
      <c r="A7153">
        <v>104096</v>
      </c>
      <c r="B7153" s="3" t="s">
        <v>611</v>
      </c>
      <c r="C7153" s="1">
        <v>43300101</v>
      </c>
      <c r="D7153" t="s">
        <v>67</v>
      </c>
      <c r="H7153" t="str">
        <f>"10852890150"</f>
        <v>10852890150</v>
      </c>
      <c r="I7153" t="str">
        <f>"01262580507"</f>
        <v>01262580507</v>
      </c>
      <c r="K7153" t="str">
        <f>""</f>
        <v/>
      </c>
      <c r="M7153" t="s">
        <v>68</v>
      </c>
      <c r="N7153" t="str">
        <f t="shared" si="695"/>
        <v>FOR</v>
      </c>
      <c r="O7153" t="s">
        <v>69</v>
      </c>
      <c r="P7153" s="3" t="s">
        <v>70</v>
      </c>
      <c r="Q7153">
        <v>2015</v>
      </c>
      <c r="R7153" s="2">
        <v>42118</v>
      </c>
      <c r="S7153" s="2">
        <v>42632</v>
      </c>
      <c r="T7153" s="2">
        <v>42632</v>
      </c>
      <c r="U7153" s="2">
        <v>42692</v>
      </c>
      <c r="V7153" t="s">
        <v>71</v>
      </c>
      <c r="W7153" t="str">
        <f>"          5915003981"</f>
        <v xml:space="preserve">          5915003981</v>
      </c>
      <c r="X7153">
        <v>506</v>
      </c>
      <c r="Y7153">
        <v>0</v>
      </c>
      <c r="Z7153" s="3">
        <v>460</v>
      </c>
      <c r="AA7153">
        <v>-14</v>
      </c>
      <c r="AB7153" s="5">
        <v>-6440</v>
      </c>
      <c r="AC7153">
        <v>460</v>
      </c>
      <c r="AD7153">
        <v>-14</v>
      </c>
      <c r="AE7153" s="1">
        <v>-6440</v>
      </c>
      <c r="AF7153">
        <v>0</v>
      </c>
      <c r="AJ7153">
        <v>0</v>
      </c>
      <c r="AK7153">
        <v>0</v>
      </c>
      <c r="AL7153">
        <v>0</v>
      </c>
      <c r="AM7153">
        <v>0</v>
      </c>
      <c r="AN7153">
        <v>506</v>
      </c>
      <c r="AO7153">
        <v>0</v>
      </c>
      <c r="AP7153" s="2">
        <v>42746</v>
      </c>
      <c r="AQ7153" t="s">
        <v>72</v>
      </c>
      <c r="AR7153" t="s">
        <v>72</v>
      </c>
      <c r="AS7153">
        <v>2939</v>
      </c>
      <c r="AT7153" s="4">
        <v>42678</v>
      </c>
      <c r="AV7153">
        <v>2939</v>
      </c>
      <c r="AW7153" s="4">
        <v>42678</v>
      </c>
      <c r="BD7153">
        <v>0</v>
      </c>
      <c r="BN7153" t="s">
        <v>74</v>
      </c>
    </row>
    <row r="7154" spans="1:66">
      <c r="A7154">
        <v>104102</v>
      </c>
      <c r="B7154" s="3" t="s">
        <v>612</v>
      </c>
      <c r="C7154" s="1">
        <v>43300101</v>
      </c>
      <c r="D7154" t="s">
        <v>67</v>
      </c>
      <c r="H7154" t="str">
        <f>"01633850837"</f>
        <v>01633850837</v>
      </c>
      <c r="I7154" t="str">
        <f>"01633850837"</f>
        <v>01633850837</v>
      </c>
      <c r="K7154" t="str">
        <f>""</f>
        <v/>
      </c>
      <c r="M7154" t="s">
        <v>68</v>
      </c>
      <c r="N7154" t="str">
        <f t="shared" si="695"/>
        <v>FOR</v>
      </c>
      <c r="O7154" t="s">
        <v>69</v>
      </c>
      <c r="P7154" s="3" t="s">
        <v>75</v>
      </c>
      <c r="Q7154">
        <v>2016</v>
      </c>
      <c r="R7154" s="2">
        <v>42399</v>
      </c>
      <c r="S7154" s="2">
        <v>42401</v>
      </c>
      <c r="T7154" s="2">
        <v>42401</v>
      </c>
      <c r="U7154" s="2">
        <v>42461</v>
      </c>
      <c r="V7154" t="s">
        <v>71</v>
      </c>
      <c r="W7154" t="str">
        <f>"              PA/173"</f>
        <v xml:space="preserve">              PA/173</v>
      </c>
      <c r="X7154">
        <v>585.6</v>
      </c>
      <c r="Y7154">
        <v>0</v>
      </c>
      <c r="Z7154" s="3">
        <v>480</v>
      </c>
      <c r="AA7154">
        <v>222</v>
      </c>
      <c r="AB7154" s="5">
        <v>106560</v>
      </c>
      <c r="AC7154">
        <v>480</v>
      </c>
      <c r="AD7154">
        <v>222</v>
      </c>
      <c r="AE7154" s="1">
        <v>106560</v>
      </c>
      <c r="AF7154">
        <v>0</v>
      </c>
      <c r="AJ7154">
        <v>0</v>
      </c>
      <c r="AK7154">
        <v>0</v>
      </c>
      <c r="AL7154">
        <v>0</v>
      </c>
      <c r="AM7154">
        <v>585.6</v>
      </c>
      <c r="AN7154">
        <v>585.6</v>
      </c>
      <c r="AO7154">
        <v>585.6</v>
      </c>
      <c r="AP7154" s="2">
        <v>42746</v>
      </c>
      <c r="AQ7154" t="s">
        <v>72</v>
      </c>
      <c r="AR7154" t="s">
        <v>72</v>
      </c>
      <c r="AS7154">
        <v>3002</v>
      </c>
      <c r="AT7154" s="4">
        <v>42683</v>
      </c>
      <c r="AU7154" t="s">
        <v>73</v>
      </c>
      <c r="AV7154">
        <v>3002</v>
      </c>
      <c r="AW7154" s="4">
        <v>42683</v>
      </c>
      <c r="BD7154">
        <v>0</v>
      </c>
      <c r="BN7154" t="s">
        <v>74</v>
      </c>
    </row>
    <row r="7155" spans="1:66">
      <c r="A7155">
        <v>104102</v>
      </c>
      <c r="B7155" s="3" t="s">
        <v>612</v>
      </c>
      <c r="C7155" s="1">
        <v>43300101</v>
      </c>
      <c r="D7155" t="s">
        <v>67</v>
      </c>
      <c r="H7155" t="str">
        <f>"01633850837"</f>
        <v>01633850837</v>
      </c>
      <c r="I7155" t="str">
        <f>"01633850837"</f>
        <v>01633850837</v>
      </c>
      <c r="K7155" t="str">
        <f>""</f>
        <v/>
      </c>
      <c r="M7155" t="s">
        <v>68</v>
      </c>
      <c r="N7155" t="str">
        <f t="shared" si="695"/>
        <v>FOR</v>
      </c>
      <c r="O7155" t="s">
        <v>69</v>
      </c>
      <c r="P7155" s="3" t="s">
        <v>75</v>
      </c>
      <c r="Q7155">
        <v>2016</v>
      </c>
      <c r="R7155" s="2">
        <v>42408</v>
      </c>
      <c r="S7155" s="2">
        <v>42410</v>
      </c>
      <c r="T7155" s="2">
        <v>42408</v>
      </c>
      <c r="U7155" s="2">
        <v>42468</v>
      </c>
      <c r="V7155" t="s">
        <v>71</v>
      </c>
      <c r="W7155" t="str">
        <f>"              PA/219"</f>
        <v xml:space="preserve">              PA/219</v>
      </c>
      <c r="X7155">
        <v>292.8</v>
      </c>
      <c r="Y7155">
        <v>0</v>
      </c>
      <c r="Z7155" s="3">
        <v>240</v>
      </c>
      <c r="AA7155">
        <v>215</v>
      </c>
      <c r="AB7155" s="5">
        <v>51600</v>
      </c>
      <c r="AC7155">
        <v>240</v>
      </c>
      <c r="AD7155">
        <v>215</v>
      </c>
      <c r="AE7155" s="1">
        <v>51600</v>
      </c>
      <c r="AF7155">
        <v>0</v>
      </c>
      <c r="AJ7155">
        <v>0</v>
      </c>
      <c r="AK7155">
        <v>0</v>
      </c>
      <c r="AL7155">
        <v>0</v>
      </c>
      <c r="AM7155">
        <v>292.8</v>
      </c>
      <c r="AN7155">
        <v>292.8</v>
      </c>
      <c r="AO7155">
        <v>292.8</v>
      </c>
      <c r="AP7155" s="2">
        <v>42746</v>
      </c>
      <c r="AQ7155" t="s">
        <v>72</v>
      </c>
      <c r="AR7155" t="s">
        <v>72</v>
      </c>
      <c r="AS7155">
        <v>3002</v>
      </c>
      <c r="AT7155" s="4">
        <v>42683</v>
      </c>
      <c r="AU7155" t="s">
        <v>73</v>
      </c>
      <c r="AV7155">
        <v>3002</v>
      </c>
      <c r="AW7155" s="4">
        <v>42683</v>
      </c>
      <c r="BD7155">
        <v>0</v>
      </c>
      <c r="BN7155" t="s">
        <v>74</v>
      </c>
    </row>
    <row r="7156" spans="1:66" hidden="1">
      <c r="A7156">
        <v>104124</v>
      </c>
      <c r="B7156" s="3" t="s">
        <v>613</v>
      </c>
      <c r="C7156" s="1">
        <v>43300101</v>
      </c>
      <c r="D7156" t="s">
        <v>67</v>
      </c>
      <c r="H7156" t="str">
        <f t="shared" ref="H7156:H7185" si="700">"CPTMSM61E01L245Y"</f>
        <v>CPTMSM61E01L245Y</v>
      </c>
      <c r="I7156" t="str">
        <f t="shared" ref="I7156:I7185" si="701">"03104731215"</f>
        <v>03104731215</v>
      </c>
      <c r="K7156" t="str">
        <f>""</f>
        <v/>
      </c>
      <c r="M7156" t="s">
        <v>68</v>
      </c>
      <c r="N7156" t="str">
        <f t="shared" si="695"/>
        <v>FOR</v>
      </c>
      <c r="O7156" t="s">
        <v>69</v>
      </c>
      <c r="P7156" s="3" t="s">
        <v>75</v>
      </c>
      <c r="Q7156">
        <v>2015</v>
      </c>
      <c r="R7156" s="2">
        <v>42217</v>
      </c>
      <c r="S7156" s="2">
        <v>42236</v>
      </c>
      <c r="T7156" s="2">
        <v>42236</v>
      </c>
      <c r="U7156" s="2">
        <v>42296</v>
      </c>
      <c r="V7156" t="s">
        <v>71</v>
      </c>
      <c r="W7156" t="str">
        <f>"           30 E 2015"</f>
        <v xml:space="preserve">           30 E 2015</v>
      </c>
      <c r="X7156" s="1">
        <v>1842.83</v>
      </c>
      <c r="Y7156">
        <v>0</v>
      </c>
      <c r="Z7156"/>
      <c r="AB7156"/>
      <c r="AC7156" s="1">
        <v>1510.52</v>
      </c>
      <c r="AD7156">
        <v>156</v>
      </c>
      <c r="AE7156" s="1">
        <v>235641.12</v>
      </c>
      <c r="AF7156">
        <v>0</v>
      </c>
      <c r="AJ7156">
        <v>0</v>
      </c>
      <c r="AK7156">
        <v>0</v>
      </c>
      <c r="AL7156">
        <v>0</v>
      </c>
      <c r="AM7156">
        <v>0</v>
      </c>
      <c r="AN7156">
        <v>0</v>
      </c>
      <c r="AO7156">
        <v>0</v>
      </c>
      <c r="AP7156" s="2">
        <v>42746</v>
      </c>
      <c r="AQ7156" t="s">
        <v>72</v>
      </c>
      <c r="AR7156" t="s">
        <v>72</v>
      </c>
      <c r="AS7156">
        <v>810</v>
      </c>
      <c r="AT7156" s="4">
        <v>42452</v>
      </c>
      <c r="AU7156" t="s">
        <v>73</v>
      </c>
      <c r="AV7156">
        <v>810</v>
      </c>
      <c r="AW7156" s="4">
        <v>42452</v>
      </c>
      <c r="BD7156">
        <v>0</v>
      </c>
      <c r="BN7156" t="s">
        <v>74</v>
      </c>
    </row>
    <row r="7157" spans="1:66" hidden="1">
      <c r="A7157">
        <v>104124</v>
      </c>
      <c r="B7157" s="3" t="s">
        <v>613</v>
      </c>
      <c r="C7157" s="1">
        <v>43300101</v>
      </c>
      <c r="D7157" t="s">
        <v>67</v>
      </c>
      <c r="H7157" t="str">
        <f t="shared" si="700"/>
        <v>CPTMSM61E01L245Y</v>
      </c>
      <c r="I7157" t="str">
        <f t="shared" si="701"/>
        <v>03104731215</v>
      </c>
      <c r="K7157" t="str">
        <f>""</f>
        <v/>
      </c>
      <c r="M7157" t="s">
        <v>68</v>
      </c>
      <c r="N7157" t="str">
        <f t="shared" si="695"/>
        <v>FOR</v>
      </c>
      <c r="O7157" t="s">
        <v>69</v>
      </c>
      <c r="P7157" s="3" t="s">
        <v>75</v>
      </c>
      <c r="Q7157">
        <v>2015</v>
      </c>
      <c r="R7157" s="2">
        <v>42262</v>
      </c>
      <c r="S7157" s="2">
        <v>42272</v>
      </c>
      <c r="T7157" s="2">
        <v>42272</v>
      </c>
      <c r="U7157" s="2">
        <v>42332</v>
      </c>
      <c r="V7157" t="s">
        <v>71</v>
      </c>
      <c r="W7157" t="str">
        <f>"           42 E 2015"</f>
        <v xml:space="preserve">           42 E 2015</v>
      </c>
      <c r="X7157" s="1">
        <v>2985.71</v>
      </c>
      <c r="Y7157">
        <v>0</v>
      </c>
      <c r="Z7157"/>
      <c r="AB7157"/>
      <c r="AC7157" s="1">
        <v>2447.3000000000002</v>
      </c>
      <c r="AD7157">
        <v>73</v>
      </c>
      <c r="AE7157" s="1">
        <v>178652.9</v>
      </c>
      <c r="AF7157">
        <v>0</v>
      </c>
      <c r="AJ7157">
        <v>0</v>
      </c>
      <c r="AK7157">
        <v>0</v>
      </c>
      <c r="AL7157">
        <v>0</v>
      </c>
      <c r="AM7157">
        <v>0</v>
      </c>
      <c r="AN7157">
        <v>0</v>
      </c>
      <c r="AO7157">
        <v>0</v>
      </c>
      <c r="AP7157" s="2">
        <v>42746</v>
      </c>
      <c r="AQ7157" t="s">
        <v>72</v>
      </c>
      <c r="AR7157" t="s">
        <v>72</v>
      </c>
      <c r="AS7157">
        <v>282</v>
      </c>
      <c r="AT7157" s="4">
        <v>42405</v>
      </c>
      <c r="AU7157" t="s">
        <v>73</v>
      </c>
      <c r="AV7157">
        <v>282</v>
      </c>
      <c r="AW7157" s="4">
        <v>42405</v>
      </c>
      <c r="BD7157">
        <v>0</v>
      </c>
      <c r="BN7157" t="s">
        <v>74</v>
      </c>
    </row>
    <row r="7158" spans="1:66" hidden="1">
      <c r="A7158">
        <v>104124</v>
      </c>
      <c r="B7158" s="3" t="s">
        <v>613</v>
      </c>
      <c r="C7158" s="1">
        <v>43300101</v>
      </c>
      <c r="D7158" t="s">
        <v>67</v>
      </c>
      <c r="H7158" t="str">
        <f t="shared" si="700"/>
        <v>CPTMSM61E01L245Y</v>
      </c>
      <c r="I7158" t="str">
        <f t="shared" si="701"/>
        <v>03104731215</v>
      </c>
      <c r="K7158" t="str">
        <f>""</f>
        <v/>
      </c>
      <c r="M7158" t="s">
        <v>68</v>
      </c>
      <c r="N7158" t="str">
        <f t="shared" si="695"/>
        <v>FOR</v>
      </c>
      <c r="O7158" t="s">
        <v>69</v>
      </c>
      <c r="P7158" s="3" t="s">
        <v>75</v>
      </c>
      <c r="Q7158">
        <v>2015</v>
      </c>
      <c r="R7158" s="2">
        <v>42272</v>
      </c>
      <c r="S7158" s="2">
        <v>42272</v>
      </c>
      <c r="T7158" s="2">
        <v>42272</v>
      </c>
      <c r="U7158" s="2">
        <v>42332</v>
      </c>
      <c r="V7158" t="s">
        <v>71</v>
      </c>
      <c r="W7158" t="str">
        <f>"           45 E 2015"</f>
        <v xml:space="preserve">           45 E 2015</v>
      </c>
      <c r="X7158" s="1">
        <v>14278.86</v>
      </c>
      <c r="Y7158">
        <v>0</v>
      </c>
      <c r="Z7158"/>
      <c r="AB7158"/>
      <c r="AC7158" s="1">
        <v>11703.98</v>
      </c>
      <c r="AD7158">
        <v>73</v>
      </c>
      <c r="AE7158" s="1">
        <v>854390.54</v>
      </c>
      <c r="AF7158">
        <v>0</v>
      </c>
      <c r="AJ7158">
        <v>0</v>
      </c>
      <c r="AK7158">
        <v>0</v>
      </c>
      <c r="AL7158">
        <v>0</v>
      </c>
      <c r="AM7158">
        <v>0</v>
      </c>
      <c r="AN7158">
        <v>0</v>
      </c>
      <c r="AO7158">
        <v>0</v>
      </c>
      <c r="AP7158" s="2">
        <v>42746</v>
      </c>
      <c r="AQ7158" t="s">
        <v>72</v>
      </c>
      <c r="AR7158" t="s">
        <v>72</v>
      </c>
      <c r="AS7158">
        <v>282</v>
      </c>
      <c r="AT7158" s="4">
        <v>42405</v>
      </c>
      <c r="AU7158" t="s">
        <v>73</v>
      </c>
      <c r="AV7158">
        <v>282</v>
      </c>
      <c r="AW7158" s="4">
        <v>42405</v>
      </c>
      <c r="BD7158">
        <v>0</v>
      </c>
      <c r="BN7158" t="s">
        <v>74</v>
      </c>
    </row>
    <row r="7159" spans="1:66" hidden="1">
      <c r="A7159">
        <v>104124</v>
      </c>
      <c r="B7159" s="3" t="s">
        <v>613</v>
      </c>
      <c r="C7159" s="1">
        <v>43300101</v>
      </c>
      <c r="D7159" t="s">
        <v>67</v>
      </c>
      <c r="H7159" t="str">
        <f t="shared" si="700"/>
        <v>CPTMSM61E01L245Y</v>
      </c>
      <c r="I7159" t="str">
        <f t="shared" si="701"/>
        <v>03104731215</v>
      </c>
      <c r="K7159" t="str">
        <f>""</f>
        <v/>
      </c>
      <c r="M7159" t="s">
        <v>68</v>
      </c>
      <c r="N7159" t="str">
        <f t="shared" si="695"/>
        <v>FOR</v>
      </c>
      <c r="O7159" t="s">
        <v>69</v>
      </c>
      <c r="P7159" s="3" t="s">
        <v>75</v>
      </c>
      <c r="Q7159">
        <v>2015</v>
      </c>
      <c r="R7159" s="2">
        <v>42283</v>
      </c>
      <c r="S7159" s="2">
        <v>42290</v>
      </c>
      <c r="T7159" s="2">
        <v>42290</v>
      </c>
      <c r="U7159" s="2">
        <v>42350</v>
      </c>
      <c r="V7159" t="s">
        <v>71</v>
      </c>
      <c r="W7159" t="str">
        <f>"           46 E 2015"</f>
        <v xml:space="preserve">           46 E 2015</v>
      </c>
      <c r="X7159" s="1">
        <v>1416.65</v>
      </c>
      <c r="Y7159">
        <v>0</v>
      </c>
      <c r="Z7159"/>
      <c r="AB7159"/>
      <c r="AC7159" s="1">
        <v>1161.19</v>
      </c>
      <c r="AD7159">
        <v>66</v>
      </c>
      <c r="AE7159" s="1">
        <v>76638.539999999994</v>
      </c>
      <c r="AF7159">
        <v>0</v>
      </c>
      <c r="AJ7159">
        <v>0</v>
      </c>
      <c r="AK7159">
        <v>0</v>
      </c>
      <c r="AL7159">
        <v>0</v>
      </c>
      <c r="AM7159">
        <v>0</v>
      </c>
      <c r="AN7159">
        <v>0</v>
      </c>
      <c r="AO7159">
        <v>0</v>
      </c>
      <c r="AP7159" s="2">
        <v>42746</v>
      </c>
      <c r="AQ7159" t="s">
        <v>72</v>
      </c>
      <c r="AR7159" t="s">
        <v>72</v>
      </c>
      <c r="AS7159">
        <v>442</v>
      </c>
      <c r="AT7159" s="4">
        <v>42416</v>
      </c>
      <c r="AU7159" t="s">
        <v>73</v>
      </c>
      <c r="AV7159">
        <v>442</v>
      </c>
      <c r="AW7159" s="4">
        <v>42416</v>
      </c>
      <c r="BD7159">
        <v>0</v>
      </c>
      <c r="BN7159" t="s">
        <v>74</v>
      </c>
    </row>
    <row r="7160" spans="1:66" hidden="1">
      <c r="A7160">
        <v>104124</v>
      </c>
      <c r="B7160" s="3" t="s">
        <v>613</v>
      </c>
      <c r="C7160" s="1">
        <v>43300101</v>
      </c>
      <c r="D7160" t="s">
        <v>67</v>
      </c>
      <c r="H7160" t="str">
        <f t="shared" si="700"/>
        <v>CPTMSM61E01L245Y</v>
      </c>
      <c r="I7160" t="str">
        <f t="shared" si="701"/>
        <v>03104731215</v>
      </c>
      <c r="K7160" t="str">
        <f>""</f>
        <v/>
      </c>
      <c r="M7160" t="s">
        <v>68</v>
      </c>
      <c r="N7160" t="str">
        <f t="shared" si="695"/>
        <v>FOR</v>
      </c>
      <c r="O7160" t="s">
        <v>69</v>
      </c>
      <c r="P7160" s="3" t="s">
        <v>75</v>
      </c>
      <c r="Q7160">
        <v>2015</v>
      </c>
      <c r="R7160" s="2">
        <v>42283</v>
      </c>
      <c r="S7160" s="2">
        <v>42297</v>
      </c>
      <c r="T7160" s="2">
        <v>42296</v>
      </c>
      <c r="U7160" s="2">
        <v>42356</v>
      </c>
      <c r="V7160" t="s">
        <v>71</v>
      </c>
      <c r="W7160" t="str">
        <f>"           48 E 2015"</f>
        <v xml:space="preserve">           48 E 2015</v>
      </c>
      <c r="X7160" s="1">
        <v>4685.92</v>
      </c>
      <c r="Y7160">
        <v>0</v>
      </c>
      <c r="Z7160"/>
      <c r="AB7160"/>
      <c r="AC7160" s="1">
        <v>3840.92</v>
      </c>
      <c r="AD7160">
        <v>60</v>
      </c>
      <c r="AE7160" s="1">
        <v>230455.2</v>
      </c>
      <c r="AF7160">
        <v>0</v>
      </c>
      <c r="AJ7160">
        <v>0</v>
      </c>
      <c r="AK7160">
        <v>0</v>
      </c>
      <c r="AL7160">
        <v>0</v>
      </c>
      <c r="AM7160">
        <v>0</v>
      </c>
      <c r="AN7160">
        <v>0</v>
      </c>
      <c r="AO7160">
        <v>0</v>
      </c>
      <c r="AP7160" s="2">
        <v>42746</v>
      </c>
      <c r="AQ7160" t="s">
        <v>72</v>
      </c>
      <c r="AR7160" t="s">
        <v>72</v>
      </c>
      <c r="AS7160">
        <v>442</v>
      </c>
      <c r="AT7160" s="4">
        <v>42416</v>
      </c>
      <c r="AU7160" t="s">
        <v>73</v>
      </c>
      <c r="AV7160">
        <v>442</v>
      </c>
      <c r="AW7160" s="4">
        <v>42416</v>
      </c>
      <c r="BD7160">
        <v>0</v>
      </c>
      <c r="BN7160" t="s">
        <v>74</v>
      </c>
    </row>
    <row r="7161" spans="1:66" hidden="1">
      <c r="A7161">
        <v>104124</v>
      </c>
      <c r="B7161" s="3" t="s">
        <v>613</v>
      </c>
      <c r="C7161" s="1">
        <v>43300101</v>
      </c>
      <c r="D7161" t="s">
        <v>67</v>
      </c>
      <c r="H7161" t="str">
        <f t="shared" si="700"/>
        <v>CPTMSM61E01L245Y</v>
      </c>
      <c r="I7161" t="str">
        <f t="shared" si="701"/>
        <v>03104731215</v>
      </c>
      <c r="K7161" t="str">
        <f>""</f>
        <v/>
      </c>
      <c r="M7161" t="s">
        <v>68</v>
      </c>
      <c r="N7161" t="str">
        <f t="shared" si="695"/>
        <v>FOR</v>
      </c>
      <c r="O7161" t="s">
        <v>69</v>
      </c>
      <c r="P7161" s="3" t="s">
        <v>75</v>
      </c>
      <c r="Q7161">
        <v>2015</v>
      </c>
      <c r="R7161" s="2">
        <v>42283</v>
      </c>
      <c r="S7161" s="2">
        <v>42297</v>
      </c>
      <c r="T7161" s="2">
        <v>42296</v>
      </c>
      <c r="U7161" s="2">
        <v>42356</v>
      </c>
      <c r="V7161" t="s">
        <v>71</v>
      </c>
      <c r="W7161" t="str">
        <f>"           49 E 2015"</f>
        <v xml:space="preserve">           49 E 2015</v>
      </c>
      <c r="X7161" s="1">
        <v>4665.99</v>
      </c>
      <c r="Y7161">
        <v>0</v>
      </c>
      <c r="Z7161"/>
      <c r="AB7161"/>
      <c r="AC7161" s="1">
        <v>3824.58</v>
      </c>
      <c r="AD7161">
        <v>60</v>
      </c>
      <c r="AE7161" s="1">
        <v>229474.8</v>
      </c>
      <c r="AF7161">
        <v>0</v>
      </c>
      <c r="AJ7161">
        <v>0</v>
      </c>
      <c r="AK7161">
        <v>0</v>
      </c>
      <c r="AL7161">
        <v>0</v>
      </c>
      <c r="AM7161">
        <v>0</v>
      </c>
      <c r="AN7161">
        <v>0</v>
      </c>
      <c r="AO7161">
        <v>0</v>
      </c>
      <c r="AP7161" s="2">
        <v>42746</v>
      </c>
      <c r="AQ7161" t="s">
        <v>72</v>
      </c>
      <c r="AR7161" t="s">
        <v>72</v>
      </c>
      <c r="AS7161">
        <v>442</v>
      </c>
      <c r="AT7161" s="4">
        <v>42416</v>
      </c>
      <c r="AU7161" t="s">
        <v>73</v>
      </c>
      <c r="AV7161">
        <v>442</v>
      </c>
      <c r="AW7161" s="4">
        <v>42416</v>
      </c>
      <c r="BD7161">
        <v>0</v>
      </c>
      <c r="BN7161" t="s">
        <v>74</v>
      </c>
    </row>
    <row r="7162" spans="1:66" hidden="1">
      <c r="A7162">
        <v>104124</v>
      </c>
      <c r="B7162" s="3" t="s">
        <v>613</v>
      </c>
      <c r="C7162" s="1">
        <v>43300101</v>
      </c>
      <c r="D7162" t="s">
        <v>67</v>
      </c>
      <c r="H7162" t="str">
        <f t="shared" si="700"/>
        <v>CPTMSM61E01L245Y</v>
      </c>
      <c r="I7162" t="str">
        <f t="shared" si="701"/>
        <v>03104731215</v>
      </c>
      <c r="K7162" t="str">
        <f>""</f>
        <v/>
      </c>
      <c r="M7162" t="s">
        <v>68</v>
      </c>
      <c r="N7162" t="str">
        <f t="shared" si="695"/>
        <v>FOR</v>
      </c>
      <c r="O7162" t="s">
        <v>69</v>
      </c>
      <c r="P7162" s="3" t="s">
        <v>75</v>
      </c>
      <c r="Q7162">
        <v>2015</v>
      </c>
      <c r="R7162" s="2">
        <v>42296</v>
      </c>
      <c r="S7162" s="2">
        <v>42297</v>
      </c>
      <c r="T7162" s="2">
        <v>42296</v>
      </c>
      <c r="U7162" s="2">
        <v>42356</v>
      </c>
      <c r="V7162" t="s">
        <v>71</v>
      </c>
      <c r="W7162" t="str">
        <f>"           50 E 2015"</f>
        <v xml:space="preserve">           50 E 2015</v>
      </c>
      <c r="X7162" s="1">
        <v>15123.41</v>
      </c>
      <c r="Y7162">
        <v>0</v>
      </c>
      <c r="Z7162"/>
      <c r="AB7162"/>
      <c r="AC7162" s="1">
        <v>12396.24</v>
      </c>
      <c r="AD7162">
        <v>60</v>
      </c>
      <c r="AE7162" s="1">
        <v>743774.4</v>
      </c>
      <c r="AF7162">
        <v>0</v>
      </c>
      <c r="AJ7162">
        <v>0</v>
      </c>
      <c r="AK7162">
        <v>0</v>
      </c>
      <c r="AL7162">
        <v>0</v>
      </c>
      <c r="AM7162">
        <v>0</v>
      </c>
      <c r="AN7162">
        <v>0</v>
      </c>
      <c r="AO7162">
        <v>0</v>
      </c>
      <c r="AP7162" s="2">
        <v>42746</v>
      </c>
      <c r="AQ7162" t="s">
        <v>72</v>
      </c>
      <c r="AR7162" t="s">
        <v>72</v>
      </c>
      <c r="AS7162">
        <v>442</v>
      </c>
      <c r="AT7162" s="4">
        <v>42416</v>
      </c>
      <c r="AU7162" t="s">
        <v>73</v>
      </c>
      <c r="AV7162">
        <v>442</v>
      </c>
      <c r="AW7162" s="4">
        <v>42416</v>
      </c>
      <c r="BD7162">
        <v>0</v>
      </c>
      <c r="BN7162" t="s">
        <v>74</v>
      </c>
    </row>
    <row r="7163" spans="1:66" hidden="1">
      <c r="A7163">
        <v>104124</v>
      </c>
      <c r="B7163" s="3" t="s">
        <v>613</v>
      </c>
      <c r="C7163" s="1">
        <v>43300101</v>
      </c>
      <c r="D7163" t="s">
        <v>67</v>
      </c>
      <c r="H7163" t="str">
        <f t="shared" si="700"/>
        <v>CPTMSM61E01L245Y</v>
      </c>
      <c r="I7163" t="str">
        <f t="shared" si="701"/>
        <v>03104731215</v>
      </c>
      <c r="K7163" t="str">
        <f>""</f>
        <v/>
      </c>
      <c r="M7163" t="s">
        <v>68</v>
      </c>
      <c r="N7163" t="str">
        <f t="shared" si="695"/>
        <v>FOR</v>
      </c>
      <c r="O7163" t="s">
        <v>69</v>
      </c>
      <c r="P7163" s="3" t="s">
        <v>75</v>
      </c>
      <c r="Q7163">
        <v>2015</v>
      </c>
      <c r="R7163" s="2">
        <v>42304</v>
      </c>
      <c r="S7163" s="2">
        <v>42305</v>
      </c>
      <c r="T7163" s="2">
        <v>42304</v>
      </c>
      <c r="U7163" s="2">
        <v>42364</v>
      </c>
      <c r="V7163" t="s">
        <v>71</v>
      </c>
      <c r="W7163" t="str">
        <f>"           53 E 2015"</f>
        <v xml:space="preserve">           53 E 2015</v>
      </c>
      <c r="X7163" s="1">
        <v>4999.5600000000004</v>
      </c>
      <c r="Y7163">
        <v>0</v>
      </c>
      <c r="Z7163"/>
      <c r="AB7163"/>
      <c r="AC7163" s="1">
        <v>4098</v>
      </c>
      <c r="AD7163">
        <v>52</v>
      </c>
      <c r="AE7163" s="1">
        <v>213096</v>
      </c>
      <c r="AF7163">
        <v>0</v>
      </c>
      <c r="AJ7163">
        <v>0</v>
      </c>
      <c r="AK7163">
        <v>0</v>
      </c>
      <c r="AL7163">
        <v>0</v>
      </c>
      <c r="AM7163">
        <v>0</v>
      </c>
      <c r="AN7163">
        <v>0</v>
      </c>
      <c r="AO7163">
        <v>0</v>
      </c>
      <c r="AP7163" s="2">
        <v>42746</v>
      </c>
      <c r="AQ7163" t="s">
        <v>72</v>
      </c>
      <c r="AR7163" t="s">
        <v>72</v>
      </c>
      <c r="AS7163">
        <v>442</v>
      </c>
      <c r="AT7163" s="4">
        <v>42416</v>
      </c>
      <c r="AU7163" t="s">
        <v>73</v>
      </c>
      <c r="AV7163">
        <v>442</v>
      </c>
      <c r="AW7163" s="4">
        <v>42416</v>
      </c>
      <c r="BD7163">
        <v>0</v>
      </c>
      <c r="BN7163" t="s">
        <v>74</v>
      </c>
    </row>
    <row r="7164" spans="1:66" hidden="1">
      <c r="A7164">
        <v>104124</v>
      </c>
      <c r="B7164" s="3" t="s">
        <v>613</v>
      </c>
      <c r="C7164" s="1">
        <v>43300101</v>
      </c>
      <c r="D7164" t="s">
        <v>67</v>
      </c>
      <c r="H7164" t="str">
        <f t="shared" si="700"/>
        <v>CPTMSM61E01L245Y</v>
      </c>
      <c r="I7164" t="str">
        <f t="shared" si="701"/>
        <v>03104731215</v>
      </c>
      <c r="K7164" t="str">
        <f>""</f>
        <v/>
      </c>
      <c r="M7164" t="s">
        <v>68</v>
      </c>
      <c r="N7164" t="str">
        <f t="shared" si="695"/>
        <v>FOR</v>
      </c>
      <c r="O7164" t="s">
        <v>69</v>
      </c>
      <c r="P7164" s="3" t="s">
        <v>75</v>
      </c>
      <c r="Q7164">
        <v>2015</v>
      </c>
      <c r="R7164" s="2">
        <v>42305</v>
      </c>
      <c r="S7164" s="2">
        <v>42307</v>
      </c>
      <c r="T7164" s="2">
        <v>42305</v>
      </c>
      <c r="U7164" s="2">
        <v>42365</v>
      </c>
      <c r="V7164" t="s">
        <v>71</v>
      </c>
      <c r="W7164" t="str">
        <f>"           54 E 2015"</f>
        <v xml:space="preserve">           54 E 2015</v>
      </c>
      <c r="X7164" s="1">
        <v>4839.13</v>
      </c>
      <c r="Y7164">
        <v>0</v>
      </c>
      <c r="Z7164"/>
      <c r="AB7164"/>
      <c r="AC7164" s="1">
        <v>3966.5</v>
      </c>
      <c r="AD7164">
        <v>51</v>
      </c>
      <c r="AE7164" s="1">
        <v>202291.5</v>
      </c>
      <c r="AF7164">
        <v>0</v>
      </c>
      <c r="AJ7164">
        <v>0</v>
      </c>
      <c r="AK7164">
        <v>0</v>
      </c>
      <c r="AL7164">
        <v>0</v>
      </c>
      <c r="AM7164">
        <v>0</v>
      </c>
      <c r="AN7164">
        <v>0</v>
      </c>
      <c r="AO7164">
        <v>0</v>
      </c>
      <c r="AP7164" s="2">
        <v>42746</v>
      </c>
      <c r="AQ7164" t="s">
        <v>72</v>
      </c>
      <c r="AR7164" t="s">
        <v>72</v>
      </c>
      <c r="AS7164">
        <v>442</v>
      </c>
      <c r="AT7164" s="4">
        <v>42416</v>
      </c>
      <c r="AU7164" t="s">
        <v>73</v>
      </c>
      <c r="AV7164">
        <v>442</v>
      </c>
      <c r="AW7164" s="4">
        <v>42416</v>
      </c>
      <c r="BD7164">
        <v>0</v>
      </c>
      <c r="BN7164" t="s">
        <v>74</v>
      </c>
    </row>
    <row r="7165" spans="1:66" hidden="1">
      <c r="A7165">
        <v>104124</v>
      </c>
      <c r="B7165" s="3" t="s">
        <v>613</v>
      </c>
      <c r="C7165" s="1">
        <v>43300101</v>
      </c>
      <c r="D7165" t="s">
        <v>67</v>
      </c>
      <c r="H7165" t="str">
        <f t="shared" si="700"/>
        <v>CPTMSM61E01L245Y</v>
      </c>
      <c r="I7165" t="str">
        <f t="shared" si="701"/>
        <v>03104731215</v>
      </c>
      <c r="K7165" t="str">
        <f>""</f>
        <v/>
      </c>
      <c r="M7165" t="s">
        <v>68</v>
      </c>
      <c r="N7165" t="str">
        <f t="shared" si="695"/>
        <v>FOR</v>
      </c>
      <c r="O7165" t="s">
        <v>69</v>
      </c>
      <c r="P7165" s="3" t="s">
        <v>75</v>
      </c>
      <c r="Q7165">
        <v>2015</v>
      </c>
      <c r="R7165" s="2">
        <v>42331</v>
      </c>
      <c r="S7165" s="2">
        <v>42331</v>
      </c>
      <c r="T7165" s="2">
        <v>42331</v>
      </c>
      <c r="U7165" s="2">
        <v>42391</v>
      </c>
      <c r="V7165" t="s">
        <v>71</v>
      </c>
      <c r="W7165" t="str">
        <f>"           55 E 2015"</f>
        <v xml:space="preserve">           55 E 2015</v>
      </c>
      <c r="X7165" s="1">
        <v>6090.48</v>
      </c>
      <c r="Y7165">
        <v>0</v>
      </c>
      <c r="Z7165"/>
      <c r="AB7165"/>
      <c r="AC7165" s="1">
        <v>4992.2</v>
      </c>
      <c r="AD7165">
        <v>178</v>
      </c>
      <c r="AE7165" s="1">
        <v>888611.6</v>
      </c>
      <c r="AF7165">
        <v>0</v>
      </c>
      <c r="AJ7165">
        <v>0</v>
      </c>
      <c r="AK7165">
        <v>0</v>
      </c>
      <c r="AL7165">
        <v>0</v>
      </c>
      <c r="AM7165">
        <v>0</v>
      </c>
      <c r="AN7165">
        <v>0</v>
      </c>
      <c r="AO7165">
        <v>0</v>
      </c>
      <c r="AP7165" s="2">
        <v>42746</v>
      </c>
      <c r="AQ7165" t="s">
        <v>72</v>
      </c>
      <c r="AR7165" t="s">
        <v>72</v>
      </c>
      <c r="AS7165">
        <v>1865</v>
      </c>
      <c r="AT7165" s="4">
        <v>42569</v>
      </c>
      <c r="AU7165" t="s">
        <v>73</v>
      </c>
      <c r="AV7165">
        <v>1865</v>
      </c>
      <c r="AW7165" s="4">
        <v>42569</v>
      </c>
      <c r="BD7165">
        <v>0</v>
      </c>
      <c r="BN7165" t="s">
        <v>74</v>
      </c>
    </row>
    <row r="7166" spans="1:66" hidden="1">
      <c r="A7166">
        <v>104124</v>
      </c>
      <c r="B7166" s="3" t="s">
        <v>613</v>
      </c>
      <c r="C7166" s="1">
        <v>43300101</v>
      </c>
      <c r="D7166" t="s">
        <v>67</v>
      </c>
      <c r="H7166" t="str">
        <f t="shared" si="700"/>
        <v>CPTMSM61E01L245Y</v>
      </c>
      <c r="I7166" t="str">
        <f t="shared" si="701"/>
        <v>03104731215</v>
      </c>
      <c r="K7166" t="str">
        <f>""</f>
        <v/>
      </c>
      <c r="M7166" t="s">
        <v>68</v>
      </c>
      <c r="N7166" t="str">
        <f t="shared" si="695"/>
        <v>FOR</v>
      </c>
      <c r="O7166" t="s">
        <v>69</v>
      </c>
      <c r="P7166" s="3" t="s">
        <v>75</v>
      </c>
      <c r="Q7166">
        <v>2015</v>
      </c>
      <c r="R7166" s="2">
        <v>42331</v>
      </c>
      <c r="S7166" s="2">
        <v>42331</v>
      </c>
      <c r="T7166" s="2">
        <v>42331</v>
      </c>
      <c r="U7166" s="2">
        <v>42391</v>
      </c>
      <c r="V7166" t="s">
        <v>71</v>
      </c>
      <c r="W7166" t="str">
        <f>"           56 E 2015"</f>
        <v xml:space="preserve">           56 E 2015</v>
      </c>
      <c r="X7166" s="1">
        <v>4725.13</v>
      </c>
      <c r="Y7166">
        <v>0</v>
      </c>
      <c r="Z7166"/>
      <c r="AB7166"/>
      <c r="AC7166" s="1">
        <v>3873.06</v>
      </c>
      <c r="AD7166">
        <v>178</v>
      </c>
      <c r="AE7166" s="1">
        <v>689404.68</v>
      </c>
      <c r="AF7166">
        <v>0</v>
      </c>
      <c r="AJ7166">
        <v>0</v>
      </c>
      <c r="AK7166">
        <v>0</v>
      </c>
      <c r="AL7166">
        <v>0</v>
      </c>
      <c r="AM7166">
        <v>0</v>
      </c>
      <c r="AN7166">
        <v>0</v>
      </c>
      <c r="AO7166">
        <v>0</v>
      </c>
      <c r="AP7166" s="2">
        <v>42746</v>
      </c>
      <c r="AQ7166" t="s">
        <v>72</v>
      </c>
      <c r="AR7166" t="s">
        <v>72</v>
      </c>
      <c r="AS7166">
        <v>1865</v>
      </c>
      <c r="AT7166" s="4">
        <v>42569</v>
      </c>
      <c r="AU7166" t="s">
        <v>73</v>
      </c>
      <c r="AV7166">
        <v>1865</v>
      </c>
      <c r="AW7166" s="4">
        <v>42569</v>
      </c>
      <c r="BD7166">
        <v>0</v>
      </c>
      <c r="BN7166" t="s">
        <v>74</v>
      </c>
    </row>
    <row r="7167" spans="1:66" hidden="1">
      <c r="A7167">
        <v>104124</v>
      </c>
      <c r="B7167" s="3" t="s">
        <v>613</v>
      </c>
      <c r="C7167" s="1">
        <v>43300101</v>
      </c>
      <c r="D7167" t="s">
        <v>67</v>
      </c>
      <c r="H7167" t="str">
        <f t="shared" si="700"/>
        <v>CPTMSM61E01L245Y</v>
      </c>
      <c r="I7167" t="str">
        <f t="shared" si="701"/>
        <v>03104731215</v>
      </c>
      <c r="K7167" t="str">
        <f>""</f>
        <v/>
      </c>
      <c r="M7167" t="s">
        <v>68</v>
      </c>
      <c r="N7167" t="str">
        <f t="shared" si="695"/>
        <v>FOR</v>
      </c>
      <c r="O7167" t="s">
        <v>69</v>
      </c>
      <c r="P7167" s="3" t="s">
        <v>75</v>
      </c>
      <c r="Q7167">
        <v>2015</v>
      </c>
      <c r="R7167" s="2">
        <v>42369</v>
      </c>
      <c r="S7167" s="2">
        <v>42369</v>
      </c>
      <c r="T7167" s="2">
        <v>42369</v>
      </c>
      <c r="U7167" s="2">
        <v>42429</v>
      </c>
      <c r="V7167" t="s">
        <v>71</v>
      </c>
      <c r="W7167" t="str">
        <f>"           57 E 2015"</f>
        <v xml:space="preserve">           57 E 2015</v>
      </c>
      <c r="X7167" s="1">
        <v>9721.5</v>
      </c>
      <c r="Y7167">
        <v>0</v>
      </c>
      <c r="Z7167"/>
      <c r="AB7167"/>
      <c r="AC7167" s="1">
        <v>7968.44</v>
      </c>
      <c r="AD7167">
        <v>148</v>
      </c>
      <c r="AE7167" s="1">
        <v>1179329.1200000001</v>
      </c>
      <c r="AF7167">
        <v>0</v>
      </c>
      <c r="AJ7167">
        <v>0</v>
      </c>
      <c r="AK7167">
        <v>0</v>
      </c>
      <c r="AL7167">
        <v>0</v>
      </c>
      <c r="AM7167">
        <v>0</v>
      </c>
      <c r="AN7167">
        <v>0</v>
      </c>
      <c r="AO7167">
        <v>0</v>
      </c>
      <c r="AP7167" s="2">
        <v>42746</v>
      </c>
      <c r="AQ7167" t="s">
        <v>72</v>
      </c>
      <c r="AR7167" t="s">
        <v>72</v>
      </c>
      <c r="AS7167">
        <v>1928</v>
      </c>
      <c r="AT7167" s="4">
        <v>42577</v>
      </c>
      <c r="AU7167" t="s">
        <v>73</v>
      </c>
      <c r="AV7167">
        <v>1928</v>
      </c>
      <c r="AW7167" s="4">
        <v>42577</v>
      </c>
      <c r="BD7167">
        <v>0</v>
      </c>
      <c r="BN7167" t="s">
        <v>74</v>
      </c>
    </row>
    <row r="7168" spans="1:66">
      <c r="A7168">
        <v>104124</v>
      </c>
      <c r="B7168" s="3" t="s">
        <v>613</v>
      </c>
      <c r="C7168" s="1">
        <v>43300101</v>
      </c>
      <c r="D7168" t="s">
        <v>67</v>
      </c>
      <c r="H7168" t="str">
        <f t="shared" si="700"/>
        <v>CPTMSM61E01L245Y</v>
      </c>
      <c r="I7168" t="str">
        <f t="shared" si="701"/>
        <v>03104731215</v>
      </c>
      <c r="K7168" t="str">
        <f>""</f>
        <v/>
      </c>
      <c r="M7168" t="s">
        <v>68</v>
      </c>
      <c r="N7168" t="str">
        <f t="shared" ref="N7168:N7185" si="702">"FOR"</f>
        <v>FOR</v>
      </c>
      <c r="O7168" t="s">
        <v>69</v>
      </c>
      <c r="P7168" s="3" t="s">
        <v>75</v>
      </c>
      <c r="Q7168">
        <v>2016</v>
      </c>
      <c r="R7168" s="2">
        <v>42452</v>
      </c>
      <c r="S7168" s="2">
        <v>42461</v>
      </c>
      <c r="T7168" s="2">
        <v>42452</v>
      </c>
      <c r="U7168" s="2">
        <v>42512</v>
      </c>
      <c r="V7168" t="s">
        <v>71</v>
      </c>
      <c r="W7168" t="str">
        <f>"           12PA 2016"</f>
        <v xml:space="preserve">           12PA 2016</v>
      </c>
      <c r="X7168" s="1">
        <v>4381</v>
      </c>
      <c r="Y7168">
        <v>0</v>
      </c>
      <c r="Z7168" s="5">
        <v>3590.98</v>
      </c>
      <c r="AA7168">
        <v>134</v>
      </c>
      <c r="AB7168" s="5">
        <v>481191.32</v>
      </c>
      <c r="AC7168" s="1">
        <v>3590.98</v>
      </c>
      <c r="AD7168">
        <v>134</v>
      </c>
      <c r="AE7168" s="1">
        <v>481191.32</v>
      </c>
      <c r="AF7168">
        <v>0</v>
      </c>
      <c r="AJ7168">
        <v>0</v>
      </c>
      <c r="AK7168">
        <v>0</v>
      </c>
      <c r="AL7168">
        <v>0</v>
      </c>
      <c r="AM7168" s="1">
        <v>4381</v>
      </c>
      <c r="AN7168" s="1">
        <v>4381</v>
      </c>
      <c r="AO7168" s="1">
        <v>4381</v>
      </c>
      <c r="AP7168" s="2">
        <v>42746</v>
      </c>
      <c r="AQ7168" t="s">
        <v>72</v>
      </c>
      <c r="AR7168" t="s">
        <v>72</v>
      </c>
      <c r="AS7168">
        <v>2559</v>
      </c>
      <c r="AT7168" s="4">
        <v>42646</v>
      </c>
      <c r="AU7168" t="s">
        <v>73</v>
      </c>
      <c r="AV7168">
        <v>2559</v>
      </c>
      <c r="AW7168" s="4">
        <v>42646</v>
      </c>
      <c r="BD7168">
        <v>0</v>
      </c>
      <c r="BN7168" t="s">
        <v>74</v>
      </c>
    </row>
    <row r="7169" spans="1:66" hidden="1">
      <c r="A7169">
        <v>104124</v>
      </c>
      <c r="B7169" s="3" t="s">
        <v>613</v>
      </c>
      <c r="C7169" s="1">
        <v>43300101</v>
      </c>
      <c r="D7169" t="s">
        <v>67</v>
      </c>
      <c r="H7169" t="str">
        <f t="shared" si="700"/>
        <v>CPTMSM61E01L245Y</v>
      </c>
      <c r="I7169" t="str">
        <f t="shared" si="701"/>
        <v>03104731215</v>
      </c>
      <c r="K7169" t="str">
        <f>""</f>
        <v/>
      </c>
      <c r="M7169" t="s">
        <v>68</v>
      </c>
      <c r="N7169" t="str">
        <f t="shared" si="702"/>
        <v>FOR</v>
      </c>
      <c r="O7169" t="s">
        <v>69</v>
      </c>
      <c r="P7169" s="3" t="s">
        <v>75</v>
      </c>
      <c r="Q7169">
        <v>2016</v>
      </c>
      <c r="R7169" s="2">
        <v>42371</v>
      </c>
      <c r="S7169" s="2">
        <v>42374</v>
      </c>
      <c r="T7169" s="2">
        <v>42371</v>
      </c>
      <c r="U7169" s="2">
        <v>42431</v>
      </c>
      <c r="V7169" t="s">
        <v>71</v>
      </c>
      <c r="W7169" t="str">
        <f>"          02 PA 2015"</f>
        <v xml:space="preserve">          02 PA 2015</v>
      </c>
      <c r="X7169" s="1">
        <v>4148.24</v>
      </c>
      <c r="Y7169">
        <v>0</v>
      </c>
      <c r="Z7169"/>
      <c r="AB7169"/>
      <c r="AC7169" s="1">
        <v>3400.2</v>
      </c>
      <c r="AD7169">
        <v>146</v>
      </c>
      <c r="AE7169" s="1">
        <v>496429.2</v>
      </c>
      <c r="AF7169">
        <v>0</v>
      </c>
      <c r="AJ7169">
        <v>0</v>
      </c>
      <c r="AK7169">
        <v>0</v>
      </c>
      <c r="AL7169">
        <v>0</v>
      </c>
      <c r="AM7169">
        <v>0</v>
      </c>
      <c r="AN7169" s="1">
        <v>4148.24</v>
      </c>
      <c r="AO7169" s="1">
        <v>4148.24</v>
      </c>
      <c r="AP7169" s="2">
        <v>42746</v>
      </c>
      <c r="AQ7169" t="s">
        <v>72</v>
      </c>
      <c r="AR7169" t="s">
        <v>72</v>
      </c>
      <c r="AS7169">
        <v>1928</v>
      </c>
      <c r="AT7169" s="4">
        <v>42577</v>
      </c>
      <c r="AU7169" t="s">
        <v>73</v>
      </c>
      <c r="AV7169">
        <v>1928</v>
      </c>
      <c r="AW7169" s="4">
        <v>42577</v>
      </c>
      <c r="BD7169">
        <v>0</v>
      </c>
      <c r="BN7169" t="s">
        <v>74</v>
      </c>
    </row>
    <row r="7170" spans="1:66" hidden="1">
      <c r="A7170">
        <v>104124</v>
      </c>
      <c r="B7170" s="3" t="s">
        <v>613</v>
      </c>
      <c r="C7170" s="1">
        <v>43300101</v>
      </c>
      <c r="D7170" t="s">
        <v>67</v>
      </c>
      <c r="H7170" t="str">
        <f t="shared" si="700"/>
        <v>CPTMSM61E01L245Y</v>
      </c>
      <c r="I7170" t="str">
        <f t="shared" si="701"/>
        <v>03104731215</v>
      </c>
      <c r="K7170" t="str">
        <f>""</f>
        <v/>
      </c>
      <c r="M7170" t="s">
        <v>68</v>
      </c>
      <c r="N7170" t="str">
        <f t="shared" si="702"/>
        <v>FOR</v>
      </c>
      <c r="O7170" t="s">
        <v>69</v>
      </c>
      <c r="P7170" s="3" t="s">
        <v>70</v>
      </c>
      <c r="Q7170">
        <v>2016</v>
      </c>
      <c r="R7170" s="2">
        <v>42371</v>
      </c>
      <c r="S7170" s="2">
        <v>42377</v>
      </c>
      <c r="T7170" s="2">
        <v>42377</v>
      </c>
      <c r="U7170" s="2">
        <v>42437</v>
      </c>
      <c r="V7170" t="s">
        <v>71</v>
      </c>
      <c r="W7170" t="str">
        <f>"          03 PA 2016"</f>
        <v xml:space="preserve">          03 PA 2016</v>
      </c>
      <c r="X7170" s="1">
        <v>3550.32</v>
      </c>
      <c r="Y7170">
        <v>0</v>
      </c>
      <c r="Z7170"/>
      <c r="AB7170"/>
      <c r="AC7170" s="1">
        <v>2910.1</v>
      </c>
      <c r="AD7170">
        <v>140</v>
      </c>
      <c r="AE7170" s="1">
        <v>407414</v>
      </c>
      <c r="AF7170">
        <v>0</v>
      </c>
      <c r="AJ7170">
        <v>0</v>
      </c>
      <c r="AK7170">
        <v>0</v>
      </c>
      <c r="AL7170">
        <v>0</v>
      </c>
      <c r="AM7170">
        <v>0</v>
      </c>
      <c r="AN7170" s="1">
        <v>3550.32</v>
      </c>
      <c r="AO7170" s="1">
        <v>3550.32</v>
      </c>
      <c r="AP7170" s="2">
        <v>42746</v>
      </c>
      <c r="AQ7170" t="s">
        <v>72</v>
      </c>
      <c r="AR7170" t="s">
        <v>72</v>
      </c>
      <c r="AS7170">
        <v>1928</v>
      </c>
      <c r="AT7170" s="4">
        <v>42577</v>
      </c>
      <c r="AU7170" t="s">
        <v>73</v>
      </c>
      <c r="AV7170">
        <v>1928</v>
      </c>
      <c r="AW7170" s="4">
        <v>42577</v>
      </c>
      <c r="BD7170">
        <v>0</v>
      </c>
      <c r="BN7170" t="s">
        <v>74</v>
      </c>
    </row>
    <row r="7171" spans="1:66" hidden="1">
      <c r="A7171">
        <v>104124</v>
      </c>
      <c r="B7171" s="3" t="s">
        <v>613</v>
      </c>
      <c r="C7171" s="1">
        <v>43300101</v>
      </c>
      <c r="D7171" t="s">
        <v>67</v>
      </c>
      <c r="H7171" t="str">
        <f t="shared" si="700"/>
        <v>CPTMSM61E01L245Y</v>
      </c>
      <c r="I7171" t="str">
        <f t="shared" si="701"/>
        <v>03104731215</v>
      </c>
      <c r="K7171" t="str">
        <f>""</f>
        <v/>
      </c>
      <c r="M7171" t="s">
        <v>68</v>
      </c>
      <c r="N7171" t="str">
        <f t="shared" si="702"/>
        <v>FOR</v>
      </c>
      <c r="O7171" t="s">
        <v>69</v>
      </c>
      <c r="P7171" s="3" t="s">
        <v>75</v>
      </c>
      <c r="Q7171">
        <v>2016</v>
      </c>
      <c r="R7171" s="2">
        <v>42414</v>
      </c>
      <c r="S7171" s="2">
        <v>42415</v>
      </c>
      <c r="T7171" s="2">
        <v>42414</v>
      </c>
      <c r="U7171" s="2">
        <v>42474</v>
      </c>
      <c r="V7171" t="s">
        <v>71</v>
      </c>
      <c r="W7171" t="str">
        <f>"          04 PA 2016"</f>
        <v xml:space="preserve">          04 PA 2016</v>
      </c>
      <c r="X7171" s="1">
        <v>4276.4799999999996</v>
      </c>
      <c r="Y7171">
        <v>0</v>
      </c>
      <c r="Z7171"/>
      <c r="AB7171"/>
      <c r="AC7171" s="1">
        <v>3505.31</v>
      </c>
      <c r="AD7171">
        <v>146</v>
      </c>
      <c r="AE7171" s="1">
        <v>511775.26</v>
      </c>
      <c r="AF7171">
        <v>0</v>
      </c>
      <c r="AJ7171">
        <v>0</v>
      </c>
      <c r="AK7171">
        <v>0</v>
      </c>
      <c r="AL7171">
        <v>0</v>
      </c>
      <c r="AM7171" s="1">
        <v>4276.4799999999996</v>
      </c>
      <c r="AN7171" s="1">
        <v>4276.4799999999996</v>
      </c>
      <c r="AO7171" s="1">
        <v>4276.4799999999996</v>
      </c>
      <c r="AP7171" s="2">
        <v>42746</v>
      </c>
      <c r="AQ7171" t="s">
        <v>72</v>
      </c>
      <c r="AR7171" t="s">
        <v>72</v>
      </c>
      <c r="AS7171">
        <v>2313</v>
      </c>
      <c r="AT7171" s="4">
        <v>42620</v>
      </c>
      <c r="AU7171" t="s">
        <v>73</v>
      </c>
      <c r="AV7171">
        <v>2313</v>
      </c>
      <c r="AW7171" s="4">
        <v>42620</v>
      </c>
      <c r="BD7171">
        <v>0</v>
      </c>
      <c r="BN7171" t="s">
        <v>74</v>
      </c>
    </row>
    <row r="7172" spans="1:66">
      <c r="A7172">
        <v>104124</v>
      </c>
      <c r="B7172" s="3" t="s">
        <v>613</v>
      </c>
      <c r="C7172" s="1">
        <v>43300101</v>
      </c>
      <c r="D7172" t="s">
        <v>67</v>
      </c>
      <c r="H7172" t="str">
        <f t="shared" si="700"/>
        <v>CPTMSM61E01L245Y</v>
      </c>
      <c r="I7172" t="str">
        <f t="shared" si="701"/>
        <v>03104731215</v>
      </c>
      <c r="K7172" t="str">
        <f>""</f>
        <v/>
      </c>
      <c r="M7172" t="s">
        <v>68</v>
      </c>
      <c r="N7172" t="str">
        <f t="shared" si="702"/>
        <v>FOR</v>
      </c>
      <c r="O7172" t="s">
        <v>69</v>
      </c>
      <c r="P7172" s="3" t="s">
        <v>75</v>
      </c>
      <c r="Q7172">
        <v>2016</v>
      </c>
      <c r="R7172" s="2">
        <v>42432</v>
      </c>
      <c r="S7172" s="2">
        <v>42436</v>
      </c>
      <c r="T7172" s="2">
        <v>42435</v>
      </c>
      <c r="U7172" s="2">
        <v>42495</v>
      </c>
      <c r="V7172" t="s">
        <v>71</v>
      </c>
      <c r="W7172" t="str">
        <f>"          06 PA 2016"</f>
        <v xml:space="preserve">          06 PA 2016</v>
      </c>
      <c r="X7172" s="1">
        <v>10012.66</v>
      </c>
      <c r="Y7172">
        <v>0</v>
      </c>
      <c r="Z7172" s="5">
        <v>8207.1</v>
      </c>
      <c r="AA7172">
        <v>151</v>
      </c>
      <c r="AB7172" s="5">
        <v>1239272.1000000001</v>
      </c>
      <c r="AC7172" s="1">
        <v>8207.1</v>
      </c>
      <c r="AD7172">
        <v>151</v>
      </c>
      <c r="AE7172" s="1">
        <v>1239272.1000000001</v>
      </c>
      <c r="AF7172">
        <v>0</v>
      </c>
      <c r="AJ7172">
        <v>0</v>
      </c>
      <c r="AK7172">
        <v>0</v>
      </c>
      <c r="AL7172">
        <v>0</v>
      </c>
      <c r="AM7172" s="1">
        <v>10012.66</v>
      </c>
      <c r="AN7172" s="1">
        <v>10012.66</v>
      </c>
      <c r="AO7172" s="1">
        <v>10012.66</v>
      </c>
      <c r="AP7172" s="2">
        <v>42746</v>
      </c>
      <c r="AQ7172" t="s">
        <v>72</v>
      </c>
      <c r="AR7172" t="s">
        <v>72</v>
      </c>
      <c r="AS7172">
        <v>2559</v>
      </c>
      <c r="AT7172" s="4">
        <v>42646</v>
      </c>
      <c r="AU7172" t="s">
        <v>73</v>
      </c>
      <c r="AV7172">
        <v>2559</v>
      </c>
      <c r="AW7172" s="4">
        <v>42646</v>
      </c>
      <c r="BD7172">
        <v>0</v>
      </c>
      <c r="BN7172" t="s">
        <v>74</v>
      </c>
    </row>
    <row r="7173" spans="1:66">
      <c r="A7173">
        <v>104124</v>
      </c>
      <c r="B7173" s="3" t="s">
        <v>613</v>
      </c>
      <c r="C7173" s="1">
        <v>43300101</v>
      </c>
      <c r="D7173" t="s">
        <v>67</v>
      </c>
      <c r="H7173" t="str">
        <f t="shared" si="700"/>
        <v>CPTMSM61E01L245Y</v>
      </c>
      <c r="I7173" t="str">
        <f t="shared" si="701"/>
        <v>03104731215</v>
      </c>
      <c r="K7173" t="str">
        <f>""</f>
        <v/>
      </c>
      <c r="M7173" t="s">
        <v>68</v>
      </c>
      <c r="N7173" t="str">
        <f t="shared" si="702"/>
        <v>FOR</v>
      </c>
      <c r="O7173" t="s">
        <v>69</v>
      </c>
      <c r="P7173" s="3" t="s">
        <v>75</v>
      </c>
      <c r="Q7173">
        <v>2016</v>
      </c>
      <c r="R7173" s="2">
        <v>42432</v>
      </c>
      <c r="S7173" s="2">
        <v>42436</v>
      </c>
      <c r="T7173" s="2">
        <v>42435</v>
      </c>
      <c r="U7173" s="2">
        <v>42495</v>
      </c>
      <c r="V7173" t="s">
        <v>71</v>
      </c>
      <c r="W7173" t="str">
        <f>"          07 PA 2016"</f>
        <v xml:space="preserve">          07 PA 2016</v>
      </c>
      <c r="X7173" s="1">
        <v>8847.68</v>
      </c>
      <c r="Y7173">
        <v>0</v>
      </c>
      <c r="Z7173" s="5">
        <v>7252.2</v>
      </c>
      <c r="AA7173">
        <v>151</v>
      </c>
      <c r="AB7173" s="5">
        <v>1095082.2</v>
      </c>
      <c r="AC7173" s="1">
        <v>7252.2</v>
      </c>
      <c r="AD7173">
        <v>151</v>
      </c>
      <c r="AE7173" s="1">
        <v>1095082.2</v>
      </c>
      <c r="AF7173">
        <v>0</v>
      </c>
      <c r="AJ7173">
        <v>0</v>
      </c>
      <c r="AK7173">
        <v>0</v>
      </c>
      <c r="AL7173">
        <v>0</v>
      </c>
      <c r="AM7173" s="1">
        <v>8847.68</v>
      </c>
      <c r="AN7173" s="1">
        <v>8847.68</v>
      </c>
      <c r="AO7173" s="1">
        <v>8847.68</v>
      </c>
      <c r="AP7173" s="2">
        <v>42746</v>
      </c>
      <c r="AQ7173" t="s">
        <v>72</v>
      </c>
      <c r="AR7173" t="s">
        <v>72</v>
      </c>
      <c r="AS7173">
        <v>2559</v>
      </c>
      <c r="AT7173" s="4">
        <v>42646</v>
      </c>
      <c r="AU7173" t="s">
        <v>73</v>
      </c>
      <c r="AV7173">
        <v>2559</v>
      </c>
      <c r="AW7173" s="4">
        <v>42646</v>
      </c>
      <c r="BD7173">
        <v>0</v>
      </c>
      <c r="BN7173" t="s">
        <v>74</v>
      </c>
    </row>
    <row r="7174" spans="1:66">
      <c r="A7174">
        <v>104124</v>
      </c>
      <c r="B7174" s="3" t="s">
        <v>613</v>
      </c>
      <c r="C7174" s="1">
        <v>43300101</v>
      </c>
      <c r="D7174" t="s">
        <v>67</v>
      </c>
      <c r="H7174" t="str">
        <f t="shared" si="700"/>
        <v>CPTMSM61E01L245Y</v>
      </c>
      <c r="I7174" t="str">
        <f t="shared" si="701"/>
        <v>03104731215</v>
      </c>
      <c r="K7174" t="str">
        <f>""</f>
        <v/>
      </c>
      <c r="M7174" t="s">
        <v>68</v>
      </c>
      <c r="N7174" t="str">
        <f t="shared" si="702"/>
        <v>FOR</v>
      </c>
      <c r="O7174" t="s">
        <v>69</v>
      </c>
      <c r="P7174" s="3" t="s">
        <v>75</v>
      </c>
      <c r="Q7174">
        <v>2016</v>
      </c>
      <c r="R7174" s="2">
        <v>42437</v>
      </c>
      <c r="S7174" s="2">
        <v>42437</v>
      </c>
      <c r="T7174" s="2">
        <v>42437</v>
      </c>
      <c r="U7174" s="2">
        <v>42497</v>
      </c>
      <c r="V7174" t="s">
        <v>71</v>
      </c>
      <c r="W7174" t="str">
        <f>"          08 PA 2016"</f>
        <v xml:space="preserve">          08 PA 2016</v>
      </c>
      <c r="X7174" s="1">
        <v>5378</v>
      </c>
      <c r="Y7174">
        <v>0</v>
      </c>
      <c r="Z7174" s="5">
        <v>4408.2</v>
      </c>
      <c r="AA7174">
        <v>149</v>
      </c>
      <c r="AB7174" s="5">
        <v>656821.80000000005</v>
      </c>
      <c r="AC7174" s="1">
        <v>4408.2</v>
      </c>
      <c r="AD7174">
        <v>149</v>
      </c>
      <c r="AE7174" s="1">
        <v>656821.80000000005</v>
      </c>
      <c r="AF7174">
        <v>0</v>
      </c>
      <c r="AJ7174">
        <v>0</v>
      </c>
      <c r="AK7174">
        <v>0</v>
      </c>
      <c r="AL7174">
        <v>0</v>
      </c>
      <c r="AM7174" s="1">
        <v>5378</v>
      </c>
      <c r="AN7174" s="1">
        <v>5378</v>
      </c>
      <c r="AO7174" s="1">
        <v>5378</v>
      </c>
      <c r="AP7174" s="2">
        <v>42746</v>
      </c>
      <c r="AQ7174" t="s">
        <v>72</v>
      </c>
      <c r="AR7174" t="s">
        <v>72</v>
      </c>
      <c r="AS7174">
        <v>2559</v>
      </c>
      <c r="AT7174" s="4">
        <v>42646</v>
      </c>
      <c r="AU7174" t="s">
        <v>73</v>
      </c>
      <c r="AV7174">
        <v>2559</v>
      </c>
      <c r="AW7174" s="4">
        <v>42646</v>
      </c>
      <c r="BD7174">
        <v>0</v>
      </c>
      <c r="BN7174" t="s">
        <v>74</v>
      </c>
    </row>
    <row r="7175" spans="1:66">
      <c r="A7175">
        <v>104124</v>
      </c>
      <c r="B7175" s="3" t="s">
        <v>613</v>
      </c>
      <c r="C7175" s="1">
        <v>43300101</v>
      </c>
      <c r="D7175" t="s">
        <v>67</v>
      </c>
      <c r="H7175" t="str">
        <f t="shared" si="700"/>
        <v>CPTMSM61E01L245Y</v>
      </c>
      <c r="I7175" t="str">
        <f t="shared" si="701"/>
        <v>03104731215</v>
      </c>
      <c r="K7175" t="str">
        <f>""</f>
        <v/>
      </c>
      <c r="M7175" t="s">
        <v>68</v>
      </c>
      <c r="N7175" t="str">
        <f t="shared" si="702"/>
        <v>FOR</v>
      </c>
      <c r="O7175" t="s">
        <v>69</v>
      </c>
      <c r="P7175" s="3" t="s">
        <v>70</v>
      </c>
      <c r="Q7175">
        <v>2016</v>
      </c>
      <c r="R7175" s="2">
        <v>42443</v>
      </c>
      <c r="S7175" s="2">
        <v>42444</v>
      </c>
      <c r="T7175" s="2">
        <v>42444</v>
      </c>
      <c r="U7175" s="2">
        <v>42504</v>
      </c>
      <c r="V7175" t="s">
        <v>71</v>
      </c>
      <c r="W7175" t="str">
        <f>"          09 PA 2016"</f>
        <v xml:space="preserve">          09 PA 2016</v>
      </c>
      <c r="X7175" s="1">
        <v>4962.96</v>
      </c>
      <c r="Y7175">
        <v>0</v>
      </c>
      <c r="Z7175" s="5">
        <v>4068</v>
      </c>
      <c r="AA7175">
        <v>142</v>
      </c>
      <c r="AB7175" s="5">
        <v>577656</v>
      </c>
      <c r="AC7175" s="1">
        <v>4068</v>
      </c>
      <c r="AD7175">
        <v>142</v>
      </c>
      <c r="AE7175" s="1">
        <v>577656</v>
      </c>
      <c r="AF7175">
        <v>0</v>
      </c>
      <c r="AJ7175">
        <v>0</v>
      </c>
      <c r="AK7175">
        <v>0</v>
      </c>
      <c r="AL7175">
        <v>0</v>
      </c>
      <c r="AM7175" s="1">
        <v>4962.96</v>
      </c>
      <c r="AN7175" s="1">
        <v>4962.96</v>
      </c>
      <c r="AO7175" s="1">
        <v>4962.96</v>
      </c>
      <c r="AP7175" s="2">
        <v>42746</v>
      </c>
      <c r="AQ7175" t="s">
        <v>72</v>
      </c>
      <c r="AR7175" t="s">
        <v>72</v>
      </c>
      <c r="AS7175">
        <v>2559</v>
      </c>
      <c r="AT7175" s="4">
        <v>42646</v>
      </c>
      <c r="AU7175" t="s">
        <v>73</v>
      </c>
      <c r="AV7175">
        <v>2559</v>
      </c>
      <c r="AW7175" s="4">
        <v>42646</v>
      </c>
      <c r="BD7175">
        <v>0</v>
      </c>
      <c r="BN7175" t="s">
        <v>74</v>
      </c>
    </row>
    <row r="7176" spans="1:66">
      <c r="A7176">
        <v>104124</v>
      </c>
      <c r="B7176" s="3" t="s">
        <v>613</v>
      </c>
      <c r="C7176" s="1">
        <v>43300101</v>
      </c>
      <c r="D7176" t="s">
        <v>67</v>
      </c>
      <c r="H7176" t="str">
        <f t="shared" si="700"/>
        <v>CPTMSM61E01L245Y</v>
      </c>
      <c r="I7176" t="str">
        <f t="shared" si="701"/>
        <v>03104731215</v>
      </c>
      <c r="K7176" t="str">
        <f>""</f>
        <v/>
      </c>
      <c r="M7176" t="s">
        <v>68</v>
      </c>
      <c r="N7176" t="str">
        <f t="shared" si="702"/>
        <v>FOR</v>
      </c>
      <c r="O7176" t="s">
        <v>69</v>
      </c>
      <c r="P7176" s="3" t="s">
        <v>75</v>
      </c>
      <c r="Q7176">
        <v>2016</v>
      </c>
      <c r="R7176" s="2">
        <v>42450</v>
      </c>
      <c r="S7176" s="2">
        <v>42464</v>
      </c>
      <c r="T7176" s="2">
        <v>42461</v>
      </c>
      <c r="U7176" s="2">
        <v>42521</v>
      </c>
      <c r="V7176" t="s">
        <v>71</v>
      </c>
      <c r="W7176" t="str">
        <f>"          10 PA 2016"</f>
        <v xml:space="preserve">          10 PA 2016</v>
      </c>
      <c r="X7176" s="1">
        <v>4270</v>
      </c>
      <c r="Y7176">
        <v>0</v>
      </c>
      <c r="Z7176" s="5">
        <v>3500</v>
      </c>
      <c r="AA7176">
        <v>125</v>
      </c>
      <c r="AB7176" s="5">
        <v>437500</v>
      </c>
      <c r="AC7176" s="1">
        <v>3500</v>
      </c>
      <c r="AD7176">
        <v>125</v>
      </c>
      <c r="AE7176" s="1">
        <v>437500</v>
      </c>
      <c r="AF7176">
        <v>0</v>
      </c>
      <c r="AJ7176">
        <v>0</v>
      </c>
      <c r="AK7176">
        <v>0</v>
      </c>
      <c r="AL7176">
        <v>0</v>
      </c>
      <c r="AM7176" s="1">
        <v>4270</v>
      </c>
      <c r="AN7176" s="1">
        <v>4270</v>
      </c>
      <c r="AO7176" s="1">
        <v>4270</v>
      </c>
      <c r="AP7176" s="2">
        <v>42746</v>
      </c>
      <c r="AQ7176" t="s">
        <v>72</v>
      </c>
      <c r="AR7176" t="s">
        <v>72</v>
      </c>
      <c r="AS7176">
        <v>2559</v>
      </c>
      <c r="AT7176" s="4">
        <v>42646</v>
      </c>
      <c r="AU7176" t="s">
        <v>73</v>
      </c>
      <c r="AV7176">
        <v>2559</v>
      </c>
      <c r="AW7176" s="4">
        <v>42646</v>
      </c>
      <c r="BD7176">
        <v>0</v>
      </c>
      <c r="BN7176" t="s">
        <v>74</v>
      </c>
    </row>
    <row r="7177" spans="1:66">
      <c r="A7177">
        <v>104124</v>
      </c>
      <c r="B7177" s="3" t="s">
        <v>613</v>
      </c>
      <c r="C7177" s="1">
        <v>43300101</v>
      </c>
      <c r="D7177" t="s">
        <v>67</v>
      </c>
      <c r="H7177" t="str">
        <f t="shared" si="700"/>
        <v>CPTMSM61E01L245Y</v>
      </c>
      <c r="I7177" t="str">
        <f t="shared" si="701"/>
        <v>03104731215</v>
      </c>
      <c r="K7177" t="str">
        <f>""</f>
        <v/>
      </c>
      <c r="M7177" t="s">
        <v>68</v>
      </c>
      <c r="N7177" t="str">
        <f t="shared" si="702"/>
        <v>FOR</v>
      </c>
      <c r="O7177" t="s">
        <v>69</v>
      </c>
      <c r="P7177" s="3" t="s">
        <v>75</v>
      </c>
      <c r="Q7177">
        <v>2016</v>
      </c>
      <c r="R7177" s="2">
        <v>42450</v>
      </c>
      <c r="S7177" s="2">
        <v>42461</v>
      </c>
      <c r="T7177" s="2">
        <v>42450</v>
      </c>
      <c r="U7177" s="2">
        <v>42510</v>
      </c>
      <c r="V7177" t="s">
        <v>71</v>
      </c>
      <c r="W7177" t="str">
        <f>"          11 PA 2016"</f>
        <v xml:space="preserve">          11 PA 2016</v>
      </c>
      <c r="X7177" s="1">
        <v>4719.08</v>
      </c>
      <c r="Y7177">
        <v>0</v>
      </c>
      <c r="Z7177" s="5">
        <v>3868.1</v>
      </c>
      <c r="AA7177">
        <v>136</v>
      </c>
      <c r="AB7177" s="5">
        <v>526061.6</v>
      </c>
      <c r="AC7177" s="1">
        <v>3868.1</v>
      </c>
      <c r="AD7177">
        <v>136</v>
      </c>
      <c r="AE7177" s="1">
        <v>526061.6</v>
      </c>
      <c r="AF7177">
        <v>0</v>
      </c>
      <c r="AJ7177">
        <v>0</v>
      </c>
      <c r="AK7177">
        <v>0</v>
      </c>
      <c r="AL7177">
        <v>0</v>
      </c>
      <c r="AM7177" s="1">
        <v>4719.08</v>
      </c>
      <c r="AN7177" s="1">
        <v>4719.08</v>
      </c>
      <c r="AO7177" s="1">
        <v>4719.08</v>
      </c>
      <c r="AP7177" s="2">
        <v>42746</v>
      </c>
      <c r="AQ7177" t="s">
        <v>72</v>
      </c>
      <c r="AR7177" t="s">
        <v>72</v>
      </c>
      <c r="AS7177">
        <v>2559</v>
      </c>
      <c r="AT7177" s="4">
        <v>42646</v>
      </c>
      <c r="AU7177" t="s">
        <v>73</v>
      </c>
      <c r="AV7177">
        <v>2559</v>
      </c>
      <c r="AW7177" s="4">
        <v>42646</v>
      </c>
      <c r="BD7177">
        <v>0</v>
      </c>
      <c r="BN7177" t="s">
        <v>74</v>
      </c>
    </row>
    <row r="7178" spans="1:66">
      <c r="A7178">
        <v>104124</v>
      </c>
      <c r="B7178" s="3" t="s">
        <v>613</v>
      </c>
      <c r="C7178" s="1">
        <v>43300101</v>
      </c>
      <c r="D7178" t="s">
        <v>67</v>
      </c>
      <c r="H7178" t="str">
        <f t="shared" si="700"/>
        <v>CPTMSM61E01L245Y</v>
      </c>
      <c r="I7178" t="str">
        <f t="shared" si="701"/>
        <v>03104731215</v>
      </c>
      <c r="K7178" t="str">
        <f>""</f>
        <v/>
      </c>
      <c r="M7178" t="s">
        <v>68</v>
      </c>
      <c r="N7178" t="str">
        <f t="shared" si="702"/>
        <v>FOR</v>
      </c>
      <c r="O7178" t="s">
        <v>69</v>
      </c>
      <c r="P7178" s="3" t="s">
        <v>75</v>
      </c>
      <c r="Q7178">
        <v>2016</v>
      </c>
      <c r="R7178" s="2">
        <v>42461</v>
      </c>
      <c r="S7178" s="2">
        <v>42464</v>
      </c>
      <c r="T7178" s="2">
        <v>42461</v>
      </c>
      <c r="U7178" s="2">
        <v>42521</v>
      </c>
      <c r="V7178" t="s">
        <v>71</v>
      </c>
      <c r="W7178" t="str">
        <f>"          13 PA 2016"</f>
        <v xml:space="preserve">          13 PA 2016</v>
      </c>
      <c r="X7178" s="1">
        <v>6100</v>
      </c>
      <c r="Y7178">
        <v>0</v>
      </c>
      <c r="Z7178" s="5">
        <v>5000</v>
      </c>
      <c r="AA7178">
        <v>167</v>
      </c>
      <c r="AB7178" s="5">
        <v>835000</v>
      </c>
      <c r="AC7178" s="1">
        <v>5000</v>
      </c>
      <c r="AD7178">
        <v>167</v>
      </c>
      <c r="AE7178" s="1">
        <v>835000</v>
      </c>
      <c r="AF7178">
        <v>0</v>
      </c>
      <c r="AJ7178">
        <v>0</v>
      </c>
      <c r="AK7178">
        <v>0</v>
      </c>
      <c r="AL7178">
        <v>0</v>
      </c>
      <c r="AM7178" s="1">
        <v>6100</v>
      </c>
      <c r="AN7178" s="1">
        <v>6100</v>
      </c>
      <c r="AO7178" s="1">
        <v>6100</v>
      </c>
      <c r="AP7178" s="2">
        <v>42746</v>
      </c>
      <c r="AQ7178" t="s">
        <v>72</v>
      </c>
      <c r="AR7178" t="s">
        <v>72</v>
      </c>
      <c r="AS7178">
        <v>3083</v>
      </c>
      <c r="AT7178" s="4">
        <v>42688</v>
      </c>
      <c r="AU7178" t="s">
        <v>73</v>
      </c>
      <c r="AV7178">
        <v>3083</v>
      </c>
      <c r="AW7178" s="4">
        <v>42688</v>
      </c>
      <c r="BD7178">
        <v>0</v>
      </c>
      <c r="BN7178" t="s">
        <v>74</v>
      </c>
    </row>
    <row r="7179" spans="1:66">
      <c r="A7179">
        <v>104124</v>
      </c>
      <c r="B7179" s="3" t="s">
        <v>613</v>
      </c>
      <c r="C7179" s="1">
        <v>43300101</v>
      </c>
      <c r="D7179" t="s">
        <v>67</v>
      </c>
      <c r="H7179" t="str">
        <f t="shared" si="700"/>
        <v>CPTMSM61E01L245Y</v>
      </c>
      <c r="I7179" t="str">
        <f t="shared" si="701"/>
        <v>03104731215</v>
      </c>
      <c r="K7179" t="str">
        <f>""</f>
        <v/>
      </c>
      <c r="M7179" t="s">
        <v>68</v>
      </c>
      <c r="N7179" t="str">
        <f t="shared" si="702"/>
        <v>FOR</v>
      </c>
      <c r="O7179" t="s">
        <v>69</v>
      </c>
      <c r="P7179" s="3" t="s">
        <v>75</v>
      </c>
      <c r="Q7179">
        <v>2016</v>
      </c>
      <c r="R7179" s="2">
        <v>42478</v>
      </c>
      <c r="S7179" s="2">
        <v>42486</v>
      </c>
      <c r="T7179" s="2">
        <v>42481</v>
      </c>
      <c r="U7179" s="2">
        <v>42541</v>
      </c>
      <c r="V7179" t="s">
        <v>71</v>
      </c>
      <c r="W7179" t="str">
        <f>"          16 PA 2016"</f>
        <v xml:space="preserve">          16 PA 2016</v>
      </c>
      <c r="X7179" s="1">
        <v>4448.2700000000004</v>
      </c>
      <c r="Y7179">
        <v>0</v>
      </c>
      <c r="Z7179" s="5">
        <v>3646.12</v>
      </c>
      <c r="AA7179">
        <v>147</v>
      </c>
      <c r="AB7179" s="5">
        <v>535979.64</v>
      </c>
      <c r="AC7179" s="1">
        <v>3646.12</v>
      </c>
      <c r="AD7179">
        <v>147</v>
      </c>
      <c r="AE7179" s="1">
        <v>535979.64</v>
      </c>
      <c r="AF7179">
        <v>0</v>
      </c>
      <c r="AJ7179">
        <v>0</v>
      </c>
      <c r="AK7179">
        <v>0</v>
      </c>
      <c r="AL7179">
        <v>0</v>
      </c>
      <c r="AM7179" s="1">
        <v>4448.2700000000004</v>
      </c>
      <c r="AN7179" s="1">
        <v>4448.2700000000004</v>
      </c>
      <c r="AO7179" s="1">
        <v>4448.2700000000004</v>
      </c>
      <c r="AP7179" s="2">
        <v>42746</v>
      </c>
      <c r="AQ7179" t="s">
        <v>72</v>
      </c>
      <c r="AR7179" t="s">
        <v>72</v>
      </c>
      <c r="AS7179">
        <v>3083</v>
      </c>
      <c r="AT7179" s="4">
        <v>42688</v>
      </c>
      <c r="AU7179" t="s">
        <v>73</v>
      </c>
      <c r="AV7179">
        <v>3083</v>
      </c>
      <c r="AW7179" s="4">
        <v>42688</v>
      </c>
      <c r="BD7179">
        <v>0</v>
      </c>
      <c r="BN7179" t="s">
        <v>74</v>
      </c>
    </row>
    <row r="7180" spans="1:66">
      <c r="A7180">
        <v>104124</v>
      </c>
      <c r="B7180" s="3" t="s">
        <v>613</v>
      </c>
      <c r="C7180" s="1">
        <v>43300101</v>
      </c>
      <c r="D7180" t="s">
        <v>67</v>
      </c>
      <c r="H7180" t="str">
        <f t="shared" si="700"/>
        <v>CPTMSM61E01L245Y</v>
      </c>
      <c r="I7180" t="str">
        <f t="shared" si="701"/>
        <v>03104731215</v>
      </c>
      <c r="K7180" t="str">
        <f>""</f>
        <v/>
      </c>
      <c r="M7180" t="s">
        <v>68</v>
      </c>
      <c r="N7180" t="str">
        <f t="shared" si="702"/>
        <v>FOR</v>
      </c>
      <c r="O7180" t="s">
        <v>69</v>
      </c>
      <c r="P7180" s="3" t="s">
        <v>75</v>
      </c>
      <c r="Q7180">
        <v>2016</v>
      </c>
      <c r="R7180" s="2">
        <v>42478</v>
      </c>
      <c r="S7180" s="2">
        <v>42478</v>
      </c>
      <c r="T7180" s="2">
        <v>42478</v>
      </c>
      <c r="U7180" s="2">
        <v>42538</v>
      </c>
      <c r="V7180" t="s">
        <v>71</v>
      </c>
      <c r="W7180" t="str">
        <f>"          17 pa 2016"</f>
        <v xml:space="preserve">          17 pa 2016</v>
      </c>
      <c r="X7180" s="1">
        <v>4096.03</v>
      </c>
      <c r="Y7180">
        <v>0</v>
      </c>
      <c r="Z7180" s="5">
        <v>3357.4</v>
      </c>
      <c r="AA7180">
        <v>150</v>
      </c>
      <c r="AB7180" s="5">
        <v>503610</v>
      </c>
      <c r="AC7180" s="1">
        <v>3357.4</v>
      </c>
      <c r="AD7180">
        <v>150</v>
      </c>
      <c r="AE7180" s="1">
        <v>503610</v>
      </c>
      <c r="AF7180">
        <v>0</v>
      </c>
      <c r="AJ7180">
        <v>0</v>
      </c>
      <c r="AK7180">
        <v>0</v>
      </c>
      <c r="AL7180">
        <v>0</v>
      </c>
      <c r="AM7180" s="1">
        <v>4096.03</v>
      </c>
      <c r="AN7180" s="1">
        <v>4096.03</v>
      </c>
      <c r="AO7180" s="1">
        <v>4096.03</v>
      </c>
      <c r="AP7180" s="2">
        <v>42746</v>
      </c>
      <c r="AQ7180" t="s">
        <v>72</v>
      </c>
      <c r="AR7180" t="s">
        <v>72</v>
      </c>
      <c r="AS7180">
        <v>3083</v>
      </c>
      <c r="AT7180" s="4">
        <v>42688</v>
      </c>
      <c r="AU7180" t="s">
        <v>73</v>
      </c>
      <c r="AV7180">
        <v>3083</v>
      </c>
      <c r="AW7180" s="4">
        <v>42688</v>
      </c>
      <c r="BD7180">
        <v>0</v>
      </c>
      <c r="BN7180" t="s">
        <v>74</v>
      </c>
    </row>
    <row r="7181" spans="1:66">
      <c r="A7181">
        <v>104124</v>
      </c>
      <c r="B7181" s="3" t="s">
        <v>613</v>
      </c>
      <c r="C7181" s="1">
        <v>43300101</v>
      </c>
      <c r="D7181" t="s">
        <v>67</v>
      </c>
      <c r="H7181" t="str">
        <f t="shared" si="700"/>
        <v>CPTMSM61E01L245Y</v>
      </c>
      <c r="I7181" t="str">
        <f t="shared" si="701"/>
        <v>03104731215</v>
      </c>
      <c r="K7181" t="str">
        <f>""</f>
        <v/>
      </c>
      <c r="M7181" t="s">
        <v>68</v>
      </c>
      <c r="N7181" t="str">
        <f t="shared" si="702"/>
        <v>FOR</v>
      </c>
      <c r="O7181" t="s">
        <v>69</v>
      </c>
      <c r="P7181" s="3" t="s">
        <v>75</v>
      </c>
      <c r="Q7181">
        <v>2016</v>
      </c>
      <c r="R7181" s="2">
        <v>42487</v>
      </c>
      <c r="S7181" s="2">
        <v>42487</v>
      </c>
      <c r="T7181" s="2">
        <v>42487</v>
      </c>
      <c r="U7181" s="2">
        <v>42547</v>
      </c>
      <c r="V7181" t="s">
        <v>71</v>
      </c>
      <c r="W7181" t="str">
        <f>"          18 PA 2016"</f>
        <v xml:space="preserve">          18 PA 2016</v>
      </c>
      <c r="X7181" s="1">
        <v>4959.67</v>
      </c>
      <c r="Y7181">
        <v>0</v>
      </c>
      <c r="Z7181" s="5">
        <v>4065.3</v>
      </c>
      <c r="AA7181">
        <v>141</v>
      </c>
      <c r="AB7181" s="5">
        <v>573207.30000000005</v>
      </c>
      <c r="AC7181" s="1">
        <v>4065.3</v>
      </c>
      <c r="AD7181">
        <v>141</v>
      </c>
      <c r="AE7181" s="1">
        <v>573207.30000000005</v>
      </c>
      <c r="AF7181">
        <v>0</v>
      </c>
      <c r="AJ7181">
        <v>0</v>
      </c>
      <c r="AK7181">
        <v>0</v>
      </c>
      <c r="AL7181">
        <v>0</v>
      </c>
      <c r="AM7181" s="1">
        <v>4959.67</v>
      </c>
      <c r="AN7181" s="1">
        <v>4959.67</v>
      </c>
      <c r="AO7181" s="1">
        <v>4959.67</v>
      </c>
      <c r="AP7181" s="2">
        <v>42746</v>
      </c>
      <c r="AQ7181" t="s">
        <v>72</v>
      </c>
      <c r="AR7181" t="s">
        <v>72</v>
      </c>
      <c r="AS7181">
        <v>3083</v>
      </c>
      <c r="AT7181" s="4">
        <v>42688</v>
      </c>
      <c r="AU7181" t="s">
        <v>73</v>
      </c>
      <c r="AV7181">
        <v>3083</v>
      </c>
      <c r="AW7181" s="4">
        <v>42688</v>
      </c>
      <c r="BD7181">
        <v>0</v>
      </c>
      <c r="BN7181" t="s">
        <v>74</v>
      </c>
    </row>
    <row r="7182" spans="1:66">
      <c r="A7182">
        <v>104124</v>
      </c>
      <c r="B7182" s="3" t="s">
        <v>613</v>
      </c>
      <c r="C7182" s="1">
        <v>43300101</v>
      </c>
      <c r="D7182" t="s">
        <v>67</v>
      </c>
      <c r="H7182" t="str">
        <f t="shared" si="700"/>
        <v>CPTMSM61E01L245Y</v>
      </c>
      <c r="I7182" t="str">
        <f t="shared" si="701"/>
        <v>03104731215</v>
      </c>
      <c r="K7182" t="str">
        <f>""</f>
        <v/>
      </c>
      <c r="M7182" t="s">
        <v>68</v>
      </c>
      <c r="N7182" t="str">
        <f t="shared" si="702"/>
        <v>FOR</v>
      </c>
      <c r="O7182" t="s">
        <v>69</v>
      </c>
      <c r="P7182" s="3" t="s">
        <v>75</v>
      </c>
      <c r="Q7182">
        <v>2016</v>
      </c>
      <c r="R7182" s="2">
        <v>42488</v>
      </c>
      <c r="S7182" s="2">
        <v>42492</v>
      </c>
      <c r="T7182" s="2">
        <v>42489</v>
      </c>
      <c r="U7182" s="2">
        <v>42549</v>
      </c>
      <c r="V7182" t="s">
        <v>71</v>
      </c>
      <c r="W7182" t="str">
        <f>"          19 PA 2016"</f>
        <v xml:space="preserve">          19 PA 2016</v>
      </c>
      <c r="X7182" s="1">
        <v>5831.48</v>
      </c>
      <c r="Y7182">
        <v>0</v>
      </c>
      <c r="Z7182" s="5">
        <v>4779.8999999999996</v>
      </c>
      <c r="AA7182">
        <v>139</v>
      </c>
      <c r="AB7182" s="5">
        <v>664406.1</v>
      </c>
      <c r="AC7182" s="1">
        <v>4779.8999999999996</v>
      </c>
      <c r="AD7182">
        <v>139</v>
      </c>
      <c r="AE7182" s="1">
        <v>664406.1</v>
      </c>
      <c r="AF7182">
        <v>0</v>
      </c>
      <c r="AJ7182">
        <v>0</v>
      </c>
      <c r="AK7182">
        <v>0</v>
      </c>
      <c r="AL7182">
        <v>0</v>
      </c>
      <c r="AM7182" s="1">
        <v>5831.48</v>
      </c>
      <c r="AN7182" s="1">
        <v>5831.48</v>
      </c>
      <c r="AO7182" s="1">
        <v>5831.48</v>
      </c>
      <c r="AP7182" s="2">
        <v>42746</v>
      </c>
      <c r="AQ7182" t="s">
        <v>72</v>
      </c>
      <c r="AR7182" t="s">
        <v>72</v>
      </c>
      <c r="AS7182">
        <v>3083</v>
      </c>
      <c r="AT7182" s="4">
        <v>42688</v>
      </c>
      <c r="AU7182" t="s">
        <v>73</v>
      </c>
      <c r="AV7182">
        <v>3083</v>
      </c>
      <c r="AW7182" s="4">
        <v>42688</v>
      </c>
      <c r="BD7182">
        <v>0</v>
      </c>
      <c r="BN7182" t="s">
        <v>74</v>
      </c>
    </row>
    <row r="7183" spans="1:66">
      <c r="A7183">
        <v>104124</v>
      </c>
      <c r="B7183" s="3" t="s">
        <v>613</v>
      </c>
      <c r="C7183" s="1">
        <v>43300101</v>
      </c>
      <c r="D7183" t="s">
        <v>67</v>
      </c>
      <c r="H7183" t="str">
        <f t="shared" si="700"/>
        <v>CPTMSM61E01L245Y</v>
      </c>
      <c r="I7183" t="str">
        <f t="shared" si="701"/>
        <v>03104731215</v>
      </c>
      <c r="K7183" t="str">
        <f>""</f>
        <v/>
      </c>
      <c r="M7183" t="s">
        <v>68</v>
      </c>
      <c r="N7183" t="str">
        <f t="shared" si="702"/>
        <v>FOR</v>
      </c>
      <c r="O7183" t="s">
        <v>69</v>
      </c>
      <c r="P7183" s="3" t="s">
        <v>75</v>
      </c>
      <c r="Q7183">
        <v>2016</v>
      </c>
      <c r="R7183" s="2">
        <v>42504</v>
      </c>
      <c r="S7183" s="2">
        <v>42507</v>
      </c>
      <c r="T7183" s="2">
        <v>42505</v>
      </c>
      <c r="U7183" s="2">
        <v>42565</v>
      </c>
      <c r="V7183" t="s">
        <v>71</v>
      </c>
      <c r="W7183" t="str">
        <f>"          20 PA 2016"</f>
        <v xml:space="preserve">          20 PA 2016</v>
      </c>
      <c r="X7183" s="1">
        <v>10706.72</v>
      </c>
      <c r="Y7183">
        <v>0</v>
      </c>
      <c r="Z7183" s="5">
        <v>8776</v>
      </c>
      <c r="AA7183">
        <v>154</v>
      </c>
      <c r="AB7183" s="5">
        <v>1351504</v>
      </c>
      <c r="AC7183" s="1">
        <v>8776</v>
      </c>
      <c r="AD7183">
        <v>154</v>
      </c>
      <c r="AE7183" s="1">
        <v>1351504</v>
      </c>
      <c r="AF7183" s="1">
        <v>1930.72</v>
      </c>
      <c r="AJ7183">
        <v>0</v>
      </c>
      <c r="AK7183">
        <v>0</v>
      </c>
      <c r="AL7183">
        <v>0</v>
      </c>
      <c r="AM7183" s="1">
        <v>10706.72</v>
      </c>
      <c r="AN7183" s="1">
        <v>10706.72</v>
      </c>
      <c r="AO7183" s="1">
        <v>10706.72</v>
      </c>
      <c r="AP7183" s="2">
        <v>42746</v>
      </c>
      <c r="AQ7183" t="s">
        <v>72</v>
      </c>
      <c r="AR7183" t="s">
        <v>72</v>
      </c>
      <c r="AS7183">
        <v>3533</v>
      </c>
      <c r="AT7183" s="4">
        <v>42719</v>
      </c>
      <c r="AU7183" t="s">
        <v>73</v>
      </c>
      <c r="AV7183">
        <v>3533</v>
      </c>
      <c r="AW7183" s="4">
        <v>42719</v>
      </c>
      <c r="BC7183" s="1">
        <v>1930.72</v>
      </c>
      <c r="BD7183">
        <v>0</v>
      </c>
      <c r="BN7183" t="s">
        <v>74</v>
      </c>
    </row>
    <row r="7184" spans="1:66">
      <c r="A7184">
        <v>104124</v>
      </c>
      <c r="B7184" s="3" t="s">
        <v>613</v>
      </c>
      <c r="C7184" s="1">
        <v>43300101</v>
      </c>
      <c r="D7184" t="s">
        <v>67</v>
      </c>
      <c r="H7184" t="str">
        <f t="shared" si="700"/>
        <v>CPTMSM61E01L245Y</v>
      </c>
      <c r="I7184" t="str">
        <f t="shared" si="701"/>
        <v>03104731215</v>
      </c>
      <c r="K7184" t="str">
        <f>""</f>
        <v/>
      </c>
      <c r="M7184" t="s">
        <v>68</v>
      </c>
      <c r="N7184" t="str">
        <f t="shared" si="702"/>
        <v>FOR</v>
      </c>
      <c r="O7184" t="s">
        <v>69</v>
      </c>
      <c r="P7184" s="3" t="s">
        <v>75</v>
      </c>
      <c r="Q7184">
        <v>2016</v>
      </c>
      <c r="R7184" s="2">
        <v>42504</v>
      </c>
      <c r="S7184" s="2">
        <v>42507</v>
      </c>
      <c r="T7184" s="2">
        <v>42505</v>
      </c>
      <c r="U7184" s="2">
        <v>42565</v>
      </c>
      <c r="V7184" t="s">
        <v>71</v>
      </c>
      <c r="W7184" t="str">
        <f>"          21 PA 2016"</f>
        <v xml:space="preserve">          21 PA 2016</v>
      </c>
      <c r="X7184" s="1">
        <v>44820.18</v>
      </c>
      <c r="Y7184">
        <v>0</v>
      </c>
      <c r="Z7184" s="5">
        <v>36737.85</v>
      </c>
      <c r="AA7184">
        <v>154</v>
      </c>
      <c r="AB7184" s="5">
        <v>5657628.9000000004</v>
      </c>
      <c r="AC7184" s="1">
        <v>36737.85</v>
      </c>
      <c r="AD7184">
        <v>154</v>
      </c>
      <c r="AE7184" s="1">
        <v>5657628.9000000004</v>
      </c>
      <c r="AF7184" s="1">
        <v>8082.33</v>
      </c>
      <c r="AJ7184">
        <v>0</v>
      </c>
      <c r="AK7184">
        <v>0</v>
      </c>
      <c r="AL7184">
        <v>0</v>
      </c>
      <c r="AM7184" s="1">
        <v>44820.18</v>
      </c>
      <c r="AN7184" s="1">
        <v>44820.18</v>
      </c>
      <c r="AO7184" s="1">
        <v>44820.18</v>
      </c>
      <c r="AP7184" s="2">
        <v>42746</v>
      </c>
      <c r="AQ7184" t="s">
        <v>72</v>
      </c>
      <c r="AR7184" t="s">
        <v>72</v>
      </c>
      <c r="AS7184">
        <v>3533</v>
      </c>
      <c r="AT7184" s="4">
        <v>42719</v>
      </c>
      <c r="AU7184" t="s">
        <v>73</v>
      </c>
      <c r="AV7184">
        <v>3533</v>
      </c>
      <c r="AW7184" s="4">
        <v>42719</v>
      </c>
      <c r="BC7184" s="1">
        <v>8082.33</v>
      </c>
      <c r="BD7184">
        <v>0</v>
      </c>
      <c r="BN7184" t="s">
        <v>74</v>
      </c>
    </row>
    <row r="7185" spans="1:66">
      <c r="A7185">
        <v>104124</v>
      </c>
      <c r="B7185" s="3" t="s">
        <v>613</v>
      </c>
      <c r="C7185" s="1">
        <v>43300101</v>
      </c>
      <c r="D7185" t="s">
        <v>67</v>
      </c>
      <c r="H7185" t="str">
        <f t="shared" si="700"/>
        <v>CPTMSM61E01L245Y</v>
      </c>
      <c r="I7185" t="str">
        <f t="shared" si="701"/>
        <v>03104731215</v>
      </c>
      <c r="K7185" t="str">
        <f>""</f>
        <v/>
      </c>
      <c r="M7185" t="s">
        <v>68</v>
      </c>
      <c r="N7185" t="str">
        <f t="shared" si="702"/>
        <v>FOR</v>
      </c>
      <c r="O7185" t="s">
        <v>69</v>
      </c>
      <c r="P7185" s="3" t="s">
        <v>75</v>
      </c>
      <c r="Q7185">
        <v>2016</v>
      </c>
      <c r="R7185" s="2">
        <v>42504</v>
      </c>
      <c r="S7185" s="2">
        <v>42507</v>
      </c>
      <c r="T7185" s="2">
        <v>42505</v>
      </c>
      <c r="U7185" s="2">
        <v>42565</v>
      </c>
      <c r="V7185" t="s">
        <v>71</v>
      </c>
      <c r="W7185" t="str">
        <f>"          22 PA 2016"</f>
        <v xml:space="preserve">          22 PA 2016</v>
      </c>
      <c r="X7185" s="1">
        <v>2805.94</v>
      </c>
      <c r="Y7185">
        <v>0</v>
      </c>
      <c r="Z7185" s="5">
        <v>2299.9499999999998</v>
      </c>
      <c r="AA7185">
        <v>154</v>
      </c>
      <c r="AB7185" s="5">
        <v>354192.3</v>
      </c>
      <c r="AC7185" s="1">
        <v>2299.9499999999998</v>
      </c>
      <c r="AD7185">
        <v>154</v>
      </c>
      <c r="AE7185" s="1">
        <v>354192.3</v>
      </c>
      <c r="AF7185">
        <v>505.99</v>
      </c>
      <c r="AJ7185">
        <v>0</v>
      </c>
      <c r="AK7185">
        <v>0</v>
      </c>
      <c r="AL7185">
        <v>0</v>
      </c>
      <c r="AM7185" s="1">
        <v>2805.94</v>
      </c>
      <c r="AN7185" s="1">
        <v>2805.94</v>
      </c>
      <c r="AO7185" s="1">
        <v>2805.94</v>
      </c>
      <c r="AP7185" s="2">
        <v>42746</v>
      </c>
      <c r="AQ7185" t="s">
        <v>72</v>
      </c>
      <c r="AR7185" t="s">
        <v>72</v>
      </c>
      <c r="AS7185">
        <v>3533</v>
      </c>
      <c r="AT7185" s="4">
        <v>42719</v>
      </c>
      <c r="AU7185" t="s">
        <v>73</v>
      </c>
      <c r="AV7185">
        <v>3533</v>
      </c>
      <c r="AW7185" s="4">
        <v>42719</v>
      </c>
      <c r="BC7185">
        <v>505.99</v>
      </c>
      <c r="BD7185">
        <v>0</v>
      </c>
      <c r="BN7185" t="s">
        <v>74</v>
      </c>
    </row>
    <row r="7186" spans="1:66" hidden="1">
      <c r="A7186">
        <v>104126</v>
      </c>
      <c r="B7186" s="3" t="s">
        <v>614</v>
      </c>
      <c r="C7186" s="1">
        <v>43201211</v>
      </c>
      <c r="D7186" t="s">
        <v>595</v>
      </c>
      <c r="H7186" t="str">
        <f t="shared" ref="H7186:I7195" si="703">"06853240635"</f>
        <v>06853240635</v>
      </c>
      <c r="I7186" t="str">
        <f t="shared" si="703"/>
        <v>06853240635</v>
      </c>
      <c r="K7186" t="str">
        <f>""</f>
        <v/>
      </c>
      <c r="M7186" t="s">
        <v>68</v>
      </c>
      <c r="N7186" t="str">
        <f t="shared" ref="N7186:N7195" si="704">"AZ2"</f>
        <v>AZ2</v>
      </c>
      <c r="O7186" t="s">
        <v>596</v>
      </c>
      <c r="P7186" s="3" t="s">
        <v>70</v>
      </c>
      <c r="Q7186">
        <v>2015</v>
      </c>
      <c r="R7186" s="2">
        <v>42089</v>
      </c>
      <c r="S7186" s="2">
        <v>42097</v>
      </c>
      <c r="T7186" s="2">
        <v>42097</v>
      </c>
      <c r="U7186" s="2">
        <v>42157</v>
      </c>
      <c r="V7186" t="s">
        <v>71</v>
      </c>
      <c r="W7186" t="str">
        <f>"                5762"</f>
        <v xml:space="preserve">                5762</v>
      </c>
      <c r="X7186">
        <v>913.4</v>
      </c>
      <c r="Y7186">
        <v>0</v>
      </c>
      <c r="Z7186"/>
      <c r="AB7186"/>
      <c r="AC7186">
        <v>913.4</v>
      </c>
      <c r="AD7186">
        <v>245</v>
      </c>
      <c r="AE7186" s="1">
        <v>223783</v>
      </c>
      <c r="AF7186">
        <v>0</v>
      </c>
      <c r="AJ7186">
        <v>0</v>
      </c>
      <c r="AK7186">
        <v>0</v>
      </c>
      <c r="AL7186">
        <v>0</v>
      </c>
      <c r="AM7186">
        <v>0</v>
      </c>
      <c r="AN7186">
        <v>0</v>
      </c>
      <c r="AO7186">
        <v>0</v>
      </c>
      <c r="AP7186" s="2">
        <v>42746</v>
      </c>
      <c r="AQ7186" t="s">
        <v>72</v>
      </c>
      <c r="AR7186" t="s">
        <v>72</v>
      </c>
      <c r="AS7186">
        <v>201</v>
      </c>
      <c r="AT7186" s="4">
        <v>42402</v>
      </c>
      <c r="AU7186" t="s">
        <v>73</v>
      </c>
      <c r="AV7186">
        <v>201</v>
      </c>
      <c r="AW7186" s="4">
        <v>42402</v>
      </c>
      <c r="BD7186">
        <v>0</v>
      </c>
      <c r="BN7186" t="s">
        <v>74</v>
      </c>
    </row>
    <row r="7187" spans="1:66" hidden="1">
      <c r="A7187">
        <v>104126</v>
      </c>
      <c r="B7187" s="3" t="s">
        <v>614</v>
      </c>
      <c r="C7187" s="1">
        <v>43201211</v>
      </c>
      <c r="D7187" t="s">
        <v>595</v>
      </c>
      <c r="H7187" t="str">
        <f t="shared" si="703"/>
        <v>06853240635</v>
      </c>
      <c r="I7187" t="str">
        <f t="shared" si="703"/>
        <v>06853240635</v>
      </c>
      <c r="K7187" t="str">
        <f>""</f>
        <v/>
      </c>
      <c r="M7187" t="s">
        <v>68</v>
      </c>
      <c r="N7187" t="str">
        <f t="shared" si="704"/>
        <v>AZ2</v>
      </c>
      <c r="O7187" t="s">
        <v>596</v>
      </c>
      <c r="P7187" s="3" t="s">
        <v>75</v>
      </c>
      <c r="Q7187">
        <v>2015</v>
      </c>
      <c r="R7187" s="2">
        <v>42117</v>
      </c>
      <c r="S7187" s="2">
        <v>42165</v>
      </c>
      <c r="T7187" s="2">
        <v>42148</v>
      </c>
      <c r="U7187" s="2">
        <v>42208</v>
      </c>
      <c r="V7187" t="s">
        <v>71</v>
      </c>
      <c r="W7187" t="str">
        <f>"         FEL/2015/85"</f>
        <v xml:space="preserve">         FEL/2015/85</v>
      </c>
      <c r="X7187" s="1">
        <v>1043.5999999999999</v>
      </c>
      <c r="Y7187">
        <v>0</v>
      </c>
      <c r="Z7187"/>
      <c r="AB7187"/>
      <c r="AC7187" s="1">
        <v>1043.5999999999999</v>
      </c>
      <c r="AD7187">
        <v>194</v>
      </c>
      <c r="AE7187" s="1">
        <v>202458.4</v>
      </c>
      <c r="AF7187">
        <v>0</v>
      </c>
      <c r="AJ7187">
        <v>0</v>
      </c>
      <c r="AK7187">
        <v>0</v>
      </c>
      <c r="AL7187">
        <v>0</v>
      </c>
      <c r="AM7187">
        <v>0</v>
      </c>
      <c r="AN7187">
        <v>0</v>
      </c>
      <c r="AO7187">
        <v>0</v>
      </c>
      <c r="AP7187" s="2">
        <v>42746</v>
      </c>
      <c r="AQ7187" t="s">
        <v>72</v>
      </c>
      <c r="AR7187" t="s">
        <v>72</v>
      </c>
      <c r="AS7187">
        <v>201</v>
      </c>
      <c r="AT7187" s="4">
        <v>42402</v>
      </c>
      <c r="AU7187" t="s">
        <v>73</v>
      </c>
      <c r="AV7187">
        <v>201</v>
      </c>
      <c r="AW7187" s="4">
        <v>42402</v>
      </c>
      <c r="BD7187">
        <v>0</v>
      </c>
      <c r="BN7187" t="s">
        <v>74</v>
      </c>
    </row>
    <row r="7188" spans="1:66" hidden="1">
      <c r="A7188">
        <v>104126</v>
      </c>
      <c r="B7188" s="3" t="s">
        <v>614</v>
      </c>
      <c r="C7188" s="1">
        <v>43201211</v>
      </c>
      <c r="D7188" t="s">
        <v>595</v>
      </c>
      <c r="H7188" t="str">
        <f t="shared" si="703"/>
        <v>06853240635</v>
      </c>
      <c r="I7188" t="str">
        <f t="shared" si="703"/>
        <v>06853240635</v>
      </c>
      <c r="K7188" t="str">
        <f>""</f>
        <v/>
      </c>
      <c r="M7188" t="s">
        <v>68</v>
      </c>
      <c r="N7188" t="str">
        <f t="shared" si="704"/>
        <v>AZ2</v>
      </c>
      <c r="O7188" t="s">
        <v>596</v>
      </c>
      <c r="P7188" s="3" t="s">
        <v>75</v>
      </c>
      <c r="Q7188">
        <v>2015</v>
      </c>
      <c r="R7188" s="2">
        <v>42130</v>
      </c>
      <c r="S7188" s="2">
        <v>42165</v>
      </c>
      <c r="T7188" s="2">
        <v>42142</v>
      </c>
      <c r="U7188" s="2">
        <v>42202</v>
      </c>
      <c r="V7188" t="s">
        <v>71</v>
      </c>
      <c r="W7188" t="str">
        <f>"        FEL/2015/118"</f>
        <v xml:space="preserve">        FEL/2015/118</v>
      </c>
      <c r="X7188" s="1">
        <v>1011.05</v>
      </c>
      <c r="Y7188">
        <v>0</v>
      </c>
      <c r="Z7188"/>
      <c r="AB7188"/>
      <c r="AC7188" s="1">
        <v>1011.05</v>
      </c>
      <c r="AD7188">
        <v>200</v>
      </c>
      <c r="AE7188" s="1">
        <v>202210</v>
      </c>
      <c r="AF7188">
        <v>0</v>
      </c>
      <c r="AJ7188">
        <v>0</v>
      </c>
      <c r="AK7188">
        <v>0</v>
      </c>
      <c r="AL7188">
        <v>0</v>
      </c>
      <c r="AM7188">
        <v>0</v>
      </c>
      <c r="AN7188">
        <v>0</v>
      </c>
      <c r="AO7188">
        <v>0</v>
      </c>
      <c r="AP7188" s="2">
        <v>42746</v>
      </c>
      <c r="AQ7188" t="s">
        <v>72</v>
      </c>
      <c r="AR7188" t="s">
        <v>72</v>
      </c>
      <c r="AS7188">
        <v>201</v>
      </c>
      <c r="AT7188" s="4">
        <v>42402</v>
      </c>
      <c r="AU7188" t="s">
        <v>73</v>
      </c>
      <c r="AV7188">
        <v>201</v>
      </c>
      <c r="AW7188" s="4">
        <v>42402</v>
      </c>
      <c r="BD7188">
        <v>0</v>
      </c>
      <c r="BN7188" t="s">
        <v>74</v>
      </c>
    </row>
    <row r="7189" spans="1:66" hidden="1">
      <c r="A7189">
        <v>104126</v>
      </c>
      <c r="B7189" s="3" t="s">
        <v>614</v>
      </c>
      <c r="C7189" s="1">
        <v>43201211</v>
      </c>
      <c r="D7189" t="s">
        <v>595</v>
      </c>
      <c r="H7189" t="str">
        <f t="shared" si="703"/>
        <v>06853240635</v>
      </c>
      <c r="I7189" t="str">
        <f t="shared" si="703"/>
        <v>06853240635</v>
      </c>
      <c r="K7189" t="str">
        <f>""</f>
        <v/>
      </c>
      <c r="M7189" t="s">
        <v>68</v>
      </c>
      <c r="N7189" t="str">
        <f t="shared" si="704"/>
        <v>AZ2</v>
      </c>
      <c r="O7189" t="s">
        <v>596</v>
      </c>
      <c r="P7189" s="3" t="s">
        <v>75</v>
      </c>
      <c r="Q7189">
        <v>2015</v>
      </c>
      <c r="R7189" s="2">
        <v>42181</v>
      </c>
      <c r="S7189" s="2">
        <v>42233</v>
      </c>
      <c r="T7189" s="2">
        <v>42207</v>
      </c>
      <c r="U7189" s="2">
        <v>42267</v>
      </c>
      <c r="V7189" t="s">
        <v>71</v>
      </c>
      <c r="W7189" t="str">
        <f>"        FEL/2015/230"</f>
        <v xml:space="preserve">        FEL/2015/230</v>
      </c>
      <c r="X7189" s="1">
        <v>3191.9</v>
      </c>
      <c r="Y7189">
        <v>0</v>
      </c>
      <c r="Z7189"/>
      <c r="AB7189"/>
      <c r="AC7189" s="1">
        <v>3191.9</v>
      </c>
      <c r="AD7189">
        <v>184</v>
      </c>
      <c r="AE7189" s="1">
        <v>587309.6</v>
      </c>
      <c r="AF7189">
        <v>0</v>
      </c>
      <c r="AJ7189">
        <v>0</v>
      </c>
      <c r="AK7189">
        <v>0</v>
      </c>
      <c r="AL7189">
        <v>0</v>
      </c>
      <c r="AM7189">
        <v>0</v>
      </c>
      <c r="AN7189">
        <v>0</v>
      </c>
      <c r="AO7189">
        <v>0</v>
      </c>
      <c r="AP7189" s="2">
        <v>42746</v>
      </c>
      <c r="AQ7189" t="s">
        <v>72</v>
      </c>
      <c r="AR7189" t="s">
        <v>72</v>
      </c>
      <c r="AS7189">
        <v>754</v>
      </c>
      <c r="AT7189" s="4">
        <v>42451</v>
      </c>
      <c r="AU7189" t="s">
        <v>73</v>
      </c>
      <c r="AV7189">
        <v>754</v>
      </c>
      <c r="AW7189" s="4">
        <v>42451</v>
      </c>
      <c r="BD7189">
        <v>0</v>
      </c>
      <c r="BN7189" t="s">
        <v>74</v>
      </c>
    </row>
    <row r="7190" spans="1:66" hidden="1">
      <c r="A7190">
        <v>104126</v>
      </c>
      <c r="B7190" s="3" t="s">
        <v>614</v>
      </c>
      <c r="C7190" s="1">
        <v>43201211</v>
      </c>
      <c r="D7190" t="s">
        <v>595</v>
      </c>
      <c r="H7190" t="str">
        <f t="shared" si="703"/>
        <v>06853240635</v>
      </c>
      <c r="I7190" t="str">
        <f t="shared" si="703"/>
        <v>06853240635</v>
      </c>
      <c r="K7190" t="str">
        <f>""</f>
        <v/>
      </c>
      <c r="M7190" t="s">
        <v>68</v>
      </c>
      <c r="N7190" t="str">
        <f t="shared" si="704"/>
        <v>AZ2</v>
      </c>
      <c r="O7190" t="s">
        <v>596</v>
      </c>
      <c r="P7190" s="3" t="s">
        <v>75</v>
      </c>
      <c r="Q7190">
        <v>2015</v>
      </c>
      <c r="R7190" s="2">
        <v>42229</v>
      </c>
      <c r="S7190" s="2">
        <v>42241</v>
      </c>
      <c r="T7190" s="2">
        <v>42240</v>
      </c>
      <c r="U7190" s="2">
        <v>42300</v>
      </c>
      <c r="V7190" t="s">
        <v>71</v>
      </c>
      <c r="W7190" t="str">
        <f>"        FEL/2015/281"</f>
        <v xml:space="preserve">        FEL/2015/281</v>
      </c>
      <c r="X7190" s="1">
        <v>3196.02</v>
      </c>
      <c r="Y7190">
        <v>0</v>
      </c>
      <c r="Z7190"/>
      <c r="AB7190"/>
      <c r="AC7190" s="1">
        <v>3196.02</v>
      </c>
      <c r="AD7190">
        <v>102</v>
      </c>
      <c r="AE7190" s="1">
        <v>325994.03999999998</v>
      </c>
      <c r="AF7190">
        <v>0</v>
      </c>
      <c r="AJ7190">
        <v>0</v>
      </c>
      <c r="AK7190">
        <v>0</v>
      </c>
      <c r="AL7190">
        <v>0</v>
      </c>
      <c r="AM7190">
        <v>0</v>
      </c>
      <c r="AN7190">
        <v>0</v>
      </c>
      <c r="AO7190">
        <v>0</v>
      </c>
      <c r="AP7190" s="2">
        <v>42746</v>
      </c>
      <c r="AQ7190" t="s">
        <v>72</v>
      </c>
      <c r="AR7190" t="s">
        <v>72</v>
      </c>
      <c r="AS7190">
        <v>201</v>
      </c>
      <c r="AT7190" s="4">
        <v>42402</v>
      </c>
      <c r="AU7190" t="s">
        <v>73</v>
      </c>
      <c r="AV7190">
        <v>201</v>
      </c>
      <c r="AW7190" s="4">
        <v>42402</v>
      </c>
      <c r="BD7190">
        <v>0</v>
      </c>
      <c r="BN7190" t="s">
        <v>74</v>
      </c>
    </row>
    <row r="7191" spans="1:66" hidden="1">
      <c r="A7191">
        <v>104126</v>
      </c>
      <c r="B7191" s="3" t="s">
        <v>614</v>
      </c>
      <c r="C7191" s="1">
        <v>43201211</v>
      </c>
      <c r="D7191" t="s">
        <v>595</v>
      </c>
      <c r="H7191" t="str">
        <f t="shared" si="703"/>
        <v>06853240635</v>
      </c>
      <c r="I7191" t="str">
        <f t="shared" si="703"/>
        <v>06853240635</v>
      </c>
      <c r="K7191" t="str">
        <f>""</f>
        <v/>
      </c>
      <c r="M7191" t="s">
        <v>68</v>
      </c>
      <c r="N7191" t="str">
        <f t="shared" si="704"/>
        <v>AZ2</v>
      </c>
      <c r="O7191" t="s">
        <v>596</v>
      </c>
      <c r="P7191" s="3" t="s">
        <v>75</v>
      </c>
      <c r="Q7191">
        <v>2015</v>
      </c>
      <c r="R7191" s="2">
        <v>42275</v>
      </c>
      <c r="S7191" s="2">
        <v>42300</v>
      </c>
      <c r="T7191" s="2">
        <v>42299</v>
      </c>
      <c r="U7191" s="2">
        <v>42359</v>
      </c>
      <c r="V7191" t="s">
        <v>71</v>
      </c>
      <c r="W7191" t="str">
        <f>"        FEL/2015/378"</f>
        <v xml:space="preserve">        FEL/2015/378</v>
      </c>
      <c r="X7191">
        <v>266</v>
      </c>
      <c r="Y7191">
        <v>0</v>
      </c>
      <c r="Z7191"/>
      <c r="AB7191"/>
      <c r="AC7191">
        <v>266</v>
      </c>
      <c r="AD7191">
        <v>43</v>
      </c>
      <c r="AE7191" s="1">
        <v>11438</v>
      </c>
      <c r="AF7191">
        <v>0</v>
      </c>
      <c r="AJ7191">
        <v>0</v>
      </c>
      <c r="AK7191">
        <v>0</v>
      </c>
      <c r="AL7191">
        <v>0</v>
      </c>
      <c r="AM7191">
        <v>0</v>
      </c>
      <c r="AN7191">
        <v>0</v>
      </c>
      <c r="AO7191">
        <v>0</v>
      </c>
      <c r="AP7191" s="2">
        <v>42746</v>
      </c>
      <c r="AQ7191" t="s">
        <v>72</v>
      </c>
      <c r="AR7191" t="s">
        <v>72</v>
      </c>
      <c r="AS7191">
        <v>201</v>
      </c>
      <c r="AT7191" s="4">
        <v>42402</v>
      </c>
      <c r="AU7191" t="s">
        <v>73</v>
      </c>
      <c r="AV7191">
        <v>201</v>
      </c>
      <c r="AW7191" s="4">
        <v>42402</v>
      </c>
      <c r="BD7191">
        <v>0</v>
      </c>
      <c r="BN7191" t="s">
        <v>74</v>
      </c>
    </row>
    <row r="7192" spans="1:66" hidden="1">
      <c r="A7192">
        <v>104126</v>
      </c>
      <c r="B7192" s="3" t="s">
        <v>614</v>
      </c>
      <c r="C7192" s="1">
        <v>43201211</v>
      </c>
      <c r="D7192" t="s">
        <v>595</v>
      </c>
      <c r="H7192" t="str">
        <f t="shared" si="703"/>
        <v>06853240635</v>
      </c>
      <c r="I7192" t="str">
        <f t="shared" si="703"/>
        <v>06853240635</v>
      </c>
      <c r="K7192" t="str">
        <f>""</f>
        <v/>
      </c>
      <c r="M7192" t="s">
        <v>68</v>
      </c>
      <c r="N7192" t="str">
        <f t="shared" si="704"/>
        <v>AZ2</v>
      </c>
      <c r="O7192" t="s">
        <v>596</v>
      </c>
      <c r="P7192" s="3" t="s">
        <v>75</v>
      </c>
      <c r="Q7192">
        <v>2015</v>
      </c>
      <c r="R7192" s="2">
        <v>42293</v>
      </c>
      <c r="S7192" s="2">
        <v>42296</v>
      </c>
      <c r="T7192" s="2">
        <v>42293</v>
      </c>
      <c r="U7192" s="2">
        <v>42353</v>
      </c>
      <c r="V7192" t="s">
        <v>71</v>
      </c>
      <c r="W7192" t="str">
        <f>"        FEL/2015/433"</f>
        <v xml:space="preserve">        FEL/2015/433</v>
      </c>
      <c r="X7192">
        <v>459.7</v>
      </c>
      <c r="Y7192">
        <v>0</v>
      </c>
      <c r="Z7192"/>
      <c r="AB7192"/>
      <c r="AC7192">
        <v>459.7</v>
      </c>
      <c r="AD7192">
        <v>49</v>
      </c>
      <c r="AE7192" s="1">
        <v>22525.3</v>
      </c>
      <c r="AF7192">
        <v>0</v>
      </c>
      <c r="AJ7192">
        <v>0</v>
      </c>
      <c r="AK7192">
        <v>0</v>
      </c>
      <c r="AL7192">
        <v>0</v>
      </c>
      <c r="AM7192">
        <v>0</v>
      </c>
      <c r="AN7192">
        <v>0</v>
      </c>
      <c r="AO7192">
        <v>0</v>
      </c>
      <c r="AP7192" s="2">
        <v>42746</v>
      </c>
      <c r="AQ7192" t="s">
        <v>72</v>
      </c>
      <c r="AR7192" t="s">
        <v>72</v>
      </c>
      <c r="AS7192">
        <v>201</v>
      </c>
      <c r="AT7192" s="4">
        <v>42402</v>
      </c>
      <c r="AU7192" t="s">
        <v>73</v>
      </c>
      <c r="AV7192">
        <v>201</v>
      </c>
      <c r="AW7192" s="4">
        <v>42402</v>
      </c>
      <c r="BD7192">
        <v>0</v>
      </c>
      <c r="BN7192" t="s">
        <v>74</v>
      </c>
    </row>
    <row r="7193" spans="1:66" hidden="1">
      <c r="A7193">
        <v>104126</v>
      </c>
      <c r="B7193" s="3" t="s">
        <v>614</v>
      </c>
      <c r="C7193" s="1">
        <v>43201211</v>
      </c>
      <c r="D7193" t="s">
        <v>595</v>
      </c>
      <c r="H7193" t="str">
        <f t="shared" si="703"/>
        <v>06853240635</v>
      </c>
      <c r="I7193" t="str">
        <f t="shared" si="703"/>
        <v>06853240635</v>
      </c>
      <c r="K7193" t="str">
        <f>""</f>
        <v/>
      </c>
      <c r="M7193" t="s">
        <v>68</v>
      </c>
      <c r="N7193" t="str">
        <f t="shared" si="704"/>
        <v>AZ2</v>
      </c>
      <c r="O7193" t="s">
        <v>596</v>
      </c>
      <c r="P7193" s="3" t="s">
        <v>75</v>
      </c>
      <c r="Q7193">
        <v>2015</v>
      </c>
      <c r="R7193" s="2">
        <v>42338</v>
      </c>
      <c r="S7193" s="2">
        <v>42340</v>
      </c>
      <c r="T7193" s="2">
        <v>42339</v>
      </c>
      <c r="U7193" s="2">
        <v>42399</v>
      </c>
      <c r="V7193" t="s">
        <v>71</v>
      </c>
      <c r="W7193" t="str">
        <f>"        FEL/2015/580"</f>
        <v xml:space="preserve">        FEL/2015/580</v>
      </c>
      <c r="X7193" s="1">
        <v>1889.9</v>
      </c>
      <c r="Y7193">
        <v>0</v>
      </c>
      <c r="Z7193"/>
      <c r="AB7193"/>
      <c r="AC7193" s="1">
        <v>1889.9</v>
      </c>
      <c r="AD7193">
        <v>3</v>
      </c>
      <c r="AE7193" s="1">
        <v>5669.7</v>
      </c>
      <c r="AF7193">
        <v>0</v>
      </c>
      <c r="AJ7193">
        <v>0</v>
      </c>
      <c r="AK7193">
        <v>0</v>
      </c>
      <c r="AL7193">
        <v>0</v>
      </c>
      <c r="AM7193">
        <v>0</v>
      </c>
      <c r="AN7193">
        <v>0</v>
      </c>
      <c r="AO7193">
        <v>0</v>
      </c>
      <c r="AP7193" s="2">
        <v>42746</v>
      </c>
      <c r="AQ7193" t="s">
        <v>72</v>
      </c>
      <c r="AR7193" t="s">
        <v>72</v>
      </c>
      <c r="AS7193">
        <v>201</v>
      </c>
      <c r="AT7193" s="4">
        <v>42402</v>
      </c>
      <c r="AU7193" t="s">
        <v>73</v>
      </c>
      <c r="AV7193">
        <v>201</v>
      </c>
      <c r="AW7193" s="4">
        <v>42402</v>
      </c>
      <c r="BD7193">
        <v>0</v>
      </c>
      <c r="BN7193" t="s">
        <v>74</v>
      </c>
    </row>
    <row r="7194" spans="1:66" hidden="1">
      <c r="A7194">
        <v>104126</v>
      </c>
      <c r="B7194" s="3" t="s">
        <v>614</v>
      </c>
      <c r="C7194" s="1">
        <v>43201211</v>
      </c>
      <c r="D7194" t="s">
        <v>595</v>
      </c>
      <c r="H7194" t="str">
        <f t="shared" si="703"/>
        <v>06853240635</v>
      </c>
      <c r="I7194" t="str">
        <f t="shared" si="703"/>
        <v>06853240635</v>
      </c>
      <c r="K7194" t="str">
        <f>""</f>
        <v/>
      </c>
      <c r="M7194" t="s">
        <v>68</v>
      </c>
      <c r="N7194" t="str">
        <f t="shared" si="704"/>
        <v>AZ2</v>
      </c>
      <c r="O7194" t="s">
        <v>596</v>
      </c>
      <c r="P7194" s="3" t="s">
        <v>75</v>
      </c>
      <c r="Q7194">
        <v>2016</v>
      </c>
      <c r="R7194" s="2">
        <v>42401</v>
      </c>
      <c r="S7194" s="2">
        <v>42409</v>
      </c>
      <c r="T7194" s="2">
        <v>42408</v>
      </c>
      <c r="U7194" s="2">
        <v>42468</v>
      </c>
      <c r="V7194" t="s">
        <v>71</v>
      </c>
      <c r="W7194" t="str">
        <f>"         FEL/2016/54"</f>
        <v xml:space="preserve">         FEL/2016/54</v>
      </c>
      <c r="X7194" s="1">
        <v>1466.75</v>
      </c>
      <c r="Y7194">
        <v>0</v>
      </c>
      <c r="Z7194"/>
      <c r="AB7194"/>
      <c r="AC7194" s="1">
        <v>1466.75</v>
      </c>
      <c r="AD7194">
        <v>-17</v>
      </c>
      <c r="AE7194" s="1">
        <v>-24934.75</v>
      </c>
      <c r="AF7194">
        <v>0</v>
      </c>
      <c r="AJ7194">
        <v>0</v>
      </c>
      <c r="AK7194">
        <v>0</v>
      </c>
      <c r="AL7194">
        <v>0</v>
      </c>
      <c r="AM7194">
        <v>0</v>
      </c>
      <c r="AN7194" s="1">
        <v>1466.75</v>
      </c>
      <c r="AO7194" s="1">
        <v>1466.75</v>
      </c>
      <c r="AP7194" s="2">
        <v>42746</v>
      </c>
      <c r="AQ7194" t="s">
        <v>72</v>
      </c>
      <c r="AR7194" t="s">
        <v>72</v>
      </c>
      <c r="AS7194">
        <v>754</v>
      </c>
      <c r="AT7194" s="4">
        <v>42451</v>
      </c>
      <c r="AV7194">
        <v>754</v>
      </c>
      <c r="AW7194" s="4">
        <v>42451</v>
      </c>
      <c r="BD7194">
        <v>0</v>
      </c>
      <c r="BN7194" t="s">
        <v>74</v>
      </c>
    </row>
    <row r="7195" spans="1:66" hidden="1">
      <c r="A7195">
        <v>104126</v>
      </c>
      <c r="B7195" s="3" t="s">
        <v>614</v>
      </c>
      <c r="C7195" s="1">
        <v>43201211</v>
      </c>
      <c r="D7195" t="s">
        <v>595</v>
      </c>
      <c r="H7195" t="str">
        <f t="shared" si="703"/>
        <v>06853240635</v>
      </c>
      <c r="I7195" t="str">
        <f t="shared" si="703"/>
        <v>06853240635</v>
      </c>
      <c r="K7195" t="str">
        <f>""</f>
        <v/>
      </c>
      <c r="M7195" t="s">
        <v>68</v>
      </c>
      <c r="N7195" t="str">
        <f t="shared" si="704"/>
        <v>AZ2</v>
      </c>
      <c r="O7195" t="s">
        <v>596</v>
      </c>
      <c r="P7195" s="3" t="s">
        <v>75</v>
      </c>
      <c r="Q7195">
        <v>2016</v>
      </c>
      <c r="R7195" s="2">
        <v>42549</v>
      </c>
      <c r="S7195" s="2">
        <v>42557</v>
      </c>
      <c r="T7195" s="2">
        <v>42556</v>
      </c>
      <c r="U7195" s="2">
        <v>42616</v>
      </c>
      <c r="V7195" t="s">
        <v>71</v>
      </c>
      <c r="W7195" t="str">
        <f>"        FEL/2016/280"</f>
        <v xml:space="preserve">        FEL/2016/280</v>
      </c>
      <c r="X7195">
        <v>262.39999999999998</v>
      </c>
      <c r="Y7195">
        <v>0</v>
      </c>
      <c r="Z7195"/>
      <c r="AB7195"/>
      <c r="AC7195">
        <v>262.39999999999998</v>
      </c>
      <c r="AD7195">
        <v>-31</v>
      </c>
      <c r="AE7195" s="1">
        <v>-8134.4</v>
      </c>
      <c r="AF7195">
        <v>0</v>
      </c>
      <c r="AJ7195">
        <v>0</v>
      </c>
      <c r="AK7195">
        <v>0</v>
      </c>
      <c r="AL7195">
        <v>0</v>
      </c>
      <c r="AM7195">
        <v>262.39999999999998</v>
      </c>
      <c r="AN7195">
        <v>262.39999999999998</v>
      </c>
      <c r="AO7195">
        <v>262.39999999999998</v>
      </c>
      <c r="AP7195" s="2">
        <v>42746</v>
      </c>
      <c r="AQ7195" t="s">
        <v>72</v>
      </c>
      <c r="AR7195" t="s">
        <v>72</v>
      </c>
      <c r="AS7195">
        <v>2145</v>
      </c>
      <c r="AT7195" s="4">
        <v>42585</v>
      </c>
      <c r="AV7195">
        <v>2145</v>
      </c>
      <c r="AW7195" s="4">
        <v>42585</v>
      </c>
      <c r="BD7195">
        <v>0</v>
      </c>
      <c r="BN7195" t="s">
        <v>74</v>
      </c>
    </row>
    <row r="7196" spans="1:66" hidden="1">
      <c r="A7196">
        <v>104129</v>
      </c>
      <c r="B7196" s="3" t="s">
        <v>615</v>
      </c>
      <c r="C7196" s="1">
        <v>43300101</v>
      </c>
      <c r="D7196" t="s">
        <v>67</v>
      </c>
      <c r="H7196" t="str">
        <f t="shared" ref="H7196:H7227" si="705">"07123400157"</f>
        <v>07123400157</v>
      </c>
      <c r="I7196" t="str">
        <f t="shared" ref="I7196:I7227" si="706">"00847380961"</f>
        <v>00847380961</v>
      </c>
      <c r="K7196" t="str">
        <f>""</f>
        <v/>
      </c>
      <c r="M7196" t="s">
        <v>68</v>
      </c>
      <c r="N7196" t="str">
        <f t="shared" ref="N7196:N7227" si="707">"FOR"</f>
        <v>FOR</v>
      </c>
      <c r="O7196" t="s">
        <v>69</v>
      </c>
      <c r="P7196" s="3" t="s">
        <v>78</v>
      </c>
      <c r="Q7196">
        <v>2015</v>
      </c>
      <c r="R7196" s="2">
        <v>42052</v>
      </c>
      <c r="S7196" s="2">
        <v>42060</v>
      </c>
      <c r="T7196" s="2">
        <v>42060</v>
      </c>
      <c r="U7196" s="2">
        <v>42120</v>
      </c>
      <c r="V7196" t="s">
        <v>71</v>
      </c>
      <c r="W7196" t="str">
        <f>"            15004659"</f>
        <v xml:space="preserve">            15004659</v>
      </c>
      <c r="X7196" s="1">
        <v>1525</v>
      </c>
      <c r="Y7196">
        <v>0</v>
      </c>
      <c r="Z7196"/>
      <c r="AB7196"/>
      <c r="AC7196" s="1">
        <v>1250</v>
      </c>
      <c r="AD7196">
        <v>288</v>
      </c>
      <c r="AE7196" s="1">
        <v>360000</v>
      </c>
      <c r="AF7196">
        <v>0</v>
      </c>
      <c r="AJ7196">
        <v>0</v>
      </c>
      <c r="AK7196">
        <v>0</v>
      </c>
      <c r="AL7196">
        <v>0</v>
      </c>
      <c r="AM7196">
        <v>0</v>
      </c>
      <c r="AN7196">
        <v>0</v>
      </c>
      <c r="AO7196">
        <v>0</v>
      </c>
      <c r="AP7196" s="2">
        <v>42746</v>
      </c>
      <c r="AQ7196" t="s">
        <v>72</v>
      </c>
      <c r="AR7196" t="s">
        <v>72</v>
      </c>
      <c r="AS7196">
        <v>291</v>
      </c>
      <c r="AT7196" s="4">
        <v>42408</v>
      </c>
      <c r="AU7196" t="s">
        <v>73</v>
      </c>
      <c r="AV7196">
        <v>291</v>
      </c>
      <c r="AW7196" s="4">
        <v>42408</v>
      </c>
      <c r="BD7196">
        <v>0</v>
      </c>
      <c r="BN7196" t="s">
        <v>74</v>
      </c>
    </row>
    <row r="7197" spans="1:66" hidden="1">
      <c r="A7197">
        <v>104129</v>
      </c>
      <c r="B7197" s="3" t="s">
        <v>615</v>
      </c>
      <c r="C7197" s="1">
        <v>43300101</v>
      </c>
      <c r="D7197" t="s">
        <v>67</v>
      </c>
      <c r="H7197" t="str">
        <f t="shared" si="705"/>
        <v>07123400157</v>
      </c>
      <c r="I7197" t="str">
        <f t="shared" si="706"/>
        <v>00847380961</v>
      </c>
      <c r="K7197" t="str">
        <f>""</f>
        <v/>
      </c>
      <c r="M7197" t="s">
        <v>68</v>
      </c>
      <c r="N7197" t="str">
        <f t="shared" si="707"/>
        <v>FOR</v>
      </c>
      <c r="O7197" t="s">
        <v>69</v>
      </c>
      <c r="P7197" s="3" t="s">
        <v>78</v>
      </c>
      <c r="Q7197">
        <v>2015</v>
      </c>
      <c r="R7197" s="2">
        <v>42053</v>
      </c>
      <c r="S7197" s="2">
        <v>42060</v>
      </c>
      <c r="T7197" s="2">
        <v>42060</v>
      </c>
      <c r="U7197" s="2">
        <v>42120</v>
      </c>
      <c r="V7197" t="s">
        <v>71</v>
      </c>
      <c r="W7197" t="str">
        <f>"            15004819"</f>
        <v xml:space="preserve">            15004819</v>
      </c>
      <c r="X7197">
        <v>610</v>
      </c>
      <c r="Y7197">
        <v>0</v>
      </c>
      <c r="Z7197"/>
      <c r="AB7197"/>
      <c r="AC7197">
        <v>500</v>
      </c>
      <c r="AD7197">
        <v>288</v>
      </c>
      <c r="AE7197" s="1">
        <v>144000</v>
      </c>
      <c r="AF7197">
        <v>0</v>
      </c>
      <c r="AJ7197">
        <v>0</v>
      </c>
      <c r="AK7197">
        <v>0</v>
      </c>
      <c r="AL7197">
        <v>0</v>
      </c>
      <c r="AM7197">
        <v>0</v>
      </c>
      <c r="AN7197">
        <v>0</v>
      </c>
      <c r="AO7197">
        <v>0</v>
      </c>
      <c r="AP7197" s="2">
        <v>42746</v>
      </c>
      <c r="AQ7197" t="s">
        <v>72</v>
      </c>
      <c r="AR7197" t="s">
        <v>72</v>
      </c>
      <c r="AS7197">
        <v>291</v>
      </c>
      <c r="AT7197" s="4">
        <v>42408</v>
      </c>
      <c r="AU7197" t="s">
        <v>73</v>
      </c>
      <c r="AV7197">
        <v>291</v>
      </c>
      <c r="AW7197" s="4">
        <v>42408</v>
      </c>
      <c r="BD7197">
        <v>0</v>
      </c>
      <c r="BN7197" t="s">
        <v>74</v>
      </c>
    </row>
    <row r="7198" spans="1:66" hidden="1">
      <c r="A7198">
        <v>104129</v>
      </c>
      <c r="B7198" s="3" t="s">
        <v>615</v>
      </c>
      <c r="C7198" s="1">
        <v>43300101</v>
      </c>
      <c r="D7198" t="s">
        <v>67</v>
      </c>
      <c r="H7198" t="str">
        <f t="shared" si="705"/>
        <v>07123400157</v>
      </c>
      <c r="I7198" t="str">
        <f t="shared" si="706"/>
        <v>00847380961</v>
      </c>
      <c r="K7198" t="str">
        <f>""</f>
        <v/>
      </c>
      <c r="M7198" t="s">
        <v>68</v>
      </c>
      <c r="N7198" t="str">
        <f t="shared" si="707"/>
        <v>FOR</v>
      </c>
      <c r="O7198" t="s">
        <v>69</v>
      </c>
      <c r="P7198" s="3" t="s">
        <v>70</v>
      </c>
      <c r="Q7198">
        <v>2015</v>
      </c>
      <c r="R7198" s="2">
        <v>42072</v>
      </c>
      <c r="S7198" s="2">
        <v>42081</v>
      </c>
      <c r="T7198" s="2">
        <v>42081</v>
      </c>
      <c r="U7198" s="2">
        <v>42141</v>
      </c>
      <c r="V7198" t="s">
        <v>71</v>
      </c>
      <c r="W7198" t="str">
        <f>"            15006917"</f>
        <v xml:space="preserve">            15006917</v>
      </c>
      <c r="X7198" s="1">
        <v>1708</v>
      </c>
      <c r="Y7198">
        <v>0</v>
      </c>
      <c r="Z7198"/>
      <c r="AB7198"/>
      <c r="AC7198" s="1">
        <v>1400</v>
      </c>
      <c r="AD7198">
        <v>274</v>
      </c>
      <c r="AE7198" s="1">
        <v>383600</v>
      </c>
      <c r="AF7198">
        <v>0</v>
      </c>
      <c r="AJ7198">
        <v>0</v>
      </c>
      <c r="AK7198">
        <v>0</v>
      </c>
      <c r="AL7198">
        <v>0</v>
      </c>
      <c r="AM7198">
        <v>0</v>
      </c>
      <c r="AN7198">
        <v>0</v>
      </c>
      <c r="AO7198">
        <v>0</v>
      </c>
      <c r="AP7198" s="2">
        <v>42746</v>
      </c>
      <c r="AQ7198" t="s">
        <v>72</v>
      </c>
      <c r="AR7198" t="s">
        <v>72</v>
      </c>
      <c r="AS7198">
        <v>387</v>
      </c>
      <c r="AT7198" s="4">
        <v>42415</v>
      </c>
      <c r="AU7198" t="s">
        <v>73</v>
      </c>
      <c r="AV7198">
        <v>387</v>
      </c>
      <c r="AW7198" s="4">
        <v>42415</v>
      </c>
      <c r="BD7198">
        <v>0</v>
      </c>
      <c r="BN7198" t="s">
        <v>74</v>
      </c>
    </row>
    <row r="7199" spans="1:66" hidden="1">
      <c r="A7199">
        <v>104129</v>
      </c>
      <c r="B7199" s="3" t="s">
        <v>615</v>
      </c>
      <c r="C7199" s="1">
        <v>43300101</v>
      </c>
      <c r="D7199" t="s">
        <v>67</v>
      </c>
      <c r="H7199" t="str">
        <f t="shared" si="705"/>
        <v>07123400157</v>
      </c>
      <c r="I7199" t="str">
        <f t="shared" si="706"/>
        <v>00847380961</v>
      </c>
      <c r="K7199" t="str">
        <f>""</f>
        <v/>
      </c>
      <c r="M7199" t="s">
        <v>68</v>
      </c>
      <c r="N7199" t="str">
        <f t="shared" si="707"/>
        <v>FOR</v>
      </c>
      <c r="O7199" t="s">
        <v>69</v>
      </c>
      <c r="P7199" s="3" t="s">
        <v>70</v>
      </c>
      <c r="Q7199">
        <v>2015</v>
      </c>
      <c r="R7199" s="2">
        <v>42073</v>
      </c>
      <c r="S7199" s="2">
        <v>42089</v>
      </c>
      <c r="T7199" s="2">
        <v>42089</v>
      </c>
      <c r="U7199" s="2">
        <v>42149</v>
      </c>
      <c r="V7199" t="s">
        <v>71</v>
      </c>
      <c r="W7199" t="str">
        <f>"            15007104"</f>
        <v xml:space="preserve">            15007104</v>
      </c>
      <c r="X7199">
        <v>244</v>
      </c>
      <c r="Y7199">
        <v>0</v>
      </c>
      <c r="Z7199"/>
      <c r="AB7199"/>
      <c r="AC7199">
        <v>200</v>
      </c>
      <c r="AD7199">
        <v>266</v>
      </c>
      <c r="AE7199" s="1">
        <v>53200</v>
      </c>
      <c r="AF7199">
        <v>0</v>
      </c>
      <c r="AJ7199">
        <v>0</v>
      </c>
      <c r="AK7199">
        <v>0</v>
      </c>
      <c r="AL7199">
        <v>0</v>
      </c>
      <c r="AM7199">
        <v>0</v>
      </c>
      <c r="AN7199">
        <v>0</v>
      </c>
      <c r="AO7199">
        <v>0</v>
      </c>
      <c r="AP7199" s="2">
        <v>42746</v>
      </c>
      <c r="AQ7199" t="s">
        <v>72</v>
      </c>
      <c r="AR7199" t="s">
        <v>72</v>
      </c>
      <c r="AS7199">
        <v>387</v>
      </c>
      <c r="AT7199" s="4">
        <v>42415</v>
      </c>
      <c r="AU7199" t="s">
        <v>73</v>
      </c>
      <c r="AV7199">
        <v>387</v>
      </c>
      <c r="AW7199" s="4">
        <v>42415</v>
      </c>
      <c r="BD7199">
        <v>0</v>
      </c>
      <c r="BN7199" t="s">
        <v>74</v>
      </c>
    </row>
    <row r="7200" spans="1:66" hidden="1">
      <c r="A7200">
        <v>104129</v>
      </c>
      <c r="B7200" s="3" t="s">
        <v>615</v>
      </c>
      <c r="C7200" s="1">
        <v>43300101</v>
      </c>
      <c r="D7200" t="s">
        <v>67</v>
      </c>
      <c r="H7200" t="str">
        <f t="shared" si="705"/>
        <v>07123400157</v>
      </c>
      <c r="I7200" t="str">
        <f t="shared" si="706"/>
        <v>00847380961</v>
      </c>
      <c r="K7200" t="str">
        <f>""</f>
        <v/>
      </c>
      <c r="M7200" t="s">
        <v>68</v>
      </c>
      <c r="N7200" t="str">
        <f t="shared" si="707"/>
        <v>FOR</v>
      </c>
      <c r="O7200" t="s">
        <v>69</v>
      </c>
      <c r="P7200" s="3" t="s">
        <v>70</v>
      </c>
      <c r="Q7200">
        <v>2015</v>
      </c>
      <c r="R7200" s="2">
        <v>42079</v>
      </c>
      <c r="S7200" s="2">
        <v>42094</v>
      </c>
      <c r="T7200" s="2">
        <v>42094</v>
      </c>
      <c r="U7200" s="2">
        <v>42154</v>
      </c>
      <c r="V7200" t="s">
        <v>71</v>
      </c>
      <c r="W7200" t="str">
        <f>"            15007675"</f>
        <v xml:space="preserve">            15007675</v>
      </c>
      <c r="X7200" s="1">
        <v>1098</v>
      </c>
      <c r="Y7200">
        <v>0</v>
      </c>
      <c r="Z7200"/>
      <c r="AB7200"/>
      <c r="AC7200">
        <v>900</v>
      </c>
      <c r="AD7200">
        <v>261</v>
      </c>
      <c r="AE7200" s="1">
        <v>234900</v>
      </c>
      <c r="AF7200">
        <v>0</v>
      </c>
      <c r="AJ7200">
        <v>0</v>
      </c>
      <c r="AK7200">
        <v>0</v>
      </c>
      <c r="AL7200">
        <v>0</v>
      </c>
      <c r="AM7200">
        <v>0</v>
      </c>
      <c r="AN7200">
        <v>0</v>
      </c>
      <c r="AO7200">
        <v>0</v>
      </c>
      <c r="AP7200" s="2">
        <v>42746</v>
      </c>
      <c r="AQ7200" t="s">
        <v>72</v>
      </c>
      <c r="AR7200" t="s">
        <v>72</v>
      </c>
      <c r="AS7200">
        <v>387</v>
      </c>
      <c r="AT7200" s="4">
        <v>42415</v>
      </c>
      <c r="AU7200" t="s">
        <v>73</v>
      </c>
      <c r="AV7200">
        <v>387</v>
      </c>
      <c r="AW7200" s="4">
        <v>42415</v>
      </c>
      <c r="BD7200">
        <v>0</v>
      </c>
      <c r="BN7200" t="s">
        <v>74</v>
      </c>
    </row>
    <row r="7201" spans="1:66" hidden="1">
      <c r="A7201">
        <v>104129</v>
      </c>
      <c r="B7201" s="3" t="s">
        <v>615</v>
      </c>
      <c r="C7201" s="1">
        <v>43300101</v>
      </c>
      <c r="D7201" t="s">
        <v>67</v>
      </c>
      <c r="H7201" t="str">
        <f t="shared" si="705"/>
        <v>07123400157</v>
      </c>
      <c r="I7201" t="str">
        <f t="shared" si="706"/>
        <v>00847380961</v>
      </c>
      <c r="K7201" t="str">
        <f>""</f>
        <v/>
      </c>
      <c r="M7201" t="s">
        <v>68</v>
      </c>
      <c r="N7201" t="str">
        <f t="shared" si="707"/>
        <v>FOR</v>
      </c>
      <c r="O7201" t="s">
        <v>69</v>
      </c>
      <c r="P7201" s="3" t="s">
        <v>70</v>
      </c>
      <c r="Q7201">
        <v>2015</v>
      </c>
      <c r="R7201" s="2">
        <v>42087</v>
      </c>
      <c r="S7201" s="2">
        <v>42108</v>
      </c>
      <c r="T7201" s="2">
        <v>42108</v>
      </c>
      <c r="U7201" s="2">
        <v>42168</v>
      </c>
      <c r="V7201" t="s">
        <v>71</v>
      </c>
      <c r="W7201" t="str">
        <f>"            15008732"</f>
        <v xml:space="preserve">            15008732</v>
      </c>
      <c r="X7201" s="1">
        <v>1525</v>
      </c>
      <c r="Y7201">
        <v>0</v>
      </c>
      <c r="Z7201"/>
      <c r="AB7201"/>
      <c r="AC7201" s="1">
        <v>1250</v>
      </c>
      <c r="AD7201">
        <v>247</v>
      </c>
      <c r="AE7201" s="1">
        <v>308750</v>
      </c>
      <c r="AF7201">
        <v>0</v>
      </c>
      <c r="AJ7201">
        <v>0</v>
      </c>
      <c r="AK7201">
        <v>0</v>
      </c>
      <c r="AL7201">
        <v>0</v>
      </c>
      <c r="AM7201">
        <v>0</v>
      </c>
      <c r="AN7201">
        <v>0</v>
      </c>
      <c r="AO7201">
        <v>0</v>
      </c>
      <c r="AP7201" s="2">
        <v>42746</v>
      </c>
      <c r="AQ7201" t="s">
        <v>72</v>
      </c>
      <c r="AR7201" t="s">
        <v>72</v>
      </c>
      <c r="AS7201">
        <v>387</v>
      </c>
      <c r="AT7201" s="4">
        <v>42415</v>
      </c>
      <c r="AU7201" t="s">
        <v>73</v>
      </c>
      <c r="AV7201">
        <v>387</v>
      </c>
      <c r="AW7201" s="4">
        <v>42415</v>
      </c>
      <c r="BD7201">
        <v>0</v>
      </c>
      <c r="BN7201" t="s">
        <v>74</v>
      </c>
    </row>
    <row r="7202" spans="1:66" hidden="1">
      <c r="A7202">
        <v>104129</v>
      </c>
      <c r="B7202" s="3" t="s">
        <v>615</v>
      </c>
      <c r="C7202" s="1">
        <v>43300101</v>
      </c>
      <c r="D7202" t="s">
        <v>67</v>
      </c>
      <c r="H7202" t="str">
        <f t="shared" si="705"/>
        <v>07123400157</v>
      </c>
      <c r="I7202" t="str">
        <f t="shared" si="706"/>
        <v>00847380961</v>
      </c>
      <c r="K7202" t="str">
        <f>""</f>
        <v/>
      </c>
      <c r="M7202" t="s">
        <v>68</v>
      </c>
      <c r="N7202" t="str">
        <f t="shared" si="707"/>
        <v>FOR</v>
      </c>
      <c r="O7202" t="s">
        <v>69</v>
      </c>
      <c r="P7202" s="3" t="s">
        <v>75</v>
      </c>
      <c r="Q7202">
        <v>2015</v>
      </c>
      <c r="R7202" s="2">
        <v>42102</v>
      </c>
      <c r="S7202" s="2">
        <v>42116</v>
      </c>
      <c r="T7202" s="2">
        <v>42115</v>
      </c>
      <c r="U7202" s="2">
        <v>42175</v>
      </c>
      <c r="V7202" t="s">
        <v>71</v>
      </c>
      <c r="W7202" t="str">
        <f>"            15010394"</f>
        <v xml:space="preserve">            15010394</v>
      </c>
      <c r="X7202" s="1">
        <v>10951.2</v>
      </c>
      <c r="Y7202">
        <v>0</v>
      </c>
      <c r="Z7202"/>
      <c r="AB7202"/>
      <c r="AC7202" s="1">
        <v>10530</v>
      </c>
      <c r="AD7202">
        <v>258</v>
      </c>
      <c r="AE7202" s="1">
        <v>2716740</v>
      </c>
      <c r="AF7202">
        <v>0</v>
      </c>
      <c r="AJ7202">
        <v>0</v>
      </c>
      <c r="AK7202">
        <v>0</v>
      </c>
      <c r="AL7202">
        <v>0</v>
      </c>
      <c r="AM7202">
        <v>0</v>
      </c>
      <c r="AN7202">
        <v>0</v>
      </c>
      <c r="AO7202">
        <v>0</v>
      </c>
      <c r="AP7202" s="2">
        <v>42746</v>
      </c>
      <c r="AQ7202" t="s">
        <v>72</v>
      </c>
      <c r="AR7202" t="s">
        <v>72</v>
      </c>
      <c r="AS7202">
        <v>650</v>
      </c>
      <c r="AT7202" s="4">
        <v>42433</v>
      </c>
      <c r="AU7202" t="s">
        <v>73</v>
      </c>
      <c r="AV7202">
        <v>650</v>
      </c>
      <c r="AW7202" s="4">
        <v>42433</v>
      </c>
      <c r="BD7202">
        <v>0</v>
      </c>
      <c r="BN7202" t="s">
        <v>74</v>
      </c>
    </row>
    <row r="7203" spans="1:66" hidden="1">
      <c r="A7203">
        <v>104129</v>
      </c>
      <c r="B7203" s="3" t="s">
        <v>615</v>
      </c>
      <c r="C7203" s="1">
        <v>43300101</v>
      </c>
      <c r="D7203" t="s">
        <v>67</v>
      </c>
      <c r="H7203" t="str">
        <f t="shared" si="705"/>
        <v>07123400157</v>
      </c>
      <c r="I7203" t="str">
        <f t="shared" si="706"/>
        <v>00847380961</v>
      </c>
      <c r="K7203" t="str">
        <f>""</f>
        <v/>
      </c>
      <c r="M7203" t="s">
        <v>68</v>
      </c>
      <c r="N7203" t="str">
        <f t="shared" si="707"/>
        <v>FOR</v>
      </c>
      <c r="O7203" t="s">
        <v>69</v>
      </c>
      <c r="P7203" s="3" t="s">
        <v>75</v>
      </c>
      <c r="Q7203">
        <v>2015</v>
      </c>
      <c r="R7203" s="2">
        <v>42104</v>
      </c>
      <c r="S7203" s="2">
        <v>42116</v>
      </c>
      <c r="T7203" s="2">
        <v>42115</v>
      </c>
      <c r="U7203" s="2">
        <v>42175</v>
      </c>
      <c r="V7203" t="s">
        <v>71</v>
      </c>
      <c r="W7203" t="str">
        <f>"            15010726"</f>
        <v xml:space="preserve">            15010726</v>
      </c>
      <c r="X7203">
        <v>496.54</v>
      </c>
      <c r="Y7203">
        <v>0</v>
      </c>
      <c r="Z7203"/>
      <c r="AB7203"/>
      <c r="AC7203">
        <v>407</v>
      </c>
      <c r="AD7203">
        <v>258</v>
      </c>
      <c r="AE7203" s="1">
        <v>105006</v>
      </c>
      <c r="AF7203">
        <v>0</v>
      </c>
      <c r="AJ7203">
        <v>0</v>
      </c>
      <c r="AK7203">
        <v>0</v>
      </c>
      <c r="AL7203">
        <v>0</v>
      </c>
      <c r="AM7203">
        <v>0</v>
      </c>
      <c r="AN7203">
        <v>0</v>
      </c>
      <c r="AO7203">
        <v>0</v>
      </c>
      <c r="AP7203" s="2">
        <v>42746</v>
      </c>
      <c r="AQ7203" t="s">
        <v>72</v>
      </c>
      <c r="AR7203" t="s">
        <v>72</v>
      </c>
      <c r="AS7203">
        <v>650</v>
      </c>
      <c r="AT7203" s="4">
        <v>42433</v>
      </c>
      <c r="AU7203" t="s">
        <v>73</v>
      </c>
      <c r="AV7203">
        <v>650</v>
      </c>
      <c r="AW7203" s="4">
        <v>42433</v>
      </c>
      <c r="BD7203">
        <v>0</v>
      </c>
      <c r="BN7203" t="s">
        <v>74</v>
      </c>
    </row>
    <row r="7204" spans="1:66" hidden="1">
      <c r="A7204">
        <v>104129</v>
      </c>
      <c r="B7204" s="3" t="s">
        <v>615</v>
      </c>
      <c r="C7204" s="1">
        <v>43300101</v>
      </c>
      <c r="D7204" t="s">
        <v>67</v>
      </c>
      <c r="H7204" t="str">
        <f t="shared" si="705"/>
        <v>07123400157</v>
      </c>
      <c r="I7204" t="str">
        <f t="shared" si="706"/>
        <v>00847380961</v>
      </c>
      <c r="K7204" t="str">
        <f>""</f>
        <v/>
      </c>
      <c r="M7204" t="s">
        <v>68</v>
      </c>
      <c r="N7204" t="str">
        <f t="shared" si="707"/>
        <v>FOR</v>
      </c>
      <c r="O7204" t="s">
        <v>69</v>
      </c>
      <c r="P7204" s="3" t="s">
        <v>75</v>
      </c>
      <c r="Q7204">
        <v>2015</v>
      </c>
      <c r="R7204" s="2">
        <v>42107</v>
      </c>
      <c r="S7204" s="2">
        <v>42116</v>
      </c>
      <c r="T7204" s="2">
        <v>42115</v>
      </c>
      <c r="U7204" s="2">
        <v>42175</v>
      </c>
      <c r="V7204" t="s">
        <v>71</v>
      </c>
      <c r="W7204" t="str">
        <f>"            15010882"</f>
        <v xml:space="preserve">            15010882</v>
      </c>
      <c r="X7204" s="1">
        <v>1098</v>
      </c>
      <c r="Y7204">
        <v>0</v>
      </c>
      <c r="Z7204"/>
      <c r="AB7204"/>
      <c r="AC7204">
        <v>900</v>
      </c>
      <c r="AD7204">
        <v>258</v>
      </c>
      <c r="AE7204" s="1">
        <v>232200</v>
      </c>
      <c r="AF7204">
        <v>0</v>
      </c>
      <c r="AJ7204">
        <v>0</v>
      </c>
      <c r="AK7204">
        <v>0</v>
      </c>
      <c r="AL7204">
        <v>0</v>
      </c>
      <c r="AM7204">
        <v>0</v>
      </c>
      <c r="AN7204">
        <v>0</v>
      </c>
      <c r="AO7204">
        <v>0</v>
      </c>
      <c r="AP7204" s="2">
        <v>42746</v>
      </c>
      <c r="AQ7204" t="s">
        <v>72</v>
      </c>
      <c r="AR7204" t="s">
        <v>72</v>
      </c>
      <c r="AS7204">
        <v>650</v>
      </c>
      <c r="AT7204" s="4">
        <v>42433</v>
      </c>
      <c r="AU7204" t="s">
        <v>73</v>
      </c>
      <c r="AV7204">
        <v>650</v>
      </c>
      <c r="AW7204" s="4">
        <v>42433</v>
      </c>
      <c r="BD7204">
        <v>0</v>
      </c>
      <c r="BN7204" t="s">
        <v>74</v>
      </c>
    </row>
    <row r="7205" spans="1:66" hidden="1">
      <c r="A7205">
        <v>104129</v>
      </c>
      <c r="B7205" s="3" t="s">
        <v>615</v>
      </c>
      <c r="C7205" s="1">
        <v>43300101</v>
      </c>
      <c r="D7205" t="s">
        <v>67</v>
      </c>
      <c r="H7205" t="str">
        <f t="shared" si="705"/>
        <v>07123400157</v>
      </c>
      <c r="I7205" t="str">
        <f t="shared" si="706"/>
        <v>00847380961</v>
      </c>
      <c r="K7205" t="str">
        <f>""</f>
        <v/>
      </c>
      <c r="M7205" t="s">
        <v>68</v>
      </c>
      <c r="N7205" t="str">
        <f t="shared" si="707"/>
        <v>FOR</v>
      </c>
      <c r="O7205" t="s">
        <v>69</v>
      </c>
      <c r="P7205" s="3" t="s">
        <v>75</v>
      </c>
      <c r="Q7205">
        <v>2015</v>
      </c>
      <c r="R7205" s="2">
        <v>42108</v>
      </c>
      <c r="S7205" s="2">
        <v>42135</v>
      </c>
      <c r="T7205" s="2">
        <v>42132</v>
      </c>
      <c r="U7205" s="2">
        <v>42192</v>
      </c>
      <c r="V7205" t="s">
        <v>71</v>
      </c>
      <c r="W7205" t="str">
        <f>"            15011065"</f>
        <v xml:space="preserve">            15011065</v>
      </c>
      <c r="X7205">
        <v>312</v>
      </c>
      <c r="Y7205">
        <v>0</v>
      </c>
      <c r="Z7205"/>
      <c r="AB7205"/>
      <c r="AC7205">
        <v>300</v>
      </c>
      <c r="AD7205">
        <v>241</v>
      </c>
      <c r="AE7205" s="1">
        <v>72300</v>
      </c>
      <c r="AF7205">
        <v>0</v>
      </c>
      <c r="AJ7205">
        <v>0</v>
      </c>
      <c r="AK7205">
        <v>0</v>
      </c>
      <c r="AL7205">
        <v>0</v>
      </c>
      <c r="AM7205">
        <v>0</v>
      </c>
      <c r="AN7205">
        <v>0</v>
      </c>
      <c r="AO7205">
        <v>0</v>
      </c>
      <c r="AP7205" s="2">
        <v>42746</v>
      </c>
      <c r="AQ7205" t="s">
        <v>72</v>
      </c>
      <c r="AR7205" t="s">
        <v>72</v>
      </c>
      <c r="AS7205">
        <v>650</v>
      </c>
      <c r="AT7205" s="4">
        <v>42433</v>
      </c>
      <c r="AU7205" t="s">
        <v>73</v>
      </c>
      <c r="AV7205">
        <v>650</v>
      </c>
      <c r="AW7205" s="4">
        <v>42433</v>
      </c>
      <c r="BD7205">
        <v>0</v>
      </c>
      <c r="BN7205" t="s">
        <v>74</v>
      </c>
    </row>
    <row r="7206" spans="1:66" hidden="1">
      <c r="A7206">
        <v>104129</v>
      </c>
      <c r="B7206" s="3" t="s">
        <v>615</v>
      </c>
      <c r="C7206" s="1">
        <v>43300101</v>
      </c>
      <c r="D7206" t="s">
        <v>67</v>
      </c>
      <c r="H7206" t="str">
        <f t="shared" si="705"/>
        <v>07123400157</v>
      </c>
      <c r="I7206" t="str">
        <f t="shared" si="706"/>
        <v>00847380961</v>
      </c>
      <c r="K7206" t="str">
        <f>""</f>
        <v/>
      </c>
      <c r="M7206" t="s">
        <v>68</v>
      </c>
      <c r="N7206" t="str">
        <f t="shared" si="707"/>
        <v>FOR</v>
      </c>
      <c r="O7206" t="s">
        <v>69</v>
      </c>
      <c r="P7206" s="3" t="s">
        <v>75</v>
      </c>
      <c r="Q7206">
        <v>2015</v>
      </c>
      <c r="R7206" s="2">
        <v>42128</v>
      </c>
      <c r="S7206" s="2">
        <v>42139</v>
      </c>
      <c r="T7206" s="2">
        <v>42137</v>
      </c>
      <c r="U7206" s="2">
        <v>42197</v>
      </c>
      <c r="V7206" t="s">
        <v>71</v>
      </c>
      <c r="W7206" t="str">
        <f>"            15013234"</f>
        <v xml:space="preserve">            15013234</v>
      </c>
      <c r="X7206" s="1">
        <v>2257</v>
      </c>
      <c r="Y7206">
        <v>0</v>
      </c>
      <c r="Z7206"/>
      <c r="AB7206"/>
      <c r="AC7206" s="1">
        <v>1850</v>
      </c>
      <c r="AD7206">
        <v>255</v>
      </c>
      <c r="AE7206" s="1">
        <v>471750</v>
      </c>
      <c r="AF7206">
        <v>0</v>
      </c>
      <c r="AJ7206">
        <v>0</v>
      </c>
      <c r="AK7206">
        <v>0</v>
      </c>
      <c r="AL7206">
        <v>0</v>
      </c>
      <c r="AM7206">
        <v>0</v>
      </c>
      <c r="AN7206">
        <v>0</v>
      </c>
      <c r="AO7206">
        <v>0</v>
      </c>
      <c r="AP7206" s="2">
        <v>42746</v>
      </c>
      <c r="AQ7206" t="s">
        <v>72</v>
      </c>
      <c r="AR7206" t="s">
        <v>72</v>
      </c>
      <c r="AS7206">
        <v>824</v>
      </c>
      <c r="AT7206" s="4">
        <v>42452</v>
      </c>
      <c r="AU7206" t="s">
        <v>73</v>
      </c>
      <c r="AV7206">
        <v>824</v>
      </c>
      <c r="AW7206" s="4">
        <v>42452</v>
      </c>
      <c r="BD7206">
        <v>0</v>
      </c>
      <c r="BN7206" t="s">
        <v>74</v>
      </c>
    </row>
    <row r="7207" spans="1:66" hidden="1">
      <c r="A7207">
        <v>104129</v>
      </c>
      <c r="B7207" s="3" t="s">
        <v>615</v>
      </c>
      <c r="C7207" s="1">
        <v>43300101</v>
      </c>
      <c r="D7207" t="s">
        <v>67</v>
      </c>
      <c r="H7207" t="str">
        <f t="shared" si="705"/>
        <v>07123400157</v>
      </c>
      <c r="I7207" t="str">
        <f t="shared" si="706"/>
        <v>00847380961</v>
      </c>
      <c r="K7207" t="str">
        <f>""</f>
        <v/>
      </c>
      <c r="M7207" t="s">
        <v>68</v>
      </c>
      <c r="N7207" t="str">
        <f t="shared" si="707"/>
        <v>FOR</v>
      </c>
      <c r="O7207" t="s">
        <v>69</v>
      </c>
      <c r="P7207" s="3" t="s">
        <v>75</v>
      </c>
      <c r="Q7207">
        <v>2015</v>
      </c>
      <c r="R7207" s="2">
        <v>42131</v>
      </c>
      <c r="S7207" s="2">
        <v>42174</v>
      </c>
      <c r="T7207" s="2">
        <v>42138</v>
      </c>
      <c r="U7207" s="2">
        <v>42198</v>
      </c>
      <c r="V7207" t="s">
        <v>71</v>
      </c>
      <c r="W7207" t="str">
        <f>"            15013826"</f>
        <v xml:space="preserve">            15013826</v>
      </c>
      <c r="X7207">
        <v>988</v>
      </c>
      <c r="Y7207">
        <v>0</v>
      </c>
      <c r="Z7207"/>
      <c r="AB7207"/>
      <c r="AC7207">
        <v>950</v>
      </c>
      <c r="AD7207">
        <v>254</v>
      </c>
      <c r="AE7207" s="1">
        <v>241300</v>
      </c>
      <c r="AF7207">
        <v>0</v>
      </c>
      <c r="AJ7207">
        <v>0</v>
      </c>
      <c r="AK7207">
        <v>0</v>
      </c>
      <c r="AL7207">
        <v>0</v>
      </c>
      <c r="AM7207">
        <v>0</v>
      </c>
      <c r="AN7207">
        <v>0</v>
      </c>
      <c r="AO7207">
        <v>0</v>
      </c>
      <c r="AP7207" s="2">
        <v>42746</v>
      </c>
      <c r="AQ7207" t="s">
        <v>72</v>
      </c>
      <c r="AR7207" t="s">
        <v>72</v>
      </c>
      <c r="AS7207">
        <v>824</v>
      </c>
      <c r="AT7207" s="4">
        <v>42452</v>
      </c>
      <c r="AU7207" t="s">
        <v>73</v>
      </c>
      <c r="AV7207">
        <v>824</v>
      </c>
      <c r="AW7207" s="4">
        <v>42452</v>
      </c>
      <c r="BD7207">
        <v>0</v>
      </c>
      <c r="BN7207" t="s">
        <v>74</v>
      </c>
    </row>
    <row r="7208" spans="1:66" hidden="1">
      <c r="A7208">
        <v>104129</v>
      </c>
      <c r="B7208" s="3" t="s">
        <v>615</v>
      </c>
      <c r="C7208" s="1">
        <v>43300101</v>
      </c>
      <c r="D7208" t="s">
        <v>67</v>
      </c>
      <c r="H7208" t="str">
        <f t="shared" si="705"/>
        <v>07123400157</v>
      </c>
      <c r="I7208" t="str">
        <f t="shared" si="706"/>
        <v>00847380961</v>
      </c>
      <c r="K7208" t="str">
        <f>""</f>
        <v/>
      </c>
      <c r="M7208" t="s">
        <v>68</v>
      </c>
      <c r="N7208" t="str">
        <f t="shared" si="707"/>
        <v>FOR</v>
      </c>
      <c r="O7208" t="s">
        <v>69</v>
      </c>
      <c r="P7208" s="3" t="s">
        <v>75</v>
      </c>
      <c r="Q7208">
        <v>2015</v>
      </c>
      <c r="R7208" s="2">
        <v>42135</v>
      </c>
      <c r="S7208" s="2">
        <v>42174</v>
      </c>
      <c r="T7208" s="2">
        <v>42138</v>
      </c>
      <c r="U7208" s="2">
        <v>42198</v>
      </c>
      <c r="V7208" t="s">
        <v>71</v>
      </c>
      <c r="W7208" t="str">
        <f>"            15014178"</f>
        <v xml:space="preserve">            15014178</v>
      </c>
      <c r="X7208" s="1">
        <v>2964</v>
      </c>
      <c r="Y7208">
        <v>0</v>
      </c>
      <c r="Z7208"/>
      <c r="AB7208"/>
      <c r="AC7208" s="1">
        <v>2850</v>
      </c>
      <c r="AD7208">
        <v>254</v>
      </c>
      <c r="AE7208" s="1">
        <v>723900</v>
      </c>
      <c r="AF7208">
        <v>0</v>
      </c>
      <c r="AJ7208">
        <v>0</v>
      </c>
      <c r="AK7208">
        <v>0</v>
      </c>
      <c r="AL7208">
        <v>0</v>
      </c>
      <c r="AM7208">
        <v>0</v>
      </c>
      <c r="AN7208">
        <v>0</v>
      </c>
      <c r="AO7208">
        <v>0</v>
      </c>
      <c r="AP7208" s="2">
        <v>42746</v>
      </c>
      <c r="AQ7208" t="s">
        <v>72</v>
      </c>
      <c r="AR7208" t="s">
        <v>72</v>
      </c>
      <c r="AS7208">
        <v>824</v>
      </c>
      <c r="AT7208" s="4">
        <v>42452</v>
      </c>
      <c r="AU7208" t="s">
        <v>73</v>
      </c>
      <c r="AV7208">
        <v>824</v>
      </c>
      <c r="AW7208" s="4">
        <v>42452</v>
      </c>
      <c r="BD7208">
        <v>0</v>
      </c>
      <c r="BN7208" t="s">
        <v>74</v>
      </c>
    </row>
    <row r="7209" spans="1:66" hidden="1">
      <c r="A7209">
        <v>104129</v>
      </c>
      <c r="B7209" s="3" t="s">
        <v>615</v>
      </c>
      <c r="C7209" s="1">
        <v>43300101</v>
      </c>
      <c r="D7209" t="s">
        <v>67</v>
      </c>
      <c r="H7209" t="str">
        <f t="shared" si="705"/>
        <v>07123400157</v>
      </c>
      <c r="I7209" t="str">
        <f t="shared" si="706"/>
        <v>00847380961</v>
      </c>
      <c r="K7209" t="str">
        <f>""</f>
        <v/>
      </c>
      <c r="M7209" t="s">
        <v>68</v>
      </c>
      <c r="N7209" t="str">
        <f t="shared" si="707"/>
        <v>FOR</v>
      </c>
      <c r="O7209" t="s">
        <v>69</v>
      </c>
      <c r="P7209" s="3" t="s">
        <v>75</v>
      </c>
      <c r="Q7209">
        <v>2015</v>
      </c>
      <c r="R7209" s="2">
        <v>42136</v>
      </c>
      <c r="S7209" s="2">
        <v>42160</v>
      </c>
      <c r="T7209" s="2">
        <v>42143</v>
      </c>
      <c r="U7209" s="2">
        <v>42203</v>
      </c>
      <c r="V7209" t="s">
        <v>71</v>
      </c>
      <c r="W7209" t="str">
        <f>"            15014354"</f>
        <v xml:space="preserve">            15014354</v>
      </c>
      <c r="X7209">
        <v>988</v>
      </c>
      <c r="Y7209">
        <v>0</v>
      </c>
      <c r="Z7209"/>
      <c r="AB7209"/>
      <c r="AC7209">
        <v>950</v>
      </c>
      <c r="AD7209">
        <v>249</v>
      </c>
      <c r="AE7209" s="1">
        <v>236550</v>
      </c>
      <c r="AF7209">
        <v>0</v>
      </c>
      <c r="AJ7209">
        <v>0</v>
      </c>
      <c r="AK7209">
        <v>0</v>
      </c>
      <c r="AL7209">
        <v>0</v>
      </c>
      <c r="AM7209">
        <v>0</v>
      </c>
      <c r="AN7209">
        <v>0</v>
      </c>
      <c r="AO7209">
        <v>0</v>
      </c>
      <c r="AP7209" s="2">
        <v>42746</v>
      </c>
      <c r="AQ7209" t="s">
        <v>72</v>
      </c>
      <c r="AR7209" t="s">
        <v>72</v>
      </c>
      <c r="AS7209">
        <v>824</v>
      </c>
      <c r="AT7209" s="4">
        <v>42452</v>
      </c>
      <c r="AU7209" t="s">
        <v>73</v>
      </c>
      <c r="AV7209">
        <v>824</v>
      </c>
      <c r="AW7209" s="4">
        <v>42452</v>
      </c>
      <c r="BD7209">
        <v>0</v>
      </c>
      <c r="BN7209" t="s">
        <v>74</v>
      </c>
    </row>
    <row r="7210" spans="1:66" hidden="1">
      <c r="A7210">
        <v>104129</v>
      </c>
      <c r="B7210" s="3" t="s">
        <v>615</v>
      </c>
      <c r="C7210" s="1">
        <v>43300101</v>
      </c>
      <c r="D7210" t="s">
        <v>67</v>
      </c>
      <c r="H7210" t="str">
        <f t="shared" si="705"/>
        <v>07123400157</v>
      </c>
      <c r="I7210" t="str">
        <f t="shared" si="706"/>
        <v>00847380961</v>
      </c>
      <c r="K7210" t="str">
        <f>""</f>
        <v/>
      </c>
      <c r="M7210" t="s">
        <v>68</v>
      </c>
      <c r="N7210" t="str">
        <f t="shared" si="707"/>
        <v>FOR</v>
      </c>
      <c r="O7210" t="s">
        <v>69</v>
      </c>
      <c r="P7210" s="3" t="s">
        <v>75</v>
      </c>
      <c r="Q7210">
        <v>2015</v>
      </c>
      <c r="R7210" s="2">
        <v>42150</v>
      </c>
      <c r="S7210" s="2">
        <v>42158</v>
      </c>
      <c r="T7210" s="2">
        <v>42154</v>
      </c>
      <c r="U7210" s="2">
        <v>42214</v>
      </c>
      <c r="V7210" t="s">
        <v>71</v>
      </c>
      <c r="W7210" t="str">
        <f>"            15015999"</f>
        <v xml:space="preserve">            15015999</v>
      </c>
      <c r="X7210">
        <v>549</v>
      </c>
      <c r="Y7210">
        <v>0</v>
      </c>
      <c r="Z7210"/>
      <c r="AB7210"/>
      <c r="AC7210">
        <v>450</v>
      </c>
      <c r="AD7210">
        <v>238</v>
      </c>
      <c r="AE7210" s="1">
        <v>107100</v>
      </c>
      <c r="AF7210">
        <v>0</v>
      </c>
      <c r="AJ7210">
        <v>0</v>
      </c>
      <c r="AK7210">
        <v>0</v>
      </c>
      <c r="AL7210">
        <v>0</v>
      </c>
      <c r="AM7210">
        <v>0</v>
      </c>
      <c r="AN7210">
        <v>0</v>
      </c>
      <c r="AO7210">
        <v>0</v>
      </c>
      <c r="AP7210" s="2">
        <v>42746</v>
      </c>
      <c r="AQ7210" t="s">
        <v>72</v>
      </c>
      <c r="AR7210" t="s">
        <v>72</v>
      </c>
      <c r="AS7210">
        <v>824</v>
      </c>
      <c r="AT7210" s="4">
        <v>42452</v>
      </c>
      <c r="AU7210" t="s">
        <v>73</v>
      </c>
      <c r="AV7210">
        <v>824</v>
      </c>
      <c r="AW7210" s="4">
        <v>42452</v>
      </c>
      <c r="BD7210">
        <v>0</v>
      </c>
      <c r="BN7210" t="s">
        <v>74</v>
      </c>
    </row>
    <row r="7211" spans="1:66" hidden="1">
      <c r="A7211">
        <v>104129</v>
      </c>
      <c r="B7211" s="3" t="s">
        <v>615</v>
      </c>
      <c r="C7211" s="1">
        <v>43300101</v>
      </c>
      <c r="D7211" t="s">
        <v>67</v>
      </c>
      <c r="H7211" t="str">
        <f t="shared" si="705"/>
        <v>07123400157</v>
      </c>
      <c r="I7211" t="str">
        <f t="shared" si="706"/>
        <v>00847380961</v>
      </c>
      <c r="K7211" t="str">
        <f>""</f>
        <v/>
      </c>
      <c r="M7211" t="s">
        <v>68</v>
      </c>
      <c r="N7211" t="str">
        <f t="shared" si="707"/>
        <v>FOR</v>
      </c>
      <c r="O7211" t="s">
        <v>69</v>
      </c>
      <c r="P7211" s="3" t="s">
        <v>75</v>
      </c>
      <c r="Q7211">
        <v>2015</v>
      </c>
      <c r="R7211" s="2">
        <v>42163</v>
      </c>
      <c r="S7211" s="2">
        <v>42172</v>
      </c>
      <c r="T7211" s="2">
        <v>42171</v>
      </c>
      <c r="U7211" s="2">
        <v>42231</v>
      </c>
      <c r="V7211" t="s">
        <v>71</v>
      </c>
      <c r="W7211" t="str">
        <f>"            15017304"</f>
        <v xml:space="preserve">            15017304</v>
      </c>
      <c r="X7211">
        <v>915</v>
      </c>
      <c r="Y7211">
        <v>0</v>
      </c>
      <c r="Z7211"/>
      <c r="AB7211"/>
      <c r="AC7211">
        <v>750</v>
      </c>
      <c r="AD7211">
        <v>256</v>
      </c>
      <c r="AE7211" s="1">
        <v>192000</v>
      </c>
      <c r="AF7211">
        <v>0</v>
      </c>
      <c r="AJ7211">
        <v>0</v>
      </c>
      <c r="AK7211">
        <v>0</v>
      </c>
      <c r="AL7211">
        <v>0</v>
      </c>
      <c r="AM7211">
        <v>0</v>
      </c>
      <c r="AN7211">
        <v>0</v>
      </c>
      <c r="AO7211">
        <v>0</v>
      </c>
      <c r="AP7211" s="2">
        <v>42746</v>
      </c>
      <c r="AQ7211" t="s">
        <v>72</v>
      </c>
      <c r="AR7211" t="s">
        <v>72</v>
      </c>
      <c r="AS7211">
        <v>1210</v>
      </c>
      <c r="AT7211" s="4">
        <v>42487</v>
      </c>
      <c r="AU7211" t="s">
        <v>73</v>
      </c>
      <c r="AV7211">
        <v>1210</v>
      </c>
      <c r="AW7211" s="4">
        <v>42487</v>
      </c>
      <c r="BD7211">
        <v>0</v>
      </c>
      <c r="BN7211" t="s">
        <v>74</v>
      </c>
    </row>
    <row r="7212" spans="1:66" hidden="1">
      <c r="A7212">
        <v>104129</v>
      </c>
      <c r="B7212" s="3" t="s">
        <v>615</v>
      </c>
      <c r="C7212" s="1">
        <v>43300101</v>
      </c>
      <c r="D7212" t="s">
        <v>67</v>
      </c>
      <c r="H7212" t="str">
        <f t="shared" si="705"/>
        <v>07123400157</v>
      </c>
      <c r="I7212" t="str">
        <f t="shared" si="706"/>
        <v>00847380961</v>
      </c>
      <c r="K7212" t="str">
        <f>""</f>
        <v/>
      </c>
      <c r="M7212" t="s">
        <v>68</v>
      </c>
      <c r="N7212" t="str">
        <f t="shared" si="707"/>
        <v>FOR</v>
      </c>
      <c r="O7212" t="s">
        <v>69</v>
      </c>
      <c r="P7212" s="3" t="s">
        <v>75</v>
      </c>
      <c r="Q7212">
        <v>2015</v>
      </c>
      <c r="R7212" s="2">
        <v>42166</v>
      </c>
      <c r="S7212" s="2">
        <v>42172</v>
      </c>
      <c r="T7212" s="2">
        <v>42171</v>
      </c>
      <c r="U7212" s="2">
        <v>42231</v>
      </c>
      <c r="V7212" t="s">
        <v>71</v>
      </c>
      <c r="W7212" t="str">
        <f>"            15017838"</f>
        <v xml:space="preserve">            15017838</v>
      </c>
      <c r="X7212" s="1">
        <v>3416</v>
      </c>
      <c r="Y7212">
        <v>0</v>
      </c>
      <c r="Z7212"/>
      <c r="AB7212"/>
      <c r="AC7212" s="1">
        <v>2800</v>
      </c>
      <c r="AD7212">
        <v>256</v>
      </c>
      <c r="AE7212" s="1">
        <v>716800</v>
      </c>
      <c r="AF7212">
        <v>0</v>
      </c>
      <c r="AJ7212">
        <v>0</v>
      </c>
      <c r="AK7212">
        <v>0</v>
      </c>
      <c r="AL7212">
        <v>0</v>
      </c>
      <c r="AM7212">
        <v>0</v>
      </c>
      <c r="AN7212">
        <v>0</v>
      </c>
      <c r="AO7212">
        <v>0</v>
      </c>
      <c r="AP7212" s="2">
        <v>42746</v>
      </c>
      <c r="AQ7212" t="s">
        <v>72</v>
      </c>
      <c r="AR7212" t="s">
        <v>72</v>
      </c>
      <c r="AS7212">
        <v>1210</v>
      </c>
      <c r="AT7212" s="4">
        <v>42487</v>
      </c>
      <c r="AU7212" t="s">
        <v>73</v>
      </c>
      <c r="AV7212">
        <v>1210</v>
      </c>
      <c r="AW7212" s="4">
        <v>42487</v>
      </c>
      <c r="BD7212">
        <v>0</v>
      </c>
      <c r="BN7212" t="s">
        <v>74</v>
      </c>
    </row>
    <row r="7213" spans="1:66" hidden="1">
      <c r="A7213">
        <v>104129</v>
      </c>
      <c r="B7213" s="3" t="s">
        <v>615</v>
      </c>
      <c r="C7213" s="1">
        <v>43300101</v>
      </c>
      <c r="D7213" t="s">
        <v>67</v>
      </c>
      <c r="H7213" t="str">
        <f t="shared" si="705"/>
        <v>07123400157</v>
      </c>
      <c r="I7213" t="str">
        <f t="shared" si="706"/>
        <v>00847380961</v>
      </c>
      <c r="K7213" t="str">
        <f>""</f>
        <v/>
      </c>
      <c r="M7213" t="s">
        <v>68</v>
      </c>
      <c r="N7213" t="str">
        <f t="shared" si="707"/>
        <v>FOR</v>
      </c>
      <c r="O7213" t="s">
        <v>69</v>
      </c>
      <c r="P7213" s="3" t="s">
        <v>75</v>
      </c>
      <c r="Q7213">
        <v>2015</v>
      </c>
      <c r="R7213" s="2">
        <v>42170</v>
      </c>
      <c r="S7213" s="2">
        <v>42174</v>
      </c>
      <c r="T7213" s="2">
        <v>42173</v>
      </c>
      <c r="U7213" s="2">
        <v>42233</v>
      </c>
      <c r="V7213" t="s">
        <v>71</v>
      </c>
      <c r="W7213" t="str">
        <f>"            15018131"</f>
        <v xml:space="preserve">            15018131</v>
      </c>
      <c r="X7213" s="1">
        <v>1920.28</v>
      </c>
      <c r="Y7213">
        <v>0</v>
      </c>
      <c r="Z7213"/>
      <c r="AB7213"/>
      <c r="AC7213" s="1">
        <v>1574</v>
      </c>
      <c r="AD7213">
        <v>254</v>
      </c>
      <c r="AE7213" s="1">
        <v>399796</v>
      </c>
      <c r="AF7213">
        <v>0</v>
      </c>
      <c r="AJ7213">
        <v>0</v>
      </c>
      <c r="AK7213">
        <v>0</v>
      </c>
      <c r="AL7213">
        <v>0</v>
      </c>
      <c r="AM7213">
        <v>0</v>
      </c>
      <c r="AN7213">
        <v>0</v>
      </c>
      <c r="AO7213">
        <v>0</v>
      </c>
      <c r="AP7213" s="2">
        <v>42746</v>
      </c>
      <c r="AQ7213" t="s">
        <v>72</v>
      </c>
      <c r="AR7213" t="s">
        <v>72</v>
      </c>
      <c r="AS7213">
        <v>1210</v>
      </c>
      <c r="AT7213" s="4">
        <v>42487</v>
      </c>
      <c r="AU7213" t="s">
        <v>73</v>
      </c>
      <c r="AV7213">
        <v>1210</v>
      </c>
      <c r="AW7213" s="4">
        <v>42487</v>
      </c>
      <c r="BD7213">
        <v>0</v>
      </c>
      <c r="BN7213" t="s">
        <v>74</v>
      </c>
    </row>
    <row r="7214" spans="1:66" hidden="1">
      <c r="A7214">
        <v>104129</v>
      </c>
      <c r="B7214" s="3" t="s">
        <v>615</v>
      </c>
      <c r="C7214" s="1">
        <v>43300101</v>
      </c>
      <c r="D7214" t="s">
        <v>67</v>
      </c>
      <c r="H7214" t="str">
        <f t="shared" si="705"/>
        <v>07123400157</v>
      </c>
      <c r="I7214" t="str">
        <f t="shared" si="706"/>
        <v>00847380961</v>
      </c>
      <c r="K7214" t="str">
        <f>""</f>
        <v/>
      </c>
      <c r="M7214" t="s">
        <v>68</v>
      </c>
      <c r="N7214" t="str">
        <f t="shared" si="707"/>
        <v>FOR</v>
      </c>
      <c r="O7214" t="s">
        <v>69</v>
      </c>
      <c r="P7214" s="3" t="s">
        <v>75</v>
      </c>
      <c r="Q7214">
        <v>2015</v>
      </c>
      <c r="R7214" s="2">
        <v>42185</v>
      </c>
      <c r="S7214" s="2">
        <v>42275</v>
      </c>
      <c r="T7214" s="2">
        <v>42272</v>
      </c>
      <c r="U7214" s="2">
        <v>42332</v>
      </c>
      <c r="V7214" t="s">
        <v>71</v>
      </c>
      <c r="W7214" t="str">
        <f>"            15020035"</f>
        <v xml:space="preserve">            15020035</v>
      </c>
      <c r="X7214">
        <v>988</v>
      </c>
      <c r="Y7214">
        <v>0</v>
      </c>
      <c r="Z7214"/>
      <c r="AB7214"/>
      <c r="AC7214">
        <v>950</v>
      </c>
      <c r="AD7214">
        <v>155</v>
      </c>
      <c r="AE7214" s="1">
        <v>147250</v>
      </c>
      <c r="AF7214">
        <v>0</v>
      </c>
      <c r="AJ7214">
        <v>0</v>
      </c>
      <c r="AK7214">
        <v>0</v>
      </c>
      <c r="AL7214">
        <v>0</v>
      </c>
      <c r="AM7214">
        <v>0</v>
      </c>
      <c r="AN7214">
        <v>0</v>
      </c>
      <c r="AO7214">
        <v>0</v>
      </c>
      <c r="AP7214" s="2">
        <v>42746</v>
      </c>
      <c r="AQ7214" t="s">
        <v>72</v>
      </c>
      <c r="AR7214" t="s">
        <v>72</v>
      </c>
      <c r="AS7214">
        <v>1210</v>
      </c>
      <c r="AT7214" s="4">
        <v>42487</v>
      </c>
      <c r="AU7214" t="s">
        <v>73</v>
      </c>
      <c r="AV7214">
        <v>1210</v>
      </c>
      <c r="AW7214" s="4">
        <v>42487</v>
      </c>
      <c r="BD7214">
        <v>0</v>
      </c>
      <c r="BN7214" t="s">
        <v>74</v>
      </c>
    </row>
    <row r="7215" spans="1:66" hidden="1">
      <c r="A7215">
        <v>104129</v>
      </c>
      <c r="B7215" s="3" t="s">
        <v>615</v>
      </c>
      <c r="C7215" s="1">
        <v>43300101</v>
      </c>
      <c r="D7215" t="s">
        <v>67</v>
      </c>
      <c r="H7215" t="str">
        <f t="shared" si="705"/>
        <v>07123400157</v>
      </c>
      <c r="I7215" t="str">
        <f t="shared" si="706"/>
        <v>00847380961</v>
      </c>
      <c r="K7215" t="str">
        <f>""</f>
        <v/>
      </c>
      <c r="M7215" t="s">
        <v>68</v>
      </c>
      <c r="N7215" t="str">
        <f t="shared" si="707"/>
        <v>FOR</v>
      </c>
      <c r="O7215" t="s">
        <v>69</v>
      </c>
      <c r="P7215" s="3" t="s">
        <v>75</v>
      </c>
      <c r="Q7215">
        <v>2015</v>
      </c>
      <c r="R7215" s="2">
        <v>42194</v>
      </c>
      <c r="S7215" s="2">
        <v>42199</v>
      </c>
      <c r="T7215" s="2">
        <v>42199</v>
      </c>
      <c r="U7215" s="2">
        <v>42259</v>
      </c>
      <c r="V7215" t="s">
        <v>71</v>
      </c>
      <c r="W7215" t="str">
        <f>"            15021195"</f>
        <v xml:space="preserve">            15021195</v>
      </c>
      <c r="X7215" s="1">
        <v>1778.4</v>
      </c>
      <c r="Y7215">
        <v>0</v>
      </c>
      <c r="Z7215"/>
      <c r="AB7215"/>
      <c r="AC7215" s="1">
        <v>1710</v>
      </c>
      <c r="AD7215">
        <v>269</v>
      </c>
      <c r="AE7215" s="1">
        <v>459990</v>
      </c>
      <c r="AF7215">
        <v>0</v>
      </c>
      <c r="AJ7215">
        <v>0</v>
      </c>
      <c r="AK7215">
        <v>0</v>
      </c>
      <c r="AL7215">
        <v>0</v>
      </c>
      <c r="AM7215">
        <v>0</v>
      </c>
      <c r="AN7215">
        <v>0</v>
      </c>
      <c r="AO7215">
        <v>0</v>
      </c>
      <c r="AP7215" s="2">
        <v>42746</v>
      </c>
      <c r="AQ7215" t="s">
        <v>72</v>
      </c>
      <c r="AR7215" t="s">
        <v>72</v>
      </c>
      <c r="AS7215">
        <v>1554</v>
      </c>
      <c r="AT7215" s="4">
        <v>42528</v>
      </c>
      <c r="AU7215" t="s">
        <v>73</v>
      </c>
      <c r="AV7215">
        <v>1554</v>
      </c>
      <c r="AW7215" s="4">
        <v>42528</v>
      </c>
      <c r="BD7215">
        <v>0</v>
      </c>
      <c r="BN7215" t="s">
        <v>74</v>
      </c>
    </row>
    <row r="7216" spans="1:66" hidden="1">
      <c r="A7216">
        <v>104129</v>
      </c>
      <c r="B7216" s="3" t="s">
        <v>615</v>
      </c>
      <c r="C7216" s="1">
        <v>43300101</v>
      </c>
      <c r="D7216" t="s">
        <v>67</v>
      </c>
      <c r="H7216" t="str">
        <f t="shared" si="705"/>
        <v>07123400157</v>
      </c>
      <c r="I7216" t="str">
        <f t="shared" si="706"/>
        <v>00847380961</v>
      </c>
      <c r="K7216" t="str">
        <f>""</f>
        <v/>
      </c>
      <c r="M7216" t="s">
        <v>68</v>
      </c>
      <c r="N7216" t="str">
        <f t="shared" si="707"/>
        <v>FOR</v>
      </c>
      <c r="O7216" t="s">
        <v>69</v>
      </c>
      <c r="P7216" s="3" t="s">
        <v>75</v>
      </c>
      <c r="Q7216">
        <v>2015</v>
      </c>
      <c r="R7216" s="2">
        <v>42195</v>
      </c>
      <c r="S7216" s="2">
        <v>42199</v>
      </c>
      <c r="T7216" s="2">
        <v>42199</v>
      </c>
      <c r="U7216" s="2">
        <v>42259</v>
      </c>
      <c r="V7216" t="s">
        <v>71</v>
      </c>
      <c r="W7216" t="str">
        <f>"            15021328"</f>
        <v xml:space="preserve">            15021328</v>
      </c>
      <c r="X7216" s="1">
        <v>3416</v>
      </c>
      <c r="Y7216">
        <v>0</v>
      </c>
      <c r="Z7216"/>
      <c r="AB7216"/>
      <c r="AC7216" s="1">
        <v>2800</v>
      </c>
      <c r="AD7216">
        <v>269</v>
      </c>
      <c r="AE7216" s="1">
        <v>753200</v>
      </c>
      <c r="AF7216">
        <v>0</v>
      </c>
      <c r="AJ7216">
        <v>0</v>
      </c>
      <c r="AK7216">
        <v>0</v>
      </c>
      <c r="AL7216">
        <v>0</v>
      </c>
      <c r="AM7216">
        <v>0</v>
      </c>
      <c r="AN7216">
        <v>0</v>
      </c>
      <c r="AO7216">
        <v>0</v>
      </c>
      <c r="AP7216" s="2">
        <v>42746</v>
      </c>
      <c r="AQ7216" t="s">
        <v>72</v>
      </c>
      <c r="AR7216" t="s">
        <v>72</v>
      </c>
      <c r="AS7216">
        <v>1554</v>
      </c>
      <c r="AT7216" s="4">
        <v>42528</v>
      </c>
      <c r="AU7216" t="s">
        <v>73</v>
      </c>
      <c r="AV7216">
        <v>1554</v>
      </c>
      <c r="AW7216" s="4">
        <v>42528</v>
      </c>
      <c r="BD7216">
        <v>0</v>
      </c>
      <c r="BN7216" t="s">
        <v>74</v>
      </c>
    </row>
    <row r="7217" spans="1:66" hidden="1">
      <c r="A7217">
        <v>104129</v>
      </c>
      <c r="B7217" s="3" t="s">
        <v>615</v>
      </c>
      <c r="C7217" s="1">
        <v>43300101</v>
      </c>
      <c r="D7217" t="s">
        <v>67</v>
      </c>
      <c r="H7217" t="str">
        <f t="shared" si="705"/>
        <v>07123400157</v>
      </c>
      <c r="I7217" t="str">
        <f t="shared" si="706"/>
        <v>00847380961</v>
      </c>
      <c r="K7217" t="str">
        <f>""</f>
        <v/>
      </c>
      <c r="M7217" t="s">
        <v>68</v>
      </c>
      <c r="N7217" t="str">
        <f t="shared" si="707"/>
        <v>FOR</v>
      </c>
      <c r="O7217" t="s">
        <v>69</v>
      </c>
      <c r="P7217" s="3" t="s">
        <v>75</v>
      </c>
      <c r="Q7217">
        <v>2015</v>
      </c>
      <c r="R7217" s="2">
        <v>42202</v>
      </c>
      <c r="S7217" s="2">
        <v>42209</v>
      </c>
      <c r="T7217" s="2">
        <v>42207</v>
      </c>
      <c r="U7217" s="2">
        <v>42267</v>
      </c>
      <c r="V7217" t="s">
        <v>71</v>
      </c>
      <c r="W7217" t="str">
        <f>"            15022157"</f>
        <v xml:space="preserve">            15022157</v>
      </c>
      <c r="X7217" s="1">
        <v>3565.45</v>
      </c>
      <c r="Y7217">
        <v>0</v>
      </c>
      <c r="Z7217"/>
      <c r="AB7217"/>
      <c r="AC7217" s="1">
        <v>2922.5</v>
      </c>
      <c r="AD7217">
        <v>261</v>
      </c>
      <c r="AE7217" s="1">
        <v>762772.5</v>
      </c>
      <c r="AF7217">
        <v>0</v>
      </c>
      <c r="AJ7217">
        <v>0</v>
      </c>
      <c r="AK7217">
        <v>0</v>
      </c>
      <c r="AL7217">
        <v>0</v>
      </c>
      <c r="AM7217">
        <v>0</v>
      </c>
      <c r="AN7217">
        <v>0</v>
      </c>
      <c r="AO7217">
        <v>0</v>
      </c>
      <c r="AP7217" s="2">
        <v>42746</v>
      </c>
      <c r="AQ7217" t="s">
        <v>72</v>
      </c>
      <c r="AR7217" t="s">
        <v>72</v>
      </c>
      <c r="AS7217">
        <v>1554</v>
      </c>
      <c r="AT7217" s="4">
        <v>42528</v>
      </c>
      <c r="AU7217" t="s">
        <v>73</v>
      </c>
      <c r="AV7217">
        <v>1554</v>
      </c>
      <c r="AW7217" s="4">
        <v>42528</v>
      </c>
      <c r="BD7217">
        <v>0</v>
      </c>
      <c r="BN7217" t="s">
        <v>74</v>
      </c>
    </row>
    <row r="7218" spans="1:66" hidden="1">
      <c r="A7218">
        <v>104129</v>
      </c>
      <c r="B7218" s="3" t="s">
        <v>615</v>
      </c>
      <c r="C7218" s="1">
        <v>43300101</v>
      </c>
      <c r="D7218" t="s">
        <v>67</v>
      </c>
      <c r="H7218" t="str">
        <f t="shared" si="705"/>
        <v>07123400157</v>
      </c>
      <c r="I7218" t="str">
        <f t="shared" si="706"/>
        <v>00847380961</v>
      </c>
      <c r="K7218" t="str">
        <f>""</f>
        <v/>
      </c>
      <c r="M7218" t="s">
        <v>68</v>
      </c>
      <c r="N7218" t="str">
        <f t="shared" si="707"/>
        <v>FOR</v>
      </c>
      <c r="O7218" t="s">
        <v>69</v>
      </c>
      <c r="P7218" s="3" t="s">
        <v>75</v>
      </c>
      <c r="Q7218">
        <v>2015</v>
      </c>
      <c r="R7218" s="2">
        <v>42206</v>
      </c>
      <c r="S7218" s="2">
        <v>42212</v>
      </c>
      <c r="T7218" s="2">
        <v>42211</v>
      </c>
      <c r="U7218" s="2">
        <v>42271</v>
      </c>
      <c r="V7218" t="s">
        <v>71</v>
      </c>
      <c r="W7218" t="str">
        <f>"            15022481"</f>
        <v xml:space="preserve">            15022481</v>
      </c>
      <c r="X7218" s="1">
        <v>1580.8</v>
      </c>
      <c r="Y7218">
        <v>0</v>
      </c>
      <c r="Z7218"/>
      <c r="AB7218"/>
      <c r="AC7218" s="1">
        <v>1520</v>
      </c>
      <c r="AD7218">
        <v>257</v>
      </c>
      <c r="AE7218" s="1">
        <v>390640</v>
      </c>
      <c r="AF7218">
        <v>0</v>
      </c>
      <c r="AJ7218">
        <v>0</v>
      </c>
      <c r="AK7218">
        <v>0</v>
      </c>
      <c r="AL7218">
        <v>0</v>
      </c>
      <c r="AM7218">
        <v>0</v>
      </c>
      <c r="AN7218">
        <v>0</v>
      </c>
      <c r="AO7218">
        <v>0</v>
      </c>
      <c r="AP7218" s="2">
        <v>42746</v>
      </c>
      <c r="AQ7218" t="s">
        <v>72</v>
      </c>
      <c r="AR7218" t="s">
        <v>72</v>
      </c>
      <c r="AS7218">
        <v>1554</v>
      </c>
      <c r="AT7218" s="4">
        <v>42528</v>
      </c>
      <c r="AU7218" t="s">
        <v>73</v>
      </c>
      <c r="AV7218">
        <v>1554</v>
      </c>
      <c r="AW7218" s="4">
        <v>42528</v>
      </c>
      <c r="BD7218">
        <v>0</v>
      </c>
      <c r="BN7218" t="s">
        <v>74</v>
      </c>
    </row>
    <row r="7219" spans="1:66" hidden="1">
      <c r="A7219">
        <v>104129</v>
      </c>
      <c r="B7219" s="3" t="s">
        <v>615</v>
      </c>
      <c r="C7219" s="1">
        <v>43300101</v>
      </c>
      <c r="D7219" t="s">
        <v>67</v>
      </c>
      <c r="H7219" t="str">
        <f t="shared" si="705"/>
        <v>07123400157</v>
      </c>
      <c r="I7219" t="str">
        <f t="shared" si="706"/>
        <v>00847380961</v>
      </c>
      <c r="K7219" t="str">
        <f>""</f>
        <v/>
      </c>
      <c r="M7219" t="s">
        <v>68</v>
      </c>
      <c r="N7219" t="str">
        <f t="shared" si="707"/>
        <v>FOR</v>
      </c>
      <c r="O7219" t="s">
        <v>69</v>
      </c>
      <c r="P7219" s="3" t="s">
        <v>75</v>
      </c>
      <c r="Q7219">
        <v>2015</v>
      </c>
      <c r="R7219" s="2">
        <v>42207</v>
      </c>
      <c r="S7219" s="2">
        <v>42212</v>
      </c>
      <c r="T7219" s="2">
        <v>42211</v>
      </c>
      <c r="U7219" s="2">
        <v>42271</v>
      </c>
      <c r="V7219" t="s">
        <v>71</v>
      </c>
      <c r="W7219" t="str">
        <f>"            15022624"</f>
        <v xml:space="preserve">            15022624</v>
      </c>
      <c r="X7219" s="1">
        <v>1580.8</v>
      </c>
      <c r="Y7219">
        <v>0</v>
      </c>
      <c r="Z7219"/>
      <c r="AB7219"/>
      <c r="AC7219" s="1">
        <v>1520</v>
      </c>
      <c r="AD7219">
        <v>257</v>
      </c>
      <c r="AE7219" s="1">
        <v>390640</v>
      </c>
      <c r="AF7219">
        <v>0</v>
      </c>
      <c r="AJ7219">
        <v>0</v>
      </c>
      <c r="AK7219">
        <v>0</v>
      </c>
      <c r="AL7219">
        <v>0</v>
      </c>
      <c r="AM7219">
        <v>0</v>
      </c>
      <c r="AN7219">
        <v>0</v>
      </c>
      <c r="AO7219">
        <v>0</v>
      </c>
      <c r="AP7219" s="2">
        <v>42746</v>
      </c>
      <c r="AQ7219" t="s">
        <v>72</v>
      </c>
      <c r="AR7219" t="s">
        <v>72</v>
      </c>
      <c r="AS7219">
        <v>1554</v>
      </c>
      <c r="AT7219" s="4">
        <v>42528</v>
      </c>
      <c r="AU7219" t="s">
        <v>73</v>
      </c>
      <c r="AV7219">
        <v>1554</v>
      </c>
      <c r="AW7219" s="4">
        <v>42528</v>
      </c>
      <c r="BD7219">
        <v>0</v>
      </c>
      <c r="BN7219" t="s">
        <v>74</v>
      </c>
    </row>
    <row r="7220" spans="1:66" hidden="1">
      <c r="A7220">
        <v>104129</v>
      </c>
      <c r="B7220" s="3" t="s">
        <v>615</v>
      </c>
      <c r="C7220" s="1">
        <v>43300101</v>
      </c>
      <c r="D7220" t="s">
        <v>67</v>
      </c>
      <c r="H7220" t="str">
        <f t="shared" si="705"/>
        <v>07123400157</v>
      </c>
      <c r="I7220" t="str">
        <f t="shared" si="706"/>
        <v>00847380961</v>
      </c>
      <c r="K7220" t="str">
        <f>""</f>
        <v/>
      </c>
      <c r="M7220" t="s">
        <v>68</v>
      </c>
      <c r="N7220" t="str">
        <f t="shared" si="707"/>
        <v>FOR</v>
      </c>
      <c r="O7220" t="s">
        <v>69</v>
      </c>
      <c r="P7220" s="3" t="s">
        <v>75</v>
      </c>
      <c r="Q7220">
        <v>2015</v>
      </c>
      <c r="R7220" s="2">
        <v>42213</v>
      </c>
      <c r="S7220" s="2">
        <v>42216</v>
      </c>
      <c r="T7220" s="2">
        <v>42216</v>
      </c>
      <c r="U7220" s="2">
        <v>42276</v>
      </c>
      <c r="V7220" t="s">
        <v>71</v>
      </c>
      <c r="W7220" t="str">
        <f>"            15023275"</f>
        <v xml:space="preserve">            15023275</v>
      </c>
      <c r="X7220" s="1">
        <v>3161.6</v>
      </c>
      <c r="Y7220">
        <v>0</v>
      </c>
      <c r="Z7220"/>
      <c r="AB7220"/>
      <c r="AC7220" s="1">
        <v>3040</v>
      </c>
      <c r="AD7220">
        <v>252</v>
      </c>
      <c r="AE7220" s="1">
        <v>766080</v>
      </c>
      <c r="AF7220">
        <v>0</v>
      </c>
      <c r="AJ7220">
        <v>0</v>
      </c>
      <c r="AK7220">
        <v>0</v>
      </c>
      <c r="AL7220">
        <v>0</v>
      </c>
      <c r="AM7220">
        <v>0</v>
      </c>
      <c r="AN7220">
        <v>0</v>
      </c>
      <c r="AO7220">
        <v>0</v>
      </c>
      <c r="AP7220" s="2">
        <v>42746</v>
      </c>
      <c r="AQ7220" t="s">
        <v>72</v>
      </c>
      <c r="AR7220" t="s">
        <v>72</v>
      </c>
      <c r="AS7220">
        <v>1554</v>
      </c>
      <c r="AT7220" s="4">
        <v>42528</v>
      </c>
      <c r="AU7220" t="s">
        <v>73</v>
      </c>
      <c r="AV7220">
        <v>1554</v>
      </c>
      <c r="AW7220" s="4">
        <v>42528</v>
      </c>
      <c r="BD7220">
        <v>0</v>
      </c>
      <c r="BN7220" t="s">
        <v>74</v>
      </c>
    </row>
    <row r="7221" spans="1:66" hidden="1">
      <c r="A7221">
        <v>104129</v>
      </c>
      <c r="B7221" s="3" t="s">
        <v>615</v>
      </c>
      <c r="C7221" s="1">
        <v>43300101</v>
      </c>
      <c r="D7221" t="s">
        <v>67</v>
      </c>
      <c r="H7221" t="str">
        <f t="shared" si="705"/>
        <v>07123400157</v>
      </c>
      <c r="I7221" t="str">
        <f t="shared" si="706"/>
        <v>00847380961</v>
      </c>
      <c r="K7221" t="str">
        <f>""</f>
        <v/>
      </c>
      <c r="M7221" t="s">
        <v>68</v>
      </c>
      <c r="N7221" t="str">
        <f t="shared" si="707"/>
        <v>FOR</v>
      </c>
      <c r="O7221" t="s">
        <v>69</v>
      </c>
      <c r="P7221" s="3" t="s">
        <v>75</v>
      </c>
      <c r="Q7221">
        <v>2015</v>
      </c>
      <c r="R7221" s="2">
        <v>42213</v>
      </c>
      <c r="S7221" s="2">
        <v>42216</v>
      </c>
      <c r="T7221" s="2">
        <v>42216</v>
      </c>
      <c r="U7221" s="2">
        <v>42276</v>
      </c>
      <c r="V7221" t="s">
        <v>71</v>
      </c>
      <c r="W7221" t="str">
        <f>"            15023276"</f>
        <v xml:space="preserve">            15023276</v>
      </c>
      <c r="X7221" s="1">
        <v>2644.35</v>
      </c>
      <c r="Y7221">
        <v>0</v>
      </c>
      <c r="Z7221"/>
      <c r="AB7221"/>
      <c r="AC7221" s="1">
        <v>2167.5</v>
      </c>
      <c r="AD7221">
        <v>252</v>
      </c>
      <c r="AE7221" s="1">
        <v>546210</v>
      </c>
      <c r="AF7221">
        <v>0</v>
      </c>
      <c r="AJ7221">
        <v>0</v>
      </c>
      <c r="AK7221">
        <v>0</v>
      </c>
      <c r="AL7221">
        <v>0</v>
      </c>
      <c r="AM7221">
        <v>0</v>
      </c>
      <c r="AN7221">
        <v>0</v>
      </c>
      <c r="AO7221">
        <v>0</v>
      </c>
      <c r="AP7221" s="2">
        <v>42746</v>
      </c>
      <c r="AQ7221" t="s">
        <v>72</v>
      </c>
      <c r="AR7221" t="s">
        <v>72</v>
      </c>
      <c r="AS7221">
        <v>1554</v>
      </c>
      <c r="AT7221" s="4">
        <v>42528</v>
      </c>
      <c r="AU7221" t="s">
        <v>73</v>
      </c>
      <c r="AV7221">
        <v>1554</v>
      </c>
      <c r="AW7221" s="4">
        <v>42528</v>
      </c>
      <c r="BD7221">
        <v>0</v>
      </c>
      <c r="BN7221" t="s">
        <v>74</v>
      </c>
    </row>
    <row r="7222" spans="1:66" hidden="1">
      <c r="A7222">
        <v>104129</v>
      </c>
      <c r="B7222" s="3" t="s">
        <v>615</v>
      </c>
      <c r="C7222" s="1">
        <v>43300101</v>
      </c>
      <c r="D7222" t="s">
        <v>67</v>
      </c>
      <c r="H7222" t="str">
        <f t="shared" si="705"/>
        <v>07123400157</v>
      </c>
      <c r="I7222" t="str">
        <f t="shared" si="706"/>
        <v>00847380961</v>
      </c>
      <c r="K7222" t="str">
        <f>""</f>
        <v/>
      </c>
      <c r="M7222" t="s">
        <v>68</v>
      </c>
      <c r="N7222" t="str">
        <f t="shared" si="707"/>
        <v>FOR</v>
      </c>
      <c r="O7222" t="s">
        <v>69</v>
      </c>
      <c r="P7222" s="3" t="s">
        <v>75</v>
      </c>
      <c r="Q7222">
        <v>2015</v>
      </c>
      <c r="R7222" s="2">
        <v>42214</v>
      </c>
      <c r="S7222" s="2">
        <v>42216</v>
      </c>
      <c r="T7222" s="2">
        <v>42216</v>
      </c>
      <c r="U7222" s="2">
        <v>42276</v>
      </c>
      <c r="V7222" t="s">
        <v>71</v>
      </c>
      <c r="W7222" t="str">
        <f>"            15023471"</f>
        <v xml:space="preserve">            15023471</v>
      </c>
      <c r="X7222" s="1">
        <v>1580.8</v>
      </c>
      <c r="Y7222">
        <v>0</v>
      </c>
      <c r="Z7222"/>
      <c r="AB7222"/>
      <c r="AC7222" s="1">
        <v>1520</v>
      </c>
      <c r="AD7222">
        <v>252</v>
      </c>
      <c r="AE7222" s="1">
        <v>383040</v>
      </c>
      <c r="AF7222">
        <v>0</v>
      </c>
      <c r="AJ7222">
        <v>0</v>
      </c>
      <c r="AK7222">
        <v>0</v>
      </c>
      <c r="AL7222">
        <v>0</v>
      </c>
      <c r="AM7222">
        <v>0</v>
      </c>
      <c r="AN7222">
        <v>0</v>
      </c>
      <c r="AO7222">
        <v>0</v>
      </c>
      <c r="AP7222" s="2">
        <v>42746</v>
      </c>
      <c r="AQ7222" t="s">
        <v>72</v>
      </c>
      <c r="AR7222" t="s">
        <v>72</v>
      </c>
      <c r="AS7222">
        <v>1554</v>
      </c>
      <c r="AT7222" s="4">
        <v>42528</v>
      </c>
      <c r="AU7222" t="s">
        <v>73</v>
      </c>
      <c r="AV7222">
        <v>1554</v>
      </c>
      <c r="AW7222" s="4">
        <v>42528</v>
      </c>
      <c r="BD7222">
        <v>0</v>
      </c>
      <c r="BN7222" t="s">
        <v>74</v>
      </c>
    </row>
    <row r="7223" spans="1:66" hidden="1">
      <c r="A7223">
        <v>104129</v>
      </c>
      <c r="B7223" s="3" t="s">
        <v>615</v>
      </c>
      <c r="C7223" s="1">
        <v>43300101</v>
      </c>
      <c r="D7223" t="s">
        <v>67</v>
      </c>
      <c r="H7223" t="str">
        <f t="shared" si="705"/>
        <v>07123400157</v>
      </c>
      <c r="I7223" t="str">
        <f t="shared" si="706"/>
        <v>00847380961</v>
      </c>
      <c r="K7223" t="str">
        <f>""</f>
        <v/>
      </c>
      <c r="M7223" t="s">
        <v>68</v>
      </c>
      <c r="N7223" t="str">
        <f t="shared" si="707"/>
        <v>FOR</v>
      </c>
      <c r="O7223" t="s">
        <v>69</v>
      </c>
      <c r="P7223" s="3" t="s">
        <v>75</v>
      </c>
      <c r="Q7223">
        <v>2015</v>
      </c>
      <c r="R7223" s="2">
        <v>42216</v>
      </c>
      <c r="S7223" s="2">
        <v>42223</v>
      </c>
      <c r="T7223" s="2">
        <v>42222</v>
      </c>
      <c r="U7223" s="2">
        <v>42282</v>
      </c>
      <c r="V7223" t="s">
        <v>71</v>
      </c>
      <c r="W7223" t="str">
        <f>"            15023835"</f>
        <v xml:space="preserve">            15023835</v>
      </c>
      <c r="X7223">
        <v>881.45</v>
      </c>
      <c r="Y7223">
        <v>0</v>
      </c>
      <c r="Z7223"/>
      <c r="AB7223"/>
      <c r="AC7223">
        <v>722.5</v>
      </c>
      <c r="AD7223">
        <v>246</v>
      </c>
      <c r="AE7223" s="1">
        <v>177735</v>
      </c>
      <c r="AF7223">
        <v>0</v>
      </c>
      <c r="AJ7223">
        <v>0</v>
      </c>
      <c r="AK7223">
        <v>0</v>
      </c>
      <c r="AL7223">
        <v>0</v>
      </c>
      <c r="AM7223">
        <v>0</v>
      </c>
      <c r="AN7223">
        <v>0</v>
      </c>
      <c r="AO7223">
        <v>0</v>
      </c>
      <c r="AP7223" s="2">
        <v>42746</v>
      </c>
      <c r="AQ7223" t="s">
        <v>72</v>
      </c>
      <c r="AR7223" t="s">
        <v>72</v>
      </c>
      <c r="AS7223">
        <v>1554</v>
      </c>
      <c r="AT7223" s="4">
        <v>42528</v>
      </c>
      <c r="AU7223" t="s">
        <v>73</v>
      </c>
      <c r="AV7223">
        <v>1554</v>
      </c>
      <c r="AW7223" s="4">
        <v>42528</v>
      </c>
      <c r="BD7223">
        <v>0</v>
      </c>
      <c r="BN7223" t="s">
        <v>74</v>
      </c>
    </row>
    <row r="7224" spans="1:66" hidden="1">
      <c r="A7224">
        <v>104129</v>
      </c>
      <c r="B7224" s="3" t="s">
        <v>615</v>
      </c>
      <c r="C7224" s="1">
        <v>43300101</v>
      </c>
      <c r="D7224" t="s">
        <v>67</v>
      </c>
      <c r="H7224" t="str">
        <f t="shared" si="705"/>
        <v>07123400157</v>
      </c>
      <c r="I7224" t="str">
        <f t="shared" si="706"/>
        <v>00847380961</v>
      </c>
      <c r="K7224" t="str">
        <f>""</f>
        <v/>
      </c>
      <c r="M7224" t="s">
        <v>68</v>
      </c>
      <c r="N7224" t="str">
        <f t="shared" si="707"/>
        <v>FOR</v>
      </c>
      <c r="O7224" t="s">
        <v>69</v>
      </c>
      <c r="P7224" s="3" t="s">
        <v>75</v>
      </c>
      <c r="Q7224">
        <v>2015</v>
      </c>
      <c r="R7224" s="2">
        <v>42219</v>
      </c>
      <c r="S7224" s="2">
        <v>42229</v>
      </c>
      <c r="T7224" s="2">
        <v>42226</v>
      </c>
      <c r="U7224" s="2">
        <v>42286</v>
      </c>
      <c r="V7224" t="s">
        <v>71</v>
      </c>
      <c r="W7224" t="str">
        <f>"            15024004"</f>
        <v xml:space="preserve">            15024004</v>
      </c>
      <c r="X7224" s="1">
        <v>1383.2</v>
      </c>
      <c r="Y7224">
        <v>0</v>
      </c>
      <c r="Z7224"/>
      <c r="AB7224"/>
      <c r="AC7224" s="1">
        <v>1330</v>
      </c>
      <c r="AD7224">
        <v>293</v>
      </c>
      <c r="AE7224" s="1">
        <v>389690</v>
      </c>
      <c r="AF7224">
        <v>0</v>
      </c>
      <c r="AJ7224">
        <v>0</v>
      </c>
      <c r="AK7224">
        <v>0</v>
      </c>
      <c r="AL7224">
        <v>0</v>
      </c>
      <c r="AM7224">
        <v>0</v>
      </c>
      <c r="AN7224">
        <v>0</v>
      </c>
      <c r="AO7224">
        <v>0</v>
      </c>
      <c r="AP7224" s="2">
        <v>42746</v>
      </c>
      <c r="AQ7224" t="s">
        <v>72</v>
      </c>
      <c r="AR7224" t="s">
        <v>72</v>
      </c>
      <c r="AS7224">
        <v>2012</v>
      </c>
      <c r="AT7224" s="4">
        <v>42579</v>
      </c>
      <c r="AU7224" t="s">
        <v>73</v>
      </c>
      <c r="AV7224">
        <v>2012</v>
      </c>
      <c r="AW7224" s="4">
        <v>42579</v>
      </c>
      <c r="BD7224">
        <v>0</v>
      </c>
      <c r="BN7224" t="s">
        <v>74</v>
      </c>
    </row>
    <row r="7225" spans="1:66" hidden="1">
      <c r="A7225">
        <v>104129</v>
      </c>
      <c r="B7225" s="3" t="s">
        <v>615</v>
      </c>
      <c r="C7225" s="1">
        <v>43300101</v>
      </c>
      <c r="D7225" t="s">
        <v>67</v>
      </c>
      <c r="H7225" t="str">
        <f t="shared" si="705"/>
        <v>07123400157</v>
      </c>
      <c r="I7225" t="str">
        <f t="shared" si="706"/>
        <v>00847380961</v>
      </c>
      <c r="K7225" t="str">
        <f>""</f>
        <v/>
      </c>
      <c r="M7225" t="s">
        <v>68</v>
      </c>
      <c r="N7225" t="str">
        <f t="shared" si="707"/>
        <v>FOR</v>
      </c>
      <c r="O7225" t="s">
        <v>69</v>
      </c>
      <c r="P7225" s="3" t="s">
        <v>75</v>
      </c>
      <c r="Q7225">
        <v>2015</v>
      </c>
      <c r="R7225" s="2">
        <v>42220</v>
      </c>
      <c r="S7225" s="2">
        <v>42229</v>
      </c>
      <c r="T7225" s="2">
        <v>42226</v>
      </c>
      <c r="U7225" s="2">
        <v>42286</v>
      </c>
      <c r="V7225" t="s">
        <v>71</v>
      </c>
      <c r="W7225" t="str">
        <f>"            15024166"</f>
        <v xml:space="preserve">            15024166</v>
      </c>
      <c r="X7225" s="1">
        <v>1580.8</v>
      </c>
      <c r="Y7225">
        <v>0</v>
      </c>
      <c r="Z7225"/>
      <c r="AB7225"/>
      <c r="AC7225" s="1">
        <v>1520</v>
      </c>
      <c r="AD7225">
        <v>293</v>
      </c>
      <c r="AE7225" s="1">
        <v>445360</v>
      </c>
      <c r="AF7225">
        <v>0</v>
      </c>
      <c r="AJ7225">
        <v>0</v>
      </c>
      <c r="AK7225">
        <v>0</v>
      </c>
      <c r="AL7225">
        <v>0</v>
      </c>
      <c r="AM7225">
        <v>0</v>
      </c>
      <c r="AN7225">
        <v>0</v>
      </c>
      <c r="AO7225">
        <v>0</v>
      </c>
      <c r="AP7225" s="2">
        <v>42746</v>
      </c>
      <c r="AQ7225" t="s">
        <v>72</v>
      </c>
      <c r="AR7225" t="s">
        <v>72</v>
      </c>
      <c r="AS7225">
        <v>2012</v>
      </c>
      <c r="AT7225" s="4">
        <v>42579</v>
      </c>
      <c r="AU7225" t="s">
        <v>73</v>
      </c>
      <c r="AV7225">
        <v>2012</v>
      </c>
      <c r="AW7225" s="4">
        <v>42579</v>
      </c>
      <c r="BD7225">
        <v>0</v>
      </c>
      <c r="BN7225" t="s">
        <v>74</v>
      </c>
    </row>
    <row r="7226" spans="1:66" hidden="1">
      <c r="A7226">
        <v>104129</v>
      </c>
      <c r="B7226" s="3" t="s">
        <v>615</v>
      </c>
      <c r="C7226" s="1">
        <v>43300101</v>
      </c>
      <c r="D7226" t="s">
        <v>67</v>
      </c>
      <c r="H7226" t="str">
        <f t="shared" si="705"/>
        <v>07123400157</v>
      </c>
      <c r="I7226" t="str">
        <f t="shared" si="706"/>
        <v>00847380961</v>
      </c>
      <c r="K7226" t="str">
        <f>""</f>
        <v/>
      </c>
      <c r="M7226" t="s">
        <v>68</v>
      </c>
      <c r="N7226" t="str">
        <f t="shared" si="707"/>
        <v>FOR</v>
      </c>
      <c r="O7226" t="s">
        <v>69</v>
      </c>
      <c r="P7226" s="3" t="s">
        <v>75</v>
      </c>
      <c r="Q7226">
        <v>2015</v>
      </c>
      <c r="R7226" s="2">
        <v>42254</v>
      </c>
      <c r="S7226" s="2">
        <v>42268</v>
      </c>
      <c r="T7226" s="2">
        <v>42265</v>
      </c>
      <c r="U7226" s="2">
        <v>42325</v>
      </c>
      <c r="V7226" t="s">
        <v>71</v>
      </c>
      <c r="W7226" t="str">
        <f>"            15026940"</f>
        <v xml:space="preserve">            15026940</v>
      </c>
      <c r="X7226" s="1">
        <v>1647</v>
      </c>
      <c r="Y7226">
        <v>0</v>
      </c>
      <c r="Z7226"/>
      <c r="AB7226"/>
      <c r="AC7226" s="1">
        <v>1350</v>
      </c>
      <c r="AD7226">
        <v>296</v>
      </c>
      <c r="AE7226" s="1">
        <v>399600</v>
      </c>
      <c r="AF7226">
        <v>0</v>
      </c>
      <c r="AJ7226">
        <v>0</v>
      </c>
      <c r="AK7226">
        <v>0</v>
      </c>
      <c r="AL7226">
        <v>0</v>
      </c>
      <c r="AM7226">
        <v>0</v>
      </c>
      <c r="AN7226">
        <v>0</v>
      </c>
      <c r="AO7226">
        <v>0</v>
      </c>
      <c r="AP7226" s="2">
        <v>42746</v>
      </c>
      <c r="AQ7226" t="s">
        <v>72</v>
      </c>
      <c r="AR7226" t="s">
        <v>72</v>
      </c>
      <c r="AS7226">
        <v>2385</v>
      </c>
      <c r="AT7226" s="4">
        <v>42621</v>
      </c>
      <c r="AU7226" t="s">
        <v>73</v>
      </c>
      <c r="AV7226">
        <v>2385</v>
      </c>
      <c r="AW7226" s="4">
        <v>42621</v>
      </c>
      <c r="BD7226">
        <v>0</v>
      </c>
      <c r="BN7226" t="s">
        <v>74</v>
      </c>
    </row>
    <row r="7227" spans="1:66" hidden="1">
      <c r="A7227">
        <v>104129</v>
      </c>
      <c r="B7227" s="3" t="s">
        <v>615</v>
      </c>
      <c r="C7227" s="1">
        <v>43300101</v>
      </c>
      <c r="D7227" t="s">
        <v>67</v>
      </c>
      <c r="H7227" t="str">
        <f t="shared" si="705"/>
        <v>07123400157</v>
      </c>
      <c r="I7227" t="str">
        <f t="shared" si="706"/>
        <v>00847380961</v>
      </c>
      <c r="K7227" t="str">
        <f>""</f>
        <v/>
      </c>
      <c r="M7227" t="s">
        <v>68</v>
      </c>
      <c r="N7227" t="str">
        <f t="shared" si="707"/>
        <v>FOR</v>
      </c>
      <c r="O7227" t="s">
        <v>69</v>
      </c>
      <c r="P7227" s="3" t="s">
        <v>75</v>
      </c>
      <c r="Q7227">
        <v>2015</v>
      </c>
      <c r="R7227" s="2">
        <v>42255</v>
      </c>
      <c r="S7227" s="2">
        <v>42268</v>
      </c>
      <c r="T7227" s="2">
        <v>42265</v>
      </c>
      <c r="U7227" s="2">
        <v>42325</v>
      </c>
      <c r="V7227" t="s">
        <v>71</v>
      </c>
      <c r="W7227" t="str">
        <f>"            15027110"</f>
        <v xml:space="preserve">            15027110</v>
      </c>
      <c r="X7227">
        <v>988</v>
      </c>
      <c r="Y7227">
        <v>0</v>
      </c>
      <c r="Z7227"/>
      <c r="AB7227"/>
      <c r="AC7227">
        <v>950</v>
      </c>
      <c r="AD7227">
        <v>296</v>
      </c>
      <c r="AE7227" s="1">
        <v>281200</v>
      </c>
      <c r="AF7227">
        <v>0</v>
      </c>
      <c r="AJ7227">
        <v>0</v>
      </c>
      <c r="AK7227">
        <v>0</v>
      </c>
      <c r="AL7227">
        <v>0</v>
      </c>
      <c r="AM7227">
        <v>0</v>
      </c>
      <c r="AN7227">
        <v>0</v>
      </c>
      <c r="AO7227">
        <v>0</v>
      </c>
      <c r="AP7227" s="2">
        <v>42746</v>
      </c>
      <c r="AQ7227" t="s">
        <v>72</v>
      </c>
      <c r="AR7227" t="s">
        <v>72</v>
      </c>
      <c r="AS7227">
        <v>2385</v>
      </c>
      <c r="AT7227" s="4">
        <v>42621</v>
      </c>
      <c r="AU7227" t="s">
        <v>73</v>
      </c>
      <c r="AV7227">
        <v>2385</v>
      </c>
      <c r="AW7227" s="4">
        <v>42621</v>
      </c>
      <c r="BD7227">
        <v>0</v>
      </c>
      <c r="BN7227" t="s">
        <v>74</v>
      </c>
    </row>
    <row r="7228" spans="1:66" hidden="1">
      <c r="A7228">
        <v>104129</v>
      </c>
      <c r="B7228" s="3" t="s">
        <v>615</v>
      </c>
      <c r="C7228" s="1">
        <v>43300101</v>
      </c>
      <c r="D7228" t="s">
        <v>67</v>
      </c>
      <c r="H7228" t="str">
        <f t="shared" ref="H7228:H7248" si="708">"07123400157"</f>
        <v>07123400157</v>
      </c>
      <c r="I7228" t="str">
        <f t="shared" ref="I7228:I7248" si="709">"00847380961"</f>
        <v>00847380961</v>
      </c>
      <c r="K7228" t="str">
        <f>""</f>
        <v/>
      </c>
      <c r="M7228" t="s">
        <v>68</v>
      </c>
      <c r="N7228" t="str">
        <f t="shared" ref="N7228:N7259" si="710">"FOR"</f>
        <v>FOR</v>
      </c>
      <c r="O7228" t="s">
        <v>69</v>
      </c>
      <c r="P7228" s="3" t="s">
        <v>75</v>
      </c>
      <c r="Q7228">
        <v>2015</v>
      </c>
      <c r="R7228" s="2">
        <v>42268</v>
      </c>
      <c r="S7228" s="2">
        <v>42277</v>
      </c>
      <c r="T7228" s="2">
        <v>42277</v>
      </c>
      <c r="U7228" s="2">
        <v>42337</v>
      </c>
      <c r="V7228" t="s">
        <v>71</v>
      </c>
      <c r="W7228" t="str">
        <f>"            15028277"</f>
        <v xml:space="preserve">            15028277</v>
      </c>
      <c r="X7228" s="1">
        <v>2288</v>
      </c>
      <c r="Y7228">
        <v>0</v>
      </c>
      <c r="Z7228"/>
      <c r="AB7228"/>
      <c r="AC7228" s="1">
        <v>2200</v>
      </c>
      <c r="AD7228">
        <v>284</v>
      </c>
      <c r="AE7228" s="1">
        <v>624800</v>
      </c>
      <c r="AF7228">
        <v>0</v>
      </c>
      <c r="AJ7228">
        <v>0</v>
      </c>
      <c r="AK7228">
        <v>0</v>
      </c>
      <c r="AL7228">
        <v>0</v>
      </c>
      <c r="AM7228">
        <v>0</v>
      </c>
      <c r="AN7228">
        <v>0</v>
      </c>
      <c r="AO7228">
        <v>0</v>
      </c>
      <c r="AP7228" s="2">
        <v>42746</v>
      </c>
      <c r="AQ7228" t="s">
        <v>72</v>
      </c>
      <c r="AR7228" t="s">
        <v>72</v>
      </c>
      <c r="AS7228">
        <v>2385</v>
      </c>
      <c r="AT7228" s="4">
        <v>42621</v>
      </c>
      <c r="AU7228" t="s">
        <v>73</v>
      </c>
      <c r="AV7228">
        <v>2385</v>
      </c>
      <c r="AW7228" s="4">
        <v>42621</v>
      </c>
      <c r="BD7228">
        <v>0</v>
      </c>
      <c r="BN7228" t="s">
        <v>74</v>
      </c>
    </row>
    <row r="7229" spans="1:66">
      <c r="A7229">
        <v>104129</v>
      </c>
      <c r="B7229" s="3" t="s">
        <v>615</v>
      </c>
      <c r="C7229" s="1">
        <v>43300101</v>
      </c>
      <c r="D7229" t="s">
        <v>67</v>
      </c>
      <c r="H7229" t="str">
        <f t="shared" si="708"/>
        <v>07123400157</v>
      </c>
      <c r="I7229" t="str">
        <f t="shared" si="709"/>
        <v>00847380961</v>
      </c>
      <c r="K7229" t="str">
        <f>""</f>
        <v/>
      </c>
      <c r="M7229" t="s">
        <v>68</v>
      </c>
      <c r="N7229" t="str">
        <f t="shared" si="710"/>
        <v>FOR</v>
      </c>
      <c r="O7229" t="s">
        <v>69</v>
      </c>
      <c r="P7229" s="3" t="s">
        <v>75</v>
      </c>
      <c r="Q7229">
        <v>2015</v>
      </c>
      <c r="R7229" s="2">
        <v>42293</v>
      </c>
      <c r="S7229" s="2">
        <v>42298</v>
      </c>
      <c r="T7229" s="2">
        <v>42296</v>
      </c>
      <c r="U7229" s="2">
        <v>42356</v>
      </c>
      <c r="V7229" t="s">
        <v>71</v>
      </c>
      <c r="W7229" t="str">
        <f>"            15031243"</f>
        <v xml:space="preserve">            15031243</v>
      </c>
      <c r="X7229">
        <v>549</v>
      </c>
      <c r="Y7229">
        <v>0</v>
      </c>
      <c r="Z7229" s="3">
        <v>450</v>
      </c>
      <c r="AA7229">
        <v>292</v>
      </c>
      <c r="AB7229" s="5">
        <v>131400</v>
      </c>
      <c r="AC7229">
        <v>450</v>
      </c>
      <c r="AD7229">
        <v>292</v>
      </c>
      <c r="AE7229" s="1">
        <v>131400</v>
      </c>
      <c r="AF7229">
        <v>0</v>
      </c>
      <c r="AJ7229">
        <v>0</v>
      </c>
      <c r="AK7229">
        <v>0</v>
      </c>
      <c r="AL7229">
        <v>0</v>
      </c>
      <c r="AM7229">
        <v>0</v>
      </c>
      <c r="AN7229">
        <v>0</v>
      </c>
      <c r="AO7229">
        <v>0</v>
      </c>
      <c r="AP7229" s="2">
        <v>42746</v>
      </c>
      <c r="AQ7229" t="s">
        <v>72</v>
      </c>
      <c r="AR7229" t="s">
        <v>72</v>
      </c>
      <c r="AS7229">
        <v>2699</v>
      </c>
      <c r="AT7229" s="4">
        <v>42648</v>
      </c>
      <c r="AU7229" t="s">
        <v>73</v>
      </c>
      <c r="AV7229">
        <v>2699</v>
      </c>
      <c r="AW7229" s="4">
        <v>42648</v>
      </c>
      <c r="BD7229">
        <v>0</v>
      </c>
      <c r="BN7229" t="s">
        <v>74</v>
      </c>
    </row>
    <row r="7230" spans="1:66">
      <c r="A7230">
        <v>104129</v>
      </c>
      <c r="B7230" s="3" t="s">
        <v>615</v>
      </c>
      <c r="C7230" s="1">
        <v>43300101</v>
      </c>
      <c r="D7230" t="s">
        <v>67</v>
      </c>
      <c r="H7230" t="str">
        <f t="shared" si="708"/>
        <v>07123400157</v>
      </c>
      <c r="I7230" t="str">
        <f t="shared" si="709"/>
        <v>00847380961</v>
      </c>
      <c r="K7230" t="str">
        <f>""</f>
        <v/>
      </c>
      <c r="M7230" t="s">
        <v>68</v>
      </c>
      <c r="N7230" t="str">
        <f t="shared" si="710"/>
        <v>FOR</v>
      </c>
      <c r="O7230" t="s">
        <v>69</v>
      </c>
      <c r="P7230" s="3" t="s">
        <v>75</v>
      </c>
      <c r="Q7230">
        <v>2015</v>
      </c>
      <c r="R7230" s="2">
        <v>42299</v>
      </c>
      <c r="S7230" s="2">
        <v>42307</v>
      </c>
      <c r="T7230" s="2">
        <v>42305</v>
      </c>
      <c r="U7230" s="2">
        <v>42365</v>
      </c>
      <c r="V7230" t="s">
        <v>71</v>
      </c>
      <c r="W7230" t="str">
        <f>"            15031876"</f>
        <v xml:space="preserve">            15031876</v>
      </c>
      <c r="X7230">
        <v>366</v>
      </c>
      <c r="Y7230">
        <v>0</v>
      </c>
      <c r="Z7230" s="3">
        <v>300</v>
      </c>
      <c r="AA7230">
        <v>283</v>
      </c>
      <c r="AB7230" s="5">
        <v>84900</v>
      </c>
      <c r="AC7230">
        <v>300</v>
      </c>
      <c r="AD7230">
        <v>283</v>
      </c>
      <c r="AE7230" s="1">
        <v>84900</v>
      </c>
      <c r="AF7230">
        <v>0</v>
      </c>
      <c r="AJ7230">
        <v>0</v>
      </c>
      <c r="AK7230">
        <v>0</v>
      </c>
      <c r="AL7230">
        <v>0</v>
      </c>
      <c r="AM7230">
        <v>0</v>
      </c>
      <c r="AN7230">
        <v>0</v>
      </c>
      <c r="AO7230">
        <v>0</v>
      </c>
      <c r="AP7230" s="2">
        <v>42746</v>
      </c>
      <c r="AQ7230" t="s">
        <v>72</v>
      </c>
      <c r="AR7230" t="s">
        <v>72</v>
      </c>
      <c r="AS7230">
        <v>2699</v>
      </c>
      <c r="AT7230" s="4">
        <v>42648</v>
      </c>
      <c r="AU7230" t="s">
        <v>73</v>
      </c>
      <c r="AV7230">
        <v>2699</v>
      </c>
      <c r="AW7230" s="4">
        <v>42648</v>
      </c>
      <c r="BD7230">
        <v>0</v>
      </c>
      <c r="BN7230" t="s">
        <v>74</v>
      </c>
    </row>
    <row r="7231" spans="1:66">
      <c r="A7231">
        <v>104129</v>
      </c>
      <c r="B7231" s="3" t="s">
        <v>615</v>
      </c>
      <c r="C7231" s="1">
        <v>43300101</v>
      </c>
      <c r="D7231" t="s">
        <v>67</v>
      </c>
      <c r="H7231" t="str">
        <f t="shared" si="708"/>
        <v>07123400157</v>
      </c>
      <c r="I7231" t="str">
        <f t="shared" si="709"/>
        <v>00847380961</v>
      </c>
      <c r="K7231" t="str">
        <f>""</f>
        <v/>
      </c>
      <c r="M7231" t="s">
        <v>68</v>
      </c>
      <c r="N7231" t="str">
        <f t="shared" si="710"/>
        <v>FOR</v>
      </c>
      <c r="O7231" t="s">
        <v>69</v>
      </c>
      <c r="P7231" s="3" t="s">
        <v>75</v>
      </c>
      <c r="Q7231">
        <v>2015</v>
      </c>
      <c r="R7231" s="2">
        <v>42317</v>
      </c>
      <c r="S7231" s="2">
        <v>42320</v>
      </c>
      <c r="T7231" s="2">
        <v>42318</v>
      </c>
      <c r="U7231" s="2">
        <v>42378</v>
      </c>
      <c r="V7231" t="s">
        <v>71</v>
      </c>
      <c r="W7231" t="str">
        <f>"            15033810"</f>
        <v xml:space="preserve">            15033810</v>
      </c>
      <c r="X7231">
        <v>390.4</v>
      </c>
      <c r="Y7231">
        <v>0</v>
      </c>
      <c r="Z7231" s="3">
        <v>320</v>
      </c>
      <c r="AA7231">
        <v>270</v>
      </c>
      <c r="AB7231" s="5">
        <v>86400</v>
      </c>
      <c r="AC7231">
        <v>320</v>
      </c>
      <c r="AD7231">
        <v>270</v>
      </c>
      <c r="AE7231" s="1">
        <v>86400</v>
      </c>
      <c r="AF7231">
        <v>0</v>
      </c>
      <c r="AJ7231">
        <v>0</v>
      </c>
      <c r="AK7231">
        <v>0</v>
      </c>
      <c r="AL7231">
        <v>0</v>
      </c>
      <c r="AM7231">
        <v>0</v>
      </c>
      <c r="AN7231">
        <v>0</v>
      </c>
      <c r="AO7231">
        <v>0</v>
      </c>
      <c r="AP7231" s="2">
        <v>42746</v>
      </c>
      <c r="AQ7231" t="s">
        <v>72</v>
      </c>
      <c r="AR7231" t="s">
        <v>72</v>
      </c>
      <c r="AS7231">
        <v>2699</v>
      </c>
      <c r="AT7231" s="4">
        <v>42648</v>
      </c>
      <c r="AU7231" t="s">
        <v>73</v>
      </c>
      <c r="AV7231">
        <v>2699</v>
      </c>
      <c r="AW7231" s="4">
        <v>42648</v>
      </c>
      <c r="BD7231">
        <v>0</v>
      </c>
      <c r="BN7231" t="s">
        <v>74</v>
      </c>
    </row>
    <row r="7232" spans="1:66">
      <c r="A7232">
        <v>104129</v>
      </c>
      <c r="B7232" s="3" t="s">
        <v>615</v>
      </c>
      <c r="C7232" s="1">
        <v>43300101</v>
      </c>
      <c r="D7232" t="s">
        <v>67</v>
      </c>
      <c r="H7232" t="str">
        <f t="shared" si="708"/>
        <v>07123400157</v>
      </c>
      <c r="I7232" t="str">
        <f t="shared" si="709"/>
        <v>00847380961</v>
      </c>
      <c r="K7232" t="str">
        <f>""</f>
        <v/>
      </c>
      <c r="M7232" t="s">
        <v>68</v>
      </c>
      <c r="N7232" t="str">
        <f t="shared" si="710"/>
        <v>FOR</v>
      </c>
      <c r="O7232" t="s">
        <v>69</v>
      </c>
      <c r="P7232" s="3" t="s">
        <v>75</v>
      </c>
      <c r="Q7232">
        <v>2015</v>
      </c>
      <c r="R7232" s="2">
        <v>42342</v>
      </c>
      <c r="S7232" s="2">
        <v>42366</v>
      </c>
      <c r="T7232" s="2">
        <v>42361</v>
      </c>
      <c r="U7232" s="2">
        <v>42421</v>
      </c>
      <c r="V7232" t="s">
        <v>71</v>
      </c>
      <c r="W7232" t="str">
        <f>"            15036973"</f>
        <v xml:space="preserve">            15036973</v>
      </c>
      <c r="X7232">
        <v>879.93</v>
      </c>
      <c r="Y7232">
        <v>0</v>
      </c>
      <c r="Z7232" s="3">
        <v>721.25</v>
      </c>
      <c r="AA7232">
        <v>269</v>
      </c>
      <c r="AB7232" s="5">
        <v>194016.25</v>
      </c>
      <c r="AC7232">
        <v>721.25</v>
      </c>
      <c r="AD7232">
        <v>269</v>
      </c>
      <c r="AE7232" s="1">
        <v>194016.25</v>
      </c>
      <c r="AF7232">
        <v>0</v>
      </c>
      <c r="AJ7232">
        <v>0</v>
      </c>
      <c r="AK7232">
        <v>0</v>
      </c>
      <c r="AL7232">
        <v>0</v>
      </c>
      <c r="AM7232">
        <v>0</v>
      </c>
      <c r="AN7232">
        <v>0</v>
      </c>
      <c r="AO7232">
        <v>0</v>
      </c>
      <c r="AP7232" s="2">
        <v>42746</v>
      </c>
      <c r="AQ7232" t="s">
        <v>72</v>
      </c>
      <c r="AR7232" t="s">
        <v>72</v>
      </c>
      <c r="AS7232">
        <v>3129</v>
      </c>
      <c r="AT7232" s="4">
        <v>42690</v>
      </c>
      <c r="AU7232" t="s">
        <v>73</v>
      </c>
      <c r="AV7232">
        <v>3129</v>
      </c>
      <c r="AW7232" s="4">
        <v>42690</v>
      </c>
      <c r="BD7232">
        <v>0</v>
      </c>
      <c r="BN7232" t="s">
        <v>74</v>
      </c>
    </row>
    <row r="7233" spans="1:66">
      <c r="A7233">
        <v>104129</v>
      </c>
      <c r="B7233" s="3" t="s">
        <v>615</v>
      </c>
      <c r="C7233" s="1">
        <v>43300101</v>
      </c>
      <c r="D7233" t="s">
        <v>67</v>
      </c>
      <c r="H7233" t="str">
        <f t="shared" si="708"/>
        <v>07123400157</v>
      </c>
      <c r="I7233" t="str">
        <f t="shared" si="709"/>
        <v>00847380961</v>
      </c>
      <c r="K7233" t="str">
        <f>""</f>
        <v/>
      </c>
      <c r="M7233" t="s">
        <v>68</v>
      </c>
      <c r="N7233" t="str">
        <f t="shared" si="710"/>
        <v>FOR</v>
      </c>
      <c r="O7233" t="s">
        <v>69</v>
      </c>
      <c r="P7233" s="3" t="s">
        <v>75</v>
      </c>
      <c r="Q7233">
        <v>2015</v>
      </c>
      <c r="R7233" s="2">
        <v>42356</v>
      </c>
      <c r="S7233" s="2">
        <v>42369</v>
      </c>
      <c r="T7233" s="2">
        <v>42369</v>
      </c>
      <c r="U7233" s="2">
        <v>42429</v>
      </c>
      <c r="V7233" t="s">
        <v>71</v>
      </c>
      <c r="W7233" t="str">
        <f>"            15038535"</f>
        <v xml:space="preserve">            15038535</v>
      </c>
      <c r="X7233" s="1">
        <v>1525</v>
      </c>
      <c r="Y7233">
        <v>0</v>
      </c>
      <c r="Z7233" s="5">
        <v>1250</v>
      </c>
      <c r="AA7233">
        <v>261</v>
      </c>
      <c r="AB7233" s="5">
        <v>326250</v>
      </c>
      <c r="AC7233" s="1">
        <v>1250</v>
      </c>
      <c r="AD7233">
        <v>261</v>
      </c>
      <c r="AE7233" s="1">
        <v>326250</v>
      </c>
      <c r="AF7233">
        <v>0</v>
      </c>
      <c r="AJ7233">
        <v>0</v>
      </c>
      <c r="AK7233">
        <v>0</v>
      </c>
      <c r="AL7233">
        <v>0</v>
      </c>
      <c r="AM7233">
        <v>0</v>
      </c>
      <c r="AN7233">
        <v>0</v>
      </c>
      <c r="AO7233">
        <v>0</v>
      </c>
      <c r="AP7233" s="2">
        <v>42746</v>
      </c>
      <c r="AQ7233" t="s">
        <v>72</v>
      </c>
      <c r="AR7233" t="s">
        <v>72</v>
      </c>
      <c r="AS7233">
        <v>3129</v>
      </c>
      <c r="AT7233" s="4">
        <v>42690</v>
      </c>
      <c r="AU7233" t="s">
        <v>73</v>
      </c>
      <c r="AV7233">
        <v>3129</v>
      </c>
      <c r="AW7233" s="4">
        <v>42690</v>
      </c>
      <c r="BD7233">
        <v>0</v>
      </c>
      <c r="BN7233" t="s">
        <v>74</v>
      </c>
    </row>
    <row r="7234" spans="1:66">
      <c r="A7234">
        <v>104129</v>
      </c>
      <c r="B7234" s="3" t="s">
        <v>615</v>
      </c>
      <c r="C7234" s="1">
        <v>43300101</v>
      </c>
      <c r="D7234" t="s">
        <v>67</v>
      </c>
      <c r="H7234" t="str">
        <f t="shared" si="708"/>
        <v>07123400157</v>
      </c>
      <c r="I7234" t="str">
        <f t="shared" si="709"/>
        <v>00847380961</v>
      </c>
      <c r="K7234" t="str">
        <f>""</f>
        <v/>
      </c>
      <c r="M7234" t="s">
        <v>68</v>
      </c>
      <c r="N7234" t="str">
        <f t="shared" si="710"/>
        <v>FOR</v>
      </c>
      <c r="O7234" t="s">
        <v>69</v>
      </c>
      <c r="P7234" s="3" t="s">
        <v>75</v>
      </c>
      <c r="Q7234">
        <v>2016</v>
      </c>
      <c r="R7234" s="2">
        <v>42403</v>
      </c>
      <c r="S7234" s="2">
        <v>42422</v>
      </c>
      <c r="T7234" s="2">
        <v>42417</v>
      </c>
      <c r="U7234" s="2">
        <v>42477</v>
      </c>
      <c r="V7234" t="s">
        <v>71</v>
      </c>
      <c r="W7234" t="str">
        <f>"            16003284"</f>
        <v xml:space="preserve">            16003284</v>
      </c>
      <c r="X7234">
        <v>87.84</v>
      </c>
      <c r="Y7234">
        <v>0</v>
      </c>
      <c r="Z7234" s="3">
        <v>72</v>
      </c>
      <c r="AA7234">
        <v>213</v>
      </c>
      <c r="AB7234" s="5">
        <v>15336</v>
      </c>
      <c r="AC7234">
        <v>72</v>
      </c>
      <c r="AD7234">
        <v>213</v>
      </c>
      <c r="AE7234" s="1">
        <v>15336</v>
      </c>
      <c r="AF7234">
        <v>0</v>
      </c>
      <c r="AJ7234">
        <v>0</v>
      </c>
      <c r="AK7234">
        <v>0</v>
      </c>
      <c r="AL7234">
        <v>0</v>
      </c>
      <c r="AM7234">
        <v>87.84</v>
      </c>
      <c r="AN7234">
        <v>87.84</v>
      </c>
      <c r="AO7234">
        <v>87.84</v>
      </c>
      <c r="AP7234" s="2">
        <v>42746</v>
      </c>
      <c r="AQ7234" t="s">
        <v>72</v>
      </c>
      <c r="AR7234" t="s">
        <v>72</v>
      </c>
      <c r="AS7234">
        <v>3129</v>
      </c>
      <c r="AT7234" s="4">
        <v>42690</v>
      </c>
      <c r="AU7234" t="s">
        <v>73</v>
      </c>
      <c r="AV7234">
        <v>3129</v>
      </c>
      <c r="AW7234" s="4">
        <v>42690</v>
      </c>
      <c r="BD7234">
        <v>0</v>
      </c>
      <c r="BN7234" t="s">
        <v>74</v>
      </c>
    </row>
    <row r="7235" spans="1:66">
      <c r="A7235">
        <v>104129</v>
      </c>
      <c r="B7235" s="3" t="s">
        <v>615</v>
      </c>
      <c r="C7235" s="1">
        <v>43300101</v>
      </c>
      <c r="D7235" t="s">
        <v>67</v>
      </c>
      <c r="H7235" t="str">
        <f t="shared" si="708"/>
        <v>07123400157</v>
      </c>
      <c r="I7235" t="str">
        <f t="shared" si="709"/>
        <v>00847380961</v>
      </c>
      <c r="K7235" t="str">
        <f>""</f>
        <v/>
      </c>
      <c r="M7235" t="s">
        <v>68</v>
      </c>
      <c r="N7235" t="str">
        <f t="shared" si="710"/>
        <v>FOR</v>
      </c>
      <c r="O7235" t="s">
        <v>69</v>
      </c>
      <c r="P7235" s="3" t="s">
        <v>75</v>
      </c>
      <c r="Q7235">
        <v>2016</v>
      </c>
      <c r="R7235" s="2">
        <v>42432</v>
      </c>
      <c r="S7235" s="2">
        <v>42446</v>
      </c>
      <c r="T7235" s="2">
        <v>42445</v>
      </c>
      <c r="U7235" s="2">
        <v>42505</v>
      </c>
      <c r="V7235" t="s">
        <v>71</v>
      </c>
      <c r="W7235" t="str">
        <f>"            16007028"</f>
        <v xml:space="preserve">            16007028</v>
      </c>
      <c r="X7235" s="1">
        <v>1647</v>
      </c>
      <c r="Y7235">
        <v>0</v>
      </c>
      <c r="Z7235" s="5">
        <v>1350</v>
      </c>
      <c r="AA7235">
        <v>185</v>
      </c>
      <c r="AB7235" s="5">
        <v>249750</v>
      </c>
      <c r="AC7235" s="1">
        <v>1350</v>
      </c>
      <c r="AD7235">
        <v>185</v>
      </c>
      <c r="AE7235" s="1">
        <v>249750</v>
      </c>
      <c r="AF7235">
        <v>0</v>
      </c>
      <c r="AJ7235">
        <v>0</v>
      </c>
      <c r="AK7235">
        <v>0</v>
      </c>
      <c r="AL7235">
        <v>0</v>
      </c>
      <c r="AM7235" s="1">
        <v>1647</v>
      </c>
      <c r="AN7235" s="1">
        <v>1647</v>
      </c>
      <c r="AO7235" s="1">
        <v>1647</v>
      </c>
      <c r="AP7235" s="2">
        <v>42746</v>
      </c>
      <c r="AQ7235" t="s">
        <v>72</v>
      </c>
      <c r="AR7235" t="s">
        <v>72</v>
      </c>
      <c r="AS7235">
        <v>3129</v>
      </c>
      <c r="AT7235" s="4">
        <v>42690</v>
      </c>
      <c r="AU7235" t="s">
        <v>73</v>
      </c>
      <c r="AV7235">
        <v>3129</v>
      </c>
      <c r="AW7235" s="4">
        <v>42690</v>
      </c>
      <c r="BD7235">
        <v>0</v>
      </c>
      <c r="BN7235" t="s">
        <v>74</v>
      </c>
    </row>
    <row r="7236" spans="1:66">
      <c r="A7236">
        <v>104129</v>
      </c>
      <c r="B7236" s="3" t="s">
        <v>615</v>
      </c>
      <c r="C7236" s="1">
        <v>43300101</v>
      </c>
      <c r="D7236" t="s">
        <v>67</v>
      </c>
      <c r="H7236" t="str">
        <f t="shared" si="708"/>
        <v>07123400157</v>
      </c>
      <c r="I7236" t="str">
        <f t="shared" si="709"/>
        <v>00847380961</v>
      </c>
      <c r="K7236" t="str">
        <f>""</f>
        <v/>
      </c>
      <c r="M7236" t="s">
        <v>68</v>
      </c>
      <c r="N7236" t="str">
        <f t="shared" si="710"/>
        <v>FOR</v>
      </c>
      <c r="O7236" t="s">
        <v>69</v>
      </c>
      <c r="P7236" s="3" t="s">
        <v>75</v>
      </c>
      <c r="Q7236">
        <v>2016</v>
      </c>
      <c r="R7236" s="2">
        <v>42454</v>
      </c>
      <c r="S7236" s="2">
        <v>42473</v>
      </c>
      <c r="T7236" s="2">
        <v>42467</v>
      </c>
      <c r="U7236" s="2">
        <v>42527</v>
      </c>
      <c r="V7236" t="s">
        <v>71</v>
      </c>
      <c r="W7236" t="str">
        <f>"            16009622"</f>
        <v xml:space="preserve">            16009622</v>
      </c>
      <c r="X7236">
        <v>549</v>
      </c>
      <c r="Y7236">
        <v>0</v>
      </c>
      <c r="Z7236" s="3">
        <v>450</v>
      </c>
      <c r="AA7236">
        <v>163</v>
      </c>
      <c r="AB7236" s="5">
        <v>73350</v>
      </c>
      <c r="AC7236">
        <v>450</v>
      </c>
      <c r="AD7236">
        <v>163</v>
      </c>
      <c r="AE7236" s="1">
        <v>73350</v>
      </c>
      <c r="AF7236">
        <v>0</v>
      </c>
      <c r="AJ7236">
        <v>0</v>
      </c>
      <c r="AK7236">
        <v>0</v>
      </c>
      <c r="AL7236">
        <v>0</v>
      </c>
      <c r="AM7236">
        <v>549</v>
      </c>
      <c r="AN7236">
        <v>549</v>
      </c>
      <c r="AO7236">
        <v>549</v>
      </c>
      <c r="AP7236" s="2">
        <v>42746</v>
      </c>
      <c r="AQ7236" t="s">
        <v>72</v>
      </c>
      <c r="AR7236" t="s">
        <v>72</v>
      </c>
      <c r="AS7236">
        <v>3129</v>
      </c>
      <c r="AT7236" s="4">
        <v>42690</v>
      </c>
      <c r="AU7236" t="s">
        <v>73</v>
      </c>
      <c r="AV7236">
        <v>3129</v>
      </c>
      <c r="AW7236" s="4">
        <v>42690</v>
      </c>
      <c r="BD7236">
        <v>0</v>
      </c>
      <c r="BN7236" t="s">
        <v>74</v>
      </c>
    </row>
    <row r="7237" spans="1:66">
      <c r="A7237">
        <v>104129</v>
      </c>
      <c r="B7237" s="3" t="s">
        <v>615</v>
      </c>
      <c r="C7237" s="1">
        <v>43300101</v>
      </c>
      <c r="D7237" t="s">
        <v>67</v>
      </c>
      <c r="H7237" t="str">
        <f t="shared" si="708"/>
        <v>07123400157</v>
      </c>
      <c r="I7237" t="str">
        <f t="shared" si="709"/>
        <v>00847380961</v>
      </c>
      <c r="K7237" t="str">
        <f>""</f>
        <v/>
      </c>
      <c r="M7237" t="s">
        <v>68</v>
      </c>
      <c r="N7237" t="str">
        <f t="shared" si="710"/>
        <v>FOR</v>
      </c>
      <c r="O7237" t="s">
        <v>69</v>
      </c>
      <c r="P7237" s="3" t="s">
        <v>75</v>
      </c>
      <c r="Q7237">
        <v>2016</v>
      </c>
      <c r="R7237" s="2">
        <v>42545</v>
      </c>
      <c r="S7237" s="2">
        <v>42563</v>
      </c>
      <c r="T7237" s="2">
        <v>42559</v>
      </c>
      <c r="U7237" s="2">
        <v>42619</v>
      </c>
      <c r="V7237" t="s">
        <v>71</v>
      </c>
      <c r="W7237" t="str">
        <f>"            16019985"</f>
        <v xml:space="preserve">            16019985</v>
      </c>
      <c r="X7237">
        <v>610</v>
      </c>
      <c r="Y7237">
        <v>0</v>
      </c>
      <c r="Z7237" s="3">
        <v>500</v>
      </c>
      <c r="AA7237">
        <v>71</v>
      </c>
      <c r="AB7237" s="5">
        <v>35500</v>
      </c>
      <c r="AC7237">
        <v>500</v>
      </c>
      <c r="AD7237">
        <v>71</v>
      </c>
      <c r="AE7237" s="1">
        <v>35500</v>
      </c>
      <c r="AF7237">
        <v>0</v>
      </c>
      <c r="AJ7237">
        <v>0</v>
      </c>
      <c r="AK7237">
        <v>0</v>
      </c>
      <c r="AL7237">
        <v>0</v>
      </c>
      <c r="AM7237">
        <v>610</v>
      </c>
      <c r="AN7237">
        <v>610</v>
      </c>
      <c r="AO7237">
        <v>610</v>
      </c>
      <c r="AP7237" s="2">
        <v>42746</v>
      </c>
      <c r="AQ7237" t="s">
        <v>72</v>
      </c>
      <c r="AR7237" t="s">
        <v>72</v>
      </c>
      <c r="AS7237">
        <v>3129</v>
      </c>
      <c r="AT7237" s="4">
        <v>42690</v>
      </c>
      <c r="AU7237" t="s">
        <v>73</v>
      </c>
      <c r="AV7237">
        <v>3129</v>
      </c>
      <c r="AW7237" s="4">
        <v>42690</v>
      </c>
      <c r="BD7237">
        <v>0</v>
      </c>
      <c r="BN7237" t="s">
        <v>74</v>
      </c>
    </row>
    <row r="7238" spans="1:66">
      <c r="A7238">
        <v>104129</v>
      </c>
      <c r="B7238" s="3" t="s">
        <v>615</v>
      </c>
      <c r="C7238" s="1">
        <v>43300101</v>
      </c>
      <c r="D7238" t="s">
        <v>67</v>
      </c>
      <c r="H7238" t="str">
        <f t="shared" si="708"/>
        <v>07123400157</v>
      </c>
      <c r="I7238" t="str">
        <f t="shared" si="709"/>
        <v>00847380961</v>
      </c>
      <c r="K7238" t="str">
        <f>""</f>
        <v/>
      </c>
      <c r="M7238" t="s">
        <v>68</v>
      </c>
      <c r="N7238" t="str">
        <f t="shared" si="710"/>
        <v>FOR</v>
      </c>
      <c r="O7238" t="s">
        <v>69</v>
      </c>
      <c r="P7238" s="3" t="s">
        <v>75</v>
      </c>
      <c r="Q7238">
        <v>2016</v>
      </c>
      <c r="R7238" s="2">
        <v>42548</v>
      </c>
      <c r="S7238" s="2">
        <v>42565</v>
      </c>
      <c r="T7238" s="2">
        <v>42563</v>
      </c>
      <c r="U7238" s="2">
        <v>42623</v>
      </c>
      <c r="V7238" t="s">
        <v>71</v>
      </c>
      <c r="W7238" t="str">
        <f>"            16020095"</f>
        <v xml:space="preserve">            16020095</v>
      </c>
      <c r="X7238">
        <v>915</v>
      </c>
      <c r="Y7238">
        <v>0</v>
      </c>
      <c r="Z7238" s="3">
        <v>750</v>
      </c>
      <c r="AA7238">
        <v>67</v>
      </c>
      <c r="AB7238" s="5">
        <v>50250</v>
      </c>
      <c r="AC7238">
        <v>750</v>
      </c>
      <c r="AD7238">
        <v>67</v>
      </c>
      <c r="AE7238" s="1">
        <v>50250</v>
      </c>
      <c r="AF7238">
        <v>0</v>
      </c>
      <c r="AJ7238">
        <v>0</v>
      </c>
      <c r="AK7238">
        <v>0</v>
      </c>
      <c r="AL7238">
        <v>0</v>
      </c>
      <c r="AM7238">
        <v>915</v>
      </c>
      <c r="AN7238">
        <v>915</v>
      </c>
      <c r="AO7238">
        <v>915</v>
      </c>
      <c r="AP7238" s="2">
        <v>42746</v>
      </c>
      <c r="AQ7238" t="s">
        <v>72</v>
      </c>
      <c r="AR7238" t="s">
        <v>72</v>
      </c>
      <c r="AS7238">
        <v>3129</v>
      </c>
      <c r="AT7238" s="4">
        <v>42690</v>
      </c>
      <c r="AU7238" t="s">
        <v>73</v>
      </c>
      <c r="AV7238">
        <v>3129</v>
      </c>
      <c r="AW7238" s="4">
        <v>42690</v>
      </c>
      <c r="BD7238">
        <v>0</v>
      </c>
      <c r="BN7238" t="s">
        <v>74</v>
      </c>
    </row>
    <row r="7239" spans="1:66">
      <c r="A7239">
        <v>104129</v>
      </c>
      <c r="B7239" s="3" t="s">
        <v>615</v>
      </c>
      <c r="C7239" s="1">
        <v>43300101</v>
      </c>
      <c r="D7239" t="s">
        <v>67</v>
      </c>
      <c r="H7239" t="str">
        <f t="shared" si="708"/>
        <v>07123400157</v>
      </c>
      <c r="I7239" t="str">
        <f t="shared" si="709"/>
        <v>00847380961</v>
      </c>
      <c r="K7239" t="str">
        <f>""</f>
        <v/>
      </c>
      <c r="M7239" t="s">
        <v>68</v>
      </c>
      <c r="N7239" t="str">
        <f t="shared" si="710"/>
        <v>FOR</v>
      </c>
      <c r="O7239" t="s">
        <v>69</v>
      </c>
      <c r="P7239" s="3" t="s">
        <v>75</v>
      </c>
      <c r="Q7239">
        <v>2016</v>
      </c>
      <c r="R7239" s="2">
        <v>42573</v>
      </c>
      <c r="S7239" s="2">
        <v>42587</v>
      </c>
      <c r="T7239" s="2">
        <v>42584</v>
      </c>
      <c r="U7239" s="2">
        <v>42644</v>
      </c>
      <c r="V7239" t="s">
        <v>71</v>
      </c>
      <c r="W7239" t="str">
        <f>"            16023136"</f>
        <v xml:space="preserve">            16023136</v>
      </c>
      <c r="X7239">
        <v>610</v>
      </c>
      <c r="Y7239">
        <v>0</v>
      </c>
      <c r="Z7239" s="3">
        <v>500</v>
      </c>
      <c r="AA7239">
        <v>46</v>
      </c>
      <c r="AB7239" s="5">
        <v>23000</v>
      </c>
      <c r="AC7239">
        <v>500</v>
      </c>
      <c r="AD7239">
        <v>46</v>
      </c>
      <c r="AE7239" s="1">
        <v>23000</v>
      </c>
      <c r="AF7239">
        <v>0</v>
      </c>
      <c r="AJ7239">
        <v>0</v>
      </c>
      <c r="AK7239">
        <v>0</v>
      </c>
      <c r="AL7239">
        <v>0</v>
      </c>
      <c r="AM7239">
        <v>610</v>
      </c>
      <c r="AN7239">
        <v>610</v>
      </c>
      <c r="AO7239">
        <v>610</v>
      </c>
      <c r="AP7239" s="2">
        <v>42746</v>
      </c>
      <c r="AQ7239" t="s">
        <v>72</v>
      </c>
      <c r="AR7239" t="s">
        <v>72</v>
      </c>
      <c r="AS7239">
        <v>3129</v>
      </c>
      <c r="AT7239" s="4">
        <v>42690</v>
      </c>
      <c r="AU7239" t="s">
        <v>73</v>
      </c>
      <c r="AV7239">
        <v>3129</v>
      </c>
      <c r="AW7239" s="4">
        <v>42690</v>
      </c>
      <c r="BD7239">
        <v>0</v>
      </c>
      <c r="BN7239" t="s">
        <v>74</v>
      </c>
    </row>
    <row r="7240" spans="1:66">
      <c r="A7240">
        <v>104129</v>
      </c>
      <c r="B7240" s="3" t="s">
        <v>615</v>
      </c>
      <c r="C7240" s="1">
        <v>43300101</v>
      </c>
      <c r="D7240" t="s">
        <v>67</v>
      </c>
      <c r="H7240" t="str">
        <f t="shared" si="708"/>
        <v>07123400157</v>
      </c>
      <c r="I7240" t="str">
        <f t="shared" si="709"/>
        <v>00847380961</v>
      </c>
      <c r="K7240" t="str">
        <f>""</f>
        <v/>
      </c>
      <c r="M7240" t="s">
        <v>68</v>
      </c>
      <c r="N7240" t="str">
        <f t="shared" si="710"/>
        <v>FOR</v>
      </c>
      <c r="O7240" t="s">
        <v>69</v>
      </c>
      <c r="P7240" s="3" t="s">
        <v>75</v>
      </c>
      <c r="Q7240">
        <v>2016</v>
      </c>
      <c r="R7240" s="2">
        <v>42586</v>
      </c>
      <c r="S7240" s="2">
        <v>42612</v>
      </c>
      <c r="T7240" s="2">
        <v>42611</v>
      </c>
      <c r="U7240" s="2">
        <v>42671</v>
      </c>
      <c r="V7240" t="s">
        <v>71</v>
      </c>
      <c r="W7240" t="str">
        <f>"            16024478"</f>
        <v xml:space="preserve">            16024478</v>
      </c>
      <c r="X7240" s="1">
        <v>1637.85</v>
      </c>
      <c r="Y7240">
        <v>0</v>
      </c>
      <c r="Z7240" s="5">
        <v>1342.5</v>
      </c>
      <c r="AA7240">
        <v>19</v>
      </c>
      <c r="AB7240" s="5">
        <v>25507.5</v>
      </c>
      <c r="AC7240" s="1">
        <v>1342.5</v>
      </c>
      <c r="AD7240">
        <v>19</v>
      </c>
      <c r="AE7240" s="1">
        <v>25507.5</v>
      </c>
      <c r="AF7240">
        <v>0</v>
      </c>
      <c r="AJ7240">
        <v>0</v>
      </c>
      <c r="AK7240">
        <v>0</v>
      </c>
      <c r="AL7240">
        <v>0</v>
      </c>
      <c r="AM7240" s="1">
        <v>1637.85</v>
      </c>
      <c r="AN7240" s="1">
        <v>1637.85</v>
      </c>
      <c r="AO7240" s="1">
        <v>1637.85</v>
      </c>
      <c r="AP7240" s="2">
        <v>42746</v>
      </c>
      <c r="AQ7240" t="s">
        <v>72</v>
      </c>
      <c r="AR7240" t="s">
        <v>72</v>
      </c>
      <c r="AS7240">
        <v>3129</v>
      </c>
      <c r="AT7240" s="4">
        <v>42690</v>
      </c>
      <c r="AU7240" t="s">
        <v>73</v>
      </c>
      <c r="AV7240">
        <v>3129</v>
      </c>
      <c r="AW7240" s="4">
        <v>42690</v>
      </c>
      <c r="BD7240">
        <v>0</v>
      </c>
      <c r="BN7240" t="s">
        <v>74</v>
      </c>
    </row>
    <row r="7241" spans="1:66">
      <c r="A7241">
        <v>104129</v>
      </c>
      <c r="B7241" s="3" t="s">
        <v>615</v>
      </c>
      <c r="C7241" s="1">
        <v>43300101</v>
      </c>
      <c r="D7241" t="s">
        <v>67</v>
      </c>
      <c r="H7241" t="str">
        <f t="shared" si="708"/>
        <v>07123400157</v>
      </c>
      <c r="I7241" t="str">
        <f t="shared" si="709"/>
        <v>00847380961</v>
      </c>
      <c r="K7241" t="str">
        <f>""</f>
        <v/>
      </c>
      <c r="M7241" t="s">
        <v>68</v>
      </c>
      <c r="N7241" t="str">
        <f t="shared" si="710"/>
        <v>FOR</v>
      </c>
      <c r="O7241" t="s">
        <v>69</v>
      </c>
      <c r="P7241" s="3" t="s">
        <v>100</v>
      </c>
      <c r="Q7241">
        <v>2016</v>
      </c>
      <c r="R7241" s="2">
        <v>42606</v>
      </c>
      <c r="S7241" s="2">
        <v>42636</v>
      </c>
      <c r="T7241" s="2">
        <v>42633</v>
      </c>
      <c r="U7241" s="2">
        <v>42693</v>
      </c>
      <c r="V7241" t="s">
        <v>71</v>
      </c>
      <c r="W7241" t="str">
        <f>"           C16000985"</f>
        <v xml:space="preserve">           C16000985</v>
      </c>
      <c r="X7241">
        <v>-146.4</v>
      </c>
      <c r="Y7241">
        <v>0</v>
      </c>
      <c r="Z7241" s="3">
        <v>-146.4</v>
      </c>
      <c r="AA7241">
        <v>-3</v>
      </c>
      <c r="AB7241" s="3">
        <v>439.2</v>
      </c>
      <c r="AC7241">
        <v>-146.4</v>
      </c>
      <c r="AD7241">
        <v>-3</v>
      </c>
      <c r="AE7241">
        <v>439.2</v>
      </c>
      <c r="AF7241">
        <v>0</v>
      </c>
      <c r="AJ7241">
        <v>0</v>
      </c>
      <c r="AK7241">
        <v>0</v>
      </c>
      <c r="AL7241">
        <v>0</v>
      </c>
      <c r="AM7241">
        <v>-146.4</v>
      </c>
      <c r="AN7241">
        <v>-146.4</v>
      </c>
      <c r="AO7241">
        <v>-146.4</v>
      </c>
      <c r="AP7241" s="2">
        <v>42746</v>
      </c>
      <c r="AQ7241" t="s">
        <v>72</v>
      </c>
      <c r="AR7241" t="s">
        <v>72</v>
      </c>
      <c r="AS7241">
        <v>3129</v>
      </c>
      <c r="AT7241" s="4">
        <v>42690</v>
      </c>
      <c r="AV7241">
        <v>3129</v>
      </c>
      <c r="AW7241" s="4">
        <v>42690</v>
      </c>
      <c r="BD7241">
        <v>0</v>
      </c>
      <c r="BN7241" t="s">
        <v>74</v>
      </c>
    </row>
    <row r="7242" spans="1:66">
      <c r="A7242">
        <v>104129</v>
      </c>
      <c r="B7242" s="3" t="s">
        <v>615</v>
      </c>
      <c r="C7242" s="1">
        <v>43300101</v>
      </c>
      <c r="D7242" t="s">
        <v>67</v>
      </c>
      <c r="H7242" t="str">
        <f t="shared" si="708"/>
        <v>07123400157</v>
      </c>
      <c r="I7242" t="str">
        <f t="shared" si="709"/>
        <v>00847380961</v>
      </c>
      <c r="K7242" t="str">
        <f>""</f>
        <v/>
      </c>
      <c r="M7242" t="s">
        <v>68</v>
      </c>
      <c r="N7242" t="str">
        <f t="shared" si="710"/>
        <v>FOR</v>
      </c>
      <c r="O7242" t="s">
        <v>69</v>
      </c>
      <c r="P7242" s="3" t="s">
        <v>100</v>
      </c>
      <c r="Q7242">
        <v>2016</v>
      </c>
      <c r="R7242" s="2">
        <v>42606</v>
      </c>
      <c r="S7242" s="2">
        <v>42636</v>
      </c>
      <c r="T7242" s="2">
        <v>42633</v>
      </c>
      <c r="U7242" s="2">
        <v>42693</v>
      </c>
      <c r="V7242" t="s">
        <v>71</v>
      </c>
      <c r="W7242" t="str">
        <f>"           C16000986"</f>
        <v xml:space="preserve">           C16000986</v>
      </c>
      <c r="X7242">
        <v>-60</v>
      </c>
      <c r="Y7242">
        <v>0</v>
      </c>
      <c r="Z7242" s="3">
        <v>-60</v>
      </c>
      <c r="AA7242">
        <v>-3</v>
      </c>
      <c r="AB7242" s="3">
        <v>180</v>
      </c>
      <c r="AC7242">
        <v>-60</v>
      </c>
      <c r="AD7242">
        <v>-3</v>
      </c>
      <c r="AE7242">
        <v>180</v>
      </c>
      <c r="AF7242">
        <v>0</v>
      </c>
      <c r="AJ7242">
        <v>0</v>
      </c>
      <c r="AK7242">
        <v>0</v>
      </c>
      <c r="AL7242">
        <v>0</v>
      </c>
      <c r="AM7242">
        <v>-60</v>
      </c>
      <c r="AN7242">
        <v>-60</v>
      </c>
      <c r="AO7242">
        <v>-60</v>
      </c>
      <c r="AP7242" s="2">
        <v>42746</v>
      </c>
      <c r="AQ7242" t="s">
        <v>72</v>
      </c>
      <c r="AR7242" t="s">
        <v>72</v>
      </c>
      <c r="AS7242">
        <v>3129</v>
      </c>
      <c r="AT7242" s="4">
        <v>42690</v>
      </c>
      <c r="AV7242">
        <v>3129</v>
      </c>
      <c r="AW7242" s="4">
        <v>42690</v>
      </c>
      <c r="BD7242">
        <v>0</v>
      </c>
      <c r="BN7242" t="s">
        <v>74</v>
      </c>
    </row>
    <row r="7243" spans="1:66">
      <c r="A7243">
        <v>104129</v>
      </c>
      <c r="B7243" s="3" t="s">
        <v>615</v>
      </c>
      <c r="C7243" s="1">
        <v>43300101</v>
      </c>
      <c r="D7243" t="s">
        <v>67</v>
      </c>
      <c r="H7243" t="str">
        <f t="shared" si="708"/>
        <v>07123400157</v>
      </c>
      <c r="I7243" t="str">
        <f t="shared" si="709"/>
        <v>00847380961</v>
      </c>
      <c r="K7243" t="str">
        <f>""</f>
        <v/>
      </c>
      <c r="M7243" t="s">
        <v>68</v>
      </c>
      <c r="N7243" t="str">
        <f t="shared" si="710"/>
        <v>FOR</v>
      </c>
      <c r="O7243" t="s">
        <v>69</v>
      </c>
      <c r="P7243" s="3" t="s">
        <v>100</v>
      </c>
      <c r="Q7243">
        <v>2016</v>
      </c>
      <c r="R7243" s="2">
        <v>42606</v>
      </c>
      <c r="S7243" s="2">
        <v>42636</v>
      </c>
      <c r="T7243" s="2">
        <v>42633</v>
      </c>
      <c r="U7243" s="2">
        <v>42693</v>
      </c>
      <c r="V7243" t="s">
        <v>71</v>
      </c>
      <c r="W7243" t="str">
        <f>"           C16000987"</f>
        <v xml:space="preserve">           C16000987</v>
      </c>
      <c r="X7243">
        <v>-181.5</v>
      </c>
      <c r="Y7243">
        <v>0</v>
      </c>
      <c r="Z7243" s="3">
        <v>-181.5</v>
      </c>
      <c r="AA7243">
        <v>-3</v>
      </c>
      <c r="AB7243" s="3">
        <v>544.5</v>
      </c>
      <c r="AC7243">
        <v>-181.5</v>
      </c>
      <c r="AD7243">
        <v>-3</v>
      </c>
      <c r="AE7243">
        <v>544.5</v>
      </c>
      <c r="AF7243">
        <v>0</v>
      </c>
      <c r="AJ7243">
        <v>0</v>
      </c>
      <c r="AK7243">
        <v>0</v>
      </c>
      <c r="AL7243">
        <v>0</v>
      </c>
      <c r="AM7243">
        <v>-181.5</v>
      </c>
      <c r="AN7243">
        <v>-181.5</v>
      </c>
      <c r="AO7243">
        <v>-181.5</v>
      </c>
      <c r="AP7243" s="2">
        <v>42746</v>
      </c>
      <c r="AQ7243" t="s">
        <v>72</v>
      </c>
      <c r="AR7243" t="s">
        <v>72</v>
      </c>
      <c r="AS7243">
        <v>3129</v>
      </c>
      <c r="AT7243" s="4">
        <v>42690</v>
      </c>
      <c r="AV7243">
        <v>3129</v>
      </c>
      <c r="AW7243" s="4">
        <v>42690</v>
      </c>
      <c r="BD7243">
        <v>0</v>
      </c>
      <c r="BN7243" t="s">
        <v>74</v>
      </c>
    </row>
    <row r="7244" spans="1:66">
      <c r="A7244">
        <v>104129</v>
      </c>
      <c r="B7244" s="3" t="s">
        <v>615</v>
      </c>
      <c r="C7244" s="1">
        <v>43300101</v>
      </c>
      <c r="D7244" t="s">
        <v>67</v>
      </c>
      <c r="H7244" t="str">
        <f t="shared" si="708"/>
        <v>07123400157</v>
      </c>
      <c r="I7244" t="str">
        <f t="shared" si="709"/>
        <v>00847380961</v>
      </c>
      <c r="K7244" t="str">
        <f>""</f>
        <v/>
      </c>
      <c r="M7244" t="s">
        <v>68</v>
      </c>
      <c r="N7244" t="str">
        <f t="shared" si="710"/>
        <v>FOR</v>
      </c>
      <c r="O7244" t="s">
        <v>69</v>
      </c>
      <c r="P7244" s="3" t="s">
        <v>100</v>
      </c>
      <c r="Q7244">
        <v>2016</v>
      </c>
      <c r="R7244" s="2">
        <v>42611</v>
      </c>
      <c r="S7244" s="2">
        <v>42639</v>
      </c>
      <c r="T7244" s="2">
        <v>42636</v>
      </c>
      <c r="U7244" s="2">
        <v>42696</v>
      </c>
      <c r="V7244" t="s">
        <v>71</v>
      </c>
      <c r="W7244" t="str">
        <f>"           C16001024"</f>
        <v xml:space="preserve">           C16001024</v>
      </c>
      <c r="X7244">
        <v>-36.6</v>
      </c>
      <c r="Y7244">
        <v>0</v>
      </c>
      <c r="Z7244" s="3">
        <v>-36.6</v>
      </c>
      <c r="AA7244">
        <v>-6</v>
      </c>
      <c r="AB7244" s="3">
        <v>219.6</v>
      </c>
      <c r="AC7244">
        <v>-36.6</v>
      </c>
      <c r="AD7244">
        <v>-6</v>
      </c>
      <c r="AE7244">
        <v>219.6</v>
      </c>
      <c r="AF7244">
        <v>0</v>
      </c>
      <c r="AJ7244">
        <v>0</v>
      </c>
      <c r="AK7244">
        <v>0</v>
      </c>
      <c r="AL7244">
        <v>0</v>
      </c>
      <c r="AM7244">
        <v>-36.6</v>
      </c>
      <c r="AN7244">
        <v>-36.6</v>
      </c>
      <c r="AO7244">
        <v>-36.6</v>
      </c>
      <c r="AP7244" s="2">
        <v>42746</v>
      </c>
      <c r="AQ7244" t="s">
        <v>72</v>
      </c>
      <c r="AR7244" t="s">
        <v>72</v>
      </c>
      <c r="AS7244">
        <v>3129</v>
      </c>
      <c r="AT7244" s="4">
        <v>42690</v>
      </c>
      <c r="AV7244">
        <v>3129</v>
      </c>
      <c r="AW7244" s="4">
        <v>42690</v>
      </c>
      <c r="BD7244">
        <v>0</v>
      </c>
      <c r="BN7244" t="s">
        <v>74</v>
      </c>
    </row>
    <row r="7245" spans="1:66">
      <c r="A7245">
        <v>104129</v>
      </c>
      <c r="B7245" s="3" t="s">
        <v>615</v>
      </c>
      <c r="C7245" s="1">
        <v>43300101</v>
      </c>
      <c r="D7245" t="s">
        <v>67</v>
      </c>
      <c r="H7245" t="str">
        <f t="shared" si="708"/>
        <v>07123400157</v>
      </c>
      <c r="I7245" t="str">
        <f t="shared" si="709"/>
        <v>00847380961</v>
      </c>
      <c r="K7245" t="str">
        <f>""</f>
        <v/>
      </c>
      <c r="M7245" t="s">
        <v>68</v>
      </c>
      <c r="N7245" t="str">
        <f t="shared" si="710"/>
        <v>FOR</v>
      </c>
      <c r="O7245" t="s">
        <v>69</v>
      </c>
      <c r="P7245" s="3" t="s">
        <v>100</v>
      </c>
      <c r="Q7245">
        <v>2016</v>
      </c>
      <c r="R7245" s="2">
        <v>42611</v>
      </c>
      <c r="S7245" s="2">
        <v>42639</v>
      </c>
      <c r="T7245" s="2">
        <v>42636</v>
      </c>
      <c r="U7245" s="2">
        <v>42696</v>
      </c>
      <c r="V7245" t="s">
        <v>71</v>
      </c>
      <c r="W7245" t="str">
        <f>"           C16001025"</f>
        <v xml:space="preserve">           C16001025</v>
      </c>
      <c r="X7245">
        <v>-108.9</v>
      </c>
      <c r="Y7245">
        <v>0</v>
      </c>
      <c r="Z7245" s="3">
        <v>-108.9</v>
      </c>
      <c r="AA7245">
        <v>-6</v>
      </c>
      <c r="AB7245" s="3">
        <v>653.4</v>
      </c>
      <c r="AC7245">
        <v>-108.9</v>
      </c>
      <c r="AD7245">
        <v>-6</v>
      </c>
      <c r="AE7245">
        <v>653.4</v>
      </c>
      <c r="AF7245">
        <v>0</v>
      </c>
      <c r="AJ7245">
        <v>0</v>
      </c>
      <c r="AK7245">
        <v>0</v>
      </c>
      <c r="AL7245">
        <v>0</v>
      </c>
      <c r="AM7245">
        <v>-108.9</v>
      </c>
      <c r="AN7245">
        <v>-108.9</v>
      </c>
      <c r="AO7245">
        <v>-108.9</v>
      </c>
      <c r="AP7245" s="2">
        <v>42746</v>
      </c>
      <c r="AQ7245" t="s">
        <v>72</v>
      </c>
      <c r="AR7245" t="s">
        <v>72</v>
      </c>
      <c r="AS7245">
        <v>3129</v>
      </c>
      <c r="AT7245" s="4">
        <v>42690</v>
      </c>
      <c r="AV7245">
        <v>3129</v>
      </c>
      <c r="AW7245" s="4">
        <v>42690</v>
      </c>
      <c r="BD7245">
        <v>0</v>
      </c>
      <c r="BN7245" t="s">
        <v>74</v>
      </c>
    </row>
    <row r="7246" spans="1:66">
      <c r="A7246">
        <v>104129</v>
      </c>
      <c r="B7246" s="3" t="s">
        <v>615</v>
      </c>
      <c r="C7246" s="1">
        <v>43300101</v>
      </c>
      <c r="D7246" t="s">
        <v>67</v>
      </c>
      <c r="H7246" t="str">
        <f t="shared" si="708"/>
        <v>07123400157</v>
      </c>
      <c r="I7246" t="str">
        <f t="shared" si="709"/>
        <v>00847380961</v>
      </c>
      <c r="K7246" t="str">
        <f>""</f>
        <v/>
      </c>
      <c r="M7246" t="s">
        <v>68</v>
      </c>
      <c r="N7246" t="str">
        <f t="shared" si="710"/>
        <v>FOR</v>
      </c>
      <c r="O7246" t="s">
        <v>69</v>
      </c>
      <c r="P7246" s="3" t="s">
        <v>100</v>
      </c>
      <c r="Q7246">
        <v>2016</v>
      </c>
      <c r="R7246" s="2">
        <v>42611</v>
      </c>
      <c r="S7246" s="2">
        <v>42639</v>
      </c>
      <c r="T7246" s="2">
        <v>42636</v>
      </c>
      <c r="U7246" s="2">
        <v>42696</v>
      </c>
      <c r="V7246" t="s">
        <v>71</v>
      </c>
      <c r="W7246" t="str">
        <f>"           C16001026"</f>
        <v xml:space="preserve">           C16001026</v>
      </c>
      <c r="X7246">
        <v>-36.6</v>
      </c>
      <c r="Y7246">
        <v>0</v>
      </c>
      <c r="Z7246" s="3">
        <v>-36.6</v>
      </c>
      <c r="AA7246">
        <v>-6</v>
      </c>
      <c r="AB7246" s="3">
        <v>219.6</v>
      </c>
      <c r="AC7246">
        <v>-36.6</v>
      </c>
      <c r="AD7246">
        <v>-6</v>
      </c>
      <c r="AE7246">
        <v>219.6</v>
      </c>
      <c r="AF7246">
        <v>0</v>
      </c>
      <c r="AJ7246">
        <v>0</v>
      </c>
      <c r="AK7246">
        <v>0</v>
      </c>
      <c r="AL7246">
        <v>0</v>
      </c>
      <c r="AM7246">
        <v>-36.6</v>
      </c>
      <c r="AN7246">
        <v>-36.6</v>
      </c>
      <c r="AO7246">
        <v>-36.6</v>
      </c>
      <c r="AP7246" s="2">
        <v>42746</v>
      </c>
      <c r="AQ7246" t="s">
        <v>72</v>
      </c>
      <c r="AR7246" t="s">
        <v>72</v>
      </c>
      <c r="AS7246">
        <v>3129</v>
      </c>
      <c r="AT7246" s="4">
        <v>42690</v>
      </c>
      <c r="AV7246">
        <v>3129</v>
      </c>
      <c r="AW7246" s="4">
        <v>42690</v>
      </c>
      <c r="BD7246">
        <v>0</v>
      </c>
      <c r="BN7246" t="s">
        <v>74</v>
      </c>
    </row>
    <row r="7247" spans="1:66">
      <c r="A7247">
        <v>104129</v>
      </c>
      <c r="B7247" s="3" t="s">
        <v>615</v>
      </c>
      <c r="C7247" s="1">
        <v>43300101</v>
      </c>
      <c r="D7247" t="s">
        <v>67</v>
      </c>
      <c r="H7247" t="str">
        <f t="shared" si="708"/>
        <v>07123400157</v>
      </c>
      <c r="I7247" t="str">
        <f t="shared" si="709"/>
        <v>00847380961</v>
      </c>
      <c r="K7247" t="str">
        <f>""</f>
        <v/>
      </c>
      <c r="M7247" t="s">
        <v>68</v>
      </c>
      <c r="N7247" t="str">
        <f t="shared" si="710"/>
        <v>FOR</v>
      </c>
      <c r="O7247" t="s">
        <v>69</v>
      </c>
      <c r="P7247" s="3" t="s">
        <v>100</v>
      </c>
      <c r="Q7247">
        <v>2016</v>
      </c>
      <c r="R7247" s="2">
        <v>42639</v>
      </c>
      <c r="S7247" s="2">
        <v>42655</v>
      </c>
      <c r="T7247" s="2">
        <v>42655</v>
      </c>
      <c r="U7247" s="2">
        <v>42715</v>
      </c>
      <c r="V7247" t="s">
        <v>71</v>
      </c>
      <c r="W7247" t="str">
        <f>"           C16001299"</f>
        <v xml:space="preserve">           C16001299</v>
      </c>
      <c r="X7247">
        <v>-36.6</v>
      </c>
      <c r="Y7247">
        <v>0</v>
      </c>
      <c r="Z7247" s="3">
        <v>-36.6</v>
      </c>
      <c r="AA7247">
        <v>-25</v>
      </c>
      <c r="AB7247" s="3">
        <v>915</v>
      </c>
      <c r="AC7247">
        <v>-36.6</v>
      </c>
      <c r="AD7247">
        <v>-25</v>
      </c>
      <c r="AE7247">
        <v>915</v>
      </c>
      <c r="AF7247">
        <v>0</v>
      </c>
      <c r="AJ7247">
        <v>0</v>
      </c>
      <c r="AK7247">
        <v>-36.6</v>
      </c>
      <c r="AL7247">
        <v>0</v>
      </c>
      <c r="AM7247">
        <v>-36.6</v>
      </c>
      <c r="AN7247">
        <v>-36.6</v>
      </c>
      <c r="AO7247">
        <v>-36.6</v>
      </c>
      <c r="AP7247" s="2">
        <v>42746</v>
      </c>
      <c r="AQ7247" t="s">
        <v>72</v>
      </c>
      <c r="AR7247" t="s">
        <v>72</v>
      </c>
      <c r="AS7247">
        <v>3129</v>
      </c>
      <c r="AT7247" s="4">
        <v>42690</v>
      </c>
      <c r="AV7247">
        <v>3129</v>
      </c>
      <c r="AW7247" s="4">
        <v>42690</v>
      </c>
      <c r="BD7247">
        <v>0</v>
      </c>
      <c r="BN7247" t="s">
        <v>74</v>
      </c>
    </row>
    <row r="7248" spans="1:66">
      <c r="A7248">
        <v>104129</v>
      </c>
      <c r="B7248" s="3" t="s">
        <v>615</v>
      </c>
      <c r="C7248" s="1">
        <v>43300101</v>
      </c>
      <c r="D7248" t="s">
        <v>67</v>
      </c>
      <c r="H7248" t="str">
        <f t="shared" si="708"/>
        <v>07123400157</v>
      </c>
      <c r="I7248" t="str">
        <f t="shared" si="709"/>
        <v>00847380961</v>
      </c>
      <c r="K7248" t="str">
        <f>""</f>
        <v/>
      </c>
      <c r="M7248" t="s">
        <v>68</v>
      </c>
      <c r="N7248" t="str">
        <f t="shared" si="710"/>
        <v>FOR</v>
      </c>
      <c r="O7248" t="s">
        <v>69</v>
      </c>
      <c r="P7248" s="3" t="s">
        <v>100</v>
      </c>
      <c r="Q7248">
        <v>2016</v>
      </c>
      <c r="R7248" s="2">
        <v>42639</v>
      </c>
      <c r="S7248" s="2">
        <v>42655</v>
      </c>
      <c r="T7248" s="2">
        <v>42654</v>
      </c>
      <c r="U7248" s="2">
        <v>42714</v>
      </c>
      <c r="V7248" t="s">
        <v>71</v>
      </c>
      <c r="W7248" t="str">
        <f>"           C16001300"</f>
        <v xml:space="preserve">           C16001300</v>
      </c>
      <c r="X7248">
        <v>-146.4</v>
      </c>
      <c r="Y7248">
        <v>0</v>
      </c>
      <c r="Z7248" s="3">
        <v>-120</v>
      </c>
      <c r="AA7248">
        <v>-24</v>
      </c>
      <c r="AB7248" s="5">
        <v>2880</v>
      </c>
      <c r="AC7248">
        <v>-120</v>
      </c>
      <c r="AD7248">
        <v>-24</v>
      </c>
      <c r="AE7248" s="1">
        <v>2880</v>
      </c>
      <c r="AF7248">
        <v>0</v>
      </c>
      <c r="AJ7248">
        <v>0</v>
      </c>
      <c r="AK7248">
        <v>-146.4</v>
      </c>
      <c r="AL7248">
        <v>0</v>
      </c>
      <c r="AM7248">
        <v>-146.4</v>
      </c>
      <c r="AN7248">
        <v>-146.4</v>
      </c>
      <c r="AO7248">
        <v>-146.4</v>
      </c>
      <c r="AP7248" s="2">
        <v>42746</v>
      </c>
      <c r="AQ7248" t="s">
        <v>72</v>
      </c>
      <c r="AR7248" t="s">
        <v>72</v>
      </c>
      <c r="AS7248">
        <v>3129</v>
      </c>
      <c r="AT7248" s="4">
        <v>42690</v>
      </c>
      <c r="AV7248">
        <v>3129</v>
      </c>
      <c r="AW7248" s="4">
        <v>42690</v>
      </c>
      <c r="BD7248">
        <v>0</v>
      </c>
      <c r="BN7248" t="s">
        <v>74</v>
      </c>
    </row>
    <row r="7249" spans="1:66" hidden="1">
      <c r="A7249">
        <v>104130</v>
      </c>
      <c r="B7249" s="3" t="s">
        <v>616</v>
      </c>
      <c r="C7249" s="1">
        <v>43300101</v>
      </c>
      <c r="D7249" t="s">
        <v>67</v>
      </c>
      <c r="H7249" t="str">
        <f>"02481080964"</f>
        <v>02481080964</v>
      </c>
      <c r="I7249" t="str">
        <f>"02481080964"</f>
        <v>02481080964</v>
      </c>
      <c r="K7249" t="str">
        <f>""</f>
        <v/>
      </c>
      <c r="M7249" t="s">
        <v>68</v>
      </c>
      <c r="N7249" t="str">
        <f t="shared" si="710"/>
        <v>FOR</v>
      </c>
      <c r="O7249" t="s">
        <v>69</v>
      </c>
      <c r="P7249" s="3" t="s">
        <v>78</v>
      </c>
      <c r="Q7249">
        <v>2013</v>
      </c>
      <c r="R7249" s="2">
        <v>41530</v>
      </c>
      <c r="S7249" s="2">
        <v>41541</v>
      </c>
      <c r="T7249" s="2">
        <v>41541</v>
      </c>
      <c r="U7249" s="2">
        <v>41631</v>
      </c>
      <c r="V7249" t="s">
        <v>71</v>
      </c>
      <c r="W7249" t="str">
        <f>"                2828"</f>
        <v xml:space="preserve">                2828</v>
      </c>
      <c r="X7249" s="1">
        <v>10414.469999999999</v>
      </c>
      <c r="Y7249">
        <v>0</v>
      </c>
      <c r="Z7249"/>
      <c r="AB7249"/>
      <c r="AC7249" s="1">
        <v>10414.469999999999</v>
      </c>
      <c r="AD7249">
        <v>899</v>
      </c>
      <c r="AE7249" s="1">
        <v>9362608.5299999993</v>
      </c>
      <c r="AF7249">
        <v>0</v>
      </c>
      <c r="AJ7249">
        <v>0</v>
      </c>
      <c r="AK7249">
        <v>0</v>
      </c>
      <c r="AL7249">
        <v>0</v>
      </c>
      <c r="AM7249">
        <v>0</v>
      </c>
      <c r="AN7249">
        <v>0</v>
      </c>
      <c r="AO7249">
        <v>0</v>
      </c>
      <c r="AP7249" s="2">
        <v>42746</v>
      </c>
      <c r="AQ7249" t="s">
        <v>72</v>
      </c>
      <c r="AR7249" t="s">
        <v>72</v>
      </c>
      <c r="AS7249">
        <v>1605</v>
      </c>
      <c r="AT7249" s="4">
        <v>42530</v>
      </c>
      <c r="AU7249" t="s">
        <v>73</v>
      </c>
      <c r="AV7249">
        <v>1605</v>
      </c>
      <c r="AW7249" s="4">
        <v>42530</v>
      </c>
      <c r="BD7249">
        <v>0</v>
      </c>
      <c r="BN7249" t="s">
        <v>74</v>
      </c>
    </row>
    <row r="7250" spans="1:66" hidden="1">
      <c r="A7250">
        <v>104139</v>
      </c>
      <c r="B7250" s="3" t="s">
        <v>617</v>
      </c>
      <c r="C7250" s="1">
        <v>43300101</v>
      </c>
      <c r="D7250" t="s">
        <v>67</v>
      </c>
      <c r="H7250" t="str">
        <f>"06188330150"</f>
        <v>06188330150</v>
      </c>
      <c r="I7250" t="str">
        <f>"02066400405"</f>
        <v>02066400405</v>
      </c>
      <c r="K7250" t="str">
        <f>""</f>
        <v/>
      </c>
      <c r="M7250" t="s">
        <v>68</v>
      </c>
      <c r="N7250" t="str">
        <f t="shared" si="710"/>
        <v>FOR</v>
      </c>
      <c r="O7250" t="s">
        <v>69</v>
      </c>
      <c r="P7250" s="3" t="s">
        <v>75</v>
      </c>
      <c r="Q7250">
        <v>2015</v>
      </c>
      <c r="R7250" s="2">
        <v>42325</v>
      </c>
      <c r="S7250" s="2">
        <v>42345</v>
      </c>
      <c r="T7250" s="2">
        <v>42341</v>
      </c>
      <c r="U7250" s="2">
        <v>42401</v>
      </c>
      <c r="V7250" t="s">
        <v>71</v>
      </c>
      <c r="W7250" t="str">
        <f>"          0005845859"</f>
        <v xml:space="preserve">          0005845859</v>
      </c>
      <c r="X7250">
        <v>42</v>
      </c>
      <c r="Y7250">
        <v>0</v>
      </c>
      <c r="Z7250"/>
      <c r="AB7250"/>
      <c r="AC7250">
        <v>42</v>
      </c>
      <c r="AD7250">
        <v>2</v>
      </c>
      <c r="AE7250">
        <v>84</v>
      </c>
      <c r="AF7250">
        <v>0</v>
      </c>
      <c r="AJ7250">
        <v>0</v>
      </c>
      <c r="AK7250">
        <v>0</v>
      </c>
      <c r="AL7250">
        <v>0</v>
      </c>
      <c r="AM7250">
        <v>0</v>
      </c>
      <c r="AN7250">
        <v>0</v>
      </c>
      <c r="AO7250">
        <v>0</v>
      </c>
      <c r="AP7250" s="2">
        <v>42746</v>
      </c>
      <c r="AQ7250" t="s">
        <v>72</v>
      </c>
      <c r="AR7250" t="s">
        <v>72</v>
      </c>
      <c r="AS7250">
        <v>212</v>
      </c>
      <c r="AT7250" s="4">
        <v>42403</v>
      </c>
      <c r="AU7250" t="s">
        <v>73</v>
      </c>
      <c r="AV7250">
        <v>212</v>
      </c>
      <c r="AW7250" s="4">
        <v>42403</v>
      </c>
      <c r="BD7250">
        <v>0</v>
      </c>
      <c r="BN7250" t="s">
        <v>74</v>
      </c>
    </row>
    <row r="7251" spans="1:66">
      <c r="A7251">
        <v>104139</v>
      </c>
      <c r="B7251" s="3" t="s">
        <v>617</v>
      </c>
      <c r="C7251" s="1">
        <v>43300101</v>
      </c>
      <c r="D7251" t="s">
        <v>67</v>
      </c>
      <c r="H7251" t="str">
        <f>"06188330150"</f>
        <v>06188330150</v>
      </c>
      <c r="I7251" t="str">
        <f>"02066400405"</f>
        <v>02066400405</v>
      </c>
      <c r="K7251" t="str">
        <f>""</f>
        <v/>
      </c>
      <c r="M7251" t="s">
        <v>68</v>
      </c>
      <c r="N7251" t="str">
        <f t="shared" si="710"/>
        <v>FOR</v>
      </c>
      <c r="O7251" t="s">
        <v>69</v>
      </c>
      <c r="P7251" s="3" t="s">
        <v>75</v>
      </c>
      <c r="Q7251">
        <v>2016</v>
      </c>
      <c r="R7251" s="2">
        <v>42640</v>
      </c>
      <c r="S7251" s="2">
        <v>42642</v>
      </c>
      <c r="T7251" s="2">
        <v>42640</v>
      </c>
      <c r="U7251" s="2">
        <v>42700</v>
      </c>
      <c r="V7251" t="s">
        <v>71</v>
      </c>
      <c r="W7251" t="str">
        <f>"          0002134578"</f>
        <v xml:space="preserve">          0002134578</v>
      </c>
      <c r="X7251">
        <v>509.96</v>
      </c>
      <c r="Y7251">
        <v>0</v>
      </c>
      <c r="Z7251" s="3">
        <v>418</v>
      </c>
      <c r="AA7251">
        <v>-16</v>
      </c>
      <c r="AB7251" s="5">
        <v>-6688</v>
      </c>
      <c r="AC7251">
        <v>418</v>
      </c>
      <c r="AD7251">
        <v>-16</v>
      </c>
      <c r="AE7251" s="1">
        <v>-6688</v>
      </c>
      <c r="AF7251">
        <v>0</v>
      </c>
      <c r="AJ7251">
        <v>0</v>
      </c>
      <c r="AK7251">
        <v>0</v>
      </c>
      <c r="AL7251">
        <v>0</v>
      </c>
      <c r="AM7251">
        <v>509.96</v>
      </c>
      <c r="AN7251">
        <v>509.96</v>
      </c>
      <c r="AO7251">
        <v>509.96</v>
      </c>
      <c r="AP7251" s="2">
        <v>42746</v>
      </c>
      <c r="AQ7251" t="s">
        <v>72</v>
      </c>
      <c r="AR7251" t="s">
        <v>72</v>
      </c>
      <c r="AS7251">
        <v>3069</v>
      </c>
      <c r="AT7251" s="4">
        <v>42684</v>
      </c>
      <c r="AV7251">
        <v>3069</v>
      </c>
      <c r="AW7251" s="4">
        <v>42684</v>
      </c>
      <c r="BD7251">
        <v>0</v>
      </c>
      <c r="BN7251" t="s">
        <v>74</v>
      </c>
    </row>
    <row r="7252" spans="1:66" hidden="1">
      <c r="A7252">
        <v>104145</v>
      </c>
      <c r="B7252" s="3" t="s">
        <v>618</v>
      </c>
      <c r="C7252" s="1">
        <v>43300101</v>
      </c>
      <c r="D7252" t="s">
        <v>67</v>
      </c>
      <c r="H7252" t="str">
        <f t="shared" ref="H7252:I7262" si="711">"02642020156"</f>
        <v>02642020156</v>
      </c>
      <c r="I7252" t="str">
        <f t="shared" si="711"/>
        <v>02642020156</v>
      </c>
      <c r="K7252" t="str">
        <f>""</f>
        <v/>
      </c>
      <c r="M7252" t="s">
        <v>68</v>
      </c>
      <c r="N7252" t="str">
        <f t="shared" si="710"/>
        <v>FOR</v>
      </c>
      <c r="O7252" t="s">
        <v>69</v>
      </c>
      <c r="P7252" s="3" t="s">
        <v>75</v>
      </c>
      <c r="Q7252">
        <v>2015</v>
      </c>
      <c r="R7252" s="2">
        <v>42178</v>
      </c>
      <c r="S7252" s="2">
        <v>42186</v>
      </c>
      <c r="T7252" s="2">
        <v>42182</v>
      </c>
      <c r="U7252" s="2">
        <v>42242</v>
      </c>
      <c r="V7252" t="s">
        <v>71</v>
      </c>
      <c r="W7252" t="str">
        <f>"          9923014543"</f>
        <v xml:space="preserve">          9923014543</v>
      </c>
      <c r="X7252" s="1">
        <v>1760</v>
      </c>
      <c r="Y7252">
        <v>0</v>
      </c>
      <c r="Z7252"/>
      <c r="AB7252"/>
      <c r="AC7252" s="1">
        <v>1600</v>
      </c>
      <c r="AD7252">
        <v>278</v>
      </c>
      <c r="AE7252" s="1">
        <v>444800</v>
      </c>
      <c r="AF7252">
        <v>0</v>
      </c>
      <c r="AJ7252">
        <v>0</v>
      </c>
      <c r="AK7252">
        <v>0</v>
      </c>
      <c r="AL7252">
        <v>0</v>
      </c>
      <c r="AM7252">
        <v>0</v>
      </c>
      <c r="AN7252">
        <v>0</v>
      </c>
      <c r="AO7252">
        <v>0</v>
      </c>
      <c r="AP7252" s="2">
        <v>42746</v>
      </c>
      <c r="AQ7252" t="s">
        <v>72</v>
      </c>
      <c r="AR7252" t="s">
        <v>72</v>
      </c>
      <c r="AS7252">
        <v>1411</v>
      </c>
      <c r="AT7252" s="4">
        <v>42520</v>
      </c>
      <c r="AU7252" t="s">
        <v>73</v>
      </c>
      <c r="AV7252">
        <v>1411</v>
      </c>
      <c r="AW7252" s="4">
        <v>42520</v>
      </c>
      <c r="BD7252">
        <v>0</v>
      </c>
      <c r="BN7252" t="s">
        <v>74</v>
      </c>
    </row>
    <row r="7253" spans="1:66" hidden="1">
      <c r="A7253">
        <v>104145</v>
      </c>
      <c r="B7253" s="3" t="s">
        <v>618</v>
      </c>
      <c r="C7253" s="1">
        <v>43300101</v>
      </c>
      <c r="D7253" t="s">
        <v>67</v>
      </c>
      <c r="H7253" t="str">
        <f t="shared" si="711"/>
        <v>02642020156</v>
      </c>
      <c r="I7253" t="str">
        <f t="shared" si="711"/>
        <v>02642020156</v>
      </c>
      <c r="K7253" t="str">
        <f>""</f>
        <v/>
      </c>
      <c r="M7253" t="s">
        <v>68</v>
      </c>
      <c r="N7253" t="str">
        <f t="shared" si="710"/>
        <v>FOR</v>
      </c>
      <c r="O7253" t="s">
        <v>69</v>
      </c>
      <c r="P7253" s="3" t="s">
        <v>75</v>
      </c>
      <c r="Q7253">
        <v>2015</v>
      </c>
      <c r="R7253" s="2">
        <v>42297</v>
      </c>
      <c r="S7253" s="2">
        <v>42300</v>
      </c>
      <c r="T7253" s="2">
        <v>42299</v>
      </c>
      <c r="U7253" s="2">
        <v>42359</v>
      </c>
      <c r="V7253" t="s">
        <v>71</v>
      </c>
      <c r="W7253" t="str">
        <f>"          9923017588"</f>
        <v xml:space="preserve">          9923017588</v>
      </c>
      <c r="X7253" s="1">
        <v>3520</v>
      </c>
      <c r="Y7253">
        <v>0</v>
      </c>
      <c r="Z7253"/>
      <c r="AB7253"/>
      <c r="AC7253" s="1">
        <v>3200</v>
      </c>
      <c r="AD7253">
        <v>161</v>
      </c>
      <c r="AE7253" s="1">
        <v>515200</v>
      </c>
      <c r="AF7253">
        <v>0</v>
      </c>
      <c r="AJ7253">
        <v>0</v>
      </c>
      <c r="AK7253">
        <v>0</v>
      </c>
      <c r="AL7253">
        <v>0</v>
      </c>
      <c r="AM7253">
        <v>0</v>
      </c>
      <c r="AN7253">
        <v>0</v>
      </c>
      <c r="AO7253">
        <v>0</v>
      </c>
      <c r="AP7253" s="2">
        <v>42746</v>
      </c>
      <c r="AQ7253" t="s">
        <v>72</v>
      </c>
      <c r="AR7253" t="s">
        <v>72</v>
      </c>
      <c r="AS7253">
        <v>1411</v>
      </c>
      <c r="AT7253" s="4">
        <v>42520</v>
      </c>
      <c r="AU7253" t="s">
        <v>73</v>
      </c>
      <c r="AV7253">
        <v>1411</v>
      </c>
      <c r="AW7253" s="4">
        <v>42520</v>
      </c>
      <c r="BD7253">
        <v>0</v>
      </c>
      <c r="BN7253" t="s">
        <v>74</v>
      </c>
    </row>
    <row r="7254" spans="1:66" hidden="1">
      <c r="A7254">
        <v>104145</v>
      </c>
      <c r="B7254" s="3" t="s">
        <v>618</v>
      </c>
      <c r="C7254" s="1">
        <v>43300101</v>
      </c>
      <c r="D7254" t="s">
        <v>67</v>
      </c>
      <c r="H7254" t="str">
        <f t="shared" si="711"/>
        <v>02642020156</v>
      </c>
      <c r="I7254" t="str">
        <f t="shared" si="711"/>
        <v>02642020156</v>
      </c>
      <c r="K7254" t="str">
        <f>""</f>
        <v/>
      </c>
      <c r="M7254" t="s">
        <v>68</v>
      </c>
      <c r="N7254" t="str">
        <f t="shared" si="710"/>
        <v>FOR</v>
      </c>
      <c r="O7254" t="s">
        <v>69</v>
      </c>
      <c r="P7254" s="3" t="s">
        <v>75</v>
      </c>
      <c r="Q7254">
        <v>2015</v>
      </c>
      <c r="R7254" s="2">
        <v>42300</v>
      </c>
      <c r="S7254" s="2">
        <v>42305</v>
      </c>
      <c r="T7254" s="2">
        <v>42303</v>
      </c>
      <c r="U7254" s="2">
        <v>42363</v>
      </c>
      <c r="V7254" t="s">
        <v>71</v>
      </c>
      <c r="W7254" t="str">
        <f>"          9923017699"</f>
        <v xml:space="preserve">          9923017699</v>
      </c>
      <c r="X7254" s="1">
        <v>1760</v>
      </c>
      <c r="Y7254">
        <v>0</v>
      </c>
      <c r="Z7254"/>
      <c r="AB7254"/>
      <c r="AC7254" s="1">
        <v>1600</v>
      </c>
      <c r="AD7254">
        <v>157</v>
      </c>
      <c r="AE7254" s="1">
        <v>251200</v>
      </c>
      <c r="AF7254">
        <v>0</v>
      </c>
      <c r="AJ7254">
        <v>0</v>
      </c>
      <c r="AK7254">
        <v>0</v>
      </c>
      <c r="AL7254">
        <v>0</v>
      </c>
      <c r="AM7254">
        <v>0</v>
      </c>
      <c r="AN7254">
        <v>0</v>
      </c>
      <c r="AO7254">
        <v>0</v>
      </c>
      <c r="AP7254" s="2">
        <v>42746</v>
      </c>
      <c r="AQ7254" t="s">
        <v>72</v>
      </c>
      <c r="AR7254" t="s">
        <v>72</v>
      </c>
      <c r="AS7254">
        <v>1411</v>
      </c>
      <c r="AT7254" s="4">
        <v>42520</v>
      </c>
      <c r="AU7254" t="s">
        <v>73</v>
      </c>
      <c r="AV7254">
        <v>1411</v>
      </c>
      <c r="AW7254" s="4">
        <v>42520</v>
      </c>
      <c r="BD7254">
        <v>0</v>
      </c>
      <c r="BN7254" t="s">
        <v>74</v>
      </c>
    </row>
    <row r="7255" spans="1:66" hidden="1">
      <c r="A7255">
        <v>104145</v>
      </c>
      <c r="B7255" s="3" t="s">
        <v>618</v>
      </c>
      <c r="C7255" s="1">
        <v>43300101</v>
      </c>
      <c r="D7255" t="s">
        <v>67</v>
      </c>
      <c r="H7255" t="str">
        <f t="shared" si="711"/>
        <v>02642020156</v>
      </c>
      <c r="I7255" t="str">
        <f t="shared" si="711"/>
        <v>02642020156</v>
      </c>
      <c r="K7255" t="str">
        <f>""</f>
        <v/>
      </c>
      <c r="M7255" t="s">
        <v>68</v>
      </c>
      <c r="N7255" t="str">
        <f t="shared" si="710"/>
        <v>FOR</v>
      </c>
      <c r="O7255" t="s">
        <v>69</v>
      </c>
      <c r="P7255" s="3" t="s">
        <v>75</v>
      </c>
      <c r="Q7255">
        <v>2015</v>
      </c>
      <c r="R7255" s="2">
        <v>42317</v>
      </c>
      <c r="S7255" s="2">
        <v>42320</v>
      </c>
      <c r="T7255" s="2">
        <v>42320</v>
      </c>
      <c r="U7255" s="2">
        <v>42380</v>
      </c>
      <c r="V7255" t="s">
        <v>71</v>
      </c>
      <c r="W7255" t="str">
        <f>"          9923018126"</f>
        <v xml:space="preserve">          9923018126</v>
      </c>
      <c r="X7255" s="1">
        <v>1320</v>
      </c>
      <c r="Y7255">
        <v>0</v>
      </c>
      <c r="Z7255"/>
      <c r="AB7255"/>
      <c r="AC7255" s="1">
        <v>1200</v>
      </c>
      <c r="AD7255">
        <v>197</v>
      </c>
      <c r="AE7255" s="1">
        <v>236400</v>
      </c>
      <c r="AF7255">
        <v>0</v>
      </c>
      <c r="AJ7255">
        <v>0</v>
      </c>
      <c r="AK7255">
        <v>0</v>
      </c>
      <c r="AL7255">
        <v>0</v>
      </c>
      <c r="AM7255">
        <v>0</v>
      </c>
      <c r="AN7255">
        <v>0</v>
      </c>
      <c r="AO7255">
        <v>0</v>
      </c>
      <c r="AP7255" s="2">
        <v>42746</v>
      </c>
      <c r="AQ7255" t="s">
        <v>72</v>
      </c>
      <c r="AR7255" t="s">
        <v>72</v>
      </c>
      <c r="AS7255">
        <v>1967</v>
      </c>
      <c r="AT7255" s="4">
        <v>42577</v>
      </c>
      <c r="AU7255" t="s">
        <v>73</v>
      </c>
      <c r="AV7255">
        <v>1967</v>
      </c>
      <c r="AW7255" s="4">
        <v>42577</v>
      </c>
      <c r="BD7255">
        <v>0</v>
      </c>
      <c r="BN7255" t="s">
        <v>74</v>
      </c>
    </row>
    <row r="7256" spans="1:66" hidden="1">
      <c r="A7256">
        <v>104145</v>
      </c>
      <c r="B7256" s="3" t="s">
        <v>618</v>
      </c>
      <c r="C7256" s="1">
        <v>43300101</v>
      </c>
      <c r="D7256" t="s">
        <v>67</v>
      </c>
      <c r="H7256" t="str">
        <f t="shared" si="711"/>
        <v>02642020156</v>
      </c>
      <c r="I7256" t="str">
        <f t="shared" si="711"/>
        <v>02642020156</v>
      </c>
      <c r="K7256" t="str">
        <f>""</f>
        <v/>
      </c>
      <c r="M7256" t="s">
        <v>68</v>
      </c>
      <c r="N7256" t="str">
        <f t="shared" si="710"/>
        <v>FOR</v>
      </c>
      <c r="O7256" t="s">
        <v>69</v>
      </c>
      <c r="P7256" s="3" t="s">
        <v>75</v>
      </c>
      <c r="Q7256">
        <v>2015</v>
      </c>
      <c r="R7256" s="2">
        <v>42327</v>
      </c>
      <c r="S7256" s="2">
        <v>42328</v>
      </c>
      <c r="T7256" s="2">
        <v>42328</v>
      </c>
      <c r="U7256" s="2">
        <v>42388</v>
      </c>
      <c r="V7256" t="s">
        <v>71</v>
      </c>
      <c r="W7256" t="str">
        <f>"          9923018447"</f>
        <v xml:space="preserve">          9923018447</v>
      </c>
      <c r="X7256" s="1">
        <v>1760</v>
      </c>
      <c r="Y7256">
        <v>0</v>
      </c>
      <c r="Z7256"/>
      <c r="AB7256"/>
      <c r="AC7256" s="1">
        <v>1600</v>
      </c>
      <c r="AD7256">
        <v>189</v>
      </c>
      <c r="AE7256" s="1">
        <v>302400</v>
      </c>
      <c r="AF7256">
        <v>0</v>
      </c>
      <c r="AJ7256">
        <v>0</v>
      </c>
      <c r="AK7256">
        <v>0</v>
      </c>
      <c r="AL7256">
        <v>0</v>
      </c>
      <c r="AM7256">
        <v>0</v>
      </c>
      <c r="AN7256">
        <v>0</v>
      </c>
      <c r="AO7256">
        <v>0</v>
      </c>
      <c r="AP7256" s="2">
        <v>42746</v>
      </c>
      <c r="AQ7256" t="s">
        <v>72</v>
      </c>
      <c r="AR7256" t="s">
        <v>72</v>
      </c>
      <c r="AS7256">
        <v>1967</v>
      </c>
      <c r="AT7256" s="4">
        <v>42577</v>
      </c>
      <c r="AU7256" t="s">
        <v>73</v>
      </c>
      <c r="AV7256">
        <v>1967</v>
      </c>
      <c r="AW7256" s="4">
        <v>42577</v>
      </c>
      <c r="BD7256">
        <v>0</v>
      </c>
      <c r="BN7256" t="s">
        <v>74</v>
      </c>
    </row>
    <row r="7257" spans="1:66" hidden="1">
      <c r="A7257">
        <v>104145</v>
      </c>
      <c r="B7257" s="3" t="s">
        <v>618</v>
      </c>
      <c r="C7257" s="1">
        <v>43300101</v>
      </c>
      <c r="D7257" t="s">
        <v>67</v>
      </c>
      <c r="H7257" t="str">
        <f t="shared" si="711"/>
        <v>02642020156</v>
      </c>
      <c r="I7257" t="str">
        <f t="shared" si="711"/>
        <v>02642020156</v>
      </c>
      <c r="K7257" t="str">
        <f>""</f>
        <v/>
      </c>
      <c r="M7257" t="s">
        <v>68</v>
      </c>
      <c r="N7257" t="str">
        <f t="shared" si="710"/>
        <v>FOR</v>
      </c>
      <c r="O7257" t="s">
        <v>69</v>
      </c>
      <c r="P7257" s="3" t="s">
        <v>75</v>
      </c>
      <c r="Q7257">
        <v>2015</v>
      </c>
      <c r="R7257" s="2">
        <v>42347</v>
      </c>
      <c r="S7257" s="2">
        <v>42353</v>
      </c>
      <c r="T7257" s="2">
        <v>42348</v>
      </c>
      <c r="U7257" s="2">
        <v>42408</v>
      </c>
      <c r="V7257" t="s">
        <v>71</v>
      </c>
      <c r="W7257" t="str">
        <f>"          9923018948"</f>
        <v xml:space="preserve">          9923018948</v>
      </c>
      <c r="X7257" s="1">
        <v>1760</v>
      </c>
      <c r="Y7257">
        <v>0</v>
      </c>
      <c r="Z7257"/>
      <c r="AB7257"/>
      <c r="AC7257" s="1">
        <v>1600</v>
      </c>
      <c r="AD7257">
        <v>212</v>
      </c>
      <c r="AE7257" s="1">
        <v>339200</v>
      </c>
      <c r="AF7257">
        <v>0</v>
      </c>
      <c r="AJ7257">
        <v>0</v>
      </c>
      <c r="AK7257">
        <v>0</v>
      </c>
      <c r="AL7257">
        <v>0</v>
      </c>
      <c r="AM7257">
        <v>0</v>
      </c>
      <c r="AN7257">
        <v>0</v>
      </c>
      <c r="AO7257">
        <v>0</v>
      </c>
      <c r="AP7257" s="2">
        <v>42746</v>
      </c>
      <c r="AQ7257" t="s">
        <v>72</v>
      </c>
      <c r="AR7257" t="s">
        <v>72</v>
      </c>
      <c r="AS7257">
        <v>2310</v>
      </c>
      <c r="AT7257" s="4">
        <v>42620</v>
      </c>
      <c r="AU7257" t="s">
        <v>73</v>
      </c>
      <c r="AV7257">
        <v>2310</v>
      </c>
      <c r="AW7257" s="4">
        <v>42620</v>
      </c>
      <c r="BD7257">
        <v>0</v>
      </c>
      <c r="BN7257" t="s">
        <v>74</v>
      </c>
    </row>
    <row r="7258" spans="1:66" hidden="1">
      <c r="A7258">
        <v>104145</v>
      </c>
      <c r="B7258" s="3" t="s">
        <v>618</v>
      </c>
      <c r="C7258" s="1">
        <v>43300101</v>
      </c>
      <c r="D7258" t="s">
        <v>67</v>
      </c>
      <c r="H7258" t="str">
        <f t="shared" si="711"/>
        <v>02642020156</v>
      </c>
      <c r="I7258" t="str">
        <f t="shared" si="711"/>
        <v>02642020156</v>
      </c>
      <c r="K7258" t="str">
        <f>""</f>
        <v/>
      </c>
      <c r="M7258" t="s">
        <v>68</v>
      </c>
      <c r="N7258" t="str">
        <f t="shared" si="710"/>
        <v>FOR</v>
      </c>
      <c r="O7258" t="s">
        <v>69</v>
      </c>
      <c r="P7258" s="3" t="s">
        <v>75</v>
      </c>
      <c r="Q7258">
        <v>2015</v>
      </c>
      <c r="R7258" s="2">
        <v>42352</v>
      </c>
      <c r="S7258" s="2">
        <v>42354</v>
      </c>
      <c r="T7258" s="2">
        <v>42353</v>
      </c>
      <c r="U7258" s="2">
        <v>42413</v>
      </c>
      <c r="V7258" t="s">
        <v>71</v>
      </c>
      <c r="W7258" t="str">
        <f>"          9923019136"</f>
        <v xml:space="preserve">          9923019136</v>
      </c>
      <c r="X7258">
        <v>880</v>
      </c>
      <c r="Y7258">
        <v>0</v>
      </c>
      <c r="Z7258"/>
      <c r="AB7258"/>
      <c r="AC7258">
        <v>800</v>
      </c>
      <c r="AD7258">
        <v>207</v>
      </c>
      <c r="AE7258" s="1">
        <v>165600</v>
      </c>
      <c r="AF7258">
        <v>0</v>
      </c>
      <c r="AJ7258">
        <v>0</v>
      </c>
      <c r="AK7258">
        <v>0</v>
      </c>
      <c r="AL7258">
        <v>0</v>
      </c>
      <c r="AM7258">
        <v>0</v>
      </c>
      <c r="AN7258">
        <v>0</v>
      </c>
      <c r="AO7258">
        <v>0</v>
      </c>
      <c r="AP7258" s="2">
        <v>42746</v>
      </c>
      <c r="AQ7258" t="s">
        <v>72</v>
      </c>
      <c r="AR7258" t="s">
        <v>72</v>
      </c>
      <c r="AS7258">
        <v>2310</v>
      </c>
      <c r="AT7258" s="4">
        <v>42620</v>
      </c>
      <c r="AU7258" t="s">
        <v>73</v>
      </c>
      <c r="AV7258">
        <v>2310</v>
      </c>
      <c r="AW7258" s="4">
        <v>42620</v>
      </c>
      <c r="BD7258">
        <v>0</v>
      </c>
      <c r="BN7258" t="s">
        <v>74</v>
      </c>
    </row>
    <row r="7259" spans="1:66" hidden="1">
      <c r="A7259">
        <v>104145</v>
      </c>
      <c r="B7259" s="3" t="s">
        <v>618</v>
      </c>
      <c r="C7259" s="1">
        <v>43300101</v>
      </c>
      <c r="D7259" t="s">
        <v>67</v>
      </c>
      <c r="H7259" t="str">
        <f t="shared" si="711"/>
        <v>02642020156</v>
      </c>
      <c r="I7259" t="str">
        <f t="shared" si="711"/>
        <v>02642020156</v>
      </c>
      <c r="K7259" t="str">
        <f>""</f>
        <v/>
      </c>
      <c r="M7259" t="s">
        <v>68</v>
      </c>
      <c r="N7259" t="str">
        <f t="shared" si="710"/>
        <v>FOR</v>
      </c>
      <c r="O7259" t="s">
        <v>69</v>
      </c>
      <c r="P7259" s="3" t="s">
        <v>75</v>
      </c>
      <c r="Q7259">
        <v>2015</v>
      </c>
      <c r="R7259" s="2">
        <v>42360</v>
      </c>
      <c r="S7259" s="2">
        <v>42366</v>
      </c>
      <c r="T7259" s="2">
        <v>42361</v>
      </c>
      <c r="U7259" s="2">
        <v>42421</v>
      </c>
      <c r="V7259" t="s">
        <v>71</v>
      </c>
      <c r="W7259" t="str">
        <f>"          9923019406"</f>
        <v xml:space="preserve">          9923019406</v>
      </c>
      <c r="X7259" s="1">
        <v>2640</v>
      </c>
      <c r="Y7259">
        <v>0</v>
      </c>
      <c r="Z7259"/>
      <c r="AB7259"/>
      <c r="AC7259" s="1">
        <v>2400</v>
      </c>
      <c r="AD7259">
        <v>199</v>
      </c>
      <c r="AE7259" s="1">
        <v>477600</v>
      </c>
      <c r="AF7259">
        <v>0</v>
      </c>
      <c r="AJ7259">
        <v>0</v>
      </c>
      <c r="AK7259">
        <v>0</v>
      </c>
      <c r="AL7259">
        <v>0</v>
      </c>
      <c r="AM7259">
        <v>0</v>
      </c>
      <c r="AN7259">
        <v>0</v>
      </c>
      <c r="AO7259">
        <v>0</v>
      </c>
      <c r="AP7259" s="2">
        <v>42746</v>
      </c>
      <c r="AQ7259" t="s">
        <v>72</v>
      </c>
      <c r="AR7259" t="s">
        <v>72</v>
      </c>
      <c r="AS7259">
        <v>2310</v>
      </c>
      <c r="AT7259" s="4">
        <v>42620</v>
      </c>
      <c r="AU7259" t="s">
        <v>73</v>
      </c>
      <c r="AV7259">
        <v>2310</v>
      </c>
      <c r="AW7259" s="4">
        <v>42620</v>
      </c>
      <c r="BD7259">
        <v>0</v>
      </c>
      <c r="BN7259" t="s">
        <v>74</v>
      </c>
    </row>
    <row r="7260" spans="1:66">
      <c r="A7260">
        <v>104145</v>
      </c>
      <c r="B7260" s="3" t="s">
        <v>618</v>
      </c>
      <c r="C7260" s="1">
        <v>43300101</v>
      </c>
      <c r="D7260" t="s">
        <v>67</v>
      </c>
      <c r="H7260" t="str">
        <f t="shared" si="711"/>
        <v>02642020156</v>
      </c>
      <c r="I7260" t="str">
        <f t="shared" si="711"/>
        <v>02642020156</v>
      </c>
      <c r="K7260" t="str">
        <f>""</f>
        <v/>
      </c>
      <c r="M7260" t="s">
        <v>68</v>
      </c>
      <c r="N7260" t="str">
        <f t="shared" ref="N7260:N7273" si="712">"FOR"</f>
        <v>FOR</v>
      </c>
      <c r="O7260" t="s">
        <v>69</v>
      </c>
      <c r="P7260" s="3" t="s">
        <v>75</v>
      </c>
      <c r="Q7260">
        <v>2016</v>
      </c>
      <c r="R7260" s="2">
        <v>42394</v>
      </c>
      <c r="S7260" s="2">
        <v>42396</v>
      </c>
      <c r="T7260" s="2">
        <v>42395</v>
      </c>
      <c r="U7260" s="2">
        <v>42455</v>
      </c>
      <c r="V7260" t="s">
        <v>71</v>
      </c>
      <c r="W7260" t="str">
        <f>"          9923020120"</f>
        <v xml:space="preserve">          9923020120</v>
      </c>
      <c r="X7260" s="1">
        <v>1760</v>
      </c>
      <c r="Y7260">
        <v>0</v>
      </c>
      <c r="Z7260" s="5">
        <v>1600</v>
      </c>
      <c r="AA7260">
        <v>193</v>
      </c>
      <c r="AB7260" s="5">
        <v>308800</v>
      </c>
      <c r="AC7260" s="1">
        <v>1600</v>
      </c>
      <c r="AD7260">
        <v>193</v>
      </c>
      <c r="AE7260" s="1">
        <v>308800</v>
      </c>
      <c r="AF7260">
        <v>0</v>
      </c>
      <c r="AJ7260">
        <v>0</v>
      </c>
      <c r="AK7260">
        <v>0</v>
      </c>
      <c r="AL7260">
        <v>0</v>
      </c>
      <c r="AM7260" s="1">
        <v>1760</v>
      </c>
      <c r="AN7260" s="1">
        <v>1760</v>
      </c>
      <c r="AO7260" s="1">
        <v>1760</v>
      </c>
      <c r="AP7260" s="2">
        <v>42746</v>
      </c>
      <c r="AQ7260" t="s">
        <v>72</v>
      </c>
      <c r="AR7260" t="s">
        <v>72</v>
      </c>
      <c r="AS7260">
        <v>2667</v>
      </c>
      <c r="AT7260" s="4">
        <v>42648</v>
      </c>
      <c r="AU7260" t="s">
        <v>73</v>
      </c>
      <c r="AV7260">
        <v>2667</v>
      </c>
      <c r="AW7260" s="4">
        <v>42648</v>
      </c>
      <c r="BD7260">
        <v>0</v>
      </c>
      <c r="BN7260" t="s">
        <v>74</v>
      </c>
    </row>
    <row r="7261" spans="1:66">
      <c r="A7261">
        <v>104145</v>
      </c>
      <c r="B7261" s="3" t="s">
        <v>618</v>
      </c>
      <c r="C7261" s="1">
        <v>43300101</v>
      </c>
      <c r="D7261" t="s">
        <v>67</v>
      </c>
      <c r="H7261" t="str">
        <f t="shared" si="711"/>
        <v>02642020156</v>
      </c>
      <c r="I7261" t="str">
        <f t="shared" si="711"/>
        <v>02642020156</v>
      </c>
      <c r="K7261" t="str">
        <f>""</f>
        <v/>
      </c>
      <c r="M7261" t="s">
        <v>68</v>
      </c>
      <c r="N7261" t="str">
        <f t="shared" si="712"/>
        <v>FOR</v>
      </c>
      <c r="O7261" t="s">
        <v>69</v>
      </c>
      <c r="P7261" s="3" t="s">
        <v>75</v>
      </c>
      <c r="Q7261">
        <v>2016</v>
      </c>
      <c r="R7261" s="2">
        <v>42436</v>
      </c>
      <c r="S7261" s="2">
        <v>42438</v>
      </c>
      <c r="T7261" s="2">
        <v>42437</v>
      </c>
      <c r="U7261" s="2">
        <v>42497</v>
      </c>
      <c r="V7261" t="s">
        <v>71</v>
      </c>
      <c r="W7261" t="str">
        <f>"          9923021318"</f>
        <v xml:space="preserve">          9923021318</v>
      </c>
      <c r="X7261" s="1">
        <v>1760</v>
      </c>
      <c r="Y7261">
        <v>0</v>
      </c>
      <c r="Z7261" s="5">
        <v>1600</v>
      </c>
      <c r="AA7261">
        <v>151</v>
      </c>
      <c r="AB7261" s="5">
        <v>241600</v>
      </c>
      <c r="AC7261" s="1">
        <v>1600</v>
      </c>
      <c r="AD7261">
        <v>151</v>
      </c>
      <c r="AE7261" s="1">
        <v>241600</v>
      </c>
      <c r="AF7261">
        <v>0</v>
      </c>
      <c r="AJ7261">
        <v>0</v>
      </c>
      <c r="AK7261">
        <v>0</v>
      </c>
      <c r="AL7261">
        <v>0</v>
      </c>
      <c r="AM7261" s="1">
        <v>1760</v>
      </c>
      <c r="AN7261" s="1">
        <v>1760</v>
      </c>
      <c r="AO7261" s="1">
        <v>1760</v>
      </c>
      <c r="AP7261" s="2">
        <v>42746</v>
      </c>
      <c r="AQ7261" t="s">
        <v>72</v>
      </c>
      <c r="AR7261" t="s">
        <v>72</v>
      </c>
      <c r="AS7261">
        <v>2667</v>
      </c>
      <c r="AT7261" s="4">
        <v>42648</v>
      </c>
      <c r="AU7261" t="s">
        <v>73</v>
      </c>
      <c r="AV7261">
        <v>2667</v>
      </c>
      <c r="AW7261" s="4">
        <v>42648</v>
      </c>
      <c r="BD7261">
        <v>0</v>
      </c>
      <c r="BN7261" t="s">
        <v>74</v>
      </c>
    </row>
    <row r="7262" spans="1:66">
      <c r="A7262">
        <v>104145</v>
      </c>
      <c r="B7262" s="3" t="s">
        <v>618</v>
      </c>
      <c r="C7262" s="1">
        <v>43300101</v>
      </c>
      <c r="D7262" t="s">
        <v>67</v>
      </c>
      <c r="H7262" t="str">
        <f t="shared" si="711"/>
        <v>02642020156</v>
      </c>
      <c r="I7262" t="str">
        <f t="shared" si="711"/>
        <v>02642020156</v>
      </c>
      <c r="K7262" t="str">
        <f>""</f>
        <v/>
      </c>
      <c r="M7262" t="s">
        <v>68</v>
      </c>
      <c r="N7262" t="str">
        <f t="shared" si="712"/>
        <v>FOR</v>
      </c>
      <c r="O7262" t="s">
        <v>69</v>
      </c>
      <c r="P7262" s="3" t="s">
        <v>75</v>
      </c>
      <c r="Q7262">
        <v>2016</v>
      </c>
      <c r="R7262" s="2">
        <v>42471</v>
      </c>
      <c r="S7262" s="2">
        <v>42474</v>
      </c>
      <c r="T7262" s="2">
        <v>42472</v>
      </c>
      <c r="U7262" s="2">
        <v>42532</v>
      </c>
      <c r="V7262" t="s">
        <v>71</v>
      </c>
      <c r="W7262" t="str">
        <f>"          9923022306"</f>
        <v xml:space="preserve">          9923022306</v>
      </c>
      <c r="X7262">
        <v>880</v>
      </c>
      <c r="Y7262">
        <v>0</v>
      </c>
      <c r="Z7262" s="3">
        <v>800</v>
      </c>
      <c r="AA7262">
        <v>116</v>
      </c>
      <c r="AB7262" s="5">
        <v>92800</v>
      </c>
      <c r="AC7262">
        <v>800</v>
      </c>
      <c r="AD7262">
        <v>116</v>
      </c>
      <c r="AE7262" s="1">
        <v>92800</v>
      </c>
      <c r="AF7262">
        <v>0</v>
      </c>
      <c r="AJ7262">
        <v>0</v>
      </c>
      <c r="AK7262">
        <v>0</v>
      </c>
      <c r="AL7262">
        <v>0</v>
      </c>
      <c r="AM7262">
        <v>880</v>
      </c>
      <c r="AN7262">
        <v>880</v>
      </c>
      <c r="AO7262">
        <v>880</v>
      </c>
      <c r="AP7262" s="2">
        <v>42746</v>
      </c>
      <c r="AQ7262" t="s">
        <v>72</v>
      </c>
      <c r="AR7262" t="s">
        <v>72</v>
      </c>
      <c r="AS7262">
        <v>2667</v>
      </c>
      <c r="AT7262" s="4">
        <v>42648</v>
      </c>
      <c r="AU7262" t="s">
        <v>73</v>
      </c>
      <c r="AV7262">
        <v>2667</v>
      </c>
      <c r="AW7262" s="4">
        <v>42648</v>
      </c>
      <c r="BD7262">
        <v>0</v>
      </c>
      <c r="BN7262" t="s">
        <v>74</v>
      </c>
    </row>
    <row r="7263" spans="1:66" hidden="1">
      <c r="A7263">
        <v>104146</v>
      </c>
      <c r="B7263" s="3" t="s">
        <v>619</v>
      </c>
      <c r="C7263" s="1">
        <v>43300101</v>
      </c>
      <c r="D7263" t="s">
        <v>67</v>
      </c>
      <c r="H7263" t="str">
        <f t="shared" ref="H7263:I7273" si="713">"11654150157"</f>
        <v>11654150157</v>
      </c>
      <c r="I7263" t="str">
        <f t="shared" si="713"/>
        <v>11654150157</v>
      </c>
      <c r="K7263" t="str">
        <f>""</f>
        <v/>
      </c>
      <c r="M7263" t="s">
        <v>68</v>
      </c>
      <c r="N7263" t="str">
        <f t="shared" si="712"/>
        <v>FOR</v>
      </c>
      <c r="O7263" t="s">
        <v>69</v>
      </c>
      <c r="P7263" s="3" t="s">
        <v>70</v>
      </c>
      <c r="Q7263">
        <v>2015</v>
      </c>
      <c r="R7263" s="2">
        <v>42069</v>
      </c>
      <c r="S7263" s="2">
        <v>42087</v>
      </c>
      <c r="T7263" s="2">
        <v>42087</v>
      </c>
      <c r="U7263" s="2">
        <v>42147</v>
      </c>
      <c r="V7263" t="s">
        <v>71</v>
      </c>
      <c r="W7263" t="str">
        <f>"           415027085"</f>
        <v xml:space="preserve">           415027085</v>
      </c>
      <c r="X7263" s="1">
        <v>9680.7000000000007</v>
      </c>
      <c r="Y7263">
        <v>0</v>
      </c>
      <c r="Z7263"/>
      <c r="AB7263"/>
      <c r="AC7263" s="1">
        <v>7935</v>
      </c>
      <c r="AD7263">
        <v>268</v>
      </c>
      <c r="AE7263" s="1">
        <v>2126580</v>
      </c>
      <c r="AF7263">
        <v>0</v>
      </c>
      <c r="AJ7263">
        <v>0</v>
      </c>
      <c r="AK7263">
        <v>0</v>
      </c>
      <c r="AL7263">
        <v>0</v>
      </c>
      <c r="AM7263">
        <v>0</v>
      </c>
      <c r="AN7263">
        <v>0</v>
      </c>
      <c r="AO7263">
        <v>0</v>
      </c>
      <c r="AP7263" s="2">
        <v>42746</v>
      </c>
      <c r="AQ7263" t="s">
        <v>72</v>
      </c>
      <c r="AR7263" t="s">
        <v>72</v>
      </c>
      <c r="AS7263">
        <v>378</v>
      </c>
      <c r="AT7263" s="4">
        <v>42415</v>
      </c>
      <c r="AU7263" t="s">
        <v>73</v>
      </c>
      <c r="AV7263">
        <v>378</v>
      </c>
      <c r="AW7263" s="4">
        <v>42415</v>
      </c>
      <c r="BD7263">
        <v>0</v>
      </c>
      <c r="BN7263" t="s">
        <v>74</v>
      </c>
    </row>
    <row r="7264" spans="1:66" hidden="1">
      <c r="A7264">
        <v>104146</v>
      </c>
      <c r="B7264" s="3" t="s">
        <v>619</v>
      </c>
      <c r="C7264" s="1">
        <v>43300101</v>
      </c>
      <c r="D7264" t="s">
        <v>67</v>
      </c>
      <c r="H7264" t="str">
        <f t="shared" si="713"/>
        <v>11654150157</v>
      </c>
      <c r="I7264" t="str">
        <f t="shared" si="713"/>
        <v>11654150157</v>
      </c>
      <c r="K7264" t="str">
        <f>""</f>
        <v/>
      </c>
      <c r="M7264" t="s">
        <v>68</v>
      </c>
      <c r="N7264" t="str">
        <f t="shared" si="712"/>
        <v>FOR</v>
      </c>
      <c r="O7264" t="s">
        <v>69</v>
      </c>
      <c r="P7264" s="3" t="s">
        <v>70</v>
      </c>
      <c r="Q7264">
        <v>2015</v>
      </c>
      <c r="R7264" s="2">
        <v>42073</v>
      </c>
      <c r="S7264" s="2">
        <v>42087</v>
      </c>
      <c r="T7264" s="2">
        <v>42087</v>
      </c>
      <c r="U7264" s="2">
        <v>42147</v>
      </c>
      <c r="V7264" t="s">
        <v>71</v>
      </c>
      <c r="W7264" t="str">
        <f>"           415027617"</f>
        <v xml:space="preserve">           415027617</v>
      </c>
      <c r="X7264">
        <v>264</v>
      </c>
      <c r="Y7264">
        <v>0</v>
      </c>
      <c r="Z7264"/>
      <c r="AB7264"/>
      <c r="AC7264">
        <v>240</v>
      </c>
      <c r="AD7264">
        <v>268</v>
      </c>
      <c r="AE7264" s="1">
        <v>64320</v>
      </c>
      <c r="AF7264">
        <v>0</v>
      </c>
      <c r="AJ7264">
        <v>0</v>
      </c>
      <c r="AK7264">
        <v>0</v>
      </c>
      <c r="AL7264">
        <v>0</v>
      </c>
      <c r="AM7264">
        <v>0</v>
      </c>
      <c r="AN7264">
        <v>0</v>
      </c>
      <c r="AO7264">
        <v>0</v>
      </c>
      <c r="AP7264" s="2">
        <v>42746</v>
      </c>
      <c r="AQ7264" t="s">
        <v>72</v>
      </c>
      <c r="AR7264" t="s">
        <v>72</v>
      </c>
      <c r="AS7264">
        <v>378</v>
      </c>
      <c r="AT7264" s="4">
        <v>42415</v>
      </c>
      <c r="AU7264" t="s">
        <v>73</v>
      </c>
      <c r="AV7264">
        <v>378</v>
      </c>
      <c r="AW7264" s="4">
        <v>42415</v>
      </c>
      <c r="BD7264">
        <v>0</v>
      </c>
      <c r="BN7264" t="s">
        <v>74</v>
      </c>
    </row>
    <row r="7265" spans="1:66" hidden="1">
      <c r="A7265">
        <v>104146</v>
      </c>
      <c r="B7265" s="3" t="s">
        <v>619</v>
      </c>
      <c r="C7265" s="1">
        <v>43300101</v>
      </c>
      <c r="D7265" t="s">
        <v>67</v>
      </c>
      <c r="H7265" t="str">
        <f t="shared" si="713"/>
        <v>11654150157</v>
      </c>
      <c r="I7265" t="str">
        <f t="shared" si="713"/>
        <v>11654150157</v>
      </c>
      <c r="K7265" t="str">
        <f>""</f>
        <v/>
      </c>
      <c r="M7265" t="s">
        <v>68</v>
      </c>
      <c r="N7265" t="str">
        <f t="shared" si="712"/>
        <v>FOR</v>
      </c>
      <c r="O7265" t="s">
        <v>69</v>
      </c>
      <c r="P7265" s="3" t="s">
        <v>75</v>
      </c>
      <c r="Q7265">
        <v>2015</v>
      </c>
      <c r="R7265" s="2">
        <v>42131</v>
      </c>
      <c r="S7265" s="2">
        <v>42165</v>
      </c>
      <c r="T7265" s="2">
        <v>42164</v>
      </c>
      <c r="U7265" s="2">
        <v>42224</v>
      </c>
      <c r="V7265" t="s">
        <v>71</v>
      </c>
      <c r="W7265" t="str">
        <f>"           715000149"</f>
        <v xml:space="preserve">           715000149</v>
      </c>
      <c r="X7265" s="1">
        <v>6429.4</v>
      </c>
      <c r="Y7265">
        <v>0</v>
      </c>
      <c r="Z7265"/>
      <c r="AB7265"/>
      <c r="AC7265" s="1">
        <v>5270</v>
      </c>
      <c r="AD7265">
        <v>228</v>
      </c>
      <c r="AE7265" s="1">
        <v>1201560</v>
      </c>
      <c r="AF7265">
        <v>0</v>
      </c>
      <c r="AJ7265">
        <v>0</v>
      </c>
      <c r="AK7265">
        <v>0</v>
      </c>
      <c r="AL7265">
        <v>0</v>
      </c>
      <c r="AM7265">
        <v>0</v>
      </c>
      <c r="AN7265">
        <v>0</v>
      </c>
      <c r="AO7265">
        <v>0</v>
      </c>
      <c r="AP7265" s="2">
        <v>42746</v>
      </c>
      <c r="AQ7265" t="s">
        <v>72</v>
      </c>
      <c r="AR7265" t="s">
        <v>72</v>
      </c>
      <c r="AS7265">
        <v>792</v>
      </c>
      <c r="AT7265" s="4">
        <v>42452</v>
      </c>
      <c r="AU7265" t="s">
        <v>73</v>
      </c>
      <c r="AV7265">
        <v>792</v>
      </c>
      <c r="AW7265" s="4">
        <v>42452</v>
      </c>
      <c r="BD7265">
        <v>0</v>
      </c>
      <c r="BN7265" t="s">
        <v>74</v>
      </c>
    </row>
    <row r="7266" spans="1:66" hidden="1">
      <c r="A7266">
        <v>104146</v>
      </c>
      <c r="B7266" s="3" t="s">
        <v>619</v>
      </c>
      <c r="C7266" s="1">
        <v>43300101</v>
      </c>
      <c r="D7266" t="s">
        <v>67</v>
      </c>
      <c r="H7266" t="str">
        <f t="shared" si="713"/>
        <v>11654150157</v>
      </c>
      <c r="I7266" t="str">
        <f t="shared" si="713"/>
        <v>11654150157</v>
      </c>
      <c r="K7266" t="str">
        <f>""</f>
        <v/>
      </c>
      <c r="M7266" t="s">
        <v>68</v>
      </c>
      <c r="N7266" t="str">
        <f t="shared" si="712"/>
        <v>FOR</v>
      </c>
      <c r="O7266" t="s">
        <v>69</v>
      </c>
      <c r="P7266" s="3" t="s">
        <v>75</v>
      </c>
      <c r="Q7266">
        <v>2015</v>
      </c>
      <c r="R7266" s="2">
        <v>42164</v>
      </c>
      <c r="S7266" s="2">
        <v>42170</v>
      </c>
      <c r="T7266" s="2">
        <v>42168</v>
      </c>
      <c r="U7266" s="2">
        <v>42228</v>
      </c>
      <c r="V7266" t="s">
        <v>71</v>
      </c>
      <c r="W7266" t="str">
        <f>"           715003189"</f>
        <v xml:space="preserve">           715003189</v>
      </c>
      <c r="X7266">
        <v>52.8</v>
      </c>
      <c r="Y7266">
        <v>0</v>
      </c>
      <c r="Z7266"/>
      <c r="AB7266"/>
      <c r="AC7266">
        <v>48</v>
      </c>
      <c r="AD7266">
        <v>264</v>
      </c>
      <c r="AE7266" s="1">
        <v>12672</v>
      </c>
      <c r="AF7266">
        <v>0</v>
      </c>
      <c r="AJ7266">
        <v>0</v>
      </c>
      <c r="AK7266">
        <v>0</v>
      </c>
      <c r="AL7266">
        <v>0</v>
      </c>
      <c r="AM7266">
        <v>0</v>
      </c>
      <c r="AN7266">
        <v>0</v>
      </c>
      <c r="AO7266">
        <v>0</v>
      </c>
      <c r="AP7266" s="2">
        <v>42746</v>
      </c>
      <c r="AQ7266" t="s">
        <v>72</v>
      </c>
      <c r="AR7266" t="s">
        <v>72</v>
      </c>
      <c r="AS7266">
        <v>1240</v>
      </c>
      <c r="AT7266" s="4">
        <v>42492</v>
      </c>
      <c r="AU7266" t="s">
        <v>73</v>
      </c>
      <c r="AV7266">
        <v>1240</v>
      </c>
      <c r="AW7266" s="4">
        <v>42492</v>
      </c>
      <c r="BD7266">
        <v>0</v>
      </c>
      <c r="BN7266" t="s">
        <v>74</v>
      </c>
    </row>
    <row r="7267" spans="1:66" hidden="1">
      <c r="A7267">
        <v>104146</v>
      </c>
      <c r="B7267" s="3" t="s">
        <v>619</v>
      </c>
      <c r="C7267" s="1">
        <v>43300101</v>
      </c>
      <c r="D7267" t="s">
        <v>67</v>
      </c>
      <c r="H7267" t="str">
        <f t="shared" si="713"/>
        <v>11654150157</v>
      </c>
      <c r="I7267" t="str">
        <f t="shared" si="713"/>
        <v>11654150157</v>
      </c>
      <c r="K7267" t="str">
        <f>""</f>
        <v/>
      </c>
      <c r="M7267" t="s">
        <v>68</v>
      </c>
      <c r="N7267" t="str">
        <f t="shared" si="712"/>
        <v>FOR</v>
      </c>
      <c r="O7267" t="s">
        <v>69</v>
      </c>
      <c r="P7267" s="3" t="s">
        <v>75</v>
      </c>
      <c r="Q7267">
        <v>2015</v>
      </c>
      <c r="R7267" s="2">
        <v>42181</v>
      </c>
      <c r="S7267" s="2">
        <v>42191</v>
      </c>
      <c r="T7267" s="2">
        <v>42188</v>
      </c>
      <c r="U7267" s="2">
        <v>42248</v>
      </c>
      <c r="V7267" t="s">
        <v>71</v>
      </c>
      <c r="W7267" t="str">
        <f>"           715004995"</f>
        <v xml:space="preserve">           715004995</v>
      </c>
      <c r="X7267" s="1">
        <v>15713.6</v>
      </c>
      <c r="Y7267">
        <v>0</v>
      </c>
      <c r="Z7267"/>
      <c r="AB7267"/>
      <c r="AC7267" s="1">
        <v>12880</v>
      </c>
      <c r="AD7267">
        <v>244</v>
      </c>
      <c r="AE7267" s="1">
        <v>3142720</v>
      </c>
      <c r="AF7267">
        <v>0</v>
      </c>
      <c r="AJ7267">
        <v>0</v>
      </c>
      <c r="AK7267">
        <v>0</v>
      </c>
      <c r="AL7267">
        <v>0</v>
      </c>
      <c r="AM7267">
        <v>0</v>
      </c>
      <c r="AN7267">
        <v>0</v>
      </c>
      <c r="AO7267">
        <v>0</v>
      </c>
      <c r="AP7267" s="2">
        <v>42746</v>
      </c>
      <c r="AQ7267" t="s">
        <v>72</v>
      </c>
      <c r="AR7267" t="s">
        <v>72</v>
      </c>
      <c r="AS7267">
        <v>1240</v>
      </c>
      <c r="AT7267" s="4">
        <v>42492</v>
      </c>
      <c r="AU7267" t="s">
        <v>73</v>
      </c>
      <c r="AV7267">
        <v>1240</v>
      </c>
      <c r="AW7267" s="4">
        <v>42492</v>
      </c>
      <c r="BD7267">
        <v>0</v>
      </c>
      <c r="BN7267" t="s">
        <v>74</v>
      </c>
    </row>
    <row r="7268" spans="1:66" hidden="1">
      <c r="A7268">
        <v>104146</v>
      </c>
      <c r="B7268" s="3" t="s">
        <v>619</v>
      </c>
      <c r="C7268" s="1">
        <v>43300101</v>
      </c>
      <c r="D7268" t="s">
        <v>67</v>
      </c>
      <c r="H7268" t="str">
        <f t="shared" si="713"/>
        <v>11654150157</v>
      </c>
      <c r="I7268" t="str">
        <f t="shared" si="713"/>
        <v>11654150157</v>
      </c>
      <c r="K7268" t="str">
        <f>""</f>
        <v/>
      </c>
      <c r="M7268" t="s">
        <v>68</v>
      </c>
      <c r="N7268" t="str">
        <f t="shared" si="712"/>
        <v>FOR</v>
      </c>
      <c r="O7268" t="s">
        <v>69</v>
      </c>
      <c r="P7268" s="3" t="s">
        <v>75</v>
      </c>
      <c r="Q7268">
        <v>2015</v>
      </c>
      <c r="R7268" s="2">
        <v>42188</v>
      </c>
      <c r="S7268" s="2">
        <v>42193</v>
      </c>
      <c r="T7268" s="2">
        <v>42192</v>
      </c>
      <c r="U7268" s="2">
        <v>42252</v>
      </c>
      <c r="V7268" t="s">
        <v>71</v>
      </c>
      <c r="W7268" t="str">
        <f>"           715005727"</f>
        <v xml:space="preserve">           715005727</v>
      </c>
      <c r="X7268">
        <v>219.6</v>
      </c>
      <c r="Y7268">
        <v>0</v>
      </c>
      <c r="Z7268"/>
      <c r="AB7268"/>
      <c r="AC7268">
        <v>180</v>
      </c>
      <c r="AD7268">
        <v>317</v>
      </c>
      <c r="AE7268" s="1">
        <v>57060</v>
      </c>
      <c r="AF7268">
        <v>0</v>
      </c>
      <c r="AJ7268">
        <v>0</v>
      </c>
      <c r="AK7268">
        <v>0</v>
      </c>
      <c r="AL7268">
        <v>0</v>
      </c>
      <c r="AM7268">
        <v>0</v>
      </c>
      <c r="AN7268">
        <v>0</v>
      </c>
      <c r="AO7268">
        <v>0</v>
      </c>
      <c r="AP7268" s="2">
        <v>42746</v>
      </c>
      <c r="AQ7268" t="s">
        <v>72</v>
      </c>
      <c r="AR7268" t="s">
        <v>72</v>
      </c>
      <c r="AS7268">
        <v>1871</v>
      </c>
      <c r="AT7268" s="4">
        <v>42569</v>
      </c>
      <c r="AU7268" t="s">
        <v>73</v>
      </c>
      <c r="AV7268">
        <v>1871</v>
      </c>
      <c r="AW7268" s="4">
        <v>42569</v>
      </c>
      <c r="BD7268">
        <v>0</v>
      </c>
      <c r="BN7268" t="s">
        <v>74</v>
      </c>
    </row>
    <row r="7269" spans="1:66" hidden="1">
      <c r="A7269">
        <v>104146</v>
      </c>
      <c r="B7269" s="3" t="s">
        <v>619</v>
      </c>
      <c r="C7269" s="1">
        <v>43300101</v>
      </c>
      <c r="D7269" t="s">
        <v>67</v>
      </c>
      <c r="H7269" t="str">
        <f t="shared" si="713"/>
        <v>11654150157</v>
      </c>
      <c r="I7269" t="str">
        <f t="shared" si="713"/>
        <v>11654150157</v>
      </c>
      <c r="K7269" t="str">
        <f>""</f>
        <v/>
      </c>
      <c r="M7269" t="s">
        <v>68</v>
      </c>
      <c r="N7269" t="str">
        <f t="shared" si="712"/>
        <v>FOR</v>
      </c>
      <c r="O7269" t="s">
        <v>69</v>
      </c>
      <c r="P7269" s="3" t="s">
        <v>70</v>
      </c>
      <c r="Q7269">
        <v>2015</v>
      </c>
      <c r="R7269" s="2">
        <v>42241</v>
      </c>
      <c r="S7269" s="2">
        <v>42502</v>
      </c>
      <c r="T7269" s="2">
        <v>42502</v>
      </c>
      <c r="U7269" s="2">
        <v>42562</v>
      </c>
      <c r="V7269" t="s">
        <v>71</v>
      </c>
      <c r="W7269" t="str">
        <f>"           715013653"</f>
        <v xml:space="preserve">           715013653</v>
      </c>
      <c r="X7269" s="1">
        <v>6929.6</v>
      </c>
      <c r="Y7269">
        <v>0</v>
      </c>
      <c r="Z7269"/>
      <c r="AB7269"/>
      <c r="AC7269" s="1">
        <v>5680</v>
      </c>
      <c r="AD7269">
        <v>7</v>
      </c>
      <c r="AE7269" s="1">
        <v>39760</v>
      </c>
      <c r="AF7269">
        <v>0</v>
      </c>
      <c r="AJ7269">
        <v>0</v>
      </c>
      <c r="AK7269">
        <v>0</v>
      </c>
      <c r="AL7269">
        <v>0</v>
      </c>
      <c r="AM7269">
        <v>0</v>
      </c>
      <c r="AN7269" s="1">
        <v>6929.6</v>
      </c>
      <c r="AO7269">
        <v>0</v>
      </c>
      <c r="AP7269" s="2">
        <v>42746</v>
      </c>
      <c r="AQ7269" t="s">
        <v>72</v>
      </c>
      <c r="AR7269" t="s">
        <v>72</v>
      </c>
      <c r="AS7269">
        <v>1871</v>
      </c>
      <c r="AT7269" s="4">
        <v>42569</v>
      </c>
      <c r="AU7269" t="s">
        <v>73</v>
      </c>
      <c r="AV7269">
        <v>1871</v>
      </c>
      <c r="AW7269" s="4">
        <v>42569</v>
      </c>
      <c r="BD7269">
        <v>0</v>
      </c>
      <c r="BN7269" t="s">
        <v>74</v>
      </c>
    </row>
    <row r="7270" spans="1:66" hidden="1">
      <c r="A7270">
        <v>104146</v>
      </c>
      <c r="B7270" s="3" t="s">
        <v>619</v>
      </c>
      <c r="C7270" s="1">
        <v>43300101</v>
      </c>
      <c r="D7270" t="s">
        <v>67</v>
      </c>
      <c r="H7270" t="str">
        <f t="shared" si="713"/>
        <v>11654150157</v>
      </c>
      <c r="I7270" t="str">
        <f t="shared" si="713"/>
        <v>11654150157</v>
      </c>
      <c r="K7270" t="str">
        <f>""</f>
        <v/>
      </c>
      <c r="M7270" t="s">
        <v>68</v>
      </c>
      <c r="N7270" t="str">
        <f t="shared" si="712"/>
        <v>FOR</v>
      </c>
      <c r="O7270" t="s">
        <v>69</v>
      </c>
      <c r="P7270" s="3" t="s">
        <v>75</v>
      </c>
      <c r="Q7270">
        <v>2015</v>
      </c>
      <c r="R7270" s="2">
        <v>42262</v>
      </c>
      <c r="S7270" s="2">
        <v>42369</v>
      </c>
      <c r="T7270" s="2">
        <v>42369</v>
      </c>
      <c r="U7270" s="2">
        <v>42429</v>
      </c>
      <c r="V7270" t="s">
        <v>71</v>
      </c>
      <c r="W7270" t="str">
        <f>"           715030146"</f>
        <v xml:space="preserve">           715030146</v>
      </c>
      <c r="X7270">
        <v>52.8</v>
      </c>
      <c r="Y7270">
        <v>0</v>
      </c>
      <c r="Z7270"/>
      <c r="AB7270"/>
      <c r="AC7270">
        <v>48</v>
      </c>
      <c r="AD7270">
        <v>190</v>
      </c>
      <c r="AE7270" s="1">
        <v>9120</v>
      </c>
      <c r="AF7270">
        <v>0</v>
      </c>
      <c r="AJ7270">
        <v>0</v>
      </c>
      <c r="AK7270">
        <v>0</v>
      </c>
      <c r="AL7270">
        <v>0</v>
      </c>
      <c r="AM7270">
        <v>0</v>
      </c>
      <c r="AN7270">
        <v>0</v>
      </c>
      <c r="AO7270">
        <v>0</v>
      </c>
      <c r="AP7270" s="2">
        <v>42746</v>
      </c>
      <c r="AQ7270" t="s">
        <v>72</v>
      </c>
      <c r="AR7270" t="s">
        <v>72</v>
      </c>
      <c r="AS7270">
        <v>2287</v>
      </c>
      <c r="AT7270" s="4">
        <v>42619</v>
      </c>
      <c r="AU7270" t="s">
        <v>73</v>
      </c>
      <c r="AV7270">
        <v>2287</v>
      </c>
      <c r="AW7270" s="4">
        <v>42619</v>
      </c>
      <c r="BD7270">
        <v>0</v>
      </c>
      <c r="BN7270" t="s">
        <v>74</v>
      </c>
    </row>
    <row r="7271" spans="1:66" hidden="1">
      <c r="A7271">
        <v>104146</v>
      </c>
      <c r="B7271" s="3" t="s">
        <v>619</v>
      </c>
      <c r="C7271" s="1">
        <v>43300101</v>
      </c>
      <c r="D7271" t="s">
        <v>67</v>
      </c>
      <c r="H7271" t="str">
        <f t="shared" si="713"/>
        <v>11654150157</v>
      </c>
      <c r="I7271" t="str">
        <f t="shared" si="713"/>
        <v>11654150157</v>
      </c>
      <c r="K7271" t="str">
        <f>""</f>
        <v/>
      </c>
      <c r="M7271" t="s">
        <v>68</v>
      </c>
      <c r="N7271" t="str">
        <f t="shared" si="712"/>
        <v>FOR</v>
      </c>
      <c r="O7271" t="s">
        <v>69</v>
      </c>
      <c r="P7271" s="3" t="s">
        <v>75</v>
      </c>
      <c r="Q7271">
        <v>2015</v>
      </c>
      <c r="R7271" s="2">
        <v>42262</v>
      </c>
      <c r="S7271" s="2">
        <v>42369</v>
      </c>
      <c r="T7271" s="2">
        <v>42369</v>
      </c>
      <c r="U7271" s="2">
        <v>42429</v>
      </c>
      <c r="V7271" t="s">
        <v>71</v>
      </c>
      <c r="W7271" t="str">
        <f>"           715030149"</f>
        <v xml:space="preserve">           715030149</v>
      </c>
      <c r="X7271">
        <v>253</v>
      </c>
      <c r="Y7271">
        <v>0</v>
      </c>
      <c r="Z7271"/>
      <c r="AB7271"/>
      <c r="AC7271">
        <v>230</v>
      </c>
      <c r="AD7271">
        <v>190</v>
      </c>
      <c r="AE7271" s="1">
        <v>43700</v>
      </c>
      <c r="AF7271">
        <v>0</v>
      </c>
      <c r="AJ7271">
        <v>0</v>
      </c>
      <c r="AK7271">
        <v>0</v>
      </c>
      <c r="AL7271">
        <v>0</v>
      </c>
      <c r="AM7271">
        <v>0</v>
      </c>
      <c r="AN7271">
        <v>0</v>
      </c>
      <c r="AO7271">
        <v>0</v>
      </c>
      <c r="AP7271" s="2">
        <v>42746</v>
      </c>
      <c r="AQ7271" t="s">
        <v>72</v>
      </c>
      <c r="AR7271" t="s">
        <v>72</v>
      </c>
      <c r="AS7271">
        <v>2287</v>
      </c>
      <c r="AT7271" s="4">
        <v>42619</v>
      </c>
      <c r="AU7271" t="s">
        <v>73</v>
      </c>
      <c r="AV7271">
        <v>2287</v>
      </c>
      <c r="AW7271" s="4">
        <v>42619</v>
      </c>
      <c r="BD7271">
        <v>0</v>
      </c>
      <c r="BN7271" t="s">
        <v>74</v>
      </c>
    </row>
    <row r="7272" spans="1:66" hidden="1">
      <c r="A7272">
        <v>104146</v>
      </c>
      <c r="B7272" s="3" t="s">
        <v>619</v>
      </c>
      <c r="C7272" s="1">
        <v>43300101</v>
      </c>
      <c r="D7272" t="s">
        <v>67</v>
      </c>
      <c r="H7272" t="str">
        <f t="shared" si="713"/>
        <v>11654150157</v>
      </c>
      <c r="I7272" t="str">
        <f t="shared" si="713"/>
        <v>11654150157</v>
      </c>
      <c r="K7272" t="str">
        <f>""</f>
        <v/>
      </c>
      <c r="M7272" t="s">
        <v>68</v>
      </c>
      <c r="N7272" t="str">
        <f t="shared" si="712"/>
        <v>FOR</v>
      </c>
      <c r="O7272" t="s">
        <v>69</v>
      </c>
      <c r="P7272" s="3" t="s">
        <v>75</v>
      </c>
      <c r="Q7272">
        <v>2015</v>
      </c>
      <c r="R7272" s="2">
        <v>42313</v>
      </c>
      <c r="S7272" s="2">
        <v>42369</v>
      </c>
      <c r="T7272" s="2">
        <v>42369</v>
      </c>
      <c r="U7272" s="2">
        <v>42429</v>
      </c>
      <c r="V7272" t="s">
        <v>71</v>
      </c>
      <c r="W7272" t="str">
        <f>"           715035889"</f>
        <v xml:space="preserve">           715035889</v>
      </c>
      <c r="X7272" s="1">
        <v>16152.8</v>
      </c>
      <c r="Y7272">
        <v>0</v>
      </c>
      <c r="Z7272"/>
      <c r="AB7272"/>
      <c r="AC7272" s="1">
        <v>13240</v>
      </c>
      <c r="AD7272">
        <v>190</v>
      </c>
      <c r="AE7272" s="1">
        <v>2515600</v>
      </c>
      <c r="AF7272">
        <v>0</v>
      </c>
      <c r="AJ7272">
        <v>0</v>
      </c>
      <c r="AK7272">
        <v>0</v>
      </c>
      <c r="AL7272">
        <v>0</v>
      </c>
      <c r="AM7272">
        <v>0</v>
      </c>
      <c r="AN7272">
        <v>0</v>
      </c>
      <c r="AO7272">
        <v>0</v>
      </c>
      <c r="AP7272" s="2">
        <v>42746</v>
      </c>
      <c r="AQ7272" t="s">
        <v>72</v>
      </c>
      <c r="AR7272" t="s">
        <v>72</v>
      </c>
      <c r="AS7272">
        <v>2287</v>
      </c>
      <c r="AT7272" s="4">
        <v>42619</v>
      </c>
      <c r="AU7272" t="s">
        <v>73</v>
      </c>
      <c r="AV7272">
        <v>2287</v>
      </c>
      <c r="AW7272" s="4">
        <v>42619</v>
      </c>
      <c r="BD7272">
        <v>0</v>
      </c>
      <c r="BN7272" t="s">
        <v>74</v>
      </c>
    </row>
    <row r="7273" spans="1:66">
      <c r="A7273">
        <v>104146</v>
      </c>
      <c r="B7273" s="3" t="s">
        <v>619</v>
      </c>
      <c r="C7273" s="1">
        <v>43300101</v>
      </c>
      <c r="D7273" t="s">
        <v>67</v>
      </c>
      <c r="H7273" t="str">
        <f t="shared" si="713"/>
        <v>11654150157</v>
      </c>
      <c r="I7273" t="str">
        <f t="shared" si="713"/>
        <v>11654150157</v>
      </c>
      <c r="K7273" t="str">
        <f>""</f>
        <v/>
      </c>
      <c r="M7273" t="s">
        <v>68</v>
      </c>
      <c r="N7273" t="str">
        <f t="shared" si="712"/>
        <v>FOR</v>
      </c>
      <c r="O7273" t="s">
        <v>69</v>
      </c>
      <c r="P7273" s="3" t="s">
        <v>75</v>
      </c>
      <c r="Q7273">
        <v>2016</v>
      </c>
      <c r="R7273" s="2">
        <v>42398</v>
      </c>
      <c r="S7273" s="2">
        <v>42410</v>
      </c>
      <c r="T7273" s="2">
        <v>42408</v>
      </c>
      <c r="U7273" s="2">
        <v>42468</v>
      </c>
      <c r="V7273" t="s">
        <v>71</v>
      </c>
      <c r="W7273" t="str">
        <f>"           716003847"</f>
        <v xml:space="preserve">           716003847</v>
      </c>
      <c r="X7273" s="1">
        <v>13889.7</v>
      </c>
      <c r="Y7273">
        <v>0</v>
      </c>
      <c r="Z7273" s="5">
        <v>11385</v>
      </c>
      <c r="AA7273">
        <v>255</v>
      </c>
      <c r="AB7273" s="5">
        <v>2903175</v>
      </c>
      <c r="AC7273" s="1">
        <v>11385</v>
      </c>
      <c r="AD7273">
        <v>255</v>
      </c>
      <c r="AE7273" s="1">
        <v>2903175</v>
      </c>
      <c r="AF7273" s="1">
        <v>2504.6999999999998</v>
      </c>
      <c r="AJ7273">
        <v>0</v>
      </c>
      <c r="AK7273">
        <v>0</v>
      </c>
      <c r="AL7273">
        <v>0</v>
      </c>
      <c r="AM7273" s="1">
        <v>13889.7</v>
      </c>
      <c r="AN7273" s="1">
        <v>13889.7</v>
      </c>
      <c r="AO7273" s="1">
        <v>13889.7</v>
      </c>
      <c r="AP7273" s="2">
        <v>42746</v>
      </c>
      <c r="AQ7273" t="s">
        <v>72</v>
      </c>
      <c r="AR7273" t="s">
        <v>72</v>
      </c>
      <c r="AS7273">
        <v>3583</v>
      </c>
      <c r="AT7273" s="4">
        <v>42723</v>
      </c>
      <c r="AU7273" t="s">
        <v>73</v>
      </c>
      <c r="AV7273">
        <v>3583</v>
      </c>
      <c r="AW7273" s="4">
        <v>42723</v>
      </c>
      <c r="BD7273" s="1">
        <v>2504.6999999999998</v>
      </c>
      <c r="BN7273" t="s">
        <v>74</v>
      </c>
    </row>
    <row r="7274" spans="1:66" hidden="1">
      <c r="A7274">
        <v>104175</v>
      </c>
      <c r="B7274" s="3" t="s">
        <v>620</v>
      </c>
      <c r="C7274" s="1">
        <v>43500101</v>
      </c>
      <c r="D7274" t="s">
        <v>113</v>
      </c>
      <c r="H7274" t="str">
        <f t="shared" ref="H7274:I7276" si="714">"00962970620"</f>
        <v>00962970620</v>
      </c>
      <c r="I7274" t="str">
        <f t="shared" si="714"/>
        <v>00962970620</v>
      </c>
      <c r="K7274" t="str">
        <f>""</f>
        <v/>
      </c>
      <c r="M7274" t="s">
        <v>68</v>
      </c>
      <c r="N7274" t="str">
        <f>"ALTFIN"</f>
        <v>ALTFIN</v>
      </c>
      <c r="O7274" t="s">
        <v>123</v>
      </c>
      <c r="P7274" s="3" t="s">
        <v>93</v>
      </c>
      <c r="Q7274">
        <v>2016</v>
      </c>
      <c r="R7274" s="2">
        <v>42664</v>
      </c>
      <c r="S7274" s="2">
        <v>42667</v>
      </c>
      <c r="T7274" s="2">
        <v>42667</v>
      </c>
      <c r="U7274" s="2">
        <v>42727</v>
      </c>
      <c r="V7274" t="s">
        <v>71</v>
      </c>
      <c r="W7274" t="str">
        <f>"                1021"</f>
        <v xml:space="preserve">                1021</v>
      </c>
      <c r="X7274">
        <v>0</v>
      </c>
      <c r="Y7274">
        <v>330.33</v>
      </c>
      <c r="Z7274" s="3">
        <v>330.33</v>
      </c>
      <c r="AA7274">
        <v>-60</v>
      </c>
      <c r="AB7274" s="5">
        <v>-19819.8</v>
      </c>
      <c r="AC7274">
        <v>330.33</v>
      </c>
      <c r="AD7274">
        <v>-60</v>
      </c>
      <c r="AE7274" s="1">
        <v>-19819.8</v>
      </c>
      <c r="AF7274">
        <v>0</v>
      </c>
      <c r="AJ7274">
        <v>330.33</v>
      </c>
      <c r="AK7274">
        <v>330.33</v>
      </c>
      <c r="AL7274">
        <v>330.33</v>
      </c>
      <c r="AM7274">
        <v>330.33</v>
      </c>
      <c r="AN7274">
        <v>330.33</v>
      </c>
      <c r="AO7274">
        <v>330.33</v>
      </c>
      <c r="AP7274" s="2">
        <v>42746</v>
      </c>
      <c r="AQ7274" t="s">
        <v>72</v>
      </c>
      <c r="AR7274" t="s">
        <v>72</v>
      </c>
      <c r="AS7274">
        <v>2823</v>
      </c>
      <c r="AT7274" s="4">
        <v>42667</v>
      </c>
      <c r="AV7274">
        <v>2823</v>
      </c>
      <c r="AW7274" s="4">
        <v>42667</v>
      </c>
      <c r="BD7274">
        <v>0</v>
      </c>
      <c r="BN7274" t="s">
        <v>74</v>
      </c>
    </row>
    <row r="7275" spans="1:66" hidden="1">
      <c r="A7275">
        <v>104175</v>
      </c>
      <c r="B7275" s="3" t="s">
        <v>620</v>
      </c>
      <c r="C7275" s="1">
        <v>43500101</v>
      </c>
      <c r="D7275" t="s">
        <v>113</v>
      </c>
      <c r="H7275" t="str">
        <f t="shared" si="714"/>
        <v>00962970620</v>
      </c>
      <c r="I7275" t="str">
        <f t="shared" si="714"/>
        <v>00962970620</v>
      </c>
      <c r="K7275" t="str">
        <f>""</f>
        <v/>
      </c>
      <c r="M7275" t="s">
        <v>68</v>
      </c>
      <c r="N7275" t="str">
        <f>"ALTFIN"</f>
        <v>ALTFIN</v>
      </c>
      <c r="O7275" t="s">
        <v>123</v>
      </c>
      <c r="P7275" s="3" t="s">
        <v>94</v>
      </c>
      <c r="Q7275">
        <v>2016</v>
      </c>
      <c r="R7275" s="2">
        <v>42696</v>
      </c>
      <c r="S7275" s="2">
        <v>42696</v>
      </c>
      <c r="T7275" s="2">
        <v>42696</v>
      </c>
      <c r="U7275" s="2">
        <v>42756</v>
      </c>
      <c r="V7275" t="s">
        <v>71</v>
      </c>
      <c r="W7275" t="str">
        <f>"                1122"</f>
        <v xml:space="preserve">                1122</v>
      </c>
      <c r="X7275">
        <v>0</v>
      </c>
      <c r="Y7275">
        <v>330.33</v>
      </c>
      <c r="Z7275" s="3">
        <v>330.33</v>
      </c>
      <c r="AA7275">
        <v>-59</v>
      </c>
      <c r="AB7275" s="5">
        <v>-19489.47</v>
      </c>
      <c r="AC7275">
        <v>330.33</v>
      </c>
      <c r="AD7275">
        <v>-59</v>
      </c>
      <c r="AE7275" s="1">
        <v>-19489.47</v>
      </c>
      <c r="AF7275">
        <v>0</v>
      </c>
      <c r="AJ7275">
        <v>330.33</v>
      </c>
      <c r="AK7275">
        <v>330.33</v>
      </c>
      <c r="AL7275">
        <v>330.33</v>
      </c>
      <c r="AM7275">
        <v>330.33</v>
      </c>
      <c r="AN7275">
        <v>330.33</v>
      </c>
      <c r="AO7275">
        <v>330.33</v>
      </c>
      <c r="AP7275" s="2">
        <v>42746</v>
      </c>
      <c r="AQ7275" t="s">
        <v>72</v>
      </c>
      <c r="AR7275" t="s">
        <v>72</v>
      </c>
      <c r="AS7275">
        <v>3260</v>
      </c>
      <c r="AT7275" s="4">
        <v>42697</v>
      </c>
      <c r="AV7275">
        <v>3260</v>
      </c>
      <c r="AW7275" s="4">
        <v>42697</v>
      </c>
      <c r="BD7275">
        <v>0</v>
      </c>
      <c r="BN7275" t="s">
        <v>74</v>
      </c>
    </row>
    <row r="7276" spans="1:66" hidden="1">
      <c r="A7276">
        <v>104175</v>
      </c>
      <c r="B7276" s="3" t="s">
        <v>620</v>
      </c>
      <c r="C7276" s="1">
        <v>43500101</v>
      </c>
      <c r="D7276" t="s">
        <v>113</v>
      </c>
      <c r="H7276" t="str">
        <f t="shared" si="714"/>
        <v>00962970620</v>
      </c>
      <c r="I7276" t="str">
        <f t="shared" si="714"/>
        <v>00962970620</v>
      </c>
      <c r="K7276" t="str">
        <f>""</f>
        <v/>
      </c>
      <c r="M7276" t="s">
        <v>68</v>
      </c>
      <c r="N7276" t="str">
        <f>"ALTFIN"</f>
        <v>ALTFIN</v>
      </c>
      <c r="O7276" t="s">
        <v>123</v>
      </c>
      <c r="P7276" s="3" t="s">
        <v>95</v>
      </c>
      <c r="Q7276">
        <v>2016</v>
      </c>
      <c r="R7276" s="2">
        <v>42717</v>
      </c>
      <c r="S7276" s="2">
        <v>42717</v>
      </c>
      <c r="T7276" s="2">
        <v>42717</v>
      </c>
      <c r="U7276" s="2">
        <v>42777</v>
      </c>
      <c r="V7276" t="s">
        <v>71</v>
      </c>
      <c r="W7276" t="str">
        <f>"                1213"</f>
        <v xml:space="preserve">                1213</v>
      </c>
      <c r="X7276">
        <v>0</v>
      </c>
      <c r="Y7276">
        <v>330.33</v>
      </c>
      <c r="Z7276" s="3">
        <v>330.33</v>
      </c>
      <c r="AA7276">
        <v>-59</v>
      </c>
      <c r="AB7276" s="5">
        <v>-19489.47</v>
      </c>
      <c r="AC7276">
        <v>330.33</v>
      </c>
      <c r="AD7276">
        <v>-59</v>
      </c>
      <c r="AE7276" s="1">
        <v>-19489.47</v>
      </c>
      <c r="AF7276">
        <v>0</v>
      </c>
      <c r="AJ7276">
        <v>330.33</v>
      </c>
      <c r="AK7276">
        <v>330.33</v>
      </c>
      <c r="AL7276">
        <v>330.33</v>
      </c>
      <c r="AM7276">
        <v>330.33</v>
      </c>
      <c r="AN7276">
        <v>330.33</v>
      </c>
      <c r="AO7276">
        <v>330.33</v>
      </c>
      <c r="AP7276" s="2">
        <v>42746</v>
      </c>
      <c r="AQ7276" t="s">
        <v>72</v>
      </c>
      <c r="AR7276" t="s">
        <v>72</v>
      </c>
      <c r="AS7276">
        <v>3418</v>
      </c>
      <c r="AT7276" s="4">
        <v>42718</v>
      </c>
      <c r="AV7276">
        <v>3418</v>
      </c>
      <c r="AW7276" s="4">
        <v>42718</v>
      </c>
      <c r="BD7276">
        <v>0</v>
      </c>
      <c r="BN7276" t="s">
        <v>74</v>
      </c>
    </row>
    <row r="7277" spans="1:66" hidden="1">
      <c r="A7277">
        <v>104179</v>
      </c>
      <c r="B7277" s="3" t="s">
        <v>621</v>
      </c>
      <c r="C7277" s="1">
        <v>43500101</v>
      </c>
      <c r="D7277" t="s">
        <v>113</v>
      </c>
      <c r="H7277" t="str">
        <f>"VCCGPP52D17C675O"</f>
        <v>VCCGPP52D17C675O</v>
      </c>
      <c r="I7277" t="str">
        <f>""</f>
        <v/>
      </c>
      <c r="K7277" t="str">
        <f>""</f>
        <v/>
      </c>
      <c r="M7277" t="s">
        <v>68</v>
      </c>
      <c r="N7277" t="str">
        <f>"ALTPRO"</f>
        <v>ALTPRO</v>
      </c>
      <c r="O7277" t="s">
        <v>132</v>
      </c>
      <c r="P7277" s="3" t="s">
        <v>70</v>
      </c>
      <c r="Q7277">
        <v>2015</v>
      </c>
      <c r="R7277" s="2">
        <v>42058</v>
      </c>
      <c r="S7277" s="2">
        <v>42527</v>
      </c>
      <c r="T7277" s="2">
        <v>42527</v>
      </c>
      <c r="U7277" s="2">
        <v>42587</v>
      </c>
      <c r="V7277" t="s">
        <v>71</v>
      </c>
      <c r="W7277" t="str">
        <f>"                  16"</f>
        <v xml:space="preserve">                  16</v>
      </c>
      <c r="X7277" s="1">
        <v>6344</v>
      </c>
      <c r="Y7277" s="1">
        <v>-1000</v>
      </c>
      <c r="Z7277"/>
      <c r="AB7277"/>
      <c r="AC7277" s="1">
        <v>5344</v>
      </c>
      <c r="AD7277">
        <v>-59</v>
      </c>
      <c r="AE7277" s="1">
        <v>-315296</v>
      </c>
      <c r="AF7277">
        <v>0</v>
      </c>
      <c r="AJ7277">
        <v>0</v>
      </c>
      <c r="AK7277">
        <v>0</v>
      </c>
      <c r="AL7277">
        <v>0</v>
      </c>
      <c r="AM7277">
        <v>0</v>
      </c>
      <c r="AN7277" s="1">
        <v>5344</v>
      </c>
      <c r="AO7277">
        <v>0</v>
      </c>
      <c r="AP7277" s="2">
        <v>42746</v>
      </c>
      <c r="AQ7277" t="s">
        <v>72</v>
      </c>
      <c r="AR7277" t="s">
        <v>72</v>
      </c>
      <c r="AS7277">
        <v>1548</v>
      </c>
      <c r="AT7277" s="4">
        <v>42528</v>
      </c>
      <c r="AV7277">
        <v>1548</v>
      </c>
      <c r="AW7277" s="4">
        <v>42528</v>
      </c>
      <c r="BD7277">
        <v>0</v>
      </c>
      <c r="BN7277" t="s">
        <v>74</v>
      </c>
    </row>
    <row r="7278" spans="1:66" hidden="1">
      <c r="A7278">
        <v>104186</v>
      </c>
      <c r="B7278" s="3" t="s">
        <v>622</v>
      </c>
      <c r="C7278" s="1">
        <v>43500101</v>
      </c>
      <c r="D7278" t="s">
        <v>113</v>
      </c>
      <c r="H7278" t="str">
        <f t="shared" ref="H7278:I7289" si="715">"05889861000"</f>
        <v>05889861000</v>
      </c>
      <c r="I7278" t="str">
        <f t="shared" si="715"/>
        <v>05889861000</v>
      </c>
      <c r="K7278" t="str">
        <f>""</f>
        <v/>
      </c>
      <c r="M7278" t="s">
        <v>68</v>
      </c>
      <c r="N7278" t="str">
        <f t="shared" ref="N7278:N7289" si="716">"ALTFIN"</f>
        <v>ALTFIN</v>
      </c>
      <c r="O7278" t="s">
        <v>123</v>
      </c>
      <c r="P7278" s="3" t="s">
        <v>84</v>
      </c>
      <c r="Q7278">
        <v>2016</v>
      </c>
      <c r="R7278" s="2">
        <v>42389</v>
      </c>
      <c r="S7278" s="2">
        <v>42390</v>
      </c>
      <c r="T7278" s="2">
        <v>42390</v>
      </c>
      <c r="U7278" s="2">
        <v>42450</v>
      </c>
      <c r="V7278" t="s">
        <v>71</v>
      </c>
      <c r="W7278" t="str">
        <f>"                0120"</f>
        <v xml:space="preserve">                0120</v>
      </c>
      <c r="X7278">
        <v>0</v>
      </c>
      <c r="Y7278" s="1">
        <v>8671.5</v>
      </c>
      <c r="Z7278"/>
      <c r="AB7278"/>
      <c r="AC7278" s="1">
        <v>8671.5</v>
      </c>
      <c r="AD7278">
        <v>-60</v>
      </c>
      <c r="AE7278" s="1">
        <v>-520290</v>
      </c>
      <c r="AF7278">
        <v>0</v>
      </c>
      <c r="AJ7278">
        <v>0</v>
      </c>
      <c r="AK7278">
        <v>0</v>
      </c>
      <c r="AL7278">
        <v>0</v>
      </c>
      <c r="AM7278" s="1">
        <v>8671.5</v>
      </c>
      <c r="AN7278" s="1">
        <v>8671.5</v>
      </c>
      <c r="AO7278" s="1">
        <v>8671.5</v>
      </c>
      <c r="AP7278" s="2">
        <v>42746</v>
      </c>
      <c r="AQ7278" t="s">
        <v>72</v>
      </c>
      <c r="AR7278" t="s">
        <v>72</v>
      </c>
      <c r="AS7278">
        <v>80</v>
      </c>
      <c r="AT7278" s="4">
        <v>42390</v>
      </c>
      <c r="AV7278">
        <v>80</v>
      </c>
      <c r="AW7278" s="4">
        <v>42390</v>
      </c>
      <c r="BD7278">
        <v>0</v>
      </c>
      <c r="BN7278" t="s">
        <v>74</v>
      </c>
    </row>
    <row r="7279" spans="1:66" hidden="1">
      <c r="A7279">
        <v>104186</v>
      </c>
      <c r="B7279" s="3" t="s">
        <v>622</v>
      </c>
      <c r="C7279" s="1">
        <v>43500101</v>
      </c>
      <c r="D7279" t="s">
        <v>113</v>
      </c>
      <c r="H7279" t="str">
        <f t="shared" si="715"/>
        <v>05889861000</v>
      </c>
      <c r="I7279" t="str">
        <f t="shared" si="715"/>
        <v>05889861000</v>
      </c>
      <c r="K7279" t="str">
        <f>""</f>
        <v/>
      </c>
      <c r="M7279" t="s">
        <v>68</v>
      </c>
      <c r="N7279" t="str">
        <f t="shared" si="716"/>
        <v>ALTFIN</v>
      </c>
      <c r="O7279" t="s">
        <v>123</v>
      </c>
      <c r="P7279" s="3" t="s">
        <v>85</v>
      </c>
      <c r="Q7279">
        <v>2016</v>
      </c>
      <c r="R7279" s="2">
        <v>42422</v>
      </c>
      <c r="S7279" s="2">
        <v>42422</v>
      </c>
      <c r="T7279" s="2">
        <v>42422</v>
      </c>
      <c r="U7279" s="2">
        <v>42482</v>
      </c>
      <c r="V7279" t="s">
        <v>71</v>
      </c>
      <c r="W7279" t="str">
        <f>"                0222"</f>
        <v xml:space="preserve">                0222</v>
      </c>
      <c r="X7279">
        <v>0</v>
      </c>
      <c r="Y7279" s="1">
        <v>8741.5</v>
      </c>
      <c r="Z7279"/>
      <c r="AB7279"/>
      <c r="AC7279" s="1">
        <v>8741.5</v>
      </c>
      <c r="AD7279">
        <v>-58</v>
      </c>
      <c r="AE7279" s="1">
        <v>-507007</v>
      </c>
      <c r="AF7279">
        <v>0</v>
      </c>
      <c r="AJ7279">
        <v>0</v>
      </c>
      <c r="AK7279">
        <v>0</v>
      </c>
      <c r="AL7279">
        <v>0</v>
      </c>
      <c r="AM7279" s="1">
        <v>8741.5</v>
      </c>
      <c r="AN7279" s="1">
        <v>8741.5</v>
      </c>
      <c r="AO7279" s="1">
        <v>8741.5</v>
      </c>
      <c r="AP7279" s="2">
        <v>42746</v>
      </c>
      <c r="AQ7279" t="s">
        <v>72</v>
      </c>
      <c r="AR7279" t="s">
        <v>72</v>
      </c>
      <c r="AS7279">
        <v>524</v>
      </c>
      <c r="AT7279" s="4">
        <v>42424</v>
      </c>
      <c r="AV7279">
        <v>524</v>
      </c>
      <c r="AW7279" s="4">
        <v>42424</v>
      </c>
      <c r="BD7279">
        <v>0</v>
      </c>
      <c r="BN7279" t="s">
        <v>74</v>
      </c>
    </row>
    <row r="7280" spans="1:66" hidden="1">
      <c r="A7280">
        <v>104186</v>
      </c>
      <c r="B7280" s="3" t="s">
        <v>622</v>
      </c>
      <c r="C7280" s="1">
        <v>43500101</v>
      </c>
      <c r="D7280" t="s">
        <v>113</v>
      </c>
      <c r="H7280" t="str">
        <f t="shared" si="715"/>
        <v>05889861000</v>
      </c>
      <c r="I7280" t="str">
        <f t="shared" si="715"/>
        <v>05889861000</v>
      </c>
      <c r="K7280" t="str">
        <f>""</f>
        <v/>
      </c>
      <c r="M7280" t="s">
        <v>68</v>
      </c>
      <c r="N7280" t="str">
        <f t="shared" si="716"/>
        <v>ALTFIN</v>
      </c>
      <c r="O7280" t="s">
        <v>123</v>
      </c>
      <c r="P7280" s="3" t="s">
        <v>86</v>
      </c>
      <c r="Q7280">
        <v>2016</v>
      </c>
      <c r="R7280" s="2">
        <v>42450</v>
      </c>
      <c r="S7280" s="2">
        <v>42450</v>
      </c>
      <c r="T7280" s="2">
        <v>42450</v>
      </c>
      <c r="U7280" s="2">
        <v>42510</v>
      </c>
      <c r="V7280" t="s">
        <v>71</v>
      </c>
      <c r="W7280" t="str">
        <f>"                0321"</f>
        <v xml:space="preserve">                0321</v>
      </c>
      <c r="X7280">
        <v>0</v>
      </c>
      <c r="Y7280" s="1">
        <v>8511.5</v>
      </c>
      <c r="Z7280"/>
      <c r="AB7280"/>
      <c r="AC7280" s="1">
        <v>8511.5</v>
      </c>
      <c r="AD7280">
        <v>-57</v>
      </c>
      <c r="AE7280" s="1">
        <v>-485155.5</v>
      </c>
      <c r="AF7280">
        <v>0</v>
      </c>
      <c r="AJ7280">
        <v>0</v>
      </c>
      <c r="AK7280">
        <v>0</v>
      </c>
      <c r="AL7280">
        <v>0</v>
      </c>
      <c r="AM7280" s="1">
        <v>8511.5</v>
      </c>
      <c r="AN7280" s="1">
        <v>8511.5</v>
      </c>
      <c r="AO7280" s="1">
        <v>8511.5</v>
      </c>
      <c r="AP7280" s="2">
        <v>42746</v>
      </c>
      <c r="AQ7280" t="s">
        <v>72</v>
      </c>
      <c r="AR7280" t="s">
        <v>72</v>
      </c>
      <c r="AS7280">
        <v>946</v>
      </c>
      <c r="AT7280" s="4">
        <v>42453</v>
      </c>
      <c r="AV7280">
        <v>946</v>
      </c>
      <c r="AW7280" s="4">
        <v>42453</v>
      </c>
      <c r="BD7280">
        <v>0</v>
      </c>
      <c r="BN7280" t="s">
        <v>74</v>
      </c>
    </row>
    <row r="7281" spans="1:66" hidden="1">
      <c r="A7281">
        <v>104186</v>
      </c>
      <c r="B7281" s="3" t="s">
        <v>622</v>
      </c>
      <c r="C7281" s="1">
        <v>43500101</v>
      </c>
      <c r="D7281" t="s">
        <v>113</v>
      </c>
      <c r="H7281" t="str">
        <f t="shared" si="715"/>
        <v>05889861000</v>
      </c>
      <c r="I7281" t="str">
        <f t="shared" si="715"/>
        <v>05889861000</v>
      </c>
      <c r="K7281" t="str">
        <f>""</f>
        <v/>
      </c>
      <c r="M7281" t="s">
        <v>68</v>
      </c>
      <c r="N7281" t="str">
        <f t="shared" si="716"/>
        <v>ALTFIN</v>
      </c>
      <c r="O7281" t="s">
        <v>123</v>
      </c>
      <c r="P7281" s="3" t="s">
        <v>87</v>
      </c>
      <c r="Q7281">
        <v>2016</v>
      </c>
      <c r="R7281" s="2">
        <v>42481</v>
      </c>
      <c r="S7281" s="2">
        <v>42481</v>
      </c>
      <c r="T7281" s="2">
        <v>42481</v>
      </c>
      <c r="U7281" s="2">
        <v>42541</v>
      </c>
      <c r="V7281" t="s">
        <v>71</v>
      </c>
      <c r="W7281" t="str">
        <f>"                0421"</f>
        <v xml:space="preserve">                0421</v>
      </c>
      <c r="X7281">
        <v>0</v>
      </c>
      <c r="Y7281" s="1">
        <v>8604.5</v>
      </c>
      <c r="Z7281"/>
      <c r="AB7281"/>
      <c r="AC7281" s="1">
        <v>8604.5</v>
      </c>
      <c r="AD7281">
        <v>-60</v>
      </c>
      <c r="AE7281" s="1">
        <v>-516270</v>
      </c>
      <c r="AF7281">
        <v>0</v>
      </c>
      <c r="AJ7281">
        <v>0</v>
      </c>
      <c r="AK7281">
        <v>0</v>
      </c>
      <c r="AL7281">
        <v>0</v>
      </c>
      <c r="AM7281" s="1">
        <v>8604.5</v>
      </c>
      <c r="AN7281" s="1">
        <v>8604.5</v>
      </c>
      <c r="AO7281" s="1">
        <v>8604.5</v>
      </c>
      <c r="AP7281" s="2">
        <v>42746</v>
      </c>
      <c r="AQ7281" t="s">
        <v>72</v>
      </c>
      <c r="AR7281" t="s">
        <v>72</v>
      </c>
      <c r="AS7281">
        <v>1111</v>
      </c>
      <c r="AT7281" s="4">
        <v>42481</v>
      </c>
      <c r="AV7281">
        <v>1111</v>
      </c>
      <c r="AW7281" s="4">
        <v>42481</v>
      </c>
      <c r="BD7281">
        <v>0</v>
      </c>
      <c r="BN7281" t="s">
        <v>74</v>
      </c>
    </row>
    <row r="7282" spans="1:66" hidden="1">
      <c r="A7282">
        <v>104186</v>
      </c>
      <c r="B7282" s="3" t="s">
        <v>622</v>
      </c>
      <c r="C7282" s="1">
        <v>43500101</v>
      </c>
      <c r="D7282" t="s">
        <v>113</v>
      </c>
      <c r="H7282" t="str">
        <f t="shared" si="715"/>
        <v>05889861000</v>
      </c>
      <c r="I7282" t="str">
        <f t="shared" si="715"/>
        <v>05889861000</v>
      </c>
      <c r="K7282" t="str">
        <f>""</f>
        <v/>
      </c>
      <c r="M7282" t="s">
        <v>68</v>
      </c>
      <c r="N7282" t="str">
        <f t="shared" si="716"/>
        <v>ALTFIN</v>
      </c>
      <c r="O7282" t="s">
        <v>123</v>
      </c>
      <c r="P7282" s="3" t="s">
        <v>88</v>
      </c>
      <c r="Q7282">
        <v>2016</v>
      </c>
      <c r="R7282" s="2">
        <v>42508</v>
      </c>
      <c r="S7282" s="2">
        <v>42510</v>
      </c>
      <c r="T7282" s="2">
        <v>42510</v>
      </c>
      <c r="U7282" s="2">
        <v>42570</v>
      </c>
      <c r="V7282" t="s">
        <v>71</v>
      </c>
      <c r="W7282" t="str">
        <f>"                0518"</f>
        <v xml:space="preserve">                0518</v>
      </c>
      <c r="X7282">
        <v>0</v>
      </c>
      <c r="Y7282" s="1">
        <v>8589.5</v>
      </c>
      <c r="Z7282"/>
      <c r="AB7282"/>
      <c r="AC7282" s="1">
        <v>8589.5</v>
      </c>
      <c r="AD7282">
        <v>-57</v>
      </c>
      <c r="AE7282" s="1">
        <v>-489601.5</v>
      </c>
      <c r="AF7282">
        <v>0</v>
      </c>
      <c r="AJ7282">
        <v>0</v>
      </c>
      <c r="AK7282">
        <v>0</v>
      </c>
      <c r="AL7282">
        <v>0</v>
      </c>
      <c r="AM7282" s="1">
        <v>8589.5</v>
      </c>
      <c r="AN7282" s="1">
        <v>8589.5</v>
      </c>
      <c r="AO7282" s="1">
        <v>8589.5</v>
      </c>
      <c r="AP7282" s="2">
        <v>42746</v>
      </c>
      <c r="AQ7282" t="s">
        <v>72</v>
      </c>
      <c r="AR7282" t="s">
        <v>72</v>
      </c>
      <c r="AS7282">
        <v>1349</v>
      </c>
      <c r="AT7282" s="4">
        <v>42513</v>
      </c>
      <c r="AV7282">
        <v>1349</v>
      </c>
      <c r="AW7282" s="4">
        <v>42513</v>
      </c>
      <c r="BD7282">
        <v>0</v>
      </c>
      <c r="BN7282" t="s">
        <v>74</v>
      </c>
    </row>
    <row r="7283" spans="1:66" hidden="1">
      <c r="A7283">
        <v>104186</v>
      </c>
      <c r="B7283" s="3" t="s">
        <v>622</v>
      </c>
      <c r="C7283" s="1">
        <v>43500101</v>
      </c>
      <c r="D7283" t="s">
        <v>113</v>
      </c>
      <c r="H7283" t="str">
        <f t="shared" si="715"/>
        <v>05889861000</v>
      </c>
      <c r="I7283" t="str">
        <f t="shared" si="715"/>
        <v>05889861000</v>
      </c>
      <c r="K7283" t="str">
        <f>""</f>
        <v/>
      </c>
      <c r="M7283" t="s">
        <v>68</v>
      </c>
      <c r="N7283" t="str">
        <f t="shared" si="716"/>
        <v>ALTFIN</v>
      </c>
      <c r="O7283" t="s">
        <v>123</v>
      </c>
      <c r="P7283" s="3" t="s">
        <v>89</v>
      </c>
      <c r="Q7283">
        <v>2016</v>
      </c>
      <c r="R7283" s="2">
        <v>42548</v>
      </c>
      <c r="S7283" s="2">
        <v>42543</v>
      </c>
      <c r="T7283" s="2">
        <v>42543</v>
      </c>
      <c r="U7283" s="2">
        <v>42603</v>
      </c>
      <c r="V7283" t="s">
        <v>71</v>
      </c>
      <c r="W7283" t="str">
        <f>"                0627"</f>
        <v xml:space="preserve">                0627</v>
      </c>
      <c r="X7283">
        <v>0</v>
      </c>
      <c r="Y7283" s="1">
        <v>7816.5</v>
      </c>
      <c r="Z7283"/>
      <c r="AB7283"/>
      <c r="AC7283" s="1">
        <v>7816.5</v>
      </c>
      <c r="AD7283">
        <v>-47</v>
      </c>
      <c r="AE7283" s="1">
        <v>-367375.5</v>
      </c>
      <c r="AF7283">
        <v>0</v>
      </c>
      <c r="AJ7283">
        <v>0</v>
      </c>
      <c r="AK7283">
        <v>0</v>
      </c>
      <c r="AL7283">
        <v>0</v>
      </c>
      <c r="AM7283" s="1">
        <v>7816.5</v>
      </c>
      <c r="AN7283" s="1">
        <v>7816.5</v>
      </c>
      <c r="AO7283" s="1">
        <v>7816.5</v>
      </c>
      <c r="AP7283" s="2">
        <v>42746</v>
      </c>
      <c r="AQ7283" t="s">
        <v>72</v>
      </c>
      <c r="AR7283" t="s">
        <v>72</v>
      </c>
      <c r="AS7283">
        <v>1732</v>
      </c>
      <c r="AT7283" s="4">
        <v>42556</v>
      </c>
      <c r="AV7283">
        <v>1732</v>
      </c>
      <c r="AW7283" s="4">
        <v>42556</v>
      </c>
      <c r="BD7283">
        <v>0</v>
      </c>
      <c r="BN7283" t="s">
        <v>74</v>
      </c>
    </row>
    <row r="7284" spans="1:66" hidden="1">
      <c r="A7284">
        <v>104186</v>
      </c>
      <c r="B7284" s="3" t="s">
        <v>622</v>
      </c>
      <c r="C7284" s="1">
        <v>43500101</v>
      </c>
      <c r="D7284" t="s">
        <v>113</v>
      </c>
      <c r="H7284" t="str">
        <f t="shared" si="715"/>
        <v>05889861000</v>
      </c>
      <c r="I7284" t="str">
        <f t="shared" si="715"/>
        <v>05889861000</v>
      </c>
      <c r="K7284" t="str">
        <f>""</f>
        <v/>
      </c>
      <c r="M7284" t="s">
        <v>68</v>
      </c>
      <c r="N7284" t="str">
        <f t="shared" si="716"/>
        <v>ALTFIN</v>
      </c>
      <c r="O7284" t="s">
        <v>123</v>
      </c>
      <c r="P7284" s="3" t="s">
        <v>90</v>
      </c>
      <c r="Q7284">
        <v>2016</v>
      </c>
      <c r="R7284" s="2">
        <v>42573</v>
      </c>
      <c r="S7284" s="2">
        <v>42573</v>
      </c>
      <c r="T7284" s="2">
        <v>42573</v>
      </c>
      <c r="U7284" s="2">
        <v>42633</v>
      </c>
      <c r="V7284" t="s">
        <v>71</v>
      </c>
      <c r="W7284" t="str">
        <f>"                0722"</f>
        <v xml:space="preserve">                0722</v>
      </c>
      <c r="X7284">
        <v>0</v>
      </c>
      <c r="Y7284" s="1">
        <v>8406.5</v>
      </c>
      <c r="Z7284"/>
      <c r="AB7284"/>
      <c r="AC7284" s="1">
        <v>8406.5</v>
      </c>
      <c r="AD7284">
        <v>-48</v>
      </c>
      <c r="AE7284" s="1">
        <v>-403512</v>
      </c>
      <c r="AF7284">
        <v>0</v>
      </c>
      <c r="AJ7284">
        <v>0</v>
      </c>
      <c r="AK7284">
        <v>0</v>
      </c>
      <c r="AL7284">
        <v>0</v>
      </c>
      <c r="AM7284" s="1">
        <v>8406.5</v>
      </c>
      <c r="AN7284" s="1">
        <v>8406.5</v>
      </c>
      <c r="AO7284" s="1">
        <v>8406.5</v>
      </c>
      <c r="AP7284" s="2">
        <v>42746</v>
      </c>
      <c r="AQ7284" t="s">
        <v>72</v>
      </c>
      <c r="AR7284" t="s">
        <v>72</v>
      </c>
      <c r="AS7284">
        <v>2130</v>
      </c>
      <c r="AT7284" s="4">
        <v>42585</v>
      </c>
      <c r="AV7284">
        <v>2130</v>
      </c>
      <c r="AW7284" s="4">
        <v>42585</v>
      </c>
      <c r="BD7284">
        <v>0</v>
      </c>
      <c r="BN7284" t="s">
        <v>74</v>
      </c>
    </row>
    <row r="7285" spans="1:66" hidden="1">
      <c r="A7285">
        <v>104186</v>
      </c>
      <c r="B7285" s="3" t="s">
        <v>622</v>
      </c>
      <c r="C7285" s="1">
        <v>43500101</v>
      </c>
      <c r="D7285" t="s">
        <v>113</v>
      </c>
      <c r="H7285" t="str">
        <f t="shared" si="715"/>
        <v>05889861000</v>
      </c>
      <c r="I7285" t="str">
        <f t="shared" si="715"/>
        <v>05889861000</v>
      </c>
      <c r="K7285" t="str">
        <f>""</f>
        <v/>
      </c>
      <c r="M7285" t="s">
        <v>68</v>
      </c>
      <c r="N7285" t="str">
        <f t="shared" si="716"/>
        <v>ALTFIN</v>
      </c>
      <c r="O7285" t="s">
        <v>123</v>
      </c>
      <c r="P7285" s="3" t="s">
        <v>91</v>
      </c>
      <c r="Q7285">
        <v>2016</v>
      </c>
      <c r="R7285" s="2">
        <v>42592</v>
      </c>
      <c r="S7285" s="2">
        <v>42598</v>
      </c>
      <c r="T7285" s="2">
        <v>42598</v>
      </c>
      <c r="U7285" s="2">
        <v>42658</v>
      </c>
      <c r="V7285" t="s">
        <v>71</v>
      </c>
      <c r="W7285" t="str">
        <f>"                0810"</f>
        <v xml:space="preserve">                0810</v>
      </c>
      <c r="X7285">
        <v>0</v>
      </c>
      <c r="Y7285" s="1">
        <v>8406.5</v>
      </c>
      <c r="Z7285"/>
      <c r="AB7285"/>
      <c r="AC7285" s="1">
        <v>8406.5</v>
      </c>
      <c r="AD7285">
        <v>-60</v>
      </c>
      <c r="AE7285" s="1">
        <v>-504390</v>
      </c>
      <c r="AF7285">
        <v>0</v>
      </c>
      <c r="AJ7285">
        <v>0</v>
      </c>
      <c r="AK7285">
        <v>0</v>
      </c>
      <c r="AL7285">
        <v>0</v>
      </c>
      <c r="AM7285" s="1">
        <v>8406.5</v>
      </c>
      <c r="AN7285" s="1">
        <v>8406.5</v>
      </c>
      <c r="AO7285" s="1">
        <v>8406.5</v>
      </c>
      <c r="AP7285" s="2">
        <v>42746</v>
      </c>
      <c r="AQ7285" t="s">
        <v>72</v>
      </c>
      <c r="AR7285" t="s">
        <v>72</v>
      </c>
      <c r="AS7285">
        <v>2213</v>
      </c>
      <c r="AT7285" s="4">
        <v>42598</v>
      </c>
      <c r="AV7285">
        <v>2213</v>
      </c>
      <c r="AW7285" s="4">
        <v>42598</v>
      </c>
      <c r="BD7285">
        <v>0</v>
      </c>
      <c r="BN7285" t="s">
        <v>74</v>
      </c>
    </row>
    <row r="7286" spans="1:66" hidden="1">
      <c r="A7286">
        <v>104186</v>
      </c>
      <c r="B7286" s="3" t="s">
        <v>622</v>
      </c>
      <c r="C7286" s="1">
        <v>43500101</v>
      </c>
      <c r="D7286" t="s">
        <v>113</v>
      </c>
      <c r="H7286" t="str">
        <f t="shared" si="715"/>
        <v>05889861000</v>
      </c>
      <c r="I7286" t="str">
        <f t="shared" si="715"/>
        <v>05889861000</v>
      </c>
      <c r="K7286" t="str">
        <f>""</f>
        <v/>
      </c>
      <c r="M7286" t="s">
        <v>68</v>
      </c>
      <c r="N7286" t="str">
        <f t="shared" si="716"/>
        <v>ALTFIN</v>
      </c>
      <c r="O7286" t="s">
        <v>123</v>
      </c>
      <c r="P7286" s="3" t="s">
        <v>92</v>
      </c>
      <c r="Q7286">
        <v>2016</v>
      </c>
      <c r="R7286" s="2">
        <v>42633</v>
      </c>
      <c r="S7286" s="2">
        <v>42634</v>
      </c>
      <c r="T7286" s="2">
        <v>42634</v>
      </c>
      <c r="U7286" s="2">
        <v>42694</v>
      </c>
      <c r="V7286" t="s">
        <v>71</v>
      </c>
      <c r="W7286" t="str">
        <f>"                0920"</f>
        <v xml:space="preserve">                0920</v>
      </c>
      <c r="X7286">
        <v>0</v>
      </c>
      <c r="Y7286" s="1">
        <v>8606.5</v>
      </c>
      <c r="Z7286"/>
      <c r="AB7286"/>
      <c r="AC7286" s="1">
        <v>8606.5</v>
      </c>
      <c r="AD7286">
        <v>-60</v>
      </c>
      <c r="AE7286" s="1">
        <v>-516390</v>
      </c>
      <c r="AF7286">
        <v>0</v>
      </c>
      <c r="AJ7286">
        <v>0</v>
      </c>
      <c r="AK7286">
        <v>0</v>
      </c>
      <c r="AL7286">
        <v>0</v>
      </c>
      <c r="AM7286" s="1">
        <v>8606.5</v>
      </c>
      <c r="AN7286" s="1">
        <v>8606.5</v>
      </c>
      <c r="AO7286" s="1">
        <v>8606.5</v>
      </c>
      <c r="AP7286" s="2">
        <v>42746</v>
      </c>
      <c r="AQ7286" t="s">
        <v>72</v>
      </c>
      <c r="AR7286" t="s">
        <v>72</v>
      </c>
      <c r="AS7286">
        <v>2486</v>
      </c>
      <c r="AT7286" s="4">
        <v>42634</v>
      </c>
      <c r="AV7286">
        <v>2486</v>
      </c>
      <c r="AW7286" s="4">
        <v>42634</v>
      </c>
      <c r="BD7286">
        <v>0</v>
      </c>
      <c r="BN7286" t="s">
        <v>74</v>
      </c>
    </row>
    <row r="7287" spans="1:66" hidden="1">
      <c r="A7287">
        <v>104186</v>
      </c>
      <c r="B7287" s="3" t="s">
        <v>622</v>
      </c>
      <c r="C7287" s="1">
        <v>43500101</v>
      </c>
      <c r="D7287" t="s">
        <v>113</v>
      </c>
      <c r="H7287" t="str">
        <f t="shared" si="715"/>
        <v>05889861000</v>
      </c>
      <c r="I7287" t="str">
        <f t="shared" si="715"/>
        <v>05889861000</v>
      </c>
      <c r="K7287" t="str">
        <f>""</f>
        <v/>
      </c>
      <c r="M7287" t="s">
        <v>68</v>
      </c>
      <c r="N7287" t="str">
        <f t="shared" si="716"/>
        <v>ALTFIN</v>
      </c>
      <c r="O7287" t="s">
        <v>123</v>
      </c>
      <c r="P7287" s="3" t="s">
        <v>93</v>
      </c>
      <c r="Q7287">
        <v>2016</v>
      </c>
      <c r="R7287" s="2">
        <v>42664</v>
      </c>
      <c r="S7287" s="2">
        <v>42667</v>
      </c>
      <c r="T7287" s="2">
        <v>42667</v>
      </c>
      <c r="U7287" s="2">
        <v>42727</v>
      </c>
      <c r="V7287" t="s">
        <v>71</v>
      </c>
      <c r="W7287" t="str">
        <f>"                1021"</f>
        <v xml:space="preserve">                1021</v>
      </c>
      <c r="X7287">
        <v>0</v>
      </c>
      <c r="Y7287" s="1">
        <v>8772.5</v>
      </c>
      <c r="Z7287" s="5">
        <v>8772.5</v>
      </c>
      <c r="AA7287">
        <v>-60</v>
      </c>
      <c r="AB7287" s="5">
        <v>-526350</v>
      </c>
      <c r="AC7287" s="1">
        <v>8772.5</v>
      </c>
      <c r="AD7287">
        <v>-60</v>
      </c>
      <c r="AE7287" s="1">
        <v>-526350</v>
      </c>
      <c r="AF7287">
        <v>0</v>
      </c>
      <c r="AJ7287" s="1">
        <v>8772.5</v>
      </c>
      <c r="AK7287" s="1">
        <v>8772.5</v>
      </c>
      <c r="AL7287" s="1">
        <v>8772.5</v>
      </c>
      <c r="AM7287" s="1">
        <v>8772.5</v>
      </c>
      <c r="AN7287" s="1">
        <v>8772.5</v>
      </c>
      <c r="AO7287" s="1">
        <v>8772.5</v>
      </c>
      <c r="AP7287" s="2">
        <v>42746</v>
      </c>
      <c r="AQ7287" t="s">
        <v>72</v>
      </c>
      <c r="AR7287" t="s">
        <v>72</v>
      </c>
      <c r="AS7287">
        <v>2834</v>
      </c>
      <c r="AT7287" s="4">
        <v>42667</v>
      </c>
      <c r="AV7287">
        <v>2834</v>
      </c>
      <c r="AW7287" s="4">
        <v>42667</v>
      </c>
      <c r="BD7287">
        <v>0</v>
      </c>
      <c r="BN7287" t="s">
        <v>74</v>
      </c>
    </row>
    <row r="7288" spans="1:66" hidden="1">
      <c r="A7288">
        <v>104186</v>
      </c>
      <c r="B7288" s="3" t="s">
        <v>622</v>
      </c>
      <c r="C7288" s="1">
        <v>43500101</v>
      </c>
      <c r="D7288" t="s">
        <v>113</v>
      </c>
      <c r="H7288" t="str">
        <f t="shared" si="715"/>
        <v>05889861000</v>
      </c>
      <c r="I7288" t="str">
        <f t="shared" si="715"/>
        <v>05889861000</v>
      </c>
      <c r="K7288" t="str">
        <f>""</f>
        <v/>
      </c>
      <c r="M7288" t="s">
        <v>68</v>
      </c>
      <c r="N7288" t="str">
        <f t="shared" si="716"/>
        <v>ALTFIN</v>
      </c>
      <c r="O7288" t="s">
        <v>123</v>
      </c>
      <c r="P7288" s="3" t="s">
        <v>94</v>
      </c>
      <c r="Q7288">
        <v>2016</v>
      </c>
      <c r="R7288" s="2">
        <v>42696</v>
      </c>
      <c r="S7288" s="2">
        <v>42696</v>
      </c>
      <c r="T7288" s="2">
        <v>42696</v>
      </c>
      <c r="U7288" s="2">
        <v>42756</v>
      </c>
      <c r="V7288" t="s">
        <v>71</v>
      </c>
      <c r="W7288" t="str">
        <f>"                1122"</f>
        <v xml:space="preserve">                1122</v>
      </c>
      <c r="X7288">
        <v>0</v>
      </c>
      <c r="Y7288" s="1">
        <v>9161.5</v>
      </c>
      <c r="Z7288" s="5">
        <v>9161.5</v>
      </c>
      <c r="AA7288">
        <v>-59</v>
      </c>
      <c r="AB7288" s="5">
        <v>-540528.5</v>
      </c>
      <c r="AC7288" s="1">
        <v>9161.5</v>
      </c>
      <c r="AD7288">
        <v>-59</v>
      </c>
      <c r="AE7288" s="1">
        <v>-540528.5</v>
      </c>
      <c r="AF7288">
        <v>0</v>
      </c>
      <c r="AJ7288" s="1">
        <v>9161.5</v>
      </c>
      <c r="AK7288" s="1">
        <v>9161.5</v>
      </c>
      <c r="AL7288" s="1">
        <v>9161.5</v>
      </c>
      <c r="AM7288" s="1">
        <v>9161.5</v>
      </c>
      <c r="AN7288" s="1">
        <v>9161.5</v>
      </c>
      <c r="AO7288" s="1">
        <v>9161.5</v>
      </c>
      <c r="AP7288" s="2">
        <v>42746</v>
      </c>
      <c r="AQ7288" t="s">
        <v>72</v>
      </c>
      <c r="AR7288" t="s">
        <v>72</v>
      </c>
      <c r="AS7288">
        <v>3272</v>
      </c>
      <c r="AT7288" s="4">
        <v>42697</v>
      </c>
      <c r="AV7288">
        <v>3272</v>
      </c>
      <c r="AW7288" s="4">
        <v>42697</v>
      </c>
      <c r="BD7288">
        <v>0</v>
      </c>
      <c r="BN7288" t="s">
        <v>74</v>
      </c>
    </row>
    <row r="7289" spans="1:66" hidden="1">
      <c r="A7289">
        <v>104186</v>
      </c>
      <c r="B7289" s="3" t="s">
        <v>622</v>
      </c>
      <c r="C7289" s="1">
        <v>43500101</v>
      </c>
      <c r="D7289" t="s">
        <v>113</v>
      </c>
      <c r="H7289" t="str">
        <f t="shared" si="715"/>
        <v>05889861000</v>
      </c>
      <c r="I7289" t="str">
        <f t="shared" si="715"/>
        <v>05889861000</v>
      </c>
      <c r="K7289" t="str">
        <f>""</f>
        <v/>
      </c>
      <c r="M7289" t="s">
        <v>68</v>
      </c>
      <c r="N7289" t="str">
        <f t="shared" si="716"/>
        <v>ALTFIN</v>
      </c>
      <c r="O7289" t="s">
        <v>123</v>
      </c>
      <c r="P7289" s="3" t="s">
        <v>95</v>
      </c>
      <c r="Q7289">
        <v>2016</v>
      </c>
      <c r="R7289" s="2">
        <v>42717</v>
      </c>
      <c r="S7289" s="2">
        <v>42717</v>
      </c>
      <c r="T7289" s="2">
        <v>42717</v>
      </c>
      <c r="U7289" s="2">
        <v>42777</v>
      </c>
      <c r="V7289" t="s">
        <v>71</v>
      </c>
      <c r="W7289" t="str">
        <f>"                1213"</f>
        <v xml:space="preserve">                1213</v>
      </c>
      <c r="X7289">
        <v>0</v>
      </c>
      <c r="Y7289" s="1">
        <v>9261.5</v>
      </c>
      <c r="Z7289" s="5">
        <v>9261.5</v>
      </c>
      <c r="AA7289">
        <v>-59</v>
      </c>
      <c r="AB7289" s="5">
        <v>-546428.5</v>
      </c>
      <c r="AC7289" s="1">
        <v>9261.5</v>
      </c>
      <c r="AD7289">
        <v>-59</v>
      </c>
      <c r="AE7289" s="1">
        <v>-546428.5</v>
      </c>
      <c r="AF7289">
        <v>0</v>
      </c>
      <c r="AJ7289" s="1">
        <v>9261.5</v>
      </c>
      <c r="AK7289" s="1">
        <v>9261.5</v>
      </c>
      <c r="AL7289" s="1">
        <v>9261.5</v>
      </c>
      <c r="AM7289" s="1">
        <v>9261.5</v>
      </c>
      <c r="AN7289" s="1">
        <v>9261.5</v>
      </c>
      <c r="AO7289" s="1">
        <v>9261.5</v>
      </c>
      <c r="AP7289" s="2">
        <v>42746</v>
      </c>
      <c r="AQ7289" t="s">
        <v>72</v>
      </c>
      <c r="AR7289" t="s">
        <v>72</v>
      </c>
      <c r="AS7289">
        <v>3429</v>
      </c>
      <c r="AT7289" s="4">
        <v>42718</v>
      </c>
      <c r="AV7289">
        <v>3429</v>
      </c>
      <c r="AW7289" s="4">
        <v>42718</v>
      </c>
      <c r="BD7289">
        <v>0</v>
      </c>
      <c r="BN7289" t="s">
        <v>74</v>
      </c>
    </row>
    <row r="7290" spans="1:66" hidden="1">
      <c r="A7290">
        <v>104195</v>
      </c>
      <c r="B7290" s="3" t="s">
        <v>623</v>
      </c>
      <c r="C7290" s="1">
        <v>43300101</v>
      </c>
      <c r="D7290" t="s">
        <v>67</v>
      </c>
      <c r="H7290" t="str">
        <f t="shared" ref="H7290:I7309" si="717">"11206730159"</f>
        <v>11206730159</v>
      </c>
      <c r="I7290" t="str">
        <f t="shared" si="717"/>
        <v>11206730159</v>
      </c>
      <c r="K7290" t="str">
        <f>""</f>
        <v/>
      </c>
      <c r="M7290" t="s">
        <v>68</v>
      </c>
      <c r="N7290" t="str">
        <f t="shared" ref="N7290:N7321" si="718">"FOR"</f>
        <v>FOR</v>
      </c>
      <c r="O7290" t="s">
        <v>69</v>
      </c>
      <c r="P7290" s="3" t="s">
        <v>70</v>
      </c>
      <c r="Q7290">
        <v>2015</v>
      </c>
      <c r="R7290" s="2">
        <v>42038</v>
      </c>
      <c r="S7290" s="2">
        <v>42044</v>
      </c>
      <c r="T7290" s="2">
        <v>42044</v>
      </c>
      <c r="U7290" s="2">
        <v>42104</v>
      </c>
      <c r="V7290" t="s">
        <v>71</v>
      </c>
      <c r="W7290" t="str">
        <f>"          7171150833"</f>
        <v xml:space="preserve">          7171150833</v>
      </c>
      <c r="X7290">
        <v>183</v>
      </c>
      <c r="Y7290">
        <v>0</v>
      </c>
      <c r="Z7290"/>
      <c r="AB7290"/>
      <c r="AC7290">
        <v>150</v>
      </c>
      <c r="AD7290">
        <v>304</v>
      </c>
      <c r="AE7290" s="1">
        <v>45600</v>
      </c>
      <c r="AF7290">
        <v>0</v>
      </c>
      <c r="AJ7290">
        <v>0</v>
      </c>
      <c r="AK7290">
        <v>0</v>
      </c>
      <c r="AL7290">
        <v>0</v>
      </c>
      <c r="AM7290">
        <v>0</v>
      </c>
      <c r="AN7290">
        <v>0</v>
      </c>
      <c r="AO7290">
        <v>0</v>
      </c>
      <c r="AP7290" s="2">
        <v>42746</v>
      </c>
      <c r="AQ7290" t="s">
        <v>72</v>
      </c>
      <c r="AR7290" t="s">
        <v>72</v>
      </c>
      <c r="AS7290">
        <v>326</v>
      </c>
      <c r="AT7290" s="4">
        <v>42408</v>
      </c>
      <c r="AU7290" t="s">
        <v>73</v>
      </c>
      <c r="AV7290">
        <v>326</v>
      </c>
      <c r="AW7290" s="4">
        <v>42408</v>
      </c>
      <c r="BD7290">
        <v>0</v>
      </c>
      <c r="BN7290" t="s">
        <v>74</v>
      </c>
    </row>
    <row r="7291" spans="1:66" hidden="1">
      <c r="A7291">
        <v>104195</v>
      </c>
      <c r="B7291" s="3" t="s">
        <v>623</v>
      </c>
      <c r="C7291" s="1">
        <v>43300101</v>
      </c>
      <c r="D7291" t="s">
        <v>67</v>
      </c>
      <c r="H7291" t="str">
        <f t="shared" si="717"/>
        <v>11206730159</v>
      </c>
      <c r="I7291" t="str">
        <f t="shared" si="717"/>
        <v>11206730159</v>
      </c>
      <c r="K7291" t="str">
        <f>""</f>
        <v/>
      </c>
      <c r="M7291" t="s">
        <v>68</v>
      </c>
      <c r="N7291" t="str">
        <f t="shared" si="718"/>
        <v>FOR</v>
      </c>
      <c r="O7291" t="s">
        <v>69</v>
      </c>
      <c r="P7291" s="3" t="s">
        <v>70</v>
      </c>
      <c r="Q7291">
        <v>2015</v>
      </c>
      <c r="R7291" s="2">
        <v>42038</v>
      </c>
      <c r="S7291" s="2">
        <v>42044</v>
      </c>
      <c r="T7291" s="2">
        <v>42044</v>
      </c>
      <c r="U7291" s="2">
        <v>42104</v>
      </c>
      <c r="V7291" t="s">
        <v>71</v>
      </c>
      <c r="W7291" t="str">
        <f>"          7171150834"</f>
        <v xml:space="preserve">          7171150834</v>
      </c>
      <c r="X7291">
        <v>183</v>
      </c>
      <c r="Y7291">
        <v>0</v>
      </c>
      <c r="Z7291"/>
      <c r="AB7291"/>
      <c r="AC7291">
        <v>150</v>
      </c>
      <c r="AD7291">
        <v>304</v>
      </c>
      <c r="AE7291" s="1">
        <v>45600</v>
      </c>
      <c r="AF7291">
        <v>0</v>
      </c>
      <c r="AJ7291">
        <v>0</v>
      </c>
      <c r="AK7291">
        <v>0</v>
      </c>
      <c r="AL7291">
        <v>0</v>
      </c>
      <c r="AM7291">
        <v>0</v>
      </c>
      <c r="AN7291">
        <v>0</v>
      </c>
      <c r="AO7291">
        <v>0</v>
      </c>
      <c r="AP7291" s="2">
        <v>42746</v>
      </c>
      <c r="AQ7291" t="s">
        <v>72</v>
      </c>
      <c r="AR7291" t="s">
        <v>72</v>
      </c>
      <c r="AS7291">
        <v>326</v>
      </c>
      <c r="AT7291" s="4">
        <v>42408</v>
      </c>
      <c r="AU7291" t="s">
        <v>73</v>
      </c>
      <c r="AV7291">
        <v>326</v>
      </c>
      <c r="AW7291" s="4">
        <v>42408</v>
      </c>
      <c r="BD7291">
        <v>0</v>
      </c>
      <c r="BN7291" t="s">
        <v>74</v>
      </c>
    </row>
    <row r="7292" spans="1:66" hidden="1">
      <c r="A7292">
        <v>104195</v>
      </c>
      <c r="B7292" s="3" t="s">
        <v>623</v>
      </c>
      <c r="C7292" s="1">
        <v>43300101</v>
      </c>
      <c r="D7292" t="s">
        <v>67</v>
      </c>
      <c r="H7292" t="str">
        <f t="shared" si="717"/>
        <v>11206730159</v>
      </c>
      <c r="I7292" t="str">
        <f t="shared" si="717"/>
        <v>11206730159</v>
      </c>
      <c r="K7292" t="str">
        <f>""</f>
        <v/>
      </c>
      <c r="M7292" t="s">
        <v>68</v>
      </c>
      <c r="N7292" t="str">
        <f t="shared" si="718"/>
        <v>FOR</v>
      </c>
      <c r="O7292" t="s">
        <v>69</v>
      </c>
      <c r="P7292" s="3" t="s">
        <v>70</v>
      </c>
      <c r="Q7292">
        <v>2015</v>
      </c>
      <c r="R7292" s="2">
        <v>42038</v>
      </c>
      <c r="S7292" s="2">
        <v>42044</v>
      </c>
      <c r="T7292" s="2">
        <v>42044</v>
      </c>
      <c r="U7292" s="2">
        <v>42104</v>
      </c>
      <c r="V7292" t="s">
        <v>71</v>
      </c>
      <c r="W7292" t="str">
        <f>"          7171150835"</f>
        <v xml:space="preserve">          7171150835</v>
      </c>
      <c r="X7292">
        <v>183</v>
      </c>
      <c r="Y7292">
        <v>0</v>
      </c>
      <c r="Z7292"/>
      <c r="AB7292"/>
      <c r="AC7292">
        <v>150</v>
      </c>
      <c r="AD7292">
        <v>304</v>
      </c>
      <c r="AE7292" s="1">
        <v>45600</v>
      </c>
      <c r="AF7292">
        <v>0</v>
      </c>
      <c r="AJ7292">
        <v>0</v>
      </c>
      <c r="AK7292">
        <v>0</v>
      </c>
      <c r="AL7292">
        <v>0</v>
      </c>
      <c r="AM7292">
        <v>0</v>
      </c>
      <c r="AN7292">
        <v>0</v>
      </c>
      <c r="AO7292">
        <v>0</v>
      </c>
      <c r="AP7292" s="2">
        <v>42746</v>
      </c>
      <c r="AQ7292" t="s">
        <v>72</v>
      </c>
      <c r="AR7292" t="s">
        <v>72</v>
      </c>
      <c r="AS7292">
        <v>326</v>
      </c>
      <c r="AT7292" s="4">
        <v>42408</v>
      </c>
      <c r="AU7292" t="s">
        <v>73</v>
      </c>
      <c r="AV7292">
        <v>326</v>
      </c>
      <c r="AW7292" s="4">
        <v>42408</v>
      </c>
      <c r="BD7292">
        <v>0</v>
      </c>
      <c r="BN7292" t="s">
        <v>74</v>
      </c>
    </row>
    <row r="7293" spans="1:66" hidden="1">
      <c r="A7293">
        <v>104195</v>
      </c>
      <c r="B7293" s="3" t="s">
        <v>623</v>
      </c>
      <c r="C7293" s="1">
        <v>43300101</v>
      </c>
      <c r="D7293" t="s">
        <v>67</v>
      </c>
      <c r="H7293" t="str">
        <f t="shared" si="717"/>
        <v>11206730159</v>
      </c>
      <c r="I7293" t="str">
        <f t="shared" si="717"/>
        <v>11206730159</v>
      </c>
      <c r="K7293" t="str">
        <f>""</f>
        <v/>
      </c>
      <c r="M7293" t="s">
        <v>68</v>
      </c>
      <c r="N7293" t="str">
        <f t="shared" si="718"/>
        <v>FOR</v>
      </c>
      <c r="O7293" t="s">
        <v>69</v>
      </c>
      <c r="P7293" s="3" t="s">
        <v>70</v>
      </c>
      <c r="Q7293">
        <v>2015</v>
      </c>
      <c r="R7293" s="2">
        <v>42038</v>
      </c>
      <c r="S7293" s="2">
        <v>42044</v>
      </c>
      <c r="T7293" s="2">
        <v>42044</v>
      </c>
      <c r="U7293" s="2">
        <v>42104</v>
      </c>
      <c r="V7293" t="s">
        <v>71</v>
      </c>
      <c r="W7293" t="str">
        <f>"          7171150836"</f>
        <v xml:space="preserve">          7171150836</v>
      </c>
      <c r="X7293">
        <v>894.4</v>
      </c>
      <c r="Y7293">
        <v>0</v>
      </c>
      <c r="Z7293"/>
      <c r="AB7293"/>
      <c r="AC7293">
        <v>860</v>
      </c>
      <c r="AD7293">
        <v>304</v>
      </c>
      <c r="AE7293" s="1">
        <v>261440</v>
      </c>
      <c r="AF7293">
        <v>0</v>
      </c>
      <c r="AJ7293">
        <v>0</v>
      </c>
      <c r="AK7293">
        <v>0</v>
      </c>
      <c r="AL7293">
        <v>0</v>
      </c>
      <c r="AM7293">
        <v>0</v>
      </c>
      <c r="AN7293">
        <v>0</v>
      </c>
      <c r="AO7293">
        <v>0</v>
      </c>
      <c r="AP7293" s="2">
        <v>42746</v>
      </c>
      <c r="AQ7293" t="s">
        <v>72</v>
      </c>
      <c r="AR7293" t="s">
        <v>72</v>
      </c>
      <c r="AS7293">
        <v>326</v>
      </c>
      <c r="AT7293" s="4">
        <v>42408</v>
      </c>
      <c r="AU7293" t="s">
        <v>73</v>
      </c>
      <c r="AV7293">
        <v>326</v>
      </c>
      <c r="AW7293" s="4">
        <v>42408</v>
      </c>
      <c r="BD7293">
        <v>0</v>
      </c>
      <c r="BN7293" t="s">
        <v>74</v>
      </c>
    </row>
    <row r="7294" spans="1:66" hidden="1">
      <c r="A7294">
        <v>104195</v>
      </c>
      <c r="B7294" s="3" t="s">
        <v>623</v>
      </c>
      <c r="C7294" s="1">
        <v>43300101</v>
      </c>
      <c r="D7294" t="s">
        <v>67</v>
      </c>
      <c r="H7294" t="str">
        <f t="shared" si="717"/>
        <v>11206730159</v>
      </c>
      <c r="I7294" t="str">
        <f t="shared" si="717"/>
        <v>11206730159</v>
      </c>
      <c r="K7294" t="str">
        <f>""</f>
        <v/>
      </c>
      <c r="M7294" t="s">
        <v>68</v>
      </c>
      <c r="N7294" t="str">
        <f t="shared" si="718"/>
        <v>FOR</v>
      </c>
      <c r="O7294" t="s">
        <v>69</v>
      </c>
      <c r="P7294" s="3" t="s">
        <v>70</v>
      </c>
      <c r="Q7294">
        <v>2015</v>
      </c>
      <c r="R7294" s="2">
        <v>42038</v>
      </c>
      <c r="S7294" s="2">
        <v>42044</v>
      </c>
      <c r="T7294" s="2">
        <v>42044</v>
      </c>
      <c r="U7294" s="2">
        <v>42104</v>
      </c>
      <c r="V7294" t="s">
        <v>71</v>
      </c>
      <c r="W7294" t="str">
        <f>"          7171150837"</f>
        <v xml:space="preserve">          7171150837</v>
      </c>
      <c r="X7294">
        <v>894.4</v>
      </c>
      <c r="Y7294">
        <v>0</v>
      </c>
      <c r="Z7294"/>
      <c r="AB7294"/>
      <c r="AC7294">
        <v>860</v>
      </c>
      <c r="AD7294">
        <v>304</v>
      </c>
      <c r="AE7294" s="1">
        <v>261440</v>
      </c>
      <c r="AF7294">
        <v>0</v>
      </c>
      <c r="AJ7294">
        <v>0</v>
      </c>
      <c r="AK7294">
        <v>0</v>
      </c>
      <c r="AL7294">
        <v>0</v>
      </c>
      <c r="AM7294">
        <v>0</v>
      </c>
      <c r="AN7294">
        <v>0</v>
      </c>
      <c r="AO7294">
        <v>0</v>
      </c>
      <c r="AP7294" s="2">
        <v>42746</v>
      </c>
      <c r="AQ7294" t="s">
        <v>72</v>
      </c>
      <c r="AR7294" t="s">
        <v>72</v>
      </c>
      <c r="AS7294">
        <v>326</v>
      </c>
      <c r="AT7294" s="4">
        <v>42408</v>
      </c>
      <c r="AU7294" t="s">
        <v>73</v>
      </c>
      <c r="AV7294">
        <v>326</v>
      </c>
      <c r="AW7294" s="4">
        <v>42408</v>
      </c>
      <c r="BD7294">
        <v>0</v>
      </c>
      <c r="BN7294" t="s">
        <v>74</v>
      </c>
    </row>
    <row r="7295" spans="1:66" hidden="1">
      <c r="A7295">
        <v>104195</v>
      </c>
      <c r="B7295" s="3" t="s">
        <v>623</v>
      </c>
      <c r="C7295" s="1">
        <v>43300101</v>
      </c>
      <c r="D7295" t="s">
        <v>67</v>
      </c>
      <c r="H7295" t="str">
        <f t="shared" si="717"/>
        <v>11206730159</v>
      </c>
      <c r="I7295" t="str">
        <f t="shared" si="717"/>
        <v>11206730159</v>
      </c>
      <c r="K7295" t="str">
        <f>""</f>
        <v/>
      </c>
      <c r="M7295" t="s">
        <v>68</v>
      </c>
      <c r="N7295" t="str">
        <f t="shared" si="718"/>
        <v>FOR</v>
      </c>
      <c r="O7295" t="s">
        <v>69</v>
      </c>
      <c r="P7295" s="3" t="s">
        <v>70</v>
      </c>
      <c r="Q7295">
        <v>2015</v>
      </c>
      <c r="R7295" s="2">
        <v>42044</v>
      </c>
      <c r="S7295" s="2">
        <v>42052</v>
      </c>
      <c r="T7295" s="2">
        <v>42052</v>
      </c>
      <c r="U7295" s="2">
        <v>42112</v>
      </c>
      <c r="V7295" t="s">
        <v>71</v>
      </c>
      <c r="W7295" t="str">
        <f>"          7171152692"</f>
        <v xml:space="preserve">          7171152692</v>
      </c>
      <c r="X7295">
        <v>183</v>
      </c>
      <c r="Y7295">
        <v>0</v>
      </c>
      <c r="Z7295"/>
      <c r="AB7295"/>
      <c r="AC7295">
        <v>150</v>
      </c>
      <c r="AD7295">
        <v>296</v>
      </c>
      <c r="AE7295" s="1">
        <v>44400</v>
      </c>
      <c r="AF7295">
        <v>0</v>
      </c>
      <c r="AJ7295">
        <v>0</v>
      </c>
      <c r="AK7295">
        <v>0</v>
      </c>
      <c r="AL7295">
        <v>0</v>
      </c>
      <c r="AM7295">
        <v>0</v>
      </c>
      <c r="AN7295">
        <v>0</v>
      </c>
      <c r="AO7295">
        <v>0</v>
      </c>
      <c r="AP7295" s="2">
        <v>42746</v>
      </c>
      <c r="AQ7295" t="s">
        <v>72</v>
      </c>
      <c r="AR7295" t="s">
        <v>72</v>
      </c>
      <c r="AS7295">
        <v>326</v>
      </c>
      <c r="AT7295" s="4">
        <v>42408</v>
      </c>
      <c r="AU7295" t="s">
        <v>73</v>
      </c>
      <c r="AV7295">
        <v>326</v>
      </c>
      <c r="AW7295" s="4">
        <v>42408</v>
      </c>
      <c r="BD7295">
        <v>0</v>
      </c>
      <c r="BN7295" t="s">
        <v>74</v>
      </c>
    </row>
    <row r="7296" spans="1:66" hidden="1">
      <c r="A7296">
        <v>104195</v>
      </c>
      <c r="B7296" s="3" t="s">
        <v>623</v>
      </c>
      <c r="C7296" s="1">
        <v>43300101</v>
      </c>
      <c r="D7296" t="s">
        <v>67</v>
      </c>
      <c r="H7296" t="str">
        <f t="shared" si="717"/>
        <v>11206730159</v>
      </c>
      <c r="I7296" t="str">
        <f t="shared" si="717"/>
        <v>11206730159</v>
      </c>
      <c r="K7296" t="str">
        <f>""</f>
        <v/>
      </c>
      <c r="M7296" t="s">
        <v>68</v>
      </c>
      <c r="N7296" t="str">
        <f t="shared" si="718"/>
        <v>FOR</v>
      </c>
      <c r="O7296" t="s">
        <v>69</v>
      </c>
      <c r="P7296" s="3" t="s">
        <v>70</v>
      </c>
      <c r="Q7296">
        <v>2015</v>
      </c>
      <c r="R7296" s="2">
        <v>42044</v>
      </c>
      <c r="S7296" s="2">
        <v>42052</v>
      </c>
      <c r="T7296" s="2">
        <v>42052</v>
      </c>
      <c r="U7296" s="2">
        <v>42112</v>
      </c>
      <c r="V7296" t="s">
        <v>71</v>
      </c>
      <c r="W7296" t="str">
        <f>"          7171152693"</f>
        <v xml:space="preserve">          7171152693</v>
      </c>
      <c r="X7296">
        <v>894.4</v>
      </c>
      <c r="Y7296">
        <v>0</v>
      </c>
      <c r="Z7296"/>
      <c r="AB7296"/>
      <c r="AC7296">
        <v>860</v>
      </c>
      <c r="AD7296">
        <v>296</v>
      </c>
      <c r="AE7296" s="1">
        <v>254560</v>
      </c>
      <c r="AF7296">
        <v>0</v>
      </c>
      <c r="AJ7296">
        <v>0</v>
      </c>
      <c r="AK7296">
        <v>0</v>
      </c>
      <c r="AL7296">
        <v>0</v>
      </c>
      <c r="AM7296">
        <v>0</v>
      </c>
      <c r="AN7296">
        <v>0</v>
      </c>
      <c r="AO7296">
        <v>0</v>
      </c>
      <c r="AP7296" s="2">
        <v>42746</v>
      </c>
      <c r="AQ7296" t="s">
        <v>72</v>
      </c>
      <c r="AR7296" t="s">
        <v>72</v>
      </c>
      <c r="AS7296">
        <v>326</v>
      </c>
      <c r="AT7296" s="4">
        <v>42408</v>
      </c>
      <c r="AU7296" t="s">
        <v>73</v>
      </c>
      <c r="AV7296">
        <v>326</v>
      </c>
      <c r="AW7296" s="4">
        <v>42408</v>
      </c>
      <c r="BD7296">
        <v>0</v>
      </c>
      <c r="BN7296" t="s">
        <v>74</v>
      </c>
    </row>
    <row r="7297" spans="1:66" hidden="1">
      <c r="A7297">
        <v>104195</v>
      </c>
      <c r="B7297" s="3" t="s">
        <v>623</v>
      </c>
      <c r="C7297" s="1">
        <v>43300101</v>
      </c>
      <c r="D7297" t="s">
        <v>67</v>
      </c>
      <c r="H7297" t="str">
        <f t="shared" si="717"/>
        <v>11206730159</v>
      </c>
      <c r="I7297" t="str">
        <f t="shared" si="717"/>
        <v>11206730159</v>
      </c>
      <c r="K7297" t="str">
        <f>""</f>
        <v/>
      </c>
      <c r="M7297" t="s">
        <v>68</v>
      </c>
      <c r="N7297" t="str">
        <f t="shared" si="718"/>
        <v>FOR</v>
      </c>
      <c r="O7297" t="s">
        <v>69</v>
      </c>
      <c r="P7297" s="3" t="s">
        <v>70</v>
      </c>
      <c r="Q7297">
        <v>2015</v>
      </c>
      <c r="R7297" s="2">
        <v>42061</v>
      </c>
      <c r="S7297" s="2">
        <v>42067</v>
      </c>
      <c r="T7297" s="2">
        <v>42067</v>
      </c>
      <c r="U7297" s="2">
        <v>42127</v>
      </c>
      <c r="V7297" t="s">
        <v>71</v>
      </c>
      <c r="W7297" t="str">
        <f>"          7171159051"</f>
        <v xml:space="preserve">          7171159051</v>
      </c>
      <c r="X7297">
        <v>183</v>
      </c>
      <c r="Y7297">
        <v>0</v>
      </c>
      <c r="Z7297"/>
      <c r="AB7297"/>
      <c r="AC7297">
        <v>150</v>
      </c>
      <c r="AD7297">
        <v>281</v>
      </c>
      <c r="AE7297" s="1">
        <v>42150</v>
      </c>
      <c r="AF7297">
        <v>0</v>
      </c>
      <c r="AJ7297">
        <v>0</v>
      </c>
      <c r="AK7297">
        <v>0</v>
      </c>
      <c r="AL7297">
        <v>0</v>
      </c>
      <c r="AM7297">
        <v>0</v>
      </c>
      <c r="AN7297">
        <v>0</v>
      </c>
      <c r="AO7297">
        <v>0</v>
      </c>
      <c r="AP7297" s="2">
        <v>42746</v>
      </c>
      <c r="AQ7297" t="s">
        <v>72</v>
      </c>
      <c r="AR7297" t="s">
        <v>72</v>
      </c>
      <c r="AS7297">
        <v>326</v>
      </c>
      <c r="AT7297" s="4">
        <v>42408</v>
      </c>
      <c r="AU7297" t="s">
        <v>73</v>
      </c>
      <c r="AV7297">
        <v>326</v>
      </c>
      <c r="AW7297" s="4">
        <v>42408</v>
      </c>
      <c r="BD7297">
        <v>0</v>
      </c>
      <c r="BN7297" t="s">
        <v>74</v>
      </c>
    </row>
    <row r="7298" spans="1:66" hidden="1">
      <c r="A7298">
        <v>104195</v>
      </c>
      <c r="B7298" s="3" t="s">
        <v>623</v>
      </c>
      <c r="C7298" s="1">
        <v>43300101</v>
      </c>
      <c r="D7298" t="s">
        <v>67</v>
      </c>
      <c r="H7298" t="str">
        <f t="shared" si="717"/>
        <v>11206730159</v>
      </c>
      <c r="I7298" t="str">
        <f t="shared" si="717"/>
        <v>11206730159</v>
      </c>
      <c r="K7298" t="str">
        <f>""</f>
        <v/>
      </c>
      <c r="M7298" t="s">
        <v>68</v>
      </c>
      <c r="N7298" t="str">
        <f t="shared" si="718"/>
        <v>FOR</v>
      </c>
      <c r="O7298" t="s">
        <v>69</v>
      </c>
      <c r="P7298" s="3" t="s">
        <v>70</v>
      </c>
      <c r="Q7298">
        <v>2015</v>
      </c>
      <c r="R7298" s="2">
        <v>42061</v>
      </c>
      <c r="S7298" s="2">
        <v>42067</v>
      </c>
      <c r="T7298" s="2">
        <v>42067</v>
      </c>
      <c r="U7298" s="2">
        <v>42127</v>
      </c>
      <c r="V7298" t="s">
        <v>71</v>
      </c>
      <c r="W7298" t="str">
        <f>"          7171159052"</f>
        <v xml:space="preserve">          7171159052</v>
      </c>
      <c r="X7298">
        <v>884</v>
      </c>
      <c r="Y7298">
        <v>0</v>
      </c>
      <c r="Z7298"/>
      <c r="AB7298"/>
      <c r="AC7298">
        <v>850</v>
      </c>
      <c r="AD7298">
        <v>281</v>
      </c>
      <c r="AE7298" s="1">
        <v>238850</v>
      </c>
      <c r="AF7298">
        <v>0</v>
      </c>
      <c r="AJ7298">
        <v>0</v>
      </c>
      <c r="AK7298">
        <v>0</v>
      </c>
      <c r="AL7298">
        <v>0</v>
      </c>
      <c r="AM7298">
        <v>0</v>
      </c>
      <c r="AN7298">
        <v>0</v>
      </c>
      <c r="AO7298">
        <v>0</v>
      </c>
      <c r="AP7298" s="2">
        <v>42746</v>
      </c>
      <c r="AQ7298" t="s">
        <v>72</v>
      </c>
      <c r="AR7298" t="s">
        <v>72</v>
      </c>
      <c r="AS7298">
        <v>326</v>
      </c>
      <c r="AT7298" s="4">
        <v>42408</v>
      </c>
      <c r="AU7298" t="s">
        <v>73</v>
      </c>
      <c r="AV7298">
        <v>326</v>
      </c>
      <c r="AW7298" s="4">
        <v>42408</v>
      </c>
      <c r="BD7298">
        <v>0</v>
      </c>
      <c r="BN7298" t="s">
        <v>74</v>
      </c>
    </row>
    <row r="7299" spans="1:66" hidden="1">
      <c r="A7299">
        <v>104195</v>
      </c>
      <c r="B7299" s="3" t="s">
        <v>623</v>
      </c>
      <c r="C7299" s="1">
        <v>43300101</v>
      </c>
      <c r="D7299" t="s">
        <v>67</v>
      </c>
      <c r="H7299" t="str">
        <f t="shared" si="717"/>
        <v>11206730159</v>
      </c>
      <c r="I7299" t="str">
        <f t="shared" si="717"/>
        <v>11206730159</v>
      </c>
      <c r="K7299" t="str">
        <f>""</f>
        <v/>
      </c>
      <c r="M7299" t="s">
        <v>68</v>
      </c>
      <c r="N7299" t="str">
        <f t="shared" si="718"/>
        <v>FOR</v>
      </c>
      <c r="O7299" t="s">
        <v>69</v>
      </c>
      <c r="P7299" s="3" t="s">
        <v>70</v>
      </c>
      <c r="Q7299">
        <v>2015</v>
      </c>
      <c r="R7299" s="2">
        <v>42061</v>
      </c>
      <c r="S7299" s="2">
        <v>42067</v>
      </c>
      <c r="T7299" s="2">
        <v>42067</v>
      </c>
      <c r="U7299" s="2">
        <v>42127</v>
      </c>
      <c r="V7299" t="s">
        <v>71</v>
      </c>
      <c r="W7299" t="str">
        <f>"          7171159053"</f>
        <v xml:space="preserve">          7171159053</v>
      </c>
      <c r="X7299">
        <v>183</v>
      </c>
      <c r="Y7299">
        <v>0</v>
      </c>
      <c r="Z7299"/>
      <c r="AB7299"/>
      <c r="AC7299">
        <v>150</v>
      </c>
      <c r="AD7299">
        <v>281</v>
      </c>
      <c r="AE7299" s="1">
        <v>42150</v>
      </c>
      <c r="AF7299">
        <v>0</v>
      </c>
      <c r="AJ7299">
        <v>0</v>
      </c>
      <c r="AK7299">
        <v>0</v>
      </c>
      <c r="AL7299">
        <v>0</v>
      </c>
      <c r="AM7299">
        <v>0</v>
      </c>
      <c r="AN7299">
        <v>0</v>
      </c>
      <c r="AO7299">
        <v>0</v>
      </c>
      <c r="AP7299" s="2">
        <v>42746</v>
      </c>
      <c r="AQ7299" t="s">
        <v>72</v>
      </c>
      <c r="AR7299" t="s">
        <v>72</v>
      </c>
      <c r="AS7299">
        <v>326</v>
      </c>
      <c r="AT7299" s="4">
        <v>42408</v>
      </c>
      <c r="AU7299" t="s">
        <v>73</v>
      </c>
      <c r="AV7299">
        <v>326</v>
      </c>
      <c r="AW7299" s="4">
        <v>42408</v>
      </c>
      <c r="BD7299">
        <v>0</v>
      </c>
      <c r="BN7299" t="s">
        <v>74</v>
      </c>
    </row>
    <row r="7300" spans="1:66" hidden="1">
      <c r="A7300">
        <v>104195</v>
      </c>
      <c r="B7300" s="3" t="s">
        <v>623</v>
      </c>
      <c r="C7300" s="1">
        <v>43300101</v>
      </c>
      <c r="D7300" t="s">
        <v>67</v>
      </c>
      <c r="H7300" t="str">
        <f t="shared" si="717"/>
        <v>11206730159</v>
      </c>
      <c r="I7300" t="str">
        <f t="shared" si="717"/>
        <v>11206730159</v>
      </c>
      <c r="K7300" t="str">
        <f>""</f>
        <v/>
      </c>
      <c r="M7300" t="s">
        <v>68</v>
      </c>
      <c r="N7300" t="str">
        <f t="shared" si="718"/>
        <v>FOR</v>
      </c>
      <c r="O7300" t="s">
        <v>69</v>
      </c>
      <c r="P7300" s="3" t="s">
        <v>70</v>
      </c>
      <c r="Q7300">
        <v>2015</v>
      </c>
      <c r="R7300" s="2">
        <v>42061</v>
      </c>
      <c r="S7300" s="2">
        <v>42067</v>
      </c>
      <c r="T7300" s="2">
        <v>42067</v>
      </c>
      <c r="U7300" s="2">
        <v>42127</v>
      </c>
      <c r="V7300" t="s">
        <v>71</v>
      </c>
      <c r="W7300" t="str">
        <f>"          7171159054"</f>
        <v xml:space="preserve">          7171159054</v>
      </c>
      <c r="X7300">
        <v>894.4</v>
      </c>
      <c r="Y7300">
        <v>0</v>
      </c>
      <c r="Z7300"/>
      <c r="AB7300"/>
      <c r="AC7300">
        <v>860</v>
      </c>
      <c r="AD7300">
        <v>281</v>
      </c>
      <c r="AE7300" s="1">
        <v>241660</v>
      </c>
      <c r="AF7300">
        <v>0</v>
      </c>
      <c r="AJ7300">
        <v>0</v>
      </c>
      <c r="AK7300">
        <v>0</v>
      </c>
      <c r="AL7300">
        <v>0</v>
      </c>
      <c r="AM7300">
        <v>0</v>
      </c>
      <c r="AN7300">
        <v>0</v>
      </c>
      <c r="AO7300">
        <v>0</v>
      </c>
      <c r="AP7300" s="2">
        <v>42746</v>
      </c>
      <c r="AQ7300" t="s">
        <v>72</v>
      </c>
      <c r="AR7300" t="s">
        <v>72</v>
      </c>
      <c r="AS7300">
        <v>326</v>
      </c>
      <c r="AT7300" s="4">
        <v>42408</v>
      </c>
      <c r="AU7300" t="s">
        <v>73</v>
      </c>
      <c r="AV7300">
        <v>326</v>
      </c>
      <c r="AW7300" s="4">
        <v>42408</v>
      </c>
      <c r="BD7300">
        <v>0</v>
      </c>
      <c r="BN7300" t="s">
        <v>74</v>
      </c>
    </row>
    <row r="7301" spans="1:66" hidden="1">
      <c r="A7301">
        <v>104195</v>
      </c>
      <c r="B7301" s="3" t="s">
        <v>623</v>
      </c>
      <c r="C7301" s="1">
        <v>43300101</v>
      </c>
      <c r="D7301" t="s">
        <v>67</v>
      </c>
      <c r="H7301" t="str">
        <f t="shared" si="717"/>
        <v>11206730159</v>
      </c>
      <c r="I7301" t="str">
        <f t="shared" si="717"/>
        <v>11206730159</v>
      </c>
      <c r="K7301" t="str">
        <f>""</f>
        <v/>
      </c>
      <c r="M7301" t="s">
        <v>68</v>
      </c>
      <c r="N7301" t="str">
        <f t="shared" si="718"/>
        <v>FOR</v>
      </c>
      <c r="O7301" t="s">
        <v>69</v>
      </c>
      <c r="P7301" s="3" t="s">
        <v>70</v>
      </c>
      <c r="Q7301">
        <v>2015</v>
      </c>
      <c r="R7301" s="2">
        <v>42061</v>
      </c>
      <c r="S7301" s="2">
        <v>42067</v>
      </c>
      <c r="T7301" s="2">
        <v>42067</v>
      </c>
      <c r="U7301" s="2">
        <v>42127</v>
      </c>
      <c r="V7301" t="s">
        <v>71</v>
      </c>
      <c r="W7301" t="str">
        <f>"          7171159055"</f>
        <v xml:space="preserve">          7171159055</v>
      </c>
      <c r="X7301">
        <v>183</v>
      </c>
      <c r="Y7301">
        <v>0</v>
      </c>
      <c r="Z7301"/>
      <c r="AB7301"/>
      <c r="AC7301">
        <v>150</v>
      </c>
      <c r="AD7301">
        <v>281</v>
      </c>
      <c r="AE7301" s="1">
        <v>42150</v>
      </c>
      <c r="AF7301">
        <v>0</v>
      </c>
      <c r="AJ7301">
        <v>0</v>
      </c>
      <c r="AK7301">
        <v>0</v>
      </c>
      <c r="AL7301">
        <v>0</v>
      </c>
      <c r="AM7301">
        <v>0</v>
      </c>
      <c r="AN7301">
        <v>0</v>
      </c>
      <c r="AO7301">
        <v>0</v>
      </c>
      <c r="AP7301" s="2">
        <v>42746</v>
      </c>
      <c r="AQ7301" t="s">
        <v>72</v>
      </c>
      <c r="AR7301" t="s">
        <v>72</v>
      </c>
      <c r="AS7301">
        <v>326</v>
      </c>
      <c r="AT7301" s="4">
        <v>42408</v>
      </c>
      <c r="AU7301" t="s">
        <v>73</v>
      </c>
      <c r="AV7301">
        <v>326</v>
      </c>
      <c r="AW7301" s="4">
        <v>42408</v>
      </c>
      <c r="BD7301">
        <v>0</v>
      </c>
      <c r="BN7301" t="s">
        <v>74</v>
      </c>
    </row>
    <row r="7302" spans="1:66" hidden="1">
      <c r="A7302">
        <v>104195</v>
      </c>
      <c r="B7302" s="3" t="s">
        <v>623</v>
      </c>
      <c r="C7302" s="1">
        <v>43300101</v>
      </c>
      <c r="D7302" t="s">
        <v>67</v>
      </c>
      <c r="H7302" t="str">
        <f t="shared" si="717"/>
        <v>11206730159</v>
      </c>
      <c r="I7302" t="str">
        <f t="shared" si="717"/>
        <v>11206730159</v>
      </c>
      <c r="K7302" t="str">
        <f>""</f>
        <v/>
      </c>
      <c r="M7302" t="s">
        <v>68</v>
      </c>
      <c r="N7302" t="str">
        <f t="shared" si="718"/>
        <v>FOR</v>
      </c>
      <c r="O7302" t="s">
        <v>69</v>
      </c>
      <c r="P7302" s="3" t="s">
        <v>70</v>
      </c>
      <c r="Q7302">
        <v>2015</v>
      </c>
      <c r="R7302" s="2">
        <v>42073</v>
      </c>
      <c r="S7302" s="2">
        <v>42081</v>
      </c>
      <c r="T7302" s="2">
        <v>42081</v>
      </c>
      <c r="U7302" s="2">
        <v>42141</v>
      </c>
      <c r="V7302" t="s">
        <v>71</v>
      </c>
      <c r="W7302" t="str">
        <f>"          7171163177"</f>
        <v xml:space="preserve">          7171163177</v>
      </c>
      <c r="X7302" s="1">
        <v>1144</v>
      </c>
      <c r="Y7302">
        <v>0</v>
      </c>
      <c r="Z7302"/>
      <c r="AB7302"/>
      <c r="AC7302" s="1">
        <v>1100</v>
      </c>
      <c r="AD7302">
        <v>274</v>
      </c>
      <c r="AE7302" s="1">
        <v>301400</v>
      </c>
      <c r="AF7302">
        <v>0</v>
      </c>
      <c r="AJ7302">
        <v>0</v>
      </c>
      <c r="AK7302">
        <v>0</v>
      </c>
      <c r="AL7302">
        <v>0</v>
      </c>
      <c r="AM7302">
        <v>0</v>
      </c>
      <c r="AN7302">
        <v>0</v>
      </c>
      <c r="AO7302">
        <v>0</v>
      </c>
      <c r="AP7302" s="2">
        <v>42746</v>
      </c>
      <c r="AQ7302" t="s">
        <v>72</v>
      </c>
      <c r="AR7302" t="s">
        <v>72</v>
      </c>
      <c r="AS7302">
        <v>381</v>
      </c>
      <c r="AT7302" s="4">
        <v>42415</v>
      </c>
      <c r="AU7302" t="s">
        <v>73</v>
      </c>
      <c r="AV7302">
        <v>381</v>
      </c>
      <c r="AW7302" s="4">
        <v>42415</v>
      </c>
      <c r="BD7302">
        <v>0</v>
      </c>
      <c r="BN7302" t="s">
        <v>74</v>
      </c>
    </row>
    <row r="7303" spans="1:66" hidden="1">
      <c r="A7303">
        <v>104195</v>
      </c>
      <c r="B7303" s="3" t="s">
        <v>623</v>
      </c>
      <c r="C7303" s="1">
        <v>43300101</v>
      </c>
      <c r="D7303" t="s">
        <v>67</v>
      </c>
      <c r="H7303" t="str">
        <f t="shared" si="717"/>
        <v>11206730159</v>
      </c>
      <c r="I7303" t="str">
        <f t="shared" si="717"/>
        <v>11206730159</v>
      </c>
      <c r="K7303" t="str">
        <f>""</f>
        <v/>
      </c>
      <c r="M7303" t="s">
        <v>68</v>
      </c>
      <c r="N7303" t="str">
        <f t="shared" si="718"/>
        <v>FOR</v>
      </c>
      <c r="O7303" t="s">
        <v>69</v>
      </c>
      <c r="P7303" s="3" t="s">
        <v>70</v>
      </c>
      <c r="Q7303">
        <v>2015</v>
      </c>
      <c r="R7303" s="2">
        <v>42073</v>
      </c>
      <c r="S7303" s="2">
        <v>42081</v>
      </c>
      <c r="T7303" s="2">
        <v>42081</v>
      </c>
      <c r="U7303" s="2">
        <v>42141</v>
      </c>
      <c r="V7303" t="s">
        <v>71</v>
      </c>
      <c r="W7303" t="str">
        <f>"          7171163178"</f>
        <v xml:space="preserve">          7171163178</v>
      </c>
      <c r="X7303">
        <v>915</v>
      </c>
      <c r="Y7303">
        <v>0</v>
      </c>
      <c r="Z7303"/>
      <c r="AB7303"/>
      <c r="AC7303">
        <v>750</v>
      </c>
      <c r="AD7303">
        <v>274</v>
      </c>
      <c r="AE7303" s="1">
        <v>205500</v>
      </c>
      <c r="AF7303">
        <v>0</v>
      </c>
      <c r="AJ7303">
        <v>0</v>
      </c>
      <c r="AK7303">
        <v>0</v>
      </c>
      <c r="AL7303">
        <v>0</v>
      </c>
      <c r="AM7303">
        <v>0</v>
      </c>
      <c r="AN7303">
        <v>0</v>
      </c>
      <c r="AO7303">
        <v>0</v>
      </c>
      <c r="AP7303" s="2">
        <v>42746</v>
      </c>
      <c r="AQ7303" t="s">
        <v>72</v>
      </c>
      <c r="AR7303" t="s">
        <v>72</v>
      </c>
      <c r="AS7303">
        <v>381</v>
      </c>
      <c r="AT7303" s="4">
        <v>42415</v>
      </c>
      <c r="AU7303" t="s">
        <v>73</v>
      </c>
      <c r="AV7303">
        <v>381</v>
      </c>
      <c r="AW7303" s="4">
        <v>42415</v>
      </c>
      <c r="BD7303">
        <v>0</v>
      </c>
      <c r="BN7303" t="s">
        <v>74</v>
      </c>
    </row>
    <row r="7304" spans="1:66" hidden="1">
      <c r="A7304">
        <v>104195</v>
      </c>
      <c r="B7304" s="3" t="s">
        <v>623</v>
      </c>
      <c r="C7304" s="1">
        <v>43300101</v>
      </c>
      <c r="D7304" t="s">
        <v>67</v>
      </c>
      <c r="H7304" t="str">
        <f t="shared" si="717"/>
        <v>11206730159</v>
      </c>
      <c r="I7304" t="str">
        <f t="shared" si="717"/>
        <v>11206730159</v>
      </c>
      <c r="K7304" t="str">
        <f>""</f>
        <v/>
      </c>
      <c r="M7304" t="s">
        <v>68</v>
      </c>
      <c r="N7304" t="str">
        <f t="shared" si="718"/>
        <v>FOR</v>
      </c>
      <c r="O7304" t="s">
        <v>69</v>
      </c>
      <c r="P7304" s="3" t="s">
        <v>70</v>
      </c>
      <c r="Q7304">
        <v>2015</v>
      </c>
      <c r="R7304" s="2">
        <v>42075</v>
      </c>
      <c r="S7304" s="2">
        <v>42081</v>
      </c>
      <c r="T7304" s="2">
        <v>42081</v>
      </c>
      <c r="U7304" s="2">
        <v>42141</v>
      </c>
      <c r="V7304" t="s">
        <v>71</v>
      </c>
      <c r="W7304" t="str">
        <f>"          7171164162"</f>
        <v xml:space="preserve">          7171164162</v>
      </c>
      <c r="X7304">
        <v>894.4</v>
      </c>
      <c r="Y7304">
        <v>0</v>
      </c>
      <c r="Z7304"/>
      <c r="AB7304"/>
      <c r="AC7304">
        <v>860</v>
      </c>
      <c r="AD7304">
        <v>274</v>
      </c>
      <c r="AE7304" s="1">
        <v>235640</v>
      </c>
      <c r="AF7304">
        <v>0</v>
      </c>
      <c r="AJ7304">
        <v>0</v>
      </c>
      <c r="AK7304">
        <v>0</v>
      </c>
      <c r="AL7304">
        <v>0</v>
      </c>
      <c r="AM7304">
        <v>0</v>
      </c>
      <c r="AN7304">
        <v>0</v>
      </c>
      <c r="AO7304">
        <v>0</v>
      </c>
      <c r="AP7304" s="2">
        <v>42746</v>
      </c>
      <c r="AQ7304" t="s">
        <v>72</v>
      </c>
      <c r="AR7304" t="s">
        <v>72</v>
      </c>
      <c r="AS7304">
        <v>381</v>
      </c>
      <c r="AT7304" s="4">
        <v>42415</v>
      </c>
      <c r="AU7304" t="s">
        <v>73</v>
      </c>
      <c r="AV7304">
        <v>381</v>
      </c>
      <c r="AW7304" s="4">
        <v>42415</v>
      </c>
      <c r="BD7304">
        <v>0</v>
      </c>
      <c r="BN7304" t="s">
        <v>74</v>
      </c>
    </row>
    <row r="7305" spans="1:66" hidden="1">
      <c r="A7305">
        <v>104195</v>
      </c>
      <c r="B7305" s="3" t="s">
        <v>623</v>
      </c>
      <c r="C7305" s="1">
        <v>43300101</v>
      </c>
      <c r="D7305" t="s">
        <v>67</v>
      </c>
      <c r="H7305" t="str">
        <f t="shared" si="717"/>
        <v>11206730159</v>
      </c>
      <c r="I7305" t="str">
        <f t="shared" si="717"/>
        <v>11206730159</v>
      </c>
      <c r="K7305" t="str">
        <f>""</f>
        <v/>
      </c>
      <c r="M7305" t="s">
        <v>68</v>
      </c>
      <c r="N7305" t="str">
        <f t="shared" si="718"/>
        <v>FOR</v>
      </c>
      <c r="O7305" t="s">
        <v>69</v>
      </c>
      <c r="P7305" s="3" t="s">
        <v>70</v>
      </c>
      <c r="Q7305">
        <v>2015</v>
      </c>
      <c r="R7305" s="2">
        <v>42075</v>
      </c>
      <c r="S7305" s="2">
        <v>42081</v>
      </c>
      <c r="T7305" s="2">
        <v>42081</v>
      </c>
      <c r="U7305" s="2">
        <v>42141</v>
      </c>
      <c r="V7305" t="s">
        <v>71</v>
      </c>
      <c r="W7305" t="str">
        <f>"          7171164163"</f>
        <v xml:space="preserve">          7171164163</v>
      </c>
      <c r="X7305">
        <v>183</v>
      </c>
      <c r="Y7305">
        <v>0</v>
      </c>
      <c r="Z7305"/>
      <c r="AB7305"/>
      <c r="AC7305">
        <v>150</v>
      </c>
      <c r="AD7305">
        <v>274</v>
      </c>
      <c r="AE7305" s="1">
        <v>41100</v>
      </c>
      <c r="AF7305">
        <v>0</v>
      </c>
      <c r="AJ7305">
        <v>0</v>
      </c>
      <c r="AK7305">
        <v>0</v>
      </c>
      <c r="AL7305">
        <v>0</v>
      </c>
      <c r="AM7305">
        <v>0</v>
      </c>
      <c r="AN7305">
        <v>0</v>
      </c>
      <c r="AO7305">
        <v>0</v>
      </c>
      <c r="AP7305" s="2">
        <v>42746</v>
      </c>
      <c r="AQ7305" t="s">
        <v>72</v>
      </c>
      <c r="AR7305" t="s">
        <v>72</v>
      </c>
      <c r="AS7305">
        <v>381</v>
      </c>
      <c r="AT7305" s="4">
        <v>42415</v>
      </c>
      <c r="AU7305" t="s">
        <v>73</v>
      </c>
      <c r="AV7305">
        <v>381</v>
      </c>
      <c r="AW7305" s="4">
        <v>42415</v>
      </c>
      <c r="BD7305">
        <v>0</v>
      </c>
      <c r="BN7305" t="s">
        <v>74</v>
      </c>
    </row>
    <row r="7306" spans="1:66" hidden="1">
      <c r="A7306">
        <v>104195</v>
      </c>
      <c r="B7306" s="3" t="s">
        <v>623</v>
      </c>
      <c r="C7306" s="1">
        <v>43300101</v>
      </c>
      <c r="D7306" t="s">
        <v>67</v>
      </c>
      <c r="H7306" t="str">
        <f t="shared" si="717"/>
        <v>11206730159</v>
      </c>
      <c r="I7306" t="str">
        <f t="shared" si="717"/>
        <v>11206730159</v>
      </c>
      <c r="K7306" t="str">
        <f>""</f>
        <v/>
      </c>
      <c r="M7306" t="s">
        <v>68</v>
      </c>
      <c r="N7306" t="str">
        <f t="shared" si="718"/>
        <v>FOR</v>
      </c>
      <c r="O7306" t="s">
        <v>69</v>
      </c>
      <c r="P7306" s="3" t="s">
        <v>70</v>
      </c>
      <c r="Q7306">
        <v>2015</v>
      </c>
      <c r="R7306" s="2">
        <v>42075</v>
      </c>
      <c r="S7306" s="2">
        <v>42081</v>
      </c>
      <c r="T7306" s="2">
        <v>42081</v>
      </c>
      <c r="U7306" s="2">
        <v>42141</v>
      </c>
      <c r="V7306" t="s">
        <v>71</v>
      </c>
      <c r="W7306" t="str">
        <f>"          7171164164"</f>
        <v xml:space="preserve">          7171164164</v>
      </c>
      <c r="X7306">
        <v>183</v>
      </c>
      <c r="Y7306">
        <v>0</v>
      </c>
      <c r="Z7306"/>
      <c r="AB7306"/>
      <c r="AC7306">
        <v>150</v>
      </c>
      <c r="AD7306">
        <v>274</v>
      </c>
      <c r="AE7306" s="1">
        <v>41100</v>
      </c>
      <c r="AF7306">
        <v>0</v>
      </c>
      <c r="AJ7306">
        <v>0</v>
      </c>
      <c r="AK7306">
        <v>0</v>
      </c>
      <c r="AL7306">
        <v>0</v>
      </c>
      <c r="AM7306">
        <v>0</v>
      </c>
      <c r="AN7306">
        <v>0</v>
      </c>
      <c r="AO7306">
        <v>0</v>
      </c>
      <c r="AP7306" s="2">
        <v>42746</v>
      </c>
      <c r="AQ7306" t="s">
        <v>72</v>
      </c>
      <c r="AR7306" t="s">
        <v>72</v>
      </c>
      <c r="AS7306">
        <v>381</v>
      </c>
      <c r="AT7306" s="4">
        <v>42415</v>
      </c>
      <c r="AU7306" t="s">
        <v>73</v>
      </c>
      <c r="AV7306">
        <v>381</v>
      </c>
      <c r="AW7306" s="4">
        <v>42415</v>
      </c>
      <c r="BD7306">
        <v>0</v>
      </c>
      <c r="BN7306" t="s">
        <v>74</v>
      </c>
    </row>
    <row r="7307" spans="1:66" hidden="1">
      <c r="A7307">
        <v>104195</v>
      </c>
      <c r="B7307" s="3" t="s">
        <v>623</v>
      </c>
      <c r="C7307" s="1">
        <v>43300101</v>
      </c>
      <c r="D7307" t="s">
        <v>67</v>
      </c>
      <c r="H7307" t="str">
        <f t="shared" si="717"/>
        <v>11206730159</v>
      </c>
      <c r="I7307" t="str">
        <f t="shared" si="717"/>
        <v>11206730159</v>
      </c>
      <c r="K7307" t="str">
        <f>""</f>
        <v/>
      </c>
      <c r="M7307" t="s">
        <v>68</v>
      </c>
      <c r="N7307" t="str">
        <f t="shared" si="718"/>
        <v>FOR</v>
      </c>
      <c r="O7307" t="s">
        <v>69</v>
      </c>
      <c r="P7307" s="3" t="s">
        <v>70</v>
      </c>
      <c r="Q7307">
        <v>2015</v>
      </c>
      <c r="R7307" s="2">
        <v>42093</v>
      </c>
      <c r="S7307" s="2">
        <v>42097</v>
      </c>
      <c r="T7307" s="2">
        <v>42097</v>
      </c>
      <c r="U7307" s="2">
        <v>42157</v>
      </c>
      <c r="V7307" t="s">
        <v>71</v>
      </c>
      <c r="W7307" t="str">
        <f>"          7171170067"</f>
        <v xml:space="preserve">          7171170067</v>
      </c>
      <c r="X7307" s="1">
        <v>6710</v>
      </c>
      <c r="Y7307">
        <v>0</v>
      </c>
      <c r="Z7307"/>
      <c r="AB7307"/>
      <c r="AC7307" s="1">
        <v>5500</v>
      </c>
      <c r="AD7307">
        <v>258</v>
      </c>
      <c r="AE7307" s="1">
        <v>1419000</v>
      </c>
      <c r="AF7307">
        <v>0</v>
      </c>
      <c r="AJ7307">
        <v>0</v>
      </c>
      <c r="AK7307">
        <v>0</v>
      </c>
      <c r="AL7307">
        <v>0</v>
      </c>
      <c r="AM7307">
        <v>0</v>
      </c>
      <c r="AN7307">
        <v>0</v>
      </c>
      <c r="AO7307">
        <v>0</v>
      </c>
      <c r="AP7307" s="2">
        <v>42746</v>
      </c>
      <c r="AQ7307" t="s">
        <v>72</v>
      </c>
      <c r="AR7307" t="s">
        <v>72</v>
      </c>
      <c r="AS7307">
        <v>381</v>
      </c>
      <c r="AT7307" s="4">
        <v>42415</v>
      </c>
      <c r="AU7307" t="s">
        <v>73</v>
      </c>
      <c r="AV7307">
        <v>381</v>
      </c>
      <c r="AW7307" s="4">
        <v>42415</v>
      </c>
      <c r="BD7307">
        <v>0</v>
      </c>
      <c r="BN7307" t="s">
        <v>74</v>
      </c>
    </row>
    <row r="7308" spans="1:66" hidden="1">
      <c r="A7308">
        <v>104195</v>
      </c>
      <c r="B7308" s="3" t="s">
        <v>623</v>
      </c>
      <c r="C7308" s="1">
        <v>43300101</v>
      </c>
      <c r="D7308" t="s">
        <v>67</v>
      </c>
      <c r="H7308" t="str">
        <f t="shared" si="717"/>
        <v>11206730159</v>
      </c>
      <c r="I7308" t="str">
        <f t="shared" si="717"/>
        <v>11206730159</v>
      </c>
      <c r="K7308" t="str">
        <f>""</f>
        <v/>
      </c>
      <c r="M7308" t="s">
        <v>68</v>
      </c>
      <c r="N7308" t="str">
        <f t="shared" si="718"/>
        <v>FOR</v>
      </c>
      <c r="O7308" t="s">
        <v>69</v>
      </c>
      <c r="P7308" s="3" t="s">
        <v>75</v>
      </c>
      <c r="Q7308">
        <v>2015</v>
      </c>
      <c r="R7308" s="2">
        <v>42101</v>
      </c>
      <c r="S7308" s="2">
        <v>42107</v>
      </c>
      <c r="T7308" s="2">
        <v>42103</v>
      </c>
      <c r="U7308" s="2">
        <v>42163</v>
      </c>
      <c r="V7308" t="s">
        <v>71</v>
      </c>
      <c r="W7308" t="str">
        <f>"          7171172542"</f>
        <v xml:space="preserve">          7171172542</v>
      </c>
      <c r="X7308">
        <v>183</v>
      </c>
      <c r="Y7308">
        <v>0</v>
      </c>
      <c r="Z7308"/>
      <c r="AB7308"/>
      <c r="AC7308">
        <v>150</v>
      </c>
      <c r="AD7308">
        <v>268</v>
      </c>
      <c r="AE7308" s="1">
        <v>40200</v>
      </c>
      <c r="AF7308">
        <v>0</v>
      </c>
      <c r="AJ7308">
        <v>0</v>
      </c>
      <c r="AK7308">
        <v>0</v>
      </c>
      <c r="AL7308">
        <v>0</v>
      </c>
      <c r="AM7308">
        <v>0</v>
      </c>
      <c r="AN7308">
        <v>0</v>
      </c>
      <c r="AO7308">
        <v>0</v>
      </c>
      <c r="AP7308" s="2">
        <v>42746</v>
      </c>
      <c r="AQ7308" t="s">
        <v>72</v>
      </c>
      <c r="AR7308" t="s">
        <v>72</v>
      </c>
      <c r="AS7308">
        <v>643</v>
      </c>
      <c r="AT7308" s="4">
        <v>42431</v>
      </c>
      <c r="AU7308" t="s">
        <v>73</v>
      </c>
      <c r="AV7308">
        <v>643</v>
      </c>
      <c r="AW7308" s="4">
        <v>42431</v>
      </c>
      <c r="BD7308">
        <v>0</v>
      </c>
      <c r="BN7308" t="s">
        <v>74</v>
      </c>
    </row>
    <row r="7309" spans="1:66" hidden="1">
      <c r="A7309">
        <v>104195</v>
      </c>
      <c r="B7309" s="3" t="s">
        <v>623</v>
      </c>
      <c r="C7309" s="1">
        <v>43300101</v>
      </c>
      <c r="D7309" t="s">
        <v>67</v>
      </c>
      <c r="H7309" t="str">
        <f t="shared" si="717"/>
        <v>11206730159</v>
      </c>
      <c r="I7309" t="str">
        <f t="shared" si="717"/>
        <v>11206730159</v>
      </c>
      <c r="K7309" t="str">
        <f>""</f>
        <v/>
      </c>
      <c r="M7309" t="s">
        <v>68</v>
      </c>
      <c r="N7309" t="str">
        <f t="shared" si="718"/>
        <v>FOR</v>
      </c>
      <c r="O7309" t="s">
        <v>69</v>
      </c>
      <c r="P7309" s="3" t="s">
        <v>75</v>
      </c>
      <c r="Q7309">
        <v>2015</v>
      </c>
      <c r="R7309" s="2">
        <v>42101</v>
      </c>
      <c r="S7309" s="2">
        <v>42107</v>
      </c>
      <c r="T7309" s="2">
        <v>42103</v>
      </c>
      <c r="U7309" s="2">
        <v>42163</v>
      </c>
      <c r="V7309" t="s">
        <v>71</v>
      </c>
      <c r="W7309" t="str">
        <f>"          7171172543"</f>
        <v xml:space="preserve">          7171172543</v>
      </c>
      <c r="X7309">
        <v>183</v>
      </c>
      <c r="Y7309">
        <v>0</v>
      </c>
      <c r="Z7309"/>
      <c r="AB7309"/>
      <c r="AC7309">
        <v>150</v>
      </c>
      <c r="AD7309">
        <v>268</v>
      </c>
      <c r="AE7309" s="1">
        <v>40200</v>
      </c>
      <c r="AF7309">
        <v>0</v>
      </c>
      <c r="AJ7309">
        <v>0</v>
      </c>
      <c r="AK7309">
        <v>0</v>
      </c>
      <c r="AL7309">
        <v>0</v>
      </c>
      <c r="AM7309">
        <v>0</v>
      </c>
      <c r="AN7309">
        <v>0</v>
      </c>
      <c r="AO7309">
        <v>0</v>
      </c>
      <c r="AP7309" s="2">
        <v>42746</v>
      </c>
      <c r="AQ7309" t="s">
        <v>72</v>
      </c>
      <c r="AR7309" t="s">
        <v>72</v>
      </c>
      <c r="AS7309">
        <v>643</v>
      </c>
      <c r="AT7309" s="4">
        <v>42431</v>
      </c>
      <c r="AU7309" t="s">
        <v>73</v>
      </c>
      <c r="AV7309">
        <v>643</v>
      </c>
      <c r="AW7309" s="4">
        <v>42431</v>
      </c>
      <c r="BD7309">
        <v>0</v>
      </c>
      <c r="BN7309" t="s">
        <v>74</v>
      </c>
    </row>
    <row r="7310" spans="1:66" hidden="1">
      <c r="A7310">
        <v>104195</v>
      </c>
      <c r="B7310" s="3" t="s">
        <v>623</v>
      </c>
      <c r="C7310" s="1">
        <v>43300101</v>
      </c>
      <c r="D7310" t="s">
        <v>67</v>
      </c>
      <c r="H7310" t="str">
        <f t="shared" ref="H7310:I7329" si="719">"11206730159"</f>
        <v>11206730159</v>
      </c>
      <c r="I7310" t="str">
        <f t="shared" si="719"/>
        <v>11206730159</v>
      </c>
      <c r="K7310" t="str">
        <f>""</f>
        <v/>
      </c>
      <c r="M7310" t="s">
        <v>68</v>
      </c>
      <c r="N7310" t="str">
        <f t="shared" si="718"/>
        <v>FOR</v>
      </c>
      <c r="O7310" t="s">
        <v>69</v>
      </c>
      <c r="P7310" s="3" t="s">
        <v>75</v>
      </c>
      <c r="Q7310">
        <v>2015</v>
      </c>
      <c r="R7310" s="2">
        <v>42101</v>
      </c>
      <c r="S7310" s="2">
        <v>42107</v>
      </c>
      <c r="T7310" s="2">
        <v>42103</v>
      </c>
      <c r="U7310" s="2">
        <v>42163</v>
      </c>
      <c r="V7310" t="s">
        <v>71</v>
      </c>
      <c r="W7310" t="str">
        <f>"          7171172544"</f>
        <v xml:space="preserve">          7171172544</v>
      </c>
      <c r="X7310">
        <v>894.4</v>
      </c>
      <c r="Y7310">
        <v>0</v>
      </c>
      <c r="Z7310"/>
      <c r="AB7310"/>
      <c r="AC7310">
        <v>860</v>
      </c>
      <c r="AD7310">
        <v>268</v>
      </c>
      <c r="AE7310" s="1">
        <v>230480</v>
      </c>
      <c r="AF7310">
        <v>0</v>
      </c>
      <c r="AJ7310">
        <v>0</v>
      </c>
      <c r="AK7310">
        <v>0</v>
      </c>
      <c r="AL7310">
        <v>0</v>
      </c>
      <c r="AM7310">
        <v>0</v>
      </c>
      <c r="AN7310">
        <v>0</v>
      </c>
      <c r="AO7310">
        <v>0</v>
      </c>
      <c r="AP7310" s="2">
        <v>42746</v>
      </c>
      <c r="AQ7310" t="s">
        <v>72</v>
      </c>
      <c r="AR7310" t="s">
        <v>72</v>
      </c>
      <c r="AS7310">
        <v>643</v>
      </c>
      <c r="AT7310" s="4">
        <v>42431</v>
      </c>
      <c r="AU7310" t="s">
        <v>73</v>
      </c>
      <c r="AV7310">
        <v>643</v>
      </c>
      <c r="AW7310" s="4">
        <v>42431</v>
      </c>
      <c r="BD7310">
        <v>0</v>
      </c>
      <c r="BN7310" t="s">
        <v>74</v>
      </c>
    </row>
    <row r="7311" spans="1:66" hidden="1">
      <c r="A7311">
        <v>104195</v>
      </c>
      <c r="B7311" s="3" t="s">
        <v>623</v>
      </c>
      <c r="C7311" s="1">
        <v>43300101</v>
      </c>
      <c r="D7311" t="s">
        <v>67</v>
      </c>
      <c r="H7311" t="str">
        <f t="shared" si="719"/>
        <v>11206730159</v>
      </c>
      <c r="I7311" t="str">
        <f t="shared" si="719"/>
        <v>11206730159</v>
      </c>
      <c r="K7311" t="str">
        <f>""</f>
        <v/>
      </c>
      <c r="M7311" t="s">
        <v>68</v>
      </c>
      <c r="N7311" t="str">
        <f t="shared" si="718"/>
        <v>FOR</v>
      </c>
      <c r="O7311" t="s">
        <v>69</v>
      </c>
      <c r="P7311" s="3" t="s">
        <v>75</v>
      </c>
      <c r="Q7311">
        <v>2015</v>
      </c>
      <c r="R7311" s="2">
        <v>42101</v>
      </c>
      <c r="S7311" s="2">
        <v>42107</v>
      </c>
      <c r="T7311" s="2">
        <v>42103</v>
      </c>
      <c r="U7311" s="2">
        <v>42163</v>
      </c>
      <c r="V7311" t="s">
        <v>71</v>
      </c>
      <c r="W7311" t="str">
        <f>"          7171172545"</f>
        <v xml:space="preserve">          7171172545</v>
      </c>
      <c r="X7311">
        <v>183</v>
      </c>
      <c r="Y7311">
        <v>0</v>
      </c>
      <c r="Z7311"/>
      <c r="AB7311"/>
      <c r="AC7311">
        <v>150</v>
      </c>
      <c r="AD7311">
        <v>268</v>
      </c>
      <c r="AE7311" s="1">
        <v>40200</v>
      </c>
      <c r="AF7311">
        <v>0</v>
      </c>
      <c r="AJ7311">
        <v>0</v>
      </c>
      <c r="AK7311">
        <v>0</v>
      </c>
      <c r="AL7311">
        <v>0</v>
      </c>
      <c r="AM7311">
        <v>0</v>
      </c>
      <c r="AN7311">
        <v>0</v>
      </c>
      <c r="AO7311">
        <v>0</v>
      </c>
      <c r="AP7311" s="2">
        <v>42746</v>
      </c>
      <c r="AQ7311" t="s">
        <v>72</v>
      </c>
      <c r="AR7311" t="s">
        <v>72</v>
      </c>
      <c r="AS7311">
        <v>643</v>
      </c>
      <c r="AT7311" s="4">
        <v>42431</v>
      </c>
      <c r="AU7311" t="s">
        <v>73</v>
      </c>
      <c r="AV7311">
        <v>643</v>
      </c>
      <c r="AW7311" s="4">
        <v>42431</v>
      </c>
      <c r="BD7311">
        <v>0</v>
      </c>
      <c r="BN7311" t="s">
        <v>74</v>
      </c>
    </row>
    <row r="7312" spans="1:66" hidden="1">
      <c r="A7312">
        <v>104195</v>
      </c>
      <c r="B7312" s="3" t="s">
        <v>623</v>
      </c>
      <c r="C7312" s="1">
        <v>43300101</v>
      </c>
      <c r="D7312" t="s">
        <v>67</v>
      </c>
      <c r="H7312" t="str">
        <f t="shared" si="719"/>
        <v>11206730159</v>
      </c>
      <c r="I7312" t="str">
        <f t="shared" si="719"/>
        <v>11206730159</v>
      </c>
      <c r="K7312" t="str">
        <f>""</f>
        <v/>
      </c>
      <c r="M7312" t="s">
        <v>68</v>
      </c>
      <c r="N7312" t="str">
        <f t="shared" si="718"/>
        <v>FOR</v>
      </c>
      <c r="O7312" t="s">
        <v>69</v>
      </c>
      <c r="P7312" s="3" t="s">
        <v>75</v>
      </c>
      <c r="Q7312">
        <v>2015</v>
      </c>
      <c r="R7312" s="2">
        <v>42101</v>
      </c>
      <c r="S7312" s="2">
        <v>42107</v>
      </c>
      <c r="T7312" s="2">
        <v>42103</v>
      </c>
      <c r="U7312" s="2">
        <v>42163</v>
      </c>
      <c r="V7312" t="s">
        <v>71</v>
      </c>
      <c r="W7312" t="str">
        <f>"          7171172546"</f>
        <v xml:space="preserve">          7171172546</v>
      </c>
      <c r="X7312">
        <v>894.4</v>
      </c>
      <c r="Y7312">
        <v>0</v>
      </c>
      <c r="Z7312"/>
      <c r="AB7312"/>
      <c r="AC7312">
        <v>860</v>
      </c>
      <c r="AD7312">
        <v>268</v>
      </c>
      <c r="AE7312" s="1">
        <v>230480</v>
      </c>
      <c r="AF7312">
        <v>0</v>
      </c>
      <c r="AJ7312">
        <v>0</v>
      </c>
      <c r="AK7312">
        <v>0</v>
      </c>
      <c r="AL7312">
        <v>0</v>
      </c>
      <c r="AM7312">
        <v>0</v>
      </c>
      <c r="AN7312">
        <v>0</v>
      </c>
      <c r="AO7312">
        <v>0</v>
      </c>
      <c r="AP7312" s="2">
        <v>42746</v>
      </c>
      <c r="AQ7312" t="s">
        <v>72</v>
      </c>
      <c r="AR7312" t="s">
        <v>72</v>
      </c>
      <c r="AS7312">
        <v>643</v>
      </c>
      <c r="AT7312" s="4">
        <v>42431</v>
      </c>
      <c r="AU7312" t="s">
        <v>73</v>
      </c>
      <c r="AV7312">
        <v>643</v>
      </c>
      <c r="AW7312" s="4">
        <v>42431</v>
      </c>
      <c r="BD7312">
        <v>0</v>
      </c>
      <c r="BN7312" t="s">
        <v>74</v>
      </c>
    </row>
    <row r="7313" spans="1:66" hidden="1">
      <c r="A7313">
        <v>104195</v>
      </c>
      <c r="B7313" s="3" t="s">
        <v>623</v>
      </c>
      <c r="C7313" s="1">
        <v>43300101</v>
      </c>
      <c r="D7313" t="s">
        <v>67</v>
      </c>
      <c r="H7313" t="str">
        <f t="shared" si="719"/>
        <v>11206730159</v>
      </c>
      <c r="I7313" t="str">
        <f t="shared" si="719"/>
        <v>11206730159</v>
      </c>
      <c r="K7313" t="str">
        <f>""</f>
        <v/>
      </c>
      <c r="M7313" t="s">
        <v>68</v>
      </c>
      <c r="N7313" t="str">
        <f t="shared" si="718"/>
        <v>FOR</v>
      </c>
      <c r="O7313" t="s">
        <v>69</v>
      </c>
      <c r="P7313" s="3" t="s">
        <v>75</v>
      </c>
      <c r="Q7313">
        <v>2015</v>
      </c>
      <c r="R7313" s="2">
        <v>42115</v>
      </c>
      <c r="S7313" s="2">
        <v>42135</v>
      </c>
      <c r="T7313" s="2">
        <v>42132</v>
      </c>
      <c r="U7313" s="2">
        <v>42192</v>
      </c>
      <c r="V7313" t="s">
        <v>71</v>
      </c>
      <c r="W7313" t="str">
        <f>"          7171177241"</f>
        <v xml:space="preserve">          7171177241</v>
      </c>
      <c r="X7313">
        <v>183</v>
      </c>
      <c r="Y7313">
        <v>0</v>
      </c>
      <c r="Z7313"/>
      <c r="AB7313"/>
      <c r="AC7313">
        <v>150</v>
      </c>
      <c r="AD7313">
        <v>239</v>
      </c>
      <c r="AE7313" s="1">
        <v>35850</v>
      </c>
      <c r="AF7313">
        <v>0</v>
      </c>
      <c r="AJ7313">
        <v>0</v>
      </c>
      <c r="AK7313">
        <v>0</v>
      </c>
      <c r="AL7313">
        <v>0</v>
      </c>
      <c r="AM7313">
        <v>0</v>
      </c>
      <c r="AN7313">
        <v>0</v>
      </c>
      <c r="AO7313">
        <v>0</v>
      </c>
      <c r="AP7313" s="2">
        <v>42746</v>
      </c>
      <c r="AQ7313" t="s">
        <v>72</v>
      </c>
      <c r="AR7313" t="s">
        <v>72</v>
      </c>
      <c r="AS7313">
        <v>643</v>
      </c>
      <c r="AT7313" s="4">
        <v>42431</v>
      </c>
      <c r="AU7313" t="s">
        <v>73</v>
      </c>
      <c r="AV7313">
        <v>643</v>
      </c>
      <c r="AW7313" s="4">
        <v>42431</v>
      </c>
      <c r="BD7313">
        <v>0</v>
      </c>
      <c r="BN7313" t="s">
        <v>74</v>
      </c>
    </row>
    <row r="7314" spans="1:66" hidden="1">
      <c r="A7314">
        <v>104195</v>
      </c>
      <c r="B7314" s="3" t="s">
        <v>623</v>
      </c>
      <c r="C7314" s="1">
        <v>43300101</v>
      </c>
      <c r="D7314" t="s">
        <v>67</v>
      </c>
      <c r="H7314" t="str">
        <f t="shared" si="719"/>
        <v>11206730159</v>
      </c>
      <c r="I7314" t="str">
        <f t="shared" si="719"/>
        <v>11206730159</v>
      </c>
      <c r="K7314" t="str">
        <f>""</f>
        <v/>
      </c>
      <c r="M7314" t="s">
        <v>68</v>
      </c>
      <c r="N7314" t="str">
        <f t="shared" si="718"/>
        <v>FOR</v>
      </c>
      <c r="O7314" t="s">
        <v>69</v>
      </c>
      <c r="P7314" s="3" t="s">
        <v>75</v>
      </c>
      <c r="Q7314">
        <v>2015</v>
      </c>
      <c r="R7314" s="2">
        <v>42115</v>
      </c>
      <c r="S7314" s="2">
        <v>42135</v>
      </c>
      <c r="T7314" s="2">
        <v>42132</v>
      </c>
      <c r="U7314" s="2">
        <v>42192</v>
      </c>
      <c r="V7314" t="s">
        <v>71</v>
      </c>
      <c r="W7314" t="str">
        <f>"          7171177242"</f>
        <v xml:space="preserve">          7171177242</v>
      </c>
      <c r="X7314">
        <v>894.4</v>
      </c>
      <c r="Y7314">
        <v>0</v>
      </c>
      <c r="Z7314"/>
      <c r="AB7314"/>
      <c r="AC7314">
        <v>860</v>
      </c>
      <c r="AD7314">
        <v>239</v>
      </c>
      <c r="AE7314" s="1">
        <v>205540</v>
      </c>
      <c r="AF7314">
        <v>0</v>
      </c>
      <c r="AJ7314">
        <v>0</v>
      </c>
      <c r="AK7314">
        <v>0</v>
      </c>
      <c r="AL7314">
        <v>0</v>
      </c>
      <c r="AM7314">
        <v>0</v>
      </c>
      <c r="AN7314">
        <v>0</v>
      </c>
      <c r="AO7314">
        <v>0</v>
      </c>
      <c r="AP7314" s="2">
        <v>42746</v>
      </c>
      <c r="AQ7314" t="s">
        <v>72</v>
      </c>
      <c r="AR7314" t="s">
        <v>72</v>
      </c>
      <c r="AS7314">
        <v>643</v>
      </c>
      <c r="AT7314" s="4">
        <v>42431</v>
      </c>
      <c r="AU7314" t="s">
        <v>73</v>
      </c>
      <c r="AV7314">
        <v>643</v>
      </c>
      <c r="AW7314" s="4">
        <v>42431</v>
      </c>
      <c r="BD7314">
        <v>0</v>
      </c>
      <c r="BN7314" t="s">
        <v>74</v>
      </c>
    </row>
    <row r="7315" spans="1:66" hidden="1">
      <c r="A7315">
        <v>104195</v>
      </c>
      <c r="B7315" s="3" t="s">
        <v>623</v>
      </c>
      <c r="C7315" s="1">
        <v>43300101</v>
      </c>
      <c r="D7315" t="s">
        <v>67</v>
      </c>
      <c r="H7315" t="str">
        <f t="shared" si="719"/>
        <v>11206730159</v>
      </c>
      <c r="I7315" t="str">
        <f t="shared" si="719"/>
        <v>11206730159</v>
      </c>
      <c r="K7315" t="str">
        <f>""</f>
        <v/>
      </c>
      <c r="M7315" t="s">
        <v>68</v>
      </c>
      <c r="N7315" t="str">
        <f t="shared" si="718"/>
        <v>FOR</v>
      </c>
      <c r="O7315" t="s">
        <v>69</v>
      </c>
      <c r="P7315" s="3" t="s">
        <v>75</v>
      </c>
      <c r="Q7315">
        <v>2015</v>
      </c>
      <c r="R7315" s="2">
        <v>42142</v>
      </c>
      <c r="S7315" s="2">
        <v>42160</v>
      </c>
      <c r="T7315" s="2">
        <v>42149</v>
      </c>
      <c r="U7315" s="2">
        <v>42209</v>
      </c>
      <c r="V7315" t="s">
        <v>71</v>
      </c>
      <c r="W7315" t="str">
        <f>"          7171185950"</f>
        <v xml:space="preserve">          7171185950</v>
      </c>
      <c r="X7315" s="1">
        <v>1878.8</v>
      </c>
      <c r="Y7315">
        <v>0</v>
      </c>
      <c r="Z7315"/>
      <c r="AB7315"/>
      <c r="AC7315" s="1">
        <v>1540</v>
      </c>
      <c r="AD7315">
        <v>243</v>
      </c>
      <c r="AE7315" s="1">
        <v>374220</v>
      </c>
      <c r="AF7315">
        <v>0</v>
      </c>
      <c r="AJ7315">
        <v>0</v>
      </c>
      <c r="AK7315">
        <v>0</v>
      </c>
      <c r="AL7315">
        <v>0</v>
      </c>
      <c r="AM7315">
        <v>0</v>
      </c>
      <c r="AN7315">
        <v>0</v>
      </c>
      <c r="AO7315">
        <v>0</v>
      </c>
      <c r="AP7315" s="2">
        <v>42746</v>
      </c>
      <c r="AQ7315" t="s">
        <v>72</v>
      </c>
      <c r="AR7315" t="s">
        <v>72</v>
      </c>
      <c r="AS7315">
        <v>786</v>
      </c>
      <c r="AT7315" s="4">
        <v>42452</v>
      </c>
      <c r="AU7315" t="s">
        <v>73</v>
      </c>
      <c r="AV7315">
        <v>786</v>
      </c>
      <c r="AW7315" s="4">
        <v>42452</v>
      </c>
      <c r="BD7315">
        <v>0</v>
      </c>
      <c r="BN7315" t="s">
        <v>74</v>
      </c>
    </row>
    <row r="7316" spans="1:66" hidden="1">
      <c r="A7316">
        <v>104195</v>
      </c>
      <c r="B7316" s="3" t="s">
        <v>623</v>
      </c>
      <c r="C7316" s="1">
        <v>43300101</v>
      </c>
      <c r="D7316" t="s">
        <v>67</v>
      </c>
      <c r="H7316" t="str">
        <f t="shared" si="719"/>
        <v>11206730159</v>
      </c>
      <c r="I7316" t="str">
        <f t="shared" si="719"/>
        <v>11206730159</v>
      </c>
      <c r="K7316" t="str">
        <f>""</f>
        <v/>
      </c>
      <c r="M7316" t="s">
        <v>68</v>
      </c>
      <c r="N7316" t="str">
        <f t="shared" si="718"/>
        <v>FOR</v>
      </c>
      <c r="O7316" t="s">
        <v>69</v>
      </c>
      <c r="P7316" s="3" t="s">
        <v>75</v>
      </c>
      <c r="Q7316">
        <v>2015</v>
      </c>
      <c r="R7316" s="2">
        <v>42145</v>
      </c>
      <c r="S7316" s="2">
        <v>42160</v>
      </c>
      <c r="T7316" s="2">
        <v>42152</v>
      </c>
      <c r="U7316" s="2">
        <v>42212</v>
      </c>
      <c r="V7316" t="s">
        <v>71</v>
      </c>
      <c r="W7316" t="str">
        <f>"          7171187377"</f>
        <v xml:space="preserve">          7171187377</v>
      </c>
      <c r="X7316">
        <v>183</v>
      </c>
      <c r="Y7316">
        <v>0</v>
      </c>
      <c r="Z7316"/>
      <c r="AB7316"/>
      <c r="AC7316">
        <v>150</v>
      </c>
      <c r="AD7316">
        <v>240</v>
      </c>
      <c r="AE7316" s="1">
        <v>36000</v>
      </c>
      <c r="AF7316">
        <v>0</v>
      </c>
      <c r="AJ7316">
        <v>0</v>
      </c>
      <c r="AK7316">
        <v>0</v>
      </c>
      <c r="AL7316">
        <v>0</v>
      </c>
      <c r="AM7316">
        <v>0</v>
      </c>
      <c r="AN7316">
        <v>0</v>
      </c>
      <c r="AO7316">
        <v>0</v>
      </c>
      <c r="AP7316" s="2">
        <v>42746</v>
      </c>
      <c r="AQ7316" t="s">
        <v>72</v>
      </c>
      <c r="AR7316" t="s">
        <v>72</v>
      </c>
      <c r="AS7316">
        <v>786</v>
      </c>
      <c r="AT7316" s="4">
        <v>42452</v>
      </c>
      <c r="AU7316" t="s">
        <v>73</v>
      </c>
      <c r="AV7316">
        <v>786</v>
      </c>
      <c r="AW7316" s="4">
        <v>42452</v>
      </c>
      <c r="BD7316">
        <v>0</v>
      </c>
      <c r="BN7316" t="s">
        <v>74</v>
      </c>
    </row>
    <row r="7317" spans="1:66" hidden="1">
      <c r="A7317">
        <v>104195</v>
      </c>
      <c r="B7317" s="3" t="s">
        <v>623</v>
      </c>
      <c r="C7317" s="1">
        <v>43300101</v>
      </c>
      <c r="D7317" t="s">
        <v>67</v>
      </c>
      <c r="H7317" t="str">
        <f t="shared" si="719"/>
        <v>11206730159</v>
      </c>
      <c r="I7317" t="str">
        <f t="shared" si="719"/>
        <v>11206730159</v>
      </c>
      <c r="K7317" t="str">
        <f>""</f>
        <v/>
      </c>
      <c r="M7317" t="s">
        <v>68</v>
      </c>
      <c r="N7317" t="str">
        <f t="shared" si="718"/>
        <v>FOR</v>
      </c>
      <c r="O7317" t="s">
        <v>69</v>
      </c>
      <c r="P7317" s="3" t="s">
        <v>75</v>
      </c>
      <c r="Q7317">
        <v>2015</v>
      </c>
      <c r="R7317" s="2">
        <v>42145</v>
      </c>
      <c r="S7317" s="2">
        <v>42160</v>
      </c>
      <c r="T7317" s="2">
        <v>42151</v>
      </c>
      <c r="U7317" s="2">
        <v>42211</v>
      </c>
      <c r="V7317" t="s">
        <v>71</v>
      </c>
      <c r="W7317" t="str">
        <f>"          7171187378"</f>
        <v xml:space="preserve">          7171187378</v>
      </c>
      <c r="X7317">
        <v>894.4</v>
      </c>
      <c r="Y7317">
        <v>0</v>
      </c>
      <c r="Z7317"/>
      <c r="AB7317"/>
      <c r="AC7317">
        <v>860</v>
      </c>
      <c r="AD7317">
        <v>241</v>
      </c>
      <c r="AE7317" s="1">
        <v>207260</v>
      </c>
      <c r="AF7317">
        <v>0</v>
      </c>
      <c r="AJ7317">
        <v>0</v>
      </c>
      <c r="AK7317">
        <v>0</v>
      </c>
      <c r="AL7317">
        <v>0</v>
      </c>
      <c r="AM7317">
        <v>0</v>
      </c>
      <c r="AN7317">
        <v>0</v>
      </c>
      <c r="AO7317">
        <v>0</v>
      </c>
      <c r="AP7317" s="2">
        <v>42746</v>
      </c>
      <c r="AQ7317" t="s">
        <v>72</v>
      </c>
      <c r="AR7317" t="s">
        <v>72</v>
      </c>
      <c r="AS7317">
        <v>786</v>
      </c>
      <c r="AT7317" s="4">
        <v>42452</v>
      </c>
      <c r="AU7317" t="s">
        <v>73</v>
      </c>
      <c r="AV7317">
        <v>786</v>
      </c>
      <c r="AW7317" s="4">
        <v>42452</v>
      </c>
      <c r="BD7317">
        <v>0</v>
      </c>
      <c r="BN7317" t="s">
        <v>74</v>
      </c>
    </row>
    <row r="7318" spans="1:66" hidden="1">
      <c r="A7318">
        <v>104195</v>
      </c>
      <c r="B7318" s="3" t="s">
        <v>623</v>
      </c>
      <c r="C7318" s="1">
        <v>43300101</v>
      </c>
      <c r="D7318" t="s">
        <v>67</v>
      </c>
      <c r="H7318" t="str">
        <f t="shared" si="719"/>
        <v>11206730159</v>
      </c>
      <c r="I7318" t="str">
        <f t="shared" si="719"/>
        <v>11206730159</v>
      </c>
      <c r="K7318" t="str">
        <f>""</f>
        <v/>
      </c>
      <c r="M7318" t="s">
        <v>68</v>
      </c>
      <c r="N7318" t="str">
        <f t="shared" si="718"/>
        <v>FOR</v>
      </c>
      <c r="O7318" t="s">
        <v>69</v>
      </c>
      <c r="P7318" s="3" t="s">
        <v>75</v>
      </c>
      <c r="Q7318">
        <v>2015</v>
      </c>
      <c r="R7318" s="2">
        <v>42145</v>
      </c>
      <c r="S7318" s="2">
        <v>42160</v>
      </c>
      <c r="T7318" s="2">
        <v>42149</v>
      </c>
      <c r="U7318" s="2">
        <v>42209</v>
      </c>
      <c r="V7318" t="s">
        <v>71</v>
      </c>
      <c r="W7318" t="str">
        <f>"          7171187379"</f>
        <v xml:space="preserve">          7171187379</v>
      </c>
      <c r="X7318">
        <v>183</v>
      </c>
      <c r="Y7318">
        <v>0</v>
      </c>
      <c r="Z7318"/>
      <c r="AB7318"/>
      <c r="AC7318">
        <v>150</v>
      </c>
      <c r="AD7318">
        <v>243</v>
      </c>
      <c r="AE7318" s="1">
        <v>36450</v>
      </c>
      <c r="AF7318">
        <v>0</v>
      </c>
      <c r="AJ7318">
        <v>0</v>
      </c>
      <c r="AK7318">
        <v>0</v>
      </c>
      <c r="AL7318">
        <v>0</v>
      </c>
      <c r="AM7318">
        <v>0</v>
      </c>
      <c r="AN7318">
        <v>0</v>
      </c>
      <c r="AO7318">
        <v>0</v>
      </c>
      <c r="AP7318" s="2">
        <v>42746</v>
      </c>
      <c r="AQ7318" t="s">
        <v>72</v>
      </c>
      <c r="AR7318" t="s">
        <v>72</v>
      </c>
      <c r="AS7318">
        <v>786</v>
      </c>
      <c r="AT7318" s="4">
        <v>42452</v>
      </c>
      <c r="AU7318" t="s">
        <v>73</v>
      </c>
      <c r="AV7318">
        <v>786</v>
      </c>
      <c r="AW7318" s="4">
        <v>42452</v>
      </c>
      <c r="BD7318">
        <v>0</v>
      </c>
      <c r="BN7318" t="s">
        <v>74</v>
      </c>
    </row>
    <row r="7319" spans="1:66" hidden="1">
      <c r="A7319">
        <v>104195</v>
      </c>
      <c r="B7319" s="3" t="s">
        <v>623</v>
      </c>
      <c r="C7319" s="1">
        <v>43300101</v>
      </c>
      <c r="D7319" t="s">
        <v>67</v>
      </c>
      <c r="H7319" t="str">
        <f t="shared" si="719"/>
        <v>11206730159</v>
      </c>
      <c r="I7319" t="str">
        <f t="shared" si="719"/>
        <v>11206730159</v>
      </c>
      <c r="K7319" t="str">
        <f>""</f>
        <v/>
      </c>
      <c r="M7319" t="s">
        <v>68</v>
      </c>
      <c r="N7319" t="str">
        <f t="shared" si="718"/>
        <v>FOR</v>
      </c>
      <c r="O7319" t="s">
        <v>69</v>
      </c>
      <c r="P7319" s="3" t="s">
        <v>75</v>
      </c>
      <c r="Q7319">
        <v>2015</v>
      </c>
      <c r="R7319" s="2">
        <v>42145</v>
      </c>
      <c r="S7319" s="2">
        <v>42160</v>
      </c>
      <c r="T7319" s="2">
        <v>42151</v>
      </c>
      <c r="U7319" s="2">
        <v>42211</v>
      </c>
      <c r="V7319" t="s">
        <v>71</v>
      </c>
      <c r="W7319" t="str">
        <f>"          7171187380"</f>
        <v xml:space="preserve">          7171187380</v>
      </c>
      <c r="X7319">
        <v>183</v>
      </c>
      <c r="Y7319">
        <v>0</v>
      </c>
      <c r="Z7319"/>
      <c r="AB7319"/>
      <c r="AC7319">
        <v>150</v>
      </c>
      <c r="AD7319">
        <v>241</v>
      </c>
      <c r="AE7319" s="1">
        <v>36150</v>
      </c>
      <c r="AF7319">
        <v>0</v>
      </c>
      <c r="AJ7319">
        <v>0</v>
      </c>
      <c r="AK7319">
        <v>0</v>
      </c>
      <c r="AL7319">
        <v>0</v>
      </c>
      <c r="AM7319">
        <v>0</v>
      </c>
      <c r="AN7319">
        <v>0</v>
      </c>
      <c r="AO7319">
        <v>0</v>
      </c>
      <c r="AP7319" s="2">
        <v>42746</v>
      </c>
      <c r="AQ7319" t="s">
        <v>72</v>
      </c>
      <c r="AR7319" t="s">
        <v>72</v>
      </c>
      <c r="AS7319">
        <v>786</v>
      </c>
      <c r="AT7319" s="4">
        <v>42452</v>
      </c>
      <c r="AU7319" t="s">
        <v>73</v>
      </c>
      <c r="AV7319">
        <v>786</v>
      </c>
      <c r="AW7319" s="4">
        <v>42452</v>
      </c>
      <c r="BD7319">
        <v>0</v>
      </c>
      <c r="BN7319" t="s">
        <v>74</v>
      </c>
    </row>
    <row r="7320" spans="1:66" hidden="1">
      <c r="A7320">
        <v>104195</v>
      </c>
      <c r="B7320" s="3" t="s">
        <v>623</v>
      </c>
      <c r="C7320" s="1">
        <v>43300101</v>
      </c>
      <c r="D7320" t="s">
        <v>67</v>
      </c>
      <c r="H7320" t="str">
        <f t="shared" si="719"/>
        <v>11206730159</v>
      </c>
      <c r="I7320" t="str">
        <f t="shared" si="719"/>
        <v>11206730159</v>
      </c>
      <c r="K7320" t="str">
        <f>""</f>
        <v/>
      </c>
      <c r="M7320" t="s">
        <v>68</v>
      </c>
      <c r="N7320" t="str">
        <f t="shared" si="718"/>
        <v>FOR</v>
      </c>
      <c r="O7320" t="s">
        <v>69</v>
      </c>
      <c r="P7320" s="3" t="s">
        <v>75</v>
      </c>
      <c r="Q7320">
        <v>2015</v>
      </c>
      <c r="R7320" s="2">
        <v>42145</v>
      </c>
      <c r="S7320" s="2">
        <v>42160</v>
      </c>
      <c r="T7320" s="2">
        <v>42149</v>
      </c>
      <c r="U7320" s="2">
        <v>42209</v>
      </c>
      <c r="V7320" t="s">
        <v>71</v>
      </c>
      <c r="W7320" t="str">
        <f>"          7171187381"</f>
        <v xml:space="preserve">          7171187381</v>
      </c>
      <c r="X7320">
        <v>183</v>
      </c>
      <c r="Y7320">
        <v>0</v>
      </c>
      <c r="Z7320"/>
      <c r="AB7320"/>
      <c r="AC7320">
        <v>150</v>
      </c>
      <c r="AD7320">
        <v>243</v>
      </c>
      <c r="AE7320" s="1">
        <v>36450</v>
      </c>
      <c r="AF7320">
        <v>0</v>
      </c>
      <c r="AJ7320">
        <v>0</v>
      </c>
      <c r="AK7320">
        <v>0</v>
      </c>
      <c r="AL7320">
        <v>0</v>
      </c>
      <c r="AM7320">
        <v>0</v>
      </c>
      <c r="AN7320">
        <v>0</v>
      </c>
      <c r="AO7320">
        <v>0</v>
      </c>
      <c r="AP7320" s="2">
        <v>42746</v>
      </c>
      <c r="AQ7320" t="s">
        <v>72</v>
      </c>
      <c r="AR7320" t="s">
        <v>72</v>
      </c>
      <c r="AS7320">
        <v>786</v>
      </c>
      <c r="AT7320" s="4">
        <v>42452</v>
      </c>
      <c r="AU7320" t="s">
        <v>73</v>
      </c>
      <c r="AV7320">
        <v>786</v>
      </c>
      <c r="AW7320" s="4">
        <v>42452</v>
      </c>
      <c r="BD7320">
        <v>0</v>
      </c>
      <c r="BN7320" t="s">
        <v>74</v>
      </c>
    </row>
    <row r="7321" spans="1:66" hidden="1">
      <c r="A7321">
        <v>104195</v>
      </c>
      <c r="B7321" s="3" t="s">
        <v>623</v>
      </c>
      <c r="C7321" s="1">
        <v>43300101</v>
      </c>
      <c r="D7321" t="s">
        <v>67</v>
      </c>
      <c r="H7321" t="str">
        <f t="shared" si="719"/>
        <v>11206730159</v>
      </c>
      <c r="I7321" t="str">
        <f t="shared" si="719"/>
        <v>11206730159</v>
      </c>
      <c r="K7321" t="str">
        <f>""</f>
        <v/>
      </c>
      <c r="M7321" t="s">
        <v>68</v>
      </c>
      <c r="N7321" t="str">
        <f t="shared" si="718"/>
        <v>FOR</v>
      </c>
      <c r="O7321" t="s">
        <v>69</v>
      </c>
      <c r="P7321" s="3" t="s">
        <v>75</v>
      </c>
      <c r="Q7321">
        <v>2015</v>
      </c>
      <c r="R7321" s="2">
        <v>42145</v>
      </c>
      <c r="S7321" s="2">
        <v>42160</v>
      </c>
      <c r="T7321" s="2">
        <v>42149</v>
      </c>
      <c r="U7321" s="2">
        <v>42209</v>
      </c>
      <c r="V7321" t="s">
        <v>71</v>
      </c>
      <c r="W7321" t="str">
        <f>"          7171187382"</f>
        <v xml:space="preserve">          7171187382</v>
      </c>
      <c r="X7321">
        <v>894.4</v>
      </c>
      <c r="Y7321">
        <v>0</v>
      </c>
      <c r="Z7321"/>
      <c r="AB7321"/>
      <c r="AC7321">
        <v>860</v>
      </c>
      <c r="AD7321">
        <v>243</v>
      </c>
      <c r="AE7321" s="1">
        <v>208980</v>
      </c>
      <c r="AF7321">
        <v>0</v>
      </c>
      <c r="AJ7321">
        <v>0</v>
      </c>
      <c r="AK7321">
        <v>0</v>
      </c>
      <c r="AL7321">
        <v>0</v>
      </c>
      <c r="AM7321">
        <v>0</v>
      </c>
      <c r="AN7321">
        <v>0</v>
      </c>
      <c r="AO7321">
        <v>0</v>
      </c>
      <c r="AP7321" s="2">
        <v>42746</v>
      </c>
      <c r="AQ7321" t="s">
        <v>72</v>
      </c>
      <c r="AR7321" t="s">
        <v>72</v>
      </c>
      <c r="AS7321">
        <v>786</v>
      </c>
      <c r="AT7321" s="4">
        <v>42452</v>
      </c>
      <c r="AU7321" t="s">
        <v>73</v>
      </c>
      <c r="AV7321">
        <v>786</v>
      </c>
      <c r="AW7321" s="4">
        <v>42452</v>
      </c>
      <c r="BD7321">
        <v>0</v>
      </c>
      <c r="BN7321" t="s">
        <v>74</v>
      </c>
    </row>
    <row r="7322" spans="1:66" hidden="1">
      <c r="A7322">
        <v>104195</v>
      </c>
      <c r="B7322" s="3" t="s">
        <v>623</v>
      </c>
      <c r="C7322" s="1">
        <v>43300101</v>
      </c>
      <c r="D7322" t="s">
        <v>67</v>
      </c>
      <c r="H7322" t="str">
        <f t="shared" si="719"/>
        <v>11206730159</v>
      </c>
      <c r="I7322" t="str">
        <f t="shared" si="719"/>
        <v>11206730159</v>
      </c>
      <c r="K7322" t="str">
        <f>""</f>
        <v/>
      </c>
      <c r="M7322" t="s">
        <v>68</v>
      </c>
      <c r="N7322" t="str">
        <f t="shared" ref="N7322:N7353" si="720">"FOR"</f>
        <v>FOR</v>
      </c>
      <c r="O7322" t="s">
        <v>69</v>
      </c>
      <c r="P7322" s="3" t="s">
        <v>75</v>
      </c>
      <c r="Q7322">
        <v>2015</v>
      </c>
      <c r="R7322" s="2">
        <v>42163</v>
      </c>
      <c r="S7322" s="2">
        <v>42165</v>
      </c>
      <c r="T7322" s="2">
        <v>42164</v>
      </c>
      <c r="U7322" s="2">
        <v>42224</v>
      </c>
      <c r="V7322" t="s">
        <v>71</v>
      </c>
      <c r="W7322" t="str">
        <f>"          7171192570"</f>
        <v xml:space="preserve">          7171192570</v>
      </c>
      <c r="X7322">
        <v>391.32</v>
      </c>
      <c r="Y7322">
        <v>0</v>
      </c>
      <c r="Z7322"/>
      <c r="AB7322"/>
      <c r="AC7322">
        <v>320.75</v>
      </c>
      <c r="AD7322">
        <v>296</v>
      </c>
      <c r="AE7322" s="1">
        <v>94942</v>
      </c>
      <c r="AF7322">
        <v>0</v>
      </c>
      <c r="AJ7322">
        <v>0</v>
      </c>
      <c r="AK7322">
        <v>0</v>
      </c>
      <c r="AL7322">
        <v>0</v>
      </c>
      <c r="AM7322">
        <v>0</v>
      </c>
      <c r="AN7322">
        <v>0</v>
      </c>
      <c r="AO7322">
        <v>0</v>
      </c>
      <c r="AP7322" s="2">
        <v>42746</v>
      </c>
      <c r="AQ7322" t="s">
        <v>72</v>
      </c>
      <c r="AR7322" t="s">
        <v>72</v>
      </c>
      <c r="AS7322">
        <v>1416</v>
      </c>
      <c r="AT7322" s="4">
        <v>42520</v>
      </c>
      <c r="AU7322" t="s">
        <v>73</v>
      </c>
      <c r="AV7322">
        <v>1416</v>
      </c>
      <c r="AW7322" s="4">
        <v>42520</v>
      </c>
      <c r="BD7322">
        <v>0</v>
      </c>
      <c r="BN7322" t="s">
        <v>74</v>
      </c>
    </row>
    <row r="7323" spans="1:66" hidden="1">
      <c r="A7323">
        <v>104195</v>
      </c>
      <c r="B7323" s="3" t="s">
        <v>623</v>
      </c>
      <c r="C7323" s="1">
        <v>43300101</v>
      </c>
      <c r="D7323" t="s">
        <v>67</v>
      </c>
      <c r="H7323" t="str">
        <f t="shared" si="719"/>
        <v>11206730159</v>
      </c>
      <c r="I7323" t="str">
        <f t="shared" si="719"/>
        <v>11206730159</v>
      </c>
      <c r="K7323" t="str">
        <f>""</f>
        <v/>
      </c>
      <c r="M7323" t="s">
        <v>68</v>
      </c>
      <c r="N7323" t="str">
        <f t="shared" si="720"/>
        <v>FOR</v>
      </c>
      <c r="O7323" t="s">
        <v>69</v>
      </c>
      <c r="P7323" s="3" t="s">
        <v>75</v>
      </c>
      <c r="Q7323">
        <v>2015</v>
      </c>
      <c r="R7323" s="2">
        <v>42163</v>
      </c>
      <c r="S7323" s="2">
        <v>42165</v>
      </c>
      <c r="T7323" s="2">
        <v>42164</v>
      </c>
      <c r="U7323" s="2">
        <v>42224</v>
      </c>
      <c r="V7323" t="s">
        <v>71</v>
      </c>
      <c r="W7323" t="str">
        <f>"          7171192571"</f>
        <v xml:space="preserve">          7171192571</v>
      </c>
      <c r="X7323">
        <v>894.4</v>
      </c>
      <c r="Y7323">
        <v>0</v>
      </c>
      <c r="Z7323"/>
      <c r="AB7323"/>
      <c r="AC7323">
        <v>860</v>
      </c>
      <c r="AD7323">
        <v>296</v>
      </c>
      <c r="AE7323" s="1">
        <v>254560</v>
      </c>
      <c r="AF7323">
        <v>0</v>
      </c>
      <c r="AJ7323">
        <v>0</v>
      </c>
      <c r="AK7323">
        <v>0</v>
      </c>
      <c r="AL7323">
        <v>0</v>
      </c>
      <c r="AM7323">
        <v>0</v>
      </c>
      <c r="AN7323">
        <v>0</v>
      </c>
      <c r="AO7323">
        <v>0</v>
      </c>
      <c r="AP7323" s="2">
        <v>42746</v>
      </c>
      <c r="AQ7323" t="s">
        <v>72</v>
      </c>
      <c r="AR7323" t="s">
        <v>72</v>
      </c>
      <c r="AS7323">
        <v>1416</v>
      </c>
      <c r="AT7323" s="4">
        <v>42520</v>
      </c>
      <c r="AU7323" t="s">
        <v>73</v>
      </c>
      <c r="AV7323">
        <v>1416</v>
      </c>
      <c r="AW7323" s="4">
        <v>42520</v>
      </c>
      <c r="BD7323">
        <v>0</v>
      </c>
      <c r="BN7323" t="s">
        <v>74</v>
      </c>
    </row>
    <row r="7324" spans="1:66" hidden="1">
      <c r="A7324">
        <v>104195</v>
      </c>
      <c r="B7324" s="3" t="s">
        <v>623</v>
      </c>
      <c r="C7324" s="1">
        <v>43300101</v>
      </c>
      <c r="D7324" t="s">
        <v>67</v>
      </c>
      <c r="H7324" t="str">
        <f t="shared" si="719"/>
        <v>11206730159</v>
      </c>
      <c r="I7324" t="str">
        <f t="shared" si="719"/>
        <v>11206730159</v>
      </c>
      <c r="K7324" t="str">
        <f>""</f>
        <v/>
      </c>
      <c r="M7324" t="s">
        <v>68</v>
      </c>
      <c r="N7324" t="str">
        <f t="shared" si="720"/>
        <v>FOR</v>
      </c>
      <c r="O7324" t="s">
        <v>69</v>
      </c>
      <c r="P7324" s="3" t="s">
        <v>75</v>
      </c>
      <c r="Q7324">
        <v>2015</v>
      </c>
      <c r="R7324" s="2">
        <v>42163</v>
      </c>
      <c r="S7324" s="2">
        <v>42165</v>
      </c>
      <c r="T7324" s="2">
        <v>42164</v>
      </c>
      <c r="U7324" s="2">
        <v>42224</v>
      </c>
      <c r="V7324" t="s">
        <v>71</v>
      </c>
      <c r="W7324" t="str">
        <f>"          7171192572"</f>
        <v xml:space="preserve">          7171192572</v>
      </c>
      <c r="X7324">
        <v>183</v>
      </c>
      <c r="Y7324">
        <v>0</v>
      </c>
      <c r="Z7324"/>
      <c r="AB7324"/>
      <c r="AC7324">
        <v>150</v>
      </c>
      <c r="AD7324">
        <v>296</v>
      </c>
      <c r="AE7324" s="1">
        <v>44400</v>
      </c>
      <c r="AF7324">
        <v>0</v>
      </c>
      <c r="AJ7324">
        <v>0</v>
      </c>
      <c r="AK7324">
        <v>0</v>
      </c>
      <c r="AL7324">
        <v>0</v>
      </c>
      <c r="AM7324">
        <v>0</v>
      </c>
      <c r="AN7324">
        <v>0</v>
      </c>
      <c r="AO7324">
        <v>0</v>
      </c>
      <c r="AP7324" s="2">
        <v>42746</v>
      </c>
      <c r="AQ7324" t="s">
        <v>72</v>
      </c>
      <c r="AR7324" t="s">
        <v>72</v>
      </c>
      <c r="AS7324">
        <v>1416</v>
      </c>
      <c r="AT7324" s="4">
        <v>42520</v>
      </c>
      <c r="AU7324" t="s">
        <v>73</v>
      </c>
      <c r="AV7324">
        <v>1416</v>
      </c>
      <c r="AW7324" s="4">
        <v>42520</v>
      </c>
      <c r="BD7324">
        <v>0</v>
      </c>
      <c r="BN7324" t="s">
        <v>74</v>
      </c>
    </row>
    <row r="7325" spans="1:66" hidden="1">
      <c r="A7325">
        <v>104195</v>
      </c>
      <c r="B7325" s="3" t="s">
        <v>623</v>
      </c>
      <c r="C7325" s="1">
        <v>43300101</v>
      </c>
      <c r="D7325" t="s">
        <v>67</v>
      </c>
      <c r="H7325" t="str">
        <f t="shared" si="719"/>
        <v>11206730159</v>
      </c>
      <c r="I7325" t="str">
        <f t="shared" si="719"/>
        <v>11206730159</v>
      </c>
      <c r="K7325" t="str">
        <f>""</f>
        <v/>
      </c>
      <c r="M7325" t="s">
        <v>68</v>
      </c>
      <c r="N7325" t="str">
        <f t="shared" si="720"/>
        <v>FOR</v>
      </c>
      <c r="O7325" t="s">
        <v>69</v>
      </c>
      <c r="P7325" s="3" t="s">
        <v>75</v>
      </c>
      <c r="Q7325">
        <v>2015</v>
      </c>
      <c r="R7325" s="2">
        <v>42163</v>
      </c>
      <c r="S7325" s="2">
        <v>42165</v>
      </c>
      <c r="T7325" s="2">
        <v>42164</v>
      </c>
      <c r="U7325" s="2">
        <v>42224</v>
      </c>
      <c r="V7325" t="s">
        <v>71</v>
      </c>
      <c r="W7325" t="str">
        <f>"          7171192573"</f>
        <v xml:space="preserve">          7171192573</v>
      </c>
      <c r="X7325">
        <v>183</v>
      </c>
      <c r="Y7325">
        <v>0</v>
      </c>
      <c r="Z7325"/>
      <c r="AB7325"/>
      <c r="AC7325">
        <v>150</v>
      </c>
      <c r="AD7325">
        <v>296</v>
      </c>
      <c r="AE7325" s="1">
        <v>44400</v>
      </c>
      <c r="AF7325">
        <v>0</v>
      </c>
      <c r="AJ7325">
        <v>0</v>
      </c>
      <c r="AK7325">
        <v>0</v>
      </c>
      <c r="AL7325">
        <v>0</v>
      </c>
      <c r="AM7325">
        <v>0</v>
      </c>
      <c r="AN7325">
        <v>0</v>
      </c>
      <c r="AO7325">
        <v>0</v>
      </c>
      <c r="AP7325" s="2">
        <v>42746</v>
      </c>
      <c r="AQ7325" t="s">
        <v>72</v>
      </c>
      <c r="AR7325" t="s">
        <v>72</v>
      </c>
      <c r="AS7325">
        <v>1416</v>
      </c>
      <c r="AT7325" s="4">
        <v>42520</v>
      </c>
      <c r="AU7325" t="s">
        <v>73</v>
      </c>
      <c r="AV7325">
        <v>1416</v>
      </c>
      <c r="AW7325" s="4">
        <v>42520</v>
      </c>
      <c r="BD7325">
        <v>0</v>
      </c>
      <c r="BN7325" t="s">
        <v>74</v>
      </c>
    </row>
    <row r="7326" spans="1:66" hidden="1">
      <c r="A7326">
        <v>104195</v>
      </c>
      <c r="B7326" s="3" t="s">
        <v>623</v>
      </c>
      <c r="C7326" s="1">
        <v>43300101</v>
      </c>
      <c r="D7326" t="s">
        <v>67</v>
      </c>
      <c r="H7326" t="str">
        <f t="shared" si="719"/>
        <v>11206730159</v>
      </c>
      <c r="I7326" t="str">
        <f t="shared" si="719"/>
        <v>11206730159</v>
      </c>
      <c r="K7326" t="str">
        <f>""</f>
        <v/>
      </c>
      <c r="M7326" t="s">
        <v>68</v>
      </c>
      <c r="N7326" t="str">
        <f t="shared" si="720"/>
        <v>FOR</v>
      </c>
      <c r="O7326" t="s">
        <v>69</v>
      </c>
      <c r="P7326" s="3" t="s">
        <v>75</v>
      </c>
      <c r="Q7326">
        <v>2015</v>
      </c>
      <c r="R7326" s="2">
        <v>42163</v>
      </c>
      <c r="S7326" s="2">
        <v>42165</v>
      </c>
      <c r="T7326" s="2">
        <v>42164</v>
      </c>
      <c r="U7326" s="2">
        <v>42224</v>
      </c>
      <c r="V7326" t="s">
        <v>71</v>
      </c>
      <c r="W7326" t="str">
        <f>"          7171192574"</f>
        <v xml:space="preserve">          7171192574</v>
      </c>
      <c r="X7326">
        <v>183</v>
      </c>
      <c r="Y7326">
        <v>0</v>
      </c>
      <c r="Z7326"/>
      <c r="AB7326"/>
      <c r="AC7326">
        <v>150</v>
      </c>
      <c r="AD7326">
        <v>296</v>
      </c>
      <c r="AE7326" s="1">
        <v>44400</v>
      </c>
      <c r="AF7326">
        <v>0</v>
      </c>
      <c r="AJ7326">
        <v>0</v>
      </c>
      <c r="AK7326">
        <v>0</v>
      </c>
      <c r="AL7326">
        <v>0</v>
      </c>
      <c r="AM7326">
        <v>0</v>
      </c>
      <c r="AN7326">
        <v>0</v>
      </c>
      <c r="AO7326">
        <v>0</v>
      </c>
      <c r="AP7326" s="2">
        <v>42746</v>
      </c>
      <c r="AQ7326" t="s">
        <v>72</v>
      </c>
      <c r="AR7326" t="s">
        <v>72</v>
      </c>
      <c r="AS7326">
        <v>1416</v>
      </c>
      <c r="AT7326" s="4">
        <v>42520</v>
      </c>
      <c r="AU7326" t="s">
        <v>73</v>
      </c>
      <c r="AV7326">
        <v>1416</v>
      </c>
      <c r="AW7326" s="4">
        <v>42520</v>
      </c>
      <c r="BD7326">
        <v>0</v>
      </c>
      <c r="BN7326" t="s">
        <v>74</v>
      </c>
    </row>
    <row r="7327" spans="1:66" hidden="1">
      <c r="A7327">
        <v>104195</v>
      </c>
      <c r="B7327" s="3" t="s">
        <v>623</v>
      </c>
      <c r="C7327" s="1">
        <v>43300101</v>
      </c>
      <c r="D7327" t="s">
        <v>67</v>
      </c>
      <c r="H7327" t="str">
        <f t="shared" si="719"/>
        <v>11206730159</v>
      </c>
      <c r="I7327" t="str">
        <f t="shared" si="719"/>
        <v>11206730159</v>
      </c>
      <c r="K7327" t="str">
        <f>""</f>
        <v/>
      </c>
      <c r="M7327" t="s">
        <v>68</v>
      </c>
      <c r="N7327" t="str">
        <f t="shared" si="720"/>
        <v>FOR</v>
      </c>
      <c r="O7327" t="s">
        <v>69</v>
      </c>
      <c r="P7327" s="3" t="s">
        <v>75</v>
      </c>
      <c r="Q7327">
        <v>2015</v>
      </c>
      <c r="R7327" s="2">
        <v>42187</v>
      </c>
      <c r="S7327" s="2">
        <v>42191</v>
      </c>
      <c r="T7327" s="2">
        <v>42188</v>
      </c>
      <c r="U7327" s="2">
        <v>42248</v>
      </c>
      <c r="V7327" t="s">
        <v>71</v>
      </c>
      <c r="W7327" t="str">
        <f>"          7171200940"</f>
        <v xml:space="preserve">          7171200940</v>
      </c>
      <c r="X7327">
        <v>183</v>
      </c>
      <c r="Y7327">
        <v>0</v>
      </c>
      <c r="Z7327"/>
      <c r="AB7327"/>
      <c r="AC7327">
        <v>150</v>
      </c>
      <c r="AD7327">
        <v>318</v>
      </c>
      <c r="AE7327" s="1">
        <v>47700</v>
      </c>
      <c r="AF7327">
        <v>0</v>
      </c>
      <c r="AJ7327">
        <v>0</v>
      </c>
      <c r="AK7327">
        <v>0</v>
      </c>
      <c r="AL7327">
        <v>0</v>
      </c>
      <c r="AM7327">
        <v>0</v>
      </c>
      <c r="AN7327">
        <v>0</v>
      </c>
      <c r="AO7327">
        <v>0</v>
      </c>
      <c r="AP7327" s="2">
        <v>42746</v>
      </c>
      <c r="AQ7327" t="s">
        <v>72</v>
      </c>
      <c r="AR7327" t="s">
        <v>72</v>
      </c>
      <c r="AS7327">
        <v>1818</v>
      </c>
      <c r="AT7327" s="4">
        <v>42566</v>
      </c>
      <c r="AU7327" t="s">
        <v>73</v>
      </c>
      <c r="AV7327">
        <v>1818</v>
      </c>
      <c r="AW7327" s="4">
        <v>42566</v>
      </c>
      <c r="BD7327">
        <v>0</v>
      </c>
      <c r="BN7327" t="s">
        <v>74</v>
      </c>
    </row>
    <row r="7328" spans="1:66" hidden="1">
      <c r="A7328">
        <v>104195</v>
      </c>
      <c r="B7328" s="3" t="s">
        <v>623</v>
      </c>
      <c r="C7328" s="1">
        <v>43300101</v>
      </c>
      <c r="D7328" t="s">
        <v>67</v>
      </c>
      <c r="H7328" t="str">
        <f t="shared" si="719"/>
        <v>11206730159</v>
      </c>
      <c r="I7328" t="str">
        <f t="shared" si="719"/>
        <v>11206730159</v>
      </c>
      <c r="K7328" t="str">
        <f>""</f>
        <v/>
      </c>
      <c r="M7328" t="s">
        <v>68</v>
      </c>
      <c r="N7328" t="str">
        <f t="shared" si="720"/>
        <v>FOR</v>
      </c>
      <c r="O7328" t="s">
        <v>69</v>
      </c>
      <c r="P7328" s="3" t="s">
        <v>75</v>
      </c>
      <c r="Q7328">
        <v>2015</v>
      </c>
      <c r="R7328" s="2">
        <v>42187</v>
      </c>
      <c r="S7328" s="2">
        <v>42191</v>
      </c>
      <c r="T7328" s="2">
        <v>42188</v>
      </c>
      <c r="U7328" s="2">
        <v>42248</v>
      </c>
      <c r="V7328" t="s">
        <v>71</v>
      </c>
      <c r="W7328" t="str">
        <f>"          7171200941"</f>
        <v xml:space="preserve">          7171200941</v>
      </c>
      <c r="X7328" s="1">
        <v>1144</v>
      </c>
      <c r="Y7328">
        <v>0</v>
      </c>
      <c r="Z7328"/>
      <c r="AB7328"/>
      <c r="AC7328" s="1">
        <v>1100</v>
      </c>
      <c r="AD7328">
        <v>318</v>
      </c>
      <c r="AE7328" s="1">
        <v>349800</v>
      </c>
      <c r="AF7328">
        <v>0</v>
      </c>
      <c r="AJ7328">
        <v>0</v>
      </c>
      <c r="AK7328">
        <v>0</v>
      </c>
      <c r="AL7328">
        <v>0</v>
      </c>
      <c r="AM7328">
        <v>0</v>
      </c>
      <c r="AN7328">
        <v>0</v>
      </c>
      <c r="AO7328">
        <v>0</v>
      </c>
      <c r="AP7328" s="2">
        <v>42746</v>
      </c>
      <c r="AQ7328" t="s">
        <v>72</v>
      </c>
      <c r="AR7328" t="s">
        <v>72</v>
      </c>
      <c r="AS7328">
        <v>1818</v>
      </c>
      <c r="AT7328" s="4">
        <v>42566</v>
      </c>
      <c r="AU7328" t="s">
        <v>73</v>
      </c>
      <c r="AV7328">
        <v>1818</v>
      </c>
      <c r="AW7328" s="4">
        <v>42566</v>
      </c>
      <c r="BD7328">
        <v>0</v>
      </c>
      <c r="BN7328" t="s">
        <v>74</v>
      </c>
    </row>
    <row r="7329" spans="1:66" hidden="1">
      <c r="A7329">
        <v>104195</v>
      </c>
      <c r="B7329" s="3" t="s">
        <v>623</v>
      </c>
      <c r="C7329" s="1">
        <v>43300101</v>
      </c>
      <c r="D7329" t="s">
        <v>67</v>
      </c>
      <c r="H7329" t="str">
        <f t="shared" si="719"/>
        <v>11206730159</v>
      </c>
      <c r="I7329" t="str">
        <f t="shared" si="719"/>
        <v>11206730159</v>
      </c>
      <c r="K7329" t="str">
        <f>""</f>
        <v/>
      </c>
      <c r="M7329" t="s">
        <v>68</v>
      </c>
      <c r="N7329" t="str">
        <f t="shared" si="720"/>
        <v>FOR</v>
      </c>
      <c r="O7329" t="s">
        <v>69</v>
      </c>
      <c r="P7329" s="3" t="s">
        <v>75</v>
      </c>
      <c r="Q7329">
        <v>2015</v>
      </c>
      <c r="R7329" s="2">
        <v>42229</v>
      </c>
      <c r="S7329" s="2">
        <v>42230</v>
      </c>
      <c r="T7329" s="2">
        <v>42229</v>
      </c>
      <c r="U7329" s="2">
        <v>42289</v>
      </c>
      <c r="V7329" t="s">
        <v>71</v>
      </c>
      <c r="W7329" t="str">
        <f>"          7171213333"</f>
        <v xml:space="preserve">          7171213333</v>
      </c>
      <c r="X7329">
        <v>183</v>
      </c>
      <c r="Y7329">
        <v>0</v>
      </c>
      <c r="Z7329"/>
      <c r="AB7329"/>
      <c r="AC7329">
        <v>150</v>
      </c>
      <c r="AD7329">
        <v>332</v>
      </c>
      <c r="AE7329" s="1">
        <v>49800</v>
      </c>
      <c r="AF7329">
        <v>0</v>
      </c>
      <c r="AJ7329">
        <v>0</v>
      </c>
      <c r="AK7329">
        <v>0</v>
      </c>
      <c r="AL7329">
        <v>0</v>
      </c>
      <c r="AM7329">
        <v>0</v>
      </c>
      <c r="AN7329">
        <v>0</v>
      </c>
      <c r="AO7329">
        <v>0</v>
      </c>
      <c r="AP7329" s="2">
        <v>42746</v>
      </c>
      <c r="AQ7329" t="s">
        <v>72</v>
      </c>
      <c r="AR7329" t="s">
        <v>72</v>
      </c>
      <c r="AS7329">
        <v>2361</v>
      </c>
      <c r="AT7329" s="4">
        <v>42621</v>
      </c>
      <c r="AU7329" t="s">
        <v>73</v>
      </c>
      <c r="AV7329">
        <v>2361</v>
      </c>
      <c r="AW7329" s="4">
        <v>42621</v>
      </c>
      <c r="BD7329">
        <v>0</v>
      </c>
      <c r="BN7329" t="s">
        <v>74</v>
      </c>
    </row>
    <row r="7330" spans="1:66" hidden="1">
      <c r="A7330">
        <v>104195</v>
      </c>
      <c r="B7330" s="3" t="s">
        <v>623</v>
      </c>
      <c r="C7330" s="1">
        <v>43300101</v>
      </c>
      <c r="D7330" t="s">
        <v>67</v>
      </c>
      <c r="H7330" t="str">
        <f t="shared" ref="H7330:I7349" si="721">"11206730159"</f>
        <v>11206730159</v>
      </c>
      <c r="I7330" t="str">
        <f t="shared" si="721"/>
        <v>11206730159</v>
      </c>
      <c r="K7330" t="str">
        <f>""</f>
        <v/>
      </c>
      <c r="M7330" t="s">
        <v>68</v>
      </c>
      <c r="N7330" t="str">
        <f t="shared" si="720"/>
        <v>FOR</v>
      </c>
      <c r="O7330" t="s">
        <v>69</v>
      </c>
      <c r="P7330" s="3" t="s">
        <v>75</v>
      </c>
      <c r="Q7330">
        <v>2015</v>
      </c>
      <c r="R7330" s="2">
        <v>42229</v>
      </c>
      <c r="S7330" s="2">
        <v>42230</v>
      </c>
      <c r="T7330" s="2">
        <v>42229</v>
      </c>
      <c r="U7330" s="2">
        <v>42289</v>
      </c>
      <c r="V7330" t="s">
        <v>71</v>
      </c>
      <c r="W7330" t="str">
        <f>"          7171213334"</f>
        <v xml:space="preserve">          7171213334</v>
      </c>
      <c r="X7330">
        <v>894.4</v>
      </c>
      <c r="Y7330">
        <v>0</v>
      </c>
      <c r="Z7330"/>
      <c r="AB7330"/>
      <c r="AC7330">
        <v>860</v>
      </c>
      <c r="AD7330">
        <v>332</v>
      </c>
      <c r="AE7330" s="1">
        <v>285520</v>
      </c>
      <c r="AF7330">
        <v>0</v>
      </c>
      <c r="AJ7330">
        <v>0</v>
      </c>
      <c r="AK7330">
        <v>0</v>
      </c>
      <c r="AL7330">
        <v>0</v>
      </c>
      <c r="AM7330">
        <v>0</v>
      </c>
      <c r="AN7330">
        <v>0</v>
      </c>
      <c r="AO7330">
        <v>0</v>
      </c>
      <c r="AP7330" s="2">
        <v>42746</v>
      </c>
      <c r="AQ7330" t="s">
        <v>72</v>
      </c>
      <c r="AR7330" t="s">
        <v>72</v>
      </c>
      <c r="AS7330">
        <v>2361</v>
      </c>
      <c r="AT7330" s="4">
        <v>42621</v>
      </c>
      <c r="AU7330" t="s">
        <v>73</v>
      </c>
      <c r="AV7330">
        <v>2361</v>
      </c>
      <c r="AW7330" s="4">
        <v>42621</v>
      </c>
      <c r="BD7330">
        <v>0</v>
      </c>
      <c r="BN7330" t="s">
        <v>74</v>
      </c>
    </row>
    <row r="7331" spans="1:66" hidden="1">
      <c r="A7331">
        <v>104195</v>
      </c>
      <c r="B7331" s="3" t="s">
        <v>623</v>
      </c>
      <c r="C7331" s="1">
        <v>43300101</v>
      </c>
      <c r="D7331" t="s">
        <v>67</v>
      </c>
      <c r="H7331" t="str">
        <f t="shared" si="721"/>
        <v>11206730159</v>
      </c>
      <c r="I7331" t="str">
        <f t="shared" si="721"/>
        <v>11206730159</v>
      </c>
      <c r="K7331" t="str">
        <f>""</f>
        <v/>
      </c>
      <c r="M7331" t="s">
        <v>68</v>
      </c>
      <c r="N7331" t="str">
        <f t="shared" si="720"/>
        <v>FOR</v>
      </c>
      <c r="O7331" t="s">
        <v>69</v>
      </c>
      <c r="P7331" s="3" t="s">
        <v>75</v>
      </c>
      <c r="Q7331">
        <v>2015</v>
      </c>
      <c r="R7331" s="2">
        <v>42229</v>
      </c>
      <c r="S7331" s="2">
        <v>42230</v>
      </c>
      <c r="T7331" s="2">
        <v>42229</v>
      </c>
      <c r="U7331" s="2">
        <v>42289</v>
      </c>
      <c r="V7331" t="s">
        <v>71</v>
      </c>
      <c r="W7331" t="str">
        <f>"          7171213335"</f>
        <v xml:space="preserve">          7171213335</v>
      </c>
      <c r="X7331">
        <v>183</v>
      </c>
      <c r="Y7331">
        <v>0</v>
      </c>
      <c r="Z7331"/>
      <c r="AB7331"/>
      <c r="AC7331">
        <v>150</v>
      </c>
      <c r="AD7331">
        <v>332</v>
      </c>
      <c r="AE7331" s="1">
        <v>49800</v>
      </c>
      <c r="AF7331">
        <v>0</v>
      </c>
      <c r="AJ7331">
        <v>0</v>
      </c>
      <c r="AK7331">
        <v>0</v>
      </c>
      <c r="AL7331">
        <v>0</v>
      </c>
      <c r="AM7331">
        <v>0</v>
      </c>
      <c r="AN7331">
        <v>0</v>
      </c>
      <c r="AO7331">
        <v>0</v>
      </c>
      <c r="AP7331" s="2">
        <v>42746</v>
      </c>
      <c r="AQ7331" t="s">
        <v>72</v>
      </c>
      <c r="AR7331" t="s">
        <v>72</v>
      </c>
      <c r="AS7331">
        <v>2361</v>
      </c>
      <c r="AT7331" s="4">
        <v>42621</v>
      </c>
      <c r="AU7331" t="s">
        <v>73</v>
      </c>
      <c r="AV7331">
        <v>2361</v>
      </c>
      <c r="AW7331" s="4">
        <v>42621</v>
      </c>
      <c r="BD7331">
        <v>0</v>
      </c>
      <c r="BN7331" t="s">
        <v>74</v>
      </c>
    </row>
    <row r="7332" spans="1:66" hidden="1">
      <c r="A7332">
        <v>104195</v>
      </c>
      <c r="B7332" s="3" t="s">
        <v>623</v>
      </c>
      <c r="C7332" s="1">
        <v>43300101</v>
      </c>
      <c r="D7332" t="s">
        <v>67</v>
      </c>
      <c r="H7332" t="str">
        <f t="shared" si="721"/>
        <v>11206730159</v>
      </c>
      <c r="I7332" t="str">
        <f t="shared" si="721"/>
        <v>11206730159</v>
      </c>
      <c r="K7332" t="str">
        <f>""</f>
        <v/>
      </c>
      <c r="M7332" t="s">
        <v>68</v>
      </c>
      <c r="N7332" t="str">
        <f t="shared" si="720"/>
        <v>FOR</v>
      </c>
      <c r="O7332" t="s">
        <v>69</v>
      </c>
      <c r="P7332" s="3" t="s">
        <v>75</v>
      </c>
      <c r="Q7332">
        <v>2015</v>
      </c>
      <c r="R7332" s="2">
        <v>42229</v>
      </c>
      <c r="S7332" s="2">
        <v>42230</v>
      </c>
      <c r="T7332" s="2">
        <v>42229</v>
      </c>
      <c r="U7332" s="2">
        <v>42289</v>
      </c>
      <c r="V7332" t="s">
        <v>71</v>
      </c>
      <c r="W7332" t="str">
        <f>"          7171213336"</f>
        <v xml:space="preserve">          7171213336</v>
      </c>
      <c r="X7332">
        <v>183</v>
      </c>
      <c r="Y7332">
        <v>0</v>
      </c>
      <c r="Z7332"/>
      <c r="AB7332"/>
      <c r="AC7332">
        <v>150</v>
      </c>
      <c r="AD7332">
        <v>332</v>
      </c>
      <c r="AE7332" s="1">
        <v>49800</v>
      </c>
      <c r="AF7332">
        <v>0</v>
      </c>
      <c r="AJ7332">
        <v>0</v>
      </c>
      <c r="AK7332">
        <v>0</v>
      </c>
      <c r="AL7332">
        <v>0</v>
      </c>
      <c r="AM7332">
        <v>0</v>
      </c>
      <c r="AN7332">
        <v>0</v>
      </c>
      <c r="AO7332">
        <v>0</v>
      </c>
      <c r="AP7332" s="2">
        <v>42746</v>
      </c>
      <c r="AQ7332" t="s">
        <v>72</v>
      </c>
      <c r="AR7332" t="s">
        <v>72</v>
      </c>
      <c r="AS7332">
        <v>2361</v>
      </c>
      <c r="AT7332" s="4">
        <v>42621</v>
      </c>
      <c r="AU7332" t="s">
        <v>73</v>
      </c>
      <c r="AV7332">
        <v>2361</v>
      </c>
      <c r="AW7332" s="4">
        <v>42621</v>
      </c>
      <c r="BD7332">
        <v>0</v>
      </c>
      <c r="BN7332" t="s">
        <v>74</v>
      </c>
    </row>
    <row r="7333" spans="1:66" hidden="1">
      <c r="A7333">
        <v>104195</v>
      </c>
      <c r="B7333" s="3" t="s">
        <v>623</v>
      </c>
      <c r="C7333" s="1">
        <v>43300101</v>
      </c>
      <c r="D7333" t="s">
        <v>67</v>
      </c>
      <c r="H7333" t="str">
        <f t="shared" si="721"/>
        <v>11206730159</v>
      </c>
      <c r="I7333" t="str">
        <f t="shared" si="721"/>
        <v>11206730159</v>
      </c>
      <c r="K7333" t="str">
        <f>""</f>
        <v/>
      </c>
      <c r="M7333" t="s">
        <v>68</v>
      </c>
      <c r="N7333" t="str">
        <f t="shared" si="720"/>
        <v>FOR</v>
      </c>
      <c r="O7333" t="s">
        <v>69</v>
      </c>
      <c r="P7333" s="3" t="s">
        <v>75</v>
      </c>
      <c r="Q7333">
        <v>2015</v>
      </c>
      <c r="R7333" s="2">
        <v>42229</v>
      </c>
      <c r="S7333" s="2">
        <v>42230</v>
      </c>
      <c r="T7333" s="2">
        <v>42229</v>
      </c>
      <c r="U7333" s="2">
        <v>42289</v>
      </c>
      <c r="V7333" t="s">
        <v>71</v>
      </c>
      <c r="W7333" t="str">
        <f>"          7171213337"</f>
        <v xml:space="preserve">          7171213337</v>
      </c>
      <c r="X7333">
        <v>894.4</v>
      </c>
      <c r="Y7333">
        <v>0</v>
      </c>
      <c r="Z7333"/>
      <c r="AB7333"/>
      <c r="AC7333">
        <v>860</v>
      </c>
      <c r="AD7333">
        <v>332</v>
      </c>
      <c r="AE7333" s="1">
        <v>285520</v>
      </c>
      <c r="AF7333">
        <v>0</v>
      </c>
      <c r="AJ7333">
        <v>0</v>
      </c>
      <c r="AK7333">
        <v>0</v>
      </c>
      <c r="AL7333">
        <v>0</v>
      </c>
      <c r="AM7333">
        <v>0</v>
      </c>
      <c r="AN7333">
        <v>0</v>
      </c>
      <c r="AO7333">
        <v>0</v>
      </c>
      <c r="AP7333" s="2">
        <v>42746</v>
      </c>
      <c r="AQ7333" t="s">
        <v>72</v>
      </c>
      <c r="AR7333" t="s">
        <v>72</v>
      </c>
      <c r="AS7333">
        <v>2361</v>
      </c>
      <c r="AT7333" s="4">
        <v>42621</v>
      </c>
      <c r="AU7333" t="s">
        <v>73</v>
      </c>
      <c r="AV7333">
        <v>2361</v>
      </c>
      <c r="AW7333" s="4">
        <v>42621</v>
      </c>
      <c r="BD7333">
        <v>0</v>
      </c>
      <c r="BN7333" t="s">
        <v>74</v>
      </c>
    </row>
    <row r="7334" spans="1:66" hidden="1">
      <c r="A7334">
        <v>104195</v>
      </c>
      <c r="B7334" s="3" t="s">
        <v>623</v>
      </c>
      <c r="C7334" s="1">
        <v>43300101</v>
      </c>
      <c r="D7334" t="s">
        <v>67</v>
      </c>
      <c r="H7334" t="str">
        <f t="shared" si="721"/>
        <v>11206730159</v>
      </c>
      <c r="I7334" t="str">
        <f t="shared" si="721"/>
        <v>11206730159</v>
      </c>
      <c r="K7334" t="str">
        <f>""</f>
        <v/>
      </c>
      <c r="M7334" t="s">
        <v>68</v>
      </c>
      <c r="N7334" t="str">
        <f t="shared" si="720"/>
        <v>FOR</v>
      </c>
      <c r="O7334" t="s">
        <v>69</v>
      </c>
      <c r="P7334" s="3" t="s">
        <v>75</v>
      </c>
      <c r="Q7334">
        <v>2015</v>
      </c>
      <c r="R7334" s="2">
        <v>42229</v>
      </c>
      <c r="S7334" s="2">
        <v>42230</v>
      </c>
      <c r="T7334" s="2">
        <v>42229</v>
      </c>
      <c r="U7334" s="2">
        <v>42289</v>
      </c>
      <c r="V7334" t="s">
        <v>71</v>
      </c>
      <c r="W7334" t="str">
        <f>"          7171213338"</f>
        <v xml:space="preserve">          7171213338</v>
      </c>
      <c r="X7334">
        <v>183</v>
      </c>
      <c r="Y7334">
        <v>0</v>
      </c>
      <c r="Z7334"/>
      <c r="AB7334"/>
      <c r="AC7334">
        <v>150</v>
      </c>
      <c r="AD7334">
        <v>332</v>
      </c>
      <c r="AE7334" s="1">
        <v>49800</v>
      </c>
      <c r="AF7334">
        <v>0</v>
      </c>
      <c r="AJ7334">
        <v>0</v>
      </c>
      <c r="AK7334">
        <v>0</v>
      </c>
      <c r="AL7334">
        <v>0</v>
      </c>
      <c r="AM7334">
        <v>0</v>
      </c>
      <c r="AN7334">
        <v>0</v>
      </c>
      <c r="AO7334">
        <v>0</v>
      </c>
      <c r="AP7334" s="2">
        <v>42746</v>
      </c>
      <c r="AQ7334" t="s">
        <v>72</v>
      </c>
      <c r="AR7334" t="s">
        <v>72</v>
      </c>
      <c r="AS7334">
        <v>2361</v>
      </c>
      <c r="AT7334" s="4">
        <v>42621</v>
      </c>
      <c r="AU7334" t="s">
        <v>73</v>
      </c>
      <c r="AV7334">
        <v>2361</v>
      </c>
      <c r="AW7334" s="4">
        <v>42621</v>
      </c>
      <c r="BD7334">
        <v>0</v>
      </c>
      <c r="BN7334" t="s">
        <v>74</v>
      </c>
    </row>
    <row r="7335" spans="1:66" hidden="1">
      <c r="A7335">
        <v>104195</v>
      </c>
      <c r="B7335" s="3" t="s">
        <v>623</v>
      </c>
      <c r="C7335" s="1">
        <v>43300101</v>
      </c>
      <c r="D7335" t="s">
        <v>67</v>
      </c>
      <c r="H7335" t="str">
        <f t="shared" si="721"/>
        <v>11206730159</v>
      </c>
      <c r="I7335" t="str">
        <f t="shared" si="721"/>
        <v>11206730159</v>
      </c>
      <c r="K7335" t="str">
        <f>""</f>
        <v/>
      </c>
      <c r="M7335" t="s">
        <v>68</v>
      </c>
      <c r="N7335" t="str">
        <f t="shared" si="720"/>
        <v>FOR</v>
      </c>
      <c r="O7335" t="s">
        <v>69</v>
      </c>
      <c r="P7335" s="3" t="s">
        <v>75</v>
      </c>
      <c r="Q7335">
        <v>2015</v>
      </c>
      <c r="R7335" s="2">
        <v>42236</v>
      </c>
      <c r="S7335" s="2">
        <v>42237</v>
      </c>
      <c r="T7335" s="2">
        <v>42236</v>
      </c>
      <c r="U7335" s="2">
        <v>42296</v>
      </c>
      <c r="V7335" t="s">
        <v>71</v>
      </c>
      <c r="W7335" t="str">
        <f>"          7171214729"</f>
        <v xml:space="preserve">          7171214729</v>
      </c>
      <c r="X7335">
        <v>280.8</v>
      </c>
      <c r="Y7335">
        <v>0</v>
      </c>
      <c r="Z7335"/>
      <c r="AB7335"/>
      <c r="AC7335">
        <v>270</v>
      </c>
      <c r="AD7335">
        <v>325</v>
      </c>
      <c r="AE7335" s="1">
        <v>87750</v>
      </c>
      <c r="AF7335">
        <v>0</v>
      </c>
      <c r="AJ7335">
        <v>0</v>
      </c>
      <c r="AK7335">
        <v>0</v>
      </c>
      <c r="AL7335">
        <v>0</v>
      </c>
      <c r="AM7335">
        <v>0</v>
      </c>
      <c r="AN7335">
        <v>0</v>
      </c>
      <c r="AO7335">
        <v>0</v>
      </c>
      <c r="AP7335" s="2">
        <v>42746</v>
      </c>
      <c r="AQ7335" t="s">
        <v>72</v>
      </c>
      <c r="AR7335" t="s">
        <v>72</v>
      </c>
      <c r="AS7335">
        <v>2361</v>
      </c>
      <c r="AT7335" s="4">
        <v>42621</v>
      </c>
      <c r="AU7335" t="s">
        <v>73</v>
      </c>
      <c r="AV7335">
        <v>2361</v>
      </c>
      <c r="AW7335" s="4">
        <v>42621</v>
      </c>
      <c r="BD7335">
        <v>0</v>
      </c>
      <c r="BN7335" t="s">
        <v>74</v>
      </c>
    </row>
    <row r="7336" spans="1:66" hidden="1">
      <c r="A7336">
        <v>104195</v>
      </c>
      <c r="B7336" s="3" t="s">
        <v>623</v>
      </c>
      <c r="C7336" s="1">
        <v>43300101</v>
      </c>
      <c r="D7336" t="s">
        <v>67</v>
      </c>
      <c r="H7336" t="str">
        <f t="shared" si="721"/>
        <v>11206730159</v>
      </c>
      <c r="I7336" t="str">
        <f t="shared" si="721"/>
        <v>11206730159</v>
      </c>
      <c r="K7336" t="str">
        <f>""</f>
        <v/>
      </c>
      <c r="M7336" t="s">
        <v>68</v>
      </c>
      <c r="N7336" t="str">
        <f t="shared" si="720"/>
        <v>FOR</v>
      </c>
      <c r="O7336" t="s">
        <v>69</v>
      </c>
      <c r="P7336" s="3" t="s">
        <v>75</v>
      </c>
      <c r="Q7336">
        <v>2015</v>
      </c>
      <c r="R7336" s="2">
        <v>42256</v>
      </c>
      <c r="S7336" s="2">
        <v>42258</v>
      </c>
      <c r="T7336" s="2">
        <v>42257</v>
      </c>
      <c r="U7336" s="2">
        <v>42317</v>
      </c>
      <c r="V7336" t="s">
        <v>71</v>
      </c>
      <c r="W7336" t="str">
        <f>"          7171219451"</f>
        <v xml:space="preserve">          7171219451</v>
      </c>
      <c r="X7336" s="1">
        <v>1878.8</v>
      </c>
      <c r="Y7336">
        <v>0</v>
      </c>
      <c r="Z7336"/>
      <c r="AB7336"/>
      <c r="AC7336" s="1">
        <v>1540</v>
      </c>
      <c r="AD7336">
        <v>304</v>
      </c>
      <c r="AE7336" s="1">
        <v>468160</v>
      </c>
      <c r="AF7336">
        <v>0</v>
      </c>
      <c r="AJ7336">
        <v>0</v>
      </c>
      <c r="AK7336">
        <v>0</v>
      </c>
      <c r="AL7336">
        <v>0</v>
      </c>
      <c r="AM7336">
        <v>0</v>
      </c>
      <c r="AN7336">
        <v>0</v>
      </c>
      <c r="AO7336">
        <v>0</v>
      </c>
      <c r="AP7336" s="2">
        <v>42746</v>
      </c>
      <c r="AQ7336" t="s">
        <v>72</v>
      </c>
      <c r="AR7336" t="s">
        <v>72</v>
      </c>
      <c r="AS7336">
        <v>2361</v>
      </c>
      <c r="AT7336" s="4">
        <v>42621</v>
      </c>
      <c r="AU7336" t="s">
        <v>73</v>
      </c>
      <c r="AV7336">
        <v>2361</v>
      </c>
      <c r="AW7336" s="4">
        <v>42621</v>
      </c>
      <c r="BD7336">
        <v>0</v>
      </c>
      <c r="BN7336" t="s">
        <v>74</v>
      </c>
    </row>
    <row r="7337" spans="1:66" hidden="1">
      <c r="A7337">
        <v>104195</v>
      </c>
      <c r="B7337" s="3" t="s">
        <v>623</v>
      </c>
      <c r="C7337" s="1">
        <v>43300101</v>
      </c>
      <c r="D7337" t="s">
        <v>67</v>
      </c>
      <c r="H7337" t="str">
        <f t="shared" si="721"/>
        <v>11206730159</v>
      </c>
      <c r="I7337" t="str">
        <f t="shared" si="721"/>
        <v>11206730159</v>
      </c>
      <c r="K7337" t="str">
        <f>""</f>
        <v/>
      </c>
      <c r="M7337" t="s">
        <v>68</v>
      </c>
      <c r="N7337" t="str">
        <f t="shared" si="720"/>
        <v>FOR</v>
      </c>
      <c r="O7337" t="s">
        <v>69</v>
      </c>
      <c r="P7337" s="3" t="s">
        <v>75</v>
      </c>
      <c r="Q7337">
        <v>2015</v>
      </c>
      <c r="R7337" s="2">
        <v>42257</v>
      </c>
      <c r="S7337" s="2">
        <v>42258</v>
      </c>
      <c r="T7337" s="2">
        <v>42257</v>
      </c>
      <c r="U7337" s="2">
        <v>42317</v>
      </c>
      <c r="V7337" t="s">
        <v>71</v>
      </c>
      <c r="W7337" t="str">
        <f>"          7171219843"</f>
        <v xml:space="preserve">          7171219843</v>
      </c>
      <c r="X7337">
        <v>894.4</v>
      </c>
      <c r="Y7337">
        <v>0</v>
      </c>
      <c r="Z7337"/>
      <c r="AB7337"/>
      <c r="AC7337">
        <v>860</v>
      </c>
      <c r="AD7337">
        <v>304</v>
      </c>
      <c r="AE7337" s="1">
        <v>261440</v>
      </c>
      <c r="AF7337">
        <v>0</v>
      </c>
      <c r="AJ7337">
        <v>0</v>
      </c>
      <c r="AK7337">
        <v>0</v>
      </c>
      <c r="AL7337">
        <v>0</v>
      </c>
      <c r="AM7337">
        <v>0</v>
      </c>
      <c r="AN7337">
        <v>0</v>
      </c>
      <c r="AO7337">
        <v>0</v>
      </c>
      <c r="AP7337" s="2">
        <v>42746</v>
      </c>
      <c r="AQ7337" t="s">
        <v>72</v>
      </c>
      <c r="AR7337" t="s">
        <v>72</v>
      </c>
      <c r="AS7337">
        <v>2361</v>
      </c>
      <c r="AT7337" s="4">
        <v>42621</v>
      </c>
      <c r="AU7337" t="s">
        <v>73</v>
      </c>
      <c r="AV7337">
        <v>2361</v>
      </c>
      <c r="AW7337" s="4">
        <v>42621</v>
      </c>
      <c r="BD7337">
        <v>0</v>
      </c>
      <c r="BN7337" t="s">
        <v>74</v>
      </c>
    </row>
    <row r="7338" spans="1:66" hidden="1">
      <c r="A7338">
        <v>104195</v>
      </c>
      <c r="B7338" s="3" t="s">
        <v>623</v>
      </c>
      <c r="C7338" s="1">
        <v>43300101</v>
      </c>
      <c r="D7338" t="s">
        <v>67</v>
      </c>
      <c r="H7338" t="str">
        <f t="shared" si="721"/>
        <v>11206730159</v>
      </c>
      <c r="I7338" t="str">
        <f t="shared" si="721"/>
        <v>11206730159</v>
      </c>
      <c r="K7338" t="str">
        <f>""</f>
        <v/>
      </c>
      <c r="M7338" t="s">
        <v>68</v>
      </c>
      <c r="N7338" t="str">
        <f t="shared" si="720"/>
        <v>FOR</v>
      </c>
      <c r="O7338" t="s">
        <v>69</v>
      </c>
      <c r="P7338" s="3" t="s">
        <v>75</v>
      </c>
      <c r="Q7338">
        <v>2015</v>
      </c>
      <c r="R7338" s="2">
        <v>42257</v>
      </c>
      <c r="S7338" s="2">
        <v>42261</v>
      </c>
      <c r="T7338" s="2">
        <v>42258</v>
      </c>
      <c r="U7338" s="2">
        <v>42318</v>
      </c>
      <c r="V7338" t="s">
        <v>71</v>
      </c>
      <c r="W7338" t="str">
        <f>"          7171219844"</f>
        <v xml:space="preserve">          7171219844</v>
      </c>
      <c r="X7338">
        <v>183</v>
      </c>
      <c r="Y7338">
        <v>0</v>
      </c>
      <c r="Z7338"/>
      <c r="AB7338"/>
      <c r="AC7338">
        <v>150</v>
      </c>
      <c r="AD7338">
        <v>303</v>
      </c>
      <c r="AE7338" s="1">
        <v>45450</v>
      </c>
      <c r="AF7338">
        <v>0</v>
      </c>
      <c r="AJ7338">
        <v>0</v>
      </c>
      <c r="AK7338">
        <v>0</v>
      </c>
      <c r="AL7338">
        <v>0</v>
      </c>
      <c r="AM7338">
        <v>0</v>
      </c>
      <c r="AN7338">
        <v>0</v>
      </c>
      <c r="AO7338">
        <v>0</v>
      </c>
      <c r="AP7338" s="2">
        <v>42746</v>
      </c>
      <c r="AQ7338" t="s">
        <v>72</v>
      </c>
      <c r="AR7338" t="s">
        <v>72</v>
      </c>
      <c r="AS7338">
        <v>2361</v>
      </c>
      <c r="AT7338" s="4">
        <v>42621</v>
      </c>
      <c r="AU7338" t="s">
        <v>73</v>
      </c>
      <c r="AV7338">
        <v>2361</v>
      </c>
      <c r="AW7338" s="4">
        <v>42621</v>
      </c>
      <c r="BD7338">
        <v>0</v>
      </c>
      <c r="BN7338" t="s">
        <v>74</v>
      </c>
    </row>
    <row r="7339" spans="1:66" hidden="1">
      <c r="A7339">
        <v>104195</v>
      </c>
      <c r="B7339" s="3" t="s">
        <v>623</v>
      </c>
      <c r="C7339" s="1">
        <v>43300101</v>
      </c>
      <c r="D7339" t="s">
        <v>67</v>
      </c>
      <c r="H7339" t="str">
        <f t="shared" si="721"/>
        <v>11206730159</v>
      </c>
      <c r="I7339" t="str">
        <f t="shared" si="721"/>
        <v>11206730159</v>
      </c>
      <c r="K7339" t="str">
        <f>""</f>
        <v/>
      </c>
      <c r="M7339" t="s">
        <v>68</v>
      </c>
      <c r="N7339" t="str">
        <f t="shared" si="720"/>
        <v>FOR</v>
      </c>
      <c r="O7339" t="s">
        <v>69</v>
      </c>
      <c r="P7339" s="3" t="s">
        <v>75</v>
      </c>
      <c r="Q7339">
        <v>2015</v>
      </c>
      <c r="R7339" s="2">
        <v>42257</v>
      </c>
      <c r="S7339" s="2">
        <v>42258</v>
      </c>
      <c r="T7339" s="2">
        <v>42257</v>
      </c>
      <c r="U7339" s="2">
        <v>42317</v>
      </c>
      <c r="V7339" t="s">
        <v>71</v>
      </c>
      <c r="W7339" t="str">
        <f>"          7171219845"</f>
        <v xml:space="preserve">          7171219845</v>
      </c>
      <c r="X7339">
        <v>183</v>
      </c>
      <c r="Y7339">
        <v>0</v>
      </c>
      <c r="Z7339"/>
      <c r="AB7339"/>
      <c r="AC7339">
        <v>150</v>
      </c>
      <c r="AD7339">
        <v>304</v>
      </c>
      <c r="AE7339" s="1">
        <v>45600</v>
      </c>
      <c r="AF7339">
        <v>0</v>
      </c>
      <c r="AJ7339">
        <v>0</v>
      </c>
      <c r="AK7339">
        <v>0</v>
      </c>
      <c r="AL7339">
        <v>0</v>
      </c>
      <c r="AM7339">
        <v>0</v>
      </c>
      <c r="AN7339">
        <v>0</v>
      </c>
      <c r="AO7339">
        <v>0</v>
      </c>
      <c r="AP7339" s="2">
        <v>42746</v>
      </c>
      <c r="AQ7339" t="s">
        <v>72</v>
      </c>
      <c r="AR7339" t="s">
        <v>72</v>
      </c>
      <c r="AS7339">
        <v>2361</v>
      </c>
      <c r="AT7339" s="4">
        <v>42621</v>
      </c>
      <c r="AU7339" t="s">
        <v>73</v>
      </c>
      <c r="AV7339">
        <v>2361</v>
      </c>
      <c r="AW7339" s="4">
        <v>42621</v>
      </c>
      <c r="BD7339">
        <v>0</v>
      </c>
      <c r="BN7339" t="s">
        <v>74</v>
      </c>
    </row>
    <row r="7340" spans="1:66" hidden="1">
      <c r="A7340">
        <v>104195</v>
      </c>
      <c r="B7340" s="3" t="s">
        <v>623</v>
      </c>
      <c r="C7340" s="1">
        <v>43300101</v>
      </c>
      <c r="D7340" t="s">
        <v>67</v>
      </c>
      <c r="H7340" t="str">
        <f t="shared" si="721"/>
        <v>11206730159</v>
      </c>
      <c r="I7340" t="str">
        <f t="shared" si="721"/>
        <v>11206730159</v>
      </c>
      <c r="K7340" t="str">
        <f>""</f>
        <v/>
      </c>
      <c r="M7340" t="s">
        <v>68</v>
      </c>
      <c r="N7340" t="str">
        <f t="shared" si="720"/>
        <v>FOR</v>
      </c>
      <c r="O7340" t="s">
        <v>69</v>
      </c>
      <c r="P7340" s="3" t="s">
        <v>75</v>
      </c>
      <c r="Q7340">
        <v>2015</v>
      </c>
      <c r="R7340" s="2">
        <v>42277</v>
      </c>
      <c r="S7340" s="2">
        <v>42282</v>
      </c>
      <c r="T7340" s="2">
        <v>42277</v>
      </c>
      <c r="U7340" s="2">
        <v>42337</v>
      </c>
      <c r="V7340" t="s">
        <v>71</v>
      </c>
      <c r="W7340" t="str">
        <f>"          7171226023"</f>
        <v xml:space="preserve">          7171226023</v>
      </c>
      <c r="X7340">
        <v>894.4</v>
      </c>
      <c r="Y7340">
        <v>0</v>
      </c>
      <c r="Z7340"/>
      <c r="AB7340"/>
      <c r="AC7340">
        <v>860</v>
      </c>
      <c r="AD7340">
        <v>284</v>
      </c>
      <c r="AE7340" s="1">
        <v>244240</v>
      </c>
      <c r="AF7340">
        <v>0</v>
      </c>
      <c r="AJ7340">
        <v>0</v>
      </c>
      <c r="AK7340">
        <v>0</v>
      </c>
      <c r="AL7340">
        <v>0</v>
      </c>
      <c r="AM7340">
        <v>0</v>
      </c>
      <c r="AN7340">
        <v>0</v>
      </c>
      <c r="AO7340">
        <v>0</v>
      </c>
      <c r="AP7340" s="2">
        <v>42746</v>
      </c>
      <c r="AQ7340" t="s">
        <v>72</v>
      </c>
      <c r="AR7340" t="s">
        <v>72</v>
      </c>
      <c r="AS7340">
        <v>2361</v>
      </c>
      <c r="AT7340" s="4">
        <v>42621</v>
      </c>
      <c r="AU7340" t="s">
        <v>73</v>
      </c>
      <c r="AV7340">
        <v>2361</v>
      </c>
      <c r="AW7340" s="4">
        <v>42621</v>
      </c>
      <c r="BD7340">
        <v>0</v>
      </c>
      <c r="BN7340" t="s">
        <v>74</v>
      </c>
    </row>
    <row r="7341" spans="1:66" hidden="1">
      <c r="A7341">
        <v>104195</v>
      </c>
      <c r="B7341" s="3" t="s">
        <v>623</v>
      </c>
      <c r="C7341" s="1">
        <v>43300101</v>
      </c>
      <c r="D7341" t="s">
        <v>67</v>
      </c>
      <c r="H7341" t="str">
        <f t="shared" si="721"/>
        <v>11206730159</v>
      </c>
      <c r="I7341" t="str">
        <f t="shared" si="721"/>
        <v>11206730159</v>
      </c>
      <c r="K7341" t="str">
        <f>""</f>
        <v/>
      </c>
      <c r="M7341" t="s">
        <v>68</v>
      </c>
      <c r="N7341" t="str">
        <f t="shared" si="720"/>
        <v>FOR</v>
      </c>
      <c r="O7341" t="s">
        <v>69</v>
      </c>
      <c r="P7341" s="3" t="s">
        <v>75</v>
      </c>
      <c r="Q7341">
        <v>2015</v>
      </c>
      <c r="R7341" s="2">
        <v>42277</v>
      </c>
      <c r="S7341" s="2">
        <v>42282</v>
      </c>
      <c r="T7341" s="2">
        <v>42277</v>
      </c>
      <c r="U7341" s="2">
        <v>42337</v>
      </c>
      <c r="V7341" t="s">
        <v>71</v>
      </c>
      <c r="W7341" t="str">
        <f>"          7171226024"</f>
        <v xml:space="preserve">          7171226024</v>
      </c>
      <c r="X7341">
        <v>183</v>
      </c>
      <c r="Y7341">
        <v>0</v>
      </c>
      <c r="Z7341"/>
      <c r="AB7341"/>
      <c r="AC7341">
        <v>150</v>
      </c>
      <c r="AD7341">
        <v>284</v>
      </c>
      <c r="AE7341" s="1">
        <v>42600</v>
      </c>
      <c r="AF7341">
        <v>0</v>
      </c>
      <c r="AJ7341">
        <v>0</v>
      </c>
      <c r="AK7341">
        <v>0</v>
      </c>
      <c r="AL7341">
        <v>0</v>
      </c>
      <c r="AM7341">
        <v>0</v>
      </c>
      <c r="AN7341">
        <v>0</v>
      </c>
      <c r="AO7341">
        <v>0</v>
      </c>
      <c r="AP7341" s="2">
        <v>42746</v>
      </c>
      <c r="AQ7341" t="s">
        <v>72</v>
      </c>
      <c r="AR7341" t="s">
        <v>72</v>
      </c>
      <c r="AS7341">
        <v>2361</v>
      </c>
      <c r="AT7341" s="4">
        <v>42621</v>
      </c>
      <c r="AU7341" t="s">
        <v>73</v>
      </c>
      <c r="AV7341">
        <v>2361</v>
      </c>
      <c r="AW7341" s="4">
        <v>42621</v>
      </c>
      <c r="BD7341">
        <v>0</v>
      </c>
      <c r="BN7341" t="s">
        <v>74</v>
      </c>
    </row>
    <row r="7342" spans="1:66">
      <c r="A7342">
        <v>104195</v>
      </c>
      <c r="B7342" s="3" t="s">
        <v>623</v>
      </c>
      <c r="C7342" s="1">
        <v>43300101</v>
      </c>
      <c r="D7342" t="s">
        <v>67</v>
      </c>
      <c r="H7342" t="str">
        <f t="shared" si="721"/>
        <v>11206730159</v>
      </c>
      <c r="I7342" t="str">
        <f t="shared" si="721"/>
        <v>11206730159</v>
      </c>
      <c r="K7342" t="str">
        <f>""</f>
        <v/>
      </c>
      <c r="M7342" t="s">
        <v>68</v>
      </c>
      <c r="N7342" t="str">
        <f t="shared" si="720"/>
        <v>FOR</v>
      </c>
      <c r="O7342" t="s">
        <v>69</v>
      </c>
      <c r="P7342" s="3" t="s">
        <v>75</v>
      </c>
      <c r="Q7342">
        <v>2015</v>
      </c>
      <c r="R7342" s="2">
        <v>42296</v>
      </c>
      <c r="S7342" s="2">
        <v>42298</v>
      </c>
      <c r="T7342" s="2">
        <v>42296</v>
      </c>
      <c r="U7342" s="2">
        <v>42356</v>
      </c>
      <c r="V7342" t="s">
        <v>71</v>
      </c>
      <c r="W7342" t="str">
        <f>"          7171231799"</f>
        <v xml:space="preserve">          7171231799</v>
      </c>
      <c r="X7342">
        <v>894.4</v>
      </c>
      <c r="Y7342">
        <v>0</v>
      </c>
      <c r="Z7342" s="3">
        <v>860</v>
      </c>
      <c r="AA7342">
        <v>292</v>
      </c>
      <c r="AB7342" s="5">
        <v>251120</v>
      </c>
      <c r="AC7342">
        <v>860</v>
      </c>
      <c r="AD7342">
        <v>292</v>
      </c>
      <c r="AE7342" s="1">
        <v>251120</v>
      </c>
      <c r="AF7342">
        <v>0</v>
      </c>
      <c r="AJ7342">
        <v>0</v>
      </c>
      <c r="AK7342">
        <v>0</v>
      </c>
      <c r="AL7342">
        <v>0</v>
      </c>
      <c r="AM7342">
        <v>0</v>
      </c>
      <c r="AN7342">
        <v>0</v>
      </c>
      <c r="AO7342">
        <v>0</v>
      </c>
      <c r="AP7342" s="2">
        <v>42746</v>
      </c>
      <c r="AQ7342" t="s">
        <v>72</v>
      </c>
      <c r="AR7342" t="s">
        <v>72</v>
      </c>
      <c r="AS7342">
        <v>2672</v>
      </c>
      <c r="AT7342" s="4">
        <v>42648</v>
      </c>
      <c r="AU7342" t="s">
        <v>73</v>
      </c>
      <c r="AV7342">
        <v>2672</v>
      </c>
      <c r="AW7342" s="4">
        <v>42648</v>
      </c>
      <c r="BD7342">
        <v>0</v>
      </c>
      <c r="BN7342" t="s">
        <v>74</v>
      </c>
    </row>
    <row r="7343" spans="1:66">
      <c r="A7343">
        <v>104195</v>
      </c>
      <c r="B7343" s="3" t="s">
        <v>623</v>
      </c>
      <c r="C7343" s="1">
        <v>43300101</v>
      </c>
      <c r="D7343" t="s">
        <v>67</v>
      </c>
      <c r="H7343" t="str">
        <f t="shared" si="721"/>
        <v>11206730159</v>
      </c>
      <c r="I7343" t="str">
        <f t="shared" si="721"/>
        <v>11206730159</v>
      </c>
      <c r="K7343" t="str">
        <f>""</f>
        <v/>
      </c>
      <c r="M7343" t="s">
        <v>68</v>
      </c>
      <c r="N7343" t="str">
        <f t="shared" si="720"/>
        <v>FOR</v>
      </c>
      <c r="O7343" t="s">
        <v>69</v>
      </c>
      <c r="P7343" s="3" t="s">
        <v>75</v>
      </c>
      <c r="Q7343">
        <v>2015</v>
      </c>
      <c r="R7343" s="2">
        <v>42296</v>
      </c>
      <c r="S7343" s="2">
        <v>42298</v>
      </c>
      <c r="T7343" s="2">
        <v>42296</v>
      </c>
      <c r="U7343" s="2">
        <v>42356</v>
      </c>
      <c r="V7343" t="s">
        <v>71</v>
      </c>
      <c r="W7343" t="str">
        <f>"          7171231800"</f>
        <v xml:space="preserve">          7171231800</v>
      </c>
      <c r="X7343">
        <v>183</v>
      </c>
      <c r="Y7343">
        <v>0</v>
      </c>
      <c r="Z7343" s="3">
        <v>150</v>
      </c>
      <c r="AA7343">
        <v>292</v>
      </c>
      <c r="AB7343" s="5">
        <v>43800</v>
      </c>
      <c r="AC7343">
        <v>150</v>
      </c>
      <c r="AD7343">
        <v>292</v>
      </c>
      <c r="AE7343" s="1">
        <v>43800</v>
      </c>
      <c r="AF7343">
        <v>0</v>
      </c>
      <c r="AJ7343">
        <v>0</v>
      </c>
      <c r="AK7343">
        <v>0</v>
      </c>
      <c r="AL7343">
        <v>0</v>
      </c>
      <c r="AM7343">
        <v>0</v>
      </c>
      <c r="AN7343">
        <v>0</v>
      </c>
      <c r="AO7343">
        <v>0</v>
      </c>
      <c r="AP7343" s="2">
        <v>42746</v>
      </c>
      <c r="AQ7343" t="s">
        <v>72</v>
      </c>
      <c r="AR7343" t="s">
        <v>72</v>
      </c>
      <c r="AS7343">
        <v>2672</v>
      </c>
      <c r="AT7343" s="4">
        <v>42648</v>
      </c>
      <c r="AU7343" t="s">
        <v>73</v>
      </c>
      <c r="AV7343">
        <v>2672</v>
      </c>
      <c r="AW7343" s="4">
        <v>42648</v>
      </c>
      <c r="BD7343">
        <v>0</v>
      </c>
      <c r="BN7343" t="s">
        <v>74</v>
      </c>
    </row>
    <row r="7344" spans="1:66">
      <c r="A7344">
        <v>104195</v>
      </c>
      <c r="B7344" s="3" t="s">
        <v>623</v>
      </c>
      <c r="C7344" s="1">
        <v>43300101</v>
      </c>
      <c r="D7344" t="s">
        <v>67</v>
      </c>
      <c r="H7344" t="str">
        <f t="shared" si="721"/>
        <v>11206730159</v>
      </c>
      <c r="I7344" t="str">
        <f t="shared" si="721"/>
        <v>11206730159</v>
      </c>
      <c r="K7344" t="str">
        <f>""</f>
        <v/>
      </c>
      <c r="M7344" t="s">
        <v>68</v>
      </c>
      <c r="N7344" t="str">
        <f t="shared" si="720"/>
        <v>FOR</v>
      </c>
      <c r="O7344" t="s">
        <v>69</v>
      </c>
      <c r="P7344" s="3" t="s">
        <v>75</v>
      </c>
      <c r="Q7344">
        <v>2015</v>
      </c>
      <c r="R7344" s="2">
        <v>42296</v>
      </c>
      <c r="S7344" s="2">
        <v>42298</v>
      </c>
      <c r="T7344" s="2">
        <v>42296</v>
      </c>
      <c r="U7344" s="2">
        <v>42356</v>
      </c>
      <c r="V7344" t="s">
        <v>71</v>
      </c>
      <c r="W7344" t="str">
        <f>"          7171231801"</f>
        <v xml:space="preserve">          7171231801</v>
      </c>
      <c r="X7344" s="1">
        <v>1952</v>
      </c>
      <c r="Y7344">
        <v>0</v>
      </c>
      <c r="Z7344" s="5">
        <v>1600</v>
      </c>
      <c r="AA7344">
        <v>292</v>
      </c>
      <c r="AB7344" s="5">
        <v>467200</v>
      </c>
      <c r="AC7344" s="1">
        <v>1600</v>
      </c>
      <c r="AD7344">
        <v>292</v>
      </c>
      <c r="AE7344" s="1">
        <v>467200</v>
      </c>
      <c r="AF7344">
        <v>0</v>
      </c>
      <c r="AJ7344">
        <v>0</v>
      </c>
      <c r="AK7344">
        <v>0</v>
      </c>
      <c r="AL7344">
        <v>0</v>
      </c>
      <c r="AM7344">
        <v>0</v>
      </c>
      <c r="AN7344">
        <v>0</v>
      </c>
      <c r="AO7344">
        <v>0</v>
      </c>
      <c r="AP7344" s="2">
        <v>42746</v>
      </c>
      <c r="AQ7344" t="s">
        <v>72</v>
      </c>
      <c r="AR7344" t="s">
        <v>72</v>
      </c>
      <c r="AS7344">
        <v>2672</v>
      </c>
      <c r="AT7344" s="4">
        <v>42648</v>
      </c>
      <c r="AU7344" t="s">
        <v>73</v>
      </c>
      <c r="AV7344">
        <v>2672</v>
      </c>
      <c r="AW7344" s="4">
        <v>42648</v>
      </c>
      <c r="BD7344">
        <v>0</v>
      </c>
      <c r="BN7344" t="s">
        <v>74</v>
      </c>
    </row>
    <row r="7345" spans="1:66">
      <c r="A7345">
        <v>104195</v>
      </c>
      <c r="B7345" s="3" t="s">
        <v>623</v>
      </c>
      <c r="C7345" s="1">
        <v>43300101</v>
      </c>
      <c r="D7345" t="s">
        <v>67</v>
      </c>
      <c r="H7345" t="str">
        <f t="shared" si="721"/>
        <v>11206730159</v>
      </c>
      <c r="I7345" t="str">
        <f t="shared" si="721"/>
        <v>11206730159</v>
      </c>
      <c r="K7345" t="str">
        <f>""</f>
        <v/>
      </c>
      <c r="M7345" t="s">
        <v>68</v>
      </c>
      <c r="N7345" t="str">
        <f t="shared" si="720"/>
        <v>FOR</v>
      </c>
      <c r="O7345" t="s">
        <v>69</v>
      </c>
      <c r="P7345" s="3" t="s">
        <v>75</v>
      </c>
      <c r="Q7345">
        <v>2015</v>
      </c>
      <c r="R7345" s="2">
        <v>42297</v>
      </c>
      <c r="S7345" s="2">
        <v>42297</v>
      </c>
      <c r="T7345" s="2">
        <v>42297</v>
      </c>
      <c r="U7345" s="2">
        <v>42357</v>
      </c>
      <c r="V7345" t="s">
        <v>71</v>
      </c>
      <c r="W7345" t="str">
        <f>"          7171232278"</f>
        <v xml:space="preserve">          7171232278</v>
      </c>
      <c r="X7345" s="1">
        <v>5099.6000000000004</v>
      </c>
      <c r="Y7345">
        <v>0</v>
      </c>
      <c r="Z7345" s="5">
        <v>4180</v>
      </c>
      <c r="AA7345">
        <v>291</v>
      </c>
      <c r="AB7345" s="5">
        <v>1216380</v>
      </c>
      <c r="AC7345" s="1">
        <v>4180</v>
      </c>
      <c r="AD7345">
        <v>291</v>
      </c>
      <c r="AE7345" s="1">
        <v>1216380</v>
      </c>
      <c r="AF7345">
        <v>0</v>
      </c>
      <c r="AJ7345">
        <v>0</v>
      </c>
      <c r="AK7345">
        <v>0</v>
      </c>
      <c r="AL7345">
        <v>0</v>
      </c>
      <c r="AM7345">
        <v>0</v>
      </c>
      <c r="AN7345">
        <v>0</v>
      </c>
      <c r="AO7345">
        <v>0</v>
      </c>
      <c r="AP7345" s="2">
        <v>42746</v>
      </c>
      <c r="AQ7345" t="s">
        <v>72</v>
      </c>
      <c r="AR7345" t="s">
        <v>72</v>
      </c>
      <c r="AS7345">
        <v>2672</v>
      </c>
      <c r="AT7345" s="4">
        <v>42648</v>
      </c>
      <c r="AU7345" t="s">
        <v>73</v>
      </c>
      <c r="AV7345">
        <v>2672</v>
      </c>
      <c r="AW7345" s="4">
        <v>42648</v>
      </c>
      <c r="BD7345">
        <v>0</v>
      </c>
      <c r="BN7345" t="s">
        <v>74</v>
      </c>
    </row>
    <row r="7346" spans="1:66">
      <c r="A7346">
        <v>104195</v>
      </c>
      <c r="B7346" s="3" t="s">
        <v>623</v>
      </c>
      <c r="C7346" s="1">
        <v>43300101</v>
      </c>
      <c r="D7346" t="s">
        <v>67</v>
      </c>
      <c r="H7346" t="str">
        <f t="shared" si="721"/>
        <v>11206730159</v>
      </c>
      <c r="I7346" t="str">
        <f t="shared" si="721"/>
        <v>11206730159</v>
      </c>
      <c r="K7346" t="str">
        <f>""</f>
        <v/>
      </c>
      <c r="M7346" t="s">
        <v>68</v>
      </c>
      <c r="N7346" t="str">
        <f t="shared" si="720"/>
        <v>FOR</v>
      </c>
      <c r="O7346" t="s">
        <v>69</v>
      </c>
      <c r="P7346" s="3" t="s">
        <v>75</v>
      </c>
      <c r="Q7346">
        <v>2015</v>
      </c>
      <c r="R7346" s="2">
        <v>42318</v>
      </c>
      <c r="S7346" s="2">
        <v>42326</v>
      </c>
      <c r="T7346" s="2">
        <v>42325</v>
      </c>
      <c r="U7346" s="2">
        <v>42385</v>
      </c>
      <c r="V7346" t="s">
        <v>71</v>
      </c>
      <c r="W7346" t="str">
        <f>"          7171239167"</f>
        <v xml:space="preserve">          7171239167</v>
      </c>
      <c r="X7346">
        <v>884</v>
      </c>
      <c r="Y7346">
        <v>0</v>
      </c>
      <c r="Z7346" s="3">
        <v>850</v>
      </c>
      <c r="AA7346">
        <v>263</v>
      </c>
      <c r="AB7346" s="5">
        <v>223550</v>
      </c>
      <c r="AC7346">
        <v>850</v>
      </c>
      <c r="AD7346">
        <v>263</v>
      </c>
      <c r="AE7346" s="1">
        <v>223550</v>
      </c>
      <c r="AF7346">
        <v>0</v>
      </c>
      <c r="AJ7346">
        <v>0</v>
      </c>
      <c r="AK7346">
        <v>0</v>
      </c>
      <c r="AL7346">
        <v>0</v>
      </c>
      <c r="AM7346">
        <v>0</v>
      </c>
      <c r="AN7346">
        <v>0</v>
      </c>
      <c r="AO7346">
        <v>0</v>
      </c>
      <c r="AP7346" s="2">
        <v>42746</v>
      </c>
      <c r="AQ7346" t="s">
        <v>72</v>
      </c>
      <c r="AR7346" t="s">
        <v>72</v>
      </c>
      <c r="AS7346">
        <v>2672</v>
      </c>
      <c r="AT7346" s="4">
        <v>42648</v>
      </c>
      <c r="AU7346" t="s">
        <v>73</v>
      </c>
      <c r="AV7346">
        <v>2672</v>
      </c>
      <c r="AW7346" s="4">
        <v>42648</v>
      </c>
      <c r="BD7346">
        <v>0</v>
      </c>
      <c r="BN7346" t="s">
        <v>74</v>
      </c>
    </row>
    <row r="7347" spans="1:66">
      <c r="A7347">
        <v>104195</v>
      </c>
      <c r="B7347" s="3" t="s">
        <v>623</v>
      </c>
      <c r="C7347" s="1">
        <v>43300101</v>
      </c>
      <c r="D7347" t="s">
        <v>67</v>
      </c>
      <c r="H7347" t="str">
        <f t="shared" si="721"/>
        <v>11206730159</v>
      </c>
      <c r="I7347" t="str">
        <f t="shared" si="721"/>
        <v>11206730159</v>
      </c>
      <c r="K7347" t="str">
        <f>""</f>
        <v/>
      </c>
      <c r="M7347" t="s">
        <v>68</v>
      </c>
      <c r="N7347" t="str">
        <f t="shared" si="720"/>
        <v>FOR</v>
      </c>
      <c r="O7347" t="s">
        <v>69</v>
      </c>
      <c r="P7347" s="3" t="s">
        <v>75</v>
      </c>
      <c r="Q7347">
        <v>2015</v>
      </c>
      <c r="R7347" s="2">
        <v>42356</v>
      </c>
      <c r="S7347" s="2">
        <v>42359</v>
      </c>
      <c r="T7347" s="2">
        <v>42356</v>
      </c>
      <c r="U7347" s="2">
        <v>42416</v>
      </c>
      <c r="V7347" t="s">
        <v>71</v>
      </c>
      <c r="W7347" t="str">
        <f>"          7171251950"</f>
        <v xml:space="preserve">          7171251950</v>
      </c>
      <c r="X7347" s="1">
        <v>3757.6</v>
      </c>
      <c r="Y7347">
        <v>0</v>
      </c>
      <c r="Z7347" s="5">
        <v>3080</v>
      </c>
      <c r="AA7347">
        <v>274</v>
      </c>
      <c r="AB7347" s="5">
        <v>843920</v>
      </c>
      <c r="AC7347" s="1">
        <v>3080</v>
      </c>
      <c r="AD7347">
        <v>274</v>
      </c>
      <c r="AE7347" s="1">
        <v>843920</v>
      </c>
      <c r="AF7347">
        <v>0</v>
      </c>
      <c r="AJ7347">
        <v>0</v>
      </c>
      <c r="AK7347">
        <v>0</v>
      </c>
      <c r="AL7347">
        <v>0</v>
      </c>
      <c r="AM7347">
        <v>0</v>
      </c>
      <c r="AN7347">
        <v>0</v>
      </c>
      <c r="AO7347">
        <v>0</v>
      </c>
      <c r="AP7347" s="2">
        <v>42746</v>
      </c>
      <c r="AQ7347" t="s">
        <v>72</v>
      </c>
      <c r="AR7347" t="s">
        <v>72</v>
      </c>
      <c r="AS7347">
        <v>3123</v>
      </c>
      <c r="AT7347" s="4">
        <v>42690</v>
      </c>
      <c r="AU7347" t="s">
        <v>73</v>
      </c>
      <c r="AV7347">
        <v>3123</v>
      </c>
      <c r="AW7347" s="4">
        <v>42690</v>
      </c>
      <c r="BD7347">
        <v>0</v>
      </c>
      <c r="BN7347" t="s">
        <v>74</v>
      </c>
    </row>
    <row r="7348" spans="1:66">
      <c r="A7348">
        <v>104195</v>
      </c>
      <c r="B7348" s="3" t="s">
        <v>623</v>
      </c>
      <c r="C7348" s="1">
        <v>43300101</v>
      </c>
      <c r="D7348" t="s">
        <v>67</v>
      </c>
      <c r="H7348" t="str">
        <f t="shared" si="721"/>
        <v>11206730159</v>
      </c>
      <c r="I7348" t="str">
        <f t="shared" si="721"/>
        <v>11206730159</v>
      </c>
      <c r="K7348" t="str">
        <f>""</f>
        <v/>
      </c>
      <c r="M7348" t="s">
        <v>68</v>
      </c>
      <c r="N7348" t="str">
        <f t="shared" si="720"/>
        <v>FOR</v>
      </c>
      <c r="O7348" t="s">
        <v>69</v>
      </c>
      <c r="P7348" s="3" t="s">
        <v>75</v>
      </c>
      <c r="Q7348">
        <v>2015</v>
      </c>
      <c r="R7348" s="2">
        <v>42367</v>
      </c>
      <c r="S7348" s="2">
        <v>42368</v>
      </c>
      <c r="T7348" s="2">
        <v>42367</v>
      </c>
      <c r="U7348" s="2">
        <v>42427</v>
      </c>
      <c r="V7348" t="s">
        <v>71</v>
      </c>
      <c r="W7348" t="str">
        <f>"          7171254413"</f>
        <v xml:space="preserve">          7171254413</v>
      </c>
      <c r="X7348" s="1">
        <v>5368</v>
      </c>
      <c r="Y7348">
        <v>0</v>
      </c>
      <c r="Z7348" s="5">
        <v>4400</v>
      </c>
      <c r="AA7348">
        <v>263</v>
      </c>
      <c r="AB7348" s="5">
        <v>1157200</v>
      </c>
      <c r="AC7348" s="1">
        <v>4400</v>
      </c>
      <c r="AD7348">
        <v>263</v>
      </c>
      <c r="AE7348" s="1">
        <v>1157200</v>
      </c>
      <c r="AF7348">
        <v>0</v>
      </c>
      <c r="AJ7348">
        <v>0</v>
      </c>
      <c r="AK7348">
        <v>0</v>
      </c>
      <c r="AL7348">
        <v>0</v>
      </c>
      <c r="AM7348">
        <v>0</v>
      </c>
      <c r="AN7348">
        <v>0</v>
      </c>
      <c r="AO7348">
        <v>0</v>
      </c>
      <c r="AP7348" s="2">
        <v>42746</v>
      </c>
      <c r="AQ7348" t="s">
        <v>72</v>
      </c>
      <c r="AR7348" t="s">
        <v>72</v>
      </c>
      <c r="AS7348">
        <v>3123</v>
      </c>
      <c r="AT7348" s="4">
        <v>42690</v>
      </c>
      <c r="AU7348" t="s">
        <v>73</v>
      </c>
      <c r="AV7348">
        <v>3123</v>
      </c>
      <c r="AW7348" s="4">
        <v>42690</v>
      </c>
      <c r="BD7348">
        <v>0</v>
      </c>
      <c r="BN7348" t="s">
        <v>74</v>
      </c>
    </row>
    <row r="7349" spans="1:66">
      <c r="A7349">
        <v>104195</v>
      </c>
      <c r="B7349" s="3" t="s">
        <v>623</v>
      </c>
      <c r="C7349" s="1">
        <v>43300101</v>
      </c>
      <c r="D7349" t="s">
        <v>67</v>
      </c>
      <c r="H7349" t="str">
        <f t="shared" si="721"/>
        <v>11206730159</v>
      </c>
      <c r="I7349" t="str">
        <f t="shared" si="721"/>
        <v>11206730159</v>
      </c>
      <c r="K7349" t="str">
        <f>""</f>
        <v/>
      </c>
      <c r="M7349" t="s">
        <v>68</v>
      </c>
      <c r="N7349" t="str">
        <f t="shared" si="720"/>
        <v>FOR</v>
      </c>
      <c r="O7349" t="s">
        <v>69</v>
      </c>
      <c r="P7349" s="3" t="s">
        <v>75</v>
      </c>
      <c r="Q7349">
        <v>2016</v>
      </c>
      <c r="R7349" s="2">
        <v>42388</v>
      </c>
      <c r="S7349" s="2">
        <v>42389</v>
      </c>
      <c r="T7349" s="2">
        <v>42388</v>
      </c>
      <c r="U7349" s="2">
        <v>42448</v>
      </c>
      <c r="V7349" t="s">
        <v>71</v>
      </c>
      <c r="W7349" t="str">
        <f>"          7171259302"</f>
        <v xml:space="preserve">          7171259302</v>
      </c>
      <c r="X7349">
        <v>183</v>
      </c>
      <c r="Y7349">
        <v>0</v>
      </c>
      <c r="Z7349" s="3">
        <v>150</v>
      </c>
      <c r="AA7349">
        <v>242</v>
      </c>
      <c r="AB7349" s="5">
        <v>36300</v>
      </c>
      <c r="AC7349">
        <v>150</v>
      </c>
      <c r="AD7349">
        <v>242</v>
      </c>
      <c r="AE7349" s="1">
        <v>36300</v>
      </c>
      <c r="AF7349">
        <v>0</v>
      </c>
      <c r="AJ7349">
        <v>0</v>
      </c>
      <c r="AK7349">
        <v>0</v>
      </c>
      <c r="AL7349">
        <v>0</v>
      </c>
      <c r="AM7349">
        <v>183</v>
      </c>
      <c r="AN7349">
        <v>183</v>
      </c>
      <c r="AO7349">
        <v>183</v>
      </c>
      <c r="AP7349" s="2">
        <v>42746</v>
      </c>
      <c r="AQ7349" t="s">
        <v>72</v>
      </c>
      <c r="AR7349" t="s">
        <v>72</v>
      </c>
      <c r="AS7349">
        <v>3123</v>
      </c>
      <c r="AT7349" s="4">
        <v>42690</v>
      </c>
      <c r="AU7349" t="s">
        <v>73</v>
      </c>
      <c r="AV7349">
        <v>3123</v>
      </c>
      <c r="AW7349" s="4">
        <v>42690</v>
      </c>
      <c r="BD7349">
        <v>0</v>
      </c>
      <c r="BN7349" t="s">
        <v>74</v>
      </c>
    </row>
    <row r="7350" spans="1:66">
      <c r="A7350">
        <v>104195</v>
      </c>
      <c r="B7350" s="3" t="s">
        <v>623</v>
      </c>
      <c r="C7350" s="1">
        <v>43300101</v>
      </c>
      <c r="D7350" t="s">
        <v>67</v>
      </c>
      <c r="H7350" t="str">
        <f t="shared" ref="H7350:I7361" si="722">"11206730159"</f>
        <v>11206730159</v>
      </c>
      <c r="I7350" t="str">
        <f t="shared" si="722"/>
        <v>11206730159</v>
      </c>
      <c r="K7350" t="str">
        <f>""</f>
        <v/>
      </c>
      <c r="M7350" t="s">
        <v>68</v>
      </c>
      <c r="N7350" t="str">
        <f t="shared" si="720"/>
        <v>FOR</v>
      </c>
      <c r="O7350" t="s">
        <v>69</v>
      </c>
      <c r="P7350" s="3" t="s">
        <v>75</v>
      </c>
      <c r="Q7350">
        <v>2016</v>
      </c>
      <c r="R7350" s="2">
        <v>42388</v>
      </c>
      <c r="S7350" s="2">
        <v>42389</v>
      </c>
      <c r="T7350" s="2">
        <v>42388</v>
      </c>
      <c r="U7350" s="2">
        <v>42448</v>
      </c>
      <c r="V7350" t="s">
        <v>71</v>
      </c>
      <c r="W7350" t="str">
        <f>"          7171259303"</f>
        <v xml:space="preserve">          7171259303</v>
      </c>
      <c r="X7350">
        <v>894.4</v>
      </c>
      <c r="Y7350">
        <v>0</v>
      </c>
      <c r="Z7350" s="3">
        <v>860</v>
      </c>
      <c r="AA7350">
        <v>242</v>
      </c>
      <c r="AB7350" s="5">
        <v>208120</v>
      </c>
      <c r="AC7350">
        <v>860</v>
      </c>
      <c r="AD7350">
        <v>242</v>
      </c>
      <c r="AE7350" s="1">
        <v>208120</v>
      </c>
      <c r="AF7350">
        <v>0</v>
      </c>
      <c r="AJ7350">
        <v>0</v>
      </c>
      <c r="AK7350">
        <v>0</v>
      </c>
      <c r="AL7350">
        <v>0</v>
      </c>
      <c r="AM7350">
        <v>894.4</v>
      </c>
      <c r="AN7350">
        <v>894.4</v>
      </c>
      <c r="AO7350">
        <v>894.4</v>
      </c>
      <c r="AP7350" s="2">
        <v>42746</v>
      </c>
      <c r="AQ7350" t="s">
        <v>72</v>
      </c>
      <c r="AR7350" t="s">
        <v>72</v>
      </c>
      <c r="AS7350">
        <v>3123</v>
      </c>
      <c r="AT7350" s="4">
        <v>42690</v>
      </c>
      <c r="AU7350" t="s">
        <v>73</v>
      </c>
      <c r="AV7350">
        <v>3123</v>
      </c>
      <c r="AW7350" s="4">
        <v>42690</v>
      </c>
      <c r="BD7350">
        <v>0</v>
      </c>
      <c r="BN7350" t="s">
        <v>74</v>
      </c>
    </row>
    <row r="7351" spans="1:66">
      <c r="A7351">
        <v>104195</v>
      </c>
      <c r="B7351" s="3" t="s">
        <v>623</v>
      </c>
      <c r="C7351" s="1">
        <v>43300101</v>
      </c>
      <c r="D7351" t="s">
        <v>67</v>
      </c>
      <c r="H7351" t="str">
        <f t="shared" si="722"/>
        <v>11206730159</v>
      </c>
      <c r="I7351" t="str">
        <f t="shared" si="722"/>
        <v>11206730159</v>
      </c>
      <c r="K7351" t="str">
        <f>""</f>
        <v/>
      </c>
      <c r="M7351" t="s">
        <v>68</v>
      </c>
      <c r="N7351" t="str">
        <f t="shared" si="720"/>
        <v>FOR</v>
      </c>
      <c r="O7351" t="s">
        <v>69</v>
      </c>
      <c r="P7351" s="3" t="s">
        <v>75</v>
      </c>
      <c r="Q7351">
        <v>2016</v>
      </c>
      <c r="R7351" s="2">
        <v>42388</v>
      </c>
      <c r="S7351" s="2">
        <v>42389</v>
      </c>
      <c r="T7351" s="2">
        <v>42388</v>
      </c>
      <c r="U7351" s="2">
        <v>42448</v>
      </c>
      <c r="V7351" t="s">
        <v>71</v>
      </c>
      <c r="W7351" t="str">
        <f>"          7171259304"</f>
        <v xml:space="preserve">          7171259304</v>
      </c>
      <c r="X7351">
        <v>183</v>
      </c>
      <c r="Y7351">
        <v>0</v>
      </c>
      <c r="Z7351" s="3">
        <v>150</v>
      </c>
      <c r="AA7351">
        <v>242</v>
      </c>
      <c r="AB7351" s="5">
        <v>36300</v>
      </c>
      <c r="AC7351">
        <v>150</v>
      </c>
      <c r="AD7351">
        <v>242</v>
      </c>
      <c r="AE7351" s="1">
        <v>36300</v>
      </c>
      <c r="AF7351">
        <v>0</v>
      </c>
      <c r="AJ7351">
        <v>0</v>
      </c>
      <c r="AK7351">
        <v>0</v>
      </c>
      <c r="AL7351">
        <v>0</v>
      </c>
      <c r="AM7351">
        <v>183</v>
      </c>
      <c r="AN7351">
        <v>183</v>
      </c>
      <c r="AO7351">
        <v>183</v>
      </c>
      <c r="AP7351" s="2">
        <v>42746</v>
      </c>
      <c r="AQ7351" t="s">
        <v>72</v>
      </c>
      <c r="AR7351" t="s">
        <v>72</v>
      </c>
      <c r="AS7351">
        <v>3123</v>
      </c>
      <c r="AT7351" s="4">
        <v>42690</v>
      </c>
      <c r="AU7351" t="s">
        <v>73</v>
      </c>
      <c r="AV7351">
        <v>3123</v>
      </c>
      <c r="AW7351" s="4">
        <v>42690</v>
      </c>
      <c r="BD7351">
        <v>0</v>
      </c>
      <c r="BN7351" t="s">
        <v>74</v>
      </c>
    </row>
    <row r="7352" spans="1:66">
      <c r="A7352">
        <v>104195</v>
      </c>
      <c r="B7352" s="3" t="s">
        <v>623</v>
      </c>
      <c r="C7352" s="1">
        <v>43300101</v>
      </c>
      <c r="D7352" t="s">
        <v>67</v>
      </c>
      <c r="H7352" t="str">
        <f t="shared" si="722"/>
        <v>11206730159</v>
      </c>
      <c r="I7352" t="str">
        <f t="shared" si="722"/>
        <v>11206730159</v>
      </c>
      <c r="K7352" t="str">
        <f>""</f>
        <v/>
      </c>
      <c r="M7352" t="s">
        <v>68</v>
      </c>
      <c r="N7352" t="str">
        <f t="shared" si="720"/>
        <v>FOR</v>
      </c>
      <c r="O7352" t="s">
        <v>69</v>
      </c>
      <c r="P7352" s="3" t="s">
        <v>75</v>
      </c>
      <c r="Q7352">
        <v>2016</v>
      </c>
      <c r="R7352" s="2">
        <v>42388</v>
      </c>
      <c r="S7352" s="2">
        <v>42389</v>
      </c>
      <c r="T7352" s="2">
        <v>42388</v>
      </c>
      <c r="U7352" s="2">
        <v>42448</v>
      </c>
      <c r="V7352" t="s">
        <v>71</v>
      </c>
      <c r="W7352" t="str">
        <f>"          7171259305"</f>
        <v xml:space="preserve">          7171259305</v>
      </c>
      <c r="X7352">
        <v>183</v>
      </c>
      <c r="Y7352">
        <v>0</v>
      </c>
      <c r="Z7352" s="3">
        <v>150</v>
      </c>
      <c r="AA7352">
        <v>242</v>
      </c>
      <c r="AB7352" s="5">
        <v>36300</v>
      </c>
      <c r="AC7352">
        <v>150</v>
      </c>
      <c r="AD7352">
        <v>242</v>
      </c>
      <c r="AE7352" s="1">
        <v>36300</v>
      </c>
      <c r="AF7352">
        <v>0</v>
      </c>
      <c r="AJ7352">
        <v>0</v>
      </c>
      <c r="AK7352">
        <v>0</v>
      </c>
      <c r="AL7352">
        <v>0</v>
      </c>
      <c r="AM7352">
        <v>183</v>
      </c>
      <c r="AN7352">
        <v>183</v>
      </c>
      <c r="AO7352">
        <v>183</v>
      </c>
      <c r="AP7352" s="2">
        <v>42746</v>
      </c>
      <c r="AQ7352" t="s">
        <v>72</v>
      </c>
      <c r="AR7352" t="s">
        <v>72</v>
      </c>
      <c r="AS7352">
        <v>3123</v>
      </c>
      <c r="AT7352" s="4">
        <v>42690</v>
      </c>
      <c r="AU7352" t="s">
        <v>73</v>
      </c>
      <c r="AV7352">
        <v>3123</v>
      </c>
      <c r="AW7352" s="4">
        <v>42690</v>
      </c>
      <c r="BD7352">
        <v>0</v>
      </c>
      <c r="BN7352" t="s">
        <v>74</v>
      </c>
    </row>
    <row r="7353" spans="1:66">
      <c r="A7353">
        <v>104195</v>
      </c>
      <c r="B7353" s="3" t="s">
        <v>623</v>
      </c>
      <c r="C7353" s="1">
        <v>43300101</v>
      </c>
      <c r="D7353" t="s">
        <v>67</v>
      </c>
      <c r="H7353" t="str">
        <f t="shared" si="722"/>
        <v>11206730159</v>
      </c>
      <c r="I7353" t="str">
        <f t="shared" si="722"/>
        <v>11206730159</v>
      </c>
      <c r="K7353" t="str">
        <f>""</f>
        <v/>
      </c>
      <c r="M7353" t="s">
        <v>68</v>
      </c>
      <c r="N7353" t="str">
        <f t="shared" si="720"/>
        <v>FOR</v>
      </c>
      <c r="O7353" t="s">
        <v>69</v>
      </c>
      <c r="P7353" s="3" t="s">
        <v>75</v>
      </c>
      <c r="Q7353">
        <v>2016</v>
      </c>
      <c r="R7353" s="2">
        <v>42397</v>
      </c>
      <c r="S7353" s="2">
        <v>42401</v>
      </c>
      <c r="T7353" s="2">
        <v>42397</v>
      </c>
      <c r="U7353" s="2">
        <v>42457</v>
      </c>
      <c r="V7353" t="s">
        <v>71</v>
      </c>
      <c r="W7353" t="str">
        <f>"          7171262613"</f>
        <v xml:space="preserve">          7171262613</v>
      </c>
      <c r="X7353">
        <v>894.4</v>
      </c>
      <c r="Y7353">
        <v>0</v>
      </c>
      <c r="Z7353" s="3">
        <v>860</v>
      </c>
      <c r="AA7353">
        <v>261</v>
      </c>
      <c r="AB7353" s="5">
        <v>224460</v>
      </c>
      <c r="AC7353">
        <v>860</v>
      </c>
      <c r="AD7353">
        <v>261</v>
      </c>
      <c r="AE7353" s="1">
        <v>224460</v>
      </c>
      <c r="AF7353">
        <v>34.4</v>
      </c>
      <c r="AJ7353">
        <v>0</v>
      </c>
      <c r="AK7353">
        <v>0</v>
      </c>
      <c r="AL7353">
        <v>0</v>
      </c>
      <c r="AM7353">
        <v>894.4</v>
      </c>
      <c r="AN7353">
        <v>894.4</v>
      </c>
      <c r="AO7353">
        <v>894.4</v>
      </c>
      <c r="AP7353" s="2">
        <v>42746</v>
      </c>
      <c r="AQ7353" t="s">
        <v>72</v>
      </c>
      <c r="AR7353" t="s">
        <v>72</v>
      </c>
      <c r="AS7353">
        <v>3455</v>
      </c>
      <c r="AT7353" s="4">
        <v>42718</v>
      </c>
      <c r="AU7353" t="s">
        <v>73</v>
      </c>
      <c r="AV7353">
        <v>3455</v>
      </c>
      <c r="AW7353" s="4">
        <v>42718</v>
      </c>
      <c r="BD7353">
        <v>34.4</v>
      </c>
      <c r="BN7353" t="s">
        <v>74</v>
      </c>
    </row>
    <row r="7354" spans="1:66">
      <c r="A7354">
        <v>104195</v>
      </c>
      <c r="B7354" s="3" t="s">
        <v>623</v>
      </c>
      <c r="C7354" s="1">
        <v>43300101</v>
      </c>
      <c r="D7354" t="s">
        <v>67</v>
      </c>
      <c r="H7354" t="str">
        <f t="shared" si="722"/>
        <v>11206730159</v>
      </c>
      <c r="I7354" t="str">
        <f t="shared" si="722"/>
        <v>11206730159</v>
      </c>
      <c r="K7354" t="str">
        <f>""</f>
        <v/>
      </c>
      <c r="M7354" t="s">
        <v>68</v>
      </c>
      <c r="N7354" t="str">
        <f t="shared" ref="N7354:N7385" si="723">"FOR"</f>
        <v>FOR</v>
      </c>
      <c r="O7354" t="s">
        <v>69</v>
      </c>
      <c r="P7354" s="3" t="s">
        <v>75</v>
      </c>
      <c r="Q7354">
        <v>2016</v>
      </c>
      <c r="R7354" s="2">
        <v>42397</v>
      </c>
      <c r="S7354" s="2">
        <v>42401</v>
      </c>
      <c r="T7354" s="2">
        <v>42397</v>
      </c>
      <c r="U7354" s="2">
        <v>42457</v>
      </c>
      <c r="V7354" t="s">
        <v>71</v>
      </c>
      <c r="W7354" t="str">
        <f>"          7171262614"</f>
        <v xml:space="preserve">          7171262614</v>
      </c>
      <c r="X7354">
        <v>183</v>
      </c>
      <c r="Y7354">
        <v>0</v>
      </c>
      <c r="Z7354" s="3">
        <v>150</v>
      </c>
      <c r="AA7354">
        <v>233</v>
      </c>
      <c r="AB7354" s="5">
        <v>34950</v>
      </c>
      <c r="AC7354">
        <v>150</v>
      </c>
      <c r="AD7354">
        <v>233</v>
      </c>
      <c r="AE7354" s="1">
        <v>34950</v>
      </c>
      <c r="AF7354">
        <v>0</v>
      </c>
      <c r="AJ7354">
        <v>0</v>
      </c>
      <c r="AK7354">
        <v>0</v>
      </c>
      <c r="AL7354">
        <v>0</v>
      </c>
      <c r="AM7354">
        <v>183</v>
      </c>
      <c r="AN7354">
        <v>183</v>
      </c>
      <c r="AO7354">
        <v>183</v>
      </c>
      <c r="AP7354" s="2">
        <v>42746</v>
      </c>
      <c r="AQ7354" t="s">
        <v>72</v>
      </c>
      <c r="AR7354" t="s">
        <v>72</v>
      </c>
      <c r="AS7354">
        <v>3123</v>
      </c>
      <c r="AT7354" s="4">
        <v>42690</v>
      </c>
      <c r="AU7354" t="s">
        <v>73</v>
      </c>
      <c r="AV7354">
        <v>3123</v>
      </c>
      <c r="AW7354" s="4">
        <v>42690</v>
      </c>
      <c r="BD7354">
        <v>0</v>
      </c>
      <c r="BN7354" t="s">
        <v>74</v>
      </c>
    </row>
    <row r="7355" spans="1:66">
      <c r="A7355">
        <v>104195</v>
      </c>
      <c r="B7355" s="3" t="s">
        <v>623</v>
      </c>
      <c r="C7355" s="1">
        <v>43300101</v>
      </c>
      <c r="D7355" t="s">
        <v>67</v>
      </c>
      <c r="H7355" t="str">
        <f t="shared" si="722"/>
        <v>11206730159</v>
      </c>
      <c r="I7355" t="str">
        <f t="shared" si="722"/>
        <v>11206730159</v>
      </c>
      <c r="K7355" t="str">
        <f>""</f>
        <v/>
      </c>
      <c r="M7355" t="s">
        <v>68</v>
      </c>
      <c r="N7355" t="str">
        <f t="shared" si="723"/>
        <v>FOR</v>
      </c>
      <c r="O7355" t="s">
        <v>69</v>
      </c>
      <c r="P7355" s="3" t="s">
        <v>75</v>
      </c>
      <c r="Q7355">
        <v>2016</v>
      </c>
      <c r="R7355" s="2">
        <v>42397</v>
      </c>
      <c r="S7355" s="2">
        <v>42401</v>
      </c>
      <c r="T7355" s="2">
        <v>42397</v>
      </c>
      <c r="U7355" s="2">
        <v>42457</v>
      </c>
      <c r="V7355" t="s">
        <v>71</v>
      </c>
      <c r="W7355" t="str">
        <f>"          7171262615"</f>
        <v xml:space="preserve">          7171262615</v>
      </c>
      <c r="X7355">
        <v>884</v>
      </c>
      <c r="Y7355">
        <v>0</v>
      </c>
      <c r="Z7355" s="3">
        <v>850</v>
      </c>
      <c r="AA7355">
        <v>233</v>
      </c>
      <c r="AB7355" s="5">
        <v>198050</v>
      </c>
      <c r="AC7355">
        <v>850</v>
      </c>
      <c r="AD7355">
        <v>233</v>
      </c>
      <c r="AE7355" s="1">
        <v>198050</v>
      </c>
      <c r="AF7355">
        <v>0</v>
      </c>
      <c r="AJ7355">
        <v>0</v>
      </c>
      <c r="AK7355">
        <v>0</v>
      </c>
      <c r="AL7355">
        <v>0</v>
      </c>
      <c r="AM7355">
        <v>0</v>
      </c>
      <c r="AN7355">
        <v>884</v>
      </c>
      <c r="AO7355">
        <v>884</v>
      </c>
      <c r="AP7355" s="2">
        <v>42746</v>
      </c>
      <c r="AQ7355" t="s">
        <v>72</v>
      </c>
      <c r="AR7355" t="s">
        <v>72</v>
      </c>
      <c r="AS7355">
        <v>3123</v>
      </c>
      <c r="AT7355" s="4">
        <v>42690</v>
      </c>
      <c r="AU7355" t="s">
        <v>73</v>
      </c>
      <c r="AV7355">
        <v>3123</v>
      </c>
      <c r="AW7355" s="4">
        <v>42690</v>
      </c>
      <c r="BD7355">
        <v>0</v>
      </c>
      <c r="BN7355" t="s">
        <v>74</v>
      </c>
    </row>
    <row r="7356" spans="1:66">
      <c r="A7356">
        <v>104195</v>
      </c>
      <c r="B7356" s="3" t="s">
        <v>623</v>
      </c>
      <c r="C7356" s="1">
        <v>43300101</v>
      </c>
      <c r="D7356" t="s">
        <v>67</v>
      </c>
      <c r="H7356" t="str">
        <f t="shared" si="722"/>
        <v>11206730159</v>
      </c>
      <c r="I7356" t="str">
        <f t="shared" si="722"/>
        <v>11206730159</v>
      </c>
      <c r="K7356" t="str">
        <f>""</f>
        <v/>
      </c>
      <c r="M7356" t="s">
        <v>68</v>
      </c>
      <c r="N7356" t="str">
        <f t="shared" si="723"/>
        <v>FOR</v>
      </c>
      <c r="O7356" t="s">
        <v>69</v>
      </c>
      <c r="P7356" s="3" t="s">
        <v>75</v>
      </c>
      <c r="Q7356">
        <v>2016</v>
      </c>
      <c r="R7356" s="2">
        <v>42405</v>
      </c>
      <c r="S7356" s="2">
        <v>42410</v>
      </c>
      <c r="T7356" s="2">
        <v>42405</v>
      </c>
      <c r="U7356" s="2">
        <v>42465</v>
      </c>
      <c r="V7356" t="s">
        <v>71</v>
      </c>
      <c r="W7356" t="str">
        <f>"          7171265720"</f>
        <v xml:space="preserve">          7171265720</v>
      </c>
      <c r="X7356">
        <v>884</v>
      </c>
      <c r="Y7356">
        <v>0</v>
      </c>
      <c r="Z7356" s="3">
        <v>850</v>
      </c>
      <c r="AA7356">
        <v>253</v>
      </c>
      <c r="AB7356" s="5">
        <v>215050</v>
      </c>
      <c r="AC7356">
        <v>850</v>
      </c>
      <c r="AD7356">
        <v>253</v>
      </c>
      <c r="AE7356" s="1">
        <v>215050</v>
      </c>
      <c r="AF7356">
        <v>34</v>
      </c>
      <c r="AJ7356">
        <v>0</v>
      </c>
      <c r="AK7356">
        <v>0</v>
      </c>
      <c r="AL7356">
        <v>0</v>
      </c>
      <c r="AM7356">
        <v>884</v>
      </c>
      <c r="AN7356">
        <v>884</v>
      </c>
      <c r="AO7356">
        <v>884</v>
      </c>
      <c r="AP7356" s="2">
        <v>42746</v>
      </c>
      <c r="AQ7356" t="s">
        <v>72</v>
      </c>
      <c r="AR7356" t="s">
        <v>72</v>
      </c>
      <c r="AS7356">
        <v>3455</v>
      </c>
      <c r="AT7356" s="4">
        <v>42718</v>
      </c>
      <c r="AU7356" t="s">
        <v>73</v>
      </c>
      <c r="AV7356">
        <v>3455</v>
      </c>
      <c r="AW7356" s="4">
        <v>42718</v>
      </c>
      <c r="BD7356">
        <v>34</v>
      </c>
      <c r="BN7356" t="s">
        <v>74</v>
      </c>
    </row>
    <row r="7357" spans="1:66">
      <c r="A7357">
        <v>104195</v>
      </c>
      <c r="B7357" s="3" t="s">
        <v>623</v>
      </c>
      <c r="C7357" s="1">
        <v>43300101</v>
      </c>
      <c r="D7357" t="s">
        <v>67</v>
      </c>
      <c r="H7357" t="str">
        <f t="shared" si="722"/>
        <v>11206730159</v>
      </c>
      <c r="I7357" t="str">
        <f t="shared" si="722"/>
        <v>11206730159</v>
      </c>
      <c r="K7357" t="str">
        <f>""</f>
        <v/>
      </c>
      <c r="M7357" t="s">
        <v>68</v>
      </c>
      <c r="N7357" t="str">
        <f t="shared" si="723"/>
        <v>FOR</v>
      </c>
      <c r="O7357" t="s">
        <v>69</v>
      </c>
      <c r="P7357" s="3" t="s">
        <v>75</v>
      </c>
      <c r="Q7357">
        <v>2016</v>
      </c>
      <c r="R7357" s="2">
        <v>42405</v>
      </c>
      <c r="S7357" s="2">
        <v>42410</v>
      </c>
      <c r="T7357" s="2">
        <v>42405</v>
      </c>
      <c r="U7357" s="2">
        <v>42465</v>
      </c>
      <c r="V7357" t="s">
        <v>71</v>
      </c>
      <c r="W7357" t="str">
        <f>"          7171265721"</f>
        <v xml:space="preserve">          7171265721</v>
      </c>
      <c r="X7357">
        <v>894.4</v>
      </c>
      <c r="Y7357">
        <v>0</v>
      </c>
      <c r="Z7357" s="3">
        <v>860</v>
      </c>
      <c r="AA7357">
        <v>253</v>
      </c>
      <c r="AB7357" s="5">
        <v>217580</v>
      </c>
      <c r="AC7357">
        <v>860</v>
      </c>
      <c r="AD7357">
        <v>253</v>
      </c>
      <c r="AE7357" s="1">
        <v>217580</v>
      </c>
      <c r="AF7357">
        <v>34.4</v>
      </c>
      <c r="AJ7357">
        <v>0</v>
      </c>
      <c r="AK7357">
        <v>0</v>
      </c>
      <c r="AL7357">
        <v>0</v>
      </c>
      <c r="AM7357">
        <v>894.4</v>
      </c>
      <c r="AN7357">
        <v>894.4</v>
      </c>
      <c r="AO7357">
        <v>894.4</v>
      </c>
      <c r="AP7357" s="2">
        <v>42746</v>
      </c>
      <c r="AQ7357" t="s">
        <v>72</v>
      </c>
      <c r="AR7357" t="s">
        <v>72</v>
      </c>
      <c r="AS7357">
        <v>3455</v>
      </c>
      <c r="AT7357" s="4">
        <v>42718</v>
      </c>
      <c r="AU7357" t="s">
        <v>73</v>
      </c>
      <c r="AV7357">
        <v>3455</v>
      </c>
      <c r="AW7357" s="4">
        <v>42718</v>
      </c>
      <c r="BD7357">
        <v>34.4</v>
      </c>
      <c r="BN7357" t="s">
        <v>74</v>
      </c>
    </row>
    <row r="7358" spans="1:66">
      <c r="A7358">
        <v>104195</v>
      </c>
      <c r="B7358" s="3" t="s">
        <v>623</v>
      </c>
      <c r="C7358" s="1">
        <v>43300101</v>
      </c>
      <c r="D7358" t="s">
        <v>67</v>
      </c>
      <c r="H7358" t="str">
        <f t="shared" si="722"/>
        <v>11206730159</v>
      </c>
      <c r="I7358" t="str">
        <f t="shared" si="722"/>
        <v>11206730159</v>
      </c>
      <c r="K7358" t="str">
        <f>""</f>
        <v/>
      </c>
      <c r="M7358" t="s">
        <v>68</v>
      </c>
      <c r="N7358" t="str">
        <f t="shared" si="723"/>
        <v>FOR</v>
      </c>
      <c r="O7358" t="s">
        <v>69</v>
      </c>
      <c r="P7358" s="3" t="s">
        <v>75</v>
      </c>
      <c r="Q7358">
        <v>2016</v>
      </c>
      <c r="R7358" s="2">
        <v>42405</v>
      </c>
      <c r="S7358" s="2">
        <v>42410</v>
      </c>
      <c r="T7358" s="2">
        <v>42405</v>
      </c>
      <c r="U7358" s="2">
        <v>42465</v>
      </c>
      <c r="V7358" t="s">
        <v>71</v>
      </c>
      <c r="W7358" t="str">
        <f>"          7171265722"</f>
        <v xml:space="preserve">          7171265722</v>
      </c>
      <c r="X7358">
        <v>183</v>
      </c>
      <c r="Y7358">
        <v>0</v>
      </c>
      <c r="Z7358" s="3">
        <v>150</v>
      </c>
      <c r="AA7358">
        <v>253</v>
      </c>
      <c r="AB7358" s="5">
        <v>37950</v>
      </c>
      <c r="AC7358">
        <v>150</v>
      </c>
      <c r="AD7358">
        <v>253</v>
      </c>
      <c r="AE7358" s="1">
        <v>37950</v>
      </c>
      <c r="AF7358">
        <v>33</v>
      </c>
      <c r="AJ7358">
        <v>0</v>
      </c>
      <c r="AK7358">
        <v>0</v>
      </c>
      <c r="AL7358">
        <v>0</v>
      </c>
      <c r="AM7358">
        <v>183</v>
      </c>
      <c r="AN7358">
        <v>183</v>
      </c>
      <c r="AO7358">
        <v>183</v>
      </c>
      <c r="AP7358" s="2">
        <v>42746</v>
      </c>
      <c r="AQ7358" t="s">
        <v>72</v>
      </c>
      <c r="AR7358" t="s">
        <v>72</v>
      </c>
      <c r="AS7358">
        <v>3455</v>
      </c>
      <c r="AT7358" s="4">
        <v>42718</v>
      </c>
      <c r="AU7358" t="s">
        <v>73</v>
      </c>
      <c r="AV7358">
        <v>3455</v>
      </c>
      <c r="AW7358" s="4">
        <v>42718</v>
      </c>
      <c r="BD7358">
        <v>33</v>
      </c>
      <c r="BN7358" t="s">
        <v>74</v>
      </c>
    </row>
    <row r="7359" spans="1:66">
      <c r="A7359">
        <v>104195</v>
      </c>
      <c r="B7359" s="3" t="s">
        <v>623</v>
      </c>
      <c r="C7359" s="1">
        <v>43300101</v>
      </c>
      <c r="D7359" t="s">
        <v>67</v>
      </c>
      <c r="H7359" t="str">
        <f t="shared" si="722"/>
        <v>11206730159</v>
      </c>
      <c r="I7359" t="str">
        <f t="shared" si="722"/>
        <v>11206730159</v>
      </c>
      <c r="K7359" t="str">
        <f>""</f>
        <v/>
      </c>
      <c r="M7359" t="s">
        <v>68</v>
      </c>
      <c r="N7359" t="str">
        <f t="shared" si="723"/>
        <v>FOR</v>
      </c>
      <c r="O7359" t="s">
        <v>69</v>
      </c>
      <c r="P7359" s="3" t="s">
        <v>75</v>
      </c>
      <c r="Q7359">
        <v>2016</v>
      </c>
      <c r="R7359" s="2">
        <v>42405</v>
      </c>
      <c r="S7359" s="2">
        <v>42410</v>
      </c>
      <c r="T7359" s="2">
        <v>42405</v>
      </c>
      <c r="U7359" s="2">
        <v>42465</v>
      </c>
      <c r="V7359" t="s">
        <v>71</v>
      </c>
      <c r="W7359" t="str">
        <f>"          7171265723"</f>
        <v xml:space="preserve">          7171265723</v>
      </c>
      <c r="X7359">
        <v>183</v>
      </c>
      <c r="Y7359">
        <v>0</v>
      </c>
      <c r="Z7359" s="3">
        <v>150</v>
      </c>
      <c r="AA7359">
        <v>253</v>
      </c>
      <c r="AB7359" s="5">
        <v>37950</v>
      </c>
      <c r="AC7359">
        <v>150</v>
      </c>
      <c r="AD7359">
        <v>253</v>
      </c>
      <c r="AE7359" s="1">
        <v>37950</v>
      </c>
      <c r="AF7359">
        <v>33</v>
      </c>
      <c r="AJ7359">
        <v>0</v>
      </c>
      <c r="AK7359">
        <v>0</v>
      </c>
      <c r="AL7359">
        <v>0</v>
      </c>
      <c r="AM7359">
        <v>183</v>
      </c>
      <c r="AN7359">
        <v>183</v>
      </c>
      <c r="AO7359">
        <v>183</v>
      </c>
      <c r="AP7359" s="2">
        <v>42746</v>
      </c>
      <c r="AQ7359" t="s">
        <v>72</v>
      </c>
      <c r="AR7359" t="s">
        <v>72</v>
      </c>
      <c r="AS7359">
        <v>3455</v>
      </c>
      <c r="AT7359" s="4">
        <v>42718</v>
      </c>
      <c r="AU7359" t="s">
        <v>73</v>
      </c>
      <c r="AV7359">
        <v>3455</v>
      </c>
      <c r="AW7359" s="4">
        <v>42718</v>
      </c>
      <c r="BD7359">
        <v>33</v>
      </c>
      <c r="BN7359" t="s">
        <v>74</v>
      </c>
    </row>
    <row r="7360" spans="1:66">
      <c r="A7360">
        <v>104195</v>
      </c>
      <c r="B7360" s="3" t="s">
        <v>623</v>
      </c>
      <c r="C7360" s="1">
        <v>43300101</v>
      </c>
      <c r="D7360" t="s">
        <v>67</v>
      </c>
      <c r="H7360" t="str">
        <f t="shared" si="722"/>
        <v>11206730159</v>
      </c>
      <c r="I7360" t="str">
        <f t="shared" si="722"/>
        <v>11206730159</v>
      </c>
      <c r="K7360" t="str">
        <f>""</f>
        <v/>
      </c>
      <c r="M7360" t="s">
        <v>68</v>
      </c>
      <c r="N7360" t="str">
        <f t="shared" si="723"/>
        <v>FOR</v>
      </c>
      <c r="O7360" t="s">
        <v>69</v>
      </c>
      <c r="P7360" s="3" t="s">
        <v>75</v>
      </c>
      <c r="Q7360">
        <v>2016</v>
      </c>
      <c r="R7360" s="2">
        <v>42405</v>
      </c>
      <c r="S7360" s="2">
        <v>42410</v>
      </c>
      <c r="T7360" s="2">
        <v>42405</v>
      </c>
      <c r="U7360" s="2">
        <v>42465</v>
      </c>
      <c r="V7360" t="s">
        <v>71</v>
      </c>
      <c r="W7360" t="str">
        <f>"          7171265724"</f>
        <v xml:space="preserve">          7171265724</v>
      </c>
      <c r="X7360">
        <v>183</v>
      </c>
      <c r="Y7360">
        <v>0</v>
      </c>
      <c r="Z7360" s="3">
        <v>150</v>
      </c>
      <c r="AA7360">
        <v>253</v>
      </c>
      <c r="AB7360" s="5">
        <v>37950</v>
      </c>
      <c r="AC7360">
        <v>150</v>
      </c>
      <c r="AD7360">
        <v>253</v>
      </c>
      <c r="AE7360" s="1">
        <v>37950</v>
      </c>
      <c r="AF7360">
        <v>33</v>
      </c>
      <c r="AJ7360">
        <v>0</v>
      </c>
      <c r="AK7360">
        <v>0</v>
      </c>
      <c r="AL7360">
        <v>0</v>
      </c>
      <c r="AM7360">
        <v>183</v>
      </c>
      <c r="AN7360">
        <v>183</v>
      </c>
      <c r="AO7360">
        <v>183</v>
      </c>
      <c r="AP7360" s="2">
        <v>42746</v>
      </c>
      <c r="AQ7360" t="s">
        <v>72</v>
      </c>
      <c r="AR7360" t="s">
        <v>72</v>
      </c>
      <c r="AS7360">
        <v>3455</v>
      </c>
      <c r="AT7360" s="4">
        <v>42718</v>
      </c>
      <c r="AU7360" t="s">
        <v>73</v>
      </c>
      <c r="AV7360">
        <v>3455</v>
      </c>
      <c r="AW7360" s="4">
        <v>42718</v>
      </c>
      <c r="BD7360">
        <v>33</v>
      </c>
      <c r="BN7360" t="s">
        <v>74</v>
      </c>
    </row>
    <row r="7361" spans="1:66">
      <c r="A7361">
        <v>104195</v>
      </c>
      <c r="B7361" s="3" t="s">
        <v>623</v>
      </c>
      <c r="C7361" s="1">
        <v>43300101</v>
      </c>
      <c r="D7361" t="s">
        <v>67</v>
      </c>
      <c r="H7361" t="str">
        <f t="shared" si="722"/>
        <v>11206730159</v>
      </c>
      <c r="I7361" t="str">
        <f t="shared" si="722"/>
        <v>11206730159</v>
      </c>
      <c r="K7361" t="str">
        <f>""</f>
        <v/>
      </c>
      <c r="M7361" t="s">
        <v>68</v>
      </c>
      <c r="N7361" t="str">
        <f t="shared" si="723"/>
        <v>FOR</v>
      </c>
      <c r="O7361" t="s">
        <v>69</v>
      </c>
      <c r="P7361" s="3" t="s">
        <v>75</v>
      </c>
      <c r="Q7361">
        <v>2016</v>
      </c>
      <c r="R7361" s="2">
        <v>42415</v>
      </c>
      <c r="S7361" s="2">
        <v>42417</v>
      </c>
      <c r="T7361" s="2">
        <v>42415</v>
      </c>
      <c r="U7361" s="2">
        <v>42475</v>
      </c>
      <c r="V7361" t="s">
        <v>71</v>
      </c>
      <c r="W7361" t="str">
        <f>"          7171268355"</f>
        <v xml:space="preserve">          7171268355</v>
      </c>
      <c r="X7361">
        <v>391.32</v>
      </c>
      <c r="Y7361">
        <v>0</v>
      </c>
      <c r="Z7361" s="3">
        <v>320.75</v>
      </c>
      <c r="AA7361">
        <v>243</v>
      </c>
      <c r="AB7361" s="5">
        <v>77942.25</v>
      </c>
      <c r="AC7361">
        <v>320.75</v>
      </c>
      <c r="AD7361">
        <v>243</v>
      </c>
      <c r="AE7361" s="1">
        <v>77942.25</v>
      </c>
      <c r="AF7361">
        <v>70.569999999999993</v>
      </c>
      <c r="AJ7361">
        <v>0</v>
      </c>
      <c r="AK7361">
        <v>0</v>
      </c>
      <c r="AL7361">
        <v>0</v>
      </c>
      <c r="AM7361">
        <v>391.32</v>
      </c>
      <c r="AN7361">
        <v>391.32</v>
      </c>
      <c r="AO7361">
        <v>391.32</v>
      </c>
      <c r="AP7361" s="2">
        <v>42746</v>
      </c>
      <c r="AQ7361" t="s">
        <v>72</v>
      </c>
      <c r="AR7361" t="s">
        <v>72</v>
      </c>
      <c r="AS7361">
        <v>3455</v>
      </c>
      <c r="AT7361" s="4">
        <v>42718</v>
      </c>
      <c r="AU7361" t="s">
        <v>73</v>
      </c>
      <c r="AV7361">
        <v>3455</v>
      </c>
      <c r="AW7361" s="4">
        <v>42718</v>
      </c>
      <c r="BD7361">
        <v>70.569999999999993</v>
      </c>
      <c r="BN7361" t="s">
        <v>74</v>
      </c>
    </row>
    <row r="7362" spans="1:66" hidden="1">
      <c r="A7362">
        <v>104198</v>
      </c>
      <c r="B7362" s="3" t="s">
        <v>624</v>
      </c>
      <c r="C7362" s="1">
        <v>43300101</v>
      </c>
      <c r="D7362" t="s">
        <v>67</v>
      </c>
      <c r="H7362" t="str">
        <f t="shared" ref="H7362:I7367" si="724">"05038691001"</f>
        <v>05038691001</v>
      </c>
      <c r="I7362" t="str">
        <f t="shared" si="724"/>
        <v>05038691001</v>
      </c>
      <c r="K7362" t="str">
        <f>""</f>
        <v/>
      </c>
      <c r="M7362" t="s">
        <v>68</v>
      </c>
      <c r="N7362" t="str">
        <f t="shared" si="723"/>
        <v>FOR</v>
      </c>
      <c r="O7362" t="s">
        <v>69</v>
      </c>
      <c r="P7362" s="3" t="s">
        <v>70</v>
      </c>
      <c r="Q7362">
        <v>2015</v>
      </c>
      <c r="R7362" s="2">
        <v>42047</v>
      </c>
      <c r="S7362" s="2">
        <v>42073</v>
      </c>
      <c r="T7362" s="2">
        <v>42073</v>
      </c>
      <c r="U7362" s="2">
        <v>42133</v>
      </c>
      <c r="V7362" t="s">
        <v>71</v>
      </c>
      <c r="W7362" t="str">
        <f>"                2060"</f>
        <v xml:space="preserve">                2060</v>
      </c>
      <c r="X7362">
        <v>672.4</v>
      </c>
      <c r="Y7362">
        <v>0</v>
      </c>
      <c r="Z7362"/>
      <c r="AB7362"/>
      <c r="AC7362">
        <v>611.27</v>
      </c>
      <c r="AD7362">
        <v>271</v>
      </c>
      <c r="AE7362" s="1">
        <v>165654.17000000001</v>
      </c>
      <c r="AF7362">
        <v>0</v>
      </c>
      <c r="AJ7362">
        <v>0</v>
      </c>
      <c r="AK7362">
        <v>0</v>
      </c>
      <c r="AL7362">
        <v>0</v>
      </c>
      <c r="AM7362">
        <v>0</v>
      </c>
      <c r="AN7362">
        <v>0</v>
      </c>
      <c r="AO7362">
        <v>0</v>
      </c>
      <c r="AP7362" s="2">
        <v>42746</v>
      </c>
      <c r="AQ7362" t="s">
        <v>72</v>
      </c>
      <c r="AR7362" t="s">
        <v>72</v>
      </c>
      <c r="AS7362">
        <v>242</v>
      </c>
      <c r="AT7362" s="4">
        <v>42404</v>
      </c>
      <c r="AU7362" t="s">
        <v>73</v>
      </c>
      <c r="AV7362">
        <v>242</v>
      </c>
      <c r="AW7362" s="4">
        <v>42404</v>
      </c>
      <c r="BD7362">
        <v>0</v>
      </c>
      <c r="BN7362" t="s">
        <v>74</v>
      </c>
    </row>
    <row r="7363" spans="1:66" hidden="1">
      <c r="A7363">
        <v>104198</v>
      </c>
      <c r="B7363" s="3" t="s">
        <v>624</v>
      </c>
      <c r="C7363" s="1">
        <v>43300101</v>
      </c>
      <c r="D7363" t="s">
        <v>67</v>
      </c>
      <c r="H7363" t="str">
        <f t="shared" si="724"/>
        <v>05038691001</v>
      </c>
      <c r="I7363" t="str">
        <f t="shared" si="724"/>
        <v>05038691001</v>
      </c>
      <c r="K7363" t="str">
        <f>""</f>
        <v/>
      </c>
      <c r="M7363" t="s">
        <v>68</v>
      </c>
      <c r="N7363" t="str">
        <f t="shared" si="723"/>
        <v>FOR</v>
      </c>
      <c r="O7363" t="s">
        <v>69</v>
      </c>
      <c r="P7363" s="3" t="s">
        <v>75</v>
      </c>
      <c r="Q7363">
        <v>2015</v>
      </c>
      <c r="R7363" s="2">
        <v>42202</v>
      </c>
      <c r="S7363" s="2">
        <v>42205</v>
      </c>
      <c r="T7363" s="2">
        <v>42202</v>
      </c>
      <c r="U7363" s="2">
        <v>42262</v>
      </c>
      <c r="V7363" t="s">
        <v>71</v>
      </c>
      <c r="W7363" t="str">
        <f>"             1594/PA"</f>
        <v xml:space="preserve">             1594/PA</v>
      </c>
      <c r="X7363">
        <v>468.68</v>
      </c>
      <c r="Y7363">
        <v>0</v>
      </c>
      <c r="Z7363"/>
      <c r="AB7363"/>
      <c r="AC7363">
        <v>426.07</v>
      </c>
      <c r="AD7363">
        <v>304</v>
      </c>
      <c r="AE7363" s="1">
        <v>129525.28</v>
      </c>
      <c r="AF7363">
        <v>0</v>
      </c>
      <c r="AJ7363">
        <v>0</v>
      </c>
      <c r="AK7363">
        <v>0</v>
      </c>
      <c r="AL7363">
        <v>0</v>
      </c>
      <c r="AM7363">
        <v>0</v>
      </c>
      <c r="AN7363">
        <v>0</v>
      </c>
      <c r="AO7363">
        <v>0</v>
      </c>
      <c r="AP7363" s="2">
        <v>42746</v>
      </c>
      <c r="AQ7363" t="s">
        <v>72</v>
      </c>
      <c r="AR7363" t="s">
        <v>72</v>
      </c>
      <c r="AS7363">
        <v>1828</v>
      </c>
      <c r="AT7363" s="4">
        <v>42566</v>
      </c>
      <c r="AU7363" t="s">
        <v>73</v>
      </c>
      <c r="AV7363">
        <v>1828</v>
      </c>
      <c r="AW7363" s="4">
        <v>42566</v>
      </c>
      <c r="BD7363">
        <v>0</v>
      </c>
      <c r="BN7363" t="s">
        <v>74</v>
      </c>
    </row>
    <row r="7364" spans="1:66" hidden="1">
      <c r="A7364">
        <v>104198</v>
      </c>
      <c r="B7364" s="3" t="s">
        <v>624</v>
      </c>
      <c r="C7364" s="1">
        <v>43300101</v>
      </c>
      <c r="D7364" t="s">
        <v>67</v>
      </c>
      <c r="H7364" t="str">
        <f t="shared" si="724"/>
        <v>05038691001</v>
      </c>
      <c r="I7364" t="str">
        <f t="shared" si="724"/>
        <v>05038691001</v>
      </c>
      <c r="K7364" t="str">
        <f>""</f>
        <v/>
      </c>
      <c r="M7364" t="s">
        <v>68</v>
      </c>
      <c r="N7364" t="str">
        <f t="shared" si="723"/>
        <v>FOR</v>
      </c>
      <c r="O7364" t="s">
        <v>69</v>
      </c>
      <c r="P7364" s="3" t="s">
        <v>75</v>
      </c>
      <c r="Q7364">
        <v>2015</v>
      </c>
      <c r="R7364" s="2">
        <v>42241</v>
      </c>
      <c r="S7364" s="2">
        <v>42251</v>
      </c>
      <c r="T7364" s="2">
        <v>42249</v>
      </c>
      <c r="U7364" s="2">
        <v>42309</v>
      </c>
      <c r="V7364" t="s">
        <v>71</v>
      </c>
      <c r="W7364" t="str">
        <f>"             1996/PA"</f>
        <v xml:space="preserve">             1996/PA</v>
      </c>
      <c r="X7364">
        <v>672.4</v>
      </c>
      <c r="Y7364">
        <v>0</v>
      </c>
      <c r="Z7364"/>
      <c r="AB7364"/>
      <c r="AC7364">
        <v>611.27</v>
      </c>
      <c r="AD7364">
        <v>257</v>
      </c>
      <c r="AE7364" s="1">
        <v>157096.39000000001</v>
      </c>
      <c r="AF7364">
        <v>0</v>
      </c>
      <c r="AJ7364">
        <v>0</v>
      </c>
      <c r="AK7364">
        <v>0</v>
      </c>
      <c r="AL7364">
        <v>0</v>
      </c>
      <c r="AM7364">
        <v>0</v>
      </c>
      <c r="AN7364">
        <v>0</v>
      </c>
      <c r="AO7364">
        <v>0</v>
      </c>
      <c r="AP7364" s="2">
        <v>42746</v>
      </c>
      <c r="AQ7364" t="s">
        <v>72</v>
      </c>
      <c r="AR7364" t="s">
        <v>72</v>
      </c>
      <c r="AS7364">
        <v>1828</v>
      </c>
      <c r="AT7364" s="4">
        <v>42566</v>
      </c>
      <c r="AU7364" t="s">
        <v>73</v>
      </c>
      <c r="AV7364">
        <v>1828</v>
      </c>
      <c r="AW7364" s="4">
        <v>42566</v>
      </c>
      <c r="BD7364">
        <v>0</v>
      </c>
      <c r="BN7364" t="s">
        <v>74</v>
      </c>
    </row>
    <row r="7365" spans="1:66" hidden="1">
      <c r="A7365">
        <v>104198</v>
      </c>
      <c r="B7365" s="3" t="s">
        <v>624</v>
      </c>
      <c r="C7365" s="1">
        <v>43300101</v>
      </c>
      <c r="D7365" t="s">
        <v>67</v>
      </c>
      <c r="H7365" t="str">
        <f t="shared" si="724"/>
        <v>05038691001</v>
      </c>
      <c r="I7365" t="str">
        <f t="shared" si="724"/>
        <v>05038691001</v>
      </c>
      <c r="K7365" t="str">
        <f>""</f>
        <v/>
      </c>
      <c r="M7365" t="s">
        <v>68</v>
      </c>
      <c r="N7365" t="str">
        <f t="shared" si="723"/>
        <v>FOR</v>
      </c>
      <c r="O7365" t="s">
        <v>69</v>
      </c>
      <c r="P7365" s="3" t="s">
        <v>75</v>
      </c>
      <c r="Q7365">
        <v>2015</v>
      </c>
      <c r="R7365" s="2">
        <v>42342</v>
      </c>
      <c r="S7365" s="2">
        <v>42347</v>
      </c>
      <c r="T7365" s="2">
        <v>42347</v>
      </c>
      <c r="U7365" s="2">
        <v>42407</v>
      </c>
      <c r="V7365" t="s">
        <v>71</v>
      </c>
      <c r="W7365" t="str">
        <f>"             3433/PA"</f>
        <v xml:space="preserve">             3433/PA</v>
      </c>
      <c r="X7365">
        <v>584.07000000000005</v>
      </c>
      <c r="Y7365">
        <v>0</v>
      </c>
      <c r="Z7365"/>
      <c r="AB7365"/>
      <c r="AC7365">
        <v>530.97</v>
      </c>
      <c r="AD7365">
        <v>159</v>
      </c>
      <c r="AE7365" s="1">
        <v>84424.23</v>
      </c>
      <c r="AF7365">
        <v>0</v>
      </c>
      <c r="AJ7365">
        <v>0</v>
      </c>
      <c r="AK7365">
        <v>0</v>
      </c>
      <c r="AL7365">
        <v>0</v>
      </c>
      <c r="AM7365">
        <v>0</v>
      </c>
      <c r="AN7365">
        <v>0</v>
      </c>
      <c r="AO7365">
        <v>0</v>
      </c>
      <c r="AP7365" s="2">
        <v>42746</v>
      </c>
      <c r="AQ7365" t="s">
        <v>72</v>
      </c>
      <c r="AR7365" t="s">
        <v>72</v>
      </c>
      <c r="AS7365">
        <v>1828</v>
      </c>
      <c r="AT7365" s="4">
        <v>42566</v>
      </c>
      <c r="AU7365" t="s">
        <v>73</v>
      </c>
      <c r="AV7365">
        <v>1828</v>
      </c>
      <c r="AW7365" s="4">
        <v>42566</v>
      </c>
      <c r="BD7365">
        <v>0</v>
      </c>
      <c r="BN7365" t="s">
        <v>74</v>
      </c>
    </row>
    <row r="7366" spans="1:66">
      <c r="A7366">
        <v>104198</v>
      </c>
      <c r="B7366" s="3" t="s">
        <v>624</v>
      </c>
      <c r="C7366" s="1">
        <v>43300101</v>
      </c>
      <c r="D7366" t="s">
        <v>67</v>
      </c>
      <c r="H7366" t="str">
        <f t="shared" si="724"/>
        <v>05038691001</v>
      </c>
      <c r="I7366" t="str">
        <f t="shared" si="724"/>
        <v>05038691001</v>
      </c>
      <c r="K7366" t="str">
        <f>""</f>
        <v/>
      </c>
      <c r="M7366" t="s">
        <v>68</v>
      </c>
      <c r="N7366" t="str">
        <f t="shared" si="723"/>
        <v>FOR</v>
      </c>
      <c r="O7366" t="s">
        <v>69</v>
      </c>
      <c r="P7366" s="3" t="s">
        <v>75</v>
      </c>
      <c r="Q7366">
        <v>2016</v>
      </c>
      <c r="R7366" s="2">
        <v>42468</v>
      </c>
      <c r="S7366" s="2">
        <v>42473</v>
      </c>
      <c r="T7366" s="2">
        <v>42469</v>
      </c>
      <c r="U7366" s="2">
        <v>42529</v>
      </c>
      <c r="V7366" t="s">
        <v>71</v>
      </c>
      <c r="W7366" t="str">
        <f>"             1440/PA"</f>
        <v xml:space="preserve">             1440/PA</v>
      </c>
      <c r="X7366">
        <v>939.84</v>
      </c>
      <c r="Y7366">
        <v>0</v>
      </c>
      <c r="Z7366" s="3">
        <v>854.4</v>
      </c>
      <c r="AA7366">
        <v>119</v>
      </c>
      <c r="AB7366" s="5">
        <v>101673.60000000001</v>
      </c>
      <c r="AC7366">
        <v>854.4</v>
      </c>
      <c r="AD7366">
        <v>119</v>
      </c>
      <c r="AE7366" s="1">
        <v>101673.60000000001</v>
      </c>
      <c r="AF7366">
        <v>0</v>
      </c>
      <c r="AJ7366">
        <v>0</v>
      </c>
      <c r="AK7366">
        <v>0</v>
      </c>
      <c r="AL7366">
        <v>0</v>
      </c>
      <c r="AM7366">
        <v>939.84</v>
      </c>
      <c r="AN7366">
        <v>939.84</v>
      </c>
      <c r="AO7366">
        <v>939.84</v>
      </c>
      <c r="AP7366" s="2">
        <v>42746</v>
      </c>
      <c r="AQ7366" t="s">
        <v>72</v>
      </c>
      <c r="AR7366" t="s">
        <v>72</v>
      </c>
      <c r="AS7366">
        <v>2662</v>
      </c>
      <c r="AT7366" s="4">
        <v>42648</v>
      </c>
      <c r="AU7366" t="s">
        <v>73</v>
      </c>
      <c r="AV7366">
        <v>2662</v>
      </c>
      <c r="AW7366" s="4">
        <v>42648</v>
      </c>
      <c r="BD7366">
        <v>0</v>
      </c>
      <c r="BN7366" t="s">
        <v>74</v>
      </c>
    </row>
    <row r="7367" spans="1:66">
      <c r="A7367">
        <v>104198</v>
      </c>
      <c r="B7367" s="3" t="s">
        <v>624</v>
      </c>
      <c r="C7367" s="1">
        <v>43300101</v>
      </c>
      <c r="D7367" t="s">
        <v>67</v>
      </c>
      <c r="H7367" t="str">
        <f t="shared" si="724"/>
        <v>05038691001</v>
      </c>
      <c r="I7367" t="str">
        <f t="shared" si="724"/>
        <v>05038691001</v>
      </c>
      <c r="K7367" t="str">
        <f>""</f>
        <v/>
      </c>
      <c r="M7367" t="s">
        <v>68</v>
      </c>
      <c r="N7367" t="str">
        <f t="shared" si="723"/>
        <v>FOR</v>
      </c>
      <c r="O7367" t="s">
        <v>69</v>
      </c>
      <c r="P7367" s="3" t="s">
        <v>75</v>
      </c>
      <c r="Q7367">
        <v>2016</v>
      </c>
      <c r="R7367" s="2">
        <v>42571</v>
      </c>
      <c r="S7367" s="2">
        <v>42577</v>
      </c>
      <c r="T7367" s="2">
        <v>42572</v>
      </c>
      <c r="U7367" s="2">
        <v>42632</v>
      </c>
      <c r="V7367" t="s">
        <v>71</v>
      </c>
      <c r="W7367" t="str">
        <f>"             2927/PA"</f>
        <v xml:space="preserve">             2927/PA</v>
      </c>
      <c r="X7367" s="1">
        <v>1004.63</v>
      </c>
      <c r="Y7367">
        <v>0</v>
      </c>
      <c r="Z7367" s="3">
        <v>913.3</v>
      </c>
      <c r="AA7367">
        <v>16</v>
      </c>
      <c r="AB7367" s="5">
        <v>14612.8</v>
      </c>
      <c r="AC7367">
        <v>913.3</v>
      </c>
      <c r="AD7367">
        <v>16</v>
      </c>
      <c r="AE7367" s="1">
        <v>14612.8</v>
      </c>
      <c r="AF7367">
        <v>0</v>
      </c>
      <c r="AJ7367">
        <v>0</v>
      </c>
      <c r="AK7367">
        <v>0</v>
      </c>
      <c r="AL7367">
        <v>0</v>
      </c>
      <c r="AM7367" s="1">
        <v>1004.63</v>
      </c>
      <c r="AN7367" s="1">
        <v>1004.63</v>
      </c>
      <c r="AO7367" s="1">
        <v>1004.63</v>
      </c>
      <c r="AP7367" s="2">
        <v>42746</v>
      </c>
      <c r="AQ7367" t="s">
        <v>72</v>
      </c>
      <c r="AR7367" t="s">
        <v>72</v>
      </c>
      <c r="AS7367">
        <v>2662</v>
      </c>
      <c r="AT7367" s="4">
        <v>42648</v>
      </c>
      <c r="AU7367" t="s">
        <v>73</v>
      </c>
      <c r="AV7367">
        <v>2662</v>
      </c>
      <c r="AW7367" s="4">
        <v>42648</v>
      </c>
      <c r="BD7367">
        <v>0</v>
      </c>
      <c r="BN7367" t="s">
        <v>74</v>
      </c>
    </row>
    <row r="7368" spans="1:66" hidden="1">
      <c r="A7368">
        <v>104207</v>
      </c>
      <c r="B7368" s="3" t="s">
        <v>625</v>
      </c>
      <c r="C7368" s="1">
        <v>43300101</v>
      </c>
      <c r="D7368" t="s">
        <v>67</v>
      </c>
      <c r="H7368" t="str">
        <f>"10767630154"</f>
        <v>10767630154</v>
      </c>
      <c r="I7368" t="str">
        <f>"10767630154"</f>
        <v>10767630154</v>
      </c>
      <c r="K7368" t="str">
        <f>""</f>
        <v/>
      </c>
      <c r="M7368" t="s">
        <v>68</v>
      </c>
      <c r="N7368" t="str">
        <f t="shared" si="723"/>
        <v>FOR</v>
      </c>
      <c r="O7368" t="s">
        <v>69</v>
      </c>
      <c r="P7368" s="3" t="s">
        <v>75</v>
      </c>
      <c r="Q7368">
        <v>2015</v>
      </c>
      <c r="R7368" s="2">
        <v>42272</v>
      </c>
      <c r="S7368" s="2">
        <v>42277</v>
      </c>
      <c r="T7368" s="2">
        <v>42276</v>
      </c>
      <c r="U7368" s="2">
        <v>42336</v>
      </c>
      <c r="V7368" t="s">
        <v>71</v>
      </c>
      <c r="W7368" t="str">
        <f>"              P02185"</f>
        <v xml:space="preserve">              P02185</v>
      </c>
      <c r="X7368" s="1">
        <v>6373.35</v>
      </c>
      <c r="Y7368">
        <v>0</v>
      </c>
      <c r="Z7368"/>
      <c r="AB7368"/>
      <c r="AC7368" s="1">
        <v>5224.05</v>
      </c>
      <c r="AD7368">
        <v>67</v>
      </c>
      <c r="AE7368" s="1">
        <v>350011.35</v>
      </c>
      <c r="AF7368">
        <v>0</v>
      </c>
      <c r="AJ7368">
        <v>0</v>
      </c>
      <c r="AK7368">
        <v>0</v>
      </c>
      <c r="AL7368">
        <v>0</v>
      </c>
      <c r="AM7368">
        <v>0</v>
      </c>
      <c r="AN7368">
        <v>0</v>
      </c>
      <c r="AO7368">
        <v>0</v>
      </c>
      <c r="AP7368" s="2">
        <v>42746</v>
      </c>
      <c r="AQ7368" t="s">
        <v>72</v>
      </c>
      <c r="AR7368" t="s">
        <v>72</v>
      </c>
      <c r="AS7368">
        <v>236</v>
      </c>
      <c r="AT7368" s="4">
        <v>42403</v>
      </c>
      <c r="AU7368" t="s">
        <v>73</v>
      </c>
      <c r="AV7368">
        <v>236</v>
      </c>
      <c r="AW7368" s="4">
        <v>42403</v>
      </c>
      <c r="BD7368">
        <v>0</v>
      </c>
      <c r="BN7368" t="s">
        <v>74</v>
      </c>
    </row>
    <row r="7369" spans="1:66" hidden="1">
      <c r="A7369">
        <v>104207</v>
      </c>
      <c r="B7369" s="3" t="s">
        <v>625</v>
      </c>
      <c r="C7369" s="1">
        <v>43300101</v>
      </c>
      <c r="D7369" t="s">
        <v>67</v>
      </c>
      <c r="H7369" t="str">
        <f>"10767630154"</f>
        <v>10767630154</v>
      </c>
      <c r="I7369" t="str">
        <f>"10767630154"</f>
        <v>10767630154</v>
      </c>
      <c r="K7369" t="str">
        <f>""</f>
        <v/>
      </c>
      <c r="M7369" t="s">
        <v>68</v>
      </c>
      <c r="N7369" t="str">
        <f t="shared" si="723"/>
        <v>FOR</v>
      </c>
      <c r="O7369" t="s">
        <v>69</v>
      </c>
      <c r="P7369" s="3" t="s">
        <v>75</v>
      </c>
      <c r="Q7369">
        <v>2015</v>
      </c>
      <c r="R7369" s="2">
        <v>42293</v>
      </c>
      <c r="S7369" s="2">
        <v>42296</v>
      </c>
      <c r="T7369" s="2">
        <v>42296</v>
      </c>
      <c r="U7369" s="2">
        <v>42356</v>
      </c>
      <c r="V7369" t="s">
        <v>71</v>
      </c>
      <c r="W7369" t="str">
        <f>"              P02425"</f>
        <v xml:space="preserve">              P02425</v>
      </c>
      <c r="X7369">
        <v>694.79</v>
      </c>
      <c r="Y7369">
        <v>0</v>
      </c>
      <c r="Z7369"/>
      <c r="AB7369"/>
      <c r="AC7369">
        <v>569.5</v>
      </c>
      <c r="AD7369">
        <v>47</v>
      </c>
      <c r="AE7369" s="1">
        <v>26766.5</v>
      </c>
      <c r="AF7369">
        <v>0</v>
      </c>
      <c r="AJ7369">
        <v>0</v>
      </c>
      <c r="AK7369">
        <v>0</v>
      </c>
      <c r="AL7369">
        <v>0</v>
      </c>
      <c r="AM7369">
        <v>0</v>
      </c>
      <c r="AN7369">
        <v>0</v>
      </c>
      <c r="AO7369">
        <v>0</v>
      </c>
      <c r="AP7369" s="2">
        <v>42746</v>
      </c>
      <c r="AQ7369" t="s">
        <v>72</v>
      </c>
      <c r="AR7369" t="s">
        <v>72</v>
      </c>
      <c r="AS7369">
        <v>236</v>
      </c>
      <c r="AT7369" s="4">
        <v>42403</v>
      </c>
      <c r="AU7369" t="s">
        <v>73</v>
      </c>
      <c r="AV7369">
        <v>236</v>
      </c>
      <c r="AW7369" s="4">
        <v>42403</v>
      </c>
      <c r="BD7369">
        <v>0</v>
      </c>
      <c r="BN7369" t="s">
        <v>74</v>
      </c>
    </row>
    <row r="7370" spans="1:66" hidden="1">
      <c r="A7370">
        <v>104210</v>
      </c>
      <c r="B7370" s="3" t="s">
        <v>626</v>
      </c>
      <c r="C7370" s="1">
        <v>43300101</v>
      </c>
      <c r="D7370" t="s">
        <v>67</v>
      </c>
      <c r="H7370" t="str">
        <f>"01108720598"</f>
        <v>01108720598</v>
      </c>
      <c r="I7370" t="str">
        <f>"01467050181"</f>
        <v>01467050181</v>
      </c>
      <c r="K7370" t="str">
        <f>""</f>
        <v/>
      </c>
      <c r="M7370" t="s">
        <v>68</v>
      </c>
      <c r="N7370" t="str">
        <f t="shared" si="723"/>
        <v>FOR</v>
      </c>
      <c r="O7370" t="s">
        <v>69</v>
      </c>
      <c r="P7370" s="3" t="s">
        <v>75</v>
      </c>
      <c r="Q7370">
        <v>2016</v>
      </c>
      <c r="R7370" s="2">
        <v>42531</v>
      </c>
      <c r="S7370" s="2">
        <v>42534</v>
      </c>
      <c r="T7370" s="2">
        <v>42531</v>
      </c>
      <c r="U7370" s="2">
        <v>42591</v>
      </c>
      <c r="V7370" t="s">
        <v>71</v>
      </c>
      <c r="W7370" t="str">
        <f>"              864/PA"</f>
        <v xml:space="preserve">              864/PA</v>
      </c>
      <c r="X7370">
        <v>122.34</v>
      </c>
      <c r="Y7370">
        <v>0</v>
      </c>
      <c r="Z7370"/>
      <c r="AB7370"/>
      <c r="AC7370">
        <v>111.22</v>
      </c>
      <c r="AD7370">
        <v>29</v>
      </c>
      <c r="AE7370" s="1">
        <v>3225.38</v>
      </c>
      <c r="AF7370">
        <v>0</v>
      </c>
      <c r="AJ7370">
        <v>0</v>
      </c>
      <c r="AK7370">
        <v>0</v>
      </c>
      <c r="AL7370">
        <v>0</v>
      </c>
      <c r="AM7370">
        <v>122.34</v>
      </c>
      <c r="AN7370">
        <v>122.34</v>
      </c>
      <c r="AO7370">
        <v>122.34</v>
      </c>
      <c r="AP7370" s="2">
        <v>42746</v>
      </c>
      <c r="AQ7370" t="s">
        <v>72</v>
      </c>
      <c r="AR7370" t="s">
        <v>72</v>
      </c>
      <c r="AS7370">
        <v>2329</v>
      </c>
      <c r="AT7370" s="4">
        <v>42620</v>
      </c>
      <c r="AU7370" t="s">
        <v>73</v>
      </c>
      <c r="AV7370">
        <v>2329</v>
      </c>
      <c r="AW7370" s="4">
        <v>42620</v>
      </c>
      <c r="BD7370">
        <v>0</v>
      </c>
      <c r="BN7370" t="s">
        <v>74</v>
      </c>
    </row>
    <row r="7371" spans="1:66" hidden="1">
      <c r="A7371">
        <v>104211</v>
      </c>
      <c r="B7371" s="3" t="s">
        <v>627</v>
      </c>
      <c r="C7371" s="1">
        <v>43300101</v>
      </c>
      <c r="D7371" t="s">
        <v>67</v>
      </c>
      <c r="H7371" t="str">
        <f t="shared" ref="H7371:I7376" si="725">"02871910655"</f>
        <v>02871910655</v>
      </c>
      <c r="I7371" t="str">
        <f t="shared" si="725"/>
        <v>02871910655</v>
      </c>
      <c r="K7371" t="str">
        <f>""</f>
        <v/>
      </c>
      <c r="M7371" t="s">
        <v>68</v>
      </c>
      <c r="N7371" t="str">
        <f t="shared" si="723"/>
        <v>FOR</v>
      </c>
      <c r="O7371" t="s">
        <v>69</v>
      </c>
      <c r="P7371" s="3" t="s">
        <v>75</v>
      </c>
      <c r="Q7371">
        <v>2015</v>
      </c>
      <c r="R7371" s="2">
        <v>42135</v>
      </c>
      <c r="S7371" s="2">
        <v>42160</v>
      </c>
      <c r="T7371" s="2">
        <v>42149</v>
      </c>
      <c r="U7371" s="2">
        <v>42209</v>
      </c>
      <c r="V7371" t="s">
        <v>71</v>
      </c>
      <c r="W7371" t="str">
        <f>"                81/S"</f>
        <v xml:space="preserve">                81/S</v>
      </c>
      <c r="X7371" s="1">
        <v>1464</v>
      </c>
      <c r="Y7371">
        <v>0</v>
      </c>
      <c r="Z7371"/>
      <c r="AB7371"/>
      <c r="AC7371" s="1">
        <v>1200</v>
      </c>
      <c r="AD7371">
        <v>244</v>
      </c>
      <c r="AE7371" s="1">
        <v>292800</v>
      </c>
      <c r="AF7371">
        <v>0</v>
      </c>
      <c r="AJ7371">
        <v>0</v>
      </c>
      <c r="AK7371">
        <v>0</v>
      </c>
      <c r="AL7371">
        <v>0</v>
      </c>
      <c r="AM7371">
        <v>0</v>
      </c>
      <c r="AN7371">
        <v>0</v>
      </c>
      <c r="AO7371">
        <v>0</v>
      </c>
      <c r="AP7371" s="2">
        <v>42746</v>
      </c>
      <c r="AQ7371" t="s">
        <v>72</v>
      </c>
      <c r="AR7371" t="s">
        <v>72</v>
      </c>
      <c r="AS7371">
        <v>851</v>
      </c>
      <c r="AT7371" s="4">
        <v>42453</v>
      </c>
      <c r="AU7371" t="s">
        <v>73</v>
      </c>
      <c r="AV7371">
        <v>851</v>
      </c>
      <c r="AW7371" s="4">
        <v>42453</v>
      </c>
      <c r="BD7371">
        <v>0</v>
      </c>
      <c r="BN7371" t="s">
        <v>74</v>
      </c>
    </row>
    <row r="7372" spans="1:66" hidden="1">
      <c r="A7372">
        <v>104211</v>
      </c>
      <c r="B7372" s="3" t="s">
        <v>627</v>
      </c>
      <c r="C7372" s="1">
        <v>43300101</v>
      </c>
      <c r="D7372" t="s">
        <v>67</v>
      </c>
      <c r="H7372" t="str">
        <f t="shared" si="725"/>
        <v>02871910655</v>
      </c>
      <c r="I7372" t="str">
        <f t="shared" si="725"/>
        <v>02871910655</v>
      </c>
      <c r="K7372" t="str">
        <f>""</f>
        <v/>
      </c>
      <c r="M7372" t="s">
        <v>68</v>
      </c>
      <c r="N7372" t="str">
        <f t="shared" si="723"/>
        <v>FOR</v>
      </c>
      <c r="O7372" t="s">
        <v>69</v>
      </c>
      <c r="P7372" s="3" t="s">
        <v>75</v>
      </c>
      <c r="Q7372">
        <v>2015</v>
      </c>
      <c r="R7372" s="2">
        <v>42163</v>
      </c>
      <c r="S7372" s="2">
        <v>42167</v>
      </c>
      <c r="T7372" s="2">
        <v>42167</v>
      </c>
      <c r="U7372" s="2">
        <v>42227</v>
      </c>
      <c r="V7372" t="s">
        <v>71</v>
      </c>
      <c r="W7372" t="str">
        <f>"               129/S"</f>
        <v xml:space="preserve">               129/S</v>
      </c>
      <c r="X7372">
        <v>732</v>
      </c>
      <c r="Y7372">
        <v>0</v>
      </c>
      <c r="Z7372"/>
      <c r="AB7372"/>
      <c r="AC7372">
        <v>600</v>
      </c>
      <c r="AD7372">
        <v>300</v>
      </c>
      <c r="AE7372" s="1">
        <v>180000</v>
      </c>
      <c r="AF7372">
        <v>0</v>
      </c>
      <c r="AJ7372">
        <v>0</v>
      </c>
      <c r="AK7372">
        <v>0</v>
      </c>
      <c r="AL7372">
        <v>0</v>
      </c>
      <c r="AM7372">
        <v>0</v>
      </c>
      <c r="AN7372">
        <v>0</v>
      </c>
      <c r="AO7372">
        <v>0</v>
      </c>
      <c r="AP7372" s="2">
        <v>42746</v>
      </c>
      <c r="AQ7372" t="s">
        <v>72</v>
      </c>
      <c r="AR7372" t="s">
        <v>72</v>
      </c>
      <c r="AS7372">
        <v>1523</v>
      </c>
      <c r="AT7372" s="4">
        <v>42527</v>
      </c>
      <c r="AU7372" t="s">
        <v>73</v>
      </c>
      <c r="AV7372">
        <v>1523</v>
      </c>
      <c r="AW7372" s="4">
        <v>42527</v>
      </c>
      <c r="BD7372">
        <v>0</v>
      </c>
      <c r="BN7372" t="s">
        <v>74</v>
      </c>
    </row>
    <row r="7373" spans="1:66" hidden="1">
      <c r="A7373">
        <v>104211</v>
      </c>
      <c r="B7373" s="3" t="s">
        <v>627</v>
      </c>
      <c r="C7373" s="1">
        <v>43300101</v>
      </c>
      <c r="D7373" t="s">
        <v>67</v>
      </c>
      <c r="H7373" t="str">
        <f t="shared" si="725"/>
        <v>02871910655</v>
      </c>
      <c r="I7373" t="str">
        <f t="shared" si="725"/>
        <v>02871910655</v>
      </c>
      <c r="K7373" t="str">
        <f>""</f>
        <v/>
      </c>
      <c r="M7373" t="s">
        <v>68</v>
      </c>
      <c r="N7373" t="str">
        <f t="shared" si="723"/>
        <v>FOR</v>
      </c>
      <c r="O7373" t="s">
        <v>69</v>
      </c>
      <c r="P7373" s="3" t="s">
        <v>75</v>
      </c>
      <c r="Q7373">
        <v>2015</v>
      </c>
      <c r="R7373" s="2">
        <v>42201</v>
      </c>
      <c r="S7373" s="2">
        <v>42212</v>
      </c>
      <c r="T7373" s="2">
        <v>42209</v>
      </c>
      <c r="U7373" s="2">
        <v>42269</v>
      </c>
      <c r="V7373" t="s">
        <v>71</v>
      </c>
      <c r="W7373" t="str">
        <f>"               222/S"</f>
        <v xml:space="preserve">               222/S</v>
      </c>
      <c r="X7373" s="1">
        <v>1464</v>
      </c>
      <c r="Y7373">
        <v>0</v>
      </c>
      <c r="Z7373"/>
      <c r="AB7373"/>
      <c r="AC7373" s="1">
        <v>1200</v>
      </c>
      <c r="AD7373">
        <v>283</v>
      </c>
      <c r="AE7373" s="1">
        <v>339600</v>
      </c>
      <c r="AF7373">
        <v>0</v>
      </c>
      <c r="AJ7373">
        <v>0</v>
      </c>
      <c r="AK7373">
        <v>0</v>
      </c>
      <c r="AL7373">
        <v>0</v>
      </c>
      <c r="AM7373">
        <v>0</v>
      </c>
      <c r="AN7373">
        <v>0</v>
      </c>
      <c r="AO7373">
        <v>0</v>
      </c>
      <c r="AP7373" s="2">
        <v>42746</v>
      </c>
      <c r="AQ7373" t="s">
        <v>72</v>
      </c>
      <c r="AR7373" t="s">
        <v>72</v>
      </c>
      <c r="AS7373">
        <v>1666</v>
      </c>
      <c r="AT7373" s="4">
        <v>42552</v>
      </c>
      <c r="AU7373" t="s">
        <v>73</v>
      </c>
      <c r="AV7373">
        <v>1666</v>
      </c>
      <c r="AW7373" s="4">
        <v>42552</v>
      </c>
      <c r="BD7373">
        <v>0</v>
      </c>
      <c r="BN7373" t="s">
        <v>74</v>
      </c>
    </row>
    <row r="7374" spans="1:66" hidden="1">
      <c r="A7374">
        <v>104211</v>
      </c>
      <c r="B7374" s="3" t="s">
        <v>627</v>
      </c>
      <c r="C7374" s="1">
        <v>43300101</v>
      </c>
      <c r="D7374" t="s">
        <v>67</v>
      </c>
      <c r="H7374" t="str">
        <f t="shared" si="725"/>
        <v>02871910655</v>
      </c>
      <c r="I7374" t="str">
        <f t="shared" si="725"/>
        <v>02871910655</v>
      </c>
      <c r="K7374" t="str">
        <f>""</f>
        <v/>
      </c>
      <c r="M7374" t="s">
        <v>68</v>
      </c>
      <c r="N7374" t="str">
        <f t="shared" si="723"/>
        <v>FOR</v>
      </c>
      <c r="O7374" t="s">
        <v>69</v>
      </c>
      <c r="P7374" s="3" t="s">
        <v>75</v>
      </c>
      <c r="Q7374">
        <v>2015</v>
      </c>
      <c r="R7374" s="2">
        <v>42215</v>
      </c>
      <c r="S7374" s="2">
        <v>42229</v>
      </c>
      <c r="T7374" s="2">
        <v>42220</v>
      </c>
      <c r="U7374" s="2">
        <v>42280</v>
      </c>
      <c r="V7374" t="s">
        <v>71</v>
      </c>
      <c r="W7374" t="str">
        <f>"               260/S"</f>
        <v xml:space="preserve">               260/S</v>
      </c>
      <c r="X7374">
        <v>732</v>
      </c>
      <c r="Y7374">
        <v>0</v>
      </c>
      <c r="Z7374"/>
      <c r="AB7374"/>
      <c r="AC7374">
        <v>600</v>
      </c>
      <c r="AD7374">
        <v>272</v>
      </c>
      <c r="AE7374" s="1">
        <v>163200</v>
      </c>
      <c r="AF7374">
        <v>0</v>
      </c>
      <c r="AJ7374">
        <v>0</v>
      </c>
      <c r="AK7374">
        <v>0</v>
      </c>
      <c r="AL7374">
        <v>0</v>
      </c>
      <c r="AM7374">
        <v>0</v>
      </c>
      <c r="AN7374">
        <v>0</v>
      </c>
      <c r="AO7374">
        <v>0</v>
      </c>
      <c r="AP7374" s="2">
        <v>42746</v>
      </c>
      <c r="AQ7374" t="s">
        <v>72</v>
      </c>
      <c r="AR7374" t="s">
        <v>72</v>
      </c>
      <c r="AS7374">
        <v>1666</v>
      </c>
      <c r="AT7374" s="4">
        <v>42552</v>
      </c>
      <c r="AU7374" t="s">
        <v>73</v>
      </c>
      <c r="AV7374">
        <v>1666</v>
      </c>
      <c r="AW7374" s="4">
        <v>42552</v>
      </c>
      <c r="BD7374">
        <v>0</v>
      </c>
      <c r="BN7374" t="s">
        <v>74</v>
      </c>
    </row>
    <row r="7375" spans="1:66">
      <c r="A7375">
        <v>104211</v>
      </c>
      <c r="B7375" s="3" t="s">
        <v>627</v>
      </c>
      <c r="C7375" s="1">
        <v>43300101</v>
      </c>
      <c r="D7375" t="s">
        <v>67</v>
      </c>
      <c r="H7375" t="str">
        <f t="shared" si="725"/>
        <v>02871910655</v>
      </c>
      <c r="I7375" t="str">
        <f t="shared" si="725"/>
        <v>02871910655</v>
      </c>
      <c r="K7375" t="str">
        <f>""</f>
        <v/>
      </c>
      <c r="M7375" t="s">
        <v>68</v>
      </c>
      <c r="N7375" t="str">
        <f t="shared" si="723"/>
        <v>FOR</v>
      </c>
      <c r="O7375" t="s">
        <v>69</v>
      </c>
      <c r="P7375" s="3" t="s">
        <v>75</v>
      </c>
      <c r="Q7375">
        <v>2016</v>
      </c>
      <c r="R7375" s="2">
        <v>42394</v>
      </c>
      <c r="S7375" s="2">
        <v>42396</v>
      </c>
      <c r="T7375" s="2">
        <v>42395</v>
      </c>
      <c r="U7375" s="2">
        <v>42455</v>
      </c>
      <c r="V7375" t="s">
        <v>71</v>
      </c>
      <c r="W7375" t="str">
        <f>"                25/S"</f>
        <v xml:space="preserve">                25/S</v>
      </c>
      <c r="X7375" s="1">
        <v>2196</v>
      </c>
      <c r="Y7375">
        <v>0</v>
      </c>
      <c r="Z7375" s="5">
        <v>1800</v>
      </c>
      <c r="AA7375">
        <v>235</v>
      </c>
      <c r="AB7375" s="5">
        <v>423000</v>
      </c>
      <c r="AC7375" s="1">
        <v>1800</v>
      </c>
      <c r="AD7375">
        <v>235</v>
      </c>
      <c r="AE7375" s="1">
        <v>423000</v>
      </c>
      <c r="AF7375">
        <v>0</v>
      </c>
      <c r="AJ7375">
        <v>0</v>
      </c>
      <c r="AK7375">
        <v>0</v>
      </c>
      <c r="AL7375">
        <v>0</v>
      </c>
      <c r="AM7375" s="1">
        <v>2196</v>
      </c>
      <c r="AN7375" s="1">
        <v>2196</v>
      </c>
      <c r="AO7375" s="1">
        <v>2196</v>
      </c>
      <c r="AP7375" s="2">
        <v>42746</v>
      </c>
      <c r="AQ7375" t="s">
        <v>72</v>
      </c>
      <c r="AR7375" t="s">
        <v>72</v>
      </c>
      <c r="AS7375">
        <v>3141</v>
      </c>
      <c r="AT7375" s="4">
        <v>42690</v>
      </c>
      <c r="AU7375" t="s">
        <v>73</v>
      </c>
      <c r="AV7375">
        <v>3141</v>
      </c>
      <c r="AW7375" s="4">
        <v>42690</v>
      </c>
      <c r="BD7375">
        <v>0</v>
      </c>
      <c r="BN7375" t="s">
        <v>74</v>
      </c>
    </row>
    <row r="7376" spans="1:66">
      <c r="A7376">
        <v>104211</v>
      </c>
      <c r="B7376" s="3" t="s">
        <v>627</v>
      </c>
      <c r="C7376" s="1">
        <v>43300101</v>
      </c>
      <c r="D7376" t="s">
        <v>67</v>
      </c>
      <c r="H7376" t="str">
        <f t="shared" si="725"/>
        <v>02871910655</v>
      </c>
      <c r="I7376" t="str">
        <f t="shared" si="725"/>
        <v>02871910655</v>
      </c>
      <c r="K7376" t="str">
        <f>""</f>
        <v/>
      </c>
      <c r="M7376" t="s">
        <v>68</v>
      </c>
      <c r="N7376" t="str">
        <f t="shared" si="723"/>
        <v>FOR</v>
      </c>
      <c r="O7376" t="s">
        <v>69</v>
      </c>
      <c r="P7376" s="3" t="s">
        <v>75</v>
      </c>
      <c r="Q7376">
        <v>2016</v>
      </c>
      <c r="R7376" s="2">
        <v>42499</v>
      </c>
      <c r="S7376" s="2">
        <v>42501</v>
      </c>
      <c r="T7376" s="2">
        <v>42499</v>
      </c>
      <c r="U7376" s="2">
        <v>42559</v>
      </c>
      <c r="V7376" t="s">
        <v>71</v>
      </c>
      <c r="W7376" t="str">
        <f>"               210/S"</f>
        <v xml:space="preserve">               210/S</v>
      </c>
      <c r="X7376" s="1">
        <v>4984.92</v>
      </c>
      <c r="Y7376">
        <v>0</v>
      </c>
      <c r="Z7376" s="5">
        <v>4086</v>
      </c>
      <c r="AA7376">
        <v>131</v>
      </c>
      <c r="AB7376" s="5">
        <v>535266</v>
      </c>
      <c r="AC7376" s="1">
        <v>4086</v>
      </c>
      <c r="AD7376">
        <v>131</v>
      </c>
      <c r="AE7376" s="1">
        <v>535266</v>
      </c>
      <c r="AF7376">
        <v>0</v>
      </c>
      <c r="AJ7376">
        <v>0</v>
      </c>
      <c r="AK7376">
        <v>0</v>
      </c>
      <c r="AL7376">
        <v>0</v>
      </c>
      <c r="AM7376" s="1">
        <v>4984.92</v>
      </c>
      <c r="AN7376" s="1">
        <v>4984.92</v>
      </c>
      <c r="AO7376" s="1">
        <v>4984.92</v>
      </c>
      <c r="AP7376" s="2">
        <v>42746</v>
      </c>
      <c r="AQ7376" t="s">
        <v>72</v>
      </c>
      <c r="AR7376" t="s">
        <v>72</v>
      </c>
      <c r="AS7376">
        <v>3142</v>
      </c>
      <c r="AT7376" s="4">
        <v>42690</v>
      </c>
      <c r="AU7376" t="s">
        <v>73</v>
      </c>
      <c r="AV7376">
        <v>3142</v>
      </c>
      <c r="AW7376" s="4">
        <v>42690</v>
      </c>
      <c r="BD7376">
        <v>0</v>
      </c>
      <c r="BN7376" t="s">
        <v>74</v>
      </c>
    </row>
    <row r="7377" spans="1:66" hidden="1">
      <c r="A7377">
        <v>104229</v>
      </c>
      <c r="B7377" s="3" t="s">
        <v>628</v>
      </c>
      <c r="C7377" s="1">
        <v>43300101</v>
      </c>
      <c r="D7377" t="s">
        <v>67</v>
      </c>
      <c r="H7377" t="str">
        <f t="shared" ref="H7377:I7386" si="726">"03350760967"</f>
        <v>03350760967</v>
      </c>
      <c r="I7377" t="str">
        <f t="shared" si="726"/>
        <v>03350760967</v>
      </c>
      <c r="K7377" t="str">
        <f>""</f>
        <v/>
      </c>
      <c r="M7377" t="s">
        <v>68</v>
      </c>
      <c r="N7377" t="str">
        <f t="shared" si="723"/>
        <v>FOR</v>
      </c>
      <c r="O7377" t="s">
        <v>69</v>
      </c>
      <c r="P7377" s="3" t="s">
        <v>70</v>
      </c>
      <c r="Q7377">
        <v>2015</v>
      </c>
      <c r="R7377" s="2">
        <v>42089</v>
      </c>
      <c r="S7377" s="2">
        <v>42541</v>
      </c>
      <c r="T7377" s="2">
        <v>42541</v>
      </c>
      <c r="U7377" s="2">
        <v>42601</v>
      </c>
      <c r="V7377" t="s">
        <v>71</v>
      </c>
      <c r="W7377" t="str">
        <f>"          2015008676"</f>
        <v xml:space="preserve">          2015008676</v>
      </c>
      <c r="X7377">
        <v>138.24</v>
      </c>
      <c r="Y7377">
        <v>0</v>
      </c>
      <c r="Z7377"/>
      <c r="AB7377"/>
      <c r="AC7377">
        <v>115.2</v>
      </c>
      <c r="AD7377">
        <v>-25</v>
      </c>
      <c r="AE7377" s="1">
        <v>-2880</v>
      </c>
      <c r="AF7377">
        <v>0</v>
      </c>
      <c r="AJ7377">
        <v>0</v>
      </c>
      <c r="AK7377">
        <v>0</v>
      </c>
      <c r="AL7377">
        <v>0</v>
      </c>
      <c r="AM7377">
        <v>0</v>
      </c>
      <c r="AN7377">
        <v>138.24</v>
      </c>
      <c r="AO7377">
        <v>0</v>
      </c>
      <c r="AP7377" s="2">
        <v>42746</v>
      </c>
      <c r="AQ7377" t="s">
        <v>72</v>
      </c>
      <c r="AR7377" t="s">
        <v>72</v>
      </c>
      <c r="AS7377">
        <v>1886</v>
      </c>
      <c r="AT7377" s="4">
        <v>42576</v>
      </c>
      <c r="AV7377">
        <v>1886</v>
      </c>
      <c r="AW7377" s="4">
        <v>42576</v>
      </c>
      <c r="BD7377">
        <v>0</v>
      </c>
      <c r="BN7377" t="s">
        <v>74</v>
      </c>
    </row>
    <row r="7378" spans="1:66" hidden="1">
      <c r="A7378">
        <v>104229</v>
      </c>
      <c r="B7378" s="3" t="s">
        <v>628</v>
      </c>
      <c r="C7378" s="1">
        <v>43300101</v>
      </c>
      <c r="D7378" t="s">
        <v>67</v>
      </c>
      <c r="H7378" t="str">
        <f t="shared" si="726"/>
        <v>03350760967</v>
      </c>
      <c r="I7378" t="str">
        <f t="shared" si="726"/>
        <v>03350760967</v>
      </c>
      <c r="K7378" t="str">
        <f>""</f>
        <v/>
      </c>
      <c r="M7378" t="s">
        <v>68</v>
      </c>
      <c r="N7378" t="str">
        <f t="shared" si="723"/>
        <v>FOR</v>
      </c>
      <c r="O7378" t="s">
        <v>69</v>
      </c>
      <c r="P7378" s="3" t="s">
        <v>70</v>
      </c>
      <c r="Q7378">
        <v>2015</v>
      </c>
      <c r="R7378" s="2">
        <v>42171</v>
      </c>
      <c r="S7378" s="2">
        <v>42541</v>
      </c>
      <c r="T7378" s="2">
        <v>42541</v>
      </c>
      <c r="U7378" s="2">
        <v>42601</v>
      </c>
      <c r="V7378" t="s">
        <v>71</v>
      </c>
      <c r="W7378" t="str">
        <f>"          3000001317"</f>
        <v xml:space="preserve">          3000001317</v>
      </c>
      <c r="X7378">
        <v>122</v>
      </c>
      <c r="Y7378">
        <v>0</v>
      </c>
      <c r="Z7378"/>
      <c r="AB7378"/>
      <c r="AC7378">
        <v>100</v>
      </c>
      <c r="AD7378">
        <v>-25</v>
      </c>
      <c r="AE7378" s="1">
        <v>-2500</v>
      </c>
      <c r="AF7378">
        <v>0</v>
      </c>
      <c r="AJ7378">
        <v>0</v>
      </c>
      <c r="AK7378">
        <v>0</v>
      </c>
      <c r="AL7378">
        <v>0</v>
      </c>
      <c r="AM7378">
        <v>0</v>
      </c>
      <c r="AN7378">
        <v>122</v>
      </c>
      <c r="AO7378">
        <v>0</v>
      </c>
      <c r="AP7378" s="2">
        <v>42746</v>
      </c>
      <c r="AQ7378" t="s">
        <v>72</v>
      </c>
      <c r="AR7378" t="s">
        <v>72</v>
      </c>
      <c r="AS7378">
        <v>1886</v>
      </c>
      <c r="AT7378" s="4">
        <v>42576</v>
      </c>
      <c r="AV7378">
        <v>1886</v>
      </c>
      <c r="AW7378" s="4">
        <v>42576</v>
      </c>
      <c r="BD7378">
        <v>0</v>
      </c>
      <c r="BN7378" t="s">
        <v>74</v>
      </c>
    </row>
    <row r="7379" spans="1:66" hidden="1">
      <c r="A7379">
        <v>104229</v>
      </c>
      <c r="B7379" s="3" t="s">
        <v>628</v>
      </c>
      <c r="C7379" s="1">
        <v>43300101</v>
      </c>
      <c r="D7379" t="s">
        <v>67</v>
      </c>
      <c r="H7379" t="str">
        <f t="shared" si="726"/>
        <v>03350760967</v>
      </c>
      <c r="I7379" t="str">
        <f t="shared" si="726"/>
        <v>03350760967</v>
      </c>
      <c r="K7379" t="str">
        <f>""</f>
        <v/>
      </c>
      <c r="M7379" t="s">
        <v>68</v>
      </c>
      <c r="N7379" t="str">
        <f t="shared" si="723"/>
        <v>FOR</v>
      </c>
      <c r="O7379" t="s">
        <v>69</v>
      </c>
      <c r="P7379" s="3" t="s">
        <v>70</v>
      </c>
      <c r="Q7379">
        <v>2015</v>
      </c>
      <c r="R7379" s="2">
        <v>42193</v>
      </c>
      <c r="S7379" s="2">
        <v>42541</v>
      </c>
      <c r="T7379" s="2">
        <v>42541</v>
      </c>
      <c r="U7379" s="2">
        <v>42601</v>
      </c>
      <c r="V7379" t="s">
        <v>71</v>
      </c>
      <c r="W7379" t="str">
        <f>"          3000001708"</f>
        <v xml:space="preserve">          3000001708</v>
      </c>
      <c r="X7379">
        <v>122</v>
      </c>
      <c r="Y7379">
        <v>0</v>
      </c>
      <c r="Z7379"/>
      <c r="AB7379"/>
      <c r="AC7379">
        <v>100</v>
      </c>
      <c r="AD7379">
        <v>-25</v>
      </c>
      <c r="AE7379" s="1">
        <v>-2500</v>
      </c>
      <c r="AF7379">
        <v>0</v>
      </c>
      <c r="AJ7379">
        <v>0</v>
      </c>
      <c r="AK7379">
        <v>0</v>
      </c>
      <c r="AL7379">
        <v>0</v>
      </c>
      <c r="AM7379">
        <v>0</v>
      </c>
      <c r="AN7379">
        <v>122</v>
      </c>
      <c r="AO7379">
        <v>0</v>
      </c>
      <c r="AP7379" s="2">
        <v>42746</v>
      </c>
      <c r="AQ7379" t="s">
        <v>72</v>
      </c>
      <c r="AR7379" t="s">
        <v>72</v>
      </c>
      <c r="AS7379">
        <v>1886</v>
      </c>
      <c r="AT7379" s="4">
        <v>42576</v>
      </c>
      <c r="AV7379">
        <v>1886</v>
      </c>
      <c r="AW7379" s="4">
        <v>42576</v>
      </c>
      <c r="BD7379">
        <v>0</v>
      </c>
      <c r="BN7379" t="s">
        <v>74</v>
      </c>
    </row>
    <row r="7380" spans="1:66" hidden="1">
      <c r="A7380">
        <v>104229</v>
      </c>
      <c r="B7380" s="3" t="s">
        <v>628</v>
      </c>
      <c r="C7380" s="1">
        <v>43300101</v>
      </c>
      <c r="D7380" t="s">
        <v>67</v>
      </c>
      <c r="H7380" t="str">
        <f t="shared" si="726"/>
        <v>03350760967</v>
      </c>
      <c r="I7380" t="str">
        <f t="shared" si="726"/>
        <v>03350760967</v>
      </c>
      <c r="K7380" t="str">
        <f>""</f>
        <v/>
      </c>
      <c r="M7380" t="s">
        <v>68</v>
      </c>
      <c r="N7380" t="str">
        <f t="shared" si="723"/>
        <v>FOR</v>
      </c>
      <c r="O7380" t="s">
        <v>69</v>
      </c>
      <c r="P7380" s="3" t="s">
        <v>75</v>
      </c>
      <c r="Q7380">
        <v>2015</v>
      </c>
      <c r="R7380" s="2">
        <v>42334</v>
      </c>
      <c r="S7380" s="2">
        <v>42338</v>
      </c>
      <c r="T7380" s="2">
        <v>42335</v>
      </c>
      <c r="U7380" s="2">
        <v>42395</v>
      </c>
      <c r="V7380" t="s">
        <v>71</v>
      </c>
      <c r="W7380" t="str">
        <f>"          3000003509"</f>
        <v xml:space="preserve">          3000003509</v>
      </c>
      <c r="X7380">
        <v>140.54</v>
      </c>
      <c r="Y7380">
        <v>0</v>
      </c>
      <c r="Z7380"/>
      <c r="AB7380"/>
      <c r="AC7380">
        <v>115.2</v>
      </c>
      <c r="AD7380">
        <v>132</v>
      </c>
      <c r="AE7380" s="1">
        <v>15206.4</v>
      </c>
      <c r="AF7380">
        <v>0</v>
      </c>
      <c r="AJ7380">
        <v>0</v>
      </c>
      <c r="AK7380">
        <v>0</v>
      </c>
      <c r="AL7380">
        <v>0</v>
      </c>
      <c r="AM7380">
        <v>0</v>
      </c>
      <c r="AN7380">
        <v>0</v>
      </c>
      <c r="AO7380">
        <v>0</v>
      </c>
      <c r="AP7380" s="2">
        <v>42746</v>
      </c>
      <c r="AQ7380" t="s">
        <v>72</v>
      </c>
      <c r="AR7380" t="s">
        <v>72</v>
      </c>
      <c r="AS7380">
        <v>1510</v>
      </c>
      <c r="AT7380" s="4">
        <v>42527</v>
      </c>
      <c r="AU7380" t="s">
        <v>73</v>
      </c>
      <c r="AV7380">
        <v>1510</v>
      </c>
      <c r="AW7380" s="4">
        <v>42527</v>
      </c>
      <c r="BD7380">
        <v>0</v>
      </c>
      <c r="BN7380" t="s">
        <v>74</v>
      </c>
    </row>
    <row r="7381" spans="1:66" hidden="1">
      <c r="A7381">
        <v>104229</v>
      </c>
      <c r="B7381" s="3" t="s">
        <v>628</v>
      </c>
      <c r="C7381" s="1">
        <v>43300101</v>
      </c>
      <c r="D7381" t="s">
        <v>67</v>
      </c>
      <c r="H7381" t="str">
        <f t="shared" si="726"/>
        <v>03350760967</v>
      </c>
      <c r="I7381" t="str">
        <f t="shared" si="726"/>
        <v>03350760967</v>
      </c>
      <c r="K7381" t="str">
        <f>""</f>
        <v/>
      </c>
      <c r="M7381" t="s">
        <v>68</v>
      </c>
      <c r="N7381" t="str">
        <f t="shared" si="723"/>
        <v>FOR</v>
      </c>
      <c r="O7381" t="s">
        <v>69</v>
      </c>
      <c r="P7381" s="3" t="s">
        <v>75</v>
      </c>
      <c r="Q7381">
        <v>2015</v>
      </c>
      <c r="R7381" s="2">
        <v>42354</v>
      </c>
      <c r="S7381" s="2">
        <v>42359</v>
      </c>
      <c r="T7381" s="2">
        <v>42355</v>
      </c>
      <c r="U7381" s="2">
        <v>42415</v>
      </c>
      <c r="V7381" t="s">
        <v>71</v>
      </c>
      <c r="W7381" t="str">
        <f>"          3000003956"</f>
        <v xml:space="preserve">          3000003956</v>
      </c>
      <c r="X7381">
        <v>244</v>
      </c>
      <c r="Y7381">
        <v>0</v>
      </c>
      <c r="Z7381"/>
      <c r="AB7381"/>
      <c r="AC7381">
        <v>200</v>
      </c>
      <c r="AD7381">
        <v>112</v>
      </c>
      <c r="AE7381" s="1">
        <v>22400</v>
      </c>
      <c r="AF7381">
        <v>0</v>
      </c>
      <c r="AJ7381">
        <v>0</v>
      </c>
      <c r="AK7381">
        <v>0</v>
      </c>
      <c r="AL7381">
        <v>0</v>
      </c>
      <c r="AM7381">
        <v>0</v>
      </c>
      <c r="AN7381">
        <v>0</v>
      </c>
      <c r="AO7381">
        <v>0</v>
      </c>
      <c r="AP7381" s="2">
        <v>42746</v>
      </c>
      <c r="AQ7381" t="s">
        <v>72</v>
      </c>
      <c r="AR7381" t="s">
        <v>72</v>
      </c>
      <c r="AS7381">
        <v>1510</v>
      </c>
      <c r="AT7381" s="4">
        <v>42527</v>
      </c>
      <c r="AU7381" t="s">
        <v>73</v>
      </c>
      <c r="AV7381">
        <v>1510</v>
      </c>
      <c r="AW7381" s="4">
        <v>42527</v>
      </c>
      <c r="BD7381">
        <v>0</v>
      </c>
      <c r="BN7381" t="s">
        <v>74</v>
      </c>
    </row>
    <row r="7382" spans="1:66" hidden="1">
      <c r="A7382">
        <v>104229</v>
      </c>
      <c r="B7382" s="3" t="s">
        <v>628</v>
      </c>
      <c r="C7382" s="1">
        <v>43300101</v>
      </c>
      <c r="D7382" t="s">
        <v>67</v>
      </c>
      <c r="H7382" t="str">
        <f t="shared" si="726"/>
        <v>03350760967</v>
      </c>
      <c r="I7382" t="str">
        <f t="shared" si="726"/>
        <v>03350760967</v>
      </c>
      <c r="K7382" t="str">
        <f>""</f>
        <v/>
      </c>
      <c r="M7382" t="s">
        <v>68</v>
      </c>
      <c r="N7382" t="str">
        <f t="shared" si="723"/>
        <v>FOR</v>
      </c>
      <c r="O7382" t="s">
        <v>69</v>
      </c>
      <c r="P7382" s="3" t="s">
        <v>75</v>
      </c>
      <c r="Q7382">
        <v>2016</v>
      </c>
      <c r="R7382" s="2">
        <v>42431</v>
      </c>
      <c r="S7382" s="2">
        <v>42436</v>
      </c>
      <c r="T7382" s="2">
        <v>42432</v>
      </c>
      <c r="U7382" s="2">
        <v>42492</v>
      </c>
      <c r="V7382" t="s">
        <v>71</v>
      </c>
      <c r="W7382" t="str">
        <f>"          3000000858"</f>
        <v xml:space="preserve">          3000000858</v>
      </c>
      <c r="X7382">
        <v>140.54</v>
      </c>
      <c r="Y7382">
        <v>0</v>
      </c>
      <c r="Z7382"/>
      <c r="AB7382"/>
      <c r="AC7382">
        <v>115.2</v>
      </c>
      <c r="AD7382">
        <v>84</v>
      </c>
      <c r="AE7382" s="1">
        <v>9676.7999999999993</v>
      </c>
      <c r="AF7382">
        <v>0</v>
      </c>
      <c r="AJ7382">
        <v>0</v>
      </c>
      <c r="AK7382">
        <v>0</v>
      </c>
      <c r="AL7382">
        <v>0</v>
      </c>
      <c r="AM7382">
        <v>140.54</v>
      </c>
      <c r="AN7382">
        <v>140.54</v>
      </c>
      <c r="AO7382">
        <v>140.54</v>
      </c>
      <c r="AP7382" s="2">
        <v>42746</v>
      </c>
      <c r="AQ7382" t="s">
        <v>72</v>
      </c>
      <c r="AR7382" t="s">
        <v>72</v>
      </c>
      <c r="AS7382">
        <v>1886</v>
      </c>
      <c r="AT7382" s="4">
        <v>42576</v>
      </c>
      <c r="AU7382" t="s">
        <v>73</v>
      </c>
      <c r="AV7382">
        <v>1886</v>
      </c>
      <c r="AW7382" s="4">
        <v>42576</v>
      </c>
      <c r="BD7382">
        <v>0</v>
      </c>
      <c r="BN7382" t="s">
        <v>74</v>
      </c>
    </row>
    <row r="7383" spans="1:66" hidden="1">
      <c r="A7383">
        <v>104229</v>
      </c>
      <c r="B7383" s="3" t="s">
        <v>628</v>
      </c>
      <c r="C7383" s="1">
        <v>43300101</v>
      </c>
      <c r="D7383" t="s">
        <v>67</v>
      </c>
      <c r="H7383" t="str">
        <f t="shared" si="726"/>
        <v>03350760967</v>
      </c>
      <c r="I7383" t="str">
        <f t="shared" si="726"/>
        <v>03350760967</v>
      </c>
      <c r="K7383" t="str">
        <f>""</f>
        <v/>
      </c>
      <c r="M7383" t="s">
        <v>68</v>
      </c>
      <c r="N7383" t="str">
        <f t="shared" si="723"/>
        <v>FOR</v>
      </c>
      <c r="O7383" t="s">
        <v>69</v>
      </c>
      <c r="P7383" s="3" t="s">
        <v>75</v>
      </c>
      <c r="Q7383">
        <v>2016</v>
      </c>
      <c r="R7383" s="2">
        <v>42488</v>
      </c>
      <c r="S7383" s="2">
        <v>42492</v>
      </c>
      <c r="T7383" s="2">
        <v>42489</v>
      </c>
      <c r="U7383" s="2">
        <v>42549</v>
      </c>
      <c r="V7383" t="s">
        <v>71</v>
      </c>
      <c r="W7383" t="str">
        <f>"          3000001737"</f>
        <v xml:space="preserve">          3000001737</v>
      </c>
      <c r="X7383">
        <v>140.54</v>
      </c>
      <c r="Y7383">
        <v>0</v>
      </c>
      <c r="Z7383"/>
      <c r="AB7383"/>
      <c r="AC7383">
        <v>115.2</v>
      </c>
      <c r="AD7383">
        <v>27</v>
      </c>
      <c r="AE7383" s="1">
        <v>3110.4</v>
      </c>
      <c r="AF7383">
        <v>0</v>
      </c>
      <c r="AJ7383">
        <v>0</v>
      </c>
      <c r="AK7383">
        <v>0</v>
      </c>
      <c r="AL7383">
        <v>0</v>
      </c>
      <c r="AM7383">
        <v>140.54</v>
      </c>
      <c r="AN7383">
        <v>140.54</v>
      </c>
      <c r="AO7383">
        <v>140.54</v>
      </c>
      <c r="AP7383" s="2">
        <v>42746</v>
      </c>
      <c r="AQ7383" t="s">
        <v>72</v>
      </c>
      <c r="AR7383" t="s">
        <v>72</v>
      </c>
      <c r="AS7383">
        <v>1886</v>
      </c>
      <c r="AT7383" s="4">
        <v>42576</v>
      </c>
      <c r="AU7383" t="s">
        <v>73</v>
      </c>
      <c r="AV7383">
        <v>1886</v>
      </c>
      <c r="AW7383" s="4">
        <v>42576</v>
      </c>
      <c r="BD7383">
        <v>0</v>
      </c>
      <c r="BN7383" t="s">
        <v>74</v>
      </c>
    </row>
    <row r="7384" spans="1:66" hidden="1">
      <c r="A7384">
        <v>104229</v>
      </c>
      <c r="B7384" s="3" t="s">
        <v>628</v>
      </c>
      <c r="C7384" s="1">
        <v>43300101</v>
      </c>
      <c r="D7384" t="s">
        <v>67</v>
      </c>
      <c r="H7384" t="str">
        <f t="shared" si="726"/>
        <v>03350760967</v>
      </c>
      <c r="I7384" t="str">
        <f t="shared" si="726"/>
        <v>03350760967</v>
      </c>
      <c r="K7384" t="str">
        <f>""</f>
        <v/>
      </c>
      <c r="M7384" t="s">
        <v>68</v>
      </c>
      <c r="N7384" t="str">
        <f t="shared" si="723"/>
        <v>FOR</v>
      </c>
      <c r="O7384" t="s">
        <v>69</v>
      </c>
      <c r="P7384" s="3" t="s">
        <v>75</v>
      </c>
      <c r="Q7384">
        <v>2016</v>
      </c>
      <c r="R7384" s="2">
        <v>42542</v>
      </c>
      <c r="S7384" s="2">
        <v>42543</v>
      </c>
      <c r="T7384" s="2">
        <v>42543</v>
      </c>
      <c r="U7384" s="2">
        <v>42603</v>
      </c>
      <c r="V7384" t="s">
        <v>71</v>
      </c>
      <c r="W7384" t="str">
        <f>"          3000002579"</f>
        <v xml:space="preserve">          3000002579</v>
      </c>
      <c r="X7384">
        <v>105.41</v>
      </c>
      <c r="Y7384">
        <v>0</v>
      </c>
      <c r="Z7384"/>
      <c r="AB7384"/>
      <c r="AC7384">
        <v>86.4</v>
      </c>
      <c r="AD7384">
        <v>17</v>
      </c>
      <c r="AE7384" s="1">
        <v>1468.8</v>
      </c>
      <c r="AF7384">
        <v>0</v>
      </c>
      <c r="AJ7384">
        <v>0</v>
      </c>
      <c r="AK7384">
        <v>0</v>
      </c>
      <c r="AL7384">
        <v>0</v>
      </c>
      <c r="AM7384">
        <v>105.41</v>
      </c>
      <c r="AN7384">
        <v>105.41</v>
      </c>
      <c r="AO7384">
        <v>105.41</v>
      </c>
      <c r="AP7384" s="2">
        <v>42746</v>
      </c>
      <c r="AQ7384" t="s">
        <v>72</v>
      </c>
      <c r="AR7384" t="s">
        <v>72</v>
      </c>
      <c r="AS7384">
        <v>2349</v>
      </c>
      <c r="AT7384" s="4">
        <v>42620</v>
      </c>
      <c r="AU7384" t="s">
        <v>73</v>
      </c>
      <c r="AV7384">
        <v>2349</v>
      </c>
      <c r="AW7384" s="4">
        <v>42620</v>
      </c>
      <c r="BD7384">
        <v>0</v>
      </c>
      <c r="BN7384" t="s">
        <v>74</v>
      </c>
    </row>
    <row r="7385" spans="1:66" hidden="1">
      <c r="A7385">
        <v>104229</v>
      </c>
      <c r="B7385" s="3" t="s">
        <v>628</v>
      </c>
      <c r="C7385" s="1">
        <v>43300101</v>
      </c>
      <c r="D7385" t="s">
        <v>67</v>
      </c>
      <c r="H7385" t="str">
        <f t="shared" si="726"/>
        <v>03350760967</v>
      </c>
      <c r="I7385" t="str">
        <f t="shared" si="726"/>
        <v>03350760967</v>
      </c>
      <c r="K7385" t="str">
        <f>""</f>
        <v/>
      </c>
      <c r="M7385" t="s">
        <v>68</v>
      </c>
      <c r="N7385" t="str">
        <f t="shared" si="723"/>
        <v>FOR</v>
      </c>
      <c r="O7385" t="s">
        <v>69</v>
      </c>
      <c r="P7385" s="3" t="s">
        <v>75</v>
      </c>
      <c r="Q7385">
        <v>2016</v>
      </c>
      <c r="R7385" s="2">
        <v>42557</v>
      </c>
      <c r="S7385" s="2">
        <v>42563</v>
      </c>
      <c r="T7385" s="2">
        <v>42558</v>
      </c>
      <c r="U7385" s="2">
        <v>42618</v>
      </c>
      <c r="V7385" t="s">
        <v>71</v>
      </c>
      <c r="W7385" t="str">
        <f>"          3000002822"</f>
        <v xml:space="preserve">          3000002822</v>
      </c>
      <c r="X7385">
        <v>76.86</v>
      </c>
      <c r="Y7385">
        <v>0</v>
      </c>
      <c r="Z7385"/>
      <c r="AB7385"/>
      <c r="AC7385">
        <v>63</v>
      </c>
      <c r="AD7385">
        <v>2</v>
      </c>
      <c r="AE7385">
        <v>126</v>
      </c>
      <c r="AF7385">
        <v>0</v>
      </c>
      <c r="AJ7385">
        <v>0</v>
      </c>
      <c r="AK7385">
        <v>0</v>
      </c>
      <c r="AL7385">
        <v>0</v>
      </c>
      <c r="AM7385">
        <v>76.86</v>
      </c>
      <c r="AN7385">
        <v>76.86</v>
      </c>
      <c r="AO7385">
        <v>76.86</v>
      </c>
      <c r="AP7385" s="2">
        <v>42746</v>
      </c>
      <c r="AQ7385" t="s">
        <v>72</v>
      </c>
      <c r="AR7385" t="s">
        <v>72</v>
      </c>
      <c r="AS7385">
        <v>2349</v>
      </c>
      <c r="AT7385" s="4">
        <v>42620</v>
      </c>
      <c r="AU7385" t="s">
        <v>73</v>
      </c>
      <c r="AV7385">
        <v>2349</v>
      </c>
      <c r="AW7385" s="4">
        <v>42620</v>
      </c>
      <c r="BD7385">
        <v>0</v>
      </c>
      <c r="BN7385" t="s">
        <v>74</v>
      </c>
    </row>
    <row r="7386" spans="1:66">
      <c r="A7386">
        <v>104229</v>
      </c>
      <c r="B7386" s="3" t="s">
        <v>628</v>
      </c>
      <c r="C7386" s="1">
        <v>43300101</v>
      </c>
      <c r="D7386" t="s">
        <v>67</v>
      </c>
      <c r="H7386" t="str">
        <f t="shared" si="726"/>
        <v>03350760967</v>
      </c>
      <c r="I7386" t="str">
        <f t="shared" si="726"/>
        <v>03350760967</v>
      </c>
      <c r="K7386" t="str">
        <f>""</f>
        <v/>
      </c>
      <c r="M7386" t="s">
        <v>68</v>
      </c>
      <c r="N7386" t="str">
        <f t="shared" ref="N7386:N7417" si="727">"FOR"</f>
        <v>FOR</v>
      </c>
      <c r="O7386" t="s">
        <v>69</v>
      </c>
      <c r="P7386" s="3" t="s">
        <v>75</v>
      </c>
      <c r="Q7386">
        <v>2016</v>
      </c>
      <c r="R7386" s="2">
        <v>42642</v>
      </c>
      <c r="S7386" s="2">
        <v>42646</v>
      </c>
      <c r="T7386" s="2">
        <v>42643</v>
      </c>
      <c r="U7386" s="2">
        <v>42703</v>
      </c>
      <c r="V7386" t="s">
        <v>71</v>
      </c>
      <c r="W7386" t="str">
        <f>"          3000003688"</f>
        <v xml:space="preserve">          3000003688</v>
      </c>
      <c r="X7386">
        <v>48.8</v>
      </c>
      <c r="Y7386">
        <v>0</v>
      </c>
      <c r="Z7386" s="3">
        <v>40</v>
      </c>
      <c r="AA7386">
        <v>-15</v>
      </c>
      <c r="AB7386" s="3">
        <v>-600</v>
      </c>
      <c r="AC7386">
        <v>40</v>
      </c>
      <c r="AD7386">
        <v>-15</v>
      </c>
      <c r="AE7386">
        <v>-600</v>
      </c>
      <c r="AF7386">
        <v>0</v>
      </c>
      <c r="AJ7386">
        <v>48.8</v>
      </c>
      <c r="AK7386">
        <v>48.8</v>
      </c>
      <c r="AL7386">
        <v>0</v>
      </c>
      <c r="AM7386">
        <v>48.8</v>
      </c>
      <c r="AN7386">
        <v>48.8</v>
      </c>
      <c r="AO7386">
        <v>48.8</v>
      </c>
      <c r="AP7386" s="2">
        <v>42746</v>
      </c>
      <c r="AQ7386" t="s">
        <v>72</v>
      </c>
      <c r="AR7386" t="s">
        <v>72</v>
      </c>
      <c r="AS7386">
        <v>3084</v>
      </c>
      <c r="AT7386" s="4">
        <v>42688</v>
      </c>
      <c r="AV7386">
        <v>3084</v>
      </c>
      <c r="AW7386" s="4">
        <v>42688</v>
      </c>
      <c r="BD7386">
        <v>0</v>
      </c>
      <c r="BN7386" t="s">
        <v>74</v>
      </c>
    </row>
    <row r="7387" spans="1:66" hidden="1">
      <c r="A7387">
        <v>104230</v>
      </c>
      <c r="B7387" s="3" t="s">
        <v>629</v>
      </c>
      <c r="C7387" s="1">
        <v>43300101</v>
      </c>
      <c r="D7387" t="s">
        <v>67</v>
      </c>
      <c r="H7387" t="str">
        <f t="shared" ref="H7387:I7392" si="728">"03841180106"</f>
        <v>03841180106</v>
      </c>
      <c r="I7387" t="str">
        <f t="shared" si="728"/>
        <v>03841180106</v>
      </c>
      <c r="K7387" t="str">
        <f>""</f>
        <v/>
      </c>
      <c r="M7387" t="s">
        <v>68</v>
      </c>
      <c r="N7387" t="str">
        <f t="shared" si="727"/>
        <v>FOR</v>
      </c>
      <c r="O7387" t="s">
        <v>69</v>
      </c>
      <c r="P7387" s="3" t="s">
        <v>70</v>
      </c>
      <c r="Q7387">
        <v>2015</v>
      </c>
      <c r="R7387" s="2">
        <v>42058</v>
      </c>
      <c r="S7387" s="2">
        <v>42097</v>
      </c>
      <c r="T7387" s="2">
        <v>42097</v>
      </c>
      <c r="U7387" s="2">
        <v>42157</v>
      </c>
      <c r="V7387" t="s">
        <v>71</v>
      </c>
      <c r="W7387" t="str">
        <f>"              150965"</f>
        <v xml:space="preserve">              150965</v>
      </c>
      <c r="X7387" s="1">
        <v>1169.96</v>
      </c>
      <c r="Y7387">
        <v>0</v>
      </c>
      <c r="Z7387"/>
      <c r="AB7387"/>
      <c r="AC7387" s="1">
        <v>1063.5999999999999</v>
      </c>
      <c r="AD7387">
        <v>251</v>
      </c>
      <c r="AE7387" s="1">
        <v>266963.59999999998</v>
      </c>
      <c r="AF7387">
        <v>0</v>
      </c>
      <c r="AJ7387">
        <v>0</v>
      </c>
      <c r="AK7387">
        <v>0</v>
      </c>
      <c r="AL7387">
        <v>0</v>
      </c>
      <c r="AM7387">
        <v>0</v>
      </c>
      <c r="AN7387">
        <v>0</v>
      </c>
      <c r="AO7387">
        <v>0</v>
      </c>
      <c r="AP7387" s="2">
        <v>42746</v>
      </c>
      <c r="AQ7387" t="s">
        <v>72</v>
      </c>
      <c r="AR7387" t="s">
        <v>72</v>
      </c>
      <c r="AS7387">
        <v>299</v>
      </c>
      <c r="AT7387" s="4">
        <v>42408</v>
      </c>
      <c r="AU7387" t="s">
        <v>73</v>
      </c>
      <c r="AV7387">
        <v>299</v>
      </c>
      <c r="AW7387" s="4">
        <v>42408</v>
      </c>
      <c r="BD7387">
        <v>0</v>
      </c>
      <c r="BN7387" t="s">
        <v>74</v>
      </c>
    </row>
    <row r="7388" spans="1:66" hidden="1">
      <c r="A7388">
        <v>104230</v>
      </c>
      <c r="B7388" s="3" t="s">
        <v>629</v>
      </c>
      <c r="C7388" s="1">
        <v>43300101</v>
      </c>
      <c r="D7388" t="s">
        <v>67</v>
      </c>
      <c r="H7388" t="str">
        <f t="shared" si="728"/>
        <v>03841180106</v>
      </c>
      <c r="I7388" t="str">
        <f t="shared" si="728"/>
        <v>03841180106</v>
      </c>
      <c r="K7388" t="str">
        <f>""</f>
        <v/>
      </c>
      <c r="M7388" t="s">
        <v>68</v>
      </c>
      <c r="N7388" t="str">
        <f t="shared" si="727"/>
        <v>FOR</v>
      </c>
      <c r="O7388" t="s">
        <v>69</v>
      </c>
      <c r="P7388" s="3" t="s">
        <v>75</v>
      </c>
      <c r="Q7388">
        <v>2015</v>
      </c>
      <c r="R7388" s="2">
        <v>42151</v>
      </c>
      <c r="S7388" s="2">
        <v>42160</v>
      </c>
      <c r="T7388" s="2">
        <v>42152</v>
      </c>
      <c r="U7388" s="2">
        <v>42212</v>
      </c>
      <c r="V7388" t="s">
        <v>71</v>
      </c>
      <c r="W7388" t="str">
        <f>"              152574"</f>
        <v xml:space="preserve">              152574</v>
      </c>
      <c r="X7388" s="1">
        <v>1017.5</v>
      </c>
      <c r="Y7388">
        <v>0</v>
      </c>
      <c r="Z7388"/>
      <c r="AB7388"/>
      <c r="AC7388">
        <v>925</v>
      </c>
      <c r="AD7388">
        <v>240</v>
      </c>
      <c r="AE7388" s="1">
        <v>222000</v>
      </c>
      <c r="AF7388">
        <v>0</v>
      </c>
      <c r="AJ7388">
        <v>0</v>
      </c>
      <c r="AK7388">
        <v>0</v>
      </c>
      <c r="AL7388">
        <v>0</v>
      </c>
      <c r="AM7388">
        <v>0</v>
      </c>
      <c r="AN7388">
        <v>0</v>
      </c>
      <c r="AO7388">
        <v>0</v>
      </c>
      <c r="AP7388" s="2">
        <v>42746</v>
      </c>
      <c r="AQ7388" t="s">
        <v>72</v>
      </c>
      <c r="AR7388" t="s">
        <v>72</v>
      </c>
      <c r="AS7388">
        <v>814</v>
      </c>
      <c r="AT7388" s="4">
        <v>42452</v>
      </c>
      <c r="AU7388" t="s">
        <v>73</v>
      </c>
      <c r="AV7388">
        <v>814</v>
      </c>
      <c r="AW7388" s="4">
        <v>42452</v>
      </c>
      <c r="BD7388">
        <v>0</v>
      </c>
      <c r="BN7388" t="s">
        <v>74</v>
      </c>
    </row>
    <row r="7389" spans="1:66" hidden="1">
      <c r="A7389">
        <v>104230</v>
      </c>
      <c r="B7389" s="3" t="s">
        <v>629</v>
      </c>
      <c r="C7389" s="1">
        <v>43300101</v>
      </c>
      <c r="D7389" t="s">
        <v>67</v>
      </c>
      <c r="H7389" t="str">
        <f t="shared" si="728"/>
        <v>03841180106</v>
      </c>
      <c r="I7389" t="str">
        <f t="shared" si="728"/>
        <v>03841180106</v>
      </c>
      <c r="K7389" t="str">
        <f>""</f>
        <v/>
      </c>
      <c r="M7389" t="s">
        <v>68</v>
      </c>
      <c r="N7389" t="str">
        <f t="shared" si="727"/>
        <v>FOR</v>
      </c>
      <c r="O7389" t="s">
        <v>69</v>
      </c>
      <c r="P7389" s="3" t="s">
        <v>75</v>
      </c>
      <c r="Q7389">
        <v>2015</v>
      </c>
      <c r="R7389" s="2">
        <v>42268</v>
      </c>
      <c r="S7389" s="2">
        <v>42272</v>
      </c>
      <c r="T7389" s="2">
        <v>42271</v>
      </c>
      <c r="U7389" s="2">
        <v>42331</v>
      </c>
      <c r="V7389" t="s">
        <v>71</v>
      </c>
      <c r="W7389" t="str">
        <f>"              154379"</f>
        <v xml:space="preserve">              154379</v>
      </c>
      <c r="X7389">
        <v>407</v>
      </c>
      <c r="Y7389">
        <v>0</v>
      </c>
      <c r="Z7389"/>
      <c r="AB7389"/>
      <c r="AC7389">
        <v>370</v>
      </c>
      <c r="AD7389">
        <v>121</v>
      </c>
      <c r="AE7389" s="1">
        <v>44770</v>
      </c>
      <c r="AF7389">
        <v>0</v>
      </c>
      <c r="AJ7389">
        <v>0</v>
      </c>
      <c r="AK7389">
        <v>0</v>
      </c>
      <c r="AL7389">
        <v>0</v>
      </c>
      <c r="AM7389">
        <v>0</v>
      </c>
      <c r="AN7389">
        <v>0</v>
      </c>
      <c r="AO7389">
        <v>0</v>
      </c>
      <c r="AP7389" s="2">
        <v>42746</v>
      </c>
      <c r="AQ7389" t="s">
        <v>72</v>
      </c>
      <c r="AR7389" t="s">
        <v>72</v>
      </c>
      <c r="AS7389">
        <v>814</v>
      </c>
      <c r="AT7389" s="4">
        <v>42452</v>
      </c>
      <c r="AU7389" t="s">
        <v>73</v>
      </c>
      <c r="AV7389">
        <v>814</v>
      </c>
      <c r="AW7389" s="4">
        <v>42452</v>
      </c>
      <c r="BD7389">
        <v>0</v>
      </c>
      <c r="BN7389" t="s">
        <v>74</v>
      </c>
    </row>
    <row r="7390" spans="1:66" hidden="1">
      <c r="A7390">
        <v>104230</v>
      </c>
      <c r="B7390" s="3" t="s">
        <v>629</v>
      </c>
      <c r="C7390" s="1">
        <v>43300101</v>
      </c>
      <c r="D7390" t="s">
        <v>67</v>
      </c>
      <c r="H7390" t="str">
        <f t="shared" si="728"/>
        <v>03841180106</v>
      </c>
      <c r="I7390" t="str">
        <f t="shared" si="728"/>
        <v>03841180106</v>
      </c>
      <c r="K7390" t="str">
        <f>""</f>
        <v/>
      </c>
      <c r="M7390" t="s">
        <v>68</v>
      </c>
      <c r="N7390" t="str">
        <f t="shared" si="727"/>
        <v>FOR</v>
      </c>
      <c r="O7390" t="s">
        <v>69</v>
      </c>
      <c r="P7390" s="3" t="s">
        <v>75</v>
      </c>
      <c r="Q7390">
        <v>2015</v>
      </c>
      <c r="R7390" s="2">
        <v>42338</v>
      </c>
      <c r="S7390" s="2">
        <v>42353</v>
      </c>
      <c r="T7390" s="2">
        <v>42348</v>
      </c>
      <c r="U7390" s="2">
        <v>42408</v>
      </c>
      <c r="V7390" t="s">
        <v>71</v>
      </c>
      <c r="W7390" t="str">
        <f>"              155611"</f>
        <v xml:space="preserve">              155611</v>
      </c>
      <c r="X7390" s="1">
        <v>1017.5</v>
      </c>
      <c r="Y7390">
        <v>0</v>
      </c>
      <c r="Z7390"/>
      <c r="AB7390"/>
      <c r="AC7390">
        <v>925</v>
      </c>
      <c r="AD7390">
        <v>44</v>
      </c>
      <c r="AE7390" s="1">
        <v>40700</v>
      </c>
      <c r="AF7390">
        <v>0</v>
      </c>
      <c r="AJ7390">
        <v>0</v>
      </c>
      <c r="AK7390">
        <v>0</v>
      </c>
      <c r="AL7390">
        <v>0</v>
      </c>
      <c r="AM7390">
        <v>0</v>
      </c>
      <c r="AN7390">
        <v>0</v>
      </c>
      <c r="AO7390">
        <v>0</v>
      </c>
      <c r="AP7390" s="2">
        <v>42746</v>
      </c>
      <c r="AQ7390" t="s">
        <v>72</v>
      </c>
      <c r="AR7390" t="s">
        <v>72</v>
      </c>
      <c r="AS7390">
        <v>814</v>
      </c>
      <c r="AT7390" s="4">
        <v>42452</v>
      </c>
      <c r="AU7390" t="s">
        <v>73</v>
      </c>
      <c r="AV7390">
        <v>814</v>
      </c>
      <c r="AW7390" s="4">
        <v>42452</v>
      </c>
      <c r="BD7390">
        <v>0</v>
      </c>
      <c r="BN7390" t="s">
        <v>74</v>
      </c>
    </row>
    <row r="7391" spans="1:66">
      <c r="A7391">
        <v>104230</v>
      </c>
      <c r="B7391" s="3" t="s">
        <v>629</v>
      </c>
      <c r="C7391" s="1">
        <v>43300101</v>
      </c>
      <c r="D7391" t="s">
        <v>67</v>
      </c>
      <c r="H7391" t="str">
        <f t="shared" si="728"/>
        <v>03841180106</v>
      </c>
      <c r="I7391" t="str">
        <f t="shared" si="728"/>
        <v>03841180106</v>
      </c>
      <c r="K7391" t="str">
        <f>""</f>
        <v/>
      </c>
      <c r="M7391" t="s">
        <v>68</v>
      </c>
      <c r="N7391" t="str">
        <f t="shared" si="727"/>
        <v>FOR</v>
      </c>
      <c r="O7391" t="s">
        <v>69</v>
      </c>
      <c r="P7391" s="3" t="s">
        <v>75</v>
      </c>
      <c r="Q7391">
        <v>2016</v>
      </c>
      <c r="R7391" s="2">
        <v>42569</v>
      </c>
      <c r="S7391" s="2">
        <v>42571</v>
      </c>
      <c r="T7391" s="2">
        <v>42571</v>
      </c>
      <c r="U7391" s="2">
        <v>42631</v>
      </c>
      <c r="V7391" t="s">
        <v>71</v>
      </c>
      <c r="W7391" t="str">
        <f>"              164297"</f>
        <v xml:space="preserve">              164297</v>
      </c>
      <c r="X7391">
        <v>610.5</v>
      </c>
      <c r="Y7391">
        <v>0</v>
      </c>
      <c r="Z7391" s="3">
        <v>555</v>
      </c>
      <c r="AA7391">
        <v>51</v>
      </c>
      <c r="AB7391" s="5">
        <v>28305</v>
      </c>
      <c r="AC7391">
        <v>555</v>
      </c>
      <c r="AD7391">
        <v>51</v>
      </c>
      <c r="AE7391" s="1">
        <v>28305</v>
      </c>
      <c r="AF7391">
        <v>0</v>
      </c>
      <c r="AJ7391">
        <v>0</v>
      </c>
      <c r="AK7391">
        <v>0</v>
      </c>
      <c r="AL7391">
        <v>0</v>
      </c>
      <c r="AM7391">
        <v>610.5</v>
      </c>
      <c r="AN7391">
        <v>610.5</v>
      </c>
      <c r="AO7391">
        <v>610.5</v>
      </c>
      <c r="AP7391" s="2">
        <v>42746</v>
      </c>
      <c r="AQ7391" t="s">
        <v>72</v>
      </c>
      <c r="AR7391" t="s">
        <v>72</v>
      </c>
      <c r="AS7391">
        <v>2988</v>
      </c>
      <c r="AT7391" s="4">
        <v>42682</v>
      </c>
      <c r="AU7391" t="s">
        <v>73</v>
      </c>
      <c r="AV7391">
        <v>2988</v>
      </c>
      <c r="AW7391" s="4">
        <v>42682</v>
      </c>
      <c r="BD7391">
        <v>0</v>
      </c>
      <c r="BN7391" t="s">
        <v>74</v>
      </c>
    </row>
    <row r="7392" spans="1:66">
      <c r="A7392">
        <v>104230</v>
      </c>
      <c r="B7392" s="3" t="s">
        <v>629</v>
      </c>
      <c r="C7392" s="1">
        <v>43300101</v>
      </c>
      <c r="D7392" t="s">
        <v>67</v>
      </c>
      <c r="H7392" t="str">
        <f t="shared" si="728"/>
        <v>03841180106</v>
      </c>
      <c r="I7392" t="str">
        <f t="shared" si="728"/>
        <v>03841180106</v>
      </c>
      <c r="K7392" t="str">
        <f>""</f>
        <v/>
      </c>
      <c r="M7392" t="s">
        <v>68</v>
      </c>
      <c r="N7392" t="str">
        <f t="shared" si="727"/>
        <v>FOR</v>
      </c>
      <c r="O7392" t="s">
        <v>69</v>
      </c>
      <c r="P7392" s="3" t="s">
        <v>75</v>
      </c>
      <c r="Q7392">
        <v>2016</v>
      </c>
      <c r="R7392" s="2">
        <v>42605</v>
      </c>
      <c r="S7392" s="2">
        <v>42612</v>
      </c>
      <c r="T7392" s="2">
        <v>42611</v>
      </c>
      <c r="U7392" s="2">
        <v>42671</v>
      </c>
      <c r="V7392" t="s">
        <v>71</v>
      </c>
      <c r="W7392" t="str">
        <f>"              164802"</f>
        <v xml:space="preserve">              164802</v>
      </c>
      <c r="X7392" s="1">
        <v>1017.5</v>
      </c>
      <c r="Y7392">
        <v>0</v>
      </c>
      <c r="Z7392" s="3">
        <v>925</v>
      </c>
      <c r="AA7392">
        <v>11</v>
      </c>
      <c r="AB7392" s="5">
        <v>10175</v>
      </c>
      <c r="AC7392">
        <v>925</v>
      </c>
      <c r="AD7392">
        <v>11</v>
      </c>
      <c r="AE7392" s="1">
        <v>10175</v>
      </c>
      <c r="AF7392">
        <v>0</v>
      </c>
      <c r="AJ7392">
        <v>0</v>
      </c>
      <c r="AK7392">
        <v>0</v>
      </c>
      <c r="AL7392">
        <v>0</v>
      </c>
      <c r="AM7392" s="1">
        <v>1017.5</v>
      </c>
      <c r="AN7392" s="1">
        <v>1017.5</v>
      </c>
      <c r="AO7392" s="1">
        <v>1017.5</v>
      </c>
      <c r="AP7392" s="2">
        <v>42746</v>
      </c>
      <c r="AQ7392" t="s">
        <v>72</v>
      </c>
      <c r="AR7392" t="s">
        <v>72</v>
      </c>
      <c r="AS7392">
        <v>2988</v>
      </c>
      <c r="AT7392" s="4">
        <v>42682</v>
      </c>
      <c r="AU7392" t="s">
        <v>73</v>
      </c>
      <c r="AV7392">
        <v>2988</v>
      </c>
      <c r="AW7392" s="4">
        <v>42682</v>
      </c>
      <c r="BD7392">
        <v>0</v>
      </c>
      <c r="BN7392" t="s">
        <v>74</v>
      </c>
    </row>
    <row r="7393" spans="1:66" hidden="1">
      <c r="A7393">
        <v>104232</v>
      </c>
      <c r="B7393" s="3" t="s">
        <v>630</v>
      </c>
      <c r="C7393" s="1">
        <v>43300101</v>
      </c>
      <c r="D7393" t="s">
        <v>67</v>
      </c>
      <c r="H7393" t="str">
        <f>"04754860155"</f>
        <v>04754860155</v>
      </c>
      <c r="I7393" t="str">
        <f>"00789580966"</f>
        <v>00789580966</v>
      </c>
      <c r="K7393" t="str">
        <f>""</f>
        <v/>
      </c>
      <c r="M7393" t="s">
        <v>68</v>
      </c>
      <c r="N7393" t="str">
        <f t="shared" si="727"/>
        <v>FOR</v>
      </c>
      <c r="O7393" t="s">
        <v>69</v>
      </c>
      <c r="P7393" s="3" t="s">
        <v>70</v>
      </c>
      <c r="Q7393">
        <v>2015</v>
      </c>
      <c r="R7393" s="2">
        <v>42038</v>
      </c>
      <c r="S7393" s="2">
        <v>42054</v>
      </c>
      <c r="T7393" s="2">
        <v>42054</v>
      </c>
      <c r="U7393" s="2">
        <v>42114</v>
      </c>
      <c r="V7393" t="s">
        <v>71</v>
      </c>
      <c r="W7393" t="str">
        <f>"          2015002857"</f>
        <v xml:space="preserve">          2015002857</v>
      </c>
      <c r="X7393" s="1">
        <v>2696.86</v>
      </c>
      <c r="Y7393">
        <v>0</v>
      </c>
      <c r="Z7393"/>
      <c r="AB7393"/>
      <c r="AC7393" s="1">
        <v>2451.69</v>
      </c>
      <c r="AD7393">
        <v>290</v>
      </c>
      <c r="AE7393" s="1">
        <v>710990.1</v>
      </c>
      <c r="AF7393">
        <v>0</v>
      </c>
      <c r="AJ7393">
        <v>0</v>
      </c>
      <c r="AK7393">
        <v>0</v>
      </c>
      <c r="AL7393">
        <v>0</v>
      </c>
      <c r="AM7393">
        <v>0</v>
      </c>
      <c r="AN7393">
        <v>0</v>
      </c>
      <c r="AO7393">
        <v>0</v>
      </c>
      <c r="AP7393" s="2">
        <v>42746</v>
      </c>
      <c r="AQ7393" t="s">
        <v>72</v>
      </c>
      <c r="AR7393" t="s">
        <v>72</v>
      </c>
      <c r="AS7393">
        <v>252</v>
      </c>
      <c r="AT7393" s="4">
        <v>42404</v>
      </c>
      <c r="AU7393" t="s">
        <v>73</v>
      </c>
      <c r="AV7393">
        <v>252</v>
      </c>
      <c r="AW7393" s="4">
        <v>42404</v>
      </c>
      <c r="BD7393">
        <v>0</v>
      </c>
      <c r="BN7393" t="s">
        <v>74</v>
      </c>
    </row>
    <row r="7394" spans="1:66" hidden="1">
      <c r="A7394">
        <v>104232</v>
      </c>
      <c r="B7394" s="3" t="s">
        <v>630</v>
      </c>
      <c r="C7394" s="1">
        <v>43300101</v>
      </c>
      <c r="D7394" t="s">
        <v>67</v>
      </c>
      <c r="H7394" t="str">
        <f>"04754860155"</f>
        <v>04754860155</v>
      </c>
      <c r="I7394" t="str">
        <f>"00789580966"</f>
        <v>00789580966</v>
      </c>
      <c r="K7394" t="str">
        <f>""</f>
        <v/>
      </c>
      <c r="M7394" t="s">
        <v>68</v>
      </c>
      <c r="N7394" t="str">
        <f t="shared" si="727"/>
        <v>FOR</v>
      </c>
      <c r="O7394" t="s">
        <v>69</v>
      </c>
      <c r="P7394" s="3" t="s">
        <v>70</v>
      </c>
      <c r="Q7394">
        <v>2015</v>
      </c>
      <c r="R7394" s="2">
        <v>42068</v>
      </c>
      <c r="S7394" s="2">
        <v>42087</v>
      </c>
      <c r="T7394" s="2">
        <v>42087</v>
      </c>
      <c r="U7394" s="2">
        <v>42147</v>
      </c>
      <c r="V7394" t="s">
        <v>71</v>
      </c>
      <c r="W7394" t="str">
        <f>"          2015005549"</f>
        <v xml:space="preserve">          2015005549</v>
      </c>
      <c r="X7394" s="1">
        <v>2696.86</v>
      </c>
      <c r="Y7394">
        <v>0</v>
      </c>
      <c r="Z7394"/>
      <c r="AB7394"/>
      <c r="AC7394" s="1">
        <v>2451.69</v>
      </c>
      <c r="AD7394">
        <v>268</v>
      </c>
      <c r="AE7394" s="1">
        <v>657052.92000000004</v>
      </c>
      <c r="AF7394">
        <v>0</v>
      </c>
      <c r="AJ7394">
        <v>0</v>
      </c>
      <c r="AK7394">
        <v>0</v>
      </c>
      <c r="AL7394">
        <v>0</v>
      </c>
      <c r="AM7394">
        <v>0</v>
      </c>
      <c r="AN7394">
        <v>0</v>
      </c>
      <c r="AO7394">
        <v>0</v>
      </c>
      <c r="AP7394" s="2">
        <v>42746</v>
      </c>
      <c r="AQ7394" t="s">
        <v>72</v>
      </c>
      <c r="AR7394" t="s">
        <v>72</v>
      </c>
      <c r="AS7394">
        <v>361</v>
      </c>
      <c r="AT7394" s="4">
        <v>42415</v>
      </c>
      <c r="AU7394" t="s">
        <v>73</v>
      </c>
      <c r="AV7394">
        <v>361</v>
      </c>
      <c r="AW7394" s="4">
        <v>42415</v>
      </c>
      <c r="BD7394">
        <v>0</v>
      </c>
      <c r="BN7394" t="s">
        <v>74</v>
      </c>
    </row>
    <row r="7395" spans="1:66" hidden="1">
      <c r="A7395">
        <v>104232</v>
      </c>
      <c r="B7395" s="3" t="s">
        <v>630</v>
      </c>
      <c r="C7395" s="1">
        <v>43300101</v>
      </c>
      <c r="D7395" t="s">
        <v>67</v>
      </c>
      <c r="H7395" t="str">
        <f>"04754860155"</f>
        <v>04754860155</v>
      </c>
      <c r="I7395" t="str">
        <f>"00789580966"</f>
        <v>00789580966</v>
      </c>
      <c r="K7395" t="str">
        <f>""</f>
        <v/>
      </c>
      <c r="M7395" t="s">
        <v>68</v>
      </c>
      <c r="N7395" t="str">
        <f t="shared" si="727"/>
        <v>FOR</v>
      </c>
      <c r="O7395" t="s">
        <v>69</v>
      </c>
      <c r="P7395" s="3" t="s">
        <v>75</v>
      </c>
      <c r="Q7395">
        <v>2015</v>
      </c>
      <c r="R7395" s="2">
        <v>42096</v>
      </c>
      <c r="S7395" s="2">
        <v>42191</v>
      </c>
      <c r="T7395" s="2">
        <v>42187</v>
      </c>
      <c r="U7395" s="2">
        <v>42247</v>
      </c>
      <c r="V7395" t="s">
        <v>71</v>
      </c>
      <c r="W7395" t="str">
        <f>"          2015007914"</f>
        <v xml:space="preserve">          2015007914</v>
      </c>
      <c r="X7395" s="1">
        <v>2696.86</v>
      </c>
      <c r="Y7395">
        <v>0</v>
      </c>
      <c r="Z7395"/>
      <c r="AB7395"/>
      <c r="AC7395" s="1">
        <v>2451.69</v>
      </c>
      <c r="AD7395">
        <v>183</v>
      </c>
      <c r="AE7395" s="1">
        <v>448659.27</v>
      </c>
      <c r="AF7395">
        <v>0</v>
      </c>
      <c r="AJ7395">
        <v>0</v>
      </c>
      <c r="AK7395">
        <v>0</v>
      </c>
      <c r="AL7395">
        <v>0</v>
      </c>
      <c r="AM7395">
        <v>0</v>
      </c>
      <c r="AN7395">
        <v>0</v>
      </c>
      <c r="AO7395">
        <v>0</v>
      </c>
      <c r="AP7395" s="2">
        <v>42746</v>
      </c>
      <c r="AQ7395" t="s">
        <v>72</v>
      </c>
      <c r="AR7395" t="s">
        <v>72</v>
      </c>
      <c r="AS7395">
        <v>609</v>
      </c>
      <c r="AT7395" s="4">
        <v>42430</v>
      </c>
      <c r="AU7395" t="s">
        <v>73</v>
      </c>
      <c r="AV7395">
        <v>609</v>
      </c>
      <c r="AW7395" s="4">
        <v>42430</v>
      </c>
      <c r="BD7395">
        <v>0</v>
      </c>
      <c r="BN7395" t="s">
        <v>74</v>
      </c>
    </row>
    <row r="7396" spans="1:66" hidden="1">
      <c r="A7396">
        <v>104232</v>
      </c>
      <c r="B7396" s="3" t="s">
        <v>630</v>
      </c>
      <c r="C7396" s="1">
        <v>43300101</v>
      </c>
      <c r="D7396" t="s">
        <v>67</v>
      </c>
      <c r="H7396" t="str">
        <f>"04754860155"</f>
        <v>04754860155</v>
      </c>
      <c r="I7396" t="str">
        <f>"00789580966"</f>
        <v>00789580966</v>
      </c>
      <c r="K7396" t="str">
        <f>""</f>
        <v/>
      </c>
      <c r="M7396" t="s">
        <v>68</v>
      </c>
      <c r="N7396" t="str">
        <f t="shared" si="727"/>
        <v>FOR</v>
      </c>
      <c r="O7396" t="s">
        <v>69</v>
      </c>
      <c r="P7396" s="3" t="s">
        <v>75</v>
      </c>
      <c r="Q7396">
        <v>2015</v>
      </c>
      <c r="R7396" s="2">
        <v>42243</v>
      </c>
      <c r="S7396" s="2">
        <v>42248</v>
      </c>
      <c r="T7396" s="2">
        <v>42247</v>
      </c>
      <c r="U7396" s="2">
        <v>42307</v>
      </c>
      <c r="V7396" t="s">
        <v>71</v>
      </c>
      <c r="W7396" t="str">
        <f>"          2015019666"</f>
        <v xml:space="preserve">          2015019666</v>
      </c>
      <c r="X7396" s="1">
        <v>5393.73</v>
      </c>
      <c r="Y7396">
        <v>0</v>
      </c>
      <c r="Z7396"/>
      <c r="AB7396"/>
      <c r="AC7396" s="1">
        <v>4903.3900000000003</v>
      </c>
      <c r="AD7396">
        <v>262</v>
      </c>
      <c r="AE7396" s="1">
        <v>1284688.18</v>
      </c>
      <c r="AF7396">
        <v>0</v>
      </c>
      <c r="AJ7396">
        <v>0</v>
      </c>
      <c r="AK7396">
        <v>0</v>
      </c>
      <c r="AL7396">
        <v>0</v>
      </c>
      <c r="AM7396">
        <v>0</v>
      </c>
      <c r="AN7396">
        <v>0</v>
      </c>
      <c r="AO7396">
        <v>0</v>
      </c>
      <c r="AP7396" s="2">
        <v>42746</v>
      </c>
      <c r="AQ7396" t="s">
        <v>72</v>
      </c>
      <c r="AR7396" t="s">
        <v>72</v>
      </c>
      <c r="AS7396">
        <v>1868</v>
      </c>
      <c r="AT7396" s="4">
        <v>42569</v>
      </c>
      <c r="AU7396" t="s">
        <v>73</v>
      </c>
      <c r="AV7396">
        <v>1868</v>
      </c>
      <c r="AW7396" s="4">
        <v>42569</v>
      </c>
      <c r="BD7396">
        <v>0</v>
      </c>
      <c r="BN7396" t="s">
        <v>74</v>
      </c>
    </row>
    <row r="7397" spans="1:66" hidden="1">
      <c r="A7397">
        <v>104241</v>
      </c>
      <c r="B7397" s="3" t="s">
        <v>631</v>
      </c>
      <c r="C7397" s="1">
        <v>43300101</v>
      </c>
      <c r="D7397" t="s">
        <v>67</v>
      </c>
      <c r="H7397" t="str">
        <f t="shared" ref="H7397:I7399" si="729">"05582941000"</f>
        <v>05582941000</v>
      </c>
      <c r="I7397" t="str">
        <f t="shared" si="729"/>
        <v>05582941000</v>
      </c>
      <c r="K7397" t="str">
        <f>""</f>
        <v/>
      </c>
      <c r="M7397" t="s">
        <v>68</v>
      </c>
      <c r="N7397" t="str">
        <f t="shared" si="727"/>
        <v>FOR</v>
      </c>
      <c r="O7397" t="s">
        <v>69</v>
      </c>
      <c r="P7397" s="3" t="s">
        <v>75</v>
      </c>
      <c r="Q7397">
        <v>2015</v>
      </c>
      <c r="R7397" s="2">
        <v>42206</v>
      </c>
      <c r="S7397" s="2">
        <v>42209</v>
      </c>
      <c r="T7397" s="2">
        <v>42207</v>
      </c>
      <c r="U7397" s="2">
        <v>42267</v>
      </c>
      <c r="V7397" t="s">
        <v>71</v>
      </c>
      <c r="W7397" t="str">
        <f>"          9415018570"</f>
        <v xml:space="preserve">          9415018570</v>
      </c>
      <c r="X7397">
        <v>261.02999999999997</v>
      </c>
      <c r="Y7397">
        <v>0</v>
      </c>
      <c r="Z7397"/>
      <c r="AB7397"/>
      <c r="AC7397">
        <v>237.3</v>
      </c>
      <c r="AD7397">
        <v>302</v>
      </c>
      <c r="AE7397" s="1">
        <v>71664.600000000006</v>
      </c>
      <c r="AF7397">
        <v>0</v>
      </c>
      <c r="AJ7397">
        <v>0</v>
      </c>
      <c r="AK7397">
        <v>0</v>
      </c>
      <c r="AL7397">
        <v>0</v>
      </c>
      <c r="AM7397">
        <v>0</v>
      </c>
      <c r="AN7397">
        <v>0</v>
      </c>
      <c r="AO7397">
        <v>0</v>
      </c>
      <c r="AP7397" s="2">
        <v>42746</v>
      </c>
      <c r="AQ7397" t="s">
        <v>72</v>
      </c>
      <c r="AR7397" t="s">
        <v>72</v>
      </c>
      <c r="AS7397">
        <v>1856</v>
      </c>
      <c r="AT7397" s="4">
        <v>42569</v>
      </c>
      <c r="AU7397" t="s">
        <v>73</v>
      </c>
      <c r="AV7397">
        <v>1856</v>
      </c>
      <c r="AW7397" s="4">
        <v>42569</v>
      </c>
      <c r="BD7397">
        <v>0</v>
      </c>
      <c r="BN7397" t="s">
        <v>74</v>
      </c>
    </row>
    <row r="7398" spans="1:66" hidden="1">
      <c r="A7398">
        <v>104241</v>
      </c>
      <c r="B7398" s="3" t="s">
        <v>631</v>
      </c>
      <c r="C7398" s="1">
        <v>43300101</v>
      </c>
      <c r="D7398" t="s">
        <v>67</v>
      </c>
      <c r="H7398" t="str">
        <f t="shared" si="729"/>
        <v>05582941000</v>
      </c>
      <c r="I7398" t="str">
        <f t="shared" si="729"/>
        <v>05582941000</v>
      </c>
      <c r="K7398" t="str">
        <f>""</f>
        <v/>
      </c>
      <c r="M7398" t="s">
        <v>68</v>
      </c>
      <c r="N7398" t="str">
        <f t="shared" si="727"/>
        <v>FOR</v>
      </c>
      <c r="O7398" t="s">
        <v>69</v>
      </c>
      <c r="P7398" s="3" t="s">
        <v>75</v>
      </c>
      <c r="Q7398">
        <v>2015</v>
      </c>
      <c r="R7398" s="2">
        <v>42297</v>
      </c>
      <c r="S7398" s="2">
        <v>42320</v>
      </c>
      <c r="T7398" s="2">
        <v>42318</v>
      </c>
      <c r="U7398" s="2">
        <v>42378</v>
      </c>
      <c r="V7398" t="s">
        <v>71</v>
      </c>
      <c r="W7398" t="str">
        <f>"          9415025602"</f>
        <v xml:space="preserve">          9415025602</v>
      </c>
      <c r="X7398">
        <v>261.02999999999997</v>
      </c>
      <c r="Y7398">
        <v>0</v>
      </c>
      <c r="Z7398"/>
      <c r="AB7398"/>
      <c r="AC7398">
        <v>237.3</v>
      </c>
      <c r="AD7398">
        <v>191</v>
      </c>
      <c r="AE7398" s="1">
        <v>45324.3</v>
      </c>
      <c r="AF7398">
        <v>0</v>
      </c>
      <c r="AJ7398">
        <v>0</v>
      </c>
      <c r="AK7398">
        <v>0</v>
      </c>
      <c r="AL7398">
        <v>0</v>
      </c>
      <c r="AM7398">
        <v>0</v>
      </c>
      <c r="AN7398">
        <v>0</v>
      </c>
      <c r="AO7398">
        <v>0</v>
      </c>
      <c r="AP7398" s="2">
        <v>42746</v>
      </c>
      <c r="AQ7398" t="s">
        <v>72</v>
      </c>
      <c r="AR7398" t="s">
        <v>72</v>
      </c>
      <c r="AS7398">
        <v>1856</v>
      </c>
      <c r="AT7398" s="4">
        <v>42569</v>
      </c>
      <c r="AU7398" t="s">
        <v>73</v>
      </c>
      <c r="AV7398">
        <v>1856</v>
      </c>
      <c r="AW7398" s="4">
        <v>42569</v>
      </c>
      <c r="BD7398">
        <v>0</v>
      </c>
      <c r="BN7398" t="s">
        <v>74</v>
      </c>
    </row>
    <row r="7399" spans="1:66" hidden="1">
      <c r="A7399">
        <v>104241</v>
      </c>
      <c r="B7399" s="3" t="s">
        <v>631</v>
      </c>
      <c r="C7399" s="1">
        <v>43300101</v>
      </c>
      <c r="D7399" t="s">
        <v>67</v>
      </c>
      <c r="H7399" t="str">
        <f t="shared" si="729"/>
        <v>05582941000</v>
      </c>
      <c r="I7399" t="str">
        <f t="shared" si="729"/>
        <v>05582941000</v>
      </c>
      <c r="K7399" t="str">
        <f>""</f>
        <v/>
      </c>
      <c r="M7399" t="s">
        <v>68</v>
      </c>
      <c r="N7399" t="str">
        <f t="shared" si="727"/>
        <v>FOR</v>
      </c>
      <c r="O7399" t="s">
        <v>69</v>
      </c>
      <c r="P7399" s="3" t="s">
        <v>75</v>
      </c>
      <c r="Q7399">
        <v>2015</v>
      </c>
      <c r="R7399" s="2">
        <v>42321</v>
      </c>
      <c r="S7399" s="2">
        <v>42326</v>
      </c>
      <c r="T7399" s="2">
        <v>42324</v>
      </c>
      <c r="U7399" s="2">
        <v>42384</v>
      </c>
      <c r="V7399" t="s">
        <v>71</v>
      </c>
      <c r="W7399" t="str">
        <f>"          9415027835"</f>
        <v xml:space="preserve">          9415027835</v>
      </c>
      <c r="X7399">
        <v>522.05999999999995</v>
      </c>
      <c r="Y7399">
        <v>0</v>
      </c>
      <c r="Z7399"/>
      <c r="AB7399"/>
      <c r="AC7399">
        <v>474.6</v>
      </c>
      <c r="AD7399">
        <v>185</v>
      </c>
      <c r="AE7399" s="1">
        <v>87801</v>
      </c>
      <c r="AF7399">
        <v>0</v>
      </c>
      <c r="AJ7399">
        <v>0</v>
      </c>
      <c r="AK7399">
        <v>0</v>
      </c>
      <c r="AL7399">
        <v>0</v>
      </c>
      <c r="AM7399">
        <v>0</v>
      </c>
      <c r="AN7399">
        <v>0</v>
      </c>
      <c r="AO7399">
        <v>0</v>
      </c>
      <c r="AP7399" s="2">
        <v>42746</v>
      </c>
      <c r="AQ7399" t="s">
        <v>72</v>
      </c>
      <c r="AR7399" t="s">
        <v>72</v>
      </c>
      <c r="AS7399">
        <v>1856</v>
      </c>
      <c r="AT7399" s="4">
        <v>42569</v>
      </c>
      <c r="AU7399" t="s">
        <v>73</v>
      </c>
      <c r="AV7399">
        <v>1856</v>
      </c>
      <c r="AW7399" s="4">
        <v>42569</v>
      </c>
      <c r="BD7399">
        <v>0</v>
      </c>
      <c r="BN7399" t="s">
        <v>74</v>
      </c>
    </row>
    <row r="7400" spans="1:66" hidden="1">
      <c r="A7400">
        <v>104243</v>
      </c>
      <c r="B7400" s="3" t="s">
        <v>632</v>
      </c>
      <c r="C7400" s="1">
        <v>43300101</v>
      </c>
      <c r="D7400" t="s">
        <v>67</v>
      </c>
      <c r="H7400" t="str">
        <f t="shared" ref="H7400:H7447" si="730">"12300580151"</f>
        <v>12300580151</v>
      </c>
      <c r="I7400" t="str">
        <f t="shared" ref="I7400:I7447" si="731">"02426070120"</f>
        <v>02426070120</v>
      </c>
      <c r="K7400" t="str">
        <f>""</f>
        <v/>
      </c>
      <c r="M7400" t="s">
        <v>68</v>
      </c>
      <c r="N7400" t="str">
        <f t="shared" si="727"/>
        <v>FOR</v>
      </c>
      <c r="O7400" t="s">
        <v>69</v>
      </c>
      <c r="P7400" s="3" t="s">
        <v>78</v>
      </c>
      <c r="Q7400">
        <v>2014</v>
      </c>
      <c r="R7400" s="2">
        <v>41857</v>
      </c>
      <c r="S7400" s="2">
        <v>41877</v>
      </c>
      <c r="T7400" s="2">
        <v>41877</v>
      </c>
      <c r="U7400" s="2">
        <v>41967</v>
      </c>
      <c r="V7400" t="s">
        <v>71</v>
      </c>
      <c r="W7400" t="str">
        <f>"            90015976"</f>
        <v xml:space="preserve">            90015976</v>
      </c>
      <c r="X7400" s="1">
        <v>3250.57</v>
      </c>
      <c r="Y7400">
        <v>0</v>
      </c>
      <c r="Z7400"/>
      <c r="AB7400"/>
      <c r="AC7400" s="1">
        <v>3250.57</v>
      </c>
      <c r="AD7400">
        <v>563</v>
      </c>
      <c r="AE7400" s="1">
        <v>1830070.91</v>
      </c>
      <c r="AF7400">
        <v>0</v>
      </c>
      <c r="AJ7400">
        <v>0</v>
      </c>
      <c r="AK7400">
        <v>0</v>
      </c>
      <c r="AL7400">
        <v>0</v>
      </c>
      <c r="AM7400">
        <v>0</v>
      </c>
      <c r="AN7400">
        <v>0</v>
      </c>
      <c r="AO7400">
        <v>0</v>
      </c>
      <c r="AP7400" s="2">
        <v>42746</v>
      </c>
      <c r="AQ7400" t="s">
        <v>72</v>
      </c>
      <c r="AR7400" t="s">
        <v>72</v>
      </c>
      <c r="AS7400">
        <v>1595</v>
      </c>
      <c r="AT7400" s="4">
        <v>42530</v>
      </c>
      <c r="AU7400" t="s">
        <v>73</v>
      </c>
      <c r="AV7400">
        <v>1595</v>
      </c>
      <c r="AW7400" s="4">
        <v>42530</v>
      </c>
      <c r="BD7400">
        <v>0</v>
      </c>
      <c r="BN7400" t="s">
        <v>74</v>
      </c>
    </row>
    <row r="7401" spans="1:66" hidden="1">
      <c r="A7401">
        <v>104243</v>
      </c>
      <c r="B7401" s="3" t="s">
        <v>632</v>
      </c>
      <c r="C7401" s="1">
        <v>43300101</v>
      </c>
      <c r="D7401" t="s">
        <v>67</v>
      </c>
      <c r="H7401" t="str">
        <f t="shared" si="730"/>
        <v>12300580151</v>
      </c>
      <c r="I7401" t="str">
        <f t="shared" si="731"/>
        <v>02426070120</v>
      </c>
      <c r="K7401" t="str">
        <f>""</f>
        <v/>
      </c>
      <c r="M7401" t="s">
        <v>68</v>
      </c>
      <c r="N7401" t="str">
        <f t="shared" si="727"/>
        <v>FOR</v>
      </c>
      <c r="O7401" t="s">
        <v>69</v>
      </c>
      <c r="P7401" s="3" t="s">
        <v>70</v>
      </c>
      <c r="Q7401">
        <v>2015</v>
      </c>
      <c r="R7401" s="2">
        <v>42039</v>
      </c>
      <c r="S7401" s="2">
        <v>42054</v>
      </c>
      <c r="T7401" s="2">
        <v>42054</v>
      </c>
      <c r="U7401" s="2">
        <v>42114</v>
      </c>
      <c r="V7401" t="s">
        <v>71</v>
      </c>
      <c r="W7401" t="str">
        <f>"            90002147"</f>
        <v xml:space="preserve">            90002147</v>
      </c>
      <c r="X7401">
        <v>877.42</v>
      </c>
      <c r="Y7401">
        <v>0</v>
      </c>
      <c r="Z7401"/>
      <c r="AB7401"/>
      <c r="AC7401">
        <v>719.2</v>
      </c>
      <c r="AD7401">
        <v>290</v>
      </c>
      <c r="AE7401" s="1">
        <v>208568</v>
      </c>
      <c r="AF7401">
        <v>0</v>
      </c>
      <c r="AJ7401">
        <v>0</v>
      </c>
      <c r="AK7401">
        <v>0</v>
      </c>
      <c r="AL7401">
        <v>0</v>
      </c>
      <c r="AM7401">
        <v>0</v>
      </c>
      <c r="AN7401">
        <v>0</v>
      </c>
      <c r="AO7401">
        <v>0</v>
      </c>
      <c r="AP7401" s="2">
        <v>42746</v>
      </c>
      <c r="AQ7401" t="s">
        <v>72</v>
      </c>
      <c r="AR7401" t="s">
        <v>72</v>
      </c>
      <c r="AS7401">
        <v>249</v>
      </c>
      <c r="AT7401" s="4">
        <v>42404</v>
      </c>
      <c r="AU7401" t="s">
        <v>73</v>
      </c>
      <c r="AV7401">
        <v>249</v>
      </c>
      <c r="AW7401" s="4">
        <v>42404</v>
      </c>
      <c r="BD7401">
        <v>0</v>
      </c>
      <c r="BN7401" t="s">
        <v>74</v>
      </c>
    </row>
    <row r="7402" spans="1:66" hidden="1">
      <c r="A7402">
        <v>104243</v>
      </c>
      <c r="B7402" s="3" t="s">
        <v>632</v>
      </c>
      <c r="C7402" s="1">
        <v>43300101</v>
      </c>
      <c r="D7402" t="s">
        <v>67</v>
      </c>
      <c r="H7402" t="str">
        <f t="shared" si="730"/>
        <v>12300580151</v>
      </c>
      <c r="I7402" t="str">
        <f t="shared" si="731"/>
        <v>02426070120</v>
      </c>
      <c r="K7402" t="str">
        <f>""</f>
        <v/>
      </c>
      <c r="M7402" t="s">
        <v>68</v>
      </c>
      <c r="N7402" t="str">
        <f t="shared" si="727"/>
        <v>FOR</v>
      </c>
      <c r="O7402" t="s">
        <v>69</v>
      </c>
      <c r="P7402" s="3" t="s">
        <v>70</v>
      </c>
      <c r="Q7402">
        <v>2015</v>
      </c>
      <c r="R7402" s="2">
        <v>42039</v>
      </c>
      <c r="S7402" s="2">
        <v>42054</v>
      </c>
      <c r="T7402" s="2">
        <v>42054</v>
      </c>
      <c r="U7402" s="2">
        <v>42114</v>
      </c>
      <c r="V7402" t="s">
        <v>71</v>
      </c>
      <c r="W7402" t="str">
        <f>"            90002148"</f>
        <v xml:space="preserve">            90002148</v>
      </c>
      <c r="X7402" s="1">
        <v>1210.24</v>
      </c>
      <c r="Y7402">
        <v>0</v>
      </c>
      <c r="Z7402"/>
      <c r="AB7402"/>
      <c r="AC7402">
        <v>992</v>
      </c>
      <c r="AD7402">
        <v>290</v>
      </c>
      <c r="AE7402" s="1">
        <v>287680</v>
      </c>
      <c r="AF7402">
        <v>0</v>
      </c>
      <c r="AJ7402">
        <v>0</v>
      </c>
      <c r="AK7402">
        <v>0</v>
      </c>
      <c r="AL7402">
        <v>0</v>
      </c>
      <c r="AM7402">
        <v>0</v>
      </c>
      <c r="AN7402">
        <v>0</v>
      </c>
      <c r="AO7402">
        <v>0</v>
      </c>
      <c r="AP7402" s="2">
        <v>42746</v>
      </c>
      <c r="AQ7402" t="s">
        <v>72</v>
      </c>
      <c r="AR7402" t="s">
        <v>72</v>
      </c>
      <c r="AS7402">
        <v>249</v>
      </c>
      <c r="AT7402" s="4">
        <v>42404</v>
      </c>
      <c r="AU7402" t="s">
        <v>73</v>
      </c>
      <c r="AV7402">
        <v>249</v>
      </c>
      <c r="AW7402" s="4">
        <v>42404</v>
      </c>
      <c r="BD7402">
        <v>0</v>
      </c>
      <c r="BN7402" t="s">
        <v>74</v>
      </c>
    </row>
    <row r="7403" spans="1:66" hidden="1">
      <c r="A7403">
        <v>104243</v>
      </c>
      <c r="B7403" s="3" t="s">
        <v>632</v>
      </c>
      <c r="C7403" s="1">
        <v>43300101</v>
      </c>
      <c r="D7403" t="s">
        <v>67</v>
      </c>
      <c r="H7403" t="str">
        <f t="shared" si="730"/>
        <v>12300580151</v>
      </c>
      <c r="I7403" t="str">
        <f t="shared" si="731"/>
        <v>02426070120</v>
      </c>
      <c r="K7403" t="str">
        <f>""</f>
        <v/>
      </c>
      <c r="M7403" t="s">
        <v>68</v>
      </c>
      <c r="N7403" t="str">
        <f t="shared" si="727"/>
        <v>FOR</v>
      </c>
      <c r="O7403" t="s">
        <v>69</v>
      </c>
      <c r="P7403" s="3" t="s">
        <v>70</v>
      </c>
      <c r="Q7403">
        <v>2015</v>
      </c>
      <c r="R7403" s="2">
        <v>42039</v>
      </c>
      <c r="S7403" s="2">
        <v>42054</v>
      </c>
      <c r="T7403" s="2">
        <v>42054</v>
      </c>
      <c r="U7403" s="2">
        <v>42114</v>
      </c>
      <c r="V7403" t="s">
        <v>71</v>
      </c>
      <c r="W7403" t="str">
        <f>"            90002149"</f>
        <v xml:space="preserve">            90002149</v>
      </c>
      <c r="X7403" s="1">
        <v>1013.58</v>
      </c>
      <c r="Y7403">
        <v>0</v>
      </c>
      <c r="Z7403"/>
      <c r="AB7403"/>
      <c r="AC7403">
        <v>830.8</v>
      </c>
      <c r="AD7403">
        <v>290</v>
      </c>
      <c r="AE7403" s="1">
        <v>240932</v>
      </c>
      <c r="AF7403">
        <v>0</v>
      </c>
      <c r="AJ7403">
        <v>0</v>
      </c>
      <c r="AK7403">
        <v>0</v>
      </c>
      <c r="AL7403">
        <v>0</v>
      </c>
      <c r="AM7403">
        <v>0</v>
      </c>
      <c r="AN7403">
        <v>0</v>
      </c>
      <c r="AO7403">
        <v>0</v>
      </c>
      <c r="AP7403" s="2">
        <v>42746</v>
      </c>
      <c r="AQ7403" t="s">
        <v>72</v>
      </c>
      <c r="AR7403" t="s">
        <v>72</v>
      </c>
      <c r="AS7403">
        <v>249</v>
      </c>
      <c r="AT7403" s="4">
        <v>42404</v>
      </c>
      <c r="AU7403" t="s">
        <v>73</v>
      </c>
      <c r="AV7403">
        <v>249</v>
      </c>
      <c r="AW7403" s="4">
        <v>42404</v>
      </c>
      <c r="BD7403">
        <v>0</v>
      </c>
      <c r="BN7403" t="s">
        <v>74</v>
      </c>
    </row>
    <row r="7404" spans="1:66" hidden="1">
      <c r="A7404">
        <v>104243</v>
      </c>
      <c r="B7404" s="3" t="s">
        <v>632</v>
      </c>
      <c r="C7404" s="1">
        <v>43300101</v>
      </c>
      <c r="D7404" t="s">
        <v>67</v>
      </c>
      <c r="H7404" t="str">
        <f t="shared" si="730"/>
        <v>12300580151</v>
      </c>
      <c r="I7404" t="str">
        <f t="shared" si="731"/>
        <v>02426070120</v>
      </c>
      <c r="K7404" t="str">
        <f>""</f>
        <v/>
      </c>
      <c r="M7404" t="s">
        <v>68</v>
      </c>
      <c r="N7404" t="str">
        <f t="shared" si="727"/>
        <v>FOR</v>
      </c>
      <c r="O7404" t="s">
        <v>69</v>
      </c>
      <c r="P7404" s="3" t="s">
        <v>70</v>
      </c>
      <c r="Q7404">
        <v>2015</v>
      </c>
      <c r="R7404" s="2">
        <v>42044</v>
      </c>
      <c r="S7404" s="2">
        <v>42066</v>
      </c>
      <c r="T7404" s="2">
        <v>42066</v>
      </c>
      <c r="U7404" s="2">
        <v>42126</v>
      </c>
      <c r="V7404" t="s">
        <v>71</v>
      </c>
      <c r="W7404" t="str">
        <f>"            90002409"</f>
        <v xml:space="preserve">            90002409</v>
      </c>
      <c r="X7404">
        <v>136.15</v>
      </c>
      <c r="Y7404">
        <v>0</v>
      </c>
      <c r="Z7404"/>
      <c r="AB7404"/>
      <c r="AC7404">
        <v>111.6</v>
      </c>
      <c r="AD7404">
        <v>278</v>
      </c>
      <c r="AE7404" s="1">
        <v>31024.799999999999</v>
      </c>
      <c r="AF7404">
        <v>0</v>
      </c>
      <c r="AJ7404">
        <v>0</v>
      </c>
      <c r="AK7404">
        <v>0</v>
      </c>
      <c r="AL7404">
        <v>0</v>
      </c>
      <c r="AM7404">
        <v>0</v>
      </c>
      <c r="AN7404">
        <v>0</v>
      </c>
      <c r="AO7404">
        <v>0</v>
      </c>
      <c r="AP7404" s="2">
        <v>42746</v>
      </c>
      <c r="AQ7404" t="s">
        <v>72</v>
      </c>
      <c r="AR7404" t="s">
        <v>72</v>
      </c>
      <c r="AS7404">
        <v>249</v>
      </c>
      <c r="AT7404" s="4">
        <v>42404</v>
      </c>
      <c r="AU7404" t="s">
        <v>73</v>
      </c>
      <c r="AV7404">
        <v>249</v>
      </c>
      <c r="AW7404" s="4">
        <v>42404</v>
      </c>
      <c r="BD7404">
        <v>0</v>
      </c>
      <c r="BN7404" t="s">
        <v>74</v>
      </c>
    </row>
    <row r="7405" spans="1:66" hidden="1">
      <c r="A7405">
        <v>104243</v>
      </c>
      <c r="B7405" s="3" t="s">
        <v>632</v>
      </c>
      <c r="C7405" s="1">
        <v>43300101</v>
      </c>
      <c r="D7405" t="s">
        <v>67</v>
      </c>
      <c r="H7405" t="str">
        <f t="shared" si="730"/>
        <v>12300580151</v>
      </c>
      <c r="I7405" t="str">
        <f t="shared" si="731"/>
        <v>02426070120</v>
      </c>
      <c r="K7405" t="str">
        <f>""</f>
        <v/>
      </c>
      <c r="M7405" t="s">
        <v>68</v>
      </c>
      <c r="N7405" t="str">
        <f t="shared" si="727"/>
        <v>FOR</v>
      </c>
      <c r="O7405" t="s">
        <v>69</v>
      </c>
      <c r="P7405" s="3" t="s">
        <v>70</v>
      </c>
      <c r="Q7405">
        <v>2015</v>
      </c>
      <c r="R7405" s="2">
        <v>42053</v>
      </c>
      <c r="S7405" s="2">
        <v>42069</v>
      </c>
      <c r="T7405" s="2">
        <v>42069</v>
      </c>
      <c r="U7405" s="2">
        <v>42129</v>
      </c>
      <c r="V7405" t="s">
        <v>71</v>
      </c>
      <c r="W7405" t="str">
        <f>"            90002902"</f>
        <v xml:space="preserve">            90002902</v>
      </c>
      <c r="X7405">
        <v>968.19</v>
      </c>
      <c r="Y7405">
        <v>0</v>
      </c>
      <c r="Z7405"/>
      <c r="AB7405"/>
      <c r="AC7405">
        <v>793.6</v>
      </c>
      <c r="AD7405">
        <v>275</v>
      </c>
      <c r="AE7405" s="1">
        <v>218240</v>
      </c>
      <c r="AF7405">
        <v>0</v>
      </c>
      <c r="AJ7405">
        <v>0</v>
      </c>
      <c r="AK7405">
        <v>0</v>
      </c>
      <c r="AL7405">
        <v>0</v>
      </c>
      <c r="AM7405">
        <v>0</v>
      </c>
      <c r="AN7405">
        <v>0</v>
      </c>
      <c r="AO7405">
        <v>0</v>
      </c>
      <c r="AP7405" s="2">
        <v>42746</v>
      </c>
      <c r="AQ7405" t="s">
        <v>72</v>
      </c>
      <c r="AR7405" t="s">
        <v>72</v>
      </c>
      <c r="AS7405">
        <v>249</v>
      </c>
      <c r="AT7405" s="4">
        <v>42404</v>
      </c>
      <c r="AU7405" t="s">
        <v>73</v>
      </c>
      <c r="AV7405">
        <v>249</v>
      </c>
      <c r="AW7405" s="4">
        <v>42404</v>
      </c>
      <c r="BD7405">
        <v>0</v>
      </c>
      <c r="BN7405" t="s">
        <v>74</v>
      </c>
    </row>
    <row r="7406" spans="1:66" hidden="1">
      <c r="A7406">
        <v>104243</v>
      </c>
      <c r="B7406" s="3" t="s">
        <v>632</v>
      </c>
      <c r="C7406" s="1">
        <v>43300101</v>
      </c>
      <c r="D7406" t="s">
        <v>67</v>
      </c>
      <c r="H7406" t="str">
        <f t="shared" si="730"/>
        <v>12300580151</v>
      </c>
      <c r="I7406" t="str">
        <f t="shared" si="731"/>
        <v>02426070120</v>
      </c>
      <c r="K7406" t="str">
        <f>""</f>
        <v/>
      </c>
      <c r="M7406" t="s">
        <v>68</v>
      </c>
      <c r="N7406" t="str">
        <f t="shared" si="727"/>
        <v>FOR</v>
      </c>
      <c r="O7406" t="s">
        <v>69</v>
      </c>
      <c r="P7406" s="3" t="s">
        <v>70</v>
      </c>
      <c r="Q7406">
        <v>2015</v>
      </c>
      <c r="R7406" s="2">
        <v>42059</v>
      </c>
      <c r="S7406" s="2">
        <v>42073</v>
      </c>
      <c r="T7406" s="2">
        <v>42073</v>
      </c>
      <c r="U7406" s="2">
        <v>42133</v>
      </c>
      <c r="V7406" t="s">
        <v>71</v>
      </c>
      <c r="W7406" t="str">
        <f>"            90003331"</f>
        <v xml:space="preserve">            90003331</v>
      </c>
      <c r="X7406" s="1">
        <v>5738.88</v>
      </c>
      <c r="Y7406">
        <v>0</v>
      </c>
      <c r="Z7406"/>
      <c r="AB7406"/>
      <c r="AC7406" s="1">
        <v>4704</v>
      </c>
      <c r="AD7406">
        <v>271</v>
      </c>
      <c r="AE7406" s="1">
        <v>1274784</v>
      </c>
      <c r="AF7406">
        <v>0</v>
      </c>
      <c r="AJ7406">
        <v>0</v>
      </c>
      <c r="AK7406">
        <v>0</v>
      </c>
      <c r="AL7406">
        <v>0</v>
      </c>
      <c r="AM7406">
        <v>0</v>
      </c>
      <c r="AN7406">
        <v>0</v>
      </c>
      <c r="AO7406">
        <v>0</v>
      </c>
      <c r="AP7406" s="2">
        <v>42746</v>
      </c>
      <c r="AQ7406" t="s">
        <v>72</v>
      </c>
      <c r="AR7406" t="s">
        <v>72</v>
      </c>
      <c r="AS7406">
        <v>249</v>
      </c>
      <c r="AT7406" s="4">
        <v>42404</v>
      </c>
      <c r="AU7406" t="s">
        <v>73</v>
      </c>
      <c r="AV7406">
        <v>249</v>
      </c>
      <c r="AW7406" s="4">
        <v>42404</v>
      </c>
      <c r="BD7406">
        <v>0</v>
      </c>
      <c r="BN7406" t="s">
        <v>74</v>
      </c>
    </row>
    <row r="7407" spans="1:66" hidden="1">
      <c r="A7407">
        <v>104243</v>
      </c>
      <c r="B7407" s="3" t="s">
        <v>632</v>
      </c>
      <c r="C7407" s="1">
        <v>43300101</v>
      </c>
      <c r="D7407" t="s">
        <v>67</v>
      </c>
      <c r="H7407" t="str">
        <f t="shared" si="730"/>
        <v>12300580151</v>
      </c>
      <c r="I7407" t="str">
        <f t="shared" si="731"/>
        <v>02426070120</v>
      </c>
      <c r="K7407" t="str">
        <f>""</f>
        <v/>
      </c>
      <c r="M7407" t="s">
        <v>68</v>
      </c>
      <c r="N7407" t="str">
        <f t="shared" si="727"/>
        <v>FOR</v>
      </c>
      <c r="O7407" t="s">
        <v>69</v>
      </c>
      <c r="P7407" s="3" t="s">
        <v>70</v>
      </c>
      <c r="Q7407">
        <v>2015</v>
      </c>
      <c r="R7407" s="2">
        <v>42080</v>
      </c>
      <c r="S7407" s="2">
        <v>42097</v>
      </c>
      <c r="T7407" s="2">
        <v>42097</v>
      </c>
      <c r="U7407" s="2">
        <v>42157</v>
      </c>
      <c r="V7407" t="s">
        <v>71</v>
      </c>
      <c r="W7407" t="str">
        <f>"            90004933"</f>
        <v xml:space="preserve">            90004933</v>
      </c>
      <c r="X7407">
        <v>546.55999999999995</v>
      </c>
      <c r="Y7407">
        <v>0</v>
      </c>
      <c r="Z7407"/>
      <c r="AB7407"/>
      <c r="AC7407">
        <v>448</v>
      </c>
      <c r="AD7407">
        <v>258</v>
      </c>
      <c r="AE7407" s="1">
        <v>115584</v>
      </c>
      <c r="AF7407">
        <v>0</v>
      </c>
      <c r="AJ7407">
        <v>0</v>
      </c>
      <c r="AK7407">
        <v>0</v>
      </c>
      <c r="AL7407">
        <v>0</v>
      </c>
      <c r="AM7407">
        <v>0</v>
      </c>
      <c r="AN7407">
        <v>0</v>
      </c>
      <c r="AO7407">
        <v>0</v>
      </c>
      <c r="AP7407" s="2">
        <v>42746</v>
      </c>
      <c r="AQ7407" t="s">
        <v>72</v>
      </c>
      <c r="AR7407" t="s">
        <v>72</v>
      </c>
      <c r="AS7407">
        <v>377</v>
      </c>
      <c r="AT7407" s="4">
        <v>42415</v>
      </c>
      <c r="AU7407" t="s">
        <v>73</v>
      </c>
      <c r="AV7407">
        <v>377</v>
      </c>
      <c r="AW7407" s="4">
        <v>42415</v>
      </c>
      <c r="BD7407">
        <v>0</v>
      </c>
      <c r="BN7407" t="s">
        <v>74</v>
      </c>
    </row>
    <row r="7408" spans="1:66" hidden="1">
      <c r="A7408">
        <v>104243</v>
      </c>
      <c r="B7408" s="3" t="s">
        <v>632</v>
      </c>
      <c r="C7408" s="1">
        <v>43300101</v>
      </c>
      <c r="D7408" t="s">
        <v>67</v>
      </c>
      <c r="H7408" t="str">
        <f t="shared" si="730"/>
        <v>12300580151</v>
      </c>
      <c r="I7408" t="str">
        <f t="shared" si="731"/>
        <v>02426070120</v>
      </c>
      <c r="K7408" t="str">
        <f>""</f>
        <v/>
      </c>
      <c r="M7408" t="s">
        <v>68</v>
      </c>
      <c r="N7408" t="str">
        <f t="shared" si="727"/>
        <v>FOR</v>
      </c>
      <c r="O7408" t="s">
        <v>69</v>
      </c>
      <c r="P7408" s="3" t="s">
        <v>70</v>
      </c>
      <c r="Q7408">
        <v>2015</v>
      </c>
      <c r="R7408" s="2">
        <v>42082</v>
      </c>
      <c r="S7408" s="2">
        <v>42097</v>
      </c>
      <c r="T7408" s="2">
        <v>42097</v>
      </c>
      <c r="U7408" s="2">
        <v>42157</v>
      </c>
      <c r="V7408" t="s">
        <v>71</v>
      </c>
      <c r="W7408" t="str">
        <f>"            90005069"</f>
        <v xml:space="preserve">            90005069</v>
      </c>
      <c r="X7408">
        <v>546.55999999999995</v>
      </c>
      <c r="Y7408">
        <v>0</v>
      </c>
      <c r="Z7408"/>
      <c r="AB7408"/>
      <c r="AC7408">
        <v>448</v>
      </c>
      <c r="AD7408">
        <v>258</v>
      </c>
      <c r="AE7408" s="1">
        <v>115584</v>
      </c>
      <c r="AF7408">
        <v>0</v>
      </c>
      <c r="AJ7408">
        <v>0</v>
      </c>
      <c r="AK7408">
        <v>0</v>
      </c>
      <c r="AL7408">
        <v>0</v>
      </c>
      <c r="AM7408">
        <v>0</v>
      </c>
      <c r="AN7408">
        <v>0</v>
      </c>
      <c r="AO7408">
        <v>0</v>
      </c>
      <c r="AP7408" s="2">
        <v>42746</v>
      </c>
      <c r="AQ7408" t="s">
        <v>72</v>
      </c>
      <c r="AR7408" t="s">
        <v>72</v>
      </c>
      <c r="AS7408">
        <v>377</v>
      </c>
      <c r="AT7408" s="4">
        <v>42415</v>
      </c>
      <c r="AU7408" t="s">
        <v>73</v>
      </c>
      <c r="AV7408">
        <v>377</v>
      </c>
      <c r="AW7408" s="4">
        <v>42415</v>
      </c>
      <c r="BD7408">
        <v>0</v>
      </c>
      <c r="BN7408" t="s">
        <v>74</v>
      </c>
    </row>
    <row r="7409" spans="1:66" hidden="1">
      <c r="A7409">
        <v>104243</v>
      </c>
      <c r="B7409" s="3" t="s">
        <v>632</v>
      </c>
      <c r="C7409" s="1">
        <v>43300101</v>
      </c>
      <c r="D7409" t="s">
        <v>67</v>
      </c>
      <c r="H7409" t="str">
        <f t="shared" si="730"/>
        <v>12300580151</v>
      </c>
      <c r="I7409" t="str">
        <f t="shared" si="731"/>
        <v>02426070120</v>
      </c>
      <c r="K7409" t="str">
        <f>""</f>
        <v/>
      </c>
      <c r="M7409" t="s">
        <v>68</v>
      </c>
      <c r="N7409" t="str">
        <f t="shared" si="727"/>
        <v>FOR</v>
      </c>
      <c r="O7409" t="s">
        <v>69</v>
      </c>
      <c r="P7409" s="3" t="s">
        <v>70</v>
      </c>
      <c r="Q7409">
        <v>2015</v>
      </c>
      <c r="R7409" s="2">
        <v>42086</v>
      </c>
      <c r="S7409" s="2">
        <v>42108</v>
      </c>
      <c r="T7409" s="2">
        <v>42108</v>
      </c>
      <c r="U7409" s="2">
        <v>42168</v>
      </c>
      <c r="V7409" t="s">
        <v>71</v>
      </c>
      <c r="W7409" t="str">
        <f>"            90005310"</f>
        <v xml:space="preserve">            90005310</v>
      </c>
      <c r="X7409">
        <v>242.05</v>
      </c>
      <c r="Y7409">
        <v>0</v>
      </c>
      <c r="Z7409"/>
      <c r="AB7409"/>
      <c r="AC7409">
        <v>198.4</v>
      </c>
      <c r="AD7409">
        <v>247</v>
      </c>
      <c r="AE7409" s="1">
        <v>49004.800000000003</v>
      </c>
      <c r="AF7409">
        <v>0</v>
      </c>
      <c r="AJ7409">
        <v>0</v>
      </c>
      <c r="AK7409">
        <v>0</v>
      </c>
      <c r="AL7409">
        <v>0</v>
      </c>
      <c r="AM7409">
        <v>0</v>
      </c>
      <c r="AN7409">
        <v>0</v>
      </c>
      <c r="AO7409">
        <v>0</v>
      </c>
      <c r="AP7409" s="2">
        <v>42746</v>
      </c>
      <c r="AQ7409" t="s">
        <v>72</v>
      </c>
      <c r="AR7409" t="s">
        <v>72</v>
      </c>
      <c r="AS7409">
        <v>377</v>
      </c>
      <c r="AT7409" s="4">
        <v>42415</v>
      </c>
      <c r="AU7409" t="s">
        <v>73</v>
      </c>
      <c r="AV7409">
        <v>377</v>
      </c>
      <c r="AW7409" s="4">
        <v>42415</v>
      </c>
      <c r="BD7409">
        <v>0</v>
      </c>
      <c r="BN7409" t="s">
        <v>74</v>
      </c>
    </row>
    <row r="7410" spans="1:66" hidden="1">
      <c r="A7410">
        <v>104243</v>
      </c>
      <c r="B7410" s="3" t="s">
        <v>632</v>
      </c>
      <c r="C7410" s="1">
        <v>43300101</v>
      </c>
      <c r="D7410" t="s">
        <v>67</v>
      </c>
      <c r="H7410" t="str">
        <f t="shared" si="730"/>
        <v>12300580151</v>
      </c>
      <c r="I7410" t="str">
        <f t="shared" si="731"/>
        <v>02426070120</v>
      </c>
      <c r="K7410" t="str">
        <f>""</f>
        <v/>
      </c>
      <c r="M7410" t="s">
        <v>68</v>
      </c>
      <c r="N7410" t="str">
        <f t="shared" si="727"/>
        <v>FOR</v>
      </c>
      <c r="O7410" t="s">
        <v>69</v>
      </c>
      <c r="P7410" s="3" t="s">
        <v>75</v>
      </c>
      <c r="Q7410">
        <v>2015</v>
      </c>
      <c r="R7410" s="2">
        <v>42094</v>
      </c>
      <c r="S7410" s="2">
        <v>42121</v>
      </c>
      <c r="T7410" s="2">
        <v>42119</v>
      </c>
      <c r="U7410" s="2">
        <v>42179</v>
      </c>
      <c r="V7410" t="s">
        <v>71</v>
      </c>
      <c r="W7410" t="str">
        <f>"            90006132"</f>
        <v xml:space="preserve">            90006132</v>
      </c>
      <c r="X7410">
        <v>605.12</v>
      </c>
      <c r="Y7410">
        <v>0</v>
      </c>
      <c r="Z7410"/>
      <c r="AB7410"/>
      <c r="AC7410">
        <v>496</v>
      </c>
      <c r="AD7410">
        <v>236</v>
      </c>
      <c r="AE7410" s="1">
        <v>117056</v>
      </c>
      <c r="AF7410">
        <v>0</v>
      </c>
      <c r="AJ7410">
        <v>0</v>
      </c>
      <c r="AK7410">
        <v>0</v>
      </c>
      <c r="AL7410">
        <v>0</v>
      </c>
      <c r="AM7410">
        <v>0</v>
      </c>
      <c r="AN7410">
        <v>0</v>
      </c>
      <c r="AO7410">
        <v>0</v>
      </c>
      <c r="AP7410" s="2">
        <v>42746</v>
      </c>
      <c r="AQ7410" t="s">
        <v>72</v>
      </c>
      <c r="AR7410" t="s">
        <v>72</v>
      </c>
      <c r="AS7410">
        <v>377</v>
      </c>
      <c r="AT7410" s="4">
        <v>42415</v>
      </c>
      <c r="AU7410" t="s">
        <v>73</v>
      </c>
      <c r="AV7410">
        <v>377</v>
      </c>
      <c r="AW7410" s="4">
        <v>42415</v>
      </c>
      <c r="BD7410">
        <v>0</v>
      </c>
      <c r="BN7410" t="s">
        <v>74</v>
      </c>
    </row>
    <row r="7411" spans="1:66" hidden="1">
      <c r="A7411">
        <v>104243</v>
      </c>
      <c r="B7411" s="3" t="s">
        <v>632</v>
      </c>
      <c r="C7411" s="1">
        <v>43300101</v>
      </c>
      <c r="D7411" t="s">
        <v>67</v>
      </c>
      <c r="H7411" t="str">
        <f t="shared" si="730"/>
        <v>12300580151</v>
      </c>
      <c r="I7411" t="str">
        <f t="shared" si="731"/>
        <v>02426070120</v>
      </c>
      <c r="K7411" t="str">
        <f>""</f>
        <v/>
      </c>
      <c r="M7411" t="s">
        <v>68</v>
      </c>
      <c r="N7411" t="str">
        <f t="shared" si="727"/>
        <v>FOR</v>
      </c>
      <c r="O7411" t="s">
        <v>69</v>
      </c>
      <c r="P7411" s="3" t="s">
        <v>75</v>
      </c>
      <c r="Q7411">
        <v>2015</v>
      </c>
      <c r="R7411" s="2">
        <v>42110</v>
      </c>
      <c r="S7411" s="2">
        <v>42121</v>
      </c>
      <c r="T7411" s="2">
        <v>42119</v>
      </c>
      <c r="U7411" s="2">
        <v>42179</v>
      </c>
      <c r="V7411" t="s">
        <v>71</v>
      </c>
      <c r="W7411" t="str">
        <f>"            90006936"</f>
        <v xml:space="preserve">            90006936</v>
      </c>
      <c r="X7411">
        <v>499.22</v>
      </c>
      <c r="Y7411">
        <v>0</v>
      </c>
      <c r="Z7411"/>
      <c r="AB7411"/>
      <c r="AC7411">
        <v>409.2</v>
      </c>
      <c r="AD7411">
        <v>273</v>
      </c>
      <c r="AE7411" s="1">
        <v>111711.6</v>
      </c>
      <c r="AF7411">
        <v>0</v>
      </c>
      <c r="AJ7411">
        <v>0</v>
      </c>
      <c r="AK7411">
        <v>0</v>
      </c>
      <c r="AL7411">
        <v>0</v>
      </c>
      <c r="AM7411">
        <v>0</v>
      </c>
      <c r="AN7411">
        <v>0</v>
      </c>
      <c r="AO7411">
        <v>0</v>
      </c>
      <c r="AP7411" s="2">
        <v>42746</v>
      </c>
      <c r="AQ7411" t="s">
        <v>72</v>
      </c>
      <c r="AR7411" t="s">
        <v>72</v>
      </c>
      <c r="AS7411">
        <v>823</v>
      </c>
      <c r="AT7411" s="4">
        <v>42452</v>
      </c>
      <c r="AU7411" t="s">
        <v>73</v>
      </c>
      <c r="AV7411">
        <v>823</v>
      </c>
      <c r="AW7411" s="4">
        <v>42452</v>
      </c>
      <c r="BD7411">
        <v>0</v>
      </c>
      <c r="BN7411" t="s">
        <v>74</v>
      </c>
    </row>
    <row r="7412" spans="1:66" hidden="1">
      <c r="A7412">
        <v>104243</v>
      </c>
      <c r="B7412" s="3" t="s">
        <v>632</v>
      </c>
      <c r="C7412" s="1">
        <v>43300101</v>
      </c>
      <c r="D7412" t="s">
        <v>67</v>
      </c>
      <c r="H7412" t="str">
        <f t="shared" si="730"/>
        <v>12300580151</v>
      </c>
      <c r="I7412" t="str">
        <f t="shared" si="731"/>
        <v>02426070120</v>
      </c>
      <c r="K7412" t="str">
        <f>""</f>
        <v/>
      </c>
      <c r="M7412" t="s">
        <v>68</v>
      </c>
      <c r="N7412" t="str">
        <f t="shared" si="727"/>
        <v>FOR</v>
      </c>
      <c r="O7412" t="s">
        <v>69</v>
      </c>
      <c r="P7412" s="3" t="s">
        <v>75</v>
      </c>
      <c r="Q7412">
        <v>2015</v>
      </c>
      <c r="R7412" s="2">
        <v>42136</v>
      </c>
      <c r="S7412" s="2">
        <v>42185</v>
      </c>
      <c r="T7412" s="2">
        <v>42181</v>
      </c>
      <c r="U7412" s="2">
        <v>42241</v>
      </c>
      <c r="V7412" t="s">
        <v>71</v>
      </c>
      <c r="W7412" t="str">
        <f>"            90008744"</f>
        <v xml:space="preserve">            90008744</v>
      </c>
      <c r="X7412">
        <v>680.76</v>
      </c>
      <c r="Y7412">
        <v>0</v>
      </c>
      <c r="Z7412"/>
      <c r="AB7412"/>
      <c r="AC7412">
        <v>558</v>
      </c>
      <c r="AD7412">
        <v>211</v>
      </c>
      <c r="AE7412" s="1">
        <v>117738</v>
      </c>
      <c r="AF7412">
        <v>0</v>
      </c>
      <c r="AJ7412">
        <v>0</v>
      </c>
      <c r="AK7412">
        <v>0</v>
      </c>
      <c r="AL7412">
        <v>0</v>
      </c>
      <c r="AM7412">
        <v>0</v>
      </c>
      <c r="AN7412">
        <v>0</v>
      </c>
      <c r="AO7412">
        <v>0</v>
      </c>
      <c r="AP7412" s="2">
        <v>42746</v>
      </c>
      <c r="AQ7412" t="s">
        <v>72</v>
      </c>
      <c r="AR7412" t="s">
        <v>72</v>
      </c>
      <c r="AS7412">
        <v>823</v>
      </c>
      <c r="AT7412" s="4">
        <v>42452</v>
      </c>
      <c r="AU7412" t="s">
        <v>73</v>
      </c>
      <c r="AV7412">
        <v>823</v>
      </c>
      <c r="AW7412" s="4">
        <v>42452</v>
      </c>
      <c r="BD7412">
        <v>0</v>
      </c>
      <c r="BN7412" t="s">
        <v>74</v>
      </c>
    </row>
    <row r="7413" spans="1:66" hidden="1">
      <c r="A7413">
        <v>104243</v>
      </c>
      <c r="B7413" s="3" t="s">
        <v>632</v>
      </c>
      <c r="C7413" s="1">
        <v>43300101</v>
      </c>
      <c r="D7413" t="s">
        <v>67</v>
      </c>
      <c r="H7413" t="str">
        <f t="shared" si="730"/>
        <v>12300580151</v>
      </c>
      <c r="I7413" t="str">
        <f t="shared" si="731"/>
        <v>02426070120</v>
      </c>
      <c r="K7413" t="str">
        <f>""</f>
        <v/>
      </c>
      <c r="M7413" t="s">
        <v>68</v>
      </c>
      <c r="N7413" t="str">
        <f t="shared" si="727"/>
        <v>FOR</v>
      </c>
      <c r="O7413" t="s">
        <v>69</v>
      </c>
      <c r="P7413" s="3" t="s">
        <v>75</v>
      </c>
      <c r="Q7413">
        <v>2015</v>
      </c>
      <c r="R7413" s="2">
        <v>42136</v>
      </c>
      <c r="S7413" s="2">
        <v>42185</v>
      </c>
      <c r="T7413" s="2">
        <v>42181</v>
      </c>
      <c r="U7413" s="2">
        <v>42241</v>
      </c>
      <c r="V7413" t="s">
        <v>71</v>
      </c>
      <c r="W7413" t="str">
        <f>"            90008745"</f>
        <v xml:space="preserve">            90008745</v>
      </c>
      <c r="X7413">
        <v>605.12</v>
      </c>
      <c r="Y7413">
        <v>0</v>
      </c>
      <c r="Z7413"/>
      <c r="AB7413"/>
      <c r="AC7413">
        <v>496</v>
      </c>
      <c r="AD7413">
        <v>211</v>
      </c>
      <c r="AE7413" s="1">
        <v>104656</v>
      </c>
      <c r="AF7413">
        <v>0</v>
      </c>
      <c r="AJ7413">
        <v>0</v>
      </c>
      <c r="AK7413">
        <v>0</v>
      </c>
      <c r="AL7413">
        <v>0</v>
      </c>
      <c r="AM7413">
        <v>0</v>
      </c>
      <c r="AN7413">
        <v>0</v>
      </c>
      <c r="AO7413">
        <v>0</v>
      </c>
      <c r="AP7413" s="2">
        <v>42746</v>
      </c>
      <c r="AQ7413" t="s">
        <v>72</v>
      </c>
      <c r="AR7413" t="s">
        <v>72</v>
      </c>
      <c r="AS7413">
        <v>823</v>
      </c>
      <c r="AT7413" s="4">
        <v>42452</v>
      </c>
      <c r="AU7413" t="s">
        <v>73</v>
      </c>
      <c r="AV7413">
        <v>823</v>
      </c>
      <c r="AW7413" s="4">
        <v>42452</v>
      </c>
      <c r="BD7413">
        <v>0</v>
      </c>
      <c r="BN7413" t="s">
        <v>74</v>
      </c>
    </row>
    <row r="7414" spans="1:66" hidden="1">
      <c r="A7414">
        <v>104243</v>
      </c>
      <c r="B7414" s="3" t="s">
        <v>632</v>
      </c>
      <c r="C7414" s="1">
        <v>43300101</v>
      </c>
      <c r="D7414" t="s">
        <v>67</v>
      </c>
      <c r="H7414" t="str">
        <f t="shared" si="730"/>
        <v>12300580151</v>
      </c>
      <c r="I7414" t="str">
        <f t="shared" si="731"/>
        <v>02426070120</v>
      </c>
      <c r="K7414" t="str">
        <f>""</f>
        <v/>
      </c>
      <c r="M7414" t="s">
        <v>68</v>
      </c>
      <c r="N7414" t="str">
        <f t="shared" si="727"/>
        <v>FOR</v>
      </c>
      <c r="O7414" t="s">
        <v>69</v>
      </c>
      <c r="P7414" s="3" t="s">
        <v>75</v>
      </c>
      <c r="Q7414">
        <v>2015</v>
      </c>
      <c r="R7414" s="2">
        <v>42150</v>
      </c>
      <c r="S7414" s="2">
        <v>42185</v>
      </c>
      <c r="T7414" s="2">
        <v>42181</v>
      </c>
      <c r="U7414" s="2">
        <v>42241</v>
      </c>
      <c r="V7414" t="s">
        <v>71</v>
      </c>
      <c r="W7414" t="str">
        <f>"            90009641"</f>
        <v xml:space="preserve">            90009641</v>
      </c>
      <c r="X7414" s="1">
        <v>1232.2</v>
      </c>
      <c r="Y7414">
        <v>0</v>
      </c>
      <c r="Z7414"/>
      <c r="AB7414"/>
      <c r="AC7414" s="1">
        <v>1010</v>
      </c>
      <c r="AD7414">
        <v>211</v>
      </c>
      <c r="AE7414" s="1">
        <v>213110</v>
      </c>
      <c r="AF7414">
        <v>0</v>
      </c>
      <c r="AJ7414">
        <v>0</v>
      </c>
      <c r="AK7414">
        <v>0</v>
      </c>
      <c r="AL7414">
        <v>0</v>
      </c>
      <c r="AM7414">
        <v>0</v>
      </c>
      <c r="AN7414">
        <v>0</v>
      </c>
      <c r="AO7414">
        <v>0</v>
      </c>
      <c r="AP7414" s="2">
        <v>42746</v>
      </c>
      <c r="AQ7414" t="s">
        <v>72</v>
      </c>
      <c r="AR7414" t="s">
        <v>72</v>
      </c>
      <c r="AS7414">
        <v>823</v>
      </c>
      <c r="AT7414" s="4">
        <v>42452</v>
      </c>
      <c r="AU7414" t="s">
        <v>73</v>
      </c>
      <c r="AV7414">
        <v>823</v>
      </c>
      <c r="AW7414" s="4">
        <v>42452</v>
      </c>
      <c r="BD7414">
        <v>0</v>
      </c>
      <c r="BN7414" t="s">
        <v>74</v>
      </c>
    </row>
    <row r="7415" spans="1:66" hidden="1">
      <c r="A7415">
        <v>104243</v>
      </c>
      <c r="B7415" s="3" t="s">
        <v>632</v>
      </c>
      <c r="C7415" s="1">
        <v>43300101</v>
      </c>
      <c r="D7415" t="s">
        <v>67</v>
      </c>
      <c r="H7415" t="str">
        <f t="shared" si="730"/>
        <v>12300580151</v>
      </c>
      <c r="I7415" t="str">
        <f t="shared" si="731"/>
        <v>02426070120</v>
      </c>
      <c r="K7415" t="str">
        <f>""</f>
        <v/>
      </c>
      <c r="M7415" t="s">
        <v>68</v>
      </c>
      <c r="N7415" t="str">
        <f t="shared" si="727"/>
        <v>FOR</v>
      </c>
      <c r="O7415" t="s">
        <v>69</v>
      </c>
      <c r="P7415" s="3" t="s">
        <v>75</v>
      </c>
      <c r="Q7415">
        <v>2015</v>
      </c>
      <c r="R7415" s="2">
        <v>42150</v>
      </c>
      <c r="S7415" s="2">
        <v>42185</v>
      </c>
      <c r="T7415" s="2">
        <v>42181</v>
      </c>
      <c r="U7415" s="2">
        <v>42241</v>
      </c>
      <c r="V7415" t="s">
        <v>71</v>
      </c>
      <c r="W7415" t="str">
        <f>"            90009642"</f>
        <v xml:space="preserve">            90009642</v>
      </c>
      <c r="X7415">
        <v>585.6</v>
      </c>
      <c r="Y7415">
        <v>0</v>
      </c>
      <c r="Z7415"/>
      <c r="AB7415"/>
      <c r="AC7415">
        <v>480</v>
      </c>
      <c r="AD7415">
        <v>211</v>
      </c>
      <c r="AE7415" s="1">
        <v>101280</v>
      </c>
      <c r="AF7415">
        <v>0</v>
      </c>
      <c r="AJ7415">
        <v>0</v>
      </c>
      <c r="AK7415">
        <v>0</v>
      </c>
      <c r="AL7415">
        <v>0</v>
      </c>
      <c r="AM7415">
        <v>0</v>
      </c>
      <c r="AN7415">
        <v>0</v>
      </c>
      <c r="AO7415">
        <v>0</v>
      </c>
      <c r="AP7415" s="2">
        <v>42746</v>
      </c>
      <c r="AQ7415" t="s">
        <v>72</v>
      </c>
      <c r="AR7415" t="s">
        <v>72</v>
      </c>
      <c r="AS7415">
        <v>823</v>
      </c>
      <c r="AT7415" s="4">
        <v>42452</v>
      </c>
      <c r="AU7415" t="s">
        <v>73</v>
      </c>
      <c r="AV7415">
        <v>823</v>
      </c>
      <c r="AW7415" s="4">
        <v>42452</v>
      </c>
      <c r="BD7415">
        <v>0</v>
      </c>
      <c r="BN7415" t="s">
        <v>74</v>
      </c>
    </row>
    <row r="7416" spans="1:66" hidden="1">
      <c r="A7416">
        <v>104243</v>
      </c>
      <c r="B7416" s="3" t="s">
        <v>632</v>
      </c>
      <c r="C7416" s="1">
        <v>43300101</v>
      </c>
      <c r="D7416" t="s">
        <v>67</v>
      </c>
      <c r="H7416" t="str">
        <f t="shared" si="730"/>
        <v>12300580151</v>
      </c>
      <c r="I7416" t="str">
        <f t="shared" si="731"/>
        <v>02426070120</v>
      </c>
      <c r="K7416" t="str">
        <f>""</f>
        <v/>
      </c>
      <c r="M7416" t="s">
        <v>68</v>
      </c>
      <c r="N7416" t="str">
        <f t="shared" si="727"/>
        <v>FOR</v>
      </c>
      <c r="O7416" t="s">
        <v>69</v>
      </c>
      <c r="P7416" s="3" t="s">
        <v>75</v>
      </c>
      <c r="Q7416">
        <v>2015</v>
      </c>
      <c r="R7416" s="2">
        <v>42164</v>
      </c>
      <c r="S7416" s="2">
        <v>42185</v>
      </c>
      <c r="T7416" s="2">
        <v>42181</v>
      </c>
      <c r="U7416" s="2">
        <v>42241</v>
      </c>
      <c r="V7416" t="s">
        <v>71</v>
      </c>
      <c r="W7416" t="str">
        <f>"            90010697"</f>
        <v xml:space="preserve">            90010697</v>
      </c>
      <c r="X7416">
        <v>585.6</v>
      </c>
      <c r="Y7416">
        <v>0</v>
      </c>
      <c r="Z7416"/>
      <c r="AB7416"/>
      <c r="AC7416">
        <v>480</v>
      </c>
      <c r="AD7416">
        <v>286</v>
      </c>
      <c r="AE7416" s="1">
        <v>137280</v>
      </c>
      <c r="AF7416">
        <v>0</v>
      </c>
      <c r="AJ7416">
        <v>0</v>
      </c>
      <c r="AK7416">
        <v>0</v>
      </c>
      <c r="AL7416">
        <v>0</v>
      </c>
      <c r="AM7416">
        <v>0</v>
      </c>
      <c r="AN7416">
        <v>0</v>
      </c>
      <c r="AO7416">
        <v>0</v>
      </c>
      <c r="AP7416" s="2">
        <v>42746</v>
      </c>
      <c r="AQ7416" t="s">
        <v>72</v>
      </c>
      <c r="AR7416" t="s">
        <v>72</v>
      </c>
      <c r="AS7416">
        <v>1517</v>
      </c>
      <c r="AT7416" s="4">
        <v>42527</v>
      </c>
      <c r="AU7416" t="s">
        <v>73</v>
      </c>
      <c r="AV7416">
        <v>1517</v>
      </c>
      <c r="AW7416" s="4">
        <v>42527</v>
      </c>
      <c r="BD7416">
        <v>0</v>
      </c>
      <c r="BN7416" t="s">
        <v>74</v>
      </c>
    </row>
    <row r="7417" spans="1:66" hidden="1">
      <c r="A7417">
        <v>104243</v>
      </c>
      <c r="B7417" s="3" t="s">
        <v>632</v>
      </c>
      <c r="C7417" s="1">
        <v>43300101</v>
      </c>
      <c r="D7417" t="s">
        <v>67</v>
      </c>
      <c r="H7417" t="str">
        <f t="shared" si="730"/>
        <v>12300580151</v>
      </c>
      <c r="I7417" t="str">
        <f t="shared" si="731"/>
        <v>02426070120</v>
      </c>
      <c r="K7417" t="str">
        <f>""</f>
        <v/>
      </c>
      <c r="M7417" t="s">
        <v>68</v>
      </c>
      <c r="N7417" t="str">
        <f t="shared" si="727"/>
        <v>FOR</v>
      </c>
      <c r="O7417" t="s">
        <v>69</v>
      </c>
      <c r="P7417" s="3" t="s">
        <v>75</v>
      </c>
      <c r="Q7417">
        <v>2015</v>
      </c>
      <c r="R7417" s="2">
        <v>42164</v>
      </c>
      <c r="S7417" s="2">
        <v>42185</v>
      </c>
      <c r="T7417" s="2">
        <v>42181</v>
      </c>
      <c r="U7417" s="2">
        <v>42241</v>
      </c>
      <c r="V7417" t="s">
        <v>71</v>
      </c>
      <c r="W7417" t="str">
        <f>"            90010698"</f>
        <v xml:space="preserve">            90010698</v>
      </c>
      <c r="X7417">
        <v>658.8</v>
      </c>
      <c r="Y7417">
        <v>0</v>
      </c>
      <c r="Z7417"/>
      <c r="AB7417"/>
      <c r="AC7417">
        <v>540</v>
      </c>
      <c r="AD7417">
        <v>286</v>
      </c>
      <c r="AE7417" s="1">
        <v>154440</v>
      </c>
      <c r="AF7417">
        <v>0</v>
      </c>
      <c r="AJ7417">
        <v>0</v>
      </c>
      <c r="AK7417">
        <v>0</v>
      </c>
      <c r="AL7417">
        <v>0</v>
      </c>
      <c r="AM7417">
        <v>0</v>
      </c>
      <c r="AN7417">
        <v>0</v>
      </c>
      <c r="AO7417">
        <v>0</v>
      </c>
      <c r="AP7417" s="2">
        <v>42746</v>
      </c>
      <c r="AQ7417" t="s">
        <v>72</v>
      </c>
      <c r="AR7417" t="s">
        <v>72</v>
      </c>
      <c r="AS7417">
        <v>1517</v>
      </c>
      <c r="AT7417" s="4">
        <v>42527</v>
      </c>
      <c r="AU7417" t="s">
        <v>73</v>
      </c>
      <c r="AV7417">
        <v>1517</v>
      </c>
      <c r="AW7417" s="4">
        <v>42527</v>
      </c>
      <c r="BD7417">
        <v>0</v>
      </c>
      <c r="BN7417" t="s">
        <v>74</v>
      </c>
    </row>
    <row r="7418" spans="1:66" hidden="1">
      <c r="A7418">
        <v>104243</v>
      </c>
      <c r="B7418" s="3" t="s">
        <v>632</v>
      </c>
      <c r="C7418" s="1">
        <v>43300101</v>
      </c>
      <c r="D7418" t="s">
        <v>67</v>
      </c>
      <c r="H7418" t="str">
        <f t="shared" si="730"/>
        <v>12300580151</v>
      </c>
      <c r="I7418" t="str">
        <f t="shared" si="731"/>
        <v>02426070120</v>
      </c>
      <c r="K7418" t="str">
        <f>""</f>
        <v/>
      </c>
      <c r="M7418" t="s">
        <v>68</v>
      </c>
      <c r="N7418" t="str">
        <f t="shared" ref="N7418:N7449" si="732">"FOR"</f>
        <v>FOR</v>
      </c>
      <c r="O7418" t="s">
        <v>69</v>
      </c>
      <c r="P7418" s="3" t="s">
        <v>75</v>
      </c>
      <c r="Q7418">
        <v>2015</v>
      </c>
      <c r="R7418" s="2">
        <v>42164</v>
      </c>
      <c r="S7418" s="2">
        <v>42185</v>
      </c>
      <c r="T7418" s="2">
        <v>42181</v>
      </c>
      <c r="U7418" s="2">
        <v>42241</v>
      </c>
      <c r="V7418" t="s">
        <v>71</v>
      </c>
      <c r="W7418" t="str">
        <f>"            90010699"</f>
        <v xml:space="preserve">            90010699</v>
      </c>
      <c r="X7418" s="1">
        <v>1171.2</v>
      </c>
      <c r="Y7418">
        <v>0</v>
      </c>
      <c r="Z7418"/>
      <c r="AB7418"/>
      <c r="AC7418">
        <v>960</v>
      </c>
      <c r="AD7418">
        <v>286</v>
      </c>
      <c r="AE7418" s="1">
        <v>274560</v>
      </c>
      <c r="AF7418">
        <v>0</v>
      </c>
      <c r="AJ7418">
        <v>0</v>
      </c>
      <c r="AK7418">
        <v>0</v>
      </c>
      <c r="AL7418">
        <v>0</v>
      </c>
      <c r="AM7418">
        <v>0</v>
      </c>
      <c r="AN7418">
        <v>0</v>
      </c>
      <c r="AO7418">
        <v>0</v>
      </c>
      <c r="AP7418" s="2">
        <v>42746</v>
      </c>
      <c r="AQ7418" t="s">
        <v>72</v>
      </c>
      <c r="AR7418" t="s">
        <v>72</v>
      </c>
      <c r="AS7418">
        <v>1517</v>
      </c>
      <c r="AT7418" s="4">
        <v>42527</v>
      </c>
      <c r="AU7418" t="s">
        <v>73</v>
      </c>
      <c r="AV7418">
        <v>1517</v>
      </c>
      <c r="AW7418" s="4">
        <v>42527</v>
      </c>
      <c r="BD7418">
        <v>0</v>
      </c>
      <c r="BN7418" t="s">
        <v>74</v>
      </c>
    </row>
    <row r="7419" spans="1:66" hidden="1">
      <c r="A7419">
        <v>104243</v>
      </c>
      <c r="B7419" s="3" t="s">
        <v>632</v>
      </c>
      <c r="C7419" s="1">
        <v>43300101</v>
      </c>
      <c r="D7419" t="s">
        <v>67</v>
      </c>
      <c r="H7419" t="str">
        <f t="shared" si="730"/>
        <v>12300580151</v>
      </c>
      <c r="I7419" t="str">
        <f t="shared" si="731"/>
        <v>02426070120</v>
      </c>
      <c r="K7419" t="str">
        <f>""</f>
        <v/>
      </c>
      <c r="M7419" t="s">
        <v>68</v>
      </c>
      <c r="N7419" t="str">
        <f t="shared" si="732"/>
        <v>FOR</v>
      </c>
      <c r="O7419" t="s">
        <v>69</v>
      </c>
      <c r="P7419" s="3" t="s">
        <v>75</v>
      </c>
      <c r="Q7419">
        <v>2015</v>
      </c>
      <c r="R7419" s="2">
        <v>42165</v>
      </c>
      <c r="S7419" s="2">
        <v>42185</v>
      </c>
      <c r="T7419" s="2">
        <v>42181</v>
      </c>
      <c r="U7419" s="2">
        <v>42241</v>
      </c>
      <c r="V7419" t="s">
        <v>71</v>
      </c>
      <c r="W7419" t="str">
        <f>"            90010781"</f>
        <v xml:space="preserve">            90010781</v>
      </c>
      <c r="X7419" s="1">
        <v>2464.4</v>
      </c>
      <c r="Y7419">
        <v>0</v>
      </c>
      <c r="Z7419"/>
      <c r="AB7419"/>
      <c r="AC7419" s="1">
        <v>2020</v>
      </c>
      <c r="AD7419">
        <v>286</v>
      </c>
      <c r="AE7419" s="1">
        <v>577720</v>
      </c>
      <c r="AF7419">
        <v>0</v>
      </c>
      <c r="AJ7419">
        <v>0</v>
      </c>
      <c r="AK7419">
        <v>0</v>
      </c>
      <c r="AL7419">
        <v>0</v>
      </c>
      <c r="AM7419">
        <v>0</v>
      </c>
      <c r="AN7419">
        <v>0</v>
      </c>
      <c r="AO7419">
        <v>0</v>
      </c>
      <c r="AP7419" s="2">
        <v>42746</v>
      </c>
      <c r="AQ7419" t="s">
        <v>72</v>
      </c>
      <c r="AR7419" t="s">
        <v>72</v>
      </c>
      <c r="AS7419">
        <v>1517</v>
      </c>
      <c r="AT7419" s="4">
        <v>42527</v>
      </c>
      <c r="AU7419" t="s">
        <v>73</v>
      </c>
      <c r="AV7419">
        <v>1517</v>
      </c>
      <c r="AW7419" s="4">
        <v>42527</v>
      </c>
      <c r="BD7419">
        <v>0</v>
      </c>
      <c r="BN7419" t="s">
        <v>74</v>
      </c>
    </row>
    <row r="7420" spans="1:66" hidden="1">
      <c r="A7420">
        <v>104243</v>
      </c>
      <c r="B7420" s="3" t="s">
        <v>632</v>
      </c>
      <c r="C7420" s="1">
        <v>43300101</v>
      </c>
      <c r="D7420" t="s">
        <v>67</v>
      </c>
      <c r="H7420" t="str">
        <f t="shared" si="730"/>
        <v>12300580151</v>
      </c>
      <c r="I7420" t="str">
        <f t="shared" si="731"/>
        <v>02426070120</v>
      </c>
      <c r="K7420" t="str">
        <f>""</f>
        <v/>
      </c>
      <c r="M7420" t="s">
        <v>68</v>
      </c>
      <c r="N7420" t="str">
        <f t="shared" si="732"/>
        <v>FOR</v>
      </c>
      <c r="O7420" t="s">
        <v>69</v>
      </c>
      <c r="P7420" s="3" t="s">
        <v>75</v>
      </c>
      <c r="Q7420">
        <v>2015</v>
      </c>
      <c r="R7420" s="2">
        <v>42201</v>
      </c>
      <c r="S7420" s="2">
        <v>42328</v>
      </c>
      <c r="T7420" s="2">
        <v>42327</v>
      </c>
      <c r="U7420" s="2">
        <v>42387</v>
      </c>
      <c r="V7420" t="s">
        <v>71</v>
      </c>
      <c r="W7420" t="str">
        <f>"            90013182"</f>
        <v xml:space="preserve">            90013182</v>
      </c>
      <c r="X7420">
        <v>922.32</v>
      </c>
      <c r="Y7420">
        <v>0</v>
      </c>
      <c r="Z7420"/>
      <c r="AB7420"/>
      <c r="AC7420">
        <v>756</v>
      </c>
      <c r="AD7420">
        <v>182</v>
      </c>
      <c r="AE7420" s="1">
        <v>137592</v>
      </c>
      <c r="AF7420">
        <v>0</v>
      </c>
      <c r="AJ7420">
        <v>0</v>
      </c>
      <c r="AK7420">
        <v>0</v>
      </c>
      <c r="AL7420">
        <v>0</v>
      </c>
      <c r="AM7420">
        <v>0</v>
      </c>
      <c r="AN7420">
        <v>0</v>
      </c>
      <c r="AO7420">
        <v>0</v>
      </c>
      <c r="AP7420" s="2">
        <v>42746</v>
      </c>
      <c r="AQ7420" t="s">
        <v>72</v>
      </c>
      <c r="AR7420" t="s">
        <v>72</v>
      </c>
      <c r="AS7420">
        <v>1847</v>
      </c>
      <c r="AT7420" s="4">
        <v>42569</v>
      </c>
      <c r="AU7420" t="s">
        <v>73</v>
      </c>
      <c r="AV7420">
        <v>1847</v>
      </c>
      <c r="AW7420" s="4">
        <v>42569</v>
      </c>
      <c r="BD7420">
        <v>0</v>
      </c>
      <c r="BN7420" t="s">
        <v>74</v>
      </c>
    </row>
    <row r="7421" spans="1:66" hidden="1">
      <c r="A7421">
        <v>104243</v>
      </c>
      <c r="B7421" s="3" t="s">
        <v>632</v>
      </c>
      <c r="C7421" s="1">
        <v>43300101</v>
      </c>
      <c r="D7421" t="s">
        <v>67</v>
      </c>
      <c r="H7421" t="str">
        <f t="shared" si="730"/>
        <v>12300580151</v>
      </c>
      <c r="I7421" t="str">
        <f t="shared" si="731"/>
        <v>02426070120</v>
      </c>
      <c r="K7421" t="str">
        <f>""</f>
        <v/>
      </c>
      <c r="M7421" t="s">
        <v>68</v>
      </c>
      <c r="N7421" t="str">
        <f t="shared" si="732"/>
        <v>FOR</v>
      </c>
      <c r="O7421" t="s">
        <v>69</v>
      </c>
      <c r="P7421" s="3" t="s">
        <v>75</v>
      </c>
      <c r="Q7421">
        <v>2015</v>
      </c>
      <c r="R7421" s="2">
        <v>42201</v>
      </c>
      <c r="S7421" s="2">
        <v>42328</v>
      </c>
      <c r="T7421" s="2">
        <v>42327</v>
      </c>
      <c r="U7421" s="2">
        <v>42387</v>
      </c>
      <c r="V7421" t="s">
        <v>71</v>
      </c>
      <c r="W7421" t="str">
        <f>"            90013183"</f>
        <v xml:space="preserve">            90013183</v>
      </c>
      <c r="X7421">
        <v>819.84</v>
      </c>
      <c r="Y7421">
        <v>0</v>
      </c>
      <c r="Z7421"/>
      <c r="AB7421"/>
      <c r="AC7421">
        <v>672</v>
      </c>
      <c r="AD7421">
        <v>182</v>
      </c>
      <c r="AE7421" s="1">
        <v>122304</v>
      </c>
      <c r="AF7421">
        <v>0</v>
      </c>
      <c r="AJ7421">
        <v>0</v>
      </c>
      <c r="AK7421">
        <v>0</v>
      </c>
      <c r="AL7421">
        <v>0</v>
      </c>
      <c r="AM7421">
        <v>0</v>
      </c>
      <c r="AN7421">
        <v>0</v>
      </c>
      <c r="AO7421">
        <v>0</v>
      </c>
      <c r="AP7421" s="2">
        <v>42746</v>
      </c>
      <c r="AQ7421" t="s">
        <v>72</v>
      </c>
      <c r="AR7421" t="s">
        <v>72</v>
      </c>
      <c r="AS7421">
        <v>1847</v>
      </c>
      <c r="AT7421" s="4">
        <v>42569</v>
      </c>
      <c r="AU7421" t="s">
        <v>73</v>
      </c>
      <c r="AV7421">
        <v>1847</v>
      </c>
      <c r="AW7421" s="4">
        <v>42569</v>
      </c>
      <c r="BD7421">
        <v>0</v>
      </c>
      <c r="BN7421" t="s">
        <v>74</v>
      </c>
    </row>
    <row r="7422" spans="1:66" hidden="1">
      <c r="A7422">
        <v>104243</v>
      </c>
      <c r="B7422" s="3" t="s">
        <v>632</v>
      </c>
      <c r="C7422" s="1">
        <v>43300101</v>
      </c>
      <c r="D7422" t="s">
        <v>67</v>
      </c>
      <c r="H7422" t="str">
        <f t="shared" si="730"/>
        <v>12300580151</v>
      </c>
      <c r="I7422" t="str">
        <f t="shared" si="731"/>
        <v>02426070120</v>
      </c>
      <c r="K7422" t="str">
        <f>""</f>
        <v/>
      </c>
      <c r="M7422" t="s">
        <v>68</v>
      </c>
      <c r="N7422" t="str">
        <f t="shared" si="732"/>
        <v>FOR</v>
      </c>
      <c r="O7422" t="s">
        <v>69</v>
      </c>
      <c r="P7422" s="3" t="s">
        <v>75</v>
      </c>
      <c r="Q7422">
        <v>2015</v>
      </c>
      <c r="R7422" s="2">
        <v>42206</v>
      </c>
      <c r="S7422" s="2">
        <v>42215</v>
      </c>
      <c r="T7422" s="2">
        <v>42213</v>
      </c>
      <c r="U7422" s="2">
        <v>42273</v>
      </c>
      <c r="V7422" t="s">
        <v>71</v>
      </c>
      <c r="W7422" t="str">
        <f>"            90013433"</f>
        <v xml:space="preserve">            90013433</v>
      </c>
      <c r="X7422">
        <v>614.88</v>
      </c>
      <c r="Y7422">
        <v>0</v>
      </c>
      <c r="Z7422"/>
      <c r="AB7422"/>
      <c r="AC7422">
        <v>504</v>
      </c>
      <c r="AD7422">
        <v>296</v>
      </c>
      <c r="AE7422" s="1">
        <v>149184</v>
      </c>
      <c r="AF7422">
        <v>0</v>
      </c>
      <c r="AJ7422">
        <v>0</v>
      </c>
      <c r="AK7422">
        <v>0</v>
      </c>
      <c r="AL7422">
        <v>0</v>
      </c>
      <c r="AM7422">
        <v>0</v>
      </c>
      <c r="AN7422">
        <v>0</v>
      </c>
      <c r="AO7422">
        <v>0</v>
      </c>
      <c r="AP7422" s="2">
        <v>42746</v>
      </c>
      <c r="AQ7422" t="s">
        <v>72</v>
      </c>
      <c r="AR7422" t="s">
        <v>72</v>
      </c>
      <c r="AS7422">
        <v>1847</v>
      </c>
      <c r="AT7422" s="4">
        <v>42569</v>
      </c>
      <c r="AU7422" t="s">
        <v>73</v>
      </c>
      <c r="AV7422">
        <v>1847</v>
      </c>
      <c r="AW7422" s="4">
        <v>42569</v>
      </c>
      <c r="BD7422">
        <v>0</v>
      </c>
      <c r="BN7422" t="s">
        <v>74</v>
      </c>
    </row>
    <row r="7423" spans="1:66" hidden="1">
      <c r="A7423">
        <v>104243</v>
      </c>
      <c r="B7423" s="3" t="s">
        <v>632</v>
      </c>
      <c r="C7423" s="1">
        <v>43300101</v>
      </c>
      <c r="D7423" t="s">
        <v>67</v>
      </c>
      <c r="H7423" t="str">
        <f t="shared" si="730"/>
        <v>12300580151</v>
      </c>
      <c r="I7423" t="str">
        <f t="shared" si="731"/>
        <v>02426070120</v>
      </c>
      <c r="K7423" t="str">
        <f>""</f>
        <v/>
      </c>
      <c r="M7423" t="s">
        <v>68</v>
      </c>
      <c r="N7423" t="str">
        <f t="shared" si="732"/>
        <v>FOR</v>
      </c>
      <c r="O7423" t="s">
        <v>69</v>
      </c>
      <c r="P7423" s="3" t="s">
        <v>75</v>
      </c>
      <c r="Q7423">
        <v>2015</v>
      </c>
      <c r="R7423" s="2">
        <v>42213</v>
      </c>
      <c r="S7423" s="2">
        <v>42275</v>
      </c>
      <c r="T7423" s="2">
        <v>42275</v>
      </c>
      <c r="U7423" s="2">
        <v>42335</v>
      </c>
      <c r="V7423" t="s">
        <v>71</v>
      </c>
      <c r="W7423" t="str">
        <f>"            90013904"</f>
        <v xml:space="preserve">            90013904</v>
      </c>
      <c r="X7423">
        <v>702.72</v>
      </c>
      <c r="Y7423">
        <v>0</v>
      </c>
      <c r="Z7423"/>
      <c r="AB7423"/>
      <c r="AC7423">
        <v>576</v>
      </c>
      <c r="AD7423">
        <v>234</v>
      </c>
      <c r="AE7423" s="1">
        <v>134784</v>
      </c>
      <c r="AF7423">
        <v>0</v>
      </c>
      <c r="AJ7423">
        <v>0</v>
      </c>
      <c r="AK7423">
        <v>0</v>
      </c>
      <c r="AL7423">
        <v>0</v>
      </c>
      <c r="AM7423">
        <v>0</v>
      </c>
      <c r="AN7423">
        <v>0</v>
      </c>
      <c r="AO7423">
        <v>0</v>
      </c>
      <c r="AP7423" s="2">
        <v>42746</v>
      </c>
      <c r="AQ7423" t="s">
        <v>72</v>
      </c>
      <c r="AR7423" t="s">
        <v>72</v>
      </c>
      <c r="AS7423">
        <v>1847</v>
      </c>
      <c r="AT7423" s="4">
        <v>42569</v>
      </c>
      <c r="AU7423" t="s">
        <v>73</v>
      </c>
      <c r="AV7423">
        <v>1847</v>
      </c>
      <c r="AW7423" s="4">
        <v>42569</v>
      </c>
      <c r="BD7423">
        <v>0</v>
      </c>
      <c r="BN7423" t="s">
        <v>74</v>
      </c>
    </row>
    <row r="7424" spans="1:66" hidden="1">
      <c r="A7424">
        <v>104243</v>
      </c>
      <c r="B7424" s="3" t="s">
        <v>632</v>
      </c>
      <c r="C7424" s="1">
        <v>43300101</v>
      </c>
      <c r="D7424" t="s">
        <v>67</v>
      </c>
      <c r="H7424" t="str">
        <f t="shared" si="730"/>
        <v>12300580151</v>
      </c>
      <c r="I7424" t="str">
        <f t="shared" si="731"/>
        <v>02426070120</v>
      </c>
      <c r="K7424" t="str">
        <f>""</f>
        <v/>
      </c>
      <c r="M7424" t="s">
        <v>68</v>
      </c>
      <c r="N7424" t="str">
        <f t="shared" si="732"/>
        <v>FOR</v>
      </c>
      <c r="O7424" t="s">
        <v>69</v>
      </c>
      <c r="P7424" s="3" t="s">
        <v>75</v>
      </c>
      <c r="Q7424">
        <v>2015</v>
      </c>
      <c r="R7424" s="2">
        <v>42220</v>
      </c>
      <c r="S7424" s="2">
        <v>42248</v>
      </c>
      <c r="T7424" s="2">
        <v>42247</v>
      </c>
      <c r="U7424" s="2">
        <v>42307</v>
      </c>
      <c r="V7424" t="s">
        <v>71</v>
      </c>
      <c r="W7424" t="str">
        <f>"            90014445"</f>
        <v xml:space="preserve">            90014445</v>
      </c>
      <c r="X7424">
        <v>234.24</v>
      </c>
      <c r="Y7424">
        <v>0</v>
      </c>
      <c r="Z7424"/>
      <c r="AB7424"/>
      <c r="AC7424">
        <v>192</v>
      </c>
      <c r="AD7424">
        <v>272</v>
      </c>
      <c r="AE7424" s="1">
        <v>52224</v>
      </c>
      <c r="AF7424">
        <v>0</v>
      </c>
      <c r="AJ7424">
        <v>0</v>
      </c>
      <c r="AK7424">
        <v>0</v>
      </c>
      <c r="AL7424">
        <v>0</v>
      </c>
      <c r="AM7424">
        <v>0</v>
      </c>
      <c r="AN7424">
        <v>0</v>
      </c>
      <c r="AO7424">
        <v>0</v>
      </c>
      <c r="AP7424" s="2">
        <v>42746</v>
      </c>
      <c r="AQ7424" t="s">
        <v>72</v>
      </c>
      <c r="AR7424" t="s">
        <v>72</v>
      </c>
      <c r="AS7424">
        <v>2028</v>
      </c>
      <c r="AT7424" s="4">
        <v>42579</v>
      </c>
      <c r="AU7424" t="s">
        <v>73</v>
      </c>
      <c r="AV7424">
        <v>2028</v>
      </c>
      <c r="AW7424" s="4">
        <v>42579</v>
      </c>
      <c r="BD7424">
        <v>0</v>
      </c>
      <c r="BN7424" t="s">
        <v>74</v>
      </c>
    </row>
    <row r="7425" spans="1:66" hidden="1">
      <c r="A7425">
        <v>104243</v>
      </c>
      <c r="B7425" s="3" t="s">
        <v>632</v>
      </c>
      <c r="C7425" s="1">
        <v>43300101</v>
      </c>
      <c r="D7425" t="s">
        <v>67</v>
      </c>
      <c r="H7425" t="str">
        <f t="shared" si="730"/>
        <v>12300580151</v>
      </c>
      <c r="I7425" t="str">
        <f t="shared" si="731"/>
        <v>02426070120</v>
      </c>
      <c r="K7425" t="str">
        <f>""</f>
        <v/>
      </c>
      <c r="M7425" t="s">
        <v>68</v>
      </c>
      <c r="N7425" t="str">
        <f t="shared" si="732"/>
        <v>FOR</v>
      </c>
      <c r="O7425" t="s">
        <v>69</v>
      </c>
      <c r="P7425" s="3" t="s">
        <v>75</v>
      </c>
      <c r="Q7425">
        <v>2015</v>
      </c>
      <c r="R7425" s="2">
        <v>42255</v>
      </c>
      <c r="S7425" s="2">
        <v>42265</v>
      </c>
      <c r="T7425" s="2">
        <v>42265</v>
      </c>
      <c r="U7425" s="2">
        <v>42325</v>
      </c>
      <c r="V7425" t="s">
        <v>71</v>
      </c>
      <c r="W7425" t="str">
        <f>"            90015902"</f>
        <v xml:space="preserve">            90015902</v>
      </c>
      <c r="X7425">
        <v>644.16</v>
      </c>
      <c r="Y7425">
        <v>0</v>
      </c>
      <c r="Z7425"/>
      <c r="AB7425"/>
      <c r="AC7425">
        <v>528</v>
      </c>
      <c r="AD7425">
        <v>254</v>
      </c>
      <c r="AE7425" s="1">
        <v>134112</v>
      </c>
      <c r="AF7425">
        <v>0</v>
      </c>
      <c r="AJ7425">
        <v>0</v>
      </c>
      <c r="AK7425">
        <v>0</v>
      </c>
      <c r="AL7425">
        <v>0</v>
      </c>
      <c r="AM7425">
        <v>0</v>
      </c>
      <c r="AN7425">
        <v>0</v>
      </c>
      <c r="AO7425">
        <v>0</v>
      </c>
      <c r="AP7425" s="2">
        <v>42746</v>
      </c>
      <c r="AQ7425" t="s">
        <v>72</v>
      </c>
      <c r="AR7425" t="s">
        <v>72</v>
      </c>
      <c r="AS7425">
        <v>2028</v>
      </c>
      <c r="AT7425" s="4">
        <v>42579</v>
      </c>
      <c r="AU7425" t="s">
        <v>73</v>
      </c>
      <c r="AV7425">
        <v>2028</v>
      </c>
      <c r="AW7425" s="4">
        <v>42579</v>
      </c>
      <c r="BD7425">
        <v>0</v>
      </c>
      <c r="BN7425" t="s">
        <v>74</v>
      </c>
    </row>
    <row r="7426" spans="1:66" hidden="1">
      <c r="A7426">
        <v>104243</v>
      </c>
      <c r="B7426" s="3" t="s">
        <v>632</v>
      </c>
      <c r="C7426" s="1">
        <v>43300101</v>
      </c>
      <c r="D7426" t="s">
        <v>67</v>
      </c>
      <c r="H7426" t="str">
        <f t="shared" si="730"/>
        <v>12300580151</v>
      </c>
      <c r="I7426" t="str">
        <f t="shared" si="731"/>
        <v>02426070120</v>
      </c>
      <c r="K7426" t="str">
        <f>""</f>
        <v/>
      </c>
      <c r="M7426" t="s">
        <v>68</v>
      </c>
      <c r="N7426" t="str">
        <f t="shared" si="732"/>
        <v>FOR</v>
      </c>
      <c r="O7426" t="s">
        <v>69</v>
      </c>
      <c r="P7426" s="3" t="s">
        <v>75</v>
      </c>
      <c r="Q7426">
        <v>2015</v>
      </c>
      <c r="R7426" s="2">
        <v>42271</v>
      </c>
      <c r="S7426" s="2">
        <v>42277</v>
      </c>
      <c r="T7426" s="2">
        <v>42277</v>
      </c>
      <c r="U7426" s="2">
        <v>42337</v>
      </c>
      <c r="V7426" t="s">
        <v>71</v>
      </c>
      <c r="W7426" t="str">
        <f>"            90016841"</f>
        <v xml:space="preserve">            90016841</v>
      </c>
      <c r="X7426">
        <v>468.48</v>
      </c>
      <c r="Y7426">
        <v>0</v>
      </c>
      <c r="Z7426"/>
      <c r="AB7426"/>
      <c r="AC7426">
        <v>384</v>
      </c>
      <c r="AD7426">
        <v>242</v>
      </c>
      <c r="AE7426" s="1">
        <v>92928</v>
      </c>
      <c r="AF7426">
        <v>0</v>
      </c>
      <c r="AJ7426">
        <v>0</v>
      </c>
      <c r="AK7426">
        <v>0</v>
      </c>
      <c r="AL7426">
        <v>0</v>
      </c>
      <c r="AM7426">
        <v>0</v>
      </c>
      <c r="AN7426">
        <v>0</v>
      </c>
      <c r="AO7426">
        <v>0</v>
      </c>
      <c r="AP7426" s="2">
        <v>42746</v>
      </c>
      <c r="AQ7426" t="s">
        <v>72</v>
      </c>
      <c r="AR7426" t="s">
        <v>72</v>
      </c>
      <c r="AS7426">
        <v>2028</v>
      </c>
      <c r="AT7426" s="4">
        <v>42579</v>
      </c>
      <c r="AU7426" t="s">
        <v>73</v>
      </c>
      <c r="AV7426">
        <v>2028</v>
      </c>
      <c r="AW7426" s="4">
        <v>42579</v>
      </c>
      <c r="BD7426">
        <v>0</v>
      </c>
      <c r="BN7426" t="s">
        <v>74</v>
      </c>
    </row>
    <row r="7427" spans="1:66" hidden="1">
      <c r="A7427">
        <v>104243</v>
      </c>
      <c r="B7427" s="3" t="s">
        <v>632</v>
      </c>
      <c r="C7427" s="1">
        <v>43300101</v>
      </c>
      <c r="D7427" t="s">
        <v>67</v>
      </c>
      <c r="H7427" t="str">
        <f t="shared" si="730"/>
        <v>12300580151</v>
      </c>
      <c r="I7427" t="str">
        <f t="shared" si="731"/>
        <v>02426070120</v>
      </c>
      <c r="K7427" t="str">
        <f>""</f>
        <v/>
      </c>
      <c r="M7427" t="s">
        <v>68</v>
      </c>
      <c r="N7427" t="str">
        <f t="shared" si="732"/>
        <v>FOR</v>
      </c>
      <c r="O7427" t="s">
        <v>69</v>
      </c>
      <c r="P7427" s="3" t="s">
        <v>75</v>
      </c>
      <c r="Q7427">
        <v>2015</v>
      </c>
      <c r="R7427" s="2">
        <v>42271</v>
      </c>
      <c r="S7427" s="2">
        <v>42277</v>
      </c>
      <c r="T7427" s="2">
        <v>42277</v>
      </c>
      <c r="U7427" s="2">
        <v>42337</v>
      </c>
      <c r="V7427" t="s">
        <v>71</v>
      </c>
      <c r="W7427" t="str">
        <f>"            90016842"</f>
        <v xml:space="preserve">            90016842</v>
      </c>
      <c r="X7427" s="1">
        <v>8061.76</v>
      </c>
      <c r="Y7427">
        <v>0</v>
      </c>
      <c r="Z7427"/>
      <c r="AB7427"/>
      <c r="AC7427" s="1">
        <v>6608</v>
      </c>
      <c r="AD7427">
        <v>242</v>
      </c>
      <c r="AE7427" s="1">
        <v>1599136</v>
      </c>
      <c r="AF7427">
        <v>0</v>
      </c>
      <c r="AJ7427">
        <v>0</v>
      </c>
      <c r="AK7427">
        <v>0</v>
      </c>
      <c r="AL7427">
        <v>0</v>
      </c>
      <c r="AM7427">
        <v>0</v>
      </c>
      <c r="AN7427">
        <v>0</v>
      </c>
      <c r="AO7427">
        <v>0</v>
      </c>
      <c r="AP7427" s="2">
        <v>42746</v>
      </c>
      <c r="AQ7427" t="s">
        <v>72</v>
      </c>
      <c r="AR7427" t="s">
        <v>72</v>
      </c>
      <c r="AS7427">
        <v>2028</v>
      </c>
      <c r="AT7427" s="4">
        <v>42579</v>
      </c>
      <c r="AU7427" t="s">
        <v>73</v>
      </c>
      <c r="AV7427">
        <v>2028</v>
      </c>
      <c r="AW7427" s="4">
        <v>42579</v>
      </c>
      <c r="BD7427">
        <v>0</v>
      </c>
      <c r="BN7427" t="s">
        <v>74</v>
      </c>
    </row>
    <row r="7428" spans="1:66" hidden="1">
      <c r="A7428">
        <v>104243</v>
      </c>
      <c r="B7428" s="3" t="s">
        <v>632</v>
      </c>
      <c r="C7428" s="1">
        <v>43300101</v>
      </c>
      <c r="D7428" t="s">
        <v>67</v>
      </c>
      <c r="H7428" t="str">
        <f t="shared" si="730"/>
        <v>12300580151</v>
      </c>
      <c r="I7428" t="str">
        <f t="shared" si="731"/>
        <v>02426070120</v>
      </c>
      <c r="K7428" t="str">
        <f>""</f>
        <v/>
      </c>
      <c r="M7428" t="s">
        <v>68</v>
      </c>
      <c r="N7428" t="str">
        <f t="shared" si="732"/>
        <v>FOR</v>
      </c>
      <c r="O7428" t="s">
        <v>69</v>
      </c>
      <c r="P7428" s="3" t="s">
        <v>75</v>
      </c>
      <c r="Q7428">
        <v>2015</v>
      </c>
      <c r="R7428" s="2">
        <v>42276</v>
      </c>
      <c r="S7428" s="2">
        <v>42277</v>
      </c>
      <c r="T7428" s="2">
        <v>42277</v>
      </c>
      <c r="U7428" s="2">
        <v>42337</v>
      </c>
      <c r="V7428" t="s">
        <v>71</v>
      </c>
      <c r="W7428" t="str">
        <f>"            90017139"</f>
        <v xml:space="preserve">            90017139</v>
      </c>
      <c r="X7428" s="1">
        <v>1830</v>
      </c>
      <c r="Y7428">
        <v>0</v>
      </c>
      <c r="Z7428"/>
      <c r="AB7428"/>
      <c r="AC7428" s="1">
        <v>1500</v>
      </c>
      <c r="AD7428">
        <v>242</v>
      </c>
      <c r="AE7428" s="1">
        <v>363000</v>
      </c>
      <c r="AF7428">
        <v>0</v>
      </c>
      <c r="AJ7428">
        <v>0</v>
      </c>
      <c r="AK7428">
        <v>0</v>
      </c>
      <c r="AL7428">
        <v>0</v>
      </c>
      <c r="AM7428">
        <v>0</v>
      </c>
      <c r="AN7428">
        <v>0</v>
      </c>
      <c r="AO7428">
        <v>0</v>
      </c>
      <c r="AP7428" s="2">
        <v>42746</v>
      </c>
      <c r="AQ7428" t="s">
        <v>72</v>
      </c>
      <c r="AR7428" t="s">
        <v>72</v>
      </c>
      <c r="AS7428">
        <v>2028</v>
      </c>
      <c r="AT7428" s="4">
        <v>42579</v>
      </c>
      <c r="AU7428" t="s">
        <v>73</v>
      </c>
      <c r="AV7428">
        <v>2028</v>
      </c>
      <c r="AW7428" s="4">
        <v>42579</v>
      </c>
      <c r="BD7428">
        <v>0</v>
      </c>
      <c r="BN7428" t="s">
        <v>74</v>
      </c>
    </row>
    <row r="7429" spans="1:66">
      <c r="A7429">
        <v>104243</v>
      </c>
      <c r="B7429" s="3" t="s">
        <v>632</v>
      </c>
      <c r="C7429" s="1">
        <v>43300101</v>
      </c>
      <c r="D7429" t="s">
        <v>67</v>
      </c>
      <c r="H7429" t="str">
        <f t="shared" si="730"/>
        <v>12300580151</v>
      </c>
      <c r="I7429" t="str">
        <f t="shared" si="731"/>
        <v>02426070120</v>
      </c>
      <c r="K7429" t="str">
        <f>""</f>
        <v/>
      </c>
      <c r="M7429" t="s">
        <v>68</v>
      </c>
      <c r="N7429" t="str">
        <f t="shared" si="732"/>
        <v>FOR</v>
      </c>
      <c r="O7429" t="s">
        <v>69</v>
      </c>
      <c r="P7429" s="3" t="s">
        <v>75</v>
      </c>
      <c r="Q7429">
        <v>2015</v>
      </c>
      <c r="R7429" s="2">
        <v>42283</v>
      </c>
      <c r="S7429" s="2">
        <v>42291</v>
      </c>
      <c r="T7429" s="2">
        <v>42289</v>
      </c>
      <c r="U7429" s="2">
        <v>42349</v>
      </c>
      <c r="V7429" t="s">
        <v>71</v>
      </c>
      <c r="W7429" t="str">
        <f>"            90017844"</f>
        <v xml:space="preserve">            90017844</v>
      </c>
      <c r="X7429" s="1">
        <v>1171.2</v>
      </c>
      <c r="Y7429">
        <v>0</v>
      </c>
      <c r="Z7429" s="3">
        <v>960</v>
      </c>
      <c r="AA7429">
        <v>298</v>
      </c>
      <c r="AB7429" s="5">
        <v>286080</v>
      </c>
      <c r="AC7429">
        <v>960</v>
      </c>
      <c r="AD7429">
        <v>298</v>
      </c>
      <c r="AE7429" s="1">
        <v>286080</v>
      </c>
      <c r="AF7429">
        <v>0</v>
      </c>
      <c r="AJ7429">
        <v>0</v>
      </c>
      <c r="AK7429">
        <v>0</v>
      </c>
      <c r="AL7429">
        <v>0</v>
      </c>
      <c r="AM7429">
        <v>0</v>
      </c>
      <c r="AN7429">
        <v>0</v>
      </c>
      <c r="AO7429">
        <v>0</v>
      </c>
      <c r="AP7429" s="2">
        <v>42746</v>
      </c>
      <c r="AQ7429" t="s">
        <v>72</v>
      </c>
      <c r="AR7429" t="s">
        <v>72</v>
      </c>
      <c r="AS7429">
        <v>2604</v>
      </c>
      <c r="AT7429" s="4">
        <v>42647</v>
      </c>
      <c r="AU7429" t="s">
        <v>73</v>
      </c>
      <c r="AV7429">
        <v>2604</v>
      </c>
      <c r="AW7429" s="4">
        <v>42647</v>
      </c>
      <c r="BD7429">
        <v>0</v>
      </c>
      <c r="BN7429" t="s">
        <v>74</v>
      </c>
    </row>
    <row r="7430" spans="1:66">
      <c r="A7430">
        <v>104243</v>
      </c>
      <c r="B7430" s="3" t="s">
        <v>632</v>
      </c>
      <c r="C7430" s="1">
        <v>43300101</v>
      </c>
      <c r="D7430" t="s">
        <v>67</v>
      </c>
      <c r="H7430" t="str">
        <f t="shared" si="730"/>
        <v>12300580151</v>
      </c>
      <c r="I7430" t="str">
        <f t="shared" si="731"/>
        <v>02426070120</v>
      </c>
      <c r="K7430" t="str">
        <f>""</f>
        <v/>
      </c>
      <c r="M7430" t="s">
        <v>68</v>
      </c>
      <c r="N7430" t="str">
        <f t="shared" si="732"/>
        <v>FOR</v>
      </c>
      <c r="O7430" t="s">
        <v>69</v>
      </c>
      <c r="P7430" s="3" t="s">
        <v>75</v>
      </c>
      <c r="Q7430">
        <v>2015</v>
      </c>
      <c r="R7430" s="2">
        <v>42290</v>
      </c>
      <c r="S7430" s="2">
        <v>42296</v>
      </c>
      <c r="T7430" s="2">
        <v>42296</v>
      </c>
      <c r="U7430" s="2">
        <v>42356</v>
      </c>
      <c r="V7430" t="s">
        <v>71</v>
      </c>
      <c r="W7430" t="str">
        <f>"            90018207"</f>
        <v xml:space="preserve">            90018207</v>
      </c>
      <c r="X7430">
        <v>600.24</v>
      </c>
      <c r="Y7430">
        <v>0</v>
      </c>
      <c r="Z7430" s="3">
        <v>492</v>
      </c>
      <c r="AA7430">
        <v>291</v>
      </c>
      <c r="AB7430" s="5">
        <v>143172</v>
      </c>
      <c r="AC7430">
        <v>492</v>
      </c>
      <c r="AD7430">
        <v>291</v>
      </c>
      <c r="AE7430" s="1">
        <v>143172</v>
      </c>
      <c r="AF7430">
        <v>0</v>
      </c>
      <c r="AJ7430">
        <v>0</v>
      </c>
      <c r="AK7430">
        <v>0</v>
      </c>
      <c r="AL7430">
        <v>0</v>
      </c>
      <c r="AM7430">
        <v>0</v>
      </c>
      <c r="AN7430">
        <v>0</v>
      </c>
      <c r="AO7430">
        <v>0</v>
      </c>
      <c r="AP7430" s="2">
        <v>42746</v>
      </c>
      <c r="AQ7430" t="s">
        <v>72</v>
      </c>
      <c r="AR7430" t="s">
        <v>72</v>
      </c>
      <c r="AS7430">
        <v>2604</v>
      </c>
      <c r="AT7430" s="4">
        <v>42647</v>
      </c>
      <c r="AU7430" t="s">
        <v>73</v>
      </c>
      <c r="AV7430">
        <v>2604</v>
      </c>
      <c r="AW7430" s="4">
        <v>42647</v>
      </c>
      <c r="BD7430">
        <v>0</v>
      </c>
      <c r="BN7430" t="s">
        <v>74</v>
      </c>
    </row>
    <row r="7431" spans="1:66">
      <c r="A7431">
        <v>104243</v>
      </c>
      <c r="B7431" s="3" t="s">
        <v>632</v>
      </c>
      <c r="C7431" s="1">
        <v>43300101</v>
      </c>
      <c r="D7431" t="s">
        <v>67</v>
      </c>
      <c r="H7431" t="str">
        <f t="shared" si="730"/>
        <v>12300580151</v>
      </c>
      <c r="I7431" t="str">
        <f t="shared" si="731"/>
        <v>02426070120</v>
      </c>
      <c r="K7431" t="str">
        <f>""</f>
        <v/>
      </c>
      <c r="M7431" t="s">
        <v>68</v>
      </c>
      <c r="N7431" t="str">
        <f t="shared" si="732"/>
        <v>FOR</v>
      </c>
      <c r="O7431" t="s">
        <v>69</v>
      </c>
      <c r="P7431" s="3" t="s">
        <v>75</v>
      </c>
      <c r="Q7431">
        <v>2015</v>
      </c>
      <c r="R7431" s="2">
        <v>42292</v>
      </c>
      <c r="S7431" s="2">
        <v>42296</v>
      </c>
      <c r="T7431" s="2">
        <v>42296</v>
      </c>
      <c r="U7431" s="2">
        <v>42356</v>
      </c>
      <c r="V7431" t="s">
        <v>71</v>
      </c>
      <c r="W7431" t="str">
        <f>"            90018384"</f>
        <v xml:space="preserve">            90018384</v>
      </c>
      <c r="X7431">
        <v>409.92</v>
      </c>
      <c r="Y7431">
        <v>0</v>
      </c>
      <c r="Z7431" s="3">
        <v>336</v>
      </c>
      <c r="AA7431">
        <v>291</v>
      </c>
      <c r="AB7431" s="5">
        <v>97776</v>
      </c>
      <c r="AC7431">
        <v>336</v>
      </c>
      <c r="AD7431">
        <v>291</v>
      </c>
      <c r="AE7431" s="1">
        <v>97776</v>
      </c>
      <c r="AF7431">
        <v>0</v>
      </c>
      <c r="AJ7431">
        <v>0</v>
      </c>
      <c r="AK7431">
        <v>0</v>
      </c>
      <c r="AL7431">
        <v>0</v>
      </c>
      <c r="AM7431">
        <v>0</v>
      </c>
      <c r="AN7431">
        <v>0</v>
      </c>
      <c r="AO7431">
        <v>0</v>
      </c>
      <c r="AP7431" s="2">
        <v>42746</v>
      </c>
      <c r="AQ7431" t="s">
        <v>72</v>
      </c>
      <c r="AR7431" t="s">
        <v>72</v>
      </c>
      <c r="AS7431">
        <v>2604</v>
      </c>
      <c r="AT7431" s="4">
        <v>42647</v>
      </c>
      <c r="AU7431" t="s">
        <v>73</v>
      </c>
      <c r="AV7431">
        <v>2604</v>
      </c>
      <c r="AW7431" s="4">
        <v>42647</v>
      </c>
      <c r="BD7431">
        <v>0</v>
      </c>
      <c r="BN7431" t="s">
        <v>74</v>
      </c>
    </row>
    <row r="7432" spans="1:66">
      <c r="A7432">
        <v>104243</v>
      </c>
      <c r="B7432" s="3" t="s">
        <v>632</v>
      </c>
      <c r="C7432" s="1">
        <v>43300101</v>
      </c>
      <c r="D7432" t="s">
        <v>67</v>
      </c>
      <c r="H7432" t="str">
        <f t="shared" si="730"/>
        <v>12300580151</v>
      </c>
      <c r="I7432" t="str">
        <f t="shared" si="731"/>
        <v>02426070120</v>
      </c>
      <c r="K7432" t="str">
        <f>""</f>
        <v/>
      </c>
      <c r="M7432" t="s">
        <v>68</v>
      </c>
      <c r="N7432" t="str">
        <f t="shared" si="732"/>
        <v>FOR</v>
      </c>
      <c r="O7432" t="s">
        <v>69</v>
      </c>
      <c r="P7432" s="3" t="s">
        <v>75</v>
      </c>
      <c r="Q7432">
        <v>2015</v>
      </c>
      <c r="R7432" s="2">
        <v>42297</v>
      </c>
      <c r="S7432" s="2">
        <v>42305</v>
      </c>
      <c r="T7432" s="2">
        <v>42303</v>
      </c>
      <c r="U7432" s="2">
        <v>42363</v>
      </c>
      <c r="V7432" t="s">
        <v>71</v>
      </c>
      <c r="W7432" t="str">
        <f>"            90018624"</f>
        <v xml:space="preserve">            90018624</v>
      </c>
      <c r="X7432" s="1">
        <v>1971.52</v>
      </c>
      <c r="Y7432">
        <v>0</v>
      </c>
      <c r="Z7432" s="5">
        <v>1616</v>
      </c>
      <c r="AA7432">
        <v>284</v>
      </c>
      <c r="AB7432" s="5">
        <v>458944</v>
      </c>
      <c r="AC7432" s="1">
        <v>1616</v>
      </c>
      <c r="AD7432">
        <v>284</v>
      </c>
      <c r="AE7432" s="1">
        <v>458944</v>
      </c>
      <c r="AF7432">
        <v>0</v>
      </c>
      <c r="AJ7432">
        <v>0</v>
      </c>
      <c r="AK7432">
        <v>0</v>
      </c>
      <c r="AL7432">
        <v>0</v>
      </c>
      <c r="AM7432">
        <v>0</v>
      </c>
      <c r="AN7432">
        <v>0</v>
      </c>
      <c r="AO7432">
        <v>0</v>
      </c>
      <c r="AP7432" s="2">
        <v>42746</v>
      </c>
      <c r="AQ7432" t="s">
        <v>72</v>
      </c>
      <c r="AR7432" t="s">
        <v>72</v>
      </c>
      <c r="AS7432">
        <v>2604</v>
      </c>
      <c r="AT7432" s="4">
        <v>42647</v>
      </c>
      <c r="AU7432" t="s">
        <v>73</v>
      </c>
      <c r="AV7432">
        <v>2604</v>
      </c>
      <c r="AW7432" s="4">
        <v>42647</v>
      </c>
      <c r="BD7432">
        <v>0</v>
      </c>
      <c r="BN7432" t="s">
        <v>74</v>
      </c>
    </row>
    <row r="7433" spans="1:66">
      <c r="A7433">
        <v>104243</v>
      </c>
      <c r="B7433" s="3" t="s">
        <v>632</v>
      </c>
      <c r="C7433" s="1">
        <v>43300101</v>
      </c>
      <c r="D7433" t="s">
        <v>67</v>
      </c>
      <c r="H7433" t="str">
        <f t="shared" si="730"/>
        <v>12300580151</v>
      </c>
      <c r="I7433" t="str">
        <f t="shared" si="731"/>
        <v>02426070120</v>
      </c>
      <c r="K7433" t="str">
        <f>""</f>
        <v/>
      </c>
      <c r="M7433" t="s">
        <v>68</v>
      </c>
      <c r="N7433" t="str">
        <f t="shared" si="732"/>
        <v>FOR</v>
      </c>
      <c r="O7433" t="s">
        <v>69</v>
      </c>
      <c r="P7433" s="3" t="s">
        <v>75</v>
      </c>
      <c r="Q7433">
        <v>2015</v>
      </c>
      <c r="R7433" s="2">
        <v>42313</v>
      </c>
      <c r="S7433" s="2">
        <v>42318</v>
      </c>
      <c r="T7433" s="2">
        <v>42317</v>
      </c>
      <c r="U7433" s="2">
        <v>42377</v>
      </c>
      <c r="V7433" t="s">
        <v>71</v>
      </c>
      <c r="W7433" t="str">
        <f>"            90019898"</f>
        <v xml:space="preserve">            90019898</v>
      </c>
      <c r="X7433">
        <v>246.44</v>
      </c>
      <c r="Y7433">
        <v>0</v>
      </c>
      <c r="Z7433" s="3">
        <v>202</v>
      </c>
      <c r="AA7433">
        <v>301</v>
      </c>
      <c r="AB7433" s="5">
        <v>60802</v>
      </c>
      <c r="AC7433">
        <v>202</v>
      </c>
      <c r="AD7433">
        <v>301</v>
      </c>
      <c r="AE7433" s="1">
        <v>60802</v>
      </c>
      <c r="AF7433">
        <v>0</v>
      </c>
      <c r="AJ7433">
        <v>0</v>
      </c>
      <c r="AK7433">
        <v>0</v>
      </c>
      <c r="AL7433">
        <v>0</v>
      </c>
      <c r="AM7433">
        <v>0</v>
      </c>
      <c r="AN7433">
        <v>0</v>
      </c>
      <c r="AO7433">
        <v>0</v>
      </c>
      <c r="AP7433" s="2">
        <v>42746</v>
      </c>
      <c r="AQ7433" t="s">
        <v>72</v>
      </c>
      <c r="AR7433" t="s">
        <v>72</v>
      </c>
      <c r="AS7433">
        <v>2935</v>
      </c>
      <c r="AT7433" s="4">
        <v>42678</v>
      </c>
      <c r="AU7433" t="s">
        <v>73</v>
      </c>
      <c r="AV7433">
        <v>2935</v>
      </c>
      <c r="AW7433" s="4">
        <v>42678</v>
      </c>
      <c r="BD7433">
        <v>0</v>
      </c>
      <c r="BN7433" t="s">
        <v>74</v>
      </c>
    </row>
    <row r="7434" spans="1:66">
      <c r="A7434">
        <v>104243</v>
      </c>
      <c r="B7434" s="3" t="s">
        <v>632</v>
      </c>
      <c r="C7434" s="1">
        <v>43300101</v>
      </c>
      <c r="D7434" t="s">
        <v>67</v>
      </c>
      <c r="H7434" t="str">
        <f t="shared" si="730"/>
        <v>12300580151</v>
      </c>
      <c r="I7434" t="str">
        <f t="shared" si="731"/>
        <v>02426070120</v>
      </c>
      <c r="K7434" t="str">
        <f>""</f>
        <v/>
      </c>
      <c r="M7434" t="s">
        <v>68</v>
      </c>
      <c r="N7434" t="str">
        <f t="shared" si="732"/>
        <v>FOR</v>
      </c>
      <c r="O7434" t="s">
        <v>69</v>
      </c>
      <c r="P7434" s="3" t="s">
        <v>75</v>
      </c>
      <c r="Q7434">
        <v>2015</v>
      </c>
      <c r="R7434" s="2">
        <v>42325</v>
      </c>
      <c r="S7434" s="2">
        <v>42328</v>
      </c>
      <c r="T7434" s="2">
        <v>42327</v>
      </c>
      <c r="U7434" s="2">
        <v>42387</v>
      </c>
      <c r="V7434" t="s">
        <v>71</v>
      </c>
      <c r="W7434" t="str">
        <f>"            90020534"</f>
        <v xml:space="preserve">            90020534</v>
      </c>
      <c r="X7434" s="1">
        <v>4425.67</v>
      </c>
      <c r="Y7434">
        <v>0</v>
      </c>
      <c r="Z7434" s="5">
        <v>3627.6</v>
      </c>
      <c r="AA7434">
        <v>291</v>
      </c>
      <c r="AB7434" s="5">
        <v>1055631.6000000001</v>
      </c>
      <c r="AC7434" s="1">
        <v>3627.6</v>
      </c>
      <c r="AD7434">
        <v>291</v>
      </c>
      <c r="AE7434" s="1">
        <v>1055631.6000000001</v>
      </c>
      <c r="AF7434">
        <v>0</v>
      </c>
      <c r="AJ7434">
        <v>0</v>
      </c>
      <c r="AK7434">
        <v>0</v>
      </c>
      <c r="AL7434">
        <v>0</v>
      </c>
      <c r="AM7434">
        <v>0</v>
      </c>
      <c r="AN7434">
        <v>0</v>
      </c>
      <c r="AO7434">
        <v>0</v>
      </c>
      <c r="AP7434" s="2">
        <v>42746</v>
      </c>
      <c r="AQ7434" t="s">
        <v>72</v>
      </c>
      <c r="AR7434" t="s">
        <v>72</v>
      </c>
      <c r="AS7434">
        <v>2935</v>
      </c>
      <c r="AT7434" s="4">
        <v>42678</v>
      </c>
      <c r="AU7434" t="s">
        <v>73</v>
      </c>
      <c r="AV7434">
        <v>2935</v>
      </c>
      <c r="AW7434" s="4">
        <v>42678</v>
      </c>
      <c r="BD7434">
        <v>0</v>
      </c>
      <c r="BN7434" t="s">
        <v>74</v>
      </c>
    </row>
    <row r="7435" spans="1:66">
      <c r="A7435">
        <v>104243</v>
      </c>
      <c r="B7435" s="3" t="s">
        <v>632</v>
      </c>
      <c r="C7435" s="1">
        <v>43300101</v>
      </c>
      <c r="D7435" t="s">
        <v>67</v>
      </c>
      <c r="H7435" t="str">
        <f t="shared" si="730"/>
        <v>12300580151</v>
      </c>
      <c r="I7435" t="str">
        <f t="shared" si="731"/>
        <v>02426070120</v>
      </c>
      <c r="K7435" t="str">
        <f>""</f>
        <v/>
      </c>
      <c r="M7435" t="s">
        <v>68</v>
      </c>
      <c r="N7435" t="str">
        <f t="shared" si="732"/>
        <v>FOR</v>
      </c>
      <c r="O7435" t="s">
        <v>69</v>
      </c>
      <c r="P7435" s="3" t="s">
        <v>75</v>
      </c>
      <c r="Q7435">
        <v>2015</v>
      </c>
      <c r="R7435" s="2">
        <v>42327</v>
      </c>
      <c r="S7435" s="2">
        <v>42328</v>
      </c>
      <c r="T7435" s="2">
        <v>42327</v>
      </c>
      <c r="U7435" s="2">
        <v>42387</v>
      </c>
      <c r="V7435" t="s">
        <v>71</v>
      </c>
      <c r="W7435" t="str">
        <f>"            90020733"</f>
        <v xml:space="preserve">            90020733</v>
      </c>
      <c r="X7435">
        <v>351.36</v>
      </c>
      <c r="Y7435">
        <v>0</v>
      </c>
      <c r="Z7435" s="3">
        <v>288</v>
      </c>
      <c r="AA7435">
        <v>291</v>
      </c>
      <c r="AB7435" s="5">
        <v>83808</v>
      </c>
      <c r="AC7435">
        <v>288</v>
      </c>
      <c r="AD7435">
        <v>291</v>
      </c>
      <c r="AE7435" s="1">
        <v>83808</v>
      </c>
      <c r="AF7435">
        <v>0</v>
      </c>
      <c r="AJ7435">
        <v>0</v>
      </c>
      <c r="AK7435">
        <v>0</v>
      </c>
      <c r="AL7435">
        <v>0</v>
      </c>
      <c r="AM7435">
        <v>0</v>
      </c>
      <c r="AN7435">
        <v>0</v>
      </c>
      <c r="AO7435">
        <v>0</v>
      </c>
      <c r="AP7435" s="2">
        <v>42746</v>
      </c>
      <c r="AQ7435" t="s">
        <v>72</v>
      </c>
      <c r="AR7435" t="s">
        <v>72</v>
      </c>
      <c r="AS7435">
        <v>2935</v>
      </c>
      <c r="AT7435" s="4">
        <v>42678</v>
      </c>
      <c r="AU7435" t="s">
        <v>73</v>
      </c>
      <c r="AV7435">
        <v>2935</v>
      </c>
      <c r="AW7435" s="4">
        <v>42678</v>
      </c>
      <c r="BD7435">
        <v>0</v>
      </c>
      <c r="BN7435" t="s">
        <v>74</v>
      </c>
    </row>
    <row r="7436" spans="1:66">
      <c r="A7436">
        <v>104243</v>
      </c>
      <c r="B7436" s="3" t="s">
        <v>632</v>
      </c>
      <c r="C7436" s="1">
        <v>43300101</v>
      </c>
      <c r="D7436" t="s">
        <v>67</v>
      </c>
      <c r="H7436" t="str">
        <f t="shared" si="730"/>
        <v>12300580151</v>
      </c>
      <c r="I7436" t="str">
        <f t="shared" si="731"/>
        <v>02426070120</v>
      </c>
      <c r="K7436" t="str">
        <f>""</f>
        <v/>
      </c>
      <c r="M7436" t="s">
        <v>68</v>
      </c>
      <c r="N7436" t="str">
        <f t="shared" si="732"/>
        <v>FOR</v>
      </c>
      <c r="O7436" t="s">
        <v>69</v>
      </c>
      <c r="P7436" s="3" t="s">
        <v>75</v>
      </c>
      <c r="Q7436">
        <v>2015</v>
      </c>
      <c r="R7436" s="2">
        <v>42332</v>
      </c>
      <c r="S7436" s="2">
        <v>42341</v>
      </c>
      <c r="T7436" s="2">
        <v>42340</v>
      </c>
      <c r="U7436" s="2">
        <v>42400</v>
      </c>
      <c r="V7436" t="s">
        <v>71</v>
      </c>
      <c r="W7436" t="str">
        <f>"            90020976"</f>
        <v xml:space="preserve">            90020976</v>
      </c>
      <c r="X7436">
        <v>512.4</v>
      </c>
      <c r="Y7436">
        <v>0</v>
      </c>
      <c r="Z7436" s="3">
        <v>420</v>
      </c>
      <c r="AA7436">
        <v>278</v>
      </c>
      <c r="AB7436" s="5">
        <v>116760</v>
      </c>
      <c r="AC7436">
        <v>420</v>
      </c>
      <c r="AD7436">
        <v>278</v>
      </c>
      <c r="AE7436" s="1">
        <v>116760</v>
      </c>
      <c r="AF7436">
        <v>0</v>
      </c>
      <c r="AJ7436">
        <v>0</v>
      </c>
      <c r="AK7436">
        <v>0</v>
      </c>
      <c r="AL7436">
        <v>0</v>
      </c>
      <c r="AM7436">
        <v>0</v>
      </c>
      <c r="AN7436">
        <v>0</v>
      </c>
      <c r="AO7436">
        <v>0</v>
      </c>
      <c r="AP7436" s="2">
        <v>42746</v>
      </c>
      <c r="AQ7436" t="s">
        <v>72</v>
      </c>
      <c r="AR7436" t="s">
        <v>72</v>
      </c>
      <c r="AS7436">
        <v>2935</v>
      </c>
      <c r="AT7436" s="4">
        <v>42678</v>
      </c>
      <c r="AU7436" t="s">
        <v>73</v>
      </c>
      <c r="AV7436">
        <v>2935</v>
      </c>
      <c r="AW7436" s="4">
        <v>42678</v>
      </c>
      <c r="BD7436">
        <v>0</v>
      </c>
      <c r="BN7436" t="s">
        <v>74</v>
      </c>
    </row>
    <row r="7437" spans="1:66">
      <c r="A7437">
        <v>104243</v>
      </c>
      <c r="B7437" s="3" t="s">
        <v>632</v>
      </c>
      <c r="C7437" s="1">
        <v>43300101</v>
      </c>
      <c r="D7437" t="s">
        <v>67</v>
      </c>
      <c r="H7437" t="str">
        <f t="shared" si="730"/>
        <v>12300580151</v>
      </c>
      <c r="I7437" t="str">
        <f t="shared" si="731"/>
        <v>02426070120</v>
      </c>
      <c r="K7437" t="str">
        <f>""</f>
        <v/>
      </c>
      <c r="M7437" t="s">
        <v>68</v>
      </c>
      <c r="N7437" t="str">
        <f t="shared" si="732"/>
        <v>FOR</v>
      </c>
      <c r="O7437" t="s">
        <v>69</v>
      </c>
      <c r="P7437" s="3" t="s">
        <v>75</v>
      </c>
      <c r="Q7437">
        <v>2016</v>
      </c>
      <c r="R7437" s="2">
        <v>42390</v>
      </c>
      <c r="S7437" s="2">
        <v>42416</v>
      </c>
      <c r="T7437" s="2">
        <v>42411</v>
      </c>
      <c r="U7437" s="2">
        <v>42471</v>
      </c>
      <c r="V7437" t="s">
        <v>71</v>
      </c>
      <c r="W7437" t="str">
        <f>"            90000967"</f>
        <v xml:space="preserve">            90000967</v>
      </c>
      <c r="X7437" s="1">
        <v>1171.2</v>
      </c>
      <c r="Y7437">
        <v>0</v>
      </c>
      <c r="Z7437" s="3">
        <v>960</v>
      </c>
      <c r="AA7437">
        <v>252</v>
      </c>
      <c r="AB7437" s="5">
        <v>241920</v>
      </c>
      <c r="AC7437">
        <v>960</v>
      </c>
      <c r="AD7437">
        <v>252</v>
      </c>
      <c r="AE7437" s="1">
        <v>241920</v>
      </c>
      <c r="AF7437">
        <v>211.2</v>
      </c>
      <c r="AJ7437">
        <v>0</v>
      </c>
      <c r="AK7437">
        <v>0</v>
      </c>
      <c r="AL7437">
        <v>0</v>
      </c>
      <c r="AM7437" s="1">
        <v>1171.2</v>
      </c>
      <c r="AN7437" s="1">
        <v>1171.2</v>
      </c>
      <c r="AO7437" s="1">
        <v>1171.2</v>
      </c>
      <c r="AP7437" s="2">
        <v>42746</v>
      </c>
      <c r="AQ7437" t="s">
        <v>72</v>
      </c>
      <c r="AR7437" t="s">
        <v>72</v>
      </c>
      <c r="AS7437">
        <v>3616</v>
      </c>
      <c r="AT7437" s="4">
        <v>42723</v>
      </c>
      <c r="AU7437" t="s">
        <v>73</v>
      </c>
      <c r="AV7437">
        <v>3616</v>
      </c>
      <c r="AW7437" s="4">
        <v>42723</v>
      </c>
      <c r="BD7437">
        <v>211.2</v>
      </c>
      <c r="BN7437" t="s">
        <v>74</v>
      </c>
    </row>
    <row r="7438" spans="1:66">
      <c r="A7438">
        <v>104243</v>
      </c>
      <c r="B7438" s="3" t="s">
        <v>632</v>
      </c>
      <c r="C7438" s="1">
        <v>43300101</v>
      </c>
      <c r="D7438" t="s">
        <v>67</v>
      </c>
      <c r="H7438" t="str">
        <f t="shared" si="730"/>
        <v>12300580151</v>
      </c>
      <c r="I7438" t="str">
        <f t="shared" si="731"/>
        <v>02426070120</v>
      </c>
      <c r="K7438" t="str">
        <f>""</f>
        <v/>
      </c>
      <c r="M7438" t="s">
        <v>68</v>
      </c>
      <c r="N7438" t="str">
        <f t="shared" si="732"/>
        <v>FOR</v>
      </c>
      <c r="O7438" t="s">
        <v>69</v>
      </c>
      <c r="P7438" s="3" t="s">
        <v>75</v>
      </c>
      <c r="Q7438">
        <v>2016</v>
      </c>
      <c r="R7438" s="2">
        <v>42390</v>
      </c>
      <c r="S7438" s="2">
        <v>42417</v>
      </c>
      <c r="T7438" s="2">
        <v>42411</v>
      </c>
      <c r="U7438" s="2">
        <v>42471</v>
      </c>
      <c r="V7438" t="s">
        <v>71</v>
      </c>
      <c r="W7438" t="str">
        <f>"            90000968"</f>
        <v xml:space="preserve">            90000968</v>
      </c>
      <c r="X7438">
        <v>497.76</v>
      </c>
      <c r="Y7438">
        <v>0</v>
      </c>
      <c r="Z7438" s="3">
        <v>408</v>
      </c>
      <c r="AA7438">
        <v>252</v>
      </c>
      <c r="AB7438" s="5">
        <v>102816</v>
      </c>
      <c r="AC7438">
        <v>408</v>
      </c>
      <c r="AD7438">
        <v>252</v>
      </c>
      <c r="AE7438" s="1">
        <v>102816</v>
      </c>
      <c r="AF7438">
        <v>89.76</v>
      </c>
      <c r="AJ7438">
        <v>0</v>
      </c>
      <c r="AK7438">
        <v>0</v>
      </c>
      <c r="AL7438">
        <v>0</v>
      </c>
      <c r="AM7438">
        <v>497.76</v>
      </c>
      <c r="AN7438">
        <v>497.76</v>
      </c>
      <c r="AO7438">
        <v>497.76</v>
      </c>
      <c r="AP7438" s="2">
        <v>42746</v>
      </c>
      <c r="AQ7438" t="s">
        <v>72</v>
      </c>
      <c r="AR7438" t="s">
        <v>72</v>
      </c>
      <c r="AS7438">
        <v>3616</v>
      </c>
      <c r="AT7438" s="4">
        <v>42723</v>
      </c>
      <c r="AU7438" t="s">
        <v>73</v>
      </c>
      <c r="AV7438">
        <v>3616</v>
      </c>
      <c r="AW7438" s="4">
        <v>42723</v>
      </c>
      <c r="BD7438">
        <v>89.76</v>
      </c>
      <c r="BN7438" t="s">
        <v>74</v>
      </c>
    </row>
    <row r="7439" spans="1:66">
      <c r="A7439">
        <v>104243</v>
      </c>
      <c r="B7439" s="3" t="s">
        <v>632</v>
      </c>
      <c r="C7439" s="1">
        <v>43300101</v>
      </c>
      <c r="D7439" t="s">
        <v>67</v>
      </c>
      <c r="H7439" t="str">
        <f t="shared" si="730"/>
        <v>12300580151</v>
      </c>
      <c r="I7439" t="str">
        <f t="shared" si="731"/>
        <v>02426070120</v>
      </c>
      <c r="K7439" t="str">
        <f>""</f>
        <v/>
      </c>
      <c r="M7439" t="s">
        <v>68</v>
      </c>
      <c r="N7439" t="str">
        <f t="shared" si="732"/>
        <v>FOR</v>
      </c>
      <c r="O7439" t="s">
        <v>69</v>
      </c>
      <c r="P7439" s="3" t="s">
        <v>75</v>
      </c>
      <c r="Q7439">
        <v>2016</v>
      </c>
      <c r="R7439" s="2">
        <v>42402</v>
      </c>
      <c r="S7439" s="2">
        <v>42417</v>
      </c>
      <c r="T7439" s="2">
        <v>42411</v>
      </c>
      <c r="U7439" s="2">
        <v>42471</v>
      </c>
      <c r="V7439" t="s">
        <v>71</v>
      </c>
      <c r="W7439" t="str">
        <f>"            90001907"</f>
        <v xml:space="preserve">            90001907</v>
      </c>
      <c r="X7439">
        <v>351.36</v>
      </c>
      <c r="Y7439">
        <v>0</v>
      </c>
      <c r="Z7439" s="3">
        <v>288</v>
      </c>
      <c r="AA7439">
        <v>252</v>
      </c>
      <c r="AB7439" s="5">
        <v>72576</v>
      </c>
      <c r="AC7439">
        <v>288</v>
      </c>
      <c r="AD7439">
        <v>252</v>
      </c>
      <c r="AE7439" s="1">
        <v>72576</v>
      </c>
      <c r="AF7439">
        <v>63.36</v>
      </c>
      <c r="AJ7439">
        <v>0</v>
      </c>
      <c r="AK7439">
        <v>0</v>
      </c>
      <c r="AL7439">
        <v>0</v>
      </c>
      <c r="AM7439">
        <v>351.36</v>
      </c>
      <c r="AN7439">
        <v>351.36</v>
      </c>
      <c r="AO7439">
        <v>351.36</v>
      </c>
      <c r="AP7439" s="2">
        <v>42746</v>
      </c>
      <c r="AQ7439" t="s">
        <v>72</v>
      </c>
      <c r="AR7439" t="s">
        <v>72</v>
      </c>
      <c r="AS7439">
        <v>3616</v>
      </c>
      <c r="AT7439" s="4">
        <v>42723</v>
      </c>
      <c r="AU7439" t="s">
        <v>73</v>
      </c>
      <c r="AV7439">
        <v>3616</v>
      </c>
      <c r="AW7439" s="4">
        <v>42723</v>
      </c>
      <c r="BD7439">
        <v>63.36</v>
      </c>
      <c r="BN7439" t="s">
        <v>74</v>
      </c>
    </row>
    <row r="7440" spans="1:66">
      <c r="A7440">
        <v>104243</v>
      </c>
      <c r="B7440" s="3" t="s">
        <v>632</v>
      </c>
      <c r="C7440" s="1">
        <v>43300101</v>
      </c>
      <c r="D7440" t="s">
        <v>67</v>
      </c>
      <c r="H7440" t="str">
        <f t="shared" si="730"/>
        <v>12300580151</v>
      </c>
      <c r="I7440" t="str">
        <f t="shared" si="731"/>
        <v>02426070120</v>
      </c>
      <c r="K7440" t="str">
        <f>""</f>
        <v/>
      </c>
      <c r="M7440" t="s">
        <v>68</v>
      </c>
      <c r="N7440" t="str">
        <f t="shared" si="732"/>
        <v>FOR</v>
      </c>
      <c r="O7440" t="s">
        <v>69</v>
      </c>
      <c r="P7440" s="3" t="s">
        <v>75</v>
      </c>
      <c r="Q7440">
        <v>2016</v>
      </c>
      <c r="R7440" s="2">
        <v>42402</v>
      </c>
      <c r="S7440" s="2">
        <v>42417</v>
      </c>
      <c r="T7440" s="2">
        <v>42411</v>
      </c>
      <c r="U7440" s="2">
        <v>42471</v>
      </c>
      <c r="V7440" t="s">
        <v>71</v>
      </c>
      <c r="W7440" t="str">
        <f>"            90001908"</f>
        <v xml:space="preserve">            90001908</v>
      </c>
      <c r="X7440" s="1">
        <v>1376.16</v>
      </c>
      <c r="Y7440">
        <v>0</v>
      </c>
      <c r="Z7440" s="5">
        <v>1128</v>
      </c>
      <c r="AA7440">
        <v>252</v>
      </c>
      <c r="AB7440" s="5">
        <v>284256</v>
      </c>
      <c r="AC7440" s="1">
        <v>1128</v>
      </c>
      <c r="AD7440">
        <v>252</v>
      </c>
      <c r="AE7440" s="1">
        <v>284256</v>
      </c>
      <c r="AF7440">
        <v>248.16</v>
      </c>
      <c r="AJ7440">
        <v>0</v>
      </c>
      <c r="AK7440">
        <v>0</v>
      </c>
      <c r="AL7440">
        <v>0</v>
      </c>
      <c r="AM7440" s="1">
        <v>1376.16</v>
      </c>
      <c r="AN7440" s="1">
        <v>1376.16</v>
      </c>
      <c r="AO7440" s="1">
        <v>1376.16</v>
      </c>
      <c r="AP7440" s="2">
        <v>42746</v>
      </c>
      <c r="AQ7440" t="s">
        <v>72</v>
      </c>
      <c r="AR7440" t="s">
        <v>72</v>
      </c>
      <c r="AS7440">
        <v>3616</v>
      </c>
      <c r="AT7440" s="4">
        <v>42723</v>
      </c>
      <c r="AU7440" t="s">
        <v>73</v>
      </c>
      <c r="AV7440">
        <v>3616</v>
      </c>
      <c r="AW7440" s="4">
        <v>42723</v>
      </c>
      <c r="BD7440">
        <v>248.16</v>
      </c>
      <c r="BN7440" t="s">
        <v>74</v>
      </c>
    </row>
    <row r="7441" spans="1:66">
      <c r="A7441">
        <v>104243</v>
      </c>
      <c r="B7441" s="3" t="s">
        <v>632</v>
      </c>
      <c r="C7441" s="1">
        <v>43300101</v>
      </c>
      <c r="D7441" t="s">
        <v>67</v>
      </c>
      <c r="H7441" t="str">
        <f t="shared" si="730"/>
        <v>12300580151</v>
      </c>
      <c r="I7441" t="str">
        <f t="shared" si="731"/>
        <v>02426070120</v>
      </c>
      <c r="K7441" t="str">
        <f>""</f>
        <v/>
      </c>
      <c r="M7441" t="s">
        <v>68</v>
      </c>
      <c r="N7441" t="str">
        <f t="shared" si="732"/>
        <v>FOR</v>
      </c>
      <c r="O7441" t="s">
        <v>69</v>
      </c>
      <c r="P7441" s="3" t="s">
        <v>75</v>
      </c>
      <c r="Q7441">
        <v>2016</v>
      </c>
      <c r="R7441" s="2">
        <v>42404</v>
      </c>
      <c r="S7441" s="2">
        <v>42417</v>
      </c>
      <c r="T7441" s="2">
        <v>42411</v>
      </c>
      <c r="U7441" s="2">
        <v>42471</v>
      </c>
      <c r="V7441" t="s">
        <v>71</v>
      </c>
      <c r="W7441" t="str">
        <f>"            90002064"</f>
        <v xml:space="preserve">            90002064</v>
      </c>
      <c r="X7441">
        <v>819.84</v>
      </c>
      <c r="Y7441">
        <v>0</v>
      </c>
      <c r="Z7441" s="3">
        <v>672</v>
      </c>
      <c r="AA7441">
        <v>252</v>
      </c>
      <c r="AB7441" s="5">
        <v>169344</v>
      </c>
      <c r="AC7441">
        <v>672</v>
      </c>
      <c r="AD7441">
        <v>252</v>
      </c>
      <c r="AE7441" s="1">
        <v>169344</v>
      </c>
      <c r="AF7441">
        <v>147.84</v>
      </c>
      <c r="AJ7441">
        <v>0</v>
      </c>
      <c r="AK7441">
        <v>0</v>
      </c>
      <c r="AL7441">
        <v>0</v>
      </c>
      <c r="AM7441">
        <v>819.84</v>
      </c>
      <c r="AN7441">
        <v>819.84</v>
      </c>
      <c r="AO7441">
        <v>819.84</v>
      </c>
      <c r="AP7441" s="2">
        <v>42746</v>
      </c>
      <c r="AQ7441" t="s">
        <v>72</v>
      </c>
      <c r="AR7441" t="s">
        <v>72</v>
      </c>
      <c r="AS7441">
        <v>3616</v>
      </c>
      <c r="AT7441" s="4">
        <v>42723</v>
      </c>
      <c r="AU7441" t="s">
        <v>73</v>
      </c>
      <c r="AV7441">
        <v>3616</v>
      </c>
      <c r="AW7441" s="4">
        <v>42723</v>
      </c>
      <c r="BD7441">
        <v>147.84</v>
      </c>
      <c r="BN7441" t="s">
        <v>74</v>
      </c>
    </row>
    <row r="7442" spans="1:66">
      <c r="A7442">
        <v>104243</v>
      </c>
      <c r="B7442" s="3" t="s">
        <v>632</v>
      </c>
      <c r="C7442" s="1">
        <v>43300101</v>
      </c>
      <c r="D7442" t="s">
        <v>67</v>
      </c>
      <c r="H7442" t="str">
        <f t="shared" si="730"/>
        <v>12300580151</v>
      </c>
      <c r="I7442" t="str">
        <f t="shared" si="731"/>
        <v>02426070120</v>
      </c>
      <c r="K7442" t="str">
        <f>""</f>
        <v/>
      </c>
      <c r="M7442" t="s">
        <v>68</v>
      </c>
      <c r="N7442" t="str">
        <f t="shared" si="732"/>
        <v>FOR</v>
      </c>
      <c r="O7442" t="s">
        <v>69</v>
      </c>
      <c r="P7442" s="3" t="s">
        <v>75</v>
      </c>
      <c r="Q7442">
        <v>2016</v>
      </c>
      <c r="R7442" s="2">
        <v>42409</v>
      </c>
      <c r="S7442" s="2">
        <v>42417</v>
      </c>
      <c r="T7442" s="2">
        <v>42411</v>
      </c>
      <c r="U7442" s="2">
        <v>42471</v>
      </c>
      <c r="V7442" t="s">
        <v>71</v>
      </c>
      <c r="W7442" t="str">
        <f>"            90002342"</f>
        <v xml:space="preserve">            90002342</v>
      </c>
      <c r="X7442">
        <v>702.72</v>
      </c>
      <c r="Y7442">
        <v>0</v>
      </c>
      <c r="Z7442" s="3">
        <v>576</v>
      </c>
      <c r="AA7442">
        <v>252</v>
      </c>
      <c r="AB7442" s="5">
        <v>145152</v>
      </c>
      <c r="AC7442">
        <v>576</v>
      </c>
      <c r="AD7442">
        <v>252</v>
      </c>
      <c r="AE7442" s="1">
        <v>145152</v>
      </c>
      <c r="AF7442">
        <v>126.72</v>
      </c>
      <c r="AJ7442">
        <v>0</v>
      </c>
      <c r="AK7442">
        <v>0</v>
      </c>
      <c r="AL7442">
        <v>0</v>
      </c>
      <c r="AM7442">
        <v>702.72</v>
      </c>
      <c r="AN7442">
        <v>702.72</v>
      </c>
      <c r="AO7442">
        <v>702.72</v>
      </c>
      <c r="AP7442" s="2">
        <v>42746</v>
      </c>
      <c r="AQ7442" t="s">
        <v>72</v>
      </c>
      <c r="AR7442" t="s">
        <v>72</v>
      </c>
      <c r="AS7442">
        <v>3616</v>
      </c>
      <c r="AT7442" s="4">
        <v>42723</v>
      </c>
      <c r="AU7442" t="s">
        <v>73</v>
      </c>
      <c r="AV7442">
        <v>3616</v>
      </c>
      <c r="AW7442" s="4">
        <v>42723</v>
      </c>
      <c r="BD7442">
        <v>126.72</v>
      </c>
      <c r="BN7442" t="s">
        <v>74</v>
      </c>
    </row>
    <row r="7443" spans="1:66">
      <c r="A7443">
        <v>104243</v>
      </c>
      <c r="B7443" s="3" t="s">
        <v>632</v>
      </c>
      <c r="C7443" s="1">
        <v>43300101</v>
      </c>
      <c r="D7443" t="s">
        <v>67</v>
      </c>
      <c r="H7443" t="str">
        <f t="shared" si="730"/>
        <v>12300580151</v>
      </c>
      <c r="I7443" t="str">
        <f t="shared" si="731"/>
        <v>02426070120</v>
      </c>
      <c r="K7443" t="str">
        <f>""</f>
        <v/>
      </c>
      <c r="M7443" t="s">
        <v>68</v>
      </c>
      <c r="N7443" t="str">
        <f t="shared" si="732"/>
        <v>FOR</v>
      </c>
      <c r="O7443" t="s">
        <v>69</v>
      </c>
      <c r="P7443" s="3" t="s">
        <v>75</v>
      </c>
      <c r="Q7443">
        <v>2016</v>
      </c>
      <c r="R7443" s="2">
        <v>42416</v>
      </c>
      <c r="S7443" s="2">
        <v>42422</v>
      </c>
      <c r="T7443" s="2">
        <v>42418</v>
      </c>
      <c r="U7443" s="2">
        <v>42478</v>
      </c>
      <c r="V7443" t="s">
        <v>71</v>
      </c>
      <c r="W7443" t="str">
        <f>"            90002768"</f>
        <v xml:space="preserve">            90002768</v>
      </c>
      <c r="X7443" s="1">
        <v>1108.98</v>
      </c>
      <c r="Y7443">
        <v>0</v>
      </c>
      <c r="Z7443" s="3">
        <v>909</v>
      </c>
      <c r="AA7443">
        <v>245</v>
      </c>
      <c r="AB7443" s="5">
        <v>222705</v>
      </c>
      <c r="AC7443">
        <v>909</v>
      </c>
      <c r="AD7443">
        <v>245</v>
      </c>
      <c r="AE7443" s="1">
        <v>222705</v>
      </c>
      <c r="AF7443">
        <v>199.98</v>
      </c>
      <c r="AJ7443">
        <v>0</v>
      </c>
      <c r="AK7443">
        <v>0</v>
      </c>
      <c r="AL7443">
        <v>0</v>
      </c>
      <c r="AM7443" s="1">
        <v>1108.98</v>
      </c>
      <c r="AN7443" s="1">
        <v>1108.98</v>
      </c>
      <c r="AO7443" s="1">
        <v>1108.98</v>
      </c>
      <c r="AP7443" s="2">
        <v>42746</v>
      </c>
      <c r="AQ7443" t="s">
        <v>72</v>
      </c>
      <c r="AR7443" t="s">
        <v>72</v>
      </c>
      <c r="AS7443">
        <v>3616</v>
      </c>
      <c r="AT7443" s="4">
        <v>42723</v>
      </c>
      <c r="AU7443" t="s">
        <v>73</v>
      </c>
      <c r="AV7443">
        <v>3616</v>
      </c>
      <c r="AW7443" s="4">
        <v>42723</v>
      </c>
      <c r="BD7443">
        <v>199.98</v>
      </c>
      <c r="BN7443" t="s">
        <v>74</v>
      </c>
    </row>
    <row r="7444" spans="1:66">
      <c r="A7444">
        <v>104243</v>
      </c>
      <c r="B7444" s="3" t="s">
        <v>632</v>
      </c>
      <c r="C7444" s="1">
        <v>43300101</v>
      </c>
      <c r="D7444" t="s">
        <v>67</v>
      </c>
      <c r="H7444" t="str">
        <f t="shared" si="730"/>
        <v>12300580151</v>
      </c>
      <c r="I7444" t="str">
        <f t="shared" si="731"/>
        <v>02426070120</v>
      </c>
      <c r="K7444" t="str">
        <f>""</f>
        <v/>
      </c>
      <c r="M7444" t="s">
        <v>68</v>
      </c>
      <c r="N7444" t="str">
        <f t="shared" si="732"/>
        <v>FOR</v>
      </c>
      <c r="O7444" t="s">
        <v>69</v>
      </c>
      <c r="P7444" s="3" t="s">
        <v>75</v>
      </c>
      <c r="Q7444">
        <v>2016</v>
      </c>
      <c r="R7444" s="2">
        <v>42418</v>
      </c>
      <c r="S7444" s="2">
        <v>42425</v>
      </c>
      <c r="T7444" s="2">
        <v>42422</v>
      </c>
      <c r="U7444" s="2">
        <v>42482</v>
      </c>
      <c r="V7444" t="s">
        <v>71</v>
      </c>
      <c r="W7444" t="str">
        <f>"            90002958"</f>
        <v xml:space="preserve">            90002958</v>
      </c>
      <c r="X7444">
        <v>614.88</v>
      </c>
      <c r="Y7444">
        <v>0</v>
      </c>
      <c r="Z7444" s="3">
        <v>504</v>
      </c>
      <c r="AA7444">
        <v>241</v>
      </c>
      <c r="AB7444" s="5">
        <v>121464</v>
      </c>
      <c r="AC7444">
        <v>504</v>
      </c>
      <c r="AD7444">
        <v>241</v>
      </c>
      <c r="AE7444" s="1">
        <v>121464</v>
      </c>
      <c r="AF7444">
        <v>110.88</v>
      </c>
      <c r="AJ7444">
        <v>0</v>
      </c>
      <c r="AK7444">
        <v>0</v>
      </c>
      <c r="AL7444">
        <v>0</v>
      </c>
      <c r="AM7444">
        <v>614.88</v>
      </c>
      <c r="AN7444">
        <v>614.88</v>
      </c>
      <c r="AO7444">
        <v>614.88</v>
      </c>
      <c r="AP7444" s="2">
        <v>42746</v>
      </c>
      <c r="AQ7444" t="s">
        <v>72</v>
      </c>
      <c r="AR7444" t="s">
        <v>72</v>
      </c>
      <c r="AS7444">
        <v>3616</v>
      </c>
      <c r="AT7444" s="4">
        <v>42723</v>
      </c>
      <c r="AU7444" t="s">
        <v>73</v>
      </c>
      <c r="AV7444">
        <v>3616</v>
      </c>
      <c r="AW7444" s="4">
        <v>42723</v>
      </c>
      <c r="BD7444">
        <v>110.88</v>
      </c>
      <c r="BN7444" t="s">
        <v>74</v>
      </c>
    </row>
    <row r="7445" spans="1:66">
      <c r="A7445">
        <v>104243</v>
      </c>
      <c r="B7445" s="3" t="s">
        <v>632</v>
      </c>
      <c r="C7445" s="1">
        <v>43300101</v>
      </c>
      <c r="D7445" t="s">
        <v>67</v>
      </c>
      <c r="H7445" t="str">
        <f t="shared" si="730"/>
        <v>12300580151</v>
      </c>
      <c r="I7445" t="str">
        <f t="shared" si="731"/>
        <v>02426070120</v>
      </c>
      <c r="K7445" t="str">
        <f>""</f>
        <v/>
      </c>
      <c r="M7445" t="s">
        <v>68</v>
      </c>
      <c r="N7445" t="str">
        <f t="shared" si="732"/>
        <v>FOR</v>
      </c>
      <c r="O7445" t="s">
        <v>69</v>
      </c>
      <c r="P7445" s="3" t="s">
        <v>75</v>
      </c>
      <c r="Q7445">
        <v>2016</v>
      </c>
      <c r="R7445" s="2">
        <v>42423</v>
      </c>
      <c r="S7445" s="2">
        <v>42436</v>
      </c>
      <c r="T7445" s="2">
        <v>42425</v>
      </c>
      <c r="U7445" s="2">
        <v>42485</v>
      </c>
      <c r="V7445" t="s">
        <v>71</v>
      </c>
      <c r="W7445" t="str">
        <f>"            90003238"</f>
        <v xml:space="preserve">            90003238</v>
      </c>
      <c r="X7445">
        <v>683.2</v>
      </c>
      <c r="Y7445">
        <v>0</v>
      </c>
      <c r="Z7445" s="3">
        <v>560</v>
      </c>
      <c r="AA7445">
        <v>238</v>
      </c>
      <c r="AB7445" s="5">
        <v>133280</v>
      </c>
      <c r="AC7445">
        <v>560</v>
      </c>
      <c r="AD7445">
        <v>238</v>
      </c>
      <c r="AE7445" s="1">
        <v>133280</v>
      </c>
      <c r="AF7445">
        <v>123.2</v>
      </c>
      <c r="AJ7445">
        <v>0</v>
      </c>
      <c r="AK7445">
        <v>0</v>
      </c>
      <c r="AL7445">
        <v>0</v>
      </c>
      <c r="AM7445">
        <v>683.2</v>
      </c>
      <c r="AN7445">
        <v>683.2</v>
      </c>
      <c r="AO7445">
        <v>683.2</v>
      </c>
      <c r="AP7445" s="2">
        <v>42746</v>
      </c>
      <c r="AQ7445" t="s">
        <v>72</v>
      </c>
      <c r="AR7445" t="s">
        <v>72</v>
      </c>
      <c r="AS7445">
        <v>3616</v>
      </c>
      <c r="AT7445" s="4">
        <v>42723</v>
      </c>
      <c r="AU7445" t="s">
        <v>73</v>
      </c>
      <c r="AV7445">
        <v>3616</v>
      </c>
      <c r="AW7445" s="4">
        <v>42723</v>
      </c>
      <c r="BD7445">
        <v>123.2</v>
      </c>
      <c r="BN7445" t="s">
        <v>74</v>
      </c>
    </row>
    <row r="7446" spans="1:66">
      <c r="A7446">
        <v>104243</v>
      </c>
      <c r="B7446" s="3" t="s">
        <v>632</v>
      </c>
      <c r="C7446" s="1">
        <v>43300101</v>
      </c>
      <c r="D7446" t="s">
        <v>67</v>
      </c>
      <c r="H7446" t="str">
        <f t="shared" si="730"/>
        <v>12300580151</v>
      </c>
      <c r="I7446" t="str">
        <f t="shared" si="731"/>
        <v>02426070120</v>
      </c>
      <c r="K7446" t="str">
        <f>""</f>
        <v/>
      </c>
      <c r="M7446" t="s">
        <v>68</v>
      </c>
      <c r="N7446" t="str">
        <f t="shared" si="732"/>
        <v>FOR</v>
      </c>
      <c r="O7446" t="s">
        <v>69</v>
      </c>
      <c r="P7446" s="3" t="s">
        <v>75</v>
      </c>
      <c r="Q7446">
        <v>2016</v>
      </c>
      <c r="R7446" s="2">
        <v>42429</v>
      </c>
      <c r="S7446" s="2">
        <v>42436</v>
      </c>
      <c r="T7446" s="2">
        <v>42430</v>
      </c>
      <c r="U7446" s="2">
        <v>42490</v>
      </c>
      <c r="V7446" t="s">
        <v>71</v>
      </c>
      <c r="W7446" t="str">
        <f>"            90003814"</f>
        <v xml:space="preserve">            90003814</v>
      </c>
      <c r="X7446" s="1">
        <v>1717.76</v>
      </c>
      <c r="Y7446">
        <v>0</v>
      </c>
      <c r="Z7446" s="5">
        <v>1408</v>
      </c>
      <c r="AA7446">
        <v>233</v>
      </c>
      <c r="AB7446" s="5">
        <v>328064</v>
      </c>
      <c r="AC7446" s="1">
        <v>1408</v>
      </c>
      <c r="AD7446">
        <v>233</v>
      </c>
      <c r="AE7446" s="1">
        <v>328064</v>
      </c>
      <c r="AF7446">
        <v>309.76</v>
      </c>
      <c r="AJ7446">
        <v>0</v>
      </c>
      <c r="AK7446">
        <v>0</v>
      </c>
      <c r="AL7446">
        <v>0</v>
      </c>
      <c r="AM7446" s="1">
        <v>1717.76</v>
      </c>
      <c r="AN7446" s="1">
        <v>1717.76</v>
      </c>
      <c r="AO7446" s="1">
        <v>1717.76</v>
      </c>
      <c r="AP7446" s="2">
        <v>42746</v>
      </c>
      <c r="AQ7446" t="s">
        <v>72</v>
      </c>
      <c r="AR7446" t="s">
        <v>72</v>
      </c>
      <c r="AS7446">
        <v>3616</v>
      </c>
      <c r="AT7446" s="4">
        <v>42723</v>
      </c>
      <c r="AU7446" t="s">
        <v>73</v>
      </c>
      <c r="AV7446">
        <v>3616</v>
      </c>
      <c r="AW7446" s="4">
        <v>42723</v>
      </c>
      <c r="BD7446">
        <v>309.76</v>
      </c>
      <c r="BN7446" t="s">
        <v>74</v>
      </c>
    </row>
    <row r="7447" spans="1:66">
      <c r="A7447">
        <v>104243</v>
      </c>
      <c r="B7447" s="3" t="s">
        <v>632</v>
      </c>
      <c r="C7447" s="1">
        <v>43300101</v>
      </c>
      <c r="D7447" t="s">
        <v>67</v>
      </c>
      <c r="H7447" t="str">
        <f t="shared" si="730"/>
        <v>12300580151</v>
      </c>
      <c r="I7447" t="str">
        <f t="shared" si="731"/>
        <v>02426070120</v>
      </c>
      <c r="K7447" t="str">
        <f>""</f>
        <v/>
      </c>
      <c r="M7447" t="s">
        <v>68</v>
      </c>
      <c r="N7447" t="str">
        <f t="shared" si="732"/>
        <v>FOR</v>
      </c>
      <c r="O7447" t="s">
        <v>69</v>
      </c>
      <c r="P7447" s="3" t="s">
        <v>75</v>
      </c>
      <c r="Q7447">
        <v>2016</v>
      </c>
      <c r="R7447" s="2">
        <v>42429</v>
      </c>
      <c r="S7447" s="2">
        <v>42436</v>
      </c>
      <c r="T7447" s="2">
        <v>42430</v>
      </c>
      <c r="U7447" s="2">
        <v>42490</v>
      </c>
      <c r="V7447" t="s">
        <v>71</v>
      </c>
      <c r="W7447" t="str">
        <f>"            90003815"</f>
        <v xml:space="preserve">            90003815</v>
      </c>
      <c r="X7447">
        <v>117.12</v>
      </c>
      <c r="Y7447">
        <v>0</v>
      </c>
      <c r="Z7447" s="3">
        <v>96</v>
      </c>
      <c r="AA7447">
        <v>233</v>
      </c>
      <c r="AB7447" s="5">
        <v>22368</v>
      </c>
      <c r="AC7447">
        <v>96</v>
      </c>
      <c r="AD7447">
        <v>233</v>
      </c>
      <c r="AE7447" s="1">
        <v>22368</v>
      </c>
      <c r="AF7447">
        <v>21.12</v>
      </c>
      <c r="AJ7447">
        <v>0</v>
      </c>
      <c r="AK7447">
        <v>0</v>
      </c>
      <c r="AL7447">
        <v>0</v>
      </c>
      <c r="AM7447">
        <v>117.12</v>
      </c>
      <c r="AN7447">
        <v>117.12</v>
      </c>
      <c r="AO7447">
        <v>117.12</v>
      </c>
      <c r="AP7447" s="2">
        <v>42746</v>
      </c>
      <c r="AQ7447" t="s">
        <v>72</v>
      </c>
      <c r="AR7447" t="s">
        <v>72</v>
      </c>
      <c r="AS7447">
        <v>3616</v>
      </c>
      <c r="AT7447" s="4">
        <v>42723</v>
      </c>
      <c r="AU7447" t="s">
        <v>73</v>
      </c>
      <c r="AV7447">
        <v>3616</v>
      </c>
      <c r="AW7447" s="4">
        <v>42723</v>
      </c>
      <c r="BD7447">
        <v>21.12</v>
      </c>
      <c r="BN7447" t="s">
        <v>74</v>
      </c>
    </row>
    <row r="7448" spans="1:66" hidden="1">
      <c r="A7448">
        <v>104253</v>
      </c>
      <c r="B7448" s="3" t="s">
        <v>633</v>
      </c>
      <c r="C7448" s="1">
        <v>43300101</v>
      </c>
      <c r="D7448" t="s">
        <v>67</v>
      </c>
      <c r="H7448" t="str">
        <f>"97204800151"</f>
        <v>97204800151</v>
      </c>
      <c r="I7448" t="str">
        <f>"12575740159"</f>
        <v>12575740159</v>
      </c>
      <c r="K7448" t="str">
        <f>""</f>
        <v/>
      </c>
      <c r="M7448" t="s">
        <v>68</v>
      </c>
      <c r="N7448" t="str">
        <f t="shared" si="732"/>
        <v>FOR</v>
      </c>
      <c r="O7448" t="s">
        <v>69</v>
      </c>
      <c r="P7448" s="3" t="s">
        <v>75</v>
      </c>
      <c r="Q7448">
        <v>2015</v>
      </c>
      <c r="R7448" s="2">
        <v>42254</v>
      </c>
      <c r="S7448" s="2">
        <v>42265</v>
      </c>
      <c r="T7448" s="2">
        <v>42264</v>
      </c>
      <c r="U7448" s="2">
        <v>42324</v>
      </c>
      <c r="V7448" t="s">
        <v>71</v>
      </c>
      <c r="W7448" t="str">
        <f>"          9031502105"</f>
        <v xml:space="preserve">          9031502105</v>
      </c>
      <c r="X7448" s="1">
        <v>1397.76</v>
      </c>
      <c r="Y7448">
        <v>0</v>
      </c>
      <c r="Z7448"/>
      <c r="AB7448"/>
      <c r="AC7448" s="1">
        <v>1344</v>
      </c>
      <c r="AD7448">
        <v>91</v>
      </c>
      <c r="AE7448" s="1">
        <v>122304</v>
      </c>
      <c r="AF7448">
        <v>0</v>
      </c>
      <c r="AJ7448">
        <v>0</v>
      </c>
      <c r="AK7448">
        <v>0</v>
      </c>
      <c r="AL7448">
        <v>0</v>
      </c>
      <c r="AM7448">
        <v>0</v>
      </c>
      <c r="AN7448">
        <v>0</v>
      </c>
      <c r="AO7448">
        <v>0</v>
      </c>
      <c r="AP7448" s="2">
        <v>42746</v>
      </c>
      <c r="AQ7448" t="s">
        <v>72</v>
      </c>
      <c r="AR7448" t="s">
        <v>72</v>
      </c>
      <c r="AS7448">
        <v>385</v>
      </c>
      <c r="AT7448" s="4">
        <v>42415</v>
      </c>
      <c r="AU7448" t="s">
        <v>73</v>
      </c>
      <c r="AV7448">
        <v>385</v>
      </c>
      <c r="AW7448" s="4">
        <v>42415</v>
      </c>
      <c r="BD7448">
        <v>0</v>
      </c>
      <c r="BN7448" t="s">
        <v>74</v>
      </c>
    </row>
    <row r="7449" spans="1:66" hidden="1">
      <c r="A7449">
        <v>104253</v>
      </c>
      <c r="B7449" s="3" t="s">
        <v>633</v>
      </c>
      <c r="C7449" s="1">
        <v>43300101</v>
      </c>
      <c r="D7449" t="s">
        <v>67</v>
      </c>
      <c r="H7449" t="str">
        <f>"97204800151"</f>
        <v>97204800151</v>
      </c>
      <c r="I7449" t="str">
        <f>"12575740159"</f>
        <v>12575740159</v>
      </c>
      <c r="K7449" t="str">
        <f>""</f>
        <v/>
      </c>
      <c r="M7449" t="s">
        <v>68</v>
      </c>
      <c r="N7449" t="str">
        <f t="shared" si="732"/>
        <v>FOR</v>
      </c>
      <c r="O7449" t="s">
        <v>69</v>
      </c>
      <c r="P7449" s="3" t="s">
        <v>75</v>
      </c>
      <c r="Q7449">
        <v>2015</v>
      </c>
      <c r="R7449" s="2">
        <v>42285</v>
      </c>
      <c r="S7449" s="2">
        <v>42296</v>
      </c>
      <c r="T7449" s="2">
        <v>42296</v>
      </c>
      <c r="U7449" s="2">
        <v>42356</v>
      </c>
      <c r="V7449" t="s">
        <v>71</v>
      </c>
      <c r="W7449" t="str">
        <f>"          9031502366"</f>
        <v xml:space="preserve">          9031502366</v>
      </c>
      <c r="X7449">
        <v>698.88</v>
      </c>
      <c r="Y7449">
        <v>0</v>
      </c>
      <c r="Z7449"/>
      <c r="AB7449"/>
      <c r="AC7449">
        <v>672</v>
      </c>
      <c r="AD7449">
        <v>59</v>
      </c>
      <c r="AE7449" s="1">
        <v>39648</v>
      </c>
      <c r="AF7449">
        <v>0</v>
      </c>
      <c r="AJ7449">
        <v>0</v>
      </c>
      <c r="AK7449">
        <v>0</v>
      </c>
      <c r="AL7449">
        <v>0</v>
      </c>
      <c r="AM7449">
        <v>0</v>
      </c>
      <c r="AN7449">
        <v>0</v>
      </c>
      <c r="AO7449">
        <v>0</v>
      </c>
      <c r="AP7449" s="2">
        <v>42746</v>
      </c>
      <c r="AQ7449" t="s">
        <v>72</v>
      </c>
      <c r="AR7449" t="s">
        <v>72</v>
      </c>
      <c r="AS7449">
        <v>385</v>
      </c>
      <c r="AT7449" s="4">
        <v>42415</v>
      </c>
      <c r="AU7449" t="s">
        <v>73</v>
      </c>
      <c r="AV7449">
        <v>385</v>
      </c>
      <c r="AW7449" s="4">
        <v>42415</v>
      </c>
      <c r="BD7449">
        <v>0</v>
      </c>
      <c r="BN7449" t="s">
        <v>74</v>
      </c>
    </row>
    <row r="7450" spans="1:66" hidden="1">
      <c r="A7450">
        <v>104274</v>
      </c>
      <c r="B7450" s="3" t="s">
        <v>634</v>
      </c>
      <c r="C7450" s="1">
        <v>43300101</v>
      </c>
      <c r="D7450" t="s">
        <v>67</v>
      </c>
      <c r="H7450" t="str">
        <f>""</f>
        <v/>
      </c>
      <c r="I7450" t="str">
        <f>"01423300183"</f>
        <v>01423300183</v>
      </c>
      <c r="K7450" t="str">
        <f>""</f>
        <v/>
      </c>
      <c r="M7450" t="s">
        <v>68</v>
      </c>
      <c r="N7450" t="str">
        <f t="shared" ref="N7450:N7465" si="733">"FOR"</f>
        <v>FOR</v>
      </c>
      <c r="O7450" t="s">
        <v>69</v>
      </c>
      <c r="P7450" s="3" t="s">
        <v>75</v>
      </c>
      <c r="Q7450">
        <v>2015</v>
      </c>
      <c r="R7450" s="2">
        <v>42362</v>
      </c>
      <c r="S7450" s="2">
        <v>42368</v>
      </c>
      <c r="T7450" s="2">
        <v>42367</v>
      </c>
      <c r="U7450" s="2">
        <v>42427</v>
      </c>
      <c r="V7450" t="s">
        <v>71</v>
      </c>
      <c r="W7450" t="str">
        <f>"             3401/PA"</f>
        <v xml:space="preserve">             3401/PA</v>
      </c>
      <c r="X7450">
        <v>465.91</v>
      </c>
      <c r="Y7450">
        <v>0</v>
      </c>
      <c r="Z7450"/>
      <c r="AB7450"/>
      <c r="AC7450">
        <v>423.55</v>
      </c>
      <c r="AD7450">
        <v>65</v>
      </c>
      <c r="AE7450" s="1">
        <v>27530.75</v>
      </c>
      <c r="AF7450">
        <v>0</v>
      </c>
      <c r="AJ7450">
        <v>0</v>
      </c>
      <c r="AK7450">
        <v>0</v>
      </c>
      <c r="AL7450">
        <v>0</v>
      </c>
      <c r="AM7450">
        <v>0</v>
      </c>
      <c r="AN7450">
        <v>0</v>
      </c>
      <c r="AO7450">
        <v>0</v>
      </c>
      <c r="AP7450" s="2">
        <v>42746</v>
      </c>
      <c r="AQ7450" t="s">
        <v>72</v>
      </c>
      <c r="AR7450" t="s">
        <v>72</v>
      </c>
      <c r="AS7450">
        <v>1215</v>
      </c>
      <c r="AT7450" s="4">
        <v>42492</v>
      </c>
      <c r="AU7450" t="s">
        <v>73</v>
      </c>
      <c r="AV7450">
        <v>1215</v>
      </c>
      <c r="AW7450" s="4">
        <v>42492</v>
      </c>
      <c r="BD7450">
        <v>0</v>
      </c>
      <c r="BN7450" t="s">
        <v>74</v>
      </c>
    </row>
    <row r="7451" spans="1:66" hidden="1">
      <c r="A7451">
        <v>104285</v>
      </c>
      <c r="B7451" s="3" t="s">
        <v>635</v>
      </c>
      <c r="C7451" s="1">
        <v>43300101</v>
      </c>
      <c r="D7451" t="s">
        <v>67</v>
      </c>
      <c r="H7451" t="str">
        <f t="shared" ref="H7451:I7465" si="734">"01835220482"</f>
        <v>01835220482</v>
      </c>
      <c r="I7451" t="str">
        <f t="shared" si="734"/>
        <v>01835220482</v>
      </c>
      <c r="K7451" t="str">
        <f>""</f>
        <v/>
      </c>
      <c r="M7451" t="s">
        <v>68</v>
      </c>
      <c r="N7451" t="str">
        <f t="shared" si="733"/>
        <v>FOR</v>
      </c>
      <c r="O7451" t="s">
        <v>69</v>
      </c>
      <c r="P7451" s="3" t="s">
        <v>70</v>
      </c>
      <c r="Q7451">
        <v>2015</v>
      </c>
      <c r="R7451" s="2">
        <v>42062</v>
      </c>
      <c r="S7451" s="2">
        <v>42089</v>
      </c>
      <c r="T7451" s="2">
        <v>42089</v>
      </c>
      <c r="U7451" s="2">
        <v>42149</v>
      </c>
      <c r="V7451" t="s">
        <v>71</v>
      </c>
      <c r="W7451" t="str">
        <f>"                1404"</f>
        <v xml:space="preserve">                1404</v>
      </c>
      <c r="X7451" s="1">
        <v>1663.17</v>
      </c>
      <c r="Y7451">
        <v>0</v>
      </c>
      <c r="Z7451"/>
      <c r="AB7451"/>
      <c r="AC7451" s="1">
        <v>1363.25</v>
      </c>
      <c r="AD7451">
        <v>259</v>
      </c>
      <c r="AE7451" s="1">
        <v>353081.75</v>
      </c>
      <c r="AF7451">
        <v>0</v>
      </c>
      <c r="AJ7451">
        <v>0</v>
      </c>
      <c r="AK7451">
        <v>0</v>
      </c>
      <c r="AL7451">
        <v>0</v>
      </c>
      <c r="AM7451">
        <v>0</v>
      </c>
      <c r="AN7451">
        <v>0</v>
      </c>
      <c r="AO7451">
        <v>0</v>
      </c>
      <c r="AP7451" s="2">
        <v>42746</v>
      </c>
      <c r="AQ7451" t="s">
        <v>72</v>
      </c>
      <c r="AR7451" t="s">
        <v>72</v>
      </c>
      <c r="AS7451">
        <v>294</v>
      </c>
      <c r="AT7451" s="4">
        <v>42408</v>
      </c>
      <c r="AU7451" t="s">
        <v>73</v>
      </c>
      <c r="AV7451">
        <v>294</v>
      </c>
      <c r="AW7451" s="4">
        <v>42408</v>
      </c>
      <c r="BD7451">
        <v>0</v>
      </c>
      <c r="BN7451" t="s">
        <v>74</v>
      </c>
    </row>
    <row r="7452" spans="1:66" hidden="1">
      <c r="A7452">
        <v>104285</v>
      </c>
      <c r="B7452" s="3" t="s">
        <v>635</v>
      </c>
      <c r="C7452" s="1">
        <v>43300101</v>
      </c>
      <c r="D7452" t="s">
        <v>67</v>
      </c>
      <c r="H7452" t="str">
        <f t="shared" si="734"/>
        <v>01835220482</v>
      </c>
      <c r="I7452" t="str">
        <f t="shared" si="734"/>
        <v>01835220482</v>
      </c>
      <c r="K7452" t="str">
        <f>""</f>
        <v/>
      </c>
      <c r="M7452" t="s">
        <v>68</v>
      </c>
      <c r="N7452" t="str">
        <f t="shared" si="733"/>
        <v>FOR</v>
      </c>
      <c r="O7452" t="s">
        <v>69</v>
      </c>
      <c r="P7452" s="3" t="s">
        <v>75</v>
      </c>
      <c r="Q7452">
        <v>2015</v>
      </c>
      <c r="R7452" s="2">
        <v>42123</v>
      </c>
      <c r="S7452" s="2">
        <v>42128</v>
      </c>
      <c r="T7452" s="2">
        <v>42128</v>
      </c>
      <c r="U7452" s="2">
        <v>42188</v>
      </c>
      <c r="V7452" t="s">
        <v>71</v>
      </c>
      <c r="W7452" t="str">
        <f>"           V90000552"</f>
        <v xml:space="preserve">           V90000552</v>
      </c>
      <c r="X7452">
        <v>875.35</v>
      </c>
      <c r="Y7452">
        <v>0</v>
      </c>
      <c r="Z7452"/>
      <c r="AB7452"/>
      <c r="AC7452">
        <v>717.5</v>
      </c>
      <c r="AD7452">
        <v>227</v>
      </c>
      <c r="AE7452" s="1">
        <v>162872.5</v>
      </c>
      <c r="AF7452">
        <v>0</v>
      </c>
      <c r="AJ7452">
        <v>0</v>
      </c>
      <c r="AK7452">
        <v>0</v>
      </c>
      <c r="AL7452">
        <v>0</v>
      </c>
      <c r="AM7452">
        <v>0</v>
      </c>
      <c r="AN7452">
        <v>0</v>
      </c>
      <c r="AO7452">
        <v>0</v>
      </c>
      <c r="AP7452" s="2">
        <v>42746</v>
      </c>
      <c r="AQ7452" t="s">
        <v>72</v>
      </c>
      <c r="AR7452" t="s">
        <v>72</v>
      </c>
      <c r="AS7452">
        <v>394</v>
      </c>
      <c r="AT7452" s="4">
        <v>42415</v>
      </c>
      <c r="AU7452" t="s">
        <v>73</v>
      </c>
      <c r="AV7452">
        <v>394</v>
      </c>
      <c r="AW7452" s="4">
        <v>42415</v>
      </c>
      <c r="BD7452">
        <v>0</v>
      </c>
      <c r="BN7452" t="s">
        <v>74</v>
      </c>
    </row>
    <row r="7453" spans="1:66" hidden="1">
      <c r="A7453">
        <v>104285</v>
      </c>
      <c r="B7453" s="3" t="s">
        <v>635</v>
      </c>
      <c r="C7453" s="1">
        <v>43300101</v>
      </c>
      <c r="D7453" t="s">
        <v>67</v>
      </c>
      <c r="H7453" t="str">
        <f t="shared" si="734"/>
        <v>01835220482</v>
      </c>
      <c r="I7453" t="str">
        <f t="shared" si="734"/>
        <v>01835220482</v>
      </c>
      <c r="K7453" t="str">
        <f>""</f>
        <v/>
      </c>
      <c r="M7453" t="s">
        <v>68</v>
      </c>
      <c r="N7453" t="str">
        <f t="shared" si="733"/>
        <v>FOR</v>
      </c>
      <c r="O7453" t="s">
        <v>69</v>
      </c>
      <c r="P7453" s="3" t="s">
        <v>75</v>
      </c>
      <c r="Q7453">
        <v>2015</v>
      </c>
      <c r="R7453" s="2">
        <v>42152</v>
      </c>
      <c r="S7453" s="2">
        <v>42160</v>
      </c>
      <c r="T7453" s="2">
        <v>42152</v>
      </c>
      <c r="U7453" s="2">
        <v>42212</v>
      </c>
      <c r="V7453" t="s">
        <v>71</v>
      </c>
      <c r="W7453" t="str">
        <f>"           V90001228"</f>
        <v xml:space="preserve">           V90001228</v>
      </c>
      <c r="X7453">
        <v>250.34</v>
      </c>
      <c r="Y7453">
        <v>0</v>
      </c>
      <c r="Z7453"/>
      <c r="AB7453"/>
      <c r="AC7453">
        <v>205.2</v>
      </c>
      <c r="AD7453">
        <v>203</v>
      </c>
      <c r="AE7453" s="1">
        <v>41655.599999999999</v>
      </c>
      <c r="AF7453">
        <v>0</v>
      </c>
      <c r="AJ7453">
        <v>0</v>
      </c>
      <c r="AK7453">
        <v>0</v>
      </c>
      <c r="AL7453">
        <v>0</v>
      </c>
      <c r="AM7453">
        <v>0</v>
      </c>
      <c r="AN7453">
        <v>0</v>
      </c>
      <c r="AO7453">
        <v>0</v>
      </c>
      <c r="AP7453" s="2">
        <v>42746</v>
      </c>
      <c r="AQ7453" t="s">
        <v>72</v>
      </c>
      <c r="AR7453" t="s">
        <v>72</v>
      </c>
      <c r="AS7453">
        <v>394</v>
      </c>
      <c r="AT7453" s="4">
        <v>42415</v>
      </c>
      <c r="AU7453" t="s">
        <v>73</v>
      </c>
      <c r="AV7453">
        <v>394</v>
      </c>
      <c r="AW7453" s="4">
        <v>42415</v>
      </c>
      <c r="BD7453">
        <v>0</v>
      </c>
      <c r="BN7453" t="s">
        <v>74</v>
      </c>
    </row>
    <row r="7454" spans="1:66" hidden="1">
      <c r="A7454">
        <v>104285</v>
      </c>
      <c r="B7454" s="3" t="s">
        <v>635</v>
      </c>
      <c r="C7454" s="1">
        <v>43300101</v>
      </c>
      <c r="D7454" t="s">
        <v>67</v>
      </c>
      <c r="H7454" t="str">
        <f t="shared" si="734"/>
        <v>01835220482</v>
      </c>
      <c r="I7454" t="str">
        <f t="shared" si="734"/>
        <v>01835220482</v>
      </c>
      <c r="K7454" t="str">
        <f>""</f>
        <v/>
      </c>
      <c r="M7454" t="s">
        <v>68</v>
      </c>
      <c r="N7454" t="str">
        <f t="shared" si="733"/>
        <v>FOR</v>
      </c>
      <c r="O7454" t="s">
        <v>69</v>
      </c>
      <c r="P7454" s="3" t="s">
        <v>75</v>
      </c>
      <c r="Q7454">
        <v>2015</v>
      </c>
      <c r="R7454" s="2">
        <v>42185</v>
      </c>
      <c r="S7454" s="2">
        <v>42191</v>
      </c>
      <c r="T7454" s="2">
        <v>42186</v>
      </c>
      <c r="U7454" s="2">
        <v>42246</v>
      </c>
      <c r="V7454" t="s">
        <v>71</v>
      </c>
      <c r="W7454" t="str">
        <f>"           V90002125"</f>
        <v xml:space="preserve">           V90002125</v>
      </c>
      <c r="X7454" s="1">
        <v>1750.7</v>
      </c>
      <c r="Y7454">
        <v>0</v>
      </c>
      <c r="Z7454"/>
      <c r="AB7454"/>
      <c r="AC7454" s="1">
        <v>1435</v>
      </c>
      <c r="AD7454">
        <v>169</v>
      </c>
      <c r="AE7454" s="1">
        <v>242515</v>
      </c>
      <c r="AF7454">
        <v>0</v>
      </c>
      <c r="AJ7454">
        <v>0</v>
      </c>
      <c r="AK7454">
        <v>0</v>
      </c>
      <c r="AL7454">
        <v>0</v>
      </c>
      <c r="AM7454">
        <v>0</v>
      </c>
      <c r="AN7454">
        <v>0</v>
      </c>
      <c r="AO7454">
        <v>0</v>
      </c>
      <c r="AP7454" s="2">
        <v>42746</v>
      </c>
      <c r="AQ7454" t="s">
        <v>72</v>
      </c>
      <c r="AR7454" t="s">
        <v>72</v>
      </c>
      <c r="AS7454">
        <v>394</v>
      </c>
      <c r="AT7454" s="4">
        <v>42415</v>
      </c>
      <c r="AU7454" t="s">
        <v>73</v>
      </c>
      <c r="AV7454">
        <v>394</v>
      </c>
      <c r="AW7454" s="4">
        <v>42415</v>
      </c>
      <c r="BD7454">
        <v>0</v>
      </c>
      <c r="BN7454" t="s">
        <v>74</v>
      </c>
    </row>
    <row r="7455" spans="1:66" hidden="1">
      <c r="A7455">
        <v>104285</v>
      </c>
      <c r="B7455" s="3" t="s">
        <v>635</v>
      </c>
      <c r="C7455" s="1">
        <v>43300101</v>
      </c>
      <c r="D7455" t="s">
        <v>67</v>
      </c>
      <c r="H7455" t="str">
        <f t="shared" si="734"/>
        <v>01835220482</v>
      </c>
      <c r="I7455" t="str">
        <f t="shared" si="734"/>
        <v>01835220482</v>
      </c>
      <c r="K7455" t="str">
        <f>""</f>
        <v/>
      </c>
      <c r="M7455" t="s">
        <v>68</v>
      </c>
      <c r="N7455" t="str">
        <f t="shared" si="733"/>
        <v>FOR</v>
      </c>
      <c r="O7455" t="s">
        <v>69</v>
      </c>
      <c r="P7455" s="3" t="s">
        <v>75</v>
      </c>
      <c r="Q7455">
        <v>2015</v>
      </c>
      <c r="R7455" s="2">
        <v>42276</v>
      </c>
      <c r="S7455" s="2">
        <v>42277</v>
      </c>
      <c r="T7455" s="2">
        <v>42276</v>
      </c>
      <c r="U7455" s="2">
        <v>42336</v>
      </c>
      <c r="V7455" t="s">
        <v>71</v>
      </c>
      <c r="W7455" t="str">
        <f>"           V90004064"</f>
        <v xml:space="preserve">           V90004064</v>
      </c>
      <c r="X7455">
        <v>875.35</v>
      </c>
      <c r="Y7455">
        <v>0</v>
      </c>
      <c r="Z7455"/>
      <c r="AB7455"/>
      <c r="AC7455">
        <v>717.5</v>
      </c>
      <c r="AD7455">
        <v>79</v>
      </c>
      <c r="AE7455" s="1">
        <v>56682.5</v>
      </c>
      <c r="AF7455">
        <v>0</v>
      </c>
      <c r="AJ7455">
        <v>0</v>
      </c>
      <c r="AK7455">
        <v>0</v>
      </c>
      <c r="AL7455">
        <v>0</v>
      </c>
      <c r="AM7455">
        <v>0</v>
      </c>
      <c r="AN7455">
        <v>0</v>
      </c>
      <c r="AO7455">
        <v>0</v>
      </c>
      <c r="AP7455" s="2">
        <v>42746</v>
      </c>
      <c r="AQ7455" t="s">
        <v>72</v>
      </c>
      <c r="AR7455" t="s">
        <v>72</v>
      </c>
      <c r="AS7455">
        <v>394</v>
      </c>
      <c r="AT7455" s="4">
        <v>42415</v>
      </c>
      <c r="AU7455" t="s">
        <v>73</v>
      </c>
      <c r="AV7455">
        <v>394</v>
      </c>
      <c r="AW7455" s="4">
        <v>42415</v>
      </c>
      <c r="BD7455">
        <v>0</v>
      </c>
      <c r="BN7455" t="s">
        <v>74</v>
      </c>
    </row>
    <row r="7456" spans="1:66" hidden="1">
      <c r="A7456">
        <v>104285</v>
      </c>
      <c r="B7456" s="3" t="s">
        <v>635</v>
      </c>
      <c r="C7456" s="1">
        <v>43300101</v>
      </c>
      <c r="D7456" t="s">
        <v>67</v>
      </c>
      <c r="H7456" t="str">
        <f t="shared" si="734"/>
        <v>01835220482</v>
      </c>
      <c r="I7456" t="str">
        <f t="shared" si="734"/>
        <v>01835220482</v>
      </c>
      <c r="K7456" t="str">
        <f>""</f>
        <v/>
      </c>
      <c r="M7456" t="s">
        <v>68</v>
      </c>
      <c r="N7456" t="str">
        <f t="shared" si="733"/>
        <v>FOR</v>
      </c>
      <c r="O7456" t="s">
        <v>69</v>
      </c>
      <c r="P7456" s="3" t="s">
        <v>75</v>
      </c>
      <c r="Q7456">
        <v>2015</v>
      </c>
      <c r="R7456" s="2">
        <v>42360</v>
      </c>
      <c r="S7456" s="2">
        <v>42361</v>
      </c>
      <c r="T7456" s="2">
        <v>42361</v>
      </c>
      <c r="U7456" s="2">
        <v>42421</v>
      </c>
      <c r="V7456" t="s">
        <v>71</v>
      </c>
      <c r="W7456" t="str">
        <f>"           V90006005"</f>
        <v xml:space="preserve">           V90006005</v>
      </c>
      <c r="X7456" s="1">
        <v>1225.49</v>
      </c>
      <c r="Y7456">
        <v>0</v>
      </c>
      <c r="Z7456"/>
      <c r="AB7456"/>
      <c r="AC7456" s="1">
        <v>1004.5</v>
      </c>
      <c r="AD7456">
        <v>-6</v>
      </c>
      <c r="AE7456" s="1">
        <v>-6027</v>
      </c>
      <c r="AF7456">
        <v>0</v>
      </c>
      <c r="AJ7456">
        <v>0</v>
      </c>
      <c r="AK7456">
        <v>0</v>
      </c>
      <c r="AL7456">
        <v>0</v>
      </c>
      <c r="AM7456">
        <v>0</v>
      </c>
      <c r="AN7456">
        <v>0</v>
      </c>
      <c r="AO7456">
        <v>0</v>
      </c>
      <c r="AP7456" s="2">
        <v>42746</v>
      </c>
      <c r="AQ7456" t="s">
        <v>72</v>
      </c>
      <c r="AR7456" t="s">
        <v>72</v>
      </c>
      <c r="AS7456">
        <v>394</v>
      </c>
      <c r="AT7456" s="4">
        <v>42415</v>
      </c>
      <c r="AV7456">
        <v>394</v>
      </c>
      <c r="AW7456" s="4">
        <v>42415</v>
      </c>
      <c r="BD7456">
        <v>0</v>
      </c>
      <c r="BN7456" t="s">
        <v>74</v>
      </c>
    </row>
    <row r="7457" spans="1:66" hidden="1">
      <c r="A7457">
        <v>104285</v>
      </c>
      <c r="B7457" s="3" t="s">
        <v>635</v>
      </c>
      <c r="C7457" s="1">
        <v>43300101</v>
      </c>
      <c r="D7457" t="s">
        <v>67</v>
      </c>
      <c r="H7457" t="str">
        <f t="shared" si="734"/>
        <v>01835220482</v>
      </c>
      <c r="I7457" t="str">
        <f t="shared" si="734"/>
        <v>01835220482</v>
      </c>
      <c r="K7457" t="str">
        <f>""</f>
        <v/>
      </c>
      <c r="M7457" t="s">
        <v>68</v>
      </c>
      <c r="N7457" t="str">
        <f t="shared" si="733"/>
        <v>FOR</v>
      </c>
      <c r="O7457" t="s">
        <v>69</v>
      </c>
      <c r="P7457" s="3" t="s">
        <v>75</v>
      </c>
      <c r="Q7457">
        <v>2016</v>
      </c>
      <c r="R7457" s="2">
        <v>42398</v>
      </c>
      <c r="S7457" s="2">
        <v>42410</v>
      </c>
      <c r="T7457" s="2">
        <v>42401</v>
      </c>
      <c r="U7457" s="2">
        <v>42461</v>
      </c>
      <c r="V7457" t="s">
        <v>71</v>
      </c>
      <c r="W7457" t="str">
        <f>"           V90000330"</f>
        <v xml:space="preserve">           V90000330</v>
      </c>
      <c r="X7457" s="1">
        <v>1575.63</v>
      </c>
      <c r="Y7457">
        <v>0</v>
      </c>
      <c r="Z7457"/>
      <c r="AB7457"/>
      <c r="AC7457" s="1">
        <v>1291.5</v>
      </c>
      <c r="AD7457">
        <v>59</v>
      </c>
      <c r="AE7457" s="1">
        <v>76198.5</v>
      </c>
      <c r="AF7457">
        <v>0</v>
      </c>
      <c r="AJ7457">
        <v>0</v>
      </c>
      <c r="AK7457">
        <v>0</v>
      </c>
      <c r="AL7457">
        <v>0</v>
      </c>
      <c r="AM7457" s="1">
        <v>1575.63</v>
      </c>
      <c r="AN7457" s="1">
        <v>1575.63</v>
      </c>
      <c r="AO7457" s="1">
        <v>1575.63</v>
      </c>
      <c r="AP7457" s="2">
        <v>42746</v>
      </c>
      <c r="AQ7457" t="s">
        <v>72</v>
      </c>
      <c r="AR7457" t="s">
        <v>72</v>
      </c>
      <c r="AS7457">
        <v>1472</v>
      </c>
      <c r="AT7457" s="4">
        <v>42520</v>
      </c>
      <c r="AU7457" t="s">
        <v>73</v>
      </c>
      <c r="AV7457">
        <v>1472</v>
      </c>
      <c r="AW7457" s="4">
        <v>42520</v>
      </c>
      <c r="BD7457">
        <v>0</v>
      </c>
      <c r="BN7457" t="s">
        <v>74</v>
      </c>
    </row>
    <row r="7458" spans="1:66" hidden="1">
      <c r="A7458">
        <v>104285</v>
      </c>
      <c r="B7458" s="3" t="s">
        <v>635</v>
      </c>
      <c r="C7458" s="1">
        <v>43300101</v>
      </c>
      <c r="D7458" t="s">
        <v>67</v>
      </c>
      <c r="H7458" t="str">
        <f t="shared" si="734"/>
        <v>01835220482</v>
      </c>
      <c r="I7458" t="str">
        <f t="shared" si="734"/>
        <v>01835220482</v>
      </c>
      <c r="K7458" t="str">
        <f>""</f>
        <v/>
      </c>
      <c r="M7458" t="s">
        <v>68</v>
      </c>
      <c r="N7458" t="str">
        <f t="shared" si="733"/>
        <v>FOR</v>
      </c>
      <c r="O7458" t="s">
        <v>69</v>
      </c>
      <c r="P7458" s="3" t="s">
        <v>75</v>
      </c>
      <c r="Q7458">
        <v>2016</v>
      </c>
      <c r="R7458" s="2">
        <v>42460</v>
      </c>
      <c r="S7458" s="2">
        <v>42464</v>
      </c>
      <c r="T7458" s="2">
        <v>42460</v>
      </c>
      <c r="U7458" s="2">
        <v>42520</v>
      </c>
      <c r="V7458" t="s">
        <v>71</v>
      </c>
      <c r="W7458" t="str">
        <f>"           V90002217"</f>
        <v xml:space="preserve">           V90002217</v>
      </c>
      <c r="X7458">
        <v>700.28</v>
      </c>
      <c r="Y7458">
        <v>0</v>
      </c>
      <c r="Z7458"/>
      <c r="AB7458"/>
      <c r="AC7458">
        <v>574</v>
      </c>
      <c r="AD7458">
        <v>100</v>
      </c>
      <c r="AE7458" s="1">
        <v>57400</v>
      </c>
      <c r="AF7458">
        <v>0</v>
      </c>
      <c r="AJ7458">
        <v>0</v>
      </c>
      <c r="AK7458">
        <v>0</v>
      </c>
      <c r="AL7458">
        <v>0</v>
      </c>
      <c r="AM7458">
        <v>700.28</v>
      </c>
      <c r="AN7458">
        <v>700.28</v>
      </c>
      <c r="AO7458">
        <v>700.28</v>
      </c>
      <c r="AP7458" s="2">
        <v>42746</v>
      </c>
      <c r="AQ7458" t="s">
        <v>72</v>
      </c>
      <c r="AR7458" t="s">
        <v>72</v>
      </c>
      <c r="AS7458">
        <v>2325</v>
      </c>
      <c r="AT7458" s="4">
        <v>42620</v>
      </c>
      <c r="AU7458" t="s">
        <v>73</v>
      </c>
      <c r="AV7458">
        <v>2325</v>
      </c>
      <c r="AW7458" s="4">
        <v>42620</v>
      </c>
      <c r="BD7458">
        <v>0</v>
      </c>
      <c r="BN7458" t="s">
        <v>74</v>
      </c>
    </row>
    <row r="7459" spans="1:66" hidden="1">
      <c r="A7459">
        <v>104285</v>
      </c>
      <c r="B7459" s="3" t="s">
        <v>635</v>
      </c>
      <c r="C7459" s="1">
        <v>43300101</v>
      </c>
      <c r="D7459" t="s">
        <v>67</v>
      </c>
      <c r="H7459" t="str">
        <f t="shared" si="734"/>
        <v>01835220482</v>
      </c>
      <c r="I7459" t="str">
        <f t="shared" si="734"/>
        <v>01835220482</v>
      </c>
      <c r="K7459" t="str">
        <f>""</f>
        <v/>
      </c>
      <c r="M7459" t="s">
        <v>68</v>
      </c>
      <c r="N7459" t="str">
        <f t="shared" si="733"/>
        <v>FOR</v>
      </c>
      <c r="O7459" t="s">
        <v>69</v>
      </c>
      <c r="P7459" s="3" t="s">
        <v>75</v>
      </c>
      <c r="Q7459">
        <v>2016</v>
      </c>
      <c r="R7459" s="2">
        <v>42460</v>
      </c>
      <c r="S7459" s="2">
        <v>42464</v>
      </c>
      <c r="T7459" s="2">
        <v>42460</v>
      </c>
      <c r="U7459" s="2">
        <v>42520</v>
      </c>
      <c r="V7459" t="s">
        <v>71</v>
      </c>
      <c r="W7459" t="str">
        <f>"           V90002218"</f>
        <v xml:space="preserve">           V90002218</v>
      </c>
      <c r="X7459">
        <v>875.35</v>
      </c>
      <c r="Y7459">
        <v>0</v>
      </c>
      <c r="Z7459"/>
      <c r="AB7459"/>
      <c r="AC7459">
        <v>717.5</v>
      </c>
      <c r="AD7459">
        <v>100</v>
      </c>
      <c r="AE7459" s="1">
        <v>71750</v>
      </c>
      <c r="AF7459">
        <v>0</v>
      </c>
      <c r="AJ7459">
        <v>0</v>
      </c>
      <c r="AK7459">
        <v>0</v>
      </c>
      <c r="AL7459">
        <v>0</v>
      </c>
      <c r="AM7459">
        <v>875.35</v>
      </c>
      <c r="AN7459">
        <v>875.35</v>
      </c>
      <c r="AO7459">
        <v>875.35</v>
      </c>
      <c r="AP7459" s="2">
        <v>42746</v>
      </c>
      <c r="AQ7459" t="s">
        <v>72</v>
      </c>
      <c r="AR7459" t="s">
        <v>72</v>
      </c>
      <c r="AS7459">
        <v>2325</v>
      </c>
      <c r="AT7459" s="4">
        <v>42620</v>
      </c>
      <c r="AU7459" t="s">
        <v>73</v>
      </c>
      <c r="AV7459">
        <v>2325</v>
      </c>
      <c r="AW7459" s="4">
        <v>42620</v>
      </c>
      <c r="BD7459">
        <v>0</v>
      </c>
      <c r="BN7459" t="s">
        <v>74</v>
      </c>
    </row>
    <row r="7460" spans="1:66" hidden="1">
      <c r="A7460">
        <v>104285</v>
      </c>
      <c r="B7460" s="3" t="s">
        <v>635</v>
      </c>
      <c r="C7460" s="1">
        <v>43300101</v>
      </c>
      <c r="D7460" t="s">
        <v>67</v>
      </c>
      <c r="H7460" t="str">
        <f t="shared" si="734"/>
        <v>01835220482</v>
      </c>
      <c r="I7460" t="str">
        <f t="shared" si="734"/>
        <v>01835220482</v>
      </c>
      <c r="K7460" t="str">
        <f>""</f>
        <v/>
      </c>
      <c r="M7460" t="s">
        <v>68</v>
      </c>
      <c r="N7460" t="str">
        <f t="shared" si="733"/>
        <v>FOR</v>
      </c>
      <c r="O7460" t="s">
        <v>69</v>
      </c>
      <c r="P7460" s="3" t="s">
        <v>75</v>
      </c>
      <c r="Q7460">
        <v>2016</v>
      </c>
      <c r="R7460" s="2">
        <v>42521</v>
      </c>
      <c r="S7460" s="2">
        <v>42530</v>
      </c>
      <c r="T7460" s="2">
        <v>42528</v>
      </c>
      <c r="U7460" s="2">
        <v>42588</v>
      </c>
      <c r="V7460" t="s">
        <v>71</v>
      </c>
      <c r="W7460" t="str">
        <f>"           V90004037"</f>
        <v xml:space="preserve">           V90004037</v>
      </c>
      <c r="X7460">
        <v>525.21</v>
      </c>
      <c r="Y7460">
        <v>0</v>
      </c>
      <c r="Z7460"/>
      <c r="AB7460"/>
      <c r="AC7460">
        <v>430.5</v>
      </c>
      <c r="AD7460">
        <v>32</v>
      </c>
      <c r="AE7460" s="1">
        <v>13776</v>
      </c>
      <c r="AF7460">
        <v>0</v>
      </c>
      <c r="AJ7460">
        <v>0</v>
      </c>
      <c r="AK7460">
        <v>0</v>
      </c>
      <c r="AL7460">
        <v>0</v>
      </c>
      <c r="AM7460">
        <v>525.21</v>
      </c>
      <c r="AN7460">
        <v>525.21</v>
      </c>
      <c r="AO7460">
        <v>525.21</v>
      </c>
      <c r="AP7460" s="2">
        <v>42746</v>
      </c>
      <c r="AQ7460" t="s">
        <v>72</v>
      </c>
      <c r="AR7460" t="s">
        <v>72</v>
      </c>
      <c r="AS7460">
        <v>2325</v>
      </c>
      <c r="AT7460" s="4">
        <v>42620</v>
      </c>
      <c r="AU7460" t="s">
        <v>73</v>
      </c>
      <c r="AV7460">
        <v>2325</v>
      </c>
      <c r="AW7460" s="4">
        <v>42620</v>
      </c>
      <c r="BD7460">
        <v>0</v>
      </c>
      <c r="BN7460" t="s">
        <v>74</v>
      </c>
    </row>
    <row r="7461" spans="1:66" hidden="1">
      <c r="A7461">
        <v>104285</v>
      </c>
      <c r="B7461" s="3" t="s">
        <v>635</v>
      </c>
      <c r="C7461" s="1">
        <v>43300101</v>
      </c>
      <c r="D7461" t="s">
        <v>67</v>
      </c>
      <c r="H7461" t="str">
        <f t="shared" si="734"/>
        <v>01835220482</v>
      </c>
      <c r="I7461" t="str">
        <f t="shared" si="734"/>
        <v>01835220482</v>
      </c>
      <c r="K7461" t="str">
        <f>""</f>
        <v/>
      </c>
      <c r="M7461" t="s">
        <v>68</v>
      </c>
      <c r="N7461" t="str">
        <f t="shared" si="733"/>
        <v>FOR</v>
      </c>
      <c r="O7461" t="s">
        <v>69</v>
      </c>
      <c r="P7461" s="3" t="s">
        <v>75</v>
      </c>
      <c r="Q7461">
        <v>2016</v>
      </c>
      <c r="R7461" s="2">
        <v>42551</v>
      </c>
      <c r="S7461" s="2">
        <v>42558</v>
      </c>
      <c r="T7461" s="2">
        <v>42557</v>
      </c>
      <c r="U7461" s="2">
        <v>42617</v>
      </c>
      <c r="V7461" t="s">
        <v>71</v>
      </c>
      <c r="W7461" t="str">
        <f>"           V90004770"</f>
        <v xml:space="preserve">           V90004770</v>
      </c>
      <c r="X7461">
        <v>350.14</v>
      </c>
      <c r="Y7461">
        <v>0</v>
      </c>
      <c r="Z7461"/>
      <c r="AB7461"/>
      <c r="AC7461">
        <v>287</v>
      </c>
      <c r="AD7461">
        <v>3</v>
      </c>
      <c r="AE7461">
        <v>861</v>
      </c>
      <c r="AF7461">
        <v>0</v>
      </c>
      <c r="AJ7461">
        <v>0</v>
      </c>
      <c r="AK7461">
        <v>0</v>
      </c>
      <c r="AL7461">
        <v>0</v>
      </c>
      <c r="AM7461">
        <v>350.14</v>
      </c>
      <c r="AN7461">
        <v>350.14</v>
      </c>
      <c r="AO7461">
        <v>350.14</v>
      </c>
      <c r="AP7461" s="2">
        <v>42746</v>
      </c>
      <c r="AQ7461" t="s">
        <v>72</v>
      </c>
      <c r="AR7461" t="s">
        <v>72</v>
      </c>
      <c r="AS7461">
        <v>2325</v>
      </c>
      <c r="AT7461" s="4">
        <v>42620</v>
      </c>
      <c r="AU7461" t="s">
        <v>73</v>
      </c>
      <c r="AV7461">
        <v>2325</v>
      </c>
      <c r="AW7461" s="4">
        <v>42620</v>
      </c>
      <c r="BD7461">
        <v>0</v>
      </c>
      <c r="BN7461" t="s">
        <v>74</v>
      </c>
    </row>
    <row r="7462" spans="1:66">
      <c r="A7462">
        <v>104285</v>
      </c>
      <c r="B7462" s="3" t="s">
        <v>635</v>
      </c>
      <c r="C7462" s="1">
        <v>43300101</v>
      </c>
      <c r="D7462" t="s">
        <v>67</v>
      </c>
      <c r="H7462" t="str">
        <f t="shared" si="734"/>
        <v>01835220482</v>
      </c>
      <c r="I7462" t="str">
        <f t="shared" si="734"/>
        <v>01835220482</v>
      </c>
      <c r="K7462" t="str">
        <f>""</f>
        <v/>
      </c>
      <c r="M7462" t="s">
        <v>68</v>
      </c>
      <c r="N7462" t="str">
        <f t="shared" si="733"/>
        <v>FOR</v>
      </c>
      <c r="O7462" t="s">
        <v>69</v>
      </c>
      <c r="P7462" s="3" t="s">
        <v>75</v>
      </c>
      <c r="Q7462">
        <v>2016</v>
      </c>
      <c r="R7462" s="2">
        <v>42573</v>
      </c>
      <c r="S7462" s="2">
        <v>42577</v>
      </c>
      <c r="T7462" s="2">
        <v>42573</v>
      </c>
      <c r="U7462" s="2">
        <v>42633</v>
      </c>
      <c r="V7462" t="s">
        <v>71</v>
      </c>
      <c r="W7462" t="str">
        <f>"           V90005135"</f>
        <v xml:space="preserve">           V90005135</v>
      </c>
      <c r="X7462">
        <v>350.14</v>
      </c>
      <c r="Y7462">
        <v>0</v>
      </c>
      <c r="Z7462" s="3">
        <v>287</v>
      </c>
      <c r="AA7462">
        <v>64</v>
      </c>
      <c r="AB7462" s="5">
        <v>18368</v>
      </c>
      <c r="AC7462">
        <v>287</v>
      </c>
      <c r="AD7462">
        <v>64</v>
      </c>
      <c r="AE7462" s="1">
        <v>18368</v>
      </c>
      <c r="AF7462">
        <v>0</v>
      </c>
      <c r="AJ7462">
        <v>0</v>
      </c>
      <c r="AK7462">
        <v>0</v>
      </c>
      <c r="AL7462">
        <v>0</v>
      </c>
      <c r="AM7462">
        <v>350.14</v>
      </c>
      <c r="AN7462">
        <v>350.14</v>
      </c>
      <c r="AO7462">
        <v>350.14</v>
      </c>
      <c r="AP7462" s="2">
        <v>42746</v>
      </c>
      <c r="AQ7462" t="s">
        <v>72</v>
      </c>
      <c r="AR7462" t="s">
        <v>72</v>
      </c>
      <c r="AS7462">
        <v>3293</v>
      </c>
      <c r="AT7462" s="4">
        <v>42697</v>
      </c>
      <c r="AU7462" t="s">
        <v>73</v>
      </c>
      <c r="AV7462">
        <v>3293</v>
      </c>
      <c r="AW7462" s="4">
        <v>42697</v>
      </c>
      <c r="BD7462">
        <v>0</v>
      </c>
      <c r="BN7462" t="s">
        <v>74</v>
      </c>
    </row>
    <row r="7463" spans="1:66">
      <c r="A7463">
        <v>104285</v>
      </c>
      <c r="B7463" s="3" t="s">
        <v>635</v>
      </c>
      <c r="C7463" s="1">
        <v>43300101</v>
      </c>
      <c r="D7463" t="s">
        <v>67</v>
      </c>
      <c r="H7463" t="str">
        <f t="shared" si="734"/>
        <v>01835220482</v>
      </c>
      <c r="I7463" t="str">
        <f t="shared" si="734"/>
        <v>01835220482</v>
      </c>
      <c r="K7463" t="str">
        <f>""</f>
        <v/>
      </c>
      <c r="M7463" t="s">
        <v>68</v>
      </c>
      <c r="N7463" t="str">
        <f t="shared" si="733"/>
        <v>FOR</v>
      </c>
      <c r="O7463" t="s">
        <v>69</v>
      </c>
      <c r="P7463" s="3" t="s">
        <v>75</v>
      </c>
      <c r="Q7463">
        <v>2016</v>
      </c>
      <c r="R7463" s="2">
        <v>42578</v>
      </c>
      <c r="S7463" s="2">
        <v>42583</v>
      </c>
      <c r="T7463" s="2">
        <v>42578</v>
      </c>
      <c r="U7463" s="2">
        <v>42638</v>
      </c>
      <c r="V7463" t="s">
        <v>71</v>
      </c>
      <c r="W7463" t="str">
        <f>"           V90005328"</f>
        <v xml:space="preserve">           V90005328</v>
      </c>
      <c r="X7463">
        <v>250.34</v>
      </c>
      <c r="Y7463">
        <v>0</v>
      </c>
      <c r="Z7463" s="3">
        <v>205.2</v>
      </c>
      <c r="AA7463">
        <v>59</v>
      </c>
      <c r="AB7463" s="5">
        <v>12106.8</v>
      </c>
      <c r="AC7463">
        <v>205.2</v>
      </c>
      <c r="AD7463">
        <v>59</v>
      </c>
      <c r="AE7463" s="1">
        <v>12106.8</v>
      </c>
      <c r="AF7463">
        <v>0</v>
      </c>
      <c r="AJ7463">
        <v>0</v>
      </c>
      <c r="AK7463">
        <v>0</v>
      </c>
      <c r="AL7463">
        <v>0</v>
      </c>
      <c r="AM7463">
        <v>250.34</v>
      </c>
      <c r="AN7463">
        <v>250.34</v>
      </c>
      <c r="AO7463">
        <v>250.34</v>
      </c>
      <c r="AP7463" s="2">
        <v>42746</v>
      </c>
      <c r="AQ7463" t="s">
        <v>72</v>
      </c>
      <c r="AR7463" t="s">
        <v>72</v>
      </c>
      <c r="AS7463">
        <v>3293</v>
      </c>
      <c r="AT7463" s="4">
        <v>42697</v>
      </c>
      <c r="AU7463" t="s">
        <v>73</v>
      </c>
      <c r="AV7463">
        <v>3293</v>
      </c>
      <c r="AW7463" s="4">
        <v>42697</v>
      </c>
      <c r="BD7463">
        <v>0</v>
      </c>
      <c r="BN7463" t="s">
        <v>74</v>
      </c>
    </row>
    <row r="7464" spans="1:66">
      <c r="A7464">
        <v>104285</v>
      </c>
      <c r="B7464" s="3" t="s">
        <v>635</v>
      </c>
      <c r="C7464" s="1">
        <v>43300101</v>
      </c>
      <c r="D7464" t="s">
        <v>67</v>
      </c>
      <c r="H7464" t="str">
        <f t="shared" si="734"/>
        <v>01835220482</v>
      </c>
      <c r="I7464" t="str">
        <f t="shared" si="734"/>
        <v>01835220482</v>
      </c>
      <c r="K7464" t="str">
        <f>""</f>
        <v/>
      </c>
      <c r="M7464" t="s">
        <v>68</v>
      </c>
      <c r="N7464" t="str">
        <f t="shared" si="733"/>
        <v>FOR</v>
      </c>
      <c r="O7464" t="s">
        <v>69</v>
      </c>
      <c r="P7464" s="3" t="s">
        <v>75</v>
      </c>
      <c r="Q7464">
        <v>2016</v>
      </c>
      <c r="R7464" s="2">
        <v>42606</v>
      </c>
      <c r="S7464" s="2">
        <v>42621</v>
      </c>
      <c r="T7464" s="2">
        <v>42606</v>
      </c>
      <c r="U7464" s="2">
        <v>42666</v>
      </c>
      <c r="V7464" t="s">
        <v>71</v>
      </c>
      <c r="W7464" t="str">
        <f>"           V90005703"</f>
        <v xml:space="preserve">           V90005703</v>
      </c>
      <c r="X7464">
        <v>175.07</v>
      </c>
      <c r="Y7464">
        <v>0</v>
      </c>
      <c r="Z7464" s="3">
        <v>143.5</v>
      </c>
      <c r="AA7464">
        <v>31</v>
      </c>
      <c r="AB7464" s="5">
        <v>4448.5</v>
      </c>
      <c r="AC7464">
        <v>143.5</v>
      </c>
      <c r="AD7464">
        <v>31</v>
      </c>
      <c r="AE7464" s="1">
        <v>4448.5</v>
      </c>
      <c r="AF7464">
        <v>0</v>
      </c>
      <c r="AJ7464">
        <v>0</v>
      </c>
      <c r="AK7464">
        <v>0</v>
      </c>
      <c r="AL7464">
        <v>0</v>
      </c>
      <c r="AM7464">
        <v>175.07</v>
      </c>
      <c r="AN7464">
        <v>175.07</v>
      </c>
      <c r="AO7464">
        <v>175.07</v>
      </c>
      <c r="AP7464" s="2">
        <v>42746</v>
      </c>
      <c r="AQ7464" t="s">
        <v>72</v>
      </c>
      <c r="AR7464" t="s">
        <v>72</v>
      </c>
      <c r="AS7464">
        <v>3293</v>
      </c>
      <c r="AT7464" s="4">
        <v>42697</v>
      </c>
      <c r="AU7464" t="s">
        <v>73</v>
      </c>
      <c r="AV7464">
        <v>3293</v>
      </c>
      <c r="AW7464" s="4">
        <v>42697</v>
      </c>
      <c r="BD7464">
        <v>0</v>
      </c>
      <c r="BN7464" t="s">
        <v>74</v>
      </c>
    </row>
    <row r="7465" spans="1:66">
      <c r="A7465">
        <v>104285</v>
      </c>
      <c r="B7465" s="3" t="s">
        <v>635</v>
      </c>
      <c r="C7465" s="1">
        <v>43300101</v>
      </c>
      <c r="D7465" t="s">
        <v>67</v>
      </c>
      <c r="H7465" t="str">
        <f t="shared" si="734"/>
        <v>01835220482</v>
      </c>
      <c r="I7465" t="str">
        <f t="shared" si="734"/>
        <v>01835220482</v>
      </c>
      <c r="K7465" t="str">
        <f>""</f>
        <v/>
      </c>
      <c r="M7465" t="s">
        <v>68</v>
      </c>
      <c r="N7465" t="str">
        <f t="shared" si="733"/>
        <v>FOR</v>
      </c>
      <c r="O7465" t="s">
        <v>69</v>
      </c>
      <c r="P7465" s="3" t="s">
        <v>75</v>
      </c>
      <c r="Q7465">
        <v>2016</v>
      </c>
      <c r="R7465" s="2">
        <v>42613</v>
      </c>
      <c r="S7465" s="2">
        <v>42620</v>
      </c>
      <c r="T7465" s="2">
        <v>42613</v>
      </c>
      <c r="U7465" s="2">
        <v>42673</v>
      </c>
      <c r="V7465" t="s">
        <v>71</v>
      </c>
      <c r="W7465" t="str">
        <f>"           V90005889"</f>
        <v xml:space="preserve">           V90005889</v>
      </c>
      <c r="X7465">
        <v>700.28</v>
      </c>
      <c r="Y7465">
        <v>0</v>
      </c>
      <c r="Z7465" s="3">
        <v>574</v>
      </c>
      <c r="AA7465">
        <v>24</v>
      </c>
      <c r="AB7465" s="5">
        <v>13776</v>
      </c>
      <c r="AC7465">
        <v>574</v>
      </c>
      <c r="AD7465">
        <v>24</v>
      </c>
      <c r="AE7465" s="1">
        <v>13776</v>
      </c>
      <c r="AF7465">
        <v>0</v>
      </c>
      <c r="AJ7465">
        <v>0</v>
      </c>
      <c r="AK7465">
        <v>0</v>
      </c>
      <c r="AL7465">
        <v>0</v>
      </c>
      <c r="AM7465">
        <v>700.28</v>
      </c>
      <c r="AN7465">
        <v>700.28</v>
      </c>
      <c r="AO7465">
        <v>700.28</v>
      </c>
      <c r="AP7465" s="2">
        <v>42746</v>
      </c>
      <c r="AQ7465" t="s">
        <v>72</v>
      </c>
      <c r="AR7465" t="s">
        <v>72</v>
      </c>
      <c r="AS7465">
        <v>3293</v>
      </c>
      <c r="AT7465" s="4">
        <v>42697</v>
      </c>
      <c r="AU7465" t="s">
        <v>73</v>
      </c>
      <c r="AV7465">
        <v>3293</v>
      </c>
      <c r="AW7465" s="4">
        <v>42697</v>
      </c>
      <c r="BD7465">
        <v>0</v>
      </c>
      <c r="BN7465" t="s">
        <v>74</v>
      </c>
    </row>
    <row r="7466" spans="1:66" hidden="1">
      <c r="A7466">
        <v>104291</v>
      </c>
      <c r="B7466" s="3" t="s">
        <v>636</v>
      </c>
      <c r="C7466" s="1">
        <v>43500101</v>
      </c>
      <c r="D7466" t="s">
        <v>113</v>
      </c>
      <c r="H7466" t="str">
        <f t="shared" ref="H7466:I7477" si="735">"05685311002"</f>
        <v>05685311002</v>
      </c>
      <c r="I7466" t="str">
        <f t="shared" si="735"/>
        <v>05685311002</v>
      </c>
      <c r="K7466" t="str">
        <f>""</f>
        <v/>
      </c>
      <c r="M7466" t="s">
        <v>68</v>
      </c>
      <c r="N7466" t="str">
        <f t="shared" ref="N7466:N7477" si="736">"ALTFIN"</f>
        <v>ALTFIN</v>
      </c>
      <c r="O7466" t="s">
        <v>123</v>
      </c>
      <c r="P7466" s="3" t="s">
        <v>84</v>
      </c>
      <c r="Q7466">
        <v>2016</v>
      </c>
      <c r="R7466" s="2">
        <v>42389</v>
      </c>
      <c r="S7466" s="2">
        <v>42390</v>
      </c>
      <c r="T7466" s="2">
        <v>42390</v>
      </c>
      <c r="U7466" s="2">
        <v>42450</v>
      </c>
      <c r="V7466" t="s">
        <v>71</v>
      </c>
      <c r="W7466" t="str">
        <f>"                0120"</f>
        <v xml:space="preserve">                0120</v>
      </c>
      <c r="X7466">
        <v>0</v>
      </c>
      <c r="Y7466">
        <v>122.85</v>
      </c>
      <c r="Z7466"/>
      <c r="AB7466"/>
      <c r="AC7466">
        <v>122.85</v>
      </c>
      <c r="AD7466">
        <v>-60</v>
      </c>
      <c r="AE7466" s="1">
        <v>-7371</v>
      </c>
      <c r="AF7466">
        <v>0</v>
      </c>
      <c r="AJ7466">
        <v>0</v>
      </c>
      <c r="AK7466">
        <v>0</v>
      </c>
      <c r="AL7466">
        <v>0</v>
      </c>
      <c r="AM7466">
        <v>122.85</v>
      </c>
      <c r="AN7466">
        <v>122.85</v>
      </c>
      <c r="AO7466">
        <v>122.85</v>
      </c>
      <c r="AP7466" s="2">
        <v>42746</v>
      </c>
      <c r="AQ7466" t="s">
        <v>72</v>
      </c>
      <c r="AR7466" t="s">
        <v>72</v>
      </c>
      <c r="AS7466">
        <v>69</v>
      </c>
      <c r="AT7466" s="4">
        <v>42390</v>
      </c>
      <c r="AV7466">
        <v>69</v>
      </c>
      <c r="AW7466" s="4">
        <v>42390</v>
      </c>
      <c r="BD7466">
        <v>0</v>
      </c>
      <c r="BN7466" t="s">
        <v>74</v>
      </c>
    </row>
    <row r="7467" spans="1:66" hidden="1">
      <c r="A7467">
        <v>104291</v>
      </c>
      <c r="B7467" s="3" t="s">
        <v>636</v>
      </c>
      <c r="C7467" s="1">
        <v>43500101</v>
      </c>
      <c r="D7467" t="s">
        <v>113</v>
      </c>
      <c r="H7467" t="str">
        <f t="shared" si="735"/>
        <v>05685311002</v>
      </c>
      <c r="I7467" t="str">
        <f t="shared" si="735"/>
        <v>05685311002</v>
      </c>
      <c r="K7467" t="str">
        <f>""</f>
        <v/>
      </c>
      <c r="M7467" t="s">
        <v>68</v>
      </c>
      <c r="N7467" t="str">
        <f t="shared" si="736"/>
        <v>ALTFIN</v>
      </c>
      <c r="O7467" t="s">
        <v>123</v>
      </c>
      <c r="P7467" s="3" t="s">
        <v>85</v>
      </c>
      <c r="Q7467">
        <v>2016</v>
      </c>
      <c r="R7467" s="2">
        <v>42422</v>
      </c>
      <c r="S7467" s="2">
        <v>42422</v>
      </c>
      <c r="T7467" s="2">
        <v>42422</v>
      </c>
      <c r="U7467" s="2">
        <v>42482</v>
      </c>
      <c r="V7467" t="s">
        <v>71</v>
      </c>
      <c r="W7467" t="str">
        <f>"                0222"</f>
        <v xml:space="preserve">                0222</v>
      </c>
      <c r="X7467">
        <v>0</v>
      </c>
      <c r="Y7467">
        <v>122.85</v>
      </c>
      <c r="Z7467"/>
      <c r="AB7467"/>
      <c r="AC7467">
        <v>122.85</v>
      </c>
      <c r="AD7467">
        <v>-58</v>
      </c>
      <c r="AE7467" s="1">
        <v>-7125.3</v>
      </c>
      <c r="AF7467">
        <v>0</v>
      </c>
      <c r="AJ7467">
        <v>0</v>
      </c>
      <c r="AK7467">
        <v>0</v>
      </c>
      <c r="AL7467">
        <v>0</v>
      </c>
      <c r="AM7467">
        <v>122.85</v>
      </c>
      <c r="AN7467">
        <v>122.85</v>
      </c>
      <c r="AO7467">
        <v>122.85</v>
      </c>
      <c r="AP7467" s="2">
        <v>42746</v>
      </c>
      <c r="AQ7467" t="s">
        <v>72</v>
      </c>
      <c r="AR7467" t="s">
        <v>72</v>
      </c>
      <c r="AS7467">
        <v>513</v>
      </c>
      <c r="AT7467" s="4">
        <v>42424</v>
      </c>
      <c r="AV7467">
        <v>513</v>
      </c>
      <c r="AW7467" s="4">
        <v>42424</v>
      </c>
      <c r="BD7467">
        <v>0</v>
      </c>
      <c r="BN7467" t="s">
        <v>74</v>
      </c>
    </row>
    <row r="7468" spans="1:66" hidden="1">
      <c r="A7468">
        <v>104291</v>
      </c>
      <c r="B7468" s="3" t="s">
        <v>636</v>
      </c>
      <c r="C7468" s="1">
        <v>43500101</v>
      </c>
      <c r="D7468" t="s">
        <v>113</v>
      </c>
      <c r="H7468" t="str">
        <f t="shared" si="735"/>
        <v>05685311002</v>
      </c>
      <c r="I7468" t="str">
        <f t="shared" si="735"/>
        <v>05685311002</v>
      </c>
      <c r="K7468" t="str">
        <f>""</f>
        <v/>
      </c>
      <c r="M7468" t="s">
        <v>68</v>
      </c>
      <c r="N7468" t="str">
        <f t="shared" si="736"/>
        <v>ALTFIN</v>
      </c>
      <c r="O7468" t="s">
        <v>123</v>
      </c>
      <c r="P7468" s="3" t="s">
        <v>86</v>
      </c>
      <c r="Q7468">
        <v>2016</v>
      </c>
      <c r="R7468" s="2">
        <v>42450</v>
      </c>
      <c r="S7468" s="2">
        <v>42450</v>
      </c>
      <c r="T7468" s="2">
        <v>42450</v>
      </c>
      <c r="U7468" s="2">
        <v>42510</v>
      </c>
      <c r="V7468" t="s">
        <v>71</v>
      </c>
      <c r="W7468" t="str">
        <f>"                0321"</f>
        <v xml:space="preserve">                0321</v>
      </c>
      <c r="X7468">
        <v>0</v>
      </c>
      <c r="Y7468">
        <v>122.85</v>
      </c>
      <c r="Z7468"/>
      <c r="AB7468"/>
      <c r="AC7468">
        <v>122.85</v>
      </c>
      <c r="AD7468">
        <v>-57</v>
      </c>
      <c r="AE7468" s="1">
        <v>-7002.45</v>
      </c>
      <c r="AF7468">
        <v>0</v>
      </c>
      <c r="AJ7468">
        <v>0</v>
      </c>
      <c r="AK7468">
        <v>0</v>
      </c>
      <c r="AL7468">
        <v>0</v>
      </c>
      <c r="AM7468">
        <v>122.85</v>
      </c>
      <c r="AN7468">
        <v>122.85</v>
      </c>
      <c r="AO7468">
        <v>122.85</v>
      </c>
      <c r="AP7468" s="2">
        <v>42746</v>
      </c>
      <c r="AQ7468" t="s">
        <v>72</v>
      </c>
      <c r="AR7468" t="s">
        <v>72</v>
      </c>
      <c r="AS7468">
        <v>935</v>
      </c>
      <c r="AT7468" s="4">
        <v>42453</v>
      </c>
      <c r="AV7468">
        <v>935</v>
      </c>
      <c r="AW7468" s="4">
        <v>42453</v>
      </c>
      <c r="BD7468">
        <v>0</v>
      </c>
      <c r="BN7468" t="s">
        <v>74</v>
      </c>
    </row>
    <row r="7469" spans="1:66" hidden="1">
      <c r="A7469">
        <v>104291</v>
      </c>
      <c r="B7469" s="3" t="s">
        <v>636</v>
      </c>
      <c r="C7469" s="1">
        <v>43500101</v>
      </c>
      <c r="D7469" t="s">
        <v>113</v>
      </c>
      <c r="H7469" t="str">
        <f t="shared" si="735"/>
        <v>05685311002</v>
      </c>
      <c r="I7469" t="str">
        <f t="shared" si="735"/>
        <v>05685311002</v>
      </c>
      <c r="K7469" t="str">
        <f>""</f>
        <v/>
      </c>
      <c r="M7469" t="s">
        <v>68</v>
      </c>
      <c r="N7469" t="str">
        <f t="shared" si="736"/>
        <v>ALTFIN</v>
      </c>
      <c r="O7469" t="s">
        <v>123</v>
      </c>
      <c r="P7469" s="3" t="s">
        <v>87</v>
      </c>
      <c r="Q7469">
        <v>2016</v>
      </c>
      <c r="R7469" s="2">
        <v>42481</v>
      </c>
      <c r="S7469" s="2">
        <v>42481</v>
      </c>
      <c r="T7469" s="2">
        <v>42481</v>
      </c>
      <c r="U7469" s="2">
        <v>42541</v>
      </c>
      <c r="V7469" t="s">
        <v>71</v>
      </c>
      <c r="W7469" t="str">
        <f>"                0421"</f>
        <v xml:space="preserve">                0421</v>
      </c>
      <c r="X7469">
        <v>0</v>
      </c>
      <c r="Y7469">
        <v>122.85</v>
      </c>
      <c r="Z7469"/>
      <c r="AB7469"/>
      <c r="AC7469">
        <v>122.85</v>
      </c>
      <c r="AD7469">
        <v>-60</v>
      </c>
      <c r="AE7469" s="1">
        <v>-7371</v>
      </c>
      <c r="AF7469">
        <v>0</v>
      </c>
      <c r="AJ7469">
        <v>0</v>
      </c>
      <c r="AK7469">
        <v>0</v>
      </c>
      <c r="AL7469">
        <v>0</v>
      </c>
      <c r="AM7469">
        <v>122.85</v>
      </c>
      <c r="AN7469">
        <v>122.85</v>
      </c>
      <c r="AO7469">
        <v>122.85</v>
      </c>
      <c r="AP7469" s="2">
        <v>42746</v>
      </c>
      <c r="AQ7469" t="s">
        <v>72</v>
      </c>
      <c r="AR7469" t="s">
        <v>72</v>
      </c>
      <c r="AS7469">
        <v>1101</v>
      </c>
      <c r="AT7469" s="4">
        <v>42481</v>
      </c>
      <c r="AV7469">
        <v>1101</v>
      </c>
      <c r="AW7469" s="4">
        <v>42481</v>
      </c>
      <c r="BD7469">
        <v>0</v>
      </c>
      <c r="BN7469" t="s">
        <v>74</v>
      </c>
    </row>
    <row r="7470" spans="1:66" hidden="1">
      <c r="A7470">
        <v>104291</v>
      </c>
      <c r="B7470" s="3" t="s">
        <v>636</v>
      </c>
      <c r="C7470" s="1">
        <v>43500101</v>
      </c>
      <c r="D7470" t="s">
        <v>113</v>
      </c>
      <c r="H7470" t="str">
        <f t="shared" si="735"/>
        <v>05685311002</v>
      </c>
      <c r="I7470" t="str">
        <f t="shared" si="735"/>
        <v>05685311002</v>
      </c>
      <c r="K7470" t="str">
        <f>""</f>
        <v/>
      </c>
      <c r="M7470" t="s">
        <v>68</v>
      </c>
      <c r="N7470" t="str">
        <f t="shared" si="736"/>
        <v>ALTFIN</v>
      </c>
      <c r="O7470" t="s">
        <v>123</v>
      </c>
      <c r="P7470" s="3" t="s">
        <v>88</v>
      </c>
      <c r="Q7470">
        <v>2016</v>
      </c>
      <c r="R7470" s="2">
        <v>42508</v>
      </c>
      <c r="S7470" s="2">
        <v>42510</v>
      </c>
      <c r="T7470" s="2">
        <v>42510</v>
      </c>
      <c r="U7470" s="2">
        <v>42570</v>
      </c>
      <c r="V7470" t="s">
        <v>71</v>
      </c>
      <c r="W7470" t="str">
        <f>"                0518"</f>
        <v xml:space="preserve">                0518</v>
      </c>
      <c r="X7470">
        <v>0</v>
      </c>
      <c r="Y7470">
        <v>122.85</v>
      </c>
      <c r="Z7470"/>
      <c r="AB7470"/>
      <c r="AC7470">
        <v>122.85</v>
      </c>
      <c r="AD7470">
        <v>-57</v>
      </c>
      <c r="AE7470" s="1">
        <v>-7002.45</v>
      </c>
      <c r="AF7470">
        <v>0</v>
      </c>
      <c r="AJ7470">
        <v>0</v>
      </c>
      <c r="AK7470">
        <v>0</v>
      </c>
      <c r="AL7470">
        <v>0</v>
      </c>
      <c r="AM7470">
        <v>122.85</v>
      </c>
      <c r="AN7470">
        <v>122.85</v>
      </c>
      <c r="AO7470">
        <v>122.85</v>
      </c>
      <c r="AP7470" s="2">
        <v>42746</v>
      </c>
      <c r="AQ7470" t="s">
        <v>72</v>
      </c>
      <c r="AR7470" t="s">
        <v>72</v>
      </c>
      <c r="AS7470">
        <v>1339</v>
      </c>
      <c r="AT7470" s="4">
        <v>42513</v>
      </c>
      <c r="AV7470">
        <v>1339</v>
      </c>
      <c r="AW7470" s="4">
        <v>42513</v>
      </c>
      <c r="BD7470">
        <v>0</v>
      </c>
      <c r="BN7470" t="s">
        <v>74</v>
      </c>
    </row>
    <row r="7471" spans="1:66" hidden="1">
      <c r="A7471">
        <v>104291</v>
      </c>
      <c r="B7471" s="3" t="s">
        <v>636</v>
      </c>
      <c r="C7471" s="1">
        <v>43500101</v>
      </c>
      <c r="D7471" t="s">
        <v>113</v>
      </c>
      <c r="H7471" t="str">
        <f t="shared" si="735"/>
        <v>05685311002</v>
      </c>
      <c r="I7471" t="str">
        <f t="shared" si="735"/>
        <v>05685311002</v>
      </c>
      <c r="K7471" t="str">
        <f>""</f>
        <v/>
      </c>
      <c r="M7471" t="s">
        <v>68</v>
      </c>
      <c r="N7471" t="str">
        <f t="shared" si="736"/>
        <v>ALTFIN</v>
      </c>
      <c r="O7471" t="s">
        <v>123</v>
      </c>
      <c r="P7471" s="3" t="s">
        <v>89</v>
      </c>
      <c r="Q7471">
        <v>2016</v>
      </c>
      <c r="R7471" s="2">
        <v>42548</v>
      </c>
      <c r="S7471" s="2">
        <v>42543</v>
      </c>
      <c r="T7471" s="2">
        <v>42543</v>
      </c>
      <c r="U7471" s="2">
        <v>42603</v>
      </c>
      <c r="V7471" t="s">
        <v>71</v>
      </c>
      <c r="W7471" t="str">
        <f>"                0627"</f>
        <v xml:space="preserve">                0627</v>
      </c>
      <c r="X7471">
        <v>0</v>
      </c>
      <c r="Y7471">
        <v>122.85</v>
      </c>
      <c r="Z7471"/>
      <c r="AB7471"/>
      <c r="AC7471">
        <v>122.85</v>
      </c>
      <c r="AD7471">
        <v>-47</v>
      </c>
      <c r="AE7471" s="1">
        <v>-5773.95</v>
      </c>
      <c r="AF7471">
        <v>0</v>
      </c>
      <c r="AJ7471">
        <v>0</v>
      </c>
      <c r="AK7471">
        <v>0</v>
      </c>
      <c r="AL7471">
        <v>0</v>
      </c>
      <c r="AM7471">
        <v>122.85</v>
      </c>
      <c r="AN7471">
        <v>122.85</v>
      </c>
      <c r="AO7471">
        <v>122.85</v>
      </c>
      <c r="AP7471" s="2">
        <v>42746</v>
      </c>
      <c r="AQ7471" t="s">
        <v>72</v>
      </c>
      <c r="AR7471" t="s">
        <v>72</v>
      </c>
      <c r="AS7471">
        <v>1722</v>
      </c>
      <c r="AT7471" s="4">
        <v>42556</v>
      </c>
      <c r="AV7471">
        <v>1722</v>
      </c>
      <c r="AW7471" s="4">
        <v>42556</v>
      </c>
      <c r="BD7471">
        <v>0</v>
      </c>
      <c r="BN7471" t="s">
        <v>74</v>
      </c>
    </row>
    <row r="7472" spans="1:66" hidden="1">
      <c r="A7472">
        <v>104291</v>
      </c>
      <c r="B7472" s="3" t="s">
        <v>636</v>
      </c>
      <c r="C7472" s="1">
        <v>43500101</v>
      </c>
      <c r="D7472" t="s">
        <v>113</v>
      </c>
      <c r="H7472" t="str">
        <f t="shared" si="735"/>
        <v>05685311002</v>
      </c>
      <c r="I7472" t="str">
        <f t="shared" si="735"/>
        <v>05685311002</v>
      </c>
      <c r="K7472" t="str">
        <f>""</f>
        <v/>
      </c>
      <c r="M7472" t="s">
        <v>68</v>
      </c>
      <c r="N7472" t="str">
        <f t="shared" si="736"/>
        <v>ALTFIN</v>
      </c>
      <c r="O7472" t="s">
        <v>123</v>
      </c>
      <c r="P7472" s="3" t="s">
        <v>90</v>
      </c>
      <c r="Q7472">
        <v>2016</v>
      </c>
      <c r="R7472" s="2">
        <v>42573</v>
      </c>
      <c r="S7472" s="2">
        <v>42573</v>
      </c>
      <c r="T7472" s="2">
        <v>42573</v>
      </c>
      <c r="U7472" s="2">
        <v>42633</v>
      </c>
      <c r="V7472" t="s">
        <v>71</v>
      </c>
      <c r="W7472" t="str">
        <f>"                0722"</f>
        <v xml:space="preserve">                0722</v>
      </c>
      <c r="X7472">
        <v>0</v>
      </c>
      <c r="Y7472">
        <v>122.85</v>
      </c>
      <c r="Z7472"/>
      <c r="AB7472"/>
      <c r="AC7472">
        <v>122.85</v>
      </c>
      <c r="AD7472">
        <v>-48</v>
      </c>
      <c r="AE7472" s="1">
        <v>-5896.8</v>
      </c>
      <c r="AF7472">
        <v>0</v>
      </c>
      <c r="AJ7472">
        <v>0</v>
      </c>
      <c r="AK7472">
        <v>0</v>
      </c>
      <c r="AL7472">
        <v>0</v>
      </c>
      <c r="AM7472">
        <v>122.85</v>
      </c>
      <c r="AN7472">
        <v>122.85</v>
      </c>
      <c r="AO7472">
        <v>122.85</v>
      </c>
      <c r="AP7472" s="2">
        <v>42746</v>
      </c>
      <c r="AQ7472" t="s">
        <v>72</v>
      </c>
      <c r="AR7472" t="s">
        <v>72</v>
      </c>
      <c r="AS7472">
        <v>2122</v>
      </c>
      <c r="AT7472" s="4">
        <v>42585</v>
      </c>
      <c r="AV7472">
        <v>2122</v>
      </c>
      <c r="AW7472" s="4">
        <v>42585</v>
      </c>
      <c r="BD7472">
        <v>0</v>
      </c>
      <c r="BN7472" t="s">
        <v>74</v>
      </c>
    </row>
    <row r="7473" spans="1:66" hidden="1">
      <c r="A7473">
        <v>104291</v>
      </c>
      <c r="B7473" s="3" t="s">
        <v>636</v>
      </c>
      <c r="C7473" s="1">
        <v>43500101</v>
      </c>
      <c r="D7473" t="s">
        <v>113</v>
      </c>
      <c r="H7473" t="str">
        <f t="shared" si="735"/>
        <v>05685311002</v>
      </c>
      <c r="I7473" t="str">
        <f t="shared" si="735"/>
        <v>05685311002</v>
      </c>
      <c r="K7473" t="str">
        <f>""</f>
        <v/>
      </c>
      <c r="M7473" t="s">
        <v>68</v>
      </c>
      <c r="N7473" t="str">
        <f t="shared" si="736"/>
        <v>ALTFIN</v>
      </c>
      <c r="O7473" t="s">
        <v>123</v>
      </c>
      <c r="P7473" s="3" t="s">
        <v>91</v>
      </c>
      <c r="Q7473">
        <v>2016</v>
      </c>
      <c r="R7473" s="2">
        <v>42592</v>
      </c>
      <c r="S7473" s="2">
        <v>42598</v>
      </c>
      <c r="T7473" s="2">
        <v>42598</v>
      </c>
      <c r="U7473" s="2">
        <v>42658</v>
      </c>
      <c r="V7473" t="s">
        <v>71</v>
      </c>
      <c r="W7473" t="str">
        <f>"                0810"</f>
        <v xml:space="preserve">                0810</v>
      </c>
      <c r="X7473">
        <v>0</v>
      </c>
      <c r="Y7473">
        <v>122.85</v>
      </c>
      <c r="Z7473"/>
      <c r="AB7473"/>
      <c r="AC7473">
        <v>122.85</v>
      </c>
      <c r="AD7473">
        <v>-60</v>
      </c>
      <c r="AE7473" s="1">
        <v>-7371</v>
      </c>
      <c r="AF7473">
        <v>0</v>
      </c>
      <c r="AJ7473">
        <v>0</v>
      </c>
      <c r="AK7473">
        <v>0</v>
      </c>
      <c r="AL7473">
        <v>0</v>
      </c>
      <c r="AM7473">
        <v>122.85</v>
      </c>
      <c r="AN7473">
        <v>122.85</v>
      </c>
      <c r="AO7473">
        <v>122.85</v>
      </c>
      <c r="AP7473" s="2">
        <v>42746</v>
      </c>
      <c r="AQ7473" t="s">
        <v>72</v>
      </c>
      <c r="AR7473" t="s">
        <v>72</v>
      </c>
      <c r="AS7473">
        <v>2204</v>
      </c>
      <c r="AT7473" s="4">
        <v>42598</v>
      </c>
      <c r="AV7473">
        <v>2204</v>
      </c>
      <c r="AW7473" s="4">
        <v>42598</v>
      </c>
      <c r="BD7473">
        <v>0</v>
      </c>
      <c r="BN7473" t="s">
        <v>74</v>
      </c>
    </row>
    <row r="7474" spans="1:66" hidden="1">
      <c r="A7474">
        <v>104291</v>
      </c>
      <c r="B7474" s="3" t="s">
        <v>636</v>
      </c>
      <c r="C7474" s="1">
        <v>43500101</v>
      </c>
      <c r="D7474" t="s">
        <v>113</v>
      </c>
      <c r="H7474" t="str">
        <f t="shared" si="735"/>
        <v>05685311002</v>
      </c>
      <c r="I7474" t="str">
        <f t="shared" si="735"/>
        <v>05685311002</v>
      </c>
      <c r="K7474" t="str">
        <f>""</f>
        <v/>
      </c>
      <c r="M7474" t="s">
        <v>68</v>
      </c>
      <c r="N7474" t="str">
        <f t="shared" si="736"/>
        <v>ALTFIN</v>
      </c>
      <c r="O7474" t="s">
        <v>123</v>
      </c>
      <c r="P7474" s="3" t="s">
        <v>92</v>
      </c>
      <c r="Q7474">
        <v>2016</v>
      </c>
      <c r="R7474" s="2">
        <v>42633</v>
      </c>
      <c r="S7474" s="2">
        <v>42634</v>
      </c>
      <c r="T7474" s="2">
        <v>42634</v>
      </c>
      <c r="U7474" s="2">
        <v>42694</v>
      </c>
      <c r="V7474" t="s">
        <v>71</v>
      </c>
      <c r="W7474" t="str">
        <f>"                0920"</f>
        <v xml:space="preserve">                0920</v>
      </c>
      <c r="X7474">
        <v>0</v>
      </c>
      <c r="Y7474">
        <v>122.85</v>
      </c>
      <c r="Z7474"/>
      <c r="AB7474"/>
      <c r="AC7474">
        <v>122.85</v>
      </c>
      <c r="AD7474">
        <v>-60</v>
      </c>
      <c r="AE7474" s="1">
        <v>-7371</v>
      </c>
      <c r="AF7474">
        <v>0</v>
      </c>
      <c r="AJ7474">
        <v>0</v>
      </c>
      <c r="AK7474">
        <v>0</v>
      </c>
      <c r="AL7474">
        <v>0</v>
      </c>
      <c r="AM7474">
        <v>122.85</v>
      </c>
      <c r="AN7474">
        <v>122.85</v>
      </c>
      <c r="AO7474">
        <v>122.85</v>
      </c>
      <c r="AP7474" s="2">
        <v>42746</v>
      </c>
      <c r="AQ7474" t="s">
        <v>72</v>
      </c>
      <c r="AR7474" t="s">
        <v>72</v>
      </c>
      <c r="AS7474">
        <v>2477</v>
      </c>
      <c r="AT7474" s="4">
        <v>42634</v>
      </c>
      <c r="AV7474">
        <v>2477</v>
      </c>
      <c r="AW7474" s="4">
        <v>42634</v>
      </c>
      <c r="BD7474">
        <v>0</v>
      </c>
      <c r="BN7474" t="s">
        <v>74</v>
      </c>
    </row>
    <row r="7475" spans="1:66" hidden="1">
      <c r="A7475">
        <v>104291</v>
      </c>
      <c r="B7475" s="3" t="s">
        <v>636</v>
      </c>
      <c r="C7475" s="1">
        <v>43500101</v>
      </c>
      <c r="D7475" t="s">
        <v>113</v>
      </c>
      <c r="H7475" t="str">
        <f t="shared" si="735"/>
        <v>05685311002</v>
      </c>
      <c r="I7475" t="str">
        <f t="shared" si="735"/>
        <v>05685311002</v>
      </c>
      <c r="K7475" t="str">
        <f>""</f>
        <v/>
      </c>
      <c r="M7475" t="s">
        <v>68</v>
      </c>
      <c r="N7475" t="str">
        <f t="shared" si="736"/>
        <v>ALTFIN</v>
      </c>
      <c r="O7475" t="s">
        <v>123</v>
      </c>
      <c r="P7475" s="3" t="s">
        <v>93</v>
      </c>
      <c r="Q7475">
        <v>2016</v>
      </c>
      <c r="R7475" s="2">
        <v>42664</v>
      </c>
      <c r="S7475" s="2">
        <v>42667</v>
      </c>
      <c r="T7475" s="2">
        <v>42667</v>
      </c>
      <c r="U7475" s="2">
        <v>42727</v>
      </c>
      <c r="V7475" t="s">
        <v>71</v>
      </c>
      <c r="W7475" t="str">
        <f>"                1021"</f>
        <v xml:space="preserve">                1021</v>
      </c>
      <c r="X7475">
        <v>0</v>
      </c>
      <c r="Y7475">
        <v>122.85</v>
      </c>
      <c r="Z7475" s="3">
        <v>122.85</v>
      </c>
      <c r="AA7475">
        <v>-60</v>
      </c>
      <c r="AB7475" s="5">
        <v>-7371</v>
      </c>
      <c r="AC7475">
        <v>122.85</v>
      </c>
      <c r="AD7475">
        <v>-60</v>
      </c>
      <c r="AE7475" s="1">
        <v>-7371</v>
      </c>
      <c r="AF7475">
        <v>0</v>
      </c>
      <c r="AJ7475">
        <v>122.85</v>
      </c>
      <c r="AK7475">
        <v>122.85</v>
      </c>
      <c r="AL7475">
        <v>122.85</v>
      </c>
      <c r="AM7475">
        <v>122.85</v>
      </c>
      <c r="AN7475">
        <v>122.85</v>
      </c>
      <c r="AO7475">
        <v>122.85</v>
      </c>
      <c r="AP7475" s="2">
        <v>42746</v>
      </c>
      <c r="AQ7475" t="s">
        <v>72</v>
      </c>
      <c r="AR7475" t="s">
        <v>72</v>
      </c>
      <c r="AS7475">
        <v>2825</v>
      </c>
      <c r="AT7475" s="4">
        <v>42667</v>
      </c>
      <c r="AV7475">
        <v>2825</v>
      </c>
      <c r="AW7475" s="4">
        <v>42667</v>
      </c>
      <c r="BD7475">
        <v>0</v>
      </c>
      <c r="BN7475" t="s">
        <v>74</v>
      </c>
    </row>
    <row r="7476" spans="1:66" hidden="1">
      <c r="A7476">
        <v>104291</v>
      </c>
      <c r="B7476" s="3" t="s">
        <v>636</v>
      </c>
      <c r="C7476" s="1">
        <v>43500101</v>
      </c>
      <c r="D7476" t="s">
        <v>113</v>
      </c>
      <c r="H7476" t="str">
        <f t="shared" si="735"/>
        <v>05685311002</v>
      </c>
      <c r="I7476" t="str">
        <f t="shared" si="735"/>
        <v>05685311002</v>
      </c>
      <c r="K7476" t="str">
        <f>""</f>
        <v/>
      </c>
      <c r="M7476" t="s">
        <v>68</v>
      </c>
      <c r="N7476" t="str">
        <f t="shared" si="736"/>
        <v>ALTFIN</v>
      </c>
      <c r="O7476" t="s">
        <v>123</v>
      </c>
      <c r="P7476" s="3" t="s">
        <v>94</v>
      </c>
      <c r="Q7476">
        <v>2016</v>
      </c>
      <c r="R7476" s="2">
        <v>42696</v>
      </c>
      <c r="S7476" s="2">
        <v>42696</v>
      </c>
      <c r="T7476" s="2">
        <v>42696</v>
      </c>
      <c r="U7476" s="2">
        <v>42756</v>
      </c>
      <c r="V7476" t="s">
        <v>71</v>
      </c>
      <c r="W7476" t="str">
        <f>"                1122"</f>
        <v xml:space="preserve">                1122</v>
      </c>
      <c r="X7476">
        <v>0</v>
      </c>
      <c r="Y7476">
        <v>122.85</v>
      </c>
      <c r="Z7476" s="3">
        <v>122.85</v>
      </c>
      <c r="AA7476">
        <v>-59</v>
      </c>
      <c r="AB7476" s="5">
        <v>-7248.15</v>
      </c>
      <c r="AC7476">
        <v>122.85</v>
      </c>
      <c r="AD7476">
        <v>-59</v>
      </c>
      <c r="AE7476" s="1">
        <v>-7248.15</v>
      </c>
      <c r="AF7476">
        <v>0</v>
      </c>
      <c r="AJ7476">
        <v>122.85</v>
      </c>
      <c r="AK7476">
        <v>122.85</v>
      </c>
      <c r="AL7476">
        <v>122.85</v>
      </c>
      <c r="AM7476">
        <v>122.85</v>
      </c>
      <c r="AN7476">
        <v>122.85</v>
      </c>
      <c r="AO7476">
        <v>122.85</v>
      </c>
      <c r="AP7476" s="2">
        <v>42746</v>
      </c>
      <c r="AQ7476" t="s">
        <v>72</v>
      </c>
      <c r="AR7476" t="s">
        <v>72</v>
      </c>
      <c r="AS7476">
        <v>3262</v>
      </c>
      <c r="AT7476" s="4">
        <v>42697</v>
      </c>
      <c r="AV7476">
        <v>3262</v>
      </c>
      <c r="AW7476" s="4">
        <v>42697</v>
      </c>
      <c r="BD7476">
        <v>0</v>
      </c>
      <c r="BN7476" t="s">
        <v>74</v>
      </c>
    </row>
    <row r="7477" spans="1:66" hidden="1">
      <c r="A7477">
        <v>104291</v>
      </c>
      <c r="B7477" s="3" t="s">
        <v>636</v>
      </c>
      <c r="C7477" s="1">
        <v>43500101</v>
      </c>
      <c r="D7477" t="s">
        <v>113</v>
      </c>
      <c r="H7477" t="str">
        <f t="shared" si="735"/>
        <v>05685311002</v>
      </c>
      <c r="I7477" t="str">
        <f t="shared" si="735"/>
        <v>05685311002</v>
      </c>
      <c r="K7477" t="str">
        <f>""</f>
        <v/>
      </c>
      <c r="M7477" t="s">
        <v>68</v>
      </c>
      <c r="N7477" t="str">
        <f t="shared" si="736"/>
        <v>ALTFIN</v>
      </c>
      <c r="O7477" t="s">
        <v>123</v>
      </c>
      <c r="P7477" s="3" t="s">
        <v>95</v>
      </c>
      <c r="Q7477">
        <v>2016</v>
      </c>
      <c r="R7477" s="2">
        <v>42717</v>
      </c>
      <c r="S7477" s="2">
        <v>42717</v>
      </c>
      <c r="T7477" s="2">
        <v>42717</v>
      </c>
      <c r="U7477" s="2">
        <v>42777</v>
      </c>
      <c r="V7477" t="s">
        <v>71</v>
      </c>
      <c r="W7477" t="str">
        <f>"                1213"</f>
        <v xml:space="preserve">                1213</v>
      </c>
      <c r="X7477">
        <v>0</v>
      </c>
      <c r="Y7477">
        <v>122.85</v>
      </c>
      <c r="Z7477" s="3">
        <v>122.85</v>
      </c>
      <c r="AA7477">
        <v>-59</v>
      </c>
      <c r="AB7477" s="5">
        <v>-7248.15</v>
      </c>
      <c r="AC7477">
        <v>122.85</v>
      </c>
      <c r="AD7477">
        <v>-59</v>
      </c>
      <c r="AE7477" s="1">
        <v>-7248.15</v>
      </c>
      <c r="AF7477">
        <v>0</v>
      </c>
      <c r="AJ7477">
        <v>122.85</v>
      </c>
      <c r="AK7477">
        <v>122.85</v>
      </c>
      <c r="AL7477">
        <v>122.85</v>
      </c>
      <c r="AM7477">
        <v>122.85</v>
      </c>
      <c r="AN7477">
        <v>122.85</v>
      </c>
      <c r="AO7477">
        <v>122.85</v>
      </c>
      <c r="AP7477" s="2">
        <v>42746</v>
      </c>
      <c r="AQ7477" t="s">
        <v>72</v>
      </c>
      <c r="AR7477" t="s">
        <v>72</v>
      </c>
      <c r="AS7477">
        <v>3420</v>
      </c>
      <c r="AT7477" s="4">
        <v>42718</v>
      </c>
      <c r="AV7477">
        <v>3420</v>
      </c>
      <c r="AW7477" s="4">
        <v>42718</v>
      </c>
      <c r="BD7477">
        <v>0</v>
      </c>
      <c r="BN7477" t="s">
        <v>74</v>
      </c>
    </row>
    <row r="7478" spans="1:66" hidden="1">
      <c r="A7478">
        <v>104292</v>
      </c>
      <c r="B7478" s="3" t="s">
        <v>637</v>
      </c>
      <c r="C7478" s="1">
        <v>43300101</v>
      </c>
      <c r="D7478" t="s">
        <v>67</v>
      </c>
      <c r="H7478" t="str">
        <f t="shared" ref="H7478:I7480" si="737">"04624161008"</f>
        <v>04624161008</v>
      </c>
      <c r="I7478" t="str">
        <f t="shared" si="737"/>
        <v>04624161008</v>
      </c>
      <c r="K7478" t="str">
        <f>""</f>
        <v/>
      </c>
      <c r="M7478" t="s">
        <v>68</v>
      </c>
      <c r="N7478" t="str">
        <f t="shared" ref="N7478:N7509" si="738">"FOR"</f>
        <v>FOR</v>
      </c>
      <c r="O7478" t="s">
        <v>69</v>
      </c>
      <c r="P7478" s="3" t="s">
        <v>75</v>
      </c>
      <c r="Q7478">
        <v>2015</v>
      </c>
      <c r="R7478" s="2">
        <v>42290</v>
      </c>
      <c r="S7478" s="2">
        <v>42299</v>
      </c>
      <c r="T7478" s="2">
        <v>42297</v>
      </c>
      <c r="U7478" s="2">
        <v>42357</v>
      </c>
      <c r="V7478" t="s">
        <v>71</v>
      </c>
      <c r="W7478" t="str">
        <f>"              589/15"</f>
        <v xml:space="preserve">              589/15</v>
      </c>
      <c r="X7478" s="1">
        <v>6661.2</v>
      </c>
      <c r="Y7478">
        <v>0</v>
      </c>
      <c r="Z7478"/>
      <c r="AB7478"/>
      <c r="AC7478" s="1">
        <v>5460</v>
      </c>
      <c r="AD7478">
        <v>263</v>
      </c>
      <c r="AE7478" s="1">
        <v>1435980</v>
      </c>
      <c r="AF7478">
        <v>0</v>
      </c>
      <c r="AJ7478">
        <v>0</v>
      </c>
      <c r="AK7478">
        <v>0</v>
      </c>
      <c r="AL7478">
        <v>0</v>
      </c>
      <c r="AM7478">
        <v>0</v>
      </c>
      <c r="AN7478">
        <v>0</v>
      </c>
      <c r="AO7478">
        <v>0</v>
      </c>
      <c r="AP7478" s="2">
        <v>42746</v>
      </c>
      <c r="AQ7478" t="s">
        <v>72</v>
      </c>
      <c r="AR7478" t="s">
        <v>72</v>
      </c>
      <c r="AS7478">
        <v>2331</v>
      </c>
      <c r="AT7478" s="4">
        <v>42620</v>
      </c>
      <c r="AU7478" t="s">
        <v>73</v>
      </c>
      <c r="AV7478">
        <v>2331</v>
      </c>
      <c r="AW7478" s="4">
        <v>42620</v>
      </c>
      <c r="BD7478">
        <v>0</v>
      </c>
      <c r="BN7478" t="s">
        <v>74</v>
      </c>
    </row>
    <row r="7479" spans="1:66" hidden="1">
      <c r="A7479">
        <v>104292</v>
      </c>
      <c r="B7479" s="3" t="s">
        <v>637</v>
      </c>
      <c r="C7479" s="1">
        <v>43300101</v>
      </c>
      <c r="D7479" t="s">
        <v>67</v>
      </c>
      <c r="H7479" t="str">
        <f t="shared" si="737"/>
        <v>04624161008</v>
      </c>
      <c r="I7479" t="str">
        <f t="shared" si="737"/>
        <v>04624161008</v>
      </c>
      <c r="K7479" t="str">
        <f>""</f>
        <v/>
      </c>
      <c r="M7479" t="s">
        <v>68</v>
      </c>
      <c r="N7479" t="str">
        <f t="shared" si="738"/>
        <v>FOR</v>
      </c>
      <c r="O7479" t="s">
        <v>69</v>
      </c>
      <c r="P7479" s="3" t="s">
        <v>75</v>
      </c>
      <c r="Q7479">
        <v>2015</v>
      </c>
      <c r="R7479" s="2">
        <v>42271</v>
      </c>
      <c r="S7479" s="2">
        <v>42272</v>
      </c>
      <c r="T7479" s="2">
        <v>42272</v>
      </c>
      <c r="U7479" s="2">
        <v>42332</v>
      </c>
      <c r="V7479" t="s">
        <v>71</v>
      </c>
      <c r="W7479" t="str">
        <f>"           000540/15"</f>
        <v xml:space="preserve">           000540/15</v>
      </c>
      <c r="X7479" s="1">
        <v>1701.9</v>
      </c>
      <c r="Y7479">
        <v>0</v>
      </c>
      <c r="Z7479"/>
      <c r="AB7479"/>
      <c r="AC7479" s="1">
        <v>1395</v>
      </c>
      <c r="AD7479">
        <v>288</v>
      </c>
      <c r="AE7479" s="1">
        <v>401760</v>
      </c>
      <c r="AF7479">
        <v>0</v>
      </c>
      <c r="AJ7479">
        <v>0</v>
      </c>
      <c r="AK7479">
        <v>0</v>
      </c>
      <c r="AL7479">
        <v>0</v>
      </c>
      <c r="AM7479">
        <v>0</v>
      </c>
      <c r="AN7479">
        <v>0</v>
      </c>
      <c r="AO7479">
        <v>0</v>
      </c>
      <c r="AP7479" s="2">
        <v>42746</v>
      </c>
      <c r="AQ7479" t="s">
        <v>72</v>
      </c>
      <c r="AR7479" t="s">
        <v>72</v>
      </c>
      <c r="AS7479">
        <v>2331</v>
      </c>
      <c r="AT7479" s="4">
        <v>42620</v>
      </c>
      <c r="AU7479" t="s">
        <v>73</v>
      </c>
      <c r="AV7479">
        <v>2331</v>
      </c>
      <c r="AW7479" s="4">
        <v>42620</v>
      </c>
      <c r="BD7479">
        <v>0</v>
      </c>
      <c r="BN7479" t="s">
        <v>74</v>
      </c>
    </row>
    <row r="7480" spans="1:66" hidden="1">
      <c r="A7480">
        <v>104292</v>
      </c>
      <c r="B7480" s="3" t="s">
        <v>637</v>
      </c>
      <c r="C7480" s="1">
        <v>43300101</v>
      </c>
      <c r="D7480" t="s">
        <v>67</v>
      </c>
      <c r="H7480" t="str">
        <f t="shared" si="737"/>
        <v>04624161008</v>
      </c>
      <c r="I7480" t="str">
        <f t="shared" si="737"/>
        <v>04624161008</v>
      </c>
      <c r="K7480" t="str">
        <f>""</f>
        <v/>
      </c>
      <c r="M7480" t="s">
        <v>68</v>
      </c>
      <c r="N7480" t="str">
        <f t="shared" si="738"/>
        <v>FOR</v>
      </c>
      <c r="O7480" t="s">
        <v>69</v>
      </c>
      <c r="P7480" s="3" t="s">
        <v>75</v>
      </c>
      <c r="Q7480">
        <v>2015</v>
      </c>
      <c r="R7480" s="2">
        <v>42282</v>
      </c>
      <c r="S7480" s="2">
        <v>42286</v>
      </c>
      <c r="T7480" s="2">
        <v>42283</v>
      </c>
      <c r="U7480" s="2">
        <v>42343</v>
      </c>
      <c r="V7480" t="s">
        <v>71</v>
      </c>
      <c r="W7480" t="str">
        <f>"           000573/15"</f>
        <v xml:space="preserve">           000573/15</v>
      </c>
      <c r="X7480" s="1">
        <v>3723.44</v>
      </c>
      <c r="Y7480">
        <v>0</v>
      </c>
      <c r="Z7480"/>
      <c r="AB7480"/>
      <c r="AC7480" s="1">
        <v>3052</v>
      </c>
      <c r="AD7480">
        <v>277</v>
      </c>
      <c r="AE7480" s="1">
        <v>845404</v>
      </c>
      <c r="AF7480">
        <v>0</v>
      </c>
      <c r="AJ7480">
        <v>0</v>
      </c>
      <c r="AK7480">
        <v>0</v>
      </c>
      <c r="AL7480">
        <v>0</v>
      </c>
      <c r="AM7480">
        <v>0</v>
      </c>
      <c r="AN7480">
        <v>0</v>
      </c>
      <c r="AO7480">
        <v>0</v>
      </c>
      <c r="AP7480" s="2">
        <v>42746</v>
      </c>
      <c r="AQ7480" t="s">
        <v>72</v>
      </c>
      <c r="AR7480" t="s">
        <v>72</v>
      </c>
      <c r="AS7480">
        <v>2331</v>
      </c>
      <c r="AT7480" s="4">
        <v>42620</v>
      </c>
      <c r="AU7480" t="s">
        <v>73</v>
      </c>
      <c r="AV7480">
        <v>2331</v>
      </c>
      <c r="AW7480" s="4">
        <v>42620</v>
      </c>
      <c r="BD7480">
        <v>0</v>
      </c>
      <c r="BN7480" t="s">
        <v>74</v>
      </c>
    </row>
    <row r="7481" spans="1:66" hidden="1">
      <c r="A7481">
        <v>104296</v>
      </c>
      <c r="B7481" s="3" t="s">
        <v>638</v>
      </c>
      <c r="C7481" s="1">
        <v>43300101</v>
      </c>
      <c r="D7481" t="s">
        <v>67</v>
      </c>
      <c r="H7481" t="str">
        <f t="shared" ref="H7481:H7513" si="739">"93027710016"</f>
        <v>93027710016</v>
      </c>
      <c r="I7481" t="str">
        <f t="shared" ref="I7481:I7513" si="740">"03663500969"</f>
        <v>03663500969</v>
      </c>
      <c r="K7481" t="str">
        <f>""</f>
        <v/>
      </c>
      <c r="M7481" t="s">
        <v>68</v>
      </c>
      <c r="N7481" t="str">
        <f t="shared" si="738"/>
        <v>FOR</v>
      </c>
      <c r="O7481" t="s">
        <v>69</v>
      </c>
      <c r="P7481" s="3" t="s">
        <v>75</v>
      </c>
      <c r="Q7481">
        <v>2015</v>
      </c>
      <c r="R7481" s="2">
        <v>42173</v>
      </c>
      <c r="S7481" s="2">
        <v>42265</v>
      </c>
      <c r="T7481" s="2">
        <v>42265</v>
      </c>
      <c r="U7481" s="2">
        <v>42325</v>
      </c>
      <c r="V7481" t="s">
        <v>71</v>
      </c>
      <c r="W7481" t="str">
        <f>"            15302376"</f>
        <v xml:space="preserve">            15302376</v>
      </c>
      <c r="X7481" s="1">
        <v>58527.01</v>
      </c>
      <c r="Y7481">
        <v>0</v>
      </c>
      <c r="Z7481"/>
      <c r="AB7481"/>
      <c r="AC7481" s="1">
        <v>47972.959999999999</v>
      </c>
      <c r="AD7481">
        <v>76</v>
      </c>
      <c r="AE7481" s="1">
        <v>3645944.96</v>
      </c>
      <c r="AF7481">
        <v>0</v>
      </c>
      <c r="AJ7481">
        <v>0</v>
      </c>
      <c r="AK7481">
        <v>0</v>
      </c>
      <c r="AL7481">
        <v>0</v>
      </c>
      <c r="AM7481">
        <v>0</v>
      </c>
      <c r="AN7481">
        <v>0</v>
      </c>
      <c r="AO7481">
        <v>0</v>
      </c>
      <c r="AP7481" s="2">
        <v>42746</v>
      </c>
      <c r="AQ7481" t="s">
        <v>72</v>
      </c>
      <c r="AR7481" t="s">
        <v>72</v>
      </c>
      <c r="AS7481">
        <v>176</v>
      </c>
      <c r="AT7481" s="4">
        <v>42401</v>
      </c>
      <c r="AU7481" t="s">
        <v>73</v>
      </c>
      <c r="AV7481">
        <v>176</v>
      </c>
      <c r="AW7481" s="4">
        <v>42401</v>
      </c>
      <c r="BD7481">
        <v>0</v>
      </c>
      <c r="BN7481" t="s">
        <v>74</v>
      </c>
    </row>
    <row r="7482" spans="1:66">
      <c r="A7482">
        <v>104296</v>
      </c>
      <c r="B7482" s="3" t="s">
        <v>638</v>
      </c>
      <c r="C7482" s="1">
        <v>43300101</v>
      </c>
      <c r="D7482" t="s">
        <v>67</v>
      </c>
      <c r="H7482" t="str">
        <f t="shared" si="739"/>
        <v>93027710016</v>
      </c>
      <c r="I7482" t="str">
        <f t="shared" si="740"/>
        <v>03663500969</v>
      </c>
      <c r="K7482" t="str">
        <f>""</f>
        <v/>
      </c>
      <c r="M7482" t="s">
        <v>68</v>
      </c>
      <c r="N7482" t="str">
        <f t="shared" si="738"/>
        <v>FOR</v>
      </c>
      <c r="O7482" t="s">
        <v>69</v>
      </c>
      <c r="P7482" s="3" t="s">
        <v>75</v>
      </c>
      <c r="Q7482">
        <v>2015</v>
      </c>
      <c r="R7482" s="2">
        <v>42349</v>
      </c>
      <c r="S7482" s="2">
        <v>42356</v>
      </c>
      <c r="T7482" s="2">
        <v>42352</v>
      </c>
      <c r="U7482" s="2">
        <v>42412</v>
      </c>
      <c r="V7482" t="s">
        <v>71</v>
      </c>
      <c r="W7482" t="str">
        <f>"            15304968"</f>
        <v xml:space="preserve">            15304968</v>
      </c>
      <c r="X7482" s="1">
        <v>2440</v>
      </c>
      <c r="Y7482">
        <v>0</v>
      </c>
      <c r="Z7482" s="5">
        <v>2000</v>
      </c>
      <c r="AA7482">
        <v>235</v>
      </c>
      <c r="AB7482" s="5">
        <v>470000</v>
      </c>
      <c r="AC7482" s="1">
        <v>2000</v>
      </c>
      <c r="AD7482">
        <v>235</v>
      </c>
      <c r="AE7482" s="1">
        <v>470000</v>
      </c>
      <c r="AF7482">
        <v>0</v>
      </c>
      <c r="AJ7482">
        <v>0</v>
      </c>
      <c r="AK7482">
        <v>0</v>
      </c>
      <c r="AL7482">
        <v>0</v>
      </c>
      <c r="AM7482">
        <v>0</v>
      </c>
      <c r="AN7482">
        <v>0</v>
      </c>
      <c r="AO7482">
        <v>0</v>
      </c>
      <c r="AP7482" s="2">
        <v>42746</v>
      </c>
      <c r="AQ7482" t="s">
        <v>72</v>
      </c>
      <c r="AR7482" t="s">
        <v>72</v>
      </c>
      <c r="AS7482">
        <v>2622</v>
      </c>
      <c r="AT7482" s="4">
        <v>42647</v>
      </c>
      <c r="AU7482" t="s">
        <v>73</v>
      </c>
      <c r="AV7482">
        <v>2622</v>
      </c>
      <c r="AW7482" s="4">
        <v>42647</v>
      </c>
      <c r="BD7482">
        <v>0</v>
      </c>
      <c r="BN7482" t="s">
        <v>74</v>
      </c>
    </row>
    <row r="7483" spans="1:66" hidden="1">
      <c r="A7483">
        <v>104296</v>
      </c>
      <c r="B7483" s="3" t="s">
        <v>638</v>
      </c>
      <c r="C7483" s="1">
        <v>43300101</v>
      </c>
      <c r="D7483" t="s">
        <v>67</v>
      </c>
      <c r="H7483" t="str">
        <f t="shared" si="739"/>
        <v>93027710016</v>
      </c>
      <c r="I7483" t="str">
        <f t="shared" si="740"/>
        <v>03663500969</v>
      </c>
      <c r="K7483" t="str">
        <f>""</f>
        <v/>
      </c>
      <c r="M7483" t="s">
        <v>68</v>
      </c>
      <c r="N7483" t="str">
        <f t="shared" si="738"/>
        <v>FOR</v>
      </c>
      <c r="O7483" t="s">
        <v>69</v>
      </c>
      <c r="P7483" s="3" t="s">
        <v>75</v>
      </c>
      <c r="Q7483">
        <v>2015</v>
      </c>
      <c r="R7483" s="2">
        <v>42167</v>
      </c>
      <c r="S7483" s="2">
        <v>42230</v>
      </c>
      <c r="T7483" s="2">
        <v>42226</v>
      </c>
      <c r="U7483" s="2">
        <v>42286</v>
      </c>
      <c r="V7483" t="s">
        <v>71</v>
      </c>
      <c r="W7483" t="str">
        <f>"            B2001081"</f>
        <v xml:space="preserve">            B2001081</v>
      </c>
      <c r="X7483" s="1">
        <v>16137.28</v>
      </c>
      <c r="Y7483">
        <v>0</v>
      </c>
      <c r="Z7483"/>
      <c r="AB7483"/>
      <c r="AC7483" s="1">
        <v>13227.28</v>
      </c>
      <c r="AD7483">
        <v>130</v>
      </c>
      <c r="AE7483" s="1">
        <v>1719546.4</v>
      </c>
      <c r="AF7483">
        <v>0</v>
      </c>
      <c r="AJ7483">
        <v>0</v>
      </c>
      <c r="AK7483">
        <v>0</v>
      </c>
      <c r="AL7483">
        <v>0</v>
      </c>
      <c r="AM7483">
        <v>0</v>
      </c>
      <c r="AN7483">
        <v>0</v>
      </c>
      <c r="AO7483">
        <v>0</v>
      </c>
      <c r="AP7483" s="2">
        <v>42746</v>
      </c>
      <c r="AQ7483" t="s">
        <v>72</v>
      </c>
      <c r="AR7483" t="s">
        <v>72</v>
      </c>
      <c r="AS7483">
        <v>453</v>
      </c>
      <c r="AT7483" s="4">
        <v>42416</v>
      </c>
      <c r="AU7483" t="s">
        <v>73</v>
      </c>
      <c r="AV7483">
        <v>453</v>
      </c>
      <c r="AW7483" s="4">
        <v>42416</v>
      </c>
      <c r="BD7483">
        <v>0</v>
      </c>
      <c r="BN7483" t="s">
        <v>74</v>
      </c>
    </row>
    <row r="7484" spans="1:66" hidden="1">
      <c r="A7484">
        <v>104296</v>
      </c>
      <c r="B7484" s="3" t="s">
        <v>638</v>
      </c>
      <c r="C7484" s="1">
        <v>43300101</v>
      </c>
      <c r="D7484" t="s">
        <v>67</v>
      </c>
      <c r="H7484" t="str">
        <f t="shared" si="739"/>
        <v>93027710016</v>
      </c>
      <c r="I7484" t="str">
        <f t="shared" si="740"/>
        <v>03663500969</v>
      </c>
      <c r="K7484" t="str">
        <f>""</f>
        <v/>
      </c>
      <c r="M7484" t="s">
        <v>68</v>
      </c>
      <c r="N7484" t="str">
        <f t="shared" si="738"/>
        <v>FOR</v>
      </c>
      <c r="O7484" t="s">
        <v>69</v>
      </c>
      <c r="P7484" s="3" t="s">
        <v>75</v>
      </c>
      <c r="Q7484">
        <v>2015</v>
      </c>
      <c r="R7484" s="2">
        <v>42208</v>
      </c>
      <c r="S7484" s="2">
        <v>42241</v>
      </c>
      <c r="T7484" s="2">
        <v>42237</v>
      </c>
      <c r="U7484" s="2">
        <v>42297</v>
      </c>
      <c r="V7484" t="s">
        <v>71</v>
      </c>
      <c r="W7484" t="str">
        <f>"            B2002001"</f>
        <v xml:space="preserve">            B2002001</v>
      </c>
      <c r="X7484" s="1">
        <v>49209.31</v>
      </c>
      <c r="Y7484">
        <v>0</v>
      </c>
      <c r="Z7484"/>
      <c r="AB7484"/>
      <c r="AC7484" s="1">
        <v>40335.5</v>
      </c>
      <c r="AD7484">
        <v>280</v>
      </c>
      <c r="AE7484" s="1">
        <v>11293940</v>
      </c>
      <c r="AF7484">
        <v>0</v>
      </c>
      <c r="AJ7484">
        <v>0</v>
      </c>
      <c r="AK7484">
        <v>0</v>
      </c>
      <c r="AL7484">
        <v>0</v>
      </c>
      <c r="AM7484">
        <v>0</v>
      </c>
      <c r="AN7484">
        <v>0</v>
      </c>
      <c r="AO7484">
        <v>0</v>
      </c>
      <c r="AP7484" s="2">
        <v>42746</v>
      </c>
      <c r="AQ7484" t="s">
        <v>72</v>
      </c>
      <c r="AR7484" t="s">
        <v>72</v>
      </c>
      <c r="AS7484">
        <v>1944</v>
      </c>
      <c r="AT7484" s="4">
        <v>42577</v>
      </c>
      <c r="AU7484" t="s">
        <v>73</v>
      </c>
      <c r="AV7484">
        <v>1944</v>
      </c>
      <c r="AW7484" s="4">
        <v>42577</v>
      </c>
      <c r="BD7484">
        <v>0</v>
      </c>
      <c r="BN7484" t="s">
        <v>74</v>
      </c>
    </row>
    <row r="7485" spans="1:66" hidden="1">
      <c r="A7485">
        <v>104296</v>
      </c>
      <c r="B7485" s="3" t="s">
        <v>638</v>
      </c>
      <c r="C7485" s="1">
        <v>43300101</v>
      </c>
      <c r="D7485" t="s">
        <v>67</v>
      </c>
      <c r="H7485" t="str">
        <f t="shared" si="739"/>
        <v>93027710016</v>
      </c>
      <c r="I7485" t="str">
        <f t="shared" si="740"/>
        <v>03663500969</v>
      </c>
      <c r="K7485" t="str">
        <f>""</f>
        <v/>
      </c>
      <c r="M7485" t="s">
        <v>68</v>
      </c>
      <c r="N7485" t="str">
        <f t="shared" si="738"/>
        <v>FOR</v>
      </c>
      <c r="O7485" t="s">
        <v>69</v>
      </c>
      <c r="P7485" s="3" t="s">
        <v>75</v>
      </c>
      <c r="Q7485">
        <v>2015</v>
      </c>
      <c r="R7485" s="2">
        <v>42208</v>
      </c>
      <c r="S7485" s="2">
        <v>42241</v>
      </c>
      <c r="T7485" s="2">
        <v>42237</v>
      </c>
      <c r="U7485" s="2">
        <v>42297</v>
      </c>
      <c r="V7485" t="s">
        <v>71</v>
      </c>
      <c r="W7485" t="str">
        <f>"            B2002002"</f>
        <v xml:space="preserve">            B2002002</v>
      </c>
      <c r="X7485" s="1">
        <v>49209.31</v>
      </c>
      <c r="Y7485">
        <v>0</v>
      </c>
      <c r="Z7485"/>
      <c r="AB7485"/>
      <c r="AC7485" s="1">
        <v>40335.5</v>
      </c>
      <c r="AD7485">
        <v>280</v>
      </c>
      <c r="AE7485" s="1">
        <v>11293940</v>
      </c>
      <c r="AF7485">
        <v>0</v>
      </c>
      <c r="AJ7485">
        <v>0</v>
      </c>
      <c r="AK7485">
        <v>0</v>
      </c>
      <c r="AL7485">
        <v>0</v>
      </c>
      <c r="AM7485">
        <v>0</v>
      </c>
      <c r="AN7485">
        <v>0</v>
      </c>
      <c r="AO7485">
        <v>0</v>
      </c>
      <c r="AP7485" s="2">
        <v>42746</v>
      </c>
      <c r="AQ7485" t="s">
        <v>72</v>
      </c>
      <c r="AR7485" t="s">
        <v>72</v>
      </c>
      <c r="AS7485">
        <v>1944</v>
      </c>
      <c r="AT7485" s="4">
        <v>42577</v>
      </c>
      <c r="AU7485" t="s">
        <v>73</v>
      </c>
      <c r="AV7485">
        <v>1944</v>
      </c>
      <c r="AW7485" s="4">
        <v>42577</v>
      </c>
      <c r="BD7485">
        <v>0</v>
      </c>
      <c r="BN7485" t="s">
        <v>74</v>
      </c>
    </row>
    <row r="7486" spans="1:66" hidden="1">
      <c r="A7486">
        <v>104296</v>
      </c>
      <c r="B7486" s="3" t="s">
        <v>638</v>
      </c>
      <c r="C7486" s="1">
        <v>43300101</v>
      </c>
      <c r="D7486" t="s">
        <v>67</v>
      </c>
      <c r="H7486" t="str">
        <f t="shared" si="739"/>
        <v>93027710016</v>
      </c>
      <c r="I7486" t="str">
        <f t="shared" si="740"/>
        <v>03663500969</v>
      </c>
      <c r="K7486" t="str">
        <f>""</f>
        <v/>
      </c>
      <c r="M7486" t="s">
        <v>68</v>
      </c>
      <c r="N7486" t="str">
        <f t="shared" si="738"/>
        <v>FOR</v>
      </c>
      <c r="O7486" t="s">
        <v>69</v>
      </c>
      <c r="P7486" s="3" t="s">
        <v>75</v>
      </c>
      <c r="Q7486">
        <v>2015</v>
      </c>
      <c r="R7486" s="2">
        <v>42254</v>
      </c>
      <c r="S7486" s="2">
        <v>42272</v>
      </c>
      <c r="T7486" s="2">
        <v>42270</v>
      </c>
      <c r="U7486" s="2">
        <v>42330</v>
      </c>
      <c r="V7486" t="s">
        <v>71</v>
      </c>
      <c r="W7486" t="str">
        <f>"            B2002157"</f>
        <v xml:space="preserve">            B2002157</v>
      </c>
      <c r="X7486">
        <v>796.39</v>
      </c>
      <c r="Y7486">
        <v>0</v>
      </c>
      <c r="Z7486"/>
      <c r="AB7486"/>
      <c r="AC7486">
        <v>652.78</v>
      </c>
      <c r="AD7486">
        <v>289</v>
      </c>
      <c r="AE7486" s="1">
        <v>188653.42</v>
      </c>
      <c r="AF7486">
        <v>0</v>
      </c>
      <c r="AJ7486">
        <v>0</v>
      </c>
      <c r="AK7486">
        <v>0</v>
      </c>
      <c r="AL7486">
        <v>0</v>
      </c>
      <c r="AM7486">
        <v>0</v>
      </c>
      <c r="AN7486">
        <v>0</v>
      </c>
      <c r="AO7486">
        <v>0</v>
      </c>
      <c r="AP7486" s="2">
        <v>42746</v>
      </c>
      <c r="AQ7486" t="s">
        <v>72</v>
      </c>
      <c r="AR7486" t="s">
        <v>72</v>
      </c>
      <c r="AS7486">
        <v>2290</v>
      </c>
      <c r="AT7486" s="4">
        <v>42619</v>
      </c>
      <c r="AU7486" t="s">
        <v>73</v>
      </c>
      <c r="AV7486">
        <v>2290</v>
      </c>
      <c r="AW7486" s="4">
        <v>42619</v>
      </c>
      <c r="BD7486">
        <v>0</v>
      </c>
      <c r="BN7486" t="s">
        <v>74</v>
      </c>
    </row>
    <row r="7487" spans="1:66" hidden="1">
      <c r="A7487">
        <v>104296</v>
      </c>
      <c r="B7487" s="3" t="s">
        <v>638</v>
      </c>
      <c r="C7487" s="1">
        <v>43300101</v>
      </c>
      <c r="D7487" t="s">
        <v>67</v>
      </c>
      <c r="H7487" t="str">
        <f t="shared" si="739"/>
        <v>93027710016</v>
      </c>
      <c r="I7487" t="str">
        <f t="shared" si="740"/>
        <v>03663500969</v>
      </c>
      <c r="K7487" t="str">
        <f>""</f>
        <v/>
      </c>
      <c r="M7487" t="s">
        <v>68</v>
      </c>
      <c r="N7487" t="str">
        <f t="shared" si="738"/>
        <v>FOR</v>
      </c>
      <c r="O7487" t="s">
        <v>69</v>
      </c>
      <c r="P7487" s="3" t="s">
        <v>75</v>
      </c>
      <c r="Q7487">
        <v>2015</v>
      </c>
      <c r="R7487" s="2">
        <v>42256</v>
      </c>
      <c r="S7487" s="2">
        <v>42272</v>
      </c>
      <c r="T7487" s="2">
        <v>42270</v>
      </c>
      <c r="U7487" s="2">
        <v>42330</v>
      </c>
      <c r="V7487" t="s">
        <v>71</v>
      </c>
      <c r="W7487" t="str">
        <f>"            B2002175"</f>
        <v xml:space="preserve">            B2002175</v>
      </c>
      <c r="X7487" s="1">
        <v>7320</v>
      </c>
      <c r="Y7487">
        <v>0</v>
      </c>
      <c r="Z7487"/>
      <c r="AB7487"/>
      <c r="AC7487" s="1">
        <v>6000</v>
      </c>
      <c r="AD7487">
        <v>289</v>
      </c>
      <c r="AE7487" s="1">
        <v>1734000</v>
      </c>
      <c r="AF7487">
        <v>0</v>
      </c>
      <c r="AJ7487">
        <v>0</v>
      </c>
      <c r="AK7487">
        <v>0</v>
      </c>
      <c r="AL7487">
        <v>0</v>
      </c>
      <c r="AM7487">
        <v>0</v>
      </c>
      <c r="AN7487">
        <v>0</v>
      </c>
      <c r="AO7487">
        <v>0</v>
      </c>
      <c r="AP7487" s="2">
        <v>42746</v>
      </c>
      <c r="AQ7487" t="s">
        <v>72</v>
      </c>
      <c r="AR7487" t="s">
        <v>72</v>
      </c>
      <c r="AS7487">
        <v>2290</v>
      </c>
      <c r="AT7487" s="4">
        <v>42619</v>
      </c>
      <c r="AU7487" t="s">
        <v>73</v>
      </c>
      <c r="AV7487">
        <v>2290</v>
      </c>
      <c r="AW7487" s="4">
        <v>42619</v>
      </c>
      <c r="BD7487">
        <v>0</v>
      </c>
      <c r="BN7487" t="s">
        <v>74</v>
      </c>
    </row>
    <row r="7488" spans="1:66" hidden="1">
      <c r="A7488">
        <v>104296</v>
      </c>
      <c r="B7488" s="3" t="s">
        <v>638</v>
      </c>
      <c r="C7488" s="1">
        <v>43300101</v>
      </c>
      <c r="D7488" t="s">
        <v>67</v>
      </c>
      <c r="H7488" t="str">
        <f t="shared" si="739"/>
        <v>93027710016</v>
      </c>
      <c r="I7488" t="str">
        <f t="shared" si="740"/>
        <v>03663500969</v>
      </c>
      <c r="K7488" t="str">
        <f>""</f>
        <v/>
      </c>
      <c r="M7488" t="s">
        <v>68</v>
      </c>
      <c r="N7488" t="str">
        <f t="shared" si="738"/>
        <v>FOR</v>
      </c>
      <c r="O7488" t="s">
        <v>69</v>
      </c>
      <c r="P7488" s="3" t="s">
        <v>75</v>
      </c>
      <c r="Q7488">
        <v>2015</v>
      </c>
      <c r="R7488" s="2">
        <v>42256</v>
      </c>
      <c r="S7488" s="2">
        <v>42272</v>
      </c>
      <c r="T7488" s="2">
        <v>42270</v>
      </c>
      <c r="U7488" s="2">
        <v>42330</v>
      </c>
      <c r="V7488" t="s">
        <v>71</v>
      </c>
      <c r="W7488" t="str">
        <f>"            B2002176"</f>
        <v xml:space="preserve">            B2002176</v>
      </c>
      <c r="X7488" s="1">
        <v>7320</v>
      </c>
      <c r="Y7488">
        <v>0</v>
      </c>
      <c r="Z7488"/>
      <c r="AB7488"/>
      <c r="AC7488" s="1">
        <v>6000</v>
      </c>
      <c r="AD7488">
        <v>289</v>
      </c>
      <c r="AE7488" s="1">
        <v>1734000</v>
      </c>
      <c r="AF7488">
        <v>0</v>
      </c>
      <c r="AJ7488">
        <v>0</v>
      </c>
      <c r="AK7488">
        <v>0</v>
      </c>
      <c r="AL7488">
        <v>0</v>
      </c>
      <c r="AM7488">
        <v>0</v>
      </c>
      <c r="AN7488">
        <v>0</v>
      </c>
      <c r="AO7488">
        <v>0</v>
      </c>
      <c r="AP7488" s="2">
        <v>42746</v>
      </c>
      <c r="AQ7488" t="s">
        <v>72</v>
      </c>
      <c r="AR7488" t="s">
        <v>72</v>
      </c>
      <c r="AS7488">
        <v>2290</v>
      </c>
      <c r="AT7488" s="4">
        <v>42619</v>
      </c>
      <c r="AU7488" t="s">
        <v>73</v>
      </c>
      <c r="AV7488">
        <v>2290</v>
      </c>
      <c r="AW7488" s="4">
        <v>42619</v>
      </c>
      <c r="BD7488">
        <v>0</v>
      </c>
      <c r="BN7488" t="s">
        <v>74</v>
      </c>
    </row>
    <row r="7489" spans="1:66" hidden="1">
      <c r="A7489">
        <v>104296</v>
      </c>
      <c r="B7489" s="3" t="s">
        <v>638</v>
      </c>
      <c r="C7489" s="1">
        <v>43300101</v>
      </c>
      <c r="D7489" t="s">
        <v>67</v>
      </c>
      <c r="H7489" t="str">
        <f t="shared" si="739"/>
        <v>93027710016</v>
      </c>
      <c r="I7489" t="str">
        <f t="shared" si="740"/>
        <v>03663500969</v>
      </c>
      <c r="K7489" t="str">
        <f>""</f>
        <v/>
      </c>
      <c r="M7489" t="s">
        <v>68</v>
      </c>
      <c r="N7489" t="str">
        <f t="shared" si="738"/>
        <v>FOR</v>
      </c>
      <c r="O7489" t="s">
        <v>69</v>
      </c>
      <c r="P7489" s="3" t="s">
        <v>75</v>
      </c>
      <c r="Q7489">
        <v>2015</v>
      </c>
      <c r="R7489" s="2">
        <v>42268</v>
      </c>
      <c r="S7489" s="2">
        <v>42282</v>
      </c>
      <c r="T7489" s="2">
        <v>42282</v>
      </c>
      <c r="U7489" s="2">
        <v>42342</v>
      </c>
      <c r="V7489" t="s">
        <v>71</v>
      </c>
      <c r="W7489" t="str">
        <f>"            B2002486"</f>
        <v xml:space="preserve">            B2002486</v>
      </c>
      <c r="X7489" s="1">
        <v>49209.31</v>
      </c>
      <c r="Y7489">
        <v>0</v>
      </c>
      <c r="Z7489"/>
      <c r="AB7489"/>
      <c r="AC7489" s="1">
        <v>40335.5</v>
      </c>
      <c r="AD7489">
        <v>277</v>
      </c>
      <c r="AE7489" s="1">
        <v>11172933.5</v>
      </c>
      <c r="AF7489">
        <v>0</v>
      </c>
      <c r="AJ7489">
        <v>0</v>
      </c>
      <c r="AK7489">
        <v>0</v>
      </c>
      <c r="AL7489">
        <v>0</v>
      </c>
      <c r="AM7489">
        <v>0</v>
      </c>
      <c r="AN7489">
        <v>0</v>
      </c>
      <c r="AO7489">
        <v>0</v>
      </c>
      <c r="AP7489" s="2">
        <v>42746</v>
      </c>
      <c r="AQ7489" t="s">
        <v>72</v>
      </c>
      <c r="AR7489" t="s">
        <v>72</v>
      </c>
      <c r="AS7489">
        <v>2290</v>
      </c>
      <c r="AT7489" s="4">
        <v>42619</v>
      </c>
      <c r="AU7489" t="s">
        <v>73</v>
      </c>
      <c r="AV7489">
        <v>2290</v>
      </c>
      <c r="AW7489" s="4">
        <v>42619</v>
      </c>
      <c r="BD7489">
        <v>0</v>
      </c>
      <c r="BN7489" t="s">
        <v>74</v>
      </c>
    </row>
    <row r="7490" spans="1:66" hidden="1">
      <c r="A7490">
        <v>104296</v>
      </c>
      <c r="B7490" s="3" t="s">
        <v>638</v>
      </c>
      <c r="C7490" s="1">
        <v>43300101</v>
      </c>
      <c r="D7490" t="s">
        <v>67</v>
      </c>
      <c r="H7490" t="str">
        <f t="shared" si="739"/>
        <v>93027710016</v>
      </c>
      <c r="I7490" t="str">
        <f t="shared" si="740"/>
        <v>03663500969</v>
      </c>
      <c r="K7490" t="str">
        <f>""</f>
        <v/>
      </c>
      <c r="M7490" t="s">
        <v>68</v>
      </c>
      <c r="N7490" t="str">
        <f t="shared" si="738"/>
        <v>FOR</v>
      </c>
      <c r="O7490" t="s">
        <v>69</v>
      </c>
      <c r="P7490" s="3" t="s">
        <v>75</v>
      </c>
      <c r="Q7490">
        <v>2015</v>
      </c>
      <c r="R7490" s="2">
        <v>42268</v>
      </c>
      <c r="S7490" s="2">
        <v>42282</v>
      </c>
      <c r="T7490" s="2">
        <v>42282</v>
      </c>
      <c r="U7490" s="2">
        <v>42342</v>
      </c>
      <c r="V7490" t="s">
        <v>71</v>
      </c>
      <c r="W7490" t="str">
        <f>"            B2002487"</f>
        <v xml:space="preserve">            B2002487</v>
      </c>
      <c r="X7490" s="1">
        <v>7320</v>
      </c>
      <c r="Y7490">
        <v>0</v>
      </c>
      <c r="Z7490"/>
      <c r="AB7490"/>
      <c r="AC7490" s="1">
        <v>6000</v>
      </c>
      <c r="AD7490">
        <v>277</v>
      </c>
      <c r="AE7490" s="1">
        <v>1662000</v>
      </c>
      <c r="AF7490">
        <v>0</v>
      </c>
      <c r="AJ7490">
        <v>0</v>
      </c>
      <c r="AK7490">
        <v>0</v>
      </c>
      <c r="AL7490">
        <v>0</v>
      </c>
      <c r="AM7490">
        <v>0</v>
      </c>
      <c r="AN7490">
        <v>0</v>
      </c>
      <c r="AO7490">
        <v>0</v>
      </c>
      <c r="AP7490" s="2">
        <v>42746</v>
      </c>
      <c r="AQ7490" t="s">
        <v>72</v>
      </c>
      <c r="AR7490" t="s">
        <v>72</v>
      </c>
      <c r="AS7490">
        <v>2290</v>
      </c>
      <c r="AT7490" s="4">
        <v>42619</v>
      </c>
      <c r="AU7490" t="s">
        <v>73</v>
      </c>
      <c r="AV7490">
        <v>2290</v>
      </c>
      <c r="AW7490" s="4">
        <v>42619</v>
      </c>
      <c r="BD7490">
        <v>0</v>
      </c>
      <c r="BN7490" t="s">
        <v>74</v>
      </c>
    </row>
    <row r="7491" spans="1:66" hidden="1">
      <c r="A7491">
        <v>104296</v>
      </c>
      <c r="B7491" s="3" t="s">
        <v>638</v>
      </c>
      <c r="C7491" s="1">
        <v>43300101</v>
      </c>
      <c r="D7491" t="s">
        <v>67</v>
      </c>
      <c r="H7491" t="str">
        <f t="shared" si="739"/>
        <v>93027710016</v>
      </c>
      <c r="I7491" t="str">
        <f t="shared" si="740"/>
        <v>03663500969</v>
      </c>
      <c r="K7491" t="str">
        <f>""</f>
        <v/>
      </c>
      <c r="M7491" t="s">
        <v>68</v>
      </c>
      <c r="N7491" t="str">
        <f t="shared" si="738"/>
        <v>FOR</v>
      </c>
      <c r="O7491" t="s">
        <v>69</v>
      </c>
      <c r="P7491" s="3" t="s">
        <v>75</v>
      </c>
      <c r="Q7491">
        <v>2015</v>
      </c>
      <c r="R7491" s="2">
        <v>42270</v>
      </c>
      <c r="S7491" s="2">
        <v>42289</v>
      </c>
      <c r="T7491" s="2">
        <v>42286</v>
      </c>
      <c r="U7491" s="2">
        <v>42346</v>
      </c>
      <c r="V7491" t="s">
        <v>71</v>
      </c>
      <c r="W7491" t="str">
        <f>"            B2002782"</f>
        <v xml:space="preserve">            B2002782</v>
      </c>
      <c r="X7491" s="1">
        <v>3980.64</v>
      </c>
      <c r="Y7491">
        <v>0</v>
      </c>
      <c r="Z7491"/>
      <c r="AB7491"/>
      <c r="AC7491" s="1">
        <v>3262.82</v>
      </c>
      <c r="AD7491">
        <v>273</v>
      </c>
      <c r="AE7491" s="1">
        <v>890749.86</v>
      </c>
      <c r="AF7491">
        <v>0</v>
      </c>
      <c r="AJ7491">
        <v>0</v>
      </c>
      <c r="AK7491">
        <v>0</v>
      </c>
      <c r="AL7491">
        <v>0</v>
      </c>
      <c r="AM7491">
        <v>0</v>
      </c>
      <c r="AN7491">
        <v>0</v>
      </c>
      <c r="AO7491">
        <v>0</v>
      </c>
      <c r="AP7491" s="2">
        <v>42746</v>
      </c>
      <c r="AQ7491" t="s">
        <v>72</v>
      </c>
      <c r="AR7491" t="s">
        <v>72</v>
      </c>
      <c r="AS7491">
        <v>2290</v>
      </c>
      <c r="AT7491" s="4">
        <v>42619</v>
      </c>
      <c r="AU7491" t="s">
        <v>73</v>
      </c>
      <c r="AV7491">
        <v>2290</v>
      </c>
      <c r="AW7491" s="4">
        <v>42619</v>
      </c>
      <c r="BD7491">
        <v>0</v>
      </c>
      <c r="BN7491" t="s">
        <v>74</v>
      </c>
    </row>
    <row r="7492" spans="1:66">
      <c r="A7492">
        <v>104296</v>
      </c>
      <c r="B7492" s="3" t="s">
        <v>638</v>
      </c>
      <c r="C7492" s="1">
        <v>43300101</v>
      </c>
      <c r="D7492" t="s">
        <v>67</v>
      </c>
      <c r="H7492" t="str">
        <f t="shared" si="739"/>
        <v>93027710016</v>
      </c>
      <c r="I7492" t="str">
        <f t="shared" si="740"/>
        <v>03663500969</v>
      </c>
      <c r="K7492" t="str">
        <f>""</f>
        <v/>
      </c>
      <c r="M7492" t="s">
        <v>68</v>
      </c>
      <c r="N7492" t="str">
        <f t="shared" si="738"/>
        <v>FOR</v>
      </c>
      <c r="O7492" t="s">
        <v>69</v>
      </c>
      <c r="P7492" s="3" t="s">
        <v>70</v>
      </c>
      <c r="Q7492">
        <v>2015</v>
      </c>
      <c r="R7492" s="2">
        <v>42352</v>
      </c>
      <c r="S7492" s="2">
        <v>42508</v>
      </c>
      <c r="T7492" s="2">
        <v>42508</v>
      </c>
      <c r="U7492" s="2">
        <v>42568</v>
      </c>
      <c r="V7492" t="s">
        <v>71</v>
      </c>
      <c r="W7492" t="str">
        <f>"            B2003391"</f>
        <v xml:space="preserve">            B2003391</v>
      </c>
      <c r="X7492" s="1">
        <v>18980.759999999998</v>
      </c>
      <c r="Y7492">
        <v>0</v>
      </c>
      <c r="Z7492" s="5">
        <v>15558</v>
      </c>
      <c r="AA7492">
        <v>157</v>
      </c>
      <c r="AB7492" s="5">
        <v>2442606</v>
      </c>
      <c r="AC7492" s="1">
        <v>15558</v>
      </c>
      <c r="AD7492">
        <v>157</v>
      </c>
      <c r="AE7492" s="1">
        <v>2442606</v>
      </c>
      <c r="AF7492" s="1">
        <v>3422.76</v>
      </c>
      <c r="AJ7492">
        <v>0</v>
      </c>
      <c r="AK7492">
        <v>0</v>
      </c>
      <c r="AL7492">
        <v>0</v>
      </c>
      <c r="AM7492">
        <v>0</v>
      </c>
      <c r="AN7492" s="1">
        <v>18980.759999999998</v>
      </c>
      <c r="AO7492">
        <v>0</v>
      </c>
      <c r="AP7492" s="2">
        <v>42746</v>
      </c>
      <c r="AQ7492" t="s">
        <v>72</v>
      </c>
      <c r="AR7492" t="s">
        <v>72</v>
      </c>
      <c r="AS7492">
        <v>3659</v>
      </c>
      <c r="AT7492" s="4">
        <v>42725</v>
      </c>
      <c r="AU7492" t="s">
        <v>73</v>
      </c>
      <c r="AV7492">
        <v>3659</v>
      </c>
      <c r="AW7492" s="4">
        <v>42725</v>
      </c>
      <c r="BC7492" s="1">
        <v>3422.76</v>
      </c>
      <c r="BD7492">
        <v>0</v>
      </c>
      <c r="BN7492" t="s">
        <v>74</v>
      </c>
    </row>
    <row r="7493" spans="1:66">
      <c r="A7493">
        <v>104296</v>
      </c>
      <c r="B7493" s="3" t="s">
        <v>638</v>
      </c>
      <c r="C7493" s="1">
        <v>43300101</v>
      </c>
      <c r="D7493" t="s">
        <v>67</v>
      </c>
      <c r="H7493" t="str">
        <f t="shared" si="739"/>
        <v>93027710016</v>
      </c>
      <c r="I7493" t="str">
        <f t="shared" si="740"/>
        <v>03663500969</v>
      </c>
      <c r="K7493" t="str">
        <f>""</f>
        <v/>
      </c>
      <c r="M7493" t="s">
        <v>68</v>
      </c>
      <c r="N7493" t="str">
        <f t="shared" si="738"/>
        <v>FOR</v>
      </c>
      <c r="O7493" t="s">
        <v>69</v>
      </c>
      <c r="P7493" s="3" t="s">
        <v>70</v>
      </c>
      <c r="Q7493">
        <v>2015</v>
      </c>
      <c r="R7493" s="2">
        <v>42353</v>
      </c>
      <c r="S7493" s="2">
        <v>42508</v>
      </c>
      <c r="T7493" s="2">
        <v>42508</v>
      </c>
      <c r="U7493" s="2">
        <v>42568</v>
      </c>
      <c r="V7493" t="s">
        <v>71</v>
      </c>
      <c r="W7493" t="str">
        <f>"            B2003424"</f>
        <v xml:space="preserve">            B2003424</v>
      </c>
      <c r="X7493" s="1">
        <v>18980.759999999998</v>
      </c>
      <c r="Y7493">
        <v>0</v>
      </c>
      <c r="Z7493" s="5">
        <v>15558</v>
      </c>
      <c r="AA7493">
        <v>157</v>
      </c>
      <c r="AB7493" s="5">
        <v>2442606</v>
      </c>
      <c r="AC7493" s="1">
        <v>15558</v>
      </c>
      <c r="AD7493">
        <v>157</v>
      </c>
      <c r="AE7493" s="1">
        <v>2442606</v>
      </c>
      <c r="AF7493" s="1">
        <v>3422.76</v>
      </c>
      <c r="AJ7493">
        <v>0</v>
      </c>
      <c r="AK7493">
        <v>0</v>
      </c>
      <c r="AL7493">
        <v>0</v>
      </c>
      <c r="AM7493">
        <v>0</v>
      </c>
      <c r="AN7493" s="1">
        <v>18980.759999999998</v>
      </c>
      <c r="AO7493">
        <v>0</v>
      </c>
      <c r="AP7493" s="2">
        <v>42746</v>
      </c>
      <c r="AQ7493" t="s">
        <v>72</v>
      </c>
      <c r="AR7493" t="s">
        <v>72</v>
      </c>
      <c r="AS7493">
        <v>3659</v>
      </c>
      <c r="AT7493" s="4">
        <v>42725</v>
      </c>
      <c r="AU7493" t="s">
        <v>73</v>
      </c>
      <c r="AV7493">
        <v>3659</v>
      </c>
      <c r="AW7493" s="4">
        <v>42725</v>
      </c>
      <c r="BC7493" s="1">
        <v>3422.76</v>
      </c>
      <c r="BD7493">
        <v>0</v>
      </c>
      <c r="BN7493" t="s">
        <v>74</v>
      </c>
    </row>
    <row r="7494" spans="1:66">
      <c r="A7494">
        <v>104296</v>
      </c>
      <c r="B7494" s="3" t="s">
        <v>638</v>
      </c>
      <c r="C7494" s="1">
        <v>43300101</v>
      </c>
      <c r="D7494" t="s">
        <v>67</v>
      </c>
      <c r="H7494" t="str">
        <f t="shared" si="739"/>
        <v>93027710016</v>
      </c>
      <c r="I7494" t="str">
        <f t="shared" si="740"/>
        <v>03663500969</v>
      </c>
      <c r="K7494" t="str">
        <f>""</f>
        <v/>
      </c>
      <c r="M7494" t="s">
        <v>68</v>
      </c>
      <c r="N7494" t="str">
        <f t="shared" si="738"/>
        <v>FOR</v>
      </c>
      <c r="O7494" t="s">
        <v>69</v>
      </c>
      <c r="P7494" s="3" t="s">
        <v>70</v>
      </c>
      <c r="Q7494">
        <v>2015</v>
      </c>
      <c r="R7494" s="2">
        <v>42356</v>
      </c>
      <c r="S7494" s="2">
        <v>42508</v>
      </c>
      <c r="T7494" s="2">
        <v>42508</v>
      </c>
      <c r="U7494" s="2">
        <v>42568</v>
      </c>
      <c r="V7494" t="s">
        <v>71</v>
      </c>
      <c r="W7494" t="str">
        <f>"            B2003483"</f>
        <v xml:space="preserve">            B2003483</v>
      </c>
      <c r="X7494" s="1">
        <v>18691.689999999999</v>
      </c>
      <c r="Y7494">
        <v>0</v>
      </c>
      <c r="Z7494" s="5">
        <v>15321.06</v>
      </c>
      <c r="AA7494">
        <v>157</v>
      </c>
      <c r="AB7494" s="5">
        <v>2405406.42</v>
      </c>
      <c r="AC7494" s="1">
        <v>15321.06</v>
      </c>
      <c r="AD7494">
        <v>157</v>
      </c>
      <c r="AE7494" s="1">
        <v>2405406.42</v>
      </c>
      <c r="AF7494" s="1">
        <v>3370.63</v>
      </c>
      <c r="AJ7494">
        <v>0</v>
      </c>
      <c r="AK7494">
        <v>0</v>
      </c>
      <c r="AL7494">
        <v>0</v>
      </c>
      <c r="AM7494">
        <v>0</v>
      </c>
      <c r="AN7494" s="1">
        <v>18691.689999999999</v>
      </c>
      <c r="AO7494">
        <v>0</v>
      </c>
      <c r="AP7494" s="2">
        <v>42746</v>
      </c>
      <c r="AQ7494" t="s">
        <v>72</v>
      </c>
      <c r="AR7494" t="s">
        <v>72</v>
      </c>
      <c r="AS7494">
        <v>3659</v>
      </c>
      <c r="AT7494" s="4">
        <v>42725</v>
      </c>
      <c r="AU7494" t="s">
        <v>73</v>
      </c>
      <c r="AV7494">
        <v>3659</v>
      </c>
      <c r="AW7494" s="4">
        <v>42725</v>
      </c>
      <c r="BC7494" s="1">
        <v>3370.63</v>
      </c>
      <c r="BD7494">
        <v>0</v>
      </c>
      <c r="BN7494" t="s">
        <v>74</v>
      </c>
    </row>
    <row r="7495" spans="1:66">
      <c r="A7495">
        <v>104296</v>
      </c>
      <c r="B7495" s="3" t="s">
        <v>638</v>
      </c>
      <c r="C7495" s="1">
        <v>43300101</v>
      </c>
      <c r="D7495" t="s">
        <v>67</v>
      </c>
      <c r="H7495" t="str">
        <f t="shared" si="739"/>
        <v>93027710016</v>
      </c>
      <c r="I7495" t="str">
        <f t="shared" si="740"/>
        <v>03663500969</v>
      </c>
      <c r="K7495" t="str">
        <f>""</f>
        <v/>
      </c>
      <c r="M7495" t="s">
        <v>68</v>
      </c>
      <c r="N7495" t="str">
        <f t="shared" si="738"/>
        <v>FOR</v>
      </c>
      <c r="O7495" t="s">
        <v>69</v>
      </c>
      <c r="P7495" s="3" t="s">
        <v>70</v>
      </c>
      <c r="Q7495">
        <v>2015</v>
      </c>
      <c r="R7495" s="2">
        <v>42356</v>
      </c>
      <c r="S7495" s="2">
        <v>42508</v>
      </c>
      <c r="T7495" s="2">
        <v>42508</v>
      </c>
      <c r="U7495" s="2">
        <v>42568</v>
      </c>
      <c r="V7495" t="s">
        <v>71</v>
      </c>
      <c r="W7495" t="str">
        <f>"            B2003484"</f>
        <v xml:space="preserve">            B2003484</v>
      </c>
      <c r="X7495" s="1">
        <v>18691.689999999999</v>
      </c>
      <c r="Y7495">
        <v>0</v>
      </c>
      <c r="Z7495" s="5">
        <v>15321.06</v>
      </c>
      <c r="AA7495">
        <v>157</v>
      </c>
      <c r="AB7495" s="5">
        <v>2405406.42</v>
      </c>
      <c r="AC7495" s="1">
        <v>15321.06</v>
      </c>
      <c r="AD7495">
        <v>157</v>
      </c>
      <c r="AE7495" s="1">
        <v>2405406.42</v>
      </c>
      <c r="AF7495" s="1">
        <v>3370.63</v>
      </c>
      <c r="AJ7495">
        <v>0</v>
      </c>
      <c r="AK7495">
        <v>0</v>
      </c>
      <c r="AL7495">
        <v>0</v>
      </c>
      <c r="AM7495">
        <v>0</v>
      </c>
      <c r="AN7495" s="1">
        <v>18691.689999999999</v>
      </c>
      <c r="AO7495">
        <v>0</v>
      </c>
      <c r="AP7495" s="2">
        <v>42746</v>
      </c>
      <c r="AQ7495" t="s">
        <v>72</v>
      </c>
      <c r="AR7495" t="s">
        <v>72</v>
      </c>
      <c r="AS7495">
        <v>3659</v>
      </c>
      <c r="AT7495" s="4">
        <v>42725</v>
      </c>
      <c r="AU7495" t="s">
        <v>73</v>
      </c>
      <c r="AV7495">
        <v>3659</v>
      </c>
      <c r="AW7495" s="4">
        <v>42725</v>
      </c>
      <c r="BC7495" s="1">
        <v>3370.63</v>
      </c>
      <c r="BD7495">
        <v>0</v>
      </c>
      <c r="BN7495" t="s">
        <v>74</v>
      </c>
    </row>
    <row r="7496" spans="1:66">
      <c r="A7496">
        <v>104296</v>
      </c>
      <c r="B7496" s="3" t="s">
        <v>638</v>
      </c>
      <c r="C7496" s="1">
        <v>43300101</v>
      </c>
      <c r="D7496" t="s">
        <v>67</v>
      </c>
      <c r="H7496" t="str">
        <f t="shared" si="739"/>
        <v>93027710016</v>
      </c>
      <c r="I7496" t="str">
        <f t="shared" si="740"/>
        <v>03663500969</v>
      </c>
      <c r="K7496" t="str">
        <f>""</f>
        <v/>
      </c>
      <c r="M7496" t="s">
        <v>68</v>
      </c>
      <c r="N7496" t="str">
        <f t="shared" si="738"/>
        <v>FOR</v>
      </c>
      <c r="O7496" t="s">
        <v>69</v>
      </c>
      <c r="P7496" s="3" t="s">
        <v>70</v>
      </c>
      <c r="Q7496">
        <v>2015</v>
      </c>
      <c r="R7496" s="2">
        <v>42356</v>
      </c>
      <c r="S7496" s="2">
        <v>42508</v>
      </c>
      <c r="T7496" s="2">
        <v>42508</v>
      </c>
      <c r="U7496" s="2">
        <v>42568</v>
      </c>
      <c r="V7496" t="s">
        <v>71</v>
      </c>
      <c r="W7496" t="str">
        <f>"            B2003485"</f>
        <v xml:space="preserve">            B2003485</v>
      </c>
      <c r="X7496" s="1">
        <v>18691.689999999999</v>
      </c>
      <c r="Y7496">
        <v>0</v>
      </c>
      <c r="Z7496" s="5">
        <v>15321.06</v>
      </c>
      <c r="AA7496">
        <v>157</v>
      </c>
      <c r="AB7496" s="5">
        <v>2405406.42</v>
      </c>
      <c r="AC7496" s="1">
        <v>15321.06</v>
      </c>
      <c r="AD7496">
        <v>157</v>
      </c>
      <c r="AE7496" s="1">
        <v>2405406.42</v>
      </c>
      <c r="AF7496" s="1">
        <v>3370.63</v>
      </c>
      <c r="AJ7496">
        <v>0</v>
      </c>
      <c r="AK7496">
        <v>0</v>
      </c>
      <c r="AL7496">
        <v>0</v>
      </c>
      <c r="AM7496">
        <v>0</v>
      </c>
      <c r="AN7496" s="1">
        <v>18691.689999999999</v>
      </c>
      <c r="AO7496">
        <v>0</v>
      </c>
      <c r="AP7496" s="2">
        <v>42746</v>
      </c>
      <c r="AQ7496" t="s">
        <v>72</v>
      </c>
      <c r="AR7496" t="s">
        <v>72</v>
      </c>
      <c r="AS7496">
        <v>3659</v>
      </c>
      <c r="AT7496" s="4">
        <v>42725</v>
      </c>
      <c r="AU7496" t="s">
        <v>73</v>
      </c>
      <c r="AV7496">
        <v>3659</v>
      </c>
      <c r="AW7496" s="4">
        <v>42725</v>
      </c>
      <c r="BC7496" s="1">
        <v>3370.63</v>
      </c>
      <c r="BD7496">
        <v>0</v>
      </c>
      <c r="BN7496" t="s">
        <v>74</v>
      </c>
    </row>
    <row r="7497" spans="1:66">
      <c r="A7497">
        <v>104296</v>
      </c>
      <c r="B7497" s="3" t="s">
        <v>638</v>
      </c>
      <c r="C7497" s="1">
        <v>43300101</v>
      </c>
      <c r="D7497" t="s">
        <v>67</v>
      </c>
      <c r="H7497" t="str">
        <f t="shared" si="739"/>
        <v>93027710016</v>
      </c>
      <c r="I7497" t="str">
        <f t="shared" si="740"/>
        <v>03663500969</v>
      </c>
      <c r="K7497" t="str">
        <f>""</f>
        <v/>
      </c>
      <c r="M7497" t="s">
        <v>68</v>
      </c>
      <c r="N7497" t="str">
        <f t="shared" si="738"/>
        <v>FOR</v>
      </c>
      <c r="O7497" t="s">
        <v>69</v>
      </c>
      <c r="P7497" s="3" t="s">
        <v>75</v>
      </c>
      <c r="Q7497">
        <v>2015</v>
      </c>
      <c r="R7497" s="2">
        <v>42359</v>
      </c>
      <c r="S7497" s="2">
        <v>42368</v>
      </c>
      <c r="T7497" s="2">
        <v>42368</v>
      </c>
      <c r="U7497" s="2">
        <v>42428</v>
      </c>
      <c r="V7497" t="s">
        <v>71</v>
      </c>
      <c r="W7497" t="str">
        <f>"            B2003770"</f>
        <v xml:space="preserve">            B2003770</v>
      </c>
      <c r="X7497" s="1">
        <v>49209.31</v>
      </c>
      <c r="Y7497">
        <v>0</v>
      </c>
      <c r="Z7497" s="5">
        <v>40335.5</v>
      </c>
      <c r="AA7497">
        <v>219</v>
      </c>
      <c r="AB7497" s="5">
        <v>8833474.5</v>
      </c>
      <c r="AC7497" s="1">
        <v>40335.5</v>
      </c>
      <c r="AD7497">
        <v>219</v>
      </c>
      <c r="AE7497" s="1">
        <v>8833474.5</v>
      </c>
      <c r="AF7497">
        <v>0</v>
      </c>
      <c r="AJ7497">
        <v>0</v>
      </c>
      <c r="AK7497">
        <v>0</v>
      </c>
      <c r="AL7497">
        <v>0</v>
      </c>
      <c r="AM7497">
        <v>0</v>
      </c>
      <c r="AN7497">
        <v>0</v>
      </c>
      <c r="AO7497">
        <v>0</v>
      </c>
      <c r="AP7497" s="2">
        <v>42746</v>
      </c>
      <c r="AQ7497" t="s">
        <v>72</v>
      </c>
      <c r="AR7497" t="s">
        <v>72</v>
      </c>
      <c r="AS7497">
        <v>2622</v>
      </c>
      <c r="AT7497" s="4">
        <v>42647</v>
      </c>
      <c r="AU7497" t="s">
        <v>73</v>
      </c>
      <c r="AV7497">
        <v>2622</v>
      </c>
      <c r="AW7497" s="4">
        <v>42647</v>
      </c>
      <c r="BD7497">
        <v>0</v>
      </c>
      <c r="BN7497" t="s">
        <v>74</v>
      </c>
    </row>
    <row r="7498" spans="1:66">
      <c r="A7498">
        <v>104296</v>
      </c>
      <c r="B7498" s="3" t="s">
        <v>638</v>
      </c>
      <c r="C7498" s="1">
        <v>43300101</v>
      </c>
      <c r="D7498" t="s">
        <v>67</v>
      </c>
      <c r="H7498" t="str">
        <f t="shared" si="739"/>
        <v>93027710016</v>
      </c>
      <c r="I7498" t="str">
        <f t="shared" si="740"/>
        <v>03663500969</v>
      </c>
      <c r="K7498" t="str">
        <f>""</f>
        <v/>
      </c>
      <c r="M7498" t="s">
        <v>68</v>
      </c>
      <c r="N7498" t="str">
        <f t="shared" si="738"/>
        <v>FOR</v>
      </c>
      <c r="O7498" t="s">
        <v>69</v>
      </c>
      <c r="P7498" s="3" t="s">
        <v>75</v>
      </c>
      <c r="Q7498">
        <v>2015</v>
      </c>
      <c r="R7498" s="2">
        <v>42359</v>
      </c>
      <c r="S7498" s="2">
        <v>42368</v>
      </c>
      <c r="T7498" s="2">
        <v>42368</v>
      </c>
      <c r="U7498" s="2">
        <v>42428</v>
      </c>
      <c r="V7498" t="s">
        <v>71</v>
      </c>
      <c r="W7498" t="str">
        <f>"            B2003771"</f>
        <v xml:space="preserve">            B2003771</v>
      </c>
      <c r="X7498" s="1">
        <v>7320</v>
      </c>
      <c r="Y7498">
        <v>0</v>
      </c>
      <c r="Z7498" s="5">
        <v>6000</v>
      </c>
      <c r="AA7498">
        <v>219</v>
      </c>
      <c r="AB7498" s="5">
        <v>1314000</v>
      </c>
      <c r="AC7498" s="1">
        <v>6000</v>
      </c>
      <c r="AD7498">
        <v>219</v>
      </c>
      <c r="AE7498" s="1">
        <v>1314000</v>
      </c>
      <c r="AF7498">
        <v>0</v>
      </c>
      <c r="AJ7498">
        <v>0</v>
      </c>
      <c r="AK7498">
        <v>0</v>
      </c>
      <c r="AL7498">
        <v>0</v>
      </c>
      <c r="AM7498">
        <v>0</v>
      </c>
      <c r="AN7498">
        <v>0</v>
      </c>
      <c r="AO7498">
        <v>0</v>
      </c>
      <c r="AP7498" s="2">
        <v>42746</v>
      </c>
      <c r="AQ7498" t="s">
        <v>72</v>
      </c>
      <c r="AR7498" t="s">
        <v>72</v>
      </c>
      <c r="AS7498">
        <v>2622</v>
      </c>
      <c r="AT7498" s="4">
        <v>42647</v>
      </c>
      <c r="AU7498" t="s">
        <v>73</v>
      </c>
      <c r="AV7498">
        <v>2622</v>
      </c>
      <c r="AW7498" s="4">
        <v>42647</v>
      </c>
      <c r="BD7498">
        <v>0</v>
      </c>
      <c r="BN7498" t="s">
        <v>74</v>
      </c>
    </row>
    <row r="7499" spans="1:66">
      <c r="A7499">
        <v>104296</v>
      </c>
      <c r="B7499" s="3" t="s">
        <v>638</v>
      </c>
      <c r="C7499" s="1">
        <v>43300101</v>
      </c>
      <c r="D7499" t="s">
        <v>67</v>
      </c>
      <c r="H7499" t="str">
        <f t="shared" si="739"/>
        <v>93027710016</v>
      </c>
      <c r="I7499" t="str">
        <f t="shared" si="740"/>
        <v>03663500969</v>
      </c>
      <c r="K7499" t="str">
        <f>""</f>
        <v/>
      </c>
      <c r="M7499" t="s">
        <v>68</v>
      </c>
      <c r="N7499" t="str">
        <f t="shared" si="738"/>
        <v>FOR</v>
      </c>
      <c r="O7499" t="s">
        <v>69</v>
      </c>
      <c r="P7499" s="3" t="s">
        <v>75</v>
      </c>
      <c r="Q7499">
        <v>2015</v>
      </c>
      <c r="R7499" s="2">
        <v>42359</v>
      </c>
      <c r="S7499" s="2">
        <v>42432</v>
      </c>
      <c r="T7499" s="2">
        <v>42417</v>
      </c>
      <c r="U7499" s="2">
        <v>42477</v>
      </c>
      <c r="V7499" t="s">
        <v>71</v>
      </c>
      <c r="W7499" t="str">
        <f>"            B2003775"</f>
        <v xml:space="preserve">            B2003775</v>
      </c>
      <c r="X7499" s="1">
        <v>18691.689999999999</v>
      </c>
      <c r="Y7499">
        <v>0</v>
      </c>
      <c r="Z7499" s="5">
        <v>15321.06</v>
      </c>
      <c r="AA7499">
        <v>248</v>
      </c>
      <c r="AB7499" s="5">
        <v>3799622.88</v>
      </c>
      <c r="AC7499" s="1">
        <v>15321.06</v>
      </c>
      <c r="AD7499">
        <v>248</v>
      </c>
      <c r="AE7499" s="1">
        <v>3799622.88</v>
      </c>
      <c r="AF7499" s="1">
        <v>3370.63</v>
      </c>
      <c r="AJ7499">
        <v>0</v>
      </c>
      <c r="AK7499">
        <v>0</v>
      </c>
      <c r="AL7499">
        <v>0</v>
      </c>
      <c r="AM7499">
        <v>0</v>
      </c>
      <c r="AN7499" s="1">
        <v>18691.689999999999</v>
      </c>
      <c r="AO7499">
        <v>0</v>
      </c>
      <c r="AP7499" s="2">
        <v>42746</v>
      </c>
      <c r="AQ7499" t="s">
        <v>72</v>
      </c>
      <c r="AR7499" t="s">
        <v>72</v>
      </c>
      <c r="AS7499">
        <v>3659</v>
      </c>
      <c r="AT7499" s="4">
        <v>42725</v>
      </c>
      <c r="AU7499" t="s">
        <v>73</v>
      </c>
      <c r="AV7499">
        <v>3659</v>
      </c>
      <c r="AW7499" s="4">
        <v>42725</v>
      </c>
      <c r="BD7499" s="1">
        <v>3370.63</v>
      </c>
      <c r="BN7499" t="s">
        <v>74</v>
      </c>
    </row>
    <row r="7500" spans="1:66">
      <c r="A7500">
        <v>104296</v>
      </c>
      <c r="B7500" s="3" t="s">
        <v>638</v>
      </c>
      <c r="C7500" s="1">
        <v>43300101</v>
      </c>
      <c r="D7500" t="s">
        <v>67</v>
      </c>
      <c r="H7500" t="str">
        <f t="shared" si="739"/>
        <v>93027710016</v>
      </c>
      <c r="I7500" t="str">
        <f t="shared" si="740"/>
        <v>03663500969</v>
      </c>
      <c r="K7500" t="str">
        <f>""</f>
        <v/>
      </c>
      <c r="M7500" t="s">
        <v>68</v>
      </c>
      <c r="N7500" t="str">
        <f t="shared" si="738"/>
        <v>FOR</v>
      </c>
      <c r="O7500" t="s">
        <v>69</v>
      </c>
      <c r="P7500" s="3" t="s">
        <v>75</v>
      </c>
      <c r="Q7500">
        <v>2015</v>
      </c>
      <c r="R7500" s="2">
        <v>42359</v>
      </c>
      <c r="S7500" s="2">
        <v>42432</v>
      </c>
      <c r="T7500" s="2">
        <v>42417</v>
      </c>
      <c r="U7500" s="2">
        <v>42477</v>
      </c>
      <c r="V7500" t="s">
        <v>71</v>
      </c>
      <c r="W7500" t="str">
        <f>"            B2003776"</f>
        <v xml:space="preserve">            B2003776</v>
      </c>
      <c r="X7500" s="1">
        <v>18691.689999999999</v>
      </c>
      <c r="Y7500">
        <v>0</v>
      </c>
      <c r="Z7500" s="5">
        <v>15321.06</v>
      </c>
      <c r="AA7500">
        <v>248</v>
      </c>
      <c r="AB7500" s="5">
        <v>3799622.88</v>
      </c>
      <c r="AC7500" s="1">
        <v>15321.06</v>
      </c>
      <c r="AD7500">
        <v>248</v>
      </c>
      <c r="AE7500" s="1">
        <v>3799622.88</v>
      </c>
      <c r="AF7500" s="1">
        <v>3370.63</v>
      </c>
      <c r="AJ7500">
        <v>0</v>
      </c>
      <c r="AK7500">
        <v>0</v>
      </c>
      <c r="AL7500">
        <v>0</v>
      </c>
      <c r="AM7500">
        <v>0</v>
      </c>
      <c r="AN7500" s="1">
        <v>18691.689999999999</v>
      </c>
      <c r="AO7500">
        <v>0</v>
      </c>
      <c r="AP7500" s="2">
        <v>42746</v>
      </c>
      <c r="AQ7500" t="s">
        <v>72</v>
      </c>
      <c r="AR7500" t="s">
        <v>72</v>
      </c>
      <c r="AS7500">
        <v>3659</v>
      </c>
      <c r="AT7500" s="4">
        <v>42725</v>
      </c>
      <c r="AU7500" t="s">
        <v>73</v>
      </c>
      <c r="AV7500">
        <v>3659</v>
      </c>
      <c r="AW7500" s="4">
        <v>42725</v>
      </c>
      <c r="BD7500" s="1">
        <v>3370.63</v>
      </c>
      <c r="BN7500" t="s">
        <v>74</v>
      </c>
    </row>
    <row r="7501" spans="1:66">
      <c r="A7501">
        <v>104296</v>
      </c>
      <c r="B7501" s="3" t="s">
        <v>638</v>
      </c>
      <c r="C7501" s="1">
        <v>43300101</v>
      </c>
      <c r="D7501" t="s">
        <v>67</v>
      </c>
      <c r="H7501" t="str">
        <f t="shared" si="739"/>
        <v>93027710016</v>
      </c>
      <c r="I7501" t="str">
        <f t="shared" si="740"/>
        <v>03663500969</v>
      </c>
      <c r="K7501" t="str">
        <f>""</f>
        <v/>
      </c>
      <c r="M7501" t="s">
        <v>68</v>
      </c>
      <c r="N7501" t="str">
        <f t="shared" si="738"/>
        <v>FOR</v>
      </c>
      <c r="O7501" t="s">
        <v>69</v>
      </c>
      <c r="P7501" s="3" t="s">
        <v>75</v>
      </c>
      <c r="Q7501">
        <v>2015</v>
      </c>
      <c r="R7501" s="2">
        <v>42359</v>
      </c>
      <c r="S7501" s="2">
        <v>42432</v>
      </c>
      <c r="T7501" s="2">
        <v>42417</v>
      </c>
      <c r="U7501" s="2">
        <v>42477</v>
      </c>
      <c r="V7501" t="s">
        <v>71</v>
      </c>
      <c r="W7501" t="str">
        <f>"            B2003777"</f>
        <v xml:space="preserve">            B2003777</v>
      </c>
      <c r="X7501" s="1">
        <v>18691.689999999999</v>
      </c>
      <c r="Y7501">
        <v>0</v>
      </c>
      <c r="Z7501" s="5">
        <v>15321.06</v>
      </c>
      <c r="AA7501">
        <v>248</v>
      </c>
      <c r="AB7501" s="5">
        <v>3799622.88</v>
      </c>
      <c r="AC7501" s="1">
        <v>15321.06</v>
      </c>
      <c r="AD7501">
        <v>248</v>
      </c>
      <c r="AE7501" s="1">
        <v>3799622.88</v>
      </c>
      <c r="AF7501" s="1">
        <v>3370.63</v>
      </c>
      <c r="AJ7501">
        <v>0</v>
      </c>
      <c r="AK7501">
        <v>0</v>
      </c>
      <c r="AL7501">
        <v>0</v>
      </c>
      <c r="AM7501">
        <v>0</v>
      </c>
      <c r="AN7501" s="1">
        <v>18691.689999999999</v>
      </c>
      <c r="AO7501">
        <v>0</v>
      </c>
      <c r="AP7501" s="2">
        <v>42746</v>
      </c>
      <c r="AQ7501" t="s">
        <v>72</v>
      </c>
      <c r="AR7501" t="s">
        <v>72</v>
      </c>
      <c r="AS7501">
        <v>3659</v>
      </c>
      <c r="AT7501" s="4">
        <v>42725</v>
      </c>
      <c r="AU7501" t="s">
        <v>73</v>
      </c>
      <c r="AV7501">
        <v>3659</v>
      </c>
      <c r="AW7501" s="4">
        <v>42725</v>
      </c>
      <c r="BD7501" s="1">
        <v>3370.63</v>
      </c>
      <c r="BN7501" t="s">
        <v>74</v>
      </c>
    </row>
    <row r="7502" spans="1:66">
      <c r="A7502">
        <v>104296</v>
      </c>
      <c r="B7502" s="3" t="s">
        <v>638</v>
      </c>
      <c r="C7502" s="1">
        <v>43300101</v>
      </c>
      <c r="D7502" t="s">
        <v>67</v>
      </c>
      <c r="H7502" t="str">
        <f t="shared" si="739"/>
        <v>93027710016</v>
      </c>
      <c r="I7502" t="str">
        <f t="shared" si="740"/>
        <v>03663500969</v>
      </c>
      <c r="K7502" t="str">
        <f>""</f>
        <v/>
      </c>
      <c r="M7502" t="s">
        <v>68</v>
      </c>
      <c r="N7502" t="str">
        <f t="shared" si="738"/>
        <v>FOR</v>
      </c>
      <c r="O7502" t="s">
        <v>69</v>
      </c>
      <c r="P7502" s="3" t="s">
        <v>75</v>
      </c>
      <c r="Q7502">
        <v>2015</v>
      </c>
      <c r="R7502" s="2">
        <v>42360</v>
      </c>
      <c r="S7502" s="2">
        <v>42432</v>
      </c>
      <c r="T7502" s="2">
        <v>42417</v>
      </c>
      <c r="U7502" s="2">
        <v>42477</v>
      </c>
      <c r="V7502" t="s">
        <v>71</v>
      </c>
      <c r="W7502" t="str">
        <f>"            B2004073"</f>
        <v xml:space="preserve">            B2004073</v>
      </c>
      <c r="X7502" s="1">
        <v>18691.689999999999</v>
      </c>
      <c r="Y7502">
        <v>0</v>
      </c>
      <c r="Z7502" s="5">
        <v>15321.06</v>
      </c>
      <c r="AA7502">
        <v>248</v>
      </c>
      <c r="AB7502" s="5">
        <v>3799622.88</v>
      </c>
      <c r="AC7502" s="1">
        <v>15321.06</v>
      </c>
      <c r="AD7502">
        <v>248</v>
      </c>
      <c r="AE7502" s="1">
        <v>3799622.88</v>
      </c>
      <c r="AF7502" s="1">
        <v>3370.63</v>
      </c>
      <c r="AJ7502">
        <v>0</v>
      </c>
      <c r="AK7502">
        <v>0</v>
      </c>
      <c r="AL7502">
        <v>0</v>
      </c>
      <c r="AM7502">
        <v>0</v>
      </c>
      <c r="AN7502" s="1">
        <v>18691.689999999999</v>
      </c>
      <c r="AO7502">
        <v>0</v>
      </c>
      <c r="AP7502" s="2">
        <v>42746</v>
      </c>
      <c r="AQ7502" t="s">
        <v>72</v>
      </c>
      <c r="AR7502" t="s">
        <v>72</v>
      </c>
      <c r="AS7502">
        <v>3659</v>
      </c>
      <c r="AT7502" s="4">
        <v>42725</v>
      </c>
      <c r="AU7502" t="s">
        <v>73</v>
      </c>
      <c r="AV7502">
        <v>3659</v>
      </c>
      <c r="AW7502" s="4">
        <v>42725</v>
      </c>
      <c r="BD7502" s="1">
        <v>3370.63</v>
      </c>
      <c r="BN7502" t="s">
        <v>74</v>
      </c>
    </row>
    <row r="7503" spans="1:66">
      <c r="A7503">
        <v>104296</v>
      </c>
      <c r="B7503" s="3" t="s">
        <v>638</v>
      </c>
      <c r="C7503" s="1">
        <v>43300101</v>
      </c>
      <c r="D7503" t="s">
        <v>67</v>
      </c>
      <c r="H7503" t="str">
        <f t="shared" si="739"/>
        <v>93027710016</v>
      </c>
      <c r="I7503" t="str">
        <f t="shared" si="740"/>
        <v>03663500969</v>
      </c>
      <c r="K7503" t="str">
        <f>""</f>
        <v/>
      </c>
      <c r="M7503" t="s">
        <v>68</v>
      </c>
      <c r="N7503" t="str">
        <f t="shared" si="738"/>
        <v>FOR</v>
      </c>
      <c r="O7503" t="s">
        <v>69</v>
      </c>
      <c r="P7503" s="3" t="s">
        <v>75</v>
      </c>
      <c r="Q7503">
        <v>2015</v>
      </c>
      <c r="R7503" s="2">
        <v>42360</v>
      </c>
      <c r="S7503" s="2">
        <v>42432</v>
      </c>
      <c r="T7503" s="2">
        <v>42417</v>
      </c>
      <c r="U7503" s="2">
        <v>42477</v>
      </c>
      <c r="V7503" t="s">
        <v>71</v>
      </c>
      <c r="W7503" t="str">
        <f>"            B2004074"</f>
        <v xml:space="preserve">            B2004074</v>
      </c>
      <c r="X7503" s="1">
        <v>18691.689999999999</v>
      </c>
      <c r="Y7503">
        <v>0</v>
      </c>
      <c r="Z7503" s="5">
        <v>15321.06</v>
      </c>
      <c r="AA7503">
        <v>248</v>
      </c>
      <c r="AB7503" s="5">
        <v>3799622.88</v>
      </c>
      <c r="AC7503" s="1">
        <v>15321.06</v>
      </c>
      <c r="AD7503">
        <v>248</v>
      </c>
      <c r="AE7503" s="1">
        <v>3799622.88</v>
      </c>
      <c r="AF7503" s="1">
        <v>3370.63</v>
      </c>
      <c r="AJ7503">
        <v>0</v>
      </c>
      <c r="AK7503">
        <v>0</v>
      </c>
      <c r="AL7503">
        <v>0</v>
      </c>
      <c r="AM7503">
        <v>0</v>
      </c>
      <c r="AN7503" s="1">
        <v>18691.689999999999</v>
      </c>
      <c r="AO7503">
        <v>0</v>
      </c>
      <c r="AP7503" s="2">
        <v>42746</v>
      </c>
      <c r="AQ7503" t="s">
        <v>72</v>
      </c>
      <c r="AR7503" t="s">
        <v>72</v>
      </c>
      <c r="AS7503">
        <v>3659</v>
      </c>
      <c r="AT7503" s="4">
        <v>42725</v>
      </c>
      <c r="AU7503" t="s">
        <v>73</v>
      </c>
      <c r="AV7503">
        <v>3659</v>
      </c>
      <c r="AW7503" s="4">
        <v>42725</v>
      </c>
      <c r="BD7503" s="1">
        <v>3370.63</v>
      </c>
      <c r="BN7503" t="s">
        <v>74</v>
      </c>
    </row>
    <row r="7504" spans="1:66">
      <c r="A7504">
        <v>104296</v>
      </c>
      <c r="B7504" s="3" t="s">
        <v>638</v>
      </c>
      <c r="C7504" s="1">
        <v>43300101</v>
      </c>
      <c r="D7504" t="s">
        <v>67</v>
      </c>
      <c r="H7504" t="str">
        <f t="shared" si="739"/>
        <v>93027710016</v>
      </c>
      <c r="I7504" t="str">
        <f t="shared" si="740"/>
        <v>03663500969</v>
      </c>
      <c r="K7504" t="str">
        <f>""</f>
        <v/>
      </c>
      <c r="M7504" t="s">
        <v>68</v>
      </c>
      <c r="N7504" t="str">
        <f t="shared" si="738"/>
        <v>FOR</v>
      </c>
      <c r="O7504" t="s">
        <v>69</v>
      </c>
      <c r="P7504" s="3" t="s">
        <v>75</v>
      </c>
      <c r="Q7504">
        <v>2015</v>
      </c>
      <c r="R7504" s="2">
        <v>42360</v>
      </c>
      <c r="S7504" s="2">
        <v>42432</v>
      </c>
      <c r="T7504" s="2">
        <v>42417</v>
      </c>
      <c r="U7504" s="2">
        <v>42477</v>
      </c>
      <c r="V7504" t="s">
        <v>71</v>
      </c>
      <c r="W7504" t="str">
        <f>"            B2004075"</f>
        <v xml:space="preserve">            B2004075</v>
      </c>
      <c r="X7504" s="1">
        <v>18691.689999999999</v>
      </c>
      <c r="Y7504">
        <v>0</v>
      </c>
      <c r="Z7504" s="5">
        <v>15321.06</v>
      </c>
      <c r="AA7504">
        <v>248</v>
      </c>
      <c r="AB7504" s="5">
        <v>3799622.88</v>
      </c>
      <c r="AC7504" s="1">
        <v>15321.06</v>
      </c>
      <c r="AD7504">
        <v>248</v>
      </c>
      <c r="AE7504" s="1">
        <v>3799622.88</v>
      </c>
      <c r="AF7504" s="1">
        <v>3370.63</v>
      </c>
      <c r="AJ7504">
        <v>0</v>
      </c>
      <c r="AK7504">
        <v>0</v>
      </c>
      <c r="AL7504">
        <v>0</v>
      </c>
      <c r="AM7504">
        <v>0</v>
      </c>
      <c r="AN7504" s="1">
        <v>18691.689999999999</v>
      </c>
      <c r="AO7504">
        <v>0</v>
      </c>
      <c r="AP7504" s="2">
        <v>42746</v>
      </c>
      <c r="AQ7504" t="s">
        <v>72</v>
      </c>
      <c r="AR7504" t="s">
        <v>72</v>
      </c>
      <c r="AS7504">
        <v>3659</v>
      </c>
      <c r="AT7504" s="4">
        <v>42725</v>
      </c>
      <c r="AU7504" t="s">
        <v>73</v>
      </c>
      <c r="AV7504">
        <v>3659</v>
      </c>
      <c r="AW7504" s="4">
        <v>42725</v>
      </c>
      <c r="BD7504" s="1">
        <v>3370.63</v>
      </c>
      <c r="BN7504" t="s">
        <v>74</v>
      </c>
    </row>
    <row r="7505" spans="1:66">
      <c r="A7505">
        <v>104296</v>
      </c>
      <c r="B7505" s="3" t="s">
        <v>638</v>
      </c>
      <c r="C7505" s="1">
        <v>43300101</v>
      </c>
      <c r="D7505" t="s">
        <v>67</v>
      </c>
      <c r="H7505" t="str">
        <f t="shared" si="739"/>
        <v>93027710016</v>
      </c>
      <c r="I7505" t="str">
        <f t="shared" si="740"/>
        <v>03663500969</v>
      </c>
      <c r="K7505" t="str">
        <f>""</f>
        <v/>
      </c>
      <c r="M7505" t="s">
        <v>68</v>
      </c>
      <c r="N7505" t="str">
        <f t="shared" si="738"/>
        <v>FOR</v>
      </c>
      <c r="O7505" t="s">
        <v>69</v>
      </c>
      <c r="P7505" s="3" t="s">
        <v>75</v>
      </c>
      <c r="Q7505">
        <v>2015</v>
      </c>
      <c r="R7505" s="2">
        <v>42361</v>
      </c>
      <c r="S7505" s="2">
        <v>42432</v>
      </c>
      <c r="T7505" s="2">
        <v>42417</v>
      </c>
      <c r="U7505" s="2">
        <v>42477</v>
      </c>
      <c r="V7505" t="s">
        <v>71</v>
      </c>
      <c r="W7505" t="str">
        <f>"            B2004100"</f>
        <v xml:space="preserve">            B2004100</v>
      </c>
      <c r="X7505" s="1">
        <v>11213.48</v>
      </c>
      <c r="Y7505">
        <v>0</v>
      </c>
      <c r="Z7505" s="5">
        <v>9191.3799999999992</v>
      </c>
      <c r="AA7505">
        <v>248</v>
      </c>
      <c r="AB7505" s="5">
        <v>2279462.2400000002</v>
      </c>
      <c r="AC7505" s="1">
        <v>9191.3799999999992</v>
      </c>
      <c r="AD7505">
        <v>248</v>
      </c>
      <c r="AE7505" s="1">
        <v>2279462.2400000002</v>
      </c>
      <c r="AF7505" s="1">
        <v>2022.1</v>
      </c>
      <c r="AJ7505">
        <v>0</v>
      </c>
      <c r="AK7505">
        <v>0</v>
      </c>
      <c r="AL7505">
        <v>0</v>
      </c>
      <c r="AM7505">
        <v>0</v>
      </c>
      <c r="AN7505" s="1">
        <v>11213.48</v>
      </c>
      <c r="AO7505">
        <v>0</v>
      </c>
      <c r="AP7505" s="2">
        <v>42746</v>
      </c>
      <c r="AQ7505" t="s">
        <v>72</v>
      </c>
      <c r="AR7505" t="s">
        <v>72</v>
      </c>
      <c r="AS7505">
        <v>3659</v>
      </c>
      <c r="AT7505" s="4">
        <v>42725</v>
      </c>
      <c r="AU7505" t="s">
        <v>73</v>
      </c>
      <c r="AV7505">
        <v>3659</v>
      </c>
      <c r="AW7505" s="4">
        <v>42725</v>
      </c>
      <c r="BD7505" s="1">
        <v>2022.1</v>
      </c>
      <c r="BN7505" t="s">
        <v>74</v>
      </c>
    </row>
    <row r="7506" spans="1:66">
      <c r="A7506">
        <v>104296</v>
      </c>
      <c r="B7506" s="3" t="s">
        <v>638</v>
      </c>
      <c r="C7506" s="1">
        <v>43300101</v>
      </c>
      <c r="D7506" t="s">
        <v>67</v>
      </c>
      <c r="H7506" t="str">
        <f t="shared" si="739"/>
        <v>93027710016</v>
      </c>
      <c r="I7506" t="str">
        <f t="shared" si="740"/>
        <v>03663500969</v>
      </c>
      <c r="K7506" t="str">
        <f>""</f>
        <v/>
      </c>
      <c r="M7506" t="s">
        <v>68</v>
      </c>
      <c r="N7506" t="str">
        <f t="shared" si="738"/>
        <v>FOR</v>
      </c>
      <c r="O7506" t="s">
        <v>69</v>
      </c>
      <c r="P7506" s="3" t="s">
        <v>75</v>
      </c>
      <c r="Q7506">
        <v>2015</v>
      </c>
      <c r="R7506" s="2">
        <v>42361</v>
      </c>
      <c r="S7506" s="2">
        <v>42432</v>
      </c>
      <c r="T7506" s="2">
        <v>42417</v>
      </c>
      <c r="U7506" s="2">
        <v>42477</v>
      </c>
      <c r="V7506" t="s">
        <v>71</v>
      </c>
      <c r="W7506" t="str">
        <f>"            B2004101"</f>
        <v xml:space="preserve">            B2004101</v>
      </c>
      <c r="X7506" s="1">
        <v>11213.48</v>
      </c>
      <c r="Y7506">
        <v>0</v>
      </c>
      <c r="Z7506" s="5">
        <v>9191.3799999999992</v>
      </c>
      <c r="AA7506">
        <v>248</v>
      </c>
      <c r="AB7506" s="5">
        <v>2279462.2400000002</v>
      </c>
      <c r="AC7506" s="1">
        <v>9191.3799999999992</v>
      </c>
      <c r="AD7506">
        <v>248</v>
      </c>
      <c r="AE7506" s="1">
        <v>2279462.2400000002</v>
      </c>
      <c r="AF7506" s="1">
        <v>2022.1</v>
      </c>
      <c r="AJ7506">
        <v>0</v>
      </c>
      <c r="AK7506">
        <v>0</v>
      </c>
      <c r="AL7506">
        <v>0</v>
      </c>
      <c r="AM7506">
        <v>0</v>
      </c>
      <c r="AN7506" s="1">
        <v>11213.48</v>
      </c>
      <c r="AO7506">
        <v>0</v>
      </c>
      <c r="AP7506" s="2">
        <v>42746</v>
      </c>
      <c r="AQ7506" t="s">
        <v>72</v>
      </c>
      <c r="AR7506" t="s">
        <v>72</v>
      </c>
      <c r="AS7506">
        <v>3659</v>
      </c>
      <c r="AT7506" s="4">
        <v>42725</v>
      </c>
      <c r="AU7506" t="s">
        <v>73</v>
      </c>
      <c r="AV7506">
        <v>3659</v>
      </c>
      <c r="AW7506" s="4">
        <v>42725</v>
      </c>
      <c r="BD7506" s="1">
        <v>2022.1</v>
      </c>
      <c r="BN7506" t="s">
        <v>74</v>
      </c>
    </row>
    <row r="7507" spans="1:66">
      <c r="A7507">
        <v>104296</v>
      </c>
      <c r="B7507" s="3" t="s">
        <v>638</v>
      </c>
      <c r="C7507" s="1">
        <v>43300101</v>
      </c>
      <c r="D7507" t="s">
        <v>67</v>
      </c>
      <c r="H7507" t="str">
        <f t="shared" si="739"/>
        <v>93027710016</v>
      </c>
      <c r="I7507" t="str">
        <f t="shared" si="740"/>
        <v>03663500969</v>
      </c>
      <c r="K7507" t="str">
        <f>""</f>
        <v/>
      </c>
      <c r="M7507" t="s">
        <v>68</v>
      </c>
      <c r="N7507" t="str">
        <f t="shared" si="738"/>
        <v>FOR</v>
      </c>
      <c r="O7507" t="s">
        <v>69</v>
      </c>
      <c r="P7507" s="3" t="s">
        <v>75</v>
      </c>
      <c r="Q7507">
        <v>2015</v>
      </c>
      <c r="R7507" s="2">
        <v>42361</v>
      </c>
      <c r="S7507" s="2">
        <v>42432</v>
      </c>
      <c r="T7507" s="2">
        <v>42417</v>
      </c>
      <c r="U7507" s="2">
        <v>42477</v>
      </c>
      <c r="V7507" t="s">
        <v>71</v>
      </c>
      <c r="W7507" t="str">
        <f>"            B2004102"</f>
        <v xml:space="preserve">            B2004102</v>
      </c>
      <c r="X7507" s="1">
        <v>11213.48</v>
      </c>
      <c r="Y7507">
        <v>0</v>
      </c>
      <c r="Z7507" s="5">
        <v>9191.3799999999992</v>
      </c>
      <c r="AA7507">
        <v>248</v>
      </c>
      <c r="AB7507" s="5">
        <v>2279462.2400000002</v>
      </c>
      <c r="AC7507" s="1">
        <v>9191.3799999999992</v>
      </c>
      <c r="AD7507">
        <v>248</v>
      </c>
      <c r="AE7507" s="1">
        <v>2279462.2400000002</v>
      </c>
      <c r="AF7507" s="1">
        <v>2022.1</v>
      </c>
      <c r="AJ7507">
        <v>0</v>
      </c>
      <c r="AK7507">
        <v>0</v>
      </c>
      <c r="AL7507">
        <v>0</v>
      </c>
      <c r="AM7507">
        <v>0</v>
      </c>
      <c r="AN7507" s="1">
        <v>11213.48</v>
      </c>
      <c r="AO7507">
        <v>0</v>
      </c>
      <c r="AP7507" s="2">
        <v>42746</v>
      </c>
      <c r="AQ7507" t="s">
        <v>72</v>
      </c>
      <c r="AR7507" t="s">
        <v>72</v>
      </c>
      <c r="AS7507">
        <v>3659</v>
      </c>
      <c r="AT7507" s="4">
        <v>42725</v>
      </c>
      <c r="AU7507" t="s">
        <v>73</v>
      </c>
      <c r="AV7507">
        <v>3659</v>
      </c>
      <c r="AW7507" s="4">
        <v>42725</v>
      </c>
      <c r="BD7507" s="1">
        <v>2022.1</v>
      </c>
      <c r="BN7507" t="s">
        <v>74</v>
      </c>
    </row>
    <row r="7508" spans="1:66">
      <c r="A7508">
        <v>104296</v>
      </c>
      <c r="B7508" s="3" t="s">
        <v>638</v>
      </c>
      <c r="C7508" s="1">
        <v>43300101</v>
      </c>
      <c r="D7508" t="s">
        <v>67</v>
      </c>
      <c r="H7508" t="str">
        <f t="shared" si="739"/>
        <v>93027710016</v>
      </c>
      <c r="I7508" t="str">
        <f t="shared" si="740"/>
        <v>03663500969</v>
      </c>
      <c r="K7508" t="str">
        <f>""</f>
        <v/>
      </c>
      <c r="M7508" t="s">
        <v>68</v>
      </c>
      <c r="N7508" t="str">
        <f t="shared" si="738"/>
        <v>FOR</v>
      </c>
      <c r="O7508" t="s">
        <v>69</v>
      </c>
      <c r="P7508" s="3" t="s">
        <v>75</v>
      </c>
      <c r="Q7508">
        <v>2015</v>
      </c>
      <c r="R7508" s="2">
        <v>42361</v>
      </c>
      <c r="S7508" s="2">
        <v>42432</v>
      </c>
      <c r="T7508" s="2">
        <v>42417</v>
      </c>
      <c r="U7508" s="2">
        <v>42477</v>
      </c>
      <c r="V7508" t="s">
        <v>71</v>
      </c>
      <c r="W7508" t="str">
        <f>"            B2004103"</f>
        <v xml:space="preserve">            B2004103</v>
      </c>
      <c r="X7508" s="1">
        <v>18691.689999999999</v>
      </c>
      <c r="Y7508">
        <v>0</v>
      </c>
      <c r="Z7508" s="5">
        <v>15321.06</v>
      </c>
      <c r="AA7508">
        <v>248</v>
      </c>
      <c r="AB7508" s="5">
        <v>3799622.88</v>
      </c>
      <c r="AC7508" s="1">
        <v>15321.06</v>
      </c>
      <c r="AD7508">
        <v>248</v>
      </c>
      <c r="AE7508" s="1">
        <v>3799622.88</v>
      </c>
      <c r="AF7508" s="1">
        <v>3370.63</v>
      </c>
      <c r="AJ7508">
        <v>0</v>
      </c>
      <c r="AK7508">
        <v>0</v>
      </c>
      <c r="AL7508">
        <v>0</v>
      </c>
      <c r="AM7508">
        <v>0</v>
      </c>
      <c r="AN7508" s="1">
        <v>18691.689999999999</v>
      </c>
      <c r="AO7508">
        <v>0</v>
      </c>
      <c r="AP7508" s="2">
        <v>42746</v>
      </c>
      <c r="AQ7508" t="s">
        <v>72</v>
      </c>
      <c r="AR7508" t="s">
        <v>72</v>
      </c>
      <c r="AS7508">
        <v>3659</v>
      </c>
      <c r="AT7508" s="4">
        <v>42725</v>
      </c>
      <c r="AU7508" t="s">
        <v>73</v>
      </c>
      <c r="AV7508">
        <v>3659</v>
      </c>
      <c r="AW7508" s="4">
        <v>42725</v>
      </c>
      <c r="BD7508" s="1">
        <v>3370.63</v>
      </c>
      <c r="BN7508" t="s">
        <v>74</v>
      </c>
    </row>
    <row r="7509" spans="1:66">
      <c r="A7509">
        <v>104296</v>
      </c>
      <c r="B7509" s="3" t="s">
        <v>638</v>
      </c>
      <c r="C7509" s="1">
        <v>43300101</v>
      </c>
      <c r="D7509" t="s">
        <v>67</v>
      </c>
      <c r="H7509" t="str">
        <f t="shared" si="739"/>
        <v>93027710016</v>
      </c>
      <c r="I7509" t="str">
        <f t="shared" si="740"/>
        <v>03663500969</v>
      </c>
      <c r="K7509" t="str">
        <f>""</f>
        <v/>
      </c>
      <c r="M7509" t="s">
        <v>68</v>
      </c>
      <c r="N7509" t="str">
        <f t="shared" si="738"/>
        <v>FOR</v>
      </c>
      <c r="O7509" t="s">
        <v>69</v>
      </c>
      <c r="P7509" s="3" t="s">
        <v>75</v>
      </c>
      <c r="Q7509">
        <v>2015</v>
      </c>
      <c r="R7509" s="2">
        <v>42361</v>
      </c>
      <c r="S7509" s="2">
        <v>42432</v>
      </c>
      <c r="T7509" s="2">
        <v>42417</v>
      </c>
      <c r="U7509" s="2">
        <v>42477</v>
      </c>
      <c r="V7509" t="s">
        <v>71</v>
      </c>
      <c r="W7509" t="str">
        <f>"            B2004104"</f>
        <v xml:space="preserve">            B2004104</v>
      </c>
      <c r="X7509" s="1">
        <v>18691.689999999999</v>
      </c>
      <c r="Y7509">
        <v>0</v>
      </c>
      <c r="Z7509" s="5">
        <v>15321.06</v>
      </c>
      <c r="AA7509">
        <v>248</v>
      </c>
      <c r="AB7509" s="5">
        <v>3799622.88</v>
      </c>
      <c r="AC7509" s="1">
        <v>15321.06</v>
      </c>
      <c r="AD7509">
        <v>248</v>
      </c>
      <c r="AE7509" s="1">
        <v>3799622.88</v>
      </c>
      <c r="AF7509" s="1">
        <v>3370.63</v>
      </c>
      <c r="AJ7509">
        <v>0</v>
      </c>
      <c r="AK7509">
        <v>0</v>
      </c>
      <c r="AL7509">
        <v>0</v>
      </c>
      <c r="AM7509">
        <v>0</v>
      </c>
      <c r="AN7509" s="1">
        <v>18691.689999999999</v>
      </c>
      <c r="AO7509">
        <v>0</v>
      </c>
      <c r="AP7509" s="2">
        <v>42746</v>
      </c>
      <c r="AQ7509" t="s">
        <v>72</v>
      </c>
      <c r="AR7509" t="s">
        <v>72</v>
      </c>
      <c r="AS7509">
        <v>3659</v>
      </c>
      <c r="AT7509" s="4">
        <v>42725</v>
      </c>
      <c r="AU7509" t="s">
        <v>73</v>
      </c>
      <c r="AV7509">
        <v>3659</v>
      </c>
      <c r="AW7509" s="4">
        <v>42725</v>
      </c>
      <c r="BD7509" s="1">
        <v>3370.63</v>
      </c>
      <c r="BN7509" t="s">
        <v>74</v>
      </c>
    </row>
    <row r="7510" spans="1:66">
      <c r="A7510">
        <v>104296</v>
      </c>
      <c r="B7510" s="3" t="s">
        <v>638</v>
      </c>
      <c r="C7510" s="1">
        <v>43300101</v>
      </c>
      <c r="D7510" t="s">
        <v>67</v>
      </c>
      <c r="H7510" t="str">
        <f t="shared" si="739"/>
        <v>93027710016</v>
      </c>
      <c r="I7510" t="str">
        <f t="shared" si="740"/>
        <v>03663500969</v>
      </c>
      <c r="K7510" t="str">
        <f>""</f>
        <v/>
      </c>
      <c r="M7510" t="s">
        <v>68</v>
      </c>
      <c r="N7510" t="str">
        <f t="shared" ref="N7510:N7534" si="741">"FOR"</f>
        <v>FOR</v>
      </c>
      <c r="O7510" t="s">
        <v>69</v>
      </c>
      <c r="P7510" s="3" t="s">
        <v>75</v>
      </c>
      <c r="Q7510">
        <v>2015</v>
      </c>
      <c r="R7510" s="2">
        <v>42361</v>
      </c>
      <c r="S7510" s="2">
        <v>42432</v>
      </c>
      <c r="T7510" s="2">
        <v>42417</v>
      </c>
      <c r="U7510" s="2">
        <v>42477</v>
      </c>
      <c r="V7510" t="s">
        <v>71</v>
      </c>
      <c r="W7510" t="str">
        <f>"            B2004105"</f>
        <v xml:space="preserve">            B2004105</v>
      </c>
      <c r="X7510" s="1">
        <v>18691.689999999999</v>
      </c>
      <c r="Y7510">
        <v>0</v>
      </c>
      <c r="Z7510" s="5">
        <v>15321.06</v>
      </c>
      <c r="AA7510">
        <v>248</v>
      </c>
      <c r="AB7510" s="5">
        <v>3799622.88</v>
      </c>
      <c r="AC7510" s="1">
        <v>15321.06</v>
      </c>
      <c r="AD7510">
        <v>248</v>
      </c>
      <c r="AE7510" s="1">
        <v>3799622.88</v>
      </c>
      <c r="AF7510" s="1">
        <v>3370.63</v>
      </c>
      <c r="AJ7510">
        <v>0</v>
      </c>
      <c r="AK7510">
        <v>0</v>
      </c>
      <c r="AL7510">
        <v>0</v>
      </c>
      <c r="AM7510">
        <v>0</v>
      </c>
      <c r="AN7510" s="1">
        <v>18691.689999999999</v>
      </c>
      <c r="AO7510">
        <v>0</v>
      </c>
      <c r="AP7510" s="2">
        <v>42746</v>
      </c>
      <c r="AQ7510" t="s">
        <v>72</v>
      </c>
      <c r="AR7510" t="s">
        <v>72</v>
      </c>
      <c r="AS7510">
        <v>3659</v>
      </c>
      <c r="AT7510" s="4">
        <v>42725</v>
      </c>
      <c r="AU7510" t="s">
        <v>73</v>
      </c>
      <c r="AV7510">
        <v>3659</v>
      </c>
      <c r="AW7510" s="4">
        <v>42725</v>
      </c>
      <c r="BD7510" s="1">
        <v>3370.63</v>
      </c>
      <c r="BN7510" t="s">
        <v>74</v>
      </c>
    </row>
    <row r="7511" spans="1:66">
      <c r="A7511">
        <v>104296</v>
      </c>
      <c r="B7511" s="3" t="s">
        <v>638</v>
      </c>
      <c r="C7511" s="1">
        <v>43300101</v>
      </c>
      <c r="D7511" t="s">
        <v>67</v>
      </c>
      <c r="H7511" t="str">
        <f t="shared" si="739"/>
        <v>93027710016</v>
      </c>
      <c r="I7511" t="str">
        <f t="shared" si="740"/>
        <v>03663500969</v>
      </c>
      <c r="K7511" t="str">
        <f>""</f>
        <v/>
      </c>
      <c r="M7511" t="s">
        <v>68</v>
      </c>
      <c r="N7511" t="str">
        <f t="shared" si="741"/>
        <v>FOR</v>
      </c>
      <c r="O7511" t="s">
        <v>69</v>
      </c>
      <c r="P7511" s="3" t="s">
        <v>75</v>
      </c>
      <c r="Q7511">
        <v>2015</v>
      </c>
      <c r="R7511" s="2">
        <v>42362</v>
      </c>
      <c r="S7511" s="2">
        <v>42432</v>
      </c>
      <c r="T7511" s="2">
        <v>42417</v>
      </c>
      <c r="U7511" s="2">
        <v>42477</v>
      </c>
      <c r="V7511" t="s">
        <v>71</v>
      </c>
      <c r="W7511" t="str">
        <f>"            B2004136"</f>
        <v xml:space="preserve">            B2004136</v>
      </c>
      <c r="X7511" s="1">
        <v>11213.48</v>
      </c>
      <c r="Y7511">
        <v>0</v>
      </c>
      <c r="Z7511" s="5">
        <v>9191.3799999999992</v>
      </c>
      <c r="AA7511">
        <v>248</v>
      </c>
      <c r="AB7511" s="5">
        <v>2279462.2400000002</v>
      </c>
      <c r="AC7511" s="1">
        <v>9191.3799999999992</v>
      </c>
      <c r="AD7511">
        <v>248</v>
      </c>
      <c r="AE7511" s="1">
        <v>2279462.2400000002</v>
      </c>
      <c r="AF7511" s="1">
        <v>2022.1</v>
      </c>
      <c r="AJ7511">
        <v>0</v>
      </c>
      <c r="AK7511">
        <v>0</v>
      </c>
      <c r="AL7511">
        <v>0</v>
      </c>
      <c r="AM7511">
        <v>0</v>
      </c>
      <c r="AN7511" s="1">
        <v>11213.48</v>
      </c>
      <c r="AO7511">
        <v>0</v>
      </c>
      <c r="AP7511" s="2">
        <v>42746</v>
      </c>
      <c r="AQ7511" t="s">
        <v>72</v>
      </c>
      <c r="AR7511" t="s">
        <v>72</v>
      </c>
      <c r="AS7511">
        <v>3659</v>
      </c>
      <c r="AT7511" s="4">
        <v>42725</v>
      </c>
      <c r="AU7511" t="s">
        <v>73</v>
      </c>
      <c r="AV7511">
        <v>3659</v>
      </c>
      <c r="AW7511" s="4">
        <v>42725</v>
      </c>
      <c r="BD7511" s="1">
        <v>2022.1</v>
      </c>
      <c r="BN7511" t="s">
        <v>74</v>
      </c>
    </row>
    <row r="7512" spans="1:66">
      <c r="A7512">
        <v>104296</v>
      </c>
      <c r="B7512" s="3" t="s">
        <v>638</v>
      </c>
      <c r="C7512" s="1">
        <v>43300101</v>
      </c>
      <c r="D7512" t="s">
        <v>67</v>
      </c>
      <c r="H7512" t="str">
        <f t="shared" si="739"/>
        <v>93027710016</v>
      </c>
      <c r="I7512" t="str">
        <f t="shared" si="740"/>
        <v>03663500969</v>
      </c>
      <c r="K7512" t="str">
        <f>""</f>
        <v/>
      </c>
      <c r="M7512" t="s">
        <v>68</v>
      </c>
      <c r="N7512" t="str">
        <f t="shared" si="741"/>
        <v>FOR</v>
      </c>
      <c r="O7512" t="s">
        <v>69</v>
      </c>
      <c r="P7512" s="3" t="s">
        <v>75</v>
      </c>
      <c r="Q7512">
        <v>2015</v>
      </c>
      <c r="R7512" s="2">
        <v>42362</v>
      </c>
      <c r="S7512" s="2">
        <v>42432</v>
      </c>
      <c r="T7512" s="2">
        <v>42417</v>
      </c>
      <c r="U7512" s="2">
        <v>42477</v>
      </c>
      <c r="V7512" t="s">
        <v>71</v>
      </c>
      <c r="W7512" t="str">
        <f>"            B2004137"</f>
        <v xml:space="preserve">            B2004137</v>
      </c>
      <c r="X7512" s="1">
        <v>11213.48</v>
      </c>
      <c r="Y7512">
        <v>0</v>
      </c>
      <c r="Z7512" s="5">
        <v>9191.3799999999992</v>
      </c>
      <c r="AA7512">
        <v>248</v>
      </c>
      <c r="AB7512" s="5">
        <v>2279462.2400000002</v>
      </c>
      <c r="AC7512" s="1">
        <v>9191.3799999999992</v>
      </c>
      <c r="AD7512">
        <v>248</v>
      </c>
      <c r="AE7512" s="1">
        <v>2279462.2400000002</v>
      </c>
      <c r="AF7512" s="1">
        <v>2022.1</v>
      </c>
      <c r="AJ7512">
        <v>0</v>
      </c>
      <c r="AK7512">
        <v>0</v>
      </c>
      <c r="AL7512">
        <v>0</v>
      </c>
      <c r="AM7512">
        <v>0</v>
      </c>
      <c r="AN7512" s="1">
        <v>11213.48</v>
      </c>
      <c r="AO7512">
        <v>0</v>
      </c>
      <c r="AP7512" s="2">
        <v>42746</v>
      </c>
      <c r="AQ7512" t="s">
        <v>72</v>
      </c>
      <c r="AR7512" t="s">
        <v>72</v>
      </c>
      <c r="AS7512">
        <v>3659</v>
      </c>
      <c r="AT7512" s="4">
        <v>42725</v>
      </c>
      <c r="AU7512" t="s">
        <v>73</v>
      </c>
      <c r="AV7512">
        <v>3659</v>
      </c>
      <c r="AW7512" s="4">
        <v>42725</v>
      </c>
      <c r="BD7512" s="1">
        <v>2022.1</v>
      </c>
      <c r="BN7512" t="s">
        <v>74</v>
      </c>
    </row>
    <row r="7513" spans="1:66">
      <c r="A7513">
        <v>104296</v>
      </c>
      <c r="B7513" s="3" t="s">
        <v>638</v>
      </c>
      <c r="C7513" s="1">
        <v>43300101</v>
      </c>
      <c r="D7513" t="s">
        <v>67</v>
      </c>
      <c r="H7513" t="str">
        <f t="shared" si="739"/>
        <v>93027710016</v>
      </c>
      <c r="I7513" t="str">
        <f t="shared" si="740"/>
        <v>03663500969</v>
      </c>
      <c r="K7513" t="str">
        <f>""</f>
        <v/>
      </c>
      <c r="M7513" t="s">
        <v>68</v>
      </c>
      <c r="N7513" t="str">
        <f t="shared" si="741"/>
        <v>FOR</v>
      </c>
      <c r="O7513" t="s">
        <v>69</v>
      </c>
      <c r="P7513" s="3" t="s">
        <v>75</v>
      </c>
      <c r="Q7513">
        <v>2015</v>
      </c>
      <c r="R7513" s="2">
        <v>42362</v>
      </c>
      <c r="S7513" s="2">
        <v>42432</v>
      </c>
      <c r="T7513" s="2">
        <v>42417</v>
      </c>
      <c r="U7513" s="2">
        <v>42477</v>
      </c>
      <c r="V7513" t="s">
        <v>71</v>
      </c>
      <c r="W7513" t="str">
        <f>"            B2004138"</f>
        <v xml:space="preserve">            B2004138</v>
      </c>
      <c r="X7513" s="1">
        <v>11213.48</v>
      </c>
      <c r="Y7513">
        <v>0</v>
      </c>
      <c r="Z7513" s="5">
        <v>9191.3799999999992</v>
      </c>
      <c r="AA7513">
        <v>248</v>
      </c>
      <c r="AB7513" s="5">
        <v>2279462.2400000002</v>
      </c>
      <c r="AC7513" s="1">
        <v>9191.3799999999992</v>
      </c>
      <c r="AD7513">
        <v>248</v>
      </c>
      <c r="AE7513" s="1">
        <v>2279462.2400000002</v>
      </c>
      <c r="AF7513" s="1">
        <v>2022.1</v>
      </c>
      <c r="AJ7513">
        <v>0</v>
      </c>
      <c r="AK7513">
        <v>0</v>
      </c>
      <c r="AL7513">
        <v>0</v>
      </c>
      <c r="AM7513">
        <v>0</v>
      </c>
      <c r="AN7513" s="1">
        <v>11213.48</v>
      </c>
      <c r="AO7513">
        <v>0</v>
      </c>
      <c r="AP7513" s="2">
        <v>42746</v>
      </c>
      <c r="AQ7513" t="s">
        <v>72</v>
      </c>
      <c r="AR7513" t="s">
        <v>72</v>
      </c>
      <c r="AS7513">
        <v>3659</v>
      </c>
      <c r="AT7513" s="4">
        <v>42725</v>
      </c>
      <c r="AU7513" t="s">
        <v>73</v>
      </c>
      <c r="AV7513">
        <v>3659</v>
      </c>
      <c r="AW7513" s="4">
        <v>42725</v>
      </c>
      <c r="BD7513" s="1">
        <v>2022.1</v>
      </c>
      <c r="BN7513" t="s">
        <v>74</v>
      </c>
    </row>
    <row r="7514" spans="1:66" hidden="1">
      <c r="A7514">
        <v>104297</v>
      </c>
      <c r="B7514" s="3" t="s">
        <v>639</v>
      </c>
      <c r="C7514" s="1">
        <v>43300101</v>
      </c>
      <c r="D7514" t="s">
        <v>67</v>
      </c>
      <c r="H7514" t="str">
        <f t="shared" ref="H7514:I7525" si="742">"01282940681"</f>
        <v>01282940681</v>
      </c>
      <c r="I7514" t="str">
        <f t="shared" si="742"/>
        <v>01282940681</v>
      </c>
      <c r="K7514" t="str">
        <f>""</f>
        <v/>
      </c>
      <c r="M7514" t="s">
        <v>68</v>
      </c>
      <c r="N7514" t="str">
        <f t="shared" si="741"/>
        <v>FOR</v>
      </c>
      <c r="O7514" t="s">
        <v>69</v>
      </c>
      <c r="P7514" s="3" t="s">
        <v>75</v>
      </c>
      <c r="Q7514">
        <v>2015</v>
      </c>
      <c r="R7514" s="2">
        <v>42338</v>
      </c>
      <c r="S7514" s="2">
        <v>42353</v>
      </c>
      <c r="T7514" s="2">
        <v>42352</v>
      </c>
      <c r="U7514" s="2">
        <v>42412</v>
      </c>
      <c r="V7514" t="s">
        <v>71</v>
      </c>
      <c r="W7514" t="str">
        <f>"                1825"</f>
        <v xml:space="preserve">                1825</v>
      </c>
      <c r="X7514" s="1">
        <v>1500</v>
      </c>
      <c r="Y7514">
        <v>0</v>
      </c>
      <c r="Z7514"/>
      <c r="AB7514"/>
      <c r="AC7514" s="1">
        <v>1229.51</v>
      </c>
      <c r="AD7514">
        <v>40</v>
      </c>
      <c r="AE7514" s="1">
        <v>49180.4</v>
      </c>
      <c r="AF7514">
        <v>0</v>
      </c>
      <c r="AJ7514">
        <v>0</v>
      </c>
      <c r="AK7514">
        <v>0</v>
      </c>
      <c r="AL7514">
        <v>0</v>
      </c>
      <c r="AM7514">
        <v>0</v>
      </c>
      <c r="AN7514">
        <v>0</v>
      </c>
      <c r="AO7514">
        <v>0</v>
      </c>
      <c r="AP7514" s="2">
        <v>42746</v>
      </c>
      <c r="AQ7514" t="s">
        <v>72</v>
      </c>
      <c r="AR7514" t="s">
        <v>72</v>
      </c>
      <c r="AS7514">
        <v>781</v>
      </c>
      <c r="AT7514" s="4">
        <v>42452</v>
      </c>
      <c r="AU7514" t="s">
        <v>73</v>
      </c>
      <c r="AV7514">
        <v>781</v>
      </c>
      <c r="AW7514" s="4">
        <v>42452</v>
      </c>
      <c r="BD7514">
        <v>0</v>
      </c>
      <c r="BN7514" t="s">
        <v>74</v>
      </c>
    </row>
    <row r="7515" spans="1:66" hidden="1">
      <c r="A7515">
        <v>104297</v>
      </c>
      <c r="B7515" s="3" t="s">
        <v>639</v>
      </c>
      <c r="C7515" s="1">
        <v>43300101</v>
      </c>
      <c r="D7515" t="s">
        <v>67</v>
      </c>
      <c r="H7515" t="str">
        <f t="shared" si="742"/>
        <v>01282940681</v>
      </c>
      <c r="I7515" t="str">
        <f t="shared" si="742"/>
        <v>01282940681</v>
      </c>
      <c r="K7515" t="str">
        <f>""</f>
        <v/>
      </c>
      <c r="M7515" t="s">
        <v>68</v>
      </c>
      <c r="N7515" t="str">
        <f t="shared" si="741"/>
        <v>FOR</v>
      </c>
      <c r="O7515" t="s">
        <v>69</v>
      </c>
      <c r="P7515" s="3" t="s">
        <v>75</v>
      </c>
      <c r="Q7515">
        <v>2015</v>
      </c>
      <c r="R7515" s="2">
        <v>42338</v>
      </c>
      <c r="S7515" s="2">
        <v>42353</v>
      </c>
      <c r="T7515" s="2">
        <v>42352</v>
      </c>
      <c r="U7515" s="2">
        <v>42412</v>
      </c>
      <c r="V7515" t="s">
        <v>71</v>
      </c>
      <c r="W7515" t="str">
        <f>"                1826"</f>
        <v xml:space="preserve">                1826</v>
      </c>
      <c r="X7515">
        <v>380.75</v>
      </c>
      <c r="Y7515">
        <v>0</v>
      </c>
      <c r="Z7515"/>
      <c r="AB7515"/>
      <c r="AC7515">
        <v>312.08999999999997</v>
      </c>
      <c r="AD7515">
        <v>40</v>
      </c>
      <c r="AE7515" s="1">
        <v>12483.6</v>
      </c>
      <c r="AF7515">
        <v>0</v>
      </c>
      <c r="AJ7515">
        <v>0</v>
      </c>
      <c r="AK7515">
        <v>0</v>
      </c>
      <c r="AL7515">
        <v>0</v>
      </c>
      <c r="AM7515">
        <v>0</v>
      </c>
      <c r="AN7515">
        <v>0</v>
      </c>
      <c r="AO7515">
        <v>0</v>
      </c>
      <c r="AP7515" s="2">
        <v>42746</v>
      </c>
      <c r="AQ7515" t="s">
        <v>72</v>
      </c>
      <c r="AR7515" t="s">
        <v>72</v>
      </c>
      <c r="AS7515">
        <v>781</v>
      </c>
      <c r="AT7515" s="4">
        <v>42452</v>
      </c>
      <c r="AU7515" t="s">
        <v>73</v>
      </c>
      <c r="AV7515">
        <v>781</v>
      </c>
      <c r="AW7515" s="4">
        <v>42452</v>
      </c>
      <c r="BD7515">
        <v>0</v>
      </c>
      <c r="BN7515" t="s">
        <v>74</v>
      </c>
    </row>
    <row r="7516" spans="1:66" hidden="1">
      <c r="A7516">
        <v>104297</v>
      </c>
      <c r="B7516" s="3" t="s">
        <v>639</v>
      </c>
      <c r="C7516" s="1">
        <v>43300101</v>
      </c>
      <c r="D7516" t="s">
        <v>67</v>
      </c>
      <c r="H7516" t="str">
        <f t="shared" si="742"/>
        <v>01282940681</v>
      </c>
      <c r="I7516" t="str">
        <f t="shared" si="742"/>
        <v>01282940681</v>
      </c>
      <c r="K7516" t="str">
        <f>""</f>
        <v/>
      </c>
      <c r="M7516" t="s">
        <v>68</v>
      </c>
      <c r="N7516" t="str">
        <f t="shared" si="741"/>
        <v>FOR</v>
      </c>
      <c r="O7516" t="s">
        <v>69</v>
      </c>
      <c r="P7516" s="3" t="s">
        <v>75</v>
      </c>
      <c r="Q7516">
        <v>2015</v>
      </c>
      <c r="R7516" s="2">
        <v>42341</v>
      </c>
      <c r="S7516" s="2">
        <v>42354</v>
      </c>
      <c r="T7516" s="2">
        <v>42352</v>
      </c>
      <c r="U7516" s="2">
        <v>42412</v>
      </c>
      <c r="V7516" t="s">
        <v>71</v>
      </c>
      <c r="W7516" t="str">
        <f>"                1842"</f>
        <v xml:space="preserve">                1842</v>
      </c>
      <c r="X7516">
        <v>811.2</v>
      </c>
      <c r="Y7516">
        <v>0</v>
      </c>
      <c r="Z7516"/>
      <c r="AB7516"/>
      <c r="AC7516">
        <v>780</v>
      </c>
      <c r="AD7516">
        <v>40</v>
      </c>
      <c r="AE7516" s="1">
        <v>31200</v>
      </c>
      <c r="AF7516">
        <v>0</v>
      </c>
      <c r="AJ7516">
        <v>0</v>
      </c>
      <c r="AK7516">
        <v>0</v>
      </c>
      <c r="AL7516">
        <v>0</v>
      </c>
      <c r="AM7516">
        <v>0</v>
      </c>
      <c r="AN7516">
        <v>0</v>
      </c>
      <c r="AO7516">
        <v>0</v>
      </c>
      <c r="AP7516" s="2">
        <v>42746</v>
      </c>
      <c r="AQ7516" t="s">
        <v>72</v>
      </c>
      <c r="AR7516" t="s">
        <v>72</v>
      </c>
      <c r="AS7516">
        <v>781</v>
      </c>
      <c r="AT7516" s="4">
        <v>42452</v>
      </c>
      <c r="AU7516" t="s">
        <v>73</v>
      </c>
      <c r="AV7516">
        <v>781</v>
      </c>
      <c r="AW7516" s="4">
        <v>42452</v>
      </c>
      <c r="BD7516">
        <v>0</v>
      </c>
      <c r="BN7516" t="s">
        <v>74</v>
      </c>
    </row>
    <row r="7517" spans="1:66" hidden="1">
      <c r="A7517">
        <v>104297</v>
      </c>
      <c r="B7517" s="3" t="s">
        <v>639</v>
      </c>
      <c r="C7517" s="1">
        <v>43300101</v>
      </c>
      <c r="D7517" t="s">
        <v>67</v>
      </c>
      <c r="H7517" t="str">
        <f t="shared" si="742"/>
        <v>01282940681</v>
      </c>
      <c r="I7517" t="str">
        <f t="shared" si="742"/>
        <v>01282940681</v>
      </c>
      <c r="K7517" t="str">
        <f>""</f>
        <v/>
      </c>
      <c r="M7517" t="s">
        <v>68</v>
      </c>
      <c r="N7517" t="str">
        <f t="shared" si="741"/>
        <v>FOR</v>
      </c>
      <c r="O7517" t="s">
        <v>69</v>
      </c>
      <c r="P7517" s="3" t="s">
        <v>75</v>
      </c>
      <c r="Q7517">
        <v>2015</v>
      </c>
      <c r="R7517" s="2">
        <v>42347</v>
      </c>
      <c r="S7517" s="2">
        <v>42354</v>
      </c>
      <c r="T7517" s="2">
        <v>42352</v>
      </c>
      <c r="U7517" s="2">
        <v>42412</v>
      </c>
      <c r="V7517" t="s">
        <v>71</v>
      </c>
      <c r="W7517" t="str">
        <f>"                1870"</f>
        <v xml:space="preserve">                1870</v>
      </c>
      <c r="X7517">
        <v>262.3</v>
      </c>
      <c r="Y7517">
        <v>0</v>
      </c>
      <c r="Z7517"/>
      <c r="AB7517"/>
      <c r="AC7517">
        <v>215</v>
      </c>
      <c r="AD7517">
        <v>40</v>
      </c>
      <c r="AE7517" s="1">
        <v>8600</v>
      </c>
      <c r="AF7517">
        <v>0</v>
      </c>
      <c r="AJ7517">
        <v>0</v>
      </c>
      <c r="AK7517">
        <v>0</v>
      </c>
      <c r="AL7517">
        <v>0</v>
      </c>
      <c r="AM7517">
        <v>0</v>
      </c>
      <c r="AN7517">
        <v>0</v>
      </c>
      <c r="AO7517">
        <v>0</v>
      </c>
      <c r="AP7517" s="2">
        <v>42746</v>
      </c>
      <c r="AQ7517" t="s">
        <v>72</v>
      </c>
      <c r="AR7517" t="s">
        <v>72</v>
      </c>
      <c r="AS7517">
        <v>781</v>
      </c>
      <c r="AT7517" s="4">
        <v>42452</v>
      </c>
      <c r="AU7517" t="s">
        <v>73</v>
      </c>
      <c r="AV7517">
        <v>781</v>
      </c>
      <c r="AW7517" s="4">
        <v>42452</v>
      </c>
      <c r="BD7517">
        <v>0</v>
      </c>
      <c r="BN7517" t="s">
        <v>74</v>
      </c>
    </row>
    <row r="7518" spans="1:66" hidden="1">
      <c r="A7518">
        <v>104297</v>
      </c>
      <c r="B7518" s="3" t="s">
        <v>639</v>
      </c>
      <c r="C7518" s="1">
        <v>43300101</v>
      </c>
      <c r="D7518" t="s">
        <v>67</v>
      </c>
      <c r="H7518" t="str">
        <f t="shared" si="742"/>
        <v>01282940681</v>
      </c>
      <c r="I7518" t="str">
        <f t="shared" si="742"/>
        <v>01282940681</v>
      </c>
      <c r="K7518" t="str">
        <f>""</f>
        <v/>
      </c>
      <c r="M7518" t="s">
        <v>68</v>
      </c>
      <c r="N7518" t="str">
        <f t="shared" si="741"/>
        <v>FOR</v>
      </c>
      <c r="O7518" t="s">
        <v>69</v>
      </c>
      <c r="P7518" s="3" t="s">
        <v>75</v>
      </c>
      <c r="Q7518">
        <v>2016</v>
      </c>
      <c r="R7518" s="2">
        <v>42398</v>
      </c>
      <c r="S7518" s="2">
        <v>42410</v>
      </c>
      <c r="T7518" s="2">
        <v>42404</v>
      </c>
      <c r="U7518" s="2">
        <v>42464</v>
      </c>
      <c r="V7518" t="s">
        <v>71</v>
      </c>
      <c r="W7518" t="str">
        <f>"                  90"</f>
        <v xml:space="preserve">                  90</v>
      </c>
      <c r="X7518">
        <v>716.35</v>
      </c>
      <c r="Y7518">
        <v>0</v>
      </c>
      <c r="Z7518"/>
      <c r="AB7518"/>
      <c r="AC7518">
        <v>688.8</v>
      </c>
      <c r="AD7518">
        <v>56</v>
      </c>
      <c r="AE7518" s="1">
        <v>38572.800000000003</v>
      </c>
      <c r="AF7518">
        <v>0</v>
      </c>
      <c r="AJ7518">
        <v>0</v>
      </c>
      <c r="AK7518">
        <v>0</v>
      </c>
      <c r="AL7518">
        <v>0</v>
      </c>
      <c r="AM7518">
        <v>716.35</v>
      </c>
      <c r="AN7518">
        <v>716.35</v>
      </c>
      <c r="AO7518">
        <v>716.35</v>
      </c>
      <c r="AP7518" s="2">
        <v>42746</v>
      </c>
      <c r="AQ7518" t="s">
        <v>72</v>
      </c>
      <c r="AR7518" t="s">
        <v>72</v>
      </c>
      <c r="AS7518">
        <v>1452</v>
      </c>
      <c r="AT7518" s="4">
        <v>42520</v>
      </c>
      <c r="AU7518" t="s">
        <v>73</v>
      </c>
      <c r="AV7518">
        <v>1452</v>
      </c>
      <c r="AW7518" s="4">
        <v>42520</v>
      </c>
      <c r="BD7518">
        <v>0</v>
      </c>
      <c r="BN7518" t="s">
        <v>74</v>
      </c>
    </row>
    <row r="7519" spans="1:66" hidden="1">
      <c r="A7519">
        <v>104297</v>
      </c>
      <c r="B7519" s="3" t="s">
        <v>639</v>
      </c>
      <c r="C7519" s="1">
        <v>43300101</v>
      </c>
      <c r="D7519" t="s">
        <v>67</v>
      </c>
      <c r="H7519" t="str">
        <f t="shared" si="742"/>
        <v>01282940681</v>
      </c>
      <c r="I7519" t="str">
        <f t="shared" si="742"/>
        <v>01282940681</v>
      </c>
      <c r="K7519" t="str">
        <f>""</f>
        <v/>
      </c>
      <c r="M7519" t="s">
        <v>68</v>
      </c>
      <c r="N7519" t="str">
        <f t="shared" si="741"/>
        <v>FOR</v>
      </c>
      <c r="O7519" t="s">
        <v>69</v>
      </c>
      <c r="P7519" s="3" t="s">
        <v>75</v>
      </c>
      <c r="Q7519">
        <v>2016</v>
      </c>
      <c r="R7519" s="2">
        <v>42411</v>
      </c>
      <c r="S7519" s="2">
        <v>42422</v>
      </c>
      <c r="T7519" s="2">
        <v>42417</v>
      </c>
      <c r="U7519" s="2">
        <v>42477</v>
      </c>
      <c r="V7519" t="s">
        <v>71</v>
      </c>
      <c r="W7519" t="str">
        <f>"                 169"</f>
        <v xml:space="preserve">                 169</v>
      </c>
      <c r="X7519">
        <v>219.65</v>
      </c>
      <c r="Y7519">
        <v>0</v>
      </c>
      <c r="Z7519"/>
      <c r="AB7519"/>
      <c r="AC7519">
        <v>211.2</v>
      </c>
      <c r="AD7519">
        <v>43</v>
      </c>
      <c r="AE7519" s="1">
        <v>9081.6</v>
      </c>
      <c r="AF7519">
        <v>0</v>
      </c>
      <c r="AJ7519">
        <v>0</v>
      </c>
      <c r="AK7519">
        <v>0</v>
      </c>
      <c r="AL7519">
        <v>0</v>
      </c>
      <c r="AM7519">
        <v>219.65</v>
      </c>
      <c r="AN7519">
        <v>219.65</v>
      </c>
      <c r="AO7519">
        <v>219.65</v>
      </c>
      <c r="AP7519" s="2">
        <v>42746</v>
      </c>
      <c r="AQ7519" t="s">
        <v>72</v>
      </c>
      <c r="AR7519" t="s">
        <v>72</v>
      </c>
      <c r="AS7519">
        <v>1452</v>
      </c>
      <c r="AT7519" s="4">
        <v>42520</v>
      </c>
      <c r="AU7519" t="s">
        <v>73</v>
      </c>
      <c r="AV7519">
        <v>1452</v>
      </c>
      <c r="AW7519" s="4">
        <v>42520</v>
      </c>
      <c r="BD7519">
        <v>0</v>
      </c>
      <c r="BN7519" t="s">
        <v>74</v>
      </c>
    </row>
    <row r="7520" spans="1:66" hidden="1">
      <c r="A7520">
        <v>104297</v>
      </c>
      <c r="B7520" s="3" t="s">
        <v>639</v>
      </c>
      <c r="C7520" s="1">
        <v>43300101</v>
      </c>
      <c r="D7520" t="s">
        <v>67</v>
      </c>
      <c r="H7520" t="str">
        <f t="shared" si="742"/>
        <v>01282940681</v>
      </c>
      <c r="I7520" t="str">
        <f t="shared" si="742"/>
        <v>01282940681</v>
      </c>
      <c r="K7520" t="str">
        <f>""</f>
        <v/>
      </c>
      <c r="M7520" t="s">
        <v>68</v>
      </c>
      <c r="N7520" t="str">
        <f t="shared" si="741"/>
        <v>FOR</v>
      </c>
      <c r="O7520" t="s">
        <v>69</v>
      </c>
      <c r="P7520" s="3" t="s">
        <v>75</v>
      </c>
      <c r="Q7520">
        <v>2016</v>
      </c>
      <c r="R7520" s="2">
        <v>42429</v>
      </c>
      <c r="S7520" s="2">
        <v>42436</v>
      </c>
      <c r="T7520" s="2">
        <v>42434</v>
      </c>
      <c r="U7520" s="2">
        <v>42494</v>
      </c>
      <c r="V7520" t="s">
        <v>71</v>
      </c>
      <c r="W7520" t="str">
        <f>"                 276"</f>
        <v xml:space="preserve">                 276</v>
      </c>
      <c r="X7520" s="1">
        <v>2261.88</v>
      </c>
      <c r="Y7520">
        <v>0</v>
      </c>
      <c r="Z7520"/>
      <c r="AB7520"/>
      <c r="AC7520" s="1">
        <v>1854</v>
      </c>
      <c r="AD7520">
        <v>26</v>
      </c>
      <c r="AE7520" s="1">
        <v>48204</v>
      </c>
      <c r="AF7520">
        <v>0</v>
      </c>
      <c r="AJ7520">
        <v>0</v>
      </c>
      <c r="AK7520">
        <v>0</v>
      </c>
      <c r="AL7520">
        <v>0</v>
      </c>
      <c r="AM7520" s="1">
        <v>2261.88</v>
      </c>
      <c r="AN7520" s="1">
        <v>2261.88</v>
      </c>
      <c r="AO7520" s="1">
        <v>2261.88</v>
      </c>
      <c r="AP7520" s="2">
        <v>42746</v>
      </c>
      <c r="AQ7520" t="s">
        <v>72</v>
      </c>
      <c r="AR7520" t="s">
        <v>72</v>
      </c>
      <c r="AS7520">
        <v>1452</v>
      </c>
      <c r="AT7520" s="4">
        <v>42520</v>
      </c>
      <c r="AU7520" t="s">
        <v>73</v>
      </c>
      <c r="AV7520">
        <v>1452</v>
      </c>
      <c r="AW7520" s="4">
        <v>42520</v>
      </c>
      <c r="BD7520">
        <v>0</v>
      </c>
      <c r="BN7520" t="s">
        <v>74</v>
      </c>
    </row>
    <row r="7521" spans="1:66" hidden="1">
      <c r="A7521">
        <v>104297</v>
      </c>
      <c r="B7521" s="3" t="s">
        <v>639</v>
      </c>
      <c r="C7521" s="1">
        <v>43300101</v>
      </c>
      <c r="D7521" t="s">
        <v>67</v>
      </c>
      <c r="H7521" t="str">
        <f t="shared" si="742"/>
        <v>01282940681</v>
      </c>
      <c r="I7521" t="str">
        <f t="shared" si="742"/>
        <v>01282940681</v>
      </c>
      <c r="K7521" t="str">
        <f>""</f>
        <v/>
      </c>
      <c r="M7521" t="s">
        <v>68</v>
      </c>
      <c r="N7521" t="str">
        <f t="shared" si="741"/>
        <v>FOR</v>
      </c>
      <c r="O7521" t="s">
        <v>69</v>
      </c>
      <c r="P7521" s="3" t="s">
        <v>75</v>
      </c>
      <c r="Q7521">
        <v>2016</v>
      </c>
      <c r="R7521" s="2">
        <v>42446</v>
      </c>
      <c r="S7521" s="2">
        <v>42448</v>
      </c>
      <c r="T7521" s="2">
        <v>42448</v>
      </c>
      <c r="U7521" s="2">
        <v>42508</v>
      </c>
      <c r="V7521" t="s">
        <v>71</v>
      </c>
      <c r="W7521" t="str">
        <f>"                 363"</f>
        <v xml:space="preserve">                 363</v>
      </c>
      <c r="X7521">
        <v>524.6</v>
      </c>
      <c r="Y7521">
        <v>0</v>
      </c>
      <c r="Z7521"/>
      <c r="AB7521"/>
      <c r="AC7521">
        <v>430</v>
      </c>
      <c r="AD7521">
        <v>69</v>
      </c>
      <c r="AE7521" s="1">
        <v>29670</v>
      </c>
      <c r="AF7521">
        <v>0</v>
      </c>
      <c r="AJ7521">
        <v>0</v>
      </c>
      <c r="AK7521">
        <v>0</v>
      </c>
      <c r="AL7521">
        <v>0</v>
      </c>
      <c r="AM7521">
        <v>524.6</v>
      </c>
      <c r="AN7521">
        <v>524.6</v>
      </c>
      <c r="AO7521">
        <v>524.6</v>
      </c>
      <c r="AP7521" s="2">
        <v>42746</v>
      </c>
      <c r="AQ7521" t="s">
        <v>72</v>
      </c>
      <c r="AR7521" t="s">
        <v>72</v>
      </c>
      <c r="AS7521">
        <v>1951</v>
      </c>
      <c r="AT7521" s="4">
        <v>42577</v>
      </c>
      <c r="AU7521" t="s">
        <v>73</v>
      </c>
      <c r="AV7521">
        <v>1951</v>
      </c>
      <c r="AW7521" s="4">
        <v>42577</v>
      </c>
      <c r="BD7521">
        <v>0</v>
      </c>
      <c r="BN7521" t="s">
        <v>74</v>
      </c>
    </row>
    <row r="7522" spans="1:66" hidden="1">
      <c r="A7522">
        <v>104297</v>
      </c>
      <c r="B7522" s="3" t="s">
        <v>639</v>
      </c>
      <c r="C7522" s="1">
        <v>43300101</v>
      </c>
      <c r="D7522" t="s">
        <v>67</v>
      </c>
      <c r="H7522" t="str">
        <f t="shared" si="742"/>
        <v>01282940681</v>
      </c>
      <c r="I7522" t="str">
        <f t="shared" si="742"/>
        <v>01282940681</v>
      </c>
      <c r="K7522" t="str">
        <f>""</f>
        <v/>
      </c>
      <c r="M7522" t="s">
        <v>68</v>
      </c>
      <c r="N7522" t="str">
        <f t="shared" si="741"/>
        <v>FOR</v>
      </c>
      <c r="O7522" t="s">
        <v>69</v>
      </c>
      <c r="P7522" s="3" t="s">
        <v>75</v>
      </c>
      <c r="Q7522">
        <v>2016</v>
      </c>
      <c r="R7522" s="2">
        <v>42479</v>
      </c>
      <c r="S7522" s="2">
        <v>42482</v>
      </c>
      <c r="T7522" s="2">
        <v>42481</v>
      </c>
      <c r="U7522" s="2">
        <v>42541</v>
      </c>
      <c r="V7522" t="s">
        <v>71</v>
      </c>
      <c r="W7522" t="str">
        <f>"                 540"</f>
        <v xml:space="preserve">                 540</v>
      </c>
      <c r="X7522">
        <v>284.54000000000002</v>
      </c>
      <c r="Y7522">
        <v>0</v>
      </c>
      <c r="Z7522"/>
      <c r="AB7522"/>
      <c r="AC7522">
        <v>273.60000000000002</v>
      </c>
      <c r="AD7522">
        <v>36</v>
      </c>
      <c r="AE7522" s="1">
        <v>9849.6</v>
      </c>
      <c r="AF7522">
        <v>0</v>
      </c>
      <c r="AJ7522">
        <v>0</v>
      </c>
      <c r="AK7522">
        <v>0</v>
      </c>
      <c r="AL7522">
        <v>0</v>
      </c>
      <c r="AM7522">
        <v>284.54000000000002</v>
      </c>
      <c r="AN7522">
        <v>284.54000000000002</v>
      </c>
      <c r="AO7522">
        <v>284.54000000000002</v>
      </c>
      <c r="AP7522" s="2">
        <v>42746</v>
      </c>
      <c r="AQ7522" t="s">
        <v>72</v>
      </c>
      <c r="AR7522" t="s">
        <v>72</v>
      </c>
      <c r="AS7522">
        <v>1951</v>
      </c>
      <c r="AT7522" s="4">
        <v>42577</v>
      </c>
      <c r="AU7522" t="s">
        <v>73</v>
      </c>
      <c r="AV7522">
        <v>1951</v>
      </c>
      <c r="AW7522" s="4">
        <v>42577</v>
      </c>
      <c r="BD7522">
        <v>0</v>
      </c>
      <c r="BN7522" t="s">
        <v>74</v>
      </c>
    </row>
    <row r="7523" spans="1:66" hidden="1">
      <c r="A7523">
        <v>104297</v>
      </c>
      <c r="B7523" s="3" t="s">
        <v>639</v>
      </c>
      <c r="C7523" s="1">
        <v>43300101</v>
      </c>
      <c r="D7523" t="s">
        <v>67</v>
      </c>
      <c r="H7523" t="str">
        <f t="shared" si="742"/>
        <v>01282940681</v>
      </c>
      <c r="I7523" t="str">
        <f t="shared" si="742"/>
        <v>01282940681</v>
      </c>
      <c r="K7523" t="str">
        <f>""</f>
        <v/>
      </c>
      <c r="M7523" t="s">
        <v>68</v>
      </c>
      <c r="N7523" t="str">
        <f t="shared" si="741"/>
        <v>FOR</v>
      </c>
      <c r="O7523" t="s">
        <v>69</v>
      </c>
      <c r="P7523" s="3" t="s">
        <v>75</v>
      </c>
      <c r="Q7523">
        <v>2016</v>
      </c>
      <c r="R7523" s="2">
        <v>42488</v>
      </c>
      <c r="S7523" s="2">
        <v>42494</v>
      </c>
      <c r="T7523" s="2">
        <v>42493</v>
      </c>
      <c r="U7523" s="2">
        <v>42553</v>
      </c>
      <c r="V7523" t="s">
        <v>71</v>
      </c>
      <c r="W7523" t="str">
        <f>"                 574"</f>
        <v xml:space="preserve">                 574</v>
      </c>
      <c r="X7523">
        <v>589.05999999999995</v>
      </c>
      <c r="Y7523">
        <v>0</v>
      </c>
      <c r="Z7523"/>
      <c r="AB7523"/>
      <c r="AC7523">
        <v>566.4</v>
      </c>
      <c r="AD7523">
        <v>24</v>
      </c>
      <c r="AE7523" s="1">
        <v>13593.6</v>
      </c>
      <c r="AF7523">
        <v>0</v>
      </c>
      <c r="AJ7523">
        <v>0</v>
      </c>
      <c r="AK7523">
        <v>0</v>
      </c>
      <c r="AL7523">
        <v>0</v>
      </c>
      <c r="AM7523">
        <v>589.05999999999995</v>
      </c>
      <c r="AN7523">
        <v>589.05999999999995</v>
      </c>
      <c r="AO7523">
        <v>589.05999999999995</v>
      </c>
      <c r="AP7523" s="2">
        <v>42746</v>
      </c>
      <c r="AQ7523" t="s">
        <v>72</v>
      </c>
      <c r="AR7523" t="s">
        <v>72</v>
      </c>
      <c r="AS7523">
        <v>1951</v>
      </c>
      <c r="AT7523" s="4">
        <v>42577</v>
      </c>
      <c r="AU7523" t="s">
        <v>73</v>
      </c>
      <c r="AV7523">
        <v>1951</v>
      </c>
      <c r="AW7523" s="4">
        <v>42577</v>
      </c>
      <c r="BD7523">
        <v>0</v>
      </c>
      <c r="BN7523" t="s">
        <v>74</v>
      </c>
    </row>
    <row r="7524" spans="1:66" hidden="1">
      <c r="A7524">
        <v>104297</v>
      </c>
      <c r="B7524" s="3" t="s">
        <v>639</v>
      </c>
      <c r="C7524" s="1">
        <v>43300101</v>
      </c>
      <c r="D7524" t="s">
        <v>67</v>
      </c>
      <c r="H7524" t="str">
        <f t="shared" si="742"/>
        <v>01282940681</v>
      </c>
      <c r="I7524" t="str">
        <f t="shared" si="742"/>
        <v>01282940681</v>
      </c>
      <c r="K7524" t="str">
        <f>""</f>
        <v/>
      </c>
      <c r="M7524" t="s">
        <v>68</v>
      </c>
      <c r="N7524" t="str">
        <f t="shared" si="741"/>
        <v>FOR</v>
      </c>
      <c r="O7524" t="s">
        <v>69</v>
      </c>
      <c r="P7524" s="3" t="s">
        <v>75</v>
      </c>
      <c r="Q7524">
        <v>2016</v>
      </c>
      <c r="R7524" s="2">
        <v>42513</v>
      </c>
      <c r="S7524" s="2">
        <v>42520</v>
      </c>
      <c r="T7524" s="2">
        <v>42518</v>
      </c>
      <c r="U7524" s="2">
        <v>42578</v>
      </c>
      <c r="V7524" t="s">
        <v>71</v>
      </c>
      <c r="W7524" t="str">
        <f>"                 700"</f>
        <v xml:space="preserve">                 700</v>
      </c>
      <c r="X7524">
        <v>524.6</v>
      </c>
      <c r="Y7524">
        <v>0</v>
      </c>
      <c r="Z7524"/>
      <c r="AB7524"/>
      <c r="AC7524">
        <v>430</v>
      </c>
      <c r="AD7524">
        <v>-1</v>
      </c>
      <c r="AE7524">
        <v>-430</v>
      </c>
      <c r="AF7524">
        <v>0</v>
      </c>
      <c r="AJ7524">
        <v>0</v>
      </c>
      <c r="AK7524">
        <v>0</v>
      </c>
      <c r="AL7524">
        <v>0</v>
      </c>
      <c r="AM7524">
        <v>524.6</v>
      </c>
      <c r="AN7524">
        <v>524.6</v>
      </c>
      <c r="AO7524">
        <v>524.6</v>
      </c>
      <c r="AP7524" s="2">
        <v>42746</v>
      </c>
      <c r="AQ7524" t="s">
        <v>72</v>
      </c>
      <c r="AR7524" t="s">
        <v>72</v>
      </c>
      <c r="AS7524">
        <v>1951</v>
      </c>
      <c r="AT7524" s="4">
        <v>42577</v>
      </c>
      <c r="AV7524">
        <v>1951</v>
      </c>
      <c r="AW7524" s="4">
        <v>42577</v>
      </c>
      <c r="BD7524">
        <v>0</v>
      </c>
      <c r="BN7524" t="s">
        <v>74</v>
      </c>
    </row>
    <row r="7525" spans="1:66">
      <c r="A7525">
        <v>104297</v>
      </c>
      <c r="B7525" s="3" t="s">
        <v>639</v>
      </c>
      <c r="C7525" s="1">
        <v>43300101</v>
      </c>
      <c r="D7525" t="s">
        <v>67</v>
      </c>
      <c r="H7525" t="str">
        <f t="shared" si="742"/>
        <v>01282940681</v>
      </c>
      <c r="I7525" t="str">
        <f t="shared" si="742"/>
        <v>01282940681</v>
      </c>
      <c r="K7525" t="str">
        <f>""</f>
        <v/>
      </c>
      <c r="M7525" t="s">
        <v>68</v>
      </c>
      <c r="N7525" t="str">
        <f t="shared" si="741"/>
        <v>FOR</v>
      </c>
      <c r="O7525" t="s">
        <v>69</v>
      </c>
      <c r="P7525" s="3" t="s">
        <v>75</v>
      </c>
      <c r="Q7525">
        <v>2016</v>
      </c>
      <c r="R7525" s="2">
        <v>42563</v>
      </c>
      <c r="S7525" s="2">
        <v>42571</v>
      </c>
      <c r="T7525" s="2">
        <v>42568</v>
      </c>
      <c r="U7525" s="2">
        <v>42628</v>
      </c>
      <c r="V7525" t="s">
        <v>71</v>
      </c>
      <c r="W7525" t="str">
        <f>"                 960"</f>
        <v xml:space="preserve">                 960</v>
      </c>
      <c r="X7525">
        <v>524.6</v>
      </c>
      <c r="Y7525">
        <v>0</v>
      </c>
      <c r="Z7525" s="3">
        <v>430</v>
      </c>
      <c r="AA7525">
        <v>18</v>
      </c>
      <c r="AB7525" s="5">
        <v>7740</v>
      </c>
      <c r="AC7525">
        <v>430</v>
      </c>
      <c r="AD7525">
        <v>18</v>
      </c>
      <c r="AE7525" s="1">
        <v>7740</v>
      </c>
      <c r="AF7525">
        <v>0</v>
      </c>
      <c r="AJ7525">
        <v>0</v>
      </c>
      <c r="AK7525">
        <v>0</v>
      </c>
      <c r="AL7525">
        <v>0</v>
      </c>
      <c r="AM7525">
        <v>524.6</v>
      </c>
      <c r="AN7525">
        <v>524.6</v>
      </c>
      <c r="AO7525">
        <v>524.6</v>
      </c>
      <c r="AP7525" s="2">
        <v>42746</v>
      </c>
      <c r="AQ7525" t="s">
        <v>72</v>
      </c>
      <c r="AR7525" t="s">
        <v>72</v>
      </c>
      <c r="AS7525">
        <v>2579</v>
      </c>
      <c r="AT7525" s="4">
        <v>42646</v>
      </c>
      <c r="AU7525" t="s">
        <v>73</v>
      </c>
      <c r="AV7525">
        <v>2579</v>
      </c>
      <c r="AW7525" s="4">
        <v>42646</v>
      </c>
      <c r="BD7525">
        <v>0</v>
      </c>
      <c r="BN7525" t="s">
        <v>74</v>
      </c>
    </row>
    <row r="7526" spans="1:66" hidden="1">
      <c r="A7526">
        <v>104311</v>
      </c>
      <c r="B7526" s="3" t="s">
        <v>640</v>
      </c>
      <c r="C7526" s="1">
        <v>43300101</v>
      </c>
      <c r="D7526" t="s">
        <v>67</v>
      </c>
      <c r="H7526" t="str">
        <f>"06202160013"</f>
        <v>06202160013</v>
      </c>
      <c r="I7526" t="str">
        <f>"06202160013"</f>
        <v>06202160013</v>
      </c>
      <c r="K7526" t="str">
        <f>""</f>
        <v/>
      </c>
      <c r="M7526" t="s">
        <v>68</v>
      </c>
      <c r="N7526" t="str">
        <f t="shared" si="741"/>
        <v>FOR</v>
      </c>
      <c r="O7526" t="s">
        <v>69</v>
      </c>
      <c r="P7526" s="3" t="s">
        <v>75</v>
      </c>
      <c r="Q7526">
        <v>2015</v>
      </c>
      <c r="R7526" s="2">
        <v>42185</v>
      </c>
      <c r="S7526" s="2">
        <v>42191</v>
      </c>
      <c r="T7526" s="2">
        <v>42190</v>
      </c>
      <c r="U7526" s="2">
        <v>42250</v>
      </c>
      <c r="V7526" t="s">
        <v>71</v>
      </c>
      <c r="W7526" t="str">
        <f>"                 174"</f>
        <v xml:space="preserve">                 174</v>
      </c>
      <c r="X7526" s="1">
        <v>11882.8</v>
      </c>
      <c r="Y7526">
        <v>0</v>
      </c>
      <c r="Z7526"/>
      <c r="AB7526"/>
      <c r="AC7526" s="1">
        <v>9740</v>
      </c>
      <c r="AD7526">
        <v>237</v>
      </c>
      <c r="AE7526" s="1">
        <v>2308380</v>
      </c>
      <c r="AF7526">
        <v>0</v>
      </c>
      <c r="AJ7526">
        <v>0</v>
      </c>
      <c r="AK7526">
        <v>0</v>
      </c>
      <c r="AL7526">
        <v>0</v>
      </c>
      <c r="AM7526">
        <v>0</v>
      </c>
      <c r="AN7526">
        <v>0</v>
      </c>
      <c r="AO7526">
        <v>0</v>
      </c>
      <c r="AP7526" s="2">
        <v>42746</v>
      </c>
      <c r="AQ7526" t="s">
        <v>72</v>
      </c>
      <c r="AR7526" t="s">
        <v>72</v>
      </c>
      <c r="AS7526">
        <v>1207</v>
      </c>
      <c r="AT7526" s="4">
        <v>42487</v>
      </c>
      <c r="AU7526" t="s">
        <v>73</v>
      </c>
      <c r="AV7526">
        <v>1207</v>
      </c>
      <c r="AW7526" s="4">
        <v>42487</v>
      </c>
      <c r="BD7526">
        <v>0</v>
      </c>
      <c r="BN7526" t="s">
        <v>74</v>
      </c>
    </row>
    <row r="7527" spans="1:66">
      <c r="A7527">
        <v>104311</v>
      </c>
      <c r="B7527" s="3" t="s">
        <v>640</v>
      </c>
      <c r="C7527" s="1">
        <v>43300101</v>
      </c>
      <c r="D7527" t="s">
        <v>67</v>
      </c>
      <c r="H7527" t="str">
        <f>"06202160013"</f>
        <v>06202160013</v>
      </c>
      <c r="I7527" t="str">
        <f>"06202160013"</f>
        <v>06202160013</v>
      </c>
      <c r="K7527" t="str">
        <f>""</f>
        <v/>
      </c>
      <c r="M7527" t="s">
        <v>68</v>
      </c>
      <c r="N7527" t="str">
        <f t="shared" si="741"/>
        <v>FOR</v>
      </c>
      <c r="O7527" t="s">
        <v>69</v>
      </c>
      <c r="P7527" s="3" t="s">
        <v>75</v>
      </c>
      <c r="Q7527">
        <v>2016</v>
      </c>
      <c r="R7527" s="2">
        <v>42398</v>
      </c>
      <c r="S7527" s="2">
        <v>42403</v>
      </c>
      <c r="T7527" s="2">
        <v>42402</v>
      </c>
      <c r="U7527" s="2">
        <v>42462</v>
      </c>
      <c r="V7527" t="s">
        <v>71</v>
      </c>
      <c r="W7527" t="str">
        <f>"                  60"</f>
        <v xml:space="preserve">                  60</v>
      </c>
      <c r="X7527" s="1">
        <v>11335.02</v>
      </c>
      <c r="Y7527">
        <v>0</v>
      </c>
      <c r="Z7527" s="5">
        <v>9291</v>
      </c>
      <c r="AA7527">
        <v>261</v>
      </c>
      <c r="AB7527" s="5">
        <v>2424951</v>
      </c>
      <c r="AC7527" s="1">
        <v>9291</v>
      </c>
      <c r="AD7527">
        <v>261</v>
      </c>
      <c r="AE7527" s="1">
        <v>2424951</v>
      </c>
      <c r="AF7527" s="1">
        <v>2044.02</v>
      </c>
      <c r="AJ7527">
        <v>0</v>
      </c>
      <c r="AK7527">
        <v>0</v>
      </c>
      <c r="AL7527">
        <v>0</v>
      </c>
      <c r="AM7527" s="1">
        <v>11335.02</v>
      </c>
      <c r="AN7527" s="1">
        <v>11335.02</v>
      </c>
      <c r="AO7527" s="1">
        <v>11335.02</v>
      </c>
      <c r="AP7527" s="2">
        <v>42746</v>
      </c>
      <c r="AQ7527" t="s">
        <v>72</v>
      </c>
      <c r="AR7527" t="s">
        <v>72</v>
      </c>
      <c r="AS7527">
        <v>3629</v>
      </c>
      <c r="AT7527" s="4">
        <v>42723</v>
      </c>
      <c r="AU7527" t="s">
        <v>73</v>
      </c>
      <c r="AV7527">
        <v>3629</v>
      </c>
      <c r="AW7527" s="4">
        <v>42723</v>
      </c>
      <c r="BD7527" s="1">
        <v>2044.02</v>
      </c>
      <c r="BN7527" t="s">
        <v>74</v>
      </c>
    </row>
    <row r="7528" spans="1:66" hidden="1">
      <c r="A7528">
        <v>104316</v>
      </c>
      <c r="B7528" s="3" t="s">
        <v>641</v>
      </c>
      <c r="C7528" s="1">
        <v>43300101</v>
      </c>
      <c r="D7528" t="s">
        <v>67</v>
      </c>
      <c r="H7528" t="str">
        <f t="shared" ref="H7528:H7534" si="743">"93026890017"</f>
        <v>93026890017</v>
      </c>
      <c r="I7528" t="str">
        <f t="shared" ref="I7528:I7534" si="744">"08539010010"</f>
        <v>08539010010</v>
      </c>
      <c r="K7528" t="str">
        <f>""</f>
        <v/>
      </c>
      <c r="M7528" t="s">
        <v>68</v>
      </c>
      <c r="N7528" t="str">
        <f t="shared" si="741"/>
        <v>FOR</v>
      </c>
      <c r="O7528" t="s">
        <v>69</v>
      </c>
      <c r="P7528" s="3" t="s">
        <v>75</v>
      </c>
      <c r="Q7528">
        <v>2015</v>
      </c>
      <c r="R7528" s="2">
        <v>42312</v>
      </c>
      <c r="S7528" s="2">
        <v>42313</v>
      </c>
      <c r="T7528" s="2">
        <v>42312</v>
      </c>
      <c r="U7528" s="2">
        <v>42372</v>
      </c>
      <c r="V7528" t="s">
        <v>71</v>
      </c>
      <c r="W7528" t="str">
        <f>"          AF15714532"</f>
        <v xml:space="preserve">          AF15714532</v>
      </c>
      <c r="X7528">
        <v>61</v>
      </c>
      <c r="Y7528">
        <v>0</v>
      </c>
      <c r="Z7528"/>
      <c r="AB7528"/>
      <c r="AC7528">
        <v>50</v>
      </c>
      <c r="AD7528">
        <v>30</v>
      </c>
      <c r="AE7528" s="1">
        <v>1500</v>
      </c>
      <c r="AF7528">
        <v>0</v>
      </c>
      <c r="AJ7528">
        <v>0</v>
      </c>
      <c r="AK7528">
        <v>0</v>
      </c>
      <c r="AL7528">
        <v>0</v>
      </c>
      <c r="AM7528">
        <v>0</v>
      </c>
      <c r="AN7528">
        <v>0</v>
      </c>
      <c r="AO7528">
        <v>0</v>
      </c>
      <c r="AP7528" s="2">
        <v>42746</v>
      </c>
      <c r="AQ7528" t="s">
        <v>72</v>
      </c>
      <c r="AR7528" t="s">
        <v>72</v>
      </c>
      <c r="AS7528">
        <v>205</v>
      </c>
      <c r="AT7528" s="4">
        <v>42402</v>
      </c>
      <c r="AU7528" t="s">
        <v>73</v>
      </c>
      <c r="AV7528">
        <v>205</v>
      </c>
      <c r="AW7528" s="4">
        <v>42402</v>
      </c>
      <c r="BD7528">
        <v>0</v>
      </c>
      <c r="BN7528" t="s">
        <v>74</v>
      </c>
    </row>
    <row r="7529" spans="1:66" hidden="1">
      <c r="A7529">
        <v>104316</v>
      </c>
      <c r="B7529" s="3" t="s">
        <v>641</v>
      </c>
      <c r="C7529" s="1">
        <v>43300101</v>
      </c>
      <c r="D7529" t="s">
        <v>67</v>
      </c>
      <c r="H7529" t="str">
        <f t="shared" si="743"/>
        <v>93026890017</v>
      </c>
      <c r="I7529" t="str">
        <f t="shared" si="744"/>
        <v>08539010010</v>
      </c>
      <c r="K7529" t="str">
        <f>""</f>
        <v/>
      </c>
      <c r="M7529" t="s">
        <v>68</v>
      </c>
      <c r="N7529" t="str">
        <f t="shared" si="741"/>
        <v>FOR</v>
      </c>
      <c r="O7529" t="s">
        <v>69</v>
      </c>
      <c r="P7529" s="3" t="s">
        <v>75</v>
      </c>
      <c r="Q7529">
        <v>2015</v>
      </c>
      <c r="R7529" s="2">
        <v>42369</v>
      </c>
      <c r="S7529" s="2">
        <v>42369</v>
      </c>
      <c r="T7529" s="2">
        <v>42369</v>
      </c>
      <c r="U7529" s="2">
        <v>42429</v>
      </c>
      <c r="V7529" t="s">
        <v>71</v>
      </c>
      <c r="W7529" t="str">
        <f>"          AF18937123"</f>
        <v xml:space="preserve">          AF18937123</v>
      </c>
      <c r="X7529">
        <v>61</v>
      </c>
      <c r="Y7529">
        <v>0</v>
      </c>
      <c r="Z7529"/>
      <c r="AB7529"/>
      <c r="AC7529">
        <v>50</v>
      </c>
      <c r="AD7529">
        <v>64</v>
      </c>
      <c r="AE7529" s="1">
        <v>3200</v>
      </c>
      <c r="AF7529">
        <v>0</v>
      </c>
      <c r="AJ7529">
        <v>0</v>
      </c>
      <c r="AK7529">
        <v>0</v>
      </c>
      <c r="AL7529">
        <v>0</v>
      </c>
      <c r="AM7529">
        <v>0</v>
      </c>
      <c r="AN7529">
        <v>0</v>
      </c>
      <c r="AO7529">
        <v>0</v>
      </c>
      <c r="AP7529" s="2">
        <v>42746</v>
      </c>
      <c r="AQ7529" t="s">
        <v>72</v>
      </c>
      <c r="AR7529" t="s">
        <v>72</v>
      </c>
      <c r="AS7529">
        <v>1256</v>
      </c>
      <c r="AT7529" s="4">
        <v>42493</v>
      </c>
      <c r="AU7529" t="s">
        <v>73</v>
      </c>
      <c r="AV7529">
        <v>1256</v>
      </c>
      <c r="AW7529" s="4">
        <v>42493</v>
      </c>
      <c r="BD7529">
        <v>0</v>
      </c>
      <c r="BN7529" t="s">
        <v>74</v>
      </c>
    </row>
    <row r="7530" spans="1:66" hidden="1">
      <c r="A7530">
        <v>104316</v>
      </c>
      <c r="B7530" s="3" t="s">
        <v>641</v>
      </c>
      <c r="C7530" s="1">
        <v>43300101</v>
      </c>
      <c r="D7530" t="s">
        <v>67</v>
      </c>
      <c r="H7530" t="str">
        <f t="shared" si="743"/>
        <v>93026890017</v>
      </c>
      <c r="I7530" t="str">
        <f t="shared" si="744"/>
        <v>08539010010</v>
      </c>
      <c r="K7530" t="str">
        <f>""</f>
        <v/>
      </c>
      <c r="M7530" t="s">
        <v>68</v>
      </c>
      <c r="N7530" t="str">
        <f t="shared" si="741"/>
        <v>FOR</v>
      </c>
      <c r="O7530" t="s">
        <v>69</v>
      </c>
      <c r="P7530" s="3" t="s">
        <v>75</v>
      </c>
      <c r="Q7530">
        <v>2016</v>
      </c>
      <c r="R7530" s="2">
        <v>42431</v>
      </c>
      <c r="S7530" s="2">
        <v>42436</v>
      </c>
      <c r="T7530" s="2">
        <v>42432</v>
      </c>
      <c r="U7530" s="2">
        <v>42492</v>
      </c>
      <c r="V7530" t="s">
        <v>71</v>
      </c>
      <c r="W7530" t="str">
        <f>"          AG03013105"</f>
        <v xml:space="preserve">          AG03013105</v>
      </c>
      <c r="X7530">
        <v>61</v>
      </c>
      <c r="Y7530">
        <v>0</v>
      </c>
      <c r="Z7530"/>
      <c r="AB7530"/>
      <c r="AC7530">
        <v>50</v>
      </c>
      <c r="AD7530">
        <v>-39</v>
      </c>
      <c r="AE7530" s="1">
        <v>-1950</v>
      </c>
      <c r="AF7530">
        <v>0</v>
      </c>
      <c r="AJ7530">
        <v>0</v>
      </c>
      <c r="AK7530">
        <v>0</v>
      </c>
      <c r="AL7530">
        <v>0</v>
      </c>
      <c r="AM7530">
        <v>0</v>
      </c>
      <c r="AN7530">
        <v>61</v>
      </c>
      <c r="AO7530">
        <v>61</v>
      </c>
      <c r="AP7530" s="2">
        <v>42746</v>
      </c>
      <c r="AQ7530" t="s">
        <v>72</v>
      </c>
      <c r="AR7530" t="s">
        <v>72</v>
      </c>
      <c r="AS7530">
        <v>875</v>
      </c>
      <c r="AT7530" s="4">
        <v>42453</v>
      </c>
      <c r="AV7530">
        <v>875</v>
      </c>
      <c r="AW7530" s="4">
        <v>42453</v>
      </c>
      <c r="BD7530">
        <v>0</v>
      </c>
      <c r="BN7530" t="s">
        <v>74</v>
      </c>
    </row>
    <row r="7531" spans="1:66" hidden="1">
      <c r="A7531">
        <v>104316</v>
      </c>
      <c r="B7531" s="3" t="s">
        <v>641</v>
      </c>
      <c r="C7531" s="1">
        <v>43300101</v>
      </c>
      <c r="D7531" t="s">
        <v>67</v>
      </c>
      <c r="H7531" t="str">
        <f t="shared" si="743"/>
        <v>93026890017</v>
      </c>
      <c r="I7531" t="str">
        <f t="shared" si="744"/>
        <v>08539010010</v>
      </c>
      <c r="K7531" t="str">
        <f>""</f>
        <v/>
      </c>
      <c r="M7531" t="s">
        <v>68</v>
      </c>
      <c r="N7531" t="str">
        <f t="shared" si="741"/>
        <v>FOR</v>
      </c>
      <c r="O7531" t="s">
        <v>69</v>
      </c>
      <c r="P7531" s="3" t="s">
        <v>75</v>
      </c>
      <c r="Q7531">
        <v>2016</v>
      </c>
      <c r="R7531" s="2">
        <v>42491</v>
      </c>
      <c r="S7531" s="2">
        <v>42493</v>
      </c>
      <c r="T7531" s="2">
        <v>42492</v>
      </c>
      <c r="U7531" s="2">
        <v>42552</v>
      </c>
      <c r="V7531" t="s">
        <v>71</v>
      </c>
      <c r="W7531" t="str">
        <f>"          AG06236692"</f>
        <v xml:space="preserve">          AG06236692</v>
      </c>
      <c r="X7531">
        <v>61</v>
      </c>
      <c r="Y7531">
        <v>0</v>
      </c>
      <c r="Z7531"/>
      <c r="AB7531"/>
      <c r="AC7531">
        <v>50</v>
      </c>
      <c r="AD7531">
        <v>-32</v>
      </c>
      <c r="AE7531" s="1">
        <v>-1600</v>
      </c>
      <c r="AF7531">
        <v>0</v>
      </c>
      <c r="AJ7531">
        <v>0</v>
      </c>
      <c r="AK7531">
        <v>0</v>
      </c>
      <c r="AL7531">
        <v>0</v>
      </c>
      <c r="AM7531">
        <v>61</v>
      </c>
      <c r="AN7531">
        <v>61</v>
      </c>
      <c r="AO7531">
        <v>61</v>
      </c>
      <c r="AP7531" s="2">
        <v>42746</v>
      </c>
      <c r="AQ7531" t="s">
        <v>72</v>
      </c>
      <c r="AR7531" t="s">
        <v>72</v>
      </c>
      <c r="AS7531">
        <v>1422</v>
      </c>
      <c r="AT7531" s="4">
        <v>42520</v>
      </c>
      <c r="AV7531">
        <v>1422</v>
      </c>
      <c r="AW7531" s="4">
        <v>42520</v>
      </c>
      <c r="BD7531">
        <v>0</v>
      </c>
      <c r="BN7531" t="s">
        <v>74</v>
      </c>
    </row>
    <row r="7532" spans="1:66" hidden="1">
      <c r="A7532">
        <v>104316</v>
      </c>
      <c r="B7532" s="3" t="s">
        <v>641</v>
      </c>
      <c r="C7532" s="1">
        <v>43300101</v>
      </c>
      <c r="D7532" t="s">
        <v>67</v>
      </c>
      <c r="H7532" t="str">
        <f t="shared" si="743"/>
        <v>93026890017</v>
      </c>
      <c r="I7532" t="str">
        <f t="shared" si="744"/>
        <v>08539010010</v>
      </c>
      <c r="K7532" t="str">
        <f>""</f>
        <v/>
      </c>
      <c r="M7532" t="s">
        <v>68</v>
      </c>
      <c r="N7532" t="str">
        <f t="shared" si="741"/>
        <v>FOR</v>
      </c>
      <c r="O7532" t="s">
        <v>69</v>
      </c>
      <c r="P7532" s="3" t="s">
        <v>75</v>
      </c>
      <c r="Q7532">
        <v>2016</v>
      </c>
      <c r="R7532" s="2">
        <v>42549</v>
      </c>
      <c r="S7532" s="2">
        <v>42552</v>
      </c>
      <c r="T7532" s="2">
        <v>42551</v>
      </c>
      <c r="U7532" s="2">
        <v>42611</v>
      </c>
      <c r="V7532" t="s">
        <v>71</v>
      </c>
      <c r="W7532" t="str">
        <f>"          AG09573329"</f>
        <v xml:space="preserve">          AG09573329</v>
      </c>
      <c r="X7532">
        <v>61</v>
      </c>
      <c r="Y7532">
        <v>0</v>
      </c>
      <c r="Z7532"/>
      <c r="AB7532"/>
      <c r="AC7532">
        <v>50</v>
      </c>
      <c r="AD7532">
        <v>-35</v>
      </c>
      <c r="AE7532" s="1">
        <v>-1750</v>
      </c>
      <c r="AF7532">
        <v>0</v>
      </c>
      <c r="AJ7532">
        <v>0</v>
      </c>
      <c r="AK7532">
        <v>0</v>
      </c>
      <c r="AL7532">
        <v>0</v>
      </c>
      <c r="AM7532">
        <v>61</v>
      </c>
      <c r="AN7532">
        <v>61</v>
      </c>
      <c r="AO7532">
        <v>61</v>
      </c>
      <c r="AP7532" s="2">
        <v>42746</v>
      </c>
      <c r="AQ7532" t="s">
        <v>72</v>
      </c>
      <c r="AR7532" t="s">
        <v>72</v>
      </c>
      <c r="AS7532">
        <v>1895</v>
      </c>
      <c r="AT7532" s="4">
        <v>42576</v>
      </c>
      <c r="AV7532">
        <v>1895</v>
      </c>
      <c r="AW7532" s="4">
        <v>42576</v>
      </c>
      <c r="BD7532">
        <v>0</v>
      </c>
      <c r="BN7532" t="s">
        <v>74</v>
      </c>
    </row>
    <row r="7533" spans="1:66">
      <c r="A7533">
        <v>104316</v>
      </c>
      <c r="B7533" s="3" t="s">
        <v>641</v>
      </c>
      <c r="C7533" s="1">
        <v>43300101</v>
      </c>
      <c r="D7533" t="s">
        <v>67</v>
      </c>
      <c r="H7533" t="str">
        <f t="shared" si="743"/>
        <v>93026890017</v>
      </c>
      <c r="I7533" t="str">
        <f t="shared" si="744"/>
        <v>08539010010</v>
      </c>
      <c r="K7533" t="str">
        <f>""</f>
        <v/>
      </c>
      <c r="M7533" t="s">
        <v>68</v>
      </c>
      <c r="N7533" t="str">
        <f t="shared" si="741"/>
        <v>FOR</v>
      </c>
      <c r="O7533" t="s">
        <v>69</v>
      </c>
      <c r="P7533" s="3" t="s">
        <v>75</v>
      </c>
      <c r="Q7533">
        <v>2016</v>
      </c>
      <c r="R7533" s="2">
        <v>42610</v>
      </c>
      <c r="S7533" s="2">
        <v>42612</v>
      </c>
      <c r="T7533" s="2">
        <v>42611</v>
      </c>
      <c r="U7533" s="2">
        <v>42671</v>
      </c>
      <c r="V7533" t="s">
        <v>71</v>
      </c>
      <c r="W7533" t="str">
        <f>"          AG13305014"</f>
        <v xml:space="preserve">          AG13305014</v>
      </c>
      <c r="X7533">
        <v>61</v>
      </c>
      <c r="Y7533">
        <v>0</v>
      </c>
      <c r="Z7533" s="3">
        <v>50</v>
      </c>
      <c r="AA7533">
        <v>-24</v>
      </c>
      <c r="AB7533" s="5">
        <v>-1200</v>
      </c>
      <c r="AC7533">
        <v>50</v>
      </c>
      <c r="AD7533">
        <v>-24</v>
      </c>
      <c r="AE7533" s="1">
        <v>-1200</v>
      </c>
      <c r="AF7533">
        <v>0</v>
      </c>
      <c r="AJ7533">
        <v>0</v>
      </c>
      <c r="AK7533">
        <v>0</v>
      </c>
      <c r="AL7533">
        <v>0</v>
      </c>
      <c r="AM7533">
        <v>61</v>
      </c>
      <c r="AN7533">
        <v>61</v>
      </c>
      <c r="AO7533">
        <v>61</v>
      </c>
      <c r="AP7533" s="2">
        <v>42746</v>
      </c>
      <c r="AQ7533" t="s">
        <v>72</v>
      </c>
      <c r="AR7533" t="s">
        <v>72</v>
      </c>
      <c r="AS7533">
        <v>2591</v>
      </c>
      <c r="AT7533" s="4">
        <v>42647</v>
      </c>
      <c r="AV7533">
        <v>2591</v>
      </c>
      <c r="AW7533" s="4">
        <v>42647</v>
      </c>
      <c r="BD7533">
        <v>0</v>
      </c>
      <c r="BN7533" t="s">
        <v>74</v>
      </c>
    </row>
    <row r="7534" spans="1:66">
      <c r="A7534">
        <v>104316</v>
      </c>
      <c r="B7534" s="3" t="s">
        <v>641</v>
      </c>
      <c r="C7534" s="1">
        <v>43300101</v>
      </c>
      <c r="D7534" t="s">
        <v>67</v>
      </c>
      <c r="H7534" t="str">
        <f t="shared" si="743"/>
        <v>93026890017</v>
      </c>
      <c r="I7534" t="str">
        <f t="shared" si="744"/>
        <v>08539010010</v>
      </c>
      <c r="K7534" t="str">
        <f>""</f>
        <v/>
      </c>
      <c r="M7534" t="s">
        <v>68</v>
      </c>
      <c r="N7534" t="str">
        <f t="shared" si="741"/>
        <v>FOR</v>
      </c>
      <c r="O7534" t="s">
        <v>69</v>
      </c>
      <c r="P7534" s="3" t="s">
        <v>75</v>
      </c>
      <c r="Q7534">
        <v>2016</v>
      </c>
      <c r="R7534" s="2">
        <v>42670</v>
      </c>
      <c r="S7534" s="2">
        <v>42676</v>
      </c>
      <c r="T7534" s="2">
        <v>42674</v>
      </c>
      <c r="U7534" s="2">
        <v>42734</v>
      </c>
      <c r="V7534" t="s">
        <v>71</v>
      </c>
      <c r="W7534" t="str">
        <f>"          AG17135848"</f>
        <v xml:space="preserve">          AG17135848</v>
      </c>
      <c r="X7534">
        <v>61</v>
      </c>
      <c r="Y7534">
        <v>0</v>
      </c>
      <c r="Z7534" s="3">
        <v>50</v>
      </c>
      <c r="AA7534">
        <v>-16</v>
      </c>
      <c r="AB7534" s="3">
        <v>-800</v>
      </c>
      <c r="AC7534">
        <v>50</v>
      </c>
      <c r="AD7534">
        <v>-16</v>
      </c>
      <c r="AE7534">
        <v>-800</v>
      </c>
      <c r="AF7534">
        <v>11</v>
      </c>
      <c r="AJ7534">
        <v>61</v>
      </c>
      <c r="AK7534">
        <v>61</v>
      </c>
      <c r="AL7534">
        <v>61</v>
      </c>
      <c r="AM7534">
        <v>61</v>
      </c>
      <c r="AN7534">
        <v>61</v>
      </c>
      <c r="AO7534">
        <v>61</v>
      </c>
      <c r="AP7534" s="2">
        <v>42746</v>
      </c>
      <c r="AQ7534" t="s">
        <v>72</v>
      </c>
      <c r="AR7534" t="s">
        <v>72</v>
      </c>
      <c r="AS7534">
        <v>3480</v>
      </c>
      <c r="AT7534" s="4">
        <v>42718</v>
      </c>
      <c r="AV7534">
        <v>3480</v>
      </c>
      <c r="AW7534" s="4">
        <v>42718</v>
      </c>
      <c r="AX7534">
        <v>11</v>
      </c>
      <c r="BD7534">
        <v>0</v>
      </c>
      <c r="BN7534" t="s">
        <v>74</v>
      </c>
    </row>
    <row r="7535" spans="1:66" hidden="1">
      <c r="A7535">
        <v>104319</v>
      </c>
      <c r="B7535" s="3" t="s">
        <v>642</v>
      </c>
      <c r="C7535" s="1">
        <v>43500101</v>
      </c>
      <c r="D7535" t="s">
        <v>113</v>
      </c>
      <c r="H7535" t="str">
        <f>"GMBMHL69S09B267X"</f>
        <v>GMBMHL69S09B267X</v>
      </c>
      <c r="I7535" t="str">
        <f>"01191950623"</f>
        <v>01191950623</v>
      </c>
      <c r="K7535" t="str">
        <f>""</f>
        <v/>
      </c>
      <c r="M7535" t="s">
        <v>68</v>
      </c>
      <c r="N7535" t="str">
        <f>"ALTPRO"</f>
        <v>ALTPRO</v>
      </c>
      <c r="O7535" t="s">
        <v>132</v>
      </c>
      <c r="P7535" s="3" t="s">
        <v>643</v>
      </c>
      <c r="Q7535">
        <v>2016</v>
      </c>
      <c r="R7535" s="2">
        <v>42482</v>
      </c>
      <c r="S7535" s="2">
        <v>42482</v>
      </c>
      <c r="T7535" s="2">
        <v>42482</v>
      </c>
      <c r="U7535" s="2">
        <v>42542</v>
      </c>
      <c r="V7535" t="s">
        <v>71</v>
      </c>
      <c r="W7535" t="str">
        <f>"                 102"</f>
        <v xml:space="preserve">                 102</v>
      </c>
      <c r="X7535">
        <v>0</v>
      </c>
      <c r="Y7535" s="1">
        <v>2257.23</v>
      </c>
      <c r="Z7535"/>
      <c r="AB7535"/>
      <c r="AC7535" s="1">
        <v>2257.23</v>
      </c>
      <c r="AD7535">
        <v>-49</v>
      </c>
      <c r="AE7535" s="1">
        <v>-110604.27</v>
      </c>
      <c r="AF7535">
        <v>0</v>
      </c>
      <c r="AJ7535">
        <v>0</v>
      </c>
      <c r="AK7535">
        <v>0</v>
      </c>
      <c r="AL7535">
        <v>0</v>
      </c>
      <c r="AM7535" s="1">
        <v>2257.23</v>
      </c>
      <c r="AN7535" s="1">
        <v>2257.23</v>
      </c>
      <c r="AO7535" s="1">
        <v>2257.23</v>
      </c>
      <c r="AP7535" s="2">
        <v>42746</v>
      </c>
      <c r="AQ7535" t="s">
        <v>72</v>
      </c>
      <c r="AR7535" t="s">
        <v>72</v>
      </c>
      <c r="AS7535">
        <v>1252</v>
      </c>
      <c r="AT7535" s="4">
        <v>42493</v>
      </c>
      <c r="AV7535">
        <v>1252</v>
      </c>
      <c r="AW7535" s="4">
        <v>42493</v>
      </c>
      <c r="BD7535">
        <v>0</v>
      </c>
      <c r="BN7535" t="s">
        <v>74</v>
      </c>
    </row>
    <row r="7536" spans="1:66" hidden="1">
      <c r="A7536">
        <v>104319</v>
      </c>
      <c r="B7536" s="3" t="s">
        <v>642</v>
      </c>
      <c r="C7536" s="1">
        <v>43500101</v>
      </c>
      <c r="D7536" t="s">
        <v>113</v>
      </c>
      <c r="H7536" t="str">
        <f>"GMBMHL69S09B267X"</f>
        <v>GMBMHL69S09B267X</v>
      </c>
      <c r="I7536" t="str">
        <f>"01191950623"</f>
        <v>01191950623</v>
      </c>
      <c r="K7536" t="str">
        <f>""</f>
        <v/>
      </c>
      <c r="M7536" t="s">
        <v>68</v>
      </c>
      <c r="N7536" t="str">
        <f>"ALTPRO"</f>
        <v>ALTPRO</v>
      </c>
      <c r="O7536" t="s">
        <v>132</v>
      </c>
      <c r="P7536" s="3" t="s">
        <v>644</v>
      </c>
      <c r="Q7536">
        <v>2016</v>
      </c>
      <c r="R7536" s="2">
        <v>42718</v>
      </c>
      <c r="S7536" s="2">
        <v>42718</v>
      </c>
      <c r="T7536" s="2">
        <v>42718</v>
      </c>
      <c r="U7536" s="2">
        <v>42778</v>
      </c>
      <c r="V7536" t="s">
        <v>71</v>
      </c>
      <c r="W7536" t="str">
        <f>"                 289"</f>
        <v xml:space="preserve">                 289</v>
      </c>
      <c r="X7536">
        <v>0</v>
      </c>
      <c r="Y7536" s="1">
        <v>1478.98</v>
      </c>
      <c r="Z7536" s="5">
        <v>1478.98</v>
      </c>
      <c r="AA7536">
        <v>-60</v>
      </c>
      <c r="AB7536" s="5">
        <v>-88738.8</v>
      </c>
      <c r="AC7536" s="1">
        <v>1478.98</v>
      </c>
      <c r="AD7536">
        <v>-60</v>
      </c>
      <c r="AE7536" s="1">
        <v>-88738.8</v>
      </c>
      <c r="AF7536">
        <v>0</v>
      </c>
      <c r="AJ7536" s="1">
        <v>1478.98</v>
      </c>
      <c r="AK7536" s="1">
        <v>1478.98</v>
      </c>
      <c r="AL7536" s="1">
        <v>1478.98</v>
      </c>
      <c r="AM7536" s="1">
        <v>1478.98</v>
      </c>
      <c r="AN7536" s="1">
        <v>1478.98</v>
      </c>
      <c r="AO7536" s="1">
        <v>1478.98</v>
      </c>
      <c r="AP7536" s="2">
        <v>42746</v>
      </c>
      <c r="AQ7536" t="s">
        <v>72</v>
      </c>
      <c r="AR7536" t="s">
        <v>72</v>
      </c>
      <c r="AS7536">
        <v>3457</v>
      </c>
      <c r="AT7536" s="4">
        <v>42718</v>
      </c>
      <c r="AV7536">
        <v>3457</v>
      </c>
      <c r="AW7536" s="4">
        <v>42718</v>
      </c>
      <c r="BD7536">
        <v>0</v>
      </c>
      <c r="BN7536" t="s">
        <v>74</v>
      </c>
    </row>
    <row r="7537" spans="1:66" hidden="1">
      <c r="A7537">
        <v>104319</v>
      </c>
      <c r="B7537" s="3" t="s">
        <v>642</v>
      </c>
      <c r="C7537" s="1">
        <v>43500101</v>
      </c>
      <c r="D7537" t="s">
        <v>113</v>
      </c>
      <c r="H7537" t="str">
        <f>"GMBMHL69S09B267X"</f>
        <v>GMBMHL69S09B267X</v>
      </c>
      <c r="I7537" t="str">
        <f>"01191950623"</f>
        <v>01191950623</v>
      </c>
      <c r="K7537" t="str">
        <f>""</f>
        <v/>
      </c>
      <c r="M7537" t="s">
        <v>68</v>
      </c>
      <c r="N7537" t="str">
        <f>"ALTPRO"</f>
        <v>ALTPRO</v>
      </c>
      <c r="O7537" t="s">
        <v>132</v>
      </c>
      <c r="P7537" s="3" t="s">
        <v>645</v>
      </c>
      <c r="Q7537">
        <v>2016</v>
      </c>
      <c r="R7537" s="2">
        <v>42718</v>
      </c>
      <c r="S7537" s="2">
        <v>42718</v>
      </c>
      <c r="T7537" s="2">
        <v>42718</v>
      </c>
      <c r="U7537" s="2">
        <v>42778</v>
      </c>
      <c r="V7537" t="s">
        <v>71</v>
      </c>
      <c r="W7537" t="str">
        <f>"                 290"</f>
        <v xml:space="preserve">                 290</v>
      </c>
      <c r="X7537">
        <v>0</v>
      </c>
      <c r="Y7537">
        <v>621.12</v>
      </c>
      <c r="Z7537" s="3">
        <v>621.12</v>
      </c>
      <c r="AA7537">
        <v>-60</v>
      </c>
      <c r="AB7537" s="5">
        <v>-37267.199999999997</v>
      </c>
      <c r="AC7537">
        <v>621.12</v>
      </c>
      <c r="AD7537">
        <v>-60</v>
      </c>
      <c r="AE7537" s="1">
        <v>-37267.199999999997</v>
      </c>
      <c r="AF7537">
        <v>0</v>
      </c>
      <c r="AJ7537">
        <v>621.12</v>
      </c>
      <c r="AK7537">
        <v>621.12</v>
      </c>
      <c r="AL7537">
        <v>621.12</v>
      </c>
      <c r="AM7537">
        <v>621.12</v>
      </c>
      <c r="AN7537">
        <v>621.12</v>
      </c>
      <c r="AO7537">
        <v>621.12</v>
      </c>
      <c r="AP7537" s="2">
        <v>42746</v>
      </c>
      <c r="AQ7537" t="s">
        <v>72</v>
      </c>
      <c r="AR7537" t="s">
        <v>72</v>
      </c>
      <c r="AS7537">
        <v>3457</v>
      </c>
      <c r="AT7537" s="4">
        <v>42718</v>
      </c>
      <c r="AV7537">
        <v>3457</v>
      </c>
      <c r="AW7537" s="4">
        <v>42718</v>
      </c>
      <c r="BD7537">
        <v>0</v>
      </c>
      <c r="BN7537" t="s">
        <v>74</v>
      </c>
    </row>
    <row r="7538" spans="1:66">
      <c r="A7538">
        <v>104321</v>
      </c>
      <c r="B7538" s="3" t="s">
        <v>646</v>
      </c>
      <c r="C7538" s="1">
        <v>43300101</v>
      </c>
      <c r="D7538" t="s">
        <v>67</v>
      </c>
      <c r="H7538" t="str">
        <f t="shared" ref="H7538:I7546" si="745">"00707060323"</f>
        <v>00707060323</v>
      </c>
      <c r="I7538" t="str">
        <f t="shared" si="745"/>
        <v>00707060323</v>
      </c>
      <c r="K7538" t="str">
        <f>""</f>
        <v/>
      </c>
      <c r="M7538" t="s">
        <v>68</v>
      </c>
      <c r="N7538" t="str">
        <f t="shared" ref="N7538:N7548" si="746">"FOR"</f>
        <v>FOR</v>
      </c>
      <c r="O7538" t="s">
        <v>69</v>
      </c>
      <c r="P7538" s="3" t="s">
        <v>75</v>
      </c>
      <c r="Q7538">
        <v>2016</v>
      </c>
      <c r="R7538" s="2">
        <v>42429</v>
      </c>
      <c r="S7538" s="2">
        <v>42438</v>
      </c>
      <c r="T7538" s="2">
        <v>42437</v>
      </c>
      <c r="U7538" s="2">
        <v>42497</v>
      </c>
      <c r="V7538" t="s">
        <v>71</v>
      </c>
      <c r="W7538" t="str">
        <f>"              400049"</f>
        <v xml:space="preserve">              400049</v>
      </c>
      <c r="X7538" s="1">
        <v>1215.1199999999999</v>
      </c>
      <c r="Y7538">
        <v>0</v>
      </c>
      <c r="Z7538" s="3">
        <v>996</v>
      </c>
      <c r="AA7538">
        <v>192</v>
      </c>
      <c r="AB7538" s="5">
        <v>191232</v>
      </c>
      <c r="AC7538">
        <v>996</v>
      </c>
      <c r="AD7538">
        <v>192</v>
      </c>
      <c r="AE7538" s="1">
        <v>191232</v>
      </c>
      <c r="AF7538">
        <v>0</v>
      </c>
      <c r="AJ7538">
        <v>0</v>
      </c>
      <c r="AK7538">
        <v>0</v>
      </c>
      <c r="AL7538">
        <v>0</v>
      </c>
      <c r="AM7538" s="1">
        <v>1215.1199999999999</v>
      </c>
      <c r="AN7538" s="1">
        <v>1215.1199999999999</v>
      </c>
      <c r="AO7538" s="1">
        <v>1215.1199999999999</v>
      </c>
      <c r="AP7538" s="2">
        <v>42746</v>
      </c>
      <c r="AQ7538" t="s">
        <v>72</v>
      </c>
      <c r="AR7538" t="s">
        <v>72</v>
      </c>
      <c r="AS7538">
        <v>3106</v>
      </c>
      <c r="AT7538" s="4">
        <v>42689</v>
      </c>
      <c r="AU7538" t="s">
        <v>73</v>
      </c>
      <c r="AV7538">
        <v>3106</v>
      </c>
      <c r="AW7538" s="4">
        <v>42689</v>
      </c>
      <c r="BD7538">
        <v>0</v>
      </c>
      <c r="BN7538" t="s">
        <v>74</v>
      </c>
    </row>
    <row r="7539" spans="1:66">
      <c r="A7539">
        <v>104321</v>
      </c>
      <c r="B7539" s="3" t="s">
        <v>646</v>
      </c>
      <c r="C7539" s="1">
        <v>43300101</v>
      </c>
      <c r="D7539" t="s">
        <v>67</v>
      </c>
      <c r="H7539" t="str">
        <f t="shared" si="745"/>
        <v>00707060323</v>
      </c>
      <c r="I7539" t="str">
        <f t="shared" si="745"/>
        <v>00707060323</v>
      </c>
      <c r="K7539" t="str">
        <f>""</f>
        <v/>
      </c>
      <c r="M7539" t="s">
        <v>68</v>
      </c>
      <c r="N7539" t="str">
        <f t="shared" si="746"/>
        <v>FOR</v>
      </c>
      <c r="O7539" t="s">
        <v>69</v>
      </c>
      <c r="P7539" s="3" t="s">
        <v>75</v>
      </c>
      <c r="Q7539">
        <v>2016</v>
      </c>
      <c r="R7539" s="2">
        <v>42458</v>
      </c>
      <c r="S7539" s="2">
        <v>42478</v>
      </c>
      <c r="T7539" s="2">
        <v>42478</v>
      </c>
      <c r="U7539" s="2">
        <v>42538</v>
      </c>
      <c r="V7539" t="s">
        <v>71</v>
      </c>
      <c r="W7539" t="str">
        <f>"              400059"</f>
        <v xml:space="preserve">              400059</v>
      </c>
      <c r="X7539">
        <v>539.24</v>
      </c>
      <c r="Y7539">
        <v>0</v>
      </c>
      <c r="Z7539" s="3">
        <v>442</v>
      </c>
      <c r="AA7539">
        <v>151</v>
      </c>
      <c r="AB7539" s="5">
        <v>66742</v>
      </c>
      <c r="AC7539">
        <v>442</v>
      </c>
      <c r="AD7539">
        <v>151</v>
      </c>
      <c r="AE7539" s="1">
        <v>66742</v>
      </c>
      <c r="AF7539">
        <v>0</v>
      </c>
      <c r="AJ7539">
        <v>0</v>
      </c>
      <c r="AK7539">
        <v>0</v>
      </c>
      <c r="AL7539">
        <v>0</v>
      </c>
      <c r="AM7539">
        <v>539.24</v>
      </c>
      <c r="AN7539">
        <v>539.24</v>
      </c>
      <c r="AO7539">
        <v>539.24</v>
      </c>
      <c r="AP7539" s="2">
        <v>42746</v>
      </c>
      <c r="AQ7539" t="s">
        <v>72</v>
      </c>
      <c r="AR7539" t="s">
        <v>72</v>
      </c>
      <c r="AS7539">
        <v>3106</v>
      </c>
      <c r="AT7539" s="4">
        <v>42689</v>
      </c>
      <c r="AU7539" t="s">
        <v>73</v>
      </c>
      <c r="AV7539">
        <v>3106</v>
      </c>
      <c r="AW7539" s="4">
        <v>42689</v>
      </c>
      <c r="BD7539">
        <v>0</v>
      </c>
      <c r="BN7539" t="s">
        <v>74</v>
      </c>
    </row>
    <row r="7540" spans="1:66">
      <c r="A7540">
        <v>104321</v>
      </c>
      <c r="B7540" s="3" t="s">
        <v>646</v>
      </c>
      <c r="C7540" s="1">
        <v>43300101</v>
      </c>
      <c r="D7540" t="s">
        <v>67</v>
      </c>
      <c r="H7540" t="str">
        <f t="shared" si="745"/>
        <v>00707060323</v>
      </c>
      <c r="I7540" t="str">
        <f t="shared" si="745"/>
        <v>00707060323</v>
      </c>
      <c r="K7540" t="str">
        <f>""</f>
        <v/>
      </c>
      <c r="M7540" t="s">
        <v>68</v>
      </c>
      <c r="N7540" t="str">
        <f t="shared" si="746"/>
        <v>FOR</v>
      </c>
      <c r="O7540" t="s">
        <v>69</v>
      </c>
      <c r="P7540" s="3" t="s">
        <v>75</v>
      </c>
      <c r="Q7540">
        <v>2016</v>
      </c>
      <c r="R7540" s="2">
        <v>42458</v>
      </c>
      <c r="S7540" s="2">
        <v>42478</v>
      </c>
      <c r="T7540" s="2">
        <v>42478</v>
      </c>
      <c r="U7540" s="2">
        <v>42538</v>
      </c>
      <c r="V7540" t="s">
        <v>71</v>
      </c>
      <c r="W7540" t="str">
        <f>"              400066"</f>
        <v xml:space="preserve">              400066</v>
      </c>
      <c r="X7540" s="1">
        <v>1712.88</v>
      </c>
      <c r="Y7540">
        <v>0</v>
      </c>
      <c r="Z7540" s="5">
        <v>1404</v>
      </c>
      <c r="AA7540">
        <v>151</v>
      </c>
      <c r="AB7540" s="5">
        <v>212004</v>
      </c>
      <c r="AC7540" s="1">
        <v>1404</v>
      </c>
      <c r="AD7540">
        <v>151</v>
      </c>
      <c r="AE7540" s="1">
        <v>212004</v>
      </c>
      <c r="AF7540">
        <v>0</v>
      </c>
      <c r="AJ7540">
        <v>0</v>
      </c>
      <c r="AK7540">
        <v>0</v>
      </c>
      <c r="AL7540">
        <v>0</v>
      </c>
      <c r="AM7540" s="1">
        <v>1712.88</v>
      </c>
      <c r="AN7540" s="1">
        <v>1712.88</v>
      </c>
      <c r="AO7540" s="1">
        <v>1712.88</v>
      </c>
      <c r="AP7540" s="2">
        <v>42746</v>
      </c>
      <c r="AQ7540" t="s">
        <v>72</v>
      </c>
      <c r="AR7540" t="s">
        <v>72</v>
      </c>
      <c r="AS7540">
        <v>3106</v>
      </c>
      <c r="AT7540" s="4">
        <v>42689</v>
      </c>
      <c r="AU7540" t="s">
        <v>73</v>
      </c>
      <c r="AV7540">
        <v>3106</v>
      </c>
      <c r="AW7540" s="4">
        <v>42689</v>
      </c>
      <c r="BD7540">
        <v>0</v>
      </c>
      <c r="BN7540" t="s">
        <v>74</v>
      </c>
    </row>
    <row r="7541" spans="1:66">
      <c r="A7541">
        <v>104321</v>
      </c>
      <c r="B7541" s="3" t="s">
        <v>646</v>
      </c>
      <c r="C7541" s="1">
        <v>43300101</v>
      </c>
      <c r="D7541" t="s">
        <v>67</v>
      </c>
      <c r="H7541" t="str">
        <f t="shared" si="745"/>
        <v>00707060323</v>
      </c>
      <c r="I7541" t="str">
        <f t="shared" si="745"/>
        <v>00707060323</v>
      </c>
      <c r="K7541" t="str">
        <f>""</f>
        <v/>
      </c>
      <c r="M7541" t="s">
        <v>68</v>
      </c>
      <c r="N7541" t="str">
        <f t="shared" si="746"/>
        <v>FOR</v>
      </c>
      <c r="O7541" t="s">
        <v>69</v>
      </c>
      <c r="P7541" s="3" t="s">
        <v>75</v>
      </c>
      <c r="Q7541">
        <v>2016</v>
      </c>
      <c r="R7541" s="2">
        <v>42458</v>
      </c>
      <c r="S7541" s="2">
        <v>42478</v>
      </c>
      <c r="T7541" s="2">
        <v>42478</v>
      </c>
      <c r="U7541" s="2">
        <v>42538</v>
      </c>
      <c r="V7541" t="s">
        <v>71</v>
      </c>
      <c r="W7541" t="str">
        <f>"              400076"</f>
        <v xml:space="preserve">              400076</v>
      </c>
      <c r="X7541" s="1">
        <v>1886.89</v>
      </c>
      <c r="Y7541">
        <v>0</v>
      </c>
      <c r="Z7541" s="5">
        <v>1546.63</v>
      </c>
      <c r="AA7541">
        <v>151</v>
      </c>
      <c r="AB7541" s="5">
        <v>233541.13</v>
      </c>
      <c r="AC7541" s="1">
        <v>1546.63</v>
      </c>
      <c r="AD7541">
        <v>151</v>
      </c>
      <c r="AE7541" s="1">
        <v>233541.13</v>
      </c>
      <c r="AF7541">
        <v>0</v>
      </c>
      <c r="AJ7541">
        <v>0</v>
      </c>
      <c r="AK7541">
        <v>0</v>
      </c>
      <c r="AL7541">
        <v>0</v>
      </c>
      <c r="AM7541" s="1">
        <v>1886.89</v>
      </c>
      <c r="AN7541" s="1">
        <v>1886.89</v>
      </c>
      <c r="AO7541" s="1">
        <v>1886.89</v>
      </c>
      <c r="AP7541" s="2">
        <v>42746</v>
      </c>
      <c r="AQ7541" t="s">
        <v>72</v>
      </c>
      <c r="AR7541" t="s">
        <v>72</v>
      </c>
      <c r="AS7541">
        <v>3106</v>
      </c>
      <c r="AT7541" s="4">
        <v>42689</v>
      </c>
      <c r="AU7541" t="s">
        <v>73</v>
      </c>
      <c r="AV7541">
        <v>3106</v>
      </c>
      <c r="AW7541" s="4">
        <v>42689</v>
      </c>
      <c r="BD7541">
        <v>0</v>
      </c>
      <c r="BN7541" t="s">
        <v>74</v>
      </c>
    </row>
    <row r="7542" spans="1:66">
      <c r="A7542">
        <v>104321</v>
      </c>
      <c r="B7542" s="3" t="s">
        <v>646</v>
      </c>
      <c r="C7542" s="1">
        <v>43300101</v>
      </c>
      <c r="D7542" t="s">
        <v>67</v>
      </c>
      <c r="H7542" t="str">
        <f t="shared" si="745"/>
        <v>00707060323</v>
      </c>
      <c r="I7542" t="str">
        <f t="shared" si="745"/>
        <v>00707060323</v>
      </c>
      <c r="K7542" t="str">
        <f>""</f>
        <v/>
      </c>
      <c r="M7542" t="s">
        <v>68</v>
      </c>
      <c r="N7542" t="str">
        <f t="shared" si="746"/>
        <v>FOR</v>
      </c>
      <c r="O7542" t="s">
        <v>69</v>
      </c>
      <c r="P7542" s="3" t="s">
        <v>75</v>
      </c>
      <c r="Q7542">
        <v>2016</v>
      </c>
      <c r="R7542" s="2">
        <v>42460</v>
      </c>
      <c r="S7542" s="2">
        <v>42478</v>
      </c>
      <c r="T7542" s="2">
        <v>42478</v>
      </c>
      <c r="U7542" s="2">
        <v>42538</v>
      </c>
      <c r="V7542" t="s">
        <v>71</v>
      </c>
      <c r="W7542" t="str">
        <f>"              400091"</f>
        <v xml:space="preserve">              400091</v>
      </c>
      <c r="X7542">
        <v>674.45</v>
      </c>
      <c r="Y7542">
        <v>0</v>
      </c>
      <c r="Z7542" s="3">
        <v>552.83000000000004</v>
      </c>
      <c r="AA7542">
        <v>151</v>
      </c>
      <c r="AB7542" s="5">
        <v>83477.33</v>
      </c>
      <c r="AC7542">
        <v>552.83000000000004</v>
      </c>
      <c r="AD7542">
        <v>151</v>
      </c>
      <c r="AE7542" s="1">
        <v>83477.33</v>
      </c>
      <c r="AF7542">
        <v>0</v>
      </c>
      <c r="AJ7542">
        <v>0</v>
      </c>
      <c r="AK7542">
        <v>0</v>
      </c>
      <c r="AL7542">
        <v>0</v>
      </c>
      <c r="AM7542">
        <v>674.45</v>
      </c>
      <c r="AN7542">
        <v>674.45</v>
      </c>
      <c r="AO7542">
        <v>674.45</v>
      </c>
      <c r="AP7542" s="2">
        <v>42746</v>
      </c>
      <c r="AQ7542" t="s">
        <v>72</v>
      </c>
      <c r="AR7542" t="s">
        <v>72</v>
      </c>
      <c r="AS7542">
        <v>3106</v>
      </c>
      <c r="AT7542" s="4">
        <v>42689</v>
      </c>
      <c r="AU7542" t="s">
        <v>73</v>
      </c>
      <c r="AV7542">
        <v>3106</v>
      </c>
      <c r="AW7542" s="4">
        <v>42689</v>
      </c>
      <c r="BD7542">
        <v>0</v>
      </c>
      <c r="BN7542" t="s">
        <v>74</v>
      </c>
    </row>
    <row r="7543" spans="1:66">
      <c r="A7543">
        <v>104321</v>
      </c>
      <c r="B7543" s="3" t="s">
        <v>646</v>
      </c>
      <c r="C7543" s="1">
        <v>43300101</v>
      </c>
      <c r="D7543" t="s">
        <v>67</v>
      </c>
      <c r="H7543" t="str">
        <f t="shared" si="745"/>
        <v>00707060323</v>
      </c>
      <c r="I7543" t="str">
        <f t="shared" si="745"/>
        <v>00707060323</v>
      </c>
      <c r="K7543" t="str">
        <f>""</f>
        <v/>
      </c>
      <c r="M7543" t="s">
        <v>68</v>
      </c>
      <c r="N7543" t="str">
        <f t="shared" si="746"/>
        <v>FOR</v>
      </c>
      <c r="O7543" t="s">
        <v>69</v>
      </c>
      <c r="P7543" s="3" t="s">
        <v>75</v>
      </c>
      <c r="Q7543">
        <v>2016</v>
      </c>
      <c r="R7543" s="2">
        <v>42478</v>
      </c>
      <c r="S7543" s="2">
        <v>42493</v>
      </c>
      <c r="T7543" s="2">
        <v>42492</v>
      </c>
      <c r="U7543" s="2">
        <v>42552</v>
      </c>
      <c r="V7543" t="s">
        <v>71</v>
      </c>
      <c r="W7543" t="str">
        <f>"              400096"</f>
        <v xml:space="preserve">              400096</v>
      </c>
      <c r="X7543" s="1">
        <v>2915.19</v>
      </c>
      <c r="Y7543">
        <v>0</v>
      </c>
      <c r="Z7543" s="5">
        <v>2389.5</v>
      </c>
      <c r="AA7543">
        <v>137</v>
      </c>
      <c r="AB7543" s="5">
        <v>327361.5</v>
      </c>
      <c r="AC7543" s="1">
        <v>2389.5</v>
      </c>
      <c r="AD7543">
        <v>137</v>
      </c>
      <c r="AE7543" s="1">
        <v>327361.5</v>
      </c>
      <c r="AF7543">
        <v>0</v>
      </c>
      <c r="AJ7543">
        <v>0</v>
      </c>
      <c r="AK7543">
        <v>0</v>
      </c>
      <c r="AL7543">
        <v>0</v>
      </c>
      <c r="AM7543" s="1">
        <v>2915.19</v>
      </c>
      <c r="AN7543" s="1">
        <v>2915.19</v>
      </c>
      <c r="AO7543" s="1">
        <v>2915.19</v>
      </c>
      <c r="AP7543" s="2">
        <v>42746</v>
      </c>
      <c r="AQ7543" t="s">
        <v>72</v>
      </c>
      <c r="AR7543" t="s">
        <v>72</v>
      </c>
      <c r="AS7543">
        <v>3106</v>
      </c>
      <c r="AT7543" s="4">
        <v>42689</v>
      </c>
      <c r="AU7543" t="s">
        <v>73</v>
      </c>
      <c r="AV7543">
        <v>3106</v>
      </c>
      <c r="AW7543" s="4">
        <v>42689</v>
      </c>
      <c r="BD7543">
        <v>0</v>
      </c>
      <c r="BN7543" t="s">
        <v>74</v>
      </c>
    </row>
    <row r="7544" spans="1:66">
      <c r="A7544">
        <v>104321</v>
      </c>
      <c r="B7544" s="3" t="s">
        <v>646</v>
      </c>
      <c r="C7544" s="1">
        <v>43300101</v>
      </c>
      <c r="D7544" t="s">
        <v>67</v>
      </c>
      <c r="H7544" t="str">
        <f t="shared" si="745"/>
        <v>00707060323</v>
      </c>
      <c r="I7544" t="str">
        <f t="shared" si="745"/>
        <v>00707060323</v>
      </c>
      <c r="K7544" t="str">
        <f>""</f>
        <v/>
      </c>
      <c r="M7544" t="s">
        <v>68</v>
      </c>
      <c r="N7544" t="str">
        <f t="shared" si="746"/>
        <v>FOR</v>
      </c>
      <c r="O7544" t="s">
        <v>69</v>
      </c>
      <c r="P7544" s="3" t="s">
        <v>75</v>
      </c>
      <c r="Q7544">
        <v>2016</v>
      </c>
      <c r="R7544" s="2">
        <v>42478</v>
      </c>
      <c r="S7544" s="2">
        <v>42493</v>
      </c>
      <c r="T7544" s="2">
        <v>42492</v>
      </c>
      <c r="U7544" s="2">
        <v>42552</v>
      </c>
      <c r="V7544" t="s">
        <v>71</v>
      </c>
      <c r="W7544" t="str">
        <f>"              400099"</f>
        <v xml:space="preserve">              400099</v>
      </c>
      <c r="X7544">
        <v>95.16</v>
      </c>
      <c r="Y7544">
        <v>0</v>
      </c>
      <c r="Z7544" s="3">
        <v>78</v>
      </c>
      <c r="AA7544">
        <v>137</v>
      </c>
      <c r="AB7544" s="5">
        <v>10686</v>
      </c>
      <c r="AC7544">
        <v>78</v>
      </c>
      <c r="AD7544">
        <v>137</v>
      </c>
      <c r="AE7544" s="1">
        <v>10686</v>
      </c>
      <c r="AF7544">
        <v>0</v>
      </c>
      <c r="AJ7544">
        <v>0</v>
      </c>
      <c r="AK7544">
        <v>0</v>
      </c>
      <c r="AL7544">
        <v>0</v>
      </c>
      <c r="AM7544">
        <v>95.16</v>
      </c>
      <c r="AN7544">
        <v>95.16</v>
      </c>
      <c r="AO7544">
        <v>95.16</v>
      </c>
      <c r="AP7544" s="2">
        <v>42746</v>
      </c>
      <c r="AQ7544" t="s">
        <v>72</v>
      </c>
      <c r="AR7544" t="s">
        <v>72</v>
      </c>
      <c r="AS7544">
        <v>3106</v>
      </c>
      <c r="AT7544" s="4">
        <v>42689</v>
      </c>
      <c r="AU7544" t="s">
        <v>73</v>
      </c>
      <c r="AV7544">
        <v>3106</v>
      </c>
      <c r="AW7544" s="4">
        <v>42689</v>
      </c>
      <c r="BD7544">
        <v>0</v>
      </c>
      <c r="BN7544" t="s">
        <v>74</v>
      </c>
    </row>
    <row r="7545" spans="1:66">
      <c r="A7545">
        <v>104321</v>
      </c>
      <c r="B7545" s="3" t="s">
        <v>646</v>
      </c>
      <c r="C7545" s="1">
        <v>43300101</v>
      </c>
      <c r="D7545" t="s">
        <v>67</v>
      </c>
      <c r="H7545" t="str">
        <f t="shared" si="745"/>
        <v>00707060323</v>
      </c>
      <c r="I7545" t="str">
        <f t="shared" si="745"/>
        <v>00707060323</v>
      </c>
      <c r="K7545" t="str">
        <f>""</f>
        <v/>
      </c>
      <c r="M7545" t="s">
        <v>68</v>
      </c>
      <c r="N7545" t="str">
        <f t="shared" si="746"/>
        <v>FOR</v>
      </c>
      <c r="O7545" t="s">
        <v>69</v>
      </c>
      <c r="P7545" s="3" t="s">
        <v>75</v>
      </c>
      <c r="Q7545">
        <v>2016</v>
      </c>
      <c r="R7545" s="2">
        <v>42571</v>
      </c>
      <c r="S7545" s="2">
        <v>42592</v>
      </c>
      <c r="T7545" s="2">
        <v>42592</v>
      </c>
      <c r="U7545" s="2">
        <v>42652</v>
      </c>
      <c r="V7545" t="s">
        <v>71</v>
      </c>
      <c r="W7545" t="str">
        <f>"              400186"</f>
        <v xml:space="preserve">              400186</v>
      </c>
      <c r="X7545" s="1">
        <v>1210</v>
      </c>
      <c r="Y7545">
        <v>0</v>
      </c>
      <c r="Z7545" s="3">
        <v>991.8</v>
      </c>
      <c r="AA7545">
        <v>37</v>
      </c>
      <c r="AB7545" s="5">
        <v>36696.6</v>
      </c>
      <c r="AC7545">
        <v>991.8</v>
      </c>
      <c r="AD7545">
        <v>37</v>
      </c>
      <c r="AE7545" s="1">
        <v>36696.6</v>
      </c>
      <c r="AF7545">
        <v>0</v>
      </c>
      <c r="AJ7545">
        <v>0</v>
      </c>
      <c r="AK7545">
        <v>0</v>
      </c>
      <c r="AL7545">
        <v>0</v>
      </c>
      <c r="AM7545" s="1">
        <v>1210</v>
      </c>
      <c r="AN7545" s="1">
        <v>1210</v>
      </c>
      <c r="AO7545" s="1">
        <v>1210</v>
      </c>
      <c r="AP7545" s="2">
        <v>42746</v>
      </c>
      <c r="AQ7545" t="s">
        <v>72</v>
      </c>
      <c r="AR7545" t="s">
        <v>72</v>
      </c>
      <c r="AS7545">
        <v>3106</v>
      </c>
      <c r="AT7545" s="4">
        <v>42689</v>
      </c>
      <c r="AU7545" t="s">
        <v>73</v>
      </c>
      <c r="AV7545">
        <v>3106</v>
      </c>
      <c r="AW7545" s="4">
        <v>42689</v>
      </c>
      <c r="BD7545">
        <v>0</v>
      </c>
      <c r="BN7545" t="s">
        <v>74</v>
      </c>
    </row>
    <row r="7546" spans="1:66">
      <c r="A7546">
        <v>104321</v>
      </c>
      <c r="B7546" s="3" t="s">
        <v>646</v>
      </c>
      <c r="C7546" s="1">
        <v>43300101</v>
      </c>
      <c r="D7546" t="s">
        <v>67</v>
      </c>
      <c r="H7546" t="str">
        <f t="shared" si="745"/>
        <v>00707060323</v>
      </c>
      <c r="I7546" t="str">
        <f t="shared" si="745"/>
        <v>00707060323</v>
      </c>
      <c r="K7546" t="str">
        <f>""</f>
        <v/>
      </c>
      <c r="M7546" t="s">
        <v>68</v>
      </c>
      <c r="N7546" t="str">
        <f t="shared" si="746"/>
        <v>FOR</v>
      </c>
      <c r="O7546" t="s">
        <v>69</v>
      </c>
      <c r="P7546" s="3" t="s">
        <v>75</v>
      </c>
      <c r="Q7546">
        <v>2016</v>
      </c>
      <c r="R7546" s="2">
        <v>42582</v>
      </c>
      <c r="S7546" s="2">
        <v>42591</v>
      </c>
      <c r="T7546" s="2">
        <v>42587</v>
      </c>
      <c r="U7546" s="2">
        <v>42647</v>
      </c>
      <c r="V7546" t="s">
        <v>71</v>
      </c>
      <c r="W7546" t="str">
        <f>"              400190"</f>
        <v xml:space="preserve">              400190</v>
      </c>
      <c r="X7546" s="1">
        <v>1299.18</v>
      </c>
      <c r="Y7546">
        <v>0</v>
      </c>
      <c r="Z7546" s="5">
        <v>1064.9000000000001</v>
      </c>
      <c r="AA7546">
        <v>42</v>
      </c>
      <c r="AB7546" s="5">
        <v>44725.8</v>
      </c>
      <c r="AC7546" s="1">
        <v>1064.9000000000001</v>
      </c>
      <c r="AD7546">
        <v>42</v>
      </c>
      <c r="AE7546" s="1">
        <v>44725.8</v>
      </c>
      <c r="AF7546">
        <v>0</v>
      </c>
      <c r="AJ7546">
        <v>0</v>
      </c>
      <c r="AK7546">
        <v>0</v>
      </c>
      <c r="AL7546">
        <v>0</v>
      </c>
      <c r="AM7546" s="1">
        <v>1299.18</v>
      </c>
      <c r="AN7546" s="1">
        <v>1299.18</v>
      </c>
      <c r="AO7546" s="1">
        <v>1299.18</v>
      </c>
      <c r="AP7546" s="2">
        <v>42746</v>
      </c>
      <c r="AQ7546" t="s">
        <v>72</v>
      </c>
      <c r="AR7546" t="s">
        <v>72</v>
      </c>
      <c r="AS7546">
        <v>3106</v>
      </c>
      <c r="AT7546" s="4">
        <v>42689</v>
      </c>
      <c r="AU7546" t="s">
        <v>73</v>
      </c>
      <c r="AV7546">
        <v>3106</v>
      </c>
      <c r="AW7546" s="4">
        <v>42689</v>
      </c>
      <c r="BD7546">
        <v>0</v>
      </c>
      <c r="BN7546" t="s">
        <v>74</v>
      </c>
    </row>
    <row r="7547" spans="1:66">
      <c r="A7547">
        <v>104327</v>
      </c>
      <c r="B7547" s="3" t="s">
        <v>647</v>
      </c>
      <c r="C7547" s="1">
        <v>43300101</v>
      </c>
      <c r="D7547" t="s">
        <v>67</v>
      </c>
      <c r="H7547" t="str">
        <f>"06891420157"</f>
        <v>06891420157</v>
      </c>
      <c r="I7547" t="str">
        <f>"06891420157"</f>
        <v>06891420157</v>
      </c>
      <c r="K7547" t="str">
        <f>""</f>
        <v/>
      </c>
      <c r="M7547" t="s">
        <v>68</v>
      </c>
      <c r="N7547" t="str">
        <f t="shared" si="746"/>
        <v>FOR</v>
      </c>
      <c r="O7547" t="s">
        <v>69</v>
      </c>
      <c r="P7547" s="3" t="s">
        <v>75</v>
      </c>
      <c r="Q7547">
        <v>2016</v>
      </c>
      <c r="R7547" s="2">
        <v>42436</v>
      </c>
      <c r="S7547" s="2">
        <v>42444</v>
      </c>
      <c r="T7547" s="2">
        <v>42436</v>
      </c>
      <c r="U7547" s="2">
        <v>42496</v>
      </c>
      <c r="V7547" t="s">
        <v>71</v>
      </c>
      <c r="W7547" t="str">
        <f>"          0091000006"</f>
        <v xml:space="preserve">          0091000006</v>
      </c>
      <c r="X7547" s="1">
        <v>3505.98</v>
      </c>
      <c r="Y7547">
        <v>0</v>
      </c>
      <c r="Z7547" s="5">
        <v>3187.25</v>
      </c>
      <c r="AA7547">
        <v>222</v>
      </c>
      <c r="AB7547" s="5">
        <v>707569.5</v>
      </c>
      <c r="AC7547" s="1">
        <v>3187.25</v>
      </c>
      <c r="AD7547">
        <v>222</v>
      </c>
      <c r="AE7547" s="1">
        <v>707569.5</v>
      </c>
      <c r="AF7547">
        <v>318.73</v>
      </c>
      <c r="AJ7547">
        <v>0</v>
      </c>
      <c r="AK7547">
        <v>0</v>
      </c>
      <c r="AL7547">
        <v>0</v>
      </c>
      <c r="AM7547" s="1">
        <v>3505.98</v>
      </c>
      <c r="AN7547" s="1">
        <v>3505.98</v>
      </c>
      <c r="AO7547" s="1">
        <v>3505.98</v>
      </c>
      <c r="AP7547" s="2">
        <v>42746</v>
      </c>
      <c r="AQ7547" t="s">
        <v>72</v>
      </c>
      <c r="AR7547" t="s">
        <v>72</v>
      </c>
      <c r="AS7547">
        <v>3491</v>
      </c>
      <c r="AT7547" s="4">
        <v>42718</v>
      </c>
      <c r="AU7547" t="s">
        <v>73</v>
      </c>
      <c r="AV7547">
        <v>3491</v>
      </c>
      <c r="AW7547" s="4">
        <v>42718</v>
      </c>
      <c r="BD7547">
        <v>318.73</v>
      </c>
      <c r="BN7547" t="s">
        <v>74</v>
      </c>
    </row>
    <row r="7548" spans="1:66">
      <c r="A7548">
        <v>104327</v>
      </c>
      <c r="B7548" s="3" t="s">
        <v>647</v>
      </c>
      <c r="C7548" s="1">
        <v>43300101</v>
      </c>
      <c r="D7548" t="s">
        <v>67</v>
      </c>
      <c r="H7548" t="str">
        <f>"06891420157"</f>
        <v>06891420157</v>
      </c>
      <c r="I7548" t="str">
        <f>"06891420157"</f>
        <v>06891420157</v>
      </c>
      <c r="K7548" t="str">
        <f>""</f>
        <v/>
      </c>
      <c r="M7548" t="s">
        <v>68</v>
      </c>
      <c r="N7548" t="str">
        <f t="shared" si="746"/>
        <v>FOR</v>
      </c>
      <c r="O7548" t="s">
        <v>69</v>
      </c>
      <c r="P7548" s="3" t="s">
        <v>75</v>
      </c>
      <c r="Q7548">
        <v>2016</v>
      </c>
      <c r="R7548" s="2">
        <v>42443</v>
      </c>
      <c r="S7548" s="2">
        <v>42460</v>
      </c>
      <c r="T7548" s="2">
        <v>42443</v>
      </c>
      <c r="U7548" s="2">
        <v>42503</v>
      </c>
      <c r="V7548" t="s">
        <v>71</v>
      </c>
      <c r="W7548" t="str">
        <f>"          0091000007"</f>
        <v xml:space="preserve">          0091000007</v>
      </c>
      <c r="X7548" s="1">
        <v>2607.17</v>
      </c>
      <c r="Y7548">
        <v>0</v>
      </c>
      <c r="Z7548" s="5">
        <v>2370.15</v>
      </c>
      <c r="AA7548">
        <v>215</v>
      </c>
      <c r="AB7548" s="5">
        <v>509582.25</v>
      </c>
      <c r="AC7548" s="1">
        <v>2370.15</v>
      </c>
      <c r="AD7548">
        <v>215</v>
      </c>
      <c r="AE7548" s="1">
        <v>509582.25</v>
      </c>
      <c r="AF7548">
        <v>237.02</v>
      </c>
      <c r="AJ7548">
        <v>0</v>
      </c>
      <c r="AK7548">
        <v>0</v>
      </c>
      <c r="AL7548">
        <v>0</v>
      </c>
      <c r="AM7548" s="1">
        <v>2607.17</v>
      </c>
      <c r="AN7548" s="1">
        <v>2607.17</v>
      </c>
      <c r="AO7548" s="1">
        <v>2607.17</v>
      </c>
      <c r="AP7548" s="2">
        <v>42746</v>
      </c>
      <c r="AQ7548" t="s">
        <v>72</v>
      </c>
      <c r="AR7548" t="s">
        <v>72</v>
      </c>
      <c r="AS7548">
        <v>3491</v>
      </c>
      <c r="AT7548" s="4">
        <v>42718</v>
      </c>
      <c r="AU7548" t="s">
        <v>73</v>
      </c>
      <c r="AV7548">
        <v>3491</v>
      </c>
      <c r="AW7548" s="4">
        <v>42718</v>
      </c>
      <c r="BD7548">
        <v>237.02</v>
      </c>
      <c r="BN7548" t="s">
        <v>74</v>
      </c>
    </row>
    <row r="7549" spans="1:66" hidden="1">
      <c r="A7549">
        <v>104356</v>
      </c>
      <c r="B7549" s="3" t="s">
        <v>648</v>
      </c>
      <c r="C7549" s="1">
        <v>43500101</v>
      </c>
      <c r="D7549" t="s">
        <v>113</v>
      </c>
      <c r="H7549" t="str">
        <f>"STTLDA62B09B905G"</f>
        <v>STTLDA62B09B905G</v>
      </c>
      <c r="I7549" t="str">
        <f>"01257320620"</f>
        <v>01257320620</v>
      </c>
      <c r="K7549" t="str">
        <f>""</f>
        <v/>
      </c>
      <c r="M7549" t="s">
        <v>68</v>
      </c>
      <c r="N7549" t="str">
        <f>"ALTPRO"</f>
        <v>ALTPRO</v>
      </c>
      <c r="O7549" t="s">
        <v>132</v>
      </c>
      <c r="P7549" s="3" t="s">
        <v>75</v>
      </c>
      <c r="Q7549">
        <v>2016</v>
      </c>
      <c r="R7549" s="2">
        <v>42388</v>
      </c>
      <c r="S7549" s="2">
        <v>42396</v>
      </c>
      <c r="T7549" s="2">
        <v>42395</v>
      </c>
      <c r="U7549" s="2">
        <v>42455</v>
      </c>
      <c r="V7549" t="s">
        <v>71</v>
      </c>
      <c r="W7549" t="str">
        <f>"              01/01E"</f>
        <v xml:space="preserve">              01/01E</v>
      </c>
      <c r="X7549" s="1">
        <v>1994.7</v>
      </c>
      <c r="Y7549">
        <v>-314.42</v>
      </c>
      <c r="Z7549"/>
      <c r="AB7549"/>
      <c r="AC7549" s="1">
        <v>1680.28</v>
      </c>
      <c r="AD7549">
        <v>-52</v>
      </c>
      <c r="AE7549" s="1">
        <v>-87374.56</v>
      </c>
      <c r="AF7549">
        <v>0</v>
      </c>
      <c r="AJ7549">
        <v>0</v>
      </c>
      <c r="AK7549">
        <v>0</v>
      </c>
      <c r="AL7549">
        <v>0</v>
      </c>
      <c r="AM7549" s="1">
        <v>1680.28</v>
      </c>
      <c r="AN7549" s="1">
        <v>1680.28</v>
      </c>
      <c r="AO7549" s="1">
        <v>1680.28</v>
      </c>
      <c r="AP7549" s="2">
        <v>42746</v>
      </c>
      <c r="AQ7549" t="s">
        <v>72</v>
      </c>
      <c r="AR7549" t="s">
        <v>72</v>
      </c>
      <c r="AS7549">
        <v>216</v>
      </c>
      <c r="AT7549" s="4">
        <v>42403</v>
      </c>
      <c r="AV7549">
        <v>216</v>
      </c>
      <c r="AW7549" s="4">
        <v>42403</v>
      </c>
      <c r="BD7549">
        <v>0</v>
      </c>
      <c r="BN7549" t="s">
        <v>74</v>
      </c>
    </row>
    <row r="7550" spans="1:66" hidden="1">
      <c r="A7550">
        <v>104356</v>
      </c>
      <c r="B7550" s="3" t="s">
        <v>648</v>
      </c>
      <c r="C7550" s="1">
        <v>43500101</v>
      </c>
      <c r="D7550" t="s">
        <v>113</v>
      </c>
      <c r="H7550" t="str">
        <f>"STTLDA62B09B905G"</f>
        <v>STTLDA62B09B905G</v>
      </c>
      <c r="I7550" t="str">
        <f>"01257320620"</f>
        <v>01257320620</v>
      </c>
      <c r="K7550" t="str">
        <f>""</f>
        <v/>
      </c>
      <c r="M7550" t="s">
        <v>68</v>
      </c>
      <c r="N7550" t="str">
        <f>"ALTPRO"</f>
        <v>ALTPRO</v>
      </c>
      <c r="O7550" t="s">
        <v>132</v>
      </c>
      <c r="P7550" s="3" t="s">
        <v>75</v>
      </c>
      <c r="Q7550">
        <v>2016</v>
      </c>
      <c r="R7550" s="2">
        <v>42548</v>
      </c>
      <c r="S7550" s="2">
        <v>42549</v>
      </c>
      <c r="T7550" s="2">
        <v>42548</v>
      </c>
      <c r="U7550" s="2">
        <v>42608</v>
      </c>
      <c r="V7550" t="s">
        <v>71</v>
      </c>
      <c r="W7550" t="str">
        <f>"              03/01E"</f>
        <v xml:space="preserve">              03/01E</v>
      </c>
      <c r="X7550" s="1">
        <v>2176.6799999999998</v>
      </c>
      <c r="Y7550">
        <v>-293.14</v>
      </c>
      <c r="Z7550"/>
      <c r="AB7550"/>
      <c r="AC7550" s="1">
        <v>1883.54</v>
      </c>
      <c r="AD7550">
        <v>-39</v>
      </c>
      <c r="AE7550" s="1">
        <v>-73458.06</v>
      </c>
      <c r="AF7550">
        <v>0</v>
      </c>
      <c r="AJ7550">
        <v>0</v>
      </c>
      <c r="AK7550">
        <v>0</v>
      </c>
      <c r="AL7550">
        <v>0</v>
      </c>
      <c r="AM7550" s="1">
        <v>1883.54</v>
      </c>
      <c r="AN7550" s="1">
        <v>1883.54</v>
      </c>
      <c r="AO7550" s="1">
        <v>1883.54</v>
      </c>
      <c r="AP7550" s="2">
        <v>42746</v>
      </c>
      <c r="AQ7550" t="s">
        <v>72</v>
      </c>
      <c r="AR7550" t="s">
        <v>72</v>
      </c>
      <c r="AS7550">
        <v>1845</v>
      </c>
      <c r="AT7550" s="4">
        <v>42569</v>
      </c>
      <c r="AV7550">
        <v>1845</v>
      </c>
      <c r="AW7550" s="4">
        <v>42569</v>
      </c>
      <c r="BD7550">
        <v>0</v>
      </c>
      <c r="BN7550" t="s">
        <v>74</v>
      </c>
    </row>
    <row r="7551" spans="1:66">
      <c r="A7551">
        <v>104356</v>
      </c>
      <c r="B7551" s="3" t="s">
        <v>648</v>
      </c>
      <c r="C7551" s="1">
        <v>43500101</v>
      </c>
      <c r="D7551" t="s">
        <v>113</v>
      </c>
      <c r="H7551" t="str">
        <f>"STTLDA62B09B905G"</f>
        <v>STTLDA62B09B905G</v>
      </c>
      <c r="I7551" t="str">
        <f>"01257320620"</f>
        <v>01257320620</v>
      </c>
      <c r="K7551" t="str">
        <f>""</f>
        <v/>
      </c>
      <c r="M7551" t="s">
        <v>68</v>
      </c>
      <c r="N7551" t="str">
        <f>"ALTPRO"</f>
        <v>ALTPRO</v>
      </c>
      <c r="O7551" t="s">
        <v>132</v>
      </c>
      <c r="P7551" s="3" t="s">
        <v>75</v>
      </c>
      <c r="Q7551">
        <v>2016</v>
      </c>
      <c r="R7551" s="2">
        <v>42646</v>
      </c>
      <c r="S7551" s="2">
        <v>42647</v>
      </c>
      <c r="T7551" s="2">
        <v>42647</v>
      </c>
      <c r="U7551" s="2">
        <v>42707</v>
      </c>
      <c r="V7551" t="s">
        <v>71</v>
      </c>
      <c r="W7551" t="str">
        <f>"              06/01E"</f>
        <v xml:space="preserve">              06/01E</v>
      </c>
      <c r="X7551" s="1">
        <v>3176.93</v>
      </c>
      <c r="Y7551">
        <v>-467.96</v>
      </c>
      <c r="Z7551" s="5">
        <v>2708.97</v>
      </c>
      <c r="AA7551">
        <v>-51</v>
      </c>
      <c r="AB7551" s="5">
        <v>-138157.47</v>
      </c>
      <c r="AC7551" s="1">
        <v>2708.97</v>
      </c>
      <c r="AD7551">
        <v>-51</v>
      </c>
      <c r="AE7551" s="1">
        <v>-138157.47</v>
      </c>
      <c r="AF7551">
        <v>0</v>
      </c>
      <c r="AJ7551" s="1">
        <v>2708.97</v>
      </c>
      <c r="AK7551" s="1">
        <v>2708.97</v>
      </c>
      <c r="AL7551" s="1">
        <v>2708.97</v>
      </c>
      <c r="AM7551" s="1">
        <v>2708.97</v>
      </c>
      <c r="AN7551" s="1">
        <v>2708.97</v>
      </c>
      <c r="AO7551" s="1">
        <v>2708.97</v>
      </c>
      <c r="AP7551" s="2">
        <v>42746</v>
      </c>
      <c r="AQ7551" t="s">
        <v>72</v>
      </c>
      <c r="AR7551" t="s">
        <v>72</v>
      </c>
      <c r="AS7551">
        <v>2744</v>
      </c>
      <c r="AT7551" s="4">
        <v>42656</v>
      </c>
      <c r="AV7551">
        <v>2744</v>
      </c>
      <c r="AW7551" s="4">
        <v>42656</v>
      </c>
      <c r="BD7551">
        <v>0</v>
      </c>
      <c r="BN7551" t="s">
        <v>74</v>
      </c>
    </row>
    <row r="7552" spans="1:66">
      <c r="A7552">
        <v>104356</v>
      </c>
      <c r="B7552" s="3" t="s">
        <v>648</v>
      </c>
      <c r="C7552" s="1">
        <v>43500101</v>
      </c>
      <c r="D7552" t="s">
        <v>113</v>
      </c>
      <c r="H7552" t="str">
        <f>"STTLDA62B09B905G"</f>
        <v>STTLDA62B09B905G</v>
      </c>
      <c r="I7552" t="str">
        <f>"01257320620"</f>
        <v>01257320620</v>
      </c>
      <c r="K7552" t="str">
        <f>""</f>
        <v/>
      </c>
      <c r="M7552" t="s">
        <v>68</v>
      </c>
      <c r="N7552" t="str">
        <f>"ALTPRO"</f>
        <v>ALTPRO</v>
      </c>
      <c r="O7552" t="s">
        <v>132</v>
      </c>
      <c r="P7552" s="3" t="s">
        <v>75</v>
      </c>
      <c r="Q7552">
        <v>2016</v>
      </c>
      <c r="R7552" s="2">
        <v>42685</v>
      </c>
      <c r="S7552" s="2">
        <v>42689</v>
      </c>
      <c r="T7552" s="2">
        <v>42689</v>
      </c>
      <c r="U7552" s="2">
        <v>42749</v>
      </c>
      <c r="V7552" t="s">
        <v>71</v>
      </c>
      <c r="W7552" t="str">
        <f>"              08/01E"</f>
        <v xml:space="preserve">              08/01E</v>
      </c>
      <c r="X7552" s="1">
        <v>1236.98</v>
      </c>
      <c r="Y7552">
        <v>-172.73</v>
      </c>
      <c r="Z7552" s="5">
        <v>1064.25</v>
      </c>
      <c r="AA7552">
        <v>-40</v>
      </c>
      <c r="AB7552" s="5">
        <v>-42570</v>
      </c>
      <c r="AC7552" s="1">
        <v>1064.25</v>
      </c>
      <c r="AD7552">
        <v>-40</v>
      </c>
      <c r="AE7552" s="1">
        <v>-42570</v>
      </c>
      <c r="AF7552">
        <v>0</v>
      </c>
      <c r="AJ7552" s="1">
        <v>1064.25</v>
      </c>
      <c r="AK7552" s="1">
        <v>1064.25</v>
      </c>
      <c r="AL7552" s="1">
        <v>1064.25</v>
      </c>
      <c r="AM7552" s="1">
        <v>1064.25</v>
      </c>
      <c r="AN7552" s="1">
        <v>1064.25</v>
      </c>
      <c r="AO7552" s="1">
        <v>1064.25</v>
      </c>
      <c r="AP7552" s="2">
        <v>42746</v>
      </c>
      <c r="AQ7552" t="s">
        <v>72</v>
      </c>
      <c r="AR7552" t="s">
        <v>72</v>
      </c>
      <c r="AS7552">
        <v>3317</v>
      </c>
      <c r="AT7552" s="4">
        <v>42709</v>
      </c>
      <c r="AV7552">
        <v>3317</v>
      </c>
      <c r="AW7552" s="4">
        <v>42709</v>
      </c>
      <c r="BD7552">
        <v>0</v>
      </c>
      <c r="BN7552" t="s">
        <v>74</v>
      </c>
    </row>
    <row r="7553" spans="1:66">
      <c r="A7553">
        <v>104356</v>
      </c>
      <c r="B7553" s="3" t="s">
        <v>648</v>
      </c>
      <c r="C7553" s="1">
        <v>43500101</v>
      </c>
      <c r="D7553" t="s">
        <v>113</v>
      </c>
      <c r="H7553" t="str">
        <f>"STTLDA62B09B905G"</f>
        <v>STTLDA62B09B905G</v>
      </c>
      <c r="I7553" t="str">
        <f>"01257320620"</f>
        <v>01257320620</v>
      </c>
      <c r="K7553" t="str">
        <f>""</f>
        <v/>
      </c>
      <c r="M7553" t="s">
        <v>68</v>
      </c>
      <c r="N7553" t="str">
        <f>"ALTPRO"</f>
        <v>ALTPRO</v>
      </c>
      <c r="O7553" t="s">
        <v>132</v>
      </c>
      <c r="P7553" s="3" t="s">
        <v>75</v>
      </c>
      <c r="Q7553">
        <v>2016</v>
      </c>
      <c r="R7553" s="2">
        <v>42702</v>
      </c>
      <c r="S7553" s="2">
        <v>42704</v>
      </c>
      <c r="T7553" s="2">
        <v>42702</v>
      </c>
      <c r="U7553" s="2">
        <v>42762</v>
      </c>
      <c r="V7553" t="s">
        <v>71</v>
      </c>
      <c r="W7553" t="str">
        <f>"              09/01E"</f>
        <v xml:space="preserve">              09/01E</v>
      </c>
      <c r="X7553" s="1">
        <v>6459.81</v>
      </c>
      <c r="Y7553" s="1">
        <v>-1018.26</v>
      </c>
      <c r="Z7553" s="5">
        <v>5441.55</v>
      </c>
      <c r="AA7553">
        <v>-52</v>
      </c>
      <c r="AB7553" s="5">
        <v>-282960.59999999998</v>
      </c>
      <c r="AC7553" s="1">
        <v>5441.55</v>
      </c>
      <c r="AD7553">
        <v>-52</v>
      </c>
      <c r="AE7553" s="1">
        <v>-282960.59999999998</v>
      </c>
      <c r="AF7553">
        <v>0</v>
      </c>
      <c r="AJ7553" s="1">
        <v>5441.55</v>
      </c>
      <c r="AK7553" s="1">
        <v>5441.55</v>
      </c>
      <c r="AL7553" s="1">
        <v>5441.55</v>
      </c>
      <c r="AM7553" s="1">
        <v>5441.55</v>
      </c>
      <c r="AN7553" s="1">
        <v>5441.55</v>
      </c>
      <c r="AO7553" s="1">
        <v>5441.55</v>
      </c>
      <c r="AP7553" s="2">
        <v>42746</v>
      </c>
      <c r="AQ7553" t="s">
        <v>72</v>
      </c>
      <c r="AR7553" t="s">
        <v>72</v>
      </c>
      <c r="AS7553">
        <v>3346</v>
      </c>
      <c r="AT7553" s="4">
        <v>42710</v>
      </c>
      <c r="AV7553">
        <v>3346</v>
      </c>
      <c r="AW7553" s="4">
        <v>42710</v>
      </c>
      <c r="BD7553">
        <v>0</v>
      </c>
      <c r="BN7553" t="s">
        <v>74</v>
      </c>
    </row>
    <row r="7554" spans="1:66" hidden="1">
      <c r="A7554">
        <v>104358</v>
      </c>
      <c r="B7554" s="3" t="s">
        <v>649</v>
      </c>
      <c r="C7554" s="1">
        <v>43300101</v>
      </c>
      <c r="D7554" t="s">
        <v>67</v>
      </c>
      <c r="H7554" t="str">
        <f t="shared" ref="H7554:H7563" si="747">"01103810618"</f>
        <v>01103810618</v>
      </c>
      <c r="I7554" t="str">
        <f t="shared" ref="I7554:I7563" si="748">"04887560631"</f>
        <v>04887560631</v>
      </c>
      <c r="K7554" t="str">
        <f>""</f>
        <v/>
      </c>
      <c r="M7554" t="s">
        <v>68</v>
      </c>
      <c r="N7554" t="str">
        <f t="shared" ref="N7554:N7593" si="749">"FOR"</f>
        <v>FOR</v>
      </c>
      <c r="O7554" t="s">
        <v>69</v>
      </c>
      <c r="P7554" s="3" t="s">
        <v>70</v>
      </c>
      <c r="Q7554">
        <v>2015</v>
      </c>
      <c r="R7554" s="2">
        <v>42062</v>
      </c>
      <c r="S7554" s="2">
        <v>42080</v>
      </c>
      <c r="T7554" s="2">
        <v>42080</v>
      </c>
      <c r="U7554" s="2">
        <v>42140</v>
      </c>
      <c r="V7554" t="s">
        <v>71</v>
      </c>
      <c r="W7554" t="str">
        <f>"                  73"</f>
        <v xml:space="preserve">                  73</v>
      </c>
      <c r="X7554" s="1">
        <v>4160.2</v>
      </c>
      <c r="Y7554">
        <v>0</v>
      </c>
      <c r="Z7554"/>
      <c r="AB7554"/>
      <c r="AC7554" s="1">
        <v>3410</v>
      </c>
      <c r="AD7554">
        <v>268</v>
      </c>
      <c r="AE7554" s="1">
        <v>913880</v>
      </c>
      <c r="AF7554">
        <v>0</v>
      </c>
      <c r="AJ7554">
        <v>0</v>
      </c>
      <c r="AK7554">
        <v>0</v>
      </c>
      <c r="AL7554">
        <v>0</v>
      </c>
      <c r="AM7554">
        <v>0</v>
      </c>
      <c r="AN7554">
        <v>0</v>
      </c>
      <c r="AO7554">
        <v>0</v>
      </c>
      <c r="AP7554" s="2">
        <v>42746</v>
      </c>
      <c r="AQ7554" t="s">
        <v>72</v>
      </c>
      <c r="AR7554" t="s">
        <v>72</v>
      </c>
      <c r="AS7554">
        <v>295</v>
      </c>
      <c r="AT7554" s="4">
        <v>42408</v>
      </c>
      <c r="AU7554" t="s">
        <v>73</v>
      </c>
      <c r="AV7554">
        <v>295</v>
      </c>
      <c r="AW7554" s="4">
        <v>42408</v>
      </c>
      <c r="BD7554">
        <v>0</v>
      </c>
      <c r="BN7554" t="s">
        <v>74</v>
      </c>
    </row>
    <row r="7555" spans="1:66" hidden="1">
      <c r="A7555">
        <v>104358</v>
      </c>
      <c r="B7555" s="3" t="s">
        <v>649</v>
      </c>
      <c r="C7555" s="1">
        <v>43300101</v>
      </c>
      <c r="D7555" t="s">
        <v>67</v>
      </c>
      <c r="H7555" t="str">
        <f t="shared" si="747"/>
        <v>01103810618</v>
      </c>
      <c r="I7555" t="str">
        <f t="shared" si="748"/>
        <v>04887560631</v>
      </c>
      <c r="K7555" t="str">
        <f>""</f>
        <v/>
      </c>
      <c r="M7555" t="s">
        <v>68</v>
      </c>
      <c r="N7555" t="str">
        <f t="shared" si="749"/>
        <v>FOR</v>
      </c>
      <c r="O7555" t="s">
        <v>69</v>
      </c>
      <c r="P7555" s="3" t="s">
        <v>75</v>
      </c>
      <c r="Q7555">
        <v>2015</v>
      </c>
      <c r="R7555" s="2">
        <v>42185</v>
      </c>
      <c r="S7555" s="2">
        <v>42192</v>
      </c>
      <c r="T7555" s="2">
        <v>42191</v>
      </c>
      <c r="U7555" s="2">
        <v>42251</v>
      </c>
      <c r="V7555" t="s">
        <v>71</v>
      </c>
      <c r="W7555" t="str">
        <f>"               23/01"</f>
        <v xml:space="preserve">               23/01</v>
      </c>
      <c r="X7555" s="1">
        <v>30316</v>
      </c>
      <c r="Y7555">
        <v>0</v>
      </c>
      <c r="Z7555"/>
      <c r="AB7555"/>
      <c r="AC7555" s="1">
        <v>29150</v>
      </c>
      <c r="AD7555">
        <v>325</v>
      </c>
      <c r="AE7555" s="1">
        <v>9473750</v>
      </c>
      <c r="AF7555">
        <v>0</v>
      </c>
      <c r="AJ7555">
        <v>0</v>
      </c>
      <c r="AK7555">
        <v>0</v>
      </c>
      <c r="AL7555">
        <v>0</v>
      </c>
      <c r="AM7555">
        <v>0</v>
      </c>
      <c r="AN7555">
        <v>0</v>
      </c>
      <c r="AO7555">
        <v>0</v>
      </c>
      <c r="AP7555" s="2">
        <v>42746</v>
      </c>
      <c r="AQ7555" t="s">
        <v>72</v>
      </c>
      <c r="AR7555" t="s">
        <v>72</v>
      </c>
      <c r="AS7555">
        <v>1913</v>
      </c>
      <c r="AT7555" s="4">
        <v>42576</v>
      </c>
      <c r="AU7555" t="s">
        <v>73</v>
      </c>
      <c r="AV7555">
        <v>1913</v>
      </c>
      <c r="AW7555" s="4">
        <v>42576</v>
      </c>
      <c r="BD7555">
        <v>0</v>
      </c>
      <c r="BN7555" t="s">
        <v>74</v>
      </c>
    </row>
    <row r="7556" spans="1:66" hidden="1">
      <c r="A7556">
        <v>104358</v>
      </c>
      <c r="B7556" s="3" t="s">
        <v>649</v>
      </c>
      <c r="C7556" s="1">
        <v>43300101</v>
      </c>
      <c r="D7556" t="s">
        <v>67</v>
      </c>
      <c r="H7556" t="str">
        <f t="shared" si="747"/>
        <v>01103810618</v>
      </c>
      <c r="I7556" t="str">
        <f t="shared" si="748"/>
        <v>04887560631</v>
      </c>
      <c r="K7556" t="str">
        <f>""</f>
        <v/>
      </c>
      <c r="M7556" t="s">
        <v>68</v>
      </c>
      <c r="N7556" t="str">
        <f t="shared" si="749"/>
        <v>FOR</v>
      </c>
      <c r="O7556" t="s">
        <v>69</v>
      </c>
      <c r="P7556" s="3" t="s">
        <v>75</v>
      </c>
      <c r="Q7556">
        <v>2015</v>
      </c>
      <c r="R7556" s="2">
        <v>42213</v>
      </c>
      <c r="S7556" s="2">
        <v>42217</v>
      </c>
      <c r="T7556" s="2">
        <v>42216</v>
      </c>
      <c r="U7556" s="2">
        <v>42276</v>
      </c>
      <c r="V7556" t="s">
        <v>71</v>
      </c>
      <c r="W7556" t="str">
        <f>"               46/01"</f>
        <v xml:space="preserve">               46/01</v>
      </c>
      <c r="X7556">
        <v>572</v>
      </c>
      <c r="Y7556">
        <v>0</v>
      </c>
      <c r="Z7556"/>
      <c r="AB7556"/>
      <c r="AC7556">
        <v>550</v>
      </c>
      <c r="AD7556">
        <v>290</v>
      </c>
      <c r="AE7556" s="1">
        <v>159500</v>
      </c>
      <c r="AF7556">
        <v>0</v>
      </c>
      <c r="AJ7556">
        <v>0</v>
      </c>
      <c r="AK7556">
        <v>0</v>
      </c>
      <c r="AL7556">
        <v>0</v>
      </c>
      <c r="AM7556">
        <v>0</v>
      </c>
      <c r="AN7556">
        <v>0</v>
      </c>
      <c r="AO7556">
        <v>0</v>
      </c>
      <c r="AP7556" s="2">
        <v>42746</v>
      </c>
      <c r="AQ7556" t="s">
        <v>72</v>
      </c>
      <c r="AR7556" t="s">
        <v>72</v>
      </c>
      <c r="AS7556">
        <v>1820</v>
      </c>
      <c r="AT7556" s="4">
        <v>42566</v>
      </c>
      <c r="AU7556" t="s">
        <v>73</v>
      </c>
      <c r="AV7556">
        <v>1820</v>
      </c>
      <c r="AW7556" s="4">
        <v>42566</v>
      </c>
      <c r="BD7556">
        <v>0</v>
      </c>
      <c r="BN7556" t="s">
        <v>74</v>
      </c>
    </row>
    <row r="7557" spans="1:66" hidden="1">
      <c r="A7557">
        <v>104358</v>
      </c>
      <c r="B7557" s="3" t="s">
        <v>649</v>
      </c>
      <c r="C7557" s="1">
        <v>43300101</v>
      </c>
      <c r="D7557" t="s">
        <v>67</v>
      </c>
      <c r="H7557" t="str">
        <f t="shared" si="747"/>
        <v>01103810618</v>
      </c>
      <c r="I7557" t="str">
        <f t="shared" si="748"/>
        <v>04887560631</v>
      </c>
      <c r="K7557" t="str">
        <f>""</f>
        <v/>
      </c>
      <c r="M7557" t="s">
        <v>68</v>
      </c>
      <c r="N7557" t="str">
        <f t="shared" si="749"/>
        <v>FOR</v>
      </c>
      <c r="O7557" t="s">
        <v>69</v>
      </c>
      <c r="P7557" s="3" t="s">
        <v>75</v>
      </c>
      <c r="Q7557">
        <v>2015</v>
      </c>
      <c r="R7557" s="2">
        <v>42213</v>
      </c>
      <c r="S7557" s="2">
        <v>42217</v>
      </c>
      <c r="T7557" s="2">
        <v>42216</v>
      </c>
      <c r="U7557" s="2">
        <v>42276</v>
      </c>
      <c r="V7557" t="s">
        <v>71</v>
      </c>
      <c r="W7557" t="str">
        <f>"               47/01"</f>
        <v xml:space="preserve">               47/01</v>
      </c>
      <c r="X7557" s="1">
        <v>2059.1999999999998</v>
      </c>
      <c r="Y7557">
        <v>0</v>
      </c>
      <c r="Z7557"/>
      <c r="AB7557"/>
      <c r="AC7557" s="1">
        <v>1980</v>
      </c>
      <c r="AD7557">
        <v>290</v>
      </c>
      <c r="AE7557" s="1">
        <v>574200</v>
      </c>
      <c r="AF7557">
        <v>0</v>
      </c>
      <c r="AJ7557">
        <v>0</v>
      </c>
      <c r="AK7557">
        <v>0</v>
      </c>
      <c r="AL7557">
        <v>0</v>
      </c>
      <c r="AM7557">
        <v>0</v>
      </c>
      <c r="AN7557">
        <v>0</v>
      </c>
      <c r="AO7557">
        <v>0</v>
      </c>
      <c r="AP7557" s="2">
        <v>42746</v>
      </c>
      <c r="AQ7557" t="s">
        <v>72</v>
      </c>
      <c r="AR7557" t="s">
        <v>72</v>
      </c>
      <c r="AS7557">
        <v>1820</v>
      </c>
      <c r="AT7557" s="4">
        <v>42566</v>
      </c>
      <c r="AU7557" t="s">
        <v>73</v>
      </c>
      <c r="AV7557">
        <v>1820</v>
      </c>
      <c r="AW7557" s="4">
        <v>42566</v>
      </c>
      <c r="BD7557">
        <v>0</v>
      </c>
      <c r="BN7557" t="s">
        <v>74</v>
      </c>
    </row>
    <row r="7558" spans="1:66" hidden="1">
      <c r="A7558">
        <v>104358</v>
      </c>
      <c r="B7558" s="3" t="s">
        <v>649</v>
      </c>
      <c r="C7558" s="1">
        <v>43300101</v>
      </c>
      <c r="D7558" t="s">
        <v>67</v>
      </c>
      <c r="H7558" t="str">
        <f t="shared" si="747"/>
        <v>01103810618</v>
      </c>
      <c r="I7558" t="str">
        <f t="shared" si="748"/>
        <v>04887560631</v>
      </c>
      <c r="K7558" t="str">
        <f>""</f>
        <v/>
      </c>
      <c r="M7558" t="s">
        <v>68</v>
      </c>
      <c r="N7558" t="str">
        <f t="shared" si="749"/>
        <v>FOR</v>
      </c>
      <c r="O7558" t="s">
        <v>69</v>
      </c>
      <c r="P7558" s="3" t="s">
        <v>75</v>
      </c>
      <c r="Q7558">
        <v>2015</v>
      </c>
      <c r="R7558" s="2">
        <v>42277</v>
      </c>
      <c r="S7558" s="2">
        <v>42283</v>
      </c>
      <c r="T7558" s="2">
        <v>42279</v>
      </c>
      <c r="U7558" s="2">
        <v>42339</v>
      </c>
      <c r="V7558" t="s">
        <v>71</v>
      </c>
      <c r="W7558" t="str">
        <f>"               79/01"</f>
        <v xml:space="preserve">               79/01</v>
      </c>
      <c r="X7558" s="1">
        <v>3016</v>
      </c>
      <c r="Y7558">
        <v>0</v>
      </c>
      <c r="Z7558"/>
      <c r="AB7558"/>
      <c r="AC7558" s="1">
        <v>2900</v>
      </c>
      <c r="AD7558">
        <v>282</v>
      </c>
      <c r="AE7558" s="1">
        <v>817800</v>
      </c>
      <c r="AF7558">
        <v>0</v>
      </c>
      <c r="AJ7558">
        <v>0</v>
      </c>
      <c r="AK7558">
        <v>0</v>
      </c>
      <c r="AL7558">
        <v>0</v>
      </c>
      <c r="AM7558">
        <v>0</v>
      </c>
      <c r="AN7558">
        <v>0</v>
      </c>
      <c r="AO7558">
        <v>0</v>
      </c>
      <c r="AP7558" s="2">
        <v>42746</v>
      </c>
      <c r="AQ7558" t="s">
        <v>72</v>
      </c>
      <c r="AR7558" t="s">
        <v>72</v>
      </c>
      <c r="AS7558">
        <v>2351</v>
      </c>
      <c r="AT7558" s="4">
        <v>42621</v>
      </c>
      <c r="AU7558" t="s">
        <v>73</v>
      </c>
      <c r="AV7558">
        <v>2351</v>
      </c>
      <c r="AW7558" s="4">
        <v>42621</v>
      </c>
      <c r="BD7558">
        <v>0</v>
      </c>
      <c r="BN7558" t="s">
        <v>74</v>
      </c>
    </row>
    <row r="7559" spans="1:66">
      <c r="A7559">
        <v>104358</v>
      </c>
      <c r="B7559" s="3" t="s">
        <v>649</v>
      </c>
      <c r="C7559" s="1">
        <v>43300101</v>
      </c>
      <c r="D7559" t="s">
        <v>67</v>
      </c>
      <c r="H7559" t="str">
        <f t="shared" si="747"/>
        <v>01103810618</v>
      </c>
      <c r="I7559" t="str">
        <f t="shared" si="748"/>
        <v>04887560631</v>
      </c>
      <c r="K7559" t="str">
        <f>""</f>
        <v/>
      </c>
      <c r="M7559" t="s">
        <v>68</v>
      </c>
      <c r="N7559" t="str">
        <f t="shared" si="749"/>
        <v>FOR</v>
      </c>
      <c r="O7559" t="s">
        <v>69</v>
      </c>
      <c r="P7559" s="3" t="s">
        <v>75</v>
      </c>
      <c r="Q7559">
        <v>2015</v>
      </c>
      <c r="R7559" s="2">
        <v>42307</v>
      </c>
      <c r="S7559" s="2">
        <v>42312</v>
      </c>
      <c r="T7559" s="2">
        <v>42311</v>
      </c>
      <c r="U7559" s="2">
        <v>42371</v>
      </c>
      <c r="V7559" t="s">
        <v>71</v>
      </c>
      <c r="W7559" t="str">
        <f>"               92/01"</f>
        <v xml:space="preserve">               92/01</v>
      </c>
      <c r="X7559" s="1">
        <v>8320.4</v>
      </c>
      <c r="Y7559">
        <v>0</v>
      </c>
      <c r="Z7559" s="5">
        <v>6820</v>
      </c>
      <c r="AA7559">
        <v>276</v>
      </c>
      <c r="AB7559" s="5">
        <v>1882320</v>
      </c>
      <c r="AC7559" s="1">
        <v>6820</v>
      </c>
      <c r="AD7559">
        <v>276</v>
      </c>
      <c r="AE7559" s="1">
        <v>1882320</v>
      </c>
      <c r="AF7559">
        <v>0</v>
      </c>
      <c r="AJ7559">
        <v>0</v>
      </c>
      <c r="AK7559">
        <v>0</v>
      </c>
      <c r="AL7559">
        <v>0</v>
      </c>
      <c r="AM7559">
        <v>0</v>
      </c>
      <c r="AN7559">
        <v>0</v>
      </c>
      <c r="AO7559">
        <v>0</v>
      </c>
      <c r="AP7559" s="2">
        <v>42746</v>
      </c>
      <c r="AQ7559" t="s">
        <v>72</v>
      </c>
      <c r="AR7559" t="s">
        <v>72</v>
      </c>
      <c r="AS7559">
        <v>2640</v>
      </c>
      <c r="AT7559" s="4">
        <v>42647</v>
      </c>
      <c r="AU7559" t="s">
        <v>73</v>
      </c>
      <c r="AV7559">
        <v>2640</v>
      </c>
      <c r="AW7559" s="4">
        <v>42647</v>
      </c>
      <c r="BD7559">
        <v>0</v>
      </c>
      <c r="BN7559" t="s">
        <v>74</v>
      </c>
    </row>
    <row r="7560" spans="1:66">
      <c r="A7560">
        <v>104358</v>
      </c>
      <c r="B7560" s="3" t="s">
        <v>649</v>
      </c>
      <c r="C7560" s="1">
        <v>43300101</v>
      </c>
      <c r="D7560" t="s">
        <v>67</v>
      </c>
      <c r="H7560" t="str">
        <f t="shared" si="747"/>
        <v>01103810618</v>
      </c>
      <c r="I7560" t="str">
        <f t="shared" si="748"/>
        <v>04887560631</v>
      </c>
      <c r="K7560" t="str">
        <f>""</f>
        <v/>
      </c>
      <c r="M7560" t="s">
        <v>68</v>
      </c>
      <c r="N7560" t="str">
        <f t="shared" si="749"/>
        <v>FOR</v>
      </c>
      <c r="O7560" t="s">
        <v>69</v>
      </c>
      <c r="P7560" s="3" t="s">
        <v>75</v>
      </c>
      <c r="Q7560">
        <v>2015</v>
      </c>
      <c r="R7560" s="2">
        <v>42338</v>
      </c>
      <c r="S7560" s="2">
        <v>42342</v>
      </c>
      <c r="T7560" s="2">
        <v>42341</v>
      </c>
      <c r="U7560" s="2">
        <v>42401</v>
      </c>
      <c r="V7560" t="s">
        <v>71</v>
      </c>
      <c r="W7560" t="str">
        <f>"              100/01"</f>
        <v xml:space="preserve">              100/01</v>
      </c>
      <c r="X7560" s="1">
        <v>1716</v>
      </c>
      <c r="Y7560">
        <v>0</v>
      </c>
      <c r="Z7560" s="5">
        <v>1650</v>
      </c>
      <c r="AA7560">
        <v>246</v>
      </c>
      <c r="AB7560" s="5">
        <v>405900</v>
      </c>
      <c r="AC7560" s="1">
        <v>1650</v>
      </c>
      <c r="AD7560">
        <v>246</v>
      </c>
      <c r="AE7560" s="1">
        <v>405900</v>
      </c>
      <c r="AF7560">
        <v>0</v>
      </c>
      <c r="AJ7560">
        <v>0</v>
      </c>
      <c r="AK7560">
        <v>0</v>
      </c>
      <c r="AL7560">
        <v>0</v>
      </c>
      <c r="AM7560">
        <v>0</v>
      </c>
      <c r="AN7560">
        <v>0</v>
      </c>
      <c r="AO7560">
        <v>0</v>
      </c>
      <c r="AP7560" s="2">
        <v>42746</v>
      </c>
      <c r="AQ7560" t="s">
        <v>72</v>
      </c>
      <c r="AR7560" t="s">
        <v>72</v>
      </c>
      <c r="AS7560">
        <v>2640</v>
      </c>
      <c r="AT7560" s="4">
        <v>42647</v>
      </c>
      <c r="AU7560" t="s">
        <v>73</v>
      </c>
      <c r="AV7560">
        <v>2640</v>
      </c>
      <c r="AW7560" s="4">
        <v>42647</v>
      </c>
      <c r="BD7560">
        <v>0</v>
      </c>
      <c r="BN7560" t="s">
        <v>74</v>
      </c>
    </row>
    <row r="7561" spans="1:66">
      <c r="A7561">
        <v>104358</v>
      </c>
      <c r="B7561" s="3" t="s">
        <v>649</v>
      </c>
      <c r="C7561" s="1">
        <v>43300101</v>
      </c>
      <c r="D7561" t="s">
        <v>67</v>
      </c>
      <c r="H7561" t="str">
        <f t="shared" si="747"/>
        <v>01103810618</v>
      </c>
      <c r="I7561" t="str">
        <f t="shared" si="748"/>
        <v>04887560631</v>
      </c>
      <c r="K7561" t="str">
        <f>""</f>
        <v/>
      </c>
      <c r="M7561" t="s">
        <v>68</v>
      </c>
      <c r="N7561" t="str">
        <f t="shared" si="749"/>
        <v>FOR</v>
      </c>
      <c r="O7561" t="s">
        <v>69</v>
      </c>
      <c r="P7561" s="3" t="s">
        <v>75</v>
      </c>
      <c r="Q7561">
        <v>2015</v>
      </c>
      <c r="R7561" s="2">
        <v>42338</v>
      </c>
      <c r="S7561" s="2">
        <v>42342</v>
      </c>
      <c r="T7561" s="2">
        <v>42341</v>
      </c>
      <c r="U7561" s="2">
        <v>42401</v>
      </c>
      <c r="V7561" t="s">
        <v>71</v>
      </c>
      <c r="W7561" t="str">
        <f>"              101/01"</f>
        <v xml:space="preserve">              101/01</v>
      </c>
      <c r="X7561" s="1">
        <v>1716</v>
      </c>
      <c r="Y7561">
        <v>0</v>
      </c>
      <c r="Z7561" s="5">
        <v>1650</v>
      </c>
      <c r="AA7561">
        <v>246</v>
      </c>
      <c r="AB7561" s="5">
        <v>405900</v>
      </c>
      <c r="AC7561" s="1">
        <v>1650</v>
      </c>
      <c r="AD7561">
        <v>246</v>
      </c>
      <c r="AE7561" s="1">
        <v>405900</v>
      </c>
      <c r="AF7561">
        <v>0</v>
      </c>
      <c r="AJ7561">
        <v>0</v>
      </c>
      <c r="AK7561">
        <v>0</v>
      </c>
      <c r="AL7561">
        <v>0</v>
      </c>
      <c r="AM7561">
        <v>0</v>
      </c>
      <c r="AN7561">
        <v>0</v>
      </c>
      <c r="AO7561">
        <v>0</v>
      </c>
      <c r="AP7561" s="2">
        <v>42746</v>
      </c>
      <c r="AQ7561" t="s">
        <v>72</v>
      </c>
      <c r="AR7561" t="s">
        <v>72</v>
      </c>
      <c r="AS7561">
        <v>2640</v>
      </c>
      <c r="AT7561" s="4">
        <v>42647</v>
      </c>
      <c r="AU7561" t="s">
        <v>73</v>
      </c>
      <c r="AV7561">
        <v>2640</v>
      </c>
      <c r="AW7561" s="4">
        <v>42647</v>
      </c>
      <c r="BD7561">
        <v>0</v>
      </c>
      <c r="BN7561" t="s">
        <v>74</v>
      </c>
    </row>
    <row r="7562" spans="1:66">
      <c r="A7562">
        <v>104358</v>
      </c>
      <c r="B7562" s="3" t="s">
        <v>649</v>
      </c>
      <c r="C7562" s="1">
        <v>43300101</v>
      </c>
      <c r="D7562" t="s">
        <v>67</v>
      </c>
      <c r="H7562" t="str">
        <f t="shared" si="747"/>
        <v>01103810618</v>
      </c>
      <c r="I7562" t="str">
        <f t="shared" si="748"/>
        <v>04887560631</v>
      </c>
      <c r="K7562" t="str">
        <f>""</f>
        <v/>
      </c>
      <c r="M7562" t="s">
        <v>68</v>
      </c>
      <c r="N7562" t="str">
        <f t="shared" si="749"/>
        <v>FOR</v>
      </c>
      <c r="O7562" t="s">
        <v>69</v>
      </c>
      <c r="P7562" s="3" t="s">
        <v>75</v>
      </c>
      <c r="Q7562">
        <v>2015</v>
      </c>
      <c r="R7562" s="2">
        <v>42338</v>
      </c>
      <c r="S7562" s="2">
        <v>42342</v>
      </c>
      <c r="T7562" s="2">
        <v>42341</v>
      </c>
      <c r="U7562" s="2">
        <v>42401</v>
      </c>
      <c r="V7562" t="s">
        <v>71</v>
      </c>
      <c r="W7562" t="str">
        <f>"              102/01"</f>
        <v xml:space="preserve">              102/01</v>
      </c>
      <c r="X7562" s="1">
        <v>2059.1999999999998</v>
      </c>
      <c r="Y7562">
        <v>0</v>
      </c>
      <c r="Z7562" s="5">
        <v>1980</v>
      </c>
      <c r="AA7562">
        <v>246</v>
      </c>
      <c r="AB7562" s="5">
        <v>487080</v>
      </c>
      <c r="AC7562" s="1">
        <v>1980</v>
      </c>
      <c r="AD7562">
        <v>246</v>
      </c>
      <c r="AE7562" s="1">
        <v>487080</v>
      </c>
      <c r="AF7562">
        <v>0</v>
      </c>
      <c r="AJ7562">
        <v>0</v>
      </c>
      <c r="AK7562">
        <v>0</v>
      </c>
      <c r="AL7562">
        <v>0</v>
      </c>
      <c r="AM7562">
        <v>0</v>
      </c>
      <c r="AN7562">
        <v>0</v>
      </c>
      <c r="AO7562">
        <v>0</v>
      </c>
      <c r="AP7562" s="2">
        <v>42746</v>
      </c>
      <c r="AQ7562" t="s">
        <v>72</v>
      </c>
      <c r="AR7562" t="s">
        <v>72</v>
      </c>
      <c r="AS7562">
        <v>2640</v>
      </c>
      <c r="AT7562" s="4">
        <v>42647</v>
      </c>
      <c r="AU7562" t="s">
        <v>73</v>
      </c>
      <c r="AV7562">
        <v>2640</v>
      </c>
      <c r="AW7562" s="4">
        <v>42647</v>
      </c>
      <c r="BD7562">
        <v>0</v>
      </c>
      <c r="BN7562" t="s">
        <v>74</v>
      </c>
    </row>
    <row r="7563" spans="1:66">
      <c r="A7563">
        <v>104358</v>
      </c>
      <c r="B7563" s="3" t="s">
        <v>649</v>
      </c>
      <c r="C7563" s="1">
        <v>43300101</v>
      </c>
      <c r="D7563" t="s">
        <v>67</v>
      </c>
      <c r="H7563" t="str">
        <f t="shared" si="747"/>
        <v>01103810618</v>
      </c>
      <c r="I7563" t="str">
        <f t="shared" si="748"/>
        <v>04887560631</v>
      </c>
      <c r="K7563" t="str">
        <f>""</f>
        <v/>
      </c>
      <c r="M7563" t="s">
        <v>68</v>
      </c>
      <c r="N7563" t="str">
        <f t="shared" si="749"/>
        <v>FOR</v>
      </c>
      <c r="O7563" t="s">
        <v>69</v>
      </c>
      <c r="P7563" s="3" t="s">
        <v>75</v>
      </c>
      <c r="Q7563">
        <v>2015</v>
      </c>
      <c r="R7563" s="2">
        <v>42338</v>
      </c>
      <c r="S7563" s="2">
        <v>42342</v>
      </c>
      <c r="T7563" s="2">
        <v>42341</v>
      </c>
      <c r="U7563" s="2">
        <v>42401</v>
      </c>
      <c r="V7563" t="s">
        <v>71</v>
      </c>
      <c r="W7563" t="str">
        <f>"              103/01"</f>
        <v xml:space="preserve">              103/01</v>
      </c>
      <c r="X7563" s="1">
        <v>1029.5999999999999</v>
      </c>
      <c r="Y7563">
        <v>0</v>
      </c>
      <c r="Z7563" s="3">
        <v>990</v>
      </c>
      <c r="AA7563">
        <v>246</v>
      </c>
      <c r="AB7563" s="5">
        <v>243540</v>
      </c>
      <c r="AC7563">
        <v>990</v>
      </c>
      <c r="AD7563">
        <v>246</v>
      </c>
      <c r="AE7563" s="1">
        <v>243540</v>
      </c>
      <c r="AF7563">
        <v>0</v>
      </c>
      <c r="AJ7563">
        <v>0</v>
      </c>
      <c r="AK7563">
        <v>0</v>
      </c>
      <c r="AL7563">
        <v>0</v>
      </c>
      <c r="AM7563">
        <v>0</v>
      </c>
      <c r="AN7563">
        <v>0</v>
      </c>
      <c r="AO7563">
        <v>0</v>
      </c>
      <c r="AP7563" s="2">
        <v>42746</v>
      </c>
      <c r="AQ7563" t="s">
        <v>72</v>
      </c>
      <c r="AR7563" t="s">
        <v>72</v>
      </c>
      <c r="AS7563">
        <v>2640</v>
      </c>
      <c r="AT7563" s="4">
        <v>42647</v>
      </c>
      <c r="AU7563" t="s">
        <v>73</v>
      </c>
      <c r="AV7563">
        <v>2640</v>
      </c>
      <c r="AW7563" s="4">
        <v>42647</v>
      </c>
      <c r="BD7563">
        <v>0</v>
      </c>
      <c r="BN7563" t="s">
        <v>74</v>
      </c>
    </row>
    <row r="7564" spans="1:66" hidden="1">
      <c r="A7564">
        <v>104364</v>
      </c>
      <c r="B7564" s="3" t="s">
        <v>650</v>
      </c>
      <c r="C7564" s="1">
        <v>43300101</v>
      </c>
      <c r="D7564" t="s">
        <v>67</v>
      </c>
      <c r="H7564" t="str">
        <f t="shared" ref="H7564:I7577" si="750">"05525540729"</f>
        <v>05525540729</v>
      </c>
      <c r="I7564" t="str">
        <f t="shared" si="750"/>
        <v>05525540729</v>
      </c>
      <c r="K7564" t="str">
        <f>""</f>
        <v/>
      </c>
      <c r="M7564" t="s">
        <v>68</v>
      </c>
      <c r="N7564" t="str">
        <f t="shared" si="749"/>
        <v>FOR</v>
      </c>
      <c r="O7564" t="s">
        <v>69</v>
      </c>
      <c r="P7564" s="3" t="s">
        <v>70</v>
      </c>
      <c r="Q7564">
        <v>2015</v>
      </c>
      <c r="R7564" s="2">
        <v>42051</v>
      </c>
      <c r="S7564" s="2">
        <v>42067</v>
      </c>
      <c r="T7564" s="2">
        <v>42067</v>
      </c>
      <c r="U7564" s="2">
        <v>42127</v>
      </c>
      <c r="V7564" t="s">
        <v>71</v>
      </c>
      <c r="W7564" t="str">
        <f>"                  46"</f>
        <v xml:space="preserve">                  46</v>
      </c>
      <c r="X7564" s="1">
        <v>2403.4</v>
      </c>
      <c r="Y7564">
        <v>0</v>
      </c>
      <c r="Z7564"/>
      <c r="AB7564"/>
      <c r="AC7564" s="1">
        <v>1970</v>
      </c>
      <c r="AD7564">
        <v>281</v>
      </c>
      <c r="AE7564" s="1">
        <v>553570</v>
      </c>
      <c r="AF7564">
        <v>0</v>
      </c>
      <c r="AJ7564">
        <v>0</v>
      </c>
      <c r="AK7564">
        <v>0</v>
      </c>
      <c r="AL7564">
        <v>0</v>
      </c>
      <c r="AM7564">
        <v>0</v>
      </c>
      <c r="AN7564">
        <v>0</v>
      </c>
      <c r="AO7564">
        <v>0</v>
      </c>
      <c r="AP7564" s="2">
        <v>42746</v>
      </c>
      <c r="AQ7564" t="s">
        <v>72</v>
      </c>
      <c r="AR7564" t="s">
        <v>72</v>
      </c>
      <c r="AS7564">
        <v>298</v>
      </c>
      <c r="AT7564" s="4">
        <v>42408</v>
      </c>
      <c r="AU7564" t="s">
        <v>73</v>
      </c>
      <c r="AV7564">
        <v>298</v>
      </c>
      <c r="AW7564" s="4">
        <v>42408</v>
      </c>
      <c r="BD7564">
        <v>0</v>
      </c>
      <c r="BN7564" t="s">
        <v>74</v>
      </c>
    </row>
    <row r="7565" spans="1:66" hidden="1">
      <c r="A7565">
        <v>104364</v>
      </c>
      <c r="B7565" s="3" t="s">
        <v>650</v>
      </c>
      <c r="C7565" s="1">
        <v>43300101</v>
      </c>
      <c r="D7565" t="s">
        <v>67</v>
      </c>
      <c r="H7565" t="str">
        <f t="shared" si="750"/>
        <v>05525540729</v>
      </c>
      <c r="I7565" t="str">
        <f t="shared" si="750"/>
        <v>05525540729</v>
      </c>
      <c r="K7565" t="str">
        <f>""</f>
        <v/>
      </c>
      <c r="M7565" t="s">
        <v>68</v>
      </c>
      <c r="N7565" t="str">
        <f t="shared" si="749"/>
        <v>FOR</v>
      </c>
      <c r="O7565" t="s">
        <v>69</v>
      </c>
      <c r="P7565" s="3" t="s">
        <v>70</v>
      </c>
      <c r="Q7565">
        <v>2015</v>
      </c>
      <c r="R7565" s="2">
        <v>42073</v>
      </c>
      <c r="S7565" s="2">
        <v>42081</v>
      </c>
      <c r="T7565" s="2">
        <v>42081</v>
      </c>
      <c r="U7565" s="2">
        <v>42141</v>
      </c>
      <c r="V7565" t="s">
        <v>71</v>
      </c>
      <c r="W7565" t="str">
        <f>"               75/15"</f>
        <v xml:space="preserve">               75/15</v>
      </c>
      <c r="X7565" s="1">
        <v>1143.75</v>
      </c>
      <c r="Y7565">
        <v>0</v>
      </c>
      <c r="Z7565"/>
      <c r="AB7565"/>
      <c r="AC7565">
        <v>937.5</v>
      </c>
      <c r="AD7565">
        <v>274</v>
      </c>
      <c r="AE7565" s="1">
        <v>256875</v>
      </c>
      <c r="AF7565">
        <v>0</v>
      </c>
      <c r="AJ7565">
        <v>0</v>
      </c>
      <c r="AK7565">
        <v>0</v>
      </c>
      <c r="AL7565">
        <v>0</v>
      </c>
      <c r="AM7565">
        <v>0</v>
      </c>
      <c r="AN7565">
        <v>0</v>
      </c>
      <c r="AO7565">
        <v>0</v>
      </c>
      <c r="AP7565" s="2">
        <v>42746</v>
      </c>
      <c r="AQ7565" t="s">
        <v>72</v>
      </c>
      <c r="AR7565" t="s">
        <v>72</v>
      </c>
      <c r="AS7565">
        <v>384</v>
      </c>
      <c r="AT7565" s="4">
        <v>42415</v>
      </c>
      <c r="AU7565" t="s">
        <v>73</v>
      </c>
      <c r="AV7565">
        <v>384</v>
      </c>
      <c r="AW7565" s="4">
        <v>42415</v>
      </c>
      <c r="BD7565">
        <v>0</v>
      </c>
      <c r="BN7565" t="s">
        <v>74</v>
      </c>
    </row>
    <row r="7566" spans="1:66" hidden="1">
      <c r="A7566">
        <v>104364</v>
      </c>
      <c r="B7566" s="3" t="s">
        <v>650</v>
      </c>
      <c r="C7566" s="1">
        <v>43300101</v>
      </c>
      <c r="D7566" t="s">
        <v>67</v>
      </c>
      <c r="H7566" t="str">
        <f t="shared" si="750"/>
        <v>05525540729</v>
      </c>
      <c r="I7566" t="str">
        <f t="shared" si="750"/>
        <v>05525540729</v>
      </c>
      <c r="K7566" t="str">
        <f>""</f>
        <v/>
      </c>
      <c r="M7566" t="s">
        <v>68</v>
      </c>
      <c r="N7566" t="str">
        <f t="shared" si="749"/>
        <v>FOR</v>
      </c>
      <c r="O7566" t="s">
        <v>69</v>
      </c>
      <c r="P7566" s="3" t="s">
        <v>70</v>
      </c>
      <c r="Q7566">
        <v>2015</v>
      </c>
      <c r="R7566" s="2">
        <v>42086</v>
      </c>
      <c r="S7566" s="2">
        <v>42094</v>
      </c>
      <c r="T7566" s="2">
        <v>42094</v>
      </c>
      <c r="U7566" s="2">
        <v>42154</v>
      </c>
      <c r="V7566" t="s">
        <v>71</v>
      </c>
      <c r="W7566" t="str">
        <f>"               93/15"</f>
        <v xml:space="preserve">               93/15</v>
      </c>
      <c r="X7566">
        <v>732</v>
      </c>
      <c r="Y7566">
        <v>0</v>
      </c>
      <c r="Z7566"/>
      <c r="AB7566"/>
      <c r="AC7566">
        <v>600</v>
      </c>
      <c r="AD7566">
        <v>261</v>
      </c>
      <c r="AE7566" s="1">
        <v>156600</v>
      </c>
      <c r="AF7566">
        <v>0</v>
      </c>
      <c r="AJ7566">
        <v>0</v>
      </c>
      <c r="AK7566">
        <v>0</v>
      </c>
      <c r="AL7566">
        <v>0</v>
      </c>
      <c r="AM7566">
        <v>0</v>
      </c>
      <c r="AN7566">
        <v>0</v>
      </c>
      <c r="AO7566">
        <v>0</v>
      </c>
      <c r="AP7566" s="2">
        <v>42746</v>
      </c>
      <c r="AQ7566" t="s">
        <v>72</v>
      </c>
      <c r="AR7566" t="s">
        <v>72</v>
      </c>
      <c r="AS7566">
        <v>384</v>
      </c>
      <c r="AT7566" s="4">
        <v>42415</v>
      </c>
      <c r="AU7566" t="s">
        <v>73</v>
      </c>
      <c r="AV7566">
        <v>384</v>
      </c>
      <c r="AW7566" s="4">
        <v>42415</v>
      </c>
      <c r="BD7566">
        <v>0</v>
      </c>
      <c r="BN7566" t="s">
        <v>74</v>
      </c>
    </row>
    <row r="7567" spans="1:66" hidden="1">
      <c r="A7567">
        <v>104364</v>
      </c>
      <c r="B7567" s="3" t="s">
        <v>650</v>
      </c>
      <c r="C7567" s="1">
        <v>43300101</v>
      </c>
      <c r="D7567" t="s">
        <v>67</v>
      </c>
      <c r="H7567" t="str">
        <f t="shared" si="750"/>
        <v>05525540729</v>
      </c>
      <c r="I7567" t="str">
        <f t="shared" si="750"/>
        <v>05525540729</v>
      </c>
      <c r="K7567" t="str">
        <f>""</f>
        <v/>
      </c>
      <c r="M7567" t="s">
        <v>68</v>
      </c>
      <c r="N7567" t="str">
        <f t="shared" si="749"/>
        <v>FOR</v>
      </c>
      <c r="O7567" t="s">
        <v>69</v>
      </c>
      <c r="P7567" s="3" t="s">
        <v>75</v>
      </c>
      <c r="Q7567">
        <v>2015</v>
      </c>
      <c r="R7567" s="2">
        <v>42136</v>
      </c>
      <c r="S7567" s="2">
        <v>42142</v>
      </c>
      <c r="T7567" s="2">
        <v>42138</v>
      </c>
      <c r="U7567" s="2">
        <v>42198</v>
      </c>
      <c r="V7567" t="s">
        <v>71</v>
      </c>
      <c r="W7567" t="str">
        <f>"        FATTPA 16_15"</f>
        <v xml:space="preserve">        FATTPA 16_15</v>
      </c>
      <c r="X7567" s="1">
        <v>5246.61</v>
      </c>
      <c r="Y7567">
        <v>0</v>
      </c>
      <c r="Z7567"/>
      <c r="AB7567"/>
      <c r="AC7567" s="1">
        <v>4300.5</v>
      </c>
      <c r="AD7567">
        <v>254</v>
      </c>
      <c r="AE7567" s="1">
        <v>1092327</v>
      </c>
      <c r="AF7567">
        <v>0</v>
      </c>
      <c r="AJ7567">
        <v>0</v>
      </c>
      <c r="AK7567">
        <v>0</v>
      </c>
      <c r="AL7567">
        <v>0</v>
      </c>
      <c r="AM7567">
        <v>0</v>
      </c>
      <c r="AN7567">
        <v>0</v>
      </c>
      <c r="AO7567">
        <v>0</v>
      </c>
      <c r="AP7567" s="2">
        <v>42746</v>
      </c>
      <c r="AQ7567" t="s">
        <v>72</v>
      </c>
      <c r="AR7567" t="s">
        <v>72</v>
      </c>
      <c r="AS7567">
        <v>819</v>
      </c>
      <c r="AT7567" s="4">
        <v>42452</v>
      </c>
      <c r="AU7567" t="s">
        <v>73</v>
      </c>
      <c r="AV7567">
        <v>819</v>
      </c>
      <c r="AW7567" s="4">
        <v>42452</v>
      </c>
      <c r="BD7567">
        <v>0</v>
      </c>
      <c r="BN7567" t="s">
        <v>74</v>
      </c>
    </row>
    <row r="7568" spans="1:66" hidden="1">
      <c r="A7568">
        <v>104364</v>
      </c>
      <c r="B7568" s="3" t="s">
        <v>650</v>
      </c>
      <c r="C7568" s="1">
        <v>43300101</v>
      </c>
      <c r="D7568" t="s">
        <v>67</v>
      </c>
      <c r="H7568" t="str">
        <f t="shared" si="750"/>
        <v>05525540729</v>
      </c>
      <c r="I7568" t="str">
        <f t="shared" si="750"/>
        <v>05525540729</v>
      </c>
      <c r="K7568" t="str">
        <f>""</f>
        <v/>
      </c>
      <c r="M7568" t="s">
        <v>68</v>
      </c>
      <c r="N7568" t="str">
        <f t="shared" si="749"/>
        <v>FOR</v>
      </c>
      <c r="O7568" t="s">
        <v>69</v>
      </c>
      <c r="P7568" s="3" t="s">
        <v>75</v>
      </c>
      <c r="Q7568">
        <v>2015</v>
      </c>
      <c r="R7568" s="2">
        <v>42160</v>
      </c>
      <c r="S7568" s="2">
        <v>42163</v>
      </c>
      <c r="T7568" s="2">
        <v>42160</v>
      </c>
      <c r="U7568" s="2">
        <v>42220</v>
      </c>
      <c r="V7568" t="s">
        <v>71</v>
      </c>
      <c r="W7568" t="str">
        <f>"        FATTPA 36_15"</f>
        <v xml:space="preserve">        FATTPA 36_15</v>
      </c>
      <c r="X7568" s="1">
        <v>2403.4</v>
      </c>
      <c r="Y7568">
        <v>0</v>
      </c>
      <c r="Z7568"/>
      <c r="AB7568"/>
      <c r="AC7568" s="1">
        <v>1970</v>
      </c>
      <c r="AD7568">
        <v>300</v>
      </c>
      <c r="AE7568" s="1">
        <v>591000</v>
      </c>
      <c r="AF7568">
        <v>0</v>
      </c>
      <c r="AJ7568">
        <v>0</v>
      </c>
      <c r="AK7568">
        <v>0</v>
      </c>
      <c r="AL7568">
        <v>0</v>
      </c>
      <c r="AM7568">
        <v>0</v>
      </c>
      <c r="AN7568">
        <v>0</v>
      </c>
      <c r="AO7568">
        <v>0</v>
      </c>
      <c r="AP7568" s="2">
        <v>42746</v>
      </c>
      <c r="AQ7568" t="s">
        <v>72</v>
      </c>
      <c r="AR7568" t="s">
        <v>72</v>
      </c>
      <c r="AS7568">
        <v>1442</v>
      </c>
      <c r="AT7568" s="4">
        <v>42520</v>
      </c>
      <c r="AU7568" t="s">
        <v>73</v>
      </c>
      <c r="AV7568">
        <v>1442</v>
      </c>
      <c r="AW7568" s="4">
        <v>42520</v>
      </c>
      <c r="BD7568">
        <v>0</v>
      </c>
      <c r="BN7568" t="s">
        <v>74</v>
      </c>
    </row>
    <row r="7569" spans="1:66" hidden="1">
      <c r="A7569">
        <v>104364</v>
      </c>
      <c r="B7569" s="3" t="s">
        <v>650</v>
      </c>
      <c r="C7569" s="1">
        <v>43300101</v>
      </c>
      <c r="D7569" t="s">
        <v>67</v>
      </c>
      <c r="H7569" t="str">
        <f t="shared" si="750"/>
        <v>05525540729</v>
      </c>
      <c r="I7569" t="str">
        <f t="shared" si="750"/>
        <v>05525540729</v>
      </c>
      <c r="K7569" t="str">
        <f>""</f>
        <v/>
      </c>
      <c r="M7569" t="s">
        <v>68</v>
      </c>
      <c r="N7569" t="str">
        <f t="shared" si="749"/>
        <v>FOR</v>
      </c>
      <c r="O7569" t="s">
        <v>69</v>
      </c>
      <c r="P7569" s="3" t="s">
        <v>75</v>
      </c>
      <c r="Q7569">
        <v>2015</v>
      </c>
      <c r="R7569" s="2">
        <v>42160</v>
      </c>
      <c r="S7569" s="2">
        <v>42163</v>
      </c>
      <c r="T7569" s="2">
        <v>42160</v>
      </c>
      <c r="U7569" s="2">
        <v>42220</v>
      </c>
      <c r="V7569" t="s">
        <v>71</v>
      </c>
      <c r="W7569" t="str">
        <f>"        FATTPA 37_15"</f>
        <v xml:space="preserve">        FATTPA 37_15</v>
      </c>
      <c r="X7569" s="1">
        <v>3660</v>
      </c>
      <c r="Y7569">
        <v>0</v>
      </c>
      <c r="Z7569"/>
      <c r="AB7569"/>
      <c r="AC7569" s="1">
        <v>3000</v>
      </c>
      <c r="AD7569">
        <v>300</v>
      </c>
      <c r="AE7569" s="1">
        <v>900000</v>
      </c>
      <c r="AF7569">
        <v>0</v>
      </c>
      <c r="AJ7569">
        <v>0</v>
      </c>
      <c r="AK7569">
        <v>0</v>
      </c>
      <c r="AL7569">
        <v>0</v>
      </c>
      <c r="AM7569">
        <v>0</v>
      </c>
      <c r="AN7569">
        <v>0</v>
      </c>
      <c r="AO7569">
        <v>0</v>
      </c>
      <c r="AP7569" s="2">
        <v>42746</v>
      </c>
      <c r="AQ7569" t="s">
        <v>72</v>
      </c>
      <c r="AR7569" t="s">
        <v>72</v>
      </c>
      <c r="AS7569">
        <v>1442</v>
      </c>
      <c r="AT7569" s="4">
        <v>42520</v>
      </c>
      <c r="AU7569" t="s">
        <v>73</v>
      </c>
      <c r="AV7569">
        <v>1442</v>
      </c>
      <c r="AW7569" s="4">
        <v>42520</v>
      </c>
      <c r="BD7569">
        <v>0</v>
      </c>
      <c r="BN7569" t="s">
        <v>74</v>
      </c>
    </row>
    <row r="7570" spans="1:66" hidden="1">
      <c r="A7570">
        <v>104364</v>
      </c>
      <c r="B7570" s="3" t="s">
        <v>650</v>
      </c>
      <c r="C7570" s="1">
        <v>43300101</v>
      </c>
      <c r="D7570" t="s">
        <v>67</v>
      </c>
      <c r="H7570" t="str">
        <f t="shared" si="750"/>
        <v>05525540729</v>
      </c>
      <c r="I7570" t="str">
        <f t="shared" si="750"/>
        <v>05525540729</v>
      </c>
      <c r="K7570" t="str">
        <f>""</f>
        <v/>
      </c>
      <c r="M7570" t="s">
        <v>68</v>
      </c>
      <c r="N7570" t="str">
        <f t="shared" si="749"/>
        <v>FOR</v>
      </c>
      <c r="O7570" t="s">
        <v>69</v>
      </c>
      <c r="P7570" s="3" t="s">
        <v>75</v>
      </c>
      <c r="Q7570">
        <v>2015</v>
      </c>
      <c r="R7570" s="2">
        <v>42188</v>
      </c>
      <c r="S7570" s="2">
        <v>42191</v>
      </c>
      <c r="T7570" s="2">
        <v>42188</v>
      </c>
      <c r="U7570" s="2">
        <v>42248</v>
      </c>
      <c r="V7570" t="s">
        <v>71</v>
      </c>
      <c r="W7570" t="str">
        <f>"        FATTPA 51_15"</f>
        <v xml:space="preserve">        FATTPA 51_15</v>
      </c>
      <c r="X7570" s="1">
        <v>1464</v>
      </c>
      <c r="Y7570">
        <v>0</v>
      </c>
      <c r="Z7570"/>
      <c r="AB7570"/>
      <c r="AC7570" s="1">
        <v>1200</v>
      </c>
      <c r="AD7570">
        <v>304</v>
      </c>
      <c r="AE7570" s="1">
        <v>364800</v>
      </c>
      <c r="AF7570">
        <v>0</v>
      </c>
      <c r="AJ7570">
        <v>0</v>
      </c>
      <c r="AK7570">
        <v>0</v>
      </c>
      <c r="AL7570">
        <v>0</v>
      </c>
      <c r="AM7570">
        <v>0</v>
      </c>
      <c r="AN7570">
        <v>0</v>
      </c>
      <c r="AO7570">
        <v>0</v>
      </c>
      <c r="AP7570" s="2">
        <v>42746</v>
      </c>
      <c r="AQ7570" t="s">
        <v>72</v>
      </c>
      <c r="AR7570" t="s">
        <v>72</v>
      </c>
      <c r="AS7570">
        <v>1671</v>
      </c>
      <c r="AT7570" s="4">
        <v>42552</v>
      </c>
      <c r="AU7570" t="s">
        <v>73</v>
      </c>
      <c r="AV7570">
        <v>1671</v>
      </c>
      <c r="AW7570" s="4">
        <v>42552</v>
      </c>
      <c r="BD7570">
        <v>0</v>
      </c>
      <c r="BN7570" t="s">
        <v>74</v>
      </c>
    </row>
    <row r="7571" spans="1:66" hidden="1">
      <c r="A7571">
        <v>104364</v>
      </c>
      <c r="B7571" s="3" t="s">
        <v>650</v>
      </c>
      <c r="C7571" s="1">
        <v>43300101</v>
      </c>
      <c r="D7571" t="s">
        <v>67</v>
      </c>
      <c r="H7571" t="str">
        <f t="shared" si="750"/>
        <v>05525540729</v>
      </c>
      <c r="I7571" t="str">
        <f t="shared" si="750"/>
        <v>05525540729</v>
      </c>
      <c r="K7571" t="str">
        <f>""</f>
        <v/>
      </c>
      <c r="M7571" t="s">
        <v>68</v>
      </c>
      <c r="N7571" t="str">
        <f t="shared" si="749"/>
        <v>FOR</v>
      </c>
      <c r="O7571" t="s">
        <v>69</v>
      </c>
      <c r="P7571" s="3" t="s">
        <v>75</v>
      </c>
      <c r="Q7571">
        <v>2015</v>
      </c>
      <c r="R7571" s="2">
        <v>42207</v>
      </c>
      <c r="S7571" s="2">
        <v>42209</v>
      </c>
      <c r="T7571" s="2">
        <v>42207</v>
      </c>
      <c r="U7571" s="2">
        <v>42267</v>
      </c>
      <c r="V7571" t="s">
        <v>71</v>
      </c>
      <c r="W7571" t="str">
        <f>"        FATTPA 62_15"</f>
        <v xml:space="preserve">        FATTPA 62_15</v>
      </c>
      <c r="X7571" s="1">
        <v>5246.61</v>
      </c>
      <c r="Y7571">
        <v>0</v>
      </c>
      <c r="Z7571"/>
      <c r="AB7571"/>
      <c r="AC7571" s="1">
        <v>4300.5</v>
      </c>
      <c r="AD7571">
        <v>285</v>
      </c>
      <c r="AE7571" s="1">
        <v>1225642.5</v>
      </c>
      <c r="AF7571">
        <v>0</v>
      </c>
      <c r="AJ7571">
        <v>0</v>
      </c>
      <c r="AK7571">
        <v>0</v>
      </c>
      <c r="AL7571">
        <v>0</v>
      </c>
      <c r="AM7571">
        <v>0</v>
      </c>
      <c r="AN7571">
        <v>0</v>
      </c>
      <c r="AO7571">
        <v>0</v>
      </c>
      <c r="AP7571" s="2">
        <v>42746</v>
      </c>
      <c r="AQ7571" t="s">
        <v>72</v>
      </c>
      <c r="AR7571" t="s">
        <v>72</v>
      </c>
      <c r="AS7571">
        <v>1671</v>
      </c>
      <c r="AT7571" s="4">
        <v>42552</v>
      </c>
      <c r="AU7571" t="s">
        <v>73</v>
      </c>
      <c r="AV7571">
        <v>1671</v>
      </c>
      <c r="AW7571" s="4">
        <v>42552</v>
      </c>
      <c r="BD7571">
        <v>0</v>
      </c>
      <c r="BN7571" t="s">
        <v>74</v>
      </c>
    </row>
    <row r="7572" spans="1:66" hidden="1">
      <c r="A7572">
        <v>104364</v>
      </c>
      <c r="B7572" s="3" t="s">
        <v>650</v>
      </c>
      <c r="C7572" s="1">
        <v>43300101</v>
      </c>
      <c r="D7572" t="s">
        <v>67</v>
      </c>
      <c r="H7572" t="str">
        <f t="shared" si="750"/>
        <v>05525540729</v>
      </c>
      <c r="I7572" t="str">
        <f t="shared" si="750"/>
        <v>05525540729</v>
      </c>
      <c r="K7572" t="str">
        <f>""</f>
        <v/>
      </c>
      <c r="M7572" t="s">
        <v>68</v>
      </c>
      <c r="N7572" t="str">
        <f t="shared" si="749"/>
        <v>FOR</v>
      </c>
      <c r="O7572" t="s">
        <v>69</v>
      </c>
      <c r="P7572" s="3" t="s">
        <v>75</v>
      </c>
      <c r="Q7572">
        <v>2015</v>
      </c>
      <c r="R7572" s="2">
        <v>42251</v>
      </c>
      <c r="S7572" s="2">
        <v>42254</v>
      </c>
      <c r="T7572" s="2">
        <v>42251</v>
      </c>
      <c r="U7572" s="2">
        <v>42311</v>
      </c>
      <c r="V7572" t="s">
        <v>71</v>
      </c>
      <c r="W7572" t="str">
        <f>"        FATTPA 77_15"</f>
        <v xml:space="preserve">        FATTPA 77_15</v>
      </c>
      <c r="X7572" s="1">
        <v>5246</v>
      </c>
      <c r="Y7572">
        <v>0</v>
      </c>
      <c r="Z7572"/>
      <c r="AB7572"/>
      <c r="AC7572" s="1">
        <v>4300</v>
      </c>
      <c r="AD7572">
        <v>310</v>
      </c>
      <c r="AE7572" s="1">
        <v>1333000</v>
      </c>
      <c r="AF7572">
        <v>0</v>
      </c>
      <c r="AJ7572">
        <v>0</v>
      </c>
      <c r="AK7572">
        <v>0</v>
      </c>
      <c r="AL7572">
        <v>0</v>
      </c>
      <c r="AM7572">
        <v>0</v>
      </c>
      <c r="AN7572">
        <v>0</v>
      </c>
      <c r="AO7572">
        <v>0</v>
      </c>
      <c r="AP7572" s="2">
        <v>42746</v>
      </c>
      <c r="AQ7572" t="s">
        <v>72</v>
      </c>
      <c r="AR7572" t="s">
        <v>72</v>
      </c>
      <c r="AS7572">
        <v>2383</v>
      </c>
      <c r="AT7572" s="4">
        <v>42621</v>
      </c>
      <c r="AU7572" t="s">
        <v>73</v>
      </c>
      <c r="AV7572">
        <v>2383</v>
      </c>
      <c r="AW7572" s="4">
        <v>42621</v>
      </c>
      <c r="BD7572">
        <v>0</v>
      </c>
      <c r="BN7572" t="s">
        <v>74</v>
      </c>
    </row>
    <row r="7573" spans="1:66" hidden="1">
      <c r="A7573">
        <v>104364</v>
      </c>
      <c r="B7573" s="3" t="s">
        <v>650</v>
      </c>
      <c r="C7573" s="1">
        <v>43300101</v>
      </c>
      <c r="D7573" t="s">
        <v>67</v>
      </c>
      <c r="H7573" t="str">
        <f t="shared" si="750"/>
        <v>05525540729</v>
      </c>
      <c r="I7573" t="str">
        <f t="shared" si="750"/>
        <v>05525540729</v>
      </c>
      <c r="K7573" t="str">
        <f>""</f>
        <v/>
      </c>
      <c r="M7573" t="s">
        <v>68</v>
      </c>
      <c r="N7573" t="str">
        <f t="shared" si="749"/>
        <v>FOR</v>
      </c>
      <c r="O7573" t="s">
        <v>69</v>
      </c>
      <c r="P7573" s="3" t="s">
        <v>75</v>
      </c>
      <c r="Q7573">
        <v>2015</v>
      </c>
      <c r="R7573" s="2">
        <v>42257</v>
      </c>
      <c r="S7573" s="2">
        <v>42258</v>
      </c>
      <c r="T7573" s="2">
        <v>42257</v>
      </c>
      <c r="U7573" s="2">
        <v>42317</v>
      </c>
      <c r="V7573" t="s">
        <v>71</v>
      </c>
      <c r="W7573" t="str">
        <f>"        FATTPA 85_15"</f>
        <v xml:space="preserve">        FATTPA 85_15</v>
      </c>
      <c r="X7573">
        <v>366</v>
      </c>
      <c r="Y7573">
        <v>0</v>
      </c>
      <c r="Z7573"/>
      <c r="AB7573"/>
      <c r="AC7573">
        <v>300</v>
      </c>
      <c r="AD7573">
        <v>304</v>
      </c>
      <c r="AE7573" s="1">
        <v>91200</v>
      </c>
      <c r="AF7573">
        <v>0</v>
      </c>
      <c r="AJ7573">
        <v>0</v>
      </c>
      <c r="AK7573">
        <v>0</v>
      </c>
      <c r="AL7573">
        <v>0</v>
      </c>
      <c r="AM7573">
        <v>0</v>
      </c>
      <c r="AN7573">
        <v>0</v>
      </c>
      <c r="AO7573">
        <v>0</v>
      </c>
      <c r="AP7573" s="2">
        <v>42746</v>
      </c>
      <c r="AQ7573" t="s">
        <v>72</v>
      </c>
      <c r="AR7573" t="s">
        <v>72</v>
      </c>
      <c r="AS7573">
        <v>2383</v>
      </c>
      <c r="AT7573" s="4">
        <v>42621</v>
      </c>
      <c r="AU7573" t="s">
        <v>73</v>
      </c>
      <c r="AV7573">
        <v>2383</v>
      </c>
      <c r="AW7573" s="4">
        <v>42621</v>
      </c>
      <c r="BD7573">
        <v>0</v>
      </c>
      <c r="BN7573" t="s">
        <v>74</v>
      </c>
    </row>
    <row r="7574" spans="1:66">
      <c r="A7574">
        <v>104364</v>
      </c>
      <c r="B7574" s="3" t="s">
        <v>650</v>
      </c>
      <c r="C7574" s="1">
        <v>43300101</v>
      </c>
      <c r="D7574" t="s">
        <v>67</v>
      </c>
      <c r="H7574" t="str">
        <f t="shared" si="750"/>
        <v>05525540729</v>
      </c>
      <c r="I7574" t="str">
        <f t="shared" si="750"/>
        <v>05525540729</v>
      </c>
      <c r="K7574" t="str">
        <f>""</f>
        <v/>
      </c>
      <c r="M7574" t="s">
        <v>68</v>
      </c>
      <c r="N7574" t="str">
        <f t="shared" si="749"/>
        <v>FOR</v>
      </c>
      <c r="O7574" t="s">
        <v>69</v>
      </c>
      <c r="P7574" s="3" t="s">
        <v>75</v>
      </c>
      <c r="Q7574">
        <v>2015</v>
      </c>
      <c r="R7574" s="2">
        <v>42332</v>
      </c>
      <c r="S7574" s="2">
        <v>42333</v>
      </c>
      <c r="T7574" s="2">
        <v>42332</v>
      </c>
      <c r="U7574" s="2">
        <v>42392</v>
      </c>
      <c r="V7574" t="s">
        <v>71</v>
      </c>
      <c r="W7574" t="str">
        <f>"       FATTPA 110_15"</f>
        <v xml:space="preserve">       FATTPA 110_15</v>
      </c>
      <c r="X7574" s="1">
        <v>4044.91</v>
      </c>
      <c r="Y7574">
        <v>0</v>
      </c>
      <c r="Z7574" s="5">
        <v>3315.5</v>
      </c>
      <c r="AA7574">
        <v>305</v>
      </c>
      <c r="AB7574" s="5">
        <v>1011227.5</v>
      </c>
      <c r="AC7574" s="1">
        <v>3315.5</v>
      </c>
      <c r="AD7574">
        <v>305</v>
      </c>
      <c r="AE7574" s="1">
        <v>1011227.5</v>
      </c>
      <c r="AF7574">
        <v>0</v>
      </c>
      <c r="AJ7574">
        <v>0</v>
      </c>
      <c r="AK7574">
        <v>0</v>
      </c>
      <c r="AL7574">
        <v>0</v>
      </c>
      <c r="AM7574">
        <v>0</v>
      </c>
      <c r="AN7574">
        <v>0</v>
      </c>
      <c r="AO7574">
        <v>0</v>
      </c>
      <c r="AP7574" s="2">
        <v>42746</v>
      </c>
      <c r="AQ7574" t="s">
        <v>72</v>
      </c>
      <c r="AR7574" t="s">
        <v>72</v>
      </c>
      <c r="AS7574">
        <v>3290</v>
      </c>
      <c r="AT7574" s="4">
        <v>42697</v>
      </c>
      <c r="AU7574" t="s">
        <v>73</v>
      </c>
      <c r="AV7574">
        <v>3290</v>
      </c>
      <c r="AW7574" s="4">
        <v>42697</v>
      </c>
      <c r="BD7574">
        <v>0</v>
      </c>
      <c r="BN7574" t="s">
        <v>74</v>
      </c>
    </row>
    <row r="7575" spans="1:66">
      <c r="A7575">
        <v>104364</v>
      </c>
      <c r="B7575" s="3" t="s">
        <v>650</v>
      </c>
      <c r="C7575" s="1">
        <v>43300101</v>
      </c>
      <c r="D7575" t="s">
        <v>67</v>
      </c>
      <c r="H7575" t="str">
        <f t="shared" si="750"/>
        <v>05525540729</v>
      </c>
      <c r="I7575" t="str">
        <f t="shared" si="750"/>
        <v>05525540729</v>
      </c>
      <c r="K7575" t="str">
        <f>""</f>
        <v/>
      </c>
      <c r="M7575" t="s">
        <v>68</v>
      </c>
      <c r="N7575" t="str">
        <f t="shared" si="749"/>
        <v>FOR</v>
      </c>
      <c r="O7575" t="s">
        <v>69</v>
      </c>
      <c r="P7575" s="3" t="s">
        <v>75</v>
      </c>
      <c r="Q7575">
        <v>2015</v>
      </c>
      <c r="R7575" s="2">
        <v>42348</v>
      </c>
      <c r="S7575" s="2">
        <v>42353</v>
      </c>
      <c r="T7575" s="2">
        <v>42348</v>
      </c>
      <c r="U7575" s="2">
        <v>42408</v>
      </c>
      <c r="V7575" t="s">
        <v>71</v>
      </c>
      <c r="W7575" t="str">
        <f>"       FATTPA 136_15"</f>
        <v xml:space="preserve">       FATTPA 136_15</v>
      </c>
      <c r="X7575" s="1">
        <v>1098</v>
      </c>
      <c r="Y7575">
        <v>0</v>
      </c>
      <c r="Z7575" s="3">
        <v>900</v>
      </c>
      <c r="AA7575">
        <v>289</v>
      </c>
      <c r="AB7575" s="5">
        <v>260100</v>
      </c>
      <c r="AC7575">
        <v>900</v>
      </c>
      <c r="AD7575">
        <v>289</v>
      </c>
      <c r="AE7575" s="1">
        <v>260100</v>
      </c>
      <c r="AF7575">
        <v>0</v>
      </c>
      <c r="AJ7575">
        <v>0</v>
      </c>
      <c r="AK7575">
        <v>0</v>
      </c>
      <c r="AL7575">
        <v>0</v>
      </c>
      <c r="AM7575">
        <v>0</v>
      </c>
      <c r="AN7575">
        <v>0</v>
      </c>
      <c r="AO7575">
        <v>0</v>
      </c>
      <c r="AP7575" s="2">
        <v>42746</v>
      </c>
      <c r="AQ7575" t="s">
        <v>72</v>
      </c>
      <c r="AR7575" t="s">
        <v>72</v>
      </c>
      <c r="AS7575">
        <v>3290</v>
      </c>
      <c r="AT7575" s="4">
        <v>42697</v>
      </c>
      <c r="AU7575" t="s">
        <v>73</v>
      </c>
      <c r="AV7575">
        <v>3290</v>
      </c>
      <c r="AW7575" s="4">
        <v>42697</v>
      </c>
      <c r="BD7575">
        <v>0</v>
      </c>
      <c r="BN7575" t="s">
        <v>74</v>
      </c>
    </row>
    <row r="7576" spans="1:66">
      <c r="A7576">
        <v>104364</v>
      </c>
      <c r="B7576" s="3" t="s">
        <v>650</v>
      </c>
      <c r="C7576" s="1">
        <v>43300101</v>
      </c>
      <c r="D7576" t="s">
        <v>67</v>
      </c>
      <c r="H7576" t="str">
        <f t="shared" si="750"/>
        <v>05525540729</v>
      </c>
      <c r="I7576" t="str">
        <f t="shared" si="750"/>
        <v>05525540729</v>
      </c>
      <c r="K7576" t="str">
        <f>""</f>
        <v/>
      </c>
      <c r="M7576" t="s">
        <v>68</v>
      </c>
      <c r="N7576" t="str">
        <f t="shared" si="749"/>
        <v>FOR</v>
      </c>
      <c r="O7576" t="s">
        <v>69</v>
      </c>
      <c r="P7576" s="3" t="s">
        <v>75</v>
      </c>
      <c r="Q7576">
        <v>2016</v>
      </c>
      <c r="R7576" s="2">
        <v>42418</v>
      </c>
      <c r="S7576" s="2">
        <v>42422</v>
      </c>
      <c r="T7576" s="2">
        <v>42419</v>
      </c>
      <c r="U7576" s="2">
        <v>42479</v>
      </c>
      <c r="V7576" t="s">
        <v>71</v>
      </c>
      <c r="W7576" t="str">
        <f>"        FATTPA 23_16"</f>
        <v xml:space="preserve">        FATTPA 23_16</v>
      </c>
      <c r="X7576" s="1">
        <v>1830</v>
      </c>
      <c r="Y7576">
        <v>0</v>
      </c>
      <c r="Z7576" s="5">
        <v>1500</v>
      </c>
      <c r="AA7576">
        <v>244</v>
      </c>
      <c r="AB7576" s="5">
        <v>366000</v>
      </c>
      <c r="AC7576" s="1">
        <v>1500</v>
      </c>
      <c r="AD7576">
        <v>244</v>
      </c>
      <c r="AE7576" s="1">
        <v>366000</v>
      </c>
      <c r="AF7576">
        <v>330</v>
      </c>
      <c r="AJ7576">
        <v>0</v>
      </c>
      <c r="AK7576">
        <v>0</v>
      </c>
      <c r="AL7576">
        <v>0</v>
      </c>
      <c r="AM7576" s="1">
        <v>1830</v>
      </c>
      <c r="AN7576" s="1">
        <v>1830</v>
      </c>
      <c r="AO7576" s="1">
        <v>1830</v>
      </c>
      <c r="AP7576" s="2">
        <v>42746</v>
      </c>
      <c r="AQ7576" t="s">
        <v>72</v>
      </c>
      <c r="AR7576" t="s">
        <v>72</v>
      </c>
      <c r="AS7576">
        <v>3608</v>
      </c>
      <c r="AT7576" s="4">
        <v>42723</v>
      </c>
      <c r="AU7576" t="s">
        <v>73</v>
      </c>
      <c r="AV7576">
        <v>3608</v>
      </c>
      <c r="AW7576" s="4">
        <v>42723</v>
      </c>
      <c r="BD7576">
        <v>330</v>
      </c>
      <c r="BN7576" t="s">
        <v>74</v>
      </c>
    </row>
    <row r="7577" spans="1:66">
      <c r="A7577">
        <v>104364</v>
      </c>
      <c r="B7577" s="3" t="s">
        <v>650</v>
      </c>
      <c r="C7577" s="1">
        <v>43300101</v>
      </c>
      <c r="D7577" t="s">
        <v>67</v>
      </c>
      <c r="H7577" t="str">
        <f t="shared" si="750"/>
        <v>05525540729</v>
      </c>
      <c r="I7577" t="str">
        <f t="shared" si="750"/>
        <v>05525540729</v>
      </c>
      <c r="K7577" t="str">
        <f>""</f>
        <v/>
      </c>
      <c r="M7577" t="s">
        <v>68</v>
      </c>
      <c r="N7577" t="str">
        <f t="shared" si="749"/>
        <v>FOR</v>
      </c>
      <c r="O7577" t="s">
        <v>69</v>
      </c>
      <c r="P7577" s="3" t="s">
        <v>75</v>
      </c>
      <c r="Q7577">
        <v>2016</v>
      </c>
      <c r="R7577" s="2">
        <v>42424</v>
      </c>
      <c r="S7577" s="2">
        <v>42436</v>
      </c>
      <c r="T7577" s="2">
        <v>42425</v>
      </c>
      <c r="U7577" s="2">
        <v>42485</v>
      </c>
      <c r="V7577" t="s">
        <v>71</v>
      </c>
      <c r="W7577" t="str">
        <f>"        FATTPA 30_16"</f>
        <v xml:space="preserve">        FATTPA 30_16</v>
      </c>
      <c r="X7577" s="1">
        <v>4044.91</v>
      </c>
      <c r="Y7577">
        <v>0</v>
      </c>
      <c r="Z7577" s="5">
        <v>3315.5</v>
      </c>
      <c r="AA7577">
        <v>238</v>
      </c>
      <c r="AB7577" s="5">
        <v>789089</v>
      </c>
      <c r="AC7577" s="1">
        <v>3315.5</v>
      </c>
      <c r="AD7577">
        <v>238</v>
      </c>
      <c r="AE7577" s="1">
        <v>789089</v>
      </c>
      <c r="AF7577">
        <v>729.41</v>
      </c>
      <c r="AJ7577">
        <v>0</v>
      </c>
      <c r="AK7577">
        <v>0</v>
      </c>
      <c r="AL7577">
        <v>0</v>
      </c>
      <c r="AM7577" s="1">
        <v>4044.91</v>
      </c>
      <c r="AN7577" s="1">
        <v>4044.91</v>
      </c>
      <c r="AO7577" s="1">
        <v>4044.91</v>
      </c>
      <c r="AP7577" s="2">
        <v>42746</v>
      </c>
      <c r="AQ7577" t="s">
        <v>72</v>
      </c>
      <c r="AR7577" t="s">
        <v>72</v>
      </c>
      <c r="AS7577">
        <v>3608</v>
      </c>
      <c r="AT7577" s="4">
        <v>42723</v>
      </c>
      <c r="AU7577" t="s">
        <v>73</v>
      </c>
      <c r="AV7577">
        <v>3608</v>
      </c>
      <c r="AW7577" s="4">
        <v>42723</v>
      </c>
      <c r="BD7577">
        <v>729.41</v>
      </c>
      <c r="BN7577" t="s">
        <v>74</v>
      </c>
    </row>
    <row r="7578" spans="1:66" hidden="1">
      <c r="A7578">
        <v>104365</v>
      </c>
      <c r="B7578" s="3" t="s">
        <v>651</v>
      </c>
      <c r="C7578" s="1">
        <v>43300101</v>
      </c>
      <c r="D7578" t="s">
        <v>67</v>
      </c>
      <c r="H7578" t="str">
        <f t="shared" ref="H7578:I7580" si="751">"12864800151"</f>
        <v>12864800151</v>
      </c>
      <c r="I7578" t="str">
        <f t="shared" si="751"/>
        <v>12864800151</v>
      </c>
      <c r="K7578" t="str">
        <f>""</f>
        <v/>
      </c>
      <c r="M7578" t="s">
        <v>68</v>
      </c>
      <c r="N7578" t="str">
        <f t="shared" si="749"/>
        <v>FOR</v>
      </c>
      <c r="O7578" t="s">
        <v>69</v>
      </c>
      <c r="P7578" s="3" t="s">
        <v>75</v>
      </c>
      <c r="Q7578">
        <v>2015</v>
      </c>
      <c r="R7578" s="2">
        <v>42173</v>
      </c>
      <c r="S7578" s="2">
        <v>42368</v>
      </c>
      <c r="T7578" s="2">
        <v>42361</v>
      </c>
      <c r="U7578" s="2">
        <v>42421</v>
      </c>
      <c r="V7578" t="s">
        <v>71</v>
      </c>
      <c r="W7578" t="str">
        <f>"          3072739887"</f>
        <v xml:space="preserve">          3072739887</v>
      </c>
      <c r="X7578">
        <v>719.8</v>
      </c>
      <c r="Y7578">
        <v>0</v>
      </c>
      <c r="Z7578"/>
      <c r="AB7578"/>
      <c r="AC7578">
        <v>590</v>
      </c>
      <c r="AD7578">
        <v>66</v>
      </c>
      <c r="AE7578" s="1">
        <v>38940</v>
      </c>
      <c r="AF7578">
        <v>0</v>
      </c>
      <c r="AJ7578">
        <v>0</v>
      </c>
      <c r="AK7578">
        <v>0</v>
      </c>
      <c r="AL7578">
        <v>0</v>
      </c>
      <c r="AM7578">
        <v>0</v>
      </c>
      <c r="AN7578">
        <v>0</v>
      </c>
      <c r="AO7578">
        <v>0</v>
      </c>
      <c r="AP7578" s="2">
        <v>42746</v>
      </c>
      <c r="AQ7578" t="s">
        <v>72</v>
      </c>
      <c r="AR7578" t="s">
        <v>72</v>
      </c>
      <c r="AS7578">
        <v>1190</v>
      </c>
      <c r="AT7578" s="4">
        <v>42487</v>
      </c>
      <c r="AU7578" t="s">
        <v>73</v>
      </c>
      <c r="AV7578">
        <v>1190</v>
      </c>
      <c r="AW7578" s="4">
        <v>42487</v>
      </c>
      <c r="BD7578">
        <v>0</v>
      </c>
      <c r="BN7578" t="s">
        <v>74</v>
      </c>
    </row>
    <row r="7579" spans="1:66">
      <c r="A7579">
        <v>104365</v>
      </c>
      <c r="B7579" s="3" t="s">
        <v>651</v>
      </c>
      <c r="C7579" s="1">
        <v>43300101</v>
      </c>
      <c r="D7579" t="s">
        <v>67</v>
      </c>
      <c r="H7579" t="str">
        <f t="shared" si="751"/>
        <v>12864800151</v>
      </c>
      <c r="I7579" t="str">
        <f t="shared" si="751"/>
        <v>12864800151</v>
      </c>
      <c r="K7579" t="str">
        <f>""</f>
        <v/>
      </c>
      <c r="M7579" t="s">
        <v>68</v>
      </c>
      <c r="N7579" t="str">
        <f t="shared" si="749"/>
        <v>FOR</v>
      </c>
      <c r="O7579" t="s">
        <v>69</v>
      </c>
      <c r="P7579" s="3" t="s">
        <v>75</v>
      </c>
      <c r="Q7579">
        <v>2015</v>
      </c>
      <c r="R7579" s="2">
        <v>42292</v>
      </c>
      <c r="S7579" s="2">
        <v>42320</v>
      </c>
      <c r="T7579" s="2">
        <v>42319</v>
      </c>
      <c r="U7579" s="2">
        <v>42379</v>
      </c>
      <c r="V7579" t="s">
        <v>71</v>
      </c>
      <c r="W7579" t="str">
        <f>"          3072767704"</f>
        <v xml:space="preserve">          3072767704</v>
      </c>
      <c r="X7579">
        <v>820.01</v>
      </c>
      <c r="Y7579">
        <v>0</v>
      </c>
      <c r="Z7579" s="3">
        <v>672.14</v>
      </c>
      <c r="AA7579">
        <v>310</v>
      </c>
      <c r="AB7579" s="5">
        <v>208363.4</v>
      </c>
      <c r="AC7579">
        <v>672.14</v>
      </c>
      <c r="AD7579">
        <v>310</v>
      </c>
      <c r="AE7579" s="1">
        <v>208363.4</v>
      </c>
      <c r="AF7579">
        <v>0</v>
      </c>
      <c r="AJ7579">
        <v>0</v>
      </c>
      <c r="AK7579">
        <v>0</v>
      </c>
      <c r="AL7579">
        <v>0</v>
      </c>
      <c r="AM7579">
        <v>0</v>
      </c>
      <c r="AN7579">
        <v>0</v>
      </c>
      <c r="AO7579">
        <v>0</v>
      </c>
      <c r="AP7579" s="2">
        <v>42746</v>
      </c>
      <c r="AQ7579" t="s">
        <v>72</v>
      </c>
      <c r="AR7579" t="s">
        <v>72</v>
      </c>
      <c r="AS7579">
        <v>3104</v>
      </c>
      <c r="AT7579" s="4">
        <v>42689</v>
      </c>
      <c r="AU7579" t="s">
        <v>73</v>
      </c>
      <c r="AV7579">
        <v>3104</v>
      </c>
      <c r="AW7579" s="4">
        <v>42689</v>
      </c>
      <c r="BD7579">
        <v>0</v>
      </c>
      <c r="BN7579" t="s">
        <v>74</v>
      </c>
    </row>
    <row r="7580" spans="1:66">
      <c r="A7580">
        <v>104365</v>
      </c>
      <c r="B7580" s="3" t="s">
        <v>651</v>
      </c>
      <c r="C7580" s="1">
        <v>43300101</v>
      </c>
      <c r="D7580" t="s">
        <v>67</v>
      </c>
      <c r="H7580" t="str">
        <f t="shared" si="751"/>
        <v>12864800151</v>
      </c>
      <c r="I7580" t="str">
        <f t="shared" si="751"/>
        <v>12864800151</v>
      </c>
      <c r="K7580" t="str">
        <f>""</f>
        <v/>
      </c>
      <c r="M7580" t="s">
        <v>68</v>
      </c>
      <c r="N7580" t="str">
        <f t="shared" si="749"/>
        <v>FOR</v>
      </c>
      <c r="O7580" t="s">
        <v>69</v>
      </c>
      <c r="P7580" s="3" t="s">
        <v>75</v>
      </c>
      <c r="Q7580">
        <v>2015</v>
      </c>
      <c r="R7580" s="2">
        <v>42299</v>
      </c>
      <c r="S7580" s="2">
        <v>42320</v>
      </c>
      <c r="T7580" s="2">
        <v>42319</v>
      </c>
      <c r="U7580" s="2">
        <v>42379</v>
      </c>
      <c r="V7580" t="s">
        <v>71</v>
      </c>
      <c r="W7580" t="str">
        <f>"          3072769135"</f>
        <v xml:space="preserve">          3072769135</v>
      </c>
      <c r="X7580">
        <v>161.11000000000001</v>
      </c>
      <c r="Y7580">
        <v>0</v>
      </c>
      <c r="Z7580" s="3">
        <v>132.06</v>
      </c>
      <c r="AA7580">
        <v>310</v>
      </c>
      <c r="AB7580" s="5">
        <v>40938.6</v>
      </c>
      <c r="AC7580">
        <v>132.06</v>
      </c>
      <c r="AD7580">
        <v>310</v>
      </c>
      <c r="AE7580" s="1">
        <v>40938.6</v>
      </c>
      <c r="AF7580">
        <v>0</v>
      </c>
      <c r="AJ7580">
        <v>0</v>
      </c>
      <c r="AK7580">
        <v>0</v>
      </c>
      <c r="AL7580">
        <v>0</v>
      </c>
      <c r="AM7580">
        <v>0</v>
      </c>
      <c r="AN7580">
        <v>0</v>
      </c>
      <c r="AO7580">
        <v>0</v>
      </c>
      <c r="AP7580" s="2">
        <v>42746</v>
      </c>
      <c r="AQ7580" t="s">
        <v>72</v>
      </c>
      <c r="AR7580" t="s">
        <v>72</v>
      </c>
      <c r="AS7580">
        <v>3104</v>
      </c>
      <c r="AT7580" s="4">
        <v>42689</v>
      </c>
      <c r="AU7580" t="s">
        <v>73</v>
      </c>
      <c r="AV7580">
        <v>3104</v>
      </c>
      <c r="AW7580" s="4">
        <v>42689</v>
      </c>
      <c r="BD7580">
        <v>0</v>
      </c>
      <c r="BN7580" t="s">
        <v>74</v>
      </c>
    </row>
    <row r="7581" spans="1:66">
      <c r="A7581">
        <v>104368</v>
      </c>
      <c r="B7581" s="3" t="s">
        <v>652</v>
      </c>
      <c r="C7581" s="1">
        <v>43300101</v>
      </c>
      <c r="D7581" t="s">
        <v>67</v>
      </c>
      <c r="H7581" t="str">
        <f t="shared" ref="H7581:I7591" si="752">"02705540165"</f>
        <v>02705540165</v>
      </c>
      <c r="I7581" t="str">
        <f t="shared" si="752"/>
        <v>02705540165</v>
      </c>
      <c r="K7581" t="str">
        <f>""</f>
        <v/>
      </c>
      <c r="M7581" t="s">
        <v>68</v>
      </c>
      <c r="N7581" t="str">
        <f t="shared" si="749"/>
        <v>FOR</v>
      </c>
      <c r="O7581" t="s">
        <v>69</v>
      </c>
      <c r="P7581" s="3" t="s">
        <v>70</v>
      </c>
      <c r="Q7581">
        <v>2015</v>
      </c>
      <c r="R7581" s="2">
        <v>42059</v>
      </c>
      <c r="S7581" s="2">
        <v>42068</v>
      </c>
      <c r="T7581" s="2">
        <v>42068</v>
      </c>
      <c r="U7581" s="2">
        <v>42128</v>
      </c>
      <c r="V7581" t="s">
        <v>71</v>
      </c>
      <c r="W7581" t="str">
        <f>"                1570"</f>
        <v xml:space="preserve">                1570</v>
      </c>
      <c r="X7581">
        <v>502.21</v>
      </c>
      <c r="Y7581">
        <v>0</v>
      </c>
      <c r="Z7581" s="3">
        <v>411.64</v>
      </c>
      <c r="AA7581">
        <v>519</v>
      </c>
      <c r="AB7581" s="5">
        <v>213641.16</v>
      </c>
      <c r="AC7581">
        <v>411.64</v>
      </c>
      <c r="AD7581">
        <v>519</v>
      </c>
      <c r="AE7581" s="1">
        <v>213641.16</v>
      </c>
      <c r="AF7581">
        <v>0</v>
      </c>
      <c r="AJ7581">
        <v>0</v>
      </c>
      <c r="AK7581">
        <v>0</v>
      </c>
      <c r="AL7581">
        <v>0</v>
      </c>
      <c r="AM7581">
        <v>0</v>
      </c>
      <c r="AN7581">
        <v>0</v>
      </c>
      <c r="AO7581">
        <v>0</v>
      </c>
      <c r="AP7581" s="2">
        <v>42746</v>
      </c>
      <c r="AQ7581" t="s">
        <v>72</v>
      </c>
      <c r="AR7581" t="s">
        <v>72</v>
      </c>
      <c r="AS7581">
        <v>2600</v>
      </c>
      <c r="AT7581" s="4">
        <v>42647</v>
      </c>
      <c r="AU7581" t="s">
        <v>73</v>
      </c>
      <c r="AV7581">
        <v>2600</v>
      </c>
      <c r="AW7581" s="4">
        <v>42647</v>
      </c>
      <c r="BD7581">
        <v>0</v>
      </c>
      <c r="BN7581" t="s">
        <v>74</v>
      </c>
    </row>
    <row r="7582" spans="1:66">
      <c r="A7582">
        <v>104368</v>
      </c>
      <c r="B7582" s="3" t="s">
        <v>652</v>
      </c>
      <c r="C7582" s="1">
        <v>43300101</v>
      </c>
      <c r="D7582" t="s">
        <v>67</v>
      </c>
      <c r="H7582" t="str">
        <f t="shared" si="752"/>
        <v>02705540165</v>
      </c>
      <c r="I7582" t="str">
        <f t="shared" si="752"/>
        <v>02705540165</v>
      </c>
      <c r="K7582" t="str">
        <f>""</f>
        <v/>
      </c>
      <c r="M7582" t="s">
        <v>68</v>
      </c>
      <c r="N7582" t="str">
        <f t="shared" si="749"/>
        <v>FOR</v>
      </c>
      <c r="O7582" t="s">
        <v>69</v>
      </c>
      <c r="P7582" s="3" t="s">
        <v>70</v>
      </c>
      <c r="Q7582">
        <v>2015</v>
      </c>
      <c r="R7582" s="2">
        <v>42059</v>
      </c>
      <c r="S7582" s="2">
        <v>42068</v>
      </c>
      <c r="T7582" s="2">
        <v>42068</v>
      </c>
      <c r="U7582" s="2">
        <v>42128</v>
      </c>
      <c r="V7582" t="s">
        <v>71</v>
      </c>
      <c r="W7582" t="str">
        <f>"                1571"</f>
        <v xml:space="preserve">                1571</v>
      </c>
      <c r="X7582">
        <v>390.4</v>
      </c>
      <c r="Y7582">
        <v>0</v>
      </c>
      <c r="Z7582" s="3">
        <v>320</v>
      </c>
      <c r="AA7582">
        <v>519</v>
      </c>
      <c r="AB7582" s="5">
        <v>166080</v>
      </c>
      <c r="AC7582">
        <v>320</v>
      </c>
      <c r="AD7582">
        <v>519</v>
      </c>
      <c r="AE7582" s="1">
        <v>166080</v>
      </c>
      <c r="AF7582">
        <v>0</v>
      </c>
      <c r="AJ7582">
        <v>0</v>
      </c>
      <c r="AK7582">
        <v>0</v>
      </c>
      <c r="AL7582">
        <v>0</v>
      </c>
      <c r="AM7582">
        <v>0</v>
      </c>
      <c r="AN7582">
        <v>0</v>
      </c>
      <c r="AO7582">
        <v>0</v>
      </c>
      <c r="AP7582" s="2">
        <v>42746</v>
      </c>
      <c r="AQ7582" t="s">
        <v>72</v>
      </c>
      <c r="AR7582" t="s">
        <v>72</v>
      </c>
      <c r="AS7582">
        <v>2600</v>
      </c>
      <c r="AT7582" s="4">
        <v>42647</v>
      </c>
      <c r="AU7582" t="s">
        <v>73</v>
      </c>
      <c r="AV7582">
        <v>2600</v>
      </c>
      <c r="AW7582" s="4">
        <v>42647</v>
      </c>
      <c r="BD7582">
        <v>0</v>
      </c>
      <c r="BN7582" t="s">
        <v>74</v>
      </c>
    </row>
    <row r="7583" spans="1:66">
      <c r="A7583">
        <v>104368</v>
      </c>
      <c r="B7583" s="3" t="s">
        <v>652</v>
      </c>
      <c r="C7583" s="1">
        <v>43300101</v>
      </c>
      <c r="D7583" t="s">
        <v>67</v>
      </c>
      <c r="H7583" t="str">
        <f t="shared" si="752"/>
        <v>02705540165</v>
      </c>
      <c r="I7583" t="str">
        <f t="shared" si="752"/>
        <v>02705540165</v>
      </c>
      <c r="K7583" t="str">
        <f>""</f>
        <v/>
      </c>
      <c r="M7583" t="s">
        <v>68</v>
      </c>
      <c r="N7583" t="str">
        <f t="shared" si="749"/>
        <v>FOR</v>
      </c>
      <c r="O7583" t="s">
        <v>69</v>
      </c>
      <c r="P7583" s="3" t="s">
        <v>75</v>
      </c>
      <c r="Q7583">
        <v>2015</v>
      </c>
      <c r="R7583" s="2">
        <v>42107</v>
      </c>
      <c r="S7583" s="2">
        <v>42135</v>
      </c>
      <c r="T7583" s="2">
        <v>42132</v>
      </c>
      <c r="U7583" s="2">
        <v>42192</v>
      </c>
      <c r="V7583" t="s">
        <v>71</v>
      </c>
      <c r="W7583" t="str">
        <f>"          0000003172"</f>
        <v xml:space="preserve">          0000003172</v>
      </c>
      <c r="X7583">
        <v>502.2</v>
      </c>
      <c r="Y7583">
        <v>0</v>
      </c>
      <c r="Z7583" s="3">
        <v>411.64</v>
      </c>
      <c r="AA7583">
        <v>455</v>
      </c>
      <c r="AB7583" s="5">
        <v>187296.2</v>
      </c>
      <c r="AC7583">
        <v>411.64</v>
      </c>
      <c r="AD7583">
        <v>455</v>
      </c>
      <c r="AE7583" s="1">
        <v>187296.2</v>
      </c>
      <c r="AF7583">
        <v>0</v>
      </c>
      <c r="AJ7583">
        <v>0</v>
      </c>
      <c r="AK7583">
        <v>0</v>
      </c>
      <c r="AL7583">
        <v>0</v>
      </c>
      <c r="AM7583">
        <v>0</v>
      </c>
      <c r="AN7583">
        <v>0</v>
      </c>
      <c r="AO7583">
        <v>0</v>
      </c>
      <c r="AP7583" s="2">
        <v>42746</v>
      </c>
      <c r="AQ7583" t="s">
        <v>72</v>
      </c>
      <c r="AR7583" t="s">
        <v>72</v>
      </c>
      <c r="AS7583">
        <v>2600</v>
      </c>
      <c r="AT7583" s="4">
        <v>42647</v>
      </c>
      <c r="AU7583" t="s">
        <v>73</v>
      </c>
      <c r="AV7583">
        <v>2600</v>
      </c>
      <c r="AW7583" s="4">
        <v>42647</v>
      </c>
      <c r="BD7583">
        <v>0</v>
      </c>
      <c r="BN7583" t="s">
        <v>74</v>
      </c>
    </row>
    <row r="7584" spans="1:66">
      <c r="A7584">
        <v>104368</v>
      </c>
      <c r="B7584" s="3" t="s">
        <v>652</v>
      </c>
      <c r="C7584" s="1">
        <v>43300101</v>
      </c>
      <c r="D7584" t="s">
        <v>67</v>
      </c>
      <c r="H7584" t="str">
        <f t="shared" si="752"/>
        <v>02705540165</v>
      </c>
      <c r="I7584" t="str">
        <f t="shared" si="752"/>
        <v>02705540165</v>
      </c>
      <c r="K7584" t="str">
        <f>""</f>
        <v/>
      </c>
      <c r="M7584" t="s">
        <v>68</v>
      </c>
      <c r="N7584" t="str">
        <f t="shared" si="749"/>
        <v>FOR</v>
      </c>
      <c r="O7584" t="s">
        <v>69</v>
      </c>
      <c r="P7584" s="3" t="s">
        <v>75</v>
      </c>
      <c r="Q7584">
        <v>2015</v>
      </c>
      <c r="R7584" s="2">
        <v>42107</v>
      </c>
      <c r="S7584" s="2">
        <v>42135</v>
      </c>
      <c r="T7584" s="2">
        <v>42132</v>
      </c>
      <c r="U7584" s="2">
        <v>42192</v>
      </c>
      <c r="V7584" t="s">
        <v>71</v>
      </c>
      <c r="W7584" t="str">
        <f>"          0000003173"</f>
        <v xml:space="preserve">          0000003173</v>
      </c>
      <c r="X7584">
        <v>390.4</v>
      </c>
      <c r="Y7584">
        <v>0</v>
      </c>
      <c r="Z7584" s="3">
        <v>320</v>
      </c>
      <c r="AA7584">
        <v>455</v>
      </c>
      <c r="AB7584" s="5">
        <v>145600</v>
      </c>
      <c r="AC7584">
        <v>320</v>
      </c>
      <c r="AD7584">
        <v>455</v>
      </c>
      <c r="AE7584" s="1">
        <v>145600</v>
      </c>
      <c r="AF7584">
        <v>0</v>
      </c>
      <c r="AJ7584">
        <v>0</v>
      </c>
      <c r="AK7584">
        <v>0</v>
      </c>
      <c r="AL7584">
        <v>0</v>
      </c>
      <c r="AM7584">
        <v>0</v>
      </c>
      <c r="AN7584">
        <v>0</v>
      </c>
      <c r="AO7584">
        <v>0</v>
      </c>
      <c r="AP7584" s="2">
        <v>42746</v>
      </c>
      <c r="AQ7584" t="s">
        <v>72</v>
      </c>
      <c r="AR7584" t="s">
        <v>72</v>
      </c>
      <c r="AS7584">
        <v>2600</v>
      </c>
      <c r="AT7584" s="4">
        <v>42647</v>
      </c>
      <c r="AU7584" t="s">
        <v>73</v>
      </c>
      <c r="AV7584">
        <v>2600</v>
      </c>
      <c r="AW7584" s="4">
        <v>42647</v>
      </c>
      <c r="BD7584">
        <v>0</v>
      </c>
      <c r="BN7584" t="s">
        <v>74</v>
      </c>
    </row>
    <row r="7585" spans="1:66" hidden="1">
      <c r="A7585">
        <v>104368</v>
      </c>
      <c r="B7585" s="3" t="s">
        <v>652</v>
      </c>
      <c r="C7585" s="1">
        <v>43300101</v>
      </c>
      <c r="D7585" t="s">
        <v>67</v>
      </c>
      <c r="H7585" t="str">
        <f t="shared" si="752"/>
        <v>02705540165</v>
      </c>
      <c r="I7585" t="str">
        <f t="shared" si="752"/>
        <v>02705540165</v>
      </c>
      <c r="K7585" t="str">
        <f>""</f>
        <v/>
      </c>
      <c r="M7585" t="s">
        <v>68</v>
      </c>
      <c r="N7585" t="str">
        <f t="shared" si="749"/>
        <v>FOR</v>
      </c>
      <c r="O7585" t="s">
        <v>69</v>
      </c>
      <c r="P7585" s="3" t="s">
        <v>75</v>
      </c>
      <c r="Q7585">
        <v>2015</v>
      </c>
      <c r="R7585" s="2">
        <v>42194</v>
      </c>
      <c r="S7585" s="2">
        <v>42195</v>
      </c>
      <c r="T7585" s="2">
        <v>42195</v>
      </c>
      <c r="U7585" s="2">
        <v>42255</v>
      </c>
      <c r="V7585" t="s">
        <v>71</v>
      </c>
      <c r="W7585" t="str">
        <f>"          0000006282"</f>
        <v xml:space="preserve">          0000006282</v>
      </c>
      <c r="X7585" s="1">
        <v>1135.3800000000001</v>
      </c>
      <c r="Y7585">
        <v>0</v>
      </c>
      <c r="Z7585"/>
      <c r="AB7585"/>
      <c r="AC7585">
        <v>930.64</v>
      </c>
      <c r="AD7585">
        <v>314</v>
      </c>
      <c r="AE7585" s="1">
        <v>292220.96000000002</v>
      </c>
      <c r="AF7585">
        <v>0</v>
      </c>
      <c r="AJ7585">
        <v>0</v>
      </c>
      <c r="AK7585">
        <v>0</v>
      </c>
      <c r="AL7585">
        <v>0</v>
      </c>
      <c r="AM7585">
        <v>0</v>
      </c>
      <c r="AN7585">
        <v>0</v>
      </c>
      <c r="AO7585">
        <v>0</v>
      </c>
      <c r="AP7585" s="2">
        <v>42746</v>
      </c>
      <c r="AQ7585" t="s">
        <v>72</v>
      </c>
      <c r="AR7585" t="s">
        <v>72</v>
      </c>
      <c r="AS7585">
        <v>1873</v>
      </c>
      <c r="AT7585" s="4">
        <v>42569</v>
      </c>
      <c r="AU7585" t="s">
        <v>73</v>
      </c>
      <c r="AV7585">
        <v>1873</v>
      </c>
      <c r="AW7585" s="4">
        <v>42569</v>
      </c>
      <c r="BD7585">
        <v>0</v>
      </c>
      <c r="BN7585" t="s">
        <v>74</v>
      </c>
    </row>
    <row r="7586" spans="1:66" hidden="1">
      <c r="A7586">
        <v>104368</v>
      </c>
      <c r="B7586" s="3" t="s">
        <v>652</v>
      </c>
      <c r="C7586" s="1">
        <v>43300101</v>
      </c>
      <c r="D7586" t="s">
        <v>67</v>
      </c>
      <c r="H7586" t="str">
        <f t="shared" si="752"/>
        <v>02705540165</v>
      </c>
      <c r="I7586" t="str">
        <f t="shared" si="752"/>
        <v>02705540165</v>
      </c>
      <c r="K7586" t="str">
        <f>""</f>
        <v/>
      </c>
      <c r="M7586" t="s">
        <v>68</v>
      </c>
      <c r="N7586" t="str">
        <f t="shared" si="749"/>
        <v>FOR</v>
      </c>
      <c r="O7586" t="s">
        <v>69</v>
      </c>
      <c r="P7586" s="3" t="s">
        <v>75</v>
      </c>
      <c r="Q7586">
        <v>2015</v>
      </c>
      <c r="R7586" s="2">
        <v>42207</v>
      </c>
      <c r="S7586" s="2">
        <v>42209</v>
      </c>
      <c r="T7586" s="2">
        <v>42208</v>
      </c>
      <c r="U7586" s="2">
        <v>42268</v>
      </c>
      <c r="V7586" t="s">
        <v>71</v>
      </c>
      <c r="W7586" t="str">
        <f>"          0000006689"</f>
        <v xml:space="preserve">          0000006689</v>
      </c>
      <c r="X7586">
        <v>195.2</v>
      </c>
      <c r="Y7586">
        <v>0</v>
      </c>
      <c r="Z7586"/>
      <c r="AB7586"/>
      <c r="AC7586">
        <v>160</v>
      </c>
      <c r="AD7586">
        <v>301</v>
      </c>
      <c r="AE7586" s="1">
        <v>48160</v>
      </c>
      <c r="AF7586">
        <v>0</v>
      </c>
      <c r="AJ7586">
        <v>0</v>
      </c>
      <c r="AK7586">
        <v>0</v>
      </c>
      <c r="AL7586">
        <v>0</v>
      </c>
      <c r="AM7586">
        <v>0</v>
      </c>
      <c r="AN7586">
        <v>0</v>
      </c>
      <c r="AO7586">
        <v>0</v>
      </c>
      <c r="AP7586" s="2">
        <v>42746</v>
      </c>
      <c r="AQ7586" t="s">
        <v>72</v>
      </c>
      <c r="AR7586" t="s">
        <v>72</v>
      </c>
      <c r="AS7586">
        <v>1873</v>
      </c>
      <c r="AT7586" s="4">
        <v>42569</v>
      </c>
      <c r="AU7586" t="s">
        <v>73</v>
      </c>
      <c r="AV7586">
        <v>1873</v>
      </c>
      <c r="AW7586" s="4">
        <v>42569</v>
      </c>
      <c r="BD7586">
        <v>0</v>
      </c>
      <c r="BN7586" t="s">
        <v>74</v>
      </c>
    </row>
    <row r="7587" spans="1:66" hidden="1">
      <c r="A7587">
        <v>104368</v>
      </c>
      <c r="B7587" s="3" t="s">
        <v>652</v>
      </c>
      <c r="C7587" s="1">
        <v>43300101</v>
      </c>
      <c r="D7587" t="s">
        <v>67</v>
      </c>
      <c r="H7587" t="str">
        <f t="shared" si="752"/>
        <v>02705540165</v>
      </c>
      <c r="I7587" t="str">
        <f t="shared" si="752"/>
        <v>02705540165</v>
      </c>
      <c r="K7587" t="str">
        <f>""</f>
        <v/>
      </c>
      <c r="M7587" t="s">
        <v>68</v>
      </c>
      <c r="N7587" t="str">
        <f t="shared" si="749"/>
        <v>FOR</v>
      </c>
      <c r="O7587" t="s">
        <v>69</v>
      </c>
      <c r="P7587" s="3" t="s">
        <v>75</v>
      </c>
      <c r="Q7587">
        <v>2015</v>
      </c>
      <c r="R7587" s="2">
        <v>42321</v>
      </c>
      <c r="S7587" s="2">
        <v>42324</v>
      </c>
      <c r="T7587" s="2">
        <v>42321</v>
      </c>
      <c r="U7587" s="2">
        <v>42381</v>
      </c>
      <c r="V7587" t="s">
        <v>71</v>
      </c>
      <c r="W7587" t="str">
        <f>"          0000010007"</f>
        <v xml:space="preserve">          0000010007</v>
      </c>
      <c r="X7587" s="1">
        <v>1320.65</v>
      </c>
      <c r="Y7587">
        <v>0</v>
      </c>
      <c r="Z7587"/>
      <c r="AB7587"/>
      <c r="AC7587" s="1">
        <v>1082.5</v>
      </c>
      <c r="AD7587">
        <v>188</v>
      </c>
      <c r="AE7587" s="1">
        <v>203510</v>
      </c>
      <c r="AF7587">
        <v>0</v>
      </c>
      <c r="AJ7587">
        <v>0</v>
      </c>
      <c r="AK7587">
        <v>0</v>
      </c>
      <c r="AL7587">
        <v>0</v>
      </c>
      <c r="AM7587">
        <v>0</v>
      </c>
      <c r="AN7587">
        <v>0</v>
      </c>
      <c r="AO7587">
        <v>0</v>
      </c>
      <c r="AP7587" s="2">
        <v>42746</v>
      </c>
      <c r="AQ7587" t="s">
        <v>72</v>
      </c>
      <c r="AR7587" t="s">
        <v>72</v>
      </c>
      <c r="AS7587">
        <v>1873</v>
      </c>
      <c r="AT7587" s="4">
        <v>42569</v>
      </c>
      <c r="AU7587" t="s">
        <v>73</v>
      </c>
      <c r="AV7587">
        <v>1873</v>
      </c>
      <c r="AW7587" s="4">
        <v>42569</v>
      </c>
      <c r="BD7587">
        <v>0</v>
      </c>
      <c r="BN7587" t="s">
        <v>74</v>
      </c>
    </row>
    <row r="7588" spans="1:66">
      <c r="A7588">
        <v>104368</v>
      </c>
      <c r="B7588" s="3" t="s">
        <v>652</v>
      </c>
      <c r="C7588" s="1">
        <v>43300101</v>
      </c>
      <c r="D7588" t="s">
        <v>67</v>
      </c>
      <c r="H7588" t="str">
        <f t="shared" si="752"/>
        <v>02705540165</v>
      </c>
      <c r="I7588" t="str">
        <f t="shared" si="752"/>
        <v>02705540165</v>
      </c>
      <c r="K7588" t="str">
        <f>""</f>
        <v/>
      </c>
      <c r="M7588" t="s">
        <v>68</v>
      </c>
      <c r="N7588" t="str">
        <f t="shared" si="749"/>
        <v>FOR</v>
      </c>
      <c r="O7588" t="s">
        <v>69</v>
      </c>
      <c r="P7588" s="3" t="s">
        <v>75</v>
      </c>
      <c r="Q7588">
        <v>2016</v>
      </c>
      <c r="R7588" s="2">
        <v>42460</v>
      </c>
      <c r="S7588" s="2">
        <v>42464</v>
      </c>
      <c r="T7588" s="2">
        <v>42460</v>
      </c>
      <c r="U7588" s="2">
        <v>42520</v>
      </c>
      <c r="V7588" t="s">
        <v>71</v>
      </c>
      <c r="W7588" t="str">
        <f>"          0000002916"</f>
        <v xml:space="preserve">          0000002916</v>
      </c>
      <c r="X7588" s="1">
        <v>1136.43</v>
      </c>
      <c r="Y7588">
        <v>0</v>
      </c>
      <c r="Z7588" s="3">
        <v>931.5</v>
      </c>
      <c r="AA7588">
        <v>127</v>
      </c>
      <c r="AB7588" s="5">
        <v>118300.5</v>
      </c>
      <c r="AC7588">
        <v>931.5</v>
      </c>
      <c r="AD7588">
        <v>127</v>
      </c>
      <c r="AE7588" s="1">
        <v>118300.5</v>
      </c>
      <c r="AF7588">
        <v>0</v>
      </c>
      <c r="AJ7588">
        <v>0</v>
      </c>
      <c r="AK7588">
        <v>0</v>
      </c>
      <c r="AL7588">
        <v>0</v>
      </c>
      <c r="AM7588" s="1">
        <v>1136.43</v>
      </c>
      <c r="AN7588" s="1">
        <v>1136.43</v>
      </c>
      <c r="AO7588" s="1">
        <v>1136.43</v>
      </c>
      <c r="AP7588" s="2">
        <v>42746</v>
      </c>
      <c r="AQ7588" t="s">
        <v>72</v>
      </c>
      <c r="AR7588" t="s">
        <v>72</v>
      </c>
      <c r="AS7588">
        <v>2600</v>
      </c>
      <c r="AT7588" s="4">
        <v>42647</v>
      </c>
      <c r="AU7588" t="s">
        <v>73</v>
      </c>
      <c r="AV7588">
        <v>2600</v>
      </c>
      <c r="AW7588" s="4">
        <v>42647</v>
      </c>
      <c r="BD7588">
        <v>0</v>
      </c>
      <c r="BN7588" t="s">
        <v>74</v>
      </c>
    </row>
    <row r="7589" spans="1:66">
      <c r="A7589">
        <v>104368</v>
      </c>
      <c r="B7589" s="3" t="s">
        <v>652</v>
      </c>
      <c r="C7589" s="1">
        <v>43300101</v>
      </c>
      <c r="D7589" t="s">
        <v>67</v>
      </c>
      <c r="H7589" t="str">
        <f t="shared" si="752"/>
        <v>02705540165</v>
      </c>
      <c r="I7589" t="str">
        <f t="shared" si="752"/>
        <v>02705540165</v>
      </c>
      <c r="K7589" t="str">
        <f>""</f>
        <v/>
      </c>
      <c r="M7589" t="s">
        <v>68</v>
      </c>
      <c r="N7589" t="str">
        <f t="shared" si="749"/>
        <v>FOR</v>
      </c>
      <c r="O7589" t="s">
        <v>69</v>
      </c>
      <c r="P7589" s="3" t="s">
        <v>75</v>
      </c>
      <c r="Q7589">
        <v>2016</v>
      </c>
      <c r="R7589" s="2">
        <v>42460</v>
      </c>
      <c r="S7589" s="2">
        <v>42464</v>
      </c>
      <c r="T7589" s="2">
        <v>42460</v>
      </c>
      <c r="U7589" s="2">
        <v>42520</v>
      </c>
      <c r="V7589" t="s">
        <v>71</v>
      </c>
      <c r="W7589" t="str">
        <f>"          0000002917"</f>
        <v xml:space="preserve">          0000002917</v>
      </c>
      <c r="X7589">
        <v>195.2</v>
      </c>
      <c r="Y7589">
        <v>0</v>
      </c>
      <c r="Z7589" s="3">
        <v>160</v>
      </c>
      <c r="AA7589">
        <v>127</v>
      </c>
      <c r="AB7589" s="5">
        <v>20320</v>
      </c>
      <c r="AC7589">
        <v>160</v>
      </c>
      <c r="AD7589">
        <v>127</v>
      </c>
      <c r="AE7589" s="1">
        <v>20320</v>
      </c>
      <c r="AF7589">
        <v>0</v>
      </c>
      <c r="AJ7589">
        <v>0</v>
      </c>
      <c r="AK7589">
        <v>0</v>
      </c>
      <c r="AL7589">
        <v>0</v>
      </c>
      <c r="AM7589">
        <v>195.2</v>
      </c>
      <c r="AN7589">
        <v>195.2</v>
      </c>
      <c r="AO7589">
        <v>195.2</v>
      </c>
      <c r="AP7589" s="2">
        <v>42746</v>
      </c>
      <c r="AQ7589" t="s">
        <v>72</v>
      </c>
      <c r="AR7589" t="s">
        <v>72</v>
      </c>
      <c r="AS7589">
        <v>2600</v>
      </c>
      <c r="AT7589" s="4">
        <v>42647</v>
      </c>
      <c r="AU7589" t="s">
        <v>73</v>
      </c>
      <c r="AV7589">
        <v>2600</v>
      </c>
      <c r="AW7589" s="4">
        <v>42647</v>
      </c>
      <c r="BD7589">
        <v>0</v>
      </c>
      <c r="BN7589" t="s">
        <v>74</v>
      </c>
    </row>
    <row r="7590" spans="1:66">
      <c r="A7590">
        <v>104368</v>
      </c>
      <c r="B7590" s="3" t="s">
        <v>652</v>
      </c>
      <c r="C7590" s="1">
        <v>43300101</v>
      </c>
      <c r="D7590" t="s">
        <v>67</v>
      </c>
      <c r="H7590" t="str">
        <f t="shared" si="752"/>
        <v>02705540165</v>
      </c>
      <c r="I7590" t="str">
        <f t="shared" si="752"/>
        <v>02705540165</v>
      </c>
      <c r="K7590" t="str">
        <f>""</f>
        <v/>
      </c>
      <c r="M7590" t="s">
        <v>68</v>
      </c>
      <c r="N7590" t="str">
        <f t="shared" si="749"/>
        <v>FOR</v>
      </c>
      <c r="O7590" t="s">
        <v>69</v>
      </c>
      <c r="P7590" s="3" t="s">
        <v>75</v>
      </c>
      <c r="Q7590">
        <v>2016</v>
      </c>
      <c r="R7590" s="2">
        <v>42587</v>
      </c>
      <c r="S7590" s="2">
        <v>42591</v>
      </c>
      <c r="T7590" s="2">
        <v>42590</v>
      </c>
      <c r="U7590" s="2">
        <v>42650</v>
      </c>
      <c r="V7590" t="s">
        <v>71</v>
      </c>
      <c r="W7590" t="str">
        <f>"          0000007269"</f>
        <v xml:space="preserve">          0000007269</v>
      </c>
      <c r="X7590" s="1">
        <v>1510.53</v>
      </c>
      <c r="Y7590">
        <v>0</v>
      </c>
      <c r="Z7590" s="5">
        <v>1238.1400000000001</v>
      </c>
      <c r="AA7590">
        <v>-3</v>
      </c>
      <c r="AB7590" s="5">
        <v>-3714.42</v>
      </c>
      <c r="AC7590" s="1">
        <v>1238.1400000000001</v>
      </c>
      <c r="AD7590">
        <v>-3</v>
      </c>
      <c r="AE7590" s="1">
        <v>-3714.42</v>
      </c>
      <c r="AF7590">
        <v>0</v>
      </c>
      <c r="AJ7590">
        <v>0</v>
      </c>
      <c r="AK7590">
        <v>0</v>
      </c>
      <c r="AL7590">
        <v>0</v>
      </c>
      <c r="AM7590" s="1">
        <v>1510.53</v>
      </c>
      <c r="AN7590" s="1">
        <v>1510.53</v>
      </c>
      <c r="AO7590" s="1">
        <v>1510.53</v>
      </c>
      <c r="AP7590" s="2">
        <v>42746</v>
      </c>
      <c r="AQ7590" t="s">
        <v>72</v>
      </c>
      <c r="AR7590" t="s">
        <v>72</v>
      </c>
      <c r="AS7590">
        <v>2600</v>
      </c>
      <c r="AT7590" s="4">
        <v>42647</v>
      </c>
      <c r="AV7590">
        <v>2600</v>
      </c>
      <c r="AW7590" s="4">
        <v>42647</v>
      </c>
      <c r="BD7590">
        <v>0</v>
      </c>
      <c r="BN7590" t="s">
        <v>74</v>
      </c>
    </row>
    <row r="7591" spans="1:66">
      <c r="A7591">
        <v>104368</v>
      </c>
      <c r="B7591" s="3" t="s">
        <v>652</v>
      </c>
      <c r="C7591" s="1">
        <v>43300101</v>
      </c>
      <c r="D7591" t="s">
        <v>67</v>
      </c>
      <c r="H7591" t="str">
        <f t="shared" si="752"/>
        <v>02705540165</v>
      </c>
      <c r="I7591" t="str">
        <f t="shared" si="752"/>
        <v>02705540165</v>
      </c>
      <c r="K7591" t="str">
        <f>""</f>
        <v/>
      </c>
      <c r="M7591" t="s">
        <v>68</v>
      </c>
      <c r="N7591" t="str">
        <f t="shared" si="749"/>
        <v>FOR</v>
      </c>
      <c r="O7591" t="s">
        <v>69</v>
      </c>
      <c r="P7591" s="3" t="s">
        <v>75</v>
      </c>
      <c r="Q7591">
        <v>2016</v>
      </c>
      <c r="R7591" s="2">
        <v>42587</v>
      </c>
      <c r="S7591" s="2">
        <v>42591</v>
      </c>
      <c r="T7591" s="2">
        <v>42590</v>
      </c>
      <c r="U7591" s="2">
        <v>42650</v>
      </c>
      <c r="V7591" t="s">
        <v>71</v>
      </c>
      <c r="W7591" t="str">
        <f>"          0000007270"</f>
        <v xml:space="preserve">          0000007270</v>
      </c>
      <c r="X7591">
        <v>195.2</v>
      </c>
      <c r="Y7591">
        <v>0</v>
      </c>
      <c r="Z7591" s="3">
        <v>160</v>
      </c>
      <c r="AA7591">
        <v>-3</v>
      </c>
      <c r="AB7591" s="3">
        <v>-480</v>
      </c>
      <c r="AC7591">
        <v>160</v>
      </c>
      <c r="AD7591">
        <v>-3</v>
      </c>
      <c r="AE7591">
        <v>-480</v>
      </c>
      <c r="AF7591">
        <v>0</v>
      </c>
      <c r="AJ7591">
        <v>0</v>
      </c>
      <c r="AK7591">
        <v>0</v>
      </c>
      <c r="AL7591">
        <v>0</v>
      </c>
      <c r="AM7591">
        <v>195.2</v>
      </c>
      <c r="AN7591">
        <v>195.2</v>
      </c>
      <c r="AO7591">
        <v>195.2</v>
      </c>
      <c r="AP7591" s="2">
        <v>42746</v>
      </c>
      <c r="AQ7591" t="s">
        <v>72</v>
      </c>
      <c r="AR7591" t="s">
        <v>72</v>
      </c>
      <c r="AS7591">
        <v>2600</v>
      </c>
      <c r="AT7591" s="4">
        <v>42647</v>
      </c>
      <c r="AV7591">
        <v>2600</v>
      </c>
      <c r="AW7591" s="4">
        <v>42647</v>
      </c>
      <c r="BD7591">
        <v>0</v>
      </c>
      <c r="BN7591" t="s">
        <v>74</v>
      </c>
    </row>
    <row r="7592" spans="1:66" hidden="1">
      <c r="A7592">
        <v>104372</v>
      </c>
      <c r="B7592" s="3" t="s">
        <v>653</v>
      </c>
      <c r="C7592" s="1">
        <v>43300101</v>
      </c>
      <c r="D7592" t="s">
        <v>67</v>
      </c>
      <c r="H7592" t="str">
        <f>"01275170080"</f>
        <v>01275170080</v>
      </c>
      <c r="I7592" t="str">
        <f>"03237200963"</f>
        <v>03237200963</v>
      </c>
      <c r="K7592" t="str">
        <f>""</f>
        <v/>
      </c>
      <c r="M7592" t="s">
        <v>68</v>
      </c>
      <c r="N7592" t="str">
        <f t="shared" si="749"/>
        <v>FOR</v>
      </c>
      <c r="O7592" t="s">
        <v>69</v>
      </c>
      <c r="P7592" s="3" t="s">
        <v>75</v>
      </c>
      <c r="Q7592">
        <v>2015</v>
      </c>
      <c r="R7592" s="2">
        <v>42264</v>
      </c>
      <c r="S7592" s="2">
        <v>42265</v>
      </c>
      <c r="T7592" s="2">
        <v>42264</v>
      </c>
      <c r="U7592" s="2">
        <v>42324</v>
      </c>
      <c r="V7592" t="s">
        <v>71</v>
      </c>
      <c r="W7592" t="str">
        <f>"           150204114"</f>
        <v xml:space="preserve">           150204114</v>
      </c>
      <c r="X7592" s="1">
        <v>2631.22</v>
      </c>
      <c r="Y7592">
        <v>0</v>
      </c>
      <c r="Z7592"/>
      <c r="AB7592"/>
      <c r="AC7592" s="1">
        <v>2392.02</v>
      </c>
      <c r="AD7592">
        <v>105</v>
      </c>
      <c r="AE7592" s="1">
        <v>251162.1</v>
      </c>
      <c r="AF7592">
        <v>0</v>
      </c>
      <c r="AJ7592">
        <v>0</v>
      </c>
      <c r="AK7592">
        <v>0</v>
      </c>
      <c r="AL7592">
        <v>0</v>
      </c>
      <c r="AM7592">
        <v>0</v>
      </c>
      <c r="AN7592">
        <v>0</v>
      </c>
      <c r="AO7592">
        <v>0</v>
      </c>
      <c r="AP7592" s="2">
        <v>42746</v>
      </c>
      <c r="AQ7592" t="s">
        <v>72</v>
      </c>
      <c r="AR7592" t="s">
        <v>72</v>
      </c>
      <c r="AS7592">
        <v>595</v>
      </c>
      <c r="AT7592" s="4">
        <v>42429</v>
      </c>
      <c r="AU7592" t="s">
        <v>73</v>
      </c>
      <c r="AV7592">
        <v>595</v>
      </c>
      <c r="AW7592" s="4">
        <v>42429</v>
      </c>
      <c r="BD7592">
        <v>0</v>
      </c>
      <c r="BN7592" t="s">
        <v>74</v>
      </c>
    </row>
    <row r="7593" spans="1:66" hidden="1">
      <c r="A7593">
        <v>104372</v>
      </c>
      <c r="B7593" s="3" t="s">
        <v>653</v>
      </c>
      <c r="C7593" s="1">
        <v>43300101</v>
      </c>
      <c r="D7593" t="s">
        <v>67</v>
      </c>
      <c r="H7593" t="str">
        <f>"01275170080"</f>
        <v>01275170080</v>
      </c>
      <c r="I7593" t="str">
        <f>"03237200963"</f>
        <v>03237200963</v>
      </c>
      <c r="K7593" t="str">
        <f>""</f>
        <v/>
      </c>
      <c r="M7593" t="s">
        <v>68</v>
      </c>
      <c r="N7593" t="str">
        <f t="shared" si="749"/>
        <v>FOR</v>
      </c>
      <c r="O7593" t="s">
        <v>69</v>
      </c>
      <c r="P7593" s="3" t="s">
        <v>75</v>
      </c>
      <c r="Q7593">
        <v>2015</v>
      </c>
      <c r="R7593" s="2">
        <v>42321</v>
      </c>
      <c r="S7593" s="2">
        <v>42324</v>
      </c>
      <c r="T7593" s="2">
        <v>42321</v>
      </c>
      <c r="U7593" s="2">
        <v>42381</v>
      </c>
      <c r="V7593" t="s">
        <v>71</v>
      </c>
      <c r="W7593" t="str">
        <f>"           150205560"</f>
        <v xml:space="preserve">           150205560</v>
      </c>
      <c r="X7593" s="1">
        <v>2631.22</v>
      </c>
      <c r="Y7593">
        <v>0</v>
      </c>
      <c r="Z7593"/>
      <c r="AB7593"/>
      <c r="AC7593" s="1">
        <v>2392.02</v>
      </c>
      <c r="AD7593">
        <v>48</v>
      </c>
      <c r="AE7593" s="1">
        <v>114816.96000000001</v>
      </c>
      <c r="AF7593">
        <v>0</v>
      </c>
      <c r="AJ7593">
        <v>0</v>
      </c>
      <c r="AK7593">
        <v>0</v>
      </c>
      <c r="AL7593">
        <v>0</v>
      </c>
      <c r="AM7593">
        <v>0</v>
      </c>
      <c r="AN7593">
        <v>0</v>
      </c>
      <c r="AO7593">
        <v>0</v>
      </c>
      <c r="AP7593" s="2">
        <v>42746</v>
      </c>
      <c r="AQ7593" t="s">
        <v>72</v>
      </c>
      <c r="AR7593" t="s">
        <v>72</v>
      </c>
      <c r="AS7593">
        <v>595</v>
      </c>
      <c r="AT7593" s="4">
        <v>42429</v>
      </c>
      <c r="AU7593" t="s">
        <v>73</v>
      </c>
      <c r="AV7593">
        <v>595</v>
      </c>
      <c r="AW7593" s="4">
        <v>42429</v>
      </c>
      <c r="BD7593">
        <v>0</v>
      </c>
      <c r="BN7593" t="s">
        <v>74</v>
      </c>
    </row>
    <row r="7594" spans="1:66" hidden="1">
      <c r="A7594">
        <v>104374</v>
      </c>
      <c r="B7594" s="3" t="s">
        <v>654</v>
      </c>
      <c r="C7594" s="1">
        <v>43500101</v>
      </c>
      <c r="D7594" t="s">
        <v>113</v>
      </c>
      <c r="H7594" t="str">
        <f t="shared" ref="H7594:I7605" si="753">"05513630011"</f>
        <v>05513630011</v>
      </c>
      <c r="I7594" t="str">
        <f t="shared" si="753"/>
        <v>05513630011</v>
      </c>
      <c r="K7594" t="str">
        <f>""</f>
        <v/>
      </c>
      <c r="M7594" t="s">
        <v>68</v>
      </c>
      <c r="N7594" t="str">
        <f t="shared" ref="N7594:N7605" si="754">"ALTFIN"</f>
        <v>ALTFIN</v>
      </c>
      <c r="O7594" t="s">
        <v>123</v>
      </c>
      <c r="P7594" s="3" t="s">
        <v>84</v>
      </c>
      <c r="Q7594">
        <v>2016</v>
      </c>
      <c r="R7594" s="2">
        <v>42389</v>
      </c>
      <c r="S7594" s="2">
        <v>42390</v>
      </c>
      <c r="T7594" s="2">
        <v>42390</v>
      </c>
      <c r="U7594" s="2">
        <v>42450</v>
      </c>
      <c r="V7594" t="s">
        <v>71</v>
      </c>
      <c r="W7594" t="str">
        <f>"                0120"</f>
        <v xml:space="preserve">                0120</v>
      </c>
      <c r="X7594">
        <v>0</v>
      </c>
      <c r="Y7594">
        <v>860</v>
      </c>
      <c r="Z7594"/>
      <c r="AB7594"/>
      <c r="AC7594">
        <v>860</v>
      </c>
      <c r="AD7594">
        <v>-60</v>
      </c>
      <c r="AE7594" s="1">
        <v>-51600</v>
      </c>
      <c r="AF7594">
        <v>0</v>
      </c>
      <c r="AJ7594">
        <v>0</v>
      </c>
      <c r="AK7594">
        <v>0</v>
      </c>
      <c r="AL7594">
        <v>0</v>
      </c>
      <c r="AM7594">
        <v>860</v>
      </c>
      <c r="AN7594">
        <v>860</v>
      </c>
      <c r="AO7594">
        <v>860</v>
      </c>
      <c r="AP7594" s="2">
        <v>42746</v>
      </c>
      <c r="AQ7594" t="s">
        <v>72</v>
      </c>
      <c r="AR7594" t="s">
        <v>72</v>
      </c>
      <c r="AS7594">
        <v>42</v>
      </c>
      <c r="AT7594" s="4">
        <v>42390</v>
      </c>
      <c r="AV7594">
        <v>42</v>
      </c>
      <c r="AW7594" s="4">
        <v>42390</v>
      </c>
      <c r="BD7594">
        <v>0</v>
      </c>
      <c r="BN7594" t="s">
        <v>74</v>
      </c>
    </row>
    <row r="7595" spans="1:66" hidden="1">
      <c r="A7595">
        <v>104374</v>
      </c>
      <c r="B7595" s="3" t="s">
        <v>654</v>
      </c>
      <c r="C7595" s="1">
        <v>43500101</v>
      </c>
      <c r="D7595" t="s">
        <v>113</v>
      </c>
      <c r="H7595" t="str">
        <f t="shared" si="753"/>
        <v>05513630011</v>
      </c>
      <c r="I7595" t="str">
        <f t="shared" si="753"/>
        <v>05513630011</v>
      </c>
      <c r="K7595" t="str">
        <f>""</f>
        <v/>
      </c>
      <c r="M7595" t="s">
        <v>68</v>
      </c>
      <c r="N7595" t="str">
        <f t="shared" si="754"/>
        <v>ALTFIN</v>
      </c>
      <c r="O7595" t="s">
        <v>123</v>
      </c>
      <c r="P7595" s="3" t="s">
        <v>85</v>
      </c>
      <c r="Q7595">
        <v>2016</v>
      </c>
      <c r="R7595" s="2">
        <v>42422</v>
      </c>
      <c r="S7595" s="2">
        <v>42422</v>
      </c>
      <c r="T7595" s="2">
        <v>42422</v>
      </c>
      <c r="U7595" s="2">
        <v>42482</v>
      </c>
      <c r="V7595" t="s">
        <v>71</v>
      </c>
      <c r="W7595" t="str">
        <f>"                0222"</f>
        <v xml:space="preserve">                0222</v>
      </c>
      <c r="X7595">
        <v>0</v>
      </c>
      <c r="Y7595">
        <v>860</v>
      </c>
      <c r="Z7595"/>
      <c r="AB7595"/>
      <c r="AC7595">
        <v>860</v>
      </c>
      <c r="AD7595">
        <v>-58</v>
      </c>
      <c r="AE7595" s="1">
        <v>-49880</v>
      </c>
      <c r="AF7595">
        <v>0</v>
      </c>
      <c r="AJ7595">
        <v>0</v>
      </c>
      <c r="AK7595">
        <v>0</v>
      </c>
      <c r="AL7595">
        <v>0</v>
      </c>
      <c r="AM7595">
        <v>860</v>
      </c>
      <c r="AN7595">
        <v>860</v>
      </c>
      <c r="AO7595">
        <v>860</v>
      </c>
      <c r="AP7595" s="2">
        <v>42746</v>
      </c>
      <c r="AQ7595" t="s">
        <v>72</v>
      </c>
      <c r="AR7595" t="s">
        <v>72</v>
      </c>
      <c r="AS7595">
        <v>486</v>
      </c>
      <c r="AT7595" s="4">
        <v>42424</v>
      </c>
      <c r="AV7595">
        <v>486</v>
      </c>
      <c r="AW7595" s="4">
        <v>42424</v>
      </c>
      <c r="BD7595">
        <v>0</v>
      </c>
      <c r="BN7595" t="s">
        <v>74</v>
      </c>
    </row>
    <row r="7596" spans="1:66" hidden="1">
      <c r="A7596">
        <v>104374</v>
      </c>
      <c r="B7596" s="3" t="s">
        <v>654</v>
      </c>
      <c r="C7596" s="1">
        <v>43500101</v>
      </c>
      <c r="D7596" t="s">
        <v>113</v>
      </c>
      <c r="H7596" t="str">
        <f t="shared" si="753"/>
        <v>05513630011</v>
      </c>
      <c r="I7596" t="str">
        <f t="shared" si="753"/>
        <v>05513630011</v>
      </c>
      <c r="K7596" t="str">
        <f>""</f>
        <v/>
      </c>
      <c r="M7596" t="s">
        <v>68</v>
      </c>
      <c r="N7596" t="str">
        <f t="shared" si="754"/>
        <v>ALTFIN</v>
      </c>
      <c r="O7596" t="s">
        <v>123</v>
      </c>
      <c r="P7596" s="3" t="s">
        <v>86</v>
      </c>
      <c r="Q7596">
        <v>2016</v>
      </c>
      <c r="R7596" s="2">
        <v>42450</v>
      </c>
      <c r="S7596" s="2">
        <v>42450</v>
      </c>
      <c r="T7596" s="2">
        <v>42450</v>
      </c>
      <c r="U7596" s="2">
        <v>42510</v>
      </c>
      <c r="V7596" t="s">
        <v>71</v>
      </c>
      <c r="W7596" t="str">
        <f>"                0321"</f>
        <v xml:space="preserve">                0321</v>
      </c>
      <c r="X7596">
        <v>0</v>
      </c>
      <c r="Y7596">
        <v>860</v>
      </c>
      <c r="Z7596"/>
      <c r="AB7596"/>
      <c r="AC7596">
        <v>860</v>
      </c>
      <c r="AD7596">
        <v>-57</v>
      </c>
      <c r="AE7596" s="1">
        <v>-49020</v>
      </c>
      <c r="AF7596">
        <v>0</v>
      </c>
      <c r="AJ7596">
        <v>0</v>
      </c>
      <c r="AK7596">
        <v>0</v>
      </c>
      <c r="AL7596">
        <v>0</v>
      </c>
      <c r="AM7596">
        <v>860</v>
      </c>
      <c r="AN7596">
        <v>860</v>
      </c>
      <c r="AO7596">
        <v>860</v>
      </c>
      <c r="AP7596" s="2">
        <v>42746</v>
      </c>
      <c r="AQ7596" t="s">
        <v>72</v>
      </c>
      <c r="AR7596" t="s">
        <v>72</v>
      </c>
      <c r="AS7596">
        <v>908</v>
      </c>
      <c r="AT7596" s="4">
        <v>42453</v>
      </c>
      <c r="AV7596">
        <v>908</v>
      </c>
      <c r="AW7596" s="4">
        <v>42453</v>
      </c>
      <c r="BD7596">
        <v>0</v>
      </c>
      <c r="BN7596" t="s">
        <v>74</v>
      </c>
    </row>
    <row r="7597" spans="1:66" hidden="1">
      <c r="A7597">
        <v>104374</v>
      </c>
      <c r="B7597" s="3" t="s">
        <v>654</v>
      </c>
      <c r="C7597" s="1">
        <v>43500101</v>
      </c>
      <c r="D7597" t="s">
        <v>113</v>
      </c>
      <c r="H7597" t="str">
        <f t="shared" si="753"/>
        <v>05513630011</v>
      </c>
      <c r="I7597" t="str">
        <f t="shared" si="753"/>
        <v>05513630011</v>
      </c>
      <c r="K7597" t="str">
        <f>""</f>
        <v/>
      </c>
      <c r="M7597" t="s">
        <v>68</v>
      </c>
      <c r="N7597" t="str">
        <f t="shared" si="754"/>
        <v>ALTFIN</v>
      </c>
      <c r="O7597" t="s">
        <v>123</v>
      </c>
      <c r="P7597" s="3" t="s">
        <v>87</v>
      </c>
      <c r="Q7597">
        <v>2016</v>
      </c>
      <c r="R7597" s="2">
        <v>42481</v>
      </c>
      <c r="S7597" s="2">
        <v>42481</v>
      </c>
      <c r="T7597" s="2">
        <v>42481</v>
      </c>
      <c r="U7597" s="2">
        <v>42541</v>
      </c>
      <c r="V7597" t="s">
        <v>71</v>
      </c>
      <c r="W7597" t="str">
        <f>"                0421"</f>
        <v xml:space="preserve">                0421</v>
      </c>
      <c r="X7597">
        <v>0</v>
      </c>
      <c r="Y7597">
        <v>598</v>
      </c>
      <c r="Z7597"/>
      <c r="AB7597"/>
      <c r="AC7597">
        <v>598</v>
      </c>
      <c r="AD7597">
        <v>-60</v>
      </c>
      <c r="AE7597" s="1">
        <v>-35880</v>
      </c>
      <c r="AF7597">
        <v>0</v>
      </c>
      <c r="AJ7597">
        <v>0</v>
      </c>
      <c r="AK7597">
        <v>0</v>
      </c>
      <c r="AL7597">
        <v>0</v>
      </c>
      <c r="AM7597">
        <v>598</v>
      </c>
      <c r="AN7597">
        <v>598</v>
      </c>
      <c r="AO7597">
        <v>598</v>
      </c>
      <c r="AP7597" s="2">
        <v>42746</v>
      </c>
      <c r="AQ7597" t="s">
        <v>72</v>
      </c>
      <c r="AR7597" t="s">
        <v>72</v>
      </c>
      <c r="AS7597">
        <v>1074</v>
      </c>
      <c r="AT7597" s="4">
        <v>42481</v>
      </c>
      <c r="AV7597">
        <v>1074</v>
      </c>
      <c r="AW7597" s="4">
        <v>42481</v>
      </c>
      <c r="BD7597">
        <v>0</v>
      </c>
      <c r="BN7597" t="s">
        <v>74</v>
      </c>
    </row>
    <row r="7598" spans="1:66" hidden="1">
      <c r="A7598">
        <v>104374</v>
      </c>
      <c r="B7598" s="3" t="s">
        <v>654</v>
      </c>
      <c r="C7598" s="1">
        <v>43500101</v>
      </c>
      <c r="D7598" t="s">
        <v>113</v>
      </c>
      <c r="H7598" t="str">
        <f t="shared" si="753"/>
        <v>05513630011</v>
      </c>
      <c r="I7598" t="str">
        <f t="shared" si="753"/>
        <v>05513630011</v>
      </c>
      <c r="K7598" t="str">
        <f>""</f>
        <v/>
      </c>
      <c r="M7598" t="s">
        <v>68</v>
      </c>
      <c r="N7598" t="str">
        <f t="shared" si="754"/>
        <v>ALTFIN</v>
      </c>
      <c r="O7598" t="s">
        <v>123</v>
      </c>
      <c r="P7598" s="3" t="s">
        <v>88</v>
      </c>
      <c r="Q7598">
        <v>2016</v>
      </c>
      <c r="R7598" s="2">
        <v>42508</v>
      </c>
      <c r="S7598" s="2">
        <v>42510</v>
      </c>
      <c r="T7598" s="2">
        <v>42510</v>
      </c>
      <c r="U7598" s="2">
        <v>42570</v>
      </c>
      <c r="V7598" t="s">
        <v>71</v>
      </c>
      <c r="W7598" t="str">
        <f>"                0518"</f>
        <v xml:space="preserve">                0518</v>
      </c>
      <c r="X7598">
        <v>0</v>
      </c>
      <c r="Y7598">
        <v>598</v>
      </c>
      <c r="Z7598"/>
      <c r="AB7598"/>
      <c r="AC7598">
        <v>598</v>
      </c>
      <c r="AD7598">
        <v>-57</v>
      </c>
      <c r="AE7598" s="1">
        <v>-34086</v>
      </c>
      <c r="AF7598">
        <v>0</v>
      </c>
      <c r="AJ7598">
        <v>0</v>
      </c>
      <c r="AK7598">
        <v>0</v>
      </c>
      <c r="AL7598">
        <v>0</v>
      </c>
      <c r="AM7598">
        <v>598</v>
      </c>
      <c r="AN7598">
        <v>598</v>
      </c>
      <c r="AO7598">
        <v>598</v>
      </c>
      <c r="AP7598" s="2">
        <v>42746</v>
      </c>
      <c r="AQ7598" t="s">
        <v>72</v>
      </c>
      <c r="AR7598" t="s">
        <v>72</v>
      </c>
      <c r="AS7598">
        <v>1312</v>
      </c>
      <c r="AT7598" s="4">
        <v>42513</v>
      </c>
      <c r="AV7598">
        <v>1312</v>
      </c>
      <c r="AW7598" s="4">
        <v>42513</v>
      </c>
      <c r="BD7598">
        <v>0</v>
      </c>
      <c r="BN7598" t="s">
        <v>74</v>
      </c>
    </row>
    <row r="7599" spans="1:66" hidden="1">
      <c r="A7599">
        <v>104374</v>
      </c>
      <c r="B7599" s="3" t="s">
        <v>654</v>
      </c>
      <c r="C7599" s="1">
        <v>43500101</v>
      </c>
      <c r="D7599" t="s">
        <v>113</v>
      </c>
      <c r="H7599" t="str">
        <f t="shared" si="753"/>
        <v>05513630011</v>
      </c>
      <c r="I7599" t="str">
        <f t="shared" si="753"/>
        <v>05513630011</v>
      </c>
      <c r="K7599" t="str">
        <f>""</f>
        <v/>
      </c>
      <c r="M7599" t="s">
        <v>68</v>
      </c>
      <c r="N7599" t="str">
        <f t="shared" si="754"/>
        <v>ALTFIN</v>
      </c>
      <c r="O7599" t="s">
        <v>123</v>
      </c>
      <c r="P7599" s="3" t="s">
        <v>89</v>
      </c>
      <c r="Q7599">
        <v>2016</v>
      </c>
      <c r="R7599" s="2">
        <v>42548</v>
      </c>
      <c r="S7599" s="2">
        <v>42543</v>
      </c>
      <c r="T7599" s="2">
        <v>42543</v>
      </c>
      <c r="U7599" s="2">
        <v>42603</v>
      </c>
      <c r="V7599" t="s">
        <v>71</v>
      </c>
      <c r="W7599" t="str">
        <f>"                0627"</f>
        <v xml:space="preserve">                0627</v>
      </c>
      <c r="X7599">
        <v>0</v>
      </c>
      <c r="Y7599">
        <v>598</v>
      </c>
      <c r="Z7599"/>
      <c r="AB7599"/>
      <c r="AC7599">
        <v>598</v>
      </c>
      <c r="AD7599">
        <v>-47</v>
      </c>
      <c r="AE7599" s="1">
        <v>-28106</v>
      </c>
      <c r="AF7599">
        <v>0</v>
      </c>
      <c r="AJ7599">
        <v>0</v>
      </c>
      <c r="AK7599">
        <v>0</v>
      </c>
      <c r="AL7599">
        <v>0</v>
      </c>
      <c r="AM7599">
        <v>598</v>
      </c>
      <c r="AN7599">
        <v>598</v>
      </c>
      <c r="AO7599">
        <v>598</v>
      </c>
      <c r="AP7599" s="2">
        <v>42746</v>
      </c>
      <c r="AQ7599" t="s">
        <v>72</v>
      </c>
      <c r="AR7599" t="s">
        <v>72</v>
      </c>
      <c r="AS7599">
        <v>1695</v>
      </c>
      <c r="AT7599" s="4">
        <v>42556</v>
      </c>
      <c r="AV7599">
        <v>1695</v>
      </c>
      <c r="AW7599" s="4">
        <v>42556</v>
      </c>
      <c r="BD7599">
        <v>0</v>
      </c>
      <c r="BN7599" t="s">
        <v>74</v>
      </c>
    </row>
    <row r="7600" spans="1:66" hidden="1">
      <c r="A7600">
        <v>104374</v>
      </c>
      <c r="B7600" s="3" t="s">
        <v>654</v>
      </c>
      <c r="C7600" s="1">
        <v>43500101</v>
      </c>
      <c r="D7600" t="s">
        <v>113</v>
      </c>
      <c r="H7600" t="str">
        <f t="shared" si="753"/>
        <v>05513630011</v>
      </c>
      <c r="I7600" t="str">
        <f t="shared" si="753"/>
        <v>05513630011</v>
      </c>
      <c r="K7600" t="str">
        <f>""</f>
        <v/>
      </c>
      <c r="M7600" t="s">
        <v>68</v>
      </c>
      <c r="N7600" t="str">
        <f t="shared" si="754"/>
        <v>ALTFIN</v>
      </c>
      <c r="O7600" t="s">
        <v>123</v>
      </c>
      <c r="P7600" s="3" t="s">
        <v>90</v>
      </c>
      <c r="Q7600">
        <v>2016</v>
      </c>
      <c r="R7600" s="2">
        <v>42573</v>
      </c>
      <c r="S7600" s="2">
        <v>42573</v>
      </c>
      <c r="T7600" s="2">
        <v>42573</v>
      </c>
      <c r="U7600" s="2">
        <v>42633</v>
      </c>
      <c r="V7600" t="s">
        <v>71</v>
      </c>
      <c r="W7600" t="str">
        <f>"                0722"</f>
        <v xml:space="preserve">                0722</v>
      </c>
      <c r="X7600">
        <v>0</v>
      </c>
      <c r="Y7600">
        <v>598</v>
      </c>
      <c r="Z7600"/>
      <c r="AB7600"/>
      <c r="AC7600">
        <v>598</v>
      </c>
      <c r="AD7600">
        <v>-48</v>
      </c>
      <c r="AE7600" s="1">
        <v>-28704</v>
      </c>
      <c r="AF7600">
        <v>0</v>
      </c>
      <c r="AJ7600">
        <v>0</v>
      </c>
      <c r="AK7600">
        <v>0</v>
      </c>
      <c r="AL7600">
        <v>0</v>
      </c>
      <c r="AM7600">
        <v>598</v>
      </c>
      <c r="AN7600">
        <v>598</v>
      </c>
      <c r="AO7600">
        <v>598</v>
      </c>
      <c r="AP7600" s="2">
        <v>42746</v>
      </c>
      <c r="AQ7600" t="s">
        <v>72</v>
      </c>
      <c r="AR7600" t="s">
        <v>72</v>
      </c>
      <c r="AS7600">
        <v>2095</v>
      </c>
      <c r="AT7600" s="4">
        <v>42585</v>
      </c>
      <c r="AV7600">
        <v>2095</v>
      </c>
      <c r="AW7600" s="4">
        <v>42585</v>
      </c>
      <c r="BD7600">
        <v>0</v>
      </c>
      <c r="BN7600" t="s">
        <v>74</v>
      </c>
    </row>
    <row r="7601" spans="1:66" hidden="1">
      <c r="A7601">
        <v>104374</v>
      </c>
      <c r="B7601" s="3" t="s">
        <v>654</v>
      </c>
      <c r="C7601" s="1">
        <v>43500101</v>
      </c>
      <c r="D7601" t="s">
        <v>113</v>
      </c>
      <c r="H7601" t="str">
        <f t="shared" si="753"/>
        <v>05513630011</v>
      </c>
      <c r="I7601" t="str">
        <f t="shared" si="753"/>
        <v>05513630011</v>
      </c>
      <c r="K7601" t="str">
        <f>""</f>
        <v/>
      </c>
      <c r="M7601" t="s">
        <v>68</v>
      </c>
      <c r="N7601" t="str">
        <f t="shared" si="754"/>
        <v>ALTFIN</v>
      </c>
      <c r="O7601" t="s">
        <v>123</v>
      </c>
      <c r="P7601" s="3" t="s">
        <v>91</v>
      </c>
      <c r="Q7601">
        <v>2016</v>
      </c>
      <c r="R7601" s="2">
        <v>42592</v>
      </c>
      <c r="S7601" s="2">
        <v>42598</v>
      </c>
      <c r="T7601" s="2">
        <v>42598</v>
      </c>
      <c r="U7601" s="2">
        <v>42658</v>
      </c>
      <c r="V7601" t="s">
        <v>71</v>
      </c>
      <c r="W7601" t="str">
        <f>"                0810"</f>
        <v xml:space="preserve">                0810</v>
      </c>
      <c r="X7601">
        <v>0</v>
      </c>
      <c r="Y7601">
        <v>598</v>
      </c>
      <c r="Z7601"/>
      <c r="AB7601"/>
      <c r="AC7601">
        <v>598</v>
      </c>
      <c r="AD7601">
        <v>-60</v>
      </c>
      <c r="AE7601" s="1">
        <v>-35880</v>
      </c>
      <c r="AF7601">
        <v>0</v>
      </c>
      <c r="AJ7601">
        <v>0</v>
      </c>
      <c r="AK7601">
        <v>0</v>
      </c>
      <c r="AL7601">
        <v>0</v>
      </c>
      <c r="AM7601">
        <v>598</v>
      </c>
      <c r="AN7601">
        <v>598</v>
      </c>
      <c r="AO7601">
        <v>598</v>
      </c>
      <c r="AP7601" s="2">
        <v>42746</v>
      </c>
      <c r="AQ7601" t="s">
        <v>72</v>
      </c>
      <c r="AR7601" t="s">
        <v>72</v>
      </c>
      <c r="AS7601">
        <v>2177</v>
      </c>
      <c r="AT7601" s="4">
        <v>42598</v>
      </c>
      <c r="AV7601">
        <v>2177</v>
      </c>
      <c r="AW7601" s="4">
        <v>42598</v>
      </c>
      <c r="BD7601">
        <v>0</v>
      </c>
      <c r="BN7601" t="s">
        <v>74</v>
      </c>
    </row>
    <row r="7602" spans="1:66" hidden="1">
      <c r="A7602">
        <v>104374</v>
      </c>
      <c r="B7602" s="3" t="s">
        <v>654</v>
      </c>
      <c r="C7602" s="1">
        <v>43500101</v>
      </c>
      <c r="D7602" t="s">
        <v>113</v>
      </c>
      <c r="H7602" t="str">
        <f t="shared" si="753"/>
        <v>05513630011</v>
      </c>
      <c r="I7602" t="str">
        <f t="shared" si="753"/>
        <v>05513630011</v>
      </c>
      <c r="K7602" t="str">
        <f>""</f>
        <v/>
      </c>
      <c r="M7602" t="s">
        <v>68</v>
      </c>
      <c r="N7602" t="str">
        <f t="shared" si="754"/>
        <v>ALTFIN</v>
      </c>
      <c r="O7602" t="s">
        <v>123</v>
      </c>
      <c r="P7602" s="3" t="s">
        <v>92</v>
      </c>
      <c r="Q7602">
        <v>2016</v>
      </c>
      <c r="R7602" s="2">
        <v>42633</v>
      </c>
      <c r="S7602" s="2">
        <v>42634</v>
      </c>
      <c r="T7602" s="2">
        <v>42634</v>
      </c>
      <c r="U7602" s="2">
        <v>42694</v>
      </c>
      <c r="V7602" t="s">
        <v>71</v>
      </c>
      <c r="W7602" t="str">
        <f>"                0920"</f>
        <v xml:space="preserve">                0920</v>
      </c>
      <c r="X7602">
        <v>0</v>
      </c>
      <c r="Y7602">
        <v>598</v>
      </c>
      <c r="Z7602"/>
      <c r="AB7602"/>
      <c r="AC7602">
        <v>598</v>
      </c>
      <c r="AD7602">
        <v>-60</v>
      </c>
      <c r="AE7602" s="1">
        <v>-35880</v>
      </c>
      <c r="AF7602">
        <v>0</v>
      </c>
      <c r="AJ7602">
        <v>0</v>
      </c>
      <c r="AK7602">
        <v>0</v>
      </c>
      <c r="AL7602">
        <v>0</v>
      </c>
      <c r="AM7602">
        <v>598</v>
      </c>
      <c r="AN7602">
        <v>598</v>
      </c>
      <c r="AO7602">
        <v>598</v>
      </c>
      <c r="AP7602" s="2">
        <v>42746</v>
      </c>
      <c r="AQ7602" t="s">
        <v>72</v>
      </c>
      <c r="AR7602" t="s">
        <v>72</v>
      </c>
      <c r="AS7602">
        <v>2451</v>
      </c>
      <c r="AT7602" s="4">
        <v>42634</v>
      </c>
      <c r="AV7602">
        <v>2451</v>
      </c>
      <c r="AW7602" s="4">
        <v>42634</v>
      </c>
      <c r="BD7602">
        <v>0</v>
      </c>
      <c r="BN7602" t="s">
        <v>74</v>
      </c>
    </row>
    <row r="7603" spans="1:66" hidden="1">
      <c r="A7603">
        <v>104374</v>
      </c>
      <c r="B7603" s="3" t="s">
        <v>654</v>
      </c>
      <c r="C7603" s="1">
        <v>43500101</v>
      </c>
      <c r="D7603" t="s">
        <v>113</v>
      </c>
      <c r="H7603" t="str">
        <f t="shared" si="753"/>
        <v>05513630011</v>
      </c>
      <c r="I7603" t="str">
        <f t="shared" si="753"/>
        <v>05513630011</v>
      </c>
      <c r="K7603" t="str">
        <f>""</f>
        <v/>
      </c>
      <c r="M7603" t="s">
        <v>68</v>
      </c>
      <c r="N7603" t="str">
        <f t="shared" si="754"/>
        <v>ALTFIN</v>
      </c>
      <c r="O7603" t="s">
        <v>123</v>
      </c>
      <c r="P7603" s="3" t="s">
        <v>93</v>
      </c>
      <c r="Q7603">
        <v>2016</v>
      </c>
      <c r="R7603" s="2">
        <v>42664</v>
      </c>
      <c r="S7603" s="2">
        <v>42667</v>
      </c>
      <c r="T7603" s="2">
        <v>42667</v>
      </c>
      <c r="U7603" s="2">
        <v>42727</v>
      </c>
      <c r="V7603" t="s">
        <v>71</v>
      </c>
      <c r="W7603" t="str">
        <f>"                1021"</f>
        <v xml:space="preserve">                1021</v>
      </c>
      <c r="X7603">
        <v>0</v>
      </c>
      <c r="Y7603">
        <v>598</v>
      </c>
      <c r="Z7603" s="3">
        <v>598</v>
      </c>
      <c r="AA7603">
        <v>-60</v>
      </c>
      <c r="AB7603" s="5">
        <v>-35880</v>
      </c>
      <c r="AC7603">
        <v>598</v>
      </c>
      <c r="AD7603">
        <v>-60</v>
      </c>
      <c r="AE7603" s="1">
        <v>-35880</v>
      </c>
      <c r="AF7603">
        <v>0</v>
      </c>
      <c r="AJ7603">
        <v>598</v>
      </c>
      <c r="AK7603">
        <v>598</v>
      </c>
      <c r="AL7603">
        <v>598</v>
      </c>
      <c r="AM7603">
        <v>598</v>
      </c>
      <c r="AN7603">
        <v>598</v>
      </c>
      <c r="AO7603">
        <v>598</v>
      </c>
      <c r="AP7603" s="2">
        <v>42746</v>
      </c>
      <c r="AQ7603" t="s">
        <v>72</v>
      </c>
      <c r="AR7603" t="s">
        <v>72</v>
      </c>
      <c r="AS7603">
        <v>2798</v>
      </c>
      <c r="AT7603" s="4">
        <v>42667</v>
      </c>
      <c r="AV7603">
        <v>2798</v>
      </c>
      <c r="AW7603" s="4">
        <v>42667</v>
      </c>
      <c r="BD7603">
        <v>0</v>
      </c>
      <c r="BN7603" t="s">
        <v>74</v>
      </c>
    </row>
    <row r="7604" spans="1:66" hidden="1">
      <c r="A7604">
        <v>104374</v>
      </c>
      <c r="B7604" s="3" t="s">
        <v>654</v>
      </c>
      <c r="C7604" s="1">
        <v>43500101</v>
      </c>
      <c r="D7604" t="s">
        <v>113</v>
      </c>
      <c r="H7604" t="str">
        <f t="shared" si="753"/>
        <v>05513630011</v>
      </c>
      <c r="I7604" t="str">
        <f t="shared" si="753"/>
        <v>05513630011</v>
      </c>
      <c r="K7604" t="str">
        <f>""</f>
        <v/>
      </c>
      <c r="M7604" t="s">
        <v>68</v>
      </c>
      <c r="N7604" t="str">
        <f t="shared" si="754"/>
        <v>ALTFIN</v>
      </c>
      <c r="O7604" t="s">
        <v>123</v>
      </c>
      <c r="P7604" s="3" t="s">
        <v>94</v>
      </c>
      <c r="Q7604">
        <v>2016</v>
      </c>
      <c r="R7604" s="2">
        <v>42696</v>
      </c>
      <c r="S7604" s="2">
        <v>42696</v>
      </c>
      <c r="T7604" s="2">
        <v>42696</v>
      </c>
      <c r="U7604" s="2">
        <v>42756</v>
      </c>
      <c r="V7604" t="s">
        <v>71</v>
      </c>
      <c r="W7604" t="str">
        <f>"                1122"</f>
        <v xml:space="preserve">                1122</v>
      </c>
      <c r="X7604">
        <v>0</v>
      </c>
      <c r="Y7604">
        <v>598</v>
      </c>
      <c r="Z7604" s="3">
        <v>598</v>
      </c>
      <c r="AA7604">
        <v>-59</v>
      </c>
      <c r="AB7604" s="5">
        <v>-35282</v>
      </c>
      <c r="AC7604">
        <v>598</v>
      </c>
      <c r="AD7604">
        <v>-59</v>
      </c>
      <c r="AE7604" s="1">
        <v>-35282</v>
      </c>
      <c r="AF7604">
        <v>0</v>
      </c>
      <c r="AJ7604">
        <v>598</v>
      </c>
      <c r="AK7604">
        <v>598</v>
      </c>
      <c r="AL7604">
        <v>598</v>
      </c>
      <c r="AM7604">
        <v>598</v>
      </c>
      <c r="AN7604">
        <v>598</v>
      </c>
      <c r="AO7604">
        <v>598</v>
      </c>
      <c r="AP7604" s="2">
        <v>42746</v>
      </c>
      <c r="AQ7604" t="s">
        <v>72</v>
      </c>
      <c r="AR7604" t="s">
        <v>72</v>
      </c>
      <c r="AS7604">
        <v>3236</v>
      </c>
      <c r="AT7604" s="4">
        <v>42697</v>
      </c>
      <c r="AV7604">
        <v>3236</v>
      </c>
      <c r="AW7604" s="4">
        <v>42697</v>
      </c>
      <c r="BD7604">
        <v>0</v>
      </c>
      <c r="BN7604" t="s">
        <v>74</v>
      </c>
    </row>
    <row r="7605" spans="1:66" hidden="1">
      <c r="A7605">
        <v>104374</v>
      </c>
      <c r="B7605" s="3" t="s">
        <v>654</v>
      </c>
      <c r="C7605" s="1">
        <v>43500101</v>
      </c>
      <c r="D7605" t="s">
        <v>113</v>
      </c>
      <c r="H7605" t="str">
        <f t="shared" si="753"/>
        <v>05513630011</v>
      </c>
      <c r="I7605" t="str">
        <f t="shared" si="753"/>
        <v>05513630011</v>
      </c>
      <c r="K7605" t="str">
        <f>""</f>
        <v/>
      </c>
      <c r="M7605" t="s">
        <v>68</v>
      </c>
      <c r="N7605" t="str">
        <f t="shared" si="754"/>
        <v>ALTFIN</v>
      </c>
      <c r="O7605" t="s">
        <v>123</v>
      </c>
      <c r="P7605" s="3" t="s">
        <v>95</v>
      </c>
      <c r="Q7605">
        <v>2016</v>
      </c>
      <c r="R7605" s="2">
        <v>42717</v>
      </c>
      <c r="S7605" s="2">
        <v>42717</v>
      </c>
      <c r="T7605" s="2">
        <v>42717</v>
      </c>
      <c r="U7605" s="2">
        <v>42777</v>
      </c>
      <c r="V7605" t="s">
        <v>71</v>
      </c>
      <c r="W7605" t="str">
        <f>"                1213"</f>
        <v xml:space="preserve">                1213</v>
      </c>
      <c r="X7605">
        <v>0</v>
      </c>
      <c r="Y7605">
        <v>598</v>
      </c>
      <c r="Z7605" s="3">
        <v>598</v>
      </c>
      <c r="AA7605">
        <v>-59</v>
      </c>
      <c r="AB7605" s="5">
        <v>-35282</v>
      </c>
      <c r="AC7605">
        <v>598</v>
      </c>
      <c r="AD7605">
        <v>-59</v>
      </c>
      <c r="AE7605" s="1">
        <v>-35282</v>
      </c>
      <c r="AF7605">
        <v>0</v>
      </c>
      <c r="AJ7605">
        <v>598</v>
      </c>
      <c r="AK7605">
        <v>598</v>
      </c>
      <c r="AL7605">
        <v>598</v>
      </c>
      <c r="AM7605">
        <v>598</v>
      </c>
      <c r="AN7605">
        <v>598</v>
      </c>
      <c r="AO7605">
        <v>598</v>
      </c>
      <c r="AP7605" s="2">
        <v>42746</v>
      </c>
      <c r="AQ7605" t="s">
        <v>72</v>
      </c>
      <c r="AR7605" t="s">
        <v>72</v>
      </c>
      <c r="AS7605">
        <v>3395</v>
      </c>
      <c r="AT7605" s="4">
        <v>42718</v>
      </c>
      <c r="AV7605">
        <v>3395</v>
      </c>
      <c r="AW7605" s="4">
        <v>42718</v>
      </c>
      <c r="BD7605">
        <v>0</v>
      </c>
      <c r="BN7605" t="s">
        <v>74</v>
      </c>
    </row>
    <row r="7606" spans="1:66" hidden="1">
      <c r="A7606">
        <v>104378</v>
      </c>
      <c r="B7606" s="3" t="s">
        <v>655</v>
      </c>
      <c r="C7606" s="1">
        <v>43300101</v>
      </c>
      <c r="D7606" t="s">
        <v>67</v>
      </c>
      <c r="H7606" t="str">
        <f t="shared" ref="H7606:I7609" si="755">"00440180545"</f>
        <v>00440180545</v>
      </c>
      <c r="I7606" t="str">
        <f t="shared" si="755"/>
        <v>00440180545</v>
      </c>
      <c r="K7606" t="str">
        <f>""</f>
        <v/>
      </c>
      <c r="M7606" t="s">
        <v>68</v>
      </c>
      <c r="N7606" t="str">
        <f t="shared" ref="N7606:N7669" si="756">"FOR"</f>
        <v>FOR</v>
      </c>
      <c r="O7606" t="s">
        <v>69</v>
      </c>
      <c r="P7606" s="3" t="s">
        <v>75</v>
      </c>
      <c r="Q7606">
        <v>2015</v>
      </c>
      <c r="R7606" s="2">
        <v>42170</v>
      </c>
      <c r="S7606" s="2">
        <v>42185</v>
      </c>
      <c r="T7606" s="2">
        <v>42181</v>
      </c>
      <c r="U7606" s="2">
        <v>42241</v>
      </c>
      <c r="V7606" t="s">
        <v>71</v>
      </c>
      <c r="W7606" t="str">
        <f>"              783/PA"</f>
        <v xml:space="preserve">              783/PA</v>
      </c>
      <c r="X7606">
        <v>292.8</v>
      </c>
      <c r="Y7606">
        <v>0</v>
      </c>
      <c r="Z7606"/>
      <c r="AB7606"/>
      <c r="AC7606">
        <v>240</v>
      </c>
      <c r="AD7606">
        <v>286</v>
      </c>
      <c r="AE7606" s="1">
        <v>68640</v>
      </c>
      <c r="AF7606">
        <v>0</v>
      </c>
      <c r="AJ7606">
        <v>0</v>
      </c>
      <c r="AK7606">
        <v>0</v>
      </c>
      <c r="AL7606">
        <v>0</v>
      </c>
      <c r="AM7606">
        <v>0</v>
      </c>
      <c r="AN7606">
        <v>0</v>
      </c>
      <c r="AO7606">
        <v>0</v>
      </c>
      <c r="AP7606" s="2">
        <v>42746</v>
      </c>
      <c r="AQ7606" t="s">
        <v>72</v>
      </c>
      <c r="AR7606" t="s">
        <v>72</v>
      </c>
      <c r="AS7606">
        <v>1520</v>
      </c>
      <c r="AT7606" s="4">
        <v>42527</v>
      </c>
      <c r="AU7606" t="s">
        <v>73</v>
      </c>
      <c r="AV7606">
        <v>1520</v>
      </c>
      <c r="AW7606" s="4">
        <v>42527</v>
      </c>
      <c r="BD7606">
        <v>0</v>
      </c>
      <c r="BN7606" t="s">
        <v>74</v>
      </c>
    </row>
    <row r="7607" spans="1:66" hidden="1">
      <c r="A7607">
        <v>104378</v>
      </c>
      <c r="B7607" s="3" t="s">
        <v>655</v>
      </c>
      <c r="C7607" s="1">
        <v>43300101</v>
      </c>
      <c r="D7607" t="s">
        <v>67</v>
      </c>
      <c r="H7607" t="str">
        <f t="shared" si="755"/>
        <v>00440180545</v>
      </c>
      <c r="I7607" t="str">
        <f t="shared" si="755"/>
        <v>00440180545</v>
      </c>
      <c r="K7607" t="str">
        <f>""</f>
        <v/>
      </c>
      <c r="M7607" t="s">
        <v>68</v>
      </c>
      <c r="N7607" t="str">
        <f t="shared" si="756"/>
        <v>FOR</v>
      </c>
      <c r="O7607" t="s">
        <v>69</v>
      </c>
      <c r="P7607" s="3" t="s">
        <v>75</v>
      </c>
      <c r="Q7607">
        <v>2015</v>
      </c>
      <c r="R7607" s="2">
        <v>42202</v>
      </c>
      <c r="S7607" s="2">
        <v>42215</v>
      </c>
      <c r="T7607" s="2">
        <v>42214</v>
      </c>
      <c r="U7607" s="2">
        <v>42274</v>
      </c>
      <c r="V7607" t="s">
        <v>71</v>
      </c>
      <c r="W7607" t="str">
        <f>"             1184/PA"</f>
        <v xml:space="preserve">             1184/PA</v>
      </c>
      <c r="X7607">
        <v>292.8</v>
      </c>
      <c r="Y7607">
        <v>0</v>
      </c>
      <c r="Z7607"/>
      <c r="AB7607"/>
      <c r="AC7607">
        <v>240</v>
      </c>
      <c r="AD7607">
        <v>253</v>
      </c>
      <c r="AE7607" s="1">
        <v>60720</v>
      </c>
      <c r="AF7607">
        <v>0</v>
      </c>
      <c r="AJ7607">
        <v>0</v>
      </c>
      <c r="AK7607">
        <v>0</v>
      </c>
      <c r="AL7607">
        <v>0</v>
      </c>
      <c r="AM7607">
        <v>0</v>
      </c>
      <c r="AN7607">
        <v>0</v>
      </c>
      <c r="AO7607">
        <v>0</v>
      </c>
      <c r="AP7607" s="2">
        <v>42746</v>
      </c>
      <c r="AQ7607" t="s">
        <v>72</v>
      </c>
      <c r="AR7607" t="s">
        <v>72</v>
      </c>
      <c r="AS7607">
        <v>1520</v>
      </c>
      <c r="AT7607" s="4">
        <v>42527</v>
      </c>
      <c r="AU7607" t="s">
        <v>73</v>
      </c>
      <c r="AV7607">
        <v>1520</v>
      </c>
      <c r="AW7607" s="4">
        <v>42527</v>
      </c>
      <c r="BD7607">
        <v>0</v>
      </c>
      <c r="BN7607" t="s">
        <v>74</v>
      </c>
    </row>
    <row r="7608" spans="1:66">
      <c r="A7608">
        <v>104378</v>
      </c>
      <c r="B7608" s="3" t="s">
        <v>655</v>
      </c>
      <c r="C7608" s="1">
        <v>43300101</v>
      </c>
      <c r="D7608" t="s">
        <v>67</v>
      </c>
      <c r="H7608" t="str">
        <f t="shared" si="755"/>
        <v>00440180545</v>
      </c>
      <c r="I7608" t="str">
        <f t="shared" si="755"/>
        <v>00440180545</v>
      </c>
      <c r="K7608" t="str">
        <f>""</f>
        <v/>
      </c>
      <c r="M7608" t="s">
        <v>68</v>
      </c>
      <c r="N7608" t="str">
        <f t="shared" si="756"/>
        <v>FOR</v>
      </c>
      <c r="O7608" t="s">
        <v>69</v>
      </c>
      <c r="P7608" s="3" t="s">
        <v>75</v>
      </c>
      <c r="Q7608">
        <v>2016</v>
      </c>
      <c r="R7608" s="2">
        <v>42475</v>
      </c>
      <c r="S7608" s="2">
        <v>42478</v>
      </c>
      <c r="T7608" s="2">
        <v>42475</v>
      </c>
      <c r="U7608" s="2">
        <v>42535</v>
      </c>
      <c r="V7608" t="s">
        <v>71</v>
      </c>
      <c r="W7608" t="str">
        <f>"              815/PA"</f>
        <v xml:space="preserve">              815/PA</v>
      </c>
      <c r="X7608">
        <v>292.8</v>
      </c>
      <c r="Y7608">
        <v>0</v>
      </c>
      <c r="Z7608" s="3">
        <v>240</v>
      </c>
      <c r="AA7608">
        <v>147</v>
      </c>
      <c r="AB7608" s="5">
        <v>35280</v>
      </c>
      <c r="AC7608">
        <v>240</v>
      </c>
      <c r="AD7608">
        <v>147</v>
      </c>
      <c r="AE7608" s="1">
        <v>35280</v>
      </c>
      <c r="AF7608">
        <v>0</v>
      </c>
      <c r="AJ7608">
        <v>0</v>
      </c>
      <c r="AK7608">
        <v>0</v>
      </c>
      <c r="AL7608">
        <v>0</v>
      </c>
      <c r="AM7608">
        <v>292.8</v>
      </c>
      <c r="AN7608">
        <v>292.8</v>
      </c>
      <c r="AO7608">
        <v>292.8</v>
      </c>
      <c r="AP7608" s="2">
        <v>42746</v>
      </c>
      <c r="AQ7608" t="s">
        <v>72</v>
      </c>
      <c r="AR7608" t="s">
        <v>72</v>
      </c>
      <c r="AS7608">
        <v>2998</v>
      </c>
      <c r="AT7608" s="4">
        <v>42682</v>
      </c>
      <c r="AU7608" t="s">
        <v>73</v>
      </c>
      <c r="AV7608">
        <v>2998</v>
      </c>
      <c r="AW7608" s="4">
        <v>42682</v>
      </c>
      <c r="BD7608">
        <v>0</v>
      </c>
      <c r="BN7608" t="s">
        <v>74</v>
      </c>
    </row>
    <row r="7609" spans="1:66">
      <c r="A7609">
        <v>104378</v>
      </c>
      <c r="B7609" s="3" t="s">
        <v>655</v>
      </c>
      <c r="C7609" s="1">
        <v>43300101</v>
      </c>
      <c r="D7609" t="s">
        <v>67</v>
      </c>
      <c r="H7609" t="str">
        <f t="shared" si="755"/>
        <v>00440180545</v>
      </c>
      <c r="I7609" t="str">
        <f t="shared" si="755"/>
        <v>00440180545</v>
      </c>
      <c r="K7609" t="str">
        <f>""</f>
        <v/>
      </c>
      <c r="M7609" t="s">
        <v>68</v>
      </c>
      <c r="N7609" t="str">
        <f t="shared" si="756"/>
        <v>FOR</v>
      </c>
      <c r="O7609" t="s">
        <v>69</v>
      </c>
      <c r="P7609" s="3" t="s">
        <v>75</v>
      </c>
      <c r="Q7609">
        <v>2016</v>
      </c>
      <c r="R7609" s="2">
        <v>42657</v>
      </c>
      <c r="S7609" s="2">
        <v>42669</v>
      </c>
      <c r="T7609" s="2">
        <v>42664</v>
      </c>
      <c r="U7609" s="2">
        <v>42724</v>
      </c>
      <c r="V7609" t="s">
        <v>71</v>
      </c>
      <c r="W7609" t="str">
        <f>"             2845/PA"</f>
        <v xml:space="preserve">             2845/PA</v>
      </c>
      <c r="X7609">
        <v>292.8</v>
      </c>
      <c r="Y7609">
        <v>0</v>
      </c>
      <c r="Z7609" s="3">
        <v>240</v>
      </c>
      <c r="AA7609">
        <v>-6</v>
      </c>
      <c r="AB7609" s="5">
        <v>-1440</v>
      </c>
      <c r="AC7609">
        <v>240</v>
      </c>
      <c r="AD7609">
        <v>-6</v>
      </c>
      <c r="AE7609" s="1">
        <v>-1440</v>
      </c>
      <c r="AF7609">
        <v>52.8</v>
      </c>
      <c r="AJ7609">
        <v>292.8</v>
      </c>
      <c r="AK7609">
        <v>292.8</v>
      </c>
      <c r="AL7609">
        <v>292.8</v>
      </c>
      <c r="AM7609">
        <v>292.8</v>
      </c>
      <c r="AN7609">
        <v>292.8</v>
      </c>
      <c r="AO7609">
        <v>292.8</v>
      </c>
      <c r="AP7609" s="2">
        <v>42746</v>
      </c>
      <c r="AQ7609" t="s">
        <v>72</v>
      </c>
      <c r="AR7609" t="s">
        <v>72</v>
      </c>
      <c r="AS7609">
        <v>3500</v>
      </c>
      <c r="AT7609" s="4">
        <v>42718</v>
      </c>
      <c r="AV7609">
        <v>3500</v>
      </c>
      <c r="AW7609" s="4">
        <v>42718</v>
      </c>
      <c r="AX7609">
        <v>52.8</v>
      </c>
      <c r="BD7609">
        <v>0</v>
      </c>
      <c r="BN7609" t="s">
        <v>74</v>
      </c>
    </row>
    <row r="7610" spans="1:66" hidden="1">
      <c r="A7610">
        <v>104379</v>
      </c>
      <c r="B7610" s="3" t="s">
        <v>656</v>
      </c>
      <c r="C7610" s="1">
        <v>43300101</v>
      </c>
      <c r="D7610" t="s">
        <v>67</v>
      </c>
      <c r="H7610" t="str">
        <f t="shared" ref="H7610:H7641" si="757">"07668030583"</f>
        <v>07668030583</v>
      </c>
      <c r="I7610" t="str">
        <f t="shared" ref="I7610:I7641" si="758">"01836081008"</f>
        <v>01836081008</v>
      </c>
      <c r="K7610" t="str">
        <f>""</f>
        <v/>
      </c>
      <c r="M7610" t="s">
        <v>68</v>
      </c>
      <c r="N7610" t="str">
        <f t="shared" si="756"/>
        <v>FOR</v>
      </c>
      <c r="O7610" t="s">
        <v>69</v>
      </c>
      <c r="P7610" s="3" t="s">
        <v>75</v>
      </c>
      <c r="Q7610">
        <v>2015</v>
      </c>
      <c r="R7610" s="2">
        <v>42209</v>
      </c>
      <c r="S7610" s="2">
        <v>42215</v>
      </c>
      <c r="T7610" s="2">
        <v>42214</v>
      </c>
      <c r="U7610" s="2">
        <v>42274</v>
      </c>
      <c r="V7610" t="s">
        <v>71</v>
      </c>
      <c r="W7610" t="str">
        <f>"              964/03"</f>
        <v xml:space="preserve">              964/03</v>
      </c>
      <c r="X7610">
        <v>572</v>
      </c>
      <c r="Y7610">
        <v>0</v>
      </c>
      <c r="Z7610"/>
      <c r="AB7610"/>
      <c r="AC7610">
        <v>550</v>
      </c>
      <c r="AD7610">
        <v>127</v>
      </c>
      <c r="AE7610" s="1">
        <v>69850</v>
      </c>
      <c r="AF7610">
        <v>0</v>
      </c>
      <c r="AJ7610">
        <v>0</v>
      </c>
      <c r="AK7610">
        <v>0</v>
      </c>
      <c r="AL7610">
        <v>0</v>
      </c>
      <c r="AM7610">
        <v>0</v>
      </c>
      <c r="AN7610">
        <v>0</v>
      </c>
      <c r="AO7610">
        <v>0</v>
      </c>
      <c r="AP7610" s="2">
        <v>42746</v>
      </c>
      <c r="AQ7610" t="s">
        <v>72</v>
      </c>
      <c r="AR7610" t="s">
        <v>72</v>
      </c>
      <c r="AS7610">
        <v>163</v>
      </c>
      <c r="AT7610" s="4">
        <v>42401</v>
      </c>
      <c r="AU7610" t="s">
        <v>73</v>
      </c>
      <c r="AV7610">
        <v>163</v>
      </c>
      <c r="AW7610" s="4">
        <v>42401</v>
      </c>
      <c r="BD7610">
        <v>0</v>
      </c>
      <c r="BN7610" t="s">
        <v>74</v>
      </c>
    </row>
    <row r="7611" spans="1:66" hidden="1">
      <c r="A7611">
        <v>104379</v>
      </c>
      <c r="B7611" s="3" t="s">
        <v>656</v>
      </c>
      <c r="C7611" s="1">
        <v>43300101</v>
      </c>
      <c r="D7611" t="s">
        <v>67</v>
      </c>
      <c r="H7611" t="str">
        <f t="shared" si="757"/>
        <v>07668030583</v>
      </c>
      <c r="I7611" t="str">
        <f t="shared" si="758"/>
        <v>01836081008</v>
      </c>
      <c r="K7611" t="str">
        <f>""</f>
        <v/>
      </c>
      <c r="M7611" t="s">
        <v>68</v>
      </c>
      <c r="N7611" t="str">
        <f t="shared" si="756"/>
        <v>FOR</v>
      </c>
      <c r="O7611" t="s">
        <v>69</v>
      </c>
      <c r="P7611" s="3" t="s">
        <v>75</v>
      </c>
      <c r="Q7611">
        <v>2015</v>
      </c>
      <c r="R7611" s="2">
        <v>42209</v>
      </c>
      <c r="S7611" s="2">
        <v>42215</v>
      </c>
      <c r="T7611" s="2">
        <v>42214</v>
      </c>
      <c r="U7611" s="2">
        <v>42274</v>
      </c>
      <c r="V7611" t="s">
        <v>71</v>
      </c>
      <c r="W7611" t="str">
        <f>"              965/03"</f>
        <v xml:space="preserve">              965/03</v>
      </c>
      <c r="X7611">
        <v>572</v>
      </c>
      <c r="Y7611">
        <v>0</v>
      </c>
      <c r="Z7611"/>
      <c r="AB7611"/>
      <c r="AC7611">
        <v>550</v>
      </c>
      <c r="AD7611">
        <v>127</v>
      </c>
      <c r="AE7611" s="1">
        <v>69850</v>
      </c>
      <c r="AF7611">
        <v>0</v>
      </c>
      <c r="AJ7611">
        <v>0</v>
      </c>
      <c r="AK7611">
        <v>0</v>
      </c>
      <c r="AL7611">
        <v>0</v>
      </c>
      <c r="AM7611">
        <v>0</v>
      </c>
      <c r="AN7611">
        <v>0</v>
      </c>
      <c r="AO7611">
        <v>0</v>
      </c>
      <c r="AP7611" s="2">
        <v>42746</v>
      </c>
      <c r="AQ7611" t="s">
        <v>72</v>
      </c>
      <c r="AR7611" t="s">
        <v>72</v>
      </c>
      <c r="AS7611">
        <v>163</v>
      </c>
      <c r="AT7611" s="4">
        <v>42401</v>
      </c>
      <c r="AU7611" t="s">
        <v>73</v>
      </c>
      <c r="AV7611">
        <v>163</v>
      </c>
      <c r="AW7611" s="4">
        <v>42401</v>
      </c>
      <c r="BD7611">
        <v>0</v>
      </c>
      <c r="BN7611" t="s">
        <v>74</v>
      </c>
    </row>
    <row r="7612" spans="1:66" hidden="1">
      <c r="A7612">
        <v>104379</v>
      </c>
      <c r="B7612" s="3" t="s">
        <v>656</v>
      </c>
      <c r="C7612" s="1">
        <v>43300101</v>
      </c>
      <c r="D7612" t="s">
        <v>67</v>
      </c>
      <c r="H7612" t="str">
        <f t="shared" si="757"/>
        <v>07668030583</v>
      </c>
      <c r="I7612" t="str">
        <f t="shared" si="758"/>
        <v>01836081008</v>
      </c>
      <c r="K7612" t="str">
        <f>""</f>
        <v/>
      </c>
      <c r="M7612" t="s">
        <v>68</v>
      </c>
      <c r="N7612" t="str">
        <f t="shared" si="756"/>
        <v>FOR</v>
      </c>
      <c r="O7612" t="s">
        <v>69</v>
      </c>
      <c r="P7612" s="3" t="s">
        <v>75</v>
      </c>
      <c r="Q7612">
        <v>2015</v>
      </c>
      <c r="R7612" s="2">
        <v>42209</v>
      </c>
      <c r="S7612" s="2">
        <v>42215</v>
      </c>
      <c r="T7612" s="2">
        <v>42214</v>
      </c>
      <c r="U7612" s="2">
        <v>42274</v>
      </c>
      <c r="V7612" t="s">
        <v>71</v>
      </c>
      <c r="W7612" t="str">
        <f>"              966/03"</f>
        <v xml:space="preserve">              966/03</v>
      </c>
      <c r="X7612">
        <v>144.56</v>
      </c>
      <c r="Y7612">
        <v>0</v>
      </c>
      <c r="Z7612"/>
      <c r="AB7612"/>
      <c r="AC7612">
        <v>139</v>
      </c>
      <c r="AD7612">
        <v>127</v>
      </c>
      <c r="AE7612" s="1">
        <v>17653</v>
      </c>
      <c r="AF7612">
        <v>0</v>
      </c>
      <c r="AJ7612">
        <v>0</v>
      </c>
      <c r="AK7612">
        <v>0</v>
      </c>
      <c r="AL7612">
        <v>0</v>
      </c>
      <c r="AM7612">
        <v>0</v>
      </c>
      <c r="AN7612">
        <v>0</v>
      </c>
      <c r="AO7612">
        <v>0</v>
      </c>
      <c r="AP7612" s="2">
        <v>42746</v>
      </c>
      <c r="AQ7612" t="s">
        <v>72</v>
      </c>
      <c r="AR7612" t="s">
        <v>72</v>
      </c>
      <c r="AS7612">
        <v>163</v>
      </c>
      <c r="AT7612" s="4">
        <v>42401</v>
      </c>
      <c r="AU7612" t="s">
        <v>73</v>
      </c>
      <c r="AV7612">
        <v>163</v>
      </c>
      <c r="AW7612" s="4">
        <v>42401</v>
      </c>
      <c r="BD7612">
        <v>0</v>
      </c>
      <c r="BN7612" t="s">
        <v>74</v>
      </c>
    </row>
    <row r="7613" spans="1:66" hidden="1">
      <c r="A7613">
        <v>104379</v>
      </c>
      <c r="B7613" s="3" t="s">
        <v>656</v>
      </c>
      <c r="C7613" s="1">
        <v>43300101</v>
      </c>
      <c r="D7613" t="s">
        <v>67</v>
      </c>
      <c r="H7613" t="str">
        <f t="shared" si="757"/>
        <v>07668030583</v>
      </c>
      <c r="I7613" t="str">
        <f t="shared" si="758"/>
        <v>01836081008</v>
      </c>
      <c r="K7613" t="str">
        <f>""</f>
        <v/>
      </c>
      <c r="M7613" t="s">
        <v>68</v>
      </c>
      <c r="N7613" t="str">
        <f t="shared" si="756"/>
        <v>FOR</v>
      </c>
      <c r="O7613" t="s">
        <v>69</v>
      </c>
      <c r="P7613" s="3" t="s">
        <v>75</v>
      </c>
      <c r="Q7613">
        <v>2015</v>
      </c>
      <c r="R7613" s="2">
        <v>42209</v>
      </c>
      <c r="S7613" s="2">
        <v>42215</v>
      </c>
      <c r="T7613" s="2">
        <v>42214</v>
      </c>
      <c r="U7613" s="2">
        <v>42274</v>
      </c>
      <c r="V7613" t="s">
        <v>71</v>
      </c>
      <c r="W7613" t="str">
        <f>"              967/03"</f>
        <v xml:space="preserve">              967/03</v>
      </c>
      <c r="X7613">
        <v>572</v>
      </c>
      <c r="Y7613">
        <v>0</v>
      </c>
      <c r="Z7613"/>
      <c r="AB7613"/>
      <c r="AC7613">
        <v>550</v>
      </c>
      <c r="AD7613">
        <v>127</v>
      </c>
      <c r="AE7613" s="1">
        <v>69850</v>
      </c>
      <c r="AF7613">
        <v>0</v>
      </c>
      <c r="AJ7613">
        <v>0</v>
      </c>
      <c r="AK7613">
        <v>0</v>
      </c>
      <c r="AL7613">
        <v>0</v>
      </c>
      <c r="AM7613">
        <v>0</v>
      </c>
      <c r="AN7613">
        <v>0</v>
      </c>
      <c r="AO7613">
        <v>0</v>
      </c>
      <c r="AP7613" s="2">
        <v>42746</v>
      </c>
      <c r="AQ7613" t="s">
        <v>72</v>
      </c>
      <c r="AR7613" t="s">
        <v>72</v>
      </c>
      <c r="AS7613">
        <v>163</v>
      </c>
      <c r="AT7613" s="4">
        <v>42401</v>
      </c>
      <c r="AU7613" t="s">
        <v>73</v>
      </c>
      <c r="AV7613">
        <v>163</v>
      </c>
      <c r="AW7613" s="4">
        <v>42401</v>
      </c>
      <c r="BD7613">
        <v>0</v>
      </c>
      <c r="BN7613" t="s">
        <v>74</v>
      </c>
    </row>
    <row r="7614" spans="1:66" hidden="1">
      <c r="A7614">
        <v>104379</v>
      </c>
      <c r="B7614" s="3" t="s">
        <v>656</v>
      </c>
      <c r="C7614" s="1">
        <v>43300101</v>
      </c>
      <c r="D7614" t="s">
        <v>67</v>
      </c>
      <c r="H7614" t="str">
        <f t="shared" si="757"/>
        <v>07668030583</v>
      </c>
      <c r="I7614" t="str">
        <f t="shared" si="758"/>
        <v>01836081008</v>
      </c>
      <c r="K7614" t="str">
        <f>""</f>
        <v/>
      </c>
      <c r="M7614" t="s">
        <v>68</v>
      </c>
      <c r="N7614" t="str">
        <f t="shared" si="756"/>
        <v>FOR</v>
      </c>
      <c r="O7614" t="s">
        <v>69</v>
      </c>
      <c r="P7614" s="3" t="s">
        <v>75</v>
      </c>
      <c r="Q7614">
        <v>2015</v>
      </c>
      <c r="R7614" s="2">
        <v>42209</v>
      </c>
      <c r="S7614" s="2">
        <v>42215</v>
      </c>
      <c r="T7614" s="2">
        <v>42214</v>
      </c>
      <c r="U7614" s="2">
        <v>42274</v>
      </c>
      <c r="V7614" t="s">
        <v>71</v>
      </c>
      <c r="W7614" t="str">
        <f>"              968/03"</f>
        <v xml:space="preserve">              968/03</v>
      </c>
      <c r="X7614">
        <v>144.56</v>
      </c>
      <c r="Y7614">
        <v>0</v>
      </c>
      <c r="Z7614"/>
      <c r="AB7614"/>
      <c r="AC7614">
        <v>139</v>
      </c>
      <c r="AD7614">
        <v>127</v>
      </c>
      <c r="AE7614" s="1">
        <v>17653</v>
      </c>
      <c r="AF7614">
        <v>0</v>
      </c>
      <c r="AJ7614">
        <v>0</v>
      </c>
      <c r="AK7614">
        <v>0</v>
      </c>
      <c r="AL7614">
        <v>0</v>
      </c>
      <c r="AM7614">
        <v>0</v>
      </c>
      <c r="AN7614">
        <v>0</v>
      </c>
      <c r="AO7614">
        <v>0</v>
      </c>
      <c r="AP7614" s="2">
        <v>42746</v>
      </c>
      <c r="AQ7614" t="s">
        <v>72</v>
      </c>
      <c r="AR7614" t="s">
        <v>72</v>
      </c>
      <c r="AS7614">
        <v>163</v>
      </c>
      <c r="AT7614" s="4">
        <v>42401</v>
      </c>
      <c r="AU7614" t="s">
        <v>73</v>
      </c>
      <c r="AV7614">
        <v>163</v>
      </c>
      <c r="AW7614" s="4">
        <v>42401</v>
      </c>
      <c r="BD7614">
        <v>0</v>
      </c>
      <c r="BN7614" t="s">
        <v>74</v>
      </c>
    </row>
    <row r="7615" spans="1:66" hidden="1">
      <c r="A7615">
        <v>104379</v>
      </c>
      <c r="B7615" s="3" t="s">
        <v>656</v>
      </c>
      <c r="C7615" s="1">
        <v>43300101</v>
      </c>
      <c r="D7615" t="s">
        <v>67</v>
      </c>
      <c r="H7615" t="str">
        <f t="shared" si="757"/>
        <v>07668030583</v>
      </c>
      <c r="I7615" t="str">
        <f t="shared" si="758"/>
        <v>01836081008</v>
      </c>
      <c r="K7615" t="str">
        <f>""</f>
        <v/>
      </c>
      <c r="M7615" t="s">
        <v>68</v>
      </c>
      <c r="N7615" t="str">
        <f t="shared" si="756"/>
        <v>FOR</v>
      </c>
      <c r="O7615" t="s">
        <v>69</v>
      </c>
      <c r="P7615" s="3" t="s">
        <v>75</v>
      </c>
      <c r="Q7615">
        <v>2015</v>
      </c>
      <c r="R7615" s="2">
        <v>42213</v>
      </c>
      <c r="S7615" s="2">
        <v>42216</v>
      </c>
      <c r="T7615" s="2">
        <v>42215</v>
      </c>
      <c r="U7615" s="2">
        <v>42275</v>
      </c>
      <c r="V7615" t="s">
        <v>71</v>
      </c>
      <c r="W7615" t="str">
        <f>"             1062/03"</f>
        <v xml:space="preserve">             1062/03</v>
      </c>
      <c r="X7615">
        <v>572</v>
      </c>
      <c r="Y7615">
        <v>0</v>
      </c>
      <c r="Z7615"/>
      <c r="AB7615"/>
      <c r="AC7615">
        <v>550</v>
      </c>
      <c r="AD7615">
        <v>126</v>
      </c>
      <c r="AE7615" s="1">
        <v>69300</v>
      </c>
      <c r="AF7615">
        <v>0</v>
      </c>
      <c r="AJ7615">
        <v>0</v>
      </c>
      <c r="AK7615">
        <v>0</v>
      </c>
      <c r="AL7615">
        <v>0</v>
      </c>
      <c r="AM7615">
        <v>0</v>
      </c>
      <c r="AN7615">
        <v>0</v>
      </c>
      <c r="AO7615">
        <v>0</v>
      </c>
      <c r="AP7615" s="2">
        <v>42746</v>
      </c>
      <c r="AQ7615" t="s">
        <v>72</v>
      </c>
      <c r="AR7615" t="s">
        <v>72</v>
      </c>
      <c r="AS7615">
        <v>163</v>
      </c>
      <c r="AT7615" s="4">
        <v>42401</v>
      </c>
      <c r="AU7615" t="s">
        <v>73</v>
      </c>
      <c r="AV7615">
        <v>163</v>
      </c>
      <c r="AW7615" s="4">
        <v>42401</v>
      </c>
      <c r="BD7615">
        <v>0</v>
      </c>
      <c r="BN7615" t="s">
        <v>74</v>
      </c>
    </row>
    <row r="7616" spans="1:66" hidden="1">
      <c r="A7616">
        <v>104379</v>
      </c>
      <c r="B7616" s="3" t="s">
        <v>656</v>
      </c>
      <c r="C7616" s="1">
        <v>43300101</v>
      </c>
      <c r="D7616" t="s">
        <v>67</v>
      </c>
      <c r="H7616" t="str">
        <f t="shared" si="757"/>
        <v>07668030583</v>
      </c>
      <c r="I7616" t="str">
        <f t="shared" si="758"/>
        <v>01836081008</v>
      </c>
      <c r="K7616" t="str">
        <f>""</f>
        <v/>
      </c>
      <c r="M7616" t="s">
        <v>68</v>
      </c>
      <c r="N7616" t="str">
        <f t="shared" si="756"/>
        <v>FOR</v>
      </c>
      <c r="O7616" t="s">
        <v>69</v>
      </c>
      <c r="P7616" s="3" t="s">
        <v>75</v>
      </c>
      <c r="Q7616">
        <v>2015</v>
      </c>
      <c r="R7616" s="2">
        <v>42213</v>
      </c>
      <c r="S7616" s="2">
        <v>42216</v>
      </c>
      <c r="T7616" s="2">
        <v>42215</v>
      </c>
      <c r="U7616" s="2">
        <v>42275</v>
      </c>
      <c r="V7616" t="s">
        <v>71</v>
      </c>
      <c r="W7616" t="str">
        <f>"             1063/03"</f>
        <v xml:space="preserve">             1063/03</v>
      </c>
      <c r="X7616">
        <v>144.56</v>
      </c>
      <c r="Y7616">
        <v>0</v>
      </c>
      <c r="Z7616"/>
      <c r="AB7616"/>
      <c r="AC7616">
        <v>139</v>
      </c>
      <c r="AD7616">
        <v>126</v>
      </c>
      <c r="AE7616" s="1">
        <v>17514</v>
      </c>
      <c r="AF7616">
        <v>0</v>
      </c>
      <c r="AJ7616">
        <v>0</v>
      </c>
      <c r="AK7616">
        <v>0</v>
      </c>
      <c r="AL7616">
        <v>0</v>
      </c>
      <c r="AM7616">
        <v>0</v>
      </c>
      <c r="AN7616">
        <v>0</v>
      </c>
      <c r="AO7616">
        <v>0</v>
      </c>
      <c r="AP7616" s="2">
        <v>42746</v>
      </c>
      <c r="AQ7616" t="s">
        <v>72</v>
      </c>
      <c r="AR7616" t="s">
        <v>72</v>
      </c>
      <c r="AS7616">
        <v>163</v>
      </c>
      <c r="AT7616" s="4">
        <v>42401</v>
      </c>
      <c r="AU7616" t="s">
        <v>73</v>
      </c>
      <c r="AV7616">
        <v>163</v>
      </c>
      <c r="AW7616" s="4">
        <v>42401</v>
      </c>
      <c r="BD7616">
        <v>0</v>
      </c>
      <c r="BN7616" t="s">
        <v>74</v>
      </c>
    </row>
    <row r="7617" spans="1:66" hidden="1">
      <c r="A7617">
        <v>104379</v>
      </c>
      <c r="B7617" s="3" t="s">
        <v>656</v>
      </c>
      <c r="C7617" s="1">
        <v>43300101</v>
      </c>
      <c r="D7617" t="s">
        <v>67</v>
      </c>
      <c r="H7617" t="str">
        <f t="shared" si="757"/>
        <v>07668030583</v>
      </c>
      <c r="I7617" t="str">
        <f t="shared" si="758"/>
        <v>01836081008</v>
      </c>
      <c r="K7617" t="str">
        <f>""</f>
        <v/>
      </c>
      <c r="M7617" t="s">
        <v>68</v>
      </c>
      <c r="N7617" t="str">
        <f t="shared" si="756"/>
        <v>FOR</v>
      </c>
      <c r="O7617" t="s">
        <v>69</v>
      </c>
      <c r="P7617" s="3" t="s">
        <v>75</v>
      </c>
      <c r="Q7617">
        <v>2015</v>
      </c>
      <c r="R7617" s="2">
        <v>42213</v>
      </c>
      <c r="S7617" s="2">
        <v>42216</v>
      </c>
      <c r="T7617" s="2">
        <v>42215</v>
      </c>
      <c r="U7617" s="2">
        <v>42275</v>
      </c>
      <c r="V7617" t="s">
        <v>71</v>
      </c>
      <c r="W7617" t="str">
        <f>"             1064/03"</f>
        <v xml:space="preserve">             1064/03</v>
      </c>
      <c r="X7617">
        <v>520</v>
      </c>
      <c r="Y7617">
        <v>0</v>
      </c>
      <c r="Z7617"/>
      <c r="AB7617"/>
      <c r="AC7617">
        <v>500</v>
      </c>
      <c r="AD7617">
        <v>126</v>
      </c>
      <c r="AE7617" s="1">
        <v>63000</v>
      </c>
      <c r="AF7617">
        <v>0</v>
      </c>
      <c r="AJ7617">
        <v>0</v>
      </c>
      <c r="AK7617">
        <v>0</v>
      </c>
      <c r="AL7617">
        <v>0</v>
      </c>
      <c r="AM7617">
        <v>0</v>
      </c>
      <c r="AN7617">
        <v>0</v>
      </c>
      <c r="AO7617">
        <v>0</v>
      </c>
      <c r="AP7617" s="2">
        <v>42746</v>
      </c>
      <c r="AQ7617" t="s">
        <v>72</v>
      </c>
      <c r="AR7617" t="s">
        <v>72</v>
      </c>
      <c r="AS7617">
        <v>163</v>
      </c>
      <c r="AT7617" s="4">
        <v>42401</v>
      </c>
      <c r="AU7617" t="s">
        <v>73</v>
      </c>
      <c r="AV7617">
        <v>163</v>
      </c>
      <c r="AW7617" s="4">
        <v>42401</v>
      </c>
      <c r="BD7617">
        <v>0</v>
      </c>
      <c r="BN7617" t="s">
        <v>74</v>
      </c>
    </row>
    <row r="7618" spans="1:66" hidden="1">
      <c r="A7618">
        <v>104379</v>
      </c>
      <c r="B7618" s="3" t="s">
        <v>656</v>
      </c>
      <c r="C7618" s="1">
        <v>43300101</v>
      </c>
      <c r="D7618" t="s">
        <v>67</v>
      </c>
      <c r="H7618" t="str">
        <f t="shared" si="757"/>
        <v>07668030583</v>
      </c>
      <c r="I7618" t="str">
        <f t="shared" si="758"/>
        <v>01836081008</v>
      </c>
      <c r="K7618" t="str">
        <f>""</f>
        <v/>
      </c>
      <c r="M7618" t="s">
        <v>68</v>
      </c>
      <c r="N7618" t="str">
        <f t="shared" si="756"/>
        <v>FOR</v>
      </c>
      <c r="O7618" t="s">
        <v>69</v>
      </c>
      <c r="P7618" s="3" t="s">
        <v>75</v>
      </c>
      <c r="Q7618">
        <v>2015</v>
      </c>
      <c r="R7618" s="2">
        <v>42213</v>
      </c>
      <c r="S7618" s="2">
        <v>42216</v>
      </c>
      <c r="T7618" s="2">
        <v>42215</v>
      </c>
      <c r="U7618" s="2">
        <v>42275</v>
      </c>
      <c r="V7618" t="s">
        <v>71</v>
      </c>
      <c r="W7618" t="str">
        <f>"             1065/03"</f>
        <v xml:space="preserve">             1065/03</v>
      </c>
      <c r="X7618">
        <v>144.56</v>
      </c>
      <c r="Y7618">
        <v>0</v>
      </c>
      <c r="Z7618"/>
      <c r="AB7618"/>
      <c r="AC7618">
        <v>139</v>
      </c>
      <c r="AD7618">
        <v>126</v>
      </c>
      <c r="AE7618" s="1">
        <v>17514</v>
      </c>
      <c r="AF7618">
        <v>0</v>
      </c>
      <c r="AJ7618">
        <v>0</v>
      </c>
      <c r="AK7618">
        <v>0</v>
      </c>
      <c r="AL7618">
        <v>0</v>
      </c>
      <c r="AM7618">
        <v>0</v>
      </c>
      <c r="AN7618">
        <v>0</v>
      </c>
      <c r="AO7618">
        <v>0</v>
      </c>
      <c r="AP7618" s="2">
        <v>42746</v>
      </c>
      <c r="AQ7618" t="s">
        <v>72</v>
      </c>
      <c r="AR7618" t="s">
        <v>72</v>
      </c>
      <c r="AS7618">
        <v>163</v>
      </c>
      <c r="AT7618" s="4">
        <v>42401</v>
      </c>
      <c r="AU7618" t="s">
        <v>73</v>
      </c>
      <c r="AV7618">
        <v>163</v>
      </c>
      <c r="AW7618" s="4">
        <v>42401</v>
      </c>
      <c r="BD7618">
        <v>0</v>
      </c>
      <c r="BN7618" t="s">
        <v>74</v>
      </c>
    </row>
    <row r="7619" spans="1:66" hidden="1">
      <c r="A7619">
        <v>104379</v>
      </c>
      <c r="B7619" s="3" t="s">
        <v>656</v>
      </c>
      <c r="C7619" s="1">
        <v>43300101</v>
      </c>
      <c r="D7619" t="s">
        <v>67</v>
      </c>
      <c r="H7619" t="str">
        <f t="shared" si="757"/>
        <v>07668030583</v>
      </c>
      <c r="I7619" t="str">
        <f t="shared" si="758"/>
        <v>01836081008</v>
      </c>
      <c r="K7619" t="str">
        <f>""</f>
        <v/>
      </c>
      <c r="M7619" t="s">
        <v>68</v>
      </c>
      <c r="N7619" t="str">
        <f t="shared" si="756"/>
        <v>FOR</v>
      </c>
      <c r="O7619" t="s">
        <v>69</v>
      </c>
      <c r="P7619" s="3" t="s">
        <v>75</v>
      </c>
      <c r="Q7619">
        <v>2015</v>
      </c>
      <c r="R7619" s="2">
        <v>42247</v>
      </c>
      <c r="S7619" s="2">
        <v>42261</v>
      </c>
      <c r="T7619" s="2">
        <v>42258</v>
      </c>
      <c r="U7619" s="2">
        <v>42318</v>
      </c>
      <c r="V7619" t="s">
        <v>71</v>
      </c>
      <c r="W7619" t="str">
        <f>"             1313/03"</f>
        <v xml:space="preserve">             1313/03</v>
      </c>
      <c r="X7619">
        <v>572</v>
      </c>
      <c r="Y7619">
        <v>0</v>
      </c>
      <c r="Z7619"/>
      <c r="AB7619"/>
      <c r="AC7619">
        <v>550</v>
      </c>
      <c r="AD7619">
        <v>97</v>
      </c>
      <c r="AE7619" s="1">
        <v>53350</v>
      </c>
      <c r="AF7619">
        <v>0</v>
      </c>
      <c r="AJ7619">
        <v>0</v>
      </c>
      <c r="AK7619">
        <v>0</v>
      </c>
      <c r="AL7619">
        <v>0</v>
      </c>
      <c r="AM7619">
        <v>0</v>
      </c>
      <c r="AN7619">
        <v>0</v>
      </c>
      <c r="AO7619">
        <v>0</v>
      </c>
      <c r="AP7619" s="2">
        <v>42746</v>
      </c>
      <c r="AQ7619" t="s">
        <v>72</v>
      </c>
      <c r="AR7619" t="s">
        <v>72</v>
      </c>
      <c r="AS7619">
        <v>395</v>
      </c>
      <c r="AT7619" s="4">
        <v>42415</v>
      </c>
      <c r="AU7619" t="s">
        <v>73</v>
      </c>
      <c r="AV7619">
        <v>395</v>
      </c>
      <c r="AW7619" s="4">
        <v>42415</v>
      </c>
      <c r="BD7619">
        <v>0</v>
      </c>
      <c r="BN7619" t="s">
        <v>74</v>
      </c>
    </row>
    <row r="7620" spans="1:66" hidden="1">
      <c r="A7620">
        <v>104379</v>
      </c>
      <c r="B7620" s="3" t="s">
        <v>656</v>
      </c>
      <c r="C7620" s="1">
        <v>43300101</v>
      </c>
      <c r="D7620" t="s">
        <v>67</v>
      </c>
      <c r="H7620" t="str">
        <f t="shared" si="757"/>
        <v>07668030583</v>
      </c>
      <c r="I7620" t="str">
        <f t="shared" si="758"/>
        <v>01836081008</v>
      </c>
      <c r="K7620" t="str">
        <f>""</f>
        <v/>
      </c>
      <c r="M7620" t="s">
        <v>68</v>
      </c>
      <c r="N7620" t="str">
        <f t="shared" si="756"/>
        <v>FOR</v>
      </c>
      <c r="O7620" t="s">
        <v>69</v>
      </c>
      <c r="P7620" s="3" t="s">
        <v>75</v>
      </c>
      <c r="Q7620">
        <v>2015</v>
      </c>
      <c r="R7620" s="2">
        <v>42247</v>
      </c>
      <c r="S7620" s="2">
        <v>42261</v>
      </c>
      <c r="T7620" s="2">
        <v>42258</v>
      </c>
      <c r="U7620" s="2">
        <v>42318</v>
      </c>
      <c r="V7620" t="s">
        <v>71</v>
      </c>
      <c r="W7620" t="str">
        <f>"             1314/03"</f>
        <v xml:space="preserve">             1314/03</v>
      </c>
      <c r="X7620">
        <v>144.56</v>
      </c>
      <c r="Y7620">
        <v>0</v>
      </c>
      <c r="Z7620"/>
      <c r="AB7620"/>
      <c r="AC7620">
        <v>139</v>
      </c>
      <c r="AD7620">
        <v>97</v>
      </c>
      <c r="AE7620" s="1">
        <v>13483</v>
      </c>
      <c r="AF7620">
        <v>0</v>
      </c>
      <c r="AJ7620">
        <v>0</v>
      </c>
      <c r="AK7620">
        <v>0</v>
      </c>
      <c r="AL7620">
        <v>0</v>
      </c>
      <c r="AM7620">
        <v>0</v>
      </c>
      <c r="AN7620">
        <v>0</v>
      </c>
      <c r="AO7620">
        <v>0</v>
      </c>
      <c r="AP7620" s="2">
        <v>42746</v>
      </c>
      <c r="AQ7620" t="s">
        <v>72</v>
      </c>
      <c r="AR7620" t="s">
        <v>72</v>
      </c>
      <c r="AS7620">
        <v>395</v>
      </c>
      <c r="AT7620" s="4">
        <v>42415</v>
      </c>
      <c r="AU7620" t="s">
        <v>73</v>
      </c>
      <c r="AV7620">
        <v>395</v>
      </c>
      <c r="AW7620" s="4">
        <v>42415</v>
      </c>
      <c r="BD7620">
        <v>0</v>
      </c>
      <c r="BN7620" t="s">
        <v>74</v>
      </c>
    </row>
    <row r="7621" spans="1:66" hidden="1">
      <c r="A7621">
        <v>104379</v>
      </c>
      <c r="B7621" s="3" t="s">
        <v>656</v>
      </c>
      <c r="C7621" s="1">
        <v>43300101</v>
      </c>
      <c r="D7621" t="s">
        <v>67</v>
      </c>
      <c r="H7621" t="str">
        <f t="shared" si="757"/>
        <v>07668030583</v>
      </c>
      <c r="I7621" t="str">
        <f t="shared" si="758"/>
        <v>01836081008</v>
      </c>
      <c r="K7621" t="str">
        <f>""</f>
        <v/>
      </c>
      <c r="M7621" t="s">
        <v>68</v>
      </c>
      <c r="N7621" t="str">
        <f t="shared" si="756"/>
        <v>FOR</v>
      </c>
      <c r="O7621" t="s">
        <v>69</v>
      </c>
      <c r="P7621" s="3" t="s">
        <v>75</v>
      </c>
      <c r="Q7621">
        <v>2015</v>
      </c>
      <c r="R7621" s="2">
        <v>42247</v>
      </c>
      <c r="S7621" s="2">
        <v>42261</v>
      </c>
      <c r="T7621" s="2">
        <v>42258</v>
      </c>
      <c r="U7621" s="2">
        <v>42318</v>
      </c>
      <c r="V7621" t="s">
        <v>71</v>
      </c>
      <c r="W7621" t="str">
        <f>"             1315/03"</f>
        <v xml:space="preserve">             1315/03</v>
      </c>
      <c r="X7621">
        <v>144.56</v>
      </c>
      <c r="Y7621">
        <v>0</v>
      </c>
      <c r="Z7621"/>
      <c r="AB7621"/>
      <c r="AC7621">
        <v>139</v>
      </c>
      <c r="AD7621">
        <v>97</v>
      </c>
      <c r="AE7621" s="1">
        <v>13483</v>
      </c>
      <c r="AF7621">
        <v>0</v>
      </c>
      <c r="AJ7621">
        <v>0</v>
      </c>
      <c r="AK7621">
        <v>0</v>
      </c>
      <c r="AL7621">
        <v>0</v>
      </c>
      <c r="AM7621">
        <v>0</v>
      </c>
      <c r="AN7621">
        <v>0</v>
      </c>
      <c r="AO7621">
        <v>0</v>
      </c>
      <c r="AP7621" s="2">
        <v>42746</v>
      </c>
      <c r="AQ7621" t="s">
        <v>72</v>
      </c>
      <c r="AR7621" t="s">
        <v>72</v>
      </c>
      <c r="AS7621">
        <v>395</v>
      </c>
      <c r="AT7621" s="4">
        <v>42415</v>
      </c>
      <c r="AU7621" t="s">
        <v>73</v>
      </c>
      <c r="AV7621">
        <v>395</v>
      </c>
      <c r="AW7621" s="4">
        <v>42415</v>
      </c>
      <c r="BD7621">
        <v>0</v>
      </c>
      <c r="BN7621" t="s">
        <v>74</v>
      </c>
    </row>
    <row r="7622" spans="1:66" hidden="1">
      <c r="A7622">
        <v>104379</v>
      </c>
      <c r="B7622" s="3" t="s">
        <v>656</v>
      </c>
      <c r="C7622" s="1">
        <v>43300101</v>
      </c>
      <c r="D7622" t="s">
        <v>67</v>
      </c>
      <c r="H7622" t="str">
        <f t="shared" si="757"/>
        <v>07668030583</v>
      </c>
      <c r="I7622" t="str">
        <f t="shared" si="758"/>
        <v>01836081008</v>
      </c>
      <c r="K7622" t="str">
        <f>""</f>
        <v/>
      </c>
      <c r="M7622" t="s">
        <v>68</v>
      </c>
      <c r="N7622" t="str">
        <f t="shared" si="756"/>
        <v>FOR</v>
      </c>
      <c r="O7622" t="s">
        <v>69</v>
      </c>
      <c r="P7622" s="3" t="s">
        <v>75</v>
      </c>
      <c r="Q7622">
        <v>2015</v>
      </c>
      <c r="R7622" s="2">
        <v>42247</v>
      </c>
      <c r="S7622" s="2">
        <v>42261</v>
      </c>
      <c r="T7622" s="2">
        <v>42258</v>
      </c>
      <c r="U7622" s="2">
        <v>42318</v>
      </c>
      <c r="V7622" t="s">
        <v>71</v>
      </c>
      <c r="W7622" t="str">
        <f>"             1316/03"</f>
        <v xml:space="preserve">             1316/03</v>
      </c>
      <c r="X7622">
        <v>572</v>
      </c>
      <c r="Y7622">
        <v>0</v>
      </c>
      <c r="Z7622"/>
      <c r="AB7622"/>
      <c r="AC7622">
        <v>550</v>
      </c>
      <c r="AD7622">
        <v>97</v>
      </c>
      <c r="AE7622" s="1">
        <v>53350</v>
      </c>
      <c r="AF7622">
        <v>0</v>
      </c>
      <c r="AJ7622">
        <v>0</v>
      </c>
      <c r="AK7622">
        <v>0</v>
      </c>
      <c r="AL7622">
        <v>0</v>
      </c>
      <c r="AM7622">
        <v>0</v>
      </c>
      <c r="AN7622">
        <v>0</v>
      </c>
      <c r="AO7622">
        <v>0</v>
      </c>
      <c r="AP7622" s="2">
        <v>42746</v>
      </c>
      <c r="AQ7622" t="s">
        <v>72</v>
      </c>
      <c r="AR7622" t="s">
        <v>72</v>
      </c>
      <c r="AS7622">
        <v>395</v>
      </c>
      <c r="AT7622" s="4">
        <v>42415</v>
      </c>
      <c r="AU7622" t="s">
        <v>73</v>
      </c>
      <c r="AV7622">
        <v>395</v>
      </c>
      <c r="AW7622" s="4">
        <v>42415</v>
      </c>
      <c r="BD7622">
        <v>0</v>
      </c>
      <c r="BN7622" t="s">
        <v>74</v>
      </c>
    </row>
    <row r="7623" spans="1:66" hidden="1">
      <c r="A7623">
        <v>104379</v>
      </c>
      <c r="B7623" s="3" t="s">
        <v>656</v>
      </c>
      <c r="C7623" s="1">
        <v>43300101</v>
      </c>
      <c r="D7623" t="s">
        <v>67</v>
      </c>
      <c r="H7623" t="str">
        <f t="shared" si="757"/>
        <v>07668030583</v>
      </c>
      <c r="I7623" t="str">
        <f t="shared" si="758"/>
        <v>01836081008</v>
      </c>
      <c r="K7623" t="str">
        <f>""</f>
        <v/>
      </c>
      <c r="M7623" t="s">
        <v>68</v>
      </c>
      <c r="N7623" t="str">
        <f t="shared" si="756"/>
        <v>FOR</v>
      </c>
      <c r="O7623" t="s">
        <v>69</v>
      </c>
      <c r="P7623" s="3" t="s">
        <v>75</v>
      </c>
      <c r="Q7623">
        <v>2015</v>
      </c>
      <c r="R7623" s="2">
        <v>42247</v>
      </c>
      <c r="S7623" s="2">
        <v>42261</v>
      </c>
      <c r="T7623" s="2">
        <v>42258</v>
      </c>
      <c r="U7623" s="2">
        <v>42318</v>
      </c>
      <c r="V7623" t="s">
        <v>71</v>
      </c>
      <c r="W7623" t="str">
        <f>"             1317/03"</f>
        <v xml:space="preserve">             1317/03</v>
      </c>
      <c r="X7623">
        <v>572</v>
      </c>
      <c r="Y7623">
        <v>0</v>
      </c>
      <c r="Z7623"/>
      <c r="AB7623"/>
      <c r="AC7623">
        <v>550</v>
      </c>
      <c r="AD7623">
        <v>97</v>
      </c>
      <c r="AE7623" s="1">
        <v>53350</v>
      </c>
      <c r="AF7623">
        <v>0</v>
      </c>
      <c r="AJ7623">
        <v>0</v>
      </c>
      <c r="AK7623">
        <v>0</v>
      </c>
      <c r="AL7623">
        <v>0</v>
      </c>
      <c r="AM7623">
        <v>0</v>
      </c>
      <c r="AN7623">
        <v>0</v>
      </c>
      <c r="AO7623">
        <v>0</v>
      </c>
      <c r="AP7623" s="2">
        <v>42746</v>
      </c>
      <c r="AQ7623" t="s">
        <v>72</v>
      </c>
      <c r="AR7623" t="s">
        <v>72</v>
      </c>
      <c r="AS7623">
        <v>395</v>
      </c>
      <c r="AT7623" s="4">
        <v>42415</v>
      </c>
      <c r="AU7623" t="s">
        <v>73</v>
      </c>
      <c r="AV7623">
        <v>395</v>
      </c>
      <c r="AW7623" s="4">
        <v>42415</v>
      </c>
      <c r="BD7623">
        <v>0</v>
      </c>
      <c r="BN7623" t="s">
        <v>74</v>
      </c>
    </row>
    <row r="7624" spans="1:66" hidden="1">
      <c r="A7624">
        <v>104379</v>
      </c>
      <c r="B7624" s="3" t="s">
        <v>656</v>
      </c>
      <c r="C7624" s="1">
        <v>43300101</v>
      </c>
      <c r="D7624" t="s">
        <v>67</v>
      </c>
      <c r="H7624" t="str">
        <f t="shared" si="757"/>
        <v>07668030583</v>
      </c>
      <c r="I7624" t="str">
        <f t="shared" si="758"/>
        <v>01836081008</v>
      </c>
      <c r="K7624" t="str">
        <f>""</f>
        <v/>
      </c>
      <c r="M7624" t="s">
        <v>68</v>
      </c>
      <c r="N7624" t="str">
        <f t="shared" si="756"/>
        <v>FOR</v>
      </c>
      <c r="O7624" t="s">
        <v>69</v>
      </c>
      <c r="P7624" s="3" t="s">
        <v>75</v>
      </c>
      <c r="Q7624">
        <v>2015</v>
      </c>
      <c r="R7624" s="2">
        <v>42247</v>
      </c>
      <c r="S7624" s="2">
        <v>42261</v>
      </c>
      <c r="T7624" s="2">
        <v>42258</v>
      </c>
      <c r="U7624" s="2">
        <v>42318</v>
      </c>
      <c r="V7624" t="s">
        <v>71</v>
      </c>
      <c r="W7624" t="str">
        <f>"             1318/03"</f>
        <v xml:space="preserve">             1318/03</v>
      </c>
      <c r="X7624">
        <v>520</v>
      </c>
      <c r="Y7624">
        <v>0</v>
      </c>
      <c r="Z7624"/>
      <c r="AB7624"/>
      <c r="AC7624">
        <v>500</v>
      </c>
      <c r="AD7624">
        <v>97</v>
      </c>
      <c r="AE7624" s="1">
        <v>48500</v>
      </c>
      <c r="AF7624">
        <v>0</v>
      </c>
      <c r="AJ7624">
        <v>0</v>
      </c>
      <c r="AK7624">
        <v>0</v>
      </c>
      <c r="AL7624">
        <v>0</v>
      </c>
      <c r="AM7624">
        <v>0</v>
      </c>
      <c r="AN7624">
        <v>0</v>
      </c>
      <c r="AO7624">
        <v>0</v>
      </c>
      <c r="AP7624" s="2">
        <v>42746</v>
      </c>
      <c r="AQ7624" t="s">
        <v>72</v>
      </c>
      <c r="AR7624" t="s">
        <v>72</v>
      </c>
      <c r="AS7624">
        <v>395</v>
      </c>
      <c r="AT7624" s="4">
        <v>42415</v>
      </c>
      <c r="AU7624" t="s">
        <v>73</v>
      </c>
      <c r="AV7624">
        <v>395</v>
      </c>
      <c r="AW7624" s="4">
        <v>42415</v>
      </c>
      <c r="BD7624">
        <v>0</v>
      </c>
      <c r="BN7624" t="s">
        <v>74</v>
      </c>
    </row>
    <row r="7625" spans="1:66" hidden="1">
      <c r="A7625">
        <v>104379</v>
      </c>
      <c r="B7625" s="3" t="s">
        <v>656</v>
      </c>
      <c r="C7625" s="1">
        <v>43300101</v>
      </c>
      <c r="D7625" t="s">
        <v>67</v>
      </c>
      <c r="H7625" t="str">
        <f t="shared" si="757"/>
        <v>07668030583</v>
      </c>
      <c r="I7625" t="str">
        <f t="shared" si="758"/>
        <v>01836081008</v>
      </c>
      <c r="K7625" t="str">
        <f>""</f>
        <v/>
      </c>
      <c r="M7625" t="s">
        <v>68</v>
      </c>
      <c r="N7625" t="str">
        <f t="shared" si="756"/>
        <v>FOR</v>
      </c>
      <c r="O7625" t="s">
        <v>69</v>
      </c>
      <c r="P7625" s="3" t="s">
        <v>75</v>
      </c>
      <c r="Q7625">
        <v>2015</v>
      </c>
      <c r="R7625" s="2">
        <v>42247</v>
      </c>
      <c r="S7625" s="2">
        <v>42261</v>
      </c>
      <c r="T7625" s="2">
        <v>42258</v>
      </c>
      <c r="U7625" s="2">
        <v>42318</v>
      </c>
      <c r="V7625" t="s">
        <v>71</v>
      </c>
      <c r="W7625" t="str">
        <f>"             1319/03"</f>
        <v xml:space="preserve">             1319/03</v>
      </c>
      <c r="X7625">
        <v>520</v>
      </c>
      <c r="Y7625">
        <v>0</v>
      </c>
      <c r="Z7625"/>
      <c r="AB7625"/>
      <c r="AC7625">
        <v>500</v>
      </c>
      <c r="AD7625">
        <v>97</v>
      </c>
      <c r="AE7625" s="1">
        <v>48500</v>
      </c>
      <c r="AF7625">
        <v>0</v>
      </c>
      <c r="AJ7625">
        <v>0</v>
      </c>
      <c r="AK7625">
        <v>0</v>
      </c>
      <c r="AL7625">
        <v>0</v>
      </c>
      <c r="AM7625">
        <v>0</v>
      </c>
      <c r="AN7625">
        <v>0</v>
      </c>
      <c r="AO7625">
        <v>0</v>
      </c>
      <c r="AP7625" s="2">
        <v>42746</v>
      </c>
      <c r="AQ7625" t="s">
        <v>72</v>
      </c>
      <c r="AR7625" t="s">
        <v>72</v>
      </c>
      <c r="AS7625">
        <v>395</v>
      </c>
      <c r="AT7625" s="4">
        <v>42415</v>
      </c>
      <c r="AU7625" t="s">
        <v>73</v>
      </c>
      <c r="AV7625">
        <v>395</v>
      </c>
      <c r="AW7625" s="4">
        <v>42415</v>
      </c>
      <c r="BD7625">
        <v>0</v>
      </c>
      <c r="BN7625" t="s">
        <v>74</v>
      </c>
    </row>
    <row r="7626" spans="1:66" hidden="1">
      <c r="A7626">
        <v>104379</v>
      </c>
      <c r="B7626" s="3" t="s">
        <v>656</v>
      </c>
      <c r="C7626" s="1">
        <v>43300101</v>
      </c>
      <c r="D7626" t="s">
        <v>67</v>
      </c>
      <c r="H7626" t="str">
        <f t="shared" si="757"/>
        <v>07668030583</v>
      </c>
      <c r="I7626" t="str">
        <f t="shared" si="758"/>
        <v>01836081008</v>
      </c>
      <c r="K7626" t="str">
        <f>""</f>
        <v/>
      </c>
      <c r="M7626" t="s">
        <v>68</v>
      </c>
      <c r="N7626" t="str">
        <f t="shared" si="756"/>
        <v>FOR</v>
      </c>
      <c r="O7626" t="s">
        <v>69</v>
      </c>
      <c r="P7626" s="3" t="s">
        <v>75</v>
      </c>
      <c r="Q7626">
        <v>2015</v>
      </c>
      <c r="R7626" s="2">
        <v>42277</v>
      </c>
      <c r="S7626" s="2">
        <v>42291</v>
      </c>
      <c r="T7626" s="2">
        <v>42291</v>
      </c>
      <c r="U7626" s="2">
        <v>42351</v>
      </c>
      <c r="V7626" t="s">
        <v>71</v>
      </c>
      <c r="W7626" t="str">
        <f>"             1485/03"</f>
        <v xml:space="preserve">             1485/03</v>
      </c>
      <c r="X7626">
        <v>144.56</v>
      </c>
      <c r="Y7626">
        <v>0</v>
      </c>
      <c r="Z7626"/>
      <c r="AB7626"/>
      <c r="AC7626">
        <v>139</v>
      </c>
      <c r="AD7626">
        <v>78</v>
      </c>
      <c r="AE7626" s="1">
        <v>10842</v>
      </c>
      <c r="AF7626">
        <v>0</v>
      </c>
      <c r="AJ7626">
        <v>0</v>
      </c>
      <c r="AK7626">
        <v>0</v>
      </c>
      <c r="AL7626">
        <v>0</v>
      </c>
      <c r="AM7626">
        <v>0</v>
      </c>
      <c r="AN7626">
        <v>0</v>
      </c>
      <c r="AO7626">
        <v>0</v>
      </c>
      <c r="AP7626" s="2">
        <v>42746</v>
      </c>
      <c r="AQ7626" t="s">
        <v>72</v>
      </c>
      <c r="AR7626" t="s">
        <v>72</v>
      </c>
      <c r="AS7626">
        <v>593</v>
      </c>
      <c r="AT7626" s="4">
        <v>42429</v>
      </c>
      <c r="AU7626" t="s">
        <v>73</v>
      </c>
      <c r="AV7626">
        <v>593</v>
      </c>
      <c r="AW7626" s="4">
        <v>42429</v>
      </c>
      <c r="BD7626">
        <v>0</v>
      </c>
      <c r="BN7626" t="s">
        <v>74</v>
      </c>
    </row>
    <row r="7627" spans="1:66" hidden="1">
      <c r="A7627">
        <v>104379</v>
      </c>
      <c r="B7627" s="3" t="s">
        <v>656</v>
      </c>
      <c r="C7627" s="1">
        <v>43300101</v>
      </c>
      <c r="D7627" t="s">
        <v>67</v>
      </c>
      <c r="H7627" t="str">
        <f t="shared" si="757"/>
        <v>07668030583</v>
      </c>
      <c r="I7627" t="str">
        <f t="shared" si="758"/>
        <v>01836081008</v>
      </c>
      <c r="K7627" t="str">
        <f>""</f>
        <v/>
      </c>
      <c r="M7627" t="s">
        <v>68</v>
      </c>
      <c r="N7627" t="str">
        <f t="shared" si="756"/>
        <v>FOR</v>
      </c>
      <c r="O7627" t="s">
        <v>69</v>
      </c>
      <c r="P7627" s="3" t="s">
        <v>75</v>
      </c>
      <c r="Q7627">
        <v>2015</v>
      </c>
      <c r="R7627" s="2">
        <v>42277</v>
      </c>
      <c r="S7627" s="2">
        <v>42292</v>
      </c>
      <c r="T7627" s="2">
        <v>42292</v>
      </c>
      <c r="U7627" s="2">
        <v>42352</v>
      </c>
      <c r="V7627" t="s">
        <v>71</v>
      </c>
      <c r="W7627" t="str">
        <f>"             1486/03"</f>
        <v xml:space="preserve">             1486/03</v>
      </c>
      <c r="X7627">
        <v>572</v>
      </c>
      <c r="Y7627">
        <v>0</v>
      </c>
      <c r="Z7627"/>
      <c r="AB7627"/>
      <c r="AC7627">
        <v>550</v>
      </c>
      <c r="AD7627">
        <v>77</v>
      </c>
      <c r="AE7627" s="1">
        <v>42350</v>
      </c>
      <c r="AF7627">
        <v>0</v>
      </c>
      <c r="AJ7627">
        <v>0</v>
      </c>
      <c r="AK7627">
        <v>0</v>
      </c>
      <c r="AL7627">
        <v>0</v>
      </c>
      <c r="AM7627">
        <v>0</v>
      </c>
      <c r="AN7627">
        <v>0</v>
      </c>
      <c r="AO7627">
        <v>0</v>
      </c>
      <c r="AP7627" s="2">
        <v>42746</v>
      </c>
      <c r="AQ7627" t="s">
        <v>72</v>
      </c>
      <c r="AR7627" t="s">
        <v>72</v>
      </c>
      <c r="AS7627">
        <v>593</v>
      </c>
      <c r="AT7627" s="4">
        <v>42429</v>
      </c>
      <c r="AU7627" t="s">
        <v>73</v>
      </c>
      <c r="AV7627">
        <v>593</v>
      </c>
      <c r="AW7627" s="4">
        <v>42429</v>
      </c>
      <c r="BD7627">
        <v>0</v>
      </c>
      <c r="BN7627" t="s">
        <v>74</v>
      </c>
    </row>
    <row r="7628" spans="1:66" hidden="1">
      <c r="A7628">
        <v>104379</v>
      </c>
      <c r="B7628" s="3" t="s">
        <v>656</v>
      </c>
      <c r="C7628" s="1">
        <v>43300101</v>
      </c>
      <c r="D7628" t="s">
        <v>67</v>
      </c>
      <c r="H7628" t="str">
        <f t="shared" si="757"/>
        <v>07668030583</v>
      </c>
      <c r="I7628" t="str">
        <f t="shared" si="758"/>
        <v>01836081008</v>
      </c>
      <c r="K7628" t="str">
        <f>""</f>
        <v/>
      </c>
      <c r="M7628" t="s">
        <v>68</v>
      </c>
      <c r="N7628" t="str">
        <f t="shared" si="756"/>
        <v>FOR</v>
      </c>
      <c r="O7628" t="s">
        <v>69</v>
      </c>
      <c r="P7628" s="3" t="s">
        <v>75</v>
      </c>
      <c r="Q7628">
        <v>2015</v>
      </c>
      <c r="R7628" s="2">
        <v>42277</v>
      </c>
      <c r="S7628" s="2">
        <v>42292</v>
      </c>
      <c r="T7628" s="2">
        <v>42292</v>
      </c>
      <c r="U7628" s="2">
        <v>42352</v>
      </c>
      <c r="V7628" t="s">
        <v>71</v>
      </c>
      <c r="W7628" t="str">
        <f>"             1487/03"</f>
        <v xml:space="preserve">             1487/03</v>
      </c>
      <c r="X7628">
        <v>520</v>
      </c>
      <c r="Y7628">
        <v>0</v>
      </c>
      <c r="Z7628"/>
      <c r="AB7628"/>
      <c r="AC7628">
        <v>500</v>
      </c>
      <c r="AD7628">
        <v>77</v>
      </c>
      <c r="AE7628" s="1">
        <v>38500</v>
      </c>
      <c r="AF7628">
        <v>0</v>
      </c>
      <c r="AJ7628">
        <v>0</v>
      </c>
      <c r="AK7628">
        <v>0</v>
      </c>
      <c r="AL7628">
        <v>0</v>
      </c>
      <c r="AM7628">
        <v>0</v>
      </c>
      <c r="AN7628">
        <v>0</v>
      </c>
      <c r="AO7628">
        <v>0</v>
      </c>
      <c r="AP7628" s="2">
        <v>42746</v>
      </c>
      <c r="AQ7628" t="s">
        <v>72</v>
      </c>
      <c r="AR7628" t="s">
        <v>72</v>
      </c>
      <c r="AS7628">
        <v>593</v>
      </c>
      <c r="AT7628" s="4">
        <v>42429</v>
      </c>
      <c r="AU7628" t="s">
        <v>73</v>
      </c>
      <c r="AV7628">
        <v>593</v>
      </c>
      <c r="AW7628" s="4">
        <v>42429</v>
      </c>
      <c r="BD7628">
        <v>0</v>
      </c>
      <c r="BN7628" t="s">
        <v>74</v>
      </c>
    </row>
    <row r="7629" spans="1:66" hidden="1">
      <c r="A7629">
        <v>104379</v>
      </c>
      <c r="B7629" s="3" t="s">
        <v>656</v>
      </c>
      <c r="C7629" s="1">
        <v>43300101</v>
      </c>
      <c r="D7629" t="s">
        <v>67</v>
      </c>
      <c r="H7629" t="str">
        <f t="shared" si="757"/>
        <v>07668030583</v>
      </c>
      <c r="I7629" t="str">
        <f t="shared" si="758"/>
        <v>01836081008</v>
      </c>
      <c r="K7629" t="str">
        <f>""</f>
        <v/>
      </c>
      <c r="M7629" t="s">
        <v>68</v>
      </c>
      <c r="N7629" t="str">
        <f t="shared" si="756"/>
        <v>FOR</v>
      </c>
      <c r="O7629" t="s">
        <v>69</v>
      </c>
      <c r="P7629" s="3" t="s">
        <v>75</v>
      </c>
      <c r="Q7629">
        <v>2015</v>
      </c>
      <c r="R7629" s="2">
        <v>42277</v>
      </c>
      <c r="S7629" s="2">
        <v>42292</v>
      </c>
      <c r="T7629" s="2">
        <v>42292</v>
      </c>
      <c r="U7629" s="2">
        <v>42352</v>
      </c>
      <c r="V7629" t="s">
        <v>71</v>
      </c>
      <c r="W7629" t="str">
        <f>"             1488/03"</f>
        <v xml:space="preserve">             1488/03</v>
      </c>
      <c r="X7629">
        <v>144.56</v>
      </c>
      <c r="Y7629">
        <v>0</v>
      </c>
      <c r="Z7629"/>
      <c r="AB7629"/>
      <c r="AC7629">
        <v>139</v>
      </c>
      <c r="AD7629">
        <v>77</v>
      </c>
      <c r="AE7629" s="1">
        <v>10703</v>
      </c>
      <c r="AF7629">
        <v>0</v>
      </c>
      <c r="AJ7629">
        <v>0</v>
      </c>
      <c r="AK7629">
        <v>0</v>
      </c>
      <c r="AL7629">
        <v>0</v>
      </c>
      <c r="AM7629">
        <v>0</v>
      </c>
      <c r="AN7629">
        <v>0</v>
      </c>
      <c r="AO7629">
        <v>0</v>
      </c>
      <c r="AP7629" s="2">
        <v>42746</v>
      </c>
      <c r="AQ7629" t="s">
        <v>72</v>
      </c>
      <c r="AR7629" t="s">
        <v>72</v>
      </c>
      <c r="AS7629">
        <v>593</v>
      </c>
      <c r="AT7629" s="4">
        <v>42429</v>
      </c>
      <c r="AU7629" t="s">
        <v>73</v>
      </c>
      <c r="AV7629">
        <v>593</v>
      </c>
      <c r="AW7629" s="4">
        <v>42429</v>
      </c>
      <c r="BD7629">
        <v>0</v>
      </c>
      <c r="BN7629" t="s">
        <v>74</v>
      </c>
    </row>
    <row r="7630" spans="1:66" hidden="1">
      <c r="A7630">
        <v>104379</v>
      </c>
      <c r="B7630" s="3" t="s">
        <v>656</v>
      </c>
      <c r="C7630" s="1">
        <v>43300101</v>
      </c>
      <c r="D7630" t="s">
        <v>67</v>
      </c>
      <c r="H7630" t="str">
        <f t="shared" si="757"/>
        <v>07668030583</v>
      </c>
      <c r="I7630" t="str">
        <f t="shared" si="758"/>
        <v>01836081008</v>
      </c>
      <c r="K7630" t="str">
        <f>""</f>
        <v/>
      </c>
      <c r="M7630" t="s">
        <v>68</v>
      </c>
      <c r="N7630" t="str">
        <f t="shared" si="756"/>
        <v>FOR</v>
      </c>
      <c r="O7630" t="s">
        <v>69</v>
      </c>
      <c r="P7630" s="3" t="s">
        <v>75</v>
      </c>
      <c r="Q7630">
        <v>2015</v>
      </c>
      <c r="R7630" s="2">
        <v>42277</v>
      </c>
      <c r="S7630" s="2">
        <v>42292</v>
      </c>
      <c r="T7630" s="2">
        <v>42292</v>
      </c>
      <c r="U7630" s="2">
        <v>42352</v>
      </c>
      <c r="V7630" t="s">
        <v>71</v>
      </c>
      <c r="W7630" t="str">
        <f>"             1489/03"</f>
        <v xml:space="preserve">             1489/03</v>
      </c>
      <c r="X7630">
        <v>572</v>
      </c>
      <c r="Y7630">
        <v>0</v>
      </c>
      <c r="Z7630"/>
      <c r="AB7630"/>
      <c r="AC7630">
        <v>550</v>
      </c>
      <c r="AD7630">
        <v>77</v>
      </c>
      <c r="AE7630" s="1">
        <v>42350</v>
      </c>
      <c r="AF7630">
        <v>0</v>
      </c>
      <c r="AJ7630">
        <v>0</v>
      </c>
      <c r="AK7630">
        <v>0</v>
      </c>
      <c r="AL7630">
        <v>0</v>
      </c>
      <c r="AM7630">
        <v>0</v>
      </c>
      <c r="AN7630">
        <v>0</v>
      </c>
      <c r="AO7630">
        <v>0</v>
      </c>
      <c r="AP7630" s="2">
        <v>42746</v>
      </c>
      <c r="AQ7630" t="s">
        <v>72</v>
      </c>
      <c r="AR7630" t="s">
        <v>72</v>
      </c>
      <c r="AS7630">
        <v>593</v>
      </c>
      <c r="AT7630" s="4">
        <v>42429</v>
      </c>
      <c r="AU7630" t="s">
        <v>73</v>
      </c>
      <c r="AV7630">
        <v>593</v>
      </c>
      <c r="AW7630" s="4">
        <v>42429</v>
      </c>
      <c r="BD7630">
        <v>0</v>
      </c>
      <c r="BN7630" t="s">
        <v>74</v>
      </c>
    </row>
    <row r="7631" spans="1:66" hidden="1">
      <c r="A7631">
        <v>104379</v>
      </c>
      <c r="B7631" s="3" t="s">
        <v>656</v>
      </c>
      <c r="C7631" s="1">
        <v>43300101</v>
      </c>
      <c r="D7631" t="s">
        <v>67</v>
      </c>
      <c r="H7631" t="str">
        <f t="shared" si="757"/>
        <v>07668030583</v>
      </c>
      <c r="I7631" t="str">
        <f t="shared" si="758"/>
        <v>01836081008</v>
      </c>
      <c r="K7631" t="str">
        <f>""</f>
        <v/>
      </c>
      <c r="M7631" t="s">
        <v>68</v>
      </c>
      <c r="N7631" t="str">
        <f t="shared" si="756"/>
        <v>FOR</v>
      </c>
      <c r="O7631" t="s">
        <v>69</v>
      </c>
      <c r="P7631" s="3" t="s">
        <v>75</v>
      </c>
      <c r="Q7631">
        <v>2015</v>
      </c>
      <c r="R7631" s="2">
        <v>42307</v>
      </c>
      <c r="S7631" s="2">
        <v>42324</v>
      </c>
      <c r="T7631" s="2">
        <v>42321</v>
      </c>
      <c r="U7631" s="2">
        <v>42381</v>
      </c>
      <c r="V7631" t="s">
        <v>71</v>
      </c>
      <c r="W7631" t="str">
        <f>"             1794/03"</f>
        <v xml:space="preserve">             1794/03</v>
      </c>
      <c r="X7631">
        <v>572</v>
      </c>
      <c r="Y7631">
        <v>0</v>
      </c>
      <c r="Z7631"/>
      <c r="AB7631"/>
      <c r="AC7631">
        <v>550</v>
      </c>
      <c r="AD7631">
        <v>71</v>
      </c>
      <c r="AE7631" s="1">
        <v>39050</v>
      </c>
      <c r="AF7631">
        <v>0</v>
      </c>
      <c r="AJ7631">
        <v>0</v>
      </c>
      <c r="AK7631">
        <v>0</v>
      </c>
      <c r="AL7631">
        <v>0</v>
      </c>
      <c r="AM7631">
        <v>0</v>
      </c>
      <c r="AN7631">
        <v>0</v>
      </c>
      <c r="AO7631">
        <v>0</v>
      </c>
      <c r="AP7631" s="2">
        <v>42746</v>
      </c>
      <c r="AQ7631" t="s">
        <v>72</v>
      </c>
      <c r="AR7631" t="s">
        <v>72</v>
      </c>
      <c r="AS7631">
        <v>777</v>
      </c>
      <c r="AT7631" s="4">
        <v>42452</v>
      </c>
      <c r="AU7631" t="s">
        <v>73</v>
      </c>
      <c r="AV7631">
        <v>777</v>
      </c>
      <c r="AW7631" s="4">
        <v>42452</v>
      </c>
      <c r="BD7631">
        <v>0</v>
      </c>
      <c r="BN7631" t="s">
        <v>74</v>
      </c>
    </row>
    <row r="7632" spans="1:66" hidden="1">
      <c r="A7632">
        <v>104379</v>
      </c>
      <c r="B7632" s="3" t="s">
        <v>656</v>
      </c>
      <c r="C7632" s="1">
        <v>43300101</v>
      </c>
      <c r="D7632" t="s">
        <v>67</v>
      </c>
      <c r="H7632" t="str">
        <f t="shared" si="757"/>
        <v>07668030583</v>
      </c>
      <c r="I7632" t="str">
        <f t="shared" si="758"/>
        <v>01836081008</v>
      </c>
      <c r="K7632" t="str">
        <f>""</f>
        <v/>
      </c>
      <c r="M7632" t="s">
        <v>68</v>
      </c>
      <c r="N7632" t="str">
        <f t="shared" si="756"/>
        <v>FOR</v>
      </c>
      <c r="O7632" t="s">
        <v>69</v>
      </c>
      <c r="P7632" s="3" t="s">
        <v>75</v>
      </c>
      <c r="Q7632">
        <v>2015</v>
      </c>
      <c r="R7632" s="2">
        <v>42307</v>
      </c>
      <c r="S7632" s="2">
        <v>42324</v>
      </c>
      <c r="T7632" s="2">
        <v>42321</v>
      </c>
      <c r="U7632" s="2">
        <v>42381</v>
      </c>
      <c r="V7632" t="s">
        <v>71</v>
      </c>
      <c r="W7632" t="str">
        <f>"             1795/03"</f>
        <v xml:space="preserve">             1795/03</v>
      </c>
      <c r="X7632">
        <v>572</v>
      </c>
      <c r="Y7632">
        <v>0</v>
      </c>
      <c r="Z7632"/>
      <c r="AB7632"/>
      <c r="AC7632">
        <v>550</v>
      </c>
      <c r="AD7632">
        <v>71</v>
      </c>
      <c r="AE7632" s="1">
        <v>39050</v>
      </c>
      <c r="AF7632">
        <v>0</v>
      </c>
      <c r="AJ7632">
        <v>0</v>
      </c>
      <c r="AK7632">
        <v>0</v>
      </c>
      <c r="AL7632">
        <v>0</v>
      </c>
      <c r="AM7632">
        <v>0</v>
      </c>
      <c r="AN7632">
        <v>0</v>
      </c>
      <c r="AO7632">
        <v>0</v>
      </c>
      <c r="AP7632" s="2">
        <v>42746</v>
      </c>
      <c r="AQ7632" t="s">
        <v>72</v>
      </c>
      <c r="AR7632" t="s">
        <v>72</v>
      </c>
      <c r="AS7632">
        <v>777</v>
      </c>
      <c r="AT7632" s="4">
        <v>42452</v>
      </c>
      <c r="AU7632" t="s">
        <v>73</v>
      </c>
      <c r="AV7632">
        <v>777</v>
      </c>
      <c r="AW7632" s="4">
        <v>42452</v>
      </c>
      <c r="BD7632">
        <v>0</v>
      </c>
      <c r="BN7632" t="s">
        <v>74</v>
      </c>
    </row>
    <row r="7633" spans="1:66" hidden="1">
      <c r="A7633">
        <v>104379</v>
      </c>
      <c r="B7633" s="3" t="s">
        <v>656</v>
      </c>
      <c r="C7633" s="1">
        <v>43300101</v>
      </c>
      <c r="D7633" t="s">
        <v>67</v>
      </c>
      <c r="H7633" t="str">
        <f t="shared" si="757"/>
        <v>07668030583</v>
      </c>
      <c r="I7633" t="str">
        <f t="shared" si="758"/>
        <v>01836081008</v>
      </c>
      <c r="K7633" t="str">
        <f>""</f>
        <v/>
      </c>
      <c r="M7633" t="s">
        <v>68</v>
      </c>
      <c r="N7633" t="str">
        <f t="shared" si="756"/>
        <v>FOR</v>
      </c>
      <c r="O7633" t="s">
        <v>69</v>
      </c>
      <c r="P7633" s="3" t="s">
        <v>75</v>
      </c>
      <c r="Q7633">
        <v>2015</v>
      </c>
      <c r="R7633" s="2">
        <v>42307</v>
      </c>
      <c r="S7633" s="2">
        <v>42324</v>
      </c>
      <c r="T7633" s="2">
        <v>42321</v>
      </c>
      <c r="U7633" s="2">
        <v>42381</v>
      </c>
      <c r="V7633" t="s">
        <v>71</v>
      </c>
      <c r="W7633" t="str">
        <f>"             1796/03"</f>
        <v xml:space="preserve">             1796/03</v>
      </c>
      <c r="X7633">
        <v>572</v>
      </c>
      <c r="Y7633">
        <v>0</v>
      </c>
      <c r="Z7633"/>
      <c r="AB7633"/>
      <c r="AC7633">
        <v>550</v>
      </c>
      <c r="AD7633">
        <v>71</v>
      </c>
      <c r="AE7633" s="1">
        <v>39050</v>
      </c>
      <c r="AF7633">
        <v>0</v>
      </c>
      <c r="AJ7633">
        <v>0</v>
      </c>
      <c r="AK7633">
        <v>0</v>
      </c>
      <c r="AL7633">
        <v>0</v>
      </c>
      <c r="AM7633">
        <v>0</v>
      </c>
      <c r="AN7633">
        <v>0</v>
      </c>
      <c r="AO7633">
        <v>0</v>
      </c>
      <c r="AP7633" s="2">
        <v>42746</v>
      </c>
      <c r="AQ7633" t="s">
        <v>72</v>
      </c>
      <c r="AR7633" t="s">
        <v>72</v>
      </c>
      <c r="AS7633">
        <v>777</v>
      </c>
      <c r="AT7633" s="4">
        <v>42452</v>
      </c>
      <c r="AU7633" t="s">
        <v>73</v>
      </c>
      <c r="AV7633">
        <v>777</v>
      </c>
      <c r="AW7633" s="4">
        <v>42452</v>
      </c>
      <c r="BD7633">
        <v>0</v>
      </c>
      <c r="BN7633" t="s">
        <v>74</v>
      </c>
    </row>
    <row r="7634" spans="1:66" hidden="1">
      <c r="A7634">
        <v>104379</v>
      </c>
      <c r="B7634" s="3" t="s">
        <v>656</v>
      </c>
      <c r="C7634" s="1">
        <v>43300101</v>
      </c>
      <c r="D7634" t="s">
        <v>67</v>
      </c>
      <c r="H7634" t="str">
        <f t="shared" si="757"/>
        <v>07668030583</v>
      </c>
      <c r="I7634" t="str">
        <f t="shared" si="758"/>
        <v>01836081008</v>
      </c>
      <c r="K7634" t="str">
        <f>""</f>
        <v/>
      </c>
      <c r="M7634" t="s">
        <v>68</v>
      </c>
      <c r="N7634" t="str">
        <f t="shared" si="756"/>
        <v>FOR</v>
      </c>
      <c r="O7634" t="s">
        <v>69</v>
      </c>
      <c r="P7634" s="3" t="s">
        <v>75</v>
      </c>
      <c r="Q7634">
        <v>2015</v>
      </c>
      <c r="R7634" s="2">
        <v>42307</v>
      </c>
      <c r="S7634" s="2">
        <v>42324</v>
      </c>
      <c r="T7634" s="2">
        <v>42321</v>
      </c>
      <c r="U7634" s="2">
        <v>42381</v>
      </c>
      <c r="V7634" t="s">
        <v>71</v>
      </c>
      <c r="W7634" t="str">
        <f>"             1797/03"</f>
        <v xml:space="preserve">             1797/03</v>
      </c>
      <c r="X7634">
        <v>572</v>
      </c>
      <c r="Y7634">
        <v>0</v>
      </c>
      <c r="Z7634"/>
      <c r="AB7634"/>
      <c r="AC7634">
        <v>550</v>
      </c>
      <c r="AD7634">
        <v>71</v>
      </c>
      <c r="AE7634" s="1">
        <v>39050</v>
      </c>
      <c r="AF7634">
        <v>0</v>
      </c>
      <c r="AJ7634">
        <v>0</v>
      </c>
      <c r="AK7634">
        <v>0</v>
      </c>
      <c r="AL7634">
        <v>0</v>
      </c>
      <c r="AM7634">
        <v>0</v>
      </c>
      <c r="AN7634">
        <v>0</v>
      </c>
      <c r="AO7634">
        <v>0</v>
      </c>
      <c r="AP7634" s="2">
        <v>42746</v>
      </c>
      <c r="AQ7634" t="s">
        <v>72</v>
      </c>
      <c r="AR7634" t="s">
        <v>72</v>
      </c>
      <c r="AS7634">
        <v>777</v>
      </c>
      <c r="AT7634" s="4">
        <v>42452</v>
      </c>
      <c r="AU7634" t="s">
        <v>73</v>
      </c>
      <c r="AV7634">
        <v>777</v>
      </c>
      <c r="AW7634" s="4">
        <v>42452</v>
      </c>
      <c r="BD7634">
        <v>0</v>
      </c>
      <c r="BN7634" t="s">
        <v>74</v>
      </c>
    </row>
    <row r="7635" spans="1:66" hidden="1">
      <c r="A7635">
        <v>104379</v>
      </c>
      <c r="B7635" s="3" t="s">
        <v>656</v>
      </c>
      <c r="C7635" s="1">
        <v>43300101</v>
      </c>
      <c r="D7635" t="s">
        <v>67</v>
      </c>
      <c r="H7635" t="str">
        <f t="shared" si="757"/>
        <v>07668030583</v>
      </c>
      <c r="I7635" t="str">
        <f t="shared" si="758"/>
        <v>01836081008</v>
      </c>
      <c r="K7635" t="str">
        <f>""</f>
        <v/>
      </c>
      <c r="M7635" t="s">
        <v>68</v>
      </c>
      <c r="N7635" t="str">
        <f t="shared" si="756"/>
        <v>FOR</v>
      </c>
      <c r="O7635" t="s">
        <v>69</v>
      </c>
      <c r="P7635" s="3" t="s">
        <v>75</v>
      </c>
      <c r="Q7635">
        <v>2015</v>
      </c>
      <c r="R7635" s="2">
        <v>42307</v>
      </c>
      <c r="S7635" s="2">
        <v>42324</v>
      </c>
      <c r="T7635" s="2">
        <v>42321</v>
      </c>
      <c r="U7635" s="2">
        <v>42381</v>
      </c>
      <c r="V7635" t="s">
        <v>71</v>
      </c>
      <c r="W7635" t="str">
        <f>"             1798/03"</f>
        <v xml:space="preserve">             1798/03</v>
      </c>
      <c r="X7635">
        <v>144.56</v>
      </c>
      <c r="Y7635">
        <v>0</v>
      </c>
      <c r="Z7635"/>
      <c r="AB7635"/>
      <c r="AC7635">
        <v>139</v>
      </c>
      <c r="AD7635">
        <v>71</v>
      </c>
      <c r="AE7635" s="1">
        <v>9869</v>
      </c>
      <c r="AF7635">
        <v>0</v>
      </c>
      <c r="AJ7635">
        <v>0</v>
      </c>
      <c r="AK7635">
        <v>0</v>
      </c>
      <c r="AL7635">
        <v>0</v>
      </c>
      <c r="AM7635">
        <v>0</v>
      </c>
      <c r="AN7635">
        <v>0</v>
      </c>
      <c r="AO7635">
        <v>0</v>
      </c>
      <c r="AP7635" s="2">
        <v>42746</v>
      </c>
      <c r="AQ7635" t="s">
        <v>72</v>
      </c>
      <c r="AR7635" t="s">
        <v>72</v>
      </c>
      <c r="AS7635">
        <v>777</v>
      </c>
      <c r="AT7635" s="4">
        <v>42452</v>
      </c>
      <c r="AU7635" t="s">
        <v>73</v>
      </c>
      <c r="AV7635">
        <v>777</v>
      </c>
      <c r="AW7635" s="4">
        <v>42452</v>
      </c>
      <c r="BD7635">
        <v>0</v>
      </c>
      <c r="BN7635" t="s">
        <v>74</v>
      </c>
    </row>
    <row r="7636" spans="1:66" hidden="1">
      <c r="A7636">
        <v>104379</v>
      </c>
      <c r="B7636" s="3" t="s">
        <v>656</v>
      </c>
      <c r="C7636" s="1">
        <v>43300101</v>
      </c>
      <c r="D7636" t="s">
        <v>67</v>
      </c>
      <c r="H7636" t="str">
        <f t="shared" si="757"/>
        <v>07668030583</v>
      </c>
      <c r="I7636" t="str">
        <f t="shared" si="758"/>
        <v>01836081008</v>
      </c>
      <c r="K7636" t="str">
        <f>""</f>
        <v/>
      </c>
      <c r="M7636" t="s">
        <v>68</v>
      </c>
      <c r="N7636" t="str">
        <f t="shared" si="756"/>
        <v>FOR</v>
      </c>
      <c r="O7636" t="s">
        <v>69</v>
      </c>
      <c r="P7636" s="3" t="s">
        <v>75</v>
      </c>
      <c r="Q7636">
        <v>2015</v>
      </c>
      <c r="R7636" s="2">
        <v>42307</v>
      </c>
      <c r="S7636" s="2">
        <v>42324</v>
      </c>
      <c r="T7636" s="2">
        <v>42321</v>
      </c>
      <c r="U7636" s="2">
        <v>42381</v>
      </c>
      <c r="V7636" t="s">
        <v>71</v>
      </c>
      <c r="W7636" t="str">
        <f>"             1799/03"</f>
        <v xml:space="preserve">             1799/03</v>
      </c>
      <c r="X7636">
        <v>144.56</v>
      </c>
      <c r="Y7636">
        <v>0</v>
      </c>
      <c r="Z7636"/>
      <c r="AB7636"/>
      <c r="AC7636">
        <v>139</v>
      </c>
      <c r="AD7636">
        <v>71</v>
      </c>
      <c r="AE7636" s="1">
        <v>9869</v>
      </c>
      <c r="AF7636">
        <v>0</v>
      </c>
      <c r="AJ7636">
        <v>0</v>
      </c>
      <c r="AK7636">
        <v>0</v>
      </c>
      <c r="AL7636">
        <v>0</v>
      </c>
      <c r="AM7636">
        <v>0</v>
      </c>
      <c r="AN7636">
        <v>0</v>
      </c>
      <c r="AO7636">
        <v>0</v>
      </c>
      <c r="AP7636" s="2">
        <v>42746</v>
      </c>
      <c r="AQ7636" t="s">
        <v>72</v>
      </c>
      <c r="AR7636" t="s">
        <v>72</v>
      </c>
      <c r="AS7636">
        <v>777</v>
      </c>
      <c r="AT7636" s="4">
        <v>42452</v>
      </c>
      <c r="AU7636" t="s">
        <v>73</v>
      </c>
      <c r="AV7636">
        <v>777</v>
      </c>
      <c r="AW7636" s="4">
        <v>42452</v>
      </c>
      <c r="BD7636">
        <v>0</v>
      </c>
      <c r="BN7636" t="s">
        <v>74</v>
      </c>
    </row>
    <row r="7637" spans="1:66" hidden="1">
      <c r="A7637">
        <v>104379</v>
      </c>
      <c r="B7637" s="3" t="s">
        <v>656</v>
      </c>
      <c r="C7637" s="1">
        <v>43300101</v>
      </c>
      <c r="D7637" t="s">
        <v>67</v>
      </c>
      <c r="H7637" t="str">
        <f t="shared" si="757"/>
        <v>07668030583</v>
      </c>
      <c r="I7637" t="str">
        <f t="shared" si="758"/>
        <v>01836081008</v>
      </c>
      <c r="K7637" t="str">
        <f>""</f>
        <v/>
      </c>
      <c r="M7637" t="s">
        <v>68</v>
      </c>
      <c r="N7637" t="str">
        <f t="shared" si="756"/>
        <v>FOR</v>
      </c>
      <c r="O7637" t="s">
        <v>69</v>
      </c>
      <c r="P7637" s="3" t="s">
        <v>75</v>
      </c>
      <c r="Q7637">
        <v>2015</v>
      </c>
      <c r="R7637" s="2">
        <v>42307</v>
      </c>
      <c r="S7637" s="2">
        <v>42324</v>
      </c>
      <c r="T7637" s="2">
        <v>42321</v>
      </c>
      <c r="U7637" s="2">
        <v>42381</v>
      </c>
      <c r="V7637" t="s">
        <v>71</v>
      </c>
      <c r="W7637" t="str">
        <f>"             1800/03"</f>
        <v xml:space="preserve">             1800/03</v>
      </c>
      <c r="X7637">
        <v>144.56</v>
      </c>
      <c r="Y7637">
        <v>0</v>
      </c>
      <c r="Z7637"/>
      <c r="AB7637"/>
      <c r="AC7637">
        <v>139</v>
      </c>
      <c r="AD7637">
        <v>71</v>
      </c>
      <c r="AE7637" s="1">
        <v>9869</v>
      </c>
      <c r="AF7637">
        <v>0</v>
      </c>
      <c r="AJ7637">
        <v>0</v>
      </c>
      <c r="AK7637">
        <v>0</v>
      </c>
      <c r="AL7637">
        <v>0</v>
      </c>
      <c r="AM7637">
        <v>0</v>
      </c>
      <c r="AN7637">
        <v>0</v>
      </c>
      <c r="AO7637">
        <v>0</v>
      </c>
      <c r="AP7637" s="2">
        <v>42746</v>
      </c>
      <c r="AQ7637" t="s">
        <v>72</v>
      </c>
      <c r="AR7637" t="s">
        <v>72</v>
      </c>
      <c r="AS7637">
        <v>777</v>
      </c>
      <c r="AT7637" s="4">
        <v>42452</v>
      </c>
      <c r="AU7637" t="s">
        <v>73</v>
      </c>
      <c r="AV7637">
        <v>777</v>
      </c>
      <c r="AW7637" s="4">
        <v>42452</v>
      </c>
      <c r="BD7637">
        <v>0</v>
      </c>
      <c r="BN7637" t="s">
        <v>74</v>
      </c>
    </row>
    <row r="7638" spans="1:66" hidden="1">
      <c r="A7638">
        <v>104379</v>
      </c>
      <c r="B7638" s="3" t="s">
        <v>656</v>
      </c>
      <c r="C7638" s="1">
        <v>43300101</v>
      </c>
      <c r="D7638" t="s">
        <v>67</v>
      </c>
      <c r="H7638" t="str">
        <f t="shared" si="757"/>
        <v>07668030583</v>
      </c>
      <c r="I7638" t="str">
        <f t="shared" si="758"/>
        <v>01836081008</v>
      </c>
      <c r="K7638" t="str">
        <f>""</f>
        <v/>
      </c>
      <c r="M7638" t="s">
        <v>68</v>
      </c>
      <c r="N7638" t="str">
        <f t="shared" si="756"/>
        <v>FOR</v>
      </c>
      <c r="O7638" t="s">
        <v>69</v>
      </c>
      <c r="P7638" s="3" t="s">
        <v>75</v>
      </c>
      <c r="Q7638">
        <v>2015</v>
      </c>
      <c r="R7638" s="2">
        <v>42338</v>
      </c>
      <c r="S7638" s="2">
        <v>42354</v>
      </c>
      <c r="T7638" s="2">
        <v>42352</v>
      </c>
      <c r="U7638" s="2">
        <v>42412</v>
      </c>
      <c r="V7638" t="s">
        <v>71</v>
      </c>
      <c r="W7638" t="str">
        <f>"             2076/03"</f>
        <v xml:space="preserve">             2076/03</v>
      </c>
      <c r="X7638">
        <v>572</v>
      </c>
      <c r="Y7638">
        <v>0</v>
      </c>
      <c r="Z7638"/>
      <c r="AB7638"/>
      <c r="AC7638">
        <v>550</v>
      </c>
      <c r="AD7638">
        <v>75</v>
      </c>
      <c r="AE7638" s="1">
        <v>41250</v>
      </c>
      <c r="AF7638">
        <v>0</v>
      </c>
      <c r="AJ7638">
        <v>0</v>
      </c>
      <c r="AK7638">
        <v>0</v>
      </c>
      <c r="AL7638">
        <v>0</v>
      </c>
      <c r="AM7638">
        <v>0</v>
      </c>
      <c r="AN7638">
        <v>0</v>
      </c>
      <c r="AO7638">
        <v>0</v>
      </c>
      <c r="AP7638" s="2">
        <v>42746</v>
      </c>
      <c r="AQ7638" t="s">
        <v>72</v>
      </c>
      <c r="AR7638" t="s">
        <v>72</v>
      </c>
      <c r="AS7638">
        <v>1182</v>
      </c>
      <c r="AT7638" s="4">
        <v>42487</v>
      </c>
      <c r="AU7638" t="s">
        <v>73</v>
      </c>
      <c r="AV7638">
        <v>1182</v>
      </c>
      <c r="AW7638" s="4">
        <v>42487</v>
      </c>
      <c r="BD7638">
        <v>0</v>
      </c>
      <c r="BN7638" t="s">
        <v>74</v>
      </c>
    </row>
    <row r="7639" spans="1:66" hidden="1">
      <c r="A7639">
        <v>104379</v>
      </c>
      <c r="B7639" s="3" t="s">
        <v>656</v>
      </c>
      <c r="C7639" s="1">
        <v>43300101</v>
      </c>
      <c r="D7639" t="s">
        <v>67</v>
      </c>
      <c r="H7639" t="str">
        <f t="shared" si="757"/>
        <v>07668030583</v>
      </c>
      <c r="I7639" t="str">
        <f t="shared" si="758"/>
        <v>01836081008</v>
      </c>
      <c r="K7639" t="str">
        <f>""</f>
        <v/>
      </c>
      <c r="M7639" t="s">
        <v>68</v>
      </c>
      <c r="N7639" t="str">
        <f t="shared" si="756"/>
        <v>FOR</v>
      </c>
      <c r="O7639" t="s">
        <v>69</v>
      </c>
      <c r="P7639" s="3" t="s">
        <v>75</v>
      </c>
      <c r="Q7639">
        <v>2015</v>
      </c>
      <c r="R7639" s="2">
        <v>42338</v>
      </c>
      <c r="S7639" s="2">
        <v>42354</v>
      </c>
      <c r="T7639" s="2">
        <v>42352</v>
      </c>
      <c r="U7639" s="2">
        <v>42412</v>
      </c>
      <c r="V7639" t="s">
        <v>71</v>
      </c>
      <c r="W7639" t="str">
        <f>"             2077/03"</f>
        <v xml:space="preserve">             2077/03</v>
      </c>
      <c r="X7639">
        <v>144.56</v>
      </c>
      <c r="Y7639">
        <v>0</v>
      </c>
      <c r="Z7639"/>
      <c r="AB7639"/>
      <c r="AC7639">
        <v>139</v>
      </c>
      <c r="AD7639">
        <v>75</v>
      </c>
      <c r="AE7639" s="1">
        <v>10425</v>
      </c>
      <c r="AF7639">
        <v>0</v>
      </c>
      <c r="AJ7639">
        <v>0</v>
      </c>
      <c r="AK7639">
        <v>0</v>
      </c>
      <c r="AL7639">
        <v>0</v>
      </c>
      <c r="AM7639">
        <v>0</v>
      </c>
      <c r="AN7639">
        <v>0</v>
      </c>
      <c r="AO7639">
        <v>0</v>
      </c>
      <c r="AP7639" s="2">
        <v>42746</v>
      </c>
      <c r="AQ7639" t="s">
        <v>72</v>
      </c>
      <c r="AR7639" t="s">
        <v>72</v>
      </c>
      <c r="AS7639">
        <v>1182</v>
      </c>
      <c r="AT7639" s="4">
        <v>42487</v>
      </c>
      <c r="AU7639" t="s">
        <v>73</v>
      </c>
      <c r="AV7639">
        <v>1182</v>
      </c>
      <c r="AW7639" s="4">
        <v>42487</v>
      </c>
      <c r="BD7639">
        <v>0</v>
      </c>
      <c r="BN7639" t="s">
        <v>74</v>
      </c>
    </row>
    <row r="7640" spans="1:66" hidden="1">
      <c r="A7640">
        <v>104379</v>
      </c>
      <c r="B7640" s="3" t="s">
        <v>656</v>
      </c>
      <c r="C7640" s="1">
        <v>43300101</v>
      </c>
      <c r="D7640" t="s">
        <v>67</v>
      </c>
      <c r="H7640" t="str">
        <f t="shared" si="757"/>
        <v>07668030583</v>
      </c>
      <c r="I7640" t="str">
        <f t="shared" si="758"/>
        <v>01836081008</v>
      </c>
      <c r="K7640" t="str">
        <f>""</f>
        <v/>
      </c>
      <c r="M7640" t="s">
        <v>68</v>
      </c>
      <c r="N7640" t="str">
        <f t="shared" si="756"/>
        <v>FOR</v>
      </c>
      <c r="O7640" t="s">
        <v>69</v>
      </c>
      <c r="P7640" s="3" t="s">
        <v>75</v>
      </c>
      <c r="Q7640">
        <v>2015</v>
      </c>
      <c r="R7640" s="2">
        <v>42338</v>
      </c>
      <c r="S7640" s="2">
        <v>42355</v>
      </c>
      <c r="T7640" s="2">
        <v>42354</v>
      </c>
      <c r="U7640" s="2">
        <v>42414</v>
      </c>
      <c r="V7640" t="s">
        <v>71</v>
      </c>
      <c r="W7640" t="str">
        <f>"             2200/03"</f>
        <v xml:space="preserve">             2200/03</v>
      </c>
      <c r="X7640">
        <v>572</v>
      </c>
      <c r="Y7640">
        <v>0</v>
      </c>
      <c r="Z7640"/>
      <c r="AB7640"/>
      <c r="AC7640">
        <v>550</v>
      </c>
      <c r="AD7640">
        <v>73</v>
      </c>
      <c r="AE7640" s="1">
        <v>40150</v>
      </c>
      <c r="AF7640">
        <v>0</v>
      </c>
      <c r="AJ7640">
        <v>0</v>
      </c>
      <c r="AK7640">
        <v>0</v>
      </c>
      <c r="AL7640">
        <v>0</v>
      </c>
      <c r="AM7640">
        <v>0</v>
      </c>
      <c r="AN7640">
        <v>0</v>
      </c>
      <c r="AO7640">
        <v>0</v>
      </c>
      <c r="AP7640" s="2">
        <v>42746</v>
      </c>
      <c r="AQ7640" t="s">
        <v>72</v>
      </c>
      <c r="AR7640" t="s">
        <v>72</v>
      </c>
      <c r="AS7640">
        <v>1182</v>
      </c>
      <c r="AT7640" s="4">
        <v>42487</v>
      </c>
      <c r="AU7640" t="s">
        <v>73</v>
      </c>
      <c r="AV7640">
        <v>1182</v>
      </c>
      <c r="AW7640" s="4">
        <v>42487</v>
      </c>
      <c r="BD7640">
        <v>0</v>
      </c>
      <c r="BN7640" t="s">
        <v>74</v>
      </c>
    </row>
    <row r="7641" spans="1:66" hidden="1">
      <c r="A7641">
        <v>104379</v>
      </c>
      <c r="B7641" s="3" t="s">
        <v>656</v>
      </c>
      <c r="C7641" s="1">
        <v>43300101</v>
      </c>
      <c r="D7641" t="s">
        <v>67</v>
      </c>
      <c r="H7641" t="str">
        <f t="shared" si="757"/>
        <v>07668030583</v>
      </c>
      <c r="I7641" t="str">
        <f t="shared" si="758"/>
        <v>01836081008</v>
      </c>
      <c r="K7641" t="str">
        <f>""</f>
        <v/>
      </c>
      <c r="M7641" t="s">
        <v>68</v>
      </c>
      <c r="N7641" t="str">
        <f t="shared" si="756"/>
        <v>FOR</v>
      </c>
      <c r="O7641" t="s">
        <v>69</v>
      </c>
      <c r="P7641" s="3" t="s">
        <v>75</v>
      </c>
      <c r="Q7641">
        <v>2015</v>
      </c>
      <c r="R7641" s="2">
        <v>42338</v>
      </c>
      <c r="S7641" s="2">
        <v>42355</v>
      </c>
      <c r="T7641" s="2">
        <v>42354</v>
      </c>
      <c r="U7641" s="2">
        <v>42414</v>
      </c>
      <c r="V7641" t="s">
        <v>71</v>
      </c>
      <c r="W7641" t="str">
        <f>"             2201/03"</f>
        <v xml:space="preserve">             2201/03</v>
      </c>
      <c r="X7641">
        <v>572</v>
      </c>
      <c r="Y7641">
        <v>0</v>
      </c>
      <c r="Z7641"/>
      <c r="AB7641"/>
      <c r="AC7641">
        <v>550</v>
      </c>
      <c r="AD7641">
        <v>73</v>
      </c>
      <c r="AE7641" s="1">
        <v>40150</v>
      </c>
      <c r="AF7641">
        <v>0</v>
      </c>
      <c r="AJ7641">
        <v>0</v>
      </c>
      <c r="AK7641">
        <v>0</v>
      </c>
      <c r="AL7641">
        <v>0</v>
      </c>
      <c r="AM7641">
        <v>0</v>
      </c>
      <c r="AN7641">
        <v>0</v>
      </c>
      <c r="AO7641">
        <v>0</v>
      </c>
      <c r="AP7641" s="2">
        <v>42746</v>
      </c>
      <c r="AQ7641" t="s">
        <v>72</v>
      </c>
      <c r="AR7641" t="s">
        <v>72</v>
      </c>
      <c r="AS7641">
        <v>1182</v>
      </c>
      <c r="AT7641" s="4">
        <v>42487</v>
      </c>
      <c r="AU7641" t="s">
        <v>73</v>
      </c>
      <c r="AV7641">
        <v>1182</v>
      </c>
      <c r="AW7641" s="4">
        <v>42487</v>
      </c>
      <c r="BD7641">
        <v>0</v>
      </c>
      <c r="BN7641" t="s">
        <v>74</v>
      </c>
    </row>
    <row r="7642" spans="1:66" hidden="1">
      <c r="A7642">
        <v>104379</v>
      </c>
      <c r="B7642" s="3" t="s">
        <v>656</v>
      </c>
      <c r="C7642" s="1">
        <v>43300101</v>
      </c>
      <c r="D7642" t="s">
        <v>67</v>
      </c>
      <c r="H7642" t="str">
        <f t="shared" ref="H7642:H7678" si="759">"07668030583"</f>
        <v>07668030583</v>
      </c>
      <c r="I7642" t="str">
        <f t="shared" ref="I7642:I7678" si="760">"01836081008"</f>
        <v>01836081008</v>
      </c>
      <c r="K7642" t="str">
        <f>""</f>
        <v/>
      </c>
      <c r="M7642" t="s">
        <v>68</v>
      </c>
      <c r="N7642" t="str">
        <f t="shared" si="756"/>
        <v>FOR</v>
      </c>
      <c r="O7642" t="s">
        <v>69</v>
      </c>
      <c r="P7642" s="3" t="s">
        <v>75</v>
      </c>
      <c r="Q7642">
        <v>2015</v>
      </c>
      <c r="R7642" s="2">
        <v>42338</v>
      </c>
      <c r="S7642" s="2">
        <v>42355</v>
      </c>
      <c r="T7642" s="2">
        <v>42354</v>
      </c>
      <c r="U7642" s="2">
        <v>42414</v>
      </c>
      <c r="V7642" t="s">
        <v>71</v>
      </c>
      <c r="W7642" t="str">
        <f>"             2202/03"</f>
        <v xml:space="preserve">             2202/03</v>
      </c>
      <c r="X7642">
        <v>520</v>
      </c>
      <c r="Y7642">
        <v>0</v>
      </c>
      <c r="Z7642"/>
      <c r="AB7642"/>
      <c r="AC7642">
        <v>500</v>
      </c>
      <c r="AD7642">
        <v>73</v>
      </c>
      <c r="AE7642" s="1">
        <v>36500</v>
      </c>
      <c r="AF7642">
        <v>0</v>
      </c>
      <c r="AJ7642">
        <v>0</v>
      </c>
      <c r="AK7642">
        <v>0</v>
      </c>
      <c r="AL7642">
        <v>0</v>
      </c>
      <c r="AM7642">
        <v>0</v>
      </c>
      <c r="AN7642">
        <v>0</v>
      </c>
      <c r="AO7642">
        <v>0</v>
      </c>
      <c r="AP7642" s="2">
        <v>42746</v>
      </c>
      <c r="AQ7642" t="s">
        <v>72</v>
      </c>
      <c r="AR7642" t="s">
        <v>72</v>
      </c>
      <c r="AS7642">
        <v>1182</v>
      </c>
      <c r="AT7642" s="4">
        <v>42487</v>
      </c>
      <c r="AU7642" t="s">
        <v>73</v>
      </c>
      <c r="AV7642">
        <v>1182</v>
      </c>
      <c r="AW7642" s="4">
        <v>42487</v>
      </c>
      <c r="BD7642">
        <v>0</v>
      </c>
      <c r="BN7642" t="s">
        <v>74</v>
      </c>
    </row>
    <row r="7643" spans="1:66" hidden="1">
      <c r="A7643">
        <v>104379</v>
      </c>
      <c r="B7643" s="3" t="s">
        <v>656</v>
      </c>
      <c r="C7643" s="1">
        <v>43300101</v>
      </c>
      <c r="D7643" t="s">
        <v>67</v>
      </c>
      <c r="H7643" t="str">
        <f t="shared" si="759"/>
        <v>07668030583</v>
      </c>
      <c r="I7643" t="str">
        <f t="shared" si="760"/>
        <v>01836081008</v>
      </c>
      <c r="K7643" t="str">
        <f>""</f>
        <v/>
      </c>
      <c r="M7643" t="s">
        <v>68</v>
      </c>
      <c r="N7643" t="str">
        <f t="shared" si="756"/>
        <v>FOR</v>
      </c>
      <c r="O7643" t="s">
        <v>69</v>
      </c>
      <c r="P7643" s="3" t="s">
        <v>75</v>
      </c>
      <c r="Q7643">
        <v>2016</v>
      </c>
      <c r="R7643" s="2">
        <v>42398</v>
      </c>
      <c r="S7643" s="2">
        <v>42410</v>
      </c>
      <c r="T7643" s="2">
        <v>42408</v>
      </c>
      <c r="U7643" s="2">
        <v>42468</v>
      </c>
      <c r="V7643" t="s">
        <v>71</v>
      </c>
      <c r="W7643" t="str">
        <f>"             2679/03"</f>
        <v xml:space="preserve">             2679/03</v>
      </c>
      <c r="X7643">
        <v>572</v>
      </c>
      <c r="Y7643">
        <v>0</v>
      </c>
      <c r="Z7643"/>
      <c r="AB7643"/>
      <c r="AC7643">
        <v>550</v>
      </c>
      <c r="AD7643">
        <v>52</v>
      </c>
      <c r="AE7643" s="1">
        <v>28600</v>
      </c>
      <c r="AF7643">
        <v>0</v>
      </c>
      <c r="AJ7643">
        <v>0</v>
      </c>
      <c r="AK7643">
        <v>0</v>
      </c>
      <c r="AL7643">
        <v>0</v>
      </c>
      <c r="AM7643">
        <v>572</v>
      </c>
      <c r="AN7643">
        <v>572</v>
      </c>
      <c r="AO7643">
        <v>572</v>
      </c>
      <c r="AP7643" s="2">
        <v>42746</v>
      </c>
      <c r="AQ7643" t="s">
        <v>72</v>
      </c>
      <c r="AR7643" t="s">
        <v>72</v>
      </c>
      <c r="AS7643">
        <v>1432</v>
      </c>
      <c r="AT7643" s="4">
        <v>42520</v>
      </c>
      <c r="AU7643" t="s">
        <v>73</v>
      </c>
      <c r="AV7643">
        <v>1432</v>
      </c>
      <c r="AW7643" s="4">
        <v>42520</v>
      </c>
      <c r="BD7643">
        <v>0</v>
      </c>
      <c r="BN7643" t="s">
        <v>74</v>
      </c>
    </row>
    <row r="7644" spans="1:66" hidden="1">
      <c r="A7644">
        <v>104379</v>
      </c>
      <c r="B7644" s="3" t="s">
        <v>656</v>
      </c>
      <c r="C7644" s="1">
        <v>43300101</v>
      </c>
      <c r="D7644" t="s">
        <v>67</v>
      </c>
      <c r="H7644" t="str">
        <f t="shared" si="759"/>
        <v>07668030583</v>
      </c>
      <c r="I7644" t="str">
        <f t="shared" si="760"/>
        <v>01836081008</v>
      </c>
      <c r="K7644" t="str">
        <f>""</f>
        <v/>
      </c>
      <c r="M7644" t="s">
        <v>68</v>
      </c>
      <c r="N7644" t="str">
        <f t="shared" si="756"/>
        <v>FOR</v>
      </c>
      <c r="O7644" t="s">
        <v>69</v>
      </c>
      <c r="P7644" s="3" t="s">
        <v>75</v>
      </c>
      <c r="Q7644">
        <v>2016</v>
      </c>
      <c r="R7644" s="2">
        <v>42398</v>
      </c>
      <c r="S7644" s="2">
        <v>42410</v>
      </c>
      <c r="T7644" s="2">
        <v>42408</v>
      </c>
      <c r="U7644" s="2">
        <v>42468</v>
      </c>
      <c r="V7644" t="s">
        <v>71</v>
      </c>
      <c r="W7644" t="str">
        <f>"             2680/03"</f>
        <v xml:space="preserve">             2680/03</v>
      </c>
      <c r="X7644">
        <v>572</v>
      </c>
      <c r="Y7644">
        <v>0</v>
      </c>
      <c r="Z7644"/>
      <c r="AB7644"/>
      <c r="AC7644">
        <v>550</v>
      </c>
      <c r="AD7644">
        <v>52</v>
      </c>
      <c r="AE7644" s="1">
        <v>28600</v>
      </c>
      <c r="AF7644">
        <v>0</v>
      </c>
      <c r="AJ7644">
        <v>0</v>
      </c>
      <c r="AK7644">
        <v>0</v>
      </c>
      <c r="AL7644">
        <v>0</v>
      </c>
      <c r="AM7644">
        <v>572</v>
      </c>
      <c r="AN7644">
        <v>572</v>
      </c>
      <c r="AO7644">
        <v>572</v>
      </c>
      <c r="AP7644" s="2">
        <v>42746</v>
      </c>
      <c r="AQ7644" t="s">
        <v>72</v>
      </c>
      <c r="AR7644" t="s">
        <v>72</v>
      </c>
      <c r="AS7644">
        <v>1432</v>
      </c>
      <c r="AT7644" s="4">
        <v>42520</v>
      </c>
      <c r="AU7644" t="s">
        <v>73</v>
      </c>
      <c r="AV7644">
        <v>1432</v>
      </c>
      <c r="AW7644" s="4">
        <v>42520</v>
      </c>
      <c r="BD7644">
        <v>0</v>
      </c>
      <c r="BN7644" t="s">
        <v>74</v>
      </c>
    </row>
    <row r="7645" spans="1:66" hidden="1">
      <c r="A7645">
        <v>104379</v>
      </c>
      <c r="B7645" s="3" t="s">
        <v>656</v>
      </c>
      <c r="C7645" s="1">
        <v>43300101</v>
      </c>
      <c r="D7645" t="s">
        <v>67</v>
      </c>
      <c r="H7645" t="str">
        <f t="shared" si="759"/>
        <v>07668030583</v>
      </c>
      <c r="I7645" t="str">
        <f t="shared" si="760"/>
        <v>01836081008</v>
      </c>
      <c r="K7645" t="str">
        <f>""</f>
        <v/>
      </c>
      <c r="M7645" t="s">
        <v>68</v>
      </c>
      <c r="N7645" t="str">
        <f t="shared" si="756"/>
        <v>FOR</v>
      </c>
      <c r="O7645" t="s">
        <v>69</v>
      </c>
      <c r="P7645" s="3" t="s">
        <v>75</v>
      </c>
      <c r="Q7645">
        <v>2016</v>
      </c>
      <c r="R7645" s="2">
        <v>42398</v>
      </c>
      <c r="S7645" s="2">
        <v>42410</v>
      </c>
      <c r="T7645" s="2">
        <v>42408</v>
      </c>
      <c r="U7645" s="2">
        <v>42468</v>
      </c>
      <c r="V7645" t="s">
        <v>71</v>
      </c>
      <c r="W7645" t="str">
        <f>"             2681/03"</f>
        <v xml:space="preserve">             2681/03</v>
      </c>
      <c r="X7645">
        <v>572</v>
      </c>
      <c r="Y7645">
        <v>0</v>
      </c>
      <c r="Z7645"/>
      <c r="AB7645"/>
      <c r="AC7645">
        <v>550</v>
      </c>
      <c r="AD7645">
        <v>52</v>
      </c>
      <c r="AE7645" s="1">
        <v>28600</v>
      </c>
      <c r="AF7645">
        <v>0</v>
      </c>
      <c r="AJ7645">
        <v>0</v>
      </c>
      <c r="AK7645">
        <v>0</v>
      </c>
      <c r="AL7645">
        <v>0</v>
      </c>
      <c r="AM7645">
        <v>572</v>
      </c>
      <c r="AN7645">
        <v>572</v>
      </c>
      <c r="AO7645">
        <v>572</v>
      </c>
      <c r="AP7645" s="2">
        <v>42746</v>
      </c>
      <c r="AQ7645" t="s">
        <v>72</v>
      </c>
      <c r="AR7645" t="s">
        <v>72</v>
      </c>
      <c r="AS7645">
        <v>1432</v>
      </c>
      <c r="AT7645" s="4">
        <v>42520</v>
      </c>
      <c r="AU7645" t="s">
        <v>73</v>
      </c>
      <c r="AV7645">
        <v>1432</v>
      </c>
      <c r="AW7645" s="4">
        <v>42520</v>
      </c>
      <c r="BD7645">
        <v>0</v>
      </c>
      <c r="BN7645" t="s">
        <v>74</v>
      </c>
    </row>
    <row r="7646" spans="1:66" hidden="1">
      <c r="A7646">
        <v>104379</v>
      </c>
      <c r="B7646" s="3" t="s">
        <v>656</v>
      </c>
      <c r="C7646" s="1">
        <v>43300101</v>
      </c>
      <c r="D7646" t="s">
        <v>67</v>
      </c>
      <c r="H7646" t="str">
        <f t="shared" si="759"/>
        <v>07668030583</v>
      </c>
      <c r="I7646" t="str">
        <f t="shared" si="760"/>
        <v>01836081008</v>
      </c>
      <c r="K7646" t="str">
        <f>""</f>
        <v/>
      </c>
      <c r="M7646" t="s">
        <v>68</v>
      </c>
      <c r="N7646" t="str">
        <f t="shared" si="756"/>
        <v>FOR</v>
      </c>
      <c r="O7646" t="s">
        <v>69</v>
      </c>
      <c r="P7646" s="3" t="s">
        <v>75</v>
      </c>
      <c r="Q7646">
        <v>2016</v>
      </c>
      <c r="R7646" s="2">
        <v>42398</v>
      </c>
      <c r="S7646" s="2">
        <v>42410</v>
      </c>
      <c r="T7646" s="2">
        <v>42408</v>
      </c>
      <c r="U7646" s="2">
        <v>42468</v>
      </c>
      <c r="V7646" t="s">
        <v>71</v>
      </c>
      <c r="W7646" t="str">
        <f>"             2682/03"</f>
        <v xml:space="preserve">             2682/03</v>
      </c>
      <c r="X7646">
        <v>572</v>
      </c>
      <c r="Y7646">
        <v>0</v>
      </c>
      <c r="Z7646"/>
      <c r="AB7646"/>
      <c r="AC7646">
        <v>550</v>
      </c>
      <c r="AD7646">
        <v>52</v>
      </c>
      <c r="AE7646" s="1">
        <v>28600</v>
      </c>
      <c r="AF7646">
        <v>0</v>
      </c>
      <c r="AJ7646">
        <v>0</v>
      </c>
      <c r="AK7646">
        <v>0</v>
      </c>
      <c r="AL7646">
        <v>0</v>
      </c>
      <c r="AM7646">
        <v>572</v>
      </c>
      <c r="AN7646">
        <v>572</v>
      </c>
      <c r="AO7646">
        <v>572</v>
      </c>
      <c r="AP7646" s="2">
        <v>42746</v>
      </c>
      <c r="AQ7646" t="s">
        <v>72</v>
      </c>
      <c r="AR7646" t="s">
        <v>72</v>
      </c>
      <c r="AS7646">
        <v>1432</v>
      </c>
      <c r="AT7646" s="4">
        <v>42520</v>
      </c>
      <c r="AU7646" t="s">
        <v>73</v>
      </c>
      <c r="AV7646">
        <v>1432</v>
      </c>
      <c r="AW7646" s="4">
        <v>42520</v>
      </c>
      <c r="BD7646">
        <v>0</v>
      </c>
      <c r="BN7646" t="s">
        <v>74</v>
      </c>
    </row>
    <row r="7647" spans="1:66" hidden="1">
      <c r="A7647">
        <v>104379</v>
      </c>
      <c r="B7647" s="3" t="s">
        <v>656</v>
      </c>
      <c r="C7647" s="1">
        <v>43300101</v>
      </c>
      <c r="D7647" t="s">
        <v>67</v>
      </c>
      <c r="H7647" t="str">
        <f t="shared" si="759"/>
        <v>07668030583</v>
      </c>
      <c r="I7647" t="str">
        <f t="shared" si="760"/>
        <v>01836081008</v>
      </c>
      <c r="K7647" t="str">
        <f>""</f>
        <v/>
      </c>
      <c r="M7647" t="s">
        <v>68</v>
      </c>
      <c r="N7647" t="str">
        <f t="shared" si="756"/>
        <v>FOR</v>
      </c>
      <c r="O7647" t="s">
        <v>69</v>
      </c>
      <c r="P7647" s="3" t="s">
        <v>75</v>
      </c>
      <c r="Q7647">
        <v>2016</v>
      </c>
      <c r="R7647" s="2">
        <v>42429</v>
      </c>
      <c r="S7647" s="2">
        <v>42436</v>
      </c>
      <c r="T7647" s="2">
        <v>42431</v>
      </c>
      <c r="U7647" s="2">
        <v>42491</v>
      </c>
      <c r="V7647" t="s">
        <v>71</v>
      </c>
      <c r="W7647" t="str">
        <f>"             2844/03"</f>
        <v xml:space="preserve">             2844/03</v>
      </c>
      <c r="X7647">
        <v>572</v>
      </c>
      <c r="Y7647">
        <v>0</v>
      </c>
      <c r="Z7647"/>
      <c r="AB7647"/>
      <c r="AC7647">
        <v>550</v>
      </c>
      <c r="AD7647">
        <v>85</v>
      </c>
      <c r="AE7647" s="1">
        <v>46750</v>
      </c>
      <c r="AF7647">
        <v>0</v>
      </c>
      <c r="AJ7647">
        <v>0</v>
      </c>
      <c r="AK7647">
        <v>0</v>
      </c>
      <c r="AL7647">
        <v>0</v>
      </c>
      <c r="AM7647">
        <v>572</v>
      </c>
      <c r="AN7647">
        <v>572</v>
      </c>
      <c r="AO7647">
        <v>572</v>
      </c>
      <c r="AP7647" s="2">
        <v>42746</v>
      </c>
      <c r="AQ7647" t="s">
        <v>72</v>
      </c>
      <c r="AR7647" t="s">
        <v>72</v>
      </c>
      <c r="AS7647">
        <v>1893</v>
      </c>
      <c r="AT7647" s="4">
        <v>42576</v>
      </c>
      <c r="AU7647" t="s">
        <v>73</v>
      </c>
      <c r="AV7647">
        <v>1893</v>
      </c>
      <c r="AW7647" s="4">
        <v>42576</v>
      </c>
      <c r="BD7647">
        <v>0</v>
      </c>
      <c r="BN7647" t="s">
        <v>74</v>
      </c>
    </row>
    <row r="7648" spans="1:66" hidden="1">
      <c r="A7648">
        <v>104379</v>
      </c>
      <c r="B7648" s="3" t="s">
        <v>656</v>
      </c>
      <c r="C7648" s="1">
        <v>43300101</v>
      </c>
      <c r="D7648" t="s">
        <v>67</v>
      </c>
      <c r="H7648" t="str">
        <f t="shared" si="759"/>
        <v>07668030583</v>
      </c>
      <c r="I7648" t="str">
        <f t="shared" si="760"/>
        <v>01836081008</v>
      </c>
      <c r="K7648" t="str">
        <f>""</f>
        <v/>
      </c>
      <c r="M7648" t="s">
        <v>68</v>
      </c>
      <c r="N7648" t="str">
        <f t="shared" si="756"/>
        <v>FOR</v>
      </c>
      <c r="O7648" t="s">
        <v>69</v>
      </c>
      <c r="P7648" s="3" t="s">
        <v>75</v>
      </c>
      <c r="Q7648">
        <v>2016</v>
      </c>
      <c r="R7648" s="2">
        <v>42429</v>
      </c>
      <c r="S7648" s="2">
        <v>42436</v>
      </c>
      <c r="T7648" s="2">
        <v>42431</v>
      </c>
      <c r="U7648" s="2">
        <v>42491</v>
      </c>
      <c r="V7648" t="s">
        <v>71</v>
      </c>
      <c r="W7648" t="str">
        <f>"             2845/03"</f>
        <v xml:space="preserve">             2845/03</v>
      </c>
      <c r="X7648">
        <v>572</v>
      </c>
      <c r="Y7648">
        <v>0</v>
      </c>
      <c r="Z7648"/>
      <c r="AB7648"/>
      <c r="AC7648">
        <v>550</v>
      </c>
      <c r="AD7648">
        <v>85</v>
      </c>
      <c r="AE7648" s="1">
        <v>46750</v>
      </c>
      <c r="AF7648">
        <v>0</v>
      </c>
      <c r="AJ7648">
        <v>0</v>
      </c>
      <c r="AK7648">
        <v>0</v>
      </c>
      <c r="AL7648">
        <v>0</v>
      </c>
      <c r="AM7648">
        <v>572</v>
      </c>
      <c r="AN7648">
        <v>572</v>
      </c>
      <c r="AO7648">
        <v>572</v>
      </c>
      <c r="AP7648" s="2">
        <v>42746</v>
      </c>
      <c r="AQ7648" t="s">
        <v>72</v>
      </c>
      <c r="AR7648" t="s">
        <v>72</v>
      </c>
      <c r="AS7648">
        <v>1893</v>
      </c>
      <c r="AT7648" s="4">
        <v>42576</v>
      </c>
      <c r="AU7648" t="s">
        <v>73</v>
      </c>
      <c r="AV7648">
        <v>1893</v>
      </c>
      <c r="AW7648" s="4">
        <v>42576</v>
      </c>
      <c r="BD7648">
        <v>0</v>
      </c>
      <c r="BN7648" t="s">
        <v>74</v>
      </c>
    </row>
    <row r="7649" spans="1:66" hidden="1">
      <c r="A7649">
        <v>104379</v>
      </c>
      <c r="B7649" s="3" t="s">
        <v>656</v>
      </c>
      <c r="C7649" s="1">
        <v>43300101</v>
      </c>
      <c r="D7649" t="s">
        <v>67</v>
      </c>
      <c r="H7649" t="str">
        <f t="shared" si="759"/>
        <v>07668030583</v>
      </c>
      <c r="I7649" t="str">
        <f t="shared" si="760"/>
        <v>01836081008</v>
      </c>
      <c r="K7649" t="str">
        <f>""</f>
        <v/>
      </c>
      <c r="M7649" t="s">
        <v>68</v>
      </c>
      <c r="N7649" t="str">
        <f t="shared" si="756"/>
        <v>FOR</v>
      </c>
      <c r="O7649" t="s">
        <v>69</v>
      </c>
      <c r="P7649" s="3" t="s">
        <v>75</v>
      </c>
      <c r="Q7649">
        <v>2016</v>
      </c>
      <c r="R7649" s="2">
        <v>42460</v>
      </c>
      <c r="S7649" s="2">
        <v>42464</v>
      </c>
      <c r="T7649" s="2">
        <v>42460</v>
      </c>
      <c r="U7649" s="2">
        <v>42520</v>
      </c>
      <c r="V7649" t="s">
        <v>71</v>
      </c>
      <c r="W7649" t="str">
        <f>"             2991/03"</f>
        <v xml:space="preserve">             2991/03</v>
      </c>
      <c r="X7649">
        <v>572</v>
      </c>
      <c r="Y7649">
        <v>0</v>
      </c>
      <c r="Z7649"/>
      <c r="AB7649"/>
      <c r="AC7649">
        <v>550</v>
      </c>
      <c r="AD7649">
        <v>56</v>
      </c>
      <c r="AE7649" s="1">
        <v>30800</v>
      </c>
      <c r="AF7649">
        <v>0</v>
      </c>
      <c r="AJ7649">
        <v>0</v>
      </c>
      <c r="AK7649">
        <v>0</v>
      </c>
      <c r="AL7649">
        <v>0</v>
      </c>
      <c r="AM7649">
        <v>572</v>
      </c>
      <c r="AN7649">
        <v>572</v>
      </c>
      <c r="AO7649">
        <v>572</v>
      </c>
      <c r="AP7649" s="2">
        <v>42746</v>
      </c>
      <c r="AQ7649" t="s">
        <v>72</v>
      </c>
      <c r="AR7649" t="s">
        <v>72</v>
      </c>
      <c r="AS7649">
        <v>1893</v>
      </c>
      <c r="AT7649" s="4">
        <v>42576</v>
      </c>
      <c r="AU7649" t="s">
        <v>73</v>
      </c>
      <c r="AV7649">
        <v>1893</v>
      </c>
      <c r="AW7649" s="4">
        <v>42576</v>
      </c>
      <c r="BD7649">
        <v>0</v>
      </c>
      <c r="BN7649" t="s">
        <v>74</v>
      </c>
    </row>
    <row r="7650" spans="1:66" hidden="1">
      <c r="A7650">
        <v>104379</v>
      </c>
      <c r="B7650" s="3" t="s">
        <v>656</v>
      </c>
      <c r="C7650" s="1">
        <v>43300101</v>
      </c>
      <c r="D7650" t="s">
        <v>67</v>
      </c>
      <c r="H7650" t="str">
        <f t="shared" si="759"/>
        <v>07668030583</v>
      </c>
      <c r="I7650" t="str">
        <f t="shared" si="760"/>
        <v>01836081008</v>
      </c>
      <c r="K7650" t="str">
        <f>""</f>
        <v/>
      </c>
      <c r="M7650" t="s">
        <v>68</v>
      </c>
      <c r="N7650" t="str">
        <f t="shared" si="756"/>
        <v>FOR</v>
      </c>
      <c r="O7650" t="s">
        <v>69</v>
      </c>
      <c r="P7650" s="3" t="s">
        <v>75</v>
      </c>
      <c r="Q7650">
        <v>2016</v>
      </c>
      <c r="R7650" s="2">
        <v>42460</v>
      </c>
      <c r="S7650" s="2">
        <v>42464</v>
      </c>
      <c r="T7650" s="2">
        <v>42460</v>
      </c>
      <c r="U7650" s="2">
        <v>42520</v>
      </c>
      <c r="V7650" t="s">
        <v>71</v>
      </c>
      <c r="W7650" t="str">
        <f>"             2992/03"</f>
        <v xml:space="preserve">             2992/03</v>
      </c>
      <c r="X7650">
        <v>572</v>
      </c>
      <c r="Y7650">
        <v>0</v>
      </c>
      <c r="Z7650"/>
      <c r="AB7650"/>
      <c r="AC7650">
        <v>550</v>
      </c>
      <c r="AD7650">
        <v>56</v>
      </c>
      <c r="AE7650" s="1">
        <v>30800</v>
      </c>
      <c r="AF7650">
        <v>0</v>
      </c>
      <c r="AJ7650">
        <v>0</v>
      </c>
      <c r="AK7650">
        <v>0</v>
      </c>
      <c r="AL7650">
        <v>0</v>
      </c>
      <c r="AM7650">
        <v>572</v>
      </c>
      <c r="AN7650">
        <v>572</v>
      </c>
      <c r="AO7650">
        <v>572</v>
      </c>
      <c r="AP7650" s="2">
        <v>42746</v>
      </c>
      <c r="AQ7650" t="s">
        <v>72</v>
      </c>
      <c r="AR7650" t="s">
        <v>72</v>
      </c>
      <c r="AS7650">
        <v>1893</v>
      </c>
      <c r="AT7650" s="4">
        <v>42576</v>
      </c>
      <c r="AU7650" t="s">
        <v>73</v>
      </c>
      <c r="AV7650">
        <v>1893</v>
      </c>
      <c r="AW7650" s="4">
        <v>42576</v>
      </c>
      <c r="BD7650">
        <v>0</v>
      </c>
      <c r="BN7650" t="s">
        <v>74</v>
      </c>
    </row>
    <row r="7651" spans="1:66" hidden="1">
      <c r="A7651">
        <v>104379</v>
      </c>
      <c r="B7651" s="3" t="s">
        <v>656</v>
      </c>
      <c r="C7651" s="1">
        <v>43300101</v>
      </c>
      <c r="D7651" t="s">
        <v>67</v>
      </c>
      <c r="H7651" t="str">
        <f t="shared" si="759"/>
        <v>07668030583</v>
      </c>
      <c r="I7651" t="str">
        <f t="shared" si="760"/>
        <v>01836081008</v>
      </c>
      <c r="K7651" t="str">
        <f>""</f>
        <v/>
      </c>
      <c r="M7651" t="s">
        <v>68</v>
      </c>
      <c r="N7651" t="str">
        <f t="shared" si="756"/>
        <v>FOR</v>
      </c>
      <c r="O7651" t="s">
        <v>69</v>
      </c>
      <c r="P7651" s="3" t="s">
        <v>75</v>
      </c>
      <c r="Q7651">
        <v>2016</v>
      </c>
      <c r="R7651" s="2">
        <v>42460</v>
      </c>
      <c r="S7651" s="2">
        <v>42464</v>
      </c>
      <c r="T7651" s="2">
        <v>42460</v>
      </c>
      <c r="U7651" s="2">
        <v>42520</v>
      </c>
      <c r="V7651" t="s">
        <v>71</v>
      </c>
      <c r="W7651" t="str">
        <f>"             2993/03"</f>
        <v xml:space="preserve">             2993/03</v>
      </c>
      <c r="X7651">
        <v>572</v>
      </c>
      <c r="Y7651">
        <v>0</v>
      </c>
      <c r="Z7651"/>
      <c r="AB7651"/>
      <c r="AC7651">
        <v>550</v>
      </c>
      <c r="AD7651">
        <v>56</v>
      </c>
      <c r="AE7651" s="1">
        <v>30800</v>
      </c>
      <c r="AF7651">
        <v>0</v>
      </c>
      <c r="AJ7651">
        <v>0</v>
      </c>
      <c r="AK7651">
        <v>0</v>
      </c>
      <c r="AL7651">
        <v>0</v>
      </c>
      <c r="AM7651">
        <v>572</v>
      </c>
      <c r="AN7651">
        <v>572</v>
      </c>
      <c r="AO7651">
        <v>572</v>
      </c>
      <c r="AP7651" s="2">
        <v>42746</v>
      </c>
      <c r="AQ7651" t="s">
        <v>72</v>
      </c>
      <c r="AR7651" t="s">
        <v>72</v>
      </c>
      <c r="AS7651">
        <v>1893</v>
      </c>
      <c r="AT7651" s="4">
        <v>42576</v>
      </c>
      <c r="AU7651" t="s">
        <v>73</v>
      </c>
      <c r="AV7651">
        <v>1893</v>
      </c>
      <c r="AW7651" s="4">
        <v>42576</v>
      </c>
      <c r="BD7651">
        <v>0</v>
      </c>
      <c r="BN7651" t="s">
        <v>74</v>
      </c>
    </row>
    <row r="7652" spans="1:66" hidden="1">
      <c r="A7652">
        <v>104379</v>
      </c>
      <c r="B7652" s="3" t="s">
        <v>656</v>
      </c>
      <c r="C7652" s="1">
        <v>43300101</v>
      </c>
      <c r="D7652" t="s">
        <v>67</v>
      </c>
      <c r="H7652" t="str">
        <f t="shared" si="759"/>
        <v>07668030583</v>
      </c>
      <c r="I7652" t="str">
        <f t="shared" si="760"/>
        <v>01836081008</v>
      </c>
      <c r="K7652" t="str">
        <f>""</f>
        <v/>
      </c>
      <c r="M7652" t="s">
        <v>68</v>
      </c>
      <c r="N7652" t="str">
        <f t="shared" si="756"/>
        <v>FOR</v>
      </c>
      <c r="O7652" t="s">
        <v>69</v>
      </c>
      <c r="P7652" s="3" t="s">
        <v>75</v>
      </c>
      <c r="Q7652">
        <v>2016</v>
      </c>
      <c r="R7652" s="2">
        <v>42489</v>
      </c>
      <c r="S7652" s="2">
        <v>42496</v>
      </c>
      <c r="T7652" s="2">
        <v>42495</v>
      </c>
      <c r="U7652" s="2">
        <v>42555</v>
      </c>
      <c r="V7652" t="s">
        <v>71</v>
      </c>
      <c r="W7652" t="str">
        <f>"             3448/03"</f>
        <v xml:space="preserve">             3448/03</v>
      </c>
      <c r="X7652">
        <v>572</v>
      </c>
      <c r="Y7652">
        <v>0</v>
      </c>
      <c r="Z7652"/>
      <c r="AB7652"/>
      <c r="AC7652">
        <v>550</v>
      </c>
      <c r="AD7652">
        <v>64</v>
      </c>
      <c r="AE7652" s="1">
        <v>35200</v>
      </c>
      <c r="AF7652">
        <v>0</v>
      </c>
      <c r="AJ7652">
        <v>0</v>
      </c>
      <c r="AK7652">
        <v>0</v>
      </c>
      <c r="AL7652">
        <v>0</v>
      </c>
      <c r="AM7652">
        <v>572</v>
      </c>
      <c r="AN7652">
        <v>572</v>
      </c>
      <c r="AO7652">
        <v>572</v>
      </c>
      <c r="AP7652" s="2">
        <v>42746</v>
      </c>
      <c r="AQ7652" t="s">
        <v>72</v>
      </c>
      <c r="AR7652" t="s">
        <v>72</v>
      </c>
      <c r="AS7652">
        <v>2267</v>
      </c>
      <c r="AT7652" s="4">
        <v>42619</v>
      </c>
      <c r="AU7652" t="s">
        <v>73</v>
      </c>
      <c r="AV7652">
        <v>2267</v>
      </c>
      <c r="AW7652" s="4">
        <v>42619</v>
      </c>
      <c r="BD7652">
        <v>0</v>
      </c>
      <c r="BN7652" t="s">
        <v>74</v>
      </c>
    </row>
    <row r="7653" spans="1:66" hidden="1">
      <c r="A7653">
        <v>104379</v>
      </c>
      <c r="B7653" s="3" t="s">
        <v>656</v>
      </c>
      <c r="C7653" s="1">
        <v>43300101</v>
      </c>
      <c r="D7653" t="s">
        <v>67</v>
      </c>
      <c r="H7653" t="str">
        <f t="shared" si="759"/>
        <v>07668030583</v>
      </c>
      <c r="I7653" t="str">
        <f t="shared" si="760"/>
        <v>01836081008</v>
      </c>
      <c r="K7653" t="str">
        <f>""</f>
        <v/>
      </c>
      <c r="M7653" t="s">
        <v>68</v>
      </c>
      <c r="N7653" t="str">
        <f t="shared" si="756"/>
        <v>FOR</v>
      </c>
      <c r="O7653" t="s">
        <v>69</v>
      </c>
      <c r="P7653" s="3" t="s">
        <v>75</v>
      </c>
      <c r="Q7653">
        <v>2016</v>
      </c>
      <c r="R7653" s="2">
        <v>42489</v>
      </c>
      <c r="S7653" s="2">
        <v>42496</v>
      </c>
      <c r="T7653" s="2">
        <v>42495</v>
      </c>
      <c r="U7653" s="2">
        <v>42555</v>
      </c>
      <c r="V7653" t="s">
        <v>71</v>
      </c>
      <c r="W7653" t="str">
        <f>"             3449/03"</f>
        <v xml:space="preserve">             3449/03</v>
      </c>
      <c r="X7653">
        <v>144.56</v>
      </c>
      <c r="Y7653">
        <v>0</v>
      </c>
      <c r="Z7653"/>
      <c r="AB7653"/>
      <c r="AC7653">
        <v>139</v>
      </c>
      <c r="AD7653">
        <v>64</v>
      </c>
      <c r="AE7653" s="1">
        <v>8896</v>
      </c>
      <c r="AF7653">
        <v>0</v>
      </c>
      <c r="AJ7653">
        <v>0</v>
      </c>
      <c r="AK7653">
        <v>0</v>
      </c>
      <c r="AL7653">
        <v>0</v>
      </c>
      <c r="AM7653">
        <v>144.56</v>
      </c>
      <c r="AN7653">
        <v>144.56</v>
      </c>
      <c r="AO7653">
        <v>144.56</v>
      </c>
      <c r="AP7653" s="2">
        <v>42746</v>
      </c>
      <c r="AQ7653" t="s">
        <v>72</v>
      </c>
      <c r="AR7653" t="s">
        <v>72</v>
      </c>
      <c r="AS7653">
        <v>2267</v>
      </c>
      <c r="AT7653" s="4">
        <v>42619</v>
      </c>
      <c r="AU7653" t="s">
        <v>73</v>
      </c>
      <c r="AV7653">
        <v>2267</v>
      </c>
      <c r="AW7653" s="4">
        <v>42619</v>
      </c>
      <c r="BD7653">
        <v>0</v>
      </c>
      <c r="BN7653" t="s">
        <v>74</v>
      </c>
    </row>
    <row r="7654" spans="1:66" hidden="1">
      <c r="A7654">
        <v>104379</v>
      </c>
      <c r="B7654" s="3" t="s">
        <v>656</v>
      </c>
      <c r="C7654" s="1">
        <v>43300101</v>
      </c>
      <c r="D7654" t="s">
        <v>67</v>
      </c>
      <c r="H7654" t="str">
        <f t="shared" si="759"/>
        <v>07668030583</v>
      </c>
      <c r="I7654" t="str">
        <f t="shared" si="760"/>
        <v>01836081008</v>
      </c>
      <c r="K7654" t="str">
        <f>""</f>
        <v/>
      </c>
      <c r="M7654" t="s">
        <v>68</v>
      </c>
      <c r="N7654" t="str">
        <f t="shared" si="756"/>
        <v>FOR</v>
      </c>
      <c r="O7654" t="s">
        <v>69</v>
      </c>
      <c r="P7654" s="3" t="s">
        <v>75</v>
      </c>
      <c r="Q7654">
        <v>2016</v>
      </c>
      <c r="R7654" s="2">
        <v>42489</v>
      </c>
      <c r="S7654" s="2">
        <v>42496</v>
      </c>
      <c r="T7654" s="2">
        <v>42495</v>
      </c>
      <c r="U7654" s="2">
        <v>42555</v>
      </c>
      <c r="V7654" t="s">
        <v>71</v>
      </c>
      <c r="W7654" t="str">
        <f>"             3450/03"</f>
        <v xml:space="preserve">             3450/03</v>
      </c>
      <c r="X7654">
        <v>144.56</v>
      </c>
      <c r="Y7654">
        <v>0</v>
      </c>
      <c r="Z7654"/>
      <c r="AB7654"/>
      <c r="AC7654">
        <v>139</v>
      </c>
      <c r="AD7654">
        <v>64</v>
      </c>
      <c r="AE7654" s="1">
        <v>8896</v>
      </c>
      <c r="AF7654">
        <v>0</v>
      </c>
      <c r="AJ7654">
        <v>0</v>
      </c>
      <c r="AK7654">
        <v>0</v>
      </c>
      <c r="AL7654">
        <v>0</v>
      </c>
      <c r="AM7654">
        <v>144.56</v>
      </c>
      <c r="AN7654">
        <v>144.56</v>
      </c>
      <c r="AO7654">
        <v>144.56</v>
      </c>
      <c r="AP7654" s="2">
        <v>42746</v>
      </c>
      <c r="AQ7654" t="s">
        <v>72</v>
      </c>
      <c r="AR7654" t="s">
        <v>72</v>
      </c>
      <c r="AS7654">
        <v>2267</v>
      </c>
      <c r="AT7654" s="4">
        <v>42619</v>
      </c>
      <c r="AU7654" t="s">
        <v>73</v>
      </c>
      <c r="AV7654">
        <v>2267</v>
      </c>
      <c r="AW7654" s="4">
        <v>42619</v>
      </c>
      <c r="BD7654">
        <v>0</v>
      </c>
      <c r="BN7654" t="s">
        <v>74</v>
      </c>
    </row>
    <row r="7655" spans="1:66" hidden="1">
      <c r="A7655">
        <v>104379</v>
      </c>
      <c r="B7655" s="3" t="s">
        <v>656</v>
      </c>
      <c r="C7655" s="1">
        <v>43300101</v>
      </c>
      <c r="D7655" t="s">
        <v>67</v>
      </c>
      <c r="H7655" t="str">
        <f t="shared" si="759"/>
        <v>07668030583</v>
      </c>
      <c r="I7655" t="str">
        <f t="shared" si="760"/>
        <v>01836081008</v>
      </c>
      <c r="K7655" t="str">
        <f>""</f>
        <v/>
      </c>
      <c r="M7655" t="s">
        <v>68</v>
      </c>
      <c r="N7655" t="str">
        <f t="shared" si="756"/>
        <v>FOR</v>
      </c>
      <c r="O7655" t="s">
        <v>69</v>
      </c>
      <c r="P7655" s="3" t="s">
        <v>75</v>
      </c>
      <c r="Q7655">
        <v>2016</v>
      </c>
      <c r="R7655" s="2">
        <v>42489</v>
      </c>
      <c r="S7655" s="2">
        <v>42496</v>
      </c>
      <c r="T7655" s="2">
        <v>42495</v>
      </c>
      <c r="U7655" s="2">
        <v>42555</v>
      </c>
      <c r="V7655" t="s">
        <v>71</v>
      </c>
      <c r="W7655" t="str">
        <f>"             3451/03"</f>
        <v xml:space="preserve">             3451/03</v>
      </c>
      <c r="X7655">
        <v>572</v>
      </c>
      <c r="Y7655">
        <v>0</v>
      </c>
      <c r="Z7655"/>
      <c r="AB7655"/>
      <c r="AC7655">
        <v>550</v>
      </c>
      <c r="AD7655">
        <v>64</v>
      </c>
      <c r="AE7655" s="1">
        <v>35200</v>
      </c>
      <c r="AF7655">
        <v>0</v>
      </c>
      <c r="AJ7655">
        <v>0</v>
      </c>
      <c r="AK7655">
        <v>0</v>
      </c>
      <c r="AL7655">
        <v>0</v>
      </c>
      <c r="AM7655">
        <v>572</v>
      </c>
      <c r="AN7655">
        <v>572</v>
      </c>
      <c r="AO7655">
        <v>572</v>
      </c>
      <c r="AP7655" s="2">
        <v>42746</v>
      </c>
      <c r="AQ7655" t="s">
        <v>72</v>
      </c>
      <c r="AR7655" t="s">
        <v>72</v>
      </c>
      <c r="AS7655">
        <v>2267</v>
      </c>
      <c r="AT7655" s="4">
        <v>42619</v>
      </c>
      <c r="AU7655" t="s">
        <v>73</v>
      </c>
      <c r="AV7655">
        <v>2267</v>
      </c>
      <c r="AW7655" s="4">
        <v>42619</v>
      </c>
      <c r="BD7655">
        <v>0</v>
      </c>
      <c r="BN7655" t="s">
        <v>74</v>
      </c>
    </row>
    <row r="7656" spans="1:66" hidden="1">
      <c r="A7656">
        <v>104379</v>
      </c>
      <c r="B7656" s="3" t="s">
        <v>656</v>
      </c>
      <c r="C7656" s="1">
        <v>43300101</v>
      </c>
      <c r="D7656" t="s">
        <v>67</v>
      </c>
      <c r="H7656" t="str">
        <f t="shared" si="759"/>
        <v>07668030583</v>
      </c>
      <c r="I7656" t="str">
        <f t="shared" si="760"/>
        <v>01836081008</v>
      </c>
      <c r="K7656" t="str">
        <f>""</f>
        <v/>
      </c>
      <c r="M7656" t="s">
        <v>68</v>
      </c>
      <c r="N7656" t="str">
        <f t="shared" si="756"/>
        <v>FOR</v>
      </c>
      <c r="O7656" t="s">
        <v>69</v>
      </c>
      <c r="P7656" s="3" t="s">
        <v>75</v>
      </c>
      <c r="Q7656">
        <v>2016</v>
      </c>
      <c r="R7656" s="2">
        <v>42489</v>
      </c>
      <c r="S7656" s="2">
        <v>42496</v>
      </c>
      <c r="T7656" s="2">
        <v>42495</v>
      </c>
      <c r="U7656" s="2">
        <v>42555</v>
      </c>
      <c r="V7656" t="s">
        <v>71</v>
      </c>
      <c r="W7656" t="str">
        <f>"             3452/03"</f>
        <v xml:space="preserve">             3452/03</v>
      </c>
      <c r="X7656">
        <v>572</v>
      </c>
      <c r="Y7656">
        <v>0</v>
      </c>
      <c r="Z7656"/>
      <c r="AB7656"/>
      <c r="AC7656">
        <v>550</v>
      </c>
      <c r="AD7656">
        <v>64</v>
      </c>
      <c r="AE7656" s="1">
        <v>35200</v>
      </c>
      <c r="AF7656">
        <v>0</v>
      </c>
      <c r="AJ7656">
        <v>0</v>
      </c>
      <c r="AK7656">
        <v>0</v>
      </c>
      <c r="AL7656">
        <v>0</v>
      </c>
      <c r="AM7656">
        <v>572</v>
      </c>
      <c r="AN7656">
        <v>572</v>
      </c>
      <c r="AO7656">
        <v>572</v>
      </c>
      <c r="AP7656" s="2">
        <v>42746</v>
      </c>
      <c r="AQ7656" t="s">
        <v>72</v>
      </c>
      <c r="AR7656" t="s">
        <v>72</v>
      </c>
      <c r="AS7656">
        <v>2267</v>
      </c>
      <c r="AT7656" s="4">
        <v>42619</v>
      </c>
      <c r="AU7656" t="s">
        <v>73</v>
      </c>
      <c r="AV7656">
        <v>2267</v>
      </c>
      <c r="AW7656" s="4">
        <v>42619</v>
      </c>
      <c r="BD7656">
        <v>0</v>
      </c>
      <c r="BN7656" t="s">
        <v>74</v>
      </c>
    </row>
    <row r="7657" spans="1:66" hidden="1">
      <c r="A7657">
        <v>104379</v>
      </c>
      <c r="B7657" s="3" t="s">
        <v>656</v>
      </c>
      <c r="C7657" s="1">
        <v>43300101</v>
      </c>
      <c r="D7657" t="s">
        <v>67</v>
      </c>
      <c r="H7657" t="str">
        <f t="shared" si="759"/>
        <v>07668030583</v>
      </c>
      <c r="I7657" t="str">
        <f t="shared" si="760"/>
        <v>01836081008</v>
      </c>
      <c r="K7657" t="str">
        <f>""</f>
        <v/>
      </c>
      <c r="M7657" t="s">
        <v>68</v>
      </c>
      <c r="N7657" t="str">
        <f t="shared" si="756"/>
        <v>FOR</v>
      </c>
      <c r="O7657" t="s">
        <v>69</v>
      </c>
      <c r="P7657" s="3" t="s">
        <v>75</v>
      </c>
      <c r="Q7657">
        <v>2016</v>
      </c>
      <c r="R7657" s="2">
        <v>42489</v>
      </c>
      <c r="S7657" s="2">
        <v>42496</v>
      </c>
      <c r="T7657" s="2">
        <v>42495</v>
      </c>
      <c r="U7657" s="2">
        <v>42555</v>
      </c>
      <c r="V7657" t="s">
        <v>71</v>
      </c>
      <c r="W7657" t="str">
        <f>"             3453/03"</f>
        <v xml:space="preserve">             3453/03</v>
      </c>
      <c r="X7657">
        <v>572</v>
      </c>
      <c r="Y7657">
        <v>0</v>
      </c>
      <c r="Z7657"/>
      <c r="AB7657"/>
      <c r="AC7657">
        <v>550</v>
      </c>
      <c r="AD7657">
        <v>64</v>
      </c>
      <c r="AE7657" s="1">
        <v>35200</v>
      </c>
      <c r="AF7657">
        <v>0</v>
      </c>
      <c r="AJ7657">
        <v>0</v>
      </c>
      <c r="AK7657">
        <v>0</v>
      </c>
      <c r="AL7657">
        <v>0</v>
      </c>
      <c r="AM7657">
        <v>572</v>
      </c>
      <c r="AN7657">
        <v>572</v>
      </c>
      <c r="AO7657">
        <v>572</v>
      </c>
      <c r="AP7657" s="2">
        <v>42746</v>
      </c>
      <c r="AQ7657" t="s">
        <v>72</v>
      </c>
      <c r="AR7657" t="s">
        <v>72</v>
      </c>
      <c r="AS7657">
        <v>2267</v>
      </c>
      <c r="AT7657" s="4">
        <v>42619</v>
      </c>
      <c r="AU7657" t="s">
        <v>73</v>
      </c>
      <c r="AV7657">
        <v>2267</v>
      </c>
      <c r="AW7657" s="4">
        <v>42619</v>
      </c>
      <c r="BD7657">
        <v>0</v>
      </c>
      <c r="BN7657" t="s">
        <v>74</v>
      </c>
    </row>
    <row r="7658" spans="1:66" hidden="1">
      <c r="A7658">
        <v>104379</v>
      </c>
      <c r="B7658" s="3" t="s">
        <v>656</v>
      </c>
      <c r="C7658" s="1">
        <v>43300101</v>
      </c>
      <c r="D7658" t="s">
        <v>67</v>
      </c>
      <c r="H7658" t="str">
        <f t="shared" si="759"/>
        <v>07668030583</v>
      </c>
      <c r="I7658" t="str">
        <f t="shared" si="760"/>
        <v>01836081008</v>
      </c>
      <c r="K7658" t="str">
        <f>""</f>
        <v/>
      </c>
      <c r="M7658" t="s">
        <v>68</v>
      </c>
      <c r="N7658" t="str">
        <f t="shared" si="756"/>
        <v>FOR</v>
      </c>
      <c r="O7658" t="s">
        <v>69</v>
      </c>
      <c r="P7658" s="3" t="s">
        <v>75</v>
      </c>
      <c r="Q7658">
        <v>2016</v>
      </c>
      <c r="R7658" s="2">
        <v>42489</v>
      </c>
      <c r="S7658" s="2">
        <v>42496</v>
      </c>
      <c r="T7658" s="2">
        <v>42495</v>
      </c>
      <c r="U7658" s="2">
        <v>42555</v>
      </c>
      <c r="V7658" t="s">
        <v>71</v>
      </c>
      <c r="W7658" t="str">
        <f>"             3454/03"</f>
        <v xml:space="preserve">             3454/03</v>
      </c>
      <c r="X7658">
        <v>144.56</v>
      </c>
      <c r="Y7658">
        <v>0</v>
      </c>
      <c r="Z7658"/>
      <c r="AB7658"/>
      <c r="AC7658">
        <v>139</v>
      </c>
      <c r="AD7658">
        <v>64</v>
      </c>
      <c r="AE7658" s="1">
        <v>8896</v>
      </c>
      <c r="AF7658">
        <v>0</v>
      </c>
      <c r="AJ7658">
        <v>0</v>
      </c>
      <c r="AK7658">
        <v>0</v>
      </c>
      <c r="AL7658">
        <v>0</v>
      </c>
      <c r="AM7658">
        <v>144.56</v>
      </c>
      <c r="AN7658">
        <v>144.56</v>
      </c>
      <c r="AO7658">
        <v>144.56</v>
      </c>
      <c r="AP7658" s="2">
        <v>42746</v>
      </c>
      <c r="AQ7658" t="s">
        <v>72</v>
      </c>
      <c r="AR7658" t="s">
        <v>72</v>
      </c>
      <c r="AS7658">
        <v>2267</v>
      </c>
      <c r="AT7658" s="4">
        <v>42619</v>
      </c>
      <c r="AU7658" t="s">
        <v>73</v>
      </c>
      <c r="AV7658">
        <v>2267</v>
      </c>
      <c r="AW7658" s="4">
        <v>42619</v>
      </c>
      <c r="BD7658">
        <v>0</v>
      </c>
      <c r="BN7658" t="s">
        <v>74</v>
      </c>
    </row>
    <row r="7659" spans="1:66" hidden="1">
      <c r="A7659">
        <v>104379</v>
      </c>
      <c r="B7659" s="3" t="s">
        <v>656</v>
      </c>
      <c r="C7659" s="1">
        <v>43300101</v>
      </c>
      <c r="D7659" t="s">
        <v>67</v>
      </c>
      <c r="H7659" t="str">
        <f t="shared" si="759"/>
        <v>07668030583</v>
      </c>
      <c r="I7659" t="str">
        <f t="shared" si="760"/>
        <v>01836081008</v>
      </c>
      <c r="K7659" t="str">
        <f>""</f>
        <v/>
      </c>
      <c r="M7659" t="s">
        <v>68</v>
      </c>
      <c r="N7659" t="str">
        <f t="shared" si="756"/>
        <v>FOR</v>
      </c>
      <c r="O7659" t="s">
        <v>69</v>
      </c>
      <c r="P7659" s="3" t="s">
        <v>75</v>
      </c>
      <c r="Q7659">
        <v>2016</v>
      </c>
      <c r="R7659" s="2">
        <v>42489</v>
      </c>
      <c r="S7659" s="2">
        <v>42496</v>
      </c>
      <c r="T7659" s="2">
        <v>42495</v>
      </c>
      <c r="U7659" s="2">
        <v>42555</v>
      </c>
      <c r="V7659" t="s">
        <v>71</v>
      </c>
      <c r="W7659" t="str">
        <f>"             3455/03"</f>
        <v xml:space="preserve">             3455/03</v>
      </c>
      <c r="X7659">
        <v>144.56</v>
      </c>
      <c r="Y7659">
        <v>0</v>
      </c>
      <c r="Z7659"/>
      <c r="AB7659"/>
      <c r="AC7659">
        <v>139</v>
      </c>
      <c r="AD7659">
        <v>64</v>
      </c>
      <c r="AE7659" s="1">
        <v>8896</v>
      </c>
      <c r="AF7659">
        <v>0</v>
      </c>
      <c r="AJ7659">
        <v>0</v>
      </c>
      <c r="AK7659">
        <v>0</v>
      </c>
      <c r="AL7659">
        <v>0</v>
      </c>
      <c r="AM7659">
        <v>144.56</v>
      </c>
      <c r="AN7659">
        <v>144.56</v>
      </c>
      <c r="AO7659">
        <v>144.56</v>
      </c>
      <c r="AP7659" s="2">
        <v>42746</v>
      </c>
      <c r="AQ7659" t="s">
        <v>72</v>
      </c>
      <c r="AR7659" t="s">
        <v>72</v>
      </c>
      <c r="AS7659">
        <v>2267</v>
      </c>
      <c r="AT7659" s="4">
        <v>42619</v>
      </c>
      <c r="AU7659" t="s">
        <v>73</v>
      </c>
      <c r="AV7659">
        <v>2267</v>
      </c>
      <c r="AW7659" s="4">
        <v>42619</v>
      </c>
      <c r="BD7659">
        <v>0</v>
      </c>
      <c r="BN7659" t="s">
        <v>74</v>
      </c>
    </row>
    <row r="7660" spans="1:66" hidden="1">
      <c r="A7660">
        <v>104379</v>
      </c>
      <c r="B7660" s="3" t="s">
        <v>656</v>
      </c>
      <c r="C7660" s="1">
        <v>43300101</v>
      </c>
      <c r="D7660" t="s">
        <v>67</v>
      </c>
      <c r="H7660" t="str">
        <f t="shared" si="759"/>
        <v>07668030583</v>
      </c>
      <c r="I7660" t="str">
        <f t="shared" si="760"/>
        <v>01836081008</v>
      </c>
      <c r="K7660" t="str">
        <f>""</f>
        <v/>
      </c>
      <c r="M7660" t="s">
        <v>68</v>
      </c>
      <c r="N7660" t="str">
        <f t="shared" si="756"/>
        <v>FOR</v>
      </c>
      <c r="O7660" t="s">
        <v>69</v>
      </c>
      <c r="P7660" s="3" t="s">
        <v>75</v>
      </c>
      <c r="Q7660">
        <v>2016</v>
      </c>
      <c r="R7660" s="2">
        <v>42489</v>
      </c>
      <c r="S7660" s="2">
        <v>42496</v>
      </c>
      <c r="T7660" s="2">
        <v>42495</v>
      </c>
      <c r="U7660" s="2">
        <v>42555</v>
      </c>
      <c r="V7660" t="s">
        <v>71</v>
      </c>
      <c r="W7660" t="str">
        <f>"             3456/03"</f>
        <v xml:space="preserve">             3456/03</v>
      </c>
      <c r="X7660">
        <v>520</v>
      </c>
      <c r="Y7660">
        <v>0</v>
      </c>
      <c r="Z7660"/>
      <c r="AB7660"/>
      <c r="AC7660">
        <v>500</v>
      </c>
      <c r="AD7660">
        <v>64</v>
      </c>
      <c r="AE7660" s="1">
        <v>32000</v>
      </c>
      <c r="AF7660">
        <v>0</v>
      </c>
      <c r="AJ7660">
        <v>0</v>
      </c>
      <c r="AK7660">
        <v>0</v>
      </c>
      <c r="AL7660">
        <v>0</v>
      </c>
      <c r="AM7660">
        <v>520</v>
      </c>
      <c r="AN7660">
        <v>520</v>
      </c>
      <c r="AO7660">
        <v>520</v>
      </c>
      <c r="AP7660" s="2">
        <v>42746</v>
      </c>
      <c r="AQ7660" t="s">
        <v>72</v>
      </c>
      <c r="AR7660" t="s">
        <v>72</v>
      </c>
      <c r="AS7660">
        <v>2267</v>
      </c>
      <c r="AT7660" s="4">
        <v>42619</v>
      </c>
      <c r="AU7660" t="s">
        <v>73</v>
      </c>
      <c r="AV7660">
        <v>2267</v>
      </c>
      <c r="AW7660" s="4">
        <v>42619</v>
      </c>
      <c r="BD7660">
        <v>0</v>
      </c>
      <c r="BN7660" t="s">
        <v>74</v>
      </c>
    </row>
    <row r="7661" spans="1:66" hidden="1">
      <c r="A7661">
        <v>104379</v>
      </c>
      <c r="B7661" s="3" t="s">
        <v>656</v>
      </c>
      <c r="C7661" s="1">
        <v>43300101</v>
      </c>
      <c r="D7661" t="s">
        <v>67</v>
      </c>
      <c r="H7661" t="str">
        <f t="shared" si="759"/>
        <v>07668030583</v>
      </c>
      <c r="I7661" t="str">
        <f t="shared" si="760"/>
        <v>01836081008</v>
      </c>
      <c r="K7661" t="str">
        <f>""</f>
        <v/>
      </c>
      <c r="M7661" t="s">
        <v>68</v>
      </c>
      <c r="N7661" t="str">
        <f t="shared" si="756"/>
        <v>FOR</v>
      </c>
      <c r="O7661" t="s">
        <v>69</v>
      </c>
      <c r="P7661" s="3" t="s">
        <v>75</v>
      </c>
      <c r="Q7661">
        <v>2016</v>
      </c>
      <c r="R7661" s="2">
        <v>42489</v>
      </c>
      <c r="S7661" s="2">
        <v>42496</v>
      </c>
      <c r="T7661" s="2">
        <v>42495</v>
      </c>
      <c r="U7661" s="2">
        <v>42555</v>
      </c>
      <c r="V7661" t="s">
        <v>71</v>
      </c>
      <c r="W7661" t="str">
        <f>"             3457/03"</f>
        <v xml:space="preserve">             3457/03</v>
      </c>
      <c r="X7661">
        <v>572</v>
      </c>
      <c r="Y7661">
        <v>0</v>
      </c>
      <c r="Z7661"/>
      <c r="AB7661"/>
      <c r="AC7661">
        <v>550</v>
      </c>
      <c r="AD7661">
        <v>64</v>
      </c>
      <c r="AE7661" s="1">
        <v>35200</v>
      </c>
      <c r="AF7661">
        <v>0</v>
      </c>
      <c r="AJ7661">
        <v>0</v>
      </c>
      <c r="AK7661">
        <v>0</v>
      </c>
      <c r="AL7661">
        <v>0</v>
      </c>
      <c r="AM7661">
        <v>572</v>
      </c>
      <c r="AN7661">
        <v>572</v>
      </c>
      <c r="AO7661">
        <v>572</v>
      </c>
      <c r="AP7661" s="2">
        <v>42746</v>
      </c>
      <c r="AQ7661" t="s">
        <v>72</v>
      </c>
      <c r="AR7661" t="s">
        <v>72</v>
      </c>
      <c r="AS7661">
        <v>2267</v>
      </c>
      <c r="AT7661" s="4">
        <v>42619</v>
      </c>
      <c r="AU7661" t="s">
        <v>73</v>
      </c>
      <c r="AV7661">
        <v>2267</v>
      </c>
      <c r="AW7661" s="4">
        <v>42619</v>
      </c>
      <c r="BD7661">
        <v>0</v>
      </c>
      <c r="BN7661" t="s">
        <v>74</v>
      </c>
    </row>
    <row r="7662" spans="1:66" hidden="1">
      <c r="A7662">
        <v>104379</v>
      </c>
      <c r="B7662" s="3" t="s">
        <v>656</v>
      </c>
      <c r="C7662" s="1">
        <v>43300101</v>
      </c>
      <c r="D7662" t="s">
        <v>67</v>
      </c>
      <c r="H7662" t="str">
        <f t="shared" si="759"/>
        <v>07668030583</v>
      </c>
      <c r="I7662" t="str">
        <f t="shared" si="760"/>
        <v>01836081008</v>
      </c>
      <c r="K7662" t="str">
        <f>""</f>
        <v/>
      </c>
      <c r="M7662" t="s">
        <v>68</v>
      </c>
      <c r="N7662" t="str">
        <f t="shared" si="756"/>
        <v>FOR</v>
      </c>
      <c r="O7662" t="s">
        <v>69</v>
      </c>
      <c r="P7662" s="3" t="s">
        <v>75</v>
      </c>
      <c r="Q7662">
        <v>2016</v>
      </c>
      <c r="R7662" s="2">
        <v>42489</v>
      </c>
      <c r="S7662" s="2">
        <v>42496</v>
      </c>
      <c r="T7662" s="2">
        <v>42495</v>
      </c>
      <c r="U7662" s="2">
        <v>42555</v>
      </c>
      <c r="V7662" t="s">
        <v>71</v>
      </c>
      <c r="W7662" t="str">
        <f>"             3458/03"</f>
        <v xml:space="preserve">             3458/03</v>
      </c>
      <c r="X7662">
        <v>144.56</v>
      </c>
      <c r="Y7662">
        <v>0</v>
      </c>
      <c r="Z7662"/>
      <c r="AB7662"/>
      <c r="AC7662">
        <v>139</v>
      </c>
      <c r="AD7662">
        <v>64</v>
      </c>
      <c r="AE7662" s="1">
        <v>8896</v>
      </c>
      <c r="AF7662">
        <v>0</v>
      </c>
      <c r="AJ7662">
        <v>0</v>
      </c>
      <c r="AK7662">
        <v>0</v>
      </c>
      <c r="AL7662">
        <v>0</v>
      </c>
      <c r="AM7662">
        <v>144.56</v>
      </c>
      <c r="AN7662">
        <v>144.56</v>
      </c>
      <c r="AO7662">
        <v>144.56</v>
      </c>
      <c r="AP7662" s="2">
        <v>42746</v>
      </c>
      <c r="AQ7662" t="s">
        <v>72</v>
      </c>
      <c r="AR7662" t="s">
        <v>72</v>
      </c>
      <c r="AS7662">
        <v>2267</v>
      </c>
      <c r="AT7662" s="4">
        <v>42619</v>
      </c>
      <c r="AU7662" t="s">
        <v>73</v>
      </c>
      <c r="AV7662">
        <v>2267</v>
      </c>
      <c r="AW7662" s="4">
        <v>42619</v>
      </c>
      <c r="BD7662">
        <v>0</v>
      </c>
      <c r="BN7662" t="s">
        <v>74</v>
      </c>
    </row>
    <row r="7663" spans="1:66" hidden="1">
      <c r="A7663">
        <v>104379</v>
      </c>
      <c r="B7663" s="3" t="s">
        <v>656</v>
      </c>
      <c r="C7663" s="1">
        <v>43300101</v>
      </c>
      <c r="D7663" t="s">
        <v>67</v>
      </c>
      <c r="H7663" t="str">
        <f t="shared" si="759"/>
        <v>07668030583</v>
      </c>
      <c r="I7663" t="str">
        <f t="shared" si="760"/>
        <v>01836081008</v>
      </c>
      <c r="K7663" t="str">
        <f>""</f>
        <v/>
      </c>
      <c r="M7663" t="s">
        <v>68</v>
      </c>
      <c r="N7663" t="str">
        <f t="shared" si="756"/>
        <v>FOR</v>
      </c>
      <c r="O7663" t="s">
        <v>69</v>
      </c>
      <c r="P7663" s="3" t="s">
        <v>75</v>
      </c>
      <c r="Q7663">
        <v>2016</v>
      </c>
      <c r="R7663" s="2">
        <v>42489</v>
      </c>
      <c r="S7663" s="2">
        <v>42496</v>
      </c>
      <c r="T7663" s="2">
        <v>42495</v>
      </c>
      <c r="U7663" s="2">
        <v>42555</v>
      </c>
      <c r="V7663" t="s">
        <v>71</v>
      </c>
      <c r="W7663" t="str">
        <f>"             3459/03"</f>
        <v xml:space="preserve">             3459/03</v>
      </c>
      <c r="X7663">
        <v>520</v>
      </c>
      <c r="Y7663">
        <v>0</v>
      </c>
      <c r="Z7663"/>
      <c r="AB7663"/>
      <c r="AC7663">
        <v>500</v>
      </c>
      <c r="AD7663">
        <v>64</v>
      </c>
      <c r="AE7663" s="1">
        <v>32000</v>
      </c>
      <c r="AF7663">
        <v>0</v>
      </c>
      <c r="AJ7663">
        <v>0</v>
      </c>
      <c r="AK7663">
        <v>0</v>
      </c>
      <c r="AL7663">
        <v>0</v>
      </c>
      <c r="AM7663">
        <v>520</v>
      </c>
      <c r="AN7663">
        <v>520</v>
      </c>
      <c r="AO7663">
        <v>520</v>
      </c>
      <c r="AP7663" s="2">
        <v>42746</v>
      </c>
      <c r="AQ7663" t="s">
        <v>72</v>
      </c>
      <c r="AR7663" t="s">
        <v>72</v>
      </c>
      <c r="AS7663">
        <v>2267</v>
      </c>
      <c r="AT7663" s="4">
        <v>42619</v>
      </c>
      <c r="AU7663" t="s">
        <v>73</v>
      </c>
      <c r="AV7663">
        <v>2267</v>
      </c>
      <c r="AW7663" s="4">
        <v>42619</v>
      </c>
      <c r="BD7663">
        <v>0</v>
      </c>
      <c r="BN7663" t="s">
        <v>74</v>
      </c>
    </row>
    <row r="7664" spans="1:66">
      <c r="A7664">
        <v>104379</v>
      </c>
      <c r="B7664" s="3" t="s">
        <v>656</v>
      </c>
      <c r="C7664" s="1">
        <v>43300101</v>
      </c>
      <c r="D7664" t="s">
        <v>67</v>
      </c>
      <c r="H7664" t="str">
        <f t="shared" si="759"/>
        <v>07668030583</v>
      </c>
      <c r="I7664" t="str">
        <f t="shared" si="760"/>
        <v>01836081008</v>
      </c>
      <c r="K7664" t="str">
        <f>""</f>
        <v/>
      </c>
      <c r="M7664" t="s">
        <v>68</v>
      </c>
      <c r="N7664" t="str">
        <f t="shared" si="756"/>
        <v>FOR</v>
      </c>
      <c r="O7664" t="s">
        <v>69</v>
      </c>
      <c r="P7664" s="3" t="s">
        <v>75</v>
      </c>
      <c r="Q7664">
        <v>2016</v>
      </c>
      <c r="R7664" s="2">
        <v>42551</v>
      </c>
      <c r="S7664" s="2">
        <v>42556</v>
      </c>
      <c r="T7664" s="2">
        <v>42551</v>
      </c>
      <c r="U7664" s="2">
        <v>42611</v>
      </c>
      <c r="V7664" t="s">
        <v>71</v>
      </c>
      <c r="W7664" t="str">
        <f>"             3811/03"</f>
        <v xml:space="preserve">             3811/03</v>
      </c>
      <c r="X7664">
        <v>572</v>
      </c>
      <c r="Y7664">
        <v>0</v>
      </c>
      <c r="Z7664" s="3">
        <v>550</v>
      </c>
      <c r="AA7664">
        <v>35</v>
      </c>
      <c r="AB7664" s="5">
        <v>19250</v>
      </c>
      <c r="AC7664">
        <v>550</v>
      </c>
      <c r="AD7664">
        <v>35</v>
      </c>
      <c r="AE7664" s="1">
        <v>19250</v>
      </c>
      <c r="AF7664">
        <v>0</v>
      </c>
      <c r="AJ7664">
        <v>0</v>
      </c>
      <c r="AK7664">
        <v>0</v>
      </c>
      <c r="AL7664">
        <v>0</v>
      </c>
      <c r="AM7664">
        <v>572</v>
      </c>
      <c r="AN7664">
        <v>572</v>
      </c>
      <c r="AO7664">
        <v>572</v>
      </c>
      <c r="AP7664" s="2">
        <v>42746</v>
      </c>
      <c r="AQ7664" t="s">
        <v>72</v>
      </c>
      <c r="AR7664" t="s">
        <v>72</v>
      </c>
      <c r="AS7664">
        <v>2569</v>
      </c>
      <c r="AT7664" s="4">
        <v>42646</v>
      </c>
      <c r="AU7664" t="s">
        <v>73</v>
      </c>
      <c r="AV7664">
        <v>2569</v>
      </c>
      <c r="AW7664" s="4">
        <v>42646</v>
      </c>
      <c r="BD7664">
        <v>0</v>
      </c>
      <c r="BN7664" t="s">
        <v>74</v>
      </c>
    </row>
    <row r="7665" spans="1:66">
      <c r="A7665">
        <v>104379</v>
      </c>
      <c r="B7665" s="3" t="s">
        <v>656</v>
      </c>
      <c r="C7665" s="1">
        <v>43300101</v>
      </c>
      <c r="D7665" t="s">
        <v>67</v>
      </c>
      <c r="H7665" t="str">
        <f t="shared" si="759"/>
        <v>07668030583</v>
      </c>
      <c r="I7665" t="str">
        <f t="shared" si="760"/>
        <v>01836081008</v>
      </c>
      <c r="K7665" t="str">
        <f>""</f>
        <v/>
      </c>
      <c r="M7665" t="s">
        <v>68</v>
      </c>
      <c r="N7665" t="str">
        <f t="shared" si="756"/>
        <v>FOR</v>
      </c>
      <c r="O7665" t="s">
        <v>69</v>
      </c>
      <c r="P7665" s="3" t="s">
        <v>75</v>
      </c>
      <c r="Q7665">
        <v>2016</v>
      </c>
      <c r="R7665" s="2">
        <v>42551</v>
      </c>
      <c r="S7665" s="2">
        <v>42556</v>
      </c>
      <c r="T7665" s="2">
        <v>42551</v>
      </c>
      <c r="U7665" s="2">
        <v>42611</v>
      </c>
      <c r="V7665" t="s">
        <v>71</v>
      </c>
      <c r="W7665" t="str">
        <f>"             3812/03"</f>
        <v xml:space="preserve">             3812/03</v>
      </c>
      <c r="X7665">
        <v>572</v>
      </c>
      <c r="Y7665">
        <v>0</v>
      </c>
      <c r="Z7665" s="3">
        <v>550</v>
      </c>
      <c r="AA7665">
        <v>35</v>
      </c>
      <c r="AB7665" s="5">
        <v>19250</v>
      </c>
      <c r="AC7665">
        <v>550</v>
      </c>
      <c r="AD7665">
        <v>35</v>
      </c>
      <c r="AE7665" s="1">
        <v>19250</v>
      </c>
      <c r="AF7665">
        <v>0</v>
      </c>
      <c r="AJ7665">
        <v>0</v>
      </c>
      <c r="AK7665">
        <v>0</v>
      </c>
      <c r="AL7665">
        <v>0</v>
      </c>
      <c r="AM7665">
        <v>572</v>
      </c>
      <c r="AN7665">
        <v>572</v>
      </c>
      <c r="AO7665">
        <v>572</v>
      </c>
      <c r="AP7665" s="2">
        <v>42746</v>
      </c>
      <c r="AQ7665" t="s">
        <v>72</v>
      </c>
      <c r="AR7665" t="s">
        <v>72</v>
      </c>
      <c r="AS7665">
        <v>2569</v>
      </c>
      <c r="AT7665" s="4">
        <v>42646</v>
      </c>
      <c r="AU7665" t="s">
        <v>73</v>
      </c>
      <c r="AV7665">
        <v>2569</v>
      </c>
      <c r="AW7665" s="4">
        <v>42646</v>
      </c>
      <c r="BD7665">
        <v>0</v>
      </c>
      <c r="BN7665" t="s">
        <v>74</v>
      </c>
    </row>
    <row r="7666" spans="1:66">
      <c r="A7666">
        <v>104379</v>
      </c>
      <c r="B7666" s="3" t="s">
        <v>656</v>
      </c>
      <c r="C7666" s="1">
        <v>43300101</v>
      </c>
      <c r="D7666" t="s">
        <v>67</v>
      </c>
      <c r="H7666" t="str">
        <f t="shared" si="759"/>
        <v>07668030583</v>
      </c>
      <c r="I7666" t="str">
        <f t="shared" si="760"/>
        <v>01836081008</v>
      </c>
      <c r="K7666" t="str">
        <f>""</f>
        <v/>
      </c>
      <c r="M7666" t="s">
        <v>68</v>
      </c>
      <c r="N7666" t="str">
        <f t="shared" si="756"/>
        <v>FOR</v>
      </c>
      <c r="O7666" t="s">
        <v>69</v>
      </c>
      <c r="P7666" s="3" t="s">
        <v>75</v>
      </c>
      <c r="Q7666">
        <v>2016</v>
      </c>
      <c r="R7666" s="2">
        <v>42551</v>
      </c>
      <c r="S7666" s="2">
        <v>42556</v>
      </c>
      <c r="T7666" s="2">
        <v>42551</v>
      </c>
      <c r="U7666" s="2">
        <v>42611</v>
      </c>
      <c r="V7666" t="s">
        <v>71</v>
      </c>
      <c r="W7666" t="str">
        <f>"             3813/03"</f>
        <v xml:space="preserve">             3813/03</v>
      </c>
      <c r="X7666">
        <v>572</v>
      </c>
      <c r="Y7666">
        <v>0</v>
      </c>
      <c r="Z7666" s="3">
        <v>550</v>
      </c>
      <c r="AA7666">
        <v>35</v>
      </c>
      <c r="AB7666" s="5">
        <v>19250</v>
      </c>
      <c r="AC7666">
        <v>550</v>
      </c>
      <c r="AD7666">
        <v>35</v>
      </c>
      <c r="AE7666" s="1">
        <v>19250</v>
      </c>
      <c r="AF7666">
        <v>0</v>
      </c>
      <c r="AJ7666">
        <v>0</v>
      </c>
      <c r="AK7666">
        <v>0</v>
      </c>
      <c r="AL7666">
        <v>0</v>
      </c>
      <c r="AM7666">
        <v>572</v>
      </c>
      <c r="AN7666">
        <v>572</v>
      </c>
      <c r="AO7666">
        <v>572</v>
      </c>
      <c r="AP7666" s="2">
        <v>42746</v>
      </c>
      <c r="AQ7666" t="s">
        <v>72</v>
      </c>
      <c r="AR7666" t="s">
        <v>72</v>
      </c>
      <c r="AS7666">
        <v>2569</v>
      </c>
      <c r="AT7666" s="4">
        <v>42646</v>
      </c>
      <c r="AU7666" t="s">
        <v>73</v>
      </c>
      <c r="AV7666">
        <v>2569</v>
      </c>
      <c r="AW7666" s="4">
        <v>42646</v>
      </c>
      <c r="BD7666">
        <v>0</v>
      </c>
      <c r="BN7666" t="s">
        <v>74</v>
      </c>
    </row>
    <row r="7667" spans="1:66">
      <c r="A7667">
        <v>104379</v>
      </c>
      <c r="B7667" s="3" t="s">
        <v>656</v>
      </c>
      <c r="C7667" s="1">
        <v>43300101</v>
      </c>
      <c r="D7667" t="s">
        <v>67</v>
      </c>
      <c r="H7667" t="str">
        <f t="shared" si="759"/>
        <v>07668030583</v>
      </c>
      <c r="I7667" t="str">
        <f t="shared" si="760"/>
        <v>01836081008</v>
      </c>
      <c r="K7667" t="str">
        <f>""</f>
        <v/>
      </c>
      <c r="M7667" t="s">
        <v>68</v>
      </c>
      <c r="N7667" t="str">
        <f t="shared" si="756"/>
        <v>FOR</v>
      </c>
      <c r="O7667" t="s">
        <v>69</v>
      </c>
      <c r="P7667" s="3" t="s">
        <v>75</v>
      </c>
      <c r="Q7667">
        <v>2016</v>
      </c>
      <c r="R7667" s="2">
        <v>42551</v>
      </c>
      <c r="S7667" s="2">
        <v>42556</v>
      </c>
      <c r="T7667" s="2">
        <v>42551</v>
      </c>
      <c r="U7667" s="2">
        <v>42611</v>
      </c>
      <c r="V7667" t="s">
        <v>71</v>
      </c>
      <c r="W7667" t="str">
        <f>"             3814/03"</f>
        <v xml:space="preserve">             3814/03</v>
      </c>
      <c r="X7667">
        <v>572</v>
      </c>
      <c r="Y7667">
        <v>0</v>
      </c>
      <c r="Z7667" s="3">
        <v>550</v>
      </c>
      <c r="AA7667">
        <v>35</v>
      </c>
      <c r="AB7667" s="5">
        <v>19250</v>
      </c>
      <c r="AC7667">
        <v>550</v>
      </c>
      <c r="AD7667">
        <v>35</v>
      </c>
      <c r="AE7667" s="1">
        <v>19250</v>
      </c>
      <c r="AF7667">
        <v>0</v>
      </c>
      <c r="AJ7667">
        <v>0</v>
      </c>
      <c r="AK7667">
        <v>0</v>
      </c>
      <c r="AL7667">
        <v>0</v>
      </c>
      <c r="AM7667">
        <v>572</v>
      </c>
      <c r="AN7667">
        <v>572</v>
      </c>
      <c r="AO7667">
        <v>572</v>
      </c>
      <c r="AP7667" s="2">
        <v>42746</v>
      </c>
      <c r="AQ7667" t="s">
        <v>72</v>
      </c>
      <c r="AR7667" t="s">
        <v>72</v>
      </c>
      <c r="AS7667">
        <v>2569</v>
      </c>
      <c r="AT7667" s="4">
        <v>42646</v>
      </c>
      <c r="AU7667" t="s">
        <v>73</v>
      </c>
      <c r="AV7667">
        <v>2569</v>
      </c>
      <c r="AW7667" s="4">
        <v>42646</v>
      </c>
      <c r="BD7667">
        <v>0</v>
      </c>
      <c r="BN7667" t="s">
        <v>74</v>
      </c>
    </row>
    <row r="7668" spans="1:66">
      <c r="A7668">
        <v>104379</v>
      </c>
      <c r="B7668" s="3" t="s">
        <v>656</v>
      </c>
      <c r="C7668" s="1">
        <v>43300101</v>
      </c>
      <c r="D7668" t="s">
        <v>67</v>
      </c>
      <c r="H7668" t="str">
        <f t="shared" si="759"/>
        <v>07668030583</v>
      </c>
      <c r="I7668" t="str">
        <f t="shared" si="760"/>
        <v>01836081008</v>
      </c>
      <c r="K7668" t="str">
        <f>""</f>
        <v/>
      </c>
      <c r="M7668" t="s">
        <v>68</v>
      </c>
      <c r="N7668" t="str">
        <f t="shared" si="756"/>
        <v>FOR</v>
      </c>
      <c r="O7668" t="s">
        <v>69</v>
      </c>
      <c r="P7668" s="3" t="s">
        <v>75</v>
      </c>
      <c r="Q7668">
        <v>2016</v>
      </c>
      <c r="R7668" s="2">
        <v>42551</v>
      </c>
      <c r="S7668" s="2">
        <v>42556</v>
      </c>
      <c r="T7668" s="2">
        <v>42551</v>
      </c>
      <c r="U7668" s="2">
        <v>42611</v>
      </c>
      <c r="V7668" t="s">
        <v>71</v>
      </c>
      <c r="W7668" t="str">
        <f>"             3815/03"</f>
        <v xml:space="preserve">             3815/03</v>
      </c>
      <c r="X7668">
        <v>572</v>
      </c>
      <c r="Y7668">
        <v>0</v>
      </c>
      <c r="Z7668" s="3">
        <v>550</v>
      </c>
      <c r="AA7668">
        <v>35</v>
      </c>
      <c r="AB7668" s="5">
        <v>19250</v>
      </c>
      <c r="AC7668">
        <v>550</v>
      </c>
      <c r="AD7668">
        <v>35</v>
      </c>
      <c r="AE7668" s="1">
        <v>19250</v>
      </c>
      <c r="AF7668">
        <v>0</v>
      </c>
      <c r="AJ7668">
        <v>0</v>
      </c>
      <c r="AK7668">
        <v>0</v>
      </c>
      <c r="AL7668">
        <v>0</v>
      </c>
      <c r="AM7668">
        <v>572</v>
      </c>
      <c r="AN7668">
        <v>572</v>
      </c>
      <c r="AO7668">
        <v>572</v>
      </c>
      <c r="AP7668" s="2">
        <v>42746</v>
      </c>
      <c r="AQ7668" t="s">
        <v>72</v>
      </c>
      <c r="AR7668" t="s">
        <v>72</v>
      </c>
      <c r="AS7668">
        <v>2569</v>
      </c>
      <c r="AT7668" s="4">
        <v>42646</v>
      </c>
      <c r="AU7668" t="s">
        <v>73</v>
      </c>
      <c r="AV7668">
        <v>2569</v>
      </c>
      <c r="AW7668" s="4">
        <v>42646</v>
      </c>
      <c r="BD7668">
        <v>0</v>
      </c>
      <c r="BN7668" t="s">
        <v>74</v>
      </c>
    </row>
    <row r="7669" spans="1:66">
      <c r="A7669">
        <v>104379</v>
      </c>
      <c r="B7669" s="3" t="s">
        <v>656</v>
      </c>
      <c r="C7669" s="1">
        <v>43300101</v>
      </c>
      <c r="D7669" t="s">
        <v>67</v>
      </c>
      <c r="H7669" t="str">
        <f t="shared" si="759"/>
        <v>07668030583</v>
      </c>
      <c r="I7669" t="str">
        <f t="shared" si="760"/>
        <v>01836081008</v>
      </c>
      <c r="K7669" t="str">
        <f>""</f>
        <v/>
      </c>
      <c r="M7669" t="s">
        <v>68</v>
      </c>
      <c r="N7669" t="str">
        <f t="shared" si="756"/>
        <v>FOR</v>
      </c>
      <c r="O7669" t="s">
        <v>69</v>
      </c>
      <c r="P7669" s="3" t="s">
        <v>75</v>
      </c>
      <c r="Q7669">
        <v>2016</v>
      </c>
      <c r="R7669" s="2">
        <v>42580</v>
      </c>
      <c r="S7669" s="2">
        <v>42584</v>
      </c>
      <c r="T7669" s="2">
        <v>42580</v>
      </c>
      <c r="U7669" s="2">
        <v>42640</v>
      </c>
      <c r="V7669" t="s">
        <v>71</v>
      </c>
      <c r="W7669" t="str">
        <f>"             4069/03"</f>
        <v xml:space="preserve">             4069/03</v>
      </c>
      <c r="X7669">
        <v>144.56</v>
      </c>
      <c r="Y7669">
        <v>0</v>
      </c>
      <c r="Z7669" s="3">
        <v>139</v>
      </c>
      <c r="AA7669">
        <v>6</v>
      </c>
      <c r="AB7669" s="3">
        <v>834</v>
      </c>
      <c r="AC7669">
        <v>139</v>
      </c>
      <c r="AD7669">
        <v>6</v>
      </c>
      <c r="AE7669">
        <v>834</v>
      </c>
      <c r="AF7669">
        <v>0</v>
      </c>
      <c r="AJ7669">
        <v>0</v>
      </c>
      <c r="AK7669">
        <v>0</v>
      </c>
      <c r="AL7669">
        <v>0</v>
      </c>
      <c r="AM7669">
        <v>144.56</v>
      </c>
      <c r="AN7669">
        <v>144.56</v>
      </c>
      <c r="AO7669">
        <v>144.56</v>
      </c>
      <c r="AP7669" s="2">
        <v>42746</v>
      </c>
      <c r="AQ7669" t="s">
        <v>72</v>
      </c>
      <c r="AR7669" t="s">
        <v>72</v>
      </c>
      <c r="AS7669">
        <v>2569</v>
      </c>
      <c r="AT7669" s="4">
        <v>42646</v>
      </c>
      <c r="AU7669" t="s">
        <v>73</v>
      </c>
      <c r="AV7669">
        <v>2569</v>
      </c>
      <c r="AW7669" s="4">
        <v>42646</v>
      </c>
      <c r="BD7669">
        <v>0</v>
      </c>
      <c r="BN7669" t="s">
        <v>74</v>
      </c>
    </row>
    <row r="7670" spans="1:66">
      <c r="A7670">
        <v>104379</v>
      </c>
      <c r="B7670" s="3" t="s">
        <v>656</v>
      </c>
      <c r="C7670" s="1">
        <v>43300101</v>
      </c>
      <c r="D7670" t="s">
        <v>67</v>
      </c>
      <c r="H7670" t="str">
        <f t="shared" si="759"/>
        <v>07668030583</v>
      </c>
      <c r="I7670" t="str">
        <f t="shared" si="760"/>
        <v>01836081008</v>
      </c>
      <c r="K7670" t="str">
        <f>""</f>
        <v/>
      </c>
      <c r="M7670" t="s">
        <v>68</v>
      </c>
      <c r="N7670" t="str">
        <f t="shared" ref="N7670:N7733" si="761">"FOR"</f>
        <v>FOR</v>
      </c>
      <c r="O7670" t="s">
        <v>69</v>
      </c>
      <c r="P7670" s="3" t="s">
        <v>75</v>
      </c>
      <c r="Q7670">
        <v>2016</v>
      </c>
      <c r="R7670" s="2">
        <v>42580</v>
      </c>
      <c r="S7670" s="2">
        <v>42584</v>
      </c>
      <c r="T7670" s="2">
        <v>42580</v>
      </c>
      <c r="U7670" s="2">
        <v>42640</v>
      </c>
      <c r="V7670" t="s">
        <v>71</v>
      </c>
      <c r="W7670" t="str">
        <f>"             4070/03"</f>
        <v xml:space="preserve">             4070/03</v>
      </c>
      <c r="X7670">
        <v>144.56</v>
      </c>
      <c r="Y7670">
        <v>0</v>
      </c>
      <c r="Z7670" s="3">
        <v>139</v>
      </c>
      <c r="AA7670">
        <v>6</v>
      </c>
      <c r="AB7670" s="3">
        <v>834</v>
      </c>
      <c r="AC7670">
        <v>139</v>
      </c>
      <c r="AD7670">
        <v>6</v>
      </c>
      <c r="AE7670">
        <v>834</v>
      </c>
      <c r="AF7670">
        <v>0</v>
      </c>
      <c r="AJ7670">
        <v>0</v>
      </c>
      <c r="AK7670">
        <v>0</v>
      </c>
      <c r="AL7670">
        <v>0</v>
      </c>
      <c r="AM7670">
        <v>144.56</v>
      </c>
      <c r="AN7670">
        <v>144.56</v>
      </c>
      <c r="AO7670">
        <v>144.56</v>
      </c>
      <c r="AP7670" s="2">
        <v>42746</v>
      </c>
      <c r="AQ7670" t="s">
        <v>72</v>
      </c>
      <c r="AR7670" t="s">
        <v>72</v>
      </c>
      <c r="AS7670">
        <v>2569</v>
      </c>
      <c r="AT7670" s="4">
        <v>42646</v>
      </c>
      <c r="AU7670" t="s">
        <v>73</v>
      </c>
      <c r="AV7670">
        <v>2569</v>
      </c>
      <c r="AW7670" s="4">
        <v>42646</v>
      </c>
      <c r="BD7670">
        <v>0</v>
      </c>
      <c r="BN7670" t="s">
        <v>74</v>
      </c>
    </row>
    <row r="7671" spans="1:66">
      <c r="A7671">
        <v>104379</v>
      </c>
      <c r="B7671" s="3" t="s">
        <v>656</v>
      </c>
      <c r="C7671" s="1">
        <v>43300101</v>
      </c>
      <c r="D7671" t="s">
        <v>67</v>
      </c>
      <c r="H7671" t="str">
        <f t="shared" si="759"/>
        <v>07668030583</v>
      </c>
      <c r="I7671" t="str">
        <f t="shared" si="760"/>
        <v>01836081008</v>
      </c>
      <c r="K7671" t="str">
        <f>""</f>
        <v/>
      </c>
      <c r="M7671" t="s">
        <v>68</v>
      </c>
      <c r="N7671" t="str">
        <f t="shared" si="761"/>
        <v>FOR</v>
      </c>
      <c r="O7671" t="s">
        <v>69</v>
      </c>
      <c r="P7671" s="3" t="s">
        <v>75</v>
      </c>
      <c r="Q7671">
        <v>2016</v>
      </c>
      <c r="R7671" s="2">
        <v>42580</v>
      </c>
      <c r="S7671" s="2">
        <v>42584</v>
      </c>
      <c r="T7671" s="2">
        <v>42580</v>
      </c>
      <c r="U7671" s="2">
        <v>42640</v>
      </c>
      <c r="V7671" t="s">
        <v>71</v>
      </c>
      <c r="W7671" t="str">
        <f>"             4071/03"</f>
        <v xml:space="preserve">             4071/03</v>
      </c>
      <c r="X7671">
        <v>144.56</v>
      </c>
      <c r="Y7671">
        <v>0</v>
      </c>
      <c r="Z7671" s="3">
        <v>139</v>
      </c>
      <c r="AA7671">
        <v>6</v>
      </c>
      <c r="AB7671" s="3">
        <v>834</v>
      </c>
      <c r="AC7671">
        <v>139</v>
      </c>
      <c r="AD7671">
        <v>6</v>
      </c>
      <c r="AE7671">
        <v>834</v>
      </c>
      <c r="AF7671">
        <v>0</v>
      </c>
      <c r="AJ7671">
        <v>0</v>
      </c>
      <c r="AK7671">
        <v>0</v>
      </c>
      <c r="AL7671">
        <v>0</v>
      </c>
      <c r="AM7671">
        <v>144.56</v>
      </c>
      <c r="AN7671">
        <v>144.56</v>
      </c>
      <c r="AO7671">
        <v>144.56</v>
      </c>
      <c r="AP7671" s="2">
        <v>42746</v>
      </c>
      <c r="AQ7671" t="s">
        <v>72</v>
      </c>
      <c r="AR7671" t="s">
        <v>72</v>
      </c>
      <c r="AS7671">
        <v>2569</v>
      </c>
      <c r="AT7671" s="4">
        <v>42646</v>
      </c>
      <c r="AU7671" t="s">
        <v>73</v>
      </c>
      <c r="AV7671">
        <v>2569</v>
      </c>
      <c r="AW7671" s="4">
        <v>42646</v>
      </c>
      <c r="BD7671">
        <v>0</v>
      </c>
      <c r="BN7671" t="s">
        <v>74</v>
      </c>
    </row>
    <row r="7672" spans="1:66">
      <c r="A7672">
        <v>104379</v>
      </c>
      <c r="B7672" s="3" t="s">
        <v>656</v>
      </c>
      <c r="C7672" s="1">
        <v>43300101</v>
      </c>
      <c r="D7672" t="s">
        <v>67</v>
      </c>
      <c r="H7672" t="str">
        <f t="shared" si="759"/>
        <v>07668030583</v>
      </c>
      <c r="I7672" t="str">
        <f t="shared" si="760"/>
        <v>01836081008</v>
      </c>
      <c r="K7672" t="str">
        <f>""</f>
        <v/>
      </c>
      <c r="M7672" t="s">
        <v>68</v>
      </c>
      <c r="N7672" t="str">
        <f t="shared" si="761"/>
        <v>FOR</v>
      </c>
      <c r="O7672" t="s">
        <v>69</v>
      </c>
      <c r="P7672" s="3" t="s">
        <v>75</v>
      </c>
      <c r="Q7672">
        <v>2016</v>
      </c>
      <c r="R7672" s="2">
        <v>42580</v>
      </c>
      <c r="S7672" s="2">
        <v>42584</v>
      </c>
      <c r="T7672" s="2">
        <v>42580</v>
      </c>
      <c r="U7672" s="2">
        <v>42640</v>
      </c>
      <c r="V7672" t="s">
        <v>71</v>
      </c>
      <c r="W7672" t="str">
        <f>"             4072/03"</f>
        <v xml:space="preserve">             4072/03</v>
      </c>
      <c r="X7672">
        <v>144.56</v>
      </c>
      <c r="Y7672">
        <v>0</v>
      </c>
      <c r="Z7672" s="3">
        <v>139</v>
      </c>
      <c r="AA7672">
        <v>6</v>
      </c>
      <c r="AB7672" s="3">
        <v>834</v>
      </c>
      <c r="AC7672">
        <v>139</v>
      </c>
      <c r="AD7672">
        <v>6</v>
      </c>
      <c r="AE7672">
        <v>834</v>
      </c>
      <c r="AF7672">
        <v>0</v>
      </c>
      <c r="AJ7672">
        <v>0</v>
      </c>
      <c r="AK7672">
        <v>0</v>
      </c>
      <c r="AL7672">
        <v>0</v>
      </c>
      <c r="AM7672">
        <v>144.56</v>
      </c>
      <c r="AN7672">
        <v>144.56</v>
      </c>
      <c r="AO7672">
        <v>144.56</v>
      </c>
      <c r="AP7672" s="2">
        <v>42746</v>
      </c>
      <c r="AQ7672" t="s">
        <v>72</v>
      </c>
      <c r="AR7672" t="s">
        <v>72</v>
      </c>
      <c r="AS7672">
        <v>2569</v>
      </c>
      <c r="AT7672" s="4">
        <v>42646</v>
      </c>
      <c r="AU7672" t="s">
        <v>73</v>
      </c>
      <c r="AV7672">
        <v>2569</v>
      </c>
      <c r="AW7672" s="4">
        <v>42646</v>
      </c>
      <c r="BD7672">
        <v>0</v>
      </c>
      <c r="BN7672" t="s">
        <v>74</v>
      </c>
    </row>
    <row r="7673" spans="1:66">
      <c r="A7673">
        <v>104379</v>
      </c>
      <c r="B7673" s="3" t="s">
        <v>656</v>
      </c>
      <c r="C7673" s="1">
        <v>43300101</v>
      </c>
      <c r="D7673" t="s">
        <v>67</v>
      </c>
      <c r="H7673" t="str">
        <f t="shared" si="759"/>
        <v>07668030583</v>
      </c>
      <c r="I7673" t="str">
        <f t="shared" si="760"/>
        <v>01836081008</v>
      </c>
      <c r="K7673" t="str">
        <f>""</f>
        <v/>
      </c>
      <c r="M7673" t="s">
        <v>68</v>
      </c>
      <c r="N7673" t="str">
        <f t="shared" si="761"/>
        <v>FOR</v>
      </c>
      <c r="O7673" t="s">
        <v>69</v>
      </c>
      <c r="P7673" s="3" t="s">
        <v>75</v>
      </c>
      <c r="Q7673">
        <v>2016</v>
      </c>
      <c r="R7673" s="2">
        <v>42580</v>
      </c>
      <c r="S7673" s="2">
        <v>42584</v>
      </c>
      <c r="T7673" s="2">
        <v>42580</v>
      </c>
      <c r="U7673" s="2">
        <v>42640</v>
      </c>
      <c r="V7673" t="s">
        <v>71</v>
      </c>
      <c r="W7673" t="str">
        <f>"             4073/03"</f>
        <v xml:space="preserve">             4073/03</v>
      </c>
      <c r="X7673">
        <v>144.56</v>
      </c>
      <c r="Y7673">
        <v>0</v>
      </c>
      <c r="Z7673" s="3">
        <v>139</v>
      </c>
      <c r="AA7673">
        <v>6</v>
      </c>
      <c r="AB7673" s="3">
        <v>834</v>
      </c>
      <c r="AC7673">
        <v>139</v>
      </c>
      <c r="AD7673">
        <v>6</v>
      </c>
      <c r="AE7673">
        <v>834</v>
      </c>
      <c r="AF7673">
        <v>0</v>
      </c>
      <c r="AJ7673">
        <v>0</v>
      </c>
      <c r="AK7673">
        <v>0</v>
      </c>
      <c r="AL7673">
        <v>0</v>
      </c>
      <c r="AM7673">
        <v>144.56</v>
      </c>
      <c r="AN7673">
        <v>144.56</v>
      </c>
      <c r="AO7673">
        <v>144.56</v>
      </c>
      <c r="AP7673" s="2">
        <v>42746</v>
      </c>
      <c r="AQ7673" t="s">
        <v>72</v>
      </c>
      <c r="AR7673" t="s">
        <v>72</v>
      </c>
      <c r="AS7673">
        <v>2569</v>
      </c>
      <c r="AT7673" s="4">
        <v>42646</v>
      </c>
      <c r="AU7673" t="s">
        <v>73</v>
      </c>
      <c r="AV7673">
        <v>2569</v>
      </c>
      <c r="AW7673" s="4">
        <v>42646</v>
      </c>
      <c r="BD7673">
        <v>0</v>
      </c>
      <c r="BN7673" t="s">
        <v>74</v>
      </c>
    </row>
    <row r="7674" spans="1:66">
      <c r="A7674">
        <v>104379</v>
      </c>
      <c r="B7674" s="3" t="s">
        <v>656</v>
      </c>
      <c r="C7674" s="1">
        <v>43300101</v>
      </c>
      <c r="D7674" t="s">
        <v>67</v>
      </c>
      <c r="H7674" t="str">
        <f t="shared" si="759"/>
        <v>07668030583</v>
      </c>
      <c r="I7674" t="str">
        <f t="shared" si="760"/>
        <v>01836081008</v>
      </c>
      <c r="K7674" t="str">
        <f>""</f>
        <v/>
      </c>
      <c r="M7674" t="s">
        <v>68</v>
      </c>
      <c r="N7674" t="str">
        <f t="shared" si="761"/>
        <v>FOR</v>
      </c>
      <c r="O7674" t="s">
        <v>69</v>
      </c>
      <c r="P7674" s="3" t="s">
        <v>75</v>
      </c>
      <c r="Q7674">
        <v>2016</v>
      </c>
      <c r="R7674" s="2">
        <v>42580</v>
      </c>
      <c r="S7674" s="2">
        <v>42584</v>
      </c>
      <c r="T7674" s="2">
        <v>42580</v>
      </c>
      <c r="U7674" s="2">
        <v>42640</v>
      </c>
      <c r="V7674" t="s">
        <v>71</v>
      </c>
      <c r="W7674" t="str">
        <f>"             4074/03"</f>
        <v xml:space="preserve">             4074/03</v>
      </c>
      <c r="X7674">
        <v>144.56</v>
      </c>
      <c r="Y7674">
        <v>0</v>
      </c>
      <c r="Z7674" s="3">
        <v>139</v>
      </c>
      <c r="AA7674">
        <v>6</v>
      </c>
      <c r="AB7674" s="3">
        <v>834</v>
      </c>
      <c r="AC7674">
        <v>139</v>
      </c>
      <c r="AD7674">
        <v>6</v>
      </c>
      <c r="AE7674">
        <v>834</v>
      </c>
      <c r="AF7674">
        <v>0</v>
      </c>
      <c r="AJ7674">
        <v>0</v>
      </c>
      <c r="AK7674">
        <v>0</v>
      </c>
      <c r="AL7674">
        <v>0</v>
      </c>
      <c r="AM7674">
        <v>144.56</v>
      </c>
      <c r="AN7674">
        <v>144.56</v>
      </c>
      <c r="AO7674">
        <v>144.56</v>
      </c>
      <c r="AP7674" s="2">
        <v>42746</v>
      </c>
      <c r="AQ7674" t="s">
        <v>72</v>
      </c>
      <c r="AR7674" t="s">
        <v>72</v>
      </c>
      <c r="AS7674">
        <v>2569</v>
      </c>
      <c r="AT7674" s="4">
        <v>42646</v>
      </c>
      <c r="AU7674" t="s">
        <v>73</v>
      </c>
      <c r="AV7674">
        <v>2569</v>
      </c>
      <c r="AW7674" s="4">
        <v>42646</v>
      </c>
      <c r="BD7674">
        <v>0</v>
      </c>
      <c r="BN7674" t="s">
        <v>74</v>
      </c>
    </row>
    <row r="7675" spans="1:66">
      <c r="A7675">
        <v>104379</v>
      </c>
      <c r="B7675" s="3" t="s">
        <v>656</v>
      </c>
      <c r="C7675" s="1">
        <v>43300101</v>
      </c>
      <c r="D7675" t="s">
        <v>67</v>
      </c>
      <c r="H7675" t="str">
        <f t="shared" si="759"/>
        <v>07668030583</v>
      </c>
      <c r="I7675" t="str">
        <f t="shared" si="760"/>
        <v>01836081008</v>
      </c>
      <c r="K7675" t="str">
        <f>""</f>
        <v/>
      </c>
      <c r="M7675" t="s">
        <v>68</v>
      </c>
      <c r="N7675" t="str">
        <f t="shared" si="761"/>
        <v>FOR</v>
      </c>
      <c r="O7675" t="s">
        <v>69</v>
      </c>
      <c r="P7675" s="3" t="s">
        <v>75</v>
      </c>
      <c r="Q7675">
        <v>2016</v>
      </c>
      <c r="R7675" s="2">
        <v>42580</v>
      </c>
      <c r="S7675" s="2">
        <v>42584</v>
      </c>
      <c r="T7675" s="2">
        <v>42580</v>
      </c>
      <c r="U7675" s="2">
        <v>42640</v>
      </c>
      <c r="V7675" t="s">
        <v>71</v>
      </c>
      <c r="W7675" t="str">
        <f>"             4075/03"</f>
        <v xml:space="preserve">             4075/03</v>
      </c>
      <c r="X7675">
        <v>144.56</v>
      </c>
      <c r="Y7675">
        <v>0</v>
      </c>
      <c r="Z7675" s="3">
        <v>139</v>
      </c>
      <c r="AA7675">
        <v>6</v>
      </c>
      <c r="AB7675" s="3">
        <v>834</v>
      </c>
      <c r="AC7675">
        <v>139</v>
      </c>
      <c r="AD7675">
        <v>6</v>
      </c>
      <c r="AE7675">
        <v>834</v>
      </c>
      <c r="AF7675">
        <v>0</v>
      </c>
      <c r="AJ7675">
        <v>0</v>
      </c>
      <c r="AK7675">
        <v>0</v>
      </c>
      <c r="AL7675">
        <v>0</v>
      </c>
      <c r="AM7675">
        <v>144.56</v>
      </c>
      <c r="AN7675">
        <v>144.56</v>
      </c>
      <c r="AO7675">
        <v>144.56</v>
      </c>
      <c r="AP7675" s="2">
        <v>42746</v>
      </c>
      <c r="AQ7675" t="s">
        <v>72</v>
      </c>
      <c r="AR7675" t="s">
        <v>72</v>
      </c>
      <c r="AS7675">
        <v>2569</v>
      </c>
      <c r="AT7675" s="4">
        <v>42646</v>
      </c>
      <c r="AU7675" t="s">
        <v>73</v>
      </c>
      <c r="AV7675">
        <v>2569</v>
      </c>
      <c r="AW7675" s="4">
        <v>42646</v>
      </c>
      <c r="BD7675">
        <v>0</v>
      </c>
      <c r="BN7675" t="s">
        <v>74</v>
      </c>
    </row>
    <row r="7676" spans="1:66">
      <c r="A7676">
        <v>104379</v>
      </c>
      <c r="B7676" s="3" t="s">
        <v>656</v>
      </c>
      <c r="C7676" s="1">
        <v>43300101</v>
      </c>
      <c r="D7676" t="s">
        <v>67</v>
      </c>
      <c r="H7676" t="str">
        <f t="shared" si="759"/>
        <v>07668030583</v>
      </c>
      <c r="I7676" t="str">
        <f t="shared" si="760"/>
        <v>01836081008</v>
      </c>
      <c r="K7676" t="str">
        <f>""</f>
        <v/>
      </c>
      <c r="M7676" t="s">
        <v>68</v>
      </c>
      <c r="N7676" t="str">
        <f t="shared" si="761"/>
        <v>FOR</v>
      </c>
      <c r="O7676" t="s">
        <v>69</v>
      </c>
      <c r="P7676" s="3" t="s">
        <v>75</v>
      </c>
      <c r="Q7676">
        <v>2016</v>
      </c>
      <c r="R7676" s="2">
        <v>42580</v>
      </c>
      <c r="S7676" s="2">
        <v>42584</v>
      </c>
      <c r="T7676" s="2">
        <v>42580</v>
      </c>
      <c r="U7676" s="2">
        <v>42640</v>
      </c>
      <c r="V7676" t="s">
        <v>71</v>
      </c>
      <c r="W7676" t="str">
        <f>"             4076/03"</f>
        <v xml:space="preserve">             4076/03</v>
      </c>
      <c r="X7676">
        <v>144.56</v>
      </c>
      <c r="Y7676">
        <v>0</v>
      </c>
      <c r="Z7676" s="3">
        <v>139</v>
      </c>
      <c r="AA7676">
        <v>6</v>
      </c>
      <c r="AB7676" s="3">
        <v>834</v>
      </c>
      <c r="AC7676">
        <v>139</v>
      </c>
      <c r="AD7676">
        <v>6</v>
      </c>
      <c r="AE7676">
        <v>834</v>
      </c>
      <c r="AF7676">
        <v>0</v>
      </c>
      <c r="AJ7676">
        <v>0</v>
      </c>
      <c r="AK7676">
        <v>0</v>
      </c>
      <c r="AL7676">
        <v>0</v>
      </c>
      <c r="AM7676">
        <v>144.56</v>
      </c>
      <c r="AN7676">
        <v>144.56</v>
      </c>
      <c r="AO7676">
        <v>144.56</v>
      </c>
      <c r="AP7676" s="2">
        <v>42746</v>
      </c>
      <c r="AQ7676" t="s">
        <v>72</v>
      </c>
      <c r="AR7676" t="s">
        <v>72</v>
      </c>
      <c r="AS7676">
        <v>2569</v>
      </c>
      <c r="AT7676" s="4">
        <v>42646</v>
      </c>
      <c r="AU7676" t="s">
        <v>73</v>
      </c>
      <c r="AV7676">
        <v>2569</v>
      </c>
      <c r="AW7676" s="4">
        <v>42646</v>
      </c>
      <c r="BD7676">
        <v>0</v>
      </c>
      <c r="BN7676" t="s">
        <v>74</v>
      </c>
    </row>
    <row r="7677" spans="1:66">
      <c r="A7677">
        <v>104379</v>
      </c>
      <c r="B7677" s="3" t="s">
        <v>656</v>
      </c>
      <c r="C7677" s="1">
        <v>43300101</v>
      </c>
      <c r="D7677" t="s">
        <v>67</v>
      </c>
      <c r="H7677" t="str">
        <f t="shared" si="759"/>
        <v>07668030583</v>
      </c>
      <c r="I7677" t="str">
        <f t="shared" si="760"/>
        <v>01836081008</v>
      </c>
      <c r="K7677" t="str">
        <f>""</f>
        <v/>
      </c>
      <c r="M7677" t="s">
        <v>68</v>
      </c>
      <c r="N7677" t="str">
        <f t="shared" si="761"/>
        <v>FOR</v>
      </c>
      <c r="O7677" t="s">
        <v>69</v>
      </c>
      <c r="P7677" s="3" t="s">
        <v>75</v>
      </c>
      <c r="Q7677">
        <v>2016</v>
      </c>
      <c r="R7677" s="2">
        <v>42580</v>
      </c>
      <c r="S7677" s="2">
        <v>42584</v>
      </c>
      <c r="T7677" s="2">
        <v>42580</v>
      </c>
      <c r="U7677" s="2">
        <v>42640</v>
      </c>
      <c r="V7677" t="s">
        <v>71</v>
      </c>
      <c r="W7677" t="str">
        <f>"             4077/03"</f>
        <v xml:space="preserve">             4077/03</v>
      </c>
      <c r="X7677">
        <v>520</v>
      </c>
      <c r="Y7677">
        <v>0</v>
      </c>
      <c r="Z7677" s="3">
        <v>500</v>
      </c>
      <c r="AA7677">
        <v>6</v>
      </c>
      <c r="AB7677" s="5">
        <v>3000</v>
      </c>
      <c r="AC7677">
        <v>500</v>
      </c>
      <c r="AD7677">
        <v>6</v>
      </c>
      <c r="AE7677" s="1">
        <v>3000</v>
      </c>
      <c r="AF7677">
        <v>0</v>
      </c>
      <c r="AJ7677">
        <v>0</v>
      </c>
      <c r="AK7677">
        <v>0</v>
      </c>
      <c r="AL7677">
        <v>0</v>
      </c>
      <c r="AM7677">
        <v>520</v>
      </c>
      <c r="AN7677">
        <v>520</v>
      </c>
      <c r="AO7677">
        <v>520</v>
      </c>
      <c r="AP7677" s="2">
        <v>42746</v>
      </c>
      <c r="AQ7677" t="s">
        <v>72</v>
      </c>
      <c r="AR7677" t="s">
        <v>72</v>
      </c>
      <c r="AS7677">
        <v>2569</v>
      </c>
      <c r="AT7677" s="4">
        <v>42646</v>
      </c>
      <c r="AU7677" t="s">
        <v>73</v>
      </c>
      <c r="AV7677">
        <v>2569</v>
      </c>
      <c r="AW7677" s="4">
        <v>42646</v>
      </c>
      <c r="BD7677">
        <v>0</v>
      </c>
      <c r="BN7677" t="s">
        <v>74</v>
      </c>
    </row>
    <row r="7678" spans="1:66">
      <c r="A7678">
        <v>104379</v>
      </c>
      <c r="B7678" s="3" t="s">
        <v>656</v>
      </c>
      <c r="C7678" s="1">
        <v>43300101</v>
      </c>
      <c r="D7678" t="s">
        <v>67</v>
      </c>
      <c r="H7678" t="str">
        <f t="shared" si="759"/>
        <v>07668030583</v>
      </c>
      <c r="I7678" t="str">
        <f t="shared" si="760"/>
        <v>01836081008</v>
      </c>
      <c r="K7678" t="str">
        <f>""</f>
        <v/>
      </c>
      <c r="M7678" t="s">
        <v>68</v>
      </c>
      <c r="N7678" t="str">
        <f t="shared" si="761"/>
        <v>FOR</v>
      </c>
      <c r="O7678" t="s">
        <v>69</v>
      </c>
      <c r="P7678" s="3" t="s">
        <v>75</v>
      </c>
      <c r="Q7678">
        <v>2016</v>
      </c>
      <c r="R7678" s="2">
        <v>42613</v>
      </c>
      <c r="S7678" s="2">
        <v>42620</v>
      </c>
      <c r="T7678" s="2">
        <v>42619</v>
      </c>
      <c r="U7678" s="2">
        <v>42679</v>
      </c>
      <c r="V7678" t="s">
        <v>71</v>
      </c>
      <c r="W7678" t="str">
        <f>"             4418/03"</f>
        <v xml:space="preserve">             4418/03</v>
      </c>
      <c r="X7678">
        <v>144.56</v>
      </c>
      <c r="Y7678">
        <v>0</v>
      </c>
      <c r="Z7678" s="3">
        <v>139</v>
      </c>
      <c r="AA7678">
        <v>4</v>
      </c>
      <c r="AB7678" s="3">
        <v>556</v>
      </c>
      <c r="AC7678">
        <v>139</v>
      </c>
      <c r="AD7678">
        <v>4</v>
      </c>
      <c r="AE7678">
        <v>556</v>
      </c>
      <c r="AF7678">
        <v>0</v>
      </c>
      <c r="AJ7678">
        <v>0</v>
      </c>
      <c r="AK7678">
        <v>0</v>
      </c>
      <c r="AL7678">
        <v>0</v>
      </c>
      <c r="AM7678">
        <v>144.56</v>
      </c>
      <c r="AN7678">
        <v>144.56</v>
      </c>
      <c r="AO7678">
        <v>144.56</v>
      </c>
      <c r="AP7678" s="2">
        <v>42746</v>
      </c>
      <c r="AQ7678" t="s">
        <v>72</v>
      </c>
      <c r="AR7678" t="s">
        <v>72</v>
      </c>
      <c r="AS7678">
        <v>3021</v>
      </c>
      <c r="AT7678" s="4">
        <v>42683</v>
      </c>
      <c r="AU7678" t="s">
        <v>73</v>
      </c>
      <c r="AV7678">
        <v>3021</v>
      </c>
      <c r="AW7678" s="4">
        <v>42683</v>
      </c>
      <c r="BD7678">
        <v>0</v>
      </c>
      <c r="BN7678" t="s">
        <v>74</v>
      </c>
    </row>
    <row r="7679" spans="1:66" hidden="1">
      <c r="A7679">
        <v>104384</v>
      </c>
      <c r="B7679" s="3" t="s">
        <v>657</v>
      </c>
      <c r="C7679" s="1">
        <v>43300101</v>
      </c>
      <c r="D7679" t="s">
        <v>67</v>
      </c>
      <c r="H7679" t="str">
        <f>"03144680653"</f>
        <v>03144680653</v>
      </c>
      <c r="I7679" t="str">
        <f>"03144680653"</f>
        <v>03144680653</v>
      </c>
      <c r="K7679" t="str">
        <f>""</f>
        <v/>
      </c>
      <c r="M7679" t="s">
        <v>68</v>
      </c>
      <c r="N7679" t="str">
        <f t="shared" si="761"/>
        <v>FOR</v>
      </c>
      <c r="O7679" t="s">
        <v>69</v>
      </c>
      <c r="P7679" s="3" t="s">
        <v>75</v>
      </c>
      <c r="Q7679">
        <v>2015</v>
      </c>
      <c r="R7679" s="2">
        <v>42262</v>
      </c>
      <c r="S7679" s="2">
        <v>42275</v>
      </c>
      <c r="T7679" s="2">
        <v>42272</v>
      </c>
      <c r="U7679" s="2">
        <v>42332</v>
      </c>
      <c r="V7679" t="s">
        <v>71</v>
      </c>
      <c r="W7679" t="str">
        <f>"              747/PA"</f>
        <v xml:space="preserve">              747/PA</v>
      </c>
      <c r="X7679" s="1">
        <v>3457.48</v>
      </c>
      <c r="Y7679">
        <v>0</v>
      </c>
      <c r="Z7679"/>
      <c r="AB7679"/>
      <c r="AC7679" s="1">
        <v>2834</v>
      </c>
      <c r="AD7679">
        <v>288</v>
      </c>
      <c r="AE7679" s="1">
        <v>816192</v>
      </c>
      <c r="AF7679">
        <v>0</v>
      </c>
      <c r="AJ7679">
        <v>0</v>
      </c>
      <c r="AK7679">
        <v>0</v>
      </c>
      <c r="AL7679">
        <v>0</v>
      </c>
      <c r="AM7679">
        <v>0</v>
      </c>
      <c r="AN7679">
        <v>0</v>
      </c>
      <c r="AO7679">
        <v>0</v>
      </c>
      <c r="AP7679" s="2">
        <v>42746</v>
      </c>
      <c r="AQ7679" t="s">
        <v>72</v>
      </c>
      <c r="AR7679" t="s">
        <v>72</v>
      </c>
      <c r="AS7679">
        <v>2333</v>
      </c>
      <c r="AT7679" s="4">
        <v>42620</v>
      </c>
      <c r="AU7679" t="s">
        <v>73</v>
      </c>
      <c r="AV7679">
        <v>2333</v>
      </c>
      <c r="AW7679" s="4">
        <v>42620</v>
      </c>
      <c r="BD7679">
        <v>0</v>
      </c>
      <c r="BN7679" t="s">
        <v>74</v>
      </c>
    </row>
    <row r="7680" spans="1:66" hidden="1">
      <c r="A7680">
        <v>104394</v>
      </c>
      <c r="B7680" s="3" t="s">
        <v>658</v>
      </c>
      <c r="C7680" s="1">
        <v>43300101</v>
      </c>
      <c r="D7680" t="s">
        <v>67</v>
      </c>
      <c r="H7680" t="str">
        <f t="shared" ref="H7680:I7699" si="762">"00234290658"</f>
        <v>00234290658</v>
      </c>
      <c r="I7680" t="str">
        <f t="shared" si="762"/>
        <v>00234290658</v>
      </c>
      <c r="K7680" t="str">
        <f>""</f>
        <v/>
      </c>
      <c r="M7680" t="s">
        <v>68</v>
      </c>
      <c r="N7680" t="str">
        <f t="shared" si="761"/>
        <v>FOR</v>
      </c>
      <c r="O7680" t="s">
        <v>69</v>
      </c>
      <c r="P7680" s="3" t="s">
        <v>75</v>
      </c>
      <c r="Q7680">
        <v>2015</v>
      </c>
      <c r="R7680" s="2">
        <v>42155</v>
      </c>
      <c r="S7680" s="2">
        <v>42166</v>
      </c>
      <c r="T7680" s="2">
        <v>42165</v>
      </c>
      <c r="U7680" s="2">
        <v>42225</v>
      </c>
      <c r="V7680" t="s">
        <v>71</v>
      </c>
      <c r="W7680" t="str">
        <f>"               5/191"</f>
        <v xml:space="preserve">               5/191</v>
      </c>
      <c r="X7680" s="1">
        <v>119911.2</v>
      </c>
      <c r="Y7680" s="1">
        <v>-21623.33</v>
      </c>
      <c r="Z7680"/>
      <c r="AB7680"/>
      <c r="AC7680" s="1">
        <v>98287.87</v>
      </c>
      <c r="AD7680">
        <v>176</v>
      </c>
      <c r="AE7680" s="1">
        <v>17298665.120000001</v>
      </c>
      <c r="AF7680">
        <v>0</v>
      </c>
      <c r="AJ7680">
        <v>0</v>
      </c>
      <c r="AK7680">
        <v>0</v>
      </c>
      <c r="AL7680">
        <v>0</v>
      </c>
      <c r="AM7680">
        <v>0</v>
      </c>
      <c r="AN7680">
        <v>0</v>
      </c>
      <c r="AO7680">
        <v>0</v>
      </c>
      <c r="AP7680" s="2">
        <v>42746</v>
      </c>
      <c r="AQ7680" t="s">
        <v>72</v>
      </c>
      <c r="AR7680" t="s">
        <v>72</v>
      </c>
      <c r="AS7680">
        <v>171</v>
      </c>
      <c r="AT7680" s="4">
        <v>42401</v>
      </c>
      <c r="AU7680" t="s">
        <v>73</v>
      </c>
      <c r="AV7680">
        <v>171</v>
      </c>
      <c r="AW7680" s="4">
        <v>42401</v>
      </c>
      <c r="BD7680">
        <v>0</v>
      </c>
      <c r="BN7680" t="s">
        <v>74</v>
      </c>
    </row>
    <row r="7681" spans="1:66" hidden="1">
      <c r="A7681">
        <v>104394</v>
      </c>
      <c r="B7681" s="3" t="s">
        <v>658</v>
      </c>
      <c r="C7681" s="1">
        <v>43300101</v>
      </c>
      <c r="D7681" t="s">
        <v>67</v>
      </c>
      <c r="H7681" t="str">
        <f t="shared" si="762"/>
        <v>00234290658</v>
      </c>
      <c r="I7681" t="str">
        <f t="shared" si="762"/>
        <v>00234290658</v>
      </c>
      <c r="K7681" t="str">
        <f>""</f>
        <v/>
      </c>
      <c r="M7681" t="s">
        <v>68</v>
      </c>
      <c r="N7681" t="str">
        <f t="shared" si="761"/>
        <v>FOR</v>
      </c>
      <c r="O7681" t="s">
        <v>69</v>
      </c>
      <c r="P7681" s="3" t="s">
        <v>75</v>
      </c>
      <c r="Q7681">
        <v>2015</v>
      </c>
      <c r="R7681" s="2">
        <v>42155</v>
      </c>
      <c r="S7681" s="2">
        <v>42166</v>
      </c>
      <c r="T7681" s="2">
        <v>42165</v>
      </c>
      <c r="U7681" s="2">
        <v>42225</v>
      </c>
      <c r="V7681" t="s">
        <v>71</v>
      </c>
      <c r="W7681" t="str">
        <f>"               5/192"</f>
        <v xml:space="preserve">               5/192</v>
      </c>
      <c r="X7681">
        <v>109.8</v>
      </c>
      <c r="Y7681">
        <v>0</v>
      </c>
      <c r="Z7681"/>
      <c r="AB7681"/>
      <c r="AC7681">
        <v>90</v>
      </c>
      <c r="AD7681">
        <v>176</v>
      </c>
      <c r="AE7681" s="1">
        <v>15840</v>
      </c>
      <c r="AF7681">
        <v>0</v>
      </c>
      <c r="AJ7681">
        <v>0</v>
      </c>
      <c r="AK7681">
        <v>0</v>
      </c>
      <c r="AL7681">
        <v>0</v>
      </c>
      <c r="AM7681">
        <v>0</v>
      </c>
      <c r="AN7681">
        <v>0</v>
      </c>
      <c r="AO7681">
        <v>0</v>
      </c>
      <c r="AP7681" s="2">
        <v>42746</v>
      </c>
      <c r="AQ7681" t="s">
        <v>72</v>
      </c>
      <c r="AR7681" t="s">
        <v>72</v>
      </c>
      <c r="AS7681">
        <v>171</v>
      </c>
      <c r="AT7681" s="4">
        <v>42401</v>
      </c>
      <c r="AU7681" t="s">
        <v>73</v>
      </c>
      <c r="AV7681">
        <v>171</v>
      </c>
      <c r="AW7681" s="4">
        <v>42401</v>
      </c>
      <c r="BD7681">
        <v>0</v>
      </c>
      <c r="BN7681" t="s">
        <v>74</v>
      </c>
    </row>
    <row r="7682" spans="1:66" hidden="1">
      <c r="A7682">
        <v>104394</v>
      </c>
      <c r="B7682" s="3" t="s">
        <v>658</v>
      </c>
      <c r="C7682" s="1">
        <v>43300101</v>
      </c>
      <c r="D7682" t="s">
        <v>67</v>
      </c>
      <c r="H7682" t="str">
        <f t="shared" si="762"/>
        <v>00234290658</v>
      </c>
      <c r="I7682" t="str">
        <f t="shared" si="762"/>
        <v>00234290658</v>
      </c>
      <c r="K7682" t="str">
        <f>""</f>
        <v/>
      </c>
      <c r="M7682" t="s">
        <v>68</v>
      </c>
      <c r="N7682" t="str">
        <f t="shared" si="761"/>
        <v>FOR</v>
      </c>
      <c r="O7682" t="s">
        <v>69</v>
      </c>
      <c r="P7682" s="3" t="s">
        <v>75</v>
      </c>
      <c r="Q7682">
        <v>2015</v>
      </c>
      <c r="R7682" s="2">
        <v>42155</v>
      </c>
      <c r="S7682" s="2">
        <v>42166</v>
      </c>
      <c r="T7682" s="2">
        <v>42165</v>
      </c>
      <c r="U7682" s="2">
        <v>42225</v>
      </c>
      <c r="V7682" t="s">
        <v>71</v>
      </c>
      <c r="W7682" t="str">
        <f>"               5/193"</f>
        <v xml:space="preserve">               5/193</v>
      </c>
      <c r="X7682">
        <v>215.21</v>
      </c>
      <c r="Y7682">
        <v>0</v>
      </c>
      <c r="Z7682"/>
      <c r="AB7682"/>
      <c r="AC7682">
        <v>176.4</v>
      </c>
      <c r="AD7682">
        <v>176</v>
      </c>
      <c r="AE7682" s="1">
        <v>31046.400000000001</v>
      </c>
      <c r="AF7682">
        <v>0</v>
      </c>
      <c r="AJ7682">
        <v>0</v>
      </c>
      <c r="AK7682">
        <v>0</v>
      </c>
      <c r="AL7682">
        <v>0</v>
      </c>
      <c r="AM7682">
        <v>0</v>
      </c>
      <c r="AN7682">
        <v>0</v>
      </c>
      <c r="AO7682">
        <v>0</v>
      </c>
      <c r="AP7682" s="2">
        <v>42746</v>
      </c>
      <c r="AQ7682" t="s">
        <v>72</v>
      </c>
      <c r="AR7682" t="s">
        <v>72</v>
      </c>
      <c r="AS7682">
        <v>171</v>
      </c>
      <c r="AT7682" s="4">
        <v>42401</v>
      </c>
      <c r="AU7682" t="s">
        <v>73</v>
      </c>
      <c r="AV7682">
        <v>171</v>
      </c>
      <c r="AW7682" s="4">
        <v>42401</v>
      </c>
      <c r="BD7682">
        <v>0</v>
      </c>
      <c r="BN7682" t="s">
        <v>74</v>
      </c>
    </row>
    <row r="7683" spans="1:66" hidden="1">
      <c r="A7683">
        <v>104394</v>
      </c>
      <c r="B7683" s="3" t="s">
        <v>658</v>
      </c>
      <c r="C7683" s="1">
        <v>43300101</v>
      </c>
      <c r="D7683" t="s">
        <v>67</v>
      </c>
      <c r="H7683" t="str">
        <f t="shared" si="762"/>
        <v>00234290658</v>
      </c>
      <c r="I7683" t="str">
        <f t="shared" si="762"/>
        <v>00234290658</v>
      </c>
      <c r="K7683" t="str">
        <f>""</f>
        <v/>
      </c>
      <c r="M7683" t="s">
        <v>68</v>
      </c>
      <c r="N7683" t="str">
        <f t="shared" si="761"/>
        <v>FOR</v>
      </c>
      <c r="O7683" t="s">
        <v>69</v>
      </c>
      <c r="P7683" s="3" t="s">
        <v>75</v>
      </c>
      <c r="Q7683">
        <v>2015</v>
      </c>
      <c r="R7683" s="2">
        <v>42155</v>
      </c>
      <c r="S7683" s="2">
        <v>42166</v>
      </c>
      <c r="T7683" s="2">
        <v>42165</v>
      </c>
      <c r="U7683" s="2">
        <v>42225</v>
      </c>
      <c r="V7683" t="s">
        <v>71</v>
      </c>
      <c r="W7683" t="str">
        <f>"               5/194"</f>
        <v xml:space="preserve">               5/194</v>
      </c>
      <c r="X7683">
        <v>388.66</v>
      </c>
      <c r="Y7683">
        <v>0</v>
      </c>
      <c r="Z7683"/>
      <c r="AB7683"/>
      <c r="AC7683">
        <v>318.57</v>
      </c>
      <c r="AD7683">
        <v>176</v>
      </c>
      <c r="AE7683" s="1">
        <v>56068.32</v>
      </c>
      <c r="AF7683">
        <v>0</v>
      </c>
      <c r="AJ7683">
        <v>0</v>
      </c>
      <c r="AK7683">
        <v>0</v>
      </c>
      <c r="AL7683">
        <v>0</v>
      </c>
      <c r="AM7683">
        <v>0</v>
      </c>
      <c r="AN7683">
        <v>0</v>
      </c>
      <c r="AO7683">
        <v>0</v>
      </c>
      <c r="AP7683" s="2">
        <v>42746</v>
      </c>
      <c r="AQ7683" t="s">
        <v>72</v>
      </c>
      <c r="AR7683" t="s">
        <v>72</v>
      </c>
      <c r="AS7683">
        <v>171</v>
      </c>
      <c r="AT7683" s="4">
        <v>42401</v>
      </c>
      <c r="AU7683" t="s">
        <v>73</v>
      </c>
      <c r="AV7683">
        <v>171</v>
      </c>
      <c r="AW7683" s="4">
        <v>42401</v>
      </c>
      <c r="BD7683">
        <v>0</v>
      </c>
      <c r="BN7683" t="s">
        <v>74</v>
      </c>
    </row>
    <row r="7684" spans="1:66" hidden="1">
      <c r="A7684">
        <v>104394</v>
      </c>
      <c r="B7684" s="3" t="s">
        <v>658</v>
      </c>
      <c r="C7684" s="1">
        <v>43300101</v>
      </c>
      <c r="D7684" t="s">
        <v>67</v>
      </c>
      <c r="H7684" t="str">
        <f t="shared" si="762"/>
        <v>00234290658</v>
      </c>
      <c r="I7684" t="str">
        <f t="shared" si="762"/>
        <v>00234290658</v>
      </c>
      <c r="K7684" t="str">
        <f>""</f>
        <v/>
      </c>
      <c r="M7684" t="s">
        <v>68</v>
      </c>
      <c r="N7684" t="str">
        <f t="shared" si="761"/>
        <v>FOR</v>
      </c>
      <c r="O7684" t="s">
        <v>69</v>
      </c>
      <c r="P7684" s="3" t="s">
        <v>75</v>
      </c>
      <c r="Q7684">
        <v>2015</v>
      </c>
      <c r="R7684" s="2">
        <v>42185</v>
      </c>
      <c r="S7684" s="2">
        <v>42193</v>
      </c>
      <c r="T7684" s="2">
        <v>42192</v>
      </c>
      <c r="U7684" s="2">
        <v>42252</v>
      </c>
      <c r="V7684" t="s">
        <v>71</v>
      </c>
      <c r="W7684" t="str">
        <f>"               5/268"</f>
        <v xml:space="preserve">               5/268</v>
      </c>
      <c r="X7684">
        <v>109.8</v>
      </c>
      <c r="Y7684">
        <v>0</v>
      </c>
      <c r="Z7684"/>
      <c r="AB7684"/>
      <c r="AC7684">
        <v>90</v>
      </c>
      <c r="AD7684">
        <v>164</v>
      </c>
      <c r="AE7684" s="1">
        <v>14760</v>
      </c>
      <c r="AF7684">
        <v>0</v>
      </c>
      <c r="AJ7684">
        <v>0</v>
      </c>
      <c r="AK7684">
        <v>0</v>
      </c>
      <c r="AL7684">
        <v>0</v>
      </c>
      <c r="AM7684">
        <v>0</v>
      </c>
      <c r="AN7684">
        <v>0</v>
      </c>
      <c r="AO7684">
        <v>0</v>
      </c>
      <c r="AP7684" s="2">
        <v>42746</v>
      </c>
      <c r="AQ7684" t="s">
        <v>72</v>
      </c>
      <c r="AR7684" t="s">
        <v>72</v>
      </c>
      <c r="AS7684">
        <v>417</v>
      </c>
      <c r="AT7684" s="4">
        <v>42416</v>
      </c>
      <c r="AU7684" t="s">
        <v>73</v>
      </c>
      <c r="AV7684">
        <v>417</v>
      </c>
      <c r="AW7684" s="4">
        <v>42416</v>
      </c>
      <c r="BD7684">
        <v>0</v>
      </c>
      <c r="BN7684" t="s">
        <v>74</v>
      </c>
    </row>
    <row r="7685" spans="1:66" hidden="1">
      <c r="A7685">
        <v>104394</v>
      </c>
      <c r="B7685" s="3" t="s">
        <v>658</v>
      </c>
      <c r="C7685" s="1">
        <v>43300101</v>
      </c>
      <c r="D7685" t="s">
        <v>67</v>
      </c>
      <c r="H7685" t="str">
        <f t="shared" si="762"/>
        <v>00234290658</v>
      </c>
      <c r="I7685" t="str">
        <f t="shared" si="762"/>
        <v>00234290658</v>
      </c>
      <c r="K7685" t="str">
        <f>""</f>
        <v/>
      </c>
      <c r="M7685" t="s">
        <v>68</v>
      </c>
      <c r="N7685" t="str">
        <f t="shared" si="761"/>
        <v>FOR</v>
      </c>
      <c r="O7685" t="s">
        <v>69</v>
      </c>
      <c r="P7685" s="3" t="s">
        <v>75</v>
      </c>
      <c r="Q7685">
        <v>2015</v>
      </c>
      <c r="R7685" s="2">
        <v>42185</v>
      </c>
      <c r="S7685" s="2">
        <v>42193</v>
      </c>
      <c r="T7685" s="2">
        <v>42192</v>
      </c>
      <c r="U7685" s="2">
        <v>42252</v>
      </c>
      <c r="V7685" t="s">
        <v>71</v>
      </c>
      <c r="W7685" t="str">
        <f>"               5/269"</f>
        <v xml:space="preserve">               5/269</v>
      </c>
      <c r="X7685">
        <v>412.16</v>
      </c>
      <c r="Y7685">
        <v>0</v>
      </c>
      <c r="Z7685"/>
      <c r="AB7685"/>
      <c r="AC7685">
        <v>337.84</v>
      </c>
      <c r="AD7685">
        <v>164</v>
      </c>
      <c r="AE7685" s="1">
        <v>55405.760000000002</v>
      </c>
      <c r="AF7685">
        <v>0</v>
      </c>
      <c r="AJ7685">
        <v>0</v>
      </c>
      <c r="AK7685">
        <v>0</v>
      </c>
      <c r="AL7685">
        <v>0</v>
      </c>
      <c r="AM7685">
        <v>0</v>
      </c>
      <c r="AN7685">
        <v>0</v>
      </c>
      <c r="AO7685">
        <v>0</v>
      </c>
      <c r="AP7685" s="2">
        <v>42746</v>
      </c>
      <c r="AQ7685" t="s">
        <v>72</v>
      </c>
      <c r="AR7685" t="s">
        <v>72</v>
      </c>
      <c r="AS7685">
        <v>417</v>
      </c>
      <c r="AT7685" s="4">
        <v>42416</v>
      </c>
      <c r="AU7685" t="s">
        <v>73</v>
      </c>
      <c r="AV7685">
        <v>417</v>
      </c>
      <c r="AW7685" s="4">
        <v>42416</v>
      </c>
      <c r="BD7685">
        <v>0</v>
      </c>
      <c r="BN7685" t="s">
        <v>74</v>
      </c>
    </row>
    <row r="7686" spans="1:66" hidden="1">
      <c r="A7686">
        <v>104394</v>
      </c>
      <c r="B7686" s="3" t="s">
        <v>658</v>
      </c>
      <c r="C7686" s="1">
        <v>43300101</v>
      </c>
      <c r="D7686" t="s">
        <v>67</v>
      </c>
      <c r="H7686" t="str">
        <f t="shared" si="762"/>
        <v>00234290658</v>
      </c>
      <c r="I7686" t="str">
        <f t="shared" si="762"/>
        <v>00234290658</v>
      </c>
      <c r="K7686" t="str">
        <f>""</f>
        <v/>
      </c>
      <c r="M7686" t="s">
        <v>68</v>
      </c>
      <c r="N7686" t="str">
        <f t="shared" si="761"/>
        <v>FOR</v>
      </c>
      <c r="O7686" t="s">
        <v>69</v>
      </c>
      <c r="P7686" s="3" t="s">
        <v>75</v>
      </c>
      <c r="Q7686">
        <v>2015</v>
      </c>
      <c r="R7686" s="2">
        <v>42185</v>
      </c>
      <c r="S7686" s="2">
        <v>42193</v>
      </c>
      <c r="T7686" s="2">
        <v>42192</v>
      </c>
      <c r="U7686" s="2">
        <v>42252</v>
      </c>
      <c r="V7686" t="s">
        <v>71</v>
      </c>
      <c r="W7686" t="str">
        <f>"               5/270"</f>
        <v xml:space="preserve">               5/270</v>
      </c>
      <c r="X7686">
        <v>212.65</v>
      </c>
      <c r="Y7686">
        <v>0</v>
      </c>
      <c r="Z7686"/>
      <c r="AB7686"/>
      <c r="AC7686">
        <v>174.3</v>
      </c>
      <c r="AD7686">
        <v>164</v>
      </c>
      <c r="AE7686" s="1">
        <v>28585.200000000001</v>
      </c>
      <c r="AF7686">
        <v>0</v>
      </c>
      <c r="AJ7686">
        <v>0</v>
      </c>
      <c r="AK7686">
        <v>0</v>
      </c>
      <c r="AL7686">
        <v>0</v>
      </c>
      <c r="AM7686">
        <v>0</v>
      </c>
      <c r="AN7686">
        <v>0</v>
      </c>
      <c r="AO7686">
        <v>0</v>
      </c>
      <c r="AP7686" s="2">
        <v>42746</v>
      </c>
      <c r="AQ7686" t="s">
        <v>72</v>
      </c>
      <c r="AR7686" t="s">
        <v>72</v>
      </c>
      <c r="AS7686">
        <v>417</v>
      </c>
      <c r="AT7686" s="4">
        <v>42416</v>
      </c>
      <c r="AU7686" t="s">
        <v>73</v>
      </c>
      <c r="AV7686">
        <v>417</v>
      </c>
      <c r="AW7686" s="4">
        <v>42416</v>
      </c>
      <c r="BD7686">
        <v>0</v>
      </c>
      <c r="BN7686" t="s">
        <v>74</v>
      </c>
    </row>
    <row r="7687" spans="1:66" hidden="1">
      <c r="A7687">
        <v>104394</v>
      </c>
      <c r="B7687" s="3" t="s">
        <v>658</v>
      </c>
      <c r="C7687" s="1">
        <v>43300101</v>
      </c>
      <c r="D7687" t="s">
        <v>67</v>
      </c>
      <c r="H7687" t="str">
        <f t="shared" si="762"/>
        <v>00234290658</v>
      </c>
      <c r="I7687" t="str">
        <f t="shared" si="762"/>
        <v>00234290658</v>
      </c>
      <c r="K7687" t="str">
        <f>""</f>
        <v/>
      </c>
      <c r="M7687" t="s">
        <v>68</v>
      </c>
      <c r="N7687" t="str">
        <f t="shared" si="761"/>
        <v>FOR</v>
      </c>
      <c r="O7687" t="s">
        <v>69</v>
      </c>
      <c r="P7687" s="3" t="s">
        <v>75</v>
      </c>
      <c r="Q7687">
        <v>2015</v>
      </c>
      <c r="R7687" s="2">
        <v>42185</v>
      </c>
      <c r="S7687" s="2">
        <v>42192</v>
      </c>
      <c r="T7687" s="2">
        <v>42192</v>
      </c>
      <c r="U7687" s="2">
        <v>42252</v>
      </c>
      <c r="V7687" t="s">
        <v>71</v>
      </c>
      <c r="W7687" t="str">
        <f>"               5/271"</f>
        <v xml:space="preserve">               5/271</v>
      </c>
      <c r="X7687" s="1">
        <v>116627.8</v>
      </c>
      <c r="Y7687" s="1">
        <v>-21031.24</v>
      </c>
      <c r="Z7687"/>
      <c r="AB7687"/>
      <c r="AC7687" s="1">
        <v>95596.56</v>
      </c>
      <c r="AD7687">
        <v>164</v>
      </c>
      <c r="AE7687" s="1">
        <v>15677835.84</v>
      </c>
      <c r="AF7687">
        <v>0</v>
      </c>
      <c r="AJ7687">
        <v>0</v>
      </c>
      <c r="AK7687">
        <v>0</v>
      </c>
      <c r="AL7687">
        <v>0</v>
      </c>
      <c r="AM7687">
        <v>0</v>
      </c>
      <c r="AN7687">
        <v>0</v>
      </c>
      <c r="AO7687">
        <v>0</v>
      </c>
      <c r="AP7687" s="2">
        <v>42746</v>
      </c>
      <c r="AQ7687" t="s">
        <v>72</v>
      </c>
      <c r="AR7687" t="s">
        <v>72</v>
      </c>
      <c r="AS7687">
        <v>417</v>
      </c>
      <c r="AT7687" s="4">
        <v>42416</v>
      </c>
      <c r="AU7687" t="s">
        <v>73</v>
      </c>
      <c r="AV7687">
        <v>417</v>
      </c>
      <c r="AW7687" s="4">
        <v>42416</v>
      </c>
      <c r="BD7687">
        <v>0</v>
      </c>
      <c r="BN7687" t="s">
        <v>74</v>
      </c>
    </row>
    <row r="7688" spans="1:66" hidden="1">
      <c r="A7688">
        <v>104394</v>
      </c>
      <c r="B7688" s="3" t="s">
        <v>658</v>
      </c>
      <c r="C7688" s="1">
        <v>43300101</v>
      </c>
      <c r="D7688" t="s">
        <v>67</v>
      </c>
      <c r="H7688" t="str">
        <f t="shared" si="762"/>
        <v>00234290658</v>
      </c>
      <c r="I7688" t="str">
        <f t="shared" si="762"/>
        <v>00234290658</v>
      </c>
      <c r="K7688" t="str">
        <f>""</f>
        <v/>
      </c>
      <c r="M7688" t="s">
        <v>68</v>
      </c>
      <c r="N7688" t="str">
        <f t="shared" si="761"/>
        <v>FOR</v>
      </c>
      <c r="O7688" t="s">
        <v>69</v>
      </c>
      <c r="P7688" s="3" t="s">
        <v>75</v>
      </c>
      <c r="Q7688">
        <v>2015</v>
      </c>
      <c r="R7688" s="2">
        <v>42216</v>
      </c>
      <c r="S7688" s="2">
        <v>42229</v>
      </c>
      <c r="T7688" s="2">
        <v>42226</v>
      </c>
      <c r="U7688" s="2">
        <v>42286</v>
      </c>
      <c r="V7688" t="s">
        <v>71</v>
      </c>
      <c r="W7688" t="str">
        <f>"               5/419"</f>
        <v xml:space="preserve">               5/419</v>
      </c>
      <c r="X7688" s="1">
        <v>114944.7</v>
      </c>
      <c r="Y7688" s="1">
        <v>-20727.73</v>
      </c>
      <c r="Z7688"/>
      <c r="AB7688"/>
      <c r="AC7688" s="1">
        <v>94216.97</v>
      </c>
      <c r="AD7688">
        <v>144</v>
      </c>
      <c r="AE7688" s="1">
        <v>13567243.68</v>
      </c>
      <c r="AF7688">
        <v>0</v>
      </c>
      <c r="AJ7688">
        <v>0</v>
      </c>
      <c r="AK7688">
        <v>0</v>
      </c>
      <c r="AL7688">
        <v>0</v>
      </c>
      <c r="AM7688">
        <v>0</v>
      </c>
      <c r="AN7688">
        <v>0</v>
      </c>
      <c r="AO7688">
        <v>0</v>
      </c>
      <c r="AP7688" s="2">
        <v>42746</v>
      </c>
      <c r="AQ7688" t="s">
        <v>72</v>
      </c>
      <c r="AR7688" t="s">
        <v>72</v>
      </c>
      <c r="AS7688">
        <v>603</v>
      </c>
      <c r="AT7688" s="4">
        <v>42430</v>
      </c>
      <c r="AU7688" t="s">
        <v>73</v>
      </c>
      <c r="AV7688">
        <v>603</v>
      </c>
      <c r="AW7688" s="4">
        <v>42430</v>
      </c>
      <c r="BD7688">
        <v>0</v>
      </c>
      <c r="BN7688" t="s">
        <v>74</v>
      </c>
    </row>
    <row r="7689" spans="1:66" hidden="1">
      <c r="A7689">
        <v>104394</v>
      </c>
      <c r="B7689" s="3" t="s">
        <v>658</v>
      </c>
      <c r="C7689" s="1">
        <v>43300101</v>
      </c>
      <c r="D7689" t="s">
        <v>67</v>
      </c>
      <c r="H7689" t="str">
        <f t="shared" si="762"/>
        <v>00234290658</v>
      </c>
      <c r="I7689" t="str">
        <f t="shared" si="762"/>
        <v>00234290658</v>
      </c>
      <c r="K7689" t="str">
        <f>""</f>
        <v/>
      </c>
      <c r="M7689" t="s">
        <v>68</v>
      </c>
      <c r="N7689" t="str">
        <f t="shared" si="761"/>
        <v>FOR</v>
      </c>
      <c r="O7689" t="s">
        <v>69</v>
      </c>
      <c r="P7689" s="3" t="s">
        <v>75</v>
      </c>
      <c r="Q7689">
        <v>2015</v>
      </c>
      <c r="R7689" s="2">
        <v>42216</v>
      </c>
      <c r="S7689" s="2">
        <v>42229</v>
      </c>
      <c r="T7689" s="2">
        <v>42226</v>
      </c>
      <c r="U7689" s="2">
        <v>42286</v>
      </c>
      <c r="V7689" t="s">
        <v>71</v>
      </c>
      <c r="W7689" t="str">
        <f>"               5/420"</f>
        <v xml:space="preserve">               5/420</v>
      </c>
      <c r="X7689">
        <v>109.8</v>
      </c>
      <c r="Y7689">
        <v>0</v>
      </c>
      <c r="Z7689"/>
      <c r="AB7689"/>
      <c r="AC7689">
        <v>90</v>
      </c>
      <c r="AD7689">
        <v>144</v>
      </c>
      <c r="AE7689" s="1">
        <v>12960</v>
      </c>
      <c r="AF7689">
        <v>0</v>
      </c>
      <c r="AJ7689">
        <v>0</v>
      </c>
      <c r="AK7689">
        <v>0</v>
      </c>
      <c r="AL7689">
        <v>0</v>
      </c>
      <c r="AM7689">
        <v>0</v>
      </c>
      <c r="AN7689">
        <v>0</v>
      </c>
      <c r="AO7689">
        <v>0</v>
      </c>
      <c r="AP7689" s="2">
        <v>42746</v>
      </c>
      <c r="AQ7689" t="s">
        <v>72</v>
      </c>
      <c r="AR7689" t="s">
        <v>72</v>
      </c>
      <c r="AS7689">
        <v>603</v>
      </c>
      <c r="AT7689" s="4">
        <v>42430</v>
      </c>
      <c r="AU7689" t="s">
        <v>73</v>
      </c>
      <c r="AV7689">
        <v>603</v>
      </c>
      <c r="AW7689" s="4">
        <v>42430</v>
      </c>
      <c r="BD7689">
        <v>0</v>
      </c>
      <c r="BN7689" t="s">
        <v>74</v>
      </c>
    </row>
    <row r="7690" spans="1:66" hidden="1">
      <c r="A7690">
        <v>104394</v>
      </c>
      <c r="B7690" s="3" t="s">
        <v>658</v>
      </c>
      <c r="C7690" s="1">
        <v>43300101</v>
      </c>
      <c r="D7690" t="s">
        <v>67</v>
      </c>
      <c r="H7690" t="str">
        <f t="shared" si="762"/>
        <v>00234290658</v>
      </c>
      <c r="I7690" t="str">
        <f t="shared" si="762"/>
        <v>00234290658</v>
      </c>
      <c r="K7690" t="str">
        <f>""</f>
        <v/>
      </c>
      <c r="M7690" t="s">
        <v>68</v>
      </c>
      <c r="N7690" t="str">
        <f t="shared" si="761"/>
        <v>FOR</v>
      </c>
      <c r="O7690" t="s">
        <v>69</v>
      </c>
      <c r="P7690" s="3" t="s">
        <v>75</v>
      </c>
      <c r="Q7690">
        <v>2015</v>
      </c>
      <c r="R7690" s="2">
        <v>42216</v>
      </c>
      <c r="S7690" s="2">
        <v>42229</v>
      </c>
      <c r="T7690" s="2">
        <v>42226</v>
      </c>
      <c r="U7690" s="2">
        <v>42286</v>
      </c>
      <c r="V7690" t="s">
        <v>71</v>
      </c>
      <c r="W7690" t="str">
        <f>"               5/421"</f>
        <v xml:space="preserve">               5/421</v>
      </c>
      <c r="X7690">
        <v>236.99</v>
      </c>
      <c r="Y7690">
        <v>0</v>
      </c>
      <c r="Z7690"/>
      <c r="AB7690"/>
      <c r="AC7690">
        <v>194.25</v>
      </c>
      <c r="AD7690">
        <v>144</v>
      </c>
      <c r="AE7690" s="1">
        <v>27972</v>
      </c>
      <c r="AF7690">
        <v>0</v>
      </c>
      <c r="AJ7690">
        <v>0</v>
      </c>
      <c r="AK7690">
        <v>0</v>
      </c>
      <c r="AL7690">
        <v>0</v>
      </c>
      <c r="AM7690">
        <v>0</v>
      </c>
      <c r="AN7690">
        <v>0</v>
      </c>
      <c r="AO7690">
        <v>0</v>
      </c>
      <c r="AP7690" s="2">
        <v>42746</v>
      </c>
      <c r="AQ7690" t="s">
        <v>72</v>
      </c>
      <c r="AR7690" t="s">
        <v>72</v>
      </c>
      <c r="AS7690">
        <v>603</v>
      </c>
      <c r="AT7690" s="4">
        <v>42430</v>
      </c>
      <c r="AU7690" t="s">
        <v>73</v>
      </c>
      <c r="AV7690">
        <v>603</v>
      </c>
      <c r="AW7690" s="4">
        <v>42430</v>
      </c>
      <c r="BD7690">
        <v>0</v>
      </c>
      <c r="BN7690" t="s">
        <v>74</v>
      </c>
    </row>
    <row r="7691" spans="1:66" hidden="1">
      <c r="A7691">
        <v>104394</v>
      </c>
      <c r="B7691" s="3" t="s">
        <v>658</v>
      </c>
      <c r="C7691" s="1">
        <v>43300101</v>
      </c>
      <c r="D7691" t="s">
        <v>67</v>
      </c>
      <c r="H7691" t="str">
        <f t="shared" si="762"/>
        <v>00234290658</v>
      </c>
      <c r="I7691" t="str">
        <f t="shared" si="762"/>
        <v>00234290658</v>
      </c>
      <c r="K7691" t="str">
        <f>""</f>
        <v/>
      </c>
      <c r="M7691" t="s">
        <v>68</v>
      </c>
      <c r="N7691" t="str">
        <f t="shared" si="761"/>
        <v>FOR</v>
      </c>
      <c r="O7691" t="s">
        <v>69</v>
      </c>
      <c r="P7691" s="3" t="s">
        <v>75</v>
      </c>
      <c r="Q7691">
        <v>2015</v>
      </c>
      <c r="R7691" s="2">
        <v>42216</v>
      </c>
      <c r="S7691" s="2">
        <v>42229</v>
      </c>
      <c r="T7691" s="2">
        <v>42226</v>
      </c>
      <c r="U7691" s="2">
        <v>42286</v>
      </c>
      <c r="V7691" t="s">
        <v>71</v>
      </c>
      <c r="W7691" t="str">
        <f>"               5/422"</f>
        <v xml:space="preserve">               5/422</v>
      </c>
      <c r="X7691">
        <v>450.68</v>
      </c>
      <c r="Y7691">
        <v>0</v>
      </c>
      <c r="Z7691"/>
      <c r="AB7691"/>
      <c r="AC7691">
        <v>369.41</v>
      </c>
      <c r="AD7691">
        <v>144</v>
      </c>
      <c r="AE7691" s="1">
        <v>53195.040000000001</v>
      </c>
      <c r="AF7691">
        <v>0</v>
      </c>
      <c r="AJ7691">
        <v>0</v>
      </c>
      <c r="AK7691">
        <v>0</v>
      </c>
      <c r="AL7691">
        <v>0</v>
      </c>
      <c r="AM7691">
        <v>0</v>
      </c>
      <c r="AN7691">
        <v>0</v>
      </c>
      <c r="AO7691">
        <v>0</v>
      </c>
      <c r="AP7691" s="2">
        <v>42746</v>
      </c>
      <c r="AQ7691" t="s">
        <v>72</v>
      </c>
      <c r="AR7691" t="s">
        <v>72</v>
      </c>
      <c r="AS7691">
        <v>603</v>
      </c>
      <c r="AT7691" s="4">
        <v>42430</v>
      </c>
      <c r="AU7691" t="s">
        <v>73</v>
      </c>
      <c r="AV7691">
        <v>603</v>
      </c>
      <c r="AW7691" s="4">
        <v>42430</v>
      </c>
      <c r="BD7691">
        <v>0</v>
      </c>
      <c r="BN7691" t="s">
        <v>74</v>
      </c>
    </row>
    <row r="7692" spans="1:66" hidden="1">
      <c r="A7692">
        <v>104394</v>
      </c>
      <c r="B7692" s="3" t="s">
        <v>658</v>
      </c>
      <c r="C7692" s="1">
        <v>43300101</v>
      </c>
      <c r="D7692" t="s">
        <v>67</v>
      </c>
      <c r="H7692" t="str">
        <f t="shared" si="762"/>
        <v>00234290658</v>
      </c>
      <c r="I7692" t="str">
        <f t="shared" si="762"/>
        <v>00234290658</v>
      </c>
      <c r="K7692" t="str">
        <f>""</f>
        <v/>
      </c>
      <c r="M7692" t="s">
        <v>68</v>
      </c>
      <c r="N7692" t="str">
        <f t="shared" si="761"/>
        <v>FOR</v>
      </c>
      <c r="O7692" t="s">
        <v>69</v>
      </c>
      <c r="P7692" s="3" t="s">
        <v>75</v>
      </c>
      <c r="Q7692">
        <v>2015</v>
      </c>
      <c r="R7692" s="2">
        <v>42247</v>
      </c>
      <c r="S7692" s="2">
        <v>42251</v>
      </c>
      <c r="T7692" s="2">
        <v>42250</v>
      </c>
      <c r="U7692" s="2">
        <v>42310</v>
      </c>
      <c r="V7692" t="s">
        <v>71</v>
      </c>
      <c r="W7692" t="str">
        <f>"               5/489"</f>
        <v xml:space="preserve">               5/489</v>
      </c>
      <c r="X7692">
        <v>109.8</v>
      </c>
      <c r="Y7692">
        <v>0</v>
      </c>
      <c r="Z7692"/>
      <c r="AB7692"/>
      <c r="AC7692">
        <v>90</v>
      </c>
      <c r="AD7692">
        <v>143</v>
      </c>
      <c r="AE7692" s="1">
        <v>12870</v>
      </c>
      <c r="AF7692">
        <v>0</v>
      </c>
      <c r="AJ7692">
        <v>0</v>
      </c>
      <c r="AK7692">
        <v>0</v>
      </c>
      <c r="AL7692">
        <v>0</v>
      </c>
      <c r="AM7692">
        <v>0</v>
      </c>
      <c r="AN7692">
        <v>0</v>
      </c>
      <c r="AO7692">
        <v>0</v>
      </c>
      <c r="AP7692" s="2">
        <v>42746</v>
      </c>
      <c r="AQ7692" t="s">
        <v>72</v>
      </c>
      <c r="AR7692" t="s">
        <v>72</v>
      </c>
      <c r="AS7692">
        <v>882</v>
      </c>
      <c r="AT7692" s="4">
        <v>42453</v>
      </c>
      <c r="AU7692" t="s">
        <v>73</v>
      </c>
      <c r="AV7692">
        <v>882</v>
      </c>
      <c r="AW7692" s="4">
        <v>42453</v>
      </c>
      <c r="BD7692">
        <v>0</v>
      </c>
      <c r="BN7692" t="s">
        <v>74</v>
      </c>
    </row>
    <row r="7693" spans="1:66" hidden="1">
      <c r="A7693">
        <v>104394</v>
      </c>
      <c r="B7693" s="3" t="s">
        <v>658</v>
      </c>
      <c r="C7693" s="1">
        <v>43300101</v>
      </c>
      <c r="D7693" t="s">
        <v>67</v>
      </c>
      <c r="H7693" t="str">
        <f t="shared" si="762"/>
        <v>00234290658</v>
      </c>
      <c r="I7693" t="str">
        <f t="shared" si="762"/>
        <v>00234290658</v>
      </c>
      <c r="K7693" t="str">
        <f>""</f>
        <v/>
      </c>
      <c r="M7693" t="s">
        <v>68</v>
      </c>
      <c r="N7693" t="str">
        <f t="shared" si="761"/>
        <v>FOR</v>
      </c>
      <c r="O7693" t="s">
        <v>69</v>
      </c>
      <c r="P7693" s="3" t="s">
        <v>75</v>
      </c>
      <c r="Q7693">
        <v>2015</v>
      </c>
      <c r="R7693" s="2">
        <v>42247</v>
      </c>
      <c r="S7693" s="2">
        <v>42251</v>
      </c>
      <c r="T7693" s="2">
        <v>42250</v>
      </c>
      <c r="U7693" s="2">
        <v>42310</v>
      </c>
      <c r="V7693" t="s">
        <v>71</v>
      </c>
      <c r="W7693" t="str">
        <f>"               5/490"</f>
        <v xml:space="preserve">               5/490</v>
      </c>
      <c r="X7693">
        <v>463.69</v>
      </c>
      <c r="Y7693">
        <v>0</v>
      </c>
      <c r="Z7693"/>
      <c r="AB7693"/>
      <c r="AC7693">
        <v>380.07</v>
      </c>
      <c r="AD7693">
        <v>143</v>
      </c>
      <c r="AE7693" s="1">
        <v>54350.01</v>
      </c>
      <c r="AF7693">
        <v>0</v>
      </c>
      <c r="AJ7693">
        <v>0</v>
      </c>
      <c r="AK7693">
        <v>0</v>
      </c>
      <c r="AL7693">
        <v>0</v>
      </c>
      <c r="AM7693">
        <v>0</v>
      </c>
      <c r="AN7693">
        <v>0</v>
      </c>
      <c r="AO7693">
        <v>0</v>
      </c>
      <c r="AP7693" s="2">
        <v>42746</v>
      </c>
      <c r="AQ7693" t="s">
        <v>72</v>
      </c>
      <c r="AR7693" t="s">
        <v>72</v>
      </c>
      <c r="AS7693">
        <v>882</v>
      </c>
      <c r="AT7693" s="4">
        <v>42453</v>
      </c>
      <c r="AU7693" t="s">
        <v>73</v>
      </c>
      <c r="AV7693">
        <v>882</v>
      </c>
      <c r="AW7693" s="4">
        <v>42453</v>
      </c>
      <c r="BD7693">
        <v>0</v>
      </c>
      <c r="BN7693" t="s">
        <v>74</v>
      </c>
    </row>
    <row r="7694" spans="1:66" hidden="1">
      <c r="A7694">
        <v>104394</v>
      </c>
      <c r="B7694" s="3" t="s">
        <v>658</v>
      </c>
      <c r="C7694" s="1">
        <v>43300101</v>
      </c>
      <c r="D7694" t="s">
        <v>67</v>
      </c>
      <c r="H7694" t="str">
        <f t="shared" si="762"/>
        <v>00234290658</v>
      </c>
      <c r="I7694" t="str">
        <f t="shared" si="762"/>
        <v>00234290658</v>
      </c>
      <c r="K7694" t="str">
        <f>""</f>
        <v/>
      </c>
      <c r="M7694" t="s">
        <v>68</v>
      </c>
      <c r="N7694" t="str">
        <f t="shared" si="761"/>
        <v>FOR</v>
      </c>
      <c r="O7694" t="s">
        <v>69</v>
      </c>
      <c r="P7694" s="3" t="s">
        <v>75</v>
      </c>
      <c r="Q7694">
        <v>2015</v>
      </c>
      <c r="R7694" s="2">
        <v>42247</v>
      </c>
      <c r="S7694" s="2">
        <v>42251</v>
      </c>
      <c r="T7694" s="2">
        <v>42250</v>
      </c>
      <c r="U7694" s="2">
        <v>42310</v>
      </c>
      <c r="V7694" t="s">
        <v>71</v>
      </c>
      <c r="W7694" t="str">
        <f>"               5/491"</f>
        <v xml:space="preserve">               5/491</v>
      </c>
      <c r="X7694">
        <v>120.41</v>
      </c>
      <c r="Y7694">
        <v>0</v>
      </c>
      <c r="Z7694"/>
      <c r="AB7694"/>
      <c r="AC7694">
        <v>98.7</v>
      </c>
      <c r="AD7694">
        <v>143</v>
      </c>
      <c r="AE7694" s="1">
        <v>14114.1</v>
      </c>
      <c r="AF7694">
        <v>0</v>
      </c>
      <c r="AJ7694">
        <v>0</v>
      </c>
      <c r="AK7694">
        <v>0</v>
      </c>
      <c r="AL7694">
        <v>0</v>
      </c>
      <c r="AM7694">
        <v>0</v>
      </c>
      <c r="AN7694">
        <v>0</v>
      </c>
      <c r="AO7694">
        <v>0</v>
      </c>
      <c r="AP7694" s="2">
        <v>42746</v>
      </c>
      <c r="AQ7694" t="s">
        <v>72</v>
      </c>
      <c r="AR7694" t="s">
        <v>72</v>
      </c>
      <c r="AS7694">
        <v>882</v>
      </c>
      <c r="AT7694" s="4">
        <v>42453</v>
      </c>
      <c r="AU7694" t="s">
        <v>73</v>
      </c>
      <c r="AV7694">
        <v>882</v>
      </c>
      <c r="AW7694" s="4">
        <v>42453</v>
      </c>
      <c r="BD7694">
        <v>0</v>
      </c>
      <c r="BN7694" t="s">
        <v>74</v>
      </c>
    </row>
    <row r="7695" spans="1:66" hidden="1">
      <c r="A7695">
        <v>104394</v>
      </c>
      <c r="B7695" s="3" t="s">
        <v>658</v>
      </c>
      <c r="C7695" s="1">
        <v>43300101</v>
      </c>
      <c r="D7695" t="s">
        <v>67</v>
      </c>
      <c r="H7695" t="str">
        <f t="shared" si="762"/>
        <v>00234290658</v>
      </c>
      <c r="I7695" t="str">
        <f t="shared" si="762"/>
        <v>00234290658</v>
      </c>
      <c r="K7695" t="str">
        <f>""</f>
        <v/>
      </c>
      <c r="M7695" t="s">
        <v>68</v>
      </c>
      <c r="N7695" t="str">
        <f t="shared" si="761"/>
        <v>FOR</v>
      </c>
      <c r="O7695" t="s">
        <v>69</v>
      </c>
      <c r="P7695" s="3" t="s">
        <v>75</v>
      </c>
      <c r="Q7695">
        <v>2015</v>
      </c>
      <c r="R7695" s="2">
        <v>42247</v>
      </c>
      <c r="S7695" s="2">
        <v>42254</v>
      </c>
      <c r="T7695" s="2">
        <v>42254</v>
      </c>
      <c r="U7695" s="2">
        <v>42314</v>
      </c>
      <c r="V7695" t="s">
        <v>71</v>
      </c>
      <c r="W7695" t="str">
        <f>"               5/492"</f>
        <v xml:space="preserve">               5/492</v>
      </c>
      <c r="X7695" s="1">
        <v>95982.5</v>
      </c>
      <c r="Y7695" s="1">
        <v>-17308.32</v>
      </c>
      <c r="Z7695"/>
      <c r="AB7695"/>
      <c r="AC7695" s="1">
        <v>78674.179999999993</v>
      </c>
      <c r="AD7695">
        <v>139</v>
      </c>
      <c r="AE7695" s="1">
        <v>10935711.02</v>
      </c>
      <c r="AF7695">
        <v>0</v>
      </c>
      <c r="AJ7695">
        <v>0</v>
      </c>
      <c r="AK7695">
        <v>0</v>
      </c>
      <c r="AL7695">
        <v>0</v>
      </c>
      <c r="AM7695">
        <v>0</v>
      </c>
      <c r="AN7695">
        <v>0</v>
      </c>
      <c r="AO7695">
        <v>0</v>
      </c>
      <c r="AP7695" s="2">
        <v>42746</v>
      </c>
      <c r="AQ7695" t="s">
        <v>72</v>
      </c>
      <c r="AR7695" t="s">
        <v>72</v>
      </c>
      <c r="AS7695">
        <v>882</v>
      </c>
      <c r="AT7695" s="4">
        <v>42453</v>
      </c>
      <c r="AU7695" t="s">
        <v>73</v>
      </c>
      <c r="AV7695">
        <v>882</v>
      </c>
      <c r="AW7695" s="4">
        <v>42453</v>
      </c>
      <c r="BD7695">
        <v>0</v>
      </c>
      <c r="BN7695" t="s">
        <v>74</v>
      </c>
    </row>
    <row r="7696" spans="1:66" hidden="1">
      <c r="A7696">
        <v>104394</v>
      </c>
      <c r="B7696" s="3" t="s">
        <v>658</v>
      </c>
      <c r="C7696" s="1">
        <v>43300101</v>
      </c>
      <c r="D7696" t="s">
        <v>67</v>
      </c>
      <c r="H7696" t="str">
        <f t="shared" si="762"/>
        <v>00234290658</v>
      </c>
      <c r="I7696" t="str">
        <f t="shared" si="762"/>
        <v>00234290658</v>
      </c>
      <c r="K7696" t="str">
        <f>""</f>
        <v/>
      </c>
      <c r="M7696" t="s">
        <v>68</v>
      </c>
      <c r="N7696" t="str">
        <f t="shared" si="761"/>
        <v>FOR</v>
      </c>
      <c r="O7696" t="s">
        <v>69</v>
      </c>
      <c r="P7696" s="3" t="s">
        <v>75</v>
      </c>
      <c r="Q7696">
        <v>2015</v>
      </c>
      <c r="R7696" s="2">
        <v>42277</v>
      </c>
      <c r="S7696" s="2">
        <v>42284</v>
      </c>
      <c r="T7696" s="2">
        <v>42284</v>
      </c>
      <c r="U7696" s="2">
        <v>42344</v>
      </c>
      <c r="V7696" t="s">
        <v>71</v>
      </c>
      <c r="W7696" t="str">
        <f>"               5/567"</f>
        <v xml:space="preserve">               5/567</v>
      </c>
      <c r="X7696" s="1">
        <v>109847.78</v>
      </c>
      <c r="Y7696" s="1">
        <v>-19808.62</v>
      </c>
      <c r="Z7696"/>
      <c r="AB7696"/>
      <c r="AC7696" s="1">
        <v>90039.16</v>
      </c>
      <c r="AD7696">
        <v>185</v>
      </c>
      <c r="AE7696" s="1">
        <v>16657244.6</v>
      </c>
      <c r="AF7696">
        <v>0</v>
      </c>
      <c r="AJ7696">
        <v>0</v>
      </c>
      <c r="AK7696">
        <v>0</v>
      </c>
      <c r="AL7696">
        <v>0</v>
      </c>
      <c r="AM7696">
        <v>0</v>
      </c>
      <c r="AN7696">
        <v>0</v>
      </c>
      <c r="AO7696">
        <v>0</v>
      </c>
      <c r="AP7696" s="2">
        <v>42746</v>
      </c>
      <c r="AQ7696" t="s">
        <v>72</v>
      </c>
      <c r="AR7696" t="s">
        <v>72</v>
      </c>
      <c r="AS7696">
        <v>1584</v>
      </c>
      <c r="AT7696" s="4">
        <v>42529</v>
      </c>
      <c r="AU7696" t="s">
        <v>73</v>
      </c>
      <c r="AV7696">
        <v>1584</v>
      </c>
      <c r="AW7696" s="4">
        <v>42529</v>
      </c>
      <c r="BD7696">
        <v>0</v>
      </c>
      <c r="BN7696" t="s">
        <v>74</v>
      </c>
    </row>
    <row r="7697" spans="1:66" hidden="1">
      <c r="A7697">
        <v>104394</v>
      </c>
      <c r="B7697" s="3" t="s">
        <v>658</v>
      </c>
      <c r="C7697" s="1">
        <v>43300101</v>
      </c>
      <c r="D7697" t="s">
        <v>67</v>
      </c>
      <c r="H7697" t="str">
        <f t="shared" si="762"/>
        <v>00234290658</v>
      </c>
      <c r="I7697" t="str">
        <f t="shared" si="762"/>
        <v>00234290658</v>
      </c>
      <c r="K7697" t="str">
        <f>""</f>
        <v/>
      </c>
      <c r="M7697" t="s">
        <v>68</v>
      </c>
      <c r="N7697" t="str">
        <f t="shared" si="761"/>
        <v>FOR</v>
      </c>
      <c r="O7697" t="s">
        <v>69</v>
      </c>
      <c r="P7697" s="3" t="s">
        <v>75</v>
      </c>
      <c r="Q7697">
        <v>2015</v>
      </c>
      <c r="R7697" s="2">
        <v>42277</v>
      </c>
      <c r="S7697" s="2">
        <v>42286</v>
      </c>
      <c r="T7697" s="2">
        <v>42284</v>
      </c>
      <c r="U7697" s="2">
        <v>42344</v>
      </c>
      <c r="V7697" t="s">
        <v>71</v>
      </c>
      <c r="W7697" t="str">
        <f>"               5/568"</f>
        <v xml:space="preserve">               5/568</v>
      </c>
      <c r="X7697">
        <v>109.8</v>
      </c>
      <c r="Y7697">
        <v>0</v>
      </c>
      <c r="Z7697"/>
      <c r="AB7697"/>
      <c r="AC7697">
        <v>90</v>
      </c>
      <c r="AD7697">
        <v>185</v>
      </c>
      <c r="AE7697" s="1">
        <v>16650</v>
      </c>
      <c r="AF7697">
        <v>0</v>
      </c>
      <c r="AJ7697">
        <v>0</v>
      </c>
      <c r="AK7697">
        <v>0</v>
      </c>
      <c r="AL7697">
        <v>0</v>
      </c>
      <c r="AM7697">
        <v>0</v>
      </c>
      <c r="AN7697">
        <v>0</v>
      </c>
      <c r="AO7697">
        <v>0</v>
      </c>
      <c r="AP7697" s="2">
        <v>42746</v>
      </c>
      <c r="AQ7697" t="s">
        <v>72</v>
      </c>
      <c r="AR7697" t="s">
        <v>72</v>
      </c>
      <c r="AS7697">
        <v>1584</v>
      </c>
      <c r="AT7697" s="4">
        <v>42529</v>
      </c>
      <c r="AU7697" t="s">
        <v>73</v>
      </c>
      <c r="AV7697">
        <v>1584</v>
      </c>
      <c r="AW7697" s="4">
        <v>42529</v>
      </c>
      <c r="BD7697">
        <v>0</v>
      </c>
      <c r="BN7697" t="s">
        <v>74</v>
      </c>
    </row>
    <row r="7698" spans="1:66" hidden="1">
      <c r="A7698">
        <v>104394</v>
      </c>
      <c r="B7698" s="3" t="s">
        <v>658</v>
      </c>
      <c r="C7698" s="1">
        <v>43300101</v>
      </c>
      <c r="D7698" t="s">
        <v>67</v>
      </c>
      <c r="H7698" t="str">
        <f t="shared" si="762"/>
        <v>00234290658</v>
      </c>
      <c r="I7698" t="str">
        <f t="shared" si="762"/>
        <v>00234290658</v>
      </c>
      <c r="K7698" t="str">
        <f>""</f>
        <v/>
      </c>
      <c r="M7698" t="s">
        <v>68</v>
      </c>
      <c r="N7698" t="str">
        <f t="shared" si="761"/>
        <v>FOR</v>
      </c>
      <c r="O7698" t="s">
        <v>69</v>
      </c>
      <c r="P7698" s="3" t="s">
        <v>75</v>
      </c>
      <c r="Q7698">
        <v>2015</v>
      </c>
      <c r="R7698" s="2">
        <v>42277</v>
      </c>
      <c r="S7698" s="2">
        <v>42286</v>
      </c>
      <c r="T7698" s="2">
        <v>42284</v>
      </c>
      <c r="U7698" s="2">
        <v>42344</v>
      </c>
      <c r="V7698" t="s">
        <v>71</v>
      </c>
      <c r="W7698" t="str">
        <f>"               5/569"</f>
        <v xml:space="preserve">               5/569</v>
      </c>
      <c r="X7698">
        <v>440.18</v>
      </c>
      <c r="Y7698">
        <v>0</v>
      </c>
      <c r="Z7698"/>
      <c r="AB7698"/>
      <c r="AC7698">
        <v>360.8</v>
      </c>
      <c r="AD7698">
        <v>185</v>
      </c>
      <c r="AE7698" s="1">
        <v>66748</v>
      </c>
      <c r="AF7698">
        <v>0</v>
      </c>
      <c r="AJ7698">
        <v>0</v>
      </c>
      <c r="AK7698">
        <v>0</v>
      </c>
      <c r="AL7698">
        <v>0</v>
      </c>
      <c r="AM7698">
        <v>0</v>
      </c>
      <c r="AN7698">
        <v>0</v>
      </c>
      <c r="AO7698">
        <v>0</v>
      </c>
      <c r="AP7698" s="2">
        <v>42746</v>
      </c>
      <c r="AQ7698" t="s">
        <v>72</v>
      </c>
      <c r="AR7698" t="s">
        <v>72</v>
      </c>
      <c r="AS7698">
        <v>1584</v>
      </c>
      <c r="AT7698" s="4">
        <v>42529</v>
      </c>
      <c r="AU7698" t="s">
        <v>73</v>
      </c>
      <c r="AV7698">
        <v>1584</v>
      </c>
      <c r="AW7698" s="4">
        <v>42529</v>
      </c>
      <c r="BD7698">
        <v>0</v>
      </c>
      <c r="BN7698" t="s">
        <v>74</v>
      </c>
    </row>
    <row r="7699" spans="1:66" hidden="1">
      <c r="A7699">
        <v>104394</v>
      </c>
      <c r="B7699" s="3" t="s">
        <v>658</v>
      </c>
      <c r="C7699" s="1">
        <v>43300101</v>
      </c>
      <c r="D7699" t="s">
        <v>67</v>
      </c>
      <c r="H7699" t="str">
        <f t="shared" si="762"/>
        <v>00234290658</v>
      </c>
      <c r="I7699" t="str">
        <f t="shared" si="762"/>
        <v>00234290658</v>
      </c>
      <c r="K7699" t="str">
        <f>""</f>
        <v/>
      </c>
      <c r="M7699" t="s">
        <v>68</v>
      </c>
      <c r="N7699" t="str">
        <f t="shared" si="761"/>
        <v>FOR</v>
      </c>
      <c r="O7699" t="s">
        <v>69</v>
      </c>
      <c r="P7699" s="3" t="s">
        <v>75</v>
      </c>
      <c r="Q7699">
        <v>2015</v>
      </c>
      <c r="R7699" s="2">
        <v>42277</v>
      </c>
      <c r="S7699" s="2">
        <v>42286</v>
      </c>
      <c r="T7699" s="2">
        <v>42284</v>
      </c>
      <c r="U7699" s="2">
        <v>42344</v>
      </c>
      <c r="V7699" t="s">
        <v>71</v>
      </c>
      <c r="W7699" t="str">
        <f>"               5/570"</f>
        <v xml:space="preserve">               5/570</v>
      </c>
      <c r="X7699">
        <v>216.49</v>
      </c>
      <c r="Y7699">
        <v>0</v>
      </c>
      <c r="Z7699"/>
      <c r="AB7699"/>
      <c r="AC7699">
        <v>177.45</v>
      </c>
      <c r="AD7699">
        <v>185</v>
      </c>
      <c r="AE7699" s="1">
        <v>32828.25</v>
      </c>
      <c r="AF7699">
        <v>0</v>
      </c>
      <c r="AJ7699">
        <v>0</v>
      </c>
      <c r="AK7699">
        <v>0</v>
      </c>
      <c r="AL7699">
        <v>0</v>
      </c>
      <c r="AM7699">
        <v>0</v>
      </c>
      <c r="AN7699">
        <v>0</v>
      </c>
      <c r="AO7699">
        <v>0</v>
      </c>
      <c r="AP7699" s="2">
        <v>42746</v>
      </c>
      <c r="AQ7699" t="s">
        <v>72</v>
      </c>
      <c r="AR7699" t="s">
        <v>72</v>
      </c>
      <c r="AS7699">
        <v>1584</v>
      </c>
      <c r="AT7699" s="4">
        <v>42529</v>
      </c>
      <c r="AU7699" t="s">
        <v>73</v>
      </c>
      <c r="AV7699">
        <v>1584</v>
      </c>
      <c r="AW7699" s="4">
        <v>42529</v>
      </c>
      <c r="BD7699">
        <v>0</v>
      </c>
      <c r="BN7699" t="s">
        <v>74</v>
      </c>
    </row>
    <row r="7700" spans="1:66" hidden="1">
      <c r="A7700">
        <v>104394</v>
      </c>
      <c r="B7700" s="3" t="s">
        <v>658</v>
      </c>
      <c r="C7700" s="1">
        <v>43300101</v>
      </c>
      <c r="D7700" t="s">
        <v>67</v>
      </c>
      <c r="H7700" t="str">
        <f t="shared" ref="H7700:I7719" si="763">"00234290658"</f>
        <v>00234290658</v>
      </c>
      <c r="I7700" t="str">
        <f t="shared" si="763"/>
        <v>00234290658</v>
      </c>
      <c r="K7700" t="str">
        <f>""</f>
        <v/>
      </c>
      <c r="M7700" t="s">
        <v>68</v>
      </c>
      <c r="N7700" t="str">
        <f t="shared" si="761"/>
        <v>FOR</v>
      </c>
      <c r="O7700" t="s">
        <v>69</v>
      </c>
      <c r="P7700" s="3" t="s">
        <v>75</v>
      </c>
      <c r="Q7700">
        <v>2015</v>
      </c>
      <c r="R7700" s="2">
        <v>42308</v>
      </c>
      <c r="S7700" s="2">
        <v>42314</v>
      </c>
      <c r="T7700" s="2">
        <v>42313</v>
      </c>
      <c r="U7700" s="2">
        <v>42373</v>
      </c>
      <c r="V7700" t="s">
        <v>71</v>
      </c>
      <c r="W7700" t="str">
        <f>"               5/643"</f>
        <v xml:space="preserve">               5/643</v>
      </c>
      <c r="X7700" s="1">
        <v>115267.82</v>
      </c>
      <c r="Y7700" s="1">
        <v>-20786</v>
      </c>
      <c r="Z7700"/>
      <c r="AB7700"/>
      <c r="AC7700" s="1">
        <v>94481.82</v>
      </c>
      <c r="AD7700">
        <v>204</v>
      </c>
      <c r="AE7700" s="1">
        <v>19274291.280000001</v>
      </c>
      <c r="AF7700">
        <v>0</v>
      </c>
      <c r="AJ7700">
        <v>0</v>
      </c>
      <c r="AK7700">
        <v>0</v>
      </c>
      <c r="AL7700">
        <v>0</v>
      </c>
      <c r="AM7700">
        <v>0</v>
      </c>
      <c r="AN7700">
        <v>0</v>
      </c>
      <c r="AO7700">
        <v>0</v>
      </c>
      <c r="AP7700" s="2">
        <v>42746</v>
      </c>
      <c r="AQ7700" t="s">
        <v>72</v>
      </c>
      <c r="AR7700" t="s">
        <v>72</v>
      </c>
      <c r="AS7700">
        <v>1932</v>
      </c>
      <c r="AT7700" s="4">
        <v>42577</v>
      </c>
      <c r="AU7700" t="s">
        <v>73</v>
      </c>
      <c r="AV7700">
        <v>1932</v>
      </c>
      <c r="AW7700" s="4">
        <v>42577</v>
      </c>
      <c r="BD7700">
        <v>0</v>
      </c>
      <c r="BN7700" t="s">
        <v>74</v>
      </c>
    </row>
    <row r="7701" spans="1:66" hidden="1">
      <c r="A7701">
        <v>104394</v>
      </c>
      <c r="B7701" s="3" t="s">
        <v>658</v>
      </c>
      <c r="C7701" s="1">
        <v>43300101</v>
      </c>
      <c r="D7701" t="s">
        <v>67</v>
      </c>
      <c r="H7701" t="str">
        <f t="shared" si="763"/>
        <v>00234290658</v>
      </c>
      <c r="I7701" t="str">
        <f t="shared" si="763"/>
        <v>00234290658</v>
      </c>
      <c r="K7701" t="str">
        <f>""</f>
        <v/>
      </c>
      <c r="M7701" t="s">
        <v>68</v>
      </c>
      <c r="N7701" t="str">
        <f t="shared" si="761"/>
        <v>FOR</v>
      </c>
      <c r="O7701" t="s">
        <v>69</v>
      </c>
      <c r="P7701" s="3" t="s">
        <v>75</v>
      </c>
      <c r="Q7701">
        <v>2015</v>
      </c>
      <c r="R7701" s="2">
        <v>42308</v>
      </c>
      <c r="S7701" s="2">
        <v>42314</v>
      </c>
      <c r="T7701" s="2">
        <v>42313</v>
      </c>
      <c r="U7701" s="2">
        <v>42373</v>
      </c>
      <c r="V7701" t="s">
        <v>71</v>
      </c>
      <c r="W7701" t="str">
        <f>"               5/644"</f>
        <v xml:space="preserve">               5/644</v>
      </c>
      <c r="X7701">
        <v>109.8</v>
      </c>
      <c r="Y7701">
        <v>0</v>
      </c>
      <c r="Z7701"/>
      <c r="AB7701"/>
      <c r="AC7701">
        <v>90</v>
      </c>
      <c r="AD7701">
        <v>204</v>
      </c>
      <c r="AE7701" s="1">
        <v>18360</v>
      </c>
      <c r="AF7701">
        <v>0</v>
      </c>
      <c r="AJ7701">
        <v>0</v>
      </c>
      <c r="AK7701">
        <v>0</v>
      </c>
      <c r="AL7701">
        <v>0</v>
      </c>
      <c r="AM7701">
        <v>0</v>
      </c>
      <c r="AN7701">
        <v>0</v>
      </c>
      <c r="AO7701">
        <v>0</v>
      </c>
      <c r="AP7701" s="2">
        <v>42746</v>
      </c>
      <c r="AQ7701" t="s">
        <v>72</v>
      </c>
      <c r="AR7701" t="s">
        <v>72</v>
      </c>
      <c r="AS7701">
        <v>1932</v>
      </c>
      <c r="AT7701" s="4">
        <v>42577</v>
      </c>
      <c r="AU7701" t="s">
        <v>73</v>
      </c>
      <c r="AV7701">
        <v>1932</v>
      </c>
      <c r="AW7701" s="4">
        <v>42577</v>
      </c>
      <c r="BD7701">
        <v>0</v>
      </c>
      <c r="BN7701" t="s">
        <v>74</v>
      </c>
    </row>
    <row r="7702" spans="1:66" hidden="1">
      <c r="A7702">
        <v>104394</v>
      </c>
      <c r="B7702" s="3" t="s">
        <v>658</v>
      </c>
      <c r="C7702" s="1">
        <v>43300101</v>
      </c>
      <c r="D7702" t="s">
        <v>67</v>
      </c>
      <c r="H7702" t="str">
        <f t="shared" si="763"/>
        <v>00234290658</v>
      </c>
      <c r="I7702" t="str">
        <f t="shared" si="763"/>
        <v>00234290658</v>
      </c>
      <c r="K7702" t="str">
        <f>""</f>
        <v/>
      </c>
      <c r="M7702" t="s">
        <v>68</v>
      </c>
      <c r="N7702" t="str">
        <f t="shared" si="761"/>
        <v>FOR</v>
      </c>
      <c r="O7702" t="s">
        <v>69</v>
      </c>
      <c r="P7702" s="3" t="s">
        <v>75</v>
      </c>
      <c r="Q7702">
        <v>2015</v>
      </c>
      <c r="R7702" s="2">
        <v>42308</v>
      </c>
      <c r="S7702" s="2">
        <v>42314</v>
      </c>
      <c r="T7702" s="2">
        <v>42313</v>
      </c>
      <c r="U7702" s="2">
        <v>42373</v>
      </c>
      <c r="V7702" t="s">
        <v>71</v>
      </c>
      <c r="W7702" t="str">
        <f>"               5/645"</f>
        <v xml:space="preserve">               5/645</v>
      </c>
      <c r="X7702">
        <v>416.17</v>
      </c>
      <c r="Y7702">
        <v>0</v>
      </c>
      <c r="Z7702"/>
      <c r="AB7702"/>
      <c r="AC7702">
        <v>341.12</v>
      </c>
      <c r="AD7702">
        <v>204</v>
      </c>
      <c r="AE7702" s="1">
        <v>69588.479999999996</v>
      </c>
      <c r="AF7702">
        <v>0</v>
      </c>
      <c r="AJ7702">
        <v>0</v>
      </c>
      <c r="AK7702">
        <v>0</v>
      </c>
      <c r="AL7702">
        <v>0</v>
      </c>
      <c r="AM7702">
        <v>0</v>
      </c>
      <c r="AN7702">
        <v>0</v>
      </c>
      <c r="AO7702">
        <v>0</v>
      </c>
      <c r="AP7702" s="2">
        <v>42746</v>
      </c>
      <c r="AQ7702" t="s">
        <v>72</v>
      </c>
      <c r="AR7702" t="s">
        <v>72</v>
      </c>
      <c r="AS7702">
        <v>1932</v>
      </c>
      <c r="AT7702" s="4">
        <v>42577</v>
      </c>
      <c r="AU7702" t="s">
        <v>73</v>
      </c>
      <c r="AV7702">
        <v>1932</v>
      </c>
      <c r="AW7702" s="4">
        <v>42577</v>
      </c>
      <c r="BD7702">
        <v>0</v>
      </c>
      <c r="BN7702" t="s">
        <v>74</v>
      </c>
    </row>
    <row r="7703" spans="1:66" hidden="1">
      <c r="A7703">
        <v>104394</v>
      </c>
      <c r="B7703" s="3" t="s">
        <v>658</v>
      </c>
      <c r="C7703" s="1">
        <v>43300101</v>
      </c>
      <c r="D7703" t="s">
        <v>67</v>
      </c>
      <c r="H7703" t="str">
        <f t="shared" si="763"/>
        <v>00234290658</v>
      </c>
      <c r="I7703" t="str">
        <f t="shared" si="763"/>
        <v>00234290658</v>
      </c>
      <c r="K7703" t="str">
        <f>""</f>
        <v/>
      </c>
      <c r="M7703" t="s">
        <v>68</v>
      </c>
      <c r="N7703" t="str">
        <f t="shared" si="761"/>
        <v>FOR</v>
      </c>
      <c r="O7703" t="s">
        <v>69</v>
      </c>
      <c r="P7703" s="3" t="s">
        <v>75</v>
      </c>
      <c r="Q7703">
        <v>2015</v>
      </c>
      <c r="R7703" s="2">
        <v>42308</v>
      </c>
      <c r="S7703" s="2">
        <v>42314</v>
      </c>
      <c r="T7703" s="2">
        <v>42313</v>
      </c>
      <c r="U7703" s="2">
        <v>42373</v>
      </c>
      <c r="V7703" t="s">
        <v>71</v>
      </c>
      <c r="W7703" t="str">
        <f>"               5/646"</f>
        <v xml:space="preserve">               5/646</v>
      </c>
      <c r="X7703">
        <v>204.96</v>
      </c>
      <c r="Y7703">
        <v>0</v>
      </c>
      <c r="Z7703"/>
      <c r="AB7703"/>
      <c r="AC7703">
        <v>168</v>
      </c>
      <c r="AD7703">
        <v>204</v>
      </c>
      <c r="AE7703" s="1">
        <v>34272</v>
      </c>
      <c r="AF7703">
        <v>0</v>
      </c>
      <c r="AJ7703">
        <v>0</v>
      </c>
      <c r="AK7703">
        <v>0</v>
      </c>
      <c r="AL7703">
        <v>0</v>
      </c>
      <c r="AM7703">
        <v>0</v>
      </c>
      <c r="AN7703">
        <v>0</v>
      </c>
      <c r="AO7703">
        <v>0</v>
      </c>
      <c r="AP7703" s="2">
        <v>42746</v>
      </c>
      <c r="AQ7703" t="s">
        <v>72</v>
      </c>
      <c r="AR7703" t="s">
        <v>72</v>
      </c>
      <c r="AS7703">
        <v>1932</v>
      </c>
      <c r="AT7703" s="4">
        <v>42577</v>
      </c>
      <c r="AU7703" t="s">
        <v>73</v>
      </c>
      <c r="AV7703">
        <v>1932</v>
      </c>
      <c r="AW7703" s="4">
        <v>42577</v>
      </c>
      <c r="BD7703">
        <v>0</v>
      </c>
      <c r="BN7703" t="s">
        <v>74</v>
      </c>
    </row>
    <row r="7704" spans="1:66" hidden="1">
      <c r="A7704">
        <v>104394</v>
      </c>
      <c r="B7704" s="3" t="s">
        <v>658</v>
      </c>
      <c r="C7704" s="1">
        <v>43300101</v>
      </c>
      <c r="D7704" t="s">
        <v>67</v>
      </c>
      <c r="H7704" t="str">
        <f t="shared" si="763"/>
        <v>00234290658</v>
      </c>
      <c r="I7704" t="str">
        <f t="shared" si="763"/>
        <v>00234290658</v>
      </c>
      <c r="K7704" t="str">
        <f>""</f>
        <v/>
      </c>
      <c r="M7704" t="s">
        <v>68</v>
      </c>
      <c r="N7704" t="str">
        <f t="shared" si="761"/>
        <v>FOR</v>
      </c>
      <c r="O7704" t="s">
        <v>69</v>
      </c>
      <c r="P7704" s="3" t="s">
        <v>75</v>
      </c>
      <c r="Q7704">
        <v>2015</v>
      </c>
      <c r="R7704" s="2">
        <v>42338</v>
      </c>
      <c r="S7704" s="2">
        <v>42345</v>
      </c>
      <c r="T7704" s="2">
        <v>42345</v>
      </c>
      <c r="U7704" s="2">
        <v>42405</v>
      </c>
      <c r="V7704" t="s">
        <v>71</v>
      </c>
      <c r="W7704" t="str">
        <f>"               5/718"</f>
        <v xml:space="preserve">               5/718</v>
      </c>
      <c r="X7704" s="1">
        <v>114697.06</v>
      </c>
      <c r="Y7704" s="1">
        <v>-20683.080000000002</v>
      </c>
      <c r="Z7704"/>
      <c r="AB7704"/>
      <c r="AC7704" s="1">
        <v>94013.98</v>
      </c>
      <c r="AD7704">
        <v>214</v>
      </c>
      <c r="AE7704" s="1">
        <v>20118991.719999999</v>
      </c>
      <c r="AF7704">
        <v>0</v>
      </c>
      <c r="AJ7704">
        <v>0</v>
      </c>
      <c r="AK7704">
        <v>0</v>
      </c>
      <c r="AL7704">
        <v>0</v>
      </c>
      <c r="AM7704">
        <v>0</v>
      </c>
      <c r="AN7704">
        <v>0</v>
      </c>
      <c r="AO7704">
        <v>0</v>
      </c>
      <c r="AP7704" s="2">
        <v>42746</v>
      </c>
      <c r="AQ7704" t="s">
        <v>72</v>
      </c>
      <c r="AR7704" t="s">
        <v>72</v>
      </c>
      <c r="AS7704">
        <v>2270</v>
      </c>
      <c r="AT7704" s="4">
        <v>42619</v>
      </c>
      <c r="AU7704" t="s">
        <v>73</v>
      </c>
      <c r="AV7704">
        <v>2270</v>
      </c>
      <c r="AW7704" s="4">
        <v>42619</v>
      </c>
      <c r="BD7704">
        <v>0</v>
      </c>
      <c r="BN7704" t="s">
        <v>74</v>
      </c>
    </row>
    <row r="7705" spans="1:66" hidden="1">
      <c r="A7705">
        <v>104394</v>
      </c>
      <c r="B7705" s="3" t="s">
        <v>658</v>
      </c>
      <c r="C7705" s="1">
        <v>43300101</v>
      </c>
      <c r="D7705" t="s">
        <v>67</v>
      </c>
      <c r="H7705" t="str">
        <f t="shared" si="763"/>
        <v>00234290658</v>
      </c>
      <c r="I7705" t="str">
        <f t="shared" si="763"/>
        <v>00234290658</v>
      </c>
      <c r="K7705" t="str">
        <f>""</f>
        <v/>
      </c>
      <c r="M7705" t="s">
        <v>68</v>
      </c>
      <c r="N7705" t="str">
        <f t="shared" si="761"/>
        <v>FOR</v>
      </c>
      <c r="O7705" t="s">
        <v>69</v>
      </c>
      <c r="P7705" s="3" t="s">
        <v>75</v>
      </c>
      <c r="Q7705">
        <v>2015</v>
      </c>
      <c r="R7705" s="2">
        <v>42338</v>
      </c>
      <c r="S7705" s="2">
        <v>42345</v>
      </c>
      <c r="T7705" s="2">
        <v>42345</v>
      </c>
      <c r="U7705" s="2">
        <v>42405</v>
      </c>
      <c r="V7705" t="s">
        <v>71</v>
      </c>
      <c r="W7705" t="str">
        <f>"               5/719"</f>
        <v xml:space="preserve">               5/719</v>
      </c>
      <c r="X7705">
        <v>109.8</v>
      </c>
      <c r="Y7705">
        <v>0</v>
      </c>
      <c r="Z7705"/>
      <c r="AB7705"/>
      <c r="AC7705">
        <v>90</v>
      </c>
      <c r="AD7705">
        <v>214</v>
      </c>
      <c r="AE7705" s="1">
        <v>19260</v>
      </c>
      <c r="AF7705">
        <v>0</v>
      </c>
      <c r="AJ7705">
        <v>0</v>
      </c>
      <c r="AK7705">
        <v>0</v>
      </c>
      <c r="AL7705">
        <v>0</v>
      </c>
      <c r="AM7705">
        <v>0</v>
      </c>
      <c r="AN7705">
        <v>0</v>
      </c>
      <c r="AO7705">
        <v>0</v>
      </c>
      <c r="AP7705" s="2">
        <v>42746</v>
      </c>
      <c r="AQ7705" t="s">
        <v>72</v>
      </c>
      <c r="AR7705" t="s">
        <v>72</v>
      </c>
      <c r="AS7705">
        <v>2270</v>
      </c>
      <c r="AT7705" s="4">
        <v>42619</v>
      </c>
      <c r="AU7705" t="s">
        <v>73</v>
      </c>
      <c r="AV7705">
        <v>2270</v>
      </c>
      <c r="AW7705" s="4">
        <v>42619</v>
      </c>
      <c r="BD7705">
        <v>0</v>
      </c>
      <c r="BN7705" t="s">
        <v>74</v>
      </c>
    </row>
    <row r="7706" spans="1:66" hidden="1">
      <c r="A7706">
        <v>104394</v>
      </c>
      <c r="B7706" s="3" t="s">
        <v>658</v>
      </c>
      <c r="C7706" s="1">
        <v>43300101</v>
      </c>
      <c r="D7706" t="s">
        <v>67</v>
      </c>
      <c r="H7706" t="str">
        <f t="shared" si="763"/>
        <v>00234290658</v>
      </c>
      <c r="I7706" t="str">
        <f t="shared" si="763"/>
        <v>00234290658</v>
      </c>
      <c r="K7706" t="str">
        <f>""</f>
        <v/>
      </c>
      <c r="M7706" t="s">
        <v>68</v>
      </c>
      <c r="N7706" t="str">
        <f t="shared" si="761"/>
        <v>FOR</v>
      </c>
      <c r="O7706" t="s">
        <v>69</v>
      </c>
      <c r="P7706" s="3" t="s">
        <v>75</v>
      </c>
      <c r="Q7706">
        <v>2015</v>
      </c>
      <c r="R7706" s="2">
        <v>42338</v>
      </c>
      <c r="S7706" s="2">
        <v>42345</v>
      </c>
      <c r="T7706" s="2">
        <v>42345</v>
      </c>
      <c r="U7706" s="2">
        <v>42405</v>
      </c>
      <c r="V7706" t="s">
        <v>71</v>
      </c>
      <c r="W7706" t="str">
        <f>"               5/720"</f>
        <v xml:space="preserve">               5/720</v>
      </c>
      <c r="X7706">
        <v>151.16</v>
      </c>
      <c r="Y7706">
        <v>0</v>
      </c>
      <c r="Z7706"/>
      <c r="AB7706"/>
      <c r="AC7706">
        <v>123.9</v>
      </c>
      <c r="AD7706">
        <v>214</v>
      </c>
      <c r="AE7706" s="1">
        <v>26514.6</v>
      </c>
      <c r="AF7706">
        <v>0</v>
      </c>
      <c r="AJ7706">
        <v>0</v>
      </c>
      <c r="AK7706">
        <v>0</v>
      </c>
      <c r="AL7706">
        <v>0</v>
      </c>
      <c r="AM7706">
        <v>0</v>
      </c>
      <c r="AN7706">
        <v>0</v>
      </c>
      <c r="AO7706">
        <v>0</v>
      </c>
      <c r="AP7706" s="2">
        <v>42746</v>
      </c>
      <c r="AQ7706" t="s">
        <v>72</v>
      </c>
      <c r="AR7706" t="s">
        <v>72</v>
      </c>
      <c r="AS7706">
        <v>2270</v>
      </c>
      <c r="AT7706" s="4">
        <v>42619</v>
      </c>
      <c r="AU7706" t="s">
        <v>73</v>
      </c>
      <c r="AV7706">
        <v>2270</v>
      </c>
      <c r="AW7706" s="4">
        <v>42619</v>
      </c>
      <c r="BD7706">
        <v>0</v>
      </c>
      <c r="BN7706" t="s">
        <v>74</v>
      </c>
    </row>
    <row r="7707" spans="1:66" hidden="1">
      <c r="A7707">
        <v>104394</v>
      </c>
      <c r="B7707" s="3" t="s">
        <v>658</v>
      </c>
      <c r="C7707" s="1">
        <v>43300101</v>
      </c>
      <c r="D7707" t="s">
        <v>67</v>
      </c>
      <c r="H7707" t="str">
        <f t="shared" si="763"/>
        <v>00234290658</v>
      </c>
      <c r="I7707" t="str">
        <f t="shared" si="763"/>
        <v>00234290658</v>
      </c>
      <c r="K7707" t="str">
        <f>""</f>
        <v/>
      </c>
      <c r="M7707" t="s">
        <v>68</v>
      </c>
      <c r="N7707" t="str">
        <f t="shared" si="761"/>
        <v>FOR</v>
      </c>
      <c r="O7707" t="s">
        <v>69</v>
      </c>
      <c r="P7707" s="3" t="s">
        <v>75</v>
      </c>
      <c r="Q7707">
        <v>2015</v>
      </c>
      <c r="R7707" s="2">
        <v>42338</v>
      </c>
      <c r="S7707" s="2">
        <v>42345</v>
      </c>
      <c r="T7707" s="2">
        <v>42345</v>
      </c>
      <c r="U7707" s="2">
        <v>42405</v>
      </c>
      <c r="V7707" t="s">
        <v>71</v>
      </c>
      <c r="W7707" t="str">
        <f>"               5/721"</f>
        <v xml:space="preserve">               5/721</v>
      </c>
      <c r="X7707">
        <v>318.63</v>
      </c>
      <c r="Y7707">
        <v>0</v>
      </c>
      <c r="Z7707"/>
      <c r="AB7707"/>
      <c r="AC7707">
        <v>261.17</v>
      </c>
      <c r="AD7707">
        <v>214</v>
      </c>
      <c r="AE7707" s="1">
        <v>55890.38</v>
      </c>
      <c r="AF7707">
        <v>0</v>
      </c>
      <c r="AJ7707">
        <v>0</v>
      </c>
      <c r="AK7707">
        <v>0</v>
      </c>
      <c r="AL7707">
        <v>0</v>
      </c>
      <c r="AM7707">
        <v>0</v>
      </c>
      <c r="AN7707">
        <v>0</v>
      </c>
      <c r="AO7707">
        <v>0</v>
      </c>
      <c r="AP7707" s="2">
        <v>42746</v>
      </c>
      <c r="AQ7707" t="s">
        <v>72</v>
      </c>
      <c r="AR7707" t="s">
        <v>72</v>
      </c>
      <c r="AS7707">
        <v>2270</v>
      </c>
      <c r="AT7707" s="4">
        <v>42619</v>
      </c>
      <c r="AU7707" t="s">
        <v>73</v>
      </c>
      <c r="AV7707">
        <v>2270</v>
      </c>
      <c r="AW7707" s="4">
        <v>42619</v>
      </c>
      <c r="BD7707">
        <v>0</v>
      </c>
      <c r="BN7707" t="s">
        <v>74</v>
      </c>
    </row>
    <row r="7708" spans="1:66">
      <c r="A7708">
        <v>104394</v>
      </c>
      <c r="B7708" s="3" t="s">
        <v>658</v>
      </c>
      <c r="C7708" s="1">
        <v>43300101</v>
      </c>
      <c r="D7708" t="s">
        <v>67</v>
      </c>
      <c r="H7708" t="str">
        <f t="shared" si="763"/>
        <v>00234290658</v>
      </c>
      <c r="I7708" t="str">
        <f t="shared" si="763"/>
        <v>00234290658</v>
      </c>
      <c r="K7708" t="str">
        <f>""</f>
        <v/>
      </c>
      <c r="M7708" t="s">
        <v>68</v>
      </c>
      <c r="N7708" t="str">
        <f t="shared" si="761"/>
        <v>FOR</v>
      </c>
      <c r="O7708" t="s">
        <v>69</v>
      </c>
      <c r="P7708" s="3" t="s">
        <v>75</v>
      </c>
      <c r="Q7708">
        <v>2015</v>
      </c>
      <c r="R7708" s="2">
        <v>42369</v>
      </c>
      <c r="S7708" s="2">
        <v>42369</v>
      </c>
      <c r="T7708" s="2">
        <v>42369</v>
      </c>
      <c r="U7708" s="2">
        <v>42429</v>
      </c>
      <c r="V7708" t="s">
        <v>71</v>
      </c>
      <c r="W7708" t="str">
        <f>"               5/806"</f>
        <v xml:space="preserve">               5/806</v>
      </c>
      <c r="X7708">
        <v>109.8</v>
      </c>
      <c r="Y7708">
        <v>0</v>
      </c>
      <c r="Z7708" s="3">
        <v>90</v>
      </c>
      <c r="AA7708">
        <v>217</v>
      </c>
      <c r="AB7708" s="5">
        <v>19530</v>
      </c>
      <c r="AC7708">
        <v>90</v>
      </c>
      <c r="AD7708">
        <v>217</v>
      </c>
      <c r="AE7708" s="1">
        <v>19530</v>
      </c>
      <c r="AF7708">
        <v>0</v>
      </c>
      <c r="AJ7708">
        <v>0</v>
      </c>
      <c r="AK7708">
        <v>0</v>
      </c>
      <c r="AL7708">
        <v>0</v>
      </c>
      <c r="AM7708">
        <v>0</v>
      </c>
      <c r="AN7708">
        <v>0</v>
      </c>
      <c r="AO7708">
        <v>0</v>
      </c>
      <c r="AP7708" s="2">
        <v>42746</v>
      </c>
      <c r="AQ7708" t="s">
        <v>72</v>
      </c>
      <c r="AR7708" t="s">
        <v>72</v>
      </c>
      <c r="AS7708">
        <v>2554</v>
      </c>
      <c r="AT7708" s="4">
        <v>42646</v>
      </c>
      <c r="AU7708" t="s">
        <v>73</v>
      </c>
      <c r="AV7708">
        <v>2554</v>
      </c>
      <c r="AW7708" s="4">
        <v>42646</v>
      </c>
      <c r="BD7708">
        <v>0</v>
      </c>
      <c r="BN7708" t="s">
        <v>74</v>
      </c>
    </row>
    <row r="7709" spans="1:66">
      <c r="A7709">
        <v>104394</v>
      </c>
      <c r="B7709" s="3" t="s">
        <v>658</v>
      </c>
      <c r="C7709" s="1">
        <v>43300101</v>
      </c>
      <c r="D7709" t="s">
        <v>67</v>
      </c>
      <c r="H7709" t="str">
        <f t="shared" si="763"/>
        <v>00234290658</v>
      </c>
      <c r="I7709" t="str">
        <f t="shared" si="763"/>
        <v>00234290658</v>
      </c>
      <c r="K7709" t="str">
        <f>""</f>
        <v/>
      </c>
      <c r="M7709" t="s">
        <v>68</v>
      </c>
      <c r="N7709" t="str">
        <f t="shared" si="761"/>
        <v>FOR</v>
      </c>
      <c r="O7709" t="s">
        <v>69</v>
      </c>
      <c r="P7709" s="3" t="s">
        <v>75</v>
      </c>
      <c r="Q7709">
        <v>2015</v>
      </c>
      <c r="R7709" s="2">
        <v>42369</v>
      </c>
      <c r="S7709" s="2">
        <v>42369</v>
      </c>
      <c r="T7709" s="2">
        <v>42369</v>
      </c>
      <c r="U7709" s="2">
        <v>42429</v>
      </c>
      <c r="V7709" t="s">
        <v>71</v>
      </c>
      <c r="W7709" t="str">
        <f>"               5/807"</f>
        <v xml:space="preserve">               5/807</v>
      </c>
      <c r="X7709">
        <v>421.17</v>
      </c>
      <c r="Y7709">
        <v>0</v>
      </c>
      <c r="Z7709" s="3">
        <v>345.22</v>
      </c>
      <c r="AA7709">
        <v>217</v>
      </c>
      <c r="AB7709" s="5">
        <v>74912.740000000005</v>
      </c>
      <c r="AC7709">
        <v>345.22</v>
      </c>
      <c r="AD7709">
        <v>217</v>
      </c>
      <c r="AE7709" s="1">
        <v>74912.740000000005</v>
      </c>
      <c r="AF7709">
        <v>0</v>
      </c>
      <c r="AJ7709">
        <v>0</v>
      </c>
      <c r="AK7709">
        <v>0</v>
      </c>
      <c r="AL7709">
        <v>0</v>
      </c>
      <c r="AM7709">
        <v>0</v>
      </c>
      <c r="AN7709">
        <v>0</v>
      </c>
      <c r="AO7709">
        <v>0</v>
      </c>
      <c r="AP7709" s="2">
        <v>42746</v>
      </c>
      <c r="AQ7709" t="s">
        <v>72</v>
      </c>
      <c r="AR7709" t="s">
        <v>72</v>
      </c>
      <c r="AS7709">
        <v>2554</v>
      </c>
      <c r="AT7709" s="4">
        <v>42646</v>
      </c>
      <c r="AU7709" t="s">
        <v>73</v>
      </c>
      <c r="AV7709">
        <v>2554</v>
      </c>
      <c r="AW7709" s="4">
        <v>42646</v>
      </c>
      <c r="BD7709">
        <v>0</v>
      </c>
      <c r="BN7709" t="s">
        <v>74</v>
      </c>
    </row>
    <row r="7710" spans="1:66">
      <c r="A7710">
        <v>104394</v>
      </c>
      <c r="B7710" s="3" t="s">
        <v>658</v>
      </c>
      <c r="C7710" s="1">
        <v>43300101</v>
      </c>
      <c r="D7710" t="s">
        <v>67</v>
      </c>
      <c r="H7710" t="str">
        <f t="shared" si="763"/>
        <v>00234290658</v>
      </c>
      <c r="I7710" t="str">
        <f t="shared" si="763"/>
        <v>00234290658</v>
      </c>
      <c r="K7710" t="str">
        <f>""</f>
        <v/>
      </c>
      <c r="M7710" t="s">
        <v>68</v>
      </c>
      <c r="N7710" t="str">
        <f t="shared" si="761"/>
        <v>FOR</v>
      </c>
      <c r="O7710" t="s">
        <v>69</v>
      </c>
      <c r="P7710" s="3" t="s">
        <v>75</v>
      </c>
      <c r="Q7710">
        <v>2015</v>
      </c>
      <c r="R7710" s="2">
        <v>42369</v>
      </c>
      <c r="S7710" s="2">
        <v>42369</v>
      </c>
      <c r="T7710" s="2">
        <v>42369</v>
      </c>
      <c r="U7710" s="2">
        <v>42429</v>
      </c>
      <c r="V7710" t="s">
        <v>71</v>
      </c>
      <c r="W7710" t="str">
        <f>"               5/808"</f>
        <v xml:space="preserve">               5/808</v>
      </c>
      <c r="X7710">
        <v>119.13</v>
      </c>
      <c r="Y7710">
        <v>0</v>
      </c>
      <c r="Z7710" s="3">
        <v>97.65</v>
      </c>
      <c r="AA7710">
        <v>217</v>
      </c>
      <c r="AB7710" s="5">
        <v>21190.05</v>
      </c>
      <c r="AC7710">
        <v>97.65</v>
      </c>
      <c r="AD7710">
        <v>217</v>
      </c>
      <c r="AE7710" s="1">
        <v>21190.05</v>
      </c>
      <c r="AF7710">
        <v>0</v>
      </c>
      <c r="AJ7710">
        <v>0</v>
      </c>
      <c r="AK7710">
        <v>0</v>
      </c>
      <c r="AL7710">
        <v>0</v>
      </c>
      <c r="AM7710">
        <v>0</v>
      </c>
      <c r="AN7710">
        <v>0</v>
      </c>
      <c r="AO7710">
        <v>0</v>
      </c>
      <c r="AP7710" s="2">
        <v>42746</v>
      </c>
      <c r="AQ7710" t="s">
        <v>72</v>
      </c>
      <c r="AR7710" t="s">
        <v>72</v>
      </c>
      <c r="AS7710">
        <v>2554</v>
      </c>
      <c r="AT7710" s="4">
        <v>42646</v>
      </c>
      <c r="AU7710" t="s">
        <v>73</v>
      </c>
      <c r="AV7710">
        <v>2554</v>
      </c>
      <c r="AW7710" s="4">
        <v>42646</v>
      </c>
      <c r="BD7710">
        <v>0</v>
      </c>
      <c r="BN7710" t="s">
        <v>74</v>
      </c>
    </row>
    <row r="7711" spans="1:66">
      <c r="A7711">
        <v>104394</v>
      </c>
      <c r="B7711" s="3" t="s">
        <v>658</v>
      </c>
      <c r="C7711" s="1">
        <v>43300101</v>
      </c>
      <c r="D7711" t="s">
        <v>67</v>
      </c>
      <c r="H7711" t="str">
        <f t="shared" si="763"/>
        <v>00234290658</v>
      </c>
      <c r="I7711" t="str">
        <f t="shared" si="763"/>
        <v>00234290658</v>
      </c>
      <c r="K7711" t="str">
        <f>""</f>
        <v/>
      </c>
      <c r="M7711" t="s">
        <v>68</v>
      </c>
      <c r="N7711" t="str">
        <f t="shared" si="761"/>
        <v>FOR</v>
      </c>
      <c r="O7711" t="s">
        <v>69</v>
      </c>
      <c r="P7711" s="3" t="s">
        <v>75</v>
      </c>
      <c r="Q7711">
        <v>2015</v>
      </c>
      <c r="R7711" s="2">
        <v>42369</v>
      </c>
      <c r="S7711" s="2">
        <v>42369</v>
      </c>
      <c r="T7711" s="2">
        <v>42369</v>
      </c>
      <c r="U7711" s="2">
        <v>42429</v>
      </c>
      <c r="V7711" t="s">
        <v>71</v>
      </c>
      <c r="W7711" t="str">
        <f>"               5/811"</f>
        <v xml:space="preserve">               5/811</v>
      </c>
      <c r="X7711" s="1">
        <v>103689.01</v>
      </c>
      <c r="Y7711" s="1">
        <v>-18698.02</v>
      </c>
      <c r="Z7711" s="5">
        <v>84990.99</v>
      </c>
      <c r="AA7711">
        <v>217</v>
      </c>
      <c r="AB7711" s="5">
        <v>18443044.829999998</v>
      </c>
      <c r="AC7711" s="1">
        <v>84990.99</v>
      </c>
      <c r="AD7711">
        <v>217</v>
      </c>
      <c r="AE7711" s="1">
        <v>18443044.829999998</v>
      </c>
      <c r="AF7711">
        <v>0</v>
      </c>
      <c r="AJ7711">
        <v>0</v>
      </c>
      <c r="AK7711">
        <v>0</v>
      </c>
      <c r="AL7711">
        <v>0</v>
      </c>
      <c r="AM7711">
        <v>0</v>
      </c>
      <c r="AN7711">
        <v>0</v>
      </c>
      <c r="AO7711">
        <v>0</v>
      </c>
      <c r="AP7711" s="2">
        <v>42746</v>
      </c>
      <c r="AQ7711" t="s">
        <v>72</v>
      </c>
      <c r="AR7711" t="s">
        <v>72</v>
      </c>
      <c r="AS7711">
        <v>2554</v>
      </c>
      <c r="AT7711" s="4">
        <v>42646</v>
      </c>
      <c r="AU7711" t="s">
        <v>73</v>
      </c>
      <c r="AV7711">
        <v>2554</v>
      </c>
      <c r="AW7711" s="4">
        <v>42646</v>
      </c>
      <c r="BD7711">
        <v>0</v>
      </c>
      <c r="BN7711" t="s">
        <v>74</v>
      </c>
    </row>
    <row r="7712" spans="1:66" hidden="1">
      <c r="A7712">
        <v>104394</v>
      </c>
      <c r="B7712" s="3" t="s">
        <v>658</v>
      </c>
      <c r="C7712" s="1">
        <v>43300101</v>
      </c>
      <c r="D7712" t="s">
        <v>67</v>
      </c>
      <c r="H7712" t="str">
        <f t="shared" si="763"/>
        <v>00234290658</v>
      </c>
      <c r="I7712" t="str">
        <f t="shared" si="763"/>
        <v>00234290658</v>
      </c>
      <c r="K7712" t="str">
        <f>""</f>
        <v/>
      </c>
      <c r="M7712" t="s">
        <v>68</v>
      </c>
      <c r="N7712" t="str">
        <f t="shared" si="761"/>
        <v>FOR</v>
      </c>
      <c r="O7712" t="s">
        <v>69</v>
      </c>
      <c r="P7712" s="3" t="s">
        <v>75</v>
      </c>
      <c r="Q7712">
        <v>2016</v>
      </c>
      <c r="R7712" s="2">
        <v>42400</v>
      </c>
      <c r="S7712" s="2">
        <v>42415</v>
      </c>
      <c r="T7712" s="2">
        <v>42413</v>
      </c>
      <c r="U7712" s="2">
        <v>42473</v>
      </c>
      <c r="V7712" t="s">
        <v>71</v>
      </c>
      <c r="W7712" t="str">
        <f>"                5/60"</f>
        <v xml:space="preserve">                5/60</v>
      </c>
      <c r="X7712">
        <v>427.17</v>
      </c>
      <c r="Y7712">
        <v>0</v>
      </c>
      <c r="Z7712"/>
      <c r="AB7712"/>
      <c r="AC7712">
        <v>350.14</v>
      </c>
      <c r="AD7712">
        <v>20</v>
      </c>
      <c r="AE7712" s="1">
        <v>7002.8</v>
      </c>
      <c r="AF7712">
        <v>0</v>
      </c>
      <c r="AJ7712">
        <v>0</v>
      </c>
      <c r="AK7712">
        <v>0</v>
      </c>
      <c r="AL7712">
        <v>0</v>
      </c>
      <c r="AM7712">
        <v>427.17</v>
      </c>
      <c r="AN7712">
        <v>427.17</v>
      </c>
      <c r="AO7712">
        <v>427.17</v>
      </c>
      <c r="AP7712" s="2">
        <v>42746</v>
      </c>
      <c r="AQ7712" t="s">
        <v>72</v>
      </c>
      <c r="AR7712" t="s">
        <v>72</v>
      </c>
      <c r="AS7712">
        <v>1254</v>
      </c>
      <c r="AT7712" s="4">
        <v>42493</v>
      </c>
      <c r="AU7712" t="s">
        <v>73</v>
      </c>
      <c r="AV7712">
        <v>1254</v>
      </c>
      <c r="AW7712" s="4">
        <v>42493</v>
      </c>
      <c r="BD7712">
        <v>0</v>
      </c>
      <c r="BN7712" t="s">
        <v>74</v>
      </c>
    </row>
    <row r="7713" spans="1:66" hidden="1">
      <c r="A7713">
        <v>104394</v>
      </c>
      <c r="B7713" s="3" t="s">
        <v>658</v>
      </c>
      <c r="C7713" s="1">
        <v>43300101</v>
      </c>
      <c r="D7713" t="s">
        <v>67</v>
      </c>
      <c r="H7713" t="str">
        <f t="shared" si="763"/>
        <v>00234290658</v>
      </c>
      <c r="I7713" t="str">
        <f t="shared" si="763"/>
        <v>00234290658</v>
      </c>
      <c r="K7713" t="str">
        <f>""</f>
        <v/>
      </c>
      <c r="M7713" t="s">
        <v>68</v>
      </c>
      <c r="N7713" t="str">
        <f t="shared" si="761"/>
        <v>FOR</v>
      </c>
      <c r="O7713" t="s">
        <v>69</v>
      </c>
      <c r="P7713" s="3" t="s">
        <v>75</v>
      </c>
      <c r="Q7713">
        <v>2016</v>
      </c>
      <c r="R7713" s="2">
        <v>42400</v>
      </c>
      <c r="S7713" s="2">
        <v>42415</v>
      </c>
      <c r="T7713" s="2">
        <v>42413</v>
      </c>
      <c r="U7713" s="2">
        <v>42473</v>
      </c>
      <c r="V7713" t="s">
        <v>71</v>
      </c>
      <c r="W7713" t="str">
        <f>"                5/61"</f>
        <v xml:space="preserve">                5/61</v>
      </c>
      <c r="X7713">
        <v>107.6</v>
      </c>
      <c r="Y7713">
        <v>0</v>
      </c>
      <c r="Z7713"/>
      <c r="AB7713"/>
      <c r="AC7713">
        <v>88.2</v>
      </c>
      <c r="AD7713">
        <v>20</v>
      </c>
      <c r="AE7713" s="1">
        <v>1764</v>
      </c>
      <c r="AF7713">
        <v>0</v>
      </c>
      <c r="AJ7713">
        <v>0</v>
      </c>
      <c r="AK7713">
        <v>0</v>
      </c>
      <c r="AL7713">
        <v>0</v>
      </c>
      <c r="AM7713">
        <v>107.6</v>
      </c>
      <c r="AN7713">
        <v>107.6</v>
      </c>
      <c r="AO7713">
        <v>107.6</v>
      </c>
      <c r="AP7713" s="2">
        <v>42746</v>
      </c>
      <c r="AQ7713" t="s">
        <v>72</v>
      </c>
      <c r="AR7713" t="s">
        <v>72</v>
      </c>
      <c r="AS7713">
        <v>1254</v>
      </c>
      <c r="AT7713" s="4">
        <v>42493</v>
      </c>
      <c r="AU7713" t="s">
        <v>73</v>
      </c>
      <c r="AV7713">
        <v>1254</v>
      </c>
      <c r="AW7713" s="4">
        <v>42493</v>
      </c>
      <c r="BD7713">
        <v>0</v>
      </c>
      <c r="BN7713" t="s">
        <v>74</v>
      </c>
    </row>
    <row r="7714" spans="1:66" hidden="1">
      <c r="A7714">
        <v>104394</v>
      </c>
      <c r="B7714" s="3" t="s">
        <v>658</v>
      </c>
      <c r="C7714" s="1">
        <v>43300101</v>
      </c>
      <c r="D7714" t="s">
        <v>67</v>
      </c>
      <c r="H7714" t="str">
        <f t="shared" si="763"/>
        <v>00234290658</v>
      </c>
      <c r="I7714" t="str">
        <f t="shared" si="763"/>
        <v>00234290658</v>
      </c>
      <c r="K7714" t="str">
        <f>""</f>
        <v/>
      </c>
      <c r="M7714" t="s">
        <v>68</v>
      </c>
      <c r="N7714" t="str">
        <f t="shared" si="761"/>
        <v>FOR</v>
      </c>
      <c r="O7714" t="s">
        <v>69</v>
      </c>
      <c r="P7714" s="3" t="s">
        <v>75</v>
      </c>
      <c r="Q7714">
        <v>2016</v>
      </c>
      <c r="R7714" s="2">
        <v>42400</v>
      </c>
      <c r="S7714" s="2">
        <v>42415</v>
      </c>
      <c r="T7714" s="2">
        <v>42413</v>
      </c>
      <c r="U7714" s="2">
        <v>42473</v>
      </c>
      <c r="V7714" t="s">
        <v>71</v>
      </c>
      <c r="W7714" t="str">
        <f>"                5/62"</f>
        <v xml:space="preserve">                5/62</v>
      </c>
      <c r="X7714">
        <v>109.8</v>
      </c>
      <c r="Y7714">
        <v>0</v>
      </c>
      <c r="Z7714"/>
      <c r="AB7714"/>
      <c r="AC7714">
        <v>90</v>
      </c>
      <c r="AD7714">
        <v>20</v>
      </c>
      <c r="AE7714" s="1">
        <v>1800</v>
      </c>
      <c r="AF7714">
        <v>0</v>
      </c>
      <c r="AJ7714">
        <v>0</v>
      </c>
      <c r="AK7714">
        <v>0</v>
      </c>
      <c r="AL7714">
        <v>0</v>
      </c>
      <c r="AM7714">
        <v>109.8</v>
      </c>
      <c r="AN7714">
        <v>109.8</v>
      </c>
      <c r="AO7714">
        <v>109.8</v>
      </c>
      <c r="AP7714" s="2">
        <v>42746</v>
      </c>
      <c r="AQ7714" t="s">
        <v>72</v>
      </c>
      <c r="AR7714" t="s">
        <v>72</v>
      </c>
      <c r="AS7714">
        <v>1254</v>
      </c>
      <c r="AT7714" s="4">
        <v>42493</v>
      </c>
      <c r="AU7714" t="s">
        <v>73</v>
      </c>
      <c r="AV7714">
        <v>1254</v>
      </c>
      <c r="AW7714" s="4">
        <v>42493</v>
      </c>
      <c r="BD7714">
        <v>0</v>
      </c>
      <c r="BN7714" t="s">
        <v>74</v>
      </c>
    </row>
    <row r="7715" spans="1:66" hidden="1">
      <c r="A7715">
        <v>104394</v>
      </c>
      <c r="B7715" s="3" t="s">
        <v>658</v>
      </c>
      <c r="C7715" s="1">
        <v>43300101</v>
      </c>
      <c r="D7715" t="s">
        <v>67</v>
      </c>
      <c r="H7715" t="str">
        <f t="shared" si="763"/>
        <v>00234290658</v>
      </c>
      <c r="I7715" t="str">
        <f t="shared" si="763"/>
        <v>00234290658</v>
      </c>
      <c r="K7715" t="str">
        <f>""</f>
        <v/>
      </c>
      <c r="M7715" t="s">
        <v>68</v>
      </c>
      <c r="N7715" t="str">
        <f t="shared" si="761"/>
        <v>FOR</v>
      </c>
      <c r="O7715" t="s">
        <v>69</v>
      </c>
      <c r="P7715" s="3" t="s">
        <v>182</v>
      </c>
      <c r="Q7715">
        <v>2016</v>
      </c>
      <c r="R7715" s="2">
        <v>42400</v>
      </c>
      <c r="S7715" s="2">
        <v>42415</v>
      </c>
      <c r="T7715" s="2">
        <v>42413</v>
      </c>
      <c r="U7715" s="2">
        <v>42473</v>
      </c>
      <c r="V7715" t="s">
        <v>71</v>
      </c>
      <c r="W7715" t="str">
        <f>"                5/63"</f>
        <v xml:space="preserve">                5/63</v>
      </c>
      <c r="X7715" s="1">
        <v>111245.7</v>
      </c>
      <c r="Y7715" s="1">
        <v>-20060.7</v>
      </c>
      <c r="Z7715"/>
      <c r="AB7715"/>
      <c r="AC7715" s="1">
        <v>91185</v>
      </c>
      <c r="AD7715">
        <v>20</v>
      </c>
      <c r="AE7715" s="1">
        <v>1823700</v>
      </c>
      <c r="AF7715">
        <v>0</v>
      </c>
      <c r="AJ7715">
        <v>0</v>
      </c>
      <c r="AK7715">
        <v>0</v>
      </c>
      <c r="AL7715">
        <v>0</v>
      </c>
      <c r="AM7715" s="1">
        <v>91185</v>
      </c>
      <c r="AN7715" s="1">
        <v>91185</v>
      </c>
      <c r="AO7715" s="1">
        <v>91185</v>
      </c>
      <c r="AP7715" s="2">
        <v>42746</v>
      </c>
      <c r="AQ7715" t="s">
        <v>72</v>
      </c>
      <c r="AR7715" t="s">
        <v>72</v>
      </c>
      <c r="AS7715">
        <v>1254</v>
      </c>
      <c r="AT7715" s="4">
        <v>42493</v>
      </c>
      <c r="AU7715" t="s">
        <v>73</v>
      </c>
      <c r="AV7715">
        <v>1254</v>
      </c>
      <c r="AW7715" s="4">
        <v>42493</v>
      </c>
      <c r="BD7715">
        <v>0</v>
      </c>
      <c r="BN7715" t="s">
        <v>74</v>
      </c>
    </row>
    <row r="7716" spans="1:66">
      <c r="A7716">
        <v>104394</v>
      </c>
      <c r="B7716" s="3" t="s">
        <v>658</v>
      </c>
      <c r="C7716" s="1">
        <v>43300101</v>
      </c>
      <c r="D7716" t="s">
        <v>67</v>
      </c>
      <c r="H7716" t="str">
        <f t="shared" si="763"/>
        <v>00234290658</v>
      </c>
      <c r="I7716" t="str">
        <f t="shared" si="763"/>
        <v>00234290658</v>
      </c>
      <c r="K7716" t="str">
        <f>""</f>
        <v/>
      </c>
      <c r="M7716" t="s">
        <v>68</v>
      </c>
      <c r="N7716" t="str">
        <f t="shared" si="761"/>
        <v>FOR</v>
      </c>
      <c r="O7716" t="s">
        <v>69</v>
      </c>
      <c r="P7716" s="3" t="s">
        <v>75</v>
      </c>
      <c r="Q7716">
        <v>2016</v>
      </c>
      <c r="R7716" s="2">
        <v>42429</v>
      </c>
      <c r="S7716" s="2">
        <v>42436</v>
      </c>
      <c r="T7716" s="2">
        <v>42432</v>
      </c>
      <c r="U7716" s="2">
        <v>42492</v>
      </c>
      <c r="V7716" t="s">
        <v>71</v>
      </c>
      <c r="W7716" t="str">
        <f>"               5/127"</f>
        <v xml:space="preserve">               5/127</v>
      </c>
      <c r="X7716" s="1">
        <v>105893.4</v>
      </c>
      <c r="Y7716" s="1">
        <v>-19095.53</v>
      </c>
      <c r="Z7716" s="5">
        <v>86797.87</v>
      </c>
      <c r="AA7716">
        <v>191</v>
      </c>
      <c r="AB7716" s="5">
        <v>16578393.17</v>
      </c>
      <c r="AC7716" s="1">
        <v>86797.87</v>
      </c>
      <c r="AD7716">
        <v>191</v>
      </c>
      <c r="AE7716" s="1">
        <v>16578393.17</v>
      </c>
      <c r="AF7716">
        <v>0</v>
      </c>
      <c r="AJ7716">
        <v>0</v>
      </c>
      <c r="AK7716">
        <v>0</v>
      </c>
      <c r="AL7716">
        <v>0</v>
      </c>
      <c r="AM7716" s="1">
        <v>86797.87</v>
      </c>
      <c r="AN7716" s="1">
        <v>86797.87</v>
      </c>
      <c r="AO7716" s="1">
        <v>86797.87</v>
      </c>
      <c r="AP7716" s="2">
        <v>42746</v>
      </c>
      <c r="AQ7716" t="s">
        <v>72</v>
      </c>
      <c r="AR7716" t="s">
        <v>72</v>
      </c>
      <c r="AS7716">
        <v>3016</v>
      </c>
      <c r="AT7716" s="4">
        <v>42683</v>
      </c>
      <c r="AU7716" t="s">
        <v>73</v>
      </c>
      <c r="AV7716">
        <v>3016</v>
      </c>
      <c r="AW7716" s="4">
        <v>42683</v>
      </c>
      <c r="BD7716">
        <v>0</v>
      </c>
      <c r="BN7716" t="s">
        <v>74</v>
      </c>
    </row>
    <row r="7717" spans="1:66">
      <c r="A7717">
        <v>104394</v>
      </c>
      <c r="B7717" s="3" t="s">
        <v>658</v>
      </c>
      <c r="C7717" s="1">
        <v>43300101</v>
      </c>
      <c r="D7717" t="s">
        <v>67</v>
      </c>
      <c r="H7717" t="str">
        <f t="shared" si="763"/>
        <v>00234290658</v>
      </c>
      <c r="I7717" t="str">
        <f t="shared" si="763"/>
        <v>00234290658</v>
      </c>
      <c r="K7717" t="str">
        <f>""</f>
        <v/>
      </c>
      <c r="M7717" t="s">
        <v>68</v>
      </c>
      <c r="N7717" t="str">
        <f t="shared" si="761"/>
        <v>FOR</v>
      </c>
      <c r="O7717" t="s">
        <v>69</v>
      </c>
      <c r="P7717" s="3" t="s">
        <v>75</v>
      </c>
      <c r="Q7717">
        <v>2016</v>
      </c>
      <c r="R7717" s="2">
        <v>42429</v>
      </c>
      <c r="S7717" s="2">
        <v>42433</v>
      </c>
      <c r="T7717" s="2">
        <v>42432</v>
      </c>
      <c r="U7717" s="2">
        <v>42492</v>
      </c>
      <c r="V7717" t="s">
        <v>71</v>
      </c>
      <c r="W7717" t="str">
        <f>"               5/128"</f>
        <v xml:space="preserve">               5/128</v>
      </c>
      <c r="X7717">
        <v>109.8</v>
      </c>
      <c r="Y7717">
        <v>0</v>
      </c>
      <c r="Z7717" s="3">
        <v>90</v>
      </c>
      <c r="AA7717">
        <v>191</v>
      </c>
      <c r="AB7717" s="5">
        <v>17190</v>
      </c>
      <c r="AC7717">
        <v>90</v>
      </c>
      <c r="AD7717">
        <v>191</v>
      </c>
      <c r="AE7717" s="1">
        <v>17190</v>
      </c>
      <c r="AF7717">
        <v>0</v>
      </c>
      <c r="AJ7717">
        <v>0</v>
      </c>
      <c r="AK7717">
        <v>0</v>
      </c>
      <c r="AL7717">
        <v>0</v>
      </c>
      <c r="AM7717">
        <v>109.8</v>
      </c>
      <c r="AN7717">
        <v>109.8</v>
      </c>
      <c r="AO7717">
        <v>109.8</v>
      </c>
      <c r="AP7717" s="2">
        <v>42746</v>
      </c>
      <c r="AQ7717" t="s">
        <v>72</v>
      </c>
      <c r="AR7717" t="s">
        <v>72</v>
      </c>
      <c r="AS7717">
        <v>3016</v>
      </c>
      <c r="AT7717" s="4">
        <v>42683</v>
      </c>
      <c r="AU7717" t="s">
        <v>73</v>
      </c>
      <c r="AV7717">
        <v>3016</v>
      </c>
      <c r="AW7717" s="4">
        <v>42683</v>
      </c>
      <c r="BD7717">
        <v>0</v>
      </c>
      <c r="BN7717" t="s">
        <v>74</v>
      </c>
    </row>
    <row r="7718" spans="1:66">
      <c r="A7718">
        <v>104394</v>
      </c>
      <c r="B7718" s="3" t="s">
        <v>658</v>
      </c>
      <c r="C7718" s="1">
        <v>43300101</v>
      </c>
      <c r="D7718" t="s">
        <v>67</v>
      </c>
      <c r="H7718" t="str">
        <f t="shared" si="763"/>
        <v>00234290658</v>
      </c>
      <c r="I7718" t="str">
        <f t="shared" si="763"/>
        <v>00234290658</v>
      </c>
      <c r="K7718" t="str">
        <f>""</f>
        <v/>
      </c>
      <c r="M7718" t="s">
        <v>68</v>
      </c>
      <c r="N7718" t="str">
        <f t="shared" si="761"/>
        <v>FOR</v>
      </c>
      <c r="O7718" t="s">
        <v>69</v>
      </c>
      <c r="P7718" s="3" t="s">
        <v>75</v>
      </c>
      <c r="Q7718">
        <v>2016</v>
      </c>
      <c r="R7718" s="2">
        <v>42429</v>
      </c>
      <c r="S7718" s="2">
        <v>42433</v>
      </c>
      <c r="T7718" s="2">
        <v>42432</v>
      </c>
      <c r="U7718" s="2">
        <v>42492</v>
      </c>
      <c r="V7718" t="s">
        <v>71</v>
      </c>
      <c r="W7718" t="str">
        <f>"               5/129"</f>
        <v xml:space="preserve">               5/129</v>
      </c>
      <c r="X7718">
        <v>84.55</v>
      </c>
      <c r="Y7718">
        <v>0</v>
      </c>
      <c r="Z7718" s="3">
        <v>69.3</v>
      </c>
      <c r="AA7718">
        <v>191</v>
      </c>
      <c r="AB7718" s="5">
        <v>13236.3</v>
      </c>
      <c r="AC7718">
        <v>69.3</v>
      </c>
      <c r="AD7718">
        <v>191</v>
      </c>
      <c r="AE7718" s="1">
        <v>13236.3</v>
      </c>
      <c r="AF7718">
        <v>0</v>
      </c>
      <c r="AJ7718">
        <v>0</v>
      </c>
      <c r="AK7718">
        <v>0</v>
      </c>
      <c r="AL7718">
        <v>0</v>
      </c>
      <c r="AM7718">
        <v>84.55</v>
      </c>
      <c r="AN7718">
        <v>84.55</v>
      </c>
      <c r="AO7718">
        <v>84.55</v>
      </c>
      <c r="AP7718" s="2">
        <v>42746</v>
      </c>
      <c r="AQ7718" t="s">
        <v>72</v>
      </c>
      <c r="AR7718" t="s">
        <v>72</v>
      </c>
      <c r="AS7718">
        <v>3016</v>
      </c>
      <c r="AT7718" s="4">
        <v>42683</v>
      </c>
      <c r="AU7718" t="s">
        <v>73</v>
      </c>
      <c r="AV7718">
        <v>3016</v>
      </c>
      <c r="AW7718" s="4">
        <v>42683</v>
      </c>
      <c r="BD7718">
        <v>0</v>
      </c>
      <c r="BN7718" t="s">
        <v>74</v>
      </c>
    </row>
    <row r="7719" spans="1:66">
      <c r="A7719">
        <v>104394</v>
      </c>
      <c r="B7719" s="3" t="s">
        <v>658</v>
      </c>
      <c r="C7719" s="1">
        <v>43300101</v>
      </c>
      <c r="D7719" t="s">
        <v>67</v>
      </c>
      <c r="H7719" t="str">
        <f t="shared" si="763"/>
        <v>00234290658</v>
      </c>
      <c r="I7719" t="str">
        <f t="shared" si="763"/>
        <v>00234290658</v>
      </c>
      <c r="K7719" t="str">
        <f>""</f>
        <v/>
      </c>
      <c r="M7719" t="s">
        <v>68</v>
      </c>
      <c r="N7719" t="str">
        <f t="shared" si="761"/>
        <v>FOR</v>
      </c>
      <c r="O7719" t="s">
        <v>69</v>
      </c>
      <c r="P7719" s="3" t="s">
        <v>75</v>
      </c>
      <c r="Q7719">
        <v>2016</v>
      </c>
      <c r="R7719" s="2">
        <v>42429</v>
      </c>
      <c r="S7719" s="2">
        <v>42433</v>
      </c>
      <c r="T7719" s="2">
        <v>42432</v>
      </c>
      <c r="U7719" s="2">
        <v>42492</v>
      </c>
      <c r="V7719" t="s">
        <v>71</v>
      </c>
      <c r="W7719" t="str">
        <f>"               5/130"</f>
        <v xml:space="preserve">               5/130</v>
      </c>
      <c r="X7719">
        <v>358.14</v>
      </c>
      <c r="Y7719">
        <v>0</v>
      </c>
      <c r="Z7719" s="3">
        <v>293.56</v>
      </c>
      <c r="AA7719">
        <v>191</v>
      </c>
      <c r="AB7719" s="5">
        <v>56069.96</v>
      </c>
      <c r="AC7719">
        <v>293.56</v>
      </c>
      <c r="AD7719">
        <v>191</v>
      </c>
      <c r="AE7719" s="1">
        <v>56069.96</v>
      </c>
      <c r="AF7719">
        <v>0</v>
      </c>
      <c r="AJ7719">
        <v>0</v>
      </c>
      <c r="AK7719">
        <v>0</v>
      </c>
      <c r="AL7719">
        <v>0</v>
      </c>
      <c r="AM7719">
        <v>358.14</v>
      </c>
      <c r="AN7719">
        <v>358.14</v>
      </c>
      <c r="AO7719">
        <v>358.14</v>
      </c>
      <c r="AP7719" s="2">
        <v>42746</v>
      </c>
      <c r="AQ7719" t="s">
        <v>72</v>
      </c>
      <c r="AR7719" t="s">
        <v>72</v>
      </c>
      <c r="AS7719">
        <v>3016</v>
      </c>
      <c r="AT7719" s="4">
        <v>42683</v>
      </c>
      <c r="AU7719" t="s">
        <v>73</v>
      </c>
      <c r="AV7719">
        <v>3016</v>
      </c>
      <c r="AW7719" s="4">
        <v>42683</v>
      </c>
      <c r="BD7719">
        <v>0</v>
      </c>
      <c r="BN7719" t="s">
        <v>74</v>
      </c>
    </row>
    <row r="7720" spans="1:66">
      <c r="A7720">
        <v>104394</v>
      </c>
      <c r="B7720" s="3" t="s">
        <v>658</v>
      </c>
      <c r="C7720" s="1">
        <v>43300101</v>
      </c>
      <c r="D7720" t="s">
        <v>67</v>
      </c>
      <c r="H7720" t="str">
        <f t="shared" ref="H7720:I7727" si="764">"00234290658"</f>
        <v>00234290658</v>
      </c>
      <c r="I7720" t="str">
        <f t="shared" si="764"/>
        <v>00234290658</v>
      </c>
      <c r="K7720" t="str">
        <f>""</f>
        <v/>
      </c>
      <c r="M7720" t="s">
        <v>68</v>
      </c>
      <c r="N7720" t="str">
        <f t="shared" si="761"/>
        <v>FOR</v>
      </c>
      <c r="O7720" t="s">
        <v>69</v>
      </c>
      <c r="P7720" s="3" t="s">
        <v>75</v>
      </c>
      <c r="Q7720">
        <v>2016</v>
      </c>
      <c r="R7720" s="2">
        <v>42460</v>
      </c>
      <c r="S7720" s="2">
        <v>42471</v>
      </c>
      <c r="T7720" s="2">
        <v>42467</v>
      </c>
      <c r="U7720" s="2">
        <v>42527</v>
      </c>
      <c r="V7720" t="s">
        <v>71</v>
      </c>
      <c r="W7720" t="str">
        <f>"               5/254"</f>
        <v xml:space="preserve">               5/254</v>
      </c>
      <c r="X7720" s="1">
        <v>119303.52</v>
      </c>
      <c r="Y7720" s="1">
        <v>-21513.75</v>
      </c>
      <c r="Z7720" s="5">
        <v>97789.77</v>
      </c>
      <c r="AA7720">
        <v>192</v>
      </c>
      <c r="AB7720" s="5">
        <v>18775635.84</v>
      </c>
      <c r="AC7720" s="1">
        <v>97789.77</v>
      </c>
      <c r="AD7720">
        <v>192</v>
      </c>
      <c r="AE7720" s="1">
        <v>18775635.84</v>
      </c>
      <c r="AF7720">
        <v>0</v>
      </c>
      <c r="AJ7720">
        <v>0</v>
      </c>
      <c r="AK7720">
        <v>0</v>
      </c>
      <c r="AL7720">
        <v>0</v>
      </c>
      <c r="AM7720" s="1">
        <v>97789.77</v>
      </c>
      <c r="AN7720" s="1">
        <v>97789.77</v>
      </c>
      <c r="AO7720" s="1">
        <v>97789.77</v>
      </c>
      <c r="AP7720" s="2">
        <v>42746</v>
      </c>
      <c r="AQ7720" t="s">
        <v>72</v>
      </c>
      <c r="AR7720" t="s">
        <v>72</v>
      </c>
      <c r="AS7720">
        <v>3522</v>
      </c>
      <c r="AT7720" s="4">
        <v>42719</v>
      </c>
      <c r="AU7720" t="s">
        <v>73</v>
      </c>
      <c r="AV7720">
        <v>3522</v>
      </c>
      <c r="AW7720" s="4">
        <v>42719</v>
      </c>
      <c r="BD7720">
        <v>0</v>
      </c>
      <c r="BN7720" t="s">
        <v>74</v>
      </c>
    </row>
    <row r="7721" spans="1:66">
      <c r="A7721">
        <v>104394</v>
      </c>
      <c r="B7721" s="3" t="s">
        <v>658</v>
      </c>
      <c r="C7721" s="1">
        <v>43300101</v>
      </c>
      <c r="D7721" t="s">
        <v>67</v>
      </c>
      <c r="H7721" t="str">
        <f t="shared" si="764"/>
        <v>00234290658</v>
      </c>
      <c r="I7721" t="str">
        <f t="shared" si="764"/>
        <v>00234290658</v>
      </c>
      <c r="K7721" t="str">
        <f>""</f>
        <v/>
      </c>
      <c r="M7721" t="s">
        <v>68</v>
      </c>
      <c r="N7721" t="str">
        <f t="shared" si="761"/>
        <v>FOR</v>
      </c>
      <c r="O7721" t="s">
        <v>69</v>
      </c>
      <c r="P7721" s="3" t="s">
        <v>75</v>
      </c>
      <c r="Q7721">
        <v>2016</v>
      </c>
      <c r="R7721" s="2">
        <v>42460</v>
      </c>
      <c r="S7721" s="2">
        <v>42467</v>
      </c>
      <c r="T7721" s="2">
        <v>42467</v>
      </c>
      <c r="U7721" s="2">
        <v>42527</v>
      </c>
      <c r="V7721" t="s">
        <v>71</v>
      </c>
      <c r="W7721" t="str">
        <f>"               5/255"</f>
        <v xml:space="preserve">               5/255</v>
      </c>
      <c r="X7721">
        <v>109.8</v>
      </c>
      <c r="Y7721">
        <v>0</v>
      </c>
      <c r="Z7721" s="3">
        <v>90</v>
      </c>
      <c r="AA7721">
        <v>192</v>
      </c>
      <c r="AB7721" s="5">
        <v>17280</v>
      </c>
      <c r="AC7721">
        <v>90</v>
      </c>
      <c r="AD7721">
        <v>192</v>
      </c>
      <c r="AE7721" s="1">
        <v>17280</v>
      </c>
      <c r="AF7721">
        <v>19.8</v>
      </c>
      <c r="AJ7721">
        <v>0</v>
      </c>
      <c r="AK7721">
        <v>0</v>
      </c>
      <c r="AL7721">
        <v>0</v>
      </c>
      <c r="AM7721">
        <v>109.8</v>
      </c>
      <c r="AN7721">
        <v>109.8</v>
      </c>
      <c r="AO7721">
        <v>109.8</v>
      </c>
      <c r="AP7721" s="2">
        <v>42746</v>
      </c>
      <c r="AQ7721" t="s">
        <v>72</v>
      </c>
      <c r="AR7721" t="s">
        <v>72</v>
      </c>
      <c r="AS7721">
        <v>3522</v>
      </c>
      <c r="AT7721" s="4">
        <v>42719</v>
      </c>
      <c r="AU7721" t="s">
        <v>73</v>
      </c>
      <c r="AV7721">
        <v>3522</v>
      </c>
      <c r="AW7721" s="4">
        <v>42719</v>
      </c>
      <c r="BD7721">
        <v>19.8</v>
      </c>
      <c r="BN7721" t="s">
        <v>74</v>
      </c>
    </row>
    <row r="7722" spans="1:66">
      <c r="A7722">
        <v>104394</v>
      </c>
      <c r="B7722" s="3" t="s">
        <v>658</v>
      </c>
      <c r="C7722" s="1">
        <v>43300101</v>
      </c>
      <c r="D7722" t="s">
        <v>67</v>
      </c>
      <c r="H7722" t="str">
        <f t="shared" si="764"/>
        <v>00234290658</v>
      </c>
      <c r="I7722" t="str">
        <f t="shared" si="764"/>
        <v>00234290658</v>
      </c>
      <c r="K7722" t="str">
        <f>""</f>
        <v/>
      </c>
      <c r="M7722" t="s">
        <v>68</v>
      </c>
      <c r="N7722" t="str">
        <f t="shared" si="761"/>
        <v>FOR</v>
      </c>
      <c r="O7722" t="s">
        <v>69</v>
      </c>
      <c r="P7722" s="3" t="s">
        <v>75</v>
      </c>
      <c r="Q7722">
        <v>2016</v>
      </c>
      <c r="R7722" s="2">
        <v>42460</v>
      </c>
      <c r="S7722" s="2">
        <v>42467</v>
      </c>
      <c r="T7722" s="2">
        <v>42467</v>
      </c>
      <c r="U7722" s="2">
        <v>42527</v>
      </c>
      <c r="V7722" t="s">
        <v>71</v>
      </c>
      <c r="W7722" t="str">
        <f>"               5/256"</f>
        <v xml:space="preserve">               5/256</v>
      </c>
      <c r="X7722">
        <v>445.18</v>
      </c>
      <c r="Y7722">
        <v>0</v>
      </c>
      <c r="Z7722" s="3">
        <v>364.9</v>
      </c>
      <c r="AA7722">
        <v>192</v>
      </c>
      <c r="AB7722" s="5">
        <v>70060.800000000003</v>
      </c>
      <c r="AC7722">
        <v>364.9</v>
      </c>
      <c r="AD7722">
        <v>192</v>
      </c>
      <c r="AE7722" s="1">
        <v>70060.800000000003</v>
      </c>
      <c r="AF7722">
        <v>80.28</v>
      </c>
      <c r="AJ7722">
        <v>0</v>
      </c>
      <c r="AK7722">
        <v>0</v>
      </c>
      <c r="AL7722">
        <v>0</v>
      </c>
      <c r="AM7722">
        <v>445.18</v>
      </c>
      <c r="AN7722">
        <v>445.18</v>
      </c>
      <c r="AO7722">
        <v>445.18</v>
      </c>
      <c r="AP7722" s="2">
        <v>42746</v>
      </c>
      <c r="AQ7722" t="s">
        <v>72</v>
      </c>
      <c r="AR7722" t="s">
        <v>72</v>
      </c>
      <c r="AS7722">
        <v>3522</v>
      </c>
      <c r="AT7722" s="4">
        <v>42719</v>
      </c>
      <c r="AU7722" t="s">
        <v>73</v>
      </c>
      <c r="AV7722">
        <v>3522</v>
      </c>
      <c r="AW7722" s="4">
        <v>42719</v>
      </c>
      <c r="BD7722">
        <v>80.28</v>
      </c>
      <c r="BN7722" t="s">
        <v>74</v>
      </c>
    </row>
    <row r="7723" spans="1:66">
      <c r="A7723">
        <v>104394</v>
      </c>
      <c r="B7723" s="3" t="s">
        <v>658</v>
      </c>
      <c r="C7723" s="1">
        <v>43300101</v>
      </c>
      <c r="D7723" t="s">
        <v>67</v>
      </c>
      <c r="H7723" t="str">
        <f t="shared" si="764"/>
        <v>00234290658</v>
      </c>
      <c r="I7723" t="str">
        <f t="shared" si="764"/>
        <v>00234290658</v>
      </c>
      <c r="K7723" t="str">
        <f>""</f>
        <v/>
      </c>
      <c r="M7723" t="s">
        <v>68</v>
      </c>
      <c r="N7723" t="str">
        <f t="shared" si="761"/>
        <v>FOR</v>
      </c>
      <c r="O7723" t="s">
        <v>69</v>
      </c>
      <c r="P7723" s="3" t="s">
        <v>75</v>
      </c>
      <c r="Q7723">
        <v>2016</v>
      </c>
      <c r="R7723" s="2">
        <v>42460</v>
      </c>
      <c r="S7723" s="2">
        <v>42467</v>
      </c>
      <c r="T7723" s="2">
        <v>42467</v>
      </c>
      <c r="U7723" s="2">
        <v>42527</v>
      </c>
      <c r="V7723" t="s">
        <v>71</v>
      </c>
      <c r="W7723" t="str">
        <f>"               5/257"</f>
        <v xml:space="preserve">               5/257</v>
      </c>
      <c r="X7723">
        <v>73.02</v>
      </c>
      <c r="Y7723">
        <v>0</v>
      </c>
      <c r="Z7723" s="3">
        <v>59.85</v>
      </c>
      <c r="AA7723">
        <v>192</v>
      </c>
      <c r="AB7723" s="5">
        <v>11491.2</v>
      </c>
      <c r="AC7723">
        <v>59.85</v>
      </c>
      <c r="AD7723">
        <v>192</v>
      </c>
      <c r="AE7723" s="1">
        <v>11491.2</v>
      </c>
      <c r="AF7723">
        <v>13.17</v>
      </c>
      <c r="AJ7723">
        <v>0</v>
      </c>
      <c r="AK7723">
        <v>0</v>
      </c>
      <c r="AL7723">
        <v>0</v>
      </c>
      <c r="AM7723">
        <v>73.02</v>
      </c>
      <c r="AN7723">
        <v>73.02</v>
      </c>
      <c r="AO7723">
        <v>73.02</v>
      </c>
      <c r="AP7723" s="2">
        <v>42746</v>
      </c>
      <c r="AQ7723" t="s">
        <v>72</v>
      </c>
      <c r="AR7723" t="s">
        <v>72</v>
      </c>
      <c r="AS7723">
        <v>3522</v>
      </c>
      <c r="AT7723" s="4">
        <v>42719</v>
      </c>
      <c r="AU7723" t="s">
        <v>73</v>
      </c>
      <c r="AV7723">
        <v>3522</v>
      </c>
      <c r="AW7723" s="4">
        <v>42719</v>
      </c>
      <c r="BD7723">
        <v>13.17</v>
      </c>
      <c r="BN7723" t="s">
        <v>74</v>
      </c>
    </row>
    <row r="7724" spans="1:66">
      <c r="A7724">
        <v>104394</v>
      </c>
      <c r="B7724" s="3" t="s">
        <v>658</v>
      </c>
      <c r="C7724" s="1">
        <v>43300101</v>
      </c>
      <c r="D7724" t="s">
        <v>67</v>
      </c>
      <c r="H7724" t="str">
        <f t="shared" si="764"/>
        <v>00234290658</v>
      </c>
      <c r="I7724" t="str">
        <f t="shared" si="764"/>
        <v>00234290658</v>
      </c>
      <c r="K7724" t="str">
        <f>""</f>
        <v/>
      </c>
      <c r="M7724" t="s">
        <v>68</v>
      </c>
      <c r="N7724" t="str">
        <f t="shared" si="761"/>
        <v>FOR</v>
      </c>
      <c r="O7724" t="s">
        <v>69</v>
      </c>
      <c r="P7724" s="3" t="s">
        <v>75</v>
      </c>
      <c r="Q7724">
        <v>2016</v>
      </c>
      <c r="R7724" s="2">
        <v>42490</v>
      </c>
      <c r="S7724" s="2">
        <v>42507</v>
      </c>
      <c r="T7724" s="2">
        <v>42500</v>
      </c>
      <c r="U7724" s="2">
        <v>42560</v>
      </c>
      <c r="V7724" t="s">
        <v>71</v>
      </c>
      <c r="W7724" t="str">
        <f>"               5/327"</f>
        <v xml:space="preserve">               5/327</v>
      </c>
      <c r="X7724">
        <v>109.8</v>
      </c>
      <c r="Y7724">
        <v>0</v>
      </c>
      <c r="Z7724" s="3">
        <v>90</v>
      </c>
      <c r="AA7724">
        <v>164</v>
      </c>
      <c r="AB7724" s="5">
        <v>14760</v>
      </c>
      <c r="AC7724">
        <v>90</v>
      </c>
      <c r="AD7724">
        <v>164</v>
      </c>
      <c r="AE7724" s="1">
        <v>14760</v>
      </c>
      <c r="AF7724">
        <v>19.8</v>
      </c>
      <c r="AJ7724">
        <v>0</v>
      </c>
      <c r="AK7724">
        <v>0</v>
      </c>
      <c r="AL7724">
        <v>0</v>
      </c>
      <c r="AM7724">
        <v>109.8</v>
      </c>
      <c r="AN7724">
        <v>109.8</v>
      </c>
      <c r="AO7724">
        <v>109.8</v>
      </c>
      <c r="AP7724" s="2">
        <v>42746</v>
      </c>
      <c r="AQ7724" t="s">
        <v>72</v>
      </c>
      <c r="AR7724" t="s">
        <v>72</v>
      </c>
      <c r="AS7724">
        <v>3641</v>
      </c>
      <c r="AT7724" s="4">
        <v>42724</v>
      </c>
      <c r="AU7724" t="s">
        <v>73</v>
      </c>
      <c r="AV7724">
        <v>3641</v>
      </c>
      <c r="AW7724" s="4">
        <v>42724</v>
      </c>
      <c r="BC7724">
        <v>19.8</v>
      </c>
      <c r="BD7724">
        <v>0</v>
      </c>
      <c r="BN7724" t="s">
        <v>74</v>
      </c>
    </row>
    <row r="7725" spans="1:66">
      <c r="A7725">
        <v>104394</v>
      </c>
      <c r="B7725" s="3" t="s">
        <v>658</v>
      </c>
      <c r="C7725" s="1">
        <v>43300101</v>
      </c>
      <c r="D7725" t="s">
        <v>67</v>
      </c>
      <c r="H7725" t="str">
        <f t="shared" si="764"/>
        <v>00234290658</v>
      </c>
      <c r="I7725" t="str">
        <f t="shared" si="764"/>
        <v>00234290658</v>
      </c>
      <c r="K7725" t="str">
        <f>""</f>
        <v/>
      </c>
      <c r="M7725" t="s">
        <v>68</v>
      </c>
      <c r="N7725" t="str">
        <f t="shared" si="761"/>
        <v>FOR</v>
      </c>
      <c r="O7725" t="s">
        <v>69</v>
      </c>
      <c r="P7725" s="3" t="s">
        <v>75</v>
      </c>
      <c r="Q7725">
        <v>2016</v>
      </c>
      <c r="R7725" s="2">
        <v>42490</v>
      </c>
      <c r="S7725" s="2">
        <v>42507</v>
      </c>
      <c r="T7725" s="2">
        <v>42500</v>
      </c>
      <c r="U7725" s="2">
        <v>42560</v>
      </c>
      <c r="V7725" t="s">
        <v>71</v>
      </c>
      <c r="W7725" t="str">
        <f>"               5/328"</f>
        <v xml:space="preserve">               5/328</v>
      </c>
      <c r="X7725">
        <v>55.08</v>
      </c>
      <c r="Y7725">
        <v>0</v>
      </c>
      <c r="Z7725" s="3">
        <v>45.15</v>
      </c>
      <c r="AA7725">
        <v>164</v>
      </c>
      <c r="AB7725" s="5">
        <v>7404.6</v>
      </c>
      <c r="AC7725">
        <v>45.15</v>
      </c>
      <c r="AD7725">
        <v>164</v>
      </c>
      <c r="AE7725" s="1">
        <v>7404.6</v>
      </c>
      <c r="AF7725">
        <v>9.93</v>
      </c>
      <c r="AJ7725">
        <v>0</v>
      </c>
      <c r="AK7725">
        <v>0</v>
      </c>
      <c r="AL7725">
        <v>0</v>
      </c>
      <c r="AM7725">
        <v>55.08</v>
      </c>
      <c r="AN7725">
        <v>55.08</v>
      </c>
      <c r="AO7725">
        <v>55.08</v>
      </c>
      <c r="AP7725" s="2">
        <v>42746</v>
      </c>
      <c r="AQ7725" t="s">
        <v>72</v>
      </c>
      <c r="AR7725" t="s">
        <v>72</v>
      </c>
      <c r="AS7725">
        <v>3641</v>
      </c>
      <c r="AT7725" s="4">
        <v>42724</v>
      </c>
      <c r="AU7725" t="s">
        <v>73</v>
      </c>
      <c r="AV7725">
        <v>3641</v>
      </c>
      <c r="AW7725" s="4">
        <v>42724</v>
      </c>
      <c r="BC7725">
        <v>9.93</v>
      </c>
      <c r="BD7725">
        <v>0</v>
      </c>
      <c r="BN7725" t="s">
        <v>74</v>
      </c>
    </row>
    <row r="7726" spans="1:66">
      <c r="A7726">
        <v>104394</v>
      </c>
      <c r="B7726" s="3" t="s">
        <v>658</v>
      </c>
      <c r="C7726" s="1">
        <v>43300101</v>
      </c>
      <c r="D7726" t="s">
        <v>67</v>
      </c>
      <c r="H7726" t="str">
        <f t="shared" si="764"/>
        <v>00234290658</v>
      </c>
      <c r="I7726" t="str">
        <f t="shared" si="764"/>
        <v>00234290658</v>
      </c>
      <c r="K7726" t="str">
        <f>""</f>
        <v/>
      </c>
      <c r="M7726" t="s">
        <v>68</v>
      </c>
      <c r="N7726" t="str">
        <f t="shared" si="761"/>
        <v>FOR</v>
      </c>
      <c r="O7726" t="s">
        <v>69</v>
      </c>
      <c r="P7726" s="3" t="s">
        <v>75</v>
      </c>
      <c r="Q7726">
        <v>2016</v>
      </c>
      <c r="R7726" s="2">
        <v>42490</v>
      </c>
      <c r="S7726" s="2">
        <v>42507</v>
      </c>
      <c r="T7726" s="2">
        <v>42500</v>
      </c>
      <c r="U7726" s="2">
        <v>42560</v>
      </c>
      <c r="V7726" t="s">
        <v>71</v>
      </c>
      <c r="W7726" t="str">
        <f>"               5/329"</f>
        <v xml:space="preserve">               5/329</v>
      </c>
      <c r="X7726">
        <v>438.18</v>
      </c>
      <c r="Y7726">
        <v>0</v>
      </c>
      <c r="Z7726" s="3">
        <v>359.16</v>
      </c>
      <c r="AA7726">
        <v>164</v>
      </c>
      <c r="AB7726" s="5">
        <v>58902.239999999998</v>
      </c>
      <c r="AC7726">
        <v>359.16</v>
      </c>
      <c r="AD7726">
        <v>164</v>
      </c>
      <c r="AE7726" s="1">
        <v>58902.239999999998</v>
      </c>
      <c r="AF7726">
        <v>79.02</v>
      </c>
      <c r="AJ7726">
        <v>0</v>
      </c>
      <c r="AK7726">
        <v>0</v>
      </c>
      <c r="AL7726">
        <v>0</v>
      </c>
      <c r="AM7726">
        <v>438.18</v>
      </c>
      <c r="AN7726">
        <v>438.18</v>
      </c>
      <c r="AO7726">
        <v>438.18</v>
      </c>
      <c r="AP7726" s="2">
        <v>42746</v>
      </c>
      <c r="AQ7726" t="s">
        <v>72</v>
      </c>
      <c r="AR7726" t="s">
        <v>72</v>
      </c>
      <c r="AS7726">
        <v>3641</v>
      </c>
      <c r="AT7726" s="4">
        <v>42724</v>
      </c>
      <c r="AU7726" t="s">
        <v>73</v>
      </c>
      <c r="AV7726">
        <v>3641</v>
      </c>
      <c r="AW7726" s="4">
        <v>42724</v>
      </c>
      <c r="BC7726">
        <v>79.02</v>
      </c>
      <c r="BD7726">
        <v>0</v>
      </c>
      <c r="BN7726" t="s">
        <v>74</v>
      </c>
    </row>
    <row r="7727" spans="1:66">
      <c r="A7727">
        <v>104394</v>
      </c>
      <c r="B7727" s="3" t="s">
        <v>658</v>
      </c>
      <c r="C7727" s="1">
        <v>43300101</v>
      </c>
      <c r="D7727" t="s">
        <v>67</v>
      </c>
      <c r="H7727" t="str">
        <f t="shared" si="764"/>
        <v>00234290658</v>
      </c>
      <c r="I7727" t="str">
        <f t="shared" si="764"/>
        <v>00234290658</v>
      </c>
      <c r="K7727" t="str">
        <f>""</f>
        <v/>
      </c>
      <c r="M7727" t="s">
        <v>68</v>
      </c>
      <c r="N7727" t="str">
        <f t="shared" si="761"/>
        <v>FOR</v>
      </c>
      <c r="O7727" t="s">
        <v>69</v>
      </c>
      <c r="P7727" s="3" t="s">
        <v>75</v>
      </c>
      <c r="Q7727">
        <v>2016</v>
      </c>
      <c r="R7727" s="2">
        <v>42490</v>
      </c>
      <c r="S7727" s="2">
        <v>42507</v>
      </c>
      <c r="T7727" s="2">
        <v>42500</v>
      </c>
      <c r="U7727" s="2">
        <v>42560</v>
      </c>
      <c r="V7727" t="s">
        <v>71</v>
      </c>
      <c r="W7727" t="str">
        <f>"               5/330"</f>
        <v xml:space="preserve">               5/330</v>
      </c>
      <c r="X7727" s="1">
        <v>113037.94</v>
      </c>
      <c r="Y7727" s="1">
        <v>-20383.89</v>
      </c>
      <c r="Z7727" s="5">
        <v>92654.05</v>
      </c>
      <c r="AA7727">
        <v>164</v>
      </c>
      <c r="AB7727" s="5">
        <v>15195264.199999999</v>
      </c>
      <c r="AC7727" s="1">
        <v>92654.05</v>
      </c>
      <c r="AD7727">
        <v>164</v>
      </c>
      <c r="AE7727" s="1">
        <v>15195264.199999999</v>
      </c>
      <c r="AF7727">
        <v>0</v>
      </c>
      <c r="AJ7727">
        <v>0</v>
      </c>
      <c r="AK7727">
        <v>0</v>
      </c>
      <c r="AL7727">
        <v>0</v>
      </c>
      <c r="AM7727" s="1">
        <v>92654.05</v>
      </c>
      <c r="AN7727" s="1">
        <v>92654.05</v>
      </c>
      <c r="AO7727" s="1">
        <v>92654.05</v>
      </c>
      <c r="AP7727" s="2">
        <v>42746</v>
      </c>
      <c r="AQ7727" t="s">
        <v>72</v>
      </c>
      <c r="AR7727" t="s">
        <v>72</v>
      </c>
      <c r="AS7727">
        <v>3641</v>
      </c>
      <c r="AT7727" s="4">
        <v>42724</v>
      </c>
      <c r="AU7727" t="s">
        <v>73</v>
      </c>
      <c r="AV7727">
        <v>3641</v>
      </c>
      <c r="AW7727" s="4">
        <v>42724</v>
      </c>
      <c r="BD7727">
        <v>0</v>
      </c>
      <c r="BN7727" t="s">
        <v>74</v>
      </c>
    </row>
    <row r="7728" spans="1:66" hidden="1">
      <c r="A7728">
        <v>104411</v>
      </c>
      <c r="B7728" s="3" t="s">
        <v>659</v>
      </c>
      <c r="C7728" s="1">
        <v>43300101</v>
      </c>
      <c r="D7728" t="s">
        <v>67</v>
      </c>
      <c r="H7728" t="str">
        <f t="shared" ref="H7728:I7732" si="765">"09018810151"</f>
        <v>09018810151</v>
      </c>
      <c r="I7728" t="str">
        <f t="shared" si="765"/>
        <v>09018810151</v>
      </c>
      <c r="K7728" t="str">
        <f>""</f>
        <v/>
      </c>
      <c r="M7728" t="s">
        <v>68</v>
      </c>
      <c r="N7728" t="str">
        <f t="shared" si="761"/>
        <v>FOR</v>
      </c>
      <c r="O7728" t="s">
        <v>69</v>
      </c>
      <c r="P7728" s="3" t="s">
        <v>75</v>
      </c>
      <c r="Q7728">
        <v>2016</v>
      </c>
      <c r="R7728" s="2">
        <v>42415</v>
      </c>
      <c r="S7728" s="2">
        <v>42417</v>
      </c>
      <c r="T7728" s="2">
        <v>42416</v>
      </c>
      <c r="U7728" s="2">
        <v>42476</v>
      </c>
      <c r="V7728" t="s">
        <v>71</v>
      </c>
      <c r="W7728" t="str">
        <f>"              1237/5"</f>
        <v xml:space="preserve">              1237/5</v>
      </c>
      <c r="X7728">
        <v>79.3</v>
      </c>
      <c r="Y7728">
        <v>0</v>
      </c>
      <c r="Z7728"/>
      <c r="AB7728"/>
      <c r="AC7728">
        <v>65</v>
      </c>
      <c r="AD7728">
        <v>101</v>
      </c>
      <c r="AE7728" s="1">
        <v>6565</v>
      </c>
      <c r="AF7728">
        <v>0</v>
      </c>
      <c r="AJ7728">
        <v>0</v>
      </c>
      <c r="AK7728">
        <v>0</v>
      </c>
      <c r="AL7728">
        <v>0</v>
      </c>
      <c r="AM7728">
        <v>79.3</v>
      </c>
      <c r="AN7728">
        <v>79.3</v>
      </c>
      <c r="AO7728">
        <v>79.3</v>
      </c>
      <c r="AP7728" s="2">
        <v>42746</v>
      </c>
      <c r="AQ7728" t="s">
        <v>72</v>
      </c>
      <c r="AR7728" t="s">
        <v>72</v>
      </c>
      <c r="AS7728">
        <v>1960</v>
      </c>
      <c r="AT7728" s="4">
        <v>42577</v>
      </c>
      <c r="AU7728" t="s">
        <v>73</v>
      </c>
      <c r="AV7728">
        <v>1960</v>
      </c>
      <c r="AW7728" s="4">
        <v>42577</v>
      </c>
      <c r="BD7728">
        <v>0</v>
      </c>
      <c r="BN7728" t="s">
        <v>74</v>
      </c>
    </row>
    <row r="7729" spans="1:66" hidden="1">
      <c r="A7729">
        <v>104411</v>
      </c>
      <c r="B7729" s="3" t="s">
        <v>659</v>
      </c>
      <c r="C7729" s="1">
        <v>43300101</v>
      </c>
      <c r="D7729" t="s">
        <v>67</v>
      </c>
      <c r="H7729" t="str">
        <f t="shared" si="765"/>
        <v>09018810151</v>
      </c>
      <c r="I7729" t="str">
        <f t="shared" si="765"/>
        <v>09018810151</v>
      </c>
      <c r="K7729" t="str">
        <f>""</f>
        <v/>
      </c>
      <c r="M7729" t="s">
        <v>68</v>
      </c>
      <c r="N7729" t="str">
        <f t="shared" si="761"/>
        <v>FOR</v>
      </c>
      <c r="O7729" t="s">
        <v>69</v>
      </c>
      <c r="P7729" s="3" t="s">
        <v>75</v>
      </c>
      <c r="Q7729">
        <v>2016</v>
      </c>
      <c r="R7729" s="2">
        <v>42444</v>
      </c>
      <c r="S7729" s="2">
        <v>42446</v>
      </c>
      <c r="T7729" s="2">
        <v>42445</v>
      </c>
      <c r="U7729" s="2">
        <v>42505</v>
      </c>
      <c r="V7729" t="s">
        <v>71</v>
      </c>
      <c r="W7729" t="str">
        <f>"              2529/5"</f>
        <v xml:space="preserve">              2529/5</v>
      </c>
      <c r="X7729">
        <v>79.3</v>
      </c>
      <c r="Y7729">
        <v>0</v>
      </c>
      <c r="Z7729"/>
      <c r="AB7729"/>
      <c r="AC7729">
        <v>65</v>
      </c>
      <c r="AD7729">
        <v>72</v>
      </c>
      <c r="AE7729" s="1">
        <v>4680</v>
      </c>
      <c r="AF7729">
        <v>0</v>
      </c>
      <c r="AJ7729">
        <v>0</v>
      </c>
      <c r="AK7729">
        <v>0</v>
      </c>
      <c r="AL7729">
        <v>0</v>
      </c>
      <c r="AM7729">
        <v>79.3</v>
      </c>
      <c r="AN7729">
        <v>79.3</v>
      </c>
      <c r="AO7729">
        <v>79.3</v>
      </c>
      <c r="AP7729" s="2">
        <v>42746</v>
      </c>
      <c r="AQ7729" t="s">
        <v>72</v>
      </c>
      <c r="AR7729" t="s">
        <v>72</v>
      </c>
      <c r="AS7729">
        <v>1960</v>
      </c>
      <c r="AT7729" s="4">
        <v>42577</v>
      </c>
      <c r="AU7729" t="s">
        <v>73</v>
      </c>
      <c r="AV7729">
        <v>1960</v>
      </c>
      <c r="AW7729" s="4">
        <v>42577</v>
      </c>
      <c r="BD7729">
        <v>0</v>
      </c>
      <c r="BN7729" t="s">
        <v>74</v>
      </c>
    </row>
    <row r="7730" spans="1:66" hidden="1">
      <c r="A7730">
        <v>104411</v>
      </c>
      <c r="B7730" s="3" t="s">
        <v>659</v>
      </c>
      <c r="C7730" s="1">
        <v>43300101</v>
      </c>
      <c r="D7730" t="s">
        <v>67</v>
      </c>
      <c r="H7730" t="str">
        <f t="shared" si="765"/>
        <v>09018810151</v>
      </c>
      <c r="I7730" t="str">
        <f t="shared" si="765"/>
        <v>09018810151</v>
      </c>
      <c r="K7730" t="str">
        <f>""</f>
        <v/>
      </c>
      <c r="M7730" t="s">
        <v>68</v>
      </c>
      <c r="N7730" t="str">
        <f t="shared" si="761"/>
        <v>FOR</v>
      </c>
      <c r="O7730" t="s">
        <v>69</v>
      </c>
      <c r="P7730" s="3" t="s">
        <v>75</v>
      </c>
      <c r="Q7730">
        <v>2016</v>
      </c>
      <c r="R7730" s="2">
        <v>42460</v>
      </c>
      <c r="S7730" s="2">
        <v>42465</v>
      </c>
      <c r="T7730" s="2">
        <v>42464</v>
      </c>
      <c r="U7730" s="2">
        <v>42524</v>
      </c>
      <c r="V7730" t="s">
        <v>71</v>
      </c>
      <c r="W7730" t="str">
        <f>"              3075/5"</f>
        <v xml:space="preserve">              3075/5</v>
      </c>
      <c r="X7730" s="1">
        <v>4941</v>
      </c>
      <c r="Y7730">
        <v>0</v>
      </c>
      <c r="Z7730"/>
      <c r="AB7730"/>
      <c r="AC7730" s="1">
        <v>4050</v>
      </c>
      <c r="AD7730">
        <v>53</v>
      </c>
      <c r="AE7730" s="1">
        <v>214650</v>
      </c>
      <c r="AF7730">
        <v>0</v>
      </c>
      <c r="AJ7730">
        <v>0</v>
      </c>
      <c r="AK7730">
        <v>0</v>
      </c>
      <c r="AL7730">
        <v>0</v>
      </c>
      <c r="AM7730" s="1">
        <v>4941</v>
      </c>
      <c r="AN7730" s="1">
        <v>4941</v>
      </c>
      <c r="AO7730" s="1">
        <v>4941</v>
      </c>
      <c r="AP7730" s="2">
        <v>42746</v>
      </c>
      <c r="AQ7730" t="s">
        <v>72</v>
      </c>
      <c r="AR7730" t="s">
        <v>72</v>
      </c>
      <c r="AS7730">
        <v>1960</v>
      </c>
      <c r="AT7730" s="4">
        <v>42577</v>
      </c>
      <c r="AU7730" t="s">
        <v>73</v>
      </c>
      <c r="AV7730">
        <v>1960</v>
      </c>
      <c r="AW7730" s="4">
        <v>42577</v>
      </c>
      <c r="BD7730">
        <v>0</v>
      </c>
      <c r="BN7730" t="s">
        <v>74</v>
      </c>
    </row>
    <row r="7731" spans="1:66" hidden="1">
      <c r="A7731">
        <v>104411</v>
      </c>
      <c r="B7731" s="3" t="s">
        <v>659</v>
      </c>
      <c r="C7731" s="1">
        <v>43300101</v>
      </c>
      <c r="D7731" t="s">
        <v>67</v>
      </c>
      <c r="H7731" t="str">
        <f t="shared" si="765"/>
        <v>09018810151</v>
      </c>
      <c r="I7731" t="str">
        <f t="shared" si="765"/>
        <v>09018810151</v>
      </c>
      <c r="K7731" t="str">
        <f>""</f>
        <v/>
      </c>
      <c r="M7731" t="s">
        <v>68</v>
      </c>
      <c r="N7731" t="str">
        <f t="shared" si="761"/>
        <v>FOR</v>
      </c>
      <c r="O7731" t="s">
        <v>69</v>
      </c>
      <c r="P7731" s="3" t="s">
        <v>75</v>
      </c>
      <c r="Q7731">
        <v>2016</v>
      </c>
      <c r="R7731" s="2">
        <v>42490</v>
      </c>
      <c r="S7731" s="2">
        <v>42496</v>
      </c>
      <c r="T7731" s="2">
        <v>42493</v>
      </c>
      <c r="U7731" s="2">
        <v>42553</v>
      </c>
      <c r="V7731" t="s">
        <v>71</v>
      </c>
      <c r="W7731" t="str">
        <f>"              4694/5"</f>
        <v xml:space="preserve">              4694/5</v>
      </c>
      <c r="X7731">
        <v>79.3</v>
      </c>
      <c r="Y7731">
        <v>0</v>
      </c>
      <c r="Z7731"/>
      <c r="AB7731"/>
      <c r="AC7731">
        <v>65</v>
      </c>
      <c r="AD7731">
        <v>24</v>
      </c>
      <c r="AE7731" s="1">
        <v>1560</v>
      </c>
      <c r="AF7731">
        <v>0</v>
      </c>
      <c r="AJ7731">
        <v>0</v>
      </c>
      <c r="AK7731">
        <v>0</v>
      </c>
      <c r="AL7731">
        <v>0</v>
      </c>
      <c r="AM7731">
        <v>79.3</v>
      </c>
      <c r="AN7731">
        <v>79.3</v>
      </c>
      <c r="AO7731">
        <v>79.3</v>
      </c>
      <c r="AP7731" s="2">
        <v>42746</v>
      </c>
      <c r="AQ7731" t="s">
        <v>72</v>
      </c>
      <c r="AR7731" t="s">
        <v>72</v>
      </c>
      <c r="AS7731">
        <v>1960</v>
      </c>
      <c r="AT7731" s="4">
        <v>42577</v>
      </c>
      <c r="AU7731" t="s">
        <v>73</v>
      </c>
      <c r="AV7731">
        <v>1960</v>
      </c>
      <c r="AW7731" s="4">
        <v>42577</v>
      </c>
      <c r="BD7731">
        <v>0</v>
      </c>
      <c r="BN7731" t="s">
        <v>74</v>
      </c>
    </row>
    <row r="7732" spans="1:66">
      <c r="A7732">
        <v>104411</v>
      </c>
      <c r="B7732" s="3" t="s">
        <v>659</v>
      </c>
      <c r="C7732" s="1">
        <v>43300101</v>
      </c>
      <c r="D7732" t="s">
        <v>67</v>
      </c>
      <c r="H7732" t="str">
        <f t="shared" si="765"/>
        <v>09018810151</v>
      </c>
      <c r="I7732" t="str">
        <f t="shared" si="765"/>
        <v>09018810151</v>
      </c>
      <c r="K7732" t="str">
        <f>""</f>
        <v/>
      </c>
      <c r="M7732" t="s">
        <v>68</v>
      </c>
      <c r="N7732" t="str">
        <f t="shared" si="761"/>
        <v>FOR</v>
      </c>
      <c r="O7732" t="s">
        <v>69</v>
      </c>
      <c r="P7732" s="3" t="s">
        <v>75</v>
      </c>
      <c r="Q7732">
        <v>2016</v>
      </c>
      <c r="R7732" s="2">
        <v>42551</v>
      </c>
      <c r="S7732" s="2">
        <v>42558</v>
      </c>
      <c r="T7732" s="2">
        <v>42556</v>
      </c>
      <c r="U7732" s="2">
        <v>42616</v>
      </c>
      <c r="V7732" t="s">
        <v>71</v>
      </c>
      <c r="W7732" t="str">
        <f>"              7164/5"</f>
        <v xml:space="preserve">              7164/5</v>
      </c>
      <c r="X7732">
        <v>317.2</v>
      </c>
      <c r="Y7732">
        <v>0</v>
      </c>
      <c r="Z7732" s="3">
        <v>260</v>
      </c>
      <c r="AA7732">
        <v>31</v>
      </c>
      <c r="AB7732" s="5">
        <v>8060</v>
      </c>
      <c r="AC7732">
        <v>260</v>
      </c>
      <c r="AD7732">
        <v>31</v>
      </c>
      <c r="AE7732" s="1">
        <v>8060</v>
      </c>
      <c r="AF7732">
        <v>0</v>
      </c>
      <c r="AJ7732">
        <v>0</v>
      </c>
      <c r="AK7732">
        <v>0</v>
      </c>
      <c r="AL7732">
        <v>0</v>
      </c>
      <c r="AM7732">
        <v>317.2</v>
      </c>
      <c r="AN7732">
        <v>317.2</v>
      </c>
      <c r="AO7732">
        <v>317.2</v>
      </c>
      <c r="AP7732" s="2">
        <v>42746</v>
      </c>
      <c r="AQ7732" t="s">
        <v>72</v>
      </c>
      <c r="AR7732" t="s">
        <v>72</v>
      </c>
      <c r="AS7732">
        <v>2589</v>
      </c>
      <c r="AT7732" s="4">
        <v>42647</v>
      </c>
      <c r="AU7732" t="s">
        <v>73</v>
      </c>
      <c r="AV7732">
        <v>2589</v>
      </c>
      <c r="AW7732" s="4">
        <v>42647</v>
      </c>
      <c r="BD7732">
        <v>0</v>
      </c>
      <c r="BN7732" t="s">
        <v>74</v>
      </c>
    </row>
    <row r="7733" spans="1:66" hidden="1">
      <c r="A7733">
        <v>104452</v>
      </c>
      <c r="B7733" s="3" t="s">
        <v>660</v>
      </c>
      <c r="C7733" s="1">
        <v>43300101</v>
      </c>
      <c r="D7733" t="s">
        <v>67</v>
      </c>
      <c r="H7733" t="str">
        <f>"04222630370"</f>
        <v>04222630370</v>
      </c>
      <c r="I7733" t="str">
        <f>"04222630370"</f>
        <v>04222630370</v>
      </c>
      <c r="K7733" t="str">
        <f>""</f>
        <v/>
      </c>
      <c r="M7733" t="s">
        <v>68</v>
      </c>
      <c r="N7733" t="str">
        <f t="shared" si="761"/>
        <v>FOR</v>
      </c>
      <c r="O7733" t="s">
        <v>69</v>
      </c>
      <c r="P7733" s="3" t="s">
        <v>75</v>
      </c>
      <c r="Q7733">
        <v>2015</v>
      </c>
      <c r="R7733" s="2">
        <v>42247</v>
      </c>
      <c r="S7733" s="2">
        <v>42262</v>
      </c>
      <c r="T7733" s="2">
        <v>42261</v>
      </c>
      <c r="U7733" s="2">
        <v>42321</v>
      </c>
      <c r="V7733" t="s">
        <v>71</v>
      </c>
      <c r="W7733" t="str">
        <f>"               70/PA"</f>
        <v xml:space="preserve">               70/PA</v>
      </c>
      <c r="X7733" s="1">
        <v>1464</v>
      </c>
      <c r="Y7733">
        <v>0</v>
      </c>
      <c r="Z7733"/>
      <c r="AB7733"/>
      <c r="AC7733" s="1">
        <v>1200</v>
      </c>
      <c r="AD7733">
        <v>207</v>
      </c>
      <c r="AE7733" s="1">
        <v>248400</v>
      </c>
      <c r="AF7733">
        <v>0</v>
      </c>
      <c r="AJ7733">
        <v>0</v>
      </c>
      <c r="AK7733">
        <v>0</v>
      </c>
      <c r="AL7733">
        <v>0</v>
      </c>
      <c r="AM7733">
        <v>0</v>
      </c>
      <c r="AN7733">
        <v>0</v>
      </c>
      <c r="AO7733">
        <v>0</v>
      </c>
      <c r="AP7733" s="2">
        <v>42746</v>
      </c>
      <c r="AQ7733" t="s">
        <v>72</v>
      </c>
      <c r="AR7733" t="s">
        <v>72</v>
      </c>
      <c r="AS7733">
        <v>1556</v>
      </c>
      <c r="AT7733" s="4">
        <v>42528</v>
      </c>
      <c r="AU7733" t="s">
        <v>73</v>
      </c>
      <c r="AV7733">
        <v>1556</v>
      </c>
      <c r="AW7733" s="4">
        <v>42528</v>
      </c>
      <c r="BD7733">
        <v>0</v>
      </c>
      <c r="BN7733" t="s">
        <v>74</v>
      </c>
    </row>
    <row r="7734" spans="1:66" hidden="1">
      <c r="A7734">
        <v>104466</v>
      </c>
      <c r="B7734" s="3" t="s">
        <v>661</v>
      </c>
      <c r="C7734" s="1">
        <v>43300101</v>
      </c>
      <c r="D7734" t="s">
        <v>67</v>
      </c>
      <c r="H7734" t="str">
        <f>"01001050622"</f>
        <v>01001050622</v>
      </c>
      <c r="I7734" t="str">
        <f>"01001050622"</f>
        <v>01001050622</v>
      </c>
      <c r="K7734" t="str">
        <f>""</f>
        <v/>
      </c>
      <c r="M7734" t="s">
        <v>68</v>
      </c>
      <c r="N7734" t="str">
        <f t="shared" ref="N7734:N7797" si="766">"FOR"</f>
        <v>FOR</v>
      </c>
      <c r="O7734" t="s">
        <v>69</v>
      </c>
      <c r="P7734" s="3" t="s">
        <v>75</v>
      </c>
      <c r="Q7734">
        <v>2016</v>
      </c>
      <c r="R7734" s="2">
        <v>42411</v>
      </c>
      <c r="S7734" s="2">
        <v>42415</v>
      </c>
      <c r="T7734" s="2">
        <v>42413</v>
      </c>
      <c r="U7734" s="2">
        <v>42473</v>
      </c>
      <c r="V7734" t="s">
        <v>71</v>
      </c>
      <c r="W7734" t="str">
        <f>"               1 /PA"</f>
        <v xml:space="preserve">               1 /PA</v>
      </c>
      <c r="X7734">
        <v>105.01</v>
      </c>
      <c r="Y7734">
        <v>0</v>
      </c>
      <c r="Z7734"/>
      <c r="AB7734"/>
      <c r="AC7734">
        <v>86.07</v>
      </c>
      <c r="AD7734">
        <v>93</v>
      </c>
      <c r="AE7734" s="1">
        <v>8004.51</v>
      </c>
      <c r="AF7734">
        <v>18.940000000000001</v>
      </c>
      <c r="AJ7734">
        <v>0</v>
      </c>
      <c r="AK7734">
        <v>0</v>
      </c>
      <c r="AL7734">
        <v>0</v>
      </c>
      <c r="AM7734">
        <v>105.01</v>
      </c>
      <c r="AN7734">
        <v>105.01</v>
      </c>
      <c r="AO7734">
        <v>105.01</v>
      </c>
      <c r="AP7734" s="2">
        <v>42746</v>
      </c>
      <c r="AQ7734" t="s">
        <v>72</v>
      </c>
      <c r="AR7734" t="s">
        <v>72</v>
      </c>
      <c r="AS7734">
        <v>1771</v>
      </c>
      <c r="AT7734" s="4">
        <v>42566</v>
      </c>
      <c r="AU7734" t="s">
        <v>73</v>
      </c>
      <c r="AV7734">
        <v>1771</v>
      </c>
      <c r="AW7734" s="4">
        <v>42566</v>
      </c>
      <c r="BD7734">
        <v>18.940000000000001</v>
      </c>
      <c r="BN7734" t="s">
        <v>74</v>
      </c>
    </row>
    <row r="7735" spans="1:66" hidden="1">
      <c r="A7735">
        <v>104477</v>
      </c>
      <c r="B7735" s="3" t="s">
        <v>662</v>
      </c>
      <c r="C7735" s="1">
        <v>43300101</v>
      </c>
      <c r="D7735" t="s">
        <v>67</v>
      </c>
      <c r="H7735" t="str">
        <f t="shared" ref="H7735:I7738" si="767">"01762850483"</f>
        <v>01762850483</v>
      </c>
      <c r="I7735" t="str">
        <f t="shared" si="767"/>
        <v>01762850483</v>
      </c>
      <c r="K7735" t="str">
        <f>""</f>
        <v/>
      </c>
      <c r="M7735" t="s">
        <v>68</v>
      </c>
      <c r="N7735" t="str">
        <f t="shared" si="766"/>
        <v>FOR</v>
      </c>
      <c r="O7735" t="s">
        <v>69</v>
      </c>
      <c r="P7735" s="3" t="s">
        <v>663</v>
      </c>
      <c r="Q7735">
        <v>2015</v>
      </c>
      <c r="R7735" s="2">
        <v>42366</v>
      </c>
      <c r="S7735" s="2">
        <v>42366</v>
      </c>
      <c r="T7735" s="2">
        <v>42366</v>
      </c>
      <c r="U7735" s="2">
        <v>42426</v>
      </c>
      <c r="V7735" t="s">
        <v>71</v>
      </c>
      <c r="W7735" t="str">
        <f>"                 302"</f>
        <v xml:space="preserve">                 302</v>
      </c>
      <c r="X7735">
        <v>0</v>
      </c>
      <c r="Y7735">
        <v>500</v>
      </c>
      <c r="Z7735"/>
      <c r="AB7735"/>
      <c r="AC7735">
        <v>500</v>
      </c>
      <c r="AD7735">
        <v>-24</v>
      </c>
      <c r="AE7735" s="1">
        <v>-12000</v>
      </c>
      <c r="AF7735">
        <v>0</v>
      </c>
      <c r="AJ7735">
        <v>0</v>
      </c>
      <c r="AK7735">
        <v>0</v>
      </c>
      <c r="AL7735">
        <v>0</v>
      </c>
      <c r="AM7735">
        <v>0</v>
      </c>
      <c r="AN7735">
        <v>0</v>
      </c>
      <c r="AO7735">
        <v>0</v>
      </c>
      <c r="AP7735" s="2">
        <v>42746</v>
      </c>
      <c r="AQ7735" t="s">
        <v>72</v>
      </c>
      <c r="AR7735" t="s">
        <v>72</v>
      </c>
      <c r="AS7735">
        <v>191</v>
      </c>
      <c r="AT7735" s="4">
        <v>42402</v>
      </c>
      <c r="AV7735">
        <v>191</v>
      </c>
      <c r="AW7735" s="4">
        <v>42402</v>
      </c>
      <c r="BD7735">
        <v>0</v>
      </c>
      <c r="BN7735" t="s">
        <v>74</v>
      </c>
    </row>
    <row r="7736" spans="1:66" hidden="1">
      <c r="A7736">
        <v>104477</v>
      </c>
      <c r="B7736" s="3" t="s">
        <v>662</v>
      </c>
      <c r="C7736" s="1">
        <v>43300101</v>
      </c>
      <c r="D7736" t="s">
        <v>67</v>
      </c>
      <c r="H7736" t="str">
        <f t="shared" si="767"/>
        <v>01762850483</v>
      </c>
      <c r="I7736" t="str">
        <f t="shared" si="767"/>
        <v>01762850483</v>
      </c>
      <c r="K7736" t="str">
        <f>""</f>
        <v/>
      </c>
      <c r="M7736" t="s">
        <v>68</v>
      </c>
      <c r="N7736" t="str">
        <f t="shared" si="766"/>
        <v>FOR</v>
      </c>
      <c r="O7736" t="s">
        <v>69</v>
      </c>
      <c r="P7736" s="3" t="s">
        <v>664</v>
      </c>
      <c r="Q7736">
        <v>2016</v>
      </c>
      <c r="R7736" s="2">
        <v>42395</v>
      </c>
      <c r="S7736" s="2">
        <v>42395</v>
      </c>
      <c r="T7736" s="2">
        <v>42395</v>
      </c>
      <c r="U7736" s="2">
        <v>42455</v>
      </c>
      <c r="V7736" t="s">
        <v>71</v>
      </c>
      <c r="W7736" t="str">
        <f>"                   8"</f>
        <v xml:space="preserve">                   8</v>
      </c>
      <c r="X7736">
        <v>0</v>
      </c>
      <c r="Y7736" s="1">
        <v>3451</v>
      </c>
      <c r="Z7736"/>
      <c r="AB7736"/>
      <c r="AC7736" s="1">
        <v>3451</v>
      </c>
      <c r="AD7736">
        <v>-53</v>
      </c>
      <c r="AE7736" s="1">
        <v>-182903</v>
      </c>
      <c r="AF7736">
        <v>0</v>
      </c>
      <c r="AJ7736">
        <v>0</v>
      </c>
      <c r="AK7736">
        <v>0</v>
      </c>
      <c r="AL7736">
        <v>0</v>
      </c>
      <c r="AM7736" s="1">
        <v>3451</v>
      </c>
      <c r="AN7736" s="1">
        <v>3451</v>
      </c>
      <c r="AO7736" s="1">
        <v>3451</v>
      </c>
      <c r="AP7736" s="2">
        <v>42746</v>
      </c>
      <c r="AQ7736" t="s">
        <v>72</v>
      </c>
      <c r="AR7736" t="s">
        <v>72</v>
      </c>
      <c r="AS7736">
        <v>191</v>
      </c>
      <c r="AT7736" s="4">
        <v>42402</v>
      </c>
      <c r="AV7736">
        <v>191</v>
      </c>
      <c r="AW7736" s="4">
        <v>42402</v>
      </c>
      <c r="BD7736">
        <v>0</v>
      </c>
      <c r="BN7736" t="s">
        <v>74</v>
      </c>
    </row>
    <row r="7737" spans="1:66" hidden="1">
      <c r="A7737">
        <v>104477</v>
      </c>
      <c r="B7737" s="3" t="s">
        <v>662</v>
      </c>
      <c r="C7737" s="1">
        <v>43300101</v>
      </c>
      <c r="D7737" t="s">
        <v>67</v>
      </c>
      <c r="H7737" t="str">
        <f t="shared" si="767"/>
        <v>01762850483</v>
      </c>
      <c r="I7737" t="str">
        <f t="shared" si="767"/>
        <v>01762850483</v>
      </c>
      <c r="K7737" t="str">
        <f>""</f>
        <v/>
      </c>
      <c r="M7737" t="s">
        <v>68</v>
      </c>
      <c r="N7737" t="str">
        <f t="shared" si="766"/>
        <v>FOR</v>
      </c>
      <c r="O7737" t="s">
        <v>69</v>
      </c>
      <c r="P7737" s="3" t="s">
        <v>665</v>
      </c>
      <c r="Q7737">
        <v>2016</v>
      </c>
      <c r="R7737" s="2">
        <v>42401</v>
      </c>
      <c r="S7737" s="2">
        <v>42401</v>
      </c>
      <c r="T7737" s="2">
        <v>42401</v>
      </c>
      <c r="U7737" s="2">
        <v>42461</v>
      </c>
      <c r="V7737" t="s">
        <v>71</v>
      </c>
      <c r="W7737" t="str">
        <f>"                  12"</f>
        <v xml:space="preserve">                  12</v>
      </c>
      <c r="X7737">
        <v>0</v>
      </c>
      <c r="Y7737" s="1">
        <v>92936.34</v>
      </c>
      <c r="Z7737"/>
      <c r="AB7737"/>
      <c r="AC7737" s="1">
        <v>92936.34</v>
      </c>
      <c r="AD7737">
        <v>-59</v>
      </c>
      <c r="AE7737" s="1">
        <v>-5483244.0599999996</v>
      </c>
      <c r="AF7737">
        <v>0</v>
      </c>
      <c r="AJ7737">
        <v>0</v>
      </c>
      <c r="AK7737">
        <v>0</v>
      </c>
      <c r="AL7737">
        <v>0</v>
      </c>
      <c r="AM7737">
        <v>0</v>
      </c>
      <c r="AN7737" s="1">
        <v>92936.34</v>
      </c>
      <c r="AO7737" s="1">
        <v>92936.34</v>
      </c>
      <c r="AP7737" s="2">
        <v>42746</v>
      </c>
      <c r="AQ7737" t="s">
        <v>72</v>
      </c>
      <c r="AR7737" t="s">
        <v>72</v>
      </c>
      <c r="AS7737">
        <v>191</v>
      </c>
      <c r="AT7737" s="4">
        <v>42402</v>
      </c>
      <c r="AV7737">
        <v>191</v>
      </c>
      <c r="AW7737" s="4">
        <v>42402</v>
      </c>
      <c r="BD7737">
        <v>0</v>
      </c>
      <c r="BN7737" t="s">
        <v>74</v>
      </c>
    </row>
    <row r="7738" spans="1:66" hidden="1">
      <c r="A7738">
        <v>104477</v>
      </c>
      <c r="B7738" s="3" t="s">
        <v>662</v>
      </c>
      <c r="C7738" s="1">
        <v>43300101</v>
      </c>
      <c r="D7738" t="s">
        <v>67</v>
      </c>
      <c r="H7738" t="str">
        <f t="shared" si="767"/>
        <v>01762850483</v>
      </c>
      <c r="I7738" t="str">
        <f t="shared" si="767"/>
        <v>01762850483</v>
      </c>
      <c r="K7738" t="str">
        <f>""</f>
        <v/>
      </c>
      <c r="M7738" t="s">
        <v>68</v>
      </c>
      <c r="N7738" t="str">
        <f t="shared" si="766"/>
        <v>FOR</v>
      </c>
      <c r="O7738" t="s">
        <v>69</v>
      </c>
      <c r="P7738" s="3" t="s">
        <v>666</v>
      </c>
      <c r="Q7738">
        <v>2016</v>
      </c>
      <c r="R7738" s="2">
        <v>42422</v>
      </c>
      <c r="S7738" s="2">
        <v>42422</v>
      </c>
      <c r="T7738" s="2">
        <v>42422</v>
      </c>
      <c r="U7738" s="2">
        <v>42482</v>
      </c>
      <c r="V7738" t="s">
        <v>71</v>
      </c>
      <c r="W7738" t="str">
        <f>"                  18"</f>
        <v xml:space="preserve">                  18</v>
      </c>
      <c r="X7738">
        <v>0</v>
      </c>
      <c r="Y7738" s="1">
        <v>25278</v>
      </c>
      <c r="Z7738"/>
      <c r="AB7738"/>
      <c r="AC7738" s="1">
        <v>25278</v>
      </c>
      <c r="AD7738">
        <v>-57</v>
      </c>
      <c r="AE7738" s="1">
        <v>-1440846</v>
      </c>
      <c r="AF7738">
        <v>0</v>
      </c>
      <c r="AJ7738">
        <v>0</v>
      </c>
      <c r="AK7738">
        <v>0</v>
      </c>
      <c r="AL7738">
        <v>0</v>
      </c>
      <c r="AM7738">
        <v>0</v>
      </c>
      <c r="AN7738" s="1">
        <v>25278</v>
      </c>
      <c r="AO7738" s="1">
        <v>25278</v>
      </c>
      <c r="AP7738" s="2">
        <v>42746</v>
      </c>
      <c r="AQ7738" t="s">
        <v>72</v>
      </c>
      <c r="AR7738" t="s">
        <v>72</v>
      </c>
      <c r="AS7738">
        <v>539</v>
      </c>
      <c r="AT7738" s="4">
        <v>42425</v>
      </c>
      <c r="AV7738">
        <v>539</v>
      </c>
      <c r="AW7738" s="4">
        <v>42425</v>
      </c>
      <c r="BD7738">
        <v>0</v>
      </c>
      <c r="BN7738" t="s">
        <v>74</v>
      </c>
    </row>
    <row r="7739" spans="1:66">
      <c r="A7739">
        <v>104487</v>
      </c>
      <c r="B7739" s="3" t="s">
        <v>667</v>
      </c>
      <c r="C7739" s="1">
        <v>43300101</v>
      </c>
      <c r="D7739" t="s">
        <v>67</v>
      </c>
      <c r="H7739" t="str">
        <f t="shared" ref="H7739:H7758" si="768">"VSTGTN63B26F839C"</f>
        <v>VSTGTN63B26F839C</v>
      </c>
      <c r="I7739" t="str">
        <f t="shared" ref="I7739:I7758" si="769">"07287630631"</f>
        <v>07287630631</v>
      </c>
      <c r="K7739" t="str">
        <f>""</f>
        <v/>
      </c>
      <c r="M7739" t="s">
        <v>68</v>
      </c>
      <c r="N7739" t="str">
        <f t="shared" si="766"/>
        <v>FOR</v>
      </c>
      <c r="O7739" t="s">
        <v>69</v>
      </c>
      <c r="P7739" s="3" t="s">
        <v>78</v>
      </c>
      <c r="Q7739">
        <v>2014</v>
      </c>
      <c r="R7739" s="2">
        <v>41765</v>
      </c>
      <c r="S7739" s="2">
        <v>41767</v>
      </c>
      <c r="T7739" s="2">
        <v>41767</v>
      </c>
      <c r="U7739" s="2">
        <v>41857</v>
      </c>
      <c r="V7739" t="s">
        <v>71</v>
      </c>
      <c r="W7739" t="str">
        <f>"                  41"</f>
        <v xml:space="preserve">                  41</v>
      </c>
      <c r="X7739">
        <v>707.2</v>
      </c>
      <c r="Y7739">
        <v>0</v>
      </c>
      <c r="Z7739" s="3">
        <v>707.2</v>
      </c>
      <c r="AA7739">
        <v>811</v>
      </c>
      <c r="AB7739" s="5">
        <v>573539.19999999995</v>
      </c>
      <c r="AC7739">
        <v>707.2</v>
      </c>
      <c r="AD7739">
        <v>811</v>
      </c>
      <c r="AE7739" s="1">
        <v>573539.19999999995</v>
      </c>
      <c r="AF7739">
        <v>0</v>
      </c>
      <c r="AJ7739">
        <v>0</v>
      </c>
      <c r="AK7739">
        <v>0</v>
      </c>
      <c r="AL7739">
        <v>0</v>
      </c>
      <c r="AM7739">
        <v>0</v>
      </c>
      <c r="AN7739">
        <v>0</v>
      </c>
      <c r="AO7739">
        <v>0</v>
      </c>
      <c r="AP7739" s="2">
        <v>42746</v>
      </c>
      <c r="AQ7739" t="s">
        <v>72</v>
      </c>
      <c r="AR7739" t="s">
        <v>72</v>
      </c>
      <c r="AS7739">
        <v>2881</v>
      </c>
      <c r="AT7739" s="4">
        <v>42668</v>
      </c>
      <c r="AU7739" t="s">
        <v>73</v>
      </c>
      <c r="AV7739">
        <v>2881</v>
      </c>
      <c r="AW7739" s="4">
        <v>42668</v>
      </c>
      <c r="BD7739">
        <v>0</v>
      </c>
      <c r="BN7739" t="s">
        <v>74</v>
      </c>
    </row>
    <row r="7740" spans="1:66" hidden="1">
      <c r="A7740">
        <v>104487</v>
      </c>
      <c r="B7740" s="3" t="s">
        <v>667</v>
      </c>
      <c r="C7740" s="1">
        <v>43300101</v>
      </c>
      <c r="D7740" t="s">
        <v>67</v>
      </c>
      <c r="H7740" t="str">
        <f t="shared" si="768"/>
        <v>VSTGTN63B26F839C</v>
      </c>
      <c r="I7740" t="str">
        <f t="shared" si="769"/>
        <v>07287630631</v>
      </c>
      <c r="K7740" t="str">
        <f>""</f>
        <v/>
      </c>
      <c r="M7740" t="s">
        <v>68</v>
      </c>
      <c r="N7740" t="str">
        <f t="shared" si="766"/>
        <v>FOR</v>
      </c>
      <c r="O7740" t="s">
        <v>69</v>
      </c>
      <c r="P7740" s="3" t="s">
        <v>70</v>
      </c>
      <c r="Q7740">
        <v>2015</v>
      </c>
      <c r="R7740" s="2">
        <v>42069</v>
      </c>
      <c r="S7740" s="2">
        <v>42086</v>
      </c>
      <c r="T7740" s="2">
        <v>42086</v>
      </c>
      <c r="U7740" s="2">
        <v>42146</v>
      </c>
      <c r="V7740" t="s">
        <v>71</v>
      </c>
      <c r="W7740" t="str">
        <f>"                  23"</f>
        <v xml:space="preserve">                  23</v>
      </c>
      <c r="X7740" s="1">
        <v>8174</v>
      </c>
      <c r="Y7740">
        <v>0</v>
      </c>
      <c r="Z7740"/>
      <c r="AB7740"/>
      <c r="AC7740" s="1">
        <v>6700</v>
      </c>
      <c r="AD7740">
        <v>287</v>
      </c>
      <c r="AE7740" s="1">
        <v>1922900</v>
      </c>
      <c r="AF7740">
        <v>0</v>
      </c>
      <c r="AJ7740">
        <v>0</v>
      </c>
      <c r="AK7740">
        <v>0</v>
      </c>
      <c r="AL7740">
        <v>0</v>
      </c>
      <c r="AM7740">
        <v>0</v>
      </c>
      <c r="AN7740">
        <v>0</v>
      </c>
      <c r="AO7740">
        <v>0</v>
      </c>
      <c r="AP7740" s="2">
        <v>42746</v>
      </c>
      <c r="AQ7740" t="s">
        <v>72</v>
      </c>
      <c r="AR7740" t="s">
        <v>72</v>
      </c>
      <c r="AS7740">
        <v>652</v>
      </c>
      <c r="AT7740" s="4">
        <v>42433</v>
      </c>
      <c r="AU7740" t="s">
        <v>73</v>
      </c>
      <c r="AV7740">
        <v>652</v>
      </c>
      <c r="AW7740" s="4">
        <v>42433</v>
      </c>
      <c r="BD7740">
        <v>0</v>
      </c>
      <c r="BN7740" t="s">
        <v>74</v>
      </c>
    </row>
    <row r="7741" spans="1:66" hidden="1">
      <c r="A7741">
        <v>104487</v>
      </c>
      <c r="B7741" s="3" t="s">
        <v>667</v>
      </c>
      <c r="C7741" s="1">
        <v>43300101</v>
      </c>
      <c r="D7741" t="s">
        <v>67</v>
      </c>
      <c r="H7741" t="str">
        <f t="shared" si="768"/>
        <v>VSTGTN63B26F839C</v>
      </c>
      <c r="I7741" t="str">
        <f t="shared" si="769"/>
        <v>07287630631</v>
      </c>
      <c r="K7741" t="str">
        <f>""</f>
        <v/>
      </c>
      <c r="M7741" t="s">
        <v>68</v>
      </c>
      <c r="N7741" t="str">
        <f t="shared" si="766"/>
        <v>FOR</v>
      </c>
      <c r="O7741" t="s">
        <v>69</v>
      </c>
      <c r="P7741" s="3" t="s">
        <v>75</v>
      </c>
      <c r="Q7741">
        <v>2015</v>
      </c>
      <c r="R7741" s="2">
        <v>42033</v>
      </c>
      <c r="S7741" s="2">
        <v>42411</v>
      </c>
      <c r="T7741" s="2">
        <v>42401</v>
      </c>
      <c r="U7741" s="2">
        <v>42461</v>
      </c>
      <c r="V7741" t="s">
        <v>71</v>
      </c>
      <c r="W7741" t="str">
        <f>"                01/E"</f>
        <v xml:space="preserve">                01/E</v>
      </c>
      <c r="X7741">
        <v>658.8</v>
      </c>
      <c r="Y7741">
        <v>0</v>
      </c>
      <c r="Z7741"/>
      <c r="AB7741"/>
      <c r="AC7741">
        <v>540</v>
      </c>
      <c r="AD7741">
        <v>31</v>
      </c>
      <c r="AE7741" s="1">
        <v>16740</v>
      </c>
      <c r="AF7741">
        <v>0</v>
      </c>
      <c r="AJ7741">
        <v>0</v>
      </c>
      <c r="AK7741">
        <v>0</v>
      </c>
      <c r="AL7741">
        <v>0</v>
      </c>
      <c r="AM7741">
        <v>658.8</v>
      </c>
      <c r="AN7741">
        <v>658.8</v>
      </c>
      <c r="AO7741">
        <v>0</v>
      </c>
      <c r="AP7741" s="2">
        <v>42746</v>
      </c>
      <c r="AQ7741" t="s">
        <v>72</v>
      </c>
      <c r="AR7741" t="s">
        <v>72</v>
      </c>
      <c r="AS7741">
        <v>1220</v>
      </c>
      <c r="AT7741" s="4">
        <v>42492</v>
      </c>
      <c r="AU7741" t="s">
        <v>73</v>
      </c>
      <c r="AV7741">
        <v>1220</v>
      </c>
      <c r="AW7741" s="4">
        <v>42492</v>
      </c>
      <c r="BD7741">
        <v>0</v>
      </c>
      <c r="BN7741" t="s">
        <v>74</v>
      </c>
    </row>
    <row r="7742" spans="1:66" hidden="1">
      <c r="A7742">
        <v>104487</v>
      </c>
      <c r="B7742" s="3" t="s">
        <v>667</v>
      </c>
      <c r="C7742" s="1">
        <v>43300101</v>
      </c>
      <c r="D7742" t="s">
        <v>67</v>
      </c>
      <c r="H7742" t="str">
        <f t="shared" si="768"/>
        <v>VSTGTN63B26F839C</v>
      </c>
      <c r="I7742" t="str">
        <f t="shared" si="769"/>
        <v>07287630631</v>
      </c>
      <c r="K7742" t="str">
        <f>""</f>
        <v/>
      </c>
      <c r="M7742" t="s">
        <v>68</v>
      </c>
      <c r="N7742" t="str">
        <f t="shared" si="766"/>
        <v>FOR</v>
      </c>
      <c r="O7742" t="s">
        <v>69</v>
      </c>
      <c r="P7742" s="3" t="s">
        <v>75</v>
      </c>
      <c r="Q7742">
        <v>2015</v>
      </c>
      <c r="R7742" s="2">
        <v>42167</v>
      </c>
      <c r="S7742" s="2">
        <v>42191</v>
      </c>
      <c r="T7742" s="2">
        <v>42187</v>
      </c>
      <c r="U7742" s="2">
        <v>42247</v>
      </c>
      <c r="V7742" t="s">
        <v>71</v>
      </c>
      <c r="W7742" t="str">
        <f>"                18/E"</f>
        <v xml:space="preserve">                18/E</v>
      </c>
      <c r="X7742" s="1">
        <v>3384.28</v>
      </c>
      <c r="Y7742">
        <v>0</v>
      </c>
      <c r="Z7742"/>
      <c r="AB7742"/>
      <c r="AC7742" s="1">
        <v>2774</v>
      </c>
      <c r="AD7742">
        <v>245</v>
      </c>
      <c r="AE7742" s="1">
        <v>679630</v>
      </c>
      <c r="AF7742">
        <v>0</v>
      </c>
      <c r="AJ7742">
        <v>0</v>
      </c>
      <c r="AK7742">
        <v>0</v>
      </c>
      <c r="AL7742">
        <v>0</v>
      </c>
      <c r="AM7742">
        <v>0</v>
      </c>
      <c r="AN7742">
        <v>0</v>
      </c>
      <c r="AO7742">
        <v>0</v>
      </c>
      <c r="AP7742" s="2">
        <v>42746</v>
      </c>
      <c r="AQ7742" t="s">
        <v>72</v>
      </c>
      <c r="AR7742" t="s">
        <v>72</v>
      </c>
      <c r="AS7742">
        <v>1220</v>
      </c>
      <c r="AT7742" s="4">
        <v>42492</v>
      </c>
      <c r="AU7742" t="s">
        <v>73</v>
      </c>
      <c r="AV7742">
        <v>1220</v>
      </c>
      <c r="AW7742" s="4">
        <v>42492</v>
      </c>
      <c r="BD7742">
        <v>0</v>
      </c>
      <c r="BN7742" t="s">
        <v>74</v>
      </c>
    </row>
    <row r="7743" spans="1:66" hidden="1">
      <c r="A7743">
        <v>104487</v>
      </c>
      <c r="B7743" s="3" t="s">
        <v>667</v>
      </c>
      <c r="C7743" s="1">
        <v>43300101</v>
      </c>
      <c r="D7743" t="s">
        <v>67</v>
      </c>
      <c r="H7743" t="str">
        <f t="shared" si="768"/>
        <v>VSTGTN63B26F839C</v>
      </c>
      <c r="I7743" t="str">
        <f t="shared" si="769"/>
        <v>07287630631</v>
      </c>
      <c r="K7743" t="str">
        <f>""</f>
        <v/>
      </c>
      <c r="M7743" t="s">
        <v>68</v>
      </c>
      <c r="N7743" t="str">
        <f t="shared" si="766"/>
        <v>FOR</v>
      </c>
      <c r="O7743" t="s">
        <v>69</v>
      </c>
      <c r="P7743" s="3" t="s">
        <v>75</v>
      </c>
      <c r="Q7743">
        <v>2015</v>
      </c>
      <c r="R7743" s="2">
        <v>42215</v>
      </c>
      <c r="S7743" s="2">
        <v>42223</v>
      </c>
      <c r="T7743" s="2">
        <v>42222</v>
      </c>
      <c r="U7743" s="2">
        <v>42282</v>
      </c>
      <c r="V7743" t="s">
        <v>71</v>
      </c>
      <c r="W7743" t="str">
        <f>"                24/E"</f>
        <v xml:space="preserve">                24/E</v>
      </c>
      <c r="X7743" s="1">
        <v>15810.08</v>
      </c>
      <c r="Y7743">
        <v>0</v>
      </c>
      <c r="Z7743"/>
      <c r="AB7743"/>
      <c r="AC7743" s="1">
        <v>15202</v>
      </c>
      <c r="AD7743">
        <v>151</v>
      </c>
      <c r="AE7743" s="1">
        <v>2295502</v>
      </c>
      <c r="AF7743">
        <v>0</v>
      </c>
      <c r="AJ7743">
        <v>0</v>
      </c>
      <c r="AK7743">
        <v>0</v>
      </c>
      <c r="AL7743">
        <v>0</v>
      </c>
      <c r="AM7743">
        <v>0</v>
      </c>
      <c r="AN7743">
        <v>0</v>
      </c>
      <c r="AO7743">
        <v>0</v>
      </c>
      <c r="AP7743" s="2">
        <v>42746</v>
      </c>
      <c r="AQ7743" t="s">
        <v>72</v>
      </c>
      <c r="AR7743" t="s">
        <v>72</v>
      </c>
      <c r="AS7743">
        <v>652</v>
      </c>
      <c r="AT7743" s="4">
        <v>42433</v>
      </c>
      <c r="AU7743" t="s">
        <v>73</v>
      </c>
      <c r="AV7743">
        <v>652</v>
      </c>
      <c r="AW7743" s="4">
        <v>42433</v>
      </c>
      <c r="BD7743">
        <v>0</v>
      </c>
      <c r="BN7743" t="s">
        <v>74</v>
      </c>
    </row>
    <row r="7744" spans="1:66" hidden="1">
      <c r="A7744">
        <v>104487</v>
      </c>
      <c r="B7744" s="3" t="s">
        <v>667</v>
      </c>
      <c r="C7744" s="1">
        <v>43300101</v>
      </c>
      <c r="D7744" t="s">
        <v>67</v>
      </c>
      <c r="H7744" t="str">
        <f t="shared" si="768"/>
        <v>VSTGTN63B26F839C</v>
      </c>
      <c r="I7744" t="str">
        <f t="shared" si="769"/>
        <v>07287630631</v>
      </c>
      <c r="K7744" t="str">
        <f>""</f>
        <v/>
      </c>
      <c r="M7744" t="s">
        <v>68</v>
      </c>
      <c r="N7744" t="str">
        <f t="shared" si="766"/>
        <v>FOR</v>
      </c>
      <c r="O7744" t="s">
        <v>69</v>
      </c>
      <c r="P7744" s="3" t="s">
        <v>75</v>
      </c>
      <c r="Q7744">
        <v>2015</v>
      </c>
      <c r="R7744" s="2">
        <v>42275</v>
      </c>
      <c r="S7744" s="2">
        <v>42277</v>
      </c>
      <c r="T7744" s="2">
        <v>42276</v>
      </c>
      <c r="U7744" s="2">
        <v>42336</v>
      </c>
      <c r="V7744" t="s">
        <v>71</v>
      </c>
      <c r="W7744" t="str">
        <f>"                52/E"</f>
        <v xml:space="preserve">                52/E</v>
      </c>
      <c r="X7744">
        <v>263.52</v>
      </c>
      <c r="Y7744">
        <v>0</v>
      </c>
      <c r="Z7744"/>
      <c r="AB7744"/>
      <c r="AC7744">
        <v>216</v>
      </c>
      <c r="AD7744">
        <v>97</v>
      </c>
      <c r="AE7744" s="1">
        <v>20952</v>
      </c>
      <c r="AF7744">
        <v>0</v>
      </c>
      <c r="AJ7744">
        <v>0</v>
      </c>
      <c r="AK7744">
        <v>0</v>
      </c>
      <c r="AL7744">
        <v>0</v>
      </c>
      <c r="AM7744">
        <v>0</v>
      </c>
      <c r="AN7744">
        <v>0</v>
      </c>
      <c r="AO7744">
        <v>0</v>
      </c>
      <c r="AP7744" s="2">
        <v>42746</v>
      </c>
      <c r="AQ7744" t="s">
        <v>72</v>
      </c>
      <c r="AR7744" t="s">
        <v>72</v>
      </c>
      <c r="AS7744">
        <v>652</v>
      </c>
      <c r="AT7744" s="4">
        <v>42433</v>
      </c>
      <c r="AU7744" t="s">
        <v>73</v>
      </c>
      <c r="AV7744">
        <v>652</v>
      </c>
      <c r="AW7744" s="4">
        <v>42433</v>
      </c>
      <c r="BD7744">
        <v>0</v>
      </c>
      <c r="BN7744" t="s">
        <v>74</v>
      </c>
    </row>
    <row r="7745" spans="1:66" hidden="1">
      <c r="A7745">
        <v>104487</v>
      </c>
      <c r="B7745" s="3" t="s">
        <v>667</v>
      </c>
      <c r="C7745" s="1">
        <v>43300101</v>
      </c>
      <c r="D7745" t="s">
        <v>67</v>
      </c>
      <c r="H7745" t="str">
        <f t="shared" si="768"/>
        <v>VSTGTN63B26F839C</v>
      </c>
      <c r="I7745" t="str">
        <f t="shared" si="769"/>
        <v>07287630631</v>
      </c>
      <c r="K7745" t="str">
        <f>""</f>
        <v/>
      </c>
      <c r="M7745" t="s">
        <v>68</v>
      </c>
      <c r="N7745" t="str">
        <f t="shared" si="766"/>
        <v>FOR</v>
      </c>
      <c r="O7745" t="s">
        <v>69</v>
      </c>
      <c r="P7745" s="3" t="s">
        <v>75</v>
      </c>
      <c r="Q7745">
        <v>2015</v>
      </c>
      <c r="R7745" s="2">
        <v>42307</v>
      </c>
      <c r="S7745" s="2">
        <v>42318</v>
      </c>
      <c r="T7745" s="2">
        <v>42317</v>
      </c>
      <c r="U7745" s="2">
        <v>42377</v>
      </c>
      <c r="V7745" t="s">
        <v>71</v>
      </c>
      <c r="W7745" t="str">
        <f>"                58/E"</f>
        <v xml:space="preserve">                58/E</v>
      </c>
      <c r="X7745">
        <v>442</v>
      </c>
      <c r="Y7745">
        <v>0</v>
      </c>
      <c r="Z7745"/>
      <c r="AB7745"/>
      <c r="AC7745">
        <v>425</v>
      </c>
      <c r="AD7745">
        <v>115</v>
      </c>
      <c r="AE7745" s="1">
        <v>48875</v>
      </c>
      <c r="AF7745">
        <v>0</v>
      </c>
      <c r="AJ7745">
        <v>0</v>
      </c>
      <c r="AK7745">
        <v>0</v>
      </c>
      <c r="AL7745">
        <v>0</v>
      </c>
      <c r="AM7745">
        <v>0</v>
      </c>
      <c r="AN7745">
        <v>0</v>
      </c>
      <c r="AO7745">
        <v>0</v>
      </c>
      <c r="AP7745" s="2">
        <v>42746</v>
      </c>
      <c r="AQ7745" t="s">
        <v>72</v>
      </c>
      <c r="AR7745" t="s">
        <v>72</v>
      </c>
      <c r="AS7745">
        <v>1220</v>
      </c>
      <c r="AT7745" s="4">
        <v>42492</v>
      </c>
      <c r="AU7745" t="s">
        <v>73</v>
      </c>
      <c r="AV7745">
        <v>1220</v>
      </c>
      <c r="AW7745" s="4">
        <v>42492</v>
      </c>
      <c r="BD7745">
        <v>0</v>
      </c>
      <c r="BN7745" t="s">
        <v>74</v>
      </c>
    </row>
    <row r="7746" spans="1:66" hidden="1">
      <c r="A7746">
        <v>104487</v>
      </c>
      <c r="B7746" s="3" t="s">
        <v>667</v>
      </c>
      <c r="C7746" s="1">
        <v>43300101</v>
      </c>
      <c r="D7746" t="s">
        <v>67</v>
      </c>
      <c r="H7746" t="str">
        <f t="shared" si="768"/>
        <v>VSTGTN63B26F839C</v>
      </c>
      <c r="I7746" t="str">
        <f t="shared" si="769"/>
        <v>07287630631</v>
      </c>
      <c r="K7746" t="str">
        <f>""</f>
        <v/>
      </c>
      <c r="M7746" t="s">
        <v>68</v>
      </c>
      <c r="N7746" t="str">
        <f t="shared" si="766"/>
        <v>FOR</v>
      </c>
      <c r="O7746" t="s">
        <v>69</v>
      </c>
      <c r="P7746" s="3" t="s">
        <v>75</v>
      </c>
      <c r="Q7746">
        <v>2015</v>
      </c>
      <c r="R7746" s="2">
        <v>42307</v>
      </c>
      <c r="S7746" s="2">
        <v>42318</v>
      </c>
      <c r="T7746" s="2">
        <v>42317</v>
      </c>
      <c r="U7746" s="2">
        <v>42377</v>
      </c>
      <c r="V7746" t="s">
        <v>71</v>
      </c>
      <c r="W7746" t="str">
        <f>"                59/E"</f>
        <v xml:space="preserve">                59/E</v>
      </c>
      <c r="X7746" s="1">
        <v>1054.08</v>
      </c>
      <c r="Y7746">
        <v>0</v>
      </c>
      <c r="Z7746"/>
      <c r="AB7746"/>
      <c r="AC7746">
        <v>864</v>
      </c>
      <c r="AD7746">
        <v>115</v>
      </c>
      <c r="AE7746" s="1">
        <v>99360</v>
      </c>
      <c r="AF7746">
        <v>0</v>
      </c>
      <c r="AJ7746">
        <v>0</v>
      </c>
      <c r="AK7746">
        <v>0</v>
      </c>
      <c r="AL7746">
        <v>0</v>
      </c>
      <c r="AM7746">
        <v>0</v>
      </c>
      <c r="AN7746">
        <v>0</v>
      </c>
      <c r="AO7746">
        <v>0</v>
      </c>
      <c r="AP7746" s="2">
        <v>42746</v>
      </c>
      <c r="AQ7746" t="s">
        <v>72</v>
      </c>
      <c r="AR7746" t="s">
        <v>72</v>
      </c>
      <c r="AS7746">
        <v>1220</v>
      </c>
      <c r="AT7746" s="4">
        <v>42492</v>
      </c>
      <c r="AU7746" t="s">
        <v>73</v>
      </c>
      <c r="AV7746">
        <v>1220</v>
      </c>
      <c r="AW7746" s="4">
        <v>42492</v>
      </c>
      <c r="BD7746">
        <v>0</v>
      </c>
      <c r="BN7746" t="s">
        <v>74</v>
      </c>
    </row>
    <row r="7747" spans="1:66" hidden="1">
      <c r="A7747">
        <v>104487</v>
      </c>
      <c r="B7747" s="3" t="s">
        <v>667</v>
      </c>
      <c r="C7747" s="1">
        <v>43300101</v>
      </c>
      <c r="D7747" t="s">
        <v>67</v>
      </c>
      <c r="H7747" t="str">
        <f t="shared" si="768"/>
        <v>VSTGTN63B26F839C</v>
      </c>
      <c r="I7747" t="str">
        <f t="shared" si="769"/>
        <v>07287630631</v>
      </c>
      <c r="K7747" t="str">
        <f>""</f>
        <v/>
      </c>
      <c r="M7747" t="s">
        <v>68</v>
      </c>
      <c r="N7747" t="str">
        <f t="shared" si="766"/>
        <v>FOR</v>
      </c>
      <c r="O7747" t="s">
        <v>69</v>
      </c>
      <c r="P7747" s="3" t="s">
        <v>75</v>
      </c>
      <c r="Q7747">
        <v>2015</v>
      </c>
      <c r="R7747" s="2">
        <v>42307</v>
      </c>
      <c r="S7747" s="2">
        <v>42318</v>
      </c>
      <c r="T7747" s="2">
        <v>42317</v>
      </c>
      <c r="U7747" s="2">
        <v>42377</v>
      </c>
      <c r="V7747" t="s">
        <v>71</v>
      </c>
      <c r="W7747" t="str">
        <f>"                60/E"</f>
        <v xml:space="preserve">                60/E</v>
      </c>
      <c r="X7747" s="1">
        <v>11668.8</v>
      </c>
      <c r="Y7747">
        <v>0</v>
      </c>
      <c r="Z7747"/>
      <c r="AB7747"/>
      <c r="AC7747" s="1">
        <v>11220</v>
      </c>
      <c r="AD7747">
        <v>115</v>
      </c>
      <c r="AE7747" s="1">
        <v>1290300</v>
      </c>
      <c r="AF7747">
        <v>0</v>
      </c>
      <c r="AJ7747">
        <v>0</v>
      </c>
      <c r="AK7747">
        <v>0</v>
      </c>
      <c r="AL7747">
        <v>0</v>
      </c>
      <c r="AM7747">
        <v>0</v>
      </c>
      <c r="AN7747">
        <v>0</v>
      </c>
      <c r="AO7747">
        <v>0</v>
      </c>
      <c r="AP7747" s="2">
        <v>42746</v>
      </c>
      <c r="AQ7747" t="s">
        <v>72</v>
      </c>
      <c r="AR7747" t="s">
        <v>72</v>
      </c>
      <c r="AS7747">
        <v>1220</v>
      </c>
      <c r="AT7747" s="4">
        <v>42492</v>
      </c>
      <c r="AU7747" t="s">
        <v>73</v>
      </c>
      <c r="AV7747">
        <v>1220</v>
      </c>
      <c r="AW7747" s="4">
        <v>42492</v>
      </c>
      <c r="BD7747">
        <v>0</v>
      </c>
      <c r="BN7747" t="s">
        <v>74</v>
      </c>
    </row>
    <row r="7748" spans="1:66" hidden="1">
      <c r="A7748">
        <v>104487</v>
      </c>
      <c r="B7748" s="3" t="s">
        <v>667</v>
      </c>
      <c r="C7748" s="1">
        <v>43300101</v>
      </c>
      <c r="D7748" t="s">
        <v>67</v>
      </c>
      <c r="H7748" t="str">
        <f t="shared" si="768"/>
        <v>VSTGTN63B26F839C</v>
      </c>
      <c r="I7748" t="str">
        <f t="shared" si="769"/>
        <v>07287630631</v>
      </c>
      <c r="K7748" t="str">
        <f>""</f>
        <v/>
      </c>
      <c r="M7748" t="s">
        <v>68</v>
      </c>
      <c r="N7748" t="str">
        <f t="shared" si="766"/>
        <v>FOR</v>
      </c>
      <c r="O7748" t="s">
        <v>69</v>
      </c>
      <c r="P7748" s="3" t="s">
        <v>75</v>
      </c>
      <c r="Q7748">
        <v>2015</v>
      </c>
      <c r="R7748" s="2">
        <v>42307</v>
      </c>
      <c r="S7748" s="2">
        <v>42318</v>
      </c>
      <c r="T7748" s="2">
        <v>42317</v>
      </c>
      <c r="U7748" s="2">
        <v>42377</v>
      </c>
      <c r="V7748" t="s">
        <v>71</v>
      </c>
      <c r="W7748" t="str">
        <f>"                62/E"</f>
        <v xml:space="preserve">                62/E</v>
      </c>
      <c r="X7748" s="1">
        <v>2562</v>
      </c>
      <c r="Y7748">
        <v>0</v>
      </c>
      <c r="Z7748"/>
      <c r="AB7748"/>
      <c r="AC7748" s="1">
        <v>2100</v>
      </c>
      <c r="AD7748">
        <v>115</v>
      </c>
      <c r="AE7748" s="1">
        <v>241500</v>
      </c>
      <c r="AF7748">
        <v>0</v>
      </c>
      <c r="AJ7748">
        <v>0</v>
      </c>
      <c r="AK7748">
        <v>0</v>
      </c>
      <c r="AL7748">
        <v>0</v>
      </c>
      <c r="AM7748">
        <v>0</v>
      </c>
      <c r="AN7748">
        <v>0</v>
      </c>
      <c r="AO7748">
        <v>0</v>
      </c>
      <c r="AP7748" s="2">
        <v>42746</v>
      </c>
      <c r="AQ7748" t="s">
        <v>72</v>
      </c>
      <c r="AR7748" t="s">
        <v>72</v>
      </c>
      <c r="AS7748">
        <v>1220</v>
      </c>
      <c r="AT7748" s="4">
        <v>42492</v>
      </c>
      <c r="AU7748" t="s">
        <v>73</v>
      </c>
      <c r="AV7748">
        <v>1220</v>
      </c>
      <c r="AW7748" s="4">
        <v>42492</v>
      </c>
      <c r="BD7748">
        <v>0</v>
      </c>
      <c r="BN7748" t="s">
        <v>74</v>
      </c>
    </row>
    <row r="7749" spans="1:66" hidden="1">
      <c r="A7749">
        <v>104487</v>
      </c>
      <c r="B7749" s="3" t="s">
        <v>667</v>
      </c>
      <c r="C7749" s="1">
        <v>43300101</v>
      </c>
      <c r="D7749" t="s">
        <v>67</v>
      </c>
      <c r="H7749" t="str">
        <f t="shared" si="768"/>
        <v>VSTGTN63B26F839C</v>
      </c>
      <c r="I7749" t="str">
        <f t="shared" si="769"/>
        <v>07287630631</v>
      </c>
      <c r="K7749" t="str">
        <f>""</f>
        <v/>
      </c>
      <c r="M7749" t="s">
        <v>68</v>
      </c>
      <c r="N7749" t="str">
        <f t="shared" si="766"/>
        <v>FOR</v>
      </c>
      <c r="O7749" t="s">
        <v>69</v>
      </c>
      <c r="P7749" s="3" t="s">
        <v>75</v>
      </c>
      <c r="Q7749">
        <v>2015</v>
      </c>
      <c r="R7749" s="2">
        <v>42307</v>
      </c>
      <c r="S7749" s="2">
        <v>42318</v>
      </c>
      <c r="T7749" s="2">
        <v>42317</v>
      </c>
      <c r="U7749" s="2">
        <v>42377</v>
      </c>
      <c r="V7749" t="s">
        <v>71</v>
      </c>
      <c r="W7749" t="str">
        <f>"                63/E"</f>
        <v xml:space="preserve">                63/E</v>
      </c>
      <c r="X7749">
        <v>617.76</v>
      </c>
      <c r="Y7749">
        <v>0</v>
      </c>
      <c r="Z7749"/>
      <c r="AB7749"/>
      <c r="AC7749">
        <v>594</v>
      </c>
      <c r="AD7749">
        <v>115</v>
      </c>
      <c r="AE7749" s="1">
        <v>68310</v>
      </c>
      <c r="AF7749">
        <v>0</v>
      </c>
      <c r="AJ7749">
        <v>0</v>
      </c>
      <c r="AK7749">
        <v>0</v>
      </c>
      <c r="AL7749">
        <v>0</v>
      </c>
      <c r="AM7749">
        <v>0</v>
      </c>
      <c r="AN7749">
        <v>0</v>
      </c>
      <c r="AO7749">
        <v>0</v>
      </c>
      <c r="AP7749" s="2">
        <v>42746</v>
      </c>
      <c r="AQ7749" t="s">
        <v>72</v>
      </c>
      <c r="AR7749" t="s">
        <v>72</v>
      </c>
      <c r="AS7749">
        <v>1220</v>
      </c>
      <c r="AT7749" s="4">
        <v>42492</v>
      </c>
      <c r="AU7749" t="s">
        <v>73</v>
      </c>
      <c r="AV7749">
        <v>1220</v>
      </c>
      <c r="AW7749" s="4">
        <v>42492</v>
      </c>
      <c r="BD7749">
        <v>0</v>
      </c>
      <c r="BN7749" t="s">
        <v>74</v>
      </c>
    </row>
    <row r="7750" spans="1:66" hidden="1">
      <c r="A7750">
        <v>104487</v>
      </c>
      <c r="B7750" s="3" t="s">
        <v>667</v>
      </c>
      <c r="C7750" s="1">
        <v>43300101</v>
      </c>
      <c r="D7750" t="s">
        <v>67</v>
      </c>
      <c r="H7750" t="str">
        <f t="shared" si="768"/>
        <v>VSTGTN63B26F839C</v>
      </c>
      <c r="I7750" t="str">
        <f t="shared" si="769"/>
        <v>07287630631</v>
      </c>
      <c r="K7750" t="str">
        <f>""</f>
        <v/>
      </c>
      <c r="M7750" t="s">
        <v>68</v>
      </c>
      <c r="N7750" t="str">
        <f t="shared" si="766"/>
        <v>FOR</v>
      </c>
      <c r="O7750" t="s">
        <v>69</v>
      </c>
      <c r="P7750" s="3" t="s">
        <v>75</v>
      </c>
      <c r="Q7750">
        <v>2015</v>
      </c>
      <c r="R7750" s="2">
        <v>42338</v>
      </c>
      <c r="S7750" s="2">
        <v>42345</v>
      </c>
      <c r="T7750" s="2">
        <v>42342</v>
      </c>
      <c r="U7750" s="2">
        <v>42402</v>
      </c>
      <c r="V7750" t="s">
        <v>71</v>
      </c>
      <c r="W7750" t="str">
        <f>"                68/E"</f>
        <v xml:space="preserve">                68/E</v>
      </c>
      <c r="X7750">
        <v>263.52</v>
      </c>
      <c r="Y7750">
        <v>0</v>
      </c>
      <c r="Z7750"/>
      <c r="AB7750"/>
      <c r="AC7750">
        <v>216</v>
      </c>
      <c r="AD7750">
        <v>118</v>
      </c>
      <c r="AE7750" s="1">
        <v>25488</v>
      </c>
      <c r="AF7750">
        <v>0</v>
      </c>
      <c r="AJ7750">
        <v>0</v>
      </c>
      <c r="AK7750">
        <v>0</v>
      </c>
      <c r="AL7750">
        <v>0</v>
      </c>
      <c r="AM7750">
        <v>0</v>
      </c>
      <c r="AN7750">
        <v>0</v>
      </c>
      <c r="AO7750">
        <v>0</v>
      </c>
      <c r="AP7750" s="2">
        <v>42746</v>
      </c>
      <c r="AQ7750" t="s">
        <v>72</v>
      </c>
      <c r="AR7750" t="s">
        <v>72</v>
      </c>
      <c r="AS7750">
        <v>1456</v>
      </c>
      <c r="AT7750" s="4">
        <v>42520</v>
      </c>
      <c r="AU7750" t="s">
        <v>73</v>
      </c>
      <c r="AV7750">
        <v>1456</v>
      </c>
      <c r="AW7750" s="4">
        <v>42520</v>
      </c>
      <c r="BD7750">
        <v>0</v>
      </c>
      <c r="BN7750" t="s">
        <v>74</v>
      </c>
    </row>
    <row r="7751" spans="1:66" hidden="1">
      <c r="A7751">
        <v>104487</v>
      </c>
      <c r="B7751" s="3" t="s">
        <v>667</v>
      </c>
      <c r="C7751" s="1">
        <v>43300101</v>
      </c>
      <c r="D7751" t="s">
        <v>67</v>
      </c>
      <c r="H7751" t="str">
        <f t="shared" si="768"/>
        <v>VSTGTN63B26F839C</v>
      </c>
      <c r="I7751" t="str">
        <f t="shared" si="769"/>
        <v>07287630631</v>
      </c>
      <c r="K7751" t="str">
        <f>""</f>
        <v/>
      </c>
      <c r="M7751" t="s">
        <v>68</v>
      </c>
      <c r="N7751" t="str">
        <f t="shared" si="766"/>
        <v>FOR</v>
      </c>
      <c r="O7751" t="s">
        <v>69</v>
      </c>
      <c r="P7751" s="3" t="s">
        <v>75</v>
      </c>
      <c r="Q7751">
        <v>2015</v>
      </c>
      <c r="R7751" s="2">
        <v>42368</v>
      </c>
      <c r="S7751" s="2">
        <v>42369</v>
      </c>
      <c r="T7751" s="2">
        <v>42369</v>
      </c>
      <c r="U7751" s="2">
        <v>42429</v>
      </c>
      <c r="V7751" t="s">
        <v>71</v>
      </c>
      <c r="W7751" t="str">
        <f>"                70/E"</f>
        <v xml:space="preserve">                70/E</v>
      </c>
      <c r="X7751" s="1">
        <v>1712.88</v>
      </c>
      <c r="Y7751">
        <v>0</v>
      </c>
      <c r="Z7751"/>
      <c r="AB7751"/>
      <c r="AC7751" s="1">
        <v>1404</v>
      </c>
      <c r="AD7751">
        <v>91</v>
      </c>
      <c r="AE7751" s="1">
        <v>127764</v>
      </c>
      <c r="AF7751">
        <v>0</v>
      </c>
      <c r="AJ7751">
        <v>0</v>
      </c>
      <c r="AK7751">
        <v>0</v>
      </c>
      <c r="AL7751">
        <v>0</v>
      </c>
      <c r="AM7751">
        <v>0</v>
      </c>
      <c r="AN7751">
        <v>0</v>
      </c>
      <c r="AO7751">
        <v>0</v>
      </c>
      <c r="AP7751" s="2">
        <v>42746</v>
      </c>
      <c r="AQ7751" t="s">
        <v>72</v>
      </c>
      <c r="AR7751" t="s">
        <v>72</v>
      </c>
      <c r="AS7751">
        <v>1456</v>
      </c>
      <c r="AT7751" s="4">
        <v>42520</v>
      </c>
      <c r="AU7751" t="s">
        <v>73</v>
      </c>
      <c r="AV7751">
        <v>1456</v>
      </c>
      <c r="AW7751" s="4">
        <v>42520</v>
      </c>
      <c r="BD7751">
        <v>0</v>
      </c>
      <c r="BN7751" t="s">
        <v>74</v>
      </c>
    </row>
    <row r="7752" spans="1:66" hidden="1">
      <c r="A7752">
        <v>104487</v>
      </c>
      <c r="B7752" s="3" t="s">
        <v>667</v>
      </c>
      <c r="C7752" s="1">
        <v>43300101</v>
      </c>
      <c r="D7752" t="s">
        <v>67</v>
      </c>
      <c r="H7752" t="str">
        <f t="shared" si="768"/>
        <v>VSTGTN63B26F839C</v>
      </c>
      <c r="I7752" t="str">
        <f t="shared" si="769"/>
        <v>07287630631</v>
      </c>
      <c r="K7752" t="str">
        <f>""</f>
        <v/>
      </c>
      <c r="M7752" t="s">
        <v>68</v>
      </c>
      <c r="N7752" t="str">
        <f t="shared" si="766"/>
        <v>FOR</v>
      </c>
      <c r="O7752" t="s">
        <v>69</v>
      </c>
      <c r="P7752" s="3" t="s">
        <v>75</v>
      </c>
      <c r="Q7752">
        <v>2015</v>
      </c>
      <c r="R7752" s="2">
        <v>42368</v>
      </c>
      <c r="S7752" s="2">
        <v>42369</v>
      </c>
      <c r="T7752" s="2">
        <v>42369</v>
      </c>
      <c r="U7752" s="2">
        <v>42429</v>
      </c>
      <c r="V7752" t="s">
        <v>71</v>
      </c>
      <c r="W7752" t="str">
        <f>"                73/E"</f>
        <v xml:space="preserve">                73/E</v>
      </c>
      <c r="X7752" s="1">
        <v>16458</v>
      </c>
      <c r="Y7752">
        <v>0</v>
      </c>
      <c r="Z7752"/>
      <c r="AB7752"/>
      <c r="AC7752" s="1">
        <v>15825</v>
      </c>
      <c r="AD7752">
        <v>91</v>
      </c>
      <c r="AE7752" s="1">
        <v>1440075</v>
      </c>
      <c r="AF7752">
        <v>0</v>
      </c>
      <c r="AJ7752">
        <v>0</v>
      </c>
      <c r="AK7752">
        <v>0</v>
      </c>
      <c r="AL7752">
        <v>0</v>
      </c>
      <c r="AM7752">
        <v>0</v>
      </c>
      <c r="AN7752">
        <v>0</v>
      </c>
      <c r="AO7752">
        <v>0</v>
      </c>
      <c r="AP7752" s="2">
        <v>42746</v>
      </c>
      <c r="AQ7752" t="s">
        <v>72</v>
      </c>
      <c r="AR7752" t="s">
        <v>72</v>
      </c>
      <c r="AS7752">
        <v>1456</v>
      </c>
      <c r="AT7752" s="4">
        <v>42520</v>
      </c>
      <c r="AU7752" t="s">
        <v>73</v>
      </c>
      <c r="AV7752">
        <v>1456</v>
      </c>
      <c r="AW7752" s="4">
        <v>42520</v>
      </c>
      <c r="BD7752">
        <v>0</v>
      </c>
      <c r="BN7752" t="s">
        <v>74</v>
      </c>
    </row>
    <row r="7753" spans="1:66">
      <c r="A7753">
        <v>104487</v>
      </c>
      <c r="B7753" s="3" t="s">
        <v>667</v>
      </c>
      <c r="C7753" s="1">
        <v>43300101</v>
      </c>
      <c r="D7753" t="s">
        <v>67</v>
      </c>
      <c r="H7753" t="str">
        <f t="shared" si="768"/>
        <v>VSTGTN63B26F839C</v>
      </c>
      <c r="I7753" t="str">
        <f t="shared" si="769"/>
        <v>07287630631</v>
      </c>
      <c r="K7753" t="str">
        <f>""</f>
        <v/>
      </c>
      <c r="M7753" t="s">
        <v>68</v>
      </c>
      <c r="N7753" t="str">
        <f t="shared" si="766"/>
        <v>FOR</v>
      </c>
      <c r="O7753" t="s">
        <v>69</v>
      </c>
      <c r="P7753" s="3" t="s">
        <v>75</v>
      </c>
      <c r="Q7753">
        <v>2016</v>
      </c>
      <c r="R7753" s="2">
        <v>42459</v>
      </c>
      <c r="S7753" s="2">
        <v>42464</v>
      </c>
      <c r="T7753" s="2">
        <v>42460</v>
      </c>
      <c r="U7753" s="2">
        <v>42520</v>
      </c>
      <c r="V7753" t="s">
        <v>71</v>
      </c>
      <c r="W7753" t="str">
        <f>"                09/E"</f>
        <v xml:space="preserve">                09/E</v>
      </c>
      <c r="X7753" s="1">
        <v>9916.4</v>
      </c>
      <c r="Y7753">
        <v>0</v>
      </c>
      <c r="Z7753" s="5">
        <v>9535</v>
      </c>
      <c r="AA7753">
        <v>126</v>
      </c>
      <c r="AB7753" s="5">
        <v>1201410</v>
      </c>
      <c r="AC7753" s="1">
        <v>9535</v>
      </c>
      <c r="AD7753">
        <v>126</v>
      </c>
      <c r="AE7753" s="1">
        <v>1201410</v>
      </c>
      <c r="AF7753">
        <v>0</v>
      </c>
      <c r="AJ7753">
        <v>0</v>
      </c>
      <c r="AK7753">
        <v>0</v>
      </c>
      <c r="AL7753">
        <v>0</v>
      </c>
      <c r="AM7753" s="1">
        <v>9916.4</v>
      </c>
      <c r="AN7753" s="1">
        <v>9916.4</v>
      </c>
      <c r="AO7753" s="1">
        <v>9916.4</v>
      </c>
      <c r="AP7753" s="2">
        <v>42746</v>
      </c>
      <c r="AQ7753" t="s">
        <v>72</v>
      </c>
      <c r="AR7753" t="s">
        <v>72</v>
      </c>
      <c r="AS7753">
        <v>2556</v>
      </c>
      <c r="AT7753" s="4">
        <v>42646</v>
      </c>
      <c r="AU7753" t="s">
        <v>73</v>
      </c>
      <c r="AV7753">
        <v>2556</v>
      </c>
      <c r="AW7753" s="4">
        <v>42646</v>
      </c>
      <c r="BD7753">
        <v>0</v>
      </c>
      <c r="BN7753" t="s">
        <v>74</v>
      </c>
    </row>
    <row r="7754" spans="1:66">
      <c r="A7754">
        <v>104487</v>
      </c>
      <c r="B7754" s="3" t="s">
        <v>667</v>
      </c>
      <c r="C7754" s="1">
        <v>43300101</v>
      </c>
      <c r="D7754" t="s">
        <v>67</v>
      </c>
      <c r="H7754" t="str">
        <f t="shared" si="768"/>
        <v>VSTGTN63B26F839C</v>
      </c>
      <c r="I7754" t="str">
        <f t="shared" si="769"/>
        <v>07287630631</v>
      </c>
      <c r="K7754" t="str">
        <f>""</f>
        <v/>
      </c>
      <c r="M7754" t="s">
        <v>68</v>
      </c>
      <c r="N7754" t="str">
        <f t="shared" si="766"/>
        <v>FOR</v>
      </c>
      <c r="O7754" t="s">
        <v>69</v>
      </c>
      <c r="P7754" s="3" t="s">
        <v>75</v>
      </c>
      <c r="Q7754">
        <v>2016</v>
      </c>
      <c r="R7754" s="2">
        <v>42460</v>
      </c>
      <c r="S7754" s="2">
        <v>42464</v>
      </c>
      <c r="T7754" s="2">
        <v>42460</v>
      </c>
      <c r="U7754" s="2">
        <v>42520</v>
      </c>
      <c r="V7754" t="s">
        <v>71</v>
      </c>
      <c r="W7754" t="str">
        <f>"                13/E"</f>
        <v xml:space="preserve">                13/E</v>
      </c>
      <c r="X7754" s="1">
        <v>2562</v>
      </c>
      <c r="Y7754">
        <v>0</v>
      </c>
      <c r="Z7754" s="5">
        <v>2100</v>
      </c>
      <c r="AA7754">
        <v>126</v>
      </c>
      <c r="AB7754" s="5">
        <v>264600</v>
      </c>
      <c r="AC7754" s="1">
        <v>2100</v>
      </c>
      <c r="AD7754">
        <v>126</v>
      </c>
      <c r="AE7754" s="1">
        <v>264600</v>
      </c>
      <c r="AF7754">
        <v>0</v>
      </c>
      <c r="AJ7754">
        <v>0</v>
      </c>
      <c r="AK7754">
        <v>0</v>
      </c>
      <c r="AL7754">
        <v>0</v>
      </c>
      <c r="AM7754" s="1">
        <v>2562</v>
      </c>
      <c r="AN7754" s="1">
        <v>2562</v>
      </c>
      <c r="AO7754" s="1">
        <v>2562</v>
      </c>
      <c r="AP7754" s="2">
        <v>42746</v>
      </c>
      <c r="AQ7754" t="s">
        <v>72</v>
      </c>
      <c r="AR7754" t="s">
        <v>72</v>
      </c>
      <c r="AS7754">
        <v>2556</v>
      </c>
      <c r="AT7754" s="4">
        <v>42646</v>
      </c>
      <c r="AU7754" t="s">
        <v>73</v>
      </c>
      <c r="AV7754">
        <v>2556</v>
      </c>
      <c r="AW7754" s="4">
        <v>42646</v>
      </c>
      <c r="BD7754">
        <v>0</v>
      </c>
      <c r="BN7754" t="s">
        <v>74</v>
      </c>
    </row>
    <row r="7755" spans="1:66">
      <c r="A7755">
        <v>104487</v>
      </c>
      <c r="B7755" s="3" t="s">
        <v>667</v>
      </c>
      <c r="C7755" s="1">
        <v>43300101</v>
      </c>
      <c r="D7755" t="s">
        <v>67</v>
      </c>
      <c r="H7755" t="str">
        <f t="shared" si="768"/>
        <v>VSTGTN63B26F839C</v>
      </c>
      <c r="I7755" t="str">
        <f t="shared" si="769"/>
        <v>07287630631</v>
      </c>
      <c r="K7755" t="str">
        <f>""</f>
        <v/>
      </c>
      <c r="M7755" t="s">
        <v>68</v>
      </c>
      <c r="N7755" t="str">
        <f t="shared" si="766"/>
        <v>FOR</v>
      </c>
      <c r="O7755" t="s">
        <v>69</v>
      </c>
      <c r="P7755" s="3" t="s">
        <v>75</v>
      </c>
      <c r="Q7755">
        <v>2016</v>
      </c>
      <c r="R7755" s="2">
        <v>42489</v>
      </c>
      <c r="S7755" s="2">
        <v>42496</v>
      </c>
      <c r="T7755" s="2">
        <v>42494</v>
      </c>
      <c r="U7755" s="2">
        <v>42554</v>
      </c>
      <c r="V7755" t="s">
        <v>71</v>
      </c>
      <c r="W7755" t="str">
        <f>"                18/E"</f>
        <v xml:space="preserve">                18/E</v>
      </c>
      <c r="X7755">
        <v>395.28</v>
      </c>
      <c r="Y7755">
        <v>0</v>
      </c>
      <c r="Z7755" s="3">
        <v>324</v>
      </c>
      <c r="AA7755">
        <v>124</v>
      </c>
      <c r="AB7755" s="5">
        <v>40176</v>
      </c>
      <c r="AC7755">
        <v>324</v>
      </c>
      <c r="AD7755">
        <v>124</v>
      </c>
      <c r="AE7755" s="1">
        <v>40176</v>
      </c>
      <c r="AF7755">
        <v>0</v>
      </c>
      <c r="AJ7755">
        <v>0</v>
      </c>
      <c r="AK7755">
        <v>0</v>
      </c>
      <c r="AL7755">
        <v>0</v>
      </c>
      <c r="AM7755">
        <v>395.28</v>
      </c>
      <c r="AN7755">
        <v>395.28</v>
      </c>
      <c r="AO7755">
        <v>395.28</v>
      </c>
      <c r="AP7755" s="2">
        <v>42746</v>
      </c>
      <c r="AQ7755" t="s">
        <v>72</v>
      </c>
      <c r="AR7755" t="s">
        <v>72</v>
      </c>
      <c r="AS7755">
        <v>2942</v>
      </c>
      <c r="AT7755" s="4">
        <v>42678</v>
      </c>
      <c r="AU7755" t="s">
        <v>73</v>
      </c>
      <c r="AV7755">
        <v>2942</v>
      </c>
      <c r="AW7755" s="4">
        <v>42678</v>
      </c>
      <c r="BD7755">
        <v>0</v>
      </c>
      <c r="BN7755" t="s">
        <v>74</v>
      </c>
    </row>
    <row r="7756" spans="1:66">
      <c r="A7756">
        <v>104487</v>
      </c>
      <c r="B7756" s="3" t="s">
        <v>667</v>
      </c>
      <c r="C7756" s="1">
        <v>43300101</v>
      </c>
      <c r="D7756" t="s">
        <v>67</v>
      </c>
      <c r="H7756" t="str">
        <f t="shared" si="768"/>
        <v>VSTGTN63B26F839C</v>
      </c>
      <c r="I7756" t="str">
        <f t="shared" si="769"/>
        <v>07287630631</v>
      </c>
      <c r="K7756" t="str">
        <f>""</f>
        <v/>
      </c>
      <c r="M7756" t="s">
        <v>68</v>
      </c>
      <c r="N7756" t="str">
        <f t="shared" si="766"/>
        <v>FOR</v>
      </c>
      <c r="O7756" t="s">
        <v>69</v>
      </c>
      <c r="P7756" s="3" t="s">
        <v>75</v>
      </c>
      <c r="Q7756">
        <v>2016</v>
      </c>
      <c r="R7756" s="2">
        <v>42489</v>
      </c>
      <c r="S7756" s="2">
        <v>42496</v>
      </c>
      <c r="T7756" s="2">
        <v>42494</v>
      </c>
      <c r="U7756" s="2">
        <v>42554</v>
      </c>
      <c r="V7756" t="s">
        <v>71</v>
      </c>
      <c r="W7756" t="str">
        <f>"                21/E"</f>
        <v xml:space="preserve">                21/E</v>
      </c>
      <c r="X7756" s="1">
        <v>11247.6</v>
      </c>
      <c r="Y7756">
        <v>0</v>
      </c>
      <c r="Z7756" s="5">
        <v>10815</v>
      </c>
      <c r="AA7756">
        <v>124</v>
      </c>
      <c r="AB7756" s="5">
        <v>1341060</v>
      </c>
      <c r="AC7756" s="1">
        <v>10815</v>
      </c>
      <c r="AD7756">
        <v>124</v>
      </c>
      <c r="AE7756" s="1">
        <v>1341060</v>
      </c>
      <c r="AF7756">
        <v>0</v>
      </c>
      <c r="AJ7756">
        <v>0</v>
      </c>
      <c r="AK7756">
        <v>0</v>
      </c>
      <c r="AL7756">
        <v>0</v>
      </c>
      <c r="AM7756" s="1">
        <v>11247.6</v>
      </c>
      <c r="AN7756" s="1">
        <v>11247.6</v>
      </c>
      <c r="AO7756" s="1">
        <v>11247.6</v>
      </c>
      <c r="AP7756" s="2">
        <v>42746</v>
      </c>
      <c r="AQ7756" t="s">
        <v>72</v>
      </c>
      <c r="AR7756" t="s">
        <v>72</v>
      </c>
      <c r="AS7756">
        <v>2942</v>
      </c>
      <c r="AT7756" s="4">
        <v>42678</v>
      </c>
      <c r="AU7756" t="s">
        <v>73</v>
      </c>
      <c r="AV7756">
        <v>2942</v>
      </c>
      <c r="AW7756" s="4">
        <v>42678</v>
      </c>
      <c r="BD7756">
        <v>0</v>
      </c>
      <c r="BN7756" t="s">
        <v>74</v>
      </c>
    </row>
    <row r="7757" spans="1:66">
      <c r="A7757">
        <v>104487</v>
      </c>
      <c r="B7757" s="3" t="s">
        <v>667</v>
      </c>
      <c r="C7757" s="1">
        <v>43300101</v>
      </c>
      <c r="D7757" t="s">
        <v>67</v>
      </c>
      <c r="H7757" t="str">
        <f t="shared" si="768"/>
        <v>VSTGTN63B26F839C</v>
      </c>
      <c r="I7757" t="str">
        <f t="shared" si="769"/>
        <v>07287630631</v>
      </c>
      <c r="K7757" t="str">
        <f>""</f>
        <v/>
      </c>
      <c r="M7757" t="s">
        <v>68</v>
      </c>
      <c r="N7757" t="str">
        <f t="shared" si="766"/>
        <v>FOR</v>
      </c>
      <c r="O7757" t="s">
        <v>69</v>
      </c>
      <c r="P7757" s="3" t="s">
        <v>75</v>
      </c>
      <c r="Q7757">
        <v>2016</v>
      </c>
      <c r="R7757" s="2">
        <v>42551</v>
      </c>
      <c r="S7757" s="2">
        <v>42558</v>
      </c>
      <c r="T7757" s="2">
        <v>42557</v>
      </c>
      <c r="U7757" s="2">
        <v>42617</v>
      </c>
      <c r="V7757" t="s">
        <v>71</v>
      </c>
      <c r="W7757" t="str">
        <f>"                26/E"</f>
        <v xml:space="preserve">                26/E</v>
      </c>
      <c r="X7757" s="1">
        <v>8086</v>
      </c>
      <c r="Y7757">
        <v>0</v>
      </c>
      <c r="Z7757" s="5">
        <v>7775</v>
      </c>
      <c r="AA7757">
        <v>80</v>
      </c>
      <c r="AB7757" s="5">
        <v>622000</v>
      </c>
      <c r="AC7757" s="1">
        <v>7775</v>
      </c>
      <c r="AD7757">
        <v>80</v>
      </c>
      <c r="AE7757" s="1">
        <v>622000</v>
      </c>
      <c r="AF7757">
        <v>0</v>
      </c>
      <c r="AJ7757">
        <v>0</v>
      </c>
      <c r="AK7757">
        <v>0</v>
      </c>
      <c r="AL7757">
        <v>0</v>
      </c>
      <c r="AM7757" s="1">
        <v>8086</v>
      </c>
      <c r="AN7757" s="1">
        <v>8086</v>
      </c>
      <c r="AO7757" s="1">
        <v>8086</v>
      </c>
      <c r="AP7757" s="2">
        <v>42746</v>
      </c>
      <c r="AQ7757" t="s">
        <v>72</v>
      </c>
      <c r="AR7757" t="s">
        <v>72</v>
      </c>
      <c r="AS7757">
        <v>3288</v>
      </c>
      <c r="AT7757" s="4">
        <v>42697</v>
      </c>
      <c r="AU7757" t="s">
        <v>73</v>
      </c>
      <c r="AV7757">
        <v>3288</v>
      </c>
      <c r="AW7757" s="4">
        <v>42697</v>
      </c>
      <c r="BD7757">
        <v>0</v>
      </c>
      <c r="BN7757" t="s">
        <v>74</v>
      </c>
    </row>
    <row r="7758" spans="1:66">
      <c r="A7758">
        <v>104487</v>
      </c>
      <c r="B7758" s="3" t="s">
        <v>667</v>
      </c>
      <c r="C7758" s="1">
        <v>43300101</v>
      </c>
      <c r="D7758" t="s">
        <v>67</v>
      </c>
      <c r="H7758" t="str">
        <f t="shared" si="768"/>
        <v>VSTGTN63B26F839C</v>
      </c>
      <c r="I7758" t="str">
        <f t="shared" si="769"/>
        <v>07287630631</v>
      </c>
      <c r="K7758" t="str">
        <f>""</f>
        <v/>
      </c>
      <c r="M7758" t="s">
        <v>68</v>
      </c>
      <c r="N7758" t="str">
        <f t="shared" si="766"/>
        <v>FOR</v>
      </c>
      <c r="O7758" t="s">
        <v>69</v>
      </c>
      <c r="P7758" s="3" t="s">
        <v>75</v>
      </c>
      <c r="Q7758">
        <v>2016</v>
      </c>
      <c r="R7758" s="2">
        <v>42551</v>
      </c>
      <c r="S7758" s="2">
        <v>42558</v>
      </c>
      <c r="T7758" s="2">
        <v>42557</v>
      </c>
      <c r="U7758" s="2">
        <v>42617</v>
      </c>
      <c r="V7758" t="s">
        <v>71</v>
      </c>
      <c r="W7758" t="str">
        <f>"                27/E"</f>
        <v xml:space="preserve">                27/E</v>
      </c>
      <c r="X7758">
        <v>658.8</v>
      </c>
      <c r="Y7758">
        <v>0</v>
      </c>
      <c r="Z7758" s="3">
        <v>540</v>
      </c>
      <c r="AA7758">
        <v>80</v>
      </c>
      <c r="AB7758" s="5">
        <v>43200</v>
      </c>
      <c r="AC7758">
        <v>540</v>
      </c>
      <c r="AD7758">
        <v>80</v>
      </c>
      <c r="AE7758" s="1">
        <v>43200</v>
      </c>
      <c r="AF7758">
        <v>0</v>
      </c>
      <c r="AJ7758">
        <v>0</v>
      </c>
      <c r="AK7758">
        <v>0</v>
      </c>
      <c r="AL7758">
        <v>0</v>
      </c>
      <c r="AM7758">
        <v>658.8</v>
      </c>
      <c r="AN7758">
        <v>658.8</v>
      </c>
      <c r="AO7758">
        <v>658.8</v>
      </c>
      <c r="AP7758" s="2">
        <v>42746</v>
      </c>
      <c r="AQ7758" t="s">
        <v>72</v>
      </c>
      <c r="AR7758" t="s">
        <v>72</v>
      </c>
      <c r="AS7758">
        <v>3288</v>
      </c>
      <c r="AT7758" s="4">
        <v>42697</v>
      </c>
      <c r="AU7758" t="s">
        <v>73</v>
      </c>
      <c r="AV7758">
        <v>3288</v>
      </c>
      <c r="AW7758" s="4">
        <v>42697</v>
      </c>
      <c r="BD7758">
        <v>0</v>
      </c>
      <c r="BN7758" t="s">
        <v>74</v>
      </c>
    </row>
    <row r="7759" spans="1:66">
      <c r="A7759">
        <v>104488</v>
      </c>
      <c r="B7759" s="3" t="s">
        <v>668</v>
      </c>
      <c r="C7759" s="1">
        <v>43300101</v>
      </c>
      <c r="D7759" t="s">
        <v>67</v>
      </c>
      <c r="H7759" t="str">
        <f>"10777700153"</f>
        <v>10777700153</v>
      </c>
      <c r="I7759" t="str">
        <f>"10777700153"</f>
        <v>10777700153</v>
      </c>
      <c r="K7759" t="str">
        <f>""</f>
        <v/>
      </c>
      <c r="M7759" t="s">
        <v>68</v>
      </c>
      <c r="N7759" t="str">
        <f t="shared" si="766"/>
        <v>FOR</v>
      </c>
      <c r="O7759" t="s">
        <v>69</v>
      </c>
      <c r="P7759" s="3" t="s">
        <v>78</v>
      </c>
      <c r="Q7759">
        <v>2012</v>
      </c>
      <c r="R7759" s="2">
        <v>41271</v>
      </c>
      <c r="S7759" s="2">
        <v>41795</v>
      </c>
      <c r="T7759" s="2">
        <v>41795</v>
      </c>
      <c r="U7759" s="2">
        <v>41885</v>
      </c>
      <c r="V7759" t="s">
        <v>71</v>
      </c>
      <c r="W7759" t="str">
        <f>"            98398472"</f>
        <v xml:space="preserve">            98398472</v>
      </c>
      <c r="X7759" s="1">
        <v>1584.17</v>
      </c>
      <c r="Y7759">
        <v>0</v>
      </c>
      <c r="Z7759" s="5">
        <v>1584.17</v>
      </c>
      <c r="AA7759">
        <v>804</v>
      </c>
      <c r="AB7759" s="5">
        <v>1273672.68</v>
      </c>
      <c r="AC7759" s="1">
        <v>1584.17</v>
      </c>
      <c r="AD7759">
        <v>804</v>
      </c>
      <c r="AE7759" s="1">
        <v>1273672.68</v>
      </c>
      <c r="AF7759">
        <v>0</v>
      </c>
      <c r="AJ7759">
        <v>0</v>
      </c>
      <c r="AK7759">
        <v>0</v>
      </c>
      <c r="AL7759">
        <v>0</v>
      </c>
      <c r="AM7759">
        <v>0</v>
      </c>
      <c r="AN7759">
        <v>0</v>
      </c>
      <c r="AO7759">
        <v>0</v>
      </c>
      <c r="AP7759" s="2">
        <v>42746</v>
      </c>
      <c r="AQ7759" t="s">
        <v>72</v>
      </c>
      <c r="AR7759" t="s">
        <v>72</v>
      </c>
      <c r="AS7759">
        <v>3098</v>
      </c>
      <c r="AT7759" s="4">
        <v>42689</v>
      </c>
      <c r="AU7759" t="s">
        <v>73</v>
      </c>
      <c r="AV7759">
        <v>3098</v>
      </c>
      <c r="AW7759" s="4">
        <v>42689</v>
      </c>
      <c r="BD7759">
        <v>0</v>
      </c>
      <c r="BN7759" t="s">
        <v>74</v>
      </c>
    </row>
    <row r="7760" spans="1:66">
      <c r="A7760">
        <v>104488</v>
      </c>
      <c r="B7760" s="3" t="s">
        <v>668</v>
      </c>
      <c r="C7760" s="1">
        <v>43300101</v>
      </c>
      <c r="D7760" t="s">
        <v>67</v>
      </c>
      <c r="H7760" t="str">
        <f>"10777700153"</f>
        <v>10777700153</v>
      </c>
      <c r="I7760" t="str">
        <f>"10777700153"</f>
        <v>10777700153</v>
      </c>
      <c r="K7760" t="str">
        <f>""</f>
        <v/>
      </c>
      <c r="M7760" t="s">
        <v>68</v>
      </c>
      <c r="N7760" t="str">
        <f t="shared" si="766"/>
        <v>FOR</v>
      </c>
      <c r="O7760" t="s">
        <v>69</v>
      </c>
      <c r="P7760" s="3" t="s">
        <v>78</v>
      </c>
      <c r="Q7760">
        <v>2012</v>
      </c>
      <c r="R7760" s="2">
        <v>41271</v>
      </c>
      <c r="S7760" s="2">
        <v>41795</v>
      </c>
      <c r="T7760" s="2">
        <v>41795</v>
      </c>
      <c r="U7760" s="2">
        <v>41885</v>
      </c>
      <c r="V7760" t="s">
        <v>71</v>
      </c>
      <c r="W7760" t="str">
        <f>"            98398474"</f>
        <v xml:space="preserve">            98398474</v>
      </c>
      <c r="X7760" s="1">
        <v>2219.0100000000002</v>
      </c>
      <c r="Y7760">
        <v>0</v>
      </c>
      <c r="Z7760" s="5">
        <v>2219.0100000000002</v>
      </c>
      <c r="AA7760">
        <v>804</v>
      </c>
      <c r="AB7760" s="5">
        <v>1784084.04</v>
      </c>
      <c r="AC7760" s="1">
        <v>2219.0100000000002</v>
      </c>
      <c r="AD7760">
        <v>804</v>
      </c>
      <c r="AE7760" s="1">
        <v>1784084.04</v>
      </c>
      <c r="AF7760">
        <v>0</v>
      </c>
      <c r="AJ7760">
        <v>0</v>
      </c>
      <c r="AK7760">
        <v>0</v>
      </c>
      <c r="AL7760">
        <v>0</v>
      </c>
      <c r="AM7760">
        <v>0</v>
      </c>
      <c r="AN7760">
        <v>0</v>
      </c>
      <c r="AO7760">
        <v>0</v>
      </c>
      <c r="AP7760" s="2">
        <v>42746</v>
      </c>
      <c r="AQ7760" t="s">
        <v>72</v>
      </c>
      <c r="AR7760" t="s">
        <v>72</v>
      </c>
      <c r="AS7760">
        <v>3098</v>
      </c>
      <c r="AT7760" s="4">
        <v>42689</v>
      </c>
      <c r="AU7760" t="s">
        <v>73</v>
      </c>
      <c r="AV7760">
        <v>3098</v>
      </c>
      <c r="AW7760" s="4">
        <v>42689</v>
      </c>
      <c r="BD7760">
        <v>0</v>
      </c>
      <c r="BN7760" t="s">
        <v>74</v>
      </c>
    </row>
    <row r="7761" spans="1:66" hidden="1">
      <c r="A7761">
        <v>104489</v>
      </c>
      <c r="B7761" s="3" t="s">
        <v>669</v>
      </c>
      <c r="C7761" s="1">
        <v>43300101</v>
      </c>
      <c r="D7761" t="s">
        <v>67</v>
      </c>
      <c r="H7761" t="str">
        <f t="shared" ref="H7761:I7780" si="770">"07854330631"</f>
        <v>07854330631</v>
      </c>
      <c r="I7761" t="str">
        <f t="shared" si="770"/>
        <v>07854330631</v>
      </c>
      <c r="K7761" t="str">
        <f>""</f>
        <v/>
      </c>
      <c r="M7761" t="s">
        <v>68</v>
      </c>
      <c r="N7761" t="str">
        <f t="shared" si="766"/>
        <v>FOR</v>
      </c>
      <c r="O7761" t="s">
        <v>69</v>
      </c>
      <c r="P7761" s="3" t="s">
        <v>70</v>
      </c>
      <c r="Q7761">
        <v>2015</v>
      </c>
      <c r="R7761" s="2">
        <v>42058</v>
      </c>
      <c r="S7761" s="2">
        <v>42061</v>
      </c>
      <c r="T7761" s="2">
        <v>42061</v>
      </c>
      <c r="U7761" s="2">
        <v>42121</v>
      </c>
      <c r="V7761" t="s">
        <v>71</v>
      </c>
      <c r="W7761" t="str">
        <f>"                  44"</f>
        <v xml:space="preserve">                  44</v>
      </c>
      <c r="X7761">
        <v>884</v>
      </c>
      <c r="Y7761">
        <v>0</v>
      </c>
      <c r="Z7761"/>
      <c r="AB7761"/>
      <c r="AC7761">
        <v>850</v>
      </c>
      <c r="AD7761">
        <v>287</v>
      </c>
      <c r="AE7761" s="1">
        <v>243950</v>
      </c>
      <c r="AF7761">
        <v>0</v>
      </c>
      <c r="AJ7761">
        <v>0</v>
      </c>
      <c r="AK7761">
        <v>0</v>
      </c>
      <c r="AL7761">
        <v>0</v>
      </c>
      <c r="AM7761">
        <v>0</v>
      </c>
      <c r="AN7761">
        <v>0</v>
      </c>
      <c r="AO7761">
        <v>0</v>
      </c>
      <c r="AP7761" s="2">
        <v>42746</v>
      </c>
      <c r="AQ7761" t="s">
        <v>72</v>
      </c>
      <c r="AR7761" t="s">
        <v>72</v>
      </c>
      <c r="AS7761">
        <v>322</v>
      </c>
      <c r="AT7761" s="4">
        <v>42408</v>
      </c>
      <c r="AU7761" t="s">
        <v>73</v>
      </c>
      <c r="AV7761">
        <v>322</v>
      </c>
      <c r="AW7761" s="4">
        <v>42408</v>
      </c>
      <c r="BD7761">
        <v>0</v>
      </c>
      <c r="BN7761" t="s">
        <v>74</v>
      </c>
    </row>
    <row r="7762" spans="1:66" hidden="1">
      <c r="A7762">
        <v>104489</v>
      </c>
      <c r="B7762" s="3" t="s">
        <v>669</v>
      </c>
      <c r="C7762" s="1">
        <v>43300101</v>
      </c>
      <c r="D7762" t="s">
        <v>67</v>
      </c>
      <c r="H7762" t="str">
        <f t="shared" si="770"/>
        <v>07854330631</v>
      </c>
      <c r="I7762" t="str">
        <f t="shared" si="770"/>
        <v>07854330631</v>
      </c>
      <c r="K7762" t="str">
        <f>""</f>
        <v/>
      </c>
      <c r="M7762" t="s">
        <v>68</v>
      </c>
      <c r="N7762" t="str">
        <f t="shared" si="766"/>
        <v>FOR</v>
      </c>
      <c r="O7762" t="s">
        <v>69</v>
      </c>
      <c r="P7762" s="3" t="s">
        <v>70</v>
      </c>
      <c r="Q7762">
        <v>2015</v>
      </c>
      <c r="R7762" s="2">
        <v>42072</v>
      </c>
      <c r="S7762" s="2">
        <v>42081</v>
      </c>
      <c r="T7762" s="2">
        <v>42081</v>
      </c>
      <c r="U7762" s="2">
        <v>42141</v>
      </c>
      <c r="V7762" t="s">
        <v>71</v>
      </c>
      <c r="W7762" t="str">
        <f>"                  86"</f>
        <v xml:space="preserve">                  86</v>
      </c>
      <c r="X7762">
        <v>884</v>
      </c>
      <c r="Y7762">
        <v>0</v>
      </c>
      <c r="Z7762"/>
      <c r="AB7762"/>
      <c r="AC7762">
        <v>850</v>
      </c>
      <c r="AD7762">
        <v>274</v>
      </c>
      <c r="AE7762" s="1">
        <v>232900</v>
      </c>
      <c r="AF7762">
        <v>0</v>
      </c>
      <c r="AJ7762">
        <v>0</v>
      </c>
      <c r="AK7762">
        <v>0</v>
      </c>
      <c r="AL7762">
        <v>0</v>
      </c>
      <c r="AM7762">
        <v>0</v>
      </c>
      <c r="AN7762">
        <v>0</v>
      </c>
      <c r="AO7762">
        <v>0</v>
      </c>
      <c r="AP7762" s="2">
        <v>42746</v>
      </c>
      <c r="AQ7762" t="s">
        <v>72</v>
      </c>
      <c r="AR7762" t="s">
        <v>72</v>
      </c>
      <c r="AS7762">
        <v>357</v>
      </c>
      <c r="AT7762" s="4">
        <v>42415</v>
      </c>
      <c r="AU7762" t="s">
        <v>73</v>
      </c>
      <c r="AV7762">
        <v>357</v>
      </c>
      <c r="AW7762" s="4">
        <v>42415</v>
      </c>
      <c r="BD7762">
        <v>0</v>
      </c>
      <c r="BN7762" t="s">
        <v>74</v>
      </c>
    </row>
    <row r="7763" spans="1:66" hidden="1">
      <c r="A7763">
        <v>104489</v>
      </c>
      <c r="B7763" s="3" t="s">
        <v>669</v>
      </c>
      <c r="C7763" s="1">
        <v>43300101</v>
      </c>
      <c r="D7763" t="s">
        <v>67</v>
      </c>
      <c r="H7763" t="str">
        <f t="shared" si="770"/>
        <v>07854330631</v>
      </c>
      <c r="I7763" t="str">
        <f t="shared" si="770"/>
        <v>07854330631</v>
      </c>
      <c r="K7763" t="str">
        <f>""</f>
        <v/>
      </c>
      <c r="M7763" t="s">
        <v>68</v>
      </c>
      <c r="N7763" t="str">
        <f t="shared" si="766"/>
        <v>FOR</v>
      </c>
      <c r="O7763" t="s">
        <v>69</v>
      </c>
      <c r="P7763" s="3" t="s">
        <v>70</v>
      </c>
      <c r="Q7763">
        <v>2015</v>
      </c>
      <c r="R7763" s="2">
        <v>42072</v>
      </c>
      <c r="S7763" s="2">
        <v>42081</v>
      </c>
      <c r="T7763" s="2">
        <v>42081</v>
      </c>
      <c r="U7763" s="2">
        <v>42141</v>
      </c>
      <c r="V7763" t="s">
        <v>71</v>
      </c>
      <c r="W7763" t="str">
        <f>"                  87"</f>
        <v xml:space="preserve">                  87</v>
      </c>
      <c r="X7763">
        <v>624</v>
      </c>
      <c r="Y7763">
        <v>0</v>
      </c>
      <c r="Z7763"/>
      <c r="AB7763"/>
      <c r="AC7763">
        <v>600</v>
      </c>
      <c r="AD7763">
        <v>274</v>
      </c>
      <c r="AE7763" s="1">
        <v>164400</v>
      </c>
      <c r="AF7763">
        <v>0</v>
      </c>
      <c r="AJ7763">
        <v>0</v>
      </c>
      <c r="AK7763">
        <v>0</v>
      </c>
      <c r="AL7763">
        <v>0</v>
      </c>
      <c r="AM7763">
        <v>0</v>
      </c>
      <c r="AN7763">
        <v>0</v>
      </c>
      <c r="AO7763">
        <v>0</v>
      </c>
      <c r="AP7763" s="2">
        <v>42746</v>
      </c>
      <c r="AQ7763" t="s">
        <v>72</v>
      </c>
      <c r="AR7763" t="s">
        <v>72</v>
      </c>
      <c r="AS7763">
        <v>357</v>
      </c>
      <c r="AT7763" s="4">
        <v>42415</v>
      </c>
      <c r="AU7763" t="s">
        <v>73</v>
      </c>
      <c r="AV7763">
        <v>357</v>
      </c>
      <c r="AW7763" s="4">
        <v>42415</v>
      </c>
      <c r="BD7763">
        <v>0</v>
      </c>
      <c r="BN7763" t="s">
        <v>74</v>
      </c>
    </row>
    <row r="7764" spans="1:66" hidden="1">
      <c r="A7764">
        <v>104489</v>
      </c>
      <c r="B7764" s="3" t="s">
        <v>669</v>
      </c>
      <c r="C7764" s="1">
        <v>43300101</v>
      </c>
      <c r="D7764" t="s">
        <v>67</v>
      </c>
      <c r="H7764" t="str">
        <f t="shared" si="770"/>
        <v>07854330631</v>
      </c>
      <c r="I7764" t="str">
        <f t="shared" si="770"/>
        <v>07854330631</v>
      </c>
      <c r="K7764" t="str">
        <f>""</f>
        <v/>
      </c>
      <c r="M7764" t="s">
        <v>68</v>
      </c>
      <c r="N7764" t="str">
        <f t="shared" si="766"/>
        <v>FOR</v>
      </c>
      <c r="O7764" t="s">
        <v>69</v>
      </c>
      <c r="P7764" s="3" t="s">
        <v>70</v>
      </c>
      <c r="Q7764">
        <v>2015</v>
      </c>
      <c r="R7764" s="2">
        <v>42072</v>
      </c>
      <c r="S7764" s="2">
        <v>42081</v>
      </c>
      <c r="T7764" s="2">
        <v>42081</v>
      </c>
      <c r="U7764" s="2">
        <v>42141</v>
      </c>
      <c r="V7764" t="s">
        <v>71</v>
      </c>
      <c r="W7764" t="str">
        <f>"                  88"</f>
        <v xml:space="preserve">                  88</v>
      </c>
      <c r="X7764">
        <v>624</v>
      </c>
      <c r="Y7764">
        <v>0</v>
      </c>
      <c r="Z7764"/>
      <c r="AB7764"/>
      <c r="AC7764">
        <v>600</v>
      </c>
      <c r="AD7764">
        <v>274</v>
      </c>
      <c r="AE7764" s="1">
        <v>164400</v>
      </c>
      <c r="AF7764">
        <v>0</v>
      </c>
      <c r="AJ7764">
        <v>0</v>
      </c>
      <c r="AK7764">
        <v>0</v>
      </c>
      <c r="AL7764">
        <v>0</v>
      </c>
      <c r="AM7764">
        <v>0</v>
      </c>
      <c r="AN7764">
        <v>0</v>
      </c>
      <c r="AO7764">
        <v>0</v>
      </c>
      <c r="AP7764" s="2">
        <v>42746</v>
      </c>
      <c r="AQ7764" t="s">
        <v>72</v>
      </c>
      <c r="AR7764" t="s">
        <v>72</v>
      </c>
      <c r="AS7764">
        <v>357</v>
      </c>
      <c r="AT7764" s="4">
        <v>42415</v>
      </c>
      <c r="AU7764" t="s">
        <v>73</v>
      </c>
      <c r="AV7764">
        <v>357</v>
      </c>
      <c r="AW7764" s="4">
        <v>42415</v>
      </c>
      <c r="BD7764">
        <v>0</v>
      </c>
      <c r="BN7764" t="s">
        <v>74</v>
      </c>
    </row>
    <row r="7765" spans="1:66" hidden="1">
      <c r="A7765">
        <v>104489</v>
      </c>
      <c r="B7765" s="3" t="s">
        <v>669</v>
      </c>
      <c r="C7765" s="1">
        <v>43300101</v>
      </c>
      <c r="D7765" t="s">
        <v>67</v>
      </c>
      <c r="H7765" t="str">
        <f t="shared" si="770"/>
        <v>07854330631</v>
      </c>
      <c r="I7765" t="str">
        <f t="shared" si="770"/>
        <v>07854330631</v>
      </c>
      <c r="K7765" t="str">
        <f>""</f>
        <v/>
      </c>
      <c r="M7765" t="s">
        <v>68</v>
      </c>
      <c r="N7765" t="str">
        <f t="shared" si="766"/>
        <v>FOR</v>
      </c>
      <c r="O7765" t="s">
        <v>69</v>
      </c>
      <c r="P7765" s="3" t="s">
        <v>70</v>
      </c>
      <c r="Q7765">
        <v>2015</v>
      </c>
      <c r="R7765" s="2">
        <v>42072</v>
      </c>
      <c r="S7765" s="2">
        <v>42081</v>
      </c>
      <c r="T7765" s="2">
        <v>42081</v>
      </c>
      <c r="U7765" s="2">
        <v>42141</v>
      </c>
      <c r="V7765" t="s">
        <v>71</v>
      </c>
      <c r="W7765" t="str">
        <f>"                  91"</f>
        <v xml:space="preserve">                  91</v>
      </c>
      <c r="X7765">
        <v>145.6</v>
      </c>
      <c r="Y7765">
        <v>0</v>
      </c>
      <c r="Z7765"/>
      <c r="AB7765"/>
      <c r="AC7765">
        <v>140</v>
      </c>
      <c r="AD7765">
        <v>274</v>
      </c>
      <c r="AE7765" s="1">
        <v>38360</v>
      </c>
      <c r="AF7765">
        <v>0</v>
      </c>
      <c r="AJ7765">
        <v>0</v>
      </c>
      <c r="AK7765">
        <v>0</v>
      </c>
      <c r="AL7765">
        <v>0</v>
      </c>
      <c r="AM7765">
        <v>0</v>
      </c>
      <c r="AN7765">
        <v>0</v>
      </c>
      <c r="AO7765">
        <v>0</v>
      </c>
      <c r="AP7765" s="2">
        <v>42746</v>
      </c>
      <c r="AQ7765" t="s">
        <v>72</v>
      </c>
      <c r="AR7765" t="s">
        <v>72</v>
      </c>
      <c r="AS7765">
        <v>357</v>
      </c>
      <c r="AT7765" s="4">
        <v>42415</v>
      </c>
      <c r="AU7765" t="s">
        <v>73</v>
      </c>
      <c r="AV7765">
        <v>357</v>
      </c>
      <c r="AW7765" s="4">
        <v>42415</v>
      </c>
      <c r="BD7765">
        <v>0</v>
      </c>
      <c r="BN7765" t="s">
        <v>74</v>
      </c>
    </row>
    <row r="7766" spans="1:66" hidden="1">
      <c r="A7766">
        <v>104489</v>
      </c>
      <c r="B7766" s="3" t="s">
        <v>669</v>
      </c>
      <c r="C7766" s="1">
        <v>43300101</v>
      </c>
      <c r="D7766" t="s">
        <v>67</v>
      </c>
      <c r="H7766" t="str">
        <f t="shared" si="770"/>
        <v>07854330631</v>
      </c>
      <c r="I7766" t="str">
        <f t="shared" si="770"/>
        <v>07854330631</v>
      </c>
      <c r="K7766" t="str">
        <f>""</f>
        <v/>
      </c>
      <c r="M7766" t="s">
        <v>68</v>
      </c>
      <c r="N7766" t="str">
        <f t="shared" si="766"/>
        <v>FOR</v>
      </c>
      <c r="O7766" t="s">
        <v>69</v>
      </c>
      <c r="P7766" s="3" t="s">
        <v>70</v>
      </c>
      <c r="Q7766">
        <v>2015</v>
      </c>
      <c r="R7766" s="2">
        <v>42072</v>
      </c>
      <c r="S7766" s="2">
        <v>42081</v>
      </c>
      <c r="T7766" s="2">
        <v>42081</v>
      </c>
      <c r="U7766" s="2">
        <v>42141</v>
      </c>
      <c r="V7766" t="s">
        <v>71</v>
      </c>
      <c r="W7766" t="str">
        <f>"                  92"</f>
        <v xml:space="preserve">                  92</v>
      </c>
      <c r="X7766">
        <v>145.6</v>
      </c>
      <c r="Y7766">
        <v>0</v>
      </c>
      <c r="Z7766"/>
      <c r="AB7766"/>
      <c r="AC7766">
        <v>140</v>
      </c>
      <c r="AD7766">
        <v>274</v>
      </c>
      <c r="AE7766" s="1">
        <v>38360</v>
      </c>
      <c r="AF7766">
        <v>0</v>
      </c>
      <c r="AJ7766">
        <v>0</v>
      </c>
      <c r="AK7766">
        <v>0</v>
      </c>
      <c r="AL7766">
        <v>0</v>
      </c>
      <c r="AM7766">
        <v>0</v>
      </c>
      <c r="AN7766">
        <v>0</v>
      </c>
      <c r="AO7766">
        <v>0</v>
      </c>
      <c r="AP7766" s="2">
        <v>42746</v>
      </c>
      <c r="AQ7766" t="s">
        <v>72</v>
      </c>
      <c r="AR7766" t="s">
        <v>72</v>
      </c>
      <c r="AS7766">
        <v>357</v>
      </c>
      <c r="AT7766" s="4">
        <v>42415</v>
      </c>
      <c r="AU7766" t="s">
        <v>73</v>
      </c>
      <c r="AV7766">
        <v>357</v>
      </c>
      <c r="AW7766" s="4">
        <v>42415</v>
      </c>
      <c r="BD7766">
        <v>0</v>
      </c>
      <c r="BN7766" t="s">
        <v>74</v>
      </c>
    </row>
    <row r="7767" spans="1:66" hidden="1">
      <c r="A7767">
        <v>104489</v>
      </c>
      <c r="B7767" s="3" t="s">
        <v>669</v>
      </c>
      <c r="C7767" s="1">
        <v>43300101</v>
      </c>
      <c r="D7767" t="s">
        <v>67</v>
      </c>
      <c r="H7767" t="str">
        <f t="shared" si="770"/>
        <v>07854330631</v>
      </c>
      <c r="I7767" t="str">
        <f t="shared" si="770"/>
        <v>07854330631</v>
      </c>
      <c r="K7767" t="str">
        <f>""</f>
        <v/>
      </c>
      <c r="M7767" t="s">
        <v>68</v>
      </c>
      <c r="N7767" t="str">
        <f t="shared" si="766"/>
        <v>FOR</v>
      </c>
      <c r="O7767" t="s">
        <v>69</v>
      </c>
      <c r="P7767" s="3" t="s">
        <v>70</v>
      </c>
      <c r="Q7767">
        <v>2015</v>
      </c>
      <c r="R7767" s="2">
        <v>42072</v>
      </c>
      <c r="S7767" s="2">
        <v>42081</v>
      </c>
      <c r="T7767" s="2">
        <v>42081</v>
      </c>
      <c r="U7767" s="2">
        <v>42141</v>
      </c>
      <c r="V7767" t="s">
        <v>71</v>
      </c>
      <c r="W7767" t="str">
        <f>"                  95"</f>
        <v xml:space="preserve">                  95</v>
      </c>
      <c r="X7767">
        <v>624</v>
      </c>
      <c r="Y7767">
        <v>0</v>
      </c>
      <c r="Z7767"/>
      <c r="AB7767"/>
      <c r="AC7767">
        <v>600</v>
      </c>
      <c r="AD7767">
        <v>274</v>
      </c>
      <c r="AE7767" s="1">
        <v>164400</v>
      </c>
      <c r="AF7767">
        <v>0</v>
      </c>
      <c r="AJ7767">
        <v>0</v>
      </c>
      <c r="AK7767">
        <v>0</v>
      </c>
      <c r="AL7767">
        <v>0</v>
      </c>
      <c r="AM7767">
        <v>0</v>
      </c>
      <c r="AN7767">
        <v>0</v>
      </c>
      <c r="AO7767">
        <v>0</v>
      </c>
      <c r="AP7767" s="2">
        <v>42746</v>
      </c>
      <c r="AQ7767" t="s">
        <v>72</v>
      </c>
      <c r="AR7767" t="s">
        <v>72</v>
      </c>
      <c r="AS7767">
        <v>357</v>
      </c>
      <c r="AT7767" s="4">
        <v>42415</v>
      </c>
      <c r="AU7767" t="s">
        <v>73</v>
      </c>
      <c r="AV7767">
        <v>357</v>
      </c>
      <c r="AW7767" s="4">
        <v>42415</v>
      </c>
      <c r="BD7767">
        <v>0</v>
      </c>
      <c r="BN7767" t="s">
        <v>74</v>
      </c>
    </row>
    <row r="7768" spans="1:66" hidden="1">
      <c r="A7768">
        <v>104489</v>
      </c>
      <c r="B7768" s="3" t="s">
        <v>669</v>
      </c>
      <c r="C7768" s="1">
        <v>43300101</v>
      </c>
      <c r="D7768" t="s">
        <v>67</v>
      </c>
      <c r="H7768" t="str">
        <f t="shared" si="770"/>
        <v>07854330631</v>
      </c>
      <c r="I7768" t="str">
        <f t="shared" si="770"/>
        <v>07854330631</v>
      </c>
      <c r="K7768" t="str">
        <f>""</f>
        <v/>
      </c>
      <c r="M7768" t="s">
        <v>68</v>
      </c>
      <c r="N7768" t="str">
        <f t="shared" si="766"/>
        <v>FOR</v>
      </c>
      <c r="O7768" t="s">
        <v>69</v>
      </c>
      <c r="P7768" s="3" t="s">
        <v>70</v>
      </c>
      <c r="Q7768">
        <v>2015</v>
      </c>
      <c r="R7768" s="2">
        <v>42072</v>
      </c>
      <c r="S7768" s="2">
        <v>42081</v>
      </c>
      <c r="T7768" s="2">
        <v>42081</v>
      </c>
      <c r="U7768" s="2">
        <v>42141</v>
      </c>
      <c r="V7768" t="s">
        <v>71</v>
      </c>
      <c r="W7768" t="str">
        <f>"                  96"</f>
        <v xml:space="preserve">                  96</v>
      </c>
      <c r="X7768">
        <v>624</v>
      </c>
      <c r="Y7768">
        <v>0</v>
      </c>
      <c r="Z7768"/>
      <c r="AB7768"/>
      <c r="AC7768">
        <v>600</v>
      </c>
      <c r="AD7768">
        <v>274</v>
      </c>
      <c r="AE7768" s="1">
        <v>164400</v>
      </c>
      <c r="AF7768">
        <v>0</v>
      </c>
      <c r="AJ7768">
        <v>0</v>
      </c>
      <c r="AK7768">
        <v>0</v>
      </c>
      <c r="AL7768">
        <v>0</v>
      </c>
      <c r="AM7768">
        <v>0</v>
      </c>
      <c r="AN7768">
        <v>0</v>
      </c>
      <c r="AO7768">
        <v>0</v>
      </c>
      <c r="AP7768" s="2">
        <v>42746</v>
      </c>
      <c r="AQ7768" t="s">
        <v>72</v>
      </c>
      <c r="AR7768" t="s">
        <v>72</v>
      </c>
      <c r="AS7768">
        <v>357</v>
      </c>
      <c r="AT7768" s="4">
        <v>42415</v>
      </c>
      <c r="AU7768" t="s">
        <v>73</v>
      </c>
      <c r="AV7768">
        <v>357</v>
      </c>
      <c r="AW7768" s="4">
        <v>42415</v>
      </c>
      <c r="BD7768">
        <v>0</v>
      </c>
      <c r="BN7768" t="s">
        <v>74</v>
      </c>
    </row>
    <row r="7769" spans="1:66" hidden="1">
      <c r="A7769">
        <v>104489</v>
      </c>
      <c r="B7769" s="3" t="s">
        <v>669</v>
      </c>
      <c r="C7769" s="1">
        <v>43300101</v>
      </c>
      <c r="D7769" t="s">
        <v>67</v>
      </c>
      <c r="H7769" t="str">
        <f t="shared" si="770"/>
        <v>07854330631</v>
      </c>
      <c r="I7769" t="str">
        <f t="shared" si="770"/>
        <v>07854330631</v>
      </c>
      <c r="K7769" t="str">
        <f>""</f>
        <v/>
      </c>
      <c r="M7769" t="s">
        <v>68</v>
      </c>
      <c r="N7769" t="str">
        <f t="shared" si="766"/>
        <v>FOR</v>
      </c>
      <c r="O7769" t="s">
        <v>69</v>
      </c>
      <c r="P7769" s="3" t="s">
        <v>70</v>
      </c>
      <c r="Q7769">
        <v>2015</v>
      </c>
      <c r="R7769" s="2">
        <v>42090</v>
      </c>
      <c r="S7769" s="2">
        <v>42097</v>
      </c>
      <c r="T7769" s="2">
        <v>42097</v>
      </c>
      <c r="U7769" s="2">
        <v>42157</v>
      </c>
      <c r="V7769" t="s">
        <v>71</v>
      </c>
      <c r="W7769" t="str">
        <f>"                 122"</f>
        <v xml:space="preserve">                 122</v>
      </c>
      <c r="X7769">
        <v>884</v>
      </c>
      <c r="Y7769">
        <v>0</v>
      </c>
      <c r="Z7769"/>
      <c r="AB7769"/>
      <c r="AC7769">
        <v>850</v>
      </c>
      <c r="AD7769">
        <v>258</v>
      </c>
      <c r="AE7769" s="1">
        <v>219300</v>
      </c>
      <c r="AF7769">
        <v>0</v>
      </c>
      <c r="AJ7769">
        <v>0</v>
      </c>
      <c r="AK7769">
        <v>0</v>
      </c>
      <c r="AL7769">
        <v>0</v>
      </c>
      <c r="AM7769">
        <v>0</v>
      </c>
      <c r="AN7769">
        <v>0</v>
      </c>
      <c r="AO7769">
        <v>0</v>
      </c>
      <c r="AP7769" s="2">
        <v>42746</v>
      </c>
      <c r="AQ7769" t="s">
        <v>72</v>
      </c>
      <c r="AR7769" t="s">
        <v>72</v>
      </c>
      <c r="AS7769">
        <v>357</v>
      </c>
      <c r="AT7769" s="4">
        <v>42415</v>
      </c>
      <c r="AU7769" t="s">
        <v>73</v>
      </c>
      <c r="AV7769">
        <v>357</v>
      </c>
      <c r="AW7769" s="4">
        <v>42415</v>
      </c>
      <c r="BD7769">
        <v>0</v>
      </c>
      <c r="BN7769" t="s">
        <v>74</v>
      </c>
    </row>
    <row r="7770" spans="1:66" hidden="1">
      <c r="A7770">
        <v>104489</v>
      </c>
      <c r="B7770" s="3" t="s">
        <v>669</v>
      </c>
      <c r="C7770" s="1">
        <v>43300101</v>
      </c>
      <c r="D7770" t="s">
        <v>67</v>
      </c>
      <c r="H7770" t="str">
        <f t="shared" si="770"/>
        <v>07854330631</v>
      </c>
      <c r="I7770" t="str">
        <f t="shared" si="770"/>
        <v>07854330631</v>
      </c>
      <c r="K7770" t="str">
        <f>""</f>
        <v/>
      </c>
      <c r="M7770" t="s">
        <v>68</v>
      </c>
      <c r="N7770" t="str">
        <f t="shared" si="766"/>
        <v>FOR</v>
      </c>
      <c r="O7770" t="s">
        <v>69</v>
      </c>
      <c r="P7770" s="3" t="s">
        <v>70</v>
      </c>
      <c r="Q7770">
        <v>2015</v>
      </c>
      <c r="R7770" s="2">
        <v>42090</v>
      </c>
      <c r="S7770" s="2">
        <v>42097</v>
      </c>
      <c r="T7770" s="2">
        <v>42097</v>
      </c>
      <c r="U7770" s="2">
        <v>42157</v>
      </c>
      <c r="V7770" t="s">
        <v>71</v>
      </c>
      <c r="W7770" t="str">
        <f>"                 123"</f>
        <v xml:space="preserve">                 123</v>
      </c>
      <c r="X7770">
        <v>884</v>
      </c>
      <c r="Y7770">
        <v>0</v>
      </c>
      <c r="Z7770"/>
      <c r="AB7770"/>
      <c r="AC7770">
        <v>850</v>
      </c>
      <c r="AD7770">
        <v>258</v>
      </c>
      <c r="AE7770" s="1">
        <v>219300</v>
      </c>
      <c r="AF7770">
        <v>0</v>
      </c>
      <c r="AJ7770">
        <v>0</v>
      </c>
      <c r="AK7770">
        <v>0</v>
      </c>
      <c r="AL7770">
        <v>0</v>
      </c>
      <c r="AM7770">
        <v>0</v>
      </c>
      <c r="AN7770">
        <v>0</v>
      </c>
      <c r="AO7770">
        <v>0</v>
      </c>
      <c r="AP7770" s="2">
        <v>42746</v>
      </c>
      <c r="AQ7770" t="s">
        <v>72</v>
      </c>
      <c r="AR7770" t="s">
        <v>72</v>
      </c>
      <c r="AS7770">
        <v>357</v>
      </c>
      <c r="AT7770" s="4">
        <v>42415</v>
      </c>
      <c r="AU7770" t="s">
        <v>73</v>
      </c>
      <c r="AV7770">
        <v>357</v>
      </c>
      <c r="AW7770" s="4">
        <v>42415</v>
      </c>
      <c r="BD7770">
        <v>0</v>
      </c>
      <c r="BN7770" t="s">
        <v>74</v>
      </c>
    </row>
    <row r="7771" spans="1:66" hidden="1">
      <c r="A7771">
        <v>104489</v>
      </c>
      <c r="B7771" s="3" t="s">
        <v>669</v>
      </c>
      <c r="C7771" s="1">
        <v>43300101</v>
      </c>
      <c r="D7771" t="s">
        <v>67</v>
      </c>
      <c r="H7771" t="str">
        <f t="shared" si="770"/>
        <v>07854330631</v>
      </c>
      <c r="I7771" t="str">
        <f t="shared" si="770"/>
        <v>07854330631</v>
      </c>
      <c r="K7771" t="str">
        <f>""</f>
        <v/>
      </c>
      <c r="M7771" t="s">
        <v>68</v>
      </c>
      <c r="N7771" t="str">
        <f t="shared" si="766"/>
        <v>FOR</v>
      </c>
      <c r="O7771" t="s">
        <v>69</v>
      </c>
      <c r="P7771" s="3" t="s">
        <v>70</v>
      </c>
      <c r="Q7771">
        <v>2015</v>
      </c>
      <c r="R7771" s="2">
        <v>42090</v>
      </c>
      <c r="S7771" s="2">
        <v>42097</v>
      </c>
      <c r="T7771" s="2">
        <v>42097</v>
      </c>
      <c r="U7771" s="2">
        <v>42157</v>
      </c>
      <c r="V7771" t="s">
        <v>71</v>
      </c>
      <c r="W7771" t="str">
        <f>"                 124"</f>
        <v xml:space="preserve">                 124</v>
      </c>
      <c r="X7771">
        <v>884</v>
      </c>
      <c r="Y7771">
        <v>0</v>
      </c>
      <c r="Z7771"/>
      <c r="AB7771"/>
      <c r="AC7771">
        <v>850</v>
      </c>
      <c r="AD7771">
        <v>258</v>
      </c>
      <c r="AE7771" s="1">
        <v>219300</v>
      </c>
      <c r="AF7771">
        <v>0</v>
      </c>
      <c r="AJ7771">
        <v>0</v>
      </c>
      <c r="AK7771">
        <v>0</v>
      </c>
      <c r="AL7771">
        <v>0</v>
      </c>
      <c r="AM7771">
        <v>0</v>
      </c>
      <c r="AN7771">
        <v>0</v>
      </c>
      <c r="AO7771">
        <v>0</v>
      </c>
      <c r="AP7771" s="2">
        <v>42746</v>
      </c>
      <c r="AQ7771" t="s">
        <v>72</v>
      </c>
      <c r="AR7771" t="s">
        <v>72</v>
      </c>
      <c r="AS7771">
        <v>357</v>
      </c>
      <c r="AT7771" s="4">
        <v>42415</v>
      </c>
      <c r="AU7771" t="s">
        <v>73</v>
      </c>
      <c r="AV7771">
        <v>357</v>
      </c>
      <c r="AW7771" s="4">
        <v>42415</v>
      </c>
      <c r="BD7771">
        <v>0</v>
      </c>
      <c r="BN7771" t="s">
        <v>74</v>
      </c>
    </row>
    <row r="7772" spans="1:66" hidden="1">
      <c r="A7772">
        <v>104489</v>
      </c>
      <c r="B7772" s="3" t="s">
        <v>669</v>
      </c>
      <c r="C7772" s="1">
        <v>43300101</v>
      </c>
      <c r="D7772" t="s">
        <v>67</v>
      </c>
      <c r="H7772" t="str">
        <f t="shared" si="770"/>
        <v>07854330631</v>
      </c>
      <c r="I7772" t="str">
        <f t="shared" si="770"/>
        <v>07854330631</v>
      </c>
      <c r="K7772" t="str">
        <f>""</f>
        <v/>
      </c>
      <c r="M7772" t="s">
        <v>68</v>
      </c>
      <c r="N7772" t="str">
        <f t="shared" si="766"/>
        <v>FOR</v>
      </c>
      <c r="O7772" t="s">
        <v>69</v>
      </c>
      <c r="P7772" s="3" t="s">
        <v>70</v>
      </c>
      <c r="Q7772">
        <v>2015</v>
      </c>
      <c r="R7772" s="2">
        <v>42090</v>
      </c>
      <c r="S7772" s="2">
        <v>42097</v>
      </c>
      <c r="T7772" s="2">
        <v>42097</v>
      </c>
      <c r="U7772" s="2">
        <v>42157</v>
      </c>
      <c r="V7772" t="s">
        <v>71</v>
      </c>
      <c r="W7772" t="str">
        <f>"                 125"</f>
        <v xml:space="preserve">                 125</v>
      </c>
      <c r="X7772">
        <v>884</v>
      </c>
      <c r="Y7772">
        <v>0</v>
      </c>
      <c r="Z7772"/>
      <c r="AB7772"/>
      <c r="AC7772">
        <v>850</v>
      </c>
      <c r="AD7772">
        <v>258</v>
      </c>
      <c r="AE7772" s="1">
        <v>219300</v>
      </c>
      <c r="AF7772">
        <v>0</v>
      </c>
      <c r="AJ7772">
        <v>0</v>
      </c>
      <c r="AK7772">
        <v>0</v>
      </c>
      <c r="AL7772">
        <v>0</v>
      </c>
      <c r="AM7772">
        <v>0</v>
      </c>
      <c r="AN7772">
        <v>0</v>
      </c>
      <c r="AO7772">
        <v>0</v>
      </c>
      <c r="AP7772" s="2">
        <v>42746</v>
      </c>
      <c r="AQ7772" t="s">
        <v>72</v>
      </c>
      <c r="AR7772" t="s">
        <v>72</v>
      </c>
      <c r="AS7772">
        <v>357</v>
      </c>
      <c r="AT7772" s="4">
        <v>42415</v>
      </c>
      <c r="AU7772" t="s">
        <v>73</v>
      </c>
      <c r="AV7772">
        <v>357</v>
      </c>
      <c r="AW7772" s="4">
        <v>42415</v>
      </c>
      <c r="BD7772">
        <v>0</v>
      </c>
      <c r="BN7772" t="s">
        <v>74</v>
      </c>
    </row>
    <row r="7773" spans="1:66" hidden="1">
      <c r="A7773">
        <v>104489</v>
      </c>
      <c r="B7773" s="3" t="s">
        <v>669</v>
      </c>
      <c r="C7773" s="1">
        <v>43300101</v>
      </c>
      <c r="D7773" t="s">
        <v>67</v>
      </c>
      <c r="H7773" t="str">
        <f t="shared" si="770"/>
        <v>07854330631</v>
      </c>
      <c r="I7773" t="str">
        <f t="shared" si="770"/>
        <v>07854330631</v>
      </c>
      <c r="K7773" t="str">
        <f>""</f>
        <v/>
      </c>
      <c r="M7773" t="s">
        <v>68</v>
      </c>
      <c r="N7773" t="str">
        <f t="shared" si="766"/>
        <v>FOR</v>
      </c>
      <c r="O7773" t="s">
        <v>69</v>
      </c>
      <c r="P7773" s="3" t="s">
        <v>70</v>
      </c>
      <c r="Q7773">
        <v>2015</v>
      </c>
      <c r="R7773" s="2">
        <v>42090</v>
      </c>
      <c r="S7773" s="2">
        <v>42097</v>
      </c>
      <c r="T7773" s="2">
        <v>42097</v>
      </c>
      <c r="U7773" s="2">
        <v>42157</v>
      </c>
      <c r="V7773" t="s">
        <v>71</v>
      </c>
      <c r="W7773" t="str">
        <f>"                 126"</f>
        <v xml:space="preserve">                 126</v>
      </c>
      <c r="X7773">
        <v>884</v>
      </c>
      <c r="Y7773">
        <v>0</v>
      </c>
      <c r="Z7773"/>
      <c r="AB7773"/>
      <c r="AC7773">
        <v>850</v>
      </c>
      <c r="AD7773">
        <v>258</v>
      </c>
      <c r="AE7773" s="1">
        <v>219300</v>
      </c>
      <c r="AF7773">
        <v>0</v>
      </c>
      <c r="AJ7773">
        <v>0</v>
      </c>
      <c r="AK7773">
        <v>0</v>
      </c>
      <c r="AL7773">
        <v>0</v>
      </c>
      <c r="AM7773">
        <v>0</v>
      </c>
      <c r="AN7773">
        <v>0</v>
      </c>
      <c r="AO7773">
        <v>0</v>
      </c>
      <c r="AP7773" s="2">
        <v>42746</v>
      </c>
      <c r="AQ7773" t="s">
        <v>72</v>
      </c>
      <c r="AR7773" t="s">
        <v>72</v>
      </c>
      <c r="AS7773">
        <v>357</v>
      </c>
      <c r="AT7773" s="4">
        <v>42415</v>
      </c>
      <c r="AU7773" t="s">
        <v>73</v>
      </c>
      <c r="AV7773">
        <v>357</v>
      </c>
      <c r="AW7773" s="4">
        <v>42415</v>
      </c>
      <c r="BD7773">
        <v>0</v>
      </c>
      <c r="BN7773" t="s">
        <v>74</v>
      </c>
    </row>
    <row r="7774" spans="1:66" hidden="1">
      <c r="A7774">
        <v>104489</v>
      </c>
      <c r="B7774" s="3" t="s">
        <v>669</v>
      </c>
      <c r="C7774" s="1">
        <v>43300101</v>
      </c>
      <c r="D7774" t="s">
        <v>67</v>
      </c>
      <c r="H7774" t="str">
        <f t="shared" si="770"/>
        <v>07854330631</v>
      </c>
      <c r="I7774" t="str">
        <f t="shared" si="770"/>
        <v>07854330631</v>
      </c>
      <c r="K7774" t="str">
        <f>""</f>
        <v/>
      </c>
      <c r="M7774" t="s">
        <v>68</v>
      </c>
      <c r="N7774" t="str">
        <f t="shared" si="766"/>
        <v>FOR</v>
      </c>
      <c r="O7774" t="s">
        <v>69</v>
      </c>
      <c r="P7774" s="3" t="s">
        <v>75</v>
      </c>
      <c r="Q7774">
        <v>2015</v>
      </c>
      <c r="R7774" s="2">
        <v>42101</v>
      </c>
      <c r="S7774" s="2">
        <v>42163</v>
      </c>
      <c r="T7774" s="2">
        <v>42142</v>
      </c>
      <c r="U7774" s="2">
        <v>42202</v>
      </c>
      <c r="V7774" t="s">
        <v>71</v>
      </c>
      <c r="W7774" t="str">
        <f>"              132/02"</f>
        <v xml:space="preserve">              132/02</v>
      </c>
      <c r="X7774">
        <v>884</v>
      </c>
      <c r="Y7774">
        <v>0</v>
      </c>
      <c r="Z7774"/>
      <c r="AB7774"/>
      <c r="AC7774">
        <v>850</v>
      </c>
      <c r="AD7774">
        <v>229</v>
      </c>
      <c r="AE7774" s="1">
        <v>194650</v>
      </c>
      <c r="AF7774">
        <v>0</v>
      </c>
      <c r="AJ7774">
        <v>0</v>
      </c>
      <c r="AK7774">
        <v>0</v>
      </c>
      <c r="AL7774">
        <v>0</v>
      </c>
      <c r="AM7774">
        <v>0</v>
      </c>
      <c r="AN7774">
        <v>0</v>
      </c>
      <c r="AO7774">
        <v>0</v>
      </c>
      <c r="AP7774" s="2">
        <v>42746</v>
      </c>
      <c r="AQ7774" t="s">
        <v>72</v>
      </c>
      <c r="AR7774" t="s">
        <v>72</v>
      </c>
      <c r="AS7774">
        <v>639</v>
      </c>
      <c r="AT7774" s="4">
        <v>42431</v>
      </c>
      <c r="AU7774" t="s">
        <v>73</v>
      </c>
      <c r="AV7774">
        <v>639</v>
      </c>
      <c r="AW7774" s="4">
        <v>42431</v>
      </c>
      <c r="BD7774">
        <v>0</v>
      </c>
      <c r="BN7774" t="s">
        <v>74</v>
      </c>
    </row>
    <row r="7775" spans="1:66" hidden="1">
      <c r="A7775">
        <v>104489</v>
      </c>
      <c r="B7775" s="3" t="s">
        <v>669</v>
      </c>
      <c r="C7775" s="1">
        <v>43300101</v>
      </c>
      <c r="D7775" t="s">
        <v>67</v>
      </c>
      <c r="H7775" t="str">
        <f t="shared" si="770"/>
        <v>07854330631</v>
      </c>
      <c r="I7775" t="str">
        <f t="shared" si="770"/>
        <v>07854330631</v>
      </c>
      <c r="K7775" t="str">
        <f>""</f>
        <v/>
      </c>
      <c r="M7775" t="s">
        <v>68</v>
      </c>
      <c r="N7775" t="str">
        <f t="shared" si="766"/>
        <v>FOR</v>
      </c>
      <c r="O7775" t="s">
        <v>69</v>
      </c>
      <c r="P7775" s="3" t="s">
        <v>75</v>
      </c>
      <c r="Q7775">
        <v>2015</v>
      </c>
      <c r="R7775" s="2">
        <v>42101</v>
      </c>
      <c r="S7775" s="2">
        <v>42163</v>
      </c>
      <c r="T7775" s="2">
        <v>42142</v>
      </c>
      <c r="U7775" s="2">
        <v>42202</v>
      </c>
      <c r="V7775" t="s">
        <v>71</v>
      </c>
      <c r="W7775" t="str">
        <f>"              133/02"</f>
        <v xml:space="preserve">              133/02</v>
      </c>
      <c r="X7775">
        <v>884</v>
      </c>
      <c r="Y7775">
        <v>0</v>
      </c>
      <c r="Z7775"/>
      <c r="AB7775"/>
      <c r="AC7775">
        <v>850</v>
      </c>
      <c r="AD7775">
        <v>229</v>
      </c>
      <c r="AE7775" s="1">
        <v>194650</v>
      </c>
      <c r="AF7775">
        <v>0</v>
      </c>
      <c r="AJ7775">
        <v>0</v>
      </c>
      <c r="AK7775">
        <v>0</v>
      </c>
      <c r="AL7775">
        <v>0</v>
      </c>
      <c r="AM7775">
        <v>0</v>
      </c>
      <c r="AN7775">
        <v>0</v>
      </c>
      <c r="AO7775">
        <v>0</v>
      </c>
      <c r="AP7775" s="2">
        <v>42746</v>
      </c>
      <c r="AQ7775" t="s">
        <v>72</v>
      </c>
      <c r="AR7775" t="s">
        <v>72</v>
      </c>
      <c r="AS7775">
        <v>639</v>
      </c>
      <c r="AT7775" s="4">
        <v>42431</v>
      </c>
      <c r="AU7775" t="s">
        <v>73</v>
      </c>
      <c r="AV7775">
        <v>639</v>
      </c>
      <c r="AW7775" s="4">
        <v>42431</v>
      </c>
      <c r="BD7775">
        <v>0</v>
      </c>
      <c r="BN7775" t="s">
        <v>74</v>
      </c>
    </row>
    <row r="7776" spans="1:66" hidden="1">
      <c r="A7776">
        <v>104489</v>
      </c>
      <c r="B7776" s="3" t="s">
        <v>669</v>
      </c>
      <c r="C7776" s="1">
        <v>43300101</v>
      </c>
      <c r="D7776" t="s">
        <v>67</v>
      </c>
      <c r="H7776" t="str">
        <f t="shared" si="770"/>
        <v>07854330631</v>
      </c>
      <c r="I7776" t="str">
        <f t="shared" si="770"/>
        <v>07854330631</v>
      </c>
      <c r="K7776" t="str">
        <f>""</f>
        <v/>
      </c>
      <c r="M7776" t="s">
        <v>68</v>
      </c>
      <c r="N7776" t="str">
        <f t="shared" si="766"/>
        <v>FOR</v>
      </c>
      <c r="O7776" t="s">
        <v>69</v>
      </c>
      <c r="P7776" s="3" t="s">
        <v>75</v>
      </c>
      <c r="Q7776">
        <v>2015</v>
      </c>
      <c r="R7776" s="2">
        <v>42101</v>
      </c>
      <c r="S7776" s="2">
        <v>42163</v>
      </c>
      <c r="T7776" s="2">
        <v>42142</v>
      </c>
      <c r="U7776" s="2">
        <v>42202</v>
      </c>
      <c r="V7776" t="s">
        <v>71</v>
      </c>
      <c r="W7776" t="str">
        <f>"              134/02"</f>
        <v xml:space="preserve">              134/02</v>
      </c>
      <c r="X7776">
        <v>884</v>
      </c>
      <c r="Y7776">
        <v>0</v>
      </c>
      <c r="Z7776"/>
      <c r="AB7776"/>
      <c r="AC7776">
        <v>850</v>
      </c>
      <c r="AD7776">
        <v>229</v>
      </c>
      <c r="AE7776" s="1">
        <v>194650</v>
      </c>
      <c r="AF7776">
        <v>0</v>
      </c>
      <c r="AJ7776">
        <v>0</v>
      </c>
      <c r="AK7776">
        <v>0</v>
      </c>
      <c r="AL7776">
        <v>0</v>
      </c>
      <c r="AM7776">
        <v>0</v>
      </c>
      <c r="AN7776">
        <v>0</v>
      </c>
      <c r="AO7776">
        <v>0</v>
      </c>
      <c r="AP7776" s="2">
        <v>42746</v>
      </c>
      <c r="AQ7776" t="s">
        <v>72</v>
      </c>
      <c r="AR7776" t="s">
        <v>72</v>
      </c>
      <c r="AS7776">
        <v>639</v>
      </c>
      <c r="AT7776" s="4">
        <v>42431</v>
      </c>
      <c r="AU7776" t="s">
        <v>73</v>
      </c>
      <c r="AV7776">
        <v>639</v>
      </c>
      <c r="AW7776" s="4">
        <v>42431</v>
      </c>
      <c r="BD7776">
        <v>0</v>
      </c>
      <c r="BN7776" t="s">
        <v>74</v>
      </c>
    </row>
    <row r="7777" spans="1:66" hidden="1">
      <c r="A7777">
        <v>104489</v>
      </c>
      <c r="B7777" s="3" t="s">
        <v>669</v>
      </c>
      <c r="C7777" s="1">
        <v>43300101</v>
      </c>
      <c r="D7777" t="s">
        <v>67</v>
      </c>
      <c r="H7777" t="str">
        <f t="shared" si="770"/>
        <v>07854330631</v>
      </c>
      <c r="I7777" t="str">
        <f t="shared" si="770"/>
        <v>07854330631</v>
      </c>
      <c r="K7777" t="str">
        <f>""</f>
        <v/>
      </c>
      <c r="M7777" t="s">
        <v>68</v>
      </c>
      <c r="N7777" t="str">
        <f t="shared" si="766"/>
        <v>FOR</v>
      </c>
      <c r="O7777" t="s">
        <v>69</v>
      </c>
      <c r="P7777" s="3" t="s">
        <v>75</v>
      </c>
      <c r="Q7777">
        <v>2015</v>
      </c>
      <c r="R7777" s="2">
        <v>42117</v>
      </c>
      <c r="S7777" s="2">
        <v>42163</v>
      </c>
      <c r="T7777" s="2">
        <v>42142</v>
      </c>
      <c r="U7777" s="2">
        <v>42202</v>
      </c>
      <c r="V7777" t="s">
        <v>71</v>
      </c>
      <c r="W7777" t="str">
        <f>"              156/02"</f>
        <v xml:space="preserve">              156/02</v>
      </c>
      <c r="X7777">
        <v>884</v>
      </c>
      <c r="Y7777">
        <v>0</v>
      </c>
      <c r="Z7777"/>
      <c r="AB7777"/>
      <c r="AC7777">
        <v>850</v>
      </c>
      <c r="AD7777">
        <v>229</v>
      </c>
      <c r="AE7777" s="1">
        <v>194650</v>
      </c>
      <c r="AF7777">
        <v>0</v>
      </c>
      <c r="AJ7777">
        <v>0</v>
      </c>
      <c r="AK7777">
        <v>0</v>
      </c>
      <c r="AL7777">
        <v>0</v>
      </c>
      <c r="AM7777">
        <v>0</v>
      </c>
      <c r="AN7777">
        <v>0</v>
      </c>
      <c r="AO7777">
        <v>0</v>
      </c>
      <c r="AP7777" s="2">
        <v>42746</v>
      </c>
      <c r="AQ7777" t="s">
        <v>72</v>
      </c>
      <c r="AR7777" t="s">
        <v>72</v>
      </c>
      <c r="AS7777">
        <v>639</v>
      </c>
      <c r="AT7777" s="4">
        <v>42431</v>
      </c>
      <c r="AU7777" t="s">
        <v>73</v>
      </c>
      <c r="AV7777">
        <v>639</v>
      </c>
      <c r="AW7777" s="4">
        <v>42431</v>
      </c>
      <c r="BD7777">
        <v>0</v>
      </c>
      <c r="BN7777" t="s">
        <v>74</v>
      </c>
    </row>
    <row r="7778" spans="1:66" hidden="1">
      <c r="A7778">
        <v>104489</v>
      </c>
      <c r="B7778" s="3" t="s">
        <v>669</v>
      </c>
      <c r="C7778" s="1">
        <v>43300101</v>
      </c>
      <c r="D7778" t="s">
        <v>67</v>
      </c>
      <c r="H7778" t="str">
        <f t="shared" si="770"/>
        <v>07854330631</v>
      </c>
      <c r="I7778" t="str">
        <f t="shared" si="770"/>
        <v>07854330631</v>
      </c>
      <c r="K7778" t="str">
        <f>""</f>
        <v/>
      </c>
      <c r="M7778" t="s">
        <v>68</v>
      </c>
      <c r="N7778" t="str">
        <f t="shared" si="766"/>
        <v>FOR</v>
      </c>
      <c r="O7778" t="s">
        <v>69</v>
      </c>
      <c r="P7778" s="3" t="s">
        <v>75</v>
      </c>
      <c r="Q7778">
        <v>2015</v>
      </c>
      <c r="R7778" s="2">
        <v>42117</v>
      </c>
      <c r="S7778" s="2">
        <v>42163</v>
      </c>
      <c r="T7778" s="2">
        <v>42142</v>
      </c>
      <c r="U7778" s="2">
        <v>42202</v>
      </c>
      <c r="V7778" t="s">
        <v>71</v>
      </c>
      <c r="W7778" t="str">
        <f>"              157/02"</f>
        <v xml:space="preserve">              157/02</v>
      </c>
      <c r="X7778">
        <v>884</v>
      </c>
      <c r="Y7778">
        <v>0</v>
      </c>
      <c r="Z7778"/>
      <c r="AB7778"/>
      <c r="AC7778">
        <v>850</v>
      </c>
      <c r="AD7778">
        <v>229</v>
      </c>
      <c r="AE7778" s="1">
        <v>194650</v>
      </c>
      <c r="AF7778">
        <v>0</v>
      </c>
      <c r="AJ7778">
        <v>0</v>
      </c>
      <c r="AK7778">
        <v>0</v>
      </c>
      <c r="AL7778">
        <v>0</v>
      </c>
      <c r="AM7778">
        <v>0</v>
      </c>
      <c r="AN7778">
        <v>0</v>
      </c>
      <c r="AO7778">
        <v>0</v>
      </c>
      <c r="AP7778" s="2">
        <v>42746</v>
      </c>
      <c r="AQ7778" t="s">
        <v>72</v>
      </c>
      <c r="AR7778" t="s">
        <v>72</v>
      </c>
      <c r="AS7778">
        <v>639</v>
      </c>
      <c r="AT7778" s="4">
        <v>42431</v>
      </c>
      <c r="AU7778" t="s">
        <v>73</v>
      </c>
      <c r="AV7778">
        <v>639</v>
      </c>
      <c r="AW7778" s="4">
        <v>42431</v>
      </c>
      <c r="BD7778">
        <v>0</v>
      </c>
      <c r="BN7778" t="s">
        <v>74</v>
      </c>
    </row>
    <row r="7779" spans="1:66" hidden="1">
      <c r="A7779">
        <v>104489</v>
      </c>
      <c r="B7779" s="3" t="s">
        <v>669</v>
      </c>
      <c r="C7779" s="1">
        <v>43300101</v>
      </c>
      <c r="D7779" t="s">
        <v>67</v>
      </c>
      <c r="H7779" t="str">
        <f t="shared" si="770"/>
        <v>07854330631</v>
      </c>
      <c r="I7779" t="str">
        <f t="shared" si="770"/>
        <v>07854330631</v>
      </c>
      <c r="K7779" t="str">
        <f>""</f>
        <v/>
      </c>
      <c r="M7779" t="s">
        <v>68</v>
      </c>
      <c r="N7779" t="str">
        <f t="shared" si="766"/>
        <v>FOR</v>
      </c>
      <c r="O7779" t="s">
        <v>69</v>
      </c>
      <c r="P7779" s="3" t="s">
        <v>75</v>
      </c>
      <c r="Q7779">
        <v>2015</v>
      </c>
      <c r="R7779" s="2">
        <v>42117</v>
      </c>
      <c r="S7779" s="2">
        <v>42163</v>
      </c>
      <c r="T7779" s="2">
        <v>42142</v>
      </c>
      <c r="U7779" s="2">
        <v>42202</v>
      </c>
      <c r="V7779" t="s">
        <v>71</v>
      </c>
      <c r="W7779" t="str">
        <f>"              158/02"</f>
        <v xml:space="preserve">              158/02</v>
      </c>
      <c r="X7779">
        <v>884</v>
      </c>
      <c r="Y7779">
        <v>0</v>
      </c>
      <c r="Z7779"/>
      <c r="AB7779"/>
      <c r="AC7779">
        <v>850</v>
      </c>
      <c r="AD7779">
        <v>229</v>
      </c>
      <c r="AE7779" s="1">
        <v>194650</v>
      </c>
      <c r="AF7779">
        <v>0</v>
      </c>
      <c r="AJ7779">
        <v>0</v>
      </c>
      <c r="AK7779">
        <v>0</v>
      </c>
      <c r="AL7779">
        <v>0</v>
      </c>
      <c r="AM7779">
        <v>0</v>
      </c>
      <c r="AN7779">
        <v>0</v>
      </c>
      <c r="AO7779">
        <v>0</v>
      </c>
      <c r="AP7779" s="2">
        <v>42746</v>
      </c>
      <c r="AQ7779" t="s">
        <v>72</v>
      </c>
      <c r="AR7779" t="s">
        <v>72</v>
      </c>
      <c r="AS7779">
        <v>639</v>
      </c>
      <c r="AT7779" s="4">
        <v>42431</v>
      </c>
      <c r="AU7779" t="s">
        <v>73</v>
      </c>
      <c r="AV7779">
        <v>639</v>
      </c>
      <c r="AW7779" s="4">
        <v>42431</v>
      </c>
      <c r="BD7779">
        <v>0</v>
      </c>
      <c r="BN7779" t="s">
        <v>74</v>
      </c>
    </row>
    <row r="7780" spans="1:66" hidden="1">
      <c r="A7780">
        <v>104489</v>
      </c>
      <c r="B7780" s="3" t="s">
        <v>669</v>
      </c>
      <c r="C7780" s="1">
        <v>43300101</v>
      </c>
      <c r="D7780" t="s">
        <v>67</v>
      </c>
      <c r="H7780" t="str">
        <f t="shared" si="770"/>
        <v>07854330631</v>
      </c>
      <c r="I7780" t="str">
        <f t="shared" si="770"/>
        <v>07854330631</v>
      </c>
      <c r="K7780" t="str">
        <f>""</f>
        <v/>
      </c>
      <c r="M7780" t="s">
        <v>68</v>
      </c>
      <c r="N7780" t="str">
        <f t="shared" si="766"/>
        <v>FOR</v>
      </c>
      <c r="O7780" t="s">
        <v>69</v>
      </c>
      <c r="P7780" s="3" t="s">
        <v>75</v>
      </c>
      <c r="Q7780">
        <v>2015</v>
      </c>
      <c r="R7780" s="2">
        <v>42158</v>
      </c>
      <c r="S7780" s="2">
        <v>42209</v>
      </c>
      <c r="T7780" s="2">
        <v>42208</v>
      </c>
      <c r="U7780" s="2">
        <v>42268</v>
      </c>
      <c r="V7780" t="s">
        <v>71</v>
      </c>
      <c r="W7780" t="str">
        <f>"              242/02"</f>
        <v xml:space="preserve">              242/02</v>
      </c>
      <c r="X7780">
        <v>884</v>
      </c>
      <c r="Y7780">
        <v>0</v>
      </c>
      <c r="Z7780"/>
      <c r="AB7780"/>
      <c r="AC7780">
        <v>850</v>
      </c>
      <c r="AD7780">
        <v>259</v>
      </c>
      <c r="AE7780" s="1">
        <v>220150</v>
      </c>
      <c r="AF7780">
        <v>0</v>
      </c>
      <c r="AJ7780">
        <v>0</v>
      </c>
      <c r="AK7780">
        <v>0</v>
      </c>
      <c r="AL7780">
        <v>0</v>
      </c>
      <c r="AM7780">
        <v>0</v>
      </c>
      <c r="AN7780">
        <v>0</v>
      </c>
      <c r="AO7780">
        <v>0</v>
      </c>
      <c r="AP7780" s="2">
        <v>42746</v>
      </c>
      <c r="AQ7780" t="s">
        <v>72</v>
      </c>
      <c r="AR7780" t="s">
        <v>72</v>
      </c>
      <c r="AS7780">
        <v>1507</v>
      </c>
      <c r="AT7780" s="4">
        <v>42527</v>
      </c>
      <c r="AU7780" t="s">
        <v>73</v>
      </c>
      <c r="AV7780">
        <v>1507</v>
      </c>
      <c r="AW7780" s="4">
        <v>42527</v>
      </c>
      <c r="BD7780">
        <v>0</v>
      </c>
      <c r="BN7780" t="s">
        <v>74</v>
      </c>
    </row>
    <row r="7781" spans="1:66" hidden="1">
      <c r="A7781">
        <v>104489</v>
      </c>
      <c r="B7781" s="3" t="s">
        <v>669</v>
      </c>
      <c r="C7781" s="1">
        <v>43300101</v>
      </c>
      <c r="D7781" t="s">
        <v>67</v>
      </c>
      <c r="H7781" t="str">
        <f t="shared" ref="H7781:I7800" si="771">"07854330631"</f>
        <v>07854330631</v>
      </c>
      <c r="I7781" t="str">
        <f t="shared" si="771"/>
        <v>07854330631</v>
      </c>
      <c r="K7781" t="str">
        <f>""</f>
        <v/>
      </c>
      <c r="M7781" t="s">
        <v>68</v>
      </c>
      <c r="N7781" t="str">
        <f t="shared" si="766"/>
        <v>FOR</v>
      </c>
      <c r="O7781" t="s">
        <v>69</v>
      </c>
      <c r="P7781" s="3" t="s">
        <v>75</v>
      </c>
      <c r="Q7781">
        <v>2015</v>
      </c>
      <c r="R7781" s="2">
        <v>42205</v>
      </c>
      <c r="S7781" s="2">
        <v>42209</v>
      </c>
      <c r="T7781" s="2">
        <v>42208</v>
      </c>
      <c r="U7781" s="2">
        <v>42268</v>
      </c>
      <c r="V7781" t="s">
        <v>71</v>
      </c>
      <c r="W7781" t="str">
        <f>"              330/02"</f>
        <v xml:space="preserve">              330/02</v>
      </c>
      <c r="X7781">
        <v>884</v>
      </c>
      <c r="Y7781">
        <v>0</v>
      </c>
      <c r="Z7781"/>
      <c r="AB7781"/>
      <c r="AC7781">
        <v>850</v>
      </c>
      <c r="AD7781">
        <v>284</v>
      </c>
      <c r="AE7781" s="1">
        <v>241400</v>
      </c>
      <c r="AF7781">
        <v>0</v>
      </c>
      <c r="AJ7781">
        <v>0</v>
      </c>
      <c r="AK7781">
        <v>0</v>
      </c>
      <c r="AL7781">
        <v>0</v>
      </c>
      <c r="AM7781">
        <v>0</v>
      </c>
      <c r="AN7781">
        <v>0</v>
      </c>
      <c r="AO7781">
        <v>0</v>
      </c>
      <c r="AP7781" s="2">
        <v>42746</v>
      </c>
      <c r="AQ7781" t="s">
        <v>72</v>
      </c>
      <c r="AR7781" t="s">
        <v>72</v>
      </c>
      <c r="AS7781">
        <v>1664</v>
      </c>
      <c r="AT7781" s="4">
        <v>42552</v>
      </c>
      <c r="AU7781" t="s">
        <v>73</v>
      </c>
      <c r="AV7781">
        <v>1664</v>
      </c>
      <c r="AW7781" s="4">
        <v>42552</v>
      </c>
      <c r="BD7781">
        <v>0</v>
      </c>
      <c r="BN7781" t="s">
        <v>74</v>
      </c>
    </row>
    <row r="7782" spans="1:66" hidden="1">
      <c r="A7782">
        <v>104489</v>
      </c>
      <c r="B7782" s="3" t="s">
        <v>669</v>
      </c>
      <c r="C7782" s="1">
        <v>43300101</v>
      </c>
      <c r="D7782" t="s">
        <v>67</v>
      </c>
      <c r="H7782" t="str">
        <f t="shared" si="771"/>
        <v>07854330631</v>
      </c>
      <c r="I7782" t="str">
        <f t="shared" si="771"/>
        <v>07854330631</v>
      </c>
      <c r="K7782" t="str">
        <f>""</f>
        <v/>
      </c>
      <c r="M7782" t="s">
        <v>68</v>
      </c>
      <c r="N7782" t="str">
        <f t="shared" si="766"/>
        <v>FOR</v>
      </c>
      <c r="O7782" t="s">
        <v>69</v>
      </c>
      <c r="P7782" s="3" t="s">
        <v>75</v>
      </c>
      <c r="Q7782">
        <v>2015</v>
      </c>
      <c r="R7782" s="2">
        <v>42205</v>
      </c>
      <c r="S7782" s="2">
        <v>42209</v>
      </c>
      <c r="T7782" s="2">
        <v>42208</v>
      </c>
      <c r="U7782" s="2">
        <v>42268</v>
      </c>
      <c r="V7782" t="s">
        <v>71</v>
      </c>
      <c r="W7782" t="str">
        <f>"              331/02"</f>
        <v xml:space="preserve">              331/02</v>
      </c>
      <c r="X7782">
        <v>884</v>
      </c>
      <c r="Y7782">
        <v>0</v>
      </c>
      <c r="Z7782"/>
      <c r="AB7782"/>
      <c r="AC7782">
        <v>850</v>
      </c>
      <c r="AD7782">
        <v>284</v>
      </c>
      <c r="AE7782" s="1">
        <v>241400</v>
      </c>
      <c r="AF7782">
        <v>0</v>
      </c>
      <c r="AJ7782">
        <v>0</v>
      </c>
      <c r="AK7782">
        <v>0</v>
      </c>
      <c r="AL7782">
        <v>0</v>
      </c>
      <c r="AM7782">
        <v>0</v>
      </c>
      <c r="AN7782">
        <v>0</v>
      </c>
      <c r="AO7782">
        <v>0</v>
      </c>
      <c r="AP7782" s="2">
        <v>42746</v>
      </c>
      <c r="AQ7782" t="s">
        <v>72</v>
      </c>
      <c r="AR7782" t="s">
        <v>72</v>
      </c>
      <c r="AS7782">
        <v>1664</v>
      </c>
      <c r="AT7782" s="4">
        <v>42552</v>
      </c>
      <c r="AU7782" t="s">
        <v>73</v>
      </c>
      <c r="AV7782">
        <v>1664</v>
      </c>
      <c r="AW7782" s="4">
        <v>42552</v>
      </c>
      <c r="BD7782">
        <v>0</v>
      </c>
      <c r="BN7782" t="s">
        <v>74</v>
      </c>
    </row>
    <row r="7783" spans="1:66" hidden="1">
      <c r="A7783">
        <v>104489</v>
      </c>
      <c r="B7783" s="3" t="s">
        <v>669</v>
      </c>
      <c r="C7783" s="1">
        <v>43300101</v>
      </c>
      <c r="D7783" t="s">
        <v>67</v>
      </c>
      <c r="H7783" t="str">
        <f t="shared" si="771"/>
        <v>07854330631</v>
      </c>
      <c r="I7783" t="str">
        <f t="shared" si="771"/>
        <v>07854330631</v>
      </c>
      <c r="K7783" t="str">
        <f>""</f>
        <v/>
      </c>
      <c r="M7783" t="s">
        <v>68</v>
      </c>
      <c r="N7783" t="str">
        <f t="shared" si="766"/>
        <v>FOR</v>
      </c>
      <c r="O7783" t="s">
        <v>69</v>
      </c>
      <c r="P7783" s="3" t="s">
        <v>75</v>
      </c>
      <c r="Q7783">
        <v>2015</v>
      </c>
      <c r="R7783" s="2">
        <v>42205</v>
      </c>
      <c r="S7783" s="2">
        <v>42209</v>
      </c>
      <c r="T7783" s="2">
        <v>42208</v>
      </c>
      <c r="U7783" s="2">
        <v>42268</v>
      </c>
      <c r="V7783" t="s">
        <v>71</v>
      </c>
      <c r="W7783" t="str">
        <f>"              332/02"</f>
        <v xml:space="preserve">              332/02</v>
      </c>
      <c r="X7783">
        <v>884</v>
      </c>
      <c r="Y7783">
        <v>0</v>
      </c>
      <c r="Z7783"/>
      <c r="AB7783"/>
      <c r="AC7783">
        <v>850</v>
      </c>
      <c r="AD7783">
        <v>284</v>
      </c>
      <c r="AE7783" s="1">
        <v>241400</v>
      </c>
      <c r="AF7783">
        <v>0</v>
      </c>
      <c r="AJ7783">
        <v>0</v>
      </c>
      <c r="AK7783">
        <v>0</v>
      </c>
      <c r="AL7783">
        <v>0</v>
      </c>
      <c r="AM7783">
        <v>0</v>
      </c>
      <c r="AN7783">
        <v>0</v>
      </c>
      <c r="AO7783">
        <v>0</v>
      </c>
      <c r="AP7783" s="2">
        <v>42746</v>
      </c>
      <c r="AQ7783" t="s">
        <v>72</v>
      </c>
      <c r="AR7783" t="s">
        <v>72</v>
      </c>
      <c r="AS7783">
        <v>1664</v>
      </c>
      <c r="AT7783" s="4">
        <v>42552</v>
      </c>
      <c r="AU7783" t="s">
        <v>73</v>
      </c>
      <c r="AV7783">
        <v>1664</v>
      </c>
      <c r="AW7783" s="4">
        <v>42552</v>
      </c>
      <c r="BD7783">
        <v>0</v>
      </c>
      <c r="BN7783" t="s">
        <v>74</v>
      </c>
    </row>
    <row r="7784" spans="1:66" hidden="1">
      <c r="A7784">
        <v>104489</v>
      </c>
      <c r="B7784" s="3" t="s">
        <v>669</v>
      </c>
      <c r="C7784" s="1">
        <v>43300101</v>
      </c>
      <c r="D7784" t="s">
        <v>67</v>
      </c>
      <c r="H7784" t="str">
        <f t="shared" si="771"/>
        <v>07854330631</v>
      </c>
      <c r="I7784" t="str">
        <f t="shared" si="771"/>
        <v>07854330631</v>
      </c>
      <c r="K7784" t="str">
        <f>""</f>
        <v/>
      </c>
      <c r="M7784" t="s">
        <v>68</v>
      </c>
      <c r="N7784" t="str">
        <f t="shared" si="766"/>
        <v>FOR</v>
      </c>
      <c r="O7784" t="s">
        <v>69</v>
      </c>
      <c r="P7784" s="3" t="s">
        <v>75</v>
      </c>
      <c r="Q7784">
        <v>2015</v>
      </c>
      <c r="R7784" s="2">
        <v>42205</v>
      </c>
      <c r="S7784" s="2">
        <v>42209</v>
      </c>
      <c r="T7784" s="2">
        <v>42208</v>
      </c>
      <c r="U7784" s="2">
        <v>42268</v>
      </c>
      <c r="V7784" t="s">
        <v>71</v>
      </c>
      <c r="W7784" t="str">
        <f>"              333/02"</f>
        <v xml:space="preserve">              333/02</v>
      </c>
      <c r="X7784">
        <v>884</v>
      </c>
      <c r="Y7784">
        <v>0</v>
      </c>
      <c r="Z7784"/>
      <c r="AB7784"/>
      <c r="AC7784">
        <v>850</v>
      </c>
      <c r="AD7784">
        <v>284</v>
      </c>
      <c r="AE7784" s="1">
        <v>241400</v>
      </c>
      <c r="AF7784">
        <v>0</v>
      </c>
      <c r="AJ7784">
        <v>0</v>
      </c>
      <c r="AK7784">
        <v>0</v>
      </c>
      <c r="AL7784">
        <v>0</v>
      </c>
      <c r="AM7784">
        <v>0</v>
      </c>
      <c r="AN7784">
        <v>0</v>
      </c>
      <c r="AO7784">
        <v>0</v>
      </c>
      <c r="AP7784" s="2">
        <v>42746</v>
      </c>
      <c r="AQ7784" t="s">
        <v>72</v>
      </c>
      <c r="AR7784" t="s">
        <v>72</v>
      </c>
      <c r="AS7784">
        <v>1664</v>
      </c>
      <c r="AT7784" s="4">
        <v>42552</v>
      </c>
      <c r="AU7784" t="s">
        <v>73</v>
      </c>
      <c r="AV7784">
        <v>1664</v>
      </c>
      <c r="AW7784" s="4">
        <v>42552</v>
      </c>
      <c r="BD7784">
        <v>0</v>
      </c>
      <c r="BN7784" t="s">
        <v>74</v>
      </c>
    </row>
    <row r="7785" spans="1:66" hidden="1">
      <c r="A7785">
        <v>104489</v>
      </c>
      <c r="B7785" s="3" t="s">
        <v>669</v>
      </c>
      <c r="C7785" s="1">
        <v>43300101</v>
      </c>
      <c r="D7785" t="s">
        <v>67</v>
      </c>
      <c r="H7785" t="str">
        <f t="shared" si="771"/>
        <v>07854330631</v>
      </c>
      <c r="I7785" t="str">
        <f t="shared" si="771"/>
        <v>07854330631</v>
      </c>
      <c r="K7785" t="str">
        <f>""</f>
        <v/>
      </c>
      <c r="M7785" t="s">
        <v>68</v>
      </c>
      <c r="N7785" t="str">
        <f t="shared" si="766"/>
        <v>FOR</v>
      </c>
      <c r="O7785" t="s">
        <v>69</v>
      </c>
      <c r="P7785" s="3" t="s">
        <v>75</v>
      </c>
      <c r="Q7785">
        <v>2015</v>
      </c>
      <c r="R7785" s="2">
        <v>42258</v>
      </c>
      <c r="S7785" s="2">
        <v>42324</v>
      </c>
      <c r="T7785" s="2">
        <v>42320</v>
      </c>
      <c r="U7785" s="2">
        <v>42380</v>
      </c>
      <c r="V7785" t="s">
        <v>71</v>
      </c>
      <c r="W7785" t="str">
        <f>"              426/02"</f>
        <v xml:space="preserve">              426/02</v>
      </c>
      <c r="X7785">
        <v>884</v>
      </c>
      <c r="Y7785">
        <v>0</v>
      </c>
      <c r="Z7785"/>
      <c r="AB7785"/>
      <c r="AC7785">
        <v>850</v>
      </c>
      <c r="AD7785">
        <v>239</v>
      </c>
      <c r="AE7785" s="1">
        <v>203150</v>
      </c>
      <c r="AF7785">
        <v>0</v>
      </c>
      <c r="AJ7785">
        <v>0</v>
      </c>
      <c r="AK7785">
        <v>0</v>
      </c>
      <c r="AL7785">
        <v>0</v>
      </c>
      <c r="AM7785">
        <v>0</v>
      </c>
      <c r="AN7785">
        <v>0</v>
      </c>
      <c r="AO7785">
        <v>0</v>
      </c>
      <c r="AP7785" s="2">
        <v>42746</v>
      </c>
      <c r="AQ7785" t="s">
        <v>72</v>
      </c>
      <c r="AR7785" t="s">
        <v>72</v>
      </c>
      <c r="AS7785">
        <v>2286</v>
      </c>
      <c r="AT7785" s="4">
        <v>42619</v>
      </c>
      <c r="AU7785" t="s">
        <v>73</v>
      </c>
      <c r="AV7785">
        <v>2286</v>
      </c>
      <c r="AW7785" s="4">
        <v>42619</v>
      </c>
      <c r="BD7785">
        <v>0</v>
      </c>
      <c r="BN7785" t="s">
        <v>74</v>
      </c>
    </row>
    <row r="7786" spans="1:66" hidden="1">
      <c r="A7786">
        <v>104489</v>
      </c>
      <c r="B7786" s="3" t="s">
        <v>669</v>
      </c>
      <c r="C7786" s="1">
        <v>43300101</v>
      </c>
      <c r="D7786" t="s">
        <v>67</v>
      </c>
      <c r="H7786" t="str">
        <f t="shared" si="771"/>
        <v>07854330631</v>
      </c>
      <c r="I7786" t="str">
        <f t="shared" si="771"/>
        <v>07854330631</v>
      </c>
      <c r="K7786" t="str">
        <f>""</f>
        <v/>
      </c>
      <c r="M7786" t="s">
        <v>68</v>
      </c>
      <c r="N7786" t="str">
        <f t="shared" si="766"/>
        <v>FOR</v>
      </c>
      <c r="O7786" t="s">
        <v>69</v>
      </c>
      <c r="P7786" s="3" t="s">
        <v>75</v>
      </c>
      <c r="Q7786">
        <v>2015</v>
      </c>
      <c r="R7786" s="2">
        <v>42258</v>
      </c>
      <c r="S7786" s="2">
        <v>42324</v>
      </c>
      <c r="T7786" s="2">
        <v>42320</v>
      </c>
      <c r="U7786" s="2">
        <v>42380</v>
      </c>
      <c r="V7786" t="s">
        <v>71</v>
      </c>
      <c r="W7786" t="str">
        <f>"              427/02"</f>
        <v xml:space="preserve">              427/02</v>
      </c>
      <c r="X7786">
        <v>884</v>
      </c>
      <c r="Y7786">
        <v>0</v>
      </c>
      <c r="Z7786"/>
      <c r="AB7786"/>
      <c r="AC7786">
        <v>850</v>
      </c>
      <c r="AD7786">
        <v>239</v>
      </c>
      <c r="AE7786" s="1">
        <v>203150</v>
      </c>
      <c r="AF7786">
        <v>0</v>
      </c>
      <c r="AJ7786">
        <v>0</v>
      </c>
      <c r="AK7786">
        <v>0</v>
      </c>
      <c r="AL7786">
        <v>0</v>
      </c>
      <c r="AM7786">
        <v>0</v>
      </c>
      <c r="AN7786">
        <v>0</v>
      </c>
      <c r="AO7786">
        <v>0</v>
      </c>
      <c r="AP7786" s="2">
        <v>42746</v>
      </c>
      <c r="AQ7786" t="s">
        <v>72</v>
      </c>
      <c r="AR7786" t="s">
        <v>72</v>
      </c>
      <c r="AS7786">
        <v>2286</v>
      </c>
      <c r="AT7786" s="4">
        <v>42619</v>
      </c>
      <c r="AU7786" t="s">
        <v>73</v>
      </c>
      <c r="AV7786">
        <v>2286</v>
      </c>
      <c r="AW7786" s="4">
        <v>42619</v>
      </c>
      <c r="BD7786">
        <v>0</v>
      </c>
      <c r="BN7786" t="s">
        <v>74</v>
      </c>
    </row>
    <row r="7787" spans="1:66" hidden="1">
      <c r="A7787">
        <v>104489</v>
      </c>
      <c r="B7787" s="3" t="s">
        <v>669</v>
      </c>
      <c r="C7787" s="1">
        <v>43300101</v>
      </c>
      <c r="D7787" t="s">
        <v>67</v>
      </c>
      <c r="H7787" t="str">
        <f t="shared" si="771"/>
        <v>07854330631</v>
      </c>
      <c r="I7787" t="str">
        <f t="shared" si="771"/>
        <v>07854330631</v>
      </c>
      <c r="K7787" t="str">
        <f>""</f>
        <v/>
      </c>
      <c r="M7787" t="s">
        <v>68</v>
      </c>
      <c r="N7787" t="str">
        <f t="shared" si="766"/>
        <v>FOR</v>
      </c>
      <c r="O7787" t="s">
        <v>69</v>
      </c>
      <c r="P7787" s="3" t="s">
        <v>75</v>
      </c>
      <c r="Q7787">
        <v>2015</v>
      </c>
      <c r="R7787" s="2">
        <v>42271</v>
      </c>
      <c r="S7787" s="2">
        <v>42324</v>
      </c>
      <c r="T7787" s="2">
        <v>42320</v>
      </c>
      <c r="U7787" s="2">
        <v>42380</v>
      </c>
      <c r="V7787" t="s">
        <v>71</v>
      </c>
      <c r="W7787" t="str">
        <f>"              448/02"</f>
        <v xml:space="preserve">              448/02</v>
      </c>
      <c r="X7787">
        <v>884</v>
      </c>
      <c r="Y7787">
        <v>0</v>
      </c>
      <c r="Z7787"/>
      <c r="AB7787"/>
      <c r="AC7787">
        <v>850</v>
      </c>
      <c r="AD7787">
        <v>239</v>
      </c>
      <c r="AE7787" s="1">
        <v>203150</v>
      </c>
      <c r="AF7787">
        <v>0</v>
      </c>
      <c r="AJ7787">
        <v>0</v>
      </c>
      <c r="AK7787">
        <v>0</v>
      </c>
      <c r="AL7787">
        <v>0</v>
      </c>
      <c r="AM7787">
        <v>0</v>
      </c>
      <c r="AN7787">
        <v>0</v>
      </c>
      <c r="AO7787">
        <v>0</v>
      </c>
      <c r="AP7787" s="2">
        <v>42746</v>
      </c>
      <c r="AQ7787" t="s">
        <v>72</v>
      </c>
      <c r="AR7787" t="s">
        <v>72</v>
      </c>
      <c r="AS7787">
        <v>2286</v>
      </c>
      <c r="AT7787" s="4">
        <v>42619</v>
      </c>
      <c r="AU7787" t="s">
        <v>73</v>
      </c>
      <c r="AV7787">
        <v>2286</v>
      </c>
      <c r="AW7787" s="4">
        <v>42619</v>
      </c>
      <c r="BD7787">
        <v>0</v>
      </c>
      <c r="BN7787" t="s">
        <v>74</v>
      </c>
    </row>
    <row r="7788" spans="1:66" hidden="1">
      <c r="A7788">
        <v>104489</v>
      </c>
      <c r="B7788" s="3" t="s">
        <v>669</v>
      </c>
      <c r="C7788" s="1">
        <v>43300101</v>
      </c>
      <c r="D7788" t="s">
        <v>67</v>
      </c>
      <c r="H7788" t="str">
        <f t="shared" si="771"/>
        <v>07854330631</v>
      </c>
      <c r="I7788" t="str">
        <f t="shared" si="771"/>
        <v>07854330631</v>
      </c>
      <c r="K7788" t="str">
        <f>""</f>
        <v/>
      </c>
      <c r="M7788" t="s">
        <v>68</v>
      </c>
      <c r="N7788" t="str">
        <f t="shared" si="766"/>
        <v>FOR</v>
      </c>
      <c r="O7788" t="s">
        <v>69</v>
      </c>
      <c r="P7788" s="3" t="s">
        <v>75</v>
      </c>
      <c r="Q7788">
        <v>2015</v>
      </c>
      <c r="R7788" s="2">
        <v>42282</v>
      </c>
      <c r="S7788" s="2">
        <v>42324</v>
      </c>
      <c r="T7788" s="2">
        <v>42320</v>
      </c>
      <c r="U7788" s="2">
        <v>42380</v>
      </c>
      <c r="V7788" t="s">
        <v>71</v>
      </c>
      <c r="W7788" t="str">
        <f>"              461/02"</f>
        <v xml:space="preserve">              461/02</v>
      </c>
      <c r="X7788">
        <v>884</v>
      </c>
      <c r="Y7788">
        <v>0</v>
      </c>
      <c r="Z7788"/>
      <c r="AB7788"/>
      <c r="AC7788">
        <v>850</v>
      </c>
      <c r="AD7788">
        <v>239</v>
      </c>
      <c r="AE7788" s="1">
        <v>203150</v>
      </c>
      <c r="AF7788">
        <v>0</v>
      </c>
      <c r="AJ7788">
        <v>0</v>
      </c>
      <c r="AK7788">
        <v>0</v>
      </c>
      <c r="AL7788">
        <v>0</v>
      </c>
      <c r="AM7788">
        <v>0</v>
      </c>
      <c r="AN7788">
        <v>0</v>
      </c>
      <c r="AO7788">
        <v>0</v>
      </c>
      <c r="AP7788" s="2">
        <v>42746</v>
      </c>
      <c r="AQ7788" t="s">
        <v>72</v>
      </c>
      <c r="AR7788" t="s">
        <v>72</v>
      </c>
      <c r="AS7788">
        <v>2286</v>
      </c>
      <c r="AT7788" s="4">
        <v>42619</v>
      </c>
      <c r="AU7788" t="s">
        <v>73</v>
      </c>
      <c r="AV7788">
        <v>2286</v>
      </c>
      <c r="AW7788" s="4">
        <v>42619</v>
      </c>
      <c r="BD7788">
        <v>0</v>
      </c>
      <c r="BN7788" t="s">
        <v>74</v>
      </c>
    </row>
    <row r="7789" spans="1:66" hidden="1">
      <c r="A7789">
        <v>104489</v>
      </c>
      <c r="B7789" s="3" t="s">
        <v>669</v>
      </c>
      <c r="C7789" s="1">
        <v>43300101</v>
      </c>
      <c r="D7789" t="s">
        <v>67</v>
      </c>
      <c r="H7789" t="str">
        <f t="shared" si="771"/>
        <v>07854330631</v>
      </c>
      <c r="I7789" t="str">
        <f t="shared" si="771"/>
        <v>07854330631</v>
      </c>
      <c r="K7789" t="str">
        <f>""</f>
        <v/>
      </c>
      <c r="M7789" t="s">
        <v>68</v>
      </c>
      <c r="N7789" t="str">
        <f t="shared" si="766"/>
        <v>FOR</v>
      </c>
      <c r="O7789" t="s">
        <v>69</v>
      </c>
      <c r="P7789" s="3" t="s">
        <v>75</v>
      </c>
      <c r="Q7789">
        <v>2015</v>
      </c>
      <c r="R7789" s="2">
        <v>42307</v>
      </c>
      <c r="S7789" s="2">
        <v>42324</v>
      </c>
      <c r="T7789" s="2">
        <v>42320</v>
      </c>
      <c r="U7789" s="2">
        <v>42380</v>
      </c>
      <c r="V7789" t="s">
        <v>71</v>
      </c>
      <c r="W7789" t="str">
        <f>"              524/02"</f>
        <v xml:space="preserve">              524/02</v>
      </c>
      <c r="X7789">
        <v>884</v>
      </c>
      <c r="Y7789">
        <v>0</v>
      </c>
      <c r="Z7789"/>
      <c r="AB7789"/>
      <c r="AC7789">
        <v>850</v>
      </c>
      <c r="AD7789">
        <v>239</v>
      </c>
      <c r="AE7789" s="1">
        <v>203150</v>
      </c>
      <c r="AF7789">
        <v>0</v>
      </c>
      <c r="AJ7789">
        <v>0</v>
      </c>
      <c r="AK7789">
        <v>0</v>
      </c>
      <c r="AL7789">
        <v>0</v>
      </c>
      <c r="AM7789">
        <v>0</v>
      </c>
      <c r="AN7789">
        <v>0</v>
      </c>
      <c r="AO7789">
        <v>0</v>
      </c>
      <c r="AP7789" s="2">
        <v>42746</v>
      </c>
      <c r="AQ7789" t="s">
        <v>72</v>
      </c>
      <c r="AR7789" t="s">
        <v>72</v>
      </c>
      <c r="AS7789">
        <v>2286</v>
      </c>
      <c r="AT7789" s="4">
        <v>42619</v>
      </c>
      <c r="AU7789" t="s">
        <v>73</v>
      </c>
      <c r="AV7789">
        <v>2286</v>
      </c>
      <c r="AW7789" s="4">
        <v>42619</v>
      </c>
      <c r="BD7789">
        <v>0</v>
      </c>
      <c r="BN7789" t="s">
        <v>74</v>
      </c>
    </row>
    <row r="7790" spans="1:66" hidden="1">
      <c r="A7790">
        <v>104489</v>
      </c>
      <c r="B7790" s="3" t="s">
        <v>669</v>
      </c>
      <c r="C7790" s="1">
        <v>43300101</v>
      </c>
      <c r="D7790" t="s">
        <v>67</v>
      </c>
      <c r="H7790" t="str">
        <f t="shared" si="771"/>
        <v>07854330631</v>
      </c>
      <c r="I7790" t="str">
        <f t="shared" si="771"/>
        <v>07854330631</v>
      </c>
      <c r="K7790" t="str">
        <f>""</f>
        <v/>
      </c>
      <c r="M7790" t="s">
        <v>68</v>
      </c>
      <c r="N7790" t="str">
        <f t="shared" si="766"/>
        <v>FOR</v>
      </c>
      <c r="O7790" t="s">
        <v>69</v>
      </c>
      <c r="P7790" s="3" t="s">
        <v>75</v>
      </c>
      <c r="Q7790">
        <v>2015</v>
      </c>
      <c r="R7790" s="2">
        <v>42307</v>
      </c>
      <c r="S7790" s="2">
        <v>42324</v>
      </c>
      <c r="T7790" s="2">
        <v>42320</v>
      </c>
      <c r="U7790" s="2">
        <v>42380</v>
      </c>
      <c r="V7790" t="s">
        <v>71</v>
      </c>
      <c r="W7790" t="str">
        <f>"              525/02"</f>
        <v xml:space="preserve">              525/02</v>
      </c>
      <c r="X7790">
        <v>884</v>
      </c>
      <c r="Y7790">
        <v>0</v>
      </c>
      <c r="Z7790"/>
      <c r="AB7790"/>
      <c r="AC7790">
        <v>850</v>
      </c>
      <c r="AD7790">
        <v>239</v>
      </c>
      <c r="AE7790" s="1">
        <v>203150</v>
      </c>
      <c r="AF7790">
        <v>0</v>
      </c>
      <c r="AJ7790">
        <v>0</v>
      </c>
      <c r="AK7790">
        <v>0</v>
      </c>
      <c r="AL7790">
        <v>0</v>
      </c>
      <c r="AM7790">
        <v>0</v>
      </c>
      <c r="AN7790">
        <v>0</v>
      </c>
      <c r="AO7790">
        <v>0</v>
      </c>
      <c r="AP7790" s="2">
        <v>42746</v>
      </c>
      <c r="AQ7790" t="s">
        <v>72</v>
      </c>
      <c r="AR7790" t="s">
        <v>72</v>
      </c>
      <c r="AS7790">
        <v>2286</v>
      </c>
      <c r="AT7790" s="4">
        <v>42619</v>
      </c>
      <c r="AU7790" t="s">
        <v>73</v>
      </c>
      <c r="AV7790">
        <v>2286</v>
      </c>
      <c r="AW7790" s="4">
        <v>42619</v>
      </c>
      <c r="BD7790">
        <v>0</v>
      </c>
      <c r="BN7790" t="s">
        <v>74</v>
      </c>
    </row>
    <row r="7791" spans="1:66" hidden="1">
      <c r="A7791">
        <v>104489</v>
      </c>
      <c r="B7791" s="3" t="s">
        <v>669</v>
      </c>
      <c r="C7791" s="1">
        <v>43300101</v>
      </c>
      <c r="D7791" t="s">
        <v>67</v>
      </c>
      <c r="H7791" t="str">
        <f t="shared" si="771"/>
        <v>07854330631</v>
      </c>
      <c r="I7791" t="str">
        <f t="shared" si="771"/>
        <v>07854330631</v>
      </c>
      <c r="K7791" t="str">
        <f>""</f>
        <v/>
      </c>
      <c r="M7791" t="s">
        <v>68</v>
      </c>
      <c r="N7791" t="str">
        <f t="shared" si="766"/>
        <v>FOR</v>
      </c>
      <c r="O7791" t="s">
        <v>69</v>
      </c>
      <c r="P7791" s="3" t="s">
        <v>75</v>
      </c>
      <c r="Q7791">
        <v>2015</v>
      </c>
      <c r="R7791" s="2">
        <v>42307</v>
      </c>
      <c r="S7791" s="2">
        <v>42324</v>
      </c>
      <c r="T7791" s="2">
        <v>42320</v>
      </c>
      <c r="U7791" s="2">
        <v>42380</v>
      </c>
      <c r="V7791" t="s">
        <v>71</v>
      </c>
      <c r="W7791" t="str">
        <f>"              526/02"</f>
        <v xml:space="preserve">              526/02</v>
      </c>
      <c r="X7791">
        <v>884</v>
      </c>
      <c r="Y7791">
        <v>0</v>
      </c>
      <c r="Z7791"/>
      <c r="AB7791"/>
      <c r="AC7791">
        <v>850</v>
      </c>
      <c r="AD7791">
        <v>239</v>
      </c>
      <c r="AE7791" s="1">
        <v>203150</v>
      </c>
      <c r="AF7791">
        <v>0</v>
      </c>
      <c r="AJ7791">
        <v>0</v>
      </c>
      <c r="AK7791">
        <v>0</v>
      </c>
      <c r="AL7791">
        <v>0</v>
      </c>
      <c r="AM7791">
        <v>0</v>
      </c>
      <c r="AN7791">
        <v>0</v>
      </c>
      <c r="AO7791">
        <v>0</v>
      </c>
      <c r="AP7791" s="2">
        <v>42746</v>
      </c>
      <c r="AQ7791" t="s">
        <v>72</v>
      </c>
      <c r="AR7791" t="s">
        <v>72</v>
      </c>
      <c r="AS7791">
        <v>2286</v>
      </c>
      <c r="AT7791" s="4">
        <v>42619</v>
      </c>
      <c r="AU7791" t="s">
        <v>73</v>
      </c>
      <c r="AV7791">
        <v>2286</v>
      </c>
      <c r="AW7791" s="4">
        <v>42619</v>
      </c>
      <c r="BD7791">
        <v>0</v>
      </c>
      <c r="BN7791" t="s">
        <v>74</v>
      </c>
    </row>
    <row r="7792" spans="1:66" hidden="1">
      <c r="A7792">
        <v>104489</v>
      </c>
      <c r="B7792" s="3" t="s">
        <v>669</v>
      </c>
      <c r="C7792" s="1">
        <v>43300101</v>
      </c>
      <c r="D7792" t="s">
        <v>67</v>
      </c>
      <c r="H7792" t="str">
        <f t="shared" si="771"/>
        <v>07854330631</v>
      </c>
      <c r="I7792" t="str">
        <f t="shared" si="771"/>
        <v>07854330631</v>
      </c>
      <c r="K7792" t="str">
        <f>""</f>
        <v/>
      </c>
      <c r="M7792" t="s">
        <v>68</v>
      </c>
      <c r="N7792" t="str">
        <f t="shared" si="766"/>
        <v>FOR</v>
      </c>
      <c r="O7792" t="s">
        <v>69</v>
      </c>
      <c r="P7792" s="3" t="s">
        <v>75</v>
      </c>
      <c r="Q7792">
        <v>2015</v>
      </c>
      <c r="R7792" s="2">
        <v>42307</v>
      </c>
      <c r="S7792" s="2">
        <v>42324</v>
      </c>
      <c r="T7792" s="2">
        <v>42320</v>
      </c>
      <c r="U7792" s="2">
        <v>42380</v>
      </c>
      <c r="V7792" t="s">
        <v>71</v>
      </c>
      <c r="W7792" t="str">
        <f>"              527/02"</f>
        <v xml:space="preserve">              527/02</v>
      </c>
      <c r="X7792">
        <v>884</v>
      </c>
      <c r="Y7792">
        <v>0</v>
      </c>
      <c r="Z7792"/>
      <c r="AB7792"/>
      <c r="AC7792">
        <v>850</v>
      </c>
      <c r="AD7792">
        <v>239</v>
      </c>
      <c r="AE7792" s="1">
        <v>203150</v>
      </c>
      <c r="AF7792">
        <v>0</v>
      </c>
      <c r="AJ7792">
        <v>0</v>
      </c>
      <c r="AK7792">
        <v>0</v>
      </c>
      <c r="AL7792">
        <v>0</v>
      </c>
      <c r="AM7792">
        <v>0</v>
      </c>
      <c r="AN7792">
        <v>0</v>
      </c>
      <c r="AO7792">
        <v>0</v>
      </c>
      <c r="AP7792" s="2">
        <v>42746</v>
      </c>
      <c r="AQ7792" t="s">
        <v>72</v>
      </c>
      <c r="AR7792" t="s">
        <v>72</v>
      </c>
      <c r="AS7792">
        <v>2286</v>
      </c>
      <c r="AT7792" s="4">
        <v>42619</v>
      </c>
      <c r="AU7792" t="s">
        <v>73</v>
      </c>
      <c r="AV7792">
        <v>2286</v>
      </c>
      <c r="AW7792" s="4">
        <v>42619</v>
      </c>
      <c r="BD7792">
        <v>0</v>
      </c>
      <c r="BN7792" t="s">
        <v>74</v>
      </c>
    </row>
    <row r="7793" spans="1:66" hidden="1">
      <c r="A7793">
        <v>104489</v>
      </c>
      <c r="B7793" s="3" t="s">
        <v>669</v>
      </c>
      <c r="C7793" s="1">
        <v>43300101</v>
      </c>
      <c r="D7793" t="s">
        <v>67</v>
      </c>
      <c r="H7793" t="str">
        <f t="shared" si="771"/>
        <v>07854330631</v>
      </c>
      <c r="I7793" t="str">
        <f t="shared" si="771"/>
        <v>07854330631</v>
      </c>
      <c r="K7793" t="str">
        <f>""</f>
        <v/>
      </c>
      <c r="M7793" t="s">
        <v>68</v>
      </c>
      <c r="N7793" t="str">
        <f t="shared" si="766"/>
        <v>FOR</v>
      </c>
      <c r="O7793" t="s">
        <v>69</v>
      </c>
      <c r="P7793" s="3" t="s">
        <v>75</v>
      </c>
      <c r="Q7793">
        <v>2015</v>
      </c>
      <c r="R7793" s="2">
        <v>42307</v>
      </c>
      <c r="S7793" s="2">
        <v>42324</v>
      </c>
      <c r="T7793" s="2">
        <v>42320</v>
      </c>
      <c r="U7793" s="2">
        <v>42380</v>
      </c>
      <c r="V7793" t="s">
        <v>71</v>
      </c>
      <c r="W7793" t="str">
        <f>"              528/02"</f>
        <v xml:space="preserve">              528/02</v>
      </c>
      <c r="X7793">
        <v>884</v>
      </c>
      <c r="Y7793">
        <v>0</v>
      </c>
      <c r="Z7793"/>
      <c r="AB7793"/>
      <c r="AC7793">
        <v>850</v>
      </c>
      <c r="AD7793">
        <v>239</v>
      </c>
      <c r="AE7793" s="1">
        <v>203150</v>
      </c>
      <c r="AF7793">
        <v>0</v>
      </c>
      <c r="AJ7793">
        <v>0</v>
      </c>
      <c r="AK7793">
        <v>0</v>
      </c>
      <c r="AL7793">
        <v>0</v>
      </c>
      <c r="AM7793">
        <v>0</v>
      </c>
      <c r="AN7793">
        <v>0</v>
      </c>
      <c r="AO7793">
        <v>0</v>
      </c>
      <c r="AP7793" s="2">
        <v>42746</v>
      </c>
      <c r="AQ7793" t="s">
        <v>72</v>
      </c>
      <c r="AR7793" t="s">
        <v>72</v>
      </c>
      <c r="AS7793">
        <v>2286</v>
      </c>
      <c r="AT7793" s="4">
        <v>42619</v>
      </c>
      <c r="AU7793" t="s">
        <v>73</v>
      </c>
      <c r="AV7793">
        <v>2286</v>
      </c>
      <c r="AW7793" s="4">
        <v>42619</v>
      </c>
      <c r="BD7793">
        <v>0</v>
      </c>
      <c r="BN7793" t="s">
        <v>74</v>
      </c>
    </row>
    <row r="7794" spans="1:66" hidden="1">
      <c r="A7794">
        <v>104489</v>
      </c>
      <c r="B7794" s="3" t="s">
        <v>669</v>
      </c>
      <c r="C7794" s="1">
        <v>43300101</v>
      </c>
      <c r="D7794" t="s">
        <v>67</v>
      </c>
      <c r="H7794" t="str">
        <f t="shared" si="771"/>
        <v>07854330631</v>
      </c>
      <c r="I7794" t="str">
        <f t="shared" si="771"/>
        <v>07854330631</v>
      </c>
      <c r="K7794" t="str">
        <f>""</f>
        <v/>
      </c>
      <c r="M7794" t="s">
        <v>68</v>
      </c>
      <c r="N7794" t="str">
        <f t="shared" si="766"/>
        <v>FOR</v>
      </c>
      <c r="O7794" t="s">
        <v>69</v>
      </c>
      <c r="P7794" s="3" t="s">
        <v>75</v>
      </c>
      <c r="Q7794">
        <v>2015</v>
      </c>
      <c r="R7794" s="2">
        <v>42307</v>
      </c>
      <c r="S7794" s="2">
        <v>42324</v>
      </c>
      <c r="T7794" s="2">
        <v>42320</v>
      </c>
      <c r="U7794" s="2">
        <v>42380</v>
      </c>
      <c r="V7794" t="s">
        <v>71</v>
      </c>
      <c r="W7794" t="str">
        <f>"              529/02"</f>
        <v xml:space="preserve">              529/02</v>
      </c>
      <c r="X7794">
        <v>884</v>
      </c>
      <c r="Y7794">
        <v>0</v>
      </c>
      <c r="Z7794"/>
      <c r="AB7794"/>
      <c r="AC7794">
        <v>850</v>
      </c>
      <c r="AD7794">
        <v>239</v>
      </c>
      <c r="AE7794" s="1">
        <v>203150</v>
      </c>
      <c r="AF7794">
        <v>0</v>
      </c>
      <c r="AJ7794">
        <v>0</v>
      </c>
      <c r="AK7794">
        <v>0</v>
      </c>
      <c r="AL7794">
        <v>0</v>
      </c>
      <c r="AM7794">
        <v>0</v>
      </c>
      <c r="AN7794">
        <v>0</v>
      </c>
      <c r="AO7794">
        <v>0</v>
      </c>
      <c r="AP7794" s="2">
        <v>42746</v>
      </c>
      <c r="AQ7794" t="s">
        <v>72</v>
      </c>
      <c r="AR7794" t="s">
        <v>72</v>
      </c>
      <c r="AS7794">
        <v>2286</v>
      </c>
      <c r="AT7794" s="4">
        <v>42619</v>
      </c>
      <c r="AU7794" t="s">
        <v>73</v>
      </c>
      <c r="AV7794">
        <v>2286</v>
      </c>
      <c r="AW7794" s="4">
        <v>42619</v>
      </c>
      <c r="BD7794">
        <v>0</v>
      </c>
      <c r="BN7794" t="s">
        <v>74</v>
      </c>
    </row>
    <row r="7795" spans="1:66" hidden="1">
      <c r="A7795">
        <v>104489</v>
      </c>
      <c r="B7795" s="3" t="s">
        <v>669</v>
      </c>
      <c r="C7795" s="1">
        <v>43300101</v>
      </c>
      <c r="D7795" t="s">
        <v>67</v>
      </c>
      <c r="H7795" t="str">
        <f t="shared" si="771"/>
        <v>07854330631</v>
      </c>
      <c r="I7795" t="str">
        <f t="shared" si="771"/>
        <v>07854330631</v>
      </c>
      <c r="K7795" t="str">
        <f>""</f>
        <v/>
      </c>
      <c r="M7795" t="s">
        <v>68</v>
      </c>
      <c r="N7795" t="str">
        <f t="shared" si="766"/>
        <v>FOR</v>
      </c>
      <c r="O7795" t="s">
        <v>69</v>
      </c>
      <c r="P7795" s="3" t="s">
        <v>75</v>
      </c>
      <c r="Q7795">
        <v>2015</v>
      </c>
      <c r="R7795" s="2">
        <v>42307</v>
      </c>
      <c r="S7795" s="2">
        <v>42324</v>
      </c>
      <c r="T7795" s="2">
        <v>42320</v>
      </c>
      <c r="U7795" s="2">
        <v>42380</v>
      </c>
      <c r="V7795" t="s">
        <v>71</v>
      </c>
      <c r="W7795" t="str">
        <f>"              530/02"</f>
        <v xml:space="preserve">              530/02</v>
      </c>
      <c r="X7795">
        <v>884</v>
      </c>
      <c r="Y7795">
        <v>0</v>
      </c>
      <c r="Z7795"/>
      <c r="AB7795"/>
      <c r="AC7795">
        <v>850</v>
      </c>
      <c r="AD7795">
        <v>239</v>
      </c>
      <c r="AE7795" s="1">
        <v>203150</v>
      </c>
      <c r="AF7795">
        <v>0</v>
      </c>
      <c r="AJ7795">
        <v>0</v>
      </c>
      <c r="AK7795">
        <v>0</v>
      </c>
      <c r="AL7795">
        <v>0</v>
      </c>
      <c r="AM7795">
        <v>0</v>
      </c>
      <c r="AN7795">
        <v>0</v>
      </c>
      <c r="AO7795">
        <v>0</v>
      </c>
      <c r="AP7795" s="2">
        <v>42746</v>
      </c>
      <c r="AQ7795" t="s">
        <v>72</v>
      </c>
      <c r="AR7795" t="s">
        <v>72</v>
      </c>
      <c r="AS7795">
        <v>2286</v>
      </c>
      <c r="AT7795" s="4">
        <v>42619</v>
      </c>
      <c r="AU7795" t="s">
        <v>73</v>
      </c>
      <c r="AV7795">
        <v>2286</v>
      </c>
      <c r="AW7795" s="4">
        <v>42619</v>
      </c>
      <c r="BD7795">
        <v>0</v>
      </c>
      <c r="BN7795" t="s">
        <v>74</v>
      </c>
    </row>
    <row r="7796" spans="1:66" hidden="1">
      <c r="A7796">
        <v>104489</v>
      </c>
      <c r="B7796" s="3" t="s">
        <v>669</v>
      </c>
      <c r="C7796" s="1">
        <v>43300101</v>
      </c>
      <c r="D7796" t="s">
        <v>67</v>
      </c>
      <c r="H7796" t="str">
        <f t="shared" si="771"/>
        <v>07854330631</v>
      </c>
      <c r="I7796" t="str">
        <f t="shared" si="771"/>
        <v>07854330631</v>
      </c>
      <c r="K7796" t="str">
        <f>""</f>
        <v/>
      </c>
      <c r="M7796" t="s">
        <v>68</v>
      </c>
      <c r="N7796" t="str">
        <f t="shared" si="766"/>
        <v>FOR</v>
      </c>
      <c r="O7796" t="s">
        <v>69</v>
      </c>
      <c r="P7796" s="3" t="s">
        <v>75</v>
      </c>
      <c r="Q7796">
        <v>2015</v>
      </c>
      <c r="R7796" s="2">
        <v>42307</v>
      </c>
      <c r="S7796" s="2">
        <v>42369</v>
      </c>
      <c r="T7796" s="2">
        <v>42320</v>
      </c>
      <c r="U7796" s="2">
        <v>42380</v>
      </c>
      <c r="V7796" t="s">
        <v>71</v>
      </c>
      <c r="W7796" t="str">
        <f>"              532/02"</f>
        <v xml:space="preserve">              532/02</v>
      </c>
      <c r="X7796">
        <v>884</v>
      </c>
      <c r="Y7796">
        <v>0</v>
      </c>
      <c r="Z7796"/>
      <c r="AB7796"/>
      <c r="AC7796">
        <v>850</v>
      </c>
      <c r="AD7796">
        <v>239</v>
      </c>
      <c r="AE7796" s="1">
        <v>203150</v>
      </c>
      <c r="AF7796">
        <v>0</v>
      </c>
      <c r="AJ7796">
        <v>0</v>
      </c>
      <c r="AK7796">
        <v>0</v>
      </c>
      <c r="AL7796">
        <v>0</v>
      </c>
      <c r="AM7796">
        <v>0</v>
      </c>
      <c r="AN7796">
        <v>0</v>
      </c>
      <c r="AO7796">
        <v>0</v>
      </c>
      <c r="AP7796" s="2">
        <v>42746</v>
      </c>
      <c r="AQ7796" t="s">
        <v>72</v>
      </c>
      <c r="AR7796" t="s">
        <v>72</v>
      </c>
      <c r="AS7796">
        <v>2286</v>
      </c>
      <c r="AT7796" s="4">
        <v>42619</v>
      </c>
      <c r="AU7796" t="s">
        <v>73</v>
      </c>
      <c r="AV7796">
        <v>2286</v>
      </c>
      <c r="AW7796" s="4">
        <v>42619</v>
      </c>
      <c r="BD7796">
        <v>0</v>
      </c>
      <c r="BN7796" t="s">
        <v>74</v>
      </c>
    </row>
    <row r="7797" spans="1:66">
      <c r="A7797">
        <v>104489</v>
      </c>
      <c r="B7797" s="3" t="s">
        <v>669</v>
      </c>
      <c r="C7797" s="1">
        <v>43300101</v>
      </c>
      <c r="D7797" t="s">
        <v>67</v>
      </c>
      <c r="H7797" t="str">
        <f t="shared" si="771"/>
        <v>07854330631</v>
      </c>
      <c r="I7797" t="str">
        <f t="shared" si="771"/>
        <v>07854330631</v>
      </c>
      <c r="K7797" t="str">
        <f>""</f>
        <v/>
      </c>
      <c r="M7797" t="s">
        <v>68</v>
      </c>
      <c r="N7797" t="str">
        <f t="shared" si="766"/>
        <v>FOR</v>
      </c>
      <c r="O7797" t="s">
        <v>69</v>
      </c>
      <c r="P7797" s="3" t="s">
        <v>75</v>
      </c>
      <c r="Q7797">
        <v>2016</v>
      </c>
      <c r="R7797" s="2">
        <v>42417</v>
      </c>
      <c r="S7797" s="2">
        <v>42438</v>
      </c>
      <c r="T7797" s="2">
        <v>42417</v>
      </c>
      <c r="U7797" s="2">
        <v>42477</v>
      </c>
      <c r="V7797" t="s">
        <v>71</v>
      </c>
      <c r="W7797" t="str">
        <f>"               61/02"</f>
        <v xml:space="preserve">               61/02</v>
      </c>
      <c r="X7797">
        <v>884</v>
      </c>
      <c r="Y7797">
        <v>0</v>
      </c>
      <c r="Z7797" s="3">
        <v>850</v>
      </c>
      <c r="AA7797">
        <v>206</v>
      </c>
      <c r="AB7797" s="5">
        <v>175100</v>
      </c>
      <c r="AC7797">
        <v>850</v>
      </c>
      <c r="AD7797">
        <v>206</v>
      </c>
      <c r="AE7797" s="1">
        <v>175100</v>
      </c>
      <c r="AF7797">
        <v>0</v>
      </c>
      <c r="AJ7797">
        <v>0</v>
      </c>
      <c r="AK7797">
        <v>0</v>
      </c>
      <c r="AL7797">
        <v>0</v>
      </c>
      <c r="AM7797">
        <v>884</v>
      </c>
      <c r="AN7797">
        <v>884</v>
      </c>
      <c r="AO7797">
        <v>884</v>
      </c>
      <c r="AP7797" s="2">
        <v>42746</v>
      </c>
      <c r="AQ7797" t="s">
        <v>72</v>
      </c>
      <c r="AR7797" t="s">
        <v>72</v>
      </c>
      <c r="AS7797">
        <v>3027</v>
      </c>
      <c r="AT7797" s="4">
        <v>42683</v>
      </c>
      <c r="AU7797" t="s">
        <v>73</v>
      </c>
      <c r="AV7797">
        <v>3027</v>
      </c>
      <c r="AW7797" s="4">
        <v>42683</v>
      </c>
      <c r="BD7797">
        <v>0</v>
      </c>
      <c r="BN7797" t="s">
        <v>74</v>
      </c>
    </row>
    <row r="7798" spans="1:66">
      <c r="A7798">
        <v>104489</v>
      </c>
      <c r="B7798" s="3" t="s">
        <v>669</v>
      </c>
      <c r="C7798" s="1">
        <v>43300101</v>
      </c>
      <c r="D7798" t="s">
        <v>67</v>
      </c>
      <c r="H7798" t="str">
        <f t="shared" si="771"/>
        <v>07854330631</v>
      </c>
      <c r="I7798" t="str">
        <f t="shared" si="771"/>
        <v>07854330631</v>
      </c>
      <c r="K7798" t="str">
        <f>""</f>
        <v/>
      </c>
      <c r="M7798" t="s">
        <v>68</v>
      </c>
      <c r="N7798" t="str">
        <f t="shared" ref="N7798:N7861" si="772">"FOR"</f>
        <v>FOR</v>
      </c>
      <c r="O7798" t="s">
        <v>69</v>
      </c>
      <c r="P7798" s="3" t="s">
        <v>75</v>
      </c>
      <c r="Q7798">
        <v>2016</v>
      </c>
      <c r="R7798" s="2">
        <v>42466</v>
      </c>
      <c r="S7798" s="2">
        <v>42473</v>
      </c>
      <c r="T7798" s="2">
        <v>42466</v>
      </c>
      <c r="U7798" s="2">
        <v>42526</v>
      </c>
      <c r="V7798" t="s">
        <v>71</v>
      </c>
      <c r="W7798" t="str">
        <f>"              161/02"</f>
        <v xml:space="preserve">              161/02</v>
      </c>
      <c r="X7798">
        <v>884</v>
      </c>
      <c r="Y7798">
        <v>0</v>
      </c>
      <c r="Z7798" s="3">
        <v>850</v>
      </c>
      <c r="AA7798">
        <v>157</v>
      </c>
      <c r="AB7798" s="5">
        <v>133450</v>
      </c>
      <c r="AC7798">
        <v>850</v>
      </c>
      <c r="AD7798">
        <v>157</v>
      </c>
      <c r="AE7798" s="1">
        <v>133450</v>
      </c>
      <c r="AF7798">
        <v>0</v>
      </c>
      <c r="AJ7798">
        <v>0</v>
      </c>
      <c r="AK7798">
        <v>0</v>
      </c>
      <c r="AL7798">
        <v>0</v>
      </c>
      <c r="AM7798">
        <v>884</v>
      </c>
      <c r="AN7798">
        <v>884</v>
      </c>
      <c r="AO7798">
        <v>884</v>
      </c>
      <c r="AP7798" s="2">
        <v>42746</v>
      </c>
      <c r="AQ7798" t="s">
        <v>72</v>
      </c>
      <c r="AR7798" t="s">
        <v>72</v>
      </c>
      <c r="AS7798">
        <v>3027</v>
      </c>
      <c r="AT7798" s="4">
        <v>42683</v>
      </c>
      <c r="AU7798" t="s">
        <v>73</v>
      </c>
      <c r="AV7798">
        <v>3027</v>
      </c>
      <c r="AW7798" s="4">
        <v>42683</v>
      </c>
      <c r="BD7798">
        <v>0</v>
      </c>
      <c r="BN7798" t="s">
        <v>74</v>
      </c>
    </row>
    <row r="7799" spans="1:66">
      <c r="A7799">
        <v>104489</v>
      </c>
      <c r="B7799" s="3" t="s">
        <v>669</v>
      </c>
      <c r="C7799" s="1">
        <v>43300101</v>
      </c>
      <c r="D7799" t="s">
        <v>67</v>
      </c>
      <c r="H7799" t="str">
        <f t="shared" si="771"/>
        <v>07854330631</v>
      </c>
      <c r="I7799" t="str">
        <f t="shared" si="771"/>
        <v>07854330631</v>
      </c>
      <c r="K7799" t="str">
        <f>""</f>
        <v/>
      </c>
      <c r="M7799" t="s">
        <v>68</v>
      </c>
      <c r="N7799" t="str">
        <f t="shared" si="772"/>
        <v>FOR</v>
      </c>
      <c r="O7799" t="s">
        <v>69</v>
      </c>
      <c r="P7799" s="3" t="s">
        <v>75</v>
      </c>
      <c r="Q7799">
        <v>2016</v>
      </c>
      <c r="R7799" s="2">
        <v>42466</v>
      </c>
      <c r="S7799" s="2">
        <v>42473</v>
      </c>
      <c r="T7799" s="2">
        <v>42466</v>
      </c>
      <c r="U7799" s="2">
        <v>42526</v>
      </c>
      <c r="V7799" t="s">
        <v>71</v>
      </c>
      <c r="W7799" t="str">
        <f>"              162/02"</f>
        <v xml:space="preserve">              162/02</v>
      </c>
      <c r="X7799">
        <v>884</v>
      </c>
      <c r="Y7799">
        <v>0</v>
      </c>
      <c r="Z7799" s="3">
        <v>850</v>
      </c>
      <c r="AA7799">
        <v>157</v>
      </c>
      <c r="AB7799" s="5">
        <v>133450</v>
      </c>
      <c r="AC7799">
        <v>850</v>
      </c>
      <c r="AD7799">
        <v>157</v>
      </c>
      <c r="AE7799" s="1">
        <v>133450</v>
      </c>
      <c r="AF7799">
        <v>0</v>
      </c>
      <c r="AJ7799">
        <v>0</v>
      </c>
      <c r="AK7799">
        <v>0</v>
      </c>
      <c r="AL7799">
        <v>0</v>
      </c>
      <c r="AM7799">
        <v>884</v>
      </c>
      <c r="AN7799">
        <v>884</v>
      </c>
      <c r="AO7799">
        <v>884</v>
      </c>
      <c r="AP7799" s="2">
        <v>42746</v>
      </c>
      <c r="AQ7799" t="s">
        <v>72</v>
      </c>
      <c r="AR7799" t="s">
        <v>72</v>
      </c>
      <c r="AS7799">
        <v>3027</v>
      </c>
      <c r="AT7799" s="4">
        <v>42683</v>
      </c>
      <c r="AU7799" t="s">
        <v>73</v>
      </c>
      <c r="AV7799">
        <v>3027</v>
      </c>
      <c r="AW7799" s="4">
        <v>42683</v>
      </c>
      <c r="BD7799">
        <v>0</v>
      </c>
      <c r="BN7799" t="s">
        <v>74</v>
      </c>
    </row>
    <row r="7800" spans="1:66">
      <c r="A7800">
        <v>104489</v>
      </c>
      <c r="B7800" s="3" t="s">
        <v>669</v>
      </c>
      <c r="C7800" s="1">
        <v>43300101</v>
      </c>
      <c r="D7800" t="s">
        <v>67</v>
      </c>
      <c r="H7800" t="str">
        <f t="shared" si="771"/>
        <v>07854330631</v>
      </c>
      <c r="I7800" t="str">
        <f t="shared" si="771"/>
        <v>07854330631</v>
      </c>
      <c r="K7800" t="str">
        <f>""</f>
        <v/>
      </c>
      <c r="M7800" t="s">
        <v>68</v>
      </c>
      <c r="N7800" t="str">
        <f t="shared" si="772"/>
        <v>FOR</v>
      </c>
      <c r="O7800" t="s">
        <v>69</v>
      </c>
      <c r="P7800" s="3" t="s">
        <v>75</v>
      </c>
      <c r="Q7800">
        <v>2016</v>
      </c>
      <c r="R7800" s="2">
        <v>42466</v>
      </c>
      <c r="S7800" s="2">
        <v>42473</v>
      </c>
      <c r="T7800" s="2">
        <v>42466</v>
      </c>
      <c r="U7800" s="2">
        <v>42526</v>
      </c>
      <c r="V7800" t="s">
        <v>71</v>
      </c>
      <c r="W7800" t="str">
        <f>"              163/02"</f>
        <v xml:space="preserve">              163/02</v>
      </c>
      <c r="X7800">
        <v>884</v>
      </c>
      <c r="Y7800">
        <v>0</v>
      </c>
      <c r="Z7800" s="3">
        <v>850</v>
      </c>
      <c r="AA7800">
        <v>157</v>
      </c>
      <c r="AB7800" s="5">
        <v>133450</v>
      </c>
      <c r="AC7800">
        <v>850</v>
      </c>
      <c r="AD7800">
        <v>157</v>
      </c>
      <c r="AE7800" s="1">
        <v>133450</v>
      </c>
      <c r="AF7800">
        <v>0</v>
      </c>
      <c r="AJ7800">
        <v>0</v>
      </c>
      <c r="AK7800">
        <v>0</v>
      </c>
      <c r="AL7800">
        <v>0</v>
      </c>
      <c r="AM7800">
        <v>884</v>
      </c>
      <c r="AN7800">
        <v>884</v>
      </c>
      <c r="AO7800">
        <v>884</v>
      </c>
      <c r="AP7800" s="2">
        <v>42746</v>
      </c>
      <c r="AQ7800" t="s">
        <v>72</v>
      </c>
      <c r="AR7800" t="s">
        <v>72</v>
      </c>
      <c r="AS7800">
        <v>3027</v>
      </c>
      <c r="AT7800" s="4">
        <v>42683</v>
      </c>
      <c r="AU7800" t="s">
        <v>73</v>
      </c>
      <c r="AV7800">
        <v>3027</v>
      </c>
      <c r="AW7800" s="4">
        <v>42683</v>
      </c>
      <c r="BD7800">
        <v>0</v>
      </c>
      <c r="BN7800" t="s">
        <v>74</v>
      </c>
    </row>
    <row r="7801" spans="1:66">
      <c r="A7801">
        <v>104489</v>
      </c>
      <c r="B7801" s="3" t="s">
        <v>669</v>
      </c>
      <c r="C7801" s="1">
        <v>43300101</v>
      </c>
      <c r="D7801" t="s">
        <v>67</v>
      </c>
      <c r="H7801" t="str">
        <f t="shared" ref="H7801:I7807" si="773">"07854330631"</f>
        <v>07854330631</v>
      </c>
      <c r="I7801" t="str">
        <f t="shared" si="773"/>
        <v>07854330631</v>
      </c>
      <c r="K7801" t="str">
        <f>""</f>
        <v/>
      </c>
      <c r="M7801" t="s">
        <v>68</v>
      </c>
      <c r="N7801" t="str">
        <f t="shared" si="772"/>
        <v>FOR</v>
      </c>
      <c r="O7801" t="s">
        <v>69</v>
      </c>
      <c r="P7801" s="3" t="s">
        <v>75</v>
      </c>
      <c r="Q7801">
        <v>2016</v>
      </c>
      <c r="R7801" s="2">
        <v>42466</v>
      </c>
      <c r="S7801" s="2">
        <v>42473</v>
      </c>
      <c r="T7801" s="2">
        <v>42466</v>
      </c>
      <c r="U7801" s="2">
        <v>42526</v>
      </c>
      <c r="V7801" t="s">
        <v>71</v>
      </c>
      <c r="W7801" t="str">
        <f>"              164/02"</f>
        <v xml:space="preserve">              164/02</v>
      </c>
      <c r="X7801">
        <v>884</v>
      </c>
      <c r="Y7801">
        <v>0</v>
      </c>
      <c r="Z7801" s="3">
        <v>850</v>
      </c>
      <c r="AA7801">
        <v>157</v>
      </c>
      <c r="AB7801" s="5">
        <v>133450</v>
      </c>
      <c r="AC7801">
        <v>850</v>
      </c>
      <c r="AD7801">
        <v>157</v>
      </c>
      <c r="AE7801" s="1">
        <v>133450</v>
      </c>
      <c r="AF7801">
        <v>0</v>
      </c>
      <c r="AJ7801">
        <v>0</v>
      </c>
      <c r="AK7801">
        <v>0</v>
      </c>
      <c r="AL7801">
        <v>0</v>
      </c>
      <c r="AM7801">
        <v>884</v>
      </c>
      <c r="AN7801">
        <v>884</v>
      </c>
      <c r="AO7801">
        <v>884</v>
      </c>
      <c r="AP7801" s="2">
        <v>42746</v>
      </c>
      <c r="AQ7801" t="s">
        <v>72</v>
      </c>
      <c r="AR7801" t="s">
        <v>72</v>
      </c>
      <c r="AS7801">
        <v>3027</v>
      </c>
      <c r="AT7801" s="4">
        <v>42683</v>
      </c>
      <c r="AU7801" t="s">
        <v>73</v>
      </c>
      <c r="AV7801">
        <v>3027</v>
      </c>
      <c r="AW7801" s="4">
        <v>42683</v>
      </c>
      <c r="BD7801">
        <v>0</v>
      </c>
      <c r="BN7801" t="s">
        <v>74</v>
      </c>
    </row>
    <row r="7802" spans="1:66">
      <c r="A7802">
        <v>104489</v>
      </c>
      <c r="B7802" s="3" t="s">
        <v>669</v>
      </c>
      <c r="C7802" s="1">
        <v>43300101</v>
      </c>
      <c r="D7802" t="s">
        <v>67</v>
      </c>
      <c r="H7802" t="str">
        <f t="shared" si="773"/>
        <v>07854330631</v>
      </c>
      <c r="I7802" t="str">
        <f t="shared" si="773"/>
        <v>07854330631</v>
      </c>
      <c r="K7802" t="str">
        <f>""</f>
        <v/>
      </c>
      <c r="M7802" t="s">
        <v>68</v>
      </c>
      <c r="N7802" t="str">
        <f t="shared" si="772"/>
        <v>FOR</v>
      </c>
      <c r="O7802" t="s">
        <v>69</v>
      </c>
      <c r="P7802" s="3" t="s">
        <v>75</v>
      </c>
      <c r="Q7802">
        <v>2016</v>
      </c>
      <c r="R7802" s="2">
        <v>42467</v>
      </c>
      <c r="S7802" s="2">
        <v>42473</v>
      </c>
      <c r="T7802" s="2">
        <v>42467</v>
      </c>
      <c r="U7802" s="2">
        <v>42527</v>
      </c>
      <c r="V7802" t="s">
        <v>71</v>
      </c>
      <c r="W7802" t="str">
        <f>"              167/02"</f>
        <v xml:space="preserve">              167/02</v>
      </c>
      <c r="X7802">
        <v>884</v>
      </c>
      <c r="Y7802">
        <v>0</v>
      </c>
      <c r="Z7802" s="3">
        <v>850</v>
      </c>
      <c r="AA7802">
        <v>156</v>
      </c>
      <c r="AB7802" s="5">
        <v>132600</v>
      </c>
      <c r="AC7802">
        <v>850</v>
      </c>
      <c r="AD7802">
        <v>156</v>
      </c>
      <c r="AE7802" s="1">
        <v>132600</v>
      </c>
      <c r="AF7802">
        <v>0</v>
      </c>
      <c r="AJ7802">
        <v>0</v>
      </c>
      <c r="AK7802">
        <v>0</v>
      </c>
      <c r="AL7802">
        <v>0</v>
      </c>
      <c r="AM7802">
        <v>884</v>
      </c>
      <c r="AN7802">
        <v>884</v>
      </c>
      <c r="AO7802">
        <v>884</v>
      </c>
      <c r="AP7802" s="2">
        <v>42746</v>
      </c>
      <c r="AQ7802" t="s">
        <v>72</v>
      </c>
      <c r="AR7802" t="s">
        <v>72</v>
      </c>
      <c r="AS7802">
        <v>3027</v>
      </c>
      <c r="AT7802" s="4">
        <v>42683</v>
      </c>
      <c r="AU7802" t="s">
        <v>73</v>
      </c>
      <c r="AV7802">
        <v>3027</v>
      </c>
      <c r="AW7802" s="4">
        <v>42683</v>
      </c>
      <c r="BD7802">
        <v>0</v>
      </c>
      <c r="BN7802" t="s">
        <v>74</v>
      </c>
    </row>
    <row r="7803" spans="1:66">
      <c r="A7803">
        <v>104489</v>
      </c>
      <c r="B7803" s="3" t="s">
        <v>669</v>
      </c>
      <c r="C7803" s="1">
        <v>43300101</v>
      </c>
      <c r="D7803" t="s">
        <v>67</v>
      </c>
      <c r="H7803" t="str">
        <f t="shared" si="773"/>
        <v>07854330631</v>
      </c>
      <c r="I7803" t="str">
        <f t="shared" si="773"/>
        <v>07854330631</v>
      </c>
      <c r="K7803" t="str">
        <f>""</f>
        <v/>
      </c>
      <c r="M7803" t="s">
        <v>68</v>
      </c>
      <c r="N7803" t="str">
        <f t="shared" si="772"/>
        <v>FOR</v>
      </c>
      <c r="O7803" t="s">
        <v>69</v>
      </c>
      <c r="P7803" s="3" t="s">
        <v>75</v>
      </c>
      <c r="Q7803">
        <v>2016</v>
      </c>
      <c r="R7803" s="2">
        <v>42471</v>
      </c>
      <c r="S7803" s="2">
        <v>42473</v>
      </c>
      <c r="T7803" s="2">
        <v>42471</v>
      </c>
      <c r="U7803" s="2">
        <v>42531</v>
      </c>
      <c r="V7803" t="s">
        <v>71</v>
      </c>
      <c r="W7803" t="str">
        <f>"              168/02"</f>
        <v xml:space="preserve">              168/02</v>
      </c>
      <c r="X7803">
        <v>884</v>
      </c>
      <c r="Y7803">
        <v>0</v>
      </c>
      <c r="Z7803" s="3">
        <v>850</v>
      </c>
      <c r="AA7803">
        <v>152</v>
      </c>
      <c r="AB7803" s="5">
        <v>129200</v>
      </c>
      <c r="AC7803">
        <v>850</v>
      </c>
      <c r="AD7803">
        <v>152</v>
      </c>
      <c r="AE7803" s="1">
        <v>129200</v>
      </c>
      <c r="AF7803">
        <v>0</v>
      </c>
      <c r="AJ7803">
        <v>0</v>
      </c>
      <c r="AK7803">
        <v>0</v>
      </c>
      <c r="AL7803">
        <v>0</v>
      </c>
      <c r="AM7803">
        <v>884</v>
      </c>
      <c r="AN7803">
        <v>884</v>
      </c>
      <c r="AO7803">
        <v>884</v>
      </c>
      <c r="AP7803" s="2">
        <v>42746</v>
      </c>
      <c r="AQ7803" t="s">
        <v>72</v>
      </c>
      <c r="AR7803" t="s">
        <v>72</v>
      </c>
      <c r="AS7803">
        <v>3027</v>
      </c>
      <c r="AT7803" s="4">
        <v>42683</v>
      </c>
      <c r="AU7803" t="s">
        <v>73</v>
      </c>
      <c r="AV7803">
        <v>3027</v>
      </c>
      <c r="AW7803" s="4">
        <v>42683</v>
      </c>
      <c r="BD7803">
        <v>0</v>
      </c>
      <c r="BN7803" t="s">
        <v>74</v>
      </c>
    </row>
    <row r="7804" spans="1:66">
      <c r="A7804">
        <v>104489</v>
      </c>
      <c r="B7804" s="3" t="s">
        <v>669</v>
      </c>
      <c r="C7804" s="1">
        <v>43300101</v>
      </c>
      <c r="D7804" t="s">
        <v>67</v>
      </c>
      <c r="H7804" t="str">
        <f t="shared" si="773"/>
        <v>07854330631</v>
      </c>
      <c r="I7804" t="str">
        <f t="shared" si="773"/>
        <v>07854330631</v>
      </c>
      <c r="K7804" t="str">
        <f>""</f>
        <v/>
      </c>
      <c r="M7804" t="s">
        <v>68</v>
      </c>
      <c r="N7804" t="str">
        <f t="shared" si="772"/>
        <v>FOR</v>
      </c>
      <c r="O7804" t="s">
        <v>69</v>
      </c>
      <c r="P7804" s="3" t="s">
        <v>75</v>
      </c>
      <c r="Q7804">
        <v>2016</v>
      </c>
      <c r="R7804" s="2">
        <v>42478</v>
      </c>
      <c r="S7804" s="2">
        <v>42492</v>
      </c>
      <c r="T7804" s="2">
        <v>42488</v>
      </c>
      <c r="U7804" s="2">
        <v>42548</v>
      </c>
      <c r="V7804" t="s">
        <v>71</v>
      </c>
      <c r="W7804" t="str">
        <f>"              180/02"</f>
        <v xml:space="preserve">              180/02</v>
      </c>
      <c r="X7804">
        <v>884</v>
      </c>
      <c r="Y7804">
        <v>0</v>
      </c>
      <c r="Z7804" s="3">
        <v>850</v>
      </c>
      <c r="AA7804">
        <v>135</v>
      </c>
      <c r="AB7804" s="5">
        <v>114750</v>
      </c>
      <c r="AC7804">
        <v>850</v>
      </c>
      <c r="AD7804">
        <v>135</v>
      </c>
      <c r="AE7804" s="1">
        <v>114750</v>
      </c>
      <c r="AF7804">
        <v>0</v>
      </c>
      <c r="AJ7804">
        <v>0</v>
      </c>
      <c r="AK7804">
        <v>0</v>
      </c>
      <c r="AL7804">
        <v>0</v>
      </c>
      <c r="AM7804">
        <v>884</v>
      </c>
      <c r="AN7804">
        <v>884</v>
      </c>
      <c r="AO7804">
        <v>884</v>
      </c>
      <c r="AP7804" s="2">
        <v>42746</v>
      </c>
      <c r="AQ7804" t="s">
        <v>72</v>
      </c>
      <c r="AR7804" t="s">
        <v>72</v>
      </c>
      <c r="AS7804">
        <v>3027</v>
      </c>
      <c r="AT7804" s="4">
        <v>42683</v>
      </c>
      <c r="AU7804" t="s">
        <v>73</v>
      </c>
      <c r="AV7804">
        <v>3027</v>
      </c>
      <c r="AW7804" s="4">
        <v>42683</v>
      </c>
      <c r="BD7804">
        <v>0</v>
      </c>
      <c r="BN7804" t="s">
        <v>74</v>
      </c>
    </row>
    <row r="7805" spans="1:66">
      <c r="A7805">
        <v>104489</v>
      </c>
      <c r="B7805" s="3" t="s">
        <v>669</v>
      </c>
      <c r="C7805" s="1">
        <v>43300101</v>
      </c>
      <c r="D7805" t="s">
        <v>67</v>
      </c>
      <c r="H7805" t="str">
        <f t="shared" si="773"/>
        <v>07854330631</v>
      </c>
      <c r="I7805" t="str">
        <f t="shared" si="773"/>
        <v>07854330631</v>
      </c>
      <c r="K7805" t="str">
        <f>""</f>
        <v/>
      </c>
      <c r="M7805" t="s">
        <v>68</v>
      </c>
      <c r="N7805" t="str">
        <f t="shared" si="772"/>
        <v>FOR</v>
      </c>
      <c r="O7805" t="s">
        <v>69</v>
      </c>
      <c r="P7805" s="3" t="s">
        <v>75</v>
      </c>
      <c r="Q7805">
        <v>2016</v>
      </c>
      <c r="R7805" s="2">
        <v>42487</v>
      </c>
      <c r="S7805" s="2">
        <v>42492</v>
      </c>
      <c r="T7805" s="2">
        <v>42488</v>
      </c>
      <c r="U7805" s="2">
        <v>42548</v>
      </c>
      <c r="V7805" t="s">
        <v>71</v>
      </c>
      <c r="W7805" t="str">
        <f>"              192/02"</f>
        <v xml:space="preserve">              192/02</v>
      </c>
      <c r="X7805" s="1">
        <v>2448.58</v>
      </c>
      <c r="Y7805">
        <v>0</v>
      </c>
      <c r="Z7805" s="5">
        <v>2354.4</v>
      </c>
      <c r="AA7805">
        <v>135</v>
      </c>
      <c r="AB7805" s="5">
        <v>317844</v>
      </c>
      <c r="AC7805" s="1">
        <v>2354.4</v>
      </c>
      <c r="AD7805">
        <v>135</v>
      </c>
      <c r="AE7805" s="1">
        <v>317844</v>
      </c>
      <c r="AF7805">
        <v>0</v>
      </c>
      <c r="AJ7805">
        <v>0</v>
      </c>
      <c r="AK7805">
        <v>0</v>
      </c>
      <c r="AL7805">
        <v>0</v>
      </c>
      <c r="AM7805" s="1">
        <v>2448.58</v>
      </c>
      <c r="AN7805" s="1">
        <v>2448.58</v>
      </c>
      <c r="AO7805" s="1">
        <v>2448.58</v>
      </c>
      <c r="AP7805" s="2">
        <v>42746</v>
      </c>
      <c r="AQ7805" t="s">
        <v>72</v>
      </c>
      <c r="AR7805" t="s">
        <v>72</v>
      </c>
      <c r="AS7805">
        <v>3027</v>
      </c>
      <c r="AT7805" s="4">
        <v>42683</v>
      </c>
      <c r="AU7805" t="s">
        <v>73</v>
      </c>
      <c r="AV7805">
        <v>3027</v>
      </c>
      <c r="AW7805" s="4">
        <v>42683</v>
      </c>
      <c r="BD7805">
        <v>0</v>
      </c>
      <c r="BN7805" t="s">
        <v>74</v>
      </c>
    </row>
    <row r="7806" spans="1:66">
      <c r="A7806">
        <v>104489</v>
      </c>
      <c r="B7806" s="3" t="s">
        <v>669</v>
      </c>
      <c r="C7806" s="1">
        <v>43300101</v>
      </c>
      <c r="D7806" t="s">
        <v>67</v>
      </c>
      <c r="H7806" t="str">
        <f t="shared" si="773"/>
        <v>07854330631</v>
      </c>
      <c r="I7806" t="str">
        <f t="shared" si="773"/>
        <v>07854330631</v>
      </c>
      <c r="K7806" t="str">
        <f>""</f>
        <v/>
      </c>
      <c r="M7806" t="s">
        <v>68</v>
      </c>
      <c r="N7806" t="str">
        <f t="shared" si="772"/>
        <v>FOR</v>
      </c>
      <c r="O7806" t="s">
        <v>69</v>
      </c>
      <c r="P7806" s="3" t="s">
        <v>75</v>
      </c>
      <c r="Q7806">
        <v>2016</v>
      </c>
      <c r="R7806" s="2">
        <v>42496</v>
      </c>
      <c r="S7806" s="2">
        <v>42565</v>
      </c>
      <c r="T7806" s="2">
        <v>42564</v>
      </c>
      <c r="U7806" s="2">
        <v>42624</v>
      </c>
      <c r="V7806" t="s">
        <v>71</v>
      </c>
      <c r="W7806" t="str">
        <f>"              210/02"</f>
        <v xml:space="preserve">              210/02</v>
      </c>
      <c r="X7806">
        <v>884</v>
      </c>
      <c r="Y7806">
        <v>0</v>
      </c>
      <c r="Z7806" s="3">
        <v>850</v>
      </c>
      <c r="AA7806">
        <v>94</v>
      </c>
      <c r="AB7806" s="5">
        <v>79900</v>
      </c>
      <c r="AC7806">
        <v>850</v>
      </c>
      <c r="AD7806">
        <v>94</v>
      </c>
      <c r="AE7806" s="1">
        <v>79900</v>
      </c>
      <c r="AF7806">
        <v>34</v>
      </c>
      <c r="AJ7806">
        <v>0</v>
      </c>
      <c r="AK7806">
        <v>0</v>
      </c>
      <c r="AL7806">
        <v>0</v>
      </c>
      <c r="AM7806">
        <v>884</v>
      </c>
      <c r="AN7806">
        <v>884</v>
      </c>
      <c r="AO7806">
        <v>884</v>
      </c>
      <c r="AP7806" s="2">
        <v>42746</v>
      </c>
      <c r="AQ7806" t="s">
        <v>72</v>
      </c>
      <c r="AR7806" t="s">
        <v>72</v>
      </c>
      <c r="AS7806">
        <v>3470</v>
      </c>
      <c r="AT7806" s="4">
        <v>42718</v>
      </c>
      <c r="AU7806" t="s">
        <v>73</v>
      </c>
      <c r="AV7806">
        <v>3470</v>
      </c>
      <c r="AW7806" s="4">
        <v>42718</v>
      </c>
      <c r="BA7806">
        <v>34</v>
      </c>
      <c r="BD7806">
        <v>0</v>
      </c>
      <c r="BN7806" t="s">
        <v>74</v>
      </c>
    </row>
    <row r="7807" spans="1:66">
      <c r="A7807">
        <v>104489</v>
      </c>
      <c r="B7807" s="3" t="s">
        <v>669</v>
      </c>
      <c r="C7807" s="1">
        <v>43300101</v>
      </c>
      <c r="D7807" t="s">
        <v>67</v>
      </c>
      <c r="H7807" t="str">
        <f t="shared" si="773"/>
        <v>07854330631</v>
      </c>
      <c r="I7807" t="str">
        <f t="shared" si="773"/>
        <v>07854330631</v>
      </c>
      <c r="K7807" t="str">
        <f>""</f>
        <v/>
      </c>
      <c r="M7807" t="s">
        <v>68</v>
      </c>
      <c r="N7807" t="str">
        <f t="shared" si="772"/>
        <v>FOR</v>
      </c>
      <c r="O7807" t="s">
        <v>69</v>
      </c>
      <c r="P7807" s="3" t="s">
        <v>75</v>
      </c>
      <c r="Q7807">
        <v>2016</v>
      </c>
      <c r="R7807" s="2">
        <v>42501</v>
      </c>
      <c r="S7807" s="2">
        <v>42565</v>
      </c>
      <c r="T7807" s="2">
        <v>42564</v>
      </c>
      <c r="U7807" s="2">
        <v>42624</v>
      </c>
      <c r="V7807" t="s">
        <v>71</v>
      </c>
      <c r="W7807" t="str">
        <f>"              223/02"</f>
        <v xml:space="preserve">              223/02</v>
      </c>
      <c r="X7807" s="1">
        <v>5713.34</v>
      </c>
      <c r="Y7807">
        <v>0</v>
      </c>
      <c r="Z7807" s="5">
        <v>5493.6</v>
      </c>
      <c r="AA7807">
        <v>94</v>
      </c>
      <c r="AB7807" s="5">
        <v>516398.4</v>
      </c>
      <c r="AC7807" s="1">
        <v>5493.6</v>
      </c>
      <c r="AD7807">
        <v>94</v>
      </c>
      <c r="AE7807" s="1">
        <v>516398.4</v>
      </c>
      <c r="AF7807">
        <v>219.74</v>
      </c>
      <c r="AJ7807">
        <v>0</v>
      </c>
      <c r="AK7807">
        <v>0</v>
      </c>
      <c r="AL7807">
        <v>0</v>
      </c>
      <c r="AM7807" s="1">
        <v>5713.34</v>
      </c>
      <c r="AN7807" s="1">
        <v>5713.34</v>
      </c>
      <c r="AO7807" s="1">
        <v>5713.34</v>
      </c>
      <c r="AP7807" s="2">
        <v>42746</v>
      </c>
      <c r="AQ7807" t="s">
        <v>72</v>
      </c>
      <c r="AR7807" t="s">
        <v>72</v>
      </c>
      <c r="AS7807">
        <v>3470</v>
      </c>
      <c r="AT7807" s="4">
        <v>42718</v>
      </c>
      <c r="AU7807" t="s">
        <v>73</v>
      </c>
      <c r="AV7807">
        <v>3470</v>
      </c>
      <c r="AW7807" s="4">
        <v>42718</v>
      </c>
      <c r="BA7807">
        <v>219.74</v>
      </c>
      <c r="BD7807">
        <v>0</v>
      </c>
      <c r="BN7807" t="s">
        <v>74</v>
      </c>
    </row>
    <row r="7808" spans="1:66" hidden="1">
      <c r="A7808">
        <v>104492</v>
      </c>
      <c r="B7808" s="3" t="s">
        <v>670</v>
      </c>
      <c r="C7808" s="1">
        <v>43300101</v>
      </c>
      <c r="D7808" t="s">
        <v>67</v>
      </c>
      <c r="H7808" t="str">
        <f t="shared" ref="H7808:I7827" si="774">"05354730631"</f>
        <v>05354730631</v>
      </c>
      <c r="I7808" t="str">
        <f t="shared" si="774"/>
        <v>05354730631</v>
      </c>
      <c r="K7808" t="str">
        <f>""</f>
        <v/>
      </c>
      <c r="M7808" t="s">
        <v>68</v>
      </c>
      <c r="N7808" t="str">
        <f t="shared" si="772"/>
        <v>FOR</v>
      </c>
      <c r="O7808" t="s">
        <v>69</v>
      </c>
      <c r="P7808" s="3" t="s">
        <v>70</v>
      </c>
      <c r="Q7808">
        <v>2015</v>
      </c>
      <c r="R7808" s="2">
        <v>42048</v>
      </c>
      <c r="S7808" s="2">
        <v>42061</v>
      </c>
      <c r="T7808" s="2">
        <v>42061</v>
      </c>
      <c r="U7808" s="2">
        <v>42121</v>
      </c>
      <c r="V7808" t="s">
        <v>71</v>
      </c>
      <c r="W7808" t="str">
        <f>"                 378"</f>
        <v xml:space="preserve">                 378</v>
      </c>
      <c r="X7808" s="1">
        <v>5673</v>
      </c>
      <c r="Y7808">
        <v>0</v>
      </c>
      <c r="Z7808"/>
      <c r="AB7808"/>
      <c r="AC7808" s="1">
        <v>4650</v>
      </c>
      <c r="AD7808">
        <v>295</v>
      </c>
      <c r="AE7808" s="1">
        <v>1371750</v>
      </c>
      <c r="AF7808">
        <v>0</v>
      </c>
      <c r="AJ7808">
        <v>0</v>
      </c>
      <c r="AK7808">
        <v>0</v>
      </c>
      <c r="AL7808">
        <v>0</v>
      </c>
      <c r="AM7808">
        <v>0</v>
      </c>
      <c r="AN7808">
        <v>0</v>
      </c>
      <c r="AO7808">
        <v>0</v>
      </c>
      <c r="AP7808" s="2">
        <v>42746</v>
      </c>
      <c r="AQ7808" t="s">
        <v>72</v>
      </c>
      <c r="AR7808" t="s">
        <v>72</v>
      </c>
      <c r="AS7808">
        <v>407</v>
      </c>
      <c r="AT7808" s="4">
        <v>42416</v>
      </c>
      <c r="AU7808" t="s">
        <v>73</v>
      </c>
      <c r="AV7808">
        <v>407</v>
      </c>
      <c r="AW7808" s="4">
        <v>42416</v>
      </c>
      <c r="BD7808">
        <v>0</v>
      </c>
      <c r="BN7808" t="s">
        <v>74</v>
      </c>
    </row>
    <row r="7809" spans="1:66" hidden="1">
      <c r="A7809">
        <v>104492</v>
      </c>
      <c r="B7809" s="3" t="s">
        <v>670</v>
      </c>
      <c r="C7809" s="1">
        <v>43300101</v>
      </c>
      <c r="D7809" t="s">
        <v>67</v>
      </c>
      <c r="H7809" t="str">
        <f t="shared" si="774"/>
        <v>05354730631</v>
      </c>
      <c r="I7809" t="str">
        <f t="shared" si="774"/>
        <v>05354730631</v>
      </c>
      <c r="K7809" t="str">
        <f>""</f>
        <v/>
      </c>
      <c r="M7809" t="s">
        <v>68</v>
      </c>
      <c r="N7809" t="str">
        <f t="shared" si="772"/>
        <v>FOR</v>
      </c>
      <c r="O7809" t="s">
        <v>69</v>
      </c>
      <c r="P7809" s="3" t="s">
        <v>70</v>
      </c>
      <c r="Q7809">
        <v>2015</v>
      </c>
      <c r="R7809" s="2">
        <v>42083</v>
      </c>
      <c r="S7809" s="2">
        <v>42086</v>
      </c>
      <c r="T7809" s="2">
        <v>42086</v>
      </c>
      <c r="U7809" s="2">
        <v>42146</v>
      </c>
      <c r="V7809" t="s">
        <v>71</v>
      </c>
      <c r="W7809" t="str">
        <f>"                 720"</f>
        <v xml:space="preserve">                 720</v>
      </c>
      <c r="X7809" s="1">
        <v>5673</v>
      </c>
      <c r="Y7809">
        <v>0</v>
      </c>
      <c r="Z7809"/>
      <c r="AB7809"/>
      <c r="AC7809" s="1">
        <v>4650</v>
      </c>
      <c r="AD7809">
        <v>270</v>
      </c>
      <c r="AE7809" s="1">
        <v>1255500</v>
      </c>
      <c r="AF7809">
        <v>0</v>
      </c>
      <c r="AJ7809">
        <v>0</v>
      </c>
      <c r="AK7809">
        <v>0</v>
      </c>
      <c r="AL7809">
        <v>0</v>
      </c>
      <c r="AM7809">
        <v>0</v>
      </c>
      <c r="AN7809">
        <v>0</v>
      </c>
      <c r="AO7809">
        <v>0</v>
      </c>
      <c r="AP7809" s="2">
        <v>42746</v>
      </c>
      <c r="AQ7809" t="s">
        <v>72</v>
      </c>
      <c r="AR7809" t="s">
        <v>72</v>
      </c>
      <c r="AS7809">
        <v>407</v>
      </c>
      <c r="AT7809" s="4">
        <v>42416</v>
      </c>
      <c r="AU7809" t="s">
        <v>73</v>
      </c>
      <c r="AV7809">
        <v>407</v>
      </c>
      <c r="AW7809" s="4">
        <v>42416</v>
      </c>
      <c r="BD7809">
        <v>0</v>
      </c>
      <c r="BN7809" t="s">
        <v>74</v>
      </c>
    </row>
    <row r="7810" spans="1:66" hidden="1">
      <c r="A7810">
        <v>104492</v>
      </c>
      <c r="B7810" s="3" t="s">
        <v>670</v>
      </c>
      <c r="C7810" s="1">
        <v>43300101</v>
      </c>
      <c r="D7810" t="s">
        <v>67</v>
      </c>
      <c r="H7810" t="str">
        <f t="shared" si="774"/>
        <v>05354730631</v>
      </c>
      <c r="I7810" t="str">
        <f t="shared" si="774"/>
        <v>05354730631</v>
      </c>
      <c r="K7810" t="str">
        <f>""</f>
        <v/>
      </c>
      <c r="M7810" t="s">
        <v>68</v>
      </c>
      <c r="N7810" t="str">
        <f t="shared" si="772"/>
        <v>FOR</v>
      </c>
      <c r="O7810" t="s">
        <v>69</v>
      </c>
      <c r="P7810" s="3" t="s">
        <v>75</v>
      </c>
      <c r="Q7810">
        <v>2015</v>
      </c>
      <c r="R7810" s="2">
        <v>42108</v>
      </c>
      <c r="S7810" s="2">
        <v>42185</v>
      </c>
      <c r="T7810" s="2">
        <v>42110</v>
      </c>
      <c r="U7810" s="2">
        <v>42170</v>
      </c>
      <c r="V7810" t="s">
        <v>71</v>
      </c>
      <c r="W7810" t="str">
        <f>"                F925"</f>
        <v xml:space="preserve">                F925</v>
      </c>
      <c r="X7810">
        <v>78</v>
      </c>
      <c r="Y7810">
        <v>0</v>
      </c>
      <c r="Z7810"/>
      <c r="AB7810"/>
      <c r="AC7810">
        <v>75</v>
      </c>
      <c r="AD7810">
        <v>233</v>
      </c>
      <c r="AE7810" s="1">
        <v>17475</v>
      </c>
      <c r="AF7810">
        <v>0</v>
      </c>
      <c r="AJ7810">
        <v>0</v>
      </c>
      <c r="AK7810">
        <v>0</v>
      </c>
      <c r="AL7810">
        <v>0</v>
      </c>
      <c r="AM7810">
        <v>0</v>
      </c>
      <c r="AN7810">
        <v>0</v>
      </c>
      <c r="AO7810">
        <v>0</v>
      </c>
      <c r="AP7810" s="2">
        <v>42746</v>
      </c>
      <c r="AQ7810" t="s">
        <v>72</v>
      </c>
      <c r="AR7810" t="s">
        <v>72</v>
      </c>
      <c r="AS7810">
        <v>235</v>
      </c>
      <c r="AT7810" s="4">
        <v>42403</v>
      </c>
      <c r="AU7810" t="s">
        <v>73</v>
      </c>
      <c r="AV7810">
        <v>235</v>
      </c>
      <c r="AW7810" s="4">
        <v>42403</v>
      </c>
      <c r="BD7810">
        <v>0</v>
      </c>
      <c r="BN7810" t="s">
        <v>74</v>
      </c>
    </row>
    <row r="7811" spans="1:66" hidden="1">
      <c r="A7811">
        <v>104492</v>
      </c>
      <c r="B7811" s="3" t="s">
        <v>670</v>
      </c>
      <c r="C7811" s="1">
        <v>43300101</v>
      </c>
      <c r="D7811" t="s">
        <v>67</v>
      </c>
      <c r="H7811" t="str">
        <f t="shared" si="774"/>
        <v>05354730631</v>
      </c>
      <c r="I7811" t="str">
        <f t="shared" si="774"/>
        <v>05354730631</v>
      </c>
      <c r="K7811" t="str">
        <f>""</f>
        <v/>
      </c>
      <c r="M7811" t="s">
        <v>68</v>
      </c>
      <c r="N7811" t="str">
        <f t="shared" si="772"/>
        <v>FOR</v>
      </c>
      <c r="O7811" t="s">
        <v>69</v>
      </c>
      <c r="P7811" s="3" t="s">
        <v>75</v>
      </c>
      <c r="Q7811">
        <v>2015</v>
      </c>
      <c r="R7811" s="2">
        <v>42124</v>
      </c>
      <c r="S7811" s="2">
        <v>42132</v>
      </c>
      <c r="T7811" s="2">
        <v>42131</v>
      </c>
      <c r="U7811" s="2">
        <v>42191</v>
      </c>
      <c r="V7811" t="s">
        <v>71</v>
      </c>
      <c r="W7811" t="str">
        <f>"               F1113"</f>
        <v xml:space="preserve">               F1113</v>
      </c>
      <c r="X7811" s="1">
        <v>5673</v>
      </c>
      <c r="Y7811">
        <v>0</v>
      </c>
      <c r="Z7811"/>
      <c r="AB7811"/>
      <c r="AC7811" s="1">
        <v>4650</v>
      </c>
      <c r="AD7811">
        <v>225</v>
      </c>
      <c r="AE7811" s="1">
        <v>1046250</v>
      </c>
      <c r="AF7811">
        <v>0</v>
      </c>
      <c r="AJ7811">
        <v>0</v>
      </c>
      <c r="AK7811">
        <v>0</v>
      </c>
      <c r="AL7811">
        <v>0</v>
      </c>
      <c r="AM7811">
        <v>0</v>
      </c>
      <c r="AN7811">
        <v>0</v>
      </c>
      <c r="AO7811">
        <v>0</v>
      </c>
      <c r="AP7811" s="2">
        <v>42746</v>
      </c>
      <c r="AQ7811" t="s">
        <v>72</v>
      </c>
      <c r="AR7811" t="s">
        <v>72</v>
      </c>
      <c r="AS7811">
        <v>407</v>
      </c>
      <c r="AT7811" s="4">
        <v>42416</v>
      </c>
      <c r="AU7811" t="s">
        <v>73</v>
      </c>
      <c r="AV7811">
        <v>407</v>
      </c>
      <c r="AW7811" s="4">
        <v>42416</v>
      </c>
      <c r="BD7811">
        <v>0</v>
      </c>
      <c r="BN7811" t="s">
        <v>74</v>
      </c>
    </row>
    <row r="7812" spans="1:66" hidden="1">
      <c r="A7812">
        <v>104492</v>
      </c>
      <c r="B7812" s="3" t="s">
        <v>670</v>
      </c>
      <c r="C7812" s="1">
        <v>43300101</v>
      </c>
      <c r="D7812" t="s">
        <v>67</v>
      </c>
      <c r="H7812" t="str">
        <f t="shared" si="774"/>
        <v>05354730631</v>
      </c>
      <c r="I7812" t="str">
        <f t="shared" si="774"/>
        <v>05354730631</v>
      </c>
      <c r="K7812" t="str">
        <f>""</f>
        <v/>
      </c>
      <c r="M7812" t="s">
        <v>68</v>
      </c>
      <c r="N7812" t="str">
        <f t="shared" si="772"/>
        <v>FOR</v>
      </c>
      <c r="O7812" t="s">
        <v>69</v>
      </c>
      <c r="P7812" s="3" t="s">
        <v>75</v>
      </c>
      <c r="Q7812">
        <v>2015</v>
      </c>
      <c r="R7812" s="2">
        <v>42124</v>
      </c>
      <c r="S7812" s="2">
        <v>42131</v>
      </c>
      <c r="T7812" s="2">
        <v>42130</v>
      </c>
      <c r="U7812" s="2">
        <v>42190</v>
      </c>
      <c r="V7812" t="s">
        <v>71</v>
      </c>
      <c r="W7812" t="str">
        <f>"               F1136"</f>
        <v xml:space="preserve">               F1136</v>
      </c>
      <c r="X7812">
        <v>104</v>
      </c>
      <c r="Y7812">
        <v>0</v>
      </c>
      <c r="Z7812"/>
      <c r="AB7812"/>
      <c r="AC7812">
        <v>100</v>
      </c>
      <c r="AD7812">
        <v>213</v>
      </c>
      <c r="AE7812" s="1">
        <v>21300</v>
      </c>
      <c r="AF7812">
        <v>0</v>
      </c>
      <c r="AJ7812">
        <v>0</v>
      </c>
      <c r="AK7812">
        <v>0</v>
      </c>
      <c r="AL7812">
        <v>0</v>
      </c>
      <c r="AM7812">
        <v>0</v>
      </c>
      <c r="AN7812">
        <v>0</v>
      </c>
      <c r="AO7812">
        <v>0</v>
      </c>
      <c r="AP7812" s="2">
        <v>42746</v>
      </c>
      <c r="AQ7812" t="s">
        <v>72</v>
      </c>
      <c r="AR7812" t="s">
        <v>72</v>
      </c>
      <c r="AS7812">
        <v>235</v>
      </c>
      <c r="AT7812" s="4">
        <v>42403</v>
      </c>
      <c r="AU7812" t="s">
        <v>73</v>
      </c>
      <c r="AV7812">
        <v>235</v>
      </c>
      <c r="AW7812" s="4">
        <v>42403</v>
      </c>
      <c r="BD7812">
        <v>0</v>
      </c>
      <c r="BN7812" t="s">
        <v>74</v>
      </c>
    </row>
    <row r="7813" spans="1:66" hidden="1">
      <c r="A7813">
        <v>104492</v>
      </c>
      <c r="B7813" s="3" t="s">
        <v>670</v>
      </c>
      <c r="C7813" s="1">
        <v>43300101</v>
      </c>
      <c r="D7813" t="s">
        <v>67</v>
      </c>
      <c r="H7813" t="str">
        <f t="shared" si="774"/>
        <v>05354730631</v>
      </c>
      <c r="I7813" t="str">
        <f t="shared" si="774"/>
        <v>05354730631</v>
      </c>
      <c r="K7813" t="str">
        <f>""</f>
        <v/>
      </c>
      <c r="M7813" t="s">
        <v>68</v>
      </c>
      <c r="N7813" t="str">
        <f t="shared" si="772"/>
        <v>FOR</v>
      </c>
      <c r="O7813" t="s">
        <v>69</v>
      </c>
      <c r="P7813" s="3" t="s">
        <v>75</v>
      </c>
      <c r="Q7813">
        <v>2015</v>
      </c>
      <c r="R7813" s="2">
        <v>42124</v>
      </c>
      <c r="S7813" s="2">
        <v>42131</v>
      </c>
      <c r="T7813" s="2">
        <v>42130</v>
      </c>
      <c r="U7813" s="2">
        <v>42190</v>
      </c>
      <c r="V7813" t="s">
        <v>71</v>
      </c>
      <c r="W7813" t="str">
        <f>"               F1137"</f>
        <v xml:space="preserve">               F1137</v>
      </c>
      <c r="X7813">
        <v>135.19999999999999</v>
      </c>
      <c r="Y7813">
        <v>0</v>
      </c>
      <c r="Z7813"/>
      <c r="AB7813"/>
      <c r="AC7813">
        <v>130</v>
      </c>
      <c r="AD7813">
        <v>213</v>
      </c>
      <c r="AE7813" s="1">
        <v>27690</v>
      </c>
      <c r="AF7813">
        <v>0</v>
      </c>
      <c r="AJ7813">
        <v>0</v>
      </c>
      <c r="AK7813">
        <v>0</v>
      </c>
      <c r="AL7813">
        <v>0</v>
      </c>
      <c r="AM7813">
        <v>0</v>
      </c>
      <c r="AN7813">
        <v>0</v>
      </c>
      <c r="AO7813">
        <v>0</v>
      </c>
      <c r="AP7813" s="2">
        <v>42746</v>
      </c>
      <c r="AQ7813" t="s">
        <v>72</v>
      </c>
      <c r="AR7813" t="s">
        <v>72</v>
      </c>
      <c r="AS7813">
        <v>235</v>
      </c>
      <c r="AT7813" s="4">
        <v>42403</v>
      </c>
      <c r="AU7813" t="s">
        <v>73</v>
      </c>
      <c r="AV7813">
        <v>235</v>
      </c>
      <c r="AW7813" s="4">
        <v>42403</v>
      </c>
      <c r="BD7813">
        <v>0</v>
      </c>
      <c r="BN7813" t="s">
        <v>74</v>
      </c>
    </row>
    <row r="7814" spans="1:66" hidden="1">
      <c r="A7814">
        <v>104492</v>
      </c>
      <c r="B7814" s="3" t="s">
        <v>670</v>
      </c>
      <c r="C7814" s="1">
        <v>43300101</v>
      </c>
      <c r="D7814" t="s">
        <v>67</v>
      </c>
      <c r="H7814" t="str">
        <f t="shared" si="774"/>
        <v>05354730631</v>
      </c>
      <c r="I7814" t="str">
        <f t="shared" si="774"/>
        <v>05354730631</v>
      </c>
      <c r="K7814" t="str">
        <f>""</f>
        <v/>
      </c>
      <c r="M7814" t="s">
        <v>68</v>
      </c>
      <c r="N7814" t="str">
        <f t="shared" si="772"/>
        <v>FOR</v>
      </c>
      <c r="O7814" t="s">
        <v>69</v>
      </c>
      <c r="P7814" s="3" t="s">
        <v>75</v>
      </c>
      <c r="Q7814">
        <v>2015</v>
      </c>
      <c r="R7814" s="2">
        <v>42124</v>
      </c>
      <c r="S7814" s="2">
        <v>42131</v>
      </c>
      <c r="T7814" s="2">
        <v>42130</v>
      </c>
      <c r="U7814" s="2">
        <v>42190</v>
      </c>
      <c r="V7814" t="s">
        <v>71</v>
      </c>
      <c r="W7814" t="str">
        <f>"               F1138"</f>
        <v xml:space="preserve">               F1138</v>
      </c>
      <c r="X7814">
        <v>135.19999999999999</v>
      </c>
      <c r="Y7814">
        <v>0</v>
      </c>
      <c r="Z7814"/>
      <c r="AB7814"/>
      <c r="AC7814">
        <v>130</v>
      </c>
      <c r="AD7814">
        <v>213</v>
      </c>
      <c r="AE7814" s="1">
        <v>27690</v>
      </c>
      <c r="AF7814">
        <v>0</v>
      </c>
      <c r="AJ7814">
        <v>0</v>
      </c>
      <c r="AK7814">
        <v>0</v>
      </c>
      <c r="AL7814">
        <v>0</v>
      </c>
      <c r="AM7814">
        <v>0</v>
      </c>
      <c r="AN7814">
        <v>0</v>
      </c>
      <c r="AO7814">
        <v>0</v>
      </c>
      <c r="AP7814" s="2">
        <v>42746</v>
      </c>
      <c r="AQ7814" t="s">
        <v>72</v>
      </c>
      <c r="AR7814" t="s">
        <v>72</v>
      </c>
      <c r="AS7814">
        <v>235</v>
      </c>
      <c r="AT7814" s="4">
        <v>42403</v>
      </c>
      <c r="AU7814" t="s">
        <v>73</v>
      </c>
      <c r="AV7814">
        <v>235</v>
      </c>
      <c r="AW7814" s="4">
        <v>42403</v>
      </c>
      <c r="BD7814">
        <v>0</v>
      </c>
      <c r="BN7814" t="s">
        <v>74</v>
      </c>
    </row>
    <row r="7815" spans="1:66" hidden="1">
      <c r="A7815">
        <v>104492</v>
      </c>
      <c r="B7815" s="3" t="s">
        <v>670</v>
      </c>
      <c r="C7815" s="1">
        <v>43300101</v>
      </c>
      <c r="D7815" t="s">
        <v>67</v>
      </c>
      <c r="H7815" t="str">
        <f t="shared" si="774"/>
        <v>05354730631</v>
      </c>
      <c r="I7815" t="str">
        <f t="shared" si="774"/>
        <v>05354730631</v>
      </c>
      <c r="K7815" t="str">
        <f>""</f>
        <v/>
      </c>
      <c r="M7815" t="s">
        <v>68</v>
      </c>
      <c r="N7815" t="str">
        <f t="shared" si="772"/>
        <v>FOR</v>
      </c>
      <c r="O7815" t="s">
        <v>69</v>
      </c>
      <c r="P7815" s="3" t="s">
        <v>75</v>
      </c>
      <c r="Q7815">
        <v>2015</v>
      </c>
      <c r="R7815" s="2">
        <v>42124</v>
      </c>
      <c r="S7815" s="2">
        <v>42131</v>
      </c>
      <c r="T7815" s="2">
        <v>42130</v>
      </c>
      <c r="U7815" s="2">
        <v>42190</v>
      </c>
      <c r="V7815" t="s">
        <v>71</v>
      </c>
      <c r="W7815" t="str">
        <f>"               F1139"</f>
        <v xml:space="preserve">               F1139</v>
      </c>
      <c r="X7815">
        <v>135.19999999999999</v>
      </c>
      <c r="Y7815">
        <v>0</v>
      </c>
      <c r="Z7815"/>
      <c r="AB7815"/>
      <c r="AC7815">
        <v>130</v>
      </c>
      <c r="AD7815">
        <v>213</v>
      </c>
      <c r="AE7815" s="1">
        <v>27690</v>
      </c>
      <c r="AF7815">
        <v>0</v>
      </c>
      <c r="AJ7815">
        <v>0</v>
      </c>
      <c r="AK7815">
        <v>0</v>
      </c>
      <c r="AL7815">
        <v>0</v>
      </c>
      <c r="AM7815">
        <v>0</v>
      </c>
      <c r="AN7815">
        <v>0</v>
      </c>
      <c r="AO7815">
        <v>0</v>
      </c>
      <c r="AP7815" s="2">
        <v>42746</v>
      </c>
      <c r="AQ7815" t="s">
        <v>72</v>
      </c>
      <c r="AR7815" t="s">
        <v>72</v>
      </c>
      <c r="AS7815">
        <v>235</v>
      </c>
      <c r="AT7815" s="4">
        <v>42403</v>
      </c>
      <c r="AU7815" t="s">
        <v>73</v>
      </c>
      <c r="AV7815">
        <v>235</v>
      </c>
      <c r="AW7815" s="4">
        <v>42403</v>
      </c>
      <c r="BD7815">
        <v>0</v>
      </c>
      <c r="BN7815" t="s">
        <v>74</v>
      </c>
    </row>
    <row r="7816" spans="1:66" hidden="1">
      <c r="A7816">
        <v>104492</v>
      </c>
      <c r="B7816" s="3" t="s">
        <v>670</v>
      </c>
      <c r="C7816" s="1">
        <v>43300101</v>
      </c>
      <c r="D7816" t="s">
        <v>67</v>
      </c>
      <c r="H7816" t="str">
        <f t="shared" si="774"/>
        <v>05354730631</v>
      </c>
      <c r="I7816" t="str">
        <f t="shared" si="774"/>
        <v>05354730631</v>
      </c>
      <c r="K7816" t="str">
        <f>""</f>
        <v/>
      </c>
      <c r="M7816" t="s">
        <v>68</v>
      </c>
      <c r="N7816" t="str">
        <f t="shared" si="772"/>
        <v>FOR</v>
      </c>
      <c r="O7816" t="s">
        <v>69</v>
      </c>
      <c r="P7816" s="3" t="s">
        <v>75</v>
      </c>
      <c r="Q7816">
        <v>2015</v>
      </c>
      <c r="R7816" s="2">
        <v>42146</v>
      </c>
      <c r="S7816" s="2">
        <v>42163</v>
      </c>
      <c r="T7816" s="2">
        <v>42149</v>
      </c>
      <c r="U7816" s="2">
        <v>42209</v>
      </c>
      <c r="V7816" t="s">
        <v>71</v>
      </c>
      <c r="W7816" t="str">
        <f>"               F1323"</f>
        <v xml:space="preserve">               F1323</v>
      </c>
      <c r="X7816">
        <v>104</v>
      </c>
      <c r="Y7816">
        <v>0</v>
      </c>
      <c r="Z7816"/>
      <c r="AB7816"/>
      <c r="AC7816">
        <v>100</v>
      </c>
      <c r="AD7816">
        <v>194</v>
      </c>
      <c r="AE7816" s="1">
        <v>19400</v>
      </c>
      <c r="AF7816">
        <v>0</v>
      </c>
      <c r="AJ7816">
        <v>0</v>
      </c>
      <c r="AK7816">
        <v>0</v>
      </c>
      <c r="AL7816">
        <v>0</v>
      </c>
      <c r="AM7816">
        <v>0</v>
      </c>
      <c r="AN7816">
        <v>0</v>
      </c>
      <c r="AO7816">
        <v>0</v>
      </c>
      <c r="AP7816" s="2">
        <v>42746</v>
      </c>
      <c r="AQ7816" t="s">
        <v>72</v>
      </c>
      <c r="AR7816" t="s">
        <v>72</v>
      </c>
      <c r="AS7816">
        <v>235</v>
      </c>
      <c r="AT7816" s="4">
        <v>42403</v>
      </c>
      <c r="AU7816" t="s">
        <v>73</v>
      </c>
      <c r="AV7816">
        <v>235</v>
      </c>
      <c r="AW7816" s="4">
        <v>42403</v>
      </c>
      <c r="BD7816">
        <v>0</v>
      </c>
      <c r="BN7816" t="s">
        <v>74</v>
      </c>
    </row>
    <row r="7817" spans="1:66" hidden="1">
      <c r="A7817">
        <v>104492</v>
      </c>
      <c r="B7817" s="3" t="s">
        <v>670</v>
      </c>
      <c r="C7817" s="1">
        <v>43300101</v>
      </c>
      <c r="D7817" t="s">
        <v>67</v>
      </c>
      <c r="H7817" t="str">
        <f t="shared" si="774"/>
        <v>05354730631</v>
      </c>
      <c r="I7817" t="str">
        <f t="shared" si="774"/>
        <v>05354730631</v>
      </c>
      <c r="K7817" t="str">
        <f>""</f>
        <v/>
      </c>
      <c r="M7817" t="s">
        <v>68</v>
      </c>
      <c r="N7817" t="str">
        <f t="shared" si="772"/>
        <v>FOR</v>
      </c>
      <c r="O7817" t="s">
        <v>69</v>
      </c>
      <c r="P7817" s="3" t="s">
        <v>75</v>
      </c>
      <c r="Q7817">
        <v>2015</v>
      </c>
      <c r="R7817" s="2">
        <v>42146</v>
      </c>
      <c r="S7817" s="2">
        <v>42163</v>
      </c>
      <c r="T7817" s="2">
        <v>42149</v>
      </c>
      <c r="U7817" s="2">
        <v>42209</v>
      </c>
      <c r="V7817" t="s">
        <v>71</v>
      </c>
      <c r="W7817" t="str">
        <f>"               F1324"</f>
        <v xml:space="preserve">               F1324</v>
      </c>
      <c r="X7817">
        <v>104</v>
      </c>
      <c r="Y7817">
        <v>0</v>
      </c>
      <c r="Z7817"/>
      <c r="AB7817"/>
      <c r="AC7817">
        <v>100</v>
      </c>
      <c r="AD7817">
        <v>194</v>
      </c>
      <c r="AE7817" s="1">
        <v>19400</v>
      </c>
      <c r="AF7817">
        <v>0</v>
      </c>
      <c r="AJ7817">
        <v>0</v>
      </c>
      <c r="AK7817">
        <v>0</v>
      </c>
      <c r="AL7817">
        <v>0</v>
      </c>
      <c r="AM7817">
        <v>0</v>
      </c>
      <c r="AN7817">
        <v>0</v>
      </c>
      <c r="AO7817">
        <v>0</v>
      </c>
      <c r="AP7817" s="2">
        <v>42746</v>
      </c>
      <c r="AQ7817" t="s">
        <v>72</v>
      </c>
      <c r="AR7817" t="s">
        <v>72</v>
      </c>
      <c r="AS7817">
        <v>235</v>
      </c>
      <c r="AT7817" s="4">
        <v>42403</v>
      </c>
      <c r="AU7817" t="s">
        <v>73</v>
      </c>
      <c r="AV7817">
        <v>235</v>
      </c>
      <c r="AW7817" s="4">
        <v>42403</v>
      </c>
      <c r="BD7817">
        <v>0</v>
      </c>
      <c r="BN7817" t="s">
        <v>74</v>
      </c>
    </row>
    <row r="7818" spans="1:66" hidden="1">
      <c r="A7818">
        <v>104492</v>
      </c>
      <c r="B7818" s="3" t="s">
        <v>670</v>
      </c>
      <c r="C7818" s="1">
        <v>43300101</v>
      </c>
      <c r="D7818" t="s">
        <v>67</v>
      </c>
      <c r="H7818" t="str">
        <f t="shared" si="774"/>
        <v>05354730631</v>
      </c>
      <c r="I7818" t="str">
        <f t="shared" si="774"/>
        <v>05354730631</v>
      </c>
      <c r="K7818" t="str">
        <f>""</f>
        <v/>
      </c>
      <c r="M7818" t="s">
        <v>68</v>
      </c>
      <c r="N7818" t="str">
        <f t="shared" si="772"/>
        <v>FOR</v>
      </c>
      <c r="O7818" t="s">
        <v>69</v>
      </c>
      <c r="P7818" s="3" t="s">
        <v>75</v>
      </c>
      <c r="Q7818">
        <v>2015</v>
      </c>
      <c r="R7818" s="2">
        <v>42146</v>
      </c>
      <c r="S7818" s="2">
        <v>42163</v>
      </c>
      <c r="T7818" s="2">
        <v>42149</v>
      </c>
      <c r="U7818" s="2">
        <v>42209</v>
      </c>
      <c r="V7818" t="s">
        <v>71</v>
      </c>
      <c r="W7818" t="str">
        <f>"               F1352"</f>
        <v xml:space="preserve">               F1352</v>
      </c>
      <c r="X7818" s="1">
        <v>2165.5</v>
      </c>
      <c r="Y7818">
        <v>0</v>
      </c>
      <c r="Z7818"/>
      <c r="AB7818"/>
      <c r="AC7818" s="1">
        <v>1775</v>
      </c>
      <c r="AD7818">
        <v>194</v>
      </c>
      <c r="AE7818" s="1">
        <v>344350</v>
      </c>
      <c r="AF7818">
        <v>0</v>
      </c>
      <c r="AJ7818">
        <v>0</v>
      </c>
      <c r="AK7818">
        <v>0</v>
      </c>
      <c r="AL7818">
        <v>0</v>
      </c>
      <c r="AM7818">
        <v>0</v>
      </c>
      <c r="AN7818">
        <v>0</v>
      </c>
      <c r="AO7818">
        <v>0</v>
      </c>
      <c r="AP7818" s="2">
        <v>42746</v>
      </c>
      <c r="AQ7818" t="s">
        <v>72</v>
      </c>
      <c r="AR7818" t="s">
        <v>72</v>
      </c>
      <c r="AS7818">
        <v>235</v>
      </c>
      <c r="AT7818" s="4">
        <v>42403</v>
      </c>
      <c r="AU7818" t="s">
        <v>73</v>
      </c>
      <c r="AV7818">
        <v>235</v>
      </c>
      <c r="AW7818" s="4">
        <v>42403</v>
      </c>
      <c r="BD7818">
        <v>0</v>
      </c>
      <c r="BN7818" t="s">
        <v>74</v>
      </c>
    </row>
    <row r="7819" spans="1:66" hidden="1">
      <c r="A7819">
        <v>104492</v>
      </c>
      <c r="B7819" s="3" t="s">
        <v>670</v>
      </c>
      <c r="C7819" s="1">
        <v>43300101</v>
      </c>
      <c r="D7819" t="s">
        <v>67</v>
      </c>
      <c r="H7819" t="str">
        <f t="shared" si="774"/>
        <v>05354730631</v>
      </c>
      <c r="I7819" t="str">
        <f t="shared" si="774"/>
        <v>05354730631</v>
      </c>
      <c r="K7819" t="str">
        <f>""</f>
        <v/>
      </c>
      <c r="M7819" t="s">
        <v>68</v>
      </c>
      <c r="N7819" t="str">
        <f t="shared" si="772"/>
        <v>FOR</v>
      </c>
      <c r="O7819" t="s">
        <v>69</v>
      </c>
      <c r="P7819" s="3" t="s">
        <v>75</v>
      </c>
      <c r="Q7819">
        <v>2015</v>
      </c>
      <c r="R7819" s="2">
        <v>42155</v>
      </c>
      <c r="S7819" s="2">
        <v>42163</v>
      </c>
      <c r="T7819" s="2">
        <v>42160</v>
      </c>
      <c r="U7819" s="2">
        <v>42220</v>
      </c>
      <c r="V7819" t="s">
        <v>71</v>
      </c>
      <c r="W7819" t="str">
        <f>"               F1463"</f>
        <v xml:space="preserve">               F1463</v>
      </c>
      <c r="X7819">
        <v>104</v>
      </c>
      <c r="Y7819">
        <v>0</v>
      </c>
      <c r="Z7819"/>
      <c r="AB7819"/>
      <c r="AC7819">
        <v>100</v>
      </c>
      <c r="AD7819">
        <v>183</v>
      </c>
      <c r="AE7819" s="1">
        <v>18300</v>
      </c>
      <c r="AF7819">
        <v>0</v>
      </c>
      <c r="AJ7819">
        <v>0</v>
      </c>
      <c r="AK7819">
        <v>0</v>
      </c>
      <c r="AL7819">
        <v>0</v>
      </c>
      <c r="AM7819">
        <v>0</v>
      </c>
      <c r="AN7819">
        <v>0</v>
      </c>
      <c r="AO7819">
        <v>0</v>
      </c>
      <c r="AP7819" s="2">
        <v>42746</v>
      </c>
      <c r="AQ7819" t="s">
        <v>72</v>
      </c>
      <c r="AR7819" t="s">
        <v>72</v>
      </c>
      <c r="AS7819">
        <v>235</v>
      </c>
      <c r="AT7819" s="4">
        <v>42403</v>
      </c>
      <c r="AU7819" t="s">
        <v>73</v>
      </c>
      <c r="AV7819">
        <v>235</v>
      </c>
      <c r="AW7819" s="4">
        <v>42403</v>
      </c>
      <c r="BD7819">
        <v>0</v>
      </c>
      <c r="BN7819" t="s">
        <v>74</v>
      </c>
    </row>
    <row r="7820" spans="1:66" hidden="1">
      <c r="A7820">
        <v>104492</v>
      </c>
      <c r="B7820" s="3" t="s">
        <v>670</v>
      </c>
      <c r="C7820" s="1">
        <v>43300101</v>
      </c>
      <c r="D7820" t="s">
        <v>67</v>
      </c>
      <c r="H7820" t="str">
        <f t="shared" si="774"/>
        <v>05354730631</v>
      </c>
      <c r="I7820" t="str">
        <f t="shared" si="774"/>
        <v>05354730631</v>
      </c>
      <c r="K7820" t="str">
        <f>""</f>
        <v/>
      </c>
      <c r="M7820" t="s">
        <v>68</v>
      </c>
      <c r="N7820" t="str">
        <f t="shared" si="772"/>
        <v>FOR</v>
      </c>
      <c r="O7820" t="s">
        <v>69</v>
      </c>
      <c r="P7820" s="3" t="s">
        <v>75</v>
      </c>
      <c r="Q7820">
        <v>2015</v>
      </c>
      <c r="R7820" s="2">
        <v>42155</v>
      </c>
      <c r="S7820" s="2">
        <v>42163</v>
      </c>
      <c r="T7820" s="2">
        <v>42160</v>
      </c>
      <c r="U7820" s="2">
        <v>42220</v>
      </c>
      <c r="V7820" t="s">
        <v>71</v>
      </c>
      <c r="W7820" t="str">
        <f>"               F1464"</f>
        <v xml:space="preserve">               F1464</v>
      </c>
      <c r="X7820">
        <v>104</v>
      </c>
      <c r="Y7820">
        <v>0</v>
      </c>
      <c r="Z7820"/>
      <c r="AB7820"/>
      <c r="AC7820">
        <v>100</v>
      </c>
      <c r="AD7820">
        <v>183</v>
      </c>
      <c r="AE7820" s="1">
        <v>18300</v>
      </c>
      <c r="AF7820">
        <v>0</v>
      </c>
      <c r="AJ7820">
        <v>0</v>
      </c>
      <c r="AK7820">
        <v>0</v>
      </c>
      <c r="AL7820">
        <v>0</v>
      </c>
      <c r="AM7820">
        <v>0</v>
      </c>
      <c r="AN7820">
        <v>0</v>
      </c>
      <c r="AO7820">
        <v>0</v>
      </c>
      <c r="AP7820" s="2">
        <v>42746</v>
      </c>
      <c r="AQ7820" t="s">
        <v>72</v>
      </c>
      <c r="AR7820" t="s">
        <v>72</v>
      </c>
      <c r="AS7820">
        <v>235</v>
      </c>
      <c r="AT7820" s="4">
        <v>42403</v>
      </c>
      <c r="AU7820" t="s">
        <v>73</v>
      </c>
      <c r="AV7820">
        <v>235</v>
      </c>
      <c r="AW7820" s="4">
        <v>42403</v>
      </c>
      <c r="BD7820">
        <v>0</v>
      </c>
      <c r="BN7820" t="s">
        <v>74</v>
      </c>
    </row>
    <row r="7821" spans="1:66" hidden="1">
      <c r="A7821">
        <v>104492</v>
      </c>
      <c r="B7821" s="3" t="s">
        <v>670</v>
      </c>
      <c r="C7821" s="1">
        <v>43300101</v>
      </c>
      <c r="D7821" t="s">
        <v>67</v>
      </c>
      <c r="H7821" t="str">
        <f t="shared" si="774"/>
        <v>05354730631</v>
      </c>
      <c r="I7821" t="str">
        <f t="shared" si="774"/>
        <v>05354730631</v>
      </c>
      <c r="K7821" t="str">
        <f>""</f>
        <v/>
      </c>
      <c r="M7821" t="s">
        <v>68</v>
      </c>
      <c r="N7821" t="str">
        <f t="shared" si="772"/>
        <v>FOR</v>
      </c>
      <c r="O7821" t="s">
        <v>69</v>
      </c>
      <c r="P7821" s="3" t="s">
        <v>75</v>
      </c>
      <c r="Q7821">
        <v>2015</v>
      </c>
      <c r="R7821" s="2">
        <v>42155</v>
      </c>
      <c r="S7821" s="2">
        <v>42163</v>
      </c>
      <c r="T7821" s="2">
        <v>42160</v>
      </c>
      <c r="U7821" s="2">
        <v>42220</v>
      </c>
      <c r="V7821" t="s">
        <v>71</v>
      </c>
      <c r="W7821" t="str">
        <f>"               F1465"</f>
        <v xml:space="preserve">               F1465</v>
      </c>
      <c r="X7821">
        <v>104</v>
      </c>
      <c r="Y7821">
        <v>0</v>
      </c>
      <c r="Z7821"/>
      <c r="AB7821"/>
      <c r="AC7821">
        <v>100</v>
      </c>
      <c r="AD7821">
        <v>183</v>
      </c>
      <c r="AE7821" s="1">
        <v>18300</v>
      </c>
      <c r="AF7821">
        <v>0</v>
      </c>
      <c r="AJ7821">
        <v>0</v>
      </c>
      <c r="AK7821">
        <v>0</v>
      </c>
      <c r="AL7821">
        <v>0</v>
      </c>
      <c r="AM7821">
        <v>0</v>
      </c>
      <c r="AN7821">
        <v>0</v>
      </c>
      <c r="AO7821">
        <v>0</v>
      </c>
      <c r="AP7821" s="2">
        <v>42746</v>
      </c>
      <c r="AQ7821" t="s">
        <v>72</v>
      </c>
      <c r="AR7821" t="s">
        <v>72</v>
      </c>
      <c r="AS7821">
        <v>235</v>
      </c>
      <c r="AT7821" s="4">
        <v>42403</v>
      </c>
      <c r="AU7821" t="s">
        <v>73</v>
      </c>
      <c r="AV7821">
        <v>235</v>
      </c>
      <c r="AW7821" s="4">
        <v>42403</v>
      </c>
      <c r="BD7821">
        <v>0</v>
      </c>
      <c r="BN7821" t="s">
        <v>74</v>
      </c>
    </row>
    <row r="7822" spans="1:66" hidden="1">
      <c r="A7822">
        <v>104492</v>
      </c>
      <c r="B7822" s="3" t="s">
        <v>670</v>
      </c>
      <c r="C7822" s="1">
        <v>43300101</v>
      </c>
      <c r="D7822" t="s">
        <v>67</v>
      </c>
      <c r="H7822" t="str">
        <f t="shared" si="774"/>
        <v>05354730631</v>
      </c>
      <c r="I7822" t="str">
        <f t="shared" si="774"/>
        <v>05354730631</v>
      </c>
      <c r="K7822" t="str">
        <f>""</f>
        <v/>
      </c>
      <c r="M7822" t="s">
        <v>68</v>
      </c>
      <c r="N7822" t="str">
        <f t="shared" si="772"/>
        <v>FOR</v>
      </c>
      <c r="O7822" t="s">
        <v>69</v>
      </c>
      <c r="P7822" s="3" t="s">
        <v>75</v>
      </c>
      <c r="Q7822">
        <v>2015</v>
      </c>
      <c r="R7822" s="2">
        <v>42155</v>
      </c>
      <c r="S7822" s="2">
        <v>42163</v>
      </c>
      <c r="T7822" s="2">
        <v>42160</v>
      </c>
      <c r="U7822" s="2">
        <v>42220</v>
      </c>
      <c r="V7822" t="s">
        <v>71</v>
      </c>
      <c r="W7822" t="str">
        <f>"               F1466"</f>
        <v xml:space="preserve">               F1466</v>
      </c>
      <c r="X7822">
        <v>104</v>
      </c>
      <c r="Y7822">
        <v>0</v>
      </c>
      <c r="Z7822"/>
      <c r="AB7822"/>
      <c r="AC7822">
        <v>100</v>
      </c>
      <c r="AD7822">
        <v>183</v>
      </c>
      <c r="AE7822" s="1">
        <v>18300</v>
      </c>
      <c r="AF7822">
        <v>0</v>
      </c>
      <c r="AJ7822">
        <v>0</v>
      </c>
      <c r="AK7822">
        <v>0</v>
      </c>
      <c r="AL7822">
        <v>0</v>
      </c>
      <c r="AM7822">
        <v>0</v>
      </c>
      <c r="AN7822">
        <v>0</v>
      </c>
      <c r="AO7822">
        <v>0</v>
      </c>
      <c r="AP7822" s="2">
        <v>42746</v>
      </c>
      <c r="AQ7822" t="s">
        <v>72</v>
      </c>
      <c r="AR7822" t="s">
        <v>72</v>
      </c>
      <c r="AS7822">
        <v>235</v>
      </c>
      <c r="AT7822" s="4">
        <v>42403</v>
      </c>
      <c r="AU7822" t="s">
        <v>73</v>
      </c>
      <c r="AV7822">
        <v>235</v>
      </c>
      <c r="AW7822" s="4">
        <v>42403</v>
      </c>
      <c r="BD7822">
        <v>0</v>
      </c>
      <c r="BN7822" t="s">
        <v>74</v>
      </c>
    </row>
    <row r="7823" spans="1:66" hidden="1">
      <c r="A7823">
        <v>104492</v>
      </c>
      <c r="B7823" s="3" t="s">
        <v>670</v>
      </c>
      <c r="C7823" s="1">
        <v>43300101</v>
      </c>
      <c r="D7823" t="s">
        <v>67</v>
      </c>
      <c r="H7823" t="str">
        <f t="shared" si="774"/>
        <v>05354730631</v>
      </c>
      <c r="I7823" t="str">
        <f t="shared" si="774"/>
        <v>05354730631</v>
      </c>
      <c r="K7823" t="str">
        <f>""</f>
        <v/>
      </c>
      <c r="M7823" t="s">
        <v>68</v>
      </c>
      <c r="N7823" t="str">
        <f t="shared" si="772"/>
        <v>FOR</v>
      </c>
      <c r="O7823" t="s">
        <v>69</v>
      </c>
      <c r="P7823" s="3" t="s">
        <v>75</v>
      </c>
      <c r="Q7823">
        <v>2015</v>
      </c>
      <c r="R7823" s="2">
        <v>42155</v>
      </c>
      <c r="S7823" s="2">
        <v>42163</v>
      </c>
      <c r="T7823" s="2">
        <v>42160</v>
      </c>
      <c r="U7823" s="2">
        <v>42220</v>
      </c>
      <c r="V7823" t="s">
        <v>71</v>
      </c>
      <c r="W7823" t="str">
        <f>"               F1467"</f>
        <v xml:space="preserve">               F1467</v>
      </c>
      <c r="X7823">
        <v>135.19999999999999</v>
      </c>
      <c r="Y7823">
        <v>0</v>
      </c>
      <c r="Z7823"/>
      <c r="AB7823"/>
      <c r="AC7823">
        <v>130</v>
      </c>
      <c r="AD7823">
        <v>183</v>
      </c>
      <c r="AE7823" s="1">
        <v>23790</v>
      </c>
      <c r="AF7823">
        <v>0</v>
      </c>
      <c r="AJ7823">
        <v>0</v>
      </c>
      <c r="AK7823">
        <v>0</v>
      </c>
      <c r="AL7823">
        <v>0</v>
      </c>
      <c r="AM7823">
        <v>0</v>
      </c>
      <c r="AN7823">
        <v>0</v>
      </c>
      <c r="AO7823">
        <v>0</v>
      </c>
      <c r="AP7823" s="2">
        <v>42746</v>
      </c>
      <c r="AQ7823" t="s">
        <v>72</v>
      </c>
      <c r="AR7823" t="s">
        <v>72</v>
      </c>
      <c r="AS7823">
        <v>235</v>
      </c>
      <c r="AT7823" s="4">
        <v>42403</v>
      </c>
      <c r="AU7823" t="s">
        <v>73</v>
      </c>
      <c r="AV7823">
        <v>235</v>
      </c>
      <c r="AW7823" s="4">
        <v>42403</v>
      </c>
      <c r="BD7823">
        <v>0</v>
      </c>
      <c r="BN7823" t="s">
        <v>74</v>
      </c>
    </row>
    <row r="7824" spans="1:66" hidden="1">
      <c r="A7824">
        <v>104492</v>
      </c>
      <c r="B7824" s="3" t="s">
        <v>670</v>
      </c>
      <c r="C7824" s="1">
        <v>43300101</v>
      </c>
      <c r="D7824" t="s">
        <v>67</v>
      </c>
      <c r="H7824" t="str">
        <f t="shared" si="774"/>
        <v>05354730631</v>
      </c>
      <c r="I7824" t="str">
        <f t="shared" si="774"/>
        <v>05354730631</v>
      </c>
      <c r="K7824" t="str">
        <f>""</f>
        <v/>
      </c>
      <c r="M7824" t="s">
        <v>68</v>
      </c>
      <c r="N7824" t="str">
        <f t="shared" si="772"/>
        <v>FOR</v>
      </c>
      <c r="O7824" t="s">
        <v>69</v>
      </c>
      <c r="P7824" s="3" t="s">
        <v>75</v>
      </c>
      <c r="Q7824">
        <v>2015</v>
      </c>
      <c r="R7824" s="2">
        <v>42155</v>
      </c>
      <c r="S7824" s="2">
        <v>42163</v>
      </c>
      <c r="T7824" s="2">
        <v>42160</v>
      </c>
      <c r="U7824" s="2">
        <v>42220</v>
      </c>
      <c r="V7824" t="s">
        <v>71</v>
      </c>
      <c r="W7824" t="str">
        <f>"               F1468"</f>
        <v xml:space="preserve">               F1468</v>
      </c>
      <c r="X7824">
        <v>135.19999999999999</v>
      </c>
      <c r="Y7824">
        <v>0</v>
      </c>
      <c r="Z7824"/>
      <c r="AB7824"/>
      <c r="AC7824">
        <v>130</v>
      </c>
      <c r="AD7824">
        <v>183</v>
      </c>
      <c r="AE7824" s="1">
        <v>23790</v>
      </c>
      <c r="AF7824">
        <v>0</v>
      </c>
      <c r="AJ7824">
        <v>0</v>
      </c>
      <c r="AK7824">
        <v>0</v>
      </c>
      <c r="AL7824">
        <v>0</v>
      </c>
      <c r="AM7824">
        <v>0</v>
      </c>
      <c r="AN7824">
        <v>0</v>
      </c>
      <c r="AO7824">
        <v>0</v>
      </c>
      <c r="AP7824" s="2">
        <v>42746</v>
      </c>
      <c r="AQ7824" t="s">
        <v>72</v>
      </c>
      <c r="AR7824" t="s">
        <v>72</v>
      </c>
      <c r="AS7824">
        <v>235</v>
      </c>
      <c r="AT7824" s="4">
        <v>42403</v>
      </c>
      <c r="AU7824" t="s">
        <v>73</v>
      </c>
      <c r="AV7824">
        <v>235</v>
      </c>
      <c r="AW7824" s="4">
        <v>42403</v>
      </c>
      <c r="BD7824">
        <v>0</v>
      </c>
      <c r="BN7824" t="s">
        <v>74</v>
      </c>
    </row>
    <row r="7825" spans="1:66" hidden="1">
      <c r="A7825">
        <v>104492</v>
      </c>
      <c r="B7825" s="3" t="s">
        <v>670</v>
      </c>
      <c r="C7825" s="1">
        <v>43300101</v>
      </c>
      <c r="D7825" t="s">
        <v>67</v>
      </c>
      <c r="H7825" t="str">
        <f t="shared" si="774"/>
        <v>05354730631</v>
      </c>
      <c r="I7825" t="str">
        <f t="shared" si="774"/>
        <v>05354730631</v>
      </c>
      <c r="K7825" t="str">
        <f>""</f>
        <v/>
      </c>
      <c r="M7825" t="s">
        <v>68</v>
      </c>
      <c r="N7825" t="str">
        <f t="shared" si="772"/>
        <v>FOR</v>
      </c>
      <c r="O7825" t="s">
        <v>69</v>
      </c>
      <c r="P7825" s="3" t="s">
        <v>75</v>
      </c>
      <c r="Q7825">
        <v>2015</v>
      </c>
      <c r="R7825" s="2">
        <v>42155</v>
      </c>
      <c r="S7825" s="2">
        <v>42163</v>
      </c>
      <c r="T7825" s="2">
        <v>42160</v>
      </c>
      <c r="U7825" s="2">
        <v>42220</v>
      </c>
      <c r="V7825" t="s">
        <v>71</v>
      </c>
      <c r="W7825" t="str">
        <f>"               F1469"</f>
        <v xml:space="preserve">               F1469</v>
      </c>
      <c r="X7825">
        <v>104</v>
      </c>
      <c r="Y7825">
        <v>0</v>
      </c>
      <c r="Z7825"/>
      <c r="AB7825"/>
      <c r="AC7825">
        <v>100</v>
      </c>
      <c r="AD7825">
        <v>183</v>
      </c>
      <c r="AE7825" s="1">
        <v>18300</v>
      </c>
      <c r="AF7825">
        <v>0</v>
      </c>
      <c r="AJ7825">
        <v>0</v>
      </c>
      <c r="AK7825">
        <v>0</v>
      </c>
      <c r="AL7825">
        <v>0</v>
      </c>
      <c r="AM7825">
        <v>0</v>
      </c>
      <c r="AN7825">
        <v>0</v>
      </c>
      <c r="AO7825">
        <v>0</v>
      </c>
      <c r="AP7825" s="2">
        <v>42746</v>
      </c>
      <c r="AQ7825" t="s">
        <v>72</v>
      </c>
      <c r="AR7825" t="s">
        <v>72</v>
      </c>
      <c r="AS7825">
        <v>235</v>
      </c>
      <c r="AT7825" s="4">
        <v>42403</v>
      </c>
      <c r="AU7825" t="s">
        <v>73</v>
      </c>
      <c r="AV7825">
        <v>235</v>
      </c>
      <c r="AW7825" s="4">
        <v>42403</v>
      </c>
      <c r="BD7825">
        <v>0</v>
      </c>
      <c r="BN7825" t="s">
        <v>74</v>
      </c>
    </row>
    <row r="7826" spans="1:66" hidden="1">
      <c r="A7826">
        <v>104492</v>
      </c>
      <c r="B7826" s="3" t="s">
        <v>670</v>
      </c>
      <c r="C7826" s="1">
        <v>43300101</v>
      </c>
      <c r="D7826" t="s">
        <v>67</v>
      </c>
      <c r="H7826" t="str">
        <f t="shared" si="774"/>
        <v>05354730631</v>
      </c>
      <c r="I7826" t="str">
        <f t="shared" si="774"/>
        <v>05354730631</v>
      </c>
      <c r="K7826" t="str">
        <f>""</f>
        <v/>
      </c>
      <c r="M7826" t="s">
        <v>68</v>
      </c>
      <c r="N7826" t="str">
        <f t="shared" si="772"/>
        <v>FOR</v>
      </c>
      <c r="O7826" t="s">
        <v>69</v>
      </c>
      <c r="P7826" s="3" t="s">
        <v>75</v>
      </c>
      <c r="Q7826">
        <v>2015</v>
      </c>
      <c r="R7826" s="2">
        <v>42155</v>
      </c>
      <c r="S7826" s="2">
        <v>42163</v>
      </c>
      <c r="T7826" s="2">
        <v>42160</v>
      </c>
      <c r="U7826" s="2">
        <v>42220</v>
      </c>
      <c r="V7826" t="s">
        <v>71</v>
      </c>
      <c r="W7826" t="str">
        <f>"               F1470"</f>
        <v xml:space="preserve">               F1470</v>
      </c>
      <c r="X7826">
        <v>104</v>
      </c>
      <c r="Y7826">
        <v>0</v>
      </c>
      <c r="Z7826"/>
      <c r="AB7826"/>
      <c r="AC7826">
        <v>100</v>
      </c>
      <c r="AD7826">
        <v>196</v>
      </c>
      <c r="AE7826" s="1">
        <v>19600</v>
      </c>
      <c r="AF7826">
        <v>0</v>
      </c>
      <c r="AJ7826">
        <v>0</v>
      </c>
      <c r="AK7826">
        <v>0</v>
      </c>
      <c r="AL7826">
        <v>0</v>
      </c>
      <c r="AM7826">
        <v>0</v>
      </c>
      <c r="AN7826">
        <v>0</v>
      </c>
      <c r="AO7826">
        <v>0</v>
      </c>
      <c r="AP7826" s="2">
        <v>42746</v>
      </c>
      <c r="AQ7826" t="s">
        <v>72</v>
      </c>
      <c r="AR7826" t="s">
        <v>72</v>
      </c>
      <c r="AS7826">
        <v>407</v>
      </c>
      <c r="AT7826" s="4">
        <v>42416</v>
      </c>
      <c r="AU7826" t="s">
        <v>73</v>
      </c>
      <c r="AV7826">
        <v>407</v>
      </c>
      <c r="AW7826" s="4">
        <v>42416</v>
      </c>
      <c r="BD7826">
        <v>0</v>
      </c>
      <c r="BN7826" t="s">
        <v>74</v>
      </c>
    </row>
    <row r="7827" spans="1:66" hidden="1">
      <c r="A7827">
        <v>104492</v>
      </c>
      <c r="B7827" s="3" t="s">
        <v>670</v>
      </c>
      <c r="C7827" s="1">
        <v>43300101</v>
      </c>
      <c r="D7827" t="s">
        <v>67</v>
      </c>
      <c r="H7827" t="str">
        <f t="shared" si="774"/>
        <v>05354730631</v>
      </c>
      <c r="I7827" t="str">
        <f t="shared" si="774"/>
        <v>05354730631</v>
      </c>
      <c r="K7827" t="str">
        <f>""</f>
        <v/>
      </c>
      <c r="M7827" t="s">
        <v>68</v>
      </c>
      <c r="N7827" t="str">
        <f t="shared" si="772"/>
        <v>FOR</v>
      </c>
      <c r="O7827" t="s">
        <v>69</v>
      </c>
      <c r="P7827" s="3" t="s">
        <v>75</v>
      </c>
      <c r="Q7827">
        <v>2015</v>
      </c>
      <c r="R7827" s="2">
        <v>42155</v>
      </c>
      <c r="S7827" s="2">
        <v>42163</v>
      </c>
      <c r="T7827" s="2">
        <v>42160</v>
      </c>
      <c r="U7827" s="2">
        <v>42220</v>
      </c>
      <c r="V7827" t="s">
        <v>71</v>
      </c>
      <c r="W7827" t="str">
        <f>"               F1471"</f>
        <v xml:space="preserve">               F1471</v>
      </c>
      <c r="X7827">
        <v>104</v>
      </c>
      <c r="Y7827">
        <v>0</v>
      </c>
      <c r="Z7827"/>
      <c r="AB7827"/>
      <c r="AC7827">
        <v>100</v>
      </c>
      <c r="AD7827">
        <v>183</v>
      </c>
      <c r="AE7827" s="1">
        <v>18300</v>
      </c>
      <c r="AF7827">
        <v>0</v>
      </c>
      <c r="AJ7827">
        <v>0</v>
      </c>
      <c r="AK7827">
        <v>0</v>
      </c>
      <c r="AL7827">
        <v>0</v>
      </c>
      <c r="AM7827">
        <v>0</v>
      </c>
      <c r="AN7827">
        <v>0</v>
      </c>
      <c r="AO7827">
        <v>0</v>
      </c>
      <c r="AP7827" s="2">
        <v>42746</v>
      </c>
      <c r="AQ7827" t="s">
        <v>72</v>
      </c>
      <c r="AR7827" t="s">
        <v>72</v>
      </c>
      <c r="AS7827">
        <v>235</v>
      </c>
      <c r="AT7827" s="4">
        <v>42403</v>
      </c>
      <c r="AU7827" t="s">
        <v>73</v>
      </c>
      <c r="AV7827">
        <v>235</v>
      </c>
      <c r="AW7827" s="4">
        <v>42403</v>
      </c>
      <c r="BD7827">
        <v>0</v>
      </c>
      <c r="BN7827" t="s">
        <v>74</v>
      </c>
    </row>
    <row r="7828" spans="1:66" hidden="1">
      <c r="A7828">
        <v>104492</v>
      </c>
      <c r="B7828" s="3" t="s">
        <v>670</v>
      </c>
      <c r="C7828" s="1">
        <v>43300101</v>
      </c>
      <c r="D7828" t="s">
        <v>67</v>
      </c>
      <c r="H7828" t="str">
        <f t="shared" ref="H7828:I7847" si="775">"05354730631"</f>
        <v>05354730631</v>
      </c>
      <c r="I7828" t="str">
        <f t="shared" si="775"/>
        <v>05354730631</v>
      </c>
      <c r="K7828" t="str">
        <f>""</f>
        <v/>
      </c>
      <c r="M7828" t="s">
        <v>68</v>
      </c>
      <c r="N7828" t="str">
        <f t="shared" si="772"/>
        <v>FOR</v>
      </c>
      <c r="O7828" t="s">
        <v>69</v>
      </c>
      <c r="P7828" s="3" t="s">
        <v>75</v>
      </c>
      <c r="Q7828">
        <v>2015</v>
      </c>
      <c r="R7828" s="2">
        <v>42155</v>
      </c>
      <c r="S7828" s="2">
        <v>42163</v>
      </c>
      <c r="T7828" s="2">
        <v>42161</v>
      </c>
      <c r="U7828" s="2">
        <v>42221</v>
      </c>
      <c r="V7828" t="s">
        <v>71</v>
      </c>
      <c r="W7828" t="str">
        <f>"               F1472"</f>
        <v xml:space="preserve">               F1472</v>
      </c>
      <c r="X7828">
        <v>135.19999999999999</v>
      </c>
      <c r="Y7828">
        <v>0</v>
      </c>
      <c r="Z7828"/>
      <c r="AB7828"/>
      <c r="AC7828">
        <v>130</v>
      </c>
      <c r="AD7828">
        <v>182</v>
      </c>
      <c r="AE7828" s="1">
        <v>23660</v>
      </c>
      <c r="AF7828">
        <v>0</v>
      </c>
      <c r="AJ7828">
        <v>0</v>
      </c>
      <c r="AK7828">
        <v>0</v>
      </c>
      <c r="AL7828">
        <v>0</v>
      </c>
      <c r="AM7828">
        <v>0</v>
      </c>
      <c r="AN7828">
        <v>0</v>
      </c>
      <c r="AO7828">
        <v>0</v>
      </c>
      <c r="AP7828" s="2">
        <v>42746</v>
      </c>
      <c r="AQ7828" t="s">
        <v>72</v>
      </c>
      <c r="AR7828" t="s">
        <v>72</v>
      </c>
      <c r="AS7828">
        <v>235</v>
      </c>
      <c r="AT7828" s="4">
        <v>42403</v>
      </c>
      <c r="AU7828" t="s">
        <v>73</v>
      </c>
      <c r="AV7828">
        <v>235</v>
      </c>
      <c r="AW7828" s="4">
        <v>42403</v>
      </c>
      <c r="BD7828">
        <v>0</v>
      </c>
      <c r="BN7828" t="s">
        <v>74</v>
      </c>
    </row>
    <row r="7829" spans="1:66" hidden="1">
      <c r="A7829">
        <v>104492</v>
      </c>
      <c r="B7829" s="3" t="s">
        <v>670</v>
      </c>
      <c r="C7829" s="1">
        <v>43300101</v>
      </c>
      <c r="D7829" t="s">
        <v>67</v>
      </c>
      <c r="H7829" t="str">
        <f t="shared" si="775"/>
        <v>05354730631</v>
      </c>
      <c r="I7829" t="str">
        <f t="shared" si="775"/>
        <v>05354730631</v>
      </c>
      <c r="K7829" t="str">
        <f>""</f>
        <v/>
      </c>
      <c r="M7829" t="s">
        <v>68</v>
      </c>
      <c r="N7829" t="str">
        <f t="shared" si="772"/>
        <v>FOR</v>
      </c>
      <c r="O7829" t="s">
        <v>69</v>
      </c>
      <c r="P7829" s="3" t="s">
        <v>75</v>
      </c>
      <c r="Q7829">
        <v>2015</v>
      </c>
      <c r="R7829" s="2">
        <v>42155</v>
      </c>
      <c r="S7829" s="2">
        <v>42163</v>
      </c>
      <c r="T7829" s="2">
        <v>42160</v>
      </c>
      <c r="U7829" s="2">
        <v>42220</v>
      </c>
      <c r="V7829" t="s">
        <v>71</v>
      </c>
      <c r="W7829" t="str">
        <f>"               F1473"</f>
        <v xml:space="preserve">               F1473</v>
      </c>
      <c r="X7829">
        <v>135.19999999999999</v>
      </c>
      <c r="Y7829">
        <v>0</v>
      </c>
      <c r="Z7829"/>
      <c r="AB7829"/>
      <c r="AC7829">
        <v>130</v>
      </c>
      <c r="AD7829">
        <v>183</v>
      </c>
      <c r="AE7829" s="1">
        <v>23790</v>
      </c>
      <c r="AF7829">
        <v>0</v>
      </c>
      <c r="AJ7829">
        <v>0</v>
      </c>
      <c r="AK7829">
        <v>0</v>
      </c>
      <c r="AL7829">
        <v>0</v>
      </c>
      <c r="AM7829">
        <v>0</v>
      </c>
      <c r="AN7829">
        <v>0</v>
      </c>
      <c r="AO7829">
        <v>0</v>
      </c>
      <c r="AP7829" s="2">
        <v>42746</v>
      </c>
      <c r="AQ7829" t="s">
        <v>72</v>
      </c>
      <c r="AR7829" t="s">
        <v>72</v>
      </c>
      <c r="AS7829">
        <v>235</v>
      </c>
      <c r="AT7829" s="4">
        <v>42403</v>
      </c>
      <c r="AU7829" t="s">
        <v>73</v>
      </c>
      <c r="AV7829">
        <v>235</v>
      </c>
      <c r="AW7829" s="4">
        <v>42403</v>
      </c>
      <c r="BD7829">
        <v>0</v>
      </c>
      <c r="BN7829" t="s">
        <v>74</v>
      </c>
    </row>
    <row r="7830" spans="1:66" hidden="1">
      <c r="A7830">
        <v>104492</v>
      </c>
      <c r="B7830" s="3" t="s">
        <v>670</v>
      </c>
      <c r="C7830" s="1">
        <v>43300101</v>
      </c>
      <c r="D7830" t="s">
        <v>67</v>
      </c>
      <c r="H7830" t="str">
        <f t="shared" si="775"/>
        <v>05354730631</v>
      </c>
      <c r="I7830" t="str">
        <f t="shared" si="775"/>
        <v>05354730631</v>
      </c>
      <c r="K7830" t="str">
        <f>""</f>
        <v/>
      </c>
      <c r="M7830" t="s">
        <v>68</v>
      </c>
      <c r="N7830" t="str">
        <f t="shared" si="772"/>
        <v>FOR</v>
      </c>
      <c r="O7830" t="s">
        <v>69</v>
      </c>
      <c r="P7830" s="3" t="s">
        <v>75</v>
      </c>
      <c r="Q7830">
        <v>2015</v>
      </c>
      <c r="R7830" s="2">
        <v>42155</v>
      </c>
      <c r="S7830" s="2">
        <v>42163</v>
      </c>
      <c r="T7830" s="2">
        <v>42160</v>
      </c>
      <c r="U7830" s="2">
        <v>42220</v>
      </c>
      <c r="V7830" t="s">
        <v>71</v>
      </c>
      <c r="W7830" t="str">
        <f>"               F1474"</f>
        <v xml:space="preserve">               F1474</v>
      </c>
      <c r="X7830">
        <v>104</v>
      </c>
      <c r="Y7830">
        <v>0</v>
      </c>
      <c r="Z7830"/>
      <c r="AB7830"/>
      <c r="AC7830">
        <v>100</v>
      </c>
      <c r="AD7830">
        <v>183</v>
      </c>
      <c r="AE7830" s="1">
        <v>18300</v>
      </c>
      <c r="AF7830">
        <v>0</v>
      </c>
      <c r="AJ7830">
        <v>0</v>
      </c>
      <c r="AK7830">
        <v>0</v>
      </c>
      <c r="AL7830">
        <v>0</v>
      </c>
      <c r="AM7830">
        <v>0</v>
      </c>
      <c r="AN7830">
        <v>0</v>
      </c>
      <c r="AO7830">
        <v>0</v>
      </c>
      <c r="AP7830" s="2">
        <v>42746</v>
      </c>
      <c r="AQ7830" t="s">
        <v>72</v>
      </c>
      <c r="AR7830" t="s">
        <v>72</v>
      </c>
      <c r="AS7830">
        <v>235</v>
      </c>
      <c r="AT7830" s="4">
        <v>42403</v>
      </c>
      <c r="AU7830" t="s">
        <v>73</v>
      </c>
      <c r="AV7830">
        <v>235</v>
      </c>
      <c r="AW7830" s="4">
        <v>42403</v>
      </c>
      <c r="BD7830">
        <v>0</v>
      </c>
      <c r="BN7830" t="s">
        <v>74</v>
      </c>
    </row>
    <row r="7831" spans="1:66" hidden="1">
      <c r="A7831">
        <v>104492</v>
      </c>
      <c r="B7831" s="3" t="s">
        <v>670</v>
      </c>
      <c r="C7831" s="1">
        <v>43300101</v>
      </c>
      <c r="D7831" t="s">
        <v>67</v>
      </c>
      <c r="H7831" t="str">
        <f t="shared" si="775"/>
        <v>05354730631</v>
      </c>
      <c r="I7831" t="str">
        <f t="shared" si="775"/>
        <v>05354730631</v>
      </c>
      <c r="K7831" t="str">
        <f>""</f>
        <v/>
      </c>
      <c r="M7831" t="s">
        <v>68</v>
      </c>
      <c r="N7831" t="str">
        <f t="shared" si="772"/>
        <v>FOR</v>
      </c>
      <c r="O7831" t="s">
        <v>69</v>
      </c>
      <c r="P7831" s="3" t="s">
        <v>75</v>
      </c>
      <c r="Q7831">
        <v>2015</v>
      </c>
      <c r="R7831" s="2">
        <v>42163</v>
      </c>
      <c r="S7831" s="2">
        <v>42165</v>
      </c>
      <c r="T7831" s="2">
        <v>42164</v>
      </c>
      <c r="U7831" s="2">
        <v>42224</v>
      </c>
      <c r="V7831" t="s">
        <v>71</v>
      </c>
      <c r="W7831" t="str">
        <f>"               F1526"</f>
        <v xml:space="preserve">               F1526</v>
      </c>
      <c r="X7831" s="1">
        <v>1464</v>
      </c>
      <c r="Y7831">
        <v>0</v>
      </c>
      <c r="Z7831"/>
      <c r="AB7831"/>
      <c r="AC7831" s="1">
        <v>1200</v>
      </c>
      <c r="AD7831">
        <v>192</v>
      </c>
      <c r="AE7831" s="1">
        <v>230400</v>
      </c>
      <c r="AF7831">
        <v>0</v>
      </c>
      <c r="AJ7831">
        <v>0</v>
      </c>
      <c r="AK7831">
        <v>0</v>
      </c>
      <c r="AL7831">
        <v>0</v>
      </c>
      <c r="AM7831">
        <v>0</v>
      </c>
      <c r="AN7831">
        <v>0</v>
      </c>
      <c r="AO7831">
        <v>0</v>
      </c>
      <c r="AP7831" s="2">
        <v>42746</v>
      </c>
      <c r="AQ7831" t="s">
        <v>72</v>
      </c>
      <c r="AR7831" t="s">
        <v>72</v>
      </c>
      <c r="AS7831">
        <v>407</v>
      </c>
      <c r="AT7831" s="4">
        <v>42416</v>
      </c>
      <c r="AU7831" t="s">
        <v>73</v>
      </c>
      <c r="AV7831">
        <v>407</v>
      </c>
      <c r="AW7831" s="4">
        <v>42416</v>
      </c>
      <c r="BD7831">
        <v>0</v>
      </c>
      <c r="BN7831" t="s">
        <v>74</v>
      </c>
    </row>
    <row r="7832" spans="1:66" hidden="1">
      <c r="A7832">
        <v>104492</v>
      </c>
      <c r="B7832" s="3" t="s">
        <v>670</v>
      </c>
      <c r="C7832" s="1">
        <v>43300101</v>
      </c>
      <c r="D7832" t="s">
        <v>67</v>
      </c>
      <c r="H7832" t="str">
        <f t="shared" si="775"/>
        <v>05354730631</v>
      </c>
      <c r="I7832" t="str">
        <f t="shared" si="775"/>
        <v>05354730631</v>
      </c>
      <c r="K7832" t="str">
        <f>""</f>
        <v/>
      </c>
      <c r="M7832" t="s">
        <v>68</v>
      </c>
      <c r="N7832" t="str">
        <f t="shared" si="772"/>
        <v>FOR</v>
      </c>
      <c r="O7832" t="s">
        <v>69</v>
      </c>
      <c r="P7832" s="3" t="s">
        <v>75</v>
      </c>
      <c r="Q7832">
        <v>2015</v>
      </c>
      <c r="R7832" s="2">
        <v>42164</v>
      </c>
      <c r="S7832" s="2">
        <v>42165</v>
      </c>
      <c r="T7832" s="2">
        <v>42164</v>
      </c>
      <c r="U7832" s="2">
        <v>42224</v>
      </c>
      <c r="V7832" t="s">
        <v>71</v>
      </c>
      <c r="W7832" t="str">
        <f>"               F1531"</f>
        <v xml:space="preserve">               F1531</v>
      </c>
      <c r="X7832">
        <v>104</v>
      </c>
      <c r="Y7832">
        <v>0</v>
      </c>
      <c r="Z7832"/>
      <c r="AB7832"/>
      <c r="AC7832">
        <v>100</v>
      </c>
      <c r="AD7832">
        <v>192</v>
      </c>
      <c r="AE7832" s="1">
        <v>19200</v>
      </c>
      <c r="AF7832">
        <v>0</v>
      </c>
      <c r="AJ7832">
        <v>0</v>
      </c>
      <c r="AK7832">
        <v>0</v>
      </c>
      <c r="AL7832">
        <v>0</v>
      </c>
      <c r="AM7832">
        <v>0</v>
      </c>
      <c r="AN7832">
        <v>0</v>
      </c>
      <c r="AO7832">
        <v>0</v>
      </c>
      <c r="AP7832" s="2">
        <v>42746</v>
      </c>
      <c r="AQ7832" t="s">
        <v>72</v>
      </c>
      <c r="AR7832" t="s">
        <v>72</v>
      </c>
      <c r="AS7832">
        <v>407</v>
      </c>
      <c r="AT7832" s="4">
        <v>42416</v>
      </c>
      <c r="AU7832" t="s">
        <v>73</v>
      </c>
      <c r="AV7832">
        <v>407</v>
      </c>
      <c r="AW7832" s="4">
        <v>42416</v>
      </c>
      <c r="BD7832">
        <v>0</v>
      </c>
      <c r="BN7832" t="s">
        <v>74</v>
      </c>
    </row>
    <row r="7833" spans="1:66" hidden="1">
      <c r="A7833">
        <v>104492</v>
      </c>
      <c r="B7833" s="3" t="s">
        <v>670</v>
      </c>
      <c r="C7833" s="1">
        <v>43300101</v>
      </c>
      <c r="D7833" t="s">
        <v>67</v>
      </c>
      <c r="H7833" t="str">
        <f t="shared" si="775"/>
        <v>05354730631</v>
      </c>
      <c r="I7833" t="str">
        <f t="shared" si="775"/>
        <v>05354730631</v>
      </c>
      <c r="K7833" t="str">
        <f>""</f>
        <v/>
      </c>
      <c r="M7833" t="s">
        <v>68</v>
      </c>
      <c r="N7833" t="str">
        <f t="shared" si="772"/>
        <v>FOR</v>
      </c>
      <c r="O7833" t="s">
        <v>69</v>
      </c>
      <c r="P7833" s="3" t="s">
        <v>75</v>
      </c>
      <c r="Q7833">
        <v>2015</v>
      </c>
      <c r="R7833" s="2">
        <v>42164</v>
      </c>
      <c r="S7833" s="2">
        <v>42167</v>
      </c>
      <c r="T7833" s="2">
        <v>42165</v>
      </c>
      <c r="U7833" s="2">
        <v>42225</v>
      </c>
      <c r="V7833" t="s">
        <v>71</v>
      </c>
      <c r="W7833" t="str">
        <f>"               F1532"</f>
        <v xml:space="preserve">               F1532</v>
      </c>
      <c r="X7833">
        <v>135.19999999999999</v>
      </c>
      <c r="Y7833">
        <v>0</v>
      </c>
      <c r="Z7833"/>
      <c r="AB7833"/>
      <c r="AC7833">
        <v>130</v>
      </c>
      <c r="AD7833">
        <v>191</v>
      </c>
      <c r="AE7833" s="1">
        <v>24830</v>
      </c>
      <c r="AF7833">
        <v>0</v>
      </c>
      <c r="AJ7833">
        <v>0</v>
      </c>
      <c r="AK7833">
        <v>0</v>
      </c>
      <c r="AL7833">
        <v>0</v>
      </c>
      <c r="AM7833">
        <v>0</v>
      </c>
      <c r="AN7833">
        <v>0</v>
      </c>
      <c r="AO7833">
        <v>0</v>
      </c>
      <c r="AP7833" s="2">
        <v>42746</v>
      </c>
      <c r="AQ7833" t="s">
        <v>72</v>
      </c>
      <c r="AR7833" t="s">
        <v>72</v>
      </c>
      <c r="AS7833">
        <v>407</v>
      </c>
      <c r="AT7833" s="4">
        <v>42416</v>
      </c>
      <c r="AU7833" t="s">
        <v>73</v>
      </c>
      <c r="AV7833">
        <v>407</v>
      </c>
      <c r="AW7833" s="4">
        <v>42416</v>
      </c>
      <c r="BD7833">
        <v>0</v>
      </c>
      <c r="BN7833" t="s">
        <v>74</v>
      </c>
    </row>
    <row r="7834" spans="1:66" hidden="1">
      <c r="A7834">
        <v>104492</v>
      </c>
      <c r="B7834" s="3" t="s">
        <v>670</v>
      </c>
      <c r="C7834" s="1">
        <v>43300101</v>
      </c>
      <c r="D7834" t="s">
        <v>67</v>
      </c>
      <c r="H7834" t="str">
        <f t="shared" si="775"/>
        <v>05354730631</v>
      </c>
      <c r="I7834" t="str">
        <f t="shared" si="775"/>
        <v>05354730631</v>
      </c>
      <c r="K7834" t="str">
        <f>""</f>
        <v/>
      </c>
      <c r="M7834" t="s">
        <v>68</v>
      </c>
      <c r="N7834" t="str">
        <f t="shared" si="772"/>
        <v>FOR</v>
      </c>
      <c r="O7834" t="s">
        <v>69</v>
      </c>
      <c r="P7834" s="3" t="s">
        <v>75</v>
      </c>
      <c r="Q7834">
        <v>2015</v>
      </c>
      <c r="R7834" s="2">
        <v>42164</v>
      </c>
      <c r="S7834" s="2">
        <v>42165</v>
      </c>
      <c r="T7834" s="2">
        <v>42164</v>
      </c>
      <c r="U7834" s="2">
        <v>42224</v>
      </c>
      <c r="V7834" t="s">
        <v>71</v>
      </c>
      <c r="W7834" t="str">
        <f>"               F1533"</f>
        <v xml:space="preserve">               F1533</v>
      </c>
      <c r="X7834">
        <v>135.19999999999999</v>
      </c>
      <c r="Y7834">
        <v>0</v>
      </c>
      <c r="Z7834"/>
      <c r="AB7834"/>
      <c r="AC7834">
        <v>130</v>
      </c>
      <c r="AD7834">
        <v>192</v>
      </c>
      <c r="AE7834" s="1">
        <v>24960</v>
      </c>
      <c r="AF7834">
        <v>0</v>
      </c>
      <c r="AJ7834">
        <v>0</v>
      </c>
      <c r="AK7834">
        <v>0</v>
      </c>
      <c r="AL7834">
        <v>0</v>
      </c>
      <c r="AM7834">
        <v>0</v>
      </c>
      <c r="AN7834">
        <v>0</v>
      </c>
      <c r="AO7834">
        <v>0</v>
      </c>
      <c r="AP7834" s="2">
        <v>42746</v>
      </c>
      <c r="AQ7834" t="s">
        <v>72</v>
      </c>
      <c r="AR7834" t="s">
        <v>72</v>
      </c>
      <c r="AS7834">
        <v>407</v>
      </c>
      <c r="AT7834" s="4">
        <v>42416</v>
      </c>
      <c r="AU7834" t="s">
        <v>73</v>
      </c>
      <c r="AV7834">
        <v>407</v>
      </c>
      <c r="AW7834" s="4">
        <v>42416</v>
      </c>
      <c r="BD7834">
        <v>0</v>
      </c>
      <c r="BN7834" t="s">
        <v>74</v>
      </c>
    </row>
    <row r="7835" spans="1:66" hidden="1">
      <c r="A7835">
        <v>104492</v>
      </c>
      <c r="B7835" s="3" t="s">
        <v>670</v>
      </c>
      <c r="C7835" s="1">
        <v>43300101</v>
      </c>
      <c r="D7835" t="s">
        <v>67</v>
      </c>
      <c r="H7835" t="str">
        <f t="shared" si="775"/>
        <v>05354730631</v>
      </c>
      <c r="I7835" t="str">
        <f t="shared" si="775"/>
        <v>05354730631</v>
      </c>
      <c r="K7835" t="str">
        <f>""</f>
        <v/>
      </c>
      <c r="M7835" t="s">
        <v>68</v>
      </c>
      <c r="N7835" t="str">
        <f t="shared" si="772"/>
        <v>FOR</v>
      </c>
      <c r="O7835" t="s">
        <v>69</v>
      </c>
      <c r="P7835" s="3" t="s">
        <v>75</v>
      </c>
      <c r="Q7835">
        <v>2015</v>
      </c>
      <c r="R7835" s="2">
        <v>42164</v>
      </c>
      <c r="S7835" s="2">
        <v>42167</v>
      </c>
      <c r="T7835" s="2">
        <v>42165</v>
      </c>
      <c r="U7835" s="2">
        <v>42225</v>
      </c>
      <c r="V7835" t="s">
        <v>71</v>
      </c>
      <c r="W7835" t="str">
        <f>"               F1534"</f>
        <v xml:space="preserve">               F1534</v>
      </c>
      <c r="X7835">
        <v>135.19999999999999</v>
      </c>
      <c r="Y7835">
        <v>0</v>
      </c>
      <c r="Z7835"/>
      <c r="AB7835"/>
      <c r="AC7835">
        <v>130</v>
      </c>
      <c r="AD7835">
        <v>191</v>
      </c>
      <c r="AE7835" s="1">
        <v>24830</v>
      </c>
      <c r="AF7835">
        <v>0</v>
      </c>
      <c r="AJ7835">
        <v>0</v>
      </c>
      <c r="AK7835">
        <v>0</v>
      </c>
      <c r="AL7835">
        <v>0</v>
      </c>
      <c r="AM7835">
        <v>0</v>
      </c>
      <c r="AN7835">
        <v>0</v>
      </c>
      <c r="AO7835">
        <v>0</v>
      </c>
      <c r="AP7835" s="2">
        <v>42746</v>
      </c>
      <c r="AQ7835" t="s">
        <v>72</v>
      </c>
      <c r="AR7835" t="s">
        <v>72</v>
      </c>
      <c r="AS7835">
        <v>407</v>
      </c>
      <c r="AT7835" s="4">
        <v>42416</v>
      </c>
      <c r="AU7835" t="s">
        <v>73</v>
      </c>
      <c r="AV7835">
        <v>407</v>
      </c>
      <c r="AW7835" s="4">
        <v>42416</v>
      </c>
      <c r="BD7835">
        <v>0</v>
      </c>
      <c r="BN7835" t="s">
        <v>74</v>
      </c>
    </row>
    <row r="7836" spans="1:66" hidden="1">
      <c r="A7836">
        <v>104492</v>
      </c>
      <c r="B7836" s="3" t="s">
        <v>670</v>
      </c>
      <c r="C7836" s="1">
        <v>43300101</v>
      </c>
      <c r="D7836" t="s">
        <v>67</v>
      </c>
      <c r="H7836" t="str">
        <f t="shared" si="775"/>
        <v>05354730631</v>
      </c>
      <c r="I7836" t="str">
        <f t="shared" si="775"/>
        <v>05354730631</v>
      </c>
      <c r="K7836" t="str">
        <f>""</f>
        <v/>
      </c>
      <c r="M7836" t="s">
        <v>68</v>
      </c>
      <c r="N7836" t="str">
        <f t="shared" si="772"/>
        <v>FOR</v>
      </c>
      <c r="O7836" t="s">
        <v>69</v>
      </c>
      <c r="P7836" s="3" t="s">
        <v>75</v>
      </c>
      <c r="Q7836">
        <v>2015</v>
      </c>
      <c r="R7836" s="2">
        <v>42164</v>
      </c>
      <c r="S7836" s="2">
        <v>42165</v>
      </c>
      <c r="T7836" s="2">
        <v>42164</v>
      </c>
      <c r="U7836" s="2">
        <v>42224</v>
      </c>
      <c r="V7836" t="s">
        <v>71</v>
      </c>
      <c r="W7836" t="str">
        <f>"               F1535"</f>
        <v xml:space="preserve">               F1535</v>
      </c>
      <c r="X7836">
        <v>135.19999999999999</v>
      </c>
      <c r="Y7836">
        <v>0</v>
      </c>
      <c r="Z7836"/>
      <c r="AB7836"/>
      <c r="AC7836">
        <v>130</v>
      </c>
      <c r="AD7836">
        <v>192</v>
      </c>
      <c r="AE7836" s="1">
        <v>24960</v>
      </c>
      <c r="AF7836">
        <v>0</v>
      </c>
      <c r="AJ7836">
        <v>0</v>
      </c>
      <c r="AK7836">
        <v>0</v>
      </c>
      <c r="AL7836">
        <v>0</v>
      </c>
      <c r="AM7836">
        <v>0</v>
      </c>
      <c r="AN7836">
        <v>0</v>
      </c>
      <c r="AO7836">
        <v>0</v>
      </c>
      <c r="AP7836" s="2">
        <v>42746</v>
      </c>
      <c r="AQ7836" t="s">
        <v>72</v>
      </c>
      <c r="AR7836" t="s">
        <v>72</v>
      </c>
      <c r="AS7836">
        <v>407</v>
      </c>
      <c r="AT7836" s="4">
        <v>42416</v>
      </c>
      <c r="AU7836" t="s">
        <v>73</v>
      </c>
      <c r="AV7836">
        <v>407</v>
      </c>
      <c r="AW7836" s="4">
        <v>42416</v>
      </c>
      <c r="BD7836">
        <v>0</v>
      </c>
      <c r="BN7836" t="s">
        <v>74</v>
      </c>
    </row>
    <row r="7837" spans="1:66" hidden="1">
      <c r="A7837">
        <v>104492</v>
      </c>
      <c r="B7837" s="3" t="s">
        <v>670</v>
      </c>
      <c r="C7837" s="1">
        <v>43300101</v>
      </c>
      <c r="D7837" t="s">
        <v>67</v>
      </c>
      <c r="H7837" t="str">
        <f t="shared" si="775"/>
        <v>05354730631</v>
      </c>
      <c r="I7837" t="str">
        <f t="shared" si="775"/>
        <v>05354730631</v>
      </c>
      <c r="K7837" t="str">
        <f>""</f>
        <v/>
      </c>
      <c r="M7837" t="s">
        <v>68</v>
      </c>
      <c r="N7837" t="str">
        <f t="shared" si="772"/>
        <v>FOR</v>
      </c>
      <c r="O7837" t="s">
        <v>69</v>
      </c>
      <c r="P7837" s="3" t="s">
        <v>75</v>
      </c>
      <c r="Q7837">
        <v>2015</v>
      </c>
      <c r="R7837" s="2">
        <v>42173</v>
      </c>
      <c r="S7837" s="2">
        <v>42177</v>
      </c>
      <c r="T7837" s="2">
        <v>42174</v>
      </c>
      <c r="U7837" s="2">
        <v>42234</v>
      </c>
      <c r="V7837" t="s">
        <v>71</v>
      </c>
      <c r="W7837" t="str">
        <f>"               F1630"</f>
        <v xml:space="preserve">               F1630</v>
      </c>
      <c r="X7837">
        <v>104</v>
      </c>
      <c r="Y7837">
        <v>0</v>
      </c>
      <c r="Z7837"/>
      <c r="AB7837"/>
      <c r="AC7837">
        <v>100</v>
      </c>
      <c r="AD7837">
        <v>182</v>
      </c>
      <c r="AE7837" s="1">
        <v>18200</v>
      </c>
      <c r="AF7837">
        <v>0</v>
      </c>
      <c r="AJ7837">
        <v>0</v>
      </c>
      <c r="AK7837">
        <v>0</v>
      </c>
      <c r="AL7837">
        <v>0</v>
      </c>
      <c r="AM7837">
        <v>0</v>
      </c>
      <c r="AN7837">
        <v>0</v>
      </c>
      <c r="AO7837">
        <v>0</v>
      </c>
      <c r="AP7837" s="2">
        <v>42746</v>
      </c>
      <c r="AQ7837" t="s">
        <v>72</v>
      </c>
      <c r="AR7837" t="s">
        <v>72</v>
      </c>
      <c r="AS7837">
        <v>407</v>
      </c>
      <c r="AT7837" s="4">
        <v>42416</v>
      </c>
      <c r="AU7837" t="s">
        <v>73</v>
      </c>
      <c r="AV7837">
        <v>407</v>
      </c>
      <c r="AW7837" s="4">
        <v>42416</v>
      </c>
      <c r="BD7837">
        <v>0</v>
      </c>
      <c r="BN7837" t="s">
        <v>74</v>
      </c>
    </row>
    <row r="7838" spans="1:66" hidden="1">
      <c r="A7838">
        <v>104492</v>
      </c>
      <c r="B7838" s="3" t="s">
        <v>670</v>
      </c>
      <c r="C7838" s="1">
        <v>43300101</v>
      </c>
      <c r="D7838" t="s">
        <v>67</v>
      </c>
      <c r="H7838" t="str">
        <f t="shared" si="775"/>
        <v>05354730631</v>
      </c>
      <c r="I7838" t="str">
        <f t="shared" si="775"/>
        <v>05354730631</v>
      </c>
      <c r="K7838" t="str">
        <f>""</f>
        <v/>
      </c>
      <c r="M7838" t="s">
        <v>68</v>
      </c>
      <c r="N7838" t="str">
        <f t="shared" si="772"/>
        <v>FOR</v>
      </c>
      <c r="O7838" t="s">
        <v>69</v>
      </c>
      <c r="P7838" s="3" t="s">
        <v>75</v>
      </c>
      <c r="Q7838">
        <v>2015</v>
      </c>
      <c r="R7838" s="2">
        <v>42173</v>
      </c>
      <c r="S7838" s="2">
        <v>42177</v>
      </c>
      <c r="T7838" s="2">
        <v>42174</v>
      </c>
      <c r="U7838" s="2">
        <v>42234</v>
      </c>
      <c r="V7838" t="s">
        <v>71</v>
      </c>
      <c r="W7838" t="str">
        <f>"               F1631"</f>
        <v xml:space="preserve">               F1631</v>
      </c>
      <c r="X7838">
        <v>104</v>
      </c>
      <c r="Y7838">
        <v>0</v>
      </c>
      <c r="Z7838"/>
      <c r="AB7838"/>
      <c r="AC7838">
        <v>100</v>
      </c>
      <c r="AD7838">
        <v>182</v>
      </c>
      <c r="AE7838" s="1">
        <v>18200</v>
      </c>
      <c r="AF7838">
        <v>0</v>
      </c>
      <c r="AJ7838">
        <v>0</v>
      </c>
      <c r="AK7838">
        <v>0</v>
      </c>
      <c r="AL7838">
        <v>0</v>
      </c>
      <c r="AM7838">
        <v>0</v>
      </c>
      <c r="AN7838">
        <v>0</v>
      </c>
      <c r="AO7838">
        <v>0</v>
      </c>
      <c r="AP7838" s="2">
        <v>42746</v>
      </c>
      <c r="AQ7838" t="s">
        <v>72</v>
      </c>
      <c r="AR7838" t="s">
        <v>72</v>
      </c>
      <c r="AS7838">
        <v>407</v>
      </c>
      <c r="AT7838" s="4">
        <v>42416</v>
      </c>
      <c r="AU7838" t="s">
        <v>73</v>
      </c>
      <c r="AV7838">
        <v>407</v>
      </c>
      <c r="AW7838" s="4">
        <v>42416</v>
      </c>
      <c r="BD7838">
        <v>0</v>
      </c>
      <c r="BN7838" t="s">
        <v>74</v>
      </c>
    </row>
    <row r="7839" spans="1:66" hidden="1">
      <c r="A7839">
        <v>104492</v>
      </c>
      <c r="B7839" s="3" t="s">
        <v>670</v>
      </c>
      <c r="C7839" s="1">
        <v>43300101</v>
      </c>
      <c r="D7839" t="s">
        <v>67</v>
      </c>
      <c r="H7839" t="str">
        <f t="shared" si="775"/>
        <v>05354730631</v>
      </c>
      <c r="I7839" t="str">
        <f t="shared" si="775"/>
        <v>05354730631</v>
      </c>
      <c r="K7839" t="str">
        <f>""</f>
        <v/>
      </c>
      <c r="M7839" t="s">
        <v>68</v>
      </c>
      <c r="N7839" t="str">
        <f t="shared" si="772"/>
        <v>FOR</v>
      </c>
      <c r="O7839" t="s">
        <v>69</v>
      </c>
      <c r="P7839" s="3" t="s">
        <v>75</v>
      </c>
      <c r="Q7839">
        <v>2015</v>
      </c>
      <c r="R7839" s="2">
        <v>42173</v>
      </c>
      <c r="S7839" s="2">
        <v>42177</v>
      </c>
      <c r="T7839" s="2">
        <v>42174</v>
      </c>
      <c r="U7839" s="2">
        <v>42234</v>
      </c>
      <c r="V7839" t="s">
        <v>71</v>
      </c>
      <c r="W7839" t="str">
        <f>"               F1632"</f>
        <v xml:space="preserve">               F1632</v>
      </c>
      <c r="X7839">
        <v>104</v>
      </c>
      <c r="Y7839">
        <v>0</v>
      </c>
      <c r="Z7839"/>
      <c r="AB7839"/>
      <c r="AC7839">
        <v>100</v>
      </c>
      <c r="AD7839">
        <v>182</v>
      </c>
      <c r="AE7839" s="1">
        <v>18200</v>
      </c>
      <c r="AF7839">
        <v>0</v>
      </c>
      <c r="AJ7839">
        <v>0</v>
      </c>
      <c r="AK7839">
        <v>0</v>
      </c>
      <c r="AL7839">
        <v>0</v>
      </c>
      <c r="AM7839">
        <v>0</v>
      </c>
      <c r="AN7839">
        <v>0</v>
      </c>
      <c r="AO7839">
        <v>0</v>
      </c>
      <c r="AP7839" s="2">
        <v>42746</v>
      </c>
      <c r="AQ7839" t="s">
        <v>72</v>
      </c>
      <c r="AR7839" t="s">
        <v>72</v>
      </c>
      <c r="AS7839">
        <v>407</v>
      </c>
      <c r="AT7839" s="4">
        <v>42416</v>
      </c>
      <c r="AU7839" t="s">
        <v>73</v>
      </c>
      <c r="AV7839">
        <v>407</v>
      </c>
      <c r="AW7839" s="4">
        <v>42416</v>
      </c>
      <c r="BD7839">
        <v>0</v>
      </c>
      <c r="BN7839" t="s">
        <v>74</v>
      </c>
    </row>
    <row r="7840" spans="1:66" hidden="1">
      <c r="A7840">
        <v>104492</v>
      </c>
      <c r="B7840" s="3" t="s">
        <v>670</v>
      </c>
      <c r="C7840" s="1">
        <v>43300101</v>
      </c>
      <c r="D7840" t="s">
        <v>67</v>
      </c>
      <c r="H7840" t="str">
        <f t="shared" si="775"/>
        <v>05354730631</v>
      </c>
      <c r="I7840" t="str">
        <f t="shared" si="775"/>
        <v>05354730631</v>
      </c>
      <c r="K7840" t="str">
        <f>""</f>
        <v/>
      </c>
      <c r="M7840" t="s">
        <v>68</v>
      </c>
      <c r="N7840" t="str">
        <f t="shared" si="772"/>
        <v>FOR</v>
      </c>
      <c r="O7840" t="s">
        <v>69</v>
      </c>
      <c r="P7840" s="3" t="s">
        <v>75</v>
      </c>
      <c r="Q7840">
        <v>2015</v>
      </c>
      <c r="R7840" s="2">
        <v>42173</v>
      </c>
      <c r="S7840" s="2">
        <v>42177</v>
      </c>
      <c r="T7840" s="2">
        <v>42174</v>
      </c>
      <c r="U7840" s="2">
        <v>42234</v>
      </c>
      <c r="V7840" t="s">
        <v>71</v>
      </c>
      <c r="W7840" t="str">
        <f>"               F1633"</f>
        <v xml:space="preserve">               F1633</v>
      </c>
      <c r="X7840">
        <v>104</v>
      </c>
      <c r="Y7840">
        <v>0</v>
      </c>
      <c r="Z7840"/>
      <c r="AB7840"/>
      <c r="AC7840">
        <v>100</v>
      </c>
      <c r="AD7840">
        <v>182</v>
      </c>
      <c r="AE7840" s="1">
        <v>18200</v>
      </c>
      <c r="AF7840">
        <v>0</v>
      </c>
      <c r="AJ7840">
        <v>0</v>
      </c>
      <c r="AK7840">
        <v>0</v>
      </c>
      <c r="AL7840">
        <v>0</v>
      </c>
      <c r="AM7840">
        <v>0</v>
      </c>
      <c r="AN7840">
        <v>0</v>
      </c>
      <c r="AO7840">
        <v>0</v>
      </c>
      <c r="AP7840" s="2">
        <v>42746</v>
      </c>
      <c r="AQ7840" t="s">
        <v>72</v>
      </c>
      <c r="AR7840" t="s">
        <v>72</v>
      </c>
      <c r="AS7840">
        <v>407</v>
      </c>
      <c r="AT7840" s="4">
        <v>42416</v>
      </c>
      <c r="AU7840" t="s">
        <v>73</v>
      </c>
      <c r="AV7840">
        <v>407</v>
      </c>
      <c r="AW7840" s="4">
        <v>42416</v>
      </c>
      <c r="BD7840">
        <v>0</v>
      </c>
      <c r="BN7840" t="s">
        <v>74</v>
      </c>
    </row>
    <row r="7841" spans="1:66" hidden="1">
      <c r="A7841">
        <v>104492</v>
      </c>
      <c r="B7841" s="3" t="s">
        <v>670</v>
      </c>
      <c r="C7841" s="1">
        <v>43300101</v>
      </c>
      <c r="D7841" t="s">
        <v>67</v>
      </c>
      <c r="H7841" t="str">
        <f t="shared" si="775"/>
        <v>05354730631</v>
      </c>
      <c r="I7841" t="str">
        <f t="shared" si="775"/>
        <v>05354730631</v>
      </c>
      <c r="K7841" t="str">
        <f>""</f>
        <v/>
      </c>
      <c r="M7841" t="s">
        <v>68</v>
      </c>
      <c r="N7841" t="str">
        <f t="shared" si="772"/>
        <v>FOR</v>
      </c>
      <c r="O7841" t="s">
        <v>69</v>
      </c>
      <c r="P7841" s="3" t="s">
        <v>75</v>
      </c>
      <c r="Q7841">
        <v>2015</v>
      </c>
      <c r="R7841" s="2">
        <v>42173</v>
      </c>
      <c r="S7841" s="2">
        <v>42177</v>
      </c>
      <c r="T7841" s="2">
        <v>42174</v>
      </c>
      <c r="U7841" s="2">
        <v>42234</v>
      </c>
      <c r="V7841" t="s">
        <v>71</v>
      </c>
      <c r="W7841" t="str">
        <f>"               F1634"</f>
        <v xml:space="preserve">               F1634</v>
      </c>
      <c r="X7841">
        <v>104</v>
      </c>
      <c r="Y7841">
        <v>0</v>
      </c>
      <c r="Z7841"/>
      <c r="AB7841"/>
      <c r="AC7841">
        <v>100</v>
      </c>
      <c r="AD7841">
        <v>182</v>
      </c>
      <c r="AE7841" s="1">
        <v>18200</v>
      </c>
      <c r="AF7841">
        <v>0</v>
      </c>
      <c r="AJ7841">
        <v>0</v>
      </c>
      <c r="AK7841">
        <v>0</v>
      </c>
      <c r="AL7841">
        <v>0</v>
      </c>
      <c r="AM7841">
        <v>0</v>
      </c>
      <c r="AN7841">
        <v>0</v>
      </c>
      <c r="AO7841">
        <v>0</v>
      </c>
      <c r="AP7841" s="2">
        <v>42746</v>
      </c>
      <c r="AQ7841" t="s">
        <v>72</v>
      </c>
      <c r="AR7841" t="s">
        <v>72</v>
      </c>
      <c r="AS7841">
        <v>407</v>
      </c>
      <c r="AT7841" s="4">
        <v>42416</v>
      </c>
      <c r="AU7841" t="s">
        <v>73</v>
      </c>
      <c r="AV7841">
        <v>407</v>
      </c>
      <c r="AW7841" s="4">
        <v>42416</v>
      </c>
      <c r="BD7841">
        <v>0</v>
      </c>
      <c r="BN7841" t="s">
        <v>74</v>
      </c>
    </row>
    <row r="7842" spans="1:66" hidden="1">
      <c r="A7842">
        <v>104492</v>
      </c>
      <c r="B7842" s="3" t="s">
        <v>670</v>
      </c>
      <c r="C7842" s="1">
        <v>43300101</v>
      </c>
      <c r="D7842" t="s">
        <v>67</v>
      </c>
      <c r="H7842" t="str">
        <f t="shared" si="775"/>
        <v>05354730631</v>
      </c>
      <c r="I7842" t="str">
        <f t="shared" si="775"/>
        <v>05354730631</v>
      </c>
      <c r="K7842" t="str">
        <f>""</f>
        <v/>
      </c>
      <c r="M7842" t="s">
        <v>68</v>
      </c>
      <c r="N7842" t="str">
        <f t="shared" si="772"/>
        <v>FOR</v>
      </c>
      <c r="O7842" t="s">
        <v>69</v>
      </c>
      <c r="P7842" s="3" t="s">
        <v>75</v>
      </c>
      <c r="Q7842">
        <v>2015</v>
      </c>
      <c r="R7842" s="2">
        <v>42179</v>
      </c>
      <c r="S7842" s="2">
        <v>42185</v>
      </c>
      <c r="T7842" s="2">
        <v>42181</v>
      </c>
      <c r="U7842" s="2">
        <v>42241</v>
      </c>
      <c r="V7842" t="s">
        <v>71</v>
      </c>
      <c r="W7842" t="str">
        <f>"               F1735"</f>
        <v xml:space="preserve">               F1735</v>
      </c>
      <c r="X7842">
        <v>104</v>
      </c>
      <c r="Y7842">
        <v>0</v>
      </c>
      <c r="Z7842"/>
      <c r="AB7842"/>
      <c r="AC7842">
        <v>100</v>
      </c>
      <c r="AD7842">
        <v>175</v>
      </c>
      <c r="AE7842" s="1">
        <v>17500</v>
      </c>
      <c r="AF7842">
        <v>0</v>
      </c>
      <c r="AJ7842">
        <v>0</v>
      </c>
      <c r="AK7842">
        <v>0</v>
      </c>
      <c r="AL7842">
        <v>0</v>
      </c>
      <c r="AM7842">
        <v>0</v>
      </c>
      <c r="AN7842">
        <v>0</v>
      </c>
      <c r="AO7842">
        <v>0</v>
      </c>
      <c r="AP7842" s="2">
        <v>42746</v>
      </c>
      <c r="AQ7842" t="s">
        <v>72</v>
      </c>
      <c r="AR7842" t="s">
        <v>72</v>
      </c>
      <c r="AS7842">
        <v>407</v>
      </c>
      <c r="AT7842" s="4">
        <v>42416</v>
      </c>
      <c r="AU7842" t="s">
        <v>73</v>
      </c>
      <c r="AV7842">
        <v>407</v>
      </c>
      <c r="AW7842" s="4">
        <v>42416</v>
      </c>
      <c r="BD7842">
        <v>0</v>
      </c>
      <c r="BN7842" t="s">
        <v>74</v>
      </c>
    </row>
    <row r="7843" spans="1:66" hidden="1">
      <c r="A7843">
        <v>104492</v>
      </c>
      <c r="B7843" s="3" t="s">
        <v>670</v>
      </c>
      <c r="C7843" s="1">
        <v>43300101</v>
      </c>
      <c r="D7843" t="s">
        <v>67</v>
      </c>
      <c r="H7843" t="str">
        <f t="shared" si="775"/>
        <v>05354730631</v>
      </c>
      <c r="I7843" t="str">
        <f t="shared" si="775"/>
        <v>05354730631</v>
      </c>
      <c r="K7843" t="str">
        <f>""</f>
        <v/>
      </c>
      <c r="M7843" t="s">
        <v>68</v>
      </c>
      <c r="N7843" t="str">
        <f t="shared" si="772"/>
        <v>FOR</v>
      </c>
      <c r="O7843" t="s">
        <v>69</v>
      </c>
      <c r="P7843" s="3" t="s">
        <v>75</v>
      </c>
      <c r="Q7843">
        <v>2015</v>
      </c>
      <c r="R7843" s="2">
        <v>42179</v>
      </c>
      <c r="S7843" s="2">
        <v>42185</v>
      </c>
      <c r="T7843" s="2">
        <v>42181</v>
      </c>
      <c r="U7843" s="2">
        <v>42241</v>
      </c>
      <c r="V7843" t="s">
        <v>71</v>
      </c>
      <c r="W7843" t="str">
        <f>"               F1736"</f>
        <v xml:space="preserve">               F1736</v>
      </c>
      <c r="X7843">
        <v>104</v>
      </c>
      <c r="Y7843">
        <v>0</v>
      </c>
      <c r="Z7843"/>
      <c r="AB7843"/>
      <c r="AC7843">
        <v>100</v>
      </c>
      <c r="AD7843">
        <v>175</v>
      </c>
      <c r="AE7843" s="1">
        <v>17500</v>
      </c>
      <c r="AF7843">
        <v>0</v>
      </c>
      <c r="AJ7843">
        <v>0</v>
      </c>
      <c r="AK7843">
        <v>0</v>
      </c>
      <c r="AL7843">
        <v>0</v>
      </c>
      <c r="AM7843">
        <v>0</v>
      </c>
      <c r="AN7843">
        <v>0</v>
      </c>
      <c r="AO7843">
        <v>0</v>
      </c>
      <c r="AP7843" s="2">
        <v>42746</v>
      </c>
      <c r="AQ7843" t="s">
        <v>72</v>
      </c>
      <c r="AR7843" t="s">
        <v>72</v>
      </c>
      <c r="AS7843">
        <v>407</v>
      </c>
      <c r="AT7843" s="4">
        <v>42416</v>
      </c>
      <c r="AU7843" t="s">
        <v>73</v>
      </c>
      <c r="AV7843">
        <v>407</v>
      </c>
      <c r="AW7843" s="4">
        <v>42416</v>
      </c>
      <c r="BD7843">
        <v>0</v>
      </c>
      <c r="BN7843" t="s">
        <v>74</v>
      </c>
    </row>
    <row r="7844" spans="1:66" hidden="1">
      <c r="A7844">
        <v>104492</v>
      </c>
      <c r="B7844" s="3" t="s">
        <v>670</v>
      </c>
      <c r="C7844" s="1">
        <v>43300101</v>
      </c>
      <c r="D7844" t="s">
        <v>67</v>
      </c>
      <c r="H7844" t="str">
        <f t="shared" si="775"/>
        <v>05354730631</v>
      </c>
      <c r="I7844" t="str">
        <f t="shared" si="775"/>
        <v>05354730631</v>
      </c>
      <c r="K7844" t="str">
        <f>""</f>
        <v/>
      </c>
      <c r="M7844" t="s">
        <v>68</v>
      </c>
      <c r="N7844" t="str">
        <f t="shared" si="772"/>
        <v>FOR</v>
      </c>
      <c r="O7844" t="s">
        <v>69</v>
      </c>
      <c r="P7844" s="3" t="s">
        <v>75</v>
      </c>
      <c r="Q7844">
        <v>2015</v>
      </c>
      <c r="R7844" s="2">
        <v>42179</v>
      </c>
      <c r="S7844" s="2">
        <v>42186</v>
      </c>
      <c r="T7844" s="2">
        <v>42181</v>
      </c>
      <c r="U7844" s="2">
        <v>42241</v>
      </c>
      <c r="V7844" t="s">
        <v>71</v>
      </c>
      <c r="W7844" t="str">
        <f>"               F1737"</f>
        <v xml:space="preserve">               F1737</v>
      </c>
      <c r="X7844">
        <v>104</v>
      </c>
      <c r="Y7844">
        <v>0</v>
      </c>
      <c r="Z7844"/>
      <c r="AB7844"/>
      <c r="AC7844">
        <v>100</v>
      </c>
      <c r="AD7844">
        <v>175</v>
      </c>
      <c r="AE7844" s="1">
        <v>17500</v>
      </c>
      <c r="AF7844">
        <v>0</v>
      </c>
      <c r="AJ7844">
        <v>0</v>
      </c>
      <c r="AK7844">
        <v>0</v>
      </c>
      <c r="AL7844">
        <v>0</v>
      </c>
      <c r="AM7844">
        <v>0</v>
      </c>
      <c r="AN7844">
        <v>0</v>
      </c>
      <c r="AO7844">
        <v>0</v>
      </c>
      <c r="AP7844" s="2">
        <v>42746</v>
      </c>
      <c r="AQ7844" t="s">
        <v>72</v>
      </c>
      <c r="AR7844" t="s">
        <v>72</v>
      </c>
      <c r="AS7844">
        <v>407</v>
      </c>
      <c r="AT7844" s="4">
        <v>42416</v>
      </c>
      <c r="AU7844" t="s">
        <v>73</v>
      </c>
      <c r="AV7844">
        <v>407</v>
      </c>
      <c r="AW7844" s="4">
        <v>42416</v>
      </c>
      <c r="BD7844">
        <v>0</v>
      </c>
      <c r="BN7844" t="s">
        <v>74</v>
      </c>
    </row>
    <row r="7845" spans="1:66" hidden="1">
      <c r="A7845">
        <v>104492</v>
      </c>
      <c r="B7845" s="3" t="s">
        <v>670</v>
      </c>
      <c r="C7845" s="1">
        <v>43300101</v>
      </c>
      <c r="D7845" t="s">
        <v>67</v>
      </c>
      <c r="H7845" t="str">
        <f t="shared" si="775"/>
        <v>05354730631</v>
      </c>
      <c r="I7845" t="str">
        <f t="shared" si="775"/>
        <v>05354730631</v>
      </c>
      <c r="K7845" t="str">
        <f>""</f>
        <v/>
      </c>
      <c r="M7845" t="s">
        <v>68</v>
      </c>
      <c r="N7845" t="str">
        <f t="shared" si="772"/>
        <v>FOR</v>
      </c>
      <c r="O7845" t="s">
        <v>69</v>
      </c>
      <c r="P7845" s="3" t="s">
        <v>75</v>
      </c>
      <c r="Q7845">
        <v>2015</v>
      </c>
      <c r="R7845" s="2">
        <v>42179</v>
      </c>
      <c r="S7845" s="2">
        <v>42186</v>
      </c>
      <c r="T7845" s="2">
        <v>42181</v>
      </c>
      <c r="U7845" s="2">
        <v>42241</v>
      </c>
      <c r="V7845" t="s">
        <v>71</v>
      </c>
      <c r="W7845" t="str">
        <f>"               F1738"</f>
        <v xml:space="preserve">               F1738</v>
      </c>
      <c r="X7845">
        <v>135.19999999999999</v>
      </c>
      <c r="Y7845">
        <v>0</v>
      </c>
      <c r="Z7845"/>
      <c r="AB7845"/>
      <c r="AC7845">
        <v>130</v>
      </c>
      <c r="AD7845">
        <v>175</v>
      </c>
      <c r="AE7845" s="1">
        <v>22750</v>
      </c>
      <c r="AF7845">
        <v>0</v>
      </c>
      <c r="AJ7845">
        <v>0</v>
      </c>
      <c r="AK7845">
        <v>0</v>
      </c>
      <c r="AL7845">
        <v>0</v>
      </c>
      <c r="AM7845">
        <v>0</v>
      </c>
      <c r="AN7845">
        <v>0</v>
      </c>
      <c r="AO7845">
        <v>0</v>
      </c>
      <c r="AP7845" s="2">
        <v>42746</v>
      </c>
      <c r="AQ7845" t="s">
        <v>72</v>
      </c>
      <c r="AR7845" t="s">
        <v>72</v>
      </c>
      <c r="AS7845">
        <v>407</v>
      </c>
      <c r="AT7845" s="4">
        <v>42416</v>
      </c>
      <c r="AU7845" t="s">
        <v>73</v>
      </c>
      <c r="AV7845">
        <v>407</v>
      </c>
      <c r="AW7845" s="4">
        <v>42416</v>
      </c>
      <c r="BD7845">
        <v>0</v>
      </c>
      <c r="BN7845" t="s">
        <v>74</v>
      </c>
    </row>
    <row r="7846" spans="1:66" hidden="1">
      <c r="A7846">
        <v>104492</v>
      </c>
      <c r="B7846" s="3" t="s">
        <v>670</v>
      </c>
      <c r="C7846" s="1">
        <v>43300101</v>
      </c>
      <c r="D7846" t="s">
        <v>67</v>
      </c>
      <c r="H7846" t="str">
        <f t="shared" si="775"/>
        <v>05354730631</v>
      </c>
      <c r="I7846" t="str">
        <f t="shared" si="775"/>
        <v>05354730631</v>
      </c>
      <c r="K7846" t="str">
        <f>""</f>
        <v/>
      </c>
      <c r="M7846" t="s">
        <v>68</v>
      </c>
      <c r="N7846" t="str">
        <f t="shared" si="772"/>
        <v>FOR</v>
      </c>
      <c r="O7846" t="s">
        <v>69</v>
      </c>
      <c r="P7846" s="3" t="s">
        <v>75</v>
      </c>
      <c r="Q7846">
        <v>2015</v>
      </c>
      <c r="R7846" s="2">
        <v>42179</v>
      </c>
      <c r="S7846" s="2">
        <v>42186</v>
      </c>
      <c r="T7846" s="2">
        <v>42181</v>
      </c>
      <c r="U7846" s="2">
        <v>42241</v>
      </c>
      <c r="V7846" t="s">
        <v>71</v>
      </c>
      <c r="W7846" t="str">
        <f>"               F1739"</f>
        <v xml:space="preserve">               F1739</v>
      </c>
      <c r="X7846">
        <v>135.19999999999999</v>
      </c>
      <c r="Y7846">
        <v>0</v>
      </c>
      <c r="Z7846"/>
      <c r="AB7846"/>
      <c r="AC7846">
        <v>130</v>
      </c>
      <c r="AD7846">
        <v>175</v>
      </c>
      <c r="AE7846" s="1">
        <v>22750</v>
      </c>
      <c r="AF7846">
        <v>0</v>
      </c>
      <c r="AJ7846">
        <v>0</v>
      </c>
      <c r="AK7846">
        <v>0</v>
      </c>
      <c r="AL7846">
        <v>0</v>
      </c>
      <c r="AM7846">
        <v>0</v>
      </c>
      <c r="AN7846">
        <v>0</v>
      </c>
      <c r="AO7846">
        <v>0</v>
      </c>
      <c r="AP7846" s="2">
        <v>42746</v>
      </c>
      <c r="AQ7846" t="s">
        <v>72</v>
      </c>
      <c r="AR7846" t="s">
        <v>72</v>
      </c>
      <c r="AS7846">
        <v>407</v>
      </c>
      <c r="AT7846" s="4">
        <v>42416</v>
      </c>
      <c r="AU7846" t="s">
        <v>73</v>
      </c>
      <c r="AV7846">
        <v>407</v>
      </c>
      <c r="AW7846" s="4">
        <v>42416</v>
      </c>
      <c r="BD7846">
        <v>0</v>
      </c>
      <c r="BN7846" t="s">
        <v>74</v>
      </c>
    </row>
    <row r="7847" spans="1:66" hidden="1">
      <c r="A7847">
        <v>104492</v>
      </c>
      <c r="B7847" s="3" t="s">
        <v>670</v>
      </c>
      <c r="C7847" s="1">
        <v>43300101</v>
      </c>
      <c r="D7847" t="s">
        <v>67</v>
      </c>
      <c r="H7847" t="str">
        <f t="shared" si="775"/>
        <v>05354730631</v>
      </c>
      <c r="I7847" t="str">
        <f t="shared" si="775"/>
        <v>05354730631</v>
      </c>
      <c r="K7847" t="str">
        <f>""</f>
        <v/>
      </c>
      <c r="M7847" t="s">
        <v>68</v>
      </c>
      <c r="N7847" t="str">
        <f t="shared" si="772"/>
        <v>FOR</v>
      </c>
      <c r="O7847" t="s">
        <v>69</v>
      </c>
      <c r="P7847" s="3" t="s">
        <v>75</v>
      </c>
      <c r="Q7847">
        <v>2015</v>
      </c>
      <c r="R7847" s="2">
        <v>42179</v>
      </c>
      <c r="S7847" s="2">
        <v>42186</v>
      </c>
      <c r="T7847" s="2">
        <v>42181</v>
      </c>
      <c r="U7847" s="2">
        <v>42241</v>
      </c>
      <c r="V7847" t="s">
        <v>71</v>
      </c>
      <c r="W7847" t="str">
        <f>"               F1740"</f>
        <v xml:space="preserve">               F1740</v>
      </c>
      <c r="X7847">
        <v>135.19999999999999</v>
      </c>
      <c r="Y7847">
        <v>0</v>
      </c>
      <c r="Z7847"/>
      <c r="AB7847"/>
      <c r="AC7847">
        <v>130</v>
      </c>
      <c r="AD7847">
        <v>175</v>
      </c>
      <c r="AE7847" s="1">
        <v>22750</v>
      </c>
      <c r="AF7847">
        <v>0</v>
      </c>
      <c r="AJ7847">
        <v>0</v>
      </c>
      <c r="AK7847">
        <v>0</v>
      </c>
      <c r="AL7847">
        <v>0</v>
      </c>
      <c r="AM7847">
        <v>0</v>
      </c>
      <c r="AN7847">
        <v>0</v>
      </c>
      <c r="AO7847">
        <v>0</v>
      </c>
      <c r="AP7847" s="2">
        <v>42746</v>
      </c>
      <c r="AQ7847" t="s">
        <v>72</v>
      </c>
      <c r="AR7847" t="s">
        <v>72</v>
      </c>
      <c r="AS7847">
        <v>407</v>
      </c>
      <c r="AT7847" s="4">
        <v>42416</v>
      </c>
      <c r="AU7847" t="s">
        <v>73</v>
      </c>
      <c r="AV7847">
        <v>407</v>
      </c>
      <c r="AW7847" s="4">
        <v>42416</v>
      </c>
      <c r="BD7847">
        <v>0</v>
      </c>
      <c r="BN7847" t="s">
        <v>74</v>
      </c>
    </row>
    <row r="7848" spans="1:66" hidden="1">
      <c r="A7848">
        <v>104492</v>
      </c>
      <c r="B7848" s="3" t="s">
        <v>670</v>
      </c>
      <c r="C7848" s="1">
        <v>43300101</v>
      </c>
      <c r="D7848" t="s">
        <v>67</v>
      </c>
      <c r="H7848" t="str">
        <f t="shared" ref="H7848:I7867" si="776">"05354730631"</f>
        <v>05354730631</v>
      </c>
      <c r="I7848" t="str">
        <f t="shared" si="776"/>
        <v>05354730631</v>
      </c>
      <c r="K7848" t="str">
        <f>""</f>
        <v/>
      </c>
      <c r="M7848" t="s">
        <v>68</v>
      </c>
      <c r="N7848" t="str">
        <f t="shared" si="772"/>
        <v>FOR</v>
      </c>
      <c r="O7848" t="s">
        <v>69</v>
      </c>
      <c r="P7848" s="3" t="s">
        <v>75</v>
      </c>
      <c r="Q7848">
        <v>2015</v>
      </c>
      <c r="R7848" s="2">
        <v>42199</v>
      </c>
      <c r="S7848" s="2">
        <v>42202</v>
      </c>
      <c r="T7848" s="2">
        <v>42200</v>
      </c>
      <c r="U7848" s="2">
        <v>42260</v>
      </c>
      <c r="V7848" t="s">
        <v>71</v>
      </c>
      <c r="W7848" t="str">
        <f>"               F1959"</f>
        <v xml:space="preserve">               F1959</v>
      </c>
      <c r="X7848">
        <v>104</v>
      </c>
      <c r="Y7848">
        <v>0</v>
      </c>
      <c r="Z7848"/>
      <c r="AB7848"/>
      <c r="AC7848">
        <v>100</v>
      </c>
      <c r="AD7848">
        <v>192</v>
      </c>
      <c r="AE7848" s="1">
        <v>19200</v>
      </c>
      <c r="AF7848">
        <v>0</v>
      </c>
      <c r="AJ7848">
        <v>0</v>
      </c>
      <c r="AK7848">
        <v>0</v>
      </c>
      <c r="AL7848">
        <v>0</v>
      </c>
      <c r="AM7848">
        <v>0</v>
      </c>
      <c r="AN7848">
        <v>0</v>
      </c>
      <c r="AO7848">
        <v>0</v>
      </c>
      <c r="AP7848" s="2">
        <v>42746</v>
      </c>
      <c r="AQ7848" t="s">
        <v>72</v>
      </c>
      <c r="AR7848" t="s">
        <v>72</v>
      </c>
      <c r="AS7848">
        <v>759</v>
      </c>
      <c r="AT7848" s="4">
        <v>42452</v>
      </c>
      <c r="AU7848" t="s">
        <v>73</v>
      </c>
      <c r="AV7848">
        <v>759</v>
      </c>
      <c r="AW7848" s="4">
        <v>42452</v>
      </c>
      <c r="BD7848">
        <v>0</v>
      </c>
      <c r="BN7848" t="s">
        <v>74</v>
      </c>
    </row>
    <row r="7849" spans="1:66" hidden="1">
      <c r="A7849">
        <v>104492</v>
      </c>
      <c r="B7849" s="3" t="s">
        <v>670</v>
      </c>
      <c r="C7849" s="1">
        <v>43300101</v>
      </c>
      <c r="D7849" t="s">
        <v>67</v>
      </c>
      <c r="H7849" t="str">
        <f t="shared" si="776"/>
        <v>05354730631</v>
      </c>
      <c r="I7849" t="str">
        <f t="shared" si="776"/>
        <v>05354730631</v>
      </c>
      <c r="K7849" t="str">
        <f>""</f>
        <v/>
      </c>
      <c r="M7849" t="s">
        <v>68</v>
      </c>
      <c r="N7849" t="str">
        <f t="shared" si="772"/>
        <v>FOR</v>
      </c>
      <c r="O7849" t="s">
        <v>69</v>
      </c>
      <c r="P7849" s="3" t="s">
        <v>75</v>
      </c>
      <c r="Q7849">
        <v>2015</v>
      </c>
      <c r="R7849" s="2">
        <v>42199</v>
      </c>
      <c r="S7849" s="2">
        <v>42202</v>
      </c>
      <c r="T7849" s="2">
        <v>42200</v>
      </c>
      <c r="U7849" s="2">
        <v>42260</v>
      </c>
      <c r="V7849" t="s">
        <v>71</v>
      </c>
      <c r="W7849" t="str">
        <f>"               F1960"</f>
        <v xml:space="preserve">               F1960</v>
      </c>
      <c r="X7849">
        <v>104</v>
      </c>
      <c r="Y7849">
        <v>0</v>
      </c>
      <c r="Z7849"/>
      <c r="AB7849"/>
      <c r="AC7849">
        <v>100</v>
      </c>
      <c r="AD7849">
        <v>192</v>
      </c>
      <c r="AE7849" s="1">
        <v>19200</v>
      </c>
      <c r="AF7849">
        <v>0</v>
      </c>
      <c r="AJ7849">
        <v>0</v>
      </c>
      <c r="AK7849">
        <v>0</v>
      </c>
      <c r="AL7849">
        <v>0</v>
      </c>
      <c r="AM7849">
        <v>0</v>
      </c>
      <c r="AN7849">
        <v>0</v>
      </c>
      <c r="AO7849">
        <v>0</v>
      </c>
      <c r="AP7849" s="2">
        <v>42746</v>
      </c>
      <c r="AQ7849" t="s">
        <v>72</v>
      </c>
      <c r="AR7849" t="s">
        <v>72</v>
      </c>
      <c r="AS7849">
        <v>759</v>
      </c>
      <c r="AT7849" s="4">
        <v>42452</v>
      </c>
      <c r="AU7849" t="s">
        <v>73</v>
      </c>
      <c r="AV7849">
        <v>759</v>
      </c>
      <c r="AW7849" s="4">
        <v>42452</v>
      </c>
      <c r="BD7849">
        <v>0</v>
      </c>
      <c r="BN7849" t="s">
        <v>74</v>
      </c>
    </row>
    <row r="7850" spans="1:66" hidden="1">
      <c r="A7850">
        <v>104492</v>
      </c>
      <c r="B7850" s="3" t="s">
        <v>670</v>
      </c>
      <c r="C7850" s="1">
        <v>43300101</v>
      </c>
      <c r="D7850" t="s">
        <v>67</v>
      </c>
      <c r="H7850" t="str">
        <f t="shared" si="776"/>
        <v>05354730631</v>
      </c>
      <c r="I7850" t="str">
        <f t="shared" si="776"/>
        <v>05354730631</v>
      </c>
      <c r="K7850" t="str">
        <f>""</f>
        <v/>
      </c>
      <c r="M7850" t="s">
        <v>68</v>
      </c>
      <c r="N7850" t="str">
        <f t="shared" si="772"/>
        <v>FOR</v>
      </c>
      <c r="O7850" t="s">
        <v>69</v>
      </c>
      <c r="P7850" s="3" t="s">
        <v>75</v>
      </c>
      <c r="Q7850">
        <v>2015</v>
      </c>
      <c r="R7850" s="2">
        <v>42199</v>
      </c>
      <c r="S7850" s="2">
        <v>42202</v>
      </c>
      <c r="T7850" s="2">
        <v>42200</v>
      </c>
      <c r="U7850" s="2">
        <v>42260</v>
      </c>
      <c r="V7850" t="s">
        <v>71</v>
      </c>
      <c r="W7850" t="str">
        <f>"               F1961"</f>
        <v xml:space="preserve">               F1961</v>
      </c>
      <c r="X7850">
        <v>104</v>
      </c>
      <c r="Y7850">
        <v>0</v>
      </c>
      <c r="Z7850"/>
      <c r="AB7850"/>
      <c r="AC7850">
        <v>100</v>
      </c>
      <c r="AD7850">
        <v>192</v>
      </c>
      <c r="AE7850" s="1">
        <v>19200</v>
      </c>
      <c r="AF7850">
        <v>0</v>
      </c>
      <c r="AJ7850">
        <v>0</v>
      </c>
      <c r="AK7850">
        <v>0</v>
      </c>
      <c r="AL7850">
        <v>0</v>
      </c>
      <c r="AM7850">
        <v>0</v>
      </c>
      <c r="AN7850">
        <v>0</v>
      </c>
      <c r="AO7850">
        <v>0</v>
      </c>
      <c r="AP7850" s="2">
        <v>42746</v>
      </c>
      <c r="AQ7850" t="s">
        <v>72</v>
      </c>
      <c r="AR7850" t="s">
        <v>72</v>
      </c>
      <c r="AS7850">
        <v>759</v>
      </c>
      <c r="AT7850" s="4">
        <v>42452</v>
      </c>
      <c r="AU7850" t="s">
        <v>73</v>
      </c>
      <c r="AV7850">
        <v>759</v>
      </c>
      <c r="AW7850" s="4">
        <v>42452</v>
      </c>
      <c r="BD7850">
        <v>0</v>
      </c>
      <c r="BN7850" t="s">
        <v>74</v>
      </c>
    </row>
    <row r="7851" spans="1:66" hidden="1">
      <c r="A7851">
        <v>104492</v>
      </c>
      <c r="B7851" s="3" t="s">
        <v>670</v>
      </c>
      <c r="C7851" s="1">
        <v>43300101</v>
      </c>
      <c r="D7851" t="s">
        <v>67</v>
      </c>
      <c r="H7851" t="str">
        <f t="shared" si="776"/>
        <v>05354730631</v>
      </c>
      <c r="I7851" t="str">
        <f t="shared" si="776"/>
        <v>05354730631</v>
      </c>
      <c r="K7851" t="str">
        <f>""</f>
        <v/>
      </c>
      <c r="M7851" t="s">
        <v>68</v>
      </c>
      <c r="N7851" t="str">
        <f t="shared" si="772"/>
        <v>FOR</v>
      </c>
      <c r="O7851" t="s">
        <v>69</v>
      </c>
      <c r="P7851" s="3" t="s">
        <v>75</v>
      </c>
      <c r="Q7851">
        <v>2015</v>
      </c>
      <c r="R7851" s="2">
        <v>42205</v>
      </c>
      <c r="S7851" s="2">
        <v>42207</v>
      </c>
      <c r="T7851" s="2">
        <v>42207</v>
      </c>
      <c r="U7851" s="2">
        <v>42267</v>
      </c>
      <c r="V7851" t="s">
        <v>71</v>
      </c>
      <c r="W7851" t="str">
        <f>"               F2009"</f>
        <v xml:space="preserve">               F2009</v>
      </c>
      <c r="X7851" s="1">
        <v>2177.6999999999998</v>
      </c>
      <c r="Y7851">
        <v>0</v>
      </c>
      <c r="Z7851"/>
      <c r="AB7851"/>
      <c r="AC7851" s="1">
        <v>1785</v>
      </c>
      <c r="AD7851">
        <v>185</v>
      </c>
      <c r="AE7851" s="1">
        <v>330225</v>
      </c>
      <c r="AF7851">
        <v>0</v>
      </c>
      <c r="AJ7851">
        <v>0</v>
      </c>
      <c r="AK7851">
        <v>0</v>
      </c>
      <c r="AL7851">
        <v>0</v>
      </c>
      <c r="AM7851">
        <v>0</v>
      </c>
      <c r="AN7851">
        <v>0</v>
      </c>
      <c r="AO7851">
        <v>0</v>
      </c>
      <c r="AP7851" s="2">
        <v>42746</v>
      </c>
      <c r="AQ7851" t="s">
        <v>72</v>
      </c>
      <c r="AR7851" t="s">
        <v>72</v>
      </c>
      <c r="AS7851">
        <v>759</v>
      </c>
      <c r="AT7851" s="4">
        <v>42452</v>
      </c>
      <c r="AU7851" t="s">
        <v>73</v>
      </c>
      <c r="AV7851">
        <v>759</v>
      </c>
      <c r="AW7851" s="4">
        <v>42452</v>
      </c>
      <c r="BD7851">
        <v>0</v>
      </c>
      <c r="BN7851" t="s">
        <v>74</v>
      </c>
    </row>
    <row r="7852" spans="1:66" hidden="1">
      <c r="A7852">
        <v>104492</v>
      </c>
      <c r="B7852" s="3" t="s">
        <v>670</v>
      </c>
      <c r="C7852" s="1">
        <v>43300101</v>
      </c>
      <c r="D7852" t="s">
        <v>67</v>
      </c>
      <c r="H7852" t="str">
        <f t="shared" si="776"/>
        <v>05354730631</v>
      </c>
      <c r="I7852" t="str">
        <f t="shared" si="776"/>
        <v>05354730631</v>
      </c>
      <c r="K7852" t="str">
        <f>""</f>
        <v/>
      </c>
      <c r="M7852" t="s">
        <v>68</v>
      </c>
      <c r="N7852" t="str">
        <f t="shared" si="772"/>
        <v>FOR</v>
      </c>
      <c r="O7852" t="s">
        <v>69</v>
      </c>
      <c r="P7852" s="3" t="s">
        <v>75</v>
      </c>
      <c r="Q7852">
        <v>2015</v>
      </c>
      <c r="R7852" s="2">
        <v>42205</v>
      </c>
      <c r="S7852" s="2">
        <v>42207</v>
      </c>
      <c r="T7852" s="2">
        <v>42207</v>
      </c>
      <c r="U7852" s="2">
        <v>42267</v>
      </c>
      <c r="V7852" t="s">
        <v>71</v>
      </c>
      <c r="W7852" t="str">
        <f>"               F2010"</f>
        <v xml:space="preserve">               F2010</v>
      </c>
      <c r="X7852">
        <v>420.9</v>
      </c>
      <c r="Y7852">
        <v>0</v>
      </c>
      <c r="Z7852"/>
      <c r="AB7852"/>
      <c r="AC7852">
        <v>345</v>
      </c>
      <c r="AD7852">
        <v>185</v>
      </c>
      <c r="AE7852" s="1">
        <v>63825</v>
      </c>
      <c r="AF7852">
        <v>0</v>
      </c>
      <c r="AJ7852">
        <v>0</v>
      </c>
      <c r="AK7852">
        <v>0</v>
      </c>
      <c r="AL7852">
        <v>0</v>
      </c>
      <c r="AM7852">
        <v>0</v>
      </c>
      <c r="AN7852">
        <v>0</v>
      </c>
      <c r="AO7852">
        <v>0</v>
      </c>
      <c r="AP7852" s="2">
        <v>42746</v>
      </c>
      <c r="AQ7852" t="s">
        <v>72</v>
      </c>
      <c r="AR7852" t="s">
        <v>72</v>
      </c>
      <c r="AS7852">
        <v>759</v>
      </c>
      <c r="AT7852" s="4">
        <v>42452</v>
      </c>
      <c r="AU7852" t="s">
        <v>73</v>
      </c>
      <c r="AV7852">
        <v>759</v>
      </c>
      <c r="AW7852" s="4">
        <v>42452</v>
      </c>
      <c r="BD7852">
        <v>0</v>
      </c>
      <c r="BN7852" t="s">
        <v>74</v>
      </c>
    </row>
    <row r="7853" spans="1:66" hidden="1">
      <c r="A7853">
        <v>104492</v>
      </c>
      <c r="B7853" s="3" t="s">
        <v>670</v>
      </c>
      <c r="C7853" s="1">
        <v>43300101</v>
      </c>
      <c r="D7853" t="s">
        <v>67</v>
      </c>
      <c r="H7853" t="str">
        <f t="shared" si="776"/>
        <v>05354730631</v>
      </c>
      <c r="I7853" t="str">
        <f t="shared" si="776"/>
        <v>05354730631</v>
      </c>
      <c r="K7853" t="str">
        <f>""</f>
        <v/>
      </c>
      <c r="M7853" t="s">
        <v>68</v>
      </c>
      <c r="N7853" t="str">
        <f t="shared" si="772"/>
        <v>FOR</v>
      </c>
      <c r="O7853" t="s">
        <v>69</v>
      </c>
      <c r="P7853" s="3" t="s">
        <v>75</v>
      </c>
      <c r="Q7853">
        <v>2015</v>
      </c>
      <c r="R7853" s="2">
        <v>42205</v>
      </c>
      <c r="S7853" s="2">
        <v>42207</v>
      </c>
      <c r="T7853" s="2">
        <v>42207</v>
      </c>
      <c r="U7853" s="2">
        <v>42267</v>
      </c>
      <c r="V7853" t="s">
        <v>71</v>
      </c>
      <c r="W7853" t="str">
        <f>"               F2030"</f>
        <v xml:space="preserve">               F2030</v>
      </c>
      <c r="X7853" s="1">
        <v>7753.1</v>
      </c>
      <c r="Y7853">
        <v>0</v>
      </c>
      <c r="Z7853"/>
      <c r="AB7853"/>
      <c r="AC7853" s="1">
        <v>6355</v>
      </c>
      <c r="AD7853">
        <v>225</v>
      </c>
      <c r="AE7853" s="1">
        <v>1429875</v>
      </c>
      <c r="AF7853">
        <v>0</v>
      </c>
      <c r="AJ7853">
        <v>0</v>
      </c>
      <c r="AK7853">
        <v>0</v>
      </c>
      <c r="AL7853">
        <v>0</v>
      </c>
      <c r="AM7853">
        <v>0</v>
      </c>
      <c r="AN7853">
        <v>0</v>
      </c>
      <c r="AO7853">
        <v>0</v>
      </c>
      <c r="AP7853" s="2">
        <v>42746</v>
      </c>
      <c r="AQ7853" t="s">
        <v>72</v>
      </c>
      <c r="AR7853" t="s">
        <v>72</v>
      </c>
      <c r="AS7853">
        <v>1251</v>
      </c>
      <c r="AT7853" s="4">
        <v>42492</v>
      </c>
      <c r="AU7853" t="s">
        <v>73</v>
      </c>
      <c r="AV7853">
        <v>1251</v>
      </c>
      <c r="AW7853" s="4">
        <v>42492</v>
      </c>
      <c r="BD7853">
        <v>0</v>
      </c>
      <c r="BN7853" t="s">
        <v>74</v>
      </c>
    </row>
    <row r="7854" spans="1:66" hidden="1">
      <c r="A7854">
        <v>104492</v>
      </c>
      <c r="B7854" s="3" t="s">
        <v>670</v>
      </c>
      <c r="C7854" s="1">
        <v>43300101</v>
      </c>
      <c r="D7854" t="s">
        <v>67</v>
      </c>
      <c r="H7854" t="str">
        <f t="shared" si="776"/>
        <v>05354730631</v>
      </c>
      <c r="I7854" t="str">
        <f t="shared" si="776"/>
        <v>05354730631</v>
      </c>
      <c r="K7854" t="str">
        <f>""</f>
        <v/>
      </c>
      <c r="M7854" t="s">
        <v>68</v>
      </c>
      <c r="N7854" t="str">
        <f t="shared" si="772"/>
        <v>FOR</v>
      </c>
      <c r="O7854" t="s">
        <v>69</v>
      </c>
      <c r="P7854" s="3" t="s">
        <v>75</v>
      </c>
      <c r="Q7854">
        <v>2015</v>
      </c>
      <c r="R7854" s="2">
        <v>42208</v>
      </c>
      <c r="S7854" s="2">
        <v>42212</v>
      </c>
      <c r="T7854" s="2">
        <v>42209</v>
      </c>
      <c r="U7854" s="2">
        <v>42269</v>
      </c>
      <c r="V7854" t="s">
        <v>71</v>
      </c>
      <c r="W7854" t="str">
        <f>"               F2100"</f>
        <v xml:space="preserve">               F2100</v>
      </c>
      <c r="X7854">
        <v>104</v>
      </c>
      <c r="Y7854">
        <v>0</v>
      </c>
      <c r="Z7854"/>
      <c r="AB7854"/>
      <c r="AC7854">
        <v>100</v>
      </c>
      <c r="AD7854">
        <v>183</v>
      </c>
      <c r="AE7854" s="1">
        <v>18300</v>
      </c>
      <c r="AF7854">
        <v>0</v>
      </c>
      <c r="AJ7854">
        <v>0</v>
      </c>
      <c r="AK7854">
        <v>0</v>
      </c>
      <c r="AL7854">
        <v>0</v>
      </c>
      <c r="AM7854">
        <v>0</v>
      </c>
      <c r="AN7854">
        <v>0</v>
      </c>
      <c r="AO7854">
        <v>0</v>
      </c>
      <c r="AP7854" s="2">
        <v>42746</v>
      </c>
      <c r="AQ7854" t="s">
        <v>72</v>
      </c>
      <c r="AR7854" t="s">
        <v>72</v>
      </c>
      <c r="AS7854">
        <v>759</v>
      </c>
      <c r="AT7854" s="4">
        <v>42452</v>
      </c>
      <c r="AU7854" t="s">
        <v>73</v>
      </c>
      <c r="AV7854">
        <v>759</v>
      </c>
      <c r="AW7854" s="4">
        <v>42452</v>
      </c>
      <c r="BD7854">
        <v>0</v>
      </c>
      <c r="BN7854" t="s">
        <v>74</v>
      </c>
    </row>
    <row r="7855" spans="1:66" hidden="1">
      <c r="A7855">
        <v>104492</v>
      </c>
      <c r="B7855" s="3" t="s">
        <v>670</v>
      </c>
      <c r="C7855" s="1">
        <v>43300101</v>
      </c>
      <c r="D7855" t="s">
        <v>67</v>
      </c>
      <c r="H7855" t="str">
        <f t="shared" si="776"/>
        <v>05354730631</v>
      </c>
      <c r="I7855" t="str">
        <f t="shared" si="776"/>
        <v>05354730631</v>
      </c>
      <c r="K7855" t="str">
        <f>""</f>
        <v/>
      </c>
      <c r="M7855" t="s">
        <v>68</v>
      </c>
      <c r="N7855" t="str">
        <f t="shared" si="772"/>
        <v>FOR</v>
      </c>
      <c r="O7855" t="s">
        <v>69</v>
      </c>
      <c r="P7855" s="3" t="s">
        <v>75</v>
      </c>
      <c r="Q7855">
        <v>2015</v>
      </c>
      <c r="R7855" s="2">
        <v>42208</v>
      </c>
      <c r="S7855" s="2">
        <v>42212</v>
      </c>
      <c r="T7855" s="2">
        <v>42209</v>
      </c>
      <c r="U7855" s="2">
        <v>42269</v>
      </c>
      <c r="V7855" t="s">
        <v>71</v>
      </c>
      <c r="W7855" t="str">
        <f>"               F2101"</f>
        <v xml:space="preserve">               F2101</v>
      </c>
      <c r="X7855">
        <v>104</v>
      </c>
      <c r="Y7855">
        <v>0</v>
      </c>
      <c r="Z7855"/>
      <c r="AB7855"/>
      <c r="AC7855">
        <v>100</v>
      </c>
      <c r="AD7855">
        <v>183</v>
      </c>
      <c r="AE7855" s="1">
        <v>18300</v>
      </c>
      <c r="AF7855">
        <v>0</v>
      </c>
      <c r="AJ7855">
        <v>0</v>
      </c>
      <c r="AK7855">
        <v>0</v>
      </c>
      <c r="AL7855">
        <v>0</v>
      </c>
      <c r="AM7855">
        <v>0</v>
      </c>
      <c r="AN7855">
        <v>0</v>
      </c>
      <c r="AO7855">
        <v>0</v>
      </c>
      <c r="AP7855" s="2">
        <v>42746</v>
      </c>
      <c r="AQ7855" t="s">
        <v>72</v>
      </c>
      <c r="AR7855" t="s">
        <v>72</v>
      </c>
      <c r="AS7855">
        <v>759</v>
      </c>
      <c r="AT7855" s="4">
        <v>42452</v>
      </c>
      <c r="AU7855" t="s">
        <v>73</v>
      </c>
      <c r="AV7855">
        <v>759</v>
      </c>
      <c r="AW7855" s="4">
        <v>42452</v>
      </c>
      <c r="BD7855">
        <v>0</v>
      </c>
      <c r="BN7855" t="s">
        <v>74</v>
      </c>
    </row>
    <row r="7856" spans="1:66" hidden="1">
      <c r="A7856">
        <v>104492</v>
      </c>
      <c r="B7856" s="3" t="s">
        <v>670</v>
      </c>
      <c r="C7856" s="1">
        <v>43300101</v>
      </c>
      <c r="D7856" t="s">
        <v>67</v>
      </c>
      <c r="H7856" t="str">
        <f t="shared" si="776"/>
        <v>05354730631</v>
      </c>
      <c r="I7856" t="str">
        <f t="shared" si="776"/>
        <v>05354730631</v>
      </c>
      <c r="K7856" t="str">
        <f>""</f>
        <v/>
      </c>
      <c r="M7856" t="s">
        <v>68</v>
      </c>
      <c r="N7856" t="str">
        <f t="shared" si="772"/>
        <v>FOR</v>
      </c>
      <c r="O7856" t="s">
        <v>69</v>
      </c>
      <c r="P7856" s="3" t="s">
        <v>75</v>
      </c>
      <c r="Q7856">
        <v>2015</v>
      </c>
      <c r="R7856" s="2">
        <v>42216</v>
      </c>
      <c r="S7856" s="2">
        <v>42229</v>
      </c>
      <c r="T7856" s="2">
        <v>42220</v>
      </c>
      <c r="U7856" s="2">
        <v>42280</v>
      </c>
      <c r="V7856" t="s">
        <v>71</v>
      </c>
      <c r="W7856" t="str">
        <f>"               F2212"</f>
        <v xml:space="preserve">               F2212</v>
      </c>
      <c r="X7856" s="1">
        <v>1464</v>
      </c>
      <c r="Y7856">
        <v>0</v>
      </c>
      <c r="Z7856"/>
      <c r="AB7856"/>
      <c r="AC7856" s="1">
        <v>1200</v>
      </c>
      <c r="AD7856">
        <v>172</v>
      </c>
      <c r="AE7856" s="1">
        <v>206400</v>
      </c>
      <c r="AF7856">
        <v>0</v>
      </c>
      <c r="AJ7856">
        <v>0</v>
      </c>
      <c r="AK7856">
        <v>0</v>
      </c>
      <c r="AL7856">
        <v>0</v>
      </c>
      <c r="AM7856">
        <v>0</v>
      </c>
      <c r="AN7856">
        <v>0</v>
      </c>
      <c r="AO7856">
        <v>0</v>
      </c>
      <c r="AP7856" s="2">
        <v>42746</v>
      </c>
      <c r="AQ7856" t="s">
        <v>72</v>
      </c>
      <c r="AR7856" t="s">
        <v>72</v>
      </c>
      <c r="AS7856">
        <v>759</v>
      </c>
      <c r="AT7856" s="4">
        <v>42452</v>
      </c>
      <c r="AU7856" t="s">
        <v>73</v>
      </c>
      <c r="AV7856">
        <v>759</v>
      </c>
      <c r="AW7856" s="4">
        <v>42452</v>
      </c>
      <c r="BD7856">
        <v>0</v>
      </c>
      <c r="BN7856" t="s">
        <v>74</v>
      </c>
    </row>
    <row r="7857" spans="1:66" hidden="1">
      <c r="A7857">
        <v>104492</v>
      </c>
      <c r="B7857" s="3" t="s">
        <v>670</v>
      </c>
      <c r="C7857" s="1">
        <v>43300101</v>
      </c>
      <c r="D7857" t="s">
        <v>67</v>
      </c>
      <c r="H7857" t="str">
        <f t="shared" si="776"/>
        <v>05354730631</v>
      </c>
      <c r="I7857" t="str">
        <f t="shared" si="776"/>
        <v>05354730631</v>
      </c>
      <c r="K7857" t="str">
        <f>""</f>
        <v/>
      </c>
      <c r="M7857" t="s">
        <v>68</v>
      </c>
      <c r="N7857" t="str">
        <f t="shared" si="772"/>
        <v>FOR</v>
      </c>
      <c r="O7857" t="s">
        <v>69</v>
      </c>
      <c r="P7857" s="3" t="s">
        <v>75</v>
      </c>
      <c r="Q7857">
        <v>2015</v>
      </c>
      <c r="R7857" s="2">
        <v>42216</v>
      </c>
      <c r="S7857" s="2">
        <v>42229</v>
      </c>
      <c r="T7857" s="2">
        <v>42220</v>
      </c>
      <c r="U7857" s="2">
        <v>42280</v>
      </c>
      <c r="V7857" t="s">
        <v>71</v>
      </c>
      <c r="W7857" t="str">
        <f>"               F2221"</f>
        <v xml:space="preserve">               F2221</v>
      </c>
      <c r="X7857">
        <v>104</v>
      </c>
      <c r="Y7857">
        <v>0</v>
      </c>
      <c r="Z7857"/>
      <c r="AB7857"/>
      <c r="AC7857">
        <v>100</v>
      </c>
      <c r="AD7857">
        <v>172</v>
      </c>
      <c r="AE7857" s="1">
        <v>17200</v>
      </c>
      <c r="AF7857">
        <v>0</v>
      </c>
      <c r="AJ7857">
        <v>0</v>
      </c>
      <c r="AK7857">
        <v>0</v>
      </c>
      <c r="AL7857">
        <v>0</v>
      </c>
      <c r="AM7857">
        <v>0</v>
      </c>
      <c r="AN7857">
        <v>0</v>
      </c>
      <c r="AO7857">
        <v>0</v>
      </c>
      <c r="AP7857" s="2">
        <v>42746</v>
      </c>
      <c r="AQ7857" t="s">
        <v>72</v>
      </c>
      <c r="AR7857" t="s">
        <v>72</v>
      </c>
      <c r="AS7857">
        <v>759</v>
      </c>
      <c r="AT7857" s="4">
        <v>42452</v>
      </c>
      <c r="AU7857" t="s">
        <v>73</v>
      </c>
      <c r="AV7857">
        <v>759</v>
      </c>
      <c r="AW7857" s="4">
        <v>42452</v>
      </c>
      <c r="BD7857">
        <v>0</v>
      </c>
      <c r="BN7857" t="s">
        <v>74</v>
      </c>
    </row>
    <row r="7858" spans="1:66" hidden="1">
      <c r="A7858">
        <v>104492</v>
      </c>
      <c r="B7858" s="3" t="s">
        <v>670</v>
      </c>
      <c r="C7858" s="1">
        <v>43300101</v>
      </c>
      <c r="D7858" t="s">
        <v>67</v>
      </c>
      <c r="H7858" t="str">
        <f t="shared" si="776"/>
        <v>05354730631</v>
      </c>
      <c r="I7858" t="str">
        <f t="shared" si="776"/>
        <v>05354730631</v>
      </c>
      <c r="K7858" t="str">
        <f>""</f>
        <v/>
      </c>
      <c r="M7858" t="s">
        <v>68</v>
      </c>
      <c r="N7858" t="str">
        <f t="shared" si="772"/>
        <v>FOR</v>
      </c>
      <c r="O7858" t="s">
        <v>69</v>
      </c>
      <c r="P7858" s="3" t="s">
        <v>75</v>
      </c>
      <c r="Q7858">
        <v>2015</v>
      </c>
      <c r="R7858" s="2">
        <v>42216</v>
      </c>
      <c r="S7858" s="2">
        <v>42229</v>
      </c>
      <c r="T7858" s="2">
        <v>42220</v>
      </c>
      <c r="U7858" s="2">
        <v>42280</v>
      </c>
      <c r="V7858" t="s">
        <v>71</v>
      </c>
      <c r="W7858" t="str">
        <f>"               F2222"</f>
        <v xml:space="preserve">               F2222</v>
      </c>
      <c r="X7858">
        <v>104</v>
      </c>
      <c r="Y7858">
        <v>0</v>
      </c>
      <c r="Z7858"/>
      <c r="AB7858"/>
      <c r="AC7858">
        <v>100</v>
      </c>
      <c r="AD7858">
        <v>172</v>
      </c>
      <c r="AE7858" s="1">
        <v>17200</v>
      </c>
      <c r="AF7858">
        <v>0</v>
      </c>
      <c r="AJ7858">
        <v>0</v>
      </c>
      <c r="AK7858">
        <v>0</v>
      </c>
      <c r="AL7858">
        <v>0</v>
      </c>
      <c r="AM7858">
        <v>0</v>
      </c>
      <c r="AN7858">
        <v>0</v>
      </c>
      <c r="AO7858">
        <v>0</v>
      </c>
      <c r="AP7858" s="2">
        <v>42746</v>
      </c>
      <c r="AQ7858" t="s">
        <v>72</v>
      </c>
      <c r="AR7858" t="s">
        <v>72</v>
      </c>
      <c r="AS7858">
        <v>759</v>
      </c>
      <c r="AT7858" s="4">
        <v>42452</v>
      </c>
      <c r="AU7858" t="s">
        <v>73</v>
      </c>
      <c r="AV7858">
        <v>759</v>
      </c>
      <c r="AW7858" s="4">
        <v>42452</v>
      </c>
      <c r="BD7858">
        <v>0</v>
      </c>
      <c r="BN7858" t="s">
        <v>74</v>
      </c>
    </row>
    <row r="7859" spans="1:66" hidden="1">
      <c r="A7859">
        <v>104492</v>
      </c>
      <c r="B7859" s="3" t="s">
        <v>670</v>
      </c>
      <c r="C7859" s="1">
        <v>43300101</v>
      </c>
      <c r="D7859" t="s">
        <v>67</v>
      </c>
      <c r="H7859" t="str">
        <f t="shared" si="776"/>
        <v>05354730631</v>
      </c>
      <c r="I7859" t="str">
        <f t="shared" si="776"/>
        <v>05354730631</v>
      </c>
      <c r="K7859" t="str">
        <f>""</f>
        <v/>
      </c>
      <c r="M7859" t="s">
        <v>68</v>
      </c>
      <c r="N7859" t="str">
        <f t="shared" si="772"/>
        <v>FOR</v>
      </c>
      <c r="O7859" t="s">
        <v>69</v>
      </c>
      <c r="P7859" s="3" t="s">
        <v>75</v>
      </c>
      <c r="Q7859">
        <v>2015</v>
      </c>
      <c r="R7859" s="2">
        <v>42261</v>
      </c>
      <c r="S7859" s="2">
        <v>42263</v>
      </c>
      <c r="T7859" s="2">
        <v>42262</v>
      </c>
      <c r="U7859" s="2">
        <v>42322</v>
      </c>
      <c r="V7859" t="s">
        <v>71</v>
      </c>
      <c r="W7859" t="str">
        <f>"               F2396"</f>
        <v xml:space="preserve">               F2396</v>
      </c>
      <c r="X7859">
        <v>104</v>
      </c>
      <c r="Y7859">
        <v>0</v>
      </c>
      <c r="Z7859"/>
      <c r="AB7859"/>
      <c r="AC7859">
        <v>100</v>
      </c>
      <c r="AD7859">
        <v>170</v>
      </c>
      <c r="AE7859" s="1">
        <v>17000</v>
      </c>
      <c r="AF7859">
        <v>0</v>
      </c>
      <c r="AJ7859">
        <v>0</v>
      </c>
      <c r="AK7859">
        <v>0</v>
      </c>
      <c r="AL7859">
        <v>0</v>
      </c>
      <c r="AM7859">
        <v>0</v>
      </c>
      <c r="AN7859">
        <v>0</v>
      </c>
      <c r="AO7859">
        <v>0</v>
      </c>
      <c r="AP7859" s="2">
        <v>42746</v>
      </c>
      <c r="AQ7859" t="s">
        <v>72</v>
      </c>
      <c r="AR7859" t="s">
        <v>72</v>
      </c>
      <c r="AS7859">
        <v>1251</v>
      </c>
      <c r="AT7859" s="4">
        <v>42492</v>
      </c>
      <c r="AU7859" t="s">
        <v>73</v>
      </c>
      <c r="AV7859">
        <v>1251</v>
      </c>
      <c r="AW7859" s="4">
        <v>42492</v>
      </c>
      <c r="BD7859">
        <v>0</v>
      </c>
      <c r="BN7859" t="s">
        <v>74</v>
      </c>
    </row>
    <row r="7860" spans="1:66" hidden="1">
      <c r="A7860">
        <v>104492</v>
      </c>
      <c r="B7860" s="3" t="s">
        <v>670</v>
      </c>
      <c r="C7860" s="1">
        <v>43300101</v>
      </c>
      <c r="D7860" t="s">
        <v>67</v>
      </c>
      <c r="H7860" t="str">
        <f t="shared" si="776"/>
        <v>05354730631</v>
      </c>
      <c r="I7860" t="str">
        <f t="shared" si="776"/>
        <v>05354730631</v>
      </c>
      <c r="K7860" t="str">
        <f>""</f>
        <v/>
      </c>
      <c r="M7860" t="s">
        <v>68</v>
      </c>
      <c r="N7860" t="str">
        <f t="shared" si="772"/>
        <v>FOR</v>
      </c>
      <c r="O7860" t="s">
        <v>69</v>
      </c>
      <c r="P7860" s="3" t="s">
        <v>75</v>
      </c>
      <c r="Q7860">
        <v>2015</v>
      </c>
      <c r="R7860" s="2">
        <v>42261</v>
      </c>
      <c r="S7860" s="2">
        <v>42263</v>
      </c>
      <c r="T7860" s="2">
        <v>42262</v>
      </c>
      <c r="U7860" s="2">
        <v>42322</v>
      </c>
      <c r="V7860" t="s">
        <v>71</v>
      </c>
      <c r="W7860" t="str">
        <f>"               F2397"</f>
        <v xml:space="preserve">               F2397</v>
      </c>
      <c r="X7860">
        <v>104</v>
      </c>
      <c r="Y7860">
        <v>0</v>
      </c>
      <c r="Z7860"/>
      <c r="AB7860"/>
      <c r="AC7860">
        <v>100</v>
      </c>
      <c r="AD7860">
        <v>170</v>
      </c>
      <c r="AE7860" s="1">
        <v>17000</v>
      </c>
      <c r="AF7860">
        <v>0</v>
      </c>
      <c r="AJ7860">
        <v>0</v>
      </c>
      <c r="AK7860">
        <v>0</v>
      </c>
      <c r="AL7860">
        <v>0</v>
      </c>
      <c r="AM7860">
        <v>0</v>
      </c>
      <c r="AN7860">
        <v>0</v>
      </c>
      <c r="AO7860">
        <v>0</v>
      </c>
      <c r="AP7860" s="2">
        <v>42746</v>
      </c>
      <c r="AQ7860" t="s">
        <v>72</v>
      </c>
      <c r="AR7860" t="s">
        <v>72</v>
      </c>
      <c r="AS7860">
        <v>1251</v>
      </c>
      <c r="AT7860" s="4">
        <v>42492</v>
      </c>
      <c r="AU7860" t="s">
        <v>73</v>
      </c>
      <c r="AV7860">
        <v>1251</v>
      </c>
      <c r="AW7860" s="4">
        <v>42492</v>
      </c>
      <c r="BD7860">
        <v>0</v>
      </c>
      <c r="BN7860" t="s">
        <v>74</v>
      </c>
    </row>
    <row r="7861" spans="1:66" hidden="1">
      <c r="A7861">
        <v>104492</v>
      </c>
      <c r="B7861" s="3" t="s">
        <v>670</v>
      </c>
      <c r="C7861" s="1">
        <v>43300101</v>
      </c>
      <c r="D7861" t="s">
        <v>67</v>
      </c>
      <c r="H7861" t="str">
        <f t="shared" si="776"/>
        <v>05354730631</v>
      </c>
      <c r="I7861" t="str">
        <f t="shared" si="776"/>
        <v>05354730631</v>
      </c>
      <c r="K7861" t="str">
        <f>""</f>
        <v/>
      </c>
      <c r="M7861" t="s">
        <v>68</v>
      </c>
      <c r="N7861" t="str">
        <f t="shared" si="772"/>
        <v>FOR</v>
      </c>
      <c r="O7861" t="s">
        <v>69</v>
      </c>
      <c r="P7861" s="3" t="s">
        <v>75</v>
      </c>
      <c r="Q7861">
        <v>2015</v>
      </c>
      <c r="R7861" s="2">
        <v>42261</v>
      </c>
      <c r="S7861" s="2">
        <v>42263</v>
      </c>
      <c r="T7861" s="2">
        <v>42262</v>
      </c>
      <c r="U7861" s="2">
        <v>42322</v>
      </c>
      <c r="V7861" t="s">
        <v>71</v>
      </c>
      <c r="W7861" t="str">
        <f>"               F2398"</f>
        <v xml:space="preserve">               F2398</v>
      </c>
      <c r="X7861">
        <v>104</v>
      </c>
      <c r="Y7861">
        <v>0</v>
      </c>
      <c r="Z7861"/>
      <c r="AB7861"/>
      <c r="AC7861">
        <v>100</v>
      </c>
      <c r="AD7861">
        <v>170</v>
      </c>
      <c r="AE7861" s="1">
        <v>17000</v>
      </c>
      <c r="AF7861">
        <v>0</v>
      </c>
      <c r="AJ7861">
        <v>0</v>
      </c>
      <c r="AK7861">
        <v>0</v>
      </c>
      <c r="AL7861">
        <v>0</v>
      </c>
      <c r="AM7861">
        <v>0</v>
      </c>
      <c r="AN7861">
        <v>0</v>
      </c>
      <c r="AO7861">
        <v>0</v>
      </c>
      <c r="AP7861" s="2">
        <v>42746</v>
      </c>
      <c r="AQ7861" t="s">
        <v>72</v>
      </c>
      <c r="AR7861" t="s">
        <v>72</v>
      </c>
      <c r="AS7861">
        <v>1251</v>
      </c>
      <c r="AT7861" s="4">
        <v>42492</v>
      </c>
      <c r="AU7861" t="s">
        <v>73</v>
      </c>
      <c r="AV7861">
        <v>1251</v>
      </c>
      <c r="AW7861" s="4">
        <v>42492</v>
      </c>
      <c r="BD7861">
        <v>0</v>
      </c>
      <c r="BN7861" t="s">
        <v>74</v>
      </c>
    </row>
    <row r="7862" spans="1:66" hidden="1">
      <c r="A7862">
        <v>104492</v>
      </c>
      <c r="B7862" s="3" t="s">
        <v>670</v>
      </c>
      <c r="C7862" s="1">
        <v>43300101</v>
      </c>
      <c r="D7862" t="s">
        <v>67</v>
      </c>
      <c r="H7862" t="str">
        <f t="shared" si="776"/>
        <v>05354730631</v>
      </c>
      <c r="I7862" t="str">
        <f t="shared" si="776"/>
        <v>05354730631</v>
      </c>
      <c r="K7862" t="str">
        <f>""</f>
        <v/>
      </c>
      <c r="M7862" t="s">
        <v>68</v>
      </c>
      <c r="N7862" t="str">
        <f t="shared" ref="N7862:N7925" si="777">"FOR"</f>
        <v>FOR</v>
      </c>
      <c r="O7862" t="s">
        <v>69</v>
      </c>
      <c r="P7862" s="3" t="s">
        <v>75</v>
      </c>
      <c r="Q7862">
        <v>2015</v>
      </c>
      <c r="R7862" s="2">
        <v>42261</v>
      </c>
      <c r="S7862" s="2">
        <v>42263</v>
      </c>
      <c r="T7862" s="2">
        <v>42262</v>
      </c>
      <c r="U7862" s="2">
        <v>42322</v>
      </c>
      <c r="V7862" t="s">
        <v>71</v>
      </c>
      <c r="W7862" t="str">
        <f>"               F2399"</f>
        <v xml:space="preserve">               F2399</v>
      </c>
      <c r="X7862">
        <v>104</v>
      </c>
      <c r="Y7862">
        <v>0</v>
      </c>
      <c r="Z7862"/>
      <c r="AB7862"/>
      <c r="AC7862">
        <v>100</v>
      </c>
      <c r="AD7862">
        <v>170</v>
      </c>
      <c r="AE7862" s="1">
        <v>17000</v>
      </c>
      <c r="AF7862">
        <v>0</v>
      </c>
      <c r="AJ7862">
        <v>0</v>
      </c>
      <c r="AK7862">
        <v>0</v>
      </c>
      <c r="AL7862">
        <v>0</v>
      </c>
      <c r="AM7862">
        <v>0</v>
      </c>
      <c r="AN7862">
        <v>0</v>
      </c>
      <c r="AO7862">
        <v>0</v>
      </c>
      <c r="AP7862" s="2">
        <v>42746</v>
      </c>
      <c r="AQ7862" t="s">
        <v>72</v>
      </c>
      <c r="AR7862" t="s">
        <v>72</v>
      </c>
      <c r="AS7862">
        <v>1251</v>
      </c>
      <c r="AT7862" s="4">
        <v>42492</v>
      </c>
      <c r="AU7862" t="s">
        <v>73</v>
      </c>
      <c r="AV7862">
        <v>1251</v>
      </c>
      <c r="AW7862" s="4">
        <v>42492</v>
      </c>
      <c r="BD7862">
        <v>0</v>
      </c>
      <c r="BN7862" t="s">
        <v>74</v>
      </c>
    </row>
    <row r="7863" spans="1:66" hidden="1">
      <c r="A7863">
        <v>104492</v>
      </c>
      <c r="B7863" s="3" t="s">
        <v>670</v>
      </c>
      <c r="C7863" s="1">
        <v>43300101</v>
      </c>
      <c r="D7863" t="s">
        <v>67</v>
      </c>
      <c r="H7863" t="str">
        <f t="shared" si="776"/>
        <v>05354730631</v>
      </c>
      <c r="I7863" t="str">
        <f t="shared" si="776"/>
        <v>05354730631</v>
      </c>
      <c r="K7863" t="str">
        <f>""</f>
        <v/>
      </c>
      <c r="M7863" t="s">
        <v>68</v>
      </c>
      <c r="N7863" t="str">
        <f t="shared" si="777"/>
        <v>FOR</v>
      </c>
      <c r="O7863" t="s">
        <v>69</v>
      </c>
      <c r="P7863" s="3" t="s">
        <v>75</v>
      </c>
      <c r="Q7863">
        <v>2015</v>
      </c>
      <c r="R7863" s="2">
        <v>42269</v>
      </c>
      <c r="S7863" s="2">
        <v>42270</v>
      </c>
      <c r="T7863" s="2">
        <v>42270</v>
      </c>
      <c r="U7863" s="2">
        <v>42330</v>
      </c>
      <c r="V7863" t="s">
        <v>71</v>
      </c>
      <c r="W7863" t="str">
        <f>"               F2487"</f>
        <v xml:space="preserve">               F2487</v>
      </c>
      <c r="X7863">
        <v>104</v>
      </c>
      <c r="Y7863">
        <v>0</v>
      </c>
      <c r="Z7863"/>
      <c r="AB7863"/>
      <c r="AC7863">
        <v>100</v>
      </c>
      <c r="AD7863">
        <v>162</v>
      </c>
      <c r="AE7863" s="1">
        <v>16200</v>
      </c>
      <c r="AF7863">
        <v>0</v>
      </c>
      <c r="AJ7863">
        <v>0</v>
      </c>
      <c r="AK7863">
        <v>0</v>
      </c>
      <c r="AL7863">
        <v>0</v>
      </c>
      <c r="AM7863">
        <v>0</v>
      </c>
      <c r="AN7863">
        <v>0</v>
      </c>
      <c r="AO7863">
        <v>0</v>
      </c>
      <c r="AP7863" s="2">
        <v>42746</v>
      </c>
      <c r="AQ7863" t="s">
        <v>72</v>
      </c>
      <c r="AR7863" t="s">
        <v>72</v>
      </c>
      <c r="AS7863">
        <v>1251</v>
      </c>
      <c r="AT7863" s="4">
        <v>42492</v>
      </c>
      <c r="AU7863" t="s">
        <v>73</v>
      </c>
      <c r="AV7863">
        <v>1251</v>
      </c>
      <c r="AW7863" s="4">
        <v>42492</v>
      </c>
      <c r="BD7863">
        <v>0</v>
      </c>
      <c r="BN7863" t="s">
        <v>74</v>
      </c>
    </row>
    <row r="7864" spans="1:66" hidden="1">
      <c r="A7864">
        <v>104492</v>
      </c>
      <c r="B7864" s="3" t="s">
        <v>670</v>
      </c>
      <c r="C7864" s="1">
        <v>43300101</v>
      </c>
      <c r="D7864" t="s">
        <v>67</v>
      </c>
      <c r="H7864" t="str">
        <f t="shared" si="776"/>
        <v>05354730631</v>
      </c>
      <c r="I7864" t="str">
        <f t="shared" si="776"/>
        <v>05354730631</v>
      </c>
      <c r="K7864" t="str">
        <f>""</f>
        <v/>
      </c>
      <c r="M7864" t="s">
        <v>68</v>
      </c>
      <c r="N7864" t="str">
        <f t="shared" si="777"/>
        <v>FOR</v>
      </c>
      <c r="O7864" t="s">
        <v>69</v>
      </c>
      <c r="P7864" s="3" t="s">
        <v>75</v>
      </c>
      <c r="Q7864">
        <v>2015</v>
      </c>
      <c r="R7864" s="2">
        <v>42269</v>
      </c>
      <c r="S7864" s="2">
        <v>42270</v>
      </c>
      <c r="T7864" s="2">
        <v>42270</v>
      </c>
      <c r="U7864" s="2">
        <v>42330</v>
      </c>
      <c r="V7864" t="s">
        <v>71</v>
      </c>
      <c r="W7864" t="str">
        <f>"               F2488"</f>
        <v xml:space="preserve">               F2488</v>
      </c>
      <c r="X7864">
        <v>104</v>
      </c>
      <c r="Y7864">
        <v>0</v>
      </c>
      <c r="Z7864"/>
      <c r="AB7864"/>
      <c r="AC7864">
        <v>100</v>
      </c>
      <c r="AD7864">
        <v>162</v>
      </c>
      <c r="AE7864" s="1">
        <v>16200</v>
      </c>
      <c r="AF7864">
        <v>0</v>
      </c>
      <c r="AJ7864">
        <v>0</v>
      </c>
      <c r="AK7864">
        <v>0</v>
      </c>
      <c r="AL7864">
        <v>0</v>
      </c>
      <c r="AM7864">
        <v>0</v>
      </c>
      <c r="AN7864">
        <v>0</v>
      </c>
      <c r="AO7864">
        <v>0</v>
      </c>
      <c r="AP7864" s="2">
        <v>42746</v>
      </c>
      <c r="AQ7864" t="s">
        <v>72</v>
      </c>
      <c r="AR7864" t="s">
        <v>72</v>
      </c>
      <c r="AS7864">
        <v>1251</v>
      </c>
      <c r="AT7864" s="4">
        <v>42492</v>
      </c>
      <c r="AU7864" t="s">
        <v>73</v>
      </c>
      <c r="AV7864">
        <v>1251</v>
      </c>
      <c r="AW7864" s="4">
        <v>42492</v>
      </c>
      <c r="BD7864">
        <v>0</v>
      </c>
      <c r="BN7864" t="s">
        <v>74</v>
      </c>
    </row>
    <row r="7865" spans="1:66" hidden="1">
      <c r="A7865">
        <v>104492</v>
      </c>
      <c r="B7865" s="3" t="s">
        <v>670</v>
      </c>
      <c r="C7865" s="1">
        <v>43300101</v>
      </c>
      <c r="D7865" t="s">
        <v>67</v>
      </c>
      <c r="H7865" t="str">
        <f t="shared" si="776"/>
        <v>05354730631</v>
      </c>
      <c r="I7865" t="str">
        <f t="shared" si="776"/>
        <v>05354730631</v>
      </c>
      <c r="K7865" t="str">
        <f>""</f>
        <v/>
      </c>
      <c r="M7865" t="s">
        <v>68</v>
      </c>
      <c r="N7865" t="str">
        <f t="shared" si="777"/>
        <v>FOR</v>
      </c>
      <c r="O7865" t="s">
        <v>69</v>
      </c>
      <c r="P7865" s="3" t="s">
        <v>75</v>
      </c>
      <c r="Q7865">
        <v>2015</v>
      </c>
      <c r="R7865" s="2">
        <v>42269</v>
      </c>
      <c r="S7865" s="2">
        <v>42272</v>
      </c>
      <c r="T7865" s="2">
        <v>42270</v>
      </c>
      <c r="U7865" s="2">
        <v>42330</v>
      </c>
      <c r="V7865" t="s">
        <v>71</v>
      </c>
      <c r="W7865" t="str">
        <f>"               F2489"</f>
        <v xml:space="preserve">               F2489</v>
      </c>
      <c r="X7865">
        <v>135.19999999999999</v>
      </c>
      <c r="Y7865">
        <v>0</v>
      </c>
      <c r="Z7865"/>
      <c r="AB7865"/>
      <c r="AC7865">
        <v>130</v>
      </c>
      <c r="AD7865">
        <v>162</v>
      </c>
      <c r="AE7865" s="1">
        <v>21060</v>
      </c>
      <c r="AF7865">
        <v>0</v>
      </c>
      <c r="AJ7865">
        <v>0</v>
      </c>
      <c r="AK7865">
        <v>0</v>
      </c>
      <c r="AL7865">
        <v>0</v>
      </c>
      <c r="AM7865">
        <v>0</v>
      </c>
      <c r="AN7865">
        <v>0</v>
      </c>
      <c r="AO7865">
        <v>0</v>
      </c>
      <c r="AP7865" s="2">
        <v>42746</v>
      </c>
      <c r="AQ7865" t="s">
        <v>72</v>
      </c>
      <c r="AR7865" t="s">
        <v>72</v>
      </c>
      <c r="AS7865">
        <v>1251</v>
      </c>
      <c r="AT7865" s="4">
        <v>42492</v>
      </c>
      <c r="AU7865" t="s">
        <v>73</v>
      </c>
      <c r="AV7865">
        <v>1251</v>
      </c>
      <c r="AW7865" s="4">
        <v>42492</v>
      </c>
      <c r="BD7865">
        <v>0</v>
      </c>
      <c r="BN7865" t="s">
        <v>74</v>
      </c>
    </row>
    <row r="7866" spans="1:66" hidden="1">
      <c r="A7866">
        <v>104492</v>
      </c>
      <c r="B7866" s="3" t="s">
        <v>670</v>
      </c>
      <c r="C7866" s="1">
        <v>43300101</v>
      </c>
      <c r="D7866" t="s">
        <v>67</v>
      </c>
      <c r="H7866" t="str">
        <f t="shared" si="776"/>
        <v>05354730631</v>
      </c>
      <c r="I7866" t="str">
        <f t="shared" si="776"/>
        <v>05354730631</v>
      </c>
      <c r="K7866" t="str">
        <f>""</f>
        <v/>
      </c>
      <c r="M7866" t="s">
        <v>68</v>
      </c>
      <c r="N7866" t="str">
        <f t="shared" si="777"/>
        <v>FOR</v>
      </c>
      <c r="O7866" t="s">
        <v>69</v>
      </c>
      <c r="P7866" s="3" t="s">
        <v>75</v>
      </c>
      <c r="Q7866">
        <v>2015</v>
      </c>
      <c r="R7866" s="2">
        <v>42270</v>
      </c>
      <c r="S7866" s="2">
        <v>42272</v>
      </c>
      <c r="T7866" s="2">
        <v>42271</v>
      </c>
      <c r="U7866" s="2">
        <v>42331</v>
      </c>
      <c r="V7866" t="s">
        <v>71</v>
      </c>
      <c r="W7866" t="str">
        <f>"               F2501"</f>
        <v xml:space="preserve">               F2501</v>
      </c>
      <c r="X7866">
        <v>104</v>
      </c>
      <c r="Y7866">
        <v>0</v>
      </c>
      <c r="Z7866"/>
      <c r="AB7866"/>
      <c r="AC7866">
        <v>100</v>
      </c>
      <c r="AD7866">
        <v>161</v>
      </c>
      <c r="AE7866" s="1">
        <v>16100</v>
      </c>
      <c r="AF7866">
        <v>0</v>
      </c>
      <c r="AJ7866">
        <v>0</v>
      </c>
      <c r="AK7866">
        <v>0</v>
      </c>
      <c r="AL7866">
        <v>0</v>
      </c>
      <c r="AM7866">
        <v>0</v>
      </c>
      <c r="AN7866">
        <v>0</v>
      </c>
      <c r="AO7866">
        <v>0</v>
      </c>
      <c r="AP7866" s="2">
        <v>42746</v>
      </c>
      <c r="AQ7866" t="s">
        <v>72</v>
      </c>
      <c r="AR7866" t="s">
        <v>72</v>
      </c>
      <c r="AS7866">
        <v>1251</v>
      </c>
      <c r="AT7866" s="4">
        <v>42492</v>
      </c>
      <c r="AU7866" t="s">
        <v>73</v>
      </c>
      <c r="AV7866">
        <v>1251</v>
      </c>
      <c r="AW7866" s="4">
        <v>42492</v>
      </c>
      <c r="BD7866">
        <v>0</v>
      </c>
      <c r="BN7866" t="s">
        <v>74</v>
      </c>
    </row>
    <row r="7867" spans="1:66" hidden="1">
      <c r="A7867">
        <v>104492</v>
      </c>
      <c r="B7867" s="3" t="s">
        <v>670</v>
      </c>
      <c r="C7867" s="1">
        <v>43300101</v>
      </c>
      <c r="D7867" t="s">
        <v>67</v>
      </c>
      <c r="H7867" t="str">
        <f t="shared" si="776"/>
        <v>05354730631</v>
      </c>
      <c r="I7867" t="str">
        <f t="shared" si="776"/>
        <v>05354730631</v>
      </c>
      <c r="K7867" t="str">
        <f>""</f>
        <v/>
      </c>
      <c r="M7867" t="s">
        <v>68</v>
      </c>
      <c r="N7867" t="str">
        <f t="shared" si="777"/>
        <v>FOR</v>
      </c>
      <c r="O7867" t="s">
        <v>69</v>
      </c>
      <c r="P7867" s="3" t="s">
        <v>75</v>
      </c>
      <c r="Q7867">
        <v>2015</v>
      </c>
      <c r="R7867" s="2">
        <v>42270</v>
      </c>
      <c r="S7867" s="2">
        <v>42272</v>
      </c>
      <c r="T7867" s="2">
        <v>42271</v>
      </c>
      <c r="U7867" s="2">
        <v>42331</v>
      </c>
      <c r="V7867" t="s">
        <v>71</v>
      </c>
      <c r="W7867" t="str">
        <f>"               F2506"</f>
        <v xml:space="preserve">               F2506</v>
      </c>
      <c r="X7867" s="1">
        <v>1464</v>
      </c>
      <c r="Y7867">
        <v>0</v>
      </c>
      <c r="Z7867"/>
      <c r="AB7867"/>
      <c r="AC7867" s="1">
        <v>1200</v>
      </c>
      <c r="AD7867">
        <v>161</v>
      </c>
      <c r="AE7867" s="1">
        <v>193200</v>
      </c>
      <c r="AF7867">
        <v>0</v>
      </c>
      <c r="AJ7867">
        <v>0</v>
      </c>
      <c r="AK7867">
        <v>0</v>
      </c>
      <c r="AL7867">
        <v>0</v>
      </c>
      <c r="AM7867">
        <v>0</v>
      </c>
      <c r="AN7867">
        <v>0</v>
      </c>
      <c r="AO7867">
        <v>0</v>
      </c>
      <c r="AP7867" s="2">
        <v>42746</v>
      </c>
      <c r="AQ7867" t="s">
        <v>72</v>
      </c>
      <c r="AR7867" t="s">
        <v>72</v>
      </c>
      <c r="AS7867">
        <v>1251</v>
      </c>
      <c r="AT7867" s="4">
        <v>42492</v>
      </c>
      <c r="AU7867" t="s">
        <v>73</v>
      </c>
      <c r="AV7867">
        <v>1251</v>
      </c>
      <c r="AW7867" s="4">
        <v>42492</v>
      </c>
      <c r="BD7867">
        <v>0</v>
      </c>
      <c r="BN7867" t="s">
        <v>74</v>
      </c>
    </row>
    <row r="7868" spans="1:66" hidden="1">
      <c r="A7868">
        <v>104492</v>
      </c>
      <c r="B7868" s="3" t="s">
        <v>670</v>
      </c>
      <c r="C7868" s="1">
        <v>43300101</v>
      </c>
      <c r="D7868" t="s">
        <v>67</v>
      </c>
      <c r="H7868" t="str">
        <f t="shared" ref="H7868:I7887" si="778">"05354730631"</f>
        <v>05354730631</v>
      </c>
      <c r="I7868" t="str">
        <f t="shared" si="778"/>
        <v>05354730631</v>
      </c>
      <c r="K7868" t="str">
        <f>""</f>
        <v/>
      </c>
      <c r="M7868" t="s">
        <v>68</v>
      </c>
      <c r="N7868" t="str">
        <f t="shared" si="777"/>
        <v>FOR</v>
      </c>
      <c r="O7868" t="s">
        <v>69</v>
      </c>
      <c r="P7868" s="3" t="s">
        <v>75</v>
      </c>
      <c r="Q7868">
        <v>2015</v>
      </c>
      <c r="R7868" s="2">
        <v>42276</v>
      </c>
      <c r="S7868" s="2">
        <v>42282</v>
      </c>
      <c r="T7868" s="2">
        <v>42277</v>
      </c>
      <c r="U7868" s="2">
        <v>42337</v>
      </c>
      <c r="V7868" t="s">
        <v>71</v>
      </c>
      <c r="W7868" t="str">
        <f>"               F2576"</f>
        <v xml:space="preserve">               F2576</v>
      </c>
      <c r="X7868">
        <v>135.19999999999999</v>
      </c>
      <c r="Y7868">
        <v>0</v>
      </c>
      <c r="Z7868"/>
      <c r="AB7868"/>
      <c r="AC7868">
        <v>130</v>
      </c>
      <c r="AD7868">
        <v>155</v>
      </c>
      <c r="AE7868" s="1">
        <v>20150</v>
      </c>
      <c r="AF7868">
        <v>0</v>
      </c>
      <c r="AJ7868">
        <v>0</v>
      </c>
      <c r="AK7868">
        <v>0</v>
      </c>
      <c r="AL7868">
        <v>0</v>
      </c>
      <c r="AM7868">
        <v>0</v>
      </c>
      <c r="AN7868">
        <v>0</v>
      </c>
      <c r="AO7868">
        <v>0</v>
      </c>
      <c r="AP7868" s="2">
        <v>42746</v>
      </c>
      <c r="AQ7868" t="s">
        <v>72</v>
      </c>
      <c r="AR7868" t="s">
        <v>72</v>
      </c>
      <c r="AS7868">
        <v>1251</v>
      </c>
      <c r="AT7868" s="4">
        <v>42492</v>
      </c>
      <c r="AU7868" t="s">
        <v>73</v>
      </c>
      <c r="AV7868">
        <v>1251</v>
      </c>
      <c r="AW7868" s="4">
        <v>42492</v>
      </c>
      <c r="BD7868">
        <v>0</v>
      </c>
      <c r="BN7868" t="s">
        <v>74</v>
      </c>
    </row>
    <row r="7869" spans="1:66" hidden="1">
      <c r="A7869">
        <v>104492</v>
      </c>
      <c r="B7869" s="3" t="s">
        <v>670</v>
      </c>
      <c r="C7869" s="1">
        <v>43300101</v>
      </c>
      <c r="D7869" t="s">
        <v>67</v>
      </c>
      <c r="H7869" t="str">
        <f t="shared" si="778"/>
        <v>05354730631</v>
      </c>
      <c r="I7869" t="str">
        <f t="shared" si="778"/>
        <v>05354730631</v>
      </c>
      <c r="K7869" t="str">
        <f>""</f>
        <v/>
      </c>
      <c r="M7869" t="s">
        <v>68</v>
      </c>
      <c r="N7869" t="str">
        <f t="shared" si="777"/>
        <v>FOR</v>
      </c>
      <c r="O7869" t="s">
        <v>69</v>
      </c>
      <c r="P7869" s="3" t="s">
        <v>75</v>
      </c>
      <c r="Q7869">
        <v>2015</v>
      </c>
      <c r="R7869" s="2">
        <v>42277</v>
      </c>
      <c r="S7869" s="2">
        <v>42284</v>
      </c>
      <c r="T7869" s="2">
        <v>42283</v>
      </c>
      <c r="U7869" s="2">
        <v>42343</v>
      </c>
      <c r="V7869" t="s">
        <v>71</v>
      </c>
      <c r="W7869" t="str">
        <f>"               F2635"</f>
        <v xml:space="preserve">               F2635</v>
      </c>
      <c r="X7869">
        <v>135.19999999999999</v>
      </c>
      <c r="Y7869">
        <v>0</v>
      </c>
      <c r="Z7869"/>
      <c r="AB7869"/>
      <c r="AC7869">
        <v>130</v>
      </c>
      <c r="AD7869">
        <v>149</v>
      </c>
      <c r="AE7869" s="1">
        <v>19370</v>
      </c>
      <c r="AF7869">
        <v>0</v>
      </c>
      <c r="AJ7869">
        <v>0</v>
      </c>
      <c r="AK7869">
        <v>0</v>
      </c>
      <c r="AL7869">
        <v>0</v>
      </c>
      <c r="AM7869">
        <v>0</v>
      </c>
      <c r="AN7869">
        <v>0</v>
      </c>
      <c r="AO7869">
        <v>0</v>
      </c>
      <c r="AP7869" s="2">
        <v>42746</v>
      </c>
      <c r="AQ7869" t="s">
        <v>72</v>
      </c>
      <c r="AR7869" t="s">
        <v>72</v>
      </c>
      <c r="AS7869">
        <v>1251</v>
      </c>
      <c r="AT7869" s="4">
        <v>42492</v>
      </c>
      <c r="AU7869" t="s">
        <v>73</v>
      </c>
      <c r="AV7869">
        <v>1251</v>
      </c>
      <c r="AW7869" s="4">
        <v>42492</v>
      </c>
      <c r="BD7869">
        <v>0</v>
      </c>
      <c r="BN7869" t="s">
        <v>74</v>
      </c>
    </row>
    <row r="7870" spans="1:66" hidden="1">
      <c r="A7870">
        <v>104492</v>
      </c>
      <c r="B7870" s="3" t="s">
        <v>670</v>
      </c>
      <c r="C7870" s="1">
        <v>43300101</v>
      </c>
      <c r="D7870" t="s">
        <v>67</v>
      </c>
      <c r="H7870" t="str">
        <f t="shared" si="778"/>
        <v>05354730631</v>
      </c>
      <c r="I7870" t="str">
        <f t="shared" si="778"/>
        <v>05354730631</v>
      </c>
      <c r="K7870" t="str">
        <f>""</f>
        <v/>
      </c>
      <c r="M7870" t="s">
        <v>68</v>
      </c>
      <c r="N7870" t="str">
        <f t="shared" si="777"/>
        <v>FOR</v>
      </c>
      <c r="O7870" t="s">
        <v>69</v>
      </c>
      <c r="P7870" s="3" t="s">
        <v>75</v>
      </c>
      <c r="Q7870">
        <v>2015</v>
      </c>
      <c r="R7870" s="2">
        <v>42277</v>
      </c>
      <c r="S7870" s="2">
        <v>42284</v>
      </c>
      <c r="T7870" s="2">
        <v>42283</v>
      </c>
      <c r="U7870" s="2">
        <v>42343</v>
      </c>
      <c r="V7870" t="s">
        <v>71</v>
      </c>
      <c r="W7870" t="str">
        <f>"               F2636"</f>
        <v xml:space="preserve">               F2636</v>
      </c>
      <c r="X7870">
        <v>104</v>
      </c>
      <c r="Y7870">
        <v>0</v>
      </c>
      <c r="Z7870"/>
      <c r="AB7870"/>
      <c r="AC7870">
        <v>100</v>
      </c>
      <c r="AD7870">
        <v>149</v>
      </c>
      <c r="AE7870" s="1">
        <v>14900</v>
      </c>
      <c r="AF7870">
        <v>0</v>
      </c>
      <c r="AJ7870">
        <v>0</v>
      </c>
      <c r="AK7870">
        <v>0</v>
      </c>
      <c r="AL7870">
        <v>0</v>
      </c>
      <c r="AM7870">
        <v>0</v>
      </c>
      <c r="AN7870">
        <v>0</v>
      </c>
      <c r="AO7870">
        <v>0</v>
      </c>
      <c r="AP7870" s="2">
        <v>42746</v>
      </c>
      <c r="AQ7870" t="s">
        <v>72</v>
      </c>
      <c r="AR7870" t="s">
        <v>72</v>
      </c>
      <c r="AS7870">
        <v>1251</v>
      </c>
      <c r="AT7870" s="4">
        <v>42492</v>
      </c>
      <c r="AU7870" t="s">
        <v>73</v>
      </c>
      <c r="AV7870">
        <v>1251</v>
      </c>
      <c r="AW7870" s="4">
        <v>42492</v>
      </c>
      <c r="BD7870">
        <v>0</v>
      </c>
      <c r="BN7870" t="s">
        <v>74</v>
      </c>
    </row>
    <row r="7871" spans="1:66" hidden="1">
      <c r="A7871">
        <v>104492</v>
      </c>
      <c r="B7871" s="3" t="s">
        <v>670</v>
      </c>
      <c r="C7871" s="1">
        <v>43300101</v>
      </c>
      <c r="D7871" t="s">
        <v>67</v>
      </c>
      <c r="H7871" t="str">
        <f t="shared" si="778"/>
        <v>05354730631</v>
      </c>
      <c r="I7871" t="str">
        <f t="shared" si="778"/>
        <v>05354730631</v>
      </c>
      <c r="K7871" t="str">
        <f>""</f>
        <v/>
      </c>
      <c r="M7871" t="s">
        <v>68</v>
      </c>
      <c r="N7871" t="str">
        <f t="shared" si="777"/>
        <v>FOR</v>
      </c>
      <c r="O7871" t="s">
        <v>69</v>
      </c>
      <c r="P7871" s="3" t="s">
        <v>75</v>
      </c>
      <c r="Q7871">
        <v>2015</v>
      </c>
      <c r="R7871" s="2">
        <v>42277</v>
      </c>
      <c r="S7871" s="2">
        <v>42284</v>
      </c>
      <c r="T7871" s="2">
        <v>42283</v>
      </c>
      <c r="U7871" s="2">
        <v>42343</v>
      </c>
      <c r="V7871" t="s">
        <v>71</v>
      </c>
      <c r="W7871" t="str">
        <f>"               F2637"</f>
        <v xml:space="preserve">               F2637</v>
      </c>
      <c r="X7871">
        <v>135.19999999999999</v>
      </c>
      <c r="Y7871">
        <v>0</v>
      </c>
      <c r="Z7871"/>
      <c r="AB7871"/>
      <c r="AC7871">
        <v>130</v>
      </c>
      <c r="AD7871">
        <v>149</v>
      </c>
      <c r="AE7871" s="1">
        <v>19370</v>
      </c>
      <c r="AF7871">
        <v>0</v>
      </c>
      <c r="AJ7871">
        <v>0</v>
      </c>
      <c r="AK7871">
        <v>0</v>
      </c>
      <c r="AL7871">
        <v>0</v>
      </c>
      <c r="AM7871">
        <v>0</v>
      </c>
      <c r="AN7871">
        <v>0</v>
      </c>
      <c r="AO7871">
        <v>0</v>
      </c>
      <c r="AP7871" s="2">
        <v>42746</v>
      </c>
      <c r="AQ7871" t="s">
        <v>72</v>
      </c>
      <c r="AR7871" t="s">
        <v>72</v>
      </c>
      <c r="AS7871">
        <v>1251</v>
      </c>
      <c r="AT7871" s="4">
        <v>42492</v>
      </c>
      <c r="AU7871" t="s">
        <v>73</v>
      </c>
      <c r="AV7871">
        <v>1251</v>
      </c>
      <c r="AW7871" s="4">
        <v>42492</v>
      </c>
      <c r="BD7871">
        <v>0</v>
      </c>
      <c r="BN7871" t="s">
        <v>74</v>
      </c>
    </row>
    <row r="7872" spans="1:66" hidden="1">
      <c r="A7872">
        <v>104492</v>
      </c>
      <c r="B7872" s="3" t="s">
        <v>670</v>
      </c>
      <c r="C7872" s="1">
        <v>43300101</v>
      </c>
      <c r="D7872" t="s">
        <v>67</v>
      </c>
      <c r="H7872" t="str">
        <f t="shared" si="778"/>
        <v>05354730631</v>
      </c>
      <c r="I7872" t="str">
        <f t="shared" si="778"/>
        <v>05354730631</v>
      </c>
      <c r="K7872" t="str">
        <f>""</f>
        <v/>
      </c>
      <c r="M7872" t="s">
        <v>68</v>
      </c>
      <c r="N7872" t="str">
        <f t="shared" si="777"/>
        <v>FOR</v>
      </c>
      <c r="O7872" t="s">
        <v>69</v>
      </c>
      <c r="P7872" s="3" t="s">
        <v>75</v>
      </c>
      <c r="Q7872">
        <v>2015</v>
      </c>
      <c r="R7872" s="2">
        <v>42277</v>
      </c>
      <c r="S7872" s="2">
        <v>42283</v>
      </c>
      <c r="T7872" s="2">
        <v>42283</v>
      </c>
      <c r="U7872" s="2">
        <v>42343</v>
      </c>
      <c r="V7872" t="s">
        <v>71</v>
      </c>
      <c r="W7872" t="str">
        <f>"               F2638"</f>
        <v xml:space="preserve">               F2638</v>
      </c>
      <c r="X7872">
        <v>135.19999999999999</v>
      </c>
      <c r="Y7872">
        <v>0</v>
      </c>
      <c r="Z7872"/>
      <c r="AB7872"/>
      <c r="AC7872">
        <v>130</v>
      </c>
      <c r="AD7872">
        <v>149</v>
      </c>
      <c r="AE7872" s="1">
        <v>19370</v>
      </c>
      <c r="AF7872">
        <v>0</v>
      </c>
      <c r="AJ7872">
        <v>0</v>
      </c>
      <c r="AK7872">
        <v>0</v>
      </c>
      <c r="AL7872">
        <v>0</v>
      </c>
      <c r="AM7872">
        <v>0</v>
      </c>
      <c r="AN7872">
        <v>0</v>
      </c>
      <c r="AO7872">
        <v>0</v>
      </c>
      <c r="AP7872" s="2">
        <v>42746</v>
      </c>
      <c r="AQ7872" t="s">
        <v>72</v>
      </c>
      <c r="AR7872" t="s">
        <v>72</v>
      </c>
      <c r="AS7872">
        <v>1251</v>
      </c>
      <c r="AT7872" s="4">
        <v>42492</v>
      </c>
      <c r="AU7872" t="s">
        <v>73</v>
      </c>
      <c r="AV7872">
        <v>1251</v>
      </c>
      <c r="AW7872" s="4">
        <v>42492</v>
      </c>
      <c r="BD7872">
        <v>0</v>
      </c>
      <c r="BN7872" t="s">
        <v>74</v>
      </c>
    </row>
    <row r="7873" spans="1:66" hidden="1">
      <c r="A7873">
        <v>104492</v>
      </c>
      <c r="B7873" s="3" t="s">
        <v>670</v>
      </c>
      <c r="C7873" s="1">
        <v>43300101</v>
      </c>
      <c r="D7873" t="s">
        <v>67</v>
      </c>
      <c r="H7873" t="str">
        <f t="shared" si="778"/>
        <v>05354730631</v>
      </c>
      <c r="I7873" t="str">
        <f t="shared" si="778"/>
        <v>05354730631</v>
      </c>
      <c r="K7873" t="str">
        <f>""</f>
        <v/>
      </c>
      <c r="M7873" t="s">
        <v>68</v>
      </c>
      <c r="N7873" t="str">
        <f t="shared" si="777"/>
        <v>FOR</v>
      </c>
      <c r="O7873" t="s">
        <v>69</v>
      </c>
      <c r="P7873" s="3" t="s">
        <v>75</v>
      </c>
      <c r="Q7873">
        <v>2015</v>
      </c>
      <c r="R7873" s="2">
        <v>42277</v>
      </c>
      <c r="S7873" s="2">
        <v>42284</v>
      </c>
      <c r="T7873" s="2">
        <v>42283</v>
      </c>
      <c r="U7873" s="2">
        <v>42343</v>
      </c>
      <c r="V7873" t="s">
        <v>71</v>
      </c>
      <c r="W7873" t="str">
        <f>"               F2639"</f>
        <v xml:space="preserve">               F2639</v>
      </c>
      <c r="X7873">
        <v>104</v>
      </c>
      <c r="Y7873">
        <v>0</v>
      </c>
      <c r="Z7873"/>
      <c r="AB7873"/>
      <c r="AC7873">
        <v>100</v>
      </c>
      <c r="AD7873">
        <v>149</v>
      </c>
      <c r="AE7873" s="1">
        <v>14900</v>
      </c>
      <c r="AF7873">
        <v>0</v>
      </c>
      <c r="AJ7873">
        <v>0</v>
      </c>
      <c r="AK7873">
        <v>0</v>
      </c>
      <c r="AL7873">
        <v>0</v>
      </c>
      <c r="AM7873">
        <v>0</v>
      </c>
      <c r="AN7873">
        <v>0</v>
      </c>
      <c r="AO7873">
        <v>0</v>
      </c>
      <c r="AP7873" s="2">
        <v>42746</v>
      </c>
      <c r="AQ7873" t="s">
        <v>72</v>
      </c>
      <c r="AR7873" t="s">
        <v>72</v>
      </c>
      <c r="AS7873">
        <v>1251</v>
      </c>
      <c r="AT7873" s="4">
        <v>42492</v>
      </c>
      <c r="AU7873" t="s">
        <v>73</v>
      </c>
      <c r="AV7873">
        <v>1251</v>
      </c>
      <c r="AW7873" s="4">
        <v>42492</v>
      </c>
      <c r="BD7873">
        <v>0</v>
      </c>
      <c r="BN7873" t="s">
        <v>74</v>
      </c>
    </row>
    <row r="7874" spans="1:66" hidden="1">
      <c r="A7874">
        <v>104492</v>
      </c>
      <c r="B7874" s="3" t="s">
        <v>670</v>
      </c>
      <c r="C7874" s="1">
        <v>43300101</v>
      </c>
      <c r="D7874" t="s">
        <v>67</v>
      </c>
      <c r="H7874" t="str">
        <f t="shared" si="778"/>
        <v>05354730631</v>
      </c>
      <c r="I7874" t="str">
        <f t="shared" si="778"/>
        <v>05354730631</v>
      </c>
      <c r="K7874" t="str">
        <f>""</f>
        <v/>
      </c>
      <c r="M7874" t="s">
        <v>68</v>
      </c>
      <c r="N7874" t="str">
        <f t="shared" si="777"/>
        <v>FOR</v>
      </c>
      <c r="O7874" t="s">
        <v>69</v>
      </c>
      <c r="P7874" s="3" t="s">
        <v>75</v>
      </c>
      <c r="Q7874">
        <v>2015</v>
      </c>
      <c r="R7874" s="2">
        <v>42292</v>
      </c>
      <c r="S7874" s="2">
        <v>42293</v>
      </c>
      <c r="T7874" s="2">
        <v>42293</v>
      </c>
      <c r="U7874" s="2">
        <v>42353</v>
      </c>
      <c r="V7874" t="s">
        <v>71</v>
      </c>
      <c r="W7874" t="str">
        <f>"               F2764"</f>
        <v xml:space="preserve">               F2764</v>
      </c>
      <c r="X7874" s="1">
        <v>1756.8</v>
      </c>
      <c r="Y7874">
        <v>0</v>
      </c>
      <c r="Z7874"/>
      <c r="AB7874"/>
      <c r="AC7874" s="1">
        <v>1440</v>
      </c>
      <c r="AD7874">
        <v>224</v>
      </c>
      <c r="AE7874" s="1">
        <v>322560</v>
      </c>
      <c r="AF7874">
        <v>0</v>
      </c>
      <c r="AJ7874">
        <v>0</v>
      </c>
      <c r="AK7874">
        <v>0</v>
      </c>
      <c r="AL7874">
        <v>0</v>
      </c>
      <c r="AM7874">
        <v>0</v>
      </c>
      <c r="AN7874">
        <v>0</v>
      </c>
      <c r="AO7874">
        <v>0</v>
      </c>
      <c r="AP7874" s="2">
        <v>42746</v>
      </c>
      <c r="AQ7874" t="s">
        <v>72</v>
      </c>
      <c r="AR7874" t="s">
        <v>72</v>
      </c>
      <c r="AS7874">
        <v>1953</v>
      </c>
      <c r="AT7874" s="4">
        <v>42577</v>
      </c>
      <c r="AU7874" t="s">
        <v>73</v>
      </c>
      <c r="AV7874">
        <v>1953</v>
      </c>
      <c r="AW7874" s="4">
        <v>42577</v>
      </c>
      <c r="BD7874">
        <v>0</v>
      </c>
      <c r="BN7874" t="s">
        <v>74</v>
      </c>
    </row>
    <row r="7875" spans="1:66" hidden="1">
      <c r="A7875">
        <v>104492</v>
      </c>
      <c r="B7875" s="3" t="s">
        <v>670</v>
      </c>
      <c r="C7875" s="1">
        <v>43300101</v>
      </c>
      <c r="D7875" t="s">
        <v>67</v>
      </c>
      <c r="H7875" t="str">
        <f t="shared" si="778"/>
        <v>05354730631</v>
      </c>
      <c r="I7875" t="str">
        <f t="shared" si="778"/>
        <v>05354730631</v>
      </c>
      <c r="K7875" t="str">
        <f>""</f>
        <v/>
      </c>
      <c r="M7875" t="s">
        <v>68</v>
      </c>
      <c r="N7875" t="str">
        <f t="shared" si="777"/>
        <v>FOR</v>
      </c>
      <c r="O7875" t="s">
        <v>69</v>
      </c>
      <c r="P7875" s="3" t="s">
        <v>75</v>
      </c>
      <c r="Q7875">
        <v>2015</v>
      </c>
      <c r="R7875" s="2">
        <v>42308</v>
      </c>
      <c r="S7875" s="2">
        <v>42318</v>
      </c>
      <c r="T7875" s="2">
        <v>42314</v>
      </c>
      <c r="U7875" s="2">
        <v>42374</v>
      </c>
      <c r="V7875" t="s">
        <v>71</v>
      </c>
      <c r="W7875" t="str">
        <f>"               F3003"</f>
        <v xml:space="preserve">               F3003</v>
      </c>
      <c r="X7875">
        <v>104</v>
      </c>
      <c r="Y7875">
        <v>0</v>
      </c>
      <c r="Z7875"/>
      <c r="AB7875"/>
      <c r="AC7875">
        <v>100</v>
      </c>
      <c r="AD7875">
        <v>203</v>
      </c>
      <c r="AE7875" s="1">
        <v>20300</v>
      </c>
      <c r="AF7875">
        <v>0</v>
      </c>
      <c r="AJ7875">
        <v>0</v>
      </c>
      <c r="AK7875">
        <v>0</v>
      </c>
      <c r="AL7875">
        <v>0</v>
      </c>
      <c r="AM7875">
        <v>0</v>
      </c>
      <c r="AN7875">
        <v>0</v>
      </c>
      <c r="AO7875">
        <v>0</v>
      </c>
      <c r="AP7875" s="2">
        <v>42746</v>
      </c>
      <c r="AQ7875" t="s">
        <v>72</v>
      </c>
      <c r="AR7875" t="s">
        <v>72</v>
      </c>
      <c r="AS7875">
        <v>1953</v>
      </c>
      <c r="AT7875" s="4">
        <v>42577</v>
      </c>
      <c r="AU7875" t="s">
        <v>73</v>
      </c>
      <c r="AV7875">
        <v>1953</v>
      </c>
      <c r="AW7875" s="4">
        <v>42577</v>
      </c>
      <c r="BD7875">
        <v>0</v>
      </c>
      <c r="BN7875" t="s">
        <v>74</v>
      </c>
    </row>
    <row r="7876" spans="1:66" hidden="1">
      <c r="A7876">
        <v>104492</v>
      </c>
      <c r="B7876" s="3" t="s">
        <v>670</v>
      </c>
      <c r="C7876" s="1">
        <v>43300101</v>
      </c>
      <c r="D7876" t="s">
        <v>67</v>
      </c>
      <c r="H7876" t="str">
        <f t="shared" si="778"/>
        <v>05354730631</v>
      </c>
      <c r="I7876" t="str">
        <f t="shared" si="778"/>
        <v>05354730631</v>
      </c>
      <c r="K7876" t="str">
        <f>""</f>
        <v/>
      </c>
      <c r="M7876" t="s">
        <v>68</v>
      </c>
      <c r="N7876" t="str">
        <f t="shared" si="777"/>
        <v>FOR</v>
      </c>
      <c r="O7876" t="s">
        <v>69</v>
      </c>
      <c r="P7876" s="3" t="s">
        <v>75</v>
      </c>
      <c r="Q7876">
        <v>2015</v>
      </c>
      <c r="R7876" s="2">
        <v>42308</v>
      </c>
      <c r="S7876" s="2">
        <v>42318</v>
      </c>
      <c r="T7876" s="2">
        <v>42314</v>
      </c>
      <c r="U7876" s="2">
        <v>42374</v>
      </c>
      <c r="V7876" t="s">
        <v>71</v>
      </c>
      <c r="W7876" t="str">
        <f>"               F3004"</f>
        <v xml:space="preserve">               F3004</v>
      </c>
      <c r="X7876">
        <v>135.19999999999999</v>
      </c>
      <c r="Y7876">
        <v>0</v>
      </c>
      <c r="Z7876"/>
      <c r="AB7876"/>
      <c r="AC7876">
        <v>130</v>
      </c>
      <c r="AD7876">
        <v>203</v>
      </c>
      <c r="AE7876" s="1">
        <v>26390</v>
      </c>
      <c r="AF7876">
        <v>0</v>
      </c>
      <c r="AJ7876">
        <v>0</v>
      </c>
      <c r="AK7876">
        <v>0</v>
      </c>
      <c r="AL7876">
        <v>0</v>
      </c>
      <c r="AM7876">
        <v>0</v>
      </c>
      <c r="AN7876">
        <v>0</v>
      </c>
      <c r="AO7876">
        <v>0</v>
      </c>
      <c r="AP7876" s="2">
        <v>42746</v>
      </c>
      <c r="AQ7876" t="s">
        <v>72</v>
      </c>
      <c r="AR7876" t="s">
        <v>72</v>
      </c>
      <c r="AS7876">
        <v>1953</v>
      </c>
      <c r="AT7876" s="4">
        <v>42577</v>
      </c>
      <c r="AU7876" t="s">
        <v>73</v>
      </c>
      <c r="AV7876">
        <v>1953</v>
      </c>
      <c r="AW7876" s="4">
        <v>42577</v>
      </c>
      <c r="BD7876">
        <v>0</v>
      </c>
      <c r="BN7876" t="s">
        <v>74</v>
      </c>
    </row>
    <row r="7877" spans="1:66" hidden="1">
      <c r="A7877">
        <v>104492</v>
      </c>
      <c r="B7877" s="3" t="s">
        <v>670</v>
      </c>
      <c r="C7877" s="1">
        <v>43300101</v>
      </c>
      <c r="D7877" t="s">
        <v>67</v>
      </c>
      <c r="H7877" t="str">
        <f t="shared" si="778"/>
        <v>05354730631</v>
      </c>
      <c r="I7877" t="str">
        <f t="shared" si="778"/>
        <v>05354730631</v>
      </c>
      <c r="K7877" t="str">
        <f>""</f>
        <v/>
      </c>
      <c r="M7877" t="s">
        <v>68</v>
      </c>
      <c r="N7877" t="str">
        <f t="shared" si="777"/>
        <v>FOR</v>
      </c>
      <c r="O7877" t="s">
        <v>69</v>
      </c>
      <c r="P7877" s="3" t="s">
        <v>75</v>
      </c>
      <c r="Q7877">
        <v>2015</v>
      </c>
      <c r="R7877" s="2">
        <v>42308</v>
      </c>
      <c r="S7877" s="2">
        <v>42318</v>
      </c>
      <c r="T7877" s="2">
        <v>42314</v>
      </c>
      <c r="U7877" s="2">
        <v>42374</v>
      </c>
      <c r="V7877" t="s">
        <v>71</v>
      </c>
      <c r="W7877" t="str">
        <f>"               F3005"</f>
        <v xml:space="preserve">               F3005</v>
      </c>
      <c r="X7877">
        <v>135.19999999999999</v>
      </c>
      <c r="Y7877">
        <v>0</v>
      </c>
      <c r="Z7877"/>
      <c r="AB7877"/>
      <c r="AC7877">
        <v>130</v>
      </c>
      <c r="AD7877">
        <v>203</v>
      </c>
      <c r="AE7877" s="1">
        <v>26390</v>
      </c>
      <c r="AF7877">
        <v>0</v>
      </c>
      <c r="AJ7877">
        <v>0</v>
      </c>
      <c r="AK7877">
        <v>0</v>
      </c>
      <c r="AL7877">
        <v>0</v>
      </c>
      <c r="AM7877">
        <v>0</v>
      </c>
      <c r="AN7877">
        <v>0</v>
      </c>
      <c r="AO7877">
        <v>0</v>
      </c>
      <c r="AP7877" s="2">
        <v>42746</v>
      </c>
      <c r="AQ7877" t="s">
        <v>72</v>
      </c>
      <c r="AR7877" t="s">
        <v>72</v>
      </c>
      <c r="AS7877">
        <v>1953</v>
      </c>
      <c r="AT7877" s="4">
        <v>42577</v>
      </c>
      <c r="AU7877" t="s">
        <v>73</v>
      </c>
      <c r="AV7877">
        <v>1953</v>
      </c>
      <c r="AW7877" s="4">
        <v>42577</v>
      </c>
      <c r="BD7877">
        <v>0</v>
      </c>
      <c r="BN7877" t="s">
        <v>74</v>
      </c>
    </row>
    <row r="7878" spans="1:66" hidden="1">
      <c r="A7878">
        <v>104492</v>
      </c>
      <c r="B7878" s="3" t="s">
        <v>670</v>
      </c>
      <c r="C7878" s="1">
        <v>43300101</v>
      </c>
      <c r="D7878" t="s">
        <v>67</v>
      </c>
      <c r="H7878" t="str">
        <f t="shared" si="778"/>
        <v>05354730631</v>
      </c>
      <c r="I7878" t="str">
        <f t="shared" si="778"/>
        <v>05354730631</v>
      </c>
      <c r="K7878" t="str">
        <f>""</f>
        <v/>
      </c>
      <c r="M7878" t="s">
        <v>68</v>
      </c>
      <c r="N7878" t="str">
        <f t="shared" si="777"/>
        <v>FOR</v>
      </c>
      <c r="O7878" t="s">
        <v>69</v>
      </c>
      <c r="P7878" s="3" t="s">
        <v>75</v>
      </c>
      <c r="Q7878">
        <v>2015</v>
      </c>
      <c r="R7878" s="2">
        <v>42318</v>
      </c>
      <c r="S7878" s="2">
        <v>42320</v>
      </c>
      <c r="T7878" s="2">
        <v>42319</v>
      </c>
      <c r="U7878" s="2">
        <v>42379</v>
      </c>
      <c r="V7878" t="s">
        <v>71</v>
      </c>
      <c r="W7878" t="str">
        <f>"               F3116"</f>
        <v xml:space="preserve">               F3116</v>
      </c>
      <c r="X7878">
        <v>104</v>
      </c>
      <c r="Y7878">
        <v>0</v>
      </c>
      <c r="Z7878"/>
      <c r="AB7878"/>
      <c r="AC7878">
        <v>100</v>
      </c>
      <c r="AD7878">
        <v>198</v>
      </c>
      <c r="AE7878" s="1">
        <v>19800</v>
      </c>
      <c r="AF7878">
        <v>0</v>
      </c>
      <c r="AJ7878">
        <v>0</v>
      </c>
      <c r="AK7878">
        <v>0</v>
      </c>
      <c r="AL7878">
        <v>0</v>
      </c>
      <c r="AM7878">
        <v>0</v>
      </c>
      <c r="AN7878">
        <v>0</v>
      </c>
      <c r="AO7878">
        <v>0</v>
      </c>
      <c r="AP7878" s="2">
        <v>42746</v>
      </c>
      <c r="AQ7878" t="s">
        <v>72</v>
      </c>
      <c r="AR7878" t="s">
        <v>72</v>
      </c>
      <c r="AS7878">
        <v>1953</v>
      </c>
      <c r="AT7878" s="4">
        <v>42577</v>
      </c>
      <c r="AU7878" t="s">
        <v>73</v>
      </c>
      <c r="AV7878">
        <v>1953</v>
      </c>
      <c r="AW7878" s="4">
        <v>42577</v>
      </c>
      <c r="BD7878">
        <v>0</v>
      </c>
      <c r="BN7878" t="s">
        <v>74</v>
      </c>
    </row>
    <row r="7879" spans="1:66" hidden="1">
      <c r="A7879">
        <v>104492</v>
      </c>
      <c r="B7879" s="3" t="s">
        <v>670</v>
      </c>
      <c r="C7879" s="1">
        <v>43300101</v>
      </c>
      <c r="D7879" t="s">
        <v>67</v>
      </c>
      <c r="H7879" t="str">
        <f t="shared" si="778"/>
        <v>05354730631</v>
      </c>
      <c r="I7879" t="str">
        <f t="shared" si="778"/>
        <v>05354730631</v>
      </c>
      <c r="K7879" t="str">
        <f>""</f>
        <v/>
      </c>
      <c r="M7879" t="s">
        <v>68</v>
      </c>
      <c r="N7879" t="str">
        <f t="shared" si="777"/>
        <v>FOR</v>
      </c>
      <c r="O7879" t="s">
        <v>69</v>
      </c>
      <c r="P7879" s="3" t="s">
        <v>75</v>
      </c>
      <c r="Q7879">
        <v>2015</v>
      </c>
      <c r="R7879" s="2">
        <v>42318</v>
      </c>
      <c r="S7879" s="2">
        <v>42320</v>
      </c>
      <c r="T7879" s="2">
        <v>42319</v>
      </c>
      <c r="U7879" s="2">
        <v>42379</v>
      </c>
      <c r="V7879" t="s">
        <v>71</v>
      </c>
      <c r="W7879" t="str">
        <f>"               F3117"</f>
        <v xml:space="preserve">               F3117</v>
      </c>
      <c r="X7879">
        <v>104</v>
      </c>
      <c r="Y7879">
        <v>0</v>
      </c>
      <c r="Z7879"/>
      <c r="AB7879"/>
      <c r="AC7879">
        <v>100</v>
      </c>
      <c r="AD7879">
        <v>198</v>
      </c>
      <c r="AE7879" s="1">
        <v>19800</v>
      </c>
      <c r="AF7879">
        <v>0</v>
      </c>
      <c r="AJ7879">
        <v>0</v>
      </c>
      <c r="AK7879">
        <v>0</v>
      </c>
      <c r="AL7879">
        <v>0</v>
      </c>
      <c r="AM7879">
        <v>0</v>
      </c>
      <c r="AN7879">
        <v>0</v>
      </c>
      <c r="AO7879">
        <v>0</v>
      </c>
      <c r="AP7879" s="2">
        <v>42746</v>
      </c>
      <c r="AQ7879" t="s">
        <v>72</v>
      </c>
      <c r="AR7879" t="s">
        <v>72</v>
      </c>
      <c r="AS7879">
        <v>1953</v>
      </c>
      <c r="AT7879" s="4">
        <v>42577</v>
      </c>
      <c r="AU7879" t="s">
        <v>73</v>
      </c>
      <c r="AV7879">
        <v>1953</v>
      </c>
      <c r="AW7879" s="4">
        <v>42577</v>
      </c>
      <c r="BD7879">
        <v>0</v>
      </c>
      <c r="BN7879" t="s">
        <v>74</v>
      </c>
    </row>
    <row r="7880" spans="1:66" hidden="1">
      <c r="A7880">
        <v>104492</v>
      </c>
      <c r="B7880" s="3" t="s">
        <v>670</v>
      </c>
      <c r="C7880" s="1">
        <v>43300101</v>
      </c>
      <c r="D7880" t="s">
        <v>67</v>
      </c>
      <c r="H7880" t="str">
        <f t="shared" si="778"/>
        <v>05354730631</v>
      </c>
      <c r="I7880" t="str">
        <f t="shared" si="778"/>
        <v>05354730631</v>
      </c>
      <c r="K7880" t="str">
        <f>""</f>
        <v/>
      </c>
      <c r="M7880" t="s">
        <v>68</v>
      </c>
      <c r="N7880" t="str">
        <f t="shared" si="777"/>
        <v>FOR</v>
      </c>
      <c r="O7880" t="s">
        <v>69</v>
      </c>
      <c r="P7880" s="3" t="s">
        <v>75</v>
      </c>
      <c r="Q7880">
        <v>2015</v>
      </c>
      <c r="R7880" s="2">
        <v>42318</v>
      </c>
      <c r="S7880" s="2">
        <v>42320</v>
      </c>
      <c r="T7880" s="2">
        <v>42319</v>
      </c>
      <c r="U7880" s="2">
        <v>42379</v>
      </c>
      <c r="V7880" t="s">
        <v>71</v>
      </c>
      <c r="W7880" t="str">
        <f>"               F3118"</f>
        <v xml:space="preserve">               F3118</v>
      </c>
      <c r="X7880">
        <v>104</v>
      </c>
      <c r="Y7880">
        <v>0</v>
      </c>
      <c r="Z7880"/>
      <c r="AB7880"/>
      <c r="AC7880">
        <v>100</v>
      </c>
      <c r="AD7880">
        <v>198</v>
      </c>
      <c r="AE7880" s="1">
        <v>19800</v>
      </c>
      <c r="AF7880">
        <v>0</v>
      </c>
      <c r="AJ7880">
        <v>0</v>
      </c>
      <c r="AK7880">
        <v>0</v>
      </c>
      <c r="AL7880">
        <v>0</v>
      </c>
      <c r="AM7880">
        <v>0</v>
      </c>
      <c r="AN7880">
        <v>0</v>
      </c>
      <c r="AO7880">
        <v>0</v>
      </c>
      <c r="AP7880" s="2">
        <v>42746</v>
      </c>
      <c r="AQ7880" t="s">
        <v>72</v>
      </c>
      <c r="AR7880" t="s">
        <v>72</v>
      </c>
      <c r="AS7880">
        <v>1953</v>
      </c>
      <c r="AT7880" s="4">
        <v>42577</v>
      </c>
      <c r="AU7880" t="s">
        <v>73</v>
      </c>
      <c r="AV7880">
        <v>1953</v>
      </c>
      <c r="AW7880" s="4">
        <v>42577</v>
      </c>
      <c r="BD7880">
        <v>0</v>
      </c>
      <c r="BN7880" t="s">
        <v>74</v>
      </c>
    </row>
    <row r="7881" spans="1:66" hidden="1">
      <c r="A7881">
        <v>104492</v>
      </c>
      <c r="B7881" s="3" t="s">
        <v>670</v>
      </c>
      <c r="C7881" s="1">
        <v>43300101</v>
      </c>
      <c r="D7881" t="s">
        <v>67</v>
      </c>
      <c r="H7881" t="str">
        <f t="shared" si="778"/>
        <v>05354730631</v>
      </c>
      <c r="I7881" t="str">
        <f t="shared" si="778"/>
        <v>05354730631</v>
      </c>
      <c r="K7881" t="str">
        <f>""</f>
        <v/>
      </c>
      <c r="M7881" t="s">
        <v>68</v>
      </c>
      <c r="N7881" t="str">
        <f t="shared" si="777"/>
        <v>FOR</v>
      </c>
      <c r="O7881" t="s">
        <v>69</v>
      </c>
      <c r="P7881" s="3" t="s">
        <v>75</v>
      </c>
      <c r="Q7881">
        <v>2015</v>
      </c>
      <c r="R7881" s="2">
        <v>42318</v>
      </c>
      <c r="S7881" s="2">
        <v>42320</v>
      </c>
      <c r="T7881" s="2">
        <v>42319</v>
      </c>
      <c r="U7881" s="2">
        <v>42379</v>
      </c>
      <c r="V7881" t="s">
        <v>71</v>
      </c>
      <c r="W7881" t="str">
        <f>"               F3119"</f>
        <v xml:space="preserve">               F3119</v>
      </c>
      <c r="X7881">
        <v>104</v>
      </c>
      <c r="Y7881">
        <v>0</v>
      </c>
      <c r="Z7881"/>
      <c r="AB7881"/>
      <c r="AC7881">
        <v>100</v>
      </c>
      <c r="AD7881">
        <v>198</v>
      </c>
      <c r="AE7881" s="1">
        <v>19800</v>
      </c>
      <c r="AF7881">
        <v>0</v>
      </c>
      <c r="AJ7881">
        <v>0</v>
      </c>
      <c r="AK7881">
        <v>0</v>
      </c>
      <c r="AL7881">
        <v>0</v>
      </c>
      <c r="AM7881">
        <v>0</v>
      </c>
      <c r="AN7881">
        <v>0</v>
      </c>
      <c r="AO7881">
        <v>0</v>
      </c>
      <c r="AP7881" s="2">
        <v>42746</v>
      </c>
      <c r="AQ7881" t="s">
        <v>72</v>
      </c>
      <c r="AR7881" t="s">
        <v>72</v>
      </c>
      <c r="AS7881">
        <v>1953</v>
      </c>
      <c r="AT7881" s="4">
        <v>42577</v>
      </c>
      <c r="AU7881" t="s">
        <v>73</v>
      </c>
      <c r="AV7881">
        <v>1953</v>
      </c>
      <c r="AW7881" s="4">
        <v>42577</v>
      </c>
      <c r="BD7881">
        <v>0</v>
      </c>
      <c r="BN7881" t="s">
        <v>74</v>
      </c>
    </row>
    <row r="7882" spans="1:66" hidden="1">
      <c r="A7882">
        <v>104492</v>
      </c>
      <c r="B7882" s="3" t="s">
        <v>670</v>
      </c>
      <c r="C7882" s="1">
        <v>43300101</v>
      </c>
      <c r="D7882" t="s">
        <v>67</v>
      </c>
      <c r="H7882" t="str">
        <f t="shared" si="778"/>
        <v>05354730631</v>
      </c>
      <c r="I7882" t="str">
        <f t="shared" si="778"/>
        <v>05354730631</v>
      </c>
      <c r="K7882" t="str">
        <f>""</f>
        <v/>
      </c>
      <c r="M7882" t="s">
        <v>68</v>
      </c>
      <c r="N7882" t="str">
        <f t="shared" si="777"/>
        <v>FOR</v>
      </c>
      <c r="O7882" t="s">
        <v>69</v>
      </c>
      <c r="P7882" s="3" t="s">
        <v>75</v>
      </c>
      <c r="Q7882">
        <v>2015</v>
      </c>
      <c r="R7882" s="2">
        <v>42327</v>
      </c>
      <c r="S7882" s="2">
        <v>42328</v>
      </c>
      <c r="T7882" s="2">
        <v>42328</v>
      </c>
      <c r="U7882" s="2">
        <v>42388</v>
      </c>
      <c r="V7882" t="s">
        <v>71</v>
      </c>
      <c r="W7882" t="str">
        <f>"               F3244"</f>
        <v xml:space="preserve">               F3244</v>
      </c>
      <c r="X7882" s="1">
        <v>1744.6</v>
      </c>
      <c r="Y7882">
        <v>0</v>
      </c>
      <c r="Z7882"/>
      <c r="AB7882"/>
      <c r="AC7882" s="1">
        <v>1430</v>
      </c>
      <c r="AD7882">
        <v>189</v>
      </c>
      <c r="AE7882" s="1">
        <v>270270</v>
      </c>
      <c r="AF7882">
        <v>0</v>
      </c>
      <c r="AJ7882">
        <v>0</v>
      </c>
      <c r="AK7882">
        <v>0</v>
      </c>
      <c r="AL7882">
        <v>0</v>
      </c>
      <c r="AM7882">
        <v>0</v>
      </c>
      <c r="AN7882">
        <v>0</v>
      </c>
      <c r="AO7882">
        <v>0</v>
      </c>
      <c r="AP7882" s="2">
        <v>42746</v>
      </c>
      <c r="AQ7882" t="s">
        <v>72</v>
      </c>
      <c r="AR7882" t="s">
        <v>72</v>
      </c>
      <c r="AS7882">
        <v>1953</v>
      </c>
      <c r="AT7882" s="4">
        <v>42577</v>
      </c>
      <c r="AU7882" t="s">
        <v>73</v>
      </c>
      <c r="AV7882">
        <v>1953</v>
      </c>
      <c r="AW7882" s="4">
        <v>42577</v>
      </c>
      <c r="BD7882">
        <v>0</v>
      </c>
      <c r="BN7882" t="s">
        <v>74</v>
      </c>
    </row>
    <row r="7883" spans="1:66" hidden="1">
      <c r="A7883">
        <v>104492</v>
      </c>
      <c r="B7883" s="3" t="s">
        <v>670</v>
      </c>
      <c r="C7883" s="1">
        <v>43300101</v>
      </c>
      <c r="D7883" t="s">
        <v>67</v>
      </c>
      <c r="H7883" t="str">
        <f t="shared" si="778"/>
        <v>05354730631</v>
      </c>
      <c r="I7883" t="str">
        <f t="shared" si="778"/>
        <v>05354730631</v>
      </c>
      <c r="K7883" t="str">
        <f>""</f>
        <v/>
      </c>
      <c r="M7883" t="s">
        <v>68</v>
      </c>
      <c r="N7883" t="str">
        <f t="shared" si="777"/>
        <v>FOR</v>
      </c>
      <c r="O7883" t="s">
        <v>69</v>
      </c>
      <c r="P7883" s="3" t="s">
        <v>75</v>
      </c>
      <c r="Q7883">
        <v>2015</v>
      </c>
      <c r="R7883" s="2">
        <v>42331</v>
      </c>
      <c r="S7883" s="2">
        <v>42333</v>
      </c>
      <c r="T7883" s="2">
        <v>42332</v>
      </c>
      <c r="U7883" s="2">
        <v>42392</v>
      </c>
      <c r="V7883" t="s">
        <v>71</v>
      </c>
      <c r="W7883" t="str">
        <f>"               F3285"</f>
        <v xml:space="preserve">               F3285</v>
      </c>
      <c r="X7883">
        <v>135.19999999999999</v>
      </c>
      <c r="Y7883">
        <v>0</v>
      </c>
      <c r="Z7883"/>
      <c r="AB7883"/>
      <c r="AC7883">
        <v>130</v>
      </c>
      <c r="AD7883">
        <v>185</v>
      </c>
      <c r="AE7883" s="1">
        <v>24050</v>
      </c>
      <c r="AF7883">
        <v>0</v>
      </c>
      <c r="AJ7883">
        <v>0</v>
      </c>
      <c r="AK7883">
        <v>0</v>
      </c>
      <c r="AL7883">
        <v>0</v>
      </c>
      <c r="AM7883">
        <v>0</v>
      </c>
      <c r="AN7883">
        <v>0</v>
      </c>
      <c r="AO7883">
        <v>0</v>
      </c>
      <c r="AP7883" s="2">
        <v>42746</v>
      </c>
      <c r="AQ7883" t="s">
        <v>72</v>
      </c>
      <c r="AR7883" t="s">
        <v>72</v>
      </c>
      <c r="AS7883">
        <v>1953</v>
      </c>
      <c r="AT7883" s="4">
        <v>42577</v>
      </c>
      <c r="AU7883" t="s">
        <v>73</v>
      </c>
      <c r="AV7883">
        <v>1953</v>
      </c>
      <c r="AW7883" s="4">
        <v>42577</v>
      </c>
      <c r="BD7883">
        <v>0</v>
      </c>
      <c r="BN7883" t="s">
        <v>74</v>
      </c>
    </row>
    <row r="7884" spans="1:66" hidden="1">
      <c r="A7884">
        <v>104492</v>
      </c>
      <c r="B7884" s="3" t="s">
        <v>670</v>
      </c>
      <c r="C7884" s="1">
        <v>43300101</v>
      </c>
      <c r="D7884" t="s">
        <v>67</v>
      </c>
      <c r="H7884" t="str">
        <f t="shared" si="778"/>
        <v>05354730631</v>
      </c>
      <c r="I7884" t="str">
        <f t="shared" si="778"/>
        <v>05354730631</v>
      </c>
      <c r="K7884" t="str">
        <f>""</f>
        <v/>
      </c>
      <c r="M7884" t="s">
        <v>68</v>
      </c>
      <c r="N7884" t="str">
        <f t="shared" si="777"/>
        <v>FOR</v>
      </c>
      <c r="O7884" t="s">
        <v>69</v>
      </c>
      <c r="P7884" s="3" t="s">
        <v>75</v>
      </c>
      <c r="Q7884">
        <v>2015</v>
      </c>
      <c r="R7884" s="2">
        <v>42331</v>
      </c>
      <c r="S7884" s="2">
        <v>42333</v>
      </c>
      <c r="T7884" s="2">
        <v>42332</v>
      </c>
      <c r="U7884" s="2">
        <v>42392</v>
      </c>
      <c r="V7884" t="s">
        <v>71</v>
      </c>
      <c r="W7884" t="str">
        <f>"               F3286"</f>
        <v xml:space="preserve">               F3286</v>
      </c>
      <c r="X7884">
        <v>104</v>
      </c>
      <c r="Y7884">
        <v>0</v>
      </c>
      <c r="Z7884"/>
      <c r="AB7884"/>
      <c r="AC7884">
        <v>100</v>
      </c>
      <c r="AD7884">
        <v>185</v>
      </c>
      <c r="AE7884" s="1">
        <v>18500</v>
      </c>
      <c r="AF7884">
        <v>0</v>
      </c>
      <c r="AJ7884">
        <v>0</v>
      </c>
      <c r="AK7884">
        <v>0</v>
      </c>
      <c r="AL7884">
        <v>0</v>
      </c>
      <c r="AM7884">
        <v>0</v>
      </c>
      <c r="AN7884">
        <v>0</v>
      </c>
      <c r="AO7884">
        <v>0</v>
      </c>
      <c r="AP7884" s="2">
        <v>42746</v>
      </c>
      <c r="AQ7884" t="s">
        <v>72</v>
      </c>
      <c r="AR7884" t="s">
        <v>72</v>
      </c>
      <c r="AS7884">
        <v>1953</v>
      </c>
      <c r="AT7884" s="4">
        <v>42577</v>
      </c>
      <c r="AU7884" t="s">
        <v>73</v>
      </c>
      <c r="AV7884">
        <v>1953</v>
      </c>
      <c r="AW7884" s="4">
        <v>42577</v>
      </c>
      <c r="BD7884">
        <v>0</v>
      </c>
      <c r="BN7884" t="s">
        <v>74</v>
      </c>
    </row>
    <row r="7885" spans="1:66" hidden="1">
      <c r="A7885">
        <v>104492</v>
      </c>
      <c r="B7885" s="3" t="s">
        <v>670</v>
      </c>
      <c r="C7885" s="1">
        <v>43300101</v>
      </c>
      <c r="D7885" t="s">
        <v>67</v>
      </c>
      <c r="H7885" t="str">
        <f t="shared" si="778"/>
        <v>05354730631</v>
      </c>
      <c r="I7885" t="str">
        <f t="shared" si="778"/>
        <v>05354730631</v>
      </c>
      <c r="K7885" t="str">
        <f>""</f>
        <v/>
      </c>
      <c r="M7885" t="s">
        <v>68</v>
      </c>
      <c r="N7885" t="str">
        <f t="shared" si="777"/>
        <v>FOR</v>
      </c>
      <c r="O7885" t="s">
        <v>69</v>
      </c>
      <c r="P7885" s="3" t="s">
        <v>75</v>
      </c>
      <c r="Q7885">
        <v>2015</v>
      </c>
      <c r="R7885" s="2">
        <v>42335</v>
      </c>
      <c r="S7885" s="2">
        <v>42338</v>
      </c>
      <c r="T7885" s="2">
        <v>42338</v>
      </c>
      <c r="U7885" s="2">
        <v>42398</v>
      </c>
      <c r="V7885" t="s">
        <v>71</v>
      </c>
      <c r="W7885" t="str">
        <f>"               F3373"</f>
        <v xml:space="preserve">               F3373</v>
      </c>
      <c r="X7885">
        <v>135.19999999999999</v>
      </c>
      <c r="Y7885">
        <v>0</v>
      </c>
      <c r="Z7885"/>
      <c r="AB7885"/>
      <c r="AC7885">
        <v>130</v>
      </c>
      <c r="AD7885">
        <v>179</v>
      </c>
      <c r="AE7885" s="1">
        <v>23270</v>
      </c>
      <c r="AF7885">
        <v>0</v>
      </c>
      <c r="AJ7885">
        <v>0</v>
      </c>
      <c r="AK7885">
        <v>0</v>
      </c>
      <c r="AL7885">
        <v>0</v>
      </c>
      <c r="AM7885">
        <v>0</v>
      </c>
      <c r="AN7885">
        <v>0</v>
      </c>
      <c r="AO7885">
        <v>0</v>
      </c>
      <c r="AP7885" s="2">
        <v>42746</v>
      </c>
      <c r="AQ7885" t="s">
        <v>72</v>
      </c>
      <c r="AR7885" t="s">
        <v>72</v>
      </c>
      <c r="AS7885">
        <v>1953</v>
      </c>
      <c r="AT7885" s="4">
        <v>42577</v>
      </c>
      <c r="AU7885" t="s">
        <v>73</v>
      </c>
      <c r="AV7885">
        <v>1953</v>
      </c>
      <c r="AW7885" s="4">
        <v>42577</v>
      </c>
      <c r="BD7885">
        <v>0</v>
      </c>
      <c r="BN7885" t="s">
        <v>74</v>
      </c>
    </row>
    <row r="7886" spans="1:66" hidden="1">
      <c r="A7886">
        <v>104492</v>
      </c>
      <c r="B7886" s="3" t="s">
        <v>670</v>
      </c>
      <c r="C7886" s="1">
        <v>43300101</v>
      </c>
      <c r="D7886" t="s">
        <v>67</v>
      </c>
      <c r="H7886" t="str">
        <f t="shared" si="778"/>
        <v>05354730631</v>
      </c>
      <c r="I7886" t="str">
        <f t="shared" si="778"/>
        <v>05354730631</v>
      </c>
      <c r="K7886" t="str">
        <f>""</f>
        <v/>
      </c>
      <c r="M7886" t="s">
        <v>68</v>
      </c>
      <c r="N7886" t="str">
        <f t="shared" si="777"/>
        <v>FOR</v>
      </c>
      <c r="O7886" t="s">
        <v>69</v>
      </c>
      <c r="P7886" s="3" t="s">
        <v>75</v>
      </c>
      <c r="Q7886">
        <v>2015</v>
      </c>
      <c r="R7886" s="2">
        <v>42338</v>
      </c>
      <c r="S7886" s="2">
        <v>42342</v>
      </c>
      <c r="T7886" s="2">
        <v>42341</v>
      </c>
      <c r="U7886" s="2">
        <v>42401</v>
      </c>
      <c r="V7886" t="s">
        <v>71</v>
      </c>
      <c r="W7886" t="str">
        <f>"               F3410"</f>
        <v xml:space="preserve">               F3410</v>
      </c>
      <c r="X7886">
        <v>104</v>
      </c>
      <c r="Y7886">
        <v>0</v>
      </c>
      <c r="Z7886"/>
      <c r="AB7886"/>
      <c r="AC7886">
        <v>100</v>
      </c>
      <c r="AD7886">
        <v>176</v>
      </c>
      <c r="AE7886" s="1">
        <v>17600</v>
      </c>
      <c r="AF7886">
        <v>0</v>
      </c>
      <c r="AJ7886">
        <v>0</v>
      </c>
      <c r="AK7886">
        <v>0</v>
      </c>
      <c r="AL7886">
        <v>0</v>
      </c>
      <c r="AM7886">
        <v>0</v>
      </c>
      <c r="AN7886">
        <v>0</v>
      </c>
      <c r="AO7886">
        <v>0</v>
      </c>
      <c r="AP7886" s="2">
        <v>42746</v>
      </c>
      <c r="AQ7886" t="s">
        <v>72</v>
      </c>
      <c r="AR7886" t="s">
        <v>72</v>
      </c>
      <c r="AS7886">
        <v>1953</v>
      </c>
      <c r="AT7886" s="4">
        <v>42577</v>
      </c>
      <c r="AU7886" t="s">
        <v>73</v>
      </c>
      <c r="AV7886">
        <v>1953</v>
      </c>
      <c r="AW7886" s="4">
        <v>42577</v>
      </c>
      <c r="BD7886">
        <v>0</v>
      </c>
      <c r="BN7886" t="s">
        <v>74</v>
      </c>
    </row>
    <row r="7887" spans="1:66" hidden="1">
      <c r="A7887">
        <v>104492</v>
      </c>
      <c r="B7887" s="3" t="s">
        <v>670</v>
      </c>
      <c r="C7887" s="1">
        <v>43300101</v>
      </c>
      <c r="D7887" t="s">
        <v>67</v>
      </c>
      <c r="H7887" t="str">
        <f t="shared" si="778"/>
        <v>05354730631</v>
      </c>
      <c r="I7887" t="str">
        <f t="shared" si="778"/>
        <v>05354730631</v>
      </c>
      <c r="K7887" t="str">
        <f>""</f>
        <v/>
      </c>
      <c r="M7887" t="s">
        <v>68</v>
      </c>
      <c r="N7887" t="str">
        <f t="shared" si="777"/>
        <v>FOR</v>
      </c>
      <c r="O7887" t="s">
        <v>69</v>
      </c>
      <c r="P7887" s="3" t="s">
        <v>75</v>
      </c>
      <c r="Q7887">
        <v>2015</v>
      </c>
      <c r="R7887" s="2">
        <v>42338</v>
      </c>
      <c r="S7887" s="2">
        <v>42342</v>
      </c>
      <c r="T7887" s="2">
        <v>42341</v>
      </c>
      <c r="U7887" s="2">
        <v>42401</v>
      </c>
      <c r="V7887" t="s">
        <v>71</v>
      </c>
      <c r="W7887" t="str">
        <f>"               F3411"</f>
        <v xml:space="preserve">               F3411</v>
      </c>
      <c r="X7887">
        <v>104</v>
      </c>
      <c r="Y7887">
        <v>0</v>
      </c>
      <c r="Z7887"/>
      <c r="AB7887"/>
      <c r="AC7887">
        <v>100</v>
      </c>
      <c r="AD7887">
        <v>176</v>
      </c>
      <c r="AE7887" s="1">
        <v>17600</v>
      </c>
      <c r="AF7887">
        <v>0</v>
      </c>
      <c r="AJ7887">
        <v>0</v>
      </c>
      <c r="AK7887">
        <v>0</v>
      </c>
      <c r="AL7887">
        <v>0</v>
      </c>
      <c r="AM7887">
        <v>0</v>
      </c>
      <c r="AN7887">
        <v>0</v>
      </c>
      <c r="AO7887">
        <v>0</v>
      </c>
      <c r="AP7887" s="2">
        <v>42746</v>
      </c>
      <c r="AQ7887" t="s">
        <v>72</v>
      </c>
      <c r="AR7887" t="s">
        <v>72</v>
      </c>
      <c r="AS7887">
        <v>1953</v>
      </c>
      <c r="AT7887" s="4">
        <v>42577</v>
      </c>
      <c r="AU7887" t="s">
        <v>73</v>
      </c>
      <c r="AV7887">
        <v>1953</v>
      </c>
      <c r="AW7887" s="4">
        <v>42577</v>
      </c>
      <c r="BD7887">
        <v>0</v>
      </c>
      <c r="BN7887" t="s">
        <v>74</v>
      </c>
    </row>
    <row r="7888" spans="1:66" hidden="1">
      <c r="A7888">
        <v>104492</v>
      </c>
      <c r="B7888" s="3" t="s">
        <v>670</v>
      </c>
      <c r="C7888" s="1">
        <v>43300101</v>
      </c>
      <c r="D7888" t="s">
        <v>67</v>
      </c>
      <c r="H7888" t="str">
        <f t="shared" ref="H7888:I7907" si="779">"05354730631"</f>
        <v>05354730631</v>
      </c>
      <c r="I7888" t="str">
        <f t="shared" si="779"/>
        <v>05354730631</v>
      </c>
      <c r="K7888" t="str">
        <f>""</f>
        <v/>
      </c>
      <c r="M7888" t="s">
        <v>68</v>
      </c>
      <c r="N7888" t="str">
        <f t="shared" si="777"/>
        <v>FOR</v>
      </c>
      <c r="O7888" t="s">
        <v>69</v>
      </c>
      <c r="P7888" s="3" t="s">
        <v>75</v>
      </c>
      <c r="Q7888">
        <v>2015</v>
      </c>
      <c r="R7888" s="2">
        <v>42338</v>
      </c>
      <c r="S7888" s="2">
        <v>42342</v>
      </c>
      <c r="T7888" s="2">
        <v>42341</v>
      </c>
      <c r="U7888" s="2">
        <v>42401</v>
      </c>
      <c r="V7888" t="s">
        <v>71</v>
      </c>
      <c r="W7888" t="str">
        <f>"               F3412"</f>
        <v xml:space="preserve">               F3412</v>
      </c>
      <c r="X7888">
        <v>135.19999999999999</v>
      </c>
      <c r="Y7888">
        <v>0</v>
      </c>
      <c r="Z7888"/>
      <c r="AB7888"/>
      <c r="AC7888">
        <v>130</v>
      </c>
      <c r="AD7888">
        <v>176</v>
      </c>
      <c r="AE7888" s="1">
        <v>22880</v>
      </c>
      <c r="AF7888">
        <v>0</v>
      </c>
      <c r="AJ7888">
        <v>0</v>
      </c>
      <c r="AK7888">
        <v>0</v>
      </c>
      <c r="AL7888">
        <v>0</v>
      </c>
      <c r="AM7888">
        <v>0</v>
      </c>
      <c r="AN7888">
        <v>0</v>
      </c>
      <c r="AO7888">
        <v>0</v>
      </c>
      <c r="AP7888" s="2">
        <v>42746</v>
      </c>
      <c r="AQ7888" t="s">
        <v>72</v>
      </c>
      <c r="AR7888" t="s">
        <v>72</v>
      </c>
      <c r="AS7888">
        <v>1953</v>
      </c>
      <c r="AT7888" s="4">
        <v>42577</v>
      </c>
      <c r="AU7888" t="s">
        <v>73</v>
      </c>
      <c r="AV7888">
        <v>1953</v>
      </c>
      <c r="AW7888" s="4">
        <v>42577</v>
      </c>
      <c r="BD7888">
        <v>0</v>
      </c>
      <c r="BN7888" t="s">
        <v>74</v>
      </c>
    </row>
    <row r="7889" spans="1:66" hidden="1">
      <c r="A7889">
        <v>104492</v>
      </c>
      <c r="B7889" s="3" t="s">
        <v>670</v>
      </c>
      <c r="C7889" s="1">
        <v>43300101</v>
      </c>
      <c r="D7889" t="s">
        <v>67</v>
      </c>
      <c r="H7889" t="str">
        <f t="shared" si="779"/>
        <v>05354730631</v>
      </c>
      <c r="I7889" t="str">
        <f t="shared" si="779"/>
        <v>05354730631</v>
      </c>
      <c r="K7889" t="str">
        <f>""</f>
        <v/>
      </c>
      <c r="M7889" t="s">
        <v>68</v>
      </c>
      <c r="N7889" t="str">
        <f t="shared" si="777"/>
        <v>FOR</v>
      </c>
      <c r="O7889" t="s">
        <v>69</v>
      </c>
      <c r="P7889" s="3" t="s">
        <v>75</v>
      </c>
      <c r="Q7889">
        <v>2015</v>
      </c>
      <c r="R7889" s="2">
        <v>42338</v>
      </c>
      <c r="S7889" s="2">
        <v>42342</v>
      </c>
      <c r="T7889" s="2">
        <v>42341</v>
      </c>
      <c r="U7889" s="2">
        <v>42401</v>
      </c>
      <c r="V7889" t="s">
        <v>71</v>
      </c>
      <c r="W7889" t="str">
        <f>"               F3413"</f>
        <v xml:space="preserve">               F3413</v>
      </c>
      <c r="X7889">
        <v>135.19999999999999</v>
      </c>
      <c r="Y7889">
        <v>0</v>
      </c>
      <c r="Z7889"/>
      <c r="AB7889"/>
      <c r="AC7889">
        <v>130</v>
      </c>
      <c r="AD7889">
        <v>176</v>
      </c>
      <c r="AE7889" s="1">
        <v>22880</v>
      </c>
      <c r="AF7889">
        <v>0</v>
      </c>
      <c r="AJ7889">
        <v>0</v>
      </c>
      <c r="AK7889">
        <v>0</v>
      </c>
      <c r="AL7889">
        <v>0</v>
      </c>
      <c r="AM7889">
        <v>0</v>
      </c>
      <c r="AN7889">
        <v>0</v>
      </c>
      <c r="AO7889">
        <v>0</v>
      </c>
      <c r="AP7889" s="2">
        <v>42746</v>
      </c>
      <c r="AQ7889" t="s">
        <v>72</v>
      </c>
      <c r="AR7889" t="s">
        <v>72</v>
      </c>
      <c r="AS7889">
        <v>1953</v>
      </c>
      <c r="AT7889" s="4">
        <v>42577</v>
      </c>
      <c r="AU7889" t="s">
        <v>73</v>
      </c>
      <c r="AV7889">
        <v>1953</v>
      </c>
      <c r="AW7889" s="4">
        <v>42577</v>
      </c>
      <c r="BD7889">
        <v>0</v>
      </c>
      <c r="BN7889" t="s">
        <v>74</v>
      </c>
    </row>
    <row r="7890" spans="1:66" hidden="1">
      <c r="A7890">
        <v>104492</v>
      </c>
      <c r="B7890" s="3" t="s">
        <v>670</v>
      </c>
      <c r="C7890" s="1">
        <v>43300101</v>
      </c>
      <c r="D7890" t="s">
        <v>67</v>
      </c>
      <c r="H7890" t="str">
        <f t="shared" si="779"/>
        <v>05354730631</v>
      </c>
      <c r="I7890" t="str">
        <f t="shared" si="779"/>
        <v>05354730631</v>
      </c>
      <c r="K7890" t="str">
        <f>""</f>
        <v/>
      </c>
      <c r="M7890" t="s">
        <v>68</v>
      </c>
      <c r="N7890" t="str">
        <f t="shared" si="777"/>
        <v>FOR</v>
      </c>
      <c r="O7890" t="s">
        <v>69</v>
      </c>
      <c r="P7890" s="3" t="s">
        <v>75</v>
      </c>
      <c r="Q7890">
        <v>2015</v>
      </c>
      <c r="R7890" s="2">
        <v>42338</v>
      </c>
      <c r="S7890" s="2">
        <v>42342</v>
      </c>
      <c r="T7890" s="2">
        <v>42341</v>
      </c>
      <c r="U7890" s="2">
        <v>42401</v>
      </c>
      <c r="V7890" t="s">
        <v>71</v>
      </c>
      <c r="W7890" t="str">
        <f>"               F3414"</f>
        <v xml:space="preserve">               F3414</v>
      </c>
      <c r="X7890">
        <v>104</v>
      </c>
      <c r="Y7890">
        <v>0</v>
      </c>
      <c r="Z7890"/>
      <c r="AB7890"/>
      <c r="AC7890">
        <v>100</v>
      </c>
      <c r="AD7890">
        <v>176</v>
      </c>
      <c r="AE7890" s="1">
        <v>17600</v>
      </c>
      <c r="AF7890">
        <v>0</v>
      </c>
      <c r="AJ7890">
        <v>0</v>
      </c>
      <c r="AK7890">
        <v>0</v>
      </c>
      <c r="AL7890">
        <v>0</v>
      </c>
      <c r="AM7890">
        <v>0</v>
      </c>
      <c r="AN7890">
        <v>0</v>
      </c>
      <c r="AO7890">
        <v>0</v>
      </c>
      <c r="AP7890" s="2">
        <v>42746</v>
      </c>
      <c r="AQ7890" t="s">
        <v>72</v>
      </c>
      <c r="AR7890" t="s">
        <v>72</v>
      </c>
      <c r="AS7890">
        <v>1953</v>
      </c>
      <c r="AT7890" s="4">
        <v>42577</v>
      </c>
      <c r="AU7890" t="s">
        <v>73</v>
      </c>
      <c r="AV7890">
        <v>1953</v>
      </c>
      <c r="AW7890" s="4">
        <v>42577</v>
      </c>
      <c r="BD7890">
        <v>0</v>
      </c>
      <c r="BN7890" t="s">
        <v>74</v>
      </c>
    </row>
    <row r="7891" spans="1:66" hidden="1">
      <c r="A7891">
        <v>104492</v>
      </c>
      <c r="B7891" s="3" t="s">
        <v>670</v>
      </c>
      <c r="C7891" s="1">
        <v>43300101</v>
      </c>
      <c r="D7891" t="s">
        <v>67</v>
      </c>
      <c r="H7891" t="str">
        <f t="shared" si="779"/>
        <v>05354730631</v>
      </c>
      <c r="I7891" t="str">
        <f t="shared" si="779"/>
        <v>05354730631</v>
      </c>
      <c r="K7891" t="str">
        <f>""</f>
        <v/>
      </c>
      <c r="M7891" t="s">
        <v>68</v>
      </c>
      <c r="N7891" t="str">
        <f t="shared" si="777"/>
        <v>FOR</v>
      </c>
      <c r="O7891" t="s">
        <v>69</v>
      </c>
      <c r="P7891" s="3" t="s">
        <v>75</v>
      </c>
      <c r="Q7891">
        <v>2015</v>
      </c>
      <c r="R7891" s="2">
        <v>42338</v>
      </c>
      <c r="S7891" s="2">
        <v>42342</v>
      </c>
      <c r="T7891" s="2">
        <v>42341</v>
      </c>
      <c r="U7891" s="2">
        <v>42401</v>
      </c>
      <c r="V7891" t="s">
        <v>71</v>
      </c>
      <c r="W7891" t="str">
        <f>"               F3415"</f>
        <v xml:space="preserve">               F3415</v>
      </c>
      <c r="X7891">
        <v>104</v>
      </c>
      <c r="Y7891">
        <v>0</v>
      </c>
      <c r="Z7891"/>
      <c r="AB7891"/>
      <c r="AC7891">
        <v>100</v>
      </c>
      <c r="AD7891">
        <v>176</v>
      </c>
      <c r="AE7891" s="1">
        <v>17600</v>
      </c>
      <c r="AF7891">
        <v>0</v>
      </c>
      <c r="AJ7891">
        <v>0</v>
      </c>
      <c r="AK7891">
        <v>0</v>
      </c>
      <c r="AL7891">
        <v>0</v>
      </c>
      <c r="AM7891">
        <v>0</v>
      </c>
      <c r="AN7891">
        <v>0</v>
      </c>
      <c r="AO7891">
        <v>0</v>
      </c>
      <c r="AP7891" s="2">
        <v>42746</v>
      </c>
      <c r="AQ7891" t="s">
        <v>72</v>
      </c>
      <c r="AR7891" t="s">
        <v>72</v>
      </c>
      <c r="AS7891">
        <v>1953</v>
      </c>
      <c r="AT7891" s="4">
        <v>42577</v>
      </c>
      <c r="AU7891" t="s">
        <v>73</v>
      </c>
      <c r="AV7891">
        <v>1953</v>
      </c>
      <c r="AW7891" s="4">
        <v>42577</v>
      </c>
      <c r="BD7891">
        <v>0</v>
      </c>
      <c r="BN7891" t="s">
        <v>74</v>
      </c>
    </row>
    <row r="7892" spans="1:66" hidden="1">
      <c r="A7892">
        <v>104492</v>
      </c>
      <c r="B7892" s="3" t="s">
        <v>670</v>
      </c>
      <c r="C7892" s="1">
        <v>43300101</v>
      </c>
      <c r="D7892" t="s">
        <v>67</v>
      </c>
      <c r="H7892" t="str">
        <f t="shared" si="779"/>
        <v>05354730631</v>
      </c>
      <c r="I7892" t="str">
        <f t="shared" si="779"/>
        <v>05354730631</v>
      </c>
      <c r="K7892" t="str">
        <f>""</f>
        <v/>
      </c>
      <c r="M7892" t="s">
        <v>68</v>
      </c>
      <c r="N7892" t="str">
        <f t="shared" si="777"/>
        <v>FOR</v>
      </c>
      <c r="O7892" t="s">
        <v>69</v>
      </c>
      <c r="P7892" s="3" t="s">
        <v>75</v>
      </c>
      <c r="Q7892">
        <v>2015</v>
      </c>
      <c r="R7892" s="2">
        <v>42342</v>
      </c>
      <c r="S7892" s="2">
        <v>42345</v>
      </c>
      <c r="T7892" s="2">
        <v>42345</v>
      </c>
      <c r="U7892" s="2">
        <v>42405</v>
      </c>
      <c r="V7892" t="s">
        <v>71</v>
      </c>
      <c r="W7892" t="str">
        <f>"               F3475"</f>
        <v xml:space="preserve">               F3475</v>
      </c>
      <c r="X7892">
        <v>104</v>
      </c>
      <c r="Y7892">
        <v>0</v>
      </c>
      <c r="Z7892"/>
      <c r="AB7892"/>
      <c r="AC7892">
        <v>100</v>
      </c>
      <c r="AD7892">
        <v>172</v>
      </c>
      <c r="AE7892" s="1">
        <v>17200</v>
      </c>
      <c r="AF7892">
        <v>0</v>
      </c>
      <c r="AJ7892">
        <v>0</v>
      </c>
      <c r="AK7892">
        <v>0</v>
      </c>
      <c r="AL7892">
        <v>0</v>
      </c>
      <c r="AM7892">
        <v>0</v>
      </c>
      <c r="AN7892">
        <v>0</v>
      </c>
      <c r="AO7892">
        <v>0</v>
      </c>
      <c r="AP7892" s="2">
        <v>42746</v>
      </c>
      <c r="AQ7892" t="s">
        <v>72</v>
      </c>
      <c r="AR7892" t="s">
        <v>72</v>
      </c>
      <c r="AS7892">
        <v>1953</v>
      </c>
      <c r="AT7892" s="4">
        <v>42577</v>
      </c>
      <c r="AU7892" t="s">
        <v>73</v>
      </c>
      <c r="AV7892">
        <v>1953</v>
      </c>
      <c r="AW7892" s="4">
        <v>42577</v>
      </c>
      <c r="BD7892">
        <v>0</v>
      </c>
      <c r="BN7892" t="s">
        <v>74</v>
      </c>
    </row>
    <row r="7893" spans="1:66" hidden="1">
      <c r="A7893">
        <v>104492</v>
      </c>
      <c r="B7893" s="3" t="s">
        <v>670</v>
      </c>
      <c r="C7893" s="1">
        <v>43300101</v>
      </c>
      <c r="D7893" t="s">
        <v>67</v>
      </c>
      <c r="H7893" t="str">
        <f t="shared" si="779"/>
        <v>05354730631</v>
      </c>
      <c r="I7893" t="str">
        <f t="shared" si="779"/>
        <v>05354730631</v>
      </c>
      <c r="K7893" t="str">
        <f>""</f>
        <v/>
      </c>
      <c r="M7893" t="s">
        <v>68</v>
      </c>
      <c r="N7893" t="str">
        <f t="shared" si="777"/>
        <v>FOR</v>
      </c>
      <c r="O7893" t="s">
        <v>69</v>
      </c>
      <c r="P7893" s="3" t="s">
        <v>75</v>
      </c>
      <c r="Q7893">
        <v>2015</v>
      </c>
      <c r="R7893" s="2">
        <v>42342</v>
      </c>
      <c r="S7893" s="2">
        <v>42345</v>
      </c>
      <c r="T7893" s="2">
        <v>42345</v>
      </c>
      <c r="U7893" s="2">
        <v>42405</v>
      </c>
      <c r="V7893" t="s">
        <v>71</v>
      </c>
      <c r="W7893" t="str">
        <f>"               F3476"</f>
        <v xml:space="preserve">               F3476</v>
      </c>
      <c r="X7893">
        <v>104</v>
      </c>
      <c r="Y7893">
        <v>0</v>
      </c>
      <c r="Z7893"/>
      <c r="AB7893"/>
      <c r="AC7893">
        <v>100</v>
      </c>
      <c r="AD7893">
        <v>172</v>
      </c>
      <c r="AE7893" s="1">
        <v>17200</v>
      </c>
      <c r="AF7893">
        <v>0</v>
      </c>
      <c r="AJ7893">
        <v>0</v>
      </c>
      <c r="AK7893">
        <v>0</v>
      </c>
      <c r="AL7893">
        <v>0</v>
      </c>
      <c r="AM7893">
        <v>0</v>
      </c>
      <c r="AN7893">
        <v>0</v>
      </c>
      <c r="AO7893">
        <v>0</v>
      </c>
      <c r="AP7893" s="2">
        <v>42746</v>
      </c>
      <c r="AQ7893" t="s">
        <v>72</v>
      </c>
      <c r="AR7893" t="s">
        <v>72</v>
      </c>
      <c r="AS7893">
        <v>1953</v>
      </c>
      <c r="AT7893" s="4">
        <v>42577</v>
      </c>
      <c r="AU7893" t="s">
        <v>73</v>
      </c>
      <c r="AV7893">
        <v>1953</v>
      </c>
      <c r="AW7893" s="4">
        <v>42577</v>
      </c>
      <c r="BD7893">
        <v>0</v>
      </c>
      <c r="BN7893" t="s">
        <v>74</v>
      </c>
    </row>
    <row r="7894" spans="1:66" hidden="1">
      <c r="A7894">
        <v>104492</v>
      </c>
      <c r="B7894" s="3" t="s">
        <v>670</v>
      </c>
      <c r="C7894" s="1">
        <v>43300101</v>
      </c>
      <c r="D7894" t="s">
        <v>67</v>
      </c>
      <c r="H7894" t="str">
        <f t="shared" si="779"/>
        <v>05354730631</v>
      </c>
      <c r="I7894" t="str">
        <f t="shared" si="779"/>
        <v>05354730631</v>
      </c>
      <c r="K7894" t="str">
        <f>""</f>
        <v/>
      </c>
      <c r="M7894" t="s">
        <v>68</v>
      </c>
      <c r="N7894" t="str">
        <f t="shared" si="777"/>
        <v>FOR</v>
      </c>
      <c r="O7894" t="s">
        <v>69</v>
      </c>
      <c r="P7894" s="3" t="s">
        <v>75</v>
      </c>
      <c r="Q7894">
        <v>2015</v>
      </c>
      <c r="R7894" s="2">
        <v>42349</v>
      </c>
      <c r="S7894" s="2">
        <v>42353</v>
      </c>
      <c r="T7894" s="2">
        <v>42349</v>
      </c>
      <c r="U7894" s="2">
        <v>42409</v>
      </c>
      <c r="V7894" t="s">
        <v>71</v>
      </c>
      <c r="W7894" t="str">
        <f>"               F3522"</f>
        <v xml:space="preserve">               F3522</v>
      </c>
      <c r="X7894" s="1">
        <v>2049.6</v>
      </c>
      <c r="Y7894">
        <v>0</v>
      </c>
      <c r="Z7894"/>
      <c r="AB7894"/>
      <c r="AC7894" s="1">
        <v>1680</v>
      </c>
      <c r="AD7894">
        <v>168</v>
      </c>
      <c r="AE7894" s="1">
        <v>282240</v>
      </c>
      <c r="AF7894">
        <v>0</v>
      </c>
      <c r="AJ7894">
        <v>0</v>
      </c>
      <c r="AK7894">
        <v>0</v>
      </c>
      <c r="AL7894">
        <v>0</v>
      </c>
      <c r="AM7894">
        <v>0</v>
      </c>
      <c r="AN7894">
        <v>0</v>
      </c>
      <c r="AO7894">
        <v>0</v>
      </c>
      <c r="AP7894" s="2">
        <v>42746</v>
      </c>
      <c r="AQ7894" t="s">
        <v>72</v>
      </c>
      <c r="AR7894" t="s">
        <v>72</v>
      </c>
      <c r="AS7894">
        <v>1953</v>
      </c>
      <c r="AT7894" s="4">
        <v>42577</v>
      </c>
      <c r="AU7894" t="s">
        <v>73</v>
      </c>
      <c r="AV7894">
        <v>1953</v>
      </c>
      <c r="AW7894" s="4">
        <v>42577</v>
      </c>
      <c r="BD7894">
        <v>0</v>
      </c>
      <c r="BN7894" t="s">
        <v>74</v>
      </c>
    </row>
    <row r="7895" spans="1:66" hidden="1">
      <c r="A7895">
        <v>104492</v>
      </c>
      <c r="B7895" s="3" t="s">
        <v>670</v>
      </c>
      <c r="C7895" s="1">
        <v>43300101</v>
      </c>
      <c r="D7895" t="s">
        <v>67</v>
      </c>
      <c r="H7895" t="str">
        <f t="shared" si="779"/>
        <v>05354730631</v>
      </c>
      <c r="I7895" t="str">
        <f t="shared" si="779"/>
        <v>05354730631</v>
      </c>
      <c r="K7895" t="str">
        <f>""</f>
        <v/>
      </c>
      <c r="M7895" t="s">
        <v>68</v>
      </c>
      <c r="N7895" t="str">
        <f t="shared" si="777"/>
        <v>FOR</v>
      </c>
      <c r="O7895" t="s">
        <v>69</v>
      </c>
      <c r="P7895" s="3" t="s">
        <v>75</v>
      </c>
      <c r="Q7895">
        <v>2015</v>
      </c>
      <c r="R7895" s="2">
        <v>42367</v>
      </c>
      <c r="S7895" s="2">
        <v>42369</v>
      </c>
      <c r="T7895" s="2">
        <v>42368</v>
      </c>
      <c r="U7895" s="2">
        <v>42428</v>
      </c>
      <c r="V7895" t="s">
        <v>71</v>
      </c>
      <c r="W7895" t="str">
        <f>"               F3672"</f>
        <v xml:space="preserve">               F3672</v>
      </c>
      <c r="X7895">
        <v>104</v>
      </c>
      <c r="Y7895">
        <v>0</v>
      </c>
      <c r="Z7895"/>
      <c r="AB7895"/>
      <c r="AC7895">
        <v>100</v>
      </c>
      <c r="AD7895">
        <v>149</v>
      </c>
      <c r="AE7895" s="1">
        <v>14900</v>
      </c>
      <c r="AF7895">
        <v>0</v>
      </c>
      <c r="AJ7895">
        <v>0</v>
      </c>
      <c r="AK7895">
        <v>0</v>
      </c>
      <c r="AL7895">
        <v>0</v>
      </c>
      <c r="AM7895">
        <v>0</v>
      </c>
      <c r="AN7895">
        <v>0</v>
      </c>
      <c r="AO7895">
        <v>0</v>
      </c>
      <c r="AP7895" s="2">
        <v>42746</v>
      </c>
      <c r="AQ7895" t="s">
        <v>72</v>
      </c>
      <c r="AR7895" t="s">
        <v>72</v>
      </c>
      <c r="AS7895">
        <v>1953</v>
      </c>
      <c r="AT7895" s="4">
        <v>42577</v>
      </c>
      <c r="AU7895" t="s">
        <v>73</v>
      </c>
      <c r="AV7895">
        <v>1953</v>
      </c>
      <c r="AW7895" s="4">
        <v>42577</v>
      </c>
      <c r="BD7895">
        <v>0</v>
      </c>
      <c r="BN7895" t="s">
        <v>74</v>
      </c>
    </row>
    <row r="7896" spans="1:66" hidden="1">
      <c r="A7896">
        <v>104492</v>
      </c>
      <c r="B7896" s="3" t="s">
        <v>670</v>
      </c>
      <c r="C7896" s="1">
        <v>43300101</v>
      </c>
      <c r="D7896" t="s">
        <v>67</v>
      </c>
      <c r="H7896" t="str">
        <f t="shared" si="779"/>
        <v>05354730631</v>
      </c>
      <c r="I7896" t="str">
        <f t="shared" si="779"/>
        <v>05354730631</v>
      </c>
      <c r="K7896" t="str">
        <f>""</f>
        <v/>
      </c>
      <c r="M7896" t="s">
        <v>68</v>
      </c>
      <c r="N7896" t="str">
        <f t="shared" si="777"/>
        <v>FOR</v>
      </c>
      <c r="O7896" t="s">
        <v>69</v>
      </c>
      <c r="P7896" s="3" t="s">
        <v>75</v>
      </c>
      <c r="Q7896">
        <v>2015</v>
      </c>
      <c r="R7896" s="2">
        <v>42367</v>
      </c>
      <c r="S7896" s="2">
        <v>42369</v>
      </c>
      <c r="T7896" s="2">
        <v>42368</v>
      </c>
      <c r="U7896" s="2">
        <v>42428</v>
      </c>
      <c r="V7896" t="s">
        <v>71</v>
      </c>
      <c r="W7896" t="str">
        <f>"               F3673"</f>
        <v xml:space="preserve">               F3673</v>
      </c>
      <c r="X7896">
        <v>104</v>
      </c>
      <c r="Y7896">
        <v>0</v>
      </c>
      <c r="Z7896"/>
      <c r="AB7896"/>
      <c r="AC7896">
        <v>100</v>
      </c>
      <c r="AD7896">
        <v>149</v>
      </c>
      <c r="AE7896" s="1">
        <v>14900</v>
      </c>
      <c r="AF7896">
        <v>0</v>
      </c>
      <c r="AJ7896">
        <v>0</v>
      </c>
      <c r="AK7896">
        <v>0</v>
      </c>
      <c r="AL7896">
        <v>0</v>
      </c>
      <c r="AM7896">
        <v>0</v>
      </c>
      <c r="AN7896">
        <v>0</v>
      </c>
      <c r="AO7896">
        <v>0</v>
      </c>
      <c r="AP7896" s="2">
        <v>42746</v>
      </c>
      <c r="AQ7896" t="s">
        <v>72</v>
      </c>
      <c r="AR7896" t="s">
        <v>72</v>
      </c>
      <c r="AS7896">
        <v>1953</v>
      </c>
      <c r="AT7896" s="4">
        <v>42577</v>
      </c>
      <c r="AU7896" t="s">
        <v>73</v>
      </c>
      <c r="AV7896">
        <v>1953</v>
      </c>
      <c r="AW7896" s="4">
        <v>42577</v>
      </c>
      <c r="BD7896">
        <v>0</v>
      </c>
      <c r="BN7896" t="s">
        <v>74</v>
      </c>
    </row>
    <row r="7897" spans="1:66" hidden="1">
      <c r="A7897">
        <v>104492</v>
      </c>
      <c r="B7897" s="3" t="s">
        <v>670</v>
      </c>
      <c r="C7897" s="1">
        <v>43300101</v>
      </c>
      <c r="D7897" t="s">
        <v>67</v>
      </c>
      <c r="H7897" t="str">
        <f t="shared" si="779"/>
        <v>05354730631</v>
      </c>
      <c r="I7897" t="str">
        <f t="shared" si="779"/>
        <v>05354730631</v>
      </c>
      <c r="K7897" t="str">
        <f>""</f>
        <v/>
      </c>
      <c r="M7897" t="s">
        <v>68</v>
      </c>
      <c r="N7897" t="str">
        <f t="shared" si="777"/>
        <v>FOR</v>
      </c>
      <c r="O7897" t="s">
        <v>69</v>
      </c>
      <c r="P7897" s="3" t="s">
        <v>75</v>
      </c>
      <c r="Q7897">
        <v>2015</v>
      </c>
      <c r="R7897" s="2">
        <v>42367</v>
      </c>
      <c r="S7897" s="2">
        <v>42369</v>
      </c>
      <c r="T7897" s="2">
        <v>42368</v>
      </c>
      <c r="U7897" s="2">
        <v>42428</v>
      </c>
      <c r="V7897" t="s">
        <v>71</v>
      </c>
      <c r="W7897" t="str">
        <f>"               F3674"</f>
        <v xml:space="preserve">               F3674</v>
      </c>
      <c r="X7897">
        <v>104</v>
      </c>
      <c r="Y7897">
        <v>0</v>
      </c>
      <c r="Z7897"/>
      <c r="AB7897"/>
      <c r="AC7897">
        <v>100</v>
      </c>
      <c r="AD7897">
        <v>149</v>
      </c>
      <c r="AE7897" s="1">
        <v>14900</v>
      </c>
      <c r="AF7897">
        <v>0</v>
      </c>
      <c r="AJ7897">
        <v>0</v>
      </c>
      <c r="AK7897">
        <v>0</v>
      </c>
      <c r="AL7897">
        <v>0</v>
      </c>
      <c r="AM7897">
        <v>0</v>
      </c>
      <c r="AN7897">
        <v>0</v>
      </c>
      <c r="AO7897">
        <v>0</v>
      </c>
      <c r="AP7897" s="2">
        <v>42746</v>
      </c>
      <c r="AQ7897" t="s">
        <v>72</v>
      </c>
      <c r="AR7897" t="s">
        <v>72</v>
      </c>
      <c r="AS7897">
        <v>1953</v>
      </c>
      <c r="AT7897" s="4">
        <v>42577</v>
      </c>
      <c r="AU7897" t="s">
        <v>73</v>
      </c>
      <c r="AV7897">
        <v>1953</v>
      </c>
      <c r="AW7897" s="4">
        <v>42577</v>
      </c>
      <c r="BD7897">
        <v>0</v>
      </c>
      <c r="BN7897" t="s">
        <v>74</v>
      </c>
    </row>
    <row r="7898" spans="1:66" hidden="1">
      <c r="A7898">
        <v>104492</v>
      </c>
      <c r="B7898" s="3" t="s">
        <v>670</v>
      </c>
      <c r="C7898" s="1">
        <v>43300101</v>
      </c>
      <c r="D7898" t="s">
        <v>67</v>
      </c>
      <c r="H7898" t="str">
        <f t="shared" si="779"/>
        <v>05354730631</v>
      </c>
      <c r="I7898" t="str">
        <f t="shared" si="779"/>
        <v>05354730631</v>
      </c>
      <c r="K7898" t="str">
        <f>""</f>
        <v/>
      </c>
      <c r="M7898" t="s">
        <v>68</v>
      </c>
      <c r="N7898" t="str">
        <f t="shared" si="777"/>
        <v>FOR</v>
      </c>
      <c r="O7898" t="s">
        <v>69</v>
      </c>
      <c r="P7898" s="3" t="s">
        <v>75</v>
      </c>
      <c r="Q7898">
        <v>2015</v>
      </c>
      <c r="R7898" s="2">
        <v>42367</v>
      </c>
      <c r="S7898" s="2">
        <v>42369</v>
      </c>
      <c r="T7898" s="2">
        <v>42368</v>
      </c>
      <c r="U7898" s="2">
        <v>42428</v>
      </c>
      <c r="V7898" t="s">
        <v>71</v>
      </c>
      <c r="W7898" t="str">
        <f>"               F3675"</f>
        <v xml:space="preserve">               F3675</v>
      </c>
      <c r="X7898">
        <v>104</v>
      </c>
      <c r="Y7898">
        <v>0</v>
      </c>
      <c r="Z7898"/>
      <c r="AB7898"/>
      <c r="AC7898">
        <v>100</v>
      </c>
      <c r="AD7898">
        <v>149</v>
      </c>
      <c r="AE7898" s="1">
        <v>14900</v>
      </c>
      <c r="AF7898">
        <v>0</v>
      </c>
      <c r="AJ7898">
        <v>0</v>
      </c>
      <c r="AK7898">
        <v>0</v>
      </c>
      <c r="AL7898">
        <v>0</v>
      </c>
      <c r="AM7898">
        <v>0</v>
      </c>
      <c r="AN7898">
        <v>0</v>
      </c>
      <c r="AO7898">
        <v>0</v>
      </c>
      <c r="AP7898" s="2">
        <v>42746</v>
      </c>
      <c r="AQ7898" t="s">
        <v>72</v>
      </c>
      <c r="AR7898" t="s">
        <v>72</v>
      </c>
      <c r="AS7898">
        <v>1953</v>
      </c>
      <c r="AT7898" s="4">
        <v>42577</v>
      </c>
      <c r="AU7898" t="s">
        <v>73</v>
      </c>
      <c r="AV7898">
        <v>1953</v>
      </c>
      <c r="AW7898" s="4">
        <v>42577</v>
      </c>
      <c r="BD7898">
        <v>0</v>
      </c>
      <c r="BN7898" t="s">
        <v>74</v>
      </c>
    </row>
    <row r="7899" spans="1:66" hidden="1">
      <c r="A7899">
        <v>104492</v>
      </c>
      <c r="B7899" s="3" t="s">
        <v>670</v>
      </c>
      <c r="C7899" s="1">
        <v>43300101</v>
      </c>
      <c r="D7899" t="s">
        <v>67</v>
      </c>
      <c r="H7899" t="str">
        <f t="shared" si="779"/>
        <v>05354730631</v>
      </c>
      <c r="I7899" t="str">
        <f t="shared" si="779"/>
        <v>05354730631</v>
      </c>
      <c r="K7899" t="str">
        <f>""</f>
        <v/>
      </c>
      <c r="M7899" t="s">
        <v>68</v>
      </c>
      <c r="N7899" t="str">
        <f t="shared" si="777"/>
        <v>FOR</v>
      </c>
      <c r="O7899" t="s">
        <v>69</v>
      </c>
      <c r="P7899" s="3" t="s">
        <v>75</v>
      </c>
      <c r="Q7899">
        <v>2016</v>
      </c>
      <c r="R7899" s="2">
        <v>42395</v>
      </c>
      <c r="S7899" s="2">
        <v>42401</v>
      </c>
      <c r="T7899" s="2">
        <v>42396</v>
      </c>
      <c r="U7899" s="2">
        <v>42456</v>
      </c>
      <c r="V7899" t="s">
        <v>71</v>
      </c>
      <c r="W7899" t="str">
        <f>"                F141"</f>
        <v xml:space="preserve">                F141</v>
      </c>
      <c r="X7899" s="1">
        <v>2165.5</v>
      </c>
      <c r="Y7899">
        <v>0</v>
      </c>
      <c r="Z7899"/>
      <c r="AB7899"/>
      <c r="AC7899" s="1">
        <v>1775</v>
      </c>
      <c r="AD7899">
        <v>164</v>
      </c>
      <c r="AE7899" s="1">
        <v>291100</v>
      </c>
      <c r="AF7899">
        <v>0</v>
      </c>
      <c r="AJ7899">
        <v>0</v>
      </c>
      <c r="AK7899">
        <v>0</v>
      </c>
      <c r="AL7899">
        <v>0</v>
      </c>
      <c r="AM7899" s="1">
        <v>2165.5</v>
      </c>
      <c r="AN7899" s="1">
        <v>2165.5</v>
      </c>
      <c r="AO7899" s="1">
        <v>2165.5</v>
      </c>
      <c r="AP7899" s="2">
        <v>42746</v>
      </c>
      <c r="AQ7899" t="s">
        <v>72</v>
      </c>
      <c r="AR7899" t="s">
        <v>72</v>
      </c>
      <c r="AS7899">
        <v>2308</v>
      </c>
      <c r="AT7899" s="4">
        <v>42620</v>
      </c>
      <c r="AU7899" t="s">
        <v>73</v>
      </c>
      <c r="AV7899">
        <v>2308</v>
      </c>
      <c r="AW7899" s="4">
        <v>42620</v>
      </c>
      <c r="BD7899">
        <v>0</v>
      </c>
      <c r="BN7899" t="s">
        <v>74</v>
      </c>
    </row>
    <row r="7900" spans="1:66" hidden="1">
      <c r="A7900">
        <v>104492</v>
      </c>
      <c r="B7900" s="3" t="s">
        <v>670</v>
      </c>
      <c r="C7900" s="1">
        <v>43300101</v>
      </c>
      <c r="D7900" t="s">
        <v>67</v>
      </c>
      <c r="H7900" t="str">
        <f t="shared" si="779"/>
        <v>05354730631</v>
      </c>
      <c r="I7900" t="str">
        <f t="shared" si="779"/>
        <v>05354730631</v>
      </c>
      <c r="K7900" t="str">
        <f>""</f>
        <v/>
      </c>
      <c r="M7900" t="s">
        <v>68</v>
      </c>
      <c r="N7900" t="str">
        <f t="shared" si="777"/>
        <v>FOR</v>
      </c>
      <c r="O7900" t="s">
        <v>69</v>
      </c>
      <c r="P7900" s="3" t="s">
        <v>75</v>
      </c>
      <c r="Q7900">
        <v>2016</v>
      </c>
      <c r="R7900" s="2">
        <v>42395</v>
      </c>
      <c r="S7900" s="2">
        <v>42401</v>
      </c>
      <c r="T7900" s="2">
        <v>42396</v>
      </c>
      <c r="U7900" s="2">
        <v>42456</v>
      </c>
      <c r="V7900" t="s">
        <v>71</v>
      </c>
      <c r="W7900" t="str">
        <f>"                F142"</f>
        <v xml:space="preserve">                F142</v>
      </c>
      <c r="X7900">
        <v>320.25</v>
      </c>
      <c r="Y7900">
        <v>0</v>
      </c>
      <c r="Z7900"/>
      <c r="AB7900"/>
      <c r="AC7900">
        <v>262.5</v>
      </c>
      <c r="AD7900">
        <v>164</v>
      </c>
      <c r="AE7900" s="1">
        <v>43050</v>
      </c>
      <c r="AF7900">
        <v>0</v>
      </c>
      <c r="AJ7900">
        <v>0</v>
      </c>
      <c r="AK7900">
        <v>0</v>
      </c>
      <c r="AL7900">
        <v>0</v>
      </c>
      <c r="AM7900">
        <v>320.25</v>
      </c>
      <c r="AN7900">
        <v>320.25</v>
      </c>
      <c r="AO7900">
        <v>320.25</v>
      </c>
      <c r="AP7900" s="2">
        <v>42746</v>
      </c>
      <c r="AQ7900" t="s">
        <v>72</v>
      </c>
      <c r="AR7900" t="s">
        <v>72</v>
      </c>
      <c r="AS7900">
        <v>2308</v>
      </c>
      <c r="AT7900" s="4">
        <v>42620</v>
      </c>
      <c r="AU7900" t="s">
        <v>73</v>
      </c>
      <c r="AV7900">
        <v>2308</v>
      </c>
      <c r="AW7900" s="4">
        <v>42620</v>
      </c>
      <c r="BD7900">
        <v>0</v>
      </c>
      <c r="BN7900" t="s">
        <v>74</v>
      </c>
    </row>
    <row r="7901" spans="1:66" hidden="1">
      <c r="A7901">
        <v>104492</v>
      </c>
      <c r="B7901" s="3" t="s">
        <v>670</v>
      </c>
      <c r="C7901" s="1">
        <v>43300101</v>
      </c>
      <c r="D7901" t="s">
        <v>67</v>
      </c>
      <c r="H7901" t="str">
        <f t="shared" si="779"/>
        <v>05354730631</v>
      </c>
      <c r="I7901" t="str">
        <f t="shared" si="779"/>
        <v>05354730631</v>
      </c>
      <c r="K7901" t="str">
        <f>""</f>
        <v/>
      </c>
      <c r="M7901" t="s">
        <v>68</v>
      </c>
      <c r="N7901" t="str">
        <f t="shared" si="777"/>
        <v>FOR</v>
      </c>
      <c r="O7901" t="s">
        <v>69</v>
      </c>
      <c r="P7901" s="3" t="s">
        <v>75</v>
      </c>
      <c r="Q7901">
        <v>2016</v>
      </c>
      <c r="R7901" s="2">
        <v>42398</v>
      </c>
      <c r="S7901" s="2">
        <v>42401</v>
      </c>
      <c r="T7901" s="2">
        <v>42401</v>
      </c>
      <c r="U7901" s="2">
        <v>42461</v>
      </c>
      <c r="V7901" t="s">
        <v>71</v>
      </c>
      <c r="W7901" t="str">
        <f>"                F167"</f>
        <v xml:space="preserve">                F167</v>
      </c>
      <c r="X7901">
        <v>104</v>
      </c>
      <c r="Y7901">
        <v>0</v>
      </c>
      <c r="Z7901"/>
      <c r="AB7901"/>
      <c r="AC7901">
        <v>100</v>
      </c>
      <c r="AD7901">
        <v>159</v>
      </c>
      <c r="AE7901" s="1">
        <v>15900</v>
      </c>
      <c r="AF7901">
        <v>0</v>
      </c>
      <c r="AJ7901">
        <v>0</v>
      </c>
      <c r="AK7901">
        <v>0</v>
      </c>
      <c r="AL7901">
        <v>0</v>
      </c>
      <c r="AM7901">
        <v>104</v>
      </c>
      <c r="AN7901">
        <v>104</v>
      </c>
      <c r="AO7901">
        <v>104</v>
      </c>
      <c r="AP7901" s="2">
        <v>42746</v>
      </c>
      <c r="AQ7901" t="s">
        <v>72</v>
      </c>
      <c r="AR7901" t="s">
        <v>72</v>
      </c>
      <c r="AS7901">
        <v>2308</v>
      </c>
      <c r="AT7901" s="4">
        <v>42620</v>
      </c>
      <c r="AU7901" t="s">
        <v>73</v>
      </c>
      <c r="AV7901">
        <v>2308</v>
      </c>
      <c r="AW7901" s="4">
        <v>42620</v>
      </c>
      <c r="BD7901">
        <v>0</v>
      </c>
      <c r="BN7901" t="s">
        <v>74</v>
      </c>
    </row>
    <row r="7902" spans="1:66">
      <c r="A7902">
        <v>104492</v>
      </c>
      <c r="B7902" s="3" t="s">
        <v>670</v>
      </c>
      <c r="C7902" s="1">
        <v>43300101</v>
      </c>
      <c r="D7902" t="s">
        <v>67</v>
      </c>
      <c r="H7902" t="str">
        <f t="shared" si="779"/>
        <v>05354730631</v>
      </c>
      <c r="I7902" t="str">
        <f t="shared" si="779"/>
        <v>05354730631</v>
      </c>
      <c r="K7902" t="str">
        <f>""</f>
        <v/>
      </c>
      <c r="M7902" t="s">
        <v>68</v>
      </c>
      <c r="N7902" t="str">
        <f t="shared" si="777"/>
        <v>FOR</v>
      </c>
      <c r="O7902" t="s">
        <v>69</v>
      </c>
      <c r="P7902" s="3" t="s">
        <v>75</v>
      </c>
      <c r="Q7902">
        <v>2016</v>
      </c>
      <c r="R7902" s="2">
        <v>42408</v>
      </c>
      <c r="S7902" s="2">
        <v>42411</v>
      </c>
      <c r="T7902" s="2">
        <v>42410</v>
      </c>
      <c r="U7902" s="2">
        <v>42470</v>
      </c>
      <c r="V7902" t="s">
        <v>71</v>
      </c>
      <c r="W7902" t="str">
        <f>"                F288"</f>
        <v xml:space="preserve">                F288</v>
      </c>
      <c r="X7902">
        <v>960.75</v>
      </c>
      <c r="Y7902">
        <v>0</v>
      </c>
      <c r="Z7902" s="3">
        <v>787.5</v>
      </c>
      <c r="AA7902">
        <v>176</v>
      </c>
      <c r="AB7902" s="5">
        <v>138600</v>
      </c>
      <c r="AC7902">
        <v>787.5</v>
      </c>
      <c r="AD7902">
        <v>176</v>
      </c>
      <c r="AE7902" s="1">
        <v>138600</v>
      </c>
      <c r="AF7902">
        <v>0</v>
      </c>
      <c r="AJ7902">
        <v>0</v>
      </c>
      <c r="AK7902">
        <v>0</v>
      </c>
      <c r="AL7902">
        <v>0</v>
      </c>
      <c r="AM7902">
        <v>960.75</v>
      </c>
      <c r="AN7902">
        <v>960.75</v>
      </c>
      <c r="AO7902">
        <v>960.75</v>
      </c>
      <c r="AP7902" s="2">
        <v>42746</v>
      </c>
      <c r="AQ7902" t="s">
        <v>72</v>
      </c>
      <c r="AR7902" t="s">
        <v>72</v>
      </c>
      <c r="AS7902">
        <v>2574</v>
      </c>
      <c r="AT7902" s="4">
        <v>42646</v>
      </c>
      <c r="AU7902" t="s">
        <v>73</v>
      </c>
      <c r="AV7902">
        <v>2574</v>
      </c>
      <c r="AW7902" s="4">
        <v>42646</v>
      </c>
      <c r="BD7902">
        <v>0</v>
      </c>
      <c r="BN7902" t="s">
        <v>74</v>
      </c>
    </row>
    <row r="7903" spans="1:66">
      <c r="A7903">
        <v>104492</v>
      </c>
      <c r="B7903" s="3" t="s">
        <v>670</v>
      </c>
      <c r="C7903" s="1">
        <v>43300101</v>
      </c>
      <c r="D7903" t="s">
        <v>67</v>
      </c>
      <c r="H7903" t="str">
        <f t="shared" si="779"/>
        <v>05354730631</v>
      </c>
      <c r="I7903" t="str">
        <f t="shared" si="779"/>
        <v>05354730631</v>
      </c>
      <c r="K7903" t="str">
        <f>""</f>
        <v/>
      </c>
      <c r="M7903" t="s">
        <v>68</v>
      </c>
      <c r="N7903" t="str">
        <f t="shared" si="777"/>
        <v>FOR</v>
      </c>
      <c r="O7903" t="s">
        <v>69</v>
      </c>
      <c r="P7903" s="3" t="s">
        <v>75</v>
      </c>
      <c r="Q7903">
        <v>2016</v>
      </c>
      <c r="R7903" s="2">
        <v>42410</v>
      </c>
      <c r="S7903" s="2">
        <v>42417</v>
      </c>
      <c r="T7903" s="2">
        <v>42413</v>
      </c>
      <c r="U7903" s="2">
        <v>42473</v>
      </c>
      <c r="V7903" t="s">
        <v>71</v>
      </c>
      <c r="W7903" t="str">
        <f>"                F327"</f>
        <v xml:space="preserve">                F327</v>
      </c>
      <c r="X7903">
        <v>104</v>
      </c>
      <c r="Y7903">
        <v>0</v>
      </c>
      <c r="Z7903" s="3">
        <v>100</v>
      </c>
      <c r="AA7903">
        <v>173</v>
      </c>
      <c r="AB7903" s="5">
        <v>17300</v>
      </c>
      <c r="AC7903">
        <v>100</v>
      </c>
      <c r="AD7903">
        <v>173</v>
      </c>
      <c r="AE7903" s="1">
        <v>17300</v>
      </c>
      <c r="AF7903">
        <v>0</v>
      </c>
      <c r="AJ7903">
        <v>0</v>
      </c>
      <c r="AK7903">
        <v>0</v>
      </c>
      <c r="AL7903">
        <v>0</v>
      </c>
      <c r="AM7903">
        <v>104</v>
      </c>
      <c r="AN7903">
        <v>104</v>
      </c>
      <c r="AO7903">
        <v>104</v>
      </c>
      <c r="AP7903" s="2">
        <v>42746</v>
      </c>
      <c r="AQ7903" t="s">
        <v>72</v>
      </c>
      <c r="AR7903" t="s">
        <v>72</v>
      </c>
      <c r="AS7903">
        <v>2574</v>
      </c>
      <c r="AT7903" s="4">
        <v>42646</v>
      </c>
      <c r="AU7903" t="s">
        <v>73</v>
      </c>
      <c r="AV7903">
        <v>2574</v>
      </c>
      <c r="AW7903" s="4">
        <v>42646</v>
      </c>
      <c r="BD7903">
        <v>0</v>
      </c>
      <c r="BN7903" t="s">
        <v>74</v>
      </c>
    </row>
    <row r="7904" spans="1:66">
      <c r="A7904">
        <v>104492</v>
      </c>
      <c r="B7904" s="3" t="s">
        <v>670</v>
      </c>
      <c r="C7904" s="1">
        <v>43300101</v>
      </c>
      <c r="D7904" t="s">
        <v>67</v>
      </c>
      <c r="H7904" t="str">
        <f t="shared" si="779"/>
        <v>05354730631</v>
      </c>
      <c r="I7904" t="str">
        <f t="shared" si="779"/>
        <v>05354730631</v>
      </c>
      <c r="K7904" t="str">
        <f>""</f>
        <v/>
      </c>
      <c r="M7904" t="s">
        <v>68</v>
      </c>
      <c r="N7904" t="str">
        <f t="shared" si="777"/>
        <v>FOR</v>
      </c>
      <c r="O7904" t="s">
        <v>69</v>
      </c>
      <c r="P7904" s="3" t="s">
        <v>75</v>
      </c>
      <c r="Q7904">
        <v>2016</v>
      </c>
      <c r="R7904" s="2">
        <v>42429</v>
      </c>
      <c r="S7904" s="2">
        <v>42436</v>
      </c>
      <c r="T7904" s="2">
        <v>42430</v>
      </c>
      <c r="U7904" s="2">
        <v>42490</v>
      </c>
      <c r="V7904" t="s">
        <v>71</v>
      </c>
      <c r="W7904" t="str">
        <f>"                F510"</f>
        <v xml:space="preserve">                F510</v>
      </c>
      <c r="X7904" s="1">
        <v>1464</v>
      </c>
      <c r="Y7904">
        <v>0</v>
      </c>
      <c r="Z7904" s="5">
        <v>1200</v>
      </c>
      <c r="AA7904">
        <v>156</v>
      </c>
      <c r="AB7904" s="5">
        <v>187200</v>
      </c>
      <c r="AC7904" s="1">
        <v>1200</v>
      </c>
      <c r="AD7904">
        <v>156</v>
      </c>
      <c r="AE7904" s="1">
        <v>187200</v>
      </c>
      <c r="AF7904">
        <v>0</v>
      </c>
      <c r="AJ7904">
        <v>0</v>
      </c>
      <c r="AK7904">
        <v>0</v>
      </c>
      <c r="AL7904">
        <v>0</v>
      </c>
      <c r="AM7904" s="1">
        <v>1464</v>
      </c>
      <c r="AN7904" s="1">
        <v>1464</v>
      </c>
      <c r="AO7904" s="1">
        <v>1464</v>
      </c>
      <c r="AP7904" s="2">
        <v>42746</v>
      </c>
      <c r="AQ7904" t="s">
        <v>72</v>
      </c>
      <c r="AR7904" t="s">
        <v>72</v>
      </c>
      <c r="AS7904">
        <v>2574</v>
      </c>
      <c r="AT7904" s="4">
        <v>42646</v>
      </c>
      <c r="AU7904" t="s">
        <v>73</v>
      </c>
      <c r="AV7904">
        <v>2574</v>
      </c>
      <c r="AW7904" s="4">
        <v>42646</v>
      </c>
      <c r="BD7904">
        <v>0</v>
      </c>
      <c r="BN7904" t="s">
        <v>74</v>
      </c>
    </row>
    <row r="7905" spans="1:66">
      <c r="A7905">
        <v>104492</v>
      </c>
      <c r="B7905" s="3" t="s">
        <v>670</v>
      </c>
      <c r="C7905" s="1">
        <v>43300101</v>
      </c>
      <c r="D7905" t="s">
        <v>67</v>
      </c>
      <c r="H7905" t="str">
        <f t="shared" si="779"/>
        <v>05354730631</v>
      </c>
      <c r="I7905" t="str">
        <f t="shared" si="779"/>
        <v>05354730631</v>
      </c>
      <c r="K7905" t="str">
        <f>""</f>
        <v/>
      </c>
      <c r="M7905" t="s">
        <v>68</v>
      </c>
      <c r="N7905" t="str">
        <f t="shared" si="777"/>
        <v>FOR</v>
      </c>
      <c r="O7905" t="s">
        <v>69</v>
      </c>
      <c r="P7905" s="3" t="s">
        <v>75</v>
      </c>
      <c r="Q7905">
        <v>2016</v>
      </c>
      <c r="R7905" s="2">
        <v>42429</v>
      </c>
      <c r="S7905" s="2">
        <v>42438</v>
      </c>
      <c r="T7905" s="2">
        <v>42436</v>
      </c>
      <c r="U7905" s="2">
        <v>42496</v>
      </c>
      <c r="V7905" t="s">
        <v>71</v>
      </c>
      <c r="W7905" t="str">
        <f>"                F554"</f>
        <v xml:space="preserve">                F554</v>
      </c>
      <c r="X7905">
        <v>104</v>
      </c>
      <c r="Y7905">
        <v>0</v>
      </c>
      <c r="Z7905" s="3">
        <v>100</v>
      </c>
      <c r="AA7905">
        <v>150</v>
      </c>
      <c r="AB7905" s="5">
        <v>15000</v>
      </c>
      <c r="AC7905">
        <v>100</v>
      </c>
      <c r="AD7905">
        <v>150</v>
      </c>
      <c r="AE7905" s="1">
        <v>15000</v>
      </c>
      <c r="AF7905">
        <v>0</v>
      </c>
      <c r="AJ7905">
        <v>0</v>
      </c>
      <c r="AK7905">
        <v>0</v>
      </c>
      <c r="AL7905">
        <v>0</v>
      </c>
      <c r="AM7905">
        <v>104</v>
      </c>
      <c r="AN7905">
        <v>104</v>
      </c>
      <c r="AO7905">
        <v>104</v>
      </c>
      <c r="AP7905" s="2">
        <v>42746</v>
      </c>
      <c r="AQ7905" t="s">
        <v>72</v>
      </c>
      <c r="AR7905" t="s">
        <v>72</v>
      </c>
      <c r="AS7905">
        <v>2574</v>
      </c>
      <c r="AT7905" s="4">
        <v>42646</v>
      </c>
      <c r="AU7905" t="s">
        <v>73</v>
      </c>
      <c r="AV7905">
        <v>2574</v>
      </c>
      <c r="AW7905" s="4">
        <v>42646</v>
      </c>
      <c r="BD7905">
        <v>0</v>
      </c>
      <c r="BN7905" t="s">
        <v>74</v>
      </c>
    </row>
    <row r="7906" spans="1:66">
      <c r="A7906">
        <v>104492</v>
      </c>
      <c r="B7906" s="3" t="s">
        <v>670</v>
      </c>
      <c r="C7906" s="1">
        <v>43300101</v>
      </c>
      <c r="D7906" t="s">
        <v>67</v>
      </c>
      <c r="H7906" t="str">
        <f t="shared" si="779"/>
        <v>05354730631</v>
      </c>
      <c r="I7906" t="str">
        <f t="shared" si="779"/>
        <v>05354730631</v>
      </c>
      <c r="K7906" t="str">
        <f>""</f>
        <v/>
      </c>
      <c r="M7906" t="s">
        <v>68</v>
      </c>
      <c r="N7906" t="str">
        <f t="shared" si="777"/>
        <v>FOR</v>
      </c>
      <c r="O7906" t="s">
        <v>69</v>
      </c>
      <c r="P7906" s="3" t="s">
        <v>75</v>
      </c>
      <c r="Q7906">
        <v>2016</v>
      </c>
      <c r="R7906" s="2">
        <v>42454</v>
      </c>
      <c r="S7906" s="2">
        <v>42459</v>
      </c>
      <c r="T7906" s="2">
        <v>42458</v>
      </c>
      <c r="U7906" s="2">
        <v>42518</v>
      </c>
      <c r="V7906" t="s">
        <v>71</v>
      </c>
      <c r="W7906" t="str">
        <f>"                F876"</f>
        <v xml:space="preserve">                F876</v>
      </c>
      <c r="X7906">
        <v>104</v>
      </c>
      <c r="Y7906">
        <v>0</v>
      </c>
      <c r="Z7906" s="3">
        <v>100</v>
      </c>
      <c r="AA7906">
        <v>128</v>
      </c>
      <c r="AB7906" s="5">
        <v>12800</v>
      </c>
      <c r="AC7906">
        <v>100</v>
      </c>
      <c r="AD7906">
        <v>128</v>
      </c>
      <c r="AE7906" s="1">
        <v>12800</v>
      </c>
      <c r="AF7906">
        <v>0</v>
      </c>
      <c r="AJ7906">
        <v>0</v>
      </c>
      <c r="AK7906">
        <v>0</v>
      </c>
      <c r="AL7906">
        <v>0</v>
      </c>
      <c r="AM7906">
        <v>104</v>
      </c>
      <c r="AN7906">
        <v>104</v>
      </c>
      <c r="AO7906">
        <v>104</v>
      </c>
      <c r="AP7906" s="2">
        <v>42746</v>
      </c>
      <c r="AQ7906" t="s">
        <v>72</v>
      </c>
      <c r="AR7906" t="s">
        <v>72</v>
      </c>
      <c r="AS7906">
        <v>2574</v>
      </c>
      <c r="AT7906" s="4">
        <v>42646</v>
      </c>
      <c r="AU7906" t="s">
        <v>73</v>
      </c>
      <c r="AV7906">
        <v>2574</v>
      </c>
      <c r="AW7906" s="4">
        <v>42646</v>
      </c>
      <c r="BD7906">
        <v>0</v>
      </c>
      <c r="BN7906" t="s">
        <v>74</v>
      </c>
    </row>
    <row r="7907" spans="1:66">
      <c r="A7907">
        <v>104492</v>
      </c>
      <c r="B7907" s="3" t="s">
        <v>670</v>
      </c>
      <c r="C7907" s="1">
        <v>43300101</v>
      </c>
      <c r="D7907" t="s">
        <v>67</v>
      </c>
      <c r="H7907" t="str">
        <f t="shared" si="779"/>
        <v>05354730631</v>
      </c>
      <c r="I7907" t="str">
        <f t="shared" si="779"/>
        <v>05354730631</v>
      </c>
      <c r="K7907" t="str">
        <f>""</f>
        <v/>
      </c>
      <c r="M7907" t="s">
        <v>68</v>
      </c>
      <c r="N7907" t="str">
        <f t="shared" si="777"/>
        <v>FOR</v>
      </c>
      <c r="O7907" t="s">
        <v>69</v>
      </c>
      <c r="P7907" s="3" t="s">
        <v>75</v>
      </c>
      <c r="Q7907">
        <v>2016</v>
      </c>
      <c r="R7907" s="2">
        <v>42454</v>
      </c>
      <c r="S7907" s="2">
        <v>42459</v>
      </c>
      <c r="T7907" s="2">
        <v>42458</v>
      </c>
      <c r="U7907" s="2">
        <v>42518</v>
      </c>
      <c r="V7907" t="s">
        <v>71</v>
      </c>
      <c r="W7907" t="str">
        <f>"                F877"</f>
        <v xml:space="preserve">                F877</v>
      </c>
      <c r="X7907">
        <v>104</v>
      </c>
      <c r="Y7907">
        <v>0</v>
      </c>
      <c r="Z7907" s="3">
        <v>100</v>
      </c>
      <c r="AA7907">
        <v>128</v>
      </c>
      <c r="AB7907" s="5">
        <v>12800</v>
      </c>
      <c r="AC7907">
        <v>100</v>
      </c>
      <c r="AD7907">
        <v>128</v>
      </c>
      <c r="AE7907" s="1">
        <v>12800</v>
      </c>
      <c r="AF7907">
        <v>0</v>
      </c>
      <c r="AJ7907">
        <v>0</v>
      </c>
      <c r="AK7907">
        <v>0</v>
      </c>
      <c r="AL7907">
        <v>0</v>
      </c>
      <c r="AM7907">
        <v>104</v>
      </c>
      <c r="AN7907">
        <v>104</v>
      </c>
      <c r="AO7907">
        <v>104</v>
      </c>
      <c r="AP7907" s="2">
        <v>42746</v>
      </c>
      <c r="AQ7907" t="s">
        <v>72</v>
      </c>
      <c r="AR7907" t="s">
        <v>72</v>
      </c>
      <c r="AS7907">
        <v>2574</v>
      </c>
      <c r="AT7907" s="4">
        <v>42646</v>
      </c>
      <c r="AU7907" t="s">
        <v>73</v>
      </c>
      <c r="AV7907">
        <v>2574</v>
      </c>
      <c r="AW7907" s="4">
        <v>42646</v>
      </c>
      <c r="BD7907">
        <v>0</v>
      </c>
      <c r="BN7907" t="s">
        <v>74</v>
      </c>
    </row>
    <row r="7908" spans="1:66">
      <c r="A7908">
        <v>104492</v>
      </c>
      <c r="B7908" s="3" t="s">
        <v>670</v>
      </c>
      <c r="C7908" s="1">
        <v>43300101</v>
      </c>
      <c r="D7908" t="s">
        <v>67</v>
      </c>
      <c r="H7908" t="str">
        <f t="shared" ref="H7908:I7927" si="780">"05354730631"</f>
        <v>05354730631</v>
      </c>
      <c r="I7908" t="str">
        <f t="shared" si="780"/>
        <v>05354730631</v>
      </c>
      <c r="K7908" t="str">
        <f>""</f>
        <v/>
      </c>
      <c r="M7908" t="s">
        <v>68</v>
      </c>
      <c r="N7908" t="str">
        <f t="shared" si="777"/>
        <v>FOR</v>
      </c>
      <c r="O7908" t="s">
        <v>69</v>
      </c>
      <c r="P7908" s="3" t="s">
        <v>75</v>
      </c>
      <c r="Q7908">
        <v>2016</v>
      </c>
      <c r="R7908" s="2">
        <v>42454</v>
      </c>
      <c r="S7908" s="2">
        <v>42459</v>
      </c>
      <c r="T7908" s="2">
        <v>42458</v>
      </c>
      <c r="U7908" s="2">
        <v>42518</v>
      </c>
      <c r="V7908" t="s">
        <v>71</v>
      </c>
      <c r="W7908" t="str">
        <f>"                F878"</f>
        <v xml:space="preserve">                F878</v>
      </c>
      <c r="X7908">
        <v>104</v>
      </c>
      <c r="Y7908">
        <v>0</v>
      </c>
      <c r="Z7908" s="3">
        <v>100</v>
      </c>
      <c r="AA7908">
        <v>128</v>
      </c>
      <c r="AB7908" s="5">
        <v>12800</v>
      </c>
      <c r="AC7908">
        <v>100</v>
      </c>
      <c r="AD7908">
        <v>128</v>
      </c>
      <c r="AE7908" s="1">
        <v>12800</v>
      </c>
      <c r="AF7908">
        <v>0</v>
      </c>
      <c r="AJ7908">
        <v>0</v>
      </c>
      <c r="AK7908">
        <v>0</v>
      </c>
      <c r="AL7908">
        <v>0</v>
      </c>
      <c r="AM7908">
        <v>104</v>
      </c>
      <c r="AN7908">
        <v>104</v>
      </c>
      <c r="AO7908">
        <v>104</v>
      </c>
      <c r="AP7908" s="2">
        <v>42746</v>
      </c>
      <c r="AQ7908" t="s">
        <v>72</v>
      </c>
      <c r="AR7908" t="s">
        <v>72</v>
      </c>
      <c r="AS7908">
        <v>2574</v>
      </c>
      <c r="AT7908" s="4">
        <v>42646</v>
      </c>
      <c r="AU7908" t="s">
        <v>73</v>
      </c>
      <c r="AV7908">
        <v>2574</v>
      </c>
      <c r="AW7908" s="4">
        <v>42646</v>
      </c>
      <c r="BD7908">
        <v>0</v>
      </c>
      <c r="BN7908" t="s">
        <v>74</v>
      </c>
    </row>
    <row r="7909" spans="1:66">
      <c r="A7909">
        <v>104492</v>
      </c>
      <c r="B7909" s="3" t="s">
        <v>670</v>
      </c>
      <c r="C7909" s="1">
        <v>43300101</v>
      </c>
      <c r="D7909" t="s">
        <v>67</v>
      </c>
      <c r="H7909" t="str">
        <f t="shared" si="780"/>
        <v>05354730631</v>
      </c>
      <c r="I7909" t="str">
        <f t="shared" si="780"/>
        <v>05354730631</v>
      </c>
      <c r="K7909" t="str">
        <f>""</f>
        <v/>
      </c>
      <c r="M7909" t="s">
        <v>68</v>
      </c>
      <c r="N7909" t="str">
        <f t="shared" si="777"/>
        <v>FOR</v>
      </c>
      <c r="O7909" t="s">
        <v>69</v>
      </c>
      <c r="P7909" s="3" t="s">
        <v>75</v>
      </c>
      <c r="Q7909">
        <v>2016</v>
      </c>
      <c r="R7909" s="2">
        <v>42454</v>
      </c>
      <c r="S7909" s="2">
        <v>42458</v>
      </c>
      <c r="T7909" s="2">
        <v>42458</v>
      </c>
      <c r="U7909" s="2">
        <v>42518</v>
      </c>
      <c r="V7909" t="s">
        <v>71</v>
      </c>
      <c r="W7909" t="str">
        <f>"                F879"</f>
        <v xml:space="preserve">                F879</v>
      </c>
      <c r="X7909">
        <v>104</v>
      </c>
      <c r="Y7909">
        <v>0</v>
      </c>
      <c r="Z7909" s="3">
        <v>100</v>
      </c>
      <c r="AA7909">
        <v>128</v>
      </c>
      <c r="AB7909" s="5">
        <v>12800</v>
      </c>
      <c r="AC7909">
        <v>100</v>
      </c>
      <c r="AD7909">
        <v>128</v>
      </c>
      <c r="AE7909" s="1">
        <v>12800</v>
      </c>
      <c r="AF7909">
        <v>0</v>
      </c>
      <c r="AJ7909">
        <v>0</v>
      </c>
      <c r="AK7909">
        <v>0</v>
      </c>
      <c r="AL7909">
        <v>0</v>
      </c>
      <c r="AM7909">
        <v>104</v>
      </c>
      <c r="AN7909">
        <v>104</v>
      </c>
      <c r="AO7909">
        <v>104</v>
      </c>
      <c r="AP7909" s="2">
        <v>42746</v>
      </c>
      <c r="AQ7909" t="s">
        <v>72</v>
      </c>
      <c r="AR7909" t="s">
        <v>72</v>
      </c>
      <c r="AS7909">
        <v>2574</v>
      </c>
      <c r="AT7909" s="4">
        <v>42646</v>
      </c>
      <c r="AU7909" t="s">
        <v>73</v>
      </c>
      <c r="AV7909">
        <v>2574</v>
      </c>
      <c r="AW7909" s="4">
        <v>42646</v>
      </c>
      <c r="BD7909">
        <v>0</v>
      </c>
      <c r="BN7909" t="s">
        <v>74</v>
      </c>
    </row>
    <row r="7910" spans="1:66">
      <c r="A7910">
        <v>104492</v>
      </c>
      <c r="B7910" s="3" t="s">
        <v>670</v>
      </c>
      <c r="C7910" s="1">
        <v>43300101</v>
      </c>
      <c r="D7910" t="s">
        <v>67</v>
      </c>
      <c r="H7910" t="str">
        <f t="shared" si="780"/>
        <v>05354730631</v>
      </c>
      <c r="I7910" t="str">
        <f t="shared" si="780"/>
        <v>05354730631</v>
      </c>
      <c r="K7910" t="str">
        <f>""</f>
        <v/>
      </c>
      <c r="M7910" t="s">
        <v>68</v>
      </c>
      <c r="N7910" t="str">
        <f t="shared" si="777"/>
        <v>FOR</v>
      </c>
      <c r="O7910" t="s">
        <v>69</v>
      </c>
      <c r="P7910" s="3" t="s">
        <v>75</v>
      </c>
      <c r="Q7910">
        <v>2016</v>
      </c>
      <c r="R7910" s="2">
        <v>42459</v>
      </c>
      <c r="S7910" s="2">
        <v>42464</v>
      </c>
      <c r="T7910" s="2">
        <v>42460</v>
      </c>
      <c r="U7910" s="2">
        <v>42520</v>
      </c>
      <c r="V7910" t="s">
        <v>71</v>
      </c>
      <c r="W7910" t="str">
        <f>"                F946"</f>
        <v xml:space="preserve">                F946</v>
      </c>
      <c r="X7910">
        <v>982.1</v>
      </c>
      <c r="Y7910">
        <v>0</v>
      </c>
      <c r="Z7910" s="3">
        <v>805</v>
      </c>
      <c r="AA7910">
        <v>126</v>
      </c>
      <c r="AB7910" s="5">
        <v>101430</v>
      </c>
      <c r="AC7910">
        <v>805</v>
      </c>
      <c r="AD7910">
        <v>126</v>
      </c>
      <c r="AE7910" s="1">
        <v>101430</v>
      </c>
      <c r="AF7910">
        <v>0</v>
      </c>
      <c r="AJ7910">
        <v>0</v>
      </c>
      <c r="AK7910">
        <v>0</v>
      </c>
      <c r="AL7910">
        <v>0</v>
      </c>
      <c r="AM7910">
        <v>982.1</v>
      </c>
      <c r="AN7910">
        <v>982.1</v>
      </c>
      <c r="AO7910">
        <v>982.1</v>
      </c>
      <c r="AP7910" s="2">
        <v>42746</v>
      </c>
      <c r="AQ7910" t="s">
        <v>72</v>
      </c>
      <c r="AR7910" t="s">
        <v>72</v>
      </c>
      <c r="AS7910">
        <v>2574</v>
      </c>
      <c r="AT7910" s="4">
        <v>42646</v>
      </c>
      <c r="AU7910" t="s">
        <v>73</v>
      </c>
      <c r="AV7910">
        <v>2574</v>
      </c>
      <c r="AW7910" s="4">
        <v>42646</v>
      </c>
      <c r="BD7910">
        <v>0</v>
      </c>
      <c r="BN7910" t="s">
        <v>74</v>
      </c>
    </row>
    <row r="7911" spans="1:66">
      <c r="A7911">
        <v>104492</v>
      </c>
      <c r="B7911" s="3" t="s">
        <v>670</v>
      </c>
      <c r="C7911" s="1">
        <v>43300101</v>
      </c>
      <c r="D7911" t="s">
        <v>67</v>
      </c>
      <c r="H7911" t="str">
        <f t="shared" si="780"/>
        <v>05354730631</v>
      </c>
      <c r="I7911" t="str">
        <f t="shared" si="780"/>
        <v>05354730631</v>
      </c>
      <c r="K7911" t="str">
        <f>""</f>
        <v/>
      </c>
      <c r="M7911" t="s">
        <v>68</v>
      </c>
      <c r="N7911" t="str">
        <f t="shared" si="777"/>
        <v>FOR</v>
      </c>
      <c r="O7911" t="s">
        <v>69</v>
      </c>
      <c r="P7911" s="3" t="s">
        <v>75</v>
      </c>
      <c r="Q7911">
        <v>2016</v>
      </c>
      <c r="R7911" s="2">
        <v>42479</v>
      </c>
      <c r="S7911" s="2">
        <v>42481</v>
      </c>
      <c r="T7911" s="2">
        <v>42479</v>
      </c>
      <c r="U7911" s="2">
        <v>42539</v>
      </c>
      <c r="V7911" t="s">
        <v>71</v>
      </c>
      <c r="W7911" t="str">
        <f>"               F1180"</f>
        <v xml:space="preserve">               F1180</v>
      </c>
      <c r="X7911">
        <v>135.19999999999999</v>
      </c>
      <c r="Y7911">
        <v>0</v>
      </c>
      <c r="Z7911" s="3">
        <v>130</v>
      </c>
      <c r="AA7911">
        <v>107</v>
      </c>
      <c r="AB7911" s="5">
        <v>13910</v>
      </c>
      <c r="AC7911">
        <v>130</v>
      </c>
      <c r="AD7911">
        <v>107</v>
      </c>
      <c r="AE7911" s="1">
        <v>13910</v>
      </c>
      <c r="AF7911">
        <v>0</v>
      </c>
      <c r="AJ7911">
        <v>0</v>
      </c>
      <c r="AK7911">
        <v>0</v>
      </c>
      <c r="AL7911">
        <v>0</v>
      </c>
      <c r="AM7911">
        <v>135.19999999999999</v>
      </c>
      <c r="AN7911">
        <v>135.19999999999999</v>
      </c>
      <c r="AO7911">
        <v>135.19999999999999</v>
      </c>
      <c r="AP7911" s="2">
        <v>42746</v>
      </c>
      <c r="AQ7911" t="s">
        <v>72</v>
      </c>
      <c r="AR7911" t="s">
        <v>72</v>
      </c>
      <c r="AS7911">
        <v>2574</v>
      </c>
      <c r="AT7911" s="4">
        <v>42646</v>
      </c>
      <c r="AU7911" t="s">
        <v>73</v>
      </c>
      <c r="AV7911">
        <v>2574</v>
      </c>
      <c r="AW7911" s="4">
        <v>42646</v>
      </c>
      <c r="BD7911">
        <v>0</v>
      </c>
      <c r="BN7911" t="s">
        <v>74</v>
      </c>
    </row>
    <row r="7912" spans="1:66">
      <c r="A7912">
        <v>104492</v>
      </c>
      <c r="B7912" s="3" t="s">
        <v>670</v>
      </c>
      <c r="C7912" s="1">
        <v>43300101</v>
      </c>
      <c r="D7912" t="s">
        <v>67</v>
      </c>
      <c r="H7912" t="str">
        <f t="shared" si="780"/>
        <v>05354730631</v>
      </c>
      <c r="I7912" t="str">
        <f t="shared" si="780"/>
        <v>05354730631</v>
      </c>
      <c r="K7912" t="str">
        <f>""</f>
        <v/>
      </c>
      <c r="M7912" t="s">
        <v>68</v>
      </c>
      <c r="N7912" t="str">
        <f t="shared" si="777"/>
        <v>FOR</v>
      </c>
      <c r="O7912" t="s">
        <v>69</v>
      </c>
      <c r="P7912" s="3" t="s">
        <v>75</v>
      </c>
      <c r="Q7912">
        <v>2016</v>
      </c>
      <c r="R7912" s="2">
        <v>42487</v>
      </c>
      <c r="S7912" s="2">
        <v>42489</v>
      </c>
      <c r="T7912" s="2">
        <v>42488</v>
      </c>
      <c r="U7912" s="2">
        <v>42548</v>
      </c>
      <c r="V7912" t="s">
        <v>71</v>
      </c>
      <c r="W7912" t="str">
        <f>"               F1291"</f>
        <v xml:space="preserve">               F1291</v>
      </c>
      <c r="X7912">
        <v>104</v>
      </c>
      <c r="Y7912">
        <v>0</v>
      </c>
      <c r="Z7912" s="3">
        <v>100</v>
      </c>
      <c r="AA7912">
        <v>98</v>
      </c>
      <c r="AB7912" s="5">
        <v>9800</v>
      </c>
      <c r="AC7912">
        <v>100</v>
      </c>
      <c r="AD7912">
        <v>98</v>
      </c>
      <c r="AE7912" s="1">
        <v>9800</v>
      </c>
      <c r="AF7912">
        <v>0</v>
      </c>
      <c r="AJ7912">
        <v>0</v>
      </c>
      <c r="AK7912">
        <v>0</v>
      </c>
      <c r="AL7912">
        <v>0</v>
      </c>
      <c r="AM7912">
        <v>104</v>
      </c>
      <c r="AN7912">
        <v>104</v>
      </c>
      <c r="AO7912">
        <v>104</v>
      </c>
      <c r="AP7912" s="2">
        <v>42746</v>
      </c>
      <c r="AQ7912" t="s">
        <v>72</v>
      </c>
      <c r="AR7912" t="s">
        <v>72</v>
      </c>
      <c r="AS7912">
        <v>2574</v>
      </c>
      <c r="AT7912" s="4">
        <v>42646</v>
      </c>
      <c r="AU7912" t="s">
        <v>73</v>
      </c>
      <c r="AV7912">
        <v>2574</v>
      </c>
      <c r="AW7912" s="4">
        <v>42646</v>
      </c>
      <c r="BD7912">
        <v>0</v>
      </c>
      <c r="BN7912" t="s">
        <v>74</v>
      </c>
    </row>
    <row r="7913" spans="1:66">
      <c r="A7913">
        <v>104492</v>
      </c>
      <c r="B7913" s="3" t="s">
        <v>670</v>
      </c>
      <c r="C7913" s="1">
        <v>43300101</v>
      </c>
      <c r="D7913" t="s">
        <v>67</v>
      </c>
      <c r="H7913" t="str">
        <f t="shared" si="780"/>
        <v>05354730631</v>
      </c>
      <c r="I7913" t="str">
        <f t="shared" si="780"/>
        <v>05354730631</v>
      </c>
      <c r="K7913" t="str">
        <f>""</f>
        <v/>
      </c>
      <c r="M7913" t="s">
        <v>68</v>
      </c>
      <c r="N7913" t="str">
        <f t="shared" si="777"/>
        <v>FOR</v>
      </c>
      <c r="O7913" t="s">
        <v>69</v>
      </c>
      <c r="P7913" s="3" t="s">
        <v>75</v>
      </c>
      <c r="Q7913">
        <v>2016</v>
      </c>
      <c r="R7913" s="2">
        <v>42487</v>
      </c>
      <c r="S7913" s="2">
        <v>42489</v>
      </c>
      <c r="T7913" s="2">
        <v>42488</v>
      </c>
      <c r="U7913" s="2">
        <v>42548</v>
      </c>
      <c r="V7913" t="s">
        <v>71</v>
      </c>
      <c r="W7913" t="str">
        <f>"               F1292"</f>
        <v xml:space="preserve">               F1292</v>
      </c>
      <c r="X7913">
        <v>104</v>
      </c>
      <c r="Y7913">
        <v>0</v>
      </c>
      <c r="Z7913" s="3">
        <v>100</v>
      </c>
      <c r="AA7913">
        <v>98</v>
      </c>
      <c r="AB7913" s="5">
        <v>9800</v>
      </c>
      <c r="AC7913">
        <v>100</v>
      </c>
      <c r="AD7913">
        <v>98</v>
      </c>
      <c r="AE7913" s="1">
        <v>9800</v>
      </c>
      <c r="AF7913">
        <v>0</v>
      </c>
      <c r="AJ7913">
        <v>0</v>
      </c>
      <c r="AK7913">
        <v>0</v>
      </c>
      <c r="AL7913">
        <v>0</v>
      </c>
      <c r="AM7913">
        <v>104</v>
      </c>
      <c r="AN7913">
        <v>104</v>
      </c>
      <c r="AO7913">
        <v>104</v>
      </c>
      <c r="AP7913" s="2">
        <v>42746</v>
      </c>
      <c r="AQ7913" t="s">
        <v>72</v>
      </c>
      <c r="AR7913" t="s">
        <v>72</v>
      </c>
      <c r="AS7913">
        <v>2574</v>
      </c>
      <c r="AT7913" s="4">
        <v>42646</v>
      </c>
      <c r="AU7913" t="s">
        <v>73</v>
      </c>
      <c r="AV7913">
        <v>2574</v>
      </c>
      <c r="AW7913" s="4">
        <v>42646</v>
      </c>
      <c r="BD7913">
        <v>0</v>
      </c>
      <c r="BN7913" t="s">
        <v>74</v>
      </c>
    </row>
    <row r="7914" spans="1:66">
      <c r="A7914">
        <v>104492</v>
      </c>
      <c r="B7914" s="3" t="s">
        <v>670</v>
      </c>
      <c r="C7914" s="1">
        <v>43300101</v>
      </c>
      <c r="D7914" t="s">
        <v>67</v>
      </c>
      <c r="H7914" t="str">
        <f t="shared" si="780"/>
        <v>05354730631</v>
      </c>
      <c r="I7914" t="str">
        <f t="shared" si="780"/>
        <v>05354730631</v>
      </c>
      <c r="K7914" t="str">
        <f>""</f>
        <v/>
      </c>
      <c r="M7914" t="s">
        <v>68</v>
      </c>
      <c r="N7914" t="str">
        <f t="shared" si="777"/>
        <v>FOR</v>
      </c>
      <c r="O7914" t="s">
        <v>69</v>
      </c>
      <c r="P7914" s="3" t="s">
        <v>75</v>
      </c>
      <c r="Q7914">
        <v>2016</v>
      </c>
      <c r="R7914" s="2">
        <v>42487</v>
      </c>
      <c r="S7914" s="2">
        <v>42489</v>
      </c>
      <c r="T7914" s="2">
        <v>42488</v>
      </c>
      <c r="U7914" s="2">
        <v>42548</v>
      </c>
      <c r="V7914" t="s">
        <v>71</v>
      </c>
      <c r="W7914" t="str">
        <f>"               F1293"</f>
        <v xml:space="preserve">               F1293</v>
      </c>
      <c r="X7914">
        <v>135.19999999999999</v>
      </c>
      <c r="Y7914">
        <v>0</v>
      </c>
      <c r="Z7914" s="3">
        <v>130</v>
      </c>
      <c r="AA7914">
        <v>98</v>
      </c>
      <c r="AB7914" s="5">
        <v>12740</v>
      </c>
      <c r="AC7914">
        <v>130</v>
      </c>
      <c r="AD7914">
        <v>98</v>
      </c>
      <c r="AE7914" s="1">
        <v>12740</v>
      </c>
      <c r="AF7914">
        <v>0</v>
      </c>
      <c r="AJ7914">
        <v>0</v>
      </c>
      <c r="AK7914">
        <v>0</v>
      </c>
      <c r="AL7914">
        <v>0</v>
      </c>
      <c r="AM7914">
        <v>135.19999999999999</v>
      </c>
      <c r="AN7914">
        <v>135.19999999999999</v>
      </c>
      <c r="AO7914">
        <v>135.19999999999999</v>
      </c>
      <c r="AP7914" s="2">
        <v>42746</v>
      </c>
      <c r="AQ7914" t="s">
        <v>72</v>
      </c>
      <c r="AR7914" t="s">
        <v>72</v>
      </c>
      <c r="AS7914">
        <v>2574</v>
      </c>
      <c r="AT7914" s="4">
        <v>42646</v>
      </c>
      <c r="AU7914" t="s">
        <v>73</v>
      </c>
      <c r="AV7914">
        <v>2574</v>
      </c>
      <c r="AW7914" s="4">
        <v>42646</v>
      </c>
      <c r="BD7914">
        <v>0</v>
      </c>
      <c r="BN7914" t="s">
        <v>74</v>
      </c>
    </row>
    <row r="7915" spans="1:66">
      <c r="A7915">
        <v>104492</v>
      </c>
      <c r="B7915" s="3" t="s">
        <v>670</v>
      </c>
      <c r="C7915" s="1">
        <v>43300101</v>
      </c>
      <c r="D7915" t="s">
        <v>67</v>
      </c>
      <c r="H7915" t="str">
        <f t="shared" si="780"/>
        <v>05354730631</v>
      </c>
      <c r="I7915" t="str">
        <f t="shared" si="780"/>
        <v>05354730631</v>
      </c>
      <c r="K7915" t="str">
        <f>""</f>
        <v/>
      </c>
      <c r="M7915" t="s">
        <v>68</v>
      </c>
      <c r="N7915" t="str">
        <f t="shared" si="777"/>
        <v>FOR</v>
      </c>
      <c r="O7915" t="s">
        <v>69</v>
      </c>
      <c r="P7915" s="3" t="s">
        <v>75</v>
      </c>
      <c r="Q7915">
        <v>2016</v>
      </c>
      <c r="R7915" s="2">
        <v>42507</v>
      </c>
      <c r="S7915" s="2">
        <v>42509</v>
      </c>
      <c r="T7915" s="2">
        <v>42508</v>
      </c>
      <c r="U7915" s="2">
        <v>42568</v>
      </c>
      <c r="V7915" t="s">
        <v>71</v>
      </c>
      <c r="W7915" t="str">
        <f>"               F1501"</f>
        <v xml:space="preserve">               F1501</v>
      </c>
      <c r="X7915" s="1">
        <v>2177.6999999999998</v>
      </c>
      <c r="Y7915">
        <v>0</v>
      </c>
      <c r="Z7915" s="5">
        <v>1785</v>
      </c>
      <c r="AA7915">
        <v>78</v>
      </c>
      <c r="AB7915" s="5">
        <v>139230</v>
      </c>
      <c r="AC7915" s="1">
        <v>1785</v>
      </c>
      <c r="AD7915">
        <v>78</v>
      </c>
      <c r="AE7915" s="1">
        <v>139230</v>
      </c>
      <c r="AF7915">
        <v>0</v>
      </c>
      <c r="AJ7915">
        <v>0</v>
      </c>
      <c r="AK7915">
        <v>0</v>
      </c>
      <c r="AL7915">
        <v>0</v>
      </c>
      <c r="AM7915" s="1">
        <v>2177.6999999999998</v>
      </c>
      <c r="AN7915" s="1">
        <v>2177.6999999999998</v>
      </c>
      <c r="AO7915" s="1">
        <v>2177.6999999999998</v>
      </c>
      <c r="AP7915" s="2">
        <v>42746</v>
      </c>
      <c r="AQ7915" t="s">
        <v>72</v>
      </c>
      <c r="AR7915" t="s">
        <v>72</v>
      </c>
      <c r="AS7915">
        <v>2574</v>
      </c>
      <c r="AT7915" s="4">
        <v>42646</v>
      </c>
      <c r="AU7915" t="s">
        <v>73</v>
      </c>
      <c r="AV7915">
        <v>2574</v>
      </c>
      <c r="AW7915" s="4">
        <v>42646</v>
      </c>
      <c r="BD7915">
        <v>0</v>
      </c>
      <c r="BN7915" t="s">
        <v>74</v>
      </c>
    </row>
    <row r="7916" spans="1:66">
      <c r="A7916">
        <v>104492</v>
      </c>
      <c r="B7916" s="3" t="s">
        <v>670</v>
      </c>
      <c r="C7916" s="1">
        <v>43300101</v>
      </c>
      <c r="D7916" t="s">
        <v>67</v>
      </c>
      <c r="H7916" t="str">
        <f t="shared" si="780"/>
        <v>05354730631</v>
      </c>
      <c r="I7916" t="str">
        <f t="shared" si="780"/>
        <v>05354730631</v>
      </c>
      <c r="K7916" t="str">
        <f>""</f>
        <v/>
      </c>
      <c r="M7916" t="s">
        <v>68</v>
      </c>
      <c r="N7916" t="str">
        <f t="shared" si="777"/>
        <v>FOR</v>
      </c>
      <c r="O7916" t="s">
        <v>69</v>
      </c>
      <c r="P7916" s="3" t="s">
        <v>75</v>
      </c>
      <c r="Q7916">
        <v>2016</v>
      </c>
      <c r="R7916" s="2">
        <v>42507</v>
      </c>
      <c r="S7916" s="2">
        <v>42509</v>
      </c>
      <c r="T7916" s="2">
        <v>42508</v>
      </c>
      <c r="U7916" s="2">
        <v>42568</v>
      </c>
      <c r="V7916" t="s">
        <v>71</v>
      </c>
      <c r="W7916" t="str">
        <f>"               F1508"</f>
        <v xml:space="preserve">               F1508</v>
      </c>
      <c r="X7916">
        <v>104</v>
      </c>
      <c r="Y7916">
        <v>0</v>
      </c>
      <c r="Z7916" s="3">
        <v>100</v>
      </c>
      <c r="AA7916">
        <v>78</v>
      </c>
      <c r="AB7916" s="5">
        <v>7800</v>
      </c>
      <c r="AC7916">
        <v>100</v>
      </c>
      <c r="AD7916">
        <v>78</v>
      </c>
      <c r="AE7916" s="1">
        <v>7800</v>
      </c>
      <c r="AF7916">
        <v>0</v>
      </c>
      <c r="AJ7916">
        <v>0</v>
      </c>
      <c r="AK7916">
        <v>0</v>
      </c>
      <c r="AL7916">
        <v>0</v>
      </c>
      <c r="AM7916">
        <v>104</v>
      </c>
      <c r="AN7916">
        <v>104</v>
      </c>
      <c r="AO7916">
        <v>104</v>
      </c>
      <c r="AP7916" s="2">
        <v>42746</v>
      </c>
      <c r="AQ7916" t="s">
        <v>72</v>
      </c>
      <c r="AR7916" t="s">
        <v>72</v>
      </c>
      <c r="AS7916">
        <v>2574</v>
      </c>
      <c r="AT7916" s="4">
        <v>42646</v>
      </c>
      <c r="AU7916" t="s">
        <v>73</v>
      </c>
      <c r="AV7916">
        <v>2574</v>
      </c>
      <c r="AW7916" s="4">
        <v>42646</v>
      </c>
      <c r="BD7916">
        <v>0</v>
      </c>
      <c r="BN7916" t="s">
        <v>74</v>
      </c>
    </row>
    <row r="7917" spans="1:66">
      <c r="A7917">
        <v>104492</v>
      </c>
      <c r="B7917" s="3" t="s">
        <v>670</v>
      </c>
      <c r="C7917" s="1">
        <v>43300101</v>
      </c>
      <c r="D7917" t="s">
        <v>67</v>
      </c>
      <c r="H7917" t="str">
        <f t="shared" si="780"/>
        <v>05354730631</v>
      </c>
      <c r="I7917" t="str">
        <f t="shared" si="780"/>
        <v>05354730631</v>
      </c>
      <c r="K7917" t="str">
        <f>""</f>
        <v/>
      </c>
      <c r="M7917" t="s">
        <v>68</v>
      </c>
      <c r="N7917" t="str">
        <f t="shared" si="777"/>
        <v>FOR</v>
      </c>
      <c r="O7917" t="s">
        <v>69</v>
      </c>
      <c r="P7917" s="3" t="s">
        <v>75</v>
      </c>
      <c r="Q7917">
        <v>2016</v>
      </c>
      <c r="R7917" s="2">
        <v>42507</v>
      </c>
      <c r="S7917" s="2">
        <v>42509</v>
      </c>
      <c r="T7917" s="2">
        <v>42508</v>
      </c>
      <c r="U7917" s="2">
        <v>42568</v>
      </c>
      <c r="V7917" t="s">
        <v>71</v>
      </c>
      <c r="W7917" t="str">
        <f>"               F1509"</f>
        <v xml:space="preserve">               F1509</v>
      </c>
      <c r="X7917">
        <v>104</v>
      </c>
      <c r="Y7917">
        <v>0</v>
      </c>
      <c r="Z7917" s="3">
        <v>100</v>
      </c>
      <c r="AA7917">
        <v>78</v>
      </c>
      <c r="AB7917" s="5">
        <v>7800</v>
      </c>
      <c r="AC7917">
        <v>100</v>
      </c>
      <c r="AD7917">
        <v>78</v>
      </c>
      <c r="AE7917" s="1">
        <v>7800</v>
      </c>
      <c r="AF7917">
        <v>0</v>
      </c>
      <c r="AJ7917">
        <v>0</v>
      </c>
      <c r="AK7917">
        <v>0</v>
      </c>
      <c r="AL7917">
        <v>0</v>
      </c>
      <c r="AM7917">
        <v>104</v>
      </c>
      <c r="AN7917">
        <v>104</v>
      </c>
      <c r="AO7917">
        <v>104</v>
      </c>
      <c r="AP7917" s="2">
        <v>42746</v>
      </c>
      <c r="AQ7917" t="s">
        <v>72</v>
      </c>
      <c r="AR7917" t="s">
        <v>72</v>
      </c>
      <c r="AS7917">
        <v>2574</v>
      </c>
      <c r="AT7917" s="4">
        <v>42646</v>
      </c>
      <c r="AU7917" t="s">
        <v>73</v>
      </c>
      <c r="AV7917">
        <v>2574</v>
      </c>
      <c r="AW7917" s="4">
        <v>42646</v>
      </c>
      <c r="BD7917">
        <v>0</v>
      </c>
      <c r="BN7917" t="s">
        <v>74</v>
      </c>
    </row>
    <row r="7918" spans="1:66">
      <c r="A7918">
        <v>104492</v>
      </c>
      <c r="B7918" s="3" t="s">
        <v>670</v>
      </c>
      <c r="C7918" s="1">
        <v>43300101</v>
      </c>
      <c r="D7918" t="s">
        <v>67</v>
      </c>
      <c r="H7918" t="str">
        <f t="shared" si="780"/>
        <v>05354730631</v>
      </c>
      <c r="I7918" t="str">
        <f t="shared" si="780"/>
        <v>05354730631</v>
      </c>
      <c r="K7918" t="str">
        <f>""</f>
        <v/>
      </c>
      <c r="M7918" t="s">
        <v>68</v>
      </c>
      <c r="N7918" t="str">
        <f t="shared" si="777"/>
        <v>FOR</v>
      </c>
      <c r="O7918" t="s">
        <v>69</v>
      </c>
      <c r="P7918" s="3" t="s">
        <v>75</v>
      </c>
      <c r="Q7918">
        <v>2016</v>
      </c>
      <c r="R7918" s="2">
        <v>42507</v>
      </c>
      <c r="S7918" s="2">
        <v>42509</v>
      </c>
      <c r="T7918" s="2">
        <v>42508</v>
      </c>
      <c r="U7918" s="2">
        <v>42568</v>
      </c>
      <c r="V7918" t="s">
        <v>71</v>
      </c>
      <c r="W7918" t="str">
        <f>"               F1510"</f>
        <v xml:space="preserve">               F1510</v>
      </c>
      <c r="X7918">
        <v>104</v>
      </c>
      <c r="Y7918">
        <v>0</v>
      </c>
      <c r="Z7918" s="3">
        <v>100</v>
      </c>
      <c r="AA7918">
        <v>78</v>
      </c>
      <c r="AB7918" s="5">
        <v>7800</v>
      </c>
      <c r="AC7918">
        <v>100</v>
      </c>
      <c r="AD7918">
        <v>78</v>
      </c>
      <c r="AE7918" s="1">
        <v>7800</v>
      </c>
      <c r="AF7918">
        <v>0</v>
      </c>
      <c r="AJ7918">
        <v>0</v>
      </c>
      <c r="AK7918">
        <v>0</v>
      </c>
      <c r="AL7918">
        <v>0</v>
      </c>
      <c r="AM7918">
        <v>104</v>
      </c>
      <c r="AN7918">
        <v>104</v>
      </c>
      <c r="AO7918">
        <v>104</v>
      </c>
      <c r="AP7918" s="2">
        <v>42746</v>
      </c>
      <c r="AQ7918" t="s">
        <v>72</v>
      </c>
      <c r="AR7918" t="s">
        <v>72</v>
      </c>
      <c r="AS7918">
        <v>2574</v>
      </c>
      <c r="AT7918" s="4">
        <v>42646</v>
      </c>
      <c r="AU7918" t="s">
        <v>73</v>
      </c>
      <c r="AV7918">
        <v>2574</v>
      </c>
      <c r="AW7918" s="4">
        <v>42646</v>
      </c>
      <c r="BD7918">
        <v>0</v>
      </c>
      <c r="BN7918" t="s">
        <v>74</v>
      </c>
    </row>
    <row r="7919" spans="1:66">
      <c r="A7919">
        <v>104492</v>
      </c>
      <c r="B7919" s="3" t="s">
        <v>670</v>
      </c>
      <c r="C7919" s="1">
        <v>43300101</v>
      </c>
      <c r="D7919" t="s">
        <v>67</v>
      </c>
      <c r="H7919" t="str">
        <f t="shared" si="780"/>
        <v>05354730631</v>
      </c>
      <c r="I7919" t="str">
        <f t="shared" si="780"/>
        <v>05354730631</v>
      </c>
      <c r="K7919" t="str">
        <f>""</f>
        <v/>
      </c>
      <c r="M7919" t="s">
        <v>68</v>
      </c>
      <c r="N7919" t="str">
        <f t="shared" si="777"/>
        <v>FOR</v>
      </c>
      <c r="O7919" t="s">
        <v>69</v>
      </c>
      <c r="P7919" s="3" t="s">
        <v>75</v>
      </c>
      <c r="Q7919">
        <v>2016</v>
      </c>
      <c r="R7919" s="2">
        <v>42521</v>
      </c>
      <c r="S7919" s="2">
        <v>42530</v>
      </c>
      <c r="T7919" s="2">
        <v>42529</v>
      </c>
      <c r="U7919" s="2">
        <v>42589</v>
      </c>
      <c r="V7919" t="s">
        <v>71</v>
      </c>
      <c r="W7919" t="str">
        <f>"               F1746"</f>
        <v xml:space="preserve">               F1746</v>
      </c>
      <c r="X7919">
        <v>420.9</v>
      </c>
      <c r="Y7919">
        <v>0</v>
      </c>
      <c r="Z7919" s="3">
        <v>345</v>
      </c>
      <c r="AA7919">
        <v>57</v>
      </c>
      <c r="AB7919" s="5">
        <v>19665</v>
      </c>
      <c r="AC7919">
        <v>345</v>
      </c>
      <c r="AD7919">
        <v>57</v>
      </c>
      <c r="AE7919" s="1">
        <v>19665</v>
      </c>
      <c r="AF7919">
        <v>0</v>
      </c>
      <c r="AJ7919">
        <v>0</v>
      </c>
      <c r="AK7919">
        <v>0</v>
      </c>
      <c r="AL7919">
        <v>0</v>
      </c>
      <c r="AM7919">
        <v>420.9</v>
      </c>
      <c r="AN7919">
        <v>420.9</v>
      </c>
      <c r="AO7919">
        <v>420.9</v>
      </c>
      <c r="AP7919" s="2">
        <v>42746</v>
      </c>
      <c r="AQ7919" t="s">
        <v>72</v>
      </c>
      <c r="AR7919" t="s">
        <v>72</v>
      </c>
      <c r="AS7919">
        <v>2574</v>
      </c>
      <c r="AT7919" s="4">
        <v>42646</v>
      </c>
      <c r="AU7919" t="s">
        <v>73</v>
      </c>
      <c r="AV7919">
        <v>2574</v>
      </c>
      <c r="AW7919" s="4">
        <v>42646</v>
      </c>
      <c r="BD7919">
        <v>0</v>
      </c>
      <c r="BN7919" t="s">
        <v>74</v>
      </c>
    </row>
    <row r="7920" spans="1:66">
      <c r="A7920">
        <v>104492</v>
      </c>
      <c r="B7920" s="3" t="s">
        <v>670</v>
      </c>
      <c r="C7920" s="1">
        <v>43300101</v>
      </c>
      <c r="D7920" t="s">
        <v>67</v>
      </c>
      <c r="H7920" t="str">
        <f t="shared" si="780"/>
        <v>05354730631</v>
      </c>
      <c r="I7920" t="str">
        <f t="shared" si="780"/>
        <v>05354730631</v>
      </c>
      <c r="K7920" t="str">
        <f>""</f>
        <v/>
      </c>
      <c r="M7920" t="s">
        <v>68</v>
      </c>
      <c r="N7920" t="str">
        <f t="shared" si="777"/>
        <v>FOR</v>
      </c>
      <c r="O7920" t="s">
        <v>69</v>
      </c>
      <c r="P7920" s="3" t="s">
        <v>75</v>
      </c>
      <c r="Q7920">
        <v>2016</v>
      </c>
      <c r="R7920" s="2">
        <v>42521</v>
      </c>
      <c r="S7920" s="2">
        <v>42530</v>
      </c>
      <c r="T7920" s="2">
        <v>42529</v>
      </c>
      <c r="U7920" s="2">
        <v>42589</v>
      </c>
      <c r="V7920" t="s">
        <v>71</v>
      </c>
      <c r="W7920" t="str">
        <f>"               F1747"</f>
        <v xml:space="preserve">               F1747</v>
      </c>
      <c r="X7920" s="1">
        <v>1756.8</v>
      </c>
      <c r="Y7920">
        <v>0</v>
      </c>
      <c r="Z7920" s="5">
        <v>1440</v>
      </c>
      <c r="AA7920">
        <v>57</v>
      </c>
      <c r="AB7920" s="5">
        <v>82080</v>
      </c>
      <c r="AC7920" s="1">
        <v>1440</v>
      </c>
      <c r="AD7920">
        <v>57</v>
      </c>
      <c r="AE7920" s="1">
        <v>82080</v>
      </c>
      <c r="AF7920">
        <v>0</v>
      </c>
      <c r="AJ7920">
        <v>0</v>
      </c>
      <c r="AK7920">
        <v>0</v>
      </c>
      <c r="AL7920">
        <v>0</v>
      </c>
      <c r="AM7920" s="1">
        <v>1756.8</v>
      </c>
      <c r="AN7920" s="1">
        <v>1756.8</v>
      </c>
      <c r="AO7920" s="1">
        <v>1756.8</v>
      </c>
      <c r="AP7920" s="2">
        <v>42746</v>
      </c>
      <c r="AQ7920" t="s">
        <v>72</v>
      </c>
      <c r="AR7920" t="s">
        <v>72</v>
      </c>
      <c r="AS7920">
        <v>2574</v>
      </c>
      <c r="AT7920" s="4">
        <v>42646</v>
      </c>
      <c r="AU7920" t="s">
        <v>73</v>
      </c>
      <c r="AV7920">
        <v>2574</v>
      </c>
      <c r="AW7920" s="4">
        <v>42646</v>
      </c>
      <c r="BD7920">
        <v>0</v>
      </c>
      <c r="BN7920" t="s">
        <v>74</v>
      </c>
    </row>
    <row r="7921" spans="1:66">
      <c r="A7921">
        <v>104492</v>
      </c>
      <c r="B7921" s="3" t="s">
        <v>670</v>
      </c>
      <c r="C7921" s="1">
        <v>43300101</v>
      </c>
      <c r="D7921" t="s">
        <v>67</v>
      </c>
      <c r="H7921" t="str">
        <f t="shared" si="780"/>
        <v>05354730631</v>
      </c>
      <c r="I7921" t="str">
        <f t="shared" si="780"/>
        <v>05354730631</v>
      </c>
      <c r="K7921" t="str">
        <f>""</f>
        <v/>
      </c>
      <c r="M7921" t="s">
        <v>68</v>
      </c>
      <c r="N7921" t="str">
        <f t="shared" si="777"/>
        <v>FOR</v>
      </c>
      <c r="O7921" t="s">
        <v>69</v>
      </c>
      <c r="P7921" s="3" t="s">
        <v>75</v>
      </c>
      <c r="Q7921">
        <v>2016</v>
      </c>
      <c r="R7921" s="2">
        <v>42521</v>
      </c>
      <c r="S7921" s="2">
        <v>42530</v>
      </c>
      <c r="T7921" s="2">
        <v>42529</v>
      </c>
      <c r="U7921" s="2">
        <v>42589</v>
      </c>
      <c r="V7921" t="s">
        <v>71</v>
      </c>
      <c r="W7921" t="str">
        <f>"               F1751"</f>
        <v xml:space="preserve">               F1751</v>
      </c>
      <c r="X7921">
        <v>104</v>
      </c>
      <c r="Y7921">
        <v>0</v>
      </c>
      <c r="Z7921" s="3">
        <v>100</v>
      </c>
      <c r="AA7921">
        <v>57</v>
      </c>
      <c r="AB7921" s="5">
        <v>5700</v>
      </c>
      <c r="AC7921">
        <v>100</v>
      </c>
      <c r="AD7921">
        <v>57</v>
      </c>
      <c r="AE7921" s="1">
        <v>5700</v>
      </c>
      <c r="AF7921">
        <v>0</v>
      </c>
      <c r="AJ7921">
        <v>0</v>
      </c>
      <c r="AK7921">
        <v>0</v>
      </c>
      <c r="AL7921">
        <v>0</v>
      </c>
      <c r="AM7921">
        <v>104</v>
      </c>
      <c r="AN7921">
        <v>104</v>
      </c>
      <c r="AO7921">
        <v>104</v>
      </c>
      <c r="AP7921" s="2">
        <v>42746</v>
      </c>
      <c r="AQ7921" t="s">
        <v>72</v>
      </c>
      <c r="AR7921" t="s">
        <v>72</v>
      </c>
      <c r="AS7921">
        <v>2574</v>
      </c>
      <c r="AT7921" s="4">
        <v>42646</v>
      </c>
      <c r="AU7921" t="s">
        <v>73</v>
      </c>
      <c r="AV7921">
        <v>2574</v>
      </c>
      <c r="AW7921" s="4">
        <v>42646</v>
      </c>
      <c r="BD7921">
        <v>0</v>
      </c>
      <c r="BN7921" t="s">
        <v>74</v>
      </c>
    </row>
    <row r="7922" spans="1:66">
      <c r="A7922">
        <v>104492</v>
      </c>
      <c r="B7922" s="3" t="s">
        <v>670</v>
      </c>
      <c r="C7922" s="1">
        <v>43300101</v>
      </c>
      <c r="D7922" t="s">
        <v>67</v>
      </c>
      <c r="H7922" t="str">
        <f t="shared" si="780"/>
        <v>05354730631</v>
      </c>
      <c r="I7922" t="str">
        <f t="shared" si="780"/>
        <v>05354730631</v>
      </c>
      <c r="K7922" t="str">
        <f>""</f>
        <v/>
      </c>
      <c r="M7922" t="s">
        <v>68</v>
      </c>
      <c r="N7922" t="str">
        <f t="shared" si="777"/>
        <v>FOR</v>
      </c>
      <c r="O7922" t="s">
        <v>69</v>
      </c>
      <c r="P7922" s="3" t="s">
        <v>75</v>
      </c>
      <c r="Q7922">
        <v>2016</v>
      </c>
      <c r="R7922" s="2">
        <v>42521</v>
      </c>
      <c r="S7922" s="2">
        <v>42530</v>
      </c>
      <c r="T7922" s="2">
        <v>42529</v>
      </c>
      <c r="U7922" s="2">
        <v>42589</v>
      </c>
      <c r="V7922" t="s">
        <v>71</v>
      </c>
      <c r="W7922" t="str">
        <f>"               F1752"</f>
        <v xml:space="preserve">               F1752</v>
      </c>
      <c r="X7922">
        <v>104</v>
      </c>
      <c r="Y7922">
        <v>0</v>
      </c>
      <c r="Z7922" s="3">
        <v>100</v>
      </c>
      <c r="AA7922">
        <v>57</v>
      </c>
      <c r="AB7922" s="5">
        <v>5700</v>
      </c>
      <c r="AC7922">
        <v>100</v>
      </c>
      <c r="AD7922">
        <v>57</v>
      </c>
      <c r="AE7922" s="1">
        <v>5700</v>
      </c>
      <c r="AF7922">
        <v>0</v>
      </c>
      <c r="AJ7922">
        <v>0</v>
      </c>
      <c r="AK7922">
        <v>0</v>
      </c>
      <c r="AL7922">
        <v>0</v>
      </c>
      <c r="AM7922">
        <v>104</v>
      </c>
      <c r="AN7922">
        <v>104</v>
      </c>
      <c r="AO7922">
        <v>104</v>
      </c>
      <c r="AP7922" s="2">
        <v>42746</v>
      </c>
      <c r="AQ7922" t="s">
        <v>72</v>
      </c>
      <c r="AR7922" t="s">
        <v>72</v>
      </c>
      <c r="AS7922">
        <v>2574</v>
      </c>
      <c r="AT7922" s="4">
        <v>42646</v>
      </c>
      <c r="AU7922" t="s">
        <v>73</v>
      </c>
      <c r="AV7922">
        <v>2574</v>
      </c>
      <c r="AW7922" s="4">
        <v>42646</v>
      </c>
      <c r="BD7922">
        <v>0</v>
      </c>
      <c r="BN7922" t="s">
        <v>74</v>
      </c>
    </row>
    <row r="7923" spans="1:66">
      <c r="A7923">
        <v>104492</v>
      </c>
      <c r="B7923" s="3" t="s">
        <v>670</v>
      </c>
      <c r="C7923" s="1">
        <v>43300101</v>
      </c>
      <c r="D7923" t="s">
        <v>67</v>
      </c>
      <c r="H7923" t="str">
        <f t="shared" si="780"/>
        <v>05354730631</v>
      </c>
      <c r="I7923" t="str">
        <f t="shared" si="780"/>
        <v>05354730631</v>
      </c>
      <c r="K7923" t="str">
        <f>""</f>
        <v/>
      </c>
      <c r="M7923" t="s">
        <v>68</v>
      </c>
      <c r="N7923" t="str">
        <f t="shared" si="777"/>
        <v>FOR</v>
      </c>
      <c r="O7923" t="s">
        <v>69</v>
      </c>
      <c r="P7923" s="3" t="s">
        <v>75</v>
      </c>
      <c r="Q7923">
        <v>2016</v>
      </c>
      <c r="R7923" s="2">
        <v>42536</v>
      </c>
      <c r="S7923" s="2">
        <v>42537</v>
      </c>
      <c r="T7923" s="2">
        <v>42536</v>
      </c>
      <c r="U7923" s="2">
        <v>42596</v>
      </c>
      <c r="V7923" t="s">
        <v>71</v>
      </c>
      <c r="W7923" t="str">
        <f>"               F1854"</f>
        <v xml:space="preserve">               F1854</v>
      </c>
      <c r="X7923">
        <v>104</v>
      </c>
      <c r="Y7923">
        <v>0</v>
      </c>
      <c r="Z7923" s="3">
        <v>100</v>
      </c>
      <c r="AA7923">
        <v>50</v>
      </c>
      <c r="AB7923" s="5">
        <v>5000</v>
      </c>
      <c r="AC7923">
        <v>100</v>
      </c>
      <c r="AD7923">
        <v>50</v>
      </c>
      <c r="AE7923" s="1">
        <v>5000</v>
      </c>
      <c r="AF7923">
        <v>0</v>
      </c>
      <c r="AJ7923">
        <v>0</v>
      </c>
      <c r="AK7923">
        <v>0</v>
      </c>
      <c r="AL7923">
        <v>0</v>
      </c>
      <c r="AM7923">
        <v>104</v>
      </c>
      <c r="AN7923">
        <v>104</v>
      </c>
      <c r="AO7923">
        <v>104</v>
      </c>
      <c r="AP7923" s="2">
        <v>42746</v>
      </c>
      <c r="AQ7923" t="s">
        <v>72</v>
      </c>
      <c r="AR7923" t="s">
        <v>72</v>
      </c>
      <c r="AS7923">
        <v>2574</v>
      </c>
      <c r="AT7923" s="4">
        <v>42646</v>
      </c>
      <c r="AU7923" t="s">
        <v>73</v>
      </c>
      <c r="AV7923">
        <v>2574</v>
      </c>
      <c r="AW7923" s="4">
        <v>42646</v>
      </c>
      <c r="BD7923">
        <v>0</v>
      </c>
      <c r="BN7923" t="s">
        <v>74</v>
      </c>
    </row>
    <row r="7924" spans="1:66">
      <c r="A7924">
        <v>104492</v>
      </c>
      <c r="B7924" s="3" t="s">
        <v>670</v>
      </c>
      <c r="C7924" s="1">
        <v>43300101</v>
      </c>
      <c r="D7924" t="s">
        <v>67</v>
      </c>
      <c r="H7924" t="str">
        <f t="shared" si="780"/>
        <v>05354730631</v>
      </c>
      <c r="I7924" t="str">
        <f t="shared" si="780"/>
        <v>05354730631</v>
      </c>
      <c r="K7924" t="str">
        <f>""</f>
        <v/>
      </c>
      <c r="M7924" t="s">
        <v>68</v>
      </c>
      <c r="N7924" t="str">
        <f t="shared" si="777"/>
        <v>FOR</v>
      </c>
      <c r="O7924" t="s">
        <v>69</v>
      </c>
      <c r="P7924" s="3" t="s">
        <v>75</v>
      </c>
      <c r="Q7924">
        <v>2016</v>
      </c>
      <c r="R7924" s="2">
        <v>42536</v>
      </c>
      <c r="S7924" s="2">
        <v>42537</v>
      </c>
      <c r="T7924" s="2">
        <v>42536</v>
      </c>
      <c r="U7924" s="2">
        <v>42596</v>
      </c>
      <c r="V7924" t="s">
        <v>71</v>
      </c>
      <c r="W7924" t="str">
        <f>"               F1855"</f>
        <v xml:space="preserve">               F1855</v>
      </c>
      <c r="X7924">
        <v>104</v>
      </c>
      <c r="Y7924">
        <v>0</v>
      </c>
      <c r="Z7924" s="3">
        <v>100</v>
      </c>
      <c r="AA7924">
        <v>50</v>
      </c>
      <c r="AB7924" s="5">
        <v>5000</v>
      </c>
      <c r="AC7924">
        <v>100</v>
      </c>
      <c r="AD7924">
        <v>50</v>
      </c>
      <c r="AE7924" s="1">
        <v>5000</v>
      </c>
      <c r="AF7924">
        <v>0</v>
      </c>
      <c r="AJ7924">
        <v>0</v>
      </c>
      <c r="AK7924">
        <v>0</v>
      </c>
      <c r="AL7924">
        <v>0</v>
      </c>
      <c r="AM7924">
        <v>104</v>
      </c>
      <c r="AN7924">
        <v>104</v>
      </c>
      <c r="AO7924">
        <v>104</v>
      </c>
      <c r="AP7924" s="2">
        <v>42746</v>
      </c>
      <c r="AQ7924" t="s">
        <v>72</v>
      </c>
      <c r="AR7924" t="s">
        <v>72</v>
      </c>
      <c r="AS7924">
        <v>2574</v>
      </c>
      <c r="AT7924" s="4">
        <v>42646</v>
      </c>
      <c r="AU7924" t="s">
        <v>73</v>
      </c>
      <c r="AV7924">
        <v>2574</v>
      </c>
      <c r="AW7924" s="4">
        <v>42646</v>
      </c>
      <c r="BD7924">
        <v>0</v>
      </c>
      <c r="BN7924" t="s">
        <v>74</v>
      </c>
    </row>
    <row r="7925" spans="1:66">
      <c r="A7925">
        <v>104492</v>
      </c>
      <c r="B7925" s="3" t="s">
        <v>670</v>
      </c>
      <c r="C7925" s="1">
        <v>43300101</v>
      </c>
      <c r="D7925" t="s">
        <v>67</v>
      </c>
      <c r="H7925" t="str">
        <f t="shared" si="780"/>
        <v>05354730631</v>
      </c>
      <c r="I7925" t="str">
        <f t="shared" si="780"/>
        <v>05354730631</v>
      </c>
      <c r="K7925" t="str">
        <f>""</f>
        <v/>
      </c>
      <c r="M7925" t="s">
        <v>68</v>
      </c>
      <c r="N7925" t="str">
        <f t="shared" si="777"/>
        <v>FOR</v>
      </c>
      <c r="O7925" t="s">
        <v>69</v>
      </c>
      <c r="P7925" s="3" t="s">
        <v>75</v>
      </c>
      <c r="Q7925">
        <v>2016</v>
      </c>
      <c r="R7925" s="2">
        <v>42536</v>
      </c>
      <c r="S7925" s="2">
        <v>42537</v>
      </c>
      <c r="T7925" s="2">
        <v>42536</v>
      </c>
      <c r="U7925" s="2">
        <v>42596</v>
      </c>
      <c r="V7925" t="s">
        <v>71</v>
      </c>
      <c r="W7925" t="str">
        <f>"               F1856"</f>
        <v xml:space="preserve">               F1856</v>
      </c>
      <c r="X7925">
        <v>104</v>
      </c>
      <c r="Y7925">
        <v>0</v>
      </c>
      <c r="Z7925" s="3">
        <v>100</v>
      </c>
      <c r="AA7925">
        <v>50</v>
      </c>
      <c r="AB7925" s="5">
        <v>5000</v>
      </c>
      <c r="AC7925">
        <v>100</v>
      </c>
      <c r="AD7925">
        <v>50</v>
      </c>
      <c r="AE7925" s="1">
        <v>5000</v>
      </c>
      <c r="AF7925">
        <v>0</v>
      </c>
      <c r="AJ7925">
        <v>0</v>
      </c>
      <c r="AK7925">
        <v>0</v>
      </c>
      <c r="AL7925">
        <v>0</v>
      </c>
      <c r="AM7925">
        <v>104</v>
      </c>
      <c r="AN7925">
        <v>104</v>
      </c>
      <c r="AO7925">
        <v>104</v>
      </c>
      <c r="AP7925" s="2">
        <v>42746</v>
      </c>
      <c r="AQ7925" t="s">
        <v>72</v>
      </c>
      <c r="AR7925" t="s">
        <v>72</v>
      </c>
      <c r="AS7925">
        <v>2574</v>
      </c>
      <c r="AT7925" s="4">
        <v>42646</v>
      </c>
      <c r="AU7925" t="s">
        <v>73</v>
      </c>
      <c r="AV7925">
        <v>2574</v>
      </c>
      <c r="AW7925" s="4">
        <v>42646</v>
      </c>
      <c r="BD7925">
        <v>0</v>
      </c>
      <c r="BN7925" t="s">
        <v>74</v>
      </c>
    </row>
    <row r="7926" spans="1:66">
      <c r="A7926">
        <v>104492</v>
      </c>
      <c r="B7926" s="3" t="s">
        <v>670</v>
      </c>
      <c r="C7926" s="1">
        <v>43300101</v>
      </c>
      <c r="D7926" t="s">
        <v>67</v>
      </c>
      <c r="H7926" t="str">
        <f t="shared" si="780"/>
        <v>05354730631</v>
      </c>
      <c r="I7926" t="str">
        <f t="shared" si="780"/>
        <v>05354730631</v>
      </c>
      <c r="K7926" t="str">
        <f>""</f>
        <v/>
      </c>
      <c r="M7926" t="s">
        <v>68</v>
      </c>
      <c r="N7926" t="str">
        <f t="shared" ref="N7926:N7945" si="781">"FOR"</f>
        <v>FOR</v>
      </c>
      <c r="O7926" t="s">
        <v>69</v>
      </c>
      <c r="P7926" s="3" t="s">
        <v>75</v>
      </c>
      <c r="Q7926">
        <v>2016</v>
      </c>
      <c r="R7926" s="2">
        <v>42536</v>
      </c>
      <c r="S7926" s="2">
        <v>42537</v>
      </c>
      <c r="T7926" s="2">
        <v>42536</v>
      </c>
      <c r="U7926" s="2">
        <v>42596</v>
      </c>
      <c r="V7926" t="s">
        <v>71</v>
      </c>
      <c r="W7926" t="str">
        <f>"               F1857"</f>
        <v xml:space="preserve">               F1857</v>
      </c>
      <c r="X7926">
        <v>104</v>
      </c>
      <c r="Y7926">
        <v>0</v>
      </c>
      <c r="Z7926" s="3">
        <v>100</v>
      </c>
      <c r="AA7926">
        <v>50</v>
      </c>
      <c r="AB7926" s="5">
        <v>5000</v>
      </c>
      <c r="AC7926">
        <v>100</v>
      </c>
      <c r="AD7926">
        <v>50</v>
      </c>
      <c r="AE7926" s="1">
        <v>5000</v>
      </c>
      <c r="AF7926">
        <v>0</v>
      </c>
      <c r="AJ7926">
        <v>0</v>
      </c>
      <c r="AK7926">
        <v>0</v>
      </c>
      <c r="AL7926">
        <v>0</v>
      </c>
      <c r="AM7926">
        <v>104</v>
      </c>
      <c r="AN7926">
        <v>104</v>
      </c>
      <c r="AO7926">
        <v>104</v>
      </c>
      <c r="AP7926" s="2">
        <v>42746</v>
      </c>
      <c r="AQ7926" t="s">
        <v>72</v>
      </c>
      <c r="AR7926" t="s">
        <v>72</v>
      </c>
      <c r="AS7926">
        <v>2574</v>
      </c>
      <c r="AT7926" s="4">
        <v>42646</v>
      </c>
      <c r="AU7926" t="s">
        <v>73</v>
      </c>
      <c r="AV7926">
        <v>2574</v>
      </c>
      <c r="AW7926" s="4">
        <v>42646</v>
      </c>
      <c r="BD7926">
        <v>0</v>
      </c>
      <c r="BN7926" t="s">
        <v>74</v>
      </c>
    </row>
    <row r="7927" spans="1:66">
      <c r="A7927">
        <v>104492</v>
      </c>
      <c r="B7927" s="3" t="s">
        <v>670</v>
      </c>
      <c r="C7927" s="1">
        <v>43300101</v>
      </c>
      <c r="D7927" t="s">
        <v>67</v>
      </c>
      <c r="H7927" t="str">
        <f t="shared" si="780"/>
        <v>05354730631</v>
      </c>
      <c r="I7927" t="str">
        <f t="shared" si="780"/>
        <v>05354730631</v>
      </c>
      <c r="K7927" t="str">
        <f>""</f>
        <v/>
      </c>
      <c r="M7927" t="s">
        <v>68</v>
      </c>
      <c r="N7927" t="str">
        <f t="shared" si="781"/>
        <v>FOR</v>
      </c>
      <c r="O7927" t="s">
        <v>69</v>
      </c>
      <c r="P7927" s="3" t="s">
        <v>75</v>
      </c>
      <c r="Q7927">
        <v>2016</v>
      </c>
      <c r="R7927" s="2">
        <v>42536</v>
      </c>
      <c r="S7927" s="2">
        <v>42537</v>
      </c>
      <c r="T7927" s="2">
        <v>42536</v>
      </c>
      <c r="U7927" s="2">
        <v>42596</v>
      </c>
      <c r="V7927" t="s">
        <v>71</v>
      </c>
      <c r="W7927" t="str">
        <f>"               F1858"</f>
        <v xml:space="preserve">               F1858</v>
      </c>
      <c r="X7927">
        <v>135.19999999999999</v>
      </c>
      <c r="Y7927">
        <v>0</v>
      </c>
      <c r="Z7927" s="3">
        <v>130</v>
      </c>
      <c r="AA7927">
        <v>50</v>
      </c>
      <c r="AB7927" s="5">
        <v>6500</v>
      </c>
      <c r="AC7927">
        <v>130</v>
      </c>
      <c r="AD7927">
        <v>50</v>
      </c>
      <c r="AE7927" s="1">
        <v>6500</v>
      </c>
      <c r="AF7927">
        <v>0</v>
      </c>
      <c r="AJ7927">
        <v>0</v>
      </c>
      <c r="AK7927">
        <v>0</v>
      </c>
      <c r="AL7927">
        <v>0</v>
      </c>
      <c r="AM7927">
        <v>135.19999999999999</v>
      </c>
      <c r="AN7927">
        <v>135.19999999999999</v>
      </c>
      <c r="AO7927">
        <v>135.19999999999999</v>
      </c>
      <c r="AP7927" s="2">
        <v>42746</v>
      </c>
      <c r="AQ7927" t="s">
        <v>72</v>
      </c>
      <c r="AR7927" t="s">
        <v>72</v>
      </c>
      <c r="AS7927">
        <v>2574</v>
      </c>
      <c r="AT7927" s="4">
        <v>42646</v>
      </c>
      <c r="AU7927" t="s">
        <v>73</v>
      </c>
      <c r="AV7927">
        <v>2574</v>
      </c>
      <c r="AW7927" s="4">
        <v>42646</v>
      </c>
      <c r="BD7927">
        <v>0</v>
      </c>
      <c r="BN7927" t="s">
        <v>74</v>
      </c>
    </row>
    <row r="7928" spans="1:66">
      <c r="A7928">
        <v>104492</v>
      </c>
      <c r="B7928" s="3" t="s">
        <v>670</v>
      </c>
      <c r="C7928" s="1">
        <v>43300101</v>
      </c>
      <c r="D7928" t="s">
        <v>67</v>
      </c>
      <c r="H7928" t="str">
        <f t="shared" ref="H7928:I7945" si="782">"05354730631"</f>
        <v>05354730631</v>
      </c>
      <c r="I7928" t="str">
        <f t="shared" si="782"/>
        <v>05354730631</v>
      </c>
      <c r="K7928" t="str">
        <f>""</f>
        <v/>
      </c>
      <c r="M7928" t="s">
        <v>68</v>
      </c>
      <c r="N7928" t="str">
        <f t="shared" si="781"/>
        <v>FOR</v>
      </c>
      <c r="O7928" t="s">
        <v>69</v>
      </c>
      <c r="P7928" s="3" t="s">
        <v>75</v>
      </c>
      <c r="Q7928">
        <v>2016</v>
      </c>
      <c r="R7928" s="2">
        <v>42548</v>
      </c>
      <c r="S7928" s="2">
        <v>42550</v>
      </c>
      <c r="T7928" s="2">
        <v>42548</v>
      </c>
      <c r="U7928" s="2">
        <v>42608</v>
      </c>
      <c r="V7928" t="s">
        <v>71</v>
      </c>
      <c r="W7928" t="str">
        <f>"               F2042"</f>
        <v xml:space="preserve">               F2042</v>
      </c>
      <c r="X7928" s="1">
        <v>2165.5</v>
      </c>
      <c r="Y7928">
        <v>0</v>
      </c>
      <c r="Z7928" s="5">
        <v>1775</v>
      </c>
      <c r="AA7928">
        <v>38</v>
      </c>
      <c r="AB7928" s="5">
        <v>67450</v>
      </c>
      <c r="AC7928" s="1">
        <v>1775</v>
      </c>
      <c r="AD7928">
        <v>38</v>
      </c>
      <c r="AE7928" s="1">
        <v>67450</v>
      </c>
      <c r="AF7928">
        <v>0</v>
      </c>
      <c r="AJ7928">
        <v>0</v>
      </c>
      <c r="AK7928">
        <v>0</v>
      </c>
      <c r="AL7928">
        <v>0</v>
      </c>
      <c r="AM7928" s="1">
        <v>2165.5</v>
      </c>
      <c r="AN7928" s="1">
        <v>2165.5</v>
      </c>
      <c r="AO7928" s="1">
        <v>2165.5</v>
      </c>
      <c r="AP7928" s="2">
        <v>42746</v>
      </c>
      <c r="AQ7928" t="s">
        <v>72</v>
      </c>
      <c r="AR7928" t="s">
        <v>72</v>
      </c>
      <c r="AS7928">
        <v>2574</v>
      </c>
      <c r="AT7928" s="4">
        <v>42646</v>
      </c>
      <c r="AU7928" t="s">
        <v>73</v>
      </c>
      <c r="AV7928">
        <v>2574</v>
      </c>
      <c r="AW7928" s="4">
        <v>42646</v>
      </c>
      <c r="BD7928">
        <v>0</v>
      </c>
      <c r="BN7928" t="s">
        <v>74</v>
      </c>
    </row>
    <row r="7929" spans="1:66">
      <c r="A7929">
        <v>104492</v>
      </c>
      <c r="B7929" s="3" t="s">
        <v>670</v>
      </c>
      <c r="C7929" s="1">
        <v>43300101</v>
      </c>
      <c r="D7929" t="s">
        <v>67</v>
      </c>
      <c r="H7929" t="str">
        <f t="shared" si="782"/>
        <v>05354730631</v>
      </c>
      <c r="I7929" t="str">
        <f t="shared" si="782"/>
        <v>05354730631</v>
      </c>
      <c r="K7929" t="str">
        <f>""</f>
        <v/>
      </c>
      <c r="M7929" t="s">
        <v>68</v>
      </c>
      <c r="N7929" t="str">
        <f t="shared" si="781"/>
        <v>FOR</v>
      </c>
      <c r="O7929" t="s">
        <v>69</v>
      </c>
      <c r="P7929" s="3" t="s">
        <v>75</v>
      </c>
      <c r="Q7929">
        <v>2016</v>
      </c>
      <c r="R7929" s="2">
        <v>42548</v>
      </c>
      <c r="S7929" s="2">
        <v>42550</v>
      </c>
      <c r="T7929" s="2">
        <v>42548</v>
      </c>
      <c r="U7929" s="2">
        <v>42608</v>
      </c>
      <c r="V7929" t="s">
        <v>71</v>
      </c>
      <c r="W7929" t="str">
        <f>"               F2048"</f>
        <v xml:space="preserve">               F2048</v>
      </c>
      <c r="X7929">
        <v>135.19999999999999</v>
      </c>
      <c r="Y7929">
        <v>0</v>
      </c>
      <c r="Z7929" s="3">
        <v>130</v>
      </c>
      <c r="AA7929">
        <v>38</v>
      </c>
      <c r="AB7929" s="5">
        <v>4940</v>
      </c>
      <c r="AC7929">
        <v>130</v>
      </c>
      <c r="AD7929">
        <v>38</v>
      </c>
      <c r="AE7929" s="1">
        <v>4940</v>
      </c>
      <c r="AF7929">
        <v>0</v>
      </c>
      <c r="AJ7929">
        <v>0</v>
      </c>
      <c r="AK7929">
        <v>0</v>
      </c>
      <c r="AL7929">
        <v>0</v>
      </c>
      <c r="AM7929">
        <v>135.19999999999999</v>
      </c>
      <c r="AN7929">
        <v>135.19999999999999</v>
      </c>
      <c r="AO7929">
        <v>135.19999999999999</v>
      </c>
      <c r="AP7929" s="2">
        <v>42746</v>
      </c>
      <c r="AQ7929" t="s">
        <v>72</v>
      </c>
      <c r="AR7929" t="s">
        <v>72</v>
      </c>
      <c r="AS7929">
        <v>2574</v>
      </c>
      <c r="AT7929" s="4">
        <v>42646</v>
      </c>
      <c r="AU7929" t="s">
        <v>73</v>
      </c>
      <c r="AV7929">
        <v>2574</v>
      </c>
      <c r="AW7929" s="4">
        <v>42646</v>
      </c>
      <c r="BD7929">
        <v>0</v>
      </c>
      <c r="BN7929" t="s">
        <v>74</v>
      </c>
    </row>
    <row r="7930" spans="1:66">
      <c r="A7930">
        <v>104492</v>
      </c>
      <c r="B7930" s="3" t="s">
        <v>670</v>
      </c>
      <c r="C7930" s="1">
        <v>43300101</v>
      </c>
      <c r="D7930" t="s">
        <v>67</v>
      </c>
      <c r="H7930" t="str">
        <f t="shared" si="782"/>
        <v>05354730631</v>
      </c>
      <c r="I7930" t="str">
        <f t="shared" si="782"/>
        <v>05354730631</v>
      </c>
      <c r="K7930" t="str">
        <f>""</f>
        <v/>
      </c>
      <c r="M7930" t="s">
        <v>68</v>
      </c>
      <c r="N7930" t="str">
        <f t="shared" si="781"/>
        <v>FOR</v>
      </c>
      <c r="O7930" t="s">
        <v>69</v>
      </c>
      <c r="P7930" s="3" t="s">
        <v>75</v>
      </c>
      <c r="Q7930">
        <v>2016</v>
      </c>
      <c r="R7930" s="2">
        <v>42548</v>
      </c>
      <c r="S7930" s="2">
        <v>42550</v>
      </c>
      <c r="T7930" s="2">
        <v>42548</v>
      </c>
      <c r="U7930" s="2">
        <v>42608</v>
      </c>
      <c r="V7930" t="s">
        <v>71</v>
      </c>
      <c r="W7930" t="str">
        <f>"               F2049"</f>
        <v xml:space="preserve">               F2049</v>
      </c>
      <c r="X7930">
        <v>135.19999999999999</v>
      </c>
      <c r="Y7930">
        <v>0</v>
      </c>
      <c r="Z7930" s="3">
        <v>130</v>
      </c>
      <c r="AA7930">
        <v>38</v>
      </c>
      <c r="AB7930" s="5">
        <v>4940</v>
      </c>
      <c r="AC7930">
        <v>130</v>
      </c>
      <c r="AD7930">
        <v>38</v>
      </c>
      <c r="AE7930" s="1">
        <v>4940</v>
      </c>
      <c r="AF7930">
        <v>0</v>
      </c>
      <c r="AJ7930">
        <v>0</v>
      </c>
      <c r="AK7930">
        <v>0</v>
      </c>
      <c r="AL7930">
        <v>0</v>
      </c>
      <c r="AM7930">
        <v>135.19999999999999</v>
      </c>
      <c r="AN7930">
        <v>135.19999999999999</v>
      </c>
      <c r="AO7930">
        <v>135.19999999999999</v>
      </c>
      <c r="AP7930" s="2">
        <v>42746</v>
      </c>
      <c r="AQ7930" t="s">
        <v>72</v>
      </c>
      <c r="AR7930" t="s">
        <v>72</v>
      </c>
      <c r="AS7930">
        <v>2574</v>
      </c>
      <c r="AT7930" s="4">
        <v>42646</v>
      </c>
      <c r="AU7930" t="s">
        <v>73</v>
      </c>
      <c r="AV7930">
        <v>2574</v>
      </c>
      <c r="AW7930" s="4">
        <v>42646</v>
      </c>
      <c r="BD7930">
        <v>0</v>
      </c>
      <c r="BN7930" t="s">
        <v>74</v>
      </c>
    </row>
    <row r="7931" spans="1:66">
      <c r="A7931">
        <v>104492</v>
      </c>
      <c r="B7931" s="3" t="s">
        <v>670</v>
      </c>
      <c r="C7931" s="1">
        <v>43300101</v>
      </c>
      <c r="D7931" t="s">
        <v>67</v>
      </c>
      <c r="H7931" t="str">
        <f t="shared" si="782"/>
        <v>05354730631</v>
      </c>
      <c r="I7931" t="str">
        <f t="shared" si="782"/>
        <v>05354730631</v>
      </c>
      <c r="K7931" t="str">
        <f>""</f>
        <v/>
      </c>
      <c r="M7931" t="s">
        <v>68</v>
      </c>
      <c r="N7931" t="str">
        <f t="shared" si="781"/>
        <v>FOR</v>
      </c>
      <c r="O7931" t="s">
        <v>69</v>
      </c>
      <c r="P7931" s="3" t="s">
        <v>75</v>
      </c>
      <c r="Q7931">
        <v>2016</v>
      </c>
      <c r="R7931" s="2">
        <v>42548</v>
      </c>
      <c r="S7931" s="2">
        <v>42550</v>
      </c>
      <c r="T7931" s="2">
        <v>42548</v>
      </c>
      <c r="U7931" s="2">
        <v>42608</v>
      </c>
      <c r="V7931" t="s">
        <v>71</v>
      </c>
      <c r="W7931" t="str">
        <f>"               F2050"</f>
        <v xml:space="preserve">               F2050</v>
      </c>
      <c r="X7931">
        <v>135.19999999999999</v>
      </c>
      <c r="Y7931">
        <v>0</v>
      </c>
      <c r="Z7931" s="3">
        <v>130</v>
      </c>
      <c r="AA7931">
        <v>38</v>
      </c>
      <c r="AB7931" s="5">
        <v>4940</v>
      </c>
      <c r="AC7931">
        <v>130</v>
      </c>
      <c r="AD7931">
        <v>38</v>
      </c>
      <c r="AE7931" s="1">
        <v>4940</v>
      </c>
      <c r="AF7931">
        <v>0</v>
      </c>
      <c r="AJ7931">
        <v>0</v>
      </c>
      <c r="AK7931">
        <v>0</v>
      </c>
      <c r="AL7931">
        <v>0</v>
      </c>
      <c r="AM7931">
        <v>135.19999999999999</v>
      </c>
      <c r="AN7931">
        <v>135.19999999999999</v>
      </c>
      <c r="AO7931">
        <v>135.19999999999999</v>
      </c>
      <c r="AP7931" s="2">
        <v>42746</v>
      </c>
      <c r="AQ7931" t="s">
        <v>72</v>
      </c>
      <c r="AR7931" t="s">
        <v>72</v>
      </c>
      <c r="AS7931">
        <v>2574</v>
      </c>
      <c r="AT7931" s="4">
        <v>42646</v>
      </c>
      <c r="AU7931" t="s">
        <v>73</v>
      </c>
      <c r="AV7931">
        <v>2574</v>
      </c>
      <c r="AW7931" s="4">
        <v>42646</v>
      </c>
      <c r="BD7931">
        <v>0</v>
      </c>
      <c r="BN7931" t="s">
        <v>74</v>
      </c>
    </row>
    <row r="7932" spans="1:66">
      <c r="A7932">
        <v>104492</v>
      </c>
      <c r="B7932" s="3" t="s">
        <v>670</v>
      </c>
      <c r="C7932" s="1">
        <v>43300101</v>
      </c>
      <c r="D7932" t="s">
        <v>67</v>
      </c>
      <c r="H7932" t="str">
        <f t="shared" si="782"/>
        <v>05354730631</v>
      </c>
      <c r="I7932" t="str">
        <f t="shared" si="782"/>
        <v>05354730631</v>
      </c>
      <c r="K7932" t="str">
        <f>""</f>
        <v/>
      </c>
      <c r="M7932" t="s">
        <v>68</v>
      </c>
      <c r="N7932" t="str">
        <f t="shared" si="781"/>
        <v>FOR</v>
      </c>
      <c r="O7932" t="s">
        <v>69</v>
      </c>
      <c r="P7932" s="3" t="s">
        <v>75</v>
      </c>
      <c r="Q7932">
        <v>2016</v>
      </c>
      <c r="R7932" s="2">
        <v>42548</v>
      </c>
      <c r="S7932" s="2">
        <v>42550</v>
      </c>
      <c r="T7932" s="2">
        <v>42548</v>
      </c>
      <c r="U7932" s="2">
        <v>42608</v>
      </c>
      <c r="V7932" t="s">
        <v>71</v>
      </c>
      <c r="W7932" t="str">
        <f>"               F2051"</f>
        <v xml:space="preserve">               F2051</v>
      </c>
      <c r="X7932">
        <v>104</v>
      </c>
      <c r="Y7932">
        <v>0</v>
      </c>
      <c r="Z7932" s="3">
        <v>100</v>
      </c>
      <c r="AA7932">
        <v>38</v>
      </c>
      <c r="AB7932" s="5">
        <v>3800</v>
      </c>
      <c r="AC7932">
        <v>100</v>
      </c>
      <c r="AD7932">
        <v>38</v>
      </c>
      <c r="AE7932" s="1">
        <v>3800</v>
      </c>
      <c r="AF7932">
        <v>0</v>
      </c>
      <c r="AJ7932">
        <v>0</v>
      </c>
      <c r="AK7932">
        <v>0</v>
      </c>
      <c r="AL7932">
        <v>0</v>
      </c>
      <c r="AM7932">
        <v>104</v>
      </c>
      <c r="AN7932">
        <v>104</v>
      </c>
      <c r="AO7932">
        <v>104</v>
      </c>
      <c r="AP7932" s="2">
        <v>42746</v>
      </c>
      <c r="AQ7932" t="s">
        <v>72</v>
      </c>
      <c r="AR7932" t="s">
        <v>72</v>
      </c>
      <c r="AS7932">
        <v>2574</v>
      </c>
      <c r="AT7932" s="4">
        <v>42646</v>
      </c>
      <c r="AU7932" t="s">
        <v>73</v>
      </c>
      <c r="AV7932">
        <v>2574</v>
      </c>
      <c r="AW7932" s="4">
        <v>42646</v>
      </c>
      <c r="BD7932">
        <v>0</v>
      </c>
      <c r="BN7932" t="s">
        <v>74</v>
      </c>
    </row>
    <row r="7933" spans="1:66">
      <c r="A7933">
        <v>104492</v>
      </c>
      <c r="B7933" s="3" t="s">
        <v>670</v>
      </c>
      <c r="C7933" s="1">
        <v>43300101</v>
      </c>
      <c r="D7933" t="s">
        <v>67</v>
      </c>
      <c r="H7933" t="str">
        <f t="shared" si="782"/>
        <v>05354730631</v>
      </c>
      <c r="I7933" t="str">
        <f t="shared" si="782"/>
        <v>05354730631</v>
      </c>
      <c r="K7933" t="str">
        <f>""</f>
        <v/>
      </c>
      <c r="M7933" t="s">
        <v>68</v>
      </c>
      <c r="N7933" t="str">
        <f t="shared" si="781"/>
        <v>FOR</v>
      </c>
      <c r="O7933" t="s">
        <v>69</v>
      </c>
      <c r="P7933" s="3" t="s">
        <v>75</v>
      </c>
      <c r="Q7933">
        <v>2016</v>
      </c>
      <c r="R7933" s="2">
        <v>42551</v>
      </c>
      <c r="S7933" s="2">
        <v>42556</v>
      </c>
      <c r="T7933" s="2">
        <v>42555</v>
      </c>
      <c r="U7933" s="2">
        <v>42615</v>
      </c>
      <c r="V7933" t="s">
        <v>71</v>
      </c>
      <c r="W7933" t="str">
        <f>"               F2092"</f>
        <v xml:space="preserve">               F2092</v>
      </c>
      <c r="X7933">
        <v>104</v>
      </c>
      <c r="Y7933">
        <v>0</v>
      </c>
      <c r="Z7933" s="3">
        <v>100</v>
      </c>
      <c r="AA7933">
        <v>31</v>
      </c>
      <c r="AB7933" s="5">
        <v>3100</v>
      </c>
      <c r="AC7933">
        <v>100</v>
      </c>
      <c r="AD7933">
        <v>31</v>
      </c>
      <c r="AE7933" s="1">
        <v>3100</v>
      </c>
      <c r="AF7933">
        <v>0</v>
      </c>
      <c r="AJ7933">
        <v>0</v>
      </c>
      <c r="AK7933">
        <v>0</v>
      </c>
      <c r="AL7933">
        <v>0</v>
      </c>
      <c r="AM7933">
        <v>104</v>
      </c>
      <c r="AN7933">
        <v>104</v>
      </c>
      <c r="AO7933">
        <v>104</v>
      </c>
      <c r="AP7933" s="2">
        <v>42746</v>
      </c>
      <c r="AQ7933" t="s">
        <v>72</v>
      </c>
      <c r="AR7933" t="s">
        <v>72</v>
      </c>
      <c r="AS7933">
        <v>2574</v>
      </c>
      <c r="AT7933" s="4">
        <v>42646</v>
      </c>
      <c r="AU7933" t="s">
        <v>73</v>
      </c>
      <c r="AV7933">
        <v>2574</v>
      </c>
      <c r="AW7933" s="4">
        <v>42646</v>
      </c>
      <c r="BD7933">
        <v>0</v>
      </c>
      <c r="BN7933" t="s">
        <v>74</v>
      </c>
    </row>
    <row r="7934" spans="1:66">
      <c r="A7934">
        <v>104492</v>
      </c>
      <c r="B7934" s="3" t="s">
        <v>670</v>
      </c>
      <c r="C7934" s="1">
        <v>43300101</v>
      </c>
      <c r="D7934" t="s">
        <v>67</v>
      </c>
      <c r="H7934" t="str">
        <f t="shared" si="782"/>
        <v>05354730631</v>
      </c>
      <c r="I7934" t="str">
        <f t="shared" si="782"/>
        <v>05354730631</v>
      </c>
      <c r="K7934" t="str">
        <f>""</f>
        <v/>
      </c>
      <c r="M7934" t="s">
        <v>68</v>
      </c>
      <c r="N7934" t="str">
        <f t="shared" si="781"/>
        <v>FOR</v>
      </c>
      <c r="O7934" t="s">
        <v>69</v>
      </c>
      <c r="P7934" s="3" t="s">
        <v>75</v>
      </c>
      <c r="Q7934">
        <v>2016</v>
      </c>
      <c r="R7934" s="2">
        <v>42551</v>
      </c>
      <c r="S7934" s="2">
        <v>42556</v>
      </c>
      <c r="T7934" s="2">
        <v>42555</v>
      </c>
      <c r="U7934" s="2">
        <v>42615</v>
      </c>
      <c r="V7934" t="s">
        <v>71</v>
      </c>
      <c r="W7934" t="str">
        <f>"               F2093"</f>
        <v xml:space="preserve">               F2093</v>
      </c>
      <c r="X7934">
        <v>104</v>
      </c>
      <c r="Y7934">
        <v>0</v>
      </c>
      <c r="Z7934" s="3">
        <v>100</v>
      </c>
      <c r="AA7934">
        <v>31</v>
      </c>
      <c r="AB7934" s="5">
        <v>3100</v>
      </c>
      <c r="AC7934">
        <v>100</v>
      </c>
      <c r="AD7934">
        <v>31</v>
      </c>
      <c r="AE7934" s="1">
        <v>3100</v>
      </c>
      <c r="AF7934">
        <v>0</v>
      </c>
      <c r="AJ7934">
        <v>0</v>
      </c>
      <c r="AK7934">
        <v>0</v>
      </c>
      <c r="AL7934">
        <v>0</v>
      </c>
      <c r="AM7934">
        <v>104</v>
      </c>
      <c r="AN7934">
        <v>104</v>
      </c>
      <c r="AO7934">
        <v>104</v>
      </c>
      <c r="AP7934" s="2">
        <v>42746</v>
      </c>
      <c r="AQ7934" t="s">
        <v>72</v>
      </c>
      <c r="AR7934" t="s">
        <v>72</v>
      </c>
      <c r="AS7934">
        <v>2574</v>
      </c>
      <c r="AT7934" s="4">
        <v>42646</v>
      </c>
      <c r="AU7934" t="s">
        <v>73</v>
      </c>
      <c r="AV7934">
        <v>2574</v>
      </c>
      <c r="AW7934" s="4">
        <v>42646</v>
      </c>
      <c r="BD7934">
        <v>0</v>
      </c>
      <c r="BN7934" t="s">
        <v>74</v>
      </c>
    </row>
    <row r="7935" spans="1:66">
      <c r="A7935">
        <v>104492</v>
      </c>
      <c r="B7935" s="3" t="s">
        <v>670</v>
      </c>
      <c r="C7935" s="1">
        <v>43300101</v>
      </c>
      <c r="D7935" t="s">
        <v>67</v>
      </c>
      <c r="H7935" t="str">
        <f t="shared" si="782"/>
        <v>05354730631</v>
      </c>
      <c r="I7935" t="str">
        <f t="shared" si="782"/>
        <v>05354730631</v>
      </c>
      <c r="K7935" t="str">
        <f>""</f>
        <v/>
      </c>
      <c r="M7935" t="s">
        <v>68</v>
      </c>
      <c r="N7935" t="str">
        <f t="shared" si="781"/>
        <v>FOR</v>
      </c>
      <c r="O7935" t="s">
        <v>69</v>
      </c>
      <c r="P7935" s="3" t="s">
        <v>75</v>
      </c>
      <c r="Q7935">
        <v>2016</v>
      </c>
      <c r="R7935" s="2">
        <v>42551</v>
      </c>
      <c r="S7935" s="2">
        <v>42556</v>
      </c>
      <c r="T7935" s="2">
        <v>42555</v>
      </c>
      <c r="U7935" s="2">
        <v>42615</v>
      </c>
      <c r="V7935" t="s">
        <v>71</v>
      </c>
      <c r="W7935" t="str">
        <f>"               F2094"</f>
        <v xml:space="preserve">               F2094</v>
      </c>
      <c r="X7935">
        <v>104</v>
      </c>
      <c r="Y7935">
        <v>0</v>
      </c>
      <c r="Z7935" s="3">
        <v>100</v>
      </c>
      <c r="AA7935">
        <v>31</v>
      </c>
      <c r="AB7935" s="5">
        <v>3100</v>
      </c>
      <c r="AC7935">
        <v>100</v>
      </c>
      <c r="AD7935">
        <v>31</v>
      </c>
      <c r="AE7935" s="1">
        <v>3100</v>
      </c>
      <c r="AF7935">
        <v>0</v>
      </c>
      <c r="AJ7935">
        <v>0</v>
      </c>
      <c r="AK7935">
        <v>0</v>
      </c>
      <c r="AL7935">
        <v>0</v>
      </c>
      <c r="AM7935">
        <v>104</v>
      </c>
      <c r="AN7935">
        <v>104</v>
      </c>
      <c r="AO7935">
        <v>104</v>
      </c>
      <c r="AP7935" s="2">
        <v>42746</v>
      </c>
      <c r="AQ7935" t="s">
        <v>72</v>
      </c>
      <c r="AR7935" t="s">
        <v>72</v>
      </c>
      <c r="AS7935">
        <v>2574</v>
      </c>
      <c r="AT7935" s="4">
        <v>42646</v>
      </c>
      <c r="AU7935" t="s">
        <v>73</v>
      </c>
      <c r="AV7935">
        <v>2574</v>
      </c>
      <c r="AW7935" s="4">
        <v>42646</v>
      </c>
      <c r="BD7935">
        <v>0</v>
      </c>
      <c r="BN7935" t="s">
        <v>74</v>
      </c>
    </row>
    <row r="7936" spans="1:66">
      <c r="A7936">
        <v>104492</v>
      </c>
      <c r="B7936" s="3" t="s">
        <v>670</v>
      </c>
      <c r="C7936" s="1">
        <v>43300101</v>
      </c>
      <c r="D7936" t="s">
        <v>67</v>
      </c>
      <c r="H7936" t="str">
        <f t="shared" si="782"/>
        <v>05354730631</v>
      </c>
      <c r="I7936" t="str">
        <f t="shared" si="782"/>
        <v>05354730631</v>
      </c>
      <c r="K7936" t="str">
        <f>""</f>
        <v/>
      </c>
      <c r="M7936" t="s">
        <v>68</v>
      </c>
      <c r="N7936" t="str">
        <f t="shared" si="781"/>
        <v>FOR</v>
      </c>
      <c r="O7936" t="s">
        <v>69</v>
      </c>
      <c r="P7936" s="3" t="s">
        <v>75</v>
      </c>
      <c r="Q7936">
        <v>2016</v>
      </c>
      <c r="R7936" s="2">
        <v>42551</v>
      </c>
      <c r="S7936" s="2">
        <v>42556</v>
      </c>
      <c r="T7936" s="2">
        <v>42555</v>
      </c>
      <c r="U7936" s="2">
        <v>42615</v>
      </c>
      <c r="V7936" t="s">
        <v>71</v>
      </c>
      <c r="W7936" t="str">
        <f>"               F2095"</f>
        <v xml:space="preserve">               F2095</v>
      </c>
      <c r="X7936">
        <v>135.19999999999999</v>
      </c>
      <c r="Y7936">
        <v>0</v>
      </c>
      <c r="Z7936" s="3">
        <v>130</v>
      </c>
      <c r="AA7936">
        <v>31</v>
      </c>
      <c r="AB7936" s="5">
        <v>4030</v>
      </c>
      <c r="AC7936">
        <v>130</v>
      </c>
      <c r="AD7936">
        <v>31</v>
      </c>
      <c r="AE7936" s="1">
        <v>4030</v>
      </c>
      <c r="AF7936">
        <v>0</v>
      </c>
      <c r="AJ7936">
        <v>0</v>
      </c>
      <c r="AK7936">
        <v>0</v>
      </c>
      <c r="AL7936">
        <v>0</v>
      </c>
      <c r="AM7936">
        <v>135.19999999999999</v>
      </c>
      <c r="AN7936">
        <v>135.19999999999999</v>
      </c>
      <c r="AO7936">
        <v>135.19999999999999</v>
      </c>
      <c r="AP7936" s="2">
        <v>42746</v>
      </c>
      <c r="AQ7936" t="s">
        <v>72</v>
      </c>
      <c r="AR7936" t="s">
        <v>72</v>
      </c>
      <c r="AS7936">
        <v>2574</v>
      </c>
      <c r="AT7936" s="4">
        <v>42646</v>
      </c>
      <c r="AU7936" t="s">
        <v>73</v>
      </c>
      <c r="AV7936">
        <v>2574</v>
      </c>
      <c r="AW7936" s="4">
        <v>42646</v>
      </c>
      <c r="BD7936">
        <v>0</v>
      </c>
      <c r="BN7936" t="s">
        <v>74</v>
      </c>
    </row>
    <row r="7937" spans="1:66">
      <c r="A7937">
        <v>104492</v>
      </c>
      <c r="B7937" s="3" t="s">
        <v>670</v>
      </c>
      <c r="C7937" s="1">
        <v>43300101</v>
      </c>
      <c r="D7937" t="s">
        <v>67</v>
      </c>
      <c r="H7937" t="str">
        <f t="shared" si="782"/>
        <v>05354730631</v>
      </c>
      <c r="I7937" t="str">
        <f t="shared" si="782"/>
        <v>05354730631</v>
      </c>
      <c r="K7937" t="str">
        <f>""</f>
        <v/>
      </c>
      <c r="M7937" t="s">
        <v>68</v>
      </c>
      <c r="N7937" t="str">
        <f t="shared" si="781"/>
        <v>FOR</v>
      </c>
      <c r="O7937" t="s">
        <v>69</v>
      </c>
      <c r="P7937" s="3" t="s">
        <v>75</v>
      </c>
      <c r="Q7937">
        <v>2016</v>
      </c>
      <c r="R7937" s="2">
        <v>42562</v>
      </c>
      <c r="S7937" s="2">
        <v>42565</v>
      </c>
      <c r="T7937" s="2">
        <v>42563</v>
      </c>
      <c r="U7937" s="2">
        <v>42623</v>
      </c>
      <c r="V7937" t="s">
        <v>71</v>
      </c>
      <c r="W7937" t="str">
        <f>"               F2222"</f>
        <v xml:space="preserve">               F2222</v>
      </c>
      <c r="X7937">
        <v>135.19999999999999</v>
      </c>
      <c r="Y7937">
        <v>0</v>
      </c>
      <c r="Z7937" s="3">
        <v>130</v>
      </c>
      <c r="AA7937">
        <v>23</v>
      </c>
      <c r="AB7937" s="5">
        <v>2990</v>
      </c>
      <c r="AC7937">
        <v>130</v>
      </c>
      <c r="AD7937">
        <v>23</v>
      </c>
      <c r="AE7937" s="1">
        <v>2990</v>
      </c>
      <c r="AF7937">
        <v>0</v>
      </c>
      <c r="AJ7937">
        <v>0</v>
      </c>
      <c r="AK7937">
        <v>0</v>
      </c>
      <c r="AL7937">
        <v>0</v>
      </c>
      <c r="AM7937">
        <v>135.19999999999999</v>
      </c>
      <c r="AN7937">
        <v>135.19999999999999</v>
      </c>
      <c r="AO7937">
        <v>135.19999999999999</v>
      </c>
      <c r="AP7937" s="2">
        <v>42746</v>
      </c>
      <c r="AQ7937" t="s">
        <v>72</v>
      </c>
      <c r="AR7937" t="s">
        <v>72</v>
      </c>
      <c r="AS7937">
        <v>2574</v>
      </c>
      <c r="AT7937" s="4">
        <v>42646</v>
      </c>
      <c r="AU7937" t="s">
        <v>73</v>
      </c>
      <c r="AV7937">
        <v>2574</v>
      </c>
      <c r="AW7937" s="4">
        <v>42646</v>
      </c>
      <c r="BD7937">
        <v>0</v>
      </c>
      <c r="BN7937" t="s">
        <v>74</v>
      </c>
    </row>
    <row r="7938" spans="1:66">
      <c r="A7938">
        <v>104492</v>
      </c>
      <c r="B7938" s="3" t="s">
        <v>670</v>
      </c>
      <c r="C7938" s="1">
        <v>43300101</v>
      </c>
      <c r="D7938" t="s">
        <v>67</v>
      </c>
      <c r="H7938" t="str">
        <f t="shared" si="782"/>
        <v>05354730631</v>
      </c>
      <c r="I7938" t="str">
        <f t="shared" si="782"/>
        <v>05354730631</v>
      </c>
      <c r="K7938" t="str">
        <f>""</f>
        <v/>
      </c>
      <c r="M7938" t="s">
        <v>68</v>
      </c>
      <c r="N7938" t="str">
        <f t="shared" si="781"/>
        <v>FOR</v>
      </c>
      <c r="O7938" t="s">
        <v>69</v>
      </c>
      <c r="P7938" s="3" t="s">
        <v>75</v>
      </c>
      <c r="Q7938">
        <v>2016</v>
      </c>
      <c r="R7938" s="2">
        <v>42562</v>
      </c>
      <c r="S7938" s="2">
        <v>42565</v>
      </c>
      <c r="T7938" s="2">
        <v>42563</v>
      </c>
      <c r="U7938" s="2">
        <v>42623</v>
      </c>
      <c r="V7938" t="s">
        <v>71</v>
      </c>
      <c r="W7938" t="str">
        <f>"               F2223"</f>
        <v xml:space="preserve">               F2223</v>
      </c>
      <c r="X7938">
        <v>135.19999999999999</v>
      </c>
      <c r="Y7938">
        <v>0</v>
      </c>
      <c r="Z7938" s="3">
        <v>130</v>
      </c>
      <c r="AA7938">
        <v>23</v>
      </c>
      <c r="AB7938" s="5">
        <v>2990</v>
      </c>
      <c r="AC7938">
        <v>130</v>
      </c>
      <c r="AD7938">
        <v>23</v>
      </c>
      <c r="AE7938" s="1">
        <v>2990</v>
      </c>
      <c r="AF7938">
        <v>0</v>
      </c>
      <c r="AJ7938">
        <v>0</v>
      </c>
      <c r="AK7938">
        <v>0</v>
      </c>
      <c r="AL7938">
        <v>0</v>
      </c>
      <c r="AM7938">
        <v>135.19999999999999</v>
      </c>
      <c r="AN7938">
        <v>135.19999999999999</v>
      </c>
      <c r="AO7938">
        <v>135.19999999999999</v>
      </c>
      <c r="AP7938" s="2">
        <v>42746</v>
      </c>
      <c r="AQ7938" t="s">
        <v>72</v>
      </c>
      <c r="AR7938" t="s">
        <v>72</v>
      </c>
      <c r="AS7938">
        <v>2574</v>
      </c>
      <c r="AT7938" s="4">
        <v>42646</v>
      </c>
      <c r="AU7938" t="s">
        <v>73</v>
      </c>
      <c r="AV7938">
        <v>2574</v>
      </c>
      <c r="AW7938" s="4">
        <v>42646</v>
      </c>
      <c r="BD7938">
        <v>0</v>
      </c>
      <c r="BN7938" t="s">
        <v>74</v>
      </c>
    </row>
    <row r="7939" spans="1:66">
      <c r="A7939">
        <v>104492</v>
      </c>
      <c r="B7939" s="3" t="s">
        <v>670</v>
      </c>
      <c r="C7939" s="1">
        <v>43300101</v>
      </c>
      <c r="D7939" t="s">
        <v>67</v>
      </c>
      <c r="H7939" t="str">
        <f t="shared" si="782"/>
        <v>05354730631</v>
      </c>
      <c r="I7939" t="str">
        <f t="shared" si="782"/>
        <v>05354730631</v>
      </c>
      <c r="K7939" t="str">
        <f>""</f>
        <v/>
      </c>
      <c r="M7939" t="s">
        <v>68</v>
      </c>
      <c r="N7939" t="str">
        <f t="shared" si="781"/>
        <v>FOR</v>
      </c>
      <c r="O7939" t="s">
        <v>69</v>
      </c>
      <c r="P7939" s="3" t="s">
        <v>75</v>
      </c>
      <c r="Q7939">
        <v>2016</v>
      </c>
      <c r="R7939" s="2">
        <v>42570</v>
      </c>
      <c r="S7939" s="2">
        <v>42571</v>
      </c>
      <c r="T7939" s="2">
        <v>42571</v>
      </c>
      <c r="U7939" s="2">
        <v>42631</v>
      </c>
      <c r="V7939" t="s">
        <v>71</v>
      </c>
      <c r="W7939" t="str">
        <f>"               F2314"</f>
        <v xml:space="preserve">               F2314</v>
      </c>
      <c r="X7939">
        <v>104</v>
      </c>
      <c r="Y7939">
        <v>0</v>
      </c>
      <c r="Z7939" s="3">
        <v>100</v>
      </c>
      <c r="AA7939">
        <v>15</v>
      </c>
      <c r="AB7939" s="5">
        <v>1500</v>
      </c>
      <c r="AC7939">
        <v>100</v>
      </c>
      <c r="AD7939">
        <v>15</v>
      </c>
      <c r="AE7939" s="1">
        <v>1500</v>
      </c>
      <c r="AF7939">
        <v>0</v>
      </c>
      <c r="AJ7939">
        <v>0</v>
      </c>
      <c r="AK7939">
        <v>0</v>
      </c>
      <c r="AL7939">
        <v>0</v>
      </c>
      <c r="AM7939">
        <v>104</v>
      </c>
      <c r="AN7939">
        <v>104</v>
      </c>
      <c r="AO7939">
        <v>104</v>
      </c>
      <c r="AP7939" s="2">
        <v>42746</v>
      </c>
      <c r="AQ7939" t="s">
        <v>72</v>
      </c>
      <c r="AR7939" t="s">
        <v>72</v>
      </c>
      <c r="AS7939">
        <v>2574</v>
      </c>
      <c r="AT7939" s="4">
        <v>42646</v>
      </c>
      <c r="AU7939" t="s">
        <v>73</v>
      </c>
      <c r="AV7939">
        <v>2574</v>
      </c>
      <c r="AW7939" s="4">
        <v>42646</v>
      </c>
      <c r="BD7939">
        <v>0</v>
      </c>
      <c r="BN7939" t="s">
        <v>74</v>
      </c>
    </row>
    <row r="7940" spans="1:66">
      <c r="A7940">
        <v>104492</v>
      </c>
      <c r="B7940" s="3" t="s">
        <v>670</v>
      </c>
      <c r="C7940" s="1">
        <v>43300101</v>
      </c>
      <c r="D7940" t="s">
        <v>67</v>
      </c>
      <c r="H7940" t="str">
        <f t="shared" si="782"/>
        <v>05354730631</v>
      </c>
      <c r="I7940" t="str">
        <f t="shared" si="782"/>
        <v>05354730631</v>
      </c>
      <c r="K7940" t="str">
        <f>""</f>
        <v/>
      </c>
      <c r="M7940" t="s">
        <v>68</v>
      </c>
      <c r="N7940" t="str">
        <f t="shared" si="781"/>
        <v>FOR</v>
      </c>
      <c r="O7940" t="s">
        <v>69</v>
      </c>
      <c r="P7940" s="3" t="s">
        <v>75</v>
      </c>
      <c r="Q7940">
        <v>2016</v>
      </c>
      <c r="R7940" s="2">
        <v>42573</v>
      </c>
      <c r="S7940" s="2">
        <v>42577</v>
      </c>
      <c r="T7940" s="2">
        <v>42576</v>
      </c>
      <c r="U7940" s="2">
        <v>42636</v>
      </c>
      <c r="V7940" t="s">
        <v>71</v>
      </c>
      <c r="W7940" t="str">
        <f>"               F2407"</f>
        <v xml:space="preserve">               F2407</v>
      </c>
      <c r="X7940">
        <v>104</v>
      </c>
      <c r="Y7940">
        <v>0</v>
      </c>
      <c r="Z7940" s="3">
        <v>100</v>
      </c>
      <c r="AA7940">
        <v>10</v>
      </c>
      <c r="AB7940" s="5">
        <v>1000</v>
      </c>
      <c r="AC7940">
        <v>100</v>
      </c>
      <c r="AD7940">
        <v>10</v>
      </c>
      <c r="AE7940" s="1">
        <v>1000</v>
      </c>
      <c r="AF7940">
        <v>0</v>
      </c>
      <c r="AJ7940">
        <v>0</v>
      </c>
      <c r="AK7940">
        <v>0</v>
      </c>
      <c r="AL7940">
        <v>0</v>
      </c>
      <c r="AM7940">
        <v>104</v>
      </c>
      <c r="AN7940">
        <v>104</v>
      </c>
      <c r="AO7940">
        <v>104</v>
      </c>
      <c r="AP7940" s="2">
        <v>42746</v>
      </c>
      <c r="AQ7940" t="s">
        <v>72</v>
      </c>
      <c r="AR7940" t="s">
        <v>72</v>
      </c>
      <c r="AS7940">
        <v>2574</v>
      </c>
      <c r="AT7940" s="4">
        <v>42646</v>
      </c>
      <c r="AU7940" t="s">
        <v>73</v>
      </c>
      <c r="AV7940">
        <v>2574</v>
      </c>
      <c r="AW7940" s="4">
        <v>42646</v>
      </c>
      <c r="BD7940">
        <v>0</v>
      </c>
      <c r="BN7940" t="s">
        <v>74</v>
      </c>
    </row>
    <row r="7941" spans="1:66">
      <c r="A7941">
        <v>104492</v>
      </c>
      <c r="B7941" s="3" t="s">
        <v>670</v>
      </c>
      <c r="C7941" s="1">
        <v>43300101</v>
      </c>
      <c r="D7941" t="s">
        <v>67</v>
      </c>
      <c r="H7941" t="str">
        <f t="shared" si="782"/>
        <v>05354730631</v>
      </c>
      <c r="I7941" t="str">
        <f t="shared" si="782"/>
        <v>05354730631</v>
      </c>
      <c r="K7941" t="str">
        <f>""</f>
        <v/>
      </c>
      <c r="M7941" t="s">
        <v>68</v>
      </c>
      <c r="N7941" t="str">
        <f t="shared" si="781"/>
        <v>FOR</v>
      </c>
      <c r="O7941" t="s">
        <v>69</v>
      </c>
      <c r="P7941" s="3" t="s">
        <v>75</v>
      </c>
      <c r="Q7941">
        <v>2016</v>
      </c>
      <c r="R7941" s="2">
        <v>42627</v>
      </c>
      <c r="S7941" s="2">
        <v>42634</v>
      </c>
      <c r="T7941" s="2">
        <v>42628</v>
      </c>
      <c r="U7941" s="2">
        <v>42688</v>
      </c>
      <c r="V7941" t="s">
        <v>71</v>
      </c>
      <c r="W7941" t="str">
        <f>"               F2644"</f>
        <v xml:space="preserve">               F2644</v>
      </c>
      <c r="X7941">
        <v>104</v>
      </c>
      <c r="Y7941">
        <v>0</v>
      </c>
      <c r="Z7941" s="3">
        <v>100</v>
      </c>
      <c r="AA7941">
        <v>-5</v>
      </c>
      <c r="AB7941" s="3">
        <v>-500</v>
      </c>
      <c r="AC7941">
        <v>100</v>
      </c>
      <c r="AD7941">
        <v>-5</v>
      </c>
      <c r="AE7941">
        <v>-500</v>
      </c>
      <c r="AF7941">
        <v>0</v>
      </c>
      <c r="AJ7941">
        <v>0</v>
      </c>
      <c r="AK7941">
        <v>0</v>
      </c>
      <c r="AL7941">
        <v>0</v>
      </c>
      <c r="AM7941">
        <v>104</v>
      </c>
      <c r="AN7941">
        <v>104</v>
      </c>
      <c r="AO7941">
        <v>104</v>
      </c>
      <c r="AP7941" s="2">
        <v>42746</v>
      </c>
      <c r="AQ7941" t="s">
        <v>72</v>
      </c>
      <c r="AR7941" t="s">
        <v>72</v>
      </c>
      <c r="AS7941">
        <v>3026</v>
      </c>
      <c r="AT7941" s="4">
        <v>42683</v>
      </c>
      <c r="AV7941">
        <v>3026</v>
      </c>
      <c r="AW7941" s="4">
        <v>42683</v>
      </c>
      <c r="BD7941">
        <v>0</v>
      </c>
      <c r="BN7941" t="s">
        <v>74</v>
      </c>
    </row>
    <row r="7942" spans="1:66">
      <c r="A7942">
        <v>104492</v>
      </c>
      <c r="B7942" s="3" t="s">
        <v>670</v>
      </c>
      <c r="C7942" s="1">
        <v>43300101</v>
      </c>
      <c r="D7942" t="s">
        <v>67</v>
      </c>
      <c r="H7942" t="str">
        <f t="shared" si="782"/>
        <v>05354730631</v>
      </c>
      <c r="I7942" t="str">
        <f t="shared" si="782"/>
        <v>05354730631</v>
      </c>
      <c r="K7942" t="str">
        <f>""</f>
        <v/>
      </c>
      <c r="M7942" t="s">
        <v>68</v>
      </c>
      <c r="N7942" t="str">
        <f t="shared" si="781"/>
        <v>FOR</v>
      </c>
      <c r="O7942" t="s">
        <v>69</v>
      </c>
      <c r="P7942" s="3" t="s">
        <v>75</v>
      </c>
      <c r="Q7942">
        <v>2016</v>
      </c>
      <c r="R7942" s="2">
        <v>42627</v>
      </c>
      <c r="S7942" s="2">
        <v>42634</v>
      </c>
      <c r="T7942" s="2">
        <v>42628</v>
      </c>
      <c r="U7942" s="2">
        <v>42688</v>
      </c>
      <c r="V7942" t="s">
        <v>71</v>
      </c>
      <c r="W7942" t="str">
        <f>"               F2645"</f>
        <v xml:space="preserve">               F2645</v>
      </c>
      <c r="X7942">
        <v>104</v>
      </c>
      <c r="Y7942">
        <v>0</v>
      </c>
      <c r="Z7942" s="3">
        <v>100</v>
      </c>
      <c r="AA7942">
        <v>-5</v>
      </c>
      <c r="AB7942" s="3">
        <v>-500</v>
      </c>
      <c r="AC7942">
        <v>100</v>
      </c>
      <c r="AD7942">
        <v>-5</v>
      </c>
      <c r="AE7942">
        <v>-500</v>
      </c>
      <c r="AF7942">
        <v>0</v>
      </c>
      <c r="AJ7942">
        <v>0</v>
      </c>
      <c r="AK7942">
        <v>0</v>
      </c>
      <c r="AL7942">
        <v>0</v>
      </c>
      <c r="AM7942">
        <v>104</v>
      </c>
      <c r="AN7942">
        <v>104</v>
      </c>
      <c r="AO7942">
        <v>104</v>
      </c>
      <c r="AP7942" s="2">
        <v>42746</v>
      </c>
      <c r="AQ7942" t="s">
        <v>72</v>
      </c>
      <c r="AR7942" t="s">
        <v>72</v>
      </c>
      <c r="AS7942">
        <v>3026</v>
      </c>
      <c r="AT7942" s="4">
        <v>42683</v>
      </c>
      <c r="AV7942">
        <v>3026</v>
      </c>
      <c r="AW7942" s="4">
        <v>42683</v>
      </c>
      <c r="BD7942">
        <v>0</v>
      </c>
      <c r="BN7942" t="s">
        <v>74</v>
      </c>
    </row>
    <row r="7943" spans="1:66">
      <c r="A7943">
        <v>104492</v>
      </c>
      <c r="B7943" s="3" t="s">
        <v>670</v>
      </c>
      <c r="C7943" s="1">
        <v>43300101</v>
      </c>
      <c r="D7943" t="s">
        <v>67</v>
      </c>
      <c r="H7943" t="str">
        <f t="shared" si="782"/>
        <v>05354730631</v>
      </c>
      <c r="I7943" t="str">
        <f t="shared" si="782"/>
        <v>05354730631</v>
      </c>
      <c r="K7943" t="str">
        <f>""</f>
        <v/>
      </c>
      <c r="M7943" t="s">
        <v>68</v>
      </c>
      <c r="N7943" t="str">
        <f t="shared" si="781"/>
        <v>FOR</v>
      </c>
      <c r="O7943" t="s">
        <v>69</v>
      </c>
      <c r="P7943" s="3" t="s">
        <v>75</v>
      </c>
      <c r="Q7943">
        <v>2016</v>
      </c>
      <c r="R7943" s="2">
        <v>42643</v>
      </c>
      <c r="S7943" s="2">
        <v>42646</v>
      </c>
      <c r="T7943" s="2">
        <v>42646</v>
      </c>
      <c r="U7943" s="2">
        <v>42706</v>
      </c>
      <c r="V7943" t="s">
        <v>71</v>
      </c>
      <c r="W7943" t="str">
        <f>"               F2781"</f>
        <v xml:space="preserve">               F2781</v>
      </c>
      <c r="X7943">
        <v>135.19999999999999</v>
      </c>
      <c r="Y7943">
        <v>0</v>
      </c>
      <c r="Z7943" s="3">
        <v>130</v>
      </c>
      <c r="AA7943">
        <v>-23</v>
      </c>
      <c r="AB7943" s="5">
        <v>-2990</v>
      </c>
      <c r="AC7943">
        <v>130</v>
      </c>
      <c r="AD7943">
        <v>-23</v>
      </c>
      <c r="AE7943" s="1">
        <v>-2990</v>
      </c>
      <c r="AF7943">
        <v>0</v>
      </c>
      <c r="AJ7943">
        <v>0</v>
      </c>
      <c r="AK7943">
        <v>135.19999999999999</v>
      </c>
      <c r="AL7943">
        <v>0</v>
      </c>
      <c r="AM7943">
        <v>135.19999999999999</v>
      </c>
      <c r="AN7943">
        <v>135.19999999999999</v>
      </c>
      <c r="AO7943">
        <v>135.19999999999999</v>
      </c>
      <c r="AP7943" s="2">
        <v>42746</v>
      </c>
      <c r="AQ7943" t="s">
        <v>72</v>
      </c>
      <c r="AR7943" t="s">
        <v>72</v>
      </c>
      <c r="AS7943">
        <v>3026</v>
      </c>
      <c r="AT7943" s="4">
        <v>42683</v>
      </c>
      <c r="AV7943">
        <v>3026</v>
      </c>
      <c r="AW7943" s="4">
        <v>42683</v>
      </c>
      <c r="BD7943">
        <v>0</v>
      </c>
      <c r="BN7943" t="s">
        <v>74</v>
      </c>
    </row>
    <row r="7944" spans="1:66">
      <c r="A7944">
        <v>104492</v>
      </c>
      <c r="B7944" s="3" t="s">
        <v>670</v>
      </c>
      <c r="C7944" s="1">
        <v>43300101</v>
      </c>
      <c r="D7944" t="s">
        <v>67</v>
      </c>
      <c r="H7944" t="str">
        <f t="shared" si="782"/>
        <v>05354730631</v>
      </c>
      <c r="I7944" t="str">
        <f t="shared" si="782"/>
        <v>05354730631</v>
      </c>
      <c r="K7944" t="str">
        <f>""</f>
        <v/>
      </c>
      <c r="M7944" t="s">
        <v>68</v>
      </c>
      <c r="N7944" t="str">
        <f t="shared" si="781"/>
        <v>FOR</v>
      </c>
      <c r="O7944" t="s">
        <v>69</v>
      </c>
      <c r="P7944" s="3" t="s">
        <v>75</v>
      </c>
      <c r="Q7944">
        <v>2016</v>
      </c>
      <c r="R7944" s="2">
        <v>42643</v>
      </c>
      <c r="S7944" s="2">
        <v>42646</v>
      </c>
      <c r="T7944" s="2">
        <v>42646</v>
      </c>
      <c r="U7944" s="2">
        <v>42706</v>
      </c>
      <c r="V7944" t="s">
        <v>71</v>
      </c>
      <c r="W7944" t="str">
        <f>"               F2782"</f>
        <v xml:space="preserve">               F2782</v>
      </c>
      <c r="X7944">
        <v>135.19999999999999</v>
      </c>
      <c r="Y7944">
        <v>0</v>
      </c>
      <c r="Z7944" s="3">
        <v>130</v>
      </c>
      <c r="AA7944">
        <v>-23</v>
      </c>
      <c r="AB7944" s="5">
        <v>-2990</v>
      </c>
      <c r="AC7944">
        <v>130</v>
      </c>
      <c r="AD7944">
        <v>-23</v>
      </c>
      <c r="AE7944" s="1">
        <v>-2990</v>
      </c>
      <c r="AF7944">
        <v>0</v>
      </c>
      <c r="AJ7944">
        <v>0</v>
      </c>
      <c r="AK7944">
        <v>135.19999999999999</v>
      </c>
      <c r="AL7944">
        <v>0</v>
      </c>
      <c r="AM7944">
        <v>135.19999999999999</v>
      </c>
      <c r="AN7944">
        <v>135.19999999999999</v>
      </c>
      <c r="AO7944">
        <v>135.19999999999999</v>
      </c>
      <c r="AP7944" s="2">
        <v>42746</v>
      </c>
      <c r="AQ7944" t="s">
        <v>72</v>
      </c>
      <c r="AR7944" t="s">
        <v>72</v>
      </c>
      <c r="AS7944">
        <v>3026</v>
      </c>
      <c r="AT7944" s="4">
        <v>42683</v>
      </c>
      <c r="AV7944">
        <v>3026</v>
      </c>
      <c r="AW7944" s="4">
        <v>42683</v>
      </c>
      <c r="BD7944">
        <v>0</v>
      </c>
      <c r="BN7944" t="s">
        <v>74</v>
      </c>
    </row>
    <row r="7945" spans="1:66">
      <c r="A7945">
        <v>104492</v>
      </c>
      <c r="B7945" s="3" t="s">
        <v>670</v>
      </c>
      <c r="C7945" s="1">
        <v>43300101</v>
      </c>
      <c r="D7945" t="s">
        <v>67</v>
      </c>
      <c r="H7945" t="str">
        <f t="shared" si="782"/>
        <v>05354730631</v>
      </c>
      <c r="I7945" t="str">
        <f t="shared" si="782"/>
        <v>05354730631</v>
      </c>
      <c r="K7945" t="str">
        <f>""</f>
        <v/>
      </c>
      <c r="M7945" t="s">
        <v>68</v>
      </c>
      <c r="N7945" t="str">
        <f t="shared" si="781"/>
        <v>FOR</v>
      </c>
      <c r="O7945" t="s">
        <v>69</v>
      </c>
      <c r="P7945" s="3" t="s">
        <v>75</v>
      </c>
      <c r="Q7945">
        <v>2016</v>
      </c>
      <c r="R7945" s="2">
        <v>42656</v>
      </c>
      <c r="S7945" s="2">
        <v>42661</v>
      </c>
      <c r="T7945" s="2">
        <v>42657</v>
      </c>
      <c r="U7945" s="2">
        <v>42717</v>
      </c>
      <c r="V7945" t="s">
        <v>71</v>
      </c>
      <c r="W7945" t="str">
        <f>"               F2960"</f>
        <v xml:space="preserve">               F2960</v>
      </c>
      <c r="X7945" s="1">
        <v>2165.5</v>
      </c>
      <c r="Y7945">
        <v>0</v>
      </c>
      <c r="Z7945" s="5">
        <v>1775</v>
      </c>
      <c r="AA7945">
        <v>-34</v>
      </c>
      <c r="AB7945" s="5">
        <v>-60350</v>
      </c>
      <c r="AC7945" s="1">
        <v>1775</v>
      </c>
      <c r="AD7945">
        <v>-34</v>
      </c>
      <c r="AE7945" s="1">
        <v>-60350</v>
      </c>
      <c r="AF7945">
        <v>0</v>
      </c>
      <c r="AJ7945" s="1">
        <v>2165.5</v>
      </c>
      <c r="AK7945" s="1">
        <v>2165.5</v>
      </c>
      <c r="AL7945" s="1">
        <v>2165.5</v>
      </c>
      <c r="AM7945" s="1">
        <v>2165.5</v>
      </c>
      <c r="AN7945" s="1">
        <v>2165.5</v>
      </c>
      <c r="AO7945" s="1">
        <v>2165.5</v>
      </c>
      <c r="AP7945" s="2">
        <v>42746</v>
      </c>
      <c r="AQ7945" t="s">
        <v>72</v>
      </c>
      <c r="AR7945" t="s">
        <v>72</v>
      </c>
      <c r="AS7945">
        <v>3026</v>
      </c>
      <c r="AT7945" s="4">
        <v>42683</v>
      </c>
      <c r="AV7945">
        <v>3026</v>
      </c>
      <c r="AW7945" s="4">
        <v>42683</v>
      </c>
      <c r="BD7945">
        <v>0</v>
      </c>
      <c r="BN7945" t="s">
        <v>74</v>
      </c>
    </row>
    <row r="7946" spans="1:66">
      <c r="A7946">
        <v>104516</v>
      </c>
      <c r="B7946" s="3" t="s">
        <v>671</v>
      </c>
      <c r="C7946" s="1">
        <v>43201201</v>
      </c>
      <c r="D7946" t="s">
        <v>116</v>
      </c>
      <c r="H7946" t="str">
        <f t="shared" ref="H7946:I7974" si="783">"03519500619"</f>
        <v>03519500619</v>
      </c>
      <c r="I7946" t="str">
        <f t="shared" si="783"/>
        <v>03519500619</v>
      </c>
      <c r="K7946" t="str">
        <f>""</f>
        <v/>
      </c>
      <c r="M7946" t="s">
        <v>68</v>
      </c>
      <c r="N7946" t="str">
        <f t="shared" ref="N7946:N7974" si="784">"AZ1"</f>
        <v>AZ1</v>
      </c>
      <c r="O7946" t="s">
        <v>117</v>
      </c>
      <c r="P7946" s="3" t="s">
        <v>78</v>
      </c>
      <c r="Q7946">
        <v>2013</v>
      </c>
      <c r="R7946" s="2">
        <v>41374</v>
      </c>
      <c r="S7946" s="2">
        <v>41402</v>
      </c>
      <c r="T7946" s="2">
        <v>41402</v>
      </c>
      <c r="U7946" s="2">
        <v>41402</v>
      </c>
      <c r="V7946" t="s">
        <v>71</v>
      </c>
      <c r="W7946" t="str">
        <f>"                2011"</f>
        <v xml:space="preserve">                2011</v>
      </c>
      <c r="X7946">
        <v>93.23</v>
      </c>
      <c r="Y7946">
        <v>0</v>
      </c>
      <c r="Z7946" s="3">
        <v>93.23</v>
      </c>
      <c r="AA7946">
        <v>1276</v>
      </c>
      <c r="AB7946" s="5">
        <v>118961.48</v>
      </c>
      <c r="AC7946">
        <v>93.23</v>
      </c>
      <c r="AD7946">
        <v>1276</v>
      </c>
      <c r="AE7946" s="1">
        <v>118961.48</v>
      </c>
      <c r="AF7946">
        <v>0</v>
      </c>
      <c r="AJ7946">
        <v>0</v>
      </c>
      <c r="AK7946">
        <v>0</v>
      </c>
      <c r="AL7946">
        <v>0</v>
      </c>
      <c r="AM7946">
        <v>0</v>
      </c>
      <c r="AN7946">
        <v>0</v>
      </c>
      <c r="AO7946">
        <v>0</v>
      </c>
      <c r="AP7946" s="2">
        <v>42746</v>
      </c>
      <c r="AQ7946" t="s">
        <v>72</v>
      </c>
      <c r="AR7946" t="s">
        <v>72</v>
      </c>
      <c r="AS7946">
        <v>2911</v>
      </c>
      <c r="AT7946" s="4">
        <v>42678</v>
      </c>
      <c r="AU7946" t="s">
        <v>73</v>
      </c>
      <c r="AV7946">
        <v>2911</v>
      </c>
      <c r="AW7946" s="4">
        <v>42678</v>
      </c>
      <c r="BD7946">
        <v>0</v>
      </c>
      <c r="BN7946" t="s">
        <v>74</v>
      </c>
    </row>
    <row r="7947" spans="1:66">
      <c r="A7947">
        <v>104516</v>
      </c>
      <c r="B7947" s="3" t="s">
        <v>671</v>
      </c>
      <c r="C7947" s="1">
        <v>43201201</v>
      </c>
      <c r="D7947" t="s">
        <v>116</v>
      </c>
      <c r="H7947" t="str">
        <f t="shared" si="783"/>
        <v>03519500619</v>
      </c>
      <c r="I7947" t="str">
        <f t="shared" si="783"/>
        <v>03519500619</v>
      </c>
      <c r="K7947" t="str">
        <f>""</f>
        <v/>
      </c>
      <c r="M7947" t="s">
        <v>68</v>
      </c>
      <c r="N7947" t="str">
        <f t="shared" si="784"/>
        <v>AZ1</v>
      </c>
      <c r="O7947" t="s">
        <v>117</v>
      </c>
      <c r="P7947" s="3" t="s">
        <v>78</v>
      </c>
      <c r="Q7947">
        <v>2013</v>
      </c>
      <c r="R7947" s="2">
        <v>41374</v>
      </c>
      <c r="S7947" s="2">
        <v>41402</v>
      </c>
      <c r="T7947" s="2">
        <v>41402</v>
      </c>
      <c r="U7947" s="2">
        <v>41402</v>
      </c>
      <c r="V7947" t="s">
        <v>71</v>
      </c>
      <c r="W7947" t="str">
        <f>"                2012"</f>
        <v xml:space="preserve">                2012</v>
      </c>
      <c r="X7947">
        <v>52.4</v>
      </c>
      <c r="Y7947">
        <v>0</v>
      </c>
      <c r="Z7947" s="3">
        <v>52.4</v>
      </c>
      <c r="AA7947">
        <v>1276</v>
      </c>
      <c r="AB7947" s="5">
        <v>66862.399999999994</v>
      </c>
      <c r="AC7947">
        <v>52.4</v>
      </c>
      <c r="AD7947">
        <v>1276</v>
      </c>
      <c r="AE7947" s="1">
        <v>66862.399999999994</v>
      </c>
      <c r="AF7947">
        <v>0</v>
      </c>
      <c r="AJ7947">
        <v>0</v>
      </c>
      <c r="AK7947">
        <v>0</v>
      </c>
      <c r="AL7947">
        <v>0</v>
      </c>
      <c r="AM7947">
        <v>0</v>
      </c>
      <c r="AN7947">
        <v>0</v>
      </c>
      <c r="AO7947">
        <v>0</v>
      </c>
      <c r="AP7947" s="2">
        <v>42746</v>
      </c>
      <c r="AQ7947" t="s">
        <v>72</v>
      </c>
      <c r="AR7947" t="s">
        <v>72</v>
      </c>
      <c r="AS7947">
        <v>2911</v>
      </c>
      <c r="AT7947" s="4">
        <v>42678</v>
      </c>
      <c r="AU7947" t="s">
        <v>73</v>
      </c>
      <c r="AV7947">
        <v>2911</v>
      </c>
      <c r="AW7947" s="4">
        <v>42678</v>
      </c>
      <c r="BD7947">
        <v>0</v>
      </c>
      <c r="BN7947" t="s">
        <v>74</v>
      </c>
    </row>
    <row r="7948" spans="1:66">
      <c r="A7948">
        <v>104516</v>
      </c>
      <c r="B7948" s="3" t="s">
        <v>671</v>
      </c>
      <c r="C7948" s="1">
        <v>43201201</v>
      </c>
      <c r="D7948" t="s">
        <v>116</v>
      </c>
      <c r="H7948" t="str">
        <f t="shared" si="783"/>
        <v>03519500619</v>
      </c>
      <c r="I7948" t="str">
        <f t="shared" si="783"/>
        <v>03519500619</v>
      </c>
      <c r="K7948" t="str">
        <f>""</f>
        <v/>
      </c>
      <c r="M7948" t="s">
        <v>68</v>
      </c>
      <c r="N7948" t="str">
        <f t="shared" si="784"/>
        <v>AZ1</v>
      </c>
      <c r="O7948" t="s">
        <v>117</v>
      </c>
      <c r="P7948" s="3" t="s">
        <v>78</v>
      </c>
      <c r="Q7948">
        <v>2013</v>
      </c>
      <c r="R7948" s="2">
        <v>41509</v>
      </c>
      <c r="S7948" s="2">
        <v>41794</v>
      </c>
      <c r="T7948" s="2">
        <v>41794</v>
      </c>
      <c r="U7948" s="2">
        <v>41794</v>
      </c>
      <c r="V7948" t="s">
        <v>71</v>
      </c>
      <c r="W7948" t="str">
        <f>"                5176"</f>
        <v xml:space="preserve">                5176</v>
      </c>
      <c r="X7948">
        <v>52.4</v>
      </c>
      <c r="Y7948">
        <v>0</v>
      </c>
      <c r="Z7948" s="3">
        <v>52.4</v>
      </c>
      <c r="AA7948">
        <v>884</v>
      </c>
      <c r="AB7948" s="5">
        <v>46321.599999999999</v>
      </c>
      <c r="AC7948">
        <v>52.4</v>
      </c>
      <c r="AD7948">
        <v>884</v>
      </c>
      <c r="AE7948" s="1">
        <v>46321.599999999999</v>
      </c>
      <c r="AF7948">
        <v>0</v>
      </c>
      <c r="AJ7948">
        <v>0</v>
      </c>
      <c r="AK7948">
        <v>0</v>
      </c>
      <c r="AL7948">
        <v>0</v>
      </c>
      <c r="AM7948">
        <v>0</v>
      </c>
      <c r="AN7948">
        <v>0</v>
      </c>
      <c r="AO7948">
        <v>0</v>
      </c>
      <c r="AP7948" s="2">
        <v>42746</v>
      </c>
      <c r="AQ7948" t="s">
        <v>72</v>
      </c>
      <c r="AR7948" t="s">
        <v>72</v>
      </c>
      <c r="AS7948">
        <v>2911</v>
      </c>
      <c r="AT7948" s="4">
        <v>42678</v>
      </c>
      <c r="AU7948" t="s">
        <v>73</v>
      </c>
      <c r="AV7948">
        <v>2911</v>
      </c>
      <c r="AW7948" s="4">
        <v>42678</v>
      </c>
      <c r="BD7948">
        <v>0</v>
      </c>
      <c r="BN7948" t="s">
        <v>74</v>
      </c>
    </row>
    <row r="7949" spans="1:66">
      <c r="A7949">
        <v>104516</v>
      </c>
      <c r="B7949" s="3" t="s">
        <v>671</v>
      </c>
      <c r="C7949" s="1">
        <v>43201201</v>
      </c>
      <c r="D7949" t="s">
        <v>116</v>
      </c>
      <c r="H7949" t="str">
        <f t="shared" si="783"/>
        <v>03519500619</v>
      </c>
      <c r="I7949" t="str">
        <f t="shared" si="783"/>
        <v>03519500619</v>
      </c>
      <c r="K7949" t="str">
        <f>""</f>
        <v/>
      </c>
      <c r="M7949" t="s">
        <v>68</v>
      </c>
      <c r="N7949" t="str">
        <f t="shared" si="784"/>
        <v>AZ1</v>
      </c>
      <c r="O7949" t="s">
        <v>117</v>
      </c>
      <c r="P7949" s="3" t="s">
        <v>78</v>
      </c>
      <c r="Q7949">
        <v>2013</v>
      </c>
      <c r="R7949" s="2">
        <v>41516</v>
      </c>
      <c r="S7949" s="2">
        <v>41794</v>
      </c>
      <c r="T7949" s="2">
        <v>41794</v>
      </c>
      <c r="U7949" s="2">
        <v>41794</v>
      </c>
      <c r="V7949" t="s">
        <v>71</v>
      </c>
      <c r="W7949" t="str">
        <f>"                5409"</f>
        <v xml:space="preserve">                5409</v>
      </c>
      <c r="X7949">
        <v>52.4</v>
      </c>
      <c r="Y7949">
        <v>0</v>
      </c>
      <c r="Z7949" s="3">
        <v>52.4</v>
      </c>
      <c r="AA7949">
        <v>884</v>
      </c>
      <c r="AB7949" s="5">
        <v>46321.599999999999</v>
      </c>
      <c r="AC7949">
        <v>52.4</v>
      </c>
      <c r="AD7949">
        <v>884</v>
      </c>
      <c r="AE7949" s="1">
        <v>46321.599999999999</v>
      </c>
      <c r="AF7949">
        <v>0</v>
      </c>
      <c r="AJ7949">
        <v>0</v>
      </c>
      <c r="AK7949">
        <v>0</v>
      </c>
      <c r="AL7949">
        <v>0</v>
      </c>
      <c r="AM7949">
        <v>0</v>
      </c>
      <c r="AN7949">
        <v>0</v>
      </c>
      <c r="AO7949">
        <v>0</v>
      </c>
      <c r="AP7949" s="2">
        <v>42746</v>
      </c>
      <c r="AQ7949" t="s">
        <v>72</v>
      </c>
      <c r="AR7949" t="s">
        <v>72</v>
      </c>
      <c r="AS7949">
        <v>2911</v>
      </c>
      <c r="AT7949" s="4">
        <v>42678</v>
      </c>
      <c r="AU7949" t="s">
        <v>73</v>
      </c>
      <c r="AV7949">
        <v>2911</v>
      </c>
      <c r="AW7949" s="4">
        <v>42678</v>
      </c>
      <c r="BD7949">
        <v>0</v>
      </c>
      <c r="BN7949" t="s">
        <v>74</v>
      </c>
    </row>
    <row r="7950" spans="1:66">
      <c r="A7950">
        <v>104516</v>
      </c>
      <c r="B7950" s="3" t="s">
        <v>671</v>
      </c>
      <c r="C7950" s="1">
        <v>43201201</v>
      </c>
      <c r="D7950" t="s">
        <v>116</v>
      </c>
      <c r="H7950" t="str">
        <f t="shared" si="783"/>
        <v>03519500619</v>
      </c>
      <c r="I7950" t="str">
        <f t="shared" si="783"/>
        <v>03519500619</v>
      </c>
      <c r="K7950" t="str">
        <f>""</f>
        <v/>
      </c>
      <c r="M7950" t="s">
        <v>68</v>
      </c>
      <c r="N7950" t="str">
        <f t="shared" si="784"/>
        <v>AZ1</v>
      </c>
      <c r="O7950" t="s">
        <v>117</v>
      </c>
      <c r="P7950" s="3" t="s">
        <v>78</v>
      </c>
      <c r="Q7950">
        <v>2013</v>
      </c>
      <c r="R7950" s="2">
        <v>41582</v>
      </c>
      <c r="S7950" s="2">
        <v>41610</v>
      </c>
      <c r="T7950" s="2">
        <v>41610</v>
      </c>
      <c r="U7950" s="2">
        <v>41610</v>
      </c>
      <c r="V7950" t="s">
        <v>71</v>
      </c>
      <c r="W7950" t="str">
        <f>"                7021"</f>
        <v xml:space="preserve">                7021</v>
      </c>
      <c r="X7950">
        <v>66.959999999999994</v>
      </c>
      <c r="Y7950">
        <v>0</v>
      </c>
      <c r="Z7950" s="3">
        <v>66.959999999999994</v>
      </c>
      <c r="AA7950">
        <v>1068</v>
      </c>
      <c r="AB7950" s="5">
        <v>71513.279999999999</v>
      </c>
      <c r="AC7950">
        <v>66.959999999999994</v>
      </c>
      <c r="AD7950">
        <v>1068</v>
      </c>
      <c r="AE7950" s="1">
        <v>71513.279999999999</v>
      </c>
      <c r="AF7950">
        <v>0</v>
      </c>
      <c r="AJ7950">
        <v>0</v>
      </c>
      <c r="AK7950">
        <v>0</v>
      </c>
      <c r="AL7950">
        <v>0</v>
      </c>
      <c r="AM7950">
        <v>0</v>
      </c>
      <c r="AN7950">
        <v>0</v>
      </c>
      <c r="AO7950">
        <v>0</v>
      </c>
      <c r="AP7950" s="2">
        <v>42746</v>
      </c>
      <c r="AQ7950" t="s">
        <v>72</v>
      </c>
      <c r="AR7950" t="s">
        <v>72</v>
      </c>
      <c r="AS7950">
        <v>2911</v>
      </c>
      <c r="AT7950" s="4">
        <v>42678</v>
      </c>
      <c r="AU7950" t="s">
        <v>73</v>
      </c>
      <c r="AV7950">
        <v>2911</v>
      </c>
      <c r="AW7950" s="4">
        <v>42678</v>
      </c>
      <c r="BD7950">
        <v>0</v>
      </c>
      <c r="BN7950" t="s">
        <v>74</v>
      </c>
    </row>
    <row r="7951" spans="1:66">
      <c r="A7951">
        <v>104516</v>
      </c>
      <c r="B7951" s="3" t="s">
        <v>671</v>
      </c>
      <c r="C7951" s="1">
        <v>43201201</v>
      </c>
      <c r="D7951" t="s">
        <v>116</v>
      </c>
      <c r="H7951" t="str">
        <f t="shared" si="783"/>
        <v>03519500619</v>
      </c>
      <c r="I7951" t="str">
        <f t="shared" si="783"/>
        <v>03519500619</v>
      </c>
      <c r="K7951" t="str">
        <f>""</f>
        <v/>
      </c>
      <c r="M7951" t="s">
        <v>68</v>
      </c>
      <c r="N7951" t="str">
        <f t="shared" si="784"/>
        <v>AZ1</v>
      </c>
      <c r="O7951" t="s">
        <v>117</v>
      </c>
      <c r="P7951" s="3" t="s">
        <v>78</v>
      </c>
      <c r="Q7951">
        <v>2014</v>
      </c>
      <c r="R7951" s="2">
        <v>41689</v>
      </c>
      <c r="S7951" s="2">
        <v>41725</v>
      </c>
      <c r="T7951" s="2">
        <v>41725</v>
      </c>
      <c r="U7951" s="2">
        <v>41725</v>
      </c>
      <c r="V7951" t="s">
        <v>71</v>
      </c>
      <c r="W7951" t="str">
        <f>"                 936"</f>
        <v xml:space="preserve">                 936</v>
      </c>
      <c r="X7951">
        <v>83.86</v>
      </c>
      <c r="Y7951">
        <v>0</v>
      </c>
      <c r="Z7951" s="3">
        <v>83.86</v>
      </c>
      <c r="AA7951">
        <v>953</v>
      </c>
      <c r="AB7951" s="5">
        <v>79918.58</v>
      </c>
      <c r="AC7951">
        <v>83.86</v>
      </c>
      <c r="AD7951">
        <v>953</v>
      </c>
      <c r="AE7951" s="1">
        <v>79918.58</v>
      </c>
      <c r="AF7951">
        <v>0</v>
      </c>
      <c r="AJ7951">
        <v>0</v>
      </c>
      <c r="AK7951">
        <v>0</v>
      </c>
      <c r="AL7951">
        <v>0</v>
      </c>
      <c r="AM7951">
        <v>0</v>
      </c>
      <c r="AN7951">
        <v>0</v>
      </c>
      <c r="AO7951">
        <v>0</v>
      </c>
      <c r="AP7951" s="2">
        <v>42746</v>
      </c>
      <c r="AQ7951" t="s">
        <v>72</v>
      </c>
      <c r="AR7951" t="s">
        <v>72</v>
      </c>
      <c r="AS7951">
        <v>2911</v>
      </c>
      <c r="AT7951" s="4">
        <v>42678</v>
      </c>
      <c r="AU7951" t="s">
        <v>73</v>
      </c>
      <c r="AV7951">
        <v>2911</v>
      </c>
      <c r="AW7951" s="4">
        <v>42678</v>
      </c>
      <c r="BD7951">
        <v>0</v>
      </c>
      <c r="BN7951" t="s">
        <v>74</v>
      </c>
    </row>
    <row r="7952" spans="1:66">
      <c r="A7952">
        <v>104516</v>
      </c>
      <c r="B7952" s="3" t="s">
        <v>671</v>
      </c>
      <c r="C7952" s="1">
        <v>43201201</v>
      </c>
      <c r="D7952" t="s">
        <v>116</v>
      </c>
      <c r="H7952" t="str">
        <f t="shared" si="783"/>
        <v>03519500619</v>
      </c>
      <c r="I7952" t="str">
        <f t="shared" si="783"/>
        <v>03519500619</v>
      </c>
      <c r="K7952" t="str">
        <f>""</f>
        <v/>
      </c>
      <c r="M7952" t="s">
        <v>68</v>
      </c>
      <c r="N7952" t="str">
        <f t="shared" si="784"/>
        <v>AZ1</v>
      </c>
      <c r="O7952" t="s">
        <v>117</v>
      </c>
      <c r="P7952" s="3" t="s">
        <v>70</v>
      </c>
      <c r="Q7952">
        <v>2014</v>
      </c>
      <c r="R7952" s="2">
        <v>41689</v>
      </c>
      <c r="S7952" s="2">
        <v>42678</v>
      </c>
      <c r="T7952" s="2">
        <v>42678</v>
      </c>
      <c r="U7952" s="2">
        <v>42738</v>
      </c>
      <c r="V7952" t="s">
        <v>71</v>
      </c>
      <c r="W7952" t="str">
        <f>"                 953"</f>
        <v xml:space="preserve">                 953</v>
      </c>
      <c r="X7952">
        <v>60.36</v>
      </c>
      <c r="Y7952">
        <v>0</v>
      </c>
      <c r="Z7952" s="3">
        <v>60.36</v>
      </c>
      <c r="AA7952">
        <v>-60</v>
      </c>
      <c r="AB7952" s="5">
        <v>-3621.6</v>
      </c>
      <c r="AC7952">
        <v>60.36</v>
      </c>
      <c r="AD7952">
        <v>-60</v>
      </c>
      <c r="AE7952" s="1">
        <v>-3621.6</v>
      </c>
      <c r="AF7952">
        <v>0</v>
      </c>
      <c r="AJ7952">
        <v>0</v>
      </c>
      <c r="AK7952">
        <v>60.36</v>
      </c>
      <c r="AL7952">
        <v>0</v>
      </c>
      <c r="AM7952">
        <v>0</v>
      </c>
      <c r="AN7952">
        <v>60.36</v>
      </c>
      <c r="AO7952">
        <v>0</v>
      </c>
      <c r="AP7952" s="2">
        <v>42746</v>
      </c>
      <c r="AQ7952" t="s">
        <v>72</v>
      </c>
      <c r="AR7952" t="s">
        <v>72</v>
      </c>
      <c r="AS7952">
        <v>2911</v>
      </c>
      <c r="AT7952" s="4">
        <v>42678</v>
      </c>
      <c r="AV7952">
        <v>2911</v>
      </c>
      <c r="AW7952" s="4">
        <v>42678</v>
      </c>
      <c r="BD7952">
        <v>0</v>
      </c>
      <c r="BN7952" t="s">
        <v>74</v>
      </c>
    </row>
    <row r="7953" spans="1:66">
      <c r="A7953">
        <v>104516</v>
      </c>
      <c r="B7953" s="3" t="s">
        <v>671</v>
      </c>
      <c r="C7953" s="1">
        <v>43201201</v>
      </c>
      <c r="D7953" t="s">
        <v>116</v>
      </c>
      <c r="H7953" t="str">
        <f t="shared" si="783"/>
        <v>03519500619</v>
      </c>
      <c r="I7953" t="str">
        <f t="shared" si="783"/>
        <v>03519500619</v>
      </c>
      <c r="K7953" t="str">
        <f>""</f>
        <v/>
      </c>
      <c r="M7953" t="s">
        <v>68</v>
      </c>
      <c r="N7953" t="str">
        <f t="shared" si="784"/>
        <v>AZ1</v>
      </c>
      <c r="O7953" t="s">
        <v>117</v>
      </c>
      <c r="P7953" s="3" t="s">
        <v>78</v>
      </c>
      <c r="Q7953">
        <v>2014</v>
      </c>
      <c r="R7953" s="2">
        <v>41703</v>
      </c>
      <c r="S7953" s="2">
        <v>41731</v>
      </c>
      <c r="T7953" s="2">
        <v>41731</v>
      </c>
      <c r="U7953" s="2">
        <v>41731</v>
      </c>
      <c r="V7953" t="s">
        <v>71</v>
      </c>
      <c r="W7953" t="str">
        <f>"                1171"</f>
        <v xml:space="preserve">                1171</v>
      </c>
      <c r="X7953">
        <v>61.02</v>
      </c>
      <c r="Y7953">
        <v>0</v>
      </c>
      <c r="Z7953" s="3">
        <v>61.02</v>
      </c>
      <c r="AA7953">
        <v>947</v>
      </c>
      <c r="AB7953" s="5">
        <v>57785.94</v>
      </c>
      <c r="AC7953">
        <v>61.02</v>
      </c>
      <c r="AD7953">
        <v>947</v>
      </c>
      <c r="AE7953" s="1">
        <v>57785.94</v>
      </c>
      <c r="AF7953">
        <v>0</v>
      </c>
      <c r="AJ7953">
        <v>0</v>
      </c>
      <c r="AK7953">
        <v>0</v>
      </c>
      <c r="AL7953">
        <v>0</v>
      </c>
      <c r="AM7953">
        <v>0</v>
      </c>
      <c r="AN7953">
        <v>0</v>
      </c>
      <c r="AO7953">
        <v>0</v>
      </c>
      <c r="AP7953" s="2">
        <v>42746</v>
      </c>
      <c r="AQ7953" t="s">
        <v>72</v>
      </c>
      <c r="AR7953" t="s">
        <v>72</v>
      </c>
      <c r="AS7953">
        <v>2911</v>
      </c>
      <c r="AT7953" s="4">
        <v>42678</v>
      </c>
      <c r="AU7953" t="s">
        <v>73</v>
      </c>
      <c r="AV7953">
        <v>2911</v>
      </c>
      <c r="AW7953" s="4">
        <v>42678</v>
      </c>
      <c r="BD7953">
        <v>0</v>
      </c>
      <c r="BN7953" t="s">
        <v>74</v>
      </c>
    </row>
    <row r="7954" spans="1:66">
      <c r="A7954">
        <v>104516</v>
      </c>
      <c r="B7954" s="3" t="s">
        <v>671</v>
      </c>
      <c r="C7954" s="1">
        <v>43201201</v>
      </c>
      <c r="D7954" t="s">
        <v>116</v>
      </c>
      <c r="H7954" t="str">
        <f t="shared" si="783"/>
        <v>03519500619</v>
      </c>
      <c r="I7954" t="str">
        <f t="shared" si="783"/>
        <v>03519500619</v>
      </c>
      <c r="K7954" t="str">
        <f>""</f>
        <v/>
      </c>
      <c r="M7954" t="s">
        <v>68</v>
      </c>
      <c r="N7954" t="str">
        <f t="shared" si="784"/>
        <v>AZ1</v>
      </c>
      <c r="O7954" t="s">
        <v>117</v>
      </c>
      <c r="P7954" s="3" t="s">
        <v>78</v>
      </c>
      <c r="Q7954">
        <v>2014</v>
      </c>
      <c r="R7954" s="2">
        <v>41736</v>
      </c>
      <c r="S7954" s="2">
        <v>41753</v>
      </c>
      <c r="T7954" s="2">
        <v>41753</v>
      </c>
      <c r="U7954" s="2">
        <v>41753</v>
      </c>
      <c r="V7954" t="s">
        <v>71</v>
      </c>
      <c r="W7954" t="str">
        <f>"                2216"</f>
        <v xml:space="preserve">                2216</v>
      </c>
      <c r="X7954">
        <v>52.4</v>
      </c>
      <c r="Y7954">
        <v>0</v>
      </c>
      <c r="Z7954" s="3">
        <v>52.4</v>
      </c>
      <c r="AA7954">
        <v>925</v>
      </c>
      <c r="AB7954" s="5">
        <v>48470</v>
      </c>
      <c r="AC7954">
        <v>52.4</v>
      </c>
      <c r="AD7954">
        <v>925</v>
      </c>
      <c r="AE7954" s="1">
        <v>48470</v>
      </c>
      <c r="AF7954">
        <v>0</v>
      </c>
      <c r="AJ7954">
        <v>0</v>
      </c>
      <c r="AK7954">
        <v>0</v>
      </c>
      <c r="AL7954">
        <v>0</v>
      </c>
      <c r="AM7954">
        <v>0</v>
      </c>
      <c r="AN7954">
        <v>0</v>
      </c>
      <c r="AO7954">
        <v>0</v>
      </c>
      <c r="AP7954" s="2">
        <v>42746</v>
      </c>
      <c r="AQ7954" t="s">
        <v>72</v>
      </c>
      <c r="AR7954" t="s">
        <v>72</v>
      </c>
      <c r="AS7954">
        <v>2911</v>
      </c>
      <c r="AT7954" s="4">
        <v>42678</v>
      </c>
      <c r="AU7954" t="s">
        <v>73</v>
      </c>
      <c r="AV7954">
        <v>2911</v>
      </c>
      <c r="AW7954" s="4">
        <v>42678</v>
      </c>
      <c r="BD7954">
        <v>0</v>
      </c>
      <c r="BN7954" t="s">
        <v>74</v>
      </c>
    </row>
    <row r="7955" spans="1:66">
      <c r="A7955">
        <v>104516</v>
      </c>
      <c r="B7955" s="3" t="s">
        <v>671</v>
      </c>
      <c r="C7955" s="1">
        <v>43201201</v>
      </c>
      <c r="D7955" t="s">
        <v>116</v>
      </c>
      <c r="H7955" t="str">
        <f t="shared" si="783"/>
        <v>03519500619</v>
      </c>
      <c r="I7955" t="str">
        <f t="shared" si="783"/>
        <v>03519500619</v>
      </c>
      <c r="K7955" t="str">
        <f>""</f>
        <v/>
      </c>
      <c r="M7955" t="s">
        <v>68</v>
      </c>
      <c r="N7955" t="str">
        <f t="shared" si="784"/>
        <v>AZ1</v>
      </c>
      <c r="O7955" t="s">
        <v>117</v>
      </c>
      <c r="P7955" s="3" t="s">
        <v>78</v>
      </c>
      <c r="Q7955">
        <v>2014</v>
      </c>
      <c r="R7955" s="2">
        <v>41740</v>
      </c>
      <c r="S7955" s="2">
        <v>41781</v>
      </c>
      <c r="T7955" s="2">
        <v>41781</v>
      </c>
      <c r="U7955" s="2">
        <v>41781</v>
      </c>
      <c r="V7955" t="s">
        <v>71</v>
      </c>
      <c r="W7955" t="str">
        <f>"                2527"</f>
        <v xml:space="preserve">                2527</v>
      </c>
      <c r="X7955">
        <v>56.4</v>
      </c>
      <c r="Y7955">
        <v>0</v>
      </c>
      <c r="Z7955" s="3">
        <v>56.4</v>
      </c>
      <c r="AA7955">
        <v>897</v>
      </c>
      <c r="AB7955" s="5">
        <v>50590.8</v>
      </c>
      <c r="AC7955">
        <v>56.4</v>
      </c>
      <c r="AD7955">
        <v>897</v>
      </c>
      <c r="AE7955" s="1">
        <v>50590.8</v>
      </c>
      <c r="AF7955">
        <v>0</v>
      </c>
      <c r="AJ7955">
        <v>0</v>
      </c>
      <c r="AK7955">
        <v>0</v>
      </c>
      <c r="AL7955">
        <v>0</v>
      </c>
      <c r="AM7955">
        <v>0</v>
      </c>
      <c r="AN7955">
        <v>0</v>
      </c>
      <c r="AO7955">
        <v>0</v>
      </c>
      <c r="AP7955" s="2">
        <v>42746</v>
      </c>
      <c r="AQ7955" t="s">
        <v>72</v>
      </c>
      <c r="AR7955" t="s">
        <v>72</v>
      </c>
      <c r="AS7955">
        <v>2911</v>
      </c>
      <c r="AT7955" s="4">
        <v>42678</v>
      </c>
      <c r="AU7955" t="s">
        <v>73</v>
      </c>
      <c r="AV7955">
        <v>2911</v>
      </c>
      <c r="AW7955" s="4">
        <v>42678</v>
      </c>
      <c r="BD7955">
        <v>0</v>
      </c>
      <c r="BN7955" t="s">
        <v>74</v>
      </c>
    </row>
    <row r="7956" spans="1:66">
      <c r="A7956">
        <v>104516</v>
      </c>
      <c r="B7956" s="3" t="s">
        <v>671</v>
      </c>
      <c r="C7956" s="1">
        <v>43201201</v>
      </c>
      <c r="D7956" t="s">
        <v>116</v>
      </c>
      <c r="H7956" t="str">
        <f t="shared" si="783"/>
        <v>03519500619</v>
      </c>
      <c r="I7956" t="str">
        <f t="shared" si="783"/>
        <v>03519500619</v>
      </c>
      <c r="K7956" t="str">
        <f>""</f>
        <v/>
      </c>
      <c r="M7956" t="s">
        <v>68</v>
      </c>
      <c r="N7956" t="str">
        <f t="shared" si="784"/>
        <v>AZ1</v>
      </c>
      <c r="O7956" t="s">
        <v>117</v>
      </c>
      <c r="P7956" s="3" t="s">
        <v>70</v>
      </c>
      <c r="Q7956">
        <v>2014</v>
      </c>
      <c r="R7956" s="2">
        <v>41920</v>
      </c>
      <c r="S7956" s="2">
        <v>41942</v>
      </c>
      <c r="T7956" s="2">
        <v>41942</v>
      </c>
      <c r="U7956" s="2">
        <v>42002</v>
      </c>
      <c r="V7956" t="s">
        <v>71</v>
      </c>
      <c r="W7956" t="str">
        <f>"                5460"</f>
        <v xml:space="preserve">                5460</v>
      </c>
      <c r="X7956">
        <v>72.25</v>
      </c>
      <c r="Y7956">
        <v>0</v>
      </c>
      <c r="Z7956" s="3">
        <v>72.25</v>
      </c>
      <c r="AA7956">
        <v>676</v>
      </c>
      <c r="AB7956" s="5">
        <v>48841</v>
      </c>
      <c r="AC7956">
        <v>72.25</v>
      </c>
      <c r="AD7956">
        <v>676</v>
      </c>
      <c r="AE7956" s="1">
        <v>48841</v>
      </c>
      <c r="AF7956">
        <v>0</v>
      </c>
      <c r="AJ7956">
        <v>0</v>
      </c>
      <c r="AK7956">
        <v>0</v>
      </c>
      <c r="AL7956">
        <v>0</v>
      </c>
      <c r="AM7956">
        <v>0</v>
      </c>
      <c r="AN7956">
        <v>0</v>
      </c>
      <c r="AO7956">
        <v>0</v>
      </c>
      <c r="AP7956" s="2">
        <v>42746</v>
      </c>
      <c r="AQ7956" t="s">
        <v>72</v>
      </c>
      <c r="AR7956" t="s">
        <v>72</v>
      </c>
      <c r="AS7956">
        <v>2911</v>
      </c>
      <c r="AT7956" s="4">
        <v>42678</v>
      </c>
      <c r="AU7956" t="s">
        <v>73</v>
      </c>
      <c r="AV7956">
        <v>2911</v>
      </c>
      <c r="AW7956" s="4">
        <v>42678</v>
      </c>
      <c r="BD7956">
        <v>0</v>
      </c>
      <c r="BN7956" t="s">
        <v>74</v>
      </c>
    </row>
    <row r="7957" spans="1:66">
      <c r="A7957">
        <v>104516</v>
      </c>
      <c r="B7957" s="3" t="s">
        <v>671</v>
      </c>
      <c r="C7957" s="1">
        <v>43201201</v>
      </c>
      <c r="D7957" t="s">
        <v>116</v>
      </c>
      <c r="H7957" t="str">
        <f t="shared" si="783"/>
        <v>03519500619</v>
      </c>
      <c r="I7957" t="str">
        <f t="shared" si="783"/>
        <v>03519500619</v>
      </c>
      <c r="K7957" t="str">
        <f>""</f>
        <v/>
      </c>
      <c r="M7957" t="s">
        <v>68</v>
      </c>
      <c r="N7957" t="str">
        <f t="shared" si="784"/>
        <v>AZ1</v>
      </c>
      <c r="O7957" t="s">
        <v>117</v>
      </c>
      <c r="P7957" s="3" t="s">
        <v>70</v>
      </c>
      <c r="Q7957">
        <v>2014</v>
      </c>
      <c r="R7957" s="2">
        <v>41925</v>
      </c>
      <c r="S7957" s="2">
        <v>41942</v>
      </c>
      <c r="T7957" s="2">
        <v>41942</v>
      </c>
      <c r="U7957" s="2">
        <v>42002</v>
      </c>
      <c r="V7957" t="s">
        <v>71</v>
      </c>
      <c r="W7957" t="str">
        <f>"                5481"</f>
        <v xml:space="preserve">                5481</v>
      </c>
      <c r="X7957">
        <v>39.020000000000003</v>
      </c>
      <c r="Y7957">
        <v>0</v>
      </c>
      <c r="Z7957" s="3">
        <v>39.020000000000003</v>
      </c>
      <c r="AA7957">
        <v>676</v>
      </c>
      <c r="AB7957" s="5">
        <v>26377.52</v>
      </c>
      <c r="AC7957">
        <v>39.020000000000003</v>
      </c>
      <c r="AD7957">
        <v>676</v>
      </c>
      <c r="AE7957" s="1">
        <v>26377.52</v>
      </c>
      <c r="AF7957">
        <v>0</v>
      </c>
      <c r="AJ7957">
        <v>0</v>
      </c>
      <c r="AK7957">
        <v>0</v>
      </c>
      <c r="AL7957">
        <v>0</v>
      </c>
      <c r="AM7957">
        <v>0</v>
      </c>
      <c r="AN7957">
        <v>0</v>
      </c>
      <c r="AO7957">
        <v>0</v>
      </c>
      <c r="AP7957" s="2">
        <v>42746</v>
      </c>
      <c r="AQ7957" t="s">
        <v>72</v>
      </c>
      <c r="AR7957" t="s">
        <v>72</v>
      </c>
      <c r="AS7957">
        <v>2911</v>
      </c>
      <c r="AT7957" s="4">
        <v>42678</v>
      </c>
      <c r="AU7957" t="s">
        <v>73</v>
      </c>
      <c r="AV7957">
        <v>2911</v>
      </c>
      <c r="AW7957" s="4">
        <v>42678</v>
      </c>
      <c r="BD7957">
        <v>0</v>
      </c>
      <c r="BN7957" t="s">
        <v>74</v>
      </c>
    </row>
    <row r="7958" spans="1:66">
      <c r="A7958">
        <v>104516</v>
      </c>
      <c r="B7958" s="3" t="s">
        <v>671</v>
      </c>
      <c r="C7958" s="1">
        <v>43201201</v>
      </c>
      <c r="D7958" t="s">
        <v>116</v>
      </c>
      <c r="H7958" t="str">
        <f t="shared" si="783"/>
        <v>03519500619</v>
      </c>
      <c r="I7958" t="str">
        <f t="shared" si="783"/>
        <v>03519500619</v>
      </c>
      <c r="K7958" t="str">
        <f>""</f>
        <v/>
      </c>
      <c r="M7958" t="s">
        <v>68</v>
      </c>
      <c r="N7958" t="str">
        <f t="shared" si="784"/>
        <v>AZ1</v>
      </c>
      <c r="O7958" t="s">
        <v>117</v>
      </c>
      <c r="P7958" s="3" t="s">
        <v>70</v>
      </c>
      <c r="Q7958">
        <v>2014</v>
      </c>
      <c r="R7958" s="2">
        <v>41926</v>
      </c>
      <c r="S7958" s="2">
        <v>41967</v>
      </c>
      <c r="T7958" s="2">
        <v>41967</v>
      </c>
      <c r="U7958" s="2">
        <v>42027</v>
      </c>
      <c r="V7958" t="s">
        <v>71</v>
      </c>
      <c r="W7958" t="str">
        <f>"                5506"</f>
        <v xml:space="preserve">                5506</v>
      </c>
      <c r="X7958">
        <v>149.19999999999999</v>
      </c>
      <c r="Y7958">
        <v>0</v>
      </c>
      <c r="Z7958" s="3">
        <v>149.19999999999999</v>
      </c>
      <c r="AA7958">
        <v>651</v>
      </c>
      <c r="AB7958" s="5">
        <v>97129.2</v>
      </c>
      <c r="AC7958">
        <v>149.19999999999999</v>
      </c>
      <c r="AD7958">
        <v>651</v>
      </c>
      <c r="AE7958" s="1">
        <v>97129.2</v>
      </c>
      <c r="AF7958">
        <v>0</v>
      </c>
      <c r="AJ7958">
        <v>0</v>
      </c>
      <c r="AK7958">
        <v>0</v>
      </c>
      <c r="AL7958">
        <v>0</v>
      </c>
      <c r="AM7958">
        <v>0</v>
      </c>
      <c r="AN7958">
        <v>0</v>
      </c>
      <c r="AO7958">
        <v>0</v>
      </c>
      <c r="AP7958" s="2">
        <v>42746</v>
      </c>
      <c r="AQ7958" t="s">
        <v>72</v>
      </c>
      <c r="AR7958" t="s">
        <v>72</v>
      </c>
      <c r="AS7958">
        <v>2911</v>
      </c>
      <c r="AT7958" s="4">
        <v>42678</v>
      </c>
      <c r="AU7958" t="s">
        <v>73</v>
      </c>
      <c r="AV7958">
        <v>2911</v>
      </c>
      <c r="AW7958" s="4">
        <v>42678</v>
      </c>
      <c r="BD7958">
        <v>0</v>
      </c>
      <c r="BN7958" t="s">
        <v>74</v>
      </c>
    </row>
    <row r="7959" spans="1:66">
      <c r="A7959">
        <v>104516</v>
      </c>
      <c r="B7959" s="3" t="s">
        <v>671</v>
      </c>
      <c r="C7959" s="1">
        <v>43201201</v>
      </c>
      <c r="D7959" t="s">
        <v>116</v>
      </c>
      <c r="H7959" t="str">
        <f t="shared" si="783"/>
        <v>03519500619</v>
      </c>
      <c r="I7959" t="str">
        <f t="shared" si="783"/>
        <v>03519500619</v>
      </c>
      <c r="K7959" t="str">
        <f>""</f>
        <v/>
      </c>
      <c r="M7959" t="s">
        <v>68</v>
      </c>
      <c r="N7959" t="str">
        <f t="shared" si="784"/>
        <v>AZ1</v>
      </c>
      <c r="O7959" t="s">
        <v>117</v>
      </c>
      <c r="P7959" s="3" t="s">
        <v>70</v>
      </c>
      <c r="Q7959">
        <v>2014</v>
      </c>
      <c r="R7959" s="2">
        <v>41926</v>
      </c>
      <c r="S7959" s="2">
        <v>41946</v>
      </c>
      <c r="T7959" s="2">
        <v>41946</v>
      </c>
      <c r="U7959" s="2">
        <v>42006</v>
      </c>
      <c r="V7959" t="s">
        <v>71</v>
      </c>
      <c r="W7959" t="str">
        <f>"                5513"</f>
        <v xml:space="preserve">                5513</v>
      </c>
      <c r="X7959">
        <v>76.25</v>
      </c>
      <c r="Y7959">
        <v>0</v>
      </c>
      <c r="Z7959" s="3">
        <v>76.25</v>
      </c>
      <c r="AA7959">
        <v>672</v>
      </c>
      <c r="AB7959" s="5">
        <v>51240</v>
      </c>
      <c r="AC7959">
        <v>76.25</v>
      </c>
      <c r="AD7959">
        <v>672</v>
      </c>
      <c r="AE7959" s="1">
        <v>51240</v>
      </c>
      <c r="AF7959">
        <v>0</v>
      </c>
      <c r="AJ7959">
        <v>0</v>
      </c>
      <c r="AK7959">
        <v>0</v>
      </c>
      <c r="AL7959">
        <v>0</v>
      </c>
      <c r="AM7959">
        <v>0</v>
      </c>
      <c r="AN7959">
        <v>0</v>
      </c>
      <c r="AO7959">
        <v>0</v>
      </c>
      <c r="AP7959" s="2">
        <v>42746</v>
      </c>
      <c r="AQ7959" t="s">
        <v>72</v>
      </c>
      <c r="AR7959" t="s">
        <v>72</v>
      </c>
      <c r="AS7959">
        <v>2911</v>
      </c>
      <c r="AT7959" s="4">
        <v>42678</v>
      </c>
      <c r="AU7959" t="s">
        <v>73</v>
      </c>
      <c r="AV7959">
        <v>2911</v>
      </c>
      <c r="AW7959" s="4">
        <v>42678</v>
      </c>
      <c r="BD7959">
        <v>0</v>
      </c>
      <c r="BN7959" t="s">
        <v>74</v>
      </c>
    </row>
    <row r="7960" spans="1:66">
      <c r="A7960">
        <v>104516</v>
      </c>
      <c r="B7960" s="3" t="s">
        <v>671</v>
      </c>
      <c r="C7960" s="1">
        <v>43201201</v>
      </c>
      <c r="D7960" t="s">
        <v>116</v>
      </c>
      <c r="H7960" t="str">
        <f t="shared" si="783"/>
        <v>03519500619</v>
      </c>
      <c r="I7960" t="str">
        <f t="shared" si="783"/>
        <v>03519500619</v>
      </c>
      <c r="K7960" t="str">
        <f>""</f>
        <v/>
      </c>
      <c r="M7960" t="s">
        <v>68</v>
      </c>
      <c r="N7960" t="str">
        <f t="shared" si="784"/>
        <v>AZ1</v>
      </c>
      <c r="O7960" t="s">
        <v>117</v>
      </c>
      <c r="P7960" s="3" t="s">
        <v>70</v>
      </c>
      <c r="Q7960">
        <v>2014</v>
      </c>
      <c r="R7960" s="2">
        <v>41929</v>
      </c>
      <c r="S7960" s="2">
        <v>41946</v>
      </c>
      <c r="T7960" s="2">
        <v>41946</v>
      </c>
      <c r="U7960" s="2">
        <v>42006</v>
      </c>
      <c r="V7960" t="s">
        <v>71</v>
      </c>
      <c r="W7960" t="str">
        <f>"                5569"</f>
        <v xml:space="preserve">                5569</v>
      </c>
      <c r="X7960">
        <v>52.4</v>
      </c>
      <c r="Y7960">
        <v>0</v>
      </c>
      <c r="Z7960" s="3">
        <v>52.4</v>
      </c>
      <c r="AA7960">
        <v>672</v>
      </c>
      <c r="AB7960" s="5">
        <v>35212.800000000003</v>
      </c>
      <c r="AC7960">
        <v>52.4</v>
      </c>
      <c r="AD7960">
        <v>672</v>
      </c>
      <c r="AE7960" s="1">
        <v>35212.800000000003</v>
      </c>
      <c r="AF7960">
        <v>0</v>
      </c>
      <c r="AJ7960">
        <v>0</v>
      </c>
      <c r="AK7960">
        <v>0</v>
      </c>
      <c r="AL7960">
        <v>0</v>
      </c>
      <c r="AM7960">
        <v>0</v>
      </c>
      <c r="AN7960">
        <v>0</v>
      </c>
      <c r="AO7960">
        <v>0</v>
      </c>
      <c r="AP7960" s="2">
        <v>42746</v>
      </c>
      <c r="AQ7960" t="s">
        <v>72</v>
      </c>
      <c r="AR7960" t="s">
        <v>72</v>
      </c>
      <c r="AS7960">
        <v>2911</v>
      </c>
      <c r="AT7960" s="4">
        <v>42678</v>
      </c>
      <c r="AU7960" t="s">
        <v>73</v>
      </c>
      <c r="AV7960">
        <v>2911</v>
      </c>
      <c r="AW7960" s="4">
        <v>42678</v>
      </c>
      <c r="BD7960">
        <v>0</v>
      </c>
      <c r="BN7960" t="s">
        <v>74</v>
      </c>
    </row>
    <row r="7961" spans="1:66">
      <c r="A7961">
        <v>104516</v>
      </c>
      <c r="B7961" s="3" t="s">
        <v>671</v>
      </c>
      <c r="C7961" s="1">
        <v>43201201</v>
      </c>
      <c r="D7961" t="s">
        <v>116</v>
      </c>
      <c r="H7961" t="str">
        <f t="shared" si="783"/>
        <v>03519500619</v>
      </c>
      <c r="I7961" t="str">
        <f t="shared" si="783"/>
        <v>03519500619</v>
      </c>
      <c r="K7961" t="str">
        <f>""</f>
        <v/>
      </c>
      <c r="M7961" t="s">
        <v>68</v>
      </c>
      <c r="N7961" t="str">
        <f t="shared" si="784"/>
        <v>AZ1</v>
      </c>
      <c r="O7961" t="s">
        <v>117</v>
      </c>
      <c r="P7961" s="3" t="s">
        <v>70</v>
      </c>
      <c r="Q7961">
        <v>2014</v>
      </c>
      <c r="R7961" s="2">
        <v>41933</v>
      </c>
      <c r="S7961" s="2">
        <v>41953</v>
      </c>
      <c r="T7961" s="2">
        <v>41953</v>
      </c>
      <c r="U7961" s="2">
        <v>42013</v>
      </c>
      <c r="V7961" t="s">
        <v>71</v>
      </c>
      <c r="W7961" t="str">
        <f>"                5588"</f>
        <v xml:space="preserve">                5588</v>
      </c>
      <c r="X7961">
        <v>56.4</v>
      </c>
      <c r="Y7961">
        <v>0</v>
      </c>
      <c r="Z7961" s="3">
        <v>56.4</v>
      </c>
      <c r="AA7961">
        <v>665</v>
      </c>
      <c r="AB7961" s="5">
        <v>37506</v>
      </c>
      <c r="AC7961">
        <v>56.4</v>
      </c>
      <c r="AD7961">
        <v>665</v>
      </c>
      <c r="AE7961" s="1">
        <v>37506</v>
      </c>
      <c r="AF7961">
        <v>0</v>
      </c>
      <c r="AJ7961">
        <v>0</v>
      </c>
      <c r="AK7961">
        <v>0</v>
      </c>
      <c r="AL7961">
        <v>0</v>
      </c>
      <c r="AM7961">
        <v>0</v>
      </c>
      <c r="AN7961">
        <v>0</v>
      </c>
      <c r="AO7961">
        <v>0</v>
      </c>
      <c r="AP7961" s="2">
        <v>42746</v>
      </c>
      <c r="AQ7961" t="s">
        <v>72</v>
      </c>
      <c r="AR7961" t="s">
        <v>72</v>
      </c>
      <c r="AS7961">
        <v>2911</v>
      </c>
      <c r="AT7961" s="4">
        <v>42678</v>
      </c>
      <c r="AU7961" t="s">
        <v>73</v>
      </c>
      <c r="AV7961">
        <v>2911</v>
      </c>
      <c r="AW7961" s="4">
        <v>42678</v>
      </c>
      <c r="BD7961">
        <v>0</v>
      </c>
      <c r="BN7961" t="s">
        <v>74</v>
      </c>
    </row>
    <row r="7962" spans="1:66">
      <c r="A7962">
        <v>104516</v>
      </c>
      <c r="B7962" s="3" t="s">
        <v>671</v>
      </c>
      <c r="C7962" s="1">
        <v>43201201</v>
      </c>
      <c r="D7962" t="s">
        <v>116</v>
      </c>
      <c r="H7962" t="str">
        <f t="shared" si="783"/>
        <v>03519500619</v>
      </c>
      <c r="I7962" t="str">
        <f t="shared" si="783"/>
        <v>03519500619</v>
      </c>
      <c r="K7962" t="str">
        <f>""</f>
        <v/>
      </c>
      <c r="M7962" t="s">
        <v>68</v>
      </c>
      <c r="N7962" t="str">
        <f t="shared" si="784"/>
        <v>AZ1</v>
      </c>
      <c r="O7962" t="s">
        <v>117</v>
      </c>
      <c r="P7962" s="3" t="s">
        <v>70</v>
      </c>
      <c r="Q7962">
        <v>2014</v>
      </c>
      <c r="R7962" s="2">
        <v>41943</v>
      </c>
      <c r="S7962" s="2">
        <v>41967</v>
      </c>
      <c r="T7962" s="2">
        <v>41967</v>
      </c>
      <c r="U7962" s="2">
        <v>42027</v>
      </c>
      <c r="V7962" t="s">
        <v>71</v>
      </c>
      <c r="W7962" t="str">
        <f>"                5726"</f>
        <v xml:space="preserve">                5726</v>
      </c>
      <c r="X7962">
        <v>61.3</v>
      </c>
      <c r="Y7962">
        <v>0</v>
      </c>
      <c r="Z7962" s="3">
        <v>61.3</v>
      </c>
      <c r="AA7962">
        <v>651</v>
      </c>
      <c r="AB7962" s="5">
        <v>39906.300000000003</v>
      </c>
      <c r="AC7962">
        <v>61.3</v>
      </c>
      <c r="AD7962">
        <v>651</v>
      </c>
      <c r="AE7962" s="1">
        <v>39906.300000000003</v>
      </c>
      <c r="AF7962">
        <v>0</v>
      </c>
      <c r="AJ7962">
        <v>0</v>
      </c>
      <c r="AK7962">
        <v>0</v>
      </c>
      <c r="AL7962">
        <v>0</v>
      </c>
      <c r="AM7962">
        <v>0</v>
      </c>
      <c r="AN7962">
        <v>0</v>
      </c>
      <c r="AO7962">
        <v>0</v>
      </c>
      <c r="AP7962" s="2">
        <v>42746</v>
      </c>
      <c r="AQ7962" t="s">
        <v>72</v>
      </c>
      <c r="AR7962" t="s">
        <v>72</v>
      </c>
      <c r="AS7962">
        <v>2911</v>
      </c>
      <c r="AT7962" s="4">
        <v>42678</v>
      </c>
      <c r="AU7962" t="s">
        <v>73</v>
      </c>
      <c r="AV7962">
        <v>2911</v>
      </c>
      <c r="AW7962" s="4">
        <v>42678</v>
      </c>
      <c r="BD7962">
        <v>0</v>
      </c>
      <c r="BN7962" t="s">
        <v>74</v>
      </c>
    </row>
    <row r="7963" spans="1:66">
      <c r="A7963">
        <v>104516</v>
      </c>
      <c r="B7963" s="3" t="s">
        <v>671</v>
      </c>
      <c r="C7963" s="1">
        <v>43201201</v>
      </c>
      <c r="D7963" t="s">
        <v>116</v>
      </c>
      <c r="H7963" t="str">
        <f t="shared" si="783"/>
        <v>03519500619</v>
      </c>
      <c r="I7963" t="str">
        <f t="shared" si="783"/>
        <v>03519500619</v>
      </c>
      <c r="K7963" t="str">
        <f>""</f>
        <v/>
      </c>
      <c r="M7963" t="s">
        <v>68</v>
      </c>
      <c r="N7963" t="str">
        <f t="shared" si="784"/>
        <v>AZ1</v>
      </c>
      <c r="O7963" t="s">
        <v>117</v>
      </c>
      <c r="P7963" s="3" t="s">
        <v>70</v>
      </c>
      <c r="Q7963">
        <v>2014</v>
      </c>
      <c r="R7963" s="2">
        <v>41943</v>
      </c>
      <c r="S7963" s="2">
        <v>41967</v>
      </c>
      <c r="T7963" s="2">
        <v>41967</v>
      </c>
      <c r="U7963" s="2">
        <v>42027</v>
      </c>
      <c r="V7963" t="s">
        <v>71</v>
      </c>
      <c r="W7963" t="str">
        <f>"                5730"</f>
        <v xml:space="preserve">                5730</v>
      </c>
      <c r="X7963">
        <v>67.599999999999994</v>
      </c>
      <c r="Y7963">
        <v>0</v>
      </c>
      <c r="Z7963" s="3">
        <v>67.599999999999994</v>
      </c>
      <c r="AA7963">
        <v>651</v>
      </c>
      <c r="AB7963" s="5">
        <v>44007.6</v>
      </c>
      <c r="AC7963">
        <v>67.599999999999994</v>
      </c>
      <c r="AD7963">
        <v>651</v>
      </c>
      <c r="AE7963" s="1">
        <v>44007.6</v>
      </c>
      <c r="AF7963">
        <v>0</v>
      </c>
      <c r="AJ7963">
        <v>0</v>
      </c>
      <c r="AK7963">
        <v>0</v>
      </c>
      <c r="AL7963">
        <v>0</v>
      </c>
      <c r="AM7963">
        <v>0</v>
      </c>
      <c r="AN7963">
        <v>0</v>
      </c>
      <c r="AO7963">
        <v>0</v>
      </c>
      <c r="AP7963" s="2">
        <v>42746</v>
      </c>
      <c r="AQ7963" t="s">
        <v>72</v>
      </c>
      <c r="AR7963" t="s">
        <v>72</v>
      </c>
      <c r="AS7963">
        <v>2911</v>
      </c>
      <c r="AT7963" s="4">
        <v>42678</v>
      </c>
      <c r="AU7963" t="s">
        <v>73</v>
      </c>
      <c r="AV7963">
        <v>2911</v>
      </c>
      <c r="AW7963" s="4">
        <v>42678</v>
      </c>
      <c r="BD7963">
        <v>0</v>
      </c>
      <c r="BN7963" t="s">
        <v>74</v>
      </c>
    </row>
    <row r="7964" spans="1:66">
      <c r="A7964">
        <v>104516</v>
      </c>
      <c r="B7964" s="3" t="s">
        <v>671</v>
      </c>
      <c r="C7964" s="1">
        <v>43201201</v>
      </c>
      <c r="D7964" t="s">
        <v>116</v>
      </c>
      <c r="H7964" t="str">
        <f t="shared" si="783"/>
        <v>03519500619</v>
      </c>
      <c r="I7964" t="str">
        <f t="shared" si="783"/>
        <v>03519500619</v>
      </c>
      <c r="K7964" t="str">
        <f>""</f>
        <v/>
      </c>
      <c r="M7964" t="s">
        <v>68</v>
      </c>
      <c r="N7964" t="str">
        <f t="shared" si="784"/>
        <v>AZ1</v>
      </c>
      <c r="O7964" t="s">
        <v>117</v>
      </c>
      <c r="P7964" s="3" t="s">
        <v>70</v>
      </c>
      <c r="Q7964">
        <v>2014</v>
      </c>
      <c r="R7964" s="2">
        <v>41953</v>
      </c>
      <c r="S7964" s="2">
        <v>41971</v>
      </c>
      <c r="T7964" s="2">
        <v>41971</v>
      </c>
      <c r="U7964" s="2">
        <v>42031</v>
      </c>
      <c r="V7964" t="s">
        <v>71</v>
      </c>
      <c r="W7964" t="str">
        <f>"                5912"</f>
        <v xml:space="preserve">                5912</v>
      </c>
      <c r="X7964">
        <v>52.4</v>
      </c>
      <c r="Y7964">
        <v>0</v>
      </c>
      <c r="Z7964" s="3">
        <v>52.4</v>
      </c>
      <c r="AA7964">
        <v>647</v>
      </c>
      <c r="AB7964" s="5">
        <v>33902.800000000003</v>
      </c>
      <c r="AC7964">
        <v>52.4</v>
      </c>
      <c r="AD7964">
        <v>647</v>
      </c>
      <c r="AE7964" s="1">
        <v>33902.800000000003</v>
      </c>
      <c r="AF7964">
        <v>0</v>
      </c>
      <c r="AJ7964">
        <v>0</v>
      </c>
      <c r="AK7964">
        <v>0</v>
      </c>
      <c r="AL7964">
        <v>0</v>
      </c>
      <c r="AM7964">
        <v>0</v>
      </c>
      <c r="AN7964">
        <v>0</v>
      </c>
      <c r="AO7964">
        <v>0</v>
      </c>
      <c r="AP7964" s="2">
        <v>42746</v>
      </c>
      <c r="AQ7964" t="s">
        <v>72</v>
      </c>
      <c r="AR7964" t="s">
        <v>72</v>
      </c>
      <c r="AS7964">
        <v>2911</v>
      </c>
      <c r="AT7964" s="4">
        <v>42678</v>
      </c>
      <c r="AU7964" t="s">
        <v>73</v>
      </c>
      <c r="AV7964">
        <v>2911</v>
      </c>
      <c r="AW7964" s="4">
        <v>42678</v>
      </c>
      <c r="BD7964">
        <v>0</v>
      </c>
      <c r="BN7964" t="s">
        <v>74</v>
      </c>
    </row>
    <row r="7965" spans="1:66">
      <c r="A7965">
        <v>104516</v>
      </c>
      <c r="B7965" s="3" t="s">
        <v>671</v>
      </c>
      <c r="C7965" s="1">
        <v>43201201</v>
      </c>
      <c r="D7965" t="s">
        <v>116</v>
      </c>
      <c r="H7965" t="str">
        <f t="shared" si="783"/>
        <v>03519500619</v>
      </c>
      <c r="I7965" t="str">
        <f t="shared" si="783"/>
        <v>03519500619</v>
      </c>
      <c r="K7965" t="str">
        <f>""</f>
        <v/>
      </c>
      <c r="M7965" t="s">
        <v>68</v>
      </c>
      <c r="N7965" t="str">
        <f t="shared" si="784"/>
        <v>AZ1</v>
      </c>
      <c r="O7965" t="s">
        <v>117</v>
      </c>
      <c r="P7965" s="3" t="s">
        <v>70</v>
      </c>
      <c r="Q7965">
        <v>2014</v>
      </c>
      <c r="R7965" s="2">
        <v>41995</v>
      </c>
      <c r="S7965" s="2">
        <v>42018</v>
      </c>
      <c r="T7965" s="2">
        <v>42018</v>
      </c>
      <c r="U7965" s="2">
        <v>42078</v>
      </c>
      <c r="V7965" t="s">
        <v>71</v>
      </c>
      <c r="W7965" t="str">
        <f>"                6551"</f>
        <v xml:space="preserve">                6551</v>
      </c>
      <c r="X7965">
        <v>43.02</v>
      </c>
      <c r="Y7965">
        <v>0</v>
      </c>
      <c r="Z7965" s="3">
        <v>43.02</v>
      </c>
      <c r="AA7965">
        <v>600</v>
      </c>
      <c r="AB7965" s="5">
        <v>25812</v>
      </c>
      <c r="AC7965">
        <v>43.02</v>
      </c>
      <c r="AD7965">
        <v>600</v>
      </c>
      <c r="AE7965" s="1">
        <v>25812</v>
      </c>
      <c r="AF7965">
        <v>0</v>
      </c>
      <c r="AJ7965">
        <v>0</v>
      </c>
      <c r="AK7965">
        <v>0</v>
      </c>
      <c r="AL7965">
        <v>0</v>
      </c>
      <c r="AM7965">
        <v>0</v>
      </c>
      <c r="AN7965">
        <v>0</v>
      </c>
      <c r="AO7965">
        <v>0</v>
      </c>
      <c r="AP7965" s="2">
        <v>42746</v>
      </c>
      <c r="AQ7965" t="s">
        <v>72</v>
      </c>
      <c r="AR7965" t="s">
        <v>72</v>
      </c>
      <c r="AS7965">
        <v>2911</v>
      </c>
      <c r="AT7965" s="4">
        <v>42678</v>
      </c>
      <c r="AU7965" t="s">
        <v>73</v>
      </c>
      <c r="AV7965">
        <v>2911</v>
      </c>
      <c r="AW7965" s="4">
        <v>42678</v>
      </c>
      <c r="BD7965">
        <v>0</v>
      </c>
      <c r="BN7965" t="s">
        <v>74</v>
      </c>
    </row>
    <row r="7966" spans="1:66">
      <c r="A7966">
        <v>104516</v>
      </c>
      <c r="B7966" s="3" t="s">
        <v>671</v>
      </c>
      <c r="C7966" s="1">
        <v>43201201</v>
      </c>
      <c r="D7966" t="s">
        <v>116</v>
      </c>
      <c r="H7966" t="str">
        <f t="shared" si="783"/>
        <v>03519500619</v>
      </c>
      <c r="I7966" t="str">
        <f t="shared" si="783"/>
        <v>03519500619</v>
      </c>
      <c r="K7966" t="str">
        <f>""</f>
        <v/>
      </c>
      <c r="M7966" t="s">
        <v>68</v>
      </c>
      <c r="N7966" t="str">
        <f t="shared" si="784"/>
        <v>AZ1</v>
      </c>
      <c r="O7966" t="s">
        <v>117</v>
      </c>
      <c r="P7966" s="3" t="s">
        <v>70</v>
      </c>
      <c r="Q7966">
        <v>2014</v>
      </c>
      <c r="R7966" s="2">
        <v>41995</v>
      </c>
      <c r="S7966" s="2">
        <v>42018</v>
      </c>
      <c r="T7966" s="2">
        <v>42018</v>
      </c>
      <c r="U7966" s="2">
        <v>42078</v>
      </c>
      <c r="V7966" t="s">
        <v>71</v>
      </c>
      <c r="W7966" t="str">
        <f>"                6559"</f>
        <v xml:space="preserve">                6559</v>
      </c>
      <c r="X7966">
        <v>52.4</v>
      </c>
      <c r="Y7966">
        <v>0</v>
      </c>
      <c r="Z7966" s="3">
        <v>52.4</v>
      </c>
      <c r="AA7966">
        <v>600</v>
      </c>
      <c r="AB7966" s="5">
        <v>31440</v>
      </c>
      <c r="AC7966">
        <v>52.4</v>
      </c>
      <c r="AD7966">
        <v>600</v>
      </c>
      <c r="AE7966" s="1">
        <v>31440</v>
      </c>
      <c r="AF7966">
        <v>0</v>
      </c>
      <c r="AJ7966">
        <v>0</v>
      </c>
      <c r="AK7966">
        <v>0</v>
      </c>
      <c r="AL7966">
        <v>0</v>
      </c>
      <c r="AM7966">
        <v>0</v>
      </c>
      <c r="AN7966">
        <v>0</v>
      </c>
      <c r="AO7966">
        <v>0</v>
      </c>
      <c r="AP7966" s="2">
        <v>42746</v>
      </c>
      <c r="AQ7966" t="s">
        <v>72</v>
      </c>
      <c r="AR7966" t="s">
        <v>72</v>
      </c>
      <c r="AS7966">
        <v>2911</v>
      </c>
      <c r="AT7966" s="4">
        <v>42678</v>
      </c>
      <c r="AU7966" t="s">
        <v>73</v>
      </c>
      <c r="AV7966">
        <v>2911</v>
      </c>
      <c r="AW7966" s="4">
        <v>42678</v>
      </c>
      <c r="BD7966">
        <v>0</v>
      </c>
      <c r="BN7966" t="s">
        <v>74</v>
      </c>
    </row>
    <row r="7967" spans="1:66">
      <c r="A7967">
        <v>104516</v>
      </c>
      <c r="B7967" s="3" t="s">
        <v>671</v>
      </c>
      <c r="C7967" s="1">
        <v>43201201</v>
      </c>
      <c r="D7967" t="s">
        <v>116</v>
      </c>
      <c r="H7967" t="str">
        <f t="shared" si="783"/>
        <v>03519500619</v>
      </c>
      <c r="I7967" t="str">
        <f t="shared" si="783"/>
        <v>03519500619</v>
      </c>
      <c r="K7967" t="str">
        <f>""</f>
        <v/>
      </c>
      <c r="M7967" t="s">
        <v>68</v>
      </c>
      <c r="N7967" t="str">
        <f t="shared" si="784"/>
        <v>AZ1</v>
      </c>
      <c r="O7967" t="s">
        <v>117</v>
      </c>
      <c r="P7967" s="3" t="s">
        <v>70</v>
      </c>
      <c r="Q7967">
        <v>2014</v>
      </c>
      <c r="R7967" s="2">
        <v>41996</v>
      </c>
      <c r="S7967" s="2">
        <v>42026</v>
      </c>
      <c r="T7967" s="2">
        <v>42026</v>
      </c>
      <c r="U7967" s="2">
        <v>42086</v>
      </c>
      <c r="V7967" t="s">
        <v>71</v>
      </c>
      <c r="W7967" t="str">
        <f>"                6566"</f>
        <v xml:space="preserve">                6566</v>
      </c>
      <c r="X7967">
        <v>39.020000000000003</v>
      </c>
      <c r="Y7967">
        <v>0</v>
      </c>
      <c r="Z7967" s="3">
        <v>39.020000000000003</v>
      </c>
      <c r="AA7967">
        <v>592</v>
      </c>
      <c r="AB7967" s="5">
        <v>23099.84</v>
      </c>
      <c r="AC7967">
        <v>39.020000000000003</v>
      </c>
      <c r="AD7967">
        <v>592</v>
      </c>
      <c r="AE7967" s="1">
        <v>23099.84</v>
      </c>
      <c r="AF7967">
        <v>0</v>
      </c>
      <c r="AJ7967">
        <v>0</v>
      </c>
      <c r="AK7967">
        <v>0</v>
      </c>
      <c r="AL7967">
        <v>0</v>
      </c>
      <c r="AM7967">
        <v>0</v>
      </c>
      <c r="AN7967">
        <v>0</v>
      </c>
      <c r="AO7967">
        <v>0</v>
      </c>
      <c r="AP7967" s="2">
        <v>42746</v>
      </c>
      <c r="AQ7967" t="s">
        <v>72</v>
      </c>
      <c r="AR7967" t="s">
        <v>72</v>
      </c>
      <c r="AS7967">
        <v>2911</v>
      </c>
      <c r="AT7967" s="4">
        <v>42678</v>
      </c>
      <c r="AU7967" t="s">
        <v>73</v>
      </c>
      <c r="AV7967">
        <v>2911</v>
      </c>
      <c r="AW7967" s="4">
        <v>42678</v>
      </c>
      <c r="BD7967">
        <v>0</v>
      </c>
      <c r="BN7967" t="s">
        <v>74</v>
      </c>
    </row>
    <row r="7968" spans="1:66" hidden="1">
      <c r="A7968">
        <v>104516</v>
      </c>
      <c r="B7968" s="3" t="s">
        <v>671</v>
      </c>
      <c r="C7968" s="1">
        <v>43201201</v>
      </c>
      <c r="D7968" t="s">
        <v>116</v>
      </c>
      <c r="H7968" t="str">
        <f t="shared" si="783"/>
        <v>03519500619</v>
      </c>
      <c r="I7968" t="str">
        <f t="shared" si="783"/>
        <v>03519500619</v>
      </c>
      <c r="K7968" t="str">
        <f>""</f>
        <v/>
      </c>
      <c r="M7968" t="s">
        <v>68</v>
      </c>
      <c r="N7968" t="str">
        <f t="shared" si="784"/>
        <v>AZ1</v>
      </c>
      <c r="O7968" t="s">
        <v>117</v>
      </c>
      <c r="P7968" s="3" t="s">
        <v>70</v>
      </c>
      <c r="Q7968">
        <v>2015</v>
      </c>
      <c r="R7968" s="2">
        <v>42074</v>
      </c>
      <c r="S7968" s="2">
        <v>42086</v>
      </c>
      <c r="T7968" s="2">
        <v>42086</v>
      </c>
      <c r="U7968" s="2">
        <v>42146</v>
      </c>
      <c r="V7968" t="s">
        <v>71</v>
      </c>
      <c r="W7968" t="str">
        <f>"                 534"</f>
        <v xml:space="preserve">                 534</v>
      </c>
      <c r="X7968" s="1">
        <v>4358</v>
      </c>
      <c r="Y7968">
        <v>0</v>
      </c>
      <c r="Z7968"/>
      <c r="AB7968"/>
      <c r="AC7968" s="1">
        <v>4358</v>
      </c>
      <c r="AD7968">
        <v>256</v>
      </c>
      <c r="AE7968" s="1">
        <v>1115648</v>
      </c>
      <c r="AF7968">
        <v>0</v>
      </c>
      <c r="AJ7968">
        <v>0</v>
      </c>
      <c r="AK7968">
        <v>0</v>
      </c>
      <c r="AL7968">
        <v>0</v>
      </c>
      <c r="AM7968">
        <v>0</v>
      </c>
      <c r="AN7968">
        <v>0</v>
      </c>
      <c r="AO7968">
        <v>0</v>
      </c>
      <c r="AP7968" s="2">
        <v>42746</v>
      </c>
      <c r="AQ7968" t="s">
        <v>72</v>
      </c>
      <c r="AR7968" t="s">
        <v>72</v>
      </c>
      <c r="AS7968">
        <v>198</v>
      </c>
      <c r="AT7968" s="4">
        <v>42402</v>
      </c>
      <c r="AU7968" t="s">
        <v>73</v>
      </c>
      <c r="AV7968">
        <v>198</v>
      </c>
      <c r="AW7968" s="4">
        <v>42402</v>
      </c>
      <c r="BD7968">
        <v>0</v>
      </c>
      <c r="BN7968" t="s">
        <v>74</v>
      </c>
    </row>
    <row r="7969" spans="1:66" hidden="1">
      <c r="A7969">
        <v>104516</v>
      </c>
      <c r="B7969" s="3" t="s">
        <v>671</v>
      </c>
      <c r="C7969" s="1">
        <v>43201201</v>
      </c>
      <c r="D7969" t="s">
        <v>116</v>
      </c>
      <c r="H7969" t="str">
        <f t="shared" si="783"/>
        <v>03519500619</v>
      </c>
      <c r="I7969" t="str">
        <f t="shared" si="783"/>
        <v>03519500619</v>
      </c>
      <c r="K7969" t="str">
        <f>""</f>
        <v/>
      </c>
      <c r="M7969" t="s">
        <v>68</v>
      </c>
      <c r="N7969" t="str">
        <f t="shared" si="784"/>
        <v>AZ1</v>
      </c>
      <c r="O7969" t="s">
        <v>117</v>
      </c>
      <c r="P7969" s="3" t="s">
        <v>75</v>
      </c>
      <c r="Q7969">
        <v>2015</v>
      </c>
      <c r="R7969" s="2">
        <v>42166</v>
      </c>
      <c r="S7969" s="2">
        <v>42171</v>
      </c>
      <c r="T7969" s="2">
        <v>42167</v>
      </c>
      <c r="U7969" s="2">
        <v>42227</v>
      </c>
      <c r="V7969" t="s">
        <v>71</v>
      </c>
      <c r="W7969" t="str">
        <f>"            005/1755"</f>
        <v xml:space="preserve">            005/1755</v>
      </c>
      <c r="X7969" s="1">
        <v>1982</v>
      </c>
      <c r="Y7969">
        <v>0</v>
      </c>
      <c r="Z7969"/>
      <c r="AB7969"/>
      <c r="AC7969" s="1">
        <v>1982</v>
      </c>
      <c r="AD7969">
        <v>265</v>
      </c>
      <c r="AE7969" s="1">
        <v>525230</v>
      </c>
      <c r="AF7969">
        <v>0</v>
      </c>
      <c r="AJ7969">
        <v>0</v>
      </c>
      <c r="AK7969">
        <v>0</v>
      </c>
      <c r="AL7969">
        <v>0</v>
      </c>
      <c r="AM7969">
        <v>0</v>
      </c>
      <c r="AN7969">
        <v>0</v>
      </c>
      <c r="AO7969">
        <v>0</v>
      </c>
      <c r="AP7969" s="2">
        <v>42746</v>
      </c>
      <c r="AQ7969" t="s">
        <v>72</v>
      </c>
      <c r="AR7969" t="s">
        <v>72</v>
      </c>
      <c r="AS7969">
        <v>1216</v>
      </c>
      <c r="AT7969" s="4">
        <v>42492</v>
      </c>
      <c r="AU7969" t="s">
        <v>73</v>
      </c>
      <c r="AV7969">
        <v>1216</v>
      </c>
      <c r="AW7969" s="4">
        <v>42492</v>
      </c>
      <c r="BD7969">
        <v>0</v>
      </c>
      <c r="BN7969" t="s">
        <v>74</v>
      </c>
    </row>
    <row r="7970" spans="1:66" hidden="1">
      <c r="A7970">
        <v>104516</v>
      </c>
      <c r="B7970" s="3" t="s">
        <v>671</v>
      </c>
      <c r="C7970" s="1">
        <v>43201201</v>
      </c>
      <c r="D7970" t="s">
        <v>116</v>
      </c>
      <c r="H7970" t="str">
        <f t="shared" si="783"/>
        <v>03519500619</v>
      </c>
      <c r="I7970" t="str">
        <f t="shared" si="783"/>
        <v>03519500619</v>
      </c>
      <c r="K7970" t="str">
        <f>""</f>
        <v/>
      </c>
      <c r="M7970" t="s">
        <v>68</v>
      </c>
      <c r="N7970" t="str">
        <f t="shared" si="784"/>
        <v>AZ1</v>
      </c>
      <c r="O7970" t="s">
        <v>117</v>
      </c>
      <c r="P7970" s="3" t="s">
        <v>75</v>
      </c>
      <c r="Q7970">
        <v>2015</v>
      </c>
      <c r="R7970" s="2">
        <v>42348</v>
      </c>
      <c r="S7970" s="2">
        <v>42352</v>
      </c>
      <c r="T7970" s="2">
        <v>42349</v>
      </c>
      <c r="U7970" s="2">
        <v>42409</v>
      </c>
      <c r="V7970" t="s">
        <v>71</v>
      </c>
      <c r="W7970" t="str">
        <f>"            005/4352"</f>
        <v xml:space="preserve">            005/4352</v>
      </c>
      <c r="X7970" s="1">
        <v>3698</v>
      </c>
      <c r="Y7970">
        <v>0</v>
      </c>
      <c r="Z7970"/>
      <c r="AB7970"/>
      <c r="AC7970" s="1">
        <v>3698</v>
      </c>
      <c r="AD7970">
        <v>83</v>
      </c>
      <c r="AE7970" s="1">
        <v>306934</v>
      </c>
      <c r="AF7970">
        <v>0</v>
      </c>
      <c r="AJ7970">
        <v>0</v>
      </c>
      <c r="AK7970">
        <v>0</v>
      </c>
      <c r="AL7970">
        <v>0</v>
      </c>
      <c r="AM7970">
        <v>0</v>
      </c>
      <c r="AN7970">
        <v>0</v>
      </c>
      <c r="AO7970">
        <v>0</v>
      </c>
      <c r="AP7970" s="2">
        <v>42746</v>
      </c>
      <c r="AQ7970" t="s">
        <v>72</v>
      </c>
      <c r="AR7970" t="s">
        <v>72</v>
      </c>
      <c r="AS7970">
        <v>1216</v>
      </c>
      <c r="AT7970" s="4">
        <v>42492</v>
      </c>
      <c r="AU7970" t="s">
        <v>73</v>
      </c>
      <c r="AV7970">
        <v>1216</v>
      </c>
      <c r="AW7970" s="4">
        <v>42492</v>
      </c>
      <c r="BD7970">
        <v>0</v>
      </c>
      <c r="BN7970" t="s">
        <v>74</v>
      </c>
    </row>
    <row r="7971" spans="1:66" hidden="1">
      <c r="A7971">
        <v>104516</v>
      </c>
      <c r="B7971" s="3" t="s">
        <v>671</v>
      </c>
      <c r="C7971" s="1">
        <v>43201201</v>
      </c>
      <c r="D7971" t="s">
        <v>116</v>
      </c>
      <c r="H7971" t="str">
        <f t="shared" si="783"/>
        <v>03519500619</v>
      </c>
      <c r="I7971" t="str">
        <f t="shared" si="783"/>
        <v>03519500619</v>
      </c>
      <c r="K7971" t="str">
        <f>""</f>
        <v/>
      </c>
      <c r="M7971" t="s">
        <v>68</v>
      </c>
      <c r="N7971" t="str">
        <f t="shared" si="784"/>
        <v>AZ1</v>
      </c>
      <c r="O7971" t="s">
        <v>117</v>
      </c>
      <c r="P7971" s="3" t="s">
        <v>75</v>
      </c>
      <c r="Q7971">
        <v>2016</v>
      </c>
      <c r="R7971" s="2">
        <v>42409</v>
      </c>
      <c r="S7971" s="2">
        <v>42437</v>
      </c>
      <c r="T7971" s="2">
        <v>42437</v>
      </c>
      <c r="U7971" s="2">
        <v>42497</v>
      </c>
      <c r="V7971" t="s">
        <v>71</v>
      </c>
      <c r="W7971" t="str">
        <f>"             005/677"</f>
        <v xml:space="preserve">             005/677</v>
      </c>
      <c r="X7971">
        <v>926</v>
      </c>
      <c r="Y7971">
        <v>0</v>
      </c>
      <c r="Z7971"/>
      <c r="AB7971"/>
      <c r="AC7971">
        <v>926</v>
      </c>
      <c r="AD7971">
        <v>-5</v>
      </c>
      <c r="AE7971" s="1">
        <v>-4630</v>
      </c>
      <c r="AF7971">
        <v>0</v>
      </c>
      <c r="AJ7971">
        <v>0</v>
      </c>
      <c r="AK7971">
        <v>0</v>
      </c>
      <c r="AL7971">
        <v>0</v>
      </c>
      <c r="AM7971">
        <v>926</v>
      </c>
      <c r="AN7971">
        <v>926</v>
      </c>
      <c r="AO7971">
        <v>926</v>
      </c>
      <c r="AP7971" s="2">
        <v>42746</v>
      </c>
      <c r="AQ7971" t="s">
        <v>72</v>
      </c>
      <c r="AR7971" t="s">
        <v>72</v>
      </c>
      <c r="AS7971">
        <v>1216</v>
      </c>
      <c r="AT7971" s="4">
        <v>42492</v>
      </c>
      <c r="AV7971">
        <v>1216</v>
      </c>
      <c r="AW7971" s="4">
        <v>42492</v>
      </c>
      <c r="BD7971">
        <v>0</v>
      </c>
      <c r="BN7971" t="s">
        <v>74</v>
      </c>
    </row>
    <row r="7972" spans="1:66">
      <c r="A7972">
        <v>104516</v>
      </c>
      <c r="B7972" s="3" t="s">
        <v>671</v>
      </c>
      <c r="C7972" s="1">
        <v>43201201</v>
      </c>
      <c r="D7972" t="s">
        <v>116</v>
      </c>
      <c r="H7972" t="str">
        <f t="shared" si="783"/>
        <v>03519500619</v>
      </c>
      <c r="I7972" t="str">
        <f t="shared" si="783"/>
        <v>03519500619</v>
      </c>
      <c r="K7972" t="str">
        <f>""</f>
        <v/>
      </c>
      <c r="M7972" t="s">
        <v>68</v>
      </c>
      <c r="N7972" t="str">
        <f t="shared" si="784"/>
        <v>AZ1</v>
      </c>
      <c r="O7972" t="s">
        <v>117</v>
      </c>
      <c r="P7972" s="3" t="s">
        <v>75</v>
      </c>
      <c r="Q7972">
        <v>2016</v>
      </c>
      <c r="R7972" s="2">
        <v>42432</v>
      </c>
      <c r="S7972" s="2">
        <v>42443</v>
      </c>
      <c r="T7972" s="2">
        <v>42436</v>
      </c>
      <c r="U7972" s="2">
        <v>42496</v>
      </c>
      <c r="V7972" t="s">
        <v>71</v>
      </c>
      <c r="W7972" t="str">
        <f>"            005/1305"</f>
        <v xml:space="preserve">            005/1305</v>
      </c>
      <c r="X7972">
        <v>52.4</v>
      </c>
      <c r="Y7972">
        <v>0</v>
      </c>
      <c r="Z7972" s="3">
        <v>52.4</v>
      </c>
      <c r="AA7972">
        <v>182</v>
      </c>
      <c r="AB7972" s="5">
        <v>9536.7999999999993</v>
      </c>
      <c r="AC7972">
        <v>52.4</v>
      </c>
      <c r="AD7972">
        <v>182</v>
      </c>
      <c r="AE7972" s="1">
        <v>9536.7999999999993</v>
      </c>
      <c r="AF7972">
        <v>0</v>
      </c>
      <c r="AJ7972">
        <v>0</v>
      </c>
      <c r="AK7972">
        <v>0</v>
      </c>
      <c r="AL7972">
        <v>0</v>
      </c>
      <c r="AM7972">
        <v>52.4</v>
      </c>
      <c r="AN7972">
        <v>52.4</v>
      </c>
      <c r="AO7972">
        <v>52.4</v>
      </c>
      <c r="AP7972" s="2">
        <v>42746</v>
      </c>
      <c r="AQ7972" t="s">
        <v>72</v>
      </c>
      <c r="AR7972" t="s">
        <v>72</v>
      </c>
      <c r="AS7972">
        <v>2911</v>
      </c>
      <c r="AT7972" s="4">
        <v>42678</v>
      </c>
      <c r="AU7972" t="s">
        <v>73</v>
      </c>
      <c r="AV7972">
        <v>2911</v>
      </c>
      <c r="AW7972" s="4">
        <v>42678</v>
      </c>
      <c r="BD7972">
        <v>0</v>
      </c>
      <c r="BN7972" t="s">
        <v>74</v>
      </c>
    </row>
    <row r="7973" spans="1:66">
      <c r="A7973">
        <v>104516</v>
      </c>
      <c r="B7973" s="3" t="s">
        <v>671</v>
      </c>
      <c r="C7973" s="1">
        <v>43201201</v>
      </c>
      <c r="D7973" t="s">
        <v>116</v>
      </c>
      <c r="H7973" t="str">
        <f t="shared" si="783"/>
        <v>03519500619</v>
      </c>
      <c r="I7973" t="str">
        <f t="shared" si="783"/>
        <v>03519500619</v>
      </c>
      <c r="K7973" t="str">
        <f>""</f>
        <v/>
      </c>
      <c r="M7973" t="s">
        <v>68</v>
      </c>
      <c r="N7973" t="str">
        <f t="shared" si="784"/>
        <v>AZ1</v>
      </c>
      <c r="O7973" t="s">
        <v>117</v>
      </c>
      <c r="P7973" s="3" t="s">
        <v>75</v>
      </c>
      <c r="Q7973">
        <v>2016</v>
      </c>
      <c r="R7973" s="2">
        <v>42448</v>
      </c>
      <c r="S7973" s="2">
        <v>42464</v>
      </c>
      <c r="T7973" s="2">
        <v>42451</v>
      </c>
      <c r="U7973" s="2">
        <v>42511</v>
      </c>
      <c r="V7973" t="s">
        <v>71</v>
      </c>
      <c r="W7973" t="str">
        <f>"            005/1670"</f>
        <v xml:space="preserve">            005/1670</v>
      </c>
      <c r="X7973">
        <v>52.4</v>
      </c>
      <c r="Y7973">
        <v>0</v>
      </c>
      <c r="Z7973" s="3">
        <v>52.4</v>
      </c>
      <c r="AA7973">
        <v>167</v>
      </c>
      <c r="AB7973" s="5">
        <v>8750.7999999999993</v>
      </c>
      <c r="AC7973">
        <v>52.4</v>
      </c>
      <c r="AD7973">
        <v>167</v>
      </c>
      <c r="AE7973" s="1">
        <v>8750.7999999999993</v>
      </c>
      <c r="AF7973">
        <v>0</v>
      </c>
      <c r="AJ7973">
        <v>0</v>
      </c>
      <c r="AK7973">
        <v>0</v>
      </c>
      <c r="AL7973">
        <v>0</v>
      </c>
      <c r="AM7973">
        <v>52.4</v>
      </c>
      <c r="AN7973">
        <v>52.4</v>
      </c>
      <c r="AO7973">
        <v>52.4</v>
      </c>
      <c r="AP7973" s="2">
        <v>42746</v>
      </c>
      <c r="AQ7973" t="s">
        <v>72</v>
      </c>
      <c r="AR7973" t="s">
        <v>72</v>
      </c>
      <c r="AS7973">
        <v>2911</v>
      </c>
      <c r="AT7973" s="4">
        <v>42678</v>
      </c>
      <c r="AU7973" t="s">
        <v>73</v>
      </c>
      <c r="AV7973">
        <v>2911</v>
      </c>
      <c r="AW7973" s="4">
        <v>42678</v>
      </c>
      <c r="BD7973">
        <v>0</v>
      </c>
      <c r="BN7973" t="s">
        <v>74</v>
      </c>
    </row>
    <row r="7974" spans="1:66">
      <c r="A7974">
        <v>104516</v>
      </c>
      <c r="B7974" s="3" t="s">
        <v>671</v>
      </c>
      <c r="C7974" s="1">
        <v>43201201</v>
      </c>
      <c r="D7974" t="s">
        <v>116</v>
      </c>
      <c r="H7974" t="str">
        <f t="shared" si="783"/>
        <v>03519500619</v>
      </c>
      <c r="I7974" t="str">
        <f t="shared" si="783"/>
        <v>03519500619</v>
      </c>
      <c r="K7974" t="str">
        <f>""</f>
        <v/>
      </c>
      <c r="M7974" t="s">
        <v>68</v>
      </c>
      <c r="N7974" t="str">
        <f t="shared" si="784"/>
        <v>AZ1</v>
      </c>
      <c r="O7974" t="s">
        <v>117</v>
      </c>
      <c r="P7974" s="3" t="s">
        <v>75</v>
      </c>
      <c r="Q7974">
        <v>2016</v>
      </c>
      <c r="R7974" s="2">
        <v>42535</v>
      </c>
      <c r="S7974" s="2">
        <v>42537</v>
      </c>
      <c r="T7974" s="2">
        <v>42535</v>
      </c>
      <c r="U7974" s="2">
        <v>42595</v>
      </c>
      <c r="V7974" t="s">
        <v>71</v>
      </c>
      <c r="W7974" t="str">
        <f>"            005/2921"</f>
        <v xml:space="preserve">            005/2921</v>
      </c>
      <c r="X7974">
        <v>82</v>
      </c>
      <c r="Y7974">
        <v>0</v>
      </c>
      <c r="Z7974" s="3">
        <v>82</v>
      </c>
      <c r="AA7974">
        <v>83</v>
      </c>
      <c r="AB7974" s="5">
        <v>6806</v>
      </c>
      <c r="AC7974">
        <v>82</v>
      </c>
      <c r="AD7974">
        <v>83</v>
      </c>
      <c r="AE7974" s="1">
        <v>6806</v>
      </c>
      <c r="AF7974">
        <v>0</v>
      </c>
      <c r="AJ7974">
        <v>0</v>
      </c>
      <c r="AK7974">
        <v>0</v>
      </c>
      <c r="AL7974">
        <v>0</v>
      </c>
      <c r="AM7974">
        <v>82</v>
      </c>
      <c r="AN7974">
        <v>82</v>
      </c>
      <c r="AO7974">
        <v>82</v>
      </c>
      <c r="AP7974" s="2">
        <v>42746</v>
      </c>
      <c r="AQ7974" t="s">
        <v>72</v>
      </c>
      <c r="AR7974" t="s">
        <v>72</v>
      </c>
      <c r="AS7974">
        <v>2911</v>
      </c>
      <c r="AT7974" s="4">
        <v>42678</v>
      </c>
      <c r="AU7974" t="s">
        <v>73</v>
      </c>
      <c r="AV7974">
        <v>2911</v>
      </c>
      <c r="AW7974" s="4">
        <v>42678</v>
      </c>
      <c r="BD7974">
        <v>0</v>
      </c>
      <c r="BN7974" t="s">
        <v>74</v>
      </c>
    </row>
    <row r="7975" spans="1:66">
      <c r="A7975">
        <v>104527</v>
      </c>
      <c r="B7975" s="3" t="s">
        <v>672</v>
      </c>
      <c r="C7975" s="1">
        <v>43300101</v>
      </c>
      <c r="D7975" t="s">
        <v>67</v>
      </c>
      <c r="H7975" t="str">
        <f t="shared" ref="H7975:I7978" si="785">"04465331215"</f>
        <v>04465331215</v>
      </c>
      <c r="I7975" t="str">
        <f t="shared" si="785"/>
        <v>04465331215</v>
      </c>
      <c r="K7975" t="str">
        <f>""</f>
        <v/>
      </c>
      <c r="M7975" t="s">
        <v>68</v>
      </c>
      <c r="N7975" t="str">
        <f>"FOR"</f>
        <v>FOR</v>
      </c>
      <c r="O7975" t="s">
        <v>69</v>
      </c>
      <c r="P7975" s="3" t="s">
        <v>75</v>
      </c>
      <c r="Q7975">
        <v>2015</v>
      </c>
      <c r="R7975" s="2">
        <v>42307</v>
      </c>
      <c r="S7975" s="2">
        <v>42310</v>
      </c>
      <c r="T7975" s="2">
        <v>42310</v>
      </c>
      <c r="U7975" s="2">
        <v>42370</v>
      </c>
      <c r="V7975" t="s">
        <v>71</v>
      </c>
      <c r="W7975" t="str">
        <f>"     03E-2015/A.T.M."</f>
        <v xml:space="preserve">     03E-2015/A.T.M.</v>
      </c>
      <c r="X7975" s="1">
        <v>4831.2</v>
      </c>
      <c r="Y7975">
        <v>0</v>
      </c>
      <c r="Z7975" s="5">
        <v>3960</v>
      </c>
      <c r="AA7975">
        <v>277</v>
      </c>
      <c r="AB7975" s="5">
        <v>1096920</v>
      </c>
      <c r="AC7975" s="1">
        <v>3960</v>
      </c>
      <c r="AD7975">
        <v>277</v>
      </c>
      <c r="AE7975" s="1">
        <v>1096920</v>
      </c>
      <c r="AF7975">
        <v>0</v>
      </c>
      <c r="AJ7975">
        <v>0</v>
      </c>
      <c r="AK7975">
        <v>0</v>
      </c>
      <c r="AL7975">
        <v>0</v>
      </c>
      <c r="AM7975">
        <v>0</v>
      </c>
      <c r="AN7975">
        <v>0</v>
      </c>
      <c r="AO7975">
        <v>0</v>
      </c>
      <c r="AP7975" s="2">
        <v>42746</v>
      </c>
      <c r="AQ7975" t="s">
        <v>72</v>
      </c>
      <c r="AR7975" t="s">
        <v>72</v>
      </c>
      <c r="AS7975">
        <v>2613</v>
      </c>
      <c r="AT7975" s="4">
        <v>42647</v>
      </c>
      <c r="AU7975" t="s">
        <v>73</v>
      </c>
      <c r="AV7975">
        <v>2613</v>
      </c>
      <c r="AW7975" s="4">
        <v>42647</v>
      </c>
      <c r="BD7975">
        <v>0</v>
      </c>
      <c r="BN7975" t="s">
        <v>74</v>
      </c>
    </row>
    <row r="7976" spans="1:66">
      <c r="A7976">
        <v>104527</v>
      </c>
      <c r="B7976" s="3" t="s">
        <v>672</v>
      </c>
      <c r="C7976" s="1">
        <v>43300101</v>
      </c>
      <c r="D7976" t="s">
        <v>67</v>
      </c>
      <c r="H7976" t="str">
        <f t="shared" si="785"/>
        <v>04465331215</v>
      </c>
      <c r="I7976" t="str">
        <f t="shared" si="785"/>
        <v>04465331215</v>
      </c>
      <c r="K7976" t="str">
        <f>""</f>
        <v/>
      </c>
      <c r="M7976" t="s">
        <v>68</v>
      </c>
      <c r="N7976" t="str">
        <f>"FOR"</f>
        <v>FOR</v>
      </c>
      <c r="O7976" t="s">
        <v>69</v>
      </c>
      <c r="P7976" s="3" t="s">
        <v>75</v>
      </c>
      <c r="Q7976">
        <v>2015</v>
      </c>
      <c r="R7976" s="2">
        <v>42349</v>
      </c>
      <c r="S7976" s="2">
        <v>42359</v>
      </c>
      <c r="T7976" s="2">
        <v>42355</v>
      </c>
      <c r="U7976" s="2">
        <v>42415</v>
      </c>
      <c r="V7976" t="s">
        <v>71</v>
      </c>
      <c r="W7976" t="str">
        <f>"     26E-2015/A.T.M."</f>
        <v xml:space="preserve">     26E-2015/A.T.M.</v>
      </c>
      <c r="X7976" s="1">
        <v>1830</v>
      </c>
      <c r="Y7976">
        <v>0</v>
      </c>
      <c r="Z7976" s="5">
        <v>1500</v>
      </c>
      <c r="AA7976">
        <v>275</v>
      </c>
      <c r="AB7976" s="5">
        <v>412500</v>
      </c>
      <c r="AC7976" s="1">
        <v>1500</v>
      </c>
      <c r="AD7976">
        <v>275</v>
      </c>
      <c r="AE7976" s="1">
        <v>412500</v>
      </c>
      <c r="AF7976">
        <v>0</v>
      </c>
      <c r="AJ7976">
        <v>0</v>
      </c>
      <c r="AK7976">
        <v>0</v>
      </c>
      <c r="AL7976">
        <v>0</v>
      </c>
      <c r="AM7976">
        <v>0</v>
      </c>
      <c r="AN7976">
        <v>0</v>
      </c>
      <c r="AO7976">
        <v>0</v>
      </c>
      <c r="AP7976" s="2">
        <v>42746</v>
      </c>
      <c r="AQ7976" t="s">
        <v>72</v>
      </c>
      <c r="AR7976" t="s">
        <v>72</v>
      </c>
      <c r="AS7976">
        <v>3152</v>
      </c>
      <c r="AT7976" s="4">
        <v>42690</v>
      </c>
      <c r="AU7976" t="s">
        <v>73</v>
      </c>
      <c r="AV7976">
        <v>3152</v>
      </c>
      <c r="AW7976" s="4">
        <v>42690</v>
      </c>
      <c r="BD7976">
        <v>0</v>
      </c>
      <c r="BN7976" t="s">
        <v>74</v>
      </c>
    </row>
    <row r="7977" spans="1:66">
      <c r="A7977">
        <v>104527</v>
      </c>
      <c r="B7977" s="3" t="s">
        <v>672</v>
      </c>
      <c r="C7977" s="1">
        <v>43300101</v>
      </c>
      <c r="D7977" t="s">
        <v>67</v>
      </c>
      <c r="H7977" t="str">
        <f t="shared" si="785"/>
        <v>04465331215</v>
      </c>
      <c r="I7977" t="str">
        <f t="shared" si="785"/>
        <v>04465331215</v>
      </c>
      <c r="K7977" t="str">
        <f>""</f>
        <v/>
      </c>
      <c r="M7977" t="s">
        <v>68</v>
      </c>
      <c r="N7977" t="str">
        <f>"FOR"</f>
        <v>FOR</v>
      </c>
      <c r="O7977" t="s">
        <v>69</v>
      </c>
      <c r="P7977" s="3" t="s">
        <v>75</v>
      </c>
      <c r="Q7977">
        <v>2015</v>
      </c>
      <c r="R7977" s="2">
        <v>42368</v>
      </c>
      <c r="S7977" s="2">
        <v>42369</v>
      </c>
      <c r="T7977" s="2">
        <v>42368</v>
      </c>
      <c r="U7977" s="2">
        <v>42428</v>
      </c>
      <c r="V7977" t="s">
        <v>71</v>
      </c>
      <c r="W7977" t="str">
        <f>"     38E-2015/A.T.M."</f>
        <v xml:space="preserve">     38E-2015/A.T.M.</v>
      </c>
      <c r="X7977" s="1">
        <v>2651.06</v>
      </c>
      <c r="Y7977">
        <v>0</v>
      </c>
      <c r="Z7977" s="5">
        <v>2173</v>
      </c>
      <c r="AA7977">
        <v>262</v>
      </c>
      <c r="AB7977" s="5">
        <v>569326</v>
      </c>
      <c r="AC7977" s="1">
        <v>2173</v>
      </c>
      <c r="AD7977">
        <v>262</v>
      </c>
      <c r="AE7977" s="1">
        <v>569326</v>
      </c>
      <c r="AF7977">
        <v>0</v>
      </c>
      <c r="AJ7977">
        <v>0</v>
      </c>
      <c r="AK7977">
        <v>0</v>
      </c>
      <c r="AL7977">
        <v>0</v>
      </c>
      <c r="AM7977">
        <v>0</v>
      </c>
      <c r="AN7977">
        <v>0</v>
      </c>
      <c r="AO7977">
        <v>0</v>
      </c>
      <c r="AP7977" s="2">
        <v>42746</v>
      </c>
      <c r="AQ7977" t="s">
        <v>72</v>
      </c>
      <c r="AR7977" t="s">
        <v>72</v>
      </c>
      <c r="AS7977">
        <v>3152</v>
      </c>
      <c r="AT7977" s="4">
        <v>42690</v>
      </c>
      <c r="AU7977" t="s">
        <v>73</v>
      </c>
      <c r="AV7977">
        <v>3152</v>
      </c>
      <c r="AW7977" s="4">
        <v>42690</v>
      </c>
      <c r="BD7977">
        <v>0</v>
      </c>
      <c r="BN7977" t="s">
        <v>74</v>
      </c>
    </row>
    <row r="7978" spans="1:66">
      <c r="A7978">
        <v>104527</v>
      </c>
      <c r="B7978" s="3" t="s">
        <v>672</v>
      </c>
      <c r="C7978" s="1">
        <v>43300101</v>
      </c>
      <c r="D7978" t="s">
        <v>67</v>
      </c>
      <c r="H7978" t="str">
        <f t="shared" si="785"/>
        <v>04465331215</v>
      </c>
      <c r="I7978" t="str">
        <f t="shared" si="785"/>
        <v>04465331215</v>
      </c>
      <c r="K7978" t="str">
        <f>""</f>
        <v/>
      </c>
      <c r="M7978" t="s">
        <v>68</v>
      </c>
      <c r="N7978" t="str">
        <f>"FOR"</f>
        <v>FOR</v>
      </c>
      <c r="O7978" t="s">
        <v>69</v>
      </c>
      <c r="P7978" s="3" t="s">
        <v>75</v>
      </c>
      <c r="Q7978">
        <v>2015</v>
      </c>
      <c r="R7978" s="2">
        <v>42289</v>
      </c>
      <c r="S7978" s="2">
        <v>42289</v>
      </c>
      <c r="T7978" s="2">
        <v>42289</v>
      </c>
      <c r="U7978" s="2">
        <v>42349</v>
      </c>
      <c r="V7978" t="s">
        <v>71</v>
      </c>
      <c r="W7978" t="str">
        <f>"     95E-2015/A.T.M."</f>
        <v xml:space="preserve">     95E-2015/A.T.M.</v>
      </c>
      <c r="X7978" s="1">
        <v>1992.66</v>
      </c>
      <c r="Y7978">
        <v>0</v>
      </c>
      <c r="Z7978" s="5">
        <v>1633.33</v>
      </c>
      <c r="AA7978">
        <v>369</v>
      </c>
      <c r="AB7978" s="5">
        <v>602698.77</v>
      </c>
      <c r="AC7978" s="1">
        <v>1633.33</v>
      </c>
      <c r="AD7978">
        <v>369</v>
      </c>
      <c r="AE7978" s="1">
        <v>602698.77</v>
      </c>
      <c r="AF7978">
        <v>359.33</v>
      </c>
      <c r="AJ7978">
        <v>0</v>
      </c>
      <c r="AK7978">
        <v>0</v>
      </c>
      <c r="AL7978">
        <v>0</v>
      </c>
      <c r="AM7978">
        <v>0</v>
      </c>
      <c r="AN7978">
        <v>0</v>
      </c>
      <c r="AO7978">
        <v>0</v>
      </c>
      <c r="AP7978" s="2">
        <v>42746</v>
      </c>
      <c r="AQ7978" t="s">
        <v>72</v>
      </c>
      <c r="AR7978" t="s">
        <v>72</v>
      </c>
      <c r="AS7978">
        <v>3454</v>
      </c>
      <c r="AT7978" s="4">
        <v>42718</v>
      </c>
      <c r="AU7978" t="s">
        <v>73</v>
      </c>
      <c r="AV7978">
        <v>3454</v>
      </c>
      <c r="AW7978" s="4">
        <v>42718</v>
      </c>
      <c r="BD7978">
        <v>359.33</v>
      </c>
      <c r="BN7978" t="s">
        <v>74</v>
      </c>
    </row>
    <row r="7979" spans="1:66" hidden="1">
      <c r="A7979">
        <v>104534</v>
      </c>
      <c r="B7979" s="3" t="s">
        <v>673</v>
      </c>
      <c r="C7979" s="1">
        <v>43500101</v>
      </c>
      <c r="D7979" t="s">
        <v>113</v>
      </c>
      <c r="H7979" t="str">
        <f>"02186491201"</f>
        <v>02186491201</v>
      </c>
      <c r="I7979" t="str">
        <f>"02186491201"</f>
        <v>02186491201</v>
      </c>
      <c r="K7979" t="str">
        <f>""</f>
        <v/>
      </c>
      <c r="M7979" t="s">
        <v>68</v>
      </c>
      <c r="N7979" t="str">
        <f>"ALTFIN"</f>
        <v>ALTFIN</v>
      </c>
      <c r="O7979" t="s">
        <v>123</v>
      </c>
      <c r="P7979" s="3" t="s">
        <v>84</v>
      </c>
      <c r="Q7979">
        <v>2016</v>
      </c>
      <c r="R7979" s="2">
        <v>42389</v>
      </c>
      <c r="S7979" s="2">
        <v>42390</v>
      </c>
      <c r="T7979" s="2">
        <v>42390</v>
      </c>
      <c r="U7979" s="2">
        <v>42450</v>
      </c>
      <c r="V7979" t="s">
        <v>71</v>
      </c>
      <c r="W7979" t="str">
        <f>"                0120"</f>
        <v xml:space="preserve">                0120</v>
      </c>
      <c r="X7979">
        <v>0</v>
      </c>
      <c r="Y7979">
        <v>230</v>
      </c>
      <c r="Z7979"/>
      <c r="AB7979"/>
      <c r="AC7979">
        <v>230</v>
      </c>
      <c r="AD7979">
        <v>-60</v>
      </c>
      <c r="AE7979" s="1">
        <v>-13800</v>
      </c>
      <c r="AF7979">
        <v>0</v>
      </c>
      <c r="AJ7979">
        <v>0</v>
      </c>
      <c r="AK7979">
        <v>0</v>
      </c>
      <c r="AL7979">
        <v>0</v>
      </c>
      <c r="AM7979">
        <v>230</v>
      </c>
      <c r="AN7979">
        <v>230</v>
      </c>
      <c r="AO7979">
        <v>230</v>
      </c>
      <c r="AP7979" s="2">
        <v>42746</v>
      </c>
      <c r="AQ7979" t="s">
        <v>72</v>
      </c>
      <c r="AR7979" t="s">
        <v>72</v>
      </c>
      <c r="AS7979">
        <v>37</v>
      </c>
      <c r="AT7979" s="4">
        <v>42390</v>
      </c>
      <c r="AV7979">
        <v>37</v>
      </c>
      <c r="AW7979" s="4">
        <v>42390</v>
      </c>
      <c r="BD7979">
        <v>0</v>
      </c>
      <c r="BN7979" t="s">
        <v>74</v>
      </c>
    </row>
    <row r="7980" spans="1:66" hidden="1">
      <c r="A7980">
        <v>104538</v>
      </c>
      <c r="B7980" s="3" t="s">
        <v>674</v>
      </c>
      <c r="C7980" s="1">
        <v>43300101</v>
      </c>
      <c r="D7980" t="s">
        <v>67</v>
      </c>
      <c r="H7980" t="str">
        <f>"00660040528"</f>
        <v>00660040528</v>
      </c>
      <c r="I7980" t="str">
        <f>"00660040528"</f>
        <v>00660040528</v>
      </c>
      <c r="K7980" t="str">
        <f>""</f>
        <v/>
      </c>
      <c r="M7980" t="s">
        <v>68</v>
      </c>
      <c r="N7980" t="str">
        <f t="shared" ref="N7980:N8011" si="786">"FOR"</f>
        <v>FOR</v>
      </c>
      <c r="O7980" t="s">
        <v>69</v>
      </c>
      <c r="P7980" s="3" t="s">
        <v>70</v>
      </c>
      <c r="Q7980">
        <v>2015</v>
      </c>
      <c r="R7980" s="2">
        <v>42082</v>
      </c>
      <c r="S7980" s="2">
        <v>42095</v>
      </c>
      <c r="T7980" s="2">
        <v>42095</v>
      </c>
      <c r="U7980" s="2">
        <v>42155</v>
      </c>
      <c r="V7980" t="s">
        <v>71</v>
      </c>
      <c r="W7980" t="str">
        <f>"                 351"</f>
        <v xml:space="preserve">                 351</v>
      </c>
      <c r="X7980" s="1">
        <v>8418</v>
      </c>
      <c r="Y7980">
        <v>0</v>
      </c>
      <c r="Z7980"/>
      <c r="AB7980"/>
      <c r="AC7980" s="1">
        <v>6900</v>
      </c>
      <c r="AD7980">
        <v>298</v>
      </c>
      <c r="AE7980" s="1">
        <v>2056200</v>
      </c>
      <c r="AF7980">
        <v>0</v>
      </c>
      <c r="AJ7980">
        <v>0</v>
      </c>
      <c r="AK7980">
        <v>0</v>
      </c>
      <c r="AL7980">
        <v>0</v>
      </c>
      <c r="AM7980">
        <v>0</v>
      </c>
      <c r="AN7980">
        <v>0</v>
      </c>
      <c r="AO7980">
        <v>0</v>
      </c>
      <c r="AP7980" s="2">
        <v>42746</v>
      </c>
      <c r="AQ7980" t="s">
        <v>72</v>
      </c>
      <c r="AR7980" t="s">
        <v>72</v>
      </c>
      <c r="AS7980">
        <v>860</v>
      </c>
      <c r="AT7980" s="4">
        <v>42453</v>
      </c>
      <c r="AU7980" t="s">
        <v>73</v>
      </c>
      <c r="AV7980">
        <v>860</v>
      </c>
      <c r="AW7980" s="4">
        <v>42453</v>
      </c>
      <c r="BD7980">
        <v>0</v>
      </c>
      <c r="BN7980" t="s">
        <v>74</v>
      </c>
    </row>
    <row r="7981" spans="1:66" hidden="1">
      <c r="A7981">
        <v>104538</v>
      </c>
      <c r="B7981" s="3" t="s">
        <v>674</v>
      </c>
      <c r="C7981" s="1">
        <v>43300101</v>
      </c>
      <c r="D7981" t="s">
        <v>67</v>
      </c>
      <c r="H7981" t="str">
        <f>"00660040528"</f>
        <v>00660040528</v>
      </c>
      <c r="I7981" t="str">
        <f>"00660040528"</f>
        <v>00660040528</v>
      </c>
      <c r="K7981" t="str">
        <f>""</f>
        <v/>
      </c>
      <c r="M7981" t="s">
        <v>68</v>
      </c>
      <c r="N7981" t="str">
        <f t="shared" si="786"/>
        <v>FOR</v>
      </c>
      <c r="O7981" t="s">
        <v>69</v>
      </c>
      <c r="P7981" s="3" t="s">
        <v>70</v>
      </c>
      <c r="Q7981">
        <v>2015</v>
      </c>
      <c r="R7981" s="2">
        <v>42093</v>
      </c>
      <c r="S7981" s="2">
        <v>42115</v>
      </c>
      <c r="T7981" s="2">
        <v>42115</v>
      </c>
      <c r="U7981" s="2">
        <v>42175</v>
      </c>
      <c r="V7981" t="s">
        <v>71</v>
      </c>
      <c r="W7981" t="str">
        <f>"                 484"</f>
        <v xml:space="preserve">                 484</v>
      </c>
      <c r="X7981" s="1">
        <v>8418</v>
      </c>
      <c r="Y7981">
        <v>0</v>
      </c>
      <c r="Z7981"/>
      <c r="AB7981"/>
      <c r="AC7981" s="1">
        <v>6900</v>
      </c>
      <c r="AD7981">
        <v>278</v>
      </c>
      <c r="AE7981" s="1">
        <v>1918200</v>
      </c>
      <c r="AF7981">
        <v>0</v>
      </c>
      <c r="AJ7981">
        <v>0</v>
      </c>
      <c r="AK7981">
        <v>0</v>
      </c>
      <c r="AL7981">
        <v>0</v>
      </c>
      <c r="AM7981">
        <v>0</v>
      </c>
      <c r="AN7981">
        <v>0</v>
      </c>
      <c r="AO7981">
        <v>0</v>
      </c>
      <c r="AP7981" s="2">
        <v>42746</v>
      </c>
      <c r="AQ7981" t="s">
        <v>72</v>
      </c>
      <c r="AR7981" t="s">
        <v>72</v>
      </c>
      <c r="AS7981">
        <v>860</v>
      </c>
      <c r="AT7981" s="4">
        <v>42453</v>
      </c>
      <c r="AU7981" t="s">
        <v>73</v>
      </c>
      <c r="AV7981">
        <v>860</v>
      </c>
      <c r="AW7981" s="4">
        <v>42453</v>
      </c>
      <c r="BD7981">
        <v>0</v>
      </c>
      <c r="BN7981" t="s">
        <v>74</v>
      </c>
    </row>
    <row r="7982" spans="1:66" hidden="1">
      <c r="A7982">
        <v>104545</v>
      </c>
      <c r="B7982" s="3" t="s">
        <v>675</v>
      </c>
      <c r="C7982" s="1">
        <v>43300101</v>
      </c>
      <c r="D7982" t="s">
        <v>67</v>
      </c>
      <c r="H7982" t="str">
        <f>"02615000367"</f>
        <v>02615000367</v>
      </c>
      <c r="I7982" t="str">
        <f>"02615000367"</f>
        <v>02615000367</v>
      </c>
      <c r="K7982" t="str">
        <f>""</f>
        <v/>
      </c>
      <c r="M7982" t="s">
        <v>68</v>
      </c>
      <c r="N7982" t="str">
        <f t="shared" si="786"/>
        <v>FOR</v>
      </c>
      <c r="O7982" t="s">
        <v>69</v>
      </c>
      <c r="P7982" s="3" t="s">
        <v>70</v>
      </c>
      <c r="Q7982">
        <v>2015</v>
      </c>
      <c r="R7982" s="2">
        <v>42063</v>
      </c>
      <c r="S7982" s="2">
        <v>42109</v>
      </c>
      <c r="T7982" s="2">
        <v>42109</v>
      </c>
      <c r="U7982" s="2">
        <v>42169</v>
      </c>
      <c r="V7982" t="s">
        <v>71</v>
      </c>
      <c r="W7982" t="str">
        <f>"                 442"</f>
        <v xml:space="preserve">                 442</v>
      </c>
      <c r="X7982">
        <v>143.96</v>
      </c>
      <c r="Y7982">
        <v>0</v>
      </c>
      <c r="Z7982"/>
      <c r="AB7982"/>
      <c r="AC7982">
        <v>118</v>
      </c>
      <c r="AD7982">
        <v>239</v>
      </c>
      <c r="AE7982" s="1">
        <v>28202</v>
      </c>
      <c r="AF7982">
        <v>0</v>
      </c>
      <c r="AJ7982">
        <v>0</v>
      </c>
      <c r="AK7982">
        <v>0</v>
      </c>
      <c r="AL7982">
        <v>0</v>
      </c>
      <c r="AM7982">
        <v>0</v>
      </c>
      <c r="AN7982">
        <v>0</v>
      </c>
      <c r="AO7982">
        <v>0</v>
      </c>
      <c r="AP7982" s="2">
        <v>42746</v>
      </c>
      <c r="AQ7982" t="s">
        <v>72</v>
      </c>
      <c r="AR7982" t="s">
        <v>72</v>
      </c>
      <c r="AS7982">
        <v>307</v>
      </c>
      <c r="AT7982" s="4">
        <v>42408</v>
      </c>
      <c r="AU7982" t="s">
        <v>73</v>
      </c>
      <c r="AV7982">
        <v>307</v>
      </c>
      <c r="AW7982" s="4">
        <v>42408</v>
      </c>
      <c r="BD7982">
        <v>0</v>
      </c>
      <c r="BN7982" t="s">
        <v>74</v>
      </c>
    </row>
    <row r="7983" spans="1:66" hidden="1">
      <c r="A7983">
        <v>104545</v>
      </c>
      <c r="B7983" s="3" t="s">
        <v>675</v>
      </c>
      <c r="C7983" s="1">
        <v>43300101</v>
      </c>
      <c r="D7983" t="s">
        <v>67</v>
      </c>
      <c r="H7983" t="str">
        <f>"02615000367"</f>
        <v>02615000367</v>
      </c>
      <c r="I7983" t="str">
        <f>"02615000367"</f>
        <v>02615000367</v>
      </c>
      <c r="K7983" t="str">
        <f>""</f>
        <v/>
      </c>
      <c r="M7983" t="s">
        <v>68</v>
      </c>
      <c r="N7983" t="str">
        <f t="shared" si="786"/>
        <v>FOR</v>
      </c>
      <c r="O7983" t="s">
        <v>69</v>
      </c>
      <c r="P7983" s="3" t="s">
        <v>75</v>
      </c>
      <c r="Q7983">
        <v>2015</v>
      </c>
      <c r="R7983" s="2">
        <v>42264</v>
      </c>
      <c r="S7983" s="2">
        <v>42334</v>
      </c>
      <c r="T7983" s="2">
        <v>42333</v>
      </c>
      <c r="U7983" s="2">
        <v>42393</v>
      </c>
      <c r="V7983" t="s">
        <v>71</v>
      </c>
      <c r="W7983" t="str">
        <f>"              E-1383"</f>
        <v xml:space="preserve">              E-1383</v>
      </c>
      <c r="X7983">
        <v>287.92</v>
      </c>
      <c r="Y7983">
        <v>0</v>
      </c>
      <c r="Z7983"/>
      <c r="AB7983"/>
      <c r="AC7983">
        <v>236</v>
      </c>
      <c r="AD7983">
        <v>15</v>
      </c>
      <c r="AE7983" s="1">
        <v>3540</v>
      </c>
      <c r="AF7983">
        <v>0</v>
      </c>
      <c r="AJ7983">
        <v>0</v>
      </c>
      <c r="AK7983">
        <v>0</v>
      </c>
      <c r="AL7983">
        <v>0</v>
      </c>
      <c r="AM7983">
        <v>0</v>
      </c>
      <c r="AN7983">
        <v>0</v>
      </c>
      <c r="AO7983">
        <v>0</v>
      </c>
      <c r="AP7983" s="2">
        <v>42746</v>
      </c>
      <c r="AQ7983" t="s">
        <v>72</v>
      </c>
      <c r="AR7983" t="s">
        <v>72</v>
      </c>
      <c r="AS7983">
        <v>307</v>
      </c>
      <c r="AT7983" s="4">
        <v>42408</v>
      </c>
      <c r="AU7983" t="s">
        <v>73</v>
      </c>
      <c r="AV7983">
        <v>307</v>
      </c>
      <c r="AW7983" s="4">
        <v>42408</v>
      </c>
      <c r="BD7983">
        <v>0</v>
      </c>
      <c r="BN7983" t="s">
        <v>74</v>
      </c>
    </row>
    <row r="7984" spans="1:66" hidden="1">
      <c r="A7984">
        <v>104560</v>
      </c>
      <c r="B7984" s="3" t="s">
        <v>676</v>
      </c>
      <c r="C7984" s="1">
        <v>43300101</v>
      </c>
      <c r="D7984" t="s">
        <v>67</v>
      </c>
      <c r="H7984" t="str">
        <f t="shared" ref="H7984:I8003" si="787">"02504501210"</f>
        <v>02504501210</v>
      </c>
      <c r="I7984" t="str">
        <f t="shared" si="787"/>
        <v>02504501210</v>
      </c>
      <c r="K7984" t="str">
        <f>""</f>
        <v/>
      </c>
      <c r="M7984" t="s">
        <v>68</v>
      </c>
      <c r="N7984" t="str">
        <f t="shared" si="786"/>
        <v>FOR</v>
      </c>
      <c r="O7984" t="s">
        <v>69</v>
      </c>
      <c r="P7984" s="3" t="s">
        <v>75</v>
      </c>
      <c r="Q7984">
        <v>2015</v>
      </c>
      <c r="R7984" s="2">
        <v>42338</v>
      </c>
      <c r="S7984" s="2">
        <v>42339</v>
      </c>
      <c r="T7984" s="2">
        <v>42338</v>
      </c>
      <c r="U7984" s="2">
        <v>42398</v>
      </c>
      <c r="V7984" t="s">
        <v>71</v>
      </c>
      <c r="W7984" t="str">
        <f>"                 151"</f>
        <v xml:space="preserve">                 151</v>
      </c>
      <c r="X7984" s="1">
        <v>1927.6</v>
      </c>
      <c r="Y7984">
        <v>0</v>
      </c>
      <c r="Z7984"/>
      <c r="AB7984"/>
      <c r="AC7984" s="1">
        <v>1580</v>
      </c>
      <c r="AD7984">
        <v>3</v>
      </c>
      <c r="AE7984" s="1">
        <v>4740</v>
      </c>
      <c r="AF7984">
        <v>0</v>
      </c>
      <c r="AJ7984">
        <v>0</v>
      </c>
      <c r="AK7984">
        <v>0</v>
      </c>
      <c r="AL7984">
        <v>0</v>
      </c>
      <c r="AM7984">
        <v>0</v>
      </c>
      <c r="AN7984">
        <v>0</v>
      </c>
      <c r="AO7984">
        <v>0</v>
      </c>
      <c r="AP7984" s="2">
        <v>42746</v>
      </c>
      <c r="AQ7984" t="s">
        <v>72</v>
      </c>
      <c r="AR7984" t="s">
        <v>72</v>
      </c>
      <c r="AS7984">
        <v>161</v>
      </c>
      <c r="AT7984" s="4">
        <v>42401</v>
      </c>
      <c r="AU7984" t="s">
        <v>73</v>
      </c>
      <c r="AV7984">
        <v>161</v>
      </c>
      <c r="AW7984" s="4">
        <v>42401</v>
      </c>
      <c r="BD7984">
        <v>0</v>
      </c>
      <c r="BN7984" t="s">
        <v>74</v>
      </c>
    </row>
    <row r="7985" spans="1:66" hidden="1">
      <c r="A7985">
        <v>104560</v>
      </c>
      <c r="B7985" s="3" t="s">
        <v>676</v>
      </c>
      <c r="C7985" s="1">
        <v>43300101</v>
      </c>
      <c r="D7985" t="s">
        <v>67</v>
      </c>
      <c r="H7985" t="str">
        <f t="shared" si="787"/>
        <v>02504501210</v>
      </c>
      <c r="I7985" t="str">
        <f t="shared" si="787"/>
        <v>02504501210</v>
      </c>
      <c r="K7985" t="str">
        <f>""</f>
        <v/>
      </c>
      <c r="M7985" t="s">
        <v>68</v>
      </c>
      <c r="N7985" t="str">
        <f t="shared" si="786"/>
        <v>FOR</v>
      </c>
      <c r="O7985" t="s">
        <v>69</v>
      </c>
      <c r="P7985" s="3" t="s">
        <v>75</v>
      </c>
      <c r="Q7985">
        <v>2015</v>
      </c>
      <c r="R7985" s="2">
        <v>42338</v>
      </c>
      <c r="S7985" s="2">
        <v>42339</v>
      </c>
      <c r="T7985" s="2">
        <v>42339</v>
      </c>
      <c r="U7985" s="2">
        <v>42399</v>
      </c>
      <c r="V7985" t="s">
        <v>71</v>
      </c>
      <c r="W7985" t="str">
        <f>"                 152"</f>
        <v xml:space="preserve">                 152</v>
      </c>
      <c r="X7985">
        <v>486.78</v>
      </c>
      <c r="Y7985">
        <v>0</v>
      </c>
      <c r="Z7985"/>
      <c r="AB7985"/>
      <c r="AC7985">
        <v>399</v>
      </c>
      <c r="AD7985">
        <v>2</v>
      </c>
      <c r="AE7985">
        <v>798</v>
      </c>
      <c r="AF7985">
        <v>0</v>
      </c>
      <c r="AJ7985">
        <v>0</v>
      </c>
      <c r="AK7985">
        <v>0</v>
      </c>
      <c r="AL7985">
        <v>0</v>
      </c>
      <c r="AM7985">
        <v>0</v>
      </c>
      <c r="AN7985">
        <v>0</v>
      </c>
      <c r="AO7985">
        <v>0</v>
      </c>
      <c r="AP7985" s="2">
        <v>42746</v>
      </c>
      <c r="AQ7985" t="s">
        <v>72</v>
      </c>
      <c r="AR7985" t="s">
        <v>72</v>
      </c>
      <c r="AS7985">
        <v>161</v>
      </c>
      <c r="AT7985" s="4">
        <v>42401</v>
      </c>
      <c r="AU7985" t="s">
        <v>73</v>
      </c>
      <c r="AV7985">
        <v>161</v>
      </c>
      <c r="AW7985" s="4">
        <v>42401</v>
      </c>
      <c r="BD7985">
        <v>0</v>
      </c>
      <c r="BN7985" t="s">
        <v>74</v>
      </c>
    </row>
    <row r="7986" spans="1:66" hidden="1">
      <c r="A7986">
        <v>104560</v>
      </c>
      <c r="B7986" s="3" t="s">
        <v>676</v>
      </c>
      <c r="C7986" s="1">
        <v>43300101</v>
      </c>
      <c r="D7986" t="s">
        <v>67</v>
      </c>
      <c r="H7986" t="str">
        <f t="shared" si="787"/>
        <v>02504501210</v>
      </c>
      <c r="I7986" t="str">
        <f t="shared" si="787"/>
        <v>02504501210</v>
      </c>
      <c r="K7986" t="str">
        <f>""</f>
        <v/>
      </c>
      <c r="M7986" t="s">
        <v>68</v>
      </c>
      <c r="N7986" t="str">
        <f t="shared" si="786"/>
        <v>FOR</v>
      </c>
      <c r="O7986" t="s">
        <v>69</v>
      </c>
      <c r="P7986" s="3" t="s">
        <v>75</v>
      </c>
      <c r="Q7986">
        <v>2015</v>
      </c>
      <c r="R7986" s="2">
        <v>42338</v>
      </c>
      <c r="S7986" s="2">
        <v>42339</v>
      </c>
      <c r="T7986" s="2">
        <v>42338</v>
      </c>
      <c r="U7986" s="2">
        <v>42398</v>
      </c>
      <c r="V7986" t="s">
        <v>71</v>
      </c>
      <c r="W7986" t="str">
        <f>"                 153"</f>
        <v xml:space="preserve">                 153</v>
      </c>
      <c r="X7986" s="1">
        <v>1525</v>
      </c>
      <c r="Y7986">
        <v>0</v>
      </c>
      <c r="Z7986"/>
      <c r="AB7986"/>
      <c r="AC7986" s="1">
        <v>1250</v>
      </c>
      <c r="AD7986">
        <v>3</v>
      </c>
      <c r="AE7986" s="1">
        <v>3750</v>
      </c>
      <c r="AF7986">
        <v>0</v>
      </c>
      <c r="AJ7986">
        <v>0</v>
      </c>
      <c r="AK7986">
        <v>0</v>
      </c>
      <c r="AL7986">
        <v>0</v>
      </c>
      <c r="AM7986">
        <v>0</v>
      </c>
      <c r="AN7986">
        <v>0</v>
      </c>
      <c r="AO7986">
        <v>0</v>
      </c>
      <c r="AP7986" s="2">
        <v>42746</v>
      </c>
      <c r="AQ7986" t="s">
        <v>72</v>
      </c>
      <c r="AR7986" t="s">
        <v>72</v>
      </c>
      <c r="AS7986">
        <v>161</v>
      </c>
      <c r="AT7986" s="4">
        <v>42401</v>
      </c>
      <c r="AU7986" t="s">
        <v>73</v>
      </c>
      <c r="AV7986">
        <v>161</v>
      </c>
      <c r="AW7986" s="4">
        <v>42401</v>
      </c>
      <c r="BD7986">
        <v>0</v>
      </c>
      <c r="BN7986" t="s">
        <v>74</v>
      </c>
    </row>
    <row r="7987" spans="1:66" hidden="1">
      <c r="A7987">
        <v>104560</v>
      </c>
      <c r="B7987" s="3" t="s">
        <v>676</v>
      </c>
      <c r="C7987" s="1">
        <v>43300101</v>
      </c>
      <c r="D7987" t="s">
        <v>67</v>
      </c>
      <c r="H7987" t="str">
        <f t="shared" si="787"/>
        <v>02504501210</v>
      </c>
      <c r="I7987" t="str">
        <f t="shared" si="787"/>
        <v>02504501210</v>
      </c>
      <c r="K7987" t="str">
        <f>""</f>
        <v/>
      </c>
      <c r="M7987" t="s">
        <v>68</v>
      </c>
      <c r="N7987" t="str">
        <f t="shared" si="786"/>
        <v>FOR</v>
      </c>
      <c r="O7987" t="s">
        <v>69</v>
      </c>
      <c r="P7987" s="3" t="s">
        <v>75</v>
      </c>
      <c r="Q7987">
        <v>2015</v>
      </c>
      <c r="R7987" s="2">
        <v>42338</v>
      </c>
      <c r="S7987" s="2">
        <v>42339</v>
      </c>
      <c r="T7987" s="2">
        <v>42338</v>
      </c>
      <c r="U7987" s="2">
        <v>42398</v>
      </c>
      <c r="V7987" t="s">
        <v>71</v>
      </c>
      <c r="W7987" t="str">
        <f>"                 154"</f>
        <v xml:space="preserve">                 154</v>
      </c>
      <c r="X7987">
        <v>176.9</v>
      </c>
      <c r="Y7987">
        <v>0</v>
      </c>
      <c r="Z7987"/>
      <c r="AB7987"/>
      <c r="AC7987">
        <v>145</v>
      </c>
      <c r="AD7987">
        <v>3</v>
      </c>
      <c r="AE7987">
        <v>435</v>
      </c>
      <c r="AF7987">
        <v>0</v>
      </c>
      <c r="AJ7987">
        <v>0</v>
      </c>
      <c r="AK7987">
        <v>0</v>
      </c>
      <c r="AL7987">
        <v>0</v>
      </c>
      <c r="AM7987">
        <v>0</v>
      </c>
      <c r="AN7987">
        <v>0</v>
      </c>
      <c r="AO7987">
        <v>0</v>
      </c>
      <c r="AP7987" s="2">
        <v>42746</v>
      </c>
      <c r="AQ7987" t="s">
        <v>72</v>
      </c>
      <c r="AR7987" t="s">
        <v>72</v>
      </c>
      <c r="AS7987">
        <v>161</v>
      </c>
      <c r="AT7987" s="4">
        <v>42401</v>
      </c>
      <c r="AU7987" t="s">
        <v>73</v>
      </c>
      <c r="AV7987">
        <v>161</v>
      </c>
      <c r="AW7987" s="4">
        <v>42401</v>
      </c>
      <c r="BD7987">
        <v>0</v>
      </c>
      <c r="BN7987" t="s">
        <v>74</v>
      </c>
    </row>
    <row r="7988" spans="1:66" hidden="1">
      <c r="A7988">
        <v>104560</v>
      </c>
      <c r="B7988" s="3" t="s">
        <v>676</v>
      </c>
      <c r="C7988" s="1">
        <v>43300101</v>
      </c>
      <c r="D7988" t="s">
        <v>67</v>
      </c>
      <c r="H7988" t="str">
        <f t="shared" si="787"/>
        <v>02504501210</v>
      </c>
      <c r="I7988" t="str">
        <f t="shared" si="787"/>
        <v>02504501210</v>
      </c>
      <c r="K7988" t="str">
        <f>""</f>
        <v/>
      </c>
      <c r="M7988" t="s">
        <v>68</v>
      </c>
      <c r="N7988" t="str">
        <f t="shared" si="786"/>
        <v>FOR</v>
      </c>
      <c r="O7988" t="s">
        <v>69</v>
      </c>
      <c r="P7988" s="3" t="s">
        <v>75</v>
      </c>
      <c r="Q7988">
        <v>2015</v>
      </c>
      <c r="R7988" s="2">
        <v>42366</v>
      </c>
      <c r="S7988" s="2">
        <v>42368</v>
      </c>
      <c r="T7988" s="2">
        <v>42366</v>
      </c>
      <c r="U7988" s="2">
        <v>42426</v>
      </c>
      <c r="V7988" t="s">
        <v>71</v>
      </c>
      <c r="W7988" t="str">
        <f>"                 159"</f>
        <v xml:space="preserve">                 159</v>
      </c>
      <c r="X7988" s="1">
        <v>1159</v>
      </c>
      <c r="Y7988">
        <v>0</v>
      </c>
      <c r="Z7988"/>
      <c r="AB7988"/>
      <c r="AC7988">
        <v>950</v>
      </c>
      <c r="AD7988">
        <v>-10</v>
      </c>
      <c r="AE7988" s="1">
        <v>-9500</v>
      </c>
      <c r="AF7988">
        <v>0</v>
      </c>
      <c r="AJ7988">
        <v>0</v>
      </c>
      <c r="AK7988">
        <v>0</v>
      </c>
      <c r="AL7988">
        <v>0</v>
      </c>
      <c r="AM7988">
        <v>0</v>
      </c>
      <c r="AN7988">
        <v>0</v>
      </c>
      <c r="AO7988">
        <v>0</v>
      </c>
      <c r="AP7988" s="2">
        <v>42746</v>
      </c>
      <c r="AQ7988" t="s">
        <v>72</v>
      </c>
      <c r="AR7988" t="s">
        <v>72</v>
      </c>
      <c r="AS7988">
        <v>418</v>
      </c>
      <c r="AT7988" s="4">
        <v>42416</v>
      </c>
      <c r="AV7988">
        <v>418</v>
      </c>
      <c r="AW7988" s="4">
        <v>42416</v>
      </c>
      <c r="BD7988">
        <v>0</v>
      </c>
      <c r="BN7988" t="s">
        <v>74</v>
      </c>
    </row>
    <row r="7989" spans="1:66" hidden="1">
      <c r="A7989">
        <v>104560</v>
      </c>
      <c r="B7989" s="3" t="s">
        <v>676</v>
      </c>
      <c r="C7989" s="1">
        <v>43300101</v>
      </c>
      <c r="D7989" t="s">
        <v>67</v>
      </c>
      <c r="H7989" t="str">
        <f t="shared" si="787"/>
        <v>02504501210</v>
      </c>
      <c r="I7989" t="str">
        <f t="shared" si="787"/>
        <v>02504501210</v>
      </c>
      <c r="K7989" t="str">
        <f>""</f>
        <v/>
      </c>
      <c r="M7989" t="s">
        <v>68</v>
      </c>
      <c r="N7989" t="str">
        <f t="shared" si="786"/>
        <v>FOR</v>
      </c>
      <c r="O7989" t="s">
        <v>69</v>
      </c>
      <c r="P7989" s="3" t="s">
        <v>75</v>
      </c>
      <c r="Q7989">
        <v>2015</v>
      </c>
      <c r="R7989" s="2">
        <v>42366</v>
      </c>
      <c r="S7989" s="2">
        <v>42368</v>
      </c>
      <c r="T7989" s="2">
        <v>42366</v>
      </c>
      <c r="U7989" s="2">
        <v>42426</v>
      </c>
      <c r="V7989" t="s">
        <v>71</v>
      </c>
      <c r="W7989" t="str">
        <f>"                 160"</f>
        <v xml:space="preserve">                 160</v>
      </c>
      <c r="X7989" s="1">
        <v>4026</v>
      </c>
      <c r="Y7989">
        <v>0</v>
      </c>
      <c r="Z7989"/>
      <c r="AB7989"/>
      <c r="AC7989" s="1">
        <v>3300</v>
      </c>
      <c r="AD7989">
        <v>-10</v>
      </c>
      <c r="AE7989" s="1">
        <v>-33000</v>
      </c>
      <c r="AF7989">
        <v>0</v>
      </c>
      <c r="AJ7989">
        <v>0</v>
      </c>
      <c r="AK7989">
        <v>0</v>
      </c>
      <c r="AL7989">
        <v>0</v>
      </c>
      <c r="AM7989">
        <v>0</v>
      </c>
      <c r="AN7989">
        <v>0</v>
      </c>
      <c r="AO7989">
        <v>0</v>
      </c>
      <c r="AP7989" s="2">
        <v>42746</v>
      </c>
      <c r="AQ7989" t="s">
        <v>72</v>
      </c>
      <c r="AR7989" t="s">
        <v>72</v>
      </c>
      <c r="AS7989">
        <v>418</v>
      </c>
      <c r="AT7989" s="4">
        <v>42416</v>
      </c>
      <c r="AV7989">
        <v>418</v>
      </c>
      <c r="AW7989" s="4">
        <v>42416</v>
      </c>
      <c r="BD7989">
        <v>0</v>
      </c>
      <c r="BN7989" t="s">
        <v>74</v>
      </c>
    </row>
    <row r="7990" spans="1:66" hidden="1">
      <c r="A7990">
        <v>104560</v>
      </c>
      <c r="B7990" s="3" t="s">
        <v>676</v>
      </c>
      <c r="C7990" s="1">
        <v>43300101</v>
      </c>
      <c r="D7990" t="s">
        <v>67</v>
      </c>
      <c r="H7990" t="str">
        <f t="shared" si="787"/>
        <v>02504501210</v>
      </c>
      <c r="I7990" t="str">
        <f t="shared" si="787"/>
        <v>02504501210</v>
      </c>
      <c r="K7990" t="str">
        <f>""</f>
        <v/>
      </c>
      <c r="M7990" t="s">
        <v>68</v>
      </c>
      <c r="N7990" t="str">
        <f t="shared" si="786"/>
        <v>FOR</v>
      </c>
      <c r="O7990" t="s">
        <v>69</v>
      </c>
      <c r="P7990" s="3" t="s">
        <v>75</v>
      </c>
      <c r="Q7990">
        <v>2015</v>
      </c>
      <c r="R7990" s="2">
        <v>42369</v>
      </c>
      <c r="S7990" s="2">
        <v>42369</v>
      </c>
      <c r="T7990" s="2">
        <v>42369</v>
      </c>
      <c r="U7990" s="2">
        <v>42429</v>
      </c>
      <c r="V7990" t="s">
        <v>71</v>
      </c>
      <c r="W7990" t="str">
        <f>"                 163"</f>
        <v xml:space="preserve">                 163</v>
      </c>
      <c r="X7990" s="1">
        <v>1927.6</v>
      </c>
      <c r="Y7990">
        <v>0</v>
      </c>
      <c r="Z7990"/>
      <c r="AB7990"/>
      <c r="AC7990" s="1">
        <v>1580</v>
      </c>
      <c r="AD7990">
        <v>-13</v>
      </c>
      <c r="AE7990" s="1">
        <v>-20540</v>
      </c>
      <c r="AF7990">
        <v>0</v>
      </c>
      <c r="AJ7990">
        <v>0</v>
      </c>
      <c r="AK7990">
        <v>0</v>
      </c>
      <c r="AL7990">
        <v>0</v>
      </c>
      <c r="AM7990">
        <v>0</v>
      </c>
      <c r="AN7990">
        <v>0</v>
      </c>
      <c r="AO7990">
        <v>0</v>
      </c>
      <c r="AP7990" s="2">
        <v>42746</v>
      </c>
      <c r="AQ7990" t="s">
        <v>72</v>
      </c>
      <c r="AR7990" t="s">
        <v>72</v>
      </c>
      <c r="AS7990">
        <v>418</v>
      </c>
      <c r="AT7990" s="4">
        <v>42416</v>
      </c>
      <c r="AV7990">
        <v>418</v>
      </c>
      <c r="AW7990" s="4">
        <v>42416</v>
      </c>
      <c r="BD7990">
        <v>0</v>
      </c>
      <c r="BN7990" t="s">
        <v>74</v>
      </c>
    </row>
    <row r="7991" spans="1:66" hidden="1">
      <c r="A7991">
        <v>104560</v>
      </c>
      <c r="B7991" s="3" t="s">
        <v>676</v>
      </c>
      <c r="C7991" s="1">
        <v>43300101</v>
      </c>
      <c r="D7991" t="s">
        <v>67</v>
      </c>
      <c r="H7991" t="str">
        <f t="shared" si="787"/>
        <v>02504501210</v>
      </c>
      <c r="I7991" t="str">
        <f t="shared" si="787"/>
        <v>02504501210</v>
      </c>
      <c r="K7991" t="str">
        <f>""</f>
        <v/>
      </c>
      <c r="M7991" t="s">
        <v>68</v>
      </c>
      <c r="N7991" t="str">
        <f t="shared" si="786"/>
        <v>FOR</v>
      </c>
      <c r="O7991" t="s">
        <v>69</v>
      </c>
      <c r="P7991" s="3" t="s">
        <v>75</v>
      </c>
      <c r="Q7991">
        <v>2015</v>
      </c>
      <c r="R7991" s="2">
        <v>42369</v>
      </c>
      <c r="S7991" s="2">
        <v>42369</v>
      </c>
      <c r="T7991" s="2">
        <v>42369</v>
      </c>
      <c r="U7991" s="2">
        <v>42429</v>
      </c>
      <c r="V7991" t="s">
        <v>71</v>
      </c>
      <c r="W7991" t="str">
        <f>"                 164"</f>
        <v xml:space="preserve">                 164</v>
      </c>
      <c r="X7991">
        <v>486.78</v>
      </c>
      <c r="Y7991">
        <v>0</v>
      </c>
      <c r="Z7991"/>
      <c r="AB7991"/>
      <c r="AC7991">
        <v>399</v>
      </c>
      <c r="AD7991">
        <v>-13</v>
      </c>
      <c r="AE7991" s="1">
        <v>-5187</v>
      </c>
      <c r="AF7991">
        <v>0</v>
      </c>
      <c r="AJ7991">
        <v>0</v>
      </c>
      <c r="AK7991">
        <v>0</v>
      </c>
      <c r="AL7991">
        <v>0</v>
      </c>
      <c r="AM7991">
        <v>0</v>
      </c>
      <c r="AN7991">
        <v>0</v>
      </c>
      <c r="AO7991">
        <v>0</v>
      </c>
      <c r="AP7991" s="2">
        <v>42746</v>
      </c>
      <c r="AQ7991" t="s">
        <v>72</v>
      </c>
      <c r="AR7991" t="s">
        <v>72</v>
      </c>
      <c r="AS7991">
        <v>418</v>
      </c>
      <c r="AT7991" s="4">
        <v>42416</v>
      </c>
      <c r="AV7991">
        <v>418</v>
      </c>
      <c r="AW7991" s="4">
        <v>42416</v>
      </c>
      <c r="BD7991">
        <v>0</v>
      </c>
      <c r="BN7991" t="s">
        <v>74</v>
      </c>
    </row>
    <row r="7992" spans="1:66" hidden="1">
      <c r="A7992">
        <v>104560</v>
      </c>
      <c r="B7992" s="3" t="s">
        <v>676</v>
      </c>
      <c r="C7992" s="1">
        <v>43300101</v>
      </c>
      <c r="D7992" t="s">
        <v>67</v>
      </c>
      <c r="H7992" t="str">
        <f t="shared" si="787"/>
        <v>02504501210</v>
      </c>
      <c r="I7992" t="str">
        <f t="shared" si="787"/>
        <v>02504501210</v>
      </c>
      <c r="K7992" t="str">
        <f>""</f>
        <v/>
      </c>
      <c r="M7992" t="s">
        <v>68</v>
      </c>
      <c r="N7992" t="str">
        <f t="shared" si="786"/>
        <v>FOR</v>
      </c>
      <c r="O7992" t="s">
        <v>69</v>
      </c>
      <c r="P7992" s="3" t="s">
        <v>75</v>
      </c>
      <c r="Q7992">
        <v>2015</v>
      </c>
      <c r="R7992" s="2">
        <v>42369</v>
      </c>
      <c r="S7992" s="2">
        <v>42369</v>
      </c>
      <c r="T7992" s="2">
        <v>42369</v>
      </c>
      <c r="U7992" s="2">
        <v>42429</v>
      </c>
      <c r="V7992" t="s">
        <v>71</v>
      </c>
      <c r="W7992" t="str">
        <f>"                 165"</f>
        <v xml:space="preserve">                 165</v>
      </c>
      <c r="X7992" s="1">
        <v>1525</v>
      </c>
      <c r="Y7992">
        <v>0</v>
      </c>
      <c r="Z7992"/>
      <c r="AB7992"/>
      <c r="AC7992" s="1">
        <v>1250</v>
      </c>
      <c r="AD7992">
        <v>-13</v>
      </c>
      <c r="AE7992" s="1">
        <v>-16250</v>
      </c>
      <c r="AF7992">
        <v>0</v>
      </c>
      <c r="AJ7992">
        <v>0</v>
      </c>
      <c r="AK7992">
        <v>0</v>
      </c>
      <c r="AL7992">
        <v>0</v>
      </c>
      <c r="AM7992">
        <v>0</v>
      </c>
      <c r="AN7992">
        <v>0</v>
      </c>
      <c r="AO7992">
        <v>0</v>
      </c>
      <c r="AP7992" s="2">
        <v>42746</v>
      </c>
      <c r="AQ7992" t="s">
        <v>72</v>
      </c>
      <c r="AR7992" t="s">
        <v>72</v>
      </c>
      <c r="AS7992">
        <v>418</v>
      </c>
      <c r="AT7992" s="4">
        <v>42416</v>
      </c>
      <c r="AV7992">
        <v>418</v>
      </c>
      <c r="AW7992" s="4">
        <v>42416</v>
      </c>
      <c r="BD7992">
        <v>0</v>
      </c>
      <c r="BN7992" t="s">
        <v>74</v>
      </c>
    </row>
    <row r="7993" spans="1:66" hidden="1">
      <c r="A7993">
        <v>104560</v>
      </c>
      <c r="B7993" s="3" t="s">
        <v>676</v>
      </c>
      <c r="C7993" s="1">
        <v>43300101</v>
      </c>
      <c r="D7993" t="s">
        <v>67</v>
      </c>
      <c r="H7993" t="str">
        <f t="shared" si="787"/>
        <v>02504501210</v>
      </c>
      <c r="I7993" t="str">
        <f t="shared" si="787"/>
        <v>02504501210</v>
      </c>
      <c r="K7993" t="str">
        <f>""</f>
        <v/>
      </c>
      <c r="M7993" t="s">
        <v>68</v>
      </c>
      <c r="N7993" t="str">
        <f t="shared" si="786"/>
        <v>FOR</v>
      </c>
      <c r="O7993" t="s">
        <v>69</v>
      </c>
      <c r="P7993" s="3" t="s">
        <v>75</v>
      </c>
      <c r="Q7993">
        <v>2016</v>
      </c>
      <c r="R7993" s="2">
        <v>42399</v>
      </c>
      <c r="S7993" s="2">
        <v>42402</v>
      </c>
      <c r="T7993" s="2">
        <v>42401</v>
      </c>
      <c r="U7993" s="2">
        <v>42461</v>
      </c>
      <c r="V7993" t="s">
        <v>71</v>
      </c>
      <c r="W7993" t="str">
        <f>"                   7"</f>
        <v xml:space="preserve">                   7</v>
      </c>
      <c r="X7993" s="1">
        <v>26108</v>
      </c>
      <c r="Y7993">
        <v>0</v>
      </c>
      <c r="Z7993"/>
      <c r="AB7993"/>
      <c r="AC7993" s="1">
        <v>21400</v>
      </c>
      <c r="AD7993">
        <v>-8</v>
      </c>
      <c r="AE7993" s="1">
        <v>-171200</v>
      </c>
      <c r="AF7993">
        <v>0</v>
      </c>
      <c r="AJ7993">
        <v>0</v>
      </c>
      <c r="AK7993">
        <v>0</v>
      </c>
      <c r="AL7993">
        <v>0</v>
      </c>
      <c r="AM7993" s="1">
        <v>26108</v>
      </c>
      <c r="AN7993" s="1">
        <v>26108</v>
      </c>
      <c r="AO7993" s="1">
        <v>26108</v>
      </c>
      <c r="AP7993" s="2">
        <v>42746</v>
      </c>
      <c r="AQ7993" t="s">
        <v>72</v>
      </c>
      <c r="AR7993" t="s">
        <v>72</v>
      </c>
      <c r="AS7993">
        <v>867</v>
      </c>
      <c r="AT7993" s="4">
        <v>42453</v>
      </c>
      <c r="AV7993">
        <v>867</v>
      </c>
      <c r="AW7993" s="4">
        <v>42453</v>
      </c>
      <c r="BD7993">
        <v>0</v>
      </c>
      <c r="BN7993" t="s">
        <v>74</v>
      </c>
    </row>
    <row r="7994" spans="1:66" hidden="1">
      <c r="A7994">
        <v>104560</v>
      </c>
      <c r="B7994" s="3" t="s">
        <v>676</v>
      </c>
      <c r="C7994" s="1">
        <v>43300101</v>
      </c>
      <c r="D7994" t="s">
        <v>67</v>
      </c>
      <c r="H7994" t="str">
        <f t="shared" si="787"/>
        <v>02504501210</v>
      </c>
      <c r="I7994" t="str">
        <f t="shared" si="787"/>
        <v>02504501210</v>
      </c>
      <c r="K7994" t="str">
        <f>""</f>
        <v/>
      </c>
      <c r="M7994" t="s">
        <v>68</v>
      </c>
      <c r="N7994" t="str">
        <f t="shared" si="786"/>
        <v>FOR</v>
      </c>
      <c r="O7994" t="s">
        <v>69</v>
      </c>
      <c r="P7994" s="3" t="s">
        <v>75</v>
      </c>
      <c r="Q7994">
        <v>2016</v>
      </c>
      <c r="R7994" s="2">
        <v>42399</v>
      </c>
      <c r="S7994" s="2">
        <v>42402</v>
      </c>
      <c r="T7994" s="2">
        <v>42402</v>
      </c>
      <c r="U7994" s="2">
        <v>42462</v>
      </c>
      <c r="V7994" t="s">
        <v>71</v>
      </c>
      <c r="W7994" t="str">
        <f>"                   8"</f>
        <v xml:space="preserve">                   8</v>
      </c>
      <c r="X7994" s="1">
        <v>31090.48</v>
      </c>
      <c r="Y7994">
        <v>0</v>
      </c>
      <c r="Z7994"/>
      <c r="AB7994"/>
      <c r="AC7994" s="1">
        <v>25484</v>
      </c>
      <c r="AD7994">
        <v>-9</v>
      </c>
      <c r="AE7994" s="1">
        <v>-229356</v>
      </c>
      <c r="AF7994">
        <v>0</v>
      </c>
      <c r="AJ7994">
        <v>0</v>
      </c>
      <c r="AK7994">
        <v>0</v>
      </c>
      <c r="AL7994">
        <v>0</v>
      </c>
      <c r="AM7994" s="1">
        <v>31090.48</v>
      </c>
      <c r="AN7994" s="1">
        <v>31090.48</v>
      </c>
      <c r="AO7994" s="1">
        <v>31090.48</v>
      </c>
      <c r="AP7994" s="2">
        <v>42746</v>
      </c>
      <c r="AQ7994" t="s">
        <v>72</v>
      </c>
      <c r="AR7994" t="s">
        <v>72</v>
      </c>
      <c r="AS7994">
        <v>867</v>
      </c>
      <c r="AT7994" s="4">
        <v>42453</v>
      </c>
      <c r="AV7994">
        <v>867</v>
      </c>
      <c r="AW7994" s="4">
        <v>42453</v>
      </c>
      <c r="BD7994">
        <v>0</v>
      </c>
      <c r="BN7994" t="s">
        <v>74</v>
      </c>
    </row>
    <row r="7995" spans="1:66" hidden="1">
      <c r="A7995">
        <v>104560</v>
      </c>
      <c r="B7995" s="3" t="s">
        <v>676</v>
      </c>
      <c r="C7995" s="1">
        <v>43300101</v>
      </c>
      <c r="D7995" t="s">
        <v>67</v>
      </c>
      <c r="H7995" t="str">
        <f t="shared" si="787"/>
        <v>02504501210</v>
      </c>
      <c r="I7995" t="str">
        <f t="shared" si="787"/>
        <v>02504501210</v>
      </c>
      <c r="K7995" t="str">
        <f>""</f>
        <v/>
      </c>
      <c r="M7995" t="s">
        <v>68</v>
      </c>
      <c r="N7995" t="str">
        <f t="shared" si="786"/>
        <v>FOR</v>
      </c>
      <c r="O7995" t="s">
        <v>69</v>
      </c>
      <c r="P7995" s="3" t="s">
        <v>75</v>
      </c>
      <c r="Q7995">
        <v>2016</v>
      </c>
      <c r="R7995" s="2">
        <v>42399</v>
      </c>
      <c r="S7995" s="2">
        <v>42404</v>
      </c>
      <c r="T7995" s="2">
        <v>42401</v>
      </c>
      <c r="U7995" s="2">
        <v>42461</v>
      </c>
      <c r="V7995" t="s">
        <v>71</v>
      </c>
      <c r="W7995" t="str">
        <f>"                   9"</f>
        <v xml:space="preserve">                   9</v>
      </c>
      <c r="X7995">
        <v>486.78</v>
      </c>
      <c r="Y7995">
        <v>0</v>
      </c>
      <c r="Z7995"/>
      <c r="AB7995"/>
      <c r="AC7995">
        <v>399</v>
      </c>
      <c r="AD7995">
        <v>-8</v>
      </c>
      <c r="AE7995" s="1">
        <v>-3192</v>
      </c>
      <c r="AF7995">
        <v>0</v>
      </c>
      <c r="AJ7995">
        <v>0</v>
      </c>
      <c r="AK7995">
        <v>0</v>
      </c>
      <c r="AL7995">
        <v>0</v>
      </c>
      <c r="AM7995">
        <v>486.78</v>
      </c>
      <c r="AN7995">
        <v>486.78</v>
      </c>
      <c r="AO7995">
        <v>486.78</v>
      </c>
      <c r="AP7995" s="2">
        <v>42746</v>
      </c>
      <c r="AQ7995" t="s">
        <v>72</v>
      </c>
      <c r="AR7995" t="s">
        <v>72</v>
      </c>
      <c r="AS7995">
        <v>867</v>
      </c>
      <c r="AT7995" s="4">
        <v>42453</v>
      </c>
      <c r="AV7995">
        <v>867</v>
      </c>
      <c r="AW7995" s="4">
        <v>42453</v>
      </c>
      <c r="BD7995">
        <v>0</v>
      </c>
      <c r="BN7995" t="s">
        <v>74</v>
      </c>
    </row>
    <row r="7996" spans="1:66" hidden="1">
      <c r="A7996">
        <v>104560</v>
      </c>
      <c r="B7996" s="3" t="s">
        <v>676</v>
      </c>
      <c r="C7996" s="1">
        <v>43300101</v>
      </c>
      <c r="D7996" t="s">
        <v>67</v>
      </c>
      <c r="H7996" t="str">
        <f t="shared" si="787"/>
        <v>02504501210</v>
      </c>
      <c r="I7996" t="str">
        <f t="shared" si="787"/>
        <v>02504501210</v>
      </c>
      <c r="K7996" t="str">
        <f>""</f>
        <v/>
      </c>
      <c r="M7996" t="s">
        <v>68</v>
      </c>
      <c r="N7996" t="str">
        <f t="shared" si="786"/>
        <v>FOR</v>
      </c>
      <c r="O7996" t="s">
        <v>69</v>
      </c>
      <c r="P7996" s="3" t="s">
        <v>75</v>
      </c>
      <c r="Q7996">
        <v>2016</v>
      </c>
      <c r="R7996" s="2">
        <v>42399</v>
      </c>
      <c r="S7996" s="2">
        <v>42404</v>
      </c>
      <c r="T7996" s="2">
        <v>42401</v>
      </c>
      <c r="U7996" s="2">
        <v>42461</v>
      </c>
      <c r="V7996" t="s">
        <v>71</v>
      </c>
      <c r="W7996" t="str">
        <f>"                  10"</f>
        <v xml:space="preserve">                  10</v>
      </c>
      <c r="X7996">
        <v>946.72</v>
      </c>
      <c r="Y7996">
        <v>0</v>
      </c>
      <c r="Z7996"/>
      <c r="AB7996"/>
      <c r="AC7996">
        <v>776</v>
      </c>
      <c r="AD7996">
        <v>-8</v>
      </c>
      <c r="AE7996" s="1">
        <v>-6208</v>
      </c>
      <c r="AF7996">
        <v>0</v>
      </c>
      <c r="AJ7996">
        <v>0</v>
      </c>
      <c r="AK7996">
        <v>0</v>
      </c>
      <c r="AL7996">
        <v>0</v>
      </c>
      <c r="AM7996">
        <v>946.72</v>
      </c>
      <c r="AN7996">
        <v>946.72</v>
      </c>
      <c r="AO7996">
        <v>946.72</v>
      </c>
      <c r="AP7996" s="2">
        <v>42746</v>
      </c>
      <c r="AQ7996" t="s">
        <v>72</v>
      </c>
      <c r="AR7996" t="s">
        <v>72</v>
      </c>
      <c r="AS7996">
        <v>867</v>
      </c>
      <c r="AT7996" s="4">
        <v>42453</v>
      </c>
      <c r="AV7996">
        <v>867</v>
      </c>
      <c r="AW7996" s="4">
        <v>42453</v>
      </c>
      <c r="BD7996">
        <v>0</v>
      </c>
      <c r="BN7996" t="s">
        <v>74</v>
      </c>
    </row>
    <row r="7997" spans="1:66" hidden="1">
      <c r="A7997">
        <v>104560</v>
      </c>
      <c r="B7997" s="3" t="s">
        <v>676</v>
      </c>
      <c r="C7997" s="1">
        <v>43300101</v>
      </c>
      <c r="D7997" t="s">
        <v>67</v>
      </c>
      <c r="H7997" t="str">
        <f t="shared" si="787"/>
        <v>02504501210</v>
      </c>
      <c r="I7997" t="str">
        <f t="shared" si="787"/>
        <v>02504501210</v>
      </c>
      <c r="K7997" t="str">
        <f>""</f>
        <v/>
      </c>
      <c r="M7997" t="s">
        <v>68</v>
      </c>
      <c r="N7997" t="str">
        <f t="shared" si="786"/>
        <v>FOR</v>
      </c>
      <c r="O7997" t="s">
        <v>69</v>
      </c>
      <c r="P7997" s="3" t="s">
        <v>75</v>
      </c>
      <c r="Q7997">
        <v>2016</v>
      </c>
      <c r="R7997" s="2">
        <v>42399</v>
      </c>
      <c r="S7997" s="2">
        <v>42404</v>
      </c>
      <c r="T7997" s="2">
        <v>42401</v>
      </c>
      <c r="U7997" s="2">
        <v>42461</v>
      </c>
      <c r="V7997" t="s">
        <v>71</v>
      </c>
      <c r="W7997" t="str">
        <f>"                  11"</f>
        <v xml:space="preserve">                  11</v>
      </c>
      <c r="X7997" s="1">
        <v>1065.06</v>
      </c>
      <c r="Y7997">
        <v>0</v>
      </c>
      <c r="Z7997"/>
      <c r="AB7997"/>
      <c r="AC7997">
        <v>873</v>
      </c>
      <c r="AD7997">
        <v>-8</v>
      </c>
      <c r="AE7997" s="1">
        <v>-6984</v>
      </c>
      <c r="AF7997">
        <v>0</v>
      </c>
      <c r="AJ7997">
        <v>0</v>
      </c>
      <c r="AK7997">
        <v>0</v>
      </c>
      <c r="AL7997">
        <v>0</v>
      </c>
      <c r="AM7997" s="1">
        <v>1065.06</v>
      </c>
      <c r="AN7997" s="1">
        <v>1065.06</v>
      </c>
      <c r="AO7997" s="1">
        <v>1065.06</v>
      </c>
      <c r="AP7997" s="2">
        <v>42746</v>
      </c>
      <c r="AQ7997" t="s">
        <v>72</v>
      </c>
      <c r="AR7997" t="s">
        <v>72</v>
      </c>
      <c r="AS7997">
        <v>867</v>
      </c>
      <c r="AT7997" s="4">
        <v>42453</v>
      </c>
      <c r="AV7997">
        <v>867</v>
      </c>
      <c r="AW7997" s="4">
        <v>42453</v>
      </c>
      <c r="BD7997">
        <v>0</v>
      </c>
      <c r="BN7997" t="s">
        <v>74</v>
      </c>
    </row>
    <row r="7998" spans="1:66" hidden="1">
      <c r="A7998">
        <v>104560</v>
      </c>
      <c r="B7998" s="3" t="s">
        <v>676</v>
      </c>
      <c r="C7998" s="1">
        <v>43300101</v>
      </c>
      <c r="D7998" t="s">
        <v>67</v>
      </c>
      <c r="H7998" t="str">
        <f t="shared" si="787"/>
        <v>02504501210</v>
      </c>
      <c r="I7998" t="str">
        <f t="shared" si="787"/>
        <v>02504501210</v>
      </c>
      <c r="K7998" t="str">
        <f>""</f>
        <v/>
      </c>
      <c r="M7998" t="s">
        <v>68</v>
      </c>
      <c r="N7998" t="str">
        <f t="shared" si="786"/>
        <v>FOR</v>
      </c>
      <c r="O7998" t="s">
        <v>69</v>
      </c>
      <c r="P7998" s="3" t="s">
        <v>75</v>
      </c>
      <c r="Q7998">
        <v>2016</v>
      </c>
      <c r="R7998" s="2">
        <v>42399</v>
      </c>
      <c r="S7998" s="2">
        <v>42404</v>
      </c>
      <c r="T7998" s="2">
        <v>42403</v>
      </c>
      <c r="U7998" s="2">
        <v>42463</v>
      </c>
      <c r="V7998" t="s">
        <v>71</v>
      </c>
      <c r="W7998" t="str">
        <f>"                  12"</f>
        <v xml:space="preserve">                  12</v>
      </c>
      <c r="X7998">
        <v>894.67</v>
      </c>
      <c r="Y7998">
        <v>0</v>
      </c>
      <c r="Z7998"/>
      <c r="AB7998"/>
      <c r="AC7998">
        <v>733.34</v>
      </c>
      <c r="AD7998">
        <v>-10</v>
      </c>
      <c r="AE7998" s="1">
        <v>-7333.4</v>
      </c>
      <c r="AF7998">
        <v>0</v>
      </c>
      <c r="AJ7998">
        <v>0</v>
      </c>
      <c r="AK7998">
        <v>0</v>
      </c>
      <c r="AL7998">
        <v>0</v>
      </c>
      <c r="AM7998">
        <v>894.67</v>
      </c>
      <c r="AN7998">
        <v>894.67</v>
      </c>
      <c r="AO7998">
        <v>894.67</v>
      </c>
      <c r="AP7998" s="2">
        <v>42746</v>
      </c>
      <c r="AQ7998" t="s">
        <v>72</v>
      </c>
      <c r="AR7998" t="s">
        <v>72</v>
      </c>
      <c r="AS7998">
        <v>867</v>
      </c>
      <c r="AT7998" s="4">
        <v>42453</v>
      </c>
      <c r="AV7998">
        <v>867</v>
      </c>
      <c r="AW7998" s="4">
        <v>42453</v>
      </c>
      <c r="BD7998">
        <v>0</v>
      </c>
      <c r="BN7998" t="s">
        <v>74</v>
      </c>
    </row>
    <row r="7999" spans="1:66" hidden="1">
      <c r="A7999">
        <v>104560</v>
      </c>
      <c r="B7999" s="3" t="s">
        <v>676</v>
      </c>
      <c r="C7999" s="1">
        <v>43300101</v>
      </c>
      <c r="D7999" t="s">
        <v>67</v>
      </c>
      <c r="H7999" t="str">
        <f t="shared" si="787"/>
        <v>02504501210</v>
      </c>
      <c r="I7999" t="str">
        <f t="shared" si="787"/>
        <v>02504501210</v>
      </c>
      <c r="K7999" t="str">
        <f>""</f>
        <v/>
      </c>
      <c r="M7999" t="s">
        <v>68</v>
      </c>
      <c r="N7999" t="str">
        <f t="shared" si="786"/>
        <v>FOR</v>
      </c>
      <c r="O7999" t="s">
        <v>69</v>
      </c>
      <c r="P7999" s="3" t="s">
        <v>75</v>
      </c>
      <c r="Q7999">
        <v>2016</v>
      </c>
      <c r="R7999" s="2">
        <v>42399</v>
      </c>
      <c r="S7999" s="2">
        <v>42402</v>
      </c>
      <c r="T7999" s="2">
        <v>42401</v>
      </c>
      <c r="U7999" s="2">
        <v>42461</v>
      </c>
      <c r="V7999" t="s">
        <v>71</v>
      </c>
      <c r="W7999" t="str">
        <f>"                  13"</f>
        <v xml:space="preserve">                  13</v>
      </c>
      <c r="X7999">
        <v>457.5</v>
      </c>
      <c r="Y7999">
        <v>0</v>
      </c>
      <c r="Z7999"/>
      <c r="AB7999"/>
      <c r="AC7999">
        <v>375</v>
      </c>
      <c r="AD7999">
        <v>-8</v>
      </c>
      <c r="AE7999" s="1">
        <v>-3000</v>
      </c>
      <c r="AF7999">
        <v>0</v>
      </c>
      <c r="AJ7999">
        <v>0</v>
      </c>
      <c r="AK7999">
        <v>0</v>
      </c>
      <c r="AL7999">
        <v>0</v>
      </c>
      <c r="AM7999">
        <v>457.5</v>
      </c>
      <c r="AN7999">
        <v>457.5</v>
      </c>
      <c r="AO7999">
        <v>457.5</v>
      </c>
      <c r="AP7999" s="2">
        <v>42746</v>
      </c>
      <c r="AQ7999" t="s">
        <v>72</v>
      </c>
      <c r="AR7999" t="s">
        <v>72</v>
      </c>
      <c r="AS7999">
        <v>867</v>
      </c>
      <c r="AT7999" s="4">
        <v>42453</v>
      </c>
      <c r="AV7999">
        <v>867</v>
      </c>
      <c r="AW7999" s="4">
        <v>42453</v>
      </c>
      <c r="BD7999">
        <v>0</v>
      </c>
      <c r="BN7999" t="s">
        <v>74</v>
      </c>
    </row>
    <row r="8000" spans="1:66" hidden="1">
      <c r="A8000">
        <v>104560</v>
      </c>
      <c r="B8000" s="3" t="s">
        <v>676</v>
      </c>
      <c r="C8000" s="1">
        <v>43300101</v>
      </c>
      <c r="D8000" t="s">
        <v>67</v>
      </c>
      <c r="H8000" t="str">
        <f t="shared" si="787"/>
        <v>02504501210</v>
      </c>
      <c r="I8000" t="str">
        <f t="shared" si="787"/>
        <v>02504501210</v>
      </c>
      <c r="K8000" t="str">
        <f>""</f>
        <v/>
      </c>
      <c r="M8000" t="s">
        <v>68</v>
      </c>
      <c r="N8000" t="str">
        <f t="shared" si="786"/>
        <v>FOR</v>
      </c>
      <c r="O8000" t="s">
        <v>69</v>
      </c>
      <c r="P8000" s="3" t="s">
        <v>75</v>
      </c>
      <c r="Q8000">
        <v>2016</v>
      </c>
      <c r="R8000" s="2">
        <v>42399</v>
      </c>
      <c r="S8000" s="2">
        <v>42404</v>
      </c>
      <c r="T8000" s="2">
        <v>42401</v>
      </c>
      <c r="U8000" s="2">
        <v>42461</v>
      </c>
      <c r="V8000" t="s">
        <v>71</v>
      </c>
      <c r="W8000" t="str">
        <f>"                  14"</f>
        <v xml:space="preserve">                  14</v>
      </c>
      <c r="X8000" s="1">
        <v>3281.8</v>
      </c>
      <c r="Y8000">
        <v>0</v>
      </c>
      <c r="Z8000"/>
      <c r="AB8000"/>
      <c r="AC8000" s="1">
        <v>2690</v>
      </c>
      <c r="AD8000">
        <v>68</v>
      </c>
      <c r="AE8000" s="1">
        <v>182920</v>
      </c>
      <c r="AF8000">
        <v>0</v>
      </c>
      <c r="AJ8000">
        <v>0</v>
      </c>
      <c r="AK8000">
        <v>0</v>
      </c>
      <c r="AL8000">
        <v>0</v>
      </c>
      <c r="AM8000" s="1">
        <v>3281.8</v>
      </c>
      <c r="AN8000" s="1">
        <v>3281.8</v>
      </c>
      <c r="AO8000" s="1">
        <v>3281.8</v>
      </c>
      <c r="AP8000" s="2">
        <v>42746</v>
      </c>
      <c r="AQ8000" t="s">
        <v>72</v>
      </c>
      <c r="AR8000" t="s">
        <v>72</v>
      </c>
      <c r="AS8000">
        <v>1586</v>
      </c>
      <c r="AT8000" s="4">
        <v>42529</v>
      </c>
      <c r="AU8000" t="s">
        <v>73</v>
      </c>
      <c r="AV8000">
        <v>1586</v>
      </c>
      <c r="AW8000" s="4">
        <v>42529</v>
      </c>
      <c r="BD8000">
        <v>0</v>
      </c>
      <c r="BN8000" t="s">
        <v>74</v>
      </c>
    </row>
    <row r="8001" spans="1:66" hidden="1">
      <c r="A8001">
        <v>104560</v>
      </c>
      <c r="B8001" s="3" t="s">
        <v>676</v>
      </c>
      <c r="C8001" s="1">
        <v>43300101</v>
      </c>
      <c r="D8001" t="s">
        <v>67</v>
      </c>
      <c r="H8001" t="str">
        <f t="shared" si="787"/>
        <v>02504501210</v>
      </c>
      <c r="I8001" t="str">
        <f t="shared" si="787"/>
        <v>02504501210</v>
      </c>
      <c r="K8001" t="str">
        <f>""</f>
        <v/>
      </c>
      <c r="M8001" t="s">
        <v>68</v>
      </c>
      <c r="N8001" t="str">
        <f t="shared" si="786"/>
        <v>FOR</v>
      </c>
      <c r="O8001" t="s">
        <v>69</v>
      </c>
      <c r="P8001" s="3" t="s">
        <v>75</v>
      </c>
      <c r="Q8001">
        <v>2016</v>
      </c>
      <c r="R8001" s="2">
        <v>42429</v>
      </c>
      <c r="S8001" s="2">
        <v>42433</v>
      </c>
      <c r="T8001" s="2">
        <v>42429</v>
      </c>
      <c r="U8001" s="2">
        <v>42489</v>
      </c>
      <c r="V8001" t="s">
        <v>71</v>
      </c>
      <c r="W8001" t="str">
        <f>"                  30"</f>
        <v xml:space="preserve">                  30</v>
      </c>
      <c r="X8001" s="1">
        <v>1869.77</v>
      </c>
      <c r="Y8001">
        <v>0</v>
      </c>
      <c r="Z8001"/>
      <c r="AB8001"/>
      <c r="AC8001" s="1">
        <v>1532.6</v>
      </c>
      <c r="AD8001">
        <v>40</v>
      </c>
      <c r="AE8001" s="1">
        <v>61304</v>
      </c>
      <c r="AF8001">
        <v>0</v>
      </c>
      <c r="AJ8001">
        <v>0</v>
      </c>
      <c r="AK8001">
        <v>0</v>
      </c>
      <c r="AL8001">
        <v>0</v>
      </c>
      <c r="AM8001" s="1">
        <v>1869.77</v>
      </c>
      <c r="AN8001" s="1">
        <v>1869.77</v>
      </c>
      <c r="AO8001" s="1">
        <v>1869.77</v>
      </c>
      <c r="AP8001" s="2">
        <v>42746</v>
      </c>
      <c r="AQ8001" t="s">
        <v>72</v>
      </c>
      <c r="AR8001" t="s">
        <v>72</v>
      </c>
      <c r="AS8001">
        <v>1586</v>
      </c>
      <c r="AT8001" s="4">
        <v>42529</v>
      </c>
      <c r="AU8001" t="s">
        <v>73</v>
      </c>
      <c r="AV8001">
        <v>1586</v>
      </c>
      <c r="AW8001" s="4">
        <v>42529</v>
      </c>
      <c r="BD8001">
        <v>0</v>
      </c>
      <c r="BN8001" t="s">
        <v>74</v>
      </c>
    </row>
    <row r="8002" spans="1:66" hidden="1">
      <c r="A8002">
        <v>104560</v>
      </c>
      <c r="B8002" s="3" t="s">
        <v>676</v>
      </c>
      <c r="C8002" s="1">
        <v>43300101</v>
      </c>
      <c r="D8002" t="s">
        <v>67</v>
      </c>
      <c r="H8002" t="str">
        <f t="shared" si="787"/>
        <v>02504501210</v>
      </c>
      <c r="I8002" t="str">
        <f t="shared" si="787"/>
        <v>02504501210</v>
      </c>
      <c r="K8002" t="str">
        <f>""</f>
        <v/>
      </c>
      <c r="M8002" t="s">
        <v>68</v>
      </c>
      <c r="N8002" t="str">
        <f t="shared" si="786"/>
        <v>FOR</v>
      </c>
      <c r="O8002" t="s">
        <v>69</v>
      </c>
      <c r="P8002" s="3" t="s">
        <v>75</v>
      </c>
      <c r="Q8002">
        <v>2016</v>
      </c>
      <c r="R8002" s="2">
        <v>42429</v>
      </c>
      <c r="S8002" s="2">
        <v>42433</v>
      </c>
      <c r="T8002" s="2">
        <v>42429</v>
      </c>
      <c r="U8002" s="2">
        <v>42489</v>
      </c>
      <c r="V8002" t="s">
        <v>71</v>
      </c>
      <c r="W8002" t="str">
        <f>"                  31"</f>
        <v xml:space="preserve">                  31</v>
      </c>
      <c r="X8002">
        <v>486.78</v>
      </c>
      <c r="Y8002">
        <v>0</v>
      </c>
      <c r="Z8002"/>
      <c r="AB8002"/>
      <c r="AC8002">
        <v>399</v>
      </c>
      <c r="AD8002">
        <v>40</v>
      </c>
      <c r="AE8002" s="1">
        <v>15960</v>
      </c>
      <c r="AF8002">
        <v>0</v>
      </c>
      <c r="AJ8002">
        <v>0</v>
      </c>
      <c r="AK8002">
        <v>0</v>
      </c>
      <c r="AL8002">
        <v>0</v>
      </c>
      <c r="AM8002">
        <v>486.78</v>
      </c>
      <c r="AN8002">
        <v>486.78</v>
      </c>
      <c r="AO8002">
        <v>486.78</v>
      </c>
      <c r="AP8002" s="2">
        <v>42746</v>
      </c>
      <c r="AQ8002" t="s">
        <v>72</v>
      </c>
      <c r="AR8002" t="s">
        <v>72</v>
      </c>
      <c r="AS8002">
        <v>1586</v>
      </c>
      <c r="AT8002" s="4">
        <v>42529</v>
      </c>
      <c r="AU8002" t="s">
        <v>73</v>
      </c>
      <c r="AV8002">
        <v>1586</v>
      </c>
      <c r="AW8002" s="4">
        <v>42529</v>
      </c>
      <c r="BD8002">
        <v>0</v>
      </c>
      <c r="BN8002" t="s">
        <v>74</v>
      </c>
    </row>
    <row r="8003" spans="1:66" hidden="1">
      <c r="A8003">
        <v>104560</v>
      </c>
      <c r="B8003" s="3" t="s">
        <v>676</v>
      </c>
      <c r="C8003" s="1">
        <v>43300101</v>
      </c>
      <c r="D8003" t="s">
        <v>67</v>
      </c>
      <c r="H8003" t="str">
        <f t="shared" si="787"/>
        <v>02504501210</v>
      </c>
      <c r="I8003" t="str">
        <f t="shared" si="787"/>
        <v>02504501210</v>
      </c>
      <c r="K8003" t="str">
        <f>""</f>
        <v/>
      </c>
      <c r="M8003" t="s">
        <v>68</v>
      </c>
      <c r="N8003" t="str">
        <f t="shared" si="786"/>
        <v>FOR</v>
      </c>
      <c r="O8003" t="s">
        <v>69</v>
      </c>
      <c r="P8003" s="3" t="s">
        <v>75</v>
      </c>
      <c r="Q8003">
        <v>2016</v>
      </c>
      <c r="R8003" s="2">
        <v>42429</v>
      </c>
      <c r="S8003" s="2">
        <v>42433</v>
      </c>
      <c r="T8003" s="2">
        <v>42429</v>
      </c>
      <c r="U8003" s="2">
        <v>42489</v>
      </c>
      <c r="V8003" t="s">
        <v>71</v>
      </c>
      <c r="W8003" t="str">
        <f>"                  32"</f>
        <v xml:space="preserve">                  32</v>
      </c>
      <c r="X8003">
        <v>488</v>
      </c>
      <c r="Y8003">
        <v>0</v>
      </c>
      <c r="Z8003"/>
      <c r="AB8003"/>
      <c r="AC8003">
        <v>400</v>
      </c>
      <c r="AD8003">
        <v>40</v>
      </c>
      <c r="AE8003" s="1">
        <v>16000</v>
      </c>
      <c r="AF8003">
        <v>0</v>
      </c>
      <c r="AJ8003">
        <v>0</v>
      </c>
      <c r="AK8003">
        <v>0</v>
      </c>
      <c r="AL8003">
        <v>0</v>
      </c>
      <c r="AM8003">
        <v>488</v>
      </c>
      <c r="AN8003">
        <v>488</v>
      </c>
      <c r="AO8003">
        <v>488</v>
      </c>
      <c r="AP8003" s="2">
        <v>42746</v>
      </c>
      <c r="AQ8003" t="s">
        <v>72</v>
      </c>
      <c r="AR8003" t="s">
        <v>72</v>
      </c>
      <c r="AS8003">
        <v>1586</v>
      </c>
      <c r="AT8003" s="4">
        <v>42529</v>
      </c>
      <c r="AU8003" t="s">
        <v>73</v>
      </c>
      <c r="AV8003">
        <v>1586</v>
      </c>
      <c r="AW8003" s="4">
        <v>42529</v>
      </c>
      <c r="BD8003">
        <v>0</v>
      </c>
      <c r="BN8003" t="s">
        <v>74</v>
      </c>
    </row>
    <row r="8004" spans="1:66" hidden="1">
      <c r="A8004">
        <v>104560</v>
      </c>
      <c r="B8004" s="3" t="s">
        <v>676</v>
      </c>
      <c r="C8004" s="1">
        <v>43300101</v>
      </c>
      <c r="D8004" t="s">
        <v>67</v>
      </c>
      <c r="H8004" t="str">
        <f t="shared" ref="H8004:I8023" si="788">"02504501210"</f>
        <v>02504501210</v>
      </c>
      <c r="I8004" t="str">
        <f t="shared" si="788"/>
        <v>02504501210</v>
      </c>
      <c r="K8004" t="str">
        <f>""</f>
        <v/>
      </c>
      <c r="M8004" t="s">
        <v>68</v>
      </c>
      <c r="N8004" t="str">
        <f t="shared" si="786"/>
        <v>FOR</v>
      </c>
      <c r="O8004" t="s">
        <v>69</v>
      </c>
      <c r="P8004" s="3" t="s">
        <v>75</v>
      </c>
      <c r="Q8004">
        <v>2016</v>
      </c>
      <c r="R8004" s="2">
        <v>42429</v>
      </c>
      <c r="S8004" s="2">
        <v>42433</v>
      </c>
      <c r="T8004" s="2">
        <v>42429</v>
      </c>
      <c r="U8004" s="2">
        <v>42489</v>
      </c>
      <c r="V8004" t="s">
        <v>71</v>
      </c>
      <c r="W8004" t="str">
        <f>"                  33"</f>
        <v xml:space="preserve">                  33</v>
      </c>
      <c r="X8004" s="1">
        <v>3599</v>
      </c>
      <c r="Y8004">
        <v>0</v>
      </c>
      <c r="Z8004"/>
      <c r="AB8004"/>
      <c r="AC8004" s="1">
        <v>2950</v>
      </c>
      <c r="AD8004">
        <v>40</v>
      </c>
      <c r="AE8004" s="1">
        <v>118000</v>
      </c>
      <c r="AF8004">
        <v>0</v>
      </c>
      <c r="AJ8004">
        <v>0</v>
      </c>
      <c r="AK8004">
        <v>0</v>
      </c>
      <c r="AL8004">
        <v>0</v>
      </c>
      <c r="AM8004" s="1">
        <v>3599</v>
      </c>
      <c r="AN8004" s="1">
        <v>3599</v>
      </c>
      <c r="AO8004" s="1">
        <v>3599</v>
      </c>
      <c r="AP8004" s="2">
        <v>42746</v>
      </c>
      <c r="AQ8004" t="s">
        <v>72</v>
      </c>
      <c r="AR8004" t="s">
        <v>72</v>
      </c>
      <c r="AS8004">
        <v>1586</v>
      </c>
      <c r="AT8004" s="4">
        <v>42529</v>
      </c>
      <c r="AU8004" t="s">
        <v>73</v>
      </c>
      <c r="AV8004">
        <v>1586</v>
      </c>
      <c r="AW8004" s="4">
        <v>42529</v>
      </c>
      <c r="BD8004">
        <v>0</v>
      </c>
      <c r="BN8004" t="s">
        <v>74</v>
      </c>
    </row>
    <row r="8005" spans="1:66" hidden="1">
      <c r="A8005">
        <v>104560</v>
      </c>
      <c r="B8005" s="3" t="s">
        <v>676</v>
      </c>
      <c r="C8005" s="1">
        <v>43300101</v>
      </c>
      <c r="D8005" t="s">
        <v>67</v>
      </c>
      <c r="H8005" t="str">
        <f t="shared" si="788"/>
        <v>02504501210</v>
      </c>
      <c r="I8005" t="str">
        <f t="shared" si="788"/>
        <v>02504501210</v>
      </c>
      <c r="K8005" t="str">
        <f>""</f>
        <v/>
      </c>
      <c r="M8005" t="s">
        <v>68</v>
      </c>
      <c r="N8005" t="str">
        <f t="shared" si="786"/>
        <v>FOR</v>
      </c>
      <c r="O8005" t="s">
        <v>69</v>
      </c>
      <c r="P8005" s="3" t="s">
        <v>75</v>
      </c>
      <c r="Q8005">
        <v>2016</v>
      </c>
      <c r="R8005" s="2">
        <v>42460</v>
      </c>
      <c r="S8005" s="2">
        <v>42466</v>
      </c>
      <c r="T8005" s="2">
        <v>42464</v>
      </c>
      <c r="U8005" s="2">
        <v>42524</v>
      </c>
      <c r="V8005" t="s">
        <v>71</v>
      </c>
      <c r="W8005" t="str">
        <f>"                  40"</f>
        <v xml:space="preserve">                  40</v>
      </c>
      <c r="X8005" s="1">
        <v>3662.44</v>
      </c>
      <c r="Y8005">
        <v>0</v>
      </c>
      <c r="Z8005"/>
      <c r="AB8005"/>
      <c r="AC8005" s="1">
        <v>3002</v>
      </c>
      <c r="AD8005">
        <v>53</v>
      </c>
      <c r="AE8005" s="1">
        <v>159106</v>
      </c>
      <c r="AF8005">
        <v>0</v>
      </c>
      <c r="AJ8005">
        <v>0</v>
      </c>
      <c r="AK8005">
        <v>0</v>
      </c>
      <c r="AL8005">
        <v>0</v>
      </c>
      <c r="AM8005" s="1">
        <v>3662.44</v>
      </c>
      <c r="AN8005" s="1">
        <v>3662.44</v>
      </c>
      <c r="AO8005" s="1">
        <v>3662.44</v>
      </c>
      <c r="AP8005" s="2">
        <v>42746</v>
      </c>
      <c r="AQ8005" t="s">
        <v>72</v>
      </c>
      <c r="AR8005" t="s">
        <v>72</v>
      </c>
      <c r="AS8005">
        <v>1929</v>
      </c>
      <c r="AT8005" s="4">
        <v>42577</v>
      </c>
      <c r="AU8005" t="s">
        <v>73</v>
      </c>
      <c r="AV8005">
        <v>1929</v>
      </c>
      <c r="AW8005" s="4">
        <v>42577</v>
      </c>
      <c r="BD8005">
        <v>0</v>
      </c>
      <c r="BN8005" t="s">
        <v>74</v>
      </c>
    </row>
    <row r="8006" spans="1:66" hidden="1">
      <c r="A8006">
        <v>104560</v>
      </c>
      <c r="B8006" s="3" t="s">
        <v>676</v>
      </c>
      <c r="C8006" s="1">
        <v>43300101</v>
      </c>
      <c r="D8006" t="s">
        <v>67</v>
      </c>
      <c r="H8006" t="str">
        <f t="shared" si="788"/>
        <v>02504501210</v>
      </c>
      <c r="I8006" t="str">
        <f t="shared" si="788"/>
        <v>02504501210</v>
      </c>
      <c r="K8006" t="str">
        <f>""</f>
        <v/>
      </c>
      <c r="M8006" t="s">
        <v>68</v>
      </c>
      <c r="N8006" t="str">
        <f t="shared" si="786"/>
        <v>FOR</v>
      </c>
      <c r="O8006" t="s">
        <v>69</v>
      </c>
      <c r="P8006" s="3" t="s">
        <v>75</v>
      </c>
      <c r="Q8006">
        <v>2016</v>
      </c>
      <c r="R8006" s="2">
        <v>42460</v>
      </c>
      <c r="S8006" s="2">
        <v>42465</v>
      </c>
      <c r="T8006" s="2">
        <v>42464</v>
      </c>
      <c r="U8006" s="2">
        <v>42524</v>
      </c>
      <c r="V8006" t="s">
        <v>71</v>
      </c>
      <c r="W8006" t="str">
        <f>"                  41"</f>
        <v xml:space="preserve">                  41</v>
      </c>
      <c r="X8006">
        <v>486.78</v>
      </c>
      <c r="Y8006">
        <v>0</v>
      </c>
      <c r="Z8006"/>
      <c r="AB8006"/>
      <c r="AC8006">
        <v>399</v>
      </c>
      <c r="AD8006">
        <v>53</v>
      </c>
      <c r="AE8006" s="1">
        <v>21147</v>
      </c>
      <c r="AF8006">
        <v>0</v>
      </c>
      <c r="AJ8006">
        <v>0</v>
      </c>
      <c r="AK8006">
        <v>0</v>
      </c>
      <c r="AL8006">
        <v>0</v>
      </c>
      <c r="AM8006">
        <v>486.78</v>
      </c>
      <c r="AN8006">
        <v>486.78</v>
      </c>
      <c r="AO8006">
        <v>486.78</v>
      </c>
      <c r="AP8006" s="2">
        <v>42746</v>
      </c>
      <c r="AQ8006" t="s">
        <v>72</v>
      </c>
      <c r="AR8006" t="s">
        <v>72</v>
      </c>
      <c r="AS8006">
        <v>1929</v>
      </c>
      <c r="AT8006" s="4">
        <v>42577</v>
      </c>
      <c r="AU8006" t="s">
        <v>73</v>
      </c>
      <c r="AV8006">
        <v>1929</v>
      </c>
      <c r="AW8006" s="4">
        <v>42577</v>
      </c>
      <c r="BD8006">
        <v>0</v>
      </c>
      <c r="BN8006" t="s">
        <v>74</v>
      </c>
    </row>
    <row r="8007" spans="1:66" hidden="1">
      <c r="A8007">
        <v>104560</v>
      </c>
      <c r="B8007" s="3" t="s">
        <v>676</v>
      </c>
      <c r="C8007" s="1">
        <v>43300101</v>
      </c>
      <c r="D8007" t="s">
        <v>67</v>
      </c>
      <c r="H8007" t="str">
        <f t="shared" si="788"/>
        <v>02504501210</v>
      </c>
      <c r="I8007" t="str">
        <f t="shared" si="788"/>
        <v>02504501210</v>
      </c>
      <c r="K8007" t="str">
        <f>""</f>
        <v/>
      </c>
      <c r="M8007" t="s">
        <v>68</v>
      </c>
      <c r="N8007" t="str">
        <f t="shared" si="786"/>
        <v>FOR</v>
      </c>
      <c r="O8007" t="s">
        <v>69</v>
      </c>
      <c r="P8007" s="3" t="s">
        <v>75</v>
      </c>
      <c r="Q8007">
        <v>2016</v>
      </c>
      <c r="R8007" s="2">
        <v>42460</v>
      </c>
      <c r="S8007" s="2">
        <v>42466</v>
      </c>
      <c r="T8007" s="2">
        <v>42464</v>
      </c>
      <c r="U8007" s="2">
        <v>42524</v>
      </c>
      <c r="V8007" t="s">
        <v>71</v>
      </c>
      <c r="W8007" t="str">
        <f>"                  42"</f>
        <v xml:space="preserve">                  42</v>
      </c>
      <c r="X8007" s="1">
        <v>4575</v>
      </c>
      <c r="Y8007">
        <v>0</v>
      </c>
      <c r="Z8007"/>
      <c r="AB8007"/>
      <c r="AC8007" s="1">
        <v>3750</v>
      </c>
      <c r="AD8007">
        <v>53</v>
      </c>
      <c r="AE8007" s="1">
        <v>198750</v>
      </c>
      <c r="AF8007">
        <v>0</v>
      </c>
      <c r="AJ8007">
        <v>0</v>
      </c>
      <c r="AK8007">
        <v>0</v>
      </c>
      <c r="AL8007">
        <v>0</v>
      </c>
      <c r="AM8007" s="1">
        <v>4575</v>
      </c>
      <c r="AN8007" s="1">
        <v>4575</v>
      </c>
      <c r="AO8007" s="1">
        <v>4575</v>
      </c>
      <c r="AP8007" s="2">
        <v>42746</v>
      </c>
      <c r="AQ8007" t="s">
        <v>72</v>
      </c>
      <c r="AR8007" t="s">
        <v>72</v>
      </c>
      <c r="AS8007">
        <v>1929</v>
      </c>
      <c r="AT8007" s="4">
        <v>42577</v>
      </c>
      <c r="AU8007" t="s">
        <v>73</v>
      </c>
      <c r="AV8007">
        <v>1929</v>
      </c>
      <c r="AW8007" s="4">
        <v>42577</v>
      </c>
      <c r="BD8007">
        <v>0</v>
      </c>
      <c r="BN8007" t="s">
        <v>74</v>
      </c>
    </row>
    <row r="8008" spans="1:66" hidden="1">
      <c r="A8008">
        <v>104560</v>
      </c>
      <c r="B8008" s="3" t="s">
        <v>676</v>
      </c>
      <c r="C8008" s="1">
        <v>43300101</v>
      </c>
      <c r="D8008" t="s">
        <v>67</v>
      </c>
      <c r="H8008" t="str">
        <f t="shared" si="788"/>
        <v>02504501210</v>
      </c>
      <c r="I8008" t="str">
        <f t="shared" si="788"/>
        <v>02504501210</v>
      </c>
      <c r="K8008" t="str">
        <f>""</f>
        <v/>
      </c>
      <c r="M8008" t="s">
        <v>68</v>
      </c>
      <c r="N8008" t="str">
        <f t="shared" si="786"/>
        <v>FOR</v>
      </c>
      <c r="O8008" t="s">
        <v>69</v>
      </c>
      <c r="P8008" s="3" t="s">
        <v>75</v>
      </c>
      <c r="Q8008">
        <v>2016</v>
      </c>
      <c r="R8008" s="2">
        <v>42460</v>
      </c>
      <c r="S8008" s="2">
        <v>42465</v>
      </c>
      <c r="T8008" s="2">
        <v>42464</v>
      </c>
      <c r="U8008" s="2">
        <v>42524</v>
      </c>
      <c r="V8008" t="s">
        <v>71</v>
      </c>
      <c r="W8008" t="str">
        <f>"                  43"</f>
        <v xml:space="preserve">                  43</v>
      </c>
      <c r="X8008" s="1">
        <v>1789.35</v>
      </c>
      <c r="Y8008">
        <v>0</v>
      </c>
      <c r="Z8008"/>
      <c r="AB8008"/>
      <c r="AC8008" s="1">
        <v>1466.68</v>
      </c>
      <c r="AD8008">
        <v>53</v>
      </c>
      <c r="AE8008" s="1">
        <v>77734.039999999994</v>
      </c>
      <c r="AF8008">
        <v>0</v>
      </c>
      <c r="AJ8008">
        <v>0</v>
      </c>
      <c r="AK8008">
        <v>0</v>
      </c>
      <c r="AL8008">
        <v>0</v>
      </c>
      <c r="AM8008" s="1">
        <v>1789.35</v>
      </c>
      <c r="AN8008" s="1">
        <v>1789.35</v>
      </c>
      <c r="AO8008" s="1">
        <v>1789.35</v>
      </c>
      <c r="AP8008" s="2">
        <v>42746</v>
      </c>
      <c r="AQ8008" t="s">
        <v>72</v>
      </c>
      <c r="AR8008" t="s">
        <v>72</v>
      </c>
      <c r="AS8008">
        <v>1929</v>
      </c>
      <c r="AT8008" s="4">
        <v>42577</v>
      </c>
      <c r="AU8008" t="s">
        <v>73</v>
      </c>
      <c r="AV8008">
        <v>1929</v>
      </c>
      <c r="AW8008" s="4">
        <v>42577</v>
      </c>
      <c r="BD8008">
        <v>0</v>
      </c>
      <c r="BN8008" t="s">
        <v>74</v>
      </c>
    </row>
    <row r="8009" spans="1:66" hidden="1">
      <c r="A8009">
        <v>104560</v>
      </c>
      <c r="B8009" s="3" t="s">
        <v>676</v>
      </c>
      <c r="C8009" s="1">
        <v>43300101</v>
      </c>
      <c r="D8009" t="s">
        <v>67</v>
      </c>
      <c r="H8009" t="str">
        <f t="shared" si="788"/>
        <v>02504501210</v>
      </c>
      <c r="I8009" t="str">
        <f t="shared" si="788"/>
        <v>02504501210</v>
      </c>
      <c r="K8009" t="str">
        <f>""</f>
        <v/>
      </c>
      <c r="M8009" t="s">
        <v>68</v>
      </c>
      <c r="N8009" t="str">
        <f t="shared" si="786"/>
        <v>FOR</v>
      </c>
      <c r="O8009" t="s">
        <v>69</v>
      </c>
      <c r="P8009" s="3" t="s">
        <v>75</v>
      </c>
      <c r="Q8009">
        <v>2016</v>
      </c>
      <c r="R8009" s="2">
        <v>42460</v>
      </c>
      <c r="S8009" s="2">
        <v>42465</v>
      </c>
      <c r="T8009" s="2">
        <v>42464</v>
      </c>
      <c r="U8009" s="2">
        <v>42524</v>
      </c>
      <c r="V8009" t="s">
        <v>71</v>
      </c>
      <c r="W8009" t="str">
        <f>"                  44"</f>
        <v xml:space="preserve">                  44</v>
      </c>
      <c r="X8009">
        <v>610</v>
      </c>
      <c r="Y8009">
        <v>0</v>
      </c>
      <c r="Z8009"/>
      <c r="AB8009"/>
      <c r="AC8009">
        <v>500</v>
      </c>
      <c r="AD8009">
        <v>53</v>
      </c>
      <c r="AE8009" s="1">
        <v>26500</v>
      </c>
      <c r="AF8009">
        <v>0</v>
      </c>
      <c r="AJ8009">
        <v>0</v>
      </c>
      <c r="AK8009">
        <v>0</v>
      </c>
      <c r="AL8009">
        <v>0</v>
      </c>
      <c r="AM8009">
        <v>610</v>
      </c>
      <c r="AN8009">
        <v>610</v>
      </c>
      <c r="AO8009">
        <v>610</v>
      </c>
      <c r="AP8009" s="2">
        <v>42746</v>
      </c>
      <c r="AQ8009" t="s">
        <v>72</v>
      </c>
      <c r="AR8009" t="s">
        <v>72</v>
      </c>
      <c r="AS8009">
        <v>1929</v>
      </c>
      <c r="AT8009" s="4">
        <v>42577</v>
      </c>
      <c r="AU8009" t="s">
        <v>73</v>
      </c>
      <c r="AV8009">
        <v>1929</v>
      </c>
      <c r="AW8009" s="4">
        <v>42577</v>
      </c>
      <c r="BD8009">
        <v>0</v>
      </c>
      <c r="BN8009" t="s">
        <v>74</v>
      </c>
    </row>
    <row r="8010" spans="1:66" hidden="1">
      <c r="A8010">
        <v>104560</v>
      </c>
      <c r="B8010" s="3" t="s">
        <v>676</v>
      </c>
      <c r="C8010" s="1">
        <v>43300101</v>
      </c>
      <c r="D8010" t="s">
        <v>67</v>
      </c>
      <c r="H8010" t="str">
        <f t="shared" si="788"/>
        <v>02504501210</v>
      </c>
      <c r="I8010" t="str">
        <f t="shared" si="788"/>
        <v>02504501210</v>
      </c>
      <c r="K8010" t="str">
        <f>""</f>
        <v/>
      </c>
      <c r="M8010" t="s">
        <v>68</v>
      </c>
      <c r="N8010" t="str">
        <f t="shared" si="786"/>
        <v>FOR</v>
      </c>
      <c r="O8010" t="s">
        <v>69</v>
      </c>
      <c r="P8010" s="3" t="s">
        <v>75</v>
      </c>
      <c r="Q8010">
        <v>2016</v>
      </c>
      <c r="R8010" s="2">
        <v>42460</v>
      </c>
      <c r="S8010" s="2">
        <v>42466</v>
      </c>
      <c r="T8010" s="2">
        <v>42466</v>
      </c>
      <c r="U8010" s="2">
        <v>42526</v>
      </c>
      <c r="V8010" t="s">
        <v>71</v>
      </c>
      <c r="W8010" t="str">
        <f>"                  50"</f>
        <v xml:space="preserve">                  50</v>
      </c>
      <c r="X8010" s="1">
        <v>3361.1</v>
      </c>
      <c r="Y8010">
        <v>0</v>
      </c>
      <c r="Z8010"/>
      <c r="AB8010"/>
      <c r="AC8010" s="1">
        <v>2755</v>
      </c>
      <c r="AD8010">
        <v>51</v>
      </c>
      <c r="AE8010" s="1">
        <v>140505</v>
      </c>
      <c r="AF8010">
        <v>0</v>
      </c>
      <c r="AJ8010">
        <v>0</v>
      </c>
      <c r="AK8010">
        <v>0</v>
      </c>
      <c r="AL8010">
        <v>0</v>
      </c>
      <c r="AM8010" s="1">
        <v>3361.1</v>
      </c>
      <c r="AN8010" s="1">
        <v>3361.1</v>
      </c>
      <c r="AO8010" s="1">
        <v>3361.1</v>
      </c>
      <c r="AP8010" s="2">
        <v>42746</v>
      </c>
      <c r="AQ8010" t="s">
        <v>72</v>
      </c>
      <c r="AR8010" t="s">
        <v>72</v>
      </c>
      <c r="AS8010">
        <v>1929</v>
      </c>
      <c r="AT8010" s="4">
        <v>42577</v>
      </c>
      <c r="AU8010" t="s">
        <v>73</v>
      </c>
      <c r="AV8010">
        <v>1929</v>
      </c>
      <c r="AW8010" s="4">
        <v>42577</v>
      </c>
      <c r="BD8010">
        <v>0</v>
      </c>
      <c r="BN8010" t="s">
        <v>74</v>
      </c>
    </row>
    <row r="8011" spans="1:66" hidden="1">
      <c r="A8011">
        <v>104560</v>
      </c>
      <c r="B8011" s="3" t="s">
        <v>676</v>
      </c>
      <c r="C8011" s="1">
        <v>43300101</v>
      </c>
      <c r="D8011" t="s">
        <v>67</v>
      </c>
      <c r="H8011" t="str">
        <f t="shared" si="788"/>
        <v>02504501210</v>
      </c>
      <c r="I8011" t="str">
        <f t="shared" si="788"/>
        <v>02504501210</v>
      </c>
      <c r="K8011" t="str">
        <f>""</f>
        <v/>
      </c>
      <c r="M8011" t="s">
        <v>68</v>
      </c>
      <c r="N8011" t="str">
        <f t="shared" si="786"/>
        <v>FOR</v>
      </c>
      <c r="O8011" t="s">
        <v>69</v>
      </c>
      <c r="P8011" s="3" t="s">
        <v>75</v>
      </c>
      <c r="Q8011">
        <v>2016</v>
      </c>
      <c r="R8011" s="2">
        <v>42490</v>
      </c>
      <c r="S8011" s="2">
        <v>42492</v>
      </c>
      <c r="T8011" s="2">
        <v>42492</v>
      </c>
      <c r="U8011" s="2">
        <v>42552</v>
      </c>
      <c r="V8011" t="s">
        <v>71</v>
      </c>
      <c r="W8011" t="str">
        <f>"                  54"</f>
        <v xml:space="preserve">                  54</v>
      </c>
      <c r="X8011" s="1">
        <v>1831.22</v>
      </c>
      <c r="Y8011">
        <v>0</v>
      </c>
      <c r="Z8011"/>
      <c r="AB8011"/>
      <c r="AC8011" s="1">
        <v>1501</v>
      </c>
      <c r="AD8011">
        <v>68</v>
      </c>
      <c r="AE8011" s="1">
        <v>102068</v>
      </c>
      <c r="AF8011">
        <v>0</v>
      </c>
      <c r="AJ8011">
        <v>0</v>
      </c>
      <c r="AK8011">
        <v>0</v>
      </c>
      <c r="AL8011">
        <v>0</v>
      </c>
      <c r="AM8011" s="1">
        <v>1831.22</v>
      </c>
      <c r="AN8011" s="1">
        <v>1831.22</v>
      </c>
      <c r="AO8011" s="1">
        <v>1831.22</v>
      </c>
      <c r="AP8011" s="2">
        <v>42746</v>
      </c>
      <c r="AQ8011" t="s">
        <v>72</v>
      </c>
      <c r="AR8011" t="s">
        <v>72</v>
      </c>
      <c r="AS8011">
        <v>2317</v>
      </c>
      <c r="AT8011" s="4">
        <v>42620</v>
      </c>
      <c r="AU8011" t="s">
        <v>73</v>
      </c>
      <c r="AV8011">
        <v>2317</v>
      </c>
      <c r="AW8011" s="4">
        <v>42620</v>
      </c>
      <c r="BD8011">
        <v>0</v>
      </c>
      <c r="BN8011" t="s">
        <v>74</v>
      </c>
    </row>
    <row r="8012" spans="1:66" hidden="1">
      <c r="A8012">
        <v>104560</v>
      </c>
      <c r="B8012" s="3" t="s">
        <v>676</v>
      </c>
      <c r="C8012" s="1">
        <v>43300101</v>
      </c>
      <c r="D8012" t="s">
        <v>67</v>
      </c>
      <c r="H8012" t="str">
        <f t="shared" si="788"/>
        <v>02504501210</v>
      </c>
      <c r="I8012" t="str">
        <f t="shared" si="788"/>
        <v>02504501210</v>
      </c>
      <c r="K8012" t="str">
        <f>""</f>
        <v/>
      </c>
      <c r="M8012" t="s">
        <v>68</v>
      </c>
      <c r="N8012" t="str">
        <f t="shared" ref="N8012:N8043" si="789">"FOR"</f>
        <v>FOR</v>
      </c>
      <c r="O8012" t="s">
        <v>69</v>
      </c>
      <c r="P8012" s="3" t="s">
        <v>75</v>
      </c>
      <c r="Q8012">
        <v>2016</v>
      </c>
      <c r="R8012" s="2">
        <v>42490</v>
      </c>
      <c r="S8012" s="2">
        <v>42492</v>
      </c>
      <c r="T8012" s="2">
        <v>42492</v>
      </c>
      <c r="U8012" s="2">
        <v>42552</v>
      </c>
      <c r="V8012" t="s">
        <v>71</v>
      </c>
      <c r="W8012" t="str">
        <f>"                  55"</f>
        <v xml:space="preserve">                  55</v>
      </c>
      <c r="X8012">
        <v>486.78</v>
      </c>
      <c r="Y8012">
        <v>0</v>
      </c>
      <c r="Z8012"/>
      <c r="AB8012"/>
      <c r="AC8012">
        <v>399</v>
      </c>
      <c r="AD8012">
        <v>68</v>
      </c>
      <c r="AE8012" s="1">
        <v>27132</v>
      </c>
      <c r="AF8012">
        <v>0</v>
      </c>
      <c r="AJ8012">
        <v>0</v>
      </c>
      <c r="AK8012">
        <v>0</v>
      </c>
      <c r="AL8012">
        <v>0</v>
      </c>
      <c r="AM8012">
        <v>486.78</v>
      </c>
      <c r="AN8012">
        <v>486.78</v>
      </c>
      <c r="AO8012">
        <v>486.78</v>
      </c>
      <c r="AP8012" s="2">
        <v>42746</v>
      </c>
      <c r="AQ8012" t="s">
        <v>72</v>
      </c>
      <c r="AR8012" t="s">
        <v>72</v>
      </c>
      <c r="AS8012">
        <v>2317</v>
      </c>
      <c r="AT8012" s="4">
        <v>42620</v>
      </c>
      <c r="AU8012" t="s">
        <v>73</v>
      </c>
      <c r="AV8012">
        <v>2317</v>
      </c>
      <c r="AW8012" s="4">
        <v>42620</v>
      </c>
      <c r="BD8012">
        <v>0</v>
      </c>
      <c r="BN8012" t="s">
        <v>74</v>
      </c>
    </row>
    <row r="8013" spans="1:66" hidden="1">
      <c r="A8013">
        <v>104560</v>
      </c>
      <c r="B8013" s="3" t="s">
        <v>676</v>
      </c>
      <c r="C8013" s="1">
        <v>43300101</v>
      </c>
      <c r="D8013" t="s">
        <v>67</v>
      </c>
      <c r="H8013" t="str">
        <f t="shared" si="788"/>
        <v>02504501210</v>
      </c>
      <c r="I8013" t="str">
        <f t="shared" si="788"/>
        <v>02504501210</v>
      </c>
      <c r="K8013" t="str">
        <f>""</f>
        <v/>
      </c>
      <c r="M8013" t="s">
        <v>68</v>
      </c>
      <c r="N8013" t="str">
        <f t="shared" si="789"/>
        <v>FOR</v>
      </c>
      <c r="O8013" t="s">
        <v>69</v>
      </c>
      <c r="P8013" s="3" t="s">
        <v>75</v>
      </c>
      <c r="Q8013">
        <v>2016</v>
      </c>
      <c r="R8013" s="2">
        <v>42490</v>
      </c>
      <c r="S8013" s="2">
        <v>42493</v>
      </c>
      <c r="T8013" s="2">
        <v>42492</v>
      </c>
      <c r="U8013" s="2">
        <v>42552</v>
      </c>
      <c r="V8013" t="s">
        <v>71</v>
      </c>
      <c r="W8013" t="str">
        <f>"                  56"</f>
        <v xml:space="preserve">                  56</v>
      </c>
      <c r="X8013" s="1">
        <v>1525</v>
      </c>
      <c r="Y8013">
        <v>0</v>
      </c>
      <c r="Z8013"/>
      <c r="AB8013"/>
      <c r="AC8013" s="1">
        <v>1250</v>
      </c>
      <c r="AD8013">
        <v>68</v>
      </c>
      <c r="AE8013" s="1">
        <v>85000</v>
      </c>
      <c r="AF8013">
        <v>0</v>
      </c>
      <c r="AJ8013">
        <v>0</v>
      </c>
      <c r="AK8013">
        <v>0</v>
      </c>
      <c r="AL8013">
        <v>0</v>
      </c>
      <c r="AM8013" s="1">
        <v>1525</v>
      </c>
      <c r="AN8013" s="1">
        <v>1525</v>
      </c>
      <c r="AO8013" s="1">
        <v>1525</v>
      </c>
      <c r="AP8013" s="2">
        <v>42746</v>
      </c>
      <c r="AQ8013" t="s">
        <v>72</v>
      </c>
      <c r="AR8013" t="s">
        <v>72</v>
      </c>
      <c r="AS8013">
        <v>2317</v>
      </c>
      <c r="AT8013" s="4">
        <v>42620</v>
      </c>
      <c r="AU8013" t="s">
        <v>73</v>
      </c>
      <c r="AV8013">
        <v>2317</v>
      </c>
      <c r="AW8013" s="4">
        <v>42620</v>
      </c>
      <c r="BD8013">
        <v>0</v>
      </c>
      <c r="BN8013" t="s">
        <v>74</v>
      </c>
    </row>
    <row r="8014" spans="1:66" hidden="1">
      <c r="A8014">
        <v>104560</v>
      </c>
      <c r="B8014" s="3" t="s">
        <v>676</v>
      </c>
      <c r="C8014" s="1">
        <v>43300101</v>
      </c>
      <c r="D8014" t="s">
        <v>67</v>
      </c>
      <c r="H8014" t="str">
        <f t="shared" si="788"/>
        <v>02504501210</v>
      </c>
      <c r="I8014" t="str">
        <f t="shared" si="788"/>
        <v>02504501210</v>
      </c>
      <c r="K8014" t="str">
        <f>""</f>
        <v/>
      </c>
      <c r="M8014" t="s">
        <v>68</v>
      </c>
      <c r="N8014" t="str">
        <f t="shared" si="789"/>
        <v>FOR</v>
      </c>
      <c r="O8014" t="s">
        <v>69</v>
      </c>
      <c r="P8014" s="3" t="s">
        <v>75</v>
      </c>
      <c r="Q8014">
        <v>2016</v>
      </c>
      <c r="R8014" s="2">
        <v>42490</v>
      </c>
      <c r="S8014" s="2">
        <v>42493</v>
      </c>
      <c r="T8014" s="2">
        <v>42492</v>
      </c>
      <c r="U8014" s="2">
        <v>42552</v>
      </c>
      <c r="V8014" t="s">
        <v>71</v>
      </c>
      <c r="W8014" t="str">
        <f>"                  57"</f>
        <v xml:space="preserve">                  57</v>
      </c>
      <c r="X8014">
        <v>530.70000000000005</v>
      </c>
      <c r="Y8014">
        <v>0</v>
      </c>
      <c r="Z8014"/>
      <c r="AB8014"/>
      <c r="AC8014">
        <v>435</v>
      </c>
      <c r="AD8014">
        <v>68</v>
      </c>
      <c r="AE8014" s="1">
        <v>29580</v>
      </c>
      <c r="AF8014">
        <v>0</v>
      </c>
      <c r="AJ8014">
        <v>0</v>
      </c>
      <c r="AK8014">
        <v>0</v>
      </c>
      <c r="AL8014">
        <v>0</v>
      </c>
      <c r="AM8014">
        <v>530.70000000000005</v>
      </c>
      <c r="AN8014">
        <v>530.70000000000005</v>
      </c>
      <c r="AO8014">
        <v>530.70000000000005</v>
      </c>
      <c r="AP8014" s="2">
        <v>42746</v>
      </c>
      <c r="AQ8014" t="s">
        <v>72</v>
      </c>
      <c r="AR8014" t="s">
        <v>72</v>
      </c>
      <c r="AS8014">
        <v>2317</v>
      </c>
      <c r="AT8014" s="4">
        <v>42620</v>
      </c>
      <c r="AU8014" t="s">
        <v>73</v>
      </c>
      <c r="AV8014">
        <v>2317</v>
      </c>
      <c r="AW8014" s="4">
        <v>42620</v>
      </c>
      <c r="BD8014">
        <v>0</v>
      </c>
      <c r="BN8014" t="s">
        <v>74</v>
      </c>
    </row>
    <row r="8015" spans="1:66" hidden="1">
      <c r="A8015">
        <v>104560</v>
      </c>
      <c r="B8015" s="3" t="s">
        <v>676</v>
      </c>
      <c r="C8015" s="1">
        <v>43300101</v>
      </c>
      <c r="D8015" t="s">
        <v>67</v>
      </c>
      <c r="H8015" t="str">
        <f t="shared" si="788"/>
        <v>02504501210</v>
      </c>
      <c r="I8015" t="str">
        <f t="shared" si="788"/>
        <v>02504501210</v>
      </c>
      <c r="K8015" t="str">
        <f>""</f>
        <v/>
      </c>
      <c r="M8015" t="s">
        <v>68</v>
      </c>
      <c r="N8015" t="str">
        <f t="shared" si="789"/>
        <v>FOR</v>
      </c>
      <c r="O8015" t="s">
        <v>69</v>
      </c>
      <c r="P8015" s="3" t="s">
        <v>75</v>
      </c>
      <c r="Q8015">
        <v>2016</v>
      </c>
      <c r="R8015" s="2">
        <v>42490</v>
      </c>
      <c r="S8015" s="2">
        <v>42493</v>
      </c>
      <c r="T8015" s="2">
        <v>42492</v>
      </c>
      <c r="U8015" s="2">
        <v>42552</v>
      </c>
      <c r="V8015" t="s">
        <v>71</v>
      </c>
      <c r="W8015" t="str">
        <f>"                  58"</f>
        <v xml:space="preserve">                  58</v>
      </c>
      <c r="X8015" s="1">
        <v>6295.2</v>
      </c>
      <c r="Y8015">
        <v>0</v>
      </c>
      <c r="Z8015"/>
      <c r="AB8015"/>
      <c r="AC8015" s="1">
        <v>5160</v>
      </c>
      <c r="AD8015">
        <v>68</v>
      </c>
      <c r="AE8015" s="1">
        <v>350880</v>
      </c>
      <c r="AF8015">
        <v>0</v>
      </c>
      <c r="AJ8015">
        <v>0</v>
      </c>
      <c r="AK8015">
        <v>0</v>
      </c>
      <c r="AL8015">
        <v>0</v>
      </c>
      <c r="AM8015" s="1">
        <v>6295.2</v>
      </c>
      <c r="AN8015" s="1">
        <v>6295.2</v>
      </c>
      <c r="AO8015" s="1">
        <v>6295.2</v>
      </c>
      <c r="AP8015" s="2">
        <v>42746</v>
      </c>
      <c r="AQ8015" t="s">
        <v>72</v>
      </c>
      <c r="AR8015" t="s">
        <v>72</v>
      </c>
      <c r="AS8015">
        <v>2317</v>
      </c>
      <c r="AT8015" s="4">
        <v>42620</v>
      </c>
      <c r="AU8015" t="s">
        <v>73</v>
      </c>
      <c r="AV8015">
        <v>2317</v>
      </c>
      <c r="AW8015" s="4">
        <v>42620</v>
      </c>
      <c r="BD8015">
        <v>0</v>
      </c>
      <c r="BN8015" t="s">
        <v>74</v>
      </c>
    </row>
    <row r="8016" spans="1:66">
      <c r="A8016">
        <v>104560</v>
      </c>
      <c r="B8016" s="3" t="s">
        <v>676</v>
      </c>
      <c r="C8016" s="1">
        <v>43300101</v>
      </c>
      <c r="D8016" t="s">
        <v>67</v>
      </c>
      <c r="H8016" t="str">
        <f t="shared" si="788"/>
        <v>02504501210</v>
      </c>
      <c r="I8016" t="str">
        <f t="shared" si="788"/>
        <v>02504501210</v>
      </c>
      <c r="K8016" t="str">
        <f>""</f>
        <v/>
      </c>
      <c r="M8016" t="s">
        <v>68</v>
      </c>
      <c r="N8016" t="str">
        <f t="shared" si="789"/>
        <v>FOR</v>
      </c>
      <c r="O8016" t="s">
        <v>69</v>
      </c>
      <c r="P8016" s="3" t="s">
        <v>75</v>
      </c>
      <c r="Q8016">
        <v>2016</v>
      </c>
      <c r="R8016" s="2">
        <v>42490</v>
      </c>
      <c r="S8016" s="2">
        <v>42495</v>
      </c>
      <c r="T8016" s="2">
        <v>42494</v>
      </c>
      <c r="U8016" s="2">
        <v>42554</v>
      </c>
      <c r="V8016" t="s">
        <v>71</v>
      </c>
      <c r="W8016" t="str">
        <f>"                  65"</f>
        <v xml:space="preserve">                  65</v>
      </c>
      <c r="X8016" s="1">
        <v>21777</v>
      </c>
      <c r="Y8016">
        <v>0</v>
      </c>
      <c r="Z8016" s="5">
        <v>17850</v>
      </c>
      <c r="AA8016">
        <v>92</v>
      </c>
      <c r="AB8016" s="5">
        <v>1642200</v>
      </c>
      <c r="AC8016" s="1">
        <v>17850</v>
      </c>
      <c r="AD8016">
        <v>92</v>
      </c>
      <c r="AE8016" s="1">
        <v>1642200</v>
      </c>
      <c r="AF8016">
        <v>0</v>
      </c>
      <c r="AJ8016">
        <v>0</v>
      </c>
      <c r="AK8016">
        <v>0</v>
      </c>
      <c r="AL8016">
        <v>0</v>
      </c>
      <c r="AM8016" s="1">
        <v>21777</v>
      </c>
      <c r="AN8016" s="1">
        <v>21777</v>
      </c>
      <c r="AO8016" s="1">
        <v>21777</v>
      </c>
      <c r="AP8016" s="2">
        <v>42746</v>
      </c>
      <c r="AQ8016" t="s">
        <v>72</v>
      </c>
      <c r="AR8016" t="s">
        <v>72</v>
      </c>
      <c r="AS8016">
        <v>2560</v>
      </c>
      <c r="AT8016" s="4">
        <v>42646</v>
      </c>
      <c r="AU8016" t="s">
        <v>73</v>
      </c>
      <c r="AV8016">
        <v>2560</v>
      </c>
      <c r="AW8016" s="4">
        <v>42646</v>
      </c>
      <c r="BD8016">
        <v>0</v>
      </c>
      <c r="BN8016" t="s">
        <v>74</v>
      </c>
    </row>
    <row r="8017" spans="1:66">
      <c r="A8017">
        <v>104560</v>
      </c>
      <c r="B8017" s="3" t="s">
        <v>676</v>
      </c>
      <c r="C8017" s="1">
        <v>43300101</v>
      </c>
      <c r="D8017" t="s">
        <v>67</v>
      </c>
      <c r="H8017" t="str">
        <f t="shared" si="788"/>
        <v>02504501210</v>
      </c>
      <c r="I8017" t="str">
        <f t="shared" si="788"/>
        <v>02504501210</v>
      </c>
      <c r="K8017" t="str">
        <f>""</f>
        <v/>
      </c>
      <c r="M8017" t="s">
        <v>68</v>
      </c>
      <c r="N8017" t="str">
        <f t="shared" si="789"/>
        <v>FOR</v>
      </c>
      <c r="O8017" t="s">
        <v>69</v>
      </c>
      <c r="P8017" s="3" t="s">
        <v>75</v>
      </c>
      <c r="Q8017">
        <v>2016</v>
      </c>
      <c r="R8017" s="2">
        <v>42521</v>
      </c>
      <c r="S8017" s="2">
        <v>42521</v>
      </c>
      <c r="T8017" s="2">
        <v>42521</v>
      </c>
      <c r="U8017" s="2">
        <v>42581</v>
      </c>
      <c r="V8017" t="s">
        <v>71</v>
      </c>
      <c r="W8017" t="str">
        <f>"                  67"</f>
        <v xml:space="preserve">                  67</v>
      </c>
      <c r="X8017" s="1">
        <v>1831.22</v>
      </c>
      <c r="Y8017">
        <v>0</v>
      </c>
      <c r="Z8017" s="5">
        <v>1501</v>
      </c>
      <c r="AA8017">
        <v>102</v>
      </c>
      <c r="AB8017" s="5">
        <v>153102</v>
      </c>
      <c r="AC8017" s="1">
        <v>1501</v>
      </c>
      <c r="AD8017">
        <v>102</v>
      </c>
      <c r="AE8017" s="1">
        <v>153102</v>
      </c>
      <c r="AF8017">
        <v>0</v>
      </c>
      <c r="AJ8017">
        <v>0</v>
      </c>
      <c r="AK8017">
        <v>0</v>
      </c>
      <c r="AL8017">
        <v>0</v>
      </c>
      <c r="AM8017" s="1">
        <v>1831.22</v>
      </c>
      <c r="AN8017" s="1">
        <v>1831.22</v>
      </c>
      <c r="AO8017" s="1">
        <v>1831.22</v>
      </c>
      <c r="AP8017" s="2">
        <v>42746</v>
      </c>
      <c r="AQ8017" t="s">
        <v>72</v>
      </c>
      <c r="AR8017" t="s">
        <v>72</v>
      </c>
      <c r="AS8017">
        <v>3023</v>
      </c>
      <c r="AT8017" s="4">
        <v>42683</v>
      </c>
      <c r="AU8017" t="s">
        <v>73</v>
      </c>
      <c r="AV8017">
        <v>3023</v>
      </c>
      <c r="AW8017" s="4">
        <v>42683</v>
      </c>
      <c r="BD8017">
        <v>0</v>
      </c>
      <c r="BN8017" t="s">
        <v>74</v>
      </c>
    </row>
    <row r="8018" spans="1:66">
      <c r="A8018">
        <v>104560</v>
      </c>
      <c r="B8018" s="3" t="s">
        <v>676</v>
      </c>
      <c r="C8018" s="1">
        <v>43300101</v>
      </c>
      <c r="D8018" t="s">
        <v>67</v>
      </c>
      <c r="H8018" t="str">
        <f t="shared" si="788"/>
        <v>02504501210</v>
      </c>
      <c r="I8018" t="str">
        <f t="shared" si="788"/>
        <v>02504501210</v>
      </c>
      <c r="K8018" t="str">
        <f>""</f>
        <v/>
      </c>
      <c r="M8018" t="s">
        <v>68</v>
      </c>
      <c r="N8018" t="str">
        <f t="shared" si="789"/>
        <v>FOR</v>
      </c>
      <c r="O8018" t="s">
        <v>69</v>
      </c>
      <c r="P8018" s="3" t="s">
        <v>75</v>
      </c>
      <c r="Q8018">
        <v>2016</v>
      </c>
      <c r="R8018" s="2">
        <v>42521</v>
      </c>
      <c r="S8018" s="2">
        <v>42521</v>
      </c>
      <c r="T8018" s="2">
        <v>42521</v>
      </c>
      <c r="U8018" s="2">
        <v>42581</v>
      </c>
      <c r="V8018" t="s">
        <v>71</v>
      </c>
      <c r="W8018" t="str">
        <f>"                  68"</f>
        <v xml:space="preserve">                  68</v>
      </c>
      <c r="X8018">
        <v>472.14</v>
      </c>
      <c r="Y8018">
        <v>0</v>
      </c>
      <c r="Z8018" s="3">
        <v>387</v>
      </c>
      <c r="AA8018">
        <v>102</v>
      </c>
      <c r="AB8018" s="5">
        <v>39474</v>
      </c>
      <c r="AC8018">
        <v>387</v>
      </c>
      <c r="AD8018">
        <v>102</v>
      </c>
      <c r="AE8018" s="1">
        <v>39474</v>
      </c>
      <c r="AF8018">
        <v>0</v>
      </c>
      <c r="AJ8018">
        <v>0</v>
      </c>
      <c r="AK8018">
        <v>0</v>
      </c>
      <c r="AL8018">
        <v>0</v>
      </c>
      <c r="AM8018">
        <v>472.14</v>
      </c>
      <c r="AN8018">
        <v>472.14</v>
      </c>
      <c r="AO8018">
        <v>472.14</v>
      </c>
      <c r="AP8018" s="2">
        <v>42746</v>
      </c>
      <c r="AQ8018" t="s">
        <v>72</v>
      </c>
      <c r="AR8018" t="s">
        <v>72</v>
      </c>
      <c r="AS8018">
        <v>3023</v>
      </c>
      <c r="AT8018" s="4">
        <v>42683</v>
      </c>
      <c r="AU8018" t="s">
        <v>73</v>
      </c>
      <c r="AV8018">
        <v>3023</v>
      </c>
      <c r="AW8018" s="4">
        <v>42683</v>
      </c>
      <c r="BD8018">
        <v>0</v>
      </c>
      <c r="BN8018" t="s">
        <v>74</v>
      </c>
    </row>
    <row r="8019" spans="1:66">
      <c r="A8019">
        <v>104560</v>
      </c>
      <c r="B8019" s="3" t="s">
        <v>676</v>
      </c>
      <c r="C8019" s="1">
        <v>43300101</v>
      </c>
      <c r="D8019" t="s">
        <v>67</v>
      </c>
      <c r="H8019" t="str">
        <f t="shared" si="788"/>
        <v>02504501210</v>
      </c>
      <c r="I8019" t="str">
        <f t="shared" si="788"/>
        <v>02504501210</v>
      </c>
      <c r="K8019" t="str">
        <f>""</f>
        <v/>
      </c>
      <c r="M8019" t="s">
        <v>68</v>
      </c>
      <c r="N8019" t="str">
        <f t="shared" si="789"/>
        <v>FOR</v>
      </c>
      <c r="O8019" t="s">
        <v>69</v>
      </c>
      <c r="P8019" s="3" t="s">
        <v>75</v>
      </c>
      <c r="Q8019">
        <v>2016</v>
      </c>
      <c r="R8019" s="2">
        <v>42521</v>
      </c>
      <c r="S8019" s="2">
        <v>42521</v>
      </c>
      <c r="T8019" s="2">
        <v>42521</v>
      </c>
      <c r="U8019" s="2">
        <v>42581</v>
      </c>
      <c r="V8019" t="s">
        <v>71</v>
      </c>
      <c r="W8019" t="str">
        <f>"                  69"</f>
        <v xml:space="preserve">                  69</v>
      </c>
      <c r="X8019" s="1">
        <v>1448.75</v>
      </c>
      <c r="Y8019">
        <v>0</v>
      </c>
      <c r="Z8019" s="5">
        <v>1187.5</v>
      </c>
      <c r="AA8019">
        <v>102</v>
      </c>
      <c r="AB8019" s="5">
        <v>121125</v>
      </c>
      <c r="AC8019" s="1">
        <v>1187.5</v>
      </c>
      <c r="AD8019">
        <v>102</v>
      </c>
      <c r="AE8019" s="1">
        <v>121125</v>
      </c>
      <c r="AF8019">
        <v>0</v>
      </c>
      <c r="AJ8019">
        <v>0</v>
      </c>
      <c r="AK8019">
        <v>0</v>
      </c>
      <c r="AL8019">
        <v>0</v>
      </c>
      <c r="AM8019" s="1">
        <v>1448.75</v>
      </c>
      <c r="AN8019" s="1">
        <v>1448.75</v>
      </c>
      <c r="AO8019" s="1">
        <v>1448.75</v>
      </c>
      <c r="AP8019" s="2">
        <v>42746</v>
      </c>
      <c r="AQ8019" t="s">
        <v>72</v>
      </c>
      <c r="AR8019" t="s">
        <v>72</v>
      </c>
      <c r="AS8019">
        <v>3023</v>
      </c>
      <c r="AT8019" s="4">
        <v>42683</v>
      </c>
      <c r="AU8019" t="s">
        <v>73</v>
      </c>
      <c r="AV8019">
        <v>3023</v>
      </c>
      <c r="AW8019" s="4">
        <v>42683</v>
      </c>
      <c r="BD8019">
        <v>0</v>
      </c>
      <c r="BN8019" t="s">
        <v>74</v>
      </c>
    </row>
    <row r="8020" spans="1:66">
      <c r="A8020">
        <v>104560</v>
      </c>
      <c r="B8020" s="3" t="s">
        <v>676</v>
      </c>
      <c r="C8020" s="1">
        <v>43300101</v>
      </c>
      <c r="D8020" t="s">
        <v>67</v>
      </c>
      <c r="H8020" t="str">
        <f t="shared" si="788"/>
        <v>02504501210</v>
      </c>
      <c r="I8020" t="str">
        <f t="shared" si="788"/>
        <v>02504501210</v>
      </c>
      <c r="K8020" t="str">
        <f>""</f>
        <v/>
      </c>
      <c r="M8020" t="s">
        <v>68</v>
      </c>
      <c r="N8020" t="str">
        <f t="shared" si="789"/>
        <v>FOR</v>
      </c>
      <c r="O8020" t="s">
        <v>69</v>
      </c>
      <c r="P8020" s="3" t="s">
        <v>75</v>
      </c>
      <c r="Q8020">
        <v>2016</v>
      </c>
      <c r="R8020" s="2">
        <v>42521</v>
      </c>
      <c r="S8020" s="2">
        <v>42527</v>
      </c>
      <c r="T8020" s="2">
        <v>42521</v>
      </c>
      <c r="U8020" s="2">
        <v>42581</v>
      </c>
      <c r="V8020" t="s">
        <v>71</v>
      </c>
      <c r="W8020" t="str">
        <f>"                  70"</f>
        <v xml:space="preserve">                  70</v>
      </c>
      <c r="X8020">
        <v>530.70000000000005</v>
      </c>
      <c r="Y8020">
        <v>0</v>
      </c>
      <c r="Z8020" s="3">
        <v>435</v>
      </c>
      <c r="AA8020">
        <v>65</v>
      </c>
      <c r="AB8020" s="5">
        <v>28275</v>
      </c>
      <c r="AC8020">
        <v>435</v>
      </c>
      <c r="AD8020">
        <v>65</v>
      </c>
      <c r="AE8020" s="1">
        <v>28275</v>
      </c>
      <c r="AF8020">
        <v>0</v>
      </c>
      <c r="AJ8020">
        <v>0</v>
      </c>
      <c r="AK8020">
        <v>0</v>
      </c>
      <c r="AL8020">
        <v>0</v>
      </c>
      <c r="AM8020">
        <v>530.70000000000005</v>
      </c>
      <c r="AN8020">
        <v>530.70000000000005</v>
      </c>
      <c r="AO8020">
        <v>530.70000000000005</v>
      </c>
      <c r="AP8020" s="2">
        <v>42746</v>
      </c>
      <c r="AQ8020" t="s">
        <v>72</v>
      </c>
      <c r="AR8020" t="s">
        <v>72</v>
      </c>
      <c r="AS8020">
        <v>2560</v>
      </c>
      <c r="AT8020" s="4">
        <v>42646</v>
      </c>
      <c r="AU8020" t="s">
        <v>73</v>
      </c>
      <c r="AV8020">
        <v>2560</v>
      </c>
      <c r="AW8020" s="4">
        <v>42646</v>
      </c>
      <c r="BD8020">
        <v>0</v>
      </c>
      <c r="BN8020" t="s">
        <v>74</v>
      </c>
    </row>
    <row r="8021" spans="1:66">
      <c r="A8021">
        <v>104560</v>
      </c>
      <c r="B8021" s="3" t="s">
        <v>676</v>
      </c>
      <c r="C8021" s="1">
        <v>43300101</v>
      </c>
      <c r="D8021" t="s">
        <v>67</v>
      </c>
      <c r="H8021" t="str">
        <f t="shared" si="788"/>
        <v>02504501210</v>
      </c>
      <c r="I8021" t="str">
        <f t="shared" si="788"/>
        <v>02504501210</v>
      </c>
      <c r="K8021" t="str">
        <f>""</f>
        <v/>
      </c>
      <c r="M8021" t="s">
        <v>68</v>
      </c>
      <c r="N8021" t="str">
        <f t="shared" si="789"/>
        <v>FOR</v>
      </c>
      <c r="O8021" t="s">
        <v>69</v>
      </c>
      <c r="P8021" s="3" t="s">
        <v>75</v>
      </c>
      <c r="Q8021">
        <v>2016</v>
      </c>
      <c r="R8021" s="2">
        <v>42521</v>
      </c>
      <c r="S8021" s="2">
        <v>42527</v>
      </c>
      <c r="T8021" s="2">
        <v>42527</v>
      </c>
      <c r="U8021" s="2">
        <v>42587</v>
      </c>
      <c r="V8021" t="s">
        <v>71</v>
      </c>
      <c r="W8021" t="str">
        <f>"                  71"</f>
        <v xml:space="preserve">                  71</v>
      </c>
      <c r="X8021" s="1">
        <v>1464</v>
      </c>
      <c r="Y8021">
        <v>0</v>
      </c>
      <c r="Z8021" s="5">
        <v>1200</v>
      </c>
      <c r="AA8021">
        <v>59</v>
      </c>
      <c r="AB8021" s="5">
        <v>70800</v>
      </c>
      <c r="AC8021" s="1">
        <v>1200</v>
      </c>
      <c r="AD8021">
        <v>59</v>
      </c>
      <c r="AE8021" s="1">
        <v>70800</v>
      </c>
      <c r="AF8021">
        <v>0</v>
      </c>
      <c r="AJ8021">
        <v>0</v>
      </c>
      <c r="AK8021">
        <v>0</v>
      </c>
      <c r="AL8021">
        <v>0</v>
      </c>
      <c r="AM8021" s="1">
        <v>1464</v>
      </c>
      <c r="AN8021" s="1">
        <v>1464</v>
      </c>
      <c r="AO8021" s="1">
        <v>1464</v>
      </c>
      <c r="AP8021" s="2">
        <v>42746</v>
      </c>
      <c r="AQ8021" t="s">
        <v>72</v>
      </c>
      <c r="AR8021" t="s">
        <v>72</v>
      </c>
      <c r="AS8021">
        <v>2560</v>
      </c>
      <c r="AT8021" s="4">
        <v>42646</v>
      </c>
      <c r="AU8021" t="s">
        <v>73</v>
      </c>
      <c r="AV8021">
        <v>2560</v>
      </c>
      <c r="AW8021" s="4">
        <v>42646</v>
      </c>
      <c r="BD8021">
        <v>0</v>
      </c>
      <c r="BN8021" t="s">
        <v>74</v>
      </c>
    </row>
    <row r="8022" spans="1:66">
      <c r="A8022">
        <v>104560</v>
      </c>
      <c r="B8022" s="3" t="s">
        <v>676</v>
      </c>
      <c r="C8022" s="1">
        <v>43300101</v>
      </c>
      <c r="D8022" t="s">
        <v>67</v>
      </c>
      <c r="H8022" t="str">
        <f t="shared" si="788"/>
        <v>02504501210</v>
      </c>
      <c r="I8022" t="str">
        <f t="shared" si="788"/>
        <v>02504501210</v>
      </c>
      <c r="K8022" t="str">
        <f>""</f>
        <v/>
      </c>
      <c r="M8022" t="s">
        <v>68</v>
      </c>
      <c r="N8022" t="str">
        <f t="shared" si="789"/>
        <v>FOR</v>
      </c>
      <c r="O8022" t="s">
        <v>69</v>
      </c>
      <c r="P8022" s="3" t="s">
        <v>75</v>
      </c>
      <c r="Q8022">
        <v>2016</v>
      </c>
      <c r="R8022" s="2">
        <v>42521</v>
      </c>
      <c r="S8022" s="2">
        <v>42527</v>
      </c>
      <c r="T8022" s="2">
        <v>42521</v>
      </c>
      <c r="U8022" s="2">
        <v>42581</v>
      </c>
      <c r="V8022" t="s">
        <v>71</v>
      </c>
      <c r="W8022" t="str">
        <f>"                  72"</f>
        <v xml:space="preserve">                  72</v>
      </c>
      <c r="X8022" s="1">
        <v>5429</v>
      </c>
      <c r="Y8022">
        <v>0</v>
      </c>
      <c r="Z8022" s="5">
        <v>4450</v>
      </c>
      <c r="AA8022">
        <v>65</v>
      </c>
      <c r="AB8022" s="5">
        <v>289250</v>
      </c>
      <c r="AC8022" s="1">
        <v>4450</v>
      </c>
      <c r="AD8022">
        <v>65</v>
      </c>
      <c r="AE8022" s="1">
        <v>289250</v>
      </c>
      <c r="AF8022">
        <v>0</v>
      </c>
      <c r="AJ8022">
        <v>0</v>
      </c>
      <c r="AK8022">
        <v>0</v>
      </c>
      <c r="AL8022">
        <v>0</v>
      </c>
      <c r="AM8022" s="1">
        <v>5429</v>
      </c>
      <c r="AN8022" s="1">
        <v>5429</v>
      </c>
      <c r="AO8022" s="1">
        <v>5429</v>
      </c>
      <c r="AP8022" s="2">
        <v>42746</v>
      </c>
      <c r="AQ8022" t="s">
        <v>72</v>
      </c>
      <c r="AR8022" t="s">
        <v>72</v>
      </c>
      <c r="AS8022">
        <v>2560</v>
      </c>
      <c r="AT8022" s="4">
        <v>42646</v>
      </c>
      <c r="AU8022" t="s">
        <v>73</v>
      </c>
      <c r="AV8022">
        <v>2560</v>
      </c>
      <c r="AW8022" s="4">
        <v>42646</v>
      </c>
      <c r="BD8022">
        <v>0</v>
      </c>
      <c r="BN8022" t="s">
        <v>74</v>
      </c>
    </row>
    <row r="8023" spans="1:66">
      <c r="A8023">
        <v>104560</v>
      </c>
      <c r="B8023" s="3" t="s">
        <v>676</v>
      </c>
      <c r="C8023" s="1">
        <v>43300101</v>
      </c>
      <c r="D8023" t="s">
        <v>67</v>
      </c>
      <c r="H8023" t="str">
        <f t="shared" si="788"/>
        <v>02504501210</v>
      </c>
      <c r="I8023" t="str">
        <f t="shared" si="788"/>
        <v>02504501210</v>
      </c>
      <c r="K8023" t="str">
        <f>""</f>
        <v/>
      </c>
      <c r="M8023" t="s">
        <v>68</v>
      </c>
      <c r="N8023" t="str">
        <f t="shared" si="789"/>
        <v>FOR</v>
      </c>
      <c r="O8023" t="s">
        <v>69</v>
      </c>
      <c r="P8023" s="3" t="s">
        <v>75</v>
      </c>
      <c r="Q8023">
        <v>2016</v>
      </c>
      <c r="R8023" s="2">
        <v>42551</v>
      </c>
      <c r="S8023" s="2">
        <v>42552</v>
      </c>
      <c r="T8023" s="2">
        <v>42551</v>
      </c>
      <c r="U8023" s="2">
        <v>42611</v>
      </c>
      <c r="V8023" t="s">
        <v>71</v>
      </c>
      <c r="W8023" t="str">
        <f>"                  85"</f>
        <v xml:space="preserve">                  85</v>
      </c>
      <c r="X8023" s="1">
        <v>1831.22</v>
      </c>
      <c r="Y8023">
        <v>0</v>
      </c>
      <c r="Z8023" s="5">
        <v>1501</v>
      </c>
      <c r="AA8023">
        <v>72</v>
      </c>
      <c r="AB8023" s="5">
        <v>108072</v>
      </c>
      <c r="AC8023" s="1">
        <v>1501</v>
      </c>
      <c r="AD8023">
        <v>72</v>
      </c>
      <c r="AE8023" s="1">
        <v>108072</v>
      </c>
      <c r="AF8023">
        <v>0</v>
      </c>
      <c r="AJ8023">
        <v>0</v>
      </c>
      <c r="AK8023">
        <v>0</v>
      </c>
      <c r="AL8023">
        <v>0</v>
      </c>
      <c r="AM8023" s="1">
        <v>1831.22</v>
      </c>
      <c r="AN8023" s="1">
        <v>1831.22</v>
      </c>
      <c r="AO8023" s="1">
        <v>1831.22</v>
      </c>
      <c r="AP8023" s="2">
        <v>42746</v>
      </c>
      <c r="AQ8023" t="s">
        <v>72</v>
      </c>
      <c r="AR8023" t="s">
        <v>72</v>
      </c>
      <c r="AS8023">
        <v>3023</v>
      </c>
      <c r="AT8023" s="4">
        <v>42683</v>
      </c>
      <c r="AU8023" t="s">
        <v>73</v>
      </c>
      <c r="AV8023">
        <v>3023</v>
      </c>
      <c r="AW8023" s="4">
        <v>42683</v>
      </c>
      <c r="BD8023">
        <v>0</v>
      </c>
      <c r="BN8023" t="s">
        <v>74</v>
      </c>
    </row>
    <row r="8024" spans="1:66">
      <c r="A8024">
        <v>104560</v>
      </c>
      <c r="B8024" s="3" t="s">
        <v>676</v>
      </c>
      <c r="C8024" s="1">
        <v>43300101</v>
      </c>
      <c r="D8024" t="s">
        <v>67</v>
      </c>
      <c r="H8024" t="str">
        <f t="shared" ref="H8024:I8036" si="790">"02504501210"</f>
        <v>02504501210</v>
      </c>
      <c r="I8024" t="str">
        <f t="shared" si="790"/>
        <v>02504501210</v>
      </c>
      <c r="K8024" t="str">
        <f>""</f>
        <v/>
      </c>
      <c r="M8024" t="s">
        <v>68</v>
      </c>
      <c r="N8024" t="str">
        <f t="shared" si="789"/>
        <v>FOR</v>
      </c>
      <c r="O8024" t="s">
        <v>69</v>
      </c>
      <c r="P8024" s="3" t="s">
        <v>75</v>
      </c>
      <c r="Q8024">
        <v>2016</v>
      </c>
      <c r="R8024" s="2">
        <v>42551</v>
      </c>
      <c r="S8024" s="2">
        <v>42552</v>
      </c>
      <c r="T8024" s="2">
        <v>42551</v>
      </c>
      <c r="U8024" s="2">
        <v>42611</v>
      </c>
      <c r="V8024" t="s">
        <v>71</v>
      </c>
      <c r="W8024" t="str">
        <f>"                  86"</f>
        <v xml:space="preserve">                  86</v>
      </c>
      <c r="X8024">
        <v>472.14</v>
      </c>
      <c r="Y8024">
        <v>0</v>
      </c>
      <c r="Z8024" s="3">
        <v>387</v>
      </c>
      <c r="AA8024">
        <v>72</v>
      </c>
      <c r="AB8024" s="5">
        <v>27864</v>
      </c>
      <c r="AC8024">
        <v>387</v>
      </c>
      <c r="AD8024">
        <v>72</v>
      </c>
      <c r="AE8024" s="1">
        <v>27864</v>
      </c>
      <c r="AF8024">
        <v>0</v>
      </c>
      <c r="AJ8024">
        <v>0</v>
      </c>
      <c r="AK8024">
        <v>0</v>
      </c>
      <c r="AL8024">
        <v>0</v>
      </c>
      <c r="AM8024">
        <v>472.14</v>
      </c>
      <c r="AN8024">
        <v>472.14</v>
      </c>
      <c r="AO8024">
        <v>472.14</v>
      </c>
      <c r="AP8024" s="2">
        <v>42746</v>
      </c>
      <c r="AQ8024" t="s">
        <v>72</v>
      </c>
      <c r="AR8024" t="s">
        <v>72</v>
      </c>
      <c r="AS8024">
        <v>3023</v>
      </c>
      <c r="AT8024" s="4">
        <v>42683</v>
      </c>
      <c r="AU8024" t="s">
        <v>73</v>
      </c>
      <c r="AV8024">
        <v>3023</v>
      </c>
      <c r="AW8024" s="4">
        <v>42683</v>
      </c>
      <c r="BD8024">
        <v>0</v>
      </c>
      <c r="BN8024" t="s">
        <v>74</v>
      </c>
    </row>
    <row r="8025" spans="1:66">
      <c r="A8025">
        <v>104560</v>
      </c>
      <c r="B8025" s="3" t="s">
        <v>676</v>
      </c>
      <c r="C8025" s="1">
        <v>43300101</v>
      </c>
      <c r="D8025" t="s">
        <v>67</v>
      </c>
      <c r="H8025" t="str">
        <f t="shared" si="790"/>
        <v>02504501210</v>
      </c>
      <c r="I8025" t="str">
        <f t="shared" si="790"/>
        <v>02504501210</v>
      </c>
      <c r="K8025" t="str">
        <f>""</f>
        <v/>
      </c>
      <c r="M8025" t="s">
        <v>68</v>
      </c>
      <c r="N8025" t="str">
        <f t="shared" si="789"/>
        <v>FOR</v>
      </c>
      <c r="O8025" t="s">
        <v>69</v>
      </c>
      <c r="P8025" s="3" t="s">
        <v>75</v>
      </c>
      <c r="Q8025">
        <v>2016</v>
      </c>
      <c r="R8025" s="2">
        <v>42551</v>
      </c>
      <c r="S8025" s="2">
        <v>42552</v>
      </c>
      <c r="T8025" s="2">
        <v>42551</v>
      </c>
      <c r="U8025" s="2">
        <v>42611</v>
      </c>
      <c r="V8025" t="s">
        <v>71</v>
      </c>
      <c r="W8025" t="str">
        <f>"                  87"</f>
        <v xml:space="preserve">                  87</v>
      </c>
      <c r="X8025" s="1">
        <v>1448.75</v>
      </c>
      <c r="Y8025">
        <v>0</v>
      </c>
      <c r="Z8025" s="5">
        <v>1187.5</v>
      </c>
      <c r="AA8025">
        <v>72</v>
      </c>
      <c r="AB8025" s="5">
        <v>85500</v>
      </c>
      <c r="AC8025" s="1">
        <v>1187.5</v>
      </c>
      <c r="AD8025">
        <v>72</v>
      </c>
      <c r="AE8025" s="1">
        <v>85500</v>
      </c>
      <c r="AF8025">
        <v>0</v>
      </c>
      <c r="AJ8025">
        <v>0</v>
      </c>
      <c r="AK8025">
        <v>0</v>
      </c>
      <c r="AL8025">
        <v>0</v>
      </c>
      <c r="AM8025" s="1">
        <v>1448.75</v>
      </c>
      <c r="AN8025" s="1">
        <v>1448.75</v>
      </c>
      <c r="AO8025" s="1">
        <v>1448.75</v>
      </c>
      <c r="AP8025" s="2">
        <v>42746</v>
      </c>
      <c r="AQ8025" t="s">
        <v>72</v>
      </c>
      <c r="AR8025" t="s">
        <v>72</v>
      </c>
      <c r="AS8025">
        <v>3023</v>
      </c>
      <c r="AT8025" s="4">
        <v>42683</v>
      </c>
      <c r="AU8025" t="s">
        <v>73</v>
      </c>
      <c r="AV8025">
        <v>3023</v>
      </c>
      <c r="AW8025" s="4">
        <v>42683</v>
      </c>
      <c r="BD8025">
        <v>0</v>
      </c>
      <c r="BN8025" t="s">
        <v>74</v>
      </c>
    </row>
    <row r="8026" spans="1:66">
      <c r="A8026">
        <v>104560</v>
      </c>
      <c r="B8026" s="3" t="s">
        <v>676</v>
      </c>
      <c r="C8026" s="1">
        <v>43300101</v>
      </c>
      <c r="D8026" t="s">
        <v>67</v>
      </c>
      <c r="H8026" t="str">
        <f t="shared" si="790"/>
        <v>02504501210</v>
      </c>
      <c r="I8026" t="str">
        <f t="shared" si="790"/>
        <v>02504501210</v>
      </c>
      <c r="K8026" t="str">
        <f>""</f>
        <v/>
      </c>
      <c r="M8026" t="s">
        <v>68</v>
      </c>
      <c r="N8026" t="str">
        <f t="shared" si="789"/>
        <v>FOR</v>
      </c>
      <c r="O8026" t="s">
        <v>69</v>
      </c>
      <c r="P8026" s="3" t="s">
        <v>75</v>
      </c>
      <c r="Q8026">
        <v>2016</v>
      </c>
      <c r="R8026" s="2">
        <v>42551</v>
      </c>
      <c r="S8026" s="2">
        <v>42552</v>
      </c>
      <c r="T8026" s="2">
        <v>42551</v>
      </c>
      <c r="U8026" s="2">
        <v>42611</v>
      </c>
      <c r="V8026" t="s">
        <v>71</v>
      </c>
      <c r="W8026" t="str">
        <f>"                  88"</f>
        <v xml:space="preserve">                  88</v>
      </c>
      <c r="X8026">
        <v>530.70000000000005</v>
      </c>
      <c r="Y8026">
        <v>0</v>
      </c>
      <c r="Z8026" s="3">
        <v>435</v>
      </c>
      <c r="AA8026">
        <v>72</v>
      </c>
      <c r="AB8026" s="5">
        <v>31320</v>
      </c>
      <c r="AC8026">
        <v>435</v>
      </c>
      <c r="AD8026">
        <v>72</v>
      </c>
      <c r="AE8026" s="1">
        <v>31320</v>
      </c>
      <c r="AF8026">
        <v>0</v>
      </c>
      <c r="AJ8026">
        <v>0</v>
      </c>
      <c r="AK8026">
        <v>0</v>
      </c>
      <c r="AL8026">
        <v>0</v>
      </c>
      <c r="AM8026">
        <v>530.70000000000005</v>
      </c>
      <c r="AN8026">
        <v>530.70000000000005</v>
      </c>
      <c r="AO8026">
        <v>530.70000000000005</v>
      </c>
      <c r="AP8026" s="2">
        <v>42746</v>
      </c>
      <c r="AQ8026" t="s">
        <v>72</v>
      </c>
      <c r="AR8026" t="s">
        <v>72</v>
      </c>
      <c r="AS8026">
        <v>3023</v>
      </c>
      <c r="AT8026" s="4">
        <v>42683</v>
      </c>
      <c r="AU8026" t="s">
        <v>73</v>
      </c>
      <c r="AV8026">
        <v>3023</v>
      </c>
      <c r="AW8026" s="4">
        <v>42683</v>
      </c>
      <c r="BD8026">
        <v>0</v>
      </c>
      <c r="BN8026" t="s">
        <v>74</v>
      </c>
    </row>
    <row r="8027" spans="1:66">
      <c r="A8027">
        <v>104560</v>
      </c>
      <c r="B8027" s="3" t="s">
        <v>676</v>
      </c>
      <c r="C8027" s="1">
        <v>43300101</v>
      </c>
      <c r="D8027" t="s">
        <v>67</v>
      </c>
      <c r="H8027" t="str">
        <f t="shared" si="790"/>
        <v>02504501210</v>
      </c>
      <c r="I8027" t="str">
        <f t="shared" si="790"/>
        <v>02504501210</v>
      </c>
      <c r="K8027" t="str">
        <f>""</f>
        <v/>
      </c>
      <c r="M8027" t="s">
        <v>68</v>
      </c>
      <c r="N8027" t="str">
        <f t="shared" si="789"/>
        <v>FOR</v>
      </c>
      <c r="O8027" t="s">
        <v>69</v>
      </c>
      <c r="P8027" s="3" t="s">
        <v>75</v>
      </c>
      <c r="Q8027">
        <v>2016</v>
      </c>
      <c r="R8027" s="2">
        <v>42551</v>
      </c>
      <c r="S8027" s="2">
        <v>42552</v>
      </c>
      <c r="T8027" s="2">
        <v>42551</v>
      </c>
      <c r="U8027" s="2">
        <v>42611</v>
      </c>
      <c r="V8027" t="s">
        <v>71</v>
      </c>
      <c r="W8027" t="str">
        <f>"                  89"</f>
        <v xml:space="preserve">                  89</v>
      </c>
      <c r="X8027" s="1">
        <v>1789.35</v>
      </c>
      <c r="Y8027">
        <v>0</v>
      </c>
      <c r="Z8027" s="5">
        <v>1466.68</v>
      </c>
      <c r="AA8027">
        <v>72</v>
      </c>
      <c r="AB8027" s="5">
        <v>105600.96000000001</v>
      </c>
      <c r="AC8027" s="1">
        <v>1466.68</v>
      </c>
      <c r="AD8027">
        <v>72</v>
      </c>
      <c r="AE8027" s="1">
        <v>105600.96000000001</v>
      </c>
      <c r="AF8027">
        <v>0</v>
      </c>
      <c r="AJ8027">
        <v>0</v>
      </c>
      <c r="AK8027">
        <v>0</v>
      </c>
      <c r="AL8027">
        <v>0</v>
      </c>
      <c r="AM8027" s="1">
        <v>1789.35</v>
      </c>
      <c r="AN8027" s="1">
        <v>1789.35</v>
      </c>
      <c r="AO8027" s="1">
        <v>1789.35</v>
      </c>
      <c r="AP8027" s="2">
        <v>42746</v>
      </c>
      <c r="AQ8027" t="s">
        <v>72</v>
      </c>
      <c r="AR8027" t="s">
        <v>72</v>
      </c>
      <c r="AS8027">
        <v>3023</v>
      </c>
      <c r="AT8027" s="4">
        <v>42683</v>
      </c>
      <c r="AU8027" t="s">
        <v>73</v>
      </c>
      <c r="AV8027">
        <v>3023</v>
      </c>
      <c r="AW8027" s="4">
        <v>42683</v>
      </c>
      <c r="BD8027">
        <v>0</v>
      </c>
      <c r="BN8027" t="s">
        <v>74</v>
      </c>
    </row>
    <row r="8028" spans="1:66">
      <c r="A8028">
        <v>104560</v>
      </c>
      <c r="B8028" s="3" t="s">
        <v>676</v>
      </c>
      <c r="C8028" s="1">
        <v>43300101</v>
      </c>
      <c r="D8028" t="s">
        <v>67</v>
      </c>
      <c r="H8028" t="str">
        <f t="shared" si="790"/>
        <v>02504501210</v>
      </c>
      <c r="I8028" t="str">
        <f t="shared" si="790"/>
        <v>02504501210</v>
      </c>
      <c r="K8028" t="str">
        <f>""</f>
        <v/>
      </c>
      <c r="M8028" t="s">
        <v>68</v>
      </c>
      <c r="N8028" t="str">
        <f t="shared" si="789"/>
        <v>FOR</v>
      </c>
      <c r="O8028" t="s">
        <v>69</v>
      </c>
      <c r="P8028" s="3" t="s">
        <v>75</v>
      </c>
      <c r="Q8028">
        <v>2016</v>
      </c>
      <c r="R8028" s="2">
        <v>42581</v>
      </c>
      <c r="S8028" s="2">
        <v>42584</v>
      </c>
      <c r="T8028" s="2">
        <v>42583</v>
      </c>
      <c r="U8028" s="2">
        <v>42643</v>
      </c>
      <c r="V8028" t="s">
        <v>71</v>
      </c>
      <c r="W8028" t="str">
        <f>"                  98"</f>
        <v xml:space="preserve">                  98</v>
      </c>
      <c r="X8028" s="1">
        <v>1831.22</v>
      </c>
      <c r="Y8028">
        <v>0</v>
      </c>
      <c r="Z8028" s="5">
        <v>1501</v>
      </c>
      <c r="AA8028">
        <v>76</v>
      </c>
      <c r="AB8028" s="5">
        <v>114076</v>
      </c>
      <c r="AC8028" s="1">
        <v>1501</v>
      </c>
      <c r="AD8028">
        <v>76</v>
      </c>
      <c r="AE8028" s="1">
        <v>114076</v>
      </c>
      <c r="AF8028">
        <v>330.22</v>
      </c>
      <c r="AJ8028">
        <v>0</v>
      </c>
      <c r="AK8028">
        <v>0</v>
      </c>
      <c r="AL8028">
        <v>0</v>
      </c>
      <c r="AM8028" s="1">
        <v>1831.22</v>
      </c>
      <c r="AN8028" s="1">
        <v>1831.22</v>
      </c>
      <c r="AO8028" s="1">
        <v>1831.22</v>
      </c>
      <c r="AP8028" s="2">
        <v>42746</v>
      </c>
      <c r="AQ8028" t="s">
        <v>72</v>
      </c>
      <c r="AR8028" t="s">
        <v>72</v>
      </c>
      <c r="AS8028">
        <v>3518</v>
      </c>
      <c r="AT8028" s="4">
        <v>42719</v>
      </c>
      <c r="AU8028" t="s">
        <v>73</v>
      </c>
      <c r="AV8028">
        <v>3518</v>
      </c>
      <c r="AW8028" s="4">
        <v>42719</v>
      </c>
      <c r="BA8028">
        <v>330.22</v>
      </c>
      <c r="BD8028">
        <v>0</v>
      </c>
      <c r="BN8028" t="s">
        <v>74</v>
      </c>
    </row>
    <row r="8029" spans="1:66">
      <c r="A8029">
        <v>104560</v>
      </c>
      <c r="B8029" s="3" t="s">
        <v>676</v>
      </c>
      <c r="C8029" s="1">
        <v>43300101</v>
      </c>
      <c r="D8029" t="s">
        <v>67</v>
      </c>
      <c r="H8029" t="str">
        <f t="shared" si="790"/>
        <v>02504501210</v>
      </c>
      <c r="I8029" t="str">
        <f t="shared" si="790"/>
        <v>02504501210</v>
      </c>
      <c r="K8029" t="str">
        <f>""</f>
        <v/>
      </c>
      <c r="M8029" t="s">
        <v>68</v>
      </c>
      <c r="N8029" t="str">
        <f t="shared" si="789"/>
        <v>FOR</v>
      </c>
      <c r="O8029" t="s">
        <v>69</v>
      </c>
      <c r="P8029" s="3" t="s">
        <v>75</v>
      </c>
      <c r="Q8029">
        <v>2016</v>
      </c>
      <c r="R8029" s="2">
        <v>42581</v>
      </c>
      <c r="S8029" s="2">
        <v>42584</v>
      </c>
      <c r="T8029" s="2">
        <v>42583</v>
      </c>
      <c r="U8029" s="2">
        <v>42643</v>
      </c>
      <c r="V8029" t="s">
        <v>71</v>
      </c>
      <c r="W8029" t="str">
        <f>"                  99"</f>
        <v xml:space="preserve">                  99</v>
      </c>
      <c r="X8029">
        <v>472.14</v>
      </c>
      <c r="Y8029">
        <v>0</v>
      </c>
      <c r="Z8029" s="3">
        <v>387</v>
      </c>
      <c r="AA8029">
        <v>76</v>
      </c>
      <c r="AB8029" s="5">
        <v>29412</v>
      </c>
      <c r="AC8029">
        <v>387</v>
      </c>
      <c r="AD8029">
        <v>76</v>
      </c>
      <c r="AE8029" s="1">
        <v>29412</v>
      </c>
      <c r="AF8029">
        <v>85.14</v>
      </c>
      <c r="AJ8029">
        <v>0</v>
      </c>
      <c r="AK8029">
        <v>0</v>
      </c>
      <c r="AL8029">
        <v>0</v>
      </c>
      <c r="AM8029">
        <v>472.14</v>
      </c>
      <c r="AN8029">
        <v>472.14</v>
      </c>
      <c r="AO8029">
        <v>472.14</v>
      </c>
      <c r="AP8029" s="2">
        <v>42746</v>
      </c>
      <c r="AQ8029" t="s">
        <v>72</v>
      </c>
      <c r="AR8029" t="s">
        <v>72</v>
      </c>
      <c r="AS8029">
        <v>3518</v>
      </c>
      <c r="AT8029" s="4">
        <v>42719</v>
      </c>
      <c r="AU8029" t="s">
        <v>73</v>
      </c>
      <c r="AV8029">
        <v>3518</v>
      </c>
      <c r="AW8029" s="4">
        <v>42719</v>
      </c>
      <c r="BA8029">
        <v>85.14</v>
      </c>
      <c r="BD8029">
        <v>0</v>
      </c>
      <c r="BN8029" t="s">
        <v>74</v>
      </c>
    </row>
    <row r="8030" spans="1:66">
      <c r="A8030">
        <v>104560</v>
      </c>
      <c r="B8030" s="3" t="s">
        <v>676</v>
      </c>
      <c r="C8030" s="1">
        <v>43300101</v>
      </c>
      <c r="D8030" t="s">
        <v>67</v>
      </c>
      <c r="H8030" t="str">
        <f t="shared" si="790"/>
        <v>02504501210</v>
      </c>
      <c r="I8030" t="str">
        <f t="shared" si="790"/>
        <v>02504501210</v>
      </c>
      <c r="K8030" t="str">
        <f>""</f>
        <v/>
      </c>
      <c r="M8030" t="s">
        <v>68</v>
      </c>
      <c r="N8030" t="str">
        <f t="shared" si="789"/>
        <v>FOR</v>
      </c>
      <c r="O8030" t="s">
        <v>69</v>
      </c>
      <c r="P8030" s="3" t="s">
        <v>75</v>
      </c>
      <c r="Q8030">
        <v>2016</v>
      </c>
      <c r="R8030" s="2">
        <v>42581</v>
      </c>
      <c r="S8030" s="2">
        <v>42584</v>
      </c>
      <c r="T8030" s="2">
        <v>42583</v>
      </c>
      <c r="U8030" s="2">
        <v>42643</v>
      </c>
      <c r="V8030" t="s">
        <v>71</v>
      </c>
      <c r="W8030" t="str">
        <f>"                 100"</f>
        <v xml:space="preserve">                 100</v>
      </c>
      <c r="X8030" s="1">
        <v>1448.75</v>
      </c>
      <c r="Y8030">
        <v>0</v>
      </c>
      <c r="Z8030" s="5">
        <v>1187.5</v>
      </c>
      <c r="AA8030">
        <v>76</v>
      </c>
      <c r="AB8030" s="5">
        <v>90250</v>
      </c>
      <c r="AC8030" s="1">
        <v>1187.5</v>
      </c>
      <c r="AD8030">
        <v>76</v>
      </c>
      <c r="AE8030" s="1">
        <v>90250</v>
      </c>
      <c r="AF8030">
        <v>261.25</v>
      </c>
      <c r="AJ8030">
        <v>0</v>
      </c>
      <c r="AK8030">
        <v>0</v>
      </c>
      <c r="AL8030">
        <v>0</v>
      </c>
      <c r="AM8030" s="1">
        <v>1448.75</v>
      </c>
      <c r="AN8030" s="1">
        <v>1448.75</v>
      </c>
      <c r="AO8030" s="1">
        <v>1448.75</v>
      </c>
      <c r="AP8030" s="2">
        <v>42746</v>
      </c>
      <c r="AQ8030" t="s">
        <v>72</v>
      </c>
      <c r="AR8030" t="s">
        <v>72</v>
      </c>
      <c r="AS8030">
        <v>3518</v>
      </c>
      <c r="AT8030" s="4">
        <v>42719</v>
      </c>
      <c r="AU8030" t="s">
        <v>73</v>
      </c>
      <c r="AV8030">
        <v>3518</v>
      </c>
      <c r="AW8030" s="4">
        <v>42719</v>
      </c>
      <c r="BA8030">
        <v>261.25</v>
      </c>
      <c r="BD8030">
        <v>0</v>
      </c>
      <c r="BN8030" t="s">
        <v>74</v>
      </c>
    </row>
    <row r="8031" spans="1:66">
      <c r="A8031">
        <v>104560</v>
      </c>
      <c r="B8031" s="3" t="s">
        <v>676</v>
      </c>
      <c r="C8031" s="1">
        <v>43300101</v>
      </c>
      <c r="D8031" t="s">
        <v>67</v>
      </c>
      <c r="H8031" t="str">
        <f t="shared" si="790"/>
        <v>02504501210</v>
      </c>
      <c r="I8031" t="str">
        <f t="shared" si="790"/>
        <v>02504501210</v>
      </c>
      <c r="K8031" t="str">
        <f>""</f>
        <v/>
      </c>
      <c r="M8031" t="s">
        <v>68</v>
      </c>
      <c r="N8031" t="str">
        <f t="shared" si="789"/>
        <v>FOR</v>
      </c>
      <c r="O8031" t="s">
        <v>69</v>
      </c>
      <c r="P8031" s="3" t="s">
        <v>75</v>
      </c>
      <c r="Q8031">
        <v>2016</v>
      </c>
      <c r="R8031" s="2">
        <v>42581</v>
      </c>
      <c r="S8031" s="2">
        <v>42585</v>
      </c>
      <c r="T8031" s="2">
        <v>42584</v>
      </c>
      <c r="U8031" s="2">
        <v>42644</v>
      </c>
      <c r="V8031" t="s">
        <v>71</v>
      </c>
      <c r="W8031" t="str">
        <f>"                 101"</f>
        <v xml:space="preserve">                 101</v>
      </c>
      <c r="X8031">
        <v>176.9</v>
      </c>
      <c r="Y8031">
        <v>0</v>
      </c>
      <c r="Z8031" s="3">
        <v>145</v>
      </c>
      <c r="AA8031">
        <v>75</v>
      </c>
      <c r="AB8031" s="5">
        <v>10875</v>
      </c>
      <c r="AC8031">
        <v>145</v>
      </c>
      <c r="AD8031">
        <v>75</v>
      </c>
      <c r="AE8031" s="1">
        <v>10875</v>
      </c>
      <c r="AF8031">
        <v>31.9</v>
      </c>
      <c r="AJ8031">
        <v>0</v>
      </c>
      <c r="AK8031">
        <v>0</v>
      </c>
      <c r="AL8031">
        <v>0</v>
      </c>
      <c r="AM8031">
        <v>176.9</v>
      </c>
      <c r="AN8031">
        <v>176.9</v>
      </c>
      <c r="AO8031">
        <v>176.9</v>
      </c>
      <c r="AP8031" s="2">
        <v>42746</v>
      </c>
      <c r="AQ8031" t="s">
        <v>72</v>
      </c>
      <c r="AR8031" t="s">
        <v>72</v>
      </c>
      <c r="AS8031">
        <v>3518</v>
      </c>
      <c r="AT8031" s="4">
        <v>42719</v>
      </c>
      <c r="AU8031" t="s">
        <v>73</v>
      </c>
      <c r="AV8031">
        <v>3518</v>
      </c>
      <c r="AW8031" s="4">
        <v>42719</v>
      </c>
      <c r="AZ8031">
        <v>31.9</v>
      </c>
      <c r="BD8031">
        <v>0</v>
      </c>
      <c r="BN8031" t="s">
        <v>74</v>
      </c>
    </row>
    <row r="8032" spans="1:66">
      <c r="A8032">
        <v>104560</v>
      </c>
      <c r="B8032" s="3" t="s">
        <v>676</v>
      </c>
      <c r="C8032" s="1">
        <v>43300101</v>
      </c>
      <c r="D8032" t="s">
        <v>67</v>
      </c>
      <c r="H8032" t="str">
        <f t="shared" si="790"/>
        <v>02504501210</v>
      </c>
      <c r="I8032" t="str">
        <f t="shared" si="790"/>
        <v>02504501210</v>
      </c>
      <c r="K8032" t="str">
        <f>""</f>
        <v/>
      </c>
      <c r="M8032" t="s">
        <v>68</v>
      </c>
      <c r="N8032" t="str">
        <f t="shared" si="789"/>
        <v>FOR</v>
      </c>
      <c r="O8032" t="s">
        <v>69</v>
      </c>
      <c r="P8032" s="3" t="s">
        <v>75</v>
      </c>
      <c r="Q8032">
        <v>2016</v>
      </c>
      <c r="R8032" s="2">
        <v>42581</v>
      </c>
      <c r="S8032" s="2">
        <v>42584</v>
      </c>
      <c r="T8032" s="2">
        <v>42583</v>
      </c>
      <c r="U8032" s="2">
        <v>42643</v>
      </c>
      <c r="V8032" t="s">
        <v>71</v>
      </c>
      <c r="W8032" t="str">
        <f>"                 102"</f>
        <v xml:space="preserve">                 102</v>
      </c>
      <c r="X8032" s="1">
        <v>7900.72</v>
      </c>
      <c r="Y8032">
        <v>0</v>
      </c>
      <c r="Z8032" s="5">
        <v>6476</v>
      </c>
      <c r="AA8032">
        <v>76</v>
      </c>
      <c r="AB8032" s="5">
        <v>492176</v>
      </c>
      <c r="AC8032" s="1">
        <v>6476</v>
      </c>
      <c r="AD8032">
        <v>76</v>
      </c>
      <c r="AE8032" s="1">
        <v>492176</v>
      </c>
      <c r="AF8032" s="1">
        <v>1424.72</v>
      </c>
      <c r="AJ8032">
        <v>0</v>
      </c>
      <c r="AK8032">
        <v>0</v>
      </c>
      <c r="AL8032">
        <v>0</v>
      </c>
      <c r="AM8032" s="1">
        <v>7900.72</v>
      </c>
      <c r="AN8032" s="1">
        <v>7900.72</v>
      </c>
      <c r="AO8032" s="1">
        <v>7900.72</v>
      </c>
      <c r="AP8032" s="2">
        <v>42746</v>
      </c>
      <c r="AQ8032" t="s">
        <v>72</v>
      </c>
      <c r="AR8032" t="s">
        <v>72</v>
      </c>
      <c r="AS8032">
        <v>3518</v>
      </c>
      <c r="AT8032" s="4">
        <v>42719</v>
      </c>
      <c r="AU8032" t="s">
        <v>73</v>
      </c>
      <c r="AV8032">
        <v>3518</v>
      </c>
      <c r="AW8032" s="4">
        <v>42719</v>
      </c>
      <c r="BA8032" s="1">
        <v>1424.72</v>
      </c>
      <c r="BD8032">
        <v>0</v>
      </c>
      <c r="BN8032" t="s">
        <v>74</v>
      </c>
    </row>
    <row r="8033" spans="1:66">
      <c r="A8033">
        <v>104560</v>
      </c>
      <c r="B8033" s="3" t="s">
        <v>676</v>
      </c>
      <c r="C8033" s="1">
        <v>43300101</v>
      </c>
      <c r="D8033" t="s">
        <v>67</v>
      </c>
      <c r="H8033" t="str">
        <f t="shared" si="790"/>
        <v>02504501210</v>
      </c>
      <c r="I8033" t="str">
        <f t="shared" si="790"/>
        <v>02504501210</v>
      </c>
      <c r="K8033" t="str">
        <f>""</f>
        <v/>
      </c>
      <c r="M8033" t="s">
        <v>68</v>
      </c>
      <c r="N8033" t="str">
        <f t="shared" si="789"/>
        <v>FOR</v>
      </c>
      <c r="O8033" t="s">
        <v>69</v>
      </c>
      <c r="P8033" s="3" t="s">
        <v>75</v>
      </c>
      <c r="Q8033">
        <v>2016</v>
      </c>
      <c r="R8033" s="2">
        <v>42581</v>
      </c>
      <c r="S8033" s="2">
        <v>42585</v>
      </c>
      <c r="T8033" s="2">
        <v>42584</v>
      </c>
      <c r="U8033" s="2">
        <v>42644</v>
      </c>
      <c r="V8033" t="s">
        <v>71</v>
      </c>
      <c r="W8033" t="str">
        <f>"                 103"</f>
        <v xml:space="preserve">                 103</v>
      </c>
      <c r="X8033">
        <v>610</v>
      </c>
      <c r="Y8033">
        <v>0</v>
      </c>
      <c r="Z8033" s="3">
        <v>500</v>
      </c>
      <c r="AA8033">
        <v>75</v>
      </c>
      <c r="AB8033" s="5">
        <v>37500</v>
      </c>
      <c r="AC8033">
        <v>500</v>
      </c>
      <c r="AD8033">
        <v>75</v>
      </c>
      <c r="AE8033" s="1">
        <v>37500</v>
      </c>
      <c r="AF8033">
        <v>110</v>
      </c>
      <c r="AJ8033">
        <v>0</v>
      </c>
      <c r="AK8033">
        <v>0</v>
      </c>
      <c r="AL8033">
        <v>0</v>
      </c>
      <c r="AM8033">
        <v>610</v>
      </c>
      <c r="AN8033">
        <v>610</v>
      </c>
      <c r="AO8033">
        <v>610</v>
      </c>
      <c r="AP8033" s="2">
        <v>42746</v>
      </c>
      <c r="AQ8033" t="s">
        <v>72</v>
      </c>
      <c r="AR8033" t="s">
        <v>72</v>
      </c>
      <c r="AS8033">
        <v>3518</v>
      </c>
      <c r="AT8033" s="4">
        <v>42719</v>
      </c>
      <c r="AU8033" t="s">
        <v>73</v>
      </c>
      <c r="AV8033">
        <v>3518</v>
      </c>
      <c r="AW8033" s="4">
        <v>42719</v>
      </c>
      <c r="AZ8033">
        <v>110</v>
      </c>
      <c r="BD8033">
        <v>0</v>
      </c>
      <c r="BN8033" t="s">
        <v>74</v>
      </c>
    </row>
    <row r="8034" spans="1:66">
      <c r="A8034">
        <v>104560</v>
      </c>
      <c r="B8034" s="3" t="s">
        <v>676</v>
      </c>
      <c r="C8034" s="1">
        <v>43300101</v>
      </c>
      <c r="D8034" t="s">
        <v>67</v>
      </c>
      <c r="H8034" t="str">
        <f t="shared" si="790"/>
        <v>02504501210</v>
      </c>
      <c r="I8034" t="str">
        <f t="shared" si="790"/>
        <v>02504501210</v>
      </c>
      <c r="K8034" t="str">
        <f>""</f>
        <v/>
      </c>
      <c r="M8034" t="s">
        <v>68</v>
      </c>
      <c r="N8034" t="str">
        <f t="shared" si="789"/>
        <v>FOR</v>
      </c>
      <c r="O8034" t="s">
        <v>69</v>
      </c>
      <c r="P8034" s="3" t="s">
        <v>75</v>
      </c>
      <c r="Q8034">
        <v>2016</v>
      </c>
      <c r="R8034" s="2">
        <v>42613</v>
      </c>
      <c r="S8034" s="2">
        <v>42614</v>
      </c>
      <c r="T8034" s="2">
        <v>42613</v>
      </c>
      <c r="U8034" s="2">
        <v>42673</v>
      </c>
      <c r="V8034" t="s">
        <v>71</v>
      </c>
      <c r="W8034" t="str">
        <f>"                 109"</f>
        <v xml:space="preserve">                 109</v>
      </c>
      <c r="X8034" s="1">
        <v>1831.22</v>
      </c>
      <c r="Y8034">
        <v>0</v>
      </c>
      <c r="Z8034" s="5">
        <v>1501</v>
      </c>
      <c r="AA8034">
        <v>50</v>
      </c>
      <c r="AB8034" s="5">
        <v>75050</v>
      </c>
      <c r="AC8034" s="1">
        <v>1501</v>
      </c>
      <c r="AD8034">
        <v>50</v>
      </c>
      <c r="AE8034" s="1">
        <v>75050</v>
      </c>
      <c r="AF8034">
        <v>330.22</v>
      </c>
      <c r="AJ8034">
        <v>0</v>
      </c>
      <c r="AK8034">
        <v>0</v>
      </c>
      <c r="AL8034">
        <v>0</v>
      </c>
      <c r="AM8034" s="1">
        <v>1831.22</v>
      </c>
      <c r="AN8034" s="1">
        <v>1831.22</v>
      </c>
      <c r="AO8034" s="1">
        <v>1831.22</v>
      </c>
      <c r="AP8034" s="2">
        <v>42746</v>
      </c>
      <c r="AQ8034" t="s">
        <v>72</v>
      </c>
      <c r="AR8034" t="s">
        <v>72</v>
      </c>
      <c r="AS8034">
        <v>3605</v>
      </c>
      <c r="AT8034" s="4">
        <v>42723</v>
      </c>
      <c r="AU8034" t="s">
        <v>73</v>
      </c>
      <c r="AV8034">
        <v>3605</v>
      </c>
      <c r="AW8034" s="4">
        <v>42723</v>
      </c>
      <c r="AZ8034">
        <v>330.22</v>
      </c>
      <c r="BD8034">
        <v>0</v>
      </c>
      <c r="BN8034" t="s">
        <v>74</v>
      </c>
    </row>
    <row r="8035" spans="1:66">
      <c r="A8035">
        <v>104560</v>
      </c>
      <c r="B8035" s="3" t="s">
        <v>676</v>
      </c>
      <c r="C8035" s="1">
        <v>43300101</v>
      </c>
      <c r="D8035" t="s">
        <v>67</v>
      </c>
      <c r="H8035" t="str">
        <f t="shared" si="790"/>
        <v>02504501210</v>
      </c>
      <c r="I8035" t="str">
        <f t="shared" si="790"/>
        <v>02504501210</v>
      </c>
      <c r="K8035" t="str">
        <f>""</f>
        <v/>
      </c>
      <c r="M8035" t="s">
        <v>68</v>
      </c>
      <c r="N8035" t="str">
        <f t="shared" si="789"/>
        <v>FOR</v>
      </c>
      <c r="O8035" t="s">
        <v>69</v>
      </c>
      <c r="P8035" s="3" t="s">
        <v>75</v>
      </c>
      <c r="Q8035">
        <v>2016</v>
      </c>
      <c r="R8035" s="2">
        <v>42613</v>
      </c>
      <c r="S8035" s="2">
        <v>42614</v>
      </c>
      <c r="T8035" s="2">
        <v>42613</v>
      </c>
      <c r="U8035" s="2">
        <v>42673</v>
      </c>
      <c r="V8035" t="s">
        <v>71</v>
      </c>
      <c r="W8035" t="str">
        <f>"                 110"</f>
        <v xml:space="preserve">                 110</v>
      </c>
      <c r="X8035">
        <v>472.14</v>
      </c>
      <c r="Y8035">
        <v>0</v>
      </c>
      <c r="Z8035" s="3">
        <v>387</v>
      </c>
      <c r="AA8035">
        <v>50</v>
      </c>
      <c r="AB8035" s="5">
        <v>19350</v>
      </c>
      <c r="AC8035">
        <v>387</v>
      </c>
      <c r="AD8035">
        <v>50</v>
      </c>
      <c r="AE8035" s="1">
        <v>19350</v>
      </c>
      <c r="AF8035">
        <v>85.14</v>
      </c>
      <c r="AJ8035">
        <v>0</v>
      </c>
      <c r="AK8035">
        <v>0</v>
      </c>
      <c r="AL8035">
        <v>0</v>
      </c>
      <c r="AM8035">
        <v>472.14</v>
      </c>
      <c r="AN8035">
        <v>472.14</v>
      </c>
      <c r="AO8035">
        <v>472.14</v>
      </c>
      <c r="AP8035" s="2">
        <v>42746</v>
      </c>
      <c r="AQ8035" t="s">
        <v>72</v>
      </c>
      <c r="AR8035" t="s">
        <v>72</v>
      </c>
      <c r="AS8035">
        <v>3605</v>
      </c>
      <c r="AT8035" s="4">
        <v>42723</v>
      </c>
      <c r="AU8035" t="s">
        <v>73</v>
      </c>
      <c r="AV8035">
        <v>3605</v>
      </c>
      <c r="AW8035" s="4">
        <v>42723</v>
      </c>
      <c r="AZ8035">
        <v>85.14</v>
      </c>
      <c r="BD8035">
        <v>0</v>
      </c>
      <c r="BN8035" t="s">
        <v>74</v>
      </c>
    </row>
    <row r="8036" spans="1:66">
      <c r="A8036">
        <v>104560</v>
      </c>
      <c r="B8036" s="3" t="s">
        <v>676</v>
      </c>
      <c r="C8036" s="1">
        <v>43300101</v>
      </c>
      <c r="D8036" t="s">
        <v>67</v>
      </c>
      <c r="H8036" t="str">
        <f t="shared" si="790"/>
        <v>02504501210</v>
      </c>
      <c r="I8036" t="str">
        <f t="shared" si="790"/>
        <v>02504501210</v>
      </c>
      <c r="K8036" t="str">
        <f>""</f>
        <v/>
      </c>
      <c r="M8036" t="s">
        <v>68</v>
      </c>
      <c r="N8036" t="str">
        <f t="shared" si="789"/>
        <v>FOR</v>
      </c>
      <c r="O8036" t="s">
        <v>69</v>
      </c>
      <c r="P8036" s="3" t="s">
        <v>75</v>
      </c>
      <c r="Q8036">
        <v>2016</v>
      </c>
      <c r="R8036" s="2">
        <v>42613</v>
      </c>
      <c r="S8036" s="2">
        <v>42614</v>
      </c>
      <c r="T8036" s="2">
        <v>42613</v>
      </c>
      <c r="U8036" s="2">
        <v>42673</v>
      </c>
      <c r="V8036" t="s">
        <v>71</v>
      </c>
      <c r="W8036" t="str">
        <f>"                 111"</f>
        <v xml:space="preserve">                 111</v>
      </c>
      <c r="X8036" s="1">
        <v>1448.75</v>
      </c>
      <c r="Y8036">
        <v>0</v>
      </c>
      <c r="Z8036" s="5">
        <v>1187.5</v>
      </c>
      <c r="AA8036">
        <v>50</v>
      </c>
      <c r="AB8036" s="5">
        <v>59375</v>
      </c>
      <c r="AC8036" s="1">
        <v>1187.5</v>
      </c>
      <c r="AD8036">
        <v>50</v>
      </c>
      <c r="AE8036" s="1">
        <v>59375</v>
      </c>
      <c r="AF8036">
        <v>261.25</v>
      </c>
      <c r="AJ8036">
        <v>0</v>
      </c>
      <c r="AK8036">
        <v>0</v>
      </c>
      <c r="AL8036">
        <v>0</v>
      </c>
      <c r="AM8036" s="1">
        <v>1448.75</v>
      </c>
      <c r="AN8036" s="1">
        <v>1448.75</v>
      </c>
      <c r="AO8036" s="1">
        <v>1448.75</v>
      </c>
      <c r="AP8036" s="2">
        <v>42746</v>
      </c>
      <c r="AQ8036" t="s">
        <v>72</v>
      </c>
      <c r="AR8036" t="s">
        <v>72</v>
      </c>
      <c r="AS8036">
        <v>3605</v>
      </c>
      <c r="AT8036" s="4">
        <v>42723</v>
      </c>
      <c r="AU8036" t="s">
        <v>73</v>
      </c>
      <c r="AV8036">
        <v>3605</v>
      </c>
      <c r="AW8036" s="4">
        <v>42723</v>
      </c>
      <c r="AZ8036">
        <v>261.25</v>
      </c>
      <c r="BD8036">
        <v>0</v>
      </c>
      <c r="BN8036" t="s">
        <v>74</v>
      </c>
    </row>
    <row r="8037" spans="1:66" hidden="1">
      <c r="A8037">
        <v>104563</v>
      </c>
      <c r="B8037" s="3" t="s">
        <v>677</v>
      </c>
      <c r="C8037" s="1">
        <v>43300101</v>
      </c>
      <c r="D8037" t="s">
        <v>67</v>
      </c>
      <c r="H8037" t="str">
        <f t="shared" ref="H8037:I8056" si="791">"02298700010"</f>
        <v>02298700010</v>
      </c>
      <c r="I8037" t="str">
        <f t="shared" si="791"/>
        <v>02298700010</v>
      </c>
      <c r="K8037" t="str">
        <f>""</f>
        <v/>
      </c>
      <c r="M8037" t="s">
        <v>68</v>
      </c>
      <c r="N8037" t="str">
        <f t="shared" si="789"/>
        <v>FOR</v>
      </c>
      <c r="O8037" t="s">
        <v>69</v>
      </c>
      <c r="P8037" s="3" t="s">
        <v>70</v>
      </c>
      <c r="Q8037">
        <v>2015</v>
      </c>
      <c r="R8037" s="2">
        <v>42073</v>
      </c>
      <c r="S8037" s="2">
        <v>42095</v>
      </c>
      <c r="T8037" s="2">
        <v>42095</v>
      </c>
      <c r="U8037" s="2">
        <v>42155</v>
      </c>
      <c r="V8037" t="s">
        <v>71</v>
      </c>
      <c r="W8037" t="str">
        <f>"          1135660060"</f>
        <v xml:space="preserve">          1135660060</v>
      </c>
      <c r="X8037">
        <v>253.03</v>
      </c>
      <c r="Y8037">
        <v>0</v>
      </c>
      <c r="Z8037"/>
      <c r="AB8037"/>
      <c r="AC8037">
        <v>207.4</v>
      </c>
      <c r="AD8037">
        <v>249</v>
      </c>
      <c r="AE8037" s="1">
        <v>51642.6</v>
      </c>
      <c r="AF8037">
        <v>0</v>
      </c>
      <c r="AJ8037">
        <v>0</v>
      </c>
      <c r="AK8037">
        <v>0</v>
      </c>
      <c r="AL8037">
        <v>0</v>
      </c>
      <c r="AM8037">
        <v>0</v>
      </c>
      <c r="AN8037">
        <v>0</v>
      </c>
      <c r="AO8037">
        <v>0</v>
      </c>
      <c r="AP8037" s="2">
        <v>42746</v>
      </c>
      <c r="AQ8037" t="s">
        <v>72</v>
      </c>
      <c r="AR8037" t="s">
        <v>72</v>
      </c>
      <c r="AS8037">
        <v>261</v>
      </c>
      <c r="AT8037" s="4">
        <v>42404</v>
      </c>
      <c r="AU8037" t="s">
        <v>73</v>
      </c>
      <c r="AV8037">
        <v>261</v>
      </c>
      <c r="AW8037" s="4">
        <v>42404</v>
      </c>
      <c r="BD8037">
        <v>0</v>
      </c>
      <c r="BN8037" t="s">
        <v>74</v>
      </c>
    </row>
    <row r="8038" spans="1:66" hidden="1">
      <c r="A8038">
        <v>104563</v>
      </c>
      <c r="B8038" s="3" t="s">
        <v>677</v>
      </c>
      <c r="C8038" s="1">
        <v>43300101</v>
      </c>
      <c r="D8038" t="s">
        <v>67</v>
      </c>
      <c r="H8038" t="str">
        <f t="shared" si="791"/>
        <v>02298700010</v>
      </c>
      <c r="I8038" t="str">
        <f t="shared" si="791"/>
        <v>02298700010</v>
      </c>
      <c r="K8038" t="str">
        <f>""</f>
        <v/>
      </c>
      <c r="M8038" t="s">
        <v>68</v>
      </c>
      <c r="N8038" t="str">
        <f t="shared" si="789"/>
        <v>FOR</v>
      </c>
      <c r="O8038" t="s">
        <v>69</v>
      </c>
      <c r="P8038" s="3" t="s">
        <v>70</v>
      </c>
      <c r="Q8038">
        <v>2015</v>
      </c>
      <c r="R8038" s="2">
        <v>42073</v>
      </c>
      <c r="S8038" s="2">
        <v>42089</v>
      </c>
      <c r="T8038" s="2">
        <v>42089</v>
      </c>
      <c r="U8038" s="2">
        <v>42149</v>
      </c>
      <c r="V8038" t="s">
        <v>71</v>
      </c>
      <c r="W8038" t="str">
        <f>"          1135660097"</f>
        <v xml:space="preserve">          1135660097</v>
      </c>
      <c r="X8038">
        <v>373.32</v>
      </c>
      <c r="Y8038">
        <v>0</v>
      </c>
      <c r="Z8038"/>
      <c r="AB8038"/>
      <c r="AC8038">
        <v>306</v>
      </c>
      <c r="AD8038">
        <v>255</v>
      </c>
      <c r="AE8038" s="1">
        <v>78030</v>
      </c>
      <c r="AF8038">
        <v>0</v>
      </c>
      <c r="AJ8038">
        <v>0</v>
      </c>
      <c r="AK8038">
        <v>0</v>
      </c>
      <c r="AL8038">
        <v>0</v>
      </c>
      <c r="AM8038">
        <v>0</v>
      </c>
      <c r="AN8038">
        <v>0</v>
      </c>
      <c r="AO8038">
        <v>0</v>
      </c>
      <c r="AP8038" s="2">
        <v>42746</v>
      </c>
      <c r="AQ8038" t="s">
        <v>72</v>
      </c>
      <c r="AR8038" t="s">
        <v>72</v>
      </c>
      <c r="AS8038">
        <v>261</v>
      </c>
      <c r="AT8038" s="4">
        <v>42404</v>
      </c>
      <c r="AU8038" t="s">
        <v>73</v>
      </c>
      <c r="AV8038">
        <v>261</v>
      </c>
      <c r="AW8038" s="4">
        <v>42404</v>
      </c>
      <c r="BD8038">
        <v>0</v>
      </c>
      <c r="BN8038" t="s">
        <v>74</v>
      </c>
    </row>
    <row r="8039" spans="1:66" hidden="1">
      <c r="A8039">
        <v>104563</v>
      </c>
      <c r="B8039" s="3" t="s">
        <v>677</v>
      </c>
      <c r="C8039" s="1">
        <v>43300101</v>
      </c>
      <c r="D8039" t="s">
        <v>67</v>
      </c>
      <c r="H8039" t="str">
        <f t="shared" si="791"/>
        <v>02298700010</v>
      </c>
      <c r="I8039" t="str">
        <f t="shared" si="791"/>
        <v>02298700010</v>
      </c>
      <c r="K8039" t="str">
        <f>""</f>
        <v/>
      </c>
      <c r="M8039" t="s">
        <v>68</v>
      </c>
      <c r="N8039" t="str">
        <f t="shared" si="789"/>
        <v>FOR</v>
      </c>
      <c r="O8039" t="s">
        <v>69</v>
      </c>
      <c r="P8039" s="3" t="s">
        <v>70</v>
      </c>
      <c r="Q8039">
        <v>2015</v>
      </c>
      <c r="R8039" s="2">
        <v>42073</v>
      </c>
      <c r="S8039" s="2">
        <v>42089</v>
      </c>
      <c r="T8039" s="2">
        <v>42089</v>
      </c>
      <c r="U8039" s="2">
        <v>42149</v>
      </c>
      <c r="V8039" t="s">
        <v>71</v>
      </c>
      <c r="W8039" t="str">
        <f>"          1135660162"</f>
        <v xml:space="preserve">          1135660162</v>
      </c>
      <c r="X8039">
        <v>373.32</v>
      </c>
      <c r="Y8039">
        <v>0</v>
      </c>
      <c r="Z8039"/>
      <c r="AB8039"/>
      <c r="AC8039">
        <v>306</v>
      </c>
      <c r="AD8039">
        <v>255</v>
      </c>
      <c r="AE8039" s="1">
        <v>78030</v>
      </c>
      <c r="AF8039">
        <v>0</v>
      </c>
      <c r="AJ8039">
        <v>0</v>
      </c>
      <c r="AK8039">
        <v>0</v>
      </c>
      <c r="AL8039">
        <v>0</v>
      </c>
      <c r="AM8039">
        <v>0</v>
      </c>
      <c r="AN8039">
        <v>0</v>
      </c>
      <c r="AO8039">
        <v>0</v>
      </c>
      <c r="AP8039" s="2">
        <v>42746</v>
      </c>
      <c r="AQ8039" t="s">
        <v>72</v>
      </c>
      <c r="AR8039" t="s">
        <v>72</v>
      </c>
      <c r="AS8039">
        <v>261</v>
      </c>
      <c r="AT8039" s="4">
        <v>42404</v>
      </c>
      <c r="AU8039" t="s">
        <v>73</v>
      </c>
      <c r="AV8039">
        <v>261</v>
      </c>
      <c r="AW8039" s="4">
        <v>42404</v>
      </c>
      <c r="BD8039">
        <v>0</v>
      </c>
      <c r="BN8039" t="s">
        <v>74</v>
      </c>
    </row>
    <row r="8040" spans="1:66" hidden="1">
      <c r="A8040">
        <v>104563</v>
      </c>
      <c r="B8040" s="3" t="s">
        <v>677</v>
      </c>
      <c r="C8040" s="1">
        <v>43300101</v>
      </c>
      <c r="D8040" t="s">
        <v>67</v>
      </c>
      <c r="H8040" t="str">
        <f t="shared" si="791"/>
        <v>02298700010</v>
      </c>
      <c r="I8040" t="str">
        <f t="shared" si="791"/>
        <v>02298700010</v>
      </c>
      <c r="K8040" t="str">
        <f>""</f>
        <v/>
      </c>
      <c r="M8040" t="s">
        <v>68</v>
      </c>
      <c r="N8040" t="str">
        <f t="shared" si="789"/>
        <v>FOR</v>
      </c>
      <c r="O8040" t="s">
        <v>69</v>
      </c>
      <c r="P8040" s="3" t="s">
        <v>70</v>
      </c>
      <c r="Q8040">
        <v>2015</v>
      </c>
      <c r="R8040" s="2">
        <v>42073</v>
      </c>
      <c r="S8040" s="2">
        <v>42095</v>
      </c>
      <c r="T8040" s="2">
        <v>42095</v>
      </c>
      <c r="U8040" s="2">
        <v>42155</v>
      </c>
      <c r="V8040" t="s">
        <v>71</v>
      </c>
      <c r="W8040" t="str">
        <f>"          1135900093"</f>
        <v xml:space="preserve">          1135900093</v>
      </c>
      <c r="X8040">
        <v>253.03</v>
      </c>
      <c r="Y8040">
        <v>0</v>
      </c>
      <c r="Z8040"/>
      <c r="AB8040"/>
      <c r="AC8040">
        <v>207.4</v>
      </c>
      <c r="AD8040">
        <v>249</v>
      </c>
      <c r="AE8040" s="1">
        <v>51642.6</v>
      </c>
      <c r="AF8040">
        <v>0</v>
      </c>
      <c r="AJ8040">
        <v>0</v>
      </c>
      <c r="AK8040">
        <v>0</v>
      </c>
      <c r="AL8040">
        <v>0</v>
      </c>
      <c r="AM8040">
        <v>0</v>
      </c>
      <c r="AN8040">
        <v>0</v>
      </c>
      <c r="AO8040">
        <v>0</v>
      </c>
      <c r="AP8040" s="2">
        <v>42746</v>
      </c>
      <c r="AQ8040" t="s">
        <v>72</v>
      </c>
      <c r="AR8040" t="s">
        <v>72</v>
      </c>
      <c r="AS8040">
        <v>261</v>
      </c>
      <c r="AT8040" s="4">
        <v>42404</v>
      </c>
      <c r="AU8040" t="s">
        <v>73</v>
      </c>
      <c r="AV8040">
        <v>261</v>
      </c>
      <c r="AW8040" s="4">
        <v>42404</v>
      </c>
      <c r="BD8040">
        <v>0</v>
      </c>
      <c r="BN8040" t="s">
        <v>74</v>
      </c>
    </row>
    <row r="8041" spans="1:66" hidden="1">
      <c r="A8041">
        <v>104563</v>
      </c>
      <c r="B8041" s="3" t="s">
        <v>677</v>
      </c>
      <c r="C8041" s="1">
        <v>43300101</v>
      </c>
      <c r="D8041" t="s">
        <v>67</v>
      </c>
      <c r="H8041" t="str">
        <f t="shared" si="791"/>
        <v>02298700010</v>
      </c>
      <c r="I8041" t="str">
        <f t="shared" si="791"/>
        <v>02298700010</v>
      </c>
      <c r="K8041" t="str">
        <f>""</f>
        <v/>
      </c>
      <c r="M8041" t="s">
        <v>68</v>
      </c>
      <c r="N8041" t="str">
        <f t="shared" si="789"/>
        <v>FOR</v>
      </c>
      <c r="O8041" t="s">
        <v>69</v>
      </c>
      <c r="P8041" s="3" t="s">
        <v>70</v>
      </c>
      <c r="Q8041">
        <v>2015</v>
      </c>
      <c r="R8041" s="2">
        <v>42073</v>
      </c>
      <c r="S8041" s="2">
        <v>42095</v>
      </c>
      <c r="T8041" s="2">
        <v>42095</v>
      </c>
      <c r="U8041" s="2">
        <v>42155</v>
      </c>
      <c r="V8041" t="s">
        <v>71</v>
      </c>
      <c r="W8041" t="str">
        <f>"          1135900125"</f>
        <v xml:space="preserve">          1135900125</v>
      </c>
      <c r="X8041">
        <v>373.32</v>
      </c>
      <c r="Y8041">
        <v>0</v>
      </c>
      <c r="Z8041"/>
      <c r="AB8041"/>
      <c r="AC8041">
        <v>306</v>
      </c>
      <c r="AD8041">
        <v>249</v>
      </c>
      <c r="AE8041" s="1">
        <v>76194</v>
      </c>
      <c r="AF8041">
        <v>0</v>
      </c>
      <c r="AJ8041">
        <v>0</v>
      </c>
      <c r="AK8041">
        <v>0</v>
      </c>
      <c r="AL8041">
        <v>0</v>
      </c>
      <c r="AM8041">
        <v>0</v>
      </c>
      <c r="AN8041">
        <v>0</v>
      </c>
      <c r="AO8041">
        <v>0</v>
      </c>
      <c r="AP8041" s="2">
        <v>42746</v>
      </c>
      <c r="AQ8041" t="s">
        <v>72</v>
      </c>
      <c r="AR8041" t="s">
        <v>72</v>
      </c>
      <c r="AS8041">
        <v>261</v>
      </c>
      <c r="AT8041" s="4">
        <v>42404</v>
      </c>
      <c r="AU8041" t="s">
        <v>73</v>
      </c>
      <c r="AV8041">
        <v>261</v>
      </c>
      <c r="AW8041" s="4">
        <v>42404</v>
      </c>
      <c r="BD8041">
        <v>0</v>
      </c>
      <c r="BN8041" t="s">
        <v>74</v>
      </c>
    </row>
    <row r="8042" spans="1:66" hidden="1">
      <c r="A8042">
        <v>104563</v>
      </c>
      <c r="B8042" s="3" t="s">
        <v>677</v>
      </c>
      <c r="C8042" s="1">
        <v>43300101</v>
      </c>
      <c r="D8042" t="s">
        <v>67</v>
      </c>
      <c r="H8042" t="str">
        <f t="shared" si="791"/>
        <v>02298700010</v>
      </c>
      <c r="I8042" t="str">
        <f t="shared" si="791"/>
        <v>02298700010</v>
      </c>
      <c r="K8042" t="str">
        <f>""</f>
        <v/>
      </c>
      <c r="M8042" t="s">
        <v>68</v>
      </c>
      <c r="N8042" t="str">
        <f t="shared" si="789"/>
        <v>FOR</v>
      </c>
      <c r="O8042" t="s">
        <v>69</v>
      </c>
      <c r="P8042" s="3" t="s">
        <v>70</v>
      </c>
      <c r="Q8042">
        <v>2015</v>
      </c>
      <c r="R8042" s="2">
        <v>42073</v>
      </c>
      <c r="S8042" s="2">
        <v>42089</v>
      </c>
      <c r="T8042" s="2">
        <v>42089</v>
      </c>
      <c r="U8042" s="2">
        <v>42149</v>
      </c>
      <c r="V8042" t="s">
        <v>71</v>
      </c>
      <c r="W8042" t="str">
        <f>"          1135900190"</f>
        <v xml:space="preserve">          1135900190</v>
      </c>
      <c r="X8042">
        <v>373.32</v>
      </c>
      <c r="Y8042">
        <v>0</v>
      </c>
      <c r="Z8042"/>
      <c r="AB8042"/>
      <c r="AC8042">
        <v>306</v>
      </c>
      <c r="AD8042">
        <v>255</v>
      </c>
      <c r="AE8042" s="1">
        <v>78030</v>
      </c>
      <c r="AF8042">
        <v>0</v>
      </c>
      <c r="AJ8042">
        <v>0</v>
      </c>
      <c r="AK8042">
        <v>0</v>
      </c>
      <c r="AL8042">
        <v>0</v>
      </c>
      <c r="AM8042">
        <v>0</v>
      </c>
      <c r="AN8042">
        <v>0</v>
      </c>
      <c r="AO8042">
        <v>0</v>
      </c>
      <c r="AP8042" s="2">
        <v>42746</v>
      </c>
      <c r="AQ8042" t="s">
        <v>72</v>
      </c>
      <c r="AR8042" t="s">
        <v>72</v>
      </c>
      <c r="AS8042">
        <v>261</v>
      </c>
      <c r="AT8042" s="4">
        <v>42404</v>
      </c>
      <c r="AU8042" t="s">
        <v>73</v>
      </c>
      <c r="AV8042">
        <v>261</v>
      </c>
      <c r="AW8042" s="4">
        <v>42404</v>
      </c>
      <c r="BD8042">
        <v>0</v>
      </c>
      <c r="BN8042" t="s">
        <v>74</v>
      </c>
    </row>
    <row r="8043" spans="1:66" hidden="1">
      <c r="A8043">
        <v>104563</v>
      </c>
      <c r="B8043" s="3" t="s">
        <v>677</v>
      </c>
      <c r="C8043" s="1">
        <v>43300101</v>
      </c>
      <c r="D8043" t="s">
        <v>67</v>
      </c>
      <c r="H8043" t="str">
        <f t="shared" si="791"/>
        <v>02298700010</v>
      </c>
      <c r="I8043" t="str">
        <f t="shared" si="791"/>
        <v>02298700010</v>
      </c>
      <c r="K8043" t="str">
        <f>""</f>
        <v/>
      </c>
      <c r="M8043" t="s">
        <v>68</v>
      </c>
      <c r="N8043" t="str">
        <f t="shared" si="789"/>
        <v>FOR</v>
      </c>
      <c r="O8043" t="s">
        <v>69</v>
      </c>
      <c r="P8043" s="3" t="s">
        <v>75</v>
      </c>
      <c r="Q8043">
        <v>2015</v>
      </c>
      <c r="R8043" s="2">
        <v>42094</v>
      </c>
      <c r="S8043" s="2">
        <v>42286</v>
      </c>
      <c r="T8043" s="2">
        <v>42285</v>
      </c>
      <c r="U8043" s="2">
        <v>42345</v>
      </c>
      <c r="V8043" t="s">
        <v>71</v>
      </c>
      <c r="W8043" t="str">
        <f>"          1135900737"</f>
        <v xml:space="preserve">          1135900737</v>
      </c>
      <c r="X8043">
        <v>107.36</v>
      </c>
      <c r="Y8043">
        <v>0</v>
      </c>
      <c r="Z8043"/>
      <c r="AB8043"/>
      <c r="AC8043">
        <v>88</v>
      </c>
      <c r="AD8043">
        <v>59</v>
      </c>
      <c r="AE8043" s="1">
        <v>5192</v>
      </c>
      <c r="AF8043">
        <v>0</v>
      </c>
      <c r="AJ8043">
        <v>0</v>
      </c>
      <c r="AK8043">
        <v>0</v>
      </c>
      <c r="AL8043">
        <v>0</v>
      </c>
      <c r="AM8043">
        <v>0</v>
      </c>
      <c r="AN8043">
        <v>0</v>
      </c>
      <c r="AO8043">
        <v>0</v>
      </c>
      <c r="AP8043" s="2">
        <v>42746</v>
      </c>
      <c r="AQ8043" t="s">
        <v>72</v>
      </c>
      <c r="AR8043" t="s">
        <v>72</v>
      </c>
      <c r="AS8043">
        <v>261</v>
      </c>
      <c r="AT8043" s="4">
        <v>42404</v>
      </c>
      <c r="AU8043" t="s">
        <v>73</v>
      </c>
      <c r="AV8043">
        <v>261</v>
      </c>
      <c r="AW8043" s="4">
        <v>42404</v>
      </c>
      <c r="BD8043">
        <v>0</v>
      </c>
      <c r="BN8043" t="s">
        <v>74</v>
      </c>
    </row>
    <row r="8044" spans="1:66" hidden="1">
      <c r="A8044">
        <v>104563</v>
      </c>
      <c r="B8044" s="3" t="s">
        <v>677</v>
      </c>
      <c r="C8044" s="1">
        <v>43300101</v>
      </c>
      <c r="D8044" t="s">
        <v>67</v>
      </c>
      <c r="H8044" t="str">
        <f t="shared" si="791"/>
        <v>02298700010</v>
      </c>
      <c r="I8044" t="str">
        <f t="shared" si="791"/>
        <v>02298700010</v>
      </c>
      <c r="K8044" t="str">
        <f>""</f>
        <v/>
      </c>
      <c r="M8044" t="s">
        <v>68</v>
      </c>
      <c r="N8044" t="str">
        <f t="shared" ref="N8044:N8080" si="792">"FOR"</f>
        <v>FOR</v>
      </c>
      <c r="O8044" t="s">
        <v>69</v>
      </c>
      <c r="P8044" s="3" t="s">
        <v>75</v>
      </c>
      <c r="Q8044">
        <v>2015</v>
      </c>
      <c r="R8044" s="2">
        <v>42094</v>
      </c>
      <c r="S8044" s="2">
        <v>42286</v>
      </c>
      <c r="T8044" s="2">
        <v>42285</v>
      </c>
      <c r="U8044" s="2">
        <v>42345</v>
      </c>
      <c r="V8044" t="s">
        <v>71</v>
      </c>
      <c r="W8044" t="str">
        <f>"          1135900738"</f>
        <v xml:space="preserve">          1135900738</v>
      </c>
      <c r="X8044">
        <v>107.36</v>
      </c>
      <c r="Y8044">
        <v>0</v>
      </c>
      <c r="Z8044"/>
      <c r="AB8044"/>
      <c r="AC8044">
        <v>88</v>
      </c>
      <c r="AD8044">
        <v>59</v>
      </c>
      <c r="AE8044" s="1">
        <v>5192</v>
      </c>
      <c r="AF8044">
        <v>0</v>
      </c>
      <c r="AJ8044">
        <v>0</v>
      </c>
      <c r="AK8044">
        <v>0</v>
      </c>
      <c r="AL8044">
        <v>0</v>
      </c>
      <c r="AM8044">
        <v>0</v>
      </c>
      <c r="AN8044">
        <v>0</v>
      </c>
      <c r="AO8044">
        <v>0</v>
      </c>
      <c r="AP8044" s="2">
        <v>42746</v>
      </c>
      <c r="AQ8044" t="s">
        <v>72</v>
      </c>
      <c r="AR8044" t="s">
        <v>72</v>
      </c>
      <c r="AS8044">
        <v>261</v>
      </c>
      <c r="AT8044" s="4">
        <v>42404</v>
      </c>
      <c r="AU8044" t="s">
        <v>73</v>
      </c>
      <c r="AV8044">
        <v>261</v>
      </c>
      <c r="AW8044" s="4">
        <v>42404</v>
      </c>
      <c r="BD8044">
        <v>0</v>
      </c>
      <c r="BN8044" t="s">
        <v>74</v>
      </c>
    </row>
    <row r="8045" spans="1:66" hidden="1">
      <c r="A8045">
        <v>104563</v>
      </c>
      <c r="B8045" s="3" t="s">
        <v>677</v>
      </c>
      <c r="C8045" s="1">
        <v>43300101</v>
      </c>
      <c r="D8045" t="s">
        <v>67</v>
      </c>
      <c r="H8045" t="str">
        <f t="shared" si="791"/>
        <v>02298700010</v>
      </c>
      <c r="I8045" t="str">
        <f t="shared" si="791"/>
        <v>02298700010</v>
      </c>
      <c r="K8045" t="str">
        <f>""</f>
        <v/>
      </c>
      <c r="M8045" t="s">
        <v>68</v>
      </c>
      <c r="N8045" t="str">
        <f t="shared" si="792"/>
        <v>FOR</v>
      </c>
      <c r="O8045" t="s">
        <v>69</v>
      </c>
      <c r="P8045" s="3" t="s">
        <v>75</v>
      </c>
      <c r="Q8045">
        <v>2015</v>
      </c>
      <c r="R8045" s="2">
        <v>42094</v>
      </c>
      <c r="S8045" s="2">
        <v>42286</v>
      </c>
      <c r="T8045" s="2">
        <v>42285</v>
      </c>
      <c r="U8045" s="2">
        <v>42345</v>
      </c>
      <c r="V8045" t="s">
        <v>71</v>
      </c>
      <c r="W8045" t="str">
        <f>"          1135900739"</f>
        <v xml:space="preserve">          1135900739</v>
      </c>
      <c r="X8045">
        <v>322.08</v>
      </c>
      <c r="Y8045">
        <v>0</v>
      </c>
      <c r="Z8045"/>
      <c r="AB8045"/>
      <c r="AC8045">
        <v>264</v>
      </c>
      <c r="AD8045">
        <v>59</v>
      </c>
      <c r="AE8045" s="1">
        <v>15576</v>
      </c>
      <c r="AF8045">
        <v>0</v>
      </c>
      <c r="AJ8045">
        <v>0</v>
      </c>
      <c r="AK8045">
        <v>0</v>
      </c>
      <c r="AL8045">
        <v>0</v>
      </c>
      <c r="AM8045">
        <v>0</v>
      </c>
      <c r="AN8045">
        <v>0</v>
      </c>
      <c r="AO8045">
        <v>0</v>
      </c>
      <c r="AP8045" s="2">
        <v>42746</v>
      </c>
      <c r="AQ8045" t="s">
        <v>72</v>
      </c>
      <c r="AR8045" t="s">
        <v>72</v>
      </c>
      <c r="AS8045">
        <v>261</v>
      </c>
      <c r="AT8045" s="4">
        <v>42404</v>
      </c>
      <c r="AU8045" t="s">
        <v>73</v>
      </c>
      <c r="AV8045">
        <v>261</v>
      </c>
      <c r="AW8045" s="4">
        <v>42404</v>
      </c>
      <c r="BD8045">
        <v>0</v>
      </c>
      <c r="BN8045" t="s">
        <v>74</v>
      </c>
    </row>
    <row r="8046" spans="1:66" hidden="1">
      <c r="A8046">
        <v>104563</v>
      </c>
      <c r="B8046" s="3" t="s">
        <v>677</v>
      </c>
      <c r="C8046" s="1">
        <v>43300101</v>
      </c>
      <c r="D8046" t="s">
        <v>67</v>
      </c>
      <c r="H8046" t="str">
        <f t="shared" si="791"/>
        <v>02298700010</v>
      </c>
      <c r="I8046" t="str">
        <f t="shared" si="791"/>
        <v>02298700010</v>
      </c>
      <c r="K8046" t="str">
        <f>""</f>
        <v/>
      </c>
      <c r="M8046" t="s">
        <v>68</v>
      </c>
      <c r="N8046" t="str">
        <f t="shared" si="792"/>
        <v>FOR</v>
      </c>
      <c r="O8046" t="s">
        <v>69</v>
      </c>
      <c r="P8046" s="3" t="s">
        <v>75</v>
      </c>
      <c r="Q8046">
        <v>2015</v>
      </c>
      <c r="R8046" s="2">
        <v>42094</v>
      </c>
      <c r="S8046" s="2">
        <v>42286</v>
      </c>
      <c r="T8046" s="2">
        <v>42285</v>
      </c>
      <c r="U8046" s="2">
        <v>42345</v>
      </c>
      <c r="V8046" t="s">
        <v>71</v>
      </c>
      <c r="W8046" t="str">
        <f>"          1135900740"</f>
        <v xml:space="preserve">          1135900740</v>
      </c>
      <c r="X8046">
        <v>373.32</v>
      </c>
      <c r="Y8046">
        <v>0</v>
      </c>
      <c r="Z8046"/>
      <c r="AB8046"/>
      <c r="AC8046">
        <v>306</v>
      </c>
      <c r="AD8046">
        <v>59</v>
      </c>
      <c r="AE8046" s="1">
        <v>18054</v>
      </c>
      <c r="AF8046">
        <v>0</v>
      </c>
      <c r="AJ8046">
        <v>0</v>
      </c>
      <c r="AK8046">
        <v>0</v>
      </c>
      <c r="AL8046">
        <v>0</v>
      </c>
      <c r="AM8046">
        <v>0</v>
      </c>
      <c r="AN8046">
        <v>0</v>
      </c>
      <c r="AO8046">
        <v>0</v>
      </c>
      <c r="AP8046" s="2">
        <v>42746</v>
      </c>
      <c r="AQ8046" t="s">
        <v>72</v>
      </c>
      <c r="AR8046" t="s">
        <v>72</v>
      </c>
      <c r="AS8046">
        <v>261</v>
      </c>
      <c r="AT8046" s="4">
        <v>42404</v>
      </c>
      <c r="AU8046" t="s">
        <v>73</v>
      </c>
      <c r="AV8046">
        <v>261</v>
      </c>
      <c r="AW8046" s="4">
        <v>42404</v>
      </c>
      <c r="BD8046">
        <v>0</v>
      </c>
      <c r="BN8046" t="s">
        <v>74</v>
      </c>
    </row>
    <row r="8047" spans="1:66" hidden="1">
      <c r="A8047">
        <v>104563</v>
      </c>
      <c r="B8047" s="3" t="s">
        <v>677</v>
      </c>
      <c r="C8047" s="1">
        <v>43300101</v>
      </c>
      <c r="D8047" t="s">
        <v>67</v>
      </c>
      <c r="H8047" t="str">
        <f t="shared" si="791"/>
        <v>02298700010</v>
      </c>
      <c r="I8047" t="str">
        <f t="shared" si="791"/>
        <v>02298700010</v>
      </c>
      <c r="K8047" t="str">
        <f>""</f>
        <v/>
      </c>
      <c r="M8047" t="s">
        <v>68</v>
      </c>
      <c r="N8047" t="str">
        <f t="shared" si="792"/>
        <v>FOR</v>
      </c>
      <c r="O8047" t="s">
        <v>69</v>
      </c>
      <c r="P8047" s="3" t="s">
        <v>75</v>
      </c>
      <c r="Q8047">
        <v>2015</v>
      </c>
      <c r="R8047" s="2">
        <v>42094</v>
      </c>
      <c r="S8047" s="2">
        <v>42286</v>
      </c>
      <c r="T8047" s="2">
        <v>42285</v>
      </c>
      <c r="U8047" s="2">
        <v>42345</v>
      </c>
      <c r="V8047" t="s">
        <v>71</v>
      </c>
      <c r="W8047" t="str">
        <f>"          1135900741"</f>
        <v xml:space="preserve">          1135900741</v>
      </c>
      <c r="X8047">
        <v>116.16</v>
      </c>
      <c r="Y8047">
        <v>0</v>
      </c>
      <c r="Z8047"/>
      <c r="AB8047"/>
      <c r="AC8047">
        <v>95.21</v>
      </c>
      <c r="AD8047">
        <v>59</v>
      </c>
      <c r="AE8047" s="1">
        <v>5617.39</v>
      </c>
      <c r="AF8047">
        <v>0</v>
      </c>
      <c r="AJ8047">
        <v>0</v>
      </c>
      <c r="AK8047">
        <v>0</v>
      </c>
      <c r="AL8047">
        <v>0</v>
      </c>
      <c r="AM8047">
        <v>0</v>
      </c>
      <c r="AN8047">
        <v>0</v>
      </c>
      <c r="AO8047">
        <v>0</v>
      </c>
      <c r="AP8047" s="2">
        <v>42746</v>
      </c>
      <c r="AQ8047" t="s">
        <v>72</v>
      </c>
      <c r="AR8047" t="s">
        <v>72</v>
      </c>
      <c r="AS8047">
        <v>261</v>
      </c>
      <c r="AT8047" s="4">
        <v>42404</v>
      </c>
      <c r="AU8047" t="s">
        <v>73</v>
      </c>
      <c r="AV8047">
        <v>261</v>
      </c>
      <c r="AW8047" s="4">
        <v>42404</v>
      </c>
      <c r="BD8047">
        <v>0</v>
      </c>
      <c r="BN8047" t="s">
        <v>74</v>
      </c>
    </row>
    <row r="8048" spans="1:66" hidden="1">
      <c r="A8048">
        <v>104563</v>
      </c>
      <c r="B8048" s="3" t="s">
        <v>677</v>
      </c>
      <c r="C8048" s="1">
        <v>43300101</v>
      </c>
      <c r="D8048" t="s">
        <v>67</v>
      </c>
      <c r="H8048" t="str">
        <f t="shared" si="791"/>
        <v>02298700010</v>
      </c>
      <c r="I8048" t="str">
        <f t="shared" si="791"/>
        <v>02298700010</v>
      </c>
      <c r="K8048" t="str">
        <f>""</f>
        <v/>
      </c>
      <c r="M8048" t="s">
        <v>68</v>
      </c>
      <c r="N8048" t="str">
        <f t="shared" si="792"/>
        <v>FOR</v>
      </c>
      <c r="O8048" t="s">
        <v>69</v>
      </c>
      <c r="P8048" s="3" t="s">
        <v>75</v>
      </c>
      <c r="Q8048">
        <v>2015</v>
      </c>
      <c r="R8048" s="2">
        <v>42185</v>
      </c>
      <c r="S8048" s="2">
        <v>42192</v>
      </c>
      <c r="T8048" s="2">
        <v>42191</v>
      </c>
      <c r="U8048" s="2">
        <v>42251</v>
      </c>
      <c r="V8048" t="s">
        <v>71</v>
      </c>
      <c r="W8048" t="str">
        <f>"          1135903456"</f>
        <v xml:space="preserve">          1135903456</v>
      </c>
      <c r="X8048">
        <v>107.36</v>
      </c>
      <c r="Y8048">
        <v>0</v>
      </c>
      <c r="Z8048"/>
      <c r="AB8048"/>
      <c r="AC8048">
        <v>88</v>
      </c>
      <c r="AD8048">
        <v>276</v>
      </c>
      <c r="AE8048" s="1">
        <v>24288</v>
      </c>
      <c r="AF8048">
        <v>0</v>
      </c>
      <c r="AJ8048">
        <v>0</v>
      </c>
      <c r="AK8048">
        <v>0</v>
      </c>
      <c r="AL8048">
        <v>0</v>
      </c>
      <c r="AM8048">
        <v>0</v>
      </c>
      <c r="AN8048">
        <v>0</v>
      </c>
      <c r="AO8048">
        <v>0</v>
      </c>
      <c r="AP8048" s="2">
        <v>42746</v>
      </c>
      <c r="AQ8048" t="s">
        <v>72</v>
      </c>
      <c r="AR8048" t="s">
        <v>72</v>
      </c>
      <c r="AS8048">
        <v>1495</v>
      </c>
      <c r="AT8048" s="4">
        <v>42527</v>
      </c>
      <c r="AU8048" t="s">
        <v>73</v>
      </c>
      <c r="AV8048">
        <v>1495</v>
      </c>
      <c r="AW8048" s="4">
        <v>42527</v>
      </c>
      <c r="BD8048">
        <v>0</v>
      </c>
      <c r="BN8048" t="s">
        <v>74</v>
      </c>
    </row>
    <row r="8049" spans="1:66" hidden="1">
      <c r="A8049">
        <v>104563</v>
      </c>
      <c r="B8049" s="3" t="s">
        <v>677</v>
      </c>
      <c r="C8049" s="1">
        <v>43300101</v>
      </c>
      <c r="D8049" t="s">
        <v>67</v>
      </c>
      <c r="H8049" t="str">
        <f t="shared" si="791"/>
        <v>02298700010</v>
      </c>
      <c r="I8049" t="str">
        <f t="shared" si="791"/>
        <v>02298700010</v>
      </c>
      <c r="K8049" t="str">
        <f>""</f>
        <v/>
      </c>
      <c r="M8049" t="s">
        <v>68</v>
      </c>
      <c r="N8049" t="str">
        <f t="shared" si="792"/>
        <v>FOR</v>
      </c>
      <c r="O8049" t="s">
        <v>69</v>
      </c>
      <c r="P8049" s="3" t="s">
        <v>75</v>
      </c>
      <c r="Q8049">
        <v>2015</v>
      </c>
      <c r="R8049" s="2">
        <v>42185</v>
      </c>
      <c r="S8049" s="2">
        <v>42192</v>
      </c>
      <c r="T8049" s="2">
        <v>42191</v>
      </c>
      <c r="U8049" s="2">
        <v>42251</v>
      </c>
      <c r="V8049" t="s">
        <v>71</v>
      </c>
      <c r="W8049" t="str">
        <f>"          1135903457"</f>
        <v xml:space="preserve">          1135903457</v>
      </c>
      <c r="X8049">
        <v>107.36</v>
      </c>
      <c r="Y8049">
        <v>0</v>
      </c>
      <c r="Z8049"/>
      <c r="AB8049"/>
      <c r="AC8049">
        <v>88</v>
      </c>
      <c r="AD8049">
        <v>276</v>
      </c>
      <c r="AE8049" s="1">
        <v>24288</v>
      </c>
      <c r="AF8049">
        <v>0</v>
      </c>
      <c r="AJ8049">
        <v>0</v>
      </c>
      <c r="AK8049">
        <v>0</v>
      </c>
      <c r="AL8049">
        <v>0</v>
      </c>
      <c r="AM8049">
        <v>0</v>
      </c>
      <c r="AN8049">
        <v>0</v>
      </c>
      <c r="AO8049">
        <v>0</v>
      </c>
      <c r="AP8049" s="2">
        <v>42746</v>
      </c>
      <c r="AQ8049" t="s">
        <v>72</v>
      </c>
      <c r="AR8049" t="s">
        <v>72</v>
      </c>
      <c r="AS8049">
        <v>1495</v>
      </c>
      <c r="AT8049" s="4">
        <v>42527</v>
      </c>
      <c r="AU8049" t="s">
        <v>73</v>
      </c>
      <c r="AV8049">
        <v>1495</v>
      </c>
      <c r="AW8049" s="4">
        <v>42527</v>
      </c>
      <c r="BD8049">
        <v>0</v>
      </c>
      <c r="BN8049" t="s">
        <v>74</v>
      </c>
    </row>
    <row r="8050" spans="1:66" hidden="1">
      <c r="A8050">
        <v>104563</v>
      </c>
      <c r="B8050" s="3" t="s">
        <v>677</v>
      </c>
      <c r="C8050" s="1">
        <v>43300101</v>
      </c>
      <c r="D8050" t="s">
        <v>67</v>
      </c>
      <c r="H8050" t="str">
        <f t="shared" si="791"/>
        <v>02298700010</v>
      </c>
      <c r="I8050" t="str">
        <f t="shared" si="791"/>
        <v>02298700010</v>
      </c>
      <c r="K8050" t="str">
        <f>""</f>
        <v/>
      </c>
      <c r="M8050" t="s">
        <v>68</v>
      </c>
      <c r="N8050" t="str">
        <f t="shared" si="792"/>
        <v>FOR</v>
      </c>
      <c r="O8050" t="s">
        <v>69</v>
      </c>
      <c r="P8050" s="3" t="s">
        <v>75</v>
      </c>
      <c r="Q8050">
        <v>2015</v>
      </c>
      <c r="R8050" s="2">
        <v>42185</v>
      </c>
      <c r="S8050" s="2">
        <v>42192</v>
      </c>
      <c r="T8050" s="2">
        <v>42191</v>
      </c>
      <c r="U8050" s="2">
        <v>42251</v>
      </c>
      <c r="V8050" t="s">
        <v>71</v>
      </c>
      <c r="W8050" t="str">
        <f>"          1135903458"</f>
        <v xml:space="preserve">          1135903458</v>
      </c>
      <c r="X8050">
        <v>322.08</v>
      </c>
      <c r="Y8050">
        <v>0</v>
      </c>
      <c r="Z8050"/>
      <c r="AB8050"/>
      <c r="AC8050">
        <v>264</v>
      </c>
      <c r="AD8050">
        <v>276</v>
      </c>
      <c r="AE8050" s="1">
        <v>72864</v>
      </c>
      <c r="AF8050">
        <v>0</v>
      </c>
      <c r="AJ8050">
        <v>0</v>
      </c>
      <c r="AK8050">
        <v>0</v>
      </c>
      <c r="AL8050">
        <v>0</v>
      </c>
      <c r="AM8050">
        <v>0</v>
      </c>
      <c r="AN8050">
        <v>0</v>
      </c>
      <c r="AO8050">
        <v>0</v>
      </c>
      <c r="AP8050" s="2">
        <v>42746</v>
      </c>
      <c r="AQ8050" t="s">
        <v>72</v>
      </c>
      <c r="AR8050" t="s">
        <v>72</v>
      </c>
      <c r="AS8050">
        <v>1495</v>
      </c>
      <c r="AT8050" s="4">
        <v>42527</v>
      </c>
      <c r="AU8050" t="s">
        <v>73</v>
      </c>
      <c r="AV8050">
        <v>1495</v>
      </c>
      <c r="AW8050" s="4">
        <v>42527</v>
      </c>
      <c r="BD8050">
        <v>0</v>
      </c>
      <c r="BN8050" t="s">
        <v>74</v>
      </c>
    </row>
    <row r="8051" spans="1:66" hidden="1">
      <c r="A8051">
        <v>104563</v>
      </c>
      <c r="B8051" s="3" t="s">
        <v>677</v>
      </c>
      <c r="C8051" s="1">
        <v>43300101</v>
      </c>
      <c r="D8051" t="s">
        <v>67</v>
      </c>
      <c r="H8051" t="str">
        <f t="shared" si="791"/>
        <v>02298700010</v>
      </c>
      <c r="I8051" t="str">
        <f t="shared" si="791"/>
        <v>02298700010</v>
      </c>
      <c r="K8051" t="str">
        <f>""</f>
        <v/>
      </c>
      <c r="M8051" t="s">
        <v>68</v>
      </c>
      <c r="N8051" t="str">
        <f t="shared" si="792"/>
        <v>FOR</v>
      </c>
      <c r="O8051" t="s">
        <v>69</v>
      </c>
      <c r="P8051" s="3" t="s">
        <v>75</v>
      </c>
      <c r="Q8051">
        <v>2015</v>
      </c>
      <c r="R8051" s="2">
        <v>42185</v>
      </c>
      <c r="S8051" s="2">
        <v>42192</v>
      </c>
      <c r="T8051" s="2">
        <v>42191</v>
      </c>
      <c r="U8051" s="2">
        <v>42251</v>
      </c>
      <c r="V8051" t="s">
        <v>71</v>
      </c>
      <c r="W8051" t="str">
        <f>"          1135903459"</f>
        <v xml:space="preserve">          1135903459</v>
      </c>
      <c r="X8051">
        <v>373.32</v>
      </c>
      <c r="Y8051">
        <v>0</v>
      </c>
      <c r="Z8051"/>
      <c r="AB8051"/>
      <c r="AC8051">
        <v>306</v>
      </c>
      <c r="AD8051">
        <v>276</v>
      </c>
      <c r="AE8051" s="1">
        <v>84456</v>
      </c>
      <c r="AF8051">
        <v>0</v>
      </c>
      <c r="AJ8051">
        <v>0</v>
      </c>
      <c r="AK8051">
        <v>0</v>
      </c>
      <c r="AL8051">
        <v>0</v>
      </c>
      <c r="AM8051">
        <v>0</v>
      </c>
      <c r="AN8051">
        <v>0</v>
      </c>
      <c r="AO8051">
        <v>0</v>
      </c>
      <c r="AP8051" s="2">
        <v>42746</v>
      </c>
      <c r="AQ8051" t="s">
        <v>72</v>
      </c>
      <c r="AR8051" t="s">
        <v>72</v>
      </c>
      <c r="AS8051">
        <v>1495</v>
      </c>
      <c r="AT8051" s="4">
        <v>42527</v>
      </c>
      <c r="AU8051" t="s">
        <v>73</v>
      </c>
      <c r="AV8051">
        <v>1495</v>
      </c>
      <c r="AW8051" s="4">
        <v>42527</v>
      </c>
      <c r="BD8051">
        <v>0</v>
      </c>
      <c r="BN8051" t="s">
        <v>74</v>
      </c>
    </row>
    <row r="8052" spans="1:66" hidden="1">
      <c r="A8052">
        <v>104563</v>
      </c>
      <c r="B8052" s="3" t="s">
        <v>677</v>
      </c>
      <c r="C8052" s="1">
        <v>43300101</v>
      </c>
      <c r="D8052" t="s">
        <v>67</v>
      </c>
      <c r="H8052" t="str">
        <f t="shared" si="791"/>
        <v>02298700010</v>
      </c>
      <c r="I8052" t="str">
        <f t="shared" si="791"/>
        <v>02298700010</v>
      </c>
      <c r="K8052" t="str">
        <f>""</f>
        <v/>
      </c>
      <c r="M8052" t="s">
        <v>68</v>
      </c>
      <c r="N8052" t="str">
        <f t="shared" si="792"/>
        <v>FOR</v>
      </c>
      <c r="O8052" t="s">
        <v>69</v>
      </c>
      <c r="P8052" s="3" t="s">
        <v>75</v>
      </c>
      <c r="Q8052">
        <v>2015</v>
      </c>
      <c r="R8052" s="2">
        <v>42185</v>
      </c>
      <c r="S8052" s="2">
        <v>42192</v>
      </c>
      <c r="T8052" s="2">
        <v>42191</v>
      </c>
      <c r="U8052" s="2">
        <v>42251</v>
      </c>
      <c r="V8052" t="s">
        <v>71</v>
      </c>
      <c r="W8052" t="str">
        <f>"          1135903460"</f>
        <v xml:space="preserve">          1135903460</v>
      </c>
      <c r="X8052">
        <v>550.22</v>
      </c>
      <c r="Y8052">
        <v>0</v>
      </c>
      <c r="Z8052"/>
      <c r="AB8052"/>
      <c r="AC8052">
        <v>451</v>
      </c>
      <c r="AD8052">
        <v>276</v>
      </c>
      <c r="AE8052" s="1">
        <v>124476</v>
      </c>
      <c r="AF8052">
        <v>0</v>
      </c>
      <c r="AJ8052">
        <v>0</v>
      </c>
      <c r="AK8052">
        <v>0</v>
      </c>
      <c r="AL8052">
        <v>0</v>
      </c>
      <c r="AM8052">
        <v>0</v>
      </c>
      <c r="AN8052">
        <v>0</v>
      </c>
      <c r="AO8052">
        <v>0</v>
      </c>
      <c r="AP8052" s="2">
        <v>42746</v>
      </c>
      <c r="AQ8052" t="s">
        <v>72</v>
      </c>
      <c r="AR8052" t="s">
        <v>72</v>
      </c>
      <c r="AS8052">
        <v>1495</v>
      </c>
      <c r="AT8052" s="4">
        <v>42527</v>
      </c>
      <c r="AU8052" t="s">
        <v>73</v>
      </c>
      <c r="AV8052">
        <v>1495</v>
      </c>
      <c r="AW8052" s="4">
        <v>42527</v>
      </c>
      <c r="BD8052">
        <v>0</v>
      </c>
      <c r="BN8052" t="s">
        <v>74</v>
      </c>
    </row>
    <row r="8053" spans="1:66" hidden="1">
      <c r="A8053">
        <v>104563</v>
      </c>
      <c r="B8053" s="3" t="s">
        <v>677</v>
      </c>
      <c r="C8053" s="1">
        <v>43300101</v>
      </c>
      <c r="D8053" t="s">
        <v>67</v>
      </c>
      <c r="H8053" t="str">
        <f t="shared" si="791"/>
        <v>02298700010</v>
      </c>
      <c r="I8053" t="str">
        <f t="shared" si="791"/>
        <v>02298700010</v>
      </c>
      <c r="K8053" t="str">
        <f>""</f>
        <v/>
      </c>
      <c r="M8053" t="s">
        <v>68</v>
      </c>
      <c r="N8053" t="str">
        <f t="shared" si="792"/>
        <v>FOR</v>
      </c>
      <c r="O8053" t="s">
        <v>69</v>
      </c>
      <c r="P8053" s="3" t="s">
        <v>75</v>
      </c>
      <c r="Q8053">
        <v>2015</v>
      </c>
      <c r="R8053" s="2">
        <v>42208</v>
      </c>
      <c r="S8053" s="2">
        <v>42227</v>
      </c>
      <c r="T8053" s="2">
        <v>42215</v>
      </c>
      <c r="U8053" s="2">
        <v>42275</v>
      </c>
      <c r="V8053" t="s">
        <v>71</v>
      </c>
      <c r="W8053" t="str">
        <f>"          1135905823"</f>
        <v xml:space="preserve">          1135905823</v>
      </c>
      <c r="X8053">
        <v>27.44</v>
      </c>
      <c r="Y8053">
        <v>0</v>
      </c>
      <c r="Z8053"/>
      <c r="AB8053"/>
      <c r="AC8053">
        <v>22.49</v>
      </c>
      <c r="AD8053">
        <v>252</v>
      </c>
      <c r="AE8053" s="1">
        <v>5667.48</v>
      </c>
      <c r="AF8053">
        <v>0</v>
      </c>
      <c r="AJ8053">
        <v>0</v>
      </c>
      <c r="AK8053">
        <v>0</v>
      </c>
      <c r="AL8053">
        <v>0</v>
      </c>
      <c r="AM8053">
        <v>0</v>
      </c>
      <c r="AN8053">
        <v>0</v>
      </c>
      <c r="AO8053">
        <v>0</v>
      </c>
      <c r="AP8053" s="2">
        <v>42746</v>
      </c>
      <c r="AQ8053" t="s">
        <v>72</v>
      </c>
      <c r="AR8053" t="s">
        <v>72</v>
      </c>
      <c r="AS8053">
        <v>1495</v>
      </c>
      <c r="AT8053" s="4">
        <v>42527</v>
      </c>
      <c r="AU8053" t="s">
        <v>73</v>
      </c>
      <c r="AV8053">
        <v>1495</v>
      </c>
      <c r="AW8053" s="4">
        <v>42527</v>
      </c>
      <c r="BD8053">
        <v>0</v>
      </c>
      <c r="BN8053" t="s">
        <v>74</v>
      </c>
    </row>
    <row r="8054" spans="1:66" hidden="1">
      <c r="A8054">
        <v>104563</v>
      </c>
      <c r="B8054" s="3" t="s">
        <v>677</v>
      </c>
      <c r="C8054" s="1">
        <v>43300101</v>
      </c>
      <c r="D8054" t="s">
        <v>67</v>
      </c>
      <c r="H8054" t="str">
        <f t="shared" si="791"/>
        <v>02298700010</v>
      </c>
      <c r="I8054" t="str">
        <f t="shared" si="791"/>
        <v>02298700010</v>
      </c>
      <c r="K8054" t="str">
        <f>""</f>
        <v/>
      </c>
      <c r="M8054" t="s">
        <v>68</v>
      </c>
      <c r="N8054" t="str">
        <f t="shared" si="792"/>
        <v>FOR</v>
      </c>
      <c r="O8054" t="s">
        <v>69</v>
      </c>
      <c r="P8054" s="3" t="s">
        <v>75</v>
      </c>
      <c r="Q8054">
        <v>2015</v>
      </c>
      <c r="R8054" s="2">
        <v>42208</v>
      </c>
      <c r="S8054" s="2">
        <v>42227</v>
      </c>
      <c r="T8054" s="2">
        <v>42215</v>
      </c>
      <c r="U8054" s="2">
        <v>42275</v>
      </c>
      <c r="V8054" t="s">
        <v>71</v>
      </c>
      <c r="W8054" t="str">
        <f>"          1135905824"</f>
        <v xml:space="preserve">          1135905824</v>
      </c>
      <c r="X8054">
        <v>27.44</v>
      </c>
      <c r="Y8054">
        <v>0</v>
      </c>
      <c r="Z8054"/>
      <c r="AB8054"/>
      <c r="AC8054">
        <v>22.49</v>
      </c>
      <c r="AD8054">
        <v>252</v>
      </c>
      <c r="AE8054" s="1">
        <v>5667.48</v>
      </c>
      <c r="AF8054">
        <v>0</v>
      </c>
      <c r="AJ8054">
        <v>0</v>
      </c>
      <c r="AK8054">
        <v>0</v>
      </c>
      <c r="AL8054">
        <v>0</v>
      </c>
      <c r="AM8054">
        <v>0</v>
      </c>
      <c r="AN8054">
        <v>0</v>
      </c>
      <c r="AO8054">
        <v>0</v>
      </c>
      <c r="AP8054" s="2">
        <v>42746</v>
      </c>
      <c r="AQ8054" t="s">
        <v>72</v>
      </c>
      <c r="AR8054" t="s">
        <v>72</v>
      </c>
      <c r="AS8054">
        <v>1495</v>
      </c>
      <c r="AT8054" s="4">
        <v>42527</v>
      </c>
      <c r="AU8054" t="s">
        <v>73</v>
      </c>
      <c r="AV8054">
        <v>1495</v>
      </c>
      <c r="AW8054" s="4">
        <v>42527</v>
      </c>
      <c r="BD8054">
        <v>0</v>
      </c>
      <c r="BN8054" t="s">
        <v>74</v>
      </c>
    </row>
    <row r="8055" spans="1:66" hidden="1">
      <c r="A8055">
        <v>104563</v>
      </c>
      <c r="B8055" s="3" t="s">
        <v>677</v>
      </c>
      <c r="C8055" s="1">
        <v>43300101</v>
      </c>
      <c r="D8055" t="s">
        <v>67</v>
      </c>
      <c r="H8055" t="str">
        <f t="shared" si="791"/>
        <v>02298700010</v>
      </c>
      <c r="I8055" t="str">
        <f t="shared" si="791"/>
        <v>02298700010</v>
      </c>
      <c r="K8055" t="str">
        <f>""</f>
        <v/>
      </c>
      <c r="M8055" t="s">
        <v>68</v>
      </c>
      <c r="N8055" t="str">
        <f t="shared" si="792"/>
        <v>FOR</v>
      </c>
      <c r="O8055" t="s">
        <v>69</v>
      </c>
      <c r="P8055" s="3" t="s">
        <v>75</v>
      </c>
      <c r="Q8055">
        <v>2015</v>
      </c>
      <c r="R8055" s="2">
        <v>42221</v>
      </c>
      <c r="S8055" s="2">
        <v>42228</v>
      </c>
      <c r="T8055" s="2">
        <v>42223</v>
      </c>
      <c r="U8055" s="2">
        <v>42283</v>
      </c>
      <c r="V8055" t="s">
        <v>71</v>
      </c>
      <c r="W8055" t="str">
        <f>"          1135905856"</f>
        <v xml:space="preserve">          1135905856</v>
      </c>
      <c r="X8055">
        <v>11.07</v>
      </c>
      <c r="Y8055">
        <v>0</v>
      </c>
      <c r="Z8055"/>
      <c r="AB8055"/>
      <c r="AC8055">
        <v>9.07</v>
      </c>
      <c r="AD8055">
        <v>244</v>
      </c>
      <c r="AE8055" s="1">
        <v>2213.08</v>
      </c>
      <c r="AF8055">
        <v>0</v>
      </c>
      <c r="AJ8055">
        <v>0</v>
      </c>
      <c r="AK8055">
        <v>0</v>
      </c>
      <c r="AL8055">
        <v>0</v>
      </c>
      <c r="AM8055">
        <v>0</v>
      </c>
      <c r="AN8055">
        <v>0</v>
      </c>
      <c r="AO8055">
        <v>0</v>
      </c>
      <c r="AP8055" s="2">
        <v>42746</v>
      </c>
      <c r="AQ8055" t="s">
        <v>72</v>
      </c>
      <c r="AR8055" t="s">
        <v>72</v>
      </c>
      <c r="AS8055">
        <v>1495</v>
      </c>
      <c r="AT8055" s="4">
        <v>42527</v>
      </c>
      <c r="AU8055" t="s">
        <v>73</v>
      </c>
      <c r="AV8055">
        <v>1495</v>
      </c>
      <c r="AW8055" s="4">
        <v>42527</v>
      </c>
      <c r="BD8055">
        <v>0</v>
      </c>
      <c r="BN8055" t="s">
        <v>74</v>
      </c>
    </row>
    <row r="8056" spans="1:66" hidden="1">
      <c r="A8056">
        <v>104563</v>
      </c>
      <c r="B8056" s="3" t="s">
        <v>677</v>
      </c>
      <c r="C8056" s="1">
        <v>43300101</v>
      </c>
      <c r="D8056" t="s">
        <v>67</v>
      </c>
      <c r="H8056" t="str">
        <f t="shared" si="791"/>
        <v>02298700010</v>
      </c>
      <c r="I8056" t="str">
        <f t="shared" si="791"/>
        <v>02298700010</v>
      </c>
      <c r="K8056" t="str">
        <f>""</f>
        <v/>
      </c>
      <c r="M8056" t="s">
        <v>68</v>
      </c>
      <c r="N8056" t="str">
        <f t="shared" si="792"/>
        <v>FOR</v>
      </c>
      <c r="O8056" t="s">
        <v>69</v>
      </c>
      <c r="P8056" s="3" t="s">
        <v>75</v>
      </c>
      <c r="Q8056">
        <v>2015</v>
      </c>
      <c r="R8056" s="2">
        <v>42221</v>
      </c>
      <c r="S8056" s="2">
        <v>42228</v>
      </c>
      <c r="T8056" s="2">
        <v>42223</v>
      </c>
      <c r="U8056" s="2">
        <v>42283</v>
      </c>
      <c r="V8056" t="s">
        <v>71</v>
      </c>
      <c r="W8056" t="str">
        <f>"          1135905857"</f>
        <v xml:space="preserve">          1135905857</v>
      </c>
      <c r="X8056">
        <v>248.88</v>
      </c>
      <c r="Y8056">
        <v>0</v>
      </c>
      <c r="Z8056"/>
      <c r="AB8056"/>
      <c r="AC8056">
        <v>204</v>
      </c>
      <c r="AD8056">
        <v>244</v>
      </c>
      <c r="AE8056" s="1">
        <v>49776</v>
      </c>
      <c r="AF8056">
        <v>0</v>
      </c>
      <c r="AJ8056">
        <v>0</v>
      </c>
      <c r="AK8056">
        <v>0</v>
      </c>
      <c r="AL8056">
        <v>0</v>
      </c>
      <c r="AM8056">
        <v>0</v>
      </c>
      <c r="AN8056">
        <v>0</v>
      </c>
      <c r="AO8056">
        <v>0</v>
      </c>
      <c r="AP8056" s="2">
        <v>42746</v>
      </c>
      <c r="AQ8056" t="s">
        <v>72</v>
      </c>
      <c r="AR8056" t="s">
        <v>72</v>
      </c>
      <c r="AS8056">
        <v>1495</v>
      </c>
      <c r="AT8056" s="4">
        <v>42527</v>
      </c>
      <c r="AU8056" t="s">
        <v>73</v>
      </c>
      <c r="AV8056">
        <v>1495</v>
      </c>
      <c r="AW8056" s="4">
        <v>42527</v>
      </c>
      <c r="BD8056">
        <v>0</v>
      </c>
      <c r="BN8056" t="s">
        <v>74</v>
      </c>
    </row>
    <row r="8057" spans="1:66" hidden="1">
      <c r="A8057">
        <v>104563</v>
      </c>
      <c r="B8057" s="3" t="s">
        <v>677</v>
      </c>
      <c r="C8057" s="1">
        <v>43300101</v>
      </c>
      <c r="D8057" t="s">
        <v>67</v>
      </c>
      <c r="H8057" t="str">
        <f t="shared" ref="H8057:I8080" si="793">"02298700010"</f>
        <v>02298700010</v>
      </c>
      <c r="I8057" t="str">
        <f t="shared" si="793"/>
        <v>02298700010</v>
      </c>
      <c r="K8057" t="str">
        <f>""</f>
        <v/>
      </c>
      <c r="M8057" t="s">
        <v>68</v>
      </c>
      <c r="N8057" t="str">
        <f t="shared" si="792"/>
        <v>FOR</v>
      </c>
      <c r="O8057" t="s">
        <v>69</v>
      </c>
      <c r="P8057" s="3" t="s">
        <v>75</v>
      </c>
      <c r="Q8057">
        <v>2015</v>
      </c>
      <c r="R8057" s="2">
        <v>42221</v>
      </c>
      <c r="S8057" s="2">
        <v>42228</v>
      </c>
      <c r="T8057" s="2">
        <v>42223</v>
      </c>
      <c r="U8057" s="2">
        <v>42283</v>
      </c>
      <c r="V8057" t="s">
        <v>71</v>
      </c>
      <c r="W8057" t="str">
        <f>"          1135905867"</f>
        <v xml:space="preserve">          1135905867</v>
      </c>
      <c r="X8057">
        <v>248.88</v>
      </c>
      <c r="Y8057">
        <v>0</v>
      </c>
      <c r="Z8057"/>
      <c r="AB8057"/>
      <c r="AC8057">
        <v>204</v>
      </c>
      <c r="AD8057">
        <v>244</v>
      </c>
      <c r="AE8057" s="1">
        <v>49776</v>
      </c>
      <c r="AF8057">
        <v>0</v>
      </c>
      <c r="AJ8057">
        <v>0</v>
      </c>
      <c r="AK8057">
        <v>0</v>
      </c>
      <c r="AL8057">
        <v>0</v>
      </c>
      <c r="AM8057">
        <v>0</v>
      </c>
      <c r="AN8057">
        <v>0</v>
      </c>
      <c r="AO8057">
        <v>0</v>
      </c>
      <c r="AP8057" s="2">
        <v>42746</v>
      </c>
      <c r="AQ8057" t="s">
        <v>72</v>
      </c>
      <c r="AR8057" t="s">
        <v>72</v>
      </c>
      <c r="AS8057">
        <v>1495</v>
      </c>
      <c r="AT8057" s="4">
        <v>42527</v>
      </c>
      <c r="AU8057" t="s">
        <v>73</v>
      </c>
      <c r="AV8057">
        <v>1495</v>
      </c>
      <c r="AW8057" s="4">
        <v>42527</v>
      </c>
      <c r="BD8057">
        <v>0</v>
      </c>
      <c r="BN8057" t="s">
        <v>74</v>
      </c>
    </row>
    <row r="8058" spans="1:66" hidden="1">
      <c r="A8058">
        <v>104563</v>
      </c>
      <c r="B8058" s="3" t="s">
        <v>677</v>
      </c>
      <c r="C8058" s="1">
        <v>43300101</v>
      </c>
      <c r="D8058" t="s">
        <v>67</v>
      </c>
      <c r="H8058" t="str">
        <f t="shared" si="793"/>
        <v>02298700010</v>
      </c>
      <c r="I8058" t="str">
        <f t="shared" si="793"/>
        <v>02298700010</v>
      </c>
      <c r="K8058" t="str">
        <f>""</f>
        <v/>
      </c>
      <c r="M8058" t="s">
        <v>68</v>
      </c>
      <c r="N8058" t="str">
        <f t="shared" si="792"/>
        <v>FOR</v>
      </c>
      <c r="O8058" t="s">
        <v>69</v>
      </c>
      <c r="P8058" s="3" t="s">
        <v>75</v>
      </c>
      <c r="Q8058">
        <v>2015</v>
      </c>
      <c r="R8058" s="2">
        <v>42228</v>
      </c>
      <c r="S8058" s="2">
        <v>42233</v>
      </c>
      <c r="T8058" s="2">
        <v>42230</v>
      </c>
      <c r="U8058" s="2">
        <v>42290</v>
      </c>
      <c r="V8058" t="s">
        <v>71</v>
      </c>
      <c r="W8058" t="str">
        <f>"          1135905927"</f>
        <v xml:space="preserve">          1135905927</v>
      </c>
      <c r="X8058">
        <v>89.88</v>
      </c>
      <c r="Y8058">
        <v>0</v>
      </c>
      <c r="Z8058"/>
      <c r="AB8058"/>
      <c r="AC8058">
        <v>73.67</v>
      </c>
      <c r="AD8058">
        <v>237</v>
      </c>
      <c r="AE8058" s="1">
        <v>17459.79</v>
      </c>
      <c r="AF8058">
        <v>0</v>
      </c>
      <c r="AJ8058">
        <v>0</v>
      </c>
      <c r="AK8058">
        <v>0</v>
      </c>
      <c r="AL8058">
        <v>0</v>
      </c>
      <c r="AM8058">
        <v>0</v>
      </c>
      <c r="AN8058">
        <v>0</v>
      </c>
      <c r="AO8058">
        <v>0</v>
      </c>
      <c r="AP8058" s="2">
        <v>42746</v>
      </c>
      <c r="AQ8058" t="s">
        <v>72</v>
      </c>
      <c r="AR8058" t="s">
        <v>72</v>
      </c>
      <c r="AS8058">
        <v>1495</v>
      </c>
      <c r="AT8058" s="4">
        <v>42527</v>
      </c>
      <c r="AU8058" t="s">
        <v>73</v>
      </c>
      <c r="AV8058">
        <v>1495</v>
      </c>
      <c r="AW8058" s="4">
        <v>42527</v>
      </c>
      <c r="BD8058">
        <v>0</v>
      </c>
      <c r="BN8058" t="s">
        <v>74</v>
      </c>
    </row>
    <row r="8059" spans="1:66" hidden="1">
      <c r="A8059">
        <v>104563</v>
      </c>
      <c r="B8059" s="3" t="s">
        <v>677</v>
      </c>
      <c r="C8059" s="1">
        <v>43300101</v>
      </c>
      <c r="D8059" t="s">
        <v>67</v>
      </c>
      <c r="H8059" t="str">
        <f t="shared" si="793"/>
        <v>02298700010</v>
      </c>
      <c r="I8059" t="str">
        <f t="shared" si="793"/>
        <v>02298700010</v>
      </c>
      <c r="K8059" t="str">
        <f>""</f>
        <v/>
      </c>
      <c r="M8059" t="s">
        <v>68</v>
      </c>
      <c r="N8059" t="str">
        <f t="shared" si="792"/>
        <v>FOR</v>
      </c>
      <c r="O8059" t="s">
        <v>69</v>
      </c>
      <c r="P8059" s="3" t="s">
        <v>75</v>
      </c>
      <c r="Q8059">
        <v>2015</v>
      </c>
      <c r="R8059" s="2">
        <v>42228</v>
      </c>
      <c r="S8059" s="2">
        <v>42233</v>
      </c>
      <c r="T8059" s="2">
        <v>42230</v>
      </c>
      <c r="U8059" s="2">
        <v>42290</v>
      </c>
      <c r="V8059" t="s">
        <v>71</v>
      </c>
      <c r="W8059" t="str">
        <f>"          1135905928"</f>
        <v xml:space="preserve">          1135905928</v>
      </c>
      <c r="X8059">
        <v>124.44</v>
      </c>
      <c r="Y8059">
        <v>0</v>
      </c>
      <c r="Z8059"/>
      <c r="AB8059"/>
      <c r="AC8059">
        <v>102</v>
      </c>
      <c r="AD8059">
        <v>237</v>
      </c>
      <c r="AE8059" s="1">
        <v>24174</v>
      </c>
      <c r="AF8059">
        <v>0</v>
      </c>
      <c r="AJ8059">
        <v>0</v>
      </c>
      <c r="AK8059">
        <v>0</v>
      </c>
      <c r="AL8059">
        <v>0</v>
      </c>
      <c r="AM8059">
        <v>0</v>
      </c>
      <c r="AN8059">
        <v>0</v>
      </c>
      <c r="AO8059">
        <v>0</v>
      </c>
      <c r="AP8059" s="2">
        <v>42746</v>
      </c>
      <c r="AQ8059" t="s">
        <v>72</v>
      </c>
      <c r="AR8059" t="s">
        <v>72</v>
      </c>
      <c r="AS8059">
        <v>1495</v>
      </c>
      <c r="AT8059" s="4">
        <v>42527</v>
      </c>
      <c r="AU8059" t="s">
        <v>73</v>
      </c>
      <c r="AV8059">
        <v>1495</v>
      </c>
      <c r="AW8059" s="4">
        <v>42527</v>
      </c>
      <c r="BD8059">
        <v>0</v>
      </c>
      <c r="BN8059" t="s">
        <v>74</v>
      </c>
    </row>
    <row r="8060" spans="1:66" hidden="1">
      <c r="A8060">
        <v>104563</v>
      </c>
      <c r="B8060" s="3" t="s">
        <v>677</v>
      </c>
      <c r="C8060" s="1">
        <v>43300101</v>
      </c>
      <c r="D8060" t="s">
        <v>67</v>
      </c>
      <c r="H8060" t="str">
        <f t="shared" si="793"/>
        <v>02298700010</v>
      </c>
      <c r="I8060" t="str">
        <f t="shared" si="793"/>
        <v>02298700010</v>
      </c>
      <c r="K8060" t="str">
        <f>""</f>
        <v/>
      </c>
      <c r="M8060" t="s">
        <v>68</v>
      </c>
      <c r="N8060" t="str">
        <f t="shared" si="792"/>
        <v>FOR</v>
      </c>
      <c r="O8060" t="s">
        <v>69</v>
      </c>
      <c r="P8060" s="3" t="s">
        <v>75</v>
      </c>
      <c r="Q8060">
        <v>2015</v>
      </c>
      <c r="R8060" s="2">
        <v>42228</v>
      </c>
      <c r="S8060" s="2">
        <v>42233</v>
      </c>
      <c r="T8060" s="2">
        <v>42230</v>
      </c>
      <c r="U8060" s="2">
        <v>42290</v>
      </c>
      <c r="V8060" t="s">
        <v>71</v>
      </c>
      <c r="W8060" t="str">
        <f>"          1135905929"</f>
        <v xml:space="preserve">          1135905929</v>
      </c>
      <c r="X8060">
        <v>124.44</v>
      </c>
      <c r="Y8060">
        <v>0</v>
      </c>
      <c r="Z8060"/>
      <c r="AB8060"/>
      <c r="AC8060">
        <v>102</v>
      </c>
      <c r="AD8060">
        <v>237</v>
      </c>
      <c r="AE8060" s="1">
        <v>24174</v>
      </c>
      <c r="AF8060">
        <v>0</v>
      </c>
      <c r="AJ8060">
        <v>0</v>
      </c>
      <c r="AK8060">
        <v>0</v>
      </c>
      <c r="AL8060">
        <v>0</v>
      </c>
      <c r="AM8060">
        <v>0</v>
      </c>
      <c r="AN8060">
        <v>0</v>
      </c>
      <c r="AO8060">
        <v>0</v>
      </c>
      <c r="AP8060" s="2">
        <v>42746</v>
      </c>
      <c r="AQ8060" t="s">
        <v>72</v>
      </c>
      <c r="AR8060" t="s">
        <v>72</v>
      </c>
      <c r="AS8060">
        <v>1495</v>
      </c>
      <c r="AT8060" s="4">
        <v>42527</v>
      </c>
      <c r="AU8060" t="s">
        <v>73</v>
      </c>
      <c r="AV8060">
        <v>1495</v>
      </c>
      <c r="AW8060" s="4">
        <v>42527</v>
      </c>
      <c r="BD8060">
        <v>0</v>
      </c>
      <c r="BN8060" t="s">
        <v>74</v>
      </c>
    </row>
    <row r="8061" spans="1:66" hidden="1">
      <c r="A8061">
        <v>104563</v>
      </c>
      <c r="B8061" s="3" t="s">
        <v>677</v>
      </c>
      <c r="C8061" s="1">
        <v>43300101</v>
      </c>
      <c r="D8061" t="s">
        <v>67</v>
      </c>
      <c r="H8061" t="str">
        <f t="shared" si="793"/>
        <v>02298700010</v>
      </c>
      <c r="I8061" t="str">
        <f t="shared" si="793"/>
        <v>02298700010</v>
      </c>
      <c r="K8061" t="str">
        <f>""</f>
        <v/>
      </c>
      <c r="M8061" t="s">
        <v>68</v>
      </c>
      <c r="N8061" t="str">
        <f t="shared" si="792"/>
        <v>FOR</v>
      </c>
      <c r="O8061" t="s">
        <v>69</v>
      </c>
      <c r="P8061" s="3" t="s">
        <v>75</v>
      </c>
      <c r="Q8061">
        <v>2015</v>
      </c>
      <c r="R8061" s="2">
        <v>42228</v>
      </c>
      <c r="S8061" s="2">
        <v>42233</v>
      </c>
      <c r="T8061" s="2">
        <v>42230</v>
      </c>
      <c r="U8061" s="2">
        <v>42290</v>
      </c>
      <c r="V8061" t="s">
        <v>71</v>
      </c>
      <c r="W8061" t="str">
        <f>"          1135905936"</f>
        <v xml:space="preserve">          1135905936</v>
      </c>
      <c r="X8061">
        <v>124.44</v>
      </c>
      <c r="Y8061">
        <v>0</v>
      </c>
      <c r="Z8061"/>
      <c r="AB8061"/>
      <c r="AC8061">
        <v>102</v>
      </c>
      <c r="AD8061">
        <v>237</v>
      </c>
      <c r="AE8061" s="1">
        <v>24174</v>
      </c>
      <c r="AF8061">
        <v>0</v>
      </c>
      <c r="AJ8061">
        <v>0</v>
      </c>
      <c r="AK8061">
        <v>0</v>
      </c>
      <c r="AL8061">
        <v>0</v>
      </c>
      <c r="AM8061">
        <v>0</v>
      </c>
      <c r="AN8061">
        <v>0</v>
      </c>
      <c r="AO8061">
        <v>0</v>
      </c>
      <c r="AP8061" s="2">
        <v>42746</v>
      </c>
      <c r="AQ8061" t="s">
        <v>72</v>
      </c>
      <c r="AR8061" t="s">
        <v>72</v>
      </c>
      <c r="AS8061">
        <v>1495</v>
      </c>
      <c r="AT8061" s="4">
        <v>42527</v>
      </c>
      <c r="AU8061" t="s">
        <v>73</v>
      </c>
      <c r="AV8061">
        <v>1495</v>
      </c>
      <c r="AW8061" s="4">
        <v>42527</v>
      </c>
      <c r="BD8061">
        <v>0</v>
      </c>
      <c r="BN8061" t="s">
        <v>74</v>
      </c>
    </row>
    <row r="8062" spans="1:66" hidden="1">
      <c r="A8062">
        <v>104563</v>
      </c>
      <c r="B8062" s="3" t="s">
        <v>677</v>
      </c>
      <c r="C8062" s="1">
        <v>43300101</v>
      </c>
      <c r="D8062" t="s">
        <v>67</v>
      </c>
      <c r="H8062" t="str">
        <f t="shared" si="793"/>
        <v>02298700010</v>
      </c>
      <c r="I8062" t="str">
        <f t="shared" si="793"/>
        <v>02298700010</v>
      </c>
      <c r="K8062" t="str">
        <f>""</f>
        <v/>
      </c>
      <c r="M8062" t="s">
        <v>68</v>
      </c>
      <c r="N8062" t="str">
        <f t="shared" si="792"/>
        <v>FOR</v>
      </c>
      <c r="O8062" t="s">
        <v>69</v>
      </c>
      <c r="P8062" s="3" t="s">
        <v>75</v>
      </c>
      <c r="Q8062">
        <v>2015</v>
      </c>
      <c r="R8062" s="2">
        <v>42277</v>
      </c>
      <c r="S8062" s="2">
        <v>42293</v>
      </c>
      <c r="T8062" s="2">
        <v>42291</v>
      </c>
      <c r="U8062" s="2">
        <v>42351</v>
      </c>
      <c r="V8062" t="s">
        <v>71</v>
      </c>
      <c r="W8062" t="str">
        <f>"          1135906121"</f>
        <v xml:space="preserve">          1135906121</v>
      </c>
      <c r="X8062">
        <v>322.08</v>
      </c>
      <c r="Y8062">
        <v>0</v>
      </c>
      <c r="Z8062"/>
      <c r="AB8062"/>
      <c r="AC8062">
        <v>264</v>
      </c>
      <c r="AD8062">
        <v>176</v>
      </c>
      <c r="AE8062" s="1">
        <v>46464</v>
      </c>
      <c r="AF8062">
        <v>0</v>
      </c>
      <c r="AJ8062">
        <v>0</v>
      </c>
      <c r="AK8062">
        <v>0</v>
      </c>
      <c r="AL8062">
        <v>0</v>
      </c>
      <c r="AM8062">
        <v>0</v>
      </c>
      <c r="AN8062">
        <v>0</v>
      </c>
      <c r="AO8062">
        <v>0</v>
      </c>
      <c r="AP8062" s="2">
        <v>42746</v>
      </c>
      <c r="AQ8062" t="s">
        <v>72</v>
      </c>
      <c r="AR8062" t="s">
        <v>72</v>
      </c>
      <c r="AS8062">
        <v>1495</v>
      </c>
      <c r="AT8062" s="4">
        <v>42527</v>
      </c>
      <c r="AU8062" t="s">
        <v>73</v>
      </c>
      <c r="AV8062">
        <v>1495</v>
      </c>
      <c r="AW8062" s="4">
        <v>42527</v>
      </c>
      <c r="BD8062">
        <v>0</v>
      </c>
      <c r="BN8062" t="s">
        <v>74</v>
      </c>
    </row>
    <row r="8063" spans="1:66" hidden="1">
      <c r="A8063">
        <v>104563</v>
      </c>
      <c r="B8063" s="3" t="s">
        <v>677</v>
      </c>
      <c r="C8063" s="1">
        <v>43300101</v>
      </c>
      <c r="D8063" t="s">
        <v>67</v>
      </c>
      <c r="H8063" t="str">
        <f t="shared" si="793"/>
        <v>02298700010</v>
      </c>
      <c r="I8063" t="str">
        <f t="shared" si="793"/>
        <v>02298700010</v>
      </c>
      <c r="K8063" t="str">
        <f>""</f>
        <v/>
      </c>
      <c r="M8063" t="s">
        <v>68</v>
      </c>
      <c r="N8063" t="str">
        <f t="shared" si="792"/>
        <v>FOR</v>
      </c>
      <c r="O8063" t="s">
        <v>69</v>
      </c>
      <c r="P8063" s="3" t="s">
        <v>75</v>
      </c>
      <c r="Q8063">
        <v>2015</v>
      </c>
      <c r="R8063" s="2">
        <v>42277</v>
      </c>
      <c r="S8063" s="2">
        <v>42293</v>
      </c>
      <c r="T8063" s="2">
        <v>42291</v>
      </c>
      <c r="U8063" s="2">
        <v>42351</v>
      </c>
      <c r="V8063" t="s">
        <v>71</v>
      </c>
      <c r="W8063" t="str">
        <f>"          1135906122"</f>
        <v xml:space="preserve">          1135906122</v>
      </c>
      <c r="X8063">
        <v>373.32</v>
      </c>
      <c r="Y8063">
        <v>0</v>
      </c>
      <c r="Z8063"/>
      <c r="AB8063"/>
      <c r="AC8063">
        <v>306</v>
      </c>
      <c r="AD8063">
        <v>176</v>
      </c>
      <c r="AE8063" s="1">
        <v>53856</v>
      </c>
      <c r="AF8063">
        <v>0</v>
      </c>
      <c r="AJ8063">
        <v>0</v>
      </c>
      <c r="AK8063">
        <v>0</v>
      </c>
      <c r="AL8063">
        <v>0</v>
      </c>
      <c r="AM8063">
        <v>0</v>
      </c>
      <c r="AN8063">
        <v>0</v>
      </c>
      <c r="AO8063">
        <v>0</v>
      </c>
      <c r="AP8063" s="2">
        <v>42746</v>
      </c>
      <c r="AQ8063" t="s">
        <v>72</v>
      </c>
      <c r="AR8063" t="s">
        <v>72</v>
      </c>
      <c r="AS8063">
        <v>1495</v>
      </c>
      <c r="AT8063" s="4">
        <v>42527</v>
      </c>
      <c r="AU8063" t="s">
        <v>73</v>
      </c>
      <c r="AV8063">
        <v>1495</v>
      </c>
      <c r="AW8063" s="4">
        <v>42527</v>
      </c>
      <c r="BD8063">
        <v>0</v>
      </c>
      <c r="BN8063" t="s">
        <v>74</v>
      </c>
    </row>
    <row r="8064" spans="1:66" hidden="1">
      <c r="A8064">
        <v>104563</v>
      </c>
      <c r="B8064" s="3" t="s">
        <v>677</v>
      </c>
      <c r="C8064" s="1">
        <v>43300101</v>
      </c>
      <c r="D8064" t="s">
        <v>67</v>
      </c>
      <c r="H8064" t="str">
        <f t="shared" si="793"/>
        <v>02298700010</v>
      </c>
      <c r="I8064" t="str">
        <f t="shared" si="793"/>
        <v>02298700010</v>
      </c>
      <c r="K8064" t="str">
        <f>""</f>
        <v/>
      </c>
      <c r="M8064" t="s">
        <v>68</v>
      </c>
      <c r="N8064" t="str">
        <f t="shared" si="792"/>
        <v>FOR</v>
      </c>
      <c r="O8064" t="s">
        <v>69</v>
      </c>
      <c r="P8064" s="3" t="s">
        <v>75</v>
      </c>
      <c r="Q8064">
        <v>2015</v>
      </c>
      <c r="R8064" s="2">
        <v>42277</v>
      </c>
      <c r="S8064" s="2">
        <v>42293</v>
      </c>
      <c r="T8064" s="2">
        <v>42291</v>
      </c>
      <c r="U8064" s="2">
        <v>42351</v>
      </c>
      <c r="V8064" t="s">
        <v>71</v>
      </c>
      <c r="W8064" t="str">
        <f>"          1135906123"</f>
        <v xml:space="preserve">          1135906123</v>
      </c>
      <c r="X8064">
        <v>124.44</v>
      </c>
      <c r="Y8064">
        <v>0</v>
      </c>
      <c r="Z8064"/>
      <c r="AB8064"/>
      <c r="AC8064">
        <v>102</v>
      </c>
      <c r="AD8064">
        <v>176</v>
      </c>
      <c r="AE8064" s="1">
        <v>17952</v>
      </c>
      <c r="AF8064">
        <v>0</v>
      </c>
      <c r="AJ8064">
        <v>0</v>
      </c>
      <c r="AK8064">
        <v>0</v>
      </c>
      <c r="AL8064">
        <v>0</v>
      </c>
      <c r="AM8064">
        <v>0</v>
      </c>
      <c r="AN8064">
        <v>0</v>
      </c>
      <c r="AO8064">
        <v>0</v>
      </c>
      <c r="AP8064" s="2">
        <v>42746</v>
      </c>
      <c r="AQ8064" t="s">
        <v>72</v>
      </c>
      <c r="AR8064" t="s">
        <v>72</v>
      </c>
      <c r="AS8064">
        <v>1495</v>
      </c>
      <c r="AT8064" s="4">
        <v>42527</v>
      </c>
      <c r="AU8064" t="s">
        <v>73</v>
      </c>
      <c r="AV8064">
        <v>1495</v>
      </c>
      <c r="AW8064" s="4">
        <v>42527</v>
      </c>
      <c r="BD8064">
        <v>0</v>
      </c>
      <c r="BN8064" t="s">
        <v>74</v>
      </c>
    </row>
    <row r="8065" spans="1:66" hidden="1">
      <c r="A8065">
        <v>104563</v>
      </c>
      <c r="B8065" s="3" t="s">
        <v>677</v>
      </c>
      <c r="C8065" s="1">
        <v>43300101</v>
      </c>
      <c r="D8065" t="s">
        <v>67</v>
      </c>
      <c r="H8065" t="str">
        <f t="shared" si="793"/>
        <v>02298700010</v>
      </c>
      <c r="I8065" t="str">
        <f t="shared" si="793"/>
        <v>02298700010</v>
      </c>
      <c r="K8065" t="str">
        <f>""</f>
        <v/>
      </c>
      <c r="M8065" t="s">
        <v>68</v>
      </c>
      <c r="N8065" t="str">
        <f t="shared" si="792"/>
        <v>FOR</v>
      </c>
      <c r="O8065" t="s">
        <v>69</v>
      </c>
      <c r="P8065" s="3" t="s">
        <v>75</v>
      </c>
      <c r="Q8065">
        <v>2015</v>
      </c>
      <c r="R8065" s="2">
        <v>42277</v>
      </c>
      <c r="S8065" s="2">
        <v>42293</v>
      </c>
      <c r="T8065" s="2">
        <v>42291</v>
      </c>
      <c r="U8065" s="2">
        <v>42351</v>
      </c>
      <c r="V8065" t="s">
        <v>71</v>
      </c>
      <c r="W8065" t="str">
        <f>"          1135906124"</f>
        <v xml:space="preserve">          1135906124</v>
      </c>
      <c r="X8065">
        <v>248.88</v>
      </c>
      <c r="Y8065">
        <v>0</v>
      </c>
      <c r="Z8065"/>
      <c r="AB8065"/>
      <c r="AC8065">
        <v>204</v>
      </c>
      <c r="AD8065">
        <v>176</v>
      </c>
      <c r="AE8065" s="1">
        <v>35904</v>
      </c>
      <c r="AF8065">
        <v>0</v>
      </c>
      <c r="AJ8065">
        <v>0</v>
      </c>
      <c r="AK8065">
        <v>0</v>
      </c>
      <c r="AL8065">
        <v>0</v>
      </c>
      <c r="AM8065">
        <v>0</v>
      </c>
      <c r="AN8065">
        <v>0</v>
      </c>
      <c r="AO8065">
        <v>0</v>
      </c>
      <c r="AP8065" s="2">
        <v>42746</v>
      </c>
      <c r="AQ8065" t="s">
        <v>72</v>
      </c>
      <c r="AR8065" t="s">
        <v>72</v>
      </c>
      <c r="AS8065">
        <v>1495</v>
      </c>
      <c r="AT8065" s="4">
        <v>42527</v>
      </c>
      <c r="AU8065" t="s">
        <v>73</v>
      </c>
      <c r="AV8065">
        <v>1495</v>
      </c>
      <c r="AW8065" s="4">
        <v>42527</v>
      </c>
      <c r="BD8065">
        <v>0</v>
      </c>
      <c r="BN8065" t="s">
        <v>74</v>
      </c>
    </row>
    <row r="8066" spans="1:66" hidden="1">
      <c r="A8066">
        <v>104563</v>
      </c>
      <c r="B8066" s="3" t="s">
        <v>677</v>
      </c>
      <c r="C8066" s="1">
        <v>43300101</v>
      </c>
      <c r="D8066" t="s">
        <v>67</v>
      </c>
      <c r="H8066" t="str">
        <f t="shared" si="793"/>
        <v>02298700010</v>
      </c>
      <c r="I8066" t="str">
        <f t="shared" si="793"/>
        <v>02298700010</v>
      </c>
      <c r="K8066" t="str">
        <f>""</f>
        <v/>
      </c>
      <c r="M8066" t="s">
        <v>68</v>
      </c>
      <c r="N8066" t="str">
        <f t="shared" si="792"/>
        <v>FOR</v>
      </c>
      <c r="O8066" t="s">
        <v>69</v>
      </c>
      <c r="P8066" s="3" t="s">
        <v>75</v>
      </c>
      <c r="Q8066">
        <v>2015</v>
      </c>
      <c r="R8066" s="2">
        <v>42277</v>
      </c>
      <c r="S8066" s="2">
        <v>42293</v>
      </c>
      <c r="T8066" s="2">
        <v>42291</v>
      </c>
      <c r="U8066" s="2">
        <v>42351</v>
      </c>
      <c r="V8066" t="s">
        <v>71</v>
      </c>
      <c r="W8066" t="str">
        <f>"          1135906125"</f>
        <v xml:space="preserve">          1135906125</v>
      </c>
      <c r="X8066">
        <v>550.22</v>
      </c>
      <c r="Y8066">
        <v>0</v>
      </c>
      <c r="Z8066"/>
      <c r="AB8066"/>
      <c r="AC8066">
        <v>451</v>
      </c>
      <c r="AD8066">
        <v>176</v>
      </c>
      <c r="AE8066" s="1">
        <v>79376</v>
      </c>
      <c r="AF8066">
        <v>0</v>
      </c>
      <c r="AJ8066">
        <v>0</v>
      </c>
      <c r="AK8066">
        <v>0</v>
      </c>
      <c r="AL8066">
        <v>0</v>
      </c>
      <c r="AM8066">
        <v>0</v>
      </c>
      <c r="AN8066">
        <v>0</v>
      </c>
      <c r="AO8066">
        <v>0</v>
      </c>
      <c r="AP8066" s="2">
        <v>42746</v>
      </c>
      <c r="AQ8066" t="s">
        <v>72</v>
      </c>
      <c r="AR8066" t="s">
        <v>72</v>
      </c>
      <c r="AS8066">
        <v>1495</v>
      </c>
      <c r="AT8066" s="4">
        <v>42527</v>
      </c>
      <c r="AU8066" t="s">
        <v>73</v>
      </c>
      <c r="AV8066">
        <v>1495</v>
      </c>
      <c r="AW8066" s="4">
        <v>42527</v>
      </c>
      <c r="BD8066">
        <v>0</v>
      </c>
      <c r="BN8066" t="s">
        <v>74</v>
      </c>
    </row>
    <row r="8067" spans="1:66" hidden="1">
      <c r="A8067">
        <v>104563</v>
      </c>
      <c r="B8067" s="3" t="s">
        <v>677</v>
      </c>
      <c r="C8067" s="1">
        <v>43300101</v>
      </c>
      <c r="D8067" t="s">
        <v>67</v>
      </c>
      <c r="H8067" t="str">
        <f t="shared" si="793"/>
        <v>02298700010</v>
      </c>
      <c r="I8067" t="str">
        <f t="shared" si="793"/>
        <v>02298700010</v>
      </c>
      <c r="K8067" t="str">
        <f>""</f>
        <v/>
      </c>
      <c r="M8067" t="s">
        <v>68</v>
      </c>
      <c r="N8067" t="str">
        <f t="shared" si="792"/>
        <v>FOR</v>
      </c>
      <c r="O8067" t="s">
        <v>69</v>
      </c>
      <c r="P8067" s="3" t="s">
        <v>75</v>
      </c>
      <c r="Q8067">
        <v>2015</v>
      </c>
      <c r="R8067" s="2">
        <v>42303</v>
      </c>
      <c r="S8067" s="2">
        <v>42305</v>
      </c>
      <c r="T8067" s="2">
        <v>42304</v>
      </c>
      <c r="U8067" s="2">
        <v>42364</v>
      </c>
      <c r="V8067" t="s">
        <v>71</v>
      </c>
      <c r="W8067" t="str">
        <f>"          1135908360"</f>
        <v xml:space="preserve">          1135908360</v>
      </c>
      <c r="X8067">
        <v>93.05</v>
      </c>
      <c r="Y8067">
        <v>0</v>
      </c>
      <c r="Z8067"/>
      <c r="AB8067"/>
      <c r="AC8067">
        <v>76.27</v>
      </c>
      <c r="AD8067">
        <v>163</v>
      </c>
      <c r="AE8067" s="1">
        <v>12432.01</v>
      </c>
      <c r="AF8067">
        <v>0</v>
      </c>
      <c r="AJ8067">
        <v>0</v>
      </c>
      <c r="AK8067">
        <v>0</v>
      </c>
      <c r="AL8067">
        <v>0</v>
      </c>
      <c r="AM8067">
        <v>0</v>
      </c>
      <c r="AN8067">
        <v>0</v>
      </c>
      <c r="AO8067">
        <v>0</v>
      </c>
      <c r="AP8067" s="2">
        <v>42746</v>
      </c>
      <c r="AQ8067" t="s">
        <v>72</v>
      </c>
      <c r="AR8067" t="s">
        <v>72</v>
      </c>
      <c r="AS8067">
        <v>1495</v>
      </c>
      <c r="AT8067" s="4">
        <v>42527</v>
      </c>
      <c r="AU8067" t="s">
        <v>73</v>
      </c>
      <c r="AV8067">
        <v>1495</v>
      </c>
      <c r="AW8067" s="4">
        <v>42527</v>
      </c>
      <c r="BD8067">
        <v>0</v>
      </c>
      <c r="BN8067" t="s">
        <v>74</v>
      </c>
    </row>
    <row r="8068" spans="1:66" hidden="1">
      <c r="A8068">
        <v>104563</v>
      </c>
      <c r="B8068" s="3" t="s">
        <v>677</v>
      </c>
      <c r="C8068" s="1">
        <v>43300101</v>
      </c>
      <c r="D8068" t="s">
        <v>67</v>
      </c>
      <c r="H8068" t="str">
        <f t="shared" si="793"/>
        <v>02298700010</v>
      </c>
      <c r="I8068" t="str">
        <f t="shared" si="793"/>
        <v>02298700010</v>
      </c>
      <c r="K8068" t="str">
        <f>""</f>
        <v/>
      </c>
      <c r="M8068" t="s">
        <v>68</v>
      </c>
      <c r="N8068" t="str">
        <f t="shared" si="792"/>
        <v>FOR</v>
      </c>
      <c r="O8068" t="s">
        <v>69</v>
      </c>
      <c r="P8068" s="3" t="s">
        <v>75</v>
      </c>
      <c r="Q8068">
        <v>2015</v>
      </c>
      <c r="R8068" s="2">
        <v>42369</v>
      </c>
      <c r="S8068" s="2">
        <v>42369</v>
      </c>
      <c r="T8068" s="2">
        <v>42369</v>
      </c>
      <c r="U8068" s="2">
        <v>42429</v>
      </c>
      <c r="V8068" t="s">
        <v>71</v>
      </c>
      <c r="W8068" t="str">
        <f>"          1135908980"</f>
        <v xml:space="preserve">          1135908980</v>
      </c>
      <c r="X8068">
        <v>373.32</v>
      </c>
      <c r="Y8068">
        <v>0</v>
      </c>
      <c r="Z8068"/>
      <c r="AB8068"/>
      <c r="AC8068">
        <v>306</v>
      </c>
      <c r="AD8068">
        <v>98</v>
      </c>
      <c r="AE8068" s="1">
        <v>29988</v>
      </c>
      <c r="AF8068">
        <v>0</v>
      </c>
      <c r="AJ8068">
        <v>0</v>
      </c>
      <c r="AK8068">
        <v>0</v>
      </c>
      <c r="AL8068">
        <v>0</v>
      </c>
      <c r="AM8068">
        <v>0</v>
      </c>
      <c r="AN8068">
        <v>0</v>
      </c>
      <c r="AO8068">
        <v>0</v>
      </c>
      <c r="AP8068" s="2">
        <v>42746</v>
      </c>
      <c r="AQ8068" t="s">
        <v>72</v>
      </c>
      <c r="AR8068" t="s">
        <v>72</v>
      </c>
      <c r="AS8068">
        <v>1495</v>
      </c>
      <c r="AT8068" s="4">
        <v>42527</v>
      </c>
      <c r="AU8068" t="s">
        <v>73</v>
      </c>
      <c r="AV8068">
        <v>1495</v>
      </c>
      <c r="AW8068" s="4">
        <v>42527</v>
      </c>
      <c r="BD8068">
        <v>0</v>
      </c>
      <c r="BN8068" t="s">
        <v>74</v>
      </c>
    </row>
    <row r="8069" spans="1:66" hidden="1">
      <c r="A8069">
        <v>104563</v>
      </c>
      <c r="B8069" s="3" t="s">
        <v>677</v>
      </c>
      <c r="C8069" s="1">
        <v>43300101</v>
      </c>
      <c r="D8069" t="s">
        <v>67</v>
      </c>
      <c r="H8069" t="str">
        <f t="shared" si="793"/>
        <v>02298700010</v>
      </c>
      <c r="I8069" t="str">
        <f t="shared" si="793"/>
        <v>02298700010</v>
      </c>
      <c r="K8069" t="str">
        <f>""</f>
        <v/>
      </c>
      <c r="M8069" t="s">
        <v>68</v>
      </c>
      <c r="N8069" t="str">
        <f t="shared" si="792"/>
        <v>FOR</v>
      </c>
      <c r="O8069" t="s">
        <v>69</v>
      </c>
      <c r="P8069" s="3" t="s">
        <v>75</v>
      </c>
      <c r="Q8069">
        <v>2015</v>
      </c>
      <c r="R8069" s="2">
        <v>42369</v>
      </c>
      <c r="S8069" s="2">
        <v>42369</v>
      </c>
      <c r="T8069" s="2">
        <v>42369</v>
      </c>
      <c r="U8069" s="2">
        <v>42429</v>
      </c>
      <c r="V8069" t="s">
        <v>71</v>
      </c>
      <c r="W8069" t="str">
        <f>"          1135908981"</f>
        <v xml:space="preserve">          1135908981</v>
      </c>
      <c r="X8069">
        <v>124.44</v>
      </c>
      <c r="Y8069">
        <v>0</v>
      </c>
      <c r="Z8069"/>
      <c r="AB8069"/>
      <c r="AC8069">
        <v>102</v>
      </c>
      <c r="AD8069">
        <v>98</v>
      </c>
      <c r="AE8069" s="1">
        <v>9996</v>
      </c>
      <c r="AF8069">
        <v>0</v>
      </c>
      <c r="AJ8069">
        <v>0</v>
      </c>
      <c r="AK8069">
        <v>0</v>
      </c>
      <c r="AL8069">
        <v>0</v>
      </c>
      <c r="AM8069">
        <v>0</v>
      </c>
      <c r="AN8069">
        <v>0</v>
      </c>
      <c r="AO8069">
        <v>0</v>
      </c>
      <c r="AP8069" s="2">
        <v>42746</v>
      </c>
      <c r="AQ8069" t="s">
        <v>72</v>
      </c>
      <c r="AR8069" t="s">
        <v>72</v>
      </c>
      <c r="AS8069">
        <v>1495</v>
      </c>
      <c r="AT8069" s="4">
        <v>42527</v>
      </c>
      <c r="AU8069" t="s">
        <v>73</v>
      </c>
      <c r="AV8069">
        <v>1495</v>
      </c>
      <c r="AW8069" s="4">
        <v>42527</v>
      </c>
      <c r="BD8069">
        <v>0</v>
      </c>
      <c r="BN8069" t="s">
        <v>74</v>
      </c>
    </row>
    <row r="8070" spans="1:66" hidden="1">
      <c r="A8070">
        <v>104563</v>
      </c>
      <c r="B8070" s="3" t="s">
        <v>677</v>
      </c>
      <c r="C8070" s="1">
        <v>43300101</v>
      </c>
      <c r="D8070" t="s">
        <v>67</v>
      </c>
      <c r="H8070" t="str">
        <f t="shared" si="793"/>
        <v>02298700010</v>
      </c>
      <c r="I8070" t="str">
        <f t="shared" si="793"/>
        <v>02298700010</v>
      </c>
      <c r="K8070" t="str">
        <f>""</f>
        <v/>
      </c>
      <c r="M8070" t="s">
        <v>68</v>
      </c>
      <c r="N8070" t="str">
        <f t="shared" si="792"/>
        <v>FOR</v>
      </c>
      <c r="O8070" t="s">
        <v>69</v>
      </c>
      <c r="P8070" s="3" t="s">
        <v>75</v>
      </c>
      <c r="Q8070">
        <v>2015</v>
      </c>
      <c r="R8070" s="2">
        <v>42369</v>
      </c>
      <c r="S8070" s="2">
        <v>42369</v>
      </c>
      <c r="T8070" s="2">
        <v>42369</v>
      </c>
      <c r="U8070" s="2">
        <v>42429</v>
      </c>
      <c r="V8070" t="s">
        <v>71</v>
      </c>
      <c r="W8070" t="str">
        <f>"          1135908982"</f>
        <v xml:space="preserve">          1135908982</v>
      </c>
      <c r="X8070">
        <v>248.88</v>
      </c>
      <c r="Y8070">
        <v>0</v>
      </c>
      <c r="Z8070"/>
      <c r="AB8070"/>
      <c r="AC8070">
        <v>204</v>
      </c>
      <c r="AD8070">
        <v>98</v>
      </c>
      <c r="AE8070" s="1">
        <v>19992</v>
      </c>
      <c r="AF8070">
        <v>0</v>
      </c>
      <c r="AJ8070">
        <v>0</v>
      </c>
      <c r="AK8070">
        <v>0</v>
      </c>
      <c r="AL8070">
        <v>0</v>
      </c>
      <c r="AM8070">
        <v>0</v>
      </c>
      <c r="AN8070">
        <v>0</v>
      </c>
      <c r="AO8070">
        <v>0</v>
      </c>
      <c r="AP8070" s="2">
        <v>42746</v>
      </c>
      <c r="AQ8070" t="s">
        <v>72</v>
      </c>
      <c r="AR8070" t="s">
        <v>72</v>
      </c>
      <c r="AS8070">
        <v>1495</v>
      </c>
      <c r="AT8070" s="4">
        <v>42527</v>
      </c>
      <c r="AU8070" t="s">
        <v>73</v>
      </c>
      <c r="AV8070">
        <v>1495</v>
      </c>
      <c r="AW8070" s="4">
        <v>42527</v>
      </c>
      <c r="BD8070">
        <v>0</v>
      </c>
      <c r="BN8070" t="s">
        <v>74</v>
      </c>
    </row>
    <row r="8071" spans="1:66" hidden="1">
      <c r="A8071">
        <v>104563</v>
      </c>
      <c r="B8071" s="3" t="s">
        <v>677</v>
      </c>
      <c r="C8071" s="1">
        <v>43300101</v>
      </c>
      <c r="D8071" t="s">
        <v>67</v>
      </c>
      <c r="H8071" t="str">
        <f t="shared" si="793"/>
        <v>02298700010</v>
      </c>
      <c r="I8071" t="str">
        <f t="shared" si="793"/>
        <v>02298700010</v>
      </c>
      <c r="K8071" t="str">
        <f>""</f>
        <v/>
      </c>
      <c r="M8071" t="s">
        <v>68</v>
      </c>
      <c r="N8071" t="str">
        <f t="shared" si="792"/>
        <v>FOR</v>
      </c>
      <c r="O8071" t="s">
        <v>69</v>
      </c>
      <c r="P8071" s="3" t="s">
        <v>75</v>
      </c>
      <c r="Q8071">
        <v>2015</v>
      </c>
      <c r="R8071" s="2">
        <v>42369</v>
      </c>
      <c r="S8071" s="2">
        <v>42369</v>
      </c>
      <c r="T8071" s="2">
        <v>42369</v>
      </c>
      <c r="U8071" s="2">
        <v>42429</v>
      </c>
      <c r="V8071" t="s">
        <v>71</v>
      </c>
      <c r="W8071" t="str">
        <f>"          1135908983"</f>
        <v xml:space="preserve">          1135908983</v>
      </c>
      <c r="X8071">
        <v>550.22</v>
      </c>
      <c r="Y8071">
        <v>0</v>
      </c>
      <c r="Z8071"/>
      <c r="AB8071"/>
      <c r="AC8071">
        <v>451</v>
      </c>
      <c r="AD8071">
        <v>98</v>
      </c>
      <c r="AE8071" s="1">
        <v>44198</v>
      </c>
      <c r="AF8071">
        <v>0</v>
      </c>
      <c r="AJ8071">
        <v>0</v>
      </c>
      <c r="AK8071">
        <v>0</v>
      </c>
      <c r="AL8071">
        <v>0</v>
      </c>
      <c r="AM8071">
        <v>0</v>
      </c>
      <c r="AN8071">
        <v>0</v>
      </c>
      <c r="AO8071">
        <v>0</v>
      </c>
      <c r="AP8071" s="2">
        <v>42746</v>
      </c>
      <c r="AQ8071" t="s">
        <v>72</v>
      </c>
      <c r="AR8071" t="s">
        <v>72</v>
      </c>
      <c r="AS8071">
        <v>1495</v>
      </c>
      <c r="AT8071" s="4">
        <v>42527</v>
      </c>
      <c r="AU8071" t="s">
        <v>73</v>
      </c>
      <c r="AV8071">
        <v>1495</v>
      </c>
      <c r="AW8071" s="4">
        <v>42527</v>
      </c>
      <c r="BD8071">
        <v>0</v>
      </c>
      <c r="BN8071" t="s">
        <v>74</v>
      </c>
    </row>
    <row r="8072" spans="1:66" hidden="1">
      <c r="A8072">
        <v>104563</v>
      </c>
      <c r="B8072" s="3" t="s">
        <v>677</v>
      </c>
      <c r="C8072" s="1">
        <v>43300101</v>
      </c>
      <c r="D8072" t="s">
        <v>67</v>
      </c>
      <c r="H8072" t="str">
        <f t="shared" si="793"/>
        <v>02298700010</v>
      </c>
      <c r="I8072" t="str">
        <f t="shared" si="793"/>
        <v>02298700010</v>
      </c>
      <c r="K8072" t="str">
        <f>""</f>
        <v/>
      </c>
      <c r="M8072" t="s">
        <v>68</v>
      </c>
      <c r="N8072" t="str">
        <f t="shared" si="792"/>
        <v>FOR</v>
      </c>
      <c r="O8072" t="s">
        <v>69</v>
      </c>
      <c r="P8072" s="3" t="s">
        <v>75</v>
      </c>
      <c r="Q8072">
        <v>2016</v>
      </c>
      <c r="R8072" s="2">
        <v>42396</v>
      </c>
      <c r="S8072" s="2">
        <v>42404</v>
      </c>
      <c r="T8072" s="2">
        <v>42397</v>
      </c>
      <c r="U8072" s="2">
        <v>42457</v>
      </c>
      <c r="V8072" t="s">
        <v>71</v>
      </c>
      <c r="W8072" t="str">
        <f>"          0000001915"</f>
        <v xml:space="preserve">          0000001915</v>
      </c>
      <c r="X8072" s="1">
        <v>1982.01</v>
      </c>
      <c r="Y8072">
        <v>0</v>
      </c>
      <c r="Z8072"/>
      <c r="AB8072"/>
      <c r="AC8072" s="1">
        <v>1624.6</v>
      </c>
      <c r="AD8072">
        <v>163</v>
      </c>
      <c r="AE8072" s="1">
        <v>264809.8</v>
      </c>
      <c r="AF8072">
        <v>0</v>
      </c>
      <c r="AJ8072">
        <v>0</v>
      </c>
      <c r="AK8072">
        <v>0</v>
      </c>
      <c r="AL8072">
        <v>0</v>
      </c>
      <c r="AM8072">
        <v>0</v>
      </c>
      <c r="AN8072" s="1">
        <v>1982.01</v>
      </c>
      <c r="AO8072" s="1">
        <v>1982.01</v>
      </c>
      <c r="AP8072" s="2">
        <v>42746</v>
      </c>
      <c r="AQ8072" t="s">
        <v>72</v>
      </c>
      <c r="AR8072" t="s">
        <v>72</v>
      </c>
      <c r="AS8072">
        <v>2347</v>
      </c>
      <c r="AT8072" s="4">
        <v>42620</v>
      </c>
      <c r="AU8072" t="s">
        <v>73</v>
      </c>
      <c r="AV8072">
        <v>2347</v>
      </c>
      <c r="AW8072" s="4">
        <v>42620</v>
      </c>
      <c r="BD8072">
        <v>0</v>
      </c>
      <c r="BN8072" t="s">
        <v>74</v>
      </c>
    </row>
    <row r="8073" spans="1:66">
      <c r="A8073">
        <v>104563</v>
      </c>
      <c r="B8073" s="3" t="s">
        <v>677</v>
      </c>
      <c r="C8073" s="1">
        <v>43300101</v>
      </c>
      <c r="D8073" t="s">
        <v>67</v>
      </c>
      <c r="H8073" t="str">
        <f t="shared" si="793"/>
        <v>02298700010</v>
      </c>
      <c r="I8073" t="str">
        <f t="shared" si="793"/>
        <v>02298700010</v>
      </c>
      <c r="K8073" t="str">
        <f>""</f>
        <v/>
      </c>
      <c r="M8073" t="s">
        <v>68</v>
      </c>
      <c r="N8073" t="str">
        <f t="shared" si="792"/>
        <v>FOR</v>
      </c>
      <c r="O8073" t="s">
        <v>69</v>
      </c>
      <c r="P8073" s="3" t="s">
        <v>75</v>
      </c>
      <c r="Q8073">
        <v>2016</v>
      </c>
      <c r="R8073" s="2">
        <v>42451</v>
      </c>
      <c r="S8073" s="2">
        <v>42461</v>
      </c>
      <c r="T8073" s="2">
        <v>42452</v>
      </c>
      <c r="U8073" s="2">
        <v>42512</v>
      </c>
      <c r="V8073" t="s">
        <v>71</v>
      </c>
      <c r="W8073" t="str">
        <f>"          0000007267"</f>
        <v xml:space="preserve">          0000007267</v>
      </c>
      <c r="X8073" s="1">
        <v>1889.34</v>
      </c>
      <c r="Y8073">
        <v>0</v>
      </c>
      <c r="Z8073" s="5">
        <v>1548.64</v>
      </c>
      <c r="AA8073">
        <v>172</v>
      </c>
      <c r="AB8073" s="5">
        <v>266366.08000000002</v>
      </c>
      <c r="AC8073" s="1">
        <v>1548.64</v>
      </c>
      <c r="AD8073">
        <v>172</v>
      </c>
      <c r="AE8073" s="1">
        <v>266366.08000000002</v>
      </c>
      <c r="AF8073">
        <v>0</v>
      </c>
      <c r="AJ8073">
        <v>0</v>
      </c>
      <c r="AK8073">
        <v>0</v>
      </c>
      <c r="AL8073">
        <v>0</v>
      </c>
      <c r="AM8073" s="1">
        <v>1889.34</v>
      </c>
      <c r="AN8073" s="1">
        <v>1889.34</v>
      </c>
      <c r="AO8073" s="1">
        <v>1889.34</v>
      </c>
      <c r="AP8073" s="2">
        <v>42746</v>
      </c>
      <c r="AQ8073" t="s">
        <v>72</v>
      </c>
      <c r="AR8073" t="s">
        <v>72</v>
      </c>
      <c r="AS8073">
        <v>3064</v>
      </c>
      <c r="AT8073" s="4">
        <v>42684</v>
      </c>
      <c r="AU8073" t="s">
        <v>73</v>
      </c>
      <c r="AV8073">
        <v>3064</v>
      </c>
      <c r="AW8073" s="4">
        <v>42684</v>
      </c>
      <c r="BD8073">
        <v>0</v>
      </c>
      <c r="BN8073" t="s">
        <v>74</v>
      </c>
    </row>
    <row r="8074" spans="1:66">
      <c r="A8074">
        <v>104563</v>
      </c>
      <c r="B8074" s="3" t="s">
        <v>677</v>
      </c>
      <c r="C8074" s="1">
        <v>43300101</v>
      </c>
      <c r="D8074" t="s">
        <v>67</v>
      </c>
      <c r="H8074" t="str">
        <f t="shared" si="793"/>
        <v>02298700010</v>
      </c>
      <c r="I8074" t="str">
        <f t="shared" si="793"/>
        <v>02298700010</v>
      </c>
      <c r="K8074" t="str">
        <f>""</f>
        <v/>
      </c>
      <c r="M8074" t="s">
        <v>68</v>
      </c>
      <c r="N8074" t="str">
        <f t="shared" si="792"/>
        <v>FOR</v>
      </c>
      <c r="O8074" t="s">
        <v>69</v>
      </c>
      <c r="P8074" s="3" t="s">
        <v>75</v>
      </c>
      <c r="Q8074">
        <v>2016</v>
      </c>
      <c r="R8074" s="2">
        <v>42451</v>
      </c>
      <c r="S8074" s="2">
        <v>42461</v>
      </c>
      <c r="T8074" s="2">
        <v>42452</v>
      </c>
      <c r="U8074" s="2">
        <v>42512</v>
      </c>
      <c r="V8074" t="s">
        <v>71</v>
      </c>
      <c r="W8074" t="str">
        <f>"          0000007268"</f>
        <v xml:space="preserve">          0000007268</v>
      </c>
      <c r="X8074" s="1">
        <v>1889.34</v>
      </c>
      <c r="Y8074">
        <v>0</v>
      </c>
      <c r="Z8074" s="5">
        <v>1548.64</v>
      </c>
      <c r="AA8074">
        <v>172</v>
      </c>
      <c r="AB8074" s="5">
        <v>266366.08000000002</v>
      </c>
      <c r="AC8074" s="1">
        <v>1548.64</v>
      </c>
      <c r="AD8074">
        <v>172</v>
      </c>
      <c r="AE8074" s="1">
        <v>266366.08000000002</v>
      </c>
      <c r="AF8074">
        <v>0</v>
      </c>
      <c r="AJ8074">
        <v>0</v>
      </c>
      <c r="AK8074">
        <v>0</v>
      </c>
      <c r="AL8074">
        <v>0</v>
      </c>
      <c r="AM8074" s="1">
        <v>1889.34</v>
      </c>
      <c r="AN8074" s="1">
        <v>1889.34</v>
      </c>
      <c r="AO8074" s="1">
        <v>1889.34</v>
      </c>
      <c r="AP8074" s="2">
        <v>42746</v>
      </c>
      <c r="AQ8074" t="s">
        <v>72</v>
      </c>
      <c r="AR8074" t="s">
        <v>72</v>
      </c>
      <c r="AS8074">
        <v>3064</v>
      </c>
      <c r="AT8074" s="4">
        <v>42684</v>
      </c>
      <c r="AU8074" t="s">
        <v>73</v>
      </c>
      <c r="AV8074">
        <v>3064</v>
      </c>
      <c r="AW8074" s="4">
        <v>42684</v>
      </c>
      <c r="BD8074">
        <v>0</v>
      </c>
      <c r="BN8074" t="s">
        <v>74</v>
      </c>
    </row>
    <row r="8075" spans="1:66">
      <c r="A8075">
        <v>104563</v>
      </c>
      <c r="B8075" s="3" t="s">
        <v>677</v>
      </c>
      <c r="C8075" s="1">
        <v>43300101</v>
      </c>
      <c r="D8075" t="s">
        <v>67</v>
      </c>
      <c r="H8075" t="str">
        <f t="shared" si="793"/>
        <v>02298700010</v>
      </c>
      <c r="I8075" t="str">
        <f t="shared" si="793"/>
        <v>02298700010</v>
      </c>
      <c r="K8075" t="str">
        <f>""</f>
        <v/>
      </c>
      <c r="M8075" t="s">
        <v>68</v>
      </c>
      <c r="N8075" t="str">
        <f t="shared" si="792"/>
        <v>FOR</v>
      </c>
      <c r="O8075" t="s">
        <v>69</v>
      </c>
      <c r="P8075" s="3" t="s">
        <v>75</v>
      </c>
      <c r="Q8075">
        <v>2016</v>
      </c>
      <c r="R8075" s="2">
        <v>42480</v>
      </c>
      <c r="S8075" s="2">
        <v>42486</v>
      </c>
      <c r="T8075" s="2">
        <v>42481</v>
      </c>
      <c r="U8075" s="2">
        <v>42541</v>
      </c>
      <c r="V8075" t="s">
        <v>71</v>
      </c>
      <c r="W8075" t="str">
        <f>"          0000009327"</f>
        <v xml:space="preserve">          0000009327</v>
      </c>
      <c r="X8075" s="1">
        <v>1889.34</v>
      </c>
      <c r="Y8075">
        <v>0</v>
      </c>
      <c r="Z8075" s="5">
        <v>1548.64</v>
      </c>
      <c r="AA8075">
        <v>143</v>
      </c>
      <c r="AB8075" s="5">
        <v>221455.52</v>
      </c>
      <c r="AC8075" s="1">
        <v>1548.64</v>
      </c>
      <c r="AD8075">
        <v>143</v>
      </c>
      <c r="AE8075" s="1">
        <v>221455.52</v>
      </c>
      <c r="AF8075">
        <v>0</v>
      </c>
      <c r="AJ8075">
        <v>0</v>
      </c>
      <c r="AK8075">
        <v>0</v>
      </c>
      <c r="AL8075">
        <v>0</v>
      </c>
      <c r="AM8075" s="1">
        <v>1889.34</v>
      </c>
      <c r="AN8075" s="1">
        <v>1889.34</v>
      </c>
      <c r="AO8075" s="1">
        <v>1889.34</v>
      </c>
      <c r="AP8075" s="2">
        <v>42746</v>
      </c>
      <c r="AQ8075" t="s">
        <v>72</v>
      </c>
      <c r="AR8075" t="s">
        <v>72</v>
      </c>
      <c r="AS8075">
        <v>3064</v>
      </c>
      <c r="AT8075" s="4">
        <v>42684</v>
      </c>
      <c r="AU8075" t="s">
        <v>73</v>
      </c>
      <c r="AV8075">
        <v>3064</v>
      </c>
      <c r="AW8075" s="4">
        <v>42684</v>
      </c>
      <c r="BD8075">
        <v>0</v>
      </c>
      <c r="BN8075" t="s">
        <v>74</v>
      </c>
    </row>
    <row r="8076" spans="1:66">
      <c r="A8076">
        <v>104563</v>
      </c>
      <c r="B8076" s="3" t="s">
        <v>677</v>
      </c>
      <c r="C8076" s="1">
        <v>43300101</v>
      </c>
      <c r="D8076" t="s">
        <v>67</v>
      </c>
      <c r="H8076" t="str">
        <f t="shared" si="793"/>
        <v>02298700010</v>
      </c>
      <c r="I8076" t="str">
        <f t="shared" si="793"/>
        <v>02298700010</v>
      </c>
      <c r="K8076" t="str">
        <f>""</f>
        <v/>
      </c>
      <c r="M8076" t="s">
        <v>68</v>
      </c>
      <c r="N8076" t="str">
        <f t="shared" si="792"/>
        <v>FOR</v>
      </c>
      <c r="O8076" t="s">
        <v>69</v>
      </c>
      <c r="P8076" s="3" t="s">
        <v>75</v>
      </c>
      <c r="Q8076">
        <v>2016</v>
      </c>
      <c r="R8076" s="2">
        <v>42460</v>
      </c>
      <c r="S8076" s="2">
        <v>42465</v>
      </c>
      <c r="T8076" s="2">
        <v>42461</v>
      </c>
      <c r="U8076" s="2">
        <v>42521</v>
      </c>
      <c r="V8076" t="s">
        <v>71</v>
      </c>
      <c r="W8076" t="str">
        <f>"          1136900358"</f>
        <v xml:space="preserve">          1136900358</v>
      </c>
      <c r="X8076">
        <v>373.32</v>
      </c>
      <c r="Y8076">
        <v>0</v>
      </c>
      <c r="Z8076" s="3">
        <v>306</v>
      </c>
      <c r="AA8076">
        <v>163</v>
      </c>
      <c r="AB8076" s="5">
        <v>49878</v>
      </c>
      <c r="AC8076">
        <v>306</v>
      </c>
      <c r="AD8076">
        <v>163</v>
      </c>
      <c r="AE8076" s="1">
        <v>49878</v>
      </c>
      <c r="AF8076">
        <v>0</v>
      </c>
      <c r="AJ8076">
        <v>0</v>
      </c>
      <c r="AK8076">
        <v>0</v>
      </c>
      <c r="AL8076">
        <v>0</v>
      </c>
      <c r="AM8076">
        <v>373.32</v>
      </c>
      <c r="AN8076">
        <v>373.32</v>
      </c>
      <c r="AO8076">
        <v>373.32</v>
      </c>
      <c r="AP8076" s="2">
        <v>42746</v>
      </c>
      <c r="AQ8076" t="s">
        <v>72</v>
      </c>
      <c r="AR8076" t="s">
        <v>72</v>
      </c>
      <c r="AS8076">
        <v>3063</v>
      </c>
      <c r="AT8076" s="4">
        <v>42684</v>
      </c>
      <c r="AU8076" t="s">
        <v>73</v>
      </c>
      <c r="AV8076">
        <v>3063</v>
      </c>
      <c r="AW8076" s="4">
        <v>42684</v>
      </c>
      <c r="BD8076">
        <v>0</v>
      </c>
      <c r="BN8076" t="s">
        <v>74</v>
      </c>
    </row>
    <row r="8077" spans="1:66">
      <c r="A8077">
        <v>104563</v>
      </c>
      <c r="B8077" s="3" t="s">
        <v>677</v>
      </c>
      <c r="C8077" s="1">
        <v>43300101</v>
      </c>
      <c r="D8077" t="s">
        <v>67</v>
      </c>
      <c r="H8077" t="str">
        <f t="shared" si="793"/>
        <v>02298700010</v>
      </c>
      <c r="I8077" t="str">
        <f t="shared" si="793"/>
        <v>02298700010</v>
      </c>
      <c r="K8077" t="str">
        <f>""</f>
        <v/>
      </c>
      <c r="M8077" t="s">
        <v>68</v>
      </c>
      <c r="N8077" t="str">
        <f t="shared" si="792"/>
        <v>FOR</v>
      </c>
      <c r="O8077" t="s">
        <v>69</v>
      </c>
      <c r="P8077" s="3" t="s">
        <v>75</v>
      </c>
      <c r="Q8077">
        <v>2016</v>
      </c>
      <c r="R8077" s="2">
        <v>42460</v>
      </c>
      <c r="S8077" s="2">
        <v>42465</v>
      </c>
      <c r="T8077" s="2">
        <v>42461</v>
      </c>
      <c r="U8077" s="2">
        <v>42521</v>
      </c>
      <c r="V8077" t="s">
        <v>71</v>
      </c>
      <c r="W8077" t="str">
        <f>"          1136900359"</f>
        <v xml:space="preserve">          1136900359</v>
      </c>
      <c r="X8077">
        <v>124.44</v>
      </c>
      <c r="Y8077">
        <v>0</v>
      </c>
      <c r="Z8077" s="3">
        <v>102</v>
      </c>
      <c r="AA8077">
        <v>163</v>
      </c>
      <c r="AB8077" s="5">
        <v>16626</v>
      </c>
      <c r="AC8077">
        <v>102</v>
      </c>
      <c r="AD8077">
        <v>163</v>
      </c>
      <c r="AE8077" s="1">
        <v>16626</v>
      </c>
      <c r="AF8077">
        <v>0</v>
      </c>
      <c r="AJ8077">
        <v>0</v>
      </c>
      <c r="AK8077">
        <v>0</v>
      </c>
      <c r="AL8077">
        <v>0</v>
      </c>
      <c r="AM8077">
        <v>124.44</v>
      </c>
      <c r="AN8077">
        <v>124.44</v>
      </c>
      <c r="AO8077">
        <v>124.44</v>
      </c>
      <c r="AP8077" s="2">
        <v>42746</v>
      </c>
      <c r="AQ8077" t="s">
        <v>72</v>
      </c>
      <c r="AR8077" t="s">
        <v>72</v>
      </c>
      <c r="AS8077">
        <v>3063</v>
      </c>
      <c r="AT8077" s="4">
        <v>42684</v>
      </c>
      <c r="AU8077" t="s">
        <v>73</v>
      </c>
      <c r="AV8077">
        <v>3063</v>
      </c>
      <c r="AW8077" s="4">
        <v>42684</v>
      </c>
      <c r="BD8077">
        <v>0</v>
      </c>
      <c r="BN8077" t="s">
        <v>74</v>
      </c>
    </row>
    <row r="8078" spans="1:66">
      <c r="A8078">
        <v>104563</v>
      </c>
      <c r="B8078" s="3" t="s">
        <v>677</v>
      </c>
      <c r="C8078" s="1">
        <v>43300101</v>
      </c>
      <c r="D8078" t="s">
        <v>67</v>
      </c>
      <c r="H8078" t="str">
        <f t="shared" si="793"/>
        <v>02298700010</v>
      </c>
      <c r="I8078" t="str">
        <f t="shared" si="793"/>
        <v>02298700010</v>
      </c>
      <c r="K8078" t="str">
        <f>""</f>
        <v/>
      </c>
      <c r="M8078" t="s">
        <v>68</v>
      </c>
      <c r="N8078" t="str">
        <f t="shared" si="792"/>
        <v>FOR</v>
      </c>
      <c r="O8078" t="s">
        <v>69</v>
      </c>
      <c r="P8078" s="3" t="s">
        <v>75</v>
      </c>
      <c r="Q8078">
        <v>2016</v>
      </c>
      <c r="R8078" s="2">
        <v>42460</v>
      </c>
      <c r="S8078" s="2">
        <v>42465</v>
      </c>
      <c r="T8078" s="2">
        <v>42461</v>
      </c>
      <c r="U8078" s="2">
        <v>42521</v>
      </c>
      <c r="V8078" t="s">
        <v>71</v>
      </c>
      <c r="W8078" t="str">
        <f>"          1136900360"</f>
        <v xml:space="preserve">          1136900360</v>
      </c>
      <c r="X8078">
        <v>248.88</v>
      </c>
      <c r="Y8078">
        <v>0</v>
      </c>
      <c r="Z8078" s="3">
        <v>204</v>
      </c>
      <c r="AA8078">
        <v>163</v>
      </c>
      <c r="AB8078" s="5">
        <v>33252</v>
      </c>
      <c r="AC8078">
        <v>204</v>
      </c>
      <c r="AD8078">
        <v>163</v>
      </c>
      <c r="AE8078" s="1">
        <v>33252</v>
      </c>
      <c r="AF8078">
        <v>0</v>
      </c>
      <c r="AJ8078">
        <v>0</v>
      </c>
      <c r="AK8078">
        <v>0</v>
      </c>
      <c r="AL8078">
        <v>0</v>
      </c>
      <c r="AM8078">
        <v>248.88</v>
      </c>
      <c r="AN8078">
        <v>248.88</v>
      </c>
      <c r="AO8078">
        <v>248.88</v>
      </c>
      <c r="AP8078" s="2">
        <v>42746</v>
      </c>
      <c r="AQ8078" t="s">
        <v>72</v>
      </c>
      <c r="AR8078" t="s">
        <v>72</v>
      </c>
      <c r="AS8078">
        <v>3063</v>
      </c>
      <c r="AT8078" s="4">
        <v>42684</v>
      </c>
      <c r="AU8078" t="s">
        <v>73</v>
      </c>
      <c r="AV8078">
        <v>3063</v>
      </c>
      <c r="AW8078" s="4">
        <v>42684</v>
      </c>
      <c r="BD8078">
        <v>0</v>
      </c>
      <c r="BN8078" t="s">
        <v>74</v>
      </c>
    </row>
    <row r="8079" spans="1:66">
      <c r="A8079">
        <v>104563</v>
      </c>
      <c r="B8079" s="3" t="s">
        <v>677</v>
      </c>
      <c r="C8079" s="1">
        <v>43300101</v>
      </c>
      <c r="D8079" t="s">
        <v>67</v>
      </c>
      <c r="H8079" t="str">
        <f t="shared" si="793"/>
        <v>02298700010</v>
      </c>
      <c r="I8079" t="str">
        <f t="shared" si="793"/>
        <v>02298700010</v>
      </c>
      <c r="K8079" t="str">
        <f>""</f>
        <v/>
      </c>
      <c r="M8079" t="s">
        <v>68</v>
      </c>
      <c r="N8079" t="str">
        <f t="shared" si="792"/>
        <v>FOR</v>
      </c>
      <c r="O8079" t="s">
        <v>69</v>
      </c>
      <c r="P8079" s="3" t="s">
        <v>75</v>
      </c>
      <c r="Q8079">
        <v>2016</v>
      </c>
      <c r="R8079" s="2">
        <v>42460</v>
      </c>
      <c r="S8079" s="2">
        <v>42465</v>
      </c>
      <c r="T8079" s="2">
        <v>42461</v>
      </c>
      <c r="U8079" s="2">
        <v>42521</v>
      </c>
      <c r="V8079" t="s">
        <v>71</v>
      </c>
      <c r="W8079" t="str">
        <f>"          1136900361"</f>
        <v xml:space="preserve">          1136900361</v>
      </c>
      <c r="X8079">
        <v>550.22</v>
      </c>
      <c r="Y8079">
        <v>0</v>
      </c>
      <c r="Z8079" s="3">
        <v>451</v>
      </c>
      <c r="AA8079">
        <v>163</v>
      </c>
      <c r="AB8079" s="5">
        <v>73513</v>
      </c>
      <c r="AC8079">
        <v>451</v>
      </c>
      <c r="AD8079">
        <v>163</v>
      </c>
      <c r="AE8079" s="1">
        <v>73513</v>
      </c>
      <c r="AF8079">
        <v>0</v>
      </c>
      <c r="AJ8079">
        <v>0</v>
      </c>
      <c r="AK8079">
        <v>0</v>
      </c>
      <c r="AL8079">
        <v>0</v>
      </c>
      <c r="AM8079">
        <v>550.22</v>
      </c>
      <c r="AN8079">
        <v>550.22</v>
      </c>
      <c r="AO8079">
        <v>550.22</v>
      </c>
      <c r="AP8079" s="2">
        <v>42746</v>
      </c>
      <c r="AQ8079" t="s">
        <v>72</v>
      </c>
      <c r="AR8079" t="s">
        <v>72</v>
      </c>
      <c r="AS8079">
        <v>3063</v>
      </c>
      <c r="AT8079" s="4">
        <v>42684</v>
      </c>
      <c r="AU8079" t="s">
        <v>73</v>
      </c>
      <c r="AV8079">
        <v>3063</v>
      </c>
      <c r="AW8079" s="4">
        <v>42684</v>
      </c>
      <c r="BD8079">
        <v>0</v>
      </c>
      <c r="BN8079" t="s">
        <v>74</v>
      </c>
    </row>
    <row r="8080" spans="1:66">
      <c r="A8080">
        <v>104563</v>
      </c>
      <c r="B8080" s="3" t="s">
        <v>677</v>
      </c>
      <c r="C8080" s="1">
        <v>43300101</v>
      </c>
      <c r="D8080" t="s">
        <v>67</v>
      </c>
      <c r="H8080" t="str">
        <f t="shared" si="793"/>
        <v>02298700010</v>
      </c>
      <c r="I8080" t="str">
        <f t="shared" si="793"/>
        <v>02298700010</v>
      </c>
      <c r="K8080" t="str">
        <f>""</f>
        <v/>
      </c>
      <c r="M8080" t="s">
        <v>68</v>
      </c>
      <c r="N8080" t="str">
        <f t="shared" si="792"/>
        <v>FOR</v>
      </c>
      <c r="O8080" t="s">
        <v>69</v>
      </c>
      <c r="P8080" s="3" t="s">
        <v>75</v>
      </c>
      <c r="Q8080">
        <v>2016</v>
      </c>
      <c r="R8080" s="2">
        <v>42489</v>
      </c>
      <c r="S8080" s="2">
        <v>42513</v>
      </c>
      <c r="T8080" s="2">
        <v>42509</v>
      </c>
      <c r="U8080" s="2">
        <v>42569</v>
      </c>
      <c r="V8080" t="s">
        <v>71</v>
      </c>
      <c r="W8080" t="str">
        <f>"          1136903020"</f>
        <v xml:space="preserve">          1136903020</v>
      </c>
      <c r="X8080">
        <v>120.29</v>
      </c>
      <c r="Y8080">
        <v>0</v>
      </c>
      <c r="Z8080" s="3">
        <v>98.6</v>
      </c>
      <c r="AA8080">
        <v>115</v>
      </c>
      <c r="AB8080" s="5">
        <v>11339</v>
      </c>
      <c r="AC8080">
        <v>98.6</v>
      </c>
      <c r="AD8080">
        <v>115</v>
      </c>
      <c r="AE8080" s="1">
        <v>11339</v>
      </c>
      <c r="AF8080">
        <v>0</v>
      </c>
      <c r="AJ8080">
        <v>0</v>
      </c>
      <c r="AK8080">
        <v>0</v>
      </c>
      <c r="AL8080">
        <v>0</v>
      </c>
      <c r="AM8080">
        <v>120.29</v>
      </c>
      <c r="AN8080">
        <v>120.29</v>
      </c>
      <c r="AO8080">
        <v>120.29</v>
      </c>
      <c r="AP8080" s="2">
        <v>42746</v>
      </c>
      <c r="AQ8080" t="s">
        <v>72</v>
      </c>
      <c r="AR8080" t="s">
        <v>72</v>
      </c>
      <c r="AS8080">
        <v>3063</v>
      </c>
      <c r="AT8080" s="4">
        <v>42684</v>
      </c>
      <c r="AU8080" t="s">
        <v>73</v>
      </c>
      <c r="AV8080">
        <v>3063</v>
      </c>
      <c r="AW8080" s="4">
        <v>42684</v>
      </c>
      <c r="BD8080">
        <v>0</v>
      </c>
      <c r="BN8080" t="s">
        <v>74</v>
      </c>
    </row>
    <row r="8081" spans="1:66" hidden="1">
      <c r="A8081">
        <v>104581</v>
      </c>
      <c r="B8081" s="3" t="s">
        <v>678</v>
      </c>
      <c r="C8081" s="1">
        <v>43500101</v>
      </c>
      <c r="D8081" t="s">
        <v>113</v>
      </c>
      <c r="H8081" t="str">
        <f t="shared" ref="H8081:H8086" si="794">"DLCDNL61T43A783A"</f>
        <v>DLCDNL61T43A783A</v>
      </c>
      <c r="I8081" t="str">
        <f t="shared" ref="I8081:I8086" si="795">"01429090622"</f>
        <v>01429090622</v>
      </c>
      <c r="K8081" t="str">
        <f>""</f>
        <v/>
      </c>
      <c r="M8081" t="s">
        <v>68</v>
      </c>
      <c r="N8081" t="str">
        <f t="shared" ref="N8081:N8086" si="796">"ALTPRO"</f>
        <v>ALTPRO</v>
      </c>
      <c r="O8081" t="s">
        <v>132</v>
      </c>
      <c r="P8081" s="3" t="s">
        <v>75</v>
      </c>
      <c r="Q8081">
        <v>2015</v>
      </c>
      <c r="R8081" s="2">
        <v>42347</v>
      </c>
      <c r="S8081" s="2">
        <v>42352</v>
      </c>
      <c r="T8081" s="2">
        <v>42350</v>
      </c>
      <c r="U8081" s="2">
        <v>42410</v>
      </c>
      <c r="V8081" t="s">
        <v>71</v>
      </c>
      <c r="W8081" t="str">
        <f>"         FATTPA 8_15"</f>
        <v xml:space="preserve">         FATTPA 8_15</v>
      </c>
      <c r="X8081" s="1">
        <v>1333.34</v>
      </c>
      <c r="Y8081">
        <v>-218.58</v>
      </c>
      <c r="Z8081"/>
      <c r="AB8081"/>
      <c r="AC8081" s="1">
        <v>1114.76</v>
      </c>
      <c r="AD8081">
        <v>-30</v>
      </c>
      <c r="AE8081" s="1">
        <v>-33442.800000000003</v>
      </c>
      <c r="AF8081">
        <v>0</v>
      </c>
      <c r="AJ8081">
        <v>0</v>
      </c>
      <c r="AK8081">
        <v>0</v>
      </c>
      <c r="AL8081">
        <v>0</v>
      </c>
      <c r="AM8081">
        <v>0</v>
      </c>
      <c r="AN8081">
        <v>0</v>
      </c>
      <c r="AO8081">
        <v>0</v>
      </c>
      <c r="AP8081" s="2">
        <v>42746</v>
      </c>
      <c r="AQ8081" t="s">
        <v>72</v>
      </c>
      <c r="AR8081" t="s">
        <v>72</v>
      </c>
      <c r="AS8081">
        <v>5</v>
      </c>
      <c r="AT8081" s="4">
        <v>42380</v>
      </c>
      <c r="AV8081">
        <v>5</v>
      </c>
      <c r="AW8081" s="4">
        <v>42380</v>
      </c>
      <c r="BD8081">
        <v>0</v>
      </c>
      <c r="BN8081" t="s">
        <v>74</v>
      </c>
    </row>
    <row r="8082" spans="1:66" hidden="1">
      <c r="A8082">
        <v>104581</v>
      </c>
      <c r="B8082" s="3" t="s">
        <v>678</v>
      </c>
      <c r="C8082" s="1">
        <v>43500101</v>
      </c>
      <c r="D8082" t="s">
        <v>113</v>
      </c>
      <c r="H8082" t="str">
        <f t="shared" si="794"/>
        <v>DLCDNL61T43A783A</v>
      </c>
      <c r="I8082" t="str">
        <f t="shared" si="795"/>
        <v>01429090622</v>
      </c>
      <c r="K8082" t="str">
        <f>""</f>
        <v/>
      </c>
      <c r="M8082" t="s">
        <v>68</v>
      </c>
      <c r="N8082" t="str">
        <f t="shared" si="796"/>
        <v>ALTPRO</v>
      </c>
      <c r="O8082" t="s">
        <v>132</v>
      </c>
      <c r="P8082" s="3" t="s">
        <v>75</v>
      </c>
      <c r="Q8082">
        <v>2016</v>
      </c>
      <c r="R8082" s="2">
        <v>42389</v>
      </c>
      <c r="S8082" s="2">
        <v>42391</v>
      </c>
      <c r="T8082" s="2">
        <v>42390</v>
      </c>
      <c r="U8082" s="2">
        <v>42450</v>
      </c>
      <c r="V8082" t="s">
        <v>71</v>
      </c>
      <c r="W8082" t="str">
        <f>"         FATTPA 1_16"</f>
        <v xml:space="preserve">         FATTPA 1_16</v>
      </c>
      <c r="X8082" s="1">
        <v>1333.34</v>
      </c>
      <c r="Y8082">
        <v>-218.58</v>
      </c>
      <c r="Z8082"/>
      <c r="AB8082"/>
      <c r="AC8082" s="1">
        <v>1114.76</v>
      </c>
      <c r="AD8082">
        <v>-47</v>
      </c>
      <c r="AE8082" s="1">
        <v>-52393.72</v>
      </c>
      <c r="AF8082">
        <v>0</v>
      </c>
      <c r="AJ8082">
        <v>0</v>
      </c>
      <c r="AK8082">
        <v>0</v>
      </c>
      <c r="AL8082">
        <v>0</v>
      </c>
      <c r="AM8082">
        <v>-218.58</v>
      </c>
      <c r="AN8082" s="1">
        <v>1114.76</v>
      </c>
      <c r="AO8082" s="1">
        <v>1114.76</v>
      </c>
      <c r="AP8082" s="2">
        <v>42746</v>
      </c>
      <c r="AQ8082" t="s">
        <v>72</v>
      </c>
      <c r="AR8082" t="s">
        <v>72</v>
      </c>
      <c r="AS8082">
        <v>217</v>
      </c>
      <c r="AT8082" s="4">
        <v>42403</v>
      </c>
      <c r="AV8082">
        <v>217</v>
      </c>
      <c r="AW8082" s="4">
        <v>42403</v>
      </c>
      <c r="BD8082">
        <v>0</v>
      </c>
      <c r="BN8082" t="s">
        <v>74</v>
      </c>
    </row>
    <row r="8083" spans="1:66" hidden="1">
      <c r="A8083">
        <v>104581</v>
      </c>
      <c r="B8083" s="3" t="s">
        <v>678</v>
      </c>
      <c r="C8083" s="1">
        <v>43500101</v>
      </c>
      <c r="D8083" t="s">
        <v>113</v>
      </c>
      <c r="H8083" t="str">
        <f t="shared" si="794"/>
        <v>DLCDNL61T43A783A</v>
      </c>
      <c r="I8083" t="str">
        <f t="shared" si="795"/>
        <v>01429090622</v>
      </c>
      <c r="K8083" t="str">
        <f>""</f>
        <v/>
      </c>
      <c r="M8083" t="s">
        <v>68</v>
      </c>
      <c r="N8083" t="str">
        <f t="shared" si="796"/>
        <v>ALTPRO</v>
      </c>
      <c r="O8083" t="s">
        <v>132</v>
      </c>
      <c r="P8083" s="3" t="s">
        <v>75</v>
      </c>
      <c r="Q8083">
        <v>2016</v>
      </c>
      <c r="R8083" s="2">
        <v>42427</v>
      </c>
      <c r="S8083" s="2">
        <v>42429</v>
      </c>
      <c r="T8083" s="2">
        <v>42427</v>
      </c>
      <c r="U8083" s="2">
        <v>42487</v>
      </c>
      <c r="V8083" t="s">
        <v>71</v>
      </c>
      <c r="W8083" t="str">
        <f>"         FATTPA 2_16"</f>
        <v xml:space="preserve">         FATTPA 2_16</v>
      </c>
      <c r="X8083" s="1">
        <v>1333.33</v>
      </c>
      <c r="Y8083">
        <v>0</v>
      </c>
      <c r="Z8083"/>
      <c r="AB8083"/>
      <c r="AC8083" s="1">
        <v>1333.33</v>
      </c>
      <c r="AD8083">
        <v>-36</v>
      </c>
      <c r="AE8083" s="1">
        <v>-47999.88</v>
      </c>
      <c r="AF8083">
        <v>0</v>
      </c>
      <c r="AJ8083">
        <v>0</v>
      </c>
      <c r="AK8083">
        <v>0</v>
      </c>
      <c r="AL8083">
        <v>0</v>
      </c>
      <c r="AM8083" s="1">
        <v>1333.33</v>
      </c>
      <c r="AN8083" s="1">
        <v>1333.33</v>
      </c>
      <c r="AO8083" s="1">
        <v>1333.33</v>
      </c>
      <c r="AP8083" s="2">
        <v>42746</v>
      </c>
      <c r="AQ8083" t="s">
        <v>72</v>
      </c>
      <c r="AR8083" t="s">
        <v>72</v>
      </c>
      <c r="AS8083">
        <v>731</v>
      </c>
      <c r="AT8083" s="4">
        <v>42451</v>
      </c>
      <c r="AV8083">
        <v>731</v>
      </c>
      <c r="AW8083" s="4">
        <v>42451</v>
      </c>
      <c r="BD8083">
        <v>0</v>
      </c>
      <c r="BN8083" t="s">
        <v>74</v>
      </c>
    </row>
    <row r="8084" spans="1:66" hidden="1">
      <c r="A8084">
        <v>104581</v>
      </c>
      <c r="B8084" s="3" t="s">
        <v>678</v>
      </c>
      <c r="C8084" s="1">
        <v>43500101</v>
      </c>
      <c r="D8084" t="s">
        <v>113</v>
      </c>
      <c r="H8084" t="str">
        <f t="shared" si="794"/>
        <v>DLCDNL61T43A783A</v>
      </c>
      <c r="I8084" t="str">
        <f t="shared" si="795"/>
        <v>01429090622</v>
      </c>
      <c r="K8084" t="str">
        <f>""</f>
        <v/>
      </c>
      <c r="M8084" t="s">
        <v>68</v>
      </c>
      <c r="N8084" t="str">
        <f t="shared" si="796"/>
        <v>ALTPRO</v>
      </c>
      <c r="O8084" t="s">
        <v>132</v>
      </c>
      <c r="P8084" s="3" t="s">
        <v>75</v>
      </c>
      <c r="Q8084">
        <v>2016</v>
      </c>
      <c r="R8084" s="2">
        <v>42457</v>
      </c>
      <c r="S8084" s="2">
        <v>42464</v>
      </c>
      <c r="T8084" s="2">
        <v>42461</v>
      </c>
      <c r="U8084" s="2">
        <v>42521</v>
      </c>
      <c r="V8084" t="s">
        <v>71</v>
      </c>
      <c r="W8084" t="str">
        <f>"         FATTPA 3_16"</f>
        <v xml:space="preserve">         FATTPA 3_16</v>
      </c>
      <c r="X8084" s="1">
        <v>1333.33</v>
      </c>
      <c r="Y8084">
        <v>0</v>
      </c>
      <c r="Z8084"/>
      <c r="AB8084"/>
      <c r="AC8084" s="1">
        <v>1333.33</v>
      </c>
      <c r="AD8084">
        <v>-34</v>
      </c>
      <c r="AE8084" s="1">
        <v>-45333.22</v>
      </c>
      <c r="AF8084">
        <v>0</v>
      </c>
      <c r="AJ8084">
        <v>0</v>
      </c>
      <c r="AK8084">
        <v>0</v>
      </c>
      <c r="AL8084">
        <v>0</v>
      </c>
      <c r="AM8084" s="1">
        <v>1333.33</v>
      </c>
      <c r="AN8084" s="1">
        <v>1333.33</v>
      </c>
      <c r="AO8084" s="1">
        <v>1333.33</v>
      </c>
      <c r="AP8084" s="2">
        <v>42746</v>
      </c>
      <c r="AQ8084" t="s">
        <v>72</v>
      </c>
      <c r="AR8084" t="s">
        <v>72</v>
      </c>
      <c r="AS8084">
        <v>1128</v>
      </c>
      <c r="AT8084" s="4">
        <v>42487</v>
      </c>
      <c r="AV8084">
        <v>1128</v>
      </c>
      <c r="AW8084" s="4">
        <v>42487</v>
      </c>
      <c r="BD8084">
        <v>0</v>
      </c>
      <c r="BN8084" t="s">
        <v>74</v>
      </c>
    </row>
    <row r="8085" spans="1:66" hidden="1">
      <c r="A8085">
        <v>104581</v>
      </c>
      <c r="B8085" s="3" t="s">
        <v>678</v>
      </c>
      <c r="C8085" s="1">
        <v>43500101</v>
      </c>
      <c r="D8085" t="s">
        <v>113</v>
      </c>
      <c r="H8085" t="str">
        <f t="shared" si="794"/>
        <v>DLCDNL61T43A783A</v>
      </c>
      <c r="I8085" t="str">
        <f t="shared" si="795"/>
        <v>01429090622</v>
      </c>
      <c r="K8085" t="str">
        <f>""</f>
        <v/>
      </c>
      <c r="M8085" t="s">
        <v>68</v>
      </c>
      <c r="N8085" t="str">
        <f t="shared" si="796"/>
        <v>ALTPRO</v>
      </c>
      <c r="O8085" t="s">
        <v>132</v>
      </c>
      <c r="P8085" s="3" t="s">
        <v>75</v>
      </c>
      <c r="Q8085">
        <v>2016</v>
      </c>
      <c r="R8085" s="2">
        <v>42473</v>
      </c>
      <c r="S8085" s="2">
        <v>42478</v>
      </c>
      <c r="T8085" s="2">
        <v>42475</v>
      </c>
      <c r="U8085" s="2">
        <v>42535</v>
      </c>
      <c r="V8085" t="s">
        <v>71</v>
      </c>
      <c r="W8085" t="str">
        <f>"         FATTPA 4_16"</f>
        <v xml:space="preserve">         FATTPA 4_16</v>
      </c>
      <c r="X8085" s="1">
        <v>1333.33</v>
      </c>
      <c r="Y8085">
        <v>0</v>
      </c>
      <c r="Z8085"/>
      <c r="AB8085"/>
      <c r="AC8085" s="1">
        <v>1333.33</v>
      </c>
      <c r="AD8085">
        <v>-48</v>
      </c>
      <c r="AE8085" s="1">
        <v>-63999.839999999997</v>
      </c>
      <c r="AF8085">
        <v>0</v>
      </c>
      <c r="AJ8085">
        <v>0</v>
      </c>
      <c r="AK8085">
        <v>0</v>
      </c>
      <c r="AL8085">
        <v>0</v>
      </c>
      <c r="AM8085" s="1">
        <v>1333.33</v>
      </c>
      <c r="AN8085" s="1">
        <v>1333.33</v>
      </c>
      <c r="AO8085" s="1">
        <v>1333.33</v>
      </c>
      <c r="AP8085" s="2">
        <v>42746</v>
      </c>
      <c r="AQ8085" t="s">
        <v>72</v>
      </c>
      <c r="AR8085" t="s">
        <v>72</v>
      </c>
      <c r="AS8085">
        <v>1128</v>
      </c>
      <c r="AT8085" s="4">
        <v>42487</v>
      </c>
      <c r="AV8085">
        <v>1128</v>
      </c>
      <c r="AW8085" s="4">
        <v>42487</v>
      </c>
      <c r="BD8085">
        <v>0</v>
      </c>
      <c r="BN8085" t="s">
        <v>74</v>
      </c>
    </row>
    <row r="8086" spans="1:66" hidden="1">
      <c r="A8086">
        <v>104581</v>
      </c>
      <c r="B8086" s="3" t="s">
        <v>678</v>
      </c>
      <c r="C8086" s="1">
        <v>43500101</v>
      </c>
      <c r="D8086" t="s">
        <v>113</v>
      </c>
      <c r="H8086" t="str">
        <f t="shared" si="794"/>
        <v>DLCDNL61T43A783A</v>
      </c>
      <c r="I8086" t="str">
        <f t="shared" si="795"/>
        <v>01429090622</v>
      </c>
      <c r="K8086" t="str">
        <f>""</f>
        <v/>
      </c>
      <c r="M8086" t="s">
        <v>68</v>
      </c>
      <c r="N8086" t="str">
        <f t="shared" si="796"/>
        <v>ALTPRO</v>
      </c>
      <c r="O8086" t="s">
        <v>132</v>
      </c>
      <c r="P8086" s="3" t="s">
        <v>75</v>
      </c>
      <c r="Q8086">
        <v>2016</v>
      </c>
      <c r="R8086" s="2">
        <v>42502</v>
      </c>
      <c r="S8086" s="2">
        <v>42507</v>
      </c>
      <c r="T8086" s="2">
        <v>42503</v>
      </c>
      <c r="U8086" s="2">
        <v>42563</v>
      </c>
      <c r="V8086" t="s">
        <v>71</v>
      </c>
      <c r="W8086" t="str">
        <f>"         FATTPA 5_16"</f>
        <v xml:space="preserve">         FATTPA 5_16</v>
      </c>
      <c r="X8086" s="1">
        <v>1333.33</v>
      </c>
      <c r="Y8086">
        <v>0</v>
      </c>
      <c r="Z8086"/>
      <c r="AB8086"/>
      <c r="AC8086" s="1">
        <v>1333.33</v>
      </c>
      <c r="AD8086">
        <v>-43</v>
      </c>
      <c r="AE8086" s="1">
        <v>-57333.19</v>
      </c>
      <c r="AF8086">
        <v>0</v>
      </c>
      <c r="AJ8086">
        <v>0</v>
      </c>
      <c r="AK8086">
        <v>0</v>
      </c>
      <c r="AL8086">
        <v>0</v>
      </c>
      <c r="AM8086" s="1">
        <v>1333.33</v>
      </c>
      <c r="AN8086" s="1">
        <v>1333.33</v>
      </c>
      <c r="AO8086" s="1">
        <v>1333.33</v>
      </c>
      <c r="AP8086" s="2">
        <v>42746</v>
      </c>
      <c r="AQ8086" t="s">
        <v>72</v>
      </c>
      <c r="AR8086" t="s">
        <v>72</v>
      </c>
      <c r="AS8086">
        <v>1399</v>
      </c>
      <c r="AT8086" s="4">
        <v>42520</v>
      </c>
      <c r="AV8086">
        <v>1399</v>
      </c>
      <c r="AW8086" s="4">
        <v>42520</v>
      </c>
      <c r="BD8086">
        <v>0</v>
      </c>
      <c r="BN8086" t="s">
        <v>74</v>
      </c>
    </row>
    <row r="8087" spans="1:66" hidden="1">
      <c r="A8087">
        <v>104590</v>
      </c>
      <c r="B8087" s="3" t="s">
        <v>679</v>
      </c>
      <c r="C8087" s="1">
        <v>43300101</v>
      </c>
      <c r="D8087" t="s">
        <v>67</v>
      </c>
      <c r="H8087" t="str">
        <f t="shared" ref="H8087:I8092" si="797">"04337640280"</f>
        <v>04337640280</v>
      </c>
      <c r="I8087" t="str">
        <f t="shared" si="797"/>
        <v>04337640280</v>
      </c>
      <c r="K8087" t="str">
        <f>""</f>
        <v/>
      </c>
      <c r="M8087" t="s">
        <v>68</v>
      </c>
      <c r="N8087" t="str">
        <f t="shared" ref="N8087:N8118" si="798">"FOR"</f>
        <v>FOR</v>
      </c>
      <c r="O8087" t="s">
        <v>69</v>
      </c>
      <c r="P8087" s="3" t="s">
        <v>78</v>
      </c>
      <c r="Q8087">
        <v>2014</v>
      </c>
      <c r="R8087" s="2">
        <v>41836</v>
      </c>
      <c r="S8087" s="2">
        <v>41842</v>
      </c>
      <c r="T8087" s="2">
        <v>41842</v>
      </c>
      <c r="U8087" s="2">
        <v>41932</v>
      </c>
      <c r="V8087" t="s">
        <v>71</v>
      </c>
      <c r="W8087" t="str">
        <f>"                3065"</f>
        <v xml:space="preserve">                3065</v>
      </c>
      <c r="X8087" s="1">
        <v>1342</v>
      </c>
      <c r="Y8087">
        <v>0</v>
      </c>
      <c r="Z8087"/>
      <c r="AB8087"/>
      <c r="AC8087" s="1">
        <v>1342</v>
      </c>
      <c r="AD8087">
        <v>598</v>
      </c>
      <c r="AE8087" s="1">
        <v>802516</v>
      </c>
      <c r="AF8087">
        <v>0</v>
      </c>
      <c r="AJ8087">
        <v>0</v>
      </c>
      <c r="AK8087">
        <v>0</v>
      </c>
      <c r="AL8087">
        <v>0</v>
      </c>
      <c r="AM8087">
        <v>0</v>
      </c>
      <c r="AN8087">
        <v>0</v>
      </c>
      <c r="AO8087">
        <v>0</v>
      </c>
      <c r="AP8087" s="2">
        <v>42746</v>
      </c>
      <c r="AQ8087" t="s">
        <v>72</v>
      </c>
      <c r="AR8087" t="s">
        <v>72</v>
      </c>
      <c r="AS8087">
        <v>1600</v>
      </c>
      <c r="AT8087" s="4">
        <v>42530</v>
      </c>
      <c r="AU8087" t="s">
        <v>73</v>
      </c>
      <c r="AV8087">
        <v>1600</v>
      </c>
      <c r="AW8087" s="4">
        <v>42530</v>
      </c>
      <c r="BD8087">
        <v>0</v>
      </c>
      <c r="BN8087" t="s">
        <v>74</v>
      </c>
    </row>
    <row r="8088" spans="1:66">
      <c r="A8088">
        <v>104590</v>
      </c>
      <c r="B8088" s="3" t="s">
        <v>679</v>
      </c>
      <c r="C8088" s="1">
        <v>43300101</v>
      </c>
      <c r="D8088" t="s">
        <v>67</v>
      </c>
      <c r="H8088" t="str">
        <f t="shared" si="797"/>
        <v>04337640280</v>
      </c>
      <c r="I8088" t="str">
        <f t="shared" si="797"/>
        <v>04337640280</v>
      </c>
      <c r="K8088" t="str">
        <f>""</f>
        <v/>
      </c>
      <c r="M8088" t="s">
        <v>68</v>
      </c>
      <c r="N8088" t="str">
        <f t="shared" si="798"/>
        <v>FOR</v>
      </c>
      <c r="O8088" t="s">
        <v>69</v>
      </c>
      <c r="P8088" s="3" t="s">
        <v>75</v>
      </c>
      <c r="Q8088">
        <v>2015</v>
      </c>
      <c r="R8088" s="2">
        <v>42165</v>
      </c>
      <c r="S8088" s="2">
        <v>42198</v>
      </c>
      <c r="T8088" s="2">
        <v>42194</v>
      </c>
      <c r="U8088" s="2">
        <v>42254</v>
      </c>
      <c r="V8088" t="s">
        <v>71</v>
      </c>
      <c r="W8088" t="str">
        <f>"              2355/4"</f>
        <v xml:space="preserve">              2355/4</v>
      </c>
      <c r="X8088" s="1">
        <v>1663.47</v>
      </c>
      <c r="Y8088">
        <v>0</v>
      </c>
      <c r="Z8088" s="5">
        <v>1363.5</v>
      </c>
      <c r="AA8088">
        <v>435</v>
      </c>
      <c r="AB8088" s="5">
        <v>593122.5</v>
      </c>
      <c r="AC8088" s="1">
        <v>1363.5</v>
      </c>
      <c r="AD8088">
        <v>435</v>
      </c>
      <c r="AE8088" s="1">
        <v>593122.5</v>
      </c>
      <c r="AF8088">
        <v>0</v>
      </c>
      <c r="AJ8088">
        <v>0</v>
      </c>
      <c r="AK8088">
        <v>0</v>
      </c>
      <c r="AL8088">
        <v>0</v>
      </c>
      <c r="AM8088">
        <v>0</v>
      </c>
      <c r="AN8088">
        <v>0</v>
      </c>
      <c r="AO8088">
        <v>0</v>
      </c>
      <c r="AP8088" s="2">
        <v>42746</v>
      </c>
      <c r="AQ8088" t="s">
        <v>72</v>
      </c>
      <c r="AR8088" t="s">
        <v>72</v>
      </c>
      <c r="AS8088">
        <v>3099</v>
      </c>
      <c r="AT8088" s="4">
        <v>42689</v>
      </c>
      <c r="AU8088" t="s">
        <v>73</v>
      </c>
      <c r="AV8088">
        <v>3099</v>
      </c>
      <c r="AW8088" s="4">
        <v>42689</v>
      </c>
      <c r="BD8088">
        <v>0</v>
      </c>
      <c r="BN8088" t="s">
        <v>74</v>
      </c>
    </row>
    <row r="8089" spans="1:66" hidden="1">
      <c r="A8089">
        <v>104590</v>
      </c>
      <c r="B8089" s="3" t="s">
        <v>679</v>
      </c>
      <c r="C8089" s="1">
        <v>43300101</v>
      </c>
      <c r="D8089" t="s">
        <v>67</v>
      </c>
      <c r="H8089" t="str">
        <f t="shared" si="797"/>
        <v>04337640280</v>
      </c>
      <c r="I8089" t="str">
        <f t="shared" si="797"/>
        <v>04337640280</v>
      </c>
      <c r="K8089" t="str">
        <f>""</f>
        <v/>
      </c>
      <c r="M8089" t="s">
        <v>68</v>
      </c>
      <c r="N8089" t="str">
        <f t="shared" si="798"/>
        <v>FOR</v>
      </c>
      <c r="O8089" t="s">
        <v>69</v>
      </c>
      <c r="P8089" s="3" t="s">
        <v>75</v>
      </c>
      <c r="Q8089">
        <v>2015</v>
      </c>
      <c r="R8089" s="2">
        <v>42181</v>
      </c>
      <c r="S8089" s="2">
        <v>42219</v>
      </c>
      <c r="T8089" s="2">
        <v>42199</v>
      </c>
      <c r="U8089" s="2">
        <v>42259</v>
      </c>
      <c r="V8089" t="s">
        <v>71</v>
      </c>
      <c r="W8089" t="str">
        <f>"              2682/4"</f>
        <v xml:space="preserve">              2682/4</v>
      </c>
      <c r="X8089" s="1">
        <v>1342</v>
      </c>
      <c r="Y8089">
        <v>0</v>
      </c>
      <c r="Z8089"/>
      <c r="AB8089"/>
      <c r="AC8089" s="1">
        <v>1100</v>
      </c>
      <c r="AD8089">
        <v>268</v>
      </c>
      <c r="AE8089" s="1">
        <v>294800</v>
      </c>
      <c r="AF8089">
        <v>0</v>
      </c>
      <c r="AJ8089">
        <v>0</v>
      </c>
      <c r="AK8089">
        <v>0</v>
      </c>
      <c r="AL8089">
        <v>0</v>
      </c>
      <c r="AM8089">
        <v>0</v>
      </c>
      <c r="AN8089">
        <v>0</v>
      </c>
      <c r="AO8089">
        <v>0</v>
      </c>
      <c r="AP8089" s="2">
        <v>42746</v>
      </c>
      <c r="AQ8089" t="s">
        <v>72</v>
      </c>
      <c r="AR8089" t="s">
        <v>72</v>
      </c>
      <c r="AS8089">
        <v>1531</v>
      </c>
      <c r="AT8089" s="4">
        <v>42527</v>
      </c>
      <c r="AU8089" t="s">
        <v>73</v>
      </c>
      <c r="AV8089">
        <v>1531</v>
      </c>
      <c r="AW8089" s="4">
        <v>42527</v>
      </c>
      <c r="BD8089">
        <v>0</v>
      </c>
      <c r="BN8089" t="s">
        <v>74</v>
      </c>
    </row>
    <row r="8090" spans="1:66">
      <c r="A8090">
        <v>104590</v>
      </c>
      <c r="B8090" s="3" t="s">
        <v>679</v>
      </c>
      <c r="C8090" s="1">
        <v>43300101</v>
      </c>
      <c r="D8090" t="s">
        <v>67</v>
      </c>
      <c r="H8090" t="str">
        <f t="shared" si="797"/>
        <v>04337640280</v>
      </c>
      <c r="I8090" t="str">
        <f t="shared" si="797"/>
        <v>04337640280</v>
      </c>
      <c r="K8090" t="str">
        <f>""</f>
        <v/>
      </c>
      <c r="M8090" t="s">
        <v>68</v>
      </c>
      <c r="N8090" t="str">
        <f t="shared" si="798"/>
        <v>FOR</v>
      </c>
      <c r="O8090" t="s">
        <v>69</v>
      </c>
      <c r="P8090" s="3" t="s">
        <v>75</v>
      </c>
      <c r="Q8090">
        <v>2015</v>
      </c>
      <c r="R8090" s="2">
        <v>42270</v>
      </c>
      <c r="S8090" s="2">
        <v>42277</v>
      </c>
      <c r="T8090" s="2">
        <v>42276</v>
      </c>
      <c r="U8090" s="2">
        <v>42336</v>
      </c>
      <c r="V8090" t="s">
        <v>71</v>
      </c>
      <c r="W8090" t="str">
        <f>"              4221/4"</f>
        <v xml:space="preserve">              4221/4</v>
      </c>
      <c r="X8090">
        <v>831.74</v>
      </c>
      <c r="Y8090">
        <v>0</v>
      </c>
      <c r="Z8090" s="3">
        <v>681.75</v>
      </c>
      <c r="AA8090">
        <v>353</v>
      </c>
      <c r="AB8090" s="5">
        <v>240657.75</v>
      </c>
      <c r="AC8090">
        <v>681.75</v>
      </c>
      <c r="AD8090">
        <v>353</v>
      </c>
      <c r="AE8090" s="1">
        <v>240657.75</v>
      </c>
      <c r="AF8090">
        <v>0</v>
      </c>
      <c r="AJ8090">
        <v>0</v>
      </c>
      <c r="AK8090">
        <v>0</v>
      </c>
      <c r="AL8090">
        <v>0</v>
      </c>
      <c r="AM8090">
        <v>0</v>
      </c>
      <c r="AN8090">
        <v>0</v>
      </c>
      <c r="AO8090">
        <v>0</v>
      </c>
      <c r="AP8090" s="2">
        <v>42746</v>
      </c>
      <c r="AQ8090" t="s">
        <v>72</v>
      </c>
      <c r="AR8090" t="s">
        <v>72</v>
      </c>
      <c r="AS8090">
        <v>3099</v>
      </c>
      <c r="AT8090" s="4">
        <v>42689</v>
      </c>
      <c r="AU8090" t="s">
        <v>73</v>
      </c>
      <c r="AV8090">
        <v>3099</v>
      </c>
      <c r="AW8090" s="4">
        <v>42689</v>
      </c>
      <c r="BD8090">
        <v>0</v>
      </c>
      <c r="BN8090" t="s">
        <v>74</v>
      </c>
    </row>
    <row r="8091" spans="1:66" hidden="1">
      <c r="A8091">
        <v>104590</v>
      </c>
      <c r="B8091" s="3" t="s">
        <v>679</v>
      </c>
      <c r="C8091" s="1">
        <v>43300101</v>
      </c>
      <c r="D8091" t="s">
        <v>67</v>
      </c>
      <c r="H8091" t="str">
        <f t="shared" si="797"/>
        <v>04337640280</v>
      </c>
      <c r="I8091" t="str">
        <f t="shared" si="797"/>
        <v>04337640280</v>
      </c>
      <c r="K8091" t="str">
        <f>""</f>
        <v/>
      </c>
      <c r="M8091" t="s">
        <v>68</v>
      </c>
      <c r="N8091" t="str">
        <f t="shared" si="798"/>
        <v>FOR</v>
      </c>
      <c r="O8091" t="s">
        <v>69</v>
      </c>
      <c r="P8091" s="3" t="s">
        <v>75</v>
      </c>
      <c r="Q8091">
        <v>2015</v>
      </c>
      <c r="R8091" s="2">
        <v>42342</v>
      </c>
      <c r="S8091" s="2">
        <v>42369</v>
      </c>
      <c r="T8091" s="2">
        <v>42369</v>
      </c>
      <c r="U8091" s="2">
        <v>42429</v>
      </c>
      <c r="V8091" t="s">
        <v>71</v>
      </c>
      <c r="W8091" t="str">
        <f>"              5182/4"</f>
        <v xml:space="preserve">              5182/4</v>
      </c>
      <c r="X8091">
        <v>976</v>
      </c>
      <c r="Y8091">
        <v>0</v>
      </c>
      <c r="Z8091"/>
      <c r="AB8091"/>
      <c r="AC8091">
        <v>800</v>
      </c>
      <c r="AD8091">
        <v>191</v>
      </c>
      <c r="AE8091" s="1">
        <v>152800</v>
      </c>
      <c r="AF8091">
        <v>0</v>
      </c>
      <c r="AJ8091">
        <v>0</v>
      </c>
      <c r="AK8091">
        <v>0</v>
      </c>
      <c r="AL8091">
        <v>0</v>
      </c>
      <c r="AM8091">
        <v>0</v>
      </c>
      <c r="AN8091">
        <v>0</v>
      </c>
      <c r="AO8091">
        <v>0</v>
      </c>
      <c r="AP8091" s="2">
        <v>42746</v>
      </c>
      <c r="AQ8091" t="s">
        <v>72</v>
      </c>
      <c r="AR8091" t="s">
        <v>72</v>
      </c>
      <c r="AS8091">
        <v>2322</v>
      </c>
      <c r="AT8091" s="4">
        <v>42620</v>
      </c>
      <c r="AU8091" t="s">
        <v>73</v>
      </c>
      <c r="AV8091">
        <v>2322</v>
      </c>
      <c r="AW8091" s="4">
        <v>42620</v>
      </c>
      <c r="BD8091">
        <v>0</v>
      </c>
      <c r="BN8091" t="s">
        <v>74</v>
      </c>
    </row>
    <row r="8092" spans="1:66">
      <c r="A8092">
        <v>104590</v>
      </c>
      <c r="B8092" s="3" t="s">
        <v>679</v>
      </c>
      <c r="C8092" s="1">
        <v>43300101</v>
      </c>
      <c r="D8092" t="s">
        <v>67</v>
      </c>
      <c r="H8092" t="str">
        <f t="shared" si="797"/>
        <v>04337640280</v>
      </c>
      <c r="I8092" t="str">
        <f t="shared" si="797"/>
        <v>04337640280</v>
      </c>
      <c r="K8092" t="str">
        <f>""</f>
        <v/>
      </c>
      <c r="M8092" t="s">
        <v>68</v>
      </c>
      <c r="N8092" t="str">
        <f t="shared" si="798"/>
        <v>FOR</v>
      </c>
      <c r="O8092" t="s">
        <v>69</v>
      </c>
      <c r="P8092" s="3" t="s">
        <v>75</v>
      </c>
      <c r="Q8092">
        <v>2015</v>
      </c>
      <c r="R8092" s="2">
        <v>42359</v>
      </c>
      <c r="S8092" s="2">
        <v>42368</v>
      </c>
      <c r="T8092" s="2">
        <v>42367</v>
      </c>
      <c r="U8092" s="2">
        <v>42427</v>
      </c>
      <c r="V8092" t="s">
        <v>71</v>
      </c>
      <c r="W8092" t="str">
        <f>"              5684/4"</f>
        <v xml:space="preserve">              5684/4</v>
      </c>
      <c r="X8092">
        <v>305</v>
      </c>
      <c r="Y8092">
        <v>0</v>
      </c>
      <c r="Z8092" s="3">
        <v>250</v>
      </c>
      <c r="AA8092">
        <v>262</v>
      </c>
      <c r="AB8092" s="5">
        <v>65500</v>
      </c>
      <c r="AC8092">
        <v>250</v>
      </c>
      <c r="AD8092">
        <v>262</v>
      </c>
      <c r="AE8092" s="1">
        <v>65500</v>
      </c>
      <c r="AF8092">
        <v>0</v>
      </c>
      <c r="AJ8092">
        <v>0</v>
      </c>
      <c r="AK8092">
        <v>0</v>
      </c>
      <c r="AL8092">
        <v>0</v>
      </c>
      <c r="AM8092">
        <v>0</v>
      </c>
      <c r="AN8092">
        <v>0</v>
      </c>
      <c r="AO8092">
        <v>0</v>
      </c>
      <c r="AP8092" s="2">
        <v>42746</v>
      </c>
      <c r="AQ8092" t="s">
        <v>72</v>
      </c>
      <c r="AR8092" t="s">
        <v>72</v>
      </c>
      <c r="AS8092">
        <v>3099</v>
      </c>
      <c r="AT8092" s="4">
        <v>42689</v>
      </c>
      <c r="AU8092" t="s">
        <v>73</v>
      </c>
      <c r="AV8092">
        <v>3099</v>
      </c>
      <c r="AW8092" s="4">
        <v>42689</v>
      </c>
      <c r="BD8092">
        <v>0</v>
      </c>
      <c r="BN8092" t="s">
        <v>74</v>
      </c>
    </row>
    <row r="8093" spans="1:66" hidden="1">
      <c r="A8093">
        <v>104591</v>
      </c>
      <c r="B8093" s="3" t="s">
        <v>680</v>
      </c>
      <c r="C8093" s="1">
        <v>43300101</v>
      </c>
      <c r="D8093" t="s">
        <v>67</v>
      </c>
      <c r="H8093" t="str">
        <f t="shared" ref="H8093:I8096" si="799">"00941660151"</f>
        <v>00941660151</v>
      </c>
      <c r="I8093" t="str">
        <f t="shared" si="799"/>
        <v>00941660151</v>
      </c>
      <c r="K8093" t="str">
        <f>""</f>
        <v/>
      </c>
      <c r="M8093" t="s">
        <v>68</v>
      </c>
      <c r="N8093" t="str">
        <f t="shared" si="798"/>
        <v>FOR</v>
      </c>
      <c r="O8093" t="s">
        <v>69</v>
      </c>
      <c r="P8093" s="3" t="s">
        <v>75</v>
      </c>
      <c r="Q8093">
        <v>2015</v>
      </c>
      <c r="R8093" s="2">
        <v>42170</v>
      </c>
      <c r="S8093" s="2">
        <v>42174</v>
      </c>
      <c r="T8093" s="2">
        <v>42172</v>
      </c>
      <c r="U8093" s="2">
        <v>42232</v>
      </c>
      <c r="V8093" t="s">
        <v>71</v>
      </c>
      <c r="W8093" t="str">
        <f>"              E01179"</f>
        <v xml:space="preserve">              E01179</v>
      </c>
      <c r="X8093">
        <v>180.24</v>
      </c>
      <c r="Y8093">
        <v>0</v>
      </c>
      <c r="Z8093"/>
      <c r="AB8093"/>
      <c r="AC8093">
        <v>147.74</v>
      </c>
      <c r="AD8093">
        <v>227</v>
      </c>
      <c r="AE8093" s="1">
        <v>33536.980000000003</v>
      </c>
      <c r="AF8093">
        <v>0</v>
      </c>
      <c r="AJ8093">
        <v>0</v>
      </c>
      <c r="AK8093">
        <v>0</v>
      </c>
      <c r="AL8093">
        <v>0</v>
      </c>
      <c r="AM8093">
        <v>0</v>
      </c>
      <c r="AN8093">
        <v>0</v>
      </c>
      <c r="AO8093">
        <v>0</v>
      </c>
      <c r="AP8093" s="2">
        <v>42746</v>
      </c>
      <c r="AQ8093" t="s">
        <v>72</v>
      </c>
      <c r="AR8093" t="s">
        <v>72</v>
      </c>
      <c r="AS8093">
        <v>976</v>
      </c>
      <c r="AT8093" s="4">
        <v>42459</v>
      </c>
      <c r="AU8093" t="s">
        <v>73</v>
      </c>
      <c r="AV8093">
        <v>976</v>
      </c>
      <c r="AW8093" s="4">
        <v>42459</v>
      </c>
      <c r="BD8093">
        <v>0</v>
      </c>
      <c r="BN8093" t="s">
        <v>74</v>
      </c>
    </row>
    <row r="8094" spans="1:66" hidden="1">
      <c r="A8094">
        <v>104591</v>
      </c>
      <c r="B8094" s="3" t="s">
        <v>680</v>
      </c>
      <c r="C8094" s="1">
        <v>43300101</v>
      </c>
      <c r="D8094" t="s">
        <v>67</v>
      </c>
      <c r="H8094" t="str">
        <f t="shared" si="799"/>
        <v>00941660151</v>
      </c>
      <c r="I8094" t="str">
        <f t="shared" si="799"/>
        <v>00941660151</v>
      </c>
      <c r="K8094" t="str">
        <f>""</f>
        <v/>
      </c>
      <c r="M8094" t="s">
        <v>68</v>
      </c>
      <c r="N8094" t="str">
        <f t="shared" si="798"/>
        <v>FOR</v>
      </c>
      <c r="O8094" t="s">
        <v>69</v>
      </c>
      <c r="P8094" s="3" t="s">
        <v>75</v>
      </c>
      <c r="Q8094">
        <v>2015</v>
      </c>
      <c r="R8094" s="2">
        <v>42323</v>
      </c>
      <c r="S8094" s="2">
        <v>42326</v>
      </c>
      <c r="T8094" s="2">
        <v>42325</v>
      </c>
      <c r="U8094" s="2">
        <v>42385</v>
      </c>
      <c r="V8094" t="s">
        <v>71</v>
      </c>
      <c r="W8094" t="str">
        <f>"              E03312"</f>
        <v xml:space="preserve">              E03312</v>
      </c>
      <c r="X8094">
        <v>537.76</v>
      </c>
      <c r="Y8094">
        <v>0</v>
      </c>
      <c r="Z8094"/>
      <c r="AB8094"/>
      <c r="AC8094">
        <v>440.79</v>
      </c>
      <c r="AD8094">
        <v>18</v>
      </c>
      <c r="AE8094" s="1">
        <v>7934.22</v>
      </c>
      <c r="AF8094">
        <v>0</v>
      </c>
      <c r="AJ8094">
        <v>0</v>
      </c>
      <c r="AK8094">
        <v>0</v>
      </c>
      <c r="AL8094">
        <v>0</v>
      </c>
      <c r="AM8094">
        <v>0</v>
      </c>
      <c r="AN8094">
        <v>0</v>
      </c>
      <c r="AO8094">
        <v>0</v>
      </c>
      <c r="AP8094" s="2">
        <v>42746</v>
      </c>
      <c r="AQ8094" t="s">
        <v>72</v>
      </c>
      <c r="AR8094" t="s">
        <v>72</v>
      </c>
      <c r="AS8094">
        <v>233</v>
      </c>
      <c r="AT8094" s="4">
        <v>42403</v>
      </c>
      <c r="AU8094" t="s">
        <v>73</v>
      </c>
      <c r="AV8094">
        <v>233</v>
      </c>
      <c r="AW8094" s="4">
        <v>42403</v>
      </c>
      <c r="BD8094">
        <v>0</v>
      </c>
      <c r="BN8094" t="s">
        <v>74</v>
      </c>
    </row>
    <row r="8095" spans="1:66" hidden="1">
      <c r="A8095">
        <v>104591</v>
      </c>
      <c r="B8095" s="3" t="s">
        <v>680</v>
      </c>
      <c r="C8095" s="1">
        <v>43300101</v>
      </c>
      <c r="D8095" t="s">
        <v>67</v>
      </c>
      <c r="H8095" t="str">
        <f t="shared" si="799"/>
        <v>00941660151</v>
      </c>
      <c r="I8095" t="str">
        <f t="shared" si="799"/>
        <v>00941660151</v>
      </c>
      <c r="K8095" t="str">
        <f>""</f>
        <v/>
      </c>
      <c r="M8095" t="s">
        <v>68</v>
      </c>
      <c r="N8095" t="str">
        <f t="shared" si="798"/>
        <v>FOR</v>
      </c>
      <c r="O8095" t="s">
        <v>69</v>
      </c>
      <c r="P8095" s="3" t="s">
        <v>75</v>
      </c>
      <c r="Q8095">
        <v>2015</v>
      </c>
      <c r="R8095" s="2">
        <v>42338</v>
      </c>
      <c r="S8095" s="2">
        <v>42342</v>
      </c>
      <c r="T8095" s="2">
        <v>42341</v>
      </c>
      <c r="U8095" s="2">
        <v>42401</v>
      </c>
      <c r="V8095" t="s">
        <v>71</v>
      </c>
      <c r="W8095" t="str">
        <f>"              E03518"</f>
        <v xml:space="preserve">              E03518</v>
      </c>
      <c r="X8095">
        <v>107.56</v>
      </c>
      <c r="Y8095">
        <v>0</v>
      </c>
      <c r="Z8095"/>
      <c r="AB8095"/>
      <c r="AC8095">
        <v>88.16</v>
      </c>
      <c r="AD8095">
        <v>2</v>
      </c>
      <c r="AE8095">
        <v>176.32</v>
      </c>
      <c r="AF8095">
        <v>0</v>
      </c>
      <c r="AJ8095">
        <v>0</v>
      </c>
      <c r="AK8095">
        <v>0</v>
      </c>
      <c r="AL8095">
        <v>0</v>
      </c>
      <c r="AM8095">
        <v>0</v>
      </c>
      <c r="AN8095">
        <v>0</v>
      </c>
      <c r="AO8095">
        <v>0</v>
      </c>
      <c r="AP8095" s="2">
        <v>42746</v>
      </c>
      <c r="AQ8095" t="s">
        <v>72</v>
      </c>
      <c r="AR8095" t="s">
        <v>72</v>
      </c>
      <c r="AS8095">
        <v>233</v>
      </c>
      <c r="AT8095" s="4">
        <v>42403</v>
      </c>
      <c r="AU8095" t="s">
        <v>73</v>
      </c>
      <c r="AV8095">
        <v>233</v>
      </c>
      <c r="AW8095" s="4">
        <v>42403</v>
      </c>
      <c r="BD8095">
        <v>0</v>
      </c>
      <c r="BN8095" t="s">
        <v>74</v>
      </c>
    </row>
    <row r="8096" spans="1:66">
      <c r="A8096">
        <v>104591</v>
      </c>
      <c r="B8096" s="3" t="s">
        <v>680</v>
      </c>
      <c r="C8096" s="1">
        <v>43300101</v>
      </c>
      <c r="D8096" t="s">
        <v>67</v>
      </c>
      <c r="H8096" t="str">
        <f t="shared" si="799"/>
        <v>00941660151</v>
      </c>
      <c r="I8096" t="str">
        <f t="shared" si="799"/>
        <v>00941660151</v>
      </c>
      <c r="K8096" t="str">
        <f>""</f>
        <v/>
      </c>
      <c r="M8096" t="s">
        <v>68</v>
      </c>
      <c r="N8096" t="str">
        <f t="shared" si="798"/>
        <v>FOR</v>
      </c>
      <c r="O8096" t="s">
        <v>69</v>
      </c>
      <c r="P8096" s="3" t="s">
        <v>75</v>
      </c>
      <c r="Q8096">
        <v>2016</v>
      </c>
      <c r="R8096" s="2">
        <v>42475</v>
      </c>
      <c r="S8096" s="2">
        <v>42481</v>
      </c>
      <c r="T8096" s="2">
        <v>42479</v>
      </c>
      <c r="U8096" s="2">
        <v>42539</v>
      </c>
      <c r="V8096" t="s">
        <v>71</v>
      </c>
      <c r="W8096" t="str">
        <f>"              E01408"</f>
        <v xml:space="preserve">              E01408</v>
      </c>
      <c r="X8096">
        <v>537.76</v>
      </c>
      <c r="Y8096">
        <v>0</v>
      </c>
      <c r="Z8096" s="3">
        <v>440.79</v>
      </c>
      <c r="AA8096">
        <v>107</v>
      </c>
      <c r="AB8096" s="5">
        <v>47164.53</v>
      </c>
      <c r="AC8096">
        <v>440.79</v>
      </c>
      <c r="AD8096">
        <v>107</v>
      </c>
      <c r="AE8096" s="1">
        <v>47164.53</v>
      </c>
      <c r="AF8096">
        <v>0</v>
      </c>
      <c r="AJ8096">
        <v>0</v>
      </c>
      <c r="AK8096">
        <v>0</v>
      </c>
      <c r="AL8096">
        <v>0</v>
      </c>
      <c r="AM8096">
        <v>537.76</v>
      </c>
      <c r="AN8096">
        <v>537.76</v>
      </c>
      <c r="AO8096">
        <v>537.76</v>
      </c>
      <c r="AP8096" s="2">
        <v>42746</v>
      </c>
      <c r="AQ8096" t="s">
        <v>72</v>
      </c>
      <c r="AR8096" t="s">
        <v>72</v>
      </c>
      <c r="AS8096">
        <v>2578</v>
      </c>
      <c r="AT8096" s="4">
        <v>42646</v>
      </c>
      <c r="AU8096" t="s">
        <v>73</v>
      </c>
      <c r="AV8096">
        <v>2578</v>
      </c>
      <c r="AW8096" s="4">
        <v>42646</v>
      </c>
      <c r="BD8096">
        <v>0</v>
      </c>
      <c r="BN8096" t="s">
        <v>74</v>
      </c>
    </row>
    <row r="8097" spans="1:66" hidden="1">
      <c r="A8097">
        <v>104592</v>
      </c>
      <c r="B8097" s="3" t="s">
        <v>681</v>
      </c>
      <c r="C8097" s="1">
        <v>43300101</v>
      </c>
      <c r="D8097" t="s">
        <v>67</v>
      </c>
      <c r="H8097" t="str">
        <f t="shared" ref="H8097:H8128" si="800">"07931650589"</f>
        <v>07931650589</v>
      </c>
      <c r="I8097" t="str">
        <f t="shared" ref="I8097:I8128" si="801">"01911071007"</f>
        <v>01911071007</v>
      </c>
      <c r="K8097" t="str">
        <f>""</f>
        <v/>
      </c>
      <c r="M8097" t="s">
        <v>68</v>
      </c>
      <c r="N8097" t="str">
        <f t="shared" si="798"/>
        <v>FOR</v>
      </c>
      <c r="O8097" t="s">
        <v>69</v>
      </c>
      <c r="P8097" s="3" t="s">
        <v>78</v>
      </c>
      <c r="Q8097">
        <v>2015</v>
      </c>
      <c r="R8097" s="2">
        <v>42053</v>
      </c>
      <c r="S8097" s="2">
        <v>42060</v>
      </c>
      <c r="T8097" s="2">
        <v>42060</v>
      </c>
      <c r="U8097" s="2">
        <v>42120</v>
      </c>
      <c r="V8097" t="s">
        <v>71</v>
      </c>
      <c r="W8097" t="str">
        <f>"             1503455"</f>
        <v xml:space="preserve">             1503455</v>
      </c>
      <c r="X8097" s="1">
        <v>7298.3</v>
      </c>
      <c r="Y8097">
        <v>0</v>
      </c>
      <c r="Z8097"/>
      <c r="AB8097"/>
      <c r="AC8097" s="1">
        <v>7017.6</v>
      </c>
      <c r="AD8097">
        <v>288</v>
      </c>
      <c r="AE8097" s="1">
        <v>2021068.8</v>
      </c>
      <c r="AF8097">
        <v>0</v>
      </c>
      <c r="AJ8097">
        <v>0</v>
      </c>
      <c r="AK8097">
        <v>0</v>
      </c>
      <c r="AL8097">
        <v>0</v>
      </c>
      <c r="AM8097">
        <v>0</v>
      </c>
      <c r="AN8097">
        <v>0</v>
      </c>
      <c r="AO8097">
        <v>0</v>
      </c>
      <c r="AP8097" s="2">
        <v>42746</v>
      </c>
      <c r="AQ8097" t="s">
        <v>72</v>
      </c>
      <c r="AR8097" t="s">
        <v>72</v>
      </c>
      <c r="AS8097">
        <v>329</v>
      </c>
      <c r="AT8097" s="4">
        <v>42408</v>
      </c>
      <c r="AU8097" t="s">
        <v>73</v>
      </c>
      <c r="AV8097">
        <v>329</v>
      </c>
      <c r="AW8097" s="4">
        <v>42408</v>
      </c>
      <c r="BD8097">
        <v>0</v>
      </c>
      <c r="BN8097" t="s">
        <v>74</v>
      </c>
    </row>
    <row r="8098" spans="1:66" hidden="1">
      <c r="A8098">
        <v>104592</v>
      </c>
      <c r="B8098" s="3" t="s">
        <v>681</v>
      </c>
      <c r="C8098" s="1">
        <v>43300101</v>
      </c>
      <c r="D8098" t="s">
        <v>67</v>
      </c>
      <c r="H8098" t="str">
        <f t="shared" si="800"/>
        <v>07931650589</v>
      </c>
      <c r="I8098" t="str">
        <f t="shared" si="801"/>
        <v>01911071007</v>
      </c>
      <c r="K8098" t="str">
        <f>""</f>
        <v/>
      </c>
      <c r="M8098" t="s">
        <v>68</v>
      </c>
      <c r="N8098" t="str">
        <f t="shared" si="798"/>
        <v>FOR</v>
      </c>
      <c r="O8098" t="s">
        <v>69</v>
      </c>
      <c r="P8098" s="3" t="s">
        <v>70</v>
      </c>
      <c r="Q8098">
        <v>2015</v>
      </c>
      <c r="R8098" s="2">
        <v>42068</v>
      </c>
      <c r="S8098" s="2">
        <v>42081</v>
      </c>
      <c r="T8098" s="2">
        <v>42081</v>
      </c>
      <c r="U8098" s="2">
        <v>42141</v>
      </c>
      <c r="V8098" t="s">
        <v>71</v>
      </c>
      <c r="W8098" t="str">
        <f>"             1504652"</f>
        <v xml:space="preserve">             1504652</v>
      </c>
      <c r="X8098" s="1">
        <v>3498.77</v>
      </c>
      <c r="Y8098">
        <v>0</v>
      </c>
      <c r="Z8098"/>
      <c r="AB8098"/>
      <c r="AC8098" s="1">
        <v>3364.2</v>
      </c>
      <c r="AD8098">
        <v>275</v>
      </c>
      <c r="AE8098" s="1">
        <v>925155</v>
      </c>
      <c r="AF8098">
        <v>0</v>
      </c>
      <c r="AJ8098">
        <v>0</v>
      </c>
      <c r="AK8098">
        <v>0</v>
      </c>
      <c r="AL8098">
        <v>0</v>
      </c>
      <c r="AM8098">
        <v>0</v>
      </c>
      <c r="AN8098">
        <v>0</v>
      </c>
      <c r="AO8098">
        <v>0</v>
      </c>
      <c r="AP8098" s="2">
        <v>42746</v>
      </c>
      <c r="AQ8098" t="s">
        <v>72</v>
      </c>
      <c r="AR8098" t="s">
        <v>72</v>
      </c>
      <c r="AS8098">
        <v>408</v>
      </c>
      <c r="AT8098" s="4">
        <v>42416</v>
      </c>
      <c r="AU8098" t="s">
        <v>73</v>
      </c>
      <c r="AV8098">
        <v>408</v>
      </c>
      <c r="AW8098" s="4">
        <v>42416</v>
      </c>
      <c r="BD8098">
        <v>0</v>
      </c>
      <c r="BN8098" t="s">
        <v>74</v>
      </c>
    </row>
    <row r="8099" spans="1:66" hidden="1">
      <c r="A8099">
        <v>104592</v>
      </c>
      <c r="B8099" s="3" t="s">
        <v>681</v>
      </c>
      <c r="C8099" s="1">
        <v>43300101</v>
      </c>
      <c r="D8099" t="s">
        <v>67</v>
      </c>
      <c r="H8099" t="str">
        <f t="shared" si="800"/>
        <v>07931650589</v>
      </c>
      <c r="I8099" t="str">
        <f t="shared" si="801"/>
        <v>01911071007</v>
      </c>
      <c r="K8099" t="str">
        <f>""</f>
        <v/>
      </c>
      <c r="M8099" t="s">
        <v>68</v>
      </c>
      <c r="N8099" t="str">
        <f t="shared" si="798"/>
        <v>FOR</v>
      </c>
      <c r="O8099" t="s">
        <v>69</v>
      </c>
      <c r="P8099" s="3" t="s">
        <v>70</v>
      </c>
      <c r="Q8099">
        <v>2015</v>
      </c>
      <c r="R8099" s="2">
        <v>42072</v>
      </c>
      <c r="S8099" s="2">
        <v>42080</v>
      </c>
      <c r="T8099" s="2">
        <v>42080</v>
      </c>
      <c r="U8099" s="2">
        <v>42140</v>
      </c>
      <c r="V8099" t="s">
        <v>71</v>
      </c>
      <c r="W8099" t="str">
        <f>"             1504852"</f>
        <v xml:space="preserve">             1504852</v>
      </c>
      <c r="X8099">
        <v>488</v>
      </c>
      <c r="Y8099">
        <v>0</v>
      </c>
      <c r="Z8099"/>
      <c r="AB8099"/>
      <c r="AC8099">
        <v>400</v>
      </c>
      <c r="AD8099">
        <v>276</v>
      </c>
      <c r="AE8099" s="1">
        <v>110400</v>
      </c>
      <c r="AF8099">
        <v>0</v>
      </c>
      <c r="AJ8099">
        <v>0</v>
      </c>
      <c r="AK8099">
        <v>0</v>
      </c>
      <c r="AL8099">
        <v>0</v>
      </c>
      <c r="AM8099">
        <v>0</v>
      </c>
      <c r="AN8099">
        <v>0</v>
      </c>
      <c r="AO8099">
        <v>0</v>
      </c>
      <c r="AP8099" s="2">
        <v>42746</v>
      </c>
      <c r="AQ8099" t="s">
        <v>72</v>
      </c>
      <c r="AR8099" t="s">
        <v>72</v>
      </c>
      <c r="AS8099">
        <v>408</v>
      </c>
      <c r="AT8099" s="4">
        <v>42416</v>
      </c>
      <c r="AU8099" t="s">
        <v>73</v>
      </c>
      <c r="AV8099">
        <v>408</v>
      </c>
      <c r="AW8099" s="4">
        <v>42416</v>
      </c>
      <c r="BD8099">
        <v>0</v>
      </c>
      <c r="BN8099" t="s">
        <v>74</v>
      </c>
    </row>
    <row r="8100" spans="1:66" hidden="1">
      <c r="A8100">
        <v>104592</v>
      </c>
      <c r="B8100" s="3" t="s">
        <v>681</v>
      </c>
      <c r="C8100" s="1">
        <v>43300101</v>
      </c>
      <c r="D8100" t="s">
        <v>67</v>
      </c>
      <c r="H8100" t="str">
        <f t="shared" si="800"/>
        <v>07931650589</v>
      </c>
      <c r="I8100" t="str">
        <f t="shared" si="801"/>
        <v>01911071007</v>
      </c>
      <c r="K8100" t="str">
        <f>""</f>
        <v/>
      </c>
      <c r="M8100" t="s">
        <v>68</v>
      </c>
      <c r="N8100" t="str">
        <f t="shared" si="798"/>
        <v>FOR</v>
      </c>
      <c r="O8100" t="s">
        <v>69</v>
      </c>
      <c r="P8100" s="3" t="s">
        <v>70</v>
      </c>
      <c r="Q8100">
        <v>2015</v>
      </c>
      <c r="R8100" s="2">
        <v>42080</v>
      </c>
      <c r="S8100" s="2">
        <v>42087</v>
      </c>
      <c r="T8100" s="2">
        <v>42087</v>
      </c>
      <c r="U8100" s="2">
        <v>42147</v>
      </c>
      <c r="V8100" t="s">
        <v>71</v>
      </c>
      <c r="W8100" t="str">
        <f>"             1505493"</f>
        <v xml:space="preserve">             1505493</v>
      </c>
      <c r="X8100">
        <v>957.7</v>
      </c>
      <c r="Y8100">
        <v>0</v>
      </c>
      <c r="Z8100"/>
      <c r="AB8100"/>
      <c r="AC8100">
        <v>785</v>
      </c>
      <c r="AD8100">
        <v>269</v>
      </c>
      <c r="AE8100" s="1">
        <v>211165</v>
      </c>
      <c r="AF8100">
        <v>0</v>
      </c>
      <c r="AJ8100">
        <v>0</v>
      </c>
      <c r="AK8100">
        <v>0</v>
      </c>
      <c r="AL8100">
        <v>0</v>
      </c>
      <c r="AM8100">
        <v>0</v>
      </c>
      <c r="AN8100">
        <v>0</v>
      </c>
      <c r="AO8100">
        <v>0</v>
      </c>
      <c r="AP8100" s="2">
        <v>42746</v>
      </c>
      <c r="AQ8100" t="s">
        <v>72</v>
      </c>
      <c r="AR8100" t="s">
        <v>72</v>
      </c>
      <c r="AS8100">
        <v>408</v>
      </c>
      <c r="AT8100" s="4">
        <v>42416</v>
      </c>
      <c r="AU8100" t="s">
        <v>73</v>
      </c>
      <c r="AV8100">
        <v>408</v>
      </c>
      <c r="AW8100" s="4">
        <v>42416</v>
      </c>
      <c r="BD8100">
        <v>0</v>
      </c>
      <c r="BN8100" t="s">
        <v>74</v>
      </c>
    </row>
    <row r="8101" spans="1:66" hidden="1">
      <c r="A8101">
        <v>104592</v>
      </c>
      <c r="B8101" s="3" t="s">
        <v>681</v>
      </c>
      <c r="C8101" s="1">
        <v>43300101</v>
      </c>
      <c r="D8101" t="s">
        <v>67</v>
      </c>
      <c r="H8101" t="str">
        <f t="shared" si="800"/>
        <v>07931650589</v>
      </c>
      <c r="I8101" t="str">
        <f t="shared" si="801"/>
        <v>01911071007</v>
      </c>
      <c r="K8101" t="str">
        <f>""</f>
        <v/>
      </c>
      <c r="M8101" t="s">
        <v>68</v>
      </c>
      <c r="N8101" t="str">
        <f t="shared" si="798"/>
        <v>FOR</v>
      </c>
      <c r="O8101" t="s">
        <v>69</v>
      </c>
      <c r="P8101" s="3" t="s">
        <v>70</v>
      </c>
      <c r="Q8101">
        <v>2015</v>
      </c>
      <c r="R8101" s="2">
        <v>42086</v>
      </c>
      <c r="S8101" s="2">
        <v>42094</v>
      </c>
      <c r="T8101" s="2">
        <v>42094</v>
      </c>
      <c r="U8101" s="2">
        <v>42154</v>
      </c>
      <c r="V8101" t="s">
        <v>71</v>
      </c>
      <c r="W8101" t="str">
        <f>"             3500255"</f>
        <v xml:space="preserve">             3500255</v>
      </c>
      <c r="X8101" s="1">
        <v>1749.38</v>
      </c>
      <c r="Y8101">
        <v>0</v>
      </c>
      <c r="Z8101"/>
      <c r="AB8101"/>
      <c r="AC8101" s="1">
        <v>1682.1</v>
      </c>
      <c r="AD8101">
        <v>262</v>
      </c>
      <c r="AE8101" s="1">
        <v>440710.2</v>
      </c>
      <c r="AF8101">
        <v>0</v>
      </c>
      <c r="AJ8101">
        <v>0</v>
      </c>
      <c r="AK8101">
        <v>0</v>
      </c>
      <c r="AL8101">
        <v>0</v>
      </c>
      <c r="AM8101">
        <v>0</v>
      </c>
      <c r="AN8101">
        <v>0</v>
      </c>
      <c r="AO8101">
        <v>0</v>
      </c>
      <c r="AP8101" s="2">
        <v>42746</v>
      </c>
      <c r="AQ8101" t="s">
        <v>72</v>
      </c>
      <c r="AR8101" t="s">
        <v>72</v>
      </c>
      <c r="AS8101">
        <v>408</v>
      </c>
      <c r="AT8101" s="4">
        <v>42416</v>
      </c>
      <c r="AU8101" t="s">
        <v>73</v>
      </c>
      <c r="AV8101">
        <v>408</v>
      </c>
      <c r="AW8101" s="4">
        <v>42416</v>
      </c>
      <c r="BD8101">
        <v>0</v>
      </c>
      <c r="BN8101" t="s">
        <v>74</v>
      </c>
    </row>
    <row r="8102" spans="1:66" hidden="1">
      <c r="A8102">
        <v>104592</v>
      </c>
      <c r="B8102" s="3" t="s">
        <v>681</v>
      </c>
      <c r="C8102" s="1">
        <v>43300101</v>
      </c>
      <c r="D8102" t="s">
        <v>67</v>
      </c>
      <c r="H8102" t="str">
        <f t="shared" si="800"/>
        <v>07931650589</v>
      </c>
      <c r="I8102" t="str">
        <f t="shared" si="801"/>
        <v>01911071007</v>
      </c>
      <c r="K8102" t="str">
        <f>""</f>
        <v/>
      </c>
      <c r="M8102" t="s">
        <v>68</v>
      </c>
      <c r="N8102" t="str">
        <f t="shared" si="798"/>
        <v>FOR</v>
      </c>
      <c r="O8102" t="s">
        <v>69</v>
      </c>
      <c r="P8102" s="3" t="s">
        <v>70</v>
      </c>
      <c r="Q8102">
        <v>2015</v>
      </c>
      <c r="R8102" s="2">
        <v>42093</v>
      </c>
      <c r="S8102" s="2">
        <v>42108</v>
      </c>
      <c r="T8102" s="2">
        <v>42108</v>
      </c>
      <c r="U8102" s="2">
        <v>42168</v>
      </c>
      <c r="V8102" t="s">
        <v>71</v>
      </c>
      <c r="W8102" t="str">
        <f>"             3500569"</f>
        <v xml:space="preserve">             3500569</v>
      </c>
      <c r="X8102" s="1">
        <v>5422.56</v>
      </c>
      <c r="Y8102">
        <v>0</v>
      </c>
      <c r="Z8102"/>
      <c r="AB8102"/>
      <c r="AC8102" s="1">
        <v>5214</v>
      </c>
      <c r="AD8102">
        <v>248</v>
      </c>
      <c r="AE8102" s="1">
        <v>1293072</v>
      </c>
      <c r="AF8102">
        <v>0</v>
      </c>
      <c r="AJ8102">
        <v>0</v>
      </c>
      <c r="AK8102">
        <v>0</v>
      </c>
      <c r="AL8102">
        <v>0</v>
      </c>
      <c r="AM8102">
        <v>0</v>
      </c>
      <c r="AN8102">
        <v>0</v>
      </c>
      <c r="AO8102">
        <v>0</v>
      </c>
      <c r="AP8102" s="2">
        <v>42746</v>
      </c>
      <c r="AQ8102" t="s">
        <v>72</v>
      </c>
      <c r="AR8102" t="s">
        <v>72</v>
      </c>
      <c r="AS8102">
        <v>408</v>
      </c>
      <c r="AT8102" s="4">
        <v>42416</v>
      </c>
      <c r="AU8102" t="s">
        <v>73</v>
      </c>
      <c r="AV8102">
        <v>408</v>
      </c>
      <c r="AW8102" s="4">
        <v>42416</v>
      </c>
      <c r="BD8102">
        <v>0</v>
      </c>
      <c r="BN8102" t="s">
        <v>74</v>
      </c>
    </row>
    <row r="8103" spans="1:66" hidden="1">
      <c r="A8103">
        <v>104592</v>
      </c>
      <c r="B8103" s="3" t="s">
        <v>681</v>
      </c>
      <c r="C8103" s="1">
        <v>43300101</v>
      </c>
      <c r="D8103" t="s">
        <v>67</v>
      </c>
      <c r="H8103" t="str">
        <f t="shared" si="800"/>
        <v>07931650589</v>
      </c>
      <c r="I8103" t="str">
        <f t="shared" si="801"/>
        <v>01911071007</v>
      </c>
      <c r="K8103" t="str">
        <f>""</f>
        <v/>
      </c>
      <c r="M8103" t="s">
        <v>68</v>
      </c>
      <c r="N8103" t="str">
        <f t="shared" si="798"/>
        <v>FOR</v>
      </c>
      <c r="O8103" t="s">
        <v>69</v>
      </c>
      <c r="P8103" s="3" t="s">
        <v>75</v>
      </c>
      <c r="Q8103">
        <v>2015</v>
      </c>
      <c r="R8103" s="2">
        <v>42108</v>
      </c>
      <c r="S8103" s="2">
        <v>42116</v>
      </c>
      <c r="T8103" s="2">
        <v>42115</v>
      </c>
      <c r="U8103" s="2">
        <v>42175</v>
      </c>
      <c r="V8103" t="s">
        <v>71</v>
      </c>
      <c r="W8103" t="str">
        <f>"          3501151 XU"</f>
        <v xml:space="preserve">          3501151 XU</v>
      </c>
      <c r="X8103" s="1">
        <v>3649.15</v>
      </c>
      <c r="Y8103">
        <v>0</v>
      </c>
      <c r="Z8103"/>
      <c r="AB8103"/>
      <c r="AC8103" s="1">
        <v>3508.8</v>
      </c>
      <c r="AD8103">
        <v>278</v>
      </c>
      <c r="AE8103" s="1">
        <v>975446.4</v>
      </c>
      <c r="AF8103">
        <v>0</v>
      </c>
      <c r="AJ8103">
        <v>0</v>
      </c>
      <c r="AK8103">
        <v>0</v>
      </c>
      <c r="AL8103">
        <v>0</v>
      </c>
      <c r="AM8103">
        <v>0</v>
      </c>
      <c r="AN8103">
        <v>0</v>
      </c>
      <c r="AO8103">
        <v>0</v>
      </c>
      <c r="AP8103" s="2">
        <v>42746</v>
      </c>
      <c r="AQ8103" t="s">
        <v>72</v>
      </c>
      <c r="AR8103" t="s">
        <v>72</v>
      </c>
      <c r="AS8103">
        <v>868</v>
      </c>
      <c r="AT8103" s="4">
        <v>42453</v>
      </c>
      <c r="AU8103" t="s">
        <v>73</v>
      </c>
      <c r="AV8103">
        <v>868</v>
      </c>
      <c r="AW8103" s="4">
        <v>42453</v>
      </c>
      <c r="BD8103">
        <v>0</v>
      </c>
      <c r="BN8103" t="s">
        <v>74</v>
      </c>
    </row>
    <row r="8104" spans="1:66" hidden="1">
      <c r="A8104">
        <v>104592</v>
      </c>
      <c r="B8104" s="3" t="s">
        <v>681</v>
      </c>
      <c r="C8104" s="1">
        <v>43300101</v>
      </c>
      <c r="D8104" t="s">
        <v>67</v>
      </c>
      <c r="H8104" t="str">
        <f t="shared" si="800"/>
        <v>07931650589</v>
      </c>
      <c r="I8104" t="str">
        <f t="shared" si="801"/>
        <v>01911071007</v>
      </c>
      <c r="K8104" t="str">
        <f>""</f>
        <v/>
      </c>
      <c r="M8104" t="s">
        <v>68</v>
      </c>
      <c r="N8104" t="str">
        <f t="shared" si="798"/>
        <v>FOR</v>
      </c>
      <c r="O8104" t="s">
        <v>69</v>
      </c>
      <c r="P8104" s="3" t="s">
        <v>75</v>
      </c>
      <c r="Q8104">
        <v>2015</v>
      </c>
      <c r="R8104" s="2">
        <v>42108</v>
      </c>
      <c r="S8104" s="2">
        <v>42116</v>
      </c>
      <c r="T8104" s="2">
        <v>42115</v>
      </c>
      <c r="U8104" s="2">
        <v>42175</v>
      </c>
      <c r="V8104" t="s">
        <v>71</v>
      </c>
      <c r="W8104" t="str">
        <f>"          3501152 XU"</f>
        <v xml:space="preserve">          3501152 XU</v>
      </c>
      <c r="X8104">
        <v>610.61</v>
      </c>
      <c r="Y8104">
        <v>0</v>
      </c>
      <c r="Z8104"/>
      <c r="AB8104"/>
      <c r="AC8104">
        <v>500.5</v>
      </c>
      <c r="AD8104">
        <v>278</v>
      </c>
      <c r="AE8104" s="1">
        <v>139139</v>
      </c>
      <c r="AF8104">
        <v>0</v>
      </c>
      <c r="AJ8104">
        <v>0</v>
      </c>
      <c r="AK8104">
        <v>0</v>
      </c>
      <c r="AL8104">
        <v>0</v>
      </c>
      <c r="AM8104">
        <v>0</v>
      </c>
      <c r="AN8104">
        <v>0</v>
      </c>
      <c r="AO8104">
        <v>0</v>
      </c>
      <c r="AP8104" s="2">
        <v>42746</v>
      </c>
      <c r="AQ8104" t="s">
        <v>72</v>
      </c>
      <c r="AR8104" t="s">
        <v>72</v>
      </c>
      <c r="AS8104">
        <v>868</v>
      </c>
      <c r="AT8104" s="4">
        <v>42453</v>
      </c>
      <c r="AU8104" t="s">
        <v>73</v>
      </c>
      <c r="AV8104">
        <v>868</v>
      </c>
      <c r="AW8104" s="4">
        <v>42453</v>
      </c>
      <c r="BD8104">
        <v>0</v>
      </c>
      <c r="BN8104" t="s">
        <v>74</v>
      </c>
    </row>
    <row r="8105" spans="1:66" hidden="1">
      <c r="A8105">
        <v>104592</v>
      </c>
      <c r="B8105" s="3" t="s">
        <v>681</v>
      </c>
      <c r="C8105" s="1">
        <v>43300101</v>
      </c>
      <c r="D8105" t="s">
        <v>67</v>
      </c>
      <c r="H8105" t="str">
        <f t="shared" si="800"/>
        <v>07931650589</v>
      </c>
      <c r="I8105" t="str">
        <f t="shared" si="801"/>
        <v>01911071007</v>
      </c>
      <c r="K8105" t="str">
        <f>""</f>
        <v/>
      </c>
      <c r="M8105" t="s">
        <v>68</v>
      </c>
      <c r="N8105" t="str">
        <f t="shared" si="798"/>
        <v>FOR</v>
      </c>
      <c r="O8105" t="s">
        <v>69</v>
      </c>
      <c r="P8105" s="3" t="s">
        <v>75</v>
      </c>
      <c r="Q8105">
        <v>2015</v>
      </c>
      <c r="R8105" s="2">
        <v>42124</v>
      </c>
      <c r="S8105" s="2">
        <v>42129</v>
      </c>
      <c r="T8105" s="2">
        <v>42129</v>
      </c>
      <c r="U8105" s="2">
        <v>42189</v>
      </c>
      <c r="V8105" t="s">
        <v>71</v>
      </c>
      <c r="W8105" t="str">
        <f>"          3501947 XU"</f>
        <v xml:space="preserve">          3501947 XU</v>
      </c>
      <c r="X8105" s="1">
        <v>2714.09</v>
      </c>
      <c r="Y8105">
        <v>0</v>
      </c>
      <c r="Z8105"/>
      <c r="AB8105"/>
      <c r="AC8105" s="1">
        <v>2609.6999999999998</v>
      </c>
      <c r="AD8105">
        <v>264</v>
      </c>
      <c r="AE8105" s="1">
        <v>688960.8</v>
      </c>
      <c r="AF8105">
        <v>0</v>
      </c>
      <c r="AJ8105">
        <v>0</v>
      </c>
      <c r="AK8105">
        <v>0</v>
      </c>
      <c r="AL8105">
        <v>0</v>
      </c>
      <c r="AM8105">
        <v>0</v>
      </c>
      <c r="AN8105">
        <v>0</v>
      </c>
      <c r="AO8105">
        <v>0</v>
      </c>
      <c r="AP8105" s="2">
        <v>42746</v>
      </c>
      <c r="AQ8105" t="s">
        <v>72</v>
      </c>
      <c r="AR8105" t="s">
        <v>72</v>
      </c>
      <c r="AS8105">
        <v>868</v>
      </c>
      <c r="AT8105" s="4">
        <v>42453</v>
      </c>
      <c r="AU8105" t="s">
        <v>73</v>
      </c>
      <c r="AV8105">
        <v>868</v>
      </c>
      <c r="AW8105" s="4">
        <v>42453</v>
      </c>
      <c r="BD8105">
        <v>0</v>
      </c>
      <c r="BN8105" t="s">
        <v>74</v>
      </c>
    </row>
    <row r="8106" spans="1:66" hidden="1">
      <c r="A8106">
        <v>104592</v>
      </c>
      <c r="B8106" s="3" t="s">
        <v>681</v>
      </c>
      <c r="C8106" s="1">
        <v>43300101</v>
      </c>
      <c r="D8106" t="s">
        <v>67</v>
      </c>
      <c r="H8106" t="str">
        <f t="shared" si="800"/>
        <v>07931650589</v>
      </c>
      <c r="I8106" t="str">
        <f t="shared" si="801"/>
        <v>01911071007</v>
      </c>
      <c r="K8106" t="str">
        <f>""</f>
        <v/>
      </c>
      <c r="M8106" t="s">
        <v>68</v>
      </c>
      <c r="N8106" t="str">
        <f t="shared" si="798"/>
        <v>FOR</v>
      </c>
      <c r="O8106" t="s">
        <v>69</v>
      </c>
      <c r="P8106" s="3" t="s">
        <v>75</v>
      </c>
      <c r="Q8106">
        <v>2015</v>
      </c>
      <c r="R8106" s="2">
        <v>42128</v>
      </c>
      <c r="S8106" s="2">
        <v>42132</v>
      </c>
      <c r="T8106" s="2">
        <v>42132</v>
      </c>
      <c r="U8106" s="2">
        <v>42192</v>
      </c>
      <c r="V8106" t="s">
        <v>71</v>
      </c>
      <c r="W8106" t="str">
        <f>"          3502022 XU"</f>
        <v xml:space="preserve">          3502022 XU</v>
      </c>
      <c r="X8106" s="1">
        <v>9198.07</v>
      </c>
      <c r="Y8106">
        <v>0</v>
      </c>
      <c r="Z8106"/>
      <c r="AB8106"/>
      <c r="AC8106" s="1">
        <v>8844.2999999999993</v>
      </c>
      <c r="AD8106">
        <v>261</v>
      </c>
      <c r="AE8106" s="1">
        <v>2308362.2999999998</v>
      </c>
      <c r="AF8106">
        <v>0</v>
      </c>
      <c r="AJ8106">
        <v>0</v>
      </c>
      <c r="AK8106">
        <v>0</v>
      </c>
      <c r="AL8106">
        <v>0</v>
      </c>
      <c r="AM8106">
        <v>0</v>
      </c>
      <c r="AN8106">
        <v>0</v>
      </c>
      <c r="AO8106">
        <v>0</v>
      </c>
      <c r="AP8106" s="2">
        <v>42746</v>
      </c>
      <c r="AQ8106" t="s">
        <v>72</v>
      </c>
      <c r="AR8106" t="s">
        <v>72</v>
      </c>
      <c r="AS8106">
        <v>868</v>
      </c>
      <c r="AT8106" s="4">
        <v>42453</v>
      </c>
      <c r="AU8106" t="s">
        <v>73</v>
      </c>
      <c r="AV8106">
        <v>868</v>
      </c>
      <c r="AW8106" s="4">
        <v>42453</v>
      </c>
      <c r="BD8106">
        <v>0</v>
      </c>
      <c r="BN8106" t="s">
        <v>74</v>
      </c>
    </row>
    <row r="8107" spans="1:66" hidden="1">
      <c r="A8107">
        <v>104592</v>
      </c>
      <c r="B8107" s="3" t="s">
        <v>681</v>
      </c>
      <c r="C8107" s="1">
        <v>43300101</v>
      </c>
      <c r="D8107" t="s">
        <v>67</v>
      </c>
      <c r="H8107" t="str">
        <f t="shared" si="800"/>
        <v>07931650589</v>
      </c>
      <c r="I8107" t="str">
        <f t="shared" si="801"/>
        <v>01911071007</v>
      </c>
      <c r="K8107" t="str">
        <f>""</f>
        <v/>
      </c>
      <c r="M8107" t="s">
        <v>68</v>
      </c>
      <c r="N8107" t="str">
        <f t="shared" si="798"/>
        <v>FOR</v>
      </c>
      <c r="O8107" t="s">
        <v>69</v>
      </c>
      <c r="P8107" s="3" t="s">
        <v>75</v>
      </c>
      <c r="Q8107">
        <v>2015</v>
      </c>
      <c r="R8107" s="2">
        <v>42128</v>
      </c>
      <c r="S8107" s="2">
        <v>42132</v>
      </c>
      <c r="T8107" s="2">
        <v>42132</v>
      </c>
      <c r="U8107" s="2">
        <v>42192</v>
      </c>
      <c r="V8107" t="s">
        <v>71</v>
      </c>
      <c r="W8107" t="str">
        <f>"          3502023 XU"</f>
        <v xml:space="preserve">          3502023 XU</v>
      </c>
      <c r="X8107" s="1">
        <v>1915.4</v>
      </c>
      <c r="Y8107">
        <v>0</v>
      </c>
      <c r="Z8107"/>
      <c r="AB8107"/>
      <c r="AC8107" s="1">
        <v>1570</v>
      </c>
      <c r="AD8107">
        <v>261</v>
      </c>
      <c r="AE8107" s="1">
        <v>409770</v>
      </c>
      <c r="AF8107">
        <v>0</v>
      </c>
      <c r="AJ8107">
        <v>0</v>
      </c>
      <c r="AK8107">
        <v>0</v>
      </c>
      <c r="AL8107">
        <v>0</v>
      </c>
      <c r="AM8107">
        <v>0</v>
      </c>
      <c r="AN8107">
        <v>0</v>
      </c>
      <c r="AO8107">
        <v>0</v>
      </c>
      <c r="AP8107" s="2">
        <v>42746</v>
      </c>
      <c r="AQ8107" t="s">
        <v>72</v>
      </c>
      <c r="AR8107" t="s">
        <v>72</v>
      </c>
      <c r="AS8107">
        <v>868</v>
      </c>
      <c r="AT8107" s="4">
        <v>42453</v>
      </c>
      <c r="AU8107" t="s">
        <v>73</v>
      </c>
      <c r="AV8107">
        <v>868</v>
      </c>
      <c r="AW8107" s="4">
        <v>42453</v>
      </c>
      <c r="BD8107">
        <v>0</v>
      </c>
      <c r="BN8107" t="s">
        <v>74</v>
      </c>
    </row>
    <row r="8108" spans="1:66" hidden="1">
      <c r="A8108">
        <v>104592</v>
      </c>
      <c r="B8108" s="3" t="s">
        <v>681</v>
      </c>
      <c r="C8108" s="1">
        <v>43300101</v>
      </c>
      <c r="D8108" t="s">
        <v>67</v>
      </c>
      <c r="H8108" t="str">
        <f t="shared" si="800"/>
        <v>07931650589</v>
      </c>
      <c r="I8108" t="str">
        <f t="shared" si="801"/>
        <v>01911071007</v>
      </c>
      <c r="K8108" t="str">
        <f>""</f>
        <v/>
      </c>
      <c r="M8108" t="s">
        <v>68</v>
      </c>
      <c r="N8108" t="str">
        <f t="shared" si="798"/>
        <v>FOR</v>
      </c>
      <c r="O8108" t="s">
        <v>69</v>
      </c>
      <c r="P8108" s="3" t="s">
        <v>75</v>
      </c>
      <c r="Q8108">
        <v>2015</v>
      </c>
      <c r="R8108" s="2">
        <v>42131</v>
      </c>
      <c r="S8108" s="2">
        <v>42139</v>
      </c>
      <c r="T8108" s="2">
        <v>42137</v>
      </c>
      <c r="U8108" s="2">
        <v>42197</v>
      </c>
      <c r="V8108" t="s">
        <v>71</v>
      </c>
      <c r="W8108" t="str">
        <f>"          3502225 XU"</f>
        <v xml:space="preserve">          3502225 XU</v>
      </c>
      <c r="X8108" s="1">
        <v>1049.2</v>
      </c>
      <c r="Y8108">
        <v>0</v>
      </c>
      <c r="Z8108"/>
      <c r="AB8108"/>
      <c r="AC8108">
        <v>860</v>
      </c>
      <c r="AD8108">
        <v>256</v>
      </c>
      <c r="AE8108" s="1">
        <v>220160</v>
      </c>
      <c r="AF8108">
        <v>0</v>
      </c>
      <c r="AJ8108">
        <v>0</v>
      </c>
      <c r="AK8108">
        <v>0</v>
      </c>
      <c r="AL8108">
        <v>0</v>
      </c>
      <c r="AM8108">
        <v>0</v>
      </c>
      <c r="AN8108">
        <v>0</v>
      </c>
      <c r="AO8108">
        <v>0</v>
      </c>
      <c r="AP8108" s="2">
        <v>42746</v>
      </c>
      <c r="AQ8108" t="s">
        <v>72</v>
      </c>
      <c r="AR8108" t="s">
        <v>72</v>
      </c>
      <c r="AS8108">
        <v>868</v>
      </c>
      <c r="AT8108" s="4">
        <v>42453</v>
      </c>
      <c r="AU8108" t="s">
        <v>73</v>
      </c>
      <c r="AV8108">
        <v>868</v>
      </c>
      <c r="AW8108" s="4">
        <v>42453</v>
      </c>
      <c r="BD8108">
        <v>0</v>
      </c>
      <c r="BN8108" t="s">
        <v>74</v>
      </c>
    </row>
    <row r="8109" spans="1:66" hidden="1">
      <c r="A8109">
        <v>104592</v>
      </c>
      <c r="B8109" s="3" t="s">
        <v>681</v>
      </c>
      <c r="C8109" s="1">
        <v>43300101</v>
      </c>
      <c r="D8109" t="s">
        <v>67</v>
      </c>
      <c r="H8109" t="str">
        <f t="shared" si="800"/>
        <v>07931650589</v>
      </c>
      <c r="I8109" t="str">
        <f t="shared" si="801"/>
        <v>01911071007</v>
      </c>
      <c r="K8109" t="str">
        <f>""</f>
        <v/>
      </c>
      <c r="M8109" t="s">
        <v>68</v>
      </c>
      <c r="N8109" t="str">
        <f t="shared" si="798"/>
        <v>FOR</v>
      </c>
      <c r="O8109" t="s">
        <v>69</v>
      </c>
      <c r="P8109" s="3" t="s">
        <v>75</v>
      </c>
      <c r="Q8109">
        <v>2015</v>
      </c>
      <c r="R8109" s="2">
        <v>42135</v>
      </c>
      <c r="S8109" s="2">
        <v>42174</v>
      </c>
      <c r="T8109" s="2">
        <v>42139</v>
      </c>
      <c r="U8109" s="2">
        <v>42199</v>
      </c>
      <c r="V8109" t="s">
        <v>71</v>
      </c>
      <c r="W8109" t="str">
        <f>"          3502350 XU"</f>
        <v xml:space="preserve">          3502350 XU</v>
      </c>
      <c r="X8109">
        <v>524.6</v>
      </c>
      <c r="Y8109">
        <v>0</v>
      </c>
      <c r="Z8109"/>
      <c r="AB8109"/>
      <c r="AC8109">
        <v>430</v>
      </c>
      <c r="AD8109">
        <v>254</v>
      </c>
      <c r="AE8109" s="1">
        <v>109220</v>
      </c>
      <c r="AF8109">
        <v>0</v>
      </c>
      <c r="AJ8109">
        <v>0</v>
      </c>
      <c r="AK8109">
        <v>0</v>
      </c>
      <c r="AL8109">
        <v>0</v>
      </c>
      <c r="AM8109">
        <v>0</v>
      </c>
      <c r="AN8109">
        <v>0</v>
      </c>
      <c r="AO8109">
        <v>0</v>
      </c>
      <c r="AP8109" s="2">
        <v>42746</v>
      </c>
      <c r="AQ8109" t="s">
        <v>72</v>
      </c>
      <c r="AR8109" t="s">
        <v>72</v>
      </c>
      <c r="AS8109">
        <v>868</v>
      </c>
      <c r="AT8109" s="4">
        <v>42453</v>
      </c>
      <c r="AU8109" t="s">
        <v>73</v>
      </c>
      <c r="AV8109">
        <v>868</v>
      </c>
      <c r="AW8109" s="4">
        <v>42453</v>
      </c>
      <c r="BD8109">
        <v>0</v>
      </c>
      <c r="BN8109" t="s">
        <v>74</v>
      </c>
    </row>
    <row r="8110" spans="1:66" hidden="1">
      <c r="A8110">
        <v>104592</v>
      </c>
      <c r="B8110" s="3" t="s">
        <v>681</v>
      </c>
      <c r="C8110" s="1">
        <v>43300101</v>
      </c>
      <c r="D8110" t="s">
        <v>67</v>
      </c>
      <c r="H8110" t="str">
        <f t="shared" si="800"/>
        <v>07931650589</v>
      </c>
      <c r="I8110" t="str">
        <f t="shared" si="801"/>
        <v>01911071007</v>
      </c>
      <c r="K8110" t="str">
        <f>""</f>
        <v/>
      </c>
      <c r="M8110" t="s">
        <v>68</v>
      </c>
      <c r="N8110" t="str">
        <f t="shared" si="798"/>
        <v>FOR</v>
      </c>
      <c r="O8110" t="s">
        <v>69</v>
      </c>
      <c r="P8110" s="3" t="s">
        <v>75</v>
      </c>
      <c r="Q8110">
        <v>2015</v>
      </c>
      <c r="R8110" s="2">
        <v>42135</v>
      </c>
      <c r="S8110" s="2">
        <v>42174</v>
      </c>
      <c r="T8110" s="2">
        <v>42139</v>
      </c>
      <c r="U8110" s="2">
        <v>42199</v>
      </c>
      <c r="V8110" t="s">
        <v>71</v>
      </c>
      <c r="W8110" t="str">
        <f>"          3502351 XU"</f>
        <v xml:space="preserve">          3502351 XU</v>
      </c>
      <c r="X8110" s="1">
        <v>2049.6</v>
      </c>
      <c r="Y8110">
        <v>0</v>
      </c>
      <c r="Z8110"/>
      <c r="AB8110"/>
      <c r="AC8110" s="1">
        <v>1680</v>
      </c>
      <c r="AD8110">
        <v>254</v>
      </c>
      <c r="AE8110" s="1">
        <v>426720</v>
      </c>
      <c r="AF8110">
        <v>0</v>
      </c>
      <c r="AJ8110">
        <v>0</v>
      </c>
      <c r="AK8110">
        <v>0</v>
      </c>
      <c r="AL8110">
        <v>0</v>
      </c>
      <c r="AM8110">
        <v>0</v>
      </c>
      <c r="AN8110">
        <v>0</v>
      </c>
      <c r="AO8110">
        <v>0</v>
      </c>
      <c r="AP8110" s="2">
        <v>42746</v>
      </c>
      <c r="AQ8110" t="s">
        <v>72</v>
      </c>
      <c r="AR8110" t="s">
        <v>72</v>
      </c>
      <c r="AS8110">
        <v>868</v>
      </c>
      <c r="AT8110" s="4">
        <v>42453</v>
      </c>
      <c r="AU8110" t="s">
        <v>73</v>
      </c>
      <c r="AV8110">
        <v>868</v>
      </c>
      <c r="AW8110" s="4">
        <v>42453</v>
      </c>
      <c r="BD8110">
        <v>0</v>
      </c>
      <c r="BN8110" t="s">
        <v>74</v>
      </c>
    </row>
    <row r="8111" spans="1:66" hidden="1">
      <c r="A8111">
        <v>104592</v>
      </c>
      <c r="B8111" s="3" t="s">
        <v>681</v>
      </c>
      <c r="C8111" s="1">
        <v>43300101</v>
      </c>
      <c r="D8111" t="s">
        <v>67</v>
      </c>
      <c r="H8111" t="str">
        <f t="shared" si="800"/>
        <v>07931650589</v>
      </c>
      <c r="I8111" t="str">
        <f t="shared" si="801"/>
        <v>01911071007</v>
      </c>
      <c r="K8111" t="str">
        <f>""</f>
        <v/>
      </c>
      <c r="M8111" t="s">
        <v>68</v>
      </c>
      <c r="N8111" t="str">
        <f t="shared" si="798"/>
        <v>FOR</v>
      </c>
      <c r="O8111" t="s">
        <v>69</v>
      </c>
      <c r="P8111" s="3" t="s">
        <v>75</v>
      </c>
      <c r="Q8111">
        <v>2015</v>
      </c>
      <c r="R8111" s="2">
        <v>42139</v>
      </c>
      <c r="S8111" s="2">
        <v>42160</v>
      </c>
      <c r="T8111" s="2">
        <v>42143</v>
      </c>
      <c r="U8111" s="2">
        <v>42203</v>
      </c>
      <c r="V8111" t="s">
        <v>71</v>
      </c>
      <c r="W8111" t="str">
        <f>"          3502602 XU"</f>
        <v xml:space="preserve">          3502602 XU</v>
      </c>
      <c r="X8111">
        <v>262.3</v>
      </c>
      <c r="Y8111">
        <v>0</v>
      </c>
      <c r="Z8111"/>
      <c r="AB8111"/>
      <c r="AC8111">
        <v>215</v>
      </c>
      <c r="AD8111">
        <v>250</v>
      </c>
      <c r="AE8111" s="1">
        <v>53750</v>
      </c>
      <c r="AF8111">
        <v>0</v>
      </c>
      <c r="AJ8111">
        <v>0</v>
      </c>
      <c r="AK8111">
        <v>0</v>
      </c>
      <c r="AL8111">
        <v>0</v>
      </c>
      <c r="AM8111">
        <v>0</v>
      </c>
      <c r="AN8111">
        <v>0</v>
      </c>
      <c r="AO8111">
        <v>0</v>
      </c>
      <c r="AP8111" s="2">
        <v>42746</v>
      </c>
      <c r="AQ8111" t="s">
        <v>72</v>
      </c>
      <c r="AR8111" t="s">
        <v>72</v>
      </c>
      <c r="AS8111">
        <v>868</v>
      </c>
      <c r="AT8111" s="4">
        <v>42453</v>
      </c>
      <c r="AU8111" t="s">
        <v>73</v>
      </c>
      <c r="AV8111">
        <v>868</v>
      </c>
      <c r="AW8111" s="4">
        <v>42453</v>
      </c>
      <c r="BD8111">
        <v>0</v>
      </c>
      <c r="BN8111" t="s">
        <v>74</v>
      </c>
    </row>
    <row r="8112" spans="1:66" hidden="1">
      <c r="A8112">
        <v>104592</v>
      </c>
      <c r="B8112" s="3" t="s">
        <v>681</v>
      </c>
      <c r="C8112" s="1">
        <v>43300101</v>
      </c>
      <c r="D8112" t="s">
        <v>67</v>
      </c>
      <c r="H8112" t="str">
        <f t="shared" si="800"/>
        <v>07931650589</v>
      </c>
      <c r="I8112" t="str">
        <f t="shared" si="801"/>
        <v>01911071007</v>
      </c>
      <c r="K8112" t="str">
        <f>""</f>
        <v/>
      </c>
      <c r="M8112" t="s">
        <v>68</v>
      </c>
      <c r="N8112" t="str">
        <f t="shared" si="798"/>
        <v>FOR</v>
      </c>
      <c r="O8112" t="s">
        <v>69</v>
      </c>
      <c r="P8112" s="3" t="s">
        <v>75</v>
      </c>
      <c r="Q8112">
        <v>2015</v>
      </c>
      <c r="R8112" s="2">
        <v>42142</v>
      </c>
      <c r="S8112" s="2">
        <v>42160</v>
      </c>
      <c r="T8112" s="2">
        <v>42146</v>
      </c>
      <c r="U8112" s="2">
        <v>42206</v>
      </c>
      <c r="V8112" t="s">
        <v>71</v>
      </c>
      <c r="W8112" t="str">
        <f>"          3502686 XU"</f>
        <v xml:space="preserve">          3502686 XU</v>
      </c>
      <c r="X8112" s="1">
        <v>3498.77</v>
      </c>
      <c r="Y8112">
        <v>0</v>
      </c>
      <c r="Z8112"/>
      <c r="AB8112"/>
      <c r="AC8112" s="1">
        <v>3364.2</v>
      </c>
      <c r="AD8112">
        <v>247</v>
      </c>
      <c r="AE8112" s="1">
        <v>830957.4</v>
      </c>
      <c r="AF8112">
        <v>0</v>
      </c>
      <c r="AJ8112">
        <v>0</v>
      </c>
      <c r="AK8112">
        <v>0</v>
      </c>
      <c r="AL8112">
        <v>0</v>
      </c>
      <c r="AM8112">
        <v>0</v>
      </c>
      <c r="AN8112">
        <v>0</v>
      </c>
      <c r="AO8112">
        <v>0</v>
      </c>
      <c r="AP8112" s="2">
        <v>42746</v>
      </c>
      <c r="AQ8112" t="s">
        <v>72</v>
      </c>
      <c r="AR8112" t="s">
        <v>72</v>
      </c>
      <c r="AS8112">
        <v>868</v>
      </c>
      <c r="AT8112" s="4">
        <v>42453</v>
      </c>
      <c r="AU8112" t="s">
        <v>73</v>
      </c>
      <c r="AV8112">
        <v>868</v>
      </c>
      <c r="AW8112" s="4">
        <v>42453</v>
      </c>
      <c r="BD8112">
        <v>0</v>
      </c>
      <c r="BN8112" t="s">
        <v>74</v>
      </c>
    </row>
    <row r="8113" spans="1:66" hidden="1">
      <c r="A8113">
        <v>104592</v>
      </c>
      <c r="B8113" s="3" t="s">
        <v>681</v>
      </c>
      <c r="C8113" s="1">
        <v>43300101</v>
      </c>
      <c r="D8113" t="s">
        <v>67</v>
      </c>
      <c r="H8113" t="str">
        <f t="shared" si="800"/>
        <v>07931650589</v>
      </c>
      <c r="I8113" t="str">
        <f t="shared" si="801"/>
        <v>01911071007</v>
      </c>
      <c r="K8113" t="str">
        <f>""</f>
        <v/>
      </c>
      <c r="M8113" t="s">
        <v>68</v>
      </c>
      <c r="N8113" t="str">
        <f t="shared" si="798"/>
        <v>FOR</v>
      </c>
      <c r="O8113" t="s">
        <v>69</v>
      </c>
      <c r="P8113" s="3" t="s">
        <v>75</v>
      </c>
      <c r="Q8113">
        <v>2015</v>
      </c>
      <c r="R8113" s="2">
        <v>42145</v>
      </c>
      <c r="S8113" s="2">
        <v>42160</v>
      </c>
      <c r="T8113" s="2">
        <v>42150</v>
      </c>
      <c r="U8113" s="2">
        <v>42210</v>
      </c>
      <c r="V8113" t="s">
        <v>71</v>
      </c>
      <c r="W8113" t="str">
        <f>"          3502918 XU"</f>
        <v xml:space="preserve">          3502918 XU</v>
      </c>
      <c r="X8113">
        <v>524.6</v>
      </c>
      <c r="Y8113">
        <v>0</v>
      </c>
      <c r="Z8113"/>
      <c r="AB8113"/>
      <c r="AC8113">
        <v>430</v>
      </c>
      <c r="AD8113">
        <v>243</v>
      </c>
      <c r="AE8113" s="1">
        <v>104490</v>
      </c>
      <c r="AF8113">
        <v>0</v>
      </c>
      <c r="AJ8113">
        <v>0</v>
      </c>
      <c r="AK8113">
        <v>0</v>
      </c>
      <c r="AL8113">
        <v>0</v>
      </c>
      <c r="AM8113">
        <v>0</v>
      </c>
      <c r="AN8113">
        <v>0</v>
      </c>
      <c r="AO8113">
        <v>0</v>
      </c>
      <c r="AP8113" s="2">
        <v>42746</v>
      </c>
      <c r="AQ8113" t="s">
        <v>72</v>
      </c>
      <c r="AR8113" t="s">
        <v>72</v>
      </c>
      <c r="AS8113">
        <v>868</v>
      </c>
      <c r="AT8113" s="4">
        <v>42453</v>
      </c>
      <c r="AU8113" t="s">
        <v>73</v>
      </c>
      <c r="AV8113">
        <v>868</v>
      </c>
      <c r="AW8113" s="4">
        <v>42453</v>
      </c>
      <c r="BD8113">
        <v>0</v>
      </c>
      <c r="BN8113" t="s">
        <v>74</v>
      </c>
    </row>
    <row r="8114" spans="1:66" hidden="1">
      <c r="A8114">
        <v>104592</v>
      </c>
      <c r="B8114" s="3" t="s">
        <v>681</v>
      </c>
      <c r="C8114" s="1">
        <v>43300101</v>
      </c>
      <c r="D8114" t="s">
        <v>67</v>
      </c>
      <c r="H8114" t="str">
        <f t="shared" si="800"/>
        <v>07931650589</v>
      </c>
      <c r="I8114" t="str">
        <f t="shared" si="801"/>
        <v>01911071007</v>
      </c>
      <c r="K8114" t="str">
        <f>""</f>
        <v/>
      </c>
      <c r="M8114" t="s">
        <v>68</v>
      </c>
      <c r="N8114" t="str">
        <f t="shared" si="798"/>
        <v>FOR</v>
      </c>
      <c r="O8114" t="s">
        <v>69</v>
      </c>
      <c r="P8114" s="3" t="s">
        <v>75</v>
      </c>
      <c r="Q8114">
        <v>2015</v>
      </c>
      <c r="R8114" s="2">
        <v>42145</v>
      </c>
      <c r="S8114" s="2">
        <v>42160</v>
      </c>
      <c r="T8114" s="2">
        <v>42150</v>
      </c>
      <c r="U8114" s="2">
        <v>42210</v>
      </c>
      <c r="V8114" t="s">
        <v>71</v>
      </c>
      <c r="W8114" t="str">
        <f>"          3502919 XU"</f>
        <v xml:space="preserve">          3502919 XU</v>
      </c>
      <c r="X8114">
        <v>262.3</v>
      </c>
      <c r="Y8114">
        <v>0</v>
      </c>
      <c r="Z8114"/>
      <c r="AB8114"/>
      <c r="AC8114">
        <v>215</v>
      </c>
      <c r="AD8114">
        <v>243</v>
      </c>
      <c r="AE8114" s="1">
        <v>52245</v>
      </c>
      <c r="AF8114">
        <v>0</v>
      </c>
      <c r="AJ8114">
        <v>0</v>
      </c>
      <c r="AK8114">
        <v>0</v>
      </c>
      <c r="AL8114">
        <v>0</v>
      </c>
      <c r="AM8114">
        <v>0</v>
      </c>
      <c r="AN8114">
        <v>0</v>
      </c>
      <c r="AO8114">
        <v>0</v>
      </c>
      <c r="AP8114" s="2">
        <v>42746</v>
      </c>
      <c r="AQ8114" t="s">
        <v>72</v>
      </c>
      <c r="AR8114" t="s">
        <v>72</v>
      </c>
      <c r="AS8114">
        <v>868</v>
      </c>
      <c r="AT8114" s="4">
        <v>42453</v>
      </c>
      <c r="AU8114" t="s">
        <v>73</v>
      </c>
      <c r="AV8114">
        <v>868</v>
      </c>
      <c r="AW8114" s="4">
        <v>42453</v>
      </c>
      <c r="BD8114">
        <v>0</v>
      </c>
      <c r="BN8114" t="s">
        <v>74</v>
      </c>
    </row>
    <row r="8115" spans="1:66" hidden="1">
      <c r="A8115">
        <v>104592</v>
      </c>
      <c r="B8115" s="3" t="s">
        <v>681</v>
      </c>
      <c r="C8115" s="1">
        <v>43300101</v>
      </c>
      <c r="D8115" t="s">
        <v>67</v>
      </c>
      <c r="H8115" t="str">
        <f t="shared" si="800"/>
        <v>07931650589</v>
      </c>
      <c r="I8115" t="str">
        <f t="shared" si="801"/>
        <v>01911071007</v>
      </c>
      <c r="K8115" t="str">
        <f>""</f>
        <v/>
      </c>
      <c r="M8115" t="s">
        <v>68</v>
      </c>
      <c r="N8115" t="str">
        <f t="shared" si="798"/>
        <v>FOR</v>
      </c>
      <c r="O8115" t="s">
        <v>69</v>
      </c>
      <c r="P8115" s="3" t="s">
        <v>75</v>
      </c>
      <c r="Q8115">
        <v>2015</v>
      </c>
      <c r="R8115" s="2">
        <v>42151</v>
      </c>
      <c r="S8115" s="2">
        <v>42158</v>
      </c>
      <c r="T8115" s="2">
        <v>42156</v>
      </c>
      <c r="U8115" s="2">
        <v>42216</v>
      </c>
      <c r="V8115" t="s">
        <v>71</v>
      </c>
      <c r="W8115" t="str">
        <f>"          3503222 XU"</f>
        <v xml:space="preserve">          3503222 XU</v>
      </c>
      <c r="X8115">
        <v>524.6</v>
      </c>
      <c r="Y8115">
        <v>0</v>
      </c>
      <c r="Z8115"/>
      <c r="AB8115"/>
      <c r="AC8115">
        <v>430</v>
      </c>
      <c r="AD8115">
        <v>237</v>
      </c>
      <c r="AE8115" s="1">
        <v>101910</v>
      </c>
      <c r="AF8115">
        <v>0</v>
      </c>
      <c r="AJ8115">
        <v>0</v>
      </c>
      <c r="AK8115">
        <v>0</v>
      </c>
      <c r="AL8115">
        <v>0</v>
      </c>
      <c r="AM8115">
        <v>0</v>
      </c>
      <c r="AN8115">
        <v>0</v>
      </c>
      <c r="AO8115">
        <v>0</v>
      </c>
      <c r="AP8115" s="2">
        <v>42746</v>
      </c>
      <c r="AQ8115" t="s">
        <v>72</v>
      </c>
      <c r="AR8115" t="s">
        <v>72</v>
      </c>
      <c r="AS8115">
        <v>868</v>
      </c>
      <c r="AT8115" s="4">
        <v>42453</v>
      </c>
      <c r="AU8115" t="s">
        <v>73</v>
      </c>
      <c r="AV8115">
        <v>868</v>
      </c>
      <c r="AW8115" s="4">
        <v>42453</v>
      </c>
      <c r="BD8115">
        <v>0</v>
      </c>
      <c r="BN8115" t="s">
        <v>74</v>
      </c>
    </row>
    <row r="8116" spans="1:66" hidden="1">
      <c r="A8116">
        <v>104592</v>
      </c>
      <c r="B8116" s="3" t="s">
        <v>681</v>
      </c>
      <c r="C8116" s="1">
        <v>43300101</v>
      </c>
      <c r="D8116" t="s">
        <v>67</v>
      </c>
      <c r="H8116" t="str">
        <f t="shared" si="800"/>
        <v>07931650589</v>
      </c>
      <c r="I8116" t="str">
        <f t="shared" si="801"/>
        <v>01911071007</v>
      </c>
      <c r="K8116" t="str">
        <f>""</f>
        <v/>
      </c>
      <c r="M8116" t="s">
        <v>68</v>
      </c>
      <c r="N8116" t="str">
        <f t="shared" si="798"/>
        <v>FOR</v>
      </c>
      <c r="O8116" t="s">
        <v>69</v>
      </c>
      <c r="P8116" s="3" t="s">
        <v>75</v>
      </c>
      <c r="Q8116">
        <v>2015</v>
      </c>
      <c r="R8116" s="2">
        <v>42160</v>
      </c>
      <c r="S8116" s="2">
        <v>42165</v>
      </c>
      <c r="T8116" s="2">
        <v>42164</v>
      </c>
      <c r="U8116" s="2">
        <v>42224</v>
      </c>
      <c r="V8116" t="s">
        <v>71</v>
      </c>
      <c r="W8116" t="str">
        <f>"          3503570 XU"</f>
        <v xml:space="preserve">          3503570 XU</v>
      </c>
      <c r="X8116">
        <v>244</v>
      </c>
      <c r="Y8116">
        <v>0</v>
      </c>
      <c r="Z8116"/>
      <c r="AB8116"/>
      <c r="AC8116">
        <v>200</v>
      </c>
      <c r="AD8116">
        <v>268</v>
      </c>
      <c r="AE8116" s="1">
        <v>53600</v>
      </c>
      <c r="AF8116">
        <v>0</v>
      </c>
      <c r="AJ8116">
        <v>0</v>
      </c>
      <c r="AK8116">
        <v>0</v>
      </c>
      <c r="AL8116">
        <v>0</v>
      </c>
      <c r="AM8116">
        <v>0</v>
      </c>
      <c r="AN8116">
        <v>0</v>
      </c>
      <c r="AO8116">
        <v>0</v>
      </c>
      <c r="AP8116" s="2">
        <v>42746</v>
      </c>
      <c r="AQ8116" t="s">
        <v>72</v>
      </c>
      <c r="AR8116" t="s">
        <v>72</v>
      </c>
      <c r="AS8116">
        <v>1236</v>
      </c>
      <c r="AT8116" s="4">
        <v>42492</v>
      </c>
      <c r="AU8116" t="s">
        <v>73</v>
      </c>
      <c r="AV8116">
        <v>1236</v>
      </c>
      <c r="AW8116" s="4">
        <v>42492</v>
      </c>
      <c r="BD8116">
        <v>0</v>
      </c>
      <c r="BN8116" t="s">
        <v>74</v>
      </c>
    </row>
    <row r="8117" spans="1:66" hidden="1">
      <c r="A8117">
        <v>104592</v>
      </c>
      <c r="B8117" s="3" t="s">
        <v>681</v>
      </c>
      <c r="C8117" s="1">
        <v>43300101</v>
      </c>
      <c r="D8117" t="s">
        <v>67</v>
      </c>
      <c r="H8117" t="str">
        <f t="shared" si="800"/>
        <v>07931650589</v>
      </c>
      <c r="I8117" t="str">
        <f t="shared" si="801"/>
        <v>01911071007</v>
      </c>
      <c r="K8117" t="str">
        <f>""</f>
        <v/>
      </c>
      <c r="M8117" t="s">
        <v>68</v>
      </c>
      <c r="N8117" t="str">
        <f t="shared" si="798"/>
        <v>FOR</v>
      </c>
      <c r="O8117" t="s">
        <v>69</v>
      </c>
      <c r="P8117" s="3" t="s">
        <v>75</v>
      </c>
      <c r="Q8117">
        <v>2015</v>
      </c>
      <c r="R8117" s="2">
        <v>42167</v>
      </c>
      <c r="S8117" s="2">
        <v>42171</v>
      </c>
      <c r="T8117" s="2">
        <v>42171</v>
      </c>
      <c r="U8117" s="2">
        <v>42231</v>
      </c>
      <c r="V8117" t="s">
        <v>71</v>
      </c>
      <c r="W8117" t="str">
        <f>"          3503855 XU"</f>
        <v xml:space="preserve">          3503855 XU</v>
      </c>
      <c r="X8117" s="1">
        <v>7298.31</v>
      </c>
      <c r="Y8117">
        <v>0</v>
      </c>
      <c r="Z8117"/>
      <c r="AB8117"/>
      <c r="AC8117" s="1">
        <v>7017.6</v>
      </c>
      <c r="AD8117">
        <v>261</v>
      </c>
      <c r="AE8117" s="1">
        <v>1831593.6</v>
      </c>
      <c r="AF8117">
        <v>0</v>
      </c>
      <c r="AJ8117">
        <v>0</v>
      </c>
      <c r="AK8117">
        <v>0</v>
      </c>
      <c r="AL8117">
        <v>0</v>
      </c>
      <c r="AM8117">
        <v>0</v>
      </c>
      <c r="AN8117">
        <v>0</v>
      </c>
      <c r="AO8117">
        <v>0</v>
      </c>
      <c r="AP8117" s="2">
        <v>42746</v>
      </c>
      <c r="AQ8117" t="s">
        <v>72</v>
      </c>
      <c r="AR8117" t="s">
        <v>72</v>
      </c>
      <c r="AS8117">
        <v>1236</v>
      </c>
      <c r="AT8117" s="4">
        <v>42492</v>
      </c>
      <c r="AU8117" t="s">
        <v>73</v>
      </c>
      <c r="AV8117">
        <v>1236</v>
      </c>
      <c r="AW8117" s="4">
        <v>42492</v>
      </c>
      <c r="BD8117">
        <v>0</v>
      </c>
      <c r="BN8117" t="s">
        <v>74</v>
      </c>
    </row>
    <row r="8118" spans="1:66" hidden="1">
      <c r="A8118">
        <v>104592</v>
      </c>
      <c r="B8118" s="3" t="s">
        <v>681</v>
      </c>
      <c r="C8118" s="1">
        <v>43300101</v>
      </c>
      <c r="D8118" t="s">
        <v>67</v>
      </c>
      <c r="H8118" t="str">
        <f t="shared" si="800"/>
        <v>07931650589</v>
      </c>
      <c r="I8118" t="str">
        <f t="shared" si="801"/>
        <v>01911071007</v>
      </c>
      <c r="K8118" t="str">
        <f>""</f>
        <v/>
      </c>
      <c r="M8118" t="s">
        <v>68</v>
      </c>
      <c r="N8118" t="str">
        <f t="shared" si="798"/>
        <v>FOR</v>
      </c>
      <c r="O8118" t="s">
        <v>69</v>
      </c>
      <c r="P8118" s="3" t="s">
        <v>75</v>
      </c>
      <c r="Q8118">
        <v>2015</v>
      </c>
      <c r="R8118" s="2">
        <v>42177</v>
      </c>
      <c r="S8118" s="2">
        <v>42185</v>
      </c>
      <c r="T8118" s="2">
        <v>42181</v>
      </c>
      <c r="U8118" s="2">
        <v>42241</v>
      </c>
      <c r="V8118" t="s">
        <v>71</v>
      </c>
      <c r="W8118" t="str">
        <f>"          3504241 XU"</f>
        <v xml:space="preserve">          3504241 XU</v>
      </c>
      <c r="X8118">
        <v>374.61</v>
      </c>
      <c r="Y8118">
        <v>0</v>
      </c>
      <c r="Z8118"/>
      <c r="AB8118"/>
      <c r="AC8118">
        <v>360.2</v>
      </c>
      <c r="AD8118">
        <v>251</v>
      </c>
      <c r="AE8118" s="1">
        <v>90410.2</v>
      </c>
      <c r="AF8118">
        <v>0</v>
      </c>
      <c r="AJ8118">
        <v>0</v>
      </c>
      <c r="AK8118">
        <v>0</v>
      </c>
      <c r="AL8118">
        <v>0</v>
      </c>
      <c r="AM8118">
        <v>0</v>
      </c>
      <c r="AN8118">
        <v>0</v>
      </c>
      <c r="AO8118">
        <v>0</v>
      </c>
      <c r="AP8118" s="2">
        <v>42746</v>
      </c>
      <c r="AQ8118" t="s">
        <v>72</v>
      </c>
      <c r="AR8118" t="s">
        <v>72</v>
      </c>
      <c r="AS8118">
        <v>1236</v>
      </c>
      <c r="AT8118" s="4">
        <v>42492</v>
      </c>
      <c r="AU8118" t="s">
        <v>73</v>
      </c>
      <c r="AV8118">
        <v>1236</v>
      </c>
      <c r="AW8118" s="4">
        <v>42492</v>
      </c>
      <c r="BD8118">
        <v>0</v>
      </c>
      <c r="BN8118" t="s">
        <v>74</v>
      </c>
    </row>
    <row r="8119" spans="1:66" hidden="1">
      <c r="A8119">
        <v>104592</v>
      </c>
      <c r="B8119" s="3" t="s">
        <v>681</v>
      </c>
      <c r="C8119" s="1">
        <v>43300101</v>
      </c>
      <c r="D8119" t="s">
        <v>67</v>
      </c>
      <c r="H8119" t="str">
        <f t="shared" si="800"/>
        <v>07931650589</v>
      </c>
      <c r="I8119" t="str">
        <f t="shared" si="801"/>
        <v>01911071007</v>
      </c>
      <c r="K8119" t="str">
        <f>""</f>
        <v/>
      </c>
      <c r="M8119" t="s">
        <v>68</v>
      </c>
      <c r="N8119" t="str">
        <f t="shared" ref="N8119:N8150" si="802">"FOR"</f>
        <v>FOR</v>
      </c>
      <c r="O8119" t="s">
        <v>69</v>
      </c>
      <c r="P8119" s="3" t="s">
        <v>75</v>
      </c>
      <c r="Q8119">
        <v>2015</v>
      </c>
      <c r="R8119" s="2">
        <v>42191</v>
      </c>
      <c r="S8119" s="2">
        <v>42195</v>
      </c>
      <c r="T8119" s="2">
        <v>42195</v>
      </c>
      <c r="U8119" s="2">
        <v>42255</v>
      </c>
      <c r="V8119" t="s">
        <v>71</v>
      </c>
      <c r="W8119" t="str">
        <f>"          3504900 XU"</f>
        <v xml:space="preserve">          3504900 XU</v>
      </c>
      <c r="X8119">
        <v>524.6</v>
      </c>
      <c r="Y8119">
        <v>0</v>
      </c>
      <c r="Z8119"/>
      <c r="AB8119"/>
      <c r="AC8119">
        <v>430</v>
      </c>
      <c r="AD8119">
        <v>237</v>
      </c>
      <c r="AE8119" s="1">
        <v>101910</v>
      </c>
      <c r="AF8119">
        <v>0</v>
      </c>
      <c r="AJ8119">
        <v>0</v>
      </c>
      <c r="AK8119">
        <v>0</v>
      </c>
      <c r="AL8119">
        <v>0</v>
      </c>
      <c r="AM8119">
        <v>0</v>
      </c>
      <c r="AN8119">
        <v>0</v>
      </c>
      <c r="AO8119">
        <v>0</v>
      </c>
      <c r="AP8119" s="2">
        <v>42746</v>
      </c>
      <c r="AQ8119" t="s">
        <v>72</v>
      </c>
      <c r="AR8119" t="s">
        <v>72</v>
      </c>
      <c r="AS8119">
        <v>1236</v>
      </c>
      <c r="AT8119" s="4">
        <v>42492</v>
      </c>
      <c r="AU8119" t="s">
        <v>73</v>
      </c>
      <c r="AV8119">
        <v>1236</v>
      </c>
      <c r="AW8119" s="4">
        <v>42492</v>
      </c>
      <c r="BD8119">
        <v>0</v>
      </c>
      <c r="BN8119" t="s">
        <v>74</v>
      </c>
    </row>
    <row r="8120" spans="1:66" hidden="1">
      <c r="A8120">
        <v>104592</v>
      </c>
      <c r="B8120" s="3" t="s">
        <v>681</v>
      </c>
      <c r="C8120" s="1">
        <v>43300101</v>
      </c>
      <c r="D8120" t="s">
        <v>67</v>
      </c>
      <c r="H8120" t="str">
        <f t="shared" si="800"/>
        <v>07931650589</v>
      </c>
      <c r="I8120" t="str">
        <f t="shared" si="801"/>
        <v>01911071007</v>
      </c>
      <c r="K8120" t="str">
        <f>""</f>
        <v/>
      </c>
      <c r="M8120" t="s">
        <v>68</v>
      </c>
      <c r="N8120" t="str">
        <f t="shared" si="802"/>
        <v>FOR</v>
      </c>
      <c r="O8120" t="s">
        <v>69</v>
      </c>
      <c r="P8120" s="3" t="s">
        <v>75</v>
      </c>
      <c r="Q8120">
        <v>2015</v>
      </c>
      <c r="R8120" s="2">
        <v>42191</v>
      </c>
      <c r="S8120" s="2">
        <v>42198</v>
      </c>
      <c r="T8120" s="2">
        <v>42196</v>
      </c>
      <c r="U8120" s="2">
        <v>42256</v>
      </c>
      <c r="V8120" t="s">
        <v>71</v>
      </c>
      <c r="W8120" t="str">
        <f>"          3504901 XU"</f>
        <v xml:space="preserve">          3504901 XU</v>
      </c>
      <c r="X8120">
        <v>786.9</v>
      </c>
      <c r="Y8120">
        <v>0</v>
      </c>
      <c r="Z8120"/>
      <c r="AB8120"/>
      <c r="AC8120">
        <v>645</v>
      </c>
      <c r="AD8120">
        <v>236</v>
      </c>
      <c r="AE8120" s="1">
        <v>152220</v>
      </c>
      <c r="AF8120">
        <v>0</v>
      </c>
      <c r="AJ8120">
        <v>0</v>
      </c>
      <c r="AK8120">
        <v>0</v>
      </c>
      <c r="AL8120">
        <v>0</v>
      </c>
      <c r="AM8120">
        <v>0</v>
      </c>
      <c r="AN8120">
        <v>0</v>
      </c>
      <c r="AO8120">
        <v>0</v>
      </c>
      <c r="AP8120" s="2">
        <v>42746</v>
      </c>
      <c r="AQ8120" t="s">
        <v>72</v>
      </c>
      <c r="AR8120" t="s">
        <v>72</v>
      </c>
      <c r="AS8120">
        <v>1236</v>
      </c>
      <c r="AT8120" s="4">
        <v>42492</v>
      </c>
      <c r="AU8120" t="s">
        <v>73</v>
      </c>
      <c r="AV8120">
        <v>1236</v>
      </c>
      <c r="AW8120" s="4">
        <v>42492</v>
      </c>
      <c r="BD8120">
        <v>0</v>
      </c>
      <c r="BN8120" t="s">
        <v>74</v>
      </c>
    </row>
    <row r="8121" spans="1:66" hidden="1">
      <c r="A8121">
        <v>104592</v>
      </c>
      <c r="B8121" s="3" t="s">
        <v>681</v>
      </c>
      <c r="C8121" s="1">
        <v>43300101</v>
      </c>
      <c r="D8121" t="s">
        <v>67</v>
      </c>
      <c r="H8121" t="str">
        <f t="shared" si="800"/>
        <v>07931650589</v>
      </c>
      <c r="I8121" t="str">
        <f t="shared" si="801"/>
        <v>01911071007</v>
      </c>
      <c r="K8121" t="str">
        <f>""</f>
        <v/>
      </c>
      <c r="M8121" t="s">
        <v>68</v>
      </c>
      <c r="N8121" t="str">
        <f t="shared" si="802"/>
        <v>FOR</v>
      </c>
      <c r="O8121" t="s">
        <v>69</v>
      </c>
      <c r="P8121" s="3" t="s">
        <v>75</v>
      </c>
      <c r="Q8121">
        <v>2015</v>
      </c>
      <c r="R8121" s="2">
        <v>42191</v>
      </c>
      <c r="S8121" s="2">
        <v>42195</v>
      </c>
      <c r="T8121" s="2">
        <v>42195</v>
      </c>
      <c r="U8121" s="2">
        <v>42255</v>
      </c>
      <c r="V8121" t="s">
        <v>71</v>
      </c>
      <c r="W8121" t="str">
        <f>"          3504902 XU"</f>
        <v xml:space="preserve">          3504902 XU</v>
      </c>
      <c r="X8121" s="1">
        <v>1494.5</v>
      </c>
      <c r="Y8121">
        <v>0</v>
      </c>
      <c r="Z8121"/>
      <c r="AB8121"/>
      <c r="AC8121" s="1">
        <v>1225</v>
      </c>
      <c r="AD8121">
        <v>237</v>
      </c>
      <c r="AE8121" s="1">
        <v>290325</v>
      </c>
      <c r="AF8121">
        <v>0</v>
      </c>
      <c r="AJ8121">
        <v>0</v>
      </c>
      <c r="AK8121">
        <v>0</v>
      </c>
      <c r="AL8121">
        <v>0</v>
      </c>
      <c r="AM8121">
        <v>0</v>
      </c>
      <c r="AN8121">
        <v>0</v>
      </c>
      <c r="AO8121">
        <v>0</v>
      </c>
      <c r="AP8121" s="2">
        <v>42746</v>
      </c>
      <c r="AQ8121" t="s">
        <v>72</v>
      </c>
      <c r="AR8121" t="s">
        <v>72</v>
      </c>
      <c r="AS8121">
        <v>1236</v>
      </c>
      <c r="AT8121" s="4">
        <v>42492</v>
      </c>
      <c r="AU8121" t="s">
        <v>73</v>
      </c>
      <c r="AV8121">
        <v>1236</v>
      </c>
      <c r="AW8121" s="4">
        <v>42492</v>
      </c>
      <c r="BD8121">
        <v>0</v>
      </c>
      <c r="BN8121" t="s">
        <v>74</v>
      </c>
    </row>
    <row r="8122" spans="1:66" hidden="1">
      <c r="A8122">
        <v>104592</v>
      </c>
      <c r="B8122" s="3" t="s">
        <v>681</v>
      </c>
      <c r="C8122" s="1">
        <v>43300101</v>
      </c>
      <c r="D8122" t="s">
        <v>67</v>
      </c>
      <c r="H8122" t="str">
        <f t="shared" si="800"/>
        <v>07931650589</v>
      </c>
      <c r="I8122" t="str">
        <f t="shared" si="801"/>
        <v>01911071007</v>
      </c>
      <c r="K8122" t="str">
        <f>""</f>
        <v/>
      </c>
      <c r="M8122" t="s">
        <v>68</v>
      </c>
      <c r="N8122" t="str">
        <f t="shared" si="802"/>
        <v>FOR</v>
      </c>
      <c r="O8122" t="s">
        <v>69</v>
      </c>
      <c r="P8122" s="3" t="s">
        <v>75</v>
      </c>
      <c r="Q8122">
        <v>2015</v>
      </c>
      <c r="R8122" s="2">
        <v>42193</v>
      </c>
      <c r="S8122" s="2">
        <v>42198</v>
      </c>
      <c r="T8122" s="2">
        <v>42198</v>
      </c>
      <c r="U8122" s="2">
        <v>42258</v>
      </c>
      <c r="V8122" t="s">
        <v>71</v>
      </c>
      <c r="W8122" t="str">
        <f>"          3505038 XU"</f>
        <v xml:space="preserve">          3505038 XU</v>
      </c>
      <c r="X8122" s="1">
        <v>19844.759999999998</v>
      </c>
      <c r="Y8122">
        <v>0</v>
      </c>
      <c r="Z8122"/>
      <c r="AB8122"/>
      <c r="AC8122" s="1">
        <v>19081.5</v>
      </c>
      <c r="AD8122">
        <v>234</v>
      </c>
      <c r="AE8122" s="1">
        <v>4465071</v>
      </c>
      <c r="AF8122">
        <v>0</v>
      </c>
      <c r="AJ8122">
        <v>0</v>
      </c>
      <c r="AK8122">
        <v>0</v>
      </c>
      <c r="AL8122">
        <v>0</v>
      </c>
      <c r="AM8122">
        <v>0</v>
      </c>
      <c r="AN8122">
        <v>0</v>
      </c>
      <c r="AO8122">
        <v>0</v>
      </c>
      <c r="AP8122" s="2">
        <v>42746</v>
      </c>
      <c r="AQ8122" t="s">
        <v>72</v>
      </c>
      <c r="AR8122" t="s">
        <v>72</v>
      </c>
      <c r="AS8122">
        <v>1236</v>
      </c>
      <c r="AT8122" s="4">
        <v>42492</v>
      </c>
      <c r="AU8122" t="s">
        <v>73</v>
      </c>
      <c r="AV8122">
        <v>1236</v>
      </c>
      <c r="AW8122" s="4">
        <v>42492</v>
      </c>
      <c r="BD8122">
        <v>0</v>
      </c>
      <c r="BN8122" t="s">
        <v>74</v>
      </c>
    </row>
    <row r="8123" spans="1:66" hidden="1">
      <c r="A8123">
        <v>104592</v>
      </c>
      <c r="B8123" s="3" t="s">
        <v>681</v>
      </c>
      <c r="C8123" s="1">
        <v>43300101</v>
      </c>
      <c r="D8123" t="s">
        <v>67</v>
      </c>
      <c r="H8123" t="str">
        <f t="shared" si="800"/>
        <v>07931650589</v>
      </c>
      <c r="I8123" t="str">
        <f t="shared" si="801"/>
        <v>01911071007</v>
      </c>
      <c r="K8123" t="str">
        <f>""</f>
        <v/>
      </c>
      <c r="M8123" t="s">
        <v>68</v>
      </c>
      <c r="N8123" t="str">
        <f t="shared" si="802"/>
        <v>FOR</v>
      </c>
      <c r="O8123" t="s">
        <v>69</v>
      </c>
      <c r="P8123" s="3" t="s">
        <v>75</v>
      </c>
      <c r="Q8123">
        <v>2015</v>
      </c>
      <c r="R8123" s="2">
        <v>42202</v>
      </c>
      <c r="S8123" s="2">
        <v>42206</v>
      </c>
      <c r="T8123" s="2">
        <v>42206</v>
      </c>
      <c r="U8123" s="2">
        <v>42266</v>
      </c>
      <c r="V8123" t="s">
        <v>71</v>
      </c>
      <c r="W8123" t="str">
        <f>"          3505535 XU"</f>
        <v xml:space="preserve">          3505535 XU</v>
      </c>
      <c r="X8123">
        <v>585.6</v>
      </c>
      <c r="Y8123">
        <v>0</v>
      </c>
      <c r="Z8123"/>
      <c r="AB8123"/>
      <c r="AC8123">
        <v>480</v>
      </c>
      <c r="AD8123">
        <v>226</v>
      </c>
      <c r="AE8123" s="1">
        <v>108480</v>
      </c>
      <c r="AF8123">
        <v>0</v>
      </c>
      <c r="AJ8123">
        <v>0</v>
      </c>
      <c r="AK8123">
        <v>0</v>
      </c>
      <c r="AL8123">
        <v>0</v>
      </c>
      <c r="AM8123">
        <v>0</v>
      </c>
      <c r="AN8123">
        <v>0</v>
      </c>
      <c r="AO8123">
        <v>0</v>
      </c>
      <c r="AP8123" s="2">
        <v>42746</v>
      </c>
      <c r="AQ8123" t="s">
        <v>72</v>
      </c>
      <c r="AR8123" t="s">
        <v>72</v>
      </c>
      <c r="AS8123">
        <v>1236</v>
      </c>
      <c r="AT8123" s="4">
        <v>42492</v>
      </c>
      <c r="AU8123" t="s">
        <v>73</v>
      </c>
      <c r="AV8123">
        <v>1236</v>
      </c>
      <c r="AW8123" s="4">
        <v>42492</v>
      </c>
      <c r="BD8123">
        <v>0</v>
      </c>
      <c r="BN8123" t="s">
        <v>74</v>
      </c>
    </row>
    <row r="8124" spans="1:66" hidden="1">
      <c r="A8124">
        <v>104592</v>
      </c>
      <c r="B8124" s="3" t="s">
        <v>681</v>
      </c>
      <c r="C8124" s="1">
        <v>43300101</v>
      </c>
      <c r="D8124" t="s">
        <v>67</v>
      </c>
      <c r="H8124" t="str">
        <f t="shared" si="800"/>
        <v>07931650589</v>
      </c>
      <c r="I8124" t="str">
        <f t="shared" si="801"/>
        <v>01911071007</v>
      </c>
      <c r="K8124" t="str">
        <f>""</f>
        <v/>
      </c>
      <c r="M8124" t="s">
        <v>68</v>
      </c>
      <c r="N8124" t="str">
        <f t="shared" si="802"/>
        <v>FOR</v>
      </c>
      <c r="O8124" t="s">
        <v>69</v>
      </c>
      <c r="P8124" s="3" t="s">
        <v>75</v>
      </c>
      <c r="Q8124">
        <v>2015</v>
      </c>
      <c r="R8124" s="2">
        <v>42207</v>
      </c>
      <c r="S8124" s="2">
        <v>42212</v>
      </c>
      <c r="T8124" s="2">
        <v>42212</v>
      </c>
      <c r="U8124" s="2">
        <v>42272</v>
      </c>
      <c r="V8124" t="s">
        <v>71</v>
      </c>
      <c r="W8124" t="str">
        <f>"          3505741 XU"</f>
        <v xml:space="preserve">          3505741 XU</v>
      </c>
      <c r="X8124">
        <v>244</v>
      </c>
      <c r="Y8124">
        <v>0</v>
      </c>
      <c r="Z8124"/>
      <c r="AB8124"/>
      <c r="AC8124">
        <v>200</v>
      </c>
      <c r="AD8124">
        <v>220</v>
      </c>
      <c r="AE8124" s="1">
        <v>44000</v>
      </c>
      <c r="AF8124">
        <v>0</v>
      </c>
      <c r="AJ8124">
        <v>0</v>
      </c>
      <c r="AK8124">
        <v>0</v>
      </c>
      <c r="AL8124">
        <v>0</v>
      </c>
      <c r="AM8124">
        <v>0</v>
      </c>
      <c r="AN8124">
        <v>0</v>
      </c>
      <c r="AO8124">
        <v>0</v>
      </c>
      <c r="AP8124" s="2">
        <v>42746</v>
      </c>
      <c r="AQ8124" t="s">
        <v>72</v>
      </c>
      <c r="AR8124" t="s">
        <v>72</v>
      </c>
      <c r="AS8124">
        <v>1236</v>
      </c>
      <c r="AT8124" s="4">
        <v>42492</v>
      </c>
      <c r="AU8124" t="s">
        <v>73</v>
      </c>
      <c r="AV8124">
        <v>1236</v>
      </c>
      <c r="AW8124" s="4">
        <v>42492</v>
      </c>
      <c r="BD8124">
        <v>0</v>
      </c>
      <c r="BN8124" t="s">
        <v>74</v>
      </c>
    </row>
    <row r="8125" spans="1:66" hidden="1">
      <c r="A8125">
        <v>104592</v>
      </c>
      <c r="B8125" s="3" t="s">
        <v>681</v>
      </c>
      <c r="C8125" s="1">
        <v>43300101</v>
      </c>
      <c r="D8125" t="s">
        <v>67</v>
      </c>
      <c r="H8125" t="str">
        <f t="shared" si="800"/>
        <v>07931650589</v>
      </c>
      <c r="I8125" t="str">
        <f t="shared" si="801"/>
        <v>01911071007</v>
      </c>
      <c r="K8125" t="str">
        <f>""</f>
        <v/>
      </c>
      <c r="M8125" t="s">
        <v>68</v>
      </c>
      <c r="N8125" t="str">
        <f t="shared" si="802"/>
        <v>FOR</v>
      </c>
      <c r="O8125" t="s">
        <v>69</v>
      </c>
      <c r="P8125" s="3" t="s">
        <v>75</v>
      </c>
      <c r="Q8125">
        <v>2015</v>
      </c>
      <c r="R8125" s="2">
        <v>42208</v>
      </c>
      <c r="S8125" s="2">
        <v>42215</v>
      </c>
      <c r="T8125" s="2">
        <v>42213</v>
      </c>
      <c r="U8125" s="2">
        <v>42273</v>
      </c>
      <c r="V8125" t="s">
        <v>71</v>
      </c>
      <c r="W8125" t="str">
        <f>"          3505783 XU"</f>
        <v xml:space="preserve">          3505783 XU</v>
      </c>
      <c r="X8125" s="1">
        <v>1352</v>
      </c>
      <c r="Y8125">
        <v>0</v>
      </c>
      <c r="Z8125"/>
      <c r="AB8125"/>
      <c r="AC8125" s="1">
        <v>1300</v>
      </c>
      <c r="AD8125">
        <v>219</v>
      </c>
      <c r="AE8125" s="1">
        <v>284700</v>
      </c>
      <c r="AF8125">
        <v>0</v>
      </c>
      <c r="AJ8125">
        <v>0</v>
      </c>
      <c r="AK8125">
        <v>0</v>
      </c>
      <c r="AL8125">
        <v>0</v>
      </c>
      <c r="AM8125">
        <v>0</v>
      </c>
      <c r="AN8125">
        <v>0</v>
      </c>
      <c r="AO8125">
        <v>0</v>
      </c>
      <c r="AP8125" s="2">
        <v>42746</v>
      </c>
      <c r="AQ8125" t="s">
        <v>72</v>
      </c>
      <c r="AR8125" t="s">
        <v>72</v>
      </c>
      <c r="AS8125">
        <v>1236</v>
      </c>
      <c r="AT8125" s="4">
        <v>42492</v>
      </c>
      <c r="AU8125" t="s">
        <v>73</v>
      </c>
      <c r="AV8125">
        <v>1236</v>
      </c>
      <c r="AW8125" s="4">
        <v>42492</v>
      </c>
      <c r="BD8125">
        <v>0</v>
      </c>
      <c r="BN8125" t="s">
        <v>74</v>
      </c>
    </row>
    <row r="8126" spans="1:66" hidden="1">
      <c r="A8126">
        <v>104592</v>
      </c>
      <c r="B8126" s="3" t="s">
        <v>681</v>
      </c>
      <c r="C8126" s="1">
        <v>43300101</v>
      </c>
      <c r="D8126" t="s">
        <v>67</v>
      </c>
      <c r="H8126" t="str">
        <f t="shared" si="800"/>
        <v>07931650589</v>
      </c>
      <c r="I8126" t="str">
        <f t="shared" si="801"/>
        <v>01911071007</v>
      </c>
      <c r="K8126" t="str">
        <f>""</f>
        <v/>
      </c>
      <c r="M8126" t="s">
        <v>68</v>
      </c>
      <c r="N8126" t="str">
        <f t="shared" si="802"/>
        <v>FOR</v>
      </c>
      <c r="O8126" t="s">
        <v>69</v>
      </c>
      <c r="P8126" s="3" t="s">
        <v>75</v>
      </c>
      <c r="Q8126">
        <v>2015</v>
      </c>
      <c r="R8126" s="2">
        <v>42219</v>
      </c>
      <c r="S8126" s="2">
        <v>42223</v>
      </c>
      <c r="T8126" s="2">
        <v>42223</v>
      </c>
      <c r="U8126" s="2">
        <v>42283</v>
      </c>
      <c r="V8126" t="s">
        <v>71</v>
      </c>
      <c r="W8126" t="str">
        <f>"          3506274 XU"</f>
        <v xml:space="preserve">          3506274 XU</v>
      </c>
      <c r="X8126" s="1">
        <v>1915.4</v>
      </c>
      <c r="Y8126">
        <v>0</v>
      </c>
      <c r="Z8126"/>
      <c r="AB8126"/>
      <c r="AC8126" s="1">
        <v>1570</v>
      </c>
      <c r="AD8126">
        <v>294</v>
      </c>
      <c r="AE8126" s="1">
        <v>461580</v>
      </c>
      <c r="AF8126">
        <v>0</v>
      </c>
      <c r="AJ8126">
        <v>0</v>
      </c>
      <c r="AK8126">
        <v>0</v>
      </c>
      <c r="AL8126">
        <v>0</v>
      </c>
      <c r="AM8126">
        <v>0</v>
      </c>
      <c r="AN8126">
        <v>0</v>
      </c>
      <c r="AO8126">
        <v>0</v>
      </c>
      <c r="AP8126" s="2">
        <v>42746</v>
      </c>
      <c r="AQ8126" t="s">
        <v>72</v>
      </c>
      <c r="AR8126" t="s">
        <v>72</v>
      </c>
      <c r="AS8126">
        <v>1969</v>
      </c>
      <c r="AT8126" s="4">
        <v>42577</v>
      </c>
      <c r="AU8126" t="s">
        <v>73</v>
      </c>
      <c r="AV8126">
        <v>1969</v>
      </c>
      <c r="AW8126" s="4">
        <v>42577</v>
      </c>
      <c r="BD8126">
        <v>0</v>
      </c>
      <c r="BN8126" t="s">
        <v>74</v>
      </c>
    </row>
    <row r="8127" spans="1:66" hidden="1">
      <c r="A8127">
        <v>104592</v>
      </c>
      <c r="B8127" s="3" t="s">
        <v>681</v>
      </c>
      <c r="C8127" s="1">
        <v>43300101</v>
      </c>
      <c r="D8127" t="s">
        <v>67</v>
      </c>
      <c r="H8127" t="str">
        <f t="shared" si="800"/>
        <v>07931650589</v>
      </c>
      <c r="I8127" t="str">
        <f t="shared" si="801"/>
        <v>01911071007</v>
      </c>
      <c r="K8127" t="str">
        <f>""</f>
        <v/>
      </c>
      <c r="M8127" t="s">
        <v>68</v>
      </c>
      <c r="N8127" t="str">
        <f t="shared" si="802"/>
        <v>FOR</v>
      </c>
      <c r="O8127" t="s">
        <v>69</v>
      </c>
      <c r="P8127" s="3" t="s">
        <v>75</v>
      </c>
      <c r="Q8127">
        <v>2015</v>
      </c>
      <c r="R8127" s="2">
        <v>42222</v>
      </c>
      <c r="S8127" s="2">
        <v>42234</v>
      </c>
      <c r="T8127" s="2">
        <v>42234</v>
      </c>
      <c r="U8127" s="2">
        <v>42294</v>
      </c>
      <c r="V8127" t="s">
        <v>71</v>
      </c>
      <c r="W8127" t="str">
        <f>"          3506442 XU"</f>
        <v xml:space="preserve">          3506442 XU</v>
      </c>
      <c r="X8127" s="1">
        <v>1525</v>
      </c>
      <c r="Y8127">
        <v>0</v>
      </c>
      <c r="Z8127"/>
      <c r="AB8127"/>
      <c r="AC8127" s="1">
        <v>1250</v>
      </c>
      <c r="AD8127">
        <v>283</v>
      </c>
      <c r="AE8127" s="1">
        <v>353750</v>
      </c>
      <c r="AF8127">
        <v>0</v>
      </c>
      <c r="AJ8127">
        <v>0</v>
      </c>
      <c r="AK8127">
        <v>0</v>
      </c>
      <c r="AL8127">
        <v>0</v>
      </c>
      <c r="AM8127">
        <v>0</v>
      </c>
      <c r="AN8127">
        <v>0</v>
      </c>
      <c r="AO8127">
        <v>0</v>
      </c>
      <c r="AP8127" s="2">
        <v>42746</v>
      </c>
      <c r="AQ8127" t="s">
        <v>72</v>
      </c>
      <c r="AR8127" t="s">
        <v>72</v>
      </c>
      <c r="AS8127">
        <v>1969</v>
      </c>
      <c r="AT8127" s="4">
        <v>42577</v>
      </c>
      <c r="AU8127" t="s">
        <v>73</v>
      </c>
      <c r="AV8127">
        <v>1969</v>
      </c>
      <c r="AW8127" s="4">
        <v>42577</v>
      </c>
      <c r="BD8127">
        <v>0</v>
      </c>
      <c r="BN8127" t="s">
        <v>74</v>
      </c>
    </row>
    <row r="8128" spans="1:66" hidden="1">
      <c r="A8128">
        <v>104592</v>
      </c>
      <c r="B8128" s="3" t="s">
        <v>681</v>
      </c>
      <c r="C8128" s="1">
        <v>43300101</v>
      </c>
      <c r="D8128" t="s">
        <v>67</v>
      </c>
      <c r="H8128" t="str">
        <f t="shared" si="800"/>
        <v>07931650589</v>
      </c>
      <c r="I8128" t="str">
        <f t="shared" si="801"/>
        <v>01911071007</v>
      </c>
      <c r="K8128" t="str">
        <f>""</f>
        <v/>
      </c>
      <c r="M8128" t="s">
        <v>68</v>
      </c>
      <c r="N8128" t="str">
        <f t="shared" si="802"/>
        <v>FOR</v>
      </c>
      <c r="O8128" t="s">
        <v>69</v>
      </c>
      <c r="P8128" s="3" t="s">
        <v>75</v>
      </c>
      <c r="Q8128">
        <v>2015</v>
      </c>
      <c r="R8128" s="2">
        <v>42226</v>
      </c>
      <c r="S8128" s="2">
        <v>42236</v>
      </c>
      <c r="T8128" s="2">
        <v>42236</v>
      </c>
      <c r="U8128" s="2">
        <v>42296</v>
      </c>
      <c r="V8128" t="s">
        <v>71</v>
      </c>
      <c r="W8128" t="str">
        <f>"          3506515 XU"</f>
        <v xml:space="preserve">          3506515 XU</v>
      </c>
      <c r="X8128" s="1">
        <v>1049.2</v>
      </c>
      <c r="Y8128">
        <v>0</v>
      </c>
      <c r="Z8128"/>
      <c r="AB8128"/>
      <c r="AC8128">
        <v>860</v>
      </c>
      <c r="AD8128">
        <v>281</v>
      </c>
      <c r="AE8128" s="1">
        <v>241660</v>
      </c>
      <c r="AF8128">
        <v>0</v>
      </c>
      <c r="AJ8128">
        <v>0</v>
      </c>
      <c r="AK8128">
        <v>0</v>
      </c>
      <c r="AL8128">
        <v>0</v>
      </c>
      <c r="AM8128">
        <v>0</v>
      </c>
      <c r="AN8128">
        <v>0</v>
      </c>
      <c r="AO8128">
        <v>0</v>
      </c>
      <c r="AP8128" s="2">
        <v>42746</v>
      </c>
      <c r="AQ8128" t="s">
        <v>72</v>
      </c>
      <c r="AR8128" t="s">
        <v>72</v>
      </c>
      <c r="AS8128">
        <v>1969</v>
      </c>
      <c r="AT8128" s="4">
        <v>42577</v>
      </c>
      <c r="AU8128" t="s">
        <v>73</v>
      </c>
      <c r="AV8128">
        <v>1969</v>
      </c>
      <c r="AW8128" s="4">
        <v>42577</v>
      </c>
      <c r="BD8128">
        <v>0</v>
      </c>
      <c r="BN8128" t="s">
        <v>74</v>
      </c>
    </row>
    <row r="8129" spans="1:66" hidden="1">
      <c r="A8129">
        <v>104592</v>
      </c>
      <c r="B8129" s="3" t="s">
        <v>681</v>
      </c>
      <c r="C8129" s="1">
        <v>43300101</v>
      </c>
      <c r="D8129" t="s">
        <v>67</v>
      </c>
      <c r="H8129" t="str">
        <f t="shared" ref="H8129:H8147" si="803">"07931650589"</f>
        <v>07931650589</v>
      </c>
      <c r="I8129" t="str">
        <f t="shared" ref="I8129:I8147" si="804">"01911071007"</f>
        <v>01911071007</v>
      </c>
      <c r="K8129" t="str">
        <f>""</f>
        <v/>
      </c>
      <c r="M8129" t="s">
        <v>68</v>
      </c>
      <c r="N8129" t="str">
        <f t="shared" si="802"/>
        <v>FOR</v>
      </c>
      <c r="O8129" t="s">
        <v>69</v>
      </c>
      <c r="P8129" s="3" t="s">
        <v>75</v>
      </c>
      <c r="Q8129">
        <v>2015</v>
      </c>
      <c r="R8129" s="2">
        <v>42247</v>
      </c>
      <c r="S8129" s="2">
        <v>42251</v>
      </c>
      <c r="T8129" s="2">
        <v>42251</v>
      </c>
      <c r="U8129" s="2">
        <v>42311</v>
      </c>
      <c r="V8129" t="s">
        <v>71</v>
      </c>
      <c r="W8129" t="str">
        <f>"          3507146 XU"</f>
        <v xml:space="preserve">          3507146 XU</v>
      </c>
      <c r="X8129" s="1">
        <v>3799.54</v>
      </c>
      <c r="Y8129">
        <v>0</v>
      </c>
      <c r="Z8129"/>
      <c r="AB8129"/>
      <c r="AC8129" s="1">
        <v>3653.4</v>
      </c>
      <c r="AD8129">
        <v>266</v>
      </c>
      <c r="AE8129" s="1">
        <v>971804.4</v>
      </c>
      <c r="AF8129">
        <v>0</v>
      </c>
      <c r="AJ8129">
        <v>0</v>
      </c>
      <c r="AK8129">
        <v>0</v>
      </c>
      <c r="AL8129">
        <v>0</v>
      </c>
      <c r="AM8129">
        <v>0</v>
      </c>
      <c r="AN8129">
        <v>0</v>
      </c>
      <c r="AO8129">
        <v>0</v>
      </c>
      <c r="AP8129" s="2">
        <v>42746</v>
      </c>
      <c r="AQ8129" t="s">
        <v>72</v>
      </c>
      <c r="AR8129" t="s">
        <v>72</v>
      </c>
      <c r="AS8129">
        <v>1969</v>
      </c>
      <c r="AT8129" s="4">
        <v>42577</v>
      </c>
      <c r="AU8129" t="s">
        <v>73</v>
      </c>
      <c r="AV8129">
        <v>1969</v>
      </c>
      <c r="AW8129" s="4">
        <v>42577</v>
      </c>
      <c r="BD8129">
        <v>0</v>
      </c>
      <c r="BN8129" t="s">
        <v>74</v>
      </c>
    </row>
    <row r="8130" spans="1:66" hidden="1">
      <c r="A8130">
        <v>104592</v>
      </c>
      <c r="B8130" s="3" t="s">
        <v>681</v>
      </c>
      <c r="C8130" s="1">
        <v>43300101</v>
      </c>
      <c r="D8130" t="s">
        <v>67</v>
      </c>
      <c r="H8130" t="str">
        <f t="shared" si="803"/>
        <v>07931650589</v>
      </c>
      <c r="I8130" t="str">
        <f t="shared" si="804"/>
        <v>01911071007</v>
      </c>
      <c r="K8130" t="str">
        <f>""</f>
        <v/>
      </c>
      <c r="M8130" t="s">
        <v>68</v>
      </c>
      <c r="N8130" t="str">
        <f t="shared" si="802"/>
        <v>FOR</v>
      </c>
      <c r="O8130" t="s">
        <v>69</v>
      </c>
      <c r="P8130" s="3" t="s">
        <v>75</v>
      </c>
      <c r="Q8130">
        <v>2015</v>
      </c>
      <c r="R8130" s="2">
        <v>42247</v>
      </c>
      <c r="S8130" s="2">
        <v>42251</v>
      </c>
      <c r="T8130" s="2">
        <v>42251</v>
      </c>
      <c r="U8130" s="2">
        <v>42311</v>
      </c>
      <c r="V8130" t="s">
        <v>71</v>
      </c>
      <c r="W8130" t="str">
        <f>"          3507147 XU"</f>
        <v xml:space="preserve">          3507147 XU</v>
      </c>
      <c r="X8130" s="1">
        <v>3088.7</v>
      </c>
      <c r="Y8130">
        <v>0</v>
      </c>
      <c r="Z8130"/>
      <c r="AB8130"/>
      <c r="AC8130" s="1">
        <v>2969.9</v>
      </c>
      <c r="AD8130">
        <v>266</v>
      </c>
      <c r="AE8130" s="1">
        <v>789993.4</v>
      </c>
      <c r="AF8130">
        <v>0</v>
      </c>
      <c r="AJ8130">
        <v>0</v>
      </c>
      <c r="AK8130">
        <v>0</v>
      </c>
      <c r="AL8130">
        <v>0</v>
      </c>
      <c r="AM8130">
        <v>0</v>
      </c>
      <c r="AN8130">
        <v>0</v>
      </c>
      <c r="AO8130">
        <v>0</v>
      </c>
      <c r="AP8130" s="2">
        <v>42746</v>
      </c>
      <c r="AQ8130" t="s">
        <v>72</v>
      </c>
      <c r="AR8130" t="s">
        <v>72</v>
      </c>
      <c r="AS8130">
        <v>1969</v>
      </c>
      <c r="AT8130" s="4">
        <v>42577</v>
      </c>
      <c r="AU8130" t="s">
        <v>73</v>
      </c>
      <c r="AV8130">
        <v>1969</v>
      </c>
      <c r="AW8130" s="4">
        <v>42577</v>
      </c>
      <c r="BD8130">
        <v>0</v>
      </c>
      <c r="BN8130" t="s">
        <v>74</v>
      </c>
    </row>
    <row r="8131" spans="1:66" hidden="1">
      <c r="A8131">
        <v>104592</v>
      </c>
      <c r="B8131" s="3" t="s">
        <v>681</v>
      </c>
      <c r="C8131" s="1">
        <v>43300101</v>
      </c>
      <c r="D8131" t="s">
        <v>67</v>
      </c>
      <c r="H8131" t="str">
        <f t="shared" si="803"/>
        <v>07931650589</v>
      </c>
      <c r="I8131" t="str">
        <f t="shared" si="804"/>
        <v>01911071007</v>
      </c>
      <c r="K8131" t="str">
        <f>""</f>
        <v/>
      </c>
      <c r="M8131" t="s">
        <v>68</v>
      </c>
      <c r="N8131" t="str">
        <f t="shared" si="802"/>
        <v>FOR</v>
      </c>
      <c r="O8131" t="s">
        <v>69</v>
      </c>
      <c r="P8131" s="3" t="s">
        <v>75</v>
      </c>
      <c r="Q8131">
        <v>2015</v>
      </c>
      <c r="R8131" s="2">
        <v>42248</v>
      </c>
      <c r="S8131" s="2">
        <v>42254</v>
      </c>
      <c r="T8131" s="2">
        <v>42252</v>
      </c>
      <c r="U8131" s="2">
        <v>42312</v>
      </c>
      <c r="V8131" t="s">
        <v>71</v>
      </c>
      <c r="W8131" t="str">
        <f>"          3507190 XU"</f>
        <v xml:space="preserve">          3507190 XU</v>
      </c>
      <c r="X8131">
        <v>468</v>
      </c>
      <c r="Y8131">
        <v>0</v>
      </c>
      <c r="Z8131"/>
      <c r="AB8131"/>
      <c r="AC8131">
        <v>450</v>
      </c>
      <c r="AD8131">
        <v>308</v>
      </c>
      <c r="AE8131" s="1">
        <v>138600</v>
      </c>
      <c r="AF8131">
        <v>0</v>
      </c>
      <c r="AJ8131">
        <v>0</v>
      </c>
      <c r="AK8131">
        <v>0</v>
      </c>
      <c r="AL8131">
        <v>0</v>
      </c>
      <c r="AM8131">
        <v>0</v>
      </c>
      <c r="AN8131">
        <v>0</v>
      </c>
      <c r="AO8131">
        <v>0</v>
      </c>
      <c r="AP8131" s="2">
        <v>42746</v>
      </c>
      <c r="AQ8131" t="s">
        <v>72</v>
      </c>
      <c r="AR8131" t="s">
        <v>72</v>
      </c>
      <c r="AS8131">
        <v>2346</v>
      </c>
      <c r="AT8131" s="4">
        <v>42620</v>
      </c>
      <c r="AU8131" t="s">
        <v>73</v>
      </c>
      <c r="AV8131">
        <v>2346</v>
      </c>
      <c r="AW8131" s="4">
        <v>42620</v>
      </c>
      <c r="BD8131">
        <v>0</v>
      </c>
      <c r="BN8131" t="s">
        <v>74</v>
      </c>
    </row>
    <row r="8132" spans="1:66" hidden="1">
      <c r="A8132">
        <v>104592</v>
      </c>
      <c r="B8132" s="3" t="s">
        <v>681</v>
      </c>
      <c r="C8132" s="1">
        <v>43300101</v>
      </c>
      <c r="D8132" t="s">
        <v>67</v>
      </c>
      <c r="H8132" t="str">
        <f t="shared" si="803"/>
        <v>07931650589</v>
      </c>
      <c r="I8132" t="str">
        <f t="shared" si="804"/>
        <v>01911071007</v>
      </c>
      <c r="K8132" t="str">
        <f>""</f>
        <v/>
      </c>
      <c r="M8132" t="s">
        <v>68</v>
      </c>
      <c r="N8132" t="str">
        <f t="shared" si="802"/>
        <v>FOR</v>
      </c>
      <c r="O8132" t="s">
        <v>69</v>
      </c>
      <c r="P8132" s="3" t="s">
        <v>75</v>
      </c>
      <c r="Q8132">
        <v>2015</v>
      </c>
      <c r="R8132" s="2">
        <v>42255</v>
      </c>
      <c r="S8132" s="2">
        <v>42261</v>
      </c>
      <c r="T8132" s="2">
        <v>42259</v>
      </c>
      <c r="U8132" s="2">
        <v>42319</v>
      </c>
      <c r="V8132" t="s">
        <v>71</v>
      </c>
      <c r="W8132" t="str">
        <f>"          3507476 XU"</f>
        <v xml:space="preserve">          3507476 XU</v>
      </c>
      <c r="X8132" s="1">
        <v>1049.2</v>
      </c>
      <c r="Y8132">
        <v>0</v>
      </c>
      <c r="Z8132"/>
      <c r="AB8132"/>
      <c r="AC8132">
        <v>860</v>
      </c>
      <c r="AD8132">
        <v>301</v>
      </c>
      <c r="AE8132" s="1">
        <v>258860</v>
      </c>
      <c r="AF8132">
        <v>0</v>
      </c>
      <c r="AJ8132">
        <v>0</v>
      </c>
      <c r="AK8132">
        <v>0</v>
      </c>
      <c r="AL8132">
        <v>0</v>
      </c>
      <c r="AM8132">
        <v>0</v>
      </c>
      <c r="AN8132">
        <v>0</v>
      </c>
      <c r="AO8132">
        <v>0</v>
      </c>
      <c r="AP8132" s="2">
        <v>42746</v>
      </c>
      <c r="AQ8132" t="s">
        <v>72</v>
      </c>
      <c r="AR8132" t="s">
        <v>72</v>
      </c>
      <c r="AS8132">
        <v>2346</v>
      </c>
      <c r="AT8132" s="4">
        <v>42620</v>
      </c>
      <c r="AU8132" t="s">
        <v>73</v>
      </c>
      <c r="AV8132">
        <v>2346</v>
      </c>
      <c r="AW8132" s="4">
        <v>42620</v>
      </c>
      <c r="BD8132">
        <v>0</v>
      </c>
      <c r="BN8132" t="s">
        <v>74</v>
      </c>
    </row>
    <row r="8133" spans="1:66">
      <c r="A8133">
        <v>104592</v>
      </c>
      <c r="B8133" s="3" t="s">
        <v>681</v>
      </c>
      <c r="C8133" s="1">
        <v>43300101</v>
      </c>
      <c r="D8133" t="s">
        <v>67</v>
      </c>
      <c r="H8133" t="str">
        <f t="shared" si="803"/>
        <v>07931650589</v>
      </c>
      <c r="I8133" t="str">
        <f t="shared" si="804"/>
        <v>01911071007</v>
      </c>
      <c r="K8133" t="str">
        <f>""</f>
        <v/>
      </c>
      <c r="M8133" t="s">
        <v>68</v>
      </c>
      <c r="N8133" t="str">
        <f t="shared" si="802"/>
        <v>FOR</v>
      </c>
      <c r="O8133" t="s">
        <v>69</v>
      </c>
      <c r="P8133" s="3" t="s">
        <v>75</v>
      </c>
      <c r="Q8133">
        <v>2015</v>
      </c>
      <c r="R8133" s="2">
        <v>42282</v>
      </c>
      <c r="S8133" s="2">
        <v>42286</v>
      </c>
      <c r="T8133" s="2">
        <v>42286</v>
      </c>
      <c r="U8133" s="2">
        <v>42346</v>
      </c>
      <c r="V8133" t="s">
        <v>71</v>
      </c>
      <c r="W8133" t="str">
        <f>"          3508662 XU"</f>
        <v xml:space="preserve">          3508662 XU</v>
      </c>
      <c r="X8133" s="1">
        <v>1573.8</v>
      </c>
      <c r="Y8133">
        <v>0</v>
      </c>
      <c r="Z8133" s="5">
        <v>1290</v>
      </c>
      <c r="AA8133">
        <v>301</v>
      </c>
      <c r="AB8133" s="5">
        <v>388290</v>
      </c>
      <c r="AC8133" s="1">
        <v>1290</v>
      </c>
      <c r="AD8133">
        <v>301</v>
      </c>
      <c r="AE8133" s="1">
        <v>388290</v>
      </c>
      <c r="AF8133">
        <v>0</v>
      </c>
      <c r="AJ8133">
        <v>0</v>
      </c>
      <c r="AK8133">
        <v>0</v>
      </c>
      <c r="AL8133">
        <v>0</v>
      </c>
      <c r="AM8133">
        <v>0</v>
      </c>
      <c r="AN8133">
        <v>0</v>
      </c>
      <c r="AO8133">
        <v>0</v>
      </c>
      <c r="AP8133" s="2">
        <v>42746</v>
      </c>
      <c r="AQ8133" t="s">
        <v>72</v>
      </c>
      <c r="AR8133" t="s">
        <v>72</v>
      </c>
      <c r="AS8133">
        <v>2611</v>
      </c>
      <c r="AT8133" s="4">
        <v>42647</v>
      </c>
      <c r="AU8133" t="s">
        <v>73</v>
      </c>
      <c r="AV8133">
        <v>2611</v>
      </c>
      <c r="AW8133" s="4">
        <v>42647</v>
      </c>
      <c r="BD8133">
        <v>0</v>
      </c>
      <c r="BN8133" t="s">
        <v>74</v>
      </c>
    </row>
    <row r="8134" spans="1:66">
      <c r="A8134">
        <v>104592</v>
      </c>
      <c r="B8134" s="3" t="s">
        <v>681</v>
      </c>
      <c r="C8134" s="1">
        <v>43300101</v>
      </c>
      <c r="D8134" t="s">
        <v>67</v>
      </c>
      <c r="H8134" t="str">
        <f t="shared" si="803"/>
        <v>07931650589</v>
      </c>
      <c r="I8134" t="str">
        <f t="shared" si="804"/>
        <v>01911071007</v>
      </c>
      <c r="K8134" t="str">
        <f>""</f>
        <v/>
      </c>
      <c r="M8134" t="s">
        <v>68</v>
      </c>
      <c r="N8134" t="str">
        <f t="shared" si="802"/>
        <v>FOR</v>
      </c>
      <c r="O8134" t="s">
        <v>69</v>
      </c>
      <c r="P8134" s="3" t="s">
        <v>75</v>
      </c>
      <c r="Q8134">
        <v>2015</v>
      </c>
      <c r="R8134" s="2">
        <v>42292</v>
      </c>
      <c r="S8134" s="2">
        <v>42298</v>
      </c>
      <c r="T8134" s="2">
        <v>42297</v>
      </c>
      <c r="U8134" s="2">
        <v>42357</v>
      </c>
      <c r="V8134" t="s">
        <v>71</v>
      </c>
      <c r="W8134" t="str">
        <f>"          3509149 XU"</f>
        <v xml:space="preserve">          3509149 XU</v>
      </c>
      <c r="X8134" s="1">
        <v>2098.4</v>
      </c>
      <c r="Y8134">
        <v>0</v>
      </c>
      <c r="Z8134" s="5">
        <v>1720</v>
      </c>
      <c r="AA8134">
        <v>290</v>
      </c>
      <c r="AB8134" s="5">
        <v>498800</v>
      </c>
      <c r="AC8134" s="1">
        <v>1720</v>
      </c>
      <c r="AD8134">
        <v>290</v>
      </c>
      <c r="AE8134" s="1">
        <v>498800</v>
      </c>
      <c r="AF8134">
        <v>0</v>
      </c>
      <c r="AJ8134">
        <v>0</v>
      </c>
      <c r="AK8134">
        <v>0</v>
      </c>
      <c r="AL8134">
        <v>0</v>
      </c>
      <c r="AM8134">
        <v>0</v>
      </c>
      <c r="AN8134">
        <v>0</v>
      </c>
      <c r="AO8134">
        <v>0</v>
      </c>
      <c r="AP8134" s="2">
        <v>42746</v>
      </c>
      <c r="AQ8134" t="s">
        <v>72</v>
      </c>
      <c r="AR8134" t="s">
        <v>72</v>
      </c>
      <c r="AS8134">
        <v>2611</v>
      </c>
      <c r="AT8134" s="4">
        <v>42647</v>
      </c>
      <c r="AU8134" t="s">
        <v>73</v>
      </c>
      <c r="AV8134">
        <v>2611</v>
      </c>
      <c r="AW8134" s="4">
        <v>42647</v>
      </c>
      <c r="BD8134">
        <v>0</v>
      </c>
      <c r="BN8134" t="s">
        <v>74</v>
      </c>
    </row>
    <row r="8135" spans="1:66">
      <c r="A8135">
        <v>104592</v>
      </c>
      <c r="B8135" s="3" t="s">
        <v>681</v>
      </c>
      <c r="C8135" s="1">
        <v>43300101</v>
      </c>
      <c r="D8135" t="s">
        <v>67</v>
      </c>
      <c r="H8135" t="str">
        <f t="shared" si="803"/>
        <v>07931650589</v>
      </c>
      <c r="I8135" t="str">
        <f t="shared" si="804"/>
        <v>01911071007</v>
      </c>
      <c r="K8135" t="str">
        <f>""</f>
        <v/>
      </c>
      <c r="M8135" t="s">
        <v>68</v>
      </c>
      <c r="N8135" t="str">
        <f t="shared" si="802"/>
        <v>FOR</v>
      </c>
      <c r="O8135" t="s">
        <v>69</v>
      </c>
      <c r="P8135" s="3" t="s">
        <v>75</v>
      </c>
      <c r="Q8135">
        <v>2015</v>
      </c>
      <c r="R8135" s="2">
        <v>42293</v>
      </c>
      <c r="S8135" s="2">
        <v>42298</v>
      </c>
      <c r="T8135" s="2">
        <v>42297</v>
      </c>
      <c r="U8135" s="2">
        <v>42357</v>
      </c>
      <c r="V8135" t="s">
        <v>71</v>
      </c>
      <c r="W8135" t="str">
        <f>"          3509188 XU"</f>
        <v xml:space="preserve">          3509188 XU</v>
      </c>
      <c r="X8135" s="1">
        <v>1573.8</v>
      </c>
      <c r="Y8135">
        <v>0</v>
      </c>
      <c r="Z8135" s="5">
        <v>1290</v>
      </c>
      <c r="AA8135">
        <v>290</v>
      </c>
      <c r="AB8135" s="5">
        <v>374100</v>
      </c>
      <c r="AC8135" s="1">
        <v>1290</v>
      </c>
      <c r="AD8135">
        <v>290</v>
      </c>
      <c r="AE8135" s="1">
        <v>374100</v>
      </c>
      <c r="AF8135">
        <v>0</v>
      </c>
      <c r="AJ8135">
        <v>0</v>
      </c>
      <c r="AK8135">
        <v>0</v>
      </c>
      <c r="AL8135">
        <v>0</v>
      </c>
      <c r="AM8135">
        <v>0</v>
      </c>
      <c r="AN8135">
        <v>0</v>
      </c>
      <c r="AO8135">
        <v>0</v>
      </c>
      <c r="AP8135" s="2">
        <v>42746</v>
      </c>
      <c r="AQ8135" t="s">
        <v>72</v>
      </c>
      <c r="AR8135" t="s">
        <v>72</v>
      </c>
      <c r="AS8135">
        <v>2611</v>
      </c>
      <c r="AT8135" s="4">
        <v>42647</v>
      </c>
      <c r="AU8135" t="s">
        <v>73</v>
      </c>
      <c r="AV8135">
        <v>2611</v>
      </c>
      <c r="AW8135" s="4">
        <v>42647</v>
      </c>
      <c r="BD8135">
        <v>0</v>
      </c>
      <c r="BN8135" t="s">
        <v>74</v>
      </c>
    </row>
    <row r="8136" spans="1:66">
      <c r="A8136">
        <v>104592</v>
      </c>
      <c r="B8136" s="3" t="s">
        <v>681</v>
      </c>
      <c r="C8136" s="1">
        <v>43300101</v>
      </c>
      <c r="D8136" t="s">
        <v>67</v>
      </c>
      <c r="H8136" t="str">
        <f t="shared" si="803"/>
        <v>07931650589</v>
      </c>
      <c r="I8136" t="str">
        <f t="shared" si="804"/>
        <v>01911071007</v>
      </c>
      <c r="K8136" t="str">
        <f>""</f>
        <v/>
      </c>
      <c r="M8136" t="s">
        <v>68</v>
      </c>
      <c r="N8136" t="str">
        <f t="shared" si="802"/>
        <v>FOR</v>
      </c>
      <c r="O8136" t="s">
        <v>69</v>
      </c>
      <c r="P8136" s="3" t="s">
        <v>75</v>
      </c>
      <c r="Q8136">
        <v>2015</v>
      </c>
      <c r="R8136" s="2">
        <v>42317</v>
      </c>
      <c r="S8136" s="2">
        <v>42324</v>
      </c>
      <c r="T8136" s="2">
        <v>42321</v>
      </c>
      <c r="U8136" s="2">
        <v>42381</v>
      </c>
      <c r="V8136" t="s">
        <v>71</v>
      </c>
      <c r="W8136" t="str">
        <f>"          3510273 XU"</f>
        <v xml:space="preserve">          3510273 XU</v>
      </c>
      <c r="X8136" s="1">
        <v>14446.22</v>
      </c>
      <c r="Y8136">
        <v>0</v>
      </c>
      <c r="Z8136" s="5">
        <v>13890.6</v>
      </c>
      <c r="AA8136">
        <v>301</v>
      </c>
      <c r="AB8136" s="5">
        <v>4181070.6</v>
      </c>
      <c r="AC8136" s="1">
        <v>13890.6</v>
      </c>
      <c r="AD8136">
        <v>301</v>
      </c>
      <c r="AE8136" s="1">
        <v>4181070.6</v>
      </c>
      <c r="AF8136">
        <v>0</v>
      </c>
      <c r="AJ8136">
        <v>0</v>
      </c>
      <c r="AK8136">
        <v>0</v>
      </c>
      <c r="AL8136">
        <v>0</v>
      </c>
      <c r="AM8136">
        <v>0</v>
      </c>
      <c r="AN8136">
        <v>0</v>
      </c>
      <c r="AO8136">
        <v>0</v>
      </c>
      <c r="AP8136" s="2">
        <v>42746</v>
      </c>
      <c r="AQ8136" t="s">
        <v>72</v>
      </c>
      <c r="AR8136" t="s">
        <v>72</v>
      </c>
      <c r="AS8136">
        <v>2973</v>
      </c>
      <c r="AT8136" s="4">
        <v>42682</v>
      </c>
      <c r="AU8136" t="s">
        <v>73</v>
      </c>
      <c r="AV8136">
        <v>2973</v>
      </c>
      <c r="AW8136" s="4">
        <v>42682</v>
      </c>
      <c r="BD8136">
        <v>0</v>
      </c>
      <c r="BN8136" t="s">
        <v>74</v>
      </c>
    </row>
    <row r="8137" spans="1:66">
      <c r="A8137">
        <v>104592</v>
      </c>
      <c r="B8137" s="3" t="s">
        <v>681</v>
      </c>
      <c r="C8137" s="1">
        <v>43300101</v>
      </c>
      <c r="D8137" t="s">
        <v>67</v>
      </c>
      <c r="H8137" t="str">
        <f t="shared" si="803"/>
        <v>07931650589</v>
      </c>
      <c r="I8137" t="str">
        <f t="shared" si="804"/>
        <v>01911071007</v>
      </c>
      <c r="K8137" t="str">
        <f>""</f>
        <v/>
      </c>
      <c r="M8137" t="s">
        <v>68</v>
      </c>
      <c r="N8137" t="str">
        <f t="shared" si="802"/>
        <v>FOR</v>
      </c>
      <c r="O8137" t="s">
        <v>69</v>
      </c>
      <c r="P8137" s="3" t="s">
        <v>75</v>
      </c>
      <c r="Q8137">
        <v>2015</v>
      </c>
      <c r="R8137" s="2">
        <v>42321</v>
      </c>
      <c r="S8137" s="2">
        <v>42326</v>
      </c>
      <c r="T8137" s="2">
        <v>42325</v>
      </c>
      <c r="U8137" s="2">
        <v>42385</v>
      </c>
      <c r="V8137" t="s">
        <v>71</v>
      </c>
      <c r="W8137" t="str">
        <f>"          3510581 XU"</f>
        <v xml:space="preserve">          3510581 XU</v>
      </c>
      <c r="X8137">
        <v>488</v>
      </c>
      <c r="Y8137">
        <v>0</v>
      </c>
      <c r="Z8137" s="3">
        <v>400</v>
      </c>
      <c r="AA8137">
        <v>297</v>
      </c>
      <c r="AB8137" s="5">
        <v>118800</v>
      </c>
      <c r="AC8137">
        <v>400</v>
      </c>
      <c r="AD8137">
        <v>297</v>
      </c>
      <c r="AE8137" s="1">
        <v>118800</v>
      </c>
      <c r="AF8137">
        <v>0</v>
      </c>
      <c r="AJ8137">
        <v>0</v>
      </c>
      <c r="AK8137">
        <v>0</v>
      </c>
      <c r="AL8137">
        <v>0</v>
      </c>
      <c r="AM8137">
        <v>0</v>
      </c>
      <c r="AN8137">
        <v>0</v>
      </c>
      <c r="AO8137">
        <v>0</v>
      </c>
      <c r="AP8137" s="2">
        <v>42746</v>
      </c>
      <c r="AQ8137" t="s">
        <v>72</v>
      </c>
      <c r="AR8137" t="s">
        <v>72</v>
      </c>
      <c r="AS8137">
        <v>2973</v>
      </c>
      <c r="AT8137" s="4">
        <v>42682</v>
      </c>
      <c r="AU8137" t="s">
        <v>73</v>
      </c>
      <c r="AV8137">
        <v>2973</v>
      </c>
      <c r="AW8137" s="4">
        <v>42682</v>
      </c>
      <c r="BD8137">
        <v>0</v>
      </c>
      <c r="BN8137" t="s">
        <v>74</v>
      </c>
    </row>
    <row r="8138" spans="1:66">
      <c r="A8138">
        <v>104592</v>
      </c>
      <c r="B8138" s="3" t="s">
        <v>681</v>
      </c>
      <c r="C8138" s="1">
        <v>43300101</v>
      </c>
      <c r="D8138" t="s">
        <v>67</v>
      </c>
      <c r="H8138" t="str">
        <f t="shared" si="803"/>
        <v>07931650589</v>
      </c>
      <c r="I8138" t="str">
        <f t="shared" si="804"/>
        <v>01911071007</v>
      </c>
      <c r="K8138" t="str">
        <f>""</f>
        <v/>
      </c>
      <c r="M8138" t="s">
        <v>68</v>
      </c>
      <c r="N8138" t="str">
        <f t="shared" si="802"/>
        <v>FOR</v>
      </c>
      <c r="O8138" t="s">
        <v>69</v>
      </c>
      <c r="P8138" s="3" t="s">
        <v>75</v>
      </c>
      <c r="Q8138">
        <v>2015</v>
      </c>
      <c r="R8138" s="2">
        <v>42331</v>
      </c>
      <c r="S8138" s="2">
        <v>42338</v>
      </c>
      <c r="T8138" s="2">
        <v>42335</v>
      </c>
      <c r="U8138" s="2">
        <v>42395</v>
      </c>
      <c r="V8138" t="s">
        <v>71</v>
      </c>
      <c r="W8138" t="str">
        <f>"          3511013 XU"</f>
        <v xml:space="preserve">          3511013 XU</v>
      </c>
      <c r="X8138" s="1">
        <v>1809.39</v>
      </c>
      <c r="Y8138">
        <v>0</v>
      </c>
      <c r="Z8138" s="5">
        <v>1739.8</v>
      </c>
      <c r="AA8138">
        <v>287</v>
      </c>
      <c r="AB8138" s="5">
        <v>499322.6</v>
      </c>
      <c r="AC8138" s="1">
        <v>1739.8</v>
      </c>
      <c r="AD8138">
        <v>287</v>
      </c>
      <c r="AE8138" s="1">
        <v>499322.6</v>
      </c>
      <c r="AF8138">
        <v>0</v>
      </c>
      <c r="AJ8138">
        <v>0</v>
      </c>
      <c r="AK8138">
        <v>0</v>
      </c>
      <c r="AL8138">
        <v>0</v>
      </c>
      <c r="AM8138">
        <v>0</v>
      </c>
      <c r="AN8138">
        <v>0</v>
      </c>
      <c r="AO8138">
        <v>0</v>
      </c>
      <c r="AP8138" s="2">
        <v>42746</v>
      </c>
      <c r="AQ8138" t="s">
        <v>72</v>
      </c>
      <c r="AR8138" t="s">
        <v>72</v>
      </c>
      <c r="AS8138">
        <v>2973</v>
      </c>
      <c r="AT8138" s="4">
        <v>42682</v>
      </c>
      <c r="AU8138" t="s">
        <v>73</v>
      </c>
      <c r="AV8138">
        <v>2973</v>
      </c>
      <c r="AW8138" s="4">
        <v>42682</v>
      </c>
      <c r="BD8138">
        <v>0</v>
      </c>
      <c r="BN8138" t="s">
        <v>74</v>
      </c>
    </row>
    <row r="8139" spans="1:66">
      <c r="A8139">
        <v>104592</v>
      </c>
      <c r="B8139" s="3" t="s">
        <v>681</v>
      </c>
      <c r="C8139" s="1">
        <v>43300101</v>
      </c>
      <c r="D8139" t="s">
        <v>67</v>
      </c>
      <c r="H8139" t="str">
        <f t="shared" si="803"/>
        <v>07931650589</v>
      </c>
      <c r="I8139" t="str">
        <f t="shared" si="804"/>
        <v>01911071007</v>
      </c>
      <c r="K8139" t="str">
        <f>""</f>
        <v/>
      </c>
      <c r="M8139" t="s">
        <v>68</v>
      </c>
      <c r="N8139" t="str">
        <f t="shared" si="802"/>
        <v>FOR</v>
      </c>
      <c r="O8139" t="s">
        <v>69</v>
      </c>
      <c r="P8139" s="3" t="s">
        <v>75</v>
      </c>
      <c r="Q8139">
        <v>2015</v>
      </c>
      <c r="R8139" s="2">
        <v>42331</v>
      </c>
      <c r="S8139" s="2">
        <v>42338</v>
      </c>
      <c r="T8139" s="2">
        <v>42335</v>
      </c>
      <c r="U8139" s="2">
        <v>42395</v>
      </c>
      <c r="V8139" t="s">
        <v>71</v>
      </c>
      <c r="W8139" t="str">
        <f>"          3511014 XU"</f>
        <v xml:space="preserve">          3511014 XU</v>
      </c>
      <c r="X8139" s="1">
        <v>2098.4</v>
      </c>
      <c r="Y8139">
        <v>0</v>
      </c>
      <c r="Z8139" s="5">
        <v>1720</v>
      </c>
      <c r="AA8139">
        <v>287</v>
      </c>
      <c r="AB8139" s="5">
        <v>493640</v>
      </c>
      <c r="AC8139" s="1">
        <v>1720</v>
      </c>
      <c r="AD8139">
        <v>287</v>
      </c>
      <c r="AE8139" s="1">
        <v>493640</v>
      </c>
      <c r="AF8139">
        <v>0</v>
      </c>
      <c r="AJ8139">
        <v>0</v>
      </c>
      <c r="AK8139">
        <v>0</v>
      </c>
      <c r="AL8139">
        <v>0</v>
      </c>
      <c r="AM8139">
        <v>0</v>
      </c>
      <c r="AN8139">
        <v>0</v>
      </c>
      <c r="AO8139">
        <v>0</v>
      </c>
      <c r="AP8139" s="2">
        <v>42746</v>
      </c>
      <c r="AQ8139" t="s">
        <v>72</v>
      </c>
      <c r="AR8139" t="s">
        <v>72</v>
      </c>
      <c r="AS8139">
        <v>2973</v>
      </c>
      <c r="AT8139" s="4">
        <v>42682</v>
      </c>
      <c r="AU8139" t="s">
        <v>73</v>
      </c>
      <c r="AV8139">
        <v>2973</v>
      </c>
      <c r="AW8139" s="4">
        <v>42682</v>
      </c>
      <c r="BD8139">
        <v>0</v>
      </c>
      <c r="BN8139" t="s">
        <v>74</v>
      </c>
    </row>
    <row r="8140" spans="1:66">
      <c r="A8140">
        <v>104592</v>
      </c>
      <c r="B8140" s="3" t="s">
        <v>681</v>
      </c>
      <c r="C8140" s="1">
        <v>43300101</v>
      </c>
      <c r="D8140" t="s">
        <v>67</v>
      </c>
      <c r="H8140" t="str">
        <f t="shared" si="803"/>
        <v>07931650589</v>
      </c>
      <c r="I8140" t="str">
        <f t="shared" si="804"/>
        <v>01911071007</v>
      </c>
      <c r="K8140" t="str">
        <f>""</f>
        <v/>
      </c>
      <c r="M8140" t="s">
        <v>68</v>
      </c>
      <c r="N8140" t="str">
        <f t="shared" si="802"/>
        <v>FOR</v>
      </c>
      <c r="O8140" t="s">
        <v>69</v>
      </c>
      <c r="P8140" s="3" t="s">
        <v>75</v>
      </c>
      <c r="Q8140">
        <v>2015</v>
      </c>
      <c r="R8140" s="2">
        <v>42340</v>
      </c>
      <c r="S8140" s="2">
        <v>42345</v>
      </c>
      <c r="T8140" s="2">
        <v>42345</v>
      </c>
      <c r="U8140" s="2">
        <v>42405</v>
      </c>
      <c r="V8140" t="s">
        <v>71</v>
      </c>
      <c r="W8140" t="str">
        <f>"          3511478 XU"</f>
        <v xml:space="preserve">          3511478 XU</v>
      </c>
      <c r="X8140" s="1">
        <v>1049.2</v>
      </c>
      <c r="Y8140">
        <v>0</v>
      </c>
      <c r="Z8140" s="3">
        <v>860</v>
      </c>
      <c r="AA8140">
        <v>278</v>
      </c>
      <c r="AB8140" s="5">
        <v>239080</v>
      </c>
      <c r="AC8140">
        <v>860</v>
      </c>
      <c r="AD8140">
        <v>278</v>
      </c>
      <c r="AE8140" s="1">
        <v>239080</v>
      </c>
      <c r="AF8140">
        <v>0</v>
      </c>
      <c r="AJ8140">
        <v>0</v>
      </c>
      <c r="AK8140">
        <v>0</v>
      </c>
      <c r="AL8140">
        <v>0</v>
      </c>
      <c r="AM8140">
        <v>0</v>
      </c>
      <c r="AN8140">
        <v>0</v>
      </c>
      <c r="AO8140">
        <v>0</v>
      </c>
      <c r="AP8140" s="2">
        <v>42746</v>
      </c>
      <c r="AQ8140" t="s">
        <v>72</v>
      </c>
      <c r="AR8140" t="s">
        <v>72</v>
      </c>
      <c r="AS8140">
        <v>3024</v>
      </c>
      <c r="AT8140" s="4">
        <v>42683</v>
      </c>
      <c r="AU8140" t="s">
        <v>73</v>
      </c>
      <c r="AV8140">
        <v>3024</v>
      </c>
      <c r="AW8140" s="4">
        <v>42683</v>
      </c>
      <c r="BD8140">
        <v>0</v>
      </c>
      <c r="BN8140" t="s">
        <v>74</v>
      </c>
    </row>
    <row r="8141" spans="1:66">
      <c r="A8141">
        <v>104592</v>
      </c>
      <c r="B8141" s="3" t="s">
        <v>681</v>
      </c>
      <c r="C8141" s="1">
        <v>43300101</v>
      </c>
      <c r="D8141" t="s">
        <v>67</v>
      </c>
      <c r="H8141" t="str">
        <f t="shared" si="803"/>
        <v>07931650589</v>
      </c>
      <c r="I8141" t="str">
        <f t="shared" si="804"/>
        <v>01911071007</v>
      </c>
      <c r="K8141" t="str">
        <f>""</f>
        <v/>
      </c>
      <c r="M8141" t="s">
        <v>68</v>
      </c>
      <c r="N8141" t="str">
        <f t="shared" si="802"/>
        <v>FOR</v>
      </c>
      <c r="O8141" t="s">
        <v>69</v>
      </c>
      <c r="P8141" s="3" t="s">
        <v>75</v>
      </c>
      <c r="Q8141">
        <v>2015</v>
      </c>
      <c r="R8141" s="2">
        <v>42369</v>
      </c>
      <c r="S8141" s="2">
        <v>42369</v>
      </c>
      <c r="T8141" s="2">
        <v>42369</v>
      </c>
      <c r="U8141" s="2">
        <v>42429</v>
      </c>
      <c r="V8141" t="s">
        <v>71</v>
      </c>
      <c r="W8141" t="str">
        <f>"          3512487 XU"</f>
        <v xml:space="preserve">          3512487 XU</v>
      </c>
      <c r="X8141">
        <v>786.9</v>
      </c>
      <c r="Y8141">
        <v>0</v>
      </c>
      <c r="Z8141" s="3">
        <v>645</v>
      </c>
      <c r="AA8141">
        <v>254</v>
      </c>
      <c r="AB8141" s="5">
        <v>163830</v>
      </c>
      <c r="AC8141">
        <v>645</v>
      </c>
      <c r="AD8141">
        <v>254</v>
      </c>
      <c r="AE8141" s="1">
        <v>163830</v>
      </c>
      <c r="AF8141">
        <v>0</v>
      </c>
      <c r="AJ8141">
        <v>0</v>
      </c>
      <c r="AK8141">
        <v>0</v>
      </c>
      <c r="AL8141">
        <v>0</v>
      </c>
      <c r="AM8141">
        <v>0</v>
      </c>
      <c r="AN8141">
        <v>0</v>
      </c>
      <c r="AO8141">
        <v>0</v>
      </c>
      <c r="AP8141" s="2">
        <v>42746</v>
      </c>
      <c r="AQ8141" t="s">
        <v>72</v>
      </c>
      <c r="AR8141" t="s">
        <v>72</v>
      </c>
      <c r="AS8141">
        <v>3024</v>
      </c>
      <c r="AT8141" s="4">
        <v>42683</v>
      </c>
      <c r="AU8141" t="s">
        <v>73</v>
      </c>
      <c r="AV8141">
        <v>3024</v>
      </c>
      <c r="AW8141" s="4">
        <v>42683</v>
      </c>
      <c r="BD8141">
        <v>0</v>
      </c>
      <c r="BN8141" t="s">
        <v>74</v>
      </c>
    </row>
    <row r="8142" spans="1:66">
      <c r="A8142">
        <v>104592</v>
      </c>
      <c r="B8142" s="3" t="s">
        <v>681</v>
      </c>
      <c r="C8142" s="1">
        <v>43300101</v>
      </c>
      <c r="D8142" t="s">
        <v>67</v>
      </c>
      <c r="H8142" t="str">
        <f t="shared" si="803"/>
        <v>07931650589</v>
      </c>
      <c r="I8142" t="str">
        <f t="shared" si="804"/>
        <v>01911071007</v>
      </c>
      <c r="K8142" t="str">
        <f>""</f>
        <v/>
      </c>
      <c r="M8142" t="s">
        <v>68</v>
      </c>
      <c r="N8142" t="str">
        <f t="shared" si="802"/>
        <v>FOR</v>
      </c>
      <c r="O8142" t="s">
        <v>69</v>
      </c>
      <c r="P8142" s="3" t="s">
        <v>75</v>
      </c>
      <c r="Q8142">
        <v>2016</v>
      </c>
      <c r="R8142" s="2">
        <v>42390</v>
      </c>
      <c r="S8142" s="2">
        <v>42395</v>
      </c>
      <c r="T8142" s="2">
        <v>42395</v>
      </c>
      <c r="U8142" s="2">
        <v>42455</v>
      </c>
      <c r="V8142" t="s">
        <v>71</v>
      </c>
      <c r="W8142" t="str">
        <f>"          3600775 XU"</f>
        <v xml:space="preserve">          3600775 XU</v>
      </c>
      <c r="X8142" s="1">
        <v>2955.89</v>
      </c>
      <c r="Y8142">
        <v>0</v>
      </c>
      <c r="Z8142" s="5">
        <v>2842.2</v>
      </c>
      <c r="AA8142">
        <v>237</v>
      </c>
      <c r="AB8142" s="5">
        <v>673601.4</v>
      </c>
      <c r="AC8142" s="1">
        <v>2842.2</v>
      </c>
      <c r="AD8142">
        <v>237</v>
      </c>
      <c r="AE8142" s="1">
        <v>673601.4</v>
      </c>
      <c r="AF8142">
        <v>0</v>
      </c>
      <c r="AJ8142">
        <v>0</v>
      </c>
      <c r="AK8142">
        <v>0</v>
      </c>
      <c r="AL8142">
        <v>0</v>
      </c>
      <c r="AM8142" s="1">
        <v>2955.89</v>
      </c>
      <c r="AN8142" s="1">
        <v>2955.89</v>
      </c>
      <c r="AO8142" s="1">
        <v>2955.89</v>
      </c>
      <c r="AP8142" s="2">
        <v>42746</v>
      </c>
      <c r="AQ8142" t="s">
        <v>72</v>
      </c>
      <c r="AR8142" t="s">
        <v>72</v>
      </c>
      <c r="AS8142">
        <v>3187</v>
      </c>
      <c r="AT8142" s="4">
        <v>42692</v>
      </c>
      <c r="AU8142" t="s">
        <v>73</v>
      </c>
      <c r="AV8142">
        <v>3187</v>
      </c>
      <c r="AW8142" s="4">
        <v>42692</v>
      </c>
      <c r="BD8142">
        <v>0</v>
      </c>
      <c r="BN8142" t="s">
        <v>74</v>
      </c>
    </row>
    <row r="8143" spans="1:66">
      <c r="A8143">
        <v>104592</v>
      </c>
      <c r="B8143" s="3" t="s">
        <v>681</v>
      </c>
      <c r="C8143" s="1">
        <v>43300101</v>
      </c>
      <c r="D8143" t="s">
        <v>67</v>
      </c>
      <c r="H8143" t="str">
        <f t="shared" si="803"/>
        <v>07931650589</v>
      </c>
      <c r="I8143" t="str">
        <f t="shared" si="804"/>
        <v>01911071007</v>
      </c>
      <c r="K8143" t="str">
        <f>""</f>
        <v/>
      </c>
      <c r="M8143" t="s">
        <v>68</v>
      </c>
      <c r="N8143" t="str">
        <f t="shared" si="802"/>
        <v>FOR</v>
      </c>
      <c r="O8143" t="s">
        <v>69</v>
      </c>
      <c r="P8143" s="3" t="s">
        <v>75</v>
      </c>
      <c r="Q8143">
        <v>2016</v>
      </c>
      <c r="R8143" s="2">
        <v>42390</v>
      </c>
      <c r="S8143" s="2">
        <v>42395</v>
      </c>
      <c r="T8143" s="2">
        <v>42395</v>
      </c>
      <c r="U8143" s="2">
        <v>42455</v>
      </c>
      <c r="V8143" t="s">
        <v>71</v>
      </c>
      <c r="W8143" t="str">
        <f>"          3600776 XU"</f>
        <v xml:space="preserve">          3600776 XU</v>
      </c>
      <c r="X8143" s="1">
        <v>10037.17</v>
      </c>
      <c r="Y8143">
        <v>0</v>
      </c>
      <c r="Z8143" s="5">
        <v>9651.1200000000008</v>
      </c>
      <c r="AA8143">
        <v>237</v>
      </c>
      <c r="AB8143" s="5">
        <v>2287315.44</v>
      </c>
      <c r="AC8143" s="1">
        <v>9651.1200000000008</v>
      </c>
      <c r="AD8143">
        <v>237</v>
      </c>
      <c r="AE8143" s="1">
        <v>2287315.44</v>
      </c>
      <c r="AF8143">
        <v>0</v>
      </c>
      <c r="AJ8143">
        <v>0</v>
      </c>
      <c r="AK8143">
        <v>0</v>
      </c>
      <c r="AL8143">
        <v>0</v>
      </c>
      <c r="AM8143" s="1">
        <v>10037.17</v>
      </c>
      <c r="AN8143" s="1">
        <v>10037.17</v>
      </c>
      <c r="AO8143" s="1">
        <v>10037.17</v>
      </c>
      <c r="AP8143" s="2">
        <v>42746</v>
      </c>
      <c r="AQ8143" t="s">
        <v>72</v>
      </c>
      <c r="AR8143" t="s">
        <v>72</v>
      </c>
      <c r="AS8143">
        <v>3187</v>
      </c>
      <c r="AT8143" s="4">
        <v>42692</v>
      </c>
      <c r="AU8143" t="s">
        <v>73</v>
      </c>
      <c r="AV8143">
        <v>3187</v>
      </c>
      <c r="AW8143" s="4">
        <v>42692</v>
      </c>
      <c r="BD8143">
        <v>0</v>
      </c>
      <c r="BN8143" t="s">
        <v>74</v>
      </c>
    </row>
    <row r="8144" spans="1:66">
      <c r="A8144">
        <v>104592</v>
      </c>
      <c r="B8144" s="3" t="s">
        <v>681</v>
      </c>
      <c r="C8144" s="1">
        <v>43300101</v>
      </c>
      <c r="D8144" t="s">
        <v>67</v>
      </c>
      <c r="H8144" t="str">
        <f t="shared" si="803"/>
        <v>07931650589</v>
      </c>
      <c r="I8144" t="str">
        <f t="shared" si="804"/>
        <v>01911071007</v>
      </c>
      <c r="K8144" t="str">
        <f>""</f>
        <v/>
      </c>
      <c r="M8144" t="s">
        <v>68</v>
      </c>
      <c r="N8144" t="str">
        <f t="shared" si="802"/>
        <v>FOR</v>
      </c>
      <c r="O8144" t="s">
        <v>69</v>
      </c>
      <c r="P8144" s="3" t="s">
        <v>75</v>
      </c>
      <c r="Q8144">
        <v>2016</v>
      </c>
      <c r="R8144" s="2">
        <v>42396</v>
      </c>
      <c r="S8144" s="2">
        <v>42423</v>
      </c>
      <c r="T8144" s="2">
        <v>42401</v>
      </c>
      <c r="U8144" s="2">
        <v>42461</v>
      </c>
      <c r="V8144" t="s">
        <v>71</v>
      </c>
      <c r="W8144" t="str">
        <f>"          3601027 XU"</f>
        <v xml:space="preserve">          3601027 XU</v>
      </c>
      <c r="X8144">
        <v>549</v>
      </c>
      <c r="Y8144">
        <v>0</v>
      </c>
      <c r="Z8144" s="3">
        <v>450</v>
      </c>
      <c r="AA8144">
        <v>231</v>
      </c>
      <c r="AB8144" s="5">
        <v>103950</v>
      </c>
      <c r="AC8144">
        <v>450</v>
      </c>
      <c r="AD8144">
        <v>231</v>
      </c>
      <c r="AE8144" s="1">
        <v>103950</v>
      </c>
      <c r="AF8144">
        <v>0</v>
      </c>
      <c r="AJ8144">
        <v>0</v>
      </c>
      <c r="AK8144">
        <v>0</v>
      </c>
      <c r="AL8144">
        <v>0</v>
      </c>
      <c r="AM8144">
        <v>549</v>
      </c>
      <c r="AN8144">
        <v>549</v>
      </c>
      <c r="AO8144">
        <v>549</v>
      </c>
      <c r="AP8144" s="2">
        <v>42746</v>
      </c>
      <c r="AQ8144" t="s">
        <v>72</v>
      </c>
      <c r="AR8144" t="s">
        <v>72</v>
      </c>
      <c r="AS8144">
        <v>3187</v>
      </c>
      <c r="AT8144" s="4">
        <v>42692</v>
      </c>
      <c r="AU8144" t="s">
        <v>73</v>
      </c>
      <c r="AV8144">
        <v>3187</v>
      </c>
      <c r="AW8144" s="4">
        <v>42692</v>
      </c>
      <c r="BD8144">
        <v>0</v>
      </c>
      <c r="BN8144" t="s">
        <v>74</v>
      </c>
    </row>
    <row r="8145" spans="1:66">
      <c r="A8145">
        <v>104592</v>
      </c>
      <c r="B8145" s="3" t="s">
        <v>681</v>
      </c>
      <c r="C8145" s="1">
        <v>43300101</v>
      </c>
      <c r="D8145" t="s">
        <v>67</v>
      </c>
      <c r="H8145" t="str">
        <f t="shared" si="803"/>
        <v>07931650589</v>
      </c>
      <c r="I8145" t="str">
        <f t="shared" si="804"/>
        <v>01911071007</v>
      </c>
      <c r="K8145" t="str">
        <f>""</f>
        <v/>
      </c>
      <c r="M8145" t="s">
        <v>68</v>
      </c>
      <c r="N8145" t="str">
        <f t="shared" si="802"/>
        <v>FOR</v>
      </c>
      <c r="O8145" t="s">
        <v>69</v>
      </c>
      <c r="P8145" s="3" t="s">
        <v>75</v>
      </c>
      <c r="Q8145">
        <v>2016</v>
      </c>
      <c r="R8145" s="2">
        <v>42419</v>
      </c>
      <c r="S8145" s="2">
        <v>42425</v>
      </c>
      <c r="T8145" s="2">
        <v>42423</v>
      </c>
      <c r="U8145" s="2">
        <v>42483</v>
      </c>
      <c r="V8145" t="s">
        <v>71</v>
      </c>
      <c r="W8145" t="str">
        <f>"          3602323 XU"</f>
        <v xml:space="preserve">          3602323 XU</v>
      </c>
      <c r="X8145" s="1">
        <v>3220.8</v>
      </c>
      <c r="Y8145">
        <v>0</v>
      </c>
      <c r="Z8145" s="5">
        <v>2640</v>
      </c>
      <c r="AA8145">
        <v>236</v>
      </c>
      <c r="AB8145" s="5">
        <v>623040</v>
      </c>
      <c r="AC8145" s="1">
        <v>2640</v>
      </c>
      <c r="AD8145">
        <v>236</v>
      </c>
      <c r="AE8145" s="1">
        <v>623040</v>
      </c>
      <c r="AF8145">
        <v>580.79999999999995</v>
      </c>
      <c r="AJ8145">
        <v>0</v>
      </c>
      <c r="AK8145">
        <v>0</v>
      </c>
      <c r="AL8145">
        <v>0</v>
      </c>
      <c r="AM8145" s="1">
        <v>3220.8</v>
      </c>
      <c r="AN8145" s="1">
        <v>3220.8</v>
      </c>
      <c r="AO8145" s="1">
        <v>3220.8</v>
      </c>
      <c r="AP8145" s="2">
        <v>42746</v>
      </c>
      <c r="AQ8145" t="s">
        <v>72</v>
      </c>
      <c r="AR8145" t="s">
        <v>72</v>
      </c>
      <c r="AS8145">
        <v>3514</v>
      </c>
      <c r="AT8145" s="4">
        <v>42719</v>
      </c>
      <c r="AU8145" t="s">
        <v>73</v>
      </c>
      <c r="AV8145">
        <v>3514</v>
      </c>
      <c r="AW8145" s="4">
        <v>42719</v>
      </c>
      <c r="BD8145">
        <v>580.79999999999995</v>
      </c>
      <c r="BN8145" t="s">
        <v>74</v>
      </c>
    </row>
    <row r="8146" spans="1:66">
      <c r="A8146">
        <v>104592</v>
      </c>
      <c r="B8146" s="3" t="s">
        <v>681</v>
      </c>
      <c r="C8146" s="1">
        <v>43300101</v>
      </c>
      <c r="D8146" t="s">
        <v>67</v>
      </c>
      <c r="H8146" t="str">
        <f t="shared" si="803"/>
        <v>07931650589</v>
      </c>
      <c r="I8146" t="str">
        <f t="shared" si="804"/>
        <v>01911071007</v>
      </c>
      <c r="K8146" t="str">
        <f>""</f>
        <v/>
      </c>
      <c r="M8146" t="s">
        <v>68</v>
      </c>
      <c r="N8146" t="str">
        <f t="shared" si="802"/>
        <v>FOR</v>
      </c>
      <c r="O8146" t="s">
        <v>69</v>
      </c>
      <c r="P8146" s="3" t="s">
        <v>75</v>
      </c>
      <c r="Q8146">
        <v>2016</v>
      </c>
      <c r="R8146" s="2">
        <v>42422</v>
      </c>
      <c r="S8146" s="2">
        <v>42436</v>
      </c>
      <c r="T8146" s="2">
        <v>42426</v>
      </c>
      <c r="U8146" s="2">
        <v>42486</v>
      </c>
      <c r="V8146" t="s">
        <v>71</v>
      </c>
      <c r="W8146" t="str">
        <f>"          3602409 XU"</f>
        <v xml:space="preserve">          3602409 XU</v>
      </c>
      <c r="X8146" s="1">
        <v>10797.08</v>
      </c>
      <c r="Y8146">
        <v>0</v>
      </c>
      <c r="Z8146" s="5">
        <v>10381.799999999999</v>
      </c>
      <c r="AA8146">
        <v>233</v>
      </c>
      <c r="AB8146" s="5">
        <v>2418959.4</v>
      </c>
      <c r="AC8146" s="1">
        <v>10381.799999999999</v>
      </c>
      <c r="AD8146">
        <v>233</v>
      </c>
      <c r="AE8146" s="1">
        <v>2418959.4</v>
      </c>
      <c r="AF8146">
        <v>415.28</v>
      </c>
      <c r="AJ8146">
        <v>0</v>
      </c>
      <c r="AK8146">
        <v>0</v>
      </c>
      <c r="AL8146">
        <v>0</v>
      </c>
      <c r="AM8146" s="1">
        <v>10797.08</v>
      </c>
      <c r="AN8146" s="1">
        <v>10797.08</v>
      </c>
      <c r="AO8146" s="1">
        <v>10797.08</v>
      </c>
      <c r="AP8146" s="2">
        <v>42746</v>
      </c>
      <c r="AQ8146" t="s">
        <v>72</v>
      </c>
      <c r="AR8146" t="s">
        <v>72</v>
      </c>
      <c r="AS8146">
        <v>3514</v>
      </c>
      <c r="AT8146" s="4">
        <v>42719</v>
      </c>
      <c r="AU8146" t="s">
        <v>73</v>
      </c>
      <c r="AV8146">
        <v>3514</v>
      </c>
      <c r="AW8146" s="4">
        <v>42719</v>
      </c>
      <c r="BD8146">
        <v>415.28</v>
      </c>
      <c r="BN8146" t="s">
        <v>74</v>
      </c>
    </row>
    <row r="8147" spans="1:66">
      <c r="A8147">
        <v>104592</v>
      </c>
      <c r="B8147" s="3" t="s">
        <v>681</v>
      </c>
      <c r="C8147" s="1">
        <v>43300101</v>
      </c>
      <c r="D8147" t="s">
        <v>67</v>
      </c>
      <c r="H8147" t="str">
        <f t="shared" si="803"/>
        <v>07931650589</v>
      </c>
      <c r="I8147" t="str">
        <f t="shared" si="804"/>
        <v>01911071007</v>
      </c>
      <c r="K8147" t="str">
        <f>""</f>
        <v/>
      </c>
      <c r="M8147" t="s">
        <v>68</v>
      </c>
      <c r="N8147" t="str">
        <f t="shared" si="802"/>
        <v>FOR</v>
      </c>
      <c r="O8147" t="s">
        <v>69</v>
      </c>
      <c r="P8147" s="3" t="s">
        <v>75</v>
      </c>
      <c r="Q8147">
        <v>2016</v>
      </c>
      <c r="R8147" s="2">
        <v>42425</v>
      </c>
      <c r="S8147" s="2">
        <v>42436</v>
      </c>
      <c r="T8147" s="2">
        <v>42430</v>
      </c>
      <c r="U8147" s="2">
        <v>42490</v>
      </c>
      <c r="V8147" t="s">
        <v>71</v>
      </c>
      <c r="W8147" t="str">
        <f>"          3602640 XU"</f>
        <v xml:space="preserve">          3602640 XU</v>
      </c>
      <c r="X8147" s="1">
        <v>1809.39</v>
      </c>
      <c r="Y8147">
        <v>0</v>
      </c>
      <c r="Z8147" s="5">
        <v>1739.8</v>
      </c>
      <c r="AA8147">
        <v>229</v>
      </c>
      <c r="AB8147" s="5">
        <v>398414.2</v>
      </c>
      <c r="AC8147" s="1">
        <v>1739.8</v>
      </c>
      <c r="AD8147">
        <v>229</v>
      </c>
      <c r="AE8147" s="1">
        <v>398414.2</v>
      </c>
      <c r="AF8147">
        <v>69.59</v>
      </c>
      <c r="AJ8147">
        <v>0</v>
      </c>
      <c r="AK8147">
        <v>0</v>
      </c>
      <c r="AL8147">
        <v>0</v>
      </c>
      <c r="AM8147" s="1">
        <v>1809.39</v>
      </c>
      <c r="AN8147" s="1">
        <v>1809.39</v>
      </c>
      <c r="AO8147" s="1">
        <v>1809.39</v>
      </c>
      <c r="AP8147" s="2">
        <v>42746</v>
      </c>
      <c r="AQ8147" t="s">
        <v>72</v>
      </c>
      <c r="AR8147" t="s">
        <v>72</v>
      </c>
      <c r="AS8147">
        <v>3514</v>
      </c>
      <c r="AT8147" s="4">
        <v>42719</v>
      </c>
      <c r="AU8147" t="s">
        <v>73</v>
      </c>
      <c r="AV8147">
        <v>3514</v>
      </c>
      <c r="AW8147" s="4">
        <v>42719</v>
      </c>
      <c r="BD8147">
        <v>69.59</v>
      </c>
      <c r="BN8147" t="s">
        <v>74</v>
      </c>
    </row>
    <row r="8148" spans="1:66" hidden="1">
      <c r="A8148">
        <v>104595</v>
      </c>
      <c r="B8148" s="3" t="s">
        <v>682</v>
      </c>
      <c r="C8148" s="1">
        <v>43300101</v>
      </c>
      <c r="D8148" t="s">
        <v>67</v>
      </c>
      <c r="H8148" t="str">
        <f t="shared" ref="H8148:I8157" si="805">"01149250159"</f>
        <v>01149250159</v>
      </c>
      <c r="I8148" t="str">
        <f t="shared" si="805"/>
        <v>01149250159</v>
      </c>
      <c r="K8148" t="str">
        <f>""</f>
        <v/>
      </c>
      <c r="M8148" t="s">
        <v>68</v>
      </c>
      <c r="N8148" t="str">
        <f t="shared" si="802"/>
        <v>FOR</v>
      </c>
      <c r="O8148" t="s">
        <v>69</v>
      </c>
      <c r="P8148" s="3" t="s">
        <v>70</v>
      </c>
      <c r="Q8148">
        <v>2015</v>
      </c>
      <c r="R8148" s="2">
        <v>42047</v>
      </c>
      <c r="S8148" s="2">
        <v>42067</v>
      </c>
      <c r="T8148" s="2">
        <v>42067</v>
      </c>
      <c r="U8148" s="2">
        <v>42127</v>
      </c>
      <c r="V8148" t="s">
        <v>71</v>
      </c>
      <c r="W8148" t="str">
        <f>"                 711"</f>
        <v xml:space="preserve">                 711</v>
      </c>
      <c r="X8148">
        <v>219.6</v>
      </c>
      <c r="Y8148">
        <v>0</v>
      </c>
      <c r="Z8148"/>
      <c r="AB8148"/>
      <c r="AC8148">
        <v>180</v>
      </c>
      <c r="AD8148">
        <v>281</v>
      </c>
      <c r="AE8148" s="1">
        <v>50580</v>
      </c>
      <c r="AF8148">
        <v>0</v>
      </c>
      <c r="AJ8148">
        <v>0</v>
      </c>
      <c r="AK8148">
        <v>0</v>
      </c>
      <c r="AL8148">
        <v>0</v>
      </c>
      <c r="AM8148">
        <v>0</v>
      </c>
      <c r="AN8148">
        <v>0</v>
      </c>
      <c r="AO8148">
        <v>0</v>
      </c>
      <c r="AP8148" s="2">
        <v>42746</v>
      </c>
      <c r="AQ8148" t="s">
        <v>72</v>
      </c>
      <c r="AR8148" t="s">
        <v>72</v>
      </c>
      <c r="AS8148">
        <v>324</v>
      </c>
      <c r="AT8148" s="4">
        <v>42408</v>
      </c>
      <c r="AU8148" t="s">
        <v>73</v>
      </c>
      <c r="AV8148">
        <v>324</v>
      </c>
      <c r="AW8148" s="4">
        <v>42408</v>
      </c>
      <c r="BD8148">
        <v>0</v>
      </c>
      <c r="BN8148" t="s">
        <v>74</v>
      </c>
    </row>
    <row r="8149" spans="1:66" hidden="1">
      <c r="A8149">
        <v>104595</v>
      </c>
      <c r="B8149" s="3" t="s">
        <v>682</v>
      </c>
      <c r="C8149" s="1">
        <v>43300101</v>
      </c>
      <c r="D8149" t="s">
        <v>67</v>
      </c>
      <c r="H8149" t="str">
        <f t="shared" si="805"/>
        <v>01149250159</v>
      </c>
      <c r="I8149" t="str">
        <f t="shared" si="805"/>
        <v>01149250159</v>
      </c>
      <c r="K8149" t="str">
        <f>""</f>
        <v/>
      </c>
      <c r="M8149" t="s">
        <v>68</v>
      </c>
      <c r="N8149" t="str">
        <f t="shared" si="802"/>
        <v>FOR</v>
      </c>
      <c r="O8149" t="s">
        <v>69</v>
      </c>
      <c r="P8149" s="3" t="s">
        <v>70</v>
      </c>
      <c r="Q8149">
        <v>2015</v>
      </c>
      <c r="R8149" s="2">
        <v>42047</v>
      </c>
      <c r="S8149" s="2">
        <v>42067</v>
      </c>
      <c r="T8149" s="2">
        <v>42067</v>
      </c>
      <c r="U8149" s="2">
        <v>42127</v>
      </c>
      <c r="V8149" t="s">
        <v>71</v>
      </c>
      <c r="W8149" t="str">
        <f>"                 712"</f>
        <v xml:space="preserve">                 712</v>
      </c>
      <c r="X8149">
        <v>878.4</v>
      </c>
      <c r="Y8149">
        <v>0</v>
      </c>
      <c r="Z8149"/>
      <c r="AB8149"/>
      <c r="AC8149">
        <v>720</v>
      </c>
      <c r="AD8149">
        <v>281</v>
      </c>
      <c r="AE8149" s="1">
        <v>202320</v>
      </c>
      <c r="AF8149">
        <v>0</v>
      </c>
      <c r="AJ8149">
        <v>0</v>
      </c>
      <c r="AK8149">
        <v>0</v>
      </c>
      <c r="AL8149">
        <v>0</v>
      </c>
      <c r="AM8149">
        <v>0</v>
      </c>
      <c r="AN8149">
        <v>0</v>
      </c>
      <c r="AO8149">
        <v>0</v>
      </c>
      <c r="AP8149" s="2">
        <v>42746</v>
      </c>
      <c r="AQ8149" t="s">
        <v>72</v>
      </c>
      <c r="AR8149" t="s">
        <v>72</v>
      </c>
      <c r="AS8149">
        <v>324</v>
      </c>
      <c r="AT8149" s="4">
        <v>42408</v>
      </c>
      <c r="AU8149" t="s">
        <v>73</v>
      </c>
      <c r="AV8149">
        <v>324</v>
      </c>
      <c r="AW8149" s="4">
        <v>42408</v>
      </c>
      <c r="BD8149">
        <v>0</v>
      </c>
      <c r="BN8149" t="s">
        <v>74</v>
      </c>
    </row>
    <row r="8150" spans="1:66" hidden="1">
      <c r="A8150">
        <v>104595</v>
      </c>
      <c r="B8150" s="3" t="s">
        <v>682</v>
      </c>
      <c r="C8150" s="1">
        <v>43300101</v>
      </c>
      <c r="D8150" t="s">
        <v>67</v>
      </c>
      <c r="H8150" t="str">
        <f t="shared" si="805"/>
        <v>01149250159</v>
      </c>
      <c r="I8150" t="str">
        <f t="shared" si="805"/>
        <v>01149250159</v>
      </c>
      <c r="K8150" t="str">
        <f>""</f>
        <v/>
      </c>
      <c r="M8150" t="s">
        <v>68</v>
      </c>
      <c r="N8150" t="str">
        <f t="shared" si="802"/>
        <v>FOR</v>
      </c>
      <c r="O8150" t="s">
        <v>69</v>
      </c>
      <c r="P8150" s="3" t="s">
        <v>75</v>
      </c>
      <c r="Q8150">
        <v>2015</v>
      </c>
      <c r="R8150" s="2">
        <v>42103</v>
      </c>
      <c r="S8150" s="2">
        <v>42115</v>
      </c>
      <c r="T8150" s="2">
        <v>42110</v>
      </c>
      <c r="U8150" s="2">
        <v>42170</v>
      </c>
      <c r="V8150" t="s">
        <v>71</v>
      </c>
      <c r="W8150" t="str">
        <f>"             V1-1859"</f>
        <v xml:space="preserve">             V1-1859</v>
      </c>
      <c r="X8150">
        <v>366</v>
      </c>
      <c r="Y8150">
        <v>0</v>
      </c>
      <c r="Z8150"/>
      <c r="AB8150"/>
      <c r="AC8150">
        <v>300</v>
      </c>
      <c r="AD8150">
        <v>282</v>
      </c>
      <c r="AE8150" s="1">
        <v>84600</v>
      </c>
      <c r="AF8150">
        <v>0</v>
      </c>
      <c r="AJ8150">
        <v>0</v>
      </c>
      <c r="AK8150">
        <v>0</v>
      </c>
      <c r="AL8150">
        <v>0</v>
      </c>
      <c r="AM8150">
        <v>0</v>
      </c>
      <c r="AN8150">
        <v>0</v>
      </c>
      <c r="AO8150">
        <v>0</v>
      </c>
      <c r="AP8150" s="2">
        <v>42746</v>
      </c>
      <c r="AQ8150" t="s">
        <v>72</v>
      </c>
      <c r="AR8150" t="s">
        <v>72</v>
      </c>
      <c r="AS8150">
        <v>771</v>
      </c>
      <c r="AT8150" s="4">
        <v>42452</v>
      </c>
      <c r="AU8150" t="s">
        <v>73</v>
      </c>
      <c r="AV8150">
        <v>771</v>
      </c>
      <c r="AW8150" s="4">
        <v>42452</v>
      </c>
      <c r="BD8150">
        <v>0</v>
      </c>
      <c r="BN8150" t="s">
        <v>74</v>
      </c>
    </row>
    <row r="8151" spans="1:66" hidden="1">
      <c r="A8151">
        <v>104595</v>
      </c>
      <c r="B8151" s="3" t="s">
        <v>682</v>
      </c>
      <c r="C8151" s="1">
        <v>43300101</v>
      </c>
      <c r="D8151" t="s">
        <v>67</v>
      </c>
      <c r="H8151" t="str">
        <f t="shared" si="805"/>
        <v>01149250159</v>
      </c>
      <c r="I8151" t="str">
        <f t="shared" si="805"/>
        <v>01149250159</v>
      </c>
      <c r="K8151" t="str">
        <f>""</f>
        <v/>
      </c>
      <c r="M8151" t="s">
        <v>68</v>
      </c>
      <c r="N8151" t="str">
        <f t="shared" ref="N8151:N8182" si="806">"FOR"</f>
        <v>FOR</v>
      </c>
      <c r="O8151" t="s">
        <v>69</v>
      </c>
      <c r="P8151" s="3" t="s">
        <v>75</v>
      </c>
      <c r="Q8151">
        <v>2015</v>
      </c>
      <c r="R8151" s="2">
        <v>42201</v>
      </c>
      <c r="S8151" s="2">
        <v>42205</v>
      </c>
      <c r="T8151" s="2">
        <v>42202</v>
      </c>
      <c r="U8151" s="2">
        <v>42262</v>
      </c>
      <c r="V8151" t="s">
        <v>71</v>
      </c>
      <c r="W8151" t="str">
        <f>"             V1-4323"</f>
        <v xml:space="preserve">             V1-4323</v>
      </c>
      <c r="X8151">
        <v>732</v>
      </c>
      <c r="Y8151">
        <v>0</v>
      </c>
      <c r="Z8151"/>
      <c r="AB8151"/>
      <c r="AC8151">
        <v>600</v>
      </c>
      <c r="AD8151">
        <v>190</v>
      </c>
      <c r="AE8151" s="1">
        <v>114000</v>
      </c>
      <c r="AF8151">
        <v>0</v>
      </c>
      <c r="AJ8151">
        <v>0</v>
      </c>
      <c r="AK8151">
        <v>0</v>
      </c>
      <c r="AL8151">
        <v>0</v>
      </c>
      <c r="AM8151">
        <v>0</v>
      </c>
      <c r="AN8151">
        <v>0</v>
      </c>
      <c r="AO8151">
        <v>0</v>
      </c>
      <c r="AP8151" s="2">
        <v>42746</v>
      </c>
      <c r="AQ8151" t="s">
        <v>72</v>
      </c>
      <c r="AR8151" t="s">
        <v>72</v>
      </c>
      <c r="AS8151">
        <v>771</v>
      </c>
      <c r="AT8151" s="4">
        <v>42452</v>
      </c>
      <c r="AU8151" t="s">
        <v>73</v>
      </c>
      <c r="AV8151">
        <v>771</v>
      </c>
      <c r="AW8151" s="4">
        <v>42452</v>
      </c>
      <c r="BD8151">
        <v>0</v>
      </c>
      <c r="BN8151" t="s">
        <v>74</v>
      </c>
    </row>
    <row r="8152" spans="1:66" hidden="1">
      <c r="A8152">
        <v>104595</v>
      </c>
      <c r="B8152" s="3" t="s">
        <v>682</v>
      </c>
      <c r="C8152" s="1">
        <v>43300101</v>
      </c>
      <c r="D8152" t="s">
        <v>67</v>
      </c>
      <c r="H8152" t="str">
        <f t="shared" si="805"/>
        <v>01149250159</v>
      </c>
      <c r="I8152" t="str">
        <f t="shared" si="805"/>
        <v>01149250159</v>
      </c>
      <c r="K8152" t="str">
        <f>""</f>
        <v/>
      </c>
      <c r="M8152" t="s">
        <v>68</v>
      </c>
      <c r="N8152" t="str">
        <f t="shared" si="806"/>
        <v>FOR</v>
      </c>
      <c r="O8152" t="s">
        <v>69</v>
      </c>
      <c r="P8152" s="3" t="s">
        <v>75</v>
      </c>
      <c r="Q8152">
        <v>2015</v>
      </c>
      <c r="R8152" s="2">
        <v>42264</v>
      </c>
      <c r="S8152" s="2">
        <v>42265</v>
      </c>
      <c r="T8152" s="2">
        <v>42265</v>
      </c>
      <c r="U8152" s="2">
        <v>42325</v>
      </c>
      <c r="V8152" t="s">
        <v>71</v>
      </c>
      <c r="W8152" t="str">
        <f>"             V1-5614"</f>
        <v xml:space="preserve">             V1-5614</v>
      </c>
      <c r="X8152">
        <v>585.6</v>
      </c>
      <c r="Y8152">
        <v>0</v>
      </c>
      <c r="Z8152"/>
      <c r="AB8152"/>
      <c r="AC8152">
        <v>480</v>
      </c>
      <c r="AD8152">
        <v>127</v>
      </c>
      <c r="AE8152" s="1">
        <v>60960</v>
      </c>
      <c r="AF8152">
        <v>0</v>
      </c>
      <c r="AJ8152">
        <v>0</v>
      </c>
      <c r="AK8152">
        <v>0</v>
      </c>
      <c r="AL8152">
        <v>0</v>
      </c>
      <c r="AM8152">
        <v>0</v>
      </c>
      <c r="AN8152">
        <v>0</v>
      </c>
      <c r="AO8152">
        <v>0</v>
      </c>
      <c r="AP8152" s="2">
        <v>42746</v>
      </c>
      <c r="AQ8152" t="s">
        <v>72</v>
      </c>
      <c r="AR8152" t="s">
        <v>72</v>
      </c>
      <c r="AS8152">
        <v>771</v>
      </c>
      <c r="AT8152" s="4">
        <v>42452</v>
      </c>
      <c r="AU8152" t="s">
        <v>73</v>
      </c>
      <c r="AV8152">
        <v>771</v>
      </c>
      <c r="AW8152" s="4">
        <v>42452</v>
      </c>
      <c r="BD8152">
        <v>0</v>
      </c>
      <c r="BN8152" t="s">
        <v>74</v>
      </c>
    </row>
    <row r="8153" spans="1:66" hidden="1">
      <c r="A8153">
        <v>104595</v>
      </c>
      <c r="B8153" s="3" t="s">
        <v>682</v>
      </c>
      <c r="C8153" s="1">
        <v>43300101</v>
      </c>
      <c r="D8153" t="s">
        <v>67</v>
      </c>
      <c r="H8153" t="str">
        <f t="shared" si="805"/>
        <v>01149250159</v>
      </c>
      <c r="I8153" t="str">
        <f t="shared" si="805"/>
        <v>01149250159</v>
      </c>
      <c r="K8153" t="str">
        <f>""</f>
        <v/>
      </c>
      <c r="M8153" t="s">
        <v>68</v>
      </c>
      <c r="N8153" t="str">
        <f t="shared" si="806"/>
        <v>FOR</v>
      </c>
      <c r="O8153" t="s">
        <v>69</v>
      </c>
      <c r="P8153" s="3" t="s">
        <v>75</v>
      </c>
      <c r="Q8153">
        <v>2015</v>
      </c>
      <c r="R8153" s="2">
        <v>42327</v>
      </c>
      <c r="S8153" s="2">
        <v>42331</v>
      </c>
      <c r="T8153" s="2">
        <v>42328</v>
      </c>
      <c r="U8153" s="2">
        <v>42388</v>
      </c>
      <c r="V8153" t="s">
        <v>71</v>
      </c>
      <c r="W8153" t="str">
        <f>"             V1-7409"</f>
        <v xml:space="preserve">             V1-7409</v>
      </c>
      <c r="X8153">
        <v>585.6</v>
      </c>
      <c r="Y8153">
        <v>0</v>
      </c>
      <c r="Z8153"/>
      <c r="AB8153"/>
      <c r="AC8153">
        <v>480</v>
      </c>
      <c r="AD8153">
        <v>190</v>
      </c>
      <c r="AE8153" s="1">
        <v>91200</v>
      </c>
      <c r="AF8153">
        <v>0</v>
      </c>
      <c r="AJ8153">
        <v>0</v>
      </c>
      <c r="AK8153">
        <v>0</v>
      </c>
      <c r="AL8153">
        <v>0</v>
      </c>
      <c r="AM8153">
        <v>0</v>
      </c>
      <c r="AN8153">
        <v>0</v>
      </c>
      <c r="AO8153">
        <v>0</v>
      </c>
      <c r="AP8153" s="2">
        <v>42746</v>
      </c>
      <c r="AQ8153" t="s">
        <v>72</v>
      </c>
      <c r="AR8153" t="s">
        <v>72</v>
      </c>
      <c r="AS8153">
        <v>1987</v>
      </c>
      <c r="AT8153" s="4">
        <v>42578</v>
      </c>
      <c r="AU8153" t="s">
        <v>73</v>
      </c>
      <c r="AV8153">
        <v>1987</v>
      </c>
      <c r="AW8153" s="4">
        <v>42578</v>
      </c>
      <c r="BD8153">
        <v>0</v>
      </c>
      <c r="BN8153" t="s">
        <v>74</v>
      </c>
    </row>
    <row r="8154" spans="1:66" hidden="1">
      <c r="A8154">
        <v>104595</v>
      </c>
      <c r="B8154" s="3" t="s">
        <v>682</v>
      </c>
      <c r="C8154" s="1">
        <v>43300101</v>
      </c>
      <c r="D8154" t="s">
        <v>67</v>
      </c>
      <c r="H8154" t="str">
        <f t="shared" si="805"/>
        <v>01149250159</v>
      </c>
      <c r="I8154" t="str">
        <f t="shared" si="805"/>
        <v>01149250159</v>
      </c>
      <c r="K8154" t="str">
        <f>""</f>
        <v/>
      </c>
      <c r="M8154" t="s">
        <v>68</v>
      </c>
      <c r="N8154" t="str">
        <f t="shared" si="806"/>
        <v>FOR</v>
      </c>
      <c r="O8154" t="s">
        <v>69</v>
      </c>
      <c r="P8154" s="3" t="s">
        <v>75</v>
      </c>
      <c r="Q8154">
        <v>2016</v>
      </c>
      <c r="R8154" s="2">
        <v>42412</v>
      </c>
      <c r="S8154" s="2">
        <v>42417</v>
      </c>
      <c r="T8154" s="2">
        <v>42415</v>
      </c>
      <c r="U8154" s="2">
        <v>42475</v>
      </c>
      <c r="V8154" t="s">
        <v>71</v>
      </c>
      <c r="W8154" t="str">
        <f>"              V1-800"</f>
        <v xml:space="preserve">              V1-800</v>
      </c>
      <c r="X8154">
        <v>647.82000000000005</v>
      </c>
      <c r="Y8154">
        <v>0</v>
      </c>
      <c r="Z8154"/>
      <c r="AB8154"/>
      <c r="AC8154">
        <v>531</v>
      </c>
      <c r="AD8154">
        <v>103</v>
      </c>
      <c r="AE8154" s="1">
        <v>54693</v>
      </c>
      <c r="AF8154">
        <v>0</v>
      </c>
      <c r="AJ8154">
        <v>0</v>
      </c>
      <c r="AK8154">
        <v>0</v>
      </c>
      <c r="AL8154">
        <v>0</v>
      </c>
      <c r="AM8154">
        <v>647.82000000000005</v>
      </c>
      <c r="AN8154">
        <v>647.82000000000005</v>
      </c>
      <c r="AO8154">
        <v>647.82000000000005</v>
      </c>
      <c r="AP8154" s="2">
        <v>42746</v>
      </c>
      <c r="AQ8154" t="s">
        <v>72</v>
      </c>
      <c r="AR8154" t="s">
        <v>72</v>
      </c>
      <c r="AS8154">
        <v>1987</v>
      </c>
      <c r="AT8154" s="4">
        <v>42578</v>
      </c>
      <c r="AU8154" t="s">
        <v>73</v>
      </c>
      <c r="AV8154">
        <v>1987</v>
      </c>
      <c r="AW8154" s="4">
        <v>42578</v>
      </c>
      <c r="BD8154">
        <v>0</v>
      </c>
      <c r="BN8154" t="s">
        <v>74</v>
      </c>
    </row>
    <row r="8155" spans="1:66" hidden="1">
      <c r="A8155">
        <v>104595</v>
      </c>
      <c r="B8155" s="3" t="s">
        <v>682</v>
      </c>
      <c r="C8155" s="1">
        <v>43300101</v>
      </c>
      <c r="D8155" t="s">
        <v>67</v>
      </c>
      <c r="H8155" t="str">
        <f t="shared" si="805"/>
        <v>01149250159</v>
      </c>
      <c r="I8155" t="str">
        <f t="shared" si="805"/>
        <v>01149250159</v>
      </c>
      <c r="K8155" t="str">
        <f>""</f>
        <v/>
      </c>
      <c r="M8155" t="s">
        <v>68</v>
      </c>
      <c r="N8155" t="str">
        <f t="shared" si="806"/>
        <v>FOR</v>
      </c>
      <c r="O8155" t="s">
        <v>69</v>
      </c>
      <c r="P8155" s="3" t="s">
        <v>75</v>
      </c>
      <c r="Q8155">
        <v>2016</v>
      </c>
      <c r="R8155" s="2">
        <v>42481</v>
      </c>
      <c r="S8155" s="2">
        <v>42487</v>
      </c>
      <c r="T8155" s="2">
        <v>42482</v>
      </c>
      <c r="U8155" s="2">
        <v>42542</v>
      </c>
      <c r="V8155" t="s">
        <v>71</v>
      </c>
      <c r="W8155" t="str">
        <f>"             V1-2620"</f>
        <v xml:space="preserve">             V1-2620</v>
      </c>
      <c r="X8155">
        <v>732</v>
      </c>
      <c r="Y8155">
        <v>0</v>
      </c>
      <c r="Z8155"/>
      <c r="AB8155"/>
      <c r="AC8155">
        <v>600</v>
      </c>
      <c r="AD8155">
        <v>36</v>
      </c>
      <c r="AE8155" s="1">
        <v>21600</v>
      </c>
      <c r="AF8155">
        <v>0</v>
      </c>
      <c r="AJ8155">
        <v>0</v>
      </c>
      <c r="AK8155">
        <v>0</v>
      </c>
      <c r="AL8155">
        <v>0</v>
      </c>
      <c r="AM8155">
        <v>732</v>
      </c>
      <c r="AN8155">
        <v>732</v>
      </c>
      <c r="AO8155">
        <v>732</v>
      </c>
      <c r="AP8155" s="2">
        <v>42746</v>
      </c>
      <c r="AQ8155" t="s">
        <v>72</v>
      </c>
      <c r="AR8155" t="s">
        <v>72</v>
      </c>
      <c r="AS8155">
        <v>1987</v>
      </c>
      <c r="AT8155" s="4">
        <v>42578</v>
      </c>
      <c r="AU8155" t="s">
        <v>73</v>
      </c>
      <c r="AV8155">
        <v>1987</v>
      </c>
      <c r="AW8155" s="4">
        <v>42578</v>
      </c>
      <c r="BD8155">
        <v>0</v>
      </c>
      <c r="BN8155" t="s">
        <v>74</v>
      </c>
    </row>
    <row r="8156" spans="1:66" hidden="1">
      <c r="A8156">
        <v>104595</v>
      </c>
      <c r="B8156" s="3" t="s">
        <v>682</v>
      </c>
      <c r="C8156" s="1">
        <v>43300101</v>
      </c>
      <c r="D8156" t="s">
        <v>67</v>
      </c>
      <c r="H8156" t="str">
        <f t="shared" si="805"/>
        <v>01149250159</v>
      </c>
      <c r="I8156" t="str">
        <f t="shared" si="805"/>
        <v>01149250159</v>
      </c>
      <c r="K8156" t="str">
        <f>""</f>
        <v/>
      </c>
      <c r="M8156" t="s">
        <v>68</v>
      </c>
      <c r="N8156" t="str">
        <f t="shared" si="806"/>
        <v>FOR</v>
      </c>
      <c r="O8156" t="s">
        <v>69</v>
      </c>
      <c r="P8156" s="3" t="s">
        <v>75</v>
      </c>
      <c r="Q8156">
        <v>2016</v>
      </c>
      <c r="R8156" s="2">
        <v>42566</v>
      </c>
      <c r="S8156" s="2">
        <v>42571</v>
      </c>
      <c r="T8156" s="2">
        <v>42568</v>
      </c>
      <c r="U8156" s="2">
        <v>42628</v>
      </c>
      <c r="V8156" t="s">
        <v>71</v>
      </c>
      <c r="W8156" t="str">
        <f>"             V1-4912"</f>
        <v xml:space="preserve">             V1-4912</v>
      </c>
      <c r="X8156">
        <v>585.6</v>
      </c>
      <c r="Y8156">
        <v>0</v>
      </c>
      <c r="Z8156"/>
      <c r="AB8156"/>
      <c r="AC8156">
        <v>480</v>
      </c>
      <c r="AD8156">
        <v>-7</v>
      </c>
      <c r="AE8156" s="1">
        <v>-3360</v>
      </c>
      <c r="AF8156">
        <v>0</v>
      </c>
      <c r="AJ8156">
        <v>0</v>
      </c>
      <c r="AK8156">
        <v>0</v>
      </c>
      <c r="AL8156">
        <v>0</v>
      </c>
      <c r="AM8156">
        <v>585.6</v>
      </c>
      <c r="AN8156">
        <v>585.6</v>
      </c>
      <c r="AO8156">
        <v>585.6</v>
      </c>
      <c r="AP8156" s="2">
        <v>42746</v>
      </c>
      <c r="AQ8156" t="s">
        <v>72</v>
      </c>
      <c r="AR8156" t="s">
        <v>72</v>
      </c>
      <c r="AS8156">
        <v>2388</v>
      </c>
      <c r="AT8156" s="4">
        <v>42621</v>
      </c>
      <c r="AV8156">
        <v>2388</v>
      </c>
      <c r="AW8156" s="4">
        <v>42621</v>
      </c>
      <c r="BD8156">
        <v>0</v>
      </c>
      <c r="BN8156" t="s">
        <v>74</v>
      </c>
    </row>
    <row r="8157" spans="1:66">
      <c r="A8157">
        <v>104595</v>
      </c>
      <c r="B8157" s="3" t="s">
        <v>682</v>
      </c>
      <c r="C8157" s="1">
        <v>43300101</v>
      </c>
      <c r="D8157" t="s">
        <v>67</v>
      </c>
      <c r="H8157" t="str">
        <f t="shared" si="805"/>
        <v>01149250159</v>
      </c>
      <c r="I8157" t="str">
        <f t="shared" si="805"/>
        <v>01149250159</v>
      </c>
      <c r="K8157" t="str">
        <f>""</f>
        <v/>
      </c>
      <c r="M8157" t="s">
        <v>68</v>
      </c>
      <c r="N8157" t="str">
        <f t="shared" si="806"/>
        <v>FOR</v>
      </c>
      <c r="O8157" t="s">
        <v>69</v>
      </c>
      <c r="P8157" s="3" t="s">
        <v>75</v>
      </c>
      <c r="Q8157">
        <v>2016</v>
      </c>
      <c r="R8157" s="2">
        <v>42643</v>
      </c>
      <c r="S8157" s="2">
        <v>42646</v>
      </c>
      <c r="T8157" s="2">
        <v>42643</v>
      </c>
      <c r="U8157" s="2">
        <v>42703</v>
      </c>
      <c r="V8157" t="s">
        <v>71</v>
      </c>
      <c r="W8157" t="str">
        <f>"             V1-6755"</f>
        <v xml:space="preserve">             V1-6755</v>
      </c>
      <c r="X8157">
        <v>439.2</v>
      </c>
      <c r="Y8157">
        <v>0</v>
      </c>
      <c r="Z8157" s="3">
        <v>360</v>
      </c>
      <c r="AA8157">
        <v>-15</v>
      </c>
      <c r="AB8157" s="5">
        <v>-5400</v>
      </c>
      <c r="AC8157">
        <v>360</v>
      </c>
      <c r="AD8157">
        <v>-15</v>
      </c>
      <c r="AE8157" s="1">
        <v>-5400</v>
      </c>
      <c r="AF8157">
        <v>0</v>
      </c>
      <c r="AJ8157">
        <v>0</v>
      </c>
      <c r="AK8157">
        <v>439.2</v>
      </c>
      <c r="AL8157">
        <v>0</v>
      </c>
      <c r="AM8157">
        <v>439.2</v>
      </c>
      <c r="AN8157">
        <v>439.2</v>
      </c>
      <c r="AO8157">
        <v>439.2</v>
      </c>
      <c r="AP8157" s="2">
        <v>42746</v>
      </c>
      <c r="AQ8157" t="s">
        <v>72</v>
      </c>
      <c r="AR8157" t="s">
        <v>72</v>
      </c>
      <c r="AS8157">
        <v>3085</v>
      </c>
      <c r="AT8157" s="4">
        <v>42688</v>
      </c>
      <c r="AV8157">
        <v>3085</v>
      </c>
      <c r="AW8157" s="4">
        <v>42688</v>
      </c>
      <c r="BD8157">
        <v>0</v>
      </c>
      <c r="BN8157" t="s">
        <v>74</v>
      </c>
    </row>
    <row r="8158" spans="1:66" hidden="1">
      <c r="A8158">
        <v>104601</v>
      </c>
      <c r="B8158" s="3" t="s">
        <v>683</v>
      </c>
      <c r="C8158" s="1">
        <v>43300101</v>
      </c>
      <c r="D8158" t="s">
        <v>67</v>
      </c>
      <c r="H8158" t="str">
        <f t="shared" ref="H8158:I8164" si="807">"05791560633"</f>
        <v>05791560633</v>
      </c>
      <c r="I8158" t="str">
        <f t="shared" si="807"/>
        <v>05791560633</v>
      </c>
      <c r="K8158" t="str">
        <f>""</f>
        <v/>
      </c>
      <c r="M8158" t="s">
        <v>68</v>
      </c>
      <c r="N8158" t="str">
        <f t="shared" si="806"/>
        <v>FOR</v>
      </c>
      <c r="O8158" t="s">
        <v>69</v>
      </c>
      <c r="P8158" s="3" t="s">
        <v>70</v>
      </c>
      <c r="Q8158">
        <v>2014</v>
      </c>
      <c r="R8158" s="2">
        <v>41926</v>
      </c>
      <c r="S8158" s="2">
        <v>41932</v>
      </c>
      <c r="T8158" s="2">
        <v>41932</v>
      </c>
      <c r="U8158" s="2">
        <v>41992</v>
      </c>
      <c r="V8158" t="s">
        <v>71</v>
      </c>
      <c r="W8158" t="str">
        <f>"                3207"</f>
        <v xml:space="preserve">                3207</v>
      </c>
      <c r="X8158">
        <v>348.92</v>
      </c>
      <c r="Y8158">
        <v>0</v>
      </c>
      <c r="Z8158"/>
      <c r="AB8158"/>
      <c r="AC8158">
        <v>348.92</v>
      </c>
      <c r="AD8158">
        <v>411</v>
      </c>
      <c r="AE8158" s="1">
        <v>143406.12</v>
      </c>
      <c r="AF8158">
        <v>0</v>
      </c>
      <c r="AJ8158">
        <v>0</v>
      </c>
      <c r="AK8158">
        <v>0</v>
      </c>
      <c r="AL8158">
        <v>0</v>
      </c>
      <c r="AM8158">
        <v>0</v>
      </c>
      <c r="AN8158">
        <v>0</v>
      </c>
      <c r="AO8158">
        <v>0</v>
      </c>
      <c r="AP8158" s="2">
        <v>42746</v>
      </c>
      <c r="AQ8158" t="s">
        <v>72</v>
      </c>
      <c r="AR8158" t="s">
        <v>72</v>
      </c>
      <c r="AS8158">
        <v>212</v>
      </c>
      <c r="AT8158" s="4">
        <v>42403</v>
      </c>
      <c r="AU8158" t="s">
        <v>73</v>
      </c>
      <c r="AV8158">
        <v>212</v>
      </c>
      <c r="AW8158" s="4">
        <v>42403</v>
      </c>
      <c r="BD8158">
        <v>0</v>
      </c>
      <c r="BN8158" t="s">
        <v>74</v>
      </c>
    </row>
    <row r="8159" spans="1:66" hidden="1">
      <c r="A8159">
        <v>104601</v>
      </c>
      <c r="B8159" s="3" t="s">
        <v>683</v>
      </c>
      <c r="C8159" s="1">
        <v>43300101</v>
      </c>
      <c r="D8159" t="s">
        <v>67</v>
      </c>
      <c r="H8159" t="str">
        <f t="shared" si="807"/>
        <v>05791560633</v>
      </c>
      <c r="I8159" t="str">
        <f t="shared" si="807"/>
        <v>05791560633</v>
      </c>
      <c r="K8159" t="str">
        <f>""</f>
        <v/>
      </c>
      <c r="M8159" t="s">
        <v>68</v>
      </c>
      <c r="N8159" t="str">
        <f t="shared" si="806"/>
        <v>FOR</v>
      </c>
      <c r="O8159" t="s">
        <v>69</v>
      </c>
      <c r="P8159" s="3" t="s">
        <v>75</v>
      </c>
      <c r="Q8159">
        <v>2015</v>
      </c>
      <c r="R8159" s="2">
        <v>42243</v>
      </c>
      <c r="S8159" s="2">
        <v>42245</v>
      </c>
      <c r="T8159" s="2">
        <v>42243</v>
      </c>
      <c r="U8159" s="2">
        <v>42303</v>
      </c>
      <c r="V8159" t="s">
        <v>71</v>
      </c>
      <c r="W8159" t="str">
        <f>"              V2-827"</f>
        <v xml:space="preserve">              V2-827</v>
      </c>
      <c r="X8159">
        <v>251.81</v>
      </c>
      <c r="Y8159">
        <v>0</v>
      </c>
      <c r="Z8159"/>
      <c r="AB8159"/>
      <c r="AC8159">
        <v>206.4</v>
      </c>
      <c r="AD8159">
        <v>112</v>
      </c>
      <c r="AE8159" s="1">
        <v>23116.799999999999</v>
      </c>
      <c r="AF8159">
        <v>0</v>
      </c>
      <c r="AJ8159">
        <v>0</v>
      </c>
      <c r="AK8159">
        <v>0</v>
      </c>
      <c r="AL8159">
        <v>0</v>
      </c>
      <c r="AM8159">
        <v>0</v>
      </c>
      <c r="AN8159">
        <v>0</v>
      </c>
      <c r="AO8159">
        <v>0</v>
      </c>
      <c r="AP8159" s="2">
        <v>42746</v>
      </c>
      <c r="AQ8159" t="s">
        <v>72</v>
      </c>
      <c r="AR8159" t="s">
        <v>72</v>
      </c>
      <c r="AS8159">
        <v>380</v>
      </c>
      <c r="AT8159" s="4">
        <v>42415</v>
      </c>
      <c r="AU8159" t="s">
        <v>73</v>
      </c>
      <c r="AV8159">
        <v>380</v>
      </c>
      <c r="AW8159" s="4">
        <v>42415</v>
      </c>
      <c r="BD8159">
        <v>0</v>
      </c>
      <c r="BN8159" t="s">
        <v>74</v>
      </c>
    </row>
    <row r="8160" spans="1:66" hidden="1">
      <c r="A8160">
        <v>104601</v>
      </c>
      <c r="B8160" s="3" t="s">
        <v>683</v>
      </c>
      <c r="C8160" s="1">
        <v>43300101</v>
      </c>
      <c r="D8160" t="s">
        <v>67</v>
      </c>
      <c r="H8160" t="str">
        <f t="shared" si="807"/>
        <v>05791560633</v>
      </c>
      <c r="I8160" t="str">
        <f t="shared" si="807"/>
        <v>05791560633</v>
      </c>
      <c r="K8160" t="str">
        <f>""</f>
        <v/>
      </c>
      <c r="M8160" t="s">
        <v>68</v>
      </c>
      <c r="N8160" t="str">
        <f t="shared" si="806"/>
        <v>FOR</v>
      </c>
      <c r="O8160" t="s">
        <v>69</v>
      </c>
      <c r="P8160" s="3" t="s">
        <v>75</v>
      </c>
      <c r="Q8160">
        <v>2015</v>
      </c>
      <c r="R8160" s="2">
        <v>42318</v>
      </c>
      <c r="S8160" s="2">
        <v>42331</v>
      </c>
      <c r="T8160" s="2">
        <v>42328</v>
      </c>
      <c r="U8160" s="2">
        <v>42388</v>
      </c>
      <c r="V8160" t="s">
        <v>71</v>
      </c>
      <c r="W8160" t="str">
        <f>"             V2-1307"</f>
        <v xml:space="preserve">             V2-1307</v>
      </c>
      <c r="X8160">
        <v>948.43</v>
      </c>
      <c r="Y8160">
        <v>0</v>
      </c>
      <c r="Z8160"/>
      <c r="AB8160"/>
      <c r="AC8160">
        <v>777.4</v>
      </c>
      <c r="AD8160">
        <v>27</v>
      </c>
      <c r="AE8160" s="1">
        <v>20989.8</v>
      </c>
      <c r="AF8160">
        <v>0</v>
      </c>
      <c r="AJ8160">
        <v>0</v>
      </c>
      <c r="AK8160">
        <v>0</v>
      </c>
      <c r="AL8160">
        <v>0</v>
      </c>
      <c r="AM8160">
        <v>0</v>
      </c>
      <c r="AN8160">
        <v>0</v>
      </c>
      <c r="AO8160">
        <v>0</v>
      </c>
      <c r="AP8160" s="2">
        <v>42746</v>
      </c>
      <c r="AQ8160" t="s">
        <v>72</v>
      </c>
      <c r="AR8160" t="s">
        <v>72</v>
      </c>
      <c r="AS8160">
        <v>380</v>
      </c>
      <c r="AT8160" s="4">
        <v>42415</v>
      </c>
      <c r="AU8160" t="s">
        <v>73</v>
      </c>
      <c r="AV8160">
        <v>380</v>
      </c>
      <c r="AW8160" s="4">
        <v>42415</v>
      </c>
      <c r="BD8160">
        <v>0</v>
      </c>
      <c r="BN8160" t="s">
        <v>74</v>
      </c>
    </row>
    <row r="8161" spans="1:66">
      <c r="A8161">
        <v>104601</v>
      </c>
      <c r="B8161" s="3" t="s">
        <v>683</v>
      </c>
      <c r="C8161" s="1">
        <v>43300101</v>
      </c>
      <c r="D8161" t="s">
        <v>67</v>
      </c>
      <c r="H8161" t="str">
        <f t="shared" si="807"/>
        <v>05791560633</v>
      </c>
      <c r="I8161" t="str">
        <f t="shared" si="807"/>
        <v>05791560633</v>
      </c>
      <c r="K8161" t="str">
        <f>""</f>
        <v/>
      </c>
      <c r="M8161" t="s">
        <v>68</v>
      </c>
      <c r="N8161" t="str">
        <f t="shared" si="806"/>
        <v>FOR</v>
      </c>
      <c r="O8161" t="s">
        <v>69</v>
      </c>
      <c r="P8161" s="3" t="s">
        <v>75</v>
      </c>
      <c r="Q8161">
        <v>2016</v>
      </c>
      <c r="R8161" s="2">
        <v>42490</v>
      </c>
      <c r="S8161" s="2">
        <v>42493</v>
      </c>
      <c r="T8161" s="2">
        <v>42492</v>
      </c>
      <c r="U8161" s="2">
        <v>42552</v>
      </c>
      <c r="V8161" t="s">
        <v>71</v>
      </c>
      <c r="W8161" t="str">
        <f>"              V2-538"</f>
        <v xml:space="preserve">              V2-538</v>
      </c>
      <c r="X8161" s="1">
        <v>1780.16</v>
      </c>
      <c r="Y8161">
        <v>0</v>
      </c>
      <c r="Z8161" s="5">
        <v>1459.15</v>
      </c>
      <c r="AA8161">
        <v>130</v>
      </c>
      <c r="AB8161" s="5">
        <v>189689.5</v>
      </c>
      <c r="AC8161" s="1">
        <v>1459.15</v>
      </c>
      <c r="AD8161">
        <v>130</v>
      </c>
      <c r="AE8161" s="1">
        <v>189689.5</v>
      </c>
      <c r="AF8161">
        <v>0</v>
      </c>
      <c r="AJ8161">
        <v>0</v>
      </c>
      <c r="AK8161">
        <v>0</v>
      </c>
      <c r="AL8161">
        <v>0</v>
      </c>
      <c r="AM8161" s="1">
        <v>1780.16</v>
      </c>
      <c r="AN8161" s="1">
        <v>1780.16</v>
      </c>
      <c r="AO8161" s="1">
        <v>1780.16</v>
      </c>
      <c r="AP8161" s="2">
        <v>42746</v>
      </c>
      <c r="AQ8161" t="s">
        <v>72</v>
      </c>
      <c r="AR8161" t="s">
        <v>72</v>
      </c>
      <c r="AS8161">
        <v>2989</v>
      </c>
      <c r="AT8161" s="4">
        <v>42682</v>
      </c>
      <c r="AU8161" t="s">
        <v>73</v>
      </c>
      <c r="AV8161">
        <v>2989</v>
      </c>
      <c r="AW8161" s="4">
        <v>42682</v>
      </c>
      <c r="BD8161">
        <v>0</v>
      </c>
      <c r="BN8161" t="s">
        <v>74</v>
      </c>
    </row>
    <row r="8162" spans="1:66">
      <c r="A8162">
        <v>104601</v>
      </c>
      <c r="B8162" s="3" t="s">
        <v>683</v>
      </c>
      <c r="C8162" s="1">
        <v>43300101</v>
      </c>
      <c r="D8162" t="s">
        <v>67</v>
      </c>
      <c r="H8162" t="str">
        <f t="shared" si="807"/>
        <v>05791560633</v>
      </c>
      <c r="I8162" t="str">
        <f t="shared" si="807"/>
        <v>05791560633</v>
      </c>
      <c r="K8162" t="str">
        <f>""</f>
        <v/>
      </c>
      <c r="M8162" t="s">
        <v>68</v>
      </c>
      <c r="N8162" t="str">
        <f t="shared" si="806"/>
        <v>FOR</v>
      </c>
      <c r="O8162" t="s">
        <v>69</v>
      </c>
      <c r="P8162" s="3" t="s">
        <v>75</v>
      </c>
      <c r="Q8162">
        <v>2016</v>
      </c>
      <c r="R8162" s="2">
        <v>42493</v>
      </c>
      <c r="S8162" s="2">
        <v>42501</v>
      </c>
      <c r="T8162" s="2">
        <v>42496</v>
      </c>
      <c r="U8162" s="2">
        <v>42556</v>
      </c>
      <c r="V8162" t="s">
        <v>71</v>
      </c>
      <c r="W8162" t="str">
        <f>"              V2-569"</f>
        <v xml:space="preserve">              V2-569</v>
      </c>
      <c r="X8162">
        <v>317.2</v>
      </c>
      <c r="Y8162">
        <v>0</v>
      </c>
      <c r="Z8162" s="3">
        <v>260</v>
      </c>
      <c r="AA8162">
        <v>126</v>
      </c>
      <c r="AB8162" s="5">
        <v>32760</v>
      </c>
      <c r="AC8162">
        <v>260</v>
      </c>
      <c r="AD8162">
        <v>126</v>
      </c>
      <c r="AE8162" s="1">
        <v>32760</v>
      </c>
      <c r="AF8162">
        <v>0</v>
      </c>
      <c r="AJ8162">
        <v>0</v>
      </c>
      <c r="AK8162">
        <v>0</v>
      </c>
      <c r="AL8162">
        <v>0</v>
      </c>
      <c r="AM8162">
        <v>317.2</v>
      </c>
      <c r="AN8162">
        <v>317.2</v>
      </c>
      <c r="AO8162">
        <v>317.2</v>
      </c>
      <c r="AP8162" s="2">
        <v>42746</v>
      </c>
      <c r="AQ8162" t="s">
        <v>72</v>
      </c>
      <c r="AR8162" t="s">
        <v>72</v>
      </c>
      <c r="AS8162">
        <v>2989</v>
      </c>
      <c r="AT8162" s="4">
        <v>42682</v>
      </c>
      <c r="AU8162" t="s">
        <v>73</v>
      </c>
      <c r="AV8162">
        <v>2989</v>
      </c>
      <c r="AW8162" s="4">
        <v>42682</v>
      </c>
      <c r="BD8162">
        <v>0</v>
      </c>
      <c r="BN8162" t="s">
        <v>74</v>
      </c>
    </row>
    <row r="8163" spans="1:66">
      <c r="A8163">
        <v>104601</v>
      </c>
      <c r="B8163" s="3" t="s">
        <v>683</v>
      </c>
      <c r="C8163" s="1">
        <v>43300101</v>
      </c>
      <c r="D8163" t="s">
        <v>67</v>
      </c>
      <c r="H8163" t="str">
        <f t="shared" si="807"/>
        <v>05791560633</v>
      </c>
      <c r="I8163" t="str">
        <f t="shared" si="807"/>
        <v>05791560633</v>
      </c>
      <c r="K8163" t="str">
        <f>""</f>
        <v/>
      </c>
      <c r="M8163" t="s">
        <v>68</v>
      </c>
      <c r="N8163" t="str">
        <f t="shared" si="806"/>
        <v>FOR</v>
      </c>
      <c r="O8163" t="s">
        <v>69</v>
      </c>
      <c r="P8163" s="3" t="s">
        <v>75</v>
      </c>
      <c r="Q8163">
        <v>2016</v>
      </c>
      <c r="R8163" s="2">
        <v>42562</v>
      </c>
      <c r="S8163" s="2">
        <v>42563</v>
      </c>
      <c r="T8163" s="2">
        <v>42562</v>
      </c>
      <c r="U8163" s="2">
        <v>42622</v>
      </c>
      <c r="V8163" t="s">
        <v>71</v>
      </c>
      <c r="W8163" t="str">
        <f>"              V2-877"</f>
        <v xml:space="preserve">              V2-877</v>
      </c>
      <c r="X8163">
        <v>972.05</v>
      </c>
      <c r="Y8163">
        <v>0</v>
      </c>
      <c r="Z8163" s="3">
        <v>796.76</v>
      </c>
      <c r="AA8163">
        <v>60</v>
      </c>
      <c r="AB8163" s="5">
        <v>47805.599999999999</v>
      </c>
      <c r="AC8163">
        <v>796.76</v>
      </c>
      <c r="AD8163">
        <v>60</v>
      </c>
      <c r="AE8163" s="1">
        <v>47805.599999999999</v>
      </c>
      <c r="AF8163">
        <v>0</v>
      </c>
      <c r="AJ8163">
        <v>0</v>
      </c>
      <c r="AK8163">
        <v>0</v>
      </c>
      <c r="AL8163">
        <v>0</v>
      </c>
      <c r="AM8163">
        <v>972.05</v>
      </c>
      <c r="AN8163">
        <v>972.05</v>
      </c>
      <c r="AO8163">
        <v>972.05</v>
      </c>
      <c r="AP8163" s="2">
        <v>42746</v>
      </c>
      <c r="AQ8163" t="s">
        <v>72</v>
      </c>
      <c r="AR8163" t="s">
        <v>72</v>
      </c>
      <c r="AS8163">
        <v>2989</v>
      </c>
      <c r="AT8163" s="4">
        <v>42682</v>
      </c>
      <c r="AU8163" t="s">
        <v>73</v>
      </c>
      <c r="AV8163">
        <v>2989</v>
      </c>
      <c r="AW8163" s="4">
        <v>42682</v>
      </c>
      <c r="BD8163">
        <v>0</v>
      </c>
      <c r="BN8163" t="s">
        <v>74</v>
      </c>
    </row>
    <row r="8164" spans="1:66">
      <c r="A8164">
        <v>104601</v>
      </c>
      <c r="B8164" s="3" t="s">
        <v>683</v>
      </c>
      <c r="C8164" s="1">
        <v>43300101</v>
      </c>
      <c r="D8164" t="s">
        <v>67</v>
      </c>
      <c r="H8164" t="str">
        <f t="shared" si="807"/>
        <v>05791560633</v>
      </c>
      <c r="I8164" t="str">
        <f t="shared" si="807"/>
        <v>05791560633</v>
      </c>
      <c r="K8164" t="str">
        <f>""</f>
        <v/>
      </c>
      <c r="M8164" t="s">
        <v>68</v>
      </c>
      <c r="N8164" t="str">
        <f t="shared" si="806"/>
        <v>FOR</v>
      </c>
      <c r="O8164" t="s">
        <v>69</v>
      </c>
      <c r="P8164" s="3" t="s">
        <v>75</v>
      </c>
      <c r="Q8164">
        <v>2016</v>
      </c>
      <c r="R8164" s="2">
        <v>42570</v>
      </c>
      <c r="S8164" s="2">
        <v>42577</v>
      </c>
      <c r="T8164" s="2">
        <v>42572</v>
      </c>
      <c r="U8164" s="2">
        <v>42632</v>
      </c>
      <c r="V8164" t="s">
        <v>71</v>
      </c>
      <c r="W8164" t="str">
        <f>"              V2-916"</f>
        <v xml:space="preserve">              V2-916</v>
      </c>
      <c r="X8164" s="1">
        <v>1268.8</v>
      </c>
      <c r="Y8164">
        <v>0</v>
      </c>
      <c r="Z8164" s="5">
        <v>1040</v>
      </c>
      <c r="AA8164">
        <v>50</v>
      </c>
      <c r="AB8164" s="5">
        <v>52000</v>
      </c>
      <c r="AC8164" s="1">
        <v>1040</v>
      </c>
      <c r="AD8164">
        <v>50</v>
      </c>
      <c r="AE8164" s="1">
        <v>52000</v>
      </c>
      <c r="AF8164">
        <v>0</v>
      </c>
      <c r="AJ8164">
        <v>0</v>
      </c>
      <c r="AK8164">
        <v>0</v>
      </c>
      <c r="AL8164">
        <v>0</v>
      </c>
      <c r="AM8164" s="1">
        <v>1268.8</v>
      </c>
      <c r="AN8164" s="1">
        <v>1268.8</v>
      </c>
      <c r="AO8164" s="1">
        <v>1268.8</v>
      </c>
      <c r="AP8164" s="2">
        <v>42746</v>
      </c>
      <c r="AQ8164" t="s">
        <v>72</v>
      </c>
      <c r="AR8164" t="s">
        <v>72</v>
      </c>
      <c r="AS8164">
        <v>2989</v>
      </c>
      <c r="AT8164" s="4">
        <v>42682</v>
      </c>
      <c r="AU8164" t="s">
        <v>73</v>
      </c>
      <c r="AV8164">
        <v>2989</v>
      </c>
      <c r="AW8164" s="4">
        <v>42682</v>
      </c>
      <c r="BD8164">
        <v>0</v>
      </c>
      <c r="BN8164" t="s">
        <v>74</v>
      </c>
    </row>
    <row r="8165" spans="1:66" hidden="1">
      <c r="A8165">
        <v>104614</v>
      </c>
      <c r="B8165" s="3" t="s">
        <v>684</v>
      </c>
      <c r="C8165" s="1">
        <v>43300101</v>
      </c>
      <c r="D8165" t="s">
        <v>67</v>
      </c>
      <c r="H8165" t="str">
        <f>"03992220966"</f>
        <v>03992220966</v>
      </c>
      <c r="I8165" t="str">
        <f>"03992220966"</f>
        <v>03992220966</v>
      </c>
      <c r="K8165" t="str">
        <f>""</f>
        <v/>
      </c>
      <c r="M8165" t="s">
        <v>68</v>
      </c>
      <c r="N8165" t="str">
        <f t="shared" si="806"/>
        <v>FOR</v>
      </c>
      <c r="O8165" t="s">
        <v>69</v>
      </c>
      <c r="P8165" s="3" t="s">
        <v>70</v>
      </c>
      <c r="Q8165">
        <v>2015</v>
      </c>
      <c r="R8165" s="2">
        <v>42066</v>
      </c>
      <c r="S8165" s="2">
        <v>42088</v>
      </c>
      <c r="T8165" s="2">
        <v>42088</v>
      </c>
      <c r="U8165" s="2">
        <v>42148</v>
      </c>
      <c r="V8165" t="s">
        <v>71</v>
      </c>
      <c r="W8165" t="str">
        <f>"          3059011033"</f>
        <v xml:space="preserve">          3059011033</v>
      </c>
      <c r="X8165" s="1">
        <v>6405</v>
      </c>
      <c r="Y8165">
        <v>0</v>
      </c>
      <c r="Z8165"/>
      <c r="AB8165"/>
      <c r="AC8165" s="1">
        <v>5250</v>
      </c>
      <c r="AD8165">
        <v>256</v>
      </c>
      <c r="AE8165" s="1">
        <v>1344000</v>
      </c>
      <c r="AF8165">
        <v>0</v>
      </c>
      <c r="AJ8165">
        <v>0</v>
      </c>
      <c r="AK8165">
        <v>0</v>
      </c>
      <c r="AL8165">
        <v>0</v>
      </c>
      <c r="AM8165">
        <v>0</v>
      </c>
      <c r="AN8165">
        <v>0</v>
      </c>
      <c r="AO8165">
        <v>0</v>
      </c>
      <c r="AP8165" s="2">
        <v>42746</v>
      </c>
      <c r="AQ8165" t="s">
        <v>72</v>
      </c>
      <c r="AR8165" t="s">
        <v>72</v>
      </c>
      <c r="AS8165">
        <v>269</v>
      </c>
      <c r="AT8165" s="4">
        <v>42404</v>
      </c>
      <c r="AU8165" t="s">
        <v>73</v>
      </c>
      <c r="AV8165">
        <v>269</v>
      </c>
      <c r="AW8165" s="4">
        <v>42404</v>
      </c>
      <c r="BD8165">
        <v>0</v>
      </c>
      <c r="BN8165" t="s">
        <v>74</v>
      </c>
    </row>
    <row r="8166" spans="1:66">
      <c r="A8166">
        <v>104614</v>
      </c>
      <c r="B8166" s="3" t="s">
        <v>684</v>
      </c>
      <c r="C8166" s="1">
        <v>43300101</v>
      </c>
      <c r="D8166" t="s">
        <v>67</v>
      </c>
      <c r="H8166" t="str">
        <f>"03992220966"</f>
        <v>03992220966</v>
      </c>
      <c r="I8166" t="str">
        <f>"03992220966"</f>
        <v>03992220966</v>
      </c>
      <c r="K8166" t="str">
        <f>""</f>
        <v/>
      </c>
      <c r="M8166" t="s">
        <v>68</v>
      </c>
      <c r="N8166" t="str">
        <f t="shared" si="806"/>
        <v>FOR</v>
      </c>
      <c r="O8166" t="s">
        <v>69</v>
      </c>
      <c r="P8166" s="3" t="s">
        <v>75</v>
      </c>
      <c r="Q8166">
        <v>2016</v>
      </c>
      <c r="R8166" s="2">
        <v>42390</v>
      </c>
      <c r="S8166" s="2">
        <v>42402</v>
      </c>
      <c r="T8166" s="2">
        <v>42397</v>
      </c>
      <c r="U8166" s="2">
        <v>42457</v>
      </c>
      <c r="V8166" t="s">
        <v>71</v>
      </c>
      <c r="W8166" t="str">
        <f>"          3059023652"</f>
        <v xml:space="preserve">          3059023652</v>
      </c>
      <c r="X8166" s="1">
        <v>4575</v>
      </c>
      <c r="Y8166">
        <v>0</v>
      </c>
      <c r="Z8166" s="5">
        <v>3750</v>
      </c>
      <c r="AA8166">
        <v>225</v>
      </c>
      <c r="AB8166" s="5">
        <v>843750</v>
      </c>
      <c r="AC8166" s="1">
        <v>3750</v>
      </c>
      <c r="AD8166">
        <v>225</v>
      </c>
      <c r="AE8166" s="1">
        <v>843750</v>
      </c>
      <c r="AF8166">
        <v>0</v>
      </c>
      <c r="AJ8166">
        <v>0</v>
      </c>
      <c r="AK8166">
        <v>0</v>
      </c>
      <c r="AL8166">
        <v>0</v>
      </c>
      <c r="AM8166" s="1">
        <v>4575</v>
      </c>
      <c r="AN8166" s="1">
        <v>4575</v>
      </c>
      <c r="AO8166" s="1">
        <v>4575</v>
      </c>
      <c r="AP8166" s="2">
        <v>42746</v>
      </c>
      <c r="AQ8166" t="s">
        <v>72</v>
      </c>
      <c r="AR8166" t="s">
        <v>72</v>
      </c>
      <c r="AS8166">
        <v>2981</v>
      </c>
      <c r="AT8166" s="4">
        <v>42682</v>
      </c>
      <c r="AU8166" t="s">
        <v>73</v>
      </c>
      <c r="AV8166">
        <v>2981</v>
      </c>
      <c r="AW8166" s="4">
        <v>42682</v>
      </c>
      <c r="BD8166">
        <v>0</v>
      </c>
      <c r="BN8166" t="s">
        <v>74</v>
      </c>
    </row>
    <row r="8167" spans="1:66">
      <c r="A8167">
        <v>104630</v>
      </c>
      <c r="B8167" s="3" t="s">
        <v>685</v>
      </c>
      <c r="C8167" s="1">
        <v>43300101</v>
      </c>
      <c r="D8167" t="s">
        <v>67</v>
      </c>
      <c r="H8167" t="str">
        <f>"00435080304"</f>
        <v>00435080304</v>
      </c>
      <c r="I8167" t="str">
        <f>"00435080304"</f>
        <v>00435080304</v>
      </c>
      <c r="K8167" t="str">
        <f>""</f>
        <v/>
      </c>
      <c r="M8167" t="s">
        <v>68</v>
      </c>
      <c r="N8167" t="str">
        <f t="shared" si="806"/>
        <v>FOR</v>
      </c>
      <c r="O8167" t="s">
        <v>69</v>
      </c>
      <c r="P8167" s="3" t="s">
        <v>75</v>
      </c>
      <c r="Q8167">
        <v>2016</v>
      </c>
      <c r="R8167" s="2">
        <v>42489</v>
      </c>
      <c r="S8167" s="2">
        <v>42495</v>
      </c>
      <c r="T8167" s="2">
        <v>42494</v>
      </c>
      <c r="U8167" s="2">
        <v>42554</v>
      </c>
      <c r="V8167" t="s">
        <v>71</v>
      </c>
      <c r="W8167" t="str">
        <f>"           1670292/7"</f>
        <v xml:space="preserve">           1670292/7</v>
      </c>
      <c r="X8167" s="1">
        <v>1244.4000000000001</v>
      </c>
      <c r="Y8167">
        <v>0</v>
      </c>
      <c r="Z8167" s="5">
        <v>1020</v>
      </c>
      <c r="AA8167">
        <v>143</v>
      </c>
      <c r="AB8167" s="5">
        <v>145860</v>
      </c>
      <c r="AC8167" s="1">
        <v>1020</v>
      </c>
      <c r="AD8167">
        <v>143</v>
      </c>
      <c r="AE8167" s="1">
        <v>145860</v>
      </c>
      <c r="AF8167">
        <v>0</v>
      </c>
      <c r="AJ8167">
        <v>0</v>
      </c>
      <c r="AK8167">
        <v>0</v>
      </c>
      <c r="AL8167">
        <v>0</v>
      </c>
      <c r="AM8167" s="1">
        <v>1244.4000000000001</v>
      </c>
      <c r="AN8167" s="1">
        <v>1244.4000000000001</v>
      </c>
      <c r="AO8167" s="1">
        <v>1244.4000000000001</v>
      </c>
      <c r="AP8167" s="2">
        <v>42746</v>
      </c>
      <c r="AQ8167" t="s">
        <v>72</v>
      </c>
      <c r="AR8167" t="s">
        <v>72</v>
      </c>
      <c r="AS8167">
        <v>3294</v>
      </c>
      <c r="AT8167" s="4">
        <v>42697</v>
      </c>
      <c r="AU8167" t="s">
        <v>73</v>
      </c>
      <c r="AV8167">
        <v>3294</v>
      </c>
      <c r="AW8167" s="4">
        <v>42697</v>
      </c>
      <c r="BD8167">
        <v>0</v>
      </c>
      <c r="BN8167" t="s">
        <v>74</v>
      </c>
    </row>
    <row r="8168" spans="1:66" hidden="1">
      <c r="A8168">
        <v>104638</v>
      </c>
      <c r="B8168" s="3" t="s">
        <v>686</v>
      </c>
      <c r="C8168" s="1">
        <v>43300101</v>
      </c>
      <c r="D8168" t="s">
        <v>67</v>
      </c>
      <c r="H8168" t="str">
        <f t="shared" ref="H8168:I8175" si="808">"07960110158"</f>
        <v>07960110158</v>
      </c>
      <c r="I8168" t="str">
        <f t="shared" si="808"/>
        <v>07960110158</v>
      </c>
      <c r="K8168" t="str">
        <f>""</f>
        <v/>
      </c>
      <c r="M8168" t="s">
        <v>68</v>
      </c>
      <c r="N8168" t="str">
        <f t="shared" si="806"/>
        <v>FOR</v>
      </c>
      <c r="O8168" t="s">
        <v>69</v>
      </c>
      <c r="P8168" s="3" t="s">
        <v>78</v>
      </c>
      <c r="Q8168">
        <v>2007</v>
      </c>
      <c r="R8168" s="2">
        <v>39401</v>
      </c>
      <c r="S8168" s="2">
        <v>40787</v>
      </c>
      <c r="T8168" s="2">
        <v>40787</v>
      </c>
      <c r="U8168" s="2">
        <v>40877</v>
      </c>
      <c r="V8168" t="s">
        <v>71</v>
      </c>
      <c r="W8168" t="str">
        <f>"            90002604"</f>
        <v xml:space="preserve">            90002604</v>
      </c>
      <c r="X8168" s="1">
        <v>3196.96</v>
      </c>
      <c r="Y8168">
        <v>0</v>
      </c>
      <c r="Z8168"/>
      <c r="AB8168"/>
      <c r="AC8168" s="1">
        <v>3196.96</v>
      </c>
      <c r="AD8168">
        <v>1555</v>
      </c>
      <c r="AE8168" s="1">
        <v>4971272.8</v>
      </c>
      <c r="AF8168">
        <v>0</v>
      </c>
      <c r="AJ8168">
        <v>0</v>
      </c>
      <c r="AK8168">
        <v>0</v>
      </c>
      <c r="AL8168">
        <v>0</v>
      </c>
      <c r="AM8168">
        <v>0</v>
      </c>
      <c r="AN8168">
        <v>0</v>
      </c>
      <c r="AO8168">
        <v>0</v>
      </c>
      <c r="AP8168" s="2">
        <v>42746</v>
      </c>
      <c r="AQ8168" t="s">
        <v>72</v>
      </c>
      <c r="AR8168" t="s">
        <v>72</v>
      </c>
      <c r="AS8168">
        <v>645</v>
      </c>
      <c r="AT8168" s="4">
        <v>42432</v>
      </c>
      <c r="AU8168" t="s">
        <v>73</v>
      </c>
      <c r="AV8168">
        <v>645</v>
      </c>
      <c r="AW8168" s="4">
        <v>42432</v>
      </c>
      <c r="BD8168">
        <v>0</v>
      </c>
      <c r="BN8168" t="s">
        <v>74</v>
      </c>
    </row>
    <row r="8169" spans="1:66" hidden="1">
      <c r="A8169">
        <v>104638</v>
      </c>
      <c r="B8169" s="3" t="s">
        <v>686</v>
      </c>
      <c r="C8169" s="1">
        <v>43300101</v>
      </c>
      <c r="D8169" t="s">
        <v>67</v>
      </c>
      <c r="H8169" t="str">
        <f t="shared" si="808"/>
        <v>07960110158</v>
      </c>
      <c r="I8169" t="str">
        <f t="shared" si="808"/>
        <v>07960110158</v>
      </c>
      <c r="K8169" t="str">
        <f>""</f>
        <v/>
      </c>
      <c r="M8169" t="s">
        <v>68</v>
      </c>
      <c r="N8169" t="str">
        <f t="shared" si="806"/>
        <v>FOR</v>
      </c>
      <c r="O8169" t="s">
        <v>69</v>
      </c>
      <c r="P8169" s="3" t="s">
        <v>78</v>
      </c>
      <c r="Q8169">
        <v>2012</v>
      </c>
      <c r="R8169" s="2">
        <v>40952</v>
      </c>
      <c r="S8169" s="2">
        <v>40980</v>
      </c>
      <c r="T8169" s="2">
        <v>40980</v>
      </c>
      <c r="U8169" s="2">
        <v>41070</v>
      </c>
      <c r="V8169" t="s">
        <v>71</v>
      </c>
      <c r="W8169" t="str">
        <f>"            90000281"</f>
        <v xml:space="preserve">            90000281</v>
      </c>
      <c r="X8169" s="1">
        <v>1642.85</v>
      </c>
      <c r="Y8169">
        <v>0</v>
      </c>
      <c r="Z8169"/>
      <c r="AB8169"/>
      <c r="AC8169" s="1">
        <v>1642.85</v>
      </c>
      <c r="AD8169">
        <v>1362</v>
      </c>
      <c r="AE8169" s="1">
        <v>2237561.7000000002</v>
      </c>
      <c r="AF8169">
        <v>0</v>
      </c>
      <c r="AJ8169">
        <v>0</v>
      </c>
      <c r="AK8169">
        <v>0</v>
      </c>
      <c r="AL8169">
        <v>0</v>
      </c>
      <c r="AM8169">
        <v>0</v>
      </c>
      <c r="AN8169">
        <v>0</v>
      </c>
      <c r="AO8169">
        <v>0</v>
      </c>
      <c r="AP8169" s="2">
        <v>42746</v>
      </c>
      <c r="AQ8169" t="s">
        <v>72</v>
      </c>
      <c r="AR8169" t="s">
        <v>72</v>
      </c>
      <c r="AS8169">
        <v>645</v>
      </c>
      <c r="AT8169" s="4">
        <v>42432</v>
      </c>
      <c r="AU8169" t="s">
        <v>73</v>
      </c>
      <c r="AV8169">
        <v>645</v>
      </c>
      <c r="AW8169" s="4">
        <v>42432</v>
      </c>
      <c r="BD8169">
        <v>0</v>
      </c>
      <c r="BN8169" t="s">
        <v>74</v>
      </c>
    </row>
    <row r="8170" spans="1:66" hidden="1">
      <c r="A8170">
        <v>104638</v>
      </c>
      <c r="B8170" s="3" t="s">
        <v>686</v>
      </c>
      <c r="C8170" s="1">
        <v>43300101</v>
      </c>
      <c r="D8170" t="s">
        <v>67</v>
      </c>
      <c r="H8170" t="str">
        <f t="shared" si="808"/>
        <v>07960110158</v>
      </c>
      <c r="I8170" t="str">
        <f t="shared" si="808"/>
        <v>07960110158</v>
      </c>
      <c r="K8170" t="str">
        <f>""</f>
        <v/>
      </c>
      <c r="M8170" t="s">
        <v>68</v>
      </c>
      <c r="N8170" t="str">
        <f t="shared" si="806"/>
        <v>FOR</v>
      </c>
      <c r="O8170" t="s">
        <v>69</v>
      </c>
      <c r="P8170" s="3" t="s">
        <v>78</v>
      </c>
      <c r="Q8170">
        <v>2013</v>
      </c>
      <c r="R8170" s="2">
        <v>41305</v>
      </c>
      <c r="S8170" s="2">
        <v>41325</v>
      </c>
      <c r="T8170" s="2">
        <v>41325</v>
      </c>
      <c r="U8170" s="2">
        <v>41415</v>
      </c>
      <c r="V8170" t="s">
        <v>71</v>
      </c>
      <c r="W8170" t="str">
        <f>"            90000199"</f>
        <v xml:space="preserve">            90000199</v>
      </c>
      <c r="X8170" s="1">
        <v>2232.92</v>
      </c>
      <c r="Y8170">
        <v>0</v>
      </c>
      <c r="Z8170"/>
      <c r="AB8170"/>
      <c r="AC8170" s="1">
        <v>2232.92</v>
      </c>
      <c r="AD8170">
        <v>1017</v>
      </c>
      <c r="AE8170" s="1">
        <v>2270879.64</v>
      </c>
      <c r="AF8170">
        <v>0</v>
      </c>
      <c r="AJ8170">
        <v>0</v>
      </c>
      <c r="AK8170">
        <v>0</v>
      </c>
      <c r="AL8170">
        <v>0</v>
      </c>
      <c r="AM8170">
        <v>0</v>
      </c>
      <c r="AN8170">
        <v>0</v>
      </c>
      <c r="AO8170">
        <v>0</v>
      </c>
      <c r="AP8170" s="2">
        <v>42746</v>
      </c>
      <c r="AQ8170" t="s">
        <v>72</v>
      </c>
      <c r="AR8170" t="s">
        <v>72</v>
      </c>
      <c r="AS8170">
        <v>645</v>
      </c>
      <c r="AT8170" s="4">
        <v>42432</v>
      </c>
      <c r="AU8170" t="s">
        <v>73</v>
      </c>
      <c r="AV8170">
        <v>645</v>
      </c>
      <c r="AW8170" s="4">
        <v>42432</v>
      </c>
      <c r="BD8170">
        <v>0</v>
      </c>
      <c r="BN8170" t="s">
        <v>74</v>
      </c>
    </row>
    <row r="8171" spans="1:66" hidden="1">
      <c r="A8171">
        <v>104638</v>
      </c>
      <c r="B8171" s="3" t="s">
        <v>686</v>
      </c>
      <c r="C8171" s="1">
        <v>43300101</v>
      </c>
      <c r="D8171" t="s">
        <v>67</v>
      </c>
      <c r="H8171" t="str">
        <f t="shared" si="808"/>
        <v>07960110158</v>
      </c>
      <c r="I8171" t="str">
        <f t="shared" si="808"/>
        <v>07960110158</v>
      </c>
      <c r="K8171" t="str">
        <f>""</f>
        <v/>
      </c>
      <c r="M8171" t="s">
        <v>68</v>
      </c>
      <c r="N8171" t="str">
        <f t="shared" si="806"/>
        <v>FOR</v>
      </c>
      <c r="O8171" t="s">
        <v>69</v>
      </c>
      <c r="P8171" s="3" t="s">
        <v>78</v>
      </c>
      <c r="Q8171">
        <v>2013</v>
      </c>
      <c r="R8171" s="2">
        <v>41394</v>
      </c>
      <c r="S8171" s="2">
        <v>41404</v>
      </c>
      <c r="T8171" s="2">
        <v>41404</v>
      </c>
      <c r="U8171" s="2">
        <v>41494</v>
      </c>
      <c r="V8171" t="s">
        <v>71</v>
      </c>
      <c r="W8171" t="str">
        <f>"            90000718"</f>
        <v xml:space="preserve">            90000718</v>
      </c>
      <c r="X8171">
        <v>450.57</v>
      </c>
      <c r="Y8171">
        <v>0</v>
      </c>
      <c r="Z8171"/>
      <c r="AB8171"/>
      <c r="AC8171">
        <v>450.57</v>
      </c>
      <c r="AD8171">
        <v>938</v>
      </c>
      <c r="AE8171" s="1">
        <v>422634.66</v>
      </c>
      <c r="AF8171">
        <v>0</v>
      </c>
      <c r="AJ8171">
        <v>0</v>
      </c>
      <c r="AK8171">
        <v>0</v>
      </c>
      <c r="AL8171">
        <v>0</v>
      </c>
      <c r="AM8171">
        <v>0</v>
      </c>
      <c r="AN8171">
        <v>0</v>
      </c>
      <c r="AO8171">
        <v>0</v>
      </c>
      <c r="AP8171" s="2">
        <v>42746</v>
      </c>
      <c r="AQ8171" t="s">
        <v>72</v>
      </c>
      <c r="AR8171" t="s">
        <v>72</v>
      </c>
      <c r="AS8171">
        <v>645</v>
      </c>
      <c r="AT8171" s="4">
        <v>42432</v>
      </c>
      <c r="AU8171" t="s">
        <v>73</v>
      </c>
      <c r="AV8171">
        <v>645</v>
      </c>
      <c r="AW8171" s="4">
        <v>42432</v>
      </c>
      <c r="BD8171">
        <v>0</v>
      </c>
      <c r="BN8171" t="s">
        <v>74</v>
      </c>
    </row>
    <row r="8172" spans="1:66" hidden="1">
      <c r="A8172">
        <v>104638</v>
      </c>
      <c r="B8172" s="3" t="s">
        <v>686</v>
      </c>
      <c r="C8172" s="1">
        <v>43300101</v>
      </c>
      <c r="D8172" t="s">
        <v>67</v>
      </c>
      <c r="H8172" t="str">
        <f t="shared" si="808"/>
        <v>07960110158</v>
      </c>
      <c r="I8172" t="str">
        <f t="shared" si="808"/>
        <v>07960110158</v>
      </c>
      <c r="K8172" t="str">
        <f>""</f>
        <v/>
      </c>
      <c r="M8172" t="s">
        <v>68</v>
      </c>
      <c r="N8172" t="str">
        <f t="shared" si="806"/>
        <v>FOR</v>
      </c>
      <c r="O8172" t="s">
        <v>69</v>
      </c>
      <c r="P8172" s="3" t="s">
        <v>78</v>
      </c>
      <c r="Q8172">
        <v>2013</v>
      </c>
      <c r="R8172" s="2">
        <v>41578</v>
      </c>
      <c r="S8172" s="2">
        <v>41603</v>
      </c>
      <c r="T8172" s="2">
        <v>41603</v>
      </c>
      <c r="U8172" s="2">
        <v>41693</v>
      </c>
      <c r="V8172" t="s">
        <v>71</v>
      </c>
      <c r="W8172" t="str">
        <f>"            90001857"</f>
        <v xml:space="preserve">            90001857</v>
      </c>
      <c r="X8172" s="1">
        <v>13793.72</v>
      </c>
      <c r="Y8172">
        <v>0</v>
      </c>
      <c r="Z8172"/>
      <c r="AB8172"/>
      <c r="AC8172" s="1">
        <v>13793.72</v>
      </c>
      <c r="AD8172">
        <v>739</v>
      </c>
      <c r="AE8172" s="1">
        <v>10193559.08</v>
      </c>
      <c r="AF8172">
        <v>0</v>
      </c>
      <c r="AJ8172">
        <v>0</v>
      </c>
      <c r="AK8172">
        <v>0</v>
      </c>
      <c r="AL8172">
        <v>0</v>
      </c>
      <c r="AM8172">
        <v>0</v>
      </c>
      <c r="AN8172">
        <v>0</v>
      </c>
      <c r="AO8172">
        <v>0</v>
      </c>
      <c r="AP8172" s="2">
        <v>42746</v>
      </c>
      <c r="AQ8172" t="s">
        <v>72</v>
      </c>
      <c r="AR8172" t="s">
        <v>72</v>
      </c>
      <c r="AS8172">
        <v>645</v>
      </c>
      <c r="AT8172" s="4">
        <v>42432</v>
      </c>
      <c r="AU8172" t="s">
        <v>73</v>
      </c>
      <c r="AV8172">
        <v>645</v>
      </c>
      <c r="AW8172" s="4">
        <v>42432</v>
      </c>
      <c r="BD8172">
        <v>0</v>
      </c>
      <c r="BN8172" t="s">
        <v>74</v>
      </c>
    </row>
    <row r="8173" spans="1:66" hidden="1">
      <c r="A8173">
        <v>104638</v>
      </c>
      <c r="B8173" s="3" t="s">
        <v>686</v>
      </c>
      <c r="C8173" s="1">
        <v>43300101</v>
      </c>
      <c r="D8173" t="s">
        <v>67</v>
      </c>
      <c r="H8173" t="str">
        <f t="shared" si="808"/>
        <v>07960110158</v>
      </c>
      <c r="I8173" t="str">
        <f t="shared" si="808"/>
        <v>07960110158</v>
      </c>
      <c r="K8173" t="str">
        <f>""</f>
        <v/>
      </c>
      <c r="M8173" t="s">
        <v>68</v>
      </c>
      <c r="N8173" t="str">
        <f t="shared" si="806"/>
        <v>FOR</v>
      </c>
      <c r="O8173" t="s">
        <v>69</v>
      </c>
      <c r="P8173" s="3" t="s">
        <v>78</v>
      </c>
      <c r="Q8173">
        <v>2014</v>
      </c>
      <c r="R8173" s="2">
        <v>41757</v>
      </c>
      <c r="S8173" s="2">
        <v>41821</v>
      </c>
      <c r="T8173" s="2">
        <v>41821</v>
      </c>
      <c r="U8173" s="2">
        <v>41911</v>
      </c>
      <c r="V8173" t="s">
        <v>71</v>
      </c>
      <c r="W8173" t="str">
        <f>"            90000770"</f>
        <v xml:space="preserve">            90000770</v>
      </c>
      <c r="X8173" s="1">
        <v>1340.55</v>
      </c>
      <c r="Y8173">
        <v>0</v>
      </c>
      <c r="Z8173"/>
      <c r="AB8173"/>
      <c r="AC8173" s="1">
        <v>1340.55</v>
      </c>
      <c r="AD8173">
        <v>521</v>
      </c>
      <c r="AE8173" s="1">
        <v>698426.55</v>
      </c>
      <c r="AF8173">
        <v>0</v>
      </c>
      <c r="AJ8173">
        <v>0</v>
      </c>
      <c r="AK8173">
        <v>0</v>
      </c>
      <c r="AL8173">
        <v>0</v>
      </c>
      <c r="AM8173">
        <v>0</v>
      </c>
      <c r="AN8173">
        <v>0</v>
      </c>
      <c r="AO8173">
        <v>0</v>
      </c>
      <c r="AP8173" s="2">
        <v>42746</v>
      </c>
      <c r="AQ8173" t="s">
        <v>72</v>
      </c>
      <c r="AR8173" t="s">
        <v>72</v>
      </c>
      <c r="AS8173">
        <v>645</v>
      </c>
      <c r="AT8173" s="4">
        <v>42432</v>
      </c>
      <c r="AU8173" t="s">
        <v>73</v>
      </c>
      <c r="AV8173">
        <v>645</v>
      </c>
      <c r="AW8173" s="4">
        <v>42432</v>
      </c>
      <c r="BD8173">
        <v>0</v>
      </c>
      <c r="BN8173" t="s">
        <v>74</v>
      </c>
    </row>
    <row r="8174" spans="1:66" hidden="1">
      <c r="A8174">
        <v>104638</v>
      </c>
      <c r="B8174" s="3" t="s">
        <v>686</v>
      </c>
      <c r="C8174" s="1">
        <v>43300101</v>
      </c>
      <c r="D8174" t="s">
        <v>67</v>
      </c>
      <c r="H8174" t="str">
        <f t="shared" si="808"/>
        <v>07960110158</v>
      </c>
      <c r="I8174" t="str">
        <f t="shared" si="808"/>
        <v>07960110158</v>
      </c>
      <c r="K8174" t="str">
        <f>""</f>
        <v/>
      </c>
      <c r="M8174" t="s">
        <v>68</v>
      </c>
      <c r="N8174" t="str">
        <f t="shared" si="806"/>
        <v>FOR</v>
      </c>
      <c r="O8174" t="s">
        <v>69</v>
      </c>
      <c r="P8174" s="3" t="s">
        <v>70</v>
      </c>
      <c r="Q8174">
        <v>2014</v>
      </c>
      <c r="R8174" s="2">
        <v>41848</v>
      </c>
      <c r="S8174" s="2">
        <v>41936</v>
      </c>
      <c r="T8174" s="2">
        <v>41936</v>
      </c>
      <c r="U8174" s="2">
        <v>41996</v>
      </c>
      <c r="V8174" t="s">
        <v>71</v>
      </c>
      <c r="W8174" t="str">
        <f>"            90001805"</f>
        <v xml:space="preserve">            90001805</v>
      </c>
      <c r="X8174" s="1">
        <v>43023.95</v>
      </c>
      <c r="Y8174">
        <v>0</v>
      </c>
      <c r="Z8174"/>
      <c r="AB8174"/>
      <c r="AC8174" s="1">
        <v>43023.95</v>
      </c>
      <c r="AD8174">
        <v>436</v>
      </c>
      <c r="AE8174" s="1">
        <v>18758442.199999999</v>
      </c>
      <c r="AF8174">
        <v>0</v>
      </c>
      <c r="AJ8174">
        <v>0</v>
      </c>
      <c r="AK8174">
        <v>0</v>
      </c>
      <c r="AL8174">
        <v>0</v>
      </c>
      <c r="AM8174">
        <v>0</v>
      </c>
      <c r="AN8174">
        <v>0</v>
      </c>
      <c r="AO8174">
        <v>0</v>
      </c>
      <c r="AP8174" s="2">
        <v>42746</v>
      </c>
      <c r="AQ8174" t="s">
        <v>72</v>
      </c>
      <c r="AR8174" t="s">
        <v>72</v>
      </c>
      <c r="AS8174">
        <v>645</v>
      </c>
      <c r="AT8174" s="4">
        <v>42432</v>
      </c>
      <c r="AU8174" t="s">
        <v>73</v>
      </c>
      <c r="AV8174">
        <v>645</v>
      </c>
      <c r="AW8174" s="4">
        <v>42432</v>
      </c>
      <c r="BD8174">
        <v>0</v>
      </c>
      <c r="BN8174" t="s">
        <v>74</v>
      </c>
    </row>
    <row r="8175" spans="1:66">
      <c r="A8175">
        <v>104638</v>
      </c>
      <c r="B8175" s="3" t="s">
        <v>686</v>
      </c>
      <c r="C8175" s="1">
        <v>43300101</v>
      </c>
      <c r="D8175" t="s">
        <v>67</v>
      </c>
      <c r="H8175" t="str">
        <f t="shared" si="808"/>
        <v>07960110158</v>
      </c>
      <c r="I8175" t="str">
        <f t="shared" si="808"/>
        <v>07960110158</v>
      </c>
      <c r="K8175" t="str">
        <f>""</f>
        <v/>
      </c>
      <c r="M8175" t="s">
        <v>68</v>
      </c>
      <c r="N8175" t="str">
        <f t="shared" si="806"/>
        <v>FOR</v>
      </c>
      <c r="O8175" t="s">
        <v>69</v>
      </c>
      <c r="P8175" s="3" t="s">
        <v>75</v>
      </c>
      <c r="Q8175">
        <v>2016</v>
      </c>
      <c r="R8175" s="2">
        <v>42670</v>
      </c>
      <c r="S8175" s="2">
        <v>42676</v>
      </c>
      <c r="T8175" s="2">
        <v>42671</v>
      </c>
      <c r="U8175" s="2">
        <v>42731</v>
      </c>
      <c r="V8175" t="s">
        <v>71</v>
      </c>
      <c r="W8175" t="str">
        <f>"            90007153"</f>
        <v xml:space="preserve">            90007153</v>
      </c>
      <c r="X8175" s="1">
        <v>3897.42</v>
      </c>
      <c r="Y8175">
        <v>0</v>
      </c>
      <c r="Z8175" s="5">
        <v>3897.42</v>
      </c>
      <c r="AA8175">
        <v>-42</v>
      </c>
      <c r="AB8175" s="5">
        <v>-163691.64000000001</v>
      </c>
      <c r="AC8175" s="1">
        <v>3897.42</v>
      </c>
      <c r="AD8175">
        <v>-42</v>
      </c>
      <c r="AE8175" s="1">
        <v>-163691.64000000001</v>
      </c>
      <c r="AF8175">
        <v>0</v>
      </c>
      <c r="AJ8175" s="1">
        <v>3897.42</v>
      </c>
      <c r="AK8175" s="1">
        <v>3897.42</v>
      </c>
      <c r="AL8175" s="1">
        <v>3897.42</v>
      </c>
      <c r="AM8175" s="1">
        <v>3897.42</v>
      </c>
      <c r="AN8175" s="1">
        <v>3897.42</v>
      </c>
      <c r="AO8175" s="1">
        <v>3897.42</v>
      </c>
      <c r="AP8175" s="2">
        <v>42746</v>
      </c>
      <c r="AQ8175" t="s">
        <v>72</v>
      </c>
      <c r="AR8175" t="s">
        <v>72</v>
      </c>
      <c r="AS8175">
        <v>3116</v>
      </c>
      <c r="AT8175" s="4">
        <v>42689</v>
      </c>
      <c r="AV8175">
        <v>3116</v>
      </c>
      <c r="AW8175" s="4">
        <v>42689</v>
      </c>
      <c r="BD8175">
        <v>0</v>
      </c>
      <c r="BN8175" t="s">
        <v>74</v>
      </c>
    </row>
    <row r="8176" spans="1:66" hidden="1">
      <c r="A8176">
        <v>104647</v>
      </c>
      <c r="B8176" s="3" t="s">
        <v>687</v>
      </c>
      <c r="C8176" s="1">
        <v>43300101</v>
      </c>
      <c r="D8176" t="s">
        <v>67</v>
      </c>
      <c r="H8176" t="str">
        <f t="shared" ref="H8176:I8204" si="809">"03531280968"</f>
        <v>03531280968</v>
      </c>
      <c r="I8176" t="str">
        <f t="shared" si="809"/>
        <v>03531280968</v>
      </c>
      <c r="K8176" t="str">
        <f>""</f>
        <v/>
      </c>
      <c r="M8176" t="s">
        <v>68</v>
      </c>
      <c r="N8176" t="str">
        <f t="shared" si="806"/>
        <v>FOR</v>
      </c>
      <c r="O8176" t="s">
        <v>69</v>
      </c>
      <c r="P8176" s="3" t="s">
        <v>78</v>
      </c>
      <c r="Q8176">
        <v>2014</v>
      </c>
      <c r="R8176" s="2">
        <v>41703</v>
      </c>
      <c r="S8176" s="2">
        <v>41724</v>
      </c>
      <c r="T8176" s="2">
        <v>41724</v>
      </c>
      <c r="U8176" s="2">
        <v>41814</v>
      </c>
      <c r="V8176" t="s">
        <v>71</v>
      </c>
      <c r="W8176" t="str">
        <f>"            14000357"</f>
        <v xml:space="preserve">            14000357</v>
      </c>
      <c r="X8176">
        <v>9.5</v>
      </c>
      <c r="Y8176">
        <v>0</v>
      </c>
      <c r="Z8176"/>
      <c r="AB8176"/>
      <c r="AC8176">
        <v>9.5</v>
      </c>
      <c r="AD8176">
        <v>807</v>
      </c>
      <c r="AE8176" s="1">
        <v>7666.5</v>
      </c>
      <c r="AF8176">
        <v>0</v>
      </c>
      <c r="AJ8176">
        <v>0</v>
      </c>
      <c r="AK8176">
        <v>0</v>
      </c>
      <c r="AL8176">
        <v>0</v>
      </c>
      <c r="AM8176">
        <v>0</v>
      </c>
      <c r="AN8176">
        <v>0</v>
      </c>
      <c r="AO8176">
        <v>0</v>
      </c>
      <c r="AP8176" s="2">
        <v>42746</v>
      </c>
      <c r="AQ8176" t="s">
        <v>72</v>
      </c>
      <c r="AR8176" t="s">
        <v>72</v>
      </c>
      <c r="AS8176">
        <v>2397</v>
      </c>
      <c r="AT8176" s="4">
        <v>42621</v>
      </c>
      <c r="AU8176" t="s">
        <v>73</v>
      </c>
      <c r="AV8176">
        <v>2397</v>
      </c>
      <c r="AW8176" s="4">
        <v>42621</v>
      </c>
      <c r="BD8176">
        <v>0</v>
      </c>
      <c r="BN8176" t="s">
        <v>74</v>
      </c>
    </row>
    <row r="8177" spans="1:66" hidden="1">
      <c r="A8177">
        <v>104647</v>
      </c>
      <c r="B8177" s="3" t="s">
        <v>687</v>
      </c>
      <c r="C8177" s="1">
        <v>43300101</v>
      </c>
      <c r="D8177" t="s">
        <v>67</v>
      </c>
      <c r="H8177" t="str">
        <f t="shared" si="809"/>
        <v>03531280968</v>
      </c>
      <c r="I8177" t="str">
        <f t="shared" si="809"/>
        <v>03531280968</v>
      </c>
      <c r="K8177" t="str">
        <f>""</f>
        <v/>
      </c>
      <c r="M8177" t="s">
        <v>68</v>
      </c>
      <c r="N8177" t="str">
        <f t="shared" si="806"/>
        <v>FOR</v>
      </c>
      <c r="O8177" t="s">
        <v>69</v>
      </c>
      <c r="P8177" s="3" t="s">
        <v>78</v>
      </c>
      <c r="Q8177">
        <v>2014</v>
      </c>
      <c r="R8177" s="2">
        <v>41703</v>
      </c>
      <c r="S8177" s="2">
        <v>41724</v>
      </c>
      <c r="T8177" s="2">
        <v>41724</v>
      </c>
      <c r="U8177" s="2">
        <v>41814</v>
      </c>
      <c r="V8177" t="s">
        <v>71</v>
      </c>
      <c r="W8177" t="str">
        <f>"            14000358"</f>
        <v xml:space="preserve">            14000358</v>
      </c>
      <c r="X8177">
        <v>19.010000000000002</v>
      </c>
      <c r="Y8177">
        <v>0</v>
      </c>
      <c r="Z8177"/>
      <c r="AB8177"/>
      <c r="AC8177">
        <v>19.010000000000002</v>
      </c>
      <c r="AD8177">
        <v>807</v>
      </c>
      <c r="AE8177" s="1">
        <v>15341.07</v>
      </c>
      <c r="AF8177">
        <v>0</v>
      </c>
      <c r="AJ8177">
        <v>0</v>
      </c>
      <c r="AK8177">
        <v>0</v>
      </c>
      <c r="AL8177">
        <v>0</v>
      </c>
      <c r="AM8177">
        <v>0</v>
      </c>
      <c r="AN8177">
        <v>0</v>
      </c>
      <c r="AO8177">
        <v>0</v>
      </c>
      <c r="AP8177" s="2">
        <v>42746</v>
      </c>
      <c r="AQ8177" t="s">
        <v>72</v>
      </c>
      <c r="AR8177" t="s">
        <v>72</v>
      </c>
      <c r="AS8177">
        <v>2397</v>
      </c>
      <c r="AT8177" s="4">
        <v>42621</v>
      </c>
      <c r="AU8177" t="s">
        <v>73</v>
      </c>
      <c r="AV8177">
        <v>2397</v>
      </c>
      <c r="AW8177" s="4">
        <v>42621</v>
      </c>
      <c r="BD8177">
        <v>0</v>
      </c>
      <c r="BN8177" t="s">
        <v>74</v>
      </c>
    </row>
    <row r="8178" spans="1:66" hidden="1">
      <c r="A8178">
        <v>104647</v>
      </c>
      <c r="B8178" s="3" t="s">
        <v>687</v>
      </c>
      <c r="C8178" s="1">
        <v>43300101</v>
      </c>
      <c r="D8178" t="s">
        <v>67</v>
      </c>
      <c r="H8178" t="str">
        <f t="shared" si="809"/>
        <v>03531280968</v>
      </c>
      <c r="I8178" t="str">
        <f t="shared" si="809"/>
        <v>03531280968</v>
      </c>
      <c r="K8178" t="str">
        <f>""</f>
        <v/>
      </c>
      <c r="M8178" t="s">
        <v>68</v>
      </c>
      <c r="N8178" t="str">
        <f t="shared" si="806"/>
        <v>FOR</v>
      </c>
      <c r="O8178" t="s">
        <v>69</v>
      </c>
      <c r="P8178" s="3" t="s">
        <v>75</v>
      </c>
      <c r="Q8178">
        <v>2015</v>
      </c>
      <c r="R8178" s="2">
        <v>42111</v>
      </c>
      <c r="S8178" s="2">
        <v>42121</v>
      </c>
      <c r="T8178" s="2">
        <v>42120</v>
      </c>
      <c r="U8178" s="2">
        <v>42180</v>
      </c>
      <c r="V8178" t="s">
        <v>71</v>
      </c>
      <c r="W8178" t="str">
        <f>"         RH/15000666"</f>
        <v xml:space="preserve">         RH/15000666</v>
      </c>
      <c r="X8178">
        <v>109.82</v>
      </c>
      <c r="Y8178">
        <v>0</v>
      </c>
      <c r="Z8178"/>
      <c r="AB8178"/>
      <c r="AC8178">
        <v>99.84</v>
      </c>
      <c r="AD8178">
        <v>251</v>
      </c>
      <c r="AE8178" s="1">
        <v>25059.84</v>
      </c>
      <c r="AF8178">
        <v>0</v>
      </c>
      <c r="AJ8178">
        <v>0</v>
      </c>
      <c r="AK8178">
        <v>0</v>
      </c>
      <c r="AL8178">
        <v>0</v>
      </c>
      <c r="AM8178">
        <v>0</v>
      </c>
      <c r="AN8178">
        <v>0</v>
      </c>
      <c r="AO8178">
        <v>0</v>
      </c>
      <c r="AP8178" s="2">
        <v>42746</v>
      </c>
      <c r="AQ8178" t="s">
        <v>72</v>
      </c>
      <c r="AR8178" t="s">
        <v>72</v>
      </c>
      <c r="AS8178">
        <v>642</v>
      </c>
      <c r="AT8178" s="4">
        <v>42431</v>
      </c>
      <c r="AU8178" t="s">
        <v>73</v>
      </c>
      <c r="AV8178">
        <v>642</v>
      </c>
      <c r="AW8178" s="4">
        <v>42431</v>
      </c>
      <c r="BD8178">
        <v>0</v>
      </c>
      <c r="BN8178" t="s">
        <v>74</v>
      </c>
    </row>
    <row r="8179" spans="1:66" hidden="1">
      <c r="A8179">
        <v>104647</v>
      </c>
      <c r="B8179" s="3" t="s">
        <v>687</v>
      </c>
      <c r="C8179" s="1">
        <v>43300101</v>
      </c>
      <c r="D8179" t="s">
        <v>67</v>
      </c>
      <c r="H8179" t="str">
        <f t="shared" si="809"/>
        <v>03531280968</v>
      </c>
      <c r="I8179" t="str">
        <f t="shared" si="809"/>
        <v>03531280968</v>
      </c>
      <c r="K8179" t="str">
        <f>""</f>
        <v/>
      </c>
      <c r="M8179" t="s">
        <v>68</v>
      </c>
      <c r="N8179" t="str">
        <f t="shared" si="806"/>
        <v>FOR</v>
      </c>
      <c r="O8179" t="s">
        <v>69</v>
      </c>
      <c r="P8179" s="3" t="s">
        <v>75</v>
      </c>
      <c r="Q8179">
        <v>2015</v>
      </c>
      <c r="R8179" s="2">
        <v>42188</v>
      </c>
      <c r="S8179" s="2">
        <v>42192</v>
      </c>
      <c r="T8179" s="2">
        <v>42191</v>
      </c>
      <c r="U8179" s="2">
        <v>42251</v>
      </c>
      <c r="V8179" t="s">
        <v>71</v>
      </c>
      <c r="W8179" t="str">
        <f>"         RH/15001174"</f>
        <v xml:space="preserve">         RH/15001174</v>
      </c>
      <c r="X8179">
        <v>294.10000000000002</v>
      </c>
      <c r="Y8179">
        <v>0</v>
      </c>
      <c r="Z8179"/>
      <c r="AB8179"/>
      <c r="AC8179">
        <v>267.36</v>
      </c>
      <c r="AD8179">
        <v>180</v>
      </c>
      <c r="AE8179" s="1">
        <v>48124.800000000003</v>
      </c>
      <c r="AF8179">
        <v>0</v>
      </c>
      <c r="AJ8179">
        <v>0</v>
      </c>
      <c r="AK8179">
        <v>0</v>
      </c>
      <c r="AL8179">
        <v>0</v>
      </c>
      <c r="AM8179">
        <v>0</v>
      </c>
      <c r="AN8179">
        <v>0</v>
      </c>
      <c r="AO8179">
        <v>0</v>
      </c>
      <c r="AP8179" s="2">
        <v>42746</v>
      </c>
      <c r="AQ8179" t="s">
        <v>72</v>
      </c>
      <c r="AR8179" t="s">
        <v>72</v>
      </c>
      <c r="AS8179">
        <v>642</v>
      </c>
      <c r="AT8179" s="4">
        <v>42431</v>
      </c>
      <c r="AU8179" t="s">
        <v>73</v>
      </c>
      <c r="AV8179">
        <v>642</v>
      </c>
      <c r="AW8179" s="4">
        <v>42431</v>
      </c>
      <c r="BD8179">
        <v>0</v>
      </c>
      <c r="BN8179" t="s">
        <v>74</v>
      </c>
    </row>
    <row r="8180" spans="1:66" hidden="1">
      <c r="A8180">
        <v>104647</v>
      </c>
      <c r="B8180" s="3" t="s">
        <v>687</v>
      </c>
      <c r="C8180" s="1">
        <v>43300101</v>
      </c>
      <c r="D8180" t="s">
        <v>67</v>
      </c>
      <c r="H8180" t="str">
        <f t="shared" si="809"/>
        <v>03531280968</v>
      </c>
      <c r="I8180" t="str">
        <f t="shared" si="809"/>
        <v>03531280968</v>
      </c>
      <c r="K8180" t="str">
        <f>""</f>
        <v/>
      </c>
      <c r="M8180" t="s">
        <v>68</v>
      </c>
      <c r="N8180" t="str">
        <f t="shared" si="806"/>
        <v>FOR</v>
      </c>
      <c r="O8180" t="s">
        <v>69</v>
      </c>
      <c r="P8180" s="3" t="s">
        <v>75</v>
      </c>
      <c r="Q8180">
        <v>2015</v>
      </c>
      <c r="R8180" s="2">
        <v>42244</v>
      </c>
      <c r="S8180" s="2">
        <v>42254</v>
      </c>
      <c r="T8180" s="2">
        <v>42254</v>
      </c>
      <c r="U8180" s="2">
        <v>42314</v>
      </c>
      <c r="V8180" t="s">
        <v>71</v>
      </c>
      <c r="W8180" t="str">
        <f>"         RH/15001426"</f>
        <v xml:space="preserve">         RH/15001426</v>
      </c>
      <c r="X8180">
        <v>350.24</v>
      </c>
      <c r="Y8180">
        <v>0</v>
      </c>
      <c r="Z8180"/>
      <c r="AB8180"/>
      <c r="AC8180">
        <v>318.39999999999998</v>
      </c>
      <c r="AD8180">
        <v>117</v>
      </c>
      <c r="AE8180" s="1">
        <v>37252.800000000003</v>
      </c>
      <c r="AF8180">
        <v>0</v>
      </c>
      <c r="AJ8180">
        <v>0</v>
      </c>
      <c r="AK8180">
        <v>0</v>
      </c>
      <c r="AL8180">
        <v>0</v>
      </c>
      <c r="AM8180">
        <v>0</v>
      </c>
      <c r="AN8180">
        <v>0</v>
      </c>
      <c r="AO8180">
        <v>0</v>
      </c>
      <c r="AP8180" s="2">
        <v>42746</v>
      </c>
      <c r="AQ8180" t="s">
        <v>72</v>
      </c>
      <c r="AR8180" t="s">
        <v>72</v>
      </c>
      <c r="AS8180">
        <v>642</v>
      </c>
      <c r="AT8180" s="4">
        <v>42431</v>
      </c>
      <c r="AU8180" t="s">
        <v>73</v>
      </c>
      <c r="AV8180">
        <v>642</v>
      </c>
      <c r="AW8180" s="4">
        <v>42431</v>
      </c>
      <c r="BD8180">
        <v>0</v>
      </c>
      <c r="BN8180" t="s">
        <v>74</v>
      </c>
    </row>
    <row r="8181" spans="1:66" hidden="1">
      <c r="A8181">
        <v>104647</v>
      </c>
      <c r="B8181" s="3" t="s">
        <v>687</v>
      </c>
      <c r="C8181" s="1">
        <v>43300101</v>
      </c>
      <c r="D8181" t="s">
        <v>67</v>
      </c>
      <c r="H8181" t="str">
        <f t="shared" si="809"/>
        <v>03531280968</v>
      </c>
      <c r="I8181" t="str">
        <f t="shared" si="809"/>
        <v>03531280968</v>
      </c>
      <c r="K8181" t="str">
        <f>""</f>
        <v/>
      </c>
      <c r="M8181" t="s">
        <v>68</v>
      </c>
      <c r="N8181" t="str">
        <f t="shared" si="806"/>
        <v>FOR</v>
      </c>
      <c r="O8181" t="s">
        <v>69</v>
      </c>
      <c r="P8181" s="3" t="s">
        <v>75</v>
      </c>
      <c r="Q8181">
        <v>2015</v>
      </c>
      <c r="R8181" s="2">
        <v>42244</v>
      </c>
      <c r="S8181" s="2">
        <v>42254</v>
      </c>
      <c r="T8181" s="2">
        <v>42254</v>
      </c>
      <c r="U8181" s="2">
        <v>42314</v>
      </c>
      <c r="V8181" t="s">
        <v>71</v>
      </c>
      <c r="W8181" t="str">
        <f>"         RH/15001452"</f>
        <v xml:space="preserve">         RH/15001452</v>
      </c>
      <c r="X8181">
        <v>213.31</v>
      </c>
      <c r="Y8181">
        <v>0</v>
      </c>
      <c r="Z8181"/>
      <c r="AB8181"/>
      <c r="AC8181">
        <v>193.92</v>
      </c>
      <c r="AD8181">
        <v>117</v>
      </c>
      <c r="AE8181" s="1">
        <v>22688.639999999999</v>
      </c>
      <c r="AF8181">
        <v>0</v>
      </c>
      <c r="AJ8181">
        <v>0</v>
      </c>
      <c r="AK8181">
        <v>0</v>
      </c>
      <c r="AL8181">
        <v>0</v>
      </c>
      <c r="AM8181">
        <v>0</v>
      </c>
      <c r="AN8181">
        <v>0</v>
      </c>
      <c r="AO8181">
        <v>0</v>
      </c>
      <c r="AP8181" s="2">
        <v>42746</v>
      </c>
      <c r="AQ8181" t="s">
        <v>72</v>
      </c>
      <c r="AR8181" t="s">
        <v>72</v>
      </c>
      <c r="AS8181">
        <v>642</v>
      </c>
      <c r="AT8181" s="4">
        <v>42431</v>
      </c>
      <c r="AU8181" t="s">
        <v>73</v>
      </c>
      <c r="AV8181">
        <v>642</v>
      </c>
      <c r="AW8181" s="4">
        <v>42431</v>
      </c>
      <c r="BD8181">
        <v>0</v>
      </c>
      <c r="BN8181" t="s">
        <v>74</v>
      </c>
    </row>
    <row r="8182" spans="1:66" hidden="1">
      <c r="A8182">
        <v>104647</v>
      </c>
      <c r="B8182" s="3" t="s">
        <v>687</v>
      </c>
      <c r="C8182" s="1">
        <v>43300101</v>
      </c>
      <c r="D8182" t="s">
        <v>67</v>
      </c>
      <c r="H8182" t="str">
        <f t="shared" si="809"/>
        <v>03531280968</v>
      </c>
      <c r="I8182" t="str">
        <f t="shared" si="809"/>
        <v>03531280968</v>
      </c>
      <c r="K8182" t="str">
        <f>""</f>
        <v/>
      </c>
      <c r="M8182" t="s">
        <v>68</v>
      </c>
      <c r="N8182" t="str">
        <f t="shared" si="806"/>
        <v>FOR</v>
      </c>
      <c r="O8182" t="s">
        <v>69</v>
      </c>
      <c r="P8182" s="3" t="s">
        <v>75</v>
      </c>
      <c r="Q8182">
        <v>2015</v>
      </c>
      <c r="R8182" s="2">
        <v>42277</v>
      </c>
      <c r="S8182" s="2">
        <v>42291</v>
      </c>
      <c r="T8182" s="2">
        <v>42285</v>
      </c>
      <c r="U8182" s="2">
        <v>42345</v>
      </c>
      <c r="V8182" t="s">
        <v>71</v>
      </c>
      <c r="W8182" t="str">
        <f>"         RH/15001607"</f>
        <v xml:space="preserve">         RH/15001607</v>
      </c>
      <c r="X8182">
        <v>350.24</v>
      </c>
      <c r="Y8182">
        <v>0</v>
      </c>
      <c r="Z8182"/>
      <c r="AB8182"/>
      <c r="AC8182">
        <v>318.39999999999998</v>
      </c>
      <c r="AD8182">
        <v>86</v>
      </c>
      <c r="AE8182" s="1">
        <v>27382.400000000001</v>
      </c>
      <c r="AF8182">
        <v>0</v>
      </c>
      <c r="AJ8182">
        <v>0</v>
      </c>
      <c r="AK8182">
        <v>0</v>
      </c>
      <c r="AL8182">
        <v>0</v>
      </c>
      <c r="AM8182">
        <v>0</v>
      </c>
      <c r="AN8182">
        <v>0</v>
      </c>
      <c r="AO8182">
        <v>0</v>
      </c>
      <c r="AP8182" s="2">
        <v>42746</v>
      </c>
      <c r="AQ8182" t="s">
        <v>72</v>
      </c>
      <c r="AR8182" t="s">
        <v>72</v>
      </c>
      <c r="AS8182">
        <v>642</v>
      </c>
      <c r="AT8182" s="4">
        <v>42431</v>
      </c>
      <c r="AU8182" t="s">
        <v>73</v>
      </c>
      <c r="AV8182">
        <v>642</v>
      </c>
      <c r="AW8182" s="4">
        <v>42431</v>
      </c>
      <c r="BD8182">
        <v>0</v>
      </c>
      <c r="BN8182" t="s">
        <v>74</v>
      </c>
    </row>
    <row r="8183" spans="1:66" hidden="1">
      <c r="A8183">
        <v>104647</v>
      </c>
      <c r="B8183" s="3" t="s">
        <v>687</v>
      </c>
      <c r="C8183" s="1">
        <v>43300101</v>
      </c>
      <c r="D8183" t="s">
        <v>67</v>
      </c>
      <c r="H8183" t="str">
        <f t="shared" si="809"/>
        <v>03531280968</v>
      </c>
      <c r="I8183" t="str">
        <f t="shared" si="809"/>
        <v>03531280968</v>
      </c>
      <c r="K8183" t="str">
        <f>""</f>
        <v/>
      </c>
      <c r="M8183" t="s">
        <v>68</v>
      </c>
      <c r="N8183" t="str">
        <f t="shared" ref="N8183:N8214" si="810">"FOR"</f>
        <v>FOR</v>
      </c>
      <c r="O8183" t="s">
        <v>69</v>
      </c>
      <c r="P8183" s="3" t="s">
        <v>75</v>
      </c>
      <c r="Q8183">
        <v>2015</v>
      </c>
      <c r="R8183" s="2">
        <v>42277</v>
      </c>
      <c r="S8183" s="2">
        <v>42289</v>
      </c>
      <c r="T8183" s="2">
        <v>42285</v>
      </c>
      <c r="U8183" s="2">
        <v>42345</v>
      </c>
      <c r="V8183" t="s">
        <v>71</v>
      </c>
      <c r="W8183" t="str">
        <f>"         RH/15001632"</f>
        <v xml:space="preserve">         RH/15001632</v>
      </c>
      <c r="X8183">
        <v>109.82</v>
      </c>
      <c r="Y8183">
        <v>0</v>
      </c>
      <c r="Z8183"/>
      <c r="AB8183"/>
      <c r="AC8183">
        <v>99.84</v>
      </c>
      <c r="AD8183">
        <v>86</v>
      </c>
      <c r="AE8183" s="1">
        <v>8586.24</v>
      </c>
      <c r="AF8183">
        <v>0</v>
      </c>
      <c r="AJ8183">
        <v>0</v>
      </c>
      <c r="AK8183">
        <v>0</v>
      </c>
      <c r="AL8183">
        <v>0</v>
      </c>
      <c r="AM8183">
        <v>0</v>
      </c>
      <c r="AN8183">
        <v>0</v>
      </c>
      <c r="AO8183">
        <v>0</v>
      </c>
      <c r="AP8183" s="2">
        <v>42746</v>
      </c>
      <c r="AQ8183" t="s">
        <v>72</v>
      </c>
      <c r="AR8183" t="s">
        <v>72</v>
      </c>
      <c r="AS8183">
        <v>642</v>
      </c>
      <c r="AT8183" s="4">
        <v>42431</v>
      </c>
      <c r="AU8183" t="s">
        <v>73</v>
      </c>
      <c r="AV8183">
        <v>642</v>
      </c>
      <c r="AW8183" s="4">
        <v>42431</v>
      </c>
      <c r="BD8183">
        <v>0</v>
      </c>
      <c r="BN8183" t="s">
        <v>74</v>
      </c>
    </row>
    <row r="8184" spans="1:66" hidden="1">
      <c r="A8184">
        <v>104647</v>
      </c>
      <c r="B8184" s="3" t="s">
        <v>687</v>
      </c>
      <c r="C8184" s="1">
        <v>43300101</v>
      </c>
      <c r="D8184" t="s">
        <v>67</v>
      </c>
      <c r="H8184" t="str">
        <f t="shared" si="809"/>
        <v>03531280968</v>
      </c>
      <c r="I8184" t="str">
        <f t="shared" si="809"/>
        <v>03531280968</v>
      </c>
      <c r="K8184" t="str">
        <f>""</f>
        <v/>
      </c>
      <c r="M8184" t="s">
        <v>68</v>
      </c>
      <c r="N8184" t="str">
        <f t="shared" si="810"/>
        <v>FOR</v>
      </c>
      <c r="O8184" t="s">
        <v>69</v>
      </c>
      <c r="P8184" s="3" t="s">
        <v>75</v>
      </c>
      <c r="Q8184">
        <v>2015</v>
      </c>
      <c r="R8184" s="2">
        <v>42306</v>
      </c>
      <c r="S8184" s="2">
        <v>42320</v>
      </c>
      <c r="T8184" s="2">
        <v>42319</v>
      </c>
      <c r="U8184" s="2">
        <v>42379</v>
      </c>
      <c r="V8184" t="s">
        <v>71</v>
      </c>
      <c r="W8184" t="str">
        <f>"         RH/15001681"</f>
        <v xml:space="preserve">         RH/15001681</v>
      </c>
      <c r="X8184">
        <v>213.31</v>
      </c>
      <c r="Y8184">
        <v>0</v>
      </c>
      <c r="Z8184"/>
      <c r="AB8184"/>
      <c r="AC8184">
        <v>193.92</v>
      </c>
      <c r="AD8184">
        <v>52</v>
      </c>
      <c r="AE8184" s="1">
        <v>10083.84</v>
      </c>
      <c r="AF8184">
        <v>0</v>
      </c>
      <c r="AJ8184">
        <v>0</v>
      </c>
      <c r="AK8184">
        <v>0</v>
      </c>
      <c r="AL8184">
        <v>0</v>
      </c>
      <c r="AM8184">
        <v>0</v>
      </c>
      <c r="AN8184">
        <v>0</v>
      </c>
      <c r="AO8184">
        <v>0</v>
      </c>
      <c r="AP8184" s="2">
        <v>42746</v>
      </c>
      <c r="AQ8184" t="s">
        <v>72</v>
      </c>
      <c r="AR8184" t="s">
        <v>72</v>
      </c>
      <c r="AS8184">
        <v>642</v>
      </c>
      <c r="AT8184" s="4">
        <v>42431</v>
      </c>
      <c r="AU8184" t="s">
        <v>73</v>
      </c>
      <c r="AV8184">
        <v>642</v>
      </c>
      <c r="AW8184" s="4">
        <v>42431</v>
      </c>
      <c r="BD8184">
        <v>0</v>
      </c>
      <c r="BN8184" t="s">
        <v>74</v>
      </c>
    </row>
    <row r="8185" spans="1:66" hidden="1">
      <c r="A8185">
        <v>104647</v>
      </c>
      <c r="B8185" s="3" t="s">
        <v>687</v>
      </c>
      <c r="C8185" s="1">
        <v>43300101</v>
      </c>
      <c r="D8185" t="s">
        <v>67</v>
      </c>
      <c r="H8185" t="str">
        <f t="shared" si="809"/>
        <v>03531280968</v>
      </c>
      <c r="I8185" t="str">
        <f t="shared" si="809"/>
        <v>03531280968</v>
      </c>
      <c r="K8185" t="str">
        <f>""</f>
        <v/>
      </c>
      <c r="M8185" t="s">
        <v>68</v>
      </c>
      <c r="N8185" t="str">
        <f t="shared" si="810"/>
        <v>FOR</v>
      </c>
      <c r="O8185" t="s">
        <v>69</v>
      </c>
      <c r="P8185" s="3" t="s">
        <v>75</v>
      </c>
      <c r="Q8185">
        <v>2015</v>
      </c>
      <c r="R8185" s="2">
        <v>42319</v>
      </c>
      <c r="S8185" s="2">
        <v>42345</v>
      </c>
      <c r="T8185" s="2">
        <v>42342</v>
      </c>
      <c r="U8185" s="2">
        <v>42402</v>
      </c>
      <c r="V8185" t="s">
        <v>71</v>
      </c>
      <c r="W8185" t="str">
        <f>"         RH/15001857"</f>
        <v xml:space="preserve">         RH/15001857</v>
      </c>
      <c r="X8185">
        <v>350.24</v>
      </c>
      <c r="Y8185">
        <v>0</v>
      </c>
      <c r="Z8185"/>
      <c r="AB8185"/>
      <c r="AC8185">
        <v>318.39999999999998</v>
      </c>
      <c r="AD8185">
        <v>29</v>
      </c>
      <c r="AE8185" s="1">
        <v>9233.6</v>
      </c>
      <c r="AF8185">
        <v>0</v>
      </c>
      <c r="AJ8185">
        <v>0</v>
      </c>
      <c r="AK8185">
        <v>0</v>
      </c>
      <c r="AL8185">
        <v>0</v>
      </c>
      <c r="AM8185">
        <v>0</v>
      </c>
      <c r="AN8185">
        <v>0</v>
      </c>
      <c r="AO8185">
        <v>0</v>
      </c>
      <c r="AP8185" s="2">
        <v>42746</v>
      </c>
      <c r="AQ8185" t="s">
        <v>72</v>
      </c>
      <c r="AR8185" t="s">
        <v>72</v>
      </c>
      <c r="AS8185">
        <v>642</v>
      </c>
      <c r="AT8185" s="4">
        <v>42431</v>
      </c>
      <c r="AU8185" t="s">
        <v>73</v>
      </c>
      <c r="AV8185">
        <v>642</v>
      </c>
      <c r="AW8185" s="4">
        <v>42431</v>
      </c>
      <c r="BD8185">
        <v>0</v>
      </c>
      <c r="BN8185" t="s">
        <v>74</v>
      </c>
    </row>
    <row r="8186" spans="1:66" hidden="1">
      <c r="A8186">
        <v>104647</v>
      </c>
      <c r="B8186" s="3" t="s">
        <v>687</v>
      </c>
      <c r="C8186" s="1">
        <v>43300101</v>
      </c>
      <c r="D8186" t="s">
        <v>67</v>
      </c>
      <c r="H8186" t="str">
        <f t="shared" si="809"/>
        <v>03531280968</v>
      </c>
      <c r="I8186" t="str">
        <f t="shared" si="809"/>
        <v>03531280968</v>
      </c>
      <c r="K8186" t="str">
        <f>""</f>
        <v/>
      </c>
      <c r="M8186" t="s">
        <v>68</v>
      </c>
      <c r="N8186" t="str">
        <f t="shared" si="810"/>
        <v>FOR</v>
      </c>
      <c r="O8186" t="s">
        <v>69</v>
      </c>
      <c r="P8186" s="3" t="s">
        <v>75</v>
      </c>
      <c r="Q8186">
        <v>2016</v>
      </c>
      <c r="R8186" s="2">
        <v>42412</v>
      </c>
      <c r="S8186" s="2">
        <v>42425</v>
      </c>
      <c r="T8186" s="2">
        <v>42422</v>
      </c>
      <c r="U8186" s="2">
        <v>42482</v>
      </c>
      <c r="V8186" t="s">
        <v>71</v>
      </c>
      <c r="W8186" t="str">
        <f>"         RH/16000151"</f>
        <v xml:space="preserve">         RH/16000151</v>
      </c>
      <c r="X8186">
        <v>213.31</v>
      </c>
      <c r="Y8186">
        <v>0</v>
      </c>
      <c r="Z8186"/>
      <c r="AB8186"/>
      <c r="AC8186">
        <v>193.92</v>
      </c>
      <c r="AD8186">
        <v>139</v>
      </c>
      <c r="AE8186" s="1">
        <v>26954.880000000001</v>
      </c>
      <c r="AF8186">
        <v>0</v>
      </c>
      <c r="AJ8186">
        <v>0</v>
      </c>
      <c r="AK8186">
        <v>0</v>
      </c>
      <c r="AL8186">
        <v>0</v>
      </c>
      <c r="AM8186">
        <v>213.31</v>
      </c>
      <c r="AN8186">
        <v>213.31</v>
      </c>
      <c r="AO8186">
        <v>213.31</v>
      </c>
      <c r="AP8186" s="2">
        <v>42746</v>
      </c>
      <c r="AQ8186" t="s">
        <v>72</v>
      </c>
      <c r="AR8186" t="s">
        <v>72</v>
      </c>
      <c r="AS8186">
        <v>2397</v>
      </c>
      <c r="AT8186" s="4">
        <v>42621</v>
      </c>
      <c r="AU8186" t="s">
        <v>73</v>
      </c>
      <c r="AV8186">
        <v>2397</v>
      </c>
      <c r="AW8186" s="4">
        <v>42621</v>
      </c>
      <c r="BD8186">
        <v>0</v>
      </c>
      <c r="BN8186" t="s">
        <v>74</v>
      </c>
    </row>
    <row r="8187" spans="1:66" hidden="1">
      <c r="A8187">
        <v>104647</v>
      </c>
      <c r="B8187" s="3" t="s">
        <v>687</v>
      </c>
      <c r="C8187" s="1">
        <v>43300101</v>
      </c>
      <c r="D8187" t="s">
        <v>67</v>
      </c>
      <c r="H8187" t="str">
        <f t="shared" si="809"/>
        <v>03531280968</v>
      </c>
      <c r="I8187" t="str">
        <f t="shared" si="809"/>
        <v>03531280968</v>
      </c>
      <c r="K8187" t="str">
        <f>""</f>
        <v/>
      </c>
      <c r="M8187" t="s">
        <v>68</v>
      </c>
      <c r="N8187" t="str">
        <f t="shared" si="810"/>
        <v>FOR</v>
      </c>
      <c r="O8187" t="s">
        <v>69</v>
      </c>
      <c r="P8187" s="3" t="s">
        <v>75</v>
      </c>
      <c r="Q8187">
        <v>2016</v>
      </c>
      <c r="R8187" s="2">
        <v>42422</v>
      </c>
      <c r="S8187" s="2">
        <v>42436</v>
      </c>
      <c r="T8187" s="2">
        <v>42426</v>
      </c>
      <c r="U8187" s="2">
        <v>42486</v>
      </c>
      <c r="V8187" t="s">
        <v>71</v>
      </c>
      <c r="W8187" t="str">
        <f>"         RH/16000195"</f>
        <v xml:space="preserve">         RH/16000195</v>
      </c>
      <c r="X8187">
        <v>294.10000000000002</v>
      </c>
      <c r="Y8187">
        <v>0</v>
      </c>
      <c r="Z8187"/>
      <c r="AB8187"/>
      <c r="AC8187">
        <v>267.36</v>
      </c>
      <c r="AD8187">
        <v>135</v>
      </c>
      <c r="AE8187" s="1">
        <v>36093.599999999999</v>
      </c>
      <c r="AF8187">
        <v>0</v>
      </c>
      <c r="AJ8187">
        <v>0</v>
      </c>
      <c r="AK8187">
        <v>0</v>
      </c>
      <c r="AL8187">
        <v>0</v>
      </c>
      <c r="AM8187">
        <v>294.10000000000002</v>
      </c>
      <c r="AN8187">
        <v>294.10000000000002</v>
      </c>
      <c r="AO8187">
        <v>294.10000000000002</v>
      </c>
      <c r="AP8187" s="2">
        <v>42746</v>
      </c>
      <c r="AQ8187" t="s">
        <v>72</v>
      </c>
      <c r="AR8187" t="s">
        <v>72</v>
      </c>
      <c r="AS8187">
        <v>2397</v>
      </c>
      <c r="AT8187" s="4">
        <v>42621</v>
      </c>
      <c r="AU8187" t="s">
        <v>73</v>
      </c>
      <c r="AV8187">
        <v>2397</v>
      </c>
      <c r="AW8187" s="4">
        <v>42621</v>
      </c>
      <c r="BD8187">
        <v>0</v>
      </c>
      <c r="BN8187" t="s">
        <v>74</v>
      </c>
    </row>
    <row r="8188" spans="1:66" hidden="1">
      <c r="A8188">
        <v>104647</v>
      </c>
      <c r="B8188" s="3" t="s">
        <v>687</v>
      </c>
      <c r="C8188" s="1">
        <v>43300101</v>
      </c>
      <c r="D8188" t="s">
        <v>67</v>
      </c>
      <c r="H8188" t="str">
        <f t="shared" si="809"/>
        <v>03531280968</v>
      </c>
      <c r="I8188" t="str">
        <f t="shared" si="809"/>
        <v>03531280968</v>
      </c>
      <c r="K8188" t="str">
        <f>""</f>
        <v/>
      </c>
      <c r="M8188" t="s">
        <v>68</v>
      </c>
      <c r="N8188" t="str">
        <f t="shared" si="810"/>
        <v>FOR</v>
      </c>
      <c r="O8188" t="s">
        <v>69</v>
      </c>
      <c r="P8188" s="3" t="s">
        <v>75</v>
      </c>
      <c r="Q8188">
        <v>2016</v>
      </c>
      <c r="R8188" s="2">
        <v>42422</v>
      </c>
      <c r="S8188" s="2">
        <v>42436</v>
      </c>
      <c r="T8188" s="2">
        <v>42426</v>
      </c>
      <c r="U8188" s="2">
        <v>42486</v>
      </c>
      <c r="V8188" t="s">
        <v>71</v>
      </c>
      <c r="W8188" t="str">
        <f>"         RH/16000196"</f>
        <v xml:space="preserve">         RH/16000196</v>
      </c>
      <c r="X8188">
        <v>109.82</v>
      </c>
      <c r="Y8188">
        <v>0</v>
      </c>
      <c r="Z8188"/>
      <c r="AB8188"/>
      <c r="AC8188">
        <v>99.84</v>
      </c>
      <c r="AD8188">
        <v>135</v>
      </c>
      <c r="AE8188" s="1">
        <v>13478.4</v>
      </c>
      <c r="AF8188">
        <v>0</v>
      </c>
      <c r="AJ8188">
        <v>0</v>
      </c>
      <c r="AK8188">
        <v>0</v>
      </c>
      <c r="AL8188">
        <v>0</v>
      </c>
      <c r="AM8188">
        <v>109.82</v>
      </c>
      <c r="AN8188">
        <v>109.82</v>
      </c>
      <c r="AO8188">
        <v>109.82</v>
      </c>
      <c r="AP8188" s="2">
        <v>42746</v>
      </c>
      <c r="AQ8188" t="s">
        <v>72</v>
      </c>
      <c r="AR8188" t="s">
        <v>72</v>
      </c>
      <c r="AS8188">
        <v>2397</v>
      </c>
      <c r="AT8188" s="4">
        <v>42621</v>
      </c>
      <c r="AU8188" t="s">
        <v>73</v>
      </c>
      <c r="AV8188">
        <v>2397</v>
      </c>
      <c r="AW8188" s="4">
        <v>42621</v>
      </c>
      <c r="BD8188">
        <v>0</v>
      </c>
      <c r="BN8188" t="s">
        <v>74</v>
      </c>
    </row>
    <row r="8189" spans="1:66" hidden="1">
      <c r="A8189">
        <v>104647</v>
      </c>
      <c r="B8189" s="3" t="s">
        <v>687</v>
      </c>
      <c r="C8189" s="1">
        <v>43300101</v>
      </c>
      <c r="D8189" t="s">
        <v>67</v>
      </c>
      <c r="H8189" t="str">
        <f t="shared" si="809"/>
        <v>03531280968</v>
      </c>
      <c r="I8189" t="str">
        <f t="shared" si="809"/>
        <v>03531280968</v>
      </c>
      <c r="K8189" t="str">
        <f>""</f>
        <v/>
      </c>
      <c r="M8189" t="s">
        <v>68</v>
      </c>
      <c r="N8189" t="str">
        <f t="shared" si="810"/>
        <v>FOR</v>
      </c>
      <c r="O8189" t="s">
        <v>69</v>
      </c>
      <c r="P8189" s="3" t="s">
        <v>75</v>
      </c>
      <c r="Q8189">
        <v>2016</v>
      </c>
      <c r="R8189" s="2">
        <v>42426</v>
      </c>
      <c r="S8189" s="2">
        <v>42436</v>
      </c>
      <c r="T8189" s="2">
        <v>42429</v>
      </c>
      <c r="U8189" s="2">
        <v>42489</v>
      </c>
      <c r="V8189" t="s">
        <v>71</v>
      </c>
      <c r="W8189" t="str">
        <f>"         RH/16000244"</f>
        <v xml:space="preserve">         RH/16000244</v>
      </c>
      <c r="X8189">
        <v>265.06</v>
      </c>
      <c r="Y8189">
        <v>0</v>
      </c>
      <c r="Z8189"/>
      <c r="AB8189"/>
      <c r="AC8189">
        <v>240.96</v>
      </c>
      <c r="AD8189">
        <v>132</v>
      </c>
      <c r="AE8189" s="1">
        <v>31806.720000000001</v>
      </c>
      <c r="AF8189">
        <v>0</v>
      </c>
      <c r="AJ8189">
        <v>0</v>
      </c>
      <c r="AK8189">
        <v>0</v>
      </c>
      <c r="AL8189">
        <v>0</v>
      </c>
      <c r="AM8189">
        <v>265.06</v>
      </c>
      <c r="AN8189">
        <v>265.06</v>
      </c>
      <c r="AO8189">
        <v>265.06</v>
      </c>
      <c r="AP8189" s="2">
        <v>42746</v>
      </c>
      <c r="AQ8189" t="s">
        <v>72</v>
      </c>
      <c r="AR8189" t="s">
        <v>72</v>
      </c>
      <c r="AS8189">
        <v>2397</v>
      </c>
      <c r="AT8189" s="4">
        <v>42621</v>
      </c>
      <c r="AU8189" t="s">
        <v>73</v>
      </c>
      <c r="AV8189">
        <v>2397</v>
      </c>
      <c r="AW8189" s="4">
        <v>42621</v>
      </c>
      <c r="BD8189">
        <v>0</v>
      </c>
      <c r="BN8189" t="s">
        <v>74</v>
      </c>
    </row>
    <row r="8190" spans="1:66" hidden="1">
      <c r="A8190">
        <v>104647</v>
      </c>
      <c r="B8190" s="3" t="s">
        <v>687</v>
      </c>
      <c r="C8190" s="1">
        <v>43300101</v>
      </c>
      <c r="D8190" t="s">
        <v>67</v>
      </c>
      <c r="H8190" t="str">
        <f t="shared" si="809"/>
        <v>03531280968</v>
      </c>
      <c r="I8190" t="str">
        <f t="shared" si="809"/>
        <v>03531280968</v>
      </c>
      <c r="K8190" t="str">
        <f>""</f>
        <v/>
      </c>
      <c r="M8190" t="s">
        <v>68</v>
      </c>
      <c r="N8190" t="str">
        <f t="shared" si="810"/>
        <v>FOR</v>
      </c>
      <c r="O8190" t="s">
        <v>69</v>
      </c>
      <c r="P8190" s="3" t="s">
        <v>75</v>
      </c>
      <c r="Q8190">
        <v>2016</v>
      </c>
      <c r="R8190" s="2">
        <v>42461</v>
      </c>
      <c r="S8190" s="2">
        <v>42472</v>
      </c>
      <c r="T8190" s="2">
        <v>42465</v>
      </c>
      <c r="U8190" s="2">
        <v>42525</v>
      </c>
      <c r="V8190" t="s">
        <v>71</v>
      </c>
      <c r="W8190" t="str">
        <f>"         RH/16000429"</f>
        <v xml:space="preserve">         RH/16000429</v>
      </c>
      <c r="X8190">
        <v>213.31</v>
      </c>
      <c r="Y8190">
        <v>0</v>
      </c>
      <c r="Z8190"/>
      <c r="AB8190"/>
      <c r="AC8190">
        <v>193.92</v>
      </c>
      <c r="AD8190">
        <v>96</v>
      </c>
      <c r="AE8190" s="1">
        <v>18616.32</v>
      </c>
      <c r="AF8190">
        <v>0</v>
      </c>
      <c r="AJ8190">
        <v>0</v>
      </c>
      <c r="AK8190">
        <v>0</v>
      </c>
      <c r="AL8190">
        <v>0</v>
      </c>
      <c r="AM8190">
        <v>213.31</v>
      </c>
      <c r="AN8190">
        <v>213.31</v>
      </c>
      <c r="AO8190">
        <v>213.31</v>
      </c>
      <c r="AP8190" s="2">
        <v>42746</v>
      </c>
      <c r="AQ8190" t="s">
        <v>72</v>
      </c>
      <c r="AR8190" t="s">
        <v>72</v>
      </c>
      <c r="AS8190">
        <v>2397</v>
      </c>
      <c r="AT8190" s="4">
        <v>42621</v>
      </c>
      <c r="AU8190" t="s">
        <v>73</v>
      </c>
      <c r="AV8190">
        <v>2397</v>
      </c>
      <c r="AW8190" s="4">
        <v>42621</v>
      </c>
      <c r="BD8190">
        <v>0</v>
      </c>
      <c r="BN8190" t="s">
        <v>74</v>
      </c>
    </row>
    <row r="8191" spans="1:66" hidden="1">
      <c r="A8191">
        <v>104647</v>
      </c>
      <c r="B8191" s="3" t="s">
        <v>687</v>
      </c>
      <c r="C8191" s="1">
        <v>43300101</v>
      </c>
      <c r="D8191" t="s">
        <v>67</v>
      </c>
      <c r="H8191" t="str">
        <f t="shared" si="809"/>
        <v>03531280968</v>
      </c>
      <c r="I8191" t="str">
        <f t="shared" si="809"/>
        <v>03531280968</v>
      </c>
      <c r="K8191" t="str">
        <f>""</f>
        <v/>
      </c>
      <c r="M8191" t="s">
        <v>68</v>
      </c>
      <c r="N8191" t="str">
        <f t="shared" si="810"/>
        <v>FOR</v>
      </c>
      <c r="O8191" t="s">
        <v>69</v>
      </c>
      <c r="P8191" s="3" t="s">
        <v>75</v>
      </c>
      <c r="Q8191">
        <v>2016</v>
      </c>
      <c r="R8191" s="2">
        <v>42542</v>
      </c>
      <c r="S8191" s="2">
        <v>42550</v>
      </c>
      <c r="T8191" s="2">
        <v>42545</v>
      </c>
      <c r="U8191" s="2">
        <v>42605</v>
      </c>
      <c r="V8191" t="s">
        <v>71</v>
      </c>
      <c r="W8191" t="str">
        <f>"         RH/16000880"</f>
        <v xml:space="preserve">         RH/16000880</v>
      </c>
      <c r="X8191">
        <v>109.82</v>
      </c>
      <c r="Y8191">
        <v>0</v>
      </c>
      <c r="Z8191"/>
      <c r="AB8191"/>
      <c r="AC8191">
        <v>99.84</v>
      </c>
      <c r="AD8191">
        <v>16</v>
      </c>
      <c r="AE8191" s="1">
        <v>1597.44</v>
      </c>
      <c r="AF8191">
        <v>0</v>
      </c>
      <c r="AJ8191">
        <v>0</v>
      </c>
      <c r="AK8191">
        <v>0</v>
      </c>
      <c r="AL8191">
        <v>0</v>
      </c>
      <c r="AM8191">
        <v>109.82</v>
      </c>
      <c r="AN8191">
        <v>109.82</v>
      </c>
      <c r="AO8191">
        <v>109.82</v>
      </c>
      <c r="AP8191" s="2">
        <v>42746</v>
      </c>
      <c r="AQ8191" t="s">
        <v>72</v>
      </c>
      <c r="AR8191" t="s">
        <v>72</v>
      </c>
      <c r="AS8191">
        <v>2397</v>
      </c>
      <c r="AT8191" s="4">
        <v>42621</v>
      </c>
      <c r="AU8191" t="s">
        <v>73</v>
      </c>
      <c r="AV8191">
        <v>2397</v>
      </c>
      <c r="AW8191" s="4">
        <v>42621</v>
      </c>
      <c r="BD8191">
        <v>0</v>
      </c>
      <c r="BN8191" t="s">
        <v>74</v>
      </c>
    </row>
    <row r="8192" spans="1:66" hidden="1">
      <c r="A8192">
        <v>104647</v>
      </c>
      <c r="B8192" s="3" t="s">
        <v>687</v>
      </c>
      <c r="C8192" s="1">
        <v>43300101</v>
      </c>
      <c r="D8192" t="s">
        <v>67</v>
      </c>
      <c r="H8192" t="str">
        <f t="shared" si="809"/>
        <v>03531280968</v>
      </c>
      <c r="I8192" t="str">
        <f t="shared" si="809"/>
        <v>03531280968</v>
      </c>
      <c r="K8192" t="str">
        <f>""</f>
        <v/>
      </c>
      <c r="M8192" t="s">
        <v>68</v>
      </c>
      <c r="N8192" t="str">
        <f t="shared" si="810"/>
        <v>FOR</v>
      </c>
      <c r="O8192" t="s">
        <v>69</v>
      </c>
      <c r="P8192" s="3" t="s">
        <v>75</v>
      </c>
      <c r="Q8192">
        <v>2016</v>
      </c>
      <c r="R8192" s="2">
        <v>42562</v>
      </c>
      <c r="S8192" s="2">
        <v>42571</v>
      </c>
      <c r="T8192" s="2">
        <v>42569</v>
      </c>
      <c r="U8192" s="2">
        <v>42629</v>
      </c>
      <c r="V8192" t="s">
        <v>71</v>
      </c>
      <c r="W8192" t="str">
        <f>"         RH/16000982"</f>
        <v xml:space="preserve">         RH/16000982</v>
      </c>
      <c r="X8192">
        <v>161.57</v>
      </c>
      <c r="Y8192">
        <v>0</v>
      </c>
      <c r="Z8192"/>
      <c r="AB8192"/>
      <c r="AC8192">
        <v>146.88</v>
      </c>
      <c r="AD8192">
        <v>-8</v>
      </c>
      <c r="AE8192" s="1">
        <v>-1175.04</v>
      </c>
      <c r="AF8192">
        <v>0</v>
      </c>
      <c r="AJ8192">
        <v>0</v>
      </c>
      <c r="AK8192">
        <v>0</v>
      </c>
      <c r="AL8192">
        <v>0</v>
      </c>
      <c r="AM8192">
        <v>161.57</v>
      </c>
      <c r="AN8192">
        <v>161.57</v>
      </c>
      <c r="AO8192">
        <v>161.57</v>
      </c>
      <c r="AP8192" s="2">
        <v>42746</v>
      </c>
      <c r="AQ8192" t="s">
        <v>72</v>
      </c>
      <c r="AR8192" t="s">
        <v>72</v>
      </c>
      <c r="AS8192">
        <v>2397</v>
      </c>
      <c r="AT8192" s="4">
        <v>42621</v>
      </c>
      <c r="AV8192">
        <v>2397</v>
      </c>
      <c r="AW8192" s="4">
        <v>42621</v>
      </c>
      <c r="BD8192">
        <v>0</v>
      </c>
      <c r="BN8192" t="s">
        <v>74</v>
      </c>
    </row>
    <row r="8193" spans="1:66">
      <c r="A8193">
        <v>104647</v>
      </c>
      <c r="B8193" s="3" t="s">
        <v>687</v>
      </c>
      <c r="C8193" s="1">
        <v>43300101</v>
      </c>
      <c r="D8193" t="s">
        <v>67</v>
      </c>
      <c r="H8193" t="str">
        <f t="shared" si="809"/>
        <v>03531280968</v>
      </c>
      <c r="I8193" t="str">
        <f t="shared" si="809"/>
        <v>03531280968</v>
      </c>
      <c r="K8193" t="str">
        <f>""</f>
        <v/>
      </c>
      <c r="M8193" t="s">
        <v>68</v>
      </c>
      <c r="N8193" t="str">
        <f t="shared" si="810"/>
        <v>FOR</v>
      </c>
      <c r="O8193" t="s">
        <v>69</v>
      </c>
      <c r="P8193" s="3" t="s">
        <v>75</v>
      </c>
      <c r="Q8193">
        <v>2016</v>
      </c>
      <c r="R8193" s="2">
        <v>42619</v>
      </c>
      <c r="S8193" s="2">
        <v>42628</v>
      </c>
      <c r="T8193" s="2">
        <v>42622</v>
      </c>
      <c r="U8193" s="2">
        <v>42682</v>
      </c>
      <c r="V8193" t="s">
        <v>71</v>
      </c>
      <c r="W8193" t="str">
        <f>"         RH/16001332"</f>
        <v xml:space="preserve">         RH/16001332</v>
      </c>
      <c r="X8193">
        <v>175.12</v>
      </c>
      <c r="Y8193">
        <v>0</v>
      </c>
      <c r="Z8193" s="3">
        <v>159.19999999999999</v>
      </c>
      <c r="AB8193" s="3">
        <v>0</v>
      </c>
      <c r="AC8193">
        <v>159.19999999999999</v>
      </c>
      <c r="AE8193">
        <v>0</v>
      </c>
      <c r="AF8193">
        <v>0</v>
      </c>
      <c r="AJ8193">
        <v>0</v>
      </c>
      <c r="AK8193">
        <v>0</v>
      </c>
      <c r="AL8193">
        <v>0</v>
      </c>
      <c r="AM8193">
        <v>175.12</v>
      </c>
      <c r="AN8193">
        <v>175.12</v>
      </c>
      <c r="AO8193">
        <v>175.12</v>
      </c>
      <c r="AP8193" s="2">
        <v>42746</v>
      </c>
      <c r="AQ8193" t="s">
        <v>72</v>
      </c>
      <c r="AR8193" t="s">
        <v>72</v>
      </c>
      <c r="AS8193">
        <v>2951</v>
      </c>
      <c r="AT8193" s="4">
        <v>42682</v>
      </c>
      <c r="AV8193">
        <v>2951</v>
      </c>
      <c r="AW8193" s="4">
        <v>42682</v>
      </c>
      <c r="BD8193">
        <v>0</v>
      </c>
      <c r="BN8193" t="s">
        <v>74</v>
      </c>
    </row>
    <row r="8194" spans="1:66">
      <c r="A8194">
        <v>104647</v>
      </c>
      <c r="B8194" s="3" t="s">
        <v>687</v>
      </c>
      <c r="C8194" s="1">
        <v>43300101</v>
      </c>
      <c r="D8194" t="s">
        <v>67</v>
      </c>
      <c r="H8194" t="str">
        <f t="shared" si="809"/>
        <v>03531280968</v>
      </c>
      <c r="I8194" t="str">
        <f t="shared" si="809"/>
        <v>03531280968</v>
      </c>
      <c r="K8194" t="str">
        <f>""</f>
        <v/>
      </c>
      <c r="M8194" t="s">
        <v>68</v>
      </c>
      <c r="N8194" t="str">
        <f t="shared" si="810"/>
        <v>FOR</v>
      </c>
      <c r="O8194" t="s">
        <v>69</v>
      </c>
      <c r="P8194" s="3" t="s">
        <v>75</v>
      </c>
      <c r="Q8194">
        <v>2016</v>
      </c>
      <c r="R8194" s="2">
        <v>42642</v>
      </c>
      <c r="S8194" s="2">
        <v>42646</v>
      </c>
      <c r="T8194" s="2">
        <v>42643</v>
      </c>
      <c r="U8194" s="2">
        <v>42703</v>
      </c>
      <c r="V8194" t="s">
        <v>71</v>
      </c>
      <c r="W8194" t="str">
        <f>"         RH/16001485"</f>
        <v xml:space="preserve">         RH/16001485</v>
      </c>
      <c r="X8194">
        <v>350.24</v>
      </c>
      <c r="Y8194">
        <v>0</v>
      </c>
      <c r="Z8194" s="3">
        <v>318.39999999999998</v>
      </c>
      <c r="AA8194">
        <v>-21</v>
      </c>
      <c r="AB8194" s="5">
        <v>-6686.4</v>
      </c>
      <c r="AC8194">
        <v>318.39999999999998</v>
      </c>
      <c r="AD8194">
        <v>-21</v>
      </c>
      <c r="AE8194" s="1">
        <v>-6686.4</v>
      </c>
      <c r="AF8194">
        <v>0</v>
      </c>
      <c r="AJ8194">
        <v>0</v>
      </c>
      <c r="AK8194">
        <v>350.24</v>
      </c>
      <c r="AL8194">
        <v>0</v>
      </c>
      <c r="AM8194">
        <v>350.24</v>
      </c>
      <c r="AN8194">
        <v>350.24</v>
      </c>
      <c r="AO8194">
        <v>350.24</v>
      </c>
      <c r="AP8194" s="2">
        <v>42746</v>
      </c>
      <c r="AQ8194" t="s">
        <v>72</v>
      </c>
      <c r="AR8194" t="s">
        <v>72</v>
      </c>
      <c r="AS8194">
        <v>2951</v>
      </c>
      <c r="AT8194" s="4">
        <v>42682</v>
      </c>
      <c r="AV8194">
        <v>2951</v>
      </c>
      <c r="AW8194" s="4">
        <v>42682</v>
      </c>
      <c r="BD8194">
        <v>0</v>
      </c>
      <c r="BN8194" t="s">
        <v>74</v>
      </c>
    </row>
    <row r="8195" spans="1:66" hidden="1">
      <c r="A8195">
        <v>104647</v>
      </c>
      <c r="B8195" s="3" t="s">
        <v>687</v>
      </c>
      <c r="C8195" s="1">
        <v>43300101</v>
      </c>
      <c r="D8195" t="s">
        <v>67</v>
      </c>
      <c r="H8195" t="str">
        <f t="shared" si="809"/>
        <v>03531280968</v>
      </c>
      <c r="I8195" t="str">
        <f t="shared" si="809"/>
        <v>03531280968</v>
      </c>
      <c r="K8195" t="str">
        <f>""</f>
        <v/>
      </c>
      <c r="M8195" t="s">
        <v>68</v>
      </c>
      <c r="N8195" t="str">
        <f t="shared" si="810"/>
        <v>FOR</v>
      </c>
      <c r="O8195" t="s">
        <v>69</v>
      </c>
      <c r="P8195" s="3" t="s">
        <v>100</v>
      </c>
      <c r="Q8195">
        <v>2016</v>
      </c>
      <c r="R8195" s="2">
        <v>42611</v>
      </c>
      <c r="S8195" s="2">
        <v>42621</v>
      </c>
      <c r="T8195" s="2">
        <v>42612</v>
      </c>
      <c r="U8195" s="2">
        <v>42672</v>
      </c>
      <c r="V8195" t="s">
        <v>71</v>
      </c>
      <c r="W8195" t="str">
        <f>"         RM/16048841"</f>
        <v xml:space="preserve">         RM/16048841</v>
      </c>
      <c r="X8195">
        <v>-21.34</v>
      </c>
      <c r="Y8195">
        <v>0</v>
      </c>
      <c r="Z8195"/>
      <c r="AB8195"/>
      <c r="AC8195">
        <v>-21.34</v>
      </c>
      <c r="AD8195">
        <v>-51</v>
      </c>
      <c r="AE8195" s="1">
        <v>1088.3399999999999</v>
      </c>
      <c r="AF8195">
        <v>0</v>
      </c>
      <c r="AJ8195">
        <v>0</v>
      </c>
      <c r="AK8195">
        <v>0</v>
      </c>
      <c r="AL8195">
        <v>0</v>
      </c>
      <c r="AM8195">
        <v>-21.34</v>
      </c>
      <c r="AN8195">
        <v>-21.34</v>
      </c>
      <c r="AO8195">
        <v>-21.34</v>
      </c>
      <c r="AP8195" s="2">
        <v>42746</v>
      </c>
      <c r="AQ8195" t="s">
        <v>72</v>
      </c>
      <c r="AR8195" t="s">
        <v>72</v>
      </c>
      <c r="AS8195">
        <v>2397</v>
      </c>
      <c r="AT8195" s="4">
        <v>42621</v>
      </c>
      <c r="AV8195">
        <v>2397</v>
      </c>
      <c r="AW8195" s="4">
        <v>42621</v>
      </c>
      <c r="BD8195">
        <v>0</v>
      </c>
      <c r="BN8195" t="s">
        <v>74</v>
      </c>
    </row>
    <row r="8196" spans="1:66" hidden="1">
      <c r="A8196">
        <v>104647</v>
      </c>
      <c r="B8196" s="3" t="s">
        <v>687</v>
      </c>
      <c r="C8196" s="1">
        <v>43300101</v>
      </c>
      <c r="D8196" t="s">
        <v>67</v>
      </c>
      <c r="H8196" t="str">
        <f t="shared" si="809"/>
        <v>03531280968</v>
      </c>
      <c r="I8196" t="str">
        <f t="shared" si="809"/>
        <v>03531280968</v>
      </c>
      <c r="K8196" t="str">
        <f>""</f>
        <v/>
      </c>
      <c r="M8196" t="s">
        <v>68</v>
      </c>
      <c r="N8196" t="str">
        <f t="shared" si="810"/>
        <v>FOR</v>
      </c>
      <c r="O8196" t="s">
        <v>69</v>
      </c>
      <c r="P8196" s="3" t="s">
        <v>100</v>
      </c>
      <c r="Q8196">
        <v>2016</v>
      </c>
      <c r="R8196" s="2">
        <v>42611</v>
      </c>
      <c r="S8196" s="2">
        <v>42621</v>
      </c>
      <c r="T8196" s="2">
        <v>42612</v>
      </c>
      <c r="U8196" s="2">
        <v>42672</v>
      </c>
      <c r="V8196" t="s">
        <v>71</v>
      </c>
      <c r="W8196" t="str">
        <f>"         RN/16001282"</f>
        <v xml:space="preserve">         RN/16001282</v>
      </c>
      <c r="X8196">
        <v>-10.78</v>
      </c>
      <c r="Y8196">
        <v>0</v>
      </c>
      <c r="Z8196"/>
      <c r="AB8196"/>
      <c r="AC8196">
        <v>-9.8000000000000007</v>
      </c>
      <c r="AD8196">
        <v>-51</v>
      </c>
      <c r="AE8196">
        <v>499.8</v>
      </c>
      <c r="AF8196">
        <v>0</v>
      </c>
      <c r="AJ8196">
        <v>0</v>
      </c>
      <c r="AK8196">
        <v>0</v>
      </c>
      <c r="AL8196">
        <v>0</v>
      </c>
      <c r="AM8196">
        <v>-10.78</v>
      </c>
      <c r="AN8196">
        <v>-10.78</v>
      </c>
      <c r="AO8196">
        <v>-10.78</v>
      </c>
      <c r="AP8196" s="2">
        <v>42746</v>
      </c>
      <c r="AQ8196" t="s">
        <v>72</v>
      </c>
      <c r="AR8196" t="s">
        <v>72</v>
      </c>
      <c r="AS8196">
        <v>2397</v>
      </c>
      <c r="AT8196" s="4">
        <v>42621</v>
      </c>
      <c r="AV8196">
        <v>2397</v>
      </c>
      <c r="AW8196" s="4">
        <v>42621</v>
      </c>
      <c r="BD8196">
        <v>0</v>
      </c>
      <c r="BN8196" t="s">
        <v>74</v>
      </c>
    </row>
    <row r="8197" spans="1:66" hidden="1">
      <c r="A8197">
        <v>104647</v>
      </c>
      <c r="B8197" s="3" t="s">
        <v>687</v>
      </c>
      <c r="C8197" s="1">
        <v>43300101</v>
      </c>
      <c r="D8197" t="s">
        <v>67</v>
      </c>
      <c r="H8197" t="str">
        <f t="shared" si="809"/>
        <v>03531280968</v>
      </c>
      <c r="I8197" t="str">
        <f t="shared" si="809"/>
        <v>03531280968</v>
      </c>
      <c r="K8197" t="str">
        <f>""</f>
        <v/>
      </c>
      <c r="M8197" t="s">
        <v>68</v>
      </c>
      <c r="N8197" t="str">
        <f t="shared" si="810"/>
        <v>FOR</v>
      </c>
      <c r="O8197" t="s">
        <v>69</v>
      </c>
      <c r="P8197" s="3" t="s">
        <v>100</v>
      </c>
      <c r="Q8197">
        <v>2016</v>
      </c>
      <c r="R8197" s="2">
        <v>42611</v>
      </c>
      <c r="S8197" s="2">
        <v>42621</v>
      </c>
      <c r="T8197" s="2">
        <v>42612</v>
      </c>
      <c r="U8197" s="2">
        <v>42672</v>
      </c>
      <c r="V8197" t="s">
        <v>71</v>
      </c>
      <c r="W8197" t="str">
        <f>"         RN/16001283"</f>
        <v xml:space="preserve">         RN/16001283</v>
      </c>
      <c r="X8197">
        <v>-21.33</v>
      </c>
      <c r="Y8197">
        <v>0</v>
      </c>
      <c r="Z8197"/>
      <c r="AB8197"/>
      <c r="AC8197">
        <v>-19.39</v>
      </c>
      <c r="AD8197">
        <v>-51</v>
      </c>
      <c r="AE8197">
        <v>988.89</v>
      </c>
      <c r="AF8197">
        <v>0</v>
      </c>
      <c r="AJ8197">
        <v>0</v>
      </c>
      <c r="AK8197">
        <v>0</v>
      </c>
      <c r="AL8197">
        <v>0</v>
      </c>
      <c r="AM8197">
        <v>-21.33</v>
      </c>
      <c r="AN8197">
        <v>-21.33</v>
      </c>
      <c r="AO8197">
        <v>-21.33</v>
      </c>
      <c r="AP8197" s="2">
        <v>42746</v>
      </c>
      <c r="AQ8197" t="s">
        <v>72</v>
      </c>
      <c r="AR8197" t="s">
        <v>72</v>
      </c>
      <c r="AS8197">
        <v>2397</v>
      </c>
      <c r="AT8197" s="4">
        <v>42621</v>
      </c>
      <c r="AV8197">
        <v>2397</v>
      </c>
      <c r="AW8197" s="4">
        <v>42621</v>
      </c>
      <c r="BD8197">
        <v>0</v>
      </c>
      <c r="BN8197" t="s">
        <v>74</v>
      </c>
    </row>
    <row r="8198" spans="1:66" hidden="1">
      <c r="A8198">
        <v>104647</v>
      </c>
      <c r="B8198" s="3" t="s">
        <v>687</v>
      </c>
      <c r="C8198" s="1">
        <v>43300101</v>
      </c>
      <c r="D8198" t="s">
        <v>67</v>
      </c>
      <c r="H8198" t="str">
        <f t="shared" si="809"/>
        <v>03531280968</v>
      </c>
      <c r="I8198" t="str">
        <f t="shared" si="809"/>
        <v>03531280968</v>
      </c>
      <c r="K8198" t="str">
        <f>""</f>
        <v/>
      </c>
      <c r="M8198" t="s">
        <v>68</v>
      </c>
      <c r="N8198" t="str">
        <f t="shared" si="810"/>
        <v>FOR</v>
      </c>
      <c r="O8198" t="s">
        <v>69</v>
      </c>
      <c r="P8198" s="3" t="s">
        <v>100</v>
      </c>
      <c r="Q8198">
        <v>2016</v>
      </c>
      <c r="R8198" s="2">
        <v>42611</v>
      </c>
      <c r="S8198" s="2">
        <v>42621</v>
      </c>
      <c r="T8198" s="2">
        <v>42612</v>
      </c>
      <c r="U8198" s="2">
        <v>42672</v>
      </c>
      <c r="V8198" t="s">
        <v>71</v>
      </c>
      <c r="W8198" t="str">
        <f>"         RN/16001284"</f>
        <v xml:space="preserve">         RN/16001284</v>
      </c>
      <c r="X8198">
        <v>-21.34</v>
      </c>
      <c r="Y8198">
        <v>0</v>
      </c>
      <c r="Z8198"/>
      <c r="AB8198"/>
      <c r="AC8198">
        <v>-19.399999999999999</v>
      </c>
      <c r="AD8198">
        <v>-51</v>
      </c>
      <c r="AE8198">
        <v>989.4</v>
      </c>
      <c r="AF8198">
        <v>0</v>
      </c>
      <c r="AJ8198">
        <v>0</v>
      </c>
      <c r="AK8198">
        <v>0</v>
      </c>
      <c r="AL8198">
        <v>0</v>
      </c>
      <c r="AM8198">
        <v>-21.34</v>
      </c>
      <c r="AN8198">
        <v>-21.34</v>
      </c>
      <c r="AO8198">
        <v>-21.34</v>
      </c>
      <c r="AP8198" s="2">
        <v>42746</v>
      </c>
      <c r="AQ8198" t="s">
        <v>72</v>
      </c>
      <c r="AR8198" t="s">
        <v>72</v>
      </c>
      <c r="AS8198">
        <v>2397</v>
      </c>
      <c r="AT8198" s="4">
        <v>42621</v>
      </c>
      <c r="AV8198">
        <v>2397</v>
      </c>
      <c r="AW8198" s="4">
        <v>42621</v>
      </c>
      <c r="BD8198">
        <v>0</v>
      </c>
      <c r="BN8198" t="s">
        <v>74</v>
      </c>
    </row>
    <row r="8199" spans="1:66" hidden="1">
      <c r="A8199">
        <v>104647</v>
      </c>
      <c r="B8199" s="3" t="s">
        <v>687</v>
      </c>
      <c r="C8199" s="1">
        <v>43300101</v>
      </c>
      <c r="D8199" t="s">
        <v>67</v>
      </c>
      <c r="H8199" t="str">
        <f t="shared" si="809"/>
        <v>03531280968</v>
      </c>
      <c r="I8199" t="str">
        <f t="shared" si="809"/>
        <v>03531280968</v>
      </c>
      <c r="K8199" t="str">
        <f>""</f>
        <v/>
      </c>
      <c r="M8199" t="s">
        <v>68</v>
      </c>
      <c r="N8199" t="str">
        <f t="shared" si="810"/>
        <v>FOR</v>
      </c>
      <c r="O8199" t="s">
        <v>69</v>
      </c>
      <c r="P8199" s="3" t="s">
        <v>100</v>
      </c>
      <c r="Q8199">
        <v>2016</v>
      </c>
      <c r="R8199" s="2">
        <v>42611</v>
      </c>
      <c r="S8199" s="2">
        <v>42621</v>
      </c>
      <c r="T8199" s="2">
        <v>42612</v>
      </c>
      <c r="U8199" s="2">
        <v>42672</v>
      </c>
      <c r="V8199" t="s">
        <v>71</v>
      </c>
      <c r="W8199" t="str">
        <f>"         RN/16001285"</f>
        <v xml:space="preserve">         RN/16001285</v>
      </c>
      <c r="X8199">
        <v>-29.37</v>
      </c>
      <c r="Y8199">
        <v>0</v>
      </c>
      <c r="Z8199"/>
      <c r="AB8199"/>
      <c r="AC8199">
        <v>-26.7</v>
      </c>
      <c r="AD8199">
        <v>-51</v>
      </c>
      <c r="AE8199" s="1">
        <v>1361.7</v>
      </c>
      <c r="AF8199">
        <v>0</v>
      </c>
      <c r="AJ8199">
        <v>0</v>
      </c>
      <c r="AK8199">
        <v>0</v>
      </c>
      <c r="AL8199">
        <v>0</v>
      </c>
      <c r="AM8199">
        <v>-29.37</v>
      </c>
      <c r="AN8199">
        <v>-29.37</v>
      </c>
      <c r="AO8199">
        <v>-29.37</v>
      </c>
      <c r="AP8199" s="2">
        <v>42746</v>
      </c>
      <c r="AQ8199" t="s">
        <v>72</v>
      </c>
      <c r="AR8199" t="s">
        <v>72</v>
      </c>
      <c r="AS8199">
        <v>2397</v>
      </c>
      <c r="AT8199" s="4">
        <v>42621</v>
      </c>
      <c r="AV8199">
        <v>2397</v>
      </c>
      <c r="AW8199" s="4">
        <v>42621</v>
      </c>
      <c r="BD8199">
        <v>0</v>
      </c>
      <c r="BN8199" t="s">
        <v>74</v>
      </c>
    </row>
    <row r="8200" spans="1:66" hidden="1">
      <c r="A8200">
        <v>104647</v>
      </c>
      <c r="B8200" s="3" t="s">
        <v>687</v>
      </c>
      <c r="C8200" s="1">
        <v>43300101</v>
      </c>
      <c r="D8200" t="s">
        <v>67</v>
      </c>
      <c r="H8200" t="str">
        <f t="shared" si="809"/>
        <v>03531280968</v>
      </c>
      <c r="I8200" t="str">
        <f t="shared" si="809"/>
        <v>03531280968</v>
      </c>
      <c r="K8200" t="str">
        <f>""</f>
        <v/>
      </c>
      <c r="M8200" t="s">
        <v>68</v>
      </c>
      <c r="N8200" t="str">
        <f t="shared" si="810"/>
        <v>FOR</v>
      </c>
      <c r="O8200" t="s">
        <v>69</v>
      </c>
      <c r="P8200" s="3" t="s">
        <v>100</v>
      </c>
      <c r="Q8200">
        <v>2016</v>
      </c>
      <c r="R8200" s="2">
        <v>42611</v>
      </c>
      <c r="S8200" s="2">
        <v>42621</v>
      </c>
      <c r="T8200" s="2">
        <v>42612</v>
      </c>
      <c r="U8200" s="2">
        <v>42672</v>
      </c>
      <c r="V8200" t="s">
        <v>71</v>
      </c>
      <c r="W8200" t="str">
        <f>"         RN/16001286"</f>
        <v xml:space="preserve">         RN/16001286</v>
      </c>
      <c r="X8200">
        <v>-10.78</v>
      </c>
      <c r="Y8200">
        <v>0</v>
      </c>
      <c r="Z8200"/>
      <c r="AB8200"/>
      <c r="AC8200">
        <v>-9.8000000000000007</v>
      </c>
      <c r="AD8200">
        <v>-51</v>
      </c>
      <c r="AE8200">
        <v>499.8</v>
      </c>
      <c r="AF8200">
        <v>0</v>
      </c>
      <c r="AJ8200">
        <v>0</v>
      </c>
      <c r="AK8200">
        <v>0</v>
      </c>
      <c r="AL8200">
        <v>0</v>
      </c>
      <c r="AM8200">
        <v>-10.78</v>
      </c>
      <c r="AN8200">
        <v>-10.78</v>
      </c>
      <c r="AO8200">
        <v>-10.78</v>
      </c>
      <c r="AP8200" s="2">
        <v>42746</v>
      </c>
      <c r="AQ8200" t="s">
        <v>72</v>
      </c>
      <c r="AR8200" t="s">
        <v>72</v>
      </c>
      <c r="AS8200">
        <v>2397</v>
      </c>
      <c r="AT8200" s="4">
        <v>42621</v>
      </c>
      <c r="AV8200">
        <v>2397</v>
      </c>
      <c r="AW8200" s="4">
        <v>42621</v>
      </c>
      <c r="BD8200">
        <v>0</v>
      </c>
      <c r="BN8200" t="s">
        <v>74</v>
      </c>
    </row>
    <row r="8201" spans="1:66" hidden="1">
      <c r="A8201">
        <v>104647</v>
      </c>
      <c r="B8201" s="3" t="s">
        <v>687</v>
      </c>
      <c r="C8201" s="1">
        <v>43300101</v>
      </c>
      <c r="D8201" t="s">
        <v>67</v>
      </c>
      <c r="H8201" t="str">
        <f t="shared" si="809"/>
        <v>03531280968</v>
      </c>
      <c r="I8201" t="str">
        <f t="shared" si="809"/>
        <v>03531280968</v>
      </c>
      <c r="K8201" t="str">
        <f>""</f>
        <v/>
      </c>
      <c r="M8201" t="s">
        <v>68</v>
      </c>
      <c r="N8201" t="str">
        <f t="shared" si="810"/>
        <v>FOR</v>
      </c>
      <c r="O8201" t="s">
        <v>69</v>
      </c>
      <c r="P8201" s="3" t="s">
        <v>100</v>
      </c>
      <c r="Q8201">
        <v>2016</v>
      </c>
      <c r="R8201" s="2">
        <v>42611</v>
      </c>
      <c r="S8201" s="2">
        <v>42621</v>
      </c>
      <c r="T8201" s="2">
        <v>42612</v>
      </c>
      <c r="U8201" s="2">
        <v>42672</v>
      </c>
      <c r="V8201" t="s">
        <v>71</v>
      </c>
      <c r="W8201" t="str">
        <f>"         RN/16001287"</f>
        <v xml:space="preserve">         RN/16001287</v>
      </c>
      <c r="X8201">
        <v>-26.61</v>
      </c>
      <c r="Y8201">
        <v>0</v>
      </c>
      <c r="Z8201"/>
      <c r="AB8201"/>
      <c r="AC8201">
        <v>-24.19</v>
      </c>
      <c r="AD8201">
        <v>-51</v>
      </c>
      <c r="AE8201" s="1">
        <v>1233.69</v>
      </c>
      <c r="AF8201">
        <v>0</v>
      </c>
      <c r="AJ8201">
        <v>0</v>
      </c>
      <c r="AK8201">
        <v>0</v>
      </c>
      <c r="AL8201">
        <v>0</v>
      </c>
      <c r="AM8201">
        <v>-26.61</v>
      </c>
      <c r="AN8201">
        <v>-26.61</v>
      </c>
      <c r="AO8201">
        <v>-26.61</v>
      </c>
      <c r="AP8201" s="2">
        <v>42746</v>
      </c>
      <c r="AQ8201" t="s">
        <v>72</v>
      </c>
      <c r="AR8201" t="s">
        <v>72</v>
      </c>
      <c r="AS8201">
        <v>2397</v>
      </c>
      <c r="AT8201" s="4">
        <v>42621</v>
      </c>
      <c r="AV8201">
        <v>2397</v>
      </c>
      <c r="AW8201" s="4">
        <v>42621</v>
      </c>
      <c r="BD8201">
        <v>0</v>
      </c>
      <c r="BN8201" t="s">
        <v>74</v>
      </c>
    </row>
    <row r="8202" spans="1:66" hidden="1">
      <c r="A8202">
        <v>104647</v>
      </c>
      <c r="B8202" s="3" t="s">
        <v>687</v>
      </c>
      <c r="C8202" s="1">
        <v>43300101</v>
      </c>
      <c r="D8202" t="s">
        <v>67</v>
      </c>
      <c r="H8202" t="str">
        <f t="shared" si="809"/>
        <v>03531280968</v>
      </c>
      <c r="I8202" t="str">
        <f t="shared" si="809"/>
        <v>03531280968</v>
      </c>
      <c r="K8202" t="str">
        <f>""</f>
        <v/>
      </c>
      <c r="M8202" t="s">
        <v>68</v>
      </c>
      <c r="N8202" t="str">
        <f t="shared" si="810"/>
        <v>FOR</v>
      </c>
      <c r="O8202" t="s">
        <v>69</v>
      </c>
      <c r="P8202" s="3" t="s">
        <v>100</v>
      </c>
      <c r="Q8202">
        <v>2016</v>
      </c>
      <c r="R8202" s="2">
        <v>42611</v>
      </c>
      <c r="S8202" s="2">
        <v>42621</v>
      </c>
      <c r="T8202" s="2">
        <v>42612</v>
      </c>
      <c r="U8202" s="2">
        <v>42672</v>
      </c>
      <c r="V8202" t="s">
        <v>71</v>
      </c>
      <c r="W8202" t="str">
        <f>"         RN/16001288"</f>
        <v xml:space="preserve">         RN/16001288</v>
      </c>
      <c r="X8202">
        <v>-21.34</v>
      </c>
      <c r="Y8202">
        <v>0</v>
      </c>
      <c r="Z8202"/>
      <c r="AB8202"/>
      <c r="AC8202">
        <v>-19.399999999999999</v>
      </c>
      <c r="AD8202">
        <v>-51</v>
      </c>
      <c r="AE8202">
        <v>989.4</v>
      </c>
      <c r="AF8202">
        <v>0</v>
      </c>
      <c r="AJ8202">
        <v>0</v>
      </c>
      <c r="AK8202">
        <v>0</v>
      </c>
      <c r="AL8202">
        <v>0</v>
      </c>
      <c r="AM8202">
        <v>-21.34</v>
      </c>
      <c r="AN8202">
        <v>-21.34</v>
      </c>
      <c r="AO8202">
        <v>-21.34</v>
      </c>
      <c r="AP8202" s="2">
        <v>42746</v>
      </c>
      <c r="AQ8202" t="s">
        <v>72</v>
      </c>
      <c r="AR8202" t="s">
        <v>72</v>
      </c>
      <c r="AS8202">
        <v>2397</v>
      </c>
      <c r="AT8202" s="4">
        <v>42621</v>
      </c>
      <c r="AV8202">
        <v>2397</v>
      </c>
      <c r="AW8202" s="4">
        <v>42621</v>
      </c>
      <c r="BD8202">
        <v>0</v>
      </c>
      <c r="BN8202" t="s">
        <v>74</v>
      </c>
    </row>
    <row r="8203" spans="1:66" hidden="1">
      <c r="A8203">
        <v>104647</v>
      </c>
      <c r="B8203" s="3" t="s">
        <v>687</v>
      </c>
      <c r="C8203" s="1">
        <v>43300101</v>
      </c>
      <c r="D8203" t="s">
        <v>67</v>
      </c>
      <c r="H8203" t="str">
        <f t="shared" si="809"/>
        <v>03531280968</v>
      </c>
      <c r="I8203" t="str">
        <f t="shared" si="809"/>
        <v>03531280968</v>
      </c>
      <c r="K8203" t="str">
        <f>""</f>
        <v/>
      </c>
      <c r="M8203" t="s">
        <v>68</v>
      </c>
      <c r="N8203" t="str">
        <f t="shared" si="810"/>
        <v>FOR</v>
      </c>
      <c r="O8203" t="s">
        <v>69</v>
      </c>
      <c r="P8203" s="3" t="s">
        <v>100</v>
      </c>
      <c r="Q8203">
        <v>2016</v>
      </c>
      <c r="R8203" s="2">
        <v>42611</v>
      </c>
      <c r="S8203" s="2">
        <v>42621</v>
      </c>
      <c r="T8203" s="2">
        <v>42612</v>
      </c>
      <c r="U8203" s="2">
        <v>42672</v>
      </c>
      <c r="V8203" t="s">
        <v>71</v>
      </c>
      <c r="W8203" t="str">
        <f>"         RN/16001289"</f>
        <v xml:space="preserve">         RN/16001289</v>
      </c>
      <c r="X8203">
        <v>-10.78</v>
      </c>
      <c r="Y8203">
        <v>0</v>
      </c>
      <c r="Z8203"/>
      <c r="AB8203"/>
      <c r="AC8203">
        <v>-9.8000000000000007</v>
      </c>
      <c r="AD8203">
        <v>-51</v>
      </c>
      <c r="AE8203">
        <v>499.8</v>
      </c>
      <c r="AF8203">
        <v>0</v>
      </c>
      <c r="AJ8203">
        <v>0</v>
      </c>
      <c r="AK8203">
        <v>0</v>
      </c>
      <c r="AL8203">
        <v>0</v>
      </c>
      <c r="AM8203">
        <v>-10.78</v>
      </c>
      <c r="AN8203">
        <v>-10.78</v>
      </c>
      <c r="AO8203">
        <v>-10.78</v>
      </c>
      <c r="AP8203" s="2">
        <v>42746</v>
      </c>
      <c r="AQ8203" t="s">
        <v>72</v>
      </c>
      <c r="AR8203" t="s">
        <v>72</v>
      </c>
      <c r="AS8203">
        <v>2397</v>
      </c>
      <c r="AT8203" s="4">
        <v>42621</v>
      </c>
      <c r="AV8203">
        <v>2397</v>
      </c>
      <c r="AW8203" s="4">
        <v>42621</v>
      </c>
      <c r="BD8203">
        <v>0</v>
      </c>
      <c r="BN8203" t="s">
        <v>74</v>
      </c>
    </row>
    <row r="8204" spans="1:66" hidden="1">
      <c r="A8204">
        <v>104647</v>
      </c>
      <c r="B8204" s="3" t="s">
        <v>687</v>
      </c>
      <c r="C8204" s="1">
        <v>43300101</v>
      </c>
      <c r="D8204" t="s">
        <v>67</v>
      </c>
      <c r="H8204" t="str">
        <f t="shared" si="809"/>
        <v>03531280968</v>
      </c>
      <c r="I8204" t="str">
        <f t="shared" si="809"/>
        <v>03531280968</v>
      </c>
      <c r="K8204" t="str">
        <f>""</f>
        <v/>
      </c>
      <c r="M8204" t="s">
        <v>68</v>
      </c>
      <c r="N8204" t="str">
        <f t="shared" si="810"/>
        <v>FOR</v>
      </c>
      <c r="O8204" t="s">
        <v>69</v>
      </c>
      <c r="P8204" s="3" t="s">
        <v>100</v>
      </c>
      <c r="Q8204">
        <v>2016</v>
      </c>
      <c r="R8204" s="2">
        <v>42611</v>
      </c>
      <c r="S8204" s="2">
        <v>42621</v>
      </c>
      <c r="T8204" s="2">
        <v>42612</v>
      </c>
      <c r="U8204" s="2">
        <v>42672</v>
      </c>
      <c r="V8204" t="s">
        <v>71</v>
      </c>
      <c r="W8204" t="str">
        <f>"         RN/16001290"</f>
        <v xml:space="preserve">         RN/16001290</v>
      </c>
      <c r="X8204">
        <v>-16.05</v>
      </c>
      <c r="Y8204">
        <v>0</v>
      </c>
      <c r="Z8204"/>
      <c r="AB8204"/>
      <c r="AC8204">
        <v>-14.59</v>
      </c>
      <c r="AD8204">
        <v>-51</v>
      </c>
      <c r="AE8204">
        <v>744.09</v>
      </c>
      <c r="AF8204">
        <v>0</v>
      </c>
      <c r="AJ8204">
        <v>0</v>
      </c>
      <c r="AK8204">
        <v>0</v>
      </c>
      <c r="AL8204">
        <v>0</v>
      </c>
      <c r="AM8204">
        <v>-16.05</v>
      </c>
      <c r="AN8204">
        <v>-16.05</v>
      </c>
      <c r="AO8204">
        <v>-16.05</v>
      </c>
      <c r="AP8204" s="2">
        <v>42746</v>
      </c>
      <c r="AQ8204" t="s">
        <v>72</v>
      </c>
      <c r="AR8204" t="s">
        <v>72</v>
      </c>
      <c r="AS8204">
        <v>2397</v>
      </c>
      <c r="AT8204" s="4">
        <v>42621</v>
      </c>
      <c r="AV8204">
        <v>2397</v>
      </c>
      <c r="AW8204" s="4">
        <v>42621</v>
      </c>
      <c r="BD8204">
        <v>0</v>
      </c>
      <c r="BN8204" t="s">
        <v>74</v>
      </c>
    </row>
    <row r="8205" spans="1:66">
      <c r="A8205">
        <v>104648</v>
      </c>
      <c r="B8205" s="3" t="s">
        <v>688</v>
      </c>
      <c r="C8205" s="1">
        <v>43300101</v>
      </c>
      <c r="D8205" t="s">
        <v>67</v>
      </c>
      <c r="H8205" t="str">
        <f t="shared" ref="H8205:I8207" si="811">"02292260599"</f>
        <v>02292260599</v>
      </c>
      <c r="I8205" t="str">
        <f t="shared" si="811"/>
        <v>02292260599</v>
      </c>
      <c r="K8205" t="str">
        <f>""</f>
        <v/>
      </c>
      <c r="M8205" t="s">
        <v>68</v>
      </c>
      <c r="N8205" t="str">
        <f t="shared" si="810"/>
        <v>FOR</v>
      </c>
      <c r="O8205" t="s">
        <v>69</v>
      </c>
      <c r="P8205" s="3" t="s">
        <v>70</v>
      </c>
      <c r="Q8205">
        <v>2015</v>
      </c>
      <c r="R8205" s="2">
        <v>42290</v>
      </c>
      <c r="S8205" s="2">
        <v>42643</v>
      </c>
      <c r="T8205" s="2">
        <v>42643</v>
      </c>
      <c r="U8205" s="2">
        <v>42703</v>
      </c>
      <c r="V8205" t="s">
        <v>71</v>
      </c>
      <c r="W8205" t="str">
        <f>"          0620365349"</f>
        <v xml:space="preserve">          0620365349</v>
      </c>
      <c r="X8205" s="1">
        <v>5626.83</v>
      </c>
      <c r="Y8205">
        <v>0</v>
      </c>
      <c r="Z8205" s="5">
        <v>5115.3</v>
      </c>
      <c r="AA8205">
        <v>-20</v>
      </c>
      <c r="AB8205" s="5">
        <v>-102306</v>
      </c>
      <c r="AC8205" s="1">
        <v>5115.3</v>
      </c>
      <c r="AD8205">
        <v>-20</v>
      </c>
      <c r="AE8205" s="1">
        <v>-102306</v>
      </c>
      <c r="AF8205">
        <v>0</v>
      </c>
      <c r="AJ8205">
        <v>0</v>
      </c>
      <c r="AK8205">
        <v>0</v>
      </c>
      <c r="AL8205">
        <v>0</v>
      </c>
      <c r="AM8205">
        <v>0</v>
      </c>
      <c r="AN8205" s="1">
        <v>5626.83</v>
      </c>
      <c r="AO8205">
        <v>0</v>
      </c>
      <c r="AP8205" s="2">
        <v>42746</v>
      </c>
      <c r="AQ8205" t="s">
        <v>72</v>
      </c>
      <c r="AR8205" t="s">
        <v>72</v>
      </c>
      <c r="AS8205">
        <v>3029</v>
      </c>
      <c r="AT8205" s="4">
        <v>42683</v>
      </c>
      <c r="AV8205">
        <v>3029</v>
      </c>
      <c r="AW8205" s="4">
        <v>42683</v>
      </c>
      <c r="BD8205">
        <v>0</v>
      </c>
      <c r="BN8205" t="s">
        <v>74</v>
      </c>
    </row>
    <row r="8206" spans="1:66">
      <c r="A8206">
        <v>104648</v>
      </c>
      <c r="B8206" s="3" t="s">
        <v>688</v>
      </c>
      <c r="C8206" s="1">
        <v>43300101</v>
      </c>
      <c r="D8206" t="s">
        <v>67</v>
      </c>
      <c r="H8206" t="str">
        <f t="shared" si="811"/>
        <v>02292260599</v>
      </c>
      <c r="I8206" t="str">
        <f t="shared" si="811"/>
        <v>02292260599</v>
      </c>
      <c r="K8206" t="str">
        <f>""</f>
        <v/>
      </c>
      <c r="M8206" t="s">
        <v>68</v>
      </c>
      <c r="N8206" t="str">
        <f t="shared" si="810"/>
        <v>FOR</v>
      </c>
      <c r="O8206" t="s">
        <v>69</v>
      </c>
      <c r="P8206" s="3" t="s">
        <v>70</v>
      </c>
      <c r="Q8206">
        <v>2015</v>
      </c>
      <c r="R8206" s="2">
        <v>42321</v>
      </c>
      <c r="S8206" s="2">
        <v>42583</v>
      </c>
      <c r="T8206" s="2">
        <v>42583</v>
      </c>
      <c r="U8206" s="2">
        <v>42643</v>
      </c>
      <c r="V8206" t="s">
        <v>71</v>
      </c>
      <c r="W8206" t="str">
        <f>"          0620369398"</f>
        <v xml:space="preserve">          0620369398</v>
      </c>
      <c r="X8206" s="1">
        <v>5626.83</v>
      </c>
      <c r="Y8206">
        <v>0</v>
      </c>
      <c r="Z8206" s="5">
        <v>5115.3</v>
      </c>
      <c r="AA8206">
        <v>4</v>
      </c>
      <c r="AB8206" s="5">
        <v>20461.2</v>
      </c>
      <c r="AC8206" s="1">
        <v>5115.3</v>
      </c>
      <c r="AD8206">
        <v>4</v>
      </c>
      <c r="AE8206" s="1">
        <v>20461.2</v>
      </c>
      <c r="AF8206">
        <v>0</v>
      </c>
      <c r="AJ8206">
        <v>0</v>
      </c>
      <c r="AK8206">
        <v>0</v>
      </c>
      <c r="AL8206">
        <v>0</v>
      </c>
      <c r="AM8206">
        <v>0</v>
      </c>
      <c r="AN8206" s="1">
        <v>5626.83</v>
      </c>
      <c r="AO8206">
        <v>0</v>
      </c>
      <c r="AP8206" s="2">
        <v>42746</v>
      </c>
      <c r="AQ8206" t="s">
        <v>72</v>
      </c>
      <c r="AR8206" t="s">
        <v>72</v>
      </c>
      <c r="AS8206">
        <v>2635</v>
      </c>
      <c r="AT8206" s="4">
        <v>42647</v>
      </c>
      <c r="AU8206" t="s">
        <v>73</v>
      </c>
      <c r="AV8206">
        <v>2635</v>
      </c>
      <c r="AW8206" s="4">
        <v>42647</v>
      </c>
      <c r="BD8206">
        <v>0</v>
      </c>
      <c r="BN8206" t="s">
        <v>74</v>
      </c>
    </row>
    <row r="8207" spans="1:66">
      <c r="A8207">
        <v>104648</v>
      </c>
      <c r="B8207" s="3" t="s">
        <v>688</v>
      </c>
      <c r="C8207" s="1">
        <v>43300101</v>
      </c>
      <c r="D8207" t="s">
        <v>67</v>
      </c>
      <c r="H8207" t="str">
        <f t="shared" si="811"/>
        <v>02292260599</v>
      </c>
      <c r="I8207" t="str">
        <f t="shared" si="811"/>
        <v>02292260599</v>
      </c>
      <c r="K8207" t="str">
        <f>""</f>
        <v/>
      </c>
      <c r="M8207" t="s">
        <v>68</v>
      </c>
      <c r="N8207" t="str">
        <f t="shared" si="810"/>
        <v>FOR</v>
      </c>
      <c r="O8207" t="s">
        <v>69</v>
      </c>
      <c r="P8207" s="3" t="s">
        <v>70</v>
      </c>
      <c r="Q8207">
        <v>2015</v>
      </c>
      <c r="R8207" s="2">
        <v>42356</v>
      </c>
      <c r="S8207" s="2">
        <v>42583</v>
      </c>
      <c r="T8207" s="2">
        <v>42583</v>
      </c>
      <c r="U8207" s="2">
        <v>42643</v>
      </c>
      <c r="V8207" t="s">
        <v>71</v>
      </c>
      <c r="W8207" t="str">
        <f>"          0620374393"</f>
        <v xml:space="preserve">          0620374393</v>
      </c>
      <c r="X8207" s="1">
        <v>7010.85</v>
      </c>
      <c r="Y8207">
        <v>0</v>
      </c>
      <c r="Z8207" s="5">
        <v>6373.5</v>
      </c>
      <c r="AA8207">
        <v>4</v>
      </c>
      <c r="AB8207" s="5">
        <v>25494</v>
      </c>
      <c r="AC8207" s="1">
        <v>6373.5</v>
      </c>
      <c r="AD8207">
        <v>4</v>
      </c>
      <c r="AE8207" s="1">
        <v>25494</v>
      </c>
      <c r="AF8207">
        <v>0</v>
      </c>
      <c r="AJ8207">
        <v>0</v>
      </c>
      <c r="AK8207">
        <v>0</v>
      </c>
      <c r="AL8207">
        <v>0</v>
      </c>
      <c r="AM8207">
        <v>0</v>
      </c>
      <c r="AN8207" s="1">
        <v>7010.85</v>
      </c>
      <c r="AO8207">
        <v>0</v>
      </c>
      <c r="AP8207" s="2">
        <v>42746</v>
      </c>
      <c r="AQ8207" t="s">
        <v>72</v>
      </c>
      <c r="AR8207" t="s">
        <v>72</v>
      </c>
      <c r="AS8207">
        <v>2635</v>
      </c>
      <c r="AT8207" s="4">
        <v>42647</v>
      </c>
      <c r="AU8207" t="s">
        <v>73</v>
      </c>
      <c r="AV8207">
        <v>2635</v>
      </c>
      <c r="AW8207" s="4">
        <v>42647</v>
      </c>
      <c r="BD8207">
        <v>0</v>
      </c>
      <c r="BN8207" t="s">
        <v>74</v>
      </c>
    </row>
    <row r="8208" spans="1:66" hidden="1">
      <c r="A8208">
        <v>104660</v>
      </c>
      <c r="B8208" s="3" t="s">
        <v>689</v>
      </c>
      <c r="C8208" s="1">
        <v>43300101</v>
      </c>
      <c r="D8208" t="s">
        <v>67</v>
      </c>
      <c r="H8208" t="str">
        <f t="shared" ref="H8208:I8227" si="812">"06141111002"</f>
        <v>06141111002</v>
      </c>
      <c r="I8208" t="str">
        <f t="shared" si="812"/>
        <v>06141111002</v>
      </c>
      <c r="K8208" t="str">
        <f>""</f>
        <v/>
      </c>
      <c r="M8208" t="s">
        <v>68</v>
      </c>
      <c r="N8208" t="str">
        <f t="shared" si="810"/>
        <v>FOR</v>
      </c>
      <c r="O8208" t="s">
        <v>69</v>
      </c>
      <c r="P8208" s="3" t="s">
        <v>75</v>
      </c>
      <c r="Q8208">
        <v>2015</v>
      </c>
      <c r="R8208" s="2">
        <v>42094</v>
      </c>
      <c r="S8208" s="2">
        <v>42172</v>
      </c>
      <c r="T8208" s="2">
        <v>42166</v>
      </c>
      <c r="U8208" s="2">
        <v>42226</v>
      </c>
      <c r="V8208" t="s">
        <v>71</v>
      </c>
      <c r="W8208" t="str">
        <f>"                7/97"</f>
        <v xml:space="preserve">                7/97</v>
      </c>
      <c r="X8208" s="1">
        <v>15808</v>
      </c>
      <c r="Y8208">
        <v>0</v>
      </c>
      <c r="Z8208"/>
      <c r="AB8208"/>
      <c r="AC8208" s="1">
        <v>15200</v>
      </c>
      <c r="AD8208">
        <v>190</v>
      </c>
      <c r="AE8208" s="1">
        <v>2888000</v>
      </c>
      <c r="AF8208">
        <v>0</v>
      </c>
      <c r="AJ8208">
        <v>0</v>
      </c>
      <c r="AK8208">
        <v>0</v>
      </c>
      <c r="AL8208">
        <v>0</v>
      </c>
      <c r="AM8208">
        <v>0</v>
      </c>
      <c r="AN8208">
        <v>0</v>
      </c>
      <c r="AO8208">
        <v>0</v>
      </c>
      <c r="AP8208" s="2">
        <v>42746</v>
      </c>
      <c r="AQ8208" t="s">
        <v>72</v>
      </c>
      <c r="AR8208" t="s">
        <v>72</v>
      </c>
      <c r="AS8208">
        <v>415</v>
      </c>
      <c r="AT8208" s="4">
        <v>42416</v>
      </c>
      <c r="AU8208" t="s">
        <v>73</v>
      </c>
      <c r="AV8208">
        <v>415</v>
      </c>
      <c r="AW8208" s="4">
        <v>42416</v>
      </c>
      <c r="BD8208">
        <v>0</v>
      </c>
      <c r="BN8208" t="s">
        <v>74</v>
      </c>
    </row>
    <row r="8209" spans="1:66" hidden="1">
      <c r="A8209">
        <v>104660</v>
      </c>
      <c r="B8209" s="3" t="s">
        <v>689</v>
      </c>
      <c r="C8209" s="1">
        <v>43300101</v>
      </c>
      <c r="D8209" t="s">
        <v>67</v>
      </c>
      <c r="H8209" t="str">
        <f t="shared" si="812"/>
        <v>06141111002</v>
      </c>
      <c r="I8209" t="str">
        <f t="shared" si="812"/>
        <v>06141111002</v>
      </c>
      <c r="K8209" t="str">
        <f>""</f>
        <v/>
      </c>
      <c r="M8209" t="s">
        <v>68</v>
      </c>
      <c r="N8209" t="str">
        <f t="shared" si="810"/>
        <v>FOR</v>
      </c>
      <c r="O8209" t="s">
        <v>69</v>
      </c>
      <c r="P8209" s="3" t="s">
        <v>75</v>
      </c>
      <c r="Q8209">
        <v>2015</v>
      </c>
      <c r="R8209" s="2">
        <v>42124</v>
      </c>
      <c r="S8209" s="2">
        <v>42165</v>
      </c>
      <c r="T8209" s="2">
        <v>42158</v>
      </c>
      <c r="U8209" s="2">
        <v>42218</v>
      </c>
      <c r="V8209" t="s">
        <v>71</v>
      </c>
      <c r="W8209" t="str">
        <f>"               7/181"</f>
        <v xml:space="preserve">               7/181</v>
      </c>
      <c r="X8209" s="1">
        <v>14976</v>
      </c>
      <c r="Y8209">
        <v>0</v>
      </c>
      <c r="Z8209"/>
      <c r="AB8209"/>
      <c r="AC8209" s="1">
        <v>14400</v>
      </c>
      <c r="AD8209">
        <v>213</v>
      </c>
      <c r="AE8209" s="1">
        <v>3067200</v>
      </c>
      <c r="AF8209">
        <v>0</v>
      </c>
      <c r="AJ8209">
        <v>0</v>
      </c>
      <c r="AK8209">
        <v>0</v>
      </c>
      <c r="AL8209">
        <v>0</v>
      </c>
      <c r="AM8209">
        <v>0</v>
      </c>
      <c r="AN8209">
        <v>0</v>
      </c>
      <c r="AO8209">
        <v>0</v>
      </c>
      <c r="AP8209" s="2">
        <v>42746</v>
      </c>
      <c r="AQ8209" t="s">
        <v>72</v>
      </c>
      <c r="AR8209" t="s">
        <v>72</v>
      </c>
      <c r="AS8209">
        <v>627</v>
      </c>
      <c r="AT8209" s="4">
        <v>42431</v>
      </c>
      <c r="AU8209" t="s">
        <v>73</v>
      </c>
      <c r="AV8209">
        <v>627</v>
      </c>
      <c r="AW8209" s="4">
        <v>42431</v>
      </c>
      <c r="BD8209">
        <v>0</v>
      </c>
      <c r="BN8209" t="s">
        <v>74</v>
      </c>
    </row>
    <row r="8210" spans="1:66" hidden="1">
      <c r="A8210">
        <v>104660</v>
      </c>
      <c r="B8210" s="3" t="s">
        <v>689</v>
      </c>
      <c r="C8210" s="1">
        <v>43300101</v>
      </c>
      <c r="D8210" t="s">
        <v>67</v>
      </c>
      <c r="H8210" t="str">
        <f t="shared" si="812"/>
        <v>06141111002</v>
      </c>
      <c r="I8210" t="str">
        <f t="shared" si="812"/>
        <v>06141111002</v>
      </c>
      <c r="K8210" t="str">
        <f>""</f>
        <v/>
      </c>
      <c r="M8210" t="s">
        <v>68</v>
      </c>
      <c r="N8210" t="str">
        <f t="shared" si="810"/>
        <v>FOR</v>
      </c>
      <c r="O8210" t="s">
        <v>69</v>
      </c>
      <c r="P8210" s="3" t="s">
        <v>75</v>
      </c>
      <c r="Q8210">
        <v>2015</v>
      </c>
      <c r="R8210" s="2">
        <v>42154</v>
      </c>
      <c r="S8210" s="2">
        <v>42163</v>
      </c>
      <c r="T8210" s="2">
        <v>42160</v>
      </c>
      <c r="U8210" s="2">
        <v>42220</v>
      </c>
      <c r="V8210" t="s">
        <v>71</v>
      </c>
      <c r="W8210" t="str">
        <f>"               7/308"</f>
        <v xml:space="preserve">               7/308</v>
      </c>
      <c r="X8210" s="1">
        <v>1708</v>
      </c>
      <c r="Y8210">
        <v>0</v>
      </c>
      <c r="Z8210"/>
      <c r="AB8210"/>
      <c r="AC8210" s="1">
        <v>1400</v>
      </c>
      <c r="AD8210">
        <v>233</v>
      </c>
      <c r="AE8210" s="1">
        <v>326200</v>
      </c>
      <c r="AF8210">
        <v>0</v>
      </c>
      <c r="AJ8210">
        <v>0</v>
      </c>
      <c r="AK8210">
        <v>0</v>
      </c>
      <c r="AL8210">
        <v>0</v>
      </c>
      <c r="AM8210">
        <v>0</v>
      </c>
      <c r="AN8210">
        <v>0</v>
      </c>
      <c r="AO8210">
        <v>0</v>
      </c>
      <c r="AP8210" s="2">
        <v>42746</v>
      </c>
      <c r="AQ8210" t="s">
        <v>72</v>
      </c>
      <c r="AR8210" t="s">
        <v>72</v>
      </c>
      <c r="AS8210">
        <v>869</v>
      </c>
      <c r="AT8210" s="4">
        <v>42453</v>
      </c>
      <c r="AU8210" t="s">
        <v>73</v>
      </c>
      <c r="AV8210">
        <v>869</v>
      </c>
      <c r="AW8210" s="4">
        <v>42453</v>
      </c>
      <c r="BD8210">
        <v>0</v>
      </c>
      <c r="BN8210" t="s">
        <v>74</v>
      </c>
    </row>
    <row r="8211" spans="1:66" hidden="1">
      <c r="A8211">
        <v>104660</v>
      </c>
      <c r="B8211" s="3" t="s">
        <v>689</v>
      </c>
      <c r="C8211" s="1">
        <v>43300101</v>
      </c>
      <c r="D8211" t="s">
        <v>67</v>
      </c>
      <c r="H8211" t="str">
        <f t="shared" si="812"/>
        <v>06141111002</v>
      </c>
      <c r="I8211" t="str">
        <f t="shared" si="812"/>
        <v>06141111002</v>
      </c>
      <c r="K8211" t="str">
        <f>""</f>
        <v/>
      </c>
      <c r="M8211" t="s">
        <v>68</v>
      </c>
      <c r="N8211" t="str">
        <f t="shared" si="810"/>
        <v>FOR</v>
      </c>
      <c r="O8211" t="s">
        <v>69</v>
      </c>
      <c r="P8211" s="3" t="s">
        <v>75</v>
      </c>
      <c r="Q8211">
        <v>2015</v>
      </c>
      <c r="R8211" s="2">
        <v>42154</v>
      </c>
      <c r="S8211" s="2">
        <v>42167</v>
      </c>
      <c r="T8211" s="2">
        <v>42163</v>
      </c>
      <c r="U8211" s="2">
        <v>42223</v>
      </c>
      <c r="V8211" t="s">
        <v>71</v>
      </c>
      <c r="W8211" t="str">
        <f>"               7/408"</f>
        <v xml:space="preserve">               7/408</v>
      </c>
      <c r="X8211" s="1">
        <v>10816</v>
      </c>
      <c r="Y8211">
        <v>0</v>
      </c>
      <c r="Z8211"/>
      <c r="AB8211"/>
      <c r="AC8211" s="1">
        <v>10400</v>
      </c>
      <c r="AD8211">
        <v>230</v>
      </c>
      <c r="AE8211" s="1">
        <v>2392000</v>
      </c>
      <c r="AF8211">
        <v>0</v>
      </c>
      <c r="AJ8211">
        <v>0</v>
      </c>
      <c r="AK8211">
        <v>0</v>
      </c>
      <c r="AL8211">
        <v>0</v>
      </c>
      <c r="AM8211">
        <v>0</v>
      </c>
      <c r="AN8211">
        <v>0</v>
      </c>
      <c r="AO8211">
        <v>0</v>
      </c>
      <c r="AP8211" s="2">
        <v>42746</v>
      </c>
      <c r="AQ8211" t="s">
        <v>72</v>
      </c>
      <c r="AR8211" t="s">
        <v>72</v>
      </c>
      <c r="AS8211">
        <v>869</v>
      </c>
      <c r="AT8211" s="4">
        <v>42453</v>
      </c>
      <c r="AU8211" t="s">
        <v>73</v>
      </c>
      <c r="AV8211">
        <v>869</v>
      </c>
      <c r="AW8211" s="4">
        <v>42453</v>
      </c>
      <c r="BD8211">
        <v>0</v>
      </c>
      <c r="BN8211" t="s">
        <v>74</v>
      </c>
    </row>
    <row r="8212" spans="1:66" hidden="1">
      <c r="A8212">
        <v>104660</v>
      </c>
      <c r="B8212" s="3" t="s">
        <v>689</v>
      </c>
      <c r="C8212" s="1">
        <v>43300101</v>
      </c>
      <c r="D8212" t="s">
        <v>67</v>
      </c>
      <c r="H8212" t="str">
        <f t="shared" si="812"/>
        <v>06141111002</v>
      </c>
      <c r="I8212" t="str">
        <f t="shared" si="812"/>
        <v>06141111002</v>
      </c>
      <c r="K8212" t="str">
        <f>""</f>
        <v/>
      </c>
      <c r="M8212" t="s">
        <v>68</v>
      </c>
      <c r="N8212" t="str">
        <f t="shared" si="810"/>
        <v>FOR</v>
      </c>
      <c r="O8212" t="s">
        <v>69</v>
      </c>
      <c r="P8212" s="3" t="s">
        <v>75</v>
      </c>
      <c r="Q8212">
        <v>2015</v>
      </c>
      <c r="R8212" s="2">
        <v>42185</v>
      </c>
      <c r="S8212" s="2">
        <v>42249</v>
      </c>
      <c r="T8212" s="2">
        <v>42208</v>
      </c>
      <c r="U8212" s="2">
        <v>42268</v>
      </c>
      <c r="V8212" t="s">
        <v>71</v>
      </c>
      <c r="W8212" t="str">
        <f>"               7/508"</f>
        <v xml:space="preserve">               7/508</v>
      </c>
      <c r="X8212" s="1">
        <v>6656</v>
      </c>
      <c r="Y8212">
        <v>0</v>
      </c>
      <c r="Z8212"/>
      <c r="AB8212"/>
      <c r="AC8212" s="1">
        <v>6400</v>
      </c>
      <c r="AD8212">
        <v>224</v>
      </c>
      <c r="AE8212" s="1">
        <v>1433600</v>
      </c>
      <c r="AF8212">
        <v>0</v>
      </c>
      <c r="AJ8212">
        <v>0</v>
      </c>
      <c r="AK8212">
        <v>0</v>
      </c>
      <c r="AL8212">
        <v>0</v>
      </c>
      <c r="AM8212">
        <v>0</v>
      </c>
      <c r="AN8212">
        <v>0</v>
      </c>
      <c r="AO8212">
        <v>0</v>
      </c>
      <c r="AP8212" s="2">
        <v>42746</v>
      </c>
      <c r="AQ8212" t="s">
        <v>72</v>
      </c>
      <c r="AR8212" t="s">
        <v>72</v>
      </c>
      <c r="AS8212">
        <v>1238</v>
      </c>
      <c r="AT8212" s="4">
        <v>42492</v>
      </c>
      <c r="AU8212" t="s">
        <v>73</v>
      </c>
      <c r="AV8212">
        <v>1238</v>
      </c>
      <c r="AW8212" s="4">
        <v>42492</v>
      </c>
      <c r="BD8212">
        <v>0</v>
      </c>
      <c r="BN8212" t="s">
        <v>74</v>
      </c>
    </row>
    <row r="8213" spans="1:66" hidden="1">
      <c r="A8213">
        <v>104660</v>
      </c>
      <c r="B8213" s="3" t="s">
        <v>689</v>
      </c>
      <c r="C8213" s="1">
        <v>43300101</v>
      </c>
      <c r="D8213" t="s">
        <v>67</v>
      </c>
      <c r="H8213" t="str">
        <f t="shared" si="812"/>
        <v>06141111002</v>
      </c>
      <c r="I8213" t="str">
        <f t="shared" si="812"/>
        <v>06141111002</v>
      </c>
      <c r="K8213" t="str">
        <f>""</f>
        <v/>
      </c>
      <c r="M8213" t="s">
        <v>68</v>
      </c>
      <c r="N8213" t="str">
        <f t="shared" si="810"/>
        <v>FOR</v>
      </c>
      <c r="O8213" t="s">
        <v>69</v>
      </c>
      <c r="P8213" s="3" t="s">
        <v>75</v>
      </c>
      <c r="Q8213">
        <v>2015</v>
      </c>
      <c r="R8213" s="2">
        <v>42216</v>
      </c>
      <c r="S8213" s="2">
        <v>42220</v>
      </c>
      <c r="T8213" s="2">
        <v>42219</v>
      </c>
      <c r="U8213" s="2">
        <v>42279</v>
      </c>
      <c r="V8213" t="s">
        <v>71</v>
      </c>
      <c r="W8213" t="str">
        <f>"               7/609"</f>
        <v xml:space="preserve">               7/609</v>
      </c>
      <c r="X8213" s="1">
        <v>12480</v>
      </c>
      <c r="Y8213">
        <v>0</v>
      </c>
      <c r="Z8213"/>
      <c r="AB8213"/>
      <c r="AC8213" s="1">
        <v>12000</v>
      </c>
      <c r="AD8213">
        <v>213</v>
      </c>
      <c r="AE8213" s="1">
        <v>2556000</v>
      </c>
      <c r="AF8213">
        <v>0</v>
      </c>
      <c r="AJ8213">
        <v>0</v>
      </c>
      <c r="AK8213">
        <v>0</v>
      </c>
      <c r="AL8213">
        <v>0</v>
      </c>
      <c r="AM8213">
        <v>0</v>
      </c>
      <c r="AN8213">
        <v>0</v>
      </c>
      <c r="AO8213">
        <v>0</v>
      </c>
      <c r="AP8213" s="2">
        <v>42746</v>
      </c>
      <c r="AQ8213" t="s">
        <v>72</v>
      </c>
      <c r="AR8213" t="s">
        <v>72</v>
      </c>
      <c r="AS8213">
        <v>1238</v>
      </c>
      <c r="AT8213" s="4">
        <v>42492</v>
      </c>
      <c r="AU8213" t="s">
        <v>73</v>
      </c>
      <c r="AV8213">
        <v>1238</v>
      </c>
      <c r="AW8213" s="4">
        <v>42492</v>
      </c>
      <c r="BD8213">
        <v>0</v>
      </c>
      <c r="BN8213" t="s">
        <v>74</v>
      </c>
    </row>
    <row r="8214" spans="1:66" hidden="1">
      <c r="A8214">
        <v>104660</v>
      </c>
      <c r="B8214" s="3" t="s">
        <v>689</v>
      </c>
      <c r="C8214" s="1">
        <v>43300101</v>
      </c>
      <c r="D8214" t="s">
        <v>67</v>
      </c>
      <c r="H8214" t="str">
        <f t="shared" si="812"/>
        <v>06141111002</v>
      </c>
      <c r="I8214" t="str">
        <f t="shared" si="812"/>
        <v>06141111002</v>
      </c>
      <c r="K8214" t="str">
        <f>""</f>
        <v/>
      </c>
      <c r="M8214" t="s">
        <v>68</v>
      </c>
      <c r="N8214" t="str">
        <f t="shared" si="810"/>
        <v>FOR</v>
      </c>
      <c r="O8214" t="s">
        <v>69</v>
      </c>
      <c r="P8214" s="3" t="s">
        <v>75</v>
      </c>
      <c r="Q8214">
        <v>2015</v>
      </c>
      <c r="R8214" s="2">
        <v>42216</v>
      </c>
      <c r="S8214" s="2">
        <v>42220</v>
      </c>
      <c r="T8214" s="2">
        <v>42219</v>
      </c>
      <c r="U8214" s="2">
        <v>42279</v>
      </c>
      <c r="V8214" t="s">
        <v>71</v>
      </c>
      <c r="W8214" t="str">
        <f>"               7/663"</f>
        <v xml:space="preserve">               7/663</v>
      </c>
      <c r="X8214" s="1">
        <v>2496</v>
      </c>
      <c r="Y8214">
        <v>0</v>
      </c>
      <c r="Z8214"/>
      <c r="AB8214"/>
      <c r="AC8214" s="1">
        <v>2400</v>
      </c>
      <c r="AD8214">
        <v>213</v>
      </c>
      <c r="AE8214" s="1">
        <v>511200</v>
      </c>
      <c r="AF8214">
        <v>0</v>
      </c>
      <c r="AJ8214">
        <v>0</v>
      </c>
      <c r="AK8214">
        <v>0</v>
      </c>
      <c r="AL8214">
        <v>0</v>
      </c>
      <c r="AM8214">
        <v>0</v>
      </c>
      <c r="AN8214">
        <v>0</v>
      </c>
      <c r="AO8214">
        <v>0</v>
      </c>
      <c r="AP8214" s="2">
        <v>42746</v>
      </c>
      <c r="AQ8214" t="s">
        <v>72</v>
      </c>
      <c r="AR8214" t="s">
        <v>72</v>
      </c>
      <c r="AS8214">
        <v>1238</v>
      </c>
      <c r="AT8214" s="4">
        <v>42492</v>
      </c>
      <c r="AU8214" t="s">
        <v>73</v>
      </c>
      <c r="AV8214">
        <v>1238</v>
      </c>
      <c r="AW8214" s="4">
        <v>42492</v>
      </c>
      <c r="BD8214">
        <v>0</v>
      </c>
      <c r="BN8214" t="s">
        <v>74</v>
      </c>
    </row>
    <row r="8215" spans="1:66" hidden="1">
      <c r="A8215">
        <v>104660</v>
      </c>
      <c r="B8215" s="3" t="s">
        <v>689</v>
      </c>
      <c r="C8215" s="1">
        <v>43300101</v>
      </c>
      <c r="D8215" t="s">
        <v>67</v>
      </c>
      <c r="H8215" t="str">
        <f t="shared" si="812"/>
        <v>06141111002</v>
      </c>
      <c r="I8215" t="str">
        <f t="shared" si="812"/>
        <v>06141111002</v>
      </c>
      <c r="K8215" t="str">
        <f>""</f>
        <v/>
      </c>
      <c r="M8215" t="s">
        <v>68</v>
      </c>
      <c r="N8215" t="str">
        <f t="shared" ref="N8215:N8251" si="813">"FOR"</f>
        <v>FOR</v>
      </c>
      <c r="O8215" t="s">
        <v>69</v>
      </c>
      <c r="P8215" s="3" t="s">
        <v>75</v>
      </c>
      <c r="Q8215">
        <v>2015</v>
      </c>
      <c r="R8215" s="2">
        <v>42247</v>
      </c>
      <c r="S8215" s="2">
        <v>42312</v>
      </c>
      <c r="T8215" s="2">
        <v>42304</v>
      </c>
      <c r="U8215" s="2">
        <v>42364</v>
      </c>
      <c r="V8215" t="s">
        <v>71</v>
      </c>
      <c r="W8215" t="str">
        <f>"               7/803"</f>
        <v xml:space="preserve">               7/803</v>
      </c>
      <c r="X8215" s="1">
        <v>20800</v>
      </c>
      <c r="Y8215">
        <v>0</v>
      </c>
      <c r="Z8215"/>
      <c r="AB8215"/>
      <c r="AC8215" s="1">
        <v>20000</v>
      </c>
      <c r="AD8215">
        <v>215</v>
      </c>
      <c r="AE8215" s="1">
        <v>4300000</v>
      </c>
      <c r="AF8215">
        <v>0</v>
      </c>
      <c r="AJ8215">
        <v>0</v>
      </c>
      <c r="AK8215">
        <v>0</v>
      </c>
      <c r="AL8215">
        <v>0</v>
      </c>
      <c r="AM8215">
        <v>0</v>
      </c>
      <c r="AN8215">
        <v>0</v>
      </c>
      <c r="AO8215">
        <v>0</v>
      </c>
      <c r="AP8215" s="2">
        <v>42746</v>
      </c>
      <c r="AQ8215" t="s">
        <v>72</v>
      </c>
      <c r="AR8215" t="s">
        <v>72</v>
      </c>
      <c r="AS8215">
        <v>2032</v>
      </c>
      <c r="AT8215" s="4">
        <v>42579</v>
      </c>
      <c r="AU8215" t="s">
        <v>73</v>
      </c>
      <c r="AV8215">
        <v>2032</v>
      </c>
      <c r="AW8215" s="4">
        <v>42579</v>
      </c>
      <c r="BD8215">
        <v>0</v>
      </c>
      <c r="BN8215" t="s">
        <v>74</v>
      </c>
    </row>
    <row r="8216" spans="1:66" hidden="1">
      <c r="A8216">
        <v>104660</v>
      </c>
      <c r="B8216" s="3" t="s">
        <v>689</v>
      </c>
      <c r="C8216" s="1">
        <v>43300101</v>
      </c>
      <c r="D8216" t="s">
        <v>67</v>
      </c>
      <c r="H8216" t="str">
        <f t="shared" si="812"/>
        <v>06141111002</v>
      </c>
      <c r="I8216" t="str">
        <f t="shared" si="812"/>
        <v>06141111002</v>
      </c>
      <c r="K8216" t="str">
        <f>""</f>
        <v/>
      </c>
      <c r="M8216" t="s">
        <v>68</v>
      </c>
      <c r="N8216" t="str">
        <f t="shared" si="813"/>
        <v>FOR</v>
      </c>
      <c r="O8216" t="s">
        <v>69</v>
      </c>
      <c r="P8216" s="3" t="s">
        <v>75</v>
      </c>
      <c r="Q8216">
        <v>2015</v>
      </c>
      <c r="R8216" s="2">
        <v>42277</v>
      </c>
      <c r="S8216" s="2">
        <v>42312</v>
      </c>
      <c r="T8216" s="2">
        <v>42304</v>
      </c>
      <c r="U8216" s="2">
        <v>42364</v>
      </c>
      <c r="V8216" t="s">
        <v>71</v>
      </c>
      <c r="W8216" t="str">
        <f>"               7/894"</f>
        <v xml:space="preserve">               7/894</v>
      </c>
      <c r="X8216" s="1">
        <v>4992</v>
      </c>
      <c r="Y8216">
        <v>0</v>
      </c>
      <c r="Z8216"/>
      <c r="AB8216"/>
      <c r="AC8216" s="1">
        <v>4800</v>
      </c>
      <c r="AD8216">
        <v>257</v>
      </c>
      <c r="AE8216" s="1">
        <v>1233600</v>
      </c>
      <c r="AF8216">
        <v>0</v>
      </c>
      <c r="AJ8216">
        <v>0</v>
      </c>
      <c r="AK8216">
        <v>0</v>
      </c>
      <c r="AL8216">
        <v>0</v>
      </c>
      <c r="AM8216">
        <v>0</v>
      </c>
      <c r="AN8216">
        <v>0</v>
      </c>
      <c r="AO8216">
        <v>0</v>
      </c>
      <c r="AP8216" s="2">
        <v>42746</v>
      </c>
      <c r="AQ8216" t="s">
        <v>72</v>
      </c>
      <c r="AR8216" t="s">
        <v>72</v>
      </c>
      <c r="AS8216">
        <v>2365</v>
      </c>
      <c r="AT8216" s="4">
        <v>42621</v>
      </c>
      <c r="AU8216" t="s">
        <v>73</v>
      </c>
      <c r="AV8216">
        <v>2365</v>
      </c>
      <c r="AW8216" s="4">
        <v>42621</v>
      </c>
      <c r="BD8216">
        <v>0</v>
      </c>
      <c r="BN8216" t="s">
        <v>74</v>
      </c>
    </row>
    <row r="8217" spans="1:66" hidden="1">
      <c r="A8217">
        <v>104660</v>
      </c>
      <c r="B8217" s="3" t="s">
        <v>689</v>
      </c>
      <c r="C8217" s="1">
        <v>43300101</v>
      </c>
      <c r="D8217" t="s">
        <v>67</v>
      </c>
      <c r="H8217" t="str">
        <f t="shared" si="812"/>
        <v>06141111002</v>
      </c>
      <c r="I8217" t="str">
        <f t="shared" si="812"/>
        <v>06141111002</v>
      </c>
      <c r="K8217" t="str">
        <f>""</f>
        <v/>
      </c>
      <c r="M8217" t="s">
        <v>68</v>
      </c>
      <c r="N8217" t="str">
        <f t="shared" si="813"/>
        <v>FOR</v>
      </c>
      <c r="O8217" t="s">
        <v>69</v>
      </c>
      <c r="P8217" s="3" t="s">
        <v>75</v>
      </c>
      <c r="Q8217">
        <v>2015</v>
      </c>
      <c r="R8217" s="2">
        <v>42308</v>
      </c>
      <c r="S8217" s="2">
        <v>42354</v>
      </c>
      <c r="T8217" s="2">
        <v>42353</v>
      </c>
      <c r="U8217" s="2">
        <v>42413</v>
      </c>
      <c r="V8217" t="s">
        <v>71</v>
      </c>
      <c r="W8217" t="str">
        <f>"               7/979"</f>
        <v xml:space="preserve">               7/979</v>
      </c>
      <c r="X8217">
        <v>832</v>
      </c>
      <c r="Y8217">
        <v>0</v>
      </c>
      <c r="Z8217"/>
      <c r="AB8217"/>
      <c r="AC8217">
        <v>800</v>
      </c>
      <c r="AD8217">
        <v>208</v>
      </c>
      <c r="AE8217" s="1">
        <v>166400</v>
      </c>
      <c r="AF8217">
        <v>0</v>
      </c>
      <c r="AJ8217">
        <v>0</v>
      </c>
      <c r="AK8217">
        <v>0</v>
      </c>
      <c r="AL8217">
        <v>0</v>
      </c>
      <c r="AM8217">
        <v>0</v>
      </c>
      <c r="AN8217">
        <v>0</v>
      </c>
      <c r="AO8217">
        <v>0</v>
      </c>
      <c r="AP8217" s="2">
        <v>42746</v>
      </c>
      <c r="AQ8217" t="s">
        <v>72</v>
      </c>
      <c r="AR8217" t="s">
        <v>72</v>
      </c>
      <c r="AS8217">
        <v>2365</v>
      </c>
      <c r="AT8217" s="4">
        <v>42621</v>
      </c>
      <c r="AU8217" t="s">
        <v>73</v>
      </c>
      <c r="AV8217">
        <v>2365</v>
      </c>
      <c r="AW8217" s="4">
        <v>42621</v>
      </c>
      <c r="BD8217">
        <v>0</v>
      </c>
      <c r="BN8217" t="s">
        <v>74</v>
      </c>
    </row>
    <row r="8218" spans="1:66">
      <c r="A8218">
        <v>104660</v>
      </c>
      <c r="B8218" s="3" t="s">
        <v>689</v>
      </c>
      <c r="C8218" s="1">
        <v>43300101</v>
      </c>
      <c r="D8218" t="s">
        <v>67</v>
      </c>
      <c r="H8218" t="str">
        <f t="shared" si="812"/>
        <v>06141111002</v>
      </c>
      <c r="I8218" t="str">
        <f t="shared" si="812"/>
        <v>06141111002</v>
      </c>
      <c r="K8218" t="str">
        <f>""</f>
        <v/>
      </c>
      <c r="M8218" t="s">
        <v>68</v>
      </c>
      <c r="N8218" t="str">
        <f t="shared" si="813"/>
        <v>FOR</v>
      </c>
      <c r="O8218" t="s">
        <v>69</v>
      </c>
      <c r="P8218" s="3" t="s">
        <v>75</v>
      </c>
      <c r="Q8218">
        <v>2015</v>
      </c>
      <c r="R8218" s="2">
        <v>42338</v>
      </c>
      <c r="S8218" s="2">
        <v>42369</v>
      </c>
      <c r="T8218" s="2">
        <v>42369</v>
      </c>
      <c r="U8218" s="2">
        <v>42429</v>
      </c>
      <c r="V8218" t="s">
        <v>71</v>
      </c>
      <c r="W8218" t="str">
        <f>"              7/1107"</f>
        <v xml:space="preserve">              7/1107</v>
      </c>
      <c r="X8218" s="1">
        <v>11648</v>
      </c>
      <c r="Y8218">
        <v>0</v>
      </c>
      <c r="Z8218" s="5">
        <v>11200</v>
      </c>
      <c r="AA8218">
        <v>218</v>
      </c>
      <c r="AB8218" s="5">
        <v>2441600</v>
      </c>
      <c r="AC8218" s="1">
        <v>11200</v>
      </c>
      <c r="AD8218">
        <v>218</v>
      </c>
      <c r="AE8218" s="1">
        <v>2441600</v>
      </c>
      <c r="AF8218">
        <v>0</v>
      </c>
      <c r="AJ8218">
        <v>0</v>
      </c>
      <c r="AK8218">
        <v>0</v>
      </c>
      <c r="AL8218">
        <v>0</v>
      </c>
      <c r="AM8218">
        <v>0</v>
      </c>
      <c r="AN8218">
        <v>0</v>
      </c>
      <c r="AO8218">
        <v>0</v>
      </c>
      <c r="AP8218" s="2">
        <v>42746</v>
      </c>
      <c r="AQ8218" t="s">
        <v>72</v>
      </c>
      <c r="AR8218" t="s">
        <v>72</v>
      </c>
      <c r="AS8218">
        <v>2618</v>
      </c>
      <c r="AT8218" s="4">
        <v>42647</v>
      </c>
      <c r="AU8218" t="s">
        <v>73</v>
      </c>
      <c r="AV8218">
        <v>2618</v>
      </c>
      <c r="AW8218" s="4">
        <v>42647</v>
      </c>
      <c r="BD8218">
        <v>0</v>
      </c>
      <c r="BN8218" t="s">
        <v>74</v>
      </c>
    </row>
    <row r="8219" spans="1:66">
      <c r="A8219">
        <v>104660</v>
      </c>
      <c r="B8219" s="3" t="s">
        <v>689</v>
      </c>
      <c r="C8219" s="1">
        <v>43300101</v>
      </c>
      <c r="D8219" t="s">
        <v>67</v>
      </c>
      <c r="H8219" t="str">
        <f t="shared" si="812"/>
        <v>06141111002</v>
      </c>
      <c r="I8219" t="str">
        <f t="shared" si="812"/>
        <v>06141111002</v>
      </c>
      <c r="K8219" t="str">
        <f>""</f>
        <v/>
      </c>
      <c r="M8219" t="s">
        <v>68</v>
      </c>
      <c r="N8219" t="str">
        <f t="shared" si="813"/>
        <v>FOR</v>
      </c>
      <c r="O8219" t="s">
        <v>69</v>
      </c>
      <c r="P8219" s="3" t="s">
        <v>75</v>
      </c>
      <c r="Q8219">
        <v>2015</v>
      </c>
      <c r="R8219" s="2">
        <v>42369</v>
      </c>
      <c r="S8219" s="2">
        <v>42369</v>
      </c>
      <c r="T8219" s="2">
        <v>42369</v>
      </c>
      <c r="U8219" s="2">
        <v>42429</v>
      </c>
      <c r="V8219" t="s">
        <v>71</v>
      </c>
      <c r="W8219" t="str">
        <f>"              7/1356"</f>
        <v xml:space="preserve">              7/1356</v>
      </c>
      <c r="X8219" s="1">
        <v>17472</v>
      </c>
      <c r="Y8219">
        <v>0</v>
      </c>
      <c r="Z8219" s="5">
        <v>16800</v>
      </c>
      <c r="AA8219">
        <v>249</v>
      </c>
      <c r="AB8219" s="5">
        <v>4183200</v>
      </c>
      <c r="AC8219" s="1">
        <v>16800</v>
      </c>
      <c r="AD8219">
        <v>249</v>
      </c>
      <c r="AE8219" s="1">
        <v>4183200</v>
      </c>
      <c r="AF8219">
        <v>0</v>
      </c>
      <c r="AJ8219">
        <v>0</v>
      </c>
      <c r="AK8219">
        <v>0</v>
      </c>
      <c r="AL8219">
        <v>0</v>
      </c>
      <c r="AM8219">
        <v>0</v>
      </c>
      <c r="AN8219">
        <v>0</v>
      </c>
      <c r="AO8219">
        <v>0</v>
      </c>
      <c r="AP8219" s="2">
        <v>42746</v>
      </c>
      <c r="AQ8219" t="s">
        <v>72</v>
      </c>
      <c r="AR8219" t="s">
        <v>72</v>
      </c>
      <c r="AS8219">
        <v>2943</v>
      </c>
      <c r="AT8219" s="4">
        <v>42678</v>
      </c>
      <c r="AU8219" t="s">
        <v>73</v>
      </c>
      <c r="AV8219">
        <v>2943</v>
      </c>
      <c r="AW8219" s="4">
        <v>42678</v>
      </c>
      <c r="BD8219">
        <v>0</v>
      </c>
      <c r="BN8219" t="s">
        <v>74</v>
      </c>
    </row>
    <row r="8220" spans="1:66">
      <c r="A8220">
        <v>104660</v>
      </c>
      <c r="B8220" s="3" t="s">
        <v>689</v>
      </c>
      <c r="C8220" s="1">
        <v>43300101</v>
      </c>
      <c r="D8220" t="s">
        <v>67</v>
      </c>
      <c r="H8220" t="str">
        <f t="shared" si="812"/>
        <v>06141111002</v>
      </c>
      <c r="I8220" t="str">
        <f t="shared" si="812"/>
        <v>06141111002</v>
      </c>
      <c r="K8220" t="str">
        <f>""</f>
        <v/>
      </c>
      <c r="M8220" t="s">
        <v>68</v>
      </c>
      <c r="N8220" t="str">
        <f t="shared" si="813"/>
        <v>FOR</v>
      </c>
      <c r="O8220" t="s">
        <v>69</v>
      </c>
      <c r="P8220" s="3" t="s">
        <v>75</v>
      </c>
      <c r="Q8220">
        <v>2016</v>
      </c>
      <c r="R8220" s="2">
        <v>42398</v>
      </c>
      <c r="S8220" s="2">
        <v>42436</v>
      </c>
      <c r="T8220" s="2">
        <v>42426</v>
      </c>
      <c r="U8220" s="2">
        <v>42486</v>
      </c>
      <c r="V8220" t="s">
        <v>71</v>
      </c>
      <c r="W8220" t="str">
        <f>"                7/44"</f>
        <v xml:space="preserve">                7/44</v>
      </c>
      <c r="X8220">
        <v>832</v>
      </c>
      <c r="Y8220">
        <v>0</v>
      </c>
      <c r="Z8220" s="3">
        <v>800</v>
      </c>
      <c r="AA8220">
        <v>192</v>
      </c>
      <c r="AB8220" s="5">
        <v>153600</v>
      </c>
      <c r="AC8220">
        <v>800</v>
      </c>
      <c r="AD8220">
        <v>192</v>
      </c>
      <c r="AE8220" s="1">
        <v>153600</v>
      </c>
      <c r="AF8220">
        <v>0</v>
      </c>
      <c r="AJ8220">
        <v>0</v>
      </c>
      <c r="AK8220">
        <v>0</v>
      </c>
      <c r="AL8220">
        <v>0</v>
      </c>
      <c r="AM8220">
        <v>832</v>
      </c>
      <c r="AN8220">
        <v>832</v>
      </c>
      <c r="AO8220">
        <v>832</v>
      </c>
      <c r="AP8220" s="2">
        <v>42746</v>
      </c>
      <c r="AQ8220" t="s">
        <v>72</v>
      </c>
      <c r="AR8220" t="s">
        <v>72</v>
      </c>
      <c r="AS8220">
        <v>2943</v>
      </c>
      <c r="AT8220" s="4">
        <v>42678</v>
      </c>
      <c r="AU8220" t="s">
        <v>73</v>
      </c>
      <c r="AV8220">
        <v>2943</v>
      </c>
      <c r="AW8220" s="4">
        <v>42678</v>
      </c>
      <c r="BD8220">
        <v>0</v>
      </c>
      <c r="BN8220" t="s">
        <v>74</v>
      </c>
    </row>
    <row r="8221" spans="1:66">
      <c r="A8221">
        <v>104660</v>
      </c>
      <c r="B8221" s="3" t="s">
        <v>689</v>
      </c>
      <c r="C8221" s="1">
        <v>43300101</v>
      </c>
      <c r="D8221" t="s">
        <v>67</v>
      </c>
      <c r="H8221" t="str">
        <f t="shared" si="812"/>
        <v>06141111002</v>
      </c>
      <c r="I8221" t="str">
        <f t="shared" si="812"/>
        <v>06141111002</v>
      </c>
      <c r="K8221" t="str">
        <f>""</f>
        <v/>
      </c>
      <c r="M8221" t="s">
        <v>68</v>
      </c>
      <c r="N8221" t="str">
        <f t="shared" si="813"/>
        <v>FOR</v>
      </c>
      <c r="O8221" t="s">
        <v>69</v>
      </c>
      <c r="P8221" s="3" t="s">
        <v>75</v>
      </c>
      <c r="Q8221">
        <v>2016</v>
      </c>
      <c r="R8221" s="2">
        <v>42398</v>
      </c>
      <c r="S8221" s="2">
        <v>42436</v>
      </c>
      <c r="T8221" s="2">
        <v>42426</v>
      </c>
      <c r="U8221" s="2">
        <v>42486</v>
      </c>
      <c r="V8221" t="s">
        <v>71</v>
      </c>
      <c r="W8221" t="str">
        <f>"                7/45"</f>
        <v xml:space="preserve">                7/45</v>
      </c>
      <c r="X8221">
        <v>832</v>
      </c>
      <c r="Y8221">
        <v>0</v>
      </c>
      <c r="Z8221" s="3">
        <v>800</v>
      </c>
      <c r="AA8221">
        <v>192</v>
      </c>
      <c r="AB8221" s="5">
        <v>153600</v>
      </c>
      <c r="AC8221">
        <v>800</v>
      </c>
      <c r="AD8221">
        <v>192</v>
      </c>
      <c r="AE8221" s="1">
        <v>153600</v>
      </c>
      <c r="AF8221">
        <v>0</v>
      </c>
      <c r="AJ8221">
        <v>0</v>
      </c>
      <c r="AK8221">
        <v>0</v>
      </c>
      <c r="AL8221">
        <v>0</v>
      </c>
      <c r="AM8221">
        <v>832</v>
      </c>
      <c r="AN8221">
        <v>832</v>
      </c>
      <c r="AO8221">
        <v>832</v>
      </c>
      <c r="AP8221" s="2">
        <v>42746</v>
      </c>
      <c r="AQ8221" t="s">
        <v>72</v>
      </c>
      <c r="AR8221" t="s">
        <v>72</v>
      </c>
      <c r="AS8221">
        <v>2943</v>
      </c>
      <c r="AT8221" s="4">
        <v>42678</v>
      </c>
      <c r="AU8221" t="s">
        <v>73</v>
      </c>
      <c r="AV8221">
        <v>2943</v>
      </c>
      <c r="AW8221" s="4">
        <v>42678</v>
      </c>
      <c r="BD8221">
        <v>0</v>
      </c>
      <c r="BN8221" t="s">
        <v>74</v>
      </c>
    </row>
    <row r="8222" spans="1:66">
      <c r="A8222">
        <v>104660</v>
      </c>
      <c r="B8222" s="3" t="s">
        <v>689</v>
      </c>
      <c r="C8222" s="1">
        <v>43300101</v>
      </c>
      <c r="D8222" t="s">
        <v>67</v>
      </c>
      <c r="H8222" t="str">
        <f t="shared" si="812"/>
        <v>06141111002</v>
      </c>
      <c r="I8222" t="str">
        <f t="shared" si="812"/>
        <v>06141111002</v>
      </c>
      <c r="K8222" t="str">
        <f>""</f>
        <v/>
      </c>
      <c r="M8222" t="s">
        <v>68</v>
      </c>
      <c r="N8222" t="str">
        <f t="shared" si="813"/>
        <v>FOR</v>
      </c>
      <c r="O8222" t="s">
        <v>69</v>
      </c>
      <c r="P8222" s="3" t="s">
        <v>75</v>
      </c>
      <c r="Q8222">
        <v>2016</v>
      </c>
      <c r="R8222" s="2">
        <v>42398</v>
      </c>
      <c r="S8222" s="2">
        <v>42436</v>
      </c>
      <c r="T8222" s="2">
        <v>42426</v>
      </c>
      <c r="U8222" s="2">
        <v>42486</v>
      </c>
      <c r="V8222" t="s">
        <v>71</v>
      </c>
      <c r="W8222" t="str">
        <f>"                7/46"</f>
        <v xml:space="preserve">                7/46</v>
      </c>
      <c r="X8222">
        <v>832</v>
      </c>
      <c r="Y8222">
        <v>0</v>
      </c>
      <c r="Z8222" s="3">
        <v>800</v>
      </c>
      <c r="AA8222">
        <v>192</v>
      </c>
      <c r="AB8222" s="5">
        <v>153600</v>
      </c>
      <c r="AC8222">
        <v>800</v>
      </c>
      <c r="AD8222">
        <v>192</v>
      </c>
      <c r="AE8222" s="1">
        <v>153600</v>
      </c>
      <c r="AF8222">
        <v>0</v>
      </c>
      <c r="AJ8222">
        <v>0</v>
      </c>
      <c r="AK8222">
        <v>0</v>
      </c>
      <c r="AL8222">
        <v>0</v>
      </c>
      <c r="AM8222">
        <v>832</v>
      </c>
      <c r="AN8222">
        <v>832</v>
      </c>
      <c r="AO8222">
        <v>832</v>
      </c>
      <c r="AP8222" s="2">
        <v>42746</v>
      </c>
      <c r="AQ8222" t="s">
        <v>72</v>
      </c>
      <c r="AR8222" t="s">
        <v>72</v>
      </c>
      <c r="AS8222">
        <v>2943</v>
      </c>
      <c r="AT8222" s="4">
        <v>42678</v>
      </c>
      <c r="AU8222" t="s">
        <v>73</v>
      </c>
      <c r="AV8222">
        <v>2943</v>
      </c>
      <c r="AW8222" s="4">
        <v>42678</v>
      </c>
      <c r="BD8222">
        <v>0</v>
      </c>
      <c r="BN8222" t="s">
        <v>74</v>
      </c>
    </row>
    <row r="8223" spans="1:66">
      <c r="A8223">
        <v>104660</v>
      </c>
      <c r="B8223" s="3" t="s">
        <v>689</v>
      </c>
      <c r="C8223" s="1">
        <v>43300101</v>
      </c>
      <c r="D8223" t="s">
        <v>67</v>
      </c>
      <c r="H8223" t="str">
        <f t="shared" si="812"/>
        <v>06141111002</v>
      </c>
      <c r="I8223" t="str">
        <f t="shared" si="812"/>
        <v>06141111002</v>
      </c>
      <c r="K8223" t="str">
        <f>""</f>
        <v/>
      </c>
      <c r="M8223" t="s">
        <v>68</v>
      </c>
      <c r="N8223" t="str">
        <f t="shared" si="813"/>
        <v>FOR</v>
      </c>
      <c r="O8223" t="s">
        <v>69</v>
      </c>
      <c r="P8223" s="3" t="s">
        <v>75</v>
      </c>
      <c r="Q8223">
        <v>2016</v>
      </c>
      <c r="R8223" s="2">
        <v>42398</v>
      </c>
      <c r="S8223" s="2">
        <v>42436</v>
      </c>
      <c r="T8223" s="2">
        <v>42426</v>
      </c>
      <c r="U8223" s="2">
        <v>42486</v>
      </c>
      <c r="V8223" t="s">
        <v>71</v>
      </c>
      <c r="W8223" t="str">
        <f>"                7/47"</f>
        <v xml:space="preserve">                7/47</v>
      </c>
      <c r="X8223">
        <v>832</v>
      </c>
      <c r="Y8223">
        <v>0</v>
      </c>
      <c r="Z8223" s="3">
        <v>800</v>
      </c>
      <c r="AA8223">
        <v>192</v>
      </c>
      <c r="AB8223" s="5">
        <v>153600</v>
      </c>
      <c r="AC8223">
        <v>800</v>
      </c>
      <c r="AD8223">
        <v>192</v>
      </c>
      <c r="AE8223" s="1">
        <v>153600</v>
      </c>
      <c r="AF8223">
        <v>0</v>
      </c>
      <c r="AJ8223">
        <v>0</v>
      </c>
      <c r="AK8223">
        <v>0</v>
      </c>
      <c r="AL8223">
        <v>0</v>
      </c>
      <c r="AM8223">
        <v>832</v>
      </c>
      <c r="AN8223">
        <v>832</v>
      </c>
      <c r="AO8223">
        <v>832</v>
      </c>
      <c r="AP8223" s="2">
        <v>42746</v>
      </c>
      <c r="AQ8223" t="s">
        <v>72</v>
      </c>
      <c r="AR8223" t="s">
        <v>72</v>
      </c>
      <c r="AS8223">
        <v>2943</v>
      </c>
      <c r="AT8223" s="4">
        <v>42678</v>
      </c>
      <c r="AU8223" t="s">
        <v>73</v>
      </c>
      <c r="AV8223">
        <v>2943</v>
      </c>
      <c r="AW8223" s="4">
        <v>42678</v>
      </c>
      <c r="BD8223">
        <v>0</v>
      </c>
      <c r="BN8223" t="s">
        <v>74</v>
      </c>
    </row>
    <row r="8224" spans="1:66">
      <c r="A8224">
        <v>104660</v>
      </c>
      <c r="B8224" s="3" t="s">
        <v>689</v>
      </c>
      <c r="C8224" s="1">
        <v>43300101</v>
      </c>
      <c r="D8224" t="s">
        <v>67</v>
      </c>
      <c r="H8224" t="str">
        <f t="shared" si="812"/>
        <v>06141111002</v>
      </c>
      <c r="I8224" t="str">
        <f t="shared" si="812"/>
        <v>06141111002</v>
      </c>
      <c r="K8224" t="str">
        <f>""</f>
        <v/>
      </c>
      <c r="M8224" t="s">
        <v>68</v>
      </c>
      <c r="N8224" t="str">
        <f t="shared" si="813"/>
        <v>FOR</v>
      </c>
      <c r="O8224" t="s">
        <v>69</v>
      </c>
      <c r="P8224" s="3" t="s">
        <v>75</v>
      </c>
      <c r="Q8224">
        <v>2016</v>
      </c>
      <c r="R8224" s="2">
        <v>42398</v>
      </c>
      <c r="S8224" s="2">
        <v>42436</v>
      </c>
      <c r="T8224" s="2">
        <v>42426</v>
      </c>
      <c r="U8224" s="2">
        <v>42486</v>
      </c>
      <c r="V8224" t="s">
        <v>71</v>
      </c>
      <c r="W8224" t="str">
        <f>"                7/48"</f>
        <v xml:space="preserve">                7/48</v>
      </c>
      <c r="X8224">
        <v>832</v>
      </c>
      <c r="Y8224">
        <v>0</v>
      </c>
      <c r="Z8224" s="3">
        <v>800</v>
      </c>
      <c r="AA8224">
        <v>192</v>
      </c>
      <c r="AB8224" s="5">
        <v>153600</v>
      </c>
      <c r="AC8224">
        <v>800</v>
      </c>
      <c r="AD8224">
        <v>192</v>
      </c>
      <c r="AE8224" s="1">
        <v>153600</v>
      </c>
      <c r="AF8224">
        <v>0</v>
      </c>
      <c r="AJ8224">
        <v>0</v>
      </c>
      <c r="AK8224">
        <v>0</v>
      </c>
      <c r="AL8224">
        <v>0</v>
      </c>
      <c r="AM8224">
        <v>832</v>
      </c>
      <c r="AN8224">
        <v>832</v>
      </c>
      <c r="AO8224">
        <v>832</v>
      </c>
      <c r="AP8224" s="2">
        <v>42746</v>
      </c>
      <c r="AQ8224" t="s">
        <v>72</v>
      </c>
      <c r="AR8224" t="s">
        <v>72</v>
      </c>
      <c r="AS8224">
        <v>2943</v>
      </c>
      <c r="AT8224" s="4">
        <v>42678</v>
      </c>
      <c r="AU8224" t="s">
        <v>73</v>
      </c>
      <c r="AV8224">
        <v>2943</v>
      </c>
      <c r="AW8224" s="4">
        <v>42678</v>
      </c>
      <c r="BD8224">
        <v>0</v>
      </c>
      <c r="BN8224" t="s">
        <v>74</v>
      </c>
    </row>
    <row r="8225" spans="1:66">
      <c r="A8225">
        <v>104660</v>
      </c>
      <c r="B8225" s="3" t="s">
        <v>689</v>
      </c>
      <c r="C8225" s="1">
        <v>43300101</v>
      </c>
      <c r="D8225" t="s">
        <v>67</v>
      </c>
      <c r="H8225" t="str">
        <f t="shared" si="812"/>
        <v>06141111002</v>
      </c>
      <c r="I8225" t="str">
        <f t="shared" si="812"/>
        <v>06141111002</v>
      </c>
      <c r="K8225" t="str">
        <f>""</f>
        <v/>
      </c>
      <c r="M8225" t="s">
        <v>68</v>
      </c>
      <c r="N8225" t="str">
        <f t="shared" si="813"/>
        <v>FOR</v>
      </c>
      <c r="O8225" t="s">
        <v>69</v>
      </c>
      <c r="P8225" s="3" t="s">
        <v>75</v>
      </c>
      <c r="Q8225">
        <v>2016</v>
      </c>
      <c r="R8225" s="2">
        <v>42398</v>
      </c>
      <c r="S8225" s="2">
        <v>42436</v>
      </c>
      <c r="T8225" s="2">
        <v>42426</v>
      </c>
      <c r="U8225" s="2">
        <v>42486</v>
      </c>
      <c r="V8225" t="s">
        <v>71</v>
      </c>
      <c r="W8225" t="str">
        <f>"                7/49"</f>
        <v xml:space="preserve">                7/49</v>
      </c>
      <c r="X8225">
        <v>832</v>
      </c>
      <c r="Y8225">
        <v>0</v>
      </c>
      <c r="Z8225" s="3">
        <v>800</v>
      </c>
      <c r="AA8225">
        <v>192</v>
      </c>
      <c r="AB8225" s="5">
        <v>153600</v>
      </c>
      <c r="AC8225">
        <v>800</v>
      </c>
      <c r="AD8225">
        <v>192</v>
      </c>
      <c r="AE8225" s="1">
        <v>153600</v>
      </c>
      <c r="AF8225">
        <v>0</v>
      </c>
      <c r="AJ8225">
        <v>0</v>
      </c>
      <c r="AK8225">
        <v>0</v>
      </c>
      <c r="AL8225">
        <v>0</v>
      </c>
      <c r="AM8225">
        <v>832</v>
      </c>
      <c r="AN8225">
        <v>832</v>
      </c>
      <c r="AO8225">
        <v>832</v>
      </c>
      <c r="AP8225" s="2">
        <v>42746</v>
      </c>
      <c r="AQ8225" t="s">
        <v>72</v>
      </c>
      <c r="AR8225" t="s">
        <v>72</v>
      </c>
      <c r="AS8225">
        <v>2943</v>
      </c>
      <c r="AT8225" s="4">
        <v>42678</v>
      </c>
      <c r="AU8225" t="s">
        <v>73</v>
      </c>
      <c r="AV8225">
        <v>2943</v>
      </c>
      <c r="AW8225" s="4">
        <v>42678</v>
      </c>
      <c r="BD8225">
        <v>0</v>
      </c>
      <c r="BN8225" t="s">
        <v>74</v>
      </c>
    </row>
    <row r="8226" spans="1:66">
      <c r="A8226">
        <v>104660</v>
      </c>
      <c r="B8226" s="3" t="s">
        <v>689</v>
      </c>
      <c r="C8226" s="1">
        <v>43300101</v>
      </c>
      <c r="D8226" t="s">
        <v>67</v>
      </c>
      <c r="H8226" t="str">
        <f t="shared" si="812"/>
        <v>06141111002</v>
      </c>
      <c r="I8226" t="str">
        <f t="shared" si="812"/>
        <v>06141111002</v>
      </c>
      <c r="K8226" t="str">
        <f>""</f>
        <v/>
      </c>
      <c r="M8226" t="s">
        <v>68</v>
      </c>
      <c r="N8226" t="str">
        <f t="shared" si="813"/>
        <v>FOR</v>
      </c>
      <c r="O8226" t="s">
        <v>69</v>
      </c>
      <c r="P8226" s="3" t="s">
        <v>75</v>
      </c>
      <c r="Q8226">
        <v>2016</v>
      </c>
      <c r="R8226" s="2">
        <v>42398</v>
      </c>
      <c r="S8226" s="2">
        <v>42436</v>
      </c>
      <c r="T8226" s="2">
        <v>42426</v>
      </c>
      <c r="U8226" s="2">
        <v>42486</v>
      </c>
      <c r="V8226" t="s">
        <v>71</v>
      </c>
      <c r="W8226" t="str">
        <f>"                7/50"</f>
        <v xml:space="preserve">                7/50</v>
      </c>
      <c r="X8226">
        <v>832</v>
      </c>
      <c r="Y8226">
        <v>0</v>
      </c>
      <c r="Z8226" s="3">
        <v>800</v>
      </c>
      <c r="AA8226">
        <v>192</v>
      </c>
      <c r="AB8226" s="5">
        <v>153600</v>
      </c>
      <c r="AC8226">
        <v>800</v>
      </c>
      <c r="AD8226">
        <v>192</v>
      </c>
      <c r="AE8226" s="1">
        <v>153600</v>
      </c>
      <c r="AF8226">
        <v>0</v>
      </c>
      <c r="AJ8226">
        <v>0</v>
      </c>
      <c r="AK8226">
        <v>0</v>
      </c>
      <c r="AL8226">
        <v>0</v>
      </c>
      <c r="AM8226">
        <v>832</v>
      </c>
      <c r="AN8226">
        <v>832</v>
      </c>
      <c r="AO8226">
        <v>832</v>
      </c>
      <c r="AP8226" s="2">
        <v>42746</v>
      </c>
      <c r="AQ8226" t="s">
        <v>72</v>
      </c>
      <c r="AR8226" t="s">
        <v>72</v>
      </c>
      <c r="AS8226">
        <v>2943</v>
      </c>
      <c r="AT8226" s="4">
        <v>42678</v>
      </c>
      <c r="AU8226" t="s">
        <v>73</v>
      </c>
      <c r="AV8226">
        <v>2943</v>
      </c>
      <c r="AW8226" s="4">
        <v>42678</v>
      </c>
      <c r="BD8226">
        <v>0</v>
      </c>
      <c r="BN8226" t="s">
        <v>74</v>
      </c>
    </row>
    <row r="8227" spans="1:66">
      <c r="A8227">
        <v>104660</v>
      </c>
      <c r="B8227" s="3" t="s">
        <v>689</v>
      </c>
      <c r="C8227" s="1">
        <v>43300101</v>
      </c>
      <c r="D8227" t="s">
        <v>67</v>
      </c>
      <c r="H8227" t="str">
        <f t="shared" si="812"/>
        <v>06141111002</v>
      </c>
      <c r="I8227" t="str">
        <f t="shared" si="812"/>
        <v>06141111002</v>
      </c>
      <c r="K8227" t="str">
        <f>""</f>
        <v/>
      </c>
      <c r="M8227" t="s">
        <v>68</v>
      </c>
      <c r="N8227" t="str">
        <f t="shared" si="813"/>
        <v>FOR</v>
      </c>
      <c r="O8227" t="s">
        <v>69</v>
      </c>
      <c r="P8227" s="3" t="s">
        <v>75</v>
      </c>
      <c r="Q8227">
        <v>2016</v>
      </c>
      <c r="R8227" s="2">
        <v>42398</v>
      </c>
      <c r="S8227" s="2">
        <v>42436</v>
      </c>
      <c r="T8227" s="2">
        <v>42426</v>
      </c>
      <c r="U8227" s="2">
        <v>42486</v>
      </c>
      <c r="V8227" t="s">
        <v>71</v>
      </c>
      <c r="W8227" t="str">
        <f>"                7/51"</f>
        <v xml:space="preserve">                7/51</v>
      </c>
      <c r="X8227">
        <v>832</v>
      </c>
      <c r="Y8227">
        <v>0</v>
      </c>
      <c r="Z8227" s="3">
        <v>800</v>
      </c>
      <c r="AA8227">
        <v>192</v>
      </c>
      <c r="AB8227" s="5">
        <v>153600</v>
      </c>
      <c r="AC8227">
        <v>800</v>
      </c>
      <c r="AD8227">
        <v>192</v>
      </c>
      <c r="AE8227" s="1">
        <v>153600</v>
      </c>
      <c r="AF8227">
        <v>0</v>
      </c>
      <c r="AJ8227">
        <v>0</v>
      </c>
      <c r="AK8227">
        <v>0</v>
      </c>
      <c r="AL8227">
        <v>0</v>
      </c>
      <c r="AM8227">
        <v>832</v>
      </c>
      <c r="AN8227">
        <v>832</v>
      </c>
      <c r="AO8227">
        <v>832</v>
      </c>
      <c r="AP8227" s="2">
        <v>42746</v>
      </c>
      <c r="AQ8227" t="s">
        <v>72</v>
      </c>
      <c r="AR8227" t="s">
        <v>72</v>
      </c>
      <c r="AS8227">
        <v>2943</v>
      </c>
      <c r="AT8227" s="4">
        <v>42678</v>
      </c>
      <c r="AU8227" t="s">
        <v>73</v>
      </c>
      <c r="AV8227">
        <v>2943</v>
      </c>
      <c r="AW8227" s="4">
        <v>42678</v>
      </c>
      <c r="BD8227">
        <v>0</v>
      </c>
      <c r="BN8227" t="s">
        <v>74</v>
      </c>
    </row>
    <row r="8228" spans="1:66">
      <c r="A8228">
        <v>104660</v>
      </c>
      <c r="B8228" s="3" t="s">
        <v>689</v>
      </c>
      <c r="C8228" s="1">
        <v>43300101</v>
      </c>
      <c r="D8228" t="s">
        <v>67</v>
      </c>
      <c r="H8228" t="str">
        <f t="shared" ref="H8228:I8251" si="814">"06141111002"</f>
        <v>06141111002</v>
      </c>
      <c r="I8228" t="str">
        <f t="shared" si="814"/>
        <v>06141111002</v>
      </c>
      <c r="K8228" t="str">
        <f>""</f>
        <v/>
      </c>
      <c r="M8228" t="s">
        <v>68</v>
      </c>
      <c r="N8228" t="str">
        <f t="shared" si="813"/>
        <v>FOR</v>
      </c>
      <c r="O8228" t="s">
        <v>69</v>
      </c>
      <c r="P8228" s="3" t="s">
        <v>75</v>
      </c>
      <c r="Q8228">
        <v>2016</v>
      </c>
      <c r="R8228" s="2">
        <v>42398</v>
      </c>
      <c r="S8228" s="2">
        <v>42436</v>
      </c>
      <c r="T8228" s="2">
        <v>42426</v>
      </c>
      <c r="U8228" s="2">
        <v>42486</v>
      </c>
      <c r="V8228" t="s">
        <v>71</v>
      </c>
      <c r="W8228" t="str">
        <f>"                7/52"</f>
        <v xml:space="preserve">                7/52</v>
      </c>
      <c r="X8228">
        <v>832</v>
      </c>
      <c r="Y8228">
        <v>0</v>
      </c>
      <c r="Z8228" s="3">
        <v>800</v>
      </c>
      <c r="AA8228">
        <v>192</v>
      </c>
      <c r="AB8228" s="5">
        <v>153600</v>
      </c>
      <c r="AC8228">
        <v>800</v>
      </c>
      <c r="AD8228">
        <v>192</v>
      </c>
      <c r="AE8228" s="1">
        <v>153600</v>
      </c>
      <c r="AF8228">
        <v>0</v>
      </c>
      <c r="AJ8228">
        <v>0</v>
      </c>
      <c r="AK8228">
        <v>0</v>
      </c>
      <c r="AL8228">
        <v>0</v>
      </c>
      <c r="AM8228">
        <v>832</v>
      </c>
      <c r="AN8228">
        <v>832</v>
      </c>
      <c r="AO8228">
        <v>832</v>
      </c>
      <c r="AP8228" s="2">
        <v>42746</v>
      </c>
      <c r="AQ8228" t="s">
        <v>72</v>
      </c>
      <c r="AR8228" t="s">
        <v>72</v>
      </c>
      <c r="AS8228">
        <v>2943</v>
      </c>
      <c r="AT8228" s="4">
        <v>42678</v>
      </c>
      <c r="AU8228" t="s">
        <v>73</v>
      </c>
      <c r="AV8228">
        <v>2943</v>
      </c>
      <c r="AW8228" s="4">
        <v>42678</v>
      </c>
      <c r="BD8228">
        <v>0</v>
      </c>
      <c r="BN8228" t="s">
        <v>74</v>
      </c>
    </row>
    <row r="8229" spans="1:66">
      <c r="A8229">
        <v>104660</v>
      </c>
      <c r="B8229" s="3" t="s">
        <v>689</v>
      </c>
      <c r="C8229" s="1">
        <v>43300101</v>
      </c>
      <c r="D8229" t="s">
        <v>67</v>
      </c>
      <c r="H8229" t="str">
        <f t="shared" si="814"/>
        <v>06141111002</v>
      </c>
      <c r="I8229" t="str">
        <f t="shared" si="814"/>
        <v>06141111002</v>
      </c>
      <c r="K8229" t="str">
        <f>""</f>
        <v/>
      </c>
      <c r="M8229" t="s">
        <v>68</v>
      </c>
      <c r="N8229" t="str">
        <f t="shared" si="813"/>
        <v>FOR</v>
      </c>
      <c r="O8229" t="s">
        <v>69</v>
      </c>
      <c r="P8229" s="3" t="s">
        <v>75</v>
      </c>
      <c r="Q8229">
        <v>2016</v>
      </c>
      <c r="R8229" s="2">
        <v>42398</v>
      </c>
      <c r="S8229" s="2">
        <v>42436</v>
      </c>
      <c r="T8229" s="2">
        <v>42426</v>
      </c>
      <c r="U8229" s="2">
        <v>42486</v>
      </c>
      <c r="V8229" t="s">
        <v>71</v>
      </c>
      <c r="W8229" t="str">
        <f>"                7/53"</f>
        <v xml:space="preserve">                7/53</v>
      </c>
      <c r="X8229">
        <v>832</v>
      </c>
      <c r="Y8229">
        <v>0</v>
      </c>
      <c r="Z8229" s="3">
        <v>800</v>
      </c>
      <c r="AA8229">
        <v>192</v>
      </c>
      <c r="AB8229" s="5">
        <v>153600</v>
      </c>
      <c r="AC8229">
        <v>800</v>
      </c>
      <c r="AD8229">
        <v>192</v>
      </c>
      <c r="AE8229" s="1">
        <v>153600</v>
      </c>
      <c r="AF8229">
        <v>0</v>
      </c>
      <c r="AJ8229">
        <v>0</v>
      </c>
      <c r="AK8229">
        <v>0</v>
      </c>
      <c r="AL8229">
        <v>0</v>
      </c>
      <c r="AM8229">
        <v>832</v>
      </c>
      <c r="AN8229">
        <v>832</v>
      </c>
      <c r="AO8229">
        <v>832</v>
      </c>
      <c r="AP8229" s="2">
        <v>42746</v>
      </c>
      <c r="AQ8229" t="s">
        <v>72</v>
      </c>
      <c r="AR8229" t="s">
        <v>72</v>
      </c>
      <c r="AS8229">
        <v>2943</v>
      </c>
      <c r="AT8229" s="4">
        <v>42678</v>
      </c>
      <c r="AU8229" t="s">
        <v>73</v>
      </c>
      <c r="AV8229">
        <v>2943</v>
      </c>
      <c r="AW8229" s="4">
        <v>42678</v>
      </c>
      <c r="BD8229">
        <v>0</v>
      </c>
      <c r="BN8229" t="s">
        <v>74</v>
      </c>
    </row>
    <row r="8230" spans="1:66">
      <c r="A8230">
        <v>104660</v>
      </c>
      <c r="B8230" s="3" t="s">
        <v>689</v>
      </c>
      <c r="C8230" s="1">
        <v>43300101</v>
      </c>
      <c r="D8230" t="s">
        <v>67</v>
      </c>
      <c r="H8230" t="str">
        <f t="shared" si="814"/>
        <v>06141111002</v>
      </c>
      <c r="I8230" t="str">
        <f t="shared" si="814"/>
        <v>06141111002</v>
      </c>
      <c r="K8230" t="str">
        <f>""</f>
        <v/>
      </c>
      <c r="M8230" t="s">
        <v>68</v>
      </c>
      <c r="N8230" t="str">
        <f t="shared" si="813"/>
        <v>FOR</v>
      </c>
      <c r="O8230" t="s">
        <v>69</v>
      </c>
      <c r="P8230" s="3" t="s">
        <v>75</v>
      </c>
      <c r="Q8230">
        <v>2016</v>
      </c>
      <c r="R8230" s="2">
        <v>42398</v>
      </c>
      <c r="S8230" s="2">
        <v>42436</v>
      </c>
      <c r="T8230" s="2">
        <v>42426</v>
      </c>
      <c r="U8230" s="2">
        <v>42486</v>
      </c>
      <c r="V8230" t="s">
        <v>71</v>
      </c>
      <c r="W8230" t="str">
        <f>"                7/54"</f>
        <v xml:space="preserve">                7/54</v>
      </c>
      <c r="X8230">
        <v>832</v>
      </c>
      <c r="Y8230">
        <v>0</v>
      </c>
      <c r="Z8230" s="3">
        <v>800</v>
      </c>
      <c r="AA8230">
        <v>192</v>
      </c>
      <c r="AB8230" s="5">
        <v>153600</v>
      </c>
      <c r="AC8230">
        <v>800</v>
      </c>
      <c r="AD8230">
        <v>192</v>
      </c>
      <c r="AE8230" s="1">
        <v>153600</v>
      </c>
      <c r="AF8230">
        <v>0</v>
      </c>
      <c r="AJ8230">
        <v>0</v>
      </c>
      <c r="AK8230">
        <v>0</v>
      </c>
      <c r="AL8230">
        <v>0</v>
      </c>
      <c r="AM8230">
        <v>832</v>
      </c>
      <c r="AN8230">
        <v>832</v>
      </c>
      <c r="AO8230">
        <v>832</v>
      </c>
      <c r="AP8230" s="2">
        <v>42746</v>
      </c>
      <c r="AQ8230" t="s">
        <v>72</v>
      </c>
      <c r="AR8230" t="s">
        <v>72</v>
      </c>
      <c r="AS8230">
        <v>2943</v>
      </c>
      <c r="AT8230" s="4">
        <v>42678</v>
      </c>
      <c r="AU8230" t="s">
        <v>73</v>
      </c>
      <c r="AV8230">
        <v>2943</v>
      </c>
      <c r="AW8230" s="4">
        <v>42678</v>
      </c>
      <c r="BD8230">
        <v>0</v>
      </c>
      <c r="BN8230" t="s">
        <v>74</v>
      </c>
    </row>
    <row r="8231" spans="1:66">
      <c r="A8231">
        <v>104660</v>
      </c>
      <c r="B8231" s="3" t="s">
        <v>689</v>
      </c>
      <c r="C8231" s="1">
        <v>43300101</v>
      </c>
      <c r="D8231" t="s">
        <v>67</v>
      </c>
      <c r="H8231" t="str">
        <f t="shared" si="814"/>
        <v>06141111002</v>
      </c>
      <c r="I8231" t="str">
        <f t="shared" si="814"/>
        <v>06141111002</v>
      </c>
      <c r="K8231" t="str">
        <f>""</f>
        <v/>
      </c>
      <c r="M8231" t="s">
        <v>68</v>
      </c>
      <c r="N8231" t="str">
        <f t="shared" si="813"/>
        <v>FOR</v>
      </c>
      <c r="O8231" t="s">
        <v>69</v>
      </c>
      <c r="P8231" s="3" t="s">
        <v>75</v>
      </c>
      <c r="Q8231">
        <v>2016</v>
      </c>
      <c r="R8231" s="2">
        <v>42398</v>
      </c>
      <c r="S8231" s="2">
        <v>42436</v>
      </c>
      <c r="T8231" s="2">
        <v>42426</v>
      </c>
      <c r="U8231" s="2">
        <v>42486</v>
      </c>
      <c r="V8231" t="s">
        <v>71</v>
      </c>
      <c r="W8231" t="str">
        <f>"                7/55"</f>
        <v xml:space="preserve">                7/55</v>
      </c>
      <c r="X8231">
        <v>832</v>
      </c>
      <c r="Y8231">
        <v>0</v>
      </c>
      <c r="Z8231" s="3">
        <v>800</v>
      </c>
      <c r="AA8231">
        <v>192</v>
      </c>
      <c r="AB8231" s="5">
        <v>153600</v>
      </c>
      <c r="AC8231">
        <v>800</v>
      </c>
      <c r="AD8231">
        <v>192</v>
      </c>
      <c r="AE8231" s="1">
        <v>153600</v>
      </c>
      <c r="AF8231">
        <v>0</v>
      </c>
      <c r="AJ8231">
        <v>0</v>
      </c>
      <c r="AK8231">
        <v>0</v>
      </c>
      <c r="AL8231">
        <v>0</v>
      </c>
      <c r="AM8231">
        <v>832</v>
      </c>
      <c r="AN8231">
        <v>832</v>
      </c>
      <c r="AO8231">
        <v>832</v>
      </c>
      <c r="AP8231" s="2">
        <v>42746</v>
      </c>
      <c r="AQ8231" t="s">
        <v>72</v>
      </c>
      <c r="AR8231" t="s">
        <v>72</v>
      </c>
      <c r="AS8231">
        <v>2943</v>
      </c>
      <c r="AT8231" s="4">
        <v>42678</v>
      </c>
      <c r="AU8231" t="s">
        <v>73</v>
      </c>
      <c r="AV8231">
        <v>2943</v>
      </c>
      <c r="AW8231" s="4">
        <v>42678</v>
      </c>
      <c r="BD8231">
        <v>0</v>
      </c>
      <c r="BN8231" t="s">
        <v>74</v>
      </c>
    </row>
    <row r="8232" spans="1:66">
      <c r="A8232">
        <v>104660</v>
      </c>
      <c r="B8232" s="3" t="s">
        <v>689</v>
      </c>
      <c r="C8232" s="1">
        <v>43300101</v>
      </c>
      <c r="D8232" t="s">
        <v>67</v>
      </c>
      <c r="H8232" t="str">
        <f t="shared" si="814"/>
        <v>06141111002</v>
      </c>
      <c r="I8232" t="str">
        <f t="shared" si="814"/>
        <v>06141111002</v>
      </c>
      <c r="K8232" t="str">
        <f>""</f>
        <v/>
      </c>
      <c r="M8232" t="s">
        <v>68</v>
      </c>
      <c r="N8232" t="str">
        <f t="shared" si="813"/>
        <v>FOR</v>
      </c>
      <c r="O8232" t="s">
        <v>69</v>
      </c>
      <c r="P8232" s="3" t="s">
        <v>75</v>
      </c>
      <c r="Q8232">
        <v>2016</v>
      </c>
      <c r="R8232" s="2">
        <v>42398</v>
      </c>
      <c r="S8232" s="2">
        <v>42436</v>
      </c>
      <c r="T8232" s="2">
        <v>42426</v>
      </c>
      <c r="U8232" s="2">
        <v>42486</v>
      </c>
      <c r="V8232" t="s">
        <v>71</v>
      </c>
      <c r="W8232" t="str">
        <f>"                7/56"</f>
        <v xml:space="preserve">                7/56</v>
      </c>
      <c r="X8232">
        <v>832</v>
      </c>
      <c r="Y8232">
        <v>0</v>
      </c>
      <c r="Z8232" s="3">
        <v>800</v>
      </c>
      <c r="AA8232">
        <v>192</v>
      </c>
      <c r="AB8232" s="5">
        <v>153600</v>
      </c>
      <c r="AC8232">
        <v>800</v>
      </c>
      <c r="AD8232">
        <v>192</v>
      </c>
      <c r="AE8232" s="1">
        <v>153600</v>
      </c>
      <c r="AF8232">
        <v>0</v>
      </c>
      <c r="AJ8232">
        <v>0</v>
      </c>
      <c r="AK8232">
        <v>0</v>
      </c>
      <c r="AL8232">
        <v>0</v>
      </c>
      <c r="AM8232">
        <v>832</v>
      </c>
      <c r="AN8232">
        <v>832</v>
      </c>
      <c r="AO8232">
        <v>832</v>
      </c>
      <c r="AP8232" s="2">
        <v>42746</v>
      </c>
      <c r="AQ8232" t="s">
        <v>72</v>
      </c>
      <c r="AR8232" t="s">
        <v>72</v>
      </c>
      <c r="AS8232">
        <v>2943</v>
      </c>
      <c r="AT8232" s="4">
        <v>42678</v>
      </c>
      <c r="AU8232" t="s">
        <v>73</v>
      </c>
      <c r="AV8232">
        <v>2943</v>
      </c>
      <c r="AW8232" s="4">
        <v>42678</v>
      </c>
      <c r="BD8232">
        <v>0</v>
      </c>
      <c r="BN8232" t="s">
        <v>74</v>
      </c>
    </row>
    <row r="8233" spans="1:66">
      <c r="A8233">
        <v>104660</v>
      </c>
      <c r="B8233" s="3" t="s">
        <v>689</v>
      </c>
      <c r="C8233" s="1">
        <v>43300101</v>
      </c>
      <c r="D8233" t="s">
        <v>67</v>
      </c>
      <c r="H8233" t="str">
        <f t="shared" si="814"/>
        <v>06141111002</v>
      </c>
      <c r="I8233" t="str">
        <f t="shared" si="814"/>
        <v>06141111002</v>
      </c>
      <c r="K8233" t="str">
        <f>""</f>
        <v/>
      </c>
      <c r="M8233" t="s">
        <v>68</v>
      </c>
      <c r="N8233" t="str">
        <f t="shared" si="813"/>
        <v>FOR</v>
      </c>
      <c r="O8233" t="s">
        <v>69</v>
      </c>
      <c r="P8233" s="3" t="s">
        <v>75</v>
      </c>
      <c r="Q8233">
        <v>2016</v>
      </c>
      <c r="R8233" s="2">
        <v>42428</v>
      </c>
      <c r="S8233" s="2">
        <v>42443</v>
      </c>
      <c r="T8233" s="2">
        <v>42440</v>
      </c>
      <c r="U8233" s="2">
        <v>42500</v>
      </c>
      <c r="V8233" t="s">
        <v>71</v>
      </c>
      <c r="W8233" t="str">
        <f>"               7/121"</f>
        <v xml:space="preserve">               7/121</v>
      </c>
      <c r="X8233">
        <v>832</v>
      </c>
      <c r="Y8233">
        <v>0</v>
      </c>
      <c r="Z8233" s="3">
        <v>800</v>
      </c>
      <c r="AA8233">
        <v>223</v>
      </c>
      <c r="AB8233" s="5">
        <v>178400</v>
      </c>
      <c r="AC8233">
        <v>800</v>
      </c>
      <c r="AD8233">
        <v>223</v>
      </c>
      <c r="AE8233" s="1">
        <v>178400</v>
      </c>
      <c r="AF8233">
        <v>32</v>
      </c>
      <c r="AJ8233">
        <v>0</v>
      </c>
      <c r="AK8233">
        <v>0</v>
      </c>
      <c r="AL8233">
        <v>0</v>
      </c>
      <c r="AM8233">
        <v>832</v>
      </c>
      <c r="AN8233">
        <v>832</v>
      </c>
      <c r="AO8233">
        <v>832</v>
      </c>
      <c r="AP8233" s="2">
        <v>42746</v>
      </c>
      <c r="AQ8233" t="s">
        <v>72</v>
      </c>
      <c r="AR8233" t="s">
        <v>72</v>
      </c>
      <c r="AS8233">
        <v>3579</v>
      </c>
      <c r="AT8233" s="4">
        <v>42723</v>
      </c>
      <c r="AU8233" t="s">
        <v>73</v>
      </c>
      <c r="AV8233">
        <v>3579</v>
      </c>
      <c r="AW8233" s="4">
        <v>42723</v>
      </c>
      <c r="BD8233">
        <v>32</v>
      </c>
      <c r="BN8233" t="s">
        <v>74</v>
      </c>
    </row>
    <row r="8234" spans="1:66">
      <c r="A8234">
        <v>104660</v>
      </c>
      <c r="B8234" s="3" t="s">
        <v>689</v>
      </c>
      <c r="C8234" s="1">
        <v>43300101</v>
      </c>
      <c r="D8234" t="s">
        <v>67</v>
      </c>
      <c r="H8234" t="str">
        <f t="shared" si="814"/>
        <v>06141111002</v>
      </c>
      <c r="I8234" t="str">
        <f t="shared" si="814"/>
        <v>06141111002</v>
      </c>
      <c r="K8234" t="str">
        <f>""</f>
        <v/>
      </c>
      <c r="M8234" t="s">
        <v>68</v>
      </c>
      <c r="N8234" t="str">
        <f t="shared" si="813"/>
        <v>FOR</v>
      </c>
      <c r="O8234" t="s">
        <v>69</v>
      </c>
      <c r="P8234" s="3" t="s">
        <v>75</v>
      </c>
      <c r="Q8234">
        <v>2016</v>
      </c>
      <c r="R8234" s="2">
        <v>42428</v>
      </c>
      <c r="S8234" s="2">
        <v>42443</v>
      </c>
      <c r="T8234" s="2">
        <v>42440</v>
      </c>
      <c r="U8234" s="2">
        <v>42500</v>
      </c>
      <c r="V8234" t="s">
        <v>71</v>
      </c>
      <c r="W8234" t="str">
        <f>"               7/122"</f>
        <v xml:space="preserve">               7/122</v>
      </c>
      <c r="X8234">
        <v>832</v>
      </c>
      <c r="Y8234">
        <v>0</v>
      </c>
      <c r="Z8234" s="3">
        <v>800</v>
      </c>
      <c r="AA8234">
        <v>223</v>
      </c>
      <c r="AB8234" s="5">
        <v>178400</v>
      </c>
      <c r="AC8234">
        <v>800</v>
      </c>
      <c r="AD8234">
        <v>223</v>
      </c>
      <c r="AE8234" s="1">
        <v>178400</v>
      </c>
      <c r="AF8234">
        <v>32</v>
      </c>
      <c r="AJ8234">
        <v>0</v>
      </c>
      <c r="AK8234">
        <v>0</v>
      </c>
      <c r="AL8234">
        <v>0</v>
      </c>
      <c r="AM8234">
        <v>832</v>
      </c>
      <c r="AN8234">
        <v>832</v>
      </c>
      <c r="AO8234">
        <v>832</v>
      </c>
      <c r="AP8234" s="2">
        <v>42746</v>
      </c>
      <c r="AQ8234" t="s">
        <v>72</v>
      </c>
      <c r="AR8234" t="s">
        <v>72</v>
      </c>
      <c r="AS8234">
        <v>3579</v>
      </c>
      <c r="AT8234" s="4">
        <v>42723</v>
      </c>
      <c r="AU8234" t="s">
        <v>73</v>
      </c>
      <c r="AV8234">
        <v>3579</v>
      </c>
      <c r="AW8234" s="4">
        <v>42723</v>
      </c>
      <c r="BD8234">
        <v>32</v>
      </c>
      <c r="BN8234" t="s">
        <v>74</v>
      </c>
    </row>
    <row r="8235" spans="1:66">
      <c r="A8235">
        <v>104660</v>
      </c>
      <c r="B8235" s="3" t="s">
        <v>689</v>
      </c>
      <c r="C8235" s="1">
        <v>43300101</v>
      </c>
      <c r="D8235" t="s">
        <v>67</v>
      </c>
      <c r="H8235" t="str">
        <f t="shared" si="814"/>
        <v>06141111002</v>
      </c>
      <c r="I8235" t="str">
        <f t="shared" si="814"/>
        <v>06141111002</v>
      </c>
      <c r="K8235" t="str">
        <f>""</f>
        <v/>
      </c>
      <c r="M8235" t="s">
        <v>68</v>
      </c>
      <c r="N8235" t="str">
        <f t="shared" si="813"/>
        <v>FOR</v>
      </c>
      <c r="O8235" t="s">
        <v>69</v>
      </c>
      <c r="P8235" s="3" t="s">
        <v>75</v>
      </c>
      <c r="Q8235">
        <v>2016</v>
      </c>
      <c r="R8235" s="2">
        <v>42428</v>
      </c>
      <c r="S8235" s="2">
        <v>42443</v>
      </c>
      <c r="T8235" s="2">
        <v>42440</v>
      </c>
      <c r="U8235" s="2">
        <v>42500</v>
      </c>
      <c r="V8235" t="s">
        <v>71</v>
      </c>
      <c r="W8235" t="str">
        <f>"               7/123"</f>
        <v xml:space="preserve">               7/123</v>
      </c>
      <c r="X8235">
        <v>832</v>
      </c>
      <c r="Y8235">
        <v>0</v>
      </c>
      <c r="Z8235" s="3">
        <v>800</v>
      </c>
      <c r="AA8235">
        <v>223</v>
      </c>
      <c r="AB8235" s="5">
        <v>178400</v>
      </c>
      <c r="AC8235">
        <v>800</v>
      </c>
      <c r="AD8235">
        <v>223</v>
      </c>
      <c r="AE8235" s="1">
        <v>178400</v>
      </c>
      <c r="AF8235">
        <v>32</v>
      </c>
      <c r="AJ8235">
        <v>0</v>
      </c>
      <c r="AK8235">
        <v>0</v>
      </c>
      <c r="AL8235">
        <v>0</v>
      </c>
      <c r="AM8235">
        <v>832</v>
      </c>
      <c r="AN8235">
        <v>832</v>
      </c>
      <c r="AO8235">
        <v>832</v>
      </c>
      <c r="AP8235" s="2">
        <v>42746</v>
      </c>
      <c r="AQ8235" t="s">
        <v>72</v>
      </c>
      <c r="AR8235" t="s">
        <v>72</v>
      </c>
      <c r="AS8235">
        <v>3579</v>
      </c>
      <c r="AT8235" s="4">
        <v>42723</v>
      </c>
      <c r="AU8235" t="s">
        <v>73</v>
      </c>
      <c r="AV8235">
        <v>3579</v>
      </c>
      <c r="AW8235" s="4">
        <v>42723</v>
      </c>
      <c r="BD8235">
        <v>32</v>
      </c>
      <c r="BN8235" t="s">
        <v>74</v>
      </c>
    </row>
    <row r="8236" spans="1:66">
      <c r="A8236">
        <v>104660</v>
      </c>
      <c r="B8236" s="3" t="s">
        <v>689</v>
      </c>
      <c r="C8236" s="1">
        <v>43300101</v>
      </c>
      <c r="D8236" t="s">
        <v>67</v>
      </c>
      <c r="H8236" t="str">
        <f t="shared" si="814"/>
        <v>06141111002</v>
      </c>
      <c r="I8236" t="str">
        <f t="shared" si="814"/>
        <v>06141111002</v>
      </c>
      <c r="K8236" t="str">
        <f>""</f>
        <v/>
      </c>
      <c r="M8236" t="s">
        <v>68</v>
      </c>
      <c r="N8236" t="str">
        <f t="shared" si="813"/>
        <v>FOR</v>
      </c>
      <c r="O8236" t="s">
        <v>69</v>
      </c>
      <c r="P8236" s="3" t="s">
        <v>75</v>
      </c>
      <c r="Q8236">
        <v>2016</v>
      </c>
      <c r="R8236" s="2">
        <v>42428</v>
      </c>
      <c r="S8236" s="2">
        <v>42443</v>
      </c>
      <c r="T8236" s="2">
        <v>42440</v>
      </c>
      <c r="U8236" s="2">
        <v>42500</v>
      </c>
      <c r="V8236" t="s">
        <v>71</v>
      </c>
      <c r="W8236" t="str">
        <f>"               7/124"</f>
        <v xml:space="preserve">               7/124</v>
      </c>
      <c r="X8236">
        <v>832</v>
      </c>
      <c r="Y8236">
        <v>0</v>
      </c>
      <c r="Z8236" s="3">
        <v>800</v>
      </c>
      <c r="AA8236">
        <v>223</v>
      </c>
      <c r="AB8236" s="5">
        <v>178400</v>
      </c>
      <c r="AC8236">
        <v>800</v>
      </c>
      <c r="AD8236">
        <v>223</v>
      </c>
      <c r="AE8236" s="1">
        <v>178400</v>
      </c>
      <c r="AF8236">
        <v>32</v>
      </c>
      <c r="AJ8236">
        <v>0</v>
      </c>
      <c r="AK8236">
        <v>0</v>
      </c>
      <c r="AL8236">
        <v>0</v>
      </c>
      <c r="AM8236">
        <v>832</v>
      </c>
      <c r="AN8236">
        <v>832</v>
      </c>
      <c r="AO8236">
        <v>832</v>
      </c>
      <c r="AP8236" s="2">
        <v>42746</v>
      </c>
      <c r="AQ8236" t="s">
        <v>72</v>
      </c>
      <c r="AR8236" t="s">
        <v>72</v>
      </c>
      <c r="AS8236">
        <v>3579</v>
      </c>
      <c r="AT8236" s="4">
        <v>42723</v>
      </c>
      <c r="AU8236" t="s">
        <v>73</v>
      </c>
      <c r="AV8236">
        <v>3579</v>
      </c>
      <c r="AW8236" s="4">
        <v>42723</v>
      </c>
      <c r="BD8236">
        <v>32</v>
      </c>
      <c r="BN8236" t="s">
        <v>74</v>
      </c>
    </row>
    <row r="8237" spans="1:66">
      <c r="A8237">
        <v>104660</v>
      </c>
      <c r="B8237" s="3" t="s">
        <v>689</v>
      </c>
      <c r="C8237" s="1">
        <v>43300101</v>
      </c>
      <c r="D8237" t="s">
        <v>67</v>
      </c>
      <c r="H8237" t="str">
        <f t="shared" si="814"/>
        <v>06141111002</v>
      </c>
      <c r="I8237" t="str">
        <f t="shared" si="814"/>
        <v>06141111002</v>
      </c>
      <c r="K8237" t="str">
        <f>""</f>
        <v/>
      </c>
      <c r="M8237" t="s">
        <v>68</v>
      </c>
      <c r="N8237" t="str">
        <f t="shared" si="813"/>
        <v>FOR</v>
      </c>
      <c r="O8237" t="s">
        <v>69</v>
      </c>
      <c r="P8237" s="3" t="s">
        <v>75</v>
      </c>
      <c r="Q8237">
        <v>2016</v>
      </c>
      <c r="R8237" s="2">
        <v>42428</v>
      </c>
      <c r="S8237" s="2">
        <v>42443</v>
      </c>
      <c r="T8237" s="2">
        <v>42440</v>
      </c>
      <c r="U8237" s="2">
        <v>42500</v>
      </c>
      <c r="V8237" t="s">
        <v>71</v>
      </c>
      <c r="W8237" t="str">
        <f>"               7/125"</f>
        <v xml:space="preserve">               7/125</v>
      </c>
      <c r="X8237">
        <v>832</v>
      </c>
      <c r="Y8237">
        <v>0</v>
      </c>
      <c r="Z8237" s="3">
        <v>800</v>
      </c>
      <c r="AA8237">
        <v>223</v>
      </c>
      <c r="AB8237" s="5">
        <v>178400</v>
      </c>
      <c r="AC8237">
        <v>800</v>
      </c>
      <c r="AD8237">
        <v>223</v>
      </c>
      <c r="AE8237" s="1">
        <v>178400</v>
      </c>
      <c r="AF8237">
        <v>32</v>
      </c>
      <c r="AJ8237">
        <v>0</v>
      </c>
      <c r="AK8237">
        <v>0</v>
      </c>
      <c r="AL8237">
        <v>0</v>
      </c>
      <c r="AM8237">
        <v>832</v>
      </c>
      <c r="AN8237">
        <v>832</v>
      </c>
      <c r="AO8237">
        <v>832</v>
      </c>
      <c r="AP8237" s="2">
        <v>42746</v>
      </c>
      <c r="AQ8237" t="s">
        <v>72</v>
      </c>
      <c r="AR8237" t="s">
        <v>72</v>
      </c>
      <c r="AS8237">
        <v>3579</v>
      </c>
      <c r="AT8237" s="4">
        <v>42723</v>
      </c>
      <c r="AU8237" t="s">
        <v>73</v>
      </c>
      <c r="AV8237">
        <v>3579</v>
      </c>
      <c r="AW8237" s="4">
        <v>42723</v>
      </c>
      <c r="BD8237">
        <v>32</v>
      </c>
      <c r="BN8237" t="s">
        <v>74</v>
      </c>
    </row>
    <row r="8238" spans="1:66">
      <c r="A8238">
        <v>104660</v>
      </c>
      <c r="B8238" s="3" t="s">
        <v>689</v>
      </c>
      <c r="C8238" s="1">
        <v>43300101</v>
      </c>
      <c r="D8238" t="s">
        <v>67</v>
      </c>
      <c r="H8238" t="str">
        <f t="shared" si="814"/>
        <v>06141111002</v>
      </c>
      <c r="I8238" t="str">
        <f t="shared" si="814"/>
        <v>06141111002</v>
      </c>
      <c r="K8238" t="str">
        <f>""</f>
        <v/>
      </c>
      <c r="M8238" t="s">
        <v>68</v>
      </c>
      <c r="N8238" t="str">
        <f t="shared" si="813"/>
        <v>FOR</v>
      </c>
      <c r="O8238" t="s">
        <v>69</v>
      </c>
      <c r="P8238" s="3" t="s">
        <v>75</v>
      </c>
      <c r="Q8238">
        <v>2016</v>
      </c>
      <c r="R8238" s="2">
        <v>42428</v>
      </c>
      <c r="S8238" s="2">
        <v>42443</v>
      </c>
      <c r="T8238" s="2">
        <v>42440</v>
      </c>
      <c r="U8238" s="2">
        <v>42500</v>
      </c>
      <c r="V8238" t="s">
        <v>71</v>
      </c>
      <c r="W8238" t="str">
        <f>"               7/126"</f>
        <v xml:space="preserve">               7/126</v>
      </c>
      <c r="X8238">
        <v>832</v>
      </c>
      <c r="Y8238">
        <v>0</v>
      </c>
      <c r="Z8238" s="3">
        <v>800</v>
      </c>
      <c r="AA8238">
        <v>223</v>
      </c>
      <c r="AB8238" s="5">
        <v>178400</v>
      </c>
      <c r="AC8238">
        <v>800</v>
      </c>
      <c r="AD8238">
        <v>223</v>
      </c>
      <c r="AE8238" s="1">
        <v>178400</v>
      </c>
      <c r="AF8238">
        <v>32</v>
      </c>
      <c r="AJ8238">
        <v>0</v>
      </c>
      <c r="AK8238">
        <v>0</v>
      </c>
      <c r="AL8238">
        <v>0</v>
      </c>
      <c r="AM8238">
        <v>832</v>
      </c>
      <c r="AN8238">
        <v>832</v>
      </c>
      <c r="AO8238">
        <v>832</v>
      </c>
      <c r="AP8238" s="2">
        <v>42746</v>
      </c>
      <c r="AQ8238" t="s">
        <v>72</v>
      </c>
      <c r="AR8238" t="s">
        <v>72</v>
      </c>
      <c r="AS8238">
        <v>3579</v>
      </c>
      <c r="AT8238" s="4">
        <v>42723</v>
      </c>
      <c r="AU8238" t="s">
        <v>73</v>
      </c>
      <c r="AV8238">
        <v>3579</v>
      </c>
      <c r="AW8238" s="4">
        <v>42723</v>
      </c>
      <c r="BD8238">
        <v>32</v>
      </c>
      <c r="BN8238" t="s">
        <v>74</v>
      </c>
    </row>
    <row r="8239" spans="1:66">
      <c r="A8239">
        <v>104660</v>
      </c>
      <c r="B8239" s="3" t="s">
        <v>689</v>
      </c>
      <c r="C8239" s="1">
        <v>43300101</v>
      </c>
      <c r="D8239" t="s">
        <v>67</v>
      </c>
      <c r="H8239" t="str">
        <f t="shared" si="814"/>
        <v>06141111002</v>
      </c>
      <c r="I8239" t="str">
        <f t="shared" si="814"/>
        <v>06141111002</v>
      </c>
      <c r="K8239" t="str">
        <f>""</f>
        <v/>
      </c>
      <c r="M8239" t="s">
        <v>68</v>
      </c>
      <c r="N8239" t="str">
        <f t="shared" si="813"/>
        <v>FOR</v>
      </c>
      <c r="O8239" t="s">
        <v>69</v>
      </c>
      <c r="P8239" s="3" t="s">
        <v>75</v>
      </c>
      <c r="Q8239">
        <v>2016</v>
      </c>
      <c r="R8239" s="2">
        <v>42428</v>
      </c>
      <c r="S8239" s="2">
        <v>42443</v>
      </c>
      <c r="T8239" s="2">
        <v>42440</v>
      </c>
      <c r="U8239" s="2">
        <v>42500</v>
      </c>
      <c r="V8239" t="s">
        <v>71</v>
      </c>
      <c r="W8239" t="str">
        <f>"               7/127"</f>
        <v xml:space="preserve">               7/127</v>
      </c>
      <c r="X8239">
        <v>832</v>
      </c>
      <c r="Y8239">
        <v>0</v>
      </c>
      <c r="Z8239" s="3">
        <v>800</v>
      </c>
      <c r="AA8239">
        <v>223</v>
      </c>
      <c r="AB8239" s="5">
        <v>178400</v>
      </c>
      <c r="AC8239">
        <v>800</v>
      </c>
      <c r="AD8239">
        <v>223</v>
      </c>
      <c r="AE8239" s="1">
        <v>178400</v>
      </c>
      <c r="AF8239">
        <v>32</v>
      </c>
      <c r="AJ8239">
        <v>0</v>
      </c>
      <c r="AK8239">
        <v>0</v>
      </c>
      <c r="AL8239">
        <v>0</v>
      </c>
      <c r="AM8239">
        <v>832</v>
      </c>
      <c r="AN8239">
        <v>832</v>
      </c>
      <c r="AO8239">
        <v>832</v>
      </c>
      <c r="AP8239" s="2">
        <v>42746</v>
      </c>
      <c r="AQ8239" t="s">
        <v>72</v>
      </c>
      <c r="AR8239" t="s">
        <v>72</v>
      </c>
      <c r="AS8239">
        <v>3579</v>
      </c>
      <c r="AT8239" s="4">
        <v>42723</v>
      </c>
      <c r="AU8239" t="s">
        <v>73</v>
      </c>
      <c r="AV8239">
        <v>3579</v>
      </c>
      <c r="AW8239" s="4">
        <v>42723</v>
      </c>
      <c r="BD8239">
        <v>32</v>
      </c>
      <c r="BN8239" t="s">
        <v>74</v>
      </c>
    </row>
    <row r="8240" spans="1:66">
      <c r="A8240">
        <v>104660</v>
      </c>
      <c r="B8240" s="3" t="s">
        <v>689</v>
      </c>
      <c r="C8240" s="1">
        <v>43300101</v>
      </c>
      <c r="D8240" t="s">
        <v>67</v>
      </c>
      <c r="H8240" t="str">
        <f t="shared" si="814"/>
        <v>06141111002</v>
      </c>
      <c r="I8240" t="str">
        <f t="shared" si="814"/>
        <v>06141111002</v>
      </c>
      <c r="K8240" t="str">
        <f>""</f>
        <v/>
      </c>
      <c r="M8240" t="s">
        <v>68</v>
      </c>
      <c r="N8240" t="str">
        <f t="shared" si="813"/>
        <v>FOR</v>
      </c>
      <c r="O8240" t="s">
        <v>69</v>
      </c>
      <c r="P8240" s="3" t="s">
        <v>75</v>
      </c>
      <c r="Q8240">
        <v>2016</v>
      </c>
      <c r="R8240" s="2">
        <v>42428</v>
      </c>
      <c r="S8240" s="2">
        <v>42443</v>
      </c>
      <c r="T8240" s="2">
        <v>42440</v>
      </c>
      <c r="U8240" s="2">
        <v>42500</v>
      </c>
      <c r="V8240" t="s">
        <v>71</v>
      </c>
      <c r="W8240" t="str">
        <f>"               7/128"</f>
        <v xml:space="preserve">               7/128</v>
      </c>
      <c r="X8240">
        <v>832</v>
      </c>
      <c r="Y8240">
        <v>0</v>
      </c>
      <c r="Z8240" s="3">
        <v>800</v>
      </c>
      <c r="AA8240">
        <v>223</v>
      </c>
      <c r="AB8240" s="5">
        <v>178400</v>
      </c>
      <c r="AC8240">
        <v>800</v>
      </c>
      <c r="AD8240">
        <v>223</v>
      </c>
      <c r="AE8240" s="1">
        <v>178400</v>
      </c>
      <c r="AF8240">
        <v>32</v>
      </c>
      <c r="AJ8240">
        <v>0</v>
      </c>
      <c r="AK8240">
        <v>0</v>
      </c>
      <c r="AL8240">
        <v>0</v>
      </c>
      <c r="AM8240">
        <v>832</v>
      </c>
      <c r="AN8240">
        <v>832</v>
      </c>
      <c r="AO8240">
        <v>832</v>
      </c>
      <c r="AP8240" s="2">
        <v>42746</v>
      </c>
      <c r="AQ8240" t="s">
        <v>72</v>
      </c>
      <c r="AR8240" t="s">
        <v>72</v>
      </c>
      <c r="AS8240">
        <v>3579</v>
      </c>
      <c r="AT8240" s="4">
        <v>42723</v>
      </c>
      <c r="AU8240" t="s">
        <v>73</v>
      </c>
      <c r="AV8240">
        <v>3579</v>
      </c>
      <c r="AW8240" s="4">
        <v>42723</v>
      </c>
      <c r="BD8240">
        <v>32</v>
      </c>
      <c r="BN8240" t="s">
        <v>74</v>
      </c>
    </row>
    <row r="8241" spans="1:66">
      <c r="A8241">
        <v>104660</v>
      </c>
      <c r="B8241" s="3" t="s">
        <v>689</v>
      </c>
      <c r="C8241" s="1">
        <v>43300101</v>
      </c>
      <c r="D8241" t="s">
        <v>67</v>
      </c>
      <c r="H8241" t="str">
        <f t="shared" si="814"/>
        <v>06141111002</v>
      </c>
      <c r="I8241" t="str">
        <f t="shared" si="814"/>
        <v>06141111002</v>
      </c>
      <c r="K8241" t="str">
        <f>""</f>
        <v/>
      </c>
      <c r="M8241" t="s">
        <v>68</v>
      </c>
      <c r="N8241" t="str">
        <f t="shared" si="813"/>
        <v>FOR</v>
      </c>
      <c r="O8241" t="s">
        <v>69</v>
      </c>
      <c r="P8241" s="3" t="s">
        <v>75</v>
      </c>
      <c r="Q8241">
        <v>2016</v>
      </c>
      <c r="R8241" s="2">
        <v>42428</v>
      </c>
      <c r="S8241" s="2">
        <v>42443</v>
      </c>
      <c r="T8241" s="2">
        <v>42440</v>
      </c>
      <c r="U8241" s="2">
        <v>42500</v>
      </c>
      <c r="V8241" t="s">
        <v>71</v>
      </c>
      <c r="W8241" t="str">
        <f>"               7/129"</f>
        <v xml:space="preserve">               7/129</v>
      </c>
      <c r="X8241">
        <v>832</v>
      </c>
      <c r="Y8241">
        <v>0</v>
      </c>
      <c r="Z8241" s="3">
        <v>800</v>
      </c>
      <c r="AA8241">
        <v>223</v>
      </c>
      <c r="AB8241" s="5">
        <v>178400</v>
      </c>
      <c r="AC8241">
        <v>800</v>
      </c>
      <c r="AD8241">
        <v>223</v>
      </c>
      <c r="AE8241" s="1">
        <v>178400</v>
      </c>
      <c r="AF8241">
        <v>32</v>
      </c>
      <c r="AJ8241">
        <v>0</v>
      </c>
      <c r="AK8241">
        <v>0</v>
      </c>
      <c r="AL8241">
        <v>0</v>
      </c>
      <c r="AM8241">
        <v>832</v>
      </c>
      <c r="AN8241">
        <v>832</v>
      </c>
      <c r="AO8241">
        <v>832</v>
      </c>
      <c r="AP8241" s="2">
        <v>42746</v>
      </c>
      <c r="AQ8241" t="s">
        <v>72</v>
      </c>
      <c r="AR8241" t="s">
        <v>72</v>
      </c>
      <c r="AS8241">
        <v>3579</v>
      </c>
      <c r="AT8241" s="4">
        <v>42723</v>
      </c>
      <c r="AU8241" t="s">
        <v>73</v>
      </c>
      <c r="AV8241">
        <v>3579</v>
      </c>
      <c r="AW8241" s="4">
        <v>42723</v>
      </c>
      <c r="BD8241">
        <v>32</v>
      </c>
      <c r="BN8241" t="s">
        <v>74</v>
      </c>
    </row>
    <row r="8242" spans="1:66">
      <c r="A8242">
        <v>104660</v>
      </c>
      <c r="B8242" s="3" t="s">
        <v>689</v>
      </c>
      <c r="C8242" s="1">
        <v>43300101</v>
      </c>
      <c r="D8242" t="s">
        <v>67</v>
      </c>
      <c r="H8242" t="str">
        <f t="shared" si="814"/>
        <v>06141111002</v>
      </c>
      <c r="I8242" t="str">
        <f t="shared" si="814"/>
        <v>06141111002</v>
      </c>
      <c r="K8242" t="str">
        <f>""</f>
        <v/>
      </c>
      <c r="M8242" t="s">
        <v>68</v>
      </c>
      <c r="N8242" t="str">
        <f t="shared" si="813"/>
        <v>FOR</v>
      </c>
      <c r="O8242" t="s">
        <v>69</v>
      </c>
      <c r="P8242" s="3" t="s">
        <v>75</v>
      </c>
      <c r="Q8242">
        <v>2016</v>
      </c>
      <c r="R8242" s="2">
        <v>42428</v>
      </c>
      <c r="S8242" s="2">
        <v>42443</v>
      </c>
      <c r="T8242" s="2">
        <v>42440</v>
      </c>
      <c r="U8242" s="2">
        <v>42500</v>
      </c>
      <c r="V8242" t="s">
        <v>71</v>
      </c>
      <c r="W8242" t="str">
        <f>"               7/130"</f>
        <v xml:space="preserve">               7/130</v>
      </c>
      <c r="X8242">
        <v>832</v>
      </c>
      <c r="Y8242">
        <v>0</v>
      </c>
      <c r="Z8242" s="3">
        <v>800</v>
      </c>
      <c r="AA8242">
        <v>223</v>
      </c>
      <c r="AB8242" s="5">
        <v>178400</v>
      </c>
      <c r="AC8242">
        <v>800</v>
      </c>
      <c r="AD8242">
        <v>223</v>
      </c>
      <c r="AE8242" s="1">
        <v>178400</v>
      </c>
      <c r="AF8242">
        <v>32</v>
      </c>
      <c r="AJ8242">
        <v>0</v>
      </c>
      <c r="AK8242">
        <v>0</v>
      </c>
      <c r="AL8242">
        <v>0</v>
      </c>
      <c r="AM8242">
        <v>832</v>
      </c>
      <c r="AN8242">
        <v>832</v>
      </c>
      <c r="AO8242">
        <v>832</v>
      </c>
      <c r="AP8242" s="2">
        <v>42746</v>
      </c>
      <c r="AQ8242" t="s">
        <v>72</v>
      </c>
      <c r="AR8242" t="s">
        <v>72</v>
      </c>
      <c r="AS8242">
        <v>3579</v>
      </c>
      <c r="AT8242" s="4">
        <v>42723</v>
      </c>
      <c r="AU8242" t="s">
        <v>73</v>
      </c>
      <c r="AV8242">
        <v>3579</v>
      </c>
      <c r="AW8242" s="4">
        <v>42723</v>
      </c>
      <c r="BD8242">
        <v>32</v>
      </c>
      <c r="BN8242" t="s">
        <v>74</v>
      </c>
    </row>
    <row r="8243" spans="1:66">
      <c r="A8243">
        <v>104660</v>
      </c>
      <c r="B8243" s="3" t="s">
        <v>689</v>
      </c>
      <c r="C8243" s="1">
        <v>43300101</v>
      </c>
      <c r="D8243" t="s">
        <v>67</v>
      </c>
      <c r="H8243" t="str">
        <f t="shared" si="814"/>
        <v>06141111002</v>
      </c>
      <c r="I8243" t="str">
        <f t="shared" si="814"/>
        <v>06141111002</v>
      </c>
      <c r="K8243" t="str">
        <f>""</f>
        <v/>
      </c>
      <c r="M8243" t="s">
        <v>68</v>
      </c>
      <c r="N8243" t="str">
        <f t="shared" si="813"/>
        <v>FOR</v>
      </c>
      <c r="O8243" t="s">
        <v>69</v>
      </c>
      <c r="P8243" s="3" t="s">
        <v>75</v>
      </c>
      <c r="Q8243">
        <v>2016</v>
      </c>
      <c r="R8243" s="2">
        <v>42428</v>
      </c>
      <c r="S8243" s="2">
        <v>42443</v>
      </c>
      <c r="T8243" s="2">
        <v>42440</v>
      </c>
      <c r="U8243" s="2">
        <v>42500</v>
      </c>
      <c r="V8243" t="s">
        <v>71</v>
      </c>
      <c r="W8243" t="str">
        <f>"               7/131"</f>
        <v xml:space="preserve">               7/131</v>
      </c>
      <c r="X8243">
        <v>832</v>
      </c>
      <c r="Y8243">
        <v>0</v>
      </c>
      <c r="Z8243" s="3">
        <v>800</v>
      </c>
      <c r="AA8243">
        <v>223</v>
      </c>
      <c r="AB8243" s="5">
        <v>178400</v>
      </c>
      <c r="AC8243">
        <v>800</v>
      </c>
      <c r="AD8243">
        <v>223</v>
      </c>
      <c r="AE8243" s="1">
        <v>178400</v>
      </c>
      <c r="AF8243">
        <v>32</v>
      </c>
      <c r="AJ8243">
        <v>0</v>
      </c>
      <c r="AK8243">
        <v>0</v>
      </c>
      <c r="AL8243">
        <v>0</v>
      </c>
      <c r="AM8243">
        <v>832</v>
      </c>
      <c r="AN8243">
        <v>832</v>
      </c>
      <c r="AO8243">
        <v>832</v>
      </c>
      <c r="AP8243" s="2">
        <v>42746</v>
      </c>
      <c r="AQ8243" t="s">
        <v>72</v>
      </c>
      <c r="AR8243" t="s">
        <v>72</v>
      </c>
      <c r="AS8243">
        <v>3579</v>
      </c>
      <c r="AT8243" s="4">
        <v>42723</v>
      </c>
      <c r="AU8243" t="s">
        <v>73</v>
      </c>
      <c r="AV8243">
        <v>3579</v>
      </c>
      <c r="AW8243" s="4">
        <v>42723</v>
      </c>
      <c r="BD8243">
        <v>32</v>
      </c>
      <c r="BN8243" t="s">
        <v>74</v>
      </c>
    </row>
    <row r="8244" spans="1:66">
      <c r="A8244">
        <v>104660</v>
      </c>
      <c r="B8244" s="3" t="s">
        <v>689</v>
      </c>
      <c r="C8244" s="1">
        <v>43300101</v>
      </c>
      <c r="D8244" t="s">
        <v>67</v>
      </c>
      <c r="H8244" t="str">
        <f t="shared" si="814"/>
        <v>06141111002</v>
      </c>
      <c r="I8244" t="str">
        <f t="shared" si="814"/>
        <v>06141111002</v>
      </c>
      <c r="K8244" t="str">
        <f>""</f>
        <v/>
      </c>
      <c r="M8244" t="s">
        <v>68</v>
      </c>
      <c r="N8244" t="str">
        <f t="shared" si="813"/>
        <v>FOR</v>
      </c>
      <c r="O8244" t="s">
        <v>69</v>
      </c>
      <c r="P8244" s="3" t="s">
        <v>75</v>
      </c>
      <c r="Q8244">
        <v>2016</v>
      </c>
      <c r="R8244" s="2">
        <v>42428</v>
      </c>
      <c r="S8244" s="2">
        <v>42443</v>
      </c>
      <c r="T8244" s="2">
        <v>42440</v>
      </c>
      <c r="U8244" s="2">
        <v>42500</v>
      </c>
      <c r="V8244" t="s">
        <v>71</v>
      </c>
      <c r="W8244" t="str">
        <f>"               7/132"</f>
        <v xml:space="preserve">               7/132</v>
      </c>
      <c r="X8244">
        <v>832</v>
      </c>
      <c r="Y8244">
        <v>0</v>
      </c>
      <c r="Z8244" s="3">
        <v>800</v>
      </c>
      <c r="AA8244">
        <v>223</v>
      </c>
      <c r="AB8244" s="5">
        <v>178400</v>
      </c>
      <c r="AC8244">
        <v>800</v>
      </c>
      <c r="AD8244">
        <v>223</v>
      </c>
      <c r="AE8244" s="1">
        <v>178400</v>
      </c>
      <c r="AF8244">
        <v>32</v>
      </c>
      <c r="AJ8244">
        <v>0</v>
      </c>
      <c r="AK8244">
        <v>0</v>
      </c>
      <c r="AL8244">
        <v>0</v>
      </c>
      <c r="AM8244">
        <v>832</v>
      </c>
      <c r="AN8244">
        <v>832</v>
      </c>
      <c r="AO8244">
        <v>832</v>
      </c>
      <c r="AP8244" s="2">
        <v>42746</v>
      </c>
      <c r="AQ8244" t="s">
        <v>72</v>
      </c>
      <c r="AR8244" t="s">
        <v>72</v>
      </c>
      <c r="AS8244">
        <v>3579</v>
      </c>
      <c r="AT8244" s="4">
        <v>42723</v>
      </c>
      <c r="AU8244" t="s">
        <v>73</v>
      </c>
      <c r="AV8244">
        <v>3579</v>
      </c>
      <c r="AW8244" s="4">
        <v>42723</v>
      </c>
      <c r="BD8244">
        <v>32</v>
      </c>
      <c r="BN8244" t="s">
        <v>74</v>
      </c>
    </row>
    <row r="8245" spans="1:66">
      <c r="A8245">
        <v>104660</v>
      </c>
      <c r="B8245" s="3" t="s">
        <v>689</v>
      </c>
      <c r="C8245" s="1">
        <v>43300101</v>
      </c>
      <c r="D8245" t="s">
        <v>67</v>
      </c>
      <c r="H8245" t="str">
        <f t="shared" si="814"/>
        <v>06141111002</v>
      </c>
      <c r="I8245" t="str">
        <f t="shared" si="814"/>
        <v>06141111002</v>
      </c>
      <c r="K8245" t="str">
        <f>""</f>
        <v/>
      </c>
      <c r="M8245" t="s">
        <v>68</v>
      </c>
      <c r="N8245" t="str">
        <f t="shared" si="813"/>
        <v>FOR</v>
      </c>
      <c r="O8245" t="s">
        <v>69</v>
      </c>
      <c r="P8245" s="3" t="s">
        <v>75</v>
      </c>
      <c r="Q8245">
        <v>2016</v>
      </c>
      <c r="R8245" s="2">
        <v>42428</v>
      </c>
      <c r="S8245" s="2">
        <v>42443</v>
      </c>
      <c r="T8245" s="2">
        <v>42440</v>
      </c>
      <c r="U8245" s="2">
        <v>42500</v>
      </c>
      <c r="V8245" t="s">
        <v>71</v>
      </c>
      <c r="W8245" t="str">
        <f>"               7/133"</f>
        <v xml:space="preserve">               7/133</v>
      </c>
      <c r="X8245">
        <v>832</v>
      </c>
      <c r="Y8245">
        <v>0</v>
      </c>
      <c r="Z8245" s="3">
        <v>800</v>
      </c>
      <c r="AA8245">
        <v>223</v>
      </c>
      <c r="AB8245" s="5">
        <v>178400</v>
      </c>
      <c r="AC8245">
        <v>800</v>
      </c>
      <c r="AD8245">
        <v>223</v>
      </c>
      <c r="AE8245" s="1">
        <v>178400</v>
      </c>
      <c r="AF8245">
        <v>32</v>
      </c>
      <c r="AJ8245">
        <v>0</v>
      </c>
      <c r="AK8245">
        <v>0</v>
      </c>
      <c r="AL8245">
        <v>0</v>
      </c>
      <c r="AM8245">
        <v>832</v>
      </c>
      <c r="AN8245">
        <v>832</v>
      </c>
      <c r="AO8245">
        <v>832</v>
      </c>
      <c r="AP8245" s="2">
        <v>42746</v>
      </c>
      <c r="AQ8245" t="s">
        <v>72</v>
      </c>
      <c r="AR8245" t="s">
        <v>72</v>
      </c>
      <c r="AS8245">
        <v>3579</v>
      </c>
      <c r="AT8245" s="4">
        <v>42723</v>
      </c>
      <c r="AU8245" t="s">
        <v>73</v>
      </c>
      <c r="AV8245">
        <v>3579</v>
      </c>
      <c r="AW8245" s="4">
        <v>42723</v>
      </c>
      <c r="BD8245">
        <v>32</v>
      </c>
      <c r="BN8245" t="s">
        <v>74</v>
      </c>
    </row>
    <row r="8246" spans="1:66">
      <c r="A8246">
        <v>104660</v>
      </c>
      <c r="B8246" s="3" t="s">
        <v>689</v>
      </c>
      <c r="C8246" s="1">
        <v>43300101</v>
      </c>
      <c r="D8246" t="s">
        <v>67</v>
      </c>
      <c r="H8246" t="str">
        <f t="shared" si="814"/>
        <v>06141111002</v>
      </c>
      <c r="I8246" t="str">
        <f t="shared" si="814"/>
        <v>06141111002</v>
      </c>
      <c r="K8246" t="str">
        <f>""</f>
        <v/>
      </c>
      <c r="M8246" t="s">
        <v>68</v>
      </c>
      <c r="N8246" t="str">
        <f t="shared" si="813"/>
        <v>FOR</v>
      </c>
      <c r="O8246" t="s">
        <v>69</v>
      </c>
      <c r="P8246" s="3" t="s">
        <v>75</v>
      </c>
      <c r="Q8246">
        <v>2016</v>
      </c>
      <c r="R8246" s="2">
        <v>42428</v>
      </c>
      <c r="S8246" s="2">
        <v>42443</v>
      </c>
      <c r="T8246" s="2">
        <v>42440</v>
      </c>
      <c r="U8246" s="2">
        <v>42500</v>
      </c>
      <c r="V8246" t="s">
        <v>71</v>
      </c>
      <c r="W8246" t="str">
        <f>"               7/134"</f>
        <v xml:space="preserve">               7/134</v>
      </c>
      <c r="X8246">
        <v>832</v>
      </c>
      <c r="Y8246">
        <v>0</v>
      </c>
      <c r="Z8246" s="3">
        <v>800</v>
      </c>
      <c r="AA8246">
        <v>223</v>
      </c>
      <c r="AB8246" s="5">
        <v>178400</v>
      </c>
      <c r="AC8246">
        <v>800</v>
      </c>
      <c r="AD8246">
        <v>223</v>
      </c>
      <c r="AE8246" s="1">
        <v>178400</v>
      </c>
      <c r="AF8246">
        <v>32</v>
      </c>
      <c r="AJ8246">
        <v>0</v>
      </c>
      <c r="AK8246">
        <v>0</v>
      </c>
      <c r="AL8246">
        <v>0</v>
      </c>
      <c r="AM8246">
        <v>832</v>
      </c>
      <c r="AN8246">
        <v>832</v>
      </c>
      <c r="AO8246">
        <v>832</v>
      </c>
      <c r="AP8246" s="2">
        <v>42746</v>
      </c>
      <c r="AQ8246" t="s">
        <v>72</v>
      </c>
      <c r="AR8246" t="s">
        <v>72</v>
      </c>
      <c r="AS8246">
        <v>3579</v>
      </c>
      <c r="AT8246" s="4">
        <v>42723</v>
      </c>
      <c r="AU8246" t="s">
        <v>73</v>
      </c>
      <c r="AV8246">
        <v>3579</v>
      </c>
      <c r="AW8246" s="4">
        <v>42723</v>
      </c>
      <c r="BD8246">
        <v>32</v>
      </c>
      <c r="BN8246" t="s">
        <v>74</v>
      </c>
    </row>
    <row r="8247" spans="1:66">
      <c r="A8247">
        <v>104660</v>
      </c>
      <c r="B8247" s="3" t="s">
        <v>689</v>
      </c>
      <c r="C8247" s="1">
        <v>43300101</v>
      </c>
      <c r="D8247" t="s">
        <v>67</v>
      </c>
      <c r="H8247" t="str">
        <f t="shared" si="814"/>
        <v>06141111002</v>
      </c>
      <c r="I8247" t="str">
        <f t="shared" si="814"/>
        <v>06141111002</v>
      </c>
      <c r="K8247" t="str">
        <f>""</f>
        <v/>
      </c>
      <c r="M8247" t="s">
        <v>68</v>
      </c>
      <c r="N8247" t="str">
        <f t="shared" si="813"/>
        <v>FOR</v>
      </c>
      <c r="O8247" t="s">
        <v>69</v>
      </c>
      <c r="P8247" s="3" t="s">
        <v>75</v>
      </c>
      <c r="Q8247">
        <v>2016</v>
      </c>
      <c r="R8247" s="2">
        <v>42428</v>
      </c>
      <c r="S8247" s="2">
        <v>42443</v>
      </c>
      <c r="T8247" s="2">
        <v>42440</v>
      </c>
      <c r="U8247" s="2">
        <v>42500</v>
      </c>
      <c r="V8247" t="s">
        <v>71</v>
      </c>
      <c r="W8247" t="str">
        <f>"               7/135"</f>
        <v xml:space="preserve">               7/135</v>
      </c>
      <c r="X8247">
        <v>832</v>
      </c>
      <c r="Y8247">
        <v>0</v>
      </c>
      <c r="Z8247" s="3">
        <v>800</v>
      </c>
      <c r="AA8247">
        <v>223</v>
      </c>
      <c r="AB8247" s="5">
        <v>178400</v>
      </c>
      <c r="AC8247">
        <v>800</v>
      </c>
      <c r="AD8247">
        <v>223</v>
      </c>
      <c r="AE8247" s="1">
        <v>178400</v>
      </c>
      <c r="AF8247">
        <v>32</v>
      </c>
      <c r="AJ8247">
        <v>0</v>
      </c>
      <c r="AK8247">
        <v>0</v>
      </c>
      <c r="AL8247">
        <v>0</v>
      </c>
      <c r="AM8247">
        <v>832</v>
      </c>
      <c r="AN8247">
        <v>832</v>
      </c>
      <c r="AO8247">
        <v>832</v>
      </c>
      <c r="AP8247" s="2">
        <v>42746</v>
      </c>
      <c r="AQ8247" t="s">
        <v>72</v>
      </c>
      <c r="AR8247" t="s">
        <v>72</v>
      </c>
      <c r="AS8247">
        <v>3579</v>
      </c>
      <c r="AT8247" s="4">
        <v>42723</v>
      </c>
      <c r="AU8247" t="s">
        <v>73</v>
      </c>
      <c r="AV8247">
        <v>3579</v>
      </c>
      <c r="AW8247" s="4">
        <v>42723</v>
      </c>
      <c r="BD8247">
        <v>32</v>
      </c>
      <c r="BN8247" t="s">
        <v>74</v>
      </c>
    </row>
    <row r="8248" spans="1:66">
      <c r="A8248">
        <v>104660</v>
      </c>
      <c r="B8248" s="3" t="s">
        <v>689</v>
      </c>
      <c r="C8248" s="1">
        <v>43300101</v>
      </c>
      <c r="D8248" t="s">
        <v>67</v>
      </c>
      <c r="H8248" t="str">
        <f t="shared" si="814"/>
        <v>06141111002</v>
      </c>
      <c r="I8248" t="str">
        <f t="shared" si="814"/>
        <v>06141111002</v>
      </c>
      <c r="K8248" t="str">
        <f>""</f>
        <v/>
      </c>
      <c r="M8248" t="s">
        <v>68</v>
      </c>
      <c r="N8248" t="str">
        <f t="shared" si="813"/>
        <v>FOR</v>
      </c>
      <c r="O8248" t="s">
        <v>69</v>
      </c>
      <c r="P8248" s="3" t="s">
        <v>75</v>
      </c>
      <c r="Q8248">
        <v>2016</v>
      </c>
      <c r="R8248" s="2">
        <v>42428</v>
      </c>
      <c r="S8248" s="2">
        <v>42443</v>
      </c>
      <c r="T8248" s="2">
        <v>42440</v>
      </c>
      <c r="U8248" s="2">
        <v>42500</v>
      </c>
      <c r="V8248" t="s">
        <v>71</v>
      </c>
      <c r="W8248" t="str">
        <f>"               7/136"</f>
        <v xml:space="preserve">               7/136</v>
      </c>
      <c r="X8248">
        <v>832</v>
      </c>
      <c r="Y8248">
        <v>0</v>
      </c>
      <c r="Z8248" s="3">
        <v>800</v>
      </c>
      <c r="AA8248">
        <v>223</v>
      </c>
      <c r="AB8248" s="5">
        <v>178400</v>
      </c>
      <c r="AC8248">
        <v>800</v>
      </c>
      <c r="AD8248">
        <v>223</v>
      </c>
      <c r="AE8248" s="1">
        <v>178400</v>
      </c>
      <c r="AF8248">
        <v>32</v>
      </c>
      <c r="AJ8248">
        <v>0</v>
      </c>
      <c r="AK8248">
        <v>0</v>
      </c>
      <c r="AL8248">
        <v>0</v>
      </c>
      <c r="AM8248">
        <v>832</v>
      </c>
      <c r="AN8248">
        <v>832</v>
      </c>
      <c r="AO8248">
        <v>832</v>
      </c>
      <c r="AP8248" s="2">
        <v>42746</v>
      </c>
      <c r="AQ8248" t="s">
        <v>72</v>
      </c>
      <c r="AR8248" t="s">
        <v>72</v>
      </c>
      <c r="AS8248">
        <v>3579</v>
      </c>
      <c r="AT8248" s="4">
        <v>42723</v>
      </c>
      <c r="AU8248" t="s">
        <v>73</v>
      </c>
      <c r="AV8248">
        <v>3579</v>
      </c>
      <c r="AW8248" s="4">
        <v>42723</v>
      </c>
      <c r="BD8248">
        <v>32</v>
      </c>
      <c r="BN8248" t="s">
        <v>74</v>
      </c>
    </row>
    <row r="8249" spans="1:66">
      <c r="A8249">
        <v>104660</v>
      </c>
      <c r="B8249" s="3" t="s">
        <v>689</v>
      </c>
      <c r="C8249" s="1">
        <v>43300101</v>
      </c>
      <c r="D8249" t="s">
        <v>67</v>
      </c>
      <c r="H8249" t="str">
        <f t="shared" si="814"/>
        <v>06141111002</v>
      </c>
      <c r="I8249" t="str">
        <f t="shared" si="814"/>
        <v>06141111002</v>
      </c>
      <c r="K8249" t="str">
        <f>""</f>
        <v/>
      </c>
      <c r="M8249" t="s">
        <v>68</v>
      </c>
      <c r="N8249" t="str">
        <f t="shared" si="813"/>
        <v>FOR</v>
      </c>
      <c r="O8249" t="s">
        <v>69</v>
      </c>
      <c r="P8249" s="3" t="s">
        <v>75</v>
      </c>
      <c r="Q8249">
        <v>2016</v>
      </c>
      <c r="R8249" s="2">
        <v>42428</v>
      </c>
      <c r="S8249" s="2">
        <v>42443</v>
      </c>
      <c r="T8249" s="2">
        <v>42440</v>
      </c>
      <c r="U8249" s="2">
        <v>42500</v>
      </c>
      <c r="V8249" t="s">
        <v>71</v>
      </c>
      <c r="W8249" t="str">
        <f>"               7/137"</f>
        <v xml:space="preserve">               7/137</v>
      </c>
      <c r="X8249">
        <v>832</v>
      </c>
      <c r="Y8249">
        <v>0</v>
      </c>
      <c r="Z8249" s="3">
        <v>800</v>
      </c>
      <c r="AA8249">
        <v>223</v>
      </c>
      <c r="AB8249" s="5">
        <v>178400</v>
      </c>
      <c r="AC8249">
        <v>800</v>
      </c>
      <c r="AD8249">
        <v>223</v>
      </c>
      <c r="AE8249" s="1">
        <v>178400</v>
      </c>
      <c r="AF8249">
        <v>32</v>
      </c>
      <c r="AJ8249">
        <v>0</v>
      </c>
      <c r="AK8249">
        <v>0</v>
      </c>
      <c r="AL8249">
        <v>0</v>
      </c>
      <c r="AM8249">
        <v>832</v>
      </c>
      <c r="AN8249">
        <v>832</v>
      </c>
      <c r="AO8249">
        <v>832</v>
      </c>
      <c r="AP8249" s="2">
        <v>42746</v>
      </c>
      <c r="AQ8249" t="s">
        <v>72</v>
      </c>
      <c r="AR8249" t="s">
        <v>72</v>
      </c>
      <c r="AS8249">
        <v>3579</v>
      </c>
      <c r="AT8249" s="4">
        <v>42723</v>
      </c>
      <c r="AU8249" t="s">
        <v>73</v>
      </c>
      <c r="AV8249">
        <v>3579</v>
      </c>
      <c r="AW8249" s="4">
        <v>42723</v>
      </c>
      <c r="BD8249">
        <v>32</v>
      </c>
      <c r="BN8249" t="s">
        <v>74</v>
      </c>
    </row>
    <row r="8250" spans="1:66">
      <c r="A8250">
        <v>104660</v>
      </c>
      <c r="B8250" s="3" t="s">
        <v>689</v>
      </c>
      <c r="C8250" s="1">
        <v>43300101</v>
      </c>
      <c r="D8250" t="s">
        <v>67</v>
      </c>
      <c r="H8250" t="str">
        <f t="shared" si="814"/>
        <v>06141111002</v>
      </c>
      <c r="I8250" t="str">
        <f t="shared" si="814"/>
        <v>06141111002</v>
      </c>
      <c r="K8250" t="str">
        <f>""</f>
        <v/>
      </c>
      <c r="M8250" t="s">
        <v>68</v>
      </c>
      <c r="N8250" t="str">
        <f t="shared" si="813"/>
        <v>FOR</v>
      </c>
      <c r="O8250" t="s">
        <v>69</v>
      </c>
      <c r="P8250" s="3" t="s">
        <v>75</v>
      </c>
      <c r="Q8250">
        <v>2016</v>
      </c>
      <c r="R8250" s="2">
        <v>42428</v>
      </c>
      <c r="S8250" s="2">
        <v>42443</v>
      </c>
      <c r="T8250" s="2">
        <v>42440</v>
      </c>
      <c r="U8250" s="2">
        <v>42500</v>
      </c>
      <c r="V8250" t="s">
        <v>71</v>
      </c>
      <c r="W8250" t="str">
        <f>"               7/138"</f>
        <v xml:space="preserve">               7/138</v>
      </c>
      <c r="X8250">
        <v>832</v>
      </c>
      <c r="Y8250">
        <v>0</v>
      </c>
      <c r="Z8250" s="3">
        <v>800</v>
      </c>
      <c r="AA8250">
        <v>223</v>
      </c>
      <c r="AB8250" s="5">
        <v>178400</v>
      </c>
      <c r="AC8250">
        <v>800</v>
      </c>
      <c r="AD8250">
        <v>223</v>
      </c>
      <c r="AE8250" s="1">
        <v>178400</v>
      </c>
      <c r="AF8250">
        <v>32</v>
      </c>
      <c r="AJ8250">
        <v>0</v>
      </c>
      <c r="AK8250">
        <v>0</v>
      </c>
      <c r="AL8250">
        <v>0</v>
      </c>
      <c r="AM8250">
        <v>832</v>
      </c>
      <c r="AN8250">
        <v>832</v>
      </c>
      <c r="AO8250">
        <v>832</v>
      </c>
      <c r="AP8250" s="2">
        <v>42746</v>
      </c>
      <c r="AQ8250" t="s">
        <v>72</v>
      </c>
      <c r="AR8250" t="s">
        <v>72</v>
      </c>
      <c r="AS8250">
        <v>3579</v>
      </c>
      <c r="AT8250" s="4">
        <v>42723</v>
      </c>
      <c r="AU8250" t="s">
        <v>73</v>
      </c>
      <c r="AV8250">
        <v>3579</v>
      </c>
      <c r="AW8250" s="4">
        <v>42723</v>
      </c>
      <c r="BD8250">
        <v>32</v>
      </c>
      <c r="BN8250" t="s">
        <v>74</v>
      </c>
    </row>
    <row r="8251" spans="1:66">
      <c r="A8251">
        <v>104660</v>
      </c>
      <c r="B8251" s="3" t="s">
        <v>689</v>
      </c>
      <c r="C8251" s="1">
        <v>43300101</v>
      </c>
      <c r="D8251" t="s">
        <v>67</v>
      </c>
      <c r="H8251" t="str">
        <f t="shared" si="814"/>
        <v>06141111002</v>
      </c>
      <c r="I8251" t="str">
        <f t="shared" si="814"/>
        <v>06141111002</v>
      </c>
      <c r="K8251" t="str">
        <f>""</f>
        <v/>
      </c>
      <c r="M8251" t="s">
        <v>68</v>
      </c>
      <c r="N8251" t="str">
        <f t="shared" si="813"/>
        <v>FOR</v>
      </c>
      <c r="O8251" t="s">
        <v>69</v>
      </c>
      <c r="P8251" s="3" t="s">
        <v>75</v>
      </c>
      <c r="Q8251">
        <v>2016</v>
      </c>
      <c r="R8251" s="2">
        <v>42429</v>
      </c>
      <c r="S8251" s="2">
        <v>42443</v>
      </c>
      <c r="T8251" s="2">
        <v>42440</v>
      </c>
      <c r="U8251" s="2">
        <v>42500</v>
      </c>
      <c r="V8251" t="s">
        <v>71</v>
      </c>
      <c r="W8251" t="str">
        <f>"               7/186"</f>
        <v xml:space="preserve">               7/186</v>
      </c>
      <c r="X8251">
        <v>832</v>
      </c>
      <c r="Y8251">
        <v>0</v>
      </c>
      <c r="Z8251" s="3">
        <v>800</v>
      </c>
      <c r="AA8251">
        <v>223</v>
      </c>
      <c r="AB8251" s="5">
        <v>178400</v>
      </c>
      <c r="AC8251">
        <v>800</v>
      </c>
      <c r="AD8251">
        <v>223</v>
      </c>
      <c r="AE8251" s="1">
        <v>178400</v>
      </c>
      <c r="AF8251">
        <v>32</v>
      </c>
      <c r="AJ8251">
        <v>0</v>
      </c>
      <c r="AK8251">
        <v>0</v>
      </c>
      <c r="AL8251">
        <v>0</v>
      </c>
      <c r="AM8251">
        <v>832</v>
      </c>
      <c r="AN8251">
        <v>832</v>
      </c>
      <c r="AO8251">
        <v>832</v>
      </c>
      <c r="AP8251" s="2">
        <v>42746</v>
      </c>
      <c r="AQ8251" t="s">
        <v>72</v>
      </c>
      <c r="AR8251" t="s">
        <v>72</v>
      </c>
      <c r="AS8251">
        <v>3579</v>
      </c>
      <c r="AT8251" s="4">
        <v>42723</v>
      </c>
      <c r="AU8251" t="s">
        <v>73</v>
      </c>
      <c r="AV8251">
        <v>3579</v>
      </c>
      <c r="AW8251" s="4">
        <v>42723</v>
      </c>
      <c r="BD8251">
        <v>32</v>
      </c>
      <c r="BN8251" t="s">
        <v>74</v>
      </c>
    </row>
    <row r="8252" spans="1:66" hidden="1">
      <c r="A8252">
        <v>104663</v>
      </c>
      <c r="B8252" s="3" t="s">
        <v>690</v>
      </c>
      <c r="C8252" s="1">
        <v>43500101</v>
      </c>
      <c r="D8252" t="s">
        <v>113</v>
      </c>
      <c r="H8252" t="str">
        <f t="shared" ref="H8252:I8263" si="815">"03436130243"</f>
        <v>03436130243</v>
      </c>
      <c r="I8252" t="str">
        <f t="shared" si="815"/>
        <v>03436130243</v>
      </c>
      <c r="K8252" t="str">
        <f>""</f>
        <v/>
      </c>
      <c r="M8252" t="s">
        <v>68</v>
      </c>
      <c r="N8252" t="str">
        <f t="shared" ref="N8252:N8287" si="816">"ALTFIN"</f>
        <v>ALTFIN</v>
      </c>
      <c r="O8252" t="s">
        <v>123</v>
      </c>
      <c r="P8252" s="3" t="s">
        <v>84</v>
      </c>
      <c r="Q8252">
        <v>2016</v>
      </c>
      <c r="R8252" s="2">
        <v>42389</v>
      </c>
      <c r="S8252" s="2">
        <v>42390</v>
      </c>
      <c r="T8252" s="2">
        <v>42390</v>
      </c>
      <c r="U8252" s="2">
        <v>42450</v>
      </c>
      <c r="V8252" t="s">
        <v>71</v>
      </c>
      <c r="W8252" t="str">
        <f>"                0120"</f>
        <v xml:space="preserve">                0120</v>
      </c>
      <c r="X8252">
        <v>0</v>
      </c>
      <c r="Y8252">
        <v>908</v>
      </c>
      <c r="Z8252"/>
      <c r="AB8252"/>
      <c r="AC8252">
        <v>908</v>
      </c>
      <c r="AD8252">
        <v>-60</v>
      </c>
      <c r="AE8252" s="1">
        <v>-54480</v>
      </c>
      <c r="AF8252">
        <v>0</v>
      </c>
      <c r="AJ8252">
        <v>0</v>
      </c>
      <c r="AK8252">
        <v>0</v>
      </c>
      <c r="AL8252">
        <v>0</v>
      </c>
      <c r="AM8252">
        <v>908</v>
      </c>
      <c r="AN8252">
        <v>908</v>
      </c>
      <c r="AO8252">
        <v>908</v>
      </c>
      <c r="AP8252" s="2">
        <v>42746</v>
      </c>
      <c r="AQ8252" t="s">
        <v>72</v>
      </c>
      <c r="AR8252" t="s">
        <v>72</v>
      </c>
      <c r="AS8252">
        <v>51</v>
      </c>
      <c r="AT8252" s="4">
        <v>42390</v>
      </c>
      <c r="AV8252">
        <v>51</v>
      </c>
      <c r="AW8252" s="4">
        <v>42390</v>
      </c>
      <c r="BD8252">
        <v>0</v>
      </c>
      <c r="BN8252" t="s">
        <v>74</v>
      </c>
    </row>
    <row r="8253" spans="1:66" hidden="1">
      <c r="A8253">
        <v>104663</v>
      </c>
      <c r="B8253" s="3" t="s">
        <v>690</v>
      </c>
      <c r="C8253" s="1">
        <v>43500101</v>
      </c>
      <c r="D8253" t="s">
        <v>113</v>
      </c>
      <c r="H8253" t="str">
        <f t="shared" si="815"/>
        <v>03436130243</v>
      </c>
      <c r="I8253" t="str">
        <f t="shared" si="815"/>
        <v>03436130243</v>
      </c>
      <c r="K8253" t="str">
        <f>""</f>
        <v/>
      </c>
      <c r="M8253" t="s">
        <v>68</v>
      </c>
      <c r="N8253" t="str">
        <f t="shared" si="816"/>
        <v>ALTFIN</v>
      </c>
      <c r="O8253" t="s">
        <v>123</v>
      </c>
      <c r="P8253" s="3" t="s">
        <v>85</v>
      </c>
      <c r="Q8253">
        <v>2016</v>
      </c>
      <c r="R8253" s="2">
        <v>42422</v>
      </c>
      <c r="S8253" s="2">
        <v>42422</v>
      </c>
      <c r="T8253" s="2">
        <v>42422</v>
      </c>
      <c r="U8253" s="2">
        <v>42482</v>
      </c>
      <c r="V8253" t="s">
        <v>71</v>
      </c>
      <c r="W8253" t="str">
        <f>"                0222"</f>
        <v xml:space="preserve">                0222</v>
      </c>
      <c r="X8253">
        <v>0</v>
      </c>
      <c r="Y8253">
        <v>908</v>
      </c>
      <c r="Z8253"/>
      <c r="AB8253"/>
      <c r="AC8253">
        <v>908</v>
      </c>
      <c r="AD8253">
        <v>-58</v>
      </c>
      <c r="AE8253" s="1">
        <v>-52664</v>
      </c>
      <c r="AF8253">
        <v>0</v>
      </c>
      <c r="AJ8253">
        <v>0</v>
      </c>
      <c r="AK8253">
        <v>0</v>
      </c>
      <c r="AL8253">
        <v>0</v>
      </c>
      <c r="AM8253">
        <v>908</v>
      </c>
      <c r="AN8253">
        <v>908</v>
      </c>
      <c r="AO8253">
        <v>908</v>
      </c>
      <c r="AP8253" s="2">
        <v>42746</v>
      </c>
      <c r="AQ8253" t="s">
        <v>72</v>
      </c>
      <c r="AR8253" t="s">
        <v>72</v>
      </c>
      <c r="AS8253">
        <v>495</v>
      </c>
      <c r="AT8253" s="4">
        <v>42424</v>
      </c>
      <c r="AV8253">
        <v>495</v>
      </c>
      <c r="AW8253" s="4">
        <v>42424</v>
      </c>
      <c r="BD8253">
        <v>0</v>
      </c>
      <c r="BN8253" t="s">
        <v>74</v>
      </c>
    </row>
    <row r="8254" spans="1:66" hidden="1">
      <c r="A8254">
        <v>104663</v>
      </c>
      <c r="B8254" s="3" t="s">
        <v>690</v>
      </c>
      <c r="C8254" s="1">
        <v>43500101</v>
      </c>
      <c r="D8254" t="s">
        <v>113</v>
      </c>
      <c r="H8254" t="str">
        <f t="shared" si="815"/>
        <v>03436130243</v>
      </c>
      <c r="I8254" t="str">
        <f t="shared" si="815"/>
        <v>03436130243</v>
      </c>
      <c r="K8254" t="str">
        <f>""</f>
        <v/>
      </c>
      <c r="M8254" t="s">
        <v>68</v>
      </c>
      <c r="N8254" t="str">
        <f t="shared" si="816"/>
        <v>ALTFIN</v>
      </c>
      <c r="O8254" t="s">
        <v>123</v>
      </c>
      <c r="P8254" s="3" t="s">
        <v>86</v>
      </c>
      <c r="Q8254">
        <v>2016</v>
      </c>
      <c r="R8254" s="2">
        <v>42450</v>
      </c>
      <c r="S8254" s="2">
        <v>42450</v>
      </c>
      <c r="T8254" s="2">
        <v>42450</v>
      </c>
      <c r="U8254" s="2">
        <v>42510</v>
      </c>
      <c r="V8254" t="s">
        <v>71</v>
      </c>
      <c r="W8254" t="str">
        <f>"                0321"</f>
        <v xml:space="preserve">                0321</v>
      </c>
      <c r="X8254">
        <v>0</v>
      </c>
      <c r="Y8254">
        <v>908</v>
      </c>
      <c r="Z8254"/>
      <c r="AB8254"/>
      <c r="AC8254">
        <v>908</v>
      </c>
      <c r="AD8254">
        <v>-57</v>
      </c>
      <c r="AE8254" s="1">
        <v>-51756</v>
      </c>
      <c r="AF8254">
        <v>0</v>
      </c>
      <c r="AJ8254">
        <v>0</v>
      </c>
      <c r="AK8254">
        <v>0</v>
      </c>
      <c r="AL8254">
        <v>0</v>
      </c>
      <c r="AM8254">
        <v>908</v>
      </c>
      <c r="AN8254">
        <v>908</v>
      </c>
      <c r="AO8254">
        <v>908</v>
      </c>
      <c r="AP8254" s="2">
        <v>42746</v>
      </c>
      <c r="AQ8254" t="s">
        <v>72</v>
      </c>
      <c r="AR8254" t="s">
        <v>72</v>
      </c>
      <c r="AS8254">
        <v>917</v>
      </c>
      <c r="AT8254" s="4">
        <v>42453</v>
      </c>
      <c r="AV8254">
        <v>917</v>
      </c>
      <c r="AW8254" s="4">
        <v>42453</v>
      </c>
      <c r="BD8254">
        <v>0</v>
      </c>
      <c r="BN8254" t="s">
        <v>74</v>
      </c>
    </row>
    <row r="8255" spans="1:66" hidden="1">
      <c r="A8255">
        <v>104663</v>
      </c>
      <c r="B8255" s="3" t="s">
        <v>690</v>
      </c>
      <c r="C8255" s="1">
        <v>43500101</v>
      </c>
      <c r="D8255" t="s">
        <v>113</v>
      </c>
      <c r="H8255" t="str">
        <f t="shared" si="815"/>
        <v>03436130243</v>
      </c>
      <c r="I8255" t="str">
        <f t="shared" si="815"/>
        <v>03436130243</v>
      </c>
      <c r="K8255" t="str">
        <f>""</f>
        <v/>
      </c>
      <c r="M8255" t="s">
        <v>68</v>
      </c>
      <c r="N8255" t="str">
        <f t="shared" si="816"/>
        <v>ALTFIN</v>
      </c>
      <c r="O8255" t="s">
        <v>123</v>
      </c>
      <c r="P8255" s="3" t="s">
        <v>87</v>
      </c>
      <c r="Q8255">
        <v>2016</v>
      </c>
      <c r="R8255" s="2">
        <v>42481</v>
      </c>
      <c r="S8255" s="2">
        <v>42481</v>
      </c>
      <c r="T8255" s="2">
        <v>42481</v>
      </c>
      <c r="U8255" s="2">
        <v>42541</v>
      </c>
      <c r="V8255" t="s">
        <v>71</v>
      </c>
      <c r="W8255" t="str">
        <f>"                0421"</f>
        <v xml:space="preserve">                0421</v>
      </c>
      <c r="X8255">
        <v>0</v>
      </c>
      <c r="Y8255" s="1">
        <v>1513</v>
      </c>
      <c r="Z8255"/>
      <c r="AB8255"/>
      <c r="AC8255" s="1">
        <v>1513</v>
      </c>
      <c r="AD8255">
        <v>-60</v>
      </c>
      <c r="AE8255" s="1">
        <v>-90780</v>
      </c>
      <c r="AF8255">
        <v>0</v>
      </c>
      <c r="AJ8255">
        <v>0</v>
      </c>
      <c r="AK8255">
        <v>0</v>
      </c>
      <c r="AL8255">
        <v>0</v>
      </c>
      <c r="AM8255" s="1">
        <v>1513</v>
      </c>
      <c r="AN8255" s="1">
        <v>1513</v>
      </c>
      <c r="AO8255" s="1">
        <v>1513</v>
      </c>
      <c r="AP8255" s="2">
        <v>42746</v>
      </c>
      <c r="AQ8255" t="s">
        <v>72</v>
      </c>
      <c r="AR8255" t="s">
        <v>72</v>
      </c>
      <c r="AS8255">
        <v>1083</v>
      </c>
      <c r="AT8255" s="4">
        <v>42481</v>
      </c>
      <c r="AV8255">
        <v>1083</v>
      </c>
      <c r="AW8255" s="4">
        <v>42481</v>
      </c>
      <c r="BD8255">
        <v>0</v>
      </c>
      <c r="BN8255" t="s">
        <v>74</v>
      </c>
    </row>
    <row r="8256" spans="1:66" hidden="1">
      <c r="A8256">
        <v>104663</v>
      </c>
      <c r="B8256" s="3" t="s">
        <v>690</v>
      </c>
      <c r="C8256" s="1">
        <v>43500101</v>
      </c>
      <c r="D8256" t="s">
        <v>113</v>
      </c>
      <c r="H8256" t="str">
        <f t="shared" si="815"/>
        <v>03436130243</v>
      </c>
      <c r="I8256" t="str">
        <f t="shared" si="815"/>
        <v>03436130243</v>
      </c>
      <c r="K8256" t="str">
        <f>""</f>
        <v/>
      </c>
      <c r="M8256" t="s">
        <v>68</v>
      </c>
      <c r="N8256" t="str">
        <f t="shared" si="816"/>
        <v>ALTFIN</v>
      </c>
      <c r="O8256" t="s">
        <v>123</v>
      </c>
      <c r="P8256" s="3" t="s">
        <v>88</v>
      </c>
      <c r="Q8256">
        <v>2016</v>
      </c>
      <c r="R8256" s="2">
        <v>42508</v>
      </c>
      <c r="S8256" s="2">
        <v>42510</v>
      </c>
      <c r="T8256" s="2">
        <v>42510</v>
      </c>
      <c r="U8256" s="2">
        <v>42570</v>
      </c>
      <c r="V8256" t="s">
        <v>71</v>
      </c>
      <c r="W8256" t="str">
        <f>"                0518"</f>
        <v xml:space="preserve">                0518</v>
      </c>
      <c r="X8256">
        <v>0</v>
      </c>
      <c r="Y8256" s="1">
        <v>1513</v>
      </c>
      <c r="Z8256"/>
      <c r="AB8256"/>
      <c r="AC8256" s="1">
        <v>1513</v>
      </c>
      <c r="AD8256">
        <v>-57</v>
      </c>
      <c r="AE8256" s="1">
        <v>-86241</v>
      </c>
      <c r="AF8256">
        <v>0</v>
      </c>
      <c r="AJ8256">
        <v>0</v>
      </c>
      <c r="AK8256">
        <v>0</v>
      </c>
      <c r="AL8256">
        <v>0</v>
      </c>
      <c r="AM8256" s="1">
        <v>1513</v>
      </c>
      <c r="AN8256" s="1">
        <v>1513</v>
      </c>
      <c r="AO8256" s="1">
        <v>1513</v>
      </c>
      <c r="AP8256" s="2">
        <v>42746</v>
      </c>
      <c r="AQ8256" t="s">
        <v>72</v>
      </c>
      <c r="AR8256" t="s">
        <v>72</v>
      </c>
      <c r="AS8256">
        <v>1321</v>
      </c>
      <c r="AT8256" s="4">
        <v>42513</v>
      </c>
      <c r="AV8256">
        <v>1321</v>
      </c>
      <c r="AW8256" s="4">
        <v>42513</v>
      </c>
      <c r="BD8256">
        <v>0</v>
      </c>
      <c r="BN8256" t="s">
        <v>74</v>
      </c>
    </row>
    <row r="8257" spans="1:66" hidden="1">
      <c r="A8257">
        <v>104663</v>
      </c>
      <c r="B8257" s="3" t="s">
        <v>690</v>
      </c>
      <c r="C8257" s="1">
        <v>43500101</v>
      </c>
      <c r="D8257" t="s">
        <v>113</v>
      </c>
      <c r="H8257" t="str">
        <f t="shared" si="815"/>
        <v>03436130243</v>
      </c>
      <c r="I8257" t="str">
        <f t="shared" si="815"/>
        <v>03436130243</v>
      </c>
      <c r="K8257" t="str">
        <f>""</f>
        <v/>
      </c>
      <c r="M8257" t="s">
        <v>68</v>
      </c>
      <c r="N8257" t="str">
        <f t="shared" si="816"/>
        <v>ALTFIN</v>
      </c>
      <c r="O8257" t="s">
        <v>123</v>
      </c>
      <c r="P8257" s="3" t="s">
        <v>89</v>
      </c>
      <c r="Q8257">
        <v>2016</v>
      </c>
      <c r="R8257" s="2">
        <v>42548</v>
      </c>
      <c r="S8257" s="2">
        <v>42543</v>
      </c>
      <c r="T8257" s="2">
        <v>42543</v>
      </c>
      <c r="U8257" s="2">
        <v>42603</v>
      </c>
      <c r="V8257" t="s">
        <v>71</v>
      </c>
      <c r="W8257" t="str">
        <f>"                0627"</f>
        <v xml:space="preserve">                0627</v>
      </c>
      <c r="X8257">
        <v>0</v>
      </c>
      <c r="Y8257" s="1">
        <v>1513</v>
      </c>
      <c r="Z8257"/>
      <c r="AB8257"/>
      <c r="AC8257" s="1">
        <v>1513</v>
      </c>
      <c r="AD8257">
        <v>-47</v>
      </c>
      <c r="AE8257" s="1">
        <v>-71111</v>
      </c>
      <c r="AF8257">
        <v>0</v>
      </c>
      <c r="AJ8257">
        <v>0</v>
      </c>
      <c r="AK8257">
        <v>0</v>
      </c>
      <c r="AL8257">
        <v>0</v>
      </c>
      <c r="AM8257" s="1">
        <v>1513</v>
      </c>
      <c r="AN8257" s="1">
        <v>1513</v>
      </c>
      <c r="AO8257" s="1">
        <v>1513</v>
      </c>
      <c r="AP8257" s="2">
        <v>42746</v>
      </c>
      <c r="AQ8257" t="s">
        <v>72</v>
      </c>
      <c r="AR8257" t="s">
        <v>72</v>
      </c>
      <c r="AS8257">
        <v>1703</v>
      </c>
      <c r="AT8257" s="4">
        <v>42556</v>
      </c>
      <c r="AV8257">
        <v>1703</v>
      </c>
      <c r="AW8257" s="4">
        <v>42556</v>
      </c>
      <c r="BD8257">
        <v>0</v>
      </c>
      <c r="BN8257" t="s">
        <v>74</v>
      </c>
    </row>
    <row r="8258" spans="1:66" hidden="1">
      <c r="A8258">
        <v>104663</v>
      </c>
      <c r="B8258" s="3" t="s">
        <v>690</v>
      </c>
      <c r="C8258" s="1">
        <v>43500101</v>
      </c>
      <c r="D8258" t="s">
        <v>113</v>
      </c>
      <c r="H8258" t="str">
        <f t="shared" si="815"/>
        <v>03436130243</v>
      </c>
      <c r="I8258" t="str">
        <f t="shared" si="815"/>
        <v>03436130243</v>
      </c>
      <c r="K8258" t="str">
        <f>""</f>
        <v/>
      </c>
      <c r="M8258" t="s">
        <v>68</v>
      </c>
      <c r="N8258" t="str">
        <f t="shared" si="816"/>
        <v>ALTFIN</v>
      </c>
      <c r="O8258" t="s">
        <v>123</v>
      </c>
      <c r="P8258" s="3" t="s">
        <v>90</v>
      </c>
      <c r="Q8258">
        <v>2016</v>
      </c>
      <c r="R8258" s="2">
        <v>42573</v>
      </c>
      <c r="S8258" s="2">
        <v>42573</v>
      </c>
      <c r="T8258" s="2">
        <v>42573</v>
      </c>
      <c r="U8258" s="2">
        <v>42633</v>
      </c>
      <c r="V8258" t="s">
        <v>71</v>
      </c>
      <c r="W8258" t="str">
        <f>"                0722"</f>
        <v xml:space="preserve">                0722</v>
      </c>
      <c r="X8258">
        <v>0</v>
      </c>
      <c r="Y8258" s="1">
        <v>1513</v>
      </c>
      <c r="Z8258"/>
      <c r="AB8258"/>
      <c r="AC8258" s="1">
        <v>1513</v>
      </c>
      <c r="AD8258">
        <v>-48</v>
      </c>
      <c r="AE8258" s="1">
        <v>-72624</v>
      </c>
      <c r="AF8258">
        <v>0</v>
      </c>
      <c r="AJ8258">
        <v>0</v>
      </c>
      <c r="AK8258">
        <v>0</v>
      </c>
      <c r="AL8258">
        <v>0</v>
      </c>
      <c r="AM8258" s="1">
        <v>1513</v>
      </c>
      <c r="AN8258" s="1">
        <v>1513</v>
      </c>
      <c r="AO8258" s="1">
        <v>1513</v>
      </c>
      <c r="AP8258" s="2">
        <v>42746</v>
      </c>
      <c r="AQ8258" t="s">
        <v>72</v>
      </c>
      <c r="AR8258" t="s">
        <v>72</v>
      </c>
      <c r="AS8258">
        <v>2103</v>
      </c>
      <c r="AT8258" s="4">
        <v>42585</v>
      </c>
      <c r="AV8258">
        <v>2103</v>
      </c>
      <c r="AW8258" s="4">
        <v>42585</v>
      </c>
      <c r="BD8258">
        <v>0</v>
      </c>
      <c r="BN8258" t="s">
        <v>74</v>
      </c>
    </row>
    <row r="8259" spans="1:66" hidden="1">
      <c r="A8259">
        <v>104663</v>
      </c>
      <c r="B8259" s="3" t="s">
        <v>690</v>
      </c>
      <c r="C8259" s="1">
        <v>43500101</v>
      </c>
      <c r="D8259" t="s">
        <v>113</v>
      </c>
      <c r="H8259" t="str">
        <f t="shared" si="815"/>
        <v>03436130243</v>
      </c>
      <c r="I8259" t="str">
        <f t="shared" si="815"/>
        <v>03436130243</v>
      </c>
      <c r="K8259" t="str">
        <f>""</f>
        <v/>
      </c>
      <c r="M8259" t="s">
        <v>68</v>
      </c>
      <c r="N8259" t="str">
        <f t="shared" si="816"/>
        <v>ALTFIN</v>
      </c>
      <c r="O8259" t="s">
        <v>123</v>
      </c>
      <c r="P8259" s="3" t="s">
        <v>91</v>
      </c>
      <c r="Q8259">
        <v>2016</v>
      </c>
      <c r="R8259" s="2">
        <v>42592</v>
      </c>
      <c r="S8259" s="2">
        <v>42598</v>
      </c>
      <c r="T8259" s="2">
        <v>42598</v>
      </c>
      <c r="U8259" s="2">
        <v>42658</v>
      </c>
      <c r="V8259" t="s">
        <v>71</v>
      </c>
      <c r="W8259" t="str">
        <f>"                0810"</f>
        <v xml:space="preserve">                0810</v>
      </c>
      <c r="X8259">
        <v>0</v>
      </c>
      <c r="Y8259" s="1">
        <v>1513</v>
      </c>
      <c r="Z8259"/>
      <c r="AB8259"/>
      <c r="AC8259" s="1">
        <v>1513</v>
      </c>
      <c r="AD8259">
        <v>-60</v>
      </c>
      <c r="AE8259" s="1">
        <v>-90780</v>
      </c>
      <c r="AF8259">
        <v>0</v>
      </c>
      <c r="AJ8259">
        <v>0</v>
      </c>
      <c r="AK8259">
        <v>0</v>
      </c>
      <c r="AL8259">
        <v>0</v>
      </c>
      <c r="AM8259" s="1">
        <v>1513</v>
      </c>
      <c r="AN8259" s="1">
        <v>1513</v>
      </c>
      <c r="AO8259" s="1">
        <v>1513</v>
      </c>
      <c r="AP8259" s="2">
        <v>42746</v>
      </c>
      <c r="AQ8259" t="s">
        <v>72</v>
      </c>
      <c r="AR8259" t="s">
        <v>72</v>
      </c>
      <c r="AS8259">
        <v>2185</v>
      </c>
      <c r="AT8259" s="4">
        <v>42598</v>
      </c>
      <c r="AV8259">
        <v>2185</v>
      </c>
      <c r="AW8259" s="4">
        <v>42598</v>
      </c>
      <c r="BD8259">
        <v>0</v>
      </c>
      <c r="BN8259" t="s">
        <v>74</v>
      </c>
    </row>
    <row r="8260" spans="1:66" hidden="1">
      <c r="A8260">
        <v>104663</v>
      </c>
      <c r="B8260" s="3" t="s">
        <v>690</v>
      </c>
      <c r="C8260" s="1">
        <v>43500101</v>
      </c>
      <c r="D8260" t="s">
        <v>113</v>
      </c>
      <c r="H8260" t="str">
        <f t="shared" si="815"/>
        <v>03436130243</v>
      </c>
      <c r="I8260" t="str">
        <f t="shared" si="815"/>
        <v>03436130243</v>
      </c>
      <c r="K8260" t="str">
        <f>""</f>
        <v/>
      </c>
      <c r="M8260" t="s">
        <v>68</v>
      </c>
      <c r="N8260" t="str">
        <f t="shared" si="816"/>
        <v>ALTFIN</v>
      </c>
      <c r="O8260" t="s">
        <v>123</v>
      </c>
      <c r="P8260" s="3" t="s">
        <v>92</v>
      </c>
      <c r="Q8260">
        <v>2016</v>
      </c>
      <c r="R8260" s="2">
        <v>42633</v>
      </c>
      <c r="S8260" s="2">
        <v>42634</v>
      </c>
      <c r="T8260" s="2">
        <v>42634</v>
      </c>
      <c r="U8260" s="2">
        <v>42694</v>
      </c>
      <c r="V8260" t="s">
        <v>71</v>
      </c>
      <c r="W8260" t="str">
        <f>"                0920"</f>
        <v xml:space="preserve">                0920</v>
      </c>
      <c r="X8260">
        <v>0</v>
      </c>
      <c r="Y8260" s="1">
        <v>1513</v>
      </c>
      <c r="Z8260"/>
      <c r="AB8260"/>
      <c r="AC8260" s="1">
        <v>1513</v>
      </c>
      <c r="AD8260">
        <v>-60</v>
      </c>
      <c r="AE8260" s="1">
        <v>-90780</v>
      </c>
      <c r="AF8260">
        <v>0</v>
      </c>
      <c r="AJ8260">
        <v>0</v>
      </c>
      <c r="AK8260">
        <v>0</v>
      </c>
      <c r="AL8260">
        <v>0</v>
      </c>
      <c r="AM8260" s="1">
        <v>1513</v>
      </c>
      <c r="AN8260" s="1">
        <v>1513</v>
      </c>
      <c r="AO8260" s="1">
        <v>1513</v>
      </c>
      <c r="AP8260" s="2">
        <v>42746</v>
      </c>
      <c r="AQ8260" t="s">
        <v>72</v>
      </c>
      <c r="AR8260" t="s">
        <v>72</v>
      </c>
      <c r="AS8260">
        <v>2459</v>
      </c>
      <c r="AT8260" s="4">
        <v>42634</v>
      </c>
      <c r="AV8260">
        <v>2459</v>
      </c>
      <c r="AW8260" s="4">
        <v>42634</v>
      </c>
      <c r="BD8260">
        <v>0</v>
      </c>
      <c r="BN8260" t="s">
        <v>74</v>
      </c>
    </row>
    <row r="8261" spans="1:66" hidden="1">
      <c r="A8261">
        <v>104663</v>
      </c>
      <c r="B8261" s="3" t="s">
        <v>690</v>
      </c>
      <c r="C8261" s="1">
        <v>43500101</v>
      </c>
      <c r="D8261" t="s">
        <v>113</v>
      </c>
      <c r="H8261" t="str">
        <f t="shared" si="815"/>
        <v>03436130243</v>
      </c>
      <c r="I8261" t="str">
        <f t="shared" si="815"/>
        <v>03436130243</v>
      </c>
      <c r="K8261" t="str">
        <f>""</f>
        <v/>
      </c>
      <c r="M8261" t="s">
        <v>68</v>
      </c>
      <c r="N8261" t="str">
        <f t="shared" si="816"/>
        <v>ALTFIN</v>
      </c>
      <c r="O8261" t="s">
        <v>123</v>
      </c>
      <c r="P8261" s="3" t="s">
        <v>93</v>
      </c>
      <c r="Q8261">
        <v>2016</v>
      </c>
      <c r="R8261" s="2">
        <v>42664</v>
      </c>
      <c r="S8261" s="2">
        <v>42667</v>
      </c>
      <c r="T8261" s="2">
        <v>42667</v>
      </c>
      <c r="U8261" s="2">
        <v>42727</v>
      </c>
      <c r="V8261" t="s">
        <v>71</v>
      </c>
      <c r="W8261" t="str">
        <f>"                1021"</f>
        <v xml:space="preserve">                1021</v>
      </c>
      <c r="X8261">
        <v>0</v>
      </c>
      <c r="Y8261" s="1">
        <v>1513</v>
      </c>
      <c r="Z8261" s="5">
        <v>1513</v>
      </c>
      <c r="AA8261">
        <v>-60</v>
      </c>
      <c r="AB8261" s="5">
        <v>-90780</v>
      </c>
      <c r="AC8261" s="1">
        <v>1513</v>
      </c>
      <c r="AD8261">
        <v>-60</v>
      </c>
      <c r="AE8261" s="1">
        <v>-90780</v>
      </c>
      <c r="AF8261">
        <v>0</v>
      </c>
      <c r="AJ8261" s="1">
        <v>1513</v>
      </c>
      <c r="AK8261" s="1">
        <v>1513</v>
      </c>
      <c r="AL8261" s="1">
        <v>1513</v>
      </c>
      <c r="AM8261" s="1">
        <v>1513</v>
      </c>
      <c r="AN8261" s="1">
        <v>1513</v>
      </c>
      <c r="AO8261" s="1">
        <v>1513</v>
      </c>
      <c r="AP8261" s="2">
        <v>42746</v>
      </c>
      <c r="AQ8261" t="s">
        <v>72</v>
      </c>
      <c r="AR8261" t="s">
        <v>72</v>
      </c>
      <c r="AS8261">
        <v>2806</v>
      </c>
      <c r="AT8261" s="4">
        <v>42667</v>
      </c>
      <c r="AV8261">
        <v>2806</v>
      </c>
      <c r="AW8261" s="4">
        <v>42667</v>
      </c>
      <c r="BD8261">
        <v>0</v>
      </c>
      <c r="BN8261" t="s">
        <v>74</v>
      </c>
    </row>
    <row r="8262" spans="1:66" hidden="1">
      <c r="A8262">
        <v>104663</v>
      </c>
      <c r="B8262" s="3" t="s">
        <v>690</v>
      </c>
      <c r="C8262" s="1">
        <v>43500101</v>
      </c>
      <c r="D8262" t="s">
        <v>113</v>
      </c>
      <c r="H8262" t="str">
        <f t="shared" si="815"/>
        <v>03436130243</v>
      </c>
      <c r="I8262" t="str">
        <f t="shared" si="815"/>
        <v>03436130243</v>
      </c>
      <c r="K8262" t="str">
        <f>""</f>
        <v/>
      </c>
      <c r="M8262" t="s">
        <v>68</v>
      </c>
      <c r="N8262" t="str">
        <f t="shared" si="816"/>
        <v>ALTFIN</v>
      </c>
      <c r="O8262" t="s">
        <v>123</v>
      </c>
      <c r="P8262" s="3" t="s">
        <v>94</v>
      </c>
      <c r="Q8262">
        <v>2016</v>
      </c>
      <c r="R8262" s="2">
        <v>42696</v>
      </c>
      <c r="S8262" s="2">
        <v>42696</v>
      </c>
      <c r="T8262" s="2">
        <v>42696</v>
      </c>
      <c r="U8262" s="2">
        <v>42756</v>
      </c>
      <c r="V8262" t="s">
        <v>71</v>
      </c>
      <c r="W8262" t="str">
        <f>"                1122"</f>
        <v xml:space="preserve">                1122</v>
      </c>
      <c r="X8262">
        <v>0</v>
      </c>
      <c r="Y8262" s="1">
        <v>1513</v>
      </c>
      <c r="Z8262" s="5">
        <v>1513</v>
      </c>
      <c r="AA8262">
        <v>-59</v>
      </c>
      <c r="AB8262" s="5">
        <v>-89267</v>
      </c>
      <c r="AC8262" s="1">
        <v>1513</v>
      </c>
      <c r="AD8262">
        <v>-59</v>
      </c>
      <c r="AE8262" s="1">
        <v>-89267</v>
      </c>
      <c r="AF8262">
        <v>0</v>
      </c>
      <c r="AJ8262" s="1">
        <v>1513</v>
      </c>
      <c r="AK8262" s="1">
        <v>1513</v>
      </c>
      <c r="AL8262" s="1">
        <v>1513</v>
      </c>
      <c r="AM8262" s="1">
        <v>1513</v>
      </c>
      <c r="AN8262" s="1">
        <v>1513</v>
      </c>
      <c r="AO8262" s="1">
        <v>1513</v>
      </c>
      <c r="AP8262" s="2">
        <v>42746</v>
      </c>
      <c r="AQ8262" t="s">
        <v>72</v>
      </c>
      <c r="AR8262" t="s">
        <v>72</v>
      </c>
      <c r="AS8262">
        <v>3243</v>
      </c>
      <c r="AT8262" s="4">
        <v>42697</v>
      </c>
      <c r="AV8262">
        <v>3243</v>
      </c>
      <c r="AW8262" s="4">
        <v>42697</v>
      </c>
      <c r="BD8262">
        <v>0</v>
      </c>
      <c r="BN8262" t="s">
        <v>74</v>
      </c>
    </row>
    <row r="8263" spans="1:66" hidden="1">
      <c r="A8263">
        <v>104663</v>
      </c>
      <c r="B8263" s="3" t="s">
        <v>690</v>
      </c>
      <c r="C8263" s="1">
        <v>43500101</v>
      </c>
      <c r="D8263" t="s">
        <v>113</v>
      </c>
      <c r="H8263" t="str">
        <f t="shared" si="815"/>
        <v>03436130243</v>
      </c>
      <c r="I8263" t="str">
        <f t="shared" si="815"/>
        <v>03436130243</v>
      </c>
      <c r="K8263" t="str">
        <f>""</f>
        <v/>
      </c>
      <c r="M8263" t="s">
        <v>68</v>
      </c>
      <c r="N8263" t="str">
        <f t="shared" si="816"/>
        <v>ALTFIN</v>
      </c>
      <c r="O8263" t="s">
        <v>123</v>
      </c>
      <c r="P8263" s="3" t="s">
        <v>95</v>
      </c>
      <c r="Q8263">
        <v>2016</v>
      </c>
      <c r="R8263" s="2">
        <v>42717</v>
      </c>
      <c r="S8263" s="2">
        <v>42717</v>
      </c>
      <c r="T8263" s="2">
        <v>42717</v>
      </c>
      <c r="U8263" s="2">
        <v>42777</v>
      </c>
      <c r="V8263" t="s">
        <v>71</v>
      </c>
      <c r="W8263" t="str">
        <f>"                1213"</f>
        <v xml:space="preserve">                1213</v>
      </c>
      <c r="X8263">
        <v>0</v>
      </c>
      <c r="Y8263" s="1">
        <v>1513</v>
      </c>
      <c r="Z8263" s="5">
        <v>1513</v>
      </c>
      <c r="AA8263">
        <v>-59</v>
      </c>
      <c r="AB8263" s="5">
        <v>-89267</v>
      </c>
      <c r="AC8263" s="1">
        <v>1513</v>
      </c>
      <c r="AD8263">
        <v>-59</v>
      </c>
      <c r="AE8263" s="1">
        <v>-89267</v>
      </c>
      <c r="AF8263">
        <v>0</v>
      </c>
      <c r="AJ8263" s="1">
        <v>1513</v>
      </c>
      <c r="AK8263" s="1">
        <v>1513</v>
      </c>
      <c r="AL8263" s="1">
        <v>1513</v>
      </c>
      <c r="AM8263" s="1">
        <v>1513</v>
      </c>
      <c r="AN8263" s="1">
        <v>1513</v>
      </c>
      <c r="AO8263" s="1">
        <v>1513</v>
      </c>
      <c r="AP8263" s="2">
        <v>42746</v>
      </c>
      <c r="AQ8263" t="s">
        <v>72</v>
      </c>
      <c r="AR8263" t="s">
        <v>72</v>
      </c>
      <c r="AS8263">
        <v>3402</v>
      </c>
      <c r="AT8263" s="4">
        <v>42718</v>
      </c>
      <c r="AV8263">
        <v>3402</v>
      </c>
      <c r="AW8263" s="4">
        <v>42718</v>
      </c>
      <c r="BD8263">
        <v>0</v>
      </c>
      <c r="BN8263" t="s">
        <v>74</v>
      </c>
    </row>
    <row r="8264" spans="1:66" hidden="1">
      <c r="A8264">
        <v>104666</v>
      </c>
      <c r="B8264" s="3" t="s">
        <v>691</v>
      </c>
      <c r="C8264" s="1">
        <v>43500101</v>
      </c>
      <c r="D8264" t="s">
        <v>113</v>
      </c>
      <c r="H8264" t="str">
        <f t="shared" ref="H8264:I8275" si="817">"02875460244"</f>
        <v>02875460244</v>
      </c>
      <c r="I8264" t="str">
        <f t="shared" si="817"/>
        <v>02875460244</v>
      </c>
      <c r="K8264" t="str">
        <f>""</f>
        <v/>
      </c>
      <c r="M8264" t="s">
        <v>68</v>
      </c>
      <c r="N8264" t="str">
        <f t="shared" si="816"/>
        <v>ALTFIN</v>
      </c>
      <c r="O8264" t="s">
        <v>123</v>
      </c>
      <c r="P8264" s="3" t="s">
        <v>84</v>
      </c>
      <c r="Q8264">
        <v>2016</v>
      </c>
      <c r="R8264" s="2">
        <v>42389</v>
      </c>
      <c r="S8264" s="2">
        <v>42390</v>
      </c>
      <c r="T8264" s="2">
        <v>42390</v>
      </c>
      <c r="U8264" s="2">
        <v>42450</v>
      </c>
      <c r="V8264" t="s">
        <v>71</v>
      </c>
      <c r="W8264" t="str">
        <f>"                0120"</f>
        <v xml:space="preserve">                0120</v>
      </c>
      <c r="X8264">
        <v>0</v>
      </c>
      <c r="Y8264">
        <v>666</v>
      </c>
      <c r="Z8264"/>
      <c r="AB8264"/>
      <c r="AC8264">
        <v>666</v>
      </c>
      <c r="AD8264">
        <v>-60</v>
      </c>
      <c r="AE8264" s="1">
        <v>-39960</v>
      </c>
      <c r="AF8264">
        <v>0</v>
      </c>
      <c r="AJ8264">
        <v>0</v>
      </c>
      <c r="AK8264">
        <v>0</v>
      </c>
      <c r="AL8264">
        <v>0</v>
      </c>
      <c r="AM8264">
        <v>666</v>
      </c>
      <c r="AN8264">
        <v>666</v>
      </c>
      <c r="AO8264">
        <v>666</v>
      </c>
      <c r="AP8264" s="2">
        <v>42746</v>
      </c>
      <c r="AQ8264" t="s">
        <v>72</v>
      </c>
      <c r="AR8264" t="s">
        <v>72</v>
      </c>
      <c r="AS8264">
        <v>26</v>
      </c>
      <c r="AT8264" s="4">
        <v>42390</v>
      </c>
      <c r="AV8264">
        <v>26</v>
      </c>
      <c r="AW8264" s="4">
        <v>42390</v>
      </c>
      <c r="BD8264">
        <v>0</v>
      </c>
      <c r="BN8264" t="s">
        <v>74</v>
      </c>
    </row>
    <row r="8265" spans="1:66" hidden="1">
      <c r="A8265">
        <v>104666</v>
      </c>
      <c r="B8265" s="3" t="s">
        <v>691</v>
      </c>
      <c r="C8265" s="1">
        <v>43500101</v>
      </c>
      <c r="D8265" t="s">
        <v>113</v>
      </c>
      <c r="H8265" t="str">
        <f t="shared" si="817"/>
        <v>02875460244</v>
      </c>
      <c r="I8265" t="str">
        <f t="shared" si="817"/>
        <v>02875460244</v>
      </c>
      <c r="K8265" t="str">
        <f>""</f>
        <v/>
      </c>
      <c r="M8265" t="s">
        <v>68</v>
      </c>
      <c r="N8265" t="str">
        <f t="shared" si="816"/>
        <v>ALTFIN</v>
      </c>
      <c r="O8265" t="s">
        <v>123</v>
      </c>
      <c r="P8265" s="3" t="s">
        <v>85</v>
      </c>
      <c r="Q8265">
        <v>2016</v>
      </c>
      <c r="R8265" s="2">
        <v>42422</v>
      </c>
      <c r="S8265" s="2">
        <v>42422</v>
      </c>
      <c r="T8265" s="2">
        <v>42422</v>
      </c>
      <c r="U8265" s="2">
        <v>42482</v>
      </c>
      <c r="V8265" t="s">
        <v>71</v>
      </c>
      <c r="W8265" t="str">
        <f>"                0222"</f>
        <v xml:space="preserve">                0222</v>
      </c>
      <c r="X8265">
        <v>0</v>
      </c>
      <c r="Y8265">
        <v>666</v>
      </c>
      <c r="Z8265"/>
      <c r="AB8265"/>
      <c r="AC8265">
        <v>666</v>
      </c>
      <c r="AD8265">
        <v>-58</v>
      </c>
      <c r="AE8265" s="1">
        <v>-38628</v>
      </c>
      <c r="AF8265">
        <v>0</v>
      </c>
      <c r="AJ8265">
        <v>0</v>
      </c>
      <c r="AK8265">
        <v>0</v>
      </c>
      <c r="AL8265">
        <v>0</v>
      </c>
      <c r="AM8265">
        <v>666</v>
      </c>
      <c r="AN8265">
        <v>666</v>
      </c>
      <c r="AO8265">
        <v>666</v>
      </c>
      <c r="AP8265" s="2">
        <v>42746</v>
      </c>
      <c r="AQ8265" t="s">
        <v>72</v>
      </c>
      <c r="AR8265" t="s">
        <v>72</v>
      </c>
      <c r="AS8265">
        <v>471</v>
      </c>
      <c r="AT8265" s="4">
        <v>42424</v>
      </c>
      <c r="AV8265">
        <v>471</v>
      </c>
      <c r="AW8265" s="4">
        <v>42424</v>
      </c>
      <c r="BD8265">
        <v>0</v>
      </c>
      <c r="BN8265" t="s">
        <v>74</v>
      </c>
    </row>
    <row r="8266" spans="1:66" hidden="1">
      <c r="A8266">
        <v>104666</v>
      </c>
      <c r="B8266" s="3" t="s">
        <v>691</v>
      </c>
      <c r="C8266" s="1">
        <v>43500101</v>
      </c>
      <c r="D8266" t="s">
        <v>113</v>
      </c>
      <c r="H8266" t="str">
        <f t="shared" si="817"/>
        <v>02875460244</v>
      </c>
      <c r="I8266" t="str">
        <f t="shared" si="817"/>
        <v>02875460244</v>
      </c>
      <c r="K8266" t="str">
        <f>""</f>
        <v/>
      </c>
      <c r="M8266" t="s">
        <v>68</v>
      </c>
      <c r="N8266" t="str">
        <f t="shared" si="816"/>
        <v>ALTFIN</v>
      </c>
      <c r="O8266" t="s">
        <v>123</v>
      </c>
      <c r="P8266" s="3" t="s">
        <v>86</v>
      </c>
      <c r="Q8266">
        <v>2016</v>
      </c>
      <c r="R8266" s="2">
        <v>42450</v>
      </c>
      <c r="S8266" s="2">
        <v>42450</v>
      </c>
      <c r="T8266" s="2">
        <v>42450</v>
      </c>
      <c r="U8266" s="2">
        <v>42510</v>
      </c>
      <c r="V8266" t="s">
        <v>71</v>
      </c>
      <c r="W8266" t="str">
        <f>"                0321"</f>
        <v xml:space="preserve">                0321</v>
      </c>
      <c r="X8266">
        <v>0</v>
      </c>
      <c r="Y8266">
        <v>666</v>
      </c>
      <c r="Z8266"/>
      <c r="AB8266"/>
      <c r="AC8266">
        <v>666</v>
      </c>
      <c r="AD8266">
        <v>-57</v>
      </c>
      <c r="AE8266" s="1">
        <v>-37962</v>
      </c>
      <c r="AF8266">
        <v>0</v>
      </c>
      <c r="AJ8266">
        <v>0</v>
      </c>
      <c r="AK8266">
        <v>0</v>
      </c>
      <c r="AL8266">
        <v>0</v>
      </c>
      <c r="AM8266">
        <v>666</v>
      </c>
      <c r="AN8266">
        <v>666</v>
      </c>
      <c r="AO8266">
        <v>666</v>
      </c>
      <c r="AP8266" s="2">
        <v>42746</v>
      </c>
      <c r="AQ8266" t="s">
        <v>72</v>
      </c>
      <c r="AR8266" t="s">
        <v>72</v>
      </c>
      <c r="AS8266">
        <v>893</v>
      </c>
      <c r="AT8266" s="4">
        <v>42453</v>
      </c>
      <c r="AV8266">
        <v>893</v>
      </c>
      <c r="AW8266" s="4">
        <v>42453</v>
      </c>
      <c r="BD8266">
        <v>0</v>
      </c>
      <c r="BN8266" t="s">
        <v>74</v>
      </c>
    </row>
    <row r="8267" spans="1:66" hidden="1">
      <c r="A8267">
        <v>104666</v>
      </c>
      <c r="B8267" s="3" t="s">
        <v>691</v>
      </c>
      <c r="C8267" s="1">
        <v>43500101</v>
      </c>
      <c r="D8267" t="s">
        <v>113</v>
      </c>
      <c r="H8267" t="str">
        <f t="shared" si="817"/>
        <v>02875460244</v>
      </c>
      <c r="I8267" t="str">
        <f t="shared" si="817"/>
        <v>02875460244</v>
      </c>
      <c r="K8267" t="str">
        <f>""</f>
        <v/>
      </c>
      <c r="M8267" t="s">
        <v>68</v>
      </c>
      <c r="N8267" t="str">
        <f t="shared" si="816"/>
        <v>ALTFIN</v>
      </c>
      <c r="O8267" t="s">
        <v>123</v>
      </c>
      <c r="P8267" s="3" t="s">
        <v>87</v>
      </c>
      <c r="Q8267">
        <v>2016</v>
      </c>
      <c r="R8267" s="2">
        <v>42481</v>
      </c>
      <c r="S8267" s="2">
        <v>42481</v>
      </c>
      <c r="T8267" s="2">
        <v>42481</v>
      </c>
      <c r="U8267" s="2">
        <v>42541</v>
      </c>
      <c r="V8267" t="s">
        <v>71</v>
      </c>
      <c r="W8267" t="str">
        <f>"                0421"</f>
        <v xml:space="preserve">                0421</v>
      </c>
      <c r="X8267">
        <v>0</v>
      </c>
      <c r="Y8267">
        <v>666</v>
      </c>
      <c r="Z8267"/>
      <c r="AB8267"/>
      <c r="AC8267">
        <v>666</v>
      </c>
      <c r="AD8267">
        <v>-60</v>
      </c>
      <c r="AE8267" s="1">
        <v>-39960</v>
      </c>
      <c r="AF8267">
        <v>0</v>
      </c>
      <c r="AJ8267">
        <v>0</v>
      </c>
      <c r="AK8267">
        <v>0</v>
      </c>
      <c r="AL8267">
        <v>0</v>
      </c>
      <c r="AM8267">
        <v>666</v>
      </c>
      <c r="AN8267">
        <v>666</v>
      </c>
      <c r="AO8267">
        <v>666</v>
      </c>
      <c r="AP8267" s="2">
        <v>42746</v>
      </c>
      <c r="AQ8267" t="s">
        <v>72</v>
      </c>
      <c r="AR8267" t="s">
        <v>72</v>
      </c>
      <c r="AS8267">
        <v>1059</v>
      </c>
      <c r="AT8267" s="4">
        <v>42481</v>
      </c>
      <c r="AV8267">
        <v>1059</v>
      </c>
      <c r="AW8267" s="4">
        <v>42481</v>
      </c>
      <c r="BD8267">
        <v>0</v>
      </c>
      <c r="BN8267" t="s">
        <v>74</v>
      </c>
    </row>
    <row r="8268" spans="1:66" hidden="1">
      <c r="A8268">
        <v>104666</v>
      </c>
      <c r="B8268" s="3" t="s">
        <v>691</v>
      </c>
      <c r="C8268" s="1">
        <v>43500101</v>
      </c>
      <c r="D8268" t="s">
        <v>113</v>
      </c>
      <c r="H8268" t="str">
        <f t="shared" si="817"/>
        <v>02875460244</v>
      </c>
      <c r="I8268" t="str">
        <f t="shared" si="817"/>
        <v>02875460244</v>
      </c>
      <c r="K8268" t="str">
        <f>""</f>
        <v/>
      </c>
      <c r="M8268" t="s">
        <v>68</v>
      </c>
      <c r="N8268" t="str">
        <f t="shared" si="816"/>
        <v>ALTFIN</v>
      </c>
      <c r="O8268" t="s">
        <v>123</v>
      </c>
      <c r="P8268" s="3" t="s">
        <v>88</v>
      </c>
      <c r="Q8268">
        <v>2016</v>
      </c>
      <c r="R8268" s="2">
        <v>42508</v>
      </c>
      <c r="S8268" s="2">
        <v>42510</v>
      </c>
      <c r="T8268" s="2">
        <v>42510</v>
      </c>
      <c r="U8268" s="2">
        <v>42570</v>
      </c>
      <c r="V8268" t="s">
        <v>71</v>
      </c>
      <c r="W8268" t="str">
        <f>"                0518"</f>
        <v xml:space="preserve">                0518</v>
      </c>
      <c r="X8268">
        <v>0</v>
      </c>
      <c r="Y8268">
        <v>666</v>
      </c>
      <c r="Z8268"/>
      <c r="AB8268"/>
      <c r="AC8268">
        <v>666</v>
      </c>
      <c r="AD8268">
        <v>-57</v>
      </c>
      <c r="AE8268" s="1">
        <v>-37962</v>
      </c>
      <c r="AF8268">
        <v>0</v>
      </c>
      <c r="AJ8268">
        <v>0</v>
      </c>
      <c r="AK8268">
        <v>0</v>
      </c>
      <c r="AL8268">
        <v>0</v>
      </c>
      <c r="AM8268">
        <v>666</v>
      </c>
      <c r="AN8268">
        <v>666</v>
      </c>
      <c r="AO8268">
        <v>666</v>
      </c>
      <c r="AP8268" s="2">
        <v>42746</v>
      </c>
      <c r="AQ8268" t="s">
        <v>72</v>
      </c>
      <c r="AR8268" t="s">
        <v>72</v>
      </c>
      <c r="AS8268">
        <v>1298</v>
      </c>
      <c r="AT8268" s="4">
        <v>42513</v>
      </c>
      <c r="AV8268">
        <v>1298</v>
      </c>
      <c r="AW8268" s="4">
        <v>42513</v>
      </c>
      <c r="BD8268">
        <v>0</v>
      </c>
      <c r="BN8268" t="s">
        <v>74</v>
      </c>
    </row>
    <row r="8269" spans="1:66" hidden="1">
      <c r="A8269">
        <v>104666</v>
      </c>
      <c r="B8269" s="3" t="s">
        <v>691</v>
      </c>
      <c r="C8269" s="1">
        <v>43500101</v>
      </c>
      <c r="D8269" t="s">
        <v>113</v>
      </c>
      <c r="H8269" t="str">
        <f t="shared" si="817"/>
        <v>02875460244</v>
      </c>
      <c r="I8269" t="str">
        <f t="shared" si="817"/>
        <v>02875460244</v>
      </c>
      <c r="K8269" t="str">
        <f>""</f>
        <v/>
      </c>
      <c r="M8269" t="s">
        <v>68</v>
      </c>
      <c r="N8269" t="str">
        <f t="shared" si="816"/>
        <v>ALTFIN</v>
      </c>
      <c r="O8269" t="s">
        <v>123</v>
      </c>
      <c r="P8269" s="3" t="s">
        <v>89</v>
      </c>
      <c r="Q8269">
        <v>2016</v>
      </c>
      <c r="R8269" s="2">
        <v>42548</v>
      </c>
      <c r="S8269" s="2">
        <v>42543</v>
      </c>
      <c r="T8269" s="2">
        <v>42543</v>
      </c>
      <c r="U8269" s="2">
        <v>42603</v>
      </c>
      <c r="V8269" t="s">
        <v>71</v>
      </c>
      <c r="W8269" t="str">
        <f>"                0627"</f>
        <v xml:space="preserve">                0627</v>
      </c>
      <c r="X8269">
        <v>0</v>
      </c>
      <c r="Y8269">
        <v>666</v>
      </c>
      <c r="Z8269"/>
      <c r="AB8269"/>
      <c r="AC8269">
        <v>666</v>
      </c>
      <c r="AD8269">
        <v>-47</v>
      </c>
      <c r="AE8269" s="1">
        <v>-31302</v>
      </c>
      <c r="AF8269">
        <v>0</v>
      </c>
      <c r="AJ8269">
        <v>0</v>
      </c>
      <c r="AK8269">
        <v>0</v>
      </c>
      <c r="AL8269">
        <v>0</v>
      </c>
      <c r="AM8269">
        <v>666</v>
      </c>
      <c r="AN8269">
        <v>666</v>
      </c>
      <c r="AO8269">
        <v>666</v>
      </c>
      <c r="AP8269" s="2">
        <v>42746</v>
      </c>
      <c r="AQ8269" t="s">
        <v>72</v>
      </c>
      <c r="AR8269" t="s">
        <v>72</v>
      </c>
      <c r="AS8269">
        <v>1681</v>
      </c>
      <c r="AT8269" s="4">
        <v>42556</v>
      </c>
      <c r="AV8269">
        <v>1681</v>
      </c>
      <c r="AW8269" s="4">
        <v>42556</v>
      </c>
      <c r="BD8269">
        <v>0</v>
      </c>
      <c r="BN8269" t="s">
        <v>74</v>
      </c>
    </row>
    <row r="8270" spans="1:66" hidden="1">
      <c r="A8270">
        <v>104666</v>
      </c>
      <c r="B8270" s="3" t="s">
        <v>691</v>
      </c>
      <c r="C8270" s="1">
        <v>43500101</v>
      </c>
      <c r="D8270" t="s">
        <v>113</v>
      </c>
      <c r="H8270" t="str">
        <f t="shared" si="817"/>
        <v>02875460244</v>
      </c>
      <c r="I8270" t="str">
        <f t="shared" si="817"/>
        <v>02875460244</v>
      </c>
      <c r="K8270" t="str">
        <f>""</f>
        <v/>
      </c>
      <c r="M8270" t="s">
        <v>68</v>
      </c>
      <c r="N8270" t="str">
        <f t="shared" si="816"/>
        <v>ALTFIN</v>
      </c>
      <c r="O8270" t="s">
        <v>123</v>
      </c>
      <c r="P8270" s="3" t="s">
        <v>90</v>
      </c>
      <c r="Q8270">
        <v>2016</v>
      </c>
      <c r="R8270" s="2">
        <v>42573</v>
      </c>
      <c r="S8270" s="2">
        <v>42573</v>
      </c>
      <c r="T8270" s="2">
        <v>42573</v>
      </c>
      <c r="U8270" s="2">
        <v>42633</v>
      </c>
      <c r="V8270" t="s">
        <v>71</v>
      </c>
      <c r="W8270" t="str">
        <f>"                0722"</f>
        <v xml:space="preserve">                0722</v>
      </c>
      <c r="X8270">
        <v>0</v>
      </c>
      <c r="Y8270">
        <v>666</v>
      </c>
      <c r="Z8270"/>
      <c r="AB8270"/>
      <c r="AC8270">
        <v>666</v>
      </c>
      <c r="AD8270">
        <v>-48</v>
      </c>
      <c r="AE8270" s="1">
        <v>-31968</v>
      </c>
      <c r="AF8270">
        <v>0</v>
      </c>
      <c r="AJ8270">
        <v>0</v>
      </c>
      <c r="AK8270">
        <v>0</v>
      </c>
      <c r="AL8270">
        <v>0</v>
      </c>
      <c r="AM8270">
        <v>666</v>
      </c>
      <c r="AN8270">
        <v>666</v>
      </c>
      <c r="AO8270">
        <v>666</v>
      </c>
      <c r="AP8270" s="2">
        <v>42746</v>
      </c>
      <c r="AQ8270" t="s">
        <v>72</v>
      </c>
      <c r="AR8270" t="s">
        <v>72</v>
      </c>
      <c r="AS8270">
        <v>2081</v>
      </c>
      <c r="AT8270" s="4">
        <v>42585</v>
      </c>
      <c r="AV8270">
        <v>2081</v>
      </c>
      <c r="AW8270" s="4">
        <v>42585</v>
      </c>
      <c r="BD8270">
        <v>0</v>
      </c>
      <c r="BN8270" t="s">
        <v>74</v>
      </c>
    </row>
    <row r="8271" spans="1:66" hidden="1">
      <c r="A8271">
        <v>104666</v>
      </c>
      <c r="B8271" s="3" t="s">
        <v>691</v>
      </c>
      <c r="C8271" s="1">
        <v>43500101</v>
      </c>
      <c r="D8271" t="s">
        <v>113</v>
      </c>
      <c r="H8271" t="str">
        <f t="shared" si="817"/>
        <v>02875460244</v>
      </c>
      <c r="I8271" t="str">
        <f t="shared" si="817"/>
        <v>02875460244</v>
      </c>
      <c r="K8271" t="str">
        <f>""</f>
        <v/>
      </c>
      <c r="M8271" t="s">
        <v>68</v>
      </c>
      <c r="N8271" t="str">
        <f t="shared" si="816"/>
        <v>ALTFIN</v>
      </c>
      <c r="O8271" t="s">
        <v>123</v>
      </c>
      <c r="P8271" s="3" t="s">
        <v>91</v>
      </c>
      <c r="Q8271">
        <v>2016</v>
      </c>
      <c r="R8271" s="2">
        <v>42592</v>
      </c>
      <c r="S8271" s="2">
        <v>42598</v>
      </c>
      <c r="T8271" s="2">
        <v>42598</v>
      </c>
      <c r="U8271" s="2">
        <v>42658</v>
      </c>
      <c r="V8271" t="s">
        <v>71</v>
      </c>
      <c r="W8271" t="str">
        <f>"                0810"</f>
        <v xml:space="preserve">                0810</v>
      </c>
      <c r="X8271">
        <v>0</v>
      </c>
      <c r="Y8271">
        <v>666</v>
      </c>
      <c r="Z8271"/>
      <c r="AB8271"/>
      <c r="AC8271">
        <v>666</v>
      </c>
      <c r="AD8271">
        <v>-60</v>
      </c>
      <c r="AE8271" s="1">
        <v>-39960</v>
      </c>
      <c r="AF8271">
        <v>0</v>
      </c>
      <c r="AJ8271">
        <v>0</v>
      </c>
      <c r="AK8271">
        <v>0</v>
      </c>
      <c r="AL8271">
        <v>0</v>
      </c>
      <c r="AM8271">
        <v>666</v>
      </c>
      <c r="AN8271">
        <v>666</v>
      </c>
      <c r="AO8271">
        <v>666</v>
      </c>
      <c r="AP8271" s="2">
        <v>42746</v>
      </c>
      <c r="AQ8271" t="s">
        <v>72</v>
      </c>
      <c r="AR8271" t="s">
        <v>72</v>
      </c>
      <c r="AS8271">
        <v>2163</v>
      </c>
      <c r="AT8271" s="4">
        <v>42598</v>
      </c>
      <c r="AV8271">
        <v>2163</v>
      </c>
      <c r="AW8271" s="4">
        <v>42598</v>
      </c>
      <c r="BD8271">
        <v>0</v>
      </c>
      <c r="BN8271" t="s">
        <v>74</v>
      </c>
    </row>
    <row r="8272" spans="1:66" hidden="1">
      <c r="A8272">
        <v>104666</v>
      </c>
      <c r="B8272" s="3" t="s">
        <v>691</v>
      </c>
      <c r="C8272" s="1">
        <v>43500101</v>
      </c>
      <c r="D8272" t="s">
        <v>113</v>
      </c>
      <c r="H8272" t="str">
        <f t="shared" si="817"/>
        <v>02875460244</v>
      </c>
      <c r="I8272" t="str">
        <f t="shared" si="817"/>
        <v>02875460244</v>
      </c>
      <c r="K8272" t="str">
        <f>""</f>
        <v/>
      </c>
      <c r="M8272" t="s">
        <v>68</v>
      </c>
      <c r="N8272" t="str">
        <f t="shared" si="816"/>
        <v>ALTFIN</v>
      </c>
      <c r="O8272" t="s">
        <v>123</v>
      </c>
      <c r="P8272" s="3" t="s">
        <v>92</v>
      </c>
      <c r="Q8272">
        <v>2016</v>
      </c>
      <c r="R8272" s="2">
        <v>42633</v>
      </c>
      <c r="S8272" s="2">
        <v>42634</v>
      </c>
      <c r="T8272" s="2">
        <v>42634</v>
      </c>
      <c r="U8272" s="2">
        <v>42694</v>
      </c>
      <c r="V8272" t="s">
        <v>71</v>
      </c>
      <c r="W8272" t="str">
        <f>"                0920"</f>
        <v xml:space="preserve">                0920</v>
      </c>
      <c r="X8272">
        <v>0</v>
      </c>
      <c r="Y8272">
        <v>666</v>
      </c>
      <c r="Z8272"/>
      <c r="AB8272"/>
      <c r="AC8272">
        <v>666</v>
      </c>
      <c r="AD8272">
        <v>-60</v>
      </c>
      <c r="AE8272" s="1">
        <v>-39960</v>
      </c>
      <c r="AF8272">
        <v>0</v>
      </c>
      <c r="AJ8272">
        <v>0</v>
      </c>
      <c r="AK8272">
        <v>0</v>
      </c>
      <c r="AL8272">
        <v>0</v>
      </c>
      <c r="AM8272">
        <v>666</v>
      </c>
      <c r="AN8272">
        <v>666</v>
      </c>
      <c r="AO8272">
        <v>666</v>
      </c>
      <c r="AP8272" s="2">
        <v>42746</v>
      </c>
      <c r="AQ8272" t="s">
        <v>72</v>
      </c>
      <c r="AR8272" t="s">
        <v>72</v>
      </c>
      <c r="AS8272">
        <v>2436</v>
      </c>
      <c r="AT8272" s="4">
        <v>42634</v>
      </c>
      <c r="AV8272">
        <v>2436</v>
      </c>
      <c r="AW8272" s="4">
        <v>42634</v>
      </c>
      <c r="BD8272">
        <v>0</v>
      </c>
      <c r="BN8272" t="s">
        <v>74</v>
      </c>
    </row>
    <row r="8273" spans="1:66" hidden="1">
      <c r="A8273">
        <v>104666</v>
      </c>
      <c r="B8273" s="3" t="s">
        <v>691</v>
      </c>
      <c r="C8273" s="1">
        <v>43500101</v>
      </c>
      <c r="D8273" t="s">
        <v>113</v>
      </c>
      <c r="H8273" t="str">
        <f t="shared" si="817"/>
        <v>02875460244</v>
      </c>
      <c r="I8273" t="str">
        <f t="shared" si="817"/>
        <v>02875460244</v>
      </c>
      <c r="K8273" t="str">
        <f>""</f>
        <v/>
      </c>
      <c r="M8273" t="s">
        <v>68</v>
      </c>
      <c r="N8273" t="str">
        <f t="shared" si="816"/>
        <v>ALTFIN</v>
      </c>
      <c r="O8273" t="s">
        <v>123</v>
      </c>
      <c r="P8273" s="3" t="s">
        <v>93</v>
      </c>
      <c r="Q8273">
        <v>2016</v>
      </c>
      <c r="R8273" s="2">
        <v>42664</v>
      </c>
      <c r="S8273" s="2">
        <v>42667</v>
      </c>
      <c r="T8273" s="2">
        <v>42667</v>
      </c>
      <c r="U8273" s="2">
        <v>42727</v>
      </c>
      <c r="V8273" t="s">
        <v>71</v>
      </c>
      <c r="W8273" t="str">
        <f>"                1021"</f>
        <v xml:space="preserve">                1021</v>
      </c>
      <c r="X8273">
        <v>0</v>
      </c>
      <c r="Y8273">
        <v>666</v>
      </c>
      <c r="Z8273" s="3">
        <v>666</v>
      </c>
      <c r="AA8273">
        <v>-60</v>
      </c>
      <c r="AB8273" s="5">
        <v>-39960</v>
      </c>
      <c r="AC8273">
        <v>666</v>
      </c>
      <c r="AD8273">
        <v>-60</v>
      </c>
      <c r="AE8273" s="1">
        <v>-39960</v>
      </c>
      <c r="AF8273">
        <v>0</v>
      </c>
      <c r="AJ8273">
        <v>666</v>
      </c>
      <c r="AK8273">
        <v>666</v>
      </c>
      <c r="AL8273">
        <v>666</v>
      </c>
      <c r="AM8273">
        <v>666</v>
      </c>
      <c r="AN8273">
        <v>666</v>
      </c>
      <c r="AO8273">
        <v>666</v>
      </c>
      <c r="AP8273" s="2">
        <v>42746</v>
      </c>
      <c r="AQ8273" t="s">
        <v>72</v>
      </c>
      <c r="AR8273" t="s">
        <v>72</v>
      </c>
      <c r="AS8273">
        <v>2783</v>
      </c>
      <c r="AT8273" s="4">
        <v>42667</v>
      </c>
      <c r="AV8273">
        <v>2783</v>
      </c>
      <c r="AW8273" s="4">
        <v>42667</v>
      </c>
      <c r="BD8273">
        <v>0</v>
      </c>
      <c r="BN8273" t="s">
        <v>74</v>
      </c>
    </row>
    <row r="8274" spans="1:66" hidden="1">
      <c r="A8274">
        <v>104666</v>
      </c>
      <c r="B8274" s="3" t="s">
        <v>691</v>
      </c>
      <c r="C8274" s="1">
        <v>43500101</v>
      </c>
      <c r="D8274" t="s">
        <v>113</v>
      </c>
      <c r="H8274" t="str">
        <f t="shared" si="817"/>
        <v>02875460244</v>
      </c>
      <c r="I8274" t="str">
        <f t="shared" si="817"/>
        <v>02875460244</v>
      </c>
      <c r="K8274" t="str">
        <f>""</f>
        <v/>
      </c>
      <c r="M8274" t="s">
        <v>68</v>
      </c>
      <c r="N8274" t="str">
        <f t="shared" si="816"/>
        <v>ALTFIN</v>
      </c>
      <c r="O8274" t="s">
        <v>123</v>
      </c>
      <c r="P8274" s="3" t="s">
        <v>94</v>
      </c>
      <c r="Q8274">
        <v>2016</v>
      </c>
      <c r="R8274" s="2">
        <v>42696</v>
      </c>
      <c r="S8274" s="2">
        <v>42696</v>
      </c>
      <c r="T8274" s="2">
        <v>42696</v>
      </c>
      <c r="U8274" s="2">
        <v>42756</v>
      </c>
      <c r="V8274" t="s">
        <v>71</v>
      </c>
      <c r="W8274" t="str">
        <f>"                1122"</f>
        <v xml:space="preserve">                1122</v>
      </c>
      <c r="X8274">
        <v>0</v>
      </c>
      <c r="Y8274">
        <v>666</v>
      </c>
      <c r="Z8274" s="3">
        <v>666</v>
      </c>
      <c r="AA8274">
        <v>-59</v>
      </c>
      <c r="AB8274" s="5">
        <v>-39294</v>
      </c>
      <c r="AC8274">
        <v>666</v>
      </c>
      <c r="AD8274">
        <v>-59</v>
      </c>
      <c r="AE8274" s="1">
        <v>-39294</v>
      </c>
      <c r="AF8274">
        <v>0</v>
      </c>
      <c r="AJ8274">
        <v>666</v>
      </c>
      <c r="AK8274">
        <v>666</v>
      </c>
      <c r="AL8274">
        <v>666</v>
      </c>
      <c r="AM8274">
        <v>666</v>
      </c>
      <c r="AN8274">
        <v>666</v>
      </c>
      <c r="AO8274">
        <v>666</v>
      </c>
      <c r="AP8274" s="2">
        <v>42746</v>
      </c>
      <c r="AQ8274" t="s">
        <v>72</v>
      </c>
      <c r="AR8274" t="s">
        <v>72</v>
      </c>
      <c r="AS8274">
        <v>3221</v>
      </c>
      <c r="AT8274" s="4">
        <v>42697</v>
      </c>
      <c r="AV8274">
        <v>3221</v>
      </c>
      <c r="AW8274" s="4">
        <v>42697</v>
      </c>
      <c r="BD8274">
        <v>0</v>
      </c>
      <c r="BN8274" t="s">
        <v>74</v>
      </c>
    </row>
    <row r="8275" spans="1:66" hidden="1">
      <c r="A8275">
        <v>104666</v>
      </c>
      <c r="B8275" s="3" t="s">
        <v>691</v>
      </c>
      <c r="C8275" s="1">
        <v>43500101</v>
      </c>
      <c r="D8275" t="s">
        <v>113</v>
      </c>
      <c r="H8275" t="str">
        <f t="shared" si="817"/>
        <v>02875460244</v>
      </c>
      <c r="I8275" t="str">
        <f t="shared" si="817"/>
        <v>02875460244</v>
      </c>
      <c r="K8275" t="str">
        <f>""</f>
        <v/>
      </c>
      <c r="M8275" t="s">
        <v>68</v>
      </c>
      <c r="N8275" t="str">
        <f t="shared" si="816"/>
        <v>ALTFIN</v>
      </c>
      <c r="O8275" t="s">
        <v>123</v>
      </c>
      <c r="P8275" s="3" t="s">
        <v>95</v>
      </c>
      <c r="Q8275">
        <v>2016</v>
      </c>
      <c r="R8275" s="2">
        <v>42717</v>
      </c>
      <c r="S8275" s="2">
        <v>42717</v>
      </c>
      <c r="T8275" s="2">
        <v>42717</v>
      </c>
      <c r="U8275" s="2">
        <v>42777</v>
      </c>
      <c r="V8275" t="s">
        <v>71</v>
      </c>
      <c r="W8275" t="str">
        <f>"                1213"</f>
        <v xml:space="preserve">                1213</v>
      </c>
      <c r="X8275">
        <v>0</v>
      </c>
      <c r="Y8275">
        <v>666</v>
      </c>
      <c r="Z8275" s="3">
        <v>666</v>
      </c>
      <c r="AA8275">
        <v>-59</v>
      </c>
      <c r="AB8275" s="5">
        <v>-39294</v>
      </c>
      <c r="AC8275">
        <v>666</v>
      </c>
      <c r="AD8275">
        <v>-59</v>
      </c>
      <c r="AE8275" s="1">
        <v>-39294</v>
      </c>
      <c r="AF8275">
        <v>0</v>
      </c>
      <c r="AJ8275">
        <v>666</v>
      </c>
      <c r="AK8275">
        <v>666</v>
      </c>
      <c r="AL8275">
        <v>666</v>
      </c>
      <c r="AM8275">
        <v>666</v>
      </c>
      <c r="AN8275">
        <v>666</v>
      </c>
      <c r="AO8275">
        <v>666</v>
      </c>
      <c r="AP8275" s="2">
        <v>42746</v>
      </c>
      <c r="AQ8275" t="s">
        <v>72</v>
      </c>
      <c r="AR8275" t="s">
        <v>72</v>
      </c>
      <c r="AS8275">
        <v>3380</v>
      </c>
      <c r="AT8275" s="4">
        <v>42718</v>
      </c>
      <c r="AV8275">
        <v>3380</v>
      </c>
      <c r="AW8275" s="4">
        <v>42718</v>
      </c>
      <c r="BD8275">
        <v>0</v>
      </c>
      <c r="BN8275" t="s">
        <v>74</v>
      </c>
    </row>
    <row r="8276" spans="1:66" hidden="1">
      <c r="A8276">
        <v>104677</v>
      </c>
      <c r="B8276" s="3" t="s">
        <v>692</v>
      </c>
      <c r="C8276" s="1">
        <v>43500101</v>
      </c>
      <c r="D8276" t="s">
        <v>113</v>
      </c>
      <c r="H8276" t="str">
        <f t="shared" ref="H8276:I8287" si="818">"01583450901"</f>
        <v>01583450901</v>
      </c>
      <c r="I8276" t="str">
        <f t="shared" si="818"/>
        <v>01583450901</v>
      </c>
      <c r="K8276" t="str">
        <f>""</f>
        <v/>
      </c>
      <c r="M8276" t="s">
        <v>68</v>
      </c>
      <c r="N8276" t="str">
        <f t="shared" si="816"/>
        <v>ALTFIN</v>
      </c>
      <c r="O8276" t="s">
        <v>123</v>
      </c>
      <c r="P8276" s="3" t="s">
        <v>84</v>
      </c>
      <c r="Q8276">
        <v>2016</v>
      </c>
      <c r="R8276" s="2">
        <v>42389</v>
      </c>
      <c r="S8276" s="2">
        <v>42390</v>
      </c>
      <c r="T8276" s="2">
        <v>42390</v>
      </c>
      <c r="U8276" s="2">
        <v>42450</v>
      </c>
      <c r="V8276" t="s">
        <v>71</v>
      </c>
      <c r="W8276" t="str">
        <f>"                0120"</f>
        <v xml:space="preserve">                0120</v>
      </c>
      <c r="X8276">
        <v>0</v>
      </c>
      <c r="Y8276">
        <v>300</v>
      </c>
      <c r="Z8276"/>
      <c r="AB8276"/>
      <c r="AC8276">
        <v>300</v>
      </c>
      <c r="AD8276">
        <v>-60</v>
      </c>
      <c r="AE8276" s="1">
        <v>-18000</v>
      </c>
      <c r="AF8276">
        <v>0</v>
      </c>
      <c r="AJ8276">
        <v>0</v>
      </c>
      <c r="AK8276">
        <v>0</v>
      </c>
      <c r="AL8276">
        <v>0</v>
      </c>
      <c r="AM8276">
        <v>300</v>
      </c>
      <c r="AN8276">
        <v>300</v>
      </c>
      <c r="AO8276">
        <v>300</v>
      </c>
      <c r="AP8276" s="2">
        <v>42746</v>
      </c>
      <c r="AQ8276" t="s">
        <v>72</v>
      </c>
      <c r="AR8276" t="s">
        <v>72</v>
      </c>
      <c r="AS8276">
        <v>29</v>
      </c>
      <c r="AT8276" s="4">
        <v>42390</v>
      </c>
      <c r="AV8276">
        <v>29</v>
      </c>
      <c r="AW8276" s="4">
        <v>42390</v>
      </c>
      <c r="BD8276">
        <v>0</v>
      </c>
      <c r="BN8276" t="s">
        <v>74</v>
      </c>
    </row>
    <row r="8277" spans="1:66" hidden="1">
      <c r="A8277">
        <v>104677</v>
      </c>
      <c r="B8277" s="3" t="s">
        <v>692</v>
      </c>
      <c r="C8277" s="1">
        <v>43500101</v>
      </c>
      <c r="D8277" t="s">
        <v>113</v>
      </c>
      <c r="H8277" t="str">
        <f t="shared" si="818"/>
        <v>01583450901</v>
      </c>
      <c r="I8277" t="str">
        <f t="shared" si="818"/>
        <v>01583450901</v>
      </c>
      <c r="K8277" t="str">
        <f>""</f>
        <v/>
      </c>
      <c r="M8277" t="s">
        <v>68</v>
      </c>
      <c r="N8277" t="str">
        <f t="shared" si="816"/>
        <v>ALTFIN</v>
      </c>
      <c r="O8277" t="s">
        <v>123</v>
      </c>
      <c r="P8277" s="3" t="s">
        <v>85</v>
      </c>
      <c r="Q8277">
        <v>2016</v>
      </c>
      <c r="R8277" s="2">
        <v>42422</v>
      </c>
      <c r="S8277" s="2">
        <v>42422</v>
      </c>
      <c r="T8277" s="2">
        <v>42422</v>
      </c>
      <c r="U8277" s="2">
        <v>42482</v>
      </c>
      <c r="V8277" t="s">
        <v>71</v>
      </c>
      <c r="W8277" t="str">
        <f>"                0222"</f>
        <v xml:space="preserve">                0222</v>
      </c>
      <c r="X8277">
        <v>0</v>
      </c>
      <c r="Y8277">
        <v>300</v>
      </c>
      <c r="Z8277"/>
      <c r="AB8277"/>
      <c r="AC8277">
        <v>300</v>
      </c>
      <c r="AD8277">
        <v>-58</v>
      </c>
      <c r="AE8277" s="1">
        <v>-17400</v>
      </c>
      <c r="AF8277">
        <v>0</v>
      </c>
      <c r="AJ8277">
        <v>0</v>
      </c>
      <c r="AK8277">
        <v>0</v>
      </c>
      <c r="AL8277">
        <v>0</v>
      </c>
      <c r="AM8277">
        <v>300</v>
      </c>
      <c r="AN8277">
        <v>300</v>
      </c>
      <c r="AO8277">
        <v>300</v>
      </c>
      <c r="AP8277" s="2">
        <v>42746</v>
      </c>
      <c r="AQ8277" t="s">
        <v>72</v>
      </c>
      <c r="AR8277" t="s">
        <v>72</v>
      </c>
      <c r="AS8277">
        <v>474</v>
      </c>
      <c r="AT8277" s="4">
        <v>42424</v>
      </c>
      <c r="AV8277">
        <v>474</v>
      </c>
      <c r="AW8277" s="4">
        <v>42424</v>
      </c>
      <c r="BD8277">
        <v>0</v>
      </c>
      <c r="BN8277" t="s">
        <v>74</v>
      </c>
    </row>
    <row r="8278" spans="1:66" hidden="1">
      <c r="A8278">
        <v>104677</v>
      </c>
      <c r="B8278" s="3" t="s">
        <v>692</v>
      </c>
      <c r="C8278" s="1">
        <v>43500101</v>
      </c>
      <c r="D8278" t="s">
        <v>113</v>
      </c>
      <c r="H8278" t="str">
        <f t="shared" si="818"/>
        <v>01583450901</v>
      </c>
      <c r="I8278" t="str">
        <f t="shared" si="818"/>
        <v>01583450901</v>
      </c>
      <c r="K8278" t="str">
        <f>""</f>
        <v/>
      </c>
      <c r="M8278" t="s">
        <v>68</v>
      </c>
      <c r="N8278" t="str">
        <f t="shared" si="816"/>
        <v>ALTFIN</v>
      </c>
      <c r="O8278" t="s">
        <v>123</v>
      </c>
      <c r="P8278" s="3" t="s">
        <v>86</v>
      </c>
      <c r="Q8278">
        <v>2016</v>
      </c>
      <c r="R8278" s="2">
        <v>42450</v>
      </c>
      <c r="S8278" s="2">
        <v>42450</v>
      </c>
      <c r="T8278" s="2">
        <v>42450</v>
      </c>
      <c r="U8278" s="2">
        <v>42510</v>
      </c>
      <c r="V8278" t="s">
        <v>71</v>
      </c>
      <c r="W8278" t="str">
        <f>"                0321"</f>
        <v xml:space="preserve">                0321</v>
      </c>
      <c r="X8278">
        <v>0</v>
      </c>
      <c r="Y8278">
        <v>300</v>
      </c>
      <c r="Z8278"/>
      <c r="AB8278"/>
      <c r="AC8278">
        <v>300</v>
      </c>
      <c r="AD8278">
        <v>-57</v>
      </c>
      <c r="AE8278" s="1">
        <v>-17100</v>
      </c>
      <c r="AF8278">
        <v>0</v>
      </c>
      <c r="AJ8278">
        <v>0</v>
      </c>
      <c r="AK8278">
        <v>0</v>
      </c>
      <c r="AL8278">
        <v>0</v>
      </c>
      <c r="AM8278">
        <v>300</v>
      </c>
      <c r="AN8278">
        <v>300</v>
      </c>
      <c r="AO8278">
        <v>300</v>
      </c>
      <c r="AP8278" s="2">
        <v>42746</v>
      </c>
      <c r="AQ8278" t="s">
        <v>72</v>
      </c>
      <c r="AR8278" t="s">
        <v>72</v>
      </c>
      <c r="AS8278">
        <v>896</v>
      </c>
      <c r="AT8278" s="4">
        <v>42453</v>
      </c>
      <c r="AV8278">
        <v>896</v>
      </c>
      <c r="AW8278" s="4">
        <v>42453</v>
      </c>
      <c r="BD8278">
        <v>0</v>
      </c>
      <c r="BN8278" t="s">
        <v>74</v>
      </c>
    </row>
    <row r="8279" spans="1:66" hidden="1">
      <c r="A8279">
        <v>104677</v>
      </c>
      <c r="B8279" s="3" t="s">
        <v>692</v>
      </c>
      <c r="C8279" s="1">
        <v>43500101</v>
      </c>
      <c r="D8279" t="s">
        <v>113</v>
      </c>
      <c r="H8279" t="str">
        <f t="shared" si="818"/>
        <v>01583450901</v>
      </c>
      <c r="I8279" t="str">
        <f t="shared" si="818"/>
        <v>01583450901</v>
      </c>
      <c r="K8279" t="str">
        <f>""</f>
        <v/>
      </c>
      <c r="M8279" t="s">
        <v>68</v>
      </c>
      <c r="N8279" t="str">
        <f t="shared" si="816"/>
        <v>ALTFIN</v>
      </c>
      <c r="O8279" t="s">
        <v>123</v>
      </c>
      <c r="P8279" s="3" t="s">
        <v>87</v>
      </c>
      <c r="Q8279">
        <v>2016</v>
      </c>
      <c r="R8279" s="2">
        <v>42481</v>
      </c>
      <c r="S8279" s="2">
        <v>42481</v>
      </c>
      <c r="T8279" s="2">
        <v>42481</v>
      </c>
      <c r="U8279" s="2">
        <v>42541</v>
      </c>
      <c r="V8279" t="s">
        <v>71</v>
      </c>
      <c r="W8279" t="str">
        <f>"                0421"</f>
        <v xml:space="preserve">                0421</v>
      </c>
      <c r="X8279">
        <v>0</v>
      </c>
      <c r="Y8279">
        <v>300</v>
      </c>
      <c r="Z8279"/>
      <c r="AB8279"/>
      <c r="AC8279">
        <v>300</v>
      </c>
      <c r="AD8279">
        <v>-60</v>
      </c>
      <c r="AE8279" s="1">
        <v>-18000</v>
      </c>
      <c r="AF8279">
        <v>0</v>
      </c>
      <c r="AJ8279">
        <v>0</v>
      </c>
      <c r="AK8279">
        <v>0</v>
      </c>
      <c r="AL8279">
        <v>0</v>
      </c>
      <c r="AM8279">
        <v>300</v>
      </c>
      <c r="AN8279">
        <v>300</v>
      </c>
      <c r="AO8279">
        <v>300</v>
      </c>
      <c r="AP8279" s="2">
        <v>42746</v>
      </c>
      <c r="AQ8279" t="s">
        <v>72</v>
      </c>
      <c r="AR8279" t="s">
        <v>72</v>
      </c>
      <c r="AS8279">
        <v>1062</v>
      </c>
      <c r="AT8279" s="4">
        <v>42481</v>
      </c>
      <c r="AV8279">
        <v>1062</v>
      </c>
      <c r="AW8279" s="4">
        <v>42481</v>
      </c>
      <c r="BD8279">
        <v>0</v>
      </c>
      <c r="BN8279" t="s">
        <v>74</v>
      </c>
    </row>
    <row r="8280" spans="1:66" hidden="1">
      <c r="A8280">
        <v>104677</v>
      </c>
      <c r="B8280" s="3" t="s">
        <v>692</v>
      </c>
      <c r="C8280" s="1">
        <v>43500101</v>
      </c>
      <c r="D8280" t="s">
        <v>113</v>
      </c>
      <c r="H8280" t="str">
        <f t="shared" si="818"/>
        <v>01583450901</v>
      </c>
      <c r="I8280" t="str">
        <f t="shared" si="818"/>
        <v>01583450901</v>
      </c>
      <c r="K8280" t="str">
        <f>""</f>
        <v/>
      </c>
      <c r="M8280" t="s">
        <v>68</v>
      </c>
      <c r="N8280" t="str">
        <f t="shared" si="816"/>
        <v>ALTFIN</v>
      </c>
      <c r="O8280" t="s">
        <v>123</v>
      </c>
      <c r="P8280" s="3" t="s">
        <v>88</v>
      </c>
      <c r="Q8280">
        <v>2016</v>
      </c>
      <c r="R8280" s="2">
        <v>42508</v>
      </c>
      <c r="S8280" s="2">
        <v>42510</v>
      </c>
      <c r="T8280" s="2">
        <v>42510</v>
      </c>
      <c r="U8280" s="2">
        <v>42570</v>
      </c>
      <c r="V8280" t="s">
        <v>71</v>
      </c>
      <c r="W8280" t="str">
        <f>"                0518"</f>
        <v xml:space="preserve">                0518</v>
      </c>
      <c r="X8280">
        <v>0</v>
      </c>
      <c r="Y8280">
        <v>300</v>
      </c>
      <c r="Z8280"/>
      <c r="AB8280"/>
      <c r="AC8280">
        <v>300</v>
      </c>
      <c r="AD8280">
        <v>-57</v>
      </c>
      <c r="AE8280" s="1">
        <v>-17100</v>
      </c>
      <c r="AF8280">
        <v>0</v>
      </c>
      <c r="AJ8280">
        <v>0</v>
      </c>
      <c r="AK8280">
        <v>0</v>
      </c>
      <c r="AL8280">
        <v>0</v>
      </c>
      <c r="AM8280">
        <v>300</v>
      </c>
      <c r="AN8280">
        <v>300</v>
      </c>
      <c r="AO8280">
        <v>300</v>
      </c>
      <c r="AP8280" s="2">
        <v>42746</v>
      </c>
      <c r="AQ8280" t="s">
        <v>72</v>
      </c>
      <c r="AR8280" t="s">
        <v>72</v>
      </c>
      <c r="AS8280">
        <v>1301</v>
      </c>
      <c r="AT8280" s="4">
        <v>42513</v>
      </c>
      <c r="AV8280">
        <v>1301</v>
      </c>
      <c r="AW8280" s="4">
        <v>42513</v>
      </c>
      <c r="BD8280">
        <v>0</v>
      </c>
      <c r="BN8280" t="s">
        <v>74</v>
      </c>
    </row>
    <row r="8281" spans="1:66" hidden="1">
      <c r="A8281">
        <v>104677</v>
      </c>
      <c r="B8281" s="3" t="s">
        <v>692</v>
      </c>
      <c r="C8281" s="1">
        <v>43500101</v>
      </c>
      <c r="D8281" t="s">
        <v>113</v>
      </c>
      <c r="H8281" t="str">
        <f t="shared" si="818"/>
        <v>01583450901</v>
      </c>
      <c r="I8281" t="str">
        <f t="shared" si="818"/>
        <v>01583450901</v>
      </c>
      <c r="K8281" t="str">
        <f>""</f>
        <v/>
      </c>
      <c r="M8281" t="s">
        <v>68</v>
      </c>
      <c r="N8281" t="str">
        <f t="shared" si="816"/>
        <v>ALTFIN</v>
      </c>
      <c r="O8281" t="s">
        <v>123</v>
      </c>
      <c r="P8281" s="3" t="s">
        <v>89</v>
      </c>
      <c r="Q8281">
        <v>2016</v>
      </c>
      <c r="R8281" s="2">
        <v>42548</v>
      </c>
      <c r="S8281" s="2">
        <v>42543</v>
      </c>
      <c r="T8281" s="2">
        <v>42543</v>
      </c>
      <c r="U8281" s="2">
        <v>42603</v>
      </c>
      <c r="V8281" t="s">
        <v>71</v>
      </c>
      <c r="W8281" t="str">
        <f>"                0627"</f>
        <v xml:space="preserve">                0627</v>
      </c>
      <c r="X8281">
        <v>0</v>
      </c>
      <c r="Y8281">
        <v>300</v>
      </c>
      <c r="Z8281"/>
      <c r="AB8281"/>
      <c r="AC8281">
        <v>300</v>
      </c>
      <c r="AD8281">
        <v>-47</v>
      </c>
      <c r="AE8281" s="1">
        <v>-14100</v>
      </c>
      <c r="AF8281">
        <v>0</v>
      </c>
      <c r="AJ8281">
        <v>0</v>
      </c>
      <c r="AK8281">
        <v>0</v>
      </c>
      <c r="AL8281">
        <v>0</v>
      </c>
      <c r="AM8281">
        <v>300</v>
      </c>
      <c r="AN8281">
        <v>300</v>
      </c>
      <c r="AO8281">
        <v>300</v>
      </c>
      <c r="AP8281" s="2">
        <v>42746</v>
      </c>
      <c r="AQ8281" t="s">
        <v>72</v>
      </c>
      <c r="AR8281" t="s">
        <v>72</v>
      </c>
      <c r="AS8281">
        <v>1684</v>
      </c>
      <c r="AT8281" s="4">
        <v>42556</v>
      </c>
      <c r="AV8281">
        <v>1684</v>
      </c>
      <c r="AW8281" s="4">
        <v>42556</v>
      </c>
      <c r="BD8281">
        <v>0</v>
      </c>
      <c r="BN8281" t="s">
        <v>74</v>
      </c>
    </row>
    <row r="8282" spans="1:66" hidden="1">
      <c r="A8282">
        <v>104677</v>
      </c>
      <c r="B8282" s="3" t="s">
        <v>692</v>
      </c>
      <c r="C8282" s="1">
        <v>43500101</v>
      </c>
      <c r="D8282" t="s">
        <v>113</v>
      </c>
      <c r="H8282" t="str">
        <f t="shared" si="818"/>
        <v>01583450901</v>
      </c>
      <c r="I8282" t="str">
        <f t="shared" si="818"/>
        <v>01583450901</v>
      </c>
      <c r="K8282" t="str">
        <f>""</f>
        <v/>
      </c>
      <c r="M8282" t="s">
        <v>68</v>
      </c>
      <c r="N8282" t="str">
        <f t="shared" si="816"/>
        <v>ALTFIN</v>
      </c>
      <c r="O8282" t="s">
        <v>123</v>
      </c>
      <c r="P8282" s="3" t="s">
        <v>90</v>
      </c>
      <c r="Q8282">
        <v>2016</v>
      </c>
      <c r="R8282" s="2">
        <v>42573</v>
      </c>
      <c r="S8282" s="2">
        <v>42573</v>
      </c>
      <c r="T8282" s="2">
        <v>42573</v>
      </c>
      <c r="U8282" s="2">
        <v>42633</v>
      </c>
      <c r="V8282" t="s">
        <v>71</v>
      </c>
      <c r="W8282" t="str">
        <f>"                0722"</f>
        <v xml:space="preserve">                0722</v>
      </c>
      <c r="X8282">
        <v>0</v>
      </c>
      <c r="Y8282">
        <v>300</v>
      </c>
      <c r="Z8282"/>
      <c r="AB8282"/>
      <c r="AC8282">
        <v>300</v>
      </c>
      <c r="AD8282">
        <v>-48</v>
      </c>
      <c r="AE8282" s="1">
        <v>-14400</v>
      </c>
      <c r="AF8282">
        <v>0</v>
      </c>
      <c r="AJ8282">
        <v>0</v>
      </c>
      <c r="AK8282">
        <v>0</v>
      </c>
      <c r="AL8282">
        <v>0</v>
      </c>
      <c r="AM8282">
        <v>300</v>
      </c>
      <c r="AN8282">
        <v>300</v>
      </c>
      <c r="AO8282">
        <v>300</v>
      </c>
      <c r="AP8282" s="2">
        <v>42746</v>
      </c>
      <c r="AQ8282" t="s">
        <v>72</v>
      </c>
      <c r="AR8282" t="s">
        <v>72</v>
      </c>
      <c r="AS8282">
        <v>2084</v>
      </c>
      <c r="AT8282" s="4">
        <v>42585</v>
      </c>
      <c r="AV8282">
        <v>2084</v>
      </c>
      <c r="AW8282" s="4">
        <v>42585</v>
      </c>
      <c r="BD8282">
        <v>0</v>
      </c>
      <c r="BN8282" t="s">
        <v>74</v>
      </c>
    </row>
    <row r="8283" spans="1:66" hidden="1">
      <c r="A8283">
        <v>104677</v>
      </c>
      <c r="B8283" s="3" t="s">
        <v>692</v>
      </c>
      <c r="C8283" s="1">
        <v>43500101</v>
      </c>
      <c r="D8283" t="s">
        <v>113</v>
      </c>
      <c r="H8283" t="str">
        <f t="shared" si="818"/>
        <v>01583450901</v>
      </c>
      <c r="I8283" t="str">
        <f t="shared" si="818"/>
        <v>01583450901</v>
      </c>
      <c r="K8283" t="str">
        <f>""</f>
        <v/>
      </c>
      <c r="M8283" t="s">
        <v>68</v>
      </c>
      <c r="N8283" t="str">
        <f t="shared" si="816"/>
        <v>ALTFIN</v>
      </c>
      <c r="O8283" t="s">
        <v>123</v>
      </c>
      <c r="P8283" s="3" t="s">
        <v>91</v>
      </c>
      <c r="Q8283">
        <v>2016</v>
      </c>
      <c r="R8283" s="2">
        <v>42592</v>
      </c>
      <c r="S8283" s="2">
        <v>42598</v>
      </c>
      <c r="T8283" s="2">
        <v>42598</v>
      </c>
      <c r="U8283" s="2">
        <v>42658</v>
      </c>
      <c r="V8283" t="s">
        <v>71</v>
      </c>
      <c r="W8283" t="str">
        <f>"                0810"</f>
        <v xml:space="preserve">                0810</v>
      </c>
      <c r="X8283">
        <v>0</v>
      </c>
      <c r="Y8283">
        <v>300</v>
      </c>
      <c r="Z8283"/>
      <c r="AB8283"/>
      <c r="AC8283">
        <v>300</v>
      </c>
      <c r="AD8283">
        <v>-60</v>
      </c>
      <c r="AE8283" s="1">
        <v>-18000</v>
      </c>
      <c r="AF8283">
        <v>0</v>
      </c>
      <c r="AJ8283">
        <v>0</v>
      </c>
      <c r="AK8283">
        <v>0</v>
      </c>
      <c r="AL8283">
        <v>0</v>
      </c>
      <c r="AM8283">
        <v>300</v>
      </c>
      <c r="AN8283">
        <v>300</v>
      </c>
      <c r="AO8283">
        <v>300</v>
      </c>
      <c r="AP8283" s="2">
        <v>42746</v>
      </c>
      <c r="AQ8283" t="s">
        <v>72</v>
      </c>
      <c r="AR8283" t="s">
        <v>72</v>
      </c>
      <c r="AS8283">
        <v>2166</v>
      </c>
      <c r="AT8283" s="4">
        <v>42598</v>
      </c>
      <c r="AV8283">
        <v>2166</v>
      </c>
      <c r="AW8283" s="4">
        <v>42598</v>
      </c>
      <c r="BD8283">
        <v>0</v>
      </c>
      <c r="BN8283" t="s">
        <v>74</v>
      </c>
    </row>
    <row r="8284" spans="1:66" hidden="1">
      <c r="A8284">
        <v>104677</v>
      </c>
      <c r="B8284" s="3" t="s">
        <v>692</v>
      </c>
      <c r="C8284" s="1">
        <v>43500101</v>
      </c>
      <c r="D8284" t="s">
        <v>113</v>
      </c>
      <c r="H8284" t="str">
        <f t="shared" si="818"/>
        <v>01583450901</v>
      </c>
      <c r="I8284" t="str">
        <f t="shared" si="818"/>
        <v>01583450901</v>
      </c>
      <c r="K8284" t="str">
        <f>""</f>
        <v/>
      </c>
      <c r="M8284" t="s">
        <v>68</v>
      </c>
      <c r="N8284" t="str">
        <f t="shared" si="816"/>
        <v>ALTFIN</v>
      </c>
      <c r="O8284" t="s">
        <v>123</v>
      </c>
      <c r="P8284" s="3" t="s">
        <v>92</v>
      </c>
      <c r="Q8284">
        <v>2016</v>
      </c>
      <c r="R8284" s="2">
        <v>42633</v>
      </c>
      <c r="S8284" s="2">
        <v>42634</v>
      </c>
      <c r="T8284" s="2">
        <v>42634</v>
      </c>
      <c r="U8284" s="2">
        <v>42694</v>
      </c>
      <c r="V8284" t="s">
        <v>71</v>
      </c>
      <c r="W8284" t="str">
        <f>"                0920"</f>
        <v xml:space="preserve">                0920</v>
      </c>
      <c r="X8284">
        <v>0</v>
      </c>
      <c r="Y8284">
        <v>300</v>
      </c>
      <c r="Z8284"/>
      <c r="AB8284"/>
      <c r="AC8284">
        <v>300</v>
      </c>
      <c r="AD8284">
        <v>-60</v>
      </c>
      <c r="AE8284" s="1">
        <v>-18000</v>
      </c>
      <c r="AF8284">
        <v>0</v>
      </c>
      <c r="AJ8284">
        <v>0</v>
      </c>
      <c r="AK8284">
        <v>0</v>
      </c>
      <c r="AL8284">
        <v>0</v>
      </c>
      <c r="AM8284">
        <v>300</v>
      </c>
      <c r="AN8284">
        <v>300</v>
      </c>
      <c r="AO8284">
        <v>300</v>
      </c>
      <c r="AP8284" s="2">
        <v>42746</v>
      </c>
      <c r="AQ8284" t="s">
        <v>72</v>
      </c>
      <c r="AR8284" t="s">
        <v>72</v>
      </c>
      <c r="AS8284">
        <v>2439</v>
      </c>
      <c r="AT8284" s="4">
        <v>42634</v>
      </c>
      <c r="AV8284">
        <v>2439</v>
      </c>
      <c r="AW8284" s="4">
        <v>42634</v>
      </c>
      <c r="BD8284">
        <v>0</v>
      </c>
      <c r="BN8284" t="s">
        <v>74</v>
      </c>
    </row>
    <row r="8285" spans="1:66" hidden="1">
      <c r="A8285">
        <v>104677</v>
      </c>
      <c r="B8285" s="3" t="s">
        <v>692</v>
      </c>
      <c r="C8285" s="1">
        <v>43500101</v>
      </c>
      <c r="D8285" t="s">
        <v>113</v>
      </c>
      <c r="H8285" t="str">
        <f t="shared" si="818"/>
        <v>01583450901</v>
      </c>
      <c r="I8285" t="str">
        <f t="shared" si="818"/>
        <v>01583450901</v>
      </c>
      <c r="K8285" t="str">
        <f>""</f>
        <v/>
      </c>
      <c r="M8285" t="s">
        <v>68</v>
      </c>
      <c r="N8285" t="str">
        <f t="shared" si="816"/>
        <v>ALTFIN</v>
      </c>
      <c r="O8285" t="s">
        <v>123</v>
      </c>
      <c r="P8285" s="3" t="s">
        <v>93</v>
      </c>
      <c r="Q8285">
        <v>2016</v>
      </c>
      <c r="R8285" s="2">
        <v>42664</v>
      </c>
      <c r="S8285" s="2">
        <v>42667</v>
      </c>
      <c r="T8285" s="2">
        <v>42667</v>
      </c>
      <c r="U8285" s="2">
        <v>42727</v>
      </c>
      <c r="V8285" t="s">
        <v>71</v>
      </c>
      <c r="W8285" t="str">
        <f>"                1021"</f>
        <v xml:space="preserve">                1021</v>
      </c>
      <c r="X8285">
        <v>0</v>
      </c>
      <c r="Y8285">
        <v>300</v>
      </c>
      <c r="Z8285" s="3">
        <v>300</v>
      </c>
      <c r="AA8285">
        <v>-60</v>
      </c>
      <c r="AB8285" s="5">
        <v>-18000</v>
      </c>
      <c r="AC8285">
        <v>300</v>
      </c>
      <c r="AD8285">
        <v>-60</v>
      </c>
      <c r="AE8285" s="1">
        <v>-18000</v>
      </c>
      <c r="AF8285">
        <v>0</v>
      </c>
      <c r="AJ8285">
        <v>300</v>
      </c>
      <c r="AK8285">
        <v>300</v>
      </c>
      <c r="AL8285">
        <v>300</v>
      </c>
      <c r="AM8285">
        <v>300</v>
      </c>
      <c r="AN8285">
        <v>300</v>
      </c>
      <c r="AO8285">
        <v>300</v>
      </c>
      <c r="AP8285" s="2">
        <v>42746</v>
      </c>
      <c r="AQ8285" t="s">
        <v>72</v>
      </c>
      <c r="AR8285" t="s">
        <v>72</v>
      </c>
      <c r="AS8285">
        <v>2786</v>
      </c>
      <c r="AT8285" s="4">
        <v>42667</v>
      </c>
      <c r="AV8285">
        <v>2786</v>
      </c>
      <c r="AW8285" s="4">
        <v>42667</v>
      </c>
      <c r="BD8285">
        <v>0</v>
      </c>
      <c r="BN8285" t="s">
        <v>74</v>
      </c>
    </row>
    <row r="8286" spans="1:66" hidden="1">
      <c r="A8286">
        <v>104677</v>
      </c>
      <c r="B8286" s="3" t="s">
        <v>692</v>
      </c>
      <c r="C8286" s="1">
        <v>43500101</v>
      </c>
      <c r="D8286" t="s">
        <v>113</v>
      </c>
      <c r="H8286" t="str">
        <f t="shared" si="818"/>
        <v>01583450901</v>
      </c>
      <c r="I8286" t="str">
        <f t="shared" si="818"/>
        <v>01583450901</v>
      </c>
      <c r="K8286" t="str">
        <f>""</f>
        <v/>
      </c>
      <c r="M8286" t="s">
        <v>68</v>
      </c>
      <c r="N8286" t="str">
        <f t="shared" si="816"/>
        <v>ALTFIN</v>
      </c>
      <c r="O8286" t="s">
        <v>123</v>
      </c>
      <c r="P8286" s="3" t="s">
        <v>94</v>
      </c>
      <c r="Q8286">
        <v>2016</v>
      </c>
      <c r="R8286" s="2">
        <v>42696</v>
      </c>
      <c r="S8286" s="2">
        <v>42696</v>
      </c>
      <c r="T8286" s="2">
        <v>42696</v>
      </c>
      <c r="U8286" s="2">
        <v>42756</v>
      </c>
      <c r="V8286" t="s">
        <v>71</v>
      </c>
      <c r="W8286" t="str">
        <f>"                1122"</f>
        <v xml:space="preserve">                1122</v>
      </c>
      <c r="X8286">
        <v>0</v>
      </c>
      <c r="Y8286">
        <v>300</v>
      </c>
      <c r="Z8286" s="3">
        <v>300</v>
      </c>
      <c r="AA8286">
        <v>-59</v>
      </c>
      <c r="AB8286" s="5">
        <v>-17700</v>
      </c>
      <c r="AC8286">
        <v>300</v>
      </c>
      <c r="AD8286">
        <v>-59</v>
      </c>
      <c r="AE8286" s="1">
        <v>-17700</v>
      </c>
      <c r="AF8286">
        <v>0</v>
      </c>
      <c r="AJ8286">
        <v>300</v>
      </c>
      <c r="AK8286">
        <v>300</v>
      </c>
      <c r="AL8286">
        <v>300</v>
      </c>
      <c r="AM8286">
        <v>300</v>
      </c>
      <c r="AN8286">
        <v>300</v>
      </c>
      <c r="AO8286">
        <v>300</v>
      </c>
      <c r="AP8286" s="2">
        <v>42746</v>
      </c>
      <c r="AQ8286" t="s">
        <v>72</v>
      </c>
      <c r="AR8286" t="s">
        <v>72</v>
      </c>
      <c r="AS8286">
        <v>3224</v>
      </c>
      <c r="AT8286" s="4">
        <v>42697</v>
      </c>
      <c r="AV8286">
        <v>3224</v>
      </c>
      <c r="AW8286" s="4">
        <v>42697</v>
      </c>
      <c r="BD8286">
        <v>0</v>
      </c>
      <c r="BN8286" t="s">
        <v>74</v>
      </c>
    </row>
    <row r="8287" spans="1:66" hidden="1">
      <c r="A8287">
        <v>104677</v>
      </c>
      <c r="B8287" s="3" t="s">
        <v>692</v>
      </c>
      <c r="C8287" s="1">
        <v>43500101</v>
      </c>
      <c r="D8287" t="s">
        <v>113</v>
      </c>
      <c r="H8287" t="str">
        <f t="shared" si="818"/>
        <v>01583450901</v>
      </c>
      <c r="I8287" t="str">
        <f t="shared" si="818"/>
        <v>01583450901</v>
      </c>
      <c r="K8287" t="str">
        <f>""</f>
        <v/>
      </c>
      <c r="M8287" t="s">
        <v>68</v>
      </c>
      <c r="N8287" t="str">
        <f t="shared" si="816"/>
        <v>ALTFIN</v>
      </c>
      <c r="O8287" t="s">
        <v>123</v>
      </c>
      <c r="P8287" s="3" t="s">
        <v>95</v>
      </c>
      <c r="Q8287">
        <v>2016</v>
      </c>
      <c r="R8287" s="2">
        <v>42717</v>
      </c>
      <c r="S8287" s="2">
        <v>42717</v>
      </c>
      <c r="T8287" s="2">
        <v>42717</v>
      </c>
      <c r="U8287" s="2">
        <v>42777</v>
      </c>
      <c r="V8287" t="s">
        <v>71</v>
      </c>
      <c r="W8287" t="str">
        <f>"                1213"</f>
        <v xml:space="preserve">                1213</v>
      </c>
      <c r="X8287">
        <v>0</v>
      </c>
      <c r="Y8287">
        <v>300</v>
      </c>
      <c r="Z8287" s="3">
        <v>300</v>
      </c>
      <c r="AA8287">
        <v>-59</v>
      </c>
      <c r="AB8287" s="5">
        <v>-17700</v>
      </c>
      <c r="AC8287">
        <v>300</v>
      </c>
      <c r="AD8287">
        <v>-59</v>
      </c>
      <c r="AE8287" s="1">
        <v>-17700</v>
      </c>
      <c r="AF8287">
        <v>0</v>
      </c>
      <c r="AJ8287">
        <v>300</v>
      </c>
      <c r="AK8287">
        <v>300</v>
      </c>
      <c r="AL8287">
        <v>300</v>
      </c>
      <c r="AM8287">
        <v>300</v>
      </c>
      <c r="AN8287">
        <v>300</v>
      </c>
      <c r="AO8287">
        <v>300</v>
      </c>
      <c r="AP8287" s="2">
        <v>42746</v>
      </c>
      <c r="AQ8287" t="s">
        <v>72</v>
      </c>
      <c r="AR8287" t="s">
        <v>72</v>
      </c>
      <c r="AS8287">
        <v>3383</v>
      </c>
      <c r="AT8287" s="4">
        <v>42718</v>
      </c>
      <c r="AV8287">
        <v>3383</v>
      </c>
      <c r="AW8287" s="4">
        <v>42718</v>
      </c>
      <c r="BD8287">
        <v>0</v>
      </c>
      <c r="BN8287" t="s">
        <v>74</v>
      </c>
    </row>
    <row r="8288" spans="1:66" hidden="1">
      <c r="A8288">
        <v>104689</v>
      </c>
      <c r="B8288" s="3" t="s">
        <v>693</v>
      </c>
      <c r="C8288" s="1">
        <v>43300101</v>
      </c>
      <c r="D8288" t="s">
        <v>67</v>
      </c>
      <c r="H8288" t="str">
        <f t="shared" ref="H8288:I8297" si="819">"06537350636"</f>
        <v>06537350636</v>
      </c>
      <c r="I8288" t="str">
        <f t="shared" si="819"/>
        <v>06537350636</v>
      </c>
      <c r="K8288" t="str">
        <f>""</f>
        <v/>
      </c>
      <c r="M8288" t="s">
        <v>68</v>
      </c>
      <c r="N8288" t="str">
        <f t="shared" ref="N8288:N8297" si="820">"FOR"</f>
        <v>FOR</v>
      </c>
      <c r="O8288" t="s">
        <v>69</v>
      </c>
      <c r="P8288" s="3" t="s">
        <v>75</v>
      </c>
      <c r="Q8288">
        <v>2015</v>
      </c>
      <c r="R8288" s="2">
        <v>42131</v>
      </c>
      <c r="S8288" s="2">
        <v>42353</v>
      </c>
      <c r="T8288" s="2">
        <v>42352</v>
      </c>
      <c r="U8288" s="2">
        <v>42412</v>
      </c>
      <c r="V8288" t="s">
        <v>71</v>
      </c>
      <c r="W8288" t="str">
        <f>"                78PA"</f>
        <v xml:space="preserve">                78PA</v>
      </c>
      <c r="X8288" s="1">
        <v>2013</v>
      </c>
      <c r="Y8288">
        <v>0</v>
      </c>
      <c r="Z8288"/>
      <c r="AB8288"/>
      <c r="AC8288" s="1">
        <v>1650</v>
      </c>
      <c r="AD8288">
        <v>4</v>
      </c>
      <c r="AE8288" s="1">
        <v>6600</v>
      </c>
      <c r="AF8288">
        <v>0</v>
      </c>
      <c r="AJ8288">
        <v>0</v>
      </c>
      <c r="AK8288">
        <v>0</v>
      </c>
      <c r="AL8288">
        <v>0</v>
      </c>
      <c r="AM8288">
        <v>0</v>
      </c>
      <c r="AN8288">
        <v>0</v>
      </c>
      <c r="AO8288">
        <v>0</v>
      </c>
      <c r="AP8288" s="2">
        <v>42746</v>
      </c>
      <c r="AQ8288" t="s">
        <v>72</v>
      </c>
      <c r="AR8288" t="s">
        <v>72</v>
      </c>
      <c r="AS8288">
        <v>431</v>
      </c>
      <c r="AT8288" s="4">
        <v>42416</v>
      </c>
      <c r="AU8288" t="s">
        <v>73</v>
      </c>
      <c r="AV8288">
        <v>431</v>
      </c>
      <c r="AW8288" s="4">
        <v>42416</v>
      </c>
      <c r="BD8288">
        <v>0</v>
      </c>
      <c r="BN8288" t="s">
        <v>74</v>
      </c>
    </row>
    <row r="8289" spans="1:66" hidden="1">
      <c r="A8289">
        <v>104689</v>
      </c>
      <c r="B8289" s="3" t="s">
        <v>693</v>
      </c>
      <c r="C8289" s="1">
        <v>43300101</v>
      </c>
      <c r="D8289" t="s">
        <v>67</v>
      </c>
      <c r="H8289" t="str">
        <f t="shared" si="819"/>
        <v>06537350636</v>
      </c>
      <c r="I8289" t="str">
        <f t="shared" si="819"/>
        <v>06537350636</v>
      </c>
      <c r="K8289" t="str">
        <f>""</f>
        <v/>
      </c>
      <c r="M8289" t="s">
        <v>68</v>
      </c>
      <c r="N8289" t="str">
        <f t="shared" si="820"/>
        <v>FOR</v>
      </c>
      <c r="O8289" t="s">
        <v>69</v>
      </c>
      <c r="P8289" s="3" t="s">
        <v>75</v>
      </c>
      <c r="Q8289">
        <v>2015</v>
      </c>
      <c r="R8289" s="2">
        <v>42223</v>
      </c>
      <c r="S8289" s="2">
        <v>42228</v>
      </c>
      <c r="T8289" s="2">
        <v>42223</v>
      </c>
      <c r="U8289" s="2">
        <v>42283</v>
      </c>
      <c r="V8289" t="s">
        <v>71</v>
      </c>
      <c r="W8289" t="str">
        <f>"               156PA"</f>
        <v xml:space="preserve">               156PA</v>
      </c>
      <c r="X8289" s="1">
        <v>2379</v>
      </c>
      <c r="Y8289">
        <v>0</v>
      </c>
      <c r="Z8289"/>
      <c r="AB8289"/>
      <c r="AC8289" s="1">
        <v>1950</v>
      </c>
      <c r="AD8289">
        <v>133</v>
      </c>
      <c r="AE8289" s="1">
        <v>259350</v>
      </c>
      <c r="AF8289">
        <v>0</v>
      </c>
      <c r="AJ8289">
        <v>0</v>
      </c>
      <c r="AK8289">
        <v>0</v>
      </c>
      <c r="AL8289">
        <v>0</v>
      </c>
      <c r="AM8289">
        <v>0</v>
      </c>
      <c r="AN8289">
        <v>0</v>
      </c>
      <c r="AO8289">
        <v>0</v>
      </c>
      <c r="AP8289" s="2">
        <v>42746</v>
      </c>
      <c r="AQ8289" t="s">
        <v>72</v>
      </c>
      <c r="AR8289" t="s">
        <v>72</v>
      </c>
      <c r="AS8289">
        <v>431</v>
      </c>
      <c r="AT8289" s="4">
        <v>42416</v>
      </c>
      <c r="AU8289" t="s">
        <v>73</v>
      </c>
      <c r="AV8289">
        <v>431</v>
      </c>
      <c r="AW8289" s="4">
        <v>42416</v>
      </c>
      <c r="BD8289">
        <v>0</v>
      </c>
      <c r="BN8289" t="s">
        <v>74</v>
      </c>
    </row>
    <row r="8290" spans="1:66" hidden="1">
      <c r="A8290">
        <v>104689</v>
      </c>
      <c r="B8290" s="3" t="s">
        <v>693</v>
      </c>
      <c r="C8290" s="1">
        <v>43300101</v>
      </c>
      <c r="D8290" t="s">
        <v>67</v>
      </c>
      <c r="H8290" t="str">
        <f t="shared" si="819"/>
        <v>06537350636</v>
      </c>
      <c r="I8290" t="str">
        <f t="shared" si="819"/>
        <v>06537350636</v>
      </c>
      <c r="K8290" t="str">
        <f>""</f>
        <v/>
      </c>
      <c r="M8290" t="s">
        <v>68</v>
      </c>
      <c r="N8290" t="str">
        <f t="shared" si="820"/>
        <v>FOR</v>
      </c>
      <c r="O8290" t="s">
        <v>69</v>
      </c>
      <c r="P8290" s="3" t="s">
        <v>75</v>
      </c>
      <c r="Q8290">
        <v>2015</v>
      </c>
      <c r="R8290" s="2">
        <v>42258</v>
      </c>
      <c r="S8290" s="2">
        <v>42261</v>
      </c>
      <c r="T8290" s="2">
        <v>42258</v>
      </c>
      <c r="U8290" s="2">
        <v>42318</v>
      </c>
      <c r="V8290" t="s">
        <v>71</v>
      </c>
      <c r="W8290" t="str">
        <f>"               173PA"</f>
        <v xml:space="preserve">               173PA</v>
      </c>
      <c r="X8290" s="1">
        <v>1159</v>
      </c>
      <c r="Y8290">
        <v>0</v>
      </c>
      <c r="Z8290"/>
      <c r="AB8290"/>
      <c r="AC8290">
        <v>950</v>
      </c>
      <c r="AD8290">
        <v>98</v>
      </c>
      <c r="AE8290" s="1">
        <v>93100</v>
      </c>
      <c r="AF8290">
        <v>0</v>
      </c>
      <c r="AJ8290">
        <v>0</v>
      </c>
      <c r="AK8290">
        <v>0</v>
      </c>
      <c r="AL8290">
        <v>0</v>
      </c>
      <c r="AM8290">
        <v>0</v>
      </c>
      <c r="AN8290">
        <v>0</v>
      </c>
      <c r="AO8290">
        <v>0</v>
      </c>
      <c r="AP8290" s="2">
        <v>42746</v>
      </c>
      <c r="AQ8290" t="s">
        <v>72</v>
      </c>
      <c r="AR8290" t="s">
        <v>72</v>
      </c>
      <c r="AS8290">
        <v>431</v>
      </c>
      <c r="AT8290" s="4">
        <v>42416</v>
      </c>
      <c r="AU8290" t="s">
        <v>73</v>
      </c>
      <c r="AV8290">
        <v>431</v>
      </c>
      <c r="AW8290" s="4">
        <v>42416</v>
      </c>
      <c r="BD8290">
        <v>0</v>
      </c>
      <c r="BN8290" t="s">
        <v>74</v>
      </c>
    </row>
    <row r="8291" spans="1:66" hidden="1">
      <c r="A8291">
        <v>104689</v>
      </c>
      <c r="B8291" s="3" t="s">
        <v>693</v>
      </c>
      <c r="C8291" s="1">
        <v>43300101</v>
      </c>
      <c r="D8291" t="s">
        <v>67</v>
      </c>
      <c r="H8291" t="str">
        <f t="shared" si="819"/>
        <v>06537350636</v>
      </c>
      <c r="I8291" t="str">
        <f t="shared" si="819"/>
        <v>06537350636</v>
      </c>
      <c r="K8291" t="str">
        <f>""</f>
        <v/>
      </c>
      <c r="M8291" t="s">
        <v>68</v>
      </c>
      <c r="N8291" t="str">
        <f t="shared" si="820"/>
        <v>FOR</v>
      </c>
      <c r="O8291" t="s">
        <v>69</v>
      </c>
      <c r="P8291" s="3" t="s">
        <v>75</v>
      </c>
      <c r="Q8291">
        <v>2015</v>
      </c>
      <c r="R8291" s="2">
        <v>42258</v>
      </c>
      <c r="S8291" s="2">
        <v>42261</v>
      </c>
      <c r="T8291" s="2">
        <v>42258</v>
      </c>
      <c r="U8291" s="2">
        <v>42318</v>
      </c>
      <c r="V8291" t="s">
        <v>71</v>
      </c>
      <c r="W8291" t="str">
        <f>"               174PA"</f>
        <v xml:space="preserve">               174PA</v>
      </c>
      <c r="X8291">
        <v>854</v>
      </c>
      <c r="Y8291">
        <v>0</v>
      </c>
      <c r="Z8291"/>
      <c r="AB8291"/>
      <c r="AC8291">
        <v>700</v>
      </c>
      <c r="AD8291">
        <v>98</v>
      </c>
      <c r="AE8291" s="1">
        <v>68600</v>
      </c>
      <c r="AF8291">
        <v>0</v>
      </c>
      <c r="AJ8291">
        <v>0</v>
      </c>
      <c r="AK8291">
        <v>0</v>
      </c>
      <c r="AL8291">
        <v>0</v>
      </c>
      <c r="AM8291">
        <v>0</v>
      </c>
      <c r="AN8291">
        <v>0</v>
      </c>
      <c r="AO8291">
        <v>0</v>
      </c>
      <c r="AP8291" s="2">
        <v>42746</v>
      </c>
      <c r="AQ8291" t="s">
        <v>72</v>
      </c>
      <c r="AR8291" t="s">
        <v>72</v>
      </c>
      <c r="AS8291">
        <v>431</v>
      </c>
      <c r="AT8291" s="4">
        <v>42416</v>
      </c>
      <c r="AU8291" t="s">
        <v>73</v>
      </c>
      <c r="AV8291">
        <v>431</v>
      </c>
      <c r="AW8291" s="4">
        <v>42416</v>
      </c>
      <c r="BD8291">
        <v>0</v>
      </c>
      <c r="BN8291" t="s">
        <v>74</v>
      </c>
    </row>
    <row r="8292" spans="1:66">
      <c r="A8292">
        <v>104689</v>
      </c>
      <c r="B8292" s="3" t="s">
        <v>693</v>
      </c>
      <c r="C8292" s="1">
        <v>43300101</v>
      </c>
      <c r="D8292" t="s">
        <v>67</v>
      </c>
      <c r="H8292" t="str">
        <f t="shared" si="819"/>
        <v>06537350636</v>
      </c>
      <c r="I8292" t="str">
        <f t="shared" si="819"/>
        <v>06537350636</v>
      </c>
      <c r="K8292" t="str">
        <f>""</f>
        <v/>
      </c>
      <c r="M8292" t="s">
        <v>68</v>
      </c>
      <c r="N8292" t="str">
        <f t="shared" si="820"/>
        <v>FOR</v>
      </c>
      <c r="O8292" t="s">
        <v>69</v>
      </c>
      <c r="P8292" s="3" t="s">
        <v>75</v>
      </c>
      <c r="Q8292">
        <v>2015</v>
      </c>
      <c r="R8292" s="2">
        <v>42293</v>
      </c>
      <c r="S8292" s="2">
        <v>42296</v>
      </c>
      <c r="T8292" s="2">
        <v>42293</v>
      </c>
      <c r="U8292" s="2">
        <v>42353</v>
      </c>
      <c r="V8292" t="s">
        <v>71</v>
      </c>
      <c r="W8292" t="str">
        <f>"               219PA"</f>
        <v xml:space="preserve">               219PA</v>
      </c>
      <c r="X8292" s="1">
        <v>4257.8</v>
      </c>
      <c r="Y8292">
        <v>0</v>
      </c>
      <c r="Z8292" s="5">
        <v>3490</v>
      </c>
      <c r="AA8292">
        <v>293</v>
      </c>
      <c r="AB8292" s="5">
        <v>1022570</v>
      </c>
      <c r="AC8292" s="1">
        <v>3490</v>
      </c>
      <c r="AD8292">
        <v>293</v>
      </c>
      <c r="AE8292" s="1">
        <v>1022570</v>
      </c>
      <c r="AF8292">
        <v>0</v>
      </c>
      <c r="AJ8292">
        <v>0</v>
      </c>
      <c r="AK8292">
        <v>0</v>
      </c>
      <c r="AL8292">
        <v>0</v>
      </c>
      <c r="AM8292">
        <v>0</v>
      </c>
      <c r="AN8292">
        <v>0</v>
      </c>
      <c r="AO8292">
        <v>0</v>
      </c>
      <c r="AP8292" s="2">
        <v>42746</v>
      </c>
      <c r="AQ8292" t="s">
        <v>72</v>
      </c>
      <c r="AR8292" t="s">
        <v>72</v>
      </c>
      <c r="AS8292">
        <v>2552</v>
      </c>
      <c r="AT8292" s="4">
        <v>42646</v>
      </c>
      <c r="AU8292" t="s">
        <v>73</v>
      </c>
      <c r="AV8292">
        <v>2552</v>
      </c>
      <c r="AW8292" s="4">
        <v>42646</v>
      </c>
      <c r="BD8292">
        <v>0</v>
      </c>
      <c r="BN8292" t="s">
        <v>74</v>
      </c>
    </row>
    <row r="8293" spans="1:66">
      <c r="A8293">
        <v>104689</v>
      </c>
      <c r="B8293" s="3" t="s">
        <v>693</v>
      </c>
      <c r="C8293" s="1">
        <v>43300101</v>
      </c>
      <c r="D8293" t="s">
        <v>67</v>
      </c>
      <c r="H8293" t="str">
        <f t="shared" si="819"/>
        <v>06537350636</v>
      </c>
      <c r="I8293" t="str">
        <f t="shared" si="819"/>
        <v>06537350636</v>
      </c>
      <c r="K8293" t="str">
        <f>""</f>
        <v/>
      </c>
      <c r="M8293" t="s">
        <v>68</v>
      </c>
      <c r="N8293" t="str">
        <f t="shared" si="820"/>
        <v>FOR</v>
      </c>
      <c r="O8293" t="s">
        <v>69</v>
      </c>
      <c r="P8293" s="3" t="s">
        <v>75</v>
      </c>
      <c r="Q8293">
        <v>2015</v>
      </c>
      <c r="R8293" s="2">
        <v>42312</v>
      </c>
      <c r="S8293" s="2">
        <v>42312</v>
      </c>
      <c r="T8293" s="2">
        <v>42312</v>
      </c>
      <c r="U8293" s="2">
        <v>42372</v>
      </c>
      <c r="V8293" t="s">
        <v>71</v>
      </c>
      <c r="W8293" t="str">
        <f>"               241PA"</f>
        <v xml:space="preserve">               241PA</v>
      </c>
      <c r="X8293" s="1">
        <v>1326.75</v>
      </c>
      <c r="Y8293">
        <v>0</v>
      </c>
      <c r="Z8293" s="5">
        <v>1087.5</v>
      </c>
      <c r="AA8293">
        <v>306</v>
      </c>
      <c r="AB8293" s="5">
        <v>332775</v>
      </c>
      <c r="AC8293" s="1">
        <v>1087.5</v>
      </c>
      <c r="AD8293">
        <v>306</v>
      </c>
      <c r="AE8293" s="1">
        <v>332775</v>
      </c>
      <c r="AF8293">
        <v>0</v>
      </c>
      <c r="AJ8293">
        <v>0</v>
      </c>
      <c r="AK8293">
        <v>0</v>
      </c>
      <c r="AL8293">
        <v>0</v>
      </c>
      <c r="AM8293">
        <v>0</v>
      </c>
      <c r="AN8293">
        <v>0</v>
      </c>
      <c r="AO8293">
        <v>0</v>
      </c>
      <c r="AP8293" s="2">
        <v>42746</v>
      </c>
      <c r="AQ8293" t="s">
        <v>72</v>
      </c>
      <c r="AR8293" t="s">
        <v>72</v>
      </c>
      <c r="AS8293">
        <v>2920</v>
      </c>
      <c r="AT8293" s="4">
        <v>42678</v>
      </c>
      <c r="AU8293" t="s">
        <v>73</v>
      </c>
      <c r="AV8293">
        <v>2920</v>
      </c>
      <c r="AW8293" s="4">
        <v>42678</v>
      </c>
      <c r="BD8293">
        <v>0</v>
      </c>
      <c r="BN8293" t="s">
        <v>74</v>
      </c>
    </row>
    <row r="8294" spans="1:66">
      <c r="A8294">
        <v>104689</v>
      </c>
      <c r="B8294" s="3" t="s">
        <v>693</v>
      </c>
      <c r="C8294" s="1">
        <v>43300101</v>
      </c>
      <c r="D8294" t="s">
        <v>67</v>
      </c>
      <c r="H8294" t="str">
        <f t="shared" si="819"/>
        <v>06537350636</v>
      </c>
      <c r="I8294" t="str">
        <f t="shared" si="819"/>
        <v>06537350636</v>
      </c>
      <c r="K8294" t="str">
        <f>""</f>
        <v/>
      </c>
      <c r="M8294" t="s">
        <v>68</v>
      </c>
      <c r="N8294" t="str">
        <f t="shared" si="820"/>
        <v>FOR</v>
      </c>
      <c r="O8294" t="s">
        <v>69</v>
      </c>
      <c r="P8294" s="3" t="s">
        <v>75</v>
      </c>
      <c r="Q8294">
        <v>2015</v>
      </c>
      <c r="R8294" s="2">
        <v>42326</v>
      </c>
      <c r="S8294" s="2">
        <v>42326</v>
      </c>
      <c r="T8294" s="2">
        <v>42326</v>
      </c>
      <c r="U8294" s="2">
        <v>42386</v>
      </c>
      <c r="V8294" t="s">
        <v>71</v>
      </c>
      <c r="W8294" t="str">
        <f>"               260PA"</f>
        <v xml:space="preserve">               260PA</v>
      </c>
      <c r="X8294" s="1">
        <v>3065.25</v>
      </c>
      <c r="Y8294">
        <v>0</v>
      </c>
      <c r="Z8294" s="5">
        <v>2512.5</v>
      </c>
      <c r="AA8294">
        <v>260</v>
      </c>
      <c r="AB8294" s="5">
        <v>653250</v>
      </c>
      <c r="AC8294" s="1">
        <v>2512.5</v>
      </c>
      <c r="AD8294">
        <v>260</v>
      </c>
      <c r="AE8294" s="1">
        <v>653250</v>
      </c>
      <c r="AF8294">
        <v>0</v>
      </c>
      <c r="AJ8294">
        <v>0</v>
      </c>
      <c r="AK8294">
        <v>0</v>
      </c>
      <c r="AL8294">
        <v>0</v>
      </c>
      <c r="AM8294">
        <v>0</v>
      </c>
      <c r="AN8294">
        <v>0</v>
      </c>
      <c r="AO8294">
        <v>0</v>
      </c>
      <c r="AP8294" s="2">
        <v>42746</v>
      </c>
      <c r="AQ8294" t="s">
        <v>72</v>
      </c>
      <c r="AR8294" t="s">
        <v>72</v>
      </c>
      <c r="AS8294">
        <v>2552</v>
      </c>
      <c r="AT8294" s="4">
        <v>42646</v>
      </c>
      <c r="AU8294" t="s">
        <v>73</v>
      </c>
      <c r="AV8294">
        <v>2552</v>
      </c>
      <c r="AW8294" s="4">
        <v>42646</v>
      </c>
      <c r="BD8294">
        <v>0</v>
      </c>
      <c r="BN8294" t="s">
        <v>74</v>
      </c>
    </row>
    <row r="8295" spans="1:66" hidden="1">
      <c r="A8295">
        <v>104689</v>
      </c>
      <c r="B8295" s="3" t="s">
        <v>693</v>
      </c>
      <c r="C8295" s="1">
        <v>43300101</v>
      </c>
      <c r="D8295" t="s">
        <v>67</v>
      </c>
      <c r="H8295" t="str">
        <f t="shared" si="819"/>
        <v>06537350636</v>
      </c>
      <c r="I8295" t="str">
        <f t="shared" si="819"/>
        <v>06537350636</v>
      </c>
      <c r="K8295" t="str">
        <f>""</f>
        <v/>
      </c>
      <c r="M8295" t="s">
        <v>68</v>
      </c>
      <c r="N8295" t="str">
        <f t="shared" si="820"/>
        <v>FOR</v>
      </c>
      <c r="O8295" t="s">
        <v>69</v>
      </c>
      <c r="P8295" s="3" t="s">
        <v>75</v>
      </c>
      <c r="Q8295">
        <v>2015</v>
      </c>
      <c r="R8295" s="2">
        <v>42359</v>
      </c>
      <c r="S8295" s="2">
        <v>42359</v>
      </c>
      <c r="T8295" s="2">
        <v>42359</v>
      </c>
      <c r="U8295" s="2">
        <v>42419</v>
      </c>
      <c r="V8295" t="s">
        <v>71</v>
      </c>
      <c r="W8295" t="str">
        <f>"               313PA"</f>
        <v xml:space="preserve">               313PA</v>
      </c>
      <c r="X8295" s="1">
        <v>1373.23</v>
      </c>
      <c r="Y8295">
        <v>0</v>
      </c>
      <c r="Z8295"/>
      <c r="AB8295"/>
      <c r="AC8295" s="1">
        <v>1125.5999999999999</v>
      </c>
      <c r="AD8295">
        <v>147</v>
      </c>
      <c r="AE8295" s="1">
        <v>165463.20000000001</v>
      </c>
      <c r="AF8295">
        <v>247.63</v>
      </c>
      <c r="AJ8295">
        <v>0</v>
      </c>
      <c r="AK8295">
        <v>0</v>
      </c>
      <c r="AL8295">
        <v>0</v>
      </c>
      <c r="AM8295">
        <v>0</v>
      </c>
      <c r="AN8295">
        <v>0</v>
      </c>
      <c r="AO8295">
        <v>0</v>
      </c>
      <c r="AP8295" s="2">
        <v>42746</v>
      </c>
      <c r="AQ8295" t="s">
        <v>72</v>
      </c>
      <c r="AR8295" t="s">
        <v>72</v>
      </c>
      <c r="AS8295">
        <v>1771</v>
      </c>
      <c r="AT8295" s="4">
        <v>42566</v>
      </c>
      <c r="AU8295" t="s">
        <v>73</v>
      </c>
      <c r="AV8295">
        <v>1771</v>
      </c>
      <c r="AW8295" s="4">
        <v>42566</v>
      </c>
      <c r="BD8295">
        <v>247.63</v>
      </c>
      <c r="BN8295" t="s">
        <v>74</v>
      </c>
    </row>
    <row r="8296" spans="1:66">
      <c r="A8296">
        <v>104689</v>
      </c>
      <c r="B8296" s="3" t="s">
        <v>693</v>
      </c>
      <c r="C8296" s="1">
        <v>43300101</v>
      </c>
      <c r="D8296" t="s">
        <v>67</v>
      </c>
      <c r="H8296" t="str">
        <f t="shared" si="819"/>
        <v>06537350636</v>
      </c>
      <c r="I8296" t="str">
        <f t="shared" si="819"/>
        <v>06537350636</v>
      </c>
      <c r="K8296" t="str">
        <f>""</f>
        <v/>
      </c>
      <c r="M8296" t="s">
        <v>68</v>
      </c>
      <c r="N8296" t="str">
        <f t="shared" si="820"/>
        <v>FOR</v>
      </c>
      <c r="O8296" t="s">
        <v>69</v>
      </c>
      <c r="P8296" s="3" t="s">
        <v>75</v>
      </c>
      <c r="Q8296">
        <v>2015</v>
      </c>
      <c r="R8296" s="2">
        <v>42359</v>
      </c>
      <c r="S8296" s="2">
        <v>42359</v>
      </c>
      <c r="T8296" s="2">
        <v>42359</v>
      </c>
      <c r="U8296" s="2">
        <v>42419</v>
      </c>
      <c r="V8296" t="s">
        <v>71</v>
      </c>
      <c r="W8296" t="str">
        <f>"               314PA"</f>
        <v xml:space="preserve">               314PA</v>
      </c>
      <c r="X8296">
        <v>603.16999999999996</v>
      </c>
      <c r="Y8296">
        <v>0</v>
      </c>
      <c r="Z8296" s="3">
        <v>494.4</v>
      </c>
      <c r="AA8296">
        <v>227</v>
      </c>
      <c r="AB8296" s="5">
        <v>112228.8</v>
      </c>
      <c r="AC8296">
        <v>494.4</v>
      </c>
      <c r="AD8296">
        <v>227</v>
      </c>
      <c r="AE8296" s="1">
        <v>112228.8</v>
      </c>
      <c r="AF8296">
        <v>0</v>
      </c>
      <c r="AJ8296">
        <v>0</v>
      </c>
      <c r="AK8296">
        <v>0</v>
      </c>
      <c r="AL8296">
        <v>0</v>
      </c>
      <c r="AM8296">
        <v>0</v>
      </c>
      <c r="AN8296">
        <v>0</v>
      </c>
      <c r="AO8296">
        <v>0</v>
      </c>
      <c r="AP8296" s="2">
        <v>42746</v>
      </c>
      <c r="AQ8296" t="s">
        <v>72</v>
      </c>
      <c r="AR8296" t="s">
        <v>72</v>
      </c>
      <c r="AS8296">
        <v>2552</v>
      </c>
      <c r="AT8296" s="4">
        <v>42646</v>
      </c>
      <c r="AU8296" t="s">
        <v>73</v>
      </c>
      <c r="AV8296">
        <v>2552</v>
      </c>
      <c r="AW8296" s="4">
        <v>42646</v>
      </c>
      <c r="BD8296">
        <v>0</v>
      </c>
      <c r="BN8296" t="s">
        <v>74</v>
      </c>
    </row>
    <row r="8297" spans="1:66">
      <c r="A8297">
        <v>104689</v>
      </c>
      <c r="B8297" s="3" t="s">
        <v>693</v>
      </c>
      <c r="C8297" s="1">
        <v>43300101</v>
      </c>
      <c r="D8297" t="s">
        <v>67</v>
      </c>
      <c r="H8297" t="str">
        <f t="shared" si="819"/>
        <v>06537350636</v>
      </c>
      <c r="I8297" t="str">
        <f t="shared" si="819"/>
        <v>06537350636</v>
      </c>
      <c r="K8297" t="str">
        <f>""</f>
        <v/>
      </c>
      <c r="M8297" t="s">
        <v>68</v>
      </c>
      <c r="N8297" t="str">
        <f t="shared" si="820"/>
        <v>FOR</v>
      </c>
      <c r="O8297" t="s">
        <v>69</v>
      </c>
      <c r="P8297" s="3" t="s">
        <v>75</v>
      </c>
      <c r="Q8297">
        <v>2016</v>
      </c>
      <c r="R8297" s="2">
        <v>42405</v>
      </c>
      <c r="S8297" s="2">
        <v>42408</v>
      </c>
      <c r="T8297" s="2">
        <v>42405</v>
      </c>
      <c r="U8297" s="2">
        <v>42465</v>
      </c>
      <c r="V8297" t="s">
        <v>71</v>
      </c>
      <c r="W8297" t="str">
        <f>"               048PA"</f>
        <v xml:space="preserve">               048PA</v>
      </c>
      <c r="X8297" s="1">
        <v>5514.4</v>
      </c>
      <c r="Y8297">
        <v>0</v>
      </c>
      <c r="Z8297" s="5">
        <v>4520</v>
      </c>
      <c r="AA8297">
        <v>181</v>
      </c>
      <c r="AB8297" s="5">
        <v>818120</v>
      </c>
      <c r="AC8297" s="1">
        <v>4520</v>
      </c>
      <c r="AD8297">
        <v>181</v>
      </c>
      <c r="AE8297" s="1">
        <v>818120</v>
      </c>
      <c r="AF8297">
        <v>0</v>
      </c>
      <c r="AJ8297">
        <v>0</v>
      </c>
      <c r="AK8297">
        <v>0</v>
      </c>
      <c r="AL8297">
        <v>0</v>
      </c>
      <c r="AM8297" s="1">
        <v>5514.4</v>
      </c>
      <c r="AN8297" s="1">
        <v>5514.4</v>
      </c>
      <c r="AO8297" s="1">
        <v>5514.4</v>
      </c>
      <c r="AP8297" s="2">
        <v>42746</v>
      </c>
      <c r="AQ8297" t="s">
        <v>72</v>
      </c>
      <c r="AR8297" t="s">
        <v>72</v>
      </c>
      <c r="AS8297">
        <v>2552</v>
      </c>
      <c r="AT8297" s="4">
        <v>42646</v>
      </c>
      <c r="AU8297" t="s">
        <v>73</v>
      </c>
      <c r="AV8297">
        <v>2552</v>
      </c>
      <c r="AW8297" s="4">
        <v>42646</v>
      </c>
      <c r="BD8297">
        <v>0</v>
      </c>
      <c r="BN8297" t="s">
        <v>74</v>
      </c>
    </row>
    <row r="8298" spans="1:66" hidden="1">
      <c r="A8298">
        <v>104708</v>
      </c>
      <c r="B8298" s="3" t="s">
        <v>694</v>
      </c>
      <c r="C8298" s="1">
        <v>43500101</v>
      </c>
      <c r="D8298" t="s">
        <v>113</v>
      </c>
      <c r="H8298" t="str">
        <f t="shared" ref="H8298:I8309" si="821">"05085150158"</f>
        <v>05085150158</v>
      </c>
      <c r="I8298" t="str">
        <f t="shared" si="821"/>
        <v>05085150158</v>
      </c>
      <c r="K8298" t="str">
        <f>""</f>
        <v/>
      </c>
      <c r="M8298" t="s">
        <v>68</v>
      </c>
      <c r="N8298" t="str">
        <f t="shared" ref="N8298:N8312" si="822">"ALTFIN"</f>
        <v>ALTFIN</v>
      </c>
      <c r="O8298" t="s">
        <v>123</v>
      </c>
      <c r="P8298" s="3" t="s">
        <v>84</v>
      </c>
      <c r="Q8298">
        <v>2016</v>
      </c>
      <c r="R8298" s="2">
        <v>42389</v>
      </c>
      <c r="S8298" s="2">
        <v>42390</v>
      </c>
      <c r="T8298" s="2">
        <v>42390</v>
      </c>
      <c r="U8298" s="2">
        <v>42450</v>
      </c>
      <c r="V8298" t="s">
        <v>71</v>
      </c>
      <c r="W8298" t="str">
        <f>"                0120"</f>
        <v xml:space="preserve">                0120</v>
      </c>
      <c r="X8298">
        <v>0</v>
      </c>
      <c r="Y8298" s="1">
        <v>2395</v>
      </c>
      <c r="Z8298"/>
      <c r="AB8298"/>
      <c r="AC8298" s="1">
        <v>2395</v>
      </c>
      <c r="AD8298">
        <v>-60</v>
      </c>
      <c r="AE8298" s="1">
        <v>-143700</v>
      </c>
      <c r="AF8298">
        <v>0</v>
      </c>
      <c r="AJ8298">
        <v>0</v>
      </c>
      <c r="AK8298">
        <v>0</v>
      </c>
      <c r="AL8298">
        <v>0</v>
      </c>
      <c r="AM8298" s="1">
        <v>2395</v>
      </c>
      <c r="AN8298" s="1">
        <v>2395</v>
      </c>
      <c r="AO8298" s="1">
        <v>2395</v>
      </c>
      <c r="AP8298" s="2">
        <v>42746</v>
      </c>
      <c r="AQ8298" t="s">
        <v>72</v>
      </c>
      <c r="AR8298" t="s">
        <v>72</v>
      </c>
      <c r="AS8298">
        <v>71</v>
      </c>
      <c r="AT8298" s="4">
        <v>42390</v>
      </c>
      <c r="AV8298">
        <v>71</v>
      </c>
      <c r="AW8298" s="4">
        <v>42390</v>
      </c>
      <c r="BD8298">
        <v>0</v>
      </c>
      <c r="BN8298" t="s">
        <v>74</v>
      </c>
    </row>
    <row r="8299" spans="1:66" hidden="1">
      <c r="A8299">
        <v>104708</v>
      </c>
      <c r="B8299" s="3" t="s">
        <v>694</v>
      </c>
      <c r="C8299" s="1">
        <v>43500101</v>
      </c>
      <c r="D8299" t="s">
        <v>113</v>
      </c>
      <c r="H8299" t="str">
        <f t="shared" si="821"/>
        <v>05085150158</v>
      </c>
      <c r="I8299" t="str">
        <f t="shared" si="821"/>
        <v>05085150158</v>
      </c>
      <c r="K8299" t="str">
        <f>""</f>
        <v/>
      </c>
      <c r="M8299" t="s">
        <v>68</v>
      </c>
      <c r="N8299" t="str">
        <f t="shared" si="822"/>
        <v>ALTFIN</v>
      </c>
      <c r="O8299" t="s">
        <v>123</v>
      </c>
      <c r="P8299" s="3" t="s">
        <v>85</v>
      </c>
      <c r="Q8299">
        <v>2016</v>
      </c>
      <c r="R8299" s="2">
        <v>42422</v>
      </c>
      <c r="S8299" s="2">
        <v>42422</v>
      </c>
      <c r="T8299" s="2">
        <v>42422</v>
      </c>
      <c r="U8299" s="2">
        <v>42482</v>
      </c>
      <c r="V8299" t="s">
        <v>71</v>
      </c>
      <c r="W8299" t="str">
        <f>"                0222"</f>
        <v xml:space="preserve">                0222</v>
      </c>
      <c r="X8299">
        <v>0</v>
      </c>
      <c r="Y8299" s="1">
        <v>2395</v>
      </c>
      <c r="Z8299"/>
      <c r="AB8299"/>
      <c r="AC8299" s="1">
        <v>2395</v>
      </c>
      <c r="AD8299">
        <v>-58</v>
      </c>
      <c r="AE8299" s="1">
        <v>-138910</v>
      </c>
      <c r="AF8299">
        <v>0</v>
      </c>
      <c r="AJ8299">
        <v>0</v>
      </c>
      <c r="AK8299">
        <v>0</v>
      </c>
      <c r="AL8299">
        <v>0</v>
      </c>
      <c r="AM8299" s="1">
        <v>2395</v>
      </c>
      <c r="AN8299" s="1">
        <v>2395</v>
      </c>
      <c r="AO8299" s="1">
        <v>2395</v>
      </c>
      <c r="AP8299" s="2">
        <v>42746</v>
      </c>
      <c r="AQ8299" t="s">
        <v>72</v>
      </c>
      <c r="AR8299" t="s">
        <v>72</v>
      </c>
      <c r="AS8299">
        <v>515</v>
      </c>
      <c r="AT8299" s="4">
        <v>42424</v>
      </c>
      <c r="AV8299">
        <v>515</v>
      </c>
      <c r="AW8299" s="4">
        <v>42424</v>
      </c>
      <c r="BD8299">
        <v>0</v>
      </c>
      <c r="BN8299" t="s">
        <v>74</v>
      </c>
    </row>
    <row r="8300" spans="1:66" hidden="1">
      <c r="A8300">
        <v>104708</v>
      </c>
      <c r="B8300" s="3" t="s">
        <v>694</v>
      </c>
      <c r="C8300" s="1">
        <v>43500101</v>
      </c>
      <c r="D8300" t="s">
        <v>113</v>
      </c>
      <c r="H8300" t="str">
        <f t="shared" si="821"/>
        <v>05085150158</v>
      </c>
      <c r="I8300" t="str">
        <f t="shared" si="821"/>
        <v>05085150158</v>
      </c>
      <c r="K8300" t="str">
        <f>""</f>
        <v/>
      </c>
      <c r="M8300" t="s">
        <v>68</v>
      </c>
      <c r="N8300" t="str">
        <f t="shared" si="822"/>
        <v>ALTFIN</v>
      </c>
      <c r="O8300" t="s">
        <v>123</v>
      </c>
      <c r="P8300" s="3" t="s">
        <v>86</v>
      </c>
      <c r="Q8300">
        <v>2016</v>
      </c>
      <c r="R8300" s="2">
        <v>42450</v>
      </c>
      <c r="S8300" s="2">
        <v>42450</v>
      </c>
      <c r="T8300" s="2">
        <v>42450</v>
      </c>
      <c r="U8300" s="2">
        <v>42510</v>
      </c>
      <c r="V8300" t="s">
        <v>71</v>
      </c>
      <c r="W8300" t="str">
        <f>"                0321"</f>
        <v xml:space="preserve">                0321</v>
      </c>
      <c r="X8300">
        <v>0</v>
      </c>
      <c r="Y8300" s="1">
        <v>2395</v>
      </c>
      <c r="Z8300"/>
      <c r="AB8300"/>
      <c r="AC8300" s="1">
        <v>2395</v>
      </c>
      <c r="AD8300">
        <v>-57</v>
      </c>
      <c r="AE8300" s="1">
        <v>-136515</v>
      </c>
      <c r="AF8300">
        <v>0</v>
      </c>
      <c r="AJ8300">
        <v>0</v>
      </c>
      <c r="AK8300">
        <v>0</v>
      </c>
      <c r="AL8300">
        <v>0</v>
      </c>
      <c r="AM8300" s="1">
        <v>2395</v>
      </c>
      <c r="AN8300" s="1">
        <v>2395</v>
      </c>
      <c r="AO8300" s="1">
        <v>2395</v>
      </c>
      <c r="AP8300" s="2">
        <v>42746</v>
      </c>
      <c r="AQ8300" t="s">
        <v>72</v>
      </c>
      <c r="AR8300" t="s">
        <v>72</v>
      </c>
      <c r="AS8300">
        <v>937</v>
      </c>
      <c r="AT8300" s="4">
        <v>42453</v>
      </c>
      <c r="AV8300">
        <v>937</v>
      </c>
      <c r="AW8300" s="4">
        <v>42453</v>
      </c>
      <c r="BD8300">
        <v>0</v>
      </c>
      <c r="BN8300" t="s">
        <v>74</v>
      </c>
    </row>
    <row r="8301" spans="1:66" hidden="1">
      <c r="A8301">
        <v>104708</v>
      </c>
      <c r="B8301" s="3" t="s">
        <v>694</v>
      </c>
      <c r="C8301" s="1">
        <v>43500101</v>
      </c>
      <c r="D8301" t="s">
        <v>113</v>
      </c>
      <c r="H8301" t="str">
        <f t="shared" si="821"/>
        <v>05085150158</v>
      </c>
      <c r="I8301" t="str">
        <f t="shared" si="821"/>
        <v>05085150158</v>
      </c>
      <c r="K8301" t="str">
        <f>""</f>
        <v/>
      </c>
      <c r="M8301" t="s">
        <v>68</v>
      </c>
      <c r="N8301" t="str">
        <f t="shared" si="822"/>
        <v>ALTFIN</v>
      </c>
      <c r="O8301" t="s">
        <v>123</v>
      </c>
      <c r="P8301" s="3" t="s">
        <v>87</v>
      </c>
      <c r="Q8301">
        <v>2016</v>
      </c>
      <c r="R8301" s="2">
        <v>42481</v>
      </c>
      <c r="S8301" s="2">
        <v>42481</v>
      </c>
      <c r="T8301" s="2">
        <v>42481</v>
      </c>
      <c r="U8301" s="2">
        <v>42541</v>
      </c>
      <c r="V8301" t="s">
        <v>71</v>
      </c>
      <c r="W8301" t="str">
        <f>"                0421"</f>
        <v xml:space="preserve">                0421</v>
      </c>
      <c r="X8301">
        <v>0</v>
      </c>
      <c r="Y8301" s="1">
        <v>2395</v>
      </c>
      <c r="Z8301"/>
      <c r="AB8301"/>
      <c r="AC8301" s="1">
        <v>2395</v>
      </c>
      <c r="AD8301">
        <v>-60</v>
      </c>
      <c r="AE8301" s="1">
        <v>-143700</v>
      </c>
      <c r="AF8301">
        <v>0</v>
      </c>
      <c r="AJ8301">
        <v>0</v>
      </c>
      <c r="AK8301">
        <v>0</v>
      </c>
      <c r="AL8301">
        <v>0</v>
      </c>
      <c r="AM8301" s="1">
        <v>2395</v>
      </c>
      <c r="AN8301" s="1">
        <v>2395</v>
      </c>
      <c r="AO8301" s="1">
        <v>2395</v>
      </c>
      <c r="AP8301" s="2">
        <v>42746</v>
      </c>
      <c r="AQ8301" t="s">
        <v>72</v>
      </c>
      <c r="AR8301" t="s">
        <v>72</v>
      </c>
      <c r="AS8301">
        <v>1102</v>
      </c>
      <c r="AT8301" s="4">
        <v>42481</v>
      </c>
      <c r="AV8301">
        <v>1102</v>
      </c>
      <c r="AW8301" s="4">
        <v>42481</v>
      </c>
      <c r="BD8301">
        <v>0</v>
      </c>
      <c r="BN8301" t="s">
        <v>74</v>
      </c>
    </row>
    <row r="8302" spans="1:66" hidden="1">
      <c r="A8302">
        <v>104708</v>
      </c>
      <c r="B8302" s="3" t="s">
        <v>694</v>
      </c>
      <c r="C8302" s="1">
        <v>43500101</v>
      </c>
      <c r="D8302" t="s">
        <v>113</v>
      </c>
      <c r="H8302" t="str">
        <f t="shared" si="821"/>
        <v>05085150158</v>
      </c>
      <c r="I8302" t="str">
        <f t="shared" si="821"/>
        <v>05085150158</v>
      </c>
      <c r="K8302" t="str">
        <f>""</f>
        <v/>
      </c>
      <c r="M8302" t="s">
        <v>68</v>
      </c>
      <c r="N8302" t="str">
        <f t="shared" si="822"/>
        <v>ALTFIN</v>
      </c>
      <c r="O8302" t="s">
        <v>123</v>
      </c>
      <c r="P8302" s="3" t="s">
        <v>88</v>
      </c>
      <c r="Q8302">
        <v>2016</v>
      </c>
      <c r="R8302" s="2">
        <v>42508</v>
      </c>
      <c r="S8302" s="2">
        <v>42510</v>
      </c>
      <c r="T8302" s="2">
        <v>42510</v>
      </c>
      <c r="U8302" s="2">
        <v>42570</v>
      </c>
      <c r="V8302" t="s">
        <v>71</v>
      </c>
      <c r="W8302" t="str">
        <f>"                0518"</f>
        <v xml:space="preserve">                0518</v>
      </c>
      <c r="X8302">
        <v>0</v>
      </c>
      <c r="Y8302" s="1">
        <v>2395</v>
      </c>
      <c r="Z8302"/>
      <c r="AB8302"/>
      <c r="AC8302" s="1">
        <v>2395</v>
      </c>
      <c r="AD8302">
        <v>-57</v>
      </c>
      <c r="AE8302" s="1">
        <v>-136515</v>
      </c>
      <c r="AF8302">
        <v>0</v>
      </c>
      <c r="AJ8302">
        <v>0</v>
      </c>
      <c r="AK8302">
        <v>0</v>
      </c>
      <c r="AL8302">
        <v>0</v>
      </c>
      <c r="AM8302" s="1">
        <v>2395</v>
      </c>
      <c r="AN8302" s="1">
        <v>2395</v>
      </c>
      <c r="AO8302" s="1">
        <v>2395</v>
      </c>
      <c r="AP8302" s="2">
        <v>42746</v>
      </c>
      <c r="AQ8302" t="s">
        <v>72</v>
      </c>
      <c r="AR8302" t="s">
        <v>72</v>
      </c>
      <c r="AS8302">
        <v>1340</v>
      </c>
      <c r="AT8302" s="4">
        <v>42513</v>
      </c>
      <c r="AV8302">
        <v>1340</v>
      </c>
      <c r="AW8302" s="4">
        <v>42513</v>
      </c>
      <c r="BD8302">
        <v>0</v>
      </c>
      <c r="BN8302" t="s">
        <v>74</v>
      </c>
    </row>
    <row r="8303" spans="1:66" hidden="1">
      <c r="A8303">
        <v>104708</v>
      </c>
      <c r="B8303" s="3" t="s">
        <v>694</v>
      </c>
      <c r="C8303" s="1">
        <v>43500101</v>
      </c>
      <c r="D8303" t="s">
        <v>113</v>
      </c>
      <c r="H8303" t="str">
        <f t="shared" si="821"/>
        <v>05085150158</v>
      </c>
      <c r="I8303" t="str">
        <f t="shared" si="821"/>
        <v>05085150158</v>
      </c>
      <c r="K8303" t="str">
        <f>""</f>
        <v/>
      </c>
      <c r="M8303" t="s">
        <v>68</v>
      </c>
      <c r="N8303" t="str">
        <f t="shared" si="822"/>
        <v>ALTFIN</v>
      </c>
      <c r="O8303" t="s">
        <v>123</v>
      </c>
      <c r="P8303" s="3" t="s">
        <v>89</v>
      </c>
      <c r="Q8303">
        <v>2016</v>
      </c>
      <c r="R8303" s="2">
        <v>42548</v>
      </c>
      <c r="S8303" s="2">
        <v>42543</v>
      </c>
      <c r="T8303" s="2">
        <v>42543</v>
      </c>
      <c r="U8303" s="2">
        <v>42603</v>
      </c>
      <c r="V8303" t="s">
        <v>71</v>
      </c>
      <c r="W8303" t="str">
        <f>"                0627"</f>
        <v xml:space="preserve">                0627</v>
      </c>
      <c r="X8303">
        <v>0</v>
      </c>
      <c r="Y8303" s="1">
        <v>2395</v>
      </c>
      <c r="Z8303"/>
      <c r="AB8303"/>
      <c r="AC8303" s="1">
        <v>2395</v>
      </c>
      <c r="AD8303">
        <v>-47</v>
      </c>
      <c r="AE8303" s="1">
        <v>-112565</v>
      </c>
      <c r="AF8303">
        <v>0</v>
      </c>
      <c r="AJ8303">
        <v>0</v>
      </c>
      <c r="AK8303">
        <v>0</v>
      </c>
      <c r="AL8303">
        <v>0</v>
      </c>
      <c r="AM8303" s="1">
        <v>2395</v>
      </c>
      <c r="AN8303" s="1">
        <v>2395</v>
      </c>
      <c r="AO8303" s="1">
        <v>2395</v>
      </c>
      <c r="AP8303" s="2">
        <v>42746</v>
      </c>
      <c r="AQ8303" t="s">
        <v>72</v>
      </c>
      <c r="AR8303" t="s">
        <v>72</v>
      </c>
      <c r="AS8303">
        <v>1723</v>
      </c>
      <c r="AT8303" s="4">
        <v>42556</v>
      </c>
      <c r="AV8303">
        <v>1723</v>
      </c>
      <c r="AW8303" s="4">
        <v>42556</v>
      </c>
      <c r="BD8303">
        <v>0</v>
      </c>
      <c r="BN8303" t="s">
        <v>74</v>
      </c>
    </row>
    <row r="8304" spans="1:66" hidden="1">
      <c r="A8304">
        <v>104708</v>
      </c>
      <c r="B8304" s="3" t="s">
        <v>694</v>
      </c>
      <c r="C8304" s="1">
        <v>43500101</v>
      </c>
      <c r="D8304" t="s">
        <v>113</v>
      </c>
      <c r="H8304" t="str">
        <f t="shared" si="821"/>
        <v>05085150158</v>
      </c>
      <c r="I8304" t="str">
        <f t="shared" si="821"/>
        <v>05085150158</v>
      </c>
      <c r="K8304" t="str">
        <f>""</f>
        <v/>
      </c>
      <c r="M8304" t="s">
        <v>68</v>
      </c>
      <c r="N8304" t="str">
        <f t="shared" si="822"/>
        <v>ALTFIN</v>
      </c>
      <c r="O8304" t="s">
        <v>123</v>
      </c>
      <c r="P8304" s="3" t="s">
        <v>90</v>
      </c>
      <c r="Q8304">
        <v>2016</v>
      </c>
      <c r="R8304" s="2">
        <v>42573</v>
      </c>
      <c r="S8304" s="2">
        <v>42573</v>
      </c>
      <c r="T8304" s="2">
        <v>42573</v>
      </c>
      <c r="U8304" s="2">
        <v>42633</v>
      </c>
      <c r="V8304" t="s">
        <v>71</v>
      </c>
      <c r="W8304" t="str">
        <f>"                0722"</f>
        <v xml:space="preserve">                0722</v>
      </c>
      <c r="X8304">
        <v>0</v>
      </c>
      <c r="Y8304" s="1">
        <v>2106</v>
      </c>
      <c r="Z8304"/>
      <c r="AB8304"/>
      <c r="AC8304" s="1">
        <v>2106</v>
      </c>
      <c r="AD8304">
        <v>-48</v>
      </c>
      <c r="AE8304" s="1">
        <v>-101088</v>
      </c>
      <c r="AF8304">
        <v>0</v>
      </c>
      <c r="AJ8304">
        <v>0</v>
      </c>
      <c r="AK8304">
        <v>0</v>
      </c>
      <c r="AL8304">
        <v>0</v>
      </c>
      <c r="AM8304" s="1">
        <v>2106</v>
      </c>
      <c r="AN8304" s="1">
        <v>2106</v>
      </c>
      <c r="AO8304" s="1">
        <v>2106</v>
      </c>
      <c r="AP8304" s="2">
        <v>42746</v>
      </c>
      <c r="AQ8304" t="s">
        <v>72</v>
      </c>
      <c r="AR8304" t="s">
        <v>72</v>
      </c>
      <c r="AS8304">
        <v>2123</v>
      </c>
      <c r="AT8304" s="4">
        <v>42585</v>
      </c>
      <c r="AV8304">
        <v>2123</v>
      </c>
      <c r="AW8304" s="4">
        <v>42585</v>
      </c>
      <c r="BD8304">
        <v>0</v>
      </c>
      <c r="BN8304" t="s">
        <v>74</v>
      </c>
    </row>
    <row r="8305" spans="1:66" hidden="1">
      <c r="A8305">
        <v>104708</v>
      </c>
      <c r="B8305" s="3" t="s">
        <v>694</v>
      </c>
      <c r="C8305" s="1">
        <v>43500101</v>
      </c>
      <c r="D8305" t="s">
        <v>113</v>
      </c>
      <c r="H8305" t="str">
        <f t="shared" si="821"/>
        <v>05085150158</v>
      </c>
      <c r="I8305" t="str">
        <f t="shared" si="821"/>
        <v>05085150158</v>
      </c>
      <c r="K8305" t="str">
        <f>""</f>
        <v/>
      </c>
      <c r="M8305" t="s">
        <v>68</v>
      </c>
      <c r="N8305" t="str">
        <f t="shared" si="822"/>
        <v>ALTFIN</v>
      </c>
      <c r="O8305" t="s">
        <v>123</v>
      </c>
      <c r="P8305" s="3" t="s">
        <v>91</v>
      </c>
      <c r="Q8305">
        <v>2016</v>
      </c>
      <c r="R8305" s="2">
        <v>42592</v>
      </c>
      <c r="S8305" s="2">
        <v>42598</v>
      </c>
      <c r="T8305" s="2">
        <v>42598</v>
      </c>
      <c r="U8305" s="2">
        <v>42658</v>
      </c>
      <c r="V8305" t="s">
        <v>71</v>
      </c>
      <c r="W8305" t="str">
        <f>"                0810"</f>
        <v xml:space="preserve">                0810</v>
      </c>
      <c r="X8305">
        <v>0</v>
      </c>
      <c r="Y8305" s="1">
        <v>2106</v>
      </c>
      <c r="Z8305"/>
      <c r="AB8305"/>
      <c r="AC8305" s="1">
        <v>2106</v>
      </c>
      <c r="AD8305">
        <v>-60</v>
      </c>
      <c r="AE8305" s="1">
        <v>-126360</v>
      </c>
      <c r="AF8305">
        <v>0</v>
      </c>
      <c r="AJ8305">
        <v>0</v>
      </c>
      <c r="AK8305">
        <v>0</v>
      </c>
      <c r="AL8305">
        <v>0</v>
      </c>
      <c r="AM8305" s="1">
        <v>2106</v>
      </c>
      <c r="AN8305" s="1">
        <v>2106</v>
      </c>
      <c r="AO8305" s="1">
        <v>2106</v>
      </c>
      <c r="AP8305" s="2">
        <v>42746</v>
      </c>
      <c r="AQ8305" t="s">
        <v>72</v>
      </c>
      <c r="AR8305" t="s">
        <v>72</v>
      </c>
      <c r="AS8305">
        <v>2205</v>
      </c>
      <c r="AT8305" s="4">
        <v>42598</v>
      </c>
      <c r="AV8305">
        <v>2205</v>
      </c>
      <c r="AW8305" s="4">
        <v>42598</v>
      </c>
      <c r="BD8305">
        <v>0</v>
      </c>
      <c r="BN8305" t="s">
        <v>74</v>
      </c>
    </row>
    <row r="8306" spans="1:66" hidden="1">
      <c r="A8306">
        <v>104708</v>
      </c>
      <c r="B8306" s="3" t="s">
        <v>694</v>
      </c>
      <c r="C8306" s="1">
        <v>43500101</v>
      </c>
      <c r="D8306" t="s">
        <v>113</v>
      </c>
      <c r="H8306" t="str">
        <f t="shared" si="821"/>
        <v>05085150158</v>
      </c>
      <c r="I8306" t="str">
        <f t="shared" si="821"/>
        <v>05085150158</v>
      </c>
      <c r="K8306" t="str">
        <f>""</f>
        <v/>
      </c>
      <c r="M8306" t="s">
        <v>68</v>
      </c>
      <c r="N8306" t="str">
        <f t="shared" si="822"/>
        <v>ALTFIN</v>
      </c>
      <c r="O8306" t="s">
        <v>123</v>
      </c>
      <c r="P8306" s="3" t="s">
        <v>92</v>
      </c>
      <c r="Q8306">
        <v>2016</v>
      </c>
      <c r="R8306" s="2">
        <v>42633</v>
      </c>
      <c r="S8306" s="2">
        <v>42634</v>
      </c>
      <c r="T8306" s="2">
        <v>42634</v>
      </c>
      <c r="U8306" s="2">
        <v>42694</v>
      </c>
      <c r="V8306" t="s">
        <v>71</v>
      </c>
      <c r="W8306" t="str">
        <f>"                0920"</f>
        <v xml:space="preserve">                0920</v>
      </c>
      <c r="X8306">
        <v>0</v>
      </c>
      <c r="Y8306" s="1">
        <v>2106</v>
      </c>
      <c r="Z8306"/>
      <c r="AB8306"/>
      <c r="AC8306" s="1">
        <v>2106</v>
      </c>
      <c r="AD8306">
        <v>-60</v>
      </c>
      <c r="AE8306" s="1">
        <v>-126360</v>
      </c>
      <c r="AF8306">
        <v>0</v>
      </c>
      <c r="AJ8306">
        <v>0</v>
      </c>
      <c r="AK8306">
        <v>0</v>
      </c>
      <c r="AL8306">
        <v>0</v>
      </c>
      <c r="AM8306" s="1">
        <v>2106</v>
      </c>
      <c r="AN8306" s="1">
        <v>2106</v>
      </c>
      <c r="AO8306" s="1">
        <v>2106</v>
      </c>
      <c r="AP8306" s="2">
        <v>42746</v>
      </c>
      <c r="AQ8306" t="s">
        <v>72</v>
      </c>
      <c r="AR8306" t="s">
        <v>72</v>
      </c>
      <c r="AS8306">
        <v>2478</v>
      </c>
      <c r="AT8306" s="4">
        <v>42634</v>
      </c>
      <c r="AV8306">
        <v>2478</v>
      </c>
      <c r="AW8306" s="4">
        <v>42634</v>
      </c>
      <c r="BD8306">
        <v>0</v>
      </c>
      <c r="BN8306" t="s">
        <v>74</v>
      </c>
    </row>
    <row r="8307" spans="1:66" hidden="1">
      <c r="A8307">
        <v>104708</v>
      </c>
      <c r="B8307" s="3" t="s">
        <v>694</v>
      </c>
      <c r="C8307" s="1">
        <v>43500101</v>
      </c>
      <c r="D8307" t="s">
        <v>113</v>
      </c>
      <c r="H8307" t="str">
        <f t="shared" si="821"/>
        <v>05085150158</v>
      </c>
      <c r="I8307" t="str">
        <f t="shared" si="821"/>
        <v>05085150158</v>
      </c>
      <c r="K8307" t="str">
        <f>""</f>
        <v/>
      </c>
      <c r="M8307" t="s">
        <v>68</v>
      </c>
      <c r="N8307" t="str">
        <f t="shared" si="822"/>
        <v>ALTFIN</v>
      </c>
      <c r="O8307" t="s">
        <v>123</v>
      </c>
      <c r="P8307" s="3" t="s">
        <v>93</v>
      </c>
      <c r="Q8307">
        <v>2016</v>
      </c>
      <c r="R8307" s="2">
        <v>42664</v>
      </c>
      <c r="S8307" s="2">
        <v>42667</v>
      </c>
      <c r="T8307" s="2">
        <v>42667</v>
      </c>
      <c r="U8307" s="2">
        <v>42727</v>
      </c>
      <c r="V8307" t="s">
        <v>71</v>
      </c>
      <c r="W8307" t="str">
        <f>"                1021"</f>
        <v xml:space="preserve">                1021</v>
      </c>
      <c r="X8307">
        <v>0</v>
      </c>
      <c r="Y8307" s="1">
        <v>2106</v>
      </c>
      <c r="Z8307" s="5">
        <v>2106</v>
      </c>
      <c r="AA8307">
        <v>-60</v>
      </c>
      <c r="AB8307" s="5">
        <v>-126360</v>
      </c>
      <c r="AC8307" s="1">
        <v>2106</v>
      </c>
      <c r="AD8307">
        <v>-60</v>
      </c>
      <c r="AE8307" s="1">
        <v>-126360</v>
      </c>
      <c r="AF8307">
        <v>0</v>
      </c>
      <c r="AJ8307" s="1">
        <v>2106</v>
      </c>
      <c r="AK8307" s="1">
        <v>2106</v>
      </c>
      <c r="AL8307" s="1">
        <v>2106</v>
      </c>
      <c r="AM8307" s="1">
        <v>2106</v>
      </c>
      <c r="AN8307" s="1">
        <v>2106</v>
      </c>
      <c r="AO8307" s="1">
        <v>2106</v>
      </c>
      <c r="AP8307" s="2">
        <v>42746</v>
      </c>
      <c r="AQ8307" t="s">
        <v>72</v>
      </c>
      <c r="AR8307" t="s">
        <v>72</v>
      </c>
      <c r="AS8307">
        <v>2826</v>
      </c>
      <c r="AT8307" s="4">
        <v>42667</v>
      </c>
      <c r="AV8307">
        <v>2826</v>
      </c>
      <c r="AW8307" s="4">
        <v>42667</v>
      </c>
      <c r="BD8307">
        <v>0</v>
      </c>
      <c r="BN8307" t="s">
        <v>74</v>
      </c>
    </row>
    <row r="8308" spans="1:66" hidden="1">
      <c r="A8308">
        <v>104708</v>
      </c>
      <c r="B8308" s="3" t="s">
        <v>694</v>
      </c>
      <c r="C8308" s="1">
        <v>43500101</v>
      </c>
      <c r="D8308" t="s">
        <v>113</v>
      </c>
      <c r="H8308" t="str">
        <f t="shared" si="821"/>
        <v>05085150158</v>
      </c>
      <c r="I8308" t="str">
        <f t="shared" si="821"/>
        <v>05085150158</v>
      </c>
      <c r="K8308" t="str">
        <f>""</f>
        <v/>
      </c>
      <c r="M8308" t="s">
        <v>68</v>
      </c>
      <c r="N8308" t="str">
        <f t="shared" si="822"/>
        <v>ALTFIN</v>
      </c>
      <c r="O8308" t="s">
        <v>123</v>
      </c>
      <c r="P8308" s="3" t="s">
        <v>94</v>
      </c>
      <c r="Q8308">
        <v>2016</v>
      </c>
      <c r="R8308" s="2">
        <v>42696</v>
      </c>
      <c r="S8308" s="2">
        <v>42696</v>
      </c>
      <c r="T8308" s="2">
        <v>42696</v>
      </c>
      <c r="U8308" s="2">
        <v>42756</v>
      </c>
      <c r="V8308" t="s">
        <v>71</v>
      </c>
      <c r="W8308" t="str">
        <f>"                1122"</f>
        <v xml:space="preserve">                1122</v>
      </c>
      <c r="X8308">
        <v>0</v>
      </c>
      <c r="Y8308" s="1">
        <v>1496</v>
      </c>
      <c r="Z8308" s="5">
        <v>1496</v>
      </c>
      <c r="AA8308">
        <v>-59</v>
      </c>
      <c r="AB8308" s="5">
        <v>-88264</v>
      </c>
      <c r="AC8308" s="1">
        <v>1496</v>
      </c>
      <c r="AD8308">
        <v>-59</v>
      </c>
      <c r="AE8308" s="1">
        <v>-88264</v>
      </c>
      <c r="AF8308">
        <v>0</v>
      </c>
      <c r="AJ8308" s="1">
        <v>1496</v>
      </c>
      <c r="AK8308" s="1">
        <v>1496</v>
      </c>
      <c r="AL8308" s="1">
        <v>1496</v>
      </c>
      <c r="AM8308" s="1">
        <v>1496</v>
      </c>
      <c r="AN8308" s="1">
        <v>1496</v>
      </c>
      <c r="AO8308" s="1">
        <v>1496</v>
      </c>
      <c r="AP8308" s="2">
        <v>42746</v>
      </c>
      <c r="AQ8308" t="s">
        <v>72</v>
      </c>
      <c r="AR8308" t="s">
        <v>72</v>
      </c>
      <c r="AS8308">
        <v>3263</v>
      </c>
      <c r="AT8308" s="4">
        <v>42697</v>
      </c>
      <c r="AV8308">
        <v>3263</v>
      </c>
      <c r="AW8308" s="4">
        <v>42697</v>
      </c>
      <c r="BD8308">
        <v>0</v>
      </c>
      <c r="BN8308" t="s">
        <v>74</v>
      </c>
    </row>
    <row r="8309" spans="1:66" hidden="1">
      <c r="A8309">
        <v>104708</v>
      </c>
      <c r="B8309" s="3" t="s">
        <v>694</v>
      </c>
      <c r="C8309" s="1">
        <v>43500101</v>
      </c>
      <c r="D8309" t="s">
        <v>113</v>
      </c>
      <c r="H8309" t="str">
        <f t="shared" si="821"/>
        <v>05085150158</v>
      </c>
      <c r="I8309" t="str">
        <f t="shared" si="821"/>
        <v>05085150158</v>
      </c>
      <c r="K8309" t="str">
        <f>""</f>
        <v/>
      </c>
      <c r="M8309" t="s">
        <v>68</v>
      </c>
      <c r="N8309" t="str">
        <f t="shared" si="822"/>
        <v>ALTFIN</v>
      </c>
      <c r="O8309" t="s">
        <v>123</v>
      </c>
      <c r="P8309" s="3" t="s">
        <v>95</v>
      </c>
      <c r="Q8309">
        <v>2016</v>
      </c>
      <c r="R8309" s="2">
        <v>42717</v>
      </c>
      <c r="S8309" s="2">
        <v>42717</v>
      </c>
      <c r="T8309" s="2">
        <v>42717</v>
      </c>
      <c r="U8309" s="2">
        <v>42777</v>
      </c>
      <c r="V8309" t="s">
        <v>71</v>
      </c>
      <c r="W8309" t="str">
        <f>"                1213"</f>
        <v xml:space="preserve">                1213</v>
      </c>
      <c r="X8309">
        <v>0</v>
      </c>
      <c r="Y8309" s="1">
        <v>1497</v>
      </c>
      <c r="Z8309" s="5">
        <v>1497</v>
      </c>
      <c r="AA8309">
        <v>-59</v>
      </c>
      <c r="AB8309" s="5">
        <v>-88323</v>
      </c>
      <c r="AC8309" s="1">
        <v>1497</v>
      </c>
      <c r="AD8309">
        <v>-59</v>
      </c>
      <c r="AE8309" s="1">
        <v>-88323</v>
      </c>
      <c r="AF8309">
        <v>0</v>
      </c>
      <c r="AJ8309" s="1">
        <v>1497</v>
      </c>
      <c r="AK8309" s="1">
        <v>1497</v>
      </c>
      <c r="AL8309" s="1">
        <v>1497</v>
      </c>
      <c r="AM8309" s="1">
        <v>1497</v>
      </c>
      <c r="AN8309" s="1">
        <v>1497</v>
      </c>
      <c r="AO8309" s="1">
        <v>1497</v>
      </c>
      <c r="AP8309" s="2">
        <v>42746</v>
      </c>
      <c r="AQ8309" t="s">
        <v>72</v>
      </c>
      <c r="AR8309" t="s">
        <v>72</v>
      </c>
      <c r="AS8309">
        <v>3421</v>
      </c>
      <c r="AT8309" s="4">
        <v>42718</v>
      </c>
      <c r="AV8309">
        <v>3421</v>
      </c>
      <c r="AW8309" s="4">
        <v>42718</v>
      </c>
      <c r="BD8309">
        <v>0</v>
      </c>
      <c r="BN8309" t="s">
        <v>74</v>
      </c>
    </row>
    <row r="8310" spans="1:66" hidden="1">
      <c r="A8310">
        <v>104709</v>
      </c>
      <c r="B8310" s="3" t="s">
        <v>695</v>
      </c>
      <c r="C8310" s="1">
        <v>43500101</v>
      </c>
      <c r="D8310" t="s">
        <v>113</v>
      </c>
      <c r="H8310" t="str">
        <f t="shared" ref="H8310:I8312" si="823">"11351910150"</f>
        <v>11351910150</v>
      </c>
      <c r="I8310" t="str">
        <f t="shared" si="823"/>
        <v>11351910150</v>
      </c>
      <c r="K8310" t="str">
        <f>""</f>
        <v/>
      </c>
      <c r="M8310" t="s">
        <v>68</v>
      </c>
      <c r="N8310" t="str">
        <f t="shared" si="822"/>
        <v>ALTFIN</v>
      </c>
      <c r="O8310" t="s">
        <v>123</v>
      </c>
      <c r="P8310" s="3" t="s">
        <v>696</v>
      </c>
      <c r="Q8310">
        <v>2016</v>
      </c>
      <c r="R8310" s="2">
        <v>42472</v>
      </c>
      <c r="S8310" s="2">
        <v>42472</v>
      </c>
      <c r="T8310" s="2">
        <v>42472</v>
      </c>
      <c r="U8310" s="2">
        <v>42532</v>
      </c>
      <c r="V8310" t="s">
        <v>71</v>
      </c>
      <c r="W8310" t="str">
        <f>"                  81"</f>
        <v xml:space="preserve">                  81</v>
      </c>
      <c r="X8310">
        <v>0</v>
      </c>
      <c r="Y8310" s="1">
        <v>1002</v>
      </c>
      <c r="Z8310"/>
      <c r="AB8310"/>
      <c r="AC8310" s="1">
        <v>1002</v>
      </c>
      <c r="AD8310">
        <v>-60</v>
      </c>
      <c r="AE8310" s="1">
        <v>-60120</v>
      </c>
      <c r="AF8310">
        <v>0</v>
      </c>
      <c r="AJ8310">
        <v>0</v>
      </c>
      <c r="AK8310">
        <v>0</v>
      </c>
      <c r="AL8310">
        <v>0</v>
      </c>
      <c r="AM8310" s="1">
        <v>1002</v>
      </c>
      <c r="AN8310" s="1">
        <v>1002</v>
      </c>
      <c r="AO8310" s="1">
        <v>1002</v>
      </c>
      <c r="AP8310" s="2">
        <v>42746</v>
      </c>
      <c r="AQ8310" t="s">
        <v>72</v>
      </c>
      <c r="AR8310" t="s">
        <v>72</v>
      </c>
      <c r="AS8310">
        <v>1014</v>
      </c>
      <c r="AT8310" s="4">
        <v>42472</v>
      </c>
      <c r="AV8310">
        <v>1014</v>
      </c>
      <c r="AW8310" s="4">
        <v>42472</v>
      </c>
      <c r="BD8310">
        <v>0</v>
      </c>
      <c r="BN8310" t="s">
        <v>74</v>
      </c>
    </row>
    <row r="8311" spans="1:66" hidden="1">
      <c r="A8311">
        <v>104709</v>
      </c>
      <c r="B8311" s="3" t="s">
        <v>695</v>
      </c>
      <c r="C8311" s="1">
        <v>43500101</v>
      </c>
      <c r="D8311" t="s">
        <v>113</v>
      </c>
      <c r="H8311" t="str">
        <f t="shared" si="823"/>
        <v>11351910150</v>
      </c>
      <c r="I8311" t="str">
        <f t="shared" si="823"/>
        <v>11351910150</v>
      </c>
      <c r="K8311" t="str">
        <f>""</f>
        <v/>
      </c>
      <c r="M8311" t="s">
        <v>68</v>
      </c>
      <c r="N8311" t="str">
        <f t="shared" si="822"/>
        <v>ALTFIN</v>
      </c>
      <c r="O8311" t="s">
        <v>123</v>
      </c>
      <c r="P8311" s="3" t="s">
        <v>696</v>
      </c>
      <c r="Q8311">
        <v>2016</v>
      </c>
      <c r="R8311" s="2">
        <v>42472</v>
      </c>
      <c r="S8311" s="2">
        <v>42472</v>
      </c>
      <c r="T8311" s="2">
        <v>42472</v>
      </c>
      <c r="U8311" s="2">
        <v>42532</v>
      </c>
      <c r="V8311" t="s">
        <v>71</v>
      </c>
      <c r="W8311" t="str">
        <f>"                  82"</f>
        <v xml:space="preserve">                  82</v>
      </c>
      <c r="X8311">
        <v>0</v>
      </c>
      <c r="Y8311" s="1">
        <v>1002</v>
      </c>
      <c r="Z8311"/>
      <c r="AB8311"/>
      <c r="AC8311" s="1">
        <v>1002</v>
      </c>
      <c r="AD8311">
        <v>-60</v>
      </c>
      <c r="AE8311" s="1">
        <v>-60120</v>
      </c>
      <c r="AF8311">
        <v>0</v>
      </c>
      <c r="AJ8311">
        <v>0</v>
      </c>
      <c r="AK8311">
        <v>0</v>
      </c>
      <c r="AL8311">
        <v>0</v>
      </c>
      <c r="AM8311" s="1">
        <v>1002</v>
      </c>
      <c r="AN8311" s="1">
        <v>1002</v>
      </c>
      <c r="AO8311" s="1">
        <v>1002</v>
      </c>
      <c r="AP8311" s="2">
        <v>42746</v>
      </c>
      <c r="AQ8311" t="s">
        <v>72</v>
      </c>
      <c r="AR8311" t="s">
        <v>72</v>
      </c>
      <c r="AS8311">
        <v>1014</v>
      </c>
      <c r="AT8311" s="4">
        <v>42472</v>
      </c>
      <c r="AV8311">
        <v>1014</v>
      </c>
      <c r="AW8311" s="4">
        <v>42472</v>
      </c>
      <c r="BD8311">
        <v>0</v>
      </c>
      <c r="BN8311" t="s">
        <v>74</v>
      </c>
    </row>
    <row r="8312" spans="1:66" hidden="1">
      <c r="A8312">
        <v>104709</v>
      </c>
      <c r="B8312" s="3" t="s">
        <v>695</v>
      </c>
      <c r="C8312" s="1">
        <v>43500101</v>
      </c>
      <c r="D8312" t="s">
        <v>113</v>
      </c>
      <c r="H8312" t="str">
        <f t="shared" si="823"/>
        <v>11351910150</v>
      </c>
      <c r="I8312" t="str">
        <f t="shared" si="823"/>
        <v>11351910150</v>
      </c>
      <c r="K8312" t="str">
        <f>""</f>
        <v/>
      </c>
      <c r="M8312" t="s">
        <v>68</v>
      </c>
      <c r="N8312" t="str">
        <f t="shared" si="822"/>
        <v>ALTFIN</v>
      </c>
      <c r="O8312" t="s">
        <v>123</v>
      </c>
      <c r="P8312" s="3" t="s">
        <v>697</v>
      </c>
      <c r="Q8312">
        <v>2016</v>
      </c>
      <c r="R8312" s="2">
        <v>42720</v>
      </c>
      <c r="S8312" s="2">
        <v>42720</v>
      </c>
      <c r="T8312" s="2">
        <v>42720</v>
      </c>
      <c r="U8312" s="2">
        <v>42780</v>
      </c>
      <c r="V8312" t="s">
        <v>71</v>
      </c>
      <c r="W8312" t="str">
        <f>"                 292"</f>
        <v xml:space="preserve">                 292</v>
      </c>
      <c r="X8312">
        <v>0</v>
      </c>
      <c r="Y8312" s="1">
        <v>2502</v>
      </c>
      <c r="Z8312" s="5">
        <v>2502</v>
      </c>
      <c r="AA8312">
        <v>-60</v>
      </c>
      <c r="AB8312" s="5">
        <v>-150120</v>
      </c>
      <c r="AC8312" s="1">
        <v>2502</v>
      </c>
      <c r="AD8312">
        <v>-60</v>
      </c>
      <c r="AE8312" s="1">
        <v>-150120</v>
      </c>
      <c r="AF8312">
        <v>0</v>
      </c>
      <c r="AJ8312" s="1">
        <v>2502</v>
      </c>
      <c r="AK8312" s="1">
        <v>2502</v>
      </c>
      <c r="AL8312" s="1">
        <v>2502</v>
      </c>
      <c r="AM8312" s="1">
        <v>2502</v>
      </c>
      <c r="AN8312" s="1">
        <v>2502</v>
      </c>
      <c r="AO8312" s="1">
        <v>2502</v>
      </c>
      <c r="AP8312" s="2">
        <v>42746</v>
      </c>
      <c r="AQ8312" t="s">
        <v>72</v>
      </c>
      <c r="AR8312" t="s">
        <v>72</v>
      </c>
      <c r="AS8312">
        <v>3557</v>
      </c>
      <c r="AT8312" s="4">
        <v>42720</v>
      </c>
      <c r="AV8312">
        <v>3557</v>
      </c>
      <c r="AW8312" s="4">
        <v>42720</v>
      </c>
      <c r="BD8312">
        <v>0</v>
      </c>
      <c r="BN8312" t="s">
        <v>74</v>
      </c>
    </row>
    <row r="8313" spans="1:66">
      <c r="A8313">
        <v>104724</v>
      </c>
      <c r="B8313" s="3" t="s">
        <v>698</v>
      </c>
      <c r="C8313" s="1">
        <v>43300101</v>
      </c>
      <c r="D8313" t="s">
        <v>67</v>
      </c>
      <c r="H8313" t="str">
        <f t="shared" ref="H8313:I8315" si="824">"06695101219"</f>
        <v>06695101219</v>
      </c>
      <c r="I8313" t="str">
        <f t="shared" si="824"/>
        <v>06695101219</v>
      </c>
      <c r="K8313" t="str">
        <f>""</f>
        <v/>
      </c>
      <c r="M8313" t="s">
        <v>68</v>
      </c>
      <c r="N8313" t="str">
        <f t="shared" ref="N8313:N8319" si="825">"FOR"</f>
        <v>FOR</v>
      </c>
      <c r="O8313" t="s">
        <v>69</v>
      </c>
      <c r="P8313" s="3" t="s">
        <v>75</v>
      </c>
      <c r="Q8313">
        <v>2016</v>
      </c>
      <c r="R8313" s="2">
        <v>42467</v>
      </c>
      <c r="S8313" s="2">
        <v>42473</v>
      </c>
      <c r="T8313" s="2">
        <v>42469</v>
      </c>
      <c r="U8313" s="2">
        <v>42529</v>
      </c>
      <c r="V8313" t="s">
        <v>71</v>
      </c>
      <c r="W8313" t="str">
        <f>"       0000134E/2016"</f>
        <v xml:space="preserve">       0000134E/2016</v>
      </c>
      <c r="X8313" s="1">
        <v>1844.64</v>
      </c>
      <c r="Y8313">
        <v>0</v>
      </c>
      <c r="Z8313" s="5">
        <v>1512</v>
      </c>
      <c r="AA8313">
        <v>119</v>
      </c>
      <c r="AB8313" s="5">
        <v>179928</v>
      </c>
      <c r="AC8313" s="1">
        <v>1512</v>
      </c>
      <c r="AD8313">
        <v>119</v>
      </c>
      <c r="AE8313" s="1">
        <v>179928</v>
      </c>
      <c r="AF8313">
        <v>0</v>
      </c>
      <c r="AJ8313">
        <v>0</v>
      </c>
      <c r="AK8313">
        <v>0</v>
      </c>
      <c r="AL8313">
        <v>0</v>
      </c>
      <c r="AM8313" s="1">
        <v>1844.64</v>
      </c>
      <c r="AN8313" s="1">
        <v>1844.64</v>
      </c>
      <c r="AO8313" s="1">
        <v>1844.64</v>
      </c>
      <c r="AP8313" s="2">
        <v>42746</v>
      </c>
      <c r="AQ8313" t="s">
        <v>72</v>
      </c>
      <c r="AR8313" t="s">
        <v>72</v>
      </c>
      <c r="AS8313">
        <v>2664</v>
      </c>
      <c r="AT8313" s="4">
        <v>42648</v>
      </c>
      <c r="AU8313" t="s">
        <v>73</v>
      </c>
      <c r="AV8313">
        <v>2664</v>
      </c>
      <c r="AW8313" s="4">
        <v>42648</v>
      </c>
      <c r="BD8313">
        <v>0</v>
      </c>
      <c r="BN8313" t="s">
        <v>74</v>
      </c>
    </row>
    <row r="8314" spans="1:66">
      <c r="A8314">
        <v>104724</v>
      </c>
      <c r="B8314" s="3" t="s">
        <v>698</v>
      </c>
      <c r="C8314" s="1">
        <v>43300101</v>
      </c>
      <c r="D8314" t="s">
        <v>67</v>
      </c>
      <c r="H8314" t="str">
        <f t="shared" si="824"/>
        <v>06695101219</v>
      </c>
      <c r="I8314" t="str">
        <f t="shared" si="824"/>
        <v>06695101219</v>
      </c>
      <c r="K8314" t="str">
        <f>""</f>
        <v/>
      </c>
      <c r="M8314" t="s">
        <v>68</v>
      </c>
      <c r="N8314" t="str">
        <f t="shared" si="825"/>
        <v>FOR</v>
      </c>
      <c r="O8314" t="s">
        <v>69</v>
      </c>
      <c r="P8314" s="3" t="s">
        <v>75</v>
      </c>
      <c r="Q8314">
        <v>2016</v>
      </c>
      <c r="R8314" s="2">
        <v>42494</v>
      </c>
      <c r="S8314" s="2">
        <v>42501</v>
      </c>
      <c r="T8314" s="2">
        <v>42498</v>
      </c>
      <c r="U8314" s="2">
        <v>42558</v>
      </c>
      <c r="V8314" t="s">
        <v>71</v>
      </c>
      <c r="W8314" t="str">
        <f>"       0000173E/2016"</f>
        <v xml:space="preserve">       0000173E/2016</v>
      </c>
      <c r="X8314">
        <v>897.92</v>
      </c>
      <c r="Y8314">
        <v>0</v>
      </c>
      <c r="Z8314" s="3">
        <v>736</v>
      </c>
      <c r="AA8314">
        <v>90</v>
      </c>
      <c r="AB8314" s="5">
        <v>66240</v>
      </c>
      <c r="AC8314">
        <v>736</v>
      </c>
      <c r="AD8314">
        <v>90</v>
      </c>
      <c r="AE8314" s="1">
        <v>66240</v>
      </c>
      <c r="AF8314">
        <v>0</v>
      </c>
      <c r="AJ8314">
        <v>0</v>
      </c>
      <c r="AK8314">
        <v>0</v>
      </c>
      <c r="AL8314">
        <v>0</v>
      </c>
      <c r="AM8314">
        <v>897.92</v>
      </c>
      <c r="AN8314">
        <v>897.92</v>
      </c>
      <c r="AO8314">
        <v>897.92</v>
      </c>
      <c r="AP8314" s="2">
        <v>42746</v>
      </c>
      <c r="AQ8314" t="s">
        <v>72</v>
      </c>
      <c r="AR8314" t="s">
        <v>72</v>
      </c>
      <c r="AS8314">
        <v>2664</v>
      </c>
      <c r="AT8314" s="4">
        <v>42648</v>
      </c>
      <c r="AU8314" t="s">
        <v>73</v>
      </c>
      <c r="AV8314">
        <v>2664</v>
      </c>
      <c r="AW8314" s="4">
        <v>42648</v>
      </c>
      <c r="BD8314">
        <v>0</v>
      </c>
      <c r="BN8314" t="s">
        <v>74</v>
      </c>
    </row>
    <row r="8315" spans="1:66">
      <c r="A8315">
        <v>104724</v>
      </c>
      <c r="B8315" s="3" t="s">
        <v>698</v>
      </c>
      <c r="C8315" s="1">
        <v>43300101</v>
      </c>
      <c r="D8315" t="s">
        <v>67</v>
      </c>
      <c r="H8315" t="str">
        <f t="shared" si="824"/>
        <v>06695101219</v>
      </c>
      <c r="I8315" t="str">
        <f t="shared" si="824"/>
        <v>06695101219</v>
      </c>
      <c r="K8315" t="str">
        <f>""</f>
        <v/>
      </c>
      <c r="M8315" t="s">
        <v>68</v>
      </c>
      <c r="N8315" t="str">
        <f t="shared" si="825"/>
        <v>FOR</v>
      </c>
      <c r="O8315" t="s">
        <v>69</v>
      </c>
      <c r="P8315" s="3" t="s">
        <v>75</v>
      </c>
      <c r="Q8315">
        <v>2016</v>
      </c>
      <c r="R8315" s="2">
        <v>42543</v>
      </c>
      <c r="S8315" s="2">
        <v>42544</v>
      </c>
      <c r="T8315" s="2">
        <v>42543</v>
      </c>
      <c r="U8315" s="2">
        <v>42603</v>
      </c>
      <c r="V8315" t="s">
        <v>71</v>
      </c>
      <c r="W8315" t="str">
        <f>"       0000246E/2016"</f>
        <v xml:space="preserve">       0000246E/2016</v>
      </c>
      <c r="X8315">
        <v>897.92</v>
      </c>
      <c r="Y8315">
        <v>0</v>
      </c>
      <c r="Z8315" s="3">
        <v>736</v>
      </c>
      <c r="AA8315">
        <v>45</v>
      </c>
      <c r="AB8315" s="5">
        <v>33120</v>
      </c>
      <c r="AC8315">
        <v>736</v>
      </c>
      <c r="AD8315">
        <v>45</v>
      </c>
      <c r="AE8315" s="1">
        <v>33120</v>
      </c>
      <c r="AF8315">
        <v>0</v>
      </c>
      <c r="AJ8315">
        <v>0</v>
      </c>
      <c r="AK8315">
        <v>0</v>
      </c>
      <c r="AL8315">
        <v>0</v>
      </c>
      <c r="AM8315">
        <v>897.92</v>
      </c>
      <c r="AN8315">
        <v>897.92</v>
      </c>
      <c r="AO8315">
        <v>897.92</v>
      </c>
      <c r="AP8315" s="2">
        <v>42746</v>
      </c>
      <c r="AQ8315" t="s">
        <v>72</v>
      </c>
      <c r="AR8315" t="s">
        <v>72</v>
      </c>
      <c r="AS8315">
        <v>2664</v>
      </c>
      <c r="AT8315" s="4">
        <v>42648</v>
      </c>
      <c r="AU8315" t="s">
        <v>73</v>
      </c>
      <c r="AV8315">
        <v>2664</v>
      </c>
      <c r="AW8315" s="4">
        <v>42648</v>
      </c>
      <c r="BD8315">
        <v>0</v>
      </c>
      <c r="BN8315" t="s">
        <v>74</v>
      </c>
    </row>
    <row r="8316" spans="1:66" hidden="1">
      <c r="A8316">
        <v>104729</v>
      </c>
      <c r="B8316" s="3" t="s">
        <v>699</v>
      </c>
      <c r="C8316" s="1">
        <v>43300101</v>
      </c>
      <c r="D8316" t="s">
        <v>67</v>
      </c>
      <c r="H8316" t="str">
        <f t="shared" ref="H8316:I8319" si="826">"10692961005"</f>
        <v>10692961005</v>
      </c>
      <c r="I8316" t="str">
        <f t="shared" si="826"/>
        <v>10692961005</v>
      </c>
      <c r="K8316" t="str">
        <f>""</f>
        <v/>
      </c>
      <c r="M8316" t="s">
        <v>68</v>
      </c>
      <c r="N8316" t="str">
        <f t="shared" si="825"/>
        <v>FOR</v>
      </c>
      <c r="O8316" t="s">
        <v>69</v>
      </c>
      <c r="P8316" s="3" t="s">
        <v>75</v>
      </c>
      <c r="Q8316">
        <v>2015</v>
      </c>
      <c r="R8316" s="2">
        <v>42199</v>
      </c>
      <c r="S8316" s="2">
        <v>42200</v>
      </c>
      <c r="T8316" s="2">
        <v>42199</v>
      </c>
      <c r="U8316" s="2">
        <v>42259</v>
      </c>
      <c r="V8316" t="s">
        <v>71</v>
      </c>
      <c r="W8316" t="str">
        <f>"               81/PA"</f>
        <v xml:space="preserve">               81/PA</v>
      </c>
      <c r="X8316">
        <v>510.2</v>
      </c>
      <c r="Y8316">
        <v>0</v>
      </c>
      <c r="Z8316"/>
      <c r="AB8316"/>
      <c r="AC8316">
        <v>418.2</v>
      </c>
      <c r="AD8316">
        <v>307</v>
      </c>
      <c r="AE8316" s="1">
        <v>128387.4</v>
      </c>
      <c r="AF8316">
        <v>0</v>
      </c>
      <c r="AJ8316">
        <v>0</v>
      </c>
      <c r="AK8316">
        <v>0</v>
      </c>
      <c r="AL8316">
        <v>0</v>
      </c>
      <c r="AM8316">
        <v>0</v>
      </c>
      <c r="AN8316">
        <v>0</v>
      </c>
      <c r="AO8316">
        <v>0</v>
      </c>
      <c r="AP8316" s="2">
        <v>42746</v>
      </c>
      <c r="AQ8316" t="s">
        <v>72</v>
      </c>
      <c r="AR8316" t="s">
        <v>72</v>
      </c>
      <c r="AS8316">
        <v>1839</v>
      </c>
      <c r="AT8316" s="4">
        <v>42566</v>
      </c>
      <c r="AU8316" t="s">
        <v>73</v>
      </c>
      <c r="AV8316">
        <v>1839</v>
      </c>
      <c r="AW8316" s="4">
        <v>42566</v>
      </c>
      <c r="BD8316">
        <v>0</v>
      </c>
      <c r="BN8316" t="s">
        <v>74</v>
      </c>
    </row>
    <row r="8317" spans="1:66" hidden="1">
      <c r="A8317">
        <v>104729</v>
      </c>
      <c r="B8317" s="3" t="s">
        <v>699</v>
      </c>
      <c r="C8317" s="1">
        <v>43300101</v>
      </c>
      <c r="D8317" t="s">
        <v>67</v>
      </c>
      <c r="H8317" t="str">
        <f t="shared" si="826"/>
        <v>10692961005</v>
      </c>
      <c r="I8317" t="str">
        <f t="shared" si="826"/>
        <v>10692961005</v>
      </c>
      <c r="K8317" t="str">
        <f>""</f>
        <v/>
      </c>
      <c r="M8317" t="s">
        <v>68</v>
      </c>
      <c r="N8317" t="str">
        <f t="shared" si="825"/>
        <v>FOR</v>
      </c>
      <c r="O8317" t="s">
        <v>69</v>
      </c>
      <c r="P8317" s="3" t="s">
        <v>75</v>
      </c>
      <c r="Q8317">
        <v>2015</v>
      </c>
      <c r="R8317" s="2">
        <v>42214</v>
      </c>
      <c r="S8317" s="2">
        <v>42227</v>
      </c>
      <c r="T8317" s="2">
        <v>42215</v>
      </c>
      <c r="U8317" s="2">
        <v>42275</v>
      </c>
      <c r="V8317" t="s">
        <v>71</v>
      </c>
      <c r="W8317" t="str">
        <f>"              100/PA"</f>
        <v xml:space="preserve">              100/PA</v>
      </c>
      <c r="X8317">
        <v>255.1</v>
      </c>
      <c r="Y8317">
        <v>0</v>
      </c>
      <c r="Z8317"/>
      <c r="AB8317"/>
      <c r="AC8317">
        <v>209.1</v>
      </c>
      <c r="AD8317">
        <v>291</v>
      </c>
      <c r="AE8317" s="1">
        <v>60848.1</v>
      </c>
      <c r="AF8317">
        <v>0</v>
      </c>
      <c r="AJ8317">
        <v>0</v>
      </c>
      <c r="AK8317">
        <v>0</v>
      </c>
      <c r="AL8317">
        <v>0</v>
      </c>
      <c r="AM8317">
        <v>0</v>
      </c>
      <c r="AN8317">
        <v>0</v>
      </c>
      <c r="AO8317">
        <v>0</v>
      </c>
      <c r="AP8317" s="2">
        <v>42746</v>
      </c>
      <c r="AQ8317" t="s">
        <v>72</v>
      </c>
      <c r="AR8317" t="s">
        <v>72</v>
      </c>
      <c r="AS8317">
        <v>1839</v>
      </c>
      <c r="AT8317" s="4">
        <v>42566</v>
      </c>
      <c r="AU8317" t="s">
        <v>73</v>
      </c>
      <c r="AV8317">
        <v>1839</v>
      </c>
      <c r="AW8317" s="4">
        <v>42566</v>
      </c>
      <c r="BD8317">
        <v>0</v>
      </c>
      <c r="BN8317" t="s">
        <v>74</v>
      </c>
    </row>
    <row r="8318" spans="1:66">
      <c r="A8318">
        <v>104729</v>
      </c>
      <c r="B8318" s="3" t="s">
        <v>699</v>
      </c>
      <c r="C8318" s="1">
        <v>43300101</v>
      </c>
      <c r="D8318" t="s">
        <v>67</v>
      </c>
      <c r="H8318" t="str">
        <f t="shared" si="826"/>
        <v>10692961005</v>
      </c>
      <c r="I8318" t="str">
        <f t="shared" si="826"/>
        <v>10692961005</v>
      </c>
      <c r="K8318" t="str">
        <f>""</f>
        <v/>
      </c>
      <c r="M8318" t="s">
        <v>68</v>
      </c>
      <c r="N8318" t="str">
        <f t="shared" si="825"/>
        <v>FOR</v>
      </c>
      <c r="O8318" t="s">
        <v>69</v>
      </c>
      <c r="P8318" s="3" t="s">
        <v>75</v>
      </c>
      <c r="Q8318">
        <v>2015</v>
      </c>
      <c r="R8318" s="2">
        <v>42312</v>
      </c>
      <c r="S8318" s="2">
        <v>42313</v>
      </c>
      <c r="T8318" s="2">
        <v>42312</v>
      </c>
      <c r="U8318" s="2">
        <v>42372</v>
      </c>
      <c r="V8318" t="s">
        <v>71</v>
      </c>
      <c r="W8318" t="str">
        <f>"              167/PA"</f>
        <v xml:space="preserve">              167/PA</v>
      </c>
      <c r="X8318">
        <v>765.31</v>
      </c>
      <c r="Y8318">
        <v>0</v>
      </c>
      <c r="Z8318" s="3">
        <v>627.29999999999995</v>
      </c>
      <c r="AA8318">
        <v>310</v>
      </c>
      <c r="AB8318" s="5">
        <v>194463</v>
      </c>
      <c r="AC8318">
        <v>627.29999999999995</v>
      </c>
      <c r="AD8318">
        <v>310</v>
      </c>
      <c r="AE8318" s="1">
        <v>194463</v>
      </c>
      <c r="AF8318">
        <v>0</v>
      </c>
      <c r="AJ8318">
        <v>0</v>
      </c>
      <c r="AK8318">
        <v>0</v>
      </c>
      <c r="AL8318">
        <v>0</v>
      </c>
      <c r="AM8318">
        <v>0</v>
      </c>
      <c r="AN8318">
        <v>0</v>
      </c>
      <c r="AO8318">
        <v>0</v>
      </c>
      <c r="AP8318" s="2">
        <v>42746</v>
      </c>
      <c r="AQ8318" t="s">
        <v>72</v>
      </c>
      <c r="AR8318" t="s">
        <v>72</v>
      </c>
      <c r="AS8318">
        <v>2999</v>
      </c>
      <c r="AT8318" s="4">
        <v>42682</v>
      </c>
      <c r="AU8318" t="s">
        <v>73</v>
      </c>
      <c r="AV8318">
        <v>2999</v>
      </c>
      <c r="AW8318" s="4">
        <v>42682</v>
      </c>
      <c r="BD8318">
        <v>0</v>
      </c>
      <c r="BN8318" t="s">
        <v>74</v>
      </c>
    </row>
    <row r="8319" spans="1:66">
      <c r="A8319">
        <v>104729</v>
      </c>
      <c r="B8319" s="3" t="s">
        <v>699</v>
      </c>
      <c r="C8319" s="1">
        <v>43300101</v>
      </c>
      <c r="D8319" t="s">
        <v>67</v>
      </c>
      <c r="H8319" t="str">
        <f t="shared" si="826"/>
        <v>10692961005</v>
      </c>
      <c r="I8319" t="str">
        <f t="shared" si="826"/>
        <v>10692961005</v>
      </c>
      <c r="K8319" t="str">
        <f>""</f>
        <v/>
      </c>
      <c r="M8319" t="s">
        <v>68</v>
      </c>
      <c r="N8319" t="str">
        <f t="shared" si="825"/>
        <v>FOR</v>
      </c>
      <c r="O8319" t="s">
        <v>69</v>
      </c>
      <c r="P8319" s="3" t="s">
        <v>75</v>
      </c>
      <c r="Q8319">
        <v>2016</v>
      </c>
      <c r="R8319" s="2">
        <v>42426</v>
      </c>
      <c r="S8319" s="2">
        <v>42433</v>
      </c>
      <c r="T8319" s="2">
        <v>42426</v>
      </c>
      <c r="U8319" s="2">
        <v>42486</v>
      </c>
      <c r="V8319" t="s">
        <v>71</v>
      </c>
      <c r="W8319" t="str">
        <f>"               50/PA"</f>
        <v xml:space="preserve">               50/PA</v>
      </c>
      <c r="X8319" s="1">
        <v>1615.65</v>
      </c>
      <c r="Y8319">
        <v>0</v>
      </c>
      <c r="Z8319" s="5">
        <v>1324.3</v>
      </c>
      <c r="AA8319">
        <v>232</v>
      </c>
      <c r="AB8319" s="5">
        <v>307237.59999999998</v>
      </c>
      <c r="AC8319" s="1">
        <v>1324.3</v>
      </c>
      <c r="AD8319">
        <v>232</v>
      </c>
      <c r="AE8319" s="1">
        <v>307237.59999999998</v>
      </c>
      <c r="AF8319">
        <v>291.35000000000002</v>
      </c>
      <c r="AJ8319">
        <v>0</v>
      </c>
      <c r="AK8319">
        <v>0</v>
      </c>
      <c r="AL8319">
        <v>0</v>
      </c>
      <c r="AM8319" s="1">
        <v>1615.65</v>
      </c>
      <c r="AN8319" s="1">
        <v>1615.65</v>
      </c>
      <c r="AO8319" s="1">
        <v>1615.65</v>
      </c>
      <c r="AP8319" s="2">
        <v>42746</v>
      </c>
      <c r="AQ8319" t="s">
        <v>72</v>
      </c>
      <c r="AR8319" t="s">
        <v>72</v>
      </c>
      <c r="AS8319">
        <v>3481</v>
      </c>
      <c r="AT8319" s="4">
        <v>42718</v>
      </c>
      <c r="AU8319" t="s">
        <v>73</v>
      </c>
      <c r="AV8319">
        <v>3481</v>
      </c>
      <c r="AW8319" s="4">
        <v>42718</v>
      </c>
      <c r="BD8319">
        <v>291.35000000000002</v>
      </c>
      <c r="BN8319" t="s">
        <v>74</v>
      </c>
    </row>
    <row r="8320" spans="1:66" hidden="1">
      <c r="A8320">
        <v>106182</v>
      </c>
      <c r="B8320" s="3" t="s">
        <v>700</v>
      </c>
      <c r="C8320" s="1">
        <v>43500101</v>
      </c>
      <c r="D8320" t="s">
        <v>113</v>
      </c>
      <c r="H8320" t="str">
        <f>"BBTGNN62D69A783H"</f>
        <v>BBTGNN62D69A783H</v>
      </c>
      <c r="I8320" t="str">
        <f>""</f>
        <v/>
      </c>
      <c r="K8320" t="str">
        <f>""</f>
        <v/>
      </c>
      <c r="M8320" t="s">
        <v>68</v>
      </c>
      <c r="N8320" t="str">
        <f>"ALTPRO"</f>
        <v>ALTPRO</v>
      </c>
      <c r="O8320" t="s">
        <v>132</v>
      </c>
      <c r="P8320" s="3" t="s">
        <v>701</v>
      </c>
      <c r="Q8320">
        <v>2016</v>
      </c>
      <c r="R8320" s="2">
        <v>42667</v>
      </c>
      <c r="S8320" s="2">
        <v>42667</v>
      </c>
      <c r="T8320" s="2">
        <v>42667</v>
      </c>
      <c r="U8320" s="2">
        <v>42727</v>
      </c>
      <c r="V8320" t="s">
        <v>71</v>
      </c>
      <c r="W8320" t="str">
        <f>"                 251"</f>
        <v xml:space="preserve">                 251</v>
      </c>
      <c r="X8320">
        <v>0</v>
      </c>
      <c r="Y8320" s="1">
        <v>15000</v>
      </c>
      <c r="Z8320" s="5">
        <v>15000</v>
      </c>
      <c r="AA8320">
        <v>-60</v>
      </c>
      <c r="AB8320" s="5">
        <v>-900000</v>
      </c>
      <c r="AC8320" s="1">
        <v>15000</v>
      </c>
      <c r="AD8320">
        <v>-60</v>
      </c>
      <c r="AE8320" s="1">
        <v>-900000</v>
      </c>
      <c r="AF8320">
        <v>0</v>
      </c>
      <c r="AJ8320" s="1">
        <v>15000</v>
      </c>
      <c r="AK8320" s="1">
        <v>15000</v>
      </c>
      <c r="AL8320" s="1">
        <v>15000</v>
      </c>
      <c r="AM8320" s="1">
        <v>15000</v>
      </c>
      <c r="AN8320" s="1">
        <v>15000</v>
      </c>
      <c r="AO8320" s="1">
        <v>15000</v>
      </c>
      <c r="AP8320" s="2">
        <v>42746</v>
      </c>
      <c r="AQ8320" t="s">
        <v>72</v>
      </c>
      <c r="AR8320" t="s">
        <v>72</v>
      </c>
      <c r="AS8320">
        <v>2774</v>
      </c>
      <c r="AT8320" s="4">
        <v>42667</v>
      </c>
      <c r="AV8320">
        <v>2774</v>
      </c>
      <c r="AW8320" s="4">
        <v>42667</v>
      </c>
      <c r="BD8320">
        <v>0</v>
      </c>
      <c r="BN8320" t="s">
        <v>74</v>
      </c>
    </row>
    <row r="8321" spans="1:66" hidden="1">
      <c r="A8321">
        <v>106197</v>
      </c>
      <c r="B8321" s="3" t="s">
        <v>702</v>
      </c>
      <c r="C8321" s="1">
        <v>43300101</v>
      </c>
      <c r="D8321" t="s">
        <v>67</v>
      </c>
      <c r="H8321" t="str">
        <f>"01536610627"</f>
        <v>01536610627</v>
      </c>
      <c r="I8321" t="str">
        <f>"01536610627"</f>
        <v>01536610627</v>
      </c>
      <c r="K8321" t="str">
        <f>""</f>
        <v/>
      </c>
      <c r="M8321" t="s">
        <v>68</v>
      </c>
      <c r="N8321" t="str">
        <f>"FOR"</f>
        <v>FOR</v>
      </c>
      <c r="O8321" t="s">
        <v>69</v>
      </c>
      <c r="P8321" s="3" t="s">
        <v>75</v>
      </c>
      <c r="Q8321">
        <v>2015</v>
      </c>
      <c r="R8321" s="2">
        <v>42359</v>
      </c>
      <c r="S8321" s="2">
        <v>42360</v>
      </c>
      <c r="T8321" s="2">
        <v>42359</v>
      </c>
      <c r="U8321" s="2">
        <v>42419</v>
      </c>
      <c r="V8321" t="s">
        <v>71</v>
      </c>
      <c r="W8321" t="str">
        <f>"                 1/E"</f>
        <v xml:space="preserve">                 1/E</v>
      </c>
      <c r="X8321">
        <v>317.2</v>
      </c>
      <c r="Y8321">
        <v>0</v>
      </c>
      <c r="Z8321"/>
      <c r="AB8321"/>
      <c r="AC8321">
        <v>260</v>
      </c>
      <c r="AD8321">
        <v>-16</v>
      </c>
      <c r="AE8321" s="1">
        <v>-4160</v>
      </c>
      <c r="AF8321">
        <v>57.2</v>
      </c>
      <c r="AJ8321">
        <v>0</v>
      </c>
      <c r="AK8321">
        <v>0</v>
      </c>
      <c r="AL8321">
        <v>0</v>
      </c>
      <c r="AM8321">
        <v>0</v>
      </c>
      <c r="AN8321">
        <v>0</v>
      </c>
      <c r="AO8321">
        <v>0</v>
      </c>
      <c r="AP8321" s="2">
        <v>42746</v>
      </c>
      <c r="AQ8321" t="s">
        <v>72</v>
      </c>
      <c r="AR8321" t="s">
        <v>72</v>
      </c>
      <c r="AS8321">
        <v>212</v>
      </c>
      <c r="AT8321" s="4">
        <v>42403</v>
      </c>
      <c r="AV8321">
        <v>212</v>
      </c>
      <c r="AW8321" s="4">
        <v>42403</v>
      </c>
      <c r="BD8321">
        <v>57.2</v>
      </c>
      <c r="BN8321" t="s">
        <v>74</v>
      </c>
    </row>
    <row r="8322" spans="1:66" hidden="1">
      <c r="A8322">
        <v>106197</v>
      </c>
      <c r="B8322" s="3" t="s">
        <v>702</v>
      </c>
      <c r="C8322" s="1">
        <v>43300101</v>
      </c>
      <c r="D8322" t="s">
        <v>67</v>
      </c>
      <c r="H8322" t="str">
        <f>"01536610627"</f>
        <v>01536610627</v>
      </c>
      <c r="I8322" t="str">
        <f>"01536610627"</f>
        <v>01536610627</v>
      </c>
      <c r="K8322" t="str">
        <f>""</f>
        <v/>
      </c>
      <c r="M8322" t="s">
        <v>68</v>
      </c>
      <c r="N8322" t="str">
        <f>"FOR"</f>
        <v>FOR</v>
      </c>
      <c r="O8322" t="s">
        <v>69</v>
      </c>
      <c r="P8322" s="3" t="s">
        <v>75</v>
      </c>
      <c r="Q8322">
        <v>2015</v>
      </c>
      <c r="R8322" s="2">
        <v>42359</v>
      </c>
      <c r="S8322" s="2">
        <v>42360</v>
      </c>
      <c r="T8322" s="2">
        <v>42359</v>
      </c>
      <c r="U8322" s="2">
        <v>42419</v>
      </c>
      <c r="V8322" t="s">
        <v>71</v>
      </c>
      <c r="W8322" t="str">
        <f>"                 2/E"</f>
        <v xml:space="preserve">                 2/E</v>
      </c>
      <c r="X8322">
        <v>268.39999999999998</v>
      </c>
      <c r="Y8322">
        <v>0</v>
      </c>
      <c r="Z8322"/>
      <c r="AB8322"/>
      <c r="AC8322">
        <v>220</v>
      </c>
      <c r="AD8322">
        <v>-16</v>
      </c>
      <c r="AE8322" s="1">
        <v>-3520</v>
      </c>
      <c r="AF8322">
        <v>48.4</v>
      </c>
      <c r="AJ8322">
        <v>0</v>
      </c>
      <c r="AK8322">
        <v>0</v>
      </c>
      <c r="AL8322">
        <v>0</v>
      </c>
      <c r="AM8322">
        <v>0</v>
      </c>
      <c r="AN8322">
        <v>0</v>
      </c>
      <c r="AO8322">
        <v>0</v>
      </c>
      <c r="AP8322" s="2">
        <v>42746</v>
      </c>
      <c r="AQ8322" t="s">
        <v>72</v>
      </c>
      <c r="AR8322" t="s">
        <v>72</v>
      </c>
      <c r="AS8322">
        <v>212</v>
      </c>
      <c r="AT8322" s="4">
        <v>42403</v>
      </c>
      <c r="AV8322">
        <v>212</v>
      </c>
      <c r="AW8322" s="4">
        <v>42403</v>
      </c>
      <c r="BD8322">
        <v>48.4</v>
      </c>
      <c r="BN8322" t="s">
        <v>74</v>
      </c>
    </row>
    <row r="8323" spans="1:66" hidden="1">
      <c r="A8323">
        <v>106201</v>
      </c>
      <c r="B8323" s="3" t="s">
        <v>703</v>
      </c>
      <c r="C8323" s="1">
        <v>43201201</v>
      </c>
      <c r="D8323" t="s">
        <v>116</v>
      </c>
      <c r="H8323" t="str">
        <f>"04701800650"</f>
        <v>04701800650</v>
      </c>
      <c r="I8323" t="str">
        <f>"04701800650"</f>
        <v>04701800650</v>
      </c>
      <c r="K8323" t="str">
        <f>""</f>
        <v/>
      </c>
      <c r="M8323" t="s">
        <v>68</v>
      </c>
      <c r="N8323" t="str">
        <f>"AZ1"</f>
        <v>AZ1</v>
      </c>
      <c r="O8323" t="s">
        <v>117</v>
      </c>
      <c r="P8323" s="3" t="s">
        <v>704</v>
      </c>
      <c r="Q8323">
        <v>2016</v>
      </c>
      <c r="R8323" s="2">
        <v>42478</v>
      </c>
      <c r="S8323" s="2">
        <v>42478</v>
      </c>
      <c r="T8323" s="2">
        <v>42478</v>
      </c>
      <c r="U8323" s="2">
        <v>42538</v>
      </c>
      <c r="V8323" t="s">
        <v>71</v>
      </c>
      <c r="W8323" t="str">
        <f>"                  84"</f>
        <v xml:space="preserve">                  84</v>
      </c>
      <c r="X8323">
        <v>0</v>
      </c>
      <c r="Y8323">
        <v>258.23</v>
      </c>
      <c r="Z8323"/>
      <c r="AB8323"/>
      <c r="AC8323">
        <v>258.23</v>
      </c>
      <c r="AD8323">
        <v>-51</v>
      </c>
      <c r="AE8323" s="1">
        <v>-13169.73</v>
      </c>
      <c r="AF8323">
        <v>0</v>
      </c>
      <c r="AJ8323">
        <v>0</v>
      </c>
      <c r="AK8323">
        <v>0</v>
      </c>
      <c r="AL8323">
        <v>0</v>
      </c>
      <c r="AM8323">
        <v>258.23</v>
      </c>
      <c r="AN8323">
        <v>258.23</v>
      </c>
      <c r="AO8323">
        <v>258.23</v>
      </c>
      <c r="AP8323" s="2">
        <v>42746</v>
      </c>
      <c r="AQ8323" t="s">
        <v>72</v>
      </c>
      <c r="AR8323" t="s">
        <v>72</v>
      </c>
      <c r="AS8323">
        <v>1175</v>
      </c>
      <c r="AT8323" s="4">
        <v>42487</v>
      </c>
      <c r="AV8323">
        <v>1175</v>
      </c>
      <c r="AW8323" s="4">
        <v>42487</v>
      </c>
      <c r="BD8323">
        <v>0</v>
      </c>
      <c r="BN8323" t="s">
        <v>74</v>
      </c>
    </row>
    <row r="8324" spans="1:66" hidden="1">
      <c r="A8324">
        <v>106215</v>
      </c>
      <c r="B8324" s="3" t="s">
        <v>705</v>
      </c>
      <c r="C8324" s="1">
        <v>43500101</v>
      </c>
      <c r="D8324" t="s">
        <v>113</v>
      </c>
      <c r="H8324" t="str">
        <f t="shared" ref="H8324:I8329" si="827">"04852611005"</f>
        <v>04852611005</v>
      </c>
      <c r="I8324" t="str">
        <f t="shared" si="827"/>
        <v>04852611005</v>
      </c>
      <c r="K8324" t="str">
        <f>""</f>
        <v/>
      </c>
      <c r="M8324" t="s">
        <v>68</v>
      </c>
      <c r="N8324" t="str">
        <f t="shared" ref="N8324:N8329" si="828">"ALT"</f>
        <v>ALT</v>
      </c>
      <c r="O8324" t="s">
        <v>114</v>
      </c>
      <c r="P8324" s="3" t="s">
        <v>84</v>
      </c>
      <c r="Q8324">
        <v>2016</v>
      </c>
      <c r="R8324" s="2">
        <v>42389</v>
      </c>
      <c r="S8324" s="2">
        <v>42390</v>
      </c>
      <c r="T8324" s="2">
        <v>42390</v>
      </c>
      <c r="U8324" s="2">
        <v>42450</v>
      </c>
      <c r="V8324" t="s">
        <v>71</v>
      </c>
      <c r="W8324" t="str">
        <f>"                0120"</f>
        <v xml:space="preserve">                0120</v>
      </c>
      <c r="X8324">
        <v>0</v>
      </c>
      <c r="Y8324">
        <v>337</v>
      </c>
      <c r="Z8324"/>
      <c r="AB8324"/>
      <c r="AC8324">
        <v>337</v>
      </c>
      <c r="AD8324">
        <v>-60</v>
      </c>
      <c r="AE8324" s="1">
        <v>-20220</v>
      </c>
      <c r="AF8324">
        <v>0</v>
      </c>
      <c r="AJ8324">
        <v>0</v>
      </c>
      <c r="AK8324">
        <v>0</v>
      </c>
      <c r="AL8324">
        <v>0</v>
      </c>
      <c r="AM8324">
        <v>337</v>
      </c>
      <c r="AN8324">
        <v>337</v>
      </c>
      <c r="AO8324">
        <v>337</v>
      </c>
      <c r="AP8324" s="2">
        <v>42746</v>
      </c>
      <c r="AQ8324" t="s">
        <v>72</v>
      </c>
      <c r="AR8324" t="s">
        <v>72</v>
      </c>
      <c r="AS8324">
        <v>79</v>
      </c>
      <c r="AT8324" s="4">
        <v>42390</v>
      </c>
      <c r="AV8324">
        <v>79</v>
      </c>
      <c r="AW8324" s="4">
        <v>42390</v>
      </c>
      <c r="BD8324">
        <v>0</v>
      </c>
      <c r="BN8324" t="s">
        <v>74</v>
      </c>
    </row>
    <row r="8325" spans="1:66" hidden="1">
      <c r="A8325">
        <v>106215</v>
      </c>
      <c r="B8325" s="3" t="s">
        <v>705</v>
      </c>
      <c r="C8325" s="1">
        <v>43500101</v>
      </c>
      <c r="D8325" t="s">
        <v>113</v>
      </c>
      <c r="H8325" t="str">
        <f t="shared" si="827"/>
        <v>04852611005</v>
      </c>
      <c r="I8325" t="str">
        <f t="shared" si="827"/>
        <v>04852611005</v>
      </c>
      <c r="K8325" t="str">
        <f>""</f>
        <v/>
      </c>
      <c r="M8325" t="s">
        <v>68</v>
      </c>
      <c r="N8325" t="str">
        <f t="shared" si="828"/>
        <v>ALT</v>
      </c>
      <c r="O8325" t="s">
        <v>114</v>
      </c>
      <c r="P8325" s="3" t="s">
        <v>85</v>
      </c>
      <c r="Q8325">
        <v>2016</v>
      </c>
      <c r="R8325" s="2">
        <v>42422</v>
      </c>
      <c r="S8325" s="2">
        <v>42422</v>
      </c>
      <c r="T8325" s="2">
        <v>42422</v>
      </c>
      <c r="U8325" s="2">
        <v>42482</v>
      </c>
      <c r="V8325" t="s">
        <v>71</v>
      </c>
      <c r="W8325" t="str">
        <f>"                0222"</f>
        <v xml:space="preserve">                0222</v>
      </c>
      <c r="X8325">
        <v>0</v>
      </c>
      <c r="Y8325">
        <v>337</v>
      </c>
      <c r="Z8325"/>
      <c r="AB8325"/>
      <c r="AC8325">
        <v>337</v>
      </c>
      <c r="AD8325">
        <v>-58</v>
      </c>
      <c r="AE8325" s="1">
        <v>-19546</v>
      </c>
      <c r="AF8325">
        <v>0</v>
      </c>
      <c r="AJ8325">
        <v>0</v>
      </c>
      <c r="AK8325">
        <v>0</v>
      </c>
      <c r="AL8325">
        <v>0</v>
      </c>
      <c r="AM8325">
        <v>337</v>
      </c>
      <c r="AN8325">
        <v>337</v>
      </c>
      <c r="AO8325">
        <v>337</v>
      </c>
      <c r="AP8325" s="2">
        <v>42746</v>
      </c>
      <c r="AQ8325" t="s">
        <v>72</v>
      </c>
      <c r="AR8325" t="s">
        <v>72</v>
      </c>
      <c r="AS8325">
        <v>523</v>
      </c>
      <c r="AT8325" s="4">
        <v>42424</v>
      </c>
      <c r="AV8325">
        <v>523</v>
      </c>
      <c r="AW8325" s="4">
        <v>42424</v>
      </c>
      <c r="BD8325">
        <v>0</v>
      </c>
      <c r="BN8325" t="s">
        <v>74</v>
      </c>
    </row>
    <row r="8326" spans="1:66" hidden="1">
      <c r="A8326">
        <v>106215</v>
      </c>
      <c r="B8326" s="3" t="s">
        <v>705</v>
      </c>
      <c r="C8326" s="1">
        <v>43500101</v>
      </c>
      <c r="D8326" t="s">
        <v>113</v>
      </c>
      <c r="H8326" t="str">
        <f t="shared" si="827"/>
        <v>04852611005</v>
      </c>
      <c r="I8326" t="str">
        <f t="shared" si="827"/>
        <v>04852611005</v>
      </c>
      <c r="K8326" t="str">
        <f>""</f>
        <v/>
      </c>
      <c r="M8326" t="s">
        <v>68</v>
      </c>
      <c r="N8326" t="str">
        <f t="shared" si="828"/>
        <v>ALT</v>
      </c>
      <c r="O8326" t="s">
        <v>114</v>
      </c>
      <c r="P8326" s="3" t="s">
        <v>86</v>
      </c>
      <c r="Q8326">
        <v>2016</v>
      </c>
      <c r="R8326" s="2">
        <v>42450</v>
      </c>
      <c r="S8326" s="2">
        <v>42450</v>
      </c>
      <c r="T8326" s="2">
        <v>42450</v>
      </c>
      <c r="U8326" s="2">
        <v>42510</v>
      </c>
      <c r="V8326" t="s">
        <v>71</v>
      </c>
      <c r="W8326" t="str">
        <f>"                0321"</f>
        <v xml:space="preserve">                0321</v>
      </c>
      <c r="X8326">
        <v>0</v>
      </c>
      <c r="Y8326">
        <v>337</v>
      </c>
      <c r="Z8326"/>
      <c r="AB8326"/>
      <c r="AC8326">
        <v>337</v>
      </c>
      <c r="AD8326">
        <v>-57</v>
      </c>
      <c r="AE8326" s="1">
        <v>-19209</v>
      </c>
      <c r="AF8326">
        <v>0</v>
      </c>
      <c r="AJ8326">
        <v>0</v>
      </c>
      <c r="AK8326">
        <v>0</v>
      </c>
      <c r="AL8326">
        <v>0</v>
      </c>
      <c r="AM8326">
        <v>337</v>
      </c>
      <c r="AN8326">
        <v>337</v>
      </c>
      <c r="AO8326">
        <v>337</v>
      </c>
      <c r="AP8326" s="2">
        <v>42746</v>
      </c>
      <c r="AQ8326" t="s">
        <v>72</v>
      </c>
      <c r="AR8326" t="s">
        <v>72</v>
      </c>
      <c r="AS8326">
        <v>945</v>
      </c>
      <c r="AT8326" s="4">
        <v>42453</v>
      </c>
      <c r="AV8326">
        <v>945</v>
      </c>
      <c r="AW8326" s="4">
        <v>42453</v>
      </c>
      <c r="BD8326">
        <v>0</v>
      </c>
      <c r="BN8326" t="s">
        <v>74</v>
      </c>
    </row>
    <row r="8327" spans="1:66" hidden="1">
      <c r="A8327">
        <v>106215</v>
      </c>
      <c r="B8327" s="3" t="s">
        <v>705</v>
      </c>
      <c r="C8327" s="1">
        <v>43500101</v>
      </c>
      <c r="D8327" t="s">
        <v>113</v>
      </c>
      <c r="H8327" t="str">
        <f t="shared" si="827"/>
        <v>04852611005</v>
      </c>
      <c r="I8327" t="str">
        <f t="shared" si="827"/>
        <v>04852611005</v>
      </c>
      <c r="K8327" t="str">
        <f>""</f>
        <v/>
      </c>
      <c r="M8327" t="s">
        <v>68</v>
      </c>
      <c r="N8327" t="str">
        <f t="shared" si="828"/>
        <v>ALT</v>
      </c>
      <c r="O8327" t="s">
        <v>114</v>
      </c>
      <c r="P8327" s="3" t="s">
        <v>87</v>
      </c>
      <c r="Q8327">
        <v>2016</v>
      </c>
      <c r="R8327" s="2">
        <v>42481</v>
      </c>
      <c r="S8327" s="2">
        <v>42481</v>
      </c>
      <c r="T8327" s="2">
        <v>42481</v>
      </c>
      <c r="U8327" s="2">
        <v>42541</v>
      </c>
      <c r="V8327" t="s">
        <v>71</v>
      </c>
      <c r="W8327" t="str">
        <f>"                0421"</f>
        <v xml:space="preserve">                0421</v>
      </c>
      <c r="X8327">
        <v>0</v>
      </c>
      <c r="Y8327">
        <v>337</v>
      </c>
      <c r="Z8327"/>
      <c r="AB8327"/>
      <c r="AC8327">
        <v>337</v>
      </c>
      <c r="AD8327">
        <v>-60</v>
      </c>
      <c r="AE8327" s="1">
        <v>-20220</v>
      </c>
      <c r="AF8327">
        <v>0</v>
      </c>
      <c r="AJ8327">
        <v>0</v>
      </c>
      <c r="AK8327">
        <v>0</v>
      </c>
      <c r="AL8327">
        <v>0</v>
      </c>
      <c r="AM8327">
        <v>337</v>
      </c>
      <c r="AN8327">
        <v>337</v>
      </c>
      <c r="AO8327">
        <v>337</v>
      </c>
      <c r="AP8327" s="2">
        <v>42746</v>
      </c>
      <c r="AQ8327" t="s">
        <v>72</v>
      </c>
      <c r="AR8327" t="s">
        <v>72</v>
      </c>
      <c r="AS8327">
        <v>1110</v>
      </c>
      <c r="AT8327" s="4">
        <v>42481</v>
      </c>
      <c r="AV8327">
        <v>1110</v>
      </c>
      <c r="AW8327" s="4">
        <v>42481</v>
      </c>
      <c r="BD8327">
        <v>0</v>
      </c>
      <c r="BN8327" t="s">
        <v>74</v>
      </c>
    </row>
    <row r="8328" spans="1:66" hidden="1">
      <c r="A8328">
        <v>106215</v>
      </c>
      <c r="B8328" s="3" t="s">
        <v>705</v>
      </c>
      <c r="C8328" s="1">
        <v>43500101</v>
      </c>
      <c r="D8328" t="s">
        <v>113</v>
      </c>
      <c r="H8328" t="str">
        <f t="shared" si="827"/>
        <v>04852611005</v>
      </c>
      <c r="I8328" t="str">
        <f t="shared" si="827"/>
        <v>04852611005</v>
      </c>
      <c r="K8328" t="str">
        <f>""</f>
        <v/>
      </c>
      <c r="M8328" t="s">
        <v>68</v>
      </c>
      <c r="N8328" t="str">
        <f t="shared" si="828"/>
        <v>ALT</v>
      </c>
      <c r="O8328" t="s">
        <v>114</v>
      </c>
      <c r="P8328" s="3" t="s">
        <v>88</v>
      </c>
      <c r="Q8328">
        <v>2016</v>
      </c>
      <c r="R8328" s="2">
        <v>42508</v>
      </c>
      <c r="S8328" s="2">
        <v>42510</v>
      </c>
      <c r="T8328" s="2">
        <v>42510</v>
      </c>
      <c r="U8328" s="2">
        <v>42570</v>
      </c>
      <c r="V8328" t="s">
        <v>71</v>
      </c>
      <c r="W8328" t="str">
        <f>"                0518"</f>
        <v xml:space="preserve">                0518</v>
      </c>
      <c r="X8328">
        <v>0</v>
      </c>
      <c r="Y8328">
        <v>337</v>
      </c>
      <c r="Z8328"/>
      <c r="AB8328"/>
      <c r="AC8328">
        <v>337</v>
      </c>
      <c r="AD8328">
        <v>-57</v>
      </c>
      <c r="AE8328" s="1">
        <v>-19209</v>
      </c>
      <c r="AF8328">
        <v>0</v>
      </c>
      <c r="AJ8328">
        <v>0</v>
      </c>
      <c r="AK8328">
        <v>0</v>
      </c>
      <c r="AL8328">
        <v>0</v>
      </c>
      <c r="AM8328">
        <v>337</v>
      </c>
      <c r="AN8328">
        <v>337</v>
      </c>
      <c r="AO8328">
        <v>337</v>
      </c>
      <c r="AP8328" s="2">
        <v>42746</v>
      </c>
      <c r="AQ8328" t="s">
        <v>72</v>
      </c>
      <c r="AR8328" t="s">
        <v>72</v>
      </c>
      <c r="AS8328">
        <v>1348</v>
      </c>
      <c r="AT8328" s="4">
        <v>42513</v>
      </c>
      <c r="AV8328">
        <v>1348</v>
      </c>
      <c r="AW8328" s="4">
        <v>42513</v>
      </c>
      <c r="BD8328">
        <v>0</v>
      </c>
      <c r="BN8328" t="s">
        <v>74</v>
      </c>
    </row>
    <row r="8329" spans="1:66" hidden="1">
      <c r="A8329">
        <v>106215</v>
      </c>
      <c r="B8329" s="3" t="s">
        <v>705</v>
      </c>
      <c r="C8329" s="1">
        <v>43500101</v>
      </c>
      <c r="D8329" t="s">
        <v>113</v>
      </c>
      <c r="H8329" t="str">
        <f t="shared" si="827"/>
        <v>04852611005</v>
      </c>
      <c r="I8329" t="str">
        <f t="shared" si="827"/>
        <v>04852611005</v>
      </c>
      <c r="K8329" t="str">
        <f>""</f>
        <v/>
      </c>
      <c r="M8329" t="s">
        <v>68</v>
      </c>
      <c r="N8329" t="str">
        <f t="shared" si="828"/>
        <v>ALT</v>
      </c>
      <c r="O8329" t="s">
        <v>114</v>
      </c>
      <c r="P8329" s="3" t="s">
        <v>89</v>
      </c>
      <c r="Q8329">
        <v>2016</v>
      </c>
      <c r="R8329" s="2">
        <v>42548</v>
      </c>
      <c r="S8329" s="2">
        <v>42543</v>
      </c>
      <c r="T8329" s="2">
        <v>42543</v>
      </c>
      <c r="U8329" s="2">
        <v>42603</v>
      </c>
      <c r="V8329" t="s">
        <v>71</v>
      </c>
      <c r="W8329" t="str">
        <f>"                0627"</f>
        <v xml:space="preserve">                0627</v>
      </c>
      <c r="X8329">
        <v>0</v>
      </c>
      <c r="Y8329">
        <v>337</v>
      </c>
      <c r="Z8329"/>
      <c r="AB8329"/>
      <c r="AC8329">
        <v>337</v>
      </c>
      <c r="AD8329">
        <v>-47</v>
      </c>
      <c r="AE8329" s="1">
        <v>-15839</v>
      </c>
      <c r="AF8329">
        <v>0</v>
      </c>
      <c r="AJ8329">
        <v>0</v>
      </c>
      <c r="AK8329">
        <v>0</v>
      </c>
      <c r="AL8329">
        <v>0</v>
      </c>
      <c r="AM8329">
        <v>337</v>
      </c>
      <c r="AN8329">
        <v>337</v>
      </c>
      <c r="AO8329">
        <v>337</v>
      </c>
      <c r="AP8329" s="2">
        <v>42746</v>
      </c>
      <c r="AQ8329" t="s">
        <v>72</v>
      </c>
      <c r="AR8329" t="s">
        <v>72</v>
      </c>
      <c r="AS8329">
        <v>1731</v>
      </c>
      <c r="AT8329" s="4">
        <v>42556</v>
      </c>
      <c r="AV8329">
        <v>1731</v>
      </c>
      <c r="AW8329" s="4">
        <v>42556</v>
      </c>
      <c r="BD8329">
        <v>0</v>
      </c>
      <c r="BN8329" t="s">
        <v>74</v>
      </c>
    </row>
    <row r="8330" spans="1:66" hidden="1">
      <c r="A8330">
        <v>106223</v>
      </c>
      <c r="B8330" s="3" t="s">
        <v>706</v>
      </c>
      <c r="C8330" s="1">
        <v>43300101</v>
      </c>
      <c r="D8330" t="s">
        <v>67</v>
      </c>
      <c r="H8330" t="str">
        <f t="shared" ref="H8330:I8337" si="829">"02645920592"</f>
        <v>02645920592</v>
      </c>
      <c r="I8330" t="str">
        <f t="shared" si="829"/>
        <v>02645920592</v>
      </c>
      <c r="K8330" t="str">
        <f>""</f>
        <v/>
      </c>
      <c r="M8330" t="s">
        <v>68</v>
      </c>
      <c r="N8330" t="str">
        <f t="shared" ref="N8330:N8346" si="830">"FOR"</f>
        <v>FOR</v>
      </c>
      <c r="O8330" t="s">
        <v>69</v>
      </c>
      <c r="P8330" s="3" t="s">
        <v>75</v>
      </c>
      <c r="Q8330">
        <v>2015</v>
      </c>
      <c r="R8330" s="2">
        <v>42191</v>
      </c>
      <c r="S8330" s="2">
        <v>42198</v>
      </c>
      <c r="T8330" s="2">
        <v>42192</v>
      </c>
      <c r="U8330" s="2">
        <v>42252</v>
      </c>
      <c r="V8330" t="s">
        <v>71</v>
      </c>
      <c r="W8330" t="str">
        <f>"          2015035499"</f>
        <v xml:space="preserve">          2015035499</v>
      </c>
      <c r="X8330" s="1">
        <v>3532.65</v>
      </c>
      <c r="Y8330">
        <v>0</v>
      </c>
      <c r="Z8330"/>
      <c r="AB8330"/>
      <c r="AC8330" s="1">
        <v>3211.5</v>
      </c>
      <c r="AD8330">
        <v>317</v>
      </c>
      <c r="AE8330" s="1">
        <v>1018045.5</v>
      </c>
      <c r="AF8330">
        <v>0</v>
      </c>
      <c r="AJ8330">
        <v>0</v>
      </c>
      <c r="AK8330">
        <v>0</v>
      </c>
      <c r="AL8330">
        <v>0</v>
      </c>
      <c r="AM8330">
        <v>0</v>
      </c>
      <c r="AN8330">
        <v>0</v>
      </c>
      <c r="AO8330">
        <v>0</v>
      </c>
      <c r="AP8330" s="2">
        <v>42746</v>
      </c>
      <c r="AQ8330" t="s">
        <v>72</v>
      </c>
      <c r="AR8330" t="s">
        <v>72</v>
      </c>
      <c r="AS8330">
        <v>1859</v>
      </c>
      <c r="AT8330" s="4">
        <v>42569</v>
      </c>
      <c r="AU8330" t="s">
        <v>73</v>
      </c>
      <c r="AV8330">
        <v>1859</v>
      </c>
      <c r="AW8330" s="4">
        <v>42569</v>
      </c>
      <c r="BD8330">
        <v>0</v>
      </c>
      <c r="BN8330" t="s">
        <v>74</v>
      </c>
    </row>
    <row r="8331" spans="1:66" hidden="1">
      <c r="A8331">
        <v>106223</v>
      </c>
      <c r="B8331" s="3" t="s">
        <v>706</v>
      </c>
      <c r="C8331" s="1">
        <v>43300101</v>
      </c>
      <c r="D8331" t="s">
        <v>67</v>
      </c>
      <c r="H8331" t="str">
        <f t="shared" si="829"/>
        <v>02645920592</v>
      </c>
      <c r="I8331" t="str">
        <f t="shared" si="829"/>
        <v>02645920592</v>
      </c>
      <c r="K8331" t="str">
        <f>""</f>
        <v/>
      </c>
      <c r="M8331" t="s">
        <v>68</v>
      </c>
      <c r="N8331" t="str">
        <f t="shared" si="830"/>
        <v>FOR</v>
      </c>
      <c r="O8331" t="s">
        <v>69</v>
      </c>
      <c r="P8331" s="3" t="s">
        <v>75</v>
      </c>
      <c r="Q8331">
        <v>2015</v>
      </c>
      <c r="R8331" s="2">
        <v>42227</v>
      </c>
      <c r="S8331" s="2">
        <v>42229</v>
      </c>
      <c r="T8331" s="2">
        <v>42228</v>
      </c>
      <c r="U8331" s="2">
        <v>42288</v>
      </c>
      <c r="V8331" t="s">
        <v>71</v>
      </c>
      <c r="W8331" t="str">
        <f>"          2015040924"</f>
        <v xml:space="preserve">          2015040924</v>
      </c>
      <c r="X8331" s="1">
        <v>2999.7</v>
      </c>
      <c r="Y8331">
        <v>0</v>
      </c>
      <c r="Z8331"/>
      <c r="AB8331"/>
      <c r="AC8331" s="1">
        <v>2727</v>
      </c>
      <c r="AD8331">
        <v>291</v>
      </c>
      <c r="AE8331" s="1">
        <v>793557</v>
      </c>
      <c r="AF8331">
        <v>0</v>
      </c>
      <c r="AJ8331">
        <v>0</v>
      </c>
      <c r="AK8331">
        <v>0</v>
      </c>
      <c r="AL8331">
        <v>0</v>
      </c>
      <c r="AM8331">
        <v>0</v>
      </c>
      <c r="AN8331">
        <v>0</v>
      </c>
      <c r="AO8331">
        <v>0</v>
      </c>
      <c r="AP8331" s="2">
        <v>42746</v>
      </c>
      <c r="AQ8331" t="s">
        <v>72</v>
      </c>
      <c r="AR8331" t="s">
        <v>72</v>
      </c>
      <c r="AS8331">
        <v>2002</v>
      </c>
      <c r="AT8331" s="4">
        <v>42579</v>
      </c>
      <c r="AU8331" t="s">
        <v>73</v>
      </c>
      <c r="AV8331">
        <v>2002</v>
      </c>
      <c r="AW8331" s="4">
        <v>42579</v>
      </c>
      <c r="BD8331">
        <v>0</v>
      </c>
      <c r="BN8331" t="s">
        <v>74</v>
      </c>
    </row>
    <row r="8332" spans="1:66">
      <c r="A8332">
        <v>106223</v>
      </c>
      <c r="B8332" s="3" t="s">
        <v>706</v>
      </c>
      <c r="C8332" s="1">
        <v>43300101</v>
      </c>
      <c r="D8332" t="s">
        <v>67</v>
      </c>
      <c r="H8332" t="str">
        <f t="shared" si="829"/>
        <v>02645920592</v>
      </c>
      <c r="I8332" t="str">
        <f t="shared" si="829"/>
        <v>02645920592</v>
      </c>
      <c r="K8332" t="str">
        <f>""</f>
        <v/>
      </c>
      <c r="M8332" t="s">
        <v>68</v>
      </c>
      <c r="N8332" t="str">
        <f t="shared" si="830"/>
        <v>FOR</v>
      </c>
      <c r="O8332" t="s">
        <v>69</v>
      </c>
      <c r="P8332" s="3" t="s">
        <v>75</v>
      </c>
      <c r="Q8332">
        <v>2015</v>
      </c>
      <c r="R8332" s="2">
        <v>42321</v>
      </c>
      <c r="S8332" s="2">
        <v>42326</v>
      </c>
      <c r="T8332" s="2">
        <v>42324</v>
      </c>
      <c r="U8332" s="2">
        <v>42384</v>
      </c>
      <c r="V8332" t="s">
        <v>71</v>
      </c>
      <c r="W8332" t="str">
        <f>"          2015054475"</f>
        <v xml:space="preserve">          2015054475</v>
      </c>
      <c r="X8332" s="1">
        <v>2032.8</v>
      </c>
      <c r="Y8332">
        <v>0</v>
      </c>
      <c r="Z8332" s="5">
        <v>1848</v>
      </c>
      <c r="AA8332">
        <v>298</v>
      </c>
      <c r="AB8332" s="5">
        <v>550704</v>
      </c>
      <c r="AC8332" s="1">
        <v>1848</v>
      </c>
      <c r="AD8332">
        <v>298</v>
      </c>
      <c r="AE8332" s="1">
        <v>550704</v>
      </c>
      <c r="AF8332">
        <v>0</v>
      </c>
      <c r="AJ8332">
        <v>0</v>
      </c>
      <c r="AK8332">
        <v>0</v>
      </c>
      <c r="AL8332">
        <v>0</v>
      </c>
      <c r="AM8332">
        <v>0</v>
      </c>
      <c r="AN8332">
        <v>0</v>
      </c>
      <c r="AO8332">
        <v>0</v>
      </c>
      <c r="AP8332" s="2">
        <v>42746</v>
      </c>
      <c r="AQ8332" t="s">
        <v>72</v>
      </c>
      <c r="AR8332" t="s">
        <v>72</v>
      </c>
      <c r="AS8332">
        <v>2997</v>
      </c>
      <c r="AT8332" s="4">
        <v>42682</v>
      </c>
      <c r="AU8332" t="s">
        <v>73</v>
      </c>
      <c r="AV8332">
        <v>2997</v>
      </c>
      <c r="AW8332" s="4">
        <v>42682</v>
      </c>
      <c r="BD8332">
        <v>0</v>
      </c>
      <c r="BN8332" t="s">
        <v>74</v>
      </c>
    </row>
    <row r="8333" spans="1:66">
      <c r="A8333">
        <v>106223</v>
      </c>
      <c r="B8333" s="3" t="s">
        <v>706</v>
      </c>
      <c r="C8333" s="1">
        <v>43300101</v>
      </c>
      <c r="D8333" t="s">
        <v>67</v>
      </c>
      <c r="H8333" t="str">
        <f t="shared" si="829"/>
        <v>02645920592</v>
      </c>
      <c r="I8333" t="str">
        <f t="shared" si="829"/>
        <v>02645920592</v>
      </c>
      <c r="K8333" t="str">
        <f>""</f>
        <v/>
      </c>
      <c r="M8333" t="s">
        <v>68</v>
      </c>
      <c r="N8333" t="str">
        <f t="shared" si="830"/>
        <v>FOR</v>
      </c>
      <c r="O8333" t="s">
        <v>69</v>
      </c>
      <c r="P8333" s="3" t="s">
        <v>75</v>
      </c>
      <c r="Q8333">
        <v>2015</v>
      </c>
      <c r="R8333" s="2">
        <v>42340</v>
      </c>
      <c r="S8333" s="2">
        <v>42342</v>
      </c>
      <c r="T8333" s="2">
        <v>42341</v>
      </c>
      <c r="U8333" s="2">
        <v>42401</v>
      </c>
      <c r="V8333" t="s">
        <v>71</v>
      </c>
      <c r="W8333" t="str">
        <f>"          2015057475"</f>
        <v xml:space="preserve">          2015057475</v>
      </c>
      <c r="X8333">
        <v>966.9</v>
      </c>
      <c r="Y8333">
        <v>0</v>
      </c>
      <c r="Z8333" s="3">
        <v>879</v>
      </c>
      <c r="AA8333">
        <v>289</v>
      </c>
      <c r="AB8333" s="5">
        <v>254031</v>
      </c>
      <c r="AC8333">
        <v>879</v>
      </c>
      <c r="AD8333">
        <v>289</v>
      </c>
      <c r="AE8333" s="1">
        <v>254031</v>
      </c>
      <c r="AF8333">
        <v>0</v>
      </c>
      <c r="AJ8333">
        <v>0</v>
      </c>
      <c r="AK8333">
        <v>0</v>
      </c>
      <c r="AL8333">
        <v>0</v>
      </c>
      <c r="AM8333">
        <v>0</v>
      </c>
      <c r="AN8333">
        <v>0</v>
      </c>
      <c r="AO8333">
        <v>0</v>
      </c>
      <c r="AP8333" s="2">
        <v>42746</v>
      </c>
      <c r="AQ8333" t="s">
        <v>72</v>
      </c>
      <c r="AR8333" t="s">
        <v>72</v>
      </c>
      <c r="AS8333">
        <v>3147</v>
      </c>
      <c r="AT8333" s="4">
        <v>42690</v>
      </c>
      <c r="AU8333" t="s">
        <v>73</v>
      </c>
      <c r="AV8333">
        <v>3147</v>
      </c>
      <c r="AW8333" s="4">
        <v>42690</v>
      </c>
      <c r="BD8333">
        <v>0</v>
      </c>
      <c r="BN8333" t="s">
        <v>74</v>
      </c>
    </row>
    <row r="8334" spans="1:66">
      <c r="A8334">
        <v>106223</v>
      </c>
      <c r="B8334" s="3" t="s">
        <v>706</v>
      </c>
      <c r="C8334" s="1">
        <v>43300101</v>
      </c>
      <c r="D8334" t="s">
        <v>67</v>
      </c>
      <c r="H8334" t="str">
        <f t="shared" si="829"/>
        <v>02645920592</v>
      </c>
      <c r="I8334" t="str">
        <f t="shared" si="829"/>
        <v>02645920592</v>
      </c>
      <c r="K8334" t="str">
        <f>""</f>
        <v/>
      </c>
      <c r="M8334" t="s">
        <v>68</v>
      </c>
      <c r="N8334" t="str">
        <f t="shared" si="830"/>
        <v>FOR</v>
      </c>
      <c r="O8334" t="s">
        <v>69</v>
      </c>
      <c r="P8334" s="3" t="s">
        <v>75</v>
      </c>
      <c r="Q8334">
        <v>2015</v>
      </c>
      <c r="R8334" s="2">
        <v>42349</v>
      </c>
      <c r="S8334" s="2">
        <v>42354</v>
      </c>
      <c r="T8334" s="2">
        <v>42352</v>
      </c>
      <c r="U8334" s="2">
        <v>42412</v>
      </c>
      <c r="V8334" t="s">
        <v>71</v>
      </c>
      <c r="W8334" t="str">
        <f>"          2015058820"</f>
        <v xml:space="preserve">          2015058820</v>
      </c>
      <c r="X8334" s="1">
        <v>2032.8</v>
      </c>
      <c r="Y8334">
        <v>0</v>
      </c>
      <c r="Z8334" s="5">
        <v>1848</v>
      </c>
      <c r="AA8334">
        <v>278</v>
      </c>
      <c r="AB8334" s="5">
        <v>513744</v>
      </c>
      <c r="AC8334" s="1">
        <v>1848</v>
      </c>
      <c r="AD8334">
        <v>278</v>
      </c>
      <c r="AE8334" s="1">
        <v>513744</v>
      </c>
      <c r="AF8334">
        <v>0</v>
      </c>
      <c r="AJ8334">
        <v>0</v>
      </c>
      <c r="AK8334">
        <v>0</v>
      </c>
      <c r="AL8334">
        <v>0</v>
      </c>
      <c r="AM8334">
        <v>0</v>
      </c>
      <c r="AN8334">
        <v>0</v>
      </c>
      <c r="AO8334">
        <v>0</v>
      </c>
      <c r="AP8334" s="2">
        <v>42746</v>
      </c>
      <c r="AQ8334" t="s">
        <v>72</v>
      </c>
      <c r="AR8334" t="s">
        <v>72</v>
      </c>
      <c r="AS8334">
        <v>3147</v>
      </c>
      <c r="AT8334" s="4">
        <v>42690</v>
      </c>
      <c r="AU8334" t="s">
        <v>73</v>
      </c>
      <c r="AV8334">
        <v>3147</v>
      </c>
      <c r="AW8334" s="4">
        <v>42690</v>
      </c>
      <c r="BD8334">
        <v>0</v>
      </c>
      <c r="BN8334" t="s">
        <v>74</v>
      </c>
    </row>
    <row r="8335" spans="1:66">
      <c r="A8335">
        <v>106223</v>
      </c>
      <c r="B8335" s="3" t="s">
        <v>706</v>
      </c>
      <c r="C8335" s="1">
        <v>43300101</v>
      </c>
      <c r="D8335" t="s">
        <v>67</v>
      </c>
      <c r="H8335" t="str">
        <f t="shared" si="829"/>
        <v>02645920592</v>
      </c>
      <c r="I8335" t="str">
        <f t="shared" si="829"/>
        <v>02645920592</v>
      </c>
      <c r="K8335" t="str">
        <f>""</f>
        <v/>
      </c>
      <c r="M8335" t="s">
        <v>68</v>
      </c>
      <c r="N8335" t="str">
        <f t="shared" si="830"/>
        <v>FOR</v>
      </c>
      <c r="O8335" t="s">
        <v>69</v>
      </c>
      <c r="P8335" s="3" t="s">
        <v>75</v>
      </c>
      <c r="Q8335">
        <v>2016</v>
      </c>
      <c r="R8335" s="2">
        <v>42418</v>
      </c>
      <c r="S8335" s="2">
        <v>42422</v>
      </c>
      <c r="T8335" s="2">
        <v>42419</v>
      </c>
      <c r="U8335" s="2">
        <v>42479</v>
      </c>
      <c r="V8335" t="s">
        <v>71</v>
      </c>
      <c r="W8335" t="str">
        <f>"          2016006597"</f>
        <v xml:space="preserve">          2016006597</v>
      </c>
      <c r="X8335" s="1">
        <v>9535.57</v>
      </c>
      <c r="Y8335">
        <v>0</v>
      </c>
      <c r="Z8335" s="5">
        <v>8668.7000000000007</v>
      </c>
      <c r="AA8335">
        <v>240</v>
      </c>
      <c r="AB8335" s="5">
        <v>2080488</v>
      </c>
      <c r="AC8335" s="1">
        <v>8668.7000000000007</v>
      </c>
      <c r="AD8335">
        <v>240</v>
      </c>
      <c r="AE8335" s="1">
        <v>2080488</v>
      </c>
      <c r="AF8335">
        <v>866.87</v>
      </c>
      <c r="AJ8335">
        <v>0</v>
      </c>
      <c r="AK8335">
        <v>0</v>
      </c>
      <c r="AL8335">
        <v>0</v>
      </c>
      <c r="AM8335" s="1">
        <v>9535.57</v>
      </c>
      <c r="AN8335" s="1">
        <v>9535.57</v>
      </c>
      <c r="AO8335" s="1">
        <v>9535.57</v>
      </c>
      <c r="AP8335" s="2">
        <v>42746</v>
      </c>
      <c r="AQ8335" t="s">
        <v>72</v>
      </c>
      <c r="AR8335" t="s">
        <v>72</v>
      </c>
      <c r="AS8335">
        <v>3537</v>
      </c>
      <c r="AT8335" s="4">
        <v>42719</v>
      </c>
      <c r="AU8335" t="s">
        <v>73</v>
      </c>
      <c r="AV8335">
        <v>3537</v>
      </c>
      <c r="AW8335" s="4">
        <v>42719</v>
      </c>
      <c r="BD8335">
        <v>866.87</v>
      </c>
      <c r="BN8335" t="s">
        <v>74</v>
      </c>
    </row>
    <row r="8336" spans="1:66">
      <c r="A8336">
        <v>106223</v>
      </c>
      <c r="B8336" s="3" t="s">
        <v>706</v>
      </c>
      <c r="C8336" s="1">
        <v>43300101</v>
      </c>
      <c r="D8336" t="s">
        <v>67</v>
      </c>
      <c r="H8336" t="str">
        <f t="shared" si="829"/>
        <v>02645920592</v>
      </c>
      <c r="I8336" t="str">
        <f t="shared" si="829"/>
        <v>02645920592</v>
      </c>
      <c r="K8336" t="str">
        <f>""</f>
        <v/>
      </c>
      <c r="M8336" t="s">
        <v>68</v>
      </c>
      <c r="N8336" t="str">
        <f t="shared" si="830"/>
        <v>FOR</v>
      </c>
      <c r="O8336" t="s">
        <v>69</v>
      </c>
      <c r="P8336" s="3" t="s">
        <v>75</v>
      </c>
      <c r="Q8336">
        <v>2016</v>
      </c>
      <c r="R8336" s="2">
        <v>42426</v>
      </c>
      <c r="S8336" s="2">
        <v>42436</v>
      </c>
      <c r="T8336" s="2">
        <v>42429</v>
      </c>
      <c r="U8336" s="2">
        <v>42489</v>
      </c>
      <c r="V8336" t="s">
        <v>71</v>
      </c>
      <c r="W8336" t="str">
        <f>"          2016007631"</f>
        <v xml:space="preserve">          2016007631</v>
      </c>
      <c r="X8336" s="1">
        <v>9535.57</v>
      </c>
      <c r="Y8336">
        <v>0</v>
      </c>
      <c r="Z8336" s="5">
        <v>8668.7000000000007</v>
      </c>
      <c r="AA8336">
        <v>230</v>
      </c>
      <c r="AB8336" s="5">
        <v>1993801</v>
      </c>
      <c r="AC8336" s="1">
        <v>8668.7000000000007</v>
      </c>
      <c r="AD8336">
        <v>230</v>
      </c>
      <c r="AE8336" s="1">
        <v>1993801</v>
      </c>
      <c r="AF8336">
        <v>866.87</v>
      </c>
      <c r="AJ8336">
        <v>0</v>
      </c>
      <c r="AK8336">
        <v>0</v>
      </c>
      <c r="AL8336">
        <v>0</v>
      </c>
      <c r="AM8336" s="1">
        <v>9535.57</v>
      </c>
      <c r="AN8336" s="1">
        <v>9535.57</v>
      </c>
      <c r="AO8336" s="1">
        <v>9535.57</v>
      </c>
      <c r="AP8336" s="2">
        <v>42746</v>
      </c>
      <c r="AQ8336" t="s">
        <v>72</v>
      </c>
      <c r="AR8336" t="s">
        <v>72</v>
      </c>
      <c r="AS8336">
        <v>3537</v>
      </c>
      <c r="AT8336" s="4">
        <v>42719</v>
      </c>
      <c r="AU8336" t="s">
        <v>73</v>
      </c>
      <c r="AV8336">
        <v>3537</v>
      </c>
      <c r="AW8336" s="4">
        <v>42719</v>
      </c>
      <c r="BD8336">
        <v>866.87</v>
      </c>
      <c r="BN8336" t="s">
        <v>74</v>
      </c>
    </row>
    <row r="8337" spans="1:66">
      <c r="A8337">
        <v>106223</v>
      </c>
      <c r="B8337" s="3" t="s">
        <v>706</v>
      </c>
      <c r="C8337" s="1">
        <v>43300101</v>
      </c>
      <c r="D8337" t="s">
        <v>67</v>
      </c>
      <c r="H8337" t="str">
        <f t="shared" si="829"/>
        <v>02645920592</v>
      </c>
      <c r="I8337" t="str">
        <f t="shared" si="829"/>
        <v>02645920592</v>
      </c>
      <c r="K8337" t="str">
        <f>""</f>
        <v/>
      </c>
      <c r="M8337" t="s">
        <v>68</v>
      </c>
      <c r="N8337" t="str">
        <f t="shared" si="830"/>
        <v>FOR</v>
      </c>
      <c r="O8337" t="s">
        <v>69</v>
      </c>
      <c r="P8337" s="3" t="s">
        <v>75</v>
      </c>
      <c r="Q8337">
        <v>2016</v>
      </c>
      <c r="R8337" s="2">
        <v>42429</v>
      </c>
      <c r="S8337" s="2">
        <v>42436</v>
      </c>
      <c r="T8337" s="2">
        <v>42430</v>
      </c>
      <c r="U8337" s="2">
        <v>42490</v>
      </c>
      <c r="V8337" t="s">
        <v>71</v>
      </c>
      <c r="W8337" t="str">
        <f>"          2016007844"</f>
        <v xml:space="preserve">          2016007844</v>
      </c>
      <c r="X8337">
        <v>966.9</v>
      </c>
      <c r="Y8337">
        <v>0</v>
      </c>
      <c r="Z8337" s="3">
        <v>879</v>
      </c>
      <c r="AA8337">
        <v>229</v>
      </c>
      <c r="AB8337" s="5">
        <v>201291</v>
      </c>
      <c r="AC8337">
        <v>879</v>
      </c>
      <c r="AD8337">
        <v>229</v>
      </c>
      <c r="AE8337" s="1">
        <v>201291</v>
      </c>
      <c r="AF8337">
        <v>87.9</v>
      </c>
      <c r="AJ8337">
        <v>0</v>
      </c>
      <c r="AK8337">
        <v>0</v>
      </c>
      <c r="AL8337">
        <v>0</v>
      </c>
      <c r="AM8337">
        <v>966.9</v>
      </c>
      <c r="AN8337">
        <v>966.9</v>
      </c>
      <c r="AO8337">
        <v>966.9</v>
      </c>
      <c r="AP8337" s="2">
        <v>42746</v>
      </c>
      <c r="AQ8337" t="s">
        <v>72</v>
      </c>
      <c r="AR8337" t="s">
        <v>72</v>
      </c>
      <c r="AS8337">
        <v>3537</v>
      </c>
      <c r="AT8337" s="4">
        <v>42719</v>
      </c>
      <c r="AU8337" t="s">
        <v>73</v>
      </c>
      <c r="AV8337">
        <v>3537</v>
      </c>
      <c r="AW8337" s="4">
        <v>42719</v>
      </c>
      <c r="BD8337">
        <v>87.9</v>
      </c>
      <c r="BN8337" t="s">
        <v>74</v>
      </c>
    </row>
    <row r="8338" spans="1:66" hidden="1">
      <c r="A8338">
        <v>106229</v>
      </c>
      <c r="B8338" s="3" t="s">
        <v>707</v>
      </c>
      <c r="C8338" s="1">
        <v>43300101</v>
      </c>
      <c r="D8338" t="s">
        <v>67</v>
      </c>
      <c r="H8338" t="str">
        <f t="shared" ref="H8338:I8346" si="831">"02344710484"</f>
        <v>02344710484</v>
      </c>
      <c r="I8338" t="str">
        <f t="shared" si="831"/>
        <v>02344710484</v>
      </c>
      <c r="K8338" t="str">
        <f>""</f>
        <v/>
      </c>
      <c r="M8338" t="s">
        <v>68</v>
      </c>
      <c r="N8338" t="str">
        <f t="shared" si="830"/>
        <v>FOR</v>
      </c>
      <c r="O8338" t="s">
        <v>69</v>
      </c>
      <c r="P8338" s="3" t="s">
        <v>78</v>
      </c>
      <c r="Q8338">
        <v>2014</v>
      </c>
      <c r="R8338" s="2">
        <v>41843</v>
      </c>
      <c r="S8338" s="2">
        <v>41852</v>
      </c>
      <c r="T8338" s="2">
        <v>41852</v>
      </c>
      <c r="U8338" s="2">
        <v>41942</v>
      </c>
      <c r="V8338" t="s">
        <v>71</v>
      </c>
      <c r="W8338" t="str">
        <f>"              660040"</f>
        <v xml:space="preserve">              660040</v>
      </c>
      <c r="X8338" s="1">
        <v>2028.4</v>
      </c>
      <c r="Y8338">
        <v>0</v>
      </c>
      <c r="Z8338"/>
      <c r="AB8338"/>
      <c r="AC8338" s="1">
        <v>2028.4</v>
      </c>
      <c r="AD8338">
        <v>588</v>
      </c>
      <c r="AE8338" s="1">
        <v>1192699.2</v>
      </c>
      <c r="AF8338">
        <v>0</v>
      </c>
      <c r="AJ8338">
        <v>0</v>
      </c>
      <c r="AK8338">
        <v>0</v>
      </c>
      <c r="AL8338">
        <v>0</v>
      </c>
      <c r="AM8338">
        <v>0</v>
      </c>
      <c r="AN8338">
        <v>0</v>
      </c>
      <c r="AO8338">
        <v>0</v>
      </c>
      <c r="AP8338" s="2">
        <v>42746</v>
      </c>
      <c r="AQ8338" t="s">
        <v>72</v>
      </c>
      <c r="AR8338" t="s">
        <v>72</v>
      </c>
      <c r="AS8338">
        <v>1599</v>
      </c>
      <c r="AT8338" s="4">
        <v>42530</v>
      </c>
      <c r="AU8338" t="s">
        <v>73</v>
      </c>
      <c r="AV8338">
        <v>1599</v>
      </c>
      <c r="AW8338" s="4">
        <v>42530</v>
      </c>
      <c r="BD8338">
        <v>0</v>
      </c>
      <c r="BN8338" t="s">
        <v>74</v>
      </c>
    </row>
    <row r="8339" spans="1:66" hidden="1">
      <c r="A8339">
        <v>106229</v>
      </c>
      <c r="B8339" s="3" t="s">
        <v>707</v>
      </c>
      <c r="C8339" s="1">
        <v>43300101</v>
      </c>
      <c r="D8339" t="s">
        <v>67</v>
      </c>
      <c r="H8339" t="str">
        <f t="shared" si="831"/>
        <v>02344710484</v>
      </c>
      <c r="I8339" t="str">
        <f t="shared" si="831"/>
        <v>02344710484</v>
      </c>
      <c r="K8339" t="str">
        <f>""</f>
        <v/>
      </c>
      <c r="M8339" t="s">
        <v>68</v>
      </c>
      <c r="N8339" t="str">
        <f t="shared" si="830"/>
        <v>FOR</v>
      </c>
      <c r="O8339" t="s">
        <v>69</v>
      </c>
      <c r="P8339" s="3" t="s">
        <v>78</v>
      </c>
      <c r="Q8339">
        <v>2014</v>
      </c>
      <c r="R8339" s="2">
        <v>41870</v>
      </c>
      <c r="S8339" s="2">
        <v>41878</v>
      </c>
      <c r="T8339" s="2">
        <v>41878</v>
      </c>
      <c r="U8339" s="2">
        <v>41968</v>
      </c>
      <c r="V8339" t="s">
        <v>71</v>
      </c>
      <c r="W8339" t="str">
        <f>"              662905"</f>
        <v xml:space="preserve">              662905</v>
      </c>
      <c r="X8339" s="1">
        <v>1014.2</v>
      </c>
      <c r="Y8339">
        <v>0</v>
      </c>
      <c r="Z8339"/>
      <c r="AB8339"/>
      <c r="AC8339" s="1">
        <v>1014.2</v>
      </c>
      <c r="AD8339">
        <v>562</v>
      </c>
      <c r="AE8339" s="1">
        <v>569980.4</v>
      </c>
      <c r="AF8339">
        <v>0</v>
      </c>
      <c r="AJ8339">
        <v>0</v>
      </c>
      <c r="AK8339">
        <v>0</v>
      </c>
      <c r="AL8339">
        <v>0</v>
      </c>
      <c r="AM8339">
        <v>0</v>
      </c>
      <c r="AN8339">
        <v>0</v>
      </c>
      <c r="AO8339">
        <v>0</v>
      </c>
      <c r="AP8339" s="2">
        <v>42746</v>
      </c>
      <c r="AQ8339" t="s">
        <v>72</v>
      </c>
      <c r="AR8339" t="s">
        <v>72</v>
      </c>
      <c r="AS8339">
        <v>1599</v>
      </c>
      <c r="AT8339" s="4">
        <v>42530</v>
      </c>
      <c r="AU8339" t="s">
        <v>73</v>
      </c>
      <c r="AV8339">
        <v>1599</v>
      </c>
      <c r="AW8339" s="4">
        <v>42530</v>
      </c>
      <c r="BD8339">
        <v>0</v>
      </c>
      <c r="BN8339" t="s">
        <v>74</v>
      </c>
    </row>
    <row r="8340" spans="1:66" hidden="1">
      <c r="A8340">
        <v>106229</v>
      </c>
      <c r="B8340" s="3" t="s">
        <v>707</v>
      </c>
      <c r="C8340" s="1">
        <v>43300101</v>
      </c>
      <c r="D8340" t="s">
        <v>67</v>
      </c>
      <c r="H8340" t="str">
        <f t="shared" si="831"/>
        <v>02344710484</v>
      </c>
      <c r="I8340" t="str">
        <f t="shared" si="831"/>
        <v>02344710484</v>
      </c>
      <c r="K8340" t="str">
        <f>""</f>
        <v/>
      </c>
      <c r="M8340" t="s">
        <v>68</v>
      </c>
      <c r="N8340" t="str">
        <f t="shared" si="830"/>
        <v>FOR</v>
      </c>
      <c r="O8340" t="s">
        <v>69</v>
      </c>
      <c r="P8340" s="3" t="s">
        <v>78</v>
      </c>
      <c r="Q8340">
        <v>2014</v>
      </c>
      <c r="R8340" s="2">
        <v>41887</v>
      </c>
      <c r="S8340" s="2">
        <v>41892</v>
      </c>
      <c r="T8340" s="2">
        <v>41892</v>
      </c>
      <c r="U8340" s="2">
        <v>41982</v>
      </c>
      <c r="V8340" t="s">
        <v>71</v>
      </c>
      <c r="W8340" t="str">
        <f>"              665467"</f>
        <v xml:space="preserve">              665467</v>
      </c>
      <c r="X8340" s="1">
        <v>1014.2</v>
      </c>
      <c r="Y8340">
        <v>0</v>
      </c>
      <c r="Z8340"/>
      <c r="AB8340"/>
      <c r="AC8340" s="1">
        <v>1014.2</v>
      </c>
      <c r="AD8340">
        <v>548</v>
      </c>
      <c r="AE8340" s="1">
        <v>555781.6</v>
      </c>
      <c r="AF8340">
        <v>0</v>
      </c>
      <c r="AJ8340">
        <v>0</v>
      </c>
      <c r="AK8340">
        <v>0</v>
      </c>
      <c r="AL8340">
        <v>0</v>
      </c>
      <c r="AM8340">
        <v>0</v>
      </c>
      <c r="AN8340">
        <v>0</v>
      </c>
      <c r="AO8340">
        <v>0</v>
      </c>
      <c r="AP8340" s="2">
        <v>42746</v>
      </c>
      <c r="AQ8340" t="s">
        <v>72</v>
      </c>
      <c r="AR8340" t="s">
        <v>72</v>
      </c>
      <c r="AS8340">
        <v>1599</v>
      </c>
      <c r="AT8340" s="4">
        <v>42530</v>
      </c>
      <c r="AU8340" t="s">
        <v>73</v>
      </c>
      <c r="AV8340">
        <v>1599</v>
      </c>
      <c r="AW8340" s="4">
        <v>42530</v>
      </c>
      <c r="BD8340">
        <v>0</v>
      </c>
      <c r="BN8340" t="s">
        <v>74</v>
      </c>
    </row>
    <row r="8341" spans="1:66" hidden="1">
      <c r="A8341">
        <v>106229</v>
      </c>
      <c r="B8341" s="3" t="s">
        <v>707</v>
      </c>
      <c r="C8341" s="1">
        <v>43300101</v>
      </c>
      <c r="D8341" t="s">
        <v>67</v>
      </c>
      <c r="H8341" t="str">
        <f t="shared" si="831"/>
        <v>02344710484</v>
      </c>
      <c r="I8341" t="str">
        <f t="shared" si="831"/>
        <v>02344710484</v>
      </c>
      <c r="K8341" t="str">
        <f>""</f>
        <v/>
      </c>
      <c r="M8341" t="s">
        <v>68</v>
      </c>
      <c r="N8341" t="str">
        <f t="shared" si="830"/>
        <v>FOR</v>
      </c>
      <c r="O8341" t="s">
        <v>69</v>
      </c>
      <c r="P8341" s="3" t="s">
        <v>78</v>
      </c>
      <c r="Q8341">
        <v>2014</v>
      </c>
      <c r="R8341" s="2">
        <v>41891</v>
      </c>
      <c r="S8341" s="2">
        <v>41901</v>
      </c>
      <c r="T8341" s="2">
        <v>41901</v>
      </c>
      <c r="U8341" s="2">
        <v>41991</v>
      </c>
      <c r="V8341" t="s">
        <v>71</v>
      </c>
      <c r="W8341" t="str">
        <f>"              666055"</f>
        <v xml:space="preserve">              666055</v>
      </c>
      <c r="X8341">
        <v>253.55</v>
      </c>
      <c r="Y8341">
        <v>0</v>
      </c>
      <c r="Z8341"/>
      <c r="AB8341"/>
      <c r="AC8341">
        <v>253.55</v>
      </c>
      <c r="AD8341">
        <v>539</v>
      </c>
      <c r="AE8341" s="1">
        <v>136663.45000000001</v>
      </c>
      <c r="AF8341">
        <v>0</v>
      </c>
      <c r="AJ8341">
        <v>0</v>
      </c>
      <c r="AK8341">
        <v>0</v>
      </c>
      <c r="AL8341">
        <v>0</v>
      </c>
      <c r="AM8341">
        <v>0</v>
      </c>
      <c r="AN8341">
        <v>0</v>
      </c>
      <c r="AO8341">
        <v>0</v>
      </c>
      <c r="AP8341" s="2">
        <v>42746</v>
      </c>
      <c r="AQ8341" t="s">
        <v>72</v>
      </c>
      <c r="AR8341" t="s">
        <v>72</v>
      </c>
      <c r="AS8341">
        <v>1599</v>
      </c>
      <c r="AT8341" s="4">
        <v>42530</v>
      </c>
      <c r="AU8341" t="s">
        <v>73</v>
      </c>
      <c r="AV8341">
        <v>1599</v>
      </c>
      <c r="AW8341" s="4">
        <v>42530</v>
      </c>
      <c r="BD8341">
        <v>0</v>
      </c>
      <c r="BN8341" t="s">
        <v>74</v>
      </c>
    </row>
    <row r="8342" spans="1:66" hidden="1">
      <c r="A8342">
        <v>106229</v>
      </c>
      <c r="B8342" s="3" t="s">
        <v>707</v>
      </c>
      <c r="C8342" s="1">
        <v>43300101</v>
      </c>
      <c r="D8342" t="s">
        <v>67</v>
      </c>
      <c r="H8342" t="str">
        <f t="shared" si="831"/>
        <v>02344710484</v>
      </c>
      <c r="I8342" t="str">
        <f t="shared" si="831"/>
        <v>02344710484</v>
      </c>
      <c r="K8342" t="str">
        <f>""</f>
        <v/>
      </c>
      <c r="M8342" t="s">
        <v>68</v>
      </c>
      <c r="N8342" t="str">
        <f t="shared" si="830"/>
        <v>FOR</v>
      </c>
      <c r="O8342" t="s">
        <v>69</v>
      </c>
      <c r="P8342" s="3" t="s">
        <v>78</v>
      </c>
      <c r="Q8342">
        <v>2014</v>
      </c>
      <c r="R8342" s="2">
        <v>41893</v>
      </c>
      <c r="S8342" s="2">
        <v>41899</v>
      </c>
      <c r="T8342" s="2">
        <v>41899</v>
      </c>
      <c r="U8342" s="2">
        <v>41989</v>
      </c>
      <c r="V8342" t="s">
        <v>71</v>
      </c>
      <c r="W8342" t="str">
        <f>"              667052"</f>
        <v xml:space="preserve">              667052</v>
      </c>
      <c r="X8342">
        <v>253.55</v>
      </c>
      <c r="Y8342">
        <v>0</v>
      </c>
      <c r="Z8342"/>
      <c r="AB8342"/>
      <c r="AC8342">
        <v>253.55</v>
      </c>
      <c r="AD8342">
        <v>541</v>
      </c>
      <c r="AE8342" s="1">
        <v>137170.54999999999</v>
      </c>
      <c r="AF8342">
        <v>0</v>
      </c>
      <c r="AJ8342">
        <v>0</v>
      </c>
      <c r="AK8342">
        <v>0</v>
      </c>
      <c r="AL8342">
        <v>0</v>
      </c>
      <c r="AM8342">
        <v>0</v>
      </c>
      <c r="AN8342">
        <v>0</v>
      </c>
      <c r="AO8342">
        <v>0</v>
      </c>
      <c r="AP8342" s="2">
        <v>42746</v>
      </c>
      <c r="AQ8342" t="s">
        <v>72</v>
      </c>
      <c r="AR8342" t="s">
        <v>72</v>
      </c>
      <c r="AS8342">
        <v>1599</v>
      </c>
      <c r="AT8342" s="4">
        <v>42530</v>
      </c>
      <c r="AU8342" t="s">
        <v>73</v>
      </c>
      <c r="AV8342">
        <v>1599</v>
      </c>
      <c r="AW8342" s="4">
        <v>42530</v>
      </c>
      <c r="BD8342">
        <v>0</v>
      </c>
      <c r="BN8342" t="s">
        <v>74</v>
      </c>
    </row>
    <row r="8343" spans="1:66" hidden="1">
      <c r="A8343">
        <v>106229</v>
      </c>
      <c r="B8343" s="3" t="s">
        <v>707</v>
      </c>
      <c r="C8343" s="1">
        <v>43300101</v>
      </c>
      <c r="D8343" t="s">
        <v>67</v>
      </c>
      <c r="H8343" t="str">
        <f t="shared" si="831"/>
        <v>02344710484</v>
      </c>
      <c r="I8343" t="str">
        <f t="shared" si="831"/>
        <v>02344710484</v>
      </c>
      <c r="K8343" t="str">
        <f>""</f>
        <v/>
      </c>
      <c r="M8343" t="s">
        <v>68</v>
      </c>
      <c r="N8343" t="str">
        <f t="shared" si="830"/>
        <v>FOR</v>
      </c>
      <c r="O8343" t="s">
        <v>69</v>
      </c>
      <c r="P8343" s="3" t="s">
        <v>78</v>
      </c>
      <c r="Q8343">
        <v>2014</v>
      </c>
      <c r="R8343" s="2">
        <v>41894</v>
      </c>
      <c r="S8343" s="2">
        <v>41904</v>
      </c>
      <c r="T8343" s="2">
        <v>41904</v>
      </c>
      <c r="U8343" s="2">
        <v>41994</v>
      </c>
      <c r="V8343" t="s">
        <v>71</v>
      </c>
      <c r="W8343" t="str">
        <f>"              667595"</f>
        <v xml:space="preserve">              667595</v>
      </c>
      <c r="X8343">
        <v>253.55</v>
      </c>
      <c r="Y8343">
        <v>0</v>
      </c>
      <c r="Z8343"/>
      <c r="AB8343"/>
      <c r="AC8343">
        <v>253.55</v>
      </c>
      <c r="AD8343">
        <v>536</v>
      </c>
      <c r="AE8343" s="1">
        <v>135902.79999999999</v>
      </c>
      <c r="AF8343">
        <v>0</v>
      </c>
      <c r="AJ8343">
        <v>0</v>
      </c>
      <c r="AK8343">
        <v>0</v>
      </c>
      <c r="AL8343">
        <v>0</v>
      </c>
      <c r="AM8343">
        <v>0</v>
      </c>
      <c r="AN8343">
        <v>0</v>
      </c>
      <c r="AO8343">
        <v>0</v>
      </c>
      <c r="AP8343" s="2">
        <v>42746</v>
      </c>
      <c r="AQ8343" t="s">
        <v>72</v>
      </c>
      <c r="AR8343" t="s">
        <v>72</v>
      </c>
      <c r="AS8343">
        <v>1599</v>
      </c>
      <c r="AT8343" s="4">
        <v>42530</v>
      </c>
      <c r="AU8343" t="s">
        <v>73</v>
      </c>
      <c r="AV8343">
        <v>1599</v>
      </c>
      <c r="AW8343" s="4">
        <v>42530</v>
      </c>
      <c r="BD8343">
        <v>0</v>
      </c>
      <c r="BN8343" t="s">
        <v>74</v>
      </c>
    </row>
    <row r="8344" spans="1:66" hidden="1">
      <c r="A8344">
        <v>106229</v>
      </c>
      <c r="B8344" s="3" t="s">
        <v>707</v>
      </c>
      <c r="C8344" s="1">
        <v>43300101</v>
      </c>
      <c r="D8344" t="s">
        <v>67</v>
      </c>
      <c r="H8344" t="str">
        <f t="shared" si="831"/>
        <v>02344710484</v>
      </c>
      <c r="I8344" t="str">
        <f t="shared" si="831"/>
        <v>02344710484</v>
      </c>
      <c r="K8344" t="str">
        <f>""</f>
        <v/>
      </c>
      <c r="M8344" t="s">
        <v>68</v>
      </c>
      <c r="N8344" t="str">
        <f t="shared" si="830"/>
        <v>FOR</v>
      </c>
      <c r="O8344" t="s">
        <v>69</v>
      </c>
      <c r="P8344" s="3" t="s">
        <v>78</v>
      </c>
      <c r="Q8344">
        <v>2014</v>
      </c>
      <c r="R8344" s="2">
        <v>41906</v>
      </c>
      <c r="S8344" s="2">
        <v>41915</v>
      </c>
      <c r="T8344" s="2">
        <v>41915</v>
      </c>
      <c r="U8344" s="2">
        <v>42005</v>
      </c>
      <c r="V8344" t="s">
        <v>71</v>
      </c>
      <c r="W8344" t="str">
        <f>"              672164"</f>
        <v xml:space="preserve">              672164</v>
      </c>
      <c r="X8344" s="1">
        <v>1014.2</v>
      </c>
      <c r="Y8344">
        <v>0</v>
      </c>
      <c r="Z8344"/>
      <c r="AB8344"/>
      <c r="AC8344" s="1">
        <v>1014.2</v>
      </c>
      <c r="AD8344">
        <v>525</v>
      </c>
      <c r="AE8344" s="1">
        <v>532455</v>
      </c>
      <c r="AF8344">
        <v>0</v>
      </c>
      <c r="AJ8344">
        <v>0</v>
      </c>
      <c r="AK8344">
        <v>0</v>
      </c>
      <c r="AL8344">
        <v>0</v>
      </c>
      <c r="AM8344">
        <v>0</v>
      </c>
      <c r="AN8344">
        <v>0</v>
      </c>
      <c r="AO8344">
        <v>0</v>
      </c>
      <c r="AP8344" s="2">
        <v>42746</v>
      </c>
      <c r="AQ8344" t="s">
        <v>72</v>
      </c>
      <c r="AR8344" t="s">
        <v>72</v>
      </c>
      <c r="AS8344">
        <v>1599</v>
      </c>
      <c r="AT8344" s="4">
        <v>42530</v>
      </c>
      <c r="AU8344" t="s">
        <v>73</v>
      </c>
      <c r="AV8344">
        <v>1599</v>
      </c>
      <c r="AW8344" s="4">
        <v>42530</v>
      </c>
      <c r="BD8344">
        <v>0</v>
      </c>
      <c r="BN8344" t="s">
        <v>74</v>
      </c>
    </row>
    <row r="8345" spans="1:66" hidden="1">
      <c r="A8345">
        <v>106229</v>
      </c>
      <c r="B8345" s="3" t="s">
        <v>707</v>
      </c>
      <c r="C8345" s="1">
        <v>43300101</v>
      </c>
      <c r="D8345" t="s">
        <v>67</v>
      </c>
      <c r="H8345" t="str">
        <f t="shared" si="831"/>
        <v>02344710484</v>
      </c>
      <c r="I8345" t="str">
        <f t="shared" si="831"/>
        <v>02344710484</v>
      </c>
      <c r="K8345" t="str">
        <f>""</f>
        <v/>
      </c>
      <c r="M8345" t="s">
        <v>68</v>
      </c>
      <c r="N8345" t="str">
        <f t="shared" si="830"/>
        <v>FOR</v>
      </c>
      <c r="O8345" t="s">
        <v>69</v>
      </c>
      <c r="P8345" s="3" t="s">
        <v>78</v>
      </c>
      <c r="Q8345">
        <v>2014</v>
      </c>
      <c r="R8345" s="2">
        <v>41907</v>
      </c>
      <c r="S8345" s="2">
        <v>41920</v>
      </c>
      <c r="T8345" s="2">
        <v>41920</v>
      </c>
      <c r="U8345" s="2">
        <v>42010</v>
      </c>
      <c r="V8345" t="s">
        <v>71</v>
      </c>
      <c r="W8345" t="str">
        <f>"              672769"</f>
        <v xml:space="preserve">              672769</v>
      </c>
      <c r="X8345">
        <v>253.55</v>
      </c>
      <c r="Y8345">
        <v>0</v>
      </c>
      <c r="Z8345"/>
      <c r="AB8345"/>
      <c r="AC8345">
        <v>253.55</v>
      </c>
      <c r="AD8345">
        <v>520</v>
      </c>
      <c r="AE8345" s="1">
        <v>131846</v>
      </c>
      <c r="AF8345">
        <v>0</v>
      </c>
      <c r="AJ8345">
        <v>0</v>
      </c>
      <c r="AK8345">
        <v>0</v>
      </c>
      <c r="AL8345">
        <v>0</v>
      </c>
      <c r="AM8345">
        <v>0</v>
      </c>
      <c r="AN8345">
        <v>0</v>
      </c>
      <c r="AO8345">
        <v>0</v>
      </c>
      <c r="AP8345" s="2">
        <v>42746</v>
      </c>
      <c r="AQ8345" t="s">
        <v>72</v>
      </c>
      <c r="AR8345" t="s">
        <v>72</v>
      </c>
      <c r="AS8345">
        <v>1599</v>
      </c>
      <c r="AT8345" s="4">
        <v>42530</v>
      </c>
      <c r="AU8345" t="s">
        <v>73</v>
      </c>
      <c r="AV8345">
        <v>1599</v>
      </c>
      <c r="AW8345" s="4">
        <v>42530</v>
      </c>
      <c r="BD8345">
        <v>0</v>
      </c>
      <c r="BN8345" t="s">
        <v>74</v>
      </c>
    </row>
    <row r="8346" spans="1:66" hidden="1">
      <c r="A8346">
        <v>106229</v>
      </c>
      <c r="B8346" s="3" t="s">
        <v>707</v>
      </c>
      <c r="C8346" s="1">
        <v>43300101</v>
      </c>
      <c r="D8346" t="s">
        <v>67</v>
      </c>
      <c r="H8346" t="str">
        <f t="shared" si="831"/>
        <v>02344710484</v>
      </c>
      <c r="I8346" t="str">
        <f t="shared" si="831"/>
        <v>02344710484</v>
      </c>
      <c r="K8346" t="str">
        <f>""</f>
        <v/>
      </c>
      <c r="M8346" t="s">
        <v>68</v>
      </c>
      <c r="N8346" t="str">
        <f t="shared" si="830"/>
        <v>FOR</v>
      </c>
      <c r="O8346" t="s">
        <v>69</v>
      </c>
      <c r="P8346" s="3" t="s">
        <v>70</v>
      </c>
      <c r="Q8346">
        <v>2015</v>
      </c>
      <c r="R8346" s="2">
        <v>42038</v>
      </c>
      <c r="S8346" s="2">
        <v>42047</v>
      </c>
      <c r="T8346" s="2">
        <v>42047</v>
      </c>
      <c r="U8346" s="2">
        <v>42107</v>
      </c>
      <c r="V8346" t="s">
        <v>71</v>
      </c>
      <c r="W8346" t="str">
        <f>"              610692"</f>
        <v xml:space="preserve">              610692</v>
      </c>
      <c r="X8346" s="1">
        <v>2535.5</v>
      </c>
      <c r="Y8346">
        <v>0</v>
      </c>
      <c r="Z8346"/>
      <c r="AB8346"/>
      <c r="AC8346" s="1">
        <v>2305</v>
      </c>
      <c r="AD8346">
        <v>301</v>
      </c>
      <c r="AE8346" s="1">
        <v>693805</v>
      </c>
      <c r="AF8346">
        <v>0</v>
      </c>
      <c r="AJ8346">
        <v>0</v>
      </c>
      <c r="AK8346">
        <v>0</v>
      </c>
      <c r="AL8346">
        <v>0</v>
      </c>
      <c r="AM8346">
        <v>0</v>
      </c>
      <c r="AN8346">
        <v>0</v>
      </c>
      <c r="AO8346">
        <v>0</v>
      </c>
      <c r="AP8346" s="2">
        <v>42746</v>
      </c>
      <c r="AQ8346" t="s">
        <v>72</v>
      </c>
      <c r="AR8346" t="s">
        <v>72</v>
      </c>
      <c r="AS8346">
        <v>319</v>
      </c>
      <c r="AT8346" s="4">
        <v>42408</v>
      </c>
      <c r="AU8346" t="s">
        <v>73</v>
      </c>
      <c r="AV8346">
        <v>319</v>
      </c>
      <c r="AW8346" s="4">
        <v>42408</v>
      </c>
      <c r="BD8346">
        <v>0</v>
      </c>
      <c r="BN8346" t="s">
        <v>74</v>
      </c>
    </row>
    <row r="8347" spans="1:66" hidden="1">
      <c r="A8347">
        <v>106232</v>
      </c>
      <c r="B8347" s="3" t="s">
        <v>708</v>
      </c>
      <c r="C8347" s="1">
        <v>43500101</v>
      </c>
      <c r="D8347" t="s">
        <v>113</v>
      </c>
      <c r="H8347" t="str">
        <f t="shared" ref="H8347:H8353" si="832">"DPLVCN63M28L086B"</f>
        <v>DPLVCN63M28L086B</v>
      </c>
      <c r="I8347" t="str">
        <f t="shared" ref="I8347:I8353" si="833">"01048900623"</f>
        <v>01048900623</v>
      </c>
      <c r="K8347" t="str">
        <f>""</f>
        <v/>
      </c>
      <c r="M8347" t="s">
        <v>68</v>
      </c>
      <c r="N8347" t="str">
        <f t="shared" ref="N8347:N8353" si="834">"ALTPRO"</f>
        <v>ALTPRO</v>
      </c>
      <c r="O8347" t="s">
        <v>132</v>
      </c>
      <c r="P8347" s="3" t="s">
        <v>75</v>
      </c>
      <c r="Q8347">
        <v>2016</v>
      </c>
      <c r="R8347" s="2">
        <v>42418</v>
      </c>
      <c r="S8347" s="2">
        <v>42419</v>
      </c>
      <c r="T8347" s="2">
        <v>42418</v>
      </c>
      <c r="U8347" s="2">
        <v>42478</v>
      </c>
      <c r="V8347" t="s">
        <v>71</v>
      </c>
      <c r="W8347" t="str">
        <f>"           FE01/2016"</f>
        <v xml:space="preserve">           FE01/2016</v>
      </c>
      <c r="X8347" s="1">
        <v>1522.56</v>
      </c>
      <c r="Y8347">
        <v>-240</v>
      </c>
      <c r="Z8347"/>
      <c r="AB8347"/>
      <c r="AC8347" s="1">
        <v>1282.56</v>
      </c>
      <c r="AD8347">
        <v>-45</v>
      </c>
      <c r="AE8347" s="1">
        <v>-57715.199999999997</v>
      </c>
      <c r="AF8347">
        <v>0</v>
      </c>
      <c r="AJ8347">
        <v>0</v>
      </c>
      <c r="AK8347">
        <v>0</v>
      </c>
      <c r="AL8347">
        <v>0</v>
      </c>
      <c r="AM8347" s="1">
        <v>1282.56</v>
      </c>
      <c r="AN8347" s="1">
        <v>1282.56</v>
      </c>
      <c r="AO8347" s="1">
        <v>1282.56</v>
      </c>
      <c r="AP8347" s="2">
        <v>42746</v>
      </c>
      <c r="AQ8347" t="s">
        <v>72</v>
      </c>
      <c r="AR8347" t="s">
        <v>72</v>
      </c>
      <c r="AS8347">
        <v>669</v>
      </c>
      <c r="AT8347" s="4">
        <v>42433</v>
      </c>
      <c r="AV8347">
        <v>669</v>
      </c>
      <c r="AW8347" s="4">
        <v>42433</v>
      </c>
      <c r="BD8347">
        <v>0</v>
      </c>
      <c r="BN8347" t="s">
        <v>74</v>
      </c>
    </row>
    <row r="8348" spans="1:66" hidden="1">
      <c r="A8348">
        <v>106232</v>
      </c>
      <c r="B8348" s="3" t="s">
        <v>708</v>
      </c>
      <c r="C8348" s="1">
        <v>43500101</v>
      </c>
      <c r="D8348" t="s">
        <v>113</v>
      </c>
      <c r="H8348" t="str">
        <f t="shared" si="832"/>
        <v>DPLVCN63M28L086B</v>
      </c>
      <c r="I8348" t="str">
        <f t="shared" si="833"/>
        <v>01048900623</v>
      </c>
      <c r="K8348" t="str">
        <f>""</f>
        <v/>
      </c>
      <c r="M8348" t="s">
        <v>68</v>
      </c>
      <c r="N8348" t="str">
        <f t="shared" si="834"/>
        <v>ALTPRO</v>
      </c>
      <c r="O8348" t="s">
        <v>132</v>
      </c>
      <c r="P8348" s="3" t="s">
        <v>75</v>
      </c>
      <c r="Q8348">
        <v>2016</v>
      </c>
      <c r="R8348" s="2">
        <v>42418</v>
      </c>
      <c r="S8348" s="2">
        <v>42419</v>
      </c>
      <c r="T8348" s="2">
        <v>42418</v>
      </c>
      <c r="U8348" s="2">
        <v>42478</v>
      </c>
      <c r="V8348" t="s">
        <v>71</v>
      </c>
      <c r="W8348" t="str">
        <f>"           FE02/2016"</f>
        <v xml:space="preserve">           FE02/2016</v>
      </c>
      <c r="X8348" s="1">
        <v>2462.15</v>
      </c>
      <c r="Y8348">
        <v>-360.09</v>
      </c>
      <c r="Z8348"/>
      <c r="AB8348"/>
      <c r="AC8348" s="1">
        <v>2102.06</v>
      </c>
      <c r="AD8348">
        <v>-45</v>
      </c>
      <c r="AE8348" s="1">
        <v>-94592.7</v>
      </c>
      <c r="AF8348">
        <v>0</v>
      </c>
      <c r="AJ8348">
        <v>0</v>
      </c>
      <c r="AK8348">
        <v>0</v>
      </c>
      <c r="AL8348">
        <v>0</v>
      </c>
      <c r="AM8348" s="1">
        <v>2102.06</v>
      </c>
      <c r="AN8348" s="1">
        <v>2102.06</v>
      </c>
      <c r="AO8348" s="1">
        <v>2102.06</v>
      </c>
      <c r="AP8348" s="2">
        <v>42746</v>
      </c>
      <c r="AQ8348" t="s">
        <v>72</v>
      </c>
      <c r="AR8348" t="s">
        <v>72</v>
      </c>
      <c r="AS8348">
        <v>669</v>
      </c>
      <c r="AT8348" s="4">
        <v>42433</v>
      </c>
      <c r="AV8348">
        <v>669</v>
      </c>
      <c r="AW8348" s="4">
        <v>42433</v>
      </c>
      <c r="BD8348">
        <v>0</v>
      </c>
      <c r="BN8348" t="s">
        <v>74</v>
      </c>
    </row>
    <row r="8349" spans="1:66" hidden="1">
      <c r="A8349">
        <v>106232</v>
      </c>
      <c r="B8349" s="3" t="s">
        <v>708</v>
      </c>
      <c r="C8349" s="1">
        <v>43500101</v>
      </c>
      <c r="D8349" t="s">
        <v>113</v>
      </c>
      <c r="H8349" t="str">
        <f t="shared" si="832"/>
        <v>DPLVCN63M28L086B</v>
      </c>
      <c r="I8349" t="str">
        <f t="shared" si="833"/>
        <v>01048900623</v>
      </c>
      <c r="K8349" t="str">
        <f>""</f>
        <v/>
      </c>
      <c r="M8349" t="s">
        <v>68</v>
      </c>
      <c r="N8349" t="str">
        <f t="shared" si="834"/>
        <v>ALTPRO</v>
      </c>
      <c r="O8349" t="s">
        <v>132</v>
      </c>
      <c r="P8349" s="3" t="s">
        <v>75</v>
      </c>
      <c r="Q8349">
        <v>2016</v>
      </c>
      <c r="R8349" s="2">
        <v>42473</v>
      </c>
      <c r="S8349" s="2">
        <v>42478</v>
      </c>
      <c r="T8349" s="2">
        <v>42474</v>
      </c>
      <c r="U8349" s="2">
        <v>42534</v>
      </c>
      <c r="V8349" t="s">
        <v>71</v>
      </c>
      <c r="W8349" t="str">
        <f>"           FE03/2016"</f>
        <v xml:space="preserve">           FE03/2016</v>
      </c>
      <c r="X8349" s="1">
        <v>1218.05</v>
      </c>
      <c r="Y8349">
        <v>-192</v>
      </c>
      <c r="Z8349"/>
      <c r="AB8349"/>
      <c r="AC8349" s="1">
        <v>1026.05</v>
      </c>
      <c r="AD8349">
        <v>-14</v>
      </c>
      <c r="AE8349" s="1">
        <v>-14364.7</v>
      </c>
      <c r="AF8349">
        <v>0</v>
      </c>
      <c r="AJ8349">
        <v>0</v>
      </c>
      <c r="AK8349">
        <v>0</v>
      </c>
      <c r="AL8349">
        <v>0</v>
      </c>
      <c r="AM8349" s="1">
        <v>1026.05</v>
      </c>
      <c r="AN8349" s="1">
        <v>1026.05</v>
      </c>
      <c r="AO8349" s="1">
        <v>1026.05</v>
      </c>
      <c r="AP8349" s="2">
        <v>42746</v>
      </c>
      <c r="AQ8349" t="s">
        <v>72</v>
      </c>
      <c r="AR8349" t="s">
        <v>72</v>
      </c>
      <c r="AS8349">
        <v>1394</v>
      </c>
      <c r="AT8349" s="4">
        <v>42520</v>
      </c>
      <c r="AV8349">
        <v>1394</v>
      </c>
      <c r="AW8349" s="4">
        <v>42520</v>
      </c>
      <c r="BD8349">
        <v>0</v>
      </c>
      <c r="BN8349" t="s">
        <v>74</v>
      </c>
    </row>
    <row r="8350" spans="1:66" hidden="1">
      <c r="A8350">
        <v>106232</v>
      </c>
      <c r="B8350" s="3" t="s">
        <v>708</v>
      </c>
      <c r="C8350" s="1">
        <v>43500101</v>
      </c>
      <c r="D8350" t="s">
        <v>113</v>
      </c>
      <c r="H8350" t="str">
        <f t="shared" si="832"/>
        <v>DPLVCN63M28L086B</v>
      </c>
      <c r="I8350" t="str">
        <f t="shared" si="833"/>
        <v>01048900623</v>
      </c>
      <c r="K8350" t="str">
        <f>""</f>
        <v/>
      </c>
      <c r="M8350" t="s">
        <v>68</v>
      </c>
      <c r="N8350" t="str">
        <f t="shared" si="834"/>
        <v>ALTPRO</v>
      </c>
      <c r="O8350" t="s">
        <v>132</v>
      </c>
      <c r="P8350" s="3" t="s">
        <v>75</v>
      </c>
      <c r="Q8350">
        <v>2016</v>
      </c>
      <c r="R8350" s="2">
        <v>42473</v>
      </c>
      <c r="S8350" s="2">
        <v>42478</v>
      </c>
      <c r="T8350" s="2">
        <v>42474</v>
      </c>
      <c r="U8350" s="2">
        <v>42534</v>
      </c>
      <c r="V8350" t="s">
        <v>71</v>
      </c>
      <c r="W8350" t="str">
        <f>"           FE04/2016"</f>
        <v xml:space="preserve">           FE04/2016</v>
      </c>
      <c r="X8350" s="1">
        <v>2649.77</v>
      </c>
      <c r="Y8350">
        <v>-372.6</v>
      </c>
      <c r="Z8350"/>
      <c r="AB8350"/>
      <c r="AC8350" s="1">
        <v>2277.17</v>
      </c>
      <c r="AD8350">
        <v>-14</v>
      </c>
      <c r="AE8350" s="1">
        <v>-31880.38</v>
      </c>
      <c r="AF8350">
        <v>0</v>
      </c>
      <c r="AJ8350">
        <v>0</v>
      </c>
      <c r="AK8350">
        <v>0</v>
      </c>
      <c r="AL8350">
        <v>0</v>
      </c>
      <c r="AM8350" s="1">
        <v>2277.17</v>
      </c>
      <c r="AN8350" s="1">
        <v>2277.17</v>
      </c>
      <c r="AO8350" s="1">
        <v>2277.17</v>
      </c>
      <c r="AP8350" s="2">
        <v>42746</v>
      </c>
      <c r="AQ8350" t="s">
        <v>72</v>
      </c>
      <c r="AR8350" t="s">
        <v>72</v>
      </c>
      <c r="AS8350">
        <v>1394</v>
      </c>
      <c r="AT8350" s="4">
        <v>42520</v>
      </c>
      <c r="AV8350">
        <v>1394</v>
      </c>
      <c r="AW8350" s="4">
        <v>42520</v>
      </c>
      <c r="BD8350">
        <v>0</v>
      </c>
      <c r="BN8350" t="s">
        <v>74</v>
      </c>
    </row>
    <row r="8351" spans="1:66" hidden="1">
      <c r="A8351">
        <v>106232</v>
      </c>
      <c r="B8351" s="3" t="s">
        <v>708</v>
      </c>
      <c r="C8351" s="1">
        <v>43500101</v>
      </c>
      <c r="D8351" t="s">
        <v>113</v>
      </c>
      <c r="H8351" t="str">
        <f t="shared" si="832"/>
        <v>DPLVCN63M28L086B</v>
      </c>
      <c r="I8351" t="str">
        <f t="shared" si="833"/>
        <v>01048900623</v>
      </c>
      <c r="K8351" t="str">
        <f>""</f>
        <v/>
      </c>
      <c r="M8351" t="s">
        <v>68</v>
      </c>
      <c r="N8351" t="str">
        <f t="shared" si="834"/>
        <v>ALTPRO</v>
      </c>
      <c r="O8351" t="s">
        <v>132</v>
      </c>
      <c r="P8351" s="3" t="s">
        <v>75</v>
      </c>
      <c r="Q8351">
        <v>2016</v>
      </c>
      <c r="R8351" s="2">
        <v>42474</v>
      </c>
      <c r="S8351" s="2">
        <v>42478</v>
      </c>
      <c r="T8351" s="2">
        <v>42474</v>
      </c>
      <c r="U8351" s="2">
        <v>42534</v>
      </c>
      <c r="V8351" t="s">
        <v>71</v>
      </c>
      <c r="W8351" t="str">
        <f>"           FE05/2016"</f>
        <v xml:space="preserve">           FE05/2016</v>
      </c>
      <c r="X8351" s="1">
        <v>5481.22</v>
      </c>
      <c r="Y8351">
        <v>-864</v>
      </c>
      <c r="Z8351"/>
      <c r="AB8351"/>
      <c r="AC8351" s="1">
        <v>4617.22</v>
      </c>
      <c r="AD8351">
        <v>42</v>
      </c>
      <c r="AE8351" s="1">
        <v>193923.24</v>
      </c>
      <c r="AF8351">
        <v>0</v>
      </c>
      <c r="AJ8351">
        <v>0</v>
      </c>
      <c r="AK8351">
        <v>0</v>
      </c>
      <c r="AL8351">
        <v>0</v>
      </c>
      <c r="AM8351" s="1">
        <v>4617.22</v>
      </c>
      <c r="AN8351" s="1">
        <v>4617.22</v>
      </c>
      <c r="AO8351" s="1">
        <v>4617.22</v>
      </c>
      <c r="AP8351" s="2">
        <v>42746</v>
      </c>
      <c r="AQ8351" t="s">
        <v>72</v>
      </c>
      <c r="AR8351" t="s">
        <v>72</v>
      </c>
      <c r="AS8351">
        <v>1905</v>
      </c>
      <c r="AT8351" s="4">
        <v>42576</v>
      </c>
      <c r="AU8351" t="s">
        <v>73</v>
      </c>
      <c r="AV8351">
        <v>1905</v>
      </c>
      <c r="AW8351" s="4">
        <v>42576</v>
      </c>
      <c r="BD8351">
        <v>0</v>
      </c>
      <c r="BN8351" t="s">
        <v>74</v>
      </c>
    </row>
    <row r="8352" spans="1:66">
      <c r="A8352">
        <v>106232</v>
      </c>
      <c r="B8352" s="3" t="s">
        <v>708</v>
      </c>
      <c r="C8352" s="1">
        <v>43500101</v>
      </c>
      <c r="D8352" t="s">
        <v>113</v>
      </c>
      <c r="H8352" t="str">
        <f t="shared" si="832"/>
        <v>DPLVCN63M28L086B</v>
      </c>
      <c r="I8352" t="str">
        <f t="shared" si="833"/>
        <v>01048900623</v>
      </c>
      <c r="K8352" t="str">
        <f>""</f>
        <v/>
      </c>
      <c r="M8352" t="s">
        <v>68</v>
      </c>
      <c r="N8352" t="str">
        <f t="shared" si="834"/>
        <v>ALTPRO</v>
      </c>
      <c r="O8352" t="s">
        <v>132</v>
      </c>
      <c r="P8352" s="3" t="s">
        <v>75</v>
      </c>
      <c r="Q8352">
        <v>2016</v>
      </c>
      <c r="R8352" s="2">
        <v>42710</v>
      </c>
      <c r="S8352" s="2">
        <v>42711</v>
      </c>
      <c r="T8352" s="2">
        <v>42711</v>
      </c>
      <c r="U8352" s="2">
        <v>42771</v>
      </c>
      <c r="V8352" t="s">
        <v>71</v>
      </c>
      <c r="W8352" t="str">
        <f>"           FE07/2016"</f>
        <v xml:space="preserve">           FE07/2016</v>
      </c>
      <c r="X8352" s="1">
        <v>7409.79</v>
      </c>
      <c r="Y8352" s="1">
        <v>-1168</v>
      </c>
      <c r="Z8352" s="5">
        <v>6241.79</v>
      </c>
      <c r="AA8352">
        <v>-60</v>
      </c>
      <c r="AB8352" s="5">
        <v>-374507.4</v>
      </c>
      <c r="AC8352" s="1">
        <v>6241.79</v>
      </c>
      <c r="AD8352">
        <v>-60</v>
      </c>
      <c r="AE8352" s="1">
        <v>-374507.4</v>
      </c>
      <c r="AF8352">
        <v>0</v>
      </c>
      <c r="AJ8352" s="1">
        <v>6241.79</v>
      </c>
      <c r="AK8352" s="1">
        <v>6241.79</v>
      </c>
      <c r="AL8352" s="1">
        <v>6241.79</v>
      </c>
      <c r="AM8352" s="1">
        <v>6241.79</v>
      </c>
      <c r="AN8352" s="1">
        <v>6241.79</v>
      </c>
      <c r="AO8352" s="1">
        <v>6241.79</v>
      </c>
      <c r="AP8352" s="2">
        <v>42746</v>
      </c>
      <c r="AQ8352" t="s">
        <v>72</v>
      </c>
      <c r="AR8352" t="s">
        <v>72</v>
      </c>
      <c r="AS8352">
        <v>3355</v>
      </c>
      <c r="AT8352" s="4">
        <v>42711</v>
      </c>
      <c r="AV8352">
        <v>3355</v>
      </c>
      <c r="AW8352" s="4">
        <v>42711</v>
      </c>
      <c r="BD8352">
        <v>0</v>
      </c>
      <c r="BN8352" t="s">
        <v>74</v>
      </c>
    </row>
    <row r="8353" spans="1:66">
      <c r="A8353">
        <v>106232</v>
      </c>
      <c r="B8353" s="3" t="s">
        <v>708</v>
      </c>
      <c r="C8353" s="1">
        <v>43500101</v>
      </c>
      <c r="D8353" t="s">
        <v>113</v>
      </c>
      <c r="H8353" t="str">
        <f t="shared" si="832"/>
        <v>DPLVCN63M28L086B</v>
      </c>
      <c r="I8353" t="str">
        <f t="shared" si="833"/>
        <v>01048900623</v>
      </c>
      <c r="K8353" t="str">
        <f>""</f>
        <v/>
      </c>
      <c r="M8353" t="s">
        <v>68</v>
      </c>
      <c r="N8353" t="str">
        <f t="shared" si="834"/>
        <v>ALTPRO</v>
      </c>
      <c r="O8353" t="s">
        <v>132</v>
      </c>
      <c r="P8353" s="3" t="s">
        <v>75</v>
      </c>
      <c r="Q8353">
        <v>2016</v>
      </c>
      <c r="R8353" s="2">
        <v>42710</v>
      </c>
      <c r="S8353" s="2">
        <v>42711</v>
      </c>
      <c r="T8353" s="2">
        <v>42711</v>
      </c>
      <c r="U8353" s="2">
        <v>42771</v>
      </c>
      <c r="V8353" t="s">
        <v>71</v>
      </c>
      <c r="W8353" t="str">
        <f>"           FE08/2016"</f>
        <v xml:space="preserve">           FE08/2016</v>
      </c>
      <c r="X8353" s="1">
        <v>1218.05</v>
      </c>
      <c r="Y8353">
        <v>-192</v>
      </c>
      <c r="Z8353" s="5">
        <v>1026.05</v>
      </c>
      <c r="AA8353">
        <v>-60</v>
      </c>
      <c r="AB8353" s="5">
        <v>-61563</v>
      </c>
      <c r="AC8353" s="1">
        <v>1026.05</v>
      </c>
      <c r="AD8353">
        <v>-60</v>
      </c>
      <c r="AE8353" s="1">
        <v>-61563</v>
      </c>
      <c r="AF8353">
        <v>0</v>
      </c>
      <c r="AJ8353" s="1">
        <v>1026.05</v>
      </c>
      <c r="AK8353" s="1">
        <v>1026.05</v>
      </c>
      <c r="AL8353" s="1">
        <v>1026.05</v>
      </c>
      <c r="AM8353" s="1">
        <v>1026.05</v>
      </c>
      <c r="AN8353" s="1">
        <v>1026.05</v>
      </c>
      <c r="AO8353" s="1">
        <v>1026.05</v>
      </c>
      <c r="AP8353" s="2">
        <v>42746</v>
      </c>
      <c r="AQ8353" t="s">
        <v>72</v>
      </c>
      <c r="AR8353" t="s">
        <v>72</v>
      </c>
      <c r="AS8353">
        <v>3355</v>
      </c>
      <c r="AT8353" s="4">
        <v>42711</v>
      </c>
      <c r="AV8353">
        <v>3355</v>
      </c>
      <c r="AW8353" s="4">
        <v>42711</v>
      </c>
      <c r="BD8353">
        <v>0</v>
      </c>
      <c r="BN8353" t="s">
        <v>74</v>
      </c>
    </row>
    <row r="8354" spans="1:66" hidden="1">
      <c r="A8354">
        <v>106233</v>
      </c>
      <c r="B8354" s="3" t="s">
        <v>709</v>
      </c>
      <c r="C8354" s="1">
        <v>43300101</v>
      </c>
      <c r="D8354" t="s">
        <v>67</v>
      </c>
      <c r="H8354" t="str">
        <f t="shared" ref="H8354:I8356" si="835">"04022550158"</f>
        <v>04022550158</v>
      </c>
      <c r="I8354" t="str">
        <f t="shared" si="835"/>
        <v>04022550158</v>
      </c>
      <c r="K8354" t="str">
        <f>""</f>
        <v/>
      </c>
      <c r="M8354" t="s">
        <v>68</v>
      </c>
      <c r="N8354" t="str">
        <f>"FOR"</f>
        <v>FOR</v>
      </c>
      <c r="O8354" t="s">
        <v>69</v>
      </c>
      <c r="P8354" s="3" t="s">
        <v>75</v>
      </c>
      <c r="Q8354">
        <v>2016</v>
      </c>
      <c r="R8354" s="2">
        <v>42398</v>
      </c>
      <c r="S8354" s="2">
        <v>42416</v>
      </c>
      <c r="T8354" s="2">
        <v>42415</v>
      </c>
      <c r="U8354" s="2">
        <v>42475</v>
      </c>
      <c r="V8354" t="s">
        <v>71</v>
      </c>
      <c r="W8354" t="str">
        <f>"                   8"</f>
        <v xml:space="preserve">                   8</v>
      </c>
      <c r="X8354">
        <v>658.8</v>
      </c>
      <c r="Y8354">
        <v>0</v>
      </c>
      <c r="Z8354"/>
      <c r="AB8354"/>
      <c r="AC8354">
        <v>540</v>
      </c>
      <c r="AD8354">
        <v>12</v>
      </c>
      <c r="AE8354" s="1">
        <v>6480</v>
      </c>
      <c r="AF8354">
        <v>0</v>
      </c>
      <c r="AJ8354">
        <v>0</v>
      </c>
      <c r="AK8354">
        <v>0</v>
      </c>
      <c r="AL8354">
        <v>0</v>
      </c>
      <c r="AM8354">
        <v>658.8</v>
      </c>
      <c r="AN8354">
        <v>658.8</v>
      </c>
      <c r="AO8354">
        <v>658.8</v>
      </c>
      <c r="AP8354" s="2">
        <v>42746</v>
      </c>
      <c r="AQ8354" t="s">
        <v>72</v>
      </c>
      <c r="AR8354" t="s">
        <v>72</v>
      </c>
      <c r="AS8354">
        <v>1186</v>
      </c>
      <c r="AT8354" s="4">
        <v>42487</v>
      </c>
      <c r="AU8354" t="s">
        <v>73</v>
      </c>
      <c r="AV8354">
        <v>1186</v>
      </c>
      <c r="AW8354" s="4">
        <v>42487</v>
      </c>
      <c r="BD8354">
        <v>0</v>
      </c>
      <c r="BN8354" t="s">
        <v>74</v>
      </c>
    </row>
    <row r="8355" spans="1:66">
      <c r="A8355">
        <v>106233</v>
      </c>
      <c r="B8355" s="3" t="s">
        <v>709</v>
      </c>
      <c r="C8355" s="1">
        <v>43300101</v>
      </c>
      <c r="D8355" t="s">
        <v>67</v>
      </c>
      <c r="H8355" t="str">
        <f t="shared" si="835"/>
        <v>04022550158</v>
      </c>
      <c r="I8355" t="str">
        <f t="shared" si="835"/>
        <v>04022550158</v>
      </c>
      <c r="K8355" t="str">
        <f>""</f>
        <v/>
      </c>
      <c r="M8355" t="s">
        <v>68</v>
      </c>
      <c r="N8355" t="str">
        <f>"FOR"</f>
        <v>FOR</v>
      </c>
      <c r="O8355" t="s">
        <v>69</v>
      </c>
      <c r="P8355" s="3" t="s">
        <v>75</v>
      </c>
      <c r="Q8355">
        <v>2016</v>
      </c>
      <c r="R8355" s="2">
        <v>42482</v>
      </c>
      <c r="S8355" s="2">
        <v>42537</v>
      </c>
      <c r="T8355" s="2">
        <v>42534</v>
      </c>
      <c r="U8355" s="2">
        <v>42594</v>
      </c>
      <c r="V8355" t="s">
        <v>71</v>
      </c>
      <c r="W8355" t="str">
        <f>"                  86"</f>
        <v xml:space="preserve">                  86</v>
      </c>
      <c r="X8355" s="1">
        <v>1279.54</v>
      </c>
      <c r="Y8355">
        <v>0</v>
      </c>
      <c r="Z8355" s="5">
        <v>1048.8</v>
      </c>
      <c r="AA8355">
        <v>53</v>
      </c>
      <c r="AB8355" s="5">
        <v>55586.400000000001</v>
      </c>
      <c r="AC8355" s="1">
        <v>1048.8</v>
      </c>
      <c r="AD8355">
        <v>53</v>
      </c>
      <c r="AE8355" s="1">
        <v>55586.400000000001</v>
      </c>
      <c r="AF8355">
        <v>0</v>
      </c>
      <c r="AJ8355">
        <v>0</v>
      </c>
      <c r="AK8355">
        <v>0</v>
      </c>
      <c r="AL8355">
        <v>0</v>
      </c>
      <c r="AM8355" s="1">
        <v>1279.54</v>
      </c>
      <c r="AN8355" s="1">
        <v>1279.54</v>
      </c>
      <c r="AO8355" s="1">
        <v>1279.54</v>
      </c>
      <c r="AP8355" s="2">
        <v>42746</v>
      </c>
      <c r="AQ8355" t="s">
        <v>72</v>
      </c>
      <c r="AR8355" t="s">
        <v>72</v>
      </c>
      <c r="AS8355">
        <v>2606</v>
      </c>
      <c r="AT8355" s="4">
        <v>42647</v>
      </c>
      <c r="AU8355" t="s">
        <v>73</v>
      </c>
      <c r="AV8355">
        <v>2606</v>
      </c>
      <c r="AW8355" s="4">
        <v>42647</v>
      </c>
      <c r="BD8355">
        <v>0</v>
      </c>
      <c r="BN8355" t="s">
        <v>74</v>
      </c>
    </row>
    <row r="8356" spans="1:66">
      <c r="A8356">
        <v>106233</v>
      </c>
      <c r="B8356" s="3" t="s">
        <v>709</v>
      </c>
      <c r="C8356" s="1">
        <v>43300101</v>
      </c>
      <c r="D8356" t="s">
        <v>67</v>
      </c>
      <c r="H8356" t="str">
        <f t="shared" si="835"/>
        <v>04022550158</v>
      </c>
      <c r="I8356" t="str">
        <f t="shared" si="835"/>
        <v>04022550158</v>
      </c>
      <c r="K8356" t="str">
        <f>""</f>
        <v/>
      </c>
      <c r="M8356" t="s">
        <v>68</v>
      </c>
      <c r="N8356" t="str">
        <f>"FOR"</f>
        <v>FOR</v>
      </c>
      <c r="O8356" t="s">
        <v>69</v>
      </c>
      <c r="P8356" s="3" t="s">
        <v>75</v>
      </c>
      <c r="Q8356">
        <v>2016</v>
      </c>
      <c r="R8356" s="2">
        <v>42577</v>
      </c>
      <c r="S8356" s="2">
        <v>42591</v>
      </c>
      <c r="T8356" s="2">
        <v>42591</v>
      </c>
      <c r="U8356" s="2">
        <v>42651</v>
      </c>
      <c r="V8356" t="s">
        <v>71</v>
      </c>
      <c r="W8356" t="str">
        <f>"                 160"</f>
        <v xml:space="preserve">                 160</v>
      </c>
      <c r="X8356">
        <v>658.8</v>
      </c>
      <c r="Y8356">
        <v>0</v>
      </c>
      <c r="Z8356" s="3">
        <v>540</v>
      </c>
      <c r="AA8356">
        <v>-4</v>
      </c>
      <c r="AB8356" s="5">
        <v>-2160</v>
      </c>
      <c r="AC8356">
        <v>540</v>
      </c>
      <c r="AD8356">
        <v>-4</v>
      </c>
      <c r="AE8356" s="1">
        <v>-2160</v>
      </c>
      <c r="AF8356">
        <v>0</v>
      </c>
      <c r="AJ8356">
        <v>0</v>
      </c>
      <c r="AK8356">
        <v>0</v>
      </c>
      <c r="AL8356">
        <v>0</v>
      </c>
      <c r="AM8356">
        <v>658.8</v>
      </c>
      <c r="AN8356">
        <v>658.8</v>
      </c>
      <c r="AO8356">
        <v>658.8</v>
      </c>
      <c r="AP8356" s="2">
        <v>42746</v>
      </c>
      <c r="AQ8356" t="s">
        <v>72</v>
      </c>
      <c r="AR8356" t="s">
        <v>72</v>
      </c>
      <c r="AS8356">
        <v>2606</v>
      </c>
      <c r="AT8356" s="4">
        <v>42647</v>
      </c>
      <c r="AV8356">
        <v>2606</v>
      </c>
      <c r="AW8356" s="4">
        <v>42647</v>
      </c>
      <c r="BD8356">
        <v>0</v>
      </c>
      <c r="BN8356" t="s">
        <v>74</v>
      </c>
    </row>
    <row r="8357" spans="1:66" hidden="1">
      <c r="A8357">
        <v>106235</v>
      </c>
      <c r="B8357" s="3" t="s">
        <v>710</v>
      </c>
      <c r="C8357" s="1">
        <v>43500101</v>
      </c>
      <c r="D8357" t="s">
        <v>113</v>
      </c>
      <c r="H8357" t="str">
        <f>"MSCNNA75A59B963C"</f>
        <v>MSCNNA75A59B963C</v>
      </c>
      <c r="I8357" t="str">
        <f>"03743530614"</f>
        <v>03743530614</v>
      </c>
      <c r="K8357" t="str">
        <f>""</f>
        <v/>
      </c>
      <c r="M8357" t="s">
        <v>68</v>
      </c>
      <c r="N8357" t="str">
        <f>"ALTPRO"</f>
        <v>ALTPRO</v>
      </c>
      <c r="O8357" t="s">
        <v>132</v>
      </c>
      <c r="P8357" s="3" t="s">
        <v>75</v>
      </c>
      <c r="Q8357">
        <v>2016</v>
      </c>
      <c r="R8357" s="2">
        <v>42424</v>
      </c>
      <c r="S8357" s="2">
        <v>42424</v>
      </c>
      <c r="T8357" s="2">
        <v>42424</v>
      </c>
      <c r="U8357" s="2">
        <v>42484</v>
      </c>
      <c r="V8357" t="s">
        <v>71</v>
      </c>
      <c r="W8357" t="str">
        <f>"         FATTPA 1_16"</f>
        <v xml:space="preserve">         FATTPA 1_16</v>
      </c>
      <c r="X8357">
        <v>928.29</v>
      </c>
      <c r="Y8357">
        <v>-185.26</v>
      </c>
      <c r="Z8357"/>
      <c r="AB8357"/>
      <c r="AC8357">
        <v>743.03</v>
      </c>
      <c r="AD8357">
        <v>-58</v>
      </c>
      <c r="AE8357" s="1">
        <v>-43095.74</v>
      </c>
      <c r="AF8357">
        <v>0</v>
      </c>
      <c r="AJ8357">
        <v>0</v>
      </c>
      <c r="AK8357">
        <v>0</v>
      </c>
      <c r="AL8357">
        <v>0</v>
      </c>
      <c r="AM8357">
        <v>-185.26</v>
      </c>
      <c r="AN8357">
        <v>743.03</v>
      </c>
      <c r="AO8357">
        <v>743.03</v>
      </c>
      <c r="AP8357" s="2">
        <v>42746</v>
      </c>
      <c r="AQ8357" t="s">
        <v>72</v>
      </c>
      <c r="AR8357" t="s">
        <v>72</v>
      </c>
      <c r="AS8357">
        <v>555</v>
      </c>
      <c r="AT8357" s="4">
        <v>42426</v>
      </c>
      <c r="AV8357">
        <v>555</v>
      </c>
      <c r="AW8357" s="4">
        <v>42426</v>
      </c>
      <c r="BD8357">
        <v>0</v>
      </c>
      <c r="BN8357" t="s">
        <v>74</v>
      </c>
    </row>
    <row r="8358" spans="1:66">
      <c r="A8358">
        <v>106242</v>
      </c>
      <c r="B8358" s="3" t="s">
        <v>711</v>
      </c>
      <c r="C8358" s="1">
        <v>43300101</v>
      </c>
      <c r="D8358" t="s">
        <v>67</v>
      </c>
      <c r="H8358" t="str">
        <f t="shared" ref="H8358:H8366" si="836">"01788080156"</f>
        <v>01788080156</v>
      </c>
      <c r="I8358" t="str">
        <f t="shared" ref="I8358:I8366" si="837">"02973040963"</f>
        <v>02973040963</v>
      </c>
      <c r="K8358" t="str">
        <f>""</f>
        <v/>
      </c>
      <c r="M8358" t="s">
        <v>68</v>
      </c>
      <c r="N8358" t="str">
        <f t="shared" ref="N8358:N8366" si="838">"FOR"</f>
        <v>FOR</v>
      </c>
      <c r="O8358" t="s">
        <v>69</v>
      </c>
      <c r="P8358" s="3" t="s">
        <v>75</v>
      </c>
      <c r="Q8358">
        <v>2015</v>
      </c>
      <c r="R8358" s="2">
        <v>42268</v>
      </c>
      <c r="S8358" s="2">
        <v>42272</v>
      </c>
      <c r="T8358" s="2">
        <v>42270</v>
      </c>
      <c r="U8358" s="2">
        <v>42330</v>
      </c>
      <c r="V8358" t="s">
        <v>71</v>
      </c>
      <c r="W8358" t="str">
        <f>"          1010308101"</f>
        <v xml:space="preserve">          1010308101</v>
      </c>
      <c r="X8358" s="1">
        <v>2739.5</v>
      </c>
      <c r="Y8358">
        <v>0</v>
      </c>
      <c r="Z8358" s="5">
        <v>2245.4899999999998</v>
      </c>
      <c r="AA8358">
        <v>358</v>
      </c>
      <c r="AB8358" s="5">
        <v>803885.42</v>
      </c>
      <c r="AC8358" s="1">
        <v>2245.4899999999998</v>
      </c>
      <c r="AD8358">
        <v>358</v>
      </c>
      <c r="AE8358" s="1">
        <v>803885.42</v>
      </c>
      <c r="AF8358">
        <v>0</v>
      </c>
      <c r="AJ8358">
        <v>0</v>
      </c>
      <c r="AK8358">
        <v>0</v>
      </c>
      <c r="AL8358">
        <v>0</v>
      </c>
      <c r="AM8358">
        <v>0</v>
      </c>
      <c r="AN8358">
        <v>0</v>
      </c>
      <c r="AO8358">
        <v>0</v>
      </c>
      <c r="AP8358" s="2">
        <v>42746</v>
      </c>
      <c r="AQ8358" t="s">
        <v>72</v>
      </c>
      <c r="AR8358" t="s">
        <v>72</v>
      </c>
      <c r="AS8358">
        <v>3074</v>
      </c>
      <c r="AT8358" s="4">
        <v>42688</v>
      </c>
      <c r="AU8358" t="s">
        <v>73</v>
      </c>
      <c r="AV8358">
        <v>3074</v>
      </c>
      <c r="AW8358" s="4">
        <v>42688</v>
      </c>
      <c r="BD8358">
        <v>0</v>
      </c>
      <c r="BN8358" t="s">
        <v>74</v>
      </c>
    </row>
    <row r="8359" spans="1:66">
      <c r="A8359">
        <v>106242</v>
      </c>
      <c r="B8359" s="3" t="s">
        <v>711</v>
      </c>
      <c r="C8359" s="1">
        <v>43300101</v>
      </c>
      <c r="D8359" t="s">
        <v>67</v>
      </c>
      <c r="H8359" t="str">
        <f t="shared" si="836"/>
        <v>01788080156</v>
      </c>
      <c r="I8359" t="str">
        <f t="shared" si="837"/>
        <v>02973040963</v>
      </c>
      <c r="K8359" t="str">
        <f>""</f>
        <v/>
      </c>
      <c r="M8359" t="s">
        <v>68</v>
      </c>
      <c r="N8359" t="str">
        <f t="shared" si="838"/>
        <v>FOR</v>
      </c>
      <c r="O8359" t="s">
        <v>69</v>
      </c>
      <c r="P8359" s="3" t="s">
        <v>75</v>
      </c>
      <c r="Q8359">
        <v>2015</v>
      </c>
      <c r="R8359" s="2">
        <v>42268</v>
      </c>
      <c r="S8359" s="2">
        <v>42272</v>
      </c>
      <c r="T8359" s="2">
        <v>42270</v>
      </c>
      <c r="U8359" s="2">
        <v>42330</v>
      </c>
      <c r="V8359" t="s">
        <v>71</v>
      </c>
      <c r="W8359" t="str">
        <f>"          1010308580"</f>
        <v xml:space="preserve">          1010308580</v>
      </c>
      <c r="X8359">
        <v>978.88</v>
      </c>
      <c r="Y8359">
        <v>0</v>
      </c>
      <c r="Z8359" s="3">
        <v>802.36</v>
      </c>
      <c r="AA8359">
        <v>358</v>
      </c>
      <c r="AB8359" s="5">
        <v>287244.88</v>
      </c>
      <c r="AC8359">
        <v>802.36</v>
      </c>
      <c r="AD8359">
        <v>358</v>
      </c>
      <c r="AE8359" s="1">
        <v>287244.88</v>
      </c>
      <c r="AF8359">
        <v>0</v>
      </c>
      <c r="AJ8359">
        <v>0</v>
      </c>
      <c r="AK8359">
        <v>0</v>
      </c>
      <c r="AL8359">
        <v>0</v>
      </c>
      <c r="AM8359">
        <v>0</v>
      </c>
      <c r="AN8359">
        <v>0</v>
      </c>
      <c r="AO8359">
        <v>0</v>
      </c>
      <c r="AP8359" s="2">
        <v>42746</v>
      </c>
      <c r="AQ8359" t="s">
        <v>72</v>
      </c>
      <c r="AR8359" t="s">
        <v>72</v>
      </c>
      <c r="AS8359">
        <v>3074</v>
      </c>
      <c r="AT8359" s="4">
        <v>42688</v>
      </c>
      <c r="AU8359" t="s">
        <v>73</v>
      </c>
      <c r="AV8359">
        <v>3074</v>
      </c>
      <c r="AW8359" s="4">
        <v>42688</v>
      </c>
      <c r="BD8359">
        <v>0</v>
      </c>
      <c r="BN8359" t="s">
        <v>74</v>
      </c>
    </row>
    <row r="8360" spans="1:66">
      <c r="A8360">
        <v>106242</v>
      </c>
      <c r="B8360" s="3" t="s">
        <v>711</v>
      </c>
      <c r="C8360" s="1">
        <v>43300101</v>
      </c>
      <c r="D8360" t="s">
        <v>67</v>
      </c>
      <c r="H8360" t="str">
        <f t="shared" si="836"/>
        <v>01788080156</v>
      </c>
      <c r="I8360" t="str">
        <f t="shared" si="837"/>
        <v>02973040963</v>
      </c>
      <c r="K8360" t="str">
        <f>""</f>
        <v/>
      </c>
      <c r="M8360" t="s">
        <v>68</v>
      </c>
      <c r="N8360" t="str">
        <f t="shared" si="838"/>
        <v>FOR</v>
      </c>
      <c r="O8360" t="s">
        <v>69</v>
      </c>
      <c r="P8360" s="3" t="s">
        <v>75</v>
      </c>
      <c r="Q8360">
        <v>2015</v>
      </c>
      <c r="R8360" s="2">
        <v>42268</v>
      </c>
      <c r="S8360" s="2">
        <v>42272</v>
      </c>
      <c r="T8360" s="2">
        <v>42270</v>
      </c>
      <c r="U8360" s="2">
        <v>42330</v>
      </c>
      <c r="V8360" t="s">
        <v>71</v>
      </c>
      <c r="W8360" t="str">
        <f>"          1010308581"</f>
        <v xml:space="preserve">          1010308581</v>
      </c>
      <c r="X8360">
        <v>244.72</v>
      </c>
      <c r="Y8360">
        <v>0</v>
      </c>
      <c r="Z8360" s="3">
        <v>200.59</v>
      </c>
      <c r="AA8360">
        <v>358</v>
      </c>
      <c r="AB8360" s="5">
        <v>71811.22</v>
      </c>
      <c r="AC8360">
        <v>200.59</v>
      </c>
      <c r="AD8360">
        <v>358</v>
      </c>
      <c r="AE8360" s="1">
        <v>71811.22</v>
      </c>
      <c r="AF8360">
        <v>0</v>
      </c>
      <c r="AJ8360">
        <v>0</v>
      </c>
      <c r="AK8360">
        <v>0</v>
      </c>
      <c r="AL8360">
        <v>0</v>
      </c>
      <c r="AM8360">
        <v>0</v>
      </c>
      <c r="AN8360">
        <v>0</v>
      </c>
      <c r="AO8360">
        <v>0</v>
      </c>
      <c r="AP8360" s="2">
        <v>42746</v>
      </c>
      <c r="AQ8360" t="s">
        <v>72</v>
      </c>
      <c r="AR8360" t="s">
        <v>72</v>
      </c>
      <c r="AS8360">
        <v>3074</v>
      </c>
      <c r="AT8360" s="4">
        <v>42688</v>
      </c>
      <c r="AU8360" t="s">
        <v>73</v>
      </c>
      <c r="AV8360">
        <v>3074</v>
      </c>
      <c r="AW8360" s="4">
        <v>42688</v>
      </c>
      <c r="BD8360">
        <v>0</v>
      </c>
      <c r="BN8360" t="s">
        <v>74</v>
      </c>
    </row>
    <row r="8361" spans="1:66">
      <c r="A8361">
        <v>106242</v>
      </c>
      <c r="B8361" s="3" t="s">
        <v>711</v>
      </c>
      <c r="C8361" s="1">
        <v>43300101</v>
      </c>
      <c r="D8361" t="s">
        <v>67</v>
      </c>
      <c r="H8361" t="str">
        <f t="shared" si="836"/>
        <v>01788080156</v>
      </c>
      <c r="I8361" t="str">
        <f t="shared" si="837"/>
        <v>02973040963</v>
      </c>
      <c r="K8361" t="str">
        <f>""</f>
        <v/>
      </c>
      <c r="M8361" t="s">
        <v>68</v>
      </c>
      <c r="N8361" t="str">
        <f t="shared" si="838"/>
        <v>FOR</v>
      </c>
      <c r="O8361" t="s">
        <v>69</v>
      </c>
      <c r="P8361" s="3" t="s">
        <v>75</v>
      </c>
      <c r="Q8361">
        <v>2015</v>
      </c>
      <c r="R8361" s="2">
        <v>42277</v>
      </c>
      <c r="S8361" s="2">
        <v>42278</v>
      </c>
      <c r="T8361" s="2">
        <v>42277</v>
      </c>
      <c r="U8361" s="2">
        <v>42337</v>
      </c>
      <c r="V8361" t="s">
        <v>71</v>
      </c>
      <c r="W8361" t="str">
        <f>"          1010310689"</f>
        <v xml:space="preserve">          1010310689</v>
      </c>
      <c r="X8361" s="1">
        <v>1332.24</v>
      </c>
      <c r="Y8361">
        <v>0</v>
      </c>
      <c r="Z8361" s="5">
        <v>1092</v>
      </c>
      <c r="AA8361">
        <v>351</v>
      </c>
      <c r="AB8361" s="5">
        <v>383292</v>
      </c>
      <c r="AC8361" s="1">
        <v>1092</v>
      </c>
      <c r="AD8361">
        <v>351</v>
      </c>
      <c r="AE8361" s="1">
        <v>383292</v>
      </c>
      <c r="AF8361">
        <v>0</v>
      </c>
      <c r="AJ8361">
        <v>0</v>
      </c>
      <c r="AK8361">
        <v>0</v>
      </c>
      <c r="AL8361">
        <v>0</v>
      </c>
      <c r="AM8361">
        <v>0</v>
      </c>
      <c r="AN8361">
        <v>0</v>
      </c>
      <c r="AO8361">
        <v>0</v>
      </c>
      <c r="AP8361" s="2">
        <v>42746</v>
      </c>
      <c r="AQ8361" t="s">
        <v>72</v>
      </c>
      <c r="AR8361" t="s">
        <v>72</v>
      </c>
      <c r="AS8361">
        <v>3074</v>
      </c>
      <c r="AT8361" s="4">
        <v>42688</v>
      </c>
      <c r="AU8361" t="s">
        <v>73</v>
      </c>
      <c r="AV8361">
        <v>3074</v>
      </c>
      <c r="AW8361" s="4">
        <v>42688</v>
      </c>
      <c r="BD8361">
        <v>0</v>
      </c>
      <c r="BN8361" t="s">
        <v>74</v>
      </c>
    </row>
    <row r="8362" spans="1:66">
      <c r="A8362">
        <v>106242</v>
      </c>
      <c r="B8362" s="3" t="s">
        <v>711</v>
      </c>
      <c r="C8362" s="1">
        <v>43300101</v>
      </c>
      <c r="D8362" t="s">
        <v>67</v>
      </c>
      <c r="H8362" t="str">
        <f t="shared" si="836"/>
        <v>01788080156</v>
      </c>
      <c r="I8362" t="str">
        <f t="shared" si="837"/>
        <v>02973040963</v>
      </c>
      <c r="K8362" t="str">
        <f>""</f>
        <v/>
      </c>
      <c r="M8362" t="s">
        <v>68</v>
      </c>
      <c r="N8362" t="str">
        <f t="shared" si="838"/>
        <v>FOR</v>
      </c>
      <c r="O8362" t="s">
        <v>69</v>
      </c>
      <c r="P8362" s="3" t="s">
        <v>75</v>
      </c>
      <c r="Q8362">
        <v>2015</v>
      </c>
      <c r="R8362" s="2">
        <v>42352</v>
      </c>
      <c r="S8362" s="2">
        <v>42354</v>
      </c>
      <c r="T8362" s="2">
        <v>42353</v>
      </c>
      <c r="U8362" s="2">
        <v>42413</v>
      </c>
      <c r="V8362" t="s">
        <v>71</v>
      </c>
      <c r="W8362" t="str">
        <f>"          1010322261"</f>
        <v xml:space="preserve">          1010322261</v>
      </c>
      <c r="X8362">
        <v>978.88</v>
      </c>
      <c r="Y8362">
        <v>0</v>
      </c>
      <c r="Z8362" s="3">
        <v>802.36</v>
      </c>
      <c r="AA8362">
        <v>275</v>
      </c>
      <c r="AB8362" s="5">
        <v>220649</v>
      </c>
      <c r="AC8362">
        <v>802.36</v>
      </c>
      <c r="AD8362">
        <v>275</v>
      </c>
      <c r="AE8362" s="1">
        <v>220649</v>
      </c>
      <c r="AF8362">
        <v>0</v>
      </c>
      <c r="AJ8362">
        <v>0</v>
      </c>
      <c r="AK8362">
        <v>0</v>
      </c>
      <c r="AL8362">
        <v>0</v>
      </c>
      <c r="AM8362">
        <v>0</v>
      </c>
      <c r="AN8362">
        <v>0</v>
      </c>
      <c r="AO8362">
        <v>0</v>
      </c>
      <c r="AP8362" s="2">
        <v>42746</v>
      </c>
      <c r="AQ8362" t="s">
        <v>72</v>
      </c>
      <c r="AR8362" t="s">
        <v>72</v>
      </c>
      <c r="AS8362">
        <v>3074</v>
      </c>
      <c r="AT8362" s="4">
        <v>42688</v>
      </c>
      <c r="AU8362" t="s">
        <v>73</v>
      </c>
      <c r="AV8362">
        <v>3074</v>
      </c>
      <c r="AW8362" s="4">
        <v>42688</v>
      </c>
      <c r="BD8362">
        <v>0</v>
      </c>
      <c r="BN8362" t="s">
        <v>74</v>
      </c>
    </row>
    <row r="8363" spans="1:66">
      <c r="A8363">
        <v>106242</v>
      </c>
      <c r="B8363" s="3" t="s">
        <v>711</v>
      </c>
      <c r="C8363" s="1">
        <v>43300101</v>
      </c>
      <c r="D8363" t="s">
        <v>67</v>
      </c>
      <c r="H8363" t="str">
        <f t="shared" si="836"/>
        <v>01788080156</v>
      </c>
      <c r="I8363" t="str">
        <f t="shared" si="837"/>
        <v>02973040963</v>
      </c>
      <c r="K8363" t="str">
        <f>""</f>
        <v/>
      </c>
      <c r="M8363" t="s">
        <v>68</v>
      </c>
      <c r="N8363" t="str">
        <f t="shared" si="838"/>
        <v>FOR</v>
      </c>
      <c r="O8363" t="s">
        <v>69</v>
      </c>
      <c r="P8363" s="3" t="s">
        <v>75</v>
      </c>
      <c r="Q8363">
        <v>2015</v>
      </c>
      <c r="R8363" s="2">
        <v>42352</v>
      </c>
      <c r="S8363" s="2">
        <v>42354</v>
      </c>
      <c r="T8363" s="2">
        <v>42353</v>
      </c>
      <c r="U8363" s="2">
        <v>42413</v>
      </c>
      <c r="V8363" t="s">
        <v>71</v>
      </c>
      <c r="W8363" t="str">
        <f>"          1010322262"</f>
        <v xml:space="preserve">          1010322262</v>
      </c>
      <c r="X8363">
        <v>244.72</v>
      </c>
      <c r="Y8363">
        <v>0</v>
      </c>
      <c r="Z8363" s="3">
        <v>200.59</v>
      </c>
      <c r="AA8363">
        <v>305</v>
      </c>
      <c r="AB8363" s="5">
        <v>61179.95</v>
      </c>
      <c r="AC8363">
        <v>200.59</v>
      </c>
      <c r="AD8363">
        <v>305</v>
      </c>
      <c r="AE8363" s="1">
        <v>61179.95</v>
      </c>
      <c r="AF8363">
        <v>44.13</v>
      </c>
      <c r="AJ8363">
        <v>0</v>
      </c>
      <c r="AK8363">
        <v>0</v>
      </c>
      <c r="AL8363">
        <v>0</v>
      </c>
      <c r="AM8363">
        <v>0</v>
      </c>
      <c r="AN8363">
        <v>0</v>
      </c>
      <c r="AO8363">
        <v>0</v>
      </c>
      <c r="AP8363" s="2">
        <v>42746</v>
      </c>
      <c r="AQ8363" t="s">
        <v>72</v>
      </c>
      <c r="AR8363" t="s">
        <v>72</v>
      </c>
      <c r="AS8363">
        <v>3490</v>
      </c>
      <c r="AT8363" s="4">
        <v>42718</v>
      </c>
      <c r="AU8363" t="s">
        <v>73</v>
      </c>
      <c r="AV8363">
        <v>3490</v>
      </c>
      <c r="AW8363" s="4">
        <v>42718</v>
      </c>
      <c r="BD8363">
        <v>44.13</v>
      </c>
      <c r="BN8363" t="s">
        <v>74</v>
      </c>
    </row>
    <row r="8364" spans="1:66">
      <c r="A8364">
        <v>106242</v>
      </c>
      <c r="B8364" s="3" t="s">
        <v>711</v>
      </c>
      <c r="C8364" s="1">
        <v>43300101</v>
      </c>
      <c r="D8364" t="s">
        <v>67</v>
      </c>
      <c r="H8364" t="str">
        <f t="shared" si="836"/>
        <v>01788080156</v>
      </c>
      <c r="I8364" t="str">
        <f t="shared" si="837"/>
        <v>02973040963</v>
      </c>
      <c r="K8364" t="str">
        <f>""</f>
        <v/>
      </c>
      <c r="M8364" t="s">
        <v>68</v>
      </c>
      <c r="N8364" t="str">
        <f t="shared" si="838"/>
        <v>FOR</v>
      </c>
      <c r="O8364" t="s">
        <v>69</v>
      </c>
      <c r="P8364" s="3" t="s">
        <v>75</v>
      </c>
      <c r="Q8364">
        <v>2015</v>
      </c>
      <c r="R8364" s="2">
        <v>42352</v>
      </c>
      <c r="S8364" s="2">
        <v>42354</v>
      </c>
      <c r="T8364" s="2">
        <v>42353</v>
      </c>
      <c r="U8364" s="2">
        <v>42413</v>
      </c>
      <c r="V8364" t="s">
        <v>71</v>
      </c>
      <c r="W8364" t="str">
        <f>"          1010322556"</f>
        <v xml:space="preserve">          1010322556</v>
      </c>
      <c r="X8364" s="1">
        <v>2739.5</v>
      </c>
      <c r="Y8364">
        <v>0</v>
      </c>
      <c r="Z8364" s="5">
        <v>2245.4899999999998</v>
      </c>
      <c r="AA8364">
        <v>275</v>
      </c>
      <c r="AB8364" s="5">
        <v>617509.75</v>
      </c>
      <c r="AC8364" s="1">
        <v>2245.4899999999998</v>
      </c>
      <c r="AD8364">
        <v>275</v>
      </c>
      <c r="AE8364" s="1">
        <v>617509.75</v>
      </c>
      <c r="AF8364">
        <v>0</v>
      </c>
      <c r="AJ8364">
        <v>0</v>
      </c>
      <c r="AK8364">
        <v>0</v>
      </c>
      <c r="AL8364">
        <v>0</v>
      </c>
      <c r="AM8364">
        <v>0</v>
      </c>
      <c r="AN8364">
        <v>0</v>
      </c>
      <c r="AO8364">
        <v>0</v>
      </c>
      <c r="AP8364" s="2">
        <v>42746</v>
      </c>
      <c r="AQ8364" t="s">
        <v>72</v>
      </c>
      <c r="AR8364" t="s">
        <v>72</v>
      </c>
      <c r="AS8364">
        <v>3074</v>
      </c>
      <c r="AT8364" s="4">
        <v>42688</v>
      </c>
      <c r="AU8364" t="s">
        <v>73</v>
      </c>
      <c r="AV8364">
        <v>3074</v>
      </c>
      <c r="AW8364" s="4">
        <v>42688</v>
      </c>
      <c r="BD8364">
        <v>0</v>
      </c>
      <c r="BN8364" t="s">
        <v>74</v>
      </c>
    </row>
    <row r="8365" spans="1:66">
      <c r="A8365">
        <v>106242</v>
      </c>
      <c r="B8365" s="3" t="s">
        <v>711</v>
      </c>
      <c r="C8365" s="1">
        <v>43300101</v>
      </c>
      <c r="D8365" t="s">
        <v>67</v>
      </c>
      <c r="H8365" t="str">
        <f t="shared" si="836"/>
        <v>01788080156</v>
      </c>
      <c r="I8365" t="str">
        <f t="shared" si="837"/>
        <v>02973040963</v>
      </c>
      <c r="K8365" t="str">
        <f>""</f>
        <v/>
      </c>
      <c r="M8365" t="s">
        <v>68</v>
      </c>
      <c r="N8365" t="str">
        <f t="shared" si="838"/>
        <v>FOR</v>
      </c>
      <c r="O8365" t="s">
        <v>69</v>
      </c>
      <c r="P8365" s="3" t="s">
        <v>75</v>
      </c>
      <c r="Q8365">
        <v>2015</v>
      </c>
      <c r="R8365" s="2">
        <v>42369</v>
      </c>
      <c r="S8365" s="2">
        <v>42369</v>
      </c>
      <c r="T8365" s="2">
        <v>42369</v>
      </c>
      <c r="U8365" s="2">
        <v>42429</v>
      </c>
      <c r="V8365" t="s">
        <v>71</v>
      </c>
      <c r="W8365" t="str">
        <f>"          1010327639"</f>
        <v xml:space="preserve">          1010327639</v>
      </c>
      <c r="X8365" s="1">
        <v>1332.24</v>
      </c>
      <c r="Y8365">
        <v>0</v>
      </c>
      <c r="Z8365" s="5">
        <v>1092</v>
      </c>
      <c r="AA8365">
        <v>259</v>
      </c>
      <c r="AB8365" s="5">
        <v>282828</v>
      </c>
      <c r="AC8365" s="1">
        <v>1092</v>
      </c>
      <c r="AD8365">
        <v>259</v>
      </c>
      <c r="AE8365" s="1">
        <v>282828</v>
      </c>
      <c r="AF8365">
        <v>0</v>
      </c>
      <c r="AJ8365">
        <v>0</v>
      </c>
      <c r="AK8365">
        <v>0</v>
      </c>
      <c r="AL8365">
        <v>0</v>
      </c>
      <c r="AM8365">
        <v>0</v>
      </c>
      <c r="AN8365">
        <v>0</v>
      </c>
      <c r="AO8365">
        <v>0</v>
      </c>
      <c r="AP8365" s="2">
        <v>42746</v>
      </c>
      <c r="AQ8365" t="s">
        <v>72</v>
      </c>
      <c r="AR8365" t="s">
        <v>72</v>
      </c>
      <c r="AS8365">
        <v>3074</v>
      </c>
      <c r="AT8365" s="4">
        <v>42688</v>
      </c>
      <c r="AU8365" t="s">
        <v>73</v>
      </c>
      <c r="AV8365">
        <v>3074</v>
      </c>
      <c r="AW8365" s="4">
        <v>42688</v>
      </c>
      <c r="BD8365">
        <v>0</v>
      </c>
      <c r="BN8365" t="s">
        <v>74</v>
      </c>
    </row>
    <row r="8366" spans="1:66">
      <c r="A8366">
        <v>106242</v>
      </c>
      <c r="B8366" s="3" t="s">
        <v>711</v>
      </c>
      <c r="C8366" s="1">
        <v>43300101</v>
      </c>
      <c r="D8366" t="s">
        <v>67</v>
      </c>
      <c r="H8366" t="str">
        <f t="shared" si="836"/>
        <v>01788080156</v>
      </c>
      <c r="I8366" t="str">
        <f t="shared" si="837"/>
        <v>02973040963</v>
      </c>
      <c r="K8366" t="str">
        <f>""</f>
        <v/>
      </c>
      <c r="M8366" t="s">
        <v>68</v>
      </c>
      <c r="N8366" t="str">
        <f t="shared" si="838"/>
        <v>FOR</v>
      </c>
      <c r="O8366" t="s">
        <v>69</v>
      </c>
      <c r="P8366" s="3" t="s">
        <v>75</v>
      </c>
      <c r="Q8366">
        <v>2016</v>
      </c>
      <c r="R8366" s="2">
        <v>42426</v>
      </c>
      <c r="S8366" s="2">
        <v>42429</v>
      </c>
      <c r="T8366" s="2">
        <v>42426</v>
      </c>
      <c r="U8366" s="2">
        <v>42486</v>
      </c>
      <c r="V8366" t="s">
        <v>71</v>
      </c>
      <c r="W8366" t="str">
        <f>"          1010336670"</f>
        <v xml:space="preserve">          1010336670</v>
      </c>
      <c r="X8366">
        <v>21.06</v>
      </c>
      <c r="Y8366">
        <v>0</v>
      </c>
      <c r="Z8366" s="3">
        <v>17.260000000000002</v>
      </c>
      <c r="AA8366">
        <v>202</v>
      </c>
      <c r="AB8366" s="5">
        <v>3486.52</v>
      </c>
      <c r="AC8366">
        <v>17.260000000000002</v>
      </c>
      <c r="AD8366">
        <v>202</v>
      </c>
      <c r="AE8366" s="1">
        <v>3486.52</v>
      </c>
      <c r="AF8366">
        <v>0</v>
      </c>
      <c r="AJ8366">
        <v>0</v>
      </c>
      <c r="AK8366">
        <v>0</v>
      </c>
      <c r="AL8366">
        <v>0</v>
      </c>
      <c r="AM8366">
        <v>21.06</v>
      </c>
      <c r="AN8366">
        <v>21.06</v>
      </c>
      <c r="AO8366">
        <v>21.06</v>
      </c>
      <c r="AP8366" s="2">
        <v>42746</v>
      </c>
      <c r="AQ8366" t="s">
        <v>72</v>
      </c>
      <c r="AR8366" t="s">
        <v>72</v>
      </c>
      <c r="AS8366">
        <v>3074</v>
      </c>
      <c r="AT8366" s="4">
        <v>42688</v>
      </c>
      <c r="AU8366" t="s">
        <v>73</v>
      </c>
      <c r="AV8366">
        <v>3074</v>
      </c>
      <c r="AW8366" s="4">
        <v>42688</v>
      </c>
      <c r="BD8366">
        <v>0</v>
      </c>
      <c r="BN8366" t="s">
        <v>74</v>
      </c>
    </row>
    <row r="8367" spans="1:66" hidden="1">
      <c r="A8367">
        <v>106243</v>
      </c>
      <c r="B8367" s="3" t="s">
        <v>712</v>
      </c>
      <c r="C8367" s="1">
        <v>43500101</v>
      </c>
      <c r="D8367" t="s">
        <v>113</v>
      </c>
      <c r="H8367" t="str">
        <f t="shared" ref="H8367:H8375" si="839">"MLLCCT90A53F839L"</f>
        <v>MLLCCT90A53F839L</v>
      </c>
      <c r="I8367" t="str">
        <f t="shared" ref="I8367:I8375" si="840">"07277861212"</f>
        <v>07277861212</v>
      </c>
      <c r="K8367" t="str">
        <f>""</f>
        <v/>
      </c>
      <c r="M8367" t="s">
        <v>68</v>
      </c>
      <c r="N8367" t="str">
        <f t="shared" ref="N8367:N8384" si="841">"ALTPRO"</f>
        <v>ALTPRO</v>
      </c>
      <c r="O8367" t="s">
        <v>132</v>
      </c>
      <c r="P8367" s="3" t="s">
        <v>75</v>
      </c>
      <c r="Q8367">
        <v>2016</v>
      </c>
      <c r="R8367" s="2">
        <v>42396</v>
      </c>
      <c r="S8367" s="2">
        <v>42444</v>
      </c>
      <c r="T8367" s="2">
        <v>42436</v>
      </c>
      <c r="U8367" s="2">
        <v>42496</v>
      </c>
      <c r="V8367" t="s">
        <v>71</v>
      </c>
      <c r="W8367" t="str">
        <f>"                   2"</f>
        <v xml:space="preserve">                   2</v>
      </c>
      <c r="X8367">
        <v>418.66</v>
      </c>
      <c r="Y8367">
        <v>0</v>
      </c>
      <c r="Z8367"/>
      <c r="AB8367"/>
      <c r="AC8367">
        <v>418.66</v>
      </c>
      <c r="AD8367">
        <v>31</v>
      </c>
      <c r="AE8367" s="1">
        <v>12978.46</v>
      </c>
      <c r="AF8367">
        <v>0</v>
      </c>
      <c r="AJ8367">
        <v>0</v>
      </c>
      <c r="AK8367">
        <v>0</v>
      </c>
      <c r="AL8367">
        <v>0</v>
      </c>
      <c r="AM8367">
        <v>418.66</v>
      </c>
      <c r="AN8367">
        <v>418.66</v>
      </c>
      <c r="AO8367">
        <v>418.66</v>
      </c>
      <c r="AP8367" s="2">
        <v>42746</v>
      </c>
      <c r="AQ8367" t="s">
        <v>72</v>
      </c>
      <c r="AR8367" t="s">
        <v>72</v>
      </c>
      <c r="AS8367">
        <v>1486</v>
      </c>
      <c r="AT8367" s="4">
        <v>42527</v>
      </c>
      <c r="AU8367" t="s">
        <v>73</v>
      </c>
      <c r="AV8367">
        <v>1486</v>
      </c>
      <c r="AW8367" s="4">
        <v>42527</v>
      </c>
      <c r="BD8367">
        <v>0</v>
      </c>
      <c r="BN8367" t="s">
        <v>74</v>
      </c>
    </row>
    <row r="8368" spans="1:66" hidden="1">
      <c r="A8368">
        <v>106243</v>
      </c>
      <c r="B8368" s="3" t="s">
        <v>712</v>
      </c>
      <c r="C8368" s="1">
        <v>43500101</v>
      </c>
      <c r="D8368" t="s">
        <v>113</v>
      </c>
      <c r="H8368" t="str">
        <f t="shared" si="839"/>
        <v>MLLCCT90A53F839L</v>
      </c>
      <c r="I8368" t="str">
        <f t="shared" si="840"/>
        <v>07277861212</v>
      </c>
      <c r="K8368" t="str">
        <f>""</f>
        <v/>
      </c>
      <c r="M8368" t="s">
        <v>68</v>
      </c>
      <c r="N8368" t="str">
        <f t="shared" si="841"/>
        <v>ALTPRO</v>
      </c>
      <c r="O8368" t="s">
        <v>132</v>
      </c>
      <c r="P8368" s="3" t="s">
        <v>75</v>
      </c>
      <c r="Q8368">
        <v>2016</v>
      </c>
      <c r="R8368" s="2">
        <v>42424</v>
      </c>
      <c r="S8368" s="2">
        <v>42446</v>
      </c>
      <c r="T8368" s="2">
        <v>42446</v>
      </c>
      <c r="U8368" s="2">
        <v>42506</v>
      </c>
      <c r="V8368" t="s">
        <v>71</v>
      </c>
      <c r="W8368" t="str">
        <f>"                   3"</f>
        <v xml:space="preserve">                   3</v>
      </c>
      <c r="X8368">
        <v>418.66</v>
      </c>
      <c r="Y8368">
        <v>0</v>
      </c>
      <c r="Z8368"/>
      <c r="AB8368"/>
      <c r="AC8368">
        <v>418.66</v>
      </c>
      <c r="AD8368">
        <v>21</v>
      </c>
      <c r="AE8368" s="1">
        <v>8791.86</v>
      </c>
      <c r="AF8368">
        <v>0</v>
      </c>
      <c r="AJ8368">
        <v>0</v>
      </c>
      <c r="AK8368">
        <v>0</v>
      </c>
      <c r="AL8368">
        <v>0</v>
      </c>
      <c r="AM8368">
        <v>418.66</v>
      </c>
      <c r="AN8368">
        <v>418.66</v>
      </c>
      <c r="AO8368">
        <v>418.66</v>
      </c>
      <c r="AP8368" s="2">
        <v>42746</v>
      </c>
      <c r="AQ8368" t="s">
        <v>72</v>
      </c>
      <c r="AR8368" t="s">
        <v>72</v>
      </c>
      <c r="AS8368">
        <v>1486</v>
      </c>
      <c r="AT8368" s="4">
        <v>42527</v>
      </c>
      <c r="AU8368" t="s">
        <v>73</v>
      </c>
      <c r="AV8368">
        <v>1486</v>
      </c>
      <c r="AW8368" s="4">
        <v>42527</v>
      </c>
      <c r="BD8368">
        <v>0</v>
      </c>
      <c r="BN8368" t="s">
        <v>74</v>
      </c>
    </row>
    <row r="8369" spans="1:66" hidden="1">
      <c r="A8369">
        <v>106243</v>
      </c>
      <c r="B8369" s="3" t="s">
        <v>712</v>
      </c>
      <c r="C8369" s="1">
        <v>43500101</v>
      </c>
      <c r="D8369" t="s">
        <v>113</v>
      </c>
      <c r="H8369" t="str">
        <f t="shared" si="839"/>
        <v>MLLCCT90A53F839L</v>
      </c>
      <c r="I8369" t="str">
        <f t="shared" si="840"/>
        <v>07277861212</v>
      </c>
      <c r="K8369" t="str">
        <f>""</f>
        <v/>
      </c>
      <c r="M8369" t="s">
        <v>68</v>
      </c>
      <c r="N8369" t="str">
        <f t="shared" si="841"/>
        <v>ALTPRO</v>
      </c>
      <c r="O8369" t="s">
        <v>132</v>
      </c>
      <c r="P8369" s="3" t="s">
        <v>75</v>
      </c>
      <c r="Q8369">
        <v>2016</v>
      </c>
      <c r="R8369" s="2">
        <v>42487</v>
      </c>
      <c r="S8369" s="2">
        <v>42492</v>
      </c>
      <c r="T8369" s="2">
        <v>42492</v>
      </c>
      <c r="U8369" s="2">
        <v>42552</v>
      </c>
      <c r="V8369" t="s">
        <v>71</v>
      </c>
      <c r="W8369" t="str">
        <f>"                   6"</f>
        <v xml:space="preserve">                   6</v>
      </c>
      <c r="X8369">
        <v>418.66</v>
      </c>
      <c r="Y8369">
        <v>0</v>
      </c>
      <c r="Z8369"/>
      <c r="AB8369"/>
      <c r="AC8369">
        <v>418.66</v>
      </c>
      <c r="AD8369">
        <v>-25</v>
      </c>
      <c r="AE8369" s="1">
        <v>-10466.5</v>
      </c>
      <c r="AF8369">
        <v>0</v>
      </c>
      <c r="AJ8369">
        <v>0</v>
      </c>
      <c r="AK8369">
        <v>0</v>
      </c>
      <c r="AL8369">
        <v>0</v>
      </c>
      <c r="AM8369">
        <v>418.66</v>
      </c>
      <c r="AN8369">
        <v>418.66</v>
      </c>
      <c r="AO8369">
        <v>418.66</v>
      </c>
      <c r="AP8369" s="2">
        <v>42746</v>
      </c>
      <c r="AQ8369" t="s">
        <v>72</v>
      </c>
      <c r="AR8369" t="s">
        <v>72</v>
      </c>
      <c r="AS8369">
        <v>1486</v>
      </c>
      <c r="AT8369" s="4">
        <v>42527</v>
      </c>
      <c r="AV8369">
        <v>1486</v>
      </c>
      <c r="AW8369" s="4">
        <v>42527</v>
      </c>
      <c r="BD8369">
        <v>0</v>
      </c>
      <c r="BN8369" t="s">
        <v>74</v>
      </c>
    </row>
    <row r="8370" spans="1:66" hidden="1">
      <c r="A8370">
        <v>106243</v>
      </c>
      <c r="B8370" s="3" t="s">
        <v>712</v>
      </c>
      <c r="C8370" s="1">
        <v>43500101</v>
      </c>
      <c r="D8370" t="s">
        <v>113</v>
      </c>
      <c r="H8370" t="str">
        <f t="shared" si="839"/>
        <v>MLLCCT90A53F839L</v>
      </c>
      <c r="I8370" t="str">
        <f t="shared" si="840"/>
        <v>07277861212</v>
      </c>
      <c r="K8370" t="str">
        <f>""</f>
        <v/>
      </c>
      <c r="M8370" t="s">
        <v>68</v>
      </c>
      <c r="N8370" t="str">
        <f t="shared" si="841"/>
        <v>ALTPRO</v>
      </c>
      <c r="O8370" t="s">
        <v>132</v>
      </c>
      <c r="P8370" s="3" t="s">
        <v>75</v>
      </c>
      <c r="Q8370">
        <v>2016</v>
      </c>
      <c r="R8370" s="2">
        <v>42382</v>
      </c>
      <c r="S8370" s="2">
        <v>42384</v>
      </c>
      <c r="T8370" s="2">
        <v>42384</v>
      </c>
      <c r="U8370" s="2">
        <v>42444</v>
      </c>
      <c r="V8370" t="s">
        <v>71</v>
      </c>
      <c r="W8370" t="str">
        <f>"                  01"</f>
        <v xml:space="preserve">                  01</v>
      </c>
      <c r="X8370">
        <v>418.66</v>
      </c>
      <c r="Y8370">
        <v>0</v>
      </c>
      <c r="Z8370"/>
      <c r="AB8370"/>
      <c r="AC8370">
        <v>418.66</v>
      </c>
      <c r="AD8370">
        <v>-47</v>
      </c>
      <c r="AE8370" s="1">
        <v>-19677.02</v>
      </c>
      <c r="AF8370">
        <v>0</v>
      </c>
      <c r="AJ8370">
        <v>0</v>
      </c>
      <c r="AK8370">
        <v>0</v>
      </c>
      <c r="AL8370">
        <v>0</v>
      </c>
      <c r="AM8370">
        <v>418.66</v>
      </c>
      <c r="AN8370">
        <v>418.66</v>
      </c>
      <c r="AO8370">
        <v>418.66</v>
      </c>
      <c r="AP8370" s="2">
        <v>42746</v>
      </c>
      <c r="AQ8370" t="s">
        <v>72</v>
      </c>
      <c r="AR8370" t="s">
        <v>72</v>
      </c>
      <c r="AS8370">
        <v>141</v>
      </c>
      <c r="AT8370" s="4">
        <v>42397</v>
      </c>
      <c r="AV8370">
        <v>141</v>
      </c>
      <c r="AW8370" s="4">
        <v>42397</v>
      </c>
      <c r="BD8370">
        <v>0</v>
      </c>
      <c r="BN8370" t="s">
        <v>74</v>
      </c>
    </row>
    <row r="8371" spans="1:66" hidden="1">
      <c r="A8371">
        <v>106243</v>
      </c>
      <c r="B8371" s="3" t="s">
        <v>712</v>
      </c>
      <c r="C8371" s="1">
        <v>43500101</v>
      </c>
      <c r="D8371" t="s">
        <v>113</v>
      </c>
      <c r="H8371" t="str">
        <f t="shared" si="839"/>
        <v>MLLCCT90A53F839L</v>
      </c>
      <c r="I8371" t="str">
        <f t="shared" si="840"/>
        <v>07277861212</v>
      </c>
      <c r="K8371" t="str">
        <f>""</f>
        <v/>
      </c>
      <c r="M8371" t="s">
        <v>68</v>
      </c>
      <c r="N8371" t="str">
        <f t="shared" si="841"/>
        <v>ALTPRO</v>
      </c>
      <c r="O8371" t="s">
        <v>132</v>
      </c>
      <c r="P8371" s="3" t="s">
        <v>75</v>
      </c>
      <c r="Q8371">
        <v>2016</v>
      </c>
      <c r="R8371" s="2">
        <v>42460</v>
      </c>
      <c r="S8371" s="2">
        <v>42465</v>
      </c>
      <c r="T8371" s="2">
        <v>42465</v>
      </c>
      <c r="U8371" s="2">
        <v>42525</v>
      </c>
      <c r="V8371" t="s">
        <v>71</v>
      </c>
      <c r="W8371" t="str">
        <f>"                  04"</f>
        <v xml:space="preserve">                  04</v>
      </c>
      <c r="X8371">
        <v>418.66</v>
      </c>
      <c r="Y8371">
        <v>0</v>
      </c>
      <c r="Z8371"/>
      <c r="AB8371"/>
      <c r="AC8371">
        <v>418.66</v>
      </c>
      <c r="AD8371">
        <v>2</v>
      </c>
      <c r="AE8371">
        <v>837.32</v>
      </c>
      <c r="AF8371">
        <v>0</v>
      </c>
      <c r="AJ8371">
        <v>0</v>
      </c>
      <c r="AK8371">
        <v>0</v>
      </c>
      <c r="AL8371">
        <v>0</v>
      </c>
      <c r="AM8371">
        <v>418.66</v>
      </c>
      <c r="AN8371">
        <v>418.66</v>
      </c>
      <c r="AO8371">
        <v>418.66</v>
      </c>
      <c r="AP8371" s="2">
        <v>42746</v>
      </c>
      <c r="AQ8371" t="s">
        <v>72</v>
      </c>
      <c r="AR8371" t="s">
        <v>72</v>
      </c>
      <c r="AS8371">
        <v>1486</v>
      </c>
      <c r="AT8371" s="4">
        <v>42527</v>
      </c>
      <c r="AU8371" t="s">
        <v>73</v>
      </c>
      <c r="AV8371">
        <v>1486</v>
      </c>
      <c r="AW8371" s="4">
        <v>42527</v>
      </c>
      <c r="BD8371">
        <v>0</v>
      </c>
      <c r="BN8371" t="s">
        <v>74</v>
      </c>
    </row>
    <row r="8372" spans="1:66" hidden="1">
      <c r="A8372">
        <v>106243</v>
      </c>
      <c r="B8372" s="3" t="s">
        <v>712</v>
      </c>
      <c r="C8372" s="1">
        <v>43500101</v>
      </c>
      <c r="D8372" t="s">
        <v>113</v>
      </c>
      <c r="H8372" t="str">
        <f t="shared" si="839"/>
        <v>MLLCCT90A53F839L</v>
      </c>
      <c r="I8372" t="str">
        <f t="shared" si="840"/>
        <v>07277861212</v>
      </c>
      <c r="K8372" t="str">
        <f>""</f>
        <v/>
      </c>
      <c r="M8372" t="s">
        <v>68</v>
      </c>
      <c r="N8372" t="str">
        <f t="shared" si="841"/>
        <v>ALTPRO</v>
      </c>
      <c r="O8372" t="s">
        <v>132</v>
      </c>
      <c r="P8372" s="3" t="s">
        <v>75</v>
      </c>
      <c r="Q8372">
        <v>2016</v>
      </c>
      <c r="R8372" s="2">
        <v>42520</v>
      </c>
      <c r="S8372" s="2">
        <v>42530</v>
      </c>
      <c r="T8372" s="2">
        <v>42529</v>
      </c>
      <c r="U8372" s="2">
        <v>42589</v>
      </c>
      <c r="V8372" t="s">
        <v>71</v>
      </c>
      <c r="W8372" t="str">
        <f>"                  07"</f>
        <v xml:space="preserve">                  07</v>
      </c>
      <c r="X8372">
        <v>418.66</v>
      </c>
      <c r="Y8372">
        <v>0</v>
      </c>
      <c r="Z8372"/>
      <c r="AB8372"/>
      <c r="AC8372">
        <v>418.66</v>
      </c>
      <c r="AD8372">
        <v>-37</v>
      </c>
      <c r="AE8372" s="1">
        <v>-15490.42</v>
      </c>
      <c r="AF8372">
        <v>0</v>
      </c>
      <c r="AJ8372">
        <v>0</v>
      </c>
      <c r="AK8372">
        <v>0</v>
      </c>
      <c r="AL8372">
        <v>0</v>
      </c>
      <c r="AM8372">
        <v>418.66</v>
      </c>
      <c r="AN8372">
        <v>418.66</v>
      </c>
      <c r="AO8372">
        <v>418.66</v>
      </c>
      <c r="AP8372" s="2">
        <v>42746</v>
      </c>
      <c r="AQ8372" t="s">
        <v>72</v>
      </c>
      <c r="AR8372" t="s">
        <v>72</v>
      </c>
      <c r="AS8372">
        <v>1658</v>
      </c>
      <c r="AT8372" s="4">
        <v>42552</v>
      </c>
      <c r="AV8372">
        <v>1658</v>
      </c>
      <c r="AW8372" s="4">
        <v>42552</v>
      </c>
      <c r="BD8372">
        <v>0</v>
      </c>
      <c r="BN8372" t="s">
        <v>74</v>
      </c>
    </row>
    <row r="8373" spans="1:66" hidden="1">
      <c r="A8373">
        <v>106243</v>
      </c>
      <c r="B8373" s="3" t="s">
        <v>712</v>
      </c>
      <c r="C8373" s="1">
        <v>43500101</v>
      </c>
      <c r="D8373" t="s">
        <v>113</v>
      </c>
      <c r="H8373" t="str">
        <f t="shared" si="839"/>
        <v>MLLCCT90A53F839L</v>
      </c>
      <c r="I8373" t="str">
        <f t="shared" si="840"/>
        <v>07277861212</v>
      </c>
      <c r="K8373" t="str">
        <f>""</f>
        <v/>
      </c>
      <c r="M8373" t="s">
        <v>68</v>
      </c>
      <c r="N8373" t="str">
        <f t="shared" si="841"/>
        <v>ALTPRO</v>
      </c>
      <c r="O8373" t="s">
        <v>132</v>
      </c>
      <c r="P8373" s="3" t="s">
        <v>75</v>
      </c>
      <c r="Q8373">
        <v>2016</v>
      </c>
      <c r="R8373" s="2">
        <v>42548</v>
      </c>
      <c r="S8373" s="2">
        <v>42557</v>
      </c>
      <c r="T8373" s="2">
        <v>42556</v>
      </c>
      <c r="U8373" s="2">
        <v>42616</v>
      </c>
      <c r="V8373" t="s">
        <v>71</v>
      </c>
      <c r="W8373" t="str">
        <f>"                  08"</f>
        <v xml:space="preserve">                  08</v>
      </c>
      <c r="X8373">
        <v>418.66</v>
      </c>
      <c r="Y8373">
        <v>0</v>
      </c>
      <c r="Z8373"/>
      <c r="AB8373"/>
      <c r="AC8373">
        <v>418.66</v>
      </c>
      <c r="AD8373">
        <v>2</v>
      </c>
      <c r="AE8373">
        <v>837.32</v>
      </c>
      <c r="AF8373">
        <v>0</v>
      </c>
      <c r="AJ8373">
        <v>0</v>
      </c>
      <c r="AK8373">
        <v>0</v>
      </c>
      <c r="AL8373">
        <v>0</v>
      </c>
      <c r="AM8373">
        <v>418.66</v>
      </c>
      <c r="AN8373">
        <v>418.66</v>
      </c>
      <c r="AO8373">
        <v>418.66</v>
      </c>
      <c r="AP8373" s="2">
        <v>42746</v>
      </c>
      <c r="AQ8373" t="s">
        <v>72</v>
      </c>
      <c r="AR8373" t="s">
        <v>72</v>
      </c>
      <c r="AS8373">
        <v>2238</v>
      </c>
      <c r="AT8373" s="4">
        <v>42618</v>
      </c>
      <c r="AU8373" t="s">
        <v>73</v>
      </c>
      <c r="AV8373">
        <v>2238</v>
      </c>
      <c r="AW8373" s="4">
        <v>42618</v>
      </c>
      <c r="BD8373">
        <v>0</v>
      </c>
      <c r="BN8373" t="s">
        <v>74</v>
      </c>
    </row>
    <row r="8374" spans="1:66" hidden="1">
      <c r="A8374">
        <v>106243</v>
      </c>
      <c r="B8374" s="3" t="s">
        <v>712</v>
      </c>
      <c r="C8374" s="1">
        <v>43500101</v>
      </c>
      <c r="D8374" t="s">
        <v>113</v>
      </c>
      <c r="H8374" t="str">
        <f t="shared" si="839"/>
        <v>MLLCCT90A53F839L</v>
      </c>
      <c r="I8374" t="str">
        <f t="shared" si="840"/>
        <v>07277861212</v>
      </c>
      <c r="K8374" t="str">
        <f>""</f>
        <v/>
      </c>
      <c r="M8374" t="s">
        <v>68</v>
      </c>
      <c r="N8374" t="str">
        <f t="shared" si="841"/>
        <v>ALTPRO</v>
      </c>
      <c r="O8374" t="s">
        <v>132</v>
      </c>
      <c r="P8374" s="3" t="s">
        <v>75</v>
      </c>
      <c r="Q8374">
        <v>2016</v>
      </c>
      <c r="R8374" s="2">
        <v>42580</v>
      </c>
      <c r="S8374" s="2">
        <v>42587</v>
      </c>
      <c r="T8374" s="2">
        <v>42586</v>
      </c>
      <c r="U8374" s="2">
        <v>42646</v>
      </c>
      <c r="V8374" t="s">
        <v>71</v>
      </c>
      <c r="W8374" t="str">
        <f>"                  10"</f>
        <v xml:space="preserve">                  10</v>
      </c>
      <c r="X8374">
        <v>418.66</v>
      </c>
      <c r="Y8374">
        <v>0</v>
      </c>
      <c r="Z8374"/>
      <c r="AB8374"/>
      <c r="AC8374">
        <v>418.66</v>
      </c>
      <c r="AD8374">
        <v>-28</v>
      </c>
      <c r="AE8374" s="1">
        <v>-11722.48</v>
      </c>
      <c r="AF8374">
        <v>0</v>
      </c>
      <c r="AJ8374">
        <v>0</v>
      </c>
      <c r="AK8374">
        <v>0</v>
      </c>
      <c r="AL8374">
        <v>0</v>
      </c>
      <c r="AM8374">
        <v>418.66</v>
      </c>
      <c r="AN8374">
        <v>418.66</v>
      </c>
      <c r="AO8374">
        <v>418.66</v>
      </c>
      <c r="AP8374" s="2">
        <v>42746</v>
      </c>
      <c r="AQ8374" t="s">
        <v>72</v>
      </c>
      <c r="AR8374" t="s">
        <v>72</v>
      </c>
      <c r="AS8374">
        <v>2238</v>
      </c>
      <c r="AT8374" s="4">
        <v>42618</v>
      </c>
      <c r="AV8374">
        <v>2238</v>
      </c>
      <c r="AW8374" s="4">
        <v>42618</v>
      </c>
      <c r="BD8374">
        <v>0</v>
      </c>
      <c r="BN8374" t="s">
        <v>74</v>
      </c>
    </row>
    <row r="8375" spans="1:66">
      <c r="A8375">
        <v>106243</v>
      </c>
      <c r="B8375" s="3" t="s">
        <v>712</v>
      </c>
      <c r="C8375" s="1">
        <v>43500101</v>
      </c>
      <c r="D8375" t="s">
        <v>113</v>
      </c>
      <c r="H8375" t="str">
        <f t="shared" si="839"/>
        <v>MLLCCT90A53F839L</v>
      </c>
      <c r="I8375" t="str">
        <f t="shared" si="840"/>
        <v>07277861212</v>
      </c>
      <c r="K8375" t="str">
        <f>""</f>
        <v/>
      </c>
      <c r="M8375" t="s">
        <v>68</v>
      </c>
      <c r="N8375" t="str">
        <f t="shared" si="841"/>
        <v>ALTPRO</v>
      </c>
      <c r="O8375" t="s">
        <v>132</v>
      </c>
      <c r="P8375" s="3" t="s">
        <v>75</v>
      </c>
      <c r="Q8375">
        <v>2016</v>
      </c>
      <c r="R8375" s="2">
        <v>42613</v>
      </c>
      <c r="S8375" s="2">
        <v>42627</v>
      </c>
      <c r="T8375" s="2">
        <v>42626</v>
      </c>
      <c r="U8375" s="2">
        <v>42686</v>
      </c>
      <c r="V8375" t="s">
        <v>71</v>
      </c>
      <c r="W8375" t="str">
        <f>"                  11"</f>
        <v xml:space="preserve">                  11</v>
      </c>
      <c r="X8375">
        <v>416.66</v>
      </c>
      <c r="Y8375">
        <v>0</v>
      </c>
      <c r="Z8375" s="3">
        <v>416.66</v>
      </c>
      <c r="AA8375">
        <v>-40</v>
      </c>
      <c r="AB8375" s="5">
        <v>-16666.400000000001</v>
      </c>
      <c r="AC8375">
        <v>416.66</v>
      </c>
      <c r="AD8375">
        <v>-40</v>
      </c>
      <c r="AE8375" s="1">
        <v>-16666.400000000001</v>
      </c>
      <c r="AF8375">
        <v>0</v>
      </c>
      <c r="AJ8375">
        <v>0</v>
      </c>
      <c r="AK8375">
        <v>0</v>
      </c>
      <c r="AL8375">
        <v>0</v>
      </c>
      <c r="AM8375">
        <v>416.66</v>
      </c>
      <c r="AN8375">
        <v>416.66</v>
      </c>
      <c r="AO8375">
        <v>416.66</v>
      </c>
      <c r="AP8375" s="2">
        <v>42746</v>
      </c>
      <c r="AQ8375" t="s">
        <v>72</v>
      </c>
      <c r="AR8375" t="s">
        <v>72</v>
      </c>
      <c r="AS8375">
        <v>2536</v>
      </c>
      <c r="AT8375" s="4">
        <v>42646</v>
      </c>
      <c r="AV8375">
        <v>2536</v>
      </c>
      <c r="AW8375" s="4">
        <v>42646</v>
      </c>
      <c r="BD8375">
        <v>0</v>
      </c>
      <c r="BN8375" t="s">
        <v>74</v>
      </c>
    </row>
    <row r="8376" spans="1:66" hidden="1">
      <c r="A8376">
        <v>106246</v>
      </c>
      <c r="B8376" s="3" t="s">
        <v>713</v>
      </c>
      <c r="C8376" s="1">
        <v>43500101</v>
      </c>
      <c r="D8376" t="s">
        <v>113</v>
      </c>
      <c r="H8376" t="str">
        <f t="shared" ref="H8376:H8384" si="842">"ZRGNNL83L62A783M"</f>
        <v>ZRGNNL83L62A783M</v>
      </c>
      <c r="I8376" t="str">
        <f t="shared" ref="I8376:I8384" si="843">"01548180627"</f>
        <v>01548180627</v>
      </c>
      <c r="K8376" t="str">
        <f>""</f>
        <v/>
      </c>
      <c r="M8376" t="s">
        <v>68</v>
      </c>
      <c r="N8376" t="str">
        <f t="shared" si="841"/>
        <v>ALTPRO</v>
      </c>
      <c r="O8376" t="s">
        <v>132</v>
      </c>
      <c r="P8376" s="3" t="s">
        <v>75</v>
      </c>
      <c r="Q8376">
        <v>2016</v>
      </c>
      <c r="R8376" s="2">
        <v>42374</v>
      </c>
      <c r="S8376" s="2">
        <v>42389</v>
      </c>
      <c r="T8376" s="2">
        <v>42388</v>
      </c>
      <c r="U8376" s="2">
        <v>42448</v>
      </c>
      <c r="V8376" t="s">
        <v>71</v>
      </c>
      <c r="W8376" t="str">
        <f>"         FATTPA 1_16"</f>
        <v xml:space="preserve">         FATTPA 1_16</v>
      </c>
      <c r="X8376">
        <v>419</v>
      </c>
      <c r="Y8376">
        <v>0</v>
      </c>
      <c r="Z8376"/>
      <c r="AB8376"/>
      <c r="AC8376">
        <v>419</v>
      </c>
      <c r="AD8376">
        <v>-51</v>
      </c>
      <c r="AE8376" s="1">
        <v>-21369</v>
      </c>
      <c r="AF8376">
        <v>0</v>
      </c>
      <c r="AJ8376">
        <v>0</v>
      </c>
      <c r="AK8376">
        <v>0</v>
      </c>
      <c r="AL8376">
        <v>0</v>
      </c>
      <c r="AM8376">
        <v>419</v>
      </c>
      <c r="AN8376">
        <v>419</v>
      </c>
      <c r="AO8376">
        <v>419</v>
      </c>
      <c r="AP8376" s="2">
        <v>42746</v>
      </c>
      <c r="AQ8376" t="s">
        <v>72</v>
      </c>
      <c r="AR8376" t="s">
        <v>72</v>
      </c>
      <c r="AS8376">
        <v>140</v>
      </c>
      <c r="AT8376" s="4">
        <v>42397</v>
      </c>
      <c r="AV8376">
        <v>140</v>
      </c>
      <c r="AW8376" s="4">
        <v>42397</v>
      </c>
      <c r="BD8376">
        <v>0</v>
      </c>
      <c r="BN8376" t="s">
        <v>74</v>
      </c>
    </row>
    <row r="8377" spans="1:66" hidden="1">
      <c r="A8377">
        <v>106246</v>
      </c>
      <c r="B8377" s="3" t="s">
        <v>713</v>
      </c>
      <c r="C8377" s="1">
        <v>43500101</v>
      </c>
      <c r="D8377" t="s">
        <v>113</v>
      </c>
      <c r="H8377" t="str">
        <f t="shared" si="842"/>
        <v>ZRGNNL83L62A783M</v>
      </c>
      <c r="I8377" t="str">
        <f t="shared" si="843"/>
        <v>01548180627</v>
      </c>
      <c r="K8377" t="str">
        <f>""</f>
        <v/>
      </c>
      <c r="M8377" t="s">
        <v>68</v>
      </c>
      <c r="N8377" t="str">
        <f t="shared" si="841"/>
        <v>ALTPRO</v>
      </c>
      <c r="O8377" t="s">
        <v>132</v>
      </c>
      <c r="P8377" s="3" t="s">
        <v>75</v>
      </c>
      <c r="Q8377">
        <v>2016</v>
      </c>
      <c r="R8377" s="2">
        <v>42388</v>
      </c>
      <c r="S8377" s="2">
        <v>42461</v>
      </c>
      <c r="T8377" s="2">
        <v>42458</v>
      </c>
      <c r="U8377" s="2">
        <v>42518</v>
      </c>
      <c r="V8377" t="s">
        <v>71</v>
      </c>
      <c r="W8377" t="str">
        <f>"         FATTPA 2_16"</f>
        <v xml:space="preserve">         FATTPA 2_16</v>
      </c>
      <c r="X8377">
        <v>419</v>
      </c>
      <c r="Y8377">
        <v>0</v>
      </c>
      <c r="Z8377"/>
      <c r="AB8377"/>
      <c r="AC8377">
        <v>419</v>
      </c>
      <c r="AD8377">
        <v>9</v>
      </c>
      <c r="AE8377" s="1">
        <v>3771</v>
      </c>
      <c r="AF8377">
        <v>0</v>
      </c>
      <c r="AJ8377">
        <v>0</v>
      </c>
      <c r="AK8377">
        <v>0</v>
      </c>
      <c r="AL8377">
        <v>0</v>
      </c>
      <c r="AM8377">
        <v>419</v>
      </c>
      <c r="AN8377">
        <v>419</v>
      </c>
      <c r="AO8377">
        <v>419</v>
      </c>
      <c r="AP8377" s="2">
        <v>42746</v>
      </c>
      <c r="AQ8377" t="s">
        <v>72</v>
      </c>
      <c r="AR8377" t="s">
        <v>72</v>
      </c>
      <c r="AS8377">
        <v>1487</v>
      </c>
      <c r="AT8377" s="4">
        <v>42527</v>
      </c>
      <c r="AU8377" t="s">
        <v>73</v>
      </c>
      <c r="AV8377">
        <v>1487</v>
      </c>
      <c r="AW8377" s="4">
        <v>42527</v>
      </c>
      <c r="BD8377">
        <v>0</v>
      </c>
      <c r="BN8377" t="s">
        <v>74</v>
      </c>
    </row>
    <row r="8378" spans="1:66" hidden="1">
      <c r="A8378">
        <v>106246</v>
      </c>
      <c r="B8378" s="3" t="s">
        <v>713</v>
      </c>
      <c r="C8378" s="1">
        <v>43500101</v>
      </c>
      <c r="D8378" t="s">
        <v>113</v>
      </c>
      <c r="H8378" t="str">
        <f t="shared" si="842"/>
        <v>ZRGNNL83L62A783M</v>
      </c>
      <c r="I8378" t="str">
        <f t="shared" si="843"/>
        <v>01548180627</v>
      </c>
      <c r="K8378" t="str">
        <f>""</f>
        <v/>
      </c>
      <c r="M8378" t="s">
        <v>68</v>
      </c>
      <c r="N8378" t="str">
        <f t="shared" si="841"/>
        <v>ALTPRO</v>
      </c>
      <c r="O8378" t="s">
        <v>132</v>
      </c>
      <c r="P8378" s="3" t="s">
        <v>75</v>
      </c>
      <c r="Q8378">
        <v>2016</v>
      </c>
      <c r="R8378" s="2">
        <v>42431</v>
      </c>
      <c r="S8378" s="2">
        <v>42465</v>
      </c>
      <c r="T8378" s="2">
        <v>42464</v>
      </c>
      <c r="U8378" s="2">
        <v>42524</v>
      </c>
      <c r="V8378" t="s">
        <v>71</v>
      </c>
      <c r="W8378" t="str">
        <f>"         FATTPA 3_16"</f>
        <v xml:space="preserve">         FATTPA 3_16</v>
      </c>
      <c r="X8378">
        <v>419</v>
      </c>
      <c r="Y8378">
        <v>0</v>
      </c>
      <c r="Z8378"/>
      <c r="AB8378"/>
      <c r="AC8378">
        <v>419</v>
      </c>
      <c r="AD8378">
        <v>3</v>
      </c>
      <c r="AE8378" s="1">
        <v>1257</v>
      </c>
      <c r="AF8378">
        <v>0</v>
      </c>
      <c r="AJ8378">
        <v>0</v>
      </c>
      <c r="AK8378">
        <v>0</v>
      </c>
      <c r="AL8378">
        <v>0</v>
      </c>
      <c r="AM8378">
        <v>419</v>
      </c>
      <c r="AN8378">
        <v>419</v>
      </c>
      <c r="AO8378">
        <v>419</v>
      </c>
      <c r="AP8378" s="2">
        <v>42746</v>
      </c>
      <c r="AQ8378" t="s">
        <v>72</v>
      </c>
      <c r="AR8378" t="s">
        <v>72</v>
      </c>
      <c r="AS8378">
        <v>1487</v>
      </c>
      <c r="AT8378" s="4">
        <v>42527</v>
      </c>
      <c r="AU8378" t="s">
        <v>73</v>
      </c>
      <c r="AV8378">
        <v>1487</v>
      </c>
      <c r="AW8378" s="4">
        <v>42527</v>
      </c>
      <c r="BD8378">
        <v>0</v>
      </c>
      <c r="BN8378" t="s">
        <v>74</v>
      </c>
    </row>
    <row r="8379" spans="1:66" hidden="1">
      <c r="A8379">
        <v>106246</v>
      </c>
      <c r="B8379" s="3" t="s">
        <v>713</v>
      </c>
      <c r="C8379" s="1">
        <v>43500101</v>
      </c>
      <c r="D8379" t="s">
        <v>113</v>
      </c>
      <c r="H8379" t="str">
        <f t="shared" si="842"/>
        <v>ZRGNNL83L62A783M</v>
      </c>
      <c r="I8379" t="str">
        <f t="shared" si="843"/>
        <v>01548180627</v>
      </c>
      <c r="K8379" t="str">
        <f>""</f>
        <v/>
      </c>
      <c r="M8379" t="s">
        <v>68</v>
      </c>
      <c r="N8379" t="str">
        <f t="shared" si="841"/>
        <v>ALTPRO</v>
      </c>
      <c r="O8379" t="s">
        <v>132</v>
      </c>
      <c r="P8379" s="3" t="s">
        <v>75</v>
      </c>
      <c r="Q8379">
        <v>2016</v>
      </c>
      <c r="R8379" s="2">
        <v>42464</v>
      </c>
      <c r="S8379" s="2">
        <v>42465</v>
      </c>
      <c r="T8379" s="2">
        <v>42464</v>
      </c>
      <c r="U8379" s="2">
        <v>42524</v>
      </c>
      <c r="V8379" t="s">
        <v>71</v>
      </c>
      <c r="W8379" t="str">
        <f>"         FATTPA 4_16"</f>
        <v xml:space="preserve">         FATTPA 4_16</v>
      </c>
      <c r="X8379">
        <v>419</v>
      </c>
      <c r="Y8379">
        <v>0</v>
      </c>
      <c r="Z8379"/>
      <c r="AB8379"/>
      <c r="AC8379">
        <v>419</v>
      </c>
      <c r="AD8379">
        <v>3</v>
      </c>
      <c r="AE8379" s="1">
        <v>1257</v>
      </c>
      <c r="AF8379">
        <v>0</v>
      </c>
      <c r="AJ8379">
        <v>0</v>
      </c>
      <c r="AK8379">
        <v>0</v>
      </c>
      <c r="AL8379">
        <v>0</v>
      </c>
      <c r="AM8379">
        <v>419</v>
      </c>
      <c r="AN8379">
        <v>419</v>
      </c>
      <c r="AO8379">
        <v>419</v>
      </c>
      <c r="AP8379" s="2">
        <v>42746</v>
      </c>
      <c r="AQ8379" t="s">
        <v>72</v>
      </c>
      <c r="AR8379" t="s">
        <v>72</v>
      </c>
      <c r="AS8379">
        <v>1487</v>
      </c>
      <c r="AT8379" s="4">
        <v>42527</v>
      </c>
      <c r="AU8379" t="s">
        <v>73</v>
      </c>
      <c r="AV8379">
        <v>1487</v>
      </c>
      <c r="AW8379" s="4">
        <v>42527</v>
      </c>
      <c r="BD8379">
        <v>0</v>
      </c>
      <c r="BN8379" t="s">
        <v>74</v>
      </c>
    </row>
    <row r="8380" spans="1:66" hidden="1">
      <c r="A8380">
        <v>106246</v>
      </c>
      <c r="B8380" s="3" t="s">
        <v>713</v>
      </c>
      <c r="C8380" s="1">
        <v>43500101</v>
      </c>
      <c r="D8380" t="s">
        <v>113</v>
      </c>
      <c r="H8380" t="str">
        <f t="shared" si="842"/>
        <v>ZRGNNL83L62A783M</v>
      </c>
      <c r="I8380" t="str">
        <f t="shared" si="843"/>
        <v>01548180627</v>
      </c>
      <c r="K8380" t="str">
        <f>""</f>
        <v/>
      </c>
      <c r="M8380" t="s">
        <v>68</v>
      </c>
      <c r="N8380" t="str">
        <f t="shared" si="841"/>
        <v>ALTPRO</v>
      </c>
      <c r="O8380" t="s">
        <v>132</v>
      </c>
      <c r="P8380" s="3" t="s">
        <v>75</v>
      </c>
      <c r="Q8380">
        <v>2016</v>
      </c>
      <c r="R8380" s="2">
        <v>42486</v>
      </c>
      <c r="S8380" s="2">
        <v>42513</v>
      </c>
      <c r="T8380" s="2">
        <v>42509</v>
      </c>
      <c r="U8380" s="2">
        <v>42569</v>
      </c>
      <c r="V8380" t="s">
        <v>71</v>
      </c>
      <c r="W8380" t="str">
        <f>"         FATTPA 5_16"</f>
        <v xml:space="preserve">         FATTPA 5_16</v>
      </c>
      <c r="X8380">
        <v>419</v>
      </c>
      <c r="Y8380">
        <v>0</v>
      </c>
      <c r="Z8380"/>
      <c r="AB8380"/>
      <c r="AC8380">
        <v>419</v>
      </c>
      <c r="AD8380">
        <v>-42</v>
      </c>
      <c r="AE8380" s="1">
        <v>-17598</v>
      </c>
      <c r="AF8380">
        <v>0</v>
      </c>
      <c r="AJ8380">
        <v>0</v>
      </c>
      <c r="AK8380">
        <v>0</v>
      </c>
      <c r="AL8380">
        <v>0</v>
      </c>
      <c r="AM8380">
        <v>419</v>
      </c>
      <c r="AN8380">
        <v>419</v>
      </c>
      <c r="AO8380">
        <v>419</v>
      </c>
      <c r="AP8380" s="2">
        <v>42746</v>
      </c>
      <c r="AQ8380" t="s">
        <v>72</v>
      </c>
      <c r="AR8380" t="s">
        <v>72</v>
      </c>
      <c r="AS8380">
        <v>1487</v>
      </c>
      <c r="AT8380" s="4">
        <v>42527</v>
      </c>
      <c r="AV8380">
        <v>1487</v>
      </c>
      <c r="AW8380" s="4">
        <v>42527</v>
      </c>
      <c r="BD8380">
        <v>0</v>
      </c>
      <c r="BN8380" t="s">
        <v>74</v>
      </c>
    </row>
    <row r="8381" spans="1:66" hidden="1">
      <c r="A8381">
        <v>106246</v>
      </c>
      <c r="B8381" s="3" t="s">
        <v>713</v>
      </c>
      <c r="C8381" s="1">
        <v>43500101</v>
      </c>
      <c r="D8381" t="s">
        <v>113</v>
      </c>
      <c r="H8381" t="str">
        <f t="shared" si="842"/>
        <v>ZRGNNL83L62A783M</v>
      </c>
      <c r="I8381" t="str">
        <f t="shared" si="843"/>
        <v>01548180627</v>
      </c>
      <c r="K8381" t="str">
        <f>""</f>
        <v/>
      </c>
      <c r="M8381" t="s">
        <v>68</v>
      </c>
      <c r="N8381" t="str">
        <f t="shared" si="841"/>
        <v>ALTPRO</v>
      </c>
      <c r="O8381" t="s">
        <v>132</v>
      </c>
      <c r="P8381" s="3" t="s">
        <v>75</v>
      </c>
      <c r="Q8381">
        <v>2016</v>
      </c>
      <c r="R8381" s="2">
        <v>42534</v>
      </c>
      <c r="S8381" s="2">
        <v>42534</v>
      </c>
      <c r="T8381" s="2">
        <v>42534</v>
      </c>
      <c r="U8381" s="2">
        <v>42594</v>
      </c>
      <c r="V8381" t="s">
        <v>71</v>
      </c>
      <c r="W8381" t="str">
        <f>"         FATTPA 6_16"</f>
        <v xml:space="preserve">         FATTPA 6_16</v>
      </c>
      <c r="X8381">
        <v>419</v>
      </c>
      <c r="Y8381">
        <v>0</v>
      </c>
      <c r="Z8381"/>
      <c r="AB8381"/>
      <c r="AC8381">
        <v>419</v>
      </c>
      <c r="AD8381">
        <v>-28</v>
      </c>
      <c r="AE8381" s="1">
        <v>-11732</v>
      </c>
      <c r="AF8381">
        <v>0</v>
      </c>
      <c r="AJ8381">
        <v>0</v>
      </c>
      <c r="AK8381">
        <v>0</v>
      </c>
      <c r="AL8381">
        <v>0</v>
      </c>
      <c r="AM8381">
        <v>419</v>
      </c>
      <c r="AN8381">
        <v>419</v>
      </c>
      <c r="AO8381">
        <v>419</v>
      </c>
      <c r="AP8381" s="2">
        <v>42746</v>
      </c>
      <c r="AQ8381" t="s">
        <v>72</v>
      </c>
      <c r="AR8381" t="s">
        <v>72</v>
      </c>
      <c r="AS8381">
        <v>1806</v>
      </c>
      <c r="AT8381" s="4">
        <v>42566</v>
      </c>
      <c r="AV8381">
        <v>1806</v>
      </c>
      <c r="AW8381" s="4">
        <v>42566</v>
      </c>
      <c r="BD8381">
        <v>0</v>
      </c>
      <c r="BN8381" t="s">
        <v>74</v>
      </c>
    </row>
    <row r="8382" spans="1:66" hidden="1">
      <c r="A8382">
        <v>106246</v>
      </c>
      <c r="B8382" s="3" t="s">
        <v>713</v>
      </c>
      <c r="C8382" s="1">
        <v>43500101</v>
      </c>
      <c r="D8382" t="s">
        <v>113</v>
      </c>
      <c r="H8382" t="str">
        <f t="shared" si="842"/>
        <v>ZRGNNL83L62A783M</v>
      </c>
      <c r="I8382" t="str">
        <f t="shared" si="843"/>
        <v>01548180627</v>
      </c>
      <c r="K8382" t="str">
        <f>""</f>
        <v/>
      </c>
      <c r="M8382" t="s">
        <v>68</v>
      </c>
      <c r="N8382" t="str">
        <f t="shared" si="841"/>
        <v>ALTPRO</v>
      </c>
      <c r="O8382" t="s">
        <v>132</v>
      </c>
      <c r="P8382" s="3" t="s">
        <v>75</v>
      </c>
      <c r="Q8382">
        <v>2016</v>
      </c>
      <c r="R8382" s="2">
        <v>42551</v>
      </c>
      <c r="S8382" s="2">
        <v>42552</v>
      </c>
      <c r="T8382" s="2">
        <v>42551</v>
      </c>
      <c r="U8382" s="2">
        <v>42611</v>
      </c>
      <c r="V8382" t="s">
        <v>71</v>
      </c>
      <c r="W8382" t="str">
        <f>"         FATTPA 7_16"</f>
        <v xml:space="preserve">         FATTPA 7_16</v>
      </c>
      <c r="X8382">
        <v>419</v>
      </c>
      <c r="Y8382">
        <v>0</v>
      </c>
      <c r="Z8382"/>
      <c r="AB8382"/>
      <c r="AC8382">
        <v>419</v>
      </c>
      <c r="AD8382">
        <v>-45</v>
      </c>
      <c r="AE8382" s="1">
        <v>-18855</v>
      </c>
      <c r="AF8382">
        <v>0</v>
      </c>
      <c r="AJ8382">
        <v>0</v>
      </c>
      <c r="AK8382">
        <v>0</v>
      </c>
      <c r="AL8382">
        <v>0</v>
      </c>
      <c r="AM8382">
        <v>419</v>
      </c>
      <c r="AN8382">
        <v>419</v>
      </c>
      <c r="AO8382">
        <v>419</v>
      </c>
      <c r="AP8382" s="2">
        <v>42746</v>
      </c>
      <c r="AQ8382" t="s">
        <v>72</v>
      </c>
      <c r="AR8382" t="s">
        <v>72</v>
      </c>
      <c r="AS8382">
        <v>1806</v>
      </c>
      <c r="AT8382" s="4">
        <v>42566</v>
      </c>
      <c r="AV8382">
        <v>1806</v>
      </c>
      <c r="AW8382" s="4">
        <v>42566</v>
      </c>
      <c r="BD8382">
        <v>0</v>
      </c>
      <c r="BN8382" t="s">
        <v>74</v>
      </c>
    </row>
    <row r="8383" spans="1:66">
      <c r="A8383">
        <v>106246</v>
      </c>
      <c r="B8383" s="3" t="s">
        <v>713</v>
      </c>
      <c r="C8383" s="1">
        <v>43500101</v>
      </c>
      <c r="D8383" t="s">
        <v>113</v>
      </c>
      <c r="H8383" t="str">
        <f t="shared" si="842"/>
        <v>ZRGNNL83L62A783M</v>
      </c>
      <c r="I8383" t="str">
        <f t="shared" si="843"/>
        <v>01548180627</v>
      </c>
      <c r="K8383" t="str">
        <f>""</f>
        <v/>
      </c>
      <c r="M8383" t="s">
        <v>68</v>
      </c>
      <c r="N8383" t="str">
        <f t="shared" si="841"/>
        <v>ALTPRO</v>
      </c>
      <c r="O8383" t="s">
        <v>132</v>
      </c>
      <c r="P8383" s="3" t="s">
        <v>75</v>
      </c>
      <c r="Q8383">
        <v>2016</v>
      </c>
      <c r="R8383" s="2">
        <v>42572</v>
      </c>
      <c r="S8383" s="2">
        <v>42578</v>
      </c>
      <c r="T8383" s="2">
        <v>42572</v>
      </c>
      <c r="U8383" s="2">
        <v>42632</v>
      </c>
      <c r="V8383" t="s">
        <v>71</v>
      </c>
      <c r="W8383" t="str">
        <f>"         FATTPA 8_16"</f>
        <v xml:space="preserve">         FATTPA 8_16</v>
      </c>
      <c r="X8383">
        <v>419</v>
      </c>
      <c r="Y8383">
        <v>0</v>
      </c>
      <c r="Z8383" s="3">
        <v>419</v>
      </c>
      <c r="AA8383">
        <v>14</v>
      </c>
      <c r="AB8383" s="5">
        <v>5866</v>
      </c>
      <c r="AC8383">
        <v>419</v>
      </c>
      <c r="AD8383">
        <v>14</v>
      </c>
      <c r="AE8383" s="1">
        <v>5866</v>
      </c>
      <c r="AF8383">
        <v>0</v>
      </c>
      <c r="AJ8383">
        <v>0</v>
      </c>
      <c r="AK8383">
        <v>0</v>
      </c>
      <c r="AL8383">
        <v>0</v>
      </c>
      <c r="AM8383">
        <v>419</v>
      </c>
      <c r="AN8383">
        <v>419</v>
      </c>
      <c r="AO8383">
        <v>419</v>
      </c>
      <c r="AP8383" s="2">
        <v>42746</v>
      </c>
      <c r="AQ8383" t="s">
        <v>72</v>
      </c>
      <c r="AR8383" t="s">
        <v>72</v>
      </c>
      <c r="AS8383">
        <v>2539</v>
      </c>
      <c r="AT8383" s="4">
        <v>42646</v>
      </c>
      <c r="AU8383" t="s">
        <v>73</v>
      </c>
      <c r="AV8383">
        <v>2539</v>
      </c>
      <c r="AW8383" s="4">
        <v>42646</v>
      </c>
      <c r="BD8383">
        <v>0</v>
      </c>
      <c r="BN8383" t="s">
        <v>74</v>
      </c>
    </row>
    <row r="8384" spans="1:66">
      <c r="A8384">
        <v>106246</v>
      </c>
      <c r="B8384" s="3" t="s">
        <v>713</v>
      </c>
      <c r="C8384" s="1">
        <v>43500101</v>
      </c>
      <c r="D8384" t="s">
        <v>113</v>
      </c>
      <c r="H8384" t="str">
        <f t="shared" si="842"/>
        <v>ZRGNNL83L62A783M</v>
      </c>
      <c r="I8384" t="str">
        <f t="shared" si="843"/>
        <v>01548180627</v>
      </c>
      <c r="K8384" t="str">
        <f>""</f>
        <v/>
      </c>
      <c r="M8384" t="s">
        <v>68</v>
      </c>
      <c r="N8384" t="str">
        <f t="shared" si="841"/>
        <v>ALTPRO</v>
      </c>
      <c r="O8384" t="s">
        <v>132</v>
      </c>
      <c r="P8384" s="3" t="s">
        <v>75</v>
      </c>
      <c r="Q8384">
        <v>2016</v>
      </c>
      <c r="R8384" s="2">
        <v>42612</v>
      </c>
      <c r="S8384" s="2">
        <v>42613</v>
      </c>
      <c r="T8384" s="2">
        <v>42612</v>
      </c>
      <c r="U8384" s="2">
        <v>42672</v>
      </c>
      <c r="V8384" t="s">
        <v>71</v>
      </c>
      <c r="W8384" t="str">
        <f>"         FATTPA 9_16"</f>
        <v xml:space="preserve">         FATTPA 9_16</v>
      </c>
      <c r="X8384">
        <v>419</v>
      </c>
      <c r="Y8384">
        <v>0</v>
      </c>
      <c r="Z8384" s="3">
        <v>419</v>
      </c>
      <c r="AA8384">
        <v>-26</v>
      </c>
      <c r="AB8384" s="5">
        <v>-10894</v>
      </c>
      <c r="AC8384">
        <v>419</v>
      </c>
      <c r="AD8384">
        <v>-26</v>
      </c>
      <c r="AE8384" s="1">
        <v>-10894</v>
      </c>
      <c r="AF8384">
        <v>0</v>
      </c>
      <c r="AJ8384">
        <v>0</v>
      </c>
      <c r="AK8384">
        <v>0</v>
      </c>
      <c r="AL8384">
        <v>0</v>
      </c>
      <c r="AM8384">
        <v>419</v>
      </c>
      <c r="AN8384">
        <v>419</v>
      </c>
      <c r="AO8384">
        <v>419</v>
      </c>
      <c r="AP8384" s="2">
        <v>42746</v>
      </c>
      <c r="AQ8384" t="s">
        <v>72</v>
      </c>
      <c r="AR8384" t="s">
        <v>72</v>
      </c>
      <c r="AS8384">
        <v>2539</v>
      </c>
      <c r="AT8384" s="4">
        <v>42646</v>
      </c>
      <c r="AV8384">
        <v>2539</v>
      </c>
      <c r="AW8384" s="4">
        <v>42646</v>
      </c>
      <c r="BD8384">
        <v>0</v>
      </c>
      <c r="BN8384" t="s">
        <v>74</v>
      </c>
    </row>
    <row r="8385" spans="1:66" hidden="1">
      <c r="A8385">
        <v>106247</v>
      </c>
      <c r="B8385" s="3" t="s">
        <v>714</v>
      </c>
      <c r="C8385" s="1">
        <v>43500101</v>
      </c>
      <c r="D8385" t="s">
        <v>113</v>
      </c>
      <c r="H8385" t="str">
        <f t="shared" ref="H8385:H8396" si="844">"DMRMDL72R42F799P"</f>
        <v>DMRMDL72R42F799P</v>
      </c>
      <c r="I8385" t="str">
        <f>""</f>
        <v/>
      </c>
      <c r="K8385" t="str">
        <f>""</f>
        <v/>
      </c>
      <c r="M8385" t="s">
        <v>68</v>
      </c>
      <c r="N8385" t="str">
        <f t="shared" ref="N8385:N8396" si="845">"ALT"</f>
        <v>ALT</v>
      </c>
      <c r="O8385" t="s">
        <v>114</v>
      </c>
      <c r="P8385" s="3" t="s">
        <v>84</v>
      </c>
      <c r="Q8385">
        <v>2016</v>
      </c>
      <c r="R8385" s="2">
        <v>42389</v>
      </c>
      <c r="S8385" s="2">
        <v>42390</v>
      </c>
      <c r="T8385" s="2">
        <v>42390</v>
      </c>
      <c r="U8385" s="2">
        <v>42450</v>
      </c>
      <c r="V8385" t="s">
        <v>71</v>
      </c>
      <c r="W8385" t="str">
        <f>"                0120"</f>
        <v xml:space="preserve">                0120</v>
      </c>
      <c r="X8385">
        <v>0</v>
      </c>
      <c r="Y8385">
        <v>500</v>
      </c>
      <c r="Z8385"/>
      <c r="AB8385"/>
      <c r="AC8385">
        <v>500</v>
      </c>
      <c r="AD8385">
        <v>-60</v>
      </c>
      <c r="AE8385" s="1">
        <v>-30000</v>
      </c>
      <c r="AF8385">
        <v>0</v>
      </c>
      <c r="AJ8385">
        <v>0</v>
      </c>
      <c r="AK8385">
        <v>0</v>
      </c>
      <c r="AL8385">
        <v>0</v>
      </c>
      <c r="AM8385">
        <v>500</v>
      </c>
      <c r="AN8385">
        <v>500</v>
      </c>
      <c r="AO8385">
        <v>500</v>
      </c>
      <c r="AP8385" s="2">
        <v>42746</v>
      </c>
      <c r="AQ8385" t="s">
        <v>72</v>
      </c>
      <c r="AR8385" t="s">
        <v>72</v>
      </c>
      <c r="AS8385">
        <v>48</v>
      </c>
      <c r="AT8385" s="4">
        <v>42390</v>
      </c>
      <c r="AV8385">
        <v>48</v>
      </c>
      <c r="AW8385" s="4">
        <v>42390</v>
      </c>
      <c r="BD8385">
        <v>0</v>
      </c>
      <c r="BN8385" t="s">
        <v>74</v>
      </c>
    </row>
    <row r="8386" spans="1:66" hidden="1">
      <c r="A8386">
        <v>106247</v>
      </c>
      <c r="B8386" s="3" t="s">
        <v>714</v>
      </c>
      <c r="C8386" s="1">
        <v>43500101</v>
      </c>
      <c r="D8386" t="s">
        <v>113</v>
      </c>
      <c r="H8386" t="str">
        <f t="shared" si="844"/>
        <v>DMRMDL72R42F799P</v>
      </c>
      <c r="I8386" t="str">
        <f>""</f>
        <v/>
      </c>
      <c r="K8386" t="str">
        <f>""</f>
        <v/>
      </c>
      <c r="M8386" t="s">
        <v>68</v>
      </c>
      <c r="N8386" t="str">
        <f t="shared" si="845"/>
        <v>ALT</v>
      </c>
      <c r="O8386" t="s">
        <v>114</v>
      </c>
      <c r="P8386" s="3" t="s">
        <v>85</v>
      </c>
      <c r="Q8386">
        <v>2016</v>
      </c>
      <c r="R8386" s="2">
        <v>42422</v>
      </c>
      <c r="S8386" s="2">
        <v>42422</v>
      </c>
      <c r="T8386" s="2">
        <v>42422</v>
      </c>
      <c r="U8386" s="2">
        <v>42482</v>
      </c>
      <c r="V8386" t="s">
        <v>71</v>
      </c>
      <c r="W8386" t="str">
        <f>"                0222"</f>
        <v xml:space="preserve">                0222</v>
      </c>
      <c r="X8386">
        <v>0</v>
      </c>
      <c r="Y8386">
        <v>500</v>
      </c>
      <c r="Z8386"/>
      <c r="AB8386"/>
      <c r="AC8386">
        <v>500</v>
      </c>
      <c r="AD8386">
        <v>-58</v>
      </c>
      <c r="AE8386" s="1">
        <v>-29000</v>
      </c>
      <c r="AF8386">
        <v>0</v>
      </c>
      <c r="AJ8386">
        <v>0</v>
      </c>
      <c r="AK8386">
        <v>0</v>
      </c>
      <c r="AL8386">
        <v>0</v>
      </c>
      <c r="AM8386">
        <v>500</v>
      </c>
      <c r="AN8386">
        <v>500</v>
      </c>
      <c r="AO8386">
        <v>500</v>
      </c>
      <c r="AP8386" s="2">
        <v>42746</v>
      </c>
      <c r="AQ8386" t="s">
        <v>72</v>
      </c>
      <c r="AR8386" t="s">
        <v>72</v>
      </c>
      <c r="AS8386">
        <v>492</v>
      </c>
      <c r="AT8386" s="4">
        <v>42424</v>
      </c>
      <c r="AV8386">
        <v>492</v>
      </c>
      <c r="AW8386" s="4">
        <v>42424</v>
      </c>
      <c r="BD8386">
        <v>0</v>
      </c>
      <c r="BN8386" t="s">
        <v>74</v>
      </c>
    </row>
    <row r="8387" spans="1:66" hidden="1">
      <c r="A8387">
        <v>106247</v>
      </c>
      <c r="B8387" s="3" t="s">
        <v>714</v>
      </c>
      <c r="C8387" s="1">
        <v>43500101</v>
      </c>
      <c r="D8387" t="s">
        <v>113</v>
      </c>
      <c r="H8387" t="str">
        <f t="shared" si="844"/>
        <v>DMRMDL72R42F799P</v>
      </c>
      <c r="I8387" t="str">
        <f>""</f>
        <v/>
      </c>
      <c r="K8387" t="str">
        <f>""</f>
        <v/>
      </c>
      <c r="M8387" t="s">
        <v>68</v>
      </c>
      <c r="N8387" t="str">
        <f t="shared" si="845"/>
        <v>ALT</v>
      </c>
      <c r="O8387" t="s">
        <v>114</v>
      </c>
      <c r="P8387" s="3" t="s">
        <v>86</v>
      </c>
      <c r="Q8387">
        <v>2016</v>
      </c>
      <c r="R8387" s="2">
        <v>42450</v>
      </c>
      <c r="S8387" s="2">
        <v>42450</v>
      </c>
      <c r="T8387" s="2">
        <v>42450</v>
      </c>
      <c r="U8387" s="2">
        <v>42510</v>
      </c>
      <c r="V8387" t="s">
        <v>71</v>
      </c>
      <c r="W8387" t="str">
        <f>"                0321"</f>
        <v xml:space="preserve">                0321</v>
      </c>
      <c r="X8387">
        <v>0</v>
      </c>
      <c r="Y8387">
        <v>500</v>
      </c>
      <c r="Z8387"/>
      <c r="AB8387"/>
      <c r="AC8387">
        <v>500</v>
      </c>
      <c r="AD8387">
        <v>-57</v>
      </c>
      <c r="AE8387" s="1">
        <v>-28500</v>
      </c>
      <c r="AF8387">
        <v>0</v>
      </c>
      <c r="AJ8387">
        <v>0</v>
      </c>
      <c r="AK8387">
        <v>0</v>
      </c>
      <c r="AL8387">
        <v>0</v>
      </c>
      <c r="AM8387">
        <v>500</v>
      </c>
      <c r="AN8387">
        <v>500</v>
      </c>
      <c r="AO8387">
        <v>500</v>
      </c>
      <c r="AP8387" s="2">
        <v>42746</v>
      </c>
      <c r="AQ8387" t="s">
        <v>72</v>
      </c>
      <c r="AR8387" t="s">
        <v>72</v>
      </c>
      <c r="AS8387">
        <v>914</v>
      </c>
      <c r="AT8387" s="4">
        <v>42453</v>
      </c>
      <c r="AV8387">
        <v>914</v>
      </c>
      <c r="AW8387" s="4">
        <v>42453</v>
      </c>
      <c r="BD8387">
        <v>0</v>
      </c>
      <c r="BN8387" t="s">
        <v>74</v>
      </c>
    </row>
    <row r="8388" spans="1:66" hidden="1">
      <c r="A8388">
        <v>106247</v>
      </c>
      <c r="B8388" s="3" t="s">
        <v>714</v>
      </c>
      <c r="C8388" s="1">
        <v>43500101</v>
      </c>
      <c r="D8388" t="s">
        <v>113</v>
      </c>
      <c r="H8388" t="str">
        <f t="shared" si="844"/>
        <v>DMRMDL72R42F799P</v>
      </c>
      <c r="I8388" t="str">
        <f>""</f>
        <v/>
      </c>
      <c r="K8388" t="str">
        <f>""</f>
        <v/>
      </c>
      <c r="M8388" t="s">
        <v>68</v>
      </c>
      <c r="N8388" t="str">
        <f t="shared" si="845"/>
        <v>ALT</v>
      </c>
      <c r="O8388" t="s">
        <v>114</v>
      </c>
      <c r="P8388" s="3" t="s">
        <v>87</v>
      </c>
      <c r="Q8388">
        <v>2016</v>
      </c>
      <c r="R8388" s="2">
        <v>42481</v>
      </c>
      <c r="S8388" s="2">
        <v>42481</v>
      </c>
      <c r="T8388" s="2">
        <v>42481</v>
      </c>
      <c r="U8388" s="2">
        <v>42541</v>
      </c>
      <c r="V8388" t="s">
        <v>71</v>
      </c>
      <c r="W8388" t="str">
        <f>"                0421"</f>
        <v xml:space="preserve">                0421</v>
      </c>
      <c r="X8388">
        <v>0</v>
      </c>
      <c r="Y8388">
        <v>500</v>
      </c>
      <c r="Z8388"/>
      <c r="AB8388"/>
      <c r="AC8388">
        <v>500</v>
      </c>
      <c r="AD8388">
        <v>-60</v>
      </c>
      <c r="AE8388" s="1">
        <v>-30000</v>
      </c>
      <c r="AF8388">
        <v>0</v>
      </c>
      <c r="AJ8388">
        <v>0</v>
      </c>
      <c r="AK8388">
        <v>0</v>
      </c>
      <c r="AL8388">
        <v>0</v>
      </c>
      <c r="AM8388">
        <v>500</v>
      </c>
      <c r="AN8388">
        <v>500</v>
      </c>
      <c r="AO8388">
        <v>500</v>
      </c>
      <c r="AP8388" s="2">
        <v>42746</v>
      </c>
      <c r="AQ8388" t="s">
        <v>72</v>
      </c>
      <c r="AR8388" t="s">
        <v>72</v>
      </c>
      <c r="AS8388">
        <v>1080</v>
      </c>
      <c r="AT8388" s="4">
        <v>42481</v>
      </c>
      <c r="AV8388">
        <v>1080</v>
      </c>
      <c r="AW8388" s="4">
        <v>42481</v>
      </c>
      <c r="BD8388">
        <v>0</v>
      </c>
      <c r="BN8388" t="s">
        <v>74</v>
      </c>
    </row>
    <row r="8389" spans="1:66" hidden="1">
      <c r="A8389">
        <v>106247</v>
      </c>
      <c r="B8389" s="3" t="s">
        <v>714</v>
      </c>
      <c r="C8389" s="1">
        <v>43500101</v>
      </c>
      <c r="D8389" t="s">
        <v>113</v>
      </c>
      <c r="H8389" t="str">
        <f t="shared" si="844"/>
        <v>DMRMDL72R42F799P</v>
      </c>
      <c r="I8389" t="str">
        <f>""</f>
        <v/>
      </c>
      <c r="K8389" t="str">
        <f>""</f>
        <v/>
      </c>
      <c r="M8389" t="s">
        <v>68</v>
      </c>
      <c r="N8389" t="str">
        <f t="shared" si="845"/>
        <v>ALT</v>
      </c>
      <c r="O8389" t="s">
        <v>114</v>
      </c>
      <c r="P8389" s="3" t="s">
        <v>88</v>
      </c>
      <c r="Q8389">
        <v>2016</v>
      </c>
      <c r="R8389" s="2">
        <v>42508</v>
      </c>
      <c r="S8389" s="2">
        <v>42510</v>
      </c>
      <c r="T8389" s="2">
        <v>42510</v>
      </c>
      <c r="U8389" s="2">
        <v>42570</v>
      </c>
      <c r="V8389" t="s">
        <v>71</v>
      </c>
      <c r="W8389" t="str">
        <f>"                0518"</f>
        <v xml:space="preserve">                0518</v>
      </c>
      <c r="X8389">
        <v>0</v>
      </c>
      <c r="Y8389">
        <v>500</v>
      </c>
      <c r="Z8389"/>
      <c r="AB8389"/>
      <c r="AC8389">
        <v>500</v>
      </c>
      <c r="AD8389">
        <v>-57</v>
      </c>
      <c r="AE8389" s="1">
        <v>-28500</v>
      </c>
      <c r="AF8389">
        <v>0</v>
      </c>
      <c r="AJ8389">
        <v>0</v>
      </c>
      <c r="AK8389">
        <v>0</v>
      </c>
      <c r="AL8389">
        <v>0</v>
      </c>
      <c r="AM8389">
        <v>500</v>
      </c>
      <c r="AN8389">
        <v>500</v>
      </c>
      <c r="AO8389">
        <v>500</v>
      </c>
      <c r="AP8389" s="2">
        <v>42746</v>
      </c>
      <c r="AQ8389" t="s">
        <v>72</v>
      </c>
      <c r="AR8389" t="s">
        <v>72</v>
      </c>
      <c r="AS8389">
        <v>1318</v>
      </c>
      <c r="AT8389" s="4">
        <v>42513</v>
      </c>
      <c r="AV8389">
        <v>1318</v>
      </c>
      <c r="AW8389" s="4">
        <v>42513</v>
      </c>
      <c r="BD8389">
        <v>0</v>
      </c>
      <c r="BN8389" t="s">
        <v>74</v>
      </c>
    </row>
    <row r="8390" spans="1:66" hidden="1">
      <c r="A8390">
        <v>106247</v>
      </c>
      <c r="B8390" s="3" t="s">
        <v>714</v>
      </c>
      <c r="C8390" s="1">
        <v>43500101</v>
      </c>
      <c r="D8390" t="s">
        <v>113</v>
      </c>
      <c r="H8390" t="str">
        <f t="shared" si="844"/>
        <v>DMRMDL72R42F799P</v>
      </c>
      <c r="I8390" t="str">
        <f>""</f>
        <v/>
      </c>
      <c r="K8390" t="str">
        <f>""</f>
        <v/>
      </c>
      <c r="M8390" t="s">
        <v>68</v>
      </c>
      <c r="N8390" t="str">
        <f t="shared" si="845"/>
        <v>ALT</v>
      </c>
      <c r="O8390" t="s">
        <v>114</v>
      </c>
      <c r="P8390" s="3" t="s">
        <v>89</v>
      </c>
      <c r="Q8390">
        <v>2016</v>
      </c>
      <c r="R8390" s="2">
        <v>42548</v>
      </c>
      <c r="S8390" s="2">
        <v>42543</v>
      </c>
      <c r="T8390" s="2">
        <v>42543</v>
      </c>
      <c r="U8390" s="2">
        <v>42603</v>
      </c>
      <c r="V8390" t="s">
        <v>71</v>
      </c>
      <c r="W8390" t="str">
        <f>"                0627"</f>
        <v xml:space="preserve">                0627</v>
      </c>
      <c r="X8390">
        <v>0</v>
      </c>
      <c r="Y8390">
        <v>500</v>
      </c>
      <c r="Z8390"/>
      <c r="AB8390"/>
      <c r="AC8390">
        <v>500</v>
      </c>
      <c r="AD8390">
        <v>-47</v>
      </c>
      <c r="AE8390" s="1">
        <v>-23500</v>
      </c>
      <c r="AF8390">
        <v>0</v>
      </c>
      <c r="AJ8390">
        <v>0</v>
      </c>
      <c r="AK8390">
        <v>0</v>
      </c>
      <c r="AL8390">
        <v>0</v>
      </c>
      <c r="AM8390">
        <v>500</v>
      </c>
      <c r="AN8390">
        <v>500</v>
      </c>
      <c r="AO8390">
        <v>500</v>
      </c>
      <c r="AP8390" s="2">
        <v>42746</v>
      </c>
      <c r="AQ8390" t="s">
        <v>72</v>
      </c>
      <c r="AR8390" t="s">
        <v>72</v>
      </c>
      <c r="AS8390">
        <v>1701</v>
      </c>
      <c r="AT8390" s="4">
        <v>42556</v>
      </c>
      <c r="AV8390">
        <v>1701</v>
      </c>
      <c r="AW8390" s="4">
        <v>42556</v>
      </c>
      <c r="BD8390">
        <v>0</v>
      </c>
      <c r="BN8390" t="s">
        <v>74</v>
      </c>
    </row>
    <row r="8391" spans="1:66" hidden="1">
      <c r="A8391">
        <v>106247</v>
      </c>
      <c r="B8391" s="3" t="s">
        <v>714</v>
      </c>
      <c r="C8391" s="1">
        <v>43500101</v>
      </c>
      <c r="D8391" t="s">
        <v>113</v>
      </c>
      <c r="H8391" t="str">
        <f t="shared" si="844"/>
        <v>DMRMDL72R42F799P</v>
      </c>
      <c r="I8391" t="str">
        <f>""</f>
        <v/>
      </c>
      <c r="K8391" t="str">
        <f>""</f>
        <v/>
      </c>
      <c r="M8391" t="s">
        <v>68</v>
      </c>
      <c r="N8391" t="str">
        <f t="shared" si="845"/>
        <v>ALT</v>
      </c>
      <c r="O8391" t="s">
        <v>114</v>
      </c>
      <c r="P8391" s="3" t="s">
        <v>90</v>
      </c>
      <c r="Q8391">
        <v>2016</v>
      </c>
      <c r="R8391" s="2">
        <v>42573</v>
      </c>
      <c r="S8391" s="2">
        <v>42573</v>
      </c>
      <c r="T8391" s="2">
        <v>42573</v>
      </c>
      <c r="U8391" s="2">
        <v>42633</v>
      </c>
      <c r="V8391" t="s">
        <v>71</v>
      </c>
      <c r="W8391" t="str">
        <f>"                0722"</f>
        <v xml:space="preserve">                0722</v>
      </c>
      <c r="X8391">
        <v>0</v>
      </c>
      <c r="Y8391">
        <v>500</v>
      </c>
      <c r="Z8391"/>
      <c r="AB8391"/>
      <c r="AC8391">
        <v>500</v>
      </c>
      <c r="AD8391">
        <v>-48</v>
      </c>
      <c r="AE8391" s="1">
        <v>-24000</v>
      </c>
      <c r="AF8391">
        <v>0</v>
      </c>
      <c r="AJ8391">
        <v>0</v>
      </c>
      <c r="AK8391">
        <v>0</v>
      </c>
      <c r="AL8391">
        <v>0</v>
      </c>
      <c r="AM8391">
        <v>500</v>
      </c>
      <c r="AN8391">
        <v>500</v>
      </c>
      <c r="AO8391">
        <v>500</v>
      </c>
      <c r="AP8391" s="2">
        <v>42746</v>
      </c>
      <c r="AQ8391" t="s">
        <v>72</v>
      </c>
      <c r="AR8391" t="s">
        <v>72</v>
      </c>
      <c r="AS8391">
        <v>2101</v>
      </c>
      <c r="AT8391" s="4">
        <v>42585</v>
      </c>
      <c r="AV8391">
        <v>2101</v>
      </c>
      <c r="AW8391" s="4">
        <v>42585</v>
      </c>
      <c r="BD8391">
        <v>0</v>
      </c>
      <c r="BN8391" t="s">
        <v>74</v>
      </c>
    </row>
    <row r="8392" spans="1:66" hidden="1">
      <c r="A8392">
        <v>106247</v>
      </c>
      <c r="B8392" s="3" t="s">
        <v>714</v>
      </c>
      <c r="C8392" s="1">
        <v>43500101</v>
      </c>
      <c r="D8392" t="s">
        <v>113</v>
      </c>
      <c r="H8392" t="str">
        <f t="shared" si="844"/>
        <v>DMRMDL72R42F799P</v>
      </c>
      <c r="I8392" t="str">
        <f>""</f>
        <v/>
      </c>
      <c r="K8392" t="str">
        <f>""</f>
        <v/>
      </c>
      <c r="M8392" t="s">
        <v>68</v>
      </c>
      <c r="N8392" t="str">
        <f t="shared" si="845"/>
        <v>ALT</v>
      </c>
      <c r="O8392" t="s">
        <v>114</v>
      </c>
      <c r="P8392" s="3" t="s">
        <v>91</v>
      </c>
      <c r="Q8392">
        <v>2016</v>
      </c>
      <c r="R8392" s="2">
        <v>42592</v>
      </c>
      <c r="S8392" s="2">
        <v>42598</v>
      </c>
      <c r="T8392" s="2">
        <v>42598</v>
      </c>
      <c r="U8392" s="2">
        <v>42658</v>
      </c>
      <c r="V8392" t="s">
        <v>71</v>
      </c>
      <c r="W8392" t="str">
        <f>"                0810"</f>
        <v xml:space="preserve">                0810</v>
      </c>
      <c r="X8392">
        <v>0</v>
      </c>
      <c r="Y8392">
        <v>500</v>
      </c>
      <c r="Z8392"/>
      <c r="AB8392"/>
      <c r="AC8392">
        <v>500</v>
      </c>
      <c r="AD8392">
        <v>-60</v>
      </c>
      <c r="AE8392" s="1">
        <v>-30000</v>
      </c>
      <c r="AF8392">
        <v>0</v>
      </c>
      <c r="AJ8392">
        <v>0</v>
      </c>
      <c r="AK8392">
        <v>0</v>
      </c>
      <c r="AL8392">
        <v>0</v>
      </c>
      <c r="AM8392">
        <v>500</v>
      </c>
      <c r="AN8392">
        <v>500</v>
      </c>
      <c r="AO8392">
        <v>500</v>
      </c>
      <c r="AP8392" s="2">
        <v>42746</v>
      </c>
      <c r="AQ8392" t="s">
        <v>72</v>
      </c>
      <c r="AR8392" t="s">
        <v>72</v>
      </c>
      <c r="AS8392">
        <v>2183</v>
      </c>
      <c r="AT8392" s="4">
        <v>42598</v>
      </c>
      <c r="AV8392">
        <v>2183</v>
      </c>
      <c r="AW8392" s="4">
        <v>42598</v>
      </c>
      <c r="BD8392">
        <v>0</v>
      </c>
      <c r="BN8392" t="s">
        <v>74</v>
      </c>
    </row>
    <row r="8393" spans="1:66" hidden="1">
      <c r="A8393">
        <v>106247</v>
      </c>
      <c r="B8393" s="3" t="s">
        <v>714</v>
      </c>
      <c r="C8393" s="1">
        <v>43500101</v>
      </c>
      <c r="D8393" t="s">
        <v>113</v>
      </c>
      <c r="H8393" t="str">
        <f t="shared" si="844"/>
        <v>DMRMDL72R42F799P</v>
      </c>
      <c r="I8393" t="str">
        <f>""</f>
        <v/>
      </c>
      <c r="K8393" t="str">
        <f>""</f>
        <v/>
      </c>
      <c r="M8393" t="s">
        <v>68</v>
      </c>
      <c r="N8393" t="str">
        <f t="shared" si="845"/>
        <v>ALT</v>
      </c>
      <c r="O8393" t="s">
        <v>114</v>
      </c>
      <c r="P8393" s="3" t="s">
        <v>92</v>
      </c>
      <c r="Q8393">
        <v>2016</v>
      </c>
      <c r="R8393" s="2">
        <v>42633</v>
      </c>
      <c r="S8393" s="2">
        <v>42634</v>
      </c>
      <c r="T8393" s="2">
        <v>42634</v>
      </c>
      <c r="U8393" s="2">
        <v>42694</v>
      </c>
      <c r="V8393" t="s">
        <v>71</v>
      </c>
      <c r="W8393" t="str">
        <f>"                0920"</f>
        <v xml:space="preserve">                0920</v>
      </c>
      <c r="X8393">
        <v>0</v>
      </c>
      <c r="Y8393">
        <v>500</v>
      </c>
      <c r="Z8393"/>
      <c r="AB8393"/>
      <c r="AC8393">
        <v>500</v>
      </c>
      <c r="AD8393">
        <v>-60</v>
      </c>
      <c r="AE8393" s="1">
        <v>-30000</v>
      </c>
      <c r="AF8393">
        <v>0</v>
      </c>
      <c r="AJ8393">
        <v>0</v>
      </c>
      <c r="AK8393">
        <v>0</v>
      </c>
      <c r="AL8393">
        <v>0</v>
      </c>
      <c r="AM8393">
        <v>500</v>
      </c>
      <c r="AN8393">
        <v>500</v>
      </c>
      <c r="AO8393">
        <v>500</v>
      </c>
      <c r="AP8393" s="2">
        <v>42746</v>
      </c>
      <c r="AQ8393" t="s">
        <v>72</v>
      </c>
      <c r="AR8393" t="s">
        <v>72</v>
      </c>
      <c r="AS8393">
        <v>2457</v>
      </c>
      <c r="AT8393" s="4">
        <v>42634</v>
      </c>
      <c r="AV8393">
        <v>2457</v>
      </c>
      <c r="AW8393" s="4">
        <v>42634</v>
      </c>
      <c r="BD8393">
        <v>0</v>
      </c>
      <c r="BN8393" t="s">
        <v>74</v>
      </c>
    </row>
    <row r="8394" spans="1:66" hidden="1">
      <c r="A8394">
        <v>106247</v>
      </c>
      <c r="B8394" s="3" t="s">
        <v>714</v>
      </c>
      <c r="C8394" s="1">
        <v>43500101</v>
      </c>
      <c r="D8394" t="s">
        <v>113</v>
      </c>
      <c r="H8394" t="str">
        <f t="shared" si="844"/>
        <v>DMRMDL72R42F799P</v>
      </c>
      <c r="I8394" t="str">
        <f>""</f>
        <v/>
      </c>
      <c r="K8394" t="str">
        <f>""</f>
        <v/>
      </c>
      <c r="M8394" t="s">
        <v>68</v>
      </c>
      <c r="N8394" t="str">
        <f t="shared" si="845"/>
        <v>ALT</v>
      </c>
      <c r="O8394" t="s">
        <v>114</v>
      </c>
      <c r="P8394" s="3" t="s">
        <v>93</v>
      </c>
      <c r="Q8394">
        <v>2016</v>
      </c>
      <c r="R8394" s="2">
        <v>42664</v>
      </c>
      <c r="S8394" s="2">
        <v>42667</v>
      </c>
      <c r="T8394" s="2">
        <v>42667</v>
      </c>
      <c r="U8394" s="2">
        <v>42727</v>
      </c>
      <c r="V8394" t="s">
        <v>71</v>
      </c>
      <c r="W8394" t="str">
        <f>"                1021"</f>
        <v xml:space="preserve">                1021</v>
      </c>
      <c r="X8394">
        <v>0</v>
      </c>
      <c r="Y8394">
        <v>500</v>
      </c>
      <c r="Z8394" s="3">
        <v>500</v>
      </c>
      <c r="AA8394">
        <v>-60</v>
      </c>
      <c r="AB8394" s="5">
        <v>-30000</v>
      </c>
      <c r="AC8394">
        <v>500</v>
      </c>
      <c r="AD8394">
        <v>-60</v>
      </c>
      <c r="AE8394" s="1">
        <v>-30000</v>
      </c>
      <c r="AF8394">
        <v>0</v>
      </c>
      <c r="AJ8394">
        <v>500</v>
      </c>
      <c r="AK8394">
        <v>500</v>
      </c>
      <c r="AL8394">
        <v>500</v>
      </c>
      <c r="AM8394">
        <v>500</v>
      </c>
      <c r="AN8394">
        <v>500</v>
      </c>
      <c r="AO8394">
        <v>500</v>
      </c>
      <c r="AP8394" s="2">
        <v>42746</v>
      </c>
      <c r="AQ8394" t="s">
        <v>72</v>
      </c>
      <c r="AR8394" t="s">
        <v>72</v>
      </c>
      <c r="AS8394">
        <v>2804</v>
      </c>
      <c r="AT8394" s="4">
        <v>42667</v>
      </c>
      <c r="AV8394">
        <v>2804</v>
      </c>
      <c r="AW8394" s="4">
        <v>42667</v>
      </c>
      <c r="BD8394">
        <v>0</v>
      </c>
      <c r="BN8394" t="s">
        <v>74</v>
      </c>
    </row>
    <row r="8395" spans="1:66" hidden="1">
      <c r="A8395">
        <v>106247</v>
      </c>
      <c r="B8395" s="3" t="s">
        <v>714</v>
      </c>
      <c r="C8395" s="1">
        <v>43500101</v>
      </c>
      <c r="D8395" t="s">
        <v>113</v>
      </c>
      <c r="H8395" t="str">
        <f t="shared" si="844"/>
        <v>DMRMDL72R42F799P</v>
      </c>
      <c r="I8395" t="str">
        <f>""</f>
        <v/>
      </c>
      <c r="K8395" t="str">
        <f>""</f>
        <v/>
      </c>
      <c r="M8395" t="s">
        <v>68</v>
      </c>
      <c r="N8395" t="str">
        <f t="shared" si="845"/>
        <v>ALT</v>
      </c>
      <c r="O8395" t="s">
        <v>114</v>
      </c>
      <c r="P8395" s="3" t="s">
        <v>94</v>
      </c>
      <c r="Q8395">
        <v>2016</v>
      </c>
      <c r="R8395" s="2">
        <v>42696</v>
      </c>
      <c r="S8395" s="2">
        <v>42696</v>
      </c>
      <c r="T8395" s="2">
        <v>42696</v>
      </c>
      <c r="U8395" s="2">
        <v>42756</v>
      </c>
      <c r="V8395" t="s">
        <v>71</v>
      </c>
      <c r="W8395" t="str">
        <f>"                1122"</f>
        <v xml:space="preserve">                1122</v>
      </c>
      <c r="X8395">
        <v>0</v>
      </c>
      <c r="Y8395">
        <v>500</v>
      </c>
      <c r="Z8395" s="3">
        <v>500</v>
      </c>
      <c r="AA8395">
        <v>-59</v>
      </c>
      <c r="AB8395" s="5">
        <v>-29500</v>
      </c>
      <c r="AC8395">
        <v>500</v>
      </c>
      <c r="AD8395">
        <v>-59</v>
      </c>
      <c r="AE8395" s="1">
        <v>-29500</v>
      </c>
      <c r="AF8395">
        <v>0</v>
      </c>
      <c r="AJ8395">
        <v>500</v>
      </c>
      <c r="AK8395">
        <v>500</v>
      </c>
      <c r="AL8395">
        <v>500</v>
      </c>
      <c r="AM8395">
        <v>500</v>
      </c>
      <c r="AN8395">
        <v>500</v>
      </c>
      <c r="AO8395">
        <v>500</v>
      </c>
      <c r="AP8395" s="2">
        <v>42746</v>
      </c>
      <c r="AQ8395" t="s">
        <v>72</v>
      </c>
      <c r="AR8395" t="s">
        <v>72</v>
      </c>
      <c r="AS8395">
        <v>3241</v>
      </c>
      <c r="AT8395" s="4">
        <v>42697</v>
      </c>
      <c r="AV8395">
        <v>3241</v>
      </c>
      <c r="AW8395" s="4">
        <v>42697</v>
      </c>
      <c r="BD8395">
        <v>0</v>
      </c>
      <c r="BN8395" t="s">
        <v>74</v>
      </c>
    </row>
    <row r="8396" spans="1:66" hidden="1">
      <c r="A8396">
        <v>106247</v>
      </c>
      <c r="B8396" s="3" t="s">
        <v>714</v>
      </c>
      <c r="C8396" s="1">
        <v>43500101</v>
      </c>
      <c r="D8396" t="s">
        <v>113</v>
      </c>
      <c r="H8396" t="str">
        <f t="shared" si="844"/>
        <v>DMRMDL72R42F799P</v>
      </c>
      <c r="I8396" t="str">
        <f>""</f>
        <v/>
      </c>
      <c r="K8396" t="str">
        <f>""</f>
        <v/>
      </c>
      <c r="M8396" t="s">
        <v>68</v>
      </c>
      <c r="N8396" t="str">
        <f t="shared" si="845"/>
        <v>ALT</v>
      </c>
      <c r="O8396" t="s">
        <v>114</v>
      </c>
      <c r="P8396" s="3" t="s">
        <v>95</v>
      </c>
      <c r="Q8396">
        <v>2016</v>
      </c>
      <c r="R8396" s="2">
        <v>42717</v>
      </c>
      <c r="S8396" s="2">
        <v>42717</v>
      </c>
      <c r="T8396" s="2">
        <v>42717</v>
      </c>
      <c r="U8396" s="2">
        <v>42777</v>
      </c>
      <c r="V8396" t="s">
        <v>71</v>
      </c>
      <c r="W8396" t="str">
        <f>"                1213"</f>
        <v xml:space="preserve">                1213</v>
      </c>
      <c r="X8396">
        <v>0</v>
      </c>
      <c r="Y8396">
        <v>500</v>
      </c>
      <c r="Z8396" s="3">
        <v>500</v>
      </c>
      <c r="AA8396">
        <v>-59</v>
      </c>
      <c r="AB8396" s="5">
        <v>-29500</v>
      </c>
      <c r="AC8396">
        <v>500</v>
      </c>
      <c r="AD8396">
        <v>-59</v>
      </c>
      <c r="AE8396" s="1">
        <v>-29500</v>
      </c>
      <c r="AF8396">
        <v>0</v>
      </c>
      <c r="AJ8396">
        <v>500</v>
      </c>
      <c r="AK8396">
        <v>500</v>
      </c>
      <c r="AL8396">
        <v>500</v>
      </c>
      <c r="AM8396">
        <v>500</v>
      </c>
      <c r="AN8396">
        <v>500</v>
      </c>
      <c r="AO8396">
        <v>500</v>
      </c>
      <c r="AP8396" s="2">
        <v>42746</v>
      </c>
      <c r="AQ8396" t="s">
        <v>72</v>
      </c>
      <c r="AR8396" t="s">
        <v>72</v>
      </c>
      <c r="AS8396">
        <v>3400</v>
      </c>
      <c r="AT8396" s="4">
        <v>42718</v>
      </c>
      <c r="AV8396">
        <v>3400</v>
      </c>
      <c r="AW8396" s="4">
        <v>42718</v>
      </c>
      <c r="BD8396">
        <v>0</v>
      </c>
      <c r="BN8396" t="s">
        <v>74</v>
      </c>
    </row>
    <row r="8397" spans="1:66" hidden="1">
      <c r="A8397">
        <v>106248</v>
      </c>
      <c r="B8397" s="3" t="s">
        <v>715</v>
      </c>
      <c r="C8397" s="1">
        <v>43300101</v>
      </c>
      <c r="D8397" t="s">
        <v>67</v>
      </c>
      <c r="H8397" t="str">
        <f t="shared" ref="H8397:I8405" si="846">"01538600626"</f>
        <v>01538600626</v>
      </c>
      <c r="I8397" t="str">
        <f t="shared" si="846"/>
        <v>01538600626</v>
      </c>
      <c r="K8397" t="str">
        <f>""</f>
        <v/>
      </c>
      <c r="M8397" t="s">
        <v>68</v>
      </c>
      <c r="N8397" t="str">
        <f t="shared" ref="N8397:N8425" si="847">"FOR"</f>
        <v>FOR</v>
      </c>
      <c r="O8397" t="s">
        <v>69</v>
      </c>
      <c r="P8397" s="3" t="s">
        <v>75</v>
      </c>
      <c r="Q8397">
        <v>2015</v>
      </c>
      <c r="R8397" s="2">
        <v>42277</v>
      </c>
      <c r="S8397" s="2">
        <v>42286</v>
      </c>
      <c r="T8397" s="2">
        <v>42284</v>
      </c>
      <c r="U8397" s="2">
        <v>42344</v>
      </c>
      <c r="V8397" t="s">
        <v>71</v>
      </c>
      <c r="W8397" t="str">
        <f>"                  94"</f>
        <v xml:space="preserve">                  94</v>
      </c>
      <c r="X8397">
        <v>367.56</v>
      </c>
      <c r="Y8397">
        <v>0</v>
      </c>
      <c r="Z8397"/>
      <c r="AB8397"/>
      <c r="AC8397">
        <v>301.27999999999997</v>
      </c>
      <c r="AD8397">
        <v>59</v>
      </c>
      <c r="AE8397" s="1">
        <v>17775.52</v>
      </c>
      <c r="AF8397">
        <v>66.28</v>
      </c>
      <c r="AJ8397">
        <v>0</v>
      </c>
      <c r="AK8397">
        <v>0</v>
      </c>
      <c r="AL8397">
        <v>0</v>
      </c>
      <c r="AM8397">
        <v>0</v>
      </c>
      <c r="AN8397">
        <v>0</v>
      </c>
      <c r="AO8397">
        <v>0</v>
      </c>
      <c r="AP8397" s="2">
        <v>42746</v>
      </c>
      <c r="AQ8397" t="s">
        <v>72</v>
      </c>
      <c r="AR8397" t="s">
        <v>72</v>
      </c>
      <c r="AS8397">
        <v>213</v>
      </c>
      <c r="AT8397" s="4">
        <v>42403</v>
      </c>
      <c r="AU8397" t="s">
        <v>73</v>
      </c>
      <c r="AV8397">
        <v>213</v>
      </c>
      <c r="AW8397" s="4">
        <v>42403</v>
      </c>
      <c r="BD8397">
        <v>66.28</v>
      </c>
      <c r="BN8397" t="s">
        <v>74</v>
      </c>
    </row>
    <row r="8398" spans="1:66" hidden="1">
      <c r="A8398">
        <v>106248</v>
      </c>
      <c r="B8398" s="3" t="s">
        <v>715</v>
      </c>
      <c r="C8398" s="1">
        <v>43300101</v>
      </c>
      <c r="D8398" t="s">
        <v>67</v>
      </c>
      <c r="H8398" t="str">
        <f t="shared" si="846"/>
        <v>01538600626</v>
      </c>
      <c r="I8398" t="str">
        <f t="shared" si="846"/>
        <v>01538600626</v>
      </c>
      <c r="K8398" t="str">
        <f>""</f>
        <v/>
      </c>
      <c r="M8398" t="s">
        <v>68</v>
      </c>
      <c r="N8398" t="str">
        <f t="shared" si="847"/>
        <v>FOR</v>
      </c>
      <c r="O8398" t="s">
        <v>69</v>
      </c>
      <c r="P8398" s="3" t="s">
        <v>75</v>
      </c>
      <c r="Q8398">
        <v>2015</v>
      </c>
      <c r="R8398" s="2">
        <v>42307</v>
      </c>
      <c r="S8398" s="2">
        <v>42313</v>
      </c>
      <c r="T8398" s="2">
        <v>42312</v>
      </c>
      <c r="U8398" s="2">
        <v>42372</v>
      </c>
      <c r="V8398" t="s">
        <v>71</v>
      </c>
      <c r="W8398" t="str">
        <f>"                 106"</f>
        <v xml:space="preserve">                 106</v>
      </c>
      <c r="X8398">
        <v>457.78</v>
      </c>
      <c r="Y8398">
        <v>0</v>
      </c>
      <c r="Z8398"/>
      <c r="AB8398"/>
      <c r="AC8398">
        <v>375.23</v>
      </c>
      <c r="AD8398">
        <v>31</v>
      </c>
      <c r="AE8398" s="1">
        <v>11632.13</v>
      </c>
      <c r="AF8398">
        <v>82.55</v>
      </c>
      <c r="AJ8398">
        <v>0</v>
      </c>
      <c r="AK8398">
        <v>0</v>
      </c>
      <c r="AL8398">
        <v>0</v>
      </c>
      <c r="AM8398">
        <v>0</v>
      </c>
      <c r="AN8398">
        <v>0</v>
      </c>
      <c r="AO8398">
        <v>0</v>
      </c>
      <c r="AP8398" s="2">
        <v>42746</v>
      </c>
      <c r="AQ8398" t="s">
        <v>72</v>
      </c>
      <c r="AR8398" t="s">
        <v>72</v>
      </c>
      <c r="AS8398">
        <v>213</v>
      </c>
      <c r="AT8398" s="4">
        <v>42403</v>
      </c>
      <c r="AU8398" t="s">
        <v>73</v>
      </c>
      <c r="AV8398">
        <v>213</v>
      </c>
      <c r="AW8398" s="4">
        <v>42403</v>
      </c>
      <c r="BD8398">
        <v>82.55</v>
      </c>
      <c r="BN8398" t="s">
        <v>74</v>
      </c>
    </row>
    <row r="8399" spans="1:66" hidden="1">
      <c r="A8399">
        <v>106248</v>
      </c>
      <c r="B8399" s="3" t="s">
        <v>715</v>
      </c>
      <c r="C8399" s="1">
        <v>43300101</v>
      </c>
      <c r="D8399" t="s">
        <v>67</v>
      </c>
      <c r="H8399" t="str">
        <f t="shared" si="846"/>
        <v>01538600626</v>
      </c>
      <c r="I8399" t="str">
        <f t="shared" si="846"/>
        <v>01538600626</v>
      </c>
      <c r="K8399" t="str">
        <f>""</f>
        <v/>
      </c>
      <c r="M8399" t="s">
        <v>68</v>
      </c>
      <c r="N8399" t="str">
        <f t="shared" si="847"/>
        <v>FOR</v>
      </c>
      <c r="O8399" t="s">
        <v>69</v>
      </c>
      <c r="P8399" s="3" t="s">
        <v>75</v>
      </c>
      <c r="Q8399">
        <v>2015</v>
      </c>
      <c r="R8399" s="2">
        <v>42338</v>
      </c>
      <c r="S8399" s="2">
        <v>42340</v>
      </c>
      <c r="T8399" s="2">
        <v>42340</v>
      </c>
      <c r="U8399" s="2">
        <v>42400</v>
      </c>
      <c r="V8399" t="s">
        <v>71</v>
      </c>
      <c r="W8399" t="str">
        <f>"                 112"</f>
        <v xml:space="preserve">                 112</v>
      </c>
      <c r="X8399">
        <v>438.52</v>
      </c>
      <c r="Y8399">
        <v>0</v>
      </c>
      <c r="Z8399"/>
      <c r="AB8399"/>
      <c r="AC8399">
        <v>359.44</v>
      </c>
      <c r="AD8399">
        <v>3</v>
      </c>
      <c r="AE8399" s="1">
        <v>1078.32</v>
      </c>
      <c r="AF8399">
        <v>79.08</v>
      </c>
      <c r="AJ8399">
        <v>0</v>
      </c>
      <c r="AK8399">
        <v>0</v>
      </c>
      <c r="AL8399">
        <v>0</v>
      </c>
      <c r="AM8399">
        <v>0</v>
      </c>
      <c r="AN8399">
        <v>0</v>
      </c>
      <c r="AO8399">
        <v>0</v>
      </c>
      <c r="AP8399" s="2">
        <v>42746</v>
      </c>
      <c r="AQ8399" t="s">
        <v>72</v>
      </c>
      <c r="AR8399" t="s">
        <v>72</v>
      </c>
      <c r="AS8399">
        <v>213</v>
      </c>
      <c r="AT8399" s="4">
        <v>42403</v>
      </c>
      <c r="AU8399" t="s">
        <v>73</v>
      </c>
      <c r="AV8399">
        <v>213</v>
      </c>
      <c r="AW8399" s="4">
        <v>42403</v>
      </c>
      <c r="BD8399">
        <v>79.08</v>
      </c>
      <c r="BN8399" t="s">
        <v>74</v>
      </c>
    </row>
    <row r="8400" spans="1:66" hidden="1">
      <c r="A8400">
        <v>106248</v>
      </c>
      <c r="B8400" s="3" t="s">
        <v>715</v>
      </c>
      <c r="C8400" s="1">
        <v>43300101</v>
      </c>
      <c r="D8400" t="s">
        <v>67</v>
      </c>
      <c r="H8400" t="str">
        <f t="shared" si="846"/>
        <v>01538600626</v>
      </c>
      <c r="I8400" t="str">
        <f t="shared" si="846"/>
        <v>01538600626</v>
      </c>
      <c r="K8400" t="str">
        <f>""</f>
        <v/>
      </c>
      <c r="M8400" t="s">
        <v>68</v>
      </c>
      <c r="N8400" t="str">
        <f t="shared" si="847"/>
        <v>FOR</v>
      </c>
      <c r="O8400" t="s">
        <v>69</v>
      </c>
      <c r="P8400" s="3" t="s">
        <v>75</v>
      </c>
      <c r="Q8400">
        <v>2015</v>
      </c>
      <c r="R8400" s="2">
        <v>42369</v>
      </c>
      <c r="S8400" s="2">
        <v>42369</v>
      </c>
      <c r="T8400" s="2">
        <v>42369</v>
      </c>
      <c r="U8400" s="2">
        <v>42429</v>
      </c>
      <c r="V8400" t="s">
        <v>71</v>
      </c>
      <c r="W8400" t="str">
        <f>"                 129"</f>
        <v xml:space="preserve">                 129</v>
      </c>
      <c r="X8400">
        <v>532.38</v>
      </c>
      <c r="Y8400">
        <v>0</v>
      </c>
      <c r="Z8400"/>
      <c r="AB8400"/>
      <c r="AC8400">
        <v>436.38</v>
      </c>
      <c r="AD8400">
        <v>137</v>
      </c>
      <c r="AE8400" s="1">
        <v>59784.06</v>
      </c>
      <c r="AF8400">
        <v>96</v>
      </c>
      <c r="AJ8400">
        <v>0</v>
      </c>
      <c r="AK8400">
        <v>0</v>
      </c>
      <c r="AL8400">
        <v>0</v>
      </c>
      <c r="AM8400">
        <v>0</v>
      </c>
      <c r="AN8400">
        <v>0</v>
      </c>
      <c r="AO8400">
        <v>0</v>
      </c>
      <c r="AP8400" s="2">
        <v>42746</v>
      </c>
      <c r="AQ8400" t="s">
        <v>72</v>
      </c>
      <c r="AR8400" t="s">
        <v>72</v>
      </c>
      <c r="AS8400">
        <v>1771</v>
      </c>
      <c r="AT8400" s="4">
        <v>42566</v>
      </c>
      <c r="AU8400" t="s">
        <v>73</v>
      </c>
      <c r="AV8400">
        <v>1771</v>
      </c>
      <c r="AW8400" s="4">
        <v>42566</v>
      </c>
      <c r="BD8400">
        <v>96</v>
      </c>
      <c r="BN8400" t="s">
        <v>74</v>
      </c>
    </row>
    <row r="8401" spans="1:66" hidden="1">
      <c r="A8401">
        <v>106248</v>
      </c>
      <c r="B8401" s="3" t="s">
        <v>715</v>
      </c>
      <c r="C8401" s="1">
        <v>43300101</v>
      </c>
      <c r="D8401" t="s">
        <v>67</v>
      </c>
      <c r="H8401" t="str">
        <f t="shared" si="846"/>
        <v>01538600626</v>
      </c>
      <c r="I8401" t="str">
        <f t="shared" si="846"/>
        <v>01538600626</v>
      </c>
      <c r="K8401" t="str">
        <f>""</f>
        <v/>
      </c>
      <c r="M8401" t="s">
        <v>68</v>
      </c>
      <c r="N8401" t="str">
        <f t="shared" si="847"/>
        <v>FOR</v>
      </c>
      <c r="O8401" t="s">
        <v>69</v>
      </c>
      <c r="P8401" s="3" t="s">
        <v>75</v>
      </c>
      <c r="Q8401">
        <v>2016</v>
      </c>
      <c r="R8401" s="2">
        <v>42398</v>
      </c>
      <c r="S8401" s="2">
        <v>42410</v>
      </c>
      <c r="T8401" s="2">
        <v>42409</v>
      </c>
      <c r="U8401" s="2">
        <v>42469</v>
      </c>
      <c r="V8401" t="s">
        <v>71</v>
      </c>
      <c r="W8401" t="str">
        <f>"                   8"</f>
        <v xml:space="preserve">                   8</v>
      </c>
      <c r="X8401">
        <v>421.45</v>
      </c>
      <c r="Y8401">
        <v>0</v>
      </c>
      <c r="Z8401"/>
      <c r="AB8401"/>
      <c r="AC8401">
        <v>345.45</v>
      </c>
      <c r="AD8401">
        <v>97</v>
      </c>
      <c r="AE8401" s="1">
        <v>33508.65</v>
      </c>
      <c r="AF8401">
        <v>76</v>
      </c>
      <c r="AJ8401">
        <v>0</v>
      </c>
      <c r="AK8401">
        <v>0</v>
      </c>
      <c r="AL8401">
        <v>0</v>
      </c>
      <c r="AM8401">
        <v>421.45</v>
      </c>
      <c r="AN8401">
        <v>421.45</v>
      </c>
      <c r="AO8401">
        <v>421.45</v>
      </c>
      <c r="AP8401" s="2">
        <v>42746</v>
      </c>
      <c r="AQ8401" t="s">
        <v>72</v>
      </c>
      <c r="AR8401" t="s">
        <v>72</v>
      </c>
      <c r="AS8401">
        <v>1771</v>
      </c>
      <c r="AT8401" s="4">
        <v>42566</v>
      </c>
      <c r="AU8401" t="s">
        <v>73</v>
      </c>
      <c r="AV8401">
        <v>1771</v>
      </c>
      <c r="AW8401" s="4">
        <v>42566</v>
      </c>
      <c r="BD8401">
        <v>76</v>
      </c>
      <c r="BN8401" t="s">
        <v>74</v>
      </c>
    </row>
    <row r="8402" spans="1:66" hidden="1">
      <c r="A8402">
        <v>106248</v>
      </c>
      <c r="B8402" s="3" t="s">
        <v>715</v>
      </c>
      <c r="C8402" s="1">
        <v>43300101</v>
      </c>
      <c r="D8402" t="s">
        <v>67</v>
      </c>
      <c r="H8402" t="str">
        <f t="shared" si="846"/>
        <v>01538600626</v>
      </c>
      <c r="I8402" t="str">
        <f t="shared" si="846"/>
        <v>01538600626</v>
      </c>
      <c r="K8402" t="str">
        <f>""</f>
        <v/>
      </c>
      <c r="M8402" t="s">
        <v>68</v>
      </c>
      <c r="N8402" t="str">
        <f t="shared" si="847"/>
        <v>FOR</v>
      </c>
      <c r="O8402" t="s">
        <v>69</v>
      </c>
      <c r="P8402" s="3" t="s">
        <v>75</v>
      </c>
      <c r="Q8402">
        <v>2016</v>
      </c>
      <c r="R8402" s="2">
        <v>42429</v>
      </c>
      <c r="S8402" s="2">
        <v>42436</v>
      </c>
      <c r="T8402" s="2">
        <v>42432</v>
      </c>
      <c r="U8402" s="2">
        <v>42492</v>
      </c>
      <c r="V8402" t="s">
        <v>71</v>
      </c>
      <c r="W8402" t="str">
        <f>"                  15"</f>
        <v xml:space="preserve">                  15</v>
      </c>
      <c r="X8402">
        <v>590.19000000000005</v>
      </c>
      <c r="Y8402">
        <v>0</v>
      </c>
      <c r="Z8402"/>
      <c r="AB8402"/>
      <c r="AC8402">
        <v>483.76</v>
      </c>
      <c r="AD8402">
        <v>74</v>
      </c>
      <c r="AE8402" s="1">
        <v>35798.239999999998</v>
      </c>
      <c r="AF8402">
        <v>106.43</v>
      </c>
      <c r="AJ8402">
        <v>0</v>
      </c>
      <c r="AK8402">
        <v>0</v>
      </c>
      <c r="AL8402">
        <v>0</v>
      </c>
      <c r="AM8402">
        <v>590.19000000000005</v>
      </c>
      <c r="AN8402">
        <v>590.19000000000005</v>
      </c>
      <c r="AO8402">
        <v>590.19000000000005</v>
      </c>
      <c r="AP8402" s="2">
        <v>42746</v>
      </c>
      <c r="AQ8402" t="s">
        <v>72</v>
      </c>
      <c r="AR8402" t="s">
        <v>72</v>
      </c>
      <c r="AS8402">
        <v>1771</v>
      </c>
      <c r="AT8402" s="4">
        <v>42566</v>
      </c>
      <c r="AU8402" t="s">
        <v>73</v>
      </c>
      <c r="AV8402">
        <v>1771</v>
      </c>
      <c r="AW8402" s="4">
        <v>42566</v>
      </c>
      <c r="BD8402">
        <v>106.43</v>
      </c>
      <c r="BN8402" t="s">
        <v>74</v>
      </c>
    </row>
    <row r="8403" spans="1:66">
      <c r="A8403">
        <v>106248</v>
      </c>
      <c r="B8403" s="3" t="s">
        <v>715</v>
      </c>
      <c r="C8403" s="1">
        <v>43300101</v>
      </c>
      <c r="D8403" t="s">
        <v>67</v>
      </c>
      <c r="H8403" t="str">
        <f t="shared" si="846"/>
        <v>01538600626</v>
      </c>
      <c r="I8403" t="str">
        <f t="shared" si="846"/>
        <v>01538600626</v>
      </c>
      <c r="K8403" t="str">
        <f>""</f>
        <v/>
      </c>
      <c r="M8403" t="s">
        <v>68</v>
      </c>
      <c r="N8403" t="str">
        <f t="shared" si="847"/>
        <v>FOR</v>
      </c>
      <c r="O8403" t="s">
        <v>69</v>
      </c>
      <c r="P8403" s="3" t="s">
        <v>75</v>
      </c>
      <c r="Q8403">
        <v>2016</v>
      </c>
      <c r="R8403" s="2">
        <v>42460</v>
      </c>
      <c r="S8403" s="2">
        <v>42465</v>
      </c>
      <c r="T8403" s="2">
        <v>42465</v>
      </c>
      <c r="U8403" s="2">
        <v>42525</v>
      </c>
      <c r="V8403" t="s">
        <v>71</v>
      </c>
      <c r="W8403" t="str">
        <f>"                  30"</f>
        <v xml:space="preserve">                  30</v>
      </c>
      <c r="X8403">
        <v>408.96</v>
      </c>
      <c r="Y8403">
        <v>0</v>
      </c>
      <c r="Z8403" s="3">
        <v>335.21</v>
      </c>
      <c r="AA8403">
        <v>156</v>
      </c>
      <c r="AB8403" s="5">
        <v>52292.76</v>
      </c>
      <c r="AC8403">
        <v>335.21</v>
      </c>
      <c r="AD8403">
        <v>156</v>
      </c>
      <c r="AE8403" s="1">
        <v>52292.76</v>
      </c>
      <c r="AF8403">
        <v>73.75</v>
      </c>
      <c r="AJ8403">
        <v>0</v>
      </c>
      <c r="AK8403">
        <v>0</v>
      </c>
      <c r="AL8403">
        <v>0</v>
      </c>
      <c r="AM8403">
        <v>408.96</v>
      </c>
      <c r="AN8403">
        <v>408.96</v>
      </c>
      <c r="AO8403">
        <v>408.96</v>
      </c>
      <c r="AP8403" s="2">
        <v>42746</v>
      </c>
      <c r="AQ8403" t="s">
        <v>72</v>
      </c>
      <c r="AR8403" t="s">
        <v>72</v>
      </c>
      <c r="AS8403">
        <v>2946</v>
      </c>
      <c r="AT8403" s="4">
        <v>42681</v>
      </c>
      <c r="AU8403" t="s">
        <v>73</v>
      </c>
      <c r="AV8403">
        <v>2946</v>
      </c>
      <c r="AW8403" s="4">
        <v>42681</v>
      </c>
      <c r="BD8403">
        <v>73.75</v>
      </c>
      <c r="BN8403" t="s">
        <v>74</v>
      </c>
    </row>
    <row r="8404" spans="1:66">
      <c r="A8404">
        <v>106248</v>
      </c>
      <c r="B8404" s="3" t="s">
        <v>715</v>
      </c>
      <c r="C8404" s="1">
        <v>43300101</v>
      </c>
      <c r="D8404" t="s">
        <v>67</v>
      </c>
      <c r="H8404" t="str">
        <f t="shared" si="846"/>
        <v>01538600626</v>
      </c>
      <c r="I8404" t="str">
        <f t="shared" si="846"/>
        <v>01538600626</v>
      </c>
      <c r="K8404" t="str">
        <f>""</f>
        <v/>
      </c>
      <c r="M8404" t="s">
        <v>68</v>
      </c>
      <c r="N8404" t="str">
        <f t="shared" si="847"/>
        <v>FOR</v>
      </c>
      <c r="O8404" t="s">
        <v>69</v>
      </c>
      <c r="P8404" s="3" t="s">
        <v>75</v>
      </c>
      <c r="Q8404">
        <v>2016</v>
      </c>
      <c r="R8404" s="2">
        <v>42489</v>
      </c>
      <c r="S8404" s="2">
        <v>42499</v>
      </c>
      <c r="T8404" s="2">
        <v>42499</v>
      </c>
      <c r="U8404" s="2">
        <v>42559</v>
      </c>
      <c r="V8404" t="s">
        <v>71</v>
      </c>
      <c r="W8404" t="str">
        <f>"                  47"</f>
        <v xml:space="preserve">                  47</v>
      </c>
      <c r="X8404">
        <v>624.86</v>
      </c>
      <c r="Y8404">
        <v>0</v>
      </c>
      <c r="Z8404" s="3">
        <v>512.17999999999995</v>
      </c>
      <c r="AA8404">
        <v>122</v>
      </c>
      <c r="AB8404" s="5">
        <v>62485.96</v>
      </c>
      <c r="AC8404">
        <v>512.17999999999995</v>
      </c>
      <c r="AD8404">
        <v>122</v>
      </c>
      <c r="AE8404" s="1">
        <v>62485.96</v>
      </c>
      <c r="AF8404">
        <v>112.68</v>
      </c>
      <c r="AJ8404">
        <v>0</v>
      </c>
      <c r="AK8404">
        <v>0</v>
      </c>
      <c r="AL8404">
        <v>0</v>
      </c>
      <c r="AM8404">
        <v>624.86</v>
      </c>
      <c r="AN8404">
        <v>624.86</v>
      </c>
      <c r="AO8404">
        <v>624.86</v>
      </c>
      <c r="AP8404" s="2">
        <v>42746</v>
      </c>
      <c r="AQ8404" t="s">
        <v>72</v>
      </c>
      <c r="AR8404" t="s">
        <v>72</v>
      </c>
      <c r="AS8404">
        <v>2946</v>
      </c>
      <c r="AT8404" s="4">
        <v>42681</v>
      </c>
      <c r="AU8404" t="s">
        <v>73</v>
      </c>
      <c r="AV8404">
        <v>2946</v>
      </c>
      <c r="AW8404" s="4">
        <v>42681</v>
      </c>
      <c r="BC8404">
        <v>112.68</v>
      </c>
      <c r="BD8404">
        <v>0</v>
      </c>
      <c r="BN8404" t="s">
        <v>74</v>
      </c>
    </row>
    <row r="8405" spans="1:66">
      <c r="A8405">
        <v>106248</v>
      </c>
      <c r="B8405" s="3" t="s">
        <v>715</v>
      </c>
      <c r="C8405" s="1">
        <v>43300101</v>
      </c>
      <c r="D8405" t="s">
        <v>67</v>
      </c>
      <c r="H8405" t="str">
        <f t="shared" si="846"/>
        <v>01538600626</v>
      </c>
      <c r="I8405" t="str">
        <f t="shared" si="846"/>
        <v>01538600626</v>
      </c>
      <c r="K8405" t="str">
        <f>""</f>
        <v/>
      </c>
      <c r="M8405" t="s">
        <v>68</v>
      </c>
      <c r="N8405" t="str">
        <f t="shared" si="847"/>
        <v>FOR</v>
      </c>
      <c r="O8405" t="s">
        <v>69</v>
      </c>
      <c r="P8405" s="3" t="s">
        <v>75</v>
      </c>
      <c r="Q8405">
        <v>2016</v>
      </c>
      <c r="R8405" s="2">
        <v>42521</v>
      </c>
      <c r="S8405" s="2">
        <v>42529</v>
      </c>
      <c r="T8405" s="2">
        <v>42528</v>
      </c>
      <c r="U8405" s="2">
        <v>42588</v>
      </c>
      <c r="V8405" t="s">
        <v>71</v>
      </c>
      <c r="W8405" t="str">
        <f>"                  57"</f>
        <v xml:space="preserve">                  57</v>
      </c>
      <c r="X8405">
        <v>560.09</v>
      </c>
      <c r="Y8405">
        <v>0</v>
      </c>
      <c r="Z8405" s="3">
        <v>459.09</v>
      </c>
      <c r="AA8405">
        <v>93</v>
      </c>
      <c r="AB8405" s="5">
        <v>42695.37</v>
      </c>
      <c r="AC8405">
        <v>459.09</v>
      </c>
      <c r="AD8405">
        <v>93</v>
      </c>
      <c r="AE8405" s="1">
        <v>42695.37</v>
      </c>
      <c r="AF8405">
        <v>101</v>
      </c>
      <c r="AJ8405">
        <v>0</v>
      </c>
      <c r="AK8405">
        <v>0</v>
      </c>
      <c r="AL8405">
        <v>0</v>
      </c>
      <c r="AM8405">
        <v>560.09</v>
      </c>
      <c r="AN8405">
        <v>560.09</v>
      </c>
      <c r="AO8405">
        <v>560.09</v>
      </c>
      <c r="AP8405" s="2">
        <v>42746</v>
      </c>
      <c r="AQ8405" t="s">
        <v>72</v>
      </c>
      <c r="AR8405" t="s">
        <v>72</v>
      </c>
      <c r="AS8405">
        <v>2946</v>
      </c>
      <c r="AT8405" s="4">
        <v>42681</v>
      </c>
      <c r="AU8405" t="s">
        <v>73</v>
      </c>
      <c r="AV8405">
        <v>2946</v>
      </c>
      <c r="AW8405" s="4">
        <v>42681</v>
      </c>
      <c r="BB8405">
        <v>101</v>
      </c>
      <c r="BD8405">
        <v>0</v>
      </c>
      <c r="BN8405" t="s">
        <v>74</v>
      </c>
    </row>
    <row r="8406" spans="1:66" hidden="1">
      <c r="A8406">
        <v>106251</v>
      </c>
      <c r="B8406" s="3" t="s">
        <v>716</v>
      </c>
      <c r="C8406" s="1">
        <v>43300101</v>
      </c>
      <c r="D8406" t="s">
        <v>67</v>
      </c>
      <c r="H8406" t="str">
        <f t="shared" ref="H8406:H8425" si="848">"04742650585"</f>
        <v>04742650585</v>
      </c>
      <c r="I8406" t="str">
        <f t="shared" ref="I8406:I8425" si="849">"01296201005"</f>
        <v>01296201005</v>
      </c>
      <c r="K8406" t="str">
        <f>""</f>
        <v/>
      </c>
      <c r="M8406" t="s">
        <v>68</v>
      </c>
      <c r="N8406" t="str">
        <f t="shared" si="847"/>
        <v>FOR</v>
      </c>
      <c r="O8406" t="s">
        <v>69</v>
      </c>
      <c r="P8406" s="3" t="s">
        <v>70</v>
      </c>
      <c r="Q8406">
        <v>2015</v>
      </c>
      <c r="R8406" s="2">
        <v>42076</v>
      </c>
      <c r="S8406" s="2">
        <v>42103</v>
      </c>
      <c r="T8406" s="2">
        <v>42103</v>
      </c>
      <c r="U8406" s="2">
        <v>42163</v>
      </c>
      <c r="V8406" t="s">
        <v>71</v>
      </c>
      <c r="W8406" t="str">
        <f>"               10764"</f>
        <v xml:space="preserve">               10764</v>
      </c>
      <c r="X8406">
        <v>378.2</v>
      </c>
      <c r="Y8406">
        <v>0</v>
      </c>
      <c r="Z8406"/>
      <c r="AB8406"/>
      <c r="AC8406">
        <v>310</v>
      </c>
      <c r="AD8406">
        <v>252</v>
      </c>
      <c r="AE8406" s="1">
        <v>78120</v>
      </c>
      <c r="AF8406">
        <v>0</v>
      </c>
      <c r="AJ8406">
        <v>0</v>
      </c>
      <c r="AK8406">
        <v>0</v>
      </c>
      <c r="AL8406">
        <v>0</v>
      </c>
      <c r="AM8406">
        <v>0</v>
      </c>
      <c r="AN8406">
        <v>0</v>
      </c>
      <c r="AO8406">
        <v>0</v>
      </c>
      <c r="AP8406" s="2">
        <v>42746</v>
      </c>
      <c r="AQ8406" t="s">
        <v>72</v>
      </c>
      <c r="AR8406" t="s">
        <v>72</v>
      </c>
      <c r="AS8406">
        <v>390</v>
      </c>
      <c r="AT8406" s="4">
        <v>42415</v>
      </c>
      <c r="AU8406" t="s">
        <v>73</v>
      </c>
      <c r="AV8406">
        <v>390</v>
      </c>
      <c r="AW8406" s="4">
        <v>42415</v>
      </c>
      <c r="BD8406">
        <v>0</v>
      </c>
      <c r="BN8406" t="s">
        <v>74</v>
      </c>
    </row>
    <row r="8407" spans="1:66" hidden="1">
      <c r="A8407">
        <v>106251</v>
      </c>
      <c r="B8407" s="3" t="s">
        <v>716</v>
      </c>
      <c r="C8407" s="1">
        <v>43300101</v>
      </c>
      <c r="D8407" t="s">
        <v>67</v>
      </c>
      <c r="H8407" t="str">
        <f t="shared" si="848"/>
        <v>04742650585</v>
      </c>
      <c r="I8407" t="str">
        <f t="shared" si="849"/>
        <v>01296201005</v>
      </c>
      <c r="K8407" t="str">
        <f>""</f>
        <v/>
      </c>
      <c r="M8407" t="s">
        <v>68</v>
      </c>
      <c r="N8407" t="str">
        <f t="shared" si="847"/>
        <v>FOR</v>
      </c>
      <c r="O8407" t="s">
        <v>69</v>
      </c>
      <c r="P8407" s="3" t="s">
        <v>70</v>
      </c>
      <c r="Q8407">
        <v>2015</v>
      </c>
      <c r="R8407" s="2">
        <v>42090</v>
      </c>
      <c r="S8407" s="2">
        <v>42103</v>
      </c>
      <c r="T8407" s="2">
        <v>42103</v>
      </c>
      <c r="U8407" s="2">
        <v>42163</v>
      </c>
      <c r="V8407" t="s">
        <v>71</v>
      </c>
      <c r="W8407" t="str">
        <f>"               10974"</f>
        <v xml:space="preserve">               10974</v>
      </c>
      <c r="X8407">
        <v>329.4</v>
      </c>
      <c r="Y8407">
        <v>0</v>
      </c>
      <c r="Z8407"/>
      <c r="AB8407"/>
      <c r="AC8407">
        <v>270</v>
      </c>
      <c r="AD8407">
        <v>252</v>
      </c>
      <c r="AE8407" s="1">
        <v>68040</v>
      </c>
      <c r="AF8407">
        <v>0</v>
      </c>
      <c r="AJ8407">
        <v>0</v>
      </c>
      <c r="AK8407">
        <v>0</v>
      </c>
      <c r="AL8407">
        <v>0</v>
      </c>
      <c r="AM8407">
        <v>0</v>
      </c>
      <c r="AN8407">
        <v>0</v>
      </c>
      <c r="AO8407">
        <v>0</v>
      </c>
      <c r="AP8407" s="2">
        <v>42746</v>
      </c>
      <c r="AQ8407" t="s">
        <v>72</v>
      </c>
      <c r="AR8407" t="s">
        <v>72</v>
      </c>
      <c r="AS8407">
        <v>390</v>
      </c>
      <c r="AT8407" s="4">
        <v>42415</v>
      </c>
      <c r="AU8407" t="s">
        <v>73</v>
      </c>
      <c r="AV8407">
        <v>390</v>
      </c>
      <c r="AW8407" s="4">
        <v>42415</v>
      </c>
      <c r="BD8407">
        <v>0</v>
      </c>
      <c r="BN8407" t="s">
        <v>74</v>
      </c>
    </row>
    <row r="8408" spans="1:66" hidden="1">
      <c r="A8408">
        <v>106251</v>
      </c>
      <c r="B8408" s="3" t="s">
        <v>716</v>
      </c>
      <c r="C8408" s="1">
        <v>43300101</v>
      </c>
      <c r="D8408" t="s">
        <v>67</v>
      </c>
      <c r="H8408" t="str">
        <f t="shared" si="848"/>
        <v>04742650585</v>
      </c>
      <c r="I8408" t="str">
        <f t="shared" si="849"/>
        <v>01296201005</v>
      </c>
      <c r="K8408" t="str">
        <f>""</f>
        <v/>
      </c>
      <c r="M8408" t="s">
        <v>68</v>
      </c>
      <c r="N8408" t="str">
        <f t="shared" si="847"/>
        <v>FOR</v>
      </c>
      <c r="O8408" t="s">
        <v>69</v>
      </c>
      <c r="P8408" s="3" t="s">
        <v>70</v>
      </c>
      <c r="Q8408">
        <v>2015</v>
      </c>
      <c r="R8408" s="2">
        <v>42083</v>
      </c>
      <c r="S8408" s="2">
        <v>42515</v>
      </c>
      <c r="T8408" s="2">
        <v>42515</v>
      </c>
      <c r="U8408" s="2">
        <v>42575</v>
      </c>
      <c r="V8408" t="s">
        <v>71</v>
      </c>
      <c r="W8408" t="str">
        <f>"            10863/V2"</f>
        <v xml:space="preserve">            10863/V2</v>
      </c>
      <c r="X8408">
        <v>936.96</v>
      </c>
      <c r="Y8408">
        <v>0</v>
      </c>
      <c r="Z8408"/>
      <c r="AB8408"/>
      <c r="AC8408">
        <v>768</v>
      </c>
      <c r="AD8408">
        <v>-6</v>
      </c>
      <c r="AE8408" s="1">
        <v>-4608</v>
      </c>
      <c r="AF8408">
        <v>0</v>
      </c>
      <c r="AJ8408">
        <v>0</v>
      </c>
      <c r="AK8408">
        <v>0</v>
      </c>
      <c r="AL8408">
        <v>0</v>
      </c>
      <c r="AM8408">
        <v>0</v>
      </c>
      <c r="AN8408">
        <v>936.96</v>
      </c>
      <c r="AO8408">
        <v>0</v>
      </c>
      <c r="AP8408" s="2">
        <v>42746</v>
      </c>
      <c r="AQ8408" t="s">
        <v>72</v>
      </c>
      <c r="AR8408" t="s">
        <v>72</v>
      </c>
      <c r="AS8408">
        <v>1853</v>
      </c>
      <c r="AT8408" s="4">
        <v>42569</v>
      </c>
      <c r="AV8408">
        <v>1853</v>
      </c>
      <c r="AW8408" s="4">
        <v>42569</v>
      </c>
      <c r="BD8408">
        <v>0</v>
      </c>
      <c r="BN8408" t="s">
        <v>74</v>
      </c>
    </row>
    <row r="8409" spans="1:66" hidden="1">
      <c r="A8409">
        <v>106251</v>
      </c>
      <c r="B8409" s="3" t="s">
        <v>716</v>
      </c>
      <c r="C8409" s="1">
        <v>43300101</v>
      </c>
      <c r="D8409" t="s">
        <v>67</v>
      </c>
      <c r="H8409" t="str">
        <f t="shared" si="848"/>
        <v>04742650585</v>
      </c>
      <c r="I8409" t="str">
        <f t="shared" si="849"/>
        <v>01296201005</v>
      </c>
      <c r="K8409" t="str">
        <f>""</f>
        <v/>
      </c>
      <c r="M8409" t="s">
        <v>68</v>
      </c>
      <c r="N8409" t="str">
        <f t="shared" si="847"/>
        <v>FOR</v>
      </c>
      <c r="O8409" t="s">
        <v>69</v>
      </c>
      <c r="P8409" s="3" t="s">
        <v>75</v>
      </c>
      <c r="Q8409">
        <v>2015</v>
      </c>
      <c r="R8409" s="2">
        <v>42103</v>
      </c>
      <c r="S8409" s="2">
        <v>42142</v>
      </c>
      <c r="T8409" s="2">
        <v>42137</v>
      </c>
      <c r="U8409" s="2">
        <v>42197</v>
      </c>
      <c r="V8409" t="s">
        <v>71</v>
      </c>
      <c r="W8409" t="str">
        <f>"            11125/V2"</f>
        <v xml:space="preserve">            11125/V2</v>
      </c>
      <c r="X8409" s="1">
        <v>2098.4</v>
      </c>
      <c r="Y8409">
        <v>0</v>
      </c>
      <c r="Z8409"/>
      <c r="AB8409"/>
      <c r="AC8409" s="1">
        <v>1720</v>
      </c>
      <c r="AD8409">
        <v>234</v>
      </c>
      <c r="AE8409" s="1">
        <v>402480</v>
      </c>
      <c r="AF8409">
        <v>0</v>
      </c>
      <c r="AJ8409">
        <v>0</v>
      </c>
      <c r="AK8409">
        <v>0</v>
      </c>
      <c r="AL8409">
        <v>0</v>
      </c>
      <c r="AM8409">
        <v>0</v>
      </c>
      <c r="AN8409">
        <v>0</v>
      </c>
      <c r="AO8409">
        <v>0</v>
      </c>
      <c r="AP8409" s="2">
        <v>42746</v>
      </c>
      <c r="AQ8409" t="s">
        <v>72</v>
      </c>
      <c r="AR8409" t="s">
        <v>72</v>
      </c>
      <c r="AS8409">
        <v>625</v>
      </c>
      <c r="AT8409" s="4">
        <v>42431</v>
      </c>
      <c r="AU8409" t="s">
        <v>73</v>
      </c>
      <c r="AV8409">
        <v>625</v>
      </c>
      <c r="AW8409" s="4">
        <v>42431</v>
      </c>
      <c r="BD8409">
        <v>0</v>
      </c>
      <c r="BN8409" t="s">
        <v>74</v>
      </c>
    </row>
    <row r="8410" spans="1:66" hidden="1">
      <c r="A8410">
        <v>106251</v>
      </c>
      <c r="B8410" s="3" t="s">
        <v>716</v>
      </c>
      <c r="C8410" s="1">
        <v>43300101</v>
      </c>
      <c r="D8410" t="s">
        <v>67</v>
      </c>
      <c r="H8410" t="str">
        <f t="shared" si="848"/>
        <v>04742650585</v>
      </c>
      <c r="I8410" t="str">
        <f t="shared" si="849"/>
        <v>01296201005</v>
      </c>
      <c r="K8410" t="str">
        <f>""</f>
        <v/>
      </c>
      <c r="M8410" t="s">
        <v>68</v>
      </c>
      <c r="N8410" t="str">
        <f t="shared" si="847"/>
        <v>FOR</v>
      </c>
      <c r="O8410" t="s">
        <v>69</v>
      </c>
      <c r="P8410" s="3" t="s">
        <v>75</v>
      </c>
      <c r="Q8410">
        <v>2015</v>
      </c>
      <c r="R8410" s="2">
        <v>42132</v>
      </c>
      <c r="S8410" s="2">
        <v>42158</v>
      </c>
      <c r="T8410" s="2">
        <v>42138</v>
      </c>
      <c r="U8410" s="2">
        <v>42198</v>
      </c>
      <c r="V8410" t="s">
        <v>71</v>
      </c>
      <c r="W8410" t="str">
        <f>"            11502/V2"</f>
        <v xml:space="preserve">            11502/V2</v>
      </c>
      <c r="X8410">
        <v>234.24</v>
      </c>
      <c r="Y8410">
        <v>0</v>
      </c>
      <c r="Z8410"/>
      <c r="AB8410"/>
      <c r="AC8410">
        <v>192</v>
      </c>
      <c r="AD8410">
        <v>254</v>
      </c>
      <c r="AE8410" s="1">
        <v>48768</v>
      </c>
      <c r="AF8410">
        <v>0</v>
      </c>
      <c r="AJ8410">
        <v>0</v>
      </c>
      <c r="AK8410">
        <v>0</v>
      </c>
      <c r="AL8410">
        <v>0</v>
      </c>
      <c r="AM8410">
        <v>0</v>
      </c>
      <c r="AN8410">
        <v>0</v>
      </c>
      <c r="AO8410">
        <v>0</v>
      </c>
      <c r="AP8410" s="2">
        <v>42746</v>
      </c>
      <c r="AQ8410" t="s">
        <v>72</v>
      </c>
      <c r="AR8410" t="s">
        <v>72</v>
      </c>
      <c r="AS8410">
        <v>817</v>
      </c>
      <c r="AT8410" s="4">
        <v>42452</v>
      </c>
      <c r="AU8410" t="s">
        <v>73</v>
      </c>
      <c r="AV8410">
        <v>817</v>
      </c>
      <c r="AW8410" s="4">
        <v>42452</v>
      </c>
      <c r="BD8410">
        <v>0</v>
      </c>
      <c r="BN8410" t="s">
        <v>74</v>
      </c>
    </row>
    <row r="8411" spans="1:66" hidden="1">
      <c r="A8411">
        <v>106251</v>
      </c>
      <c r="B8411" s="3" t="s">
        <v>716</v>
      </c>
      <c r="C8411" s="1">
        <v>43300101</v>
      </c>
      <c r="D8411" t="s">
        <v>67</v>
      </c>
      <c r="H8411" t="str">
        <f t="shared" si="848"/>
        <v>04742650585</v>
      </c>
      <c r="I8411" t="str">
        <f t="shared" si="849"/>
        <v>01296201005</v>
      </c>
      <c r="K8411" t="str">
        <f>""</f>
        <v/>
      </c>
      <c r="M8411" t="s">
        <v>68</v>
      </c>
      <c r="N8411" t="str">
        <f t="shared" si="847"/>
        <v>FOR</v>
      </c>
      <c r="O8411" t="s">
        <v>69</v>
      </c>
      <c r="P8411" s="3" t="s">
        <v>75</v>
      </c>
      <c r="Q8411">
        <v>2015</v>
      </c>
      <c r="R8411" s="2">
        <v>42139</v>
      </c>
      <c r="S8411" s="2">
        <v>42163</v>
      </c>
      <c r="T8411" s="2">
        <v>42159</v>
      </c>
      <c r="U8411" s="2">
        <v>42219</v>
      </c>
      <c r="V8411" t="s">
        <v>71</v>
      </c>
      <c r="W8411" t="str">
        <f>"            11581/V2"</f>
        <v xml:space="preserve">            11581/V2</v>
      </c>
      <c r="X8411">
        <v>329.4</v>
      </c>
      <c r="Y8411">
        <v>0</v>
      </c>
      <c r="Z8411"/>
      <c r="AB8411"/>
      <c r="AC8411">
        <v>270</v>
      </c>
      <c r="AD8411">
        <v>233</v>
      </c>
      <c r="AE8411" s="1">
        <v>62910</v>
      </c>
      <c r="AF8411">
        <v>0</v>
      </c>
      <c r="AJ8411">
        <v>0</v>
      </c>
      <c r="AK8411">
        <v>0</v>
      </c>
      <c r="AL8411">
        <v>0</v>
      </c>
      <c r="AM8411">
        <v>0</v>
      </c>
      <c r="AN8411">
        <v>0</v>
      </c>
      <c r="AO8411">
        <v>0</v>
      </c>
      <c r="AP8411" s="2">
        <v>42746</v>
      </c>
      <c r="AQ8411" t="s">
        <v>72</v>
      </c>
      <c r="AR8411" t="s">
        <v>72</v>
      </c>
      <c r="AS8411">
        <v>817</v>
      </c>
      <c r="AT8411" s="4">
        <v>42452</v>
      </c>
      <c r="AU8411" t="s">
        <v>73</v>
      </c>
      <c r="AV8411">
        <v>817</v>
      </c>
      <c r="AW8411" s="4">
        <v>42452</v>
      </c>
      <c r="BD8411">
        <v>0</v>
      </c>
      <c r="BN8411" t="s">
        <v>74</v>
      </c>
    </row>
    <row r="8412" spans="1:66" hidden="1">
      <c r="A8412">
        <v>106251</v>
      </c>
      <c r="B8412" s="3" t="s">
        <v>716</v>
      </c>
      <c r="C8412" s="1">
        <v>43300101</v>
      </c>
      <c r="D8412" t="s">
        <v>67</v>
      </c>
      <c r="H8412" t="str">
        <f t="shared" si="848"/>
        <v>04742650585</v>
      </c>
      <c r="I8412" t="str">
        <f t="shared" si="849"/>
        <v>01296201005</v>
      </c>
      <c r="K8412" t="str">
        <f>""</f>
        <v/>
      </c>
      <c r="M8412" t="s">
        <v>68</v>
      </c>
      <c r="N8412" t="str">
        <f t="shared" si="847"/>
        <v>FOR</v>
      </c>
      <c r="O8412" t="s">
        <v>69</v>
      </c>
      <c r="P8412" s="3" t="s">
        <v>75</v>
      </c>
      <c r="Q8412">
        <v>2015</v>
      </c>
      <c r="R8412" s="2">
        <v>42163</v>
      </c>
      <c r="S8412" s="2">
        <v>42199</v>
      </c>
      <c r="T8412" s="2">
        <v>42198</v>
      </c>
      <c r="U8412" s="2">
        <v>42258</v>
      </c>
      <c r="V8412" t="s">
        <v>71</v>
      </c>
      <c r="W8412" t="str">
        <f>"            11864/V2"</f>
        <v xml:space="preserve">            11864/V2</v>
      </c>
      <c r="X8412">
        <v>329.4</v>
      </c>
      <c r="Y8412">
        <v>0</v>
      </c>
      <c r="Z8412"/>
      <c r="AB8412"/>
      <c r="AC8412">
        <v>270</v>
      </c>
      <c r="AD8412">
        <v>262</v>
      </c>
      <c r="AE8412" s="1">
        <v>70740</v>
      </c>
      <c r="AF8412">
        <v>0</v>
      </c>
      <c r="AJ8412">
        <v>0</v>
      </c>
      <c r="AK8412">
        <v>0</v>
      </c>
      <c r="AL8412">
        <v>0</v>
      </c>
      <c r="AM8412">
        <v>0</v>
      </c>
      <c r="AN8412">
        <v>0</v>
      </c>
      <c r="AO8412">
        <v>0</v>
      </c>
      <c r="AP8412" s="2">
        <v>42746</v>
      </c>
      <c r="AQ8412" t="s">
        <v>72</v>
      </c>
      <c r="AR8412" t="s">
        <v>72</v>
      </c>
      <c r="AS8412">
        <v>1449</v>
      </c>
      <c r="AT8412" s="4">
        <v>42520</v>
      </c>
      <c r="AU8412" t="s">
        <v>73</v>
      </c>
      <c r="AV8412">
        <v>1449</v>
      </c>
      <c r="AW8412" s="4">
        <v>42520</v>
      </c>
      <c r="BD8412">
        <v>0</v>
      </c>
      <c r="BN8412" t="s">
        <v>74</v>
      </c>
    </row>
    <row r="8413" spans="1:66" hidden="1">
      <c r="A8413">
        <v>106251</v>
      </c>
      <c r="B8413" s="3" t="s">
        <v>716</v>
      </c>
      <c r="C8413" s="1">
        <v>43300101</v>
      </c>
      <c r="D8413" t="s">
        <v>67</v>
      </c>
      <c r="H8413" t="str">
        <f t="shared" si="848"/>
        <v>04742650585</v>
      </c>
      <c r="I8413" t="str">
        <f t="shared" si="849"/>
        <v>01296201005</v>
      </c>
      <c r="K8413" t="str">
        <f>""</f>
        <v/>
      </c>
      <c r="M8413" t="s">
        <v>68</v>
      </c>
      <c r="N8413" t="str">
        <f t="shared" si="847"/>
        <v>FOR</v>
      </c>
      <c r="O8413" t="s">
        <v>69</v>
      </c>
      <c r="P8413" s="3" t="s">
        <v>75</v>
      </c>
      <c r="Q8413">
        <v>2015</v>
      </c>
      <c r="R8413" s="2">
        <v>42174</v>
      </c>
      <c r="S8413" s="2">
        <v>42202</v>
      </c>
      <c r="T8413" s="2">
        <v>42201</v>
      </c>
      <c r="U8413" s="2">
        <v>42261</v>
      </c>
      <c r="V8413" t="s">
        <v>71</v>
      </c>
      <c r="W8413" t="str">
        <f>"            12027/V2"</f>
        <v xml:space="preserve">            12027/V2</v>
      </c>
      <c r="X8413">
        <v>378.2</v>
      </c>
      <c r="Y8413">
        <v>0</v>
      </c>
      <c r="Z8413"/>
      <c r="AB8413"/>
      <c r="AC8413">
        <v>310</v>
      </c>
      <c r="AD8413">
        <v>259</v>
      </c>
      <c r="AE8413" s="1">
        <v>80290</v>
      </c>
      <c r="AF8413">
        <v>0</v>
      </c>
      <c r="AJ8413">
        <v>0</v>
      </c>
      <c r="AK8413">
        <v>0</v>
      </c>
      <c r="AL8413">
        <v>0</v>
      </c>
      <c r="AM8413">
        <v>0</v>
      </c>
      <c r="AN8413">
        <v>0</v>
      </c>
      <c r="AO8413">
        <v>0</v>
      </c>
      <c r="AP8413" s="2">
        <v>42746</v>
      </c>
      <c r="AQ8413" t="s">
        <v>72</v>
      </c>
      <c r="AR8413" t="s">
        <v>72</v>
      </c>
      <c r="AS8413">
        <v>1449</v>
      </c>
      <c r="AT8413" s="4">
        <v>42520</v>
      </c>
      <c r="AU8413" t="s">
        <v>73</v>
      </c>
      <c r="AV8413">
        <v>1449</v>
      </c>
      <c r="AW8413" s="4">
        <v>42520</v>
      </c>
      <c r="BD8413">
        <v>0</v>
      </c>
      <c r="BN8413" t="s">
        <v>74</v>
      </c>
    </row>
    <row r="8414" spans="1:66" hidden="1">
      <c r="A8414">
        <v>106251</v>
      </c>
      <c r="B8414" s="3" t="s">
        <v>716</v>
      </c>
      <c r="C8414" s="1">
        <v>43300101</v>
      </c>
      <c r="D8414" t="s">
        <v>67</v>
      </c>
      <c r="H8414" t="str">
        <f t="shared" si="848"/>
        <v>04742650585</v>
      </c>
      <c r="I8414" t="str">
        <f t="shared" si="849"/>
        <v>01296201005</v>
      </c>
      <c r="K8414" t="str">
        <f>""</f>
        <v/>
      </c>
      <c r="M8414" t="s">
        <v>68</v>
      </c>
      <c r="N8414" t="str">
        <f t="shared" si="847"/>
        <v>FOR</v>
      </c>
      <c r="O8414" t="s">
        <v>69</v>
      </c>
      <c r="P8414" s="3" t="s">
        <v>75</v>
      </c>
      <c r="Q8414">
        <v>2015</v>
      </c>
      <c r="R8414" s="2">
        <v>42174</v>
      </c>
      <c r="S8414" s="2">
        <v>42202</v>
      </c>
      <c r="T8414" s="2">
        <v>42201</v>
      </c>
      <c r="U8414" s="2">
        <v>42261</v>
      </c>
      <c r="V8414" t="s">
        <v>71</v>
      </c>
      <c r="W8414" t="str">
        <f>"            12028/V2"</f>
        <v xml:space="preserve">            12028/V2</v>
      </c>
      <c r="X8414">
        <v>702.72</v>
      </c>
      <c r="Y8414">
        <v>0</v>
      </c>
      <c r="Z8414"/>
      <c r="AB8414"/>
      <c r="AC8414">
        <v>576</v>
      </c>
      <c r="AD8414">
        <v>259</v>
      </c>
      <c r="AE8414" s="1">
        <v>149184</v>
      </c>
      <c r="AF8414">
        <v>0</v>
      </c>
      <c r="AJ8414">
        <v>0</v>
      </c>
      <c r="AK8414">
        <v>0</v>
      </c>
      <c r="AL8414">
        <v>0</v>
      </c>
      <c r="AM8414">
        <v>0</v>
      </c>
      <c r="AN8414">
        <v>0</v>
      </c>
      <c r="AO8414">
        <v>0</v>
      </c>
      <c r="AP8414" s="2">
        <v>42746</v>
      </c>
      <c r="AQ8414" t="s">
        <v>72</v>
      </c>
      <c r="AR8414" t="s">
        <v>72</v>
      </c>
      <c r="AS8414">
        <v>1449</v>
      </c>
      <c r="AT8414" s="4">
        <v>42520</v>
      </c>
      <c r="AU8414" t="s">
        <v>73</v>
      </c>
      <c r="AV8414">
        <v>1449</v>
      </c>
      <c r="AW8414" s="4">
        <v>42520</v>
      </c>
      <c r="BD8414">
        <v>0</v>
      </c>
      <c r="BN8414" t="s">
        <v>74</v>
      </c>
    </row>
    <row r="8415" spans="1:66" hidden="1">
      <c r="A8415">
        <v>106251</v>
      </c>
      <c r="B8415" s="3" t="s">
        <v>716</v>
      </c>
      <c r="C8415" s="1">
        <v>43300101</v>
      </c>
      <c r="D8415" t="s">
        <v>67</v>
      </c>
      <c r="H8415" t="str">
        <f t="shared" si="848"/>
        <v>04742650585</v>
      </c>
      <c r="I8415" t="str">
        <f t="shared" si="849"/>
        <v>01296201005</v>
      </c>
      <c r="K8415" t="str">
        <f>""</f>
        <v/>
      </c>
      <c r="M8415" t="s">
        <v>68</v>
      </c>
      <c r="N8415" t="str">
        <f t="shared" si="847"/>
        <v>FOR</v>
      </c>
      <c r="O8415" t="s">
        <v>69</v>
      </c>
      <c r="P8415" s="3" t="s">
        <v>75</v>
      </c>
      <c r="Q8415">
        <v>2015</v>
      </c>
      <c r="R8415" s="2">
        <v>42185</v>
      </c>
      <c r="S8415" s="2">
        <v>42199</v>
      </c>
      <c r="T8415" s="2">
        <v>42198</v>
      </c>
      <c r="U8415" s="2">
        <v>42258</v>
      </c>
      <c r="V8415" t="s">
        <v>71</v>
      </c>
      <c r="W8415" t="str">
        <f>"            12214/V2"</f>
        <v xml:space="preserve">            12214/V2</v>
      </c>
      <c r="X8415">
        <v>378.2</v>
      </c>
      <c r="Y8415">
        <v>0</v>
      </c>
      <c r="Z8415"/>
      <c r="AB8415"/>
      <c r="AC8415">
        <v>310</v>
      </c>
      <c r="AD8415">
        <v>262</v>
      </c>
      <c r="AE8415" s="1">
        <v>81220</v>
      </c>
      <c r="AF8415">
        <v>0</v>
      </c>
      <c r="AJ8415">
        <v>0</v>
      </c>
      <c r="AK8415">
        <v>0</v>
      </c>
      <c r="AL8415">
        <v>0</v>
      </c>
      <c r="AM8415">
        <v>0</v>
      </c>
      <c r="AN8415">
        <v>0</v>
      </c>
      <c r="AO8415">
        <v>0</v>
      </c>
      <c r="AP8415" s="2">
        <v>42746</v>
      </c>
      <c r="AQ8415" t="s">
        <v>72</v>
      </c>
      <c r="AR8415" t="s">
        <v>72</v>
      </c>
      <c r="AS8415">
        <v>1449</v>
      </c>
      <c r="AT8415" s="4">
        <v>42520</v>
      </c>
      <c r="AU8415" t="s">
        <v>73</v>
      </c>
      <c r="AV8415">
        <v>1449</v>
      </c>
      <c r="AW8415" s="4">
        <v>42520</v>
      </c>
      <c r="BD8415">
        <v>0</v>
      </c>
      <c r="BN8415" t="s">
        <v>74</v>
      </c>
    </row>
    <row r="8416" spans="1:66" hidden="1">
      <c r="A8416">
        <v>106251</v>
      </c>
      <c r="B8416" s="3" t="s">
        <v>716</v>
      </c>
      <c r="C8416" s="1">
        <v>43300101</v>
      </c>
      <c r="D8416" t="s">
        <v>67</v>
      </c>
      <c r="H8416" t="str">
        <f t="shared" si="848"/>
        <v>04742650585</v>
      </c>
      <c r="I8416" t="str">
        <f t="shared" si="849"/>
        <v>01296201005</v>
      </c>
      <c r="K8416" t="str">
        <f>""</f>
        <v/>
      </c>
      <c r="M8416" t="s">
        <v>68</v>
      </c>
      <c r="N8416" t="str">
        <f t="shared" si="847"/>
        <v>FOR</v>
      </c>
      <c r="O8416" t="s">
        <v>69</v>
      </c>
      <c r="P8416" s="3" t="s">
        <v>75</v>
      </c>
      <c r="Q8416">
        <v>2015</v>
      </c>
      <c r="R8416" s="2">
        <v>42195</v>
      </c>
      <c r="S8416" s="2">
        <v>42198</v>
      </c>
      <c r="T8416" s="2">
        <v>42198</v>
      </c>
      <c r="U8416" s="2">
        <v>42258</v>
      </c>
      <c r="V8416" t="s">
        <v>71</v>
      </c>
      <c r="W8416" t="str">
        <f>"            12304/V2"</f>
        <v xml:space="preserve">            12304/V2</v>
      </c>
      <c r="X8416" s="1">
        <v>3350.12</v>
      </c>
      <c r="Y8416">
        <v>0</v>
      </c>
      <c r="Z8416"/>
      <c r="AB8416"/>
      <c r="AC8416" s="1">
        <v>2746</v>
      </c>
      <c r="AD8416">
        <v>311</v>
      </c>
      <c r="AE8416" s="1">
        <v>854006</v>
      </c>
      <c r="AF8416">
        <v>0</v>
      </c>
      <c r="AJ8416">
        <v>0</v>
      </c>
      <c r="AK8416">
        <v>0</v>
      </c>
      <c r="AL8416">
        <v>0</v>
      </c>
      <c r="AM8416">
        <v>0</v>
      </c>
      <c r="AN8416">
        <v>0</v>
      </c>
      <c r="AO8416">
        <v>0</v>
      </c>
      <c r="AP8416" s="2">
        <v>42746</v>
      </c>
      <c r="AQ8416" t="s">
        <v>72</v>
      </c>
      <c r="AR8416" t="s">
        <v>72</v>
      </c>
      <c r="AS8416">
        <v>1853</v>
      </c>
      <c r="AT8416" s="4">
        <v>42569</v>
      </c>
      <c r="AU8416" t="s">
        <v>73</v>
      </c>
      <c r="AV8416">
        <v>1853</v>
      </c>
      <c r="AW8416" s="4">
        <v>42569</v>
      </c>
      <c r="BD8416">
        <v>0</v>
      </c>
      <c r="BN8416" t="s">
        <v>74</v>
      </c>
    </row>
    <row r="8417" spans="1:66" hidden="1">
      <c r="A8417">
        <v>106251</v>
      </c>
      <c r="B8417" s="3" t="s">
        <v>716</v>
      </c>
      <c r="C8417" s="1">
        <v>43300101</v>
      </c>
      <c r="D8417" t="s">
        <v>67</v>
      </c>
      <c r="H8417" t="str">
        <f t="shared" si="848"/>
        <v>04742650585</v>
      </c>
      <c r="I8417" t="str">
        <f t="shared" si="849"/>
        <v>01296201005</v>
      </c>
      <c r="K8417" t="str">
        <f>""</f>
        <v/>
      </c>
      <c r="M8417" t="s">
        <v>68</v>
      </c>
      <c r="N8417" t="str">
        <f t="shared" si="847"/>
        <v>FOR</v>
      </c>
      <c r="O8417" t="s">
        <v>69</v>
      </c>
      <c r="P8417" s="3" t="s">
        <v>75</v>
      </c>
      <c r="Q8417">
        <v>2015</v>
      </c>
      <c r="R8417" s="2">
        <v>42258</v>
      </c>
      <c r="S8417" s="2">
        <v>42262</v>
      </c>
      <c r="T8417" s="2">
        <v>42261</v>
      </c>
      <c r="U8417" s="2">
        <v>42321</v>
      </c>
      <c r="V8417" t="s">
        <v>71</v>
      </c>
      <c r="W8417" t="str">
        <f>"            12992/V2"</f>
        <v xml:space="preserve">            12992/V2</v>
      </c>
      <c r="X8417">
        <v>658.8</v>
      </c>
      <c r="Y8417">
        <v>0</v>
      </c>
      <c r="Z8417"/>
      <c r="AB8417"/>
      <c r="AC8417">
        <v>540</v>
      </c>
      <c r="AD8417">
        <v>300</v>
      </c>
      <c r="AE8417" s="1">
        <v>162000</v>
      </c>
      <c r="AF8417">
        <v>0</v>
      </c>
      <c r="AJ8417">
        <v>0</v>
      </c>
      <c r="AK8417">
        <v>0</v>
      </c>
      <c r="AL8417">
        <v>0</v>
      </c>
      <c r="AM8417">
        <v>0</v>
      </c>
      <c r="AN8417">
        <v>0</v>
      </c>
      <c r="AO8417">
        <v>0</v>
      </c>
      <c r="AP8417" s="2">
        <v>42746</v>
      </c>
      <c r="AQ8417" t="s">
        <v>72</v>
      </c>
      <c r="AR8417" t="s">
        <v>72</v>
      </c>
      <c r="AS8417">
        <v>2370</v>
      </c>
      <c r="AT8417" s="4">
        <v>42621</v>
      </c>
      <c r="AU8417" t="s">
        <v>73</v>
      </c>
      <c r="AV8417">
        <v>2370</v>
      </c>
      <c r="AW8417" s="4">
        <v>42621</v>
      </c>
      <c r="BD8417">
        <v>0</v>
      </c>
      <c r="BN8417" t="s">
        <v>74</v>
      </c>
    </row>
    <row r="8418" spans="1:66">
      <c r="A8418">
        <v>106251</v>
      </c>
      <c r="B8418" s="3" t="s">
        <v>716</v>
      </c>
      <c r="C8418" s="1">
        <v>43300101</v>
      </c>
      <c r="D8418" t="s">
        <v>67</v>
      </c>
      <c r="H8418" t="str">
        <f t="shared" si="848"/>
        <v>04742650585</v>
      </c>
      <c r="I8418" t="str">
        <f t="shared" si="849"/>
        <v>01296201005</v>
      </c>
      <c r="K8418" t="str">
        <f>""</f>
        <v/>
      </c>
      <c r="M8418" t="s">
        <v>68</v>
      </c>
      <c r="N8418" t="str">
        <f t="shared" si="847"/>
        <v>FOR</v>
      </c>
      <c r="O8418" t="s">
        <v>69</v>
      </c>
      <c r="P8418" s="3" t="s">
        <v>75</v>
      </c>
      <c r="Q8418">
        <v>2015</v>
      </c>
      <c r="R8418" s="2">
        <v>42289</v>
      </c>
      <c r="S8418" s="2">
        <v>42290</v>
      </c>
      <c r="T8418" s="2">
        <v>42290</v>
      </c>
      <c r="U8418" s="2">
        <v>42350</v>
      </c>
      <c r="V8418" t="s">
        <v>71</v>
      </c>
      <c r="W8418" t="str">
        <f>"            13274/V2"</f>
        <v xml:space="preserve">            13274/V2</v>
      </c>
      <c r="X8418" s="1">
        <v>2242.36</v>
      </c>
      <c r="Y8418">
        <v>0</v>
      </c>
      <c r="Z8418" s="5">
        <v>1838</v>
      </c>
      <c r="AA8418">
        <v>296</v>
      </c>
      <c r="AB8418" s="5">
        <v>544048</v>
      </c>
      <c r="AC8418" s="1">
        <v>1838</v>
      </c>
      <c r="AD8418">
        <v>296</v>
      </c>
      <c r="AE8418" s="1">
        <v>544048</v>
      </c>
      <c r="AF8418">
        <v>0</v>
      </c>
      <c r="AJ8418">
        <v>0</v>
      </c>
      <c r="AK8418">
        <v>0</v>
      </c>
      <c r="AL8418">
        <v>0</v>
      </c>
      <c r="AM8418">
        <v>0</v>
      </c>
      <c r="AN8418">
        <v>0</v>
      </c>
      <c r="AO8418">
        <v>0</v>
      </c>
      <c r="AP8418" s="2">
        <v>42746</v>
      </c>
      <c r="AQ8418" t="s">
        <v>72</v>
      </c>
      <c r="AR8418" t="s">
        <v>72</v>
      </c>
      <c r="AS8418">
        <v>2575</v>
      </c>
      <c r="AT8418" s="4">
        <v>42646</v>
      </c>
      <c r="AU8418" t="s">
        <v>73</v>
      </c>
      <c r="AV8418">
        <v>2575</v>
      </c>
      <c r="AW8418" s="4">
        <v>42646</v>
      </c>
      <c r="BD8418">
        <v>0</v>
      </c>
      <c r="BN8418" t="s">
        <v>74</v>
      </c>
    </row>
    <row r="8419" spans="1:66">
      <c r="A8419">
        <v>106251</v>
      </c>
      <c r="B8419" s="3" t="s">
        <v>716</v>
      </c>
      <c r="C8419" s="1">
        <v>43300101</v>
      </c>
      <c r="D8419" t="s">
        <v>67</v>
      </c>
      <c r="H8419" t="str">
        <f t="shared" si="848"/>
        <v>04742650585</v>
      </c>
      <c r="I8419" t="str">
        <f t="shared" si="849"/>
        <v>01296201005</v>
      </c>
      <c r="K8419" t="str">
        <f>""</f>
        <v/>
      </c>
      <c r="M8419" t="s">
        <v>68</v>
      </c>
      <c r="N8419" t="str">
        <f t="shared" si="847"/>
        <v>FOR</v>
      </c>
      <c r="O8419" t="s">
        <v>69</v>
      </c>
      <c r="P8419" s="3" t="s">
        <v>75</v>
      </c>
      <c r="Q8419">
        <v>2015</v>
      </c>
      <c r="R8419" s="2">
        <v>42289</v>
      </c>
      <c r="S8419" s="2">
        <v>42290</v>
      </c>
      <c r="T8419" s="2">
        <v>42290</v>
      </c>
      <c r="U8419" s="2">
        <v>42350</v>
      </c>
      <c r="V8419" t="s">
        <v>71</v>
      </c>
      <c r="W8419" t="str">
        <f>"            13275/V2"</f>
        <v xml:space="preserve">            13275/V2</v>
      </c>
      <c r="X8419">
        <v>329.4</v>
      </c>
      <c r="Y8419">
        <v>0</v>
      </c>
      <c r="Z8419" s="3">
        <v>270</v>
      </c>
      <c r="AA8419">
        <v>296</v>
      </c>
      <c r="AB8419" s="5">
        <v>79920</v>
      </c>
      <c r="AC8419">
        <v>270</v>
      </c>
      <c r="AD8419">
        <v>296</v>
      </c>
      <c r="AE8419" s="1">
        <v>79920</v>
      </c>
      <c r="AF8419">
        <v>0</v>
      </c>
      <c r="AJ8419">
        <v>0</v>
      </c>
      <c r="AK8419">
        <v>0</v>
      </c>
      <c r="AL8419">
        <v>0</v>
      </c>
      <c r="AM8419">
        <v>0</v>
      </c>
      <c r="AN8419">
        <v>0</v>
      </c>
      <c r="AO8419">
        <v>0</v>
      </c>
      <c r="AP8419" s="2">
        <v>42746</v>
      </c>
      <c r="AQ8419" t="s">
        <v>72</v>
      </c>
      <c r="AR8419" t="s">
        <v>72</v>
      </c>
      <c r="AS8419">
        <v>2575</v>
      </c>
      <c r="AT8419" s="4">
        <v>42646</v>
      </c>
      <c r="AU8419" t="s">
        <v>73</v>
      </c>
      <c r="AV8419">
        <v>2575</v>
      </c>
      <c r="AW8419" s="4">
        <v>42646</v>
      </c>
      <c r="BD8419">
        <v>0</v>
      </c>
      <c r="BN8419" t="s">
        <v>74</v>
      </c>
    </row>
    <row r="8420" spans="1:66">
      <c r="A8420">
        <v>106251</v>
      </c>
      <c r="B8420" s="3" t="s">
        <v>716</v>
      </c>
      <c r="C8420" s="1">
        <v>43300101</v>
      </c>
      <c r="D8420" t="s">
        <v>67</v>
      </c>
      <c r="H8420" t="str">
        <f t="shared" si="848"/>
        <v>04742650585</v>
      </c>
      <c r="I8420" t="str">
        <f t="shared" si="849"/>
        <v>01296201005</v>
      </c>
      <c r="K8420" t="str">
        <f>""</f>
        <v/>
      </c>
      <c r="M8420" t="s">
        <v>68</v>
      </c>
      <c r="N8420" t="str">
        <f t="shared" si="847"/>
        <v>FOR</v>
      </c>
      <c r="O8420" t="s">
        <v>69</v>
      </c>
      <c r="P8420" s="3" t="s">
        <v>75</v>
      </c>
      <c r="Q8420">
        <v>2015</v>
      </c>
      <c r="R8420" s="2">
        <v>42300</v>
      </c>
      <c r="S8420" s="2">
        <v>42305</v>
      </c>
      <c r="T8420" s="2">
        <v>42300</v>
      </c>
      <c r="U8420" s="2">
        <v>42360</v>
      </c>
      <c r="V8420" t="s">
        <v>71</v>
      </c>
      <c r="W8420" t="str">
        <f>"            13473/V2"</f>
        <v xml:space="preserve">            13473/V2</v>
      </c>
      <c r="X8420" s="1">
        <v>1616.26</v>
      </c>
      <c r="Y8420">
        <v>0</v>
      </c>
      <c r="Z8420" s="5">
        <v>1324.8</v>
      </c>
      <c r="AA8420">
        <v>286</v>
      </c>
      <c r="AB8420" s="5">
        <v>378892.79999999999</v>
      </c>
      <c r="AC8420" s="1">
        <v>1324.8</v>
      </c>
      <c r="AD8420">
        <v>286</v>
      </c>
      <c r="AE8420" s="1">
        <v>378892.79999999999</v>
      </c>
      <c r="AF8420">
        <v>0</v>
      </c>
      <c r="AJ8420">
        <v>0</v>
      </c>
      <c r="AK8420">
        <v>0</v>
      </c>
      <c r="AL8420">
        <v>0</v>
      </c>
      <c r="AM8420">
        <v>0</v>
      </c>
      <c r="AN8420">
        <v>0</v>
      </c>
      <c r="AO8420">
        <v>0</v>
      </c>
      <c r="AP8420" s="2">
        <v>42746</v>
      </c>
      <c r="AQ8420" t="s">
        <v>72</v>
      </c>
      <c r="AR8420" t="s">
        <v>72</v>
      </c>
      <c r="AS8420">
        <v>2575</v>
      </c>
      <c r="AT8420" s="4">
        <v>42646</v>
      </c>
      <c r="AU8420" t="s">
        <v>73</v>
      </c>
      <c r="AV8420">
        <v>2575</v>
      </c>
      <c r="AW8420" s="4">
        <v>42646</v>
      </c>
      <c r="BD8420">
        <v>0</v>
      </c>
      <c r="BN8420" t="s">
        <v>74</v>
      </c>
    </row>
    <row r="8421" spans="1:66">
      <c r="A8421">
        <v>106251</v>
      </c>
      <c r="B8421" s="3" t="s">
        <v>716</v>
      </c>
      <c r="C8421" s="1">
        <v>43300101</v>
      </c>
      <c r="D8421" t="s">
        <v>67</v>
      </c>
      <c r="H8421" t="str">
        <f t="shared" si="848"/>
        <v>04742650585</v>
      </c>
      <c r="I8421" t="str">
        <f t="shared" si="849"/>
        <v>01296201005</v>
      </c>
      <c r="K8421" t="str">
        <f>""</f>
        <v/>
      </c>
      <c r="M8421" t="s">
        <v>68</v>
      </c>
      <c r="N8421" t="str">
        <f t="shared" si="847"/>
        <v>FOR</v>
      </c>
      <c r="O8421" t="s">
        <v>69</v>
      </c>
      <c r="P8421" s="3" t="s">
        <v>75</v>
      </c>
      <c r="Q8421">
        <v>2015</v>
      </c>
      <c r="R8421" s="2">
        <v>42307</v>
      </c>
      <c r="S8421" s="2">
        <v>42312</v>
      </c>
      <c r="T8421" s="2">
        <v>42311</v>
      </c>
      <c r="U8421" s="2">
        <v>42371</v>
      </c>
      <c r="V8421" t="s">
        <v>71</v>
      </c>
      <c r="W8421" t="str">
        <f>"            13562/V2"</f>
        <v xml:space="preserve">            13562/V2</v>
      </c>
      <c r="X8421" s="1">
        <v>1256.5999999999999</v>
      </c>
      <c r="Y8421">
        <v>0</v>
      </c>
      <c r="Z8421" s="5">
        <v>1030</v>
      </c>
      <c r="AA8421">
        <v>275</v>
      </c>
      <c r="AB8421" s="5">
        <v>283250</v>
      </c>
      <c r="AC8421" s="1">
        <v>1030</v>
      </c>
      <c r="AD8421">
        <v>275</v>
      </c>
      <c r="AE8421" s="1">
        <v>283250</v>
      </c>
      <c r="AF8421">
        <v>0</v>
      </c>
      <c r="AJ8421">
        <v>0</v>
      </c>
      <c r="AK8421">
        <v>0</v>
      </c>
      <c r="AL8421">
        <v>0</v>
      </c>
      <c r="AM8421">
        <v>0</v>
      </c>
      <c r="AN8421">
        <v>0</v>
      </c>
      <c r="AO8421">
        <v>0</v>
      </c>
      <c r="AP8421" s="2">
        <v>42746</v>
      </c>
      <c r="AQ8421" t="s">
        <v>72</v>
      </c>
      <c r="AR8421" t="s">
        <v>72</v>
      </c>
      <c r="AS8421">
        <v>2575</v>
      </c>
      <c r="AT8421" s="4">
        <v>42646</v>
      </c>
      <c r="AU8421" t="s">
        <v>73</v>
      </c>
      <c r="AV8421">
        <v>2575</v>
      </c>
      <c r="AW8421" s="4">
        <v>42646</v>
      </c>
      <c r="BD8421">
        <v>0</v>
      </c>
      <c r="BN8421" t="s">
        <v>74</v>
      </c>
    </row>
    <row r="8422" spans="1:66">
      <c r="A8422">
        <v>106251</v>
      </c>
      <c r="B8422" s="3" t="s">
        <v>716</v>
      </c>
      <c r="C8422" s="1">
        <v>43300101</v>
      </c>
      <c r="D8422" t="s">
        <v>67</v>
      </c>
      <c r="H8422" t="str">
        <f t="shared" si="848"/>
        <v>04742650585</v>
      </c>
      <c r="I8422" t="str">
        <f t="shared" si="849"/>
        <v>01296201005</v>
      </c>
      <c r="K8422" t="str">
        <f>""</f>
        <v/>
      </c>
      <c r="M8422" t="s">
        <v>68</v>
      </c>
      <c r="N8422" t="str">
        <f t="shared" si="847"/>
        <v>FOR</v>
      </c>
      <c r="O8422" t="s">
        <v>69</v>
      </c>
      <c r="P8422" s="3" t="s">
        <v>75</v>
      </c>
      <c r="Q8422">
        <v>2015</v>
      </c>
      <c r="R8422" s="2">
        <v>42307</v>
      </c>
      <c r="S8422" s="2">
        <v>42312</v>
      </c>
      <c r="T8422" s="2">
        <v>42311</v>
      </c>
      <c r="U8422" s="2">
        <v>42371</v>
      </c>
      <c r="V8422" t="s">
        <v>71</v>
      </c>
      <c r="W8422" t="str">
        <f>"            13563/V2"</f>
        <v xml:space="preserve">            13563/V2</v>
      </c>
      <c r="X8422">
        <v>620.74</v>
      </c>
      <c r="Y8422">
        <v>0</v>
      </c>
      <c r="Z8422" s="3">
        <v>508.8</v>
      </c>
      <c r="AA8422">
        <v>275</v>
      </c>
      <c r="AB8422" s="5">
        <v>139920</v>
      </c>
      <c r="AC8422">
        <v>508.8</v>
      </c>
      <c r="AD8422">
        <v>275</v>
      </c>
      <c r="AE8422" s="1">
        <v>139920</v>
      </c>
      <c r="AF8422">
        <v>0</v>
      </c>
      <c r="AJ8422">
        <v>0</v>
      </c>
      <c r="AK8422">
        <v>0</v>
      </c>
      <c r="AL8422">
        <v>0</v>
      </c>
      <c r="AM8422">
        <v>0</v>
      </c>
      <c r="AN8422">
        <v>0</v>
      </c>
      <c r="AO8422">
        <v>0</v>
      </c>
      <c r="AP8422" s="2">
        <v>42746</v>
      </c>
      <c r="AQ8422" t="s">
        <v>72</v>
      </c>
      <c r="AR8422" t="s">
        <v>72</v>
      </c>
      <c r="AS8422">
        <v>2575</v>
      </c>
      <c r="AT8422" s="4">
        <v>42646</v>
      </c>
      <c r="AU8422" t="s">
        <v>73</v>
      </c>
      <c r="AV8422">
        <v>2575</v>
      </c>
      <c r="AW8422" s="4">
        <v>42646</v>
      </c>
      <c r="BD8422">
        <v>0</v>
      </c>
      <c r="BN8422" t="s">
        <v>74</v>
      </c>
    </row>
    <row r="8423" spans="1:66">
      <c r="A8423">
        <v>106251</v>
      </c>
      <c r="B8423" s="3" t="s">
        <v>716</v>
      </c>
      <c r="C8423" s="1">
        <v>43300101</v>
      </c>
      <c r="D8423" t="s">
        <v>67</v>
      </c>
      <c r="H8423" t="str">
        <f t="shared" si="848"/>
        <v>04742650585</v>
      </c>
      <c r="I8423" t="str">
        <f t="shared" si="849"/>
        <v>01296201005</v>
      </c>
      <c r="K8423" t="str">
        <f>""</f>
        <v/>
      </c>
      <c r="M8423" t="s">
        <v>68</v>
      </c>
      <c r="N8423" t="str">
        <f t="shared" si="847"/>
        <v>FOR</v>
      </c>
      <c r="O8423" t="s">
        <v>69</v>
      </c>
      <c r="P8423" s="3" t="s">
        <v>75</v>
      </c>
      <c r="Q8423">
        <v>2015</v>
      </c>
      <c r="R8423" s="2">
        <v>42324</v>
      </c>
      <c r="S8423" s="2">
        <v>42326</v>
      </c>
      <c r="T8423" s="2">
        <v>42324</v>
      </c>
      <c r="U8423" s="2">
        <v>42384</v>
      </c>
      <c r="V8423" t="s">
        <v>71</v>
      </c>
      <c r="W8423" t="str">
        <f>"            13743/V2"</f>
        <v xml:space="preserve">            13743/V2</v>
      </c>
      <c r="X8423" s="1">
        <v>1107.76</v>
      </c>
      <c r="Y8423">
        <v>0</v>
      </c>
      <c r="Z8423" s="3">
        <v>908</v>
      </c>
      <c r="AA8423">
        <v>262</v>
      </c>
      <c r="AB8423" s="5">
        <v>237896</v>
      </c>
      <c r="AC8423">
        <v>908</v>
      </c>
      <c r="AD8423">
        <v>262</v>
      </c>
      <c r="AE8423" s="1">
        <v>237896</v>
      </c>
      <c r="AF8423">
        <v>0</v>
      </c>
      <c r="AJ8423">
        <v>0</v>
      </c>
      <c r="AK8423">
        <v>0</v>
      </c>
      <c r="AL8423">
        <v>0</v>
      </c>
      <c r="AM8423">
        <v>0</v>
      </c>
      <c r="AN8423">
        <v>0</v>
      </c>
      <c r="AO8423">
        <v>0</v>
      </c>
      <c r="AP8423" s="2">
        <v>42746</v>
      </c>
      <c r="AQ8423" t="s">
        <v>72</v>
      </c>
      <c r="AR8423" t="s">
        <v>72</v>
      </c>
      <c r="AS8423">
        <v>2575</v>
      </c>
      <c r="AT8423" s="4">
        <v>42646</v>
      </c>
      <c r="AU8423" t="s">
        <v>73</v>
      </c>
      <c r="AV8423">
        <v>2575</v>
      </c>
      <c r="AW8423" s="4">
        <v>42646</v>
      </c>
      <c r="BD8423">
        <v>0</v>
      </c>
      <c r="BN8423" t="s">
        <v>74</v>
      </c>
    </row>
    <row r="8424" spans="1:66">
      <c r="A8424">
        <v>106251</v>
      </c>
      <c r="B8424" s="3" t="s">
        <v>716</v>
      </c>
      <c r="C8424" s="1">
        <v>43300101</v>
      </c>
      <c r="D8424" t="s">
        <v>67</v>
      </c>
      <c r="H8424" t="str">
        <f t="shared" si="848"/>
        <v>04742650585</v>
      </c>
      <c r="I8424" t="str">
        <f t="shared" si="849"/>
        <v>01296201005</v>
      </c>
      <c r="K8424" t="str">
        <f>""</f>
        <v/>
      </c>
      <c r="M8424" t="s">
        <v>68</v>
      </c>
      <c r="N8424" t="str">
        <f t="shared" si="847"/>
        <v>FOR</v>
      </c>
      <c r="O8424" t="s">
        <v>69</v>
      </c>
      <c r="P8424" s="3" t="s">
        <v>75</v>
      </c>
      <c r="Q8424">
        <v>2015</v>
      </c>
      <c r="R8424" s="2">
        <v>42353</v>
      </c>
      <c r="S8424" s="2">
        <v>42361</v>
      </c>
      <c r="T8424" s="2">
        <v>42359</v>
      </c>
      <c r="U8424" s="2">
        <v>42419</v>
      </c>
      <c r="V8424" t="s">
        <v>71</v>
      </c>
      <c r="W8424" t="str">
        <f>"            14121/V2"</f>
        <v xml:space="preserve">            14121/V2</v>
      </c>
      <c r="X8424" s="1">
        <v>2098.4</v>
      </c>
      <c r="Y8424">
        <v>0</v>
      </c>
      <c r="Z8424" s="5">
        <v>1720</v>
      </c>
      <c r="AA8424">
        <v>227</v>
      </c>
      <c r="AB8424" s="5">
        <v>390440</v>
      </c>
      <c r="AC8424" s="1">
        <v>1720</v>
      </c>
      <c r="AD8424">
        <v>227</v>
      </c>
      <c r="AE8424" s="1">
        <v>390440</v>
      </c>
      <c r="AF8424">
        <v>0</v>
      </c>
      <c r="AJ8424">
        <v>0</v>
      </c>
      <c r="AK8424">
        <v>0</v>
      </c>
      <c r="AL8424">
        <v>0</v>
      </c>
      <c r="AM8424">
        <v>0</v>
      </c>
      <c r="AN8424">
        <v>0</v>
      </c>
      <c r="AO8424">
        <v>0</v>
      </c>
      <c r="AP8424" s="2">
        <v>42746</v>
      </c>
      <c r="AQ8424" t="s">
        <v>72</v>
      </c>
      <c r="AR8424" t="s">
        <v>72</v>
      </c>
      <c r="AS8424">
        <v>2575</v>
      </c>
      <c r="AT8424" s="4">
        <v>42646</v>
      </c>
      <c r="AU8424" t="s">
        <v>73</v>
      </c>
      <c r="AV8424">
        <v>2575</v>
      </c>
      <c r="AW8424" s="4">
        <v>42646</v>
      </c>
      <c r="BD8424">
        <v>0</v>
      </c>
      <c r="BN8424" t="s">
        <v>74</v>
      </c>
    </row>
    <row r="8425" spans="1:66">
      <c r="A8425">
        <v>106251</v>
      </c>
      <c r="B8425" s="3" t="s">
        <v>716</v>
      </c>
      <c r="C8425" s="1">
        <v>43300101</v>
      </c>
      <c r="D8425" t="s">
        <v>67</v>
      </c>
      <c r="H8425" t="str">
        <f t="shared" si="848"/>
        <v>04742650585</v>
      </c>
      <c r="I8425" t="str">
        <f t="shared" si="849"/>
        <v>01296201005</v>
      </c>
      <c r="K8425" t="str">
        <f>""</f>
        <v/>
      </c>
      <c r="M8425" t="s">
        <v>68</v>
      </c>
      <c r="N8425" t="str">
        <f t="shared" si="847"/>
        <v>FOR</v>
      </c>
      <c r="O8425" t="s">
        <v>69</v>
      </c>
      <c r="P8425" s="3" t="s">
        <v>75</v>
      </c>
      <c r="Q8425">
        <v>2016</v>
      </c>
      <c r="R8425" s="2">
        <v>42398</v>
      </c>
      <c r="S8425" s="2">
        <v>42410</v>
      </c>
      <c r="T8425" s="2">
        <v>42403</v>
      </c>
      <c r="U8425" s="2">
        <v>42463</v>
      </c>
      <c r="V8425" t="s">
        <v>71</v>
      </c>
      <c r="W8425" t="str">
        <f>"            10182/V2"</f>
        <v xml:space="preserve">            10182/V2</v>
      </c>
      <c r="X8425" s="1">
        <v>3782</v>
      </c>
      <c r="Y8425">
        <v>0</v>
      </c>
      <c r="Z8425" s="5">
        <v>3100</v>
      </c>
      <c r="AA8425">
        <v>260</v>
      </c>
      <c r="AB8425" s="5">
        <v>806000</v>
      </c>
      <c r="AC8425" s="1">
        <v>3100</v>
      </c>
      <c r="AD8425">
        <v>260</v>
      </c>
      <c r="AE8425" s="1">
        <v>806000</v>
      </c>
      <c r="AF8425">
        <v>682</v>
      </c>
      <c r="AJ8425">
        <v>0</v>
      </c>
      <c r="AK8425">
        <v>0</v>
      </c>
      <c r="AL8425">
        <v>0</v>
      </c>
      <c r="AM8425" s="1">
        <v>3782</v>
      </c>
      <c r="AN8425" s="1">
        <v>3782</v>
      </c>
      <c r="AO8425" s="1">
        <v>3782</v>
      </c>
      <c r="AP8425" s="2">
        <v>42746</v>
      </c>
      <c r="AQ8425" t="s">
        <v>72</v>
      </c>
      <c r="AR8425" t="s">
        <v>72</v>
      </c>
      <c r="AS8425">
        <v>3631</v>
      </c>
      <c r="AT8425" s="4">
        <v>42723</v>
      </c>
      <c r="AU8425" t="s">
        <v>73</v>
      </c>
      <c r="AV8425">
        <v>3631</v>
      </c>
      <c r="AW8425" s="4">
        <v>42723</v>
      </c>
      <c r="BD8425">
        <v>682</v>
      </c>
      <c r="BN8425" t="s">
        <v>74</v>
      </c>
    </row>
    <row r="8426" spans="1:66">
      <c r="A8426">
        <v>106263</v>
      </c>
      <c r="B8426" s="3" t="s">
        <v>717</v>
      </c>
      <c r="C8426" s="1">
        <v>43500101</v>
      </c>
      <c r="D8426" t="s">
        <v>113</v>
      </c>
      <c r="H8426" t="str">
        <f>"SGRNCL67C22A783R"</f>
        <v>SGRNCL67C22A783R</v>
      </c>
      <c r="I8426" t="str">
        <f>"01080280629"</f>
        <v>01080280629</v>
      </c>
      <c r="K8426" t="str">
        <f>""</f>
        <v/>
      </c>
      <c r="M8426" t="s">
        <v>68</v>
      </c>
      <c r="N8426" t="str">
        <f t="shared" ref="N8426:N8457" si="850">"ALTPRO"</f>
        <v>ALTPRO</v>
      </c>
      <c r="O8426" t="s">
        <v>132</v>
      </c>
      <c r="P8426" s="3" t="s">
        <v>146</v>
      </c>
      <c r="Q8426">
        <v>2016</v>
      </c>
      <c r="R8426" s="2">
        <v>42699</v>
      </c>
      <c r="S8426" s="2">
        <v>42702</v>
      </c>
      <c r="T8426" s="2">
        <v>42699</v>
      </c>
      <c r="U8426" s="2">
        <v>42759</v>
      </c>
      <c r="V8426" t="s">
        <v>71</v>
      </c>
      <c r="W8426" t="str">
        <f>"                 3PA"</f>
        <v xml:space="preserve">                 3PA</v>
      </c>
      <c r="X8426" s="1">
        <v>11651.01</v>
      </c>
      <c r="Y8426" s="1">
        <v>-1836.54</v>
      </c>
      <c r="Z8426" s="5">
        <v>9814.4699999999993</v>
      </c>
      <c r="AA8426">
        <v>-50</v>
      </c>
      <c r="AB8426" s="5">
        <v>-490723.5</v>
      </c>
      <c r="AC8426" s="1">
        <v>9814.4699999999993</v>
      </c>
      <c r="AD8426">
        <v>-50</v>
      </c>
      <c r="AE8426" s="1">
        <v>-490723.5</v>
      </c>
      <c r="AF8426">
        <v>0</v>
      </c>
      <c r="AJ8426" s="1">
        <v>9814.4699999999993</v>
      </c>
      <c r="AK8426" s="1">
        <v>9814.4699999999993</v>
      </c>
      <c r="AL8426" s="1">
        <v>9814.4699999999993</v>
      </c>
      <c r="AM8426" s="1">
        <v>9814.4699999999993</v>
      </c>
      <c r="AN8426" s="1">
        <v>9814.4699999999993</v>
      </c>
      <c r="AO8426" s="1">
        <v>9814.4699999999993</v>
      </c>
      <c r="AP8426" s="2">
        <v>42746</v>
      </c>
      <c r="AQ8426" t="s">
        <v>72</v>
      </c>
      <c r="AR8426" t="s">
        <v>72</v>
      </c>
      <c r="AS8426">
        <v>3316</v>
      </c>
      <c r="AT8426" s="4">
        <v>42709</v>
      </c>
      <c r="AV8426">
        <v>3316</v>
      </c>
      <c r="AW8426" s="4">
        <v>42709</v>
      </c>
      <c r="BD8426">
        <v>0</v>
      </c>
      <c r="BN8426" t="s">
        <v>74</v>
      </c>
    </row>
    <row r="8427" spans="1:66">
      <c r="A8427">
        <v>106265</v>
      </c>
      <c r="B8427" s="3" t="s">
        <v>718</v>
      </c>
      <c r="C8427" s="1">
        <v>43500101</v>
      </c>
      <c r="D8427" t="s">
        <v>113</v>
      </c>
      <c r="H8427" t="str">
        <f>"01362900621"</f>
        <v>01362900621</v>
      </c>
      <c r="I8427" t="str">
        <f>"01362900621"</f>
        <v>01362900621</v>
      </c>
      <c r="K8427" t="str">
        <f>""</f>
        <v/>
      </c>
      <c r="M8427" t="s">
        <v>68</v>
      </c>
      <c r="N8427" t="str">
        <f t="shared" si="850"/>
        <v>ALTPRO</v>
      </c>
      <c r="O8427" t="s">
        <v>132</v>
      </c>
      <c r="P8427" s="3" t="s">
        <v>75</v>
      </c>
      <c r="Q8427">
        <v>2016</v>
      </c>
      <c r="R8427" s="2">
        <v>42685</v>
      </c>
      <c r="S8427" s="2">
        <v>42688</v>
      </c>
      <c r="T8427" s="2">
        <v>42686</v>
      </c>
      <c r="U8427" s="2">
        <v>42746</v>
      </c>
      <c r="V8427" t="s">
        <v>71</v>
      </c>
      <c r="W8427" t="str">
        <f>"         FATTPA 6_16"</f>
        <v xml:space="preserve">         FATTPA 6_16</v>
      </c>
      <c r="X8427" s="1">
        <v>12063.29</v>
      </c>
      <c r="Y8427" s="1">
        <v>-1901.53</v>
      </c>
      <c r="Z8427" s="5">
        <v>10161.76</v>
      </c>
      <c r="AA8427">
        <v>-54</v>
      </c>
      <c r="AB8427" s="5">
        <v>-548735.04</v>
      </c>
      <c r="AC8427" s="1">
        <v>10161.76</v>
      </c>
      <c r="AD8427">
        <v>-54</v>
      </c>
      <c r="AE8427" s="1">
        <v>-548735.04</v>
      </c>
      <c r="AF8427">
        <v>0</v>
      </c>
      <c r="AJ8427" s="1">
        <v>10161.76</v>
      </c>
      <c r="AK8427" s="1">
        <v>10161.76</v>
      </c>
      <c r="AL8427" s="1">
        <v>10161.76</v>
      </c>
      <c r="AM8427" s="1">
        <v>10161.76</v>
      </c>
      <c r="AN8427" s="1">
        <v>10161.76</v>
      </c>
      <c r="AO8427" s="1">
        <v>10161.76</v>
      </c>
      <c r="AP8427" s="2">
        <v>42746</v>
      </c>
      <c r="AQ8427" t="s">
        <v>72</v>
      </c>
      <c r="AR8427" t="s">
        <v>72</v>
      </c>
      <c r="AS8427">
        <v>3175</v>
      </c>
      <c r="AT8427" s="4">
        <v>42692</v>
      </c>
      <c r="AV8427">
        <v>3175</v>
      </c>
      <c r="AW8427" s="4">
        <v>42692</v>
      </c>
      <c r="BD8427">
        <v>0</v>
      </c>
      <c r="BN8427" t="s">
        <v>74</v>
      </c>
    </row>
    <row r="8428" spans="1:66" hidden="1">
      <c r="A8428">
        <v>106268</v>
      </c>
      <c r="B8428" s="3" t="s">
        <v>719</v>
      </c>
      <c r="C8428" s="1">
        <v>43500101</v>
      </c>
      <c r="D8428" t="s">
        <v>113</v>
      </c>
      <c r="H8428" t="str">
        <f t="shared" ref="H8428:H8439" si="851">"MRZRNG74L70C495L"</f>
        <v>MRZRNG74L70C495L</v>
      </c>
      <c r="I8428" t="str">
        <f t="shared" ref="I8428:I8439" si="852">"06855941214"</f>
        <v>06855941214</v>
      </c>
      <c r="K8428" t="str">
        <f>""</f>
        <v/>
      </c>
      <c r="M8428" t="s">
        <v>68</v>
      </c>
      <c r="N8428" t="str">
        <f t="shared" si="850"/>
        <v>ALTPRO</v>
      </c>
      <c r="O8428" t="s">
        <v>132</v>
      </c>
      <c r="P8428" s="3" t="s">
        <v>75</v>
      </c>
      <c r="Q8428">
        <v>2016</v>
      </c>
      <c r="R8428" s="2">
        <v>42380</v>
      </c>
      <c r="S8428" s="2">
        <v>42382</v>
      </c>
      <c r="T8428" s="2">
        <v>42380</v>
      </c>
      <c r="U8428" s="2">
        <v>42440</v>
      </c>
      <c r="V8428" t="s">
        <v>71</v>
      </c>
      <c r="W8428" t="str">
        <f>"         FATTPA 1_16"</f>
        <v xml:space="preserve">         FATTPA 1_16</v>
      </c>
      <c r="X8428" s="1">
        <v>2530.64</v>
      </c>
      <c r="Y8428">
        <v>-505.73</v>
      </c>
      <c r="Z8428"/>
      <c r="AB8428"/>
      <c r="AC8428" s="1">
        <v>2024.91</v>
      </c>
      <c r="AD8428">
        <v>-43</v>
      </c>
      <c r="AE8428" s="1">
        <v>-87071.13</v>
      </c>
      <c r="AF8428">
        <v>0</v>
      </c>
      <c r="AJ8428">
        <v>0</v>
      </c>
      <c r="AK8428">
        <v>0</v>
      </c>
      <c r="AL8428">
        <v>0</v>
      </c>
      <c r="AM8428" s="1">
        <v>2024.91</v>
      </c>
      <c r="AN8428" s="1">
        <v>2024.91</v>
      </c>
      <c r="AO8428" s="1">
        <v>2024.91</v>
      </c>
      <c r="AP8428" s="2">
        <v>42746</v>
      </c>
      <c r="AQ8428" t="s">
        <v>72</v>
      </c>
      <c r="AR8428" t="s">
        <v>72</v>
      </c>
      <c r="AS8428">
        <v>136</v>
      </c>
      <c r="AT8428" s="4">
        <v>42397</v>
      </c>
      <c r="AV8428">
        <v>136</v>
      </c>
      <c r="AW8428" s="4">
        <v>42397</v>
      </c>
      <c r="BD8428">
        <v>0</v>
      </c>
      <c r="BN8428" t="s">
        <v>74</v>
      </c>
    </row>
    <row r="8429" spans="1:66" hidden="1">
      <c r="A8429">
        <v>106268</v>
      </c>
      <c r="B8429" s="3" t="s">
        <v>719</v>
      </c>
      <c r="C8429" s="1">
        <v>43500101</v>
      </c>
      <c r="D8429" t="s">
        <v>113</v>
      </c>
      <c r="H8429" t="str">
        <f t="shared" si="851"/>
        <v>MRZRNG74L70C495L</v>
      </c>
      <c r="I8429" t="str">
        <f t="shared" si="852"/>
        <v>06855941214</v>
      </c>
      <c r="K8429" t="str">
        <f>""</f>
        <v/>
      </c>
      <c r="M8429" t="s">
        <v>68</v>
      </c>
      <c r="N8429" t="str">
        <f t="shared" si="850"/>
        <v>ALTPRO</v>
      </c>
      <c r="O8429" t="s">
        <v>132</v>
      </c>
      <c r="P8429" s="3" t="s">
        <v>75</v>
      </c>
      <c r="Q8429">
        <v>2016</v>
      </c>
      <c r="R8429" s="2">
        <v>42410</v>
      </c>
      <c r="S8429" s="2">
        <v>42412</v>
      </c>
      <c r="T8429" s="2">
        <v>42410</v>
      </c>
      <c r="U8429" s="2">
        <v>42470</v>
      </c>
      <c r="V8429" t="s">
        <v>71</v>
      </c>
      <c r="W8429" t="str">
        <f>"         FATTPA 2_16"</f>
        <v xml:space="preserve">         FATTPA 2_16</v>
      </c>
      <c r="X8429" s="1">
        <v>2530.64</v>
      </c>
      <c r="Y8429">
        <v>-505.73</v>
      </c>
      <c r="Z8429"/>
      <c r="AB8429"/>
      <c r="AC8429" s="1">
        <v>2024.91</v>
      </c>
      <c r="AD8429">
        <v>-44</v>
      </c>
      <c r="AE8429" s="1">
        <v>-89096.04</v>
      </c>
      <c r="AF8429">
        <v>0</v>
      </c>
      <c r="AJ8429">
        <v>0</v>
      </c>
      <c r="AK8429">
        <v>0</v>
      </c>
      <c r="AL8429">
        <v>0</v>
      </c>
      <c r="AM8429" s="1">
        <v>2024.91</v>
      </c>
      <c r="AN8429" s="1">
        <v>2024.91</v>
      </c>
      <c r="AO8429" s="1">
        <v>2024.91</v>
      </c>
      <c r="AP8429" s="2">
        <v>42746</v>
      </c>
      <c r="AQ8429" t="s">
        <v>72</v>
      </c>
      <c r="AR8429" t="s">
        <v>72</v>
      </c>
      <c r="AS8429">
        <v>563</v>
      </c>
      <c r="AT8429" s="4">
        <v>42426</v>
      </c>
      <c r="AV8429">
        <v>563</v>
      </c>
      <c r="AW8429" s="4">
        <v>42426</v>
      </c>
      <c r="BD8429">
        <v>0</v>
      </c>
      <c r="BN8429" t="s">
        <v>74</v>
      </c>
    </row>
    <row r="8430" spans="1:66" hidden="1">
      <c r="A8430">
        <v>106268</v>
      </c>
      <c r="B8430" s="3" t="s">
        <v>719</v>
      </c>
      <c r="C8430" s="1">
        <v>43500101</v>
      </c>
      <c r="D8430" t="s">
        <v>113</v>
      </c>
      <c r="H8430" t="str">
        <f t="shared" si="851"/>
        <v>MRZRNG74L70C495L</v>
      </c>
      <c r="I8430" t="str">
        <f t="shared" si="852"/>
        <v>06855941214</v>
      </c>
      <c r="K8430" t="str">
        <f>""</f>
        <v/>
      </c>
      <c r="M8430" t="s">
        <v>68</v>
      </c>
      <c r="N8430" t="str">
        <f t="shared" si="850"/>
        <v>ALTPRO</v>
      </c>
      <c r="O8430" t="s">
        <v>132</v>
      </c>
      <c r="P8430" s="3" t="s">
        <v>75</v>
      </c>
      <c r="Q8430">
        <v>2016</v>
      </c>
      <c r="R8430" s="2">
        <v>42429</v>
      </c>
      <c r="S8430" s="2">
        <v>42431</v>
      </c>
      <c r="T8430" s="2">
        <v>42429</v>
      </c>
      <c r="U8430" s="2">
        <v>42489</v>
      </c>
      <c r="V8430" t="s">
        <v>71</v>
      </c>
      <c r="W8430" t="str">
        <f>"         FATTPA 3_16"</f>
        <v xml:space="preserve">         FATTPA 3_16</v>
      </c>
      <c r="X8430" s="1">
        <v>2636</v>
      </c>
      <c r="Y8430">
        <v>-526.79999999999995</v>
      </c>
      <c r="Z8430"/>
      <c r="AB8430"/>
      <c r="AC8430" s="1">
        <v>2109.1999999999998</v>
      </c>
      <c r="AD8430">
        <v>-38</v>
      </c>
      <c r="AE8430" s="1">
        <v>-80149.600000000006</v>
      </c>
      <c r="AF8430">
        <v>0</v>
      </c>
      <c r="AJ8430">
        <v>0</v>
      </c>
      <c r="AK8430">
        <v>0</v>
      </c>
      <c r="AL8430">
        <v>0</v>
      </c>
      <c r="AM8430" s="1">
        <v>2109.1999999999998</v>
      </c>
      <c r="AN8430" s="1">
        <v>2109.1999999999998</v>
      </c>
      <c r="AO8430" s="1">
        <v>2109.1999999999998</v>
      </c>
      <c r="AP8430" s="2">
        <v>42746</v>
      </c>
      <c r="AQ8430" t="s">
        <v>72</v>
      </c>
      <c r="AR8430" t="s">
        <v>72</v>
      </c>
      <c r="AS8430">
        <v>743</v>
      </c>
      <c r="AT8430" s="4">
        <v>42451</v>
      </c>
      <c r="AV8430">
        <v>743</v>
      </c>
      <c r="AW8430" s="4">
        <v>42451</v>
      </c>
      <c r="BD8430">
        <v>0</v>
      </c>
      <c r="BN8430" t="s">
        <v>74</v>
      </c>
    </row>
    <row r="8431" spans="1:66" hidden="1">
      <c r="A8431">
        <v>106268</v>
      </c>
      <c r="B8431" s="3" t="s">
        <v>719</v>
      </c>
      <c r="C8431" s="1">
        <v>43500101</v>
      </c>
      <c r="D8431" t="s">
        <v>113</v>
      </c>
      <c r="H8431" t="str">
        <f t="shared" si="851"/>
        <v>MRZRNG74L70C495L</v>
      </c>
      <c r="I8431" t="str">
        <f t="shared" si="852"/>
        <v>06855941214</v>
      </c>
      <c r="K8431" t="str">
        <f>""</f>
        <v/>
      </c>
      <c r="M8431" t="s">
        <v>68</v>
      </c>
      <c r="N8431" t="str">
        <f t="shared" si="850"/>
        <v>ALTPRO</v>
      </c>
      <c r="O8431" t="s">
        <v>132</v>
      </c>
      <c r="P8431" s="3" t="s">
        <v>75</v>
      </c>
      <c r="Q8431">
        <v>2016</v>
      </c>
      <c r="R8431" s="2">
        <v>42466</v>
      </c>
      <c r="S8431" s="2">
        <v>42467</v>
      </c>
      <c r="T8431" s="2">
        <v>42466</v>
      </c>
      <c r="U8431" s="2">
        <v>42526</v>
      </c>
      <c r="V8431" t="s">
        <v>71</v>
      </c>
      <c r="W8431" t="str">
        <f>"         FATTPA 4_16"</f>
        <v xml:space="preserve">         FATTPA 4_16</v>
      </c>
      <c r="X8431" s="1">
        <v>2741.36</v>
      </c>
      <c r="Y8431">
        <v>-547.87</v>
      </c>
      <c r="Z8431"/>
      <c r="AB8431"/>
      <c r="AC8431" s="1">
        <v>2193.4899999999998</v>
      </c>
      <c r="AD8431">
        <v>-39</v>
      </c>
      <c r="AE8431" s="1">
        <v>-85546.11</v>
      </c>
      <c r="AF8431">
        <v>0</v>
      </c>
      <c r="AJ8431">
        <v>0</v>
      </c>
      <c r="AK8431">
        <v>0</v>
      </c>
      <c r="AL8431">
        <v>0</v>
      </c>
      <c r="AM8431" s="1">
        <v>2193.4899999999998</v>
      </c>
      <c r="AN8431" s="1">
        <v>2193.4899999999998</v>
      </c>
      <c r="AO8431" s="1">
        <v>2193.4899999999998</v>
      </c>
      <c r="AP8431" s="2">
        <v>42746</v>
      </c>
      <c r="AQ8431" t="s">
        <v>72</v>
      </c>
      <c r="AR8431" t="s">
        <v>72</v>
      </c>
      <c r="AS8431">
        <v>1150</v>
      </c>
      <c r="AT8431" s="4">
        <v>42487</v>
      </c>
      <c r="AV8431">
        <v>1150</v>
      </c>
      <c r="AW8431" s="4">
        <v>42487</v>
      </c>
      <c r="BD8431">
        <v>0</v>
      </c>
      <c r="BN8431" t="s">
        <v>74</v>
      </c>
    </row>
    <row r="8432" spans="1:66" hidden="1">
      <c r="A8432">
        <v>106268</v>
      </c>
      <c r="B8432" s="3" t="s">
        <v>719</v>
      </c>
      <c r="C8432" s="1">
        <v>43500101</v>
      </c>
      <c r="D8432" t="s">
        <v>113</v>
      </c>
      <c r="H8432" t="str">
        <f t="shared" si="851"/>
        <v>MRZRNG74L70C495L</v>
      </c>
      <c r="I8432" t="str">
        <f t="shared" si="852"/>
        <v>06855941214</v>
      </c>
      <c r="K8432" t="str">
        <f>""</f>
        <v/>
      </c>
      <c r="M8432" t="s">
        <v>68</v>
      </c>
      <c r="N8432" t="str">
        <f t="shared" si="850"/>
        <v>ALTPRO</v>
      </c>
      <c r="O8432" t="s">
        <v>132</v>
      </c>
      <c r="P8432" s="3" t="s">
        <v>75</v>
      </c>
      <c r="Q8432">
        <v>2016</v>
      </c>
      <c r="R8432" s="2">
        <v>42502</v>
      </c>
      <c r="S8432" s="2">
        <v>42507</v>
      </c>
      <c r="T8432" s="2">
        <v>42502</v>
      </c>
      <c r="U8432" s="2">
        <v>42562</v>
      </c>
      <c r="V8432" t="s">
        <v>71</v>
      </c>
      <c r="W8432" t="str">
        <f>"         FATTPA 5_16"</f>
        <v xml:space="preserve">         FATTPA 5_16</v>
      </c>
      <c r="X8432" s="1">
        <v>2636</v>
      </c>
      <c r="Y8432">
        <v>-526.79999999999995</v>
      </c>
      <c r="Z8432"/>
      <c r="AB8432"/>
      <c r="AC8432" s="1">
        <v>2109.1999999999998</v>
      </c>
      <c r="AD8432">
        <v>-46</v>
      </c>
      <c r="AE8432" s="1">
        <v>-97023.2</v>
      </c>
      <c r="AF8432">
        <v>0</v>
      </c>
      <c r="AJ8432">
        <v>0</v>
      </c>
      <c r="AK8432">
        <v>0</v>
      </c>
      <c r="AL8432">
        <v>0</v>
      </c>
      <c r="AM8432" s="1">
        <v>2109.1999999999998</v>
      </c>
      <c r="AN8432" s="1">
        <v>2109.1999999999998</v>
      </c>
      <c r="AO8432" s="1">
        <v>2109.1999999999998</v>
      </c>
      <c r="AP8432" s="2">
        <v>42746</v>
      </c>
      <c r="AQ8432" t="s">
        <v>72</v>
      </c>
      <c r="AR8432" t="s">
        <v>72</v>
      </c>
      <c r="AS8432">
        <v>1367</v>
      </c>
      <c r="AT8432" s="4">
        <v>42516</v>
      </c>
      <c r="AV8432">
        <v>1367</v>
      </c>
      <c r="AW8432" s="4">
        <v>42516</v>
      </c>
      <c r="BD8432">
        <v>0</v>
      </c>
      <c r="BN8432" t="s">
        <v>74</v>
      </c>
    </row>
    <row r="8433" spans="1:66" hidden="1">
      <c r="A8433">
        <v>106268</v>
      </c>
      <c r="B8433" s="3" t="s">
        <v>719</v>
      </c>
      <c r="C8433" s="1">
        <v>43500101</v>
      </c>
      <c r="D8433" t="s">
        <v>113</v>
      </c>
      <c r="H8433" t="str">
        <f t="shared" si="851"/>
        <v>MRZRNG74L70C495L</v>
      </c>
      <c r="I8433" t="str">
        <f t="shared" si="852"/>
        <v>06855941214</v>
      </c>
      <c r="K8433" t="str">
        <f>""</f>
        <v/>
      </c>
      <c r="M8433" t="s">
        <v>68</v>
      </c>
      <c r="N8433" t="str">
        <f t="shared" si="850"/>
        <v>ALTPRO</v>
      </c>
      <c r="O8433" t="s">
        <v>132</v>
      </c>
      <c r="P8433" s="3" t="s">
        <v>75</v>
      </c>
      <c r="Q8433">
        <v>2016</v>
      </c>
      <c r="R8433" s="2">
        <v>42529</v>
      </c>
      <c r="S8433" s="2">
        <v>42562</v>
      </c>
      <c r="T8433" s="2">
        <v>42559</v>
      </c>
      <c r="U8433" s="2">
        <v>42619</v>
      </c>
      <c r="V8433" t="s">
        <v>71</v>
      </c>
      <c r="W8433" t="str">
        <f>"         FATTPA 6_16"</f>
        <v xml:space="preserve">         FATTPA 6_16</v>
      </c>
      <c r="X8433" s="1">
        <v>2321.5100000000002</v>
      </c>
      <c r="Y8433">
        <v>-463.9</v>
      </c>
      <c r="Z8433"/>
      <c r="AB8433"/>
      <c r="AC8433" s="1">
        <v>1857.61</v>
      </c>
      <c r="AD8433">
        <v>-53</v>
      </c>
      <c r="AE8433" s="1">
        <v>-98453.33</v>
      </c>
      <c r="AF8433">
        <v>0</v>
      </c>
      <c r="AJ8433">
        <v>0</v>
      </c>
      <c r="AK8433">
        <v>0</v>
      </c>
      <c r="AL8433">
        <v>0</v>
      </c>
      <c r="AM8433" s="1">
        <v>1857.61</v>
      </c>
      <c r="AN8433" s="1">
        <v>1857.61</v>
      </c>
      <c r="AO8433" s="1">
        <v>1857.61</v>
      </c>
      <c r="AP8433" s="2">
        <v>42746</v>
      </c>
      <c r="AQ8433" t="s">
        <v>72</v>
      </c>
      <c r="AR8433" t="s">
        <v>72</v>
      </c>
      <c r="AS8433">
        <v>1778</v>
      </c>
      <c r="AT8433" s="4">
        <v>42566</v>
      </c>
      <c r="AV8433">
        <v>1778</v>
      </c>
      <c r="AW8433" s="4">
        <v>42566</v>
      </c>
      <c r="BD8433">
        <v>0</v>
      </c>
      <c r="BN8433" t="s">
        <v>74</v>
      </c>
    </row>
    <row r="8434" spans="1:66" hidden="1">
      <c r="A8434">
        <v>106268</v>
      </c>
      <c r="B8434" s="3" t="s">
        <v>719</v>
      </c>
      <c r="C8434" s="1">
        <v>43500101</v>
      </c>
      <c r="D8434" t="s">
        <v>113</v>
      </c>
      <c r="H8434" t="str">
        <f t="shared" si="851"/>
        <v>MRZRNG74L70C495L</v>
      </c>
      <c r="I8434" t="str">
        <f t="shared" si="852"/>
        <v>06855941214</v>
      </c>
      <c r="K8434" t="str">
        <f>""</f>
        <v/>
      </c>
      <c r="M8434" t="s">
        <v>68</v>
      </c>
      <c r="N8434" t="str">
        <f t="shared" si="850"/>
        <v>ALTPRO</v>
      </c>
      <c r="O8434" t="s">
        <v>132</v>
      </c>
      <c r="P8434" s="3" t="s">
        <v>75</v>
      </c>
      <c r="Q8434">
        <v>2016</v>
      </c>
      <c r="R8434" s="2">
        <v>42564</v>
      </c>
      <c r="S8434" s="2">
        <v>42565</v>
      </c>
      <c r="T8434" s="2">
        <v>42564</v>
      </c>
      <c r="U8434" s="2">
        <v>42624</v>
      </c>
      <c r="V8434" t="s">
        <v>71</v>
      </c>
      <c r="W8434" t="str">
        <f>"         FATTPA 7_16"</f>
        <v xml:space="preserve">         FATTPA 7_16</v>
      </c>
      <c r="X8434" s="1">
        <v>2636</v>
      </c>
      <c r="Y8434">
        <v>-526.79999999999995</v>
      </c>
      <c r="Z8434"/>
      <c r="AB8434"/>
      <c r="AC8434" s="1">
        <v>2109.1999999999998</v>
      </c>
      <c r="AD8434">
        <v>-58</v>
      </c>
      <c r="AE8434" s="1">
        <v>-122333.6</v>
      </c>
      <c r="AF8434">
        <v>0</v>
      </c>
      <c r="AJ8434">
        <v>0</v>
      </c>
      <c r="AK8434">
        <v>0</v>
      </c>
      <c r="AL8434">
        <v>0</v>
      </c>
      <c r="AM8434" s="1">
        <v>2109.1999999999998</v>
      </c>
      <c r="AN8434" s="1">
        <v>2109.1999999999998</v>
      </c>
      <c r="AO8434" s="1">
        <v>2109.1999999999998</v>
      </c>
      <c r="AP8434" s="2">
        <v>42746</v>
      </c>
      <c r="AQ8434" t="s">
        <v>72</v>
      </c>
      <c r="AR8434" t="s">
        <v>72</v>
      </c>
      <c r="AS8434">
        <v>1778</v>
      </c>
      <c r="AT8434" s="4">
        <v>42566</v>
      </c>
      <c r="AV8434">
        <v>1778</v>
      </c>
      <c r="AW8434" s="4">
        <v>42566</v>
      </c>
      <c r="BD8434">
        <v>0</v>
      </c>
      <c r="BN8434" t="s">
        <v>74</v>
      </c>
    </row>
    <row r="8435" spans="1:66" hidden="1">
      <c r="A8435">
        <v>106268</v>
      </c>
      <c r="B8435" s="3" t="s">
        <v>719</v>
      </c>
      <c r="C8435" s="1">
        <v>43500101</v>
      </c>
      <c r="D8435" t="s">
        <v>113</v>
      </c>
      <c r="H8435" t="str">
        <f t="shared" si="851"/>
        <v>MRZRNG74L70C495L</v>
      </c>
      <c r="I8435" t="str">
        <f t="shared" si="852"/>
        <v>06855941214</v>
      </c>
      <c r="K8435" t="str">
        <f>""</f>
        <v/>
      </c>
      <c r="M8435" t="s">
        <v>68</v>
      </c>
      <c r="N8435" t="str">
        <f t="shared" si="850"/>
        <v>ALTPRO</v>
      </c>
      <c r="O8435" t="s">
        <v>132</v>
      </c>
      <c r="P8435" s="3" t="s">
        <v>75</v>
      </c>
      <c r="Q8435">
        <v>2016</v>
      </c>
      <c r="R8435" s="2">
        <v>42591</v>
      </c>
      <c r="S8435" s="2">
        <v>42591</v>
      </c>
      <c r="T8435" s="2">
        <v>42591</v>
      </c>
      <c r="U8435" s="2">
        <v>42651</v>
      </c>
      <c r="V8435" t="s">
        <v>71</v>
      </c>
      <c r="W8435" t="str">
        <f>"         FATTPA 8_16"</f>
        <v xml:space="preserve">         FATTPA 8_16</v>
      </c>
      <c r="X8435" s="1">
        <v>2692.55</v>
      </c>
      <c r="Y8435">
        <v>-538.11</v>
      </c>
      <c r="Z8435"/>
      <c r="AB8435"/>
      <c r="AC8435" s="1">
        <v>2154.44</v>
      </c>
      <c r="AD8435">
        <v>-33</v>
      </c>
      <c r="AE8435" s="1">
        <v>-71096.52</v>
      </c>
      <c r="AF8435">
        <v>0</v>
      </c>
      <c r="AJ8435">
        <v>0</v>
      </c>
      <c r="AK8435">
        <v>0</v>
      </c>
      <c r="AL8435">
        <v>0</v>
      </c>
      <c r="AM8435" s="1">
        <v>2154.44</v>
      </c>
      <c r="AN8435" s="1">
        <v>2154.44</v>
      </c>
      <c r="AO8435" s="1">
        <v>2154.44</v>
      </c>
      <c r="AP8435" s="2">
        <v>42746</v>
      </c>
      <c r="AQ8435" t="s">
        <v>72</v>
      </c>
      <c r="AR8435" t="s">
        <v>72</v>
      </c>
      <c r="AS8435">
        <v>2236</v>
      </c>
      <c r="AT8435" s="4">
        <v>42618</v>
      </c>
      <c r="AV8435">
        <v>2236</v>
      </c>
      <c r="AW8435" s="4">
        <v>42618</v>
      </c>
      <c r="BD8435">
        <v>0</v>
      </c>
      <c r="BN8435" t="s">
        <v>74</v>
      </c>
    </row>
    <row r="8436" spans="1:66">
      <c r="A8436">
        <v>106268</v>
      </c>
      <c r="B8436" s="3" t="s">
        <v>719</v>
      </c>
      <c r="C8436" s="1">
        <v>43500101</v>
      </c>
      <c r="D8436" t="s">
        <v>113</v>
      </c>
      <c r="H8436" t="str">
        <f t="shared" si="851"/>
        <v>MRZRNG74L70C495L</v>
      </c>
      <c r="I8436" t="str">
        <f t="shared" si="852"/>
        <v>06855941214</v>
      </c>
      <c r="K8436" t="str">
        <f>""</f>
        <v/>
      </c>
      <c r="M8436" t="s">
        <v>68</v>
      </c>
      <c r="N8436" t="str">
        <f t="shared" si="850"/>
        <v>ALTPRO</v>
      </c>
      <c r="O8436" t="s">
        <v>132</v>
      </c>
      <c r="P8436" s="3" t="s">
        <v>75</v>
      </c>
      <c r="Q8436">
        <v>2016</v>
      </c>
      <c r="R8436" s="2">
        <v>42621</v>
      </c>
      <c r="S8436" s="2">
        <v>42621</v>
      </c>
      <c r="T8436" s="2">
        <v>42621</v>
      </c>
      <c r="U8436" s="2">
        <v>42681</v>
      </c>
      <c r="V8436" t="s">
        <v>71</v>
      </c>
      <c r="W8436" t="str">
        <f>"         FATTPA 9_16"</f>
        <v xml:space="preserve">         FATTPA 9_16</v>
      </c>
      <c r="X8436" s="1">
        <v>1369.68</v>
      </c>
      <c r="Y8436">
        <v>-273.94</v>
      </c>
      <c r="Z8436" s="5">
        <v>1095.74</v>
      </c>
      <c r="AA8436">
        <v>-35</v>
      </c>
      <c r="AB8436" s="5">
        <v>-38350.9</v>
      </c>
      <c r="AC8436" s="1">
        <v>1095.74</v>
      </c>
      <c r="AD8436">
        <v>-35</v>
      </c>
      <c r="AE8436" s="1">
        <v>-38350.9</v>
      </c>
      <c r="AF8436">
        <v>0</v>
      </c>
      <c r="AJ8436">
        <v>0</v>
      </c>
      <c r="AK8436">
        <v>0</v>
      </c>
      <c r="AL8436">
        <v>0</v>
      </c>
      <c r="AM8436" s="1">
        <v>1095.74</v>
      </c>
      <c r="AN8436" s="1">
        <v>1095.74</v>
      </c>
      <c r="AO8436" s="1">
        <v>1095.74</v>
      </c>
      <c r="AP8436" s="2">
        <v>42746</v>
      </c>
      <c r="AQ8436" t="s">
        <v>72</v>
      </c>
      <c r="AR8436" t="s">
        <v>72</v>
      </c>
      <c r="AS8436">
        <v>2510</v>
      </c>
      <c r="AT8436" s="4">
        <v>42646</v>
      </c>
      <c r="AV8436">
        <v>2510</v>
      </c>
      <c r="AW8436" s="4">
        <v>42646</v>
      </c>
      <c r="BD8436">
        <v>0</v>
      </c>
      <c r="BN8436" t="s">
        <v>74</v>
      </c>
    </row>
    <row r="8437" spans="1:66">
      <c r="A8437">
        <v>106268</v>
      </c>
      <c r="B8437" s="3" t="s">
        <v>719</v>
      </c>
      <c r="C8437" s="1">
        <v>43500101</v>
      </c>
      <c r="D8437" t="s">
        <v>113</v>
      </c>
      <c r="H8437" t="str">
        <f t="shared" si="851"/>
        <v>MRZRNG74L70C495L</v>
      </c>
      <c r="I8437" t="str">
        <f t="shared" si="852"/>
        <v>06855941214</v>
      </c>
      <c r="K8437" t="str">
        <f>""</f>
        <v/>
      </c>
      <c r="M8437" t="s">
        <v>68</v>
      </c>
      <c r="N8437" t="str">
        <f t="shared" si="850"/>
        <v>ALTPRO</v>
      </c>
      <c r="O8437" t="s">
        <v>132</v>
      </c>
      <c r="P8437" s="3" t="s">
        <v>75</v>
      </c>
      <c r="Q8437">
        <v>2016</v>
      </c>
      <c r="R8437" s="2">
        <v>42649</v>
      </c>
      <c r="S8437" s="2">
        <v>42654</v>
      </c>
      <c r="T8437" s="2">
        <v>42650</v>
      </c>
      <c r="U8437" s="2">
        <v>42710</v>
      </c>
      <c r="V8437" t="s">
        <v>71</v>
      </c>
      <c r="W8437" t="str">
        <f>"        FATTPA 10_16"</f>
        <v xml:space="preserve">        FATTPA 10_16</v>
      </c>
      <c r="X8437" s="1">
        <v>2739.36</v>
      </c>
      <c r="Y8437">
        <v>-547.87</v>
      </c>
      <c r="Z8437" s="5">
        <v>2191.4899999999998</v>
      </c>
      <c r="AA8437">
        <v>-42</v>
      </c>
      <c r="AB8437" s="5">
        <v>-92042.58</v>
      </c>
      <c r="AC8437" s="1">
        <v>2191.4899999999998</v>
      </c>
      <c r="AD8437">
        <v>-42</v>
      </c>
      <c r="AE8437" s="1">
        <v>-92042.58</v>
      </c>
      <c r="AF8437">
        <v>0</v>
      </c>
      <c r="AJ8437">
        <v>-547.87</v>
      </c>
      <c r="AK8437" s="1">
        <v>2191.4899999999998</v>
      </c>
      <c r="AL8437" s="1">
        <v>2191.4899999999998</v>
      </c>
      <c r="AM8437" s="1">
        <v>2191.4899999999998</v>
      </c>
      <c r="AN8437" s="1">
        <v>2191.4899999999998</v>
      </c>
      <c r="AO8437" s="1">
        <v>2191.4899999999998</v>
      </c>
      <c r="AP8437" s="2">
        <v>42746</v>
      </c>
      <c r="AQ8437" t="s">
        <v>72</v>
      </c>
      <c r="AR8437" t="s">
        <v>72</v>
      </c>
      <c r="AS8437">
        <v>2864</v>
      </c>
      <c r="AT8437" s="4">
        <v>42668</v>
      </c>
      <c r="AV8437">
        <v>2864</v>
      </c>
      <c r="AW8437" s="4">
        <v>42668</v>
      </c>
      <c r="BD8437">
        <v>0</v>
      </c>
      <c r="BN8437" t="s">
        <v>74</v>
      </c>
    </row>
    <row r="8438" spans="1:66">
      <c r="A8438">
        <v>106268</v>
      </c>
      <c r="B8438" s="3" t="s">
        <v>719</v>
      </c>
      <c r="C8438" s="1">
        <v>43500101</v>
      </c>
      <c r="D8438" t="s">
        <v>113</v>
      </c>
      <c r="H8438" t="str">
        <f t="shared" si="851"/>
        <v>MRZRNG74L70C495L</v>
      </c>
      <c r="I8438" t="str">
        <f t="shared" si="852"/>
        <v>06855941214</v>
      </c>
      <c r="K8438" t="str">
        <f>""</f>
        <v/>
      </c>
      <c r="M8438" t="s">
        <v>68</v>
      </c>
      <c r="N8438" t="str">
        <f t="shared" si="850"/>
        <v>ALTPRO</v>
      </c>
      <c r="O8438" t="s">
        <v>132</v>
      </c>
      <c r="P8438" s="3" t="s">
        <v>75</v>
      </c>
      <c r="Q8438">
        <v>2016</v>
      </c>
      <c r="R8438" s="2">
        <v>42682</v>
      </c>
      <c r="S8438" s="2">
        <v>42684</v>
      </c>
      <c r="T8438" s="2">
        <v>42682</v>
      </c>
      <c r="U8438" s="2">
        <v>42742</v>
      </c>
      <c r="V8438" t="s">
        <v>71</v>
      </c>
      <c r="W8438" t="str">
        <f>"        FATTPA 11_16"</f>
        <v xml:space="preserve">        FATTPA 11_16</v>
      </c>
      <c r="X8438" s="1">
        <v>2265.2399999999998</v>
      </c>
      <c r="Y8438">
        <v>-453.05</v>
      </c>
      <c r="Z8438" s="5">
        <v>1812.19</v>
      </c>
      <c r="AA8438">
        <v>-58</v>
      </c>
      <c r="AB8438" s="5">
        <v>-105107.02</v>
      </c>
      <c r="AC8438" s="1">
        <v>1812.19</v>
      </c>
      <c r="AD8438">
        <v>-58</v>
      </c>
      <c r="AE8438" s="1">
        <v>-105107.02</v>
      </c>
      <c r="AF8438">
        <v>0</v>
      </c>
      <c r="AJ8438" s="1">
        <v>1812.19</v>
      </c>
      <c r="AK8438" s="1">
        <v>1812.19</v>
      </c>
      <c r="AL8438" s="1">
        <v>1812.19</v>
      </c>
      <c r="AM8438" s="1">
        <v>1812.19</v>
      </c>
      <c r="AN8438" s="1">
        <v>1812.19</v>
      </c>
      <c r="AO8438" s="1">
        <v>1812.19</v>
      </c>
      <c r="AP8438" s="2">
        <v>42746</v>
      </c>
      <c r="AQ8438" t="s">
        <v>72</v>
      </c>
      <c r="AR8438" t="s">
        <v>72</v>
      </c>
      <c r="AS8438">
        <v>3065</v>
      </c>
      <c r="AT8438" s="4">
        <v>42684</v>
      </c>
      <c r="AV8438">
        <v>3065</v>
      </c>
      <c r="AW8438" s="4">
        <v>42684</v>
      </c>
      <c r="BD8438">
        <v>0</v>
      </c>
      <c r="BN8438" t="s">
        <v>74</v>
      </c>
    </row>
    <row r="8439" spans="1:66">
      <c r="A8439">
        <v>106268</v>
      </c>
      <c r="B8439" s="3" t="s">
        <v>719</v>
      </c>
      <c r="C8439" s="1">
        <v>43500101</v>
      </c>
      <c r="D8439" t="s">
        <v>113</v>
      </c>
      <c r="H8439" t="str">
        <f t="shared" si="851"/>
        <v>MRZRNG74L70C495L</v>
      </c>
      <c r="I8439" t="str">
        <f t="shared" si="852"/>
        <v>06855941214</v>
      </c>
      <c r="K8439" t="str">
        <f>""</f>
        <v/>
      </c>
      <c r="M8439" t="s">
        <v>68</v>
      </c>
      <c r="N8439" t="str">
        <f t="shared" si="850"/>
        <v>ALTPRO</v>
      </c>
      <c r="O8439" t="s">
        <v>132</v>
      </c>
      <c r="P8439" s="3" t="s">
        <v>75</v>
      </c>
      <c r="Q8439">
        <v>2016</v>
      </c>
      <c r="R8439" s="2">
        <v>42706</v>
      </c>
      <c r="S8439" s="2">
        <v>42710</v>
      </c>
      <c r="T8439" s="2">
        <v>42709</v>
      </c>
      <c r="U8439" s="2">
        <v>42769</v>
      </c>
      <c r="V8439" t="s">
        <v>71</v>
      </c>
      <c r="W8439" t="str">
        <f>"        FATTPA 12_16"</f>
        <v xml:space="preserve">        FATTPA 12_16</v>
      </c>
      <c r="X8439" s="1">
        <v>2581.3200000000002</v>
      </c>
      <c r="Y8439">
        <v>-516.26</v>
      </c>
      <c r="Z8439" s="5">
        <v>2065.06</v>
      </c>
      <c r="AA8439">
        <v>-59</v>
      </c>
      <c r="AB8439" s="5">
        <v>-121838.54</v>
      </c>
      <c r="AC8439" s="1">
        <v>2065.06</v>
      </c>
      <c r="AD8439">
        <v>-59</v>
      </c>
      <c r="AE8439" s="1">
        <v>-121838.54</v>
      </c>
      <c r="AF8439">
        <v>0</v>
      </c>
      <c r="AJ8439" s="1">
        <v>2065.06</v>
      </c>
      <c r="AK8439" s="1">
        <v>2065.06</v>
      </c>
      <c r="AL8439" s="1">
        <v>2065.06</v>
      </c>
      <c r="AM8439" s="1">
        <v>2065.06</v>
      </c>
      <c r="AN8439" s="1">
        <v>2065.06</v>
      </c>
      <c r="AO8439" s="1">
        <v>2065.06</v>
      </c>
      <c r="AP8439" s="2">
        <v>42746</v>
      </c>
      <c r="AQ8439" t="s">
        <v>72</v>
      </c>
      <c r="AR8439" t="s">
        <v>72</v>
      </c>
      <c r="AS8439">
        <v>3348</v>
      </c>
      <c r="AT8439" s="4">
        <v>42710</v>
      </c>
      <c r="AV8439">
        <v>3348</v>
      </c>
      <c r="AW8439" s="4">
        <v>42710</v>
      </c>
      <c r="BD8439">
        <v>0</v>
      </c>
      <c r="BN8439" t="s">
        <v>74</v>
      </c>
    </row>
    <row r="8440" spans="1:66" hidden="1">
      <c r="A8440">
        <v>106269</v>
      </c>
      <c r="B8440" s="3" t="s">
        <v>720</v>
      </c>
      <c r="C8440" s="1">
        <v>43500101</v>
      </c>
      <c r="D8440" t="s">
        <v>113</v>
      </c>
      <c r="H8440" t="str">
        <f t="shared" ref="H8440:H8451" si="853">"DLLVCN78P27F839A"</f>
        <v>DLLVCN78P27F839A</v>
      </c>
      <c r="I8440" t="str">
        <f t="shared" ref="I8440:I8451" si="854">"05148261216"</f>
        <v>05148261216</v>
      </c>
      <c r="K8440" t="str">
        <f>""</f>
        <v/>
      </c>
      <c r="M8440" t="s">
        <v>68</v>
      </c>
      <c r="N8440" t="str">
        <f t="shared" si="850"/>
        <v>ALTPRO</v>
      </c>
      <c r="O8440" t="s">
        <v>132</v>
      </c>
      <c r="P8440" s="3" t="s">
        <v>75</v>
      </c>
      <c r="Q8440">
        <v>2016</v>
      </c>
      <c r="R8440" s="2">
        <v>42376</v>
      </c>
      <c r="S8440" s="2">
        <v>42377</v>
      </c>
      <c r="T8440" s="2">
        <v>42376</v>
      </c>
      <c r="U8440" s="2">
        <v>42436</v>
      </c>
      <c r="V8440" t="s">
        <v>71</v>
      </c>
      <c r="W8440" t="str">
        <f>"         FATTPA 1_16"</f>
        <v xml:space="preserve">         FATTPA 1_16</v>
      </c>
      <c r="X8440" s="1">
        <v>2530.64</v>
      </c>
      <c r="Y8440">
        <v>-505.73</v>
      </c>
      <c r="Z8440"/>
      <c r="AB8440"/>
      <c r="AC8440" s="1">
        <v>2024.91</v>
      </c>
      <c r="AD8440">
        <v>-39</v>
      </c>
      <c r="AE8440" s="1">
        <v>-78971.490000000005</v>
      </c>
      <c r="AF8440">
        <v>0</v>
      </c>
      <c r="AJ8440">
        <v>0</v>
      </c>
      <c r="AK8440">
        <v>0</v>
      </c>
      <c r="AL8440">
        <v>0</v>
      </c>
      <c r="AM8440" s="1">
        <v>2024.91</v>
      </c>
      <c r="AN8440" s="1">
        <v>2024.91</v>
      </c>
      <c r="AO8440" s="1">
        <v>2024.91</v>
      </c>
      <c r="AP8440" s="2">
        <v>42746</v>
      </c>
      <c r="AQ8440" t="s">
        <v>72</v>
      </c>
      <c r="AR8440" t="s">
        <v>72</v>
      </c>
      <c r="AS8440">
        <v>138</v>
      </c>
      <c r="AT8440" s="4">
        <v>42397</v>
      </c>
      <c r="AV8440">
        <v>138</v>
      </c>
      <c r="AW8440" s="4">
        <v>42397</v>
      </c>
      <c r="BD8440">
        <v>0</v>
      </c>
      <c r="BN8440" t="s">
        <v>74</v>
      </c>
    </row>
    <row r="8441" spans="1:66" hidden="1">
      <c r="A8441">
        <v>106269</v>
      </c>
      <c r="B8441" s="3" t="s">
        <v>720</v>
      </c>
      <c r="C8441" s="1">
        <v>43500101</v>
      </c>
      <c r="D8441" t="s">
        <v>113</v>
      </c>
      <c r="H8441" t="str">
        <f t="shared" si="853"/>
        <v>DLLVCN78P27F839A</v>
      </c>
      <c r="I8441" t="str">
        <f t="shared" si="854"/>
        <v>05148261216</v>
      </c>
      <c r="K8441" t="str">
        <f>""</f>
        <v/>
      </c>
      <c r="M8441" t="s">
        <v>68</v>
      </c>
      <c r="N8441" t="str">
        <f t="shared" si="850"/>
        <v>ALTPRO</v>
      </c>
      <c r="O8441" t="s">
        <v>132</v>
      </c>
      <c r="P8441" s="3" t="s">
        <v>75</v>
      </c>
      <c r="Q8441">
        <v>2016</v>
      </c>
      <c r="R8441" s="2">
        <v>42398</v>
      </c>
      <c r="S8441" s="2">
        <v>42402</v>
      </c>
      <c r="T8441" s="2">
        <v>42398</v>
      </c>
      <c r="U8441" s="2">
        <v>42458</v>
      </c>
      <c r="V8441" t="s">
        <v>71</v>
      </c>
      <c r="W8441" t="str">
        <f>"         FATTPA 2_16"</f>
        <v xml:space="preserve">         FATTPA 2_16</v>
      </c>
      <c r="X8441" s="1">
        <v>2530.64</v>
      </c>
      <c r="Y8441">
        <v>-505.73</v>
      </c>
      <c r="Z8441"/>
      <c r="AB8441"/>
      <c r="AC8441" s="1">
        <v>2024.91</v>
      </c>
      <c r="AD8441">
        <v>-54</v>
      </c>
      <c r="AE8441" s="1">
        <v>-109345.14</v>
      </c>
      <c r="AF8441">
        <v>0</v>
      </c>
      <c r="AJ8441">
        <v>0</v>
      </c>
      <c r="AK8441">
        <v>0</v>
      </c>
      <c r="AL8441">
        <v>0</v>
      </c>
      <c r="AM8441" s="1">
        <v>2024.91</v>
      </c>
      <c r="AN8441" s="1">
        <v>2024.91</v>
      </c>
      <c r="AO8441" s="1">
        <v>2024.91</v>
      </c>
      <c r="AP8441" s="2">
        <v>42746</v>
      </c>
      <c r="AQ8441" t="s">
        <v>72</v>
      </c>
      <c r="AR8441" t="s">
        <v>72</v>
      </c>
      <c r="AS8441">
        <v>270</v>
      </c>
      <c r="AT8441" s="4">
        <v>42404</v>
      </c>
      <c r="AV8441">
        <v>270</v>
      </c>
      <c r="AW8441" s="4">
        <v>42404</v>
      </c>
      <c r="BD8441">
        <v>0</v>
      </c>
      <c r="BN8441" t="s">
        <v>74</v>
      </c>
    </row>
    <row r="8442" spans="1:66" hidden="1">
      <c r="A8442">
        <v>106269</v>
      </c>
      <c r="B8442" s="3" t="s">
        <v>720</v>
      </c>
      <c r="C8442" s="1">
        <v>43500101</v>
      </c>
      <c r="D8442" t="s">
        <v>113</v>
      </c>
      <c r="H8442" t="str">
        <f t="shared" si="853"/>
        <v>DLLVCN78P27F839A</v>
      </c>
      <c r="I8442" t="str">
        <f t="shared" si="854"/>
        <v>05148261216</v>
      </c>
      <c r="K8442" t="str">
        <f>""</f>
        <v/>
      </c>
      <c r="M8442" t="s">
        <v>68</v>
      </c>
      <c r="N8442" t="str">
        <f t="shared" si="850"/>
        <v>ALTPRO</v>
      </c>
      <c r="O8442" t="s">
        <v>132</v>
      </c>
      <c r="P8442" s="3" t="s">
        <v>75</v>
      </c>
      <c r="Q8442">
        <v>2016</v>
      </c>
      <c r="R8442" s="2">
        <v>42429</v>
      </c>
      <c r="S8442" s="2">
        <v>42431</v>
      </c>
      <c r="T8442" s="2">
        <v>42429</v>
      </c>
      <c r="U8442" s="2">
        <v>42489</v>
      </c>
      <c r="V8442" t="s">
        <v>71</v>
      </c>
      <c r="W8442" t="str">
        <f>"         FATTPA 3_16"</f>
        <v xml:space="preserve">         FATTPA 3_16</v>
      </c>
      <c r="X8442" s="1">
        <v>2636</v>
      </c>
      <c r="Y8442">
        <v>-526.79999999999995</v>
      </c>
      <c r="Z8442"/>
      <c r="AB8442"/>
      <c r="AC8442" s="1">
        <v>2109.1999999999998</v>
      </c>
      <c r="AD8442">
        <v>-38</v>
      </c>
      <c r="AE8442" s="1">
        <v>-80149.600000000006</v>
      </c>
      <c r="AF8442">
        <v>0</v>
      </c>
      <c r="AJ8442">
        <v>0</v>
      </c>
      <c r="AK8442">
        <v>0</v>
      </c>
      <c r="AL8442">
        <v>0</v>
      </c>
      <c r="AM8442" s="1">
        <v>2109.1999999999998</v>
      </c>
      <c r="AN8442" s="1">
        <v>2109.1999999999998</v>
      </c>
      <c r="AO8442" s="1">
        <v>2109.1999999999998</v>
      </c>
      <c r="AP8442" s="2">
        <v>42746</v>
      </c>
      <c r="AQ8442" t="s">
        <v>72</v>
      </c>
      <c r="AR8442" t="s">
        <v>72</v>
      </c>
      <c r="AS8442">
        <v>742</v>
      </c>
      <c r="AT8442" s="4">
        <v>42451</v>
      </c>
      <c r="AV8442">
        <v>742</v>
      </c>
      <c r="AW8442" s="4">
        <v>42451</v>
      </c>
      <c r="BD8442">
        <v>0</v>
      </c>
      <c r="BN8442" t="s">
        <v>74</v>
      </c>
    </row>
    <row r="8443" spans="1:66" hidden="1">
      <c r="A8443">
        <v>106269</v>
      </c>
      <c r="B8443" s="3" t="s">
        <v>720</v>
      </c>
      <c r="C8443" s="1">
        <v>43500101</v>
      </c>
      <c r="D8443" t="s">
        <v>113</v>
      </c>
      <c r="H8443" t="str">
        <f t="shared" si="853"/>
        <v>DLLVCN78P27F839A</v>
      </c>
      <c r="I8443" t="str">
        <f t="shared" si="854"/>
        <v>05148261216</v>
      </c>
      <c r="K8443" t="str">
        <f>""</f>
        <v/>
      </c>
      <c r="M8443" t="s">
        <v>68</v>
      </c>
      <c r="N8443" t="str">
        <f t="shared" si="850"/>
        <v>ALTPRO</v>
      </c>
      <c r="O8443" t="s">
        <v>132</v>
      </c>
      <c r="P8443" s="3" t="s">
        <v>75</v>
      </c>
      <c r="Q8443">
        <v>2016</v>
      </c>
      <c r="R8443" s="2">
        <v>42461</v>
      </c>
      <c r="S8443" s="2">
        <v>42464</v>
      </c>
      <c r="T8443" s="2">
        <v>42461</v>
      </c>
      <c r="U8443" s="2">
        <v>42521</v>
      </c>
      <c r="V8443" t="s">
        <v>71</v>
      </c>
      <c r="W8443" t="str">
        <f>"         FATTPA 4_16"</f>
        <v xml:space="preserve">         FATTPA 4_16</v>
      </c>
      <c r="X8443" s="1">
        <v>2741.36</v>
      </c>
      <c r="Y8443">
        <v>-547.87</v>
      </c>
      <c r="Z8443"/>
      <c r="AB8443"/>
      <c r="AC8443" s="1">
        <v>2193.4899999999998</v>
      </c>
      <c r="AD8443">
        <v>-34</v>
      </c>
      <c r="AE8443" s="1">
        <v>-74578.66</v>
      </c>
      <c r="AF8443">
        <v>0</v>
      </c>
      <c r="AJ8443">
        <v>0</v>
      </c>
      <c r="AK8443">
        <v>0</v>
      </c>
      <c r="AL8443">
        <v>0</v>
      </c>
      <c r="AM8443" s="1">
        <v>2193.4899999999998</v>
      </c>
      <c r="AN8443" s="1">
        <v>2193.4899999999998</v>
      </c>
      <c r="AO8443" s="1">
        <v>2193.4899999999998</v>
      </c>
      <c r="AP8443" s="2">
        <v>42746</v>
      </c>
      <c r="AQ8443" t="s">
        <v>72</v>
      </c>
      <c r="AR8443" t="s">
        <v>72</v>
      </c>
      <c r="AS8443">
        <v>1161</v>
      </c>
      <c r="AT8443" s="4">
        <v>42487</v>
      </c>
      <c r="AV8443">
        <v>1161</v>
      </c>
      <c r="AW8443" s="4">
        <v>42487</v>
      </c>
      <c r="BD8443">
        <v>0</v>
      </c>
      <c r="BN8443" t="s">
        <v>74</v>
      </c>
    </row>
    <row r="8444" spans="1:66" hidden="1">
      <c r="A8444">
        <v>106269</v>
      </c>
      <c r="B8444" s="3" t="s">
        <v>720</v>
      </c>
      <c r="C8444" s="1">
        <v>43500101</v>
      </c>
      <c r="D8444" t="s">
        <v>113</v>
      </c>
      <c r="H8444" t="str">
        <f t="shared" si="853"/>
        <v>DLLVCN78P27F839A</v>
      </c>
      <c r="I8444" t="str">
        <f t="shared" si="854"/>
        <v>05148261216</v>
      </c>
      <c r="K8444" t="str">
        <f>""</f>
        <v/>
      </c>
      <c r="M8444" t="s">
        <v>68</v>
      </c>
      <c r="N8444" t="str">
        <f t="shared" si="850"/>
        <v>ALTPRO</v>
      </c>
      <c r="O8444" t="s">
        <v>132</v>
      </c>
      <c r="P8444" s="3" t="s">
        <v>75</v>
      </c>
      <c r="Q8444">
        <v>2016</v>
      </c>
      <c r="R8444" s="2">
        <v>42496</v>
      </c>
      <c r="S8444" s="2">
        <v>42499</v>
      </c>
      <c r="T8444" s="2">
        <v>42496</v>
      </c>
      <c r="U8444" s="2">
        <v>42556</v>
      </c>
      <c r="V8444" t="s">
        <v>71</v>
      </c>
      <c r="W8444" t="str">
        <f>"         FATTPA 5_16"</f>
        <v xml:space="preserve">         FATTPA 5_16</v>
      </c>
      <c r="X8444" s="1">
        <v>2636</v>
      </c>
      <c r="Y8444">
        <v>-526.79999999999995</v>
      </c>
      <c r="Z8444"/>
      <c r="AB8444"/>
      <c r="AC8444" s="1">
        <v>2109.1999999999998</v>
      </c>
      <c r="AD8444">
        <v>-40</v>
      </c>
      <c r="AE8444" s="1">
        <v>-84368</v>
      </c>
      <c r="AF8444">
        <v>0</v>
      </c>
      <c r="AJ8444">
        <v>0</v>
      </c>
      <c r="AK8444">
        <v>0</v>
      </c>
      <c r="AL8444">
        <v>0</v>
      </c>
      <c r="AM8444" s="1">
        <v>2109.1999999999998</v>
      </c>
      <c r="AN8444" s="1">
        <v>2109.1999999999998</v>
      </c>
      <c r="AO8444" s="1">
        <v>2109.1999999999998</v>
      </c>
      <c r="AP8444" s="2">
        <v>42746</v>
      </c>
      <c r="AQ8444" t="s">
        <v>72</v>
      </c>
      <c r="AR8444" t="s">
        <v>72</v>
      </c>
      <c r="AS8444">
        <v>1372</v>
      </c>
      <c r="AT8444" s="4">
        <v>42516</v>
      </c>
      <c r="AV8444">
        <v>1372</v>
      </c>
      <c r="AW8444" s="4">
        <v>42516</v>
      </c>
      <c r="BD8444">
        <v>0</v>
      </c>
      <c r="BN8444" t="s">
        <v>74</v>
      </c>
    </row>
    <row r="8445" spans="1:66" hidden="1">
      <c r="A8445">
        <v>106269</v>
      </c>
      <c r="B8445" s="3" t="s">
        <v>720</v>
      </c>
      <c r="C8445" s="1">
        <v>43500101</v>
      </c>
      <c r="D8445" t="s">
        <v>113</v>
      </c>
      <c r="H8445" t="str">
        <f t="shared" si="853"/>
        <v>DLLVCN78P27F839A</v>
      </c>
      <c r="I8445" t="str">
        <f t="shared" si="854"/>
        <v>05148261216</v>
      </c>
      <c r="K8445" t="str">
        <f>""</f>
        <v/>
      </c>
      <c r="M8445" t="s">
        <v>68</v>
      </c>
      <c r="N8445" t="str">
        <f t="shared" si="850"/>
        <v>ALTPRO</v>
      </c>
      <c r="O8445" t="s">
        <v>132</v>
      </c>
      <c r="P8445" s="3" t="s">
        <v>75</v>
      </c>
      <c r="Q8445">
        <v>2016</v>
      </c>
      <c r="R8445" s="2">
        <v>42528</v>
      </c>
      <c r="S8445" s="2">
        <v>42562</v>
      </c>
      <c r="T8445" s="2">
        <v>42559</v>
      </c>
      <c r="U8445" s="2">
        <v>42619</v>
      </c>
      <c r="V8445" t="s">
        <v>71</v>
      </c>
      <c r="W8445" t="str">
        <f>"         FATTPA 6_16"</f>
        <v xml:space="preserve">         FATTPA 6_16</v>
      </c>
      <c r="X8445" s="1">
        <v>2741.36</v>
      </c>
      <c r="Y8445">
        <v>-547.87</v>
      </c>
      <c r="Z8445"/>
      <c r="AB8445"/>
      <c r="AC8445" s="1">
        <v>2193.4899999999998</v>
      </c>
      <c r="AD8445">
        <v>-53</v>
      </c>
      <c r="AE8445" s="1">
        <v>-116254.97</v>
      </c>
      <c r="AF8445">
        <v>0</v>
      </c>
      <c r="AJ8445">
        <v>0</v>
      </c>
      <c r="AK8445">
        <v>0</v>
      </c>
      <c r="AL8445">
        <v>0</v>
      </c>
      <c r="AM8445" s="1">
        <v>2193.4899999999998</v>
      </c>
      <c r="AN8445" s="1">
        <v>2193.4899999999998</v>
      </c>
      <c r="AO8445" s="1">
        <v>2193.4899999999998</v>
      </c>
      <c r="AP8445" s="2">
        <v>42746</v>
      </c>
      <c r="AQ8445" t="s">
        <v>72</v>
      </c>
      <c r="AR8445" t="s">
        <v>72</v>
      </c>
      <c r="AS8445">
        <v>1775</v>
      </c>
      <c r="AT8445" s="4">
        <v>42566</v>
      </c>
      <c r="AV8445">
        <v>1775</v>
      </c>
      <c r="AW8445" s="4">
        <v>42566</v>
      </c>
      <c r="BD8445">
        <v>0</v>
      </c>
      <c r="BN8445" t="s">
        <v>74</v>
      </c>
    </row>
    <row r="8446" spans="1:66" hidden="1">
      <c r="A8446">
        <v>106269</v>
      </c>
      <c r="B8446" s="3" t="s">
        <v>720</v>
      </c>
      <c r="C8446" s="1">
        <v>43500101</v>
      </c>
      <c r="D8446" t="s">
        <v>113</v>
      </c>
      <c r="H8446" t="str">
        <f t="shared" si="853"/>
        <v>DLLVCN78P27F839A</v>
      </c>
      <c r="I8446" t="str">
        <f t="shared" si="854"/>
        <v>05148261216</v>
      </c>
      <c r="K8446" t="str">
        <f>""</f>
        <v/>
      </c>
      <c r="M8446" t="s">
        <v>68</v>
      </c>
      <c r="N8446" t="str">
        <f t="shared" si="850"/>
        <v>ALTPRO</v>
      </c>
      <c r="O8446" t="s">
        <v>132</v>
      </c>
      <c r="P8446" s="3" t="s">
        <v>75</v>
      </c>
      <c r="Q8446">
        <v>2016</v>
      </c>
      <c r="R8446" s="2">
        <v>42563</v>
      </c>
      <c r="S8446" s="2">
        <v>42565</v>
      </c>
      <c r="T8446" s="2">
        <v>42563</v>
      </c>
      <c r="U8446" s="2">
        <v>42623</v>
      </c>
      <c r="V8446" t="s">
        <v>71</v>
      </c>
      <c r="W8446" t="str">
        <f>"         FATTPA 7_16"</f>
        <v xml:space="preserve">         FATTPA 7_16</v>
      </c>
      <c r="X8446" s="1">
        <v>2627</v>
      </c>
      <c r="Y8446">
        <v>-525</v>
      </c>
      <c r="Z8446"/>
      <c r="AB8446"/>
      <c r="AC8446" s="1">
        <v>2102</v>
      </c>
      <c r="AD8446">
        <v>-57</v>
      </c>
      <c r="AE8446" s="1">
        <v>-119814</v>
      </c>
      <c r="AF8446">
        <v>0</v>
      </c>
      <c r="AJ8446">
        <v>0</v>
      </c>
      <c r="AK8446">
        <v>0</v>
      </c>
      <c r="AL8446">
        <v>0</v>
      </c>
      <c r="AM8446" s="1">
        <v>2102</v>
      </c>
      <c r="AN8446" s="1">
        <v>2102</v>
      </c>
      <c r="AO8446" s="1">
        <v>2102</v>
      </c>
      <c r="AP8446" s="2">
        <v>42746</v>
      </c>
      <c r="AQ8446" t="s">
        <v>72</v>
      </c>
      <c r="AR8446" t="s">
        <v>72</v>
      </c>
      <c r="AS8446">
        <v>1775</v>
      </c>
      <c r="AT8446" s="4">
        <v>42566</v>
      </c>
      <c r="AV8446">
        <v>1775</v>
      </c>
      <c r="AW8446" s="4">
        <v>42566</v>
      </c>
      <c r="BD8446">
        <v>0</v>
      </c>
      <c r="BN8446" t="s">
        <v>74</v>
      </c>
    </row>
    <row r="8447" spans="1:66" hidden="1">
      <c r="A8447">
        <v>106269</v>
      </c>
      <c r="B8447" s="3" t="s">
        <v>720</v>
      </c>
      <c r="C8447" s="1">
        <v>43500101</v>
      </c>
      <c r="D8447" t="s">
        <v>113</v>
      </c>
      <c r="H8447" t="str">
        <f t="shared" si="853"/>
        <v>DLLVCN78P27F839A</v>
      </c>
      <c r="I8447" t="str">
        <f t="shared" si="854"/>
        <v>05148261216</v>
      </c>
      <c r="K8447" t="str">
        <f>""</f>
        <v/>
      </c>
      <c r="M8447" t="s">
        <v>68</v>
      </c>
      <c r="N8447" t="str">
        <f t="shared" si="850"/>
        <v>ALTPRO</v>
      </c>
      <c r="O8447" t="s">
        <v>132</v>
      </c>
      <c r="P8447" s="3" t="s">
        <v>75</v>
      </c>
      <c r="Q8447">
        <v>2016</v>
      </c>
      <c r="R8447" s="2">
        <v>42591</v>
      </c>
      <c r="S8447" s="2">
        <v>42591</v>
      </c>
      <c r="T8447" s="2">
        <v>42591</v>
      </c>
      <c r="U8447" s="2">
        <v>42651</v>
      </c>
      <c r="V8447" t="s">
        <v>71</v>
      </c>
      <c r="W8447" t="str">
        <f>"         FATTPA 8_16"</f>
        <v xml:space="preserve">         FATTPA 8_16</v>
      </c>
      <c r="X8447" s="1">
        <v>2577.1799999999998</v>
      </c>
      <c r="Y8447">
        <v>-515.04</v>
      </c>
      <c r="Z8447"/>
      <c r="AB8447"/>
      <c r="AC8447" s="1">
        <v>2062.14</v>
      </c>
      <c r="AD8447">
        <v>-33</v>
      </c>
      <c r="AE8447" s="1">
        <v>-68050.62</v>
      </c>
      <c r="AF8447">
        <v>0</v>
      </c>
      <c r="AJ8447">
        <v>0</v>
      </c>
      <c r="AK8447">
        <v>0</v>
      </c>
      <c r="AL8447">
        <v>0</v>
      </c>
      <c r="AM8447" s="1">
        <v>2062.14</v>
      </c>
      <c r="AN8447" s="1">
        <v>2062.14</v>
      </c>
      <c r="AO8447" s="1">
        <v>2062.14</v>
      </c>
      <c r="AP8447" s="2">
        <v>42746</v>
      </c>
      <c r="AQ8447" t="s">
        <v>72</v>
      </c>
      <c r="AR8447" t="s">
        <v>72</v>
      </c>
      <c r="AS8447">
        <v>2237</v>
      </c>
      <c r="AT8447" s="4">
        <v>42618</v>
      </c>
      <c r="AV8447">
        <v>2237</v>
      </c>
      <c r="AW8447" s="4">
        <v>42618</v>
      </c>
      <c r="BD8447">
        <v>0</v>
      </c>
      <c r="BN8447" t="s">
        <v>74</v>
      </c>
    </row>
    <row r="8448" spans="1:66">
      <c r="A8448">
        <v>106269</v>
      </c>
      <c r="B8448" s="3" t="s">
        <v>720</v>
      </c>
      <c r="C8448" s="1">
        <v>43500101</v>
      </c>
      <c r="D8448" t="s">
        <v>113</v>
      </c>
      <c r="H8448" t="str">
        <f t="shared" si="853"/>
        <v>DLLVCN78P27F839A</v>
      </c>
      <c r="I8448" t="str">
        <f t="shared" si="854"/>
        <v>05148261216</v>
      </c>
      <c r="K8448" t="str">
        <f>""</f>
        <v/>
      </c>
      <c r="M8448" t="s">
        <v>68</v>
      </c>
      <c r="N8448" t="str">
        <f t="shared" si="850"/>
        <v>ALTPRO</v>
      </c>
      <c r="O8448" t="s">
        <v>132</v>
      </c>
      <c r="P8448" s="3" t="s">
        <v>75</v>
      </c>
      <c r="Q8448">
        <v>2016</v>
      </c>
      <c r="R8448" s="2">
        <v>42618</v>
      </c>
      <c r="S8448" s="2">
        <v>42621</v>
      </c>
      <c r="T8448" s="2">
        <v>42621</v>
      </c>
      <c r="U8448" s="2">
        <v>42681</v>
      </c>
      <c r="V8448" t="s">
        <v>71</v>
      </c>
      <c r="W8448" t="str">
        <f>"         FATTPA 9_16"</f>
        <v xml:space="preserve">         FATTPA 9_16</v>
      </c>
      <c r="X8448" s="1">
        <v>2634</v>
      </c>
      <c r="Y8448">
        <v>-526.79999999999995</v>
      </c>
      <c r="Z8448" s="5">
        <v>2107.1999999999998</v>
      </c>
      <c r="AA8448">
        <v>-35</v>
      </c>
      <c r="AB8448" s="5">
        <v>-73752</v>
      </c>
      <c r="AC8448" s="1">
        <v>2107.1999999999998</v>
      </c>
      <c r="AD8448">
        <v>-35</v>
      </c>
      <c r="AE8448" s="1">
        <v>-73752</v>
      </c>
      <c r="AF8448">
        <v>0</v>
      </c>
      <c r="AJ8448">
        <v>0</v>
      </c>
      <c r="AK8448">
        <v>0</v>
      </c>
      <c r="AL8448">
        <v>0</v>
      </c>
      <c r="AM8448" s="1">
        <v>2107.1999999999998</v>
      </c>
      <c r="AN8448" s="1">
        <v>2107.1999999999998</v>
      </c>
      <c r="AO8448" s="1">
        <v>2107.1999999999998</v>
      </c>
      <c r="AP8448" s="2">
        <v>42746</v>
      </c>
      <c r="AQ8448" t="s">
        <v>72</v>
      </c>
      <c r="AR8448" t="s">
        <v>72</v>
      </c>
      <c r="AS8448">
        <v>2508</v>
      </c>
      <c r="AT8448" s="4">
        <v>42646</v>
      </c>
      <c r="AV8448">
        <v>2508</v>
      </c>
      <c r="AW8448" s="4">
        <v>42646</v>
      </c>
      <c r="BD8448">
        <v>0</v>
      </c>
      <c r="BN8448" t="s">
        <v>74</v>
      </c>
    </row>
    <row r="8449" spans="1:66">
      <c r="A8449">
        <v>106269</v>
      </c>
      <c r="B8449" s="3" t="s">
        <v>720</v>
      </c>
      <c r="C8449" s="1">
        <v>43500101</v>
      </c>
      <c r="D8449" t="s">
        <v>113</v>
      </c>
      <c r="H8449" t="str">
        <f t="shared" si="853"/>
        <v>DLLVCN78P27F839A</v>
      </c>
      <c r="I8449" t="str">
        <f t="shared" si="854"/>
        <v>05148261216</v>
      </c>
      <c r="K8449" t="str">
        <f>""</f>
        <v/>
      </c>
      <c r="M8449" t="s">
        <v>68</v>
      </c>
      <c r="N8449" t="str">
        <f t="shared" si="850"/>
        <v>ALTPRO</v>
      </c>
      <c r="O8449" t="s">
        <v>132</v>
      </c>
      <c r="P8449" s="3" t="s">
        <v>75</v>
      </c>
      <c r="Q8449">
        <v>2016</v>
      </c>
      <c r="R8449" s="2">
        <v>42649</v>
      </c>
      <c r="S8449" s="2">
        <v>42654</v>
      </c>
      <c r="T8449" s="2">
        <v>42650</v>
      </c>
      <c r="U8449" s="2">
        <v>42710</v>
      </c>
      <c r="V8449" t="s">
        <v>71</v>
      </c>
      <c r="W8449" t="str">
        <f>"        FATTPA 10_16"</f>
        <v xml:space="preserve">        FATTPA 10_16</v>
      </c>
      <c r="X8449" s="1">
        <v>2608.38</v>
      </c>
      <c r="Y8449">
        <v>-521.67999999999995</v>
      </c>
      <c r="Z8449" s="5">
        <v>2086.6999999999998</v>
      </c>
      <c r="AA8449">
        <v>-42</v>
      </c>
      <c r="AB8449" s="5">
        <v>-87641.4</v>
      </c>
      <c r="AC8449" s="1">
        <v>2086.6999999999998</v>
      </c>
      <c r="AD8449">
        <v>-42</v>
      </c>
      <c r="AE8449" s="1">
        <v>-87641.4</v>
      </c>
      <c r="AF8449">
        <v>0</v>
      </c>
      <c r="AJ8449">
        <v>-521.67999999999995</v>
      </c>
      <c r="AK8449" s="1">
        <v>2086.6999999999998</v>
      </c>
      <c r="AL8449" s="1">
        <v>2086.6999999999998</v>
      </c>
      <c r="AM8449" s="1">
        <v>2086.6999999999998</v>
      </c>
      <c r="AN8449" s="1">
        <v>2086.6999999999998</v>
      </c>
      <c r="AO8449" s="1">
        <v>2086.6999999999998</v>
      </c>
      <c r="AP8449" s="2">
        <v>42746</v>
      </c>
      <c r="AQ8449" t="s">
        <v>72</v>
      </c>
      <c r="AR8449" t="s">
        <v>72</v>
      </c>
      <c r="AS8449">
        <v>2865</v>
      </c>
      <c r="AT8449" s="4">
        <v>42668</v>
      </c>
      <c r="AV8449">
        <v>2865</v>
      </c>
      <c r="AW8449" s="4">
        <v>42668</v>
      </c>
      <c r="BD8449">
        <v>0</v>
      </c>
      <c r="BN8449" t="s">
        <v>74</v>
      </c>
    </row>
    <row r="8450" spans="1:66">
      <c r="A8450">
        <v>106269</v>
      </c>
      <c r="B8450" s="3" t="s">
        <v>720</v>
      </c>
      <c r="C8450" s="1">
        <v>43500101</v>
      </c>
      <c r="D8450" t="s">
        <v>113</v>
      </c>
      <c r="H8450" t="str">
        <f t="shared" si="853"/>
        <v>DLLVCN78P27F839A</v>
      </c>
      <c r="I8450" t="str">
        <f t="shared" si="854"/>
        <v>05148261216</v>
      </c>
      <c r="K8450" t="str">
        <f>""</f>
        <v/>
      </c>
      <c r="M8450" t="s">
        <v>68</v>
      </c>
      <c r="N8450" t="str">
        <f t="shared" si="850"/>
        <v>ALTPRO</v>
      </c>
      <c r="O8450" t="s">
        <v>132</v>
      </c>
      <c r="P8450" s="3" t="s">
        <v>75</v>
      </c>
      <c r="Q8450">
        <v>2016</v>
      </c>
      <c r="R8450" s="2">
        <v>42676</v>
      </c>
      <c r="S8450" s="2">
        <v>42677</v>
      </c>
      <c r="T8450" s="2">
        <v>42677</v>
      </c>
      <c r="U8450" s="2">
        <v>42737</v>
      </c>
      <c r="V8450" t="s">
        <v>71</v>
      </c>
      <c r="W8450" t="str">
        <f>"        FATTPA 11_16"</f>
        <v xml:space="preserve">        FATTPA 11_16</v>
      </c>
      <c r="X8450" s="1">
        <v>2739.36</v>
      </c>
      <c r="Y8450">
        <v>-547.87</v>
      </c>
      <c r="Z8450" s="5">
        <v>2191.4899999999998</v>
      </c>
      <c r="AA8450">
        <v>-59</v>
      </c>
      <c r="AB8450" s="5">
        <v>-129297.91</v>
      </c>
      <c r="AC8450" s="1">
        <v>2191.4899999999998</v>
      </c>
      <c r="AD8450">
        <v>-59</v>
      </c>
      <c r="AE8450" s="1">
        <v>-129297.91</v>
      </c>
      <c r="AF8450">
        <v>0</v>
      </c>
      <c r="AJ8450" s="1">
        <v>2191.4899999999998</v>
      </c>
      <c r="AK8450" s="1">
        <v>2191.4899999999998</v>
      </c>
      <c r="AL8450" s="1">
        <v>2191.4899999999998</v>
      </c>
      <c r="AM8450" s="1">
        <v>2191.4899999999998</v>
      </c>
      <c r="AN8450" s="1">
        <v>2191.4899999999998</v>
      </c>
      <c r="AO8450" s="1">
        <v>2191.4899999999998</v>
      </c>
      <c r="AP8450" s="2">
        <v>42746</v>
      </c>
      <c r="AQ8450" t="s">
        <v>72</v>
      </c>
      <c r="AR8450" t="s">
        <v>72</v>
      </c>
      <c r="AS8450">
        <v>2906</v>
      </c>
      <c r="AT8450" s="4">
        <v>42678</v>
      </c>
      <c r="AV8450">
        <v>2906</v>
      </c>
      <c r="AW8450" s="4">
        <v>42678</v>
      </c>
      <c r="BD8450">
        <v>0</v>
      </c>
      <c r="BN8450" t="s">
        <v>74</v>
      </c>
    </row>
    <row r="8451" spans="1:66">
      <c r="A8451">
        <v>106269</v>
      </c>
      <c r="B8451" s="3" t="s">
        <v>720</v>
      </c>
      <c r="C8451" s="1">
        <v>43500101</v>
      </c>
      <c r="D8451" t="s">
        <v>113</v>
      </c>
      <c r="H8451" t="str">
        <f t="shared" si="853"/>
        <v>DLLVCN78P27F839A</v>
      </c>
      <c r="I8451" t="str">
        <f t="shared" si="854"/>
        <v>05148261216</v>
      </c>
      <c r="K8451" t="str">
        <f>""</f>
        <v/>
      </c>
      <c r="M8451" t="s">
        <v>68</v>
      </c>
      <c r="N8451" t="str">
        <f t="shared" si="850"/>
        <v>ALTPRO</v>
      </c>
      <c r="O8451" t="s">
        <v>132</v>
      </c>
      <c r="P8451" s="3" t="s">
        <v>75</v>
      </c>
      <c r="Q8451">
        <v>2016</v>
      </c>
      <c r="R8451" s="2">
        <v>42706</v>
      </c>
      <c r="S8451" s="2">
        <v>42709</v>
      </c>
      <c r="T8451" s="2">
        <v>42707</v>
      </c>
      <c r="U8451" s="2">
        <v>42767</v>
      </c>
      <c r="V8451" t="s">
        <v>71</v>
      </c>
      <c r="W8451" t="str">
        <f>"        FATTPA 12_16"</f>
        <v xml:space="preserve">        FATTPA 12_16</v>
      </c>
      <c r="X8451" s="1">
        <v>2634</v>
      </c>
      <c r="Y8451">
        <v>-526.79999999999995</v>
      </c>
      <c r="Z8451" s="5">
        <v>2107.1999999999998</v>
      </c>
      <c r="AA8451">
        <v>-58</v>
      </c>
      <c r="AB8451" s="5">
        <v>-122217.60000000001</v>
      </c>
      <c r="AC8451" s="1">
        <v>2107.1999999999998</v>
      </c>
      <c r="AD8451">
        <v>-58</v>
      </c>
      <c r="AE8451" s="1">
        <v>-122217.60000000001</v>
      </c>
      <c r="AF8451">
        <v>0</v>
      </c>
      <c r="AJ8451" s="1">
        <v>2107.1999999999998</v>
      </c>
      <c r="AK8451" s="1">
        <v>2107.1999999999998</v>
      </c>
      <c r="AL8451" s="1">
        <v>2107.1999999999998</v>
      </c>
      <c r="AM8451" s="1">
        <v>2107.1999999999998</v>
      </c>
      <c r="AN8451" s="1">
        <v>2107.1999999999998</v>
      </c>
      <c r="AO8451" s="1">
        <v>2107.1999999999998</v>
      </c>
      <c r="AP8451" s="2">
        <v>42746</v>
      </c>
      <c r="AQ8451" t="s">
        <v>72</v>
      </c>
      <c r="AR8451" t="s">
        <v>72</v>
      </c>
      <c r="AS8451">
        <v>3336</v>
      </c>
      <c r="AT8451" s="4">
        <v>42709</v>
      </c>
      <c r="AV8451">
        <v>3336</v>
      </c>
      <c r="AW8451" s="4">
        <v>42709</v>
      </c>
      <c r="BD8451">
        <v>0</v>
      </c>
      <c r="BN8451" t="s">
        <v>74</v>
      </c>
    </row>
    <row r="8452" spans="1:66" hidden="1">
      <c r="A8452">
        <v>106274</v>
      </c>
      <c r="B8452" s="3" t="s">
        <v>721</v>
      </c>
      <c r="C8452" s="1">
        <v>43500101</v>
      </c>
      <c r="D8452" t="s">
        <v>113</v>
      </c>
      <c r="H8452" t="str">
        <f t="shared" ref="H8452:H8463" si="855">"02828850582"</f>
        <v>02828850582</v>
      </c>
      <c r="I8452" t="str">
        <f t="shared" ref="I8452:I8463" si="856">"01123081000"</f>
        <v>01123081000</v>
      </c>
      <c r="K8452" t="str">
        <f>""</f>
        <v/>
      </c>
      <c r="M8452" t="s">
        <v>68</v>
      </c>
      <c r="N8452" t="str">
        <f t="shared" si="850"/>
        <v>ALTPRO</v>
      </c>
      <c r="O8452" t="s">
        <v>132</v>
      </c>
      <c r="P8452" s="3" t="s">
        <v>84</v>
      </c>
      <c r="Q8452">
        <v>2016</v>
      </c>
      <c r="R8452" s="2">
        <v>42389</v>
      </c>
      <c r="S8452" s="2">
        <v>42390</v>
      </c>
      <c r="T8452" s="2">
        <v>42390</v>
      </c>
      <c r="U8452" s="2">
        <v>42450</v>
      </c>
      <c r="V8452" t="s">
        <v>71</v>
      </c>
      <c r="W8452" t="str">
        <f>"                0120"</f>
        <v xml:space="preserve">                0120</v>
      </c>
      <c r="X8452">
        <v>0</v>
      </c>
      <c r="Y8452">
        <v>322.45999999999998</v>
      </c>
      <c r="Z8452"/>
      <c r="AB8452"/>
      <c r="AC8452">
        <v>322.45999999999998</v>
      </c>
      <c r="AD8452">
        <v>-60</v>
      </c>
      <c r="AE8452" s="1">
        <v>-19347.599999999999</v>
      </c>
      <c r="AF8452">
        <v>0</v>
      </c>
      <c r="AJ8452">
        <v>0</v>
      </c>
      <c r="AK8452">
        <v>0</v>
      </c>
      <c r="AL8452">
        <v>0</v>
      </c>
      <c r="AM8452">
        <v>322.45999999999998</v>
      </c>
      <c r="AN8452">
        <v>322.45999999999998</v>
      </c>
      <c r="AO8452">
        <v>322.45999999999998</v>
      </c>
      <c r="AP8452" s="2">
        <v>42746</v>
      </c>
      <c r="AQ8452" t="s">
        <v>72</v>
      </c>
      <c r="AR8452" t="s">
        <v>72</v>
      </c>
      <c r="AS8452">
        <v>72</v>
      </c>
      <c r="AT8452" s="4">
        <v>42390</v>
      </c>
      <c r="AV8452">
        <v>72</v>
      </c>
      <c r="AW8452" s="4">
        <v>42390</v>
      </c>
      <c r="BD8452">
        <v>0</v>
      </c>
      <c r="BN8452" t="s">
        <v>74</v>
      </c>
    </row>
    <row r="8453" spans="1:66" hidden="1">
      <c r="A8453">
        <v>106274</v>
      </c>
      <c r="B8453" s="3" t="s">
        <v>721</v>
      </c>
      <c r="C8453" s="1">
        <v>43500101</v>
      </c>
      <c r="D8453" t="s">
        <v>113</v>
      </c>
      <c r="H8453" t="str">
        <f t="shared" si="855"/>
        <v>02828850582</v>
      </c>
      <c r="I8453" t="str">
        <f t="shared" si="856"/>
        <v>01123081000</v>
      </c>
      <c r="K8453" t="str">
        <f>""</f>
        <v/>
      </c>
      <c r="M8453" t="s">
        <v>68</v>
      </c>
      <c r="N8453" t="str">
        <f t="shared" si="850"/>
        <v>ALTPRO</v>
      </c>
      <c r="O8453" t="s">
        <v>132</v>
      </c>
      <c r="P8453" s="3" t="s">
        <v>85</v>
      </c>
      <c r="Q8453">
        <v>2016</v>
      </c>
      <c r="R8453" s="2">
        <v>42422</v>
      </c>
      <c r="S8453" s="2">
        <v>42422</v>
      </c>
      <c r="T8453" s="2">
        <v>42422</v>
      </c>
      <c r="U8453" s="2">
        <v>42482</v>
      </c>
      <c r="V8453" t="s">
        <v>71</v>
      </c>
      <c r="W8453" t="str">
        <f>"                0222"</f>
        <v xml:space="preserve">                0222</v>
      </c>
      <c r="X8453">
        <v>0</v>
      </c>
      <c r="Y8453">
        <v>322.45999999999998</v>
      </c>
      <c r="Z8453"/>
      <c r="AB8453"/>
      <c r="AC8453">
        <v>322.45999999999998</v>
      </c>
      <c r="AD8453">
        <v>-58</v>
      </c>
      <c r="AE8453" s="1">
        <v>-18702.68</v>
      </c>
      <c r="AF8453">
        <v>0</v>
      </c>
      <c r="AJ8453">
        <v>0</v>
      </c>
      <c r="AK8453">
        <v>0</v>
      </c>
      <c r="AL8453">
        <v>0</v>
      </c>
      <c r="AM8453">
        <v>322.45999999999998</v>
      </c>
      <c r="AN8453">
        <v>322.45999999999998</v>
      </c>
      <c r="AO8453">
        <v>322.45999999999998</v>
      </c>
      <c r="AP8453" s="2">
        <v>42746</v>
      </c>
      <c r="AQ8453" t="s">
        <v>72</v>
      </c>
      <c r="AR8453" t="s">
        <v>72</v>
      </c>
      <c r="AS8453">
        <v>516</v>
      </c>
      <c r="AT8453" s="4">
        <v>42424</v>
      </c>
      <c r="AV8453">
        <v>516</v>
      </c>
      <c r="AW8453" s="4">
        <v>42424</v>
      </c>
      <c r="BD8453">
        <v>0</v>
      </c>
      <c r="BN8453" t="s">
        <v>74</v>
      </c>
    </row>
    <row r="8454" spans="1:66" hidden="1">
      <c r="A8454">
        <v>106274</v>
      </c>
      <c r="B8454" s="3" t="s">
        <v>721</v>
      </c>
      <c r="C8454" s="1">
        <v>43500101</v>
      </c>
      <c r="D8454" t="s">
        <v>113</v>
      </c>
      <c r="H8454" t="str">
        <f t="shared" si="855"/>
        <v>02828850582</v>
      </c>
      <c r="I8454" t="str">
        <f t="shared" si="856"/>
        <v>01123081000</v>
      </c>
      <c r="K8454" t="str">
        <f>""</f>
        <v/>
      </c>
      <c r="M8454" t="s">
        <v>68</v>
      </c>
      <c r="N8454" t="str">
        <f t="shared" si="850"/>
        <v>ALTPRO</v>
      </c>
      <c r="O8454" t="s">
        <v>132</v>
      </c>
      <c r="P8454" s="3" t="s">
        <v>86</v>
      </c>
      <c r="Q8454">
        <v>2016</v>
      </c>
      <c r="R8454" s="2">
        <v>42450</v>
      </c>
      <c r="S8454" s="2">
        <v>42450</v>
      </c>
      <c r="T8454" s="2">
        <v>42450</v>
      </c>
      <c r="U8454" s="2">
        <v>42510</v>
      </c>
      <c r="V8454" t="s">
        <v>71</v>
      </c>
      <c r="W8454" t="str">
        <f>"                0321"</f>
        <v xml:space="preserve">                0321</v>
      </c>
      <c r="X8454">
        <v>0</v>
      </c>
      <c r="Y8454">
        <v>322.45999999999998</v>
      </c>
      <c r="Z8454"/>
      <c r="AB8454"/>
      <c r="AC8454">
        <v>322.45999999999998</v>
      </c>
      <c r="AD8454">
        <v>-57</v>
      </c>
      <c r="AE8454" s="1">
        <v>-18380.22</v>
      </c>
      <c r="AF8454">
        <v>0</v>
      </c>
      <c r="AJ8454">
        <v>0</v>
      </c>
      <c r="AK8454">
        <v>0</v>
      </c>
      <c r="AL8454">
        <v>0</v>
      </c>
      <c r="AM8454">
        <v>322.45999999999998</v>
      </c>
      <c r="AN8454">
        <v>322.45999999999998</v>
      </c>
      <c r="AO8454">
        <v>322.45999999999998</v>
      </c>
      <c r="AP8454" s="2">
        <v>42746</v>
      </c>
      <c r="AQ8454" t="s">
        <v>72</v>
      </c>
      <c r="AR8454" t="s">
        <v>72</v>
      </c>
      <c r="AS8454">
        <v>938</v>
      </c>
      <c r="AT8454" s="4">
        <v>42453</v>
      </c>
      <c r="AV8454">
        <v>938</v>
      </c>
      <c r="AW8454" s="4">
        <v>42453</v>
      </c>
      <c r="BD8454">
        <v>0</v>
      </c>
      <c r="BN8454" t="s">
        <v>74</v>
      </c>
    </row>
    <row r="8455" spans="1:66" hidden="1">
      <c r="A8455">
        <v>106274</v>
      </c>
      <c r="B8455" s="3" t="s">
        <v>721</v>
      </c>
      <c r="C8455" s="1">
        <v>43500101</v>
      </c>
      <c r="D8455" t="s">
        <v>113</v>
      </c>
      <c r="H8455" t="str">
        <f t="shared" si="855"/>
        <v>02828850582</v>
      </c>
      <c r="I8455" t="str">
        <f t="shared" si="856"/>
        <v>01123081000</v>
      </c>
      <c r="K8455" t="str">
        <f>""</f>
        <v/>
      </c>
      <c r="M8455" t="s">
        <v>68</v>
      </c>
      <c r="N8455" t="str">
        <f t="shared" si="850"/>
        <v>ALTPRO</v>
      </c>
      <c r="O8455" t="s">
        <v>132</v>
      </c>
      <c r="P8455" s="3" t="s">
        <v>87</v>
      </c>
      <c r="Q8455">
        <v>2016</v>
      </c>
      <c r="R8455" s="2">
        <v>42481</v>
      </c>
      <c r="S8455" s="2">
        <v>42481</v>
      </c>
      <c r="T8455" s="2">
        <v>42481</v>
      </c>
      <c r="U8455" s="2">
        <v>42541</v>
      </c>
      <c r="V8455" t="s">
        <v>71</v>
      </c>
      <c r="W8455" t="str">
        <f>"                0421"</f>
        <v xml:space="preserve">                0421</v>
      </c>
      <c r="X8455">
        <v>0</v>
      </c>
      <c r="Y8455">
        <v>322.45999999999998</v>
      </c>
      <c r="Z8455"/>
      <c r="AB8455"/>
      <c r="AC8455">
        <v>322.45999999999998</v>
      </c>
      <c r="AD8455">
        <v>-60</v>
      </c>
      <c r="AE8455" s="1">
        <v>-19347.599999999999</v>
      </c>
      <c r="AF8455">
        <v>0</v>
      </c>
      <c r="AJ8455">
        <v>0</v>
      </c>
      <c r="AK8455">
        <v>0</v>
      </c>
      <c r="AL8455">
        <v>0</v>
      </c>
      <c r="AM8455">
        <v>322.45999999999998</v>
      </c>
      <c r="AN8455">
        <v>322.45999999999998</v>
      </c>
      <c r="AO8455">
        <v>322.45999999999998</v>
      </c>
      <c r="AP8455" s="2">
        <v>42746</v>
      </c>
      <c r="AQ8455" t="s">
        <v>72</v>
      </c>
      <c r="AR8455" t="s">
        <v>72</v>
      </c>
      <c r="AS8455">
        <v>1103</v>
      </c>
      <c r="AT8455" s="4">
        <v>42481</v>
      </c>
      <c r="AV8455">
        <v>1103</v>
      </c>
      <c r="AW8455" s="4">
        <v>42481</v>
      </c>
      <c r="BD8455">
        <v>0</v>
      </c>
      <c r="BN8455" t="s">
        <v>74</v>
      </c>
    </row>
    <row r="8456" spans="1:66" hidden="1">
      <c r="A8456">
        <v>106274</v>
      </c>
      <c r="B8456" s="3" t="s">
        <v>721</v>
      </c>
      <c r="C8456" s="1">
        <v>43500101</v>
      </c>
      <c r="D8456" t="s">
        <v>113</v>
      </c>
      <c r="H8456" t="str">
        <f t="shared" si="855"/>
        <v>02828850582</v>
      </c>
      <c r="I8456" t="str">
        <f t="shared" si="856"/>
        <v>01123081000</v>
      </c>
      <c r="K8456" t="str">
        <f>""</f>
        <v/>
      </c>
      <c r="M8456" t="s">
        <v>68</v>
      </c>
      <c r="N8456" t="str">
        <f t="shared" si="850"/>
        <v>ALTPRO</v>
      </c>
      <c r="O8456" t="s">
        <v>132</v>
      </c>
      <c r="P8456" s="3" t="s">
        <v>88</v>
      </c>
      <c r="Q8456">
        <v>2016</v>
      </c>
      <c r="R8456" s="2">
        <v>42508</v>
      </c>
      <c r="S8456" s="2">
        <v>42510</v>
      </c>
      <c r="T8456" s="2">
        <v>42510</v>
      </c>
      <c r="U8456" s="2">
        <v>42570</v>
      </c>
      <c r="V8456" t="s">
        <v>71</v>
      </c>
      <c r="W8456" t="str">
        <f>"                0518"</f>
        <v xml:space="preserve">                0518</v>
      </c>
      <c r="X8456">
        <v>0</v>
      </c>
      <c r="Y8456">
        <v>322.45999999999998</v>
      </c>
      <c r="Z8456"/>
      <c r="AB8456"/>
      <c r="AC8456">
        <v>322.45999999999998</v>
      </c>
      <c r="AD8456">
        <v>-57</v>
      </c>
      <c r="AE8456" s="1">
        <v>-18380.22</v>
      </c>
      <c r="AF8456">
        <v>0</v>
      </c>
      <c r="AJ8456">
        <v>0</v>
      </c>
      <c r="AK8456">
        <v>0</v>
      </c>
      <c r="AL8456">
        <v>0</v>
      </c>
      <c r="AM8456">
        <v>322.45999999999998</v>
      </c>
      <c r="AN8456">
        <v>322.45999999999998</v>
      </c>
      <c r="AO8456">
        <v>322.45999999999998</v>
      </c>
      <c r="AP8456" s="2">
        <v>42746</v>
      </c>
      <c r="AQ8456" t="s">
        <v>72</v>
      </c>
      <c r="AR8456" t="s">
        <v>72</v>
      </c>
      <c r="AS8456">
        <v>1341</v>
      </c>
      <c r="AT8456" s="4">
        <v>42513</v>
      </c>
      <c r="AV8456">
        <v>1341</v>
      </c>
      <c r="AW8456" s="4">
        <v>42513</v>
      </c>
      <c r="BD8456">
        <v>0</v>
      </c>
      <c r="BN8456" t="s">
        <v>74</v>
      </c>
    </row>
    <row r="8457" spans="1:66" hidden="1">
      <c r="A8457">
        <v>106274</v>
      </c>
      <c r="B8457" s="3" t="s">
        <v>721</v>
      </c>
      <c r="C8457" s="1">
        <v>43500101</v>
      </c>
      <c r="D8457" t="s">
        <v>113</v>
      </c>
      <c r="H8457" t="str">
        <f t="shared" si="855"/>
        <v>02828850582</v>
      </c>
      <c r="I8457" t="str">
        <f t="shared" si="856"/>
        <v>01123081000</v>
      </c>
      <c r="K8457" t="str">
        <f>""</f>
        <v/>
      </c>
      <c r="M8457" t="s">
        <v>68</v>
      </c>
      <c r="N8457" t="str">
        <f t="shared" si="850"/>
        <v>ALTPRO</v>
      </c>
      <c r="O8457" t="s">
        <v>132</v>
      </c>
      <c r="P8457" s="3" t="s">
        <v>89</v>
      </c>
      <c r="Q8457">
        <v>2016</v>
      </c>
      <c r="R8457" s="2">
        <v>42548</v>
      </c>
      <c r="S8457" s="2">
        <v>42543</v>
      </c>
      <c r="T8457" s="2">
        <v>42543</v>
      </c>
      <c r="U8457" s="2">
        <v>42603</v>
      </c>
      <c r="V8457" t="s">
        <v>71</v>
      </c>
      <c r="W8457" t="str">
        <f>"                0627"</f>
        <v xml:space="preserve">                0627</v>
      </c>
      <c r="X8457">
        <v>0</v>
      </c>
      <c r="Y8457">
        <v>322.45999999999998</v>
      </c>
      <c r="Z8457"/>
      <c r="AB8457"/>
      <c r="AC8457">
        <v>322.45999999999998</v>
      </c>
      <c r="AD8457">
        <v>-47</v>
      </c>
      <c r="AE8457" s="1">
        <v>-15155.62</v>
      </c>
      <c r="AF8457">
        <v>0</v>
      </c>
      <c r="AJ8457">
        <v>0</v>
      </c>
      <c r="AK8457">
        <v>0</v>
      </c>
      <c r="AL8457">
        <v>0</v>
      </c>
      <c r="AM8457">
        <v>322.45999999999998</v>
      </c>
      <c r="AN8457">
        <v>322.45999999999998</v>
      </c>
      <c r="AO8457">
        <v>322.45999999999998</v>
      </c>
      <c r="AP8457" s="2">
        <v>42746</v>
      </c>
      <c r="AQ8457" t="s">
        <v>72</v>
      </c>
      <c r="AR8457" t="s">
        <v>72</v>
      </c>
      <c r="AS8457">
        <v>1724</v>
      </c>
      <c r="AT8457" s="4">
        <v>42556</v>
      </c>
      <c r="AV8457">
        <v>1724</v>
      </c>
      <c r="AW8457" s="4">
        <v>42556</v>
      </c>
      <c r="BD8457">
        <v>0</v>
      </c>
      <c r="BN8457" t="s">
        <v>74</v>
      </c>
    </row>
    <row r="8458" spans="1:66" hidden="1">
      <c r="A8458">
        <v>106274</v>
      </c>
      <c r="B8458" s="3" t="s">
        <v>721</v>
      </c>
      <c r="C8458" s="1">
        <v>43500101</v>
      </c>
      <c r="D8458" t="s">
        <v>113</v>
      </c>
      <c r="H8458" t="str">
        <f t="shared" si="855"/>
        <v>02828850582</v>
      </c>
      <c r="I8458" t="str">
        <f t="shared" si="856"/>
        <v>01123081000</v>
      </c>
      <c r="K8458" t="str">
        <f>""</f>
        <v/>
      </c>
      <c r="M8458" t="s">
        <v>68</v>
      </c>
      <c r="N8458" t="str">
        <f t="shared" ref="N8458:N8482" si="857">"ALTPRO"</f>
        <v>ALTPRO</v>
      </c>
      <c r="O8458" t="s">
        <v>132</v>
      </c>
      <c r="P8458" s="3" t="s">
        <v>90</v>
      </c>
      <c r="Q8458">
        <v>2016</v>
      </c>
      <c r="R8458" s="2">
        <v>42573</v>
      </c>
      <c r="S8458" s="2">
        <v>42573</v>
      </c>
      <c r="T8458" s="2">
        <v>42573</v>
      </c>
      <c r="U8458" s="2">
        <v>42633</v>
      </c>
      <c r="V8458" t="s">
        <v>71</v>
      </c>
      <c r="W8458" t="str">
        <f>"                0722"</f>
        <v xml:space="preserve">                0722</v>
      </c>
      <c r="X8458">
        <v>0</v>
      </c>
      <c r="Y8458">
        <v>322.45999999999998</v>
      </c>
      <c r="Z8458"/>
      <c r="AB8458"/>
      <c r="AC8458">
        <v>322.45999999999998</v>
      </c>
      <c r="AD8458">
        <v>-48</v>
      </c>
      <c r="AE8458" s="1">
        <v>-15478.08</v>
      </c>
      <c r="AF8458">
        <v>0</v>
      </c>
      <c r="AJ8458">
        <v>0</v>
      </c>
      <c r="AK8458">
        <v>0</v>
      </c>
      <c r="AL8458">
        <v>0</v>
      </c>
      <c r="AM8458">
        <v>322.45999999999998</v>
      </c>
      <c r="AN8458">
        <v>322.45999999999998</v>
      </c>
      <c r="AO8458">
        <v>322.45999999999998</v>
      </c>
      <c r="AP8458" s="2">
        <v>42746</v>
      </c>
      <c r="AQ8458" t="s">
        <v>72</v>
      </c>
      <c r="AR8458" t="s">
        <v>72</v>
      </c>
      <c r="AS8458">
        <v>2124</v>
      </c>
      <c r="AT8458" s="4">
        <v>42585</v>
      </c>
      <c r="AV8458">
        <v>2124</v>
      </c>
      <c r="AW8458" s="4">
        <v>42585</v>
      </c>
      <c r="BD8458">
        <v>0</v>
      </c>
      <c r="BN8458" t="s">
        <v>74</v>
      </c>
    </row>
    <row r="8459" spans="1:66" hidden="1">
      <c r="A8459">
        <v>106274</v>
      </c>
      <c r="B8459" s="3" t="s">
        <v>721</v>
      </c>
      <c r="C8459" s="1">
        <v>43500101</v>
      </c>
      <c r="D8459" t="s">
        <v>113</v>
      </c>
      <c r="H8459" t="str">
        <f t="shared" si="855"/>
        <v>02828850582</v>
      </c>
      <c r="I8459" t="str">
        <f t="shared" si="856"/>
        <v>01123081000</v>
      </c>
      <c r="K8459" t="str">
        <f>""</f>
        <v/>
      </c>
      <c r="M8459" t="s">
        <v>68</v>
      </c>
      <c r="N8459" t="str">
        <f t="shared" si="857"/>
        <v>ALTPRO</v>
      </c>
      <c r="O8459" t="s">
        <v>132</v>
      </c>
      <c r="P8459" s="3" t="s">
        <v>91</v>
      </c>
      <c r="Q8459">
        <v>2016</v>
      </c>
      <c r="R8459" s="2">
        <v>42592</v>
      </c>
      <c r="S8459" s="2">
        <v>42598</v>
      </c>
      <c r="T8459" s="2">
        <v>42598</v>
      </c>
      <c r="U8459" s="2">
        <v>42658</v>
      </c>
      <c r="V8459" t="s">
        <v>71</v>
      </c>
      <c r="W8459" t="str">
        <f>"                0810"</f>
        <v xml:space="preserve">                0810</v>
      </c>
      <c r="X8459">
        <v>0</v>
      </c>
      <c r="Y8459">
        <v>322.45999999999998</v>
      </c>
      <c r="Z8459"/>
      <c r="AB8459"/>
      <c r="AC8459">
        <v>322.45999999999998</v>
      </c>
      <c r="AD8459">
        <v>-60</v>
      </c>
      <c r="AE8459" s="1">
        <v>-19347.599999999999</v>
      </c>
      <c r="AF8459">
        <v>0</v>
      </c>
      <c r="AJ8459">
        <v>0</v>
      </c>
      <c r="AK8459">
        <v>0</v>
      </c>
      <c r="AL8459">
        <v>0</v>
      </c>
      <c r="AM8459">
        <v>322.45999999999998</v>
      </c>
      <c r="AN8459">
        <v>322.45999999999998</v>
      </c>
      <c r="AO8459">
        <v>322.45999999999998</v>
      </c>
      <c r="AP8459" s="2">
        <v>42746</v>
      </c>
      <c r="AQ8459" t="s">
        <v>72</v>
      </c>
      <c r="AR8459" t="s">
        <v>72</v>
      </c>
      <c r="AS8459">
        <v>2206</v>
      </c>
      <c r="AT8459" s="4">
        <v>42598</v>
      </c>
      <c r="AV8459">
        <v>2206</v>
      </c>
      <c r="AW8459" s="4">
        <v>42598</v>
      </c>
      <c r="BD8459">
        <v>0</v>
      </c>
      <c r="BN8459" t="s">
        <v>74</v>
      </c>
    </row>
    <row r="8460" spans="1:66" hidden="1">
      <c r="A8460">
        <v>106274</v>
      </c>
      <c r="B8460" s="3" t="s">
        <v>721</v>
      </c>
      <c r="C8460" s="1">
        <v>43500101</v>
      </c>
      <c r="D8460" t="s">
        <v>113</v>
      </c>
      <c r="H8460" t="str">
        <f t="shared" si="855"/>
        <v>02828850582</v>
      </c>
      <c r="I8460" t="str">
        <f t="shared" si="856"/>
        <v>01123081000</v>
      </c>
      <c r="K8460" t="str">
        <f>""</f>
        <v/>
      </c>
      <c r="M8460" t="s">
        <v>68</v>
      </c>
      <c r="N8460" t="str">
        <f t="shared" si="857"/>
        <v>ALTPRO</v>
      </c>
      <c r="O8460" t="s">
        <v>132</v>
      </c>
      <c r="P8460" s="3" t="s">
        <v>92</v>
      </c>
      <c r="Q8460">
        <v>2016</v>
      </c>
      <c r="R8460" s="2">
        <v>42633</v>
      </c>
      <c r="S8460" s="2">
        <v>42634</v>
      </c>
      <c r="T8460" s="2">
        <v>42634</v>
      </c>
      <c r="U8460" s="2">
        <v>42694</v>
      </c>
      <c r="V8460" t="s">
        <v>71</v>
      </c>
      <c r="W8460" t="str">
        <f>"                0920"</f>
        <v xml:space="preserve">                0920</v>
      </c>
      <c r="X8460">
        <v>0</v>
      </c>
      <c r="Y8460">
        <v>322.45999999999998</v>
      </c>
      <c r="Z8460"/>
      <c r="AB8460"/>
      <c r="AC8460">
        <v>322.45999999999998</v>
      </c>
      <c r="AD8460">
        <v>-60</v>
      </c>
      <c r="AE8460" s="1">
        <v>-19347.599999999999</v>
      </c>
      <c r="AF8460">
        <v>0</v>
      </c>
      <c r="AJ8460">
        <v>0</v>
      </c>
      <c r="AK8460">
        <v>0</v>
      </c>
      <c r="AL8460">
        <v>0</v>
      </c>
      <c r="AM8460">
        <v>322.45999999999998</v>
      </c>
      <c r="AN8460">
        <v>322.45999999999998</v>
      </c>
      <c r="AO8460">
        <v>322.45999999999998</v>
      </c>
      <c r="AP8460" s="2">
        <v>42746</v>
      </c>
      <c r="AQ8460" t="s">
        <v>72</v>
      </c>
      <c r="AR8460" t="s">
        <v>72</v>
      </c>
      <c r="AS8460">
        <v>2479</v>
      </c>
      <c r="AT8460" s="4">
        <v>42634</v>
      </c>
      <c r="AV8460">
        <v>2479</v>
      </c>
      <c r="AW8460" s="4">
        <v>42634</v>
      </c>
      <c r="BD8460">
        <v>0</v>
      </c>
      <c r="BN8460" t="s">
        <v>74</v>
      </c>
    </row>
    <row r="8461" spans="1:66" hidden="1">
      <c r="A8461">
        <v>106274</v>
      </c>
      <c r="B8461" s="3" t="s">
        <v>721</v>
      </c>
      <c r="C8461" s="1">
        <v>43500101</v>
      </c>
      <c r="D8461" t="s">
        <v>113</v>
      </c>
      <c r="H8461" t="str">
        <f t="shared" si="855"/>
        <v>02828850582</v>
      </c>
      <c r="I8461" t="str">
        <f t="shared" si="856"/>
        <v>01123081000</v>
      </c>
      <c r="K8461" t="str">
        <f>""</f>
        <v/>
      </c>
      <c r="M8461" t="s">
        <v>68</v>
      </c>
      <c r="N8461" t="str">
        <f t="shared" si="857"/>
        <v>ALTPRO</v>
      </c>
      <c r="O8461" t="s">
        <v>132</v>
      </c>
      <c r="P8461" s="3" t="s">
        <v>93</v>
      </c>
      <c r="Q8461">
        <v>2016</v>
      </c>
      <c r="R8461" s="2">
        <v>42664</v>
      </c>
      <c r="S8461" s="2">
        <v>42667</v>
      </c>
      <c r="T8461" s="2">
        <v>42667</v>
      </c>
      <c r="U8461" s="2">
        <v>42727</v>
      </c>
      <c r="V8461" t="s">
        <v>71</v>
      </c>
      <c r="W8461" t="str">
        <f>"                1021"</f>
        <v xml:space="preserve">                1021</v>
      </c>
      <c r="X8461">
        <v>0</v>
      </c>
      <c r="Y8461">
        <v>322.45999999999998</v>
      </c>
      <c r="Z8461" s="3">
        <v>322.45999999999998</v>
      </c>
      <c r="AA8461">
        <v>-60</v>
      </c>
      <c r="AB8461" s="5">
        <v>-19347.599999999999</v>
      </c>
      <c r="AC8461">
        <v>322.45999999999998</v>
      </c>
      <c r="AD8461">
        <v>-60</v>
      </c>
      <c r="AE8461" s="1">
        <v>-19347.599999999999</v>
      </c>
      <c r="AF8461">
        <v>0</v>
      </c>
      <c r="AJ8461">
        <v>322.45999999999998</v>
      </c>
      <c r="AK8461">
        <v>322.45999999999998</v>
      </c>
      <c r="AL8461">
        <v>322.45999999999998</v>
      </c>
      <c r="AM8461">
        <v>322.45999999999998</v>
      </c>
      <c r="AN8461">
        <v>322.45999999999998</v>
      </c>
      <c r="AO8461">
        <v>322.45999999999998</v>
      </c>
      <c r="AP8461" s="2">
        <v>42746</v>
      </c>
      <c r="AQ8461" t="s">
        <v>72</v>
      </c>
      <c r="AR8461" t="s">
        <v>72</v>
      </c>
      <c r="AS8461">
        <v>2827</v>
      </c>
      <c r="AT8461" s="4">
        <v>42667</v>
      </c>
      <c r="AV8461">
        <v>2827</v>
      </c>
      <c r="AW8461" s="4">
        <v>42667</v>
      </c>
      <c r="BD8461">
        <v>0</v>
      </c>
      <c r="BN8461" t="s">
        <v>74</v>
      </c>
    </row>
    <row r="8462" spans="1:66" hidden="1">
      <c r="A8462">
        <v>106274</v>
      </c>
      <c r="B8462" s="3" t="s">
        <v>721</v>
      </c>
      <c r="C8462" s="1">
        <v>43500101</v>
      </c>
      <c r="D8462" t="s">
        <v>113</v>
      </c>
      <c r="H8462" t="str">
        <f t="shared" si="855"/>
        <v>02828850582</v>
      </c>
      <c r="I8462" t="str">
        <f t="shared" si="856"/>
        <v>01123081000</v>
      </c>
      <c r="K8462" t="str">
        <f>""</f>
        <v/>
      </c>
      <c r="M8462" t="s">
        <v>68</v>
      </c>
      <c r="N8462" t="str">
        <f t="shared" si="857"/>
        <v>ALTPRO</v>
      </c>
      <c r="O8462" t="s">
        <v>132</v>
      </c>
      <c r="P8462" s="3" t="s">
        <v>94</v>
      </c>
      <c r="Q8462">
        <v>2016</v>
      </c>
      <c r="R8462" s="2">
        <v>42696</v>
      </c>
      <c r="S8462" s="2">
        <v>42696</v>
      </c>
      <c r="T8462" s="2">
        <v>42696</v>
      </c>
      <c r="U8462" s="2">
        <v>42756</v>
      </c>
      <c r="V8462" t="s">
        <v>71</v>
      </c>
      <c r="W8462" t="str">
        <f>"                1122"</f>
        <v xml:space="preserve">                1122</v>
      </c>
      <c r="X8462">
        <v>0</v>
      </c>
      <c r="Y8462">
        <v>322.45999999999998</v>
      </c>
      <c r="Z8462" s="3">
        <v>322.45999999999998</v>
      </c>
      <c r="AA8462">
        <v>-59</v>
      </c>
      <c r="AB8462" s="5">
        <v>-19025.14</v>
      </c>
      <c r="AC8462">
        <v>322.45999999999998</v>
      </c>
      <c r="AD8462">
        <v>-59</v>
      </c>
      <c r="AE8462" s="1">
        <v>-19025.14</v>
      </c>
      <c r="AF8462">
        <v>0</v>
      </c>
      <c r="AJ8462">
        <v>322.45999999999998</v>
      </c>
      <c r="AK8462">
        <v>322.45999999999998</v>
      </c>
      <c r="AL8462">
        <v>322.45999999999998</v>
      </c>
      <c r="AM8462">
        <v>322.45999999999998</v>
      </c>
      <c r="AN8462">
        <v>322.45999999999998</v>
      </c>
      <c r="AO8462">
        <v>322.45999999999998</v>
      </c>
      <c r="AP8462" s="2">
        <v>42746</v>
      </c>
      <c r="AQ8462" t="s">
        <v>72</v>
      </c>
      <c r="AR8462" t="s">
        <v>72</v>
      </c>
      <c r="AS8462">
        <v>3264</v>
      </c>
      <c r="AT8462" s="4">
        <v>42697</v>
      </c>
      <c r="AV8462">
        <v>3264</v>
      </c>
      <c r="AW8462" s="4">
        <v>42697</v>
      </c>
      <c r="BD8462">
        <v>0</v>
      </c>
      <c r="BN8462" t="s">
        <v>74</v>
      </c>
    </row>
    <row r="8463" spans="1:66" hidden="1">
      <c r="A8463">
        <v>106274</v>
      </c>
      <c r="B8463" s="3" t="s">
        <v>721</v>
      </c>
      <c r="C8463" s="1">
        <v>43500101</v>
      </c>
      <c r="D8463" t="s">
        <v>113</v>
      </c>
      <c r="H8463" t="str">
        <f t="shared" si="855"/>
        <v>02828850582</v>
      </c>
      <c r="I8463" t="str">
        <f t="shared" si="856"/>
        <v>01123081000</v>
      </c>
      <c r="K8463" t="str">
        <f>""</f>
        <v/>
      </c>
      <c r="M8463" t="s">
        <v>68</v>
      </c>
      <c r="N8463" t="str">
        <f t="shared" si="857"/>
        <v>ALTPRO</v>
      </c>
      <c r="O8463" t="s">
        <v>132</v>
      </c>
      <c r="P8463" s="3" t="s">
        <v>95</v>
      </c>
      <c r="Q8463">
        <v>2016</v>
      </c>
      <c r="R8463" s="2">
        <v>42717</v>
      </c>
      <c r="S8463" s="2">
        <v>42717</v>
      </c>
      <c r="T8463" s="2">
        <v>42717</v>
      </c>
      <c r="U8463" s="2">
        <v>42777</v>
      </c>
      <c r="V8463" t="s">
        <v>71</v>
      </c>
      <c r="W8463" t="str">
        <f>"                1213"</f>
        <v xml:space="preserve">                1213</v>
      </c>
      <c r="X8463">
        <v>0</v>
      </c>
      <c r="Y8463">
        <v>322.45999999999998</v>
      </c>
      <c r="Z8463" s="3">
        <v>322.45999999999998</v>
      </c>
      <c r="AA8463">
        <v>-59</v>
      </c>
      <c r="AB8463" s="5">
        <v>-19025.14</v>
      </c>
      <c r="AC8463">
        <v>322.45999999999998</v>
      </c>
      <c r="AD8463">
        <v>-59</v>
      </c>
      <c r="AE8463" s="1">
        <v>-19025.14</v>
      </c>
      <c r="AF8463">
        <v>0</v>
      </c>
      <c r="AJ8463">
        <v>322.45999999999998</v>
      </c>
      <c r="AK8463">
        <v>322.45999999999998</v>
      </c>
      <c r="AL8463">
        <v>322.45999999999998</v>
      </c>
      <c r="AM8463">
        <v>322.45999999999998</v>
      </c>
      <c r="AN8463">
        <v>322.45999999999998</v>
      </c>
      <c r="AO8463">
        <v>322.45999999999998</v>
      </c>
      <c r="AP8463" s="2">
        <v>42746</v>
      </c>
      <c r="AQ8463" t="s">
        <v>72</v>
      </c>
      <c r="AR8463" t="s">
        <v>72</v>
      </c>
      <c r="AS8463">
        <v>3422</v>
      </c>
      <c r="AT8463" s="4">
        <v>42718</v>
      </c>
      <c r="AV8463">
        <v>3422</v>
      </c>
      <c r="AW8463" s="4">
        <v>42718</v>
      </c>
      <c r="BD8463">
        <v>0</v>
      </c>
      <c r="BN8463" t="s">
        <v>74</v>
      </c>
    </row>
    <row r="8464" spans="1:66" hidden="1">
      <c r="A8464">
        <v>106277</v>
      </c>
      <c r="B8464" s="3" t="s">
        <v>722</v>
      </c>
      <c r="C8464" s="1">
        <v>43500101</v>
      </c>
      <c r="D8464" t="s">
        <v>113</v>
      </c>
      <c r="H8464" t="str">
        <f>"MDDGPP72A03I197J"</f>
        <v>MDDGPP72A03I197J</v>
      </c>
      <c r="I8464" t="str">
        <f>"01448280626"</f>
        <v>01448280626</v>
      </c>
      <c r="K8464" t="str">
        <f>""</f>
        <v/>
      </c>
      <c r="M8464" t="s">
        <v>68</v>
      </c>
      <c r="N8464" t="str">
        <f t="shared" si="857"/>
        <v>ALTPRO</v>
      </c>
      <c r="O8464" t="s">
        <v>132</v>
      </c>
      <c r="P8464" s="3" t="s">
        <v>75</v>
      </c>
      <c r="Q8464">
        <v>2016</v>
      </c>
      <c r="R8464" s="2">
        <v>42445</v>
      </c>
      <c r="S8464" s="2">
        <v>42446</v>
      </c>
      <c r="T8464" s="2">
        <v>42445</v>
      </c>
      <c r="U8464" s="2">
        <v>42505</v>
      </c>
      <c r="V8464" t="s">
        <v>71</v>
      </c>
      <c r="W8464" t="str">
        <f>"      000001-2016-FE"</f>
        <v xml:space="preserve">      000001-2016-FE</v>
      </c>
      <c r="X8464" s="1">
        <v>1455.14</v>
      </c>
      <c r="Y8464">
        <v>0</v>
      </c>
      <c r="Z8464"/>
      <c r="AB8464"/>
      <c r="AC8464" s="1">
        <v>1455.14</v>
      </c>
      <c r="AD8464">
        <v>-41</v>
      </c>
      <c r="AE8464" s="1">
        <v>-59660.74</v>
      </c>
      <c r="AF8464">
        <v>0</v>
      </c>
      <c r="AJ8464">
        <v>0</v>
      </c>
      <c r="AK8464">
        <v>0</v>
      </c>
      <c r="AL8464">
        <v>0</v>
      </c>
      <c r="AM8464" s="1">
        <v>1455.14</v>
      </c>
      <c r="AN8464" s="1">
        <v>1455.14</v>
      </c>
      <c r="AO8464" s="1">
        <v>1455.14</v>
      </c>
      <c r="AP8464" s="2">
        <v>42746</v>
      </c>
      <c r="AQ8464" t="s">
        <v>72</v>
      </c>
      <c r="AR8464" t="s">
        <v>72</v>
      </c>
      <c r="AS8464">
        <v>981</v>
      </c>
      <c r="AT8464" s="4">
        <v>42464</v>
      </c>
      <c r="AV8464">
        <v>981</v>
      </c>
      <c r="AW8464" s="4">
        <v>42464</v>
      </c>
      <c r="BD8464">
        <v>0</v>
      </c>
      <c r="BN8464" t="s">
        <v>74</v>
      </c>
    </row>
    <row r="8465" spans="1:66" hidden="1">
      <c r="A8465">
        <v>106280</v>
      </c>
      <c r="B8465" s="3" t="s">
        <v>723</v>
      </c>
      <c r="C8465" s="1">
        <v>43500101</v>
      </c>
      <c r="D8465" t="s">
        <v>113</v>
      </c>
      <c r="H8465" t="str">
        <f t="shared" ref="H8465:H8470" si="858">"RFCMDL74L54F839F"</f>
        <v>RFCMDL74L54F839F</v>
      </c>
      <c r="I8465" t="str">
        <f t="shared" ref="I8465:I8470" si="859">"05993391217"</f>
        <v>05993391217</v>
      </c>
      <c r="K8465" t="str">
        <f>""</f>
        <v/>
      </c>
      <c r="M8465" t="s">
        <v>68</v>
      </c>
      <c r="N8465" t="str">
        <f t="shared" si="857"/>
        <v>ALTPRO</v>
      </c>
      <c r="O8465" t="s">
        <v>132</v>
      </c>
      <c r="P8465" s="3" t="s">
        <v>75</v>
      </c>
      <c r="Q8465">
        <v>2016</v>
      </c>
      <c r="R8465" s="2">
        <v>42432</v>
      </c>
      <c r="S8465" s="2">
        <v>42438</v>
      </c>
      <c r="T8465" s="2">
        <v>42438</v>
      </c>
      <c r="U8465" s="2">
        <v>42498</v>
      </c>
      <c r="V8465" t="s">
        <v>71</v>
      </c>
      <c r="W8465" t="str">
        <f>"                1/PA"</f>
        <v xml:space="preserve">                1/PA</v>
      </c>
      <c r="X8465" s="1">
        <v>4250</v>
      </c>
      <c r="Y8465">
        <v>0</v>
      </c>
      <c r="Z8465"/>
      <c r="AB8465"/>
      <c r="AC8465" s="1">
        <v>4250</v>
      </c>
      <c r="AD8465">
        <v>-47</v>
      </c>
      <c r="AE8465" s="1">
        <v>-199750</v>
      </c>
      <c r="AF8465">
        <v>0</v>
      </c>
      <c r="AJ8465">
        <v>0</v>
      </c>
      <c r="AK8465">
        <v>0</v>
      </c>
      <c r="AL8465">
        <v>0</v>
      </c>
      <c r="AM8465" s="1">
        <v>4250</v>
      </c>
      <c r="AN8465" s="1">
        <v>4250</v>
      </c>
      <c r="AO8465" s="1">
        <v>4250</v>
      </c>
      <c r="AP8465" s="2">
        <v>42746</v>
      </c>
      <c r="AQ8465" t="s">
        <v>72</v>
      </c>
      <c r="AR8465" t="s">
        <v>72</v>
      </c>
      <c r="AS8465">
        <v>716</v>
      </c>
      <c r="AT8465" s="4">
        <v>42451</v>
      </c>
      <c r="AV8465">
        <v>716</v>
      </c>
      <c r="AW8465" s="4">
        <v>42451</v>
      </c>
      <c r="BD8465">
        <v>0</v>
      </c>
      <c r="BN8465" t="s">
        <v>74</v>
      </c>
    </row>
    <row r="8466" spans="1:66">
      <c r="A8466">
        <v>106280</v>
      </c>
      <c r="B8466" s="3" t="s">
        <v>723</v>
      </c>
      <c r="C8466" s="1">
        <v>43500101</v>
      </c>
      <c r="D8466" t="s">
        <v>113</v>
      </c>
      <c r="H8466" t="str">
        <f t="shared" si="858"/>
        <v>RFCMDL74L54F839F</v>
      </c>
      <c r="I8466" t="str">
        <f t="shared" si="859"/>
        <v>05993391217</v>
      </c>
      <c r="K8466" t="str">
        <f>""</f>
        <v/>
      </c>
      <c r="M8466" t="s">
        <v>68</v>
      </c>
      <c r="N8466" t="str">
        <f t="shared" si="857"/>
        <v>ALTPRO</v>
      </c>
      <c r="O8466" t="s">
        <v>132</v>
      </c>
      <c r="P8466" s="3" t="s">
        <v>75</v>
      </c>
      <c r="Q8466">
        <v>2016</v>
      </c>
      <c r="R8466" s="2">
        <v>42650</v>
      </c>
      <c r="S8466" s="2">
        <v>42656</v>
      </c>
      <c r="T8466" s="2">
        <v>42656</v>
      </c>
      <c r="U8466" s="2">
        <v>42716</v>
      </c>
      <c r="V8466" t="s">
        <v>71</v>
      </c>
      <c r="W8466" t="str">
        <f>"         FATTPA 1_16"</f>
        <v xml:space="preserve">         FATTPA 1_16</v>
      </c>
      <c r="X8466" s="1">
        <v>2500</v>
      </c>
      <c r="Y8466">
        <v>0</v>
      </c>
      <c r="Z8466" s="5">
        <v>2500</v>
      </c>
      <c r="AA8466">
        <v>-47</v>
      </c>
      <c r="AB8466" s="5">
        <v>-117500</v>
      </c>
      <c r="AC8466" s="1">
        <v>2500</v>
      </c>
      <c r="AD8466">
        <v>-47</v>
      </c>
      <c r="AE8466" s="1">
        <v>-117500</v>
      </c>
      <c r="AF8466">
        <v>0</v>
      </c>
      <c r="AJ8466" s="1">
        <v>2500</v>
      </c>
      <c r="AK8466" s="1">
        <v>2500</v>
      </c>
      <c r="AL8466" s="1">
        <v>2500</v>
      </c>
      <c r="AM8466" s="1">
        <v>2500</v>
      </c>
      <c r="AN8466" s="1">
        <v>2500</v>
      </c>
      <c r="AO8466" s="1">
        <v>2500</v>
      </c>
      <c r="AP8466" s="2">
        <v>42746</v>
      </c>
      <c r="AQ8466" t="s">
        <v>72</v>
      </c>
      <c r="AR8466" t="s">
        <v>72</v>
      </c>
      <c r="AS8466">
        <v>2888</v>
      </c>
      <c r="AT8466" s="4">
        <v>42669</v>
      </c>
      <c r="AV8466">
        <v>2888</v>
      </c>
      <c r="AW8466" s="4">
        <v>42669</v>
      </c>
      <c r="BD8466">
        <v>0</v>
      </c>
      <c r="BN8466" t="s">
        <v>74</v>
      </c>
    </row>
    <row r="8467" spans="1:66">
      <c r="A8467">
        <v>106280</v>
      </c>
      <c r="B8467" s="3" t="s">
        <v>723</v>
      </c>
      <c r="C8467" s="1">
        <v>43500101</v>
      </c>
      <c r="D8467" t="s">
        <v>113</v>
      </c>
      <c r="H8467" t="str">
        <f t="shared" si="858"/>
        <v>RFCMDL74L54F839F</v>
      </c>
      <c r="I8467" t="str">
        <f t="shared" si="859"/>
        <v>05993391217</v>
      </c>
      <c r="K8467" t="str">
        <f>""</f>
        <v/>
      </c>
      <c r="M8467" t="s">
        <v>68</v>
      </c>
      <c r="N8467" t="str">
        <f t="shared" si="857"/>
        <v>ALTPRO</v>
      </c>
      <c r="O8467" t="s">
        <v>132</v>
      </c>
      <c r="P8467" s="3" t="s">
        <v>75</v>
      </c>
      <c r="Q8467">
        <v>2016</v>
      </c>
      <c r="R8467" s="2">
        <v>42650</v>
      </c>
      <c r="S8467" s="2">
        <v>42656</v>
      </c>
      <c r="T8467" s="2">
        <v>42656</v>
      </c>
      <c r="U8467" s="2">
        <v>42716</v>
      </c>
      <c r="V8467" t="s">
        <v>71</v>
      </c>
      <c r="W8467" t="str">
        <f>"         FATTPA 2_16"</f>
        <v xml:space="preserve">         FATTPA 2_16</v>
      </c>
      <c r="X8467" s="1">
        <v>2500</v>
      </c>
      <c r="Y8467">
        <v>0</v>
      </c>
      <c r="Z8467" s="5">
        <v>2500</v>
      </c>
      <c r="AA8467">
        <v>-47</v>
      </c>
      <c r="AB8467" s="5">
        <v>-117500</v>
      </c>
      <c r="AC8467" s="1">
        <v>2500</v>
      </c>
      <c r="AD8467">
        <v>-47</v>
      </c>
      <c r="AE8467" s="1">
        <v>-117500</v>
      </c>
      <c r="AF8467">
        <v>0</v>
      </c>
      <c r="AJ8467" s="1">
        <v>2500</v>
      </c>
      <c r="AK8467" s="1">
        <v>2500</v>
      </c>
      <c r="AL8467" s="1">
        <v>2500</v>
      </c>
      <c r="AM8467" s="1">
        <v>2500</v>
      </c>
      <c r="AN8467" s="1">
        <v>2500</v>
      </c>
      <c r="AO8467" s="1">
        <v>2500</v>
      </c>
      <c r="AP8467" s="2">
        <v>42746</v>
      </c>
      <c r="AQ8467" t="s">
        <v>72</v>
      </c>
      <c r="AR8467" t="s">
        <v>72</v>
      </c>
      <c r="AS8467">
        <v>2888</v>
      </c>
      <c r="AT8467" s="4">
        <v>42669</v>
      </c>
      <c r="AV8467">
        <v>2888</v>
      </c>
      <c r="AW8467" s="4">
        <v>42669</v>
      </c>
      <c r="BD8467">
        <v>0</v>
      </c>
      <c r="BN8467" t="s">
        <v>74</v>
      </c>
    </row>
    <row r="8468" spans="1:66">
      <c r="A8468">
        <v>106280</v>
      </c>
      <c r="B8468" s="3" t="s">
        <v>723</v>
      </c>
      <c r="C8468" s="1">
        <v>43500101</v>
      </c>
      <c r="D8468" t="s">
        <v>113</v>
      </c>
      <c r="H8468" t="str">
        <f t="shared" si="858"/>
        <v>RFCMDL74L54F839F</v>
      </c>
      <c r="I8468" t="str">
        <f t="shared" si="859"/>
        <v>05993391217</v>
      </c>
      <c r="K8468" t="str">
        <f>""</f>
        <v/>
      </c>
      <c r="M8468" t="s">
        <v>68</v>
      </c>
      <c r="N8468" t="str">
        <f t="shared" si="857"/>
        <v>ALTPRO</v>
      </c>
      <c r="O8468" t="s">
        <v>132</v>
      </c>
      <c r="P8468" s="3" t="s">
        <v>75</v>
      </c>
      <c r="Q8468">
        <v>2016</v>
      </c>
      <c r="R8468" s="2">
        <v>42651</v>
      </c>
      <c r="S8468" s="2">
        <v>42656</v>
      </c>
      <c r="T8468" s="2">
        <v>42656</v>
      </c>
      <c r="U8468" s="2">
        <v>42716</v>
      </c>
      <c r="V8468" t="s">
        <v>71</v>
      </c>
      <c r="W8468" t="str">
        <f>"         FATTPA 3_16"</f>
        <v xml:space="preserve">         FATTPA 3_16</v>
      </c>
      <c r="X8468" s="1">
        <v>2500</v>
      </c>
      <c r="Y8468">
        <v>0</v>
      </c>
      <c r="Z8468" s="5">
        <v>2500</v>
      </c>
      <c r="AA8468">
        <v>-47</v>
      </c>
      <c r="AB8468" s="5">
        <v>-117500</v>
      </c>
      <c r="AC8468" s="1">
        <v>2500</v>
      </c>
      <c r="AD8468">
        <v>-47</v>
      </c>
      <c r="AE8468" s="1">
        <v>-117500</v>
      </c>
      <c r="AF8468">
        <v>0</v>
      </c>
      <c r="AJ8468" s="1">
        <v>2500</v>
      </c>
      <c r="AK8468" s="1">
        <v>2500</v>
      </c>
      <c r="AL8468" s="1">
        <v>2500</v>
      </c>
      <c r="AM8468" s="1">
        <v>2500</v>
      </c>
      <c r="AN8468" s="1">
        <v>2500</v>
      </c>
      <c r="AO8468" s="1">
        <v>2500</v>
      </c>
      <c r="AP8468" s="2">
        <v>42746</v>
      </c>
      <c r="AQ8468" t="s">
        <v>72</v>
      </c>
      <c r="AR8468" t="s">
        <v>72</v>
      </c>
      <c r="AS8468">
        <v>2888</v>
      </c>
      <c r="AT8468" s="4">
        <v>42669</v>
      </c>
      <c r="AV8468">
        <v>2888</v>
      </c>
      <c r="AW8468" s="4">
        <v>42669</v>
      </c>
      <c r="BD8468">
        <v>0</v>
      </c>
      <c r="BN8468" t="s">
        <v>74</v>
      </c>
    </row>
    <row r="8469" spans="1:66">
      <c r="A8469">
        <v>106280</v>
      </c>
      <c r="B8469" s="3" t="s">
        <v>723</v>
      </c>
      <c r="C8469" s="1">
        <v>43500101</v>
      </c>
      <c r="D8469" t="s">
        <v>113</v>
      </c>
      <c r="H8469" t="str">
        <f t="shared" si="858"/>
        <v>RFCMDL74L54F839F</v>
      </c>
      <c r="I8469" t="str">
        <f t="shared" si="859"/>
        <v>05993391217</v>
      </c>
      <c r="K8469" t="str">
        <f>""</f>
        <v/>
      </c>
      <c r="M8469" t="s">
        <v>68</v>
      </c>
      <c r="N8469" t="str">
        <f t="shared" si="857"/>
        <v>ALTPRO</v>
      </c>
      <c r="O8469" t="s">
        <v>132</v>
      </c>
      <c r="P8469" s="3" t="s">
        <v>75</v>
      </c>
      <c r="Q8469">
        <v>2016</v>
      </c>
      <c r="R8469" s="2">
        <v>42676</v>
      </c>
      <c r="S8469" s="2">
        <v>42677</v>
      </c>
      <c r="T8469" s="2">
        <v>42677</v>
      </c>
      <c r="U8469" s="2">
        <v>42737</v>
      </c>
      <c r="V8469" t="s">
        <v>71</v>
      </c>
      <c r="W8469" t="str">
        <f>"         FATTPA 4_16"</f>
        <v xml:space="preserve">         FATTPA 4_16</v>
      </c>
      <c r="X8469" s="1">
        <v>2500</v>
      </c>
      <c r="Y8469">
        <v>0</v>
      </c>
      <c r="Z8469" s="5">
        <v>2500</v>
      </c>
      <c r="AA8469">
        <v>-53</v>
      </c>
      <c r="AB8469" s="5">
        <v>-132500</v>
      </c>
      <c r="AC8469" s="1">
        <v>2500</v>
      </c>
      <c r="AD8469">
        <v>-53</v>
      </c>
      <c r="AE8469" s="1">
        <v>-132500</v>
      </c>
      <c r="AF8469">
        <v>0</v>
      </c>
      <c r="AJ8469" s="1">
        <v>2500</v>
      </c>
      <c r="AK8469" s="1">
        <v>2500</v>
      </c>
      <c r="AL8469" s="1">
        <v>2500</v>
      </c>
      <c r="AM8469" s="1">
        <v>2500</v>
      </c>
      <c r="AN8469" s="1">
        <v>2500</v>
      </c>
      <c r="AO8469" s="1">
        <v>2500</v>
      </c>
      <c r="AP8469" s="2">
        <v>42746</v>
      </c>
      <c r="AQ8469" t="s">
        <v>72</v>
      </c>
      <c r="AR8469" t="s">
        <v>72</v>
      </c>
      <c r="AS8469">
        <v>3039</v>
      </c>
      <c r="AT8469" s="4">
        <v>42684</v>
      </c>
      <c r="AV8469">
        <v>3039</v>
      </c>
      <c r="AW8469" s="4">
        <v>42684</v>
      </c>
      <c r="BD8469">
        <v>0</v>
      </c>
      <c r="BN8469" t="s">
        <v>74</v>
      </c>
    </row>
    <row r="8470" spans="1:66">
      <c r="A8470">
        <v>106280</v>
      </c>
      <c r="B8470" s="3" t="s">
        <v>723</v>
      </c>
      <c r="C8470" s="1">
        <v>43500101</v>
      </c>
      <c r="D8470" t="s">
        <v>113</v>
      </c>
      <c r="H8470" t="str">
        <f t="shared" si="858"/>
        <v>RFCMDL74L54F839F</v>
      </c>
      <c r="I8470" t="str">
        <f t="shared" si="859"/>
        <v>05993391217</v>
      </c>
      <c r="K8470" t="str">
        <f>""</f>
        <v/>
      </c>
      <c r="M8470" t="s">
        <v>68</v>
      </c>
      <c r="N8470" t="str">
        <f t="shared" si="857"/>
        <v>ALTPRO</v>
      </c>
      <c r="O8470" t="s">
        <v>132</v>
      </c>
      <c r="P8470" s="3" t="s">
        <v>75</v>
      </c>
      <c r="Q8470">
        <v>2016</v>
      </c>
      <c r="R8470" s="2">
        <v>42710</v>
      </c>
      <c r="S8470" s="2">
        <v>42711</v>
      </c>
      <c r="T8470" s="2">
        <v>42711</v>
      </c>
      <c r="U8470" s="2">
        <v>42771</v>
      </c>
      <c r="V8470" t="s">
        <v>71</v>
      </c>
      <c r="W8470" t="str">
        <f>"         FATTPA 5_16"</f>
        <v xml:space="preserve">         FATTPA 5_16</v>
      </c>
      <c r="X8470" s="1">
        <v>2500</v>
      </c>
      <c r="Y8470">
        <v>0</v>
      </c>
      <c r="Z8470" s="5">
        <v>2500</v>
      </c>
      <c r="AA8470">
        <v>-51</v>
      </c>
      <c r="AB8470" s="5">
        <v>-127500</v>
      </c>
      <c r="AC8470" s="1">
        <v>2500</v>
      </c>
      <c r="AD8470">
        <v>-51</v>
      </c>
      <c r="AE8470" s="1">
        <v>-127500</v>
      </c>
      <c r="AF8470">
        <v>0</v>
      </c>
      <c r="AJ8470" s="1">
        <v>2500</v>
      </c>
      <c r="AK8470" s="1">
        <v>2500</v>
      </c>
      <c r="AL8470" s="1">
        <v>2500</v>
      </c>
      <c r="AM8470" s="1">
        <v>2500</v>
      </c>
      <c r="AN8470" s="1">
        <v>2500</v>
      </c>
      <c r="AO8470" s="1">
        <v>2500</v>
      </c>
      <c r="AP8470" s="2">
        <v>42746</v>
      </c>
      <c r="AQ8470" t="s">
        <v>72</v>
      </c>
      <c r="AR8470" t="s">
        <v>72</v>
      </c>
      <c r="AS8470">
        <v>3543</v>
      </c>
      <c r="AT8470" s="4">
        <v>42720</v>
      </c>
      <c r="AV8470">
        <v>3543</v>
      </c>
      <c r="AW8470" s="4">
        <v>42720</v>
      </c>
      <c r="BD8470">
        <v>0</v>
      </c>
      <c r="BN8470" t="s">
        <v>74</v>
      </c>
    </row>
    <row r="8471" spans="1:66" hidden="1">
      <c r="A8471">
        <v>106284</v>
      </c>
      <c r="B8471" s="3" t="s">
        <v>724</v>
      </c>
      <c r="C8471" s="1">
        <v>43500101</v>
      </c>
      <c r="D8471" t="s">
        <v>113</v>
      </c>
      <c r="H8471" t="str">
        <f t="shared" ref="H8471:H8476" si="860">"SLASLV84R55A783S"</f>
        <v>SLASLV84R55A783S</v>
      </c>
      <c r="I8471" t="str">
        <f t="shared" ref="I8471:I8476" si="861">"01561490622"</f>
        <v>01561490622</v>
      </c>
      <c r="K8471" t="str">
        <f>""</f>
        <v/>
      </c>
      <c r="M8471" t="s">
        <v>68</v>
      </c>
      <c r="N8471" t="str">
        <f t="shared" si="857"/>
        <v>ALTPRO</v>
      </c>
      <c r="O8471" t="s">
        <v>132</v>
      </c>
      <c r="P8471" s="3" t="s">
        <v>75</v>
      </c>
      <c r="Q8471">
        <v>2015</v>
      </c>
      <c r="R8471" s="2">
        <v>42360</v>
      </c>
      <c r="S8471" s="2">
        <v>42360</v>
      </c>
      <c r="T8471" s="2">
        <v>42360</v>
      </c>
      <c r="U8471" s="2">
        <v>42420</v>
      </c>
      <c r="V8471" t="s">
        <v>71</v>
      </c>
      <c r="W8471" t="str">
        <f>"                   7"</f>
        <v xml:space="preserve">                   7</v>
      </c>
      <c r="X8471" s="1">
        <v>2502</v>
      </c>
      <c r="Y8471">
        <v>0</v>
      </c>
      <c r="Z8471"/>
      <c r="AB8471"/>
      <c r="AC8471" s="1">
        <v>2502</v>
      </c>
      <c r="AD8471">
        <v>-40</v>
      </c>
      <c r="AE8471" s="1">
        <v>-100080</v>
      </c>
      <c r="AF8471">
        <v>0</v>
      </c>
      <c r="AJ8471">
        <v>0</v>
      </c>
      <c r="AK8471">
        <v>0</v>
      </c>
      <c r="AL8471">
        <v>0</v>
      </c>
      <c r="AM8471">
        <v>0</v>
      </c>
      <c r="AN8471">
        <v>0</v>
      </c>
      <c r="AO8471">
        <v>0</v>
      </c>
      <c r="AP8471" s="2">
        <v>42746</v>
      </c>
      <c r="AQ8471" t="s">
        <v>72</v>
      </c>
      <c r="AR8471" t="s">
        <v>72</v>
      </c>
      <c r="AS8471">
        <v>8</v>
      </c>
      <c r="AT8471" s="4">
        <v>42380</v>
      </c>
      <c r="AV8471">
        <v>8</v>
      </c>
      <c r="AW8471" s="4">
        <v>42380</v>
      </c>
      <c r="BD8471">
        <v>0</v>
      </c>
      <c r="BN8471" t="s">
        <v>74</v>
      </c>
    </row>
    <row r="8472" spans="1:66" hidden="1">
      <c r="A8472">
        <v>106284</v>
      </c>
      <c r="B8472" s="3" t="s">
        <v>724</v>
      </c>
      <c r="C8472" s="1">
        <v>43500101</v>
      </c>
      <c r="D8472" t="s">
        <v>113</v>
      </c>
      <c r="H8472" t="str">
        <f t="shared" si="860"/>
        <v>SLASLV84R55A783S</v>
      </c>
      <c r="I8472" t="str">
        <f t="shared" si="861"/>
        <v>01561490622</v>
      </c>
      <c r="K8472" t="str">
        <f>""</f>
        <v/>
      </c>
      <c r="M8472" t="s">
        <v>68</v>
      </c>
      <c r="N8472" t="str">
        <f t="shared" si="857"/>
        <v>ALTPRO</v>
      </c>
      <c r="O8472" t="s">
        <v>132</v>
      </c>
      <c r="P8472" s="3" t="s">
        <v>75</v>
      </c>
      <c r="Q8472">
        <v>2016</v>
      </c>
      <c r="R8472" s="2">
        <v>42417</v>
      </c>
      <c r="S8472" s="2">
        <v>42418</v>
      </c>
      <c r="T8472" s="2">
        <v>42418</v>
      </c>
      <c r="U8472" s="2">
        <v>42478</v>
      </c>
      <c r="V8472" t="s">
        <v>71</v>
      </c>
      <c r="W8472" t="str">
        <f>"         FATTPA 1_16"</f>
        <v xml:space="preserve">         FATTPA 1_16</v>
      </c>
      <c r="X8472" s="1">
        <v>1666.66</v>
      </c>
      <c r="Y8472">
        <v>0</v>
      </c>
      <c r="Z8472"/>
      <c r="AB8472"/>
      <c r="AC8472" s="1">
        <v>1666.66</v>
      </c>
      <c r="AD8472">
        <v>-52</v>
      </c>
      <c r="AE8472" s="1">
        <v>-86666.32</v>
      </c>
      <c r="AF8472">
        <v>0</v>
      </c>
      <c r="AJ8472">
        <v>0</v>
      </c>
      <c r="AK8472">
        <v>0</v>
      </c>
      <c r="AL8472">
        <v>0</v>
      </c>
      <c r="AM8472" s="1">
        <v>1666.66</v>
      </c>
      <c r="AN8472" s="1">
        <v>1666.66</v>
      </c>
      <c r="AO8472" s="1">
        <v>1666.66</v>
      </c>
      <c r="AP8472" s="2">
        <v>42746</v>
      </c>
      <c r="AQ8472" t="s">
        <v>72</v>
      </c>
      <c r="AR8472" t="s">
        <v>72</v>
      </c>
      <c r="AS8472">
        <v>557</v>
      </c>
      <c r="AT8472" s="4">
        <v>42426</v>
      </c>
      <c r="AV8472">
        <v>557</v>
      </c>
      <c r="AW8472" s="4">
        <v>42426</v>
      </c>
      <c r="BD8472">
        <v>0</v>
      </c>
      <c r="BN8472" t="s">
        <v>74</v>
      </c>
    </row>
    <row r="8473" spans="1:66" hidden="1">
      <c r="A8473">
        <v>106284</v>
      </c>
      <c r="B8473" s="3" t="s">
        <v>724</v>
      </c>
      <c r="C8473" s="1">
        <v>43500101</v>
      </c>
      <c r="D8473" t="s">
        <v>113</v>
      </c>
      <c r="H8473" t="str">
        <f t="shared" si="860"/>
        <v>SLASLV84R55A783S</v>
      </c>
      <c r="I8473" t="str">
        <f t="shared" si="861"/>
        <v>01561490622</v>
      </c>
      <c r="K8473" t="str">
        <f>""</f>
        <v/>
      </c>
      <c r="M8473" t="s">
        <v>68</v>
      </c>
      <c r="N8473" t="str">
        <f t="shared" si="857"/>
        <v>ALTPRO</v>
      </c>
      <c r="O8473" t="s">
        <v>132</v>
      </c>
      <c r="P8473" s="3" t="s">
        <v>75</v>
      </c>
      <c r="Q8473">
        <v>2016</v>
      </c>
      <c r="R8473" s="2">
        <v>42422</v>
      </c>
      <c r="S8473" s="2">
        <v>42426</v>
      </c>
      <c r="T8473" s="2">
        <v>42424</v>
      </c>
      <c r="U8473" s="2">
        <v>42484</v>
      </c>
      <c r="V8473" t="s">
        <v>71</v>
      </c>
      <c r="W8473" t="str">
        <f>"         FATTPA 2_16"</f>
        <v xml:space="preserve">         FATTPA 2_16</v>
      </c>
      <c r="X8473" s="1">
        <v>1398.17</v>
      </c>
      <c r="Y8473">
        <v>0</v>
      </c>
      <c r="Z8473"/>
      <c r="AB8473"/>
      <c r="AC8473" s="1">
        <v>1398.17</v>
      </c>
      <c r="AD8473">
        <v>-33</v>
      </c>
      <c r="AE8473" s="1">
        <v>-46139.61</v>
      </c>
      <c r="AF8473">
        <v>0</v>
      </c>
      <c r="AJ8473">
        <v>0</v>
      </c>
      <c r="AK8473">
        <v>0</v>
      </c>
      <c r="AL8473">
        <v>0</v>
      </c>
      <c r="AM8473" s="1">
        <v>1398.17</v>
      </c>
      <c r="AN8473" s="1">
        <v>1398.17</v>
      </c>
      <c r="AO8473" s="1">
        <v>1398.17</v>
      </c>
      <c r="AP8473" s="2">
        <v>42746</v>
      </c>
      <c r="AQ8473" t="s">
        <v>72</v>
      </c>
      <c r="AR8473" t="s">
        <v>72</v>
      </c>
      <c r="AS8473">
        <v>730</v>
      </c>
      <c r="AT8473" s="4">
        <v>42451</v>
      </c>
      <c r="AV8473">
        <v>730</v>
      </c>
      <c r="AW8473" s="4">
        <v>42451</v>
      </c>
      <c r="BD8473">
        <v>0</v>
      </c>
      <c r="BN8473" t="s">
        <v>74</v>
      </c>
    </row>
    <row r="8474" spans="1:66" hidden="1">
      <c r="A8474">
        <v>106284</v>
      </c>
      <c r="B8474" s="3" t="s">
        <v>724</v>
      </c>
      <c r="C8474" s="1">
        <v>43500101</v>
      </c>
      <c r="D8474" t="s">
        <v>113</v>
      </c>
      <c r="H8474" t="str">
        <f t="shared" si="860"/>
        <v>SLASLV84R55A783S</v>
      </c>
      <c r="I8474" t="str">
        <f t="shared" si="861"/>
        <v>01561490622</v>
      </c>
      <c r="K8474" t="str">
        <f>""</f>
        <v/>
      </c>
      <c r="M8474" t="s">
        <v>68</v>
      </c>
      <c r="N8474" t="str">
        <f t="shared" si="857"/>
        <v>ALTPRO</v>
      </c>
      <c r="O8474" t="s">
        <v>132</v>
      </c>
      <c r="P8474" s="3" t="s">
        <v>75</v>
      </c>
      <c r="Q8474">
        <v>2016</v>
      </c>
      <c r="R8474" s="2">
        <v>42552</v>
      </c>
      <c r="S8474" s="2">
        <v>42555</v>
      </c>
      <c r="T8474" s="2">
        <v>42552</v>
      </c>
      <c r="U8474" s="2">
        <v>42612</v>
      </c>
      <c r="V8474" t="s">
        <v>71</v>
      </c>
      <c r="W8474" t="str">
        <f>"         FATTPA 3_16"</f>
        <v xml:space="preserve">         FATTPA 3_16</v>
      </c>
      <c r="X8474" s="1">
        <v>2166.66</v>
      </c>
      <c r="Y8474">
        <v>0</v>
      </c>
      <c r="Z8474"/>
      <c r="AB8474"/>
      <c r="AC8474" s="1">
        <v>2166.66</v>
      </c>
      <c r="AD8474">
        <v>-36</v>
      </c>
      <c r="AE8474" s="1">
        <v>-77999.759999999995</v>
      </c>
      <c r="AF8474">
        <v>0</v>
      </c>
      <c r="AJ8474">
        <v>0</v>
      </c>
      <c r="AK8474">
        <v>0</v>
      </c>
      <c r="AL8474">
        <v>0</v>
      </c>
      <c r="AM8474" s="1">
        <v>2166.66</v>
      </c>
      <c r="AN8474" s="1">
        <v>2166.66</v>
      </c>
      <c r="AO8474" s="1">
        <v>2166.66</v>
      </c>
      <c r="AP8474" s="2">
        <v>42746</v>
      </c>
      <c r="AQ8474" t="s">
        <v>72</v>
      </c>
      <c r="AR8474" t="s">
        <v>72</v>
      </c>
      <c r="AS8474">
        <v>1897</v>
      </c>
      <c r="AT8474" s="4">
        <v>42576</v>
      </c>
      <c r="AV8474">
        <v>1897</v>
      </c>
      <c r="AW8474" s="4">
        <v>42576</v>
      </c>
      <c r="BD8474">
        <v>0</v>
      </c>
      <c r="BN8474" t="s">
        <v>74</v>
      </c>
    </row>
    <row r="8475" spans="1:66">
      <c r="A8475">
        <v>106284</v>
      </c>
      <c r="B8475" s="3" t="s">
        <v>724</v>
      </c>
      <c r="C8475" s="1">
        <v>43500101</v>
      </c>
      <c r="D8475" t="s">
        <v>113</v>
      </c>
      <c r="H8475" t="str">
        <f t="shared" si="860"/>
        <v>SLASLV84R55A783S</v>
      </c>
      <c r="I8475" t="str">
        <f t="shared" si="861"/>
        <v>01561490622</v>
      </c>
      <c r="K8475" t="str">
        <f>""</f>
        <v/>
      </c>
      <c r="M8475" t="s">
        <v>68</v>
      </c>
      <c r="N8475" t="str">
        <f t="shared" si="857"/>
        <v>ALTPRO</v>
      </c>
      <c r="O8475" t="s">
        <v>132</v>
      </c>
      <c r="P8475" s="3" t="s">
        <v>75</v>
      </c>
      <c r="Q8475">
        <v>2016</v>
      </c>
      <c r="R8475" s="2">
        <v>42614</v>
      </c>
      <c r="S8475" s="2">
        <v>42629</v>
      </c>
      <c r="T8475" s="2">
        <v>42629</v>
      </c>
      <c r="U8475" s="2">
        <v>42689</v>
      </c>
      <c r="V8475" t="s">
        <v>71</v>
      </c>
      <c r="W8475" t="str">
        <f>"         FATTPA 4_16"</f>
        <v xml:space="preserve">         FATTPA 4_16</v>
      </c>
      <c r="X8475" s="1">
        <v>2166.66</v>
      </c>
      <c r="Y8475">
        <v>0</v>
      </c>
      <c r="Z8475" s="5">
        <v>2166.66</v>
      </c>
      <c r="AA8475">
        <v>-43</v>
      </c>
      <c r="AB8475" s="5">
        <v>-93166.38</v>
      </c>
      <c r="AC8475" s="1">
        <v>2166.66</v>
      </c>
      <c r="AD8475">
        <v>-43</v>
      </c>
      <c r="AE8475" s="1">
        <v>-93166.38</v>
      </c>
      <c r="AF8475">
        <v>0</v>
      </c>
      <c r="AJ8475">
        <v>0</v>
      </c>
      <c r="AK8475">
        <v>0</v>
      </c>
      <c r="AL8475">
        <v>0</v>
      </c>
      <c r="AM8475" s="1">
        <v>2166.66</v>
      </c>
      <c r="AN8475" s="1">
        <v>2166.66</v>
      </c>
      <c r="AO8475" s="1">
        <v>2166.66</v>
      </c>
      <c r="AP8475" s="2">
        <v>42746</v>
      </c>
      <c r="AQ8475" t="s">
        <v>72</v>
      </c>
      <c r="AR8475" t="s">
        <v>72</v>
      </c>
      <c r="AS8475">
        <v>2533</v>
      </c>
      <c r="AT8475" s="4">
        <v>42646</v>
      </c>
      <c r="AV8475">
        <v>2533</v>
      </c>
      <c r="AW8475" s="4">
        <v>42646</v>
      </c>
      <c r="BD8475">
        <v>0</v>
      </c>
      <c r="BN8475" t="s">
        <v>74</v>
      </c>
    </row>
    <row r="8476" spans="1:66">
      <c r="A8476">
        <v>106284</v>
      </c>
      <c r="B8476" s="3" t="s">
        <v>724</v>
      </c>
      <c r="C8476" s="1">
        <v>43500101</v>
      </c>
      <c r="D8476" t="s">
        <v>113</v>
      </c>
      <c r="H8476" t="str">
        <f t="shared" si="860"/>
        <v>SLASLV84R55A783S</v>
      </c>
      <c r="I8476" t="str">
        <f t="shared" si="861"/>
        <v>01561490622</v>
      </c>
      <c r="K8476" t="str">
        <f>""</f>
        <v/>
      </c>
      <c r="M8476" t="s">
        <v>68</v>
      </c>
      <c r="N8476" t="str">
        <f t="shared" si="857"/>
        <v>ALTPRO</v>
      </c>
      <c r="O8476" t="s">
        <v>132</v>
      </c>
      <c r="P8476" s="3" t="s">
        <v>75</v>
      </c>
      <c r="Q8476">
        <v>2016</v>
      </c>
      <c r="R8476" s="2">
        <v>42676</v>
      </c>
      <c r="S8476" s="2">
        <v>42678</v>
      </c>
      <c r="T8476" s="2">
        <v>42678</v>
      </c>
      <c r="U8476" s="2">
        <v>42738</v>
      </c>
      <c r="V8476" t="s">
        <v>71</v>
      </c>
      <c r="W8476" t="str">
        <f>"         FATTPA 7_16"</f>
        <v xml:space="preserve">         FATTPA 7_16</v>
      </c>
      <c r="X8476" s="1">
        <v>2166.66</v>
      </c>
      <c r="Y8476">
        <v>0</v>
      </c>
      <c r="Z8476" s="5">
        <v>2166.66</v>
      </c>
      <c r="AA8476">
        <v>-55</v>
      </c>
      <c r="AB8476" s="5">
        <v>-119166.3</v>
      </c>
      <c r="AC8476" s="1">
        <v>2166.66</v>
      </c>
      <c r="AD8476">
        <v>-55</v>
      </c>
      <c r="AE8476" s="1">
        <v>-119166.3</v>
      </c>
      <c r="AF8476">
        <v>0</v>
      </c>
      <c r="AJ8476" s="1">
        <v>2166.66</v>
      </c>
      <c r="AK8476" s="1">
        <v>2166.66</v>
      </c>
      <c r="AL8476" s="1">
        <v>2166.66</v>
      </c>
      <c r="AM8476" s="1">
        <v>2166.66</v>
      </c>
      <c r="AN8476" s="1">
        <v>2166.66</v>
      </c>
      <c r="AO8476" s="1">
        <v>2166.66</v>
      </c>
      <c r="AP8476" s="2">
        <v>42746</v>
      </c>
      <c r="AQ8476" t="s">
        <v>72</v>
      </c>
      <c r="AR8476" t="s">
        <v>72</v>
      </c>
      <c r="AS8476">
        <v>3035</v>
      </c>
      <c r="AT8476" s="4">
        <v>42683</v>
      </c>
      <c r="AV8476">
        <v>3035</v>
      </c>
      <c r="AW8476" s="4">
        <v>42683</v>
      </c>
      <c r="BD8476">
        <v>0</v>
      </c>
      <c r="BN8476" t="s">
        <v>74</v>
      </c>
    </row>
    <row r="8477" spans="1:66" hidden="1">
      <c r="A8477">
        <v>106285</v>
      </c>
      <c r="B8477" s="3" t="s">
        <v>725</v>
      </c>
      <c r="C8477" s="1">
        <v>43500101</v>
      </c>
      <c r="D8477" t="s">
        <v>113</v>
      </c>
      <c r="H8477" t="str">
        <f t="shared" ref="H8477:H8482" si="862">"PNCYLN80M56A783V"</f>
        <v>PNCYLN80M56A783V</v>
      </c>
      <c r="I8477" t="str">
        <f t="shared" ref="I8477:I8482" si="863">"01561270628"</f>
        <v>01561270628</v>
      </c>
      <c r="K8477" t="str">
        <f>""</f>
        <v/>
      </c>
      <c r="M8477" t="s">
        <v>68</v>
      </c>
      <c r="N8477" t="str">
        <f t="shared" si="857"/>
        <v>ALTPRO</v>
      </c>
      <c r="O8477" t="s">
        <v>132</v>
      </c>
      <c r="P8477" s="3" t="s">
        <v>75</v>
      </c>
      <c r="Q8477">
        <v>2015</v>
      </c>
      <c r="R8477" s="2">
        <v>42360</v>
      </c>
      <c r="S8477" s="2">
        <v>42360</v>
      </c>
      <c r="T8477" s="2">
        <v>42360</v>
      </c>
      <c r="U8477" s="2">
        <v>42420</v>
      </c>
      <c r="V8477" t="s">
        <v>71</v>
      </c>
      <c r="W8477" t="str">
        <f>"                 4/E"</f>
        <v xml:space="preserve">                 4/E</v>
      </c>
      <c r="X8477" s="1">
        <v>2502</v>
      </c>
      <c r="Y8477">
        <v>0</v>
      </c>
      <c r="Z8477"/>
      <c r="AB8477"/>
      <c r="AC8477" s="1">
        <v>2502</v>
      </c>
      <c r="AD8477">
        <v>-40</v>
      </c>
      <c r="AE8477" s="1">
        <v>-100080</v>
      </c>
      <c r="AF8477">
        <v>0</v>
      </c>
      <c r="AJ8477">
        <v>0</v>
      </c>
      <c r="AK8477">
        <v>0</v>
      </c>
      <c r="AL8477">
        <v>0</v>
      </c>
      <c r="AM8477">
        <v>0</v>
      </c>
      <c r="AN8477">
        <v>0</v>
      </c>
      <c r="AO8477">
        <v>0</v>
      </c>
      <c r="AP8477" s="2">
        <v>42746</v>
      </c>
      <c r="AQ8477" t="s">
        <v>72</v>
      </c>
      <c r="AR8477" t="s">
        <v>72</v>
      </c>
      <c r="AS8477">
        <v>9</v>
      </c>
      <c r="AT8477" s="4">
        <v>42380</v>
      </c>
      <c r="AV8477">
        <v>9</v>
      </c>
      <c r="AW8477" s="4">
        <v>42380</v>
      </c>
      <c r="BD8477">
        <v>0</v>
      </c>
      <c r="BN8477" t="s">
        <v>74</v>
      </c>
    </row>
    <row r="8478" spans="1:66" hidden="1">
      <c r="A8478">
        <v>106285</v>
      </c>
      <c r="B8478" s="3" t="s">
        <v>725</v>
      </c>
      <c r="C8478" s="1">
        <v>43500101</v>
      </c>
      <c r="D8478" t="s">
        <v>113</v>
      </c>
      <c r="H8478" t="str">
        <f t="shared" si="862"/>
        <v>PNCYLN80M56A783V</v>
      </c>
      <c r="I8478" t="str">
        <f t="shared" si="863"/>
        <v>01561270628</v>
      </c>
      <c r="K8478" t="str">
        <f>""</f>
        <v/>
      </c>
      <c r="M8478" t="s">
        <v>68</v>
      </c>
      <c r="N8478" t="str">
        <f t="shared" si="857"/>
        <v>ALTPRO</v>
      </c>
      <c r="O8478" t="s">
        <v>132</v>
      </c>
      <c r="P8478" s="3" t="s">
        <v>75</v>
      </c>
      <c r="Q8478">
        <v>2016</v>
      </c>
      <c r="R8478" s="2">
        <v>42417</v>
      </c>
      <c r="S8478" s="2">
        <v>42419</v>
      </c>
      <c r="T8478" s="2">
        <v>42417</v>
      </c>
      <c r="U8478" s="2">
        <v>42477</v>
      </c>
      <c r="V8478" t="s">
        <v>71</v>
      </c>
      <c r="W8478" t="str">
        <f>"                 5/E"</f>
        <v xml:space="preserve">                 5/E</v>
      </c>
      <c r="X8478" s="1">
        <v>1666.66</v>
      </c>
      <c r="Y8478">
        <v>0</v>
      </c>
      <c r="Z8478"/>
      <c r="AB8478"/>
      <c r="AC8478" s="1">
        <v>1666.66</v>
      </c>
      <c r="AD8478">
        <v>-51</v>
      </c>
      <c r="AE8478" s="1">
        <v>-84999.66</v>
      </c>
      <c r="AF8478">
        <v>0</v>
      </c>
      <c r="AJ8478">
        <v>0</v>
      </c>
      <c r="AK8478">
        <v>0</v>
      </c>
      <c r="AL8478">
        <v>0</v>
      </c>
      <c r="AM8478" s="1">
        <v>1666.66</v>
      </c>
      <c r="AN8478" s="1">
        <v>1666.66</v>
      </c>
      <c r="AO8478" s="1">
        <v>1666.66</v>
      </c>
      <c r="AP8478" s="2">
        <v>42746</v>
      </c>
      <c r="AQ8478" t="s">
        <v>72</v>
      </c>
      <c r="AR8478" t="s">
        <v>72</v>
      </c>
      <c r="AS8478">
        <v>558</v>
      </c>
      <c r="AT8478" s="4">
        <v>42426</v>
      </c>
      <c r="AV8478">
        <v>558</v>
      </c>
      <c r="AW8478" s="4">
        <v>42426</v>
      </c>
      <c r="BD8478">
        <v>0</v>
      </c>
      <c r="BN8478" t="s">
        <v>74</v>
      </c>
    </row>
    <row r="8479" spans="1:66" hidden="1">
      <c r="A8479">
        <v>106285</v>
      </c>
      <c r="B8479" s="3" t="s">
        <v>725</v>
      </c>
      <c r="C8479" s="1">
        <v>43500101</v>
      </c>
      <c r="D8479" t="s">
        <v>113</v>
      </c>
      <c r="H8479" t="str">
        <f t="shared" si="862"/>
        <v>PNCYLN80M56A783V</v>
      </c>
      <c r="I8479" t="str">
        <f t="shared" si="863"/>
        <v>01561270628</v>
      </c>
      <c r="K8479" t="str">
        <f>""</f>
        <v/>
      </c>
      <c r="M8479" t="s">
        <v>68</v>
      </c>
      <c r="N8479" t="str">
        <f t="shared" si="857"/>
        <v>ALTPRO</v>
      </c>
      <c r="O8479" t="s">
        <v>132</v>
      </c>
      <c r="P8479" s="3" t="s">
        <v>75</v>
      </c>
      <c r="Q8479">
        <v>2016</v>
      </c>
      <c r="R8479" s="2">
        <v>42425</v>
      </c>
      <c r="S8479" s="2">
        <v>42426</v>
      </c>
      <c r="T8479" s="2">
        <v>42425</v>
      </c>
      <c r="U8479" s="2">
        <v>42485</v>
      </c>
      <c r="V8479" t="s">
        <v>71</v>
      </c>
      <c r="W8479" t="str">
        <f>"                 6/E"</f>
        <v xml:space="preserve">                 6/E</v>
      </c>
      <c r="X8479" s="1">
        <v>1398.17</v>
      </c>
      <c r="Y8479">
        <v>0</v>
      </c>
      <c r="Z8479"/>
      <c r="AB8479"/>
      <c r="AC8479" s="1">
        <v>1398.17</v>
      </c>
      <c r="AD8479">
        <v>-34</v>
      </c>
      <c r="AE8479" s="1">
        <v>-47537.78</v>
      </c>
      <c r="AF8479">
        <v>0</v>
      </c>
      <c r="AJ8479">
        <v>0</v>
      </c>
      <c r="AK8479">
        <v>0</v>
      </c>
      <c r="AL8479">
        <v>0</v>
      </c>
      <c r="AM8479" s="1">
        <v>1398.17</v>
      </c>
      <c r="AN8479" s="1">
        <v>1398.17</v>
      </c>
      <c r="AO8479" s="1">
        <v>1398.17</v>
      </c>
      <c r="AP8479" s="2">
        <v>42746</v>
      </c>
      <c r="AQ8479" t="s">
        <v>72</v>
      </c>
      <c r="AR8479" t="s">
        <v>72</v>
      </c>
      <c r="AS8479">
        <v>729</v>
      </c>
      <c r="AT8479" s="4">
        <v>42451</v>
      </c>
      <c r="AV8479">
        <v>729</v>
      </c>
      <c r="AW8479" s="4">
        <v>42451</v>
      </c>
      <c r="BD8479">
        <v>0</v>
      </c>
      <c r="BN8479" t="s">
        <v>74</v>
      </c>
    </row>
    <row r="8480" spans="1:66" hidden="1">
      <c r="A8480">
        <v>106285</v>
      </c>
      <c r="B8480" s="3" t="s">
        <v>725</v>
      </c>
      <c r="C8480" s="1">
        <v>43500101</v>
      </c>
      <c r="D8480" t="s">
        <v>113</v>
      </c>
      <c r="H8480" t="str">
        <f t="shared" si="862"/>
        <v>PNCYLN80M56A783V</v>
      </c>
      <c r="I8480" t="str">
        <f t="shared" si="863"/>
        <v>01561270628</v>
      </c>
      <c r="K8480" t="str">
        <f>""</f>
        <v/>
      </c>
      <c r="M8480" t="s">
        <v>68</v>
      </c>
      <c r="N8480" t="str">
        <f t="shared" si="857"/>
        <v>ALTPRO</v>
      </c>
      <c r="O8480" t="s">
        <v>132</v>
      </c>
      <c r="P8480" s="3" t="s">
        <v>75</v>
      </c>
      <c r="Q8480">
        <v>2016</v>
      </c>
      <c r="R8480" s="2">
        <v>42552</v>
      </c>
      <c r="S8480" s="2">
        <v>42555</v>
      </c>
      <c r="T8480" s="2">
        <v>42555</v>
      </c>
      <c r="U8480" s="2">
        <v>42615</v>
      </c>
      <c r="V8480" t="s">
        <v>71</v>
      </c>
      <c r="W8480" t="str">
        <f>"                 7/E"</f>
        <v xml:space="preserve">                 7/E</v>
      </c>
      <c r="X8480" s="1">
        <v>2166.66</v>
      </c>
      <c r="Y8480">
        <v>0</v>
      </c>
      <c r="Z8480"/>
      <c r="AB8480"/>
      <c r="AC8480" s="1">
        <v>2166.66</v>
      </c>
      <c r="AD8480">
        <v>-39</v>
      </c>
      <c r="AE8480" s="1">
        <v>-84499.74</v>
      </c>
      <c r="AF8480">
        <v>0</v>
      </c>
      <c r="AJ8480">
        <v>0</v>
      </c>
      <c r="AK8480">
        <v>0</v>
      </c>
      <c r="AL8480">
        <v>0</v>
      </c>
      <c r="AM8480" s="1">
        <v>2166.66</v>
      </c>
      <c r="AN8480" s="1">
        <v>2166.66</v>
      </c>
      <c r="AO8480" s="1">
        <v>2166.66</v>
      </c>
      <c r="AP8480" s="2">
        <v>42746</v>
      </c>
      <c r="AQ8480" t="s">
        <v>72</v>
      </c>
      <c r="AR8480" t="s">
        <v>72</v>
      </c>
      <c r="AS8480">
        <v>1896</v>
      </c>
      <c r="AT8480" s="4">
        <v>42576</v>
      </c>
      <c r="AV8480">
        <v>1896</v>
      </c>
      <c r="AW8480" s="4">
        <v>42576</v>
      </c>
      <c r="BD8480">
        <v>0</v>
      </c>
      <c r="BN8480" t="s">
        <v>74</v>
      </c>
    </row>
    <row r="8481" spans="1:66">
      <c r="A8481">
        <v>106285</v>
      </c>
      <c r="B8481" s="3" t="s">
        <v>725</v>
      </c>
      <c r="C8481" s="1">
        <v>43500101</v>
      </c>
      <c r="D8481" t="s">
        <v>113</v>
      </c>
      <c r="H8481" t="str">
        <f t="shared" si="862"/>
        <v>PNCYLN80M56A783V</v>
      </c>
      <c r="I8481" t="str">
        <f t="shared" si="863"/>
        <v>01561270628</v>
      </c>
      <c r="K8481" t="str">
        <f>""</f>
        <v/>
      </c>
      <c r="M8481" t="s">
        <v>68</v>
      </c>
      <c r="N8481" t="str">
        <f t="shared" si="857"/>
        <v>ALTPRO</v>
      </c>
      <c r="O8481" t="s">
        <v>132</v>
      </c>
      <c r="P8481" s="3" t="s">
        <v>75</v>
      </c>
      <c r="Q8481">
        <v>2016</v>
      </c>
      <c r="R8481" s="2">
        <v>42614</v>
      </c>
      <c r="S8481" s="2">
        <v>42618</v>
      </c>
      <c r="T8481" s="2">
        <v>42618</v>
      </c>
      <c r="U8481" s="2">
        <v>42678</v>
      </c>
      <c r="V8481" t="s">
        <v>71</v>
      </c>
      <c r="W8481" t="str">
        <f>"                 8/E"</f>
        <v xml:space="preserve">                 8/E</v>
      </c>
      <c r="X8481" s="1">
        <v>2166.66</v>
      </c>
      <c r="Y8481">
        <v>0</v>
      </c>
      <c r="Z8481" s="5">
        <v>2166.66</v>
      </c>
      <c r="AA8481">
        <v>-32</v>
      </c>
      <c r="AB8481" s="5">
        <v>-69333.119999999995</v>
      </c>
      <c r="AC8481" s="1">
        <v>2166.66</v>
      </c>
      <c r="AD8481">
        <v>-32</v>
      </c>
      <c r="AE8481" s="1">
        <v>-69333.119999999995</v>
      </c>
      <c r="AF8481">
        <v>0</v>
      </c>
      <c r="AJ8481">
        <v>0</v>
      </c>
      <c r="AK8481">
        <v>0</v>
      </c>
      <c r="AL8481">
        <v>0</v>
      </c>
      <c r="AM8481" s="1">
        <v>2166.66</v>
      </c>
      <c r="AN8481" s="1">
        <v>2166.66</v>
      </c>
      <c r="AO8481" s="1">
        <v>2166.66</v>
      </c>
      <c r="AP8481" s="2">
        <v>42746</v>
      </c>
      <c r="AQ8481" t="s">
        <v>72</v>
      </c>
      <c r="AR8481" t="s">
        <v>72</v>
      </c>
      <c r="AS8481">
        <v>2542</v>
      </c>
      <c r="AT8481" s="4">
        <v>42646</v>
      </c>
      <c r="AV8481">
        <v>2542</v>
      </c>
      <c r="AW8481" s="4">
        <v>42646</v>
      </c>
      <c r="BD8481">
        <v>0</v>
      </c>
      <c r="BN8481" t="s">
        <v>74</v>
      </c>
    </row>
    <row r="8482" spans="1:66">
      <c r="A8482">
        <v>106285</v>
      </c>
      <c r="B8482" s="3" t="s">
        <v>725</v>
      </c>
      <c r="C8482" s="1">
        <v>43500101</v>
      </c>
      <c r="D8482" t="s">
        <v>113</v>
      </c>
      <c r="H8482" t="str">
        <f t="shared" si="862"/>
        <v>PNCYLN80M56A783V</v>
      </c>
      <c r="I8482" t="str">
        <f t="shared" si="863"/>
        <v>01561270628</v>
      </c>
      <c r="K8482" t="str">
        <f>""</f>
        <v/>
      </c>
      <c r="M8482" t="s">
        <v>68</v>
      </c>
      <c r="N8482" t="str">
        <f t="shared" si="857"/>
        <v>ALTPRO</v>
      </c>
      <c r="O8482" t="s">
        <v>132</v>
      </c>
      <c r="P8482" s="3" t="s">
        <v>75</v>
      </c>
      <c r="Q8482">
        <v>2016</v>
      </c>
      <c r="R8482" s="2">
        <v>42676</v>
      </c>
      <c r="S8482" s="2">
        <v>42676</v>
      </c>
      <c r="T8482" s="2">
        <v>42676</v>
      </c>
      <c r="U8482" s="2">
        <v>42736</v>
      </c>
      <c r="V8482" t="s">
        <v>71</v>
      </c>
      <c r="W8482" t="str">
        <f>"                 9/E"</f>
        <v xml:space="preserve">                 9/E</v>
      </c>
      <c r="X8482" s="1">
        <v>2166.66</v>
      </c>
      <c r="Y8482">
        <v>0</v>
      </c>
      <c r="Z8482" s="5">
        <v>2166.66</v>
      </c>
      <c r="AA8482">
        <v>-53</v>
      </c>
      <c r="AB8482" s="5">
        <v>-114832.98</v>
      </c>
      <c r="AC8482" s="1">
        <v>2166.66</v>
      </c>
      <c r="AD8482">
        <v>-53</v>
      </c>
      <c r="AE8482" s="1">
        <v>-114832.98</v>
      </c>
      <c r="AF8482">
        <v>0</v>
      </c>
      <c r="AJ8482">
        <v>0</v>
      </c>
      <c r="AK8482" s="1">
        <v>2166.66</v>
      </c>
      <c r="AL8482" s="1">
        <v>2166.66</v>
      </c>
      <c r="AM8482" s="1">
        <v>2166.66</v>
      </c>
      <c r="AN8482" s="1">
        <v>2166.66</v>
      </c>
      <c r="AO8482" s="1">
        <v>2166.66</v>
      </c>
      <c r="AP8482" s="2">
        <v>42746</v>
      </c>
      <c r="AQ8482" t="s">
        <v>72</v>
      </c>
      <c r="AR8482" t="s">
        <v>72</v>
      </c>
      <c r="AS8482">
        <v>3011</v>
      </c>
      <c r="AT8482" s="4">
        <v>42683</v>
      </c>
      <c r="AV8482">
        <v>3011</v>
      </c>
      <c r="AW8482" s="4">
        <v>42683</v>
      </c>
      <c r="BD8482">
        <v>0</v>
      </c>
      <c r="BN8482" t="s">
        <v>74</v>
      </c>
    </row>
    <row r="8483" spans="1:66" hidden="1">
      <c r="A8483">
        <v>106286</v>
      </c>
      <c r="B8483" s="3" t="s">
        <v>726</v>
      </c>
      <c r="C8483" s="1">
        <v>43300101</v>
      </c>
      <c r="D8483" t="s">
        <v>67</v>
      </c>
      <c r="H8483" t="str">
        <f t="shared" ref="H8483:I8490" si="864">"06566081219"</f>
        <v>06566081219</v>
      </c>
      <c r="I8483" t="str">
        <f t="shared" si="864"/>
        <v>06566081219</v>
      </c>
      <c r="K8483" t="str">
        <f>""</f>
        <v/>
      </c>
      <c r="M8483" t="s">
        <v>68</v>
      </c>
      <c r="N8483" t="str">
        <f t="shared" ref="N8483:N8499" si="865">"FOR"</f>
        <v>FOR</v>
      </c>
      <c r="O8483" t="s">
        <v>69</v>
      </c>
      <c r="P8483" s="3" t="s">
        <v>75</v>
      </c>
      <c r="Q8483">
        <v>2015</v>
      </c>
      <c r="R8483" s="2">
        <v>42292</v>
      </c>
      <c r="S8483" s="2">
        <v>42296</v>
      </c>
      <c r="T8483" s="2">
        <v>42293</v>
      </c>
      <c r="U8483" s="2">
        <v>42353</v>
      </c>
      <c r="V8483" t="s">
        <v>71</v>
      </c>
      <c r="W8483" t="str">
        <f>"         FATTPA 6_15"</f>
        <v xml:space="preserve">         FATTPA 6_15</v>
      </c>
      <c r="X8483" s="1">
        <v>2340</v>
      </c>
      <c r="Y8483">
        <v>0</v>
      </c>
      <c r="Z8483"/>
      <c r="AB8483"/>
      <c r="AC8483" s="1">
        <v>2250</v>
      </c>
      <c r="AD8483">
        <v>63</v>
      </c>
      <c r="AE8483" s="1">
        <v>141750</v>
      </c>
      <c r="AF8483">
        <v>0</v>
      </c>
      <c r="AJ8483">
        <v>0</v>
      </c>
      <c r="AK8483">
        <v>0</v>
      </c>
      <c r="AL8483">
        <v>0</v>
      </c>
      <c r="AM8483">
        <v>0</v>
      </c>
      <c r="AN8483">
        <v>0</v>
      </c>
      <c r="AO8483">
        <v>0</v>
      </c>
      <c r="AP8483" s="2">
        <v>42746</v>
      </c>
      <c r="AQ8483" t="s">
        <v>72</v>
      </c>
      <c r="AR8483" t="s">
        <v>72</v>
      </c>
      <c r="AS8483">
        <v>402</v>
      </c>
      <c r="AT8483" s="4">
        <v>42416</v>
      </c>
      <c r="AU8483" t="s">
        <v>73</v>
      </c>
      <c r="AV8483">
        <v>402</v>
      </c>
      <c r="AW8483" s="4">
        <v>42416</v>
      </c>
      <c r="BD8483">
        <v>0</v>
      </c>
      <c r="BN8483" t="s">
        <v>74</v>
      </c>
    </row>
    <row r="8484" spans="1:66" hidden="1">
      <c r="A8484">
        <v>106286</v>
      </c>
      <c r="B8484" s="3" t="s">
        <v>726</v>
      </c>
      <c r="C8484" s="1">
        <v>43300101</v>
      </c>
      <c r="D8484" t="s">
        <v>67</v>
      </c>
      <c r="H8484" t="str">
        <f t="shared" si="864"/>
        <v>06566081219</v>
      </c>
      <c r="I8484" t="str">
        <f t="shared" si="864"/>
        <v>06566081219</v>
      </c>
      <c r="K8484" t="str">
        <f>""</f>
        <v/>
      </c>
      <c r="M8484" t="s">
        <v>68</v>
      </c>
      <c r="N8484" t="str">
        <f t="shared" si="865"/>
        <v>FOR</v>
      </c>
      <c r="O8484" t="s">
        <v>69</v>
      </c>
      <c r="P8484" s="3" t="s">
        <v>75</v>
      </c>
      <c r="Q8484">
        <v>2015</v>
      </c>
      <c r="R8484" s="2">
        <v>42292</v>
      </c>
      <c r="S8484" s="2">
        <v>42296</v>
      </c>
      <c r="T8484" s="2">
        <v>42293</v>
      </c>
      <c r="U8484" s="2">
        <v>42353</v>
      </c>
      <c r="V8484" t="s">
        <v>71</v>
      </c>
      <c r="W8484" t="str">
        <f>"         FATTPA 7_15"</f>
        <v xml:space="preserve">         FATTPA 7_15</v>
      </c>
      <c r="X8484" s="1">
        <v>2562</v>
      </c>
      <c r="Y8484">
        <v>0</v>
      </c>
      <c r="Z8484"/>
      <c r="AB8484"/>
      <c r="AC8484" s="1">
        <v>2100</v>
      </c>
      <c r="AD8484">
        <v>63</v>
      </c>
      <c r="AE8484" s="1">
        <v>132300</v>
      </c>
      <c r="AF8484">
        <v>0</v>
      </c>
      <c r="AJ8484">
        <v>0</v>
      </c>
      <c r="AK8484">
        <v>0</v>
      </c>
      <c r="AL8484">
        <v>0</v>
      </c>
      <c r="AM8484">
        <v>0</v>
      </c>
      <c r="AN8484">
        <v>0</v>
      </c>
      <c r="AO8484">
        <v>0</v>
      </c>
      <c r="AP8484" s="2">
        <v>42746</v>
      </c>
      <c r="AQ8484" t="s">
        <v>72</v>
      </c>
      <c r="AR8484" t="s">
        <v>72</v>
      </c>
      <c r="AS8484">
        <v>402</v>
      </c>
      <c r="AT8484" s="4">
        <v>42416</v>
      </c>
      <c r="AU8484" t="s">
        <v>73</v>
      </c>
      <c r="AV8484">
        <v>402</v>
      </c>
      <c r="AW8484" s="4">
        <v>42416</v>
      </c>
      <c r="BD8484">
        <v>0</v>
      </c>
      <c r="BN8484" t="s">
        <v>74</v>
      </c>
    </row>
    <row r="8485" spans="1:66" hidden="1">
      <c r="A8485">
        <v>106286</v>
      </c>
      <c r="B8485" s="3" t="s">
        <v>726</v>
      </c>
      <c r="C8485" s="1">
        <v>43300101</v>
      </c>
      <c r="D8485" t="s">
        <v>67</v>
      </c>
      <c r="H8485" t="str">
        <f t="shared" si="864"/>
        <v>06566081219</v>
      </c>
      <c r="I8485" t="str">
        <f t="shared" si="864"/>
        <v>06566081219</v>
      </c>
      <c r="K8485" t="str">
        <f>""</f>
        <v/>
      </c>
      <c r="M8485" t="s">
        <v>68</v>
      </c>
      <c r="N8485" t="str">
        <f t="shared" si="865"/>
        <v>FOR</v>
      </c>
      <c r="O8485" t="s">
        <v>69</v>
      </c>
      <c r="P8485" s="3" t="s">
        <v>75</v>
      </c>
      <c r="Q8485">
        <v>2015</v>
      </c>
      <c r="R8485" s="2">
        <v>42334</v>
      </c>
      <c r="S8485" s="2">
        <v>42338</v>
      </c>
      <c r="T8485" s="2">
        <v>42335</v>
      </c>
      <c r="U8485" s="2">
        <v>42395</v>
      </c>
      <c r="V8485" t="s">
        <v>71</v>
      </c>
      <c r="W8485" t="str">
        <f>"        FATTPA 13_15"</f>
        <v xml:space="preserve">        FATTPA 13_15</v>
      </c>
      <c r="X8485" s="1">
        <v>5124</v>
      </c>
      <c r="Y8485">
        <v>0</v>
      </c>
      <c r="Z8485"/>
      <c r="AB8485"/>
      <c r="AC8485" s="1">
        <v>4200</v>
      </c>
      <c r="AD8485">
        <v>21</v>
      </c>
      <c r="AE8485" s="1">
        <v>88200</v>
      </c>
      <c r="AF8485">
        <v>0</v>
      </c>
      <c r="AJ8485">
        <v>0</v>
      </c>
      <c r="AK8485">
        <v>0</v>
      </c>
      <c r="AL8485">
        <v>0</v>
      </c>
      <c r="AM8485">
        <v>0</v>
      </c>
      <c r="AN8485">
        <v>0</v>
      </c>
      <c r="AO8485">
        <v>0</v>
      </c>
      <c r="AP8485" s="2">
        <v>42746</v>
      </c>
      <c r="AQ8485" t="s">
        <v>72</v>
      </c>
      <c r="AR8485" t="s">
        <v>72</v>
      </c>
      <c r="AS8485">
        <v>402</v>
      </c>
      <c r="AT8485" s="4">
        <v>42416</v>
      </c>
      <c r="AU8485" t="s">
        <v>73</v>
      </c>
      <c r="AV8485">
        <v>402</v>
      </c>
      <c r="AW8485" s="4">
        <v>42416</v>
      </c>
      <c r="BD8485">
        <v>0</v>
      </c>
      <c r="BN8485" t="s">
        <v>74</v>
      </c>
    </row>
    <row r="8486" spans="1:66" hidden="1">
      <c r="A8486">
        <v>106286</v>
      </c>
      <c r="B8486" s="3" t="s">
        <v>726</v>
      </c>
      <c r="C8486" s="1">
        <v>43300101</v>
      </c>
      <c r="D8486" t="s">
        <v>67</v>
      </c>
      <c r="H8486" t="str">
        <f t="shared" si="864"/>
        <v>06566081219</v>
      </c>
      <c r="I8486" t="str">
        <f t="shared" si="864"/>
        <v>06566081219</v>
      </c>
      <c r="K8486" t="str">
        <f>""</f>
        <v/>
      </c>
      <c r="M8486" t="s">
        <v>68</v>
      </c>
      <c r="N8486" t="str">
        <f t="shared" si="865"/>
        <v>FOR</v>
      </c>
      <c r="O8486" t="s">
        <v>69</v>
      </c>
      <c r="P8486" s="3" t="s">
        <v>75</v>
      </c>
      <c r="Q8486">
        <v>2015</v>
      </c>
      <c r="R8486" s="2">
        <v>42367</v>
      </c>
      <c r="S8486" s="2">
        <v>42367</v>
      </c>
      <c r="T8486" s="2">
        <v>42367</v>
      </c>
      <c r="U8486" s="2">
        <v>42427</v>
      </c>
      <c r="V8486" t="s">
        <v>71</v>
      </c>
      <c r="W8486" t="str">
        <f>"        FATTPA 18_15"</f>
        <v xml:space="preserve">        FATTPA 18_15</v>
      </c>
      <c r="X8486" s="1">
        <v>2340</v>
      </c>
      <c r="Y8486">
        <v>0</v>
      </c>
      <c r="Z8486"/>
      <c r="AB8486"/>
      <c r="AC8486" s="1">
        <v>2250</v>
      </c>
      <c r="AD8486">
        <v>-11</v>
      </c>
      <c r="AE8486" s="1">
        <v>-24750</v>
      </c>
      <c r="AF8486">
        <v>0</v>
      </c>
      <c r="AJ8486">
        <v>0</v>
      </c>
      <c r="AK8486">
        <v>0</v>
      </c>
      <c r="AL8486">
        <v>0</v>
      </c>
      <c r="AM8486">
        <v>0</v>
      </c>
      <c r="AN8486">
        <v>0</v>
      </c>
      <c r="AO8486">
        <v>0</v>
      </c>
      <c r="AP8486" s="2">
        <v>42746</v>
      </c>
      <c r="AQ8486" t="s">
        <v>72</v>
      </c>
      <c r="AR8486" t="s">
        <v>72</v>
      </c>
      <c r="AS8486">
        <v>402</v>
      </c>
      <c r="AT8486" s="4">
        <v>42416</v>
      </c>
      <c r="AV8486">
        <v>402</v>
      </c>
      <c r="AW8486" s="4">
        <v>42416</v>
      </c>
      <c r="BD8486">
        <v>0</v>
      </c>
      <c r="BN8486" t="s">
        <v>74</v>
      </c>
    </row>
    <row r="8487" spans="1:66" hidden="1">
      <c r="A8487">
        <v>106286</v>
      </c>
      <c r="B8487" s="3" t="s">
        <v>726</v>
      </c>
      <c r="C8487" s="1">
        <v>43300101</v>
      </c>
      <c r="D8487" t="s">
        <v>67</v>
      </c>
      <c r="H8487" t="str">
        <f t="shared" si="864"/>
        <v>06566081219</v>
      </c>
      <c r="I8487" t="str">
        <f t="shared" si="864"/>
        <v>06566081219</v>
      </c>
      <c r="K8487" t="str">
        <f>""</f>
        <v/>
      </c>
      <c r="M8487" t="s">
        <v>68</v>
      </c>
      <c r="N8487" t="str">
        <f t="shared" si="865"/>
        <v>FOR</v>
      </c>
      <c r="O8487" t="s">
        <v>69</v>
      </c>
      <c r="P8487" s="3" t="s">
        <v>75</v>
      </c>
      <c r="Q8487">
        <v>2016</v>
      </c>
      <c r="R8487" s="2">
        <v>42436</v>
      </c>
      <c r="S8487" s="2">
        <v>42438</v>
      </c>
      <c r="T8487" s="2">
        <v>42436</v>
      </c>
      <c r="U8487" s="2">
        <v>42496</v>
      </c>
      <c r="V8487" t="s">
        <v>71</v>
      </c>
      <c r="W8487" t="str">
        <f>"         FATTPA 4_16"</f>
        <v xml:space="preserve">         FATTPA 4_16</v>
      </c>
      <c r="X8487" s="1">
        <v>9360</v>
      </c>
      <c r="Y8487">
        <v>0</v>
      </c>
      <c r="Z8487"/>
      <c r="AB8487"/>
      <c r="AC8487" s="1">
        <v>9000</v>
      </c>
      <c r="AD8487">
        <v>81</v>
      </c>
      <c r="AE8487" s="1">
        <v>729000</v>
      </c>
      <c r="AF8487">
        <v>0</v>
      </c>
      <c r="AJ8487">
        <v>0</v>
      </c>
      <c r="AK8487">
        <v>0</v>
      </c>
      <c r="AL8487">
        <v>0</v>
      </c>
      <c r="AM8487" s="1">
        <v>9360</v>
      </c>
      <c r="AN8487" s="1">
        <v>9360</v>
      </c>
      <c r="AO8487" s="1">
        <v>9360</v>
      </c>
      <c r="AP8487" s="2">
        <v>42746</v>
      </c>
      <c r="AQ8487" t="s">
        <v>72</v>
      </c>
      <c r="AR8487" t="s">
        <v>72</v>
      </c>
      <c r="AS8487">
        <v>1970</v>
      </c>
      <c r="AT8487" s="4">
        <v>42577</v>
      </c>
      <c r="AU8487" t="s">
        <v>73</v>
      </c>
      <c r="AV8487">
        <v>1970</v>
      </c>
      <c r="AW8487" s="4">
        <v>42577</v>
      </c>
      <c r="BD8487">
        <v>0</v>
      </c>
      <c r="BN8487" t="s">
        <v>74</v>
      </c>
    </row>
    <row r="8488" spans="1:66" hidden="1">
      <c r="A8488">
        <v>106286</v>
      </c>
      <c r="B8488" s="3" t="s">
        <v>726</v>
      </c>
      <c r="C8488" s="1">
        <v>43300101</v>
      </c>
      <c r="D8488" t="s">
        <v>67</v>
      </c>
      <c r="H8488" t="str">
        <f t="shared" si="864"/>
        <v>06566081219</v>
      </c>
      <c r="I8488" t="str">
        <f t="shared" si="864"/>
        <v>06566081219</v>
      </c>
      <c r="K8488" t="str">
        <f>""</f>
        <v/>
      </c>
      <c r="M8488" t="s">
        <v>68</v>
      </c>
      <c r="N8488" t="str">
        <f t="shared" si="865"/>
        <v>FOR</v>
      </c>
      <c r="O8488" t="s">
        <v>69</v>
      </c>
      <c r="P8488" s="3" t="s">
        <v>75</v>
      </c>
      <c r="Q8488">
        <v>2016</v>
      </c>
      <c r="R8488" s="2">
        <v>42446</v>
      </c>
      <c r="S8488" s="2">
        <v>42447</v>
      </c>
      <c r="T8488" s="2">
        <v>42446</v>
      </c>
      <c r="U8488" s="2">
        <v>42506</v>
      </c>
      <c r="V8488" t="s">
        <v>71</v>
      </c>
      <c r="W8488" t="str">
        <f>"         FATTPA 6_16"</f>
        <v xml:space="preserve">         FATTPA 6_16</v>
      </c>
      <c r="X8488" s="1">
        <v>2562</v>
      </c>
      <c r="Y8488">
        <v>0</v>
      </c>
      <c r="Z8488"/>
      <c r="AB8488"/>
      <c r="AC8488" s="1">
        <v>2100</v>
      </c>
      <c r="AD8488">
        <v>71</v>
      </c>
      <c r="AE8488" s="1">
        <v>149100</v>
      </c>
      <c r="AF8488">
        <v>0</v>
      </c>
      <c r="AJ8488">
        <v>0</v>
      </c>
      <c r="AK8488">
        <v>0</v>
      </c>
      <c r="AL8488">
        <v>0</v>
      </c>
      <c r="AM8488" s="1">
        <v>2562</v>
      </c>
      <c r="AN8488" s="1">
        <v>2562</v>
      </c>
      <c r="AO8488" s="1">
        <v>2562</v>
      </c>
      <c r="AP8488" s="2">
        <v>42746</v>
      </c>
      <c r="AQ8488" t="s">
        <v>72</v>
      </c>
      <c r="AR8488" t="s">
        <v>72</v>
      </c>
      <c r="AS8488">
        <v>1970</v>
      </c>
      <c r="AT8488" s="4">
        <v>42577</v>
      </c>
      <c r="AU8488" t="s">
        <v>73</v>
      </c>
      <c r="AV8488">
        <v>1970</v>
      </c>
      <c r="AW8488" s="4">
        <v>42577</v>
      </c>
      <c r="BD8488">
        <v>0</v>
      </c>
      <c r="BN8488" t="s">
        <v>74</v>
      </c>
    </row>
    <row r="8489" spans="1:66">
      <c r="A8489">
        <v>106286</v>
      </c>
      <c r="B8489" s="3" t="s">
        <v>726</v>
      </c>
      <c r="C8489" s="1">
        <v>43300101</v>
      </c>
      <c r="D8489" t="s">
        <v>67</v>
      </c>
      <c r="H8489" t="str">
        <f t="shared" si="864"/>
        <v>06566081219</v>
      </c>
      <c r="I8489" t="str">
        <f t="shared" si="864"/>
        <v>06566081219</v>
      </c>
      <c r="K8489" t="str">
        <f>""</f>
        <v/>
      </c>
      <c r="M8489" t="s">
        <v>68</v>
      </c>
      <c r="N8489" t="str">
        <f t="shared" si="865"/>
        <v>FOR</v>
      </c>
      <c r="O8489" t="s">
        <v>69</v>
      </c>
      <c r="P8489" s="3" t="s">
        <v>75</v>
      </c>
      <c r="Q8489">
        <v>2016</v>
      </c>
      <c r="R8489" s="2">
        <v>42501</v>
      </c>
      <c r="S8489" s="2">
        <v>42506</v>
      </c>
      <c r="T8489" s="2">
        <v>42501</v>
      </c>
      <c r="U8489" s="2">
        <v>42561</v>
      </c>
      <c r="V8489" t="s">
        <v>71</v>
      </c>
      <c r="W8489" t="str">
        <f>"        FATTPA 12_16"</f>
        <v xml:space="preserve">        FATTPA 12_16</v>
      </c>
      <c r="X8489" s="1">
        <v>6405</v>
      </c>
      <c r="Y8489">
        <v>0</v>
      </c>
      <c r="Z8489" s="5">
        <v>5250</v>
      </c>
      <c r="AA8489">
        <v>86</v>
      </c>
      <c r="AB8489" s="5">
        <v>451500</v>
      </c>
      <c r="AC8489" s="1">
        <v>5250</v>
      </c>
      <c r="AD8489">
        <v>86</v>
      </c>
      <c r="AE8489" s="1">
        <v>451500</v>
      </c>
      <c r="AF8489">
        <v>0</v>
      </c>
      <c r="AJ8489">
        <v>0</v>
      </c>
      <c r="AK8489">
        <v>0</v>
      </c>
      <c r="AL8489">
        <v>0</v>
      </c>
      <c r="AM8489" s="1">
        <v>6405</v>
      </c>
      <c r="AN8489" s="1">
        <v>6405</v>
      </c>
      <c r="AO8489" s="1">
        <v>6405</v>
      </c>
      <c r="AP8489" s="2">
        <v>42746</v>
      </c>
      <c r="AQ8489" t="s">
        <v>72</v>
      </c>
      <c r="AR8489" t="s">
        <v>72</v>
      </c>
      <c r="AS8489">
        <v>2590</v>
      </c>
      <c r="AT8489" s="4">
        <v>42647</v>
      </c>
      <c r="AU8489" t="s">
        <v>73</v>
      </c>
      <c r="AV8489">
        <v>2590</v>
      </c>
      <c r="AW8489" s="4">
        <v>42647</v>
      </c>
      <c r="BD8489">
        <v>0</v>
      </c>
      <c r="BN8489" t="s">
        <v>74</v>
      </c>
    </row>
    <row r="8490" spans="1:66">
      <c r="A8490">
        <v>106286</v>
      </c>
      <c r="B8490" s="3" t="s">
        <v>726</v>
      </c>
      <c r="C8490" s="1">
        <v>43300101</v>
      </c>
      <c r="D8490" t="s">
        <v>67</v>
      </c>
      <c r="H8490" t="str">
        <f t="shared" si="864"/>
        <v>06566081219</v>
      </c>
      <c r="I8490" t="str">
        <f t="shared" si="864"/>
        <v>06566081219</v>
      </c>
      <c r="K8490" t="str">
        <f>""</f>
        <v/>
      </c>
      <c r="M8490" t="s">
        <v>68</v>
      </c>
      <c r="N8490" t="str">
        <f t="shared" si="865"/>
        <v>FOR</v>
      </c>
      <c r="O8490" t="s">
        <v>69</v>
      </c>
      <c r="P8490" s="3" t="s">
        <v>75</v>
      </c>
      <c r="Q8490">
        <v>2016</v>
      </c>
      <c r="R8490" s="2">
        <v>42621</v>
      </c>
      <c r="S8490" s="2">
        <v>42627</v>
      </c>
      <c r="T8490" s="2">
        <v>42621</v>
      </c>
      <c r="U8490" s="2">
        <v>42681</v>
      </c>
      <c r="V8490" t="s">
        <v>71</v>
      </c>
      <c r="W8490" t="str">
        <f>"        FATTPA 14_16"</f>
        <v xml:space="preserve">        FATTPA 14_16</v>
      </c>
      <c r="X8490" s="1">
        <v>5124</v>
      </c>
      <c r="Y8490">
        <v>0</v>
      </c>
      <c r="Z8490" s="5">
        <v>4200</v>
      </c>
      <c r="AA8490">
        <v>37</v>
      </c>
      <c r="AB8490" s="5">
        <v>155400</v>
      </c>
      <c r="AC8490" s="1">
        <v>4200</v>
      </c>
      <c r="AD8490">
        <v>37</v>
      </c>
      <c r="AE8490" s="1">
        <v>155400</v>
      </c>
      <c r="AF8490">
        <v>924</v>
      </c>
      <c r="AJ8490">
        <v>0</v>
      </c>
      <c r="AK8490">
        <v>0</v>
      </c>
      <c r="AL8490">
        <v>0</v>
      </c>
      <c r="AM8490" s="1">
        <v>5124</v>
      </c>
      <c r="AN8490" s="1">
        <v>5124</v>
      </c>
      <c r="AO8490" s="1">
        <v>5124</v>
      </c>
      <c r="AP8490" s="2">
        <v>42746</v>
      </c>
      <c r="AQ8490" t="s">
        <v>72</v>
      </c>
      <c r="AR8490" t="s">
        <v>72</v>
      </c>
      <c r="AS8490">
        <v>3489</v>
      </c>
      <c r="AT8490" s="4">
        <v>42718</v>
      </c>
      <c r="AU8490" t="s">
        <v>73</v>
      </c>
      <c r="AV8490">
        <v>3489</v>
      </c>
      <c r="AW8490" s="4">
        <v>42718</v>
      </c>
      <c r="AY8490">
        <v>924</v>
      </c>
      <c r="BD8490">
        <v>0</v>
      </c>
      <c r="BN8490" t="s">
        <v>74</v>
      </c>
    </row>
    <row r="8491" spans="1:66" hidden="1">
      <c r="A8491">
        <v>106288</v>
      </c>
      <c r="B8491" s="3" t="s">
        <v>727</v>
      </c>
      <c r="C8491" s="1">
        <v>43300101</v>
      </c>
      <c r="D8491" t="s">
        <v>67</v>
      </c>
      <c r="H8491" t="str">
        <f t="shared" ref="H8491:I8499" si="866">"04842170013"</f>
        <v>04842170013</v>
      </c>
      <c r="I8491" t="str">
        <f t="shared" si="866"/>
        <v>04842170013</v>
      </c>
      <c r="K8491" t="str">
        <f>""</f>
        <v/>
      </c>
      <c r="M8491" t="s">
        <v>68</v>
      </c>
      <c r="N8491" t="str">
        <f t="shared" si="865"/>
        <v>FOR</v>
      </c>
      <c r="O8491" t="s">
        <v>69</v>
      </c>
      <c r="P8491" s="3" t="s">
        <v>78</v>
      </c>
      <c r="Q8491">
        <v>2013</v>
      </c>
      <c r="R8491" s="2">
        <v>41361</v>
      </c>
      <c r="S8491" s="2">
        <v>41368</v>
      </c>
      <c r="T8491" s="2">
        <v>41368</v>
      </c>
      <c r="U8491" s="2">
        <v>41458</v>
      </c>
      <c r="V8491" t="s">
        <v>71</v>
      </c>
      <c r="W8491" t="str">
        <f>"                  23"</f>
        <v xml:space="preserve">                  23</v>
      </c>
      <c r="X8491" s="1">
        <v>582035.17000000004</v>
      </c>
      <c r="Y8491">
        <v>0</v>
      </c>
      <c r="Z8491" s="1">
        <v>29101.75</v>
      </c>
      <c r="AA8491">
        <v>1199</v>
      </c>
      <c r="AB8491" s="1">
        <v>34892998.25</v>
      </c>
      <c r="AC8491" s="1">
        <v>29101.75</v>
      </c>
      <c r="AD8491">
        <v>1199</v>
      </c>
      <c r="AE8491" s="1">
        <v>34892998.25</v>
      </c>
      <c r="AF8491">
        <v>0</v>
      </c>
      <c r="AJ8491">
        <v>0</v>
      </c>
      <c r="AK8491">
        <v>0</v>
      </c>
      <c r="AL8491">
        <v>0</v>
      </c>
      <c r="AM8491">
        <v>0</v>
      </c>
      <c r="AN8491">
        <v>0</v>
      </c>
      <c r="AO8491">
        <v>0</v>
      </c>
      <c r="AP8491" s="2">
        <v>42746</v>
      </c>
      <c r="AQ8491" t="s">
        <v>72</v>
      </c>
      <c r="AR8491" t="s">
        <v>72</v>
      </c>
      <c r="AS8491">
        <v>2061</v>
      </c>
      <c r="AT8491" s="4">
        <v>41876</v>
      </c>
      <c r="AU8491" t="s">
        <v>73</v>
      </c>
      <c r="AV8491">
        <v>2749</v>
      </c>
      <c r="AW8491" s="4">
        <v>42657</v>
      </c>
      <c r="BD8491">
        <v>0</v>
      </c>
      <c r="BN8491" t="s">
        <v>74</v>
      </c>
    </row>
    <row r="8492" spans="1:66" hidden="1">
      <c r="A8492">
        <v>106288</v>
      </c>
      <c r="B8492" s="3" t="s">
        <v>727</v>
      </c>
      <c r="C8492" s="1">
        <v>43300101</v>
      </c>
      <c r="D8492" t="s">
        <v>67</v>
      </c>
      <c r="H8492" t="str">
        <f t="shared" si="866"/>
        <v>04842170013</v>
      </c>
      <c r="I8492" t="str">
        <f t="shared" si="866"/>
        <v>04842170013</v>
      </c>
      <c r="K8492" t="str">
        <f>""</f>
        <v/>
      </c>
      <c r="M8492" t="s">
        <v>68</v>
      </c>
      <c r="N8492" t="str">
        <f t="shared" si="865"/>
        <v>FOR</v>
      </c>
      <c r="O8492" t="s">
        <v>69</v>
      </c>
      <c r="P8492" s="3" t="s">
        <v>78</v>
      </c>
      <c r="Q8492">
        <v>2013</v>
      </c>
      <c r="R8492" s="2">
        <v>41361</v>
      </c>
      <c r="S8492" s="2">
        <v>41368</v>
      </c>
      <c r="T8492" s="2">
        <v>41368</v>
      </c>
      <c r="U8492" s="2">
        <v>41458</v>
      </c>
      <c r="V8492" t="s">
        <v>71</v>
      </c>
      <c r="W8492" t="str">
        <f>"                  24"</f>
        <v xml:space="preserve">                  24</v>
      </c>
      <c r="X8492" s="1">
        <v>177046.81</v>
      </c>
      <c r="Y8492">
        <v>0</v>
      </c>
      <c r="Z8492" s="1">
        <v>8852.34</v>
      </c>
      <c r="AA8492">
        <v>1199</v>
      </c>
      <c r="AB8492" s="1">
        <v>10613955.66</v>
      </c>
      <c r="AC8492" s="1">
        <v>8852.34</v>
      </c>
      <c r="AD8492">
        <v>1199</v>
      </c>
      <c r="AE8492" s="1">
        <v>10613955.66</v>
      </c>
      <c r="AF8492">
        <v>0</v>
      </c>
      <c r="AJ8492">
        <v>0</v>
      </c>
      <c r="AK8492">
        <v>0</v>
      </c>
      <c r="AL8492">
        <v>0</v>
      </c>
      <c r="AM8492">
        <v>0</v>
      </c>
      <c r="AN8492">
        <v>0</v>
      </c>
      <c r="AO8492">
        <v>0</v>
      </c>
      <c r="AP8492" s="2">
        <v>42746</v>
      </c>
      <c r="AQ8492" t="s">
        <v>72</v>
      </c>
      <c r="AR8492" t="s">
        <v>72</v>
      </c>
      <c r="AS8492">
        <v>2062</v>
      </c>
      <c r="AT8492" s="4">
        <v>41876</v>
      </c>
      <c r="AU8492" t="s">
        <v>73</v>
      </c>
      <c r="AV8492">
        <v>2749</v>
      </c>
      <c r="AW8492" s="4">
        <v>42657</v>
      </c>
      <c r="BD8492">
        <v>0</v>
      </c>
      <c r="BN8492" t="s">
        <v>74</v>
      </c>
    </row>
    <row r="8493" spans="1:66" hidden="1">
      <c r="A8493">
        <v>106288</v>
      </c>
      <c r="B8493" s="3" t="s">
        <v>727</v>
      </c>
      <c r="C8493" s="1">
        <v>43300101</v>
      </c>
      <c r="D8493" t="s">
        <v>67</v>
      </c>
      <c r="H8493" t="str">
        <f t="shared" si="866"/>
        <v>04842170013</v>
      </c>
      <c r="I8493" t="str">
        <f t="shared" si="866"/>
        <v>04842170013</v>
      </c>
      <c r="K8493" t="str">
        <f>""</f>
        <v/>
      </c>
      <c r="M8493" t="s">
        <v>68</v>
      </c>
      <c r="N8493" t="str">
        <f t="shared" si="865"/>
        <v>FOR</v>
      </c>
      <c r="O8493" t="s">
        <v>69</v>
      </c>
      <c r="P8493" s="3" t="s">
        <v>78</v>
      </c>
      <c r="Q8493">
        <v>2013</v>
      </c>
      <c r="R8493" s="2">
        <v>41361</v>
      </c>
      <c r="S8493" s="2">
        <v>41368</v>
      </c>
      <c r="T8493" s="2">
        <v>41368</v>
      </c>
      <c r="U8493" s="2">
        <v>41458</v>
      </c>
      <c r="V8493" t="s">
        <v>71</v>
      </c>
      <c r="W8493" t="str">
        <f>"                  25"</f>
        <v xml:space="preserve">                  25</v>
      </c>
      <c r="X8493" s="1">
        <v>145437.67000000001</v>
      </c>
      <c r="Y8493">
        <v>0</v>
      </c>
      <c r="Z8493" s="1">
        <v>7271.89</v>
      </c>
      <c r="AA8493">
        <v>1199</v>
      </c>
      <c r="AB8493" s="1">
        <v>8718996.1099999994</v>
      </c>
      <c r="AC8493" s="1">
        <v>7271.89</v>
      </c>
      <c r="AD8493">
        <v>1199</v>
      </c>
      <c r="AE8493" s="1">
        <v>8718996.1099999994</v>
      </c>
      <c r="AF8493">
        <v>0</v>
      </c>
      <c r="AJ8493">
        <v>0</v>
      </c>
      <c r="AK8493">
        <v>0</v>
      </c>
      <c r="AL8493">
        <v>0</v>
      </c>
      <c r="AM8493">
        <v>0</v>
      </c>
      <c r="AN8493">
        <v>0</v>
      </c>
      <c r="AO8493">
        <v>0</v>
      </c>
      <c r="AP8493" s="2">
        <v>42746</v>
      </c>
      <c r="AQ8493" t="s">
        <v>72</v>
      </c>
      <c r="AR8493" t="s">
        <v>72</v>
      </c>
      <c r="AS8493">
        <v>2063</v>
      </c>
      <c r="AT8493" s="4">
        <v>41876</v>
      </c>
      <c r="AU8493" t="s">
        <v>73</v>
      </c>
      <c r="AV8493">
        <v>2749</v>
      </c>
      <c r="AW8493" s="4">
        <v>42657</v>
      </c>
      <c r="BD8493">
        <v>0</v>
      </c>
      <c r="BN8493" t="s">
        <v>74</v>
      </c>
    </row>
    <row r="8494" spans="1:66" hidden="1">
      <c r="A8494">
        <v>106288</v>
      </c>
      <c r="B8494" s="3" t="s">
        <v>727</v>
      </c>
      <c r="C8494" s="1">
        <v>43300101</v>
      </c>
      <c r="D8494" t="s">
        <v>67</v>
      </c>
      <c r="H8494" t="str">
        <f t="shared" si="866"/>
        <v>04842170013</v>
      </c>
      <c r="I8494" t="str">
        <f t="shared" si="866"/>
        <v>04842170013</v>
      </c>
      <c r="K8494" t="str">
        <f>""</f>
        <v/>
      </c>
      <c r="M8494" t="s">
        <v>68</v>
      </c>
      <c r="N8494" t="str">
        <f t="shared" si="865"/>
        <v>FOR</v>
      </c>
      <c r="O8494" t="s">
        <v>69</v>
      </c>
      <c r="P8494" s="3" t="s">
        <v>78</v>
      </c>
      <c r="Q8494">
        <v>2013</v>
      </c>
      <c r="R8494" s="2">
        <v>41423</v>
      </c>
      <c r="S8494" s="2">
        <v>41437</v>
      </c>
      <c r="T8494" s="2">
        <v>41437</v>
      </c>
      <c r="U8494" s="2">
        <v>41527</v>
      </c>
      <c r="V8494" t="s">
        <v>71</v>
      </c>
      <c r="W8494" t="str">
        <f>"                  43"</f>
        <v xml:space="preserve">                  43</v>
      </c>
      <c r="X8494" s="1">
        <v>227502.36</v>
      </c>
      <c r="Y8494">
        <v>0</v>
      </c>
      <c r="Z8494" s="1">
        <v>11375.12</v>
      </c>
      <c r="AA8494">
        <v>1130</v>
      </c>
      <c r="AB8494" s="1">
        <v>12853885.6</v>
      </c>
      <c r="AC8494" s="1">
        <v>11375.12</v>
      </c>
      <c r="AD8494">
        <v>1130</v>
      </c>
      <c r="AE8494" s="1">
        <v>12853885.6</v>
      </c>
      <c r="AF8494">
        <v>0</v>
      </c>
      <c r="AJ8494">
        <v>0</v>
      </c>
      <c r="AK8494">
        <v>0</v>
      </c>
      <c r="AL8494">
        <v>0</v>
      </c>
      <c r="AM8494">
        <v>0</v>
      </c>
      <c r="AN8494">
        <v>0</v>
      </c>
      <c r="AO8494">
        <v>0</v>
      </c>
      <c r="AP8494" s="2">
        <v>42746</v>
      </c>
      <c r="AQ8494" t="s">
        <v>72</v>
      </c>
      <c r="AR8494" t="s">
        <v>72</v>
      </c>
      <c r="AS8494">
        <v>2064</v>
      </c>
      <c r="AT8494" s="4">
        <v>41876</v>
      </c>
      <c r="AU8494" t="s">
        <v>73</v>
      </c>
      <c r="AV8494">
        <v>2749</v>
      </c>
      <c r="AW8494" s="4">
        <v>42657</v>
      </c>
      <c r="BD8494">
        <v>0</v>
      </c>
      <c r="BN8494" t="s">
        <v>74</v>
      </c>
    </row>
    <row r="8495" spans="1:66" hidden="1">
      <c r="A8495">
        <v>106288</v>
      </c>
      <c r="B8495" s="3" t="s">
        <v>727</v>
      </c>
      <c r="C8495" s="1">
        <v>43300101</v>
      </c>
      <c r="D8495" t="s">
        <v>67</v>
      </c>
      <c r="H8495" t="str">
        <f t="shared" si="866"/>
        <v>04842170013</v>
      </c>
      <c r="I8495" t="str">
        <f t="shared" si="866"/>
        <v>04842170013</v>
      </c>
      <c r="K8495" t="str">
        <f>""</f>
        <v/>
      </c>
      <c r="M8495" t="s">
        <v>68</v>
      </c>
      <c r="N8495" t="str">
        <f t="shared" si="865"/>
        <v>FOR</v>
      </c>
      <c r="O8495" t="s">
        <v>69</v>
      </c>
      <c r="P8495" s="3" t="s">
        <v>78</v>
      </c>
      <c r="Q8495">
        <v>2013</v>
      </c>
      <c r="R8495" s="2">
        <v>41445</v>
      </c>
      <c r="S8495" s="2">
        <v>41876</v>
      </c>
      <c r="T8495" s="2">
        <v>41876</v>
      </c>
      <c r="U8495" s="2">
        <v>41966</v>
      </c>
      <c r="V8495" t="s">
        <v>71</v>
      </c>
      <c r="W8495" t="str">
        <f>"                  48"</f>
        <v xml:space="preserve">                  48</v>
      </c>
      <c r="X8495" s="1">
        <v>30708.97</v>
      </c>
      <c r="Y8495">
        <v>0</v>
      </c>
      <c r="Z8495" s="1">
        <v>1535.45</v>
      </c>
      <c r="AA8495">
        <v>691</v>
      </c>
      <c r="AB8495" s="1">
        <v>1060995.95</v>
      </c>
      <c r="AC8495" s="1">
        <v>1535.45</v>
      </c>
      <c r="AD8495">
        <v>691</v>
      </c>
      <c r="AE8495" s="1">
        <v>1060995.95</v>
      </c>
      <c r="AF8495">
        <v>0</v>
      </c>
      <c r="AJ8495">
        <v>0</v>
      </c>
      <c r="AK8495">
        <v>0</v>
      </c>
      <c r="AL8495">
        <v>0</v>
      </c>
      <c r="AM8495">
        <v>0</v>
      </c>
      <c r="AN8495">
        <v>0</v>
      </c>
      <c r="AO8495">
        <v>0</v>
      </c>
      <c r="AP8495" s="2">
        <v>42746</v>
      </c>
      <c r="AQ8495" t="s">
        <v>72</v>
      </c>
      <c r="AR8495" t="s">
        <v>72</v>
      </c>
      <c r="AS8495">
        <v>2065</v>
      </c>
      <c r="AT8495" s="4">
        <v>41876</v>
      </c>
      <c r="AU8495" t="s">
        <v>73</v>
      </c>
      <c r="AV8495">
        <v>2749</v>
      </c>
      <c r="AW8495" s="4">
        <v>42657</v>
      </c>
      <c r="BD8495">
        <v>0</v>
      </c>
      <c r="BN8495" t="s">
        <v>74</v>
      </c>
    </row>
    <row r="8496" spans="1:66" hidden="1">
      <c r="A8496">
        <v>106288</v>
      </c>
      <c r="B8496" s="3" t="s">
        <v>727</v>
      </c>
      <c r="C8496" s="1">
        <v>43300101</v>
      </c>
      <c r="D8496" t="s">
        <v>67</v>
      </c>
      <c r="H8496" t="str">
        <f t="shared" si="866"/>
        <v>04842170013</v>
      </c>
      <c r="I8496" t="str">
        <f t="shared" si="866"/>
        <v>04842170013</v>
      </c>
      <c r="K8496" t="str">
        <f>""</f>
        <v/>
      </c>
      <c r="M8496" t="s">
        <v>68</v>
      </c>
      <c r="N8496" t="str">
        <f t="shared" si="865"/>
        <v>FOR</v>
      </c>
      <c r="O8496" t="s">
        <v>69</v>
      </c>
      <c r="P8496" s="3" t="s">
        <v>78</v>
      </c>
      <c r="Q8496">
        <v>2013</v>
      </c>
      <c r="R8496" s="2">
        <v>41467</v>
      </c>
      <c r="S8496" s="2">
        <v>41876</v>
      </c>
      <c r="T8496" s="2">
        <v>41876</v>
      </c>
      <c r="U8496" s="2">
        <v>41966</v>
      </c>
      <c r="V8496" t="s">
        <v>71</v>
      </c>
      <c r="W8496" t="str">
        <f>"                  59"</f>
        <v xml:space="preserve">                  59</v>
      </c>
      <c r="X8496" s="1">
        <v>49822.22</v>
      </c>
      <c r="Y8496">
        <v>0</v>
      </c>
      <c r="Z8496" s="1">
        <v>2491.11</v>
      </c>
      <c r="AA8496">
        <v>691</v>
      </c>
      <c r="AB8496" s="1">
        <v>1721357.01</v>
      </c>
      <c r="AC8496" s="1">
        <v>2491.11</v>
      </c>
      <c r="AD8496">
        <v>691</v>
      </c>
      <c r="AE8496" s="1">
        <v>1721357.01</v>
      </c>
      <c r="AF8496">
        <v>0</v>
      </c>
      <c r="AJ8496">
        <v>0</v>
      </c>
      <c r="AK8496">
        <v>0</v>
      </c>
      <c r="AL8496">
        <v>0</v>
      </c>
      <c r="AM8496">
        <v>0</v>
      </c>
      <c r="AN8496">
        <v>0</v>
      </c>
      <c r="AO8496">
        <v>0</v>
      </c>
      <c r="AP8496" s="2">
        <v>42746</v>
      </c>
      <c r="AQ8496" t="s">
        <v>72</v>
      </c>
      <c r="AR8496" t="s">
        <v>72</v>
      </c>
      <c r="AS8496">
        <v>2066</v>
      </c>
      <c r="AT8496" s="4">
        <v>41876</v>
      </c>
      <c r="AU8496" t="s">
        <v>73</v>
      </c>
      <c r="AV8496">
        <v>2749</v>
      </c>
      <c r="AW8496" s="4">
        <v>42657</v>
      </c>
      <c r="BD8496">
        <v>0</v>
      </c>
      <c r="BN8496" t="s">
        <v>74</v>
      </c>
    </row>
    <row r="8497" spans="1:66" hidden="1">
      <c r="A8497">
        <v>106288</v>
      </c>
      <c r="B8497" s="3" t="s">
        <v>727</v>
      </c>
      <c r="C8497" s="1">
        <v>43300101</v>
      </c>
      <c r="D8497" t="s">
        <v>67</v>
      </c>
      <c r="H8497" t="str">
        <f t="shared" si="866"/>
        <v>04842170013</v>
      </c>
      <c r="I8497" t="str">
        <f t="shared" si="866"/>
        <v>04842170013</v>
      </c>
      <c r="K8497" t="str">
        <f>""</f>
        <v/>
      </c>
      <c r="M8497" t="s">
        <v>68</v>
      </c>
      <c r="N8497" t="str">
        <f t="shared" si="865"/>
        <v>FOR</v>
      </c>
      <c r="O8497" t="s">
        <v>69</v>
      </c>
      <c r="P8497" s="3" t="s">
        <v>728</v>
      </c>
      <c r="Q8497">
        <v>2014</v>
      </c>
      <c r="R8497" s="2">
        <v>41873</v>
      </c>
      <c r="S8497" s="2">
        <v>41873</v>
      </c>
      <c r="T8497" s="2">
        <v>41873</v>
      </c>
      <c r="U8497" s="2">
        <v>41963</v>
      </c>
      <c r="V8497" t="s">
        <v>71</v>
      </c>
      <c r="W8497" t="str">
        <f>"                 155"</f>
        <v xml:space="preserve">                 155</v>
      </c>
      <c r="X8497">
        <v>0</v>
      </c>
      <c r="Y8497" s="1">
        <v>3666</v>
      </c>
      <c r="Z8497" s="1">
        <v>1833</v>
      </c>
      <c r="AA8497">
        <v>694</v>
      </c>
      <c r="AB8497" s="1">
        <v>1272102</v>
      </c>
      <c r="AC8497" s="1">
        <v>1833</v>
      </c>
      <c r="AD8497">
        <v>694</v>
      </c>
      <c r="AE8497" s="1">
        <v>1272102</v>
      </c>
      <c r="AF8497">
        <v>0</v>
      </c>
      <c r="AJ8497">
        <v>0</v>
      </c>
      <c r="AK8497">
        <v>0</v>
      </c>
      <c r="AL8497">
        <v>0</v>
      </c>
      <c r="AM8497">
        <v>0</v>
      </c>
      <c r="AN8497">
        <v>0</v>
      </c>
      <c r="AO8497">
        <v>0</v>
      </c>
      <c r="AP8497" s="2">
        <v>42746</v>
      </c>
      <c r="AQ8497" t="s">
        <v>72</v>
      </c>
      <c r="AR8497" t="s">
        <v>72</v>
      </c>
      <c r="AS8497">
        <v>2068</v>
      </c>
      <c r="AT8497" s="4">
        <v>41876</v>
      </c>
      <c r="AU8497" t="s">
        <v>73</v>
      </c>
      <c r="AV8497">
        <v>2748</v>
      </c>
      <c r="AW8497" s="4">
        <v>42657</v>
      </c>
      <c r="BD8497">
        <v>0</v>
      </c>
      <c r="BN8497" t="s">
        <v>74</v>
      </c>
    </row>
    <row r="8498" spans="1:66" hidden="1">
      <c r="A8498">
        <v>106288</v>
      </c>
      <c r="B8498" s="3" t="s">
        <v>727</v>
      </c>
      <c r="C8498" s="1">
        <v>43300101</v>
      </c>
      <c r="D8498" t="s">
        <v>67</v>
      </c>
      <c r="H8498" t="str">
        <f t="shared" si="866"/>
        <v>04842170013</v>
      </c>
      <c r="I8498" t="str">
        <f t="shared" si="866"/>
        <v>04842170013</v>
      </c>
      <c r="K8498" t="str">
        <f>""</f>
        <v/>
      </c>
      <c r="M8498" t="s">
        <v>68</v>
      </c>
      <c r="N8498" t="str">
        <f t="shared" si="865"/>
        <v>FOR</v>
      </c>
      <c r="O8498" t="s">
        <v>69</v>
      </c>
      <c r="P8498" s="3" t="s">
        <v>729</v>
      </c>
      <c r="Q8498">
        <v>2014</v>
      </c>
      <c r="R8498" s="2">
        <v>41873</v>
      </c>
      <c r="S8498" s="2">
        <v>41873</v>
      </c>
      <c r="T8498" s="2">
        <v>41873</v>
      </c>
      <c r="U8498" s="2">
        <v>41963</v>
      </c>
      <c r="V8498" t="s">
        <v>71</v>
      </c>
      <c r="W8498" t="str">
        <f>"                 156"</f>
        <v xml:space="preserve">                 156</v>
      </c>
      <c r="X8498">
        <v>0</v>
      </c>
      <c r="Y8498">
        <v>700.98</v>
      </c>
      <c r="Z8498">
        <v>350.45</v>
      </c>
      <c r="AA8498">
        <v>694</v>
      </c>
      <c r="AB8498" s="1">
        <v>243212.3</v>
      </c>
      <c r="AC8498">
        <v>350.45</v>
      </c>
      <c r="AD8498">
        <v>694</v>
      </c>
      <c r="AE8498" s="1">
        <v>243212.3</v>
      </c>
      <c r="AF8498">
        <v>0</v>
      </c>
      <c r="AJ8498">
        <v>0</v>
      </c>
      <c r="AK8498">
        <v>0</v>
      </c>
      <c r="AL8498">
        <v>0</v>
      </c>
      <c r="AM8498">
        <v>0</v>
      </c>
      <c r="AN8498">
        <v>0</v>
      </c>
      <c r="AO8498">
        <v>0</v>
      </c>
      <c r="AP8498" s="2">
        <v>42746</v>
      </c>
      <c r="AQ8498" t="s">
        <v>72</v>
      </c>
      <c r="AR8498" t="s">
        <v>72</v>
      </c>
      <c r="AS8498">
        <v>2069</v>
      </c>
      <c r="AT8498" s="4">
        <v>41876</v>
      </c>
      <c r="AU8498" t="s">
        <v>73</v>
      </c>
      <c r="AV8498">
        <v>2747</v>
      </c>
      <c r="AW8498" s="4">
        <v>42657</v>
      </c>
      <c r="BD8498">
        <v>0</v>
      </c>
      <c r="BN8498" t="s">
        <v>74</v>
      </c>
    </row>
    <row r="8499" spans="1:66">
      <c r="A8499">
        <v>106288</v>
      </c>
      <c r="B8499" s="3" t="s">
        <v>727</v>
      </c>
      <c r="C8499" s="1">
        <v>43300101</v>
      </c>
      <c r="D8499" t="s">
        <v>67</v>
      </c>
      <c r="H8499" t="str">
        <f t="shared" si="866"/>
        <v>04842170013</v>
      </c>
      <c r="I8499" t="str">
        <f t="shared" si="866"/>
        <v>04842170013</v>
      </c>
      <c r="K8499" t="str">
        <f>""</f>
        <v/>
      </c>
      <c r="M8499" t="s">
        <v>68</v>
      </c>
      <c r="N8499" t="str">
        <f t="shared" si="865"/>
        <v>FOR</v>
      </c>
      <c r="O8499" t="s">
        <v>69</v>
      </c>
      <c r="P8499" s="3" t="s">
        <v>75</v>
      </c>
      <c r="Q8499">
        <v>2016</v>
      </c>
      <c r="R8499" s="2">
        <v>42668</v>
      </c>
      <c r="S8499" s="2">
        <v>42670</v>
      </c>
      <c r="T8499" s="2">
        <v>42668</v>
      </c>
      <c r="U8499" s="2">
        <v>42728</v>
      </c>
      <c r="V8499" t="s">
        <v>71</v>
      </c>
      <c r="W8499" t="str">
        <f>"           E/25/2016"</f>
        <v xml:space="preserve">           E/25/2016</v>
      </c>
      <c r="X8499" s="1">
        <v>18287.099999999999</v>
      </c>
      <c r="Y8499">
        <v>0</v>
      </c>
      <c r="Z8499" s="5">
        <v>18287.099999999999</v>
      </c>
      <c r="AA8499">
        <v>-57</v>
      </c>
      <c r="AB8499" s="5">
        <v>-1042364.7</v>
      </c>
      <c r="AC8499" s="1">
        <v>18287.099999999999</v>
      </c>
      <c r="AD8499">
        <v>-57</v>
      </c>
      <c r="AE8499" s="1">
        <v>-1042364.7</v>
      </c>
      <c r="AF8499">
        <v>0</v>
      </c>
      <c r="AJ8499" s="1">
        <v>18287.099999999999</v>
      </c>
      <c r="AK8499" s="1">
        <v>18287.099999999999</v>
      </c>
      <c r="AL8499" s="1">
        <v>18287.099999999999</v>
      </c>
      <c r="AM8499" s="1">
        <v>18287.099999999999</v>
      </c>
      <c r="AN8499" s="1">
        <v>18287.099999999999</v>
      </c>
      <c r="AO8499" s="1">
        <v>18287.099999999999</v>
      </c>
      <c r="AP8499" s="2">
        <v>42746</v>
      </c>
      <c r="AQ8499" t="s">
        <v>72</v>
      </c>
      <c r="AR8499" t="s">
        <v>72</v>
      </c>
      <c r="AS8499">
        <v>2896</v>
      </c>
      <c r="AT8499" s="4">
        <v>42671</v>
      </c>
      <c r="AV8499">
        <v>2896</v>
      </c>
      <c r="AW8499" s="4">
        <v>42671</v>
      </c>
      <c r="BD8499">
        <v>0</v>
      </c>
      <c r="BN8499" t="s">
        <v>74</v>
      </c>
    </row>
    <row r="8500" spans="1:66" hidden="1">
      <c r="A8500">
        <v>106291</v>
      </c>
      <c r="B8500" s="3" t="s">
        <v>730</v>
      </c>
      <c r="C8500" s="1">
        <v>43500101</v>
      </c>
      <c r="D8500" t="s">
        <v>113</v>
      </c>
      <c r="H8500" t="str">
        <f t="shared" ref="H8500:H8510" si="867">"PNGNMR65L62C280A"</f>
        <v>PNGNMR65L62C280A</v>
      </c>
      <c r="I8500" t="str">
        <f>""</f>
        <v/>
      </c>
      <c r="K8500" t="str">
        <f>""</f>
        <v/>
      </c>
      <c r="M8500" t="s">
        <v>68</v>
      </c>
      <c r="N8500" t="str">
        <f t="shared" ref="N8500:N8522" si="868">"ALT"</f>
        <v>ALT</v>
      </c>
      <c r="O8500" t="s">
        <v>114</v>
      </c>
      <c r="P8500" s="3" t="s">
        <v>84</v>
      </c>
      <c r="Q8500">
        <v>2016</v>
      </c>
      <c r="R8500" s="2">
        <v>42389</v>
      </c>
      <c r="S8500" s="2">
        <v>42390</v>
      </c>
      <c r="T8500" s="2">
        <v>42390</v>
      </c>
      <c r="U8500" s="2">
        <v>42450</v>
      </c>
      <c r="V8500" t="s">
        <v>71</v>
      </c>
      <c r="W8500" t="str">
        <f>"                0120"</f>
        <v xml:space="preserve">                0120</v>
      </c>
      <c r="X8500">
        <v>0</v>
      </c>
      <c r="Y8500">
        <v>300</v>
      </c>
      <c r="Z8500"/>
      <c r="AB8500"/>
      <c r="AC8500">
        <v>300</v>
      </c>
      <c r="AD8500">
        <v>-60</v>
      </c>
      <c r="AE8500" s="1">
        <v>-18000</v>
      </c>
      <c r="AF8500">
        <v>0</v>
      </c>
      <c r="AJ8500">
        <v>0</v>
      </c>
      <c r="AK8500">
        <v>0</v>
      </c>
      <c r="AL8500">
        <v>0</v>
      </c>
      <c r="AM8500">
        <v>300</v>
      </c>
      <c r="AN8500">
        <v>300</v>
      </c>
      <c r="AO8500">
        <v>300</v>
      </c>
      <c r="AP8500" s="2">
        <v>42746</v>
      </c>
      <c r="AQ8500" t="s">
        <v>72</v>
      </c>
      <c r="AR8500" t="s">
        <v>72</v>
      </c>
      <c r="AS8500">
        <v>77</v>
      </c>
      <c r="AT8500" s="4">
        <v>42390</v>
      </c>
      <c r="AV8500">
        <v>77</v>
      </c>
      <c r="AW8500" s="4">
        <v>42390</v>
      </c>
      <c r="BD8500">
        <v>0</v>
      </c>
      <c r="BN8500" t="s">
        <v>74</v>
      </c>
    </row>
    <row r="8501" spans="1:66" hidden="1">
      <c r="A8501">
        <v>106291</v>
      </c>
      <c r="B8501" s="3" t="s">
        <v>730</v>
      </c>
      <c r="C8501" s="1">
        <v>43500101</v>
      </c>
      <c r="D8501" t="s">
        <v>113</v>
      </c>
      <c r="H8501" t="str">
        <f t="shared" si="867"/>
        <v>PNGNMR65L62C280A</v>
      </c>
      <c r="I8501" t="str">
        <f>""</f>
        <v/>
      </c>
      <c r="K8501" t="str">
        <f>""</f>
        <v/>
      </c>
      <c r="M8501" t="s">
        <v>68</v>
      </c>
      <c r="N8501" t="str">
        <f t="shared" si="868"/>
        <v>ALT</v>
      </c>
      <c r="O8501" t="s">
        <v>114</v>
      </c>
      <c r="P8501" s="3" t="s">
        <v>85</v>
      </c>
      <c r="Q8501">
        <v>2016</v>
      </c>
      <c r="R8501" s="2">
        <v>42422</v>
      </c>
      <c r="S8501" s="2">
        <v>42422</v>
      </c>
      <c r="T8501" s="2">
        <v>42422</v>
      </c>
      <c r="U8501" s="2">
        <v>42482</v>
      </c>
      <c r="V8501" t="s">
        <v>71</v>
      </c>
      <c r="W8501" t="str">
        <f>"                0222"</f>
        <v xml:space="preserve">                0222</v>
      </c>
      <c r="X8501">
        <v>0</v>
      </c>
      <c r="Y8501">
        <v>300</v>
      </c>
      <c r="Z8501"/>
      <c r="AB8501"/>
      <c r="AC8501">
        <v>300</v>
      </c>
      <c r="AD8501">
        <v>-58</v>
      </c>
      <c r="AE8501" s="1">
        <v>-17400</v>
      </c>
      <c r="AF8501">
        <v>0</v>
      </c>
      <c r="AJ8501">
        <v>0</v>
      </c>
      <c r="AK8501">
        <v>0</v>
      </c>
      <c r="AL8501">
        <v>0</v>
      </c>
      <c r="AM8501">
        <v>300</v>
      </c>
      <c r="AN8501">
        <v>300</v>
      </c>
      <c r="AO8501">
        <v>300</v>
      </c>
      <c r="AP8501" s="2">
        <v>42746</v>
      </c>
      <c r="AQ8501" t="s">
        <v>72</v>
      </c>
      <c r="AR8501" t="s">
        <v>72</v>
      </c>
      <c r="AS8501">
        <v>521</v>
      </c>
      <c r="AT8501" s="4">
        <v>42424</v>
      </c>
      <c r="AV8501">
        <v>521</v>
      </c>
      <c r="AW8501" s="4">
        <v>42424</v>
      </c>
      <c r="BD8501">
        <v>0</v>
      </c>
      <c r="BN8501" t="s">
        <v>74</v>
      </c>
    </row>
    <row r="8502" spans="1:66" hidden="1">
      <c r="A8502">
        <v>106291</v>
      </c>
      <c r="B8502" s="3" t="s">
        <v>730</v>
      </c>
      <c r="C8502" s="1">
        <v>43500101</v>
      </c>
      <c r="D8502" t="s">
        <v>113</v>
      </c>
      <c r="H8502" t="str">
        <f t="shared" si="867"/>
        <v>PNGNMR65L62C280A</v>
      </c>
      <c r="I8502" t="str">
        <f>""</f>
        <v/>
      </c>
      <c r="K8502" t="str">
        <f>""</f>
        <v/>
      </c>
      <c r="M8502" t="s">
        <v>68</v>
      </c>
      <c r="N8502" t="str">
        <f t="shared" si="868"/>
        <v>ALT</v>
      </c>
      <c r="O8502" t="s">
        <v>114</v>
      </c>
      <c r="P8502" s="3" t="s">
        <v>86</v>
      </c>
      <c r="Q8502">
        <v>2016</v>
      </c>
      <c r="R8502" s="2">
        <v>42450</v>
      </c>
      <c r="S8502" s="2">
        <v>42450</v>
      </c>
      <c r="T8502" s="2">
        <v>42450</v>
      </c>
      <c r="U8502" s="2">
        <v>42510</v>
      </c>
      <c r="V8502" t="s">
        <v>71</v>
      </c>
      <c r="W8502" t="str">
        <f>"                0321"</f>
        <v xml:space="preserve">                0321</v>
      </c>
      <c r="X8502">
        <v>0</v>
      </c>
      <c r="Y8502">
        <v>300</v>
      </c>
      <c r="Z8502"/>
      <c r="AB8502"/>
      <c r="AC8502">
        <v>300</v>
      </c>
      <c r="AD8502">
        <v>-57</v>
      </c>
      <c r="AE8502" s="1">
        <v>-17100</v>
      </c>
      <c r="AF8502">
        <v>0</v>
      </c>
      <c r="AJ8502">
        <v>0</v>
      </c>
      <c r="AK8502">
        <v>0</v>
      </c>
      <c r="AL8502">
        <v>0</v>
      </c>
      <c r="AM8502">
        <v>300</v>
      </c>
      <c r="AN8502">
        <v>300</v>
      </c>
      <c r="AO8502">
        <v>300</v>
      </c>
      <c r="AP8502" s="2">
        <v>42746</v>
      </c>
      <c r="AQ8502" t="s">
        <v>72</v>
      </c>
      <c r="AR8502" t="s">
        <v>72</v>
      </c>
      <c r="AS8502">
        <v>943</v>
      </c>
      <c r="AT8502" s="4">
        <v>42453</v>
      </c>
      <c r="AV8502">
        <v>943</v>
      </c>
      <c r="AW8502" s="4">
        <v>42453</v>
      </c>
      <c r="BD8502">
        <v>0</v>
      </c>
      <c r="BN8502" t="s">
        <v>74</v>
      </c>
    </row>
    <row r="8503" spans="1:66" hidden="1">
      <c r="A8503">
        <v>106291</v>
      </c>
      <c r="B8503" s="3" t="s">
        <v>730</v>
      </c>
      <c r="C8503" s="1">
        <v>43500101</v>
      </c>
      <c r="D8503" t="s">
        <v>113</v>
      </c>
      <c r="H8503" t="str">
        <f t="shared" si="867"/>
        <v>PNGNMR65L62C280A</v>
      </c>
      <c r="I8503" t="str">
        <f>""</f>
        <v/>
      </c>
      <c r="K8503" t="str">
        <f>""</f>
        <v/>
      </c>
      <c r="M8503" t="s">
        <v>68</v>
      </c>
      <c r="N8503" t="str">
        <f t="shared" si="868"/>
        <v>ALT</v>
      </c>
      <c r="O8503" t="s">
        <v>114</v>
      </c>
      <c r="P8503" s="3" t="s">
        <v>87</v>
      </c>
      <c r="Q8503">
        <v>2016</v>
      </c>
      <c r="R8503" s="2">
        <v>42481</v>
      </c>
      <c r="S8503" s="2">
        <v>42481</v>
      </c>
      <c r="T8503" s="2">
        <v>42481</v>
      </c>
      <c r="U8503" s="2">
        <v>42541</v>
      </c>
      <c r="V8503" t="s">
        <v>71</v>
      </c>
      <c r="W8503" t="str">
        <f>"                0421"</f>
        <v xml:space="preserve">                0421</v>
      </c>
      <c r="X8503">
        <v>0</v>
      </c>
      <c r="Y8503">
        <v>300</v>
      </c>
      <c r="Z8503"/>
      <c r="AB8503"/>
      <c r="AC8503">
        <v>300</v>
      </c>
      <c r="AD8503">
        <v>-60</v>
      </c>
      <c r="AE8503" s="1">
        <v>-18000</v>
      </c>
      <c r="AF8503">
        <v>0</v>
      </c>
      <c r="AJ8503">
        <v>0</v>
      </c>
      <c r="AK8503">
        <v>0</v>
      </c>
      <c r="AL8503">
        <v>0</v>
      </c>
      <c r="AM8503">
        <v>300</v>
      </c>
      <c r="AN8503">
        <v>300</v>
      </c>
      <c r="AO8503">
        <v>300</v>
      </c>
      <c r="AP8503" s="2">
        <v>42746</v>
      </c>
      <c r="AQ8503" t="s">
        <v>72</v>
      </c>
      <c r="AR8503" t="s">
        <v>72</v>
      </c>
      <c r="AS8503">
        <v>1108</v>
      </c>
      <c r="AT8503" s="4">
        <v>42481</v>
      </c>
      <c r="AV8503">
        <v>1108</v>
      </c>
      <c r="AW8503" s="4">
        <v>42481</v>
      </c>
      <c r="BD8503">
        <v>0</v>
      </c>
      <c r="BN8503" t="s">
        <v>74</v>
      </c>
    </row>
    <row r="8504" spans="1:66" hidden="1">
      <c r="A8504">
        <v>106291</v>
      </c>
      <c r="B8504" s="3" t="s">
        <v>730</v>
      </c>
      <c r="C8504" s="1">
        <v>43500101</v>
      </c>
      <c r="D8504" t="s">
        <v>113</v>
      </c>
      <c r="H8504" t="str">
        <f t="shared" si="867"/>
        <v>PNGNMR65L62C280A</v>
      </c>
      <c r="I8504" t="str">
        <f>""</f>
        <v/>
      </c>
      <c r="K8504" t="str">
        <f>""</f>
        <v/>
      </c>
      <c r="M8504" t="s">
        <v>68</v>
      </c>
      <c r="N8504" t="str">
        <f t="shared" si="868"/>
        <v>ALT</v>
      </c>
      <c r="O8504" t="s">
        <v>114</v>
      </c>
      <c r="P8504" s="3" t="s">
        <v>88</v>
      </c>
      <c r="Q8504">
        <v>2016</v>
      </c>
      <c r="R8504" s="2">
        <v>42508</v>
      </c>
      <c r="S8504" s="2">
        <v>42510</v>
      </c>
      <c r="T8504" s="2">
        <v>42510</v>
      </c>
      <c r="U8504" s="2">
        <v>42570</v>
      </c>
      <c r="V8504" t="s">
        <v>71</v>
      </c>
      <c r="W8504" t="str">
        <f>"                0518"</f>
        <v xml:space="preserve">                0518</v>
      </c>
      <c r="X8504">
        <v>0</v>
      </c>
      <c r="Y8504">
        <v>300</v>
      </c>
      <c r="Z8504"/>
      <c r="AB8504"/>
      <c r="AC8504">
        <v>300</v>
      </c>
      <c r="AD8504">
        <v>-57</v>
      </c>
      <c r="AE8504" s="1">
        <v>-17100</v>
      </c>
      <c r="AF8504">
        <v>0</v>
      </c>
      <c r="AJ8504">
        <v>0</v>
      </c>
      <c r="AK8504">
        <v>0</v>
      </c>
      <c r="AL8504">
        <v>0</v>
      </c>
      <c r="AM8504">
        <v>300</v>
      </c>
      <c r="AN8504">
        <v>300</v>
      </c>
      <c r="AO8504">
        <v>300</v>
      </c>
      <c r="AP8504" s="2">
        <v>42746</v>
      </c>
      <c r="AQ8504" t="s">
        <v>72</v>
      </c>
      <c r="AR8504" t="s">
        <v>72</v>
      </c>
      <c r="AS8504">
        <v>1346</v>
      </c>
      <c r="AT8504" s="4">
        <v>42513</v>
      </c>
      <c r="AV8504">
        <v>1346</v>
      </c>
      <c r="AW8504" s="4">
        <v>42513</v>
      </c>
      <c r="BD8504">
        <v>0</v>
      </c>
      <c r="BN8504" t="s">
        <v>74</v>
      </c>
    </row>
    <row r="8505" spans="1:66" hidden="1">
      <c r="A8505">
        <v>106291</v>
      </c>
      <c r="B8505" s="3" t="s">
        <v>730</v>
      </c>
      <c r="C8505" s="1">
        <v>43500101</v>
      </c>
      <c r="D8505" t="s">
        <v>113</v>
      </c>
      <c r="H8505" t="str">
        <f t="shared" si="867"/>
        <v>PNGNMR65L62C280A</v>
      </c>
      <c r="I8505" t="str">
        <f>""</f>
        <v/>
      </c>
      <c r="K8505" t="str">
        <f>""</f>
        <v/>
      </c>
      <c r="M8505" t="s">
        <v>68</v>
      </c>
      <c r="N8505" t="str">
        <f t="shared" si="868"/>
        <v>ALT</v>
      </c>
      <c r="O8505" t="s">
        <v>114</v>
      </c>
      <c r="P8505" s="3" t="s">
        <v>89</v>
      </c>
      <c r="Q8505">
        <v>2016</v>
      </c>
      <c r="R8505" s="2">
        <v>42548</v>
      </c>
      <c r="S8505" s="2">
        <v>42543</v>
      </c>
      <c r="T8505" s="2">
        <v>42543</v>
      </c>
      <c r="U8505" s="2">
        <v>42603</v>
      </c>
      <c r="V8505" t="s">
        <v>71</v>
      </c>
      <c r="W8505" t="str">
        <f>"                0627"</f>
        <v xml:space="preserve">                0627</v>
      </c>
      <c r="X8505">
        <v>0</v>
      </c>
      <c r="Y8505">
        <v>300</v>
      </c>
      <c r="Z8505"/>
      <c r="AB8505"/>
      <c r="AC8505">
        <v>300</v>
      </c>
      <c r="AD8505">
        <v>-47</v>
      </c>
      <c r="AE8505" s="1">
        <v>-14100</v>
      </c>
      <c r="AF8505">
        <v>0</v>
      </c>
      <c r="AJ8505">
        <v>0</v>
      </c>
      <c r="AK8505">
        <v>0</v>
      </c>
      <c r="AL8505">
        <v>0</v>
      </c>
      <c r="AM8505">
        <v>300</v>
      </c>
      <c r="AN8505">
        <v>300</v>
      </c>
      <c r="AO8505">
        <v>300</v>
      </c>
      <c r="AP8505" s="2">
        <v>42746</v>
      </c>
      <c r="AQ8505" t="s">
        <v>72</v>
      </c>
      <c r="AR8505" t="s">
        <v>72</v>
      </c>
      <c r="AS8505">
        <v>1729</v>
      </c>
      <c r="AT8505" s="4">
        <v>42556</v>
      </c>
      <c r="AV8505">
        <v>1729</v>
      </c>
      <c r="AW8505" s="4">
        <v>42556</v>
      </c>
      <c r="BD8505">
        <v>0</v>
      </c>
      <c r="BN8505" t="s">
        <v>74</v>
      </c>
    </row>
    <row r="8506" spans="1:66" hidden="1">
      <c r="A8506">
        <v>106291</v>
      </c>
      <c r="B8506" s="3" t="s">
        <v>730</v>
      </c>
      <c r="C8506" s="1">
        <v>43500101</v>
      </c>
      <c r="D8506" t="s">
        <v>113</v>
      </c>
      <c r="H8506" t="str">
        <f t="shared" si="867"/>
        <v>PNGNMR65L62C280A</v>
      </c>
      <c r="I8506" t="str">
        <f>""</f>
        <v/>
      </c>
      <c r="K8506" t="str">
        <f>""</f>
        <v/>
      </c>
      <c r="M8506" t="s">
        <v>68</v>
      </c>
      <c r="N8506" t="str">
        <f t="shared" si="868"/>
        <v>ALT</v>
      </c>
      <c r="O8506" t="s">
        <v>114</v>
      </c>
      <c r="P8506" s="3" t="s">
        <v>90</v>
      </c>
      <c r="Q8506">
        <v>2016</v>
      </c>
      <c r="R8506" s="2">
        <v>42573</v>
      </c>
      <c r="S8506" s="2">
        <v>42573</v>
      </c>
      <c r="T8506" s="2">
        <v>42573</v>
      </c>
      <c r="U8506" s="2">
        <v>42633</v>
      </c>
      <c r="V8506" t="s">
        <v>71</v>
      </c>
      <c r="W8506" t="str">
        <f>"                0722"</f>
        <v xml:space="preserve">                0722</v>
      </c>
      <c r="X8506">
        <v>0</v>
      </c>
      <c r="Y8506">
        <v>300</v>
      </c>
      <c r="Z8506"/>
      <c r="AB8506"/>
      <c r="AC8506">
        <v>300</v>
      </c>
      <c r="AD8506">
        <v>-48</v>
      </c>
      <c r="AE8506" s="1">
        <v>-14400</v>
      </c>
      <c r="AF8506">
        <v>0</v>
      </c>
      <c r="AJ8506">
        <v>0</v>
      </c>
      <c r="AK8506">
        <v>0</v>
      </c>
      <c r="AL8506">
        <v>0</v>
      </c>
      <c r="AM8506">
        <v>300</v>
      </c>
      <c r="AN8506">
        <v>300</v>
      </c>
      <c r="AO8506">
        <v>300</v>
      </c>
      <c r="AP8506" s="2">
        <v>42746</v>
      </c>
      <c r="AQ8506" t="s">
        <v>72</v>
      </c>
      <c r="AR8506" t="s">
        <v>72</v>
      </c>
      <c r="AS8506">
        <v>2128</v>
      </c>
      <c r="AT8506" s="4">
        <v>42585</v>
      </c>
      <c r="AV8506">
        <v>2128</v>
      </c>
      <c r="AW8506" s="4">
        <v>42585</v>
      </c>
      <c r="BD8506">
        <v>0</v>
      </c>
      <c r="BN8506" t="s">
        <v>74</v>
      </c>
    </row>
    <row r="8507" spans="1:66" hidden="1">
      <c r="A8507">
        <v>106291</v>
      </c>
      <c r="B8507" s="3" t="s">
        <v>730</v>
      </c>
      <c r="C8507" s="1">
        <v>43500101</v>
      </c>
      <c r="D8507" t="s">
        <v>113</v>
      </c>
      <c r="H8507" t="str">
        <f t="shared" si="867"/>
        <v>PNGNMR65L62C280A</v>
      </c>
      <c r="I8507" t="str">
        <f>""</f>
        <v/>
      </c>
      <c r="K8507" t="str">
        <f>""</f>
        <v/>
      </c>
      <c r="M8507" t="s">
        <v>68</v>
      </c>
      <c r="N8507" t="str">
        <f t="shared" si="868"/>
        <v>ALT</v>
      </c>
      <c r="O8507" t="s">
        <v>114</v>
      </c>
      <c r="P8507" s="3" t="s">
        <v>91</v>
      </c>
      <c r="Q8507">
        <v>2016</v>
      </c>
      <c r="R8507" s="2">
        <v>42592</v>
      </c>
      <c r="S8507" s="2">
        <v>42598</v>
      </c>
      <c r="T8507" s="2">
        <v>42598</v>
      </c>
      <c r="U8507" s="2">
        <v>42658</v>
      </c>
      <c r="V8507" t="s">
        <v>71</v>
      </c>
      <c r="W8507" t="str">
        <f>"                0810"</f>
        <v xml:space="preserve">                0810</v>
      </c>
      <c r="X8507">
        <v>0</v>
      </c>
      <c r="Y8507">
        <v>300</v>
      </c>
      <c r="Z8507"/>
      <c r="AB8507"/>
      <c r="AC8507">
        <v>300</v>
      </c>
      <c r="AD8507">
        <v>-60</v>
      </c>
      <c r="AE8507" s="1">
        <v>-18000</v>
      </c>
      <c r="AF8507">
        <v>0</v>
      </c>
      <c r="AJ8507">
        <v>0</v>
      </c>
      <c r="AK8507">
        <v>0</v>
      </c>
      <c r="AL8507">
        <v>0</v>
      </c>
      <c r="AM8507">
        <v>300</v>
      </c>
      <c r="AN8507">
        <v>300</v>
      </c>
      <c r="AO8507">
        <v>300</v>
      </c>
      <c r="AP8507" s="2">
        <v>42746</v>
      </c>
      <c r="AQ8507" t="s">
        <v>72</v>
      </c>
      <c r="AR8507" t="s">
        <v>72</v>
      </c>
      <c r="AS8507">
        <v>2210</v>
      </c>
      <c r="AT8507" s="4">
        <v>42598</v>
      </c>
      <c r="AV8507">
        <v>2210</v>
      </c>
      <c r="AW8507" s="4">
        <v>42598</v>
      </c>
      <c r="BD8507">
        <v>0</v>
      </c>
      <c r="BN8507" t="s">
        <v>74</v>
      </c>
    </row>
    <row r="8508" spans="1:66" hidden="1">
      <c r="A8508">
        <v>106291</v>
      </c>
      <c r="B8508" s="3" t="s">
        <v>730</v>
      </c>
      <c r="C8508" s="1">
        <v>43500101</v>
      </c>
      <c r="D8508" t="s">
        <v>113</v>
      </c>
      <c r="H8508" t="str">
        <f t="shared" si="867"/>
        <v>PNGNMR65L62C280A</v>
      </c>
      <c r="I8508" t="str">
        <f>""</f>
        <v/>
      </c>
      <c r="K8508" t="str">
        <f>""</f>
        <v/>
      </c>
      <c r="M8508" t="s">
        <v>68</v>
      </c>
      <c r="N8508" t="str">
        <f t="shared" si="868"/>
        <v>ALT</v>
      </c>
      <c r="O8508" t="s">
        <v>114</v>
      </c>
      <c r="P8508" s="3" t="s">
        <v>92</v>
      </c>
      <c r="Q8508">
        <v>2016</v>
      </c>
      <c r="R8508" s="2">
        <v>42633</v>
      </c>
      <c r="S8508" s="2">
        <v>42634</v>
      </c>
      <c r="T8508" s="2">
        <v>42634</v>
      </c>
      <c r="U8508" s="2">
        <v>42694</v>
      </c>
      <c r="V8508" t="s">
        <v>71</v>
      </c>
      <c r="W8508" t="str">
        <f>"                0920"</f>
        <v xml:space="preserve">                0920</v>
      </c>
      <c r="X8508">
        <v>0</v>
      </c>
      <c r="Y8508">
        <v>300</v>
      </c>
      <c r="Z8508"/>
      <c r="AB8508"/>
      <c r="AC8508">
        <v>300</v>
      </c>
      <c r="AD8508">
        <v>-60</v>
      </c>
      <c r="AE8508" s="1">
        <v>-18000</v>
      </c>
      <c r="AF8508">
        <v>0</v>
      </c>
      <c r="AJ8508">
        <v>0</v>
      </c>
      <c r="AK8508">
        <v>0</v>
      </c>
      <c r="AL8508">
        <v>0</v>
      </c>
      <c r="AM8508">
        <v>300</v>
      </c>
      <c r="AN8508">
        <v>300</v>
      </c>
      <c r="AO8508">
        <v>300</v>
      </c>
      <c r="AP8508" s="2">
        <v>42746</v>
      </c>
      <c r="AQ8508" t="s">
        <v>72</v>
      </c>
      <c r="AR8508" t="s">
        <v>72</v>
      </c>
      <c r="AS8508">
        <v>2483</v>
      </c>
      <c r="AT8508" s="4">
        <v>42634</v>
      </c>
      <c r="AV8508">
        <v>2483</v>
      </c>
      <c r="AW8508" s="4">
        <v>42634</v>
      </c>
      <c r="BD8508">
        <v>0</v>
      </c>
      <c r="BN8508" t="s">
        <v>74</v>
      </c>
    </row>
    <row r="8509" spans="1:66" hidden="1">
      <c r="A8509">
        <v>106291</v>
      </c>
      <c r="B8509" s="3" t="s">
        <v>730</v>
      </c>
      <c r="C8509" s="1">
        <v>43500101</v>
      </c>
      <c r="D8509" t="s">
        <v>113</v>
      </c>
      <c r="H8509" t="str">
        <f t="shared" si="867"/>
        <v>PNGNMR65L62C280A</v>
      </c>
      <c r="I8509" t="str">
        <f>""</f>
        <v/>
      </c>
      <c r="K8509" t="str">
        <f>""</f>
        <v/>
      </c>
      <c r="M8509" t="s">
        <v>68</v>
      </c>
      <c r="N8509" t="str">
        <f t="shared" si="868"/>
        <v>ALT</v>
      </c>
      <c r="O8509" t="s">
        <v>114</v>
      </c>
      <c r="P8509" s="3" t="s">
        <v>93</v>
      </c>
      <c r="Q8509">
        <v>2016</v>
      </c>
      <c r="R8509" s="2">
        <v>42664</v>
      </c>
      <c r="S8509" s="2">
        <v>42667</v>
      </c>
      <c r="T8509" s="2">
        <v>42667</v>
      </c>
      <c r="U8509" s="2">
        <v>42727</v>
      </c>
      <c r="V8509" t="s">
        <v>71</v>
      </c>
      <c r="W8509" t="str">
        <f>"                1021"</f>
        <v xml:space="preserve">                1021</v>
      </c>
      <c r="X8509">
        <v>0</v>
      </c>
      <c r="Y8509">
        <v>300</v>
      </c>
      <c r="Z8509" s="3">
        <v>300</v>
      </c>
      <c r="AA8509">
        <v>-60</v>
      </c>
      <c r="AB8509" s="5">
        <v>-18000</v>
      </c>
      <c r="AC8509">
        <v>300</v>
      </c>
      <c r="AD8509">
        <v>-60</v>
      </c>
      <c r="AE8509" s="1">
        <v>-18000</v>
      </c>
      <c r="AF8509">
        <v>0</v>
      </c>
      <c r="AJ8509">
        <v>300</v>
      </c>
      <c r="AK8509">
        <v>300</v>
      </c>
      <c r="AL8509">
        <v>300</v>
      </c>
      <c r="AM8509">
        <v>300</v>
      </c>
      <c r="AN8509">
        <v>300</v>
      </c>
      <c r="AO8509">
        <v>300</v>
      </c>
      <c r="AP8509" s="2">
        <v>42746</v>
      </c>
      <c r="AQ8509" t="s">
        <v>72</v>
      </c>
      <c r="AR8509" t="s">
        <v>72</v>
      </c>
      <c r="AS8509">
        <v>2831</v>
      </c>
      <c r="AT8509" s="4">
        <v>42667</v>
      </c>
      <c r="AV8509">
        <v>2831</v>
      </c>
      <c r="AW8509" s="4">
        <v>42667</v>
      </c>
      <c r="BD8509">
        <v>0</v>
      </c>
      <c r="BN8509" t="s">
        <v>74</v>
      </c>
    </row>
    <row r="8510" spans="1:66" hidden="1">
      <c r="A8510">
        <v>106291</v>
      </c>
      <c r="B8510" s="3" t="s">
        <v>730</v>
      </c>
      <c r="C8510" s="1">
        <v>43500101</v>
      </c>
      <c r="D8510" t="s">
        <v>113</v>
      </c>
      <c r="H8510" t="str">
        <f t="shared" si="867"/>
        <v>PNGNMR65L62C280A</v>
      </c>
      <c r="I8510" t="str">
        <f>""</f>
        <v/>
      </c>
      <c r="K8510" t="str">
        <f>""</f>
        <v/>
      </c>
      <c r="M8510" t="s">
        <v>68</v>
      </c>
      <c r="N8510" t="str">
        <f t="shared" si="868"/>
        <v>ALT</v>
      </c>
      <c r="O8510" t="s">
        <v>114</v>
      </c>
      <c r="P8510" s="3" t="s">
        <v>94</v>
      </c>
      <c r="Q8510">
        <v>2016</v>
      </c>
      <c r="R8510" s="2">
        <v>42696</v>
      </c>
      <c r="S8510" s="2">
        <v>42696</v>
      </c>
      <c r="T8510" s="2">
        <v>42696</v>
      </c>
      <c r="U8510" s="2">
        <v>42756</v>
      </c>
      <c r="V8510" t="s">
        <v>71</v>
      </c>
      <c r="W8510" t="str">
        <f>"                1122"</f>
        <v xml:space="preserve">                1122</v>
      </c>
      <c r="X8510">
        <v>0</v>
      </c>
      <c r="Y8510">
        <v>300</v>
      </c>
      <c r="Z8510" s="3">
        <v>300</v>
      </c>
      <c r="AA8510">
        <v>-59</v>
      </c>
      <c r="AB8510" s="5">
        <v>-17700</v>
      </c>
      <c r="AC8510">
        <v>300</v>
      </c>
      <c r="AD8510">
        <v>-59</v>
      </c>
      <c r="AE8510" s="1">
        <v>-17700</v>
      </c>
      <c r="AF8510">
        <v>0</v>
      </c>
      <c r="AJ8510">
        <v>300</v>
      </c>
      <c r="AK8510">
        <v>300</v>
      </c>
      <c r="AL8510">
        <v>300</v>
      </c>
      <c r="AM8510">
        <v>300</v>
      </c>
      <c r="AN8510">
        <v>300</v>
      </c>
      <c r="AO8510">
        <v>300</v>
      </c>
      <c r="AP8510" s="2">
        <v>42746</v>
      </c>
      <c r="AQ8510" t="s">
        <v>72</v>
      </c>
      <c r="AR8510" t="s">
        <v>72</v>
      </c>
      <c r="AS8510">
        <v>3269</v>
      </c>
      <c r="AT8510" s="4">
        <v>42697</v>
      </c>
      <c r="AV8510">
        <v>3269</v>
      </c>
      <c r="AW8510" s="4">
        <v>42697</v>
      </c>
      <c r="BD8510">
        <v>0</v>
      </c>
      <c r="BN8510" t="s">
        <v>74</v>
      </c>
    </row>
    <row r="8511" spans="1:66" hidden="1">
      <c r="A8511">
        <v>106295</v>
      </c>
      <c r="B8511" s="3" t="s">
        <v>731</v>
      </c>
      <c r="C8511" s="1">
        <v>43500101</v>
      </c>
      <c r="D8511" t="s">
        <v>113</v>
      </c>
      <c r="H8511" t="str">
        <f t="shared" ref="H8511:I8522" si="869">"02402101204"</f>
        <v>02402101204</v>
      </c>
      <c r="I8511" t="str">
        <f t="shared" si="869"/>
        <v>02402101204</v>
      </c>
      <c r="K8511" t="str">
        <f>""</f>
        <v/>
      </c>
      <c r="M8511" t="s">
        <v>68</v>
      </c>
      <c r="N8511" t="str">
        <f t="shared" si="868"/>
        <v>ALT</v>
      </c>
      <c r="O8511" t="s">
        <v>114</v>
      </c>
      <c r="P8511" s="3" t="s">
        <v>84</v>
      </c>
      <c r="Q8511">
        <v>2016</v>
      </c>
      <c r="R8511" s="2">
        <v>42389</v>
      </c>
      <c r="S8511" s="2">
        <v>42390</v>
      </c>
      <c r="T8511" s="2">
        <v>42390</v>
      </c>
      <c r="U8511" s="2">
        <v>42450</v>
      </c>
      <c r="V8511" t="s">
        <v>71</v>
      </c>
      <c r="W8511" t="str">
        <f>"                0120"</f>
        <v xml:space="preserve">                0120</v>
      </c>
      <c r="X8511">
        <v>0</v>
      </c>
      <c r="Y8511">
        <v>850</v>
      </c>
      <c r="Z8511"/>
      <c r="AB8511"/>
      <c r="AC8511">
        <v>850</v>
      </c>
      <c r="AD8511">
        <v>-60</v>
      </c>
      <c r="AE8511" s="1">
        <v>-51000</v>
      </c>
      <c r="AF8511">
        <v>0</v>
      </c>
      <c r="AJ8511">
        <v>0</v>
      </c>
      <c r="AK8511">
        <v>0</v>
      </c>
      <c r="AL8511">
        <v>0</v>
      </c>
      <c r="AM8511">
        <v>850</v>
      </c>
      <c r="AN8511">
        <v>850</v>
      </c>
      <c r="AO8511">
        <v>850</v>
      </c>
      <c r="AP8511" s="2">
        <v>42746</v>
      </c>
      <c r="AQ8511" t="s">
        <v>72</v>
      </c>
      <c r="AR8511" t="s">
        <v>72</v>
      </c>
      <c r="AS8511">
        <v>20</v>
      </c>
      <c r="AT8511" s="4">
        <v>42390</v>
      </c>
      <c r="AV8511">
        <v>20</v>
      </c>
      <c r="AW8511" s="4">
        <v>42390</v>
      </c>
      <c r="BD8511">
        <v>0</v>
      </c>
      <c r="BN8511" t="s">
        <v>74</v>
      </c>
    </row>
    <row r="8512" spans="1:66" hidden="1">
      <c r="A8512">
        <v>106295</v>
      </c>
      <c r="B8512" s="3" t="s">
        <v>731</v>
      </c>
      <c r="C8512" s="1">
        <v>43500101</v>
      </c>
      <c r="D8512" t="s">
        <v>113</v>
      </c>
      <c r="H8512" t="str">
        <f t="shared" si="869"/>
        <v>02402101204</v>
      </c>
      <c r="I8512" t="str">
        <f t="shared" si="869"/>
        <v>02402101204</v>
      </c>
      <c r="K8512" t="str">
        <f>""</f>
        <v/>
      </c>
      <c r="M8512" t="s">
        <v>68</v>
      </c>
      <c r="N8512" t="str">
        <f t="shared" si="868"/>
        <v>ALT</v>
      </c>
      <c r="O8512" t="s">
        <v>114</v>
      </c>
      <c r="P8512" s="3" t="s">
        <v>85</v>
      </c>
      <c r="Q8512">
        <v>2016</v>
      </c>
      <c r="R8512" s="2">
        <v>42422</v>
      </c>
      <c r="S8512" s="2">
        <v>42422</v>
      </c>
      <c r="T8512" s="2">
        <v>42422</v>
      </c>
      <c r="U8512" s="2">
        <v>42482</v>
      </c>
      <c r="V8512" t="s">
        <v>71</v>
      </c>
      <c r="W8512" t="str">
        <f>"                0222"</f>
        <v xml:space="preserve">                0222</v>
      </c>
      <c r="X8512">
        <v>0</v>
      </c>
      <c r="Y8512">
        <v>850</v>
      </c>
      <c r="Z8512"/>
      <c r="AB8512"/>
      <c r="AC8512">
        <v>850</v>
      </c>
      <c r="AD8512">
        <v>-58</v>
      </c>
      <c r="AE8512" s="1">
        <v>-49300</v>
      </c>
      <c r="AF8512">
        <v>0</v>
      </c>
      <c r="AJ8512">
        <v>0</v>
      </c>
      <c r="AK8512">
        <v>0</v>
      </c>
      <c r="AL8512">
        <v>0</v>
      </c>
      <c r="AM8512">
        <v>850</v>
      </c>
      <c r="AN8512">
        <v>850</v>
      </c>
      <c r="AO8512">
        <v>850</v>
      </c>
      <c r="AP8512" s="2">
        <v>42746</v>
      </c>
      <c r="AQ8512" t="s">
        <v>72</v>
      </c>
      <c r="AR8512" t="s">
        <v>72</v>
      </c>
      <c r="AS8512">
        <v>465</v>
      </c>
      <c r="AT8512" s="4">
        <v>42424</v>
      </c>
      <c r="AV8512">
        <v>465</v>
      </c>
      <c r="AW8512" s="4">
        <v>42424</v>
      </c>
      <c r="BD8512">
        <v>0</v>
      </c>
      <c r="BN8512" t="s">
        <v>74</v>
      </c>
    </row>
    <row r="8513" spans="1:66" hidden="1">
      <c r="A8513">
        <v>106295</v>
      </c>
      <c r="B8513" s="3" t="s">
        <v>731</v>
      </c>
      <c r="C8513" s="1">
        <v>43500101</v>
      </c>
      <c r="D8513" t="s">
        <v>113</v>
      </c>
      <c r="H8513" t="str">
        <f t="shared" si="869"/>
        <v>02402101204</v>
      </c>
      <c r="I8513" t="str">
        <f t="shared" si="869"/>
        <v>02402101204</v>
      </c>
      <c r="K8513" t="str">
        <f>""</f>
        <v/>
      </c>
      <c r="M8513" t="s">
        <v>68</v>
      </c>
      <c r="N8513" t="str">
        <f t="shared" si="868"/>
        <v>ALT</v>
      </c>
      <c r="O8513" t="s">
        <v>114</v>
      </c>
      <c r="P8513" s="3" t="s">
        <v>86</v>
      </c>
      <c r="Q8513">
        <v>2016</v>
      </c>
      <c r="R8513" s="2">
        <v>42450</v>
      </c>
      <c r="S8513" s="2">
        <v>42450</v>
      </c>
      <c r="T8513" s="2">
        <v>42450</v>
      </c>
      <c r="U8513" s="2">
        <v>42510</v>
      </c>
      <c r="V8513" t="s">
        <v>71</v>
      </c>
      <c r="W8513" t="str">
        <f>"                0321"</f>
        <v xml:space="preserve">                0321</v>
      </c>
      <c r="X8513">
        <v>0</v>
      </c>
      <c r="Y8513">
        <v>850</v>
      </c>
      <c r="Z8513"/>
      <c r="AB8513"/>
      <c r="AC8513">
        <v>850</v>
      </c>
      <c r="AD8513">
        <v>-57</v>
      </c>
      <c r="AE8513" s="1">
        <v>-48450</v>
      </c>
      <c r="AF8513">
        <v>0</v>
      </c>
      <c r="AJ8513">
        <v>0</v>
      </c>
      <c r="AK8513">
        <v>0</v>
      </c>
      <c r="AL8513">
        <v>0</v>
      </c>
      <c r="AM8513">
        <v>850</v>
      </c>
      <c r="AN8513">
        <v>850</v>
      </c>
      <c r="AO8513">
        <v>850</v>
      </c>
      <c r="AP8513" s="2">
        <v>42746</v>
      </c>
      <c r="AQ8513" t="s">
        <v>72</v>
      </c>
      <c r="AR8513" t="s">
        <v>72</v>
      </c>
      <c r="AS8513">
        <v>887</v>
      </c>
      <c r="AT8513" s="4">
        <v>42453</v>
      </c>
      <c r="AV8513">
        <v>887</v>
      </c>
      <c r="AW8513" s="4">
        <v>42453</v>
      </c>
      <c r="BD8513">
        <v>0</v>
      </c>
      <c r="BN8513" t="s">
        <v>74</v>
      </c>
    </row>
    <row r="8514" spans="1:66" hidden="1">
      <c r="A8514">
        <v>106295</v>
      </c>
      <c r="B8514" s="3" t="s">
        <v>731</v>
      </c>
      <c r="C8514" s="1">
        <v>43500101</v>
      </c>
      <c r="D8514" t="s">
        <v>113</v>
      </c>
      <c r="H8514" t="str">
        <f t="shared" si="869"/>
        <v>02402101204</v>
      </c>
      <c r="I8514" t="str">
        <f t="shared" si="869"/>
        <v>02402101204</v>
      </c>
      <c r="K8514" t="str">
        <f>""</f>
        <v/>
      </c>
      <c r="M8514" t="s">
        <v>68</v>
      </c>
      <c r="N8514" t="str">
        <f t="shared" si="868"/>
        <v>ALT</v>
      </c>
      <c r="O8514" t="s">
        <v>114</v>
      </c>
      <c r="P8514" s="3" t="s">
        <v>87</v>
      </c>
      <c r="Q8514">
        <v>2016</v>
      </c>
      <c r="R8514" s="2">
        <v>42481</v>
      </c>
      <c r="S8514" s="2">
        <v>42481</v>
      </c>
      <c r="T8514" s="2">
        <v>42481</v>
      </c>
      <c r="U8514" s="2">
        <v>42541</v>
      </c>
      <c r="V8514" t="s">
        <v>71</v>
      </c>
      <c r="W8514" t="str">
        <f>"                0421"</f>
        <v xml:space="preserve">                0421</v>
      </c>
      <c r="X8514">
        <v>0</v>
      </c>
      <c r="Y8514">
        <v>850</v>
      </c>
      <c r="Z8514"/>
      <c r="AB8514"/>
      <c r="AC8514">
        <v>850</v>
      </c>
      <c r="AD8514">
        <v>-60</v>
      </c>
      <c r="AE8514" s="1">
        <v>-51000</v>
      </c>
      <c r="AF8514">
        <v>0</v>
      </c>
      <c r="AJ8514">
        <v>0</v>
      </c>
      <c r="AK8514">
        <v>0</v>
      </c>
      <c r="AL8514">
        <v>0</v>
      </c>
      <c r="AM8514">
        <v>850</v>
      </c>
      <c r="AN8514">
        <v>850</v>
      </c>
      <c r="AO8514">
        <v>850</v>
      </c>
      <c r="AP8514" s="2">
        <v>42746</v>
      </c>
      <c r="AQ8514" t="s">
        <v>72</v>
      </c>
      <c r="AR8514" t="s">
        <v>72</v>
      </c>
      <c r="AS8514">
        <v>1053</v>
      </c>
      <c r="AT8514" s="4">
        <v>42481</v>
      </c>
      <c r="AV8514">
        <v>1053</v>
      </c>
      <c r="AW8514" s="4">
        <v>42481</v>
      </c>
      <c r="BD8514">
        <v>0</v>
      </c>
      <c r="BN8514" t="s">
        <v>74</v>
      </c>
    </row>
    <row r="8515" spans="1:66" hidden="1">
      <c r="A8515">
        <v>106295</v>
      </c>
      <c r="B8515" s="3" t="s">
        <v>731</v>
      </c>
      <c r="C8515" s="1">
        <v>43500101</v>
      </c>
      <c r="D8515" t="s">
        <v>113</v>
      </c>
      <c r="H8515" t="str">
        <f t="shared" si="869"/>
        <v>02402101204</v>
      </c>
      <c r="I8515" t="str">
        <f t="shared" si="869"/>
        <v>02402101204</v>
      </c>
      <c r="K8515" t="str">
        <f>""</f>
        <v/>
      </c>
      <c r="M8515" t="s">
        <v>68</v>
      </c>
      <c r="N8515" t="str">
        <f t="shared" si="868"/>
        <v>ALT</v>
      </c>
      <c r="O8515" t="s">
        <v>114</v>
      </c>
      <c r="P8515" s="3" t="s">
        <v>88</v>
      </c>
      <c r="Q8515">
        <v>2016</v>
      </c>
      <c r="R8515" s="2">
        <v>42508</v>
      </c>
      <c r="S8515" s="2">
        <v>42510</v>
      </c>
      <c r="T8515" s="2">
        <v>42510</v>
      </c>
      <c r="U8515" s="2">
        <v>42570</v>
      </c>
      <c r="V8515" t="s">
        <v>71</v>
      </c>
      <c r="W8515" t="str">
        <f>"                0518"</f>
        <v xml:space="preserve">                0518</v>
      </c>
      <c r="X8515">
        <v>0</v>
      </c>
      <c r="Y8515">
        <v>850</v>
      </c>
      <c r="Z8515"/>
      <c r="AB8515"/>
      <c r="AC8515">
        <v>850</v>
      </c>
      <c r="AD8515">
        <v>-57</v>
      </c>
      <c r="AE8515" s="1">
        <v>-48450</v>
      </c>
      <c r="AF8515">
        <v>0</v>
      </c>
      <c r="AJ8515">
        <v>0</v>
      </c>
      <c r="AK8515">
        <v>0</v>
      </c>
      <c r="AL8515">
        <v>0</v>
      </c>
      <c r="AM8515">
        <v>850</v>
      </c>
      <c r="AN8515">
        <v>850</v>
      </c>
      <c r="AO8515">
        <v>850</v>
      </c>
      <c r="AP8515" s="2">
        <v>42746</v>
      </c>
      <c r="AQ8515" t="s">
        <v>72</v>
      </c>
      <c r="AR8515" t="s">
        <v>72</v>
      </c>
      <c r="AS8515">
        <v>1292</v>
      </c>
      <c r="AT8515" s="4">
        <v>42513</v>
      </c>
      <c r="AV8515">
        <v>1292</v>
      </c>
      <c r="AW8515" s="4">
        <v>42513</v>
      </c>
      <c r="BD8515">
        <v>0</v>
      </c>
      <c r="BN8515" t="s">
        <v>74</v>
      </c>
    </row>
    <row r="8516" spans="1:66" hidden="1">
      <c r="A8516">
        <v>106295</v>
      </c>
      <c r="B8516" s="3" t="s">
        <v>731</v>
      </c>
      <c r="C8516" s="1">
        <v>43500101</v>
      </c>
      <c r="D8516" t="s">
        <v>113</v>
      </c>
      <c r="H8516" t="str">
        <f t="shared" si="869"/>
        <v>02402101204</v>
      </c>
      <c r="I8516" t="str">
        <f t="shared" si="869"/>
        <v>02402101204</v>
      </c>
      <c r="K8516" t="str">
        <f>""</f>
        <v/>
      </c>
      <c r="M8516" t="s">
        <v>68</v>
      </c>
      <c r="N8516" t="str">
        <f t="shared" si="868"/>
        <v>ALT</v>
      </c>
      <c r="O8516" t="s">
        <v>114</v>
      </c>
      <c r="P8516" s="3" t="s">
        <v>89</v>
      </c>
      <c r="Q8516">
        <v>2016</v>
      </c>
      <c r="R8516" s="2">
        <v>42548</v>
      </c>
      <c r="S8516" s="2">
        <v>42543</v>
      </c>
      <c r="T8516" s="2">
        <v>42543</v>
      </c>
      <c r="U8516" s="2">
        <v>42603</v>
      </c>
      <c r="V8516" t="s">
        <v>71</v>
      </c>
      <c r="W8516" t="str">
        <f>"                0627"</f>
        <v xml:space="preserve">                0627</v>
      </c>
      <c r="X8516">
        <v>0</v>
      </c>
      <c r="Y8516">
        <v>850</v>
      </c>
      <c r="Z8516"/>
      <c r="AB8516"/>
      <c r="AC8516">
        <v>850</v>
      </c>
      <c r="AD8516">
        <v>-47</v>
      </c>
      <c r="AE8516" s="1">
        <v>-39950</v>
      </c>
      <c r="AF8516">
        <v>0</v>
      </c>
      <c r="AJ8516">
        <v>0</v>
      </c>
      <c r="AK8516">
        <v>0</v>
      </c>
      <c r="AL8516">
        <v>0</v>
      </c>
      <c r="AM8516">
        <v>850</v>
      </c>
      <c r="AN8516">
        <v>850</v>
      </c>
      <c r="AO8516">
        <v>850</v>
      </c>
      <c r="AP8516" s="2">
        <v>42746</v>
      </c>
      <c r="AQ8516" t="s">
        <v>72</v>
      </c>
      <c r="AR8516" t="s">
        <v>72</v>
      </c>
      <c r="AS8516">
        <v>1675</v>
      </c>
      <c r="AT8516" s="4">
        <v>42556</v>
      </c>
      <c r="AV8516">
        <v>1675</v>
      </c>
      <c r="AW8516" s="4">
        <v>42556</v>
      </c>
      <c r="BD8516">
        <v>0</v>
      </c>
      <c r="BN8516" t="s">
        <v>74</v>
      </c>
    </row>
    <row r="8517" spans="1:66" hidden="1">
      <c r="A8517">
        <v>106295</v>
      </c>
      <c r="B8517" s="3" t="s">
        <v>731</v>
      </c>
      <c r="C8517" s="1">
        <v>43500101</v>
      </c>
      <c r="D8517" t="s">
        <v>113</v>
      </c>
      <c r="H8517" t="str">
        <f t="shared" si="869"/>
        <v>02402101204</v>
      </c>
      <c r="I8517" t="str">
        <f t="shared" si="869"/>
        <v>02402101204</v>
      </c>
      <c r="K8517" t="str">
        <f>""</f>
        <v/>
      </c>
      <c r="M8517" t="s">
        <v>68</v>
      </c>
      <c r="N8517" t="str">
        <f t="shared" si="868"/>
        <v>ALT</v>
      </c>
      <c r="O8517" t="s">
        <v>114</v>
      </c>
      <c r="P8517" s="3" t="s">
        <v>90</v>
      </c>
      <c r="Q8517">
        <v>2016</v>
      </c>
      <c r="R8517" s="2">
        <v>42573</v>
      </c>
      <c r="S8517" s="2">
        <v>42573</v>
      </c>
      <c r="T8517" s="2">
        <v>42573</v>
      </c>
      <c r="U8517" s="2">
        <v>42633</v>
      </c>
      <c r="V8517" t="s">
        <v>71</v>
      </c>
      <c r="W8517" t="str">
        <f>"                0722"</f>
        <v xml:space="preserve">                0722</v>
      </c>
      <c r="X8517">
        <v>0</v>
      </c>
      <c r="Y8517">
        <v>850</v>
      </c>
      <c r="Z8517"/>
      <c r="AB8517"/>
      <c r="AC8517">
        <v>850</v>
      </c>
      <c r="AD8517">
        <v>-48</v>
      </c>
      <c r="AE8517" s="1">
        <v>-40800</v>
      </c>
      <c r="AF8517">
        <v>0</v>
      </c>
      <c r="AJ8517">
        <v>0</v>
      </c>
      <c r="AK8517">
        <v>0</v>
      </c>
      <c r="AL8517">
        <v>0</v>
      </c>
      <c r="AM8517">
        <v>850</v>
      </c>
      <c r="AN8517">
        <v>850</v>
      </c>
      <c r="AO8517">
        <v>850</v>
      </c>
      <c r="AP8517" s="2">
        <v>42746</v>
      </c>
      <c r="AQ8517" t="s">
        <v>72</v>
      </c>
      <c r="AR8517" t="s">
        <v>72</v>
      </c>
      <c r="AS8517">
        <v>2075</v>
      </c>
      <c r="AT8517" s="4">
        <v>42585</v>
      </c>
      <c r="AV8517">
        <v>2075</v>
      </c>
      <c r="AW8517" s="4">
        <v>42585</v>
      </c>
      <c r="BD8517">
        <v>0</v>
      </c>
      <c r="BN8517" t="s">
        <v>74</v>
      </c>
    </row>
    <row r="8518" spans="1:66" hidden="1">
      <c r="A8518">
        <v>106295</v>
      </c>
      <c r="B8518" s="3" t="s">
        <v>731</v>
      </c>
      <c r="C8518" s="1">
        <v>43500101</v>
      </c>
      <c r="D8518" t="s">
        <v>113</v>
      </c>
      <c r="H8518" t="str">
        <f t="shared" si="869"/>
        <v>02402101204</v>
      </c>
      <c r="I8518" t="str">
        <f t="shared" si="869"/>
        <v>02402101204</v>
      </c>
      <c r="K8518" t="str">
        <f>""</f>
        <v/>
      </c>
      <c r="M8518" t="s">
        <v>68</v>
      </c>
      <c r="N8518" t="str">
        <f t="shared" si="868"/>
        <v>ALT</v>
      </c>
      <c r="O8518" t="s">
        <v>114</v>
      </c>
      <c r="P8518" s="3" t="s">
        <v>91</v>
      </c>
      <c r="Q8518">
        <v>2016</v>
      </c>
      <c r="R8518" s="2">
        <v>42592</v>
      </c>
      <c r="S8518" s="2">
        <v>42598</v>
      </c>
      <c r="T8518" s="2">
        <v>42598</v>
      </c>
      <c r="U8518" s="2">
        <v>42658</v>
      </c>
      <c r="V8518" t="s">
        <v>71</v>
      </c>
      <c r="W8518" t="str">
        <f>"                0810"</f>
        <v xml:space="preserve">                0810</v>
      </c>
      <c r="X8518">
        <v>0</v>
      </c>
      <c r="Y8518">
        <v>850</v>
      </c>
      <c r="Z8518"/>
      <c r="AB8518"/>
      <c r="AC8518">
        <v>850</v>
      </c>
      <c r="AD8518">
        <v>-60</v>
      </c>
      <c r="AE8518" s="1">
        <v>-51000</v>
      </c>
      <c r="AF8518">
        <v>0</v>
      </c>
      <c r="AJ8518">
        <v>0</v>
      </c>
      <c r="AK8518">
        <v>0</v>
      </c>
      <c r="AL8518">
        <v>0</v>
      </c>
      <c r="AM8518">
        <v>850</v>
      </c>
      <c r="AN8518">
        <v>850</v>
      </c>
      <c r="AO8518">
        <v>850</v>
      </c>
      <c r="AP8518" s="2">
        <v>42746</v>
      </c>
      <c r="AQ8518" t="s">
        <v>72</v>
      </c>
      <c r="AR8518" t="s">
        <v>72</v>
      </c>
      <c r="AS8518">
        <v>2157</v>
      </c>
      <c r="AT8518" s="4">
        <v>42598</v>
      </c>
      <c r="AV8518">
        <v>2157</v>
      </c>
      <c r="AW8518" s="4">
        <v>42598</v>
      </c>
      <c r="BD8518">
        <v>0</v>
      </c>
      <c r="BN8518" t="s">
        <v>74</v>
      </c>
    </row>
    <row r="8519" spans="1:66" hidden="1">
      <c r="A8519">
        <v>106295</v>
      </c>
      <c r="B8519" s="3" t="s">
        <v>731</v>
      </c>
      <c r="C8519" s="1">
        <v>43500101</v>
      </c>
      <c r="D8519" t="s">
        <v>113</v>
      </c>
      <c r="H8519" t="str">
        <f t="shared" si="869"/>
        <v>02402101204</v>
      </c>
      <c r="I8519" t="str">
        <f t="shared" si="869"/>
        <v>02402101204</v>
      </c>
      <c r="K8519" t="str">
        <f>""</f>
        <v/>
      </c>
      <c r="M8519" t="s">
        <v>68</v>
      </c>
      <c r="N8519" t="str">
        <f t="shared" si="868"/>
        <v>ALT</v>
      </c>
      <c r="O8519" t="s">
        <v>114</v>
      </c>
      <c r="P8519" s="3" t="s">
        <v>92</v>
      </c>
      <c r="Q8519">
        <v>2016</v>
      </c>
      <c r="R8519" s="2">
        <v>42633</v>
      </c>
      <c r="S8519" s="2">
        <v>42634</v>
      </c>
      <c r="T8519" s="2">
        <v>42634</v>
      </c>
      <c r="U8519" s="2">
        <v>42694</v>
      </c>
      <c r="V8519" t="s">
        <v>71</v>
      </c>
      <c r="W8519" t="str">
        <f>"                0920"</f>
        <v xml:space="preserve">                0920</v>
      </c>
      <c r="X8519">
        <v>0</v>
      </c>
      <c r="Y8519">
        <v>850</v>
      </c>
      <c r="Z8519"/>
      <c r="AB8519"/>
      <c r="AC8519">
        <v>850</v>
      </c>
      <c r="AD8519">
        <v>-60</v>
      </c>
      <c r="AE8519" s="1">
        <v>-51000</v>
      </c>
      <c r="AF8519">
        <v>0</v>
      </c>
      <c r="AJ8519">
        <v>0</v>
      </c>
      <c r="AK8519">
        <v>0</v>
      </c>
      <c r="AL8519">
        <v>0</v>
      </c>
      <c r="AM8519">
        <v>850</v>
      </c>
      <c r="AN8519">
        <v>850</v>
      </c>
      <c r="AO8519">
        <v>850</v>
      </c>
      <c r="AP8519" s="2">
        <v>42746</v>
      </c>
      <c r="AQ8519" t="s">
        <v>72</v>
      </c>
      <c r="AR8519" t="s">
        <v>72</v>
      </c>
      <c r="AS8519">
        <v>2430</v>
      </c>
      <c r="AT8519" s="4">
        <v>42634</v>
      </c>
      <c r="AV8519">
        <v>2430</v>
      </c>
      <c r="AW8519" s="4">
        <v>42634</v>
      </c>
      <c r="BD8519">
        <v>0</v>
      </c>
      <c r="BN8519" t="s">
        <v>74</v>
      </c>
    </row>
    <row r="8520" spans="1:66" hidden="1">
      <c r="A8520">
        <v>106295</v>
      </c>
      <c r="B8520" s="3" t="s">
        <v>731</v>
      </c>
      <c r="C8520" s="1">
        <v>43500101</v>
      </c>
      <c r="D8520" t="s">
        <v>113</v>
      </c>
      <c r="H8520" t="str">
        <f t="shared" si="869"/>
        <v>02402101204</v>
      </c>
      <c r="I8520" t="str">
        <f t="shared" si="869"/>
        <v>02402101204</v>
      </c>
      <c r="K8520" t="str">
        <f>""</f>
        <v/>
      </c>
      <c r="M8520" t="s">
        <v>68</v>
      </c>
      <c r="N8520" t="str">
        <f t="shared" si="868"/>
        <v>ALT</v>
      </c>
      <c r="O8520" t="s">
        <v>114</v>
      </c>
      <c r="P8520" s="3" t="s">
        <v>93</v>
      </c>
      <c r="Q8520">
        <v>2016</v>
      </c>
      <c r="R8520" s="2">
        <v>42664</v>
      </c>
      <c r="S8520" s="2">
        <v>42667</v>
      </c>
      <c r="T8520" s="2">
        <v>42667</v>
      </c>
      <c r="U8520" s="2">
        <v>42727</v>
      </c>
      <c r="V8520" t="s">
        <v>71</v>
      </c>
      <c r="W8520" t="str">
        <f>"                1021"</f>
        <v xml:space="preserve">                1021</v>
      </c>
      <c r="X8520">
        <v>0</v>
      </c>
      <c r="Y8520">
        <v>850</v>
      </c>
      <c r="Z8520" s="3">
        <v>850</v>
      </c>
      <c r="AA8520">
        <v>-60</v>
      </c>
      <c r="AB8520" s="5">
        <v>-51000</v>
      </c>
      <c r="AC8520">
        <v>850</v>
      </c>
      <c r="AD8520">
        <v>-60</v>
      </c>
      <c r="AE8520" s="1">
        <v>-51000</v>
      </c>
      <c r="AF8520">
        <v>0</v>
      </c>
      <c r="AJ8520">
        <v>850</v>
      </c>
      <c r="AK8520">
        <v>850</v>
      </c>
      <c r="AL8520">
        <v>850</v>
      </c>
      <c r="AM8520">
        <v>850</v>
      </c>
      <c r="AN8520">
        <v>850</v>
      </c>
      <c r="AO8520">
        <v>850</v>
      </c>
      <c r="AP8520" s="2">
        <v>42746</v>
      </c>
      <c r="AQ8520" t="s">
        <v>72</v>
      </c>
      <c r="AR8520" t="s">
        <v>72</v>
      </c>
      <c r="AS8520">
        <v>2777</v>
      </c>
      <c r="AT8520" s="4">
        <v>42667</v>
      </c>
      <c r="AV8520">
        <v>2777</v>
      </c>
      <c r="AW8520" s="4">
        <v>42667</v>
      </c>
      <c r="BD8520">
        <v>0</v>
      </c>
      <c r="BN8520" t="s">
        <v>74</v>
      </c>
    </row>
    <row r="8521" spans="1:66" hidden="1">
      <c r="A8521">
        <v>106295</v>
      </c>
      <c r="B8521" s="3" t="s">
        <v>731</v>
      </c>
      <c r="C8521" s="1">
        <v>43500101</v>
      </c>
      <c r="D8521" t="s">
        <v>113</v>
      </c>
      <c r="H8521" t="str">
        <f t="shared" si="869"/>
        <v>02402101204</v>
      </c>
      <c r="I8521" t="str">
        <f t="shared" si="869"/>
        <v>02402101204</v>
      </c>
      <c r="K8521" t="str">
        <f>""</f>
        <v/>
      </c>
      <c r="M8521" t="s">
        <v>68</v>
      </c>
      <c r="N8521" t="str">
        <f t="shared" si="868"/>
        <v>ALT</v>
      </c>
      <c r="O8521" t="s">
        <v>114</v>
      </c>
      <c r="P8521" s="3" t="s">
        <v>94</v>
      </c>
      <c r="Q8521">
        <v>2016</v>
      </c>
      <c r="R8521" s="2">
        <v>42696</v>
      </c>
      <c r="S8521" s="2">
        <v>42696</v>
      </c>
      <c r="T8521" s="2">
        <v>42696</v>
      </c>
      <c r="U8521" s="2">
        <v>42756</v>
      </c>
      <c r="V8521" t="s">
        <v>71</v>
      </c>
      <c r="W8521" t="str">
        <f>"                1122"</f>
        <v xml:space="preserve">                1122</v>
      </c>
      <c r="X8521">
        <v>0</v>
      </c>
      <c r="Y8521">
        <v>850</v>
      </c>
      <c r="Z8521" s="3">
        <v>850</v>
      </c>
      <c r="AA8521">
        <v>-59</v>
      </c>
      <c r="AB8521" s="5">
        <v>-50150</v>
      </c>
      <c r="AC8521">
        <v>850</v>
      </c>
      <c r="AD8521">
        <v>-59</v>
      </c>
      <c r="AE8521" s="1">
        <v>-50150</v>
      </c>
      <c r="AF8521">
        <v>0</v>
      </c>
      <c r="AJ8521">
        <v>850</v>
      </c>
      <c r="AK8521">
        <v>850</v>
      </c>
      <c r="AL8521">
        <v>850</v>
      </c>
      <c r="AM8521">
        <v>850</v>
      </c>
      <c r="AN8521">
        <v>850</v>
      </c>
      <c r="AO8521">
        <v>850</v>
      </c>
      <c r="AP8521" s="2">
        <v>42746</v>
      </c>
      <c r="AQ8521" t="s">
        <v>72</v>
      </c>
      <c r="AR8521" t="s">
        <v>72</v>
      </c>
      <c r="AS8521">
        <v>3215</v>
      </c>
      <c r="AT8521" s="4">
        <v>42697</v>
      </c>
      <c r="AV8521">
        <v>3215</v>
      </c>
      <c r="AW8521" s="4">
        <v>42697</v>
      </c>
      <c r="BD8521">
        <v>0</v>
      </c>
      <c r="BN8521" t="s">
        <v>74</v>
      </c>
    </row>
    <row r="8522" spans="1:66" hidden="1">
      <c r="A8522">
        <v>106295</v>
      </c>
      <c r="B8522" s="3" t="s">
        <v>731</v>
      </c>
      <c r="C8522" s="1">
        <v>43500101</v>
      </c>
      <c r="D8522" t="s">
        <v>113</v>
      </c>
      <c r="H8522" t="str">
        <f t="shared" si="869"/>
        <v>02402101204</v>
      </c>
      <c r="I8522" t="str">
        <f t="shared" si="869"/>
        <v>02402101204</v>
      </c>
      <c r="K8522" t="str">
        <f>""</f>
        <v/>
      </c>
      <c r="M8522" t="s">
        <v>68</v>
      </c>
      <c r="N8522" t="str">
        <f t="shared" si="868"/>
        <v>ALT</v>
      </c>
      <c r="O8522" t="s">
        <v>114</v>
      </c>
      <c r="P8522" s="3" t="s">
        <v>95</v>
      </c>
      <c r="Q8522">
        <v>2016</v>
      </c>
      <c r="R8522" s="2">
        <v>42717</v>
      </c>
      <c r="S8522" s="2">
        <v>42717</v>
      </c>
      <c r="T8522" s="2">
        <v>42717</v>
      </c>
      <c r="U8522" s="2">
        <v>42777</v>
      </c>
      <c r="V8522" t="s">
        <v>71</v>
      </c>
      <c r="W8522" t="str">
        <f>"                1213"</f>
        <v xml:space="preserve">                1213</v>
      </c>
      <c r="X8522">
        <v>0</v>
      </c>
      <c r="Y8522">
        <v>850</v>
      </c>
      <c r="Z8522" s="3">
        <v>850</v>
      </c>
      <c r="AA8522">
        <v>-59</v>
      </c>
      <c r="AB8522" s="5">
        <v>-50150</v>
      </c>
      <c r="AC8522">
        <v>850</v>
      </c>
      <c r="AD8522">
        <v>-59</v>
      </c>
      <c r="AE8522" s="1">
        <v>-50150</v>
      </c>
      <c r="AF8522">
        <v>0</v>
      </c>
      <c r="AJ8522">
        <v>850</v>
      </c>
      <c r="AK8522">
        <v>850</v>
      </c>
      <c r="AL8522">
        <v>850</v>
      </c>
      <c r="AM8522">
        <v>850</v>
      </c>
      <c r="AN8522">
        <v>850</v>
      </c>
      <c r="AO8522">
        <v>850</v>
      </c>
      <c r="AP8522" s="2">
        <v>42746</v>
      </c>
      <c r="AQ8522" t="s">
        <v>72</v>
      </c>
      <c r="AR8522" t="s">
        <v>72</v>
      </c>
      <c r="AS8522">
        <v>3374</v>
      </c>
      <c r="AT8522" s="4">
        <v>42718</v>
      </c>
      <c r="AV8522">
        <v>3374</v>
      </c>
      <c r="AW8522" s="4">
        <v>42718</v>
      </c>
      <c r="BD8522">
        <v>0</v>
      </c>
      <c r="BN8522" t="s">
        <v>74</v>
      </c>
    </row>
    <row r="8523" spans="1:66" hidden="1">
      <c r="A8523">
        <v>106298</v>
      </c>
      <c r="B8523" s="3" t="s">
        <v>732</v>
      </c>
      <c r="C8523" s="1">
        <v>43500101</v>
      </c>
      <c r="D8523" t="s">
        <v>113</v>
      </c>
      <c r="H8523" t="str">
        <f t="shared" ref="H8523:H8534" si="870">"GDCGRG72E08E919H"</f>
        <v>GDCGRG72E08E919H</v>
      </c>
      <c r="I8523" t="str">
        <f t="shared" ref="I8523:I8534" si="871">"05074110650"</f>
        <v>05074110650</v>
      </c>
      <c r="K8523" t="str">
        <f>""</f>
        <v/>
      </c>
      <c r="M8523" t="s">
        <v>68</v>
      </c>
      <c r="N8523" t="str">
        <f t="shared" ref="N8523:N8534" si="872">"ALTPRO"</f>
        <v>ALTPRO</v>
      </c>
      <c r="O8523" t="s">
        <v>132</v>
      </c>
      <c r="P8523" s="3" t="s">
        <v>75</v>
      </c>
      <c r="Q8523">
        <v>2016</v>
      </c>
      <c r="R8523" s="2">
        <v>42381</v>
      </c>
      <c r="S8523" s="2">
        <v>42382</v>
      </c>
      <c r="T8523" s="2">
        <v>42381</v>
      </c>
      <c r="U8523" s="2">
        <v>42441</v>
      </c>
      <c r="V8523" t="s">
        <v>71</v>
      </c>
      <c r="W8523" t="str">
        <f>"         FATTPA 1_16"</f>
        <v xml:space="preserve">         FATTPA 1_16</v>
      </c>
      <c r="X8523" s="1">
        <v>2307.46</v>
      </c>
      <c r="Y8523">
        <v>-461.09</v>
      </c>
      <c r="Z8523"/>
      <c r="AB8523"/>
      <c r="AC8523" s="1">
        <v>1846.37</v>
      </c>
      <c r="AD8523">
        <v>-44</v>
      </c>
      <c r="AE8523" s="1">
        <v>-81240.28</v>
      </c>
      <c r="AF8523">
        <v>0</v>
      </c>
      <c r="AJ8523">
        <v>0</v>
      </c>
      <c r="AK8523">
        <v>0</v>
      </c>
      <c r="AL8523">
        <v>0</v>
      </c>
      <c r="AM8523">
        <v>-461.09</v>
      </c>
      <c r="AN8523" s="1">
        <v>1846.37</v>
      </c>
      <c r="AO8523" s="1">
        <v>1846.37</v>
      </c>
      <c r="AP8523" s="2">
        <v>42746</v>
      </c>
      <c r="AQ8523" t="s">
        <v>72</v>
      </c>
      <c r="AR8523" t="s">
        <v>72</v>
      </c>
      <c r="AS8523">
        <v>126</v>
      </c>
      <c r="AT8523" s="4">
        <v>42397</v>
      </c>
      <c r="AV8523">
        <v>126</v>
      </c>
      <c r="AW8523" s="4">
        <v>42397</v>
      </c>
      <c r="BD8523">
        <v>0</v>
      </c>
      <c r="BN8523" t="s">
        <v>74</v>
      </c>
    </row>
    <row r="8524" spans="1:66" hidden="1">
      <c r="A8524">
        <v>106298</v>
      </c>
      <c r="B8524" s="3" t="s">
        <v>732</v>
      </c>
      <c r="C8524" s="1">
        <v>43500101</v>
      </c>
      <c r="D8524" t="s">
        <v>113</v>
      </c>
      <c r="H8524" t="str">
        <f t="shared" si="870"/>
        <v>GDCGRG72E08E919H</v>
      </c>
      <c r="I8524" t="str">
        <f t="shared" si="871"/>
        <v>05074110650</v>
      </c>
      <c r="K8524" t="str">
        <f>""</f>
        <v/>
      </c>
      <c r="M8524" t="s">
        <v>68</v>
      </c>
      <c r="N8524" t="str">
        <f t="shared" si="872"/>
        <v>ALTPRO</v>
      </c>
      <c r="O8524" t="s">
        <v>132</v>
      </c>
      <c r="P8524" s="3" t="s">
        <v>75</v>
      </c>
      <c r="Q8524">
        <v>2016</v>
      </c>
      <c r="R8524" s="2">
        <v>42403</v>
      </c>
      <c r="S8524" s="2">
        <v>42404</v>
      </c>
      <c r="T8524" s="2">
        <v>42403</v>
      </c>
      <c r="U8524" s="2">
        <v>42463</v>
      </c>
      <c r="V8524" t="s">
        <v>71</v>
      </c>
      <c r="W8524" t="str">
        <f>"         FATTPA 2_16"</f>
        <v xml:space="preserve">         FATTPA 2_16</v>
      </c>
      <c r="X8524" s="1">
        <v>2530.64</v>
      </c>
      <c r="Y8524">
        <v>-505.73</v>
      </c>
      <c r="Z8524"/>
      <c r="AB8524"/>
      <c r="AC8524" s="1">
        <v>2024.91</v>
      </c>
      <c r="AD8524">
        <v>-37</v>
      </c>
      <c r="AE8524" s="1">
        <v>-74921.67</v>
      </c>
      <c r="AF8524">
        <v>0</v>
      </c>
      <c r="AJ8524">
        <v>0</v>
      </c>
      <c r="AK8524">
        <v>0</v>
      </c>
      <c r="AL8524">
        <v>0</v>
      </c>
      <c r="AM8524" s="1">
        <v>2024.91</v>
      </c>
      <c r="AN8524" s="1">
        <v>2024.91</v>
      </c>
      <c r="AO8524" s="1">
        <v>2024.91</v>
      </c>
      <c r="AP8524" s="2">
        <v>42746</v>
      </c>
      <c r="AQ8524" t="s">
        <v>72</v>
      </c>
      <c r="AR8524" t="s">
        <v>72</v>
      </c>
      <c r="AS8524">
        <v>573</v>
      </c>
      <c r="AT8524" s="4">
        <v>42426</v>
      </c>
      <c r="AV8524">
        <v>573</v>
      </c>
      <c r="AW8524" s="4">
        <v>42426</v>
      </c>
      <c r="BD8524">
        <v>0</v>
      </c>
      <c r="BN8524" t="s">
        <v>74</v>
      </c>
    </row>
    <row r="8525" spans="1:66" hidden="1">
      <c r="A8525">
        <v>106298</v>
      </c>
      <c r="B8525" s="3" t="s">
        <v>732</v>
      </c>
      <c r="C8525" s="1">
        <v>43500101</v>
      </c>
      <c r="D8525" t="s">
        <v>113</v>
      </c>
      <c r="H8525" t="str">
        <f t="shared" si="870"/>
        <v>GDCGRG72E08E919H</v>
      </c>
      <c r="I8525" t="str">
        <f t="shared" si="871"/>
        <v>05074110650</v>
      </c>
      <c r="K8525" t="str">
        <f>""</f>
        <v/>
      </c>
      <c r="M8525" t="s">
        <v>68</v>
      </c>
      <c r="N8525" t="str">
        <f t="shared" si="872"/>
        <v>ALTPRO</v>
      </c>
      <c r="O8525" t="s">
        <v>132</v>
      </c>
      <c r="P8525" s="3" t="s">
        <v>75</v>
      </c>
      <c r="Q8525">
        <v>2016</v>
      </c>
      <c r="R8525" s="2">
        <v>42433</v>
      </c>
      <c r="S8525" s="2">
        <v>42436</v>
      </c>
      <c r="T8525" s="2">
        <v>42433</v>
      </c>
      <c r="U8525" s="2">
        <v>42493</v>
      </c>
      <c r="V8525" t="s">
        <v>71</v>
      </c>
      <c r="W8525" t="str">
        <f>"         FATTPA 3_16"</f>
        <v xml:space="preserve">         FATTPA 3_16</v>
      </c>
      <c r="X8525" s="1">
        <v>2636</v>
      </c>
      <c r="Y8525">
        <v>-526.79999999999995</v>
      </c>
      <c r="Z8525"/>
      <c r="AB8525"/>
      <c r="AC8525" s="1">
        <v>2109.1999999999998</v>
      </c>
      <c r="AD8525">
        <v>-42</v>
      </c>
      <c r="AE8525" s="1">
        <v>-88586.4</v>
      </c>
      <c r="AF8525">
        <v>0</v>
      </c>
      <c r="AJ8525">
        <v>0</v>
      </c>
      <c r="AK8525">
        <v>0</v>
      </c>
      <c r="AL8525">
        <v>0</v>
      </c>
      <c r="AM8525" s="1">
        <v>2109.1999999999998</v>
      </c>
      <c r="AN8525" s="1">
        <v>2109.1999999999998</v>
      </c>
      <c r="AO8525" s="1">
        <v>2109.1999999999998</v>
      </c>
      <c r="AP8525" s="2">
        <v>42746</v>
      </c>
      <c r="AQ8525" t="s">
        <v>72</v>
      </c>
      <c r="AR8525" t="s">
        <v>72</v>
      </c>
      <c r="AS8525">
        <v>727</v>
      </c>
      <c r="AT8525" s="4">
        <v>42451</v>
      </c>
      <c r="AV8525">
        <v>727</v>
      </c>
      <c r="AW8525" s="4">
        <v>42451</v>
      </c>
      <c r="BD8525">
        <v>0</v>
      </c>
      <c r="BN8525" t="s">
        <v>74</v>
      </c>
    </row>
    <row r="8526" spans="1:66" hidden="1">
      <c r="A8526">
        <v>106298</v>
      </c>
      <c r="B8526" s="3" t="s">
        <v>732</v>
      </c>
      <c r="C8526" s="1">
        <v>43500101</v>
      </c>
      <c r="D8526" t="s">
        <v>113</v>
      </c>
      <c r="H8526" t="str">
        <f t="shared" si="870"/>
        <v>GDCGRG72E08E919H</v>
      </c>
      <c r="I8526" t="str">
        <f t="shared" si="871"/>
        <v>05074110650</v>
      </c>
      <c r="K8526" t="str">
        <f>""</f>
        <v/>
      </c>
      <c r="M8526" t="s">
        <v>68</v>
      </c>
      <c r="N8526" t="str">
        <f t="shared" si="872"/>
        <v>ALTPRO</v>
      </c>
      <c r="O8526" t="s">
        <v>132</v>
      </c>
      <c r="P8526" s="3" t="s">
        <v>75</v>
      </c>
      <c r="Q8526">
        <v>2016</v>
      </c>
      <c r="R8526" s="2">
        <v>42471</v>
      </c>
      <c r="S8526" s="2">
        <v>42471</v>
      </c>
      <c r="T8526" s="2">
        <v>42471</v>
      </c>
      <c r="U8526" s="2">
        <v>42531</v>
      </c>
      <c r="V8526" t="s">
        <v>71</v>
      </c>
      <c r="W8526" t="str">
        <f>"         FATTPA 4_16"</f>
        <v xml:space="preserve">         FATTPA 4_16</v>
      </c>
      <c r="X8526" s="1">
        <v>2492.89</v>
      </c>
      <c r="Y8526">
        <v>-498.18</v>
      </c>
      <c r="Z8526"/>
      <c r="AB8526"/>
      <c r="AC8526" s="1">
        <v>1994.71</v>
      </c>
      <c r="AD8526">
        <v>-44</v>
      </c>
      <c r="AE8526" s="1">
        <v>-87767.24</v>
      </c>
      <c r="AF8526">
        <v>0</v>
      </c>
      <c r="AJ8526">
        <v>0</v>
      </c>
      <c r="AK8526">
        <v>0</v>
      </c>
      <c r="AL8526">
        <v>0</v>
      </c>
      <c r="AM8526" s="1">
        <v>1994.71</v>
      </c>
      <c r="AN8526" s="1">
        <v>1994.71</v>
      </c>
      <c r="AO8526" s="1">
        <v>1994.71</v>
      </c>
      <c r="AP8526" s="2">
        <v>42746</v>
      </c>
      <c r="AQ8526" t="s">
        <v>72</v>
      </c>
      <c r="AR8526" t="s">
        <v>72</v>
      </c>
      <c r="AS8526">
        <v>1143</v>
      </c>
      <c r="AT8526" s="4">
        <v>42487</v>
      </c>
      <c r="AV8526">
        <v>1143</v>
      </c>
      <c r="AW8526" s="4">
        <v>42487</v>
      </c>
      <c r="BD8526">
        <v>0</v>
      </c>
      <c r="BN8526" t="s">
        <v>74</v>
      </c>
    </row>
    <row r="8527" spans="1:66" hidden="1">
      <c r="A8527">
        <v>106298</v>
      </c>
      <c r="B8527" s="3" t="s">
        <v>732</v>
      </c>
      <c r="C8527" s="1">
        <v>43500101</v>
      </c>
      <c r="D8527" t="s">
        <v>113</v>
      </c>
      <c r="H8527" t="str">
        <f t="shared" si="870"/>
        <v>GDCGRG72E08E919H</v>
      </c>
      <c r="I8527" t="str">
        <f t="shared" si="871"/>
        <v>05074110650</v>
      </c>
      <c r="K8527" t="str">
        <f>""</f>
        <v/>
      </c>
      <c r="M8527" t="s">
        <v>68</v>
      </c>
      <c r="N8527" t="str">
        <f t="shared" si="872"/>
        <v>ALTPRO</v>
      </c>
      <c r="O8527" t="s">
        <v>132</v>
      </c>
      <c r="P8527" s="3" t="s">
        <v>75</v>
      </c>
      <c r="Q8527">
        <v>2016</v>
      </c>
      <c r="R8527" s="2">
        <v>42492</v>
      </c>
      <c r="S8527" s="2">
        <v>42493</v>
      </c>
      <c r="T8527" s="2">
        <v>42493</v>
      </c>
      <c r="U8527" s="2">
        <v>42553</v>
      </c>
      <c r="V8527" t="s">
        <v>71</v>
      </c>
      <c r="W8527" t="str">
        <f>"         FATTPA 5_16"</f>
        <v xml:space="preserve">         FATTPA 5_16</v>
      </c>
      <c r="X8527" s="1">
        <v>2636</v>
      </c>
      <c r="Y8527">
        <v>-526.79999999999995</v>
      </c>
      <c r="Z8527"/>
      <c r="AB8527"/>
      <c r="AC8527" s="1">
        <v>2109.1999999999998</v>
      </c>
      <c r="AD8527">
        <v>-37</v>
      </c>
      <c r="AE8527" s="1">
        <v>-78040.399999999994</v>
      </c>
      <c r="AF8527">
        <v>0</v>
      </c>
      <c r="AJ8527">
        <v>0</v>
      </c>
      <c r="AK8527">
        <v>0</v>
      </c>
      <c r="AL8527">
        <v>0</v>
      </c>
      <c r="AM8527" s="1">
        <v>2109.1999999999998</v>
      </c>
      <c r="AN8527" s="1">
        <v>2109.1999999999998</v>
      </c>
      <c r="AO8527" s="1">
        <v>2109.1999999999998</v>
      </c>
      <c r="AP8527" s="2">
        <v>42746</v>
      </c>
      <c r="AQ8527" t="s">
        <v>72</v>
      </c>
      <c r="AR8527" t="s">
        <v>72</v>
      </c>
      <c r="AS8527">
        <v>1384</v>
      </c>
      <c r="AT8527" s="4">
        <v>42516</v>
      </c>
      <c r="AV8527">
        <v>1384</v>
      </c>
      <c r="AW8527" s="4">
        <v>42516</v>
      </c>
      <c r="BD8527">
        <v>0</v>
      </c>
      <c r="BN8527" t="s">
        <v>74</v>
      </c>
    </row>
    <row r="8528" spans="1:66" hidden="1">
      <c r="A8528">
        <v>106298</v>
      </c>
      <c r="B8528" s="3" t="s">
        <v>732</v>
      </c>
      <c r="C8528" s="1">
        <v>43500101</v>
      </c>
      <c r="D8528" t="s">
        <v>113</v>
      </c>
      <c r="H8528" t="str">
        <f t="shared" si="870"/>
        <v>GDCGRG72E08E919H</v>
      </c>
      <c r="I8528" t="str">
        <f t="shared" si="871"/>
        <v>05074110650</v>
      </c>
      <c r="K8528" t="str">
        <f>""</f>
        <v/>
      </c>
      <c r="M8528" t="s">
        <v>68</v>
      </c>
      <c r="N8528" t="str">
        <f t="shared" si="872"/>
        <v>ALTPRO</v>
      </c>
      <c r="O8528" t="s">
        <v>132</v>
      </c>
      <c r="P8528" s="3" t="s">
        <v>75</v>
      </c>
      <c r="Q8528">
        <v>2016</v>
      </c>
      <c r="R8528" s="2">
        <v>42522</v>
      </c>
      <c r="S8528" s="2">
        <v>42527</v>
      </c>
      <c r="T8528" s="2">
        <v>42522</v>
      </c>
      <c r="U8528" s="2">
        <v>42582</v>
      </c>
      <c r="V8528" t="s">
        <v>71</v>
      </c>
      <c r="W8528" t="str">
        <f>"         FATTPA 6_16"</f>
        <v xml:space="preserve">         FATTPA 6_16</v>
      </c>
      <c r="X8528" s="1">
        <v>2016.84</v>
      </c>
      <c r="Y8528">
        <v>-402.97</v>
      </c>
      <c r="Z8528"/>
      <c r="AB8528"/>
      <c r="AC8528" s="1">
        <v>1613.87</v>
      </c>
      <c r="AD8528">
        <v>-54</v>
      </c>
      <c r="AE8528" s="1">
        <v>-87148.98</v>
      </c>
      <c r="AF8528">
        <v>0</v>
      </c>
      <c r="AJ8528">
        <v>0</v>
      </c>
      <c r="AK8528">
        <v>0</v>
      </c>
      <c r="AL8528">
        <v>0</v>
      </c>
      <c r="AM8528" s="1">
        <v>1613.87</v>
      </c>
      <c r="AN8528" s="1">
        <v>1613.87</v>
      </c>
      <c r="AO8528" s="1">
        <v>1613.87</v>
      </c>
      <c r="AP8528" s="2">
        <v>42746</v>
      </c>
      <c r="AQ8528" t="s">
        <v>72</v>
      </c>
      <c r="AR8528" t="s">
        <v>72</v>
      </c>
      <c r="AS8528">
        <v>1562</v>
      </c>
      <c r="AT8528" s="4">
        <v>42528</v>
      </c>
      <c r="AV8528">
        <v>1562</v>
      </c>
      <c r="AW8528" s="4">
        <v>42528</v>
      </c>
      <c r="BD8528">
        <v>0</v>
      </c>
      <c r="BN8528" t="s">
        <v>74</v>
      </c>
    </row>
    <row r="8529" spans="1:66" hidden="1">
      <c r="A8529">
        <v>106298</v>
      </c>
      <c r="B8529" s="3" t="s">
        <v>732</v>
      </c>
      <c r="C8529" s="1">
        <v>43500101</v>
      </c>
      <c r="D8529" t="s">
        <v>113</v>
      </c>
      <c r="H8529" t="str">
        <f t="shared" si="870"/>
        <v>GDCGRG72E08E919H</v>
      </c>
      <c r="I8529" t="str">
        <f t="shared" si="871"/>
        <v>05074110650</v>
      </c>
      <c r="K8529" t="str">
        <f>""</f>
        <v/>
      </c>
      <c r="M8529" t="s">
        <v>68</v>
      </c>
      <c r="N8529" t="str">
        <f t="shared" si="872"/>
        <v>ALTPRO</v>
      </c>
      <c r="O8529" t="s">
        <v>132</v>
      </c>
      <c r="P8529" s="3" t="s">
        <v>75</v>
      </c>
      <c r="Q8529">
        <v>2016</v>
      </c>
      <c r="R8529" s="2">
        <v>42562</v>
      </c>
      <c r="S8529" s="2">
        <v>42562</v>
      </c>
      <c r="T8529" s="2">
        <v>42562</v>
      </c>
      <c r="U8529" s="2">
        <v>42622</v>
      </c>
      <c r="V8529" t="s">
        <v>71</v>
      </c>
      <c r="W8529" t="str">
        <f>"         FATTPA 7_16"</f>
        <v xml:space="preserve">         FATTPA 7_16</v>
      </c>
      <c r="X8529" s="1">
        <v>2517.3000000000002</v>
      </c>
      <c r="Y8529">
        <v>-503.06</v>
      </c>
      <c r="Z8529"/>
      <c r="AB8529"/>
      <c r="AC8529" s="1">
        <v>2014.24</v>
      </c>
      <c r="AD8529">
        <v>-56</v>
      </c>
      <c r="AE8529" s="1">
        <v>-112797.44</v>
      </c>
      <c r="AF8529">
        <v>0</v>
      </c>
      <c r="AJ8529">
        <v>0</v>
      </c>
      <c r="AK8529">
        <v>0</v>
      </c>
      <c r="AL8529">
        <v>0</v>
      </c>
      <c r="AM8529" s="1">
        <v>2014.24</v>
      </c>
      <c r="AN8529" s="1">
        <v>2014.24</v>
      </c>
      <c r="AO8529" s="1">
        <v>2014.24</v>
      </c>
      <c r="AP8529" s="2">
        <v>42746</v>
      </c>
      <c r="AQ8529" t="s">
        <v>72</v>
      </c>
      <c r="AR8529" t="s">
        <v>72</v>
      </c>
      <c r="AS8529">
        <v>1786</v>
      </c>
      <c r="AT8529" s="4">
        <v>42566</v>
      </c>
      <c r="AV8529">
        <v>1786</v>
      </c>
      <c r="AW8529" s="4">
        <v>42566</v>
      </c>
      <c r="BD8529">
        <v>0</v>
      </c>
      <c r="BN8529" t="s">
        <v>74</v>
      </c>
    </row>
    <row r="8530" spans="1:66" hidden="1">
      <c r="A8530">
        <v>106298</v>
      </c>
      <c r="B8530" s="3" t="s">
        <v>732</v>
      </c>
      <c r="C8530" s="1">
        <v>43500101</v>
      </c>
      <c r="D8530" t="s">
        <v>113</v>
      </c>
      <c r="H8530" t="str">
        <f t="shared" si="870"/>
        <v>GDCGRG72E08E919H</v>
      </c>
      <c r="I8530" t="str">
        <f t="shared" si="871"/>
        <v>05074110650</v>
      </c>
      <c r="K8530" t="str">
        <f>""</f>
        <v/>
      </c>
      <c r="M8530" t="s">
        <v>68</v>
      </c>
      <c r="N8530" t="str">
        <f t="shared" si="872"/>
        <v>ALTPRO</v>
      </c>
      <c r="O8530" t="s">
        <v>132</v>
      </c>
      <c r="P8530" s="3" t="s">
        <v>75</v>
      </c>
      <c r="Q8530">
        <v>2016</v>
      </c>
      <c r="R8530" s="2">
        <v>42583</v>
      </c>
      <c r="S8530" s="2">
        <v>42583</v>
      </c>
      <c r="T8530" s="2">
        <v>42583</v>
      </c>
      <c r="U8530" s="2">
        <v>42643</v>
      </c>
      <c r="V8530" t="s">
        <v>71</v>
      </c>
      <c r="W8530" t="str">
        <f>"         FATTPA 8_16"</f>
        <v xml:space="preserve">         FATTPA 8_16</v>
      </c>
      <c r="X8530" s="1">
        <v>2741.36</v>
      </c>
      <c r="Y8530">
        <v>-547.87</v>
      </c>
      <c r="Z8530"/>
      <c r="AB8530"/>
      <c r="AC8530" s="1">
        <v>2193.4899999999998</v>
      </c>
      <c r="AD8530">
        <v>-58</v>
      </c>
      <c r="AE8530" s="1">
        <v>-127222.42</v>
      </c>
      <c r="AF8530">
        <v>0</v>
      </c>
      <c r="AJ8530">
        <v>0</v>
      </c>
      <c r="AK8530">
        <v>0</v>
      </c>
      <c r="AL8530">
        <v>0</v>
      </c>
      <c r="AM8530" s="1">
        <v>2193.4899999999998</v>
      </c>
      <c r="AN8530" s="1">
        <v>2193.4899999999998</v>
      </c>
      <c r="AO8530" s="1">
        <v>2193.4899999999998</v>
      </c>
      <c r="AP8530" s="2">
        <v>42746</v>
      </c>
      <c r="AQ8530" t="s">
        <v>72</v>
      </c>
      <c r="AR8530" t="s">
        <v>72</v>
      </c>
      <c r="AS8530">
        <v>2068</v>
      </c>
      <c r="AT8530" s="4">
        <v>42585</v>
      </c>
      <c r="AV8530">
        <v>2068</v>
      </c>
      <c r="AW8530" s="4">
        <v>42585</v>
      </c>
      <c r="BD8530">
        <v>0</v>
      </c>
      <c r="BN8530" t="s">
        <v>74</v>
      </c>
    </row>
    <row r="8531" spans="1:66">
      <c r="A8531">
        <v>106298</v>
      </c>
      <c r="B8531" s="3" t="s">
        <v>732</v>
      </c>
      <c r="C8531" s="1">
        <v>43500101</v>
      </c>
      <c r="D8531" t="s">
        <v>113</v>
      </c>
      <c r="H8531" t="str">
        <f t="shared" si="870"/>
        <v>GDCGRG72E08E919H</v>
      </c>
      <c r="I8531" t="str">
        <f t="shared" si="871"/>
        <v>05074110650</v>
      </c>
      <c r="K8531" t="str">
        <f>""</f>
        <v/>
      </c>
      <c r="M8531" t="s">
        <v>68</v>
      </c>
      <c r="N8531" t="str">
        <f t="shared" si="872"/>
        <v>ALTPRO</v>
      </c>
      <c r="O8531" t="s">
        <v>132</v>
      </c>
      <c r="P8531" s="3" t="s">
        <v>75</v>
      </c>
      <c r="Q8531">
        <v>2016</v>
      </c>
      <c r="R8531" s="2">
        <v>42618</v>
      </c>
      <c r="S8531" s="2">
        <v>42620</v>
      </c>
      <c r="T8531" s="2">
        <v>42620</v>
      </c>
      <c r="U8531" s="2">
        <v>42680</v>
      </c>
      <c r="V8531" t="s">
        <v>71</v>
      </c>
      <c r="W8531" t="str">
        <f>"         FATTPA 9_16"</f>
        <v xml:space="preserve">         FATTPA 9_16</v>
      </c>
      <c r="X8531">
        <v>790.2</v>
      </c>
      <c r="Y8531">
        <v>-158.04</v>
      </c>
      <c r="Z8531" s="3">
        <v>632.16</v>
      </c>
      <c r="AA8531">
        <v>-34</v>
      </c>
      <c r="AB8531" s="5">
        <v>-21493.439999999999</v>
      </c>
      <c r="AC8531">
        <v>632.16</v>
      </c>
      <c r="AD8531">
        <v>-34</v>
      </c>
      <c r="AE8531" s="1">
        <v>-21493.439999999999</v>
      </c>
      <c r="AF8531">
        <v>0</v>
      </c>
      <c r="AJ8531">
        <v>0</v>
      </c>
      <c r="AK8531">
        <v>0</v>
      </c>
      <c r="AL8531">
        <v>0</v>
      </c>
      <c r="AM8531">
        <v>632.16</v>
      </c>
      <c r="AN8531">
        <v>632.16</v>
      </c>
      <c r="AO8531">
        <v>632.16</v>
      </c>
      <c r="AP8531" s="2">
        <v>42746</v>
      </c>
      <c r="AQ8531" t="s">
        <v>72</v>
      </c>
      <c r="AR8531" t="s">
        <v>72</v>
      </c>
      <c r="AS8531">
        <v>2518</v>
      </c>
      <c r="AT8531" s="4">
        <v>42646</v>
      </c>
      <c r="AV8531">
        <v>2518</v>
      </c>
      <c r="AW8531" s="4">
        <v>42646</v>
      </c>
      <c r="BD8531">
        <v>0</v>
      </c>
      <c r="BN8531" t="s">
        <v>74</v>
      </c>
    </row>
    <row r="8532" spans="1:66">
      <c r="A8532">
        <v>106298</v>
      </c>
      <c r="B8532" s="3" t="s">
        <v>732</v>
      </c>
      <c r="C8532" s="1">
        <v>43500101</v>
      </c>
      <c r="D8532" t="s">
        <v>113</v>
      </c>
      <c r="H8532" t="str">
        <f t="shared" si="870"/>
        <v>GDCGRG72E08E919H</v>
      </c>
      <c r="I8532" t="str">
        <f t="shared" si="871"/>
        <v>05074110650</v>
      </c>
      <c r="K8532" t="str">
        <f>""</f>
        <v/>
      </c>
      <c r="M8532" t="s">
        <v>68</v>
      </c>
      <c r="N8532" t="str">
        <f t="shared" si="872"/>
        <v>ALTPRO</v>
      </c>
      <c r="O8532" t="s">
        <v>132</v>
      </c>
      <c r="P8532" s="3" t="s">
        <v>75</v>
      </c>
      <c r="Q8532">
        <v>2016</v>
      </c>
      <c r="R8532" s="2">
        <v>42656</v>
      </c>
      <c r="S8532" s="2">
        <v>42660</v>
      </c>
      <c r="T8532" s="2">
        <v>42657</v>
      </c>
      <c r="U8532" s="2">
        <v>42717</v>
      </c>
      <c r="V8532" t="s">
        <v>71</v>
      </c>
      <c r="W8532" t="str">
        <f>"        FATTPA 10_16"</f>
        <v xml:space="preserve">        FATTPA 10_16</v>
      </c>
      <c r="X8532" s="1">
        <v>2271</v>
      </c>
      <c r="Y8532">
        <v>-454.2</v>
      </c>
      <c r="Z8532" s="5">
        <v>1816.8</v>
      </c>
      <c r="AA8532">
        <v>-48</v>
      </c>
      <c r="AB8532" s="5">
        <v>-87206.399999999994</v>
      </c>
      <c r="AC8532" s="1">
        <v>1816.8</v>
      </c>
      <c r="AD8532">
        <v>-48</v>
      </c>
      <c r="AE8532" s="1">
        <v>-87206.399999999994</v>
      </c>
      <c r="AF8532">
        <v>0</v>
      </c>
      <c r="AJ8532">
        <v>-454.2</v>
      </c>
      <c r="AK8532" s="1">
        <v>1816.8</v>
      </c>
      <c r="AL8532" s="1">
        <v>1816.8</v>
      </c>
      <c r="AM8532" s="1">
        <v>1816.8</v>
      </c>
      <c r="AN8532" s="1">
        <v>1816.8</v>
      </c>
      <c r="AO8532" s="1">
        <v>1816.8</v>
      </c>
      <c r="AP8532" s="2">
        <v>42746</v>
      </c>
      <c r="AQ8532" t="s">
        <v>72</v>
      </c>
      <c r="AR8532" t="s">
        <v>72</v>
      </c>
      <c r="AS8532">
        <v>2891</v>
      </c>
      <c r="AT8532" s="4">
        <v>42669</v>
      </c>
      <c r="AV8532">
        <v>2891</v>
      </c>
      <c r="AW8532" s="4">
        <v>42669</v>
      </c>
      <c r="BD8532">
        <v>0</v>
      </c>
      <c r="BN8532" t="s">
        <v>74</v>
      </c>
    </row>
    <row r="8533" spans="1:66">
      <c r="A8533">
        <v>106298</v>
      </c>
      <c r="B8533" s="3" t="s">
        <v>732</v>
      </c>
      <c r="C8533" s="1">
        <v>43500101</v>
      </c>
      <c r="D8533" t="s">
        <v>113</v>
      </c>
      <c r="H8533" t="str">
        <f t="shared" si="870"/>
        <v>GDCGRG72E08E919H</v>
      </c>
      <c r="I8533" t="str">
        <f t="shared" si="871"/>
        <v>05074110650</v>
      </c>
      <c r="K8533" t="str">
        <f>""</f>
        <v/>
      </c>
      <c r="M8533" t="s">
        <v>68</v>
      </c>
      <c r="N8533" t="str">
        <f t="shared" si="872"/>
        <v>ALTPRO</v>
      </c>
      <c r="O8533" t="s">
        <v>132</v>
      </c>
      <c r="P8533" s="3" t="s">
        <v>75</v>
      </c>
      <c r="Q8533">
        <v>2016</v>
      </c>
      <c r="R8533" s="2">
        <v>42676</v>
      </c>
      <c r="S8533" s="2">
        <v>42677</v>
      </c>
      <c r="T8533" s="2">
        <v>42677</v>
      </c>
      <c r="U8533" s="2">
        <v>42737</v>
      </c>
      <c r="V8533" t="s">
        <v>71</v>
      </c>
      <c r="W8533" t="str">
        <f>"        FATTPA 11_16"</f>
        <v xml:space="preserve">        FATTPA 11_16</v>
      </c>
      <c r="X8533" s="1">
        <v>1422.36</v>
      </c>
      <c r="Y8533">
        <v>-284.47000000000003</v>
      </c>
      <c r="Z8533" s="5">
        <v>1137.8900000000001</v>
      </c>
      <c r="AA8533">
        <v>-59</v>
      </c>
      <c r="AB8533" s="5">
        <v>-67135.509999999995</v>
      </c>
      <c r="AC8533" s="1">
        <v>1137.8900000000001</v>
      </c>
      <c r="AD8533">
        <v>-59</v>
      </c>
      <c r="AE8533" s="1">
        <v>-67135.509999999995</v>
      </c>
      <c r="AF8533">
        <v>0</v>
      </c>
      <c r="AJ8533" s="1">
        <v>1137.8900000000001</v>
      </c>
      <c r="AK8533" s="1">
        <v>1137.8900000000001</v>
      </c>
      <c r="AL8533" s="1">
        <v>1137.8900000000001</v>
      </c>
      <c r="AM8533" s="1">
        <v>1137.8900000000001</v>
      </c>
      <c r="AN8533" s="1">
        <v>1137.8900000000001</v>
      </c>
      <c r="AO8533" s="1">
        <v>1137.8900000000001</v>
      </c>
      <c r="AP8533" s="2">
        <v>42746</v>
      </c>
      <c r="AQ8533" t="s">
        <v>72</v>
      </c>
      <c r="AR8533" t="s">
        <v>72</v>
      </c>
      <c r="AS8533">
        <v>2907</v>
      </c>
      <c r="AT8533" s="4">
        <v>42678</v>
      </c>
      <c r="AV8533">
        <v>2907</v>
      </c>
      <c r="AW8533" s="4">
        <v>42678</v>
      </c>
      <c r="BD8533">
        <v>0</v>
      </c>
      <c r="BN8533" t="s">
        <v>74</v>
      </c>
    </row>
    <row r="8534" spans="1:66">
      <c r="A8534">
        <v>106298</v>
      </c>
      <c r="B8534" s="3" t="s">
        <v>732</v>
      </c>
      <c r="C8534" s="1">
        <v>43500101</v>
      </c>
      <c r="D8534" t="s">
        <v>113</v>
      </c>
      <c r="H8534" t="str">
        <f t="shared" si="870"/>
        <v>GDCGRG72E08E919H</v>
      </c>
      <c r="I8534" t="str">
        <f t="shared" si="871"/>
        <v>05074110650</v>
      </c>
      <c r="K8534" t="str">
        <f>""</f>
        <v/>
      </c>
      <c r="M8534" t="s">
        <v>68</v>
      </c>
      <c r="N8534" t="str">
        <f t="shared" si="872"/>
        <v>ALTPRO</v>
      </c>
      <c r="O8534" t="s">
        <v>132</v>
      </c>
      <c r="P8534" s="3" t="s">
        <v>75</v>
      </c>
      <c r="Q8534">
        <v>2016</v>
      </c>
      <c r="R8534" s="2">
        <v>42706</v>
      </c>
      <c r="S8534" s="2">
        <v>42709</v>
      </c>
      <c r="T8534" s="2">
        <v>42706</v>
      </c>
      <c r="U8534" s="2">
        <v>42766</v>
      </c>
      <c r="V8534" t="s">
        <v>71</v>
      </c>
      <c r="W8534" t="str">
        <f>"        FATTPA 12_16"</f>
        <v xml:space="preserve">        FATTPA 12_16</v>
      </c>
      <c r="X8534" s="1">
        <v>2335.48</v>
      </c>
      <c r="Y8534">
        <v>-467.1</v>
      </c>
      <c r="Z8534" s="5">
        <v>1868.38</v>
      </c>
      <c r="AA8534">
        <v>-57</v>
      </c>
      <c r="AB8534" s="5">
        <v>-106497.66</v>
      </c>
      <c r="AC8534" s="1">
        <v>1868.38</v>
      </c>
      <c r="AD8534">
        <v>-57</v>
      </c>
      <c r="AE8534" s="1">
        <v>-106497.66</v>
      </c>
      <c r="AF8534">
        <v>0</v>
      </c>
      <c r="AJ8534" s="1">
        <v>1868.38</v>
      </c>
      <c r="AK8534" s="1">
        <v>1868.38</v>
      </c>
      <c r="AL8534" s="1">
        <v>1868.38</v>
      </c>
      <c r="AM8534" s="1">
        <v>1868.38</v>
      </c>
      <c r="AN8534" s="1">
        <v>1868.38</v>
      </c>
      <c r="AO8534" s="1">
        <v>1868.38</v>
      </c>
      <c r="AP8534" s="2">
        <v>42746</v>
      </c>
      <c r="AQ8534" t="s">
        <v>72</v>
      </c>
      <c r="AR8534" t="s">
        <v>72</v>
      </c>
      <c r="AS8534">
        <v>3337</v>
      </c>
      <c r="AT8534" s="4">
        <v>42709</v>
      </c>
      <c r="AV8534">
        <v>3337</v>
      </c>
      <c r="AW8534" s="4">
        <v>42709</v>
      </c>
      <c r="BD8534">
        <v>0</v>
      </c>
      <c r="BN8534" t="s">
        <v>74</v>
      </c>
    </row>
    <row r="8535" spans="1:66" hidden="1">
      <c r="A8535">
        <v>106300</v>
      </c>
      <c r="B8535" s="3" t="s">
        <v>733</v>
      </c>
      <c r="C8535" s="1">
        <v>43500101</v>
      </c>
      <c r="D8535" t="s">
        <v>113</v>
      </c>
      <c r="H8535" t="str">
        <f t="shared" ref="H8535:I8537" si="873">"00876220633"</f>
        <v>00876220633</v>
      </c>
      <c r="I8535" t="str">
        <f t="shared" si="873"/>
        <v>00876220633</v>
      </c>
      <c r="K8535" t="str">
        <f>""</f>
        <v/>
      </c>
      <c r="M8535" t="s">
        <v>68</v>
      </c>
      <c r="N8535" t="str">
        <f>"ALT"</f>
        <v>ALT</v>
      </c>
      <c r="O8535" t="s">
        <v>114</v>
      </c>
      <c r="P8535" s="3" t="s">
        <v>75</v>
      </c>
      <c r="Q8535">
        <v>2015</v>
      </c>
      <c r="R8535" s="2">
        <v>42275</v>
      </c>
      <c r="S8535" s="2">
        <v>42282</v>
      </c>
      <c r="T8535" s="2">
        <v>42277</v>
      </c>
      <c r="U8535" s="2">
        <v>42337</v>
      </c>
      <c r="V8535" t="s">
        <v>71</v>
      </c>
      <c r="W8535" t="str">
        <f>"            VE018-62"</f>
        <v xml:space="preserve">            VE018-62</v>
      </c>
      <c r="X8535" s="1">
        <v>15956.83</v>
      </c>
      <c r="Y8535">
        <v>0</v>
      </c>
      <c r="Z8535"/>
      <c r="AB8535"/>
      <c r="AC8535" s="1">
        <v>13079.37</v>
      </c>
      <c r="AD8535">
        <v>127</v>
      </c>
      <c r="AE8535" s="1">
        <v>1661079.99</v>
      </c>
      <c r="AF8535">
        <v>0</v>
      </c>
      <c r="AJ8535">
        <v>0</v>
      </c>
      <c r="AK8535">
        <v>0</v>
      </c>
      <c r="AL8535">
        <v>0</v>
      </c>
      <c r="AM8535">
        <v>0</v>
      </c>
      <c r="AN8535">
        <v>0</v>
      </c>
      <c r="AO8535">
        <v>0</v>
      </c>
      <c r="AP8535" s="2">
        <v>42746</v>
      </c>
      <c r="AQ8535" t="s">
        <v>72</v>
      </c>
      <c r="AR8535" t="s">
        <v>72</v>
      </c>
      <c r="AS8535">
        <v>991</v>
      </c>
      <c r="AT8535" s="4">
        <v>42464</v>
      </c>
      <c r="AU8535" t="s">
        <v>73</v>
      </c>
      <c r="AV8535">
        <v>991</v>
      </c>
      <c r="AW8535" s="4">
        <v>42464</v>
      </c>
      <c r="BD8535">
        <v>0</v>
      </c>
      <c r="BN8535" t="s">
        <v>74</v>
      </c>
    </row>
    <row r="8536" spans="1:66" hidden="1">
      <c r="A8536">
        <v>106300</v>
      </c>
      <c r="B8536" s="3" t="s">
        <v>733</v>
      </c>
      <c r="C8536" s="1">
        <v>43500101</v>
      </c>
      <c r="D8536" t="s">
        <v>113</v>
      </c>
      <c r="H8536" t="str">
        <f t="shared" si="873"/>
        <v>00876220633</v>
      </c>
      <c r="I8536" t="str">
        <f t="shared" si="873"/>
        <v>00876220633</v>
      </c>
      <c r="K8536" t="str">
        <f>""</f>
        <v/>
      </c>
      <c r="M8536" t="s">
        <v>68</v>
      </c>
      <c r="N8536" t="str">
        <f>"ALT"</f>
        <v>ALT</v>
      </c>
      <c r="O8536" t="s">
        <v>114</v>
      </c>
      <c r="P8536" s="3" t="s">
        <v>75</v>
      </c>
      <c r="Q8536">
        <v>2015</v>
      </c>
      <c r="R8536" s="2">
        <v>42369</v>
      </c>
      <c r="S8536" s="2">
        <v>42369</v>
      </c>
      <c r="T8536" s="2">
        <v>42369</v>
      </c>
      <c r="U8536" s="2">
        <v>42429</v>
      </c>
      <c r="V8536" t="s">
        <v>71</v>
      </c>
      <c r="W8536" t="str">
        <f>"           VE018-136"</f>
        <v xml:space="preserve">           VE018-136</v>
      </c>
      <c r="X8536">
        <v>845.46</v>
      </c>
      <c r="Y8536">
        <v>0</v>
      </c>
      <c r="Z8536"/>
      <c r="AB8536"/>
      <c r="AC8536">
        <v>693</v>
      </c>
      <c r="AD8536">
        <v>140</v>
      </c>
      <c r="AE8536" s="1">
        <v>97020</v>
      </c>
      <c r="AF8536">
        <v>0</v>
      </c>
      <c r="AJ8536">
        <v>0</v>
      </c>
      <c r="AK8536">
        <v>0</v>
      </c>
      <c r="AL8536">
        <v>0</v>
      </c>
      <c r="AM8536">
        <v>0</v>
      </c>
      <c r="AN8536">
        <v>0</v>
      </c>
      <c r="AO8536">
        <v>0</v>
      </c>
      <c r="AP8536" s="2">
        <v>42746</v>
      </c>
      <c r="AQ8536" t="s">
        <v>72</v>
      </c>
      <c r="AR8536" t="s">
        <v>72</v>
      </c>
      <c r="AS8536">
        <v>1846</v>
      </c>
      <c r="AT8536" s="4">
        <v>42569</v>
      </c>
      <c r="AU8536" t="s">
        <v>73</v>
      </c>
      <c r="AV8536">
        <v>1846</v>
      </c>
      <c r="AW8536" s="4">
        <v>42569</v>
      </c>
      <c r="BD8536">
        <v>0</v>
      </c>
      <c r="BN8536" t="s">
        <v>74</v>
      </c>
    </row>
    <row r="8537" spans="1:66" hidden="1">
      <c r="A8537">
        <v>106300</v>
      </c>
      <c r="B8537" s="3" t="s">
        <v>733</v>
      </c>
      <c r="C8537" s="1">
        <v>43500101</v>
      </c>
      <c r="D8537" t="s">
        <v>113</v>
      </c>
      <c r="H8537" t="str">
        <f t="shared" si="873"/>
        <v>00876220633</v>
      </c>
      <c r="I8537" t="str">
        <f t="shared" si="873"/>
        <v>00876220633</v>
      </c>
      <c r="K8537" t="str">
        <f>""</f>
        <v/>
      </c>
      <c r="M8537" t="s">
        <v>68</v>
      </c>
      <c r="N8537" t="str">
        <f>"ALT"</f>
        <v>ALT</v>
      </c>
      <c r="O8537" t="s">
        <v>114</v>
      </c>
      <c r="P8537" s="3" t="s">
        <v>75</v>
      </c>
      <c r="Q8537">
        <v>2016</v>
      </c>
      <c r="R8537" s="2">
        <v>42426</v>
      </c>
      <c r="S8537" s="2">
        <v>42429</v>
      </c>
      <c r="T8537" s="2">
        <v>42426</v>
      </c>
      <c r="U8537" s="2">
        <v>42486</v>
      </c>
      <c r="V8537" t="s">
        <v>71</v>
      </c>
      <c r="W8537" t="str">
        <f>"            VE018-19"</f>
        <v xml:space="preserve">            VE018-19</v>
      </c>
      <c r="X8537" s="1">
        <v>14608.73</v>
      </c>
      <c r="Y8537">
        <v>0</v>
      </c>
      <c r="Z8537"/>
      <c r="AB8537"/>
      <c r="AC8537" s="1">
        <v>11974.37</v>
      </c>
      <c r="AD8537">
        <v>1</v>
      </c>
      <c r="AE8537" s="1">
        <v>11974.37</v>
      </c>
      <c r="AF8537">
        <v>0</v>
      </c>
      <c r="AJ8537">
        <v>0</v>
      </c>
      <c r="AK8537">
        <v>0</v>
      </c>
      <c r="AL8537">
        <v>0</v>
      </c>
      <c r="AM8537">
        <v>0</v>
      </c>
      <c r="AN8537" s="1">
        <v>14608.73</v>
      </c>
      <c r="AO8537" s="1">
        <v>14608.73</v>
      </c>
      <c r="AP8537" s="2">
        <v>42746</v>
      </c>
      <c r="AQ8537" t="s">
        <v>72</v>
      </c>
      <c r="AR8537" t="s">
        <v>72</v>
      </c>
      <c r="AS8537">
        <v>1176</v>
      </c>
      <c r="AT8537" s="4">
        <v>42487</v>
      </c>
      <c r="AU8537" t="s">
        <v>73</v>
      </c>
      <c r="AV8537">
        <v>1176</v>
      </c>
      <c r="AW8537" s="4">
        <v>42487</v>
      </c>
      <c r="BD8537">
        <v>0</v>
      </c>
      <c r="BN8537" t="s">
        <v>74</v>
      </c>
    </row>
    <row r="8538" spans="1:66" hidden="1">
      <c r="A8538">
        <v>106302</v>
      </c>
      <c r="B8538" s="3" t="s">
        <v>734</v>
      </c>
      <c r="C8538" s="1">
        <v>43500101</v>
      </c>
      <c r="D8538" t="s">
        <v>113</v>
      </c>
      <c r="H8538" t="str">
        <f t="shared" ref="H8538:H8547" si="874">"FLPRST82L62A783N"</f>
        <v>FLPRST82L62A783N</v>
      </c>
      <c r="I8538" t="str">
        <f t="shared" ref="I8538:I8547" si="875">"01472540622"</f>
        <v>01472540622</v>
      </c>
      <c r="K8538" t="str">
        <f>""</f>
        <v/>
      </c>
      <c r="M8538" t="s">
        <v>68</v>
      </c>
      <c r="N8538" t="str">
        <f t="shared" ref="N8538:N8547" si="876">"ALTPRO"</f>
        <v>ALTPRO</v>
      </c>
      <c r="O8538" t="s">
        <v>132</v>
      </c>
      <c r="P8538" s="3" t="s">
        <v>75</v>
      </c>
      <c r="Q8538">
        <v>2015</v>
      </c>
      <c r="R8538" s="2">
        <v>42347</v>
      </c>
      <c r="S8538" s="2">
        <v>42369</v>
      </c>
      <c r="T8538" s="2">
        <v>42369</v>
      </c>
      <c r="U8538" s="2">
        <v>42429</v>
      </c>
      <c r="V8538" t="s">
        <v>71</v>
      </c>
      <c r="W8538" t="str">
        <f>"         FATTPA 8_15"</f>
        <v xml:space="preserve">         FATTPA 8_15</v>
      </c>
      <c r="X8538">
        <v>418.67</v>
      </c>
      <c r="Y8538">
        <v>0</v>
      </c>
      <c r="Z8538"/>
      <c r="AB8538"/>
      <c r="AC8538">
        <v>418.67</v>
      </c>
      <c r="AD8538">
        <v>-32</v>
      </c>
      <c r="AE8538" s="1">
        <v>-13397.44</v>
      </c>
      <c r="AF8538">
        <v>0</v>
      </c>
      <c r="AJ8538">
        <v>0</v>
      </c>
      <c r="AK8538">
        <v>0</v>
      </c>
      <c r="AL8538">
        <v>0</v>
      </c>
      <c r="AM8538">
        <v>0</v>
      </c>
      <c r="AN8538">
        <v>0</v>
      </c>
      <c r="AO8538">
        <v>0</v>
      </c>
      <c r="AP8538" s="2">
        <v>42746</v>
      </c>
      <c r="AQ8538" t="s">
        <v>72</v>
      </c>
      <c r="AR8538" t="s">
        <v>72</v>
      </c>
      <c r="AS8538">
        <v>137</v>
      </c>
      <c r="AT8538" s="4">
        <v>42397</v>
      </c>
      <c r="AV8538">
        <v>137</v>
      </c>
      <c r="AW8538" s="4">
        <v>42397</v>
      </c>
      <c r="BD8538">
        <v>0</v>
      </c>
      <c r="BN8538" t="s">
        <v>74</v>
      </c>
    </row>
    <row r="8539" spans="1:66" hidden="1">
      <c r="A8539">
        <v>106302</v>
      </c>
      <c r="B8539" s="3" t="s">
        <v>734</v>
      </c>
      <c r="C8539" s="1">
        <v>43500101</v>
      </c>
      <c r="D8539" t="s">
        <v>113</v>
      </c>
      <c r="H8539" t="str">
        <f t="shared" si="874"/>
        <v>FLPRST82L62A783N</v>
      </c>
      <c r="I8539" t="str">
        <f t="shared" si="875"/>
        <v>01472540622</v>
      </c>
      <c r="K8539" t="str">
        <f>""</f>
        <v/>
      </c>
      <c r="M8539" t="s">
        <v>68</v>
      </c>
      <c r="N8539" t="str">
        <f t="shared" si="876"/>
        <v>ALTPRO</v>
      </c>
      <c r="O8539" t="s">
        <v>132</v>
      </c>
      <c r="P8539" s="3" t="s">
        <v>75</v>
      </c>
      <c r="Q8539">
        <v>2016</v>
      </c>
      <c r="R8539" s="2">
        <v>42382</v>
      </c>
      <c r="S8539" s="2">
        <v>42390</v>
      </c>
      <c r="T8539" s="2">
        <v>42390</v>
      </c>
      <c r="U8539" s="2">
        <v>42450</v>
      </c>
      <c r="V8539" t="s">
        <v>71</v>
      </c>
      <c r="W8539" t="str">
        <f>"         FATTPA 1_16"</f>
        <v xml:space="preserve">         FATTPA 1_16</v>
      </c>
      <c r="X8539">
        <v>418.67</v>
      </c>
      <c r="Y8539">
        <v>0</v>
      </c>
      <c r="Z8539"/>
      <c r="AB8539"/>
      <c r="AC8539">
        <v>418.67</v>
      </c>
      <c r="AD8539">
        <v>-53</v>
      </c>
      <c r="AE8539" s="1">
        <v>-22189.51</v>
      </c>
      <c r="AF8539">
        <v>0</v>
      </c>
      <c r="AJ8539">
        <v>0</v>
      </c>
      <c r="AK8539">
        <v>0</v>
      </c>
      <c r="AL8539">
        <v>0</v>
      </c>
      <c r="AM8539">
        <v>418.67</v>
      </c>
      <c r="AN8539">
        <v>418.67</v>
      </c>
      <c r="AO8539">
        <v>418.67</v>
      </c>
      <c r="AP8539" s="2">
        <v>42746</v>
      </c>
      <c r="AQ8539" t="s">
        <v>72</v>
      </c>
      <c r="AR8539" t="s">
        <v>72</v>
      </c>
      <c r="AS8539">
        <v>137</v>
      </c>
      <c r="AT8539" s="4">
        <v>42397</v>
      </c>
      <c r="AV8539">
        <v>137</v>
      </c>
      <c r="AW8539" s="4">
        <v>42397</v>
      </c>
      <c r="BD8539">
        <v>0</v>
      </c>
      <c r="BN8539" t="s">
        <v>74</v>
      </c>
    </row>
    <row r="8540" spans="1:66" hidden="1">
      <c r="A8540">
        <v>106302</v>
      </c>
      <c r="B8540" s="3" t="s">
        <v>734</v>
      </c>
      <c r="C8540" s="1">
        <v>43500101</v>
      </c>
      <c r="D8540" t="s">
        <v>113</v>
      </c>
      <c r="H8540" t="str">
        <f t="shared" si="874"/>
        <v>FLPRST82L62A783N</v>
      </c>
      <c r="I8540" t="str">
        <f t="shared" si="875"/>
        <v>01472540622</v>
      </c>
      <c r="K8540" t="str">
        <f>""</f>
        <v/>
      </c>
      <c r="M8540" t="s">
        <v>68</v>
      </c>
      <c r="N8540" t="str">
        <f t="shared" si="876"/>
        <v>ALTPRO</v>
      </c>
      <c r="O8540" t="s">
        <v>132</v>
      </c>
      <c r="P8540" s="3" t="s">
        <v>75</v>
      </c>
      <c r="Q8540">
        <v>2016</v>
      </c>
      <c r="R8540" s="2">
        <v>42417</v>
      </c>
      <c r="S8540" s="2">
        <v>42509</v>
      </c>
      <c r="T8540" s="2">
        <v>42508</v>
      </c>
      <c r="U8540" s="2">
        <v>42568</v>
      </c>
      <c r="V8540" t="s">
        <v>71</v>
      </c>
      <c r="W8540" t="str">
        <f>"         FATTPA 2_16"</f>
        <v xml:space="preserve">         FATTPA 2_16</v>
      </c>
      <c r="X8540">
        <v>418.67</v>
      </c>
      <c r="Y8540">
        <v>0</v>
      </c>
      <c r="Z8540"/>
      <c r="AB8540"/>
      <c r="AC8540">
        <v>418.67</v>
      </c>
      <c r="AD8540">
        <v>-41</v>
      </c>
      <c r="AE8540" s="1">
        <v>-17165.47</v>
      </c>
      <c r="AF8540">
        <v>0</v>
      </c>
      <c r="AJ8540">
        <v>0</v>
      </c>
      <c r="AK8540">
        <v>0</v>
      </c>
      <c r="AL8540">
        <v>0</v>
      </c>
      <c r="AM8540">
        <v>418.67</v>
      </c>
      <c r="AN8540">
        <v>418.67</v>
      </c>
      <c r="AO8540">
        <v>418.67</v>
      </c>
      <c r="AP8540" s="2">
        <v>42746</v>
      </c>
      <c r="AQ8540" t="s">
        <v>72</v>
      </c>
      <c r="AR8540" t="s">
        <v>72</v>
      </c>
      <c r="AS8540">
        <v>1483</v>
      </c>
      <c r="AT8540" s="4">
        <v>42527</v>
      </c>
      <c r="AV8540">
        <v>1483</v>
      </c>
      <c r="AW8540" s="4">
        <v>42527</v>
      </c>
      <c r="BD8540">
        <v>0</v>
      </c>
      <c r="BN8540" t="s">
        <v>74</v>
      </c>
    </row>
    <row r="8541" spans="1:66" hidden="1">
      <c r="A8541">
        <v>106302</v>
      </c>
      <c r="B8541" s="3" t="s">
        <v>734</v>
      </c>
      <c r="C8541" s="1">
        <v>43500101</v>
      </c>
      <c r="D8541" t="s">
        <v>113</v>
      </c>
      <c r="H8541" t="str">
        <f t="shared" si="874"/>
        <v>FLPRST82L62A783N</v>
      </c>
      <c r="I8541" t="str">
        <f t="shared" si="875"/>
        <v>01472540622</v>
      </c>
      <c r="K8541" t="str">
        <f>""</f>
        <v/>
      </c>
      <c r="M8541" t="s">
        <v>68</v>
      </c>
      <c r="N8541" t="str">
        <f t="shared" si="876"/>
        <v>ALTPRO</v>
      </c>
      <c r="O8541" t="s">
        <v>132</v>
      </c>
      <c r="P8541" s="3" t="s">
        <v>75</v>
      </c>
      <c r="Q8541">
        <v>2016</v>
      </c>
      <c r="R8541" s="2">
        <v>42473</v>
      </c>
      <c r="S8541" s="2">
        <v>42475</v>
      </c>
      <c r="T8541" s="2">
        <v>42473</v>
      </c>
      <c r="U8541" s="2">
        <v>42533</v>
      </c>
      <c r="V8541" t="s">
        <v>71</v>
      </c>
      <c r="W8541" t="str">
        <f>"         FATTPA 3_16"</f>
        <v xml:space="preserve">         FATTPA 3_16</v>
      </c>
      <c r="X8541">
        <v>418.67</v>
      </c>
      <c r="Y8541">
        <v>0</v>
      </c>
      <c r="Z8541"/>
      <c r="AB8541"/>
      <c r="AC8541">
        <v>418.67</v>
      </c>
      <c r="AD8541">
        <v>-6</v>
      </c>
      <c r="AE8541" s="1">
        <v>-2512.02</v>
      </c>
      <c r="AF8541">
        <v>0</v>
      </c>
      <c r="AJ8541">
        <v>0</v>
      </c>
      <c r="AK8541">
        <v>0</v>
      </c>
      <c r="AL8541">
        <v>0</v>
      </c>
      <c r="AM8541">
        <v>418.67</v>
      </c>
      <c r="AN8541">
        <v>418.67</v>
      </c>
      <c r="AO8541">
        <v>418.67</v>
      </c>
      <c r="AP8541" s="2">
        <v>42746</v>
      </c>
      <c r="AQ8541" t="s">
        <v>72</v>
      </c>
      <c r="AR8541" t="s">
        <v>72</v>
      </c>
      <c r="AS8541">
        <v>1483</v>
      </c>
      <c r="AT8541" s="4">
        <v>42527</v>
      </c>
      <c r="AV8541">
        <v>1483</v>
      </c>
      <c r="AW8541" s="4">
        <v>42527</v>
      </c>
      <c r="BD8541">
        <v>0</v>
      </c>
      <c r="BN8541" t="s">
        <v>74</v>
      </c>
    </row>
    <row r="8542" spans="1:66" hidden="1">
      <c r="A8542">
        <v>106302</v>
      </c>
      <c r="B8542" s="3" t="s">
        <v>734</v>
      </c>
      <c r="C8542" s="1">
        <v>43500101</v>
      </c>
      <c r="D8542" t="s">
        <v>113</v>
      </c>
      <c r="H8542" t="str">
        <f t="shared" si="874"/>
        <v>FLPRST82L62A783N</v>
      </c>
      <c r="I8542" t="str">
        <f t="shared" si="875"/>
        <v>01472540622</v>
      </c>
      <c r="K8542" t="str">
        <f>""</f>
        <v/>
      </c>
      <c r="M8542" t="s">
        <v>68</v>
      </c>
      <c r="N8542" t="str">
        <f t="shared" si="876"/>
        <v>ALTPRO</v>
      </c>
      <c r="O8542" t="s">
        <v>132</v>
      </c>
      <c r="P8542" s="3" t="s">
        <v>75</v>
      </c>
      <c r="Q8542">
        <v>2016</v>
      </c>
      <c r="R8542" s="2">
        <v>42473</v>
      </c>
      <c r="S8542" s="2">
        <v>42475</v>
      </c>
      <c r="T8542" s="2">
        <v>42473</v>
      </c>
      <c r="U8542" s="2">
        <v>42533</v>
      </c>
      <c r="V8542" t="s">
        <v>71</v>
      </c>
      <c r="W8542" t="str">
        <f>"         FATTPA 4_16"</f>
        <v xml:space="preserve">         FATTPA 4_16</v>
      </c>
      <c r="X8542">
        <v>418.67</v>
      </c>
      <c r="Y8542">
        <v>0</v>
      </c>
      <c r="Z8542"/>
      <c r="AB8542"/>
      <c r="AC8542">
        <v>418.67</v>
      </c>
      <c r="AD8542">
        <v>-6</v>
      </c>
      <c r="AE8542" s="1">
        <v>-2512.02</v>
      </c>
      <c r="AF8542">
        <v>0</v>
      </c>
      <c r="AJ8542">
        <v>0</v>
      </c>
      <c r="AK8542">
        <v>0</v>
      </c>
      <c r="AL8542">
        <v>0</v>
      </c>
      <c r="AM8542">
        <v>418.67</v>
      </c>
      <c r="AN8542">
        <v>418.67</v>
      </c>
      <c r="AO8542">
        <v>418.67</v>
      </c>
      <c r="AP8542" s="2">
        <v>42746</v>
      </c>
      <c r="AQ8542" t="s">
        <v>72</v>
      </c>
      <c r="AR8542" t="s">
        <v>72</v>
      </c>
      <c r="AS8542">
        <v>1483</v>
      </c>
      <c r="AT8542" s="4">
        <v>42527</v>
      </c>
      <c r="AV8542">
        <v>1483</v>
      </c>
      <c r="AW8542" s="4">
        <v>42527</v>
      </c>
      <c r="BD8542">
        <v>0</v>
      </c>
      <c r="BN8542" t="s">
        <v>74</v>
      </c>
    </row>
    <row r="8543" spans="1:66" hidden="1">
      <c r="A8543">
        <v>106302</v>
      </c>
      <c r="B8543" s="3" t="s">
        <v>734</v>
      </c>
      <c r="C8543" s="1">
        <v>43500101</v>
      </c>
      <c r="D8543" t="s">
        <v>113</v>
      </c>
      <c r="H8543" t="str">
        <f t="shared" si="874"/>
        <v>FLPRST82L62A783N</v>
      </c>
      <c r="I8543" t="str">
        <f t="shared" si="875"/>
        <v>01472540622</v>
      </c>
      <c r="K8543" t="str">
        <f>""</f>
        <v/>
      </c>
      <c r="M8543" t="s">
        <v>68</v>
      </c>
      <c r="N8543" t="str">
        <f t="shared" si="876"/>
        <v>ALTPRO</v>
      </c>
      <c r="O8543" t="s">
        <v>132</v>
      </c>
      <c r="P8543" s="3" t="s">
        <v>75</v>
      </c>
      <c r="Q8543">
        <v>2016</v>
      </c>
      <c r="R8543" s="2">
        <v>42508</v>
      </c>
      <c r="S8543" s="2">
        <v>42509</v>
      </c>
      <c r="T8543" s="2">
        <v>42508</v>
      </c>
      <c r="U8543" s="2">
        <v>42568</v>
      </c>
      <c r="V8543" t="s">
        <v>71</v>
      </c>
      <c r="W8543" t="str">
        <f>"         FATTPA 5_16"</f>
        <v xml:space="preserve">         FATTPA 5_16</v>
      </c>
      <c r="X8543">
        <v>418.67</v>
      </c>
      <c r="Y8543">
        <v>0</v>
      </c>
      <c r="Z8543"/>
      <c r="AB8543"/>
      <c r="AC8543">
        <v>418.67</v>
      </c>
      <c r="AD8543">
        <v>-41</v>
      </c>
      <c r="AE8543" s="1">
        <v>-17165.47</v>
      </c>
      <c r="AF8543">
        <v>0</v>
      </c>
      <c r="AJ8543">
        <v>0</v>
      </c>
      <c r="AK8543">
        <v>0</v>
      </c>
      <c r="AL8543">
        <v>0</v>
      </c>
      <c r="AM8543">
        <v>418.67</v>
      </c>
      <c r="AN8543">
        <v>418.67</v>
      </c>
      <c r="AO8543">
        <v>418.67</v>
      </c>
      <c r="AP8543" s="2">
        <v>42746</v>
      </c>
      <c r="AQ8543" t="s">
        <v>72</v>
      </c>
      <c r="AR8543" t="s">
        <v>72</v>
      </c>
      <c r="AS8543">
        <v>1483</v>
      </c>
      <c r="AT8543" s="4">
        <v>42527</v>
      </c>
      <c r="AV8543">
        <v>1483</v>
      </c>
      <c r="AW8543" s="4">
        <v>42527</v>
      </c>
      <c r="BD8543">
        <v>0</v>
      </c>
      <c r="BN8543" t="s">
        <v>74</v>
      </c>
    </row>
    <row r="8544" spans="1:66" hidden="1">
      <c r="A8544">
        <v>106302</v>
      </c>
      <c r="B8544" s="3" t="s">
        <v>734</v>
      </c>
      <c r="C8544" s="1">
        <v>43500101</v>
      </c>
      <c r="D8544" t="s">
        <v>113</v>
      </c>
      <c r="H8544" t="str">
        <f t="shared" si="874"/>
        <v>FLPRST82L62A783N</v>
      </c>
      <c r="I8544" t="str">
        <f t="shared" si="875"/>
        <v>01472540622</v>
      </c>
      <c r="K8544" t="str">
        <f>""</f>
        <v/>
      </c>
      <c r="M8544" t="s">
        <v>68</v>
      </c>
      <c r="N8544" t="str">
        <f t="shared" si="876"/>
        <v>ALTPRO</v>
      </c>
      <c r="O8544" t="s">
        <v>132</v>
      </c>
      <c r="P8544" s="3" t="s">
        <v>75</v>
      </c>
      <c r="Q8544">
        <v>2016</v>
      </c>
      <c r="R8544" s="2">
        <v>42545</v>
      </c>
      <c r="S8544" s="2">
        <v>42548</v>
      </c>
      <c r="T8544" s="2">
        <v>42545</v>
      </c>
      <c r="U8544" s="2">
        <v>42605</v>
      </c>
      <c r="V8544" t="s">
        <v>71</v>
      </c>
      <c r="W8544" t="str">
        <f>"         FATTPA 6_16"</f>
        <v xml:space="preserve">         FATTPA 6_16</v>
      </c>
      <c r="X8544">
        <v>418.67</v>
      </c>
      <c r="Y8544">
        <v>0</v>
      </c>
      <c r="Z8544"/>
      <c r="AB8544"/>
      <c r="AC8544">
        <v>418.67</v>
      </c>
      <c r="AD8544">
        <v>-39</v>
      </c>
      <c r="AE8544" s="1">
        <v>-16328.13</v>
      </c>
      <c r="AF8544">
        <v>0</v>
      </c>
      <c r="AJ8544">
        <v>0</v>
      </c>
      <c r="AK8544">
        <v>0</v>
      </c>
      <c r="AL8544">
        <v>0</v>
      </c>
      <c r="AM8544">
        <v>418.67</v>
      </c>
      <c r="AN8544">
        <v>418.67</v>
      </c>
      <c r="AO8544">
        <v>418.67</v>
      </c>
      <c r="AP8544" s="2">
        <v>42746</v>
      </c>
      <c r="AQ8544" t="s">
        <v>72</v>
      </c>
      <c r="AR8544" t="s">
        <v>72</v>
      </c>
      <c r="AS8544">
        <v>1805</v>
      </c>
      <c r="AT8544" s="4">
        <v>42566</v>
      </c>
      <c r="AV8544">
        <v>1805</v>
      </c>
      <c r="AW8544" s="4">
        <v>42566</v>
      </c>
      <c r="BD8544">
        <v>0</v>
      </c>
      <c r="BN8544" t="s">
        <v>74</v>
      </c>
    </row>
    <row r="8545" spans="1:66" hidden="1">
      <c r="A8545">
        <v>106302</v>
      </c>
      <c r="B8545" s="3" t="s">
        <v>734</v>
      </c>
      <c r="C8545" s="1">
        <v>43500101</v>
      </c>
      <c r="D8545" t="s">
        <v>113</v>
      </c>
      <c r="H8545" t="str">
        <f t="shared" si="874"/>
        <v>FLPRST82L62A783N</v>
      </c>
      <c r="I8545" t="str">
        <f t="shared" si="875"/>
        <v>01472540622</v>
      </c>
      <c r="K8545" t="str">
        <f>""</f>
        <v/>
      </c>
      <c r="M8545" t="s">
        <v>68</v>
      </c>
      <c r="N8545" t="str">
        <f t="shared" si="876"/>
        <v>ALTPRO</v>
      </c>
      <c r="O8545" t="s">
        <v>132</v>
      </c>
      <c r="P8545" s="3" t="s">
        <v>75</v>
      </c>
      <c r="Q8545">
        <v>2016</v>
      </c>
      <c r="R8545" s="2">
        <v>42545</v>
      </c>
      <c r="S8545" s="2">
        <v>42558</v>
      </c>
      <c r="T8545" s="2">
        <v>42558</v>
      </c>
      <c r="U8545" s="2">
        <v>42618</v>
      </c>
      <c r="V8545" t="s">
        <v>71</v>
      </c>
      <c r="W8545" t="str">
        <f>"         FATTPA 7_16"</f>
        <v xml:space="preserve">         FATTPA 7_16</v>
      </c>
      <c r="X8545">
        <v>418.67</v>
      </c>
      <c r="Y8545">
        <v>0</v>
      </c>
      <c r="Z8545"/>
      <c r="AB8545"/>
      <c r="AC8545">
        <v>418.67</v>
      </c>
      <c r="AD8545">
        <v>-52</v>
      </c>
      <c r="AE8545" s="1">
        <v>-21770.84</v>
      </c>
      <c r="AF8545">
        <v>0</v>
      </c>
      <c r="AJ8545">
        <v>0</v>
      </c>
      <c r="AK8545">
        <v>0</v>
      </c>
      <c r="AL8545">
        <v>0</v>
      </c>
      <c r="AM8545">
        <v>418.67</v>
      </c>
      <c r="AN8545">
        <v>418.67</v>
      </c>
      <c r="AO8545">
        <v>418.67</v>
      </c>
      <c r="AP8545" s="2">
        <v>42746</v>
      </c>
      <c r="AQ8545" t="s">
        <v>72</v>
      </c>
      <c r="AR8545" t="s">
        <v>72</v>
      </c>
      <c r="AS8545">
        <v>1805</v>
      </c>
      <c r="AT8545" s="4">
        <v>42566</v>
      </c>
      <c r="AV8545">
        <v>1805</v>
      </c>
      <c r="AW8545" s="4">
        <v>42566</v>
      </c>
      <c r="BD8545">
        <v>0</v>
      </c>
      <c r="BN8545" t="s">
        <v>74</v>
      </c>
    </row>
    <row r="8546" spans="1:66">
      <c r="A8546">
        <v>106302</v>
      </c>
      <c r="B8546" s="3" t="s">
        <v>734</v>
      </c>
      <c r="C8546" s="1">
        <v>43500101</v>
      </c>
      <c r="D8546" t="s">
        <v>113</v>
      </c>
      <c r="H8546" t="str">
        <f t="shared" si="874"/>
        <v>FLPRST82L62A783N</v>
      </c>
      <c r="I8546" t="str">
        <f t="shared" si="875"/>
        <v>01472540622</v>
      </c>
      <c r="K8546" t="str">
        <f>""</f>
        <v/>
      </c>
      <c r="M8546" t="s">
        <v>68</v>
      </c>
      <c r="N8546" t="str">
        <f t="shared" si="876"/>
        <v>ALTPRO</v>
      </c>
      <c r="O8546" t="s">
        <v>132</v>
      </c>
      <c r="P8546" s="3" t="s">
        <v>75</v>
      </c>
      <c r="Q8546">
        <v>2016</v>
      </c>
      <c r="R8546" s="2">
        <v>42628</v>
      </c>
      <c r="S8546" s="2">
        <v>42629</v>
      </c>
      <c r="T8546" s="2">
        <v>42628</v>
      </c>
      <c r="U8546" s="2">
        <v>42688</v>
      </c>
      <c r="V8546" t="s">
        <v>71</v>
      </c>
      <c r="W8546" t="str">
        <f>"        FATTPA 12_16"</f>
        <v xml:space="preserve">        FATTPA 12_16</v>
      </c>
      <c r="X8546">
        <v>416.66</v>
      </c>
      <c r="Y8546">
        <v>0</v>
      </c>
      <c r="Z8546" s="3">
        <v>416.66</v>
      </c>
      <c r="AA8546">
        <v>-42</v>
      </c>
      <c r="AB8546" s="5">
        <v>-17499.72</v>
      </c>
      <c r="AC8546">
        <v>416.66</v>
      </c>
      <c r="AD8546">
        <v>-42</v>
      </c>
      <c r="AE8546" s="1">
        <v>-17499.72</v>
      </c>
      <c r="AF8546">
        <v>0</v>
      </c>
      <c r="AJ8546">
        <v>0</v>
      </c>
      <c r="AK8546">
        <v>0</v>
      </c>
      <c r="AL8546">
        <v>0</v>
      </c>
      <c r="AM8546">
        <v>416.66</v>
      </c>
      <c r="AN8546">
        <v>416.66</v>
      </c>
      <c r="AO8546">
        <v>416.66</v>
      </c>
      <c r="AP8546" s="2">
        <v>42746</v>
      </c>
      <c r="AQ8546" t="s">
        <v>72</v>
      </c>
      <c r="AR8546" t="s">
        <v>72</v>
      </c>
      <c r="AS8546">
        <v>2532</v>
      </c>
      <c r="AT8546" s="4">
        <v>42646</v>
      </c>
      <c r="AV8546">
        <v>2532</v>
      </c>
      <c r="AW8546" s="4">
        <v>42646</v>
      </c>
      <c r="BD8546">
        <v>0</v>
      </c>
      <c r="BN8546" t="s">
        <v>74</v>
      </c>
    </row>
    <row r="8547" spans="1:66">
      <c r="A8547">
        <v>106302</v>
      </c>
      <c r="B8547" s="3" t="s">
        <v>734</v>
      </c>
      <c r="C8547" s="1">
        <v>43500101</v>
      </c>
      <c r="D8547" t="s">
        <v>113</v>
      </c>
      <c r="H8547" t="str">
        <f t="shared" si="874"/>
        <v>FLPRST82L62A783N</v>
      </c>
      <c r="I8547" t="str">
        <f t="shared" si="875"/>
        <v>01472540622</v>
      </c>
      <c r="K8547" t="str">
        <f>""</f>
        <v/>
      </c>
      <c r="M8547" t="s">
        <v>68</v>
      </c>
      <c r="N8547" t="str">
        <f t="shared" si="876"/>
        <v>ALTPRO</v>
      </c>
      <c r="O8547" t="s">
        <v>132</v>
      </c>
      <c r="P8547" s="3" t="s">
        <v>75</v>
      </c>
      <c r="Q8547">
        <v>2016</v>
      </c>
      <c r="R8547" s="2">
        <v>42628</v>
      </c>
      <c r="S8547" s="2">
        <v>42629</v>
      </c>
      <c r="T8547" s="2">
        <v>42628</v>
      </c>
      <c r="U8547" s="2">
        <v>42688</v>
      </c>
      <c r="V8547" t="s">
        <v>71</v>
      </c>
      <c r="W8547" t="str">
        <f>"        FATTPA 13_16"</f>
        <v xml:space="preserve">        FATTPA 13_16</v>
      </c>
      <c r="X8547">
        <v>416.66</v>
      </c>
      <c r="Y8547">
        <v>0</v>
      </c>
      <c r="Z8547" s="3">
        <v>416.66</v>
      </c>
      <c r="AA8547">
        <v>-42</v>
      </c>
      <c r="AB8547" s="5">
        <v>-17499.72</v>
      </c>
      <c r="AC8547">
        <v>416.66</v>
      </c>
      <c r="AD8547">
        <v>-42</v>
      </c>
      <c r="AE8547" s="1">
        <v>-17499.72</v>
      </c>
      <c r="AF8547">
        <v>0</v>
      </c>
      <c r="AJ8547">
        <v>0</v>
      </c>
      <c r="AK8547">
        <v>0</v>
      </c>
      <c r="AL8547">
        <v>0</v>
      </c>
      <c r="AM8547">
        <v>416.66</v>
      </c>
      <c r="AN8547">
        <v>416.66</v>
      </c>
      <c r="AO8547">
        <v>416.66</v>
      </c>
      <c r="AP8547" s="2">
        <v>42746</v>
      </c>
      <c r="AQ8547" t="s">
        <v>72</v>
      </c>
      <c r="AR8547" t="s">
        <v>72</v>
      </c>
      <c r="AS8547">
        <v>2532</v>
      </c>
      <c r="AT8547" s="4">
        <v>42646</v>
      </c>
      <c r="AV8547">
        <v>2532</v>
      </c>
      <c r="AW8547" s="4">
        <v>42646</v>
      </c>
      <c r="BD8547">
        <v>0</v>
      </c>
      <c r="BN8547" t="s">
        <v>74</v>
      </c>
    </row>
    <row r="8548" spans="1:66" hidden="1">
      <c r="A8548">
        <v>106308</v>
      </c>
      <c r="B8548" s="3" t="s">
        <v>735</v>
      </c>
      <c r="C8548" s="1">
        <v>43300101</v>
      </c>
      <c r="D8548" t="s">
        <v>67</v>
      </c>
      <c r="H8548" t="str">
        <f>"MCRGCR46H14Z130X"</f>
        <v>MCRGCR46H14Z130X</v>
      </c>
      <c r="I8548" t="str">
        <f>"03382990400"</f>
        <v>03382990400</v>
      </c>
      <c r="K8548" t="str">
        <f>""</f>
        <v/>
      </c>
      <c r="M8548" t="s">
        <v>68</v>
      </c>
      <c r="N8548" t="str">
        <f>"FOR"</f>
        <v>FOR</v>
      </c>
      <c r="O8548" t="s">
        <v>69</v>
      </c>
      <c r="P8548" s="3" t="s">
        <v>70</v>
      </c>
      <c r="Q8548">
        <v>2015</v>
      </c>
      <c r="R8548" s="2">
        <v>42268</v>
      </c>
      <c r="S8548" s="2">
        <v>42276</v>
      </c>
      <c r="T8548" s="2">
        <v>42276</v>
      </c>
      <c r="U8548" s="2">
        <v>42336</v>
      </c>
      <c r="V8548" t="s">
        <v>71</v>
      </c>
      <c r="W8548" t="str">
        <f>"               187/T"</f>
        <v xml:space="preserve">               187/T</v>
      </c>
      <c r="X8548" s="1">
        <v>5533.92</v>
      </c>
      <c r="Y8548">
        <v>-997.92</v>
      </c>
      <c r="Z8548"/>
      <c r="AB8548"/>
      <c r="AC8548" s="1">
        <v>4536</v>
      </c>
      <c r="AD8548">
        <v>243</v>
      </c>
      <c r="AE8548" s="1">
        <v>1102248</v>
      </c>
      <c r="AF8548">
        <v>0</v>
      </c>
      <c r="AJ8548">
        <v>0</v>
      </c>
      <c r="AK8548">
        <v>0</v>
      </c>
      <c r="AL8548">
        <v>0</v>
      </c>
      <c r="AM8548">
        <v>0</v>
      </c>
      <c r="AN8548">
        <v>0</v>
      </c>
      <c r="AO8548">
        <v>0</v>
      </c>
      <c r="AP8548" s="2">
        <v>42746</v>
      </c>
      <c r="AQ8548" t="s">
        <v>72</v>
      </c>
      <c r="AR8548" t="s">
        <v>72</v>
      </c>
      <c r="AS8548">
        <v>2013</v>
      </c>
      <c r="AT8548" s="4">
        <v>42579</v>
      </c>
      <c r="AU8548" t="s">
        <v>73</v>
      </c>
      <c r="AV8548">
        <v>2013</v>
      </c>
      <c r="AW8548" s="4">
        <v>42579</v>
      </c>
      <c r="BD8548">
        <v>0</v>
      </c>
      <c r="BN8548" t="s">
        <v>74</v>
      </c>
    </row>
    <row r="8549" spans="1:66">
      <c r="A8549">
        <v>106314</v>
      </c>
      <c r="B8549" s="3" t="s">
        <v>736</v>
      </c>
      <c r="C8549" s="1">
        <v>43500101</v>
      </c>
      <c r="D8549" t="s">
        <v>113</v>
      </c>
      <c r="H8549" t="str">
        <f>"VSPLCU81L65A783M"</f>
        <v>VSPLCU81L65A783M</v>
      </c>
      <c r="I8549" t="str">
        <f>"01480260627"</f>
        <v>01480260627</v>
      </c>
      <c r="K8549" t="str">
        <f>""</f>
        <v/>
      </c>
      <c r="M8549" t="s">
        <v>68</v>
      </c>
      <c r="N8549" t="str">
        <f t="shared" ref="N8549:N8564" si="877">"ALTPRO"</f>
        <v>ALTPRO</v>
      </c>
      <c r="O8549" t="s">
        <v>132</v>
      </c>
      <c r="P8549" s="3" t="s">
        <v>75</v>
      </c>
      <c r="Q8549">
        <v>2016</v>
      </c>
      <c r="R8549" s="2">
        <v>42604</v>
      </c>
      <c r="S8549" s="2">
        <v>42613</v>
      </c>
      <c r="T8549" s="2">
        <v>42612</v>
      </c>
      <c r="U8549" s="2">
        <v>42672</v>
      </c>
      <c r="V8549" t="s">
        <v>71</v>
      </c>
      <c r="W8549" t="str">
        <f>"                1/PA"</f>
        <v xml:space="preserve">                1/PA</v>
      </c>
      <c r="X8549" s="1">
        <v>2529.1999999999998</v>
      </c>
      <c r="Y8549">
        <v>0</v>
      </c>
      <c r="Z8549" s="5">
        <v>2529.1999999999998</v>
      </c>
      <c r="AA8549">
        <v>46</v>
      </c>
      <c r="AB8549" s="5">
        <v>116343.2</v>
      </c>
      <c r="AC8549" s="1">
        <v>2529.1999999999998</v>
      </c>
      <c r="AD8549">
        <v>46</v>
      </c>
      <c r="AE8549" s="1">
        <v>116343.2</v>
      </c>
      <c r="AF8549">
        <v>0</v>
      </c>
      <c r="AJ8549">
        <v>0</v>
      </c>
      <c r="AK8549">
        <v>0</v>
      </c>
      <c r="AL8549">
        <v>0</v>
      </c>
      <c r="AM8549" s="1">
        <v>2529.1999999999998</v>
      </c>
      <c r="AN8549" s="1">
        <v>2529.1999999999998</v>
      </c>
      <c r="AO8549" s="1">
        <v>2529.1999999999998</v>
      </c>
      <c r="AP8549" s="2">
        <v>42746</v>
      </c>
      <c r="AQ8549" t="s">
        <v>72</v>
      </c>
      <c r="AR8549" t="s">
        <v>72</v>
      </c>
      <c r="AS8549">
        <v>3448</v>
      </c>
      <c r="AT8549" s="4">
        <v>42718</v>
      </c>
      <c r="AU8549" t="s">
        <v>73</v>
      </c>
      <c r="AV8549">
        <v>3448</v>
      </c>
      <c r="AW8549" s="4">
        <v>42718</v>
      </c>
      <c r="BD8549">
        <v>0</v>
      </c>
      <c r="BN8549" t="s">
        <v>74</v>
      </c>
    </row>
    <row r="8550" spans="1:66">
      <c r="A8550">
        <v>106314</v>
      </c>
      <c r="B8550" s="3" t="s">
        <v>736</v>
      </c>
      <c r="C8550" s="1">
        <v>43500101</v>
      </c>
      <c r="D8550" t="s">
        <v>113</v>
      </c>
      <c r="H8550" t="str">
        <f>"VSPLCU81L65A783M"</f>
        <v>VSPLCU81L65A783M</v>
      </c>
      <c r="I8550" t="str">
        <f>"01480260627"</f>
        <v>01480260627</v>
      </c>
      <c r="K8550" t="str">
        <f>""</f>
        <v/>
      </c>
      <c r="M8550" t="s">
        <v>68</v>
      </c>
      <c r="N8550" t="str">
        <f t="shared" si="877"/>
        <v>ALTPRO</v>
      </c>
      <c r="O8550" t="s">
        <v>132</v>
      </c>
      <c r="P8550" s="3" t="s">
        <v>75</v>
      </c>
      <c r="Q8550">
        <v>2016</v>
      </c>
      <c r="R8550" s="2">
        <v>42604</v>
      </c>
      <c r="S8550" s="2">
        <v>42613</v>
      </c>
      <c r="T8550" s="2">
        <v>42605</v>
      </c>
      <c r="U8550" s="2">
        <v>42665</v>
      </c>
      <c r="V8550" t="s">
        <v>71</v>
      </c>
      <c r="W8550" t="str">
        <f>"                2/PA"</f>
        <v xml:space="preserve">                2/PA</v>
      </c>
      <c r="X8550" s="1">
        <v>4869.7</v>
      </c>
      <c r="Y8550">
        <v>0</v>
      </c>
      <c r="Z8550" s="5">
        <v>4869.7</v>
      </c>
      <c r="AA8550">
        <v>53</v>
      </c>
      <c r="AB8550" s="5">
        <v>258094.1</v>
      </c>
      <c r="AC8550" s="1">
        <v>4869.7</v>
      </c>
      <c r="AD8550">
        <v>53</v>
      </c>
      <c r="AE8550" s="1">
        <v>258094.1</v>
      </c>
      <c r="AF8550">
        <v>0</v>
      </c>
      <c r="AJ8550">
        <v>0</v>
      </c>
      <c r="AK8550">
        <v>0</v>
      </c>
      <c r="AL8550">
        <v>0</v>
      </c>
      <c r="AM8550" s="1">
        <v>4869.7</v>
      </c>
      <c r="AN8550" s="1">
        <v>4869.7</v>
      </c>
      <c r="AO8550" s="1">
        <v>4869.7</v>
      </c>
      <c r="AP8550" s="2">
        <v>42746</v>
      </c>
      <c r="AQ8550" t="s">
        <v>72</v>
      </c>
      <c r="AR8550" t="s">
        <v>72</v>
      </c>
      <c r="AS8550">
        <v>3449</v>
      </c>
      <c r="AT8550" s="4">
        <v>42718</v>
      </c>
      <c r="AU8550" t="s">
        <v>73</v>
      </c>
      <c r="AV8550">
        <v>3449</v>
      </c>
      <c r="AW8550" s="4">
        <v>42718</v>
      </c>
      <c r="BD8550">
        <v>0</v>
      </c>
      <c r="BN8550" t="s">
        <v>74</v>
      </c>
    </row>
    <row r="8551" spans="1:66" hidden="1">
      <c r="A8551">
        <v>106315</v>
      </c>
      <c r="B8551" s="3" t="s">
        <v>737</v>
      </c>
      <c r="C8551" s="1">
        <v>43500101</v>
      </c>
      <c r="D8551" t="s">
        <v>113</v>
      </c>
      <c r="H8551" t="str">
        <f t="shared" ref="H8551:H8562" si="878">"TRNGPP73S45A783A"</f>
        <v>TRNGPP73S45A783A</v>
      </c>
      <c r="I8551" t="str">
        <f t="shared" ref="I8551:I8562" si="879">"01572840625"</f>
        <v>01572840625</v>
      </c>
      <c r="K8551" t="str">
        <f>""</f>
        <v/>
      </c>
      <c r="M8551" t="s">
        <v>68</v>
      </c>
      <c r="N8551" t="str">
        <f t="shared" si="877"/>
        <v>ALTPRO</v>
      </c>
      <c r="O8551" t="s">
        <v>132</v>
      </c>
      <c r="P8551" s="3" t="s">
        <v>146</v>
      </c>
      <c r="Q8551">
        <v>2016</v>
      </c>
      <c r="R8551" s="2">
        <v>42381</v>
      </c>
      <c r="S8551" s="2">
        <v>42382</v>
      </c>
      <c r="T8551" s="2">
        <v>42381</v>
      </c>
      <c r="U8551" s="2">
        <v>42441</v>
      </c>
      <c r="V8551" t="s">
        <v>71</v>
      </c>
      <c r="W8551" t="str">
        <f>"      000001-2016-FE"</f>
        <v xml:space="preserve">      000001-2016-FE</v>
      </c>
      <c r="X8551" s="1">
        <v>2162.7600000000002</v>
      </c>
      <c r="Y8551">
        <v>0</v>
      </c>
      <c r="Z8551"/>
      <c r="AB8551"/>
      <c r="AC8551" s="1">
        <v>2162.7600000000002</v>
      </c>
      <c r="AD8551">
        <v>-44</v>
      </c>
      <c r="AE8551" s="1">
        <v>-95161.44</v>
      </c>
      <c r="AF8551">
        <v>0</v>
      </c>
      <c r="AJ8551">
        <v>0</v>
      </c>
      <c r="AK8551">
        <v>0</v>
      </c>
      <c r="AL8551">
        <v>0</v>
      </c>
      <c r="AM8551">
        <v>0</v>
      </c>
      <c r="AN8551" s="1">
        <v>2162.7600000000002</v>
      </c>
      <c r="AO8551" s="1">
        <v>2162.7600000000002</v>
      </c>
      <c r="AP8551" s="2">
        <v>42746</v>
      </c>
      <c r="AQ8551" t="s">
        <v>72</v>
      </c>
      <c r="AR8551" t="s">
        <v>72</v>
      </c>
      <c r="AS8551">
        <v>127</v>
      </c>
      <c r="AT8551" s="4">
        <v>42397</v>
      </c>
      <c r="AV8551">
        <v>127</v>
      </c>
      <c r="AW8551" s="4">
        <v>42397</v>
      </c>
      <c r="BD8551">
        <v>0</v>
      </c>
      <c r="BN8551" t="s">
        <v>74</v>
      </c>
    </row>
    <row r="8552" spans="1:66" hidden="1">
      <c r="A8552">
        <v>106315</v>
      </c>
      <c r="B8552" s="3" t="s">
        <v>737</v>
      </c>
      <c r="C8552" s="1">
        <v>43500101</v>
      </c>
      <c r="D8552" t="s">
        <v>113</v>
      </c>
      <c r="H8552" t="str">
        <f t="shared" si="878"/>
        <v>TRNGPP73S45A783A</v>
      </c>
      <c r="I8552" t="str">
        <f t="shared" si="879"/>
        <v>01572840625</v>
      </c>
      <c r="K8552" t="str">
        <f>""</f>
        <v/>
      </c>
      <c r="M8552" t="s">
        <v>68</v>
      </c>
      <c r="N8552" t="str">
        <f t="shared" si="877"/>
        <v>ALTPRO</v>
      </c>
      <c r="O8552" t="s">
        <v>132</v>
      </c>
      <c r="P8552" s="3" t="s">
        <v>146</v>
      </c>
      <c r="Q8552">
        <v>2016</v>
      </c>
      <c r="R8552" s="2">
        <v>42405</v>
      </c>
      <c r="S8552" s="2">
        <v>42408</v>
      </c>
      <c r="T8552" s="2">
        <v>42405</v>
      </c>
      <c r="U8552" s="2">
        <v>42465</v>
      </c>
      <c r="V8552" t="s">
        <v>71</v>
      </c>
      <c r="W8552" t="str">
        <f>"      000002-2016-FE"</f>
        <v xml:space="preserve">      000002-2016-FE</v>
      </c>
      <c r="X8552" s="1">
        <v>2283.9299999999998</v>
      </c>
      <c r="Y8552">
        <v>0</v>
      </c>
      <c r="Z8552"/>
      <c r="AB8552"/>
      <c r="AC8552" s="1">
        <v>2283.9299999999998</v>
      </c>
      <c r="AD8552">
        <v>-39</v>
      </c>
      <c r="AE8552" s="1">
        <v>-89073.27</v>
      </c>
      <c r="AF8552">
        <v>0</v>
      </c>
      <c r="AJ8552">
        <v>0</v>
      </c>
      <c r="AK8552">
        <v>0</v>
      </c>
      <c r="AL8552">
        <v>0</v>
      </c>
      <c r="AM8552" s="1">
        <v>2283.9299999999998</v>
      </c>
      <c r="AN8552" s="1">
        <v>2283.9299999999998</v>
      </c>
      <c r="AO8552" s="1">
        <v>2283.9299999999998</v>
      </c>
      <c r="AP8552" s="2">
        <v>42746</v>
      </c>
      <c r="AQ8552" t="s">
        <v>72</v>
      </c>
      <c r="AR8552" t="s">
        <v>72</v>
      </c>
      <c r="AS8552">
        <v>568</v>
      </c>
      <c r="AT8552" s="4">
        <v>42426</v>
      </c>
      <c r="AV8552">
        <v>568</v>
      </c>
      <c r="AW8552" s="4">
        <v>42426</v>
      </c>
      <c r="BD8552">
        <v>0</v>
      </c>
      <c r="BN8552" t="s">
        <v>74</v>
      </c>
    </row>
    <row r="8553" spans="1:66" hidden="1">
      <c r="A8553">
        <v>106315</v>
      </c>
      <c r="B8553" s="3" t="s">
        <v>737</v>
      </c>
      <c r="C8553" s="1">
        <v>43500101</v>
      </c>
      <c r="D8553" t="s">
        <v>113</v>
      </c>
      <c r="H8553" t="str">
        <f t="shared" si="878"/>
        <v>TRNGPP73S45A783A</v>
      </c>
      <c r="I8553" t="str">
        <f t="shared" si="879"/>
        <v>01572840625</v>
      </c>
      <c r="K8553" t="str">
        <f>""</f>
        <v/>
      </c>
      <c r="M8553" t="s">
        <v>68</v>
      </c>
      <c r="N8553" t="str">
        <f t="shared" si="877"/>
        <v>ALTPRO</v>
      </c>
      <c r="O8553" t="s">
        <v>132</v>
      </c>
      <c r="P8553" s="3" t="s">
        <v>146</v>
      </c>
      <c r="Q8553">
        <v>2016</v>
      </c>
      <c r="R8553" s="2">
        <v>42433</v>
      </c>
      <c r="S8553" s="2">
        <v>42436</v>
      </c>
      <c r="T8553" s="2">
        <v>42433</v>
      </c>
      <c r="U8553" s="2">
        <v>42493</v>
      </c>
      <c r="V8553" t="s">
        <v>71</v>
      </c>
      <c r="W8553" t="str">
        <f>"      000003-2016-FE"</f>
        <v xml:space="preserve">      000003-2016-FE</v>
      </c>
      <c r="X8553" s="1">
        <v>2543.64</v>
      </c>
      <c r="Y8553">
        <v>0</v>
      </c>
      <c r="Z8553"/>
      <c r="AB8553"/>
      <c r="AC8553" s="1">
        <v>2543.64</v>
      </c>
      <c r="AD8553">
        <v>-42</v>
      </c>
      <c r="AE8553" s="1">
        <v>-106832.88</v>
      </c>
      <c r="AF8553">
        <v>0</v>
      </c>
      <c r="AJ8553">
        <v>0</v>
      </c>
      <c r="AK8553">
        <v>0</v>
      </c>
      <c r="AL8553">
        <v>0</v>
      </c>
      <c r="AM8553" s="1">
        <v>2543.64</v>
      </c>
      <c r="AN8553" s="1">
        <v>2543.64</v>
      </c>
      <c r="AO8553" s="1">
        <v>2543.64</v>
      </c>
      <c r="AP8553" s="2">
        <v>42746</v>
      </c>
      <c r="AQ8553" t="s">
        <v>72</v>
      </c>
      <c r="AR8553" t="s">
        <v>72</v>
      </c>
      <c r="AS8553">
        <v>721</v>
      </c>
      <c r="AT8553" s="4">
        <v>42451</v>
      </c>
      <c r="AV8553">
        <v>721</v>
      </c>
      <c r="AW8553" s="4">
        <v>42451</v>
      </c>
      <c r="BD8553">
        <v>0</v>
      </c>
      <c r="BN8553" t="s">
        <v>74</v>
      </c>
    </row>
    <row r="8554" spans="1:66" hidden="1">
      <c r="A8554">
        <v>106315</v>
      </c>
      <c r="B8554" s="3" t="s">
        <v>737</v>
      </c>
      <c r="C8554" s="1">
        <v>43500101</v>
      </c>
      <c r="D8554" t="s">
        <v>113</v>
      </c>
      <c r="H8554" t="str">
        <f t="shared" si="878"/>
        <v>TRNGPP73S45A783A</v>
      </c>
      <c r="I8554" t="str">
        <f t="shared" si="879"/>
        <v>01572840625</v>
      </c>
      <c r="K8554" t="str">
        <f>""</f>
        <v/>
      </c>
      <c r="M8554" t="s">
        <v>68</v>
      </c>
      <c r="N8554" t="str">
        <f t="shared" si="877"/>
        <v>ALTPRO</v>
      </c>
      <c r="O8554" t="s">
        <v>132</v>
      </c>
      <c r="P8554" s="3" t="s">
        <v>146</v>
      </c>
      <c r="Q8554">
        <v>2016</v>
      </c>
      <c r="R8554" s="2">
        <v>42465</v>
      </c>
      <c r="S8554" s="2">
        <v>42466</v>
      </c>
      <c r="T8554" s="2">
        <v>42465</v>
      </c>
      <c r="U8554" s="2">
        <v>42525</v>
      </c>
      <c r="V8554" t="s">
        <v>71</v>
      </c>
      <c r="W8554" t="str">
        <f>"      000004-2016-FE"</f>
        <v xml:space="preserve">      000004-2016-FE</v>
      </c>
      <c r="X8554" s="1">
        <v>2379.98</v>
      </c>
      <c r="Y8554">
        <v>0</v>
      </c>
      <c r="Z8554"/>
      <c r="AB8554"/>
      <c r="AC8554" s="1">
        <v>2379.98</v>
      </c>
      <c r="AD8554">
        <v>-38</v>
      </c>
      <c r="AE8554" s="1">
        <v>-90439.24</v>
      </c>
      <c r="AF8554">
        <v>0</v>
      </c>
      <c r="AJ8554">
        <v>0</v>
      </c>
      <c r="AK8554">
        <v>0</v>
      </c>
      <c r="AL8554">
        <v>0</v>
      </c>
      <c r="AM8554" s="1">
        <v>2379.98</v>
      </c>
      <c r="AN8554" s="1">
        <v>2379.98</v>
      </c>
      <c r="AO8554" s="1">
        <v>2379.98</v>
      </c>
      <c r="AP8554" s="2">
        <v>42746</v>
      </c>
      <c r="AQ8554" t="s">
        <v>72</v>
      </c>
      <c r="AR8554" t="s">
        <v>72</v>
      </c>
      <c r="AS8554">
        <v>1149</v>
      </c>
      <c r="AT8554" s="4">
        <v>42487</v>
      </c>
      <c r="AV8554">
        <v>1149</v>
      </c>
      <c r="AW8554" s="4">
        <v>42487</v>
      </c>
      <c r="BD8554">
        <v>0</v>
      </c>
      <c r="BN8554" t="s">
        <v>74</v>
      </c>
    </row>
    <row r="8555" spans="1:66" hidden="1">
      <c r="A8555">
        <v>106315</v>
      </c>
      <c r="B8555" s="3" t="s">
        <v>737</v>
      </c>
      <c r="C8555" s="1">
        <v>43500101</v>
      </c>
      <c r="D8555" t="s">
        <v>113</v>
      </c>
      <c r="H8555" t="str">
        <f t="shared" si="878"/>
        <v>TRNGPP73S45A783A</v>
      </c>
      <c r="I8555" t="str">
        <f t="shared" si="879"/>
        <v>01572840625</v>
      </c>
      <c r="K8555" t="str">
        <f>""</f>
        <v/>
      </c>
      <c r="M8555" t="s">
        <v>68</v>
      </c>
      <c r="N8555" t="str">
        <f t="shared" si="877"/>
        <v>ALTPRO</v>
      </c>
      <c r="O8555" t="s">
        <v>132</v>
      </c>
      <c r="P8555" s="3" t="s">
        <v>146</v>
      </c>
      <c r="Q8555">
        <v>2016</v>
      </c>
      <c r="R8555" s="2">
        <v>42496</v>
      </c>
      <c r="S8555" s="2">
        <v>42499</v>
      </c>
      <c r="T8555" s="2">
        <v>42496</v>
      </c>
      <c r="U8555" s="2">
        <v>42556</v>
      </c>
      <c r="V8555" t="s">
        <v>71</v>
      </c>
      <c r="W8555" t="str">
        <f>"      000005-2016-FE"</f>
        <v xml:space="preserve">      000005-2016-FE</v>
      </c>
      <c r="X8555" s="1">
        <v>2534.86</v>
      </c>
      <c r="Y8555">
        <v>0</v>
      </c>
      <c r="Z8555"/>
      <c r="AB8555"/>
      <c r="AC8555" s="1">
        <v>2534.86</v>
      </c>
      <c r="AD8555">
        <v>-40</v>
      </c>
      <c r="AE8555" s="1">
        <v>-101394.4</v>
      </c>
      <c r="AF8555">
        <v>0</v>
      </c>
      <c r="AJ8555">
        <v>0</v>
      </c>
      <c r="AK8555">
        <v>0</v>
      </c>
      <c r="AL8555">
        <v>0</v>
      </c>
      <c r="AM8555" s="1">
        <v>2534.86</v>
      </c>
      <c r="AN8555" s="1">
        <v>2534.86</v>
      </c>
      <c r="AO8555" s="1">
        <v>2534.86</v>
      </c>
      <c r="AP8555" s="2">
        <v>42746</v>
      </c>
      <c r="AQ8555" t="s">
        <v>72</v>
      </c>
      <c r="AR8555" t="s">
        <v>72</v>
      </c>
      <c r="AS8555">
        <v>1373</v>
      </c>
      <c r="AT8555" s="4">
        <v>42516</v>
      </c>
      <c r="AV8555">
        <v>1373</v>
      </c>
      <c r="AW8555" s="4">
        <v>42516</v>
      </c>
      <c r="BD8555">
        <v>0</v>
      </c>
      <c r="BN8555" t="s">
        <v>74</v>
      </c>
    </row>
    <row r="8556" spans="1:66" hidden="1">
      <c r="A8556">
        <v>106315</v>
      </c>
      <c r="B8556" s="3" t="s">
        <v>737</v>
      </c>
      <c r="C8556" s="1">
        <v>43500101</v>
      </c>
      <c r="D8556" t="s">
        <v>113</v>
      </c>
      <c r="H8556" t="str">
        <f t="shared" si="878"/>
        <v>TRNGPP73S45A783A</v>
      </c>
      <c r="I8556" t="str">
        <f t="shared" si="879"/>
        <v>01572840625</v>
      </c>
      <c r="K8556" t="str">
        <f>""</f>
        <v/>
      </c>
      <c r="M8556" t="s">
        <v>68</v>
      </c>
      <c r="N8556" t="str">
        <f t="shared" si="877"/>
        <v>ALTPRO</v>
      </c>
      <c r="O8556" t="s">
        <v>132</v>
      </c>
      <c r="P8556" s="3" t="s">
        <v>146</v>
      </c>
      <c r="Q8556">
        <v>2016</v>
      </c>
      <c r="R8556" s="2">
        <v>42534</v>
      </c>
      <c r="S8556" s="2">
        <v>42537</v>
      </c>
      <c r="T8556" s="2">
        <v>42534</v>
      </c>
      <c r="U8556" s="2">
        <v>42594</v>
      </c>
      <c r="V8556" t="s">
        <v>71</v>
      </c>
      <c r="W8556" t="str">
        <f>"      000006-2016-FE"</f>
        <v xml:space="preserve">      000006-2016-FE</v>
      </c>
      <c r="X8556" s="1">
        <v>2607.38</v>
      </c>
      <c r="Y8556">
        <v>0</v>
      </c>
      <c r="Z8556"/>
      <c r="AB8556"/>
      <c r="AC8556" s="1">
        <v>2607.38</v>
      </c>
      <c r="AD8556">
        <v>-42</v>
      </c>
      <c r="AE8556" s="1">
        <v>-109509.96</v>
      </c>
      <c r="AF8556">
        <v>0</v>
      </c>
      <c r="AJ8556">
        <v>0</v>
      </c>
      <c r="AK8556">
        <v>0</v>
      </c>
      <c r="AL8556">
        <v>0</v>
      </c>
      <c r="AM8556" s="1">
        <v>2607.38</v>
      </c>
      <c r="AN8556" s="1">
        <v>2607.38</v>
      </c>
      <c r="AO8556" s="1">
        <v>2607.38</v>
      </c>
      <c r="AP8556" s="2">
        <v>42746</v>
      </c>
      <c r="AQ8556" t="s">
        <v>72</v>
      </c>
      <c r="AR8556" t="s">
        <v>72</v>
      </c>
      <c r="AS8556">
        <v>1639</v>
      </c>
      <c r="AT8556" s="4">
        <v>42552</v>
      </c>
      <c r="AV8556">
        <v>1639</v>
      </c>
      <c r="AW8556" s="4">
        <v>42552</v>
      </c>
      <c r="BD8556">
        <v>0</v>
      </c>
      <c r="BN8556" t="s">
        <v>74</v>
      </c>
    </row>
    <row r="8557" spans="1:66" hidden="1">
      <c r="A8557">
        <v>106315</v>
      </c>
      <c r="B8557" s="3" t="s">
        <v>737</v>
      </c>
      <c r="C8557" s="1">
        <v>43500101</v>
      </c>
      <c r="D8557" t="s">
        <v>113</v>
      </c>
      <c r="H8557" t="str">
        <f t="shared" si="878"/>
        <v>TRNGPP73S45A783A</v>
      </c>
      <c r="I8557" t="str">
        <f t="shared" si="879"/>
        <v>01572840625</v>
      </c>
      <c r="K8557" t="str">
        <f>""</f>
        <v/>
      </c>
      <c r="M8557" t="s">
        <v>68</v>
      </c>
      <c r="N8557" t="str">
        <f t="shared" si="877"/>
        <v>ALTPRO</v>
      </c>
      <c r="O8557" t="s">
        <v>132</v>
      </c>
      <c r="P8557" s="3" t="s">
        <v>146</v>
      </c>
      <c r="Q8557">
        <v>2016</v>
      </c>
      <c r="R8557" s="2">
        <v>42552</v>
      </c>
      <c r="S8557" s="2">
        <v>42555</v>
      </c>
      <c r="T8557" s="2">
        <v>42552</v>
      </c>
      <c r="U8557" s="2">
        <v>42612</v>
      </c>
      <c r="V8557" t="s">
        <v>71</v>
      </c>
      <c r="W8557" t="str">
        <f>"      000007-2016-FE"</f>
        <v xml:space="preserve">      000007-2016-FE</v>
      </c>
      <c r="X8557" s="1">
        <v>2307.46</v>
      </c>
      <c r="Y8557">
        <v>0</v>
      </c>
      <c r="Z8557"/>
      <c r="AB8557"/>
      <c r="AC8557" s="1">
        <v>2307.46</v>
      </c>
      <c r="AD8557">
        <v>-46</v>
      </c>
      <c r="AE8557" s="1">
        <v>-106143.16</v>
      </c>
      <c r="AF8557">
        <v>0</v>
      </c>
      <c r="AJ8557">
        <v>0</v>
      </c>
      <c r="AK8557">
        <v>0</v>
      </c>
      <c r="AL8557">
        <v>0</v>
      </c>
      <c r="AM8557" s="1">
        <v>2307.46</v>
      </c>
      <c r="AN8557" s="1">
        <v>2307.46</v>
      </c>
      <c r="AO8557" s="1">
        <v>2307.46</v>
      </c>
      <c r="AP8557" s="2">
        <v>42746</v>
      </c>
      <c r="AQ8557" t="s">
        <v>72</v>
      </c>
      <c r="AR8557" t="s">
        <v>72</v>
      </c>
      <c r="AS8557">
        <v>1785</v>
      </c>
      <c r="AT8557" s="4">
        <v>42566</v>
      </c>
      <c r="AV8557">
        <v>1785</v>
      </c>
      <c r="AW8557" s="4">
        <v>42566</v>
      </c>
      <c r="BD8557">
        <v>0</v>
      </c>
      <c r="BN8557" t="s">
        <v>74</v>
      </c>
    </row>
    <row r="8558" spans="1:66" hidden="1">
      <c r="A8558">
        <v>106315</v>
      </c>
      <c r="B8558" s="3" t="s">
        <v>737</v>
      </c>
      <c r="C8558" s="1">
        <v>43500101</v>
      </c>
      <c r="D8558" t="s">
        <v>113</v>
      </c>
      <c r="H8558" t="str">
        <f t="shared" si="878"/>
        <v>TRNGPP73S45A783A</v>
      </c>
      <c r="I8558" t="str">
        <f t="shared" si="879"/>
        <v>01572840625</v>
      </c>
      <c r="K8558" t="str">
        <f>""</f>
        <v/>
      </c>
      <c r="M8558" t="s">
        <v>68</v>
      </c>
      <c r="N8558" t="str">
        <f t="shared" si="877"/>
        <v>ALTPRO</v>
      </c>
      <c r="O8558" t="s">
        <v>132</v>
      </c>
      <c r="P8558" s="3" t="s">
        <v>146</v>
      </c>
      <c r="Q8558">
        <v>2016</v>
      </c>
      <c r="R8558" s="2">
        <v>42585</v>
      </c>
      <c r="S8558" s="2">
        <v>42586</v>
      </c>
      <c r="T8558" s="2">
        <v>42586</v>
      </c>
      <c r="U8558" s="2">
        <v>42646</v>
      </c>
      <c r="V8558" t="s">
        <v>71</v>
      </c>
      <c r="W8558" t="str">
        <f>"      000008-2016-FE"</f>
        <v xml:space="preserve">      000008-2016-FE</v>
      </c>
      <c r="X8558" s="1">
        <v>1993.66</v>
      </c>
      <c r="Y8558">
        <v>0</v>
      </c>
      <c r="Z8558"/>
      <c r="AB8558"/>
      <c r="AC8558" s="1">
        <v>1993.66</v>
      </c>
      <c r="AD8558">
        <v>-28</v>
      </c>
      <c r="AE8558" s="1">
        <v>-55822.48</v>
      </c>
      <c r="AF8558">
        <v>0</v>
      </c>
      <c r="AJ8558">
        <v>0</v>
      </c>
      <c r="AK8558">
        <v>0</v>
      </c>
      <c r="AL8558">
        <v>0</v>
      </c>
      <c r="AM8558" s="1">
        <v>1993.66</v>
      </c>
      <c r="AN8558" s="1">
        <v>1993.66</v>
      </c>
      <c r="AO8558" s="1">
        <v>1993.66</v>
      </c>
      <c r="AP8558" s="2">
        <v>42746</v>
      </c>
      <c r="AQ8558" t="s">
        <v>72</v>
      </c>
      <c r="AR8558" t="s">
        <v>72</v>
      </c>
      <c r="AS8558">
        <v>2247</v>
      </c>
      <c r="AT8558" s="4">
        <v>42618</v>
      </c>
      <c r="AV8558">
        <v>2247</v>
      </c>
      <c r="AW8558" s="4">
        <v>42618</v>
      </c>
      <c r="BD8558">
        <v>0</v>
      </c>
      <c r="BN8558" t="s">
        <v>74</v>
      </c>
    </row>
    <row r="8559" spans="1:66">
      <c r="A8559">
        <v>106315</v>
      </c>
      <c r="B8559" s="3" t="s">
        <v>737</v>
      </c>
      <c r="C8559" s="1">
        <v>43500101</v>
      </c>
      <c r="D8559" t="s">
        <v>113</v>
      </c>
      <c r="H8559" t="str">
        <f t="shared" si="878"/>
        <v>TRNGPP73S45A783A</v>
      </c>
      <c r="I8559" t="str">
        <f t="shared" si="879"/>
        <v>01572840625</v>
      </c>
      <c r="K8559" t="str">
        <f>""</f>
        <v/>
      </c>
      <c r="M8559" t="s">
        <v>68</v>
      </c>
      <c r="N8559" t="str">
        <f t="shared" si="877"/>
        <v>ALTPRO</v>
      </c>
      <c r="O8559" t="s">
        <v>132</v>
      </c>
      <c r="P8559" s="3" t="s">
        <v>146</v>
      </c>
      <c r="Q8559">
        <v>2016</v>
      </c>
      <c r="R8559" s="2">
        <v>42629</v>
      </c>
      <c r="S8559" s="2">
        <v>42632</v>
      </c>
      <c r="T8559" s="2">
        <v>42629</v>
      </c>
      <c r="U8559" s="2">
        <v>42689</v>
      </c>
      <c r="V8559" t="s">
        <v>71</v>
      </c>
      <c r="W8559" t="str">
        <f>"      000009-2016-FE"</f>
        <v xml:space="preserve">      000009-2016-FE</v>
      </c>
      <c r="X8559" s="1">
        <v>2642</v>
      </c>
      <c r="Y8559">
        <v>0</v>
      </c>
      <c r="Z8559" s="5">
        <v>2642</v>
      </c>
      <c r="AA8559">
        <v>-43</v>
      </c>
      <c r="AB8559" s="5">
        <v>-113606</v>
      </c>
      <c r="AC8559" s="1">
        <v>2642</v>
      </c>
      <c r="AD8559">
        <v>-43</v>
      </c>
      <c r="AE8559" s="1">
        <v>-113606</v>
      </c>
      <c r="AF8559">
        <v>0</v>
      </c>
      <c r="AJ8559">
        <v>0</v>
      </c>
      <c r="AK8559">
        <v>0</v>
      </c>
      <c r="AL8559">
        <v>0</v>
      </c>
      <c r="AM8559" s="1">
        <v>2642</v>
      </c>
      <c r="AN8559" s="1">
        <v>2642</v>
      </c>
      <c r="AO8559" s="1">
        <v>2642</v>
      </c>
      <c r="AP8559" s="2">
        <v>42746</v>
      </c>
      <c r="AQ8559" t="s">
        <v>72</v>
      </c>
      <c r="AR8559" t="s">
        <v>72</v>
      </c>
      <c r="AS8559">
        <v>2507</v>
      </c>
      <c r="AT8559" s="4">
        <v>42646</v>
      </c>
      <c r="AV8559">
        <v>2507</v>
      </c>
      <c r="AW8559" s="4">
        <v>42646</v>
      </c>
      <c r="BD8559">
        <v>0</v>
      </c>
      <c r="BN8559" t="s">
        <v>74</v>
      </c>
    </row>
    <row r="8560" spans="1:66">
      <c r="A8560">
        <v>106315</v>
      </c>
      <c r="B8560" s="3" t="s">
        <v>737</v>
      </c>
      <c r="C8560" s="1">
        <v>43500101</v>
      </c>
      <c r="D8560" t="s">
        <v>113</v>
      </c>
      <c r="H8560" t="str">
        <f t="shared" si="878"/>
        <v>TRNGPP73S45A783A</v>
      </c>
      <c r="I8560" t="str">
        <f t="shared" si="879"/>
        <v>01572840625</v>
      </c>
      <c r="K8560" t="str">
        <f>""</f>
        <v/>
      </c>
      <c r="M8560" t="s">
        <v>68</v>
      </c>
      <c r="N8560" t="str">
        <f t="shared" si="877"/>
        <v>ALTPRO</v>
      </c>
      <c r="O8560" t="s">
        <v>132</v>
      </c>
      <c r="P8560" s="3" t="s">
        <v>146</v>
      </c>
      <c r="Q8560">
        <v>2016</v>
      </c>
      <c r="R8560" s="2">
        <v>42654</v>
      </c>
      <c r="S8560" s="2">
        <v>42655</v>
      </c>
      <c r="T8560" s="2">
        <v>42654</v>
      </c>
      <c r="U8560" s="2">
        <v>42714</v>
      </c>
      <c r="V8560" t="s">
        <v>71</v>
      </c>
      <c r="W8560" t="str">
        <f>"      000010-2016-FE"</f>
        <v xml:space="preserve">      000010-2016-FE</v>
      </c>
      <c r="X8560" s="1">
        <v>2442.85</v>
      </c>
      <c r="Y8560">
        <v>0</v>
      </c>
      <c r="Z8560" s="5">
        <v>2442.85</v>
      </c>
      <c r="AA8560">
        <v>-46</v>
      </c>
      <c r="AB8560" s="5">
        <v>-112371.1</v>
      </c>
      <c r="AC8560" s="1">
        <v>2442.85</v>
      </c>
      <c r="AD8560">
        <v>-46</v>
      </c>
      <c r="AE8560" s="1">
        <v>-112371.1</v>
      </c>
      <c r="AF8560">
        <v>0</v>
      </c>
      <c r="AJ8560">
        <v>0</v>
      </c>
      <c r="AK8560" s="1">
        <v>2442.85</v>
      </c>
      <c r="AL8560" s="1">
        <v>2442.85</v>
      </c>
      <c r="AM8560" s="1">
        <v>2442.85</v>
      </c>
      <c r="AN8560" s="1">
        <v>2442.85</v>
      </c>
      <c r="AO8560" s="1">
        <v>2442.85</v>
      </c>
      <c r="AP8560" s="2">
        <v>42746</v>
      </c>
      <c r="AQ8560" t="s">
        <v>72</v>
      </c>
      <c r="AR8560" t="s">
        <v>72</v>
      </c>
      <c r="AS8560">
        <v>2871</v>
      </c>
      <c r="AT8560" s="4">
        <v>42668</v>
      </c>
      <c r="AV8560">
        <v>2871</v>
      </c>
      <c r="AW8560" s="4">
        <v>42668</v>
      </c>
      <c r="BD8560">
        <v>0</v>
      </c>
      <c r="BN8560" t="s">
        <v>74</v>
      </c>
    </row>
    <row r="8561" spans="1:66">
      <c r="A8561">
        <v>106315</v>
      </c>
      <c r="B8561" s="3" t="s">
        <v>737</v>
      </c>
      <c r="C8561" s="1">
        <v>43500101</v>
      </c>
      <c r="D8561" t="s">
        <v>113</v>
      </c>
      <c r="H8561" t="str">
        <f t="shared" si="878"/>
        <v>TRNGPP73S45A783A</v>
      </c>
      <c r="I8561" t="str">
        <f t="shared" si="879"/>
        <v>01572840625</v>
      </c>
      <c r="K8561" t="str">
        <f>""</f>
        <v/>
      </c>
      <c r="M8561" t="s">
        <v>68</v>
      </c>
      <c r="N8561" t="str">
        <f t="shared" si="877"/>
        <v>ALTPRO</v>
      </c>
      <c r="O8561" t="s">
        <v>132</v>
      </c>
      <c r="P8561" s="3" t="s">
        <v>146</v>
      </c>
      <c r="Q8561">
        <v>2016</v>
      </c>
      <c r="R8561" s="2">
        <v>42677</v>
      </c>
      <c r="S8561" s="2">
        <v>42678</v>
      </c>
      <c r="T8561" s="2">
        <v>42677</v>
      </c>
      <c r="U8561" s="2">
        <v>42737</v>
      </c>
      <c r="V8561" t="s">
        <v>71</v>
      </c>
      <c r="W8561" t="str">
        <f>"      000011-2016-FE"</f>
        <v xml:space="preserve">      000011-2016-FE</v>
      </c>
      <c r="X8561" s="1">
        <v>2651.56</v>
      </c>
      <c r="Y8561">
        <v>0</v>
      </c>
      <c r="Z8561" s="5">
        <v>2651.56</v>
      </c>
      <c r="AA8561">
        <v>-55</v>
      </c>
      <c r="AB8561" s="5">
        <v>-145835.79999999999</v>
      </c>
      <c r="AC8561" s="1">
        <v>2651.56</v>
      </c>
      <c r="AD8561">
        <v>-55</v>
      </c>
      <c r="AE8561" s="1">
        <v>-145835.79999999999</v>
      </c>
      <c r="AF8561">
        <v>0</v>
      </c>
      <c r="AJ8561" s="1">
        <v>2651.56</v>
      </c>
      <c r="AK8561" s="1">
        <v>2651.56</v>
      </c>
      <c r="AL8561" s="1">
        <v>2651.56</v>
      </c>
      <c r="AM8561" s="1">
        <v>2651.56</v>
      </c>
      <c r="AN8561" s="1">
        <v>2651.56</v>
      </c>
      <c r="AO8561" s="1">
        <v>2651.56</v>
      </c>
      <c r="AP8561" s="2">
        <v>42746</v>
      </c>
      <c r="AQ8561" t="s">
        <v>72</v>
      </c>
      <c r="AR8561" t="s">
        <v>72</v>
      </c>
      <c r="AS8561">
        <v>2955</v>
      </c>
      <c r="AT8561" s="4">
        <v>42682</v>
      </c>
      <c r="AV8561">
        <v>2955</v>
      </c>
      <c r="AW8561" s="4">
        <v>42682</v>
      </c>
      <c r="BD8561">
        <v>0</v>
      </c>
      <c r="BN8561" t="s">
        <v>74</v>
      </c>
    </row>
    <row r="8562" spans="1:66">
      <c r="A8562">
        <v>106315</v>
      </c>
      <c r="B8562" s="3" t="s">
        <v>737</v>
      </c>
      <c r="C8562" s="1">
        <v>43500101</v>
      </c>
      <c r="D8562" t="s">
        <v>113</v>
      </c>
      <c r="H8562" t="str">
        <f t="shared" si="878"/>
        <v>TRNGPP73S45A783A</v>
      </c>
      <c r="I8562" t="str">
        <f t="shared" si="879"/>
        <v>01572840625</v>
      </c>
      <c r="K8562" t="str">
        <f>""</f>
        <v/>
      </c>
      <c r="M8562" t="s">
        <v>68</v>
      </c>
      <c r="N8562" t="str">
        <f t="shared" si="877"/>
        <v>ALTPRO</v>
      </c>
      <c r="O8562" t="s">
        <v>132</v>
      </c>
      <c r="P8562" s="3" t="s">
        <v>146</v>
      </c>
      <c r="Q8562">
        <v>2016</v>
      </c>
      <c r="R8562" s="2">
        <v>42710</v>
      </c>
      <c r="S8562" s="2">
        <v>42711</v>
      </c>
      <c r="T8562" s="2">
        <v>42711</v>
      </c>
      <c r="U8562" s="2">
        <v>42771</v>
      </c>
      <c r="V8562" t="s">
        <v>71</v>
      </c>
      <c r="W8562" t="str">
        <f>"      000012-2016-FE"</f>
        <v xml:space="preserve">      000012-2016-FE</v>
      </c>
      <c r="X8562" s="1">
        <v>2388.16</v>
      </c>
      <c r="Y8562">
        <v>0</v>
      </c>
      <c r="Z8562" s="5">
        <v>2388.16</v>
      </c>
      <c r="AA8562">
        <v>-60</v>
      </c>
      <c r="AB8562" s="5">
        <v>-143289.60000000001</v>
      </c>
      <c r="AC8562" s="1">
        <v>2388.16</v>
      </c>
      <c r="AD8562">
        <v>-60</v>
      </c>
      <c r="AE8562" s="1">
        <v>-143289.60000000001</v>
      </c>
      <c r="AF8562">
        <v>0</v>
      </c>
      <c r="AJ8562" s="1">
        <v>2388.16</v>
      </c>
      <c r="AK8562" s="1">
        <v>2388.16</v>
      </c>
      <c r="AL8562" s="1">
        <v>2388.16</v>
      </c>
      <c r="AM8562" s="1">
        <v>2388.16</v>
      </c>
      <c r="AN8562" s="1">
        <v>2388.16</v>
      </c>
      <c r="AO8562" s="1">
        <v>2388.16</v>
      </c>
      <c r="AP8562" s="2">
        <v>42746</v>
      </c>
      <c r="AQ8562" t="s">
        <v>72</v>
      </c>
      <c r="AR8562" t="s">
        <v>72</v>
      </c>
      <c r="AS8562">
        <v>3352</v>
      </c>
      <c r="AT8562" s="4">
        <v>42711</v>
      </c>
      <c r="AV8562">
        <v>3352</v>
      </c>
      <c r="AW8562" s="4">
        <v>42711</v>
      </c>
      <c r="BD8562">
        <v>0</v>
      </c>
      <c r="BN8562" t="s">
        <v>74</v>
      </c>
    </row>
    <row r="8563" spans="1:66">
      <c r="A8563">
        <v>106316</v>
      </c>
      <c r="B8563" s="3" t="s">
        <v>738</v>
      </c>
      <c r="C8563" s="1">
        <v>43500101</v>
      </c>
      <c r="D8563" t="s">
        <v>113</v>
      </c>
      <c r="H8563" t="str">
        <f>"PRCPLA72L53H703G"</f>
        <v>PRCPLA72L53H703G</v>
      </c>
      <c r="I8563" t="str">
        <f>"01196900623"</f>
        <v>01196900623</v>
      </c>
      <c r="K8563" t="str">
        <f>""</f>
        <v/>
      </c>
      <c r="M8563" t="s">
        <v>68</v>
      </c>
      <c r="N8563" t="str">
        <f t="shared" si="877"/>
        <v>ALTPRO</v>
      </c>
      <c r="O8563" t="s">
        <v>132</v>
      </c>
      <c r="P8563" s="3" t="s">
        <v>75</v>
      </c>
      <c r="Q8563">
        <v>2016</v>
      </c>
      <c r="R8563" s="2">
        <v>42565</v>
      </c>
      <c r="S8563" s="2">
        <v>42577</v>
      </c>
      <c r="T8563" s="2">
        <v>42567</v>
      </c>
      <c r="U8563" s="2">
        <v>42627</v>
      </c>
      <c r="V8563" t="s">
        <v>71</v>
      </c>
      <c r="W8563" t="str">
        <f>"                  01"</f>
        <v xml:space="preserve">                  01</v>
      </c>
      <c r="X8563" s="1">
        <v>1427</v>
      </c>
      <c r="Y8563">
        <v>-224.94</v>
      </c>
      <c r="Z8563" s="5">
        <v>1202.06</v>
      </c>
      <c r="AA8563">
        <v>42</v>
      </c>
      <c r="AB8563" s="5">
        <v>50486.52</v>
      </c>
      <c r="AC8563" s="1">
        <v>1202.06</v>
      </c>
      <c r="AD8563">
        <v>42</v>
      </c>
      <c r="AE8563" s="1">
        <v>50486.52</v>
      </c>
      <c r="AF8563">
        <v>0</v>
      </c>
      <c r="AJ8563">
        <v>0</v>
      </c>
      <c r="AK8563">
        <v>0</v>
      </c>
      <c r="AL8563">
        <v>0</v>
      </c>
      <c r="AM8563" s="1">
        <v>1202.06</v>
      </c>
      <c r="AN8563" s="1">
        <v>1202.06</v>
      </c>
      <c r="AO8563" s="1">
        <v>1202.06</v>
      </c>
      <c r="AP8563" s="2">
        <v>42746</v>
      </c>
      <c r="AQ8563" t="s">
        <v>72</v>
      </c>
      <c r="AR8563" t="s">
        <v>72</v>
      </c>
      <c r="AS8563">
        <v>2892</v>
      </c>
      <c r="AT8563" s="4">
        <v>42669</v>
      </c>
      <c r="AU8563" t="s">
        <v>73</v>
      </c>
      <c r="AV8563">
        <v>2892</v>
      </c>
      <c r="AW8563" s="4">
        <v>42669</v>
      </c>
      <c r="BD8563">
        <v>0</v>
      </c>
      <c r="BN8563" t="s">
        <v>74</v>
      </c>
    </row>
    <row r="8564" spans="1:66">
      <c r="A8564">
        <v>106316</v>
      </c>
      <c r="B8564" s="3" t="s">
        <v>738</v>
      </c>
      <c r="C8564" s="1">
        <v>43500101</v>
      </c>
      <c r="D8564" t="s">
        <v>113</v>
      </c>
      <c r="H8564" t="str">
        <f>"PRCPLA72L53H703G"</f>
        <v>PRCPLA72L53H703G</v>
      </c>
      <c r="I8564" t="str">
        <f>"01196900623"</f>
        <v>01196900623</v>
      </c>
      <c r="K8564" t="str">
        <f>""</f>
        <v/>
      </c>
      <c r="M8564" t="s">
        <v>68</v>
      </c>
      <c r="N8564" t="str">
        <f t="shared" si="877"/>
        <v>ALTPRO</v>
      </c>
      <c r="O8564" t="s">
        <v>132</v>
      </c>
      <c r="P8564" s="3" t="s">
        <v>75</v>
      </c>
      <c r="Q8564">
        <v>2016</v>
      </c>
      <c r="R8564" s="2">
        <v>42642</v>
      </c>
      <c r="S8564" s="2">
        <v>42642</v>
      </c>
      <c r="T8564" s="2">
        <v>42642</v>
      </c>
      <c r="U8564" s="2">
        <v>42702</v>
      </c>
      <c r="V8564" t="s">
        <v>71</v>
      </c>
      <c r="W8564" t="str">
        <f>"                 02E"</f>
        <v xml:space="preserve">                 02E</v>
      </c>
      <c r="X8564">
        <v>129</v>
      </c>
      <c r="Y8564">
        <v>0</v>
      </c>
      <c r="Z8564" s="3">
        <v>129</v>
      </c>
      <c r="AA8564">
        <v>-33</v>
      </c>
      <c r="AB8564" s="5">
        <v>-4257</v>
      </c>
      <c r="AC8564">
        <v>129</v>
      </c>
      <c r="AD8564">
        <v>-33</v>
      </c>
      <c r="AE8564" s="1">
        <v>-4257</v>
      </c>
      <c r="AF8564">
        <v>0</v>
      </c>
      <c r="AJ8564">
        <v>0</v>
      </c>
      <c r="AK8564">
        <v>0</v>
      </c>
      <c r="AL8564">
        <v>0</v>
      </c>
      <c r="AM8564">
        <v>129</v>
      </c>
      <c r="AN8564">
        <v>129</v>
      </c>
      <c r="AO8564">
        <v>129</v>
      </c>
      <c r="AP8564" s="2">
        <v>42746</v>
      </c>
      <c r="AQ8564" t="s">
        <v>72</v>
      </c>
      <c r="AR8564" t="s">
        <v>72</v>
      </c>
      <c r="AS8564">
        <v>2892</v>
      </c>
      <c r="AT8564" s="4">
        <v>42669</v>
      </c>
      <c r="AV8564">
        <v>2892</v>
      </c>
      <c r="AW8564" s="4">
        <v>42669</v>
      </c>
      <c r="BD8564">
        <v>0</v>
      </c>
      <c r="BN8564" t="s">
        <v>74</v>
      </c>
    </row>
    <row r="8565" spans="1:66" hidden="1">
      <c r="A8565">
        <v>106319</v>
      </c>
      <c r="B8565" s="3" t="s">
        <v>739</v>
      </c>
      <c r="C8565" s="1">
        <v>43300101</v>
      </c>
      <c r="D8565" t="s">
        <v>67</v>
      </c>
      <c r="H8565" t="str">
        <f>"07858440964"</f>
        <v>07858440964</v>
      </c>
      <c r="I8565" t="str">
        <f>"07858440964"</f>
        <v>07858440964</v>
      </c>
      <c r="K8565" t="str">
        <f>""</f>
        <v/>
      </c>
      <c r="M8565" t="s">
        <v>68</v>
      </c>
      <c r="N8565" t="str">
        <f>"FOR"</f>
        <v>FOR</v>
      </c>
      <c r="O8565" t="s">
        <v>69</v>
      </c>
      <c r="P8565" s="3" t="s">
        <v>75</v>
      </c>
      <c r="Q8565">
        <v>2015</v>
      </c>
      <c r="R8565" s="2">
        <v>42073</v>
      </c>
      <c r="S8565" s="2">
        <v>42283</v>
      </c>
      <c r="T8565" s="2">
        <v>42282</v>
      </c>
      <c r="U8565" s="2">
        <v>42342</v>
      </c>
      <c r="V8565" t="s">
        <v>71</v>
      </c>
      <c r="W8565" t="str">
        <f>"          0000000371"</f>
        <v xml:space="preserve">          0000000371</v>
      </c>
      <c r="X8565" s="1">
        <v>11877.23</v>
      </c>
      <c r="Y8565">
        <v>0</v>
      </c>
      <c r="Z8565"/>
      <c r="AB8565"/>
      <c r="AC8565" s="1">
        <v>10797.48</v>
      </c>
      <c r="AD8565">
        <v>61</v>
      </c>
      <c r="AE8565" s="1">
        <v>658646.28</v>
      </c>
      <c r="AF8565">
        <v>0</v>
      </c>
      <c r="AJ8565">
        <v>0</v>
      </c>
      <c r="AK8565">
        <v>0</v>
      </c>
      <c r="AL8565">
        <v>0</v>
      </c>
      <c r="AM8565">
        <v>0</v>
      </c>
      <c r="AN8565">
        <v>0</v>
      </c>
      <c r="AO8565">
        <v>0</v>
      </c>
      <c r="AP8565" s="2">
        <v>42746</v>
      </c>
      <c r="AQ8565" t="s">
        <v>72</v>
      </c>
      <c r="AR8565" t="s">
        <v>72</v>
      </c>
      <c r="AS8565">
        <v>221</v>
      </c>
      <c r="AT8565" s="4">
        <v>42403</v>
      </c>
      <c r="AU8565" t="s">
        <v>73</v>
      </c>
      <c r="AV8565">
        <v>221</v>
      </c>
      <c r="AW8565" s="4">
        <v>42403</v>
      </c>
      <c r="BD8565">
        <v>0</v>
      </c>
      <c r="BN8565" t="s">
        <v>74</v>
      </c>
    </row>
    <row r="8566" spans="1:66" hidden="1">
      <c r="A8566">
        <v>106319</v>
      </c>
      <c r="B8566" s="3" t="s">
        <v>739</v>
      </c>
      <c r="C8566" s="1">
        <v>43300101</v>
      </c>
      <c r="D8566" t="s">
        <v>67</v>
      </c>
      <c r="H8566" t="str">
        <f>"07858440964"</f>
        <v>07858440964</v>
      </c>
      <c r="I8566" t="str">
        <f>"07858440964"</f>
        <v>07858440964</v>
      </c>
      <c r="K8566" t="str">
        <f>""</f>
        <v/>
      </c>
      <c r="M8566" t="s">
        <v>68</v>
      </c>
      <c r="N8566" t="str">
        <f>"FOR"</f>
        <v>FOR</v>
      </c>
      <c r="O8566" t="s">
        <v>69</v>
      </c>
      <c r="P8566" s="3" t="s">
        <v>75</v>
      </c>
      <c r="Q8566">
        <v>2015</v>
      </c>
      <c r="R8566" s="2">
        <v>42097</v>
      </c>
      <c r="S8566" s="2">
        <v>42108</v>
      </c>
      <c r="T8566" s="2">
        <v>42107</v>
      </c>
      <c r="U8566" s="2">
        <v>42167</v>
      </c>
      <c r="V8566" t="s">
        <v>71</v>
      </c>
      <c r="W8566" t="str">
        <f>"          0000000550"</f>
        <v xml:space="preserve">          0000000550</v>
      </c>
      <c r="X8566" s="1">
        <v>3959.08</v>
      </c>
      <c r="Y8566">
        <v>0</v>
      </c>
      <c r="Z8566"/>
      <c r="AB8566"/>
      <c r="AC8566" s="1">
        <v>3599.16</v>
      </c>
      <c r="AD8566">
        <v>236</v>
      </c>
      <c r="AE8566" s="1">
        <v>849401.76</v>
      </c>
      <c r="AF8566">
        <v>0</v>
      </c>
      <c r="AJ8566">
        <v>0</v>
      </c>
      <c r="AK8566">
        <v>0</v>
      </c>
      <c r="AL8566">
        <v>0</v>
      </c>
      <c r="AM8566">
        <v>0</v>
      </c>
      <c r="AN8566">
        <v>0</v>
      </c>
      <c r="AO8566">
        <v>0</v>
      </c>
      <c r="AP8566" s="2">
        <v>42746</v>
      </c>
      <c r="AQ8566" t="s">
        <v>72</v>
      </c>
      <c r="AR8566" t="s">
        <v>72</v>
      </c>
      <c r="AS8566">
        <v>221</v>
      </c>
      <c r="AT8566" s="4">
        <v>42403</v>
      </c>
      <c r="AU8566" t="s">
        <v>73</v>
      </c>
      <c r="AV8566">
        <v>221</v>
      </c>
      <c r="AW8566" s="4">
        <v>42403</v>
      </c>
      <c r="BD8566">
        <v>0</v>
      </c>
      <c r="BN8566" t="s">
        <v>74</v>
      </c>
    </row>
    <row r="8567" spans="1:66" hidden="1">
      <c r="A8567">
        <v>106320</v>
      </c>
      <c r="B8567" s="3" t="s">
        <v>740</v>
      </c>
      <c r="C8567" s="1">
        <v>43500101</v>
      </c>
      <c r="D8567" t="s">
        <v>113</v>
      </c>
      <c r="H8567" t="str">
        <f>"CQVFBA75S07H703O"</f>
        <v>CQVFBA75S07H703O</v>
      </c>
      <c r="I8567" t="str">
        <f>"07718031219"</f>
        <v>07718031219</v>
      </c>
      <c r="K8567" t="str">
        <f>""</f>
        <v/>
      </c>
      <c r="M8567" t="s">
        <v>68</v>
      </c>
      <c r="N8567" t="str">
        <f>"ALTPRO"</f>
        <v>ALTPRO</v>
      </c>
      <c r="O8567" t="s">
        <v>132</v>
      </c>
      <c r="P8567" s="3" t="s">
        <v>75</v>
      </c>
      <c r="Q8567">
        <v>2016</v>
      </c>
      <c r="R8567" s="2">
        <v>42377</v>
      </c>
      <c r="S8567" s="2">
        <v>42382</v>
      </c>
      <c r="T8567" s="2">
        <v>42381</v>
      </c>
      <c r="U8567" s="2">
        <v>42441</v>
      </c>
      <c r="V8567" t="s">
        <v>71</v>
      </c>
      <c r="W8567" t="str">
        <f>"                 1/E"</f>
        <v xml:space="preserve">                 1/E</v>
      </c>
      <c r="X8567" s="1">
        <v>3002</v>
      </c>
      <c r="Y8567">
        <v>0</v>
      </c>
      <c r="Z8567"/>
      <c r="AB8567"/>
      <c r="AC8567" s="1">
        <v>3002</v>
      </c>
      <c r="AD8567">
        <v>-15</v>
      </c>
      <c r="AE8567" s="1">
        <v>-45030</v>
      </c>
      <c r="AF8567">
        <v>0</v>
      </c>
      <c r="AJ8567">
        <v>0</v>
      </c>
      <c r="AK8567">
        <v>0</v>
      </c>
      <c r="AL8567">
        <v>0</v>
      </c>
      <c r="AM8567" s="1">
        <v>3002</v>
      </c>
      <c r="AN8567" s="1">
        <v>3002</v>
      </c>
      <c r="AO8567" s="1">
        <v>3002</v>
      </c>
      <c r="AP8567" s="2">
        <v>42746</v>
      </c>
      <c r="AQ8567" t="s">
        <v>72</v>
      </c>
      <c r="AR8567" t="s">
        <v>72</v>
      </c>
      <c r="AS8567">
        <v>590</v>
      </c>
      <c r="AT8567" s="4">
        <v>42426</v>
      </c>
      <c r="AV8567">
        <v>590</v>
      </c>
      <c r="AW8567" s="4">
        <v>42426</v>
      </c>
      <c r="BD8567">
        <v>0</v>
      </c>
      <c r="BN8567" t="s">
        <v>74</v>
      </c>
    </row>
    <row r="8568" spans="1:66">
      <c r="A8568">
        <v>106322</v>
      </c>
      <c r="B8568" s="3" t="s">
        <v>741</v>
      </c>
      <c r="C8568" s="1">
        <v>43300101</v>
      </c>
      <c r="D8568" t="s">
        <v>67</v>
      </c>
      <c r="H8568" t="str">
        <f>"00777910159"</f>
        <v>00777910159</v>
      </c>
      <c r="I8568" t="str">
        <f>"00777910159"</f>
        <v>00777910159</v>
      </c>
      <c r="K8568" t="str">
        <f>""</f>
        <v/>
      </c>
      <c r="M8568" t="s">
        <v>68</v>
      </c>
      <c r="N8568" t="str">
        <f t="shared" ref="N8568:N8581" si="880">"FOR"</f>
        <v>FOR</v>
      </c>
      <c r="O8568" t="s">
        <v>69</v>
      </c>
      <c r="P8568" s="3" t="s">
        <v>75</v>
      </c>
      <c r="Q8568">
        <v>2016</v>
      </c>
      <c r="R8568" s="2">
        <v>42551</v>
      </c>
      <c r="S8568" s="2">
        <v>42562</v>
      </c>
      <c r="T8568" s="2">
        <v>42559</v>
      </c>
      <c r="U8568" s="2">
        <v>42619</v>
      </c>
      <c r="V8568" t="s">
        <v>71</v>
      </c>
      <c r="W8568" t="str">
        <f>"          1410002096"</f>
        <v xml:space="preserve">          1410002096</v>
      </c>
      <c r="X8568" s="1">
        <v>1923.2</v>
      </c>
      <c r="Y8568">
        <v>0</v>
      </c>
      <c r="Z8568" s="5">
        <v>1600</v>
      </c>
      <c r="AA8568">
        <v>27</v>
      </c>
      <c r="AB8568" s="5">
        <v>43200</v>
      </c>
      <c r="AC8568" s="1">
        <v>1600</v>
      </c>
      <c r="AD8568">
        <v>27</v>
      </c>
      <c r="AE8568" s="1">
        <v>43200</v>
      </c>
      <c r="AF8568">
        <v>0</v>
      </c>
      <c r="AJ8568">
        <v>0</v>
      </c>
      <c r="AK8568">
        <v>0</v>
      </c>
      <c r="AL8568">
        <v>0</v>
      </c>
      <c r="AM8568" s="1">
        <v>1923.2</v>
      </c>
      <c r="AN8568" s="1">
        <v>1923.2</v>
      </c>
      <c r="AO8568" s="1">
        <v>1923.2</v>
      </c>
      <c r="AP8568" s="2">
        <v>42746</v>
      </c>
      <c r="AQ8568" t="s">
        <v>72</v>
      </c>
      <c r="AR8568" t="s">
        <v>72</v>
      </c>
      <c r="AS8568">
        <v>2528</v>
      </c>
      <c r="AT8568" s="4">
        <v>42646</v>
      </c>
      <c r="AU8568" t="s">
        <v>73</v>
      </c>
      <c r="AV8568">
        <v>2528</v>
      </c>
      <c r="AW8568" s="4">
        <v>42646</v>
      </c>
      <c r="BD8568">
        <v>0</v>
      </c>
      <c r="BN8568" t="s">
        <v>74</v>
      </c>
    </row>
    <row r="8569" spans="1:66" hidden="1">
      <c r="A8569">
        <v>106330</v>
      </c>
      <c r="B8569" s="3" t="s">
        <v>742</v>
      </c>
      <c r="C8569" s="1">
        <v>43300101</v>
      </c>
      <c r="D8569" t="s">
        <v>67</v>
      </c>
      <c r="H8569" t="str">
        <f t="shared" ref="H8569:I8573" si="881">"02717470641"</f>
        <v>02717470641</v>
      </c>
      <c r="I8569" t="str">
        <f t="shared" si="881"/>
        <v>02717470641</v>
      </c>
      <c r="K8569" t="str">
        <f>""</f>
        <v/>
      </c>
      <c r="M8569" t="s">
        <v>68</v>
      </c>
      <c r="N8569" t="str">
        <f t="shared" si="880"/>
        <v>FOR</v>
      </c>
      <c r="O8569" t="s">
        <v>69</v>
      </c>
      <c r="P8569" s="3" t="s">
        <v>70</v>
      </c>
      <c r="Q8569">
        <v>2014</v>
      </c>
      <c r="R8569" s="2">
        <v>41977</v>
      </c>
      <c r="S8569" s="2">
        <v>41978</v>
      </c>
      <c r="T8569" s="2">
        <v>41978</v>
      </c>
      <c r="U8569" s="2">
        <v>42038</v>
      </c>
      <c r="V8569" t="s">
        <v>71</v>
      </c>
      <c r="W8569" t="str">
        <f>"                  67"</f>
        <v xml:space="preserve">                  67</v>
      </c>
      <c r="X8569">
        <v>529.48</v>
      </c>
      <c r="Y8569">
        <v>0</v>
      </c>
      <c r="Z8569"/>
      <c r="AB8569"/>
      <c r="AC8569">
        <v>529.48</v>
      </c>
      <c r="AD8569">
        <v>366</v>
      </c>
      <c r="AE8569" s="1">
        <v>193789.68</v>
      </c>
      <c r="AF8569">
        <v>0</v>
      </c>
      <c r="AJ8569">
        <v>0</v>
      </c>
      <c r="AK8569">
        <v>0</v>
      </c>
      <c r="AL8569">
        <v>0</v>
      </c>
      <c r="AM8569">
        <v>0</v>
      </c>
      <c r="AN8569">
        <v>0</v>
      </c>
      <c r="AO8569">
        <v>0</v>
      </c>
      <c r="AP8569" s="2">
        <v>42746</v>
      </c>
      <c r="AQ8569" t="s">
        <v>72</v>
      </c>
      <c r="AR8569" t="s">
        <v>72</v>
      </c>
      <c r="AS8569">
        <v>273</v>
      </c>
      <c r="AT8569" s="4">
        <v>42404</v>
      </c>
      <c r="AU8569" t="s">
        <v>73</v>
      </c>
      <c r="AV8569">
        <v>273</v>
      </c>
      <c r="AW8569" s="4">
        <v>42404</v>
      </c>
      <c r="BD8569">
        <v>0</v>
      </c>
      <c r="BN8569" t="s">
        <v>74</v>
      </c>
    </row>
    <row r="8570" spans="1:66" hidden="1">
      <c r="A8570">
        <v>106330</v>
      </c>
      <c r="B8570" s="3" t="s">
        <v>742</v>
      </c>
      <c r="C8570" s="1">
        <v>43300101</v>
      </c>
      <c r="D8570" t="s">
        <v>67</v>
      </c>
      <c r="H8570" t="str">
        <f t="shared" si="881"/>
        <v>02717470641</v>
      </c>
      <c r="I8570" t="str">
        <f t="shared" si="881"/>
        <v>02717470641</v>
      </c>
      <c r="K8570" t="str">
        <f>""</f>
        <v/>
      </c>
      <c r="M8570" t="s">
        <v>68</v>
      </c>
      <c r="N8570" t="str">
        <f t="shared" si="880"/>
        <v>FOR</v>
      </c>
      <c r="O8570" t="s">
        <v>69</v>
      </c>
      <c r="P8570" s="3" t="s">
        <v>70</v>
      </c>
      <c r="Q8570">
        <v>2015</v>
      </c>
      <c r="R8570" s="2">
        <v>42058</v>
      </c>
      <c r="S8570" s="2">
        <v>42059</v>
      </c>
      <c r="T8570" s="2">
        <v>42059</v>
      </c>
      <c r="U8570" s="2">
        <v>42119</v>
      </c>
      <c r="V8570" t="s">
        <v>71</v>
      </c>
      <c r="W8570" t="str">
        <f>"                  14"</f>
        <v xml:space="preserve">                  14</v>
      </c>
      <c r="X8570">
        <v>529.48</v>
      </c>
      <c r="Y8570">
        <v>0</v>
      </c>
      <c r="Z8570"/>
      <c r="AB8570"/>
      <c r="AC8570">
        <v>434</v>
      </c>
      <c r="AD8570">
        <v>285</v>
      </c>
      <c r="AE8570" s="1">
        <v>123690</v>
      </c>
      <c r="AF8570">
        <v>0</v>
      </c>
      <c r="AJ8570">
        <v>0</v>
      </c>
      <c r="AK8570">
        <v>0</v>
      </c>
      <c r="AL8570">
        <v>0</v>
      </c>
      <c r="AM8570">
        <v>0</v>
      </c>
      <c r="AN8570">
        <v>0</v>
      </c>
      <c r="AO8570">
        <v>0</v>
      </c>
      <c r="AP8570" s="2">
        <v>42746</v>
      </c>
      <c r="AQ8570" t="s">
        <v>72</v>
      </c>
      <c r="AR8570" t="s">
        <v>72</v>
      </c>
      <c r="AS8570">
        <v>273</v>
      </c>
      <c r="AT8570" s="4">
        <v>42404</v>
      </c>
      <c r="AU8570" t="s">
        <v>73</v>
      </c>
      <c r="AV8570">
        <v>273</v>
      </c>
      <c r="AW8570" s="4">
        <v>42404</v>
      </c>
      <c r="BD8570">
        <v>0</v>
      </c>
      <c r="BN8570" t="s">
        <v>74</v>
      </c>
    </row>
    <row r="8571" spans="1:66" hidden="1">
      <c r="A8571">
        <v>106330</v>
      </c>
      <c r="B8571" s="3" t="s">
        <v>742</v>
      </c>
      <c r="C8571" s="1">
        <v>43300101</v>
      </c>
      <c r="D8571" t="s">
        <v>67</v>
      </c>
      <c r="H8571" t="str">
        <f t="shared" si="881"/>
        <v>02717470641</v>
      </c>
      <c r="I8571" t="str">
        <f t="shared" si="881"/>
        <v>02717470641</v>
      </c>
      <c r="K8571" t="str">
        <f>""</f>
        <v/>
      </c>
      <c r="M8571" t="s">
        <v>68</v>
      </c>
      <c r="N8571" t="str">
        <f t="shared" si="880"/>
        <v>FOR</v>
      </c>
      <c r="O8571" t="s">
        <v>69</v>
      </c>
      <c r="P8571" s="3" t="s">
        <v>75</v>
      </c>
      <c r="Q8571">
        <v>2015</v>
      </c>
      <c r="R8571" s="2">
        <v>42166</v>
      </c>
      <c r="S8571" s="2">
        <v>42174</v>
      </c>
      <c r="T8571" s="2">
        <v>42173</v>
      </c>
      <c r="U8571" s="2">
        <v>42233</v>
      </c>
      <c r="V8571" t="s">
        <v>71</v>
      </c>
      <c r="W8571" t="str">
        <f>"             07/2015"</f>
        <v xml:space="preserve">             07/2015</v>
      </c>
      <c r="X8571" s="1">
        <v>1066.28</v>
      </c>
      <c r="Y8571">
        <v>0</v>
      </c>
      <c r="Z8571"/>
      <c r="AB8571"/>
      <c r="AC8571">
        <v>874</v>
      </c>
      <c r="AD8571">
        <v>171</v>
      </c>
      <c r="AE8571" s="1">
        <v>149454</v>
      </c>
      <c r="AF8571">
        <v>0</v>
      </c>
      <c r="AJ8571">
        <v>0</v>
      </c>
      <c r="AK8571">
        <v>0</v>
      </c>
      <c r="AL8571">
        <v>0</v>
      </c>
      <c r="AM8571">
        <v>0</v>
      </c>
      <c r="AN8571">
        <v>0</v>
      </c>
      <c r="AO8571">
        <v>0</v>
      </c>
      <c r="AP8571" s="2">
        <v>42746</v>
      </c>
      <c r="AQ8571" t="s">
        <v>72</v>
      </c>
      <c r="AR8571" t="s">
        <v>72</v>
      </c>
      <c r="AS8571">
        <v>273</v>
      </c>
      <c r="AT8571" s="4">
        <v>42404</v>
      </c>
      <c r="AU8571" t="s">
        <v>73</v>
      </c>
      <c r="AV8571">
        <v>273</v>
      </c>
      <c r="AW8571" s="4">
        <v>42404</v>
      </c>
      <c r="BD8571">
        <v>0</v>
      </c>
      <c r="BN8571" t="s">
        <v>74</v>
      </c>
    </row>
    <row r="8572" spans="1:66" hidden="1">
      <c r="A8572">
        <v>106330</v>
      </c>
      <c r="B8572" s="3" t="s">
        <v>742</v>
      </c>
      <c r="C8572" s="1">
        <v>43300101</v>
      </c>
      <c r="D8572" t="s">
        <v>67</v>
      </c>
      <c r="H8572" t="str">
        <f t="shared" si="881"/>
        <v>02717470641</v>
      </c>
      <c r="I8572" t="str">
        <f t="shared" si="881"/>
        <v>02717470641</v>
      </c>
      <c r="K8572" t="str">
        <f>""</f>
        <v/>
      </c>
      <c r="M8572" t="s">
        <v>68</v>
      </c>
      <c r="N8572" t="str">
        <f t="shared" si="880"/>
        <v>FOR</v>
      </c>
      <c r="O8572" t="s">
        <v>69</v>
      </c>
      <c r="P8572" s="3" t="s">
        <v>75</v>
      </c>
      <c r="Q8572">
        <v>2015</v>
      </c>
      <c r="R8572" s="2">
        <v>42275</v>
      </c>
      <c r="S8572" s="2">
        <v>42275</v>
      </c>
      <c r="T8572" s="2">
        <v>42275</v>
      </c>
      <c r="U8572" s="2">
        <v>42335</v>
      </c>
      <c r="V8572" t="s">
        <v>71</v>
      </c>
      <c r="W8572" t="str">
        <f>"             18/2015"</f>
        <v xml:space="preserve">             18/2015</v>
      </c>
      <c r="X8572" s="1">
        <v>1066.28</v>
      </c>
      <c r="Y8572">
        <v>0</v>
      </c>
      <c r="Z8572"/>
      <c r="AB8572"/>
      <c r="AC8572">
        <v>874</v>
      </c>
      <c r="AD8572">
        <v>69</v>
      </c>
      <c r="AE8572" s="1">
        <v>60306</v>
      </c>
      <c r="AF8572">
        <v>0</v>
      </c>
      <c r="AJ8572">
        <v>0</v>
      </c>
      <c r="AK8572">
        <v>0</v>
      </c>
      <c r="AL8572">
        <v>0</v>
      </c>
      <c r="AM8572">
        <v>0</v>
      </c>
      <c r="AN8572">
        <v>0</v>
      </c>
      <c r="AO8572">
        <v>0</v>
      </c>
      <c r="AP8572" s="2">
        <v>42746</v>
      </c>
      <c r="AQ8572" t="s">
        <v>72</v>
      </c>
      <c r="AR8572" t="s">
        <v>72</v>
      </c>
      <c r="AS8572">
        <v>273</v>
      </c>
      <c r="AT8572" s="4">
        <v>42404</v>
      </c>
      <c r="AU8572" t="s">
        <v>73</v>
      </c>
      <c r="AV8572">
        <v>273</v>
      </c>
      <c r="AW8572" s="4">
        <v>42404</v>
      </c>
      <c r="BD8572">
        <v>0</v>
      </c>
      <c r="BN8572" t="s">
        <v>74</v>
      </c>
    </row>
    <row r="8573" spans="1:66">
      <c r="A8573">
        <v>106330</v>
      </c>
      <c r="B8573" s="3" t="s">
        <v>742</v>
      </c>
      <c r="C8573" s="1">
        <v>43300101</v>
      </c>
      <c r="D8573" t="s">
        <v>67</v>
      </c>
      <c r="H8573" t="str">
        <f t="shared" si="881"/>
        <v>02717470641</v>
      </c>
      <c r="I8573" t="str">
        <f t="shared" si="881"/>
        <v>02717470641</v>
      </c>
      <c r="K8573" t="str">
        <f>""</f>
        <v/>
      </c>
      <c r="M8573" t="s">
        <v>68</v>
      </c>
      <c r="N8573" t="str">
        <f t="shared" si="880"/>
        <v>FOR</v>
      </c>
      <c r="O8573" t="s">
        <v>69</v>
      </c>
      <c r="P8573" s="3" t="s">
        <v>75</v>
      </c>
      <c r="Q8573">
        <v>2016</v>
      </c>
      <c r="R8573" s="2">
        <v>42388</v>
      </c>
      <c r="S8573" s="2">
        <v>42410</v>
      </c>
      <c r="T8573" s="2">
        <v>42403</v>
      </c>
      <c r="U8573" s="2">
        <v>42463</v>
      </c>
      <c r="V8573" t="s">
        <v>71</v>
      </c>
      <c r="W8573" t="str">
        <f>"             04/2016"</f>
        <v xml:space="preserve">             04/2016</v>
      </c>
      <c r="X8573">
        <v>533.14</v>
      </c>
      <c r="Y8573">
        <v>0</v>
      </c>
      <c r="Z8573" s="3">
        <v>437</v>
      </c>
      <c r="AA8573">
        <v>260</v>
      </c>
      <c r="AB8573" s="5">
        <v>113620</v>
      </c>
      <c r="AC8573">
        <v>437</v>
      </c>
      <c r="AD8573">
        <v>260</v>
      </c>
      <c r="AE8573" s="1">
        <v>113620</v>
      </c>
      <c r="AF8573">
        <v>96.14</v>
      </c>
      <c r="AJ8573">
        <v>0</v>
      </c>
      <c r="AK8573">
        <v>0</v>
      </c>
      <c r="AL8573">
        <v>0</v>
      </c>
      <c r="AM8573">
        <v>533.14</v>
      </c>
      <c r="AN8573">
        <v>533.14</v>
      </c>
      <c r="AO8573">
        <v>533.14</v>
      </c>
      <c r="AP8573" s="2">
        <v>42746</v>
      </c>
      <c r="AQ8573" t="s">
        <v>72</v>
      </c>
      <c r="AR8573" t="s">
        <v>72</v>
      </c>
      <c r="AS8573">
        <v>3618</v>
      </c>
      <c r="AT8573" s="4">
        <v>42723</v>
      </c>
      <c r="AU8573" t="s">
        <v>73</v>
      </c>
      <c r="AV8573">
        <v>3618</v>
      </c>
      <c r="AW8573" s="4">
        <v>42723</v>
      </c>
      <c r="BD8573">
        <v>96.14</v>
      </c>
      <c r="BN8573" t="s">
        <v>74</v>
      </c>
    </row>
    <row r="8574" spans="1:66" hidden="1">
      <c r="A8574">
        <v>106340</v>
      </c>
      <c r="B8574" s="3" t="s">
        <v>743</v>
      </c>
      <c r="C8574" s="1">
        <v>43300101</v>
      </c>
      <c r="D8574" t="s">
        <v>67</v>
      </c>
      <c r="H8574" t="str">
        <f t="shared" ref="H8574:I8581" si="882">"07235590960"</f>
        <v>07235590960</v>
      </c>
      <c r="I8574" t="str">
        <f t="shared" si="882"/>
        <v>07235590960</v>
      </c>
      <c r="K8574" t="str">
        <f>""</f>
        <v/>
      </c>
      <c r="M8574" t="s">
        <v>68</v>
      </c>
      <c r="N8574" t="str">
        <f t="shared" si="880"/>
        <v>FOR</v>
      </c>
      <c r="O8574" t="s">
        <v>69</v>
      </c>
      <c r="P8574" s="3" t="s">
        <v>70</v>
      </c>
      <c r="Q8574">
        <v>2014</v>
      </c>
      <c r="R8574" s="2">
        <v>41703</v>
      </c>
      <c r="S8574" s="2">
        <v>42040</v>
      </c>
      <c r="T8574" s="2">
        <v>42040</v>
      </c>
      <c r="U8574" s="2">
        <v>42100</v>
      </c>
      <c r="V8574" t="s">
        <v>71</v>
      </c>
      <c r="W8574" t="str">
        <f>"            14001110"</f>
        <v xml:space="preserve">            14001110</v>
      </c>
      <c r="X8574" s="1">
        <v>1985.5</v>
      </c>
      <c r="Y8574">
        <v>0</v>
      </c>
      <c r="Z8574"/>
      <c r="AB8574"/>
      <c r="AC8574" s="1">
        <v>1985.5</v>
      </c>
      <c r="AD8574">
        <v>364</v>
      </c>
      <c r="AE8574" s="1">
        <v>722722</v>
      </c>
      <c r="AF8574">
        <v>0</v>
      </c>
      <c r="AJ8574">
        <v>0</v>
      </c>
      <c r="AK8574">
        <v>0</v>
      </c>
      <c r="AL8574">
        <v>0</v>
      </c>
      <c r="AM8574">
        <v>0</v>
      </c>
      <c r="AN8574">
        <v>0</v>
      </c>
      <c r="AO8574">
        <v>0</v>
      </c>
      <c r="AP8574" s="2">
        <v>42746</v>
      </c>
      <c r="AQ8574" t="s">
        <v>72</v>
      </c>
      <c r="AR8574" t="s">
        <v>72</v>
      </c>
      <c r="AS8574">
        <v>989</v>
      </c>
      <c r="AT8574" s="4">
        <v>42464</v>
      </c>
      <c r="AU8574" t="s">
        <v>73</v>
      </c>
      <c r="AV8574">
        <v>989</v>
      </c>
      <c r="AW8574" s="4">
        <v>42464</v>
      </c>
      <c r="BD8574">
        <v>0</v>
      </c>
      <c r="BN8574" t="s">
        <v>74</v>
      </c>
    </row>
    <row r="8575" spans="1:66" hidden="1">
      <c r="A8575">
        <v>106340</v>
      </c>
      <c r="B8575" s="3" t="s">
        <v>743</v>
      </c>
      <c r="C8575" s="1">
        <v>43300101</v>
      </c>
      <c r="D8575" t="s">
        <v>67</v>
      </c>
      <c r="H8575" t="str">
        <f t="shared" si="882"/>
        <v>07235590960</v>
      </c>
      <c r="I8575" t="str">
        <f t="shared" si="882"/>
        <v>07235590960</v>
      </c>
      <c r="K8575" t="str">
        <f>""</f>
        <v/>
      </c>
      <c r="M8575" t="s">
        <v>68</v>
      </c>
      <c r="N8575" t="str">
        <f t="shared" si="880"/>
        <v>FOR</v>
      </c>
      <c r="O8575" t="s">
        <v>69</v>
      </c>
      <c r="P8575" s="3" t="s">
        <v>70</v>
      </c>
      <c r="Q8575">
        <v>2015</v>
      </c>
      <c r="R8575" s="2">
        <v>42045</v>
      </c>
      <c r="S8575" s="2">
        <v>42048</v>
      </c>
      <c r="T8575" s="2">
        <v>42048</v>
      </c>
      <c r="U8575" s="2">
        <v>42108</v>
      </c>
      <c r="V8575" t="s">
        <v>71</v>
      </c>
      <c r="W8575" t="str">
        <f>"            15001143"</f>
        <v xml:space="preserve">            15001143</v>
      </c>
      <c r="X8575" s="1">
        <v>2090</v>
      </c>
      <c r="Y8575">
        <v>0</v>
      </c>
      <c r="Z8575"/>
      <c r="AB8575"/>
      <c r="AC8575" s="1">
        <v>1900</v>
      </c>
      <c r="AD8575">
        <v>300</v>
      </c>
      <c r="AE8575" s="1">
        <v>570000</v>
      </c>
      <c r="AF8575">
        <v>0</v>
      </c>
      <c r="AJ8575">
        <v>0</v>
      </c>
      <c r="AK8575">
        <v>0</v>
      </c>
      <c r="AL8575">
        <v>0</v>
      </c>
      <c r="AM8575">
        <v>0</v>
      </c>
      <c r="AN8575">
        <v>0</v>
      </c>
      <c r="AO8575">
        <v>0</v>
      </c>
      <c r="AP8575" s="2">
        <v>42746</v>
      </c>
      <c r="AQ8575" t="s">
        <v>72</v>
      </c>
      <c r="AR8575" t="s">
        <v>72</v>
      </c>
      <c r="AS8575">
        <v>293</v>
      </c>
      <c r="AT8575" s="4">
        <v>42408</v>
      </c>
      <c r="AU8575" t="s">
        <v>73</v>
      </c>
      <c r="AV8575">
        <v>293</v>
      </c>
      <c r="AW8575" s="4">
        <v>42408</v>
      </c>
      <c r="BD8575">
        <v>0</v>
      </c>
      <c r="BN8575" t="s">
        <v>74</v>
      </c>
    </row>
    <row r="8576" spans="1:66" hidden="1">
      <c r="A8576">
        <v>106340</v>
      </c>
      <c r="B8576" s="3" t="s">
        <v>743</v>
      </c>
      <c r="C8576" s="1">
        <v>43300101</v>
      </c>
      <c r="D8576" t="s">
        <v>67</v>
      </c>
      <c r="H8576" t="str">
        <f t="shared" si="882"/>
        <v>07235590960</v>
      </c>
      <c r="I8576" t="str">
        <f t="shared" si="882"/>
        <v>07235590960</v>
      </c>
      <c r="K8576" t="str">
        <f>""</f>
        <v/>
      </c>
      <c r="M8576" t="s">
        <v>68</v>
      </c>
      <c r="N8576" t="str">
        <f t="shared" si="880"/>
        <v>FOR</v>
      </c>
      <c r="O8576" t="s">
        <v>69</v>
      </c>
      <c r="P8576" s="3" t="s">
        <v>70</v>
      </c>
      <c r="Q8576">
        <v>2015</v>
      </c>
      <c r="R8576" s="2">
        <v>42047</v>
      </c>
      <c r="S8576" s="2">
        <v>42054</v>
      </c>
      <c r="T8576" s="2">
        <v>42054</v>
      </c>
      <c r="U8576" s="2">
        <v>42114</v>
      </c>
      <c r="V8576" t="s">
        <v>71</v>
      </c>
      <c r="W8576" t="str">
        <f>"            15001195"</f>
        <v xml:space="preserve">            15001195</v>
      </c>
      <c r="X8576" s="1">
        <v>2090</v>
      </c>
      <c r="Y8576">
        <v>0</v>
      </c>
      <c r="Z8576"/>
      <c r="AB8576"/>
      <c r="AC8576" s="1">
        <v>1900</v>
      </c>
      <c r="AD8576">
        <v>413</v>
      </c>
      <c r="AE8576" s="1">
        <v>784700</v>
      </c>
      <c r="AF8576">
        <v>0</v>
      </c>
      <c r="AJ8576">
        <v>0</v>
      </c>
      <c r="AK8576">
        <v>0</v>
      </c>
      <c r="AL8576">
        <v>0</v>
      </c>
      <c r="AM8576">
        <v>0</v>
      </c>
      <c r="AN8576">
        <v>0</v>
      </c>
      <c r="AO8576">
        <v>0</v>
      </c>
      <c r="AP8576" s="2">
        <v>42746</v>
      </c>
      <c r="AQ8576" t="s">
        <v>72</v>
      </c>
      <c r="AR8576" t="s">
        <v>72</v>
      </c>
      <c r="AS8576">
        <v>1500</v>
      </c>
      <c r="AT8576" s="4">
        <v>42527</v>
      </c>
      <c r="AU8576" t="s">
        <v>73</v>
      </c>
      <c r="AV8576">
        <v>1500</v>
      </c>
      <c r="AW8576" s="4">
        <v>42527</v>
      </c>
      <c r="BD8576">
        <v>0</v>
      </c>
      <c r="BN8576" t="s">
        <v>74</v>
      </c>
    </row>
    <row r="8577" spans="1:66" hidden="1">
      <c r="A8577">
        <v>106340</v>
      </c>
      <c r="B8577" s="3" t="s">
        <v>743</v>
      </c>
      <c r="C8577" s="1">
        <v>43300101</v>
      </c>
      <c r="D8577" t="s">
        <v>67</v>
      </c>
      <c r="H8577" t="str">
        <f t="shared" si="882"/>
        <v>07235590960</v>
      </c>
      <c r="I8577" t="str">
        <f t="shared" si="882"/>
        <v>07235590960</v>
      </c>
      <c r="K8577" t="str">
        <f>""</f>
        <v/>
      </c>
      <c r="M8577" t="s">
        <v>68</v>
      </c>
      <c r="N8577" t="str">
        <f t="shared" si="880"/>
        <v>FOR</v>
      </c>
      <c r="O8577" t="s">
        <v>69</v>
      </c>
      <c r="P8577" s="3" t="s">
        <v>70</v>
      </c>
      <c r="Q8577">
        <v>2015</v>
      </c>
      <c r="R8577" s="2">
        <v>42068</v>
      </c>
      <c r="S8577" s="2">
        <v>42081</v>
      </c>
      <c r="T8577" s="2">
        <v>42081</v>
      </c>
      <c r="U8577" s="2">
        <v>42141</v>
      </c>
      <c r="V8577" t="s">
        <v>71</v>
      </c>
      <c r="W8577" t="str">
        <f>"            15001785"</f>
        <v xml:space="preserve">            15001785</v>
      </c>
      <c r="X8577">
        <v>522.5</v>
      </c>
      <c r="Y8577">
        <v>0</v>
      </c>
      <c r="Z8577"/>
      <c r="AB8577"/>
      <c r="AC8577">
        <v>475</v>
      </c>
      <c r="AD8577">
        <v>267</v>
      </c>
      <c r="AE8577" s="1">
        <v>126825</v>
      </c>
      <c r="AF8577">
        <v>0</v>
      </c>
      <c r="AJ8577">
        <v>0</v>
      </c>
      <c r="AK8577">
        <v>0</v>
      </c>
      <c r="AL8577">
        <v>0</v>
      </c>
      <c r="AM8577">
        <v>0</v>
      </c>
      <c r="AN8577">
        <v>0</v>
      </c>
      <c r="AO8577">
        <v>0</v>
      </c>
      <c r="AP8577" s="2">
        <v>42746</v>
      </c>
      <c r="AQ8577" t="s">
        <v>72</v>
      </c>
      <c r="AR8577" t="s">
        <v>72</v>
      </c>
      <c r="AS8577">
        <v>318</v>
      </c>
      <c r="AT8577" s="4">
        <v>42408</v>
      </c>
      <c r="AU8577" t="s">
        <v>73</v>
      </c>
      <c r="AV8577">
        <v>318</v>
      </c>
      <c r="AW8577" s="4">
        <v>42408</v>
      </c>
      <c r="BD8577">
        <v>0</v>
      </c>
      <c r="BN8577" t="s">
        <v>74</v>
      </c>
    </row>
    <row r="8578" spans="1:66" hidden="1">
      <c r="A8578">
        <v>106340</v>
      </c>
      <c r="B8578" s="3" t="s">
        <v>743</v>
      </c>
      <c r="C8578" s="1">
        <v>43300101</v>
      </c>
      <c r="D8578" t="s">
        <v>67</v>
      </c>
      <c r="H8578" t="str">
        <f t="shared" si="882"/>
        <v>07235590960</v>
      </c>
      <c r="I8578" t="str">
        <f t="shared" si="882"/>
        <v>07235590960</v>
      </c>
      <c r="K8578" t="str">
        <f>""</f>
        <v/>
      </c>
      <c r="M8578" t="s">
        <v>68</v>
      </c>
      <c r="N8578" t="str">
        <f t="shared" si="880"/>
        <v>FOR</v>
      </c>
      <c r="O8578" t="s">
        <v>69</v>
      </c>
      <c r="P8578" s="3" t="s">
        <v>70</v>
      </c>
      <c r="Q8578">
        <v>2015</v>
      </c>
      <c r="R8578" s="2">
        <v>42068</v>
      </c>
      <c r="S8578" s="2">
        <v>42080</v>
      </c>
      <c r="T8578" s="2">
        <v>42080</v>
      </c>
      <c r="U8578" s="2">
        <v>42140</v>
      </c>
      <c r="V8578" t="s">
        <v>71</v>
      </c>
      <c r="W8578" t="str">
        <f>"            15001800"</f>
        <v xml:space="preserve">            15001800</v>
      </c>
      <c r="X8578">
        <v>522.5</v>
      </c>
      <c r="Y8578">
        <v>0</v>
      </c>
      <c r="Z8578"/>
      <c r="AB8578"/>
      <c r="AC8578">
        <v>475</v>
      </c>
      <c r="AD8578">
        <v>268</v>
      </c>
      <c r="AE8578" s="1">
        <v>127300</v>
      </c>
      <c r="AF8578">
        <v>0</v>
      </c>
      <c r="AJ8578">
        <v>0</v>
      </c>
      <c r="AK8578">
        <v>0</v>
      </c>
      <c r="AL8578">
        <v>0</v>
      </c>
      <c r="AM8578">
        <v>0</v>
      </c>
      <c r="AN8578">
        <v>0</v>
      </c>
      <c r="AO8578">
        <v>0</v>
      </c>
      <c r="AP8578" s="2">
        <v>42746</v>
      </c>
      <c r="AQ8578" t="s">
        <v>72</v>
      </c>
      <c r="AR8578" t="s">
        <v>72</v>
      </c>
      <c r="AS8578">
        <v>318</v>
      </c>
      <c r="AT8578" s="4">
        <v>42408</v>
      </c>
      <c r="AU8578" t="s">
        <v>73</v>
      </c>
      <c r="AV8578">
        <v>318</v>
      </c>
      <c r="AW8578" s="4">
        <v>42408</v>
      </c>
      <c r="BD8578">
        <v>0</v>
      </c>
      <c r="BN8578" t="s">
        <v>74</v>
      </c>
    </row>
    <row r="8579" spans="1:66" hidden="1">
      <c r="A8579">
        <v>106340</v>
      </c>
      <c r="B8579" s="3" t="s">
        <v>743</v>
      </c>
      <c r="C8579" s="1">
        <v>43300101</v>
      </c>
      <c r="D8579" t="s">
        <v>67</v>
      </c>
      <c r="H8579" t="str">
        <f t="shared" si="882"/>
        <v>07235590960</v>
      </c>
      <c r="I8579" t="str">
        <f t="shared" si="882"/>
        <v>07235590960</v>
      </c>
      <c r="K8579" t="str">
        <f>""</f>
        <v/>
      </c>
      <c r="M8579" t="s">
        <v>68</v>
      </c>
      <c r="N8579" t="str">
        <f t="shared" si="880"/>
        <v>FOR</v>
      </c>
      <c r="O8579" t="s">
        <v>69</v>
      </c>
      <c r="P8579" s="3" t="s">
        <v>70</v>
      </c>
      <c r="Q8579">
        <v>2015</v>
      </c>
      <c r="R8579" s="2">
        <v>42079</v>
      </c>
      <c r="S8579" s="2">
        <v>42086</v>
      </c>
      <c r="T8579" s="2">
        <v>42086</v>
      </c>
      <c r="U8579" s="2">
        <v>42146</v>
      </c>
      <c r="V8579" t="s">
        <v>71</v>
      </c>
      <c r="W8579" t="str">
        <f>"            15002123"</f>
        <v xml:space="preserve">            15002123</v>
      </c>
      <c r="X8579" s="1">
        <v>2090</v>
      </c>
      <c r="Y8579">
        <v>0</v>
      </c>
      <c r="Z8579"/>
      <c r="AB8579"/>
      <c r="AC8579" s="1">
        <v>1900</v>
      </c>
      <c r="AD8579">
        <v>262</v>
      </c>
      <c r="AE8579" s="1">
        <v>497800</v>
      </c>
      <c r="AF8579">
        <v>0</v>
      </c>
      <c r="AJ8579">
        <v>0</v>
      </c>
      <c r="AK8579">
        <v>0</v>
      </c>
      <c r="AL8579">
        <v>0</v>
      </c>
      <c r="AM8579">
        <v>0</v>
      </c>
      <c r="AN8579">
        <v>0</v>
      </c>
      <c r="AO8579">
        <v>0</v>
      </c>
      <c r="AP8579" s="2">
        <v>42746</v>
      </c>
      <c r="AQ8579" t="s">
        <v>72</v>
      </c>
      <c r="AR8579" t="s">
        <v>72</v>
      </c>
      <c r="AS8579">
        <v>318</v>
      </c>
      <c r="AT8579" s="4">
        <v>42408</v>
      </c>
      <c r="AU8579" t="s">
        <v>73</v>
      </c>
      <c r="AV8579">
        <v>318</v>
      </c>
      <c r="AW8579" s="4">
        <v>42408</v>
      </c>
      <c r="BD8579">
        <v>0</v>
      </c>
      <c r="BN8579" t="s">
        <v>74</v>
      </c>
    </row>
    <row r="8580" spans="1:66" hidden="1">
      <c r="A8580">
        <v>106340</v>
      </c>
      <c r="B8580" s="3" t="s">
        <v>743</v>
      </c>
      <c r="C8580" s="1">
        <v>43300101</v>
      </c>
      <c r="D8580" t="s">
        <v>67</v>
      </c>
      <c r="H8580" t="str">
        <f t="shared" si="882"/>
        <v>07235590960</v>
      </c>
      <c r="I8580" t="str">
        <f t="shared" si="882"/>
        <v>07235590960</v>
      </c>
      <c r="K8580" t="str">
        <f>""</f>
        <v/>
      </c>
      <c r="M8580" t="s">
        <v>68</v>
      </c>
      <c r="N8580" t="str">
        <f t="shared" si="880"/>
        <v>FOR</v>
      </c>
      <c r="O8580" t="s">
        <v>69</v>
      </c>
      <c r="P8580" s="3" t="s">
        <v>70</v>
      </c>
      <c r="Q8580">
        <v>2015</v>
      </c>
      <c r="R8580" s="2">
        <v>42079</v>
      </c>
      <c r="S8580" s="2">
        <v>42086</v>
      </c>
      <c r="T8580" s="2">
        <v>42086</v>
      </c>
      <c r="U8580" s="2">
        <v>42146</v>
      </c>
      <c r="V8580" t="s">
        <v>71</v>
      </c>
      <c r="W8580" t="str">
        <f>"            15002124"</f>
        <v xml:space="preserve">            15002124</v>
      </c>
      <c r="X8580" s="1">
        <v>2090</v>
      </c>
      <c r="Y8580">
        <v>0</v>
      </c>
      <c r="Z8580"/>
      <c r="AB8580"/>
      <c r="AC8580" s="1">
        <v>1900</v>
      </c>
      <c r="AD8580">
        <v>262</v>
      </c>
      <c r="AE8580" s="1">
        <v>497800</v>
      </c>
      <c r="AF8580">
        <v>0</v>
      </c>
      <c r="AJ8580">
        <v>0</v>
      </c>
      <c r="AK8580">
        <v>0</v>
      </c>
      <c r="AL8580">
        <v>0</v>
      </c>
      <c r="AM8580">
        <v>0</v>
      </c>
      <c r="AN8580">
        <v>0</v>
      </c>
      <c r="AO8580">
        <v>0</v>
      </c>
      <c r="AP8580" s="2">
        <v>42746</v>
      </c>
      <c r="AQ8580" t="s">
        <v>72</v>
      </c>
      <c r="AR8580" t="s">
        <v>72</v>
      </c>
      <c r="AS8580">
        <v>318</v>
      </c>
      <c r="AT8580" s="4">
        <v>42408</v>
      </c>
      <c r="AU8580" t="s">
        <v>73</v>
      </c>
      <c r="AV8580">
        <v>318</v>
      </c>
      <c r="AW8580" s="4">
        <v>42408</v>
      </c>
      <c r="BD8580">
        <v>0</v>
      </c>
      <c r="BN8580" t="s">
        <v>74</v>
      </c>
    </row>
    <row r="8581" spans="1:66" hidden="1">
      <c r="A8581">
        <v>106340</v>
      </c>
      <c r="B8581" s="3" t="s">
        <v>743</v>
      </c>
      <c r="C8581" s="1">
        <v>43300101</v>
      </c>
      <c r="D8581" t="s">
        <v>67</v>
      </c>
      <c r="H8581" t="str">
        <f t="shared" si="882"/>
        <v>07235590960</v>
      </c>
      <c r="I8581" t="str">
        <f t="shared" si="882"/>
        <v>07235590960</v>
      </c>
      <c r="K8581" t="str">
        <f>""</f>
        <v/>
      </c>
      <c r="M8581" t="s">
        <v>68</v>
      </c>
      <c r="N8581" t="str">
        <f t="shared" si="880"/>
        <v>FOR</v>
      </c>
      <c r="O8581" t="s">
        <v>69</v>
      </c>
      <c r="P8581" s="3" t="s">
        <v>70</v>
      </c>
      <c r="Q8581">
        <v>2015</v>
      </c>
      <c r="R8581" s="2">
        <v>42082</v>
      </c>
      <c r="S8581" s="2">
        <v>42089</v>
      </c>
      <c r="T8581" s="2">
        <v>42089</v>
      </c>
      <c r="U8581" s="2">
        <v>42149</v>
      </c>
      <c r="V8581" t="s">
        <v>71</v>
      </c>
      <c r="W8581" t="str">
        <f>"            15002267"</f>
        <v xml:space="preserve">            15002267</v>
      </c>
      <c r="X8581" s="1">
        <v>2090</v>
      </c>
      <c r="Y8581">
        <v>0</v>
      </c>
      <c r="Z8581"/>
      <c r="AB8581"/>
      <c r="AC8581" s="1">
        <v>1900</v>
      </c>
      <c r="AD8581">
        <v>259</v>
      </c>
      <c r="AE8581" s="1">
        <v>492100</v>
      </c>
      <c r="AF8581">
        <v>0</v>
      </c>
      <c r="AJ8581">
        <v>0</v>
      </c>
      <c r="AK8581">
        <v>0</v>
      </c>
      <c r="AL8581">
        <v>0</v>
      </c>
      <c r="AM8581">
        <v>0</v>
      </c>
      <c r="AN8581">
        <v>0</v>
      </c>
      <c r="AO8581">
        <v>0</v>
      </c>
      <c r="AP8581" s="2">
        <v>42746</v>
      </c>
      <c r="AQ8581" t="s">
        <v>72</v>
      </c>
      <c r="AR8581" t="s">
        <v>72</v>
      </c>
      <c r="AS8581">
        <v>318</v>
      </c>
      <c r="AT8581" s="4">
        <v>42408</v>
      </c>
      <c r="AU8581" t="s">
        <v>73</v>
      </c>
      <c r="AV8581">
        <v>318</v>
      </c>
      <c r="AW8581" s="4">
        <v>42408</v>
      </c>
      <c r="BD8581">
        <v>0</v>
      </c>
      <c r="BN8581" t="s">
        <v>74</v>
      </c>
    </row>
    <row r="8582" spans="1:66" hidden="1">
      <c r="A8582">
        <v>106343</v>
      </c>
      <c r="B8582" s="3" t="s">
        <v>744</v>
      </c>
      <c r="C8582" s="1">
        <v>43500101</v>
      </c>
      <c r="D8582" t="s">
        <v>113</v>
      </c>
      <c r="H8582" t="str">
        <f t="shared" ref="H8582:H8591" si="883">"TMTGLC82C29A783D"</f>
        <v>TMTGLC82C29A783D</v>
      </c>
      <c r="I8582" t="str">
        <f t="shared" ref="I8582:I8591" si="884">"01636040626"</f>
        <v>01636040626</v>
      </c>
      <c r="K8582" t="str">
        <f>""</f>
        <v/>
      </c>
      <c r="M8582" t="s">
        <v>68</v>
      </c>
      <c r="N8582" t="str">
        <f t="shared" ref="N8582:N8599" si="885">"ALTPRO"</f>
        <v>ALTPRO</v>
      </c>
      <c r="O8582" t="s">
        <v>132</v>
      </c>
      <c r="P8582" s="3" t="s">
        <v>75</v>
      </c>
      <c r="Q8582">
        <v>2016</v>
      </c>
      <c r="R8582" s="2">
        <v>42380</v>
      </c>
      <c r="S8582" s="2">
        <v>42382</v>
      </c>
      <c r="T8582" s="2">
        <v>42380</v>
      </c>
      <c r="U8582" s="2">
        <v>42440</v>
      </c>
      <c r="V8582" t="s">
        <v>71</v>
      </c>
      <c r="W8582" t="str">
        <f>"         FATTPA 1_16"</f>
        <v xml:space="preserve">         FATTPA 1_16</v>
      </c>
      <c r="X8582">
        <v>500</v>
      </c>
      <c r="Y8582">
        <v>0</v>
      </c>
      <c r="Z8582"/>
      <c r="AB8582"/>
      <c r="AC8582">
        <v>500</v>
      </c>
      <c r="AD8582">
        <v>-43</v>
      </c>
      <c r="AE8582" s="1">
        <v>-21500</v>
      </c>
      <c r="AF8582">
        <v>0</v>
      </c>
      <c r="AJ8582">
        <v>0</v>
      </c>
      <c r="AK8582">
        <v>0</v>
      </c>
      <c r="AL8582">
        <v>0</v>
      </c>
      <c r="AM8582">
        <v>500</v>
      </c>
      <c r="AN8582">
        <v>500</v>
      </c>
      <c r="AO8582">
        <v>500</v>
      </c>
      <c r="AP8582" s="2">
        <v>42746</v>
      </c>
      <c r="AQ8582" t="s">
        <v>72</v>
      </c>
      <c r="AR8582" t="s">
        <v>72</v>
      </c>
      <c r="AS8582">
        <v>153</v>
      </c>
      <c r="AT8582" s="4">
        <v>42397</v>
      </c>
      <c r="AV8582">
        <v>153</v>
      </c>
      <c r="AW8582" s="4">
        <v>42397</v>
      </c>
      <c r="BD8582">
        <v>0</v>
      </c>
      <c r="BN8582" t="s">
        <v>74</v>
      </c>
    </row>
    <row r="8583" spans="1:66" hidden="1">
      <c r="A8583">
        <v>106343</v>
      </c>
      <c r="B8583" s="3" t="s">
        <v>744</v>
      </c>
      <c r="C8583" s="1">
        <v>43500101</v>
      </c>
      <c r="D8583" t="s">
        <v>113</v>
      </c>
      <c r="H8583" t="str">
        <f t="shared" si="883"/>
        <v>TMTGLC82C29A783D</v>
      </c>
      <c r="I8583" t="str">
        <f t="shared" si="884"/>
        <v>01636040626</v>
      </c>
      <c r="K8583" t="str">
        <f>""</f>
        <v/>
      </c>
      <c r="M8583" t="s">
        <v>68</v>
      </c>
      <c r="N8583" t="str">
        <f t="shared" si="885"/>
        <v>ALTPRO</v>
      </c>
      <c r="O8583" t="s">
        <v>132</v>
      </c>
      <c r="P8583" s="3" t="s">
        <v>75</v>
      </c>
      <c r="Q8583">
        <v>2016</v>
      </c>
      <c r="R8583" s="2">
        <v>42404</v>
      </c>
      <c r="S8583" s="2">
        <v>42408</v>
      </c>
      <c r="T8583" s="2">
        <v>42404</v>
      </c>
      <c r="U8583" s="2">
        <v>42464</v>
      </c>
      <c r="V8583" t="s">
        <v>71</v>
      </c>
      <c r="W8583" t="str">
        <f>"         FATTPA 2_16"</f>
        <v xml:space="preserve">         FATTPA 2_16</v>
      </c>
      <c r="X8583">
        <v>502</v>
      </c>
      <c r="Y8583">
        <v>0</v>
      </c>
      <c r="Z8583"/>
      <c r="AB8583"/>
      <c r="AC8583">
        <v>502</v>
      </c>
      <c r="AD8583">
        <v>-13</v>
      </c>
      <c r="AE8583" s="1">
        <v>-6526</v>
      </c>
      <c r="AF8583">
        <v>0</v>
      </c>
      <c r="AJ8583">
        <v>0</v>
      </c>
      <c r="AK8583">
        <v>0</v>
      </c>
      <c r="AL8583">
        <v>0</v>
      </c>
      <c r="AM8583">
        <v>502</v>
      </c>
      <c r="AN8583">
        <v>502</v>
      </c>
      <c r="AO8583">
        <v>502</v>
      </c>
      <c r="AP8583" s="2">
        <v>42746</v>
      </c>
      <c r="AQ8583" t="s">
        <v>72</v>
      </c>
      <c r="AR8583" t="s">
        <v>72</v>
      </c>
      <c r="AS8583">
        <v>728</v>
      </c>
      <c r="AT8583" s="4">
        <v>42451</v>
      </c>
      <c r="AV8583">
        <v>728</v>
      </c>
      <c r="AW8583" s="4">
        <v>42451</v>
      </c>
      <c r="BD8583">
        <v>0</v>
      </c>
      <c r="BN8583" t="s">
        <v>74</v>
      </c>
    </row>
    <row r="8584" spans="1:66" hidden="1">
      <c r="A8584">
        <v>106343</v>
      </c>
      <c r="B8584" s="3" t="s">
        <v>744</v>
      </c>
      <c r="C8584" s="1">
        <v>43500101</v>
      </c>
      <c r="D8584" t="s">
        <v>113</v>
      </c>
      <c r="H8584" t="str">
        <f t="shared" si="883"/>
        <v>TMTGLC82C29A783D</v>
      </c>
      <c r="I8584" t="str">
        <f t="shared" si="884"/>
        <v>01636040626</v>
      </c>
      <c r="K8584" t="str">
        <f>""</f>
        <v/>
      </c>
      <c r="M8584" t="s">
        <v>68</v>
      </c>
      <c r="N8584" t="str">
        <f t="shared" si="885"/>
        <v>ALTPRO</v>
      </c>
      <c r="O8584" t="s">
        <v>132</v>
      </c>
      <c r="P8584" s="3" t="s">
        <v>75</v>
      </c>
      <c r="Q8584">
        <v>2016</v>
      </c>
      <c r="R8584" s="2">
        <v>42436</v>
      </c>
      <c r="S8584" s="2">
        <v>42436</v>
      </c>
      <c r="T8584" s="2">
        <v>42436</v>
      </c>
      <c r="U8584" s="2">
        <v>42496</v>
      </c>
      <c r="V8584" t="s">
        <v>71</v>
      </c>
      <c r="W8584" t="str">
        <f>"         FATTPA 3_16"</f>
        <v xml:space="preserve">         FATTPA 3_16</v>
      </c>
      <c r="X8584">
        <v>502</v>
      </c>
      <c r="Y8584">
        <v>0</v>
      </c>
      <c r="Z8584"/>
      <c r="AB8584"/>
      <c r="AC8584">
        <v>502</v>
      </c>
      <c r="AD8584">
        <v>-9</v>
      </c>
      <c r="AE8584" s="1">
        <v>-4518</v>
      </c>
      <c r="AF8584">
        <v>0</v>
      </c>
      <c r="AJ8584">
        <v>0</v>
      </c>
      <c r="AK8584">
        <v>0</v>
      </c>
      <c r="AL8584">
        <v>0</v>
      </c>
      <c r="AM8584">
        <v>502</v>
      </c>
      <c r="AN8584">
        <v>502</v>
      </c>
      <c r="AO8584">
        <v>502</v>
      </c>
      <c r="AP8584" s="2">
        <v>42746</v>
      </c>
      <c r="AQ8584" t="s">
        <v>72</v>
      </c>
      <c r="AR8584" t="s">
        <v>72</v>
      </c>
      <c r="AS8584">
        <v>1139</v>
      </c>
      <c r="AT8584" s="4">
        <v>42487</v>
      </c>
      <c r="AV8584">
        <v>1139</v>
      </c>
      <c r="AW8584" s="4">
        <v>42487</v>
      </c>
      <c r="BD8584">
        <v>0</v>
      </c>
      <c r="BN8584" t="s">
        <v>74</v>
      </c>
    </row>
    <row r="8585" spans="1:66" hidden="1">
      <c r="A8585">
        <v>106343</v>
      </c>
      <c r="B8585" s="3" t="s">
        <v>744</v>
      </c>
      <c r="C8585" s="1">
        <v>43500101</v>
      </c>
      <c r="D8585" t="s">
        <v>113</v>
      </c>
      <c r="H8585" t="str">
        <f t="shared" si="883"/>
        <v>TMTGLC82C29A783D</v>
      </c>
      <c r="I8585" t="str">
        <f t="shared" si="884"/>
        <v>01636040626</v>
      </c>
      <c r="K8585" t="str">
        <f>""</f>
        <v/>
      </c>
      <c r="M8585" t="s">
        <v>68</v>
      </c>
      <c r="N8585" t="str">
        <f t="shared" si="885"/>
        <v>ALTPRO</v>
      </c>
      <c r="O8585" t="s">
        <v>132</v>
      </c>
      <c r="P8585" s="3" t="s">
        <v>75</v>
      </c>
      <c r="Q8585">
        <v>2016</v>
      </c>
      <c r="R8585" s="2">
        <v>42467</v>
      </c>
      <c r="S8585" s="2">
        <v>42467</v>
      </c>
      <c r="T8585" s="2">
        <v>42467</v>
      </c>
      <c r="U8585" s="2">
        <v>42527</v>
      </c>
      <c r="V8585" t="s">
        <v>71</v>
      </c>
      <c r="W8585" t="str">
        <f>"         FATTPA 4_16"</f>
        <v xml:space="preserve">         FATTPA 4_16</v>
      </c>
      <c r="X8585">
        <v>502</v>
      </c>
      <c r="Y8585">
        <v>0</v>
      </c>
      <c r="Z8585"/>
      <c r="AB8585"/>
      <c r="AC8585">
        <v>502</v>
      </c>
      <c r="AD8585">
        <v>-40</v>
      </c>
      <c r="AE8585" s="1">
        <v>-20080</v>
      </c>
      <c r="AF8585">
        <v>0</v>
      </c>
      <c r="AJ8585">
        <v>0</v>
      </c>
      <c r="AK8585">
        <v>0</v>
      </c>
      <c r="AL8585">
        <v>0</v>
      </c>
      <c r="AM8585">
        <v>502</v>
      </c>
      <c r="AN8585">
        <v>502</v>
      </c>
      <c r="AO8585">
        <v>502</v>
      </c>
      <c r="AP8585" s="2">
        <v>42746</v>
      </c>
      <c r="AQ8585" t="s">
        <v>72</v>
      </c>
      <c r="AR8585" t="s">
        <v>72</v>
      </c>
      <c r="AS8585">
        <v>1139</v>
      </c>
      <c r="AT8585" s="4">
        <v>42487</v>
      </c>
      <c r="AV8585">
        <v>1139</v>
      </c>
      <c r="AW8585" s="4">
        <v>42487</v>
      </c>
      <c r="BD8585">
        <v>0</v>
      </c>
      <c r="BN8585" t="s">
        <v>74</v>
      </c>
    </row>
    <row r="8586" spans="1:66" hidden="1">
      <c r="A8586">
        <v>106343</v>
      </c>
      <c r="B8586" s="3" t="s">
        <v>744</v>
      </c>
      <c r="C8586" s="1">
        <v>43500101</v>
      </c>
      <c r="D8586" t="s">
        <v>113</v>
      </c>
      <c r="H8586" t="str">
        <f t="shared" si="883"/>
        <v>TMTGLC82C29A783D</v>
      </c>
      <c r="I8586" t="str">
        <f t="shared" si="884"/>
        <v>01636040626</v>
      </c>
      <c r="K8586" t="str">
        <f>""</f>
        <v/>
      </c>
      <c r="M8586" t="s">
        <v>68</v>
      </c>
      <c r="N8586" t="str">
        <f t="shared" si="885"/>
        <v>ALTPRO</v>
      </c>
      <c r="O8586" t="s">
        <v>132</v>
      </c>
      <c r="P8586" s="3" t="s">
        <v>75</v>
      </c>
      <c r="Q8586">
        <v>2016</v>
      </c>
      <c r="R8586" s="2">
        <v>42499</v>
      </c>
      <c r="S8586" s="2">
        <v>42499</v>
      </c>
      <c r="T8586" s="2">
        <v>42499</v>
      </c>
      <c r="U8586" s="2">
        <v>42559</v>
      </c>
      <c r="V8586" t="s">
        <v>71</v>
      </c>
      <c r="W8586" t="str">
        <f>"         FATTPA 5_16"</f>
        <v xml:space="preserve">         FATTPA 5_16</v>
      </c>
      <c r="X8586">
        <v>502</v>
      </c>
      <c r="Y8586">
        <v>0</v>
      </c>
      <c r="Z8586"/>
      <c r="AB8586"/>
      <c r="AC8586">
        <v>502</v>
      </c>
      <c r="AD8586">
        <v>-32</v>
      </c>
      <c r="AE8586" s="1">
        <v>-16064</v>
      </c>
      <c r="AF8586">
        <v>0</v>
      </c>
      <c r="AJ8586">
        <v>0</v>
      </c>
      <c r="AK8586">
        <v>0</v>
      </c>
      <c r="AL8586">
        <v>0</v>
      </c>
      <c r="AM8586">
        <v>502</v>
      </c>
      <c r="AN8586">
        <v>502</v>
      </c>
      <c r="AO8586">
        <v>502</v>
      </c>
      <c r="AP8586" s="2">
        <v>42746</v>
      </c>
      <c r="AQ8586" t="s">
        <v>72</v>
      </c>
      <c r="AR8586" t="s">
        <v>72</v>
      </c>
      <c r="AS8586">
        <v>1484</v>
      </c>
      <c r="AT8586" s="4">
        <v>42527</v>
      </c>
      <c r="AV8586">
        <v>1484</v>
      </c>
      <c r="AW8586" s="4">
        <v>42527</v>
      </c>
      <c r="BD8586">
        <v>0</v>
      </c>
      <c r="BN8586" t="s">
        <v>74</v>
      </c>
    </row>
    <row r="8587" spans="1:66" hidden="1">
      <c r="A8587">
        <v>106343</v>
      </c>
      <c r="B8587" s="3" t="s">
        <v>744</v>
      </c>
      <c r="C8587" s="1">
        <v>43500101</v>
      </c>
      <c r="D8587" t="s">
        <v>113</v>
      </c>
      <c r="H8587" t="str">
        <f t="shared" si="883"/>
        <v>TMTGLC82C29A783D</v>
      </c>
      <c r="I8587" t="str">
        <f t="shared" si="884"/>
        <v>01636040626</v>
      </c>
      <c r="K8587" t="str">
        <f>""</f>
        <v/>
      </c>
      <c r="M8587" t="s">
        <v>68</v>
      </c>
      <c r="N8587" t="str">
        <f t="shared" si="885"/>
        <v>ALTPRO</v>
      </c>
      <c r="O8587" t="s">
        <v>132</v>
      </c>
      <c r="P8587" s="3" t="s">
        <v>75</v>
      </c>
      <c r="Q8587">
        <v>2016</v>
      </c>
      <c r="R8587" s="2">
        <v>42542</v>
      </c>
      <c r="S8587" s="2">
        <v>42542</v>
      </c>
      <c r="T8587" s="2">
        <v>42542</v>
      </c>
      <c r="U8587" s="2">
        <v>42602</v>
      </c>
      <c r="V8587" t="s">
        <v>71</v>
      </c>
      <c r="W8587" t="str">
        <f>"         FATTPA 6_16"</f>
        <v xml:space="preserve">         FATTPA 6_16</v>
      </c>
      <c r="X8587">
        <v>502</v>
      </c>
      <c r="Y8587">
        <v>0</v>
      </c>
      <c r="Z8587"/>
      <c r="AB8587"/>
      <c r="AC8587">
        <v>502</v>
      </c>
      <c r="AD8587">
        <v>-50</v>
      </c>
      <c r="AE8587" s="1">
        <v>-25100</v>
      </c>
      <c r="AF8587">
        <v>0</v>
      </c>
      <c r="AJ8587">
        <v>0</v>
      </c>
      <c r="AK8587">
        <v>0</v>
      </c>
      <c r="AL8587">
        <v>0</v>
      </c>
      <c r="AM8587">
        <v>502</v>
      </c>
      <c r="AN8587">
        <v>502</v>
      </c>
      <c r="AO8587">
        <v>502</v>
      </c>
      <c r="AP8587" s="2">
        <v>42746</v>
      </c>
      <c r="AQ8587" t="s">
        <v>72</v>
      </c>
      <c r="AR8587" t="s">
        <v>72</v>
      </c>
      <c r="AS8587">
        <v>1653</v>
      </c>
      <c r="AT8587" s="4">
        <v>42552</v>
      </c>
      <c r="AV8587">
        <v>1653</v>
      </c>
      <c r="AW8587" s="4">
        <v>42552</v>
      </c>
      <c r="BD8587">
        <v>0</v>
      </c>
      <c r="BN8587" t="s">
        <v>74</v>
      </c>
    </row>
    <row r="8588" spans="1:66" hidden="1">
      <c r="A8588">
        <v>106343</v>
      </c>
      <c r="B8588" s="3" t="s">
        <v>744</v>
      </c>
      <c r="C8588" s="1">
        <v>43500101</v>
      </c>
      <c r="D8588" t="s">
        <v>113</v>
      </c>
      <c r="H8588" t="str">
        <f t="shared" si="883"/>
        <v>TMTGLC82C29A783D</v>
      </c>
      <c r="I8588" t="str">
        <f t="shared" si="884"/>
        <v>01636040626</v>
      </c>
      <c r="K8588" t="str">
        <f>""</f>
        <v/>
      </c>
      <c r="M8588" t="s">
        <v>68</v>
      </c>
      <c r="N8588" t="str">
        <f t="shared" si="885"/>
        <v>ALTPRO</v>
      </c>
      <c r="O8588" t="s">
        <v>132</v>
      </c>
      <c r="P8588" s="3" t="s">
        <v>75</v>
      </c>
      <c r="Q8588">
        <v>2016</v>
      </c>
      <c r="R8588" s="2">
        <v>42569</v>
      </c>
      <c r="S8588" s="2">
        <v>42577</v>
      </c>
      <c r="T8588" s="2">
        <v>42569</v>
      </c>
      <c r="U8588" s="2">
        <v>42629</v>
      </c>
      <c r="V8588" t="s">
        <v>71</v>
      </c>
      <c r="W8588" t="str">
        <f>"         FATTPA 7_16"</f>
        <v xml:space="preserve">         FATTPA 7_16</v>
      </c>
      <c r="X8588">
        <v>502</v>
      </c>
      <c r="Y8588">
        <v>0</v>
      </c>
      <c r="Z8588"/>
      <c r="AB8588"/>
      <c r="AC8588">
        <v>502</v>
      </c>
      <c r="AD8588">
        <v>-11</v>
      </c>
      <c r="AE8588" s="1">
        <v>-5522</v>
      </c>
      <c r="AF8588">
        <v>0</v>
      </c>
      <c r="AJ8588">
        <v>0</v>
      </c>
      <c r="AK8588">
        <v>0</v>
      </c>
      <c r="AL8588">
        <v>0</v>
      </c>
      <c r="AM8588">
        <v>502</v>
      </c>
      <c r="AN8588">
        <v>502</v>
      </c>
      <c r="AO8588">
        <v>502</v>
      </c>
      <c r="AP8588" s="2">
        <v>42746</v>
      </c>
      <c r="AQ8588" t="s">
        <v>72</v>
      </c>
      <c r="AR8588" t="s">
        <v>72</v>
      </c>
      <c r="AS8588">
        <v>2254</v>
      </c>
      <c r="AT8588" s="4">
        <v>42618</v>
      </c>
      <c r="AV8588">
        <v>2254</v>
      </c>
      <c r="AW8588" s="4">
        <v>42618</v>
      </c>
      <c r="BD8588">
        <v>0</v>
      </c>
      <c r="BN8588" t="s">
        <v>74</v>
      </c>
    </row>
    <row r="8589" spans="1:66" hidden="1">
      <c r="A8589">
        <v>106343</v>
      </c>
      <c r="B8589" s="3" t="s">
        <v>744</v>
      </c>
      <c r="C8589" s="1">
        <v>43500101</v>
      </c>
      <c r="D8589" t="s">
        <v>113</v>
      </c>
      <c r="H8589" t="str">
        <f t="shared" si="883"/>
        <v>TMTGLC82C29A783D</v>
      </c>
      <c r="I8589" t="str">
        <f t="shared" si="884"/>
        <v>01636040626</v>
      </c>
      <c r="K8589" t="str">
        <f>""</f>
        <v/>
      </c>
      <c r="M8589" t="s">
        <v>68</v>
      </c>
      <c r="N8589" t="str">
        <f t="shared" si="885"/>
        <v>ALTPRO</v>
      </c>
      <c r="O8589" t="s">
        <v>132</v>
      </c>
      <c r="P8589" s="3" t="s">
        <v>75</v>
      </c>
      <c r="Q8589">
        <v>2016</v>
      </c>
      <c r="R8589" s="2">
        <v>42594</v>
      </c>
      <c r="S8589" s="2">
        <v>42600</v>
      </c>
      <c r="T8589" s="2">
        <v>42594</v>
      </c>
      <c r="U8589" s="2">
        <v>42654</v>
      </c>
      <c r="V8589" t="s">
        <v>71</v>
      </c>
      <c r="W8589" t="str">
        <f>"         FATTPA 8_16"</f>
        <v xml:space="preserve">         FATTPA 8_16</v>
      </c>
      <c r="X8589">
        <v>502</v>
      </c>
      <c r="Y8589">
        <v>0</v>
      </c>
      <c r="Z8589"/>
      <c r="AB8589"/>
      <c r="AC8589">
        <v>502</v>
      </c>
      <c r="AD8589">
        <v>-36</v>
      </c>
      <c r="AE8589" s="1">
        <v>-18072</v>
      </c>
      <c r="AF8589">
        <v>0</v>
      </c>
      <c r="AJ8589">
        <v>0</v>
      </c>
      <c r="AK8589">
        <v>0</v>
      </c>
      <c r="AL8589">
        <v>0</v>
      </c>
      <c r="AM8589">
        <v>502</v>
      </c>
      <c r="AN8589">
        <v>502</v>
      </c>
      <c r="AO8589">
        <v>502</v>
      </c>
      <c r="AP8589" s="2">
        <v>42746</v>
      </c>
      <c r="AQ8589" t="s">
        <v>72</v>
      </c>
      <c r="AR8589" t="s">
        <v>72</v>
      </c>
      <c r="AS8589">
        <v>2254</v>
      </c>
      <c r="AT8589" s="4">
        <v>42618</v>
      </c>
      <c r="AV8589">
        <v>2254</v>
      </c>
      <c r="AW8589" s="4">
        <v>42618</v>
      </c>
      <c r="BD8589">
        <v>0</v>
      </c>
      <c r="BN8589" t="s">
        <v>74</v>
      </c>
    </row>
    <row r="8590" spans="1:66">
      <c r="A8590">
        <v>106343</v>
      </c>
      <c r="B8590" s="3" t="s">
        <v>744</v>
      </c>
      <c r="C8590" s="1">
        <v>43500101</v>
      </c>
      <c r="D8590" t="s">
        <v>113</v>
      </c>
      <c r="H8590" t="str">
        <f t="shared" si="883"/>
        <v>TMTGLC82C29A783D</v>
      </c>
      <c r="I8590" t="str">
        <f t="shared" si="884"/>
        <v>01636040626</v>
      </c>
      <c r="K8590" t="str">
        <f>""</f>
        <v/>
      </c>
      <c r="M8590" t="s">
        <v>68</v>
      </c>
      <c r="N8590" t="str">
        <f t="shared" si="885"/>
        <v>ALTPRO</v>
      </c>
      <c r="O8590" t="s">
        <v>132</v>
      </c>
      <c r="P8590" s="3" t="s">
        <v>75</v>
      </c>
      <c r="Q8590">
        <v>2016</v>
      </c>
      <c r="R8590" s="2">
        <v>42633</v>
      </c>
      <c r="S8590" s="2">
        <v>42633</v>
      </c>
      <c r="T8590" s="2">
        <v>42633</v>
      </c>
      <c r="U8590" s="2">
        <v>42693</v>
      </c>
      <c r="V8590" t="s">
        <v>71</v>
      </c>
      <c r="W8590" t="str">
        <f>"        FATTPA 10_16"</f>
        <v xml:space="preserve">        FATTPA 10_16</v>
      </c>
      <c r="X8590">
        <v>500</v>
      </c>
      <c r="Y8590">
        <v>0</v>
      </c>
      <c r="Z8590" s="3">
        <v>500</v>
      </c>
      <c r="AA8590">
        <v>-47</v>
      </c>
      <c r="AB8590" s="5">
        <v>-23500</v>
      </c>
      <c r="AC8590">
        <v>500</v>
      </c>
      <c r="AD8590">
        <v>-47</v>
      </c>
      <c r="AE8590" s="1">
        <v>-23500</v>
      </c>
      <c r="AF8590">
        <v>0</v>
      </c>
      <c r="AJ8590">
        <v>0</v>
      </c>
      <c r="AK8590">
        <v>0</v>
      </c>
      <c r="AL8590">
        <v>0</v>
      </c>
      <c r="AM8590">
        <v>500</v>
      </c>
      <c r="AN8590">
        <v>500</v>
      </c>
      <c r="AO8590">
        <v>500</v>
      </c>
      <c r="AP8590" s="2">
        <v>42746</v>
      </c>
      <c r="AQ8590" t="s">
        <v>72</v>
      </c>
      <c r="AR8590" t="s">
        <v>72</v>
      </c>
      <c r="AS8590">
        <v>2531</v>
      </c>
      <c r="AT8590" s="4">
        <v>42646</v>
      </c>
      <c r="AV8590">
        <v>2531</v>
      </c>
      <c r="AW8590" s="4">
        <v>42646</v>
      </c>
      <c r="BD8590">
        <v>0</v>
      </c>
      <c r="BN8590" t="s">
        <v>74</v>
      </c>
    </row>
    <row r="8591" spans="1:66">
      <c r="A8591">
        <v>106343</v>
      </c>
      <c r="B8591" s="3" t="s">
        <v>744</v>
      </c>
      <c r="C8591" s="1">
        <v>43500101</v>
      </c>
      <c r="D8591" t="s">
        <v>113</v>
      </c>
      <c r="H8591" t="str">
        <f t="shared" si="883"/>
        <v>TMTGLC82C29A783D</v>
      </c>
      <c r="I8591" t="str">
        <f t="shared" si="884"/>
        <v>01636040626</v>
      </c>
      <c r="K8591" t="str">
        <f>""</f>
        <v/>
      </c>
      <c r="M8591" t="s">
        <v>68</v>
      </c>
      <c r="N8591" t="str">
        <f t="shared" si="885"/>
        <v>ALTPRO</v>
      </c>
      <c r="O8591" t="s">
        <v>132</v>
      </c>
      <c r="P8591" s="3" t="s">
        <v>75</v>
      </c>
      <c r="Q8591">
        <v>2016</v>
      </c>
      <c r="R8591" s="2">
        <v>42660</v>
      </c>
      <c r="S8591" s="2">
        <v>42660</v>
      </c>
      <c r="T8591" s="2">
        <v>42660</v>
      </c>
      <c r="U8591" s="2">
        <v>42720</v>
      </c>
      <c r="V8591" t="s">
        <v>71</v>
      </c>
      <c r="W8591" t="str">
        <f>"        FATTPA 11_16"</f>
        <v xml:space="preserve">        FATTPA 11_16</v>
      </c>
      <c r="X8591">
        <v>500</v>
      </c>
      <c r="Y8591">
        <v>0</v>
      </c>
      <c r="Z8591" s="3">
        <v>500</v>
      </c>
      <c r="AA8591">
        <v>-51</v>
      </c>
      <c r="AB8591" s="5">
        <v>-25500</v>
      </c>
      <c r="AC8591">
        <v>500</v>
      </c>
      <c r="AD8591">
        <v>-51</v>
      </c>
      <c r="AE8591" s="1">
        <v>-25500</v>
      </c>
      <c r="AF8591">
        <v>0</v>
      </c>
      <c r="AJ8591">
        <v>0</v>
      </c>
      <c r="AK8591">
        <v>500</v>
      </c>
      <c r="AL8591">
        <v>500</v>
      </c>
      <c r="AM8591">
        <v>500</v>
      </c>
      <c r="AN8591">
        <v>500</v>
      </c>
      <c r="AO8591">
        <v>500</v>
      </c>
      <c r="AP8591" s="2">
        <v>42746</v>
      </c>
      <c r="AQ8591" t="s">
        <v>72</v>
      </c>
      <c r="AR8591" t="s">
        <v>72</v>
      </c>
      <c r="AS8591">
        <v>2887</v>
      </c>
      <c r="AT8591" s="4">
        <v>42669</v>
      </c>
      <c r="AV8591">
        <v>2887</v>
      </c>
      <c r="AW8591" s="4">
        <v>42669</v>
      </c>
      <c r="BD8591">
        <v>0</v>
      </c>
      <c r="BN8591" t="s">
        <v>74</v>
      </c>
    </row>
    <row r="8592" spans="1:66" hidden="1">
      <c r="A8592">
        <v>106348</v>
      </c>
      <c r="B8592" s="3" t="s">
        <v>745</v>
      </c>
      <c r="C8592" s="1">
        <v>43500101</v>
      </c>
      <c r="D8592" t="s">
        <v>113</v>
      </c>
      <c r="H8592" t="str">
        <f t="shared" ref="H8592:H8599" si="886">"BTAPRI81H69I197T"</f>
        <v>BTAPRI81H69I197T</v>
      </c>
      <c r="I8592" t="str">
        <f t="shared" ref="I8592:I8599" si="887">"01568130627"</f>
        <v>01568130627</v>
      </c>
      <c r="K8592" t="str">
        <f>""</f>
        <v/>
      </c>
      <c r="M8592" t="s">
        <v>68</v>
      </c>
      <c r="N8592" t="str">
        <f t="shared" si="885"/>
        <v>ALTPRO</v>
      </c>
      <c r="O8592" t="s">
        <v>132</v>
      </c>
      <c r="P8592" s="3" t="s">
        <v>75</v>
      </c>
      <c r="Q8592">
        <v>2016</v>
      </c>
      <c r="R8592" s="2">
        <v>42373</v>
      </c>
      <c r="S8592" s="2">
        <v>42377</v>
      </c>
      <c r="T8592" s="2">
        <v>42373</v>
      </c>
      <c r="U8592" s="2">
        <v>42433</v>
      </c>
      <c r="V8592" t="s">
        <v>71</v>
      </c>
      <c r="W8592" t="str">
        <f>"         FATTPA 1_16"</f>
        <v xml:space="preserve">         FATTPA 1_16</v>
      </c>
      <c r="X8592" s="1">
        <v>2530.64</v>
      </c>
      <c r="Y8592">
        <v>0</v>
      </c>
      <c r="Z8592"/>
      <c r="AB8592"/>
      <c r="AC8592" s="1">
        <v>2530.64</v>
      </c>
      <c r="AD8592">
        <v>-36</v>
      </c>
      <c r="AE8592" s="1">
        <v>-91103.039999999994</v>
      </c>
      <c r="AF8592">
        <v>0</v>
      </c>
      <c r="AJ8592">
        <v>0</v>
      </c>
      <c r="AK8592">
        <v>0</v>
      </c>
      <c r="AL8592">
        <v>0</v>
      </c>
      <c r="AM8592">
        <v>0</v>
      </c>
      <c r="AN8592" s="1">
        <v>2530.64</v>
      </c>
      <c r="AO8592" s="1">
        <v>2530.64</v>
      </c>
      <c r="AP8592" s="2">
        <v>42746</v>
      </c>
      <c r="AQ8592" t="s">
        <v>72</v>
      </c>
      <c r="AR8592" t="s">
        <v>72</v>
      </c>
      <c r="AS8592">
        <v>118</v>
      </c>
      <c r="AT8592" s="4">
        <v>42397</v>
      </c>
      <c r="AV8592">
        <v>118</v>
      </c>
      <c r="AW8592" s="4">
        <v>42397</v>
      </c>
      <c r="BD8592">
        <v>0</v>
      </c>
      <c r="BN8592" t="s">
        <v>74</v>
      </c>
    </row>
    <row r="8593" spans="1:66" hidden="1">
      <c r="A8593">
        <v>106348</v>
      </c>
      <c r="B8593" s="3" t="s">
        <v>745</v>
      </c>
      <c r="C8593" s="1">
        <v>43500101</v>
      </c>
      <c r="D8593" t="s">
        <v>113</v>
      </c>
      <c r="H8593" t="str">
        <f t="shared" si="886"/>
        <v>BTAPRI81H69I197T</v>
      </c>
      <c r="I8593" t="str">
        <f t="shared" si="887"/>
        <v>01568130627</v>
      </c>
      <c r="K8593" t="str">
        <f>""</f>
        <v/>
      </c>
      <c r="M8593" t="s">
        <v>68</v>
      </c>
      <c r="N8593" t="str">
        <f t="shared" si="885"/>
        <v>ALTPRO</v>
      </c>
      <c r="O8593" t="s">
        <v>132</v>
      </c>
      <c r="P8593" s="3" t="s">
        <v>75</v>
      </c>
      <c r="Q8593">
        <v>2016</v>
      </c>
      <c r="R8593" s="2">
        <v>42403</v>
      </c>
      <c r="S8593" s="2">
        <v>42404</v>
      </c>
      <c r="T8593" s="2">
        <v>42403</v>
      </c>
      <c r="U8593" s="2">
        <v>42463</v>
      </c>
      <c r="V8593" t="s">
        <v>71</v>
      </c>
      <c r="W8593" t="str">
        <f>"         FATTPA 2_16"</f>
        <v xml:space="preserve">         FATTPA 2_16</v>
      </c>
      <c r="X8593" s="1">
        <v>2530.64</v>
      </c>
      <c r="Y8593">
        <v>0</v>
      </c>
      <c r="Z8593"/>
      <c r="AB8593"/>
      <c r="AC8593" s="1">
        <v>2530.64</v>
      </c>
      <c r="AD8593">
        <v>-37</v>
      </c>
      <c r="AE8593" s="1">
        <v>-93633.68</v>
      </c>
      <c r="AF8593">
        <v>0</v>
      </c>
      <c r="AJ8593">
        <v>0</v>
      </c>
      <c r="AK8593">
        <v>0</v>
      </c>
      <c r="AL8593">
        <v>0</v>
      </c>
      <c r="AM8593" s="1">
        <v>2530.64</v>
      </c>
      <c r="AN8593" s="1">
        <v>2530.64</v>
      </c>
      <c r="AO8593" s="1">
        <v>2530.64</v>
      </c>
      <c r="AP8593" s="2">
        <v>42746</v>
      </c>
      <c r="AQ8593" t="s">
        <v>72</v>
      </c>
      <c r="AR8593" t="s">
        <v>72</v>
      </c>
      <c r="AS8593">
        <v>572</v>
      </c>
      <c r="AT8593" s="4">
        <v>42426</v>
      </c>
      <c r="AV8593">
        <v>572</v>
      </c>
      <c r="AW8593" s="4">
        <v>42426</v>
      </c>
      <c r="BD8593">
        <v>0</v>
      </c>
      <c r="BN8593" t="s">
        <v>74</v>
      </c>
    </row>
    <row r="8594" spans="1:66" hidden="1">
      <c r="A8594">
        <v>106348</v>
      </c>
      <c r="B8594" s="3" t="s">
        <v>745</v>
      </c>
      <c r="C8594" s="1">
        <v>43500101</v>
      </c>
      <c r="D8594" t="s">
        <v>113</v>
      </c>
      <c r="H8594" t="str">
        <f t="shared" si="886"/>
        <v>BTAPRI81H69I197T</v>
      </c>
      <c r="I8594" t="str">
        <f t="shared" si="887"/>
        <v>01568130627</v>
      </c>
      <c r="K8594" t="str">
        <f>""</f>
        <v/>
      </c>
      <c r="M8594" t="s">
        <v>68</v>
      </c>
      <c r="N8594" t="str">
        <f t="shared" si="885"/>
        <v>ALTPRO</v>
      </c>
      <c r="O8594" t="s">
        <v>132</v>
      </c>
      <c r="P8594" s="3" t="s">
        <v>75</v>
      </c>
      <c r="Q8594">
        <v>2016</v>
      </c>
      <c r="R8594" s="2">
        <v>42432</v>
      </c>
      <c r="S8594" s="2">
        <v>42433</v>
      </c>
      <c r="T8594" s="2">
        <v>42432</v>
      </c>
      <c r="U8594" s="2">
        <v>42492</v>
      </c>
      <c r="V8594" t="s">
        <v>71</v>
      </c>
      <c r="W8594" t="str">
        <f>"         FATTPA 3_16"</f>
        <v xml:space="preserve">         FATTPA 3_16</v>
      </c>
      <c r="X8594" s="1">
        <v>2636</v>
      </c>
      <c r="Y8594">
        <v>0</v>
      </c>
      <c r="Z8594"/>
      <c r="AB8594"/>
      <c r="AC8594" s="1">
        <v>2636</v>
      </c>
      <c r="AD8594">
        <v>-41</v>
      </c>
      <c r="AE8594" s="1">
        <v>-108076</v>
      </c>
      <c r="AF8594">
        <v>0</v>
      </c>
      <c r="AJ8594">
        <v>0</v>
      </c>
      <c r="AK8594">
        <v>0</v>
      </c>
      <c r="AL8594">
        <v>0</v>
      </c>
      <c r="AM8594" s="1">
        <v>2636</v>
      </c>
      <c r="AN8594" s="1">
        <v>2636</v>
      </c>
      <c r="AO8594" s="1">
        <v>2636</v>
      </c>
      <c r="AP8594" s="2">
        <v>42746</v>
      </c>
      <c r="AQ8594" t="s">
        <v>72</v>
      </c>
      <c r="AR8594" t="s">
        <v>72</v>
      </c>
      <c r="AS8594">
        <v>741</v>
      </c>
      <c r="AT8594" s="4">
        <v>42451</v>
      </c>
      <c r="AV8594">
        <v>741</v>
      </c>
      <c r="AW8594" s="4">
        <v>42451</v>
      </c>
      <c r="BD8594">
        <v>0</v>
      </c>
      <c r="BN8594" t="s">
        <v>74</v>
      </c>
    </row>
    <row r="8595" spans="1:66" hidden="1">
      <c r="A8595">
        <v>106348</v>
      </c>
      <c r="B8595" s="3" t="s">
        <v>745</v>
      </c>
      <c r="C8595" s="1">
        <v>43500101</v>
      </c>
      <c r="D8595" t="s">
        <v>113</v>
      </c>
      <c r="H8595" t="str">
        <f t="shared" si="886"/>
        <v>BTAPRI81H69I197T</v>
      </c>
      <c r="I8595" t="str">
        <f t="shared" si="887"/>
        <v>01568130627</v>
      </c>
      <c r="K8595" t="str">
        <f>""</f>
        <v/>
      </c>
      <c r="M8595" t="s">
        <v>68</v>
      </c>
      <c r="N8595" t="str">
        <f t="shared" si="885"/>
        <v>ALTPRO</v>
      </c>
      <c r="O8595" t="s">
        <v>132</v>
      </c>
      <c r="P8595" s="3" t="s">
        <v>75</v>
      </c>
      <c r="Q8595">
        <v>2016</v>
      </c>
      <c r="R8595" s="2">
        <v>42475</v>
      </c>
      <c r="S8595" s="2">
        <v>42475</v>
      </c>
      <c r="T8595" s="2">
        <v>42475</v>
      </c>
      <c r="U8595" s="2">
        <v>42535</v>
      </c>
      <c r="V8595" t="s">
        <v>71</v>
      </c>
      <c r="W8595" t="str">
        <f>"         FATTPA 4_16"</f>
        <v xml:space="preserve">         FATTPA 4_16</v>
      </c>
      <c r="X8595" s="1">
        <v>2741.36</v>
      </c>
      <c r="Y8595">
        <v>0</v>
      </c>
      <c r="Z8595"/>
      <c r="AB8595"/>
      <c r="AC8595" s="1">
        <v>2741.36</v>
      </c>
      <c r="AD8595">
        <v>-48</v>
      </c>
      <c r="AE8595" s="1">
        <v>-131585.28</v>
      </c>
      <c r="AF8595">
        <v>0</v>
      </c>
      <c r="AJ8595">
        <v>0</v>
      </c>
      <c r="AK8595">
        <v>0</v>
      </c>
      <c r="AL8595">
        <v>0</v>
      </c>
      <c r="AM8595" s="1">
        <v>2741.36</v>
      </c>
      <c r="AN8595" s="1">
        <v>2741.36</v>
      </c>
      <c r="AO8595" s="1">
        <v>2741.36</v>
      </c>
      <c r="AP8595" s="2">
        <v>42746</v>
      </c>
      <c r="AQ8595" t="s">
        <v>72</v>
      </c>
      <c r="AR8595" t="s">
        <v>72</v>
      </c>
      <c r="AS8595">
        <v>1134</v>
      </c>
      <c r="AT8595" s="4">
        <v>42487</v>
      </c>
      <c r="AV8595">
        <v>1134</v>
      </c>
      <c r="AW8595" s="4">
        <v>42487</v>
      </c>
      <c r="BD8595">
        <v>0</v>
      </c>
      <c r="BN8595" t="s">
        <v>74</v>
      </c>
    </row>
    <row r="8596" spans="1:66" hidden="1">
      <c r="A8596">
        <v>106348</v>
      </c>
      <c r="B8596" s="3" t="s">
        <v>745</v>
      </c>
      <c r="C8596" s="1">
        <v>43500101</v>
      </c>
      <c r="D8596" t="s">
        <v>113</v>
      </c>
      <c r="H8596" t="str">
        <f t="shared" si="886"/>
        <v>BTAPRI81H69I197T</v>
      </c>
      <c r="I8596" t="str">
        <f t="shared" si="887"/>
        <v>01568130627</v>
      </c>
      <c r="K8596" t="str">
        <f>""</f>
        <v/>
      </c>
      <c r="M8596" t="s">
        <v>68</v>
      </c>
      <c r="N8596" t="str">
        <f t="shared" si="885"/>
        <v>ALTPRO</v>
      </c>
      <c r="O8596" t="s">
        <v>132</v>
      </c>
      <c r="P8596" s="3" t="s">
        <v>75</v>
      </c>
      <c r="Q8596">
        <v>2016</v>
      </c>
      <c r="R8596" s="2">
        <v>42502</v>
      </c>
      <c r="S8596" s="2">
        <v>42502</v>
      </c>
      <c r="T8596" s="2">
        <v>42502</v>
      </c>
      <c r="U8596" s="2">
        <v>42562</v>
      </c>
      <c r="V8596" t="s">
        <v>71</v>
      </c>
      <c r="W8596" t="str">
        <f>"         FATTPA 5_16"</f>
        <v xml:space="preserve">         FATTPA 5_16</v>
      </c>
      <c r="X8596" s="1">
        <v>2636</v>
      </c>
      <c r="Y8596">
        <v>0</v>
      </c>
      <c r="Z8596"/>
      <c r="AB8596"/>
      <c r="AC8596" s="1">
        <v>2636</v>
      </c>
      <c r="AD8596">
        <v>-46</v>
      </c>
      <c r="AE8596" s="1">
        <v>-121256</v>
      </c>
      <c r="AF8596">
        <v>0</v>
      </c>
      <c r="AJ8596">
        <v>0</v>
      </c>
      <c r="AK8596">
        <v>0</v>
      </c>
      <c r="AL8596">
        <v>0</v>
      </c>
      <c r="AM8596" s="1">
        <v>2636</v>
      </c>
      <c r="AN8596" s="1">
        <v>2636</v>
      </c>
      <c r="AO8596" s="1">
        <v>2636</v>
      </c>
      <c r="AP8596" s="2">
        <v>42746</v>
      </c>
      <c r="AQ8596" t="s">
        <v>72</v>
      </c>
      <c r="AR8596" t="s">
        <v>72</v>
      </c>
      <c r="AS8596">
        <v>1370</v>
      </c>
      <c r="AT8596" s="4">
        <v>42516</v>
      </c>
      <c r="AV8596">
        <v>1370</v>
      </c>
      <c r="AW8596" s="4">
        <v>42516</v>
      </c>
      <c r="BD8596">
        <v>0</v>
      </c>
      <c r="BN8596" t="s">
        <v>74</v>
      </c>
    </row>
    <row r="8597" spans="1:66" hidden="1">
      <c r="A8597">
        <v>106348</v>
      </c>
      <c r="B8597" s="3" t="s">
        <v>745</v>
      </c>
      <c r="C8597" s="1">
        <v>43500101</v>
      </c>
      <c r="D8597" t="s">
        <v>113</v>
      </c>
      <c r="H8597" t="str">
        <f t="shared" si="886"/>
        <v>BTAPRI81H69I197T</v>
      </c>
      <c r="I8597" t="str">
        <f t="shared" si="887"/>
        <v>01568130627</v>
      </c>
      <c r="K8597" t="str">
        <f>""</f>
        <v/>
      </c>
      <c r="M8597" t="s">
        <v>68</v>
      </c>
      <c r="N8597" t="str">
        <f t="shared" si="885"/>
        <v>ALTPRO</v>
      </c>
      <c r="O8597" t="s">
        <v>132</v>
      </c>
      <c r="P8597" s="3" t="s">
        <v>75</v>
      </c>
      <c r="Q8597">
        <v>2016</v>
      </c>
      <c r="R8597" s="2">
        <v>42528</v>
      </c>
      <c r="S8597" s="2">
        <v>42528</v>
      </c>
      <c r="T8597" s="2">
        <v>42528</v>
      </c>
      <c r="U8597" s="2">
        <v>42588</v>
      </c>
      <c r="V8597" t="s">
        <v>71</v>
      </c>
      <c r="W8597" t="str">
        <f>"         FATTPA 6_16"</f>
        <v xml:space="preserve">         FATTPA 6_16</v>
      </c>
      <c r="X8597" s="1">
        <v>2741.36</v>
      </c>
      <c r="Y8597">
        <v>0</v>
      </c>
      <c r="Z8597"/>
      <c r="AB8597"/>
      <c r="AC8597" s="1">
        <v>2741.36</v>
      </c>
      <c r="AD8597">
        <v>-36</v>
      </c>
      <c r="AE8597" s="1">
        <v>-98688.960000000006</v>
      </c>
      <c r="AF8597">
        <v>0</v>
      </c>
      <c r="AJ8597">
        <v>0</v>
      </c>
      <c r="AK8597">
        <v>0</v>
      </c>
      <c r="AL8597">
        <v>0</v>
      </c>
      <c r="AM8597" s="1">
        <v>2741.36</v>
      </c>
      <c r="AN8597" s="1">
        <v>2741.36</v>
      </c>
      <c r="AO8597" s="1">
        <v>2741.36</v>
      </c>
      <c r="AP8597" s="2">
        <v>42746</v>
      </c>
      <c r="AQ8597" t="s">
        <v>72</v>
      </c>
      <c r="AR8597" t="s">
        <v>72</v>
      </c>
      <c r="AS8597">
        <v>1643</v>
      </c>
      <c r="AT8597" s="4">
        <v>42552</v>
      </c>
      <c r="AV8597">
        <v>1643</v>
      </c>
      <c r="AW8597" s="4">
        <v>42552</v>
      </c>
      <c r="BD8597">
        <v>0</v>
      </c>
      <c r="BN8597" t="s">
        <v>74</v>
      </c>
    </row>
    <row r="8598" spans="1:66" hidden="1">
      <c r="A8598">
        <v>106348</v>
      </c>
      <c r="B8598" s="3" t="s">
        <v>745</v>
      </c>
      <c r="C8598" s="1">
        <v>43500101</v>
      </c>
      <c r="D8598" t="s">
        <v>113</v>
      </c>
      <c r="H8598" t="str">
        <f t="shared" si="886"/>
        <v>BTAPRI81H69I197T</v>
      </c>
      <c r="I8598" t="str">
        <f t="shared" si="887"/>
        <v>01568130627</v>
      </c>
      <c r="K8598" t="str">
        <f>""</f>
        <v/>
      </c>
      <c r="M8598" t="s">
        <v>68</v>
      </c>
      <c r="N8598" t="str">
        <f t="shared" si="885"/>
        <v>ALTPRO</v>
      </c>
      <c r="O8598" t="s">
        <v>132</v>
      </c>
      <c r="P8598" s="3" t="s">
        <v>75</v>
      </c>
      <c r="Q8598">
        <v>2016</v>
      </c>
      <c r="R8598" s="2">
        <v>42562</v>
      </c>
      <c r="S8598" s="2">
        <v>42563</v>
      </c>
      <c r="T8598" s="2">
        <v>42562</v>
      </c>
      <c r="U8598" s="2">
        <v>42622</v>
      </c>
      <c r="V8598" t="s">
        <v>71</v>
      </c>
      <c r="W8598" t="str">
        <f>"         FATTPA 7_16"</f>
        <v xml:space="preserve">         FATTPA 7_16</v>
      </c>
      <c r="X8598" s="1">
        <v>2636</v>
      </c>
      <c r="Y8598">
        <v>0</v>
      </c>
      <c r="Z8598"/>
      <c r="AB8598"/>
      <c r="AC8598" s="1">
        <v>2636</v>
      </c>
      <c r="AD8598">
        <v>-56</v>
      </c>
      <c r="AE8598" s="1">
        <v>-147616</v>
      </c>
      <c r="AF8598">
        <v>0</v>
      </c>
      <c r="AJ8598">
        <v>0</v>
      </c>
      <c r="AK8598">
        <v>0</v>
      </c>
      <c r="AL8598">
        <v>0</v>
      </c>
      <c r="AM8598" s="1">
        <v>2636</v>
      </c>
      <c r="AN8598" s="1">
        <v>2636</v>
      </c>
      <c r="AO8598" s="1">
        <v>2636</v>
      </c>
      <c r="AP8598" s="2">
        <v>42746</v>
      </c>
      <c r="AQ8598" t="s">
        <v>72</v>
      </c>
      <c r="AR8598" t="s">
        <v>72</v>
      </c>
      <c r="AS8598">
        <v>1800</v>
      </c>
      <c r="AT8598" s="4">
        <v>42566</v>
      </c>
      <c r="AV8598">
        <v>1800</v>
      </c>
      <c r="AW8598" s="4">
        <v>42566</v>
      </c>
      <c r="BD8598">
        <v>0</v>
      </c>
      <c r="BN8598" t="s">
        <v>74</v>
      </c>
    </row>
    <row r="8599" spans="1:66" hidden="1">
      <c r="A8599">
        <v>106348</v>
      </c>
      <c r="B8599" s="3" t="s">
        <v>745</v>
      </c>
      <c r="C8599" s="1">
        <v>43500101</v>
      </c>
      <c r="D8599" t="s">
        <v>113</v>
      </c>
      <c r="H8599" t="str">
        <f t="shared" si="886"/>
        <v>BTAPRI81H69I197T</v>
      </c>
      <c r="I8599" t="str">
        <f t="shared" si="887"/>
        <v>01568130627</v>
      </c>
      <c r="K8599" t="str">
        <f>""</f>
        <v/>
      </c>
      <c r="M8599" t="s">
        <v>68</v>
      </c>
      <c r="N8599" t="str">
        <f t="shared" si="885"/>
        <v>ALTPRO</v>
      </c>
      <c r="O8599" t="s">
        <v>132</v>
      </c>
      <c r="P8599" s="3" t="s">
        <v>75</v>
      </c>
      <c r="Q8599">
        <v>2016</v>
      </c>
      <c r="R8599" s="2">
        <v>42606</v>
      </c>
      <c r="S8599" s="2">
        <v>42612</v>
      </c>
      <c r="T8599" s="2">
        <v>42606</v>
      </c>
      <c r="U8599" s="2">
        <v>42666</v>
      </c>
      <c r="V8599" t="s">
        <v>71</v>
      </c>
      <c r="W8599" t="str">
        <f>"         FATTPA 8_16"</f>
        <v xml:space="preserve">         FATTPA 8_16</v>
      </c>
      <c r="X8599" s="1">
        <v>2741.36</v>
      </c>
      <c r="Y8599">
        <v>0</v>
      </c>
      <c r="Z8599"/>
      <c r="AB8599"/>
      <c r="AC8599" s="1">
        <v>2741.36</v>
      </c>
      <c r="AD8599">
        <v>-48</v>
      </c>
      <c r="AE8599" s="1">
        <v>-131585.28</v>
      </c>
      <c r="AF8599">
        <v>0</v>
      </c>
      <c r="AJ8599">
        <v>0</v>
      </c>
      <c r="AK8599">
        <v>0</v>
      </c>
      <c r="AL8599">
        <v>0</v>
      </c>
      <c r="AM8599" s="1">
        <v>2741.36</v>
      </c>
      <c r="AN8599" s="1">
        <v>2741.36</v>
      </c>
      <c r="AO8599" s="1">
        <v>2741.36</v>
      </c>
      <c r="AP8599" s="2">
        <v>42746</v>
      </c>
      <c r="AQ8599" t="s">
        <v>72</v>
      </c>
      <c r="AR8599" t="s">
        <v>72</v>
      </c>
      <c r="AS8599">
        <v>2234</v>
      </c>
      <c r="AT8599" s="4">
        <v>42618</v>
      </c>
      <c r="AV8599">
        <v>2234</v>
      </c>
      <c r="AW8599" s="4">
        <v>42618</v>
      </c>
      <c r="BD8599">
        <v>0</v>
      </c>
      <c r="BN8599" t="s">
        <v>74</v>
      </c>
    </row>
    <row r="8600" spans="1:66" hidden="1">
      <c r="A8600">
        <v>106353</v>
      </c>
      <c r="B8600" s="3" t="s">
        <v>746</v>
      </c>
      <c r="C8600" s="1">
        <v>43500101</v>
      </c>
      <c r="D8600" t="s">
        <v>113</v>
      </c>
      <c r="H8600" t="str">
        <f>"95141450635"</f>
        <v>95141450635</v>
      </c>
      <c r="I8600" t="str">
        <f>""</f>
        <v/>
      </c>
      <c r="K8600" t="str">
        <f>""</f>
        <v/>
      </c>
      <c r="M8600" t="s">
        <v>68</v>
      </c>
      <c r="N8600" t="str">
        <f>"ALT"</f>
        <v>ALT</v>
      </c>
      <c r="O8600" t="s">
        <v>114</v>
      </c>
      <c r="P8600" s="3" t="s">
        <v>747</v>
      </c>
      <c r="Q8600">
        <v>2016</v>
      </c>
      <c r="R8600" s="2">
        <v>42412</v>
      </c>
      <c r="S8600" s="2">
        <v>42412</v>
      </c>
      <c r="T8600" s="2">
        <v>42412</v>
      </c>
      <c r="U8600" s="2">
        <v>42472</v>
      </c>
      <c r="V8600" t="s">
        <v>71</v>
      </c>
      <c r="W8600" t="str">
        <f>"                  13"</f>
        <v xml:space="preserve">                  13</v>
      </c>
      <c r="X8600">
        <v>0</v>
      </c>
      <c r="Y8600" s="1">
        <v>7137.93</v>
      </c>
      <c r="Z8600"/>
      <c r="AB8600"/>
      <c r="AC8600" s="1">
        <v>7137.93</v>
      </c>
      <c r="AD8600">
        <v>-39</v>
      </c>
      <c r="AE8600" s="1">
        <v>-278379.27</v>
      </c>
      <c r="AF8600">
        <v>0</v>
      </c>
      <c r="AJ8600">
        <v>0</v>
      </c>
      <c r="AK8600">
        <v>0</v>
      </c>
      <c r="AL8600">
        <v>0</v>
      </c>
      <c r="AM8600">
        <v>0</v>
      </c>
      <c r="AN8600" s="1">
        <v>7137.93</v>
      </c>
      <c r="AO8600" s="1">
        <v>7137.93</v>
      </c>
      <c r="AP8600" s="2">
        <v>42746</v>
      </c>
      <c r="AQ8600" t="s">
        <v>72</v>
      </c>
      <c r="AR8600" t="s">
        <v>72</v>
      </c>
      <c r="AS8600">
        <v>660</v>
      </c>
      <c r="AT8600" s="4">
        <v>42433</v>
      </c>
      <c r="AV8600">
        <v>660</v>
      </c>
      <c r="AW8600" s="4">
        <v>42433</v>
      </c>
      <c r="BD8600">
        <v>0</v>
      </c>
      <c r="BN8600" t="s">
        <v>74</v>
      </c>
    </row>
    <row r="8601" spans="1:66" hidden="1">
      <c r="A8601">
        <v>106353</v>
      </c>
      <c r="B8601" s="3" t="s">
        <v>746</v>
      </c>
      <c r="C8601" s="1">
        <v>43500101</v>
      </c>
      <c r="D8601" t="s">
        <v>113</v>
      </c>
      <c r="H8601" t="str">
        <f>"95141450635"</f>
        <v>95141450635</v>
      </c>
      <c r="I8601" t="str">
        <f>""</f>
        <v/>
      </c>
      <c r="K8601" t="str">
        <f>""</f>
        <v/>
      </c>
      <c r="M8601" t="s">
        <v>68</v>
      </c>
      <c r="N8601" t="str">
        <f>"ALT"</f>
        <v>ALT</v>
      </c>
      <c r="O8601" t="s">
        <v>114</v>
      </c>
      <c r="P8601" s="3" t="s">
        <v>747</v>
      </c>
      <c r="Q8601">
        <v>2016</v>
      </c>
      <c r="R8601" s="2">
        <v>42412</v>
      </c>
      <c r="S8601" s="2">
        <v>42412</v>
      </c>
      <c r="T8601" s="2">
        <v>42412</v>
      </c>
      <c r="U8601" s="2">
        <v>42472</v>
      </c>
      <c r="V8601" t="s">
        <v>71</v>
      </c>
      <c r="W8601" t="str">
        <f>"                  14"</f>
        <v xml:space="preserve">                  14</v>
      </c>
      <c r="X8601">
        <v>0</v>
      </c>
      <c r="Y8601" s="1">
        <v>7884.44</v>
      </c>
      <c r="Z8601"/>
      <c r="AB8601"/>
      <c r="AC8601" s="1">
        <v>7884.44</v>
      </c>
      <c r="AD8601">
        <v>-39</v>
      </c>
      <c r="AE8601" s="1">
        <v>-307493.15999999997</v>
      </c>
      <c r="AF8601">
        <v>0</v>
      </c>
      <c r="AJ8601">
        <v>0</v>
      </c>
      <c r="AK8601">
        <v>0</v>
      </c>
      <c r="AL8601">
        <v>0</v>
      </c>
      <c r="AM8601">
        <v>0</v>
      </c>
      <c r="AN8601" s="1">
        <v>7884.44</v>
      </c>
      <c r="AO8601" s="1">
        <v>7884.44</v>
      </c>
      <c r="AP8601" s="2">
        <v>42746</v>
      </c>
      <c r="AQ8601" t="s">
        <v>72</v>
      </c>
      <c r="AR8601" t="s">
        <v>72</v>
      </c>
      <c r="AS8601">
        <v>660</v>
      </c>
      <c r="AT8601" s="4">
        <v>42433</v>
      </c>
      <c r="AV8601">
        <v>660</v>
      </c>
      <c r="AW8601" s="4">
        <v>42433</v>
      </c>
      <c r="BD8601">
        <v>0</v>
      </c>
      <c r="BN8601" t="s">
        <v>74</v>
      </c>
    </row>
    <row r="8602" spans="1:66" hidden="1">
      <c r="A8602">
        <v>106360</v>
      </c>
      <c r="B8602" s="3" t="s">
        <v>748</v>
      </c>
      <c r="C8602" s="1">
        <v>43300101</v>
      </c>
      <c r="D8602" t="s">
        <v>67</v>
      </c>
      <c r="H8602" t="str">
        <f>"01802940484"</f>
        <v>01802940484</v>
      </c>
      <c r="I8602" t="str">
        <f>"01802940484"</f>
        <v>01802940484</v>
      </c>
      <c r="K8602" t="str">
        <f>""</f>
        <v/>
      </c>
      <c r="M8602" t="s">
        <v>68</v>
      </c>
      <c r="N8602" t="str">
        <f t="shared" ref="N8602:N8609" si="888">"FOR"</f>
        <v>FOR</v>
      </c>
      <c r="O8602" t="s">
        <v>69</v>
      </c>
      <c r="P8602" s="3" t="s">
        <v>75</v>
      </c>
      <c r="Q8602">
        <v>2015</v>
      </c>
      <c r="R8602" s="2">
        <v>42347</v>
      </c>
      <c r="S8602" s="2">
        <v>42352</v>
      </c>
      <c r="T8602" s="2">
        <v>42348</v>
      </c>
      <c r="U8602" s="2">
        <v>42408</v>
      </c>
      <c r="V8602" t="s">
        <v>71</v>
      </c>
      <c r="W8602" t="str">
        <f>"          2115031306"</f>
        <v xml:space="preserve">          2115031306</v>
      </c>
      <c r="X8602">
        <v>154.33000000000001</v>
      </c>
      <c r="Y8602">
        <v>0</v>
      </c>
      <c r="Z8602"/>
      <c r="AB8602"/>
      <c r="AC8602">
        <v>126.5</v>
      </c>
      <c r="AD8602">
        <v>-5</v>
      </c>
      <c r="AE8602">
        <v>-632.5</v>
      </c>
      <c r="AF8602">
        <v>27.83</v>
      </c>
      <c r="AJ8602">
        <v>0</v>
      </c>
      <c r="AK8602">
        <v>0</v>
      </c>
      <c r="AL8602">
        <v>0</v>
      </c>
      <c r="AM8602">
        <v>0</v>
      </c>
      <c r="AN8602">
        <v>0</v>
      </c>
      <c r="AO8602">
        <v>0</v>
      </c>
      <c r="AP8602" s="2">
        <v>42746</v>
      </c>
      <c r="AQ8602" t="s">
        <v>72</v>
      </c>
      <c r="AR8602" t="s">
        <v>72</v>
      </c>
      <c r="AS8602">
        <v>213</v>
      </c>
      <c r="AT8602" s="4">
        <v>42403</v>
      </c>
      <c r="AV8602">
        <v>213</v>
      </c>
      <c r="AW8602" s="4">
        <v>42403</v>
      </c>
      <c r="BD8602">
        <v>27.83</v>
      </c>
      <c r="BN8602" t="s">
        <v>74</v>
      </c>
    </row>
    <row r="8603" spans="1:66" hidden="1">
      <c r="A8603">
        <v>106362</v>
      </c>
      <c r="B8603" s="3" t="s">
        <v>749</v>
      </c>
      <c r="C8603" s="1">
        <v>43300101</v>
      </c>
      <c r="D8603" t="s">
        <v>67</v>
      </c>
      <c r="H8603" t="str">
        <f>"03831290287"</f>
        <v>03831290287</v>
      </c>
      <c r="I8603" t="str">
        <f>"03831290287"</f>
        <v>03831290287</v>
      </c>
      <c r="K8603" t="str">
        <f>""</f>
        <v/>
      </c>
      <c r="M8603" t="s">
        <v>68</v>
      </c>
      <c r="N8603" t="str">
        <f t="shared" si="888"/>
        <v>FOR</v>
      </c>
      <c r="O8603" t="s">
        <v>69</v>
      </c>
      <c r="P8603" s="3" t="s">
        <v>75</v>
      </c>
      <c r="Q8603">
        <v>2015</v>
      </c>
      <c r="R8603" s="2">
        <v>42216</v>
      </c>
      <c r="S8603" s="2">
        <v>42230</v>
      </c>
      <c r="T8603" s="2">
        <v>42226</v>
      </c>
      <c r="U8603" s="2">
        <v>42286</v>
      </c>
      <c r="V8603" t="s">
        <v>71</v>
      </c>
      <c r="W8603" t="str">
        <f>"          VS-15/0158"</f>
        <v xml:space="preserve">          VS-15/0158</v>
      </c>
      <c r="X8603" s="1">
        <v>55344.29</v>
      </c>
      <c r="Y8603">
        <v>0</v>
      </c>
      <c r="Z8603"/>
      <c r="AB8603"/>
      <c r="AC8603" s="1">
        <v>45364.17</v>
      </c>
      <c r="AD8603">
        <v>201</v>
      </c>
      <c r="AE8603" s="1">
        <v>9118198.1699999999</v>
      </c>
      <c r="AF8603">
        <v>0</v>
      </c>
      <c r="AJ8603">
        <v>0</v>
      </c>
      <c r="AK8603">
        <v>0</v>
      </c>
      <c r="AL8603">
        <v>0</v>
      </c>
      <c r="AM8603">
        <v>0</v>
      </c>
      <c r="AN8603">
        <v>0</v>
      </c>
      <c r="AO8603">
        <v>0</v>
      </c>
      <c r="AP8603" s="2">
        <v>42746</v>
      </c>
      <c r="AQ8603" t="s">
        <v>72</v>
      </c>
      <c r="AR8603" t="s">
        <v>72</v>
      </c>
      <c r="AS8603">
        <v>1178</v>
      </c>
      <c r="AT8603" s="4">
        <v>42487</v>
      </c>
      <c r="AU8603" t="s">
        <v>73</v>
      </c>
      <c r="AV8603">
        <v>1178</v>
      </c>
      <c r="AW8603" s="4">
        <v>42487</v>
      </c>
      <c r="BD8603">
        <v>0</v>
      </c>
      <c r="BN8603" t="s">
        <v>74</v>
      </c>
    </row>
    <row r="8604" spans="1:66">
      <c r="A8604">
        <v>106363</v>
      </c>
      <c r="B8604" s="3" t="s">
        <v>750</v>
      </c>
      <c r="C8604" s="1">
        <v>43300101</v>
      </c>
      <c r="D8604" t="s">
        <v>67</v>
      </c>
      <c r="H8604" t="str">
        <f t="shared" ref="H8604:I8609" si="889">"04874870878"</f>
        <v>04874870878</v>
      </c>
      <c r="I8604" t="str">
        <f t="shared" si="889"/>
        <v>04874870878</v>
      </c>
      <c r="K8604" t="str">
        <f>""</f>
        <v/>
      </c>
      <c r="M8604" t="s">
        <v>68</v>
      </c>
      <c r="N8604" t="str">
        <f t="shared" si="888"/>
        <v>FOR</v>
      </c>
      <c r="O8604" t="s">
        <v>69</v>
      </c>
      <c r="P8604" s="3" t="s">
        <v>70</v>
      </c>
      <c r="Q8604">
        <v>2015</v>
      </c>
      <c r="R8604" s="2">
        <v>42122</v>
      </c>
      <c r="S8604" s="2">
        <v>42619</v>
      </c>
      <c r="T8604" s="2">
        <v>42619</v>
      </c>
      <c r="U8604" s="2">
        <v>42679</v>
      </c>
      <c r="V8604" t="s">
        <v>71</v>
      </c>
      <c r="W8604" t="str">
        <f>"         C8-15000037"</f>
        <v xml:space="preserve">         C8-15000037</v>
      </c>
      <c r="X8604">
        <v>242.78</v>
      </c>
      <c r="Y8604">
        <v>0</v>
      </c>
      <c r="Z8604" s="3">
        <v>199</v>
      </c>
      <c r="AA8604">
        <v>3</v>
      </c>
      <c r="AB8604" s="3">
        <v>597</v>
      </c>
      <c r="AC8604">
        <v>199</v>
      </c>
      <c r="AD8604">
        <v>3</v>
      </c>
      <c r="AE8604">
        <v>597</v>
      </c>
      <c r="AF8604">
        <v>0</v>
      </c>
      <c r="AJ8604">
        <v>0</v>
      </c>
      <c r="AK8604">
        <v>0</v>
      </c>
      <c r="AL8604">
        <v>0</v>
      </c>
      <c r="AM8604">
        <v>0</v>
      </c>
      <c r="AN8604">
        <v>242.78</v>
      </c>
      <c r="AO8604">
        <v>0</v>
      </c>
      <c r="AP8604" s="2">
        <v>42746</v>
      </c>
      <c r="AQ8604" t="s">
        <v>72</v>
      </c>
      <c r="AR8604" t="s">
        <v>72</v>
      </c>
      <c r="AS8604">
        <v>2949</v>
      </c>
      <c r="AT8604" s="4">
        <v>42682</v>
      </c>
      <c r="AU8604" t="s">
        <v>73</v>
      </c>
      <c r="AV8604">
        <v>2949</v>
      </c>
      <c r="AW8604" s="4">
        <v>42682</v>
      </c>
      <c r="BD8604">
        <v>0</v>
      </c>
      <c r="BN8604" t="s">
        <v>74</v>
      </c>
    </row>
    <row r="8605" spans="1:66" hidden="1">
      <c r="A8605">
        <v>106363</v>
      </c>
      <c r="B8605" s="3" t="s">
        <v>750</v>
      </c>
      <c r="C8605" s="1">
        <v>43300101</v>
      </c>
      <c r="D8605" t="s">
        <v>67</v>
      </c>
      <c r="H8605" t="str">
        <f t="shared" si="889"/>
        <v>04874870878</v>
      </c>
      <c r="I8605" t="str">
        <f t="shared" si="889"/>
        <v>04874870878</v>
      </c>
      <c r="K8605" t="str">
        <f>""</f>
        <v/>
      </c>
      <c r="M8605" t="s">
        <v>68</v>
      </c>
      <c r="N8605" t="str">
        <f t="shared" si="888"/>
        <v>FOR</v>
      </c>
      <c r="O8605" t="s">
        <v>69</v>
      </c>
      <c r="P8605" s="3" t="s">
        <v>75</v>
      </c>
      <c r="Q8605">
        <v>2015</v>
      </c>
      <c r="R8605" s="2">
        <v>42153</v>
      </c>
      <c r="S8605" s="2">
        <v>42178</v>
      </c>
      <c r="T8605" s="2">
        <v>42178</v>
      </c>
      <c r="U8605" s="2">
        <v>42238</v>
      </c>
      <c r="V8605" t="s">
        <v>71</v>
      </c>
      <c r="W8605" t="str">
        <f>"         C8-15000218"</f>
        <v xml:space="preserve">         C8-15000218</v>
      </c>
      <c r="X8605">
        <v>485.56</v>
      </c>
      <c r="Y8605">
        <v>0</v>
      </c>
      <c r="Z8605"/>
      <c r="AB8605"/>
      <c r="AC8605">
        <v>398</v>
      </c>
      <c r="AD8605">
        <v>214</v>
      </c>
      <c r="AE8605" s="1">
        <v>85172</v>
      </c>
      <c r="AF8605">
        <v>0</v>
      </c>
      <c r="AJ8605">
        <v>0</v>
      </c>
      <c r="AK8605">
        <v>0</v>
      </c>
      <c r="AL8605">
        <v>0</v>
      </c>
      <c r="AM8605">
        <v>0</v>
      </c>
      <c r="AN8605">
        <v>0</v>
      </c>
      <c r="AO8605">
        <v>0</v>
      </c>
      <c r="AP8605" s="2">
        <v>42746</v>
      </c>
      <c r="AQ8605" t="s">
        <v>72</v>
      </c>
      <c r="AR8605" t="s">
        <v>72</v>
      </c>
      <c r="AS8605">
        <v>822</v>
      </c>
      <c r="AT8605" s="4">
        <v>42452</v>
      </c>
      <c r="AU8605" t="s">
        <v>73</v>
      </c>
      <c r="AV8605">
        <v>822</v>
      </c>
      <c r="AW8605" s="4">
        <v>42452</v>
      </c>
      <c r="BD8605">
        <v>0</v>
      </c>
      <c r="BN8605" t="s">
        <v>74</v>
      </c>
    </row>
    <row r="8606" spans="1:66" hidden="1">
      <c r="A8606">
        <v>106363</v>
      </c>
      <c r="B8606" s="3" t="s">
        <v>750</v>
      </c>
      <c r="C8606" s="1">
        <v>43300101</v>
      </c>
      <c r="D8606" t="s">
        <v>67</v>
      </c>
      <c r="H8606" t="str">
        <f t="shared" si="889"/>
        <v>04874870878</v>
      </c>
      <c r="I8606" t="str">
        <f t="shared" si="889"/>
        <v>04874870878</v>
      </c>
      <c r="K8606" t="str">
        <f>""</f>
        <v/>
      </c>
      <c r="M8606" t="s">
        <v>68</v>
      </c>
      <c r="N8606" t="str">
        <f t="shared" si="888"/>
        <v>FOR</v>
      </c>
      <c r="O8606" t="s">
        <v>69</v>
      </c>
      <c r="P8606" s="3" t="s">
        <v>75</v>
      </c>
      <c r="Q8606">
        <v>2015</v>
      </c>
      <c r="R8606" s="2">
        <v>42199</v>
      </c>
      <c r="S8606" s="2">
        <v>42202</v>
      </c>
      <c r="T8606" s="2">
        <v>42199</v>
      </c>
      <c r="U8606" s="2">
        <v>42259</v>
      </c>
      <c r="V8606" t="s">
        <v>71</v>
      </c>
      <c r="W8606" t="str">
        <f>"         C8-15000588"</f>
        <v xml:space="preserve">         C8-15000588</v>
      </c>
      <c r="X8606">
        <v>364.17</v>
      </c>
      <c r="Y8606">
        <v>0</v>
      </c>
      <c r="Z8606"/>
      <c r="AB8606"/>
      <c r="AC8606">
        <v>298.5</v>
      </c>
      <c r="AD8606">
        <v>310</v>
      </c>
      <c r="AE8606" s="1">
        <v>92535</v>
      </c>
      <c r="AF8606">
        <v>0</v>
      </c>
      <c r="AJ8606">
        <v>0</v>
      </c>
      <c r="AK8606">
        <v>0</v>
      </c>
      <c r="AL8606">
        <v>0</v>
      </c>
      <c r="AM8606">
        <v>0</v>
      </c>
      <c r="AN8606">
        <v>0</v>
      </c>
      <c r="AO8606">
        <v>0</v>
      </c>
      <c r="AP8606" s="2">
        <v>42746</v>
      </c>
      <c r="AQ8606" t="s">
        <v>72</v>
      </c>
      <c r="AR8606" t="s">
        <v>72</v>
      </c>
      <c r="AS8606">
        <v>1876</v>
      </c>
      <c r="AT8606" s="4">
        <v>42569</v>
      </c>
      <c r="AU8606" t="s">
        <v>73</v>
      </c>
      <c r="AV8606">
        <v>1876</v>
      </c>
      <c r="AW8606" s="4">
        <v>42569</v>
      </c>
      <c r="BD8606">
        <v>0</v>
      </c>
      <c r="BN8606" t="s">
        <v>74</v>
      </c>
    </row>
    <row r="8607" spans="1:66" hidden="1">
      <c r="A8607">
        <v>106363</v>
      </c>
      <c r="B8607" s="3" t="s">
        <v>750</v>
      </c>
      <c r="C8607" s="1">
        <v>43300101</v>
      </c>
      <c r="D8607" t="s">
        <v>67</v>
      </c>
      <c r="H8607" t="str">
        <f t="shared" si="889"/>
        <v>04874870878</v>
      </c>
      <c r="I8607" t="str">
        <f t="shared" si="889"/>
        <v>04874870878</v>
      </c>
      <c r="K8607" t="str">
        <f>""</f>
        <v/>
      </c>
      <c r="M8607" t="s">
        <v>68</v>
      </c>
      <c r="N8607" t="str">
        <f t="shared" si="888"/>
        <v>FOR</v>
      </c>
      <c r="O8607" t="s">
        <v>69</v>
      </c>
      <c r="P8607" s="3" t="s">
        <v>75</v>
      </c>
      <c r="Q8607">
        <v>2016</v>
      </c>
      <c r="R8607" s="2">
        <v>42394</v>
      </c>
      <c r="S8607" s="2">
        <v>42396</v>
      </c>
      <c r="T8607" s="2">
        <v>42395</v>
      </c>
      <c r="U8607" s="2">
        <v>42455</v>
      </c>
      <c r="V8607" t="s">
        <v>71</v>
      </c>
      <c r="W8607" t="str">
        <f>"         C8-16000042"</f>
        <v xml:space="preserve">         C8-16000042</v>
      </c>
      <c r="X8607">
        <v>364.17</v>
      </c>
      <c r="Y8607">
        <v>0</v>
      </c>
      <c r="Z8607"/>
      <c r="AB8607"/>
      <c r="AC8607">
        <v>298.5</v>
      </c>
      <c r="AD8607">
        <v>114</v>
      </c>
      <c r="AE8607" s="1">
        <v>34029</v>
      </c>
      <c r="AF8607">
        <v>0</v>
      </c>
      <c r="AJ8607">
        <v>0</v>
      </c>
      <c r="AK8607">
        <v>0</v>
      </c>
      <c r="AL8607">
        <v>0</v>
      </c>
      <c r="AM8607">
        <v>364.17</v>
      </c>
      <c r="AN8607">
        <v>364.17</v>
      </c>
      <c r="AO8607">
        <v>364.17</v>
      </c>
      <c r="AP8607" s="2">
        <v>42746</v>
      </c>
      <c r="AQ8607" t="s">
        <v>72</v>
      </c>
      <c r="AR8607" t="s">
        <v>72</v>
      </c>
      <c r="AS8607">
        <v>1876</v>
      </c>
      <c r="AT8607" s="4">
        <v>42569</v>
      </c>
      <c r="AU8607" t="s">
        <v>73</v>
      </c>
      <c r="AV8607">
        <v>1876</v>
      </c>
      <c r="AW8607" s="4">
        <v>42569</v>
      </c>
      <c r="BD8607">
        <v>0</v>
      </c>
      <c r="BN8607" t="s">
        <v>74</v>
      </c>
    </row>
    <row r="8608" spans="1:66">
      <c r="A8608">
        <v>106363</v>
      </c>
      <c r="B8608" s="3" t="s">
        <v>750</v>
      </c>
      <c r="C8608" s="1">
        <v>43300101</v>
      </c>
      <c r="D8608" t="s">
        <v>67</v>
      </c>
      <c r="H8608" t="str">
        <f t="shared" si="889"/>
        <v>04874870878</v>
      </c>
      <c r="I8608" t="str">
        <f t="shared" si="889"/>
        <v>04874870878</v>
      </c>
      <c r="K8608" t="str">
        <f>""</f>
        <v/>
      </c>
      <c r="M8608" t="s">
        <v>68</v>
      </c>
      <c r="N8608" t="str">
        <f t="shared" si="888"/>
        <v>FOR</v>
      </c>
      <c r="O8608" t="s">
        <v>69</v>
      </c>
      <c r="P8608" s="3" t="s">
        <v>75</v>
      </c>
      <c r="Q8608">
        <v>2016</v>
      </c>
      <c r="R8608" s="2">
        <v>42548</v>
      </c>
      <c r="S8608" s="2">
        <v>42550</v>
      </c>
      <c r="T8608" s="2">
        <v>42549</v>
      </c>
      <c r="U8608" s="2">
        <v>42609</v>
      </c>
      <c r="V8608" t="s">
        <v>71</v>
      </c>
      <c r="W8608" t="str">
        <f>"         C8-16001250"</f>
        <v xml:space="preserve">         C8-16001250</v>
      </c>
      <c r="X8608">
        <v>242.78</v>
      </c>
      <c r="Y8608">
        <v>0</v>
      </c>
      <c r="Z8608" s="3">
        <v>199</v>
      </c>
      <c r="AA8608">
        <v>73</v>
      </c>
      <c r="AB8608" s="5">
        <v>14527</v>
      </c>
      <c r="AC8608">
        <v>199</v>
      </c>
      <c r="AD8608">
        <v>73</v>
      </c>
      <c r="AE8608" s="1">
        <v>14527</v>
      </c>
      <c r="AF8608">
        <v>0</v>
      </c>
      <c r="AJ8608">
        <v>0</v>
      </c>
      <c r="AK8608">
        <v>0</v>
      </c>
      <c r="AL8608">
        <v>0</v>
      </c>
      <c r="AM8608">
        <v>242.78</v>
      </c>
      <c r="AN8608">
        <v>242.78</v>
      </c>
      <c r="AO8608">
        <v>242.78</v>
      </c>
      <c r="AP8608" s="2">
        <v>42746</v>
      </c>
      <c r="AQ8608" t="s">
        <v>72</v>
      </c>
      <c r="AR8608" t="s">
        <v>72</v>
      </c>
      <c r="AS8608">
        <v>2949</v>
      </c>
      <c r="AT8608" s="4">
        <v>42682</v>
      </c>
      <c r="AU8608" t="s">
        <v>73</v>
      </c>
      <c r="AV8608">
        <v>2949</v>
      </c>
      <c r="AW8608" s="4">
        <v>42682</v>
      </c>
      <c r="BD8608">
        <v>0</v>
      </c>
      <c r="BN8608" t="s">
        <v>74</v>
      </c>
    </row>
    <row r="8609" spans="1:66">
      <c r="A8609">
        <v>106363</v>
      </c>
      <c r="B8609" s="3" t="s">
        <v>750</v>
      </c>
      <c r="C8609" s="1">
        <v>43300101</v>
      </c>
      <c r="D8609" t="s">
        <v>67</v>
      </c>
      <c r="H8609" t="str">
        <f t="shared" si="889"/>
        <v>04874870878</v>
      </c>
      <c r="I8609" t="str">
        <f t="shared" si="889"/>
        <v>04874870878</v>
      </c>
      <c r="K8609" t="str">
        <f>""</f>
        <v/>
      </c>
      <c r="M8609" t="s">
        <v>68</v>
      </c>
      <c r="N8609" t="str">
        <f t="shared" si="888"/>
        <v>FOR</v>
      </c>
      <c r="O8609" t="s">
        <v>69</v>
      </c>
      <c r="P8609" s="3" t="s">
        <v>75</v>
      </c>
      <c r="Q8609">
        <v>2016</v>
      </c>
      <c r="R8609" s="2">
        <v>42681</v>
      </c>
      <c r="S8609" s="2">
        <v>42689</v>
      </c>
      <c r="T8609" s="2">
        <v>42681</v>
      </c>
      <c r="U8609" s="2">
        <v>42741</v>
      </c>
      <c r="V8609" t="s">
        <v>71</v>
      </c>
      <c r="W8609" t="str">
        <f>"         C8-16002117"</f>
        <v xml:space="preserve">         C8-16002117</v>
      </c>
      <c r="X8609">
        <v>242.78</v>
      </c>
      <c r="Y8609">
        <v>0</v>
      </c>
      <c r="Z8609" s="3">
        <v>199</v>
      </c>
      <c r="AA8609">
        <v>-18</v>
      </c>
      <c r="AB8609" s="5">
        <v>-3582</v>
      </c>
      <c r="AC8609">
        <v>199</v>
      </c>
      <c r="AD8609">
        <v>-18</v>
      </c>
      <c r="AE8609" s="1">
        <v>-3582</v>
      </c>
      <c r="AF8609">
        <v>43.78</v>
      </c>
      <c r="AJ8609">
        <v>242.78</v>
      </c>
      <c r="AK8609">
        <v>242.78</v>
      </c>
      <c r="AL8609">
        <v>242.78</v>
      </c>
      <c r="AM8609">
        <v>242.78</v>
      </c>
      <c r="AN8609">
        <v>242.78</v>
      </c>
      <c r="AO8609">
        <v>242.78</v>
      </c>
      <c r="AP8609" s="2">
        <v>42746</v>
      </c>
      <c r="AQ8609" t="s">
        <v>72</v>
      </c>
      <c r="AR8609" t="s">
        <v>72</v>
      </c>
      <c r="AS8609">
        <v>3574</v>
      </c>
      <c r="AT8609" s="4">
        <v>42723</v>
      </c>
      <c r="AV8609">
        <v>3574</v>
      </c>
      <c r="AW8609" s="4">
        <v>42723</v>
      </c>
      <c r="BD8609">
        <v>0</v>
      </c>
      <c r="BF8609">
        <v>43.78</v>
      </c>
      <c r="BN8609" t="s">
        <v>74</v>
      </c>
    </row>
    <row r="8610" spans="1:66" hidden="1">
      <c r="A8610">
        <v>106370</v>
      </c>
      <c r="B8610" s="3" t="s">
        <v>751</v>
      </c>
      <c r="C8610" s="1">
        <v>43500101</v>
      </c>
      <c r="D8610" t="s">
        <v>113</v>
      </c>
      <c r="H8610" t="str">
        <f t="shared" ref="H8610:I8621" si="890">"00885351007"</f>
        <v>00885351007</v>
      </c>
      <c r="I8610" t="str">
        <f t="shared" si="890"/>
        <v>00885351007</v>
      </c>
      <c r="K8610" t="str">
        <f>""</f>
        <v/>
      </c>
      <c r="M8610" t="s">
        <v>68</v>
      </c>
      <c r="N8610" t="str">
        <f t="shared" ref="N8610:N8621" si="891">"ALT"</f>
        <v>ALT</v>
      </c>
      <c r="O8610" t="s">
        <v>114</v>
      </c>
      <c r="P8610" s="3" t="s">
        <v>84</v>
      </c>
      <c r="Q8610">
        <v>2016</v>
      </c>
      <c r="R8610" s="2">
        <v>42389</v>
      </c>
      <c r="S8610" s="2">
        <v>42390</v>
      </c>
      <c r="T8610" s="2">
        <v>42390</v>
      </c>
      <c r="U8610" s="2">
        <v>42450</v>
      </c>
      <c r="V8610" t="s">
        <v>71</v>
      </c>
      <c r="W8610" t="str">
        <f>"                0120"</f>
        <v xml:space="preserve">                0120</v>
      </c>
      <c r="X8610">
        <v>0</v>
      </c>
      <c r="Y8610">
        <v>47.9</v>
      </c>
      <c r="Z8610"/>
      <c r="AB8610"/>
      <c r="AC8610">
        <v>47.9</v>
      </c>
      <c r="AD8610">
        <v>-60</v>
      </c>
      <c r="AE8610" s="1">
        <v>-2874</v>
      </c>
      <c r="AF8610">
        <v>0</v>
      </c>
      <c r="AJ8610">
        <v>0</v>
      </c>
      <c r="AK8610">
        <v>0</v>
      </c>
      <c r="AL8610">
        <v>0</v>
      </c>
      <c r="AM8610">
        <v>47.9</v>
      </c>
      <c r="AN8610">
        <v>47.9</v>
      </c>
      <c r="AO8610">
        <v>47.9</v>
      </c>
      <c r="AP8610" s="2">
        <v>42746</v>
      </c>
      <c r="AQ8610" t="s">
        <v>72</v>
      </c>
      <c r="AR8610" t="s">
        <v>72</v>
      </c>
      <c r="AS8610">
        <v>65</v>
      </c>
      <c r="AT8610" s="4">
        <v>42390</v>
      </c>
      <c r="AV8610">
        <v>65</v>
      </c>
      <c r="AW8610" s="4">
        <v>42390</v>
      </c>
      <c r="BD8610">
        <v>0</v>
      </c>
      <c r="BN8610" t="s">
        <v>74</v>
      </c>
    </row>
    <row r="8611" spans="1:66" hidden="1">
      <c r="A8611">
        <v>106370</v>
      </c>
      <c r="B8611" s="3" t="s">
        <v>751</v>
      </c>
      <c r="C8611" s="1">
        <v>43500101</v>
      </c>
      <c r="D8611" t="s">
        <v>113</v>
      </c>
      <c r="H8611" t="str">
        <f t="shared" si="890"/>
        <v>00885351007</v>
      </c>
      <c r="I8611" t="str">
        <f t="shared" si="890"/>
        <v>00885351007</v>
      </c>
      <c r="K8611" t="str">
        <f>""</f>
        <v/>
      </c>
      <c r="M8611" t="s">
        <v>68</v>
      </c>
      <c r="N8611" t="str">
        <f t="shared" si="891"/>
        <v>ALT</v>
      </c>
      <c r="O8611" t="s">
        <v>114</v>
      </c>
      <c r="P8611" s="3" t="s">
        <v>85</v>
      </c>
      <c r="Q8611">
        <v>2016</v>
      </c>
      <c r="R8611" s="2">
        <v>42422</v>
      </c>
      <c r="S8611" s="2">
        <v>42422</v>
      </c>
      <c r="T8611" s="2">
        <v>42422</v>
      </c>
      <c r="U8611" s="2">
        <v>42482</v>
      </c>
      <c r="V8611" t="s">
        <v>71</v>
      </c>
      <c r="W8611" t="str">
        <f>"                0222"</f>
        <v xml:space="preserve">                0222</v>
      </c>
      <c r="X8611">
        <v>0</v>
      </c>
      <c r="Y8611">
        <v>47.9</v>
      </c>
      <c r="Z8611"/>
      <c r="AB8611"/>
      <c r="AC8611">
        <v>47.9</v>
      </c>
      <c r="AD8611">
        <v>-58</v>
      </c>
      <c r="AE8611" s="1">
        <v>-2778.2</v>
      </c>
      <c r="AF8611">
        <v>0</v>
      </c>
      <c r="AJ8611">
        <v>0</v>
      </c>
      <c r="AK8611">
        <v>0</v>
      </c>
      <c r="AL8611">
        <v>0</v>
      </c>
      <c r="AM8611">
        <v>47.9</v>
      </c>
      <c r="AN8611">
        <v>47.9</v>
      </c>
      <c r="AO8611">
        <v>47.9</v>
      </c>
      <c r="AP8611" s="2">
        <v>42746</v>
      </c>
      <c r="AQ8611" t="s">
        <v>72</v>
      </c>
      <c r="AR8611" t="s">
        <v>72</v>
      </c>
      <c r="AS8611">
        <v>509</v>
      </c>
      <c r="AT8611" s="4">
        <v>42424</v>
      </c>
      <c r="AV8611">
        <v>509</v>
      </c>
      <c r="AW8611" s="4">
        <v>42424</v>
      </c>
      <c r="BD8611">
        <v>0</v>
      </c>
      <c r="BN8611" t="s">
        <v>74</v>
      </c>
    </row>
    <row r="8612" spans="1:66" hidden="1">
      <c r="A8612">
        <v>106370</v>
      </c>
      <c r="B8612" s="3" t="s">
        <v>751</v>
      </c>
      <c r="C8612" s="1">
        <v>43500101</v>
      </c>
      <c r="D8612" t="s">
        <v>113</v>
      </c>
      <c r="H8612" t="str">
        <f t="shared" si="890"/>
        <v>00885351007</v>
      </c>
      <c r="I8612" t="str">
        <f t="shared" si="890"/>
        <v>00885351007</v>
      </c>
      <c r="K8612" t="str">
        <f>""</f>
        <v/>
      </c>
      <c r="M8612" t="s">
        <v>68</v>
      </c>
      <c r="N8612" t="str">
        <f t="shared" si="891"/>
        <v>ALT</v>
      </c>
      <c r="O8612" t="s">
        <v>114</v>
      </c>
      <c r="P8612" s="3" t="s">
        <v>86</v>
      </c>
      <c r="Q8612">
        <v>2016</v>
      </c>
      <c r="R8612" s="2">
        <v>42450</v>
      </c>
      <c r="S8612" s="2">
        <v>42450</v>
      </c>
      <c r="T8612" s="2">
        <v>42450</v>
      </c>
      <c r="U8612" s="2">
        <v>42510</v>
      </c>
      <c r="V8612" t="s">
        <v>71</v>
      </c>
      <c r="W8612" t="str">
        <f>"                0321"</f>
        <v xml:space="preserve">                0321</v>
      </c>
      <c r="X8612">
        <v>0</v>
      </c>
      <c r="Y8612">
        <v>47.9</v>
      </c>
      <c r="Z8612"/>
      <c r="AB8612"/>
      <c r="AC8612">
        <v>47.9</v>
      </c>
      <c r="AD8612">
        <v>-57</v>
      </c>
      <c r="AE8612" s="1">
        <v>-2730.3</v>
      </c>
      <c r="AF8612">
        <v>0</v>
      </c>
      <c r="AJ8612">
        <v>0</v>
      </c>
      <c r="AK8612">
        <v>0</v>
      </c>
      <c r="AL8612">
        <v>0</v>
      </c>
      <c r="AM8612">
        <v>47.9</v>
      </c>
      <c r="AN8612">
        <v>47.9</v>
      </c>
      <c r="AO8612">
        <v>47.9</v>
      </c>
      <c r="AP8612" s="2">
        <v>42746</v>
      </c>
      <c r="AQ8612" t="s">
        <v>72</v>
      </c>
      <c r="AR8612" t="s">
        <v>72</v>
      </c>
      <c r="AS8612">
        <v>931</v>
      </c>
      <c r="AT8612" s="4">
        <v>42453</v>
      </c>
      <c r="AV8612">
        <v>931</v>
      </c>
      <c r="AW8612" s="4">
        <v>42453</v>
      </c>
      <c r="BD8612">
        <v>0</v>
      </c>
      <c r="BN8612" t="s">
        <v>74</v>
      </c>
    </row>
    <row r="8613" spans="1:66" hidden="1">
      <c r="A8613">
        <v>106370</v>
      </c>
      <c r="B8613" s="3" t="s">
        <v>751</v>
      </c>
      <c r="C8613" s="1">
        <v>43500101</v>
      </c>
      <c r="D8613" t="s">
        <v>113</v>
      </c>
      <c r="H8613" t="str">
        <f t="shared" si="890"/>
        <v>00885351007</v>
      </c>
      <c r="I8613" t="str">
        <f t="shared" si="890"/>
        <v>00885351007</v>
      </c>
      <c r="K8613" t="str">
        <f>""</f>
        <v/>
      </c>
      <c r="M8613" t="s">
        <v>68</v>
      </c>
      <c r="N8613" t="str">
        <f t="shared" si="891"/>
        <v>ALT</v>
      </c>
      <c r="O8613" t="s">
        <v>114</v>
      </c>
      <c r="P8613" s="3" t="s">
        <v>87</v>
      </c>
      <c r="Q8613">
        <v>2016</v>
      </c>
      <c r="R8613" s="2">
        <v>42481</v>
      </c>
      <c r="S8613" s="2">
        <v>42481</v>
      </c>
      <c r="T8613" s="2">
        <v>42481</v>
      </c>
      <c r="U8613" s="2">
        <v>42541</v>
      </c>
      <c r="V8613" t="s">
        <v>71</v>
      </c>
      <c r="W8613" t="str">
        <f>"                0421"</f>
        <v xml:space="preserve">                0421</v>
      </c>
      <c r="X8613">
        <v>0</v>
      </c>
      <c r="Y8613">
        <v>47.9</v>
      </c>
      <c r="Z8613"/>
      <c r="AB8613"/>
      <c r="AC8613">
        <v>47.9</v>
      </c>
      <c r="AD8613">
        <v>-60</v>
      </c>
      <c r="AE8613" s="1">
        <v>-2874</v>
      </c>
      <c r="AF8613">
        <v>0</v>
      </c>
      <c r="AJ8613">
        <v>0</v>
      </c>
      <c r="AK8613">
        <v>0</v>
      </c>
      <c r="AL8613">
        <v>0</v>
      </c>
      <c r="AM8613">
        <v>47.9</v>
      </c>
      <c r="AN8613">
        <v>47.9</v>
      </c>
      <c r="AO8613">
        <v>47.9</v>
      </c>
      <c r="AP8613" s="2">
        <v>42746</v>
      </c>
      <c r="AQ8613" t="s">
        <v>72</v>
      </c>
      <c r="AR8613" t="s">
        <v>72</v>
      </c>
      <c r="AS8613">
        <v>1097</v>
      </c>
      <c r="AT8613" s="4">
        <v>42481</v>
      </c>
      <c r="AV8613">
        <v>1097</v>
      </c>
      <c r="AW8613" s="4">
        <v>42481</v>
      </c>
      <c r="BD8613">
        <v>0</v>
      </c>
      <c r="BN8613" t="s">
        <v>74</v>
      </c>
    </row>
    <row r="8614" spans="1:66" hidden="1">
      <c r="A8614">
        <v>106370</v>
      </c>
      <c r="B8614" s="3" t="s">
        <v>751</v>
      </c>
      <c r="C8614" s="1">
        <v>43500101</v>
      </c>
      <c r="D8614" t="s">
        <v>113</v>
      </c>
      <c r="H8614" t="str">
        <f t="shared" si="890"/>
        <v>00885351007</v>
      </c>
      <c r="I8614" t="str">
        <f t="shared" si="890"/>
        <v>00885351007</v>
      </c>
      <c r="K8614" t="str">
        <f>""</f>
        <v/>
      </c>
      <c r="M8614" t="s">
        <v>68</v>
      </c>
      <c r="N8614" t="str">
        <f t="shared" si="891"/>
        <v>ALT</v>
      </c>
      <c r="O8614" t="s">
        <v>114</v>
      </c>
      <c r="P8614" s="3" t="s">
        <v>88</v>
      </c>
      <c r="Q8614">
        <v>2016</v>
      </c>
      <c r="R8614" s="2">
        <v>42508</v>
      </c>
      <c r="S8614" s="2">
        <v>42510</v>
      </c>
      <c r="T8614" s="2">
        <v>42510</v>
      </c>
      <c r="U8614" s="2">
        <v>42570</v>
      </c>
      <c r="V8614" t="s">
        <v>71</v>
      </c>
      <c r="W8614" t="str">
        <f>"                0518"</f>
        <v xml:space="preserve">                0518</v>
      </c>
      <c r="X8614">
        <v>0</v>
      </c>
      <c r="Y8614">
        <v>47.9</v>
      </c>
      <c r="Z8614"/>
      <c r="AB8614"/>
      <c r="AC8614">
        <v>47.9</v>
      </c>
      <c r="AD8614">
        <v>-57</v>
      </c>
      <c r="AE8614" s="1">
        <v>-2730.3</v>
      </c>
      <c r="AF8614">
        <v>0</v>
      </c>
      <c r="AJ8614">
        <v>0</v>
      </c>
      <c r="AK8614">
        <v>0</v>
      </c>
      <c r="AL8614">
        <v>0</v>
      </c>
      <c r="AM8614">
        <v>47.9</v>
      </c>
      <c r="AN8614">
        <v>47.9</v>
      </c>
      <c r="AO8614">
        <v>47.9</v>
      </c>
      <c r="AP8614" s="2">
        <v>42746</v>
      </c>
      <c r="AQ8614" t="s">
        <v>72</v>
      </c>
      <c r="AR8614" t="s">
        <v>72</v>
      </c>
      <c r="AS8614">
        <v>1335</v>
      </c>
      <c r="AT8614" s="4">
        <v>42513</v>
      </c>
      <c r="AV8614">
        <v>1335</v>
      </c>
      <c r="AW8614" s="4">
        <v>42513</v>
      </c>
      <c r="BD8614">
        <v>0</v>
      </c>
      <c r="BN8614" t="s">
        <v>74</v>
      </c>
    </row>
    <row r="8615" spans="1:66" hidden="1">
      <c r="A8615">
        <v>106370</v>
      </c>
      <c r="B8615" s="3" t="s">
        <v>751</v>
      </c>
      <c r="C8615" s="1">
        <v>43500101</v>
      </c>
      <c r="D8615" t="s">
        <v>113</v>
      </c>
      <c r="H8615" t="str">
        <f t="shared" si="890"/>
        <v>00885351007</v>
      </c>
      <c r="I8615" t="str">
        <f t="shared" si="890"/>
        <v>00885351007</v>
      </c>
      <c r="K8615" t="str">
        <f>""</f>
        <v/>
      </c>
      <c r="M8615" t="s">
        <v>68</v>
      </c>
      <c r="N8615" t="str">
        <f t="shared" si="891"/>
        <v>ALT</v>
      </c>
      <c r="O8615" t="s">
        <v>114</v>
      </c>
      <c r="P8615" s="3" t="s">
        <v>89</v>
      </c>
      <c r="Q8615">
        <v>2016</v>
      </c>
      <c r="R8615" s="2">
        <v>42548</v>
      </c>
      <c r="S8615" s="2">
        <v>42543</v>
      </c>
      <c r="T8615" s="2">
        <v>42543</v>
      </c>
      <c r="U8615" s="2">
        <v>42603</v>
      </c>
      <c r="V8615" t="s">
        <v>71</v>
      </c>
      <c r="W8615" t="str">
        <f>"                0627"</f>
        <v xml:space="preserve">                0627</v>
      </c>
      <c r="X8615">
        <v>0</v>
      </c>
      <c r="Y8615">
        <v>47.9</v>
      </c>
      <c r="Z8615"/>
      <c r="AB8615"/>
      <c r="AC8615">
        <v>47.9</v>
      </c>
      <c r="AD8615">
        <v>-47</v>
      </c>
      <c r="AE8615" s="1">
        <v>-2251.3000000000002</v>
      </c>
      <c r="AF8615">
        <v>0</v>
      </c>
      <c r="AJ8615">
        <v>0</v>
      </c>
      <c r="AK8615">
        <v>0</v>
      </c>
      <c r="AL8615">
        <v>0</v>
      </c>
      <c r="AM8615">
        <v>47.9</v>
      </c>
      <c r="AN8615">
        <v>47.9</v>
      </c>
      <c r="AO8615">
        <v>47.9</v>
      </c>
      <c r="AP8615" s="2">
        <v>42746</v>
      </c>
      <c r="AQ8615" t="s">
        <v>72</v>
      </c>
      <c r="AR8615" t="s">
        <v>72</v>
      </c>
      <c r="AS8615">
        <v>1718</v>
      </c>
      <c r="AT8615" s="4">
        <v>42556</v>
      </c>
      <c r="AV8615">
        <v>1718</v>
      </c>
      <c r="AW8615" s="4">
        <v>42556</v>
      </c>
      <c r="BD8615">
        <v>0</v>
      </c>
      <c r="BN8615" t="s">
        <v>74</v>
      </c>
    </row>
    <row r="8616" spans="1:66" hidden="1">
      <c r="A8616">
        <v>106370</v>
      </c>
      <c r="B8616" s="3" t="s">
        <v>751</v>
      </c>
      <c r="C8616" s="1">
        <v>43500101</v>
      </c>
      <c r="D8616" t="s">
        <v>113</v>
      </c>
      <c r="H8616" t="str">
        <f t="shared" si="890"/>
        <v>00885351007</v>
      </c>
      <c r="I8616" t="str">
        <f t="shared" si="890"/>
        <v>00885351007</v>
      </c>
      <c r="K8616" t="str">
        <f>""</f>
        <v/>
      </c>
      <c r="M8616" t="s">
        <v>68</v>
      </c>
      <c r="N8616" t="str">
        <f t="shared" si="891"/>
        <v>ALT</v>
      </c>
      <c r="O8616" t="s">
        <v>114</v>
      </c>
      <c r="P8616" s="3" t="s">
        <v>90</v>
      </c>
      <c r="Q8616">
        <v>2016</v>
      </c>
      <c r="R8616" s="2">
        <v>42573</v>
      </c>
      <c r="S8616" s="2">
        <v>42573</v>
      </c>
      <c r="T8616" s="2">
        <v>42573</v>
      </c>
      <c r="U8616" s="2">
        <v>42633</v>
      </c>
      <c r="V8616" t="s">
        <v>71</v>
      </c>
      <c r="W8616" t="str">
        <f>"                0722"</f>
        <v xml:space="preserve">                0722</v>
      </c>
      <c r="X8616">
        <v>0</v>
      </c>
      <c r="Y8616">
        <v>47.9</v>
      </c>
      <c r="Z8616"/>
      <c r="AB8616"/>
      <c r="AC8616">
        <v>47.9</v>
      </c>
      <c r="AD8616">
        <v>-48</v>
      </c>
      <c r="AE8616" s="1">
        <v>-2299.1999999999998</v>
      </c>
      <c r="AF8616">
        <v>0</v>
      </c>
      <c r="AJ8616">
        <v>0</v>
      </c>
      <c r="AK8616">
        <v>0</v>
      </c>
      <c r="AL8616">
        <v>0</v>
      </c>
      <c r="AM8616">
        <v>47.9</v>
      </c>
      <c r="AN8616">
        <v>47.9</v>
      </c>
      <c r="AO8616">
        <v>47.9</v>
      </c>
      <c r="AP8616" s="2">
        <v>42746</v>
      </c>
      <c r="AQ8616" t="s">
        <v>72</v>
      </c>
      <c r="AR8616" t="s">
        <v>72</v>
      </c>
      <c r="AS8616">
        <v>2118</v>
      </c>
      <c r="AT8616" s="4">
        <v>42585</v>
      </c>
      <c r="AV8616">
        <v>2118</v>
      </c>
      <c r="AW8616" s="4">
        <v>42585</v>
      </c>
      <c r="BD8616">
        <v>0</v>
      </c>
      <c r="BN8616" t="s">
        <v>74</v>
      </c>
    </row>
    <row r="8617" spans="1:66" hidden="1">
      <c r="A8617">
        <v>106370</v>
      </c>
      <c r="B8617" s="3" t="s">
        <v>751</v>
      </c>
      <c r="C8617" s="1">
        <v>43500101</v>
      </c>
      <c r="D8617" t="s">
        <v>113</v>
      </c>
      <c r="H8617" t="str">
        <f t="shared" si="890"/>
        <v>00885351007</v>
      </c>
      <c r="I8617" t="str">
        <f t="shared" si="890"/>
        <v>00885351007</v>
      </c>
      <c r="K8617" t="str">
        <f>""</f>
        <v/>
      </c>
      <c r="M8617" t="s">
        <v>68</v>
      </c>
      <c r="N8617" t="str">
        <f t="shared" si="891"/>
        <v>ALT</v>
      </c>
      <c r="O8617" t="s">
        <v>114</v>
      </c>
      <c r="P8617" s="3" t="s">
        <v>91</v>
      </c>
      <c r="Q8617">
        <v>2016</v>
      </c>
      <c r="R8617" s="2">
        <v>42592</v>
      </c>
      <c r="S8617" s="2">
        <v>42598</v>
      </c>
      <c r="T8617" s="2">
        <v>42598</v>
      </c>
      <c r="U8617" s="2">
        <v>42658</v>
      </c>
      <c r="V8617" t="s">
        <v>71</v>
      </c>
      <c r="W8617" t="str">
        <f>"                0810"</f>
        <v xml:space="preserve">                0810</v>
      </c>
      <c r="X8617">
        <v>0</v>
      </c>
      <c r="Y8617">
        <v>47.9</v>
      </c>
      <c r="Z8617"/>
      <c r="AB8617"/>
      <c r="AC8617">
        <v>47.9</v>
      </c>
      <c r="AD8617">
        <v>-60</v>
      </c>
      <c r="AE8617" s="1">
        <v>-2874</v>
      </c>
      <c r="AF8617">
        <v>0</v>
      </c>
      <c r="AJ8617">
        <v>0</v>
      </c>
      <c r="AK8617">
        <v>0</v>
      </c>
      <c r="AL8617">
        <v>0</v>
      </c>
      <c r="AM8617">
        <v>47.9</v>
      </c>
      <c r="AN8617">
        <v>47.9</v>
      </c>
      <c r="AO8617">
        <v>47.9</v>
      </c>
      <c r="AP8617" s="2">
        <v>42746</v>
      </c>
      <c r="AQ8617" t="s">
        <v>72</v>
      </c>
      <c r="AR8617" t="s">
        <v>72</v>
      </c>
      <c r="AS8617">
        <v>2200</v>
      </c>
      <c r="AT8617" s="4">
        <v>42598</v>
      </c>
      <c r="AV8617">
        <v>2200</v>
      </c>
      <c r="AW8617" s="4">
        <v>42598</v>
      </c>
      <c r="BD8617">
        <v>0</v>
      </c>
      <c r="BN8617" t="s">
        <v>74</v>
      </c>
    </row>
    <row r="8618" spans="1:66" hidden="1">
      <c r="A8618">
        <v>106370</v>
      </c>
      <c r="B8618" s="3" t="s">
        <v>751</v>
      </c>
      <c r="C8618" s="1">
        <v>43500101</v>
      </c>
      <c r="D8618" t="s">
        <v>113</v>
      </c>
      <c r="H8618" t="str">
        <f t="shared" si="890"/>
        <v>00885351007</v>
      </c>
      <c r="I8618" t="str">
        <f t="shared" si="890"/>
        <v>00885351007</v>
      </c>
      <c r="K8618" t="str">
        <f>""</f>
        <v/>
      </c>
      <c r="M8618" t="s">
        <v>68</v>
      </c>
      <c r="N8618" t="str">
        <f t="shared" si="891"/>
        <v>ALT</v>
      </c>
      <c r="O8618" t="s">
        <v>114</v>
      </c>
      <c r="P8618" s="3" t="s">
        <v>92</v>
      </c>
      <c r="Q8618">
        <v>2016</v>
      </c>
      <c r="R8618" s="2">
        <v>42633</v>
      </c>
      <c r="S8618" s="2">
        <v>42634</v>
      </c>
      <c r="T8618" s="2">
        <v>42634</v>
      </c>
      <c r="U8618" s="2">
        <v>42694</v>
      </c>
      <c r="V8618" t="s">
        <v>71</v>
      </c>
      <c r="W8618" t="str">
        <f>"                0920"</f>
        <v xml:space="preserve">                0920</v>
      </c>
      <c r="X8618">
        <v>0</v>
      </c>
      <c r="Y8618">
        <v>47.9</v>
      </c>
      <c r="Z8618"/>
      <c r="AB8618"/>
      <c r="AC8618">
        <v>47.9</v>
      </c>
      <c r="AD8618">
        <v>-60</v>
      </c>
      <c r="AE8618" s="1">
        <v>-2874</v>
      </c>
      <c r="AF8618">
        <v>0</v>
      </c>
      <c r="AJ8618">
        <v>0</v>
      </c>
      <c r="AK8618">
        <v>0</v>
      </c>
      <c r="AL8618">
        <v>0</v>
      </c>
      <c r="AM8618">
        <v>47.9</v>
      </c>
      <c r="AN8618">
        <v>47.9</v>
      </c>
      <c r="AO8618">
        <v>47.9</v>
      </c>
      <c r="AP8618" s="2">
        <v>42746</v>
      </c>
      <c r="AQ8618" t="s">
        <v>72</v>
      </c>
      <c r="AR8618" t="s">
        <v>72</v>
      </c>
      <c r="AS8618">
        <v>2474</v>
      </c>
      <c r="AT8618" s="4">
        <v>42634</v>
      </c>
      <c r="AV8618">
        <v>2474</v>
      </c>
      <c r="AW8618" s="4">
        <v>42634</v>
      </c>
      <c r="BD8618">
        <v>0</v>
      </c>
      <c r="BN8618" t="s">
        <v>74</v>
      </c>
    </row>
    <row r="8619" spans="1:66" hidden="1">
      <c r="A8619">
        <v>106370</v>
      </c>
      <c r="B8619" s="3" t="s">
        <v>751</v>
      </c>
      <c r="C8619" s="1">
        <v>43500101</v>
      </c>
      <c r="D8619" t="s">
        <v>113</v>
      </c>
      <c r="H8619" t="str">
        <f t="shared" si="890"/>
        <v>00885351007</v>
      </c>
      <c r="I8619" t="str">
        <f t="shared" si="890"/>
        <v>00885351007</v>
      </c>
      <c r="K8619" t="str">
        <f>""</f>
        <v/>
      </c>
      <c r="M8619" t="s">
        <v>68</v>
      </c>
      <c r="N8619" t="str">
        <f t="shared" si="891"/>
        <v>ALT</v>
      </c>
      <c r="O8619" t="s">
        <v>114</v>
      </c>
      <c r="P8619" s="3" t="s">
        <v>93</v>
      </c>
      <c r="Q8619">
        <v>2016</v>
      </c>
      <c r="R8619" s="2">
        <v>42664</v>
      </c>
      <c r="S8619" s="2">
        <v>42667</v>
      </c>
      <c r="T8619" s="2">
        <v>42667</v>
      </c>
      <c r="U8619" s="2">
        <v>42727</v>
      </c>
      <c r="V8619" t="s">
        <v>71</v>
      </c>
      <c r="W8619" t="str">
        <f>"                1021"</f>
        <v xml:space="preserve">                1021</v>
      </c>
      <c r="X8619">
        <v>0</v>
      </c>
      <c r="Y8619">
        <v>47.9</v>
      </c>
      <c r="Z8619" s="3">
        <v>47.9</v>
      </c>
      <c r="AA8619">
        <v>-60</v>
      </c>
      <c r="AB8619" s="5">
        <v>-2874</v>
      </c>
      <c r="AC8619">
        <v>47.9</v>
      </c>
      <c r="AD8619">
        <v>-60</v>
      </c>
      <c r="AE8619" s="1">
        <v>-2874</v>
      </c>
      <c r="AF8619">
        <v>0</v>
      </c>
      <c r="AJ8619">
        <v>47.9</v>
      </c>
      <c r="AK8619">
        <v>47.9</v>
      </c>
      <c r="AL8619">
        <v>47.9</v>
      </c>
      <c r="AM8619">
        <v>47.9</v>
      </c>
      <c r="AN8619">
        <v>47.9</v>
      </c>
      <c r="AO8619">
        <v>47.9</v>
      </c>
      <c r="AP8619" s="2">
        <v>42746</v>
      </c>
      <c r="AQ8619" t="s">
        <v>72</v>
      </c>
      <c r="AR8619" t="s">
        <v>72</v>
      </c>
      <c r="AS8619">
        <v>2821</v>
      </c>
      <c r="AT8619" s="4">
        <v>42667</v>
      </c>
      <c r="AV8619">
        <v>2821</v>
      </c>
      <c r="AW8619" s="4">
        <v>42667</v>
      </c>
      <c r="BD8619">
        <v>0</v>
      </c>
      <c r="BN8619" t="s">
        <v>74</v>
      </c>
    </row>
    <row r="8620" spans="1:66" hidden="1">
      <c r="A8620">
        <v>106370</v>
      </c>
      <c r="B8620" s="3" t="s">
        <v>751</v>
      </c>
      <c r="C8620" s="1">
        <v>43500101</v>
      </c>
      <c r="D8620" t="s">
        <v>113</v>
      </c>
      <c r="H8620" t="str">
        <f t="shared" si="890"/>
        <v>00885351007</v>
      </c>
      <c r="I8620" t="str">
        <f t="shared" si="890"/>
        <v>00885351007</v>
      </c>
      <c r="K8620" t="str">
        <f>""</f>
        <v/>
      </c>
      <c r="M8620" t="s">
        <v>68</v>
      </c>
      <c r="N8620" t="str">
        <f t="shared" si="891"/>
        <v>ALT</v>
      </c>
      <c r="O8620" t="s">
        <v>114</v>
      </c>
      <c r="P8620" s="3" t="s">
        <v>94</v>
      </c>
      <c r="Q8620">
        <v>2016</v>
      </c>
      <c r="R8620" s="2">
        <v>42696</v>
      </c>
      <c r="S8620" s="2">
        <v>42696</v>
      </c>
      <c r="T8620" s="2">
        <v>42696</v>
      </c>
      <c r="U8620" s="2">
        <v>42756</v>
      </c>
      <c r="V8620" t="s">
        <v>71</v>
      </c>
      <c r="W8620" t="str">
        <f>"                1122"</f>
        <v xml:space="preserve">                1122</v>
      </c>
      <c r="X8620">
        <v>0</v>
      </c>
      <c r="Y8620">
        <v>35.299999999999997</v>
      </c>
      <c r="Z8620" s="3">
        <v>35.299999999999997</v>
      </c>
      <c r="AA8620">
        <v>-59</v>
      </c>
      <c r="AB8620" s="5">
        <v>-2082.6999999999998</v>
      </c>
      <c r="AC8620">
        <v>35.299999999999997</v>
      </c>
      <c r="AD8620">
        <v>-59</v>
      </c>
      <c r="AE8620" s="1">
        <v>-2082.6999999999998</v>
      </c>
      <c r="AF8620">
        <v>0</v>
      </c>
      <c r="AJ8620">
        <v>35.299999999999997</v>
      </c>
      <c r="AK8620">
        <v>35.299999999999997</v>
      </c>
      <c r="AL8620">
        <v>35.299999999999997</v>
      </c>
      <c r="AM8620">
        <v>35.299999999999997</v>
      </c>
      <c r="AN8620">
        <v>35.299999999999997</v>
      </c>
      <c r="AO8620">
        <v>35.299999999999997</v>
      </c>
      <c r="AP8620" s="2">
        <v>42746</v>
      </c>
      <c r="AQ8620" t="s">
        <v>72</v>
      </c>
      <c r="AR8620" t="s">
        <v>72</v>
      </c>
      <c r="AS8620">
        <v>3258</v>
      </c>
      <c r="AT8620" s="4">
        <v>42697</v>
      </c>
      <c r="AV8620">
        <v>3258</v>
      </c>
      <c r="AW8620" s="4">
        <v>42697</v>
      </c>
      <c r="BD8620">
        <v>0</v>
      </c>
      <c r="BN8620" t="s">
        <v>74</v>
      </c>
    </row>
    <row r="8621" spans="1:66" hidden="1">
      <c r="A8621">
        <v>106370</v>
      </c>
      <c r="B8621" s="3" t="s">
        <v>751</v>
      </c>
      <c r="C8621" s="1">
        <v>43500101</v>
      </c>
      <c r="D8621" t="s">
        <v>113</v>
      </c>
      <c r="H8621" t="str">
        <f t="shared" si="890"/>
        <v>00885351007</v>
      </c>
      <c r="I8621" t="str">
        <f t="shared" si="890"/>
        <v>00885351007</v>
      </c>
      <c r="K8621" t="str">
        <f>""</f>
        <v/>
      </c>
      <c r="M8621" t="s">
        <v>68</v>
      </c>
      <c r="N8621" t="str">
        <f t="shared" si="891"/>
        <v>ALT</v>
      </c>
      <c r="O8621" t="s">
        <v>114</v>
      </c>
      <c r="P8621" s="3" t="s">
        <v>95</v>
      </c>
      <c r="Q8621">
        <v>2016</v>
      </c>
      <c r="R8621" s="2">
        <v>42717</v>
      </c>
      <c r="S8621" s="2">
        <v>42717</v>
      </c>
      <c r="T8621" s="2">
        <v>42717</v>
      </c>
      <c r="U8621" s="2">
        <v>42777</v>
      </c>
      <c r="V8621" t="s">
        <v>71</v>
      </c>
      <c r="W8621" t="str">
        <f>"                1213"</f>
        <v xml:space="preserve">                1213</v>
      </c>
      <c r="X8621">
        <v>0</v>
      </c>
      <c r="Y8621">
        <v>35.299999999999997</v>
      </c>
      <c r="Z8621" s="3">
        <v>35.299999999999997</v>
      </c>
      <c r="AA8621">
        <v>-59</v>
      </c>
      <c r="AB8621" s="5">
        <v>-2082.6999999999998</v>
      </c>
      <c r="AC8621">
        <v>35.299999999999997</v>
      </c>
      <c r="AD8621">
        <v>-59</v>
      </c>
      <c r="AE8621" s="1">
        <v>-2082.6999999999998</v>
      </c>
      <c r="AF8621">
        <v>0</v>
      </c>
      <c r="AJ8621">
        <v>35.299999999999997</v>
      </c>
      <c r="AK8621">
        <v>35.299999999999997</v>
      </c>
      <c r="AL8621">
        <v>35.299999999999997</v>
      </c>
      <c r="AM8621">
        <v>35.299999999999997</v>
      </c>
      <c r="AN8621">
        <v>35.299999999999997</v>
      </c>
      <c r="AO8621">
        <v>35.299999999999997</v>
      </c>
      <c r="AP8621" s="2">
        <v>42746</v>
      </c>
      <c r="AQ8621" t="s">
        <v>72</v>
      </c>
      <c r="AR8621" t="s">
        <v>72</v>
      </c>
      <c r="AS8621">
        <v>3416</v>
      </c>
      <c r="AT8621" s="4">
        <v>42718</v>
      </c>
      <c r="AV8621">
        <v>3416</v>
      </c>
      <c r="AW8621" s="4">
        <v>42718</v>
      </c>
      <c r="BD8621">
        <v>0</v>
      </c>
      <c r="BN8621" t="s">
        <v>74</v>
      </c>
    </row>
    <row r="8622" spans="1:66" hidden="1">
      <c r="A8622">
        <v>106371</v>
      </c>
      <c r="B8622" s="3" t="s">
        <v>752</v>
      </c>
      <c r="C8622" s="1">
        <v>43300101</v>
      </c>
      <c r="D8622" t="s">
        <v>67</v>
      </c>
      <c r="H8622" t="str">
        <f>"11703230158"</f>
        <v>11703230158</v>
      </c>
      <c r="I8622" t="str">
        <f>"11703230158"</f>
        <v>11703230158</v>
      </c>
      <c r="K8622" t="str">
        <f>""</f>
        <v/>
      </c>
      <c r="M8622" t="s">
        <v>68</v>
      </c>
      <c r="N8622" t="str">
        <f>"FOR"</f>
        <v>FOR</v>
      </c>
      <c r="O8622" t="s">
        <v>69</v>
      </c>
      <c r="P8622" s="3" t="s">
        <v>75</v>
      </c>
      <c r="Q8622">
        <v>2015</v>
      </c>
      <c r="R8622" s="2">
        <v>42153</v>
      </c>
      <c r="S8622" s="2">
        <v>42166</v>
      </c>
      <c r="T8622" s="2">
        <v>42165</v>
      </c>
      <c r="U8622" s="2">
        <v>42225</v>
      </c>
      <c r="V8622" t="s">
        <v>71</v>
      </c>
      <c r="W8622" t="str">
        <f>"              E00051"</f>
        <v xml:space="preserve">              E00051</v>
      </c>
      <c r="X8622">
        <v>344.1</v>
      </c>
      <c r="Y8622">
        <v>0</v>
      </c>
      <c r="Z8622"/>
      <c r="AB8622"/>
      <c r="AC8622">
        <v>282.05</v>
      </c>
      <c r="AD8622">
        <v>228</v>
      </c>
      <c r="AE8622" s="1">
        <v>64307.4</v>
      </c>
      <c r="AF8622">
        <v>0</v>
      </c>
      <c r="AJ8622">
        <v>0</v>
      </c>
      <c r="AK8622">
        <v>0</v>
      </c>
      <c r="AL8622">
        <v>0</v>
      </c>
      <c r="AM8622">
        <v>0</v>
      </c>
      <c r="AN8622">
        <v>0</v>
      </c>
      <c r="AO8622">
        <v>0</v>
      </c>
      <c r="AP8622" s="2">
        <v>42746</v>
      </c>
      <c r="AQ8622" t="s">
        <v>72</v>
      </c>
      <c r="AR8622" t="s">
        <v>72</v>
      </c>
      <c r="AS8622">
        <v>843</v>
      </c>
      <c r="AT8622" s="4">
        <v>42453</v>
      </c>
      <c r="AU8622" t="s">
        <v>73</v>
      </c>
      <c r="AV8622">
        <v>843</v>
      </c>
      <c r="AW8622" s="4">
        <v>42453</v>
      </c>
      <c r="BD8622">
        <v>0</v>
      </c>
      <c r="BN8622" t="s">
        <v>74</v>
      </c>
    </row>
    <row r="8623" spans="1:66" hidden="1">
      <c r="A8623">
        <v>106372</v>
      </c>
      <c r="B8623" s="3" t="s">
        <v>753</v>
      </c>
      <c r="C8623" s="1">
        <v>43500101</v>
      </c>
      <c r="D8623" t="s">
        <v>113</v>
      </c>
      <c r="H8623" t="str">
        <f>"01574470629"</f>
        <v>01574470629</v>
      </c>
      <c r="I8623" t="str">
        <f>"01574470629"</f>
        <v>01574470629</v>
      </c>
      <c r="K8623" t="str">
        <f>""</f>
        <v/>
      </c>
      <c r="M8623" t="s">
        <v>68</v>
      </c>
      <c r="N8623" t="str">
        <f>"ALT"</f>
        <v>ALT</v>
      </c>
      <c r="O8623" t="s">
        <v>114</v>
      </c>
      <c r="P8623" s="3" t="s">
        <v>75</v>
      </c>
      <c r="Q8623">
        <v>2015</v>
      </c>
      <c r="R8623" s="2">
        <v>42289</v>
      </c>
      <c r="S8623" s="2">
        <v>42290</v>
      </c>
      <c r="T8623" s="2">
        <v>42289</v>
      </c>
      <c r="U8623" s="2">
        <v>42349</v>
      </c>
      <c r="V8623" t="s">
        <v>71</v>
      </c>
      <c r="W8623" t="str">
        <f>"                   1"</f>
        <v xml:space="preserve">                   1</v>
      </c>
      <c r="X8623" s="1">
        <v>3416</v>
      </c>
      <c r="Y8623">
        <v>0</v>
      </c>
      <c r="Z8623"/>
      <c r="AB8623"/>
      <c r="AC8623" s="1">
        <v>2800</v>
      </c>
      <c r="AD8623">
        <v>110</v>
      </c>
      <c r="AE8623" s="1">
        <v>308000</v>
      </c>
      <c r="AF8623">
        <v>0</v>
      </c>
      <c r="AJ8623">
        <v>0</v>
      </c>
      <c r="AK8623">
        <v>0</v>
      </c>
      <c r="AL8623">
        <v>0</v>
      </c>
      <c r="AM8623">
        <v>0</v>
      </c>
      <c r="AN8623">
        <v>0</v>
      </c>
      <c r="AO8623">
        <v>0</v>
      </c>
      <c r="AP8623" s="2">
        <v>42746</v>
      </c>
      <c r="AQ8623" t="s">
        <v>72</v>
      </c>
      <c r="AR8623" t="s">
        <v>72</v>
      </c>
      <c r="AS8623">
        <v>975</v>
      </c>
      <c r="AT8623" s="4">
        <v>42459</v>
      </c>
      <c r="AU8623" t="s">
        <v>73</v>
      </c>
      <c r="AV8623">
        <v>975</v>
      </c>
      <c r="AW8623" s="4">
        <v>42459</v>
      </c>
      <c r="BD8623">
        <v>0</v>
      </c>
      <c r="BN8623" t="s">
        <v>74</v>
      </c>
    </row>
    <row r="8624" spans="1:66" hidden="1">
      <c r="A8624">
        <v>106372</v>
      </c>
      <c r="B8624" s="3" t="s">
        <v>753</v>
      </c>
      <c r="C8624" s="1">
        <v>43500101</v>
      </c>
      <c r="D8624" t="s">
        <v>113</v>
      </c>
      <c r="H8624" t="str">
        <f>"01574470629"</f>
        <v>01574470629</v>
      </c>
      <c r="I8624" t="str">
        <f>"01574470629"</f>
        <v>01574470629</v>
      </c>
      <c r="K8624" t="str">
        <f>""</f>
        <v/>
      </c>
      <c r="M8624" t="s">
        <v>68</v>
      </c>
      <c r="N8624" t="str">
        <f>"ALT"</f>
        <v>ALT</v>
      </c>
      <c r="O8624" t="s">
        <v>114</v>
      </c>
      <c r="P8624" s="3" t="s">
        <v>754</v>
      </c>
      <c r="Q8624">
        <v>2016</v>
      </c>
      <c r="R8624" s="2">
        <v>42725</v>
      </c>
      <c r="S8624" s="2">
        <v>42725</v>
      </c>
      <c r="T8624" s="2">
        <v>42725</v>
      </c>
      <c r="U8624" s="2">
        <v>42785</v>
      </c>
      <c r="V8624" t="s">
        <v>71</v>
      </c>
      <c r="W8624" t="str">
        <f>"                 304"</f>
        <v xml:space="preserve">                 304</v>
      </c>
      <c r="X8624">
        <v>0</v>
      </c>
      <c r="Y8624">
        <v>48.8</v>
      </c>
      <c r="Z8624" s="3">
        <v>48.8</v>
      </c>
      <c r="AA8624">
        <v>-60</v>
      </c>
      <c r="AB8624" s="5">
        <v>-2928</v>
      </c>
      <c r="AC8624">
        <v>48.8</v>
      </c>
      <c r="AD8624">
        <v>-60</v>
      </c>
      <c r="AE8624" s="1">
        <v>-2928</v>
      </c>
      <c r="AF8624">
        <v>0</v>
      </c>
      <c r="AJ8624">
        <v>48.8</v>
      </c>
      <c r="AK8624">
        <v>48.8</v>
      </c>
      <c r="AL8624">
        <v>48.8</v>
      </c>
      <c r="AM8624">
        <v>48.8</v>
      </c>
      <c r="AN8624">
        <v>48.8</v>
      </c>
      <c r="AO8624">
        <v>48.8</v>
      </c>
      <c r="AP8624" s="2">
        <v>42746</v>
      </c>
      <c r="AQ8624" t="s">
        <v>72</v>
      </c>
      <c r="AR8624" t="s">
        <v>72</v>
      </c>
      <c r="AS8624">
        <v>3658</v>
      </c>
      <c r="AT8624" s="4">
        <v>42725</v>
      </c>
      <c r="AV8624">
        <v>3658</v>
      </c>
      <c r="AW8624" s="4">
        <v>42725</v>
      </c>
      <c r="BD8624">
        <v>0</v>
      </c>
      <c r="BN8624" t="s">
        <v>74</v>
      </c>
    </row>
    <row r="8625" spans="1:66" hidden="1">
      <c r="A8625">
        <v>106385</v>
      </c>
      <c r="B8625" s="3" t="s">
        <v>755</v>
      </c>
      <c r="C8625" s="1">
        <v>43500101</v>
      </c>
      <c r="D8625" t="s">
        <v>113</v>
      </c>
      <c r="H8625" t="str">
        <f>"MRSMRA79R63A509S"</f>
        <v>MRSMRA79R63A509S</v>
      </c>
      <c r="I8625" t="str">
        <f>"02737070645"</f>
        <v>02737070645</v>
      </c>
      <c r="K8625" t="str">
        <f>""</f>
        <v/>
      </c>
      <c r="M8625" t="s">
        <v>68</v>
      </c>
      <c r="N8625" t="str">
        <f>"ALTPRO"</f>
        <v>ALTPRO</v>
      </c>
      <c r="O8625" t="s">
        <v>132</v>
      </c>
      <c r="P8625" s="3" t="s">
        <v>75</v>
      </c>
      <c r="Q8625">
        <v>2016</v>
      </c>
      <c r="R8625" s="2">
        <v>42376</v>
      </c>
      <c r="S8625" s="2">
        <v>42377</v>
      </c>
      <c r="T8625" s="2">
        <v>42376</v>
      </c>
      <c r="U8625" s="2">
        <v>42436</v>
      </c>
      <c r="V8625" t="s">
        <v>71</v>
      </c>
      <c r="W8625" t="str">
        <f>"         FATTPA 1_16"</f>
        <v xml:space="preserve">         FATTPA 1_16</v>
      </c>
      <c r="X8625" s="1">
        <v>2335.48</v>
      </c>
      <c r="Y8625">
        <v>-467.1</v>
      </c>
      <c r="Z8625"/>
      <c r="AB8625"/>
      <c r="AC8625" s="1">
        <v>1868.38</v>
      </c>
      <c r="AD8625">
        <v>-39</v>
      </c>
      <c r="AE8625" s="1">
        <v>-72866.820000000007</v>
      </c>
      <c r="AF8625">
        <v>0</v>
      </c>
      <c r="AJ8625">
        <v>0</v>
      </c>
      <c r="AK8625">
        <v>0</v>
      </c>
      <c r="AL8625">
        <v>0</v>
      </c>
      <c r="AM8625">
        <v>-467.1</v>
      </c>
      <c r="AN8625" s="1">
        <v>1868.38</v>
      </c>
      <c r="AO8625" s="1">
        <v>1868.38</v>
      </c>
      <c r="AP8625" s="2">
        <v>42746</v>
      </c>
      <c r="AQ8625" t="s">
        <v>72</v>
      </c>
      <c r="AR8625" t="s">
        <v>72</v>
      </c>
      <c r="AS8625">
        <v>119</v>
      </c>
      <c r="AT8625" s="4">
        <v>42397</v>
      </c>
      <c r="AV8625">
        <v>119</v>
      </c>
      <c r="AW8625" s="4">
        <v>42397</v>
      </c>
      <c r="BD8625">
        <v>0</v>
      </c>
      <c r="BN8625" t="s">
        <v>74</v>
      </c>
    </row>
    <row r="8626" spans="1:66" hidden="1">
      <c r="A8626">
        <v>106385</v>
      </c>
      <c r="B8626" s="3" t="s">
        <v>755</v>
      </c>
      <c r="C8626" s="1">
        <v>43500101</v>
      </c>
      <c r="D8626" t="s">
        <v>113</v>
      </c>
      <c r="H8626" t="str">
        <f>"MRSMRA79R63A509S"</f>
        <v>MRSMRA79R63A509S</v>
      </c>
      <c r="I8626" t="str">
        <f>"02737070645"</f>
        <v>02737070645</v>
      </c>
      <c r="K8626" t="str">
        <f>""</f>
        <v/>
      </c>
      <c r="M8626" t="s">
        <v>68</v>
      </c>
      <c r="N8626" t="str">
        <f>"ALTPRO"</f>
        <v>ALTPRO</v>
      </c>
      <c r="O8626" t="s">
        <v>132</v>
      </c>
      <c r="P8626" s="3" t="s">
        <v>75</v>
      </c>
      <c r="Q8626">
        <v>2016</v>
      </c>
      <c r="R8626" s="2">
        <v>42402</v>
      </c>
      <c r="S8626" s="2">
        <v>42403</v>
      </c>
      <c r="T8626" s="2">
        <v>42402</v>
      </c>
      <c r="U8626" s="2">
        <v>42462</v>
      </c>
      <c r="V8626" t="s">
        <v>71</v>
      </c>
      <c r="W8626" t="str">
        <f>"         FATTPA 2_16"</f>
        <v xml:space="preserve">         FATTPA 2_16</v>
      </c>
      <c r="X8626" s="1">
        <v>2530.64</v>
      </c>
      <c r="Y8626">
        <v>-505.73</v>
      </c>
      <c r="Z8626"/>
      <c r="AB8626"/>
      <c r="AC8626" s="1">
        <v>2024.91</v>
      </c>
      <c r="AD8626">
        <v>-36</v>
      </c>
      <c r="AE8626" s="1">
        <v>-72896.759999999995</v>
      </c>
      <c r="AF8626">
        <v>0</v>
      </c>
      <c r="AJ8626">
        <v>0</v>
      </c>
      <c r="AK8626">
        <v>0</v>
      </c>
      <c r="AL8626">
        <v>0</v>
      </c>
      <c r="AM8626" s="1">
        <v>2024.91</v>
      </c>
      <c r="AN8626" s="1">
        <v>2024.91</v>
      </c>
      <c r="AO8626" s="1">
        <v>2024.91</v>
      </c>
      <c r="AP8626" s="2">
        <v>42746</v>
      </c>
      <c r="AQ8626" t="s">
        <v>72</v>
      </c>
      <c r="AR8626" t="s">
        <v>72</v>
      </c>
      <c r="AS8626">
        <v>588</v>
      </c>
      <c r="AT8626" s="4">
        <v>42426</v>
      </c>
      <c r="AV8626">
        <v>588</v>
      </c>
      <c r="AW8626" s="4">
        <v>42426</v>
      </c>
      <c r="BD8626">
        <v>0</v>
      </c>
      <c r="BN8626" t="s">
        <v>74</v>
      </c>
    </row>
    <row r="8627" spans="1:66" hidden="1">
      <c r="A8627">
        <v>106385</v>
      </c>
      <c r="B8627" s="3" t="s">
        <v>755</v>
      </c>
      <c r="C8627" s="1">
        <v>43500101</v>
      </c>
      <c r="D8627" t="s">
        <v>113</v>
      </c>
      <c r="H8627" t="str">
        <f>"MRSMRA79R63A509S"</f>
        <v>MRSMRA79R63A509S</v>
      </c>
      <c r="I8627" t="str">
        <f>"02737070645"</f>
        <v>02737070645</v>
      </c>
      <c r="K8627" t="str">
        <f>""</f>
        <v/>
      </c>
      <c r="M8627" t="s">
        <v>68</v>
      </c>
      <c r="N8627" t="str">
        <f>"ALTPRO"</f>
        <v>ALTPRO</v>
      </c>
      <c r="O8627" t="s">
        <v>132</v>
      </c>
      <c r="P8627" s="3" t="s">
        <v>75</v>
      </c>
      <c r="Q8627">
        <v>2016</v>
      </c>
      <c r="R8627" s="2">
        <v>42440</v>
      </c>
      <c r="S8627" s="2">
        <v>42443</v>
      </c>
      <c r="T8627" s="2">
        <v>42441</v>
      </c>
      <c r="U8627" s="2">
        <v>42501</v>
      </c>
      <c r="V8627" t="s">
        <v>71</v>
      </c>
      <c r="W8627" t="str">
        <f>"         FATTPA 3_16"</f>
        <v xml:space="preserve">         FATTPA 3_16</v>
      </c>
      <c r="X8627" s="1">
        <v>2636</v>
      </c>
      <c r="Y8627">
        <v>-526.79999999999995</v>
      </c>
      <c r="Z8627"/>
      <c r="AB8627"/>
      <c r="AC8627" s="1">
        <v>2109.1999999999998</v>
      </c>
      <c r="AD8627">
        <v>-50</v>
      </c>
      <c r="AE8627" s="1">
        <v>-105460</v>
      </c>
      <c r="AF8627">
        <v>0</v>
      </c>
      <c r="AJ8627">
        <v>0</v>
      </c>
      <c r="AK8627">
        <v>0</v>
      </c>
      <c r="AL8627">
        <v>0</v>
      </c>
      <c r="AM8627" s="1">
        <v>2109.1999999999998</v>
      </c>
      <c r="AN8627" s="1">
        <v>2109.1999999999998</v>
      </c>
      <c r="AO8627" s="1">
        <v>2109.1999999999998</v>
      </c>
      <c r="AP8627" s="2">
        <v>42746</v>
      </c>
      <c r="AQ8627" t="s">
        <v>72</v>
      </c>
      <c r="AR8627" t="s">
        <v>72</v>
      </c>
      <c r="AS8627">
        <v>738</v>
      </c>
      <c r="AT8627" s="4">
        <v>42451</v>
      </c>
      <c r="AV8627">
        <v>738</v>
      </c>
      <c r="AW8627" s="4">
        <v>42451</v>
      </c>
      <c r="BD8627">
        <v>0</v>
      </c>
      <c r="BN8627" t="s">
        <v>74</v>
      </c>
    </row>
    <row r="8628" spans="1:66" hidden="1">
      <c r="A8628">
        <v>106385</v>
      </c>
      <c r="B8628" s="3" t="s">
        <v>755</v>
      </c>
      <c r="C8628" s="1">
        <v>43500101</v>
      </c>
      <c r="D8628" t="s">
        <v>113</v>
      </c>
      <c r="H8628" t="str">
        <f>"MRSMRA79R63A509S"</f>
        <v>MRSMRA79R63A509S</v>
      </c>
      <c r="I8628" t="str">
        <f>"02737070645"</f>
        <v>02737070645</v>
      </c>
      <c r="K8628" t="str">
        <f>""</f>
        <v/>
      </c>
      <c r="M8628" t="s">
        <v>68</v>
      </c>
      <c r="N8628" t="str">
        <f>"ALTPRO"</f>
        <v>ALTPRO</v>
      </c>
      <c r="O8628" t="s">
        <v>132</v>
      </c>
      <c r="P8628" s="3" t="s">
        <v>75</v>
      </c>
      <c r="Q8628">
        <v>2016</v>
      </c>
      <c r="R8628" s="2">
        <v>42473</v>
      </c>
      <c r="S8628" s="2">
        <v>42492</v>
      </c>
      <c r="T8628" s="2">
        <v>42489</v>
      </c>
      <c r="U8628" s="2">
        <v>42549</v>
      </c>
      <c r="V8628" t="s">
        <v>71</v>
      </c>
      <c r="W8628" t="str">
        <f>"         FATTPA 4_16"</f>
        <v xml:space="preserve">         FATTPA 4_16</v>
      </c>
      <c r="X8628" s="1">
        <v>2741.36</v>
      </c>
      <c r="Y8628">
        <v>-547.87</v>
      </c>
      <c r="Z8628"/>
      <c r="AB8628"/>
      <c r="AC8628" s="1">
        <v>2193.4899999999998</v>
      </c>
      <c r="AD8628">
        <v>-33</v>
      </c>
      <c r="AE8628" s="1">
        <v>-72385.17</v>
      </c>
      <c r="AF8628">
        <v>0</v>
      </c>
      <c r="AJ8628">
        <v>0</v>
      </c>
      <c r="AK8628">
        <v>0</v>
      </c>
      <c r="AL8628">
        <v>0</v>
      </c>
      <c r="AM8628" s="1">
        <v>2193.4899999999998</v>
      </c>
      <c r="AN8628" s="1">
        <v>2193.4899999999998</v>
      </c>
      <c r="AO8628" s="1">
        <v>2193.4899999999998</v>
      </c>
      <c r="AP8628" s="2">
        <v>42746</v>
      </c>
      <c r="AQ8628" t="s">
        <v>72</v>
      </c>
      <c r="AR8628" t="s">
        <v>72</v>
      </c>
      <c r="AS8628">
        <v>1385</v>
      </c>
      <c r="AT8628" s="4">
        <v>42516</v>
      </c>
      <c r="AV8628">
        <v>1385</v>
      </c>
      <c r="AW8628" s="4">
        <v>42516</v>
      </c>
      <c r="BD8628">
        <v>0</v>
      </c>
      <c r="BN8628" t="s">
        <v>74</v>
      </c>
    </row>
    <row r="8629" spans="1:66" hidden="1">
      <c r="A8629">
        <v>106385</v>
      </c>
      <c r="B8629" s="3" t="s">
        <v>755</v>
      </c>
      <c r="C8629" s="1">
        <v>43500101</v>
      </c>
      <c r="D8629" t="s">
        <v>113</v>
      </c>
      <c r="H8629" t="str">
        <f>"MRSMRA79R63A509S"</f>
        <v>MRSMRA79R63A509S</v>
      </c>
      <c r="I8629" t="str">
        <f>"02737070645"</f>
        <v>02737070645</v>
      </c>
      <c r="K8629" t="str">
        <f>""</f>
        <v/>
      </c>
      <c r="M8629" t="s">
        <v>68</v>
      </c>
      <c r="N8629" t="str">
        <f>"ALTPRO"</f>
        <v>ALTPRO</v>
      </c>
      <c r="O8629" t="s">
        <v>132</v>
      </c>
      <c r="P8629" s="3" t="s">
        <v>75</v>
      </c>
      <c r="Q8629">
        <v>2016</v>
      </c>
      <c r="R8629" s="2">
        <v>42488</v>
      </c>
      <c r="S8629" s="2">
        <v>42492</v>
      </c>
      <c r="T8629" s="2">
        <v>42489</v>
      </c>
      <c r="U8629" s="2">
        <v>42549</v>
      </c>
      <c r="V8629" t="s">
        <v>71</v>
      </c>
      <c r="W8629" t="str">
        <f>"         FATTPA 5_16"</f>
        <v xml:space="preserve">         FATTPA 5_16</v>
      </c>
      <c r="X8629" s="1">
        <v>2636</v>
      </c>
      <c r="Y8629">
        <v>-526.79999999999995</v>
      </c>
      <c r="Z8629"/>
      <c r="AB8629"/>
      <c r="AC8629" s="1">
        <v>2109.1999999999998</v>
      </c>
      <c r="AD8629">
        <v>-33</v>
      </c>
      <c r="AE8629" s="1">
        <v>-69603.600000000006</v>
      </c>
      <c r="AF8629">
        <v>0</v>
      </c>
      <c r="AJ8629">
        <v>0</v>
      </c>
      <c r="AK8629">
        <v>0</v>
      </c>
      <c r="AL8629">
        <v>0</v>
      </c>
      <c r="AM8629" s="1">
        <v>2109.1999999999998</v>
      </c>
      <c r="AN8629" s="1">
        <v>2109.1999999999998</v>
      </c>
      <c r="AO8629" s="1">
        <v>2109.1999999999998</v>
      </c>
      <c r="AP8629" s="2">
        <v>42746</v>
      </c>
      <c r="AQ8629" t="s">
        <v>72</v>
      </c>
      <c r="AR8629" t="s">
        <v>72</v>
      </c>
      <c r="AS8629">
        <v>1385</v>
      </c>
      <c r="AT8629" s="4">
        <v>42516</v>
      </c>
      <c r="AV8629">
        <v>1385</v>
      </c>
      <c r="AW8629" s="4">
        <v>42516</v>
      </c>
      <c r="BD8629">
        <v>0</v>
      </c>
      <c r="BN8629" t="s">
        <v>74</v>
      </c>
    </row>
    <row r="8630" spans="1:66" hidden="1">
      <c r="A8630">
        <v>106392</v>
      </c>
      <c r="B8630" s="3" t="s">
        <v>756</v>
      </c>
      <c r="C8630" s="1">
        <v>43500101</v>
      </c>
      <c r="D8630" t="s">
        <v>113</v>
      </c>
      <c r="H8630" t="str">
        <f t="shared" ref="H8630:H8641" si="892">"FRRNNT68H65A265R"</f>
        <v>FRRNNT68H65A265R</v>
      </c>
      <c r="I8630" t="str">
        <f>""</f>
        <v/>
      </c>
      <c r="K8630" t="str">
        <f>""</f>
        <v/>
      </c>
      <c r="M8630" t="s">
        <v>68</v>
      </c>
      <c r="N8630" t="str">
        <f t="shared" ref="N8630:N8641" si="893">"ALT"</f>
        <v>ALT</v>
      </c>
      <c r="O8630" t="s">
        <v>114</v>
      </c>
      <c r="P8630" s="3" t="s">
        <v>84</v>
      </c>
      <c r="Q8630">
        <v>2016</v>
      </c>
      <c r="R8630" s="2">
        <v>42389</v>
      </c>
      <c r="S8630" s="2">
        <v>42390</v>
      </c>
      <c r="T8630" s="2">
        <v>42390</v>
      </c>
      <c r="U8630" s="2">
        <v>42450</v>
      </c>
      <c r="V8630" t="s">
        <v>71</v>
      </c>
      <c r="W8630" t="str">
        <f>"                0120"</f>
        <v xml:space="preserve">                0120</v>
      </c>
      <c r="X8630">
        <v>0</v>
      </c>
      <c r="Y8630">
        <v>320</v>
      </c>
      <c r="Z8630"/>
      <c r="AB8630"/>
      <c r="AC8630">
        <v>320</v>
      </c>
      <c r="AD8630">
        <v>-60</v>
      </c>
      <c r="AE8630" s="1">
        <v>-19200</v>
      </c>
      <c r="AF8630">
        <v>0</v>
      </c>
      <c r="AJ8630">
        <v>0</v>
      </c>
      <c r="AK8630">
        <v>0</v>
      </c>
      <c r="AL8630">
        <v>0</v>
      </c>
      <c r="AM8630">
        <v>320</v>
      </c>
      <c r="AN8630">
        <v>320</v>
      </c>
      <c r="AO8630">
        <v>320</v>
      </c>
      <c r="AP8630" s="2">
        <v>42746</v>
      </c>
      <c r="AQ8630" t="s">
        <v>72</v>
      </c>
      <c r="AR8630" t="s">
        <v>72</v>
      </c>
      <c r="AS8630">
        <v>54</v>
      </c>
      <c r="AT8630" s="4">
        <v>42390</v>
      </c>
      <c r="AV8630">
        <v>54</v>
      </c>
      <c r="AW8630" s="4">
        <v>42390</v>
      </c>
      <c r="BD8630">
        <v>0</v>
      </c>
      <c r="BN8630" t="s">
        <v>74</v>
      </c>
    </row>
    <row r="8631" spans="1:66" hidden="1">
      <c r="A8631">
        <v>106392</v>
      </c>
      <c r="B8631" s="3" t="s">
        <v>756</v>
      </c>
      <c r="C8631" s="1">
        <v>43500101</v>
      </c>
      <c r="D8631" t="s">
        <v>113</v>
      </c>
      <c r="H8631" t="str">
        <f t="shared" si="892"/>
        <v>FRRNNT68H65A265R</v>
      </c>
      <c r="I8631" t="str">
        <f>""</f>
        <v/>
      </c>
      <c r="K8631" t="str">
        <f>""</f>
        <v/>
      </c>
      <c r="M8631" t="s">
        <v>68</v>
      </c>
      <c r="N8631" t="str">
        <f t="shared" si="893"/>
        <v>ALT</v>
      </c>
      <c r="O8631" t="s">
        <v>114</v>
      </c>
      <c r="P8631" s="3" t="s">
        <v>85</v>
      </c>
      <c r="Q8631">
        <v>2016</v>
      </c>
      <c r="R8631" s="2">
        <v>42422</v>
      </c>
      <c r="S8631" s="2">
        <v>42422</v>
      </c>
      <c r="T8631" s="2">
        <v>42422</v>
      </c>
      <c r="U8631" s="2">
        <v>42482</v>
      </c>
      <c r="V8631" t="s">
        <v>71</v>
      </c>
      <c r="W8631" t="str">
        <f>"                0222"</f>
        <v xml:space="preserve">                0222</v>
      </c>
      <c r="X8631">
        <v>0</v>
      </c>
      <c r="Y8631">
        <v>320</v>
      </c>
      <c r="Z8631"/>
      <c r="AB8631"/>
      <c r="AC8631">
        <v>320</v>
      </c>
      <c r="AD8631">
        <v>-58</v>
      </c>
      <c r="AE8631" s="1">
        <v>-18560</v>
      </c>
      <c r="AF8631">
        <v>0</v>
      </c>
      <c r="AJ8631">
        <v>0</v>
      </c>
      <c r="AK8631">
        <v>0</v>
      </c>
      <c r="AL8631">
        <v>0</v>
      </c>
      <c r="AM8631">
        <v>320</v>
      </c>
      <c r="AN8631">
        <v>320</v>
      </c>
      <c r="AO8631">
        <v>320</v>
      </c>
      <c r="AP8631" s="2">
        <v>42746</v>
      </c>
      <c r="AQ8631" t="s">
        <v>72</v>
      </c>
      <c r="AR8631" t="s">
        <v>72</v>
      </c>
      <c r="AS8631">
        <v>498</v>
      </c>
      <c r="AT8631" s="4">
        <v>42424</v>
      </c>
      <c r="AV8631">
        <v>498</v>
      </c>
      <c r="AW8631" s="4">
        <v>42424</v>
      </c>
      <c r="BD8631">
        <v>0</v>
      </c>
      <c r="BN8631" t="s">
        <v>74</v>
      </c>
    </row>
    <row r="8632" spans="1:66" hidden="1">
      <c r="A8632">
        <v>106392</v>
      </c>
      <c r="B8632" s="3" t="s">
        <v>756</v>
      </c>
      <c r="C8632" s="1">
        <v>43500101</v>
      </c>
      <c r="D8632" t="s">
        <v>113</v>
      </c>
      <c r="H8632" t="str">
        <f t="shared" si="892"/>
        <v>FRRNNT68H65A265R</v>
      </c>
      <c r="I8632" t="str">
        <f>""</f>
        <v/>
      </c>
      <c r="K8632" t="str">
        <f>""</f>
        <v/>
      </c>
      <c r="M8632" t="s">
        <v>68</v>
      </c>
      <c r="N8632" t="str">
        <f t="shared" si="893"/>
        <v>ALT</v>
      </c>
      <c r="O8632" t="s">
        <v>114</v>
      </c>
      <c r="P8632" s="3" t="s">
        <v>86</v>
      </c>
      <c r="Q8632">
        <v>2016</v>
      </c>
      <c r="R8632" s="2">
        <v>42450</v>
      </c>
      <c r="S8632" s="2">
        <v>42450</v>
      </c>
      <c r="T8632" s="2">
        <v>42450</v>
      </c>
      <c r="U8632" s="2">
        <v>42510</v>
      </c>
      <c r="V8632" t="s">
        <v>71</v>
      </c>
      <c r="W8632" t="str">
        <f>"                0321"</f>
        <v xml:space="preserve">                0321</v>
      </c>
      <c r="X8632">
        <v>0</v>
      </c>
      <c r="Y8632">
        <v>320</v>
      </c>
      <c r="Z8632"/>
      <c r="AB8632"/>
      <c r="AC8632">
        <v>320</v>
      </c>
      <c r="AD8632">
        <v>-57</v>
      </c>
      <c r="AE8632" s="1">
        <v>-18240</v>
      </c>
      <c r="AF8632">
        <v>0</v>
      </c>
      <c r="AJ8632">
        <v>0</v>
      </c>
      <c r="AK8632">
        <v>0</v>
      </c>
      <c r="AL8632">
        <v>0</v>
      </c>
      <c r="AM8632">
        <v>320</v>
      </c>
      <c r="AN8632">
        <v>320</v>
      </c>
      <c r="AO8632">
        <v>320</v>
      </c>
      <c r="AP8632" s="2">
        <v>42746</v>
      </c>
      <c r="AQ8632" t="s">
        <v>72</v>
      </c>
      <c r="AR8632" t="s">
        <v>72</v>
      </c>
      <c r="AS8632">
        <v>920</v>
      </c>
      <c r="AT8632" s="4">
        <v>42453</v>
      </c>
      <c r="AV8632">
        <v>920</v>
      </c>
      <c r="AW8632" s="4">
        <v>42453</v>
      </c>
      <c r="BD8632">
        <v>0</v>
      </c>
      <c r="BN8632" t="s">
        <v>74</v>
      </c>
    </row>
    <row r="8633" spans="1:66" hidden="1">
      <c r="A8633">
        <v>106392</v>
      </c>
      <c r="B8633" s="3" t="s">
        <v>756</v>
      </c>
      <c r="C8633" s="1">
        <v>43500101</v>
      </c>
      <c r="D8633" t="s">
        <v>113</v>
      </c>
      <c r="H8633" t="str">
        <f t="shared" si="892"/>
        <v>FRRNNT68H65A265R</v>
      </c>
      <c r="I8633" t="str">
        <f>""</f>
        <v/>
      </c>
      <c r="K8633" t="str">
        <f>""</f>
        <v/>
      </c>
      <c r="M8633" t="s">
        <v>68</v>
      </c>
      <c r="N8633" t="str">
        <f t="shared" si="893"/>
        <v>ALT</v>
      </c>
      <c r="O8633" t="s">
        <v>114</v>
      </c>
      <c r="P8633" s="3" t="s">
        <v>87</v>
      </c>
      <c r="Q8633">
        <v>2016</v>
      </c>
      <c r="R8633" s="2">
        <v>42481</v>
      </c>
      <c r="S8633" s="2">
        <v>42481</v>
      </c>
      <c r="T8633" s="2">
        <v>42481</v>
      </c>
      <c r="U8633" s="2">
        <v>42541</v>
      </c>
      <c r="V8633" t="s">
        <v>71</v>
      </c>
      <c r="W8633" t="str">
        <f>"                0421"</f>
        <v xml:space="preserve">                0421</v>
      </c>
      <c r="X8633">
        <v>0</v>
      </c>
      <c r="Y8633">
        <v>320</v>
      </c>
      <c r="Z8633"/>
      <c r="AB8633"/>
      <c r="AC8633">
        <v>320</v>
      </c>
      <c r="AD8633">
        <v>-60</v>
      </c>
      <c r="AE8633" s="1">
        <v>-19200</v>
      </c>
      <c r="AF8633">
        <v>0</v>
      </c>
      <c r="AJ8633">
        <v>0</v>
      </c>
      <c r="AK8633">
        <v>0</v>
      </c>
      <c r="AL8633">
        <v>0</v>
      </c>
      <c r="AM8633">
        <v>320</v>
      </c>
      <c r="AN8633">
        <v>320</v>
      </c>
      <c r="AO8633">
        <v>320</v>
      </c>
      <c r="AP8633" s="2">
        <v>42746</v>
      </c>
      <c r="AQ8633" t="s">
        <v>72</v>
      </c>
      <c r="AR8633" t="s">
        <v>72</v>
      </c>
      <c r="AS8633">
        <v>1086</v>
      </c>
      <c r="AT8633" s="4">
        <v>42481</v>
      </c>
      <c r="AV8633">
        <v>1086</v>
      </c>
      <c r="AW8633" s="4">
        <v>42481</v>
      </c>
      <c r="BD8633">
        <v>0</v>
      </c>
      <c r="BN8633" t="s">
        <v>74</v>
      </c>
    </row>
    <row r="8634" spans="1:66" hidden="1">
      <c r="A8634">
        <v>106392</v>
      </c>
      <c r="B8634" s="3" t="s">
        <v>756</v>
      </c>
      <c r="C8634" s="1">
        <v>43500101</v>
      </c>
      <c r="D8634" t="s">
        <v>113</v>
      </c>
      <c r="H8634" t="str">
        <f t="shared" si="892"/>
        <v>FRRNNT68H65A265R</v>
      </c>
      <c r="I8634" t="str">
        <f>""</f>
        <v/>
      </c>
      <c r="K8634" t="str">
        <f>""</f>
        <v/>
      </c>
      <c r="M8634" t="s">
        <v>68</v>
      </c>
      <c r="N8634" t="str">
        <f t="shared" si="893"/>
        <v>ALT</v>
      </c>
      <c r="O8634" t="s">
        <v>114</v>
      </c>
      <c r="P8634" s="3" t="s">
        <v>88</v>
      </c>
      <c r="Q8634">
        <v>2016</v>
      </c>
      <c r="R8634" s="2">
        <v>42508</v>
      </c>
      <c r="S8634" s="2">
        <v>42510</v>
      </c>
      <c r="T8634" s="2">
        <v>42510</v>
      </c>
      <c r="U8634" s="2">
        <v>42570</v>
      </c>
      <c r="V8634" t="s">
        <v>71</v>
      </c>
      <c r="W8634" t="str">
        <f>"                0518"</f>
        <v xml:space="preserve">                0518</v>
      </c>
      <c r="X8634">
        <v>0</v>
      </c>
      <c r="Y8634">
        <v>320</v>
      </c>
      <c r="Z8634"/>
      <c r="AB8634"/>
      <c r="AC8634">
        <v>320</v>
      </c>
      <c r="AD8634">
        <v>-57</v>
      </c>
      <c r="AE8634" s="1">
        <v>-18240</v>
      </c>
      <c r="AF8634">
        <v>0</v>
      </c>
      <c r="AJ8634">
        <v>0</v>
      </c>
      <c r="AK8634">
        <v>0</v>
      </c>
      <c r="AL8634">
        <v>0</v>
      </c>
      <c r="AM8634">
        <v>320</v>
      </c>
      <c r="AN8634">
        <v>320</v>
      </c>
      <c r="AO8634">
        <v>320</v>
      </c>
      <c r="AP8634" s="2">
        <v>42746</v>
      </c>
      <c r="AQ8634" t="s">
        <v>72</v>
      </c>
      <c r="AR8634" t="s">
        <v>72</v>
      </c>
      <c r="AS8634">
        <v>1324</v>
      </c>
      <c r="AT8634" s="4">
        <v>42513</v>
      </c>
      <c r="AV8634">
        <v>1324</v>
      </c>
      <c r="AW8634" s="4">
        <v>42513</v>
      </c>
      <c r="BD8634">
        <v>0</v>
      </c>
      <c r="BN8634" t="s">
        <v>74</v>
      </c>
    </row>
    <row r="8635" spans="1:66" hidden="1">
      <c r="A8635">
        <v>106392</v>
      </c>
      <c r="B8635" s="3" t="s">
        <v>756</v>
      </c>
      <c r="C8635" s="1">
        <v>43500101</v>
      </c>
      <c r="D8635" t="s">
        <v>113</v>
      </c>
      <c r="H8635" t="str">
        <f t="shared" si="892"/>
        <v>FRRNNT68H65A265R</v>
      </c>
      <c r="I8635" t="str">
        <f>""</f>
        <v/>
      </c>
      <c r="K8635" t="str">
        <f>""</f>
        <v/>
      </c>
      <c r="M8635" t="s">
        <v>68</v>
      </c>
      <c r="N8635" t="str">
        <f t="shared" si="893"/>
        <v>ALT</v>
      </c>
      <c r="O8635" t="s">
        <v>114</v>
      </c>
      <c r="P8635" s="3" t="s">
        <v>89</v>
      </c>
      <c r="Q8635">
        <v>2016</v>
      </c>
      <c r="R8635" s="2">
        <v>42548</v>
      </c>
      <c r="S8635" s="2">
        <v>42543</v>
      </c>
      <c r="T8635" s="2">
        <v>42543</v>
      </c>
      <c r="U8635" s="2">
        <v>42603</v>
      </c>
      <c r="V8635" t="s">
        <v>71</v>
      </c>
      <c r="W8635" t="str">
        <f>"                0627"</f>
        <v xml:space="preserve">                0627</v>
      </c>
      <c r="X8635">
        <v>0</v>
      </c>
      <c r="Y8635">
        <v>320</v>
      </c>
      <c r="Z8635"/>
      <c r="AB8635"/>
      <c r="AC8635">
        <v>320</v>
      </c>
      <c r="AD8635">
        <v>-47</v>
      </c>
      <c r="AE8635" s="1">
        <v>-15040</v>
      </c>
      <c r="AF8635">
        <v>0</v>
      </c>
      <c r="AJ8635">
        <v>0</v>
      </c>
      <c r="AK8635">
        <v>0</v>
      </c>
      <c r="AL8635">
        <v>0</v>
      </c>
      <c r="AM8635">
        <v>320</v>
      </c>
      <c r="AN8635">
        <v>320</v>
      </c>
      <c r="AO8635">
        <v>320</v>
      </c>
      <c r="AP8635" s="2">
        <v>42746</v>
      </c>
      <c r="AQ8635" t="s">
        <v>72</v>
      </c>
      <c r="AR8635" t="s">
        <v>72</v>
      </c>
      <c r="AS8635">
        <v>1706</v>
      </c>
      <c r="AT8635" s="4">
        <v>42556</v>
      </c>
      <c r="AV8635">
        <v>1706</v>
      </c>
      <c r="AW8635" s="4">
        <v>42556</v>
      </c>
      <c r="BD8635">
        <v>0</v>
      </c>
      <c r="BN8635" t="s">
        <v>74</v>
      </c>
    </row>
    <row r="8636" spans="1:66" hidden="1">
      <c r="A8636">
        <v>106392</v>
      </c>
      <c r="B8636" s="3" t="s">
        <v>756</v>
      </c>
      <c r="C8636" s="1">
        <v>43500101</v>
      </c>
      <c r="D8636" t="s">
        <v>113</v>
      </c>
      <c r="H8636" t="str">
        <f t="shared" si="892"/>
        <v>FRRNNT68H65A265R</v>
      </c>
      <c r="I8636" t="str">
        <f>""</f>
        <v/>
      </c>
      <c r="K8636" t="str">
        <f>""</f>
        <v/>
      </c>
      <c r="M8636" t="s">
        <v>68</v>
      </c>
      <c r="N8636" t="str">
        <f t="shared" si="893"/>
        <v>ALT</v>
      </c>
      <c r="O8636" t="s">
        <v>114</v>
      </c>
      <c r="P8636" s="3" t="s">
        <v>90</v>
      </c>
      <c r="Q8636">
        <v>2016</v>
      </c>
      <c r="R8636" s="2">
        <v>42573</v>
      </c>
      <c r="S8636" s="2">
        <v>42573</v>
      </c>
      <c r="T8636" s="2">
        <v>42573</v>
      </c>
      <c r="U8636" s="2">
        <v>42633</v>
      </c>
      <c r="V8636" t="s">
        <v>71</v>
      </c>
      <c r="W8636" t="str">
        <f>"                0722"</f>
        <v xml:space="preserve">                0722</v>
      </c>
      <c r="X8636">
        <v>0</v>
      </c>
      <c r="Y8636">
        <v>320</v>
      </c>
      <c r="Z8636"/>
      <c r="AB8636"/>
      <c r="AC8636">
        <v>320</v>
      </c>
      <c r="AD8636">
        <v>-48</v>
      </c>
      <c r="AE8636" s="1">
        <v>-15360</v>
      </c>
      <c r="AF8636">
        <v>0</v>
      </c>
      <c r="AJ8636">
        <v>0</v>
      </c>
      <c r="AK8636">
        <v>0</v>
      </c>
      <c r="AL8636">
        <v>0</v>
      </c>
      <c r="AM8636">
        <v>320</v>
      </c>
      <c r="AN8636">
        <v>320</v>
      </c>
      <c r="AO8636">
        <v>320</v>
      </c>
      <c r="AP8636" s="2">
        <v>42746</v>
      </c>
      <c r="AQ8636" t="s">
        <v>72</v>
      </c>
      <c r="AR8636" t="s">
        <v>72</v>
      </c>
      <c r="AS8636">
        <v>2106</v>
      </c>
      <c r="AT8636" s="4">
        <v>42585</v>
      </c>
      <c r="AV8636">
        <v>2106</v>
      </c>
      <c r="AW8636" s="4">
        <v>42585</v>
      </c>
      <c r="BD8636">
        <v>0</v>
      </c>
      <c r="BN8636" t="s">
        <v>74</v>
      </c>
    </row>
    <row r="8637" spans="1:66" hidden="1">
      <c r="A8637">
        <v>106392</v>
      </c>
      <c r="B8637" s="3" t="s">
        <v>756</v>
      </c>
      <c r="C8637" s="1">
        <v>43500101</v>
      </c>
      <c r="D8637" t="s">
        <v>113</v>
      </c>
      <c r="H8637" t="str">
        <f t="shared" si="892"/>
        <v>FRRNNT68H65A265R</v>
      </c>
      <c r="I8637" t="str">
        <f>""</f>
        <v/>
      </c>
      <c r="K8637" t="str">
        <f>""</f>
        <v/>
      </c>
      <c r="M8637" t="s">
        <v>68</v>
      </c>
      <c r="N8637" t="str">
        <f t="shared" si="893"/>
        <v>ALT</v>
      </c>
      <c r="O8637" t="s">
        <v>114</v>
      </c>
      <c r="P8637" s="3" t="s">
        <v>91</v>
      </c>
      <c r="Q8637">
        <v>2016</v>
      </c>
      <c r="R8637" s="2">
        <v>42592</v>
      </c>
      <c r="S8637" s="2">
        <v>42598</v>
      </c>
      <c r="T8637" s="2">
        <v>42598</v>
      </c>
      <c r="U8637" s="2">
        <v>42658</v>
      </c>
      <c r="V8637" t="s">
        <v>71</v>
      </c>
      <c r="W8637" t="str">
        <f>"                0810"</f>
        <v xml:space="preserve">                0810</v>
      </c>
      <c r="X8637">
        <v>0</v>
      </c>
      <c r="Y8637">
        <v>320</v>
      </c>
      <c r="Z8637"/>
      <c r="AB8637"/>
      <c r="AC8637">
        <v>320</v>
      </c>
      <c r="AD8637">
        <v>-60</v>
      </c>
      <c r="AE8637" s="1">
        <v>-19200</v>
      </c>
      <c r="AF8637">
        <v>0</v>
      </c>
      <c r="AJ8637">
        <v>0</v>
      </c>
      <c r="AK8637">
        <v>0</v>
      </c>
      <c r="AL8637">
        <v>0</v>
      </c>
      <c r="AM8637">
        <v>320</v>
      </c>
      <c r="AN8637">
        <v>320</v>
      </c>
      <c r="AO8637">
        <v>320</v>
      </c>
      <c r="AP8637" s="2">
        <v>42746</v>
      </c>
      <c r="AQ8637" t="s">
        <v>72</v>
      </c>
      <c r="AR8637" t="s">
        <v>72</v>
      </c>
      <c r="AS8637">
        <v>2188</v>
      </c>
      <c r="AT8637" s="4">
        <v>42598</v>
      </c>
      <c r="AV8637">
        <v>2188</v>
      </c>
      <c r="AW8637" s="4">
        <v>42598</v>
      </c>
      <c r="BD8637">
        <v>0</v>
      </c>
      <c r="BN8637" t="s">
        <v>74</v>
      </c>
    </row>
    <row r="8638" spans="1:66" hidden="1">
      <c r="A8638">
        <v>106392</v>
      </c>
      <c r="B8638" s="3" t="s">
        <v>756</v>
      </c>
      <c r="C8638" s="1">
        <v>43500101</v>
      </c>
      <c r="D8638" t="s">
        <v>113</v>
      </c>
      <c r="H8638" t="str">
        <f t="shared" si="892"/>
        <v>FRRNNT68H65A265R</v>
      </c>
      <c r="I8638" t="str">
        <f>""</f>
        <v/>
      </c>
      <c r="K8638" t="str">
        <f>""</f>
        <v/>
      </c>
      <c r="M8638" t="s">
        <v>68</v>
      </c>
      <c r="N8638" t="str">
        <f t="shared" si="893"/>
        <v>ALT</v>
      </c>
      <c r="O8638" t="s">
        <v>114</v>
      </c>
      <c r="P8638" s="3" t="s">
        <v>92</v>
      </c>
      <c r="Q8638">
        <v>2016</v>
      </c>
      <c r="R8638" s="2">
        <v>42633</v>
      </c>
      <c r="S8638" s="2">
        <v>42634</v>
      </c>
      <c r="T8638" s="2">
        <v>42634</v>
      </c>
      <c r="U8638" s="2">
        <v>42694</v>
      </c>
      <c r="V8638" t="s">
        <v>71</v>
      </c>
      <c r="W8638" t="str">
        <f>"                0920"</f>
        <v xml:space="preserve">                0920</v>
      </c>
      <c r="X8638">
        <v>0</v>
      </c>
      <c r="Y8638">
        <v>320</v>
      </c>
      <c r="Z8638"/>
      <c r="AB8638"/>
      <c r="AC8638">
        <v>320</v>
      </c>
      <c r="AD8638">
        <v>-60</v>
      </c>
      <c r="AE8638" s="1">
        <v>-19200</v>
      </c>
      <c r="AF8638">
        <v>0</v>
      </c>
      <c r="AJ8638">
        <v>0</v>
      </c>
      <c r="AK8638">
        <v>0</v>
      </c>
      <c r="AL8638">
        <v>0</v>
      </c>
      <c r="AM8638">
        <v>320</v>
      </c>
      <c r="AN8638">
        <v>320</v>
      </c>
      <c r="AO8638">
        <v>320</v>
      </c>
      <c r="AP8638" s="2">
        <v>42746</v>
      </c>
      <c r="AQ8638" t="s">
        <v>72</v>
      </c>
      <c r="AR8638" t="s">
        <v>72</v>
      </c>
      <c r="AS8638">
        <v>2462</v>
      </c>
      <c r="AT8638" s="4">
        <v>42634</v>
      </c>
      <c r="AV8638">
        <v>2462</v>
      </c>
      <c r="AW8638" s="4">
        <v>42634</v>
      </c>
      <c r="BD8638">
        <v>0</v>
      </c>
      <c r="BN8638" t="s">
        <v>74</v>
      </c>
    </row>
    <row r="8639" spans="1:66" hidden="1">
      <c r="A8639">
        <v>106392</v>
      </c>
      <c r="B8639" s="3" t="s">
        <v>756</v>
      </c>
      <c r="C8639" s="1">
        <v>43500101</v>
      </c>
      <c r="D8639" t="s">
        <v>113</v>
      </c>
      <c r="H8639" t="str">
        <f t="shared" si="892"/>
        <v>FRRNNT68H65A265R</v>
      </c>
      <c r="I8639" t="str">
        <f>""</f>
        <v/>
      </c>
      <c r="K8639" t="str">
        <f>""</f>
        <v/>
      </c>
      <c r="M8639" t="s">
        <v>68</v>
      </c>
      <c r="N8639" t="str">
        <f t="shared" si="893"/>
        <v>ALT</v>
      </c>
      <c r="O8639" t="s">
        <v>114</v>
      </c>
      <c r="P8639" s="3" t="s">
        <v>93</v>
      </c>
      <c r="Q8639">
        <v>2016</v>
      </c>
      <c r="R8639" s="2">
        <v>42664</v>
      </c>
      <c r="S8639" s="2">
        <v>42667</v>
      </c>
      <c r="T8639" s="2">
        <v>42667</v>
      </c>
      <c r="U8639" s="2">
        <v>42727</v>
      </c>
      <c r="V8639" t="s">
        <v>71</v>
      </c>
      <c r="W8639" t="str">
        <f>"                1021"</f>
        <v xml:space="preserve">                1021</v>
      </c>
      <c r="X8639">
        <v>0</v>
      </c>
      <c r="Y8639">
        <v>320</v>
      </c>
      <c r="Z8639" s="3">
        <v>320</v>
      </c>
      <c r="AA8639">
        <v>-60</v>
      </c>
      <c r="AB8639" s="5">
        <v>-19200</v>
      </c>
      <c r="AC8639">
        <v>320</v>
      </c>
      <c r="AD8639">
        <v>-60</v>
      </c>
      <c r="AE8639" s="1">
        <v>-19200</v>
      </c>
      <c r="AF8639">
        <v>0</v>
      </c>
      <c r="AJ8639">
        <v>320</v>
      </c>
      <c r="AK8639">
        <v>320</v>
      </c>
      <c r="AL8639">
        <v>320</v>
      </c>
      <c r="AM8639">
        <v>320</v>
      </c>
      <c r="AN8639">
        <v>320</v>
      </c>
      <c r="AO8639">
        <v>320</v>
      </c>
      <c r="AP8639" s="2">
        <v>42746</v>
      </c>
      <c r="AQ8639" t="s">
        <v>72</v>
      </c>
      <c r="AR8639" t="s">
        <v>72</v>
      </c>
      <c r="AS8639">
        <v>2810</v>
      </c>
      <c r="AT8639" s="4">
        <v>42667</v>
      </c>
      <c r="AV8639">
        <v>2810</v>
      </c>
      <c r="AW8639" s="4">
        <v>42667</v>
      </c>
      <c r="BD8639">
        <v>0</v>
      </c>
      <c r="BN8639" t="s">
        <v>74</v>
      </c>
    </row>
    <row r="8640" spans="1:66" hidden="1">
      <c r="A8640">
        <v>106392</v>
      </c>
      <c r="B8640" s="3" t="s">
        <v>756</v>
      </c>
      <c r="C8640" s="1">
        <v>43500101</v>
      </c>
      <c r="D8640" t="s">
        <v>113</v>
      </c>
      <c r="H8640" t="str">
        <f t="shared" si="892"/>
        <v>FRRNNT68H65A265R</v>
      </c>
      <c r="I8640" t="str">
        <f>""</f>
        <v/>
      </c>
      <c r="K8640" t="str">
        <f>""</f>
        <v/>
      </c>
      <c r="M8640" t="s">
        <v>68</v>
      </c>
      <c r="N8640" t="str">
        <f t="shared" si="893"/>
        <v>ALT</v>
      </c>
      <c r="O8640" t="s">
        <v>114</v>
      </c>
      <c r="P8640" s="3" t="s">
        <v>94</v>
      </c>
      <c r="Q8640">
        <v>2016</v>
      </c>
      <c r="R8640" s="2">
        <v>42696</v>
      </c>
      <c r="S8640" s="2">
        <v>42696</v>
      </c>
      <c r="T8640" s="2">
        <v>42696</v>
      </c>
      <c r="U8640" s="2">
        <v>42756</v>
      </c>
      <c r="V8640" t="s">
        <v>71</v>
      </c>
      <c r="W8640" t="str">
        <f>"                1122"</f>
        <v xml:space="preserve">                1122</v>
      </c>
      <c r="X8640">
        <v>0</v>
      </c>
      <c r="Y8640">
        <v>320</v>
      </c>
      <c r="Z8640" s="3">
        <v>320</v>
      </c>
      <c r="AA8640">
        <v>-59</v>
      </c>
      <c r="AB8640" s="5">
        <v>-18880</v>
      </c>
      <c r="AC8640">
        <v>320</v>
      </c>
      <c r="AD8640">
        <v>-59</v>
      </c>
      <c r="AE8640" s="1">
        <v>-18880</v>
      </c>
      <c r="AF8640">
        <v>0</v>
      </c>
      <c r="AJ8640">
        <v>320</v>
      </c>
      <c r="AK8640">
        <v>320</v>
      </c>
      <c r="AL8640">
        <v>320</v>
      </c>
      <c r="AM8640">
        <v>320</v>
      </c>
      <c r="AN8640">
        <v>320</v>
      </c>
      <c r="AO8640">
        <v>320</v>
      </c>
      <c r="AP8640" s="2">
        <v>42746</v>
      </c>
      <c r="AQ8640" t="s">
        <v>72</v>
      </c>
      <c r="AR8640" t="s">
        <v>72</v>
      </c>
      <c r="AS8640">
        <v>3247</v>
      </c>
      <c r="AT8640" s="4">
        <v>42697</v>
      </c>
      <c r="AV8640">
        <v>3247</v>
      </c>
      <c r="AW8640" s="4">
        <v>42697</v>
      </c>
      <c r="BD8640">
        <v>0</v>
      </c>
      <c r="BN8640" t="s">
        <v>74</v>
      </c>
    </row>
    <row r="8641" spans="1:66" hidden="1">
      <c r="A8641">
        <v>106392</v>
      </c>
      <c r="B8641" s="3" t="s">
        <v>756</v>
      </c>
      <c r="C8641" s="1">
        <v>43500101</v>
      </c>
      <c r="D8641" t="s">
        <v>113</v>
      </c>
      <c r="H8641" t="str">
        <f t="shared" si="892"/>
        <v>FRRNNT68H65A265R</v>
      </c>
      <c r="I8641" t="str">
        <f>""</f>
        <v/>
      </c>
      <c r="K8641" t="str">
        <f>""</f>
        <v/>
      </c>
      <c r="M8641" t="s">
        <v>68</v>
      </c>
      <c r="N8641" t="str">
        <f t="shared" si="893"/>
        <v>ALT</v>
      </c>
      <c r="O8641" t="s">
        <v>114</v>
      </c>
      <c r="P8641" s="3" t="s">
        <v>95</v>
      </c>
      <c r="Q8641">
        <v>2016</v>
      </c>
      <c r="R8641" s="2">
        <v>42717</v>
      </c>
      <c r="S8641" s="2">
        <v>42717</v>
      </c>
      <c r="T8641" s="2">
        <v>42717</v>
      </c>
      <c r="U8641" s="2">
        <v>42777</v>
      </c>
      <c r="V8641" t="s">
        <v>71</v>
      </c>
      <c r="W8641" t="str">
        <f>"                1213"</f>
        <v xml:space="preserve">                1213</v>
      </c>
      <c r="X8641">
        <v>0</v>
      </c>
      <c r="Y8641">
        <v>320</v>
      </c>
      <c r="Z8641" s="3">
        <v>320</v>
      </c>
      <c r="AA8641">
        <v>-59</v>
      </c>
      <c r="AB8641" s="5">
        <v>-18880</v>
      </c>
      <c r="AC8641">
        <v>320</v>
      </c>
      <c r="AD8641">
        <v>-59</v>
      </c>
      <c r="AE8641" s="1">
        <v>-18880</v>
      </c>
      <c r="AF8641">
        <v>0</v>
      </c>
      <c r="AJ8641">
        <v>320</v>
      </c>
      <c r="AK8641">
        <v>320</v>
      </c>
      <c r="AL8641">
        <v>320</v>
      </c>
      <c r="AM8641">
        <v>320</v>
      </c>
      <c r="AN8641">
        <v>320</v>
      </c>
      <c r="AO8641">
        <v>320</v>
      </c>
      <c r="AP8641" s="2">
        <v>42746</v>
      </c>
      <c r="AQ8641" t="s">
        <v>72</v>
      </c>
      <c r="AR8641" t="s">
        <v>72</v>
      </c>
      <c r="AS8641">
        <v>3406</v>
      </c>
      <c r="AT8641" s="4">
        <v>42718</v>
      </c>
      <c r="AV8641">
        <v>3406</v>
      </c>
      <c r="AW8641" s="4">
        <v>42718</v>
      </c>
      <c r="BD8641">
        <v>0</v>
      </c>
      <c r="BN8641" t="s">
        <v>74</v>
      </c>
    </row>
    <row r="8642" spans="1:66" hidden="1">
      <c r="A8642">
        <v>106397</v>
      </c>
      <c r="B8642" s="3" t="s">
        <v>757</v>
      </c>
      <c r="C8642" s="1">
        <v>43500101</v>
      </c>
      <c r="D8642" t="s">
        <v>113</v>
      </c>
      <c r="H8642" t="str">
        <f>"NNLGPP73S27A783O"</f>
        <v>NNLGPP73S27A783O</v>
      </c>
      <c r="I8642" t="str">
        <f>"01215650621"</f>
        <v>01215650621</v>
      </c>
      <c r="K8642" t="str">
        <f>""</f>
        <v/>
      </c>
      <c r="M8642" t="s">
        <v>68</v>
      </c>
      <c r="N8642" t="str">
        <f>"ALTPRO"</f>
        <v>ALTPRO</v>
      </c>
      <c r="O8642" t="s">
        <v>132</v>
      </c>
      <c r="P8642" s="3" t="s">
        <v>75</v>
      </c>
      <c r="Q8642">
        <v>2016</v>
      </c>
      <c r="R8642" s="2">
        <v>42408</v>
      </c>
      <c r="S8642" s="2">
        <v>42410</v>
      </c>
      <c r="T8642" s="2">
        <v>42408</v>
      </c>
      <c r="U8642" s="2">
        <v>42468</v>
      </c>
      <c r="V8642" t="s">
        <v>71</v>
      </c>
      <c r="W8642" t="str">
        <f>"             07/2016"</f>
        <v xml:space="preserve">             07/2016</v>
      </c>
      <c r="X8642" s="1">
        <v>5887.74</v>
      </c>
      <c r="Y8642">
        <v>-928.08</v>
      </c>
      <c r="Z8642"/>
      <c r="AB8642"/>
      <c r="AC8642" s="1">
        <v>4959.66</v>
      </c>
      <c r="AD8642">
        <v>-35</v>
      </c>
      <c r="AE8642" s="1">
        <v>-173588.1</v>
      </c>
      <c r="AF8642">
        <v>0</v>
      </c>
      <c r="AJ8642">
        <v>0</v>
      </c>
      <c r="AK8642">
        <v>0</v>
      </c>
      <c r="AL8642">
        <v>0</v>
      </c>
      <c r="AM8642" s="1">
        <v>4959.66</v>
      </c>
      <c r="AN8642" s="1">
        <v>4959.66</v>
      </c>
      <c r="AO8642" s="1">
        <v>4959.66</v>
      </c>
      <c r="AP8642" s="2">
        <v>42746</v>
      </c>
      <c r="AQ8642" t="s">
        <v>72</v>
      </c>
      <c r="AR8642" t="s">
        <v>72</v>
      </c>
      <c r="AS8642">
        <v>666</v>
      </c>
      <c r="AT8642" s="4">
        <v>42433</v>
      </c>
      <c r="AV8642">
        <v>666</v>
      </c>
      <c r="AW8642" s="4">
        <v>42433</v>
      </c>
      <c r="BD8642">
        <v>0</v>
      </c>
      <c r="BN8642" t="s">
        <v>74</v>
      </c>
    </row>
    <row r="8643" spans="1:66" hidden="1">
      <c r="A8643">
        <v>106397</v>
      </c>
      <c r="B8643" s="3" t="s">
        <v>757</v>
      </c>
      <c r="C8643" s="1">
        <v>43500101</v>
      </c>
      <c r="D8643" t="s">
        <v>113</v>
      </c>
      <c r="H8643" t="str">
        <f>"NNLGPP73S27A783O"</f>
        <v>NNLGPP73S27A783O</v>
      </c>
      <c r="I8643" t="str">
        <f>"01215650621"</f>
        <v>01215650621</v>
      </c>
      <c r="K8643" t="str">
        <f>""</f>
        <v/>
      </c>
      <c r="M8643" t="s">
        <v>68</v>
      </c>
      <c r="N8643" t="str">
        <f>"ALTPRO"</f>
        <v>ALTPRO</v>
      </c>
      <c r="O8643" t="s">
        <v>132</v>
      </c>
      <c r="P8643" s="3" t="s">
        <v>75</v>
      </c>
      <c r="Q8643">
        <v>2016</v>
      </c>
      <c r="R8643" s="2">
        <v>42447</v>
      </c>
      <c r="S8643" s="2">
        <v>42460</v>
      </c>
      <c r="T8643" s="2">
        <v>42447</v>
      </c>
      <c r="U8643" s="2">
        <v>42507</v>
      </c>
      <c r="V8643" t="s">
        <v>71</v>
      </c>
      <c r="W8643" t="str">
        <f>"             13/2016"</f>
        <v xml:space="preserve">             13/2016</v>
      </c>
      <c r="X8643" s="1">
        <v>5887.74</v>
      </c>
      <c r="Y8643">
        <v>-928.08</v>
      </c>
      <c r="Z8643"/>
      <c r="AB8643"/>
      <c r="AC8643" s="1">
        <v>4959.66</v>
      </c>
      <c r="AD8643">
        <v>-20</v>
      </c>
      <c r="AE8643" s="1">
        <v>-99193.2</v>
      </c>
      <c r="AF8643">
        <v>0</v>
      </c>
      <c r="AJ8643">
        <v>0</v>
      </c>
      <c r="AK8643">
        <v>0</v>
      </c>
      <c r="AL8643">
        <v>0</v>
      </c>
      <c r="AM8643" s="1">
        <v>4959.66</v>
      </c>
      <c r="AN8643" s="1">
        <v>4959.66</v>
      </c>
      <c r="AO8643" s="1">
        <v>4959.66</v>
      </c>
      <c r="AP8643" s="2">
        <v>42746</v>
      </c>
      <c r="AQ8643" t="s">
        <v>72</v>
      </c>
      <c r="AR8643" t="s">
        <v>72</v>
      </c>
      <c r="AS8643">
        <v>1168</v>
      </c>
      <c r="AT8643" s="4">
        <v>42487</v>
      </c>
      <c r="AV8643">
        <v>1168</v>
      </c>
      <c r="AW8643" s="4">
        <v>42487</v>
      </c>
      <c r="BD8643">
        <v>0</v>
      </c>
      <c r="BN8643" t="s">
        <v>74</v>
      </c>
    </row>
    <row r="8644" spans="1:66" hidden="1">
      <c r="A8644">
        <v>106397</v>
      </c>
      <c r="B8644" s="3" t="s">
        <v>757</v>
      </c>
      <c r="C8644" s="1">
        <v>43500101</v>
      </c>
      <c r="D8644" t="s">
        <v>113</v>
      </c>
      <c r="H8644" t="str">
        <f>"NNLGPP73S27A783O"</f>
        <v>NNLGPP73S27A783O</v>
      </c>
      <c r="I8644" t="str">
        <f>"01215650621"</f>
        <v>01215650621</v>
      </c>
      <c r="K8644" t="str">
        <f>""</f>
        <v/>
      </c>
      <c r="M8644" t="s">
        <v>68</v>
      </c>
      <c r="N8644" t="str">
        <f>"ALTPRO"</f>
        <v>ALTPRO</v>
      </c>
      <c r="O8644" t="s">
        <v>132</v>
      </c>
      <c r="P8644" s="3" t="s">
        <v>75</v>
      </c>
      <c r="Q8644">
        <v>2016</v>
      </c>
      <c r="R8644" s="2">
        <v>42569</v>
      </c>
      <c r="S8644" s="2">
        <v>42577</v>
      </c>
      <c r="T8644" s="2">
        <v>42569</v>
      </c>
      <c r="U8644" s="2">
        <v>42629</v>
      </c>
      <c r="V8644" t="s">
        <v>71</v>
      </c>
      <c r="W8644" t="str">
        <f>"             22/2016"</f>
        <v xml:space="preserve">             22/2016</v>
      </c>
      <c r="X8644" s="1">
        <v>5887.74</v>
      </c>
      <c r="Y8644">
        <v>-928.08</v>
      </c>
      <c r="Z8644"/>
      <c r="AB8644"/>
      <c r="AC8644" s="1">
        <v>4959.66</v>
      </c>
      <c r="AD8644">
        <v>-10</v>
      </c>
      <c r="AE8644" s="1">
        <v>-49596.6</v>
      </c>
      <c r="AF8644">
        <v>0</v>
      </c>
      <c r="AJ8644">
        <v>0</v>
      </c>
      <c r="AK8644">
        <v>0</v>
      </c>
      <c r="AL8644">
        <v>0</v>
      </c>
      <c r="AM8644" s="1">
        <v>4959.66</v>
      </c>
      <c r="AN8644" s="1">
        <v>4959.66</v>
      </c>
      <c r="AO8644" s="1">
        <v>4959.66</v>
      </c>
      <c r="AP8644" s="2">
        <v>42746</v>
      </c>
      <c r="AQ8644" t="s">
        <v>72</v>
      </c>
      <c r="AR8644" t="s">
        <v>72</v>
      </c>
      <c r="AS8644">
        <v>2260</v>
      </c>
      <c r="AT8644" s="4">
        <v>42619</v>
      </c>
      <c r="AV8644">
        <v>2260</v>
      </c>
      <c r="AW8644" s="4">
        <v>42619</v>
      </c>
      <c r="BD8644">
        <v>0</v>
      </c>
      <c r="BN8644" t="s">
        <v>74</v>
      </c>
    </row>
    <row r="8645" spans="1:66" hidden="1">
      <c r="A8645">
        <v>106404</v>
      </c>
      <c r="B8645" s="3" t="s">
        <v>758</v>
      </c>
      <c r="C8645" s="1">
        <v>43300101</v>
      </c>
      <c r="D8645" t="s">
        <v>67</v>
      </c>
      <c r="H8645" t="str">
        <f t="shared" ref="H8645:I8664" si="894">"02368591208"</f>
        <v>02368591208</v>
      </c>
      <c r="I8645" t="str">
        <f t="shared" si="894"/>
        <v>02368591208</v>
      </c>
      <c r="K8645" t="str">
        <f>""</f>
        <v/>
      </c>
      <c r="M8645" t="s">
        <v>68</v>
      </c>
      <c r="N8645" t="str">
        <f t="shared" ref="N8645:N8678" si="895">"FOR"</f>
        <v>FOR</v>
      </c>
      <c r="O8645" t="s">
        <v>69</v>
      </c>
      <c r="P8645" s="3" t="s">
        <v>75</v>
      </c>
      <c r="Q8645">
        <v>2015</v>
      </c>
      <c r="R8645" s="2">
        <v>42108</v>
      </c>
      <c r="S8645" s="2">
        <v>42124</v>
      </c>
      <c r="T8645" s="2">
        <v>42123</v>
      </c>
      <c r="U8645" s="2">
        <v>42183</v>
      </c>
      <c r="V8645" t="s">
        <v>71</v>
      </c>
      <c r="W8645" t="str">
        <f>"          8100001549"</f>
        <v xml:space="preserve">          8100001549</v>
      </c>
      <c r="X8645">
        <v>32.700000000000003</v>
      </c>
      <c r="Y8645">
        <v>0</v>
      </c>
      <c r="Z8645"/>
      <c r="AB8645"/>
      <c r="AC8645">
        <v>26.8</v>
      </c>
      <c r="AD8645">
        <v>233</v>
      </c>
      <c r="AE8645" s="1">
        <v>6244.4</v>
      </c>
      <c r="AF8645">
        <v>0</v>
      </c>
      <c r="AJ8645">
        <v>0</v>
      </c>
      <c r="AK8645">
        <v>0</v>
      </c>
      <c r="AL8645">
        <v>0</v>
      </c>
      <c r="AM8645">
        <v>0</v>
      </c>
      <c r="AN8645">
        <v>0</v>
      </c>
      <c r="AO8645">
        <v>0</v>
      </c>
      <c r="AP8645" s="2">
        <v>42746</v>
      </c>
      <c r="AQ8645" t="s">
        <v>72</v>
      </c>
      <c r="AR8645" t="s">
        <v>72</v>
      </c>
      <c r="AS8645">
        <v>416</v>
      </c>
      <c r="AT8645" s="4">
        <v>42416</v>
      </c>
      <c r="AU8645" t="s">
        <v>73</v>
      </c>
      <c r="AV8645">
        <v>416</v>
      </c>
      <c r="AW8645" s="4">
        <v>42416</v>
      </c>
      <c r="BD8645">
        <v>0</v>
      </c>
      <c r="BN8645" t="s">
        <v>74</v>
      </c>
    </row>
    <row r="8646" spans="1:66" hidden="1">
      <c r="A8646">
        <v>106404</v>
      </c>
      <c r="B8646" s="3" t="s">
        <v>758</v>
      </c>
      <c r="C8646" s="1">
        <v>43300101</v>
      </c>
      <c r="D8646" t="s">
        <v>67</v>
      </c>
      <c r="H8646" t="str">
        <f t="shared" si="894"/>
        <v>02368591208</v>
      </c>
      <c r="I8646" t="str">
        <f t="shared" si="894"/>
        <v>02368591208</v>
      </c>
      <c r="K8646" t="str">
        <f>""</f>
        <v/>
      </c>
      <c r="M8646" t="s">
        <v>68</v>
      </c>
      <c r="N8646" t="str">
        <f t="shared" si="895"/>
        <v>FOR</v>
      </c>
      <c r="O8646" t="s">
        <v>69</v>
      </c>
      <c r="P8646" s="3" t="s">
        <v>75</v>
      </c>
      <c r="Q8646">
        <v>2015</v>
      </c>
      <c r="R8646" s="2">
        <v>42109</v>
      </c>
      <c r="S8646" s="2">
        <v>42124</v>
      </c>
      <c r="T8646" s="2">
        <v>42123</v>
      </c>
      <c r="U8646" s="2">
        <v>42183</v>
      </c>
      <c r="V8646" t="s">
        <v>71</v>
      </c>
      <c r="W8646" t="str">
        <f>"          8100001628"</f>
        <v xml:space="preserve">          8100001628</v>
      </c>
      <c r="X8646" s="1">
        <v>16016.47</v>
      </c>
      <c r="Y8646">
        <v>0</v>
      </c>
      <c r="Z8646"/>
      <c r="AB8646"/>
      <c r="AC8646" s="1">
        <v>13128.25</v>
      </c>
      <c r="AD8646">
        <v>233</v>
      </c>
      <c r="AE8646" s="1">
        <v>3058882.25</v>
      </c>
      <c r="AF8646">
        <v>0</v>
      </c>
      <c r="AJ8646">
        <v>0</v>
      </c>
      <c r="AK8646">
        <v>0</v>
      </c>
      <c r="AL8646">
        <v>0</v>
      </c>
      <c r="AM8646">
        <v>0</v>
      </c>
      <c r="AN8646">
        <v>0</v>
      </c>
      <c r="AO8646">
        <v>0</v>
      </c>
      <c r="AP8646" s="2">
        <v>42746</v>
      </c>
      <c r="AQ8646" t="s">
        <v>72</v>
      </c>
      <c r="AR8646" t="s">
        <v>72</v>
      </c>
      <c r="AS8646">
        <v>416</v>
      </c>
      <c r="AT8646" s="4">
        <v>42416</v>
      </c>
      <c r="AU8646" t="s">
        <v>73</v>
      </c>
      <c r="AV8646">
        <v>416</v>
      </c>
      <c r="AW8646" s="4">
        <v>42416</v>
      </c>
      <c r="BD8646">
        <v>0</v>
      </c>
      <c r="BN8646" t="s">
        <v>74</v>
      </c>
    </row>
    <row r="8647" spans="1:66" hidden="1">
      <c r="A8647">
        <v>106404</v>
      </c>
      <c r="B8647" s="3" t="s">
        <v>758</v>
      </c>
      <c r="C8647" s="1">
        <v>43300101</v>
      </c>
      <c r="D8647" t="s">
        <v>67</v>
      </c>
      <c r="H8647" t="str">
        <f t="shared" si="894"/>
        <v>02368591208</v>
      </c>
      <c r="I8647" t="str">
        <f t="shared" si="894"/>
        <v>02368591208</v>
      </c>
      <c r="K8647" t="str">
        <f>""</f>
        <v/>
      </c>
      <c r="M8647" t="s">
        <v>68</v>
      </c>
      <c r="N8647" t="str">
        <f t="shared" si="895"/>
        <v>FOR</v>
      </c>
      <c r="O8647" t="s">
        <v>69</v>
      </c>
      <c r="P8647" s="3" t="s">
        <v>75</v>
      </c>
      <c r="Q8647">
        <v>2015</v>
      </c>
      <c r="R8647" s="2">
        <v>42170</v>
      </c>
      <c r="S8647" s="2">
        <v>42171</v>
      </c>
      <c r="T8647" s="2">
        <v>42171</v>
      </c>
      <c r="U8647" s="2">
        <v>42231</v>
      </c>
      <c r="V8647" t="s">
        <v>71</v>
      </c>
      <c r="W8647" t="str">
        <f>"          8100005300"</f>
        <v xml:space="preserve">          8100005300</v>
      </c>
      <c r="X8647">
        <v>32.700000000000003</v>
      </c>
      <c r="Y8647">
        <v>0</v>
      </c>
      <c r="Z8647"/>
      <c r="AB8647"/>
      <c r="AC8647">
        <v>26.8</v>
      </c>
      <c r="AD8647">
        <v>289</v>
      </c>
      <c r="AE8647" s="1">
        <v>7745.2</v>
      </c>
      <c r="AF8647">
        <v>0</v>
      </c>
      <c r="AJ8647">
        <v>0</v>
      </c>
      <c r="AK8647">
        <v>0</v>
      </c>
      <c r="AL8647">
        <v>0</v>
      </c>
      <c r="AM8647">
        <v>0</v>
      </c>
      <c r="AN8647">
        <v>0</v>
      </c>
      <c r="AO8647">
        <v>0</v>
      </c>
      <c r="AP8647" s="2">
        <v>42746</v>
      </c>
      <c r="AQ8647" t="s">
        <v>72</v>
      </c>
      <c r="AR8647" t="s">
        <v>72</v>
      </c>
      <c r="AS8647">
        <v>1468</v>
      </c>
      <c r="AT8647" s="4">
        <v>42520</v>
      </c>
      <c r="AU8647" t="s">
        <v>73</v>
      </c>
      <c r="AV8647">
        <v>1468</v>
      </c>
      <c r="AW8647" s="4">
        <v>42520</v>
      </c>
      <c r="BD8647">
        <v>0</v>
      </c>
      <c r="BN8647" t="s">
        <v>74</v>
      </c>
    </row>
    <row r="8648" spans="1:66" hidden="1">
      <c r="A8648">
        <v>106404</v>
      </c>
      <c r="B8648" s="3" t="s">
        <v>758</v>
      </c>
      <c r="C8648" s="1">
        <v>43300101</v>
      </c>
      <c r="D8648" t="s">
        <v>67</v>
      </c>
      <c r="H8648" t="str">
        <f t="shared" si="894"/>
        <v>02368591208</v>
      </c>
      <c r="I8648" t="str">
        <f t="shared" si="894"/>
        <v>02368591208</v>
      </c>
      <c r="K8648" t="str">
        <f>""</f>
        <v/>
      </c>
      <c r="M8648" t="s">
        <v>68</v>
      </c>
      <c r="N8648" t="str">
        <f t="shared" si="895"/>
        <v>FOR</v>
      </c>
      <c r="O8648" t="s">
        <v>69</v>
      </c>
      <c r="P8648" s="3" t="s">
        <v>75</v>
      </c>
      <c r="Q8648">
        <v>2015</v>
      </c>
      <c r="R8648" s="2">
        <v>42171</v>
      </c>
      <c r="S8648" s="2">
        <v>42172</v>
      </c>
      <c r="T8648" s="2">
        <v>42172</v>
      </c>
      <c r="U8648" s="2">
        <v>42232</v>
      </c>
      <c r="V8648" t="s">
        <v>71</v>
      </c>
      <c r="W8648" t="str">
        <f>"          8100005376"</f>
        <v xml:space="preserve">          8100005376</v>
      </c>
      <c r="X8648" s="1">
        <v>14522.58</v>
      </c>
      <c r="Y8648">
        <v>0</v>
      </c>
      <c r="Z8648"/>
      <c r="AB8648"/>
      <c r="AC8648" s="1">
        <v>11903.75</v>
      </c>
      <c r="AD8648">
        <v>288</v>
      </c>
      <c r="AE8648" s="1">
        <v>3428280</v>
      </c>
      <c r="AF8648">
        <v>0</v>
      </c>
      <c r="AJ8648">
        <v>0</v>
      </c>
      <c r="AK8648">
        <v>0</v>
      </c>
      <c r="AL8648">
        <v>0</v>
      </c>
      <c r="AM8648">
        <v>0</v>
      </c>
      <c r="AN8648">
        <v>0</v>
      </c>
      <c r="AO8648">
        <v>0</v>
      </c>
      <c r="AP8648" s="2">
        <v>42746</v>
      </c>
      <c r="AQ8648" t="s">
        <v>72</v>
      </c>
      <c r="AR8648" t="s">
        <v>72</v>
      </c>
      <c r="AS8648">
        <v>1468</v>
      </c>
      <c r="AT8648" s="4">
        <v>42520</v>
      </c>
      <c r="AU8648" t="s">
        <v>73</v>
      </c>
      <c r="AV8648">
        <v>1468</v>
      </c>
      <c r="AW8648" s="4">
        <v>42520</v>
      </c>
      <c r="BD8648">
        <v>0</v>
      </c>
      <c r="BN8648" t="s">
        <v>74</v>
      </c>
    </row>
    <row r="8649" spans="1:66">
      <c r="A8649">
        <v>106404</v>
      </c>
      <c r="B8649" s="3" t="s">
        <v>758</v>
      </c>
      <c r="C8649" s="1">
        <v>43300101</v>
      </c>
      <c r="D8649" t="s">
        <v>67</v>
      </c>
      <c r="H8649" t="str">
        <f t="shared" si="894"/>
        <v>02368591208</v>
      </c>
      <c r="I8649" t="str">
        <f t="shared" si="894"/>
        <v>02368591208</v>
      </c>
      <c r="K8649" t="str">
        <f>""</f>
        <v/>
      </c>
      <c r="M8649" t="s">
        <v>68</v>
      </c>
      <c r="N8649" t="str">
        <f t="shared" si="895"/>
        <v>FOR</v>
      </c>
      <c r="O8649" t="s">
        <v>69</v>
      </c>
      <c r="P8649" s="3" t="s">
        <v>75</v>
      </c>
      <c r="Q8649">
        <v>2015</v>
      </c>
      <c r="R8649" s="2">
        <v>42177</v>
      </c>
      <c r="S8649" s="2">
        <v>42180</v>
      </c>
      <c r="T8649" s="2">
        <v>42178</v>
      </c>
      <c r="U8649" s="2">
        <v>42238</v>
      </c>
      <c r="V8649" t="s">
        <v>71</v>
      </c>
      <c r="W8649" t="str">
        <f>"          8100005708"</f>
        <v xml:space="preserve">          8100005708</v>
      </c>
      <c r="X8649" s="1">
        <v>4209</v>
      </c>
      <c r="Y8649">
        <v>0</v>
      </c>
      <c r="Z8649" s="5">
        <v>3450</v>
      </c>
      <c r="AA8649">
        <v>481</v>
      </c>
      <c r="AB8649" s="5">
        <v>1659450</v>
      </c>
      <c r="AC8649" s="1">
        <v>3450</v>
      </c>
      <c r="AD8649">
        <v>481</v>
      </c>
      <c r="AE8649" s="1">
        <v>1659450</v>
      </c>
      <c r="AF8649">
        <v>759</v>
      </c>
      <c r="AJ8649">
        <v>0</v>
      </c>
      <c r="AK8649">
        <v>0</v>
      </c>
      <c r="AL8649">
        <v>0</v>
      </c>
      <c r="AM8649">
        <v>0</v>
      </c>
      <c r="AN8649">
        <v>0</v>
      </c>
      <c r="AO8649">
        <v>0</v>
      </c>
      <c r="AP8649" s="2">
        <v>42746</v>
      </c>
      <c r="AQ8649" t="s">
        <v>72</v>
      </c>
      <c r="AR8649" t="s">
        <v>72</v>
      </c>
      <c r="AS8649">
        <v>3508</v>
      </c>
      <c r="AT8649" s="4">
        <v>42719</v>
      </c>
      <c r="AU8649" t="s">
        <v>73</v>
      </c>
      <c r="AV8649">
        <v>3508</v>
      </c>
      <c r="AW8649" s="4">
        <v>42719</v>
      </c>
      <c r="BD8649">
        <v>759</v>
      </c>
      <c r="BN8649" t="s">
        <v>74</v>
      </c>
    </row>
    <row r="8650" spans="1:66" hidden="1">
      <c r="A8650">
        <v>106404</v>
      </c>
      <c r="B8650" s="3" t="s">
        <v>758</v>
      </c>
      <c r="C8650" s="1">
        <v>43300101</v>
      </c>
      <c r="D8650" t="s">
        <v>67</v>
      </c>
      <c r="H8650" t="str">
        <f t="shared" si="894"/>
        <v>02368591208</v>
      </c>
      <c r="I8650" t="str">
        <f t="shared" si="894"/>
        <v>02368591208</v>
      </c>
      <c r="K8650" t="str">
        <f>""</f>
        <v/>
      </c>
      <c r="M8650" t="s">
        <v>68</v>
      </c>
      <c r="N8650" t="str">
        <f t="shared" si="895"/>
        <v>FOR</v>
      </c>
      <c r="O8650" t="s">
        <v>69</v>
      </c>
      <c r="P8650" s="3" t="s">
        <v>75</v>
      </c>
      <c r="Q8650">
        <v>2015</v>
      </c>
      <c r="R8650" s="2">
        <v>42234</v>
      </c>
      <c r="S8650" s="2">
        <v>42236</v>
      </c>
      <c r="T8650" s="2">
        <v>42235</v>
      </c>
      <c r="U8650" s="2">
        <v>42295</v>
      </c>
      <c r="V8650" t="s">
        <v>71</v>
      </c>
      <c r="W8650" t="str">
        <f>"          8100009648"</f>
        <v xml:space="preserve">          8100009648</v>
      </c>
      <c r="X8650" s="1">
        <v>13448.67</v>
      </c>
      <c r="Y8650">
        <v>0</v>
      </c>
      <c r="Z8650"/>
      <c r="AB8650"/>
      <c r="AC8650" s="1">
        <v>11023.5</v>
      </c>
      <c r="AD8650">
        <v>284</v>
      </c>
      <c r="AE8650" s="1">
        <v>3130674</v>
      </c>
      <c r="AF8650">
        <v>0</v>
      </c>
      <c r="AJ8650">
        <v>0</v>
      </c>
      <c r="AK8650">
        <v>0</v>
      </c>
      <c r="AL8650">
        <v>0</v>
      </c>
      <c r="AM8650">
        <v>0</v>
      </c>
      <c r="AN8650">
        <v>0</v>
      </c>
      <c r="AO8650">
        <v>0</v>
      </c>
      <c r="AP8650" s="2">
        <v>42746</v>
      </c>
      <c r="AQ8650" t="s">
        <v>72</v>
      </c>
      <c r="AR8650" t="s">
        <v>72</v>
      </c>
      <c r="AS8650">
        <v>2037</v>
      </c>
      <c r="AT8650" s="4">
        <v>42579</v>
      </c>
      <c r="AU8650" t="s">
        <v>73</v>
      </c>
      <c r="AV8650">
        <v>2037</v>
      </c>
      <c r="AW8650" s="4">
        <v>42579</v>
      </c>
      <c r="BD8650">
        <v>0</v>
      </c>
      <c r="BN8650" t="s">
        <v>74</v>
      </c>
    </row>
    <row r="8651" spans="1:66">
      <c r="A8651">
        <v>106404</v>
      </c>
      <c r="B8651" s="3" t="s">
        <v>758</v>
      </c>
      <c r="C8651" s="1">
        <v>43300101</v>
      </c>
      <c r="D8651" t="s">
        <v>67</v>
      </c>
      <c r="H8651" t="str">
        <f t="shared" si="894"/>
        <v>02368591208</v>
      </c>
      <c r="I8651" t="str">
        <f t="shared" si="894"/>
        <v>02368591208</v>
      </c>
      <c r="K8651" t="str">
        <f>""</f>
        <v/>
      </c>
      <c r="M8651" t="s">
        <v>68</v>
      </c>
      <c r="N8651" t="str">
        <f t="shared" si="895"/>
        <v>FOR</v>
      </c>
      <c r="O8651" t="s">
        <v>69</v>
      </c>
      <c r="P8651" s="3" t="s">
        <v>75</v>
      </c>
      <c r="Q8651">
        <v>2015</v>
      </c>
      <c r="R8651" s="2">
        <v>42291</v>
      </c>
      <c r="S8651" s="2">
        <v>42292</v>
      </c>
      <c r="T8651" s="2">
        <v>42292</v>
      </c>
      <c r="U8651" s="2">
        <v>42352</v>
      </c>
      <c r="V8651" t="s">
        <v>71</v>
      </c>
      <c r="W8651" t="str">
        <f>"          8100013461"</f>
        <v xml:space="preserve">          8100013461</v>
      </c>
      <c r="X8651" s="1">
        <v>6816.63</v>
      </c>
      <c r="Y8651">
        <v>0</v>
      </c>
      <c r="Z8651" s="5">
        <v>5587.4</v>
      </c>
      <c r="AA8651">
        <v>296</v>
      </c>
      <c r="AB8651" s="5">
        <v>1653870.4</v>
      </c>
      <c r="AC8651" s="1">
        <v>5587.4</v>
      </c>
      <c r="AD8651">
        <v>296</v>
      </c>
      <c r="AE8651" s="1">
        <v>1653870.4</v>
      </c>
      <c r="AF8651">
        <v>0</v>
      </c>
      <c r="AJ8651">
        <v>0</v>
      </c>
      <c r="AK8651">
        <v>0</v>
      </c>
      <c r="AL8651">
        <v>0</v>
      </c>
      <c r="AM8651">
        <v>0</v>
      </c>
      <c r="AN8651">
        <v>0</v>
      </c>
      <c r="AO8651">
        <v>0</v>
      </c>
      <c r="AP8651" s="2">
        <v>42746</v>
      </c>
      <c r="AQ8651" t="s">
        <v>72</v>
      </c>
      <c r="AR8651" t="s">
        <v>72</v>
      </c>
      <c r="AS8651">
        <v>2673</v>
      </c>
      <c r="AT8651" s="4">
        <v>42648</v>
      </c>
      <c r="AU8651" t="s">
        <v>73</v>
      </c>
      <c r="AV8651">
        <v>2673</v>
      </c>
      <c r="AW8651" s="4">
        <v>42648</v>
      </c>
      <c r="BD8651">
        <v>0</v>
      </c>
      <c r="BN8651" t="s">
        <v>74</v>
      </c>
    </row>
    <row r="8652" spans="1:66">
      <c r="A8652">
        <v>106404</v>
      </c>
      <c r="B8652" s="3" t="s">
        <v>758</v>
      </c>
      <c r="C8652" s="1">
        <v>43300101</v>
      </c>
      <c r="D8652" t="s">
        <v>67</v>
      </c>
      <c r="H8652" t="str">
        <f t="shared" si="894"/>
        <v>02368591208</v>
      </c>
      <c r="I8652" t="str">
        <f t="shared" si="894"/>
        <v>02368591208</v>
      </c>
      <c r="K8652" t="str">
        <f>""</f>
        <v/>
      </c>
      <c r="M8652" t="s">
        <v>68</v>
      </c>
      <c r="N8652" t="str">
        <f t="shared" si="895"/>
        <v>FOR</v>
      </c>
      <c r="O8652" t="s">
        <v>69</v>
      </c>
      <c r="P8652" s="3" t="s">
        <v>75</v>
      </c>
      <c r="Q8652">
        <v>2015</v>
      </c>
      <c r="R8652" s="2">
        <v>42310</v>
      </c>
      <c r="S8652" s="2">
        <v>42312</v>
      </c>
      <c r="T8652" s="2">
        <v>42311</v>
      </c>
      <c r="U8652" s="2">
        <v>42371</v>
      </c>
      <c r="V8652" t="s">
        <v>71</v>
      </c>
      <c r="W8652" t="str">
        <f>"          8100014631"</f>
        <v xml:space="preserve">          8100014631</v>
      </c>
      <c r="X8652" s="1">
        <v>17888.919999999998</v>
      </c>
      <c r="Y8652">
        <v>0</v>
      </c>
      <c r="Z8652" s="5">
        <v>14663.05</v>
      </c>
      <c r="AA8652">
        <v>311</v>
      </c>
      <c r="AB8652" s="5">
        <v>4560208.55</v>
      </c>
      <c r="AC8652" s="1">
        <v>14663.05</v>
      </c>
      <c r="AD8652">
        <v>311</v>
      </c>
      <c r="AE8652" s="1">
        <v>4560208.55</v>
      </c>
      <c r="AF8652">
        <v>0</v>
      </c>
      <c r="AJ8652">
        <v>0</v>
      </c>
      <c r="AK8652">
        <v>0</v>
      </c>
      <c r="AL8652">
        <v>0</v>
      </c>
      <c r="AM8652">
        <v>0</v>
      </c>
      <c r="AN8652">
        <v>0</v>
      </c>
      <c r="AO8652">
        <v>0</v>
      </c>
      <c r="AP8652" s="2">
        <v>42746</v>
      </c>
      <c r="AQ8652" t="s">
        <v>72</v>
      </c>
      <c r="AR8652" t="s">
        <v>72</v>
      </c>
      <c r="AS8652">
        <v>2970</v>
      </c>
      <c r="AT8652" s="4">
        <v>42682</v>
      </c>
      <c r="AU8652" t="s">
        <v>73</v>
      </c>
      <c r="AV8652">
        <v>2970</v>
      </c>
      <c r="AW8652" s="4">
        <v>42682</v>
      </c>
      <c r="BD8652">
        <v>0</v>
      </c>
      <c r="BN8652" t="s">
        <v>74</v>
      </c>
    </row>
    <row r="8653" spans="1:66">
      <c r="A8653">
        <v>106404</v>
      </c>
      <c r="B8653" s="3" t="s">
        <v>758</v>
      </c>
      <c r="C8653" s="1">
        <v>43300101</v>
      </c>
      <c r="D8653" t="s">
        <v>67</v>
      </c>
      <c r="H8653" t="str">
        <f t="shared" si="894"/>
        <v>02368591208</v>
      </c>
      <c r="I8653" t="str">
        <f t="shared" si="894"/>
        <v>02368591208</v>
      </c>
      <c r="K8653" t="str">
        <f>""</f>
        <v/>
      </c>
      <c r="M8653" t="s">
        <v>68</v>
      </c>
      <c r="N8653" t="str">
        <f t="shared" si="895"/>
        <v>FOR</v>
      </c>
      <c r="O8653" t="s">
        <v>69</v>
      </c>
      <c r="P8653" s="3" t="s">
        <v>75</v>
      </c>
      <c r="Q8653">
        <v>2015</v>
      </c>
      <c r="R8653" s="2">
        <v>42320</v>
      </c>
      <c r="S8653" s="2">
        <v>42324</v>
      </c>
      <c r="T8653" s="2">
        <v>42321</v>
      </c>
      <c r="U8653" s="2">
        <v>42381</v>
      </c>
      <c r="V8653" t="s">
        <v>71</v>
      </c>
      <c r="W8653" t="str">
        <f>"          8100015318"</f>
        <v xml:space="preserve">          8100015318</v>
      </c>
      <c r="X8653">
        <v>16.350000000000001</v>
      </c>
      <c r="Y8653">
        <v>0</v>
      </c>
      <c r="Z8653" s="3">
        <v>13.4</v>
      </c>
      <c r="AA8653">
        <v>301</v>
      </c>
      <c r="AB8653" s="5">
        <v>4033.4</v>
      </c>
      <c r="AC8653">
        <v>13.4</v>
      </c>
      <c r="AD8653">
        <v>301</v>
      </c>
      <c r="AE8653" s="1">
        <v>4033.4</v>
      </c>
      <c r="AF8653">
        <v>0</v>
      </c>
      <c r="AJ8653">
        <v>0</v>
      </c>
      <c r="AK8653">
        <v>0</v>
      </c>
      <c r="AL8653">
        <v>0</v>
      </c>
      <c r="AM8653">
        <v>0</v>
      </c>
      <c r="AN8653">
        <v>0</v>
      </c>
      <c r="AO8653">
        <v>0</v>
      </c>
      <c r="AP8653" s="2">
        <v>42746</v>
      </c>
      <c r="AQ8653" t="s">
        <v>72</v>
      </c>
      <c r="AR8653" t="s">
        <v>72</v>
      </c>
      <c r="AS8653">
        <v>2970</v>
      </c>
      <c r="AT8653" s="4">
        <v>42682</v>
      </c>
      <c r="AU8653" t="s">
        <v>73</v>
      </c>
      <c r="AV8653">
        <v>2970</v>
      </c>
      <c r="AW8653" s="4">
        <v>42682</v>
      </c>
      <c r="BD8653">
        <v>0</v>
      </c>
      <c r="BN8653" t="s">
        <v>74</v>
      </c>
    </row>
    <row r="8654" spans="1:66">
      <c r="A8654">
        <v>106404</v>
      </c>
      <c r="B8654" s="3" t="s">
        <v>758</v>
      </c>
      <c r="C8654" s="1">
        <v>43300101</v>
      </c>
      <c r="D8654" t="s">
        <v>67</v>
      </c>
      <c r="H8654" t="str">
        <f t="shared" si="894"/>
        <v>02368591208</v>
      </c>
      <c r="I8654" t="str">
        <f t="shared" si="894"/>
        <v>02368591208</v>
      </c>
      <c r="K8654" t="str">
        <f>""</f>
        <v/>
      </c>
      <c r="M8654" t="s">
        <v>68</v>
      </c>
      <c r="N8654" t="str">
        <f t="shared" si="895"/>
        <v>FOR</v>
      </c>
      <c r="O8654" t="s">
        <v>69</v>
      </c>
      <c r="P8654" s="3" t="s">
        <v>75</v>
      </c>
      <c r="Q8654">
        <v>2015</v>
      </c>
      <c r="R8654" s="2">
        <v>42349</v>
      </c>
      <c r="S8654" s="2">
        <v>42354</v>
      </c>
      <c r="T8654" s="2">
        <v>42352</v>
      </c>
      <c r="U8654" s="2">
        <v>42412</v>
      </c>
      <c r="V8654" t="s">
        <v>71</v>
      </c>
      <c r="W8654" t="str">
        <f>"          8100017141"</f>
        <v xml:space="preserve">          8100017141</v>
      </c>
      <c r="X8654">
        <v>32.700000000000003</v>
      </c>
      <c r="Y8654">
        <v>0</v>
      </c>
      <c r="Z8654" s="3">
        <v>26.8</v>
      </c>
      <c r="AA8654">
        <v>280</v>
      </c>
      <c r="AB8654" s="5">
        <v>7504</v>
      </c>
      <c r="AC8654">
        <v>26.8</v>
      </c>
      <c r="AD8654">
        <v>280</v>
      </c>
      <c r="AE8654" s="1">
        <v>7504</v>
      </c>
      <c r="AF8654">
        <v>0</v>
      </c>
      <c r="AJ8654">
        <v>0</v>
      </c>
      <c r="AK8654">
        <v>0</v>
      </c>
      <c r="AL8654">
        <v>0</v>
      </c>
      <c r="AM8654">
        <v>0</v>
      </c>
      <c r="AN8654">
        <v>0</v>
      </c>
      <c r="AO8654">
        <v>0</v>
      </c>
      <c r="AP8654" s="2">
        <v>42746</v>
      </c>
      <c r="AQ8654" t="s">
        <v>72</v>
      </c>
      <c r="AR8654" t="s">
        <v>72</v>
      </c>
      <c r="AS8654">
        <v>3176</v>
      </c>
      <c r="AT8654" s="4">
        <v>42692</v>
      </c>
      <c r="AU8654" t="s">
        <v>73</v>
      </c>
      <c r="AV8654">
        <v>3176</v>
      </c>
      <c r="AW8654" s="4">
        <v>42692</v>
      </c>
      <c r="BD8654">
        <v>0</v>
      </c>
      <c r="BN8654" t="s">
        <v>74</v>
      </c>
    </row>
    <row r="8655" spans="1:66">
      <c r="A8655">
        <v>106404</v>
      </c>
      <c r="B8655" s="3" t="s">
        <v>758</v>
      </c>
      <c r="C8655" s="1">
        <v>43300101</v>
      </c>
      <c r="D8655" t="s">
        <v>67</v>
      </c>
      <c r="H8655" t="str">
        <f t="shared" si="894"/>
        <v>02368591208</v>
      </c>
      <c r="I8655" t="str">
        <f t="shared" si="894"/>
        <v>02368591208</v>
      </c>
      <c r="K8655" t="str">
        <f>""</f>
        <v/>
      </c>
      <c r="M8655" t="s">
        <v>68</v>
      </c>
      <c r="N8655" t="str">
        <f t="shared" si="895"/>
        <v>FOR</v>
      </c>
      <c r="O8655" t="s">
        <v>69</v>
      </c>
      <c r="P8655" s="3" t="s">
        <v>75</v>
      </c>
      <c r="Q8655">
        <v>2015</v>
      </c>
      <c r="R8655" s="2">
        <v>42356</v>
      </c>
      <c r="S8655" s="2">
        <v>42359</v>
      </c>
      <c r="T8655" s="2">
        <v>42359</v>
      </c>
      <c r="U8655" s="2">
        <v>42419</v>
      </c>
      <c r="V8655" t="s">
        <v>71</v>
      </c>
      <c r="W8655" t="str">
        <f>"          8100017627"</f>
        <v xml:space="preserve">          8100017627</v>
      </c>
      <c r="X8655" s="1">
        <v>4209</v>
      </c>
      <c r="Y8655">
        <v>0</v>
      </c>
      <c r="Z8655" s="5">
        <v>3450</v>
      </c>
      <c r="AA8655">
        <v>300</v>
      </c>
      <c r="AB8655" s="5">
        <v>1035000</v>
      </c>
      <c r="AC8655" s="1">
        <v>3450</v>
      </c>
      <c r="AD8655">
        <v>300</v>
      </c>
      <c r="AE8655" s="1">
        <v>1035000</v>
      </c>
      <c r="AF8655">
        <v>759</v>
      </c>
      <c r="AJ8655">
        <v>0</v>
      </c>
      <c r="AK8655">
        <v>0</v>
      </c>
      <c r="AL8655">
        <v>0</v>
      </c>
      <c r="AM8655">
        <v>0</v>
      </c>
      <c r="AN8655">
        <v>0</v>
      </c>
      <c r="AO8655">
        <v>0</v>
      </c>
      <c r="AP8655" s="2">
        <v>42746</v>
      </c>
      <c r="AQ8655" t="s">
        <v>72</v>
      </c>
      <c r="AR8655" t="s">
        <v>72</v>
      </c>
      <c r="AS8655">
        <v>3508</v>
      </c>
      <c r="AT8655" s="4">
        <v>42719</v>
      </c>
      <c r="AU8655" t="s">
        <v>73</v>
      </c>
      <c r="AV8655">
        <v>3508</v>
      </c>
      <c r="AW8655" s="4">
        <v>42719</v>
      </c>
      <c r="BD8655">
        <v>759</v>
      </c>
      <c r="BN8655" t="s">
        <v>74</v>
      </c>
    </row>
    <row r="8656" spans="1:66">
      <c r="A8656">
        <v>106404</v>
      </c>
      <c r="B8656" s="3" t="s">
        <v>758</v>
      </c>
      <c r="C8656" s="1">
        <v>43300101</v>
      </c>
      <c r="D8656" t="s">
        <v>67</v>
      </c>
      <c r="H8656" t="str">
        <f t="shared" si="894"/>
        <v>02368591208</v>
      </c>
      <c r="I8656" t="str">
        <f t="shared" si="894"/>
        <v>02368591208</v>
      </c>
      <c r="K8656" t="str">
        <f>""</f>
        <v/>
      </c>
      <c r="M8656" t="s">
        <v>68</v>
      </c>
      <c r="N8656" t="str">
        <f t="shared" si="895"/>
        <v>FOR</v>
      </c>
      <c r="O8656" t="s">
        <v>69</v>
      </c>
      <c r="P8656" s="3" t="s">
        <v>75</v>
      </c>
      <c r="Q8656">
        <v>2015</v>
      </c>
      <c r="R8656" s="2">
        <v>42356</v>
      </c>
      <c r="S8656" s="2">
        <v>42369</v>
      </c>
      <c r="T8656" s="2">
        <v>42359</v>
      </c>
      <c r="U8656" s="2">
        <v>42419</v>
      </c>
      <c r="V8656" t="s">
        <v>71</v>
      </c>
      <c r="W8656" t="str">
        <f>"          8100017628"</f>
        <v xml:space="preserve">          8100017628</v>
      </c>
      <c r="X8656">
        <v>882.79</v>
      </c>
      <c r="Y8656">
        <v>0</v>
      </c>
      <c r="Z8656" s="3">
        <v>723.6</v>
      </c>
      <c r="AA8656">
        <v>273</v>
      </c>
      <c r="AB8656" s="5">
        <v>197542.8</v>
      </c>
      <c r="AC8656">
        <v>723.6</v>
      </c>
      <c r="AD8656">
        <v>273</v>
      </c>
      <c r="AE8656" s="1">
        <v>197542.8</v>
      </c>
      <c r="AF8656">
        <v>0</v>
      </c>
      <c r="AJ8656">
        <v>0</v>
      </c>
      <c r="AK8656">
        <v>0</v>
      </c>
      <c r="AL8656">
        <v>0</v>
      </c>
      <c r="AM8656">
        <v>0</v>
      </c>
      <c r="AN8656">
        <v>0</v>
      </c>
      <c r="AO8656">
        <v>0</v>
      </c>
      <c r="AP8656" s="2">
        <v>42746</v>
      </c>
      <c r="AQ8656" t="s">
        <v>72</v>
      </c>
      <c r="AR8656" t="s">
        <v>72</v>
      </c>
      <c r="AS8656">
        <v>3176</v>
      </c>
      <c r="AT8656" s="4">
        <v>42692</v>
      </c>
      <c r="AU8656" t="s">
        <v>73</v>
      </c>
      <c r="AV8656">
        <v>3176</v>
      </c>
      <c r="AW8656" s="4">
        <v>42692</v>
      </c>
      <c r="BD8656">
        <v>0</v>
      </c>
      <c r="BN8656" t="s">
        <v>74</v>
      </c>
    </row>
    <row r="8657" spans="1:66" hidden="1">
      <c r="A8657">
        <v>106404</v>
      </c>
      <c r="B8657" s="3" t="s">
        <v>758</v>
      </c>
      <c r="C8657" s="1">
        <v>43300101</v>
      </c>
      <c r="D8657" t="s">
        <v>67</v>
      </c>
      <c r="H8657" t="str">
        <f t="shared" si="894"/>
        <v>02368591208</v>
      </c>
      <c r="I8657" t="str">
        <f t="shared" si="894"/>
        <v>02368591208</v>
      </c>
      <c r="K8657" t="str">
        <f>""</f>
        <v/>
      </c>
      <c r="M8657" t="s">
        <v>68</v>
      </c>
      <c r="N8657" t="str">
        <f t="shared" si="895"/>
        <v>FOR</v>
      </c>
      <c r="O8657" t="s">
        <v>69</v>
      </c>
      <c r="P8657" s="3" t="s">
        <v>70</v>
      </c>
      <c r="Q8657">
        <v>2015</v>
      </c>
      <c r="R8657" s="2">
        <v>42047</v>
      </c>
      <c r="S8657" s="2">
        <v>42069</v>
      </c>
      <c r="T8657" s="2">
        <v>42069</v>
      </c>
      <c r="U8657" s="2">
        <v>42129</v>
      </c>
      <c r="V8657" t="s">
        <v>71</v>
      </c>
      <c r="W8657" t="str">
        <f>"          9102170262"</f>
        <v xml:space="preserve">          9102170262</v>
      </c>
      <c r="X8657" s="1">
        <v>5643.72</v>
      </c>
      <c r="Y8657">
        <v>0</v>
      </c>
      <c r="Z8657"/>
      <c r="AB8657"/>
      <c r="AC8657" s="1">
        <v>4626</v>
      </c>
      <c r="AD8657">
        <v>272</v>
      </c>
      <c r="AE8657" s="1">
        <v>1258272</v>
      </c>
      <c r="AF8657">
        <v>0</v>
      </c>
      <c r="AJ8657">
        <v>0</v>
      </c>
      <c r="AK8657">
        <v>0</v>
      </c>
      <c r="AL8657">
        <v>0</v>
      </c>
      <c r="AM8657">
        <v>0</v>
      </c>
      <c r="AN8657">
        <v>0</v>
      </c>
      <c r="AO8657">
        <v>0</v>
      </c>
      <c r="AP8657" s="2">
        <v>42746</v>
      </c>
      <c r="AQ8657" t="s">
        <v>72</v>
      </c>
      <c r="AR8657" t="s">
        <v>72</v>
      </c>
      <c r="AS8657">
        <v>184</v>
      </c>
      <c r="AT8657" s="4">
        <v>42401</v>
      </c>
      <c r="AU8657" t="s">
        <v>73</v>
      </c>
      <c r="AV8657">
        <v>184</v>
      </c>
      <c r="AW8657" s="4">
        <v>42401</v>
      </c>
      <c r="BD8657">
        <v>0</v>
      </c>
      <c r="BN8657" t="s">
        <v>74</v>
      </c>
    </row>
    <row r="8658" spans="1:66" hidden="1">
      <c r="A8658">
        <v>106404</v>
      </c>
      <c r="B8658" s="3" t="s">
        <v>758</v>
      </c>
      <c r="C8658" s="1">
        <v>43300101</v>
      </c>
      <c r="D8658" t="s">
        <v>67</v>
      </c>
      <c r="H8658" t="str">
        <f t="shared" si="894"/>
        <v>02368591208</v>
      </c>
      <c r="I8658" t="str">
        <f t="shared" si="894"/>
        <v>02368591208</v>
      </c>
      <c r="K8658" t="str">
        <f>""</f>
        <v/>
      </c>
      <c r="M8658" t="s">
        <v>68</v>
      </c>
      <c r="N8658" t="str">
        <f t="shared" si="895"/>
        <v>FOR</v>
      </c>
      <c r="O8658" t="s">
        <v>69</v>
      </c>
      <c r="P8658" s="3" t="s">
        <v>70</v>
      </c>
      <c r="Q8658">
        <v>2015</v>
      </c>
      <c r="R8658" s="2">
        <v>42047</v>
      </c>
      <c r="S8658" s="2">
        <v>42069</v>
      </c>
      <c r="T8658" s="2">
        <v>42069</v>
      </c>
      <c r="U8658" s="2">
        <v>42129</v>
      </c>
      <c r="V8658" t="s">
        <v>71</v>
      </c>
      <c r="W8658" t="str">
        <f>"          9102170910"</f>
        <v xml:space="preserve">          9102170910</v>
      </c>
      <c r="X8658" s="1">
        <v>24549.59</v>
      </c>
      <c r="Y8658">
        <v>0</v>
      </c>
      <c r="Z8658"/>
      <c r="AB8658"/>
      <c r="AC8658" s="1">
        <v>20122.599999999999</v>
      </c>
      <c r="AD8658">
        <v>272</v>
      </c>
      <c r="AE8658" s="1">
        <v>5473347.2000000002</v>
      </c>
      <c r="AF8658">
        <v>0</v>
      </c>
      <c r="AJ8658">
        <v>0</v>
      </c>
      <c r="AK8658">
        <v>0</v>
      </c>
      <c r="AL8658">
        <v>0</v>
      </c>
      <c r="AM8658">
        <v>0</v>
      </c>
      <c r="AN8658">
        <v>0</v>
      </c>
      <c r="AO8658">
        <v>0</v>
      </c>
      <c r="AP8658" s="2">
        <v>42746</v>
      </c>
      <c r="AQ8658" t="s">
        <v>72</v>
      </c>
      <c r="AR8658" t="s">
        <v>72</v>
      </c>
      <c r="AS8658">
        <v>184</v>
      </c>
      <c r="AT8658" s="4">
        <v>42401</v>
      </c>
      <c r="AU8658" t="s">
        <v>73</v>
      </c>
      <c r="AV8658">
        <v>184</v>
      </c>
      <c r="AW8658" s="4">
        <v>42401</v>
      </c>
      <c r="BD8658">
        <v>0</v>
      </c>
      <c r="BN8658" t="s">
        <v>74</v>
      </c>
    </row>
    <row r="8659" spans="1:66" hidden="1">
      <c r="A8659">
        <v>106404</v>
      </c>
      <c r="B8659" s="3" t="s">
        <v>758</v>
      </c>
      <c r="C8659" s="1">
        <v>43300101</v>
      </c>
      <c r="D8659" t="s">
        <v>67</v>
      </c>
      <c r="H8659" t="str">
        <f t="shared" si="894"/>
        <v>02368591208</v>
      </c>
      <c r="I8659" t="str">
        <f t="shared" si="894"/>
        <v>02368591208</v>
      </c>
      <c r="K8659" t="str">
        <f>""</f>
        <v/>
      </c>
      <c r="M8659" t="s">
        <v>68</v>
      </c>
      <c r="N8659" t="str">
        <f t="shared" si="895"/>
        <v>FOR</v>
      </c>
      <c r="O8659" t="s">
        <v>69</v>
      </c>
      <c r="P8659" s="3" t="s">
        <v>70</v>
      </c>
      <c r="Q8659">
        <v>2015</v>
      </c>
      <c r="R8659" s="2">
        <v>42048</v>
      </c>
      <c r="S8659" s="2">
        <v>42067</v>
      </c>
      <c r="T8659" s="2">
        <v>42067</v>
      </c>
      <c r="U8659" s="2">
        <v>42127</v>
      </c>
      <c r="V8659" t="s">
        <v>71</v>
      </c>
      <c r="W8659" t="str">
        <f>"          9102172325"</f>
        <v xml:space="preserve">          9102172325</v>
      </c>
      <c r="X8659">
        <v>32.700000000000003</v>
      </c>
      <c r="Y8659">
        <v>0</v>
      </c>
      <c r="Z8659"/>
      <c r="AB8659"/>
      <c r="AC8659">
        <v>26.8</v>
      </c>
      <c r="AD8659">
        <v>274</v>
      </c>
      <c r="AE8659" s="1">
        <v>7343.2</v>
      </c>
      <c r="AF8659">
        <v>0</v>
      </c>
      <c r="AJ8659">
        <v>0</v>
      </c>
      <c r="AK8659">
        <v>0</v>
      </c>
      <c r="AL8659">
        <v>0</v>
      </c>
      <c r="AM8659">
        <v>0</v>
      </c>
      <c r="AN8659">
        <v>0</v>
      </c>
      <c r="AO8659">
        <v>0</v>
      </c>
      <c r="AP8659" s="2">
        <v>42746</v>
      </c>
      <c r="AQ8659" t="s">
        <v>72</v>
      </c>
      <c r="AR8659" t="s">
        <v>72</v>
      </c>
      <c r="AS8659">
        <v>184</v>
      </c>
      <c r="AT8659" s="4">
        <v>42401</v>
      </c>
      <c r="AU8659" t="s">
        <v>73</v>
      </c>
      <c r="AV8659">
        <v>184</v>
      </c>
      <c r="AW8659" s="4">
        <v>42401</v>
      </c>
      <c r="BD8659">
        <v>0</v>
      </c>
      <c r="BN8659" t="s">
        <v>74</v>
      </c>
    </row>
    <row r="8660" spans="1:66" hidden="1">
      <c r="A8660">
        <v>106404</v>
      </c>
      <c r="B8660" s="3" t="s">
        <v>758</v>
      </c>
      <c r="C8660" s="1">
        <v>43300101</v>
      </c>
      <c r="D8660" t="s">
        <v>67</v>
      </c>
      <c r="H8660" t="str">
        <f t="shared" si="894"/>
        <v>02368591208</v>
      </c>
      <c r="I8660" t="str">
        <f t="shared" si="894"/>
        <v>02368591208</v>
      </c>
      <c r="K8660" t="str">
        <f>""</f>
        <v/>
      </c>
      <c r="M8660" t="s">
        <v>68</v>
      </c>
      <c r="N8660" t="str">
        <f t="shared" si="895"/>
        <v>FOR</v>
      </c>
      <c r="O8660" t="s">
        <v>69</v>
      </c>
      <c r="P8660" s="3" t="s">
        <v>70</v>
      </c>
      <c r="Q8660">
        <v>2015</v>
      </c>
      <c r="R8660" s="2">
        <v>42076</v>
      </c>
      <c r="S8660" s="2">
        <v>42097</v>
      </c>
      <c r="T8660" s="2">
        <v>42097</v>
      </c>
      <c r="U8660" s="2">
        <v>42157</v>
      </c>
      <c r="V8660" t="s">
        <v>71</v>
      </c>
      <c r="W8660" t="str">
        <f>"          9102186345"</f>
        <v xml:space="preserve">          9102186345</v>
      </c>
      <c r="X8660">
        <v>32.700000000000003</v>
      </c>
      <c r="Y8660">
        <v>0</v>
      </c>
      <c r="Z8660"/>
      <c r="AB8660"/>
      <c r="AC8660">
        <v>26.8</v>
      </c>
      <c r="AD8660">
        <v>259</v>
      </c>
      <c r="AE8660" s="1">
        <v>6941.2</v>
      </c>
      <c r="AF8660">
        <v>0</v>
      </c>
      <c r="AJ8660">
        <v>0</v>
      </c>
      <c r="AK8660">
        <v>0</v>
      </c>
      <c r="AL8660">
        <v>0</v>
      </c>
      <c r="AM8660">
        <v>0</v>
      </c>
      <c r="AN8660">
        <v>0</v>
      </c>
      <c r="AO8660">
        <v>0</v>
      </c>
      <c r="AP8660" s="2">
        <v>42746</v>
      </c>
      <c r="AQ8660" t="s">
        <v>72</v>
      </c>
      <c r="AR8660" t="s">
        <v>72</v>
      </c>
      <c r="AS8660">
        <v>416</v>
      </c>
      <c r="AT8660" s="4">
        <v>42416</v>
      </c>
      <c r="AU8660" t="s">
        <v>73</v>
      </c>
      <c r="AV8660">
        <v>416</v>
      </c>
      <c r="AW8660" s="4">
        <v>42416</v>
      </c>
      <c r="BD8660">
        <v>0</v>
      </c>
      <c r="BN8660" t="s">
        <v>74</v>
      </c>
    </row>
    <row r="8661" spans="1:66">
      <c r="A8661">
        <v>106404</v>
      </c>
      <c r="B8661" s="3" t="s">
        <v>758</v>
      </c>
      <c r="C8661" s="1">
        <v>43300101</v>
      </c>
      <c r="D8661" t="s">
        <v>67</v>
      </c>
      <c r="H8661" t="str">
        <f t="shared" si="894"/>
        <v>02368591208</v>
      </c>
      <c r="I8661" t="str">
        <f t="shared" si="894"/>
        <v>02368591208</v>
      </c>
      <c r="K8661" t="str">
        <f>""</f>
        <v/>
      </c>
      <c r="M8661" t="s">
        <v>68</v>
      </c>
      <c r="N8661" t="str">
        <f t="shared" si="895"/>
        <v>FOR</v>
      </c>
      <c r="O8661" t="s">
        <v>69</v>
      </c>
      <c r="P8661" s="3" t="s">
        <v>70</v>
      </c>
      <c r="Q8661">
        <v>2015</v>
      </c>
      <c r="R8661" s="2">
        <v>42087</v>
      </c>
      <c r="S8661" s="2">
        <v>42118</v>
      </c>
      <c r="T8661" s="2">
        <v>42118</v>
      </c>
      <c r="U8661" s="2">
        <v>42178</v>
      </c>
      <c r="V8661" t="s">
        <v>71</v>
      </c>
      <c r="W8661" t="str">
        <f>"          9102190847"</f>
        <v xml:space="preserve">          9102190847</v>
      </c>
      <c r="X8661" s="1">
        <v>4209</v>
      </c>
      <c r="Y8661">
        <v>0</v>
      </c>
      <c r="Z8661" s="5">
        <v>3450</v>
      </c>
      <c r="AA8661">
        <v>541</v>
      </c>
      <c r="AB8661" s="5">
        <v>1866450</v>
      </c>
      <c r="AC8661" s="1">
        <v>3450</v>
      </c>
      <c r="AD8661">
        <v>541</v>
      </c>
      <c r="AE8661" s="1">
        <v>1866450</v>
      </c>
      <c r="AF8661">
        <v>759</v>
      </c>
      <c r="AJ8661">
        <v>0</v>
      </c>
      <c r="AK8661">
        <v>0</v>
      </c>
      <c r="AL8661">
        <v>0</v>
      </c>
      <c r="AM8661">
        <v>0</v>
      </c>
      <c r="AN8661">
        <v>0</v>
      </c>
      <c r="AO8661">
        <v>0</v>
      </c>
      <c r="AP8661" s="2">
        <v>42746</v>
      </c>
      <c r="AQ8661" t="s">
        <v>72</v>
      </c>
      <c r="AR8661" t="s">
        <v>72</v>
      </c>
      <c r="AS8661">
        <v>3508</v>
      </c>
      <c r="AT8661" s="4">
        <v>42719</v>
      </c>
      <c r="AU8661" t="s">
        <v>73</v>
      </c>
      <c r="AV8661">
        <v>3508</v>
      </c>
      <c r="AW8661" s="4">
        <v>42719</v>
      </c>
      <c r="BD8661">
        <v>759</v>
      </c>
      <c r="BN8661" t="s">
        <v>74</v>
      </c>
    </row>
    <row r="8662" spans="1:66">
      <c r="A8662">
        <v>106404</v>
      </c>
      <c r="B8662" s="3" t="s">
        <v>758</v>
      </c>
      <c r="C8662" s="1">
        <v>43300101</v>
      </c>
      <c r="D8662" t="s">
        <v>67</v>
      </c>
      <c r="H8662" t="str">
        <f t="shared" si="894"/>
        <v>02368591208</v>
      </c>
      <c r="I8662" t="str">
        <f t="shared" si="894"/>
        <v>02368591208</v>
      </c>
      <c r="K8662" t="str">
        <f>""</f>
        <v/>
      </c>
      <c r="M8662" t="s">
        <v>68</v>
      </c>
      <c r="N8662" t="str">
        <f t="shared" si="895"/>
        <v>FOR</v>
      </c>
      <c r="O8662" t="s">
        <v>69</v>
      </c>
      <c r="P8662" s="3" t="s">
        <v>75</v>
      </c>
      <c r="Q8662">
        <v>2016</v>
      </c>
      <c r="R8662" s="2">
        <v>42381</v>
      </c>
      <c r="S8662" s="2">
        <v>42389</v>
      </c>
      <c r="T8662" s="2">
        <v>42382</v>
      </c>
      <c r="U8662" s="2">
        <v>42442</v>
      </c>
      <c r="V8662" t="s">
        <v>71</v>
      </c>
      <c r="W8662" t="str">
        <f>"          8100019109"</f>
        <v xml:space="preserve">          8100019109</v>
      </c>
      <c r="X8662" s="1">
        <v>28019.5</v>
      </c>
      <c r="Y8662">
        <v>0</v>
      </c>
      <c r="Z8662" s="5">
        <v>22966.799999999999</v>
      </c>
      <c r="AA8662">
        <v>250</v>
      </c>
      <c r="AB8662" s="5">
        <v>5741700</v>
      </c>
      <c r="AC8662" s="1">
        <v>22966.799999999999</v>
      </c>
      <c r="AD8662">
        <v>250</v>
      </c>
      <c r="AE8662" s="1">
        <v>5741700</v>
      </c>
      <c r="AF8662">
        <v>0</v>
      </c>
      <c r="AJ8662">
        <v>0</v>
      </c>
      <c r="AK8662">
        <v>0</v>
      </c>
      <c r="AL8662">
        <v>0</v>
      </c>
      <c r="AM8662" s="1">
        <v>28019.5</v>
      </c>
      <c r="AN8662" s="1">
        <v>28019.5</v>
      </c>
      <c r="AO8662" s="1">
        <v>28019.5</v>
      </c>
      <c r="AP8662" s="2">
        <v>42746</v>
      </c>
      <c r="AQ8662" t="s">
        <v>72</v>
      </c>
      <c r="AR8662" t="s">
        <v>72</v>
      </c>
      <c r="AS8662">
        <v>3176</v>
      </c>
      <c r="AT8662" s="4">
        <v>42692</v>
      </c>
      <c r="AU8662" t="s">
        <v>73</v>
      </c>
      <c r="AV8662">
        <v>3176</v>
      </c>
      <c r="AW8662" s="4">
        <v>42692</v>
      </c>
      <c r="BD8662">
        <v>0</v>
      </c>
      <c r="BN8662" t="s">
        <v>74</v>
      </c>
    </row>
    <row r="8663" spans="1:66">
      <c r="A8663">
        <v>106404</v>
      </c>
      <c r="B8663" s="3" t="s">
        <v>758</v>
      </c>
      <c r="C8663" s="1">
        <v>43300101</v>
      </c>
      <c r="D8663" t="s">
        <v>67</v>
      </c>
      <c r="H8663" t="str">
        <f t="shared" si="894"/>
        <v>02368591208</v>
      </c>
      <c r="I8663" t="str">
        <f t="shared" si="894"/>
        <v>02368591208</v>
      </c>
      <c r="K8663" t="str">
        <f>""</f>
        <v/>
      </c>
      <c r="M8663" t="s">
        <v>68</v>
      </c>
      <c r="N8663" t="str">
        <f t="shared" si="895"/>
        <v>FOR</v>
      </c>
      <c r="O8663" t="s">
        <v>69</v>
      </c>
      <c r="P8663" s="3" t="s">
        <v>75</v>
      </c>
      <c r="Q8663">
        <v>2016</v>
      </c>
      <c r="R8663" s="2">
        <v>42383</v>
      </c>
      <c r="S8663" s="2">
        <v>42389</v>
      </c>
      <c r="T8663" s="2">
        <v>42384</v>
      </c>
      <c r="U8663" s="2">
        <v>42444</v>
      </c>
      <c r="V8663" t="s">
        <v>71</v>
      </c>
      <c r="W8663" t="str">
        <f>"          8100019348"</f>
        <v xml:space="preserve">          8100019348</v>
      </c>
      <c r="X8663">
        <v>32.700000000000003</v>
      </c>
      <c r="Y8663">
        <v>0</v>
      </c>
      <c r="Z8663" s="3">
        <v>26.8</v>
      </c>
      <c r="AA8663">
        <v>248</v>
      </c>
      <c r="AB8663" s="5">
        <v>6646.4</v>
      </c>
      <c r="AC8663">
        <v>26.8</v>
      </c>
      <c r="AD8663">
        <v>248</v>
      </c>
      <c r="AE8663" s="1">
        <v>6646.4</v>
      </c>
      <c r="AF8663">
        <v>0</v>
      </c>
      <c r="AJ8663">
        <v>0</v>
      </c>
      <c r="AK8663">
        <v>0</v>
      </c>
      <c r="AL8663">
        <v>0</v>
      </c>
      <c r="AM8663">
        <v>32.700000000000003</v>
      </c>
      <c r="AN8663">
        <v>32.700000000000003</v>
      </c>
      <c r="AO8663">
        <v>32.700000000000003</v>
      </c>
      <c r="AP8663" s="2">
        <v>42746</v>
      </c>
      <c r="AQ8663" t="s">
        <v>72</v>
      </c>
      <c r="AR8663" t="s">
        <v>72</v>
      </c>
      <c r="AS8663">
        <v>3176</v>
      </c>
      <c r="AT8663" s="4">
        <v>42692</v>
      </c>
      <c r="AU8663" t="s">
        <v>73</v>
      </c>
      <c r="AV8663">
        <v>3176</v>
      </c>
      <c r="AW8663" s="4">
        <v>42692</v>
      </c>
      <c r="BD8663">
        <v>0</v>
      </c>
      <c r="BN8663" t="s">
        <v>74</v>
      </c>
    </row>
    <row r="8664" spans="1:66">
      <c r="A8664">
        <v>106404</v>
      </c>
      <c r="B8664" s="3" t="s">
        <v>758</v>
      </c>
      <c r="C8664" s="1">
        <v>43300101</v>
      </c>
      <c r="D8664" t="s">
        <v>67</v>
      </c>
      <c r="H8664" t="str">
        <f t="shared" si="894"/>
        <v>02368591208</v>
      </c>
      <c r="I8664" t="str">
        <f t="shared" si="894"/>
        <v>02368591208</v>
      </c>
      <c r="K8664" t="str">
        <f>""</f>
        <v/>
      </c>
      <c r="M8664" t="s">
        <v>68</v>
      </c>
      <c r="N8664" t="str">
        <f t="shared" si="895"/>
        <v>FOR</v>
      </c>
      <c r="O8664" t="s">
        <v>69</v>
      </c>
      <c r="P8664" s="3" t="s">
        <v>75</v>
      </c>
      <c r="Q8664">
        <v>2016</v>
      </c>
      <c r="R8664" s="2">
        <v>42396</v>
      </c>
      <c r="S8664" s="2">
        <v>42401</v>
      </c>
      <c r="T8664" s="2">
        <v>42397</v>
      </c>
      <c r="U8664" s="2">
        <v>42457</v>
      </c>
      <c r="V8664" t="s">
        <v>71</v>
      </c>
      <c r="W8664" t="str">
        <f>"          8100020323"</f>
        <v xml:space="preserve">          8100020323</v>
      </c>
      <c r="X8664" s="1">
        <v>2141.1</v>
      </c>
      <c r="Y8664">
        <v>0</v>
      </c>
      <c r="Z8664" s="5">
        <v>1755</v>
      </c>
      <c r="AA8664">
        <v>235</v>
      </c>
      <c r="AB8664" s="5">
        <v>412425</v>
      </c>
      <c r="AC8664" s="1">
        <v>1755</v>
      </c>
      <c r="AD8664">
        <v>235</v>
      </c>
      <c r="AE8664" s="1">
        <v>412425</v>
      </c>
      <c r="AF8664">
        <v>0</v>
      </c>
      <c r="AJ8664">
        <v>0</v>
      </c>
      <c r="AK8664">
        <v>0</v>
      </c>
      <c r="AL8664">
        <v>0</v>
      </c>
      <c r="AM8664" s="1">
        <v>2141.1</v>
      </c>
      <c r="AN8664" s="1">
        <v>2141.1</v>
      </c>
      <c r="AO8664" s="1">
        <v>2141.1</v>
      </c>
      <c r="AP8664" s="2">
        <v>42746</v>
      </c>
      <c r="AQ8664" t="s">
        <v>72</v>
      </c>
      <c r="AR8664" t="s">
        <v>72</v>
      </c>
      <c r="AS8664">
        <v>3176</v>
      </c>
      <c r="AT8664" s="4">
        <v>42692</v>
      </c>
      <c r="AU8664" t="s">
        <v>73</v>
      </c>
      <c r="AV8664">
        <v>3176</v>
      </c>
      <c r="AW8664" s="4">
        <v>42692</v>
      </c>
      <c r="BD8664">
        <v>0</v>
      </c>
      <c r="BN8664" t="s">
        <v>74</v>
      </c>
    </row>
    <row r="8665" spans="1:66">
      <c r="A8665">
        <v>106404</v>
      </c>
      <c r="B8665" s="3" t="s">
        <v>758</v>
      </c>
      <c r="C8665" s="1">
        <v>43300101</v>
      </c>
      <c r="D8665" t="s">
        <v>67</v>
      </c>
      <c r="H8665" t="str">
        <f t="shared" ref="H8665:I8678" si="896">"02368591208"</f>
        <v>02368591208</v>
      </c>
      <c r="I8665" t="str">
        <f t="shared" si="896"/>
        <v>02368591208</v>
      </c>
      <c r="K8665" t="str">
        <f>""</f>
        <v/>
      </c>
      <c r="M8665" t="s">
        <v>68</v>
      </c>
      <c r="N8665" t="str">
        <f t="shared" si="895"/>
        <v>FOR</v>
      </c>
      <c r="O8665" t="s">
        <v>69</v>
      </c>
      <c r="P8665" s="3" t="s">
        <v>75</v>
      </c>
      <c r="Q8665">
        <v>2016</v>
      </c>
      <c r="R8665" s="2">
        <v>42412</v>
      </c>
      <c r="S8665" s="2">
        <v>42417</v>
      </c>
      <c r="T8665" s="2">
        <v>42415</v>
      </c>
      <c r="U8665" s="2">
        <v>42475</v>
      </c>
      <c r="V8665" t="s">
        <v>71</v>
      </c>
      <c r="W8665" t="str">
        <f>"          8100021345"</f>
        <v xml:space="preserve">          8100021345</v>
      </c>
      <c r="X8665">
        <v>32.700000000000003</v>
      </c>
      <c r="Y8665">
        <v>0</v>
      </c>
      <c r="Z8665" s="3">
        <v>26.8</v>
      </c>
      <c r="AA8665">
        <v>244</v>
      </c>
      <c r="AB8665" s="5">
        <v>6539.2</v>
      </c>
      <c r="AC8665">
        <v>26.8</v>
      </c>
      <c r="AD8665">
        <v>244</v>
      </c>
      <c r="AE8665" s="1">
        <v>6539.2</v>
      </c>
      <c r="AF8665">
        <v>5.9</v>
      </c>
      <c r="AJ8665">
        <v>0</v>
      </c>
      <c r="AK8665">
        <v>0</v>
      </c>
      <c r="AL8665">
        <v>0</v>
      </c>
      <c r="AM8665">
        <v>32.700000000000003</v>
      </c>
      <c r="AN8665">
        <v>32.700000000000003</v>
      </c>
      <c r="AO8665">
        <v>32.700000000000003</v>
      </c>
      <c r="AP8665" s="2">
        <v>42746</v>
      </c>
      <c r="AQ8665" t="s">
        <v>72</v>
      </c>
      <c r="AR8665" t="s">
        <v>72</v>
      </c>
      <c r="AS8665">
        <v>3508</v>
      </c>
      <c r="AT8665" s="4">
        <v>42719</v>
      </c>
      <c r="AU8665" t="s">
        <v>73</v>
      </c>
      <c r="AV8665">
        <v>3508</v>
      </c>
      <c r="AW8665" s="4">
        <v>42719</v>
      </c>
      <c r="BD8665">
        <v>5.9</v>
      </c>
      <c r="BN8665" t="s">
        <v>74</v>
      </c>
    </row>
    <row r="8666" spans="1:66">
      <c r="A8666">
        <v>106404</v>
      </c>
      <c r="B8666" s="3" t="s">
        <v>758</v>
      </c>
      <c r="C8666" s="1">
        <v>43300101</v>
      </c>
      <c r="D8666" t="s">
        <v>67</v>
      </c>
      <c r="H8666" t="str">
        <f t="shared" si="896"/>
        <v>02368591208</v>
      </c>
      <c r="I8666" t="str">
        <f t="shared" si="896"/>
        <v>02368591208</v>
      </c>
      <c r="K8666" t="str">
        <f>""</f>
        <v/>
      </c>
      <c r="M8666" t="s">
        <v>68</v>
      </c>
      <c r="N8666" t="str">
        <f t="shared" si="895"/>
        <v>FOR</v>
      </c>
      <c r="O8666" t="s">
        <v>69</v>
      </c>
      <c r="P8666" s="3" t="s">
        <v>75</v>
      </c>
      <c r="Q8666">
        <v>2016</v>
      </c>
      <c r="R8666" s="2">
        <v>42440</v>
      </c>
      <c r="S8666" s="2">
        <v>42446</v>
      </c>
      <c r="T8666" s="2">
        <v>42443</v>
      </c>
      <c r="U8666" s="2">
        <v>42503</v>
      </c>
      <c r="V8666" t="s">
        <v>71</v>
      </c>
      <c r="W8666" t="str">
        <f>"          8100023226"</f>
        <v xml:space="preserve">          8100023226</v>
      </c>
      <c r="X8666">
        <v>32.700000000000003</v>
      </c>
      <c r="Y8666">
        <v>0</v>
      </c>
      <c r="Z8666" s="3">
        <v>26.8</v>
      </c>
      <c r="AA8666">
        <v>216</v>
      </c>
      <c r="AB8666" s="5">
        <v>5788.8</v>
      </c>
      <c r="AC8666">
        <v>26.8</v>
      </c>
      <c r="AD8666">
        <v>216</v>
      </c>
      <c r="AE8666" s="1">
        <v>5788.8</v>
      </c>
      <c r="AF8666">
        <v>5.9</v>
      </c>
      <c r="AJ8666">
        <v>0</v>
      </c>
      <c r="AK8666">
        <v>0</v>
      </c>
      <c r="AL8666">
        <v>0</v>
      </c>
      <c r="AM8666">
        <v>32.700000000000003</v>
      </c>
      <c r="AN8666">
        <v>32.700000000000003</v>
      </c>
      <c r="AO8666">
        <v>32.700000000000003</v>
      </c>
      <c r="AP8666" s="2">
        <v>42746</v>
      </c>
      <c r="AQ8666" t="s">
        <v>72</v>
      </c>
      <c r="AR8666" t="s">
        <v>72</v>
      </c>
      <c r="AS8666">
        <v>3508</v>
      </c>
      <c r="AT8666" s="4">
        <v>42719</v>
      </c>
      <c r="AU8666" t="s">
        <v>73</v>
      </c>
      <c r="AV8666">
        <v>3508</v>
      </c>
      <c r="AW8666" s="4">
        <v>42719</v>
      </c>
      <c r="BD8666">
        <v>5.9</v>
      </c>
      <c r="BN8666" t="s">
        <v>74</v>
      </c>
    </row>
    <row r="8667" spans="1:66">
      <c r="A8667">
        <v>106404</v>
      </c>
      <c r="B8667" s="3" t="s">
        <v>758</v>
      </c>
      <c r="C8667" s="1">
        <v>43300101</v>
      </c>
      <c r="D8667" t="s">
        <v>67</v>
      </c>
      <c r="H8667" t="str">
        <f t="shared" si="896"/>
        <v>02368591208</v>
      </c>
      <c r="I8667" t="str">
        <f t="shared" si="896"/>
        <v>02368591208</v>
      </c>
      <c r="K8667" t="str">
        <f>""</f>
        <v/>
      </c>
      <c r="M8667" t="s">
        <v>68</v>
      </c>
      <c r="N8667" t="str">
        <f t="shared" si="895"/>
        <v>FOR</v>
      </c>
      <c r="O8667" t="s">
        <v>69</v>
      </c>
      <c r="P8667" s="3" t="s">
        <v>75</v>
      </c>
      <c r="Q8667">
        <v>2016</v>
      </c>
      <c r="R8667" s="2">
        <v>42454</v>
      </c>
      <c r="S8667" s="2">
        <v>42457</v>
      </c>
      <c r="T8667" s="2">
        <v>42457</v>
      </c>
      <c r="U8667" s="2">
        <v>42517</v>
      </c>
      <c r="V8667" t="s">
        <v>71</v>
      </c>
      <c r="W8667" t="str">
        <f>"          8100024440"</f>
        <v xml:space="preserve">          8100024440</v>
      </c>
      <c r="X8667" s="1">
        <v>6508.76</v>
      </c>
      <c r="Y8667">
        <v>0</v>
      </c>
      <c r="Z8667" s="5">
        <v>5335.05</v>
      </c>
      <c r="AA8667">
        <v>202</v>
      </c>
      <c r="AB8667" s="5">
        <v>1077680.1000000001</v>
      </c>
      <c r="AC8667" s="1">
        <v>5335.05</v>
      </c>
      <c r="AD8667">
        <v>202</v>
      </c>
      <c r="AE8667" s="1">
        <v>1077680.1000000001</v>
      </c>
      <c r="AF8667" s="1">
        <v>1173.71</v>
      </c>
      <c r="AJ8667">
        <v>0</v>
      </c>
      <c r="AK8667">
        <v>0</v>
      </c>
      <c r="AL8667">
        <v>0</v>
      </c>
      <c r="AM8667" s="1">
        <v>6508.76</v>
      </c>
      <c r="AN8667" s="1">
        <v>6508.76</v>
      </c>
      <c r="AO8667" s="1">
        <v>6508.76</v>
      </c>
      <c r="AP8667" s="2">
        <v>42746</v>
      </c>
      <c r="AQ8667" t="s">
        <v>72</v>
      </c>
      <c r="AR8667" t="s">
        <v>72</v>
      </c>
      <c r="AS8667">
        <v>3508</v>
      </c>
      <c r="AT8667" s="4">
        <v>42719</v>
      </c>
      <c r="AU8667" t="s">
        <v>73</v>
      </c>
      <c r="AV8667">
        <v>3508</v>
      </c>
      <c r="AW8667" s="4">
        <v>42719</v>
      </c>
      <c r="BD8667" s="1">
        <v>1173.71</v>
      </c>
      <c r="BN8667" t="s">
        <v>74</v>
      </c>
    </row>
    <row r="8668" spans="1:66">
      <c r="A8668">
        <v>106404</v>
      </c>
      <c r="B8668" s="3" t="s">
        <v>758</v>
      </c>
      <c r="C8668" s="1">
        <v>43300101</v>
      </c>
      <c r="D8668" t="s">
        <v>67</v>
      </c>
      <c r="H8668" t="str">
        <f t="shared" si="896"/>
        <v>02368591208</v>
      </c>
      <c r="I8668" t="str">
        <f t="shared" si="896"/>
        <v>02368591208</v>
      </c>
      <c r="K8668" t="str">
        <f>""</f>
        <v/>
      </c>
      <c r="M8668" t="s">
        <v>68</v>
      </c>
      <c r="N8668" t="str">
        <f t="shared" si="895"/>
        <v>FOR</v>
      </c>
      <c r="O8668" t="s">
        <v>69</v>
      </c>
      <c r="P8668" s="3" t="s">
        <v>75</v>
      </c>
      <c r="Q8668">
        <v>2016</v>
      </c>
      <c r="R8668" s="2">
        <v>42473</v>
      </c>
      <c r="S8668" s="2">
        <v>42474</v>
      </c>
      <c r="T8668" s="2">
        <v>42474</v>
      </c>
      <c r="U8668" s="2">
        <v>42534</v>
      </c>
      <c r="V8668" t="s">
        <v>71</v>
      </c>
      <c r="W8668" t="str">
        <f>"          8100025864"</f>
        <v xml:space="preserve">          8100025864</v>
      </c>
      <c r="X8668">
        <v>32.700000000000003</v>
      </c>
      <c r="Y8668">
        <v>0</v>
      </c>
      <c r="Z8668" s="3">
        <v>26.8</v>
      </c>
      <c r="AA8668">
        <v>185</v>
      </c>
      <c r="AB8668" s="5">
        <v>4958</v>
      </c>
      <c r="AC8668">
        <v>26.8</v>
      </c>
      <c r="AD8668">
        <v>185</v>
      </c>
      <c r="AE8668" s="1">
        <v>4958</v>
      </c>
      <c r="AF8668">
        <v>5.9</v>
      </c>
      <c r="AJ8668">
        <v>0</v>
      </c>
      <c r="AK8668">
        <v>0</v>
      </c>
      <c r="AL8668">
        <v>0</v>
      </c>
      <c r="AM8668">
        <v>32.700000000000003</v>
      </c>
      <c r="AN8668">
        <v>32.700000000000003</v>
      </c>
      <c r="AO8668">
        <v>32.700000000000003</v>
      </c>
      <c r="AP8668" s="2">
        <v>42746</v>
      </c>
      <c r="AQ8668" t="s">
        <v>72</v>
      </c>
      <c r="AR8668" t="s">
        <v>72</v>
      </c>
      <c r="AS8668">
        <v>3508</v>
      </c>
      <c r="AT8668" s="4">
        <v>42719</v>
      </c>
      <c r="AU8668" t="s">
        <v>73</v>
      </c>
      <c r="AV8668">
        <v>3508</v>
      </c>
      <c r="AW8668" s="4">
        <v>42719</v>
      </c>
      <c r="BD8668">
        <v>5.9</v>
      </c>
      <c r="BN8668" t="s">
        <v>74</v>
      </c>
    </row>
    <row r="8669" spans="1:66">
      <c r="A8669">
        <v>106404</v>
      </c>
      <c r="B8669" s="3" t="s">
        <v>758</v>
      </c>
      <c r="C8669" s="1">
        <v>43300101</v>
      </c>
      <c r="D8669" t="s">
        <v>67</v>
      </c>
      <c r="H8669" t="str">
        <f t="shared" si="896"/>
        <v>02368591208</v>
      </c>
      <c r="I8669" t="str">
        <f t="shared" si="896"/>
        <v>02368591208</v>
      </c>
      <c r="K8669" t="str">
        <f>""</f>
        <v/>
      </c>
      <c r="M8669" t="s">
        <v>68</v>
      </c>
      <c r="N8669" t="str">
        <f t="shared" si="895"/>
        <v>FOR</v>
      </c>
      <c r="O8669" t="s">
        <v>69</v>
      </c>
      <c r="P8669" s="3" t="s">
        <v>75</v>
      </c>
      <c r="Q8669">
        <v>2016</v>
      </c>
      <c r="R8669" s="2">
        <v>42482</v>
      </c>
      <c r="S8669" s="2">
        <v>42488</v>
      </c>
      <c r="T8669" s="2">
        <v>42485</v>
      </c>
      <c r="U8669" s="2">
        <v>42545</v>
      </c>
      <c r="V8669" t="s">
        <v>71</v>
      </c>
      <c r="W8669" t="str">
        <f>"          8100026388"</f>
        <v xml:space="preserve">          8100026388</v>
      </c>
      <c r="X8669" s="1">
        <v>4142.21</v>
      </c>
      <c r="Y8669">
        <v>0</v>
      </c>
      <c r="Z8669" s="5">
        <v>3395.25</v>
      </c>
      <c r="AA8669">
        <v>178</v>
      </c>
      <c r="AB8669" s="5">
        <v>604354.5</v>
      </c>
      <c r="AC8669" s="1">
        <v>3395.25</v>
      </c>
      <c r="AD8669">
        <v>178</v>
      </c>
      <c r="AE8669" s="1">
        <v>604354.5</v>
      </c>
      <c r="AF8669">
        <v>746.96</v>
      </c>
      <c r="AJ8669">
        <v>0</v>
      </c>
      <c r="AK8669">
        <v>0</v>
      </c>
      <c r="AL8669">
        <v>0</v>
      </c>
      <c r="AM8669" s="1">
        <v>4142.21</v>
      </c>
      <c r="AN8669" s="1">
        <v>4142.21</v>
      </c>
      <c r="AO8669" s="1">
        <v>4142.21</v>
      </c>
      <c r="AP8669" s="2">
        <v>42746</v>
      </c>
      <c r="AQ8669" t="s">
        <v>72</v>
      </c>
      <c r="AR8669" t="s">
        <v>72</v>
      </c>
      <c r="AS8669">
        <v>3577</v>
      </c>
      <c r="AT8669" s="4">
        <v>42723</v>
      </c>
      <c r="AU8669" t="s">
        <v>73</v>
      </c>
      <c r="AV8669">
        <v>3577</v>
      </c>
      <c r="AW8669" s="4">
        <v>42723</v>
      </c>
      <c r="BD8669">
        <v>746.96</v>
      </c>
      <c r="BN8669" t="s">
        <v>74</v>
      </c>
    </row>
    <row r="8670" spans="1:66">
      <c r="A8670">
        <v>106404</v>
      </c>
      <c r="B8670" s="3" t="s">
        <v>758</v>
      </c>
      <c r="C8670" s="1">
        <v>43300101</v>
      </c>
      <c r="D8670" t="s">
        <v>67</v>
      </c>
      <c r="H8670" t="str">
        <f t="shared" si="896"/>
        <v>02368591208</v>
      </c>
      <c r="I8670" t="str">
        <f t="shared" si="896"/>
        <v>02368591208</v>
      </c>
      <c r="K8670" t="str">
        <f>""</f>
        <v/>
      </c>
      <c r="M8670" t="s">
        <v>68</v>
      </c>
      <c r="N8670" t="str">
        <f t="shared" si="895"/>
        <v>FOR</v>
      </c>
      <c r="O8670" t="s">
        <v>69</v>
      </c>
      <c r="P8670" s="3" t="s">
        <v>75</v>
      </c>
      <c r="Q8670">
        <v>2016</v>
      </c>
      <c r="R8670" s="2">
        <v>42503</v>
      </c>
      <c r="S8670" s="2">
        <v>42506</v>
      </c>
      <c r="T8670" s="2">
        <v>42506</v>
      </c>
      <c r="U8670" s="2">
        <v>42566</v>
      </c>
      <c r="V8670" t="s">
        <v>71</v>
      </c>
      <c r="W8670" t="str">
        <f>"          8100027742"</f>
        <v xml:space="preserve">          8100027742</v>
      </c>
      <c r="X8670">
        <v>32.700000000000003</v>
      </c>
      <c r="Y8670">
        <v>0</v>
      </c>
      <c r="Z8670" s="3">
        <v>26.8</v>
      </c>
      <c r="AA8670">
        <v>157</v>
      </c>
      <c r="AB8670" s="5">
        <v>4207.6000000000004</v>
      </c>
      <c r="AC8670">
        <v>26.8</v>
      </c>
      <c r="AD8670">
        <v>157</v>
      </c>
      <c r="AE8670" s="1">
        <v>4207.6000000000004</v>
      </c>
      <c r="AF8670">
        <v>5.9</v>
      </c>
      <c r="AJ8670">
        <v>0</v>
      </c>
      <c r="AK8670">
        <v>0</v>
      </c>
      <c r="AL8670">
        <v>0</v>
      </c>
      <c r="AM8670">
        <v>32.700000000000003</v>
      </c>
      <c r="AN8670">
        <v>32.700000000000003</v>
      </c>
      <c r="AO8670">
        <v>32.700000000000003</v>
      </c>
      <c r="AP8670" s="2">
        <v>42746</v>
      </c>
      <c r="AQ8670" t="s">
        <v>72</v>
      </c>
      <c r="AR8670" t="s">
        <v>72</v>
      </c>
      <c r="AS8670">
        <v>3577</v>
      </c>
      <c r="AT8670" s="4">
        <v>42723</v>
      </c>
      <c r="AU8670" t="s">
        <v>73</v>
      </c>
      <c r="AV8670">
        <v>3577</v>
      </c>
      <c r="AW8670" s="4">
        <v>42723</v>
      </c>
      <c r="BC8670">
        <v>5.9</v>
      </c>
      <c r="BD8670">
        <v>0</v>
      </c>
      <c r="BN8670" t="s">
        <v>74</v>
      </c>
    </row>
    <row r="8671" spans="1:66">
      <c r="A8671">
        <v>106404</v>
      </c>
      <c r="B8671" s="3" t="s">
        <v>758</v>
      </c>
      <c r="C8671" s="1">
        <v>43300101</v>
      </c>
      <c r="D8671" t="s">
        <v>67</v>
      </c>
      <c r="H8671" t="str">
        <f t="shared" si="896"/>
        <v>02368591208</v>
      </c>
      <c r="I8671" t="str">
        <f t="shared" si="896"/>
        <v>02368591208</v>
      </c>
      <c r="K8671" t="str">
        <f>""</f>
        <v/>
      </c>
      <c r="M8671" t="s">
        <v>68</v>
      </c>
      <c r="N8671" t="str">
        <f t="shared" si="895"/>
        <v>FOR</v>
      </c>
      <c r="O8671" t="s">
        <v>69</v>
      </c>
      <c r="P8671" s="3" t="s">
        <v>75</v>
      </c>
      <c r="Q8671">
        <v>2016</v>
      </c>
      <c r="R8671" s="2">
        <v>42527</v>
      </c>
      <c r="S8671" s="2">
        <v>42530</v>
      </c>
      <c r="T8671" s="2">
        <v>42528</v>
      </c>
      <c r="U8671" s="2">
        <v>42588</v>
      </c>
      <c r="V8671" t="s">
        <v>71</v>
      </c>
      <c r="W8671" t="str">
        <f>"          8100029199"</f>
        <v xml:space="preserve">          8100029199</v>
      </c>
      <c r="X8671" s="1">
        <v>25846.92</v>
      </c>
      <c r="Y8671">
        <v>0</v>
      </c>
      <c r="Z8671" s="5">
        <v>21186</v>
      </c>
      <c r="AA8671">
        <v>135</v>
      </c>
      <c r="AB8671" s="5">
        <v>2860110</v>
      </c>
      <c r="AC8671" s="1">
        <v>21186</v>
      </c>
      <c r="AD8671">
        <v>135</v>
      </c>
      <c r="AE8671" s="1">
        <v>2860110</v>
      </c>
      <c r="AF8671" s="1">
        <v>4660.92</v>
      </c>
      <c r="AJ8671">
        <v>0</v>
      </c>
      <c r="AK8671">
        <v>0</v>
      </c>
      <c r="AL8671">
        <v>0</v>
      </c>
      <c r="AM8671" s="1">
        <v>25846.92</v>
      </c>
      <c r="AN8671" s="1">
        <v>25846.92</v>
      </c>
      <c r="AO8671" s="1">
        <v>25846.92</v>
      </c>
      <c r="AP8671" s="2">
        <v>42746</v>
      </c>
      <c r="AQ8671" t="s">
        <v>72</v>
      </c>
      <c r="AR8671" t="s">
        <v>72</v>
      </c>
      <c r="AS8671">
        <v>3577</v>
      </c>
      <c r="AT8671" s="4">
        <v>42723</v>
      </c>
      <c r="AU8671" t="s">
        <v>73</v>
      </c>
      <c r="AV8671">
        <v>3577</v>
      </c>
      <c r="AW8671" s="4">
        <v>42723</v>
      </c>
      <c r="BB8671" s="1">
        <v>4660.92</v>
      </c>
      <c r="BD8671">
        <v>0</v>
      </c>
      <c r="BN8671" t="s">
        <v>74</v>
      </c>
    </row>
    <row r="8672" spans="1:66">
      <c r="A8672">
        <v>106404</v>
      </c>
      <c r="B8672" s="3" t="s">
        <v>758</v>
      </c>
      <c r="C8672" s="1">
        <v>43300101</v>
      </c>
      <c r="D8672" t="s">
        <v>67</v>
      </c>
      <c r="H8672" t="str">
        <f t="shared" si="896"/>
        <v>02368591208</v>
      </c>
      <c r="I8672" t="str">
        <f t="shared" si="896"/>
        <v>02368591208</v>
      </c>
      <c r="K8672" t="str">
        <f>""</f>
        <v/>
      </c>
      <c r="M8672" t="s">
        <v>68</v>
      </c>
      <c r="N8672" t="str">
        <f t="shared" si="895"/>
        <v>FOR</v>
      </c>
      <c r="O8672" t="s">
        <v>69</v>
      </c>
      <c r="P8672" s="3" t="s">
        <v>75</v>
      </c>
      <c r="Q8672">
        <v>2016</v>
      </c>
      <c r="R8672" s="2">
        <v>42534</v>
      </c>
      <c r="S8672" s="2">
        <v>42535</v>
      </c>
      <c r="T8672" s="2">
        <v>42535</v>
      </c>
      <c r="U8672" s="2">
        <v>42595</v>
      </c>
      <c r="V8672" t="s">
        <v>71</v>
      </c>
      <c r="W8672" t="str">
        <f>"          8100029669"</f>
        <v xml:space="preserve">          8100029669</v>
      </c>
      <c r="X8672">
        <v>32.700000000000003</v>
      </c>
      <c r="Y8672">
        <v>0</v>
      </c>
      <c r="Z8672" s="3">
        <v>26.8</v>
      </c>
      <c r="AA8672">
        <v>128</v>
      </c>
      <c r="AB8672" s="5">
        <v>3430.4</v>
      </c>
      <c r="AC8672">
        <v>26.8</v>
      </c>
      <c r="AD8672">
        <v>128</v>
      </c>
      <c r="AE8672" s="1">
        <v>3430.4</v>
      </c>
      <c r="AF8672">
        <v>5.9</v>
      </c>
      <c r="AJ8672">
        <v>0</v>
      </c>
      <c r="AK8672">
        <v>0</v>
      </c>
      <c r="AL8672">
        <v>0</v>
      </c>
      <c r="AM8672">
        <v>32.700000000000003</v>
      </c>
      <c r="AN8672">
        <v>32.700000000000003</v>
      </c>
      <c r="AO8672">
        <v>32.700000000000003</v>
      </c>
      <c r="AP8672" s="2">
        <v>42746</v>
      </c>
      <c r="AQ8672" t="s">
        <v>72</v>
      </c>
      <c r="AR8672" t="s">
        <v>72</v>
      </c>
      <c r="AS8672">
        <v>3577</v>
      </c>
      <c r="AT8672" s="4">
        <v>42723</v>
      </c>
      <c r="AU8672" t="s">
        <v>73</v>
      </c>
      <c r="AV8672">
        <v>3577</v>
      </c>
      <c r="AW8672" s="4">
        <v>42723</v>
      </c>
      <c r="BB8672">
        <v>5.9</v>
      </c>
      <c r="BD8672">
        <v>0</v>
      </c>
      <c r="BN8672" t="s">
        <v>74</v>
      </c>
    </row>
    <row r="8673" spans="1:66">
      <c r="A8673">
        <v>106404</v>
      </c>
      <c r="B8673" s="3" t="s">
        <v>758</v>
      </c>
      <c r="C8673" s="1">
        <v>43300101</v>
      </c>
      <c r="D8673" t="s">
        <v>67</v>
      </c>
      <c r="H8673" t="str">
        <f t="shared" si="896"/>
        <v>02368591208</v>
      </c>
      <c r="I8673" t="str">
        <f t="shared" si="896"/>
        <v>02368591208</v>
      </c>
      <c r="K8673" t="str">
        <f>""</f>
        <v/>
      </c>
      <c r="M8673" t="s">
        <v>68</v>
      </c>
      <c r="N8673" t="str">
        <f t="shared" si="895"/>
        <v>FOR</v>
      </c>
      <c r="O8673" t="s">
        <v>69</v>
      </c>
      <c r="P8673" s="3" t="s">
        <v>75</v>
      </c>
      <c r="Q8673">
        <v>2016</v>
      </c>
      <c r="R8673" s="2">
        <v>42564</v>
      </c>
      <c r="S8673" s="2">
        <v>42565</v>
      </c>
      <c r="T8673" s="2">
        <v>42565</v>
      </c>
      <c r="U8673" s="2">
        <v>42625</v>
      </c>
      <c r="V8673" t="s">
        <v>71</v>
      </c>
      <c r="W8673" t="str">
        <f>"          8100032523"</f>
        <v xml:space="preserve">          8100032523</v>
      </c>
      <c r="X8673">
        <v>32.700000000000003</v>
      </c>
      <c r="Y8673">
        <v>0</v>
      </c>
      <c r="Z8673" s="3">
        <v>26.8</v>
      </c>
      <c r="AA8673">
        <v>98</v>
      </c>
      <c r="AB8673" s="5">
        <v>2626.4</v>
      </c>
      <c r="AC8673">
        <v>26.8</v>
      </c>
      <c r="AD8673">
        <v>98</v>
      </c>
      <c r="AE8673" s="1">
        <v>2626.4</v>
      </c>
      <c r="AF8673">
        <v>5.9</v>
      </c>
      <c r="AJ8673">
        <v>0</v>
      </c>
      <c r="AK8673">
        <v>0</v>
      </c>
      <c r="AL8673">
        <v>0</v>
      </c>
      <c r="AM8673">
        <v>32.700000000000003</v>
      </c>
      <c r="AN8673">
        <v>32.700000000000003</v>
      </c>
      <c r="AO8673">
        <v>32.700000000000003</v>
      </c>
      <c r="AP8673" s="2">
        <v>42746</v>
      </c>
      <c r="AQ8673" t="s">
        <v>72</v>
      </c>
      <c r="AR8673" t="s">
        <v>72</v>
      </c>
      <c r="AS8673">
        <v>3577</v>
      </c>
      <c r="AT8673" s="4">
        <v>42723</v>
      </c>
      <c r="AU8673" t="s">
        <v>73</v>
      </c>
      <c r="AV8673">
        <v>3577</v>
      </c>
      <c r="AW8673" s="4">
        <v>42723</v>
      </c>
      <c r="BA8673">
        <v>5.9</v>
      </c>
      <c r="BD8673">
        <v>0</v>
      </c>
      <c r="BN8673" t="s">
        <v>74</v>
      </c>
    </row>
    <row r="8674" spans="1:66">
      <c r="A8674">
        <v>106404</v>
      </c>
      <c r="B8674" s="3" t="s">
        <v>758</v>
      </c>
      <c r="C8674" s="1">
        <v>43300101</v>
      </c>
      <c r="D8674" t="s">
        <v>67</v>
      </c>
      <c r="H8674" t="str">
        <f t="shared" si="896"/>
        <v>02368591208</v>
      </c>
      <c r="I8674" t="str">
        <f t="shared" si="896"/>
        <v>02368591208</v>
      </c>
      <c r="K8674" t="str">
        <f>""</f>
        <v/>
      </c>
      <c r="M8674" t="s">
        <v>68</v>
      </c>
      <c r="N8674" t="str">
        <f t="shared" si="895"/>
        <v>FOR</v>
      </c>
      <c r="O8674" t="s">
        <v>69</v>
      </c>
      <c r="P8674" s="3" t="s">
        <v>75</v>
      </c>
      <c r="Q8674">
        <v>2016</v>
      </c>
      <c r="R8674" s="2">
        <v>42578</v>
      </c>
      <c r="S8674" s="2">
        <v>42583</v>
      </c>
      <c r="T8674" s="2">
        <v>42579</v>
      </c>
      <c r="U8674" s="2">
        <v>42639</v>
      </c>
      <c r="V8674" t="s">
        <v>71</v>
      </c>
      <c r="W8674" t="str">
        <f>"          8100033587"</f>
        <v xml:space="preserve">          8100033587</v>
      </c>
      <c r="X8674" s="1">
        <v>11709.56</v>
      </c>
      <c r="Y8674">
        <v>0</v>
      </c>
      <c r="Z8674" s="5">
        <v>9598</v>
      </c>
      <c r="AA8674">
        <v>84</v>
      </c>
      <c r="AB8674" s="5">
        <v>806232</v>
      </c>
      <c r="AC8674" s="1">
        <v>9598</v>
      </c>
      <c r="AD8674">
        <v>84</v>
      </c>
      <c r="AE8674" s="1">
        <v>806232</v>
      </c>
      <c r="AF8674" s="1">
        <v>2111.56</v>
      </c>
      <c r="AJ8674">
        <v>0</v>
      </c>
      <c r="AK8674">
        <v>0</v>
      </c>
      <c r="AL8674">
        <v>0</v>
      </c>
      <c r="AM8674" s="1">
        <v>11709.56</v>
      </c>
      <c r="AN8674" s="1">
        <v>11709.56</v>
      </c>
      <c r="AO8674" s="1">
        <v>11709.56</v>
      </c>
      <c r="AP8674" s="2">
        <v>42746</v>
      </c>
      <c r="AQ8674" t="s">
        <v>72</v>
      </c>
      <c r="AR8674" t="s">
        <v>72</v>
      </c>
      <c r="AS8674">
        <v>3577</v>
      </c>
      <c r="AT8674" s="4">
        <v>42723</v>
      </c>
      <c r="AU8674" t="s">
        <v>73</v>
      </c>
      <c r="AV8674">
        <v>3577</v>
      </c>
      <c r="AW8674" s="4">
        <v>42723</v>
      </c>
      <c r="BA8674" s="1">
        <v>2111.56</v>
      </c>
      <c r="BD8674">
        <v>0</v>
      </c>
      <c r="BN8674" t="s">
        <v>74</v>
      </c>
    </row>
    <row r="8675" spans="1:66">
      <c r="A8675">
        <v>106404</v>
      </c>
      <c r="B8675" s="3" t="s">
        <v>758</v>
      </c>
      <c r="C8675" s="1">
        <v>43300101</v>
      </c>
      <c r="D8675" t="s">
        <v>67</v>
      </c>
      <c r="H8675" t="str">
        <f t="shared" si="896"/>
        <v>02368591208</v>
      </c>
      <c r="I8675" t="str">
        <f t="shared" si="896"/>
        <v>02368591208</v>
      </c>
      <c r="K8675" t="str">
        <f>""</f>
        <v/>
      </c>
      <c r="M8675" t="s">
        <v>68</v>
      </c>
      <c r="N8675" t="str">
        <f t="shared" si="895"/>
        <v>FOR</v>
      </c>
      <c r="O8675" t="s">
        <v>69</v>
      </c>
      <c r="P8675" s="3" t="s">
        <v>75</v>
      </c>
      <c r="Q8675">
        <v>2016</v>
      </c>
      <c r="R8675" s="2">
        <v>42586</v>
      </c>
      <c r="S8675" s="2">
        <v>42591</v>
      </c>
      <c r="T8675" s="2">
        <v>42587</v>
      </c>
      <c r="U8675" s="2">
        <v>42647</v>
      </c>
      <c r="V8675" t="s">
        <v>71</v>
      </c>
      <c r="W8675" t="str">
        <f>"          8100034120"</f>
        <v xml:space="preserve">          8100034120</v>
      </c>
      <c r="X8675">
        <v>292.8</v>
      </c>
      <c r="Y8675">
        <v>0</v>
      </c>
      <c r="Z8675" s="3">
        <v>240</v>
      </c>
      <c r="AA8675">
        <v>76</v>
      </c>
      <c r="AB8675" s="5">
        <v>18240</v>
      </c>
      <c r="AC8675">
        <v>240</v>
      </c>
      <c r="AD8675">
        <v>76</v>
      </c>
      <c r="AE8675" s="1">
        <v>18240</v>
      </c>
      <c r="AF8675">
        <v>52.8</v>
      </c>
      <c r="AJ8675">
        <v>0</v>
      </c>
      <c r="AK8675">
        <v>0</v>
      </c>
      <c r="AL8675">
        <v>0</v>
      </c>
      <c r="AM8675">
        <v>292.8</v>
      </c>
      <c r="AN8675">
        <v>292.8</v>
      </c>
      <c r="AO8675">
        <v>292.8</v>
      </c>
      <c r="AP8675" s="2">
        <v>42746</v>
      </c>
      <c r="AQ8675" t="s">
        <v>72</v>
      </c>
      <c r="AR8675" t="s">
        <v>72</v>
      </c>
      <c r="AS8675">
        <v>3577</v>
      </c>
      <c r="AT8675" s="4">
        <v>42723</v>
      </c>
      <c r="AU8675" t="s">
        <v>73</v>
      </c>
      <c r="AV8675">
        <v>3577</v>
      </c>
      <c r="AW8675" s="4">
        <v>42723</v>
      </c>
      <c r="AZ8675">
        <v>52.8</v>
      </c>
      <c r="BD8675">
        <v>0</v>
      </c>
      <c r="BN8675" t="s">
        <v>74</v>
      </c>
    </row>
    <row r="8676" spans="1:66">
      <c r="A8676">
        <v>106404</v>
      </c>
      <c r="B8676" s="3" t="s">
        <v>758</v>
      </c>
      <c r="C8676" s="1">
        <v>43300101</v>
      </c>
      <c r="D8676" t="s">
        <v>67</v>
      </c>
      <c r="H8676" t="str">
        <f t="shared" si="896"/>
        <v>02368591208</v>
      </c>
      <c r="I8676" t="str">
        <f t="shared" si="896"/>
        <v>02368591208</v>
      </c>
      <c r="K8676" t="str">
        <f>""</f>
        <v/>
      </c>
      <c r="M8676" t="s">
        <v>68</v>
      </c>
      <c r="N8676" t="str">
        <f t="shared" si="895"/>
        <v>FOR</v>
      </c>
      <c r="O8676" t="s">
        <v>69</v>
      </c>
      <c r="P8676" s="3" t="s">
        <v>75</v>
      </c>
      <c r="Q8676">
        <v>2016</v>
      </c>
      <c r="R8676" s="2">
        <v>42598</v>
      </c>
      <c r="S8676" s="2">
        <v>42600</v>
      </c>
      <c r="T8676" s="2">
        <v>42599</v>
      </c>
      <c r="U8676" s="2">
        <v>42659</v>
      </c>
      <c r="V8676" t="s">
        <v>71</v>
      </c>
      <c r="W8676" t="str">
        <f>"          8100034492"</f>
        <v xml:space="preserve">          8100034492</v>
      </c>
      <c r="X8676">
        <v>32.700000000000003</v>
      </c>
      <c r="Y8676">
        <v>0</v>
      </c>
      <c r="Z8676" s="3">
        <v>26.8</v>
      </c>
      <c r="AA8676">
        <v>64</v>
      </c>
      <c r="AB8676" s="5">
        <v>1715.2</v>
      </c>
      <c r="AC8676">
        <v>26.8</v>
      </c>
      <c r="AD8676">
        <v>64</v>
      </c>
      <c r="AE8676" s="1">
        <v>1715.2</v>
      </c>
      <c r="AF8676">
        <v>5.9</v>
      </c>
      <c r="AJ8676">
        <v>0</v>
      </c>
      <c r="AK8676">
        <v>0</v>
      </c>
      <c r="AL8676">
        <v>0</v>
      </c>
      <c r="AM8676">
        <v>32.700000000000003</v>
      </c>
      <c r="AN8676">
        <v>32.700000000000003</v>
      </c>
      <c r="AO8676">
        <v>32.700000000000003</v>
      </c>
      <c r="AP8676" s="2">
        <v>42746</v>
      </c>
      <c r="AQ8676" t="s">
        <v>72</v>
      </c>
      <c r="AR8676" t="s">
        <v>72</v>
      </c>
      <c r="AS8676">
        <v>3577</v>
      </c>
      <c r="AT8676" s="4">
        <v>42723</v>
      </c>
      <c r="AU8676" t="s">
        <v>73</v>
      </c>
      <c r="AV8676">
        <v>3577</v>
      </c>
      <c r="AW8676" s="4">
        <v>42723</v>
      </c>
      <c r="AZ8676">
        <v>5.9</v>
      </c>
      <c r="BD8676">
        <v>0</v>
      </c>
      <c r="BN8676" t="s">
        <v>74</v>
      </c>
    </row>
    <row r="8677" spans="1:66">
      <c r="A8677">
        <v>106404</v>
      </c>
      <c r="B8677" s="3" t="s">
        <v>758</v>
      </c>
      <c r="C8677" s="1">
        <v>43300101</v>
      </c>
      <c r="D8677" t="s">
        <v>67</v>
      </c>
      <c r="H8677" t="str">
        <f t="shared" si="896"/>
        <v>02368591208</v>
      </c>
      <c r="I8677" t="str">
        <f t="shared" si="896"/>
        <v>02368591208</v>
      </c>
      <c r="K8677" t="str">
        <f>""</f>
        <v/>
      </c>
      <c r="M8677" t="s">
        <v>68</v>
      </c>
      <c r="N8677" t="str">
        <f t="shared" si="895"/>
        <v>FOR</v>
      </c>
      <c r="O8677" t="s">
        <v>69</v>
      </c>
      <c r="P8677" s="3" t="s">
        <v>75</v>
      </c>
      <c r="Q8677">
        <v>2016</v>
      </c>
      <c r="R8677" s="2">
        <v>42607</v>
      </c>
      <c r="S8677" s="2">
        <v>42612</v>
      </c>
      <c r="T8677" s="2">
        <v>42608</v>
      </c>
      <c r="U8677" s="2">
        <v>42668</v>
      </c>
      <c r="V8677" t="s">
        <v>71</v>
      </c>
      <c r="W8677" t="str">
        <f>"          8100034867"</f>
        <v xml:space="preserve">          8100034867</v>
      </c>
      <c r="X8677">
        <v>807.03</v>
      </c>
      <c r="Y8677">
        <v>0</v>
      </c>
      <c r="Z8677" s="3">
        <v>661.5</v>
      </c>
      <c r="AA8677">
        <v>55</v>
      </c>
      <c r="AB8677" s="5">
        <v>36382.5</v>
      </c>
      <c r="AC8677">
        <v>661.5</v>
      </c>
      <c r="AD8677">
        <v>55</v>
      </c>
      <c r="AE8677" s="1">
        <v>36382.5</v>
      </c>
      <c r="AF8677">
        <v>145.53</v>
      </c>
      <c r="AJ8677">
        <v>0</v>
      </c>
      <c r="AK8677">
        <v>0</v>
      </c>
      <c r="AL8677">
        <v>0</v>
      </c>
      <c r="AM8677">
        <v>807.03</v>
      </c>
      <c r="AN8677">
        <v>807.03</v>
      </c>
      <c r="AO8677">
        <v>807.03</v>
      </c>
      <c r="AP8677" s="2">
        <v>42746</v>
      </c>
      <c r="AQ8677" t="s">
        <v>72</v>
      </c>
      <c r="AR8677" t="s">
        <v>72</v>
      </c>
      <c r="AS8677">
        <v>3577</v>
      </c>
      <c r="AT8677" s="4">
        <v>42723</v>
      </c>
      <c r="AU8677" t="s">
        <v>73</v>
      </c>
      <c r="AV8677">
        <v>3577</v>
      </c>
      <c r="AW8677" s="4">
        <v>42723</v>
      </c>
      <c r="AZ8677">
        <v>145.53</v>
      </c>
      <c r="BD8677">
        <v>0</v>
      </c>
      <c r="BN8677" t="s">
        <v>74</v>
      </c>
    </row>
    <row r="8678" spans="1:66">
      <c r="A8678">
        <v>106404</v>
      </c>
      <c r="B8678" s="3" t="s">
        <v>758</v>
      </c>
      <c r="C8678" s="1">
        <v>43300101</v>
      </c>
      <c r="D8678" t="s">
        <v>67</v>
      </c>
      <c r="H8678" t="str">
        <f t="shared" si="896"/>
        <v>02368591208</v>
      </c>
      <c r="I8678" t="str">
        <f t="shared" si="896"/>
        <v>02368591208</v>
      </c>
      <c r="K8678" t="str">
        <f>""</f>
        <v/>
      </c>
      <c r="M8678" t="s">
        <v>68</v>
      </c>
      <c r="N8678" t="str">
        <f t="shared" si="895"/>
        <v>FOR</v>
      </c>
      <c r="O8678" t="s">
        <v>69</v>
      </c>
      <c r="P8678" s="3" t="s">
        <v>75</v>
      </c>
      <c r="Q8678">
        <v>2016</v>
      </c>
      <c r="R8678" s="2">
        <v>42626</v>
      </c>
      <c r="S8678" s="2">
        <v>42627</v>
      </c>
      <c r="T8678" s="2">
        <v>42627</v>
      </c>
      <c r="U8678" s="2">
        <v>42687</v>
      </c>
      <c r="V8678" t="s">
        <v>71</v>
      </c>
      <c r="W8678" t="str">
        <f>"          8100035981"</f>
        <v xml:space="preserve">          8100035981</v>
      </c>
      <c r="X8678" s="1">
        <v>13138.42</v>
      </c>
      <c r="Y8678">
        <v>0</v>
      </c>
      <c r="Z8678" s="5">
        <v>10769.2</v>
      </c>
      <c r="AA8678">
        <v>36</v>
      </c>
      <c r="AB8678" s="5">
        <v>387691.2</v>
      </c>
      <c r="AC8678" s="1">
        <v>10769.2</v>
      </c>
      <c r="AD8678">
        <v>36</v>
      </c>
      <c r="AE8678" s="1">
        <v>387691.2</v>
      </c>
      <c r="AF8678" s="1">
        <v>2369.2199999999998</v>
      </c>
      <c r="AJ8678">
        <v>0</v>
      </c>
      <c r="AK8678">
        <v>0</v>
      </c>
      <c r="AL8678">
        <v>0</v>
      </c>
      <c r="AM8678" s="1">
        <v>13138.42</v>
      </c>
      <c r="AN8678" s="1">
        <v>13138.42</v>
      </c>
      <c r="AO8678" s="1">
        <v>13138.42</v>
      </c>
      <c r="AP8678" s="2">
        <v>42746</v>
      </c>
      <c r="AQ8678" t="s">
        <v>72</v>
      </c>
      <c r="AR8678" t="s">
        <v>72</v>
      </c>
      <c r="AS8678">
        <v>3577</v>
      </c>
      <c r="AT8678" s="4">
        <v>42723</v>
      </c>
      <c r="AU8678" t="s">
        <v>73</v>
      </c>
      <c r="AV8678">
        <v>3577</v>
      </c>
      <c r="AW8678" s="4">
        <v>42723</v>
      </c>
      <c r="AY8678" s="1">
        <v>2369.2199999999998</v>
      </c>
      <c r="BD8678">
        <v>0</v>
      </c>
      <c r="BN8678" t="s">
        <v>74</v>
      </c>
    </row>
    <row r="8679" spans="1:66" hidden="1">
      <c r="A8679">
        <v>106410</v>
      </c>
      <c r="B8679" s="3" t="s">
        <v>759</v>
      </c>
      <c r="C8679" s="1">
        <v>43500101</v>
      </c>
      <c r="D8679" t="s">
        <v>113</v>
      </c>
      <c r="H8679" t="str">
        <f t="shared" ref="H8679:H8690" si="897">"97761890587"</f>
        <v>97761890587</v>
      </c>
      <c r="I8679" t="str">
        <f>""</f>
        <v/>
      </c>
      <c r="K8679" t="str">
        <f>""</f>
        <v/>
      </c>
      <c r="M8679" t="s">
        <v>68</v>
      </c>
      <c r="N8679" t="str">
        <f t="shared" ref="N8679:N8709" si="898">"ALT"</f>
        <v>ALT</v>
      </c>
      <c r="O8679" t="s">
        <v>114</v>
      </c>
      <c r="P8679" s="3" t="s">
        <v>84</v>
      </c>
      <c r="Q8679">
        <v>2016</v>
      </c>
      <c r="R8679" s="2">
        <v>42389</v>
      </c>
      <c r="S8679" s="2">
        <v>42390</v>
      </c>
      <c r="T8679" s="2">
        <v>42390</v>
      </c>
      <c r="U8679" s="2">
        <v>42450</v>
      </c>
      <c r="V8679" t="s">
        <v>71</v>
      </c>
      <c r="W8679" t="str">
        <f>"                0120"</f>
        <v xml:space="preserve">                0120</v>
      </c>
      <c r="X8679">
        <v>0</v>
      </c>
      <c r="Y8679">
        <v>15</v>
      </c>
      <c r="Z8679"/>
      <c r="AB8679"/>
      <c r="AC8679">
        <v>15</v>
      </c>
      <c r="AD8679">
        <v>-60</v>
      </c>
      <c r="AE8679">
        <v>-900</v>
      </c>
      <c r="AF8679">
        <v>0</v>
      </c>
      <c r="AJ8679">
        <v>0</v>
      </c>
      <c r="AK8679">
        <v>0</v>
      </c>
      <c r="AL8679">
        <v>0</v>
      </c>
      <c r="AM8679">
        <v>15</v>
      </c>
      <c r="AN8679">
        <v>15</v>
      </c>
      <c r="AO8679">
        <v>15</v>
      </c>
      <c r="AP8679" s="2">
        <v>42746</v>
      </c>
      <c r="AQ8679" t="s">
        <v>72</v>
      </c>
      <c r="AR8679" t="s">
        <v>72</v>
      </c>
      <c r="AS8679">
        <v>86</v>
      </c>
      <c r="AT8679" s="4">
        <v>42390</v>
      </c>
      <c r="AV8679">
        <v>86</v>
      </c>
      <c r="AW8679" s="4">
        <v>42390</v>
      </c>
      <c r="BD8679">
        <v>0</v>
      </c>
      <c r="BN8679" t="s">
        <v>74</v>
      </c>
    </row>
    <row r="8680" spans="1:66" hidden="1">
      <c r="A8680">
        <v>106410</v>
      </c>
      <c r="B8680" s="3" t="s">
        <v>759</v>
      </c>
      <c r="C8680" s="1">
        <v>43500101</v>
      </c>
      <c r="D8680" t="s">
        <v>113</v>
      </c>
      <c r="H8680" t="str">
        <f t="shared" si="897"/>
        <v>97761890587</v>
      </c>
      <c r="I8680" t="str">
        <f>""</f>
        <v/>
      </c>
      <c r="K8680" t="str">
        <f>""</f>
        <v/>
      </c>
      <c r="M8680" t="s">
        <v>68</v>
      </c>
      <c r="N8680" t="str">
        <f t="shared" si="898"/>
        <v>ALT</v>
      </c>
      <c r="O8680" t="s">
        <v>114</v>
      </c>
      <c r="P8680" s="3" t="s">
        <v>85</v>
      </c>
      <c r="Q8680">
        <v>2016</v>
      </c>
      <c r="R8680" s="2">
        <v>42422</v>
      </c>
      <c r="S8680" s="2">
        <v>42422</v>
      </c>
      <c r="T8680" s="2">
        <v>42422</v>
      </c>
      <c r="U8680" s="2">
        <v>42482</v>
      </c>
      <c r="V8680" t="s">
        <v>71</v>
      </c>
      <c r="W8680" t="str">
        <f>"                0222"</f>
        <v xml:space="preserve">                0222</v>
      </c>
      <c r="X8680">
        <v>0</v>
      </c>
      <c r="Y8680">
        <v>15</v>
      </c>
      <c r="Z8680"/>
      <c r="AB8680"/>
      <c r="AC8680">
        <v>15</v>
      </c>
      <c r="AD8680">
        <v>-58</v>
      </c>
      <c r="AE8680">
        <v>-870</v>
      </c>
      <c r="AF8680">
        <v>0</v>
      </c>
      <c r="AJ8680">
        <v>0</v>
      </c>
      <c r="AK8680">
        <v>0</v>
      </c>
      <c r="AL8680">
        <v>0</v>
      </c>
      <c r="AM8680">
        <v>15</v>
      </c>
      <c r="AN8680">
        <v>15</v>
      </c>
      <c r="AO8680">
        <v>15</v>
      </c>
      <c r="AP8680" s="2">
        <v>42746</v>
      </c>
      <c r="AQ8680" t="s">
        <v>72</v>
      </c>
      <c r="AR8680" t="s">
        <v>72</v>
      </c>
      <c r="AS8680">
        <v>530</v>
      </c>
      <c r="AT8680" s="4">
        <v>42424</v>
      </c>
      <c r="AV8680">
        <v>530</v>
      </c>
      <c r="AW8680" s="4">
        <v>42424</v>
      </c>
      <c r="BD8680">
        <v>0</v>
      </c>
      <c r="BN8680" t="s">
        <v>74</v>
      </c>
    </row>
    <row r="8681" spans="1:66" hidden="1">
      <c r="A8681">
        <v>106410</v>
      </c>
      <c r="B8681" s="3" t="s">
        <v>759</v>
      </c>
      <c r="C8681" s="1">
        <v>43500101</v>
      </c>
      <c r="D8681" t="s">
        <v>113</v>
      </c>
      <c r="H8681" t="str">
        <f t="shared" si="897"/>
        <v>97761890587</v>
      </c>
      <c r="I8681" t="str">
        <f>""</f>
        <v/>
      </c>
      <c r="K8681" t="str">
        <f>""</f>
        <v/>
      </c>
      <c r="M8681" t="s">
        <v>68</v>
      </c>
      <c r="N8681" t="str">
        <f t="shared" si="898"/>
        <v>ALT</v>
      </c>
      <c r="O8681" t="s">
        <v>114</v>
      </c>
      <c r="P8681" s="3" t="s">
        <v>86</v>
      </c>
      <c r="Q8681">
        <v>2016</v>
      </c>
      <c r="R8681" s="2">
        <v>42450</v>
      </c>
      <c r="S8681" s="2">
        <v>42450</v>
      </c>
      <c r="T8681" s="2">
        <v>42450</v>
      </c>
      <c r="U8681" s="2">
        <v>42510</v>
      </c>
      <c r="V8681" t="s">
        <v>71</v>
      </c>
      <c r="W8681" t="str">
        <f>"                0321"</f>
        <v xml:space="preserve">                0321</v>
      </c>
      <c r="X8681">
        <v>0</v>
      </c>
      <c r="Y8681">
        <v>15</v>
      </c>
      <c r="Z8681"/>
      <c r="AB8681"/>
      <c r="AC8681">
        <v>15</v>
      </c>
      <c r="AD8681">
        <v>-57</v>
      </c>
      <c r="AE8681">
        <v>-855</v>
      </c>
      <c r="AF8681">
        <v>0</v>
      </c>
      <c r="AJ8681">
        <v>0</v>
      </c>
      <c r="AK8681">
        <v>0</v>
      </c>
      <c r="AL8681">
        <v>0</v>
      </c>
      <c r="AM8681">
        <v>15</v>
      </c>
      <c r="AN8681">
        <v>15</v>
      </c>
      <c r="AO8681">
        <v>15</v>
      </c>
      <c r="AP8681" s="2">
        <v>42746</v>
      </c>
      <c r="AQ8681" t="s">
        <v>72</v>
      </c>
      <c r="AR8681" t="s">
        <v>72</v>
      </c>
      <c r="AS8681">
        <v>952</v>
      </c>
      <c r="AT8681" s="4">
        <v>42453</v>
      </c>
      <c r="AV8681">
        <v>952</v>
      </c>
      <c r="AW8681" s="4">
        <v>42453</v>
      </c>
      <c r="BD8681">
        <v>0</v>
      </c>
      <c r="BN8681" t="s">
        <v>74</v>
      </c>
    </row>
    <row r="8682" spans="1:66" hidden="1">
      <c r="A8682">
        <v>106410</v>
      </c>
      <c r="B8682" s="3" t="s">
        <v>759</v>
      </c>
      <c r="C8682" s="1">
        <v>43500101</v>
      </c>
      <c r="D8682" t="s">
        <v>113</v>
      </c>
      <c r="H8682" t="str">
        <f t="shared" si="897"/>
        <v>97761890587</v>
      </c>
      <c r="I8682" t="str">
        <f>""</f>
        <v/>
      </c>
      <c r="K8682" t="str">
        <f>""</f>
        <v/>
      </c>
      <c r="M8682" t="s">
        <v>68</v>
      </c>
      <c r="N8682" t="str">
        <f t="shared" si="898"/>
        <v>ALT</v>
      </c>
      <c r="O8682" t="s">
        <v>114</v>
      </c>
      <c r="P8682" s="3" t="s">
        <v>87</v>
      </c>
      <c r="Q8682">
        <v>2016</v>
      </c>
      <c r="R8682" s="2">
        <v>42481</v>
      </c>
      <c r="S8682" s="2">
        <v>42481</v>
      </c>
      <c r="T8682" s="2">
        <v>42481</v>
      </c>
      <c r="U8682" s="2">
        <v>42541</v>
      </c>
      <c r="V8682" t="s">
        <v>71</v>
      </c>
      <c r="W8682" t="str">
        <f>"                0421"</f>
        <v xml:space="preserve">                0421</v>
      </c>
      <c r="X8682">
        <v>0</v>
      </c>
      <c r="Y8682">
        <v>15</v>
      </c>
      <c r="Z8682"/>
      <c r="AB8682"/>
      <c r="AC8682">
        <v>15</v>
      </c>
      <c r="AD8682">
        <v>-60</v>
      </c>
      <c r="AE8682">
        <v>-900</v>
      </c>
      <c r="AF8682">
        <v>0</v>
      </c>
      <c r="AJ8682">
        <v>0</v>
      </c>
      <c r="AK8682">
        <v>0</v>
      </c>
      <c r="AL8682">
        <v>0</v>
      </c>
      <c r="AM8682">
        <v>15</v>
      </c>
      <c r="AN8682">
        <v>15</v>
      </c>
      <c r="AO8682">
        <v>15</v>
      </c>
      <c r="AP8682" s="2">
        <v>42746</v>
      </c>
      <c r="AQ8682" t="s">
        <v>72</v>
      </c>
      <c r="AR8682" t="s">
        <v>72</v>
      </c>
      <c r="AS8682">
        <v>1117</v>
      </c>
      <c r="AT8682" s="4">
        <v>42481</v>
      </c>
      <c r="AV8682">
        <v>1117</v>
      </c>
      <c r="AW8682" s="4">
        <v>42481</v>
      </c>
      <c r="BD8682">
        <v>0</v>
      </c>
      <c r="BN8682" t="s">
        <v>74</v>
      </c>
    </row>
    <row r="8683" spans="1:66" hidden="1">
      <c r="A8683">
        <v>106410</v>
      </c>
      <c r="B8683" s="3" t="s">
        <v>759</v>
      </c>
      <c r="C8683" s="1">
        <v>43500101</v>
      </c>
      <c r="D8683" t="s">
        <v>113</v>
      </c>
      <c r="H8683" t="str">
        <f t="shared" si="897"/>
        <v>97761890587</v>
      </c>
      <c r="I8683" t="str">
        <f>""</f>
        <v/>
      </c>
      <c r="K8683" t="str">
        <f>""</f>
        <v/>
      </c>
      <c r="M8683" t="s">
        <v>68</v>
      </c>
      <c r="N8683" t="str">
        <f t="shared" si="898"/>
        <v>ALT</v>
      </c>
      <c r="O8683" t="s">
        <v>114</v>
      </c>
      <c r="P8683" s="3" t="s">
        <v>88</v>
      </c>
      <c r="Q8683">
        <v>2016</v>
      </c>
      <c r="R8683" s="2">
        <v>42508</v>
      </c>
      <c r="S8683" s="2">
        <v>42510</v>
      </c>
      <c r="T8683" s="2">
        <v>42510</v>
      </c>
      <c r="U8683" s="2">
        <v>42570</v>
      </c>
      <c r="V8683" t="s">
        <v>71</v>
      </c>
      <c r="W8683" t="str">
        <f>"                0518"</f>
        <v xml:space="preserve">                0518</v>
      </c>
      <c r="X8683">
        <v>0</v>
      </c>
      <c r="Y8683">
        <v>15</v>
      </c>
      <c r="Z8683"/>
      <c r="AB8683"/>
      <c r="AC8683">
        <v>15</v>
      </c>
      <c r="AD8683">
        <v>-57</v>
      </c>
      <c r="AE8683">
        <v>-855</v>
      </c>
      <c r="AF8683">
        <v>0</v>
      </c>
      <c r="AJ8683">
        <v>0</v>
      </c>
      <c r="AK8683">
        <v>0</v>
      </c>
      <c r="AL8683">
        <v>0</v>
      </c>
      <c r="AM8683">
        <v>15</v>
      </c>
      <c r="AN8683">
        <v>15</v>
      </c>
      <c r="AO8683">
        <v>15</v>
      </c>
      <c r="AP8683" s="2">
        <v>42746</v>
      </c>
      <c r="AQ8683" t="s">
        <v>72</v>
      </c>
      <c r="AR8683" t="s">
        <v>72</v>
      </c>
      <c r="AS8683">
        <v>1355</v>
      </c>
      <c r="AT8683" s="4">
        <v>42513</v>
      </c>
      <c r="AV8683">
        <v>1355</v>
      </c>
      <c r="AW8683" s="4">
        <v>42513</v>
      </c>
      <c r="BD8683">
        <v>0</v>
      </c>
      <c r="BN8683" t="s">
        <v>74</v>
      </c>
    </row>
    <row r="8684" spans="1:66" hidden="1">
      <c r="A8684">
        <v>106410</v>
      </c>
      <c r="B8684" s="3" t="s">
        <v>759</v>
      </c>
      <c r="C8684" s="1">
        <v>43500101</v>
      </c>
      <c r="D8684" t="s">
        <v>113</v>
      </c>
      <c r="H8684" t="str">
        <f t="shared" si="897"/>
        <v>97761890587</v>
      </c>
      <c r="I8684" t="str">
        <f>""</f>
        <v/>
      </c>
      <c r="K8684" t="str">
        <f>""</f>
        <v/>
      </c>
      <c r="M8684" t="s">
        <v>68</v>
      </c>
      <c r="N8684" t="str">
        <f t="shared" si="898"/>
        <v>ALT</v>
      </c>
      <c r="O8684" t="s">
        <v>114</v>
      </c>
      <c r="P8684" s="3" t="s">
        <v>89</v>
      </c>
      <c r="Q8684">
        <v>2016</v>
      </c>
      <c r="R8684" s="2">
        <v>42548</v>
      </c>
      <c r="S8684" s="2">
        <v>42543</v>
      </c>
      <c r="T8684" s="2">
        <v>42543</v>
      </c>
      <c r="U8684" s="2">
        <v>42603</v>
      </c>
      <c r="V8684" t="s">
        <v>71</v>
      </c>
      <c r="W8684" t="str">
        <f>"                0627"</f>
        <v xml:space="preserve">                0627</v>
      </c>
      <c r="X8684">
        <v>0</v>
      </c>
      <c r="Y8684">
        <v>15</v>
      </c>
      <c r="Z8684"/>
      <c r="AB8684"/>
      <c r="AC8684">
        <v>15</v>
      </c>
      <c r="AD8684">
        <v>-47</v>
      </c>
      <c r="AE8684">
        <v>-705</v>
      </c>
      <c r="AF8684">
        <v>0</v>
      </c>
      <c r="AJ8684">
        <v>0</v>
      </c>
      <c r="AK8684">
        <v>0</v>
      </c>
      <c r="AL8684">
        <v>0</v>
      </c>
      <c r="AM8684">
        <v>15</v>
      </c>
      <c r="AN8684">
        <v>15</v>
      </c>
      <c r="AO8684">
        <v>15</v>
      </c>
      <c r="AP8684" s="2">
        <v>42746</v>
      </c>
      <c r="AQ8684" t="s">
        <v>72</v>
      </c>
      <c r="AR8684" t="s">
        <v>72</v>
      </c>
      <c r="AS8684">
        <v>1738</v>
      </c>
      <c r="AT8684" s="4">
        <v>42556</v>
      </c>
      <c r="AV8684">
        <v>1738</v>
      </c>
      <c r="AW8684" s="4">
        <v>42556</v>
      </c>
      <c r="BD8684">
        <v>0</v>
      </c>
      <c r="BN8684" t="s">
        <v>74</v>
      </c>
    </row>
    <row r="8685" spans="1:66" hidden="1">
      <c r="A8685">
        <v>106410</v>
      </c>
      <c r="B8685" s="3" t="s">
        <v>759</v>
      </c>
      <c r="C8685" s="1">
        <v>43500101</v>
      </c>
      <c r="D8685" t="s">
        <v>113</v>
      </c>
      <c r="H8685" t="str">
        <f t="shared" si="897"/>
        <v>97761890587</v>
      </c>
      <c r="I8685" t="str">
        <f>""</f>
        <v/>
      </c>
      <c r="K8685" t="str">
        <f>""</f>
        <v/>
      </c>
      <c r="M8685" t="s">
        <v>68</v>
      </c>
      <c r="N8685" t="str">
        <f t="shared" si="898"/>
        <v>ALT</v>
      </c>
      <c r="O8685" t="s">
        <v>114</v>
      </c>
      <c r="P8685" s="3" t="s">
        <v>90</v>
      </c>
      <c r="Q8685">
        <v>2016</v>
      </c>
      <c r="R8685" s="2">
        <v>42573</v>
      </c>
      <c r="S8685" s="2">
        <v>42573</v>
      </c>
      <c r="T8685" s="2">
        <v>42573</v>
      </c>
      <c r="U8685" s="2">
        <v>42633</v>
      </c>
      <c r="V8685" t="s">
        <v>71</v>
      </c>
      <c r="W8685" t="str">
        <f>"                0722"</f>
        <v xml:space="preserve">                0722</v>
      </c>
      <c r="X8685">
        <v>0</v>
      </c>
      <c r="Y8685">
        <v>30</v>
      </c>
      <c r="Z8685"/>
      <c r="AB8685"/>
      <c r="AC8685">
        <v>30</v>
      </c>
      <c r="AD8685">
        <v>-48</v>
      </c>
      <c r="AE8685" s="1">
        <v>-1440</v>
      </c>
      <c r="AF8685">
        <v>0</v>
      </c>
      <c r="AJ8685">
        <v>0</v>
      </c>
      <c r="AK8685">
        <v>0</v>
      </c>
      <c r="AL8685">
        <v>0</v>
      </c>
      <c r="AM8685">
        <v>30</v>
      </c>
      <c r="AN8685">
        <v>30</v>
      </c>
      <c r="AO8685">
        <v>30</v>
      </c>
      <c r="AP8685" s="2">
        <v>42746</v>
      </c>
      <c r="AQ8685" t="s">
        <v>72</v>
      </c>
      <c r="AR8685" t="s">
        <v>72</v>
      </c>
      <c r="AS8685">
        <v>2136</v>
      </c>
      <c r="AT8685" s="4">
        <v>42585</v>
      </c>
      <c r="AV8685">
        <v>2136</v>
      </c>
      <c r="AW8685" s="4">
        <v>42585</v>
      </c>
      <c r="BD8685">
        <v>0</v>
      </c>
      <c r="BN8685" t="s">
        <v>74</v>
      </c>
    </row>
    <row r="8686" spans="1:66" hidden="1">
      <c r="A8686">
        <v>106410</v>
      </c>
      <c r="B8686" s="3" t="s">
        <v>759</v>
      </c>
      <c r="C8686" s="1">
        <v>43500101</v>
      </c>
      <c r="D8686" t="s">
        <v>113</v>
      </c>
      <c r="H8686" t="str">
        <f t="shared" si="897"/>
        <v>97761890587</v>
      </c>
      <c r="I8686" t="str">
        <f>""</f>
        <v/>
      </c>
      <c r="K8686" t="str">
        <f>""</f>
        <v/>
      </c>
      <c r="M8686" t="s">
        <v>68</v>
      </c>
      <c r="N8686" t="str">
        <f t="shared" si="898"/>
        <v>ALT</v>
      </c>
      <c r="O8686" t="s">
        <v>114</v>
      </c>
      <c r="P8686" s="3" t="s">
        <v>91</v>
      </c>
      <c r="Q8686">
        <v>2016</v>
      </c>
      <c r="R8686" s="2">
        <v>42592</v>
      </c>
      <c r="S8686" s="2">
        <v>42598</v>
      </c>
      <c r="T8686" s="2">
        <v>42598</v>
      </c>
      <c r="U8686" s="2">
        <v>42658</v>
      </c>
      <c r="V8686" t="s">
        <v>71</v>
      </c>
      <c r="W8686" t="str">
        <f>"                0810"</f>
        <v xml:space="preserve">                0810</v>
      </c>
      <c r="X8686">
        <v>0</v>
      </c>
      <c r="Y8686">
        <v>30</v>
      </c>
      <c r="Z8686"/>
      <c r="AB8686"/>
      <c r="AC8686">
        <v>30</v>
      </c>
      <c r="AD8686">
        <v>-60</v>
      </c>
      <c r="AE8686" s="1">
        <v>-1800</v>
      </c>
      <c r="AF8686">
        <v>0</v>
      </c>
      <c r="AJ8686">
        <v>0</v>
      </c>
      <c r="AK8686">
        <v>0</v>
      </c>
      <c r="AL8686">
        <v>0</v>
      </c>
      <c r="AM8686">
        <v>30</v>
      </c>
      <c r="AN8686">
        <v>30</v>
      </c>
      <c r="AO8686">
        <v>30</v>
      </c>
      <c r="AP8686" s="2">
        <v>42746</v>
      </c>
      <c r="AQ8686" t="s">
        <v>72</v>
      </c>
      <c r="AR8686" t="s">
        <v>72</v>
      </c>
      <c r="AS8686">
        <v>2219</v>
      </c>
      <c r="AT8686" s="4">
        <v>42598</v>
      </c>
      <c r="AV8686">
        <v>2219</v>
      </c>
      <c r="AW8686" s="4">
        <v>42598</v>
      </c>
      <c r="BD8686">
        <v>0</v>
      </c>
      <c r="BN8686" t="s">
        <v>74</v>
      </c>
    </row>
    <row r="8687" spans="1:66" hidden="1">
      <c r="A8687">
        <v>106410</v>
      </c>
      <c r="B8687" s="3" t="s">
        <v>759</v>
      </c>
      <c r="C8687" s="1">
        <v>43500101</v>
      </c>
      <c r="D8687" t="s">
        <v>113</v>
      </c>
      <c r="H8687" t="str">
        <f t="shared" si="897"/>
        <v>97761890587</v>
      </c>
      <c r="I8687" t="str">
        <f>""</f>
        <v/>
      </c>
      <c r="K8687" t="str">
        <f>""</f>
        <v/>
      </c>
      <c r="M8687" t="s">
        <v>68</v>
      </c>
      <c r="N8687" t="str">
        <f t="shared" si="898"/>
        <v>ALT</v>
      </c>
      <c r="O8687" t="s">
        <v>114</v>
      </c>
      <c r="P8687" s="3" t="s">
        <v>92</v>
      </c>
      <c r="Q8687">
        <v>2016</v>
      </c>
      <c r="R8687" s="2">
        <v>42633</v>
      </c>
      <c r="S8687" s="2">
        <v>42634</v>
      </c>
      <c r="T8687" s="2">
        <v>42634</v>
      </c>
      <c r="U8687" s="2">
        <v>42694</v>
      </c>
      <c r="V8687" t="s">
        <v>71</v>
      </c>
      <c r="W8687" t="str">
        <f>"                0920"</f>
        <v xml:space="preserve">                0920</v>
      </c>
      <c r="X8687">
        <v>0</v>
      </c>
      <c r="Y8687">
        <v>30</v>
      </c>
      <c r="Z8687"/>
      <c r="AB8687"/>
      <c r="AC8687">
        <v>30</v>
      </c>
      <c r="AD8687">
        <v>-60</v>
      </c>
      <c r="AE8687" s="1">
        <v>-1800</v>
      </c>
      <c r="AF8687">
        <v>0</v>
      </c>
      <c r="AJ8687">
        <v>0</v>
      </c>
      <c r="AK8687">
        <v>0</v>
      </c>
      <c r="AL8687">
        <v>0</v>
      </c>
      <c r="AM8687">
        <v>30</v>
      </c>
      <c r="AN8687">
        <v>30</v>
      </c>
      <c r="AO8687">
        <v>30</v>
      </c>
      <c r="AP8687" s="2">
        <v>42746</v>
      </c>
      <c r="AQ8687" t="s">
        <v>72</v>
      </c>
      <c r="AR8687" t="s">
        <v>72</v>
      </c>
      <c r="AS8687">
        <v>2492</v>
      </c>
      <c r="AT8687" s="4">
        <v>42634</v>
      </c>
      <c r="AV8687">
        <v>2492</v>
      </c>
      <c r="AW8687" s="4">
        <v>42634</v>
      </c>
      <c r="BD8687">
        <v>0</v>
      </c>
      <c r="BN8687" t="s">
        <v>74</v>
      </c>
    </row>
    <row r="8688" spans="1:66" hidden="1">
      <c r="A8688">
        <v>106410</v>
      </c>
      <c r="B8688" s="3" t="s">
        <v>759</v>
      </c>
      <c r="C8688" s="1">
        <v>43500101</v>
      </c>
      <c r="D8688" t="s">
        <v>113</v>
      </c>
      <c r="H8688" t="str">
        <f t="shared" si="897"/>
        <v>97761890587</v>
      </c>
      <c r="I8688" t="str">
        <f>""</f>
        <v/>
      </c>
      <c r="K8688" t="str">
        <f>""</f>
        <v/>
      </c>
      <c r="M8688" t="s">
        <v>68</v>
      </c>
      <c r="N8688" t="str">
        <f t="shared" si="898"/>
        <v>ALT</v>
      </c>
      <c r="O8688" t="s">
        <v>114</v>
      </c>
      <c r="P8688" s="3" t="s">
        <v>93</v>
      </c>
      <c r="Q8688">
        <v>2016</v>
      </c>
      <c r="R8688" s="2">
        <v>42664</v>
      </c>
      <c r="S8688" s="2">
        <v>42667</v>
      </c>
      <c r="T8688" s="2">
        <v>42667</v>
      </c>
      <c r="U8688" s="2">
        <v>42727</v>
      </c>
      <c r="V8688" t="s">
        <v>71</v>
      </c>
      <c r="W8688" t="str">
        <f>"                1021"</f>
        <v xml:space="preserve">                1021</v>
      </c>
      <c r="X8688">
        <v>0</v>
      </c>
      <c r="Y8688">
        <v>30</v>
      </c>
      <c r="Z8688" s="3">
        <v>30</v>
      </c>
      <c r="AA8688">
        <v>-60</v>
      </c>
      <c r="AB8688" s="5">
        <v>-1800</v>
      </c>
      <c r="AC8688">
        <v>30</v>
      </c>
      <c r="AD8688">
        <v>-60</v>
      </c>
      <c r="AE8688" s="1">
        <v>-1800</v>
      </c>
      <c r="AF8688">
        <v>0</v>
      </c>
      <c r="AJ8688">
        <v>30</v>
      </c>
      <c r="AK8688">
        <v>30</v>
      </c>
      <c r="AL8688">
        <v>30</v>
      </c>
      <c r="AM8688">
        <v>30</v>
      </c>
      <c r="AN8688">
        <v>30</v>
      </c>
      <c r="AO8688">
        <v>30</v>
      </c>
      <c r="AP8688" s="2">
        <v>42746</v>
      </c>
      <c r="AQ8688" t="s">
        <v>72</v>
      </c>
      <c r="AR8688" t="s">
        <v>72</v>
      </c>
      <c r="AS8688">
        <v>2840</v>
      </c>
      <c r="AT8688" s="4">
        <v>42667</v>
      </c>
      <c r="AV8688">
        <v>2840</v>
      </c>
      <c r="AW8688" s="4">
        <v>42667</v>
      </c>
      <c r="BD8688">
        <v>0</v>
      </c>
      <c r="BN8688" t="s">
        <v>74</v>
      </c>
    </row>
    <row r="8689" spans="1:66" hidden="1">
      <c r="A8689">
        <v>106410</v>
      </c>
      <c r="B8689" s="3" t="s">
        <v>759</v>
      </c>
      <c r="C8689" s="1">
        <v>43500101</v>
      </c>
      <c r="D8689" t="s">
        <v>113</v>
      </c>
      <c r="H8689" t="str">
        <f t="shared" si="897"/>
        <v>97761890587</v>
      </c>
      <c r="I8689" t="str">
        <f>""</f>
        <v/>
      </c>
      <c r="K8689" t="str">
        <f>""</f>
        <v/>
      </c>
      <c r="M8689" t="s">
        <v>68</v>
      </c>
      <c r="N8689" t="str">
        <f t="shared" si="898"/>
        <v>ALT</v>
      </c>
      <c r="O8689" t="s">
        <v>114</v>
      </c>
      <c r="P8689" s="3" t="s">
        <v>94</v>
      </c>
      <c r="Q8689">
        <v>2016</v>
      </c>
      <c r="R8689" s="2">
        <v>42696</v>
      </c>
      <c r="S8689" s="2">
        <v>42696</v>
      </c>
      <c r="T8689" s="2">
        <v>42696</v>
      </c>
      <c r="U8689" s="2">
        <v>42756</v>
      </c>
      <c r="V8689" t="s">
        <v>71</v>
      </c>
      <c r="W8689" t="str">
        <f>"                1122"</f>
        <v xml:space="preserve">                1122</v>
      </c>
      <c r="X8689">
        <v>0</v>
      </c>
      <c r="Y8689">
        <v>30</v>
      </c>
      <c r="Z8689" s="3">
        <v>30</v>
      </c>
      <c r="AA8689">
        <v>-59</v>
      </c>
      <c r="AB8689" s="5">
        <v>-1770</v>
      </c>
      <c r="AC8689">
        <v>30</v>
      </c>
      <c r="AD8689">
        <v>-59</v>
      </c>
      <c r="AE8689" s="1">
        <v>-1770</v>
      </c>
      <c r="AF8689">
        <v>0</v>
      </c>
      <c r="AJ8689">
        <v>30</v>
      </c>
      <c r="AK8689">
        <v>30</v>
      </c>
      <c r="AL8689">
        <v>30</v>
      </c>
      <c r="AM8689">
        <v>30</v>
      </c>
      <c r="AN8689">
        <v>30</v>
      </c>
      <c r="AO8689">
        <v>30</v>
      </c>
      <c r="AP8689" s="2">
        <v>42746</v>
      </c>
      <c r="AQ8689" t="s">
        <v>72</v>
      </c>
      <c r="AR8689" t="s">
        <v>72</v>
      </c>
      <c r="AS8689">
        <v>3278</v>
      </c>
      <c r="AT8689" s="4">
        <v>42697</v>
      </c>
      <c r="AV8689">
        <v>3278</v>
      </c>
      <c r="AW8689" s="4">
        <v>42697</v>
      </c>
      <c r="BD8689">
        <v>0</v>
      </c>
      <c r="BN8689" t="s">
        <v>74</v>
      </c>
    </row>
    <row r="8690" spans="1:66" hidden="1">
      <c r="A8690">
        <v>106410</v>
      </c>
      <c r="B8690" s="3" t="s">
        <v>759</v>
      </c>
      <c r="C8690" s="1">
        <v>43500101</v>
      </c>
      <c r="D8690" t="s">
        <v>113</v>
      </c>
      <c r="H8690" t="str">
        <f t="shared" si="897"/>
        <v>97761890587</v>
      </c>
      <c r="I8690" t="str">
        <f>""</f>
        <v/>
      </c>
      <c r="K8690" t="str">
        <f>""</f>
        <v/>
      </c>
      <c r="M8690" t="s">
        <v>68</v>
      </c>
      <c r="N8690" t="str">
        <f t="shared" si="898"/>
        <v>ALT</v>
      </c>
      <c r="O8690" t="s">
        <v>114</v>
      </c>
      <c r="P8690" s="3" t="s">
        <v>95</v>
      </c>
      <c r="Q8690">
        <v>2016</v>
      </c>
      <c r="R8690" s="2">
        <v>42717</v>
      </c>
      <c r="S8690" s="2">
        <v>42717</v>
      </c>
      <c r="T8690" s="2">
        <v>42717</v>
      </c>
      <c r="U8690" s="2">
        <v>42777</v>
      </c>
      <c r="V8690" t="s">
        <v>71</v>
      </c>
      <c r="W8690" t="str">
        <f>"                1213"</f>
        <v xml:space="preserve">                1213</v>
      </c>
      <c r="X8690">
        <v>0</v>
      </c>
      <c r="Y8690">
        <v>30</v>
      </c>
      <c r="Z8690" s="3">
        <v>30</v>
      </c>
      <c r="AA8690">
        <v>-59</v>
      </c>
      <c r="AB8690" s="5">
        <v>-1770</v>
      </c>
      <c r="AC8690">
        <v>30</v>
      </c>
      <c r="AD8690">
        <v>-59</v>
      </c>
      <c r="AE8690" s="1">
        <v>-1770</v>
      </c>
      <c r="AF8690">
        <v>0</v>
      </c>
      <c r="AJ8690">
        <v>30</v>
      </c>
      <c r="AK8690">
        <v>30</v>
      </c>
      <c r="AL8690">
        <v>30</v>
      </c>
      <c r="AM8690">
        <v>30</v>
      </c>
      <c r="AN8690">
        <v>30</v>
      </c>
      <c r="AO8690">
        <v>30</v>
      </c>
      <c r="AP8690" s="2">
        <v>42746</v>
      </c>
      <c r="AQ8690" t="s">
        <v>72</v>
      </c>
      <c r="AR8690" t="s">
        <v>72</v>
      </c>
      <c r="AS8690">
        <v>3435</v>
      </c>
      <c r="AT8690" s="4">
        <v>42718</v>
      </c>
      <c r="AV8690">
        <v>3435</v>
      </c>
      <c r="AW8690" s="4">
        <v>42718</v>
      </c>
      <c r="BD8690">
        <v>0</v>
      </c>
      <c r="BN8690" t="s">
        <v>74</v>
      </c>
    </row>
    <row r="8691" spans="1:66" hidden="1">
      <c r="A8691">
        <v>106411</v>
      </c>
      <c r="B8691" s="3" t="s">
        <v>760</v>
      </c>
      <c r="C8691" s="1">
        <v>43500101</v>
      </c>
      <c r="D8691" t="s">
        <v>113</v>
      </c>
      <c r="H8691" t="str">
        <f t="shared" ref="H8691:H8696" si="899">"NRDNLL54P57B541C"</f>
        <v>NRDNLL54P57B541C</v>
      </c>
      <c r="I8691" t="str">
        <f>""</f>
        <v/>
      </c>
      <c r="K8691" t="str">
        <f>""</f>
        <v/>
      </c>
      <c r="M8691" t="s">
        <v>68</v>
      </c>
      <c r="N8691" t="str">
        <f t="shared" si="898"/>
        <v>ALT</v>
      </c>
      <c r="O8691" t="s">
        <v>114</v>
      </c>
      <c r="P8691" s="3" t="s">
        <v>84</v>
      </c>
      <c r="Q8691">
        <v>2016</v>
      </c>
      <c r="R8691" s="2">
        <v>42389</v>
      </c>
      <c r="S8691" s="2">
        <v>42390</v>
      </c>
      <c r="T8691" s="2">
        <v>42390</v>
      </c>
      <c r="U8691" s="2">
        <v>42450</v>
      </c>
      <c r="V8691" t="s">
        <v>71</v>
      </c>
      <c r="W8691" t="str">
        <f>"                0120"</f>
        <v xml:space="preserve">                0120</v>
      </c>
      <c r="X8691">
        <v>0</v>
      </c>
      <c r="Y8691">
        <v>356.09</v>
      </c>
      <c r="Z8691"/>
      <c r="AB8691"/>
      <c r="AC8691">
        <v>356.09</v>
      </c>
      <c r="AD8691">
        <v>-60</v>
      </c>
      <c r="AE8691" s="1">
        <v>-21365.4</v>
      </c>
      <c r="AF8691">
        <v>0</v>
      </c>
      <c r="AJ8691">
        <v>0</v>
      </c>
      <c r="AK8691">
        <v>0</v>
      </c>
      <c r="AL8691">
        <v>0</v>
      </c>
      <c r="AM8691">
        <v>356.09</v>
      </c>
      <c r="AN8691">
        <v>356.09</v>
      </c>
      <c r="AO8691">
        <v>356.09</v>
      </c>
      <c r="AP8691" s="2">
        <v>42746</v>
      </c>
      <c r="AQ8691" t="s">
        <v>72</v>
      </c>
      <c r="AR8691" t="s">
        <v>72</v>
      </c>
      <c r="AS8691">
        <v>74</v>
      </c>
      <c r="AT8691" s="4">
        <v>42390</v>
      </c>
      <c r="AV8691">
        <v>74</v>
      </c>
      <c r="AW8691" s="4">
        <v>42390</v>
      </c>
      <c r="BD8691">
        <v>0</v>
      </c>
      <c r="BN8691" t="s">
        <v>74</v>
      </c>
    </row>
    <row r="8692" spans="1:66" hidden="1">
      <c r="A8692">
        <v>106411</v>
      </c>
      <c r="B8692" s="3" t="s">
        <v>760</v>
      </c>
      <c r="C8692" s="1">
        <v>43500101</v>
      </c>
      <c r="D8692" t="s">
        <v>113</v>
      </c>
      <c r="H8692" t="str">
        <f t="shared" si="899"/>
        <v>NRDNLL54P57B541C</v>
      </c>
      <c r="I8692" t="str">
        <f>""</f>
        <v/>
      </c>
      <c r="K8692" t="str">
        <f>""</f>
        <v/>
      </c>
      <c r="M8692" t="s">
        <v>68</v>
      </c>
      <c r="N8692" t="str">
        <f t="shared" si="898"/>
        <v>ALT</v>
      </c>
      <c r="O8692" t="s">
        <v>114</v>
      </c>
      <c r="P8692" s="3" t="s">
        <v>85</v>
      </c>
      <c r="Q8692">
        <v>2016</v>
      </c>
      <c r="R8692" s="2">
        <v>42422</v>
      </c>
      <c r="S8692" s="2">
        <v>42422</v>
      </c>
      <c r="T8692" s="2">
        <v>42422</v>
      </c>
      <c r="U8692" s="2">
        <v>42482</v>
      </c>
      <c r="V8692" t="s">
        <v>71</v>
      </c>
      <c r="W8692" t="str">
        <f>"                0222"</f>
        <v xml:space="preserve">                0222</v>
      </c>
      <c r="X8692">
        <v>0</v>
      </c>
      <c r="Y8692">
        <v>356.09</v>
      </c>
      <c r="Z8692"/>
      <c r="AB8692"/>
      <c r="AC8692">
        <v>356.09</v>
      </c>
      <c r="AD8692">
        <v>-58</v>
      </c>
      <c r="AE8692" s="1">
        <v>-20653.22</v>
      </c>
      <c r="AF8692">
        <v>0</v>
      </c>
      <c r="AJ8692">
        <v>0</v>
      </c>
      <c r="AK8692">
        <v>0</v>
      </c>
      <c r="AL8692">
        <v>0</v>
      </c>
      <c r="AM8692">
        <v>356.09</v>
      </c>
      <c r="AN8692">
        <v>356.09</v>
      </c>
      <c r="AO8692">
        <v>356.09</v>
      </c>
      <c r="AP8692" s="2">
        <v>42746</v>
      </c>
      <c r="AQ8692" t="s">
        <v>72</v>
      </c>
      <c r="AR8692" t="s">
        <v>72</v>
      </c>
      <c r="AS8692">
        <v>518</v>
      </c>
      <c r="AT8692" s="4">
        <v>42424</v>
      </c>
      <c r="AV8692">
        <v>518</v>
      </c>
      <c r="AW8692" s="4">
        <v>42424</v>
      </c>
      <c r="BD8692">
        <v>0</v>
      </c>
      <c r="BN8692" t="s">
        <v>74</v>
      </c>
    </row>
    <row r="8693" spans="1:66" hidden="1">
      <c r="A8693">
        <v>106411</v>
      </c>
      <c r="B8693" s="3" t="s">
        <v>760</v>
      </c>
      <c r="C8693" s="1">
        <v>43500101</v>
      </c>
      <c r="D8693" t="s">
        <v>113</v>
      </c>
      <c r="H8693" t="str">
        <f t="shared" si="899"/>
        <v>NRDNLL54P57B541C</v>
      </c>
      <c r="I8693" t="str">
        <f>""</f>
        <v/>
      </c>
      <c r="K8693" t="str">
        <f>""</f>
        <v/>
      </c>
      <c r="M8693" t="s">
        <v>68</v>
      </c>
      <c r="N8693" t="str">
        <f t="shared" si="898"/>
        <v>ALT</v>
      </c>
      <c r="O8693" t="s">
        <v>114</v>
      </c>
      <c r="P8693" s="3" t="s">
        <v>86</v>
      </c>
      <c r="Q8693">
        <v>2016</v>
      </c>
      <c r="R8693" s="2">
        <v>42450</v>
      </c>
      <c r="S8693" s="2">
        <v>42450</v>
      </c>
      <c r="T8693" s="2">
        <v>42450</v>
      </c>
      <c r="U8693" s="2">
        <v>42510</v>
      </c>
      <c r="V8693" t="s">
        <v>71</v>
      </c>
      <c r="W8693" t="str">
        <f>"                0321"</f>
        <v xml:space="preserve">                0321</v>
      </c>
      <c r="X8693">
        <v>0</v>
      </c>
      <c r="Y8693">
        <v>356.09</v>
      </c>
      <c r="Z8693"/>
      <c r="AB8693"/>
      <c r="AC8693">
        <v>356.09</v>
      </c>
      <c r="AD8693">
        <v>-57</v>
      </c>
      <c r="AE8693" s="1">
        <v>-20297.13</v>
      </c>
      <c r="AF8693">
        <v>0</v>
      </c>
      <c r="AJ8693">
        <v>0</v>
      </c>
      <c r="AK8693">
        <v>0</v>
      </c>
      <c r="AL8693">
        <v>0</v>
      </c>
      <c r="AM8693">
        <v>356.09</v>
      </c>
      <c r="AN8693">
        <v>356.09</v>
      </c>
      <c r="AO8693">
        <v>356.09</v>
      </c>
      <c r="AP8693" s="2">
        <v>42746</v>
      </c>
      <c r="AQ8693" t="s">
        <v>72</v>
      </c>
      <c r="AR8693" t="s">
        <v>72</v>
      </c>
      <c r="AS8693">
        <v>940</v>
      </c>
      <c r="AT8693" s="4">
        <v>42453</v>
      </c>
      <c r="AV8693">
        <v>940</v>
      </c>
      <c r="AW8693" s="4">
        <v>42453</v>
      </c>
      <c r="BD8693">
        <v>0</v>
      </c>
      <c r="BN8693" t="s">
        <v>74</v>
      </c>
    </row>
    <row r="8694" spans="1:66" hidden="1">
      <c r="A8694">
        <v>106411</v>
      </c>
      <c r="B8694" s="3" t="s">
        <v>760</v>
      </c>
      <c r="C8694" s="1">
        <v>43500101</v>
      </c>
      <c r="D8694" t="s">
        <v>113</v>
      </c>
      <c r="H8694" t="str">
        <f t="shared" si="899"/>
        <v>NRDNLL54P57B541C</v>
      </c>
      <c r="I8694" t="str">
        <f>""</f>
        <v/>
      </c>
      <c r="K8694" t="str">
        <f>""</f>
        <v/>
      </c>
      <c r="M8694" t="s">
        <v>68</v>
      </c>
      <c r="N8694" t="str">
        <f t="shared" si="898"/>
        <v>ALT</v>
      </c>
      <c r="O8694" t="s">
        <v>114</v>
      </c>
      <c r="P8694" s="3" t="s">
        <v>87</v>
      </c>
      <c r="Q8694">
        <v>2016</v>
      </c>
      <c r="R8694" s="2">
        <v>42481</v>
      </c>
      <c r="S8694" s="2">
        <v>42481</v>
      </c>
      <c r="T8694" s="2">
        <v>42481</v>
      </c>
      <c r="U8694" s="2">
        <v>42541</v>
      </c>
      <c r="V8694" t="s">
        <v>71</v>
      </c>
      <c r="W8694" t="str">
        <f>"                0421"</f>
        <v xml:space="preserve">                0421</v>
      </c>
      <c r="X8694">
        <v>0</v>
      </c>
      <c r="Y8694">
        <v>356.09</v>
      </c>
      <c r="Z8694"/>
      <c r="AB8694"/>
      <c r="AC8694">
        <v>356.09</v>
      </c>
      <c r="AD8694">
        <v>-60</v>
      </c>
      <c r="AE8694" s="1">
        <v>-21365.4</v>
      </c>
      <c r="AF8694">
        <v>0</v>
      </c>
      <c r="AJ8694">
        <v>0</v>
      </c>
      <c r="AK8694">
        <v>0</v>
      </c>
      <c r="AL8694">
        <v>0</v>
      </c>
      <c r="AM8694">
        <v>356.09</v>
      </c>
      <c r="AN8694">
        <v>356.09</v>
      </c>
      <c r="AO8694">
        <v>356.09</v>
      </c>
      <c r="AP8694" s="2">
        <v>42746</v>
      </c>
      <c r="AQ8694" t="s">
        <v>72</v>
      </c>
      <c r="AR8694" t="s">
        <v>72</v>
      </c>
      <c r="AS8694">
        <v>1105</v>
      </c>
      <c r="AT8694" s="4">
        <v>42481</v>
      </c>
      <c r="AV8694">
        <v>1105</v>
      </c>
      <c r="AW8694" s="4">
        <v>42481</v>
      </c>
      <c r="BD8694">
        <v>0</v>
      </c>
      <c r="BN8694" t="s">
        <v>74</v>
      </c>
    </row>
    <row r="8695" spans="1:66" hidden="1">
      <c r="A8695">
        <v>106411</v>
      </c>
      <c r="B8695" s="3" t="s">
        <v>760</v>
      </c>
      <c r="C8695" s="1">
        <v>43500101</v>
      </c>
      <c r="D8695" t="s">
        <v>113</v>
      </c>
      <c r="H8695" t="str">
        <f t="shared" si="899"/>
        <v>NRDNLL54P57B541C</v>
      </c>
      <c r="I8695" t="str">
        <f>""</f>
        <v/>
      </c>
      <c r="K8695" t="str">
        <f>""</f>
        <v/>
      </c>
      <c r="M8695" t="s">
        <v>68</v>
      </c>
      <c r="N8695" t="str">
        <f t="shared" si="898"/>
        <v>ALT</v>
      </c>
      <c r="O8695" t="s">
        <v>114</v>
      </c>
      <c r="P8695" s="3" t="s">
        <v>88</v>
      </c>
      <c r="Q8695">
        <v>2016</v>
      </c>
      <c r="R8695" s="2">
        <v>42508</v>
      </c>
      <c r="S8695" s="2">
        <v>42510</v>
      </c>
      <c r="T8695" s="2">
        <v>42510</v>
      </c>
      <c r="U8695" s="2">
        <v>42570</v>
      </c>
      <c r="V8695" t="s">
        <v>71</v>
      </c>
      <c r="W8695" t="str">
        <f>"                0518"</f>
        <v xml:space="preserve">                0518</v>
      </c>
      <c r="X8695">
        <v>0</v>
      </c>
      <c r="Y8695">
        <v>356.09</v>
      </c>
      <c r="Z8695"/>
      <c r="AB8695"/>
      <c r="AC8695">
        <v>356.09</v>
      </c>
      <c r="AD8695">
        <v>-57</v>
      </c>
      <c r="AE8695" s="1">
        <v>-20297.13</v>
      </c>
      <c r="AF8695">
        <v>0</v>
      </c>
      <c r="AJ8695">
        <v>0</v>
      </c>
      <c r="AK8695">
        <v>0</v>
      </c>
      <c r="AL8695">
        <v>0</v>
      </c>
      <c r="AM8695">
        <v>356.09</v>
      </c>
      <c r="AN8695">
        <v>356.09</v>
      </c>
      <c r="AO8695">
        <v>356.09</v>
      </c>
      <c r="AP8695" s="2">
        <v>42746</v>
      </c>
      <c r="AQ8695" t="s">
        <v>72</v>
      </c>
      <c r="AR8695" t="s">
        <v>72</v>
      </c>
      <c r="AS8695">
        <v>1343</v>
      </c>
      <c r="AT8695" s="4">
        <v>42513</v>
      </c>
      <c r="AV8695">
        <v>1343</v>
      </c>
      <c r="AW8695" s="4">
        <v>42513</v>
      </c>
      <c r="BD8695">
        <v>0</v>
      </c>
      <c r="BN8695" t="s">
        <v>74</v>
      </c>
    </row>
    <row r="8696" spans="1:66" hidden="1">
      <c r="A8696">
        <v>106411</v>
      </c>
      <c r="B8696" s="3" t="s">
        <v>760</v>
      </c>
      <c r="C8696" s="1">
        <v>43500101</v>
      </c>
      <c r="D8696" t="s">
        <v>113</v>
      </c>
      <c r="H8696" t="str">
        <f t="shared" si="899"/>
        <v>NRDNLL54P57B541C</v>
      </c>
      <c r="I8696" t="str">
        <f>""</f>
        <v/>
      </c>
      <c r="K8696" t="str">
        <f>""</f>
        <v/>
      </c>
      <c r="M8696" t="s">
        <v>68</v>
      </c>
      <c r="N8696" t="str">
        <f t="shared" si="898"/>
        <v>ALT</v>
      </c>
      <c r="O8696" t="s">
        <v>114</v>
      </c>
      <c r="P8696" s="3" t="s">
        <v>89</v>
      </c>
      <c r="Q8696">
        <v>2016</v>
      </c>
      <c r="R8696" s="2">
        <v>42548</v>
      </c>
      <c r="S8696" s="2">
        <v>42543</v>
      </c>
      <c r="T8696" s="2">
        <v>42543</v>
      </c>
      <c r="U8696" s="2">
        <v>42603</v>
      </c>
      <c r="V8696" t="s">
        <v>71</v>
      </c>
      <c r="W8696" t="str">
        <f>"                0627"</f>
        <v xml:space="preserve">                0627</v>
      </c>
      <c r="X8696">
        <v>0</v>
      </c>
      <c r="Y8696">
        <v>356.09</v>
      </c>
      <c r="Z8696"/>
      <c r="AB8696"/>
      <c r="AC8696">
        <v>356.09</v>
      </c>
      <c r="AD8696">
        <v>-47</v>
      </c>
      <c r="AE8696" s="1">
        <v>-16736.23</v>
      </c>
      <c r="AF8696">
        <v>0</v>
      </c>
      <c r="AJ8696">
        <v>0</v>
      </c>
      <c r="AK8696">
        <v>0</v>
      </c>
      <c r="AL8696">
        <v>0</v>
      </c>
      <c r="AM8696">
        <v>356.09</v>
      </c>
      <c r="AN8696">
        <v>356.09</v>
      </c>
      <c r="AO8696">
        <v>356.09</v>
      </c>
      <c r="AP8696" s="2">
        <v>42746</v>
      </c>
      <c r="AQ8696" t="s">
        <v>72</v>
      </c>
      <c r="AR8696" t="s">
        <v>72</v>
      </c>
      <c r="AS8696">
        <v>1726</v>
      </c>
      <c r="AT8696" s="4">
        <v>42556</v>
      </c>
      <c r="AV8696">
        <v>1726</v>
      </c>
      <c r="AW8696" s="4">
        <v>42556</v>
      </c>
      <c r="BD8696">
        <v>0</v>
      </c>
      <c r="BN8696" t="s">
        <v>74</v>
      </c>
    </row>
    <row r="8697" spans="1:66" hidden="1">
      <c r="A8697">
        <v>106413</v>
      </c>
      <c r="B8697" s="3" t="s">
        <v>761</v>
      </c>
      <c r="C8697" s="1">
        <v>43500101</v>
      </c>
      <c r="D8697" t="s">
        <v>113</v>
      </c>
      <c r="H8697" t="str">
        <f t="shared" ref="H8697:H8709" si="900">"97660520582"</f>
        <v>97660520582</v>
      </c>
      <c r="I8697" t="str">
        <f>""</f>
        <v/>
      </c>
      <c r="K8697" t="str">
        <f>""</f>
        <v/>
      </c>
      <c r="M8697" t="s">
        <v>68</v>
      </c>
      <c r="N8697" t="str">
        <f t="shared" si="898"/>
        <v>ALT</v>
      </c>
      <c r="O8697" t="s">
        <v>114</v>
      </c>
      <c r="P8697" s="3" t="s">
        <v>762</v>
      </c>
      <c r="Q8697">
        <v>2015</v>
      </c>
      <c r="R8697" s="2">
        <v>42349</v>
      </c>
      <c r="S8697" s="2">
        <v>42349</v>
      </c>
      <c r="T8697" s="2">
        <v>42349</v>
      </c>
      <c r="U8697" s="2">
        <v>42409</v>
      </c>
      <c r="V8697" t="s">
        <v>71</v>
      </c>
      <c r="W8697" t="str">
        <f>"                1211"</f>
        <v xml:space="preserve">                1211</v>
      </c>
      <c r="X8697">
        <v>0</v>
      </c>
      <c r="Y8697">
        <v>255.59</v>
      </c>
      <c r="Z8697"/>
      <c r="AB8697"/>
      <c r="AC8697">
        <v>255.59</v>
      </c>
      <c r="AD8697">
        <v>-28</v>
      </c>
      <c r="AE8697" s="1">
        <v>-7280.27</v>
      </c>
      <c r="AF8697">
        <v>0</v>
      </c>
      <c r="AJ8697">
        <v>0</v>
      </c>
      <c r="AK8697">
        <v>0</v>
      </c>
      <c r="AL8697">
        <v>0</v>
      </c>
      <c r="AM8697">
        <v>0</v>
      </c>
      <c r="AN8697">
        <v>0</v>
      </c>
      <c r="AO8697">
        <v>0</v>
      </c>
      <c r="AP8697" s="2">
        <v>42746</v>
      </c>
      <c r="AQ8697" t="s">
        <v>72</v>
      </c>
      <c r="AR8697" t="s">
        <v>72</v>
      </c>
      <c r="AS8697">
        <v>2</v>
      </c>
      <c r="AT8697" s="4">
        <v>42380</v>
      </c>
      <c r="AV8697">
        <v>111</v>
      </c>
      <c r="AW8697" s="4">
        <v>42396</v>
      </c>
      <c r="BD8697">
        <v>0</v>
      </c>
      <c r="BN8697" t="s">
        <v>74</v>
      </c>
    </row>
    <row r="8698" spans="1:66" hidden="1">
      <c r="A8698">
        <v>106413</v>
      </c>
      <c r="B8698" s="3" t="s">
        <v>761</v>
      </c>
      <c r="C8698" s="1">
        <v>43500101</v>
      </c>
      <c r="D8698" t="s">
        <v>113</v>
      </c>
      <c r="H8698" t="str">
        <f t="shared" si="900"/>
        <v>97660520582</v>
      </c>
      <c r="I8698" t="str">
        <f>""</f>
        <v/>
      </c>
      <c r="K8698" t="str">
        <f>""</f>
        <v/>
      </c>
      <c r="M8698" t="s">
        <v>68</v>
      </c>
      <c r="N8698" t="str">
        <f t="shared" si="898"/>
        <v>ALT</v>
      </c>
      <c r="O8698" t="s">
        <v>114</v>
      </c>
      <c r="P8698" s="3" t="s">
        <v>763</v>
      </c>
      <c r="Q8698">
        <v>2016</v>
      </c>
      <c r="R8698" s="2">
        <v>42425</v>
      </c>
      <c r="S8698" s="2">
        <v>42425</v>
      </c>
      <c r="T8698" s="2">
        <v>42425</v>
      </c>
      <c r="U8698" s="2">
        <v>42485</v>
      </c>
      <c r="V8698" t="s">
        <v>71</v>
      </c>
      <c r="W8698" t="str">
        <f>"                  22"</f>
        <v xml:space="preserve">                  22</v>
      </c>
      <c r="X8698">
        <v>0</v>
      </c>
      <c r="Y8698">
        <v>4.12</v>
      </c>
      <c r="Z8698"/>
      <c r="AB8698"/>
      <c r="AC8698">
        <v>4.12</v>
      </c>
      <c r="AD8698">
        <v>-60</v>
      </c>
      <c r="AE8698">
        <v>-247.2</v>
      </c>
      <c r="AF8698">
        <v>0</v>
      </c>
      <c r="AJ8698">
        <v>0</v>
      </c>
      <c r="AK8698">
        <v>0</v>
      </c>
      <c r="AL8698">
        <v>0</v>
      </c>
      <c r="AM8698">
        <v>4.12</v>
      </c>
      <c r="AN8698">
        <v>4.12</v>
      </c>
      <c r="AO8698">
        <v>4.12</v>
      </c>
      <c r="AP8698" s="2">
        <v>42746</v>
      </c>
      <c r="AQ8698" t="s">
        <v>72</v>
      </c>
      <c r="AR8698" t="s">
        <v>72</v>
      </c>
      <c r="AS8698">
        <v>541</v>
      </c>
      <c r="AT8698" s="4">
        <v>42425</v>
      </c>
      <c r="AV8698">
        <v>541</v>
      </c>
      <c r="AW8698" s="4">
        <v>42425</v>
      </c>
      <c r="BD8698">
        <v>0</v>
      </c>
      <c r="BN8698" t="s">
        <v>74</v>
      </c>
    </row>
    <row r="8699" spans="1:66" hidden="1">
      <c r="A8699">
        <v>106413</v>
      </c>
      <c r="B8699" s="3" t="s">
        <v>761</v>
      </c>
      <c r="C8699" s="1">
        <v>43500101</v>
      </c>
      <c r="D8699" t="s">
        <v>113</v>
      </c>
      <c r="H8699" t="str">
        <f t="shared" si="900"/>
        <v>97660520582</v>
      </c>
      <c r="I8699" t="str">
        <f>""</f>
        <v/>
      </c>
      <c r="K8699" t="str">
        <f>""</f>
        <v/>
      </c>
      <c r="M8699" t="s">
        <v>68</v>
      </c>
      <c r="N8699" t="str">
        <f t="shared" si="898"/>
        <v>ALT</v>
      </c>
      <c r="O8699" t="s">
        <v>114</v>
      </c>
      <c r="P8699" s="3" t="s">
        <v>84</v>
      </c>
      <c r="Q8699">
        <v>2016</v>
      </c>
      <c r="R8699" s="2">
        <v>42389</v>
      </c>
      <c r="S8699" s="2">
        <v>42390</v>
      </c>
      <c r="T8699" s="2">
        <v>42390</v>
      </c>
      <c r="U8699" s="2">
        <v>42450</v>
      </c>
      <c r="V8699" t="s">
        <v>71</v>
      </c>
      <c r="W8699" t="str">
        <f>"                0120"</f>
        <v xml:space="preserve">                0120</v>
      </c>
      <c r="X8699">
        <v>0</v>
      </c>
      <c r="Y8699">
        <v>127.78</v>
      </c>
      <c r="Z8699"/>
      <c r="AB8699"/>
      <c r="AC8699">
        <v>127.78</v>
      </c>
      <c r="AD8699">
        <v>-60</v>
      </c>
      <c r="AE8699" s="1">
        <v>-7666.8</v>
      </c>
      <c r="AF8699">
        <v>0</v>
      </c>
      <c r="AJ8699">
        <v>0</v>
      </c>
      <c r="AK8699">
        <v>0</v>
      </c>
      <c r="AL8699">
        <v>0</v>
      </c>
      <c r="AM8699">
        <v>127.78</v>
      </c>
      <c r="AN8699">
        <v>127.78</v>
      </c>
      <c r="AO8699">
        <v>127.78</v>
      </c>
      <c r="AP8699" s="2">
        <v>42746</v>
      </c>
      <c r="AQ8699" t="s">
        <v>72</v>
      </c>
      <c r="AR8699" t="s">
        <v>72</v>
      </c>
      <c r="AS8699">
        <v>17</v>
      </c>
      <c r="AT8699" s="4">
        <v>42390</v>
      </c>
      <c r="AV8699">
        <v>17</v>
      </c>
      <c r="AW8699" s="4">
        <v>42390</v>
      </c>
      <c r="BD8699">
        <v>0</v>
      </c>
      <c r="BN8699" t="s">
        <v>74</v>
      </c>
    </row>
    <row r="8700" spans="1:66" hidden="1">
      <c r="A8700">
        <v>106413</v>
      </c>
      <c r="B8700" s="3" t="s">
        <v>761</v>
      </c>
      <c r="C8700" s="1">
        <v>43500101</v>
      </c>
      <c r="D8700" t="s">
        <v>113</v>
      </c>
      <c r="H8700" t="str">
        <f t="shared" si="900"/>
        <v>97660520582</v>
      </c>
      <c r="I8700" t="str">
        <f>""</f>
        <v/>
      </c>
      <c r="K8700" t="str">
        <f>""</f>
        <v/>
      </c>
      <c r="M8700" t="s">
        <v>68</v>
      </c>
      <c r="N8700" t="str">
        <f t="shared" si="898"/>
        <v>ALT</v>
      </c>
      <c r="O8700" t="s">
        <v>114</v>
      </c>
      <c r="P8700" s="3" t="s">
        <v>85</v>
      </c>
      <c r="Q8700">
        <v>2016</v>
      </c>
      <c r="R8700" s="2">
        <v>42422</v>
      </c>
      <c r="S8700" s="2">
        <v>42422</v>
      </c>
      <c r="T8700" s="2">
        <v>42422</v>
      </c>
      <c r="U8700" s="2">
        <v>42482</v>
      </c>
      <c r="V8700" t="s">
        <v>71</v>
      </c>
      <c r="W8700" t="str">
        <f>"                0222"</f>
        <v xml:space="preserve">                0222</v>
      </c>
      <c r="X8700">
        <v>0</v>
      </c>
      <c r="Y8700">
        <v>127.78</v>
      </c>
      <c r="Z8700"/>
      <c r="AB8700"/>
      <c r="AC8700">
        <v>127.78</v>
      </c>
      <c r="AD8700">
        <v>-39</v>
      </c>
      <c r="AE8700" s="1">
        <v>-4921.62</v>
      </c>
      <c r="AF8700">
        <v>0</v>
      </c>
      <c r="AJ8700">
        <v>0</v>
      </c>
      <c r="AK8700">
        <v>0</v>
      </c>
      <c r="AL8700">
        <v>0</v>
      </c>
      <c r="AM8700">
        <v>127.78</v>
      </c>
      <c r="AN8700">
        <v>127.78</v>
      </c>
      <c r="AO8700">
        <v>127.78</v>
      </c>
      <c r="AP8700" s="2">
        <v>42746</v>
      </c>
      <c r="AQ8700" t="s">
        <v>72</v>
      </c>
      <c r="AR8700" t="s">
        <v>72</v>
      </c>
      <c r="AS8700">
        <v>689</v>
      </c>
      <c r="AT8700" s="4">
        <v>42443</v>
      </c>
      <c r="AV8700">
        <v>961</v>
      </c>
      <c r="AW8700" s="4">
        <v>42458</v>
      </c>
      <c r="BD8700">
        <v>0</v>
      </c>
      <c r="BN8700" t="s">
        <v>74</v>
      </c>
    </row>
    <row r="8701" spans="1:66" hidden="1">
      <c r="A8701">
        <v>106413</v>
      </c>
      <c r="B8701" s="3" t="s">
        <v>761</v>
      </c>
      <c r="C8701" s="1">
        <v>43500101</v>
      </c>
      <c r="D8701" t="s">
        <v>113</v>
      </c>
      <c r="H8701" t="str">
        <f t="shared" si="900"/>
        <v>97660520582</v>
      </c>
      <c r="I8701" t="str">
        <f>""</f>
        <v/>
      </c>
      <c r="K8701" t="str">
        <f>""</f>
        <v/>
      </c>
      <c r="M8701" t="s">
        <v>68</v>
      </c>
      <c r="N8701" t="str">
        <f t="shared" si="898"/>
        <v>ALT</v>
      </c>
      <c r="O8701" t="s">
        <v>114</v>
      </c>
      <c r="P8701" s="3" t="s">
        <v>86</v>
      </c>
      <c r="Q8701">
        <v>2016</v>
      </c>
      <c r="R8701" s="2">
        <v>42450</v>
      </c>
      <c r="S8701" s="2">
        <v>42450</v>
      </c>
      <c r="T8701" s="2">
        <v>42450</v>
      </c>
      <c r="U8701" s="2">
        <v>42510</v>
      </c>
      <c r="V8701" t="s">
        <v>71</v>
      </c>
      <c r="W8701" t="str">
        <f>"                0321"</f>
        <v xml:space="preserve">                0321</v>
      </c>
      <c r="X8701">
        <v>0</v>
      </c>
      <c r="Y8701">
        <v>127.78</v>
      </c>
      <c r="Z8701"/>
      <c r="AB8701"/>
      <c r="AC8701">
        <v>127.78</v>
      </c>
      <c r="AD8701">
        <v>-37</v>
      </c>
      <c r="AE8701" s="1">
        <v>-4694.8999999999996</v>
      </c>
      <c r="AF8701">
        <v>0</v>
      </c>
      <c r="AJ8701">
        <v>0</v>
      </c>
      <c r="AK8701">
        <v>0</v>
      </c>
      <c r="AL8701">
        <v>0</v>
      </c>
      <c r="AM8701">
        <v>127.78</v>
      </c>
      <c r="AN8701">
        <v>127.78</v>
      </c>
      <c r="AO8701">
        <v>127.78</v>
      </c>
      <c r="AP8701" s="2">
        <v>42746</v>
      </c>
      <c r="AQ8701" t="s">
        <v>72</v>
      </c>
      <c r="AR8701" t="s">
        <v>72</v>
      </c>
      <c r="AS8701">
        <v>1015</v>
      </c>
      <c r="AT8701" s="4">
        <v>42473</v>
      </c>
      <c r="AV8701">
        <v>1034</v>
      </c>
      <c r="AW8701" s="4">
        <v>42481</v>
      </c>
      <c r="BD8701">
        <v>0</v>
      </c>
      <c r="BN8701" t="s">
        <v>74</v>
      </c>
    </row>
    <row r="8702" spans="1:66" hidden="1">
      <c r="A8702">
        <v>106413</v>
      </c>
      <c r="B8702" s="3" t="s">
        <v>761</v>
      </c>
      <c r="C8702" s="1">
        <v>43500101</v>
      </c>
      <c r="D8702" t="s">
        <v>113</v>
      </c>
      <c r="H8702" t="str">
        <f t="shared" si="900"/>
        <v>97660520582</v>
      </c>
      <c r="I8702" t="str">
        <f>""</f>
        <v/>
      </c>
      <c r="K8702" t="str">
        <f>""</f>
        <v/>
      </c>
      <c r="M8702" t="s">
        <v>68</v>
      </c>
      <c r="N8702" t="str">
        <f t="shared" si="898"/>
        <v>ALT</v>
      </c>
      <c r="O8702" t="s">
        <v>114</v>
      </c>
      <c r="P8702" s="3" t="s">
        <v>87</v>
      </c>
      <c r="Q8702">
        <v>2016</v>
      </c>
      <c r="R8702" s="2">
        <v>42481</v>
      </c>
      <c r="S8702" s="2">
        <v>42481</v>
      </c>
      <c r="T8702" s="2">
        <v>42481</v>
      </c>
      <c r="U8702" s="2">
        <v>42541</v>
      </c>
      <c r="V8702" t="s">
        <v>71</v>
      </c>
      <c r="W8702" t="str">
        <f>"                0421"</f>
        <v xml:space="preserve">                0421</v>
      </c>
      <c r="X8702">
        <v>0</v>
      </c>
      <c r="Y8702">
        <v>127.78</v>
      </c>
      <c r="Z8702"/>
      <c r="AB8702"/>
      <c r="AC8702">
        <v>127.78</v>
      </c>
      <c r="AD8702">
        <v>-33</v>
      </c>
      <c r="AE8702" s="1">
        <v>-4258</v>
      </c>
      <c r="AF8702">
        <v>0</v>
      </c>
      <c r="AJ8702">
        <v>0</v>
      </c>
      <c r="AK8702">
        <v>0</v>
      </c>
      <c r="AL8702">
        <v>0</v>
      </c>
      <c r="AM8702">
        <v>127.78</v>
      </c>
      <c r="AN8702">
        <v>127.78</v>
      </c>
      <c r="AO8702">
        <v>127.78</v>
      </c>
      <c r="AP8702" s="2">
        <v>42746</v>
      </c>
      <c r="AQ8702" t="s">
        <v>72</v>
      </c>
      <c r="AR8702" t="s">
        <v>72</v>
      </c>
      <c r="AS8702">
        <v>1277</v>
      </c>
      <c r="AT8702" s="4">
        <v>42507</v>
      </c>
      <c r="AV8702">
        <v>1534</v>
      </c>
      <c r="AW8702" s="4">
        <v>42528</v>
      </c>
      <c r="BD8702">
        <v>0</v>
      </c>
      <c r="BN8702" t="s">
        <v>74</v>
      </c>
    </row>
    <row r="8703" spans="1:66" hidden="1">
      <c r="A8703">
        <v>106413</v>
      </c>
      <c r="B8703" s="3" t="s">
        <v>761</v>
      </c>
      <c r="C8703" s="1">
        <v>43500101</v>
      </c>
      <c r="D8703" t="s">
        <v>113</v>
      </c>
      <c r="H8703" t="str">
        <f t="shared" si="900"/>
        <v>97660520582</v>
      </c>
      <c r="I8703" t="str">
        <f>""</f>
        <v/>
      </c>
      <c r="K8703" t="str">
        <f>""</f>
        <v/>
      </c>
      <c r="M8703" t="s">
        <v>68</v>
      </c>
      <c r="N8703" t="str">
        <f t="shared" si="898"/>
        <v>ALT</v>
      </c>
      <c r="O8703" t="s">
        <v>114</v>
      </c>
      <c r="P8703" s="3" t="s">
        <v>88</v>
      </c>
      <c r="Q8703">
        <v>2016</v>
      </c>
      <c r="R8703" s="2">
        <v>42508</v>
      </c>
      <c r="S8703" s="2">
        <v>42510</v>
      </c>
      <c r="T8703" s="2">
        <v>42510</v>
      </c>
      <c r="U8703" s="2">
        <v>42570</v>
      </c>
      <c r="V8703" t="s">
        <v>71</v>
      </c>
      <c r="W8703" t="str">
        <f>"                0518"</f>
        <v xml:space="preserve">                0518</v>
      </c>
      <c r="X8703">
        <v>0</v>
      </c>
      <c r="Y8703">
        <v>127.78</v>
      </c>
      <c r="Z8703"/>
      <c r="AB8703"/>
      <c r="AC8703">
        <v>127.78</v>
      </c>
      <c r="AD8703">
        <v>-35</v>
      </c>
      <c r="AE8703" s="1">
        <v>-4484.72</v>
      </c>
      <c r="AF8703">
        <v>0</v>
      </c>
      <c r="AJ8703">
        <v>0</v>
      </c>
      <c r="AK8703">
        <v>0</v>
      </c>
      <c r="AL8703">
        <v>0</v>
      </c>
      <c r="AM8703">
        <v>127.78</v>
      </c>
      <c r="AN8703">
        <v>127.78</v>
      </c>
      <c r="AO8703">
        <v>127.78</v>
      </c>
      <c r="AP8703" s="2">
        <v>42746</v>
      </c>
      <c r="AQ8703" t="s">
        <v>72</v>
      </c>
      <c r="AR8703" t="s">
        <v>72</v>
      </c>
      <c r="AS8703">
        <v>1610</v>
      </c>
      <c r="AT8703" s="4">
        <v>42534</v>
      </c>
      <c r="AV8703">
        <v>1748</v>
      </c>
      <c r="AW8703" s="4">
        <v>42562</v>
      </c>
      <c r="BD8703">
        <v>0</v>
      </c>
      <c r="BN8703" t="s">
        <v>74</v>
      </c>
    </row>
    <row r="8704" spans="1:66" hidden="1">
      <c r="A8704">
        <v>106413</v>
      </c>
      <c r="B8704" s="3" t="s">
        <v>761</v>
      </c>
      <c r="C8704" s="1">
        <v>43500101</v>
      </c>
      <c r="D8704" t="s">
        <v>113</v>
      </c>
      <c r="H8704" t="str">
        <f t="shared" si="900"/>
        <v>97660520582</v>
      </c>
      <c r="I8704" t="str">
        <f>""</f>
        <v/>
      </c>
      <c r="K8704" t="str">
        <f>""</f>
        <v/>
      </c>
      <c r="M8704" t="s">
        <v>68</v>
      </c>
      <c r="N8704" t="str">
        <f t="shared" si="898"/>
        <v>ALT</v>
      </c>
      <c r="O8704" t="s">
        <v>114</v>
      </c>
      <c r="P8704" s="3" t="s">
        <v>89</v>
      </c>
      <c r="Q8704">
        <v>2016</v>
      </c>
      <c r="R8704" s="2">
        <v>42548</v>
      </c>
      <c r="S8704" s="2">
        <v>42543</v>
      </c>
      <c r="T8704" s="2">
        <v>42543</v>
      </c>
      <c r="U8704" s="2">
        <v>42603</v>
      </c>
      <c r="V8704" t="s">
        <v>71</v>
      </c>
      <c r="W8704" t="str">
        <f>"                0627"</f>
        <v xml:space="preserve">                0627</v>
      </c>
      <c r="X8704">
        <v>0</v>
      </c>
      <c r="Y8704">
        <v>127.78</v>
      </c>
      <c r="Z8704"/>
      <c r="AB8704"/>
      <c r="AC8704">
        <v>127.78</v>
      </c>
      <c r="AD8704">
        <v>-11</v>
      </c>
      <c r="AE8704" s="1">
        <v>-1385.04</v>
      </c>
      <c r="AF8704">
        <v>0</v>
      </c>
      <c r="AJ8704">
        <v>0</v>
      </c>
      <c r="AK8704">
        <v>0</v>
      </c>
      <c r="AL8704">
        <v>0</v>
      </c>
      <c r="AM8704">
        <v>127.78</v>
      </c>
      <c r="AN8704">
        <v>127.78</v>
      </c>
      <c r="AO8704">
        <v>127.78</v>
      </c>
      <c r="AP8704" s="2">
        <v>42746</v>
      </c>
      <c r="AQ8704" t="s">
        <v>72</v>
      </c>
      <c r="AR8704" t="s">
        <v>72</v>
      </c>
      <c r="AS8704">
        <v>2149</v>
      </c>
      <c r="AT8704" s="4">
        <v>42591</v>
      </c>
      <c r="AU8704" t="s">
        <v>73</v>
      </c>
      <c r="AV8704">
        <v>2399</v>
      </c>
      <c r="AW8704" s="4">
        <v>42627</v>
      </c>
      <c r="BD8704">
        <v>0</v>
      </c>
      <c r="BN8704" t="s">
        <v>74</v>
      </c>
    </row>
    <row r="8705" spans="1:66" hidden="1">
      <c r="A8705">
        <v>106413</v>
      </c>
      <c r="B8705" s="3" t="s">
        <v>761</v>
      </c>
      <c r="C8705" s="1">
        <v>43500101</v>
      </c>
      <c r="D8705" t="s">
        <v>113</v>
      </c>
      <c r="H8705" t="str">
        <f t="shared" si="900"/>
        <v>97660520582</v>
      </c>
      <c r="I8705" t="str">
        <f>""</f>
        <v/>
      </c>
      <c r="K8705" t="str">
        <f>""</f>
        <v/>
      </c>
      <c r="M8705" t="s">
        <v>68</v>
      </c>
      <c r="N8705" t="str">
        <f t="shared" si="898"/>
        <v>ALT</v>
      </c>
      <c r="O8705" t="s">
        <v>114</v>
      </c>
      <c r="P8705" s="3" t="s">
        <v>90</v>
      </c>
      <c r="Q8705">
        <v>2016</v>
      </c>
      <c r="R8705" s="2">
        <v>42573</v>
      </c>
      <c r="S8705" s="2">
        <v>42573</v>
      </c>
      <c r="T8705" s="2">
        <v>42573</v>
      </c>
      <c r="U8705" s="2">
        <v>42633</v>
      </c>
      <c r="V8705" t="s">
        <v>71</v>
      </c>
      <c r="W8705" t="str">
        <f>"                0722"</f>
        <v xml:space="preserve">                0722</v>
      </c>
      <c r="X8705">
        <v>0</v>
      </c>
      <c r="Y8705">
        <v>127.78</v>
      </c>
      <c r="Z8705"/>
      <c r="AB8705"/>
      <c r="AC8705">
        <v>127.78</v>
      </c>
      <c r="AD8705">
        <v>-41</v>
      </c>
      <c r="AE8705" s="1">
        <v>-5197.84</v>
      </c>
      <c r="AF8705">
        <v>0</v>
      </c>
      <c r="AJ8705">
        <v>0</v>
      </c>
      <c r="AK8705">
        <v>0</v>
      </c>
      <c r="AL8705">
        <v>0</v>
      </c>
      <c r="AM8705">
        <v>127.78</v>
      </c>
      <c r="AN8705">
        <v>127.78</v>
      </c>
      <c r="AO8705">
        <v>127.78</v>
      </c>
      <c r="AP8705" s="2">
        <v>42746</v>
      </c>
      <c r="AQ8705" t="s">
        <v>72</v>
      </c>
      <c r="AR8705" t="s">
        <v>72</v>
      </c>
      <c r="AS8705">
        <v>2149</v>
      </c>
      <c r="AT8705" s="4">
        <v>42591</v>
      </c>
      <c r="AV8705">
        <v>2411</v>
      </c>
      <c r="AW8705" s="4">
        <v>42632</v>
      </c>
      <c r="BD8705">
        <v>0</v>
      </c>
      <c r="BN8705" t="s">
        <v>74</v>
      </c>
    </row>
    <row r="8706" spans="1:66" hidden="1">
      <c r="A8706">
        <v>106413</v>
      </c>
      <c r="B8706" s="3" t="s">
        <v>761</v>
      </c>
      <c r="C8706" s="1">
        <v>43500101</v>
      </c>
      <c r="D8706" t="s">
        <v>113</v>
      </c>
      <c r="H8706" t="str">
        <f t="shared" si="900"/>
        <v>97660520582</v>
      </c>
      <c r="I8706" t="str">
        <f>""</f>
        <v/>
      </c>
      <c r="K8706" t="str">
        <f>""</f>
        <v/>
      </c>
      <c r="M8706" t="s">
        <v>68</v>
      </c>
      <c r="N8706" t="str">
        <f t="shared" si="898"/>
        <v>ALT</v>
      </c>
      <c r="O8706" t="s">
        <v>114</v>
      </c>
      <c r="P8706" s="3" t="s">
        <v>91</v>
      </c>
      <c r="Q8706">
        <v>2016</v>
      </c>
      <c r="R8706" s="2">
        <v>42592</v>
      </c>
      <c r="S8706" s="2">
        <v>42598</v>
      </c>
      <c r="T8706" s="2">
        <v>42598</v>
      </c>
      <c r="U8706" s="2">
        <v>42658</v>
      </c>
      <c r="V8706" t="s">
        <v>71</v>
      </c>
      <c r="W8706" t="str">
        <f>"                0810"</f>
        <v xml:space="preserve">                0810</v>
      </c>
      <c r="X8706">
        <v>0</v>
      </c>
      <c r="Y8706">
        <v>127.78</v>
      </c>
      <c r="Z8706">
        <v>4.12</v>
      </c>
      <c r="AA8706">
        <v>-9</v>
      </c>
      <c r="AB8706">
        <v>-37.08</v>
      </c>
      <c r="AC8706">
        <v>127.78</v>
      </c>
      <c r="AD8706">
        <v>-23</v>
      </c>
      <c r="AE8706" s="1">
        <v>-2881.26</v>
      </c>
      <c r="AF8706">
        <v>0</v>
      </c>
      <c r="AJ8706">
        <v>0</v>
      </c>
      <c r="AK8706">
        <v>0</v>
      </c>
      <c r="AL8706">
        <v>0</v>
      </c>
      <c r="AM8706">
        <v>127.78</v>
      </c>
      <c r="AN8706">
        <v>127.78</v>
      </c>
      <c r="AO8706">
        <v>127.78</v>
      </c>
      <c r="AP8706" s="2">
        <v>42746</v>
      </c>
      <c r="AQ8706" t="s">
        <v>72</v>
      </c>
      <c r="AR8706" t="s">
        <v>72</v>
      </c>
      <c r="AS8706">
        <v>2501</v>
      </c>
      <c r="AT8706" s="4">
        <v>42635</v>
      </c>
      <c r="AV8706">
        <v>2715</v>
      </c>
      <c r="AW8706" s="4">
        <v>42649</v>
      </c>
      <c r="BD8706">
        <v>0</v>
      </c>
      <c r="BN8706" t="s">
        <v>74</v>
      </c>
    </row>
    <row r="8707" spans="1:66" hidden="1">
      <c r="A8707">
        <v>106413</v>
      </c>
      <c r="B8707" s="3" t="s">
        <v>761</v>
      </c>
      <c r="C8707" s="1">
        <v>43500101</v>
      </c>
      <c r="D8707" t="s">
        <v>113</v>
      </c>
      <c r="H8707" t="str">
        <f t="shared" si="900"/>
        <v>97660520582</v>
      </c>
      <c r="I8707" t="str">
        <f>""</f>
        <v/>
      </c>
      <c r="K8707" t="str">
        <f>""</f>
        <v/>
      </c>
      <c r="M8707" t="s">
        <v>68</v>
      </c>
      <c r="N8707" t="str">
        <f t="shared" si="898"/>
        <v>ALT</v>
      </c>
      <c r="O8707" t="s">
        <v>114</v>
      </c>
      <c r="P8707" s="3" t="s">
        <v>92</v>
      </c>
      <c r="Q8707">
        <v>2016</v>
      </c>
      <c r="R8707" s="2">
        <v>42633</v>
      </c>
      <c r="S8707" s="2">
        <v>42634</v>
      </c>
      <c r="T8707" s="2">
        <v>42634</v>
      </c>
      <c r="U8707" s="2">
        <v>42694</v>
      </c>
      <c r="V8707" t="s">
        <v>71</v>
      </c>
      <c r="W8707" t="str">
        <f>"                0920"</f>
        <v xml:space="preserve">                0920</v>
      </c>
      <c r="X8707">
        <v>0</v>
      </c>
      <c r="Y8707">
        <v>127.78</v>
      </c>
      <c r="Z8707" s="3">
        <v>127.78</v>
      </c>
      <c r="AA8707">
        <v>-37</v>
      </c>
      <c r="AB8707" s="5">
        <v>-4703.1400000000003</v>
      </c>
      <c r="AC8707">
        <v>127.78</v>
      </c>
      <c r="AD8707">
        <v>-37</v>
      </c>
      <c r="AE8707" s="1">
        <v>-4703.1400000000003</v>
      </c>
      <c r="AF8707">
        <v>0</v>
      </c>
      <c r="AJ8707">
        <v>0</v>
      </c>
      <c r="AK8707">
        <v>0</v>
      </c>
      <c r="AL8707">
        <v>0</v>
      </c>
      <c r="AM8707">
        <v>127.78</v>
      </c>
      <c r="AN8707">
        <v>127.78</v>
      </c>
      <c r="AO8707">
        <v>127.78</v>
      </c>
      <c r="AP8707" s="2">
        <v>42746</v>
      </c>
      <c r="AQ8707" t="s">
        <v>72</v>
      </c>
      <c r="AR8707" t="s">
        <v>72</v>
      </c>
      <c r="AS8707">
        <v>2746</v>
      </c>
      <c r="AT8707" s="4">
        <v>42657</v>
      </c>
      <c r="AV8707">
        <v>2756</v>
      </c>
      <c r="AW8707" s="4">
        <v>42663</v>
      </c>
      <c r="BD8707">
        <v>0</v>
      </c>
      <c r="BN8707" t="s">
        <v>74</v>
      </c>
    </row>
    <row r="8708" spans="1:66" hidden="1">
      <c r="A8708">
        <v>106413</v>
      </c>
      <c r="B8708" s="3" t="s">
        <v>761</v>
      </c>
      <c r="C8708" s="1">
        <v>43500101</v>
      </c>
      <c r="D8708" t="s">
        <v>113</v>
      </c>
      <c r="H8708" t="str">
        <f t="shared" si="900"/>
        <v>97660520582</v>
      </c>
      <c r="I8708" t="str">
        <f>""</f>
        <v/>
      </c>
      <c r="K8708" t="str">
        <f>""</f>
        <v/>
      </c>
      <c r="M8708" t="s">
        <v>68</v>
      </c>
      <c r="N8708" t="str">
        <f t="shared" si="898"/>
        <v>ALT</v>
      </c>
      <c r="O8708" t="s">
        <v>114</v>
      </c>
      <c r="P8708" s="3" t="s">
        <v>93</v>
      </c>
      <c r="Q8708">
        <v>2016</v>
      </c>
      <c r="R8708" s="2">
        <v>42664</v>
      </c>
      <c r="S8708" s="2">
        <v>42667</v>
      </c>
      <c r="T8708" s="2">
        <v>42667</v>
      </c>
      <c r="U8708" s="2">
        <v>42727</v>
      </c>
      <c r="V8708" t="s">
        <v>71</v>
      </c>
      <c r="W8708" t="str">
        <f>"                1021"</f>
        <v xml:space="preserve">                1021</v>
      </c>
      <c r="X8708">
        <v>0</v>
      </c>
      <c r="Y8708">
        <v>127.78</v>
      </c>
      <c r="Z8708" s="3">
        <v>127.78</v>
      </c>
      <c r="AA8708">
        <v>-31</v>
      </c>
      <c r="AB8708" s="5">
        <v>-3965.3</v>
      </c>
      <c r="AC8708">
        <v>127.78</v>
      </c>
      <c r="AD8708">
        <v>-31</v>
      </c>
      <c r="AE8708" s="1">
        <v>-3965.3</v>
      </c>
      <c r="AF8708">
        <v>0</v>
      </c>
      <c r="AJ8708">
        <v>127.78</v>
      </c>
      <c r="AK8708">
        <v>127.78</v>
      </c>
      <c r="AL8708">
        <v>127.78</v>
      </c>
      <c r="AM8708">
        <v>127.78</v>
      </c>
      <c r="AN8708">
        <v>127.78</v>
      </c>
      <c r="AO8708">
        <v>127.78</v>
      </c>
      <c r="AP8708" s="2">
        <v>42746</v>
      </c>
      <c r="AQ8708" t="s">
        <v>72</v>
      </c>
      <c r="AR8708" t="s">
        <v>72</v>
      </c>
      <c r="AS8708">
        <v>3195</v>
      </c>
      <c r="AT8708" s="4">
        <v>42695</v>
      </c>
      <c r="AV8708">
        <v>3207</v>
      </c>
      <c r="AW8708" s="4">
        <v>42696</v>
      </c>
      <c r="BD8708">
        <v>0</v>
      </c>
      <c r="BN8708" t="s">
        <v>74</v>
      </c>
    </row>
    <row r="8709" spans="1:66" hidden="1">
      <c r="A8709">
        <v>106413</v>
      </c>
      <c r="B8709" s="3" t="s">
        <v>761</v>
      </c>
      <c r="C8709" s="1">
        <v>43500101</v>
      </c>
      <c r="D8709" t="s">
        <v>113</v>
      </c>
      <c r="H8709" t="str">
        <f t="shared" si="900"/>
        <v>97660520582</v>
      </c>
      <c r="I8709" t="str">
        <f>""</f>
        <v/>
      </c>
      <c r="K8709" t="str">
        <f>""</f>
        <v/>
      </c>
      <c r="M8709" t="s">
        <v>68</v>
      </c>
      <c r="N8709" t="str">
        <f t="shared" si="898"/>
        <v>ALT</v>
      </c>
      <c r="O8709" t="s">
        <v>114</v>
      </c>
      <c r="P8709" s="3" t="s">
        <v>94</v>
      </c>
      <c r="Q8709">
        <v>2016</v>
      </c>
      <c r="R8709" s="2">
        <v>42696</v>
      </c>
      <c r="S8709" s="2">
        <v>42696</v>
      </c>
      <c r="T8709" s="2">
        <v>42696</v>
      </c>
      <c r="U8709" s="2">
        <v>42756</v>
      </c>
      <c r="V8709" t="s">
        <v>71</v>
      </c>
      <c r="W8709" t="str">
        <f>"                1122"</f>
        <v xml:space="preserve">                1122</v>
      </c>
      <c r="X8709">
        <v>0</v>
      </c>
      <c r="Y8709">
        <v>127.78</v>
      </c>
      <c r="Z8709" s="3">
        <v>127.78</v>
      </c>
      <c r="AA8709">
        <v>-33</v>
      </c>
      <c r="AB8709" s="5">
        <v>-4216.74</v>
      </c>
      <c r="AC8709">
        <v>127.78</v>
      </c>
      <c r="AD8709">
        <v>-33</v>
      </c>
      <c r="AE8709" s="1">
        <v>-4216.74</v>
      </c>
      <c r="AF8709">
        <v>0</v>
      </c>
      <c r="AJ8709">
        <v>127.78</v>
      </c>
      <c r="AK8709">
        <v>127.78</v>
      </c>
      <c r="AL8709">
        <v>127.78</v>
      </c>
      <c r="AM8709">
        <v>127.78</v>
      </c>
      <c r="AN8709">
        <v>127.78</v>
      </c>
      <c r="AO8709">
        <v>127.78</v>
      </c>
      <c r="AP8709" s="2">
        <v>42746</v>
      </c>
      <c r="AQ8709" t="s">
        <v>72</v>
      </c>
      <c r="AR8709" t="s">
        <v>72</v>
      </c>
      <c r="AS8709">
        <v>3564</v>
      </c>
      <c r="AT8709" s="4">
        <v>42723</v>
      </c>
      <c r="AV8709">
        <v>3571</v>
      </c>
      <c r="AW8709" s="4">
        <v>42723</v>
      </c>
      <c r="BD8709">
        <v>0</v>
      </c>
      <c r="BN8709" t="s">
        <v>74</v>
      </c>
    </row>
    <row r="8710" spans="1:66" hidden="1">
      <c r="A8710">
        <v>106420</v>
      </c>
      <c r="B8710" s="3" t="s">
        <v>764</v>
      </c>
      <c r="C8710" s="1">
        <v>43500101</v>
      </c>
      <c r="D8710" t="s">
        <v>113</v>
      </c>
      <c r="H8710" t="str">
        <f t="shared" ref="H8710:H8721" si="901">"NNCMRC87D03A783C"</f>
        <v>NNCMRC87D03A783C</v>
      </c>
      <c r="I8710" t="str">
        <f t="shared" ref="I8710:I8721" si="902">"01532510623"</f>
        <v>01532510623</v>
      </c>
      <c r="K8710" t="str">
        <f>""</f>
        <v/>
      </c>
      <c r="M8710" t="s">
        <v>68</v>
      </c>
      <c r="N8710" t="str">
        <f t="shared" ref="N8710:N8721" si="903">"ALTPRO"</f>
        <v>ALTPRO</v>
      </c>
      <c r="O8710" t="s">
        <v>132</v>
      </c>
      <c r="P8710" s="3" t="s">
        <v>75</v>
      </c>
      <c r="Q8710">
        <v>2016</v>
      </c>
      <c r="R8710" s="2">
        <v>42377</v>
      </c>
      <c r="S8710" s="2">
        <v>42382</v>
      </c>
      <c r="T8710" s="2">
        <v>42379</v>
      </c>
      <c r="U8710" s="2">
        <v>42439</v>
      </c>
      <c r="V8710" t="s">
        <v>71</v>
      </c>
      <c r="W8710" t="str">
        <f>"         FATTPA 1_16"</f>
        <v xml:space="preserve">         FATTPA 1_16</v>
      </c>
      <c r="X8710" s="1">
        <v>1213.6400000000001</v>
      </c>
      <c r="Y8710">
        <v>-242.33</v>
      </c>
      <c r="Z8710"/>
      <c r="AB8710"/>
      <c r="AC8710">
        <v>971.31</v>
      </c>
      <c r="AD8710">
        <v>-42</v>
      </c>
      <c r="AE8710" s="1">
        <v>-40795.019999999997</v>
      </c>
      <c r="AF8710">
        <v>0</v>
      </c>
      <c r="AJ8710">
        <v>0</v>
      </c>
      <c r="AK8710">
        <v>0</v>
      </c>
      <c r="AL8710">
        <v>0</v>
      </c>
      <c r="AM8710">
        <v>-242.33</v>
      </c>
      <c r="AN8710">
        <v>971.31</v>
      </c>
      <c r="AO8710">
        <v>971.31</v>
      </c>
      <c r="AP8710" s="2">
        <v>42746</v>
      </c>
      <c r="AQ8710" t="s">
        <v>72</v>
      </c>
      <c r="AR8710" t="s">
        <v>72</v>
      </c>
      <c r="AS8710">
        <v>128</v>
      </c>
      <c r="AT8710" s="4">
        <v>42397</v>
      </c>
      <c r="AV8710">
        <v>128</v>
      </c>
      <c r="AW8710" s="4">
        <v>42397</v>
      </c>
      <c r="BD8710">
        <v>0</v>
      </c>
      <c r="BN8710" t="s">
        <v>74</v>
      </c>
    </row>
    <row r="8711" spans="1:66" hidden="1">
      <c r="A8711">
        <v>106420</v>
      </c>
      <c r="B8711" s="3" t="s">
        <v>764</v>
      </c>
      <c r="C8711" s="1">
        <v>43500101</v>
      </c>
      <c r="D8711" t="s">
        <v>113</v>
      </c>
      <c r="H8711" t="str">
        <f t="shared" si="901"/>
        <v>NNCMRC87D03A783C</v>
      </c>
      <c r="I8711" t="str">
        <f t="shared" si="902"/>
        <v>01532510623</v>
      </c>
      <c r="K8711" t="str">
        <f>""</f>
        <v/>
      </c>
      <c r="M8711" t="s">
        <v>68</v>
      </c>
      <c r="N8711" t="str">
        <f t="shared" si="903"/>
        <v>ALTPRO</v>
      </c>
      <c r="O8711" t="s">
        <v>132</v>
      </c>
      <c r="P8711" s="3" t="s">
        <v>75</v>
      </c>
      <c r="Q8711">
        <v>2016</v>
      </c>
      <c r="R8711" s="2">
        <v>42403</v>
      </c>
      <c r="S8711" s="2">
        <v>42404</v>
      </c>
      <c r="T8711" s="2">
        <v>42403</v>
      </c>
      <c r="U8711" s="2">
        <v>42463</v>
      </c>
      <c r="V8711" t="s">
        <v>71</v>
      </c>
      <c r="W8711" t="str">
        <f>"         FATTPA 2_16"</f>
        <v xml:space="preserve">         FATTPA 2_16</v>
      </c>
      <c r="X8711" s="1">
        <v>1266.32</v>
      </c>
      <c r="Y8711">
        <v>-252.86</v>
      </c>
      <c r="Z8711"/>
      <c r="AB8711"/>
      <c r="AC8711" s="1">
        <v>1013.46</v>
      </c>
      <c r="AD8711">
        <v>-37</v>
      </c>
      <c r="AE8711" s="1">
        <v>-37498.019999999997</v>
      </c>
      <c r="AF8711">
        <v>0</v>
      </c>
      <c r="AJ8711">
        <v>0</v>
      </c>
      <c r="AK8711">
        <v>0</v>
      </c>
      <c r="AL8711">
        <v>0</v>
      </c>
      <c r="AM8711" s="1">
        <v>1013.46</v>
      </c>
      <c r="AN8711" s="1">
        <v>1013.46</v>
      </c>
      <c r="AO8711" s="1">
        <v>1013.46</v>
      </c>
      <c r="AP8711" s="2">
        <v>42746</v>
      </c>
      <c r="AQ8711" t="s">
        <v>72</v>
      </c>
      <c r="AR8711" t="s">
        <v>72</v>
      </c>
      <c r="AS8711">
        <v>571</v>
      </c>
      <c r="AT8711" s="4">
        <v>42426</v>
      </c>
      <c r="AV8711">
        <v>571</v>
      </c>
      <c r="AW8711" s="4">
        <v>42426</v>
      </c>
      <c r="BD8711">
        <v>0</v>
      </c>
      <c r="BN8711" t="s">
        <v>74</v>
      </c>
    </row>
    <row r="8712" spans="1:66" hidden="1">
      <c r="A8712">
        <v>106420</v>
      </c>
      <c r="B8712" s="3" t="s">
        <v>764</v>
      </c>
      <c r="C8712" s="1">
        <v>43500101</v>
      </c>
      <c r="D8712" t="s">
        <v>113</v>
      </c>
      <c r="H8712" t="str">
        <f t="shared" si="901"/>
        <v>NNCMRC87D03A783C</v>
      </c>
      <c r="I8712" t="str">
        <f t="shared" si="902"/>
        <v>01532510623</v>
      </c>
      <c r="K8712" t="str">
        <f>""</f>
        <v/>
      </c>
      <c r="M8712" t="s">
        <v>68</v>
      </c>
      <c r="N8712" t="str">
        <f t="shared" si="903"/>
        <v>ALTPRO</v>
      </c>
      <c r="O8712" t="s">
        <v>132</v>
      </c>
      <c r="P8712" s="3" t="s">
        <v>75</v>
      </c>
      <c r="Q8712">
        <v>2016</v>
      </c>
      <c r="R8712" s="2">
        <v>42433</v>
      </c>
      <c r="S8712" s="2">
        <v>42436</v>
      </c>
      <c r="T8712" s="2">
        <v>42433</v>
      </c>
      <c r="U8712" s="2">
        <v>42493</v>
      </c>
      <c r="V8712" t="s">
        <v>71</v>
      </c>
      <c r="W8712" t="str">
        <f>"         FATTPA 3_16"</f>
        <v xml:space="preserve">         FATTPA 3_16</v>
      </c>
      <c r="X8712" s="1">
        <v>1007.14</v>
      </c>
      <c r="Y8712">
        <v>-201.03</v>
      </c>
      <c r="Z8712"/>
      <c r="AB8712"/>
      <c r="AC8712">
        <v>806.11</v>
      </c>
      <c r="AD8712">
        <v>-42</v>
      </c>
      <c r="AE8712" s="1">
        <v>-33856.620000000003</v>
      </c>
      <c r="AF8712">
        <v>0</v>
      </c>
      <c r="AJ8712">
        <v>0</v>
      </c>
      <c r="AK8712">
        <v>0</v>
      </c>
      <c r="AL8712">
        <v>0</v>
      </c>
      <c r="AM8712">
        <v>806.11</v>
      </c>
      <c r="AN8712">
        <v>806.11</v>
      </c>
      <c r="AO8712">
        <v>806.11</v>
      </c>
      <c r="AP8712" s="2">
        <v>42746</v>
      </c>
      <c r="AQ8712" t="s">
        <v>72</v>
      </c>
      <c r="AR8712" t="s">
        <v>72</v>
      </c>
      <c r="AS8712">
        <v>720</v>
      </c>
      <c r="AT8712" s="4">
        <v>42451</v>
      </c>
      <c r="AV8712">
        <v>720</v>
      </c>
      <c r="AW8712" s="4">
        <v>42451</v>
      </c>
      <c r="BD8712">
        <v>0</v>
      </c>
      <c r="BN8712" t="s">
        <v>74</v>
      </c>
    </row>
    <row r="8713" spans="1:66" hidden="1">
      <c r="A8713">
        <v>106420</v>
      </c>
      <c r="B8713" s="3" t="s">
        <v>764</v>
      </c>
      <c r="C8713" s="1">
        <v>43500101</v>
      </c>
      <c r="D8713" t="s">
        <v>113</v>
      </c>
      <c r="H8713" t="str">
        <f t="shared" si="901"/>
        <v>NNCMRC87D03A783C</v>
      </c>
      <c r="I8713" t="str">
        <f t="shared" si="902"/>
        <v>01532510623</v>
      </c>
      <c r="K8713" t="str">
        <f>""</f>
        <v/>
      </c>
      <c r="M8713" t="s">
        <v>68</v>
      </c>
      <c r="N8713" t="str">
        <f t="shared" si="903"/>
        <v>ALTPRO</v>
      </c>
      <c r="O8713" t="s">
        <v>132</v>
      </c>
      <c r="P8713" s="3" t="s">
        <v>75</v>
      </c>
      <c r="Q8713">
        <v>2016</v>
      </c>
      <c r="R8713" s="2">
        <v>42461</v>
      </c>
      <c r="S8713" s="2">
        <v>42464</v>
      </c>
      <c r="T8713" s="2">
        <v>42461</v>
      </c>
      <c r="U8713" s="2">
        <v>42521</v>
      </c>
      <c r="V8713" t="s">
        <v>71</v>
      </c>
      <c r="W8713" t="str">
        <f>"         FATTPA 4_16"</f>
        <v xml:space="preserve">         FATTPA 4_16</v>
      </c>
      <c r="X8713">
        <v>932.68</v>
      </c>
      <c r="Y8713">
        <v>-186.14</v>
      </c>
      <c r="Z8713"/>
      <c r="AB8713"/>
      <c r="AC8713">
        <v>746.54</v>
      </c>
      <c r="AD8713">
        <v>-34</v>
      </c>
      <c r="AE8713" s="1">
        <v>-25382.36</v>
      </c>
      <c r="AF8713">
        <v>0</v>
      </c>
      <c r="AJ8713">
        <v>0</v>
      </c>
      <c r="AK8713">
        <v>0</v>
      </c>
      <c r="AL8713">
        <v>0</v>
      </c>
      <c r="AM8713">
        <v>746.54</v>
      </c>
      <c r="AN8713">
        <v>746.54</v>
      </c>
      <c r="AO8713">
        <v>746.54</v>
      </c>
      <c r="AP8713" s="2">
        <v>42746</v>
      </c>
      <c r="AQ8713" t="s">
        <v>72</v>
      </c>
      <c r="AR8713" t="s">
        <v>72</v>
      </c>
      <c r="AS8713">
        <v>1160</v>
      </c>
      <c r="AT8713" s="4">
        <v>42487</v>
      </c>
      <c r="AV8713">
        <v>1160</v>
      </c>
      <c r="AW8713" s="4">
        <v>42487</v>
      </c>
      <c r="BD8713">
        <v>0</v>
      </c>
      <c r="BN8713" t="s">
        <v>74</v>
      </c>
    </row>
    <row r="8714" spans="1:66" hidden="1">
      <c r="A8714">
        <v>106420</v>
      </c>
      <c r="B8714" s="3" t="s">
        <v>764</v>
      </c>
      <c r="C8714" s="1">
        <v>43500101</v>
      </c>
      <c r="D8714" t="s">
        <v>113</v>
      </c>
      <c r="H8714" t="str">
        <f t="shared" si="901"/>
        <v>NNCMRC87D03A783C</v>
      </c>
      <c r="I8714" t="str">
        <f t="shared" si="902"/>
        <v>01532510623</v>
      </c>
      <c r="K8714" t="str">
        <f>""</f>
        <v/>
      </c>
      <c r="M8714" t="s">
        <v>68</v>
      </c>
      <c r="N8714" t="str">
        <f t="shared" si="903"/>
        <v>ALTPRO</v>
      </c>
      <c r="O8714" t="s">
        <v>132</v>
      </c>
      <c r="P8714" s="3" t="s">
        <v>75</v>
      </c>
      <c r="Q8714">
        <v>2016</v>
      </c>
      <c r="R8714" s="2">
        <v>42492</v>
      </c>
      <c r="S8714" s="2">
        <v>42493</v>
      </c>
      <c r="T8714" s="2">
        <v>42493</v>
      </c>
      <c r="U8714" s="2">
        <v>42553</v>
      </c>
      <c r="V8714" t="s">
        <v>71</v>
      </c>
      <c r="W8714" t="str">
        <f>"         FATTPA 5_16"</f>
        <v xml:space="preserve">         FATTPA 5_16</v>
      </c>
      <c r="X8714">
        <v>875.61</v>
      </c>
      <c r="Y8714">
        <v>-174.72</v>
      </c>
      <c r="Z8714"/>
      <c r="AB8714"/>
      <c r="AC8714">
        <v>700.89</v>
      </c>
      <c r="AD8714">
        <v>-37</v>
      </c>
      <c r="AE8714" s="1">
        <v>-25932.93</v>
      </c>
      <c r="AF8714">
        <v>0</v>
      </c>
      <c r="AJ8714">
        <v>0</v>
      </c>
      <c r="AK8714">
        <v>0</v>
      </c>
      <c r="AL8714">
        <v>0</v>
      </c>
      <c r="AM8714">
        <v>700.89</v>
      </c>
      <c r="AN8714">
        <v>700.89</v>
      </c>
      <c r="AO8714">
        <v>700.89</v>
      </c>
      <c r="AP8714" s="2">
        <v>42746</v>
      </c>
      <c r="AQ8714" t="s">
        <v>72</v>
      </c>
      <c r="AR8714" t="s">
        <v>72</v>
      </c>
      <c r="AS8714">
        <v>1386</v>
      </c>
      <c r="AT8714" s="4">
        <v>42516</v>
      </c>
      <c r="AV8714">
        <v>1386</v>
      </c>
      <c r="AW8714" s="4">
        <v>42516</v>
      </c>
      <c r="BD8714">
        <v>0</v>
      </c>
      <c r="BN8714" t="s">
        <v>74</v>
      </c>
    </row>
    <row r="8715" spans="1:66" hidden="1">
      <c r="A8715">
        <v>106420</v>
      </c>
      <c r="B8715" s="3" t="s">
        <v>764</v>
      </c>
      <c r="C8715" s="1">
        <v>43500101</v>
      </c>
      <c r="D8715" t="s">
        <v>113</v>
      </c>
      <c r="H8715" t="str">
        <f t="shared" si="901"/>
        <v>NNCMRC87D03A783C</v>
      </c>
      <c r="I8715" t="str">
        <f t="shared" si="902"/>
        <v>01532510623</v>
      </c>
      <c r="K8715" t="str">
        <f>""</f>
        <v/>
      </c>
      <c r="M8715" t="s">
        <v>68</v>
      </c>
      <c r="N8715" t="str">
        <f t="shared" si="903"/>
        <v>ALTPRO</v>
      </c>
      <c r="O8715" t="s">
        <v>132</v>
      </c>
      <c r="P8715" s="3" t="s">
        <v>75</v>
      </c>
      <c r="Q8715">
        <v>2016</v>
      </c>
      <c r="R8715" s="2">
        <v>42522</v>
      </c>
      <c r="S8715" s="2">
        <v>42527</v>
      </c>
      <c r="T8715" s="2">
        <v>42522</v>
      </c>
      <c r="U8715" s="2">
        <v>42582</v>
      </c>
      <c r="V8715" t="s">
        <v>71</v>
      </c>
      <c r="W8715" t="str">
        <f>"         FATTPA 6_16"</f>
        <v xml:space="preserve">         FATTPA 6_16</v>
      </c>
      <c r="X8715" s="1">
        <v>1371.68</v>
      </c>
      <c r="Y8715">
        <v>-273.94</v>
      </c>
      <c r="Z8715"/>
      <c r="AB8715"/>
      <c r="AC8715" s="1">
        <v>1097.74</v>
      </c>
      <c r="AD8715">
        <v>-54</v>
      </c>
      <c r="AE8715" s="1">
        <v>-59277.96</v>
      </c>
      <c r="AF8715">
        <v>0</v>
      </c>
      <c r="AJ8715">
        <v>0</v>
      </c>
      <c r="AK8715">
        <v>0</v>
      </c>
      <c r="AL8715">
        <v>0</v>
      </c>
      <c r="AM8715" s="1">
        <v>1097.74</v>
      </c>
      <c r="AN8715" s="1">
        <v>1097.74</v>
      </c>
      <c r="AO8715" s="1">
        <v>1097.74</v>
      </c>
      <c r="AP8715" s="2">
        <v>42746</v>
      </c>
      <c r="AQ8715" t="s">
        <v>72</v>
      </c>
      <c r="AR8715" t="s">
        <v>72</v>
      </c>
      <c r="AS8715">
        <v>1565</v>
      </c>
      <c r="AT8715" s="4">
        <v>42528</v>
      </c>
      <c r="AV8715">
        <v>1565</v>
      </c>
      <c r="AW8715" s="4">
        <v>42528</v>
      </c>
      <c r="BD8715">
        <v>0</v>
      </c>
      <c r="BN8715" t="s">
        <v>74</v>
      </c>
    </row>
    <row r="8716" spans="1:66" hidden="1">
      <c r="A8716">
        <v>106420</v>
      </c>
      <c r="B8716" s="3" t="s">
        <v>764</v>
      </c>
      <c r="C8716" s="1">
        <v>43500101</v>
      </c>
      <c r="D8716" t="s">
        <v>113</v>
      </c>
      <c r="H8716" t="str">
        <f t="shared" si="901"/>
        <v>NNCMRC87D03A783C</v>
      </c>
      <c r="I8716" t="str">
        <f t="shared" si="902"/>
        <v>01532510623</v>
      </c>
      <c r="K8716" t="str">
        <f>""</f>
        <v/>
      </c>
      <c r="M8716" t="s">
        <v>68</v>
      </c>
      <c r="N8716" t="str">
        <f t="shared" si="903"/>
        <v>ALTPRO</v>
      </c>
      <c r="O8716" t="s">
        <v>132</v>
      </c>
      <c r="P8716" s="3" t="s">
        <v>75</v>
      </c>
      <c r="Q8716">
        <v>2016</v>
      </c>
      <c r="R8716" s="2">
        <v>42562</v>
      </c>
      <c r="S8716" s="2">
        <v>42562</v>
      </c>
      <c r="T8716" s="2">
        <v>42562</v>
      </c>
      <c r="U8716" s="2">
        <v>42622</v>
      </c>
      <c r="V8716" t="s">
        <v>71</v>
      </c>
      <c r="W8716" t="str">
        <f>"         FATTPA 7_16"</f>
        <v xml:space="preserve">         FATTPA 7_16</v>
      </c>
      <c r="X8716">
        <v>813.1</v>
      </c>
      <c r="Y8716">
        <v>-162.22</v>
      </c>
      <c r="Z8716"/>
      <c r="AB8716"/>
      <c r="AC8716">
        <v>650.88</v>
      </c>
      <c r="AD8716">
        <v>-56</v>
      </c>
      <c r="AE8716" s="1">
        <v>-36449.279999999999</v>
      </c>
      <c r="AF8716">
        <v>0</v>
      </c>
      <c r="AJ8716">
        <v>0</v>
      </c>
      <c r="AK8716">
        <v>0</v>
      </c>
      <c r="AL8716">
        <v>0</v>
      </c>
      <c r="AM8716">
        <v>650.88</v>
      </c>
      <c r="AN8716">
        <v>650.88</v>
      </c>
      <c r="AO8716">
        <v>650.88</v>
      </c>
      <c r="AP8716" s="2">
        <v>42746</v>
      </c>
      <c r="AQ8716" t="s">
        <v>72</v>
      </c>
      <c r="AR8716" t="s">
        <v>72</v>
      </c>
      <c r="AS8716">
        <v>1784</v>
      </c>
      <c r="AT8716" s="4">
        <v>42566</v>
      </c>
      <c r="AV8716">
        <v>1784</v>
      </c>
      <c r="AW8716" s="4">
        <v>42566</v>
      </c>
      <c r="BD8716">
        <v>0</v>
      </c>
      <c r="BN8716" t="s">
        <v>74</v>
      </c>
    </row>
    <row r="8717" spans="1:66" hidden="1">
      <c r="A8717">
        <v>106420</v>
      </c>
      <c r="B8717" s="3" t="s">
        <v>764</v>
      </c>
      <c r="C8717" s="1">
        <v>43500101</v>
      </c>
      <c r="D8717" t="s">
        <v>113</v>
      </c>
      <c r="H8717" t="str">
        <f t="shared" si="901"/>
        <v>NNCMRC87D03A783C</v>
      </c>
      <c r="I8717" t="str">
        <f t="shared" si="902"/>
        <v>01532510623</v>
      </c>
      <c r="K8717" t="str">
        <f>""</f>
        <v/>
      </c>
      <c r="M8717" t="s">
        <v>68</v>
      </c>
      <c r="N8717" t="str">
        <f t="shared" si="903"/>
        <v>ALTPRO</v>
      </c>
      <c r="O8717" t="s">
        <v>132</v>
      </c>
      <c r="P8717" s="3" t="s">
        <v>75</v>
      </c>
      <c r="Q8717">
        <v>2016</v>
      </c>
      <c r="R8717" s="2">
        <v>42583</v>
      </c>
      <c r="S8717" s="2">
        <v>42583</v>
      </c>
      <c r="T8717" s="2">
        <v>42583</v>
      </c>
      <c r="U8717" s="2">
        <v>42643</v>
      </c>
      <c r="V8717" t="s">
        <v>71</v>
      </c>
      <c r="W8717" t="str">
        <f>"         FATTPA 8_16"</f>
        <v xml:space="preserve">         FATTPA 8_16</v>
      </c>
      <c r="X8717">
        <v>803.44</v>
      </c>
      <c r="Y8717">
        <v>-160.29</v>
      </c>
      <c r="Z8717"/>
      <c r="AB8717"/>
      <c r="AC8717">
        <v>643.15</v>
      </c>
      <c r="AD8717">
        <v>-58</v>
      </c>
      <c r="AE8717" s="1">
        <v>-37302.699999999997</v>
      </c>
      <c r="AF8717">
        <v>0</v>
      </c>
      <c r="AJ8717">
        <v>0</v>
      </c>
      <c r="AK8717">
        <v>0</v>
      </c>
      <c r="AL8717">
        <v>0</v>
      </c>
      <c r="AM8717">
        <v>643.15</v>
      </c>
      <c r="AN8717">
        <v>643.15</v>
      </c>
      <c r="AO8717">
        <v>643.15</v>
      </c>
      <c r="AP8717" s="2">
        <v>42746</v>
      </c>
      <c r="AQ8717" t="s">
        <v>72</v>
      </c>
      <c r="AR8717" t="s">
        <v>72</v>
      </c>
      <c r="AS8717">
        <v>2067</v>
      </c>
      <c r="AT8717" s="4">
        <v>42585</v>
      </c>
      <c r="AV8717">
        <v>2067</v>
      </c>
      <c r="AW8717" s="4">
        <v>42585</v>
      </c>
      <c r="BD8717">
        <v>0</v>
      </c>
      <c r="BN8717" t="s">
        <v>74</v>
      </c>
    </row>
    <row r="8718" spans="1:66">
      <c r="A8718">
        <v>106420</v>
      </c>
      <c r="B8718" s="3" t="s">
        <v>764</v>
      </c>
      <c r="C8718" s="1">
        <v>43500101</v>
      </c>
      <c r="D8718" t="s">
        <v>113</v>
      </c>
      <c r="H8718" t="str">
        <f t="shared" si="901"/>
        <v>NNCMRC87D03A783C</v>
      </c>
      <c r="I8718" t="str">
        <f t="shared" si="902"/>
        <v>01532510623</v>
      </c>
      <c r="K8718" t="str">
        <f>""</f>
        <v/>
      </c>
      <c r="M8718" t="s">
        <v>68</v>
      </c>
      <c r="N8718" t="str">
        <f t="shared" si="903"/>
        <v>ALTPRO</v>
      </c>
      <c r="O8718" t="s">
        <v>132</v>
      </c>
      <c r="P8718" s="3" t="s">
        <v>75</v>
      </c>
      <c r="Q8718">
        <v>2016</v>
      </c>
      <c r="R8718" s="2">
        <v>42618</v>
      </c>
      <c r="S8718" s="2">
        <v>42620</v>
      </c>
      <c r="T8718" s="2">
        <v>42620</v>
      </c>
      <c r="U8718" s="2">
        <v>42680</v>
      </c>
      <c r="V8718" t="s">
        <v>71</v>
      </c>
      <c r="W8718" t="str">
        <f>"         FATTPA 9_16"</f>
        <v xml:space="preserve">         FATTPA 9_16</v>
      </c>
      <c r="X8718">
        <v>491.68</v>
      </c>
      <c r="Y8718">
        <v>-98.34</v>
      </c>
      <c r="Z8718" s="3">
        <v>393.34</v>
      </c>
      <c r="AA8718">
        <v>-34</v>
      </c>
      <c r="AB8718" s="5">
        <v>-13373.56</v>
      </c>
      <c r="AC8718">
        <v>393.34</v>
      </c>
      <c r="AD8718">
        <v>-34</v>
      </c>
      <c r="AE8718" s="1">
        <v>-13373.56</v>
      </c>
      <c r="AF8718">
        <v>0</v>
      </c>
      <c r="AJ8718">
        <v>0</v>
      </c>
      <c r="AK8718">
        <v>0</v>
      </c>
      <c r="AL8718">
        <v>0</v>
      </c>
      <c r="AM8718">
        <v>393.34</v>
      </c>
      <c r="AN8718">
        <v>393.34</v>
      </c>
      <c r="AO8718">
        <v>393.34</v>
      </c>
      <c r="AP8718" s="2">
        <v>42746</v>
      </c>
      <c r="AQ8718" t="s">
        <v>72</v>
      </c>
      <c r="AR8718" t="s">
        <v>72</v>
      </c>
      <c r="AS8718">
        <v>2517</v>
      </c>
      <c r="AT8718" s="4">
        <v>42646</v>
      </c>
      <c r="AV8718">
        <v>2517</v>
      </c>
      <c r="AW8718" s="4">
        <v>42646</v>
      </c>
      <c r="BD8718">
        <v>0</v>
      </c>
      <c r="BN8718" t="s">
        <v>74</v>
      </c>
    </row>
    <row r="8719" spans="1:66">
      <c r="A8719">
        <v>106420</v>
      </c>
      <c r="B8719" s="3" t="s">
        <v>764</v>
      </c>
      <c r="C8719" s="1">
        <v>43500101</v>
      </c>
      <c r="D8719" t="s">
        <v>113</v>
      </c>
      <c r="H8719" t="str">
        <f t="shared" si="901"/>
        <v>NNCMRC87D03A783C</v>
      </c>
      <c r="I8719" t="str">
        <f t="shared" si="902"/>
        <v>01532510623</v>
      </c>
      <c r="K8719" t="str">
        <f>""</f>
        <v/>
      </c>
      <c r="M8719" t="s">
        <v>68</v>
      </c>
      <c r="N8719" t="str">
        <f t="shared" si="903"/>
        <v>ALTPRO</v>
      </c>
      <c r="O8719" t="s">
        <v>132</v>
      </c>
      <c r="P8719" s="3" t="s">
        <v>75</v>
      </c>
      <c r="Q8719">
        <v>2016</v>
      </c>
      <c r="R8719" s="2">
        <v>42646</v>
      </c>
      <c r="S8719" s="2">
        <v>42647</v>
      </c>
      <c r="T8719" s="2">
        <v>42646</v>
      </c>
      <c r="U8719" s="2">
        <v>42706</v>
      </c>
      <c r="V8719" t="s">
        <v>71</v>
      </c>
      <c r="W8719" t="str">
        <f>"        FATTPA 10_16"</f>
        <v xml:space="preserve">        FATTPA 10_16</v>
      </c>
      <c r="X8719" s="1">
        <v>1229.2</v>
      </c>
      <c r="Y8719">
        <v>-245.84</v>
      </c>
      <c r="Z8719" s="3">
        <v>983.36</v>
      </c>
      <c r="AA8719">
        <v>-38</v>
      </c>
      <c r="AB8719" s="5">
        <v>-37367.68</v>
      </c>
      <c r="AC8719">
        <v>983.36</v>
      </c>
      <c r="AD8719">
        <v>-38</v>
      </c>
      <c r="AE8719" s="1">
        <v>-37367.68</v>
      </c>
      <c r="AF8719">
        <v>0</v>
      </c>
      <c r="AJ8719">
        <v>-245.84</v>
      </c>
      <c r="AK8719">
        <v>983.36</v>
      </c>
      <c r="AL8719">
        <v>983.36</v>
      </c>
      <c r="AM8719">
        <v>983.36</v>
      </c>
      <c r="AN8719">
        <v>983.36</v>
      </c>
      <c r="AO8719">
        <v>983.36</v>
      </c>
      <c r="AP8719" s="2">
        <v>42746</v>
      </c>
      <c r="AQ8719" t="s">
        <v>72</v>
      </c>
      <c r="AR8719" t="s">
        <v>72</v>
      </c>
      <c r="AS8719">
        <v>2858</v>
      </c>
      <c r="AT8719" s="4">
        <v>42668</v>
      </c>
      <c r="AV8719">
        <v>2858</v>
      </c>
      <c r="AW8719" s="4">
        <v>42668</v>
      </c>
      <c r="BD8719">
        <v>0</v>
      </c>
      <c r="BN8719" t="s">
        <v>74</v>
      </c>
    </row>
    <row r="8720" spans="1:66">
      <c r="A8720">
        <v>106420</v>
      </c>
      <c r="B8720" s="3" t="s">
        <v>764</v>
      </c>
      <c r="C8720" s="1">
        <v>43500101</v>
      </c>
      <c r="D8720" t="s">
        <v>113</v>
      </c>
      <c r="H8720" t="str">
        <f t="shared" si="901"/>
        <v>NNCMRC87D03A783C</v>
      </c>
      <c r="I8720" t="str">
        <f t="shared" si="902"/>
        <v>01532510623</v>
      </c>
      <c r="K8720" t="str">
        <f>""</f>
        <v/>
      </c>
      <c r="M8720" t="s">
        <v>68</v>
      </c>
      <c r="N8720" t="str">
        <f t="shared" si="903"/>
        <v>ALTPRO</v>
      </c>
      <c r="O8720" t="s">
        <v>132</v>
      </c>
      <c r="P8720" s="3" t="s">
        <v>75</v>
      </c>
      <c r="Q8720">
        <v>2016</v>
      </c>
      <c r="R8720" s="2">
        <v>42676</v>
      </c>
      <c r="S8720" s="2">
        <v>42677</v>
      </c>
      <c r="T8720" s="2">
        <v>42677</v>
      </c>
      <c r="U8720" s="2">
        <v>42737</v>
      </c>
      <c r="V8720" t="s">
        <v>71</v>
      </c>
      <c r="W8720" t="str">
        <f>"        FATTPA 11_16"</f>
        <v xml:space="preserve">        FATTPA 11_16</v>
      </c>
      <c r="X8720">
        <v>948.24</v>
      </c>
      <c r="Y8720">
        <v>-189.65</v>
      </c>
      <c r="Z8720" s="3">
        <v>758.59</v>
      </c>
      <c r="AA8720">
        <v>-59</v>
      </c>
      <c r="AB8720" s="5">
        <v>-44756.81</v>
      </c>
      <c r="AC8720">
        <v>758.59</v>
      </c>
      <c r="AD8720">
        <v>-59</v>
      </c>
      <c r="AE8720" s="1">
        <v>-44756.81</v>
      </c>
      <c r="AF8720">
        <v>0</v>
      </c>
      <c r="AJ8720">
        <v>758.59</v>
      </c>
      <c r="AK8720">
        <v>758.59</v>
      </c>
      <c r="AL8720">
        <v>758.59</v>
      </c>
      <c r="AM8720">
        <v>758.59</v>
      </c>
      <c r="AN8720">
        <v>758.59</v>
      </c>
      <c r="AO8720">
        <v>758.59</v>
      </c>
      <c r="AP8720" s="2">
        <v>42746</v>
      </c>
      <c r="AQ8720" t="s">
        <v>72</v>
      </c>
      <c r="AR8720" t="s">
        <v>72</v>
      </c>
      <c r="AS8720">
        <v>2909</v>
      </c>
      <c r="AT8720" s="4">
        <v>42678</v>
      </c>
      <c r="AV8720">
        <v>2909</v>
      </c>
      <c r="AW8720" s="4">
        <v>42678</v>
      </c>
      <c r="BD8720">
        <v>0</v>
      </c>
      <c r="BN8720" t="s">
        <v>74</v>
      </c>
    </row>
    <row r="8721" spans="1:66">
      <c r="A8721">
        <v>106420</v>
      </c>
      <c r="B8721" s="3" t="s">
        <v>764</v>
      </c>
      <c r="C8721" s="1">
        <v>43500101</v>
      </c>
      <c r="D8721" t="s">
        <v>113</v>
      </c>
      <c r="H8721" t="str">
        <f t="shared" si="901"/>
        <v>NNCMRC87D03A783C</v>
      </c>
      <c r="I8721" t="str">
        <f t="shared" si="902"/>
        <v>01532510623</v>
      </c>
      <c r="K8721" t="str">
        <f>""</f>
        <v/>
      </c>
      <c r="M8721" t="s">
        <v>68</v>
      </c>
      <c r="N8721" t="str">
        <f t="shared" si="903"/>
        <v>ALTPRO</v>
      </c>
      <c r="O8721" t="s">
        <v>132</v>
      </c>
      <c r="P8721" s="3" t="s">
        <v>75</v>
      </c>
      <c r="Q8721">
        <v>2016</v>
      </c>
      <c r="R8721" s="2">
        <v>42706</v>
      </c>
      <c r="S8721" s="2">
        <v>42709</v>
      </c>
      <c r="T8721" s="2">
        <v>42706</v>
      </c>
      <c r="U8721" s="2">
        <v>42766</v>
      </c>
      <c r="V8721" t="s">
        <v>71</v>
      </c>
      <c r="W8721" t="str">
        <f>"        FATTPA 12_16"</f>
        <v xml:space="preserve">        FATTPA 12_16</v>
      </c>
      <c r="X8721" s="1">
        <v>1317</v>
      </c>
      <c r="Y8721">
        <v>-263.39999999999998</v>
      </c>
      <c r="Z8721" s="5">
        <v>1053.5999999999999</v>
      </c>
      <c r="AA8721">
        <v>-57</v>
      </c>
      <c r="AB8721" s="5">
        <v>-60055.199999999997</v>
      </c>
      <c r="AC8721" s="1">
        <v>1053.5999999999999</v>
      </c>
      <c r="AD8721">
        <v>-57</v>
      </c>
      <c r="AE8721" s="1">
        <v>-60055.199999999997</v>
      </c>
      <c r="AF8721">
        <v>0</v>
      </c>
      <c r="AJ8721" s="1">
        <v>1053.5999999999999</v>
      </c>
      <c r="AK8721" s="1">
        <v>1053.5999999999999</v>
      </c>
      <c r="AL8721" s="1">
        <v>1053.5999999999999</v>
      </c>
      <c r="AM8721" s="1">
        <v>1053.5999999999999</v>
      </c>
      <c r="AN8721" s="1">
        <v>1053.5999999999999</v>
      </c>
      <c r="AO8721" s="1">
        <v>1053.5999999999999</v>
      </c>
      <c r="AP8721" s="2">
        <v>42746</v>
      </c>
      <c r="AQ8721" t="s">
        <v>72</v>
      </c>
      <c r="AR8721" t="s">
        <v>72</v>
      </c>
      <c r="AS8721">
        <v>3338</v>
      </c>
      <c r="AT8721" s="4">
        <v>42709</v>
      </c>
      <c r="AV8721">
        <v>3338</v>
      </c>
      <c r="AW8721" s="4">
        <v>42709</v>
      </c>
      <c r="BD8721">
        <v>0</v>
      </c>
      <c r="BN8721" t="s">
        <v>74</v>
      </c>
    </row>
    <row r="8722" spans="1:66" hidden="1">
      <c r="A8722">
        <v>106423</v>
      </c>
      <c r="B8722" s="3" t="s">
        <v>765</v>
      </c>
      <c r="C8722" s="1">
        <v>43300101</v>
      </c>
      <c r="D8722" t="s">
        <v>67</v>
      </c>
      <c r="H8722" t="str">
        <f>"06603861219"</f>
        <v>06603861219</v>
      </c>
      <c r="I8722" t="str">
        <f>"06603861219"</f>
        <v>06603861219</v>
      </c>
      <c r="K8722" t="str">
        <f>""</f>
        <v/>
      </c>
      <c r="M8722" t="s">
        <v>68</v>
      </c>
      <c r="N8722" t="str">
        <f>"FOR"</f>
        <v>FOR</v>
      </c>
      <c r="O8722" t="s">
        <v>69</v>
      </c>
      <c r="P8722" s="3" t="s">
        <v>75</v>
      </c>
      <c r="Q8722">
        <v>2015</v>
      </c>
      <c r="R8722" s="2">
        <v>42142</v>
      </c>
      <c r="S8722" s="2">
        <v>42186</v>
      </c>
      <c r="T8722" s="2">
        <v>42184</v>
      </c>
      <c r="U8722" s="2">
        <v>42244</v>
      </c>
      <c r="V8722" t="s">
        <v>71</v>
      </c>
      <c r="W8722" t="str">
        <f>"              122/15"</f>
        <v xml:space="preserve">              122/15</v>
      </c>
      <c r="X8722" s="1">
        <v>5978</v>
      </c>
      <c r="Y8722">
        <v>0</v>
      </c>
      <c r="Z8722"/>
      <c r="AB8722"/>
      <c r="AC8722" s="1">
        <v>4900</v>
      </c>
      <c r="AD8722">
        <v>209</v>
      </c>
      <c r="AE8722" s="1">
        <v>1024100</v>
      </c>
      <c r="AF8722">
        <v>0</v>
      </c>
      <c r="AJ8722">
        <v>0</v>
      </c>
      <c r="AK8722">
        <v>0</v>
      </c>
      <c r="AL8722">
        <v>0</v>
      </c>
      <c r="AM8722">
        <v>0</v>
      </c>
      <c r="AN8722">
        <v>0</v>
      </c>
      <c r="AO8722">
        <v>0</v>
      </c>
      <c r="AP8722" s="2">
        <v>42746</v>
      </c>
      <c r="AQ8722" t="s">
        <v>72</v>
      </c>
      <c r="AR8722" t="s">
        <v>72</v>
      </c>
      <c r="AS8722">
        <v>848</v>
      </c>
      <c r="AT8722" s="4">
        <v>42453</v>
      </c>
      <c r="AU8722" t="s">
        <v>73</v>
      </c>
      <c r="AV8722">
        <v>848</v>
      </c>
      <c r="AW8722" s="4">
        <v>42453</v>
      </c>
      <c r="BD8722">
        <v>0</v>
      </c>
      <c r="BN8722" t="s">
        <v>74</v>
      </c>
    </row>
    <row r="8723" spans="1:66" hidden="1">
      <c r="A8723">
        <v>106423</v>
      </c>
      <c r="B8723" s="3" t="s">
        <v>765</v>
      </c>
      <c r="C8723" s="1">
        <v>43300101</v>
      </c>
      <c r="D8723" t="s">
        <v>67</v>
      </c>
      <c r="H8723" t="str">
        <f>"06603861219"</f>
        <v>06603861219</v>
      </c>
      <c r="I8723" t="str">
        <f>"06603861219"</f>
        <v>06603861219</v>
      </c>
      <c r="K8723" t="str">
        <f>""</f>
        <v/>
      </c>
      <c r="M8723" t="s">
        <v>68</v>
      </c>
      <c r="N8723" t="str">
        <f>"FOR"</f>
        <v>FOR</v>
      </c>
      <c r="O8723" t="s">
        <v>69</v>
      </c>
      <c r="P8723" s="3" t="s">
        <v>75</v>
      </c>
      <c r="Q8723">
        <v>2015</v>
      </c>
      <c r="R8723" s="2">
        <v>42247</v>
      </c>
      <c r="S8723" s="2">
        <v>42249</v>
      </c>
      <c r="T8723" s="2">
        <v>42249</v>
      </c>
      <c r="U8723" s="2">
        <v>42309</v>
      </c>
      <c r="V8723" t="s">
        <v>71</v>
      </c>
      <c r="W8723" t="str">
        <f>"              203/15"</f>
        <v xml:space="preserve">              203/15</v>
      </c>
      <c r="X8723" s="1">
        <v>3660</v>
      </c>
      <c r="Y8723">
        <v>0</v>
      </c>
      <c r="Z8723"/>
      <c r="AB8723"/>
      <c r="AC8723" s="1">
        <v>3000</v>
      </c>
      <c r="AD8723">
        <v>270</v>
      </c>
      <c r="AE8723" s="1">
        <v>810000</v>
      </c>
      <c r="AF8723">
        <v>0</v>
      </c>
      <c r="AJ8723">
        <v>0</v>
      </c>
      <c r="AK8723">
        <v>0</v>
      </c>
      <c r="AL8723">
        <v>0</v>
      </c>
      <c r="AM8723">
        <v>0</v>
      </c>
      <c r="AN8723">
        <v>0</v>
      </c>
      <c r="AO8723">
        <v>0</v>
      </c>
      <c r="AP8723" s="2">
        <v>42746</v>
      </c>
      <c r="AQ8723" t="s">
        <v>72</v>
      </c>
      <c r="AR8723" t="s">
        <v>72</v>
      </c>
      <c r="AS8723">
        <v>2008</v>
      </c>
      <c r="AT8723" s="4">
        <v>42579</v>
      </c>
      <c r="AU8723" t="s">
        <v>73</v>
      </c>
      <c r="AV8723">
        <v>2008</v>
      </c>
      <c r="AW8723" s="4">
        <v>42579</v>
      </c>
      <c r="BD8723">
        <v>0</v>
      </c>
      <c r="BN8723" t="s">
        <v>74</v>
      </c>
    </row>
    <row r="8724" spans="1:66" hidden="1">
      <c r="A8724">
        <v>106425</v>
      </c>
      <c r="B8724" s="3" t="s">
        <v>766</v>
      </c>
      <c r="C8724" s="1">
        <v>43500101</v>
      </c>
      <c r="D8724" t="s">
        <v>113</v>
      </c>
      <c r="H8724" t="str">
        <f t="shared" ref="H8724:H8736" si="904">"PCLMHL79P52A783Q"</f>
        <v>PCLMHL79P52A783Q</v>
      </c>
      <c r="I8724" t="str">
        <f t="shared" ref="I8724:I8736" si="905">"01587790625"</f>
        <v>01587790625</v>
      </c>
      <c r="K8724" t="str">
        <f>""</f>
        <v/>
      </c>
      <c r="M8724" t="s">
        <v>68</v>
      </c>
      <c r="N8724" t="str">
        <f t="shared" ref="N8724:N8737" si="906">"ALTPRO"</f>
        <v>ALTPRO</v>
      </c>
      <c r="O8724" t="s">
        <v>132</v>
      </c>
      <c r="P8724" s="3" t="s">
        <v>75</v>
      </c>
      <c r="Q8724">
        <v>2016</v>
      </c>
      <c r="R8724" s="2">
        <v>42381</v>
      </c>
      <c r="S8724" s="2">
        <v>42382</v>
      </c>
      <c r="T8724" s="2">
        <v>42381</v>
      </c>
      <c r="U8724" s="2">
        <v>42441</v>
      </c>
      <c r="V8724" t="s">
        <v>71</v>
      </c>
      <c r="W8724" t="str">
        <f>"         FATTPA 1_16"</f>
        <v xml:space="preserve">         FATTPA 1_16</v>
      </c>
      <c r="X8724">
        <v>742.51</v>
      </c>
      <c r="Y8724">
        <v>0</v>
      </c>
      <c r="Z8724"/>
      <c r="AB8724"/>
      <c r="AC8724">
        <v>742.51</v>
      </c>
      <c r="AD8724">
        <v>-44</v>
      </c>
      <c r="AE8724" s="1">
        <v>-32670.44</v>
      </c>
      <c r="AF8724">
        <v>0</v>
      </c>
      <c r="AJ8724">
        <v>0</v>
      </c>
      <c r="AK8724">
        <v>0</v>
      </c>
      <c r="AL8724">
        <v>0</v>
      </c>
      <c r="AM8724">
        <v>742.51</v>
      </c>
      <c r="AN8724">
        <v>742.51</v>
      </c>
      <c r="AO8724">
        <v>742.51</v>
      </c>
      <c r="AP8724" s="2">
        <v>42746</v>
      </c>
      <c r="AQ8724" t="s">
        <v>72</v>
      </c>
      <c r="AR8724" t="s">
        <v>72</v>
      </c>
      <c r="AS8724">
        <v>148</v>
      </c>
      <c r="AT8724" s="4">
        <v>42397</v>
      </c>
      <c r="AV8724">
        <v>148</v>
      </c>
      <c r="AW8724" s="4">
        <v>42397</v>
      </c>
      <c r="BD8724">
        <v>0</v>
      </c>
      <c r="BN8724" t="s">
        <v>74</v>
      </c>
    </row>
    <row r="8725" spans="1:66" hidden="1">
      <c r="A8725">
        <v>106425</v>
      </c>
      <c r="B8725" s="3" t="s">
        <v>766</v>
      </c>
      <c r="C8725" s="1">
        <v>43500101</v>
      </c>
      <c r="D8725" t="s">
        <v>113</v>
      </c>
      <c r="H8725" t="str">
        <f t="shared" si="904"/>
        <v>PCLMHL79P52A783Q</v>
      </c>
      <c r="I8725" t="str">
        <f t="shared" si="905"/>
        <v>01587790625</v>
      </c>
      <c r="K8725" t="str">
        <f>""</f>
        <v/>
      </c>
      <c r="M8725" t="s">
        <v>68</v>
      </c>
      <c r="N8725" t="str">
        <f t="shared" si="906"/>
        <v>ALTPRO</v>
      </c>
      <c r="O8725" t="s">
        <v>132</v>
      </c>
      <c r="P8725" s="3" t="s">
        <v>75</v>
      </c>
      <c r="Q8725">
        <v>2016</v>
      </c>
      <c r="R8725" s="2">
        <v>42381</v>
      </c>
      <c r="S8725" s="2">
        <v>42382</v>
      </c>
      <c r="T8725" s="2">
        <v>42381</v>
      </c>
      <c r="U8725" s="2">
        <v>42441</v>
      </c>
      <c r="V8725" t="s">
        <v>71</v>
      </c>
      <c r="W8725" t="str">
        <f>"         FATTPA 2_16"</f>
        <v xml:space="preserve">         FATTPA 2_16</v>
      </c>
      <c r="X8725" s="1">
        <v>1326.73</v>
      </c>
      <c r="Y8725">
        <v>0</v>
      </c>
      <c r="Z8725"/>
      <c r="AB8725"/>
      <c r="AC8725" s="1">
        <v>1326.73</v>
      </c>
      <c r="AD8725">
        <v>-44</v>
      </c>
      <c r="AE8725" s="1">
        <v>-58376.12</v>
      </c>
      <c r="AF8725">
        <v>0</v>
      </c>
      <c r="AJ8725">
        <v>0</v>
      </c>
      <c r="AK8725">
        <v>0</v>
      </c>
      <c r="AL8725">
        <v>0</v>
      </c>
      <c r="AM8725" s="1">
        <v>1326.73</v>
      </c>
      <c r="AN8725" s="1">
        <v>1326.73</v>
      </c>
      <c r="AO8725" s="1">
        <v>1326.73</v>
      </c>
      <c r="AP8725" s="2">
        <v>42746</v>
      </c>
      <c r="AQ8725" t="s">
        <v>72</v>
      </c>
      <c r="AR8725" t="s">
        <v>72</v>
      </c>
      <c r="AS8725">
        <v>148</v>
      </c>
      <c r="AT8725" s="4">
        <v>42397</v>
      </c>
      <c r="AV8725">
        <v>148</v>
      </c>
      <c r="AW8725" s="4">
        <v>42397</v>
      </c>
      <c r="BD8725">
        <v>0</v>
      </c>
      <c r="BN8725" t="s">
        <v>74</v>
      </c>
    </row>
    <row r="8726" spans="1:66" hidden="1">
      <c r="A8726">
        <v>106425</v>
      </c>
      <c r="B8726" s="3" t="s">
        <v>766</v>
      </c>
      <c r="C8726" s="1">
        <v>43500101</v>
      </c>
      <c r="D8726" t="s">
        <v>113</v>
      </c>
      <c r="H8726" t="str">
        <f t="shared" si="904"/>
        <v>PCLMHL79P52A783Q</v>
      </c>
      <c r="I8726" t="str">
        <f t="shared" si="905"/>
        <v>01587790625</v>
      </c>
      <c r="K8726" t="str">
        <f>""</f>
        <v/>
      </c>
      <c r="M8726" t="s">
        <v>68</v>
      </c>
      <c r="N8726" t="str">
        <f t="shared" si="906"/>
        <v>ALTPRO</v>
      </c>
      <c r="O8726" t="s">
        <v>132</v>
      </c>
      <c r="P8726" s="3" t="s">
        <v>75</v>
      </c>
      <c r="Q8726">
        <v>2016</v>
      </c>
      <c r="R8726" s="2">
        <v>42397</v>
      </c>
      <c r="S8726" s="2">
        <v>42408</v>
      </c>
      <c r="T8726" s="2">
        <v>42397</v>
      </c>
      <c r="U8726" s="2">
        <v>42457</v>
      </c>
      <c r="V8726" t="s">
        <v>71</v>
      </c>
      <c r="W8726" t="str">
        <f>"         FATTPA 3_16"</f>
        <v xml:space="preserve">         FATTPA 3_16</v>
      </c>
      <c r="X8726" s="1">
        <v>1575.34</v>
      </c>
      <c r="Y8726">
        <v>0</v>
      </c>
      <c r="Z8726"/>
      <c r="AB8726"/>
      <c r="AC8726" s="1">
        <v>1575.34</v>
      </c>
      <c r="AD8726">
        <v>-6</v>
      </c>
      <c r="AE8726" s="1">
        <v>-9452.0400000000009</v>
      </c>
      <c r="AF8726">
        <v>0</v>
      </c>
      <c r="AJ8726">
        <v>0</v>
      </c>
      <c r="AK8726">
        <v>0</v>
      </c>
      <c r="AL8726">
        <v>0</v>
      </c>
      <c r="AM8726" s="1">
        <v>1575.34</v>
      </c>
      <c r="AN8726" s="1">
        <v>1575.34</v>
      </c>
      <c r="AO8726" s="1">
        <v>1575.34</v>
      </c>
      <c r="AP8726" s="2">
        <v>42746</v>
      </c>
      <c r="AQ8726" t="s">
        <v>72</v>
      </c>
      <c r="AR8726" t="s">
        <v>72</v>
      </c>
      <c r="AS8726">
        <v>704</v>
      </c>
      <c r="AT8726" s="4">
        <v>42451</v>
      </c>
      <c r="AV8726">
        <v>704</v>
      </c>
      <c r="AW8726" s="4">
        <v>42451</v>
      </c>
      <c r="BD8726">
        <v>0</v>
      </c>
      <c r="BN8726" t="s">
        <v>74</v>
      </c>
    </row>
    <row r="8727" spans="1:66" hidden="1">
      <c r="A8727">
        <v>106425</v>
      </c>
      <c r="B8727" s="3" t="s">
        <v>766</v>
      </c>
      <c r="C8727" s="1">
        <v>43500101</v>
      </c>
      <c r="D8727" t="s">
        <v>113</v>
      </c>
      <c r="H8727" t="str">
        <f t="shared" si="904"/>
        <v>PCLMHL79P52A783Q</v>
      </c>
      <c r="I8727" t="str">
        <f t="shared" si="905"/>
        <v>01587790625</v>
      </c>
      <c r="K8727" t="str">
        <f>""</f>
        <v/>
      </c>
      <c r="M8727" t="s">
        <v>68</v>
      </c>
      <c r="N8727" t="str">
        <f t="shared" si="906"/>
        <v>ALTPRO</v>
      </c>
      <c r="O8727" t="s">
        <v>132</v>
      </c>
      <c r="P8727" s="3" t="s">
        <v>75</v>
      </c>
      <c r="Q8727">
        <v>2016</v>
      </c>
      <c r="R8727" s="2">
        <v>42438</v>
      </c>
      <c r="S8727" s="2">
        <v>42438</v>
      </c>
      <c r="T8727" s="2">
        <v>42438</v>
      </c>
      <c r="U8727" s="2">
        <v>42498</v>
      </c>
      <c r="V8727" t="s">
        <v>71</v>
      </c>
      <c r="W8727" t="str">
        <f>"         FATTPA 4_16"</f>
        <v xml:space="preserve">         FATTPA 4_16</v>
      </c>
      <c r="X8727">
        <v>844.89</v>
      </c>
      <c r="Y8727">
        <v>0</v>
      </c>
      <c r="Z8727"/>
      <c r="AB8727"/>
      <c r="AC8727">
        <v>844.89</v>
      </c>
      <c r="AD8727">
        <v>-47</v>
      </c>
      <c r="AE8727" s="1">
        <v>-39709.83</v>
      </c>
      <c r="AF8727">
        <v>0</v>
      </c>
      <c r="AJ8727">
        <v>0</v>
      </c>
      <c r="AK8727">
        <v>0</v>
      </c>
      <c r="AL8727">
        <v>0</v>
      </c>
      <c r="AM8727">
        <v>844.89</v>
      </c>
      <c r="AN8727">
        <v>844.89</v>
      </c>
      <c r="AO8727">
        <v>844.89</v>
      </c>
      <c r="AP8727" s="2">
        <v>42746</v>
      </c>
      <c r="AQ8727" t="s">
        <v>72</v>
      </c>
      <c r="AR8727" t="s">
        <v>72</v>
      </c>
      <c r="AS8727">
        <v>704</v>
      </c>
      <c r="AT8727" s="4">
        <v>42451</v>
      </c>
      <c r="AV8727">
        <v>704</v>
      </c>
      <c r="AW8727" s="4">
        <v>42451</v>
      </c>
      <c r="BD8727">
        <v>0</v>
      </c>
      <c r="BN8727" t="s">
        <v>74</v>
      </c>
    </row>
    <row r="8728" spans="1:66" hidden="1">
      <c r="A8728">
        <v>106425</v>
      </c>
      <c r="B8728" s="3" t="s">
        <v>766</v>
      </c>
      <c r="C8728" s="1">
        <v>43500101</v>
      </c>
      <c r="D8728" t="s">
        <v>113</v>
      </c>
      <c r="H8728" t="str">
        <f t="shared" si="904"/>
        <v>PCLMHL79P52A783Q</v>
      </c>
      <c r="I8728" t="str">
        <f t="shared" si="905"/>
        <v>01587790625</v>
      </c>
      <c r="K8728" t="str">
        <f>""</f>
        <v/>
      </c>
      <c r="M8728" t="s">
        <v>68</v>
      </c>
      <c r="N8728" t="str">
        <f t="shared" si="906"/>
        <v>ALTPRO</v>
      </c>
      <c r="O8728" t="s">
        <v>132</v>
      </c>
      <c r="P8728" s="3" t="s">
        <v>75</v>
      </c>
      <c r="Q8728">
        <v>2016</v>
      </c>
      <c r="R8728" s="2">
        <v>42471</v>
      </c>
      <c r="S8728" s="2">
        <v>42472</v>
      </c>
      <c r="T8728" s="2">
        <v>42471</v>
      </c>
      <c r="U8728" s="2">
        <v>42531</v>
      </c>
      <c r="V8728" t="s">
        <v>71</v>
      </c>
      <c r="W8728" t="str">
        <f>"         FATTPA 5_16"</f>
        <v xml:space="preserve">         FATTPA 5_16</v>
      </c>
      <c r="X8728">
        <v>774.65</v>
      </c>
      <c r="Y8728">
        <v>0</v>
      </c>
      <c r="Z8728"/>
      <c r="AB8728"/>
      <c r="AC8728">
        <v>774.65</v>
      </c>
      <c r="AD8728">
        <v>-44</v>
      </c>
      <c r="AE8728" s="1">
        <v>-34084.6</v>
      </c>
      <c r="AF8728">
        <v>0</v>
      </c>
      <c r="AJ8728">
        <v>0</v>
      </c>
      <c r="AK8728">
        <v>0</v>
      </c>
      <c r="AL8728">
        <v>0</v>
      </c>
      <c r="AM8728">
        <v>774.65</v>
      </c>
      <c r="AN8728">
        <v>774.65</v>
      </c>
      <c r="AO8728">
        <v>774.65</v>
      </c>
      <c r="AP8728" s="2">
        <v>42746</v>
      </c>
      <c r="AQ8728" t="s">
        <v>72</v>
      </c>
      <c r="AR8728" t="s">
        <v>72</v>
      </c>
      <c r="AS8728">
        <v>1127</v>
      </c>
      <c r="AT8728" s="4">
        <v>42487</v>
      </c>
      <c r="AV8728">
        <v>1127</v>
      </c>
      <c r="AW8728" s="4">
        <v>42487</v>
      </c>
      <c r="BD8728">
        <v>0</v>
      </c>
      <c r="BN8728" t="s">
        <v>74</v>
      </c>
    </row>
    <row r="8729" spans="1:66" hidden="1">
      <c r="A8729">
        <v>106425</v>
      </c>
      <c r="B8729" s="3" t="s">
        <v>766</v>
      </c>
      <c r="C8729" s="1">
        <v>43500101</v>
      </c>
      <c r="D8729" t="s">
        <v>113</v>
      </c>
      <c r="H8729" t="str">
        <f t="shared" si="904"/>
        <v>PCLMHL79P52A783Q</v>
      </c>
      <c r="I8729" t="str">
        <f t="shared" si="905"/>
        <v>01587790625</v>
      </c>
      <c r="K8729" t="str">
        <f>""</f>
        <v/>
      </c>
      <c r="M8729" t="s">
        <v>68</v>
      </c>
      <c r="N8729" t="str">
        <f t="shared" si="906"/>
        <v>ALTPRO</v>
      </c>
      <c r="O8729" t="s">
        <v>132</v>
      </c>
      <c r="P8729" s="3" t="s">
        <v>75</v>
      </c>
      <c r="Q8729">
        <v>2016</v>
      </c>
      <c r="R8729" s="2">
        <v>42495</v>
      </c>
      <c r="S8729" s="2">
        <v>42495</v>
      </c>
      <c r="T8729" s="2">
        <v>42495</v>
      </c>
      <c r="U8729" s="2">
        <v>42555</v>
      </c>
      <c r="V8729" t="s">
        <v>71</v>
      </c>
      <c r="W8729" t="str">
        <f>"         FATTPA 6_16"</f>
        <v xml:space="preserve">         FATTPA 6_16</v>
      </c>
      <c r="X8729">
        <v>704.41</v>
      </c>
      <c r="Y8729">
        <v>0</v>
      </c>
      <c r="Z8729"/>
      <c r="AB8729"/>
      <c r="AC8729">
        <v>704.41</v>
      </c>
      <c r="AD8729">
        <v>-35</v>
      </c>
      <c r="AE8729" s="1">
        <v>-24654.35</v>
      </c>
      <c r="AF8729">
        <v>0</v>
      </c>
      <c r="AJ8729">
        <v>0</v>
      </c>
      <c r="AK8729">
        <v>0</v>
      </c>
      <c r="AL8729">
        <v>0</v>
      </c>
      <c r="AM8729">
        <v>704.41</v>
      </c>
      <c r="AN8729">
        <v>704.41</v>
      </c>
      <c r="AO8729">
        <v>704.41</v>
      </c>
      <c r="AP8729" s="2">
        <v>42746</v>
      </c>
      <c r="AQ8729" t="s">
        <v>72</v>
      </c>
      <c r="AR8729" t="s">
        <v>72</v>
      </c>
      <c r="AS8729">
        <v>1402</v>
      </c>
      <c r="AT8729" s="4">
        <v>42520</v>
      </c>
      <c r="AV8729">
        <v>1402</v>
      </c>
      <c r="AW8729" s="4">
        <v>42520</v>
      </c>
      <c r="BD8729">
        <v>0</v>
      </c>
      <c r="BN8729" t="s">
        <v>74</v>
      </c>
    </row>
    <row r="8730" spans="1:66" hidden="1">
      <c r="A8730">
        <v>106425</v>
      </c>
      <c r="B8730" s="3" t="s">
        <v>766</v>
      </c>
      <c r="C8730" s="1">
        <v>43500101</v>
      </c>
      <c r="D8730" t="s">
        <v>113</v>
      </c>
      <c r="H8730" t="str">
        <f t="shared" si="904"/>
        <v>PCLMHL79P52A783Q</v>
      </c>
      <c r="I8730" t="str">
        <f t="shared" si="905"/>
        <v>01587790625</v>
      </c>
      <c r="K8730" t="str">
        <f>""</f>
        <v/>
      </c>
      <c r="M8730" t="s">
        <v>68</v>
      </c>
      <c r="N8730" t="str">
        <f t="shared" si="906"/>
        <v>ALTPRO</v>
      </c>
      <c r="O8730" t="s">
        <v>132</v>
      </c>
      <c r="P8730" s="3" t="s">
        <v>75</v>
      </c>
      <c r="Q8730">
        <v>2016</v>
      </c>
      <c r="R8730" s="2">
        <v>42527</v>
      </c>
      <c r="S8730" s="2">
        <v>42527</v>
      </c>
      <c r="T8730" s="2">
        <v>42527</v>
      </c>
      <c r="U8730" s="2">
        <v>42587</v>
      </c>
      <c r="V8730" t="s">
        <v>71</v>
      </c>
      <c r="W8730" t="str">
        <f>"         FATTPA 7_16"</f>
        <v xml:space="preserve">         FATTPA 7_16</v>
      </c>
      <c r="X8730">
        <v>774.65</v>
      </c>
      <c r="Y8730">
        <v>0</v>
      </c>
      <c r="Z8730"/>
      <c r="AB8730"/>
      <c r="AC8730">
        <v>774.65</v>
      </c>
      <c r="AD8730">
        <v>-35</v>
      </c>
      <c r="AE8730" s="1">
        <v>-27112.75</v>
      </c>
      <c r="AF8730">
        <v>0</v>
      </c>
      <c r="AJ8730">
        <v>0</v>
      </c>
      <c r="AK8730">
        <v>0</v>
      </c>
      <c r="AL8730">
        <v>0</v>
      </c>
      <c r="AM8730">
        <v>774.65</v>
      </c>
      <c r="AN8730">
        <v>774.65</v>
      </c>
      <c r="AO8730">
        <v>774.65</v>
      </c>
      <c r="AP8730" s="2">
        <v>42746</v>
      </c>
      <c r="AQ8730" t="s">
        <v>72</v>
      </c>
      <c r="AR8730" t="s">
        <v>72</v>
      </c>
      <c r="AS8730">
        <v>1655</v>
      </c>
      <c r="AT8730" s="4">
        <v>42552</v>
      </c>
      <c r="AV8730">
        <v>1655</v>
      </c>
      <c r="AW8730" s="4">
        <v>42552</v>
      </c>
      <c r="BD8730">
        <v>0</v>
      </c>
      <c r="BN8730" t="s">
        <v>74</v>
      </c>
    </row>
    <row r="8731" spans="1:66" hidden="1">
      <c r="A8731">
        <v>106425</v>
      </c>
      <c r="B8731" s="3" t="s">
        <v>766</v>
      </c>
      <c r="C8731" s="1">
        <v>43500101</v>
      </c>
      <c r="D8731" t="s">
        <v>113</v>
      </c>
      <c r="H8731" t="str">
        <f t="shared" si="904"/>
        <v>PCLMHL79P52A783Q</v>
      </c>
      <c r="I8731" t="str">
        <f t="shared" si="905"/>
        <v>01587790625</v>
      </c>
      <c r="K8731" t="str">
        <f>""</f>
        <v/>
      </c>
      <c r="M8731" t="s">
        <v>68</v>
      </c>
      <c r="N8731" t="str">
        <f t="shared" si="906"/>
        <v>ALTPRO</v>
      </c>
      <c r="O8731" t="s">
        <v>132</v>
      </c>
      <c r="P8731" s="3" t="s">
        <v>75</v>
      </c>
      <c r="Q8731">
        <v>2016</v>
      </c>
      <c r="R8731" s="2">
        <v>42562</v>
      </c>
      <c r="S8731" s="2">
        <v>42562</v>
      </c>
      <c r="T8731" s="2">
        <v>42562</v>
      </c>
      <c r="U8731" s="2">
        <v>42622</v>
      </c>
      <c r="V8731" t="s">
        <v>71</v>
      </c>
      <c r="W8731" t="str">
        <f>"         FATTPA 8_16"</f>
        <v xml:space="preserve">         FATTPA 8_16</v>
      </c>
      <c r="X8731">
        <v>739.53</v>
      </c>
      <c r="Y8731">
        <v>0</v>
      </c>
      <c r="Z8731"/>
      <c r="AB8731"/>
      <c r="AC8731">
        <v>739.53</v>
      </c>
      <c r="AD8731">
        <v>-56</v>
      </c>
      <c r="AE8731" s="1">
        <v>-41413.68</v>
      </c>
      <c r="AF8731">
        <v>0</v>
      </c>
      <c r="AJ8731">
        <v>0</v>
      </c>
      <c r="AK8731">
        <v>0</v>
      </c>
      <c r="AL8731">
        <v>0</v>
      </c>
      <c r="AM8731">
        <v>739.53</v>
      </c>
      <c r="AN8731">
        <v>739.53</v>
      </c>
      <c r="AO8731">
        <v>739.53</v>
      </c>
      <c r="AP8731" s="2">
        <v>42746</v>
      </c>
      <c r="AQ8731" t="s">
        <v>72</v>
      </c>
      <c r="AR8731" t="s">
        <v>72</v>
      </c>
      <c r="AS8731">
        <v>1802</v>
      </c>
      <c r="AT8731" s="4">
        <v>42566</v>
      </c>
      <c r="AV8731">
        <v>1802</v>
      </c>
      <c r="AW8731" s="4">
        <v>42566</v>
      </c>
      <c r="BD8731">
        <v>0</v>
      </c>
      <c r="BN8731" t="s">
        <v>74</v>
      </c>
    </row>
    <row r="8732" spans="1:66" hidden="1">
      <c r="A8732">
        <v>106425</v>
      </c>
      <c r="B8732" s="3" t="s">
        <v>766</v>
      </c>
      <c r="C8732" s="1">
        <v>43500101</v>
      </c>
      <c r="D8732" t="s">
        <v>113</v>
      </c>
      <c r="H8732" t="str">
        <f t="shared" si="904"/>
        <v>PCLMHL79P52A783Q</v>
      </c>
      <c r="I8732" t="str">
        <f t="shared" si="905"/>
        <v>01587790625</v>
      </c>
      <c r="K8732" t="str">
        <f>""</f>
        <v/>
      </c>
      <c r="M8732" t="s">
        <v>68</v>
      </c>
      <c r="N8732" t="str">
        <f t="shared" si="906"/>
        <v>ALTPRO</v>
      </c>
      <c r="O8732" t="s">
        <v>132</v>
      </c>
      <c r="P8732" s="3" t="s">
        <v>75</v>
      </c>
      <c r="Q8732">
        <v>2016</v>
      </c>
      <c r="R8732" s="2">
        <v>42583</v>
      </c>
      <c r="S8732" s="2">
        <v>42584</v>
      </c>
      <c r="T8732" s="2">
        <v>42583</v>
      </c>
      <c r="U8732" s="2">
        <v>42643</v>
      </c>
      <c r="V8732" t="s">
        <v>71</v>
      </c>
      <c r="W8732" t="str">
        <f>"         FATTPA 9_16"</f>
        <v xml:space="preserve">         FATTPA 9_16</v>
      </c>
      <c r="X8732">
        <v>739.53</v>
      </c>
      <c r="Y8732">
        <v>0</v>
      </c>
      <c r="Z8732"/>
      <c r="AB8732"/>
      <c r="AC8732">
        <v>739.53</v>
      </c>
      <c r="AD8732">
        <v>-25</v>
      </c>
      <c r="AE8732" s="1">
        <v>-18488.25</v>
      </c>
      <c r="AF8732">
        <v>0</v>
      </c>
      <c r="AJ8732">
        <v>0</v>
      </c>
      <c r="AK8732">
        <v>0</v>
      </c>
      <c r="AL8732">
        <v>0</v>
      </c>
      <c r="AM8732">
        <v>739.53</v>
      </c>
      <c r="AN8732">
        <v>739.53</v>
      </c>
      <c r="AO8732">
        <v>739.53</v>
      </c>
      <c r="AP8732" s="2">
        <v>42746</v>
      </c>
      <c r="AQ8732" t="s">
        <v>72</v>
      </c>
      <c r="AR8732" t="s">
        <v>72</v>
      </c>
      <c r="AS8732">
        <v>2255</v>
      </c>
      <c r="AT8732" s="4">
        <v>42618</v>
      </c>
      <c r="AV8732">
        <v>2255</v>
      </c>
      <c r="AW8732" s="4">
        <v>42618</v>
      </c>
      <c r="BD8732">
        <v>0</v>
      </c>
      <c r="BN8732" t="s">
        <v>74</v>
      </c>
    </row>
    <row r="8733" spans="1:66">
      <c r="A8733">
        <v>106425</v>
      </c>
      <c r="B8733" s="3" t="s">
        <v>766</v>
      </c>
      <c r="C8733" s="1">
        <v>43500101</v>
      </c>
      <c r="D8733" t="s">
        <v>113</v>
      </c>
      <c r="H8733" t="str">
        <f t="shared" si="904"/>
        <v>PCLMHL79P52A783Q</v>
      </c>
      <c r="I8733" t="str">
        <f t="shared" si="905"/>
        <v>01587790625</v>
      </c>
      <c r="K8733" t="str">
        <f>""</f>
        <v/>
      </c>
      <c r="M8733" t="s">
        <v>68</v>
      </c>
      <c r="N8733" t="str">
        <f t="shared" si="906"/>
        <v>ALTPRO</v>
      </c>
      <c r="O8733" t="s">
        <v>132</v>
      </c>
      <c r="P8733" s="3" t="s">
        <v>75</v>
      </c>
      <c r="Q8733">
        <v>2016</v>
      </c>
      <c r="R8733" s="2">
        <v>42621</v>
      </c>
      <c r="S8733" s="2">
        <v>42625</v>
      </c>
      <c r="T8733" s="2">
        <v>42621</v>
      </c>
      <c r="U8733" s="2">
        <v>42681</v>
      </c>
      <c r="V8733" t="s">
        <v>71</v>
      </c>
      <c r="W8733" t="str">
        <f>"        FATTPA 10_16"</f>
        <v xml:space="preserve">        FATTPA 10_16</v>
      </c>
      <c r="X8733">
        <v>737.53</v>
      </c>
      <c r="Y8733">
        <v>0</v>
      </c>
      <c r="Z8733" s="3">
        <v>737.53</v>
      </c>
      <c r="AA8733">
        <v>-35</v>
      </c>
      <c r="AB8733" s="5">
        <v>-25813.55</v>
      </c>
      <c r="AC8733">
        <v>737.53</v>
      </c>
      <c r="AD8733">
        <v>-35</v>
      </c>
      <c r="AE8733" s="1">
        <v>-25813.55</v>
      </c>
      <c r="AF8733">
        <v>0</v>
      </c>
      <c r="AJ8733">
        <v>0</v>
      </c>
      <c r="AK8733">
        <v>0</v>
      </c>
      <c r="AL8733">
        <v>0</v>
      </c>
      <c r="AM8733">
        <v>737.53</v>
      </c>
      <c r="AN8733">
        <v>737.53</v>
      </c>
      <c r="AO8733">
        <v>737.53</v>
      </c>
      <c r="AP8733" s="2">
        <v>42746</v>
      </c>
      <c r="AQ8733" t="s">
        <v>72</v>
      </c>
      <c r="AR8733" t="s">
        <v>72</v>
      </c>
      <c r="AS8733">
        <v>2538</v>
      </c>
      <c r="AT8733" s="4">
        <v>42646</v>
      </c>
      <c r="AV8733">
        <v>2538</v>
      </c>
      <c r="AW8733" s="4">
        <v>42646</v>
      </c>
      <c r="BD8733">
        <v>0</v>
      </c>
      <c r="BN8733" t="s">
        <v>74</v>
      </c>
    </row>
    <row r="8734" spans="1:66">
      <c r="A8734">
        <v>106425</v>
      </c>
      <c r="B8734" s="3" t="s">
        <v>766</v>
      </c>
      <c r="C8734" s="1">
        <v>43500101</v>
      </c>
      <c r="D8734" t="s">
        <v>113</v>
      </c>
      <c r="H8734" t="str">
        <f t="shared" si="904"/>
        <v>PCLMHL79P52A783Q</v>
      </c>
      <c r="I8734" t="str">
        <f t="shared" si="905"/>
        <v>01587790625</v>
      </c>
      <c r="K8734" t="str">
        <f>""</f>
        <v/>
      </c>
      <c r="M8734" t="s">
        <v>68</v>
      </c>
      <c r="N8734" t="str">
        <f t="shared" si="906"/>
        <v>ALTPRO</v>
      </c>
      <c r="O8734" t="s">
        <v>132</v>
      </c>
      <c r="P8734" s="3" t="s">
        <v>75</v>
      </c>
      <c r="Q8734">
        <v>2016</v>
      </c>
      <c r="R8734" s="2">
        <v>42648</v>
      </c>
      <c r="S8734" s="2">
        <v>42655</v>
      </c>
      <c r="T8734" s="2">
        <v>42649</v>
      </c>
      <c r="U8734" s="2">
        <v>42709</v>
      </c>
      <c r="V8734" t="s">
        <v>71</v>
      </c>
      <c r="W8734" t="str">
        <f>"        FATTPA 11_16"</f>
        <v xml:space="preserve">        FATTPA 11_16</v>
      </c>
      <c r="X8734">
        <v>772.65</v>
      </c>
      <c r="Y8734">
        <v>0</v>
      </c>
      <c r="Z8734" s="3">
        <v>772.65</v>
      </c>
      <c r="AA8734">
        <v>-40</v>
      </c>
      <c r="AB8734" s="5">
        <v>-30906</v>
      </c>
      <c r="AC8734">
        <v>772.65</v>
      </c>
      <c r="AD8734">
        <v>-40</v>
      </c>
      <c r="AE8734" s="1">
        <v>-30906</v>
      </c>
      <c r="AF8734">
        <v>0</v>
      </c>
      <c r="AJ8734">
        <v>0</v>
      </c>
      <c r="AK8734">
        <v>772.65</v>
      </c>
      <c r="AL8734">
        <v>772.65</v>
      </c>
      <c r="AM8734">
        <v>772.65</v>
      </c>
      <c r="AN8734">
        <v>772.65</v>
      </c>
      <c r="AO8734">
        <v>772.65</v>
      </c>
      <c r="AP8734" s="2">
        <v>42746</v>
      </c>
      <c r="AQ8734" t="s">
        <v>72</v>
      </c>
      <c r="AR8734" t="s">
        <v>72</v>
      </c>
      <c r="AS8734">
        <v>2889</v>
      </c>
      <c r="AT8734" s="4">
        <v>42669</v>
      </c>
      <c r="AV8734">
        <v>2889</v>
      </c>
      <c r="AW8734" s="4">
        <v>42669</v>
      </c>
      <c r="BD8734">
        <v>0</v>
      </c>
      <c r="BN8734" t="s">
        <v>74</v>
      </c>
    </row>
    <row r="8735" spans="1:66">
      <c r="A8735">
        <v>106425</v>
      </c>
      <c r="B8735" s="3" t="s">
        <v>766</v>
      </c>
      <c r="C8735" s="1">
        <v>43500101</v>
      </c>
      <c r="D8735" t="s">
        <v>113</v>
      </c>
      <c r="H8735" t="str">
        <f t="shared" si="904"/>
        <v>PCLMHL79P52A783Q</v>
      </c>
      <c r="I8735" t="str">
        <f t="shared" si="905"/>
        <v>01587790625</v>
      </c>
      <c r="K8735" t="str">
        <f>""</f>
        <v/>
      </c>
      <c r="M8735" t="s">
        <v>68</v>
      </c>
      <c r="N8735" t="str">
        <f t="shared" si="906"/>
        <v>ALTPRO</v>
      </c>
      <c r="O8735" t="s">
        <v>132</v>
      </c>
      <c r="P8735" s="3" t="s">
        <v>75</v>
      </c>
      <c r="Q8735">
        <v>2016</v>
      </c>
      <c r="R8735" s="2">
        <v>42676</v>
      </c>
      <c r="S8735" s="2">
        <v>42677</v>
      </c>
      <c r="T8735" s="2">
        <v>42676</v>
      </c>
      <c r="U8735" s="2">
        <v>42736</v>
      </c>
      <c r="V8735" t="s">
        <v>71</v>
      </c>
      <c r="W8735" t="str">
        <f>"        FATTPA 12_16"</f>
        <v xml:space="preserve">        FATTPA 12_16</v>
      </c>
      <c r="X8735">
        <v>737.53</v>
      </c>
      <c r="Y8735">
        <v>0</v>
      </c>
      <c r="Z8735" s="3">
        <v>737.53</v>
      </c>
      <c r="AA8735">
        <v>-53</v>
      </c>
      <c r="AB8735" s="5">
        <v>-39089.089999999997</v>
      </c>
      <c r="AC8735">
        <v>737.53</v>
      </c>
      <c r="AD8735">
        <v>-53</v>
      </c>
      <c r="AE8735" s="1">
        <v>-39089.089999999997</v>
      </c>
      <c r="AF8735">
        <v>0</v>
      </c>
      <c r="AJ8735">
        <v>737.53</v>
      </c>
      <c r="AK8735">
        <v>737.53</v>
      </c>
      <c r="AL8735">
        <v>737.53</v>
      </c>
      <c r="AM8735">
        <v>737.53</v>
      </c>
      <c r="AN8735">
        <v>737.53</v>
      </c>
      <c r="AO8735">
        <v>737.53</v>
      </c>
      <c r="AP8735" s="2">
        <v>42746</v>
      </c>
      <c r="AQ8735" t="s">
        <v>72</v>
      </c>
      <c r="AR8735" t="s">
        <v>72</v>
      </c>
      <c r="AS8735">
        <v>3034</v>
      </c>
      <c r="AT8735" s="4">
        <v>42683</v>
      </c>
      <c r="AV8735">
        <v>3034</v>
      </c>
      <c r="AW8735" s="4">
        <v>42683</v>
      </c>
      <c r="BD8735">
        <v>0</v>
      </c>
      <c r="BN8735" t="s">
        <v>74</v>
      </c>
    </row>
    <row r="8736" spans="1:66">
      <c r="A8736">
        <v>106425</v>
      </c>
      <c r="B8736" s="3" t="s">
        <v>766</v>
      </c>
      <c r="C8736" s="1">
        <v>43500101</v>
      </c>
      <c r="D8736" t="s">
        <v>113</v>
      </c>
      <c r="H8736" t="str">
        <f t="shared" si="904"/>
        <v>PCLMHL79P52A783Q</v>
      </c>
      <c r="I8736" t="str">
        <f t="shared" si="905"/>
        <v>01587790625</v>
      </c>
      <c r="K8736" t="str">
        <f>""</f>
        <v/>
      </c>
      <c r="M8736" t="s">
        <v>68</v>
      </c>
      <c r="N8736" t="str">
        <f t="shared" si="906"/>
        <v>ALTPRO</v>
      </c>
      <c r="O8736" t="s">
        <v>132</v>
      </c>
      <c r="P8736" s="3" t="s">
        <v>75</v>
      </c>
      <c r="Q8736">
        <v>2016</v>
      </c>
      <c r="R8736" s="2">
        <v>42710</v>
      </c>
      <c r="S8736" s="2">
        <v>42711</v>
      </c>
      <c r="T8736" s="2">
        <v>42711</v>
      </c>
      <c r="U8736" s="2">
        <v>42771</v>
      </c>
      <c r="V8736" t="s">
        <v>71</v>
      </c>
      <c r="W8736" t="str">
        <f>"        FATTPA 13_16"</f>
        <v xml:space="preserve">        FATTPA 13_16</v>
      </c>
      <c r="X8736">
        <v>737.53</v>
      </c>
      <c r="Y8736">
        <v>0</v>
      </c>
      <c r="Z8736" s="3">
        <v>737.53</v>
      </c>
      <c r="AA8736">
        <v>-51</v>
      </c>
      <c r="AB8736" s="5">
        <v>-37614.03</v>
      </c>
      <c r="AC8736">
        <v>737.53</v>
      </c>
      <c r="AD8736">
        <v>-51</v>
      </c>
      <c r="AE8736" s="1">
        <v>-37614.03</v>
      </c>
      <c r="AF8736">
        <v>0</v>
      </c>
      <c r="AJ8736">
        <v>737.53</v>
      </c>
      <c r="AK8736">
        <v>737.53</v>
      </c>
      <c r="AL8736">
        <v>737.53</v>
      </c>
      <c r="AM8736">
        <v>737.53</v>
      </c>
      <c r="AN8736">
        <v>737.53</v>
      </c>
      <c r="AO8736">
        <v>737.53</v>
      </c>
      <c r="AP8736" s="2">
        <v>42746</v>
      </c>
      <c r="AQ8736" t="s">
        <v>72</v>
      </c>
      <c r="AR8736" t="s">
        <v>72</v>
      </c>
      <c r="AS8736">
        <v>3541</v>
      </c>
      <c r="AT8736" s="4">
        <v>42720</v>
      </c>
      <c r="AV8736">
        <v>3541</v>
      </c>
      <c r="AW8736" s="4">
        <v>42720</v>
      </c>
      <c r="BD8736">
        <v>0</v>
      </c>
      <c r="BN8736" t="s">
        <v>74</v>
      </c>
    </row>
    <row r="8737" spans="1:66" hidden="1">
      <c r="A8737">
        <v>106426</v>
      </c>
      <c r="B8737" s="3" t="s">
        <v>767</v>
      </c>
      <c r="C8737" s="1">
        <v>43500101</v>
      </c>
      <c r="D8737" t="s">
        <v>113</v>
      </c>
      <c r="H8737" t="str">
        <f>"SLRFRN90E49A783O"</f>
        <v>SLRFRN90E49A783O</v>
      </c>
      <c r="I8737" t="str">
        <f>"01580990628"</f>
        <v>01580990628</v>
      </c>
      <c r="K8737" t="str">
        <f>""</f>
        <v/>
      </c>
      <c r="M8737" t="s">
        <v>68</v>
      </c>
      <c r="N8737" t="str">
        <f t="shared" si="906"/>
        <v>ALTPRO</v>
      </c>
      <c r="O8737" t="s">
        <v>132</v>
      </c>
      <c r="P8737" s="3" t="s">
        <v>75</v>
      </c>
      <c r="Q8737">
        <v>2016</v>
      </c>
      <c r="R8737" s="2">
        <v>42422</v>
      </c>
      <c r="S8737" s="2">
        <v>42436</v>
      </c>
      <c r="T8737" s="2">
        <v>42436</v>
      </c>
      <c r="U8737" s="2">
        <v>42496</v>
      </c>
      <c r="V8737" t="s">
        <v>71</v>
      </c>
      <c r="W8737" t="str">
        <f>"                1/PA"</f>
        <v xml:space="preserve">                1/PA</v>
      </c>
      <c r="X8737" s="1">
        <v>2500</v>
      </c>
      <c r="Y8737">
        <v>0</v>
      </c>
      <c r="Z8737"/>
      <c r="AB8737"/>
      <c r="AC8737" s="1">
        <v>2500</v>
      </c>
      <c r="AD8737">
        <v>-45</v>
      </c>
      <c r="AE8737" s="1">
        <v>-112500</v>
      </c>
      <c r="AF8737">
        <v>0</v>
      </c>
      <c r="AJ8737">
        <v>0</v>
      </c>
      <c r="AK8737">
        <v>0</v>
      </c>
      <c r="AL8737">
        <v>0</v>
      </c>
      <c r="AM8737" s="1">
        <v>2500</v>
      </c>
      <c r="AN8737" s="1">
        <v>2500</v>
      </c>
      <c r="AO8737" s="1">
        <v>2500</v>
      </c>
      <c r="AP8737" s="2">
        <v>42746</v>
      </c>
      <c r="AQ8737" t="s">
        <v>72</v>
      </c>
      <c r="AR8737" t="s">
        <v>72</v>
      </c>
      <c r="AS8737">
        <v>707</v>
      </c>
      <c r="AT8737" s="4">
        <v>42451</v>
      </c>
      <c r="AV8737">
        <v>707</v>
      </c>
      <c r="AW8737" s="4">
        <v>42451</v>
      </c>
      <c r="BD8737">
        <v>0</v>
      </c>
      <c r="BN8737" t="s">
        <v>74</v>
      </c>
    </row>
    <row r="8738" spans="1:66" hidden="1">
      <c r="A8738">
        <v>106432</v>
      </c>
      <c r="B8738" s="3" t="s">
        <v>768</v>
      </c>
      <c r="C8738" s="1">
        <v>43300101</v>
      </c>
      <c r="D8738" t="s">
        <v>67</v>
      </c>
      <c r="H8738" t="str">
        <f>"01494290628"</f>
        <v>01494290628</v>
      </c>
      <c r="I8738" t="str">
        <f>"01494290628"</f>
        <v>01494290628</v>
      </c>
      <c r="K8738" t="str">
        <f>""</f>
        <v/>
      </c>
      <c r="M8738" t="s">
        <v>68</v>
      </c>
      <c r="N8738" t="str">
        <f t="shared" ref="N8738:N8744" si="907">"FOR"</f>
        <v>FOR</v>
      </c>
      <c r="O8738" t="s">
        <v>69</v>
      </c>
      <c r="P8738" s="3" t="s">
        <v>75</v>
      </c>
      <c r="Q8738">
        <v>2015</v>
      </c>
      <c r="R8738" s="2">
        <v>42124</v>
      </c>
      <c r="S8738" s="2">
        <v>42334</v>
      </c>
      <c r="T8738" s="2">
        <v>42334</v>
      </c>
      <c r="U8738" s="2">
        <v>42394</v>
      </c>
      <c r="V8738" t="s">
        <v>71</v>
      </c>
      <c r="W8738" t="str">
        <f>"                9/PA"</f>
        <v xml:space="preserve">                9/PA</v>
      </c>
      <c r="X8738">
        <v>456.28</v>
      </c>
      <c r="Y8738">
        <v>0</v>
      </c>
      <c r="Z8738"/>
      <c r="AB8738"/>
      <c r="AC8738">
        <v>374</v>
      </c>
      <c r="AD8738">
        <v>10</v>
      </c>
      <c r="AE8738" s="1">
        <v>3740</v>
      </c>
      <c r="AF8738">
        <v>0</v>
      </c>
      <c r="AJ8738">
        <v>0</v>
      </c>
      <c r="AK8738">
        <v>0</v>
      </c>
      <c r="AL8738">
        <v>0</v>
      </c>
      <c r="AM8738">
        <v>0</v>
      </c>
      <c r="AN8738">
        <v>0</v>
      </c>
      <c r="AO8738">
        <v>0</v>
      </c>
      <c r="AP8738" s="2">
        <v>42746</v>
      </c>
      <c r="AQ8738" t="s">
        <v>72</v>
      </c>
      <c r="AR8738" t="s">
        <v>72</v>
      </c>
      <c r="AS8738">
        <v>274</v>
      </c>
      <c r="AT8738" s="4">
        <v>42404</v>
      </c>
      <c r="AU8738" t="s">
        <v>73</v>
      </c>
      <c r="AV8738">
        <v>274</v>
      </c>
      <c r="AW8738" s="4">
        <v>42404</v>
      </c>
      <c r="BD8738">
        <v>0</v>
      </c>
      <c r="BN8738" t="s">
        <v>74</v>
      </c>
    </row>
    <row r="8739" spans="1:66" hidden="1">
      <c r="A8739">
        <v>106432</v>
      </c>
      <c r="B8739" s="3" t="s">
        <v>768</v>
      </c>
      <c r="C8739" s="1">
        <v>43300101</v>
      </c>
      <c r="D8739" t="s">
        <v>67</v>
      </c>
      <c r="H8739" t="str">
        <f>"01494290628"</f>
        <v>01494290628</v>
      </c>
      <c r="I8739" t="str">
        <f>"01494290628"</f>
        <v>01494290628</v>
      </c>
      <c r="K8739" t="str">
        <f>""</f>
        <v/>
      </c>
      <c r="M8739" t="s">
        <v>68</v>
      </c>
      <c r="N8739" t="str">
        <f t="shared" si="907"/>
        <v>FOR</v>
      </c>
      <c r="O8739" t="s">
        <v>69</v>
      </c>
      <c r="P8739" s="3" t="s">
        <v>75</v>
      </c>
      <c r="Q8739">
        <v>2015</v>
      </c>
      <c r="R8739" s="2">
        <v>42223</v>
      </c>
      <c r="S8739" s="2">
        <v>42313</v>
      </c>
      <c r="T8739" s="2">
        <v>42313</v>
      </c>
      <c r="U8739" s="2">
        <v>42373</v>
      </c>
      <c r="V8739" t="s">
        <v>71</v>
      </c>
      <c r="W8739" t="str">
        <f>"               13/PA"</f>
        <v xml:space="preserve">               13/PA</v>
      </c>
      <c r="X8739">
        <v>971.12</v>
      </c>
      <c r="Y8739">
        <v>0</v>
      </c>
      <c r="Z8739"/>
      <c r="AB8739"/>
      <c r="AC8739">
        <v>796</v>
      </c>
      <c r="AD8739">
        <v>31</v>
      </c>
      <c r="AE8739" s="1">
        <v>24676</v>
      </c>
      <c r="AF8739">
        <v>0</v>
      </c>
      <c r="AJ8739">
        <v>0</v>
      </c>
      <c r="AK8739">
        <v>0</v>
      </c>
      <c r="AL8739">
        <v>0</v>
      </c>
      <c r="AM8739">
        <v>0</v>
      </c>
      <c r="AN8739">
        <v>0</v>
      </c>
      <c r="AO8739">
        <v>0</v>
      </c>
      <c r="AP8739" s="2">
        <v>42746</v>
      </c>
      <c r="AQ8739" t="s">
        <v>72</v>
      </c>
      <c r="AR8739" t="s">
        <v>72</v>
      </c>
      <c r="AS8739">
        <v>274</v>
      </c>
      <c r="AT8739" s="4">
        <v>42404</v>
      </c>
      <c r="AU8739" t="s">
        <v>73</v>
      </c>
      <c r="AV8739">
        <v>274</v>
      </c>
      <c r="AW8739" s="4">
        <v>42404</v>
      </c>
      <c r="BD8739">
        <v>0</v>
      </c>
      <c r="BN8739" t="s">
        <v>74</v>
      </c>
    </row>
    <row r="8740" spans="1:66" hidden="1">
      <c r="A8740">
        <v>106440</v>
      </c>
      <c r="B8740" s="3" t="s">
        <v>769</v>
      </c>
      <c r="C8740" s="1">
        <v>43300101</v>
      </c>
      <c r="D8740" t="s">
        <v>67</v>
      </c>
      <c r="H8740" t="str">
        <f t="shared" ref="H8740:I8743" si="908">"06912570964"</f>
        <v>06912570964</v>
      </c>
      <c r="I8740" t="str">
        <f t="shared" si="908"/>
        <v>06912570964</v>
      </c>
      <c r="K8740" t="str">
        <f>""</f>
        <v/>
      </c>
      <c r="M8740" t="s">
        <v>68</v>
      </c>
      <c r="N8740" t="str">
        <f t="shared" si="907"/>
        <v>FOR</v>
      </c>
      <c r="O8740" t="s">
        <v>69</v>
      </c>
      <c r="P8740" s="3" t="s">
        <v>75</v>
      </c>
      <c r="Q8740">
        <v>2015</v>
      </c>
      <c r="R8740" s="2">
        <v>42349</v>
      </c>
      <c r="S8740" s="2">
        <v>42352</v>
      </c>
      <c r="T8740" s="2">
        <v>42349</v>
      </c>
      <c r="U8740" s="2">
        <v>42409</v>
      </c>
      <c r="V8740" t="s">
        <v>71</v>
      </c>
      <c r="W8740" t="str">
        <f>"            93434913"</f>
        <v xml:space="preserve">            93434913</v>
      </c>
      <c r="X8740">
        <v>732</v>
      </c>
      <c r="Y8740">
        <v>0</v>
      </c>
      <c r="Z8740"/>
      <c r="AB8740"/>
      <c r="AC8740">
        <v>600</v>
      </c>
      <c r="AD8740">
        <v>-6</v>
      </c>
      <c r="AE8740" s="1">
        <v>-3600</v>
      </c>
      <c r="AF8740">
        <v>132</v>
      </c>
      <c r="AJ8740">
        <v>0</v>
      </c>
      <c r="AK8740">
        <v>0</v>
      </c>
      <c r="AL8740">
        <v>0</v>
      </c>
      <c r="AM8740">
        <v>0</v>
      </c>
      <c r="AN8740">
        <v>0</v>
      </c>
      <c r="AO8740">
        <v>0</v>
      </c>
      <c r="AP8740" s="2">
        <v>42746</v>
      </c>
      <c r="AQ8740" t="s">
        <v>72</v>
      </c>
      <c r="AR8740" t="s">
        <v>72</v>
      </c>
      <c r="AS8740">
        <v>212</v>
      </c>
      <c r="AT8740" s="4">
        <v>42403</v>
      </c>
      <c r="AV8740">
        <v>212</v>
      </c>
      <c r="AW8740" s="4">
        <v>42403</v>
      </c>
      <c r="BD8740">
        <v>132</v>
      </c>
      <c r="BN8740" t="s">
        <v>74</v>
      </c>
    </row>
    <row r="8741" spans="1:66" hidden="1">
      <c r="A8741">
        <v>106440</v>
      </c>
      <c r="B8741" s="3" t="s">
        <v>769</v>
      </c>
      <c r="C8741" s="1">
        <v>43300101</v>
      </c>
      <c r="D8741" t="s">
        <v>67</v>
      </c>
      <c r="H8741" t="str">
        <f t="shared" si="908"/>
        <v>06912570964</v>
      </c>
      <c r="I8741" t="str">
        <f t="shared" si="908"/>
        <v>06912570964</v>
      </c>
      <c r="K8741" t="str">
        <f>""</f>
        <v/>
      </c>
      <c r="M8741" t="s">
        <v>68</v>
      </c>
      <c r="N8741" t="str">
        <f t="shared" si="907"/>
        <v>FOR</v>
      </c>
      <c r="O8741" t="s">
        <v>69</v>
      </c>
      <c r="P8741" s="3" t="s">
        <v>75</v>
      </c>
      <c r="Q8741">
        <v>2016</v>
      </c>
      <c r="R8741" s="2">
        <v>42411</v>
      </c>
      <c r="S8741" s="2">
        <v>42417</v>
      </c>
      <c r="T8741" s="2">
        <v>42411</v>
      </c>
      <c r="U8741" s="2">
        <v>42471</v>
      </c>
      <c r="V8741" t="s">
        <v>71</v>
      </c>
      <c r="W8741" t="str">
        <f>"            93532798"</f>
        <v xml:space="preserve">            93532798</v>
      </c>
      <c r="X8741" s="1">
        <v>1317.6</v>
      </c>
      <c r="Y8741">
        <v>0</v>
      </c>
      <c r="Z8741"/>
      <c r="AB8741"/>
      <c r="AC8741" s="1">
        <v>1080</v>
      </c>
      <c r="AD8741">
        <v>58</v>
      </c>
      <c r="AE8741" s="1">
        <v>62640</v>
      </c>
      <c r="AF8741">
        <v>0</v>
      </c>
      <c r="AJ8741">
        <v>0</v>
      </c>
      <c r="AK8741">
        <v>0</v>
      </c>
      <c r="AL8741">
        <v>0</v>
      </c>
      <c r="AM8741" s="1">
        <v>1317.6</v>
      </c>
      <c r="AN8741" s="1">
        <v>1317.6</v>
      </c>
      <c r="AO8741" s="1">
        <v>1317.6</v>
      </c>
      <c r="AP8741" s="2">
        <v>42746</v>
      </c>
      <c r="AQ8741" t="s">
        <v>72</v>
      </c>
      <c r="AR8741" t="s">
        <v>72</v>
      </c>
      <c r="AS8741">
        <v>1578</v>
      </c>
      <c r="AT8741" s="4">
        <v>42529</v>
      </c>
      <c r="AU8741" t="s">
        <v>73</v>
      </c>
      <c r="AV8741">
        <v>1578</v>
      </c>
      <c r="AW8741" s="4">
        <v>42529</v>
      </c>
      <c r="BD8741">
        <v>0</v>
      </c>
      <c r="BN8741" t="s">
        <v>74</v>
      </c>
    </row>
    <row r="8742" spans="1:66" hidden="1">
      <c r="A8742">
        <v>106440</v>
      </c>
      <c r="B8742" s="3" t="s">
        <v>769</v>
      </c>
      <c r="C8742" s="1">
        <v>43300101</v>
      </c>
      <c r="D8742" t="s">
        <v>67</v>
      </c>
      <c r="H8742" t="str">
        <f t="shared" si="908"/>
        <v>06912570964</v>
      </c>
      <c r="I8742" t="str">
        <f t="shared" si="908"/>
        <v>06912570964</v>
      </c>
      <c r="K8742" t="str">
        <f>""</f>
        <v/>
      </c>
      <c r="M8742" t="s">
        <v>68</v>
      </c>
      <c r="N8742" t="str">
        <f t="shared" si="907"/>
        <v>FOR</v>
      </c>
      <c r="O8742" t="s">
        <v>69</v>
      </c>
      <c r="P8742" s="3" t="s">
        <v>75</v>
      </c>
      <c r="Q8742">
        <v>2016</v>
      </c>
      <c r="R8742" s="2">
        <v>42411</v>
      </c>
      <c r="S8742" s="2">
        <v>42417</v>
      </c>
      <c r="T8742" s="2">
        <v>42412</v>
      </c>
      <c r="U8742" s="2">
        <v>42472</v>
      </c>
      <c r="V8742" t="s">
        <v>71</v>
      </c>
      <c r="W8742" t="str">
        <f>"            93533196"</f>
        <v xml:space="preserve">            93533196</v>
      </c>
      <c r="X8742" s="1">
        <v>7905.6</v>
      </c>
      <c r="Y8742">
        <v>0</v>
      </c>
      <c r="Z8742"/>
      <c r="AB8742"/>
      <c r="AC8742" s="1">
        <v>6480</v>
      </c>
      <c r="AD8742">
        <v>57</v>
      </c>
      <c r="AE8742" s="1">
        <v>369360</v>
      </c>
      <c r="AF8742">
        <v>0</v>
      </c>
      <c r="AJ8742">
        <v>0</v>
      </c>
      <c r="AK8742">
        <v>0</v>
      </c>
      <c r="AL8742">
        <v>0</v>
      </c>
      <c r="AM8742" s="1">
        <v>7905.6</v>
      </c>
      <c r="AN8742" s="1">
        <v>7905.6</v>
      </c>
      <c r="AO8742" s="1">
        <v>7905.6</v>
      </c>
      <c r="AP8742" s="2">
        <v>42746</v>
      </c>
      <c r="AQ8742" t="s">
        <v>72</v>
      </c>
      <c r="AR8742" t="s">
        <v>72</v>
      </c>
      <c r="AS8742">
        <v>1578</v>
      </c>
      <c r="AT8742" s="4">
        <v>42529</v>
      </c>
      <c r="AU8742" t="s">
        <v>73</v>
      </c>
      <c r="AV8742">
        <v>1578</v>
      </c>
      <c r="AW8742" s="4">
        <v>42529</v>
      </c>
      <c r="BD8742">
        <v>0</v>
      </c>
      <c r="BN8742" t="s">
        <v>74</v>
      </c>
    </row>
    <row r="8743" spans="1:66">
      <c r="A8743">
        <v>106440</v>
      </c>
      <c r="B8743" s="3" t="s">
        <v>769</v>
      </c>
      <c r="C8743" s="1">
        <v>43300101</v>
      </c>
      <c r="D8743" t="s">
        <v>67</v>
      </c>
      <c r="H8743" t="str">
        <f t="shared" si="908"/>
        <v>06912570964</v>
      </c>
      <c r="I8743" t="str">
        <f t="shared" si="908"/>
        <v>06912570964</v>
      </c>
      <c r="K8743" t="str">
        <f>""</f>
        <v/>
      </c>
      <c r="M8743" t="s">
        <v>68</v>
      </c>
      <c r="N8743" t="str">
        <f t="shared" si="907"/>
        <v>FOR</v>
      </c>
      <c r="O8743" t="s">
        <v>69</v>
      </c>
      <c r="P8743" s="3" t="s">
        <v>75</v>
      </c>
      <c r="Q8743">
        <v>2016</v>
      </c>
      <c r="R8743" s="2">
        <v>42542</v>
      </c>
      <c r="S8743" s="2">
        <v>42544</v>
      </c>
      <c r="T8743" s="2">
        <v>42544</v>
      </c>
      <c r="U8743" s="2">
        <v>42604</v>
      </c>
      <c r="V8743" t="s">
        <v>71</v>
      </c>
      <c r="W8743" t="str">
        <f>"            93760591"</f>
        <v xml:space="preserve">            93760591</v>
      </c>
      <c r="X8743" s="1">
        <v>3538</v>
      </c>
      <c r="Y8743">
        <v>0</v>
      </c>
      <c r="Z8743" s="5">
        <v>2900</v>
      </c>
      <c r="AA8743">
        <v>44</v>
      </c>
      <c r="AB8743" s="5">
        <v>127600</v>
      </c>
      <c r="AC8743" s="1">
        <v>2900</v>
      </c>
      <c r="AD8743">
        <v>44</v>
      </c>
      <c r="AE8743" s="1">
        <v>127600</v>
      </c>
      <c r="AF8743">
        <v>0</v>
      </c>
      <c r="AJ8743">
        <v>0</v>
      </c>
      <c r="AK8743">
        <v>0</v>
      </c>
      <c r="AL8743">
        <v>0</v>
      </c>
      <c r="AM8743" s="1">
        <v>3538</v>
      </c>
      <c r="AN8743" s="1">
        <v>3538</v>
      </c>
      <c r="AO8743" s="1">
        <v>3538</v>
      </c>
      <c r="AP8743" s="2">
        <v>42746</v>
      </c>
      <c r="AQ8743" t="s">
        <v>72</v>
      </c>
      <c r="AR8743" t="s">
        <v>72</v>
      </c>
      <c r="AS8743">
        <v>2650</v>
      </c>
      <c r="AT8743" s="4">
        <v>42648</v>
      </c>
      <c r="AU8743" t="s">
        <v>73</v>
      </c>
      <c r="AV8743">
        <v>2650</v>
      </c>
      <c r="AW8743" s="4">
        <v>42648</v>
      </c>
      <c r="BD8743">
        <v>0</v>
      </c>
      <c r="BN8743" t="s">
        <v>74</v>
      </c>
    </row>
    <row r="8744" spans="1:66">
      <c r="A8744">
        <v>106443</v>
      </c>
      <c r="B8744" s="3" t="s">
        <v>770</v>
      </c>
      <c r="C8744" s="1">
        <v>43300101</v>
      </c>
      <c r="D8744" t="s">
        <v>67</v>
      </c>
      <c r="H8744" t="str">
        <f>"03642300960"</f>
        <v>03642300960</v>
      </c>
      <c r="I8744" t="str">
        <f>"03642300960"</f>
        <v>03642300960</v>
      </c>
      <c r="K8744" t="str">
        <f>""</f>
        <v/>
      </c>
      <c r="M8744" t="s">
        <v>68</v>
      </c>
      <c r="N8744" t="str">
        <f t="shared" si="907"/>
        <v>FOR</v>
      </c>
      <c r="O8744" t="s">
        <v>69</v>
      </c>
      <c r="P8744" s="3" t="s">
        <v>75</v>
      </c>
      <c r="Q8744">
        <v>2016</v>
      </c>
      <c r="R8744" s="2">
        <v>42480</v>
      </c>
      <c r="S8744" s="2">
        <v>42487</v>
      </c>
      <c r="T8744" s="2">
        <v>42486</v>
      </c>
      <c r="U8744" s="2">
        <v>42546</v>
      </c>
      <c r="V8744" t="s">
        <v>71</v>
      </c>
      <c r="W8744" t="str">
        <f>"   200240/R-BIOPHARM"</f>
        <v xml:space="preserve">   200240/R-BIOPHARM</v>
      </c>
      <c r="X8744">
        <v>428.22</v>
      </c>
      <c r="Y8744">
        <v>0</v>
      </c>
      <c r="Z8744" s="3">
        <v>351</v>
      </c>
      <c r="AA8744">
        <v>172</v>
      </c>
      <c r="AB8744" s="5">
        <v>60372</v>
      </c>
      <c r="AC8744">
        <v>351</v>
      </c>
      <c r="AD8744">
        <v>172</v>
      </c>
      <c r="AE8744" s="1">
        <v>60372</v>
      </c>
      <c r="AF8744">
        <v>77.22</v>
      </c>
      <c r="AJ8744">
        <v>0</v>
      </c>
      <c r="AK8744">
        <v>0</v>
      </c>
      <c r="AL8744">
        <v>0</v>
      </c>
      <c r="AM8744">
        <v>428.22</v>
      </c>
      <c r="AN8744">
        <v>428.22</v>
      </c>
      <c r="AO8744">
        <v>428.22</v>
      </c>
      <c r="AP8744" s="2">
        <v>42746</v>
      </c>
      <c r="AQ8744" t="s">
        <v>72</v>
      </c>
      <c r="AR8744" t="s">
        <v>72</v>
      </c>
      <c r="AS8744">
        <v>3477</v>
      </c>
      <c r="AT8744" s="4">
        <v>42718</v>
      </c>
      <c r="AU8744" t="s">
        <v>73</v>
      </c>
      <c r="AV8744">
        <v>3477</v>
      </c>
      <c r="AW8744" s="4">
        <v>42718</v>
      </c>
      <c r="BD8744">
        <v>77.22</v>
      </c>
      <c r="BN8744" t="s">
        <v>74</v>
      </c>
    </row>
    <row r="8745" spans="1:66" hidden="1">
      <c r="A8745">
        <v>106452</v>
      </c>
      <c r="B8745" s="3" t="s">
        <v>771</v>
      </c>
      <c r="C8745" s="1">
        <v>43500101</v>
      </c>
      <c r="D8745" t="s">
        <v>113</v>
      </c>
      <c r="H8745" t="str">
        <f>"97222270585"</f>
        <v>97222270585</v>
      </c>
      <c r="I8745" t="str">
        <f>""</f>
        <v/>
      </c>
      <c r="K8745" t="str">
        <f>""</f>
        <v/>
      </c>
      <c r="M8745" t="s">
        <v>68</v>
      </c>
      <c r="N8745" t="str">
        <f>"ALT"</f>
        <v>ALT</v>
      </c>
      <c r="O8745" t="s">
        <v>114</v>
      </c>
      <c r="P8745" s="3" t="s">
        <v>772</v>
      </c>
      <c r="Q8745">
        <v>2016</v>
      </c>
      <c r="R8745" s="2">
        <v>42472</v>
      </c>
      <c r="S8745" s="2">
        <v>42472</v>
      </c>
      <c r="T8745" s="2">
        <v>42472</v>
      </c>
      <c r="U8745" s="2">
        <v>42532</v>
      </c>
      <c r="V8745" t="s">
        <v>71</v>
      </c>
      <c r="W8745" t="str">
        <f>"                  79"</f>
        <v xml:space="preserve">                  79</v>
      </c>
      <c r="X8745">
        <v>0</v>
      </c>
      <c r="Y8745" s="1">
        <v>1600</v>
      </c>
      <c r="Z8745"/>
      <c r="AB8745"/>
      <c r="AC8745" s="1">
        <v>1600</v>
      </c>
      <c r="AD8745">
        <v>-60</v>
      </c>
      <c r="AE8745" s="1">
        <v>-96000</v>
      </c>
      <c r="AF8745">
        <v>0</v>
      </c>
      <c r="AJ8745">
        <v>0</v>
      </c>
      <c r="AK8745">
        <v>0</v>
      </c>
      <c r="AL8745">
        <v>0</v>
      </c>
      <c r="AM8745" s="1">
        <v>1600</v>
      </c>
      <c r="AN8745" s="1">
        <v>1600</v>
      </c>
      <c r="AO8745" s="1">
        <v>1600</v>
      </c>
      <c r="AP8745" s="2">
        <v>42746</v>
      </c>
      <c r="AQ8745" t="s">
        <v>72</v>
      </c>
      <c r="AR8745" t="s">
        <v>72</v>
      </c>
      <c r="AS8745">
        <v>1012</v>
      </c>
      <c r="AT8745" s="4">
        <v>42472</v>
      </c>
      <c r="AV8745">
        <v>1012</v>
      </c>
      <c r="AW8745" s="4">
        <v>42472</v>
      </c>
      <c r="BD8745">
        <v>0</v>
      </c>
      <c r="BN8745" t="s">
        <v>74</v>
      </c>
    </row>
    <row r="8746" spans="1:66" hidden="1">
      <c r="A8746">
        <v>106456</v>
      </c>
      <c r="B8746" s="3" t="s">
        <v>773</v>
      </c>
      <c r="C8746" s="1">
        <v>43300101</v>
      </c>
      <c r="D8746" t="s">
        <v>67</v>
      </c>
      <c r="H8746" t="str">
        <f t="shared" ref="H8746:I8758" si="909">"00556080109"</f>
        <v>00556080109</v>
      </c>
      <c r="I8746" t="str">
        <f t="shared" si="909"/>
        <v>00556080109</v>
      </c>
      <c r="K8746" t="str">
        <f>""</f>
        <v/>
      </c>
      <c r="M8746" t="s">
        <v>68</v>
      </c>
      <c r="N8746" t="str">
        <f t="shared" ref="N8746:N8758" si="910">"FOR"</f>
        <v>FOR</v>
      </c>
      <c r="O8746" t="s">
        <v>69</v>
      </c>
      <c r="P8746" s="3" t="s">
        <v>70</v>
      </c>
      <c r="Q8746">
        <v>2015</v>
      </c>
      <c r="R8746" s="2">
        <v>42054</v>
      </c>
      <c r="S8746" s="2">
        <v>42066</v>
      </c>
      <c r="T8746" s="2">
        <v>42066</v>
      </c>
      <c r="U8746" s="2">
        <v>42126</v>
      </c>
      <c r="V8746" t="s">
        <v>71</v>
      </c>
      <c r="W8746" t="str">
        <f>"               20125"</f>
        <v xml:space="preserve">               20125</v>
      </c>
      <c r="X8746" s="1">
        <v>4530.6499999999996</v>
      </c>
      <c r="Y8746">
        <v>0</v>
      </c>
      <c r="Z8746"/>
      <c r="AB8746"/>
      <c r="AC8746" s="1">
        <v>3713.65</v>
      </c>
      <c r="AD8746">
        <v>277</v>
      </c>
      <c r="AE8746" s="1">
        <v>1028681.05</v>
      </c>
      <c r="AF8746">
        <v>0</v>
      </c>
      <c r="AJ8746">
        <v>0</v>
      </c>
      <c r="AK8746">
        <v>0</v>
      </c>
      <c r="AL8746">
        <v>0</v>
      </c>
      <c r="AM8746">
        <v>0</v>
      </c>
      <c r="AN8746">
        <v>0</v>
      </c>
      <c r="AO8746">
        <v>0</v>
      </c>
      <c r="AP8746" s="2">
        <v>42746</v>
      </c>
      <c r="AQ8746" t="s">
        <v>72</v>
      </c>
      <c r="AR8746" t="s">
        <v>72</v>
      </c>
      <c r="AS8746">
        <v>234</v>
      </c>
      <c r="AT8746" s="4">
        <v>42403</v>
      </c>
      <c r="AU8746" t="s">
        <v>73</v>
      </c>
      <c r="AV8746">
        <v>234</v>
      </c>
      <c r="AW8746" s="4">
        <v>42403</v>
      </c>
      <c r="BD8746">
        <v>0</v>
      </c>
      <c r="BN8746" t="s">
        <v>74</v>
      </c>
    </row>
    <row r="8747" spans="1:66" hidden="1">
      <c r="A8747">
        <v>106456</v>
      </c>
      <c r="B8747" s="3" t="s">
        <v>773</v>
      </c>
      <c r="C8747" s="1">
        <v>43300101</v>
      </c>
      <c r="D8747" t="s">
        <v>67</v>
      </c>
      <c r="H8747" t="str">
        <f t="shared" si="909"/>
        <v>00556080109</v>
      </c>
      <c r="I8747" t="str">
        <f t="shared" si="909"/>
        <v>00556080109</v>
      </c>
      <c r="K8747" t="str">
        <f>""</f>
        <v/>
      </c>
      <c r="M8747" t="s">
        <v>68</v>
      </c>
      <c r="N8747" t="str">
        <f t="shared" si="910"/>
        <v>FOR</v>
      </c>
      <c r="O8747" t="s">
        <v>69</v>
      </c>
      <c r="P8747" s="3" t="s">
        <v>70</v>
      </c>
      <c r="Q8747">
        <v>2015</v>
      </c>
      <c r="R8747" s="2">
        <v>42061</v>
      </c>
      <c r="S8747" s="2">
        <v>42097</v>
      </c>
      <c r="T8747" s="2">
        <v>42097</v>
      </c>
      <c r="U8747" s="2">
        <v>42157</v>
      </c>
      <c r="V8747" t="s">
        <v>71</v>
      </c>
      <c r="W8747" t="str">
        <f>"               20141"</f>
        <v xml:space="preserve">               20141</v>
      </c>
      <c r="X8747">
        <v>145.79</v>
      </c>
      <c r="Y8747">
        <v>0</v>
      </c>
      <c r="Z8747"/>
      <c r="AB8747"/>
      <c r="AC8747">
        <v>119.5</v>
      </c>
      <c r="AD8747">
        <v>246</v>
      </c>
      <c r="AE8747" s="1">
        <v>29397</v>
      </c>
      <c r="AF8747">
        <v>0</v>
      </c>
      <c r="AJ8747">
        <v>0</v>
      </c>
      <c r="AK8747">
        <v>0</v>
      </c>
      <c r="AL8747">
        <v>0</v>
      </c>
      <c r="AM8747">
        <v>0</v>
      </c>
      <c r="AN8747">
        <v>0</v>
      </c>
      <c r="AO8747">
        <v>0</v>
      </c>
      <c r="AP8747" s="2">
        <v>42746</v>
      </c>
      <c r="AQ8747" t="s">
        <v>72</v>
      </c>
      <c r="AR8747" t="s">
        <v>72</v>
      </c>
      <c r="AS8747">
        <v>234</v>
      </c>
      <c r="AT8747" s="4">
        <v>42403</v>
      </c>
      <c r="AU8747" t="s">
        <v>73</v>
      </c>
      <c r="AV8747">
        <v>234</v>
      </c>
      <c r="AW8747" s="4">
        <v>42403</v>
      </c>
      <c r="BD8747">
        <v>0</v>
      </c>
      <c r="BN8747" t="s">
        <v>74</v>
      </c>
    </row>
    <row r="8748" spans="1:66" hidden="1">
      <c r="A8748">
        <v>106456</v>
      </c>
      <c r="B8748" s="3" t="s">
        <v>773</v>
      </c>
      <c r="C8748" s="1">
        <v>43300101</v>
      </c>
      <c r="D8748" t="s">
        <v>67</v>
      </c>
      <c r="H8748" t="str">
        <f t="shared" si="909"/>
        <v>00556080109</v>
      </c>
      <c r="I8748" t="str">
        <f t="shared" si="909"/>
        <v>00556080109</v>
      </c>
      <c r="K8748" t="str">
        <f>""</f>
        <v/>
      </c>
      <c r="M8748" t="s">
        <v>68</v>
      </c>
      <c r="N8748" t="str">
        <f t="shared" si="910"/>
        <v>FOR</v>
      </c>
      <c r="O8748" t="s">
        <v>69</v>
      </c>
      <c r="P8748" s="3" t="s">
        <v>70</v>
      </c>
      <c r="Q8748">
        <v>2015</v>
      </c>
      <c r="R8748" s="2">
        <v>42068</v>
      </c>
      <c r="S8748" s="2">
        <v>42074</v>
      </c>
      <c r="T8748" s="2">
        <v>42074</v>
      </c>
      <c r="U8748" s="2">
        <v>42134</v>
      </c>
      <c r="V8748" t="s">
        <v>71</v>
      </c>
      <c r="W8748" t="str">
        <f>"               20151"</f>
        <v xml:space="preserve">               20151</v>
      </c>
      <c r="X8748">
        <v>195.77</v>
      </c>
      <c r="Y8748">
        <v>0</v>
      </c>
      <c r="Z8748"/>
      <c r="AB8748"/>
      <c r="AC8748">
        <v>160.47</v>
      </c>
      <c r="AD8748">
        <v>281</v>
      </c>
      <c r="AE8748" s="1">
        <v>45092.07</v>
      </c>
      <c r="AF8748">
        <v>0</v>
      </c>
      <c r="AJ8748">
        <v>0</v>
      </c>
      <c r="AK8748">
        <v>0</v>
      </c>
      <c r="AL8748">
        <v>0</v>
      </c>
      <c r="AM8748">
        <v>0</v>
      </c>
      <c r="AN8748">
        <v>0</v>
      </c>
      <c r="AO8748">
        <v>0</v>
      </c>
      <c r="AP8748" s="2">
        <v>42746</v>
      </c>
      <c r="AQ8748" t="s">
        <v>72</v>
      </c>
      <c r="AR8748" t="s">
        <v>72</v>
      </c>
      <c r="AS8748">
        <v>348</v>
      </c>
      <c r="AT8748" s="4">
        <v>42415</v>
      </c>
      <c r="AU8748" t="s">
        <v>73</v>
      </c>
      <c r="AV8748">
        <v>348</v>
      </c>
      <c r="AW8748" s="4">
        <v>42415</v>
      </c>
      <c r="BD8748">
        <v>0</v>
      </c>
      <c r="BN8748" t="s">
        <v>74</v>
      </c>
    </row>
    <row r="8749" spans="1:66" hidden="1">
      <c r="A8749">
        <v>106456</v>
      </c>
      <c r="B8749" s="3" t="s">
        <v>773</v>
      </c>
      <c r="C8749" s="1">
        <v>43300101</v>
      </c>
      <c r="D8749" t="s">
        <v>67</v>
      </c>
      <c r="H8749" t="str">
        <f t="shared" si="909"/>
        <v>00556080109</v>
      </c>
      <c r="I8749" t="str">
        <f t="shared" si="909"/>
        <v>00556080109</v>
      </c>
      <c r="K8749" t="str">
        <f>""</f>
        <v/>
      </c>
      <c r="M8749" t="s">
        <v>68</v>
      </c>
      <c r="N8749" t="str">
        <f t="shared" si="910"/>
        <v>FOR</v>
      </c>
      <c r="O8749" t="s">
        <v>69</v>
      </c>
      <c r="P8749" s="3" t="s">
        <v>70</v>
      </c>
      <c r="Q8749">
        <v>2015</v>
      </c>
      <c r="R8749" s="2">
        <v>42093</v>
      </c>
      <c r="S8749" s="2">
        <v>42102</v>
      </c>
      <c r="T8749" s="2">
        <v>42102</v>
      </c>
      <c r="U8749" s="2">
        <v>42162</v>
      </c>
      <c r="V8749" t="s">
        <v>71</v>
      </c>
      <c r="W8749" t="str">
        <f>"               20213"</f>
        <v xml:space="preserve">               20213</v>
      </c>
      <c r="X8749">
        <v>357.75</v>
      </c>
      <c r="Y8749">
        <v>0</v>
      </c>
      <c r="Z8749"/>
      <c r="AB8749"/>
      <c r="AC8749">
        <v>293.24</v>
      </c>
      <c r="AD8749">
        <v>253</v>
      </c>
      <c r="AE8749" s="1">
        <v>74189.72</v>
      </c>
      <c r="AF8749">
        <v>0</v>
      </c>
      <c r="AJ8749">
        <v>0</v>
      </c>
      <c r="AK8749">
        <v>0</v>
      </c>
      <c r="AL8749">
        <v>0</v>
      </c>
      <c r="AM8749">
        <v>0</v>
      </c>
      <c r="AN8749">
        <v>0</v>
      </c>
      <c r="AO8749">
        <v>0</v>
      </c>
      <c r="AP8749" s="2">
        <v>42746</v>
      </c>
      <c r="AQ8749" t="s">
        <v>72</v>
      </c>
      <c r="AR8749" t="s">
        <v>72</v>
      </c>
      <c r="AS8749">
        <v>348</v>
      </c>
      <c r="AT8749" s="4">
        <v>42415</v>
      </c>
      <c r="AU8749" t="s">
        <v>73</v>
      </c>
      <c r="AV8749">
        <v>348</v>
      </c>
      <c r="AW8749" s="4">
        <v>42415</v>
      </c>
      <c r="BD8749">
        <v>0</v>
      </c>
      <c r="BN8749" t="s">
        <v>74</v>
      </c>
    </row>
    <row r="8750" spans="1:66" hidden="1">
      <c r="A8750">
        <v>106456</v>
      </c>
      <c r="B8750" s="3" t="s">
        <v>773</v>
      </c>
      <c r="C8750" s="1">
        <v>43300101</v>
      </c>
      <c r="D8750" t="s">
        <v>67</v>
      </c>
      <c r="H8750" t="str">
        <f t="shared" si="909"/>
        <v>00556080109</v>
      </c>
      <c r="I8750" t="str">
        <f t="shared" si="909"/>
        <v>00556080109</v>
      </c>
      <c r="K8750" t="str">
        <f>""</f>
        <v/>
      </c>
      <c r="M8750" t="s">
        <v>68</v>
      </c>
      <c r="N8750" t="str">
        <f t="shared" si="910"/>
        <v>FOR</v>
      </c>
      <c r="O8750" t="s">
        <v>69</v>
      </c>
      <c r="P8750" s="3" t="s">
        <v>75</v>
      </c>
      <c r="Q8750">
        <v>2015</v>
      </c>
      <c r="R8750" s="2">
        <v>42115</v>
      </c>
      <c r="S8750" s="2">
        <v>42121</v>
      </c>
      <c r="T8750" s="2">
        <v>42119</v>
      </c>
      <c r="U8750" s="2">
        <v>42179</v>
      </c>
      <c r="V8750" t="s">
        <v>71</v>
      </c>
      <c r="W8750" t="str">
        <f>"               20245"</f>
        <v xml:space="preserve">               20245</v>
      </c>
      <c r="X8750">
        <v>396.76</v>
      </c>
      <c r="Y8750">
        <v>0</v>
      </c>
      <c r="Z8750"/>
      <c r="AB8750"/>
      <c r="AC8750">
        <v>325.20999999999998</v>
      </c>
      <c r="AD8750">
        <v>273</v>
      </c>
      <c r="AE8750" s="1">
        <v>88782.33</v>
      </c>
      <c r="AF8750">
        <v>0</v>
      </c>
      <c r="AJ8750">
        <v>0</v>
      </c>
      <c r="AK8750">
        <v>0</v>
      </c>
      <c r="AL8750">
        <v>0</v>
      </c>
      <c r="AM8750">
        <v>0</v>
      </c>
      <c r="AN8750">
        <v>0</v>
      </c>
      <c r="AO8750">
        <v>0</v>
      </c>
      <c r="AP8750" s="2">
        <v>42746</v>
      </c>
      <c r="AQ8750" t="s">
        <v>72</v>
      </c>
      <c r="AR8750" t="s">
        <v>72</v>
      </c>
      <c r="AS8750">
        <v>767</v>
      </c>
      <c r="AT8750" s="4">
        <v>42452</v>
      </c>
      <c r="AU8750" t="s">
        <v>73</v>
      </c>
      <c r="AV8750">
        <v>767</v>
      </c>
      <c r="AW8750" s="4">
        <v>42452</v>
      </c>
      <c r="BD8750">
        <v>0</v>
      </c>
      <c r="BN8750" t="s">
        <v>74</v>
      </c>
    </row>
    <row r="8751" spans="1:66" hidden="1">
      <c r="A8751">
        <v>106456</v>
      </c>
      <c r="B8751" s="3" t="s">
        <v>773</v>
      </c>
      <c r="C8751" s="1">
        <v>43300101</v>
      </c>
      <c r="D8751" t="s">
        <v>67</v>
      </c>
      <c r="H8751" t="str">
        <f t="shared" si="909"/>
        <v>00556080109</v>
      </c>
      <c r="I8751" t="str">
        <f t="shared" si="909"/>
        <v>00556080109</v>
      </c>
      <c r="K8751" t="str">
        <f>""</f>
        <v/>
      </c>
      <c r="M8751" t="s">
        <v>68</v>
      </c>
      <c r="N8751" t="str">
        <f t="shared" si="910"/>
        <v>FOR</v>
      </c>
      <c r="O8751" t="s">
        <v>69</v>
      </c>
      <c r="P8751" s="3" t="s">
        <v>75</v>
      </c>
      <c r="Q8751">
        <v>2015</v>
      </c>
      <c r="R8751" s="2">
        <v>42117</v>
      </c>
      <c r="S8751" s="2">
        <v>42121</v>
      </c>
      <c r="T8751" s="2">
        <v>42119</v>
      </c>
      <c r="U8751" s="2">
        <v>42179</v>
      </c>
      <c r="V8751" t="s">
        <v>71</v>
      </c>
      <c r="W8751" t="str">
        <f>"               20248"</f>
        <v xml:space="preserve">               20248</v>
      </c>
      <c r="X8751">
        <v>25.3</v>
      </c>
      <c r="Y8751">
        <v>0</v>
      </c>
      <c r="Z8751"/>
      <c r="AB8751"/>
      <c r="AC8751">
        <v>20.74</v>
      </c>
      <c r="AD8751">
        <v>273</v>
      </c>
      <c r="AE8751" s="1">
        <v>5662.02</v>
      </c>
      <c r="AF8751">
        <v>0</v>
      </c>
      <c r="AJ8751">
        <v>0</v>
      </c>
      <c r="AK8751">
        <v>0</v>
      </c>
      <c r="AL8751">
        <v>0</v>
      </c>
      <c r="AM8751">
        <v>0</v>
      </c>
      <c r="AN8751">
        <v>0</v>
      </c>
      <c r="AO8751">
        <v>0</v>
      </c>
      <c r="AP8751" s="2">
        <v>42746</v>
      </c>
      <c r="AQ8751" t="s">
        <v>72</v>
      </c>
      <c r="AR8751" t="s">
        <v>72</v>
      </c>
      <c r="AS8751">
        <v>767</v>
      </c>
      <c r="AT8751" s="4">
        <v>42452</v>
      </c>
      <c r="AU8751" t="s">
        <v>73</v>
      </c>
      <c r="AV8751">
        <v>767</v>
      </c>
      <c r="AW8751" s="4">
        <v>42452</v>
      </c>
      <c r="BD8751">
        <v>0</v>
      </c>
      <c r="BN8751" t="s">
        <v>74</v>
      </c>
    </row>
    <row r="8752" spans="1:66" hidden="1">
      <c r="A8752">
        <v>106456</v>
      </c>
      <c r="B8752" s="3" t="s">
        <v>773</v>
      </c>
      <c r="C8752" s="1">
        <v>43300101</v>
      </c>
      <c r="D8752" t="s">
        <v>67</v>
      </c>
      <c r="H8752" t="str">
        <f t="shared" si="909"/>
        <v>00556080109</v>
      </c>
      <c r="I8752" t="str">
        <f t="shared" si="909"/>
        <v>00556080109</v>
      </c>
      <c r="K8752" t="str">
        <f>""</f>
        <v/>
      </c>
      <c r="M8752" t="s">
        <v>68</v>
      </c>
      <c r="N8752" t="str">
        <f t="shared" si="910"/>
        <v>FOR</v>
      </c>
      <c r="O8752" t="s">
        <v>69</v>
      </c>
      <c r="P8752" s="3" t="s">
        <v>75</v>
      </c>
      <c r="Q8752">
        <v>2015</v>
      </c>
      <c r="R8752" s="2">
        <v>42117</v>
      </c>
      <c r="S8752" s="2">
        <v>42121</v>
      </c>
      <c r="T8752" s="2">
        <v>42119</v>
      </c>
      <c r="U8752" s="2">
        <v>42179</v>
      </c>
      <c r="V8752" t="s">
        <v>71</v>
      </c>
      <c r="W8752" t="str">
        <f>"               20249"</f>
        <v xml:space="preserve">               20249</v>
      </c>
      <c r="X8752">
        <v>62.83</v>
      </c>
      <c r="Y8752">
        <v>0</v>
      </c>
      <c r="Z8752"/>
      <c r="AB8752"/>
      <c r="AC8752">
        <v>51.5</v>
      </c>
      <c r="AD8752">
        <v>273</v>
      </c>
      <c r="AE8752" s="1">
        <v>14059.5</v>
      </c>
      <c r="AF8752">
        <v>0</v>
      </c>
      <c r="AJ8752">
        <v>0</v>
      </c>
      <c r="AK8752">
        <v>0</v>
      </c>
      <c r="AL8752">
        <v>0</v>
      </c>
      <c r="AM8752">
        <v>0</v>
      </c>
      <c r="AN8752">
        <v>0</v>
      </c>
      <c r="AO8752">
        <v>0</v>
      </c>
      <c r="AP8752" s="2">
        <v>42746</v>
      </c>
      <c r="AQ8752" t="s">
        <v>72</v>
      </c>
      <c r="AR8752" t="s">
        <v>72</v>
      </c>
      <c r="AS8752">
        <v>767</v>
      </c>
      <c r="AT8752" s="4">
        <v>42452</v>
      </c>
      <c r="AU8752" t="s">
        <v>73</v>
      </c>
      <c r="AV8752">
        <v>767</v>
      </c>
      <c r="AW8752" s="4">
        <v>42452</v>
      </c>
      <c r="BD8752">
        <v>0</v>
      </c>
      <c r="BN8752" t="s">
        <v>74</v>
      </c>
    </row>
    <row r="8753" spans="1:66" hidden="1">
      <c r="A8753">
        <v>106456</v>
      </c>
      <c r="B8753" s="3" t="s">
        <v>773</v>
      </c>
      <c r="C8753" s="1">
        <v>43300101</v>
      </c>
      <c r="D8753" t="s">
        <v>67</v>
      </c>
      <c r="H8753" t="str">
        <f t="shared" si="909"/>
        <v>00556080109</v>
      </c>
      <c r="I8753" t="str">
        <f t="shared" si="909"/>
        <v>00556080109</v>
      </c>
      <c r="K8753" t="str">
        <f>""</f>
        <v/>
      </c>
      <c r="M8753" t="s">
        <v>68</v>
      </c>
      <c r="N8753" t="str">
        <f t="shared" si="910"/>
        <v>FOR</v>
      </c>
      <c r="O8753" t="s">
        <v>69</v>
      </c>
      <c r="P8753" s="3" t="s">
        <v>75</v>
      </c>
      <c r="Q8753">
        <v>2015</v>
      </c>
      <c r="R8753" s="2">
        <v>42144</v>
      </c>
      <c r="S8753" s="2">
        <v>42160</v>
      </c>
      <c r="T8753" s="2">
        <v>42144</v>
      </c>
      <c r="U8753" s="2">
        <v>42204</v>
      </c>
      <c r="V8753" t="s">
        <v>71</v>
      </c>
      <c r="W8753" t="str">
        <f>"               20306"</f>
        <v xml:space="preserve">               20306</v>
      </c>
      <c r="X8753" s="1">
        <v>2182.09</v>
      </c>
      <c r="Y8753">
        <v>0</v>
      </c>
      <c r="Z8753"/>
      <c r="AB8753"/>
      <c r="AC8753" s="1">
        <v>1788.6</v>
      </c>
      <c r="AD8753">
        <v>248</v>
      </c>
      <c r="AE8753" s="1">
        <v>443572.8</v>
      </c>
      <c r="AF8753">
        <v>0</v>
      </c>
      <c r="AJ8753">
        <v>0</v>
      </c>
      <c r="AK8753">
        <v>0</v>
      </c>
      <c r="AL8753">
        <v>0</v>
      </c>
      <c r="AM8753">
        <v>0</v>
      </c>
      <c r="AN8753">
        <v>0</v>
      </c>
      <c r="AO8753">
        <v>0</v>
      </c>
      <c r="AP8753" s="2">
        <v>42746</v>
      </c>
      <c r="AQ8753" t="s">
        <v>72</v>
      </c>
      <c r="AR8753" t="s">
        <v>72</v>
      </c>
      <c r="AS8753">
        <v>835</v>
      </c>
      <c r="AT8753" s="4">
        <v>42452</v>
      </c>
      <c r="AU8753" t="s">
        <v>73</v>
      </c>
      <c r="AV8753">
        <v>835</v>
      </c>
      <c r="AW8753" s="4">
        <v>42452</v>
      </c>
      <c r="BD8753">
        <v>0</v>
      </c>
      <c r="BN8753" t="s">
        <v>74</v>
      </c>
    </row>
    <row r="8754" spans="1:66" hidden="1">
      <c r="A8754">
        <v>106456</v>
      </c>
      <c r="B8754" s="3" t="s">
        <v>773</v>
      </c>
      <c r="C8754" s="1">
        <v>43300101</v>
      </c>
      <c r="D8754" t="s">
        <v>67</v>
      </c>
      <c r="H8754" t="str">
        <f t="shared" si="909"/>
        <v>00556080109</v>
      </c>
      <c r="I8754" t="str">
        <f t="shared" si="909"/>
        <v>00556080109</v>
      </c>
      <c r="K8754" t="str">
        <f>""</f>
        <v/>
      </c>
      <c r="M8754" t="s">
        <v>68</v>
      </c>
      <c r="N8754" t="str">
        <f t="shared" si="910"/>
        <v>FOR</v>
      </c>
      <c r="O8754" t="s">
        <v>69</v>
      </c>
      <c r="P8754" s="3" t="s">
        <v>75</v>
      </c>
      <c r="Q8754">
        <v>2015</v>
      </c>
      <c r="R8754" s="2">
        <v>42164</v>
      </c>
      <c r="S8754" s="2">
        <v>42167</v>
      </c>
      <c r="T8754" s="2">
        <v>42165</v>
      </c>
      <c r="U8754" s="2">
        <v>42225</v>
      </c>
      <c r="V8754" t="s">
        <v>71</v>
      </c>
      <c r="W8754" t="str">
        <f>"             V1-2988"</f>
        <v xml:space="preserve">             V1-2988</v>
      </c>
      <c r="X8754">
        <v>72.900000000000006</v>
      </c>
      <c r="Y8754">
        <v>0</v>
      </c>
      <c r="Z8754"/>
      <c r="AB8754"/>
      <c r="AC8754">
        <v>59.75</v>
      </c>
      <c r="AD8754">
        <v>302</v>
      </c>
      <c r="AE8754" s="1">
        <v>18044.5</v>
      </c>
      <c r="AF8754">
        <v>0</v>
      </c>
      <c r="AJ8754">
        <v>0</v>
      </c>
      <c r="AK8754">
        <v>0</v>
      </c>
      <c r="AL8754">
        <v>0</v>
      </c>
      <c r="AM8754">
        <v>0</v>
      </c>
      <c r="AN8754">
        <v>0</v>
      </c>
      <c r="AO8754">
        <v>0</v>
      </c>
      <c r="AP8754" s="2">
        <v>42746</v>
      </c>
      <c r="AQ8754" t="s">
        <v>72</v>
      </c>
      <c r="AR8754" t="s">
        <v>72</v>
      </c>
      <c r="AS8754">
        <v>1530</v>
      </c>
      <c r="AT8754" s="4">
        <v>42527</v>
      </c>
      <c r="AU8754" t="s">
        <v>73</v>
      </c>
      <c r="AV8754">
        <v>1530</v>
      </c>
      <c r="AW8754" s="4">
        <v>42527</v>
      </c>
      <c r="BD8754">
        <v>0</v>
      </c>
      <c r="BN8754" t="s">
        <v>74</v>
      </c>
    </row>
    <row r="8755" spans="1:66" hidden="1">
      <c r="A8755">
        <v>106456</v>
      </c>
      <c r="B8755" s="3" t="s">
        <v>773</v>
      </c>
      <c r="C8755" s="1">
        <v>43300101</v>
      </c>
      <c r="D8755" t="s">
        <v>67</v>
      </c>
      <c r="H8755" t="str">
        <f t="shared" si="909"/>
        <v>00556080109</v>
      </c>
      <c r="I8755" t="str">
        <f t="shared" si="909"/>
        <v>00556080109</v>
      </c>
      <c r="K8755" t="str">
        <f>""</f>
        <v/>
      </c>
      <c r="M8755" t="s">
        <v>68</v>
      </c>
      <c r="N8755" t="str">
        <f t="shared" si="910"/>
        <v>FOR</v>
      </c>
      <c r="O8755" t="s">
        <v>69</v>
      </c>
      <c r="P8755" s="3" t="s">
        <v>75</v>
      </c>
      <c r="Q8755">
        <v>2015</v>
      </c>
      <c r="R8755" s="2">
        <v>42170</v>
      </c>
      <c r="S8755" s="2">
        <v>42171</v>
      </c>
      <c r="T8755" s="2">
        <v>42170</v>
      </c>
      <c r="U8755" s="2">
        <v>42230</v>
      </c>
      <c r="V8755" t="s">
        <v>71</v>
      </c>
      <c r="W8755" t="str">
        <f>"             V1-3120"</f>
        <v xml:space="preserve">             V1-3120</v>
      </c>
      <c r="X8755">
        <v>281.08</v>
      </c>
      <c r="Y8755">
        <v>0</v>
      </c>
      <c r="Z8755"/>
      <c r="AB8755"/>
      <c r="AC8755">
        <v>230.39</v>
      </c>
      <c r="AD8755">
        <v>297</v>
      </c>
      <c r="AE8755" s="1">
        <v>68425.83</v>
      </c>
      <c r="AF8755">
        <v>0</v>
      </c>
      <c r="AJ8755">
        <v>0</v>
      </c>
      <c r="AK8755">
        <v>0</v>
      </c>
      <c r="AL8755">
        <v>0</v>
      </c>
      <c r="AM8755">
        <v>0</v>
      </c>
      <c r="AN8755">
        <v>0</v>
      </c>
      <c r="AO8755">
        <v>0</v>
      </c>
      <c r="AP8755" s="2">
        <v>42746</v>
      </c>
      <c r="AQ8755" t="s">
        <v>72</v>
      </c>
      <c r="AR8755" t="s">
        <v>72</v>
      </c>
      <c r="AS8755">
        <v>1530</v>
      </c>
      <c r="AT8755" s="4">
        <v>42527</v>
      </c>
      <c r="AU8755" t="s">
        <v>73</v>
      </c>
      <c r="AV8755">
        <v>1530</v>
      </c>
      <c r="AW8755" s="4">
        <v>42527</v>
      </c>
      <c r="BD8755">
        <v>0</v>
      </c>
      <c r="BN8755" t="s">
        <v>74</v>
      </c>
    </row>
    <row r="8756" spans="1:66" hidden="1">
      <c r="A8756">
        <v>106456</v>
      </c>
      <c r="B8756" s="3" t="s">
        <v>773</v>
      </c>
      <c r="C8756" s="1">
        <v>43300101</v>
      </c>
      <c r="D8756" t="s">
        <v>67</v>
      </c>
      <c r="H8756" t="str">
        <f t="shared" si="909"/>
        <v>00556080109</v>
      </c>
      <c r="I8756" t="str">
        <f t="shared" si="909"/>
        <v>00556080109</v>
      </c>
      <c r="K8756" t="str">
        <f>""</f>
        <v/>
      </c>
      <c r="M8756" t="s">
        <v>68</v>
      </c>
      <c r="N8756" t="str">
        <f t="shared" si="910"/>
        <v>FOR</v>
      </c>
      <c r="O8756" t="s">
        <v>69</v>
      </c>
      <c r="P8756" s="3" t="s">
        <v>75</v>
      </c>
      <c r="Q8756">
        <v>2015</v>
      </c>
      <c r="R8756" s="2">
        <v>42170</v>
      </c>
      <c r="S8756" s="2">
        <v>42171</v>
      </c>
      <c r="T8756" s="2">
        <v>42170</v>
      </c>
      <c r="U8756" s="2">
        <v>42230</v>
      </c>
      <c r="V8756" t="s">
        <v>71</v>
      </c>
      <c r="W8756" t="str">
        <f>"             V1-3121"</f>
        <v xml:space="preserve">             V1-3121</v>
      </c>
      <c r="X8756" s="1">
        <v>2182.09</v>
      </c>
      <c r="Y8756">
        <v>0</v>
      </c>
      <c r="Z8756"/>
      <c r="AB8756"/>
      <c r="AC8756" s="1">
        <v>1788.6</v>
      </c>
      <c r="AD8756">
        <v>297</v>
      </c>
      <c r="AE8756" s="1">
        <v>531214.19999999995</v>
      </c>
      <c r="AF8756">
        <v>0</v>
      </c>
      <c r="AJ8756">
        <v>0</v>
      </c>
      <c r="AK8756">
        <v>0</v>
      </c>
      <c r="AL8756">
        <v>0</v>
      </c>
      <c r="AM8756">
        <v>0</v>
      </c>
      <c r="AN8756">
        <v>0</v>
      </c>
      <c r="AO8756">
        <v>0</v>
      </c>
      <c r="AP8756" s="2">
        <v>42746</v>
      </c>
      <c r="AQ8756" t="s">
        <v>72</v>
      </c>
      <c r="AR8756" t="s">
        <v>72</v>
      </c>
      <c r="AS8756">
        <v>1530</v>
      </c>
      <c r="AT8756" s="4">
        <v>42527</v>
      </c>
      <c r="AU8756" t="s">
        <v>73</v>
      </c>
      <c r="AV8756">
        <v>1530</v>
      </c>
      <c r="AW8756" s="4">
        <v>42527</v>
      </c>
      <c r="BD8756">
        <v>0</v>
      </c>
      <c r="BN8756" t="s">
        <v>74</v>
      </c>
    </row>
    <row r="8757" spans="1:66" hidden="1">
      <c r="A8757">
        <v>106456</v>
      </c>
      <c r="B8757" s="3" t="s">
        <v>773</v>
      </c>
      <c r="C8757" s="1">
        <v>43300101</v>
      </c>
      <c r="D8757" t="s">
        <v>67</v>
      </c>
      <c r="H8757" t="str">
        <f t="shared" si="909"/>
        <v>00556080109</v>
      </c>
      <c r="I8757" t="str">
        <f t="shared" si="909"/>
        <v>00556080109</v>
      </c>
      <c r="K8757" t="str">
        <f>""</f>
        <v/>
      </c>
      <c r="M8757" t="s">
        <v>68</v>
      </c>
      <c r="N8757" t="str">
        <f t="shared" si="910"/>
        <v>FOR</v>
      </c>
      <c r="O8757" t="s">
        <v>69</v>
      </c>
      <c r="P8757" s="3" t="s">
        <v>75</v>
      </c>
      <c r="Q8757">
        <v>2015</v>
      </c>
      <c r="R8757" s="2">
        <v>42240</v>
      </c>
      <c r="S8757" s="2">
        <v>42241</v>
      </c>
      <c r="T8757" s="2">
        <v>42240</v>
      </c>
      <c r="U8757" s="2">
        <v>42300</v>
      </c>
      <c r="V8757" t="s">
        <v>71</v>
      </c>
      <c r="W8757" t="str">
        <f>"             V1-4264"</f>
        <v xml:space="preserve">             V1-4264</v>
      </c>
      <c r="X8757" s="1">
        <v>3273.14</v>
      </c>
      <c r="Y8757">
        <v>0</v>
      </c>
      <c r="Z8757"/>
      <c r="AB8757"/>
      <c r="AC8757" s="1">
        <v>2682.9</v>
      </c>
      <c r="AD8757">
        <v>277</v>
      </c>
      <c r="AE8757" s="1">
        <v>743163.3</v>
      </c>
      <c r="AF8757">
        <v>0</v>
      </c>
      <c r="AJ8757">
        <v>0</v>
      </c>
      <c r="AK8757">
        <v>0</v>
      </c>
      <c r="AL8757">
        <v>0</v>
      </c>
      <c r="AM8757">
        <v>0</v>
      </c>
      <c r="AN8757">
        <v>0</v>
      </c>
      <c r="AO8757">
        <v>0</v>
      </c>
      <c r="AP8757" s="2">
        <v>42746</v>
      </c>
      <c r="AQ8757" t="s">
        <v>72</v>
      </c>
      <c r="AR8757" t="s">
        <v>72</v>
      </c>
      <c r="AS8757">
        <v>1946</v>
      </c>
      <c r="AT8757" s="4">
        <v>42577</v>
      </c>
      <c r="AU8757" t="s">
        <v>73</v>
      </c>
      <c r="AV8757">
        <v>1946</v>
      </c>
      <c r="AW8757" s="4">
        <v>42577</v>
      </c>
      <c r="BD8757">
        <v>0</v>
      </c>
      <c r="BN8757" t="s">
        <v>74</v>
      </c>
    </row>
    <row r="8758" spans="1:66" hidden="1">
      <c r="A8758">
        <v>106456</v>
      </c>
      <c r="B8758" s="3" t="s">
        <v>773</v>
      </c>
      <c r="C8758" s="1">
        <v>43300101</v>
      </c>
      <c r="D8758" t="s">
        <v>67</v>
      </c>
      <c r="H8758" t="str">
        <f t="shared" si="909"/>
        <v>00556080109</v>
      </c>
      <c r="I8758" t="str">
        <f t="shared" si="909"/>
        <v>00556080109</v>
      </c>
      <c r="K8758" t="str">
        <f>""</f>
        <v/>
      </c>
      <c r="M8758" t="s">
        <v>68</v>
      </c>
      <c r="N8758" t="str">
        <f t="shared" si="910"/>
        <v>FOR</v>
      </c>
      <c r="O8758" t="s">
        <v>69</v>
      </c>
      <c r="P8758" s="3" t="s">
        <v>75</v>
      </c>
      <c r="Q8758">
        <v>2015</v>
      </c>
      <c r="R8758" s="2">
        <v>42244</v>
      </c>
      <c r="S8758" s="2">
        <v>42245</v>
      </c>
      <c r="T8758" s="2">
        <v>42244</v>
      </c>
      <c r="U8758" s="2">
        <v>42304</v>
      </c>
      <c r="V8758" t="s">
        <v>71</v>
      </c>
      <c r="W8758" t="str">
        <f>"             V1-4364"</f>
        <v xml:space="preserve">             V1-4364</v>
      </c>
      <c r="X8758" s="1">
        <v>2182.09</v>
      </c>
      <c r="Y8758">
        <v>0</v>
      </c>
      <c r="Z8758"/>
      <c r="AB8758"/>
      <c r="AC8758" s="1">
        <v>1788.6</v>
      </c>
      <c r="AD8758">
        <v>273</v>
      </c>
      <c r="AE8758" s="1">
        <v>488287.8</v>
      </c>
      <c r="AF8758">
        <v>0</v>
      </c>
      <c r="AJ8758">
        <v>0</v>
      </c>
      <c r="AK8758">
        <v>0</v>
      </c>
      <c r="AL8758">
        <v>0</v>
      </c>
      <c r="AM8758">
        <v>0</v>
      </c>
      <c r="AN8758">
        <v>0</v>
      </c>
      <c r="AO8758">
        <v>0</v>
      </c>
      <c r="AP8758" s="2">
        <v>42746</v>
      </c>
      <c r="AQ8758" t="s">
        <v>72</v>
      </c>
      <c r="AR8758" t="s">
        <v>72</v>
      </c>
      <c r="AS8758">
        <v>1946</v>
      </c>
      <c r="AT8758" s="4">
        <v>42577</v>
      </c>
      <c r="AU8758" t="s">
        <v>73</v>
      </c>
      <c r="AV8758">
        <v>1946</v>
      </c>
      <c r="AW8758" s="4">
        <v>42577</v>
      </c>
      <c r="BD8758">
        <v>0</v>
      </c>
      <c r="BN8758" t="s">
        <v>74</v>
      </c>
    </row>
    <row r="8759" spans="1:66" hidden="1">
      <c r="A8759">
        <v>106457</v>
      </c>
      <c r="B8759" s="3" t="s">
        <v>774</v>
      </c>
      <c r="C8759" s="1">
        <v>43500101</v>
      </c>
      <c r="D8759" t="s">
        <v>113</v>
      </c>
      <c r="H8759" t="str">
        <f t="shared" ref="H8759:H8770" si="911">"CPNSNT75B56A509R"</f>
        <v>CPNSNT75B56A509R</v>
      </c>
      <c r="I8759" t="str">
        <f t="shared" ref="I8759:I8770" si="912">"02761340641"</f>
        <v>02761340641</v>
      </c>
      <c r="K8759" t="str">
        <f>""</f>
        <v/>
      </c>
      <c r="M8759" t="s">
        <v>68</v>
      </c>
      <c r="N8759" t="str">
        <f t="shared" ref="N8759:N8787" si="913">"ALTPRO"</f>
        <v>ALTPRO</v>
      </c>
      <c r="O8759" t="s">
        <v>132</v>
      </c>
      <c r="P8759" s="3" t="s">
        <v>75</v>
      </c>
      <c r="Q8759">
        <v>2016</v>
      </c>
      <c r="R8759" s="2">
        <v>42403</v>
      </c>
      <c r="S8759" s="2">
        <v>42404</v>
      </c>
      <c r="T8759" s="2">
        <v>42403</v>
      </c>
      <c r="U8759" s="2">
        <v>42463</v>
      </c>
      <c r="V8759" t="s">
        <v>71</v>
      </c>
      <c r="W8759" t="str">
        <f>"         FATTPA 2_16"</f>
        <v xml:space="preserve">         FATTPA 2_16</v>
      </c>
      <c r="X8759" s="1">
        <v>1661.78</v>
      </c>
      <c r="Y8759">
        <v>0</v>
      </c>
      <c r="Z8759"/>
      <c r="AB8759"/>
      <c r="AC8759" s="1">
        <v>1661.78</v>
      </c>
      <c r="AD8759">
        <v>-37</v>
      </c>
      <c r="AE8759" s="1">
        <v>-61485.86</v>
      </c>
      <c r="AF8759">
        <v>0</v>
      </c>
      <c r="AJ8759">
        <v>0</v>
      </c>
      <c r="AK8759">
        <v>0</v>
      </c>
      <c r="AL8759">
        <v>0</v>
      </c>
      <c r="AM8759" s="1">
        <v>1661.78</v>
      </c>
      <c r="AN8759" s="1">
        <v>1661.78</v>
      </c>
      <c r="AO8759" s="1">
        <v>1661.78</v>
      </c>
      <c r="AP8759" s="2">
        <v>42746</v>
      </c>
      <c r="AQ8759" t="s">
        <v>72</v>
      </c>
      <c r="AR8759" t="s">
        <v>72</v>
      </c>
      <c r="AS8759">
        <v>567</v>
      </c>
      <c r="AT8759" s="4">
        <v>42426</v>
      </c>
      <c r="AV8759">
        <v>567</v>
      </c>
      <c r="AW8759" s="4">
        <v>42426</v>
      </c>
      <c r="BD8759">
        <v>0</v>
      </c>
      <c r="BN8759" t="s">
        <v>74</v>
      </c>
    </row>
    <row r="8760" spans="1:66" hidden="1">
      <c r="A8760">
        <v>106457</v>
      </c>
      <c r="B8760" s="3" t="s">
        <v>774</v>
      </c>
      <c r="C8760" s="1">
        <v>43500101</v>
      </c>
      <c r="D8760" t="s">
        <v>113</v>
      </c>
      <c r="H8760" t="str">
        <f t="shared" si="911"/>
        <v>CPNSNT75B56A509R</v>
      </c>
      <c r="I8760" t="str">
        <f t="shared" si="912"/>
        <v>02761340641</v>
      </c>
      <c r="K8760" t="str">
        <f>""</f>
        <v/>
      </c>
      <c r="M8760" t="s">
        <v>68</v>
      </c>
      <c r="N8760" t="str">
        <f t="shared" si="913"/>
        <v>ALTPRO</v>
      </c>
      <c r="O8760" t="s">
        <v>132</v>
      </c>
      <c r="P8760" s="3" t="s">
        <v>75</v>
      </c>
      <c r="Q8760">
        <v>2016</v>
      </c>
      <c r="R8760" s="2">
        <v>42433</v>
      </c>
      <c r="S8760" s="2">
        <v>42436</v>
      </c>
      <c r="T8760" s="2">
        <v>42433</v>
      </c>
      <c r="U8760" s="2">
        <v>42493</v>
      </c>
      <c r="V8760" t="s">
        <v>71</v>
      </c>
      <c r="W8760" t="str">
        <f>"         FATTPA 3_16"</f>
        <v xml:space="preserve">         FATTPA 3_16</v>
      </c>
      <c r="X8760" s="1">
        <v>1632.49</v>
      </c>
      <c r="Y8760">
        <v>0</v>
      </c>
      <c r="Z8760"/>
      <c r="AB8760"/>
      <c r="AC8760" s="1">
        <v>1632.49</v>
      </c>
      <c r="AD8760">
        <v>-42</v>
      </c>
      <c r="AE8760" s="1">
        <v>-68564.58</v>
      </c>
      <c r="AF8760">
        <v>0</v>
      </c>
      <c r="AJ8760">
        <v>0</v>
      </c>
      <c r="AK8760">
        <v>0</v>
      </c>
      <c r="AL8760">
        <v>0</v>
      </c>
      <c r="AM8760" s="1">
        <v>1632.49</v>
      </c>
      <c r="AN8760" s="1">
        <v>1632.49</v>
      </c>
      <c r="AO8760" s="1">
        <v>1632.49</v>
      </c>
      <c r="AP8760" s="2">
        <v>42746</v>
      </c>
      <c r="AQ8760" t="s">
        <v>72</v>
      </c>
      <c r="AR8760" t="s">
        <v>72</v>
      </c>
      <c r="AS8760">
        <v>719</v>
      </c>
      <c r="AT8760" s="4">
        <v>42451</v>
      </c>
      <c r="AV8760">
        <v>719</v>
      </c>
      <c r="AW8760" s="4">
        <v>42451</v>
      </c>
      <c r="BD8760">
        <v>0</v>
      </c>
      <c r="BN8760" t="s">
        <v>74</v>
      </c>
    </row>
    <row r="8761" spans="1:66" hidden="1">
      <c r="A8761">
        <v>106457</v>
      </c>
      <c r="B8761" s="3" t="s">
        <v>774</v>
      </c>
      <c r="C8761" s="1">
        <v>43500101</v>
      </c>
      <c r="D8761" t="s">
        <v>113</v>
      </c>
      <c r="H8761" t="str">
        <f t="shared" si="911"/>
        <v>CPNSNT75B56A509R</v>
      </c>
      <c r="I8761" t="str">
        <f t="shared" si="912"/>
        <v>02761340641</v>
      </c>
      <c r="K8761" t="str">
        <f>""</f>
        <v/>
      </c>
      <c r="M8761" t="s">
        <v>68</v>
      </c>
      <c r="N8761" t="str">
        <f t="shared" si="913"/>
        <v>ALTPRO</v>
      </c>
      <c r="O8761" t="s">
        <v>132</v>
      </c>
      <c r="P8761" s="3" t="s">
        <v>75</v>
      </c>
      <c r="Q8761">
        <v>2016</v>
      </c>
      <c r="R8761" s="2">
        <v>42468</v>
      </c>
      <c r="S8761" s="2">
        <v>42471</v>
      </c>
      <c r="T8761" s="2">
        <v>42469</v>
      </c>
      <c r="U8761" s="2">
        <v>42529</v>
      </c>
      <c r="V8761" t="s">
        <v>71</v>
      </c>
      <c r="W8761" t="str">
        <f>"         FATTPA 4_16"</f>
        <v xml:space="preserve">         FATTPA 4_16</v>
      </c>
      <c r="X8761" s="1">
        <v>1847.39</v>
      </c>
      <c r="Y8761">
        <v>0</v>
      </c>
      <c r="Z8761"/>
      <c r="AB8761"/>
      <c r="AC8761" s="1">
        <v>1847.39</v>
      </c>
      <c r="AD8761">
        <v>-42</v>
      </c>
      <c r="AE8761" s="1">
        <v>-77590.38</v>
      </c>
      <c r="AF8761">
        <v>0</v>
      </c>
      <c r="AJ8761">
        <v>0</v>
      </c>
      <c r="AK8761">
        <v>0</v>
      </c>
      <c r="AL8761">
        <v>0</v>
      </c>
      <c r="AM8761" s="1">
        <v>1847.39</v>
      </c>
      <c r="AN8761" s="1">
        <v>1847.39</v>
      </c>
      <c r="AO8761" s="1">
        <v>1847.39</v>
      </c>
      <c r="AP8761" s="2">
        <v>42746</v>
      </c>
      <c r="AQ8761" t="s">
        <v>72</v>
      </c>
      <c r="AR8761" t="s">
        <v>72</v>
      </c>
      <c r="AS8761">
        <v>1142</v>
      </c>
      <c r="AT8761" s="4">
        <v>42487</v>
      </c>
      <c r="AV8761">
        <v>1142</v>
      </c>
      <c r="AW8761" s="4">
        <v>42487</v>
      </c>
      <c r="BD8761">
        <v>0</v>
      </c>
      <c r="BN8761" t="s">
        <v>74</v>
      </c>
    </row>
    <row r="8762" spans="1:66" hidden="1">
      <c r="A8762">
        <v>106457</v>
      </c>
      <c r="B8762" s="3" t="s">
        <v>774</v>
      </c>
      <c r="C8762" s="1">
        <v>43500101</v>
      </c>
      <c r="D8762" t="s">
        <v>113</v>
      </c>
      <c r="H8762" t="str">
        <f t="shared" si="911"/>
        <v>CPNSNT75B56A509R</v>
      </c>
      <c r="I8762" t="str">
        <f t="shared" si="912"/>
        <v>02761340641</v>
      </c>
      <c r="K8762" t="str">
        <f>""</f>
        <v/>
      </c>
      <c r="M8762" t="s">
        <v>68</v>
      </c>
      <c r="N8762" t="str">
        <f t="shared" si="913"/>
        <v>ALTPRO</v>
      </c>
      <c r="O8762" t="s">
        <v>132</v>
      </c>
      <c r="P8762" s="3" t="s">
        <v>75</v>
      </c>
      <c r="Q8762">
        <v>2016</v>
      </c>
      <c r="R8762" s="2">
        <v>42494</v>
      </c>
      <c r="S8762" s="2">
        <v>42495</v>
      </c>
      <c r="T8762" s="2">
        <v>42494</v>
      </c>
      <c r="U8762" s="2">
        <v>42554</v>
      </c>
      <c r="V8762" t="s">
        <v>71</v>
      </c>
      <c r="W8762" t="str">
        <f>"         FATTPA 5_16"</f>
        <v xml:space="preserve">         FATTPA 5_16</v>
      </c>
      <c r="X8762" s="1">
        <v>1980.84</v>
      </c>
      <c r="Y8762">
        <v>0</v>
      </c>
      <c r="Z8762"/>
      <c r="AB8762"/>
      <c r="AC8762" s="1">
        <v>1980.84</v>
      </c>
      <c r="AD8762">
        <v>-38</v>
      </c>
      <c r="AE8762" s="1">
        <v>-75271.92</v>
      </c>
      <c r="AF8762">
        <v>0</v>
      </c>
      <c r="AJ8762">
        <v>0</v>
      </c>
      <c r="AK8762">
        <v>0</v>
      </c>
      <c r="AL8762">
        <v>0</v>
      </c>
      <c r="AM8762" s="1">
        <v>1980.84</v>
      </c>
      <c r="AN8762" s="1">
        <v>1980.84</v>
      </c>
      <c r="AO8762" s="1">
        <v>1980.84</v>
      </c>
      <c r="AP8762" s="2">
        <v>42746</v>
      </c>
      <c r="AQ8762" t="s">
        <v>72</v>
      </c>
      <c r="AR8762" t="s">
        <v>72</v>
      </c>
      <c r="AS8762">
        <v>1388</v>
      </c>
      <c r="AT8762" s="4">
        <v>42516</v>
      </c>
      <c r="AV8762">
        <v>1388</v>
      </c>
      <c r="AW8762" s="4">
        <v>42516</v>
      </c>
      <c r="BD8762">
        <v>0</v>
      </c>
      <c r="BN8762" t="s">
        <v>74</v>
      </c>
    </row>
    <row r="8763" spans="1:66" hidden="1">
      <c r="A8763">
        <v>106457</v>
      </c>
      <c r="B8763" s="3" t="s">
        <v>774</v>
      </c>
      <c r="C8763" s="1">
        <v>43500101</v>
      </c>
      <c r="D8763" t="s">
        <v>113</v>
      </c>
      <c r="H8763" t="str">
        <f t="shared" si="911"/>
        <v>CPNSNT75B56A509R</v>
      </c>
      <c r="I8763" t="str">
        <f t="shared" si="912"/>
        <v>02761340641</v>
      </c>
      <c r="K8763" t="str">
        <f>""</f>
        <v/>
      </c>
      <c r="M8763" t="s">
        <v>68</v>
      </c>
      <c r="N8763" t="str">
        <f t="shared" si="913"/>
        <v>ALTPRO</v>
      </c>
      <c r="O8763" t="s">
        <v>132</v>
      </c>
      <c r="P8763" s="3" t="s">
        <v>75</v>
      </c>
      <c r="Q8763">
        <v>2016</v>
      </c>
      <c r="R8763" s="2">
        <v>42536</v>
      </c>
      <c r="S8763" s="2">
        <v>42537</v>
      </c>
      <c r="T8763" s="2">
        <v>42536</v>
      </c>
      <c r="U8763" s="2">
        <v>42596</v>
      </c>
      <c r="V8763" t="s">
        <v>71</v>
      </c>
      <c r="W8763" t="str">
        <f>"         FATTPA 6_16"</f>
        <v xml:space="preserve">         FATTPA 6_16</v>
      </c>
      <c r="X8763" s="1">
        <v>2027.38</v>
      </c>
      <c r="Y8763">
        <v>0</v>
      </c>
      <c r="Z8763"/>
      <c r="AB8763"/>
      <c r="AC8763" s="1">
        <v>2027.38</v>
      </c>
      <c r="AD8763">
        <v>-44</v>
      </c>
      <c r="AE8763" s="1">
        <v>-89204.72</v>
      </c>
      <c r="AF8763">
        <v>0</v>
      </c>
      <c r="AJ8763">
        <v>0</v>
      </c>
      <c r="AK8763">
        <v>0</v>
      </c>
      <c r="AL8763">
        <v>0</v>
      </c>
      <c r="AM8763" s="1">
        <v>2027.38</v>
      </c>
      <c r="AN8763" s="1">
        <v>2027.38</v>
      </c>
      <c r="AO8763" s="1">
        <v>2027.38</v>
      </c>
      <c r="AP8763" s="2">
        <v>42746</v>
      </c>
      <c r="AQ8763" t="s">
        <v>72</v>
      </c>
      <c r="AR8763" t="s">
        <v>72</v>
      </c>
      <c r="AS8763">
        <v>1636</v>
      </c>
      <c r="AT8763" s="4">
        <v>42552</v>
      </c>
      <c r="AV8763">
        <v>1636</v>
      </c>
      <c r="AW8763" s="4">
        <v>42552</v>
      </c>
      <c r="BD8763">
        <v>0</v>
      </c>
      <c r="BN8763" t="s">
        <v>74</v>
      </c>
    </row>
    <row r="8764" spans="1:66" hidden="1">
      <c r="A8764">
        <v>106457</v>
      </c>
      <c r="B8764" s="3" t="s">
        <v>774</v>
      </c>
      <c r="C8764" s="1">
        <v>43500101</v>
      </c>
      <c r="D8764" t="s">
        <v>113</v>
      </c>
      <c r="H8764" t="str">
        <f t="shared" si="911"/>
        <v>CPNSNT75B56A509R</v>
      </c>
      <c r="I8764" t="str">
        <f t="shared" si="912"/>
        <v>02761340641</v>
      </c>
      <c r="K8764" t="str">
        <f>""</f>
        <v/>
      </c>
      <c r="M8764" t="s">
        <v>68</v>
      </c>
      <c r="N8764" t="str">
        <f t="shared" si="913"/>
        <v>ALTPRO</v>
      </c>
      <c r="O8764" t="s">
        <v>132</v>
      </c>
      <c r="P8764" s="3" t="s">
        <v>75</v>
      </c>
      <c r="Q8764">
        <v>2016</v>
      </c>
      <c r="R8764" s="2">
        <v>42562</v>
      </c>
      <c r="S8764" s="2">
        <v>42563</v>
      </c>
      <c r="T8764" s="2">
        <v>42562</v>
      </c>
      <c r="U8764" s="2">
        <v>42622</v>
      </c>
      <c r="V8764" t="s">
        <v>71</v>
      </c>
      <c r="W8764" t="str">
        <f>"         FATTPA 7_16"</f>
        <v xml:space="preserve">         FATTPA 7_16</v>
      </c>
      <c r="X8764" s="1">
        <v>1667.05</v>
      </c>
      <c r="Y8764">
        <v>0</v>
      </c>
      <c r="Z8764"/>
      <c r="AB8764"/>
      <c r="AC8764" s="1">
        <v>1667.05</v>
      </c>
      <c r="AD8764">
        <v>-56</v>
      </c>
      <c r="AE8764" s="1">
        <v>-93354.8</v>
      </c>
      <c r="AF8764">
        <v>0</v>
      </c>
      <c r="AJ8764">
        <v>0</v>
      </c>
      <c r="AK8764">
        <v>0</v>
      </c>
      <c r="AL8764">
        <v>0</v>
      </c>
      <c r="AM8764" s="1">
        <v>1667.05</v>
      </c>
      <c r="AN8764" s="1">
        <v>1667.05</v>
      </c>
      <c r="AO8764" s="1">
        <v>1667.05</v>
      </c>
      <c r="AP8764" s="2">
        <v>42746</v>
      </c>
      <c r="AQ8764" t="s">
        <v>72</v>
      </c>
      <c r="AR8764" t="s">
        <v>72</v>
      </c>
      <c r="AS8764">
        <v>1799</v>
      </c>
      <c r="AT8764" s="4">
        <v>42566</v>
      </c>
      <c r="AV8764">
        <v>1799</v>
      </c>
      <c r="AW8764" s="4">
        <v>42566</v>
      </c>
      <c r="BD8764">
        <v>0</v>
      </c>
      <c r="BN8764" t="s">
        <v>74</v>
      </c>
    </row>
    <row r="8765" spans="1:66" hidden="1">
      <c r="A8765">
        <v>106457</v>
      </c>
      <c r="B8765" s="3" t="s">
        <v>774</v>
      </c>
      <c r="C8765" s="1">
        <v>43500101</v>
      </c>
      <c r="D8765" t="s">
        <v>113</v>
      </c>
      <c r="H8765" t="str">
        <f t="shared" si="911"/>
        <v>CPNSNT75B56A509R</v>
      </c>
      <c r="I8765" t="str">
        <f t="shared" si="912"/>
        <v>02761340641</v>
      </c>
      <c r="K8765" t="str">
        <f>""</f>
        <v/>
      </c>
      <c r="M8765" t="s">
        <v>68</v>
      </c>
      <c r="N8765" t="str">
        <f t="shared" si="913"/>
        <v>ALTPRO</v>
      </c>
      <c r="O8765" t="s">
        <v>132</v>
      </c>
      <c r="P8765" s="3" t="s">
        <v>75</v>
      </c>
      <c r="Q8765">
        <v>2016</v>
      </c>
      <c r="R8765" s="2">
        <v>42587</v>
      </c>
      <c r="S8765" s="2">
        <v>42587</v>
      </c>
      <c r="T8765" s="2">
        <v>42587</v>
      </c>
      <c r="U8765" s="2">
        <v>42647</v>
      </c>
      <c r="V8765" t="s">
        <v>71</v>
      </c>
      <c r="W8765" t="str">
        <f>"         FATTPA 8_16"</f>
        <v xml:space="preserve">         FATTPA 8_16</v>
      </c>
      <c r="X8765" s="1">
        <v>2317.64</v>
      </c>
      <c r="Y8765">
        <v>-463.13</v>
      </c>
      <c r="Z8765"/>
      <c r="AB8765"/>
      <c r="AC8765" s="1">
        <v>1854.51</v>
      </c>
      <c r="AD8765">
        <v>-29</v>
      </c>
      <c r="AE8765" s="1">
        <v>-53780.79</v>
      </c>
      <c r="AF8765">
        <v>0</v>
      </c>
      <c r="AJ8765">
        <v>0</v>
      </c>
      <c r="AK8765">
        <v>0</v>
      </c>
      <c r="AL8765">
        <v>0</v>
      </c>
      <c r="AM8765" s="1">
        <v>1854.51</v>
      </c>
      <c r="AN8765" s="1">
        <v>1854.51</v>
      </c>
      <c r="AO8765" s="1">
        <v>1854.51</v>
      </c>
      <c r="AP8765" s="2">
        <v>42746</v>
      </c>
      <c r="AQ8765" t="s">
        <v>72</v>
      </c>
      <c r="AR8765" t="s">
        <v>72</v>
      </c>
      <c r="AS8765">
        <v>2248</v>
      </c>
      <c r="AT8765" s="4">
        <v>42618</v>
      </c>
      <c r="AV8765">
        <v>2248</v>
      </c>
      <c r="AW8765" s="4">
        <v>42618</v>
      </c>
      <c r="BD8765">
        <v>0</v>
      </c>
      <c r="BN8765" t="s">
        <v>74</v>
      </c>
    </row>
    <row r="8766" spans="1:66">
      <c r="A8766">
        <v>106457</v>
      </c>
      <c r="B8766" s="3" t="s">
        <v>774</v>
      </c>
      <c r="C8766" s="1">
        <v>43500101</v>
      </c>
      <c r="D8766" t="s">
        <v>113</v>
      </c>
      <c r="H8766" t="str">
        <f t="shared" si="911"/>
        <v>CPNSNT75B56A509R</v>
      </c>
      <c r="I8766" t="str">
        <f t="shared" si="912"/>
        <v>02761340641</v>
      </c>
      <c r="K8766" t="str">
        <f>""</f>
        <v/>
      </c>
      <c r="M8766" t="s">
        <v>68</v>
      </c>
      <c r="N8766" t="str">
        <f t="shared" si="913"/>
        <v>ALTPRO</v>
      </c>
      <c r="O8766" t="s">
        <v>132</v>
      </c>
      <c r="P8766" s="3" t="s">
        <v>75</v>
      </c>
      <c r="Q8766">
        <v>2016</v>
      </c>
      <c r="R8766" s="2">
        <v>42618</v>
      </c>
      <c r="S8766" s="2">
        <v>42620</v>
      </c>
      <c r="T8766" s="2">
        <v>42620</v>
      </c>
      <c r="U8766" s="2">
        <v>42680</v>
      </c>
      <c r="V8766" t="s">
        <v>71</v>
      </c>
      <c r="W8766" t="str">
        <f>"         FATTPA 9_16"</f>
        <v xml:space="preserve">         FATTPA 9_16</v>
      </c>
      <c r="X8766" s="1">
        <v>1673.47</v>
      </c>
      <c r="Y8766">
        <v>-334.69</v>
      </c>
      <c r="Z8766" s="5">
        <v>1338.78</v>
      </c>
      <c r="AA8766">
        <v>-34</v>
      </c>
      <c r="AB8766" s="5">
        <v>-45518.52</v>
      </c>
      <c r="AC8766" s="1">
        <v>1338.78</v>
      </c>
      <c r="AD8766">
        <v>-34</v>
      </c>
      <c r="AE8766" s="1">
        <v>-45518.52</v>
      </c>
      <c r="AF8766">
        <v>0</v>
      </c>
      <c r="AJ8766">
        <v>0</v>
      </c>
      <c r="AK8766">
        <v>0</v>
      </c>
      <c r="AL8766">
        <v>0</v>
      </c>
      <c r="AM8766" s="1">
        <v>1338.78</v>
      </c>
      <c r="AN8766" s="1">
        <v>1338.78</v>
      </c>
      <c r="AO8766" s="1">
        <v>1338.78</v>
      </c>
      <c r="AP8766" s="2">
        <v>42746</v>
      </c>
      <c r="AQ8766" t="s">
        <v>72</v>
      </c>
      <c r="AR8766" t="s">
        <v>72</v>
      </c>
      <c r="AS8766">
        <v>2516</v>
      </c>
      <c r="AT8766" s="4">
        <v>42646</v>
      </c>
      <c r="AV8766">
        <v>2516</v>
      </c>
      <c r="AW8766" s="4">
        <v>42646</v>
      </c>
      <c r="BD8766">
        <v>0</v>
      </c>
      <c r="BN8766" t="s">
        <v>74</v>
      </c>
    </row>
    <row r="8767" spans="1:66" hidden="1">
      <c r="A8767">
        <v>106457</v>
      </c>
      <c r="B8767" s="3" t="s">
        <v>774</v>
      </c>
      <c r="C8767" s="1">
        <v>43500101</v>
      </c>
      <c r="D8767" t="s">
        <v>113</v>
      </c>
      <c r="H8767" t="str">
        <f t="shared" si="911"/>
        <v>CPNSNT75B56A509R</v>
      </c>
      <c r="I8767" t="str">
        <f t="shared" si="912"/>
        <v>02761340641</v>
      </c>
      <c r="K8767" t="str">
        <f>""</f>
        <v/>
      </c>
      <c r="M8767" t="s">
        <v>68</v>
      </c>
      <c r="N8767" t="str">
        <f t="shared" si="913"/>
        <v>ALTPRO</v>
      </c>
      <c r="O8767" t="s">
        <v>132</v>
      </c>
      <c r="P8767" s="3" t="s">
        <v>75</v>
      </c>
      <c r="Q8767">
        <v>2016</v>
      </c>
      <c r="R8767" s="2">
        <v>42383</v>
      </c>
      <c r="S8767" s="2">
        <v>42405</v>
      </c>
      <c r="T8767" s="2">
        <v>42405</v>
      </c>
      <c r="U8767" s="2">
        <v>42465</v>
      </c>
      <c r="V8767" t="s">
        <v>71</v>
      </c>
      <c r="W8767" t="str">
        <f>"         FatPAM 1_16"</f>
        <v xml:space="preserve">         FatPAM 1_16</v>
      </c>
      <c r="X8767" s="1">
        <v>1623.14</v>
      </c>
      <c r="Y8767">
        <v>0</v>
      </c>
      <c r="Z8767"/>
      <c r="AB8767"/>
      <c r="AC8767" s="1">
        <v>1623.14</v>
      </c>
      <c r="AD8767">
        <v>-39</v>
      </c>
      <c r="AE8767" s="1">
        <v>-63302.46</v>
      </c>
      <c r="AF8767">
        <v>0</v>
      </c>
      <c r="AJ8767">
        <v>0</v>
      </c>
      <c r="AK8767">
        <v>0</v>
      </c>
      <c r="AL8767">
        <v>0</v>
      </c>
      <c r="AM8767">
        <v>0</v>
      </c>
      <c r="AN8767" s="1">
        <v>1623.14</v>
      </c>
      <c r="AO8767" s="1">
        <v>1623.14</v>
      </c>
      <c r="AP8767" s="2">
        <v>42746</v>
      </c>
      <c r="AQ8767" t="s">
        <v>72</v>
      </c>
      <c r="AR8767" t="s">
        <v>72</v>
      </c>
      <c r="AS8767">
        <v>567</v>
      </c>
      <c r="AT8767" s="4">
        <v>42426</v>
      </c>
      <c r="AV8767">
        <v>567</v>
      </c>
      <c r="AW8767" s="4">
        <v>42426</v>
      </c>
      <c r="BD8767">
        <v>0</v>
      </c>
      <c r="BN8767" t="s">
        <v>74</v>
      </c>
    </row>
    <row r="8768" spans="1:66">
      <c r="A8768">
        <v>106457</v>
      </c>
      <c r="B8768" s="3" t="s">
        <v>774</v>
      </c>
      <c r="C8768" s="1">
        <v>43500101</v>
      </c>
      <c r="D8768" t="s">
        <v>113</v>
      </c>
      <c r="H8768" t="str">
        <f t="shared" si="911"/>
        <v>CPNSNT75B56A509R</v>
      </c>
      <c r="I8768" t="str">
        <f t="shared" si="912"/>
        <v>02761340641</v>
      </c>
      <c r="K8768" t="str">
        <f>""</f>
        <v/>
      </c>
      <c r="M8768" t="s">
        <v>68</v>
      </c>
      <c r="N8768" t="str">
        <f t="shared" si="913"/>
        <v>ALTPRO</v>
      </c>
      <c r="O8768" t="s">
        <v>132</v>
      </c>
      <c r="P8768" s="3" t="s">
        <v>75</v>
      </c>
      <c r="Q8768">
        <v>2016</v>
      </c>
      <c r="R8768" s="2">
        <v>42648</v>
      </c>
      <c r="S8768" s="2">
        <v>42654</v>
      </c>
      <c r="T8768" s="2">
        <v>42649</v>
      </c>
      <c r="U8768" s="2">
        <v>42709</v>
      </c>
      <c r="V8768" t="s">
        <v>71</v>
      </c>
      <c r="W8768" t="str">
        <f>"        FATTPA 10_16"</f>
        <v xml:space="preserve">        FATTPA 10_16</v>
      </c>
      <c r="X8768" s="1">
        <v>2257.17</v>
      </c>
      <c r="Y8768">
        <v>-451.43</v>
      </c>
      <c r="Z8768" s="5">
        <v>1805.74</v>
      </c>
      <c r="AA8768">
        <v>-41</v>
      </c>
      <c r="AB8768" s="5">
        <v>-74035.34</v>
      </c>
      <c r="AC8768" s="1">
        <v>1805.74</v>
      </c>
      <c r="AD8768">
        <v>-41</v>
      </c>
      <c r="AE8768" s="1">
        <v>-74035.34</v>
      </c>
      <c r="AF8768">
        <v>0</v>
      </c>
      <c r="AJ8768">
        <v>-451.43</v>
      </c>
      <c r="AK8768" s="1">
        <v>1805.74</v>
      </c>
      <c r="AL8768" s="1">
        <v>1805.74</v>
      </c>
      <c r="AM8768" s="1">
        <v>1805.74</v>
      </c>
      <c r="AN8768" s="1">
        <v>1805.74</v>
      </c>
      <c r="AO8768" s="1">
        <v>1805.74</v>
      </c>
      <c r="AP8768" s="2">
        <v>42746</v>
      </c>
      <c r="AQ8768" t="s">
        <v>72</v>
      </c>
      <c r="AR8768" t="s">
        <v>72</v>
      </c>
      <c r="AS8768">
        <v>2866</v>
      </c>
      <c r="AT8768" s="4">
        <v>42668</v>
      </c>
      <c r="AV8768">
        <v>2866</v>
      </c>
      <c r="AW8768" s="4">
        <v>42668</v>
      </c>
      <c r="BD8768">
        <v>0</v>
      </c>
      <c r="BN8768" t="s">
        <v>74</v>
      </c>
    </row>
    <row r="8769" spans="1:66">
      <c r="A8769">
        <v>106457</v>
      </c>
      <c r="B8769" s="3" t="s">
        <v>774</v>
      </c>
      <c r="C8769" s="1">
        <v>43500101</v>
      </c>
      <c r="D8769" t="s">
        <v>113</v>
      </c>
      <c r="H8769" t="str">
        <f t="shared" si="911"/>
        <v>CPNSNT75B56A509R</v>
      </c>
      <c r="I8769" t="str">
        <f t="shared" si="912"/>
        <v>02761340641</v>
      </c>
      <c r="K8769" t="str">
        <f>""</f>
        <v/>
      </c>
      <c r="M8769" t="s">
        <v>68</v>
      </c>
      <c r="N8769" t="str">
        <f t="shared" si="913"/>
        <v>ALTPRO</v>
      </c>
      <c r="O8769" t="s">
        <v>132</v>
      </c>
      <c r="P8769" s="3" t="s">
        <v>75</v>
      </c>
      <c r="Q8769">
        <v>2016</v>
      </c>
      <c r="R8769" s="2">
        <v>42676</v>
      </c>
      <c r="S8769" s="2">
        <v>42677</v>
      </c>
      <c r="T8769" s="2">
        <v>42677</v>
      </c>
      <c r="U8769" s="2">
        <v>42737</v>
      </c>
      <c r="V8769" t="s">
        <v>71</v>
      </c>
      <c r="W8769" t="str">
        <f>"        FATTPA 11_16"</f>
        <v xml:space="preserve">        FATTPA 11_16</v>
      </c>
      <c r="X8769" s="1">
        <v>2511.08</v>
      </c>
      <c r="Y8769">
        <v>-502.22</v>
      </c>
      <c r="Z8769" s="5">
        <v>2008.86</v>
      </c>
      <c r="AA8769">
        <v>-59</v>
      </c>
      <c r="AB8769" s="5">
        <v>-118522.74</v>
      </c>
      <c r="AC8769" s="1">
        <v>2008.86</v>
      </c>
      <c r="AD8769">
        <v>-59</v>
      </c>
      <c r="AE8769" s="1">
        <v>-118522.74</v>
      </c>
      <c r="AF8769">
        <v>0</v>
      </c>
      <c r="AJ8769" s="1">
        <v>2008.86</v>
      </c>
      <c r="AK8769" s="1">
        <v>2008.86</v>
      </c>
      <c r="AL8769" s="1">
        <v>2008.86</v>
      </c>
      <c r="AM8769" s="1">
        <v>2008.86</v>
      </c>
      <c r="AN8769" s="1">
        <v>2008.86</v>
      </c>
      <c r="AO8769" s="1">
        <v>2008.86</v>
      </c>
      <c r="AP8769" s="2">
        <v>42746</v>
      </c>
      <c r="AQ8769" t="s">
        <v>72</v>
      </c>
      <c r="AR8769" t="s">
        <v>72</v>
      </c>
      <c r="AS8769">
        <v>2908</v>
      </c>
      <c r="AT8769" s="4">
        <v>42678</v>
      </c>
      <c r="AV8769">
        <v>2908</v>
      </c>
      <c r="AW8769" s="4">
        <v>42678</v>
      </c>
      <c r="BD8769">
        <v>0</v>
      </c>
      <c r="BN8769" t="s">
        <v>74</v>
      </c>
    </row>
    <row r="8770" spans="1:66">
      <c r="A8770">
        <v>106457</v>
      </c>
      <c r="B8770" s="3" t="s">
        <v>774</v>
      </c>
      <c r="C8770" s="1">
        <v>43500101</v>
      </c>
      <c r="D8770" t="s">
        <v>113</v>
      </c>
      <c r="H8770" t="str">
        <f t="shared" si="911"/>
        <v>CPNSNT75B56A509R</v>
      </c>
      <c r="I8770" t="str">
        <f t="shared" si="912"/>
        <v>02761340641</v>
      </c>
      <c r="K8770" t="str">
        <f>""</f>
        <v/>
      </c>
      <c r="M8770" t="s">
        <v>68</v>
      </c>
      <c r="N8770" t="str">
        <f t="shared" si="913"/>
        <v>ALTPRO</v>
      </c>
      <c r="O8770" t="s">
        <v>132</v>
      </c>
      <c r="P8770" s="3" t="s">
        <v>75</v>
      </c>
      <c r="Q8770">
        <v>2016</v>
      </c>
      <c r="R8770" s="2">
        <v>42705</v>
      </c>
      <c r="S8770" s="2">
        <v>42706</v>
      </c>
      <c r="T8770" s="2">
        <v>42706</v>
      </c>
      <c r="U8770" s="2">
        <v>42766</v>
      </c>
      <c r="V8770" t="s">
        <v>71</v>
      </c>
      <c r="W8770" t="str">
        <f>"        FATTPA 12_16"</f>
        <v xml:space="preserve">        FATTPA 12_16</v>
      </c>
      <c r="X8770" s="1">
        <v>1510.16</v>
      </c>
      <c r="Y8770">
        <v>-302.02999999999997</v>
      </c>
      <c r="Z8770" s="5">
        <v>1208.1300000000001</v>
      </c>
      <c r="AA8770">
        <v>-57</v>
      </c>
      <c r="AB8770" s="5">
        <v>-68863.41</v>
      </c>
      <c r="AC8770" s="1">
        <v>1208.1300000000001</v>
      </c>
      <c r="AD8770">
        <v>-57</v>
      </c>
      <c r="AE8770" s="1">
        <v>-68863.41</v>
      </c>
      <c r="AF8770">
        <v>0</v>
      </c>
      <c r="AJ8770" s="1">
        <v>1208.1300000000001</v>
      </c>
      <c r="AK8770" s="1">
        <v>1208.1300000000001</v>
      </c>
      <c r="AL8770" s="1">
        <v>1208.1300000000001</v>
      </c>
      <c r="AM8770" s="1">
        <v>1208.1300000000001</v>
      </c>
      <c r="AN8770" s="1">
        <v>1208.1300000000001</v>
      </c>
      <c r="AO8770" s="1">
        <v>1208.1300000000001</v>
      </c>
      <c r="AP8770" s="2">
        <v>42746</v>
      </c>
      <c r="AQ8770" t="s">
        <v>72</v>
      </c>
      <c r="AR8770" t="s">
        <v>72</v>
      </c>
      <c r="AS8770">
        <v>3339</v>
      </c>
      <c r="AT8770" s="4">
        <v>42709</v>
      </c>
      <c r="AV8770">
        <v>3339</v>
      </c>
      <c r="AW8770" s="4">
        <v>42709</v>
      </c>
      <c r="BD8770">
        <v>0</v>
      </c>
      <c r="BN8770" t="s">
        <v>74</v>
      </c>
    </row>
    <row r="8771" spans="1:66" hidden="1">
      <c r="A8771">
        <v>106463</v>
      </c>
      <c r="B8771" s="3" t="s">
        <v>775</v>
      </c>
      <c r="C8771" s="1">
        <v>43500101</v>
      </c>
      <c r="D8771" t="s">
        <v>113</v>
      </c>
      <c r="H8771" t="str">
        <f>"VNDMRA84A63F839F"</f>
        <v>VNDMRA84A63F839F</v>
      </c>
      <c r="I8771" t="str">
        <f>"07818101219"</f>
        <v>07818101219</v>
      </c>
      <c r="K8771" t="str">
        <f>""</f>
        <v/>
      </c>
      <c r="M8771" t="s">
        <v>68</v>
      </c>
      <c r="N8771" t="str">
        <f t="shared" si="913"/>
        <v>ALTPRO</v>
      </c>
      <c r="O8771" t="s">
        <v>132</v>
      </c>
      <c r="P8771" s="3" t="s">
        <v>75</v>
      </c>
      <c r="Q8771">
        <v>2016</v>
      </c>
      <c r="R8771" s="2">
        <v>42371</v>
      </c>
      <c r="S8771" s="2">
        <v>42376</v>
      </c>
      <c r="T8771" s="2">
        <v>42371</v>
      </c>
      <c r="U8771" s="2">
        <v>42431</v>
      </c>
      <c r="V8771" t="s">
        <v>71</v>
      </c>
      <c r="W8771" t="str">
        <f>"         FATTPA 1_16"</f>
        <v xml:space="preserve">         FATTPA 1_16</v>
      </c>
      <c r="X8771" s="1">
        <v>5995.97</v>
      </c>
      <c r="Y8771">
        <v>0</v>
      </c>
      <c r="Z8771"/>
      <c r="AB8771"/>
      <c r="AC8771" s="1">
        <v>5995.97</v>
      </c>
      <c r="AD8771">
        <v>-34</v>
      </c>
      <c r="AE8771" s="1">
        <v>-203862.98</v>
      </c>
      <c r="AF8771">
        <v>0</v>
      </c>
      <c r="AJ8771">
        <v>0</v>
      </c>
      <c r="AK8771">
        <v>0</v>
      </c>
      <c r="AL8771">
        <v>0</v>
      </c>
      <c r="AM8771">
        <v>0</v>
      </c>
      <c r="AN8771" s="1">
        <v>5995.97</v>
      </c>
      <c r="AO8771" s="1">
        <v>5995.97</v>
      </c>
      <c r="AP8771" s="2">
        <v>42746</v>
      </c>
      <c r="AQ8771" t="s">
        <v>72</v>
      </c>
      <c r="AR8771" t="s">
        <v>72</v>
      </c>
      <c r="AS8771">
        <v>120</v>
      </c>
      <c r="AT8771" s="4">
        <v>42397</v>
      </c>
      <c r="AV8771">
        <v>120</v>
      </c>
      <c r="AW8771" s="4">
        <v>42397</v>
      </c>
      <c r="BD8771">
        <v>0</v>
      </c>
      <c r="BN8771" t="s">
        <v>74</v>
      </c>
    </row>
    <row r="8772" spans="1:66" hidden="1">
      <c r="A8772">
        <v>106463</v>
      </c>
      <c r="B8772" s="3" t="s">
        <v>775</v>
      </c>
      <c r="C8772" s="1">
        <v>43500101</v>
      </c>
      <c r="D8772" t="s">
        <v>113</v>
      </c>
      <c r="H8772" t="str">
        <f>"VNDMRA84A63F839F"</f>
        <v>VNDMRA84A63F839F</v>
      </c>
      <c r="I8772" t="str">
        <f>"07818101219"</f>
        <v>07818101219</v>
      </c>
      <c r="K8772" t="str">
        <f>""</f>
        <v/>
      </c>
      <c r="M8772" t="s">
        <v>68</v>
      </c>
      <c r="N8772" t="str">
        <f t="shared" si="913"/>
        <v>ALTPRO</v>
      </c>
      <c r="O8772" t="s">
        <v>132</v>
      </c>
      <c r="P8772" s="3" t="s">
        <v>75</v>
      </c>
      <c r="Q8772">
        <v>2016</v>
      </c>
      <c r="R8772" s="2">
        <v>42373</v>
      </c>
      <c r="S8772" s="2">
        <v>42377</v>
      </c>
      <c r="T8772" s="2">
        <v>42373</v>
      </c>
      <c r="U8772" s="2">
        <v>42433</v>
      </c>
      <c r="V8772" t="s">
        <v>71</v>
      </c>
      <c r="W8772" t="str">
        <f>"         FATTPA 2_16"</f>
        <v xml:space="preserve">         FATTPA 2_16</v>
      </c>
      <c r="X8772" s="1">
        <v>1242.9100000000001</v>
      </c>
      <c r="Y8772">
        <v>0</v>
      </c>
      <c r="Z8772"/>
      <c r="AB8772"/>
      <c r="AC8772" s="1">
        <v>1242.9100000000001</v>
      </c>
      <c r="AD8772">
        <v>-36</v>
      </c>
      <c r="AE8772" s="1">
        <v>-44744.76</v>
      </c>
      <c r="AF8772">
        <v>0</v>
      </c>
      <c r="AJ8772">
        <v>0</v>
      </c>
      <c r="AK8772">
        <v>0</v>
      </c>
      <c r="AL8772">
        <v>0</v>
      </c>
      <c r="AM8772">
        <v>0</v>
      </c>
      <c r="AN8772" s="1">
        <v>1242.9100000000001</v>
      </c>
      <c r="AO8772" s="1">
        <v>1242.9100000000001</v>
      </c>
      <c r="AP8772" s="2">
        <v>42746</v>
      </c>
      <c r="AQ8772" t="s">
        <v>72</v>
      </c>
      <c r="AR8772" t="s">
        <v>72</v>
      </c>
      <c r="AS8772">
        <v>120</v>
      </c>
      <c r="AT8772" s="4">
        <v>42397</v>
      </c>
      <c r="AV8772">
        <v>120</v>
      </c>
      <c r="AW8772" s="4">
        <v>42397</v>
      </c>
      <c r="BD8772">
        <v>0</v>
      </c>
      <c r="BN8772" t="s">
        <v>74</v>
      </c>
    </row>
    <row r="8773" spans="1:66" hidden="1">
      <c r="A8773">
        <v>106464</v>
      </c>
      <c r="B8773" s="3" t="s">
        <v>776</v>
      </c>
      <c r="C8773" s="1">
        <v>43500101</v>
      </c>
      <c r="D8773" t="s">
        <v>113</v>
      </c>
      <c r="H8773" t="str">
        <f>"CRCPTR81B07F839C"</f>
        <v>CRCPTR81B07F839C</v>
      </c>
      <c r="I8773" t="str">
        <f>"01521570620"</f>
        <v>01521570620</v>
      </c>
      <c r="K8773" t="str">
        <f>""</f>
        <v/>
      </c>
      <c r="M8773" t="s">
        <v>68</v>
      </c>
      <c r="N8773" t="str">
        <f t="shared" si="913"/>
        <v>ALTPRO</v>
      </c>
      <c r="O8773" t="s">
        <v>132</v>
      </c>
      <c r="P8773" s="3" t="s">
        <v>75</v>
      </c>
      <c r="Q8773">
        <v>2015</v>
      </c>
      <c r="R8773" s="2">
        <v>42369</v>
      </c>
      <c r="S8773" s="2">
        <v>42369</v>
      </c>
      <c r="T8773" s="2">
        <v>42369</v>
      </c>
      <c r="U8773" s="2">
        <v>42429</v>
      </c>
      <c r="V8773" t="s">
        <v>71</v>
      </c>
      <c r="W8773" t="str">
        <f>"        FATTPA 16_15"</f>
        <v xml:space="preserve">        FATTPA 16_15</v>
      </c>
      <c r="X8773" s="1">
        <v>2973.14</v>
      </c>
      <c r="Y8773">
        <v>-594.63</v>
      </c>
      <c r="Z8773"/>
      <c r="AB8773"/>
      <c r="AC8773" s="1">
        <v>2378.5100000000002</v>
      </c>
      <c r="AD8773">
        <v>-32</v>
      </c>
      <c r="AE8773" s="1">
        <v>-76112.320000000007</v>
      </c>
      <c r="AF8773">
        <v>0</v>
      </c>
      <c r="AJ8773">
        <v>0</v>
      </c>
      <c r="AK8773">
        <v>0</v>
      </c>
      <c r="AL8773">
        <v>0</v>
      </c>
      <c r="AM8773">
        <v>0</v>
      </c>
      <c r="AN8773">
        <v>0</v>
      </c>
      <c r="AO8773">
        <v>0</v>
      </c>
      <c r="AP8773" s="2">
        <v>42746</v>
      </c>
      <c r="AQ8773" t="s">
        <v>72</v>
      </c>
      <c r="AR8773" t="s">
        <v>72</v>
      </c>
      <c r="AS8773">
        <v>121</v>
      </c>
      <c r="AT8773" s="4">
        <v>42397</v>
      </c>
      <c r="AV8773">
        <v>121</v>
      </c>
      <c r="AW8773" s="4">
        <v>42397</v>
      </c>
      <c r="BD8773">
        <v>0</v>
      </c>
      <c r="BN8773" t="s">
        <v>74</v>
      </c>
    </row>
    <row r="8774" spans="1:66" hidden="1">
      <c r="A8774">
        <v>106464</v>
      </c>
      <c r="B8774" s="3" t="s">
        <v>776</v>
      </c>
      <c r="C8774" s="1">
        <v>43500101</v>
      </c>
      <c r="D8774" t="s">
        <v>113</v>
      </c>
      <c r="H8774" t="str">
        <f>"CRCPTR81B07F839C"</f>
        <v>CRCPTR81B07F839C</v>
      </c>
      <c r="I8774" t="str">
        <f>"01521570620"</f>
        <v>01521570620</v>
      </c>
      <c r="K8774" t="str">
        <f>""</f>
        <v/>
      </c>
      <c r="M8774" t="s">
        <v>68</v>
      </c>
      <c r="N8774" t="str">
        <f t="shared" si="913"/>
        <v>ALTPRO</v>
      </c>
      <c r="O8774" t="s">
        <v>132</v>
      </c>
      <c r="P8774" s="3" t="s">
        <v>75</v>
      </c>
      <c r="Q8774">
        <v>2016</v>
      </c>
      <c r="R8774" s="2">
        <v>42397</v>
      </c>
      <c r="S8774" s="2">
        <v>42402</v>
      </c>
      <c r="T8774" s="2">
        <v>42397</v>
      </c>
      <c r="U8774" s="2">
        <v>42457</v>
      </c>
      <c r="V8774" t="s">
        <v>71</v>
      </c>
      <c r="W8774" t="str">
        <f>"         FATTPA 1_16"</f>
        <v xml:space="preserve">         FATTPA 1_16</v>
      </c>
      <c r="X8774" s="1">
        <v>2944.14</v>
      </c>
      <c r="Y8774">
        <v>-588.83000000000004</v>
      </c>
      <c r="Z8774"/>
      <c r="AB8774"/>
      <c r="AC8774" s="1">
        <v>2355.31</v>
      </c>
      <c r="AD8774">
        <v>-31</v>
      </c>
      <c r="AE8774" s="1">
        <v>-73014.61</v>
      </c>
      <c r="AF8774">
        <v>0</v>
      </c>
      <c r="AJ8774">
        <v>0</v>
      </c>
      <c r="AK8774">
        <v>0</v>
      </c>
      <c r="AL8774">
        <v>0</v>
      </c>
      <c r="AM8774" s="1">
        <v>2355.31</v>
      </c>
      <c r="AN8774" s="1">
        <v>2355.31</v>
      </c>
      <c r="AO8774" s="1">
        <v>2355.31</v>
      </c>
      <c r="AP8774" s="2">
        <v>42746</v>
      </c>
      <c r="AQ8774" t="s">
        <v>72</v>
      </c>
      <c r="AR8774" t="s">
        <v>72</v>
      </c>
      <c r="AS8774">
        <v>581</v>
      </c>
      <c r="AT8774" s="4">
        <v>42426</v>
      </c>
      <c r="AV8774">
        <v>581</v>
      </c>
      <c r="AW8774" s="4">
        <v>42426</v>
      </c>
      <c r="BD8774">
        <v>0</v>
      </c>
      <c r="BN8774" t="s">
        <v>74</v>
      </c>
    </row>
    <row r="8775" spans="1:66" hidden="1">
      <c r="A8775">
        <v>106464</v>
      </c>
      <c r="B8775" s="3" t="s">
        <v>776</v>
      </c>
      <c r="C8775" s="1">
        <v>43500101</v>
      </c>
      <c r="D8775" t="s">
        <v>113</v>
      </c>
      <c r="H8775" t="str">
        <f>"CRCPTR81B07F839C"</f>
        <v>CRCPTR81B07F839C</v>
      </c>
      <c r="I8775" t="str">
        <f>"01521570620"</f>
        <v>01521570620</v>
      </c>
      <c r="K8775" t="str">
        <f>""</f>
        <v/>
      </c>
      <c r="M8775" t="s">
        <v>68</v>
      </c>
      <c r="N8775" t="str">
        <f t="shared" si="913"/>
        <v>ALTPRO</v>
      </c>
      <c r="O8775" t="s">
        <v>132</v>
      </c>
      <c r="P8775" s="3" t="s">
        <v>75</v>
      </c>
      <c r="Q8775">
        <v>2016</v>
      </c>
      <c r="R8775" s="2">
        <v>42424</v>
      </c>
      <c r="S8775" s="2">
        <v>42426</v>
      </c>
      <c r="T8775" s="2">
        <v>42424</v>
      </c>
      <c r="U8775" s="2">
        <v>42484</v>
      </c>
      <c r="V8775" t="s">
        <v>71</v>
      </c>
      <c r="W8775" t="str">
        <f>"         FATTPA 2_16"</f>
        <v xml:space="preserve">         FATTPA 2_16</v>
      </c>
      <c r="X8775" s="1">
        <v>1388.72</v>
      </c>
      <c r="Y8775">
        <v>-277.74</v>
      </c>
      <c r="Z8775"/>
      <c r="AB8775"/>
      <c r="AC8775" s="1">
        <v>1110.98</v>
      </c>
      <c r="AD8775">
        <v>-33</v>
      </c>
      <c r="AE8775" s="1">
        <v>-36662.339999999997</v>
      </c>
      <c r="AF8775">
        <v>0</v>
      </c>
      <c r="AJ8775">
        <v>0</v>
      </c>
      <c r="AK8775">
        <v>0</v>
      </c>
      <c r="AL8775">
        <v>0</v>
      </c>
      <c r="AM8775" s="1">
        <v>1110.98</v>
      </c>
      <c r="AN8775" s="1">
        <v>1110.98</v>
      </c>
      <c r="AO8775" s="1">
        <v>1110.98</v>
      </c>
      <c r="AP8775" s="2">
        <v>42746</v>
      </c>
      <c r="AQ8775" t="s">
        <v>72</v>
      </c>
      <c r="AR8775" t="s">
        <v>72</v>
      </c>
      <c r="AS8775">
        <v>740</v>
      </c>
      <c r="AT8775" s="4">
        <v>42451</v>
      </c>
      <c r="AV8775">
        <v>740</v>
      </c>
      <c r="AW8775" s="4">
        <v>42451</v>
      </c>
      <c r="BD8775">
        <v>0</v>
      </c>
      <c r="BN8775" t="s">
        <v>74</v>
      </c>
    </row>
    <row r="8776" spans="1:66" hidden="1">
      <c r="A8776">
        <v>106467</v>
      </c>
      <c r="B8776" s="3" t="s">
        <v>777</v>
      </c>
      <c r="C8776" s="1">
        <v>43500101</v>
      </c>
      <c r="D8776" t="s">
        <v>113</v>
      </c>
      <c r="H8776" t="str">
        <f t="shared" ref="H8776:H8787" si="914">"RDCDNI84E53L259D"</f>
        <v>RDCDNI84E53L259D</v>
      </c>
      <c r="I8776" t="str">
        <f t="shared" ref="I8776:I8787" si="915">"07841501211"</f>
        <v>07841501211</v>
      </c>
      <c r="K8776" t="str">
        <f>""</f>
        <v/>
      </c>
      <c r="M8776" t="s">
        <v>68</v>
      </c>
      <c r="N8776" t="str">
        <f t="shared" si="913"/>
        <v>ALTPRO</v>
      </c>
      <c r="O8776" t="s">
        <v>132</v>
      </c>
      <c r="P8776" s="3" t="s">
        <v>75</v>
      </c>
      <c r="Q8776">
        <v>2016</v>
      </c>
      <c r="R8776" s="2">
        <v>42376</v>
      </c>
      <c r="S8776" s="2">
        <v>42382</v>
      </c>
      <c r="T8776" s="2">
        <v>42379</v>
      </c>
      <c r="U8776" s="2">
        <v>42439</v>
      </c>
      <c r="V8776" t="s">
        <v>71</v>
      </c>
      <c r="W8776" t="str">
        <f>"         FATTPA 1_16"</f>
        <v xml:space="preserve">         FATTPA 1_16</v>
      </c>
      <c r="X8776" s="1">
        <v>2212.63</v>
      </c>
      <c r="Y8776">
        <v>0</v>
      </c>
      <c r="Z8776"/>
      <c r="AB8776"/>
      <c r="AC8776" s="1">
        <v>2212.63</v>
      </c>
      <c r="AD8776">
        <v>-42</v>
      </c>
      <c r="AE8776" s="1">
        <v>-92930.46</v>
      </c>
      <c r="AF8776">
        <v>0</v>
      </c>
      <c r="AJ8776">
        <v>0</v>
      </c>
      <c r="AK8776">
        <v>0</v>
      </c>
      <c r="AL8776">
        <v>0</v>
      </c>
      <c r="AM8776">
        <v>0</v>
      </c>
      <c r="AN8776" s="1">
        <v>2212.63</v>
      </c>
      <c r="AO8776" s="1">
        <v>2212.63</v>
      </c>
      <c r="AP8776" s="2">
        <v>42746</v>
      </c>
      <c r="AQ8776" t="s">
        <v>72</v>
      </c>
      <c r="AR8776" t="s">
        <v>72</v>
      </c>
      <c r="AS8776">
        <v>129</v>
      </c>
      <c r="AT8776" s="4">
        <v>42397</v>
      </c>
      <c r="AV8776">
        <v>129</v>
      </c>
      <c r="AW8776" s="4">
        <v>42397</v>
      </c>
      <c r="BD8776">
        <v>0</v>
      </c>
      <c r="BN8776" t="s">
        <v>74</v>
      </c>
    </row>
    <row r="8777" spans="1:66" hidden="1">
      <c r="A8777">
        <v>106467</v>
      </c>
      <c r="B8777" s="3" t="s">
        <v>777</v>
      </c>
      <c r="C8777" s="1">
        <v>43500101</v>
      </c>
      <c r="D8777" t="s">
        <v>113</v>
      </c>
      <c r="H8777" t="str">
        <f t="shared" si="914"/>
        <v>RDCDNI84E53L259D</v>
      </c>
      <c r="I8777" t="str">
        <f t="shared" si="915"/>
        <v>07841501211</v>
      </c>
      <c r="K8777" t="str">
        <f>""</f>
        <v/>
      </c>
      <c r="M8777" t="s">
        <v>68</v>
      </c>
      <c r="N8777" t="str">
        <f t="shared" si="913"/>
        <v>ALTPRO</v>
      </c>
      <c r="O8777" t="s">
        <v>132</v>
      </c>
      <c r="P8777" s="3" t="s">
        <v>75</v>
      </c>
      <c r="Q8777">
        <v>2016</v>
      </c>
      <c r="R8777" s="2">
        <v>42404</v>
      </c>
      <c r="S8777" s="2">
        <v>42408</v>
      </c>
      <c r="T8777" s="2">
        <v>42405</v>
      </c>
      <c r="U8777" s="2">
        <v>42465</v>
      </c>
      <c r="V8777" t="s">
        <v>71</v>
      </c>
      <c r="W8777" t="str">
        <f>"         FATTPA 2_16"</f>
        <v xml:space="preserve">         FATTPA 2_16</v>
      </c>
      <c r="X8777" s="1">
        <v>2513.79</v>
      </c>
      <c r="Y8777">
        <v>0</v>
      </c>
      <c r="Z8777"/>
      <c r="AB8777"/>
      <c r="AC8777" s="1">
        <v>2513.79</v>
      </c>
      <c r="AD8777">
        <v>-39</v>
      </c>
      <c r="AE8777" s="1">
        <v>-98037.81</v>
      </c>
      <c r="AF8777">
        <v>0</v>
      </c>
      <c r="AJ8777">
        <v>0</v>
      </c>
      <c r="AK8777">
        <v>0</v>
      </c>
      <c r="AL8777">
        <v>0</v>
      </c>
      <c r="AM8777" s="1">
        <v>2513.79</v>
      </c>
      <c r="AN8777" s="1">
        <v>2513.79</v>
      </c>
      <c r="AO8777" s="1">
        <v>2513.79</v>
      </c>
      <c r="AP8777" s="2">
        <v>42746</v>
      </c>
      <c r="AQ8777" t="s">
        <v>72</v>
      </c>
      <c r="AR8777" t="s">
        <v>72</v>
      </c>
      <c r="AS8777">
        <v>566</v>
      </c>
      <c r="AT8777" s="4">
        <v>42426</v>
      </c>
      <c r="AV8777">
        <v>566</v>
      </c>
      <c r="AW8777" s="4">
        <v>42426</v>
      </c>
      <c r="BD8777">
        <v>0</v>
      </c>
      <c r="BN8777" t="s">
        <v>74</v>
      </c>
    </row>
    <row r="8778" spans="1:66" hidden="1">
      <c r="A8778">
        <v>106467</v>
      </c>
      <c r="B8778" s="3" t="s">
        <v>777</v>
      </c>
      <c r="C8778" s="1">
        <v>43500101</v>
      </c>
      <c r="D8778" t="s">
        <v>113</v>
      </c>
      <c r="H8778" t="str">
        <f t="shared" si="914"/>
        <v>RDCDNI84E53L259D</v>
      </c>
      <c r="I8778" t="str">
        <f t="shared" si="915"/>
        <v>07841501211</v>
      </c>
      <c r="K8778" t="str">
        <f>""</f>
        <v/>
      </c>
      <c r="M8778" t="s">
        <v>68</v>
      </c>
      <c r="N8778" t="str">
        <f t="shared" si="913"/>
        <v>ALTPRO</v>
      </c>
      <c r="O8778" t="s">
        <v>132</v>
      </c>
      <c r="P8778" s="3" t="s">
        <v>75</v>
      </c>
      <c r="Q8778">
        <v>2016</v>
      </c>
      <c r="R8778" s="2">
        <v>42436</v>
      </c>
      <c r="S8778" s="2">
        <v>42438</v>
      </c>
      <c r="T8778" s="2">
        <v>42437</v>
      </c>
      <c r="U8778" s="2">
        <v>42497</v>
      </c>
      <c r="V8778" t="s">
        <v>71</v>
      </c>
      <c r="W8778" t="str">
        <f>"         FATTPA 3_16"</f>
        <v xml:space="preserve">         FATTPA 3_16</v>
      </c>
      <c r="X8778" s="1">
        <v>2396.14</v>
      </c>
      <c r="Y8778">
        <v>0</v>
      </c>
      <c r="Z8778"/>
      <c r="AB8778"/>
      <c r="AC8778" s="1">
        <v>2396.14</v>
      </c>
      <c r="AD8778">
        <v>-46</v>
      </c>
      <c r="AE8778" s="1">
        <v>-110222.44</v>
      </c>
      <c r="AF8778">
        <v>0</v>
      </c>
      <c r="AJ8778">
        <v>0</v>
      </c>
      <c r="AK8778">
        <v>0</v>
      </c>
      <c r="AL8778">
        <v>0</v>
      </c>
      <c r="AM8778" s="1">
        <v>2396.14</v>
      </c>
      <c r="AN8778" s="1">
        <v>2396.14</v>
      </c>
      <c r="AO8778" s="1">
        <v>2396.14</v>
      </c>
      <c r="AP8778" s="2">
        <v>42746</v>
      </c>
      <c r="AQ8778" t="s">
        <v>72</v>
      </c>
      <c r="AR8778" t="s">
        <v>72</v>
      </c>
      <c r="AS8778">
        <v>710</v>
      </c>
      <c r="AT8778" s="4">
        <v>42451</v>
      </c>
      <c r="AV8778">
        <v>710</v>
      </c>
      <c r="AW8778" s="4">
        <v>42451</v>
      </c>
      <c r="BD8778">
        <v>0</v>
      </c>
      <c r="BN8778" t="s">
        <v>74</v>
      </c>
    </row>
    <row r="8779" spans="1:66" hidden="1">
      <c r="A8779">
        <v>106467</v>
      </c>
      <c r="B8779" s="3" t="s">
        <v>777</v>
      </c>
      <c r="C8779" s="1">
        <v>43500101</v>
      </c>
      <c r="D8779" t="s">
        <v>113</v>
      </c>
      <c r="H8779" t="str">
        <f t="shared" si="914"/>
        <v>RDCDNI84E53L259D</v>
      </c>
      <c r="I8779" t="str">
        <f t="shared" si="915"/>
        <v>07841501211</v>
      </c>
      <c r="K8779" t="str">
        <f>""</f>
        <v/>
      </c>
      <c r="M8779" t="s">
        <v>68</v>
      </c>
      <c r="N8779" t="str">
        <f t="shared" si="913"/>
        <v>ALTPRO</v>
      </c>
      <c r="O8779" t="s">
        <v>132</v>
      </c>
      <c r="P8779" s="3" t="s">
        <v>75</v>
      </c>
      <c r="Q8779">
        <v>2016</v>
      </c>
      <c r="R8779" s="2">
        <v>42463</v>
      </c>
      <c r="S8779" s="2">
        <v>42465</v>
      </c>
      <c r="T8779" s="2">
        <v>42464</v>
      </c>
      <c r="U8779" s="2">
        <v>42524</v>
      </c>
      <c r="V8779" t="s">
        <v>71</v>
      </c>
      <c r="W8779" t="str">
        <f>"         FATTPA 4_16"</f>
        <v xml:space="preserve">         FATTPA 4_16</v>
      </c>
      <c r="X8779" s="1">
        <v>2741.36</v>
      </c>
      <c r="Y8779">
        <v>0</v>
      </c>
      <c r="Z8779"/>
      <c r="AB8779"/>
      <c r="AC8779" s="1">
        <v>2741.36</v>
      </c>
      <c r="AD8779">
        <v>-37</v>
      </c>
      <c r="AE8779" s="1">
        <v>-101430.32</v>
      </c>
      <c r="AF8779">
        <v>0</v>
      </c>
      <c r="AJ8779">
        <v>0</v>
      </c>
      <c r="AK8779">
        <v>0</v>
      </c>
      <c r="AL8779">
        <v>0</v>
      </c>
      <c r="AM8779" s="1">
        <v>2741.36</v>
      </c>
      <c r="AN8779" s="1">
        <v>2741.36</v>
      </c>
      <c r="AO8779" s="1">
        <v>2741.36</v>
      </c>
      <c r="AP8779" s="2">
        <v>42746</v>
      </c>
      <c r="AQ8779" t="s">
        <v>72</v>
      </c>
      <c r="AR8779" t="s">
        <v>72</v>
      </c>
      <c r="AS8779">
        <v>1148</v>
      </c>
      <c r="AT8779" s="4">
        <v>42487</v>
      </c>
      <c r="AV8779">
        <v>1148</v>
      </c>
      <c r="AW8779" s="4">
        <v>42487</v>
      </c>
      <c r="BD8779">
        <v>0</v>
      </c>
      <c r="BN8779" t="s">
        <v>74</v>
      </c>
    </row>
    <row r="8780" spans="1:66" hidden="1">
      <c r="A8780">
        <v>106467</v>
      </c>
      <c r="B8780" s="3" t="s">
        <v>777</v>
      </c>
      <c r="C8780" s="1">
        <v>43500101</v>
      </c>
      <c r="D8780" t="s">
        <v>113</v>
      </c>
      <c r="H8780" t="str">
        <f t="shared" si="914"/>
        <v>RDCDNI84E53L259D</v>
      </c>
      <c r="I8780" t="str">
        <f t="shared" si="915"/>
        <v>07841501211</v>
      </c>
      <c r="K8780" t="str">
        <f>""</f>
        <v/>
      </c>
      <c r="M8780" t="s">
        <v>68</v>
      </c>
      <c r="N8780" t="str">
        <f t="shared" si="913"/>
        <v>ALTPRO</v>
      </c>
      <c r="O8780" t="s">
        <v>132</v>
      </c>
      <c r="P8780" s="3" t="s">
        <v>75</v>
      </c>
      <c r="Q8780">
        <v>2016</v>
      </c>
      <c r="R8780" s="2">
        <v>42493</v>
      </c>
      <c r="S8780" s="2">
        <v>42495</v>
      </c>
      <c r="T8780" s="2">
        <v>42493</v>
      </c>
      <c r="U8780" s="2">
        <v>42553</v>
      </c>
      <c r="V8780" t="s">
        <v>71</v>
      </c>
      <c r="W8780" t="str">
        <f>"         FATTPA 5_16"</f>
        <v xml:space="preserve">         FATTPA 5_16</v>
      </c>
      <c r="X8780" s="1">
        <v>2423.35</v>
      </c>
      <c r="Y8780">
        <v>0</v>
      </c>
      <c r="Z8780"/>
      <c r="AB8780"/>
      <c r="AC8780" s="1">
        <v>2423.35</v>
      </c>
      <c r="AD8780">
        <v>-37</v>
      </c>
      <c r="AE8780" s="1">
        <v>-89663.95</v>
      </c>
      <c r="AF8780">
        <v>0</v>
      </c>
      <c r="AJ8780">
        <v>0</v>
      </c>
      <c r="AK8780">
        <v>0</v>
      </c>
      <c r="AL8780">
        <v>0</v>
      </c>
      <c r="AM8780" s="1">
        <v>2423.35</v>
      </c>
      <c r="AN8780" s="1">
        <v>2423.35</v>
      </c>
      <c r="AO8780" s="1">
        <v>2423.35</v>
      </c>
      <c r="AP8780" s="2">
        <v>42746</v>
      </c>
      <c r="AQ8780" t="s">
        <v>72</v>
      </c>
      <c r="AR8780" t="s">
        <v>72</v>
      </c>
      <c r="AS8780">
        <v>1389</v>
      </c>
      <c r="AT8780" s="4">
        <v>42516</v>
      </c>
      <c r="AV8780">
        <v>1389</v>
      </c>
      <c r="AW8780" s="4">
        <v>42516</v>
      </c>
      <c r="BD8780">
        <v>0</v>
      </c>
      <c r="BN8780" t="s">
        <v>74</v>
      </c>
    </row>
    <row r="8781" spans="1:66" hidden="1">
      <c r="A8781">
        <v>106467</v>
      </c>
      <c r="B8781" s="3" t="s">
        <v>777</v>
      </c>
      <c r="C8781" s="1">
        <v>43500101</v>
      </c>
      <c r="D8781" t="s">
        <v>113</v>
      </c>
      <c r="H8781" t="str">
        <f t="shared" si="914"/>
        <v>RDCDNI84E53L259D</v>
      </c>
      <c r="I8781" t="str">
        <f t="shared" si="915"/>
        <v>07841501211</v>
      </c>
      <c r="K8781" t="str">
        <f>""</f>
        <v/>
      </c>
      <c r="M8781" t="s">
        <v>68</v>
      </c>
      <c r="N8781" t="str">
        <f t="shared" si="913"/>
        <v>ALTPRO</v>
      </c>
      <c r="O8781" t="s">
        <v>132</v>
      </c>
      <c r="P8781" s="3" t="s">
        <v>75</v>
      </c>
      <c r="Q8781">
        <v>2016</v>
      </c>
      <c r="R8781" s="2">
        <v>42529</v>
      </c>
      <c r="S8781" s="2">
        <v>42529</v>
      </c>
      <c r="T8781" s="2">
        <v>42529</v>
      </c>
      <c r="U8781" s="2">
        <v>42589</v>
      </c>
      <c r="V8781" t="s">
        <v>71</v>
      </c>
      <c r="W8781" t="str">
        <f>"         FATTPA 6_16"</f>
        <v xml:space="preserve">         FATTPA 6_16</v>
      </c>
      <c r="X8781" s="1">
        <v>2741.36</v>
      </c>
      <c r="Y8781">
        <v>0</v>
      </c>
      <c r="Z8781"/>
      <c r="AB8781"/>
      <c r="AC8781" s="1">
        <v>2741.36</v>
      </c>
      <c r="AD8781">
        <v>-37</v>
      </c>
      <c r="AE8781" s="1">
        <v>-101430.32</v>
      </c>
      <c r="AF8781">
        <v>0</v>
      </c>
      <c r="AJ8781">
        <v>0</v>
      </c>
      <c r="AK8781">
        <v>0</v>
      </c>
      <c r="AL8781">
        <v>0</v>
      </c>
      <c r="AM8781" s="1">
        <v>2741.36</v>
      </c>
      <c r="AN8781" s="1">
        <v>2741.36</v>
      </c>
      <c r="AO8781" s="1">
        <v>2741.36</v>
      </c>
      <c r="AP8781" s="2">
        <v>42746</v>
      </c>
      <c r="AQ8781" t="s">
        <v>72</v>
      </c>
      <c r="AR8781" t="s">
        <v>72</v>
      </c>
      <c r="AS8781">
        <v>1642</v>
      </c>
      <c r="AT8781" s="4">
        <v>42552</v>
      </c>
      <c r="AV8781">
        <v>1642</v>
      </c>
      <c r="AW8781" s="4">
        <v>42552</v>
      </c>
      <c r="BD8781">
        <v>0</v>
      </c>
      <c r="BN8781" t="s">
        <v>74</v>
      </c>
    </row>
    <row r="8782" spans="1:66" hidden="1">
      <c r="A8782">
        <v>106467</v>
      </c>
      <c r="B8782" s="3" t="s">
        <v>777</v>
      </c>
      <c r="C8782" s="1">
        <v>43500101</v>
      </c>
      <c r="D8782" t="s">
        <v>113</v>
      </c>
      <c r="H8782" t="str">
        <f t="shared" si="914"/>
        <v>RDCDNI84E53L259D</v>
      </c>
      <c r="I8782" t="str">
        <f t="shared" si="915"/>
        <v>07841501211</v>
      </c>
      <c r="K8782" t="str">
        <f>""</f>
        <v/>
      </c>
      <c r="M8782" t="s">
        <v>68</v>
      </c>
      <c r="N8782" t="str">
        <f t="shared" si="913"/>
        <v>ALTPRO</v>
      </c>
      <c r="O8782" t="s">
        <v>132</v>
      </c>
      <c r="P8782" s="3" t="s">
        <v>75</v>
      </c>
      <c r="Q8782">
        <v>2016</v>
      </c>
      <c r="R8782" s="2">
        <v>42552</v>
      </c>
      <c r="S8782" s="2">
        <v>42555</v>
      </c>
      <c r="T8782" s="2">
        <v>42552</v>
      </c>
      <c r="U8782" s="2">
        <v>42612</v>
      </c>
      <c r="V8782" t="s">
        <v>71</v>
      </c>
      <c r="W8782" t="str">
        <f>"         FATTPA 7_16"</f>
        <v xml:space="preserve">         FATTPA 7_16</v>
      </c>
      <c r="X8782" s="1">
        <v>2636</v>
      </c>
      <c r="Y8782">
        <v>0</v>
      </c>
      <c r="Z8782"/>
      <c r="AB8782"/>
      <c r="AC8782" s="1">
        <v>2636</v>
      </c>
      <c r="AD8782">
        <v>-46</v>
      </c>
      <c r="AE8782" s="1">
        <v>-121256</v>
      </c>
      <c r="AF8782">
        <v>0</v>
      </c>
      <c r="AJ8782">
        <v>0</v>
      </c>
      <c r="AK8782">
        <v>0</v>
      </c>
      <c r="AL8782">
        <v>0</v>
      </c>
      <c r="AM8782" s="1">
        <v>2636</v>
      </c>
      <c r="AN8782" s="1">
        <v>2636</v>
      </c>
      <c r="AO8782" s="1">
        <v>2636</v>
      </c>
      <c r="AP8782" s="2">
        <v>42746</v>
      </c>
      <c r="AQ8782" t="s">
        <v>72</v>
      </c>
      <c r="AR8782" t="s">
        <v>72</v>
      </c>
      <c r="AS8782">
        <v>1783</v>
      </c>
      <c r="AT8782" s="4">
        <v>42566</v>
      </c>
      <c r="AV8782">
        <v>1783</v>
      </c>
      <c r="AW8782" s="4">
        <v>42566</v>
      </c>
      <c r="BD8782">
        <v>0</v>
      </c>
      <c r="BN8782" t="s">
        <v>74</v>
      </c>
    </row>
    <row r="8783" spans="1:66" hidden="1">
      <c r="A8783">
        <v>106467</v>
      </c>
      <c r="B8783" s="3" t="s">
        <v>777</v>
      </c>
      <c r="C8783" s="1">
        <v>43500101</v>
      </c>
      <c r="D8783" t="s">
        <v>113</v>
      </c>
      <c r="H8783" t="str">
        <f t="shared" si="914"/>
        <v>RDCDNI84E53L259D</v>
      </c>
      <c r="I8783" t="str">
        <f t="shared" si="915"/>
        <v>07841501211</v>
      </c>
      <c r="K8783" t="str">
        <f>""</f>
        <v/>
      </c>
      <c r="M8783" t="s">
        <v>68</v>
      </c>
      <c r="N8783" t="str">
        <f t="shared" si="913"/>
        <v>ALTPRO</v>
      </c>
      <c r="O8783" t="s">
        <v>132</v>
      </c>
      <c r="P8783" s="3" t="s">
        <v>75</v>
      </c>
      <c r="Q8783">
        <v>2016</v>
      </c>
      <c r="R8783" s="2">
        <v>42583</v>
      </c>
      <c r="S8783" s="2">
        <v>42585</v>
      </c>
      <c r="T8783" s="2">
        <v>42584</v>
      </c>
      <c r="U8783" s="2">
        <v>42644</v>
      </c>
      <c r="V8783" t="s">
        <v>71</v>
      </c>
      <c r="W8783" t="str">
        <f>"         FATTPA 8_16"</f>
        <v xml:space="preserve">         FATTPA 8_16</v>
      </c>
      <c r="X8783" s="1">
        <v>2741.36</v>
      </c>
      <c r="Y8783">
        <v>0</v>
      </c>
      <c r="Z8783"/>
      <c r="AB8783"/>
      <c r="AC8783" s="1">
        <v>2741.36</v>
      </c>
      <c r="AD8783">
        <v>-59</v>
      </c>
      <c r="AE8783" s="1">
        <v>-161740.24</v>
      </c>
      <c r="AF8783">
        <v>0</v>
      </c>
      <c r="AJ8783">
        <v>0</v>
      </c>
      <c r="AK8783">
        <v>0</v>
      </c>
      <c r="AL8783">
        <v>0</v>
      </c>
      <c r="AM8783" s="1">
        <v>2741.36</v>
      </c>
      <c r="AN8783" s="1">
        <v>2741.36</v>
      </c>
      <c r="AO8783" s="1">
        <v>2741.36</v>
      </c>
      <c r="AP8783" s="2">
        <v>42746</v>
      </c>
      <c r="AQ8783" t="s">
        <v>72</v>
      </c>
      <c r="AR8783" t="s">
        <v>72</v>
      </c>
      <c r="AS8783">
        <v>2063</v>
      </c>
      <c r="AT8783" s="4">
        <v>42585</v>
      </c>
      <c r="AV8783">
        <v>2063</v>
      </c>
      <c r="AW8783" s="4">
        <v>42585</v>
      </c>
      <c r="BD8783">
        <v>0</v>
      </c>
      <c r="BN8783" t="s">
        <v>74</v>
      </c>
    </row>
    <row r="8784" spans="1:66">
      <c r="A8784">
        <v>106467</v>
      </c>
      <c r="B8784" s="3" t="s">
        <v>777</v>
      </c>
      <c r="C8784" s="1">
        <v>43500101</v>
      </c>
      <c r="D8784" t="s">
        <v>113</v>
      </c>
      <c r="H8784" t="str">
        <f t="shared" si="914"/>
        <v>RDCDNI84E53L259D</v>
      </c>
      <c r="I8784" t="str">
        <f t="shared" si="915"/>
        <v>07841501211</v>
      </c>
      <c r="K8784" t="str">
        <f>""</f>
        <v/>
      </c>
      <c r="M8784" t="s">
        <v>68</v>
      </c>
      <c r="N8784" t="str">
        <f t="shared" si="913"/>
        <v>ALTPRO</v>
      </c>
      <c r="O8784" t="s">
        <v>132</v>
      </c>
      <c r="P8784" s="3" t="s">
        <v>75</v>
      </c>
      <c r="Q8784">
        <v>2016</v>
      </c>
      <c r="R8784" s="2">
        <v>42614</v>
      </c>
      <c r="S8784" s="2">
        <v>42620</v>
      </c>
      <c r="T8784" s="2">
        <v>42620</v>
      </c>
      <c r="U8784" s="2">
        <v>42680</v>
      </c>
      <c r="V8784" t="s">
        <v>71</v>
      </c>
      <c r="W8784" t="str">
        <f>"         FATTPA 9_16"</f>
        <v xml:space="preserve">         FATTPA 9_16</v>
      </c>
      <c r="X8784" s="1">
        <v>1886.83</v>
      </c>
      <c r="Y8784">
        <v>0</v>
      </c>
      <c r="Z8784" s="5">
        <v>1886.83</v>
      </c>
      <c r="AA8784">
        <v>-34</v>
      </c>
      <c r="AB8784" s="5">
        <v>-64152.22</v>
      </c>
      <c r="AC8784" s="1">
        <v>1886.83</v>
      </c>
      <c r="AD8784">
        <v>-34</v>
      </c>
      <c r="AE8784" s="1">
        <v>-64152.22</v>
      </c>
      <c r="AF8784">
        <v>0</v>
      </c>
      <c r="AJ8784">
        <v>0</v>
      </c>
      <c r="AK8784">
        <v>0</v>
      </c>
      <c r="AL8784">
        <v>0</v>
      </c>
      <c r="AM8784" s="1">
        <v>1886.83</v>
      </c>
      <c r="AN8784" s="1">
        <v>1886.83</v>
      </c>
      <c r="AO8784" s="1">
        <v>1886.83</v>
      </c>
      <c r="AP8784" s="2">
        <v>42746</v>
      </c>
      <c r="AQ8784" t="s">
        <v>72</v>
      </c>
      <c r="AR8784" t="s">
        <v>72</v>
      </c>
      <c r="AS8784">
        <v>2515</v>
      </c>
      <c r="AT8784" s="4">
        <v>42646</v>
      </c>
      <c r="AV8784">
        <v>2515</v>
      </c>
      <c r="AW8784" s="4">
        <v>42646</v>
      </c>
      <c r="BD8784">
        <v>0</v>
      </c>
      <c r="BN8784" t="s">
        <v>74</v>
      </c>
    </row>
    <row r="8785" spans="1:66">
      <c r="A8785">
        <v>106467</v>
      </c>
      <c r="B8785" s="3" t="s">
        <v>777</v>
      </c>
      <c r="C8785" s="1">
        <v>43500101</v>
      </c>
      <c r="D8785" t="s">
        <v>113</v>
      </c>
      <c r="H8785" t="str">
        <f t="shared" si="914"/>
        <v>RDCDNI84E53L259D</v>
      </c>
      <c r="I8785" t="str">
        <f t="shared" si="915"/>
        <v>07841501211</v>
      </c>
      <c r="K8785" t="str">
        <f>""</f>
        <v/>
      </c>
      <c r="M8785" t="s">
        <v>68</v>
      </c>
      <c r="N8785" t="str">
        <f t="shared" si="913"/>
        <v>ALTPRO</v>
      </c>
      <c r="O8785" t="s">
        <v>132</v>
      </c>
      <c r="P8785" s="3" t="s">
        <v>75</v>
      </c>
      <c r="Q8785">
        <v>2016</v>
      </c>
      <c r="R8785" s="2">
        <v>42647</v>
      </c>
      <c r="S8785" s="2">
        <v>42647</v>
      </c>
      <c r="T8785" s="2">
        <v>42647</v>
      </c>
      <c r="U8785" s="2">
        <v>42707</v>
      </c>
      <c r="V8785" t="s">
        <v>71</v>
      </c>
      <c r="W8785" t="str">
        <f>"        FATTPA 10_16"</f>
        <v xml:space="preserve">        FATTPA 10_16</v>
      </c>
      <c r="X8785" s="1">
        <v>2739.36</v>
      </c>
      <c r="Y8785">
        <v>0</v>
      </c>
      <c r="Z8785" s="5">
        <v>2739.36</v>
      </c>
      <c r="AA8785">
        <v>-39</v>
      </c>
      <c r="AB8785" s="5">
        <v>-106835.04</v>
      </c>
      <c r="AC8785" s="1">
        <v>2739.36</v>
      </c>
      <c r="AD8785">
        <v>-39</v>
      </c>
      <c r="AE8785" s="1">
        <v>-106835.04</v>
      </c>
      <c r="AF8785">
        <v>0</v>
      </c>
      <c r="AJ8785">
        <v>0</v>
      </c>
      <c r="AK8785" s="1">
        <v>2739.36</v>
      </c>
      <c r="AL8785" s="1">
        <v>2739.36</v>
      </c>
      <c r="AM8785" s="1">
        <v>2739.36</v>
      </c>
      <c r="AN8785" s="1">
        <v>2739.36</v>
      </c>
      <c r="AO8785" s="1">
        <v>2739.36</v>
      </c>
      <c r="AP8785" s="2">
        <v>42746</v>
      </c>
      <c r="AQ8785" t="s">
        <v>72</v>
      </c>
      <c r="AR8785" t="s">
        <v>72</v>
      </c>
      <c r="AS8785">
        <v>2859</v>
      </c>
      <c r="AT8785" s="4">
        <v>42668</v>
      </c>
      <c r="AV8785">
        <v>2859</v>
      </c>
      <c r="AW8785" s="4">
        <v>42668</v>
      </c>
      <c r="BD8785">
        <v>0</v>
      </c>
      <c r="BN8785" t="s">
        <v>74</v>
      </c>
    </row>
    <row r="8786" spans="1:66">
      <c r="A8786">
        <v>106467</v>
      </c>
      <c r="B8786" s="3" t="s">
        <v>777</v>
      </c>
      <c r="C8786" s="1">
        <v>43500101</v>
      </c>
      <c r="D8786" t="s">
        <v>113</v>
      </c>
      <c r="H8786" t="str">
        <f t="shared" si="914"/>
        <v>RDCDNI84E53L259D</v>
      </c>
      <c r="I8786" t="str">
        <f t="shared" si="915"/>
        <v>07841501211</v>
      </c>
      <c r="K8786" t="str">
        <f>""</f>
        <v/>
      </c>
      <c r="M8786" t="s">
        <v>68</v>
      </c>
      <c r="N8786" t="str">
        <f t="shared" si="913"/>
        <v>ALTPRO</v>
      </c>
      <c r="O8786" t="s">
        <v>132</v>
      </c>
      <c r="P8786" s="3" t="s">
        <v>75</v>
      </c>
      <c r="Q8786">
        <v>2016</v>
      </c>
      <c r="R8786" s="2">
        <v>42676</v>
      </c>
      <c r="S8786" s="2">
        <v>42678</v>
      </c>
      <c r="T8786" s="2">
        <v>42678</v>
      </c>
      <c r="U8786" s="2">
        <v>42738</v>
      </c>
      <c r="V8786" t="s">
        <v>71</v>
      </c>
      <c r="W8786" t="str">
        <f>"        FATTPA 11_16"</f>
        <v xml:space="preserve">        FATTPA 11_16</v>
      </c>
      <c r="X8786" s="1">
        <v>2546.1999999999998</v>
      </c>
      <c r="Y8786">
        <v>0</v>
      </c>
      <c r="Z8786" s="5">
        <v>2546.1999999999998</v>
      </c>
      <c r="AA8786">
        <v>-56</v>
      </c>
      <c r="AB8786" s="5">
        <v>-142587.20000000001</v>
      </c>
      <c r="AC8786" s="1">
        <v>2546.1999999999998</v>
      </c>
      <c r="AD8786">
        <v>-56</v>
      </c>
      <c r="AE8786" s="1">
        <v>-142587.20000000001</v>
      </c>
      <c r="AF8786">
        <v>0</v>
      </c>
      <c r="AJ8786" s="1">
        <v>2546.1999999999998</v>
      </c>
      <c r="AK8786" s="1">
        <v>2546.1999999999998</v>
      </c>
      <c r="AL8786" s="1">
        <v>2546.1999999999998</v>
      </c>
      <c r="AM8786" s="1">
        <v>2546.1999999999998</v>
      </c>
      <c r="AN8786" s="1">
        <v>2546.1999999999998</v>
      </c>
      <c r="AO8786" s="1">
        <v>2546.1999999999998</v>
      </c>
      <c r="AP8786" s="2">
        <v>42746</v>
      </c>
      <c r="AQ8786" t="s">
        <v>72</v>
      </c>
      <c r="AR8786" t="s">
        <v>72</v>
      </c>
      <c r="AS8786">
        <v>2956</v>
      </c>
      <c r="AT8786" s="4">
        <v>42682</v>
      </c>
      <c r="AV8786">
        <v>2956</v>
      </c>
      <c r="AW8786" s="4">
        <v>42682</v>
      </c>
      <c r="BD8786">
        <v>0</v>
      </c>
      <c r="BN8786" t="s">
        <v>74</v>
      </c>
    </row>
    <row r="8787" spans="1:66">
      <c r="A8787">
        <v>106467</v>
      </c>
      <c r="B8787" s="3" t="s">
        <v>777</v>
      </c>
      <c r="C8787" s="1">
        <v>43500101</v>
      </c>
      <c r="D8787" t="s">
        <v>113</v>
      </c>
      <c r="H8787" t="str">
        <f t="shared" si="914"/>
        <v>RDCDNI84E53L259D</v>
      </c>
      <c r="I8787" t="str">
        <f t="shared" si="915"/>
        <v>07841501211</v>
      </c>
      <c r="K8787" t="str">
        <f>""</f>
        <v/>
      </c>
      <c r="M8787" t="s">
        <v>68</v>
      </c>
      <c r="N8787" t="str">
        <f t="shared" si="913"/>
        <v>ALTPRO</v>
      </c>
      <c r="O8787" t="s">
        <v>132</v>
      </c>
      <c r="P8787" s="3" t="s">
        <v>75</v>
      </c>
      <c r="Q8787">
        <v>2016</v>
      </c>
      <c r="R8787" s="2">
        <v>42706</v>
      </c>
      <c r="S8787" s="2">
        <v>42709</v>
      </c>
      <c r="T8787" s="2">
        <v>42707</v>
      </c>
      <c r="U8787" s="2">
        <v>42767</v>
      </c>
      <c r="V8787" t="s">
        <v>71</v>
      </c>
      <c r="W8787" t="str">
        <f>"        FATTPA 12_16"</f>
        <v xml:space="preserve">        FATTPA 12_16</v>
      </c>
      <c r="X8787" s="1">
        <v>2282.8000000000002</v>
      </c>
      <c r="Y8787">
        <v>0</v>
      </c>
      <c r="Z8787" s="5">
        <v>2282.8000000000002</v>
      </c>
      <c r="AA8787">
        <v>-58</v>
      </c>
      <c r="AB8787" s="5">
        <v>-132402.4</v>
      </c>
      <c r="AC8787" s="1">
        <v>2282.8000000000002</v>
      </c>
      <c r="AD8787">
        <v>-58</v>
      </c>
      <c r="AE8787" s="1">
        <v>-132402.4</v>
      </c>
      <c r="AF8787">
        <v>0</v>
      </c>
      <c r="AJ8787" s="1">
        <v>2282.8000000000002</v>
      </c>
      <c r="AK8787" s="1">
        <v>2282.8000000000002</v>
      </c>
      <c r="AL8787" s="1">
        <v>2282.8000000000002</v>
      </c>
      <c r="AM8787" s="1">
        <v>2282.8000000000002</v>
      </c>
      <c r="AN8787" s="1">
        <v>2282.8000000000002</v>
      </c>
      <c r="AO8787" s="1">
        <v>2282.8000000000002</v>
      </c>
      <c r="AP8787" s="2">
        <v>42746</v>
      </c>
      <c r="AQ8787" t="s">
        <v>72</v>
      </c>
      <c r="AR8787" t="s">
        <v>72</v>
      </c>
      <c r="AS8787">
        <v>3340</v>
      </c>
      <c r="AT8787" s="4">
        <v>42709</v>
      </c>
      <c r="AV8787">
        <v>3340</v>
      </c>
      <c r="AW8787" s="4">
        <v>42709</v>
      </c>
      <c r="BD8787">
        <v>0</v>
      </c>
      <c r="BN8787" t="s">
        <v>74</v>
      </c>
    </row>
    <row r="8788" spans="1:66" hidden="1">
      <c r="A8788">
        <v>106483</v>
      </c>
      <c r="B8788" s="3" t="s">
        <v>778</v>
      </c>
      <c r="C8788" s="1">
        <v>43500101</v>
      </c>
      <c r="D8788" t="s">
        <v>113</v>
      </c>
      <c r="H8788" t="str">
        <f t="shared" ref="H8788:I8807" si="916">"01587310622"</f>
        <v>01587310622</v>
      </c>
      <c r="I8788" t="str">
        <f t="shared" si="916"/>
        <v>01587310622</v>
      </c>
      <c r="K8788" t="str">
        <f>""</f>
        <v/>
      </c>
      <c r="M8788" t="s">
        <v>68</v>
      </c>
      <c r="N8788" t="str">
        <f t="shared" ref="N8788:N8824" si="917">"ALT"</f>
        <v>ALT</v>
      </c>
      <c r="O8788" t="s">
        <v>114</v>
      </c>
      <c r="P8788" s="3" t="s">
        <v>75</v>
      </c>
      <c r="Q8788">
        <v>2015</v>
      </c>
      <c r="R8788" s="2">
        <v>42254</v>
      </c>
      <c r="S8788" s="2">
        <v>42257</v>
      </c>
      <c r="T8788" s="2">
        <v>42254</v>
      </c>
      <c r="U8788" s="2">
        <v>42314</v>
      </c>
      <c r="V8788" t="s">
        <v>71</v>
      </c>
      <c r="W8788" t="str">
        <f>"     000022-2015-FPA"</f>
        <v xml:space="preserve">     000022-2015-FPA</v>
      </c>
      <c r="X8788" s="1">
        <v>79689.5</v>
      </c>
      <c r="Y8788">
        <v>0</v>
      </c>
      <c r="Z8788"/>
      <c r="AB8788"/>
      <c r="AC8788" s="1">
        <v>79689.5</v>
      </c>
      <c r="AD8788">
        <v>87</v>
      </c>
      <c r="AE8788" s="1">
        <v>6932986.5</v>
      </c>
      <c r="AF8788">
        <v>0</v>
      </c>
      <c r="AJ8788">
        <v>0</v>
      </c>
      <c r="AK8788">
        <v>0</v>
      </c>
      <c r="AL8788">
        <v>0</v>
      </c>
      <c r="AM8788">
        <v>0</v>
      </c>
      <c r="AN8788">
        <v>0</v>
      </c>
      <c r="AO8788">
        <v>0</v>
      </c>
      <c r="AP8788" s="2">
        <v>42746</v>
      </c>
      <c r="AQ8788" t="s">
        <v>72</v>
      </c>
      <c r="AR8788" t="s">
        <v>72</v>
      </c>
      <c r="AS8788">
        <v>160</v>
      </c>
      <c r="AT8788" s="4">
        <v>42401</v>
      </c>
      <c r="AU8788" t="s">
        <v>73</v>
      </c>
      <c r="AV8788">
        <v>160</v>
      </c>
      <c r="AW8788" s="4">
        <v>42401</v>
      </c>
      <c r="BD8788">
        <v>0</v>
      </c>
      <c r="BN8788" t="s">
        <v>74</v>
      </c>
    </row>
    <row r="8789" spans="1:66" hidden="1">
      <c r="A8789">
        <v>106483</v>
      </c>
      <c r="B8789" s="3" t="s">
        <v>778</v>
      </c>
      <c r="C8789" s="1">
        <v>43500101</v>
      </c>
      <c r="D8789" t="s">
        <v>113</v>
      </c>
      <c r="H8789" t="str">
        <f t="shared" si="916"/>
        <v>01587310622</v>
      </c>
      <c r="I8789" t="str">
        <f t="shared" si="916"/>
        <v>01587310622</v>
      </c>
      <c r="K8789" t="str">
        <f>""</f>
        <v/>
      </c>
      <c r="M8789" t="s">
        <v>68</v>
      </c>
      <c r="N8789" t="str">
        <f t="shared" si="917"/>
        <v>ALT</v>
      </c>
      <c r="O8789" t="s">
        <v>114</v>
      </c>
      <c r="P8789" s="3" t="s">
        <v>75</v>
      </c>
      <c r="Q8789">
        <v>2015</v>
      </c>
      <c r="R8789" s="2">
        <v>42254</v>
      </c>
      <c r="S8789" s="2">
        <v>42257</v>
      </c>
      <c r="T8789" s="2">
        <v>42254</v>
      </c>
      <c r="U8789" s="2">
        <v>42314</v>
      </c>
      <c r="V8789" t="s">
        <v>71</v>
      </c>
      <c r="W8789" t="str">
        <f>"     000023-2015-FPA"</f>
        <v xml:space="preserve">     000023-2015-FPA</v>
      </c>
      <c r="X8789" s="1">
        <v>17502</v>
      </c>
      <c r="Y8789">
        <v>0</v>
      </c>
      <c r="Z8789"/>
      <c r="AB8789"/>
      <c r="AC8789" s="1">
        <v>17502</v>
      </c>
      <c r="AD8789">
        <v>87</v>
      </c>
      <c r="AE8789" s="1">
        <v>1522674</v>
      </c>
      <c r="AF8789">
        <v>0</v>
      </c>
      <c r="AJ8789">
        <v>0</v>
      </c>
      <c r="AK8789">
        <v>0</v>
      </c>
      <c r="AL8789">
        <v>0</v>
      </c>
      <c r="AM8789">
        <v>0</v>
      </c>
      <c r="AN8789">
        <v>0</v>
      </c>
      <c r="AO8789">
        <v>0</v>
      </c>
      <c r="AP8789" s="2">
        <v>42746</v>
      </c>
      <c r="AQ8789" t="s">
        <v>72</v>
      </c>
      <c r="AR8789" t="s">
        <v>72</v>
      </c>
      <c r="AS8789">
        <v>160</v>
      </c>
      <c r="AT8789" s="4">
        <v>42401</v>
      </c>
      <c r="AU8789" t="s">
        <v>73</v>
      </c>
      <c r="AV8789">
        <v>160</v>
      </c>
      <c r="AW8789" s="4">
        <v>42401</v>
      </c>
      <c r="BD8789">
        <v>0</v>
      </c>
      <c r="BN8789" t="s">
        <v>74</v>
      </c>
    </row>
    <row r="8790" spans="1:66" hidden="1">
      <c r="A8790">
        <v>106483</v>
      </c>
      <c r="B8790" s="3" t="s">
        <v>778</v>
      </c>
      <c r="C8790" s="1">
        <v>43500101</v>
      </c>
      <c r="D8790" t="s">
        <v>113</v>
      </c>
      <c r="H8790" t="str">
        <f t="shared" si="916"/>
        <v>01587310622</v>
      </c>
      <c r="I8790" t="str">
        <f t="shared" si="916"/>
        <v>01587310622</v>
      </c>
      <c r="K8790" t="str">
        <f>""</f>
        <v/>
      </c>
      <c r="M8790" t="s">
        <v>68</v>
      </c>
      <c r="N8790" t="str">
        <f t="shared" si="917"/>
        <v>ALT</v>
      </c>
      <c r="O8790" t="s">
        <v>114</v>
      </c>
      <c r="P8790" s="3" t="s">
        <v>75</v>
      </c>
      <c r="Q8790">
        <v>2015</v>
      </c>
      <c r="R8790" s="2">
        <v>42254</v>
      </c>
      <c r="S8790" s="2">
        <v>42257</v>
      </c>
      <c r="T8790" s="2">
        <v>42254</v>
      </c>
      <c r="U8790" s="2">
        <v>42314</v>
      </c>
      <c r="V8790" t="s">
        <v>71</v>
      </c>
      <c r="W8790" t="str">
        <f>"     000024-2015-FPA"</f>
        <v xml:space="preserve">     000024-2015-FPA</v>
      </c>
      <c r="X8790" s="1">
        <v>2260</v>
      </c>
      <c r="Y8790">
        <v>0</v>
      </c>
      <c r="Z8790"/>
      <c r="AB8790"/>
      <c r="AC8790" s="1">
        <v>2260</v>
      </c>
      <c r="AD8790">
        <v>87</v>
      </c>
      <c r="AE8790" s="1">
        <v>196620</v>
      </c>
      <c r="AF8790">
        <v>0</v>
      </c>
      <c r="AJ8790">
        <v>0</v>
      </c>
      <c r="AK8790">
        <v>0</v>
      </c>
      <c r="AL8790">
        <v>0</v>
      </c>
      <c r="AM8790">
        <v>0</v>
      </c>
      <c r="AN8790">
        <v>0</v>
      </c>
      <c r="AO8790">
        <v>0</v>
      </c>
      <c r="AP8790" s="2">
        <v>42746</v>
      </c>
      <c r="AQ8790" t="s">
        <v>72</v>
      </c>
      <c r="AR8790" t="s">
        <v>72</v>
      </c>
      <c r="AS8790">
        <v>160</v>
      </c>
      <c r="AT8790" s="4">
        <v>42401</v>
      </c>
      <c r="AU8790" t="s">
        <v>73</v>
      </c>
      <c r="AV8790">
        <v>160</v>
      </c>
      <c r="AW8790" s="4">
        <v>42401</v>
      </c>
      <c r="BD8790">
        <v>0</v>
      </c>
      <c r="BN8790" t="s">
        <v>74</v>
      </c>
    </row>
    <row r="8791" spans="1:66" hidden="1">
      <c r="A8791">
        <v>106483</v>
      </c>
      <c r="B8791" s="3" t="s">
        <v>778</v>
      </c>
      <c r="C8791" s="1">
        <v>43500101</v>
      </c>
      <c r="D8791" t="s">
        <v>113</v>
      </c>
      <c r="H8791" t="str">
        <f t="shared" si="916"/>
        <v>01587310622</v>
      </c>
      <c r="I8791" t="str">
        <f t="shared" si="916"/>
        <v>01587310622</v>
      </c>
      <c r="K8791" t="str">
        <f>""</f>
        <v/>
      </c>
      <c r="M8791" t="s">
        <v>68</v>
      </c>
      <c r="N8791" t="str">
        <f t="shared" si="917"/>
        <v>ALT</v>
      </c>
      <c r="O8791" t="s">
        <v>114</v>
      </c>
      <c r="P8791" s="3" t="s">
        <v>75</v>
      </c>
      <c r="Q8791">
        <v>2015</v>
      </c>
      <c r="R8791" s="2">
        <v>42278</v>
      </c>
      <c r="S8791" s="2">
        <v>42283</v>
      </c>
      <c r="T8791" s="2">
        <v>42278</v>
      </c>
      <c r="U8791" s="2">
        <v>42338</v>
      </c>
      <c r="V8791" t="s">
        <v>71</v>
      </c>
      <c r="W8791" t="str">
        <f>"     000026-2015-FPA"</f>
        <v xml:space="preserve">     000026-2015-FPA</v>
      </c>
      <c r="X8791" s="1">
        <v>79689.5</v>
      </c>
      <c r="Y8791">
        <v>0</v>
      </c>
      <c r="Z8791"/>
      <c r="AB8791"/>
      <c r="AC8791" s="1">
        <v>79689.5</v>
      </c>
      <c r="AD8791">
        <v>94</v>
      </c>
      <c r="AE8791" s="1">
        <v>7490813</v>
      </c>
      <c r="AF8791">
        <v>0</v>
      </c>
      <c r="AJ8791">
        <v>0</v>
      </c>
      <c r="AK8791">
        <v>0</v>
      </c>
      <c r="AL8791">
        <v>0</v>
      </c>
      <c r="AM8791">
        <v>0</v>
      </c>
      <c r="AN8791">
        <v>0</v>
      </c>
      <c r="AO8791">
        <v>0</v>
      </c>
      <c r="AP8791" s="2">
        <v>42746</v>
      </c>
      <c r="AQ8791" t="s">
        <v>72</v>
      </c>
      <c r="AR8791" t="s">
        <v>72</v>
      </c>
      <c r="AS8791">
        <v>647</v>
      </c>
      <c r="AT8791" s="4">
        <v>42432</v>
      </c>
      <c r="AU8791" t="s">
        <v>73</v>
      </c>
      <c r="AV8791">
        <v>647</v>
      </c>
      <c r="AW8791" s="4">
        <v>42432</v>
      </c>
      <c r="BD8791">
        <v>0</v>
      </c>
      <c r="BN8791" t="s">
        <v>74</v>
      </c>
    </row>
    <row r="8792" spans="1:66" hidden="1">
      <c r="A8792">
        <v>106483</v>
      </c>
      <c r="B8792" s="3" t="s">
        <v>778</v>
      </c>
      <c r="C8792" s="1">
        <v>43500101</v>
      </c>
      <c r="D8792" t="s">
        <v>113</v>
      </c>
      <c r="H8792" t="str">
        <f t="shared" si="916"/>
        <v>01587310622</v>
      </c>
      <c r="I8792" t="str">
        <f t="shared" si="916"/>
        <v>01587310622</v>
      </c>
      <c r="K8792" t="str">
        <f>""</f>
        <v/>
      </c>
      <c r="M8792" t="s">
        <v>68</v>
      </c>
      <c r="N8792" t="str">
        <f t="shared" si="917"/>
        <v>ALT</v>
      </c>
      <c r="O8792" t="s">
        <v>114</v>
      </c>
      <c r="P8792" s="3" t="s">
        <v>75</v>
      </c>
      <c r="Q8792">
        <v>2015</v>
      </c>
      <c r="R8792" s="2">
        <v>42278</v>
      </c>
      <c r="S8792" s="2">
        <v>42283</v>
      </c>
      <c r="T8792" s="2">
        <v>42278</v>
      </c>
      <c r="U8792" s="2">
        <v>42338</v>
      </c>
      <c r="V8792" t="s">
        <v>71</v>
      </c>
      <c r="W8792" t="str">
        <f>"     000027-2015-FPA"</f>
        <v xml:space="preserve">     000027-2015-FPA</v>
      </c>
      <c r="X8792" s="1">
        <v>17502</v>
      </c>
      <c r="Y8792">
        <v>0</v>
      </c>
      <c r="Z8792"/>
      <c r="AB8792"/>
      <c r="AC8792" s="1">
        <v>17502</v>
      </c>
      <c r="AD8792">
        <v>94</v>
      </c>
      <c r="AE8792" s="1">
        <v>1645188</v>
      </c>
      <c r="AF8792">
        <v>0</v>
      </c>
      <c r="AJ8792">
        <v>0</v>
      </c>
      <c r="AK8792">
        <v>0</v>
      </c>
      <c r="AL8792">
        <v>0</v>
      </c>
      <c r="AM8792">
        <v>0</v>
      </c>
      <c r="AN8792">
        <v>0</v>
      </c>
      <c r="AO8792">
        <v>0</v>
      </c>
      <c r="AP8792" s="2">
        <v>42746</v>
      </c>
      <c r="AQ8792" t="s">
        <v>72</v>
      </c>
      <c r="AR8792" t="s">
        <v>72</v>
      </c>
      <c r="AS8792">
        <v>647</v>
      </c>
      <c r="AT8792" s="4">
        <v>42432</v>
      </c>
      <c r="AU8792" t="s">
        <v>73</v>
      </c>
      <c r="AV8792">
        <v>647</v>
      </c>
      <c r="AW8792" s="4">
        <v>42432</v>
      </c>
      <c r="BD8792">
        <v>0</v>
      </c>
      <c r="BN8792" t="s">
        <v>74</v>
      </c>
    </row>
    <row r="8793" spans="1:66" hidden="1">
      <c r="A8793">
        <v>106483</v>
      </c>
      <c r="B8793" s="3" t="s">
        <v>778</v>
      </c>
      <c r="C8793" s="1">
        <v>43500101</v>
      </c>
      <c r="D8793" t="s">
        <v>113</v>
      </c>
      <c r="H8793" t="str">
        <f t="shared" si="916"/>
        <v>01587310622</v>
      </c>
      <c r="I8793" t="str">
        <f t="shared" si="916"/>
        <v>01587310622</v>
      </c>
      <c r="K8793" t="str">
        <f>""</f>
        <v/>
      </c>
      <c r="M8793" t="s">
        <v>68</v>
      </c>
      <c r="N8793" t="str">
        <f t="shared" si="917"/>
        <v>ALT</v>
      </c>
      <c r="O8793" t="s">
        <v>114</v>
      </c>
      <c r="P8793" s="3" t="s">
        <v>75</v>
      </c>
      <c r="Q8793">
        <v>2015</v>
      </c>
      <c r="R8793" s="2">
        <v>42282</v>
      </c>
      <c r="S8793" s="2">
        <v>42283</v>
      </c>
      <c r="T8793" s="2">
        <v>42282</v>
      </c>
      <c r="U8793" s="2">
        <v>42342</v>
      </c>
      <c r="V8793" t="s">
        <v>71</v>
      </c>
      <c r="W8793" t="str">
        <f>"     000028-2015-FPA"</f>
        <v xml:space="preserve">     000028-2015-FPA</v>
      </c>
      <c r="X8793" s="1">
        <v>3777</v>
      </c>
      <c r="Y8793">
        <v>0</v>
      </c>
      <c r="Z8793"/>
      <c r="AB8793"/>
      <c r="AC8793" s="1">
        <v>3777</v>
      </c>
      <c r="AD8793">
        <v>90</v>
      </c>
      <c r="AE8793" s="1">
        <v>339930</v>
      </c>
      <c r="AF8793">
        <v>0</v>
      </c>
      <c r="AJ8793">
        <v>0</v>
      </c>
      <c r="AK8793">
        <v>0</v>
      </c>
      <c r="AL8793">
        <v>0</v>
      </c>
      <c r="AM8793">
        <v>0</v>
      </c>
      <c r="AN8793">
        <v>0</v>
      </c>
      <c r="AO8793">
        <v>0</v>
      </c>
      <c r="AP8793" s="2">
        <v>42746</v>
      </c>
      <c r="AQ8793" t="s">
        <v>72</v>
      </c>
      <c r="AR8793" t="s">
        <v>72</v>
      </c>
      <c r="AS8793">
        <v>647</v>
      </c>
      <c r="AT8793" s="4">
        <v>42432</v>
      </c>
      <c r="AU8793" t="s">
        <v>73</v>
      </c>
      <c r="AV8793">
        <v>647</v>
      </c>
      <c r="AW8793" s="4">
        <v>42432</v>
      </c>
      <c r="BD8793">
        <v>0</v>
      </c>
      <c r="BN8793" t="s">
        <v>74</v>
      </c>
    </row>
    <row r="8794" spans="1:66" hidden="1">
      <c r="A8794">
        <v>106483</v>
      </c>
      <c r="B8794" s="3" t="s">
        <v>778</v>
      </c>
      <c r="C8794" s="1">
        <v>43500101</v>
      </c>
      <c r="D8794" t="s">
        <v>113</v>
      </c>
      <c r="H8794" t="str">
        <f t="shared" si="916"/>
        <v>01587310622</v>
      </c>
      <c r="I8794" t="str">
        <f t="shared" si="916"/>
        <v>01587310622</v>
      </c>
      <c r="K8794" t="str">
        <f>""</f>
        <v/>
      </c>
      <c r="M8794" t="s">
        <v>68</v>
      </c>
      <c r="N8794" t="str">
        <f t="shared" si="917"/>
        <v>ALT</v>
      </c>
      <c r="O8794" t="s">
        <v>114</v>
      </c>
      <c r="P8794" s="3" t="s">
        <v>75</v>
      </c>
      <c r="Q8794">
        <v>2015</v>
      </c>
      <c r="R8794" s="2">
        <v>42311</v>
      </c>
      <c r="S8794" s="2">
        <v>42325</v>
      </c>
      <c r="T8794" s="2">
        <v>42311</v>
      </c>
      <c r="U8794" s="2">
        <v>42371</v>
      </c>
      <c r="V8794" t="s">
        <v>71</v>
      </c>
      <c r="W8794" t="str">
        <f>"     000030-2015-FPA"</f>
        <v xml:space="preserve">     000030-2015-FPA</v>
      </c>
      <c r="X8794" s="1">
        <v>79689.5</v>
      </c>
      <c r="Y8794">
        <v>0</v>
      </c>
      <c r="Z8794"/>
      <c r="AB8794"/>
      <c r="AC8794" s="1">
        <v>79689.5</v>
      </c>
      <c r="AD8794">
        <v>82</v>
      </c>
      <c r="AE8794" s="1">
        <v>6534539</v>
      </c>
      <c r="AF8794">
        <v>0</v>
      </c>
      <c r="AJ8794">
        <v>0</v>
      </c>
      <c r="AK8794">
        <v>0</v>
      </c>
      <c r="AL8794">
        <v>0</v>
      </c>
      <c r="AM8794">
        <v>0</v>
      </c>
      <c r="AN8794">
        <v>0</v>
      </c>
      <c r="AO8794">
        <v>0</v>
      </c>
      <c r="AP8794" s="2">
        <v>42746</v>
      </c>
      <c r="AQ8794" t="s">
        <v>72</v>
      </c>
      <c r="AR8794" t="s">
        <v>72</v>
      </c>
      <c r="AS8794">
        <v>859</v>
      </c>
      <c r="AT8794" s="4">
        <v>42453</v>
      </c>
      <c r="AU8794" t="s">
        <v>73</v>
      </c>
      <c r="AV8794">
        <v>859</v>
      </c>
      <c r="AW8794" s="4">
        <v>42453</v>
      </c>
      <c r="BD8794">
        <v>0</v>
      </c>
      <c r="BN8794" t="s">
        <v>74</v>
      </c>
    </row>
    <row r="8795" spans="1:66" hidden="1">
      <c r="A8795">
        <v>106483</v>
      </c>
      <c r="B8795" s="3" t="s">
        <v>778</v>
      </c>
      <c r="C8795" s="1">
        <v>43500101</v>
      </c>
      <c r="D8795" t="s">
        <v>113</v>
      </c>
      <c r="H8795" t="str">
        <f t="shared" si="916"/>
        <v>01587310622</v>
      </c>
      <c r="I8795" t="str">
        <f t="shared" si="916"/>
        <v>01587310622</v>
      </c>
      <c r="K8795" t="str">
        <f>""</f>
        <v/>
      </c>
      <c r="M8795" t="s">
        <v>68</v>
      </c>
      <c r="N8795" t="str">
        <f t="shared" si="917"/>
        <v>ALT</v>
      </c>
      <c r="O8795" t="s">
        <v>114</v>
      </c>
      <c r="P8795" s="3" t="s">
        <v>75</v>
      </c>
      <c r="Q8795">
        <v>2015</v>
      </c>
      <c r="R8795" s="2">
        <v>42319</v>
      </c>
      <c r="S8795" s="2">
        <v>42325</v>
      </c>
      <c r="T8795" s="2">
        <v>42319</v>
      </c>
      <c r="U8795" s="2">
        <v>42379</v>
      </c>
      <c r="V8795" t="s">
        <v>71</v>
      </c>
      <c r="W8795" t="str">
        <f>"     000031-2015-FPA"</f>
        <v xml:space="preserve">     000031-2015-FPA</v>
      </c>
      <c r="X8795" s="1">
        <v>2642.75</v>
      </c>
      <c r="Y8795">
        <v>0</v>
      </c>
      <c r="Z8795"/>
      <c r="AB8795"/>
      <c r="AC8795" s="1">
        <v>2642.75</v>
      </c>
      <c r="AD8795">
        <v>74</v>
      </c>
      <c r="AE8795" s="1">
        <v>195563.5</v>
      </c>
      <c r="AF8795">
        <v>0</v>
      </c>
      <c r="AJ8795">
        <v>0</v>
      </c>
      <c r="AK8795">
        <v>0</v>
      </c>
      <c r="AL8795">
        <v>0</v>
      </c>
      <c r="AM8795">
        <v>0</v>
      </c>
      <c r="AN8795">
        <v>0</v>
      </c>
      <c r="AO8795">
        <v>0</v>
      </c>
      <c r="AP8795" s="2">
        <v>42746</v>
      </c>
      <c r="AQ8795" t="s">
        <v>72</v>
      </c>
      <c r="AR8795" t="s">
        <v>72</v>
      </c>
      <c r="AS8795">
        <v>859</v>
      </c>
      <c r="AT8795" s="4">
        <v>42453</v>
      </c>
      <c r="AU8795" t="s">
        <v>73</v>
      </c>
      <c r="AV8795">
        <v>859</v>
      </c>
      <c r="AW8795" s="4">
        <v>42453</v>
      </c>
      <c r="BD8795">
        <v>0</v>
      </c>
      <c r="BN8795" t="s">
        <v>74</v>
      </c>
    </row>
    <row r="8796" spans="1:66" hidden="1">
      <c r="A8796">
        <v>106483</v>
      </c>
      <c r="B8796" s="3" t="s">
        <v>778</v>
      </c>
      <c r="C8796" s="1">
        <v>43500101</v>
      </c>
      <c r="D8796" t="s">
        <v>113</v>
      </c>
      <c r="H8796" t="str">
        <f t="shared" si="916"/>
        <v>01587310622</v>
      </c>
      <c r="I8796" t="str">
        <f t="shared" si="916"/>
        <v>01587310622</v>
      </c>
      <c r="K8796" t="str">
        <f>""</f>
        <v/>
      </c>
      <c r="M8796" t="s">
        <v>68</v>
      </c>
      <c r="N8796" t="str">
        <f t="shared" si="917"/>
        <v>ALT</v>
      </c>
      <c r="O8796" t="s">
        <v>114</v>
      </c>
      <c r="P8796" s="3" t="s">
        <v>75</v>
      </c>
      <c r="Q8796">
        <v>2015</v>
      </c>
      <c r="R8796" s="2">
        <v>42339</v>
      </c>
      <c r="S8796" s="2">
        <v>42345</v>
      </c>
      <c r="T8796" s="2">
        <v>42345</v>
      </c>
      <c r="U8796" s="2">
        <v>42405</v>
      </c>
      <c r="V8796" t="s">
        <v>71</v>
      </c>
      <c r="W8796" t="str">
        <f>"     000035-2015-FPA"</f>
        <v xml:space="preserve">     000035-2015-FPA</v>
      </c>
      <c r="X8796" s="1">
        <v>79689.5</v>
      </c>
      <c r="Y8796">
        <v>0</v>
      </c>
      <c r="Z8796"/>
      <c r="AB8796"/>
      <c r="AC8796" s="1">
        <v>79689.5</v>
      </c>
      <c r="AD8796">
        <v>66</v>
      </c>
      <c r="AE8796" s="1">
        <v>5259507</v>
      </c>
      <c r="AF8796">
        <v>0</v>
      </c>
      <c r="AJ8796">
        <v>0</v>
      </c>
      <c r="AK8796">
        <v>0</v>
      </c>
      <c r="AL8796">
        <v>0</v>
      </c>
      <c r="AM8796">
        <v>0</v>
      </c>
      <c r="AN8796">
        <v>0</v>
      </c>
      <c r="AO8796">
        <v>0</v>
      </c>
      <c r="AP8796" s="2">
        <v>42746</v>
      </c>
      <c r="AQ8796" t="s">
        <v>72</v>
      </c>
      <c r="AR8796" t="s">
        <v>72</v>
      </c>
      <c r="AS8796">
        <v>1010</v>
      </c>
      <c r="AT8796" s="4">
        <v>42471</v>
      </c>
      <c r="AU8796" t="s">
        <v>73</v>
      </c>
      <c r="AV8796">
        <v>1010</v>
      </c>
      <c r="AW8796" s="4">
        <v>42471</v>
      </c>
      <c r="BD8796">
        <v>0</v>
      </c>
      <c r="BN8796" t="s">
        <v>74</v>
      </c>
    </row>
    <row r="8797" spans="1:66" hidden="1">
      <c r="A8797">
        <v>106483</v>
      </c>
      <c r="B8797" s="3" t="s">
        <v>778</v>
      </c>
      <c r="C8797" s="1">
        <v>43500101</v>
      </c>
      <c r="D8797" t="s">
        <v>113</v>
      </c>
      <c r="H8797" t="str">
        <f t="shared" si="916"/>
        <v>01587310622</v>
      </c>
      <c r="I8797" t="str">
        <f t="shared" si="916"/>
        <v>01587310622</v>
      </c>
      <c r="K8797" t="str">
        <f>""</f>
        <v/>
      </c>
      <c r="M8797" t="s">
        <v>68</v>
      </c>
      <c r="N8797" t="str">
        <f t="shared" si="917"/>
        <v>ALT</v>
      </c>
      <c r="O8797" t="s">
        <v>114</v>
      </c>
      <c r="P8797" s="3" t="s">
        <v>75</v>
      </c>
      <c r="Q8797">
        <v>2015</v>
      </c>
      <c r="R8797" s="2">
        <v>42347</v>
      </c>
      <c r="S8797" s="2">
        <v>42352</v>
      </c>
      <c r="T8797" s="2">
        <v>42347</v>
      </c>
      <c r="U8797" s="2">
        <v>42407</v>
      </c>
      <c r="V8797" t="s">
        <v>71</v>
      </c>
      <c r="W8797" t="str">
        <f>"     000036-2015-FPA"</f>
        <v xml:space="preserve">     000036-2015-FPA</v>
      </c>
      <c r="X8797" s="1">
        <v>17502</v>
      </c>
      <c r="Y8797">
        <v>0</v>
      </c>
      <c r="Z8797"/>
      <c r="AB8797"/>
      <c r="AC8797" s="1">
        <v>17502</v>
      </c>
      <c r="AD8797">
        <v>64</v>
      </c>
      <c r="AE8797" s="1">
        <v>1120128</v>
      </c>
      <c r="AF8797">
        <v>0</v>
      </c>
      <c r="AJ8797">
        <v>0</v>
      </c>
      <c r="AK8797">
        <v>0</v>
      </c>
      <c r="AL8797">
        <v>0</v>
      </c>
      <c r="AM8797">
        <v>0</v>
      </c>
      <c r="AN8797">
        <v>0</v>
      </c>
      <c r="AO8797">
        <v>0</v>
      </c>
      <c r="AP8797" s="2">
        <v>42746</v>
      </c>
      <c r="AQ8797" t="s">
        <v>72</v>
      </c>
      <c r="AR8797" t="s">
        <v>72</v>
      </c>
      <c r="AS8797">
        <v>1010</v>
      </c>
      <c r="AT8797" s="4">
        <v>42471</v>
      </c>
      <c r="AU8797" t="s">
        <v>73</v>
      </c>
      <c r="AV8797">
        <v>1010</v>
      </c>
      <c r="AW8797" s="4">
        <v>42471</v>
      </c>
      <c r="BD8797">
        <v>0</v>
      </c>
      <c r="BN8797" t="s">
        <v>74</v>
      </c>
    </row>
    <row r="8798" spans="1:66" hidden="1">
      <c r="A8798">
        <v>106483</v>
      </c>
      <c r="B8798" s="3" t="s">
        <v>778</v>
      </c>
      <c r="C8798" s="1">
        <v>43500101</v>
      </c>
      <c r="D8798" t="s">
        <v>113</v>
      </c>
      <c r="H8798" t="str">
        <f t="shared" si="916"/>
        <v>01587310622</v>
      </c>
      <c r="I8798" t="str">
        <f t="shared" si="916"/>
        <v>01587310622</v>
      </c>
      <c r="K8798" t="str">
        <f>""</f>
        <v/>
      </c>
      <c r="M8798" t="s">
        <v>68</v>
      </c>
      <c r="N8798" t="str">
        <f t="shared" si="917"/>
        <v>ALT</v>
      </c>
      <c r="O8798" t="s">
        <v>114</v>
      </c>
      <c r="P8798" s="3" t="s">
        <v>75</v>
      </c>
      <c r="Q8798">
        <v>2015</v>
      </c>
      <c r="R8798" s="2">
        <v>42347</v>
      </c>
      <c r="S8798" s="2">
        <v>42352</v>
      </c>
      <c r="T8798" s="2">
        <v>42347</v>
      </c>
      <c r="U8798" s="2">
        <v>42407</v>
      </c>
      <c r="V8798" t="s">
        <v>71</v>
      </c>
      <c r="W8798" t="str">
        <f>"     000037-2015-FPA"</f>
        <v xml:space="preserve">     000037-2015-FPA</v>
      </c>
      <c r="X8798" s="1">
        <v>17502</v>
      </c>
      <c r="Y8798">
        <v>0</v>
      </c>
      <c r="Z8798"/>
      <c r="AB8798"/>
      <c r="AC8798" s="1">
        <v>17502</v>
      </c>
      <c r="AD8798">
        <v>64</v>
      </c>
      <c r="AE8798" s="1">
        <v>1120128</v>
      </c>
      <c r="AF8798">
        <v>0</v>
      </c>
      <c r="AJ8798">
        <v>0</v>
      </c>
      <c r="AK8798">
        <v>0</v>
      </c>
      <c r="AL8798">
        <v>0</v>
      </c>
      <c r="AM8798">
        <v>0</v>
      </c>
      <c r="AN8798">
        <v>0</v>
      </c>
      <c r="AO8798">
        <v>0</v>
      </c>
      <c r="AP8798" s="2">
        <v>42746</v>
      </c>
      <c r="AQ8798" t="s">
        <v>72</v>
      </c>
      <c r="AR8798" t="s">
        <v>72</v>
      </c>
      <c r="AS8798">
        <v>1010</v>
      </c>
      <c r="AT8798" s="4">
        <v>42471</v>
      </c>
      <c r="AU8798" t="s">
        <v>73</v>
      </c>
      <c r="AV8798">
        <v>1010</v>
      </c>
      <c r="AW8798" s="4">
        <v>42471</v>
      </c>
      <c r="BD8798">
        <v>0</v>
      </c>
      <c r="BN8798" t="s">
        <v>74</v>
      </c>
    </row>
    <row r="8799" spans="1:66" hidden="1">
      <c r="A8799">
        <v>106483</v>
      </c>
      <c r="B8799" s="3" t="s">
        <v>778</v>
      </c>
      <c r="C8799" s="1">
        <v>43500101</v>
      </c>
      <c r="D8799" t="s">
        <v>113</v>
      </c>
      <c r="H8799" t="str">
        <f t="shared" si="916"/>
        <v>01587310622</v>
      </c>
      <c r="I8799" t="str">
        <f t="shared" si="916"/>
        <v>01587310622</v>
      </c>
      <c r="K8799" t="str">
        <f>""</f>
        <v/>
      </c>
      <c r="M8799" t="s">
        <v>68</v>
      </c>
      <c r="N8799" t="str">
        <f t="shared" si="917"/>
        <v>ALT</v>
      </c>
      <c r="O8799" t="s">
        <v>114</v>
      </c>
      <c r="P8799" s="3" t="s">
        <v>75</v>
      </c>
      <c r="Q8799">
        <v>2015</v>
      </c>
      <c r="R8799" s="2">
        <v>42352</v>
      </c>
      <c r="S8799" s="2">
        <v>42356</v>
      </c>
      <c r="T8799" s="2">
        <v>42352</v>
      </c>
      <c r="U8799" s="2">
        <v>42412</v>
      </c>
      <c r="V8799" t="s">
        <v>71</v>
      </c>
      <c r="W8799" t="str">
        <f>"     000038-2015-FPA"</f>
        <v xml:space="preserve">     000038-2015-FPA</v>
      </c>
      <c r="X8799" s="1">
        <v>4112.75</v>
      </c>
      <c r="Y8799">
        <v>0</v>
      </c>
      <c r="Z8799"/>
      <c r="AB8799"/>
      <c r="AC8799" s="1">
        <v>4112.75</v>
      </c>
      <c r="AD8799">
        <v>59</v>
      </c>
      <c r="AE8799" s="1">
        <v>242652.25</v>
      </c>
      <c r="AF8799">
        <v>0</v>
      </c>
      <c r="AJ8799">
        <v>0</v>
      </c>
      <c r="AK8799">
        <v>0</v>
      </c>
      <c r="AL8799">
        <v>0</v>
      </c>
      <c r="AM8799">
        <v>0</v>
      </c>
      <c r="AN8799">
        <v>0</v>
      </c>
      <c r="AO8799">
        <v>0</v>
      </c>
      <c r="AP8799" s="2">
        <v>42746</v>
      </c>
      <c r="AQ8799" t="s">
        <v>72</v>
      </c>
      <c r="AR8799" t="s">
        <v>72</v>
      </c>
      <c r="AS8799">
        <v>1010</v>
      </c>
      <c r="AT8799" s="4">
        <v>42471</v>
      </c>
      <c r="AU8799" t="s">
        <v>73</v>
      </c>
      <c r="AV8799">
        <v>1010</v>
      </c>
      <c r="AW8799" s="4">
        <v>42471</v>
      </c>
      <c r="BD8799">
        <v>0</v>
      </c>
      <c r="BN8799" t="s">
        <v>74</v>
      </c>
    </row>
    <row r="8800" spans="1:66" hidden="1">
      <c r="A8800">
        <v>106483</v>
      </c>
      <c r="B8800" s="3" t="s">
        <v>778</v>
      </c>
      <c r="C8800" s="1">
        <v>43500101</v>
      </c>
      <c r="D8800" t="s">
        <v>113</v>
      </c>
      <c r="H8800" t="str">
        <f t="shared" si="916"/>
        <v>01587310622</v>
      </c>
      <c r="I8800" t="str">
        <f t="shared" si="916"/>
        <v>01587310622</v>
      </c>
      <c r="K8800" t="str">
        <f>""</f>
        <v/>
      </c>
      <c r="M8800" t="s">
        <v>68</v>
      </c>
      <c r="N8800" t="str">
        <f t="shared" si="917"/>
        <v>ALT</v>
      </c>
      <c r="O8800" t="s">
        <v>114</v>
      </c>
      <c r="P8800" s="3" t="s">
        <v>75</v>
      </c>
      <c r="Q8800">
        <v>2015</v>
      </c>
      <c r="R8800" s="2">
        <v>42369</v>
      </c>
      <c r="S8800" s="2">
        <v>42369</v>
      </c>
      <c r="T8800" s="2">
        <v>42369</v>
      </c>
      <c r="U8800" s="2">
        <v>42429</v>
      </c>
      <c r="V8800" t="s">
        <v>71</v>
      </c>
      <c r="W8800" t="str">
        <f>"     000039-2015-FPA"</f>
        <v xml:space="preserve">     000039-2015-FPA</v>
      </c>
      <c r="X8800" s="1">
        <v>79689.5</v>
      </c>
      <c r="Y8800">
        <v>0</v>
      </c>
      <c r="Z8800"/>
      <c r="AB8800"/>
      <c r="AC8800" s="1">
        <v>79689.5</v>
      </c>
      <c r="AD8800">
        <v>99</v>
      </c>
      <c r="AE8800" s="1">
        <v>7889260.5</v>
      </c>
      <c r="AF8800">
        <v>0</v>
      </c>
      <c r="AJ8800">
        <v>0</v>
      </c>
      <c r="AK8800">
        <v>0</v>
      </c>
      <c r="AL8800">
        <v>0</v>
      </c>
      <c r="AM8800">
        <v>0</v>
      </c>
      <c r="AN8800">
        <v>0</v>
      </c>
      <c r="AO8800">
        <v>0</v>
      </c>
      <c r="AP8800" s="2">
        <v>42746</v>
      </c>
      <c r="AQ8800" t="s">
        <v>72</v>
      </c>
      <c r="AR8800" t="s">
        <v>72</v>
      </c>
      <c r="AS8800">
        <v>1564</v>
      </c>
      <c r="AT8800" s="4">
        <v>42528</v>
      </c>
      <c r="AU8800" t="s">
        <v>73</v>
      </c>
      <c r="AV8800">
        <v>1564</v>
      </c>
      <c r="AW8800" s="4">
        <v>42528</v>
      </c>
      <c r="BD8800">
        <v>0</v>
      </c>
      <c r="BN8800" t="s">
        <v>74</v>
      </c>
    </row>
    <row r="8801" spans="1:66" hidden="1">
      <c r="A8801">
        <v>106483</v>
      </c>
      <c r="B8801" s="3" t="s">
        <v>778</v>
      </c>
      <c r="C8801" s="1">
        <v>43500101</v>
      </c>
      <c r="D8801" t="s">
        <v>113</v>
      </c>
      <c r="H8801" t="str">
        <f t="shared" si="916"/>
        <v>01587310622</v>
      </c>
      <c r="I8801" t="str">
        <f t="shared" si="916"/>
        <v>01587310622</v>
      </c>
      <c r="K8801" t="str">
        <f>""</f>
        <v/>
      </c>
      <c r="M8801" t="s">
        <v>68</v>
      </c>
      <c r="N8801" t="str">
        <f t="shared" si="917"/>
        <v>ALT</v>
      </c>
      <c r="O8801" t="s">
        <v>114</v>
      </c>
      <c r="P8801" s="3" t="s">
        <v>75</v>
      </c>
      <c r="Q8801">
        <v>2015</v>
      </c>
      <c r="R8801" s="2">
        <v>42369</v>
      </c>
      <c r="S8801" s="2">
        <v>42369</v>
      </c>
      <c r="T8801" s="2">
        <v>42369</v>
      </c>
      <c r="U8801" s="2">
        <v>42429</v>
      </c>
      <c r="V8801" t="s">
        <v>71</v>
      </c>
      <c r="W8801" t="str">
        <f>"     000040-2015-FPA"</f>
        <v xml:space="preserve">     000040-2015-FPA</v>
      </c>
      <c r="X8801" s="1">
        <v>17502</v>
      </c>
      <c r="Y8801">
        <v>0</v>
      </c>
      <c r="Z8801"/>
      <c r="AB8801"/>
      <c r="AC8801" s="1">
        <v>17502</v>
      </c>
      <c r="AD8801">
        <v>99</v>
      </c>
      <c r="AE8801" s="1">
        <v>1732698</v>
      </c>
      <c r="AF8801">
        <v>0</v>
      </c>
      <c r="AJ8801">
        <v>0</v>
      </c>
      <c r="AK8801">
        <v>0</v>
      </c>
      <c r="AL8801">
        <v>0</v>
      </c>
      <c r="AM8801">
        <v>0</v>
      </c>
      <c r="AN8801">
        <v>0</v>
      </c>
      <c r="AO8801">
        <v>0</v>
      </c>
      <c r="AP8801" s="2">
        <v>42746</v>
      </c>
      <c r="AQ8801" t="s">
        <v>72</v>
      </c>
      <c r="AR8801" t="s">
        <v>72</v>
      </c>
      <c r="AS8801">
        <v>1564</v>
      </c>
      <c r="AT8801" s="4">
        <v>42528</v>
      </c>
      <c r="AU8801" t="s">
        <v>73</v>
      </c>
      <c r="AV8801">
        <v>1564</v>
      </c>
      <c r="AW8801" s="4">
        <v>42528</v>
      </c>
      <c r="BD8801">
        <v>0</v>
      </c>
      <c r="BN8801" t="s">
        <v>74</v>
      </c>
    </row>
    <row r="8802" spans="1:66" hidden="1">
      <c r="A8802">
        <v>106483</v>
      </c>
      <c r="B8802" s="3" t="s">
        <v>778</v>
      </c>
      <c r="C8802" s="1">
        <v>43500101</v>
      </c>
      <c r="D8802" t="s">
        <v>113</v>
      </c>
      <c r="H8802" t="str">
        <f t="shared" si="916"/>
        <v>01587310622</v>
      </c>
      <c r="I8802" t="str">
        <f t="shared" si="916"/>
        <v>01587310622</v>
      </c>
      <c r="K8802" t="str">
        <f>""</f>
        <v/>
      </c>
      <c r="M8802" t="s">
        <v>68</v>
      </c>
      <c r="N8802" t="str">
        <f t="shared" si="917"/>
        <v>ALT</v>
      </c>
      <c r="O8802" t="s">
        <v>114</v>
      </c>
      <c r="P8802" s="3" t="s">
        <v>75</v>
      </c>
      <c r="Q8802">
        <v>2015</v>
      </c>
      <c r="R8802" s="2">
        <v>42369</v>
      </c>
      <c r="S8802" s="2">
        <v>42369</v>
      </c>
      <c r="T8802" s="2">
        <v>42369</v>
      </c>
      <c r="U8802" s="2">
        <v>42429</v>
      </c>
      <c r="V8802" t="s">
        <v>71</v>
      </c>
      <c r="W8802" t="str">
        <f>"     000041-2015-FPA"</f>
        <v xml:space="preserve">     000041-2015-FPA</v>
      </c>
      <c r="X8802" s="1">
        <v>3761.25</v>
      </c>
      <c r="Y8802">
        <v>0</v>
      </c>
      <c r="Z8802"/>
      <c r="AB8802"/>
      <c r="AC8802" s="1">
        <v>3761.25</v>
      </c>
      <c r="AD8802">
        <v>99</v>
      </c>
      <c r="AE8802" s="1">
        <v>372363.75</v>
      </c>
      <c r="AF8802">
        <v>0</v>
      </c>
      <c r="AJ8802">
        <v>0</v>
      </c>
      <c r="AK8802">
        <v>0</v>
      </c>
      <c r="AL8802">
        <v>0</v>
      </c>
      <c r="AM8802">
        <v>0</v>
      </c>
      <c r="AN8802">
        <v>0</v>
      </c>
      <c r="AO8802">
        <v>0</v>
      </c>
      <c r="AP8802" s="2">
        <v>42746</v>
      </c>
      <c r="AQ8802" t="s">
        <v>72</v>
      </c>
      <c r="AR8802" t="s">
        <v>72</v>
      </c>
      <c r="AS8802">
        <v>1564</v>
      </c>
      <c r="AT8802" s="4">
        <v>42528</v>
      </c>
      <c r="AU8802" t="s">
        <v>73</v>
      </c>
      <c r="AV8802">
        <v>1564</v>
      </c>
      <c r="AW8802" s="4">
        <v>42528</v>
      </c>
      <c r="BD8802">
        <v>0</v>
      </c>
      <c r="BN8802" t="s">
        <v>74</v>
      </c>
    </row>
    <row r="8803" spans="1:66" hidden="1">
      <c r="A8803">
        <v>106483</v>
      </c>
      <c r="B8803" s="3" t="s">
        <v>778</v>
      </c>
      <c r="C8803" s="1">
        <v>43500101</v>
      </c>
      <c r="D8803" t="s">
        <v>113</v>
      </c>
      <c r="H8803" t="str">
        <f t="shared" si="916"/>
        <v>01587310622</v>
      </c>
      <c r="I8803" t="str">
        <f t="shared" si="916"/>
        <v>01587310622</v>
      </c>
      <c r="K8803" t="str">
        <f>""</f>
        <v/>
      </c>
      <c r="M8803" t="s">
        <v>68</v>
      </c>
      <c r="N8803" t="str">
        <f t="shared" si="917"/>
        <v>ALT</v>
      </c>
      <c r="O8803" t="s">
        <v>114</v>
      </c>
      <c r="P8803" s="3" t="s">
        <v>779</v>
      </c>
      <c r="Q8803">
        <v>2016</v>
      </c>
      <c r="R8803" s="2">
        <v>42489</v>
      </c>
      <c r="S8803" s="2">
        <v>42489</v>
      </c>
      <c r="T8803" s="2">
        <v>42489</v>
      </c>
      <c r="U8803" s="2">
        <v>42549</v>
      </c>
      <c r="V8803" t="s">
        <v>71</v>
      </c>
      <c r="W8803" t="str">
        <f>"                 105"</f>
        <v xml:space="preserve">                 105</v>
      </c>
      <c r="X8803">
        <v>0</v>
      </c>
      <c r="Y8803" s="1">
        <v>7268</v>
      </c>
      <c r="Z8803"/>
      <c r="AB8803"/>
      <c r="AC8803" s="1">
        <v>7268</v>
      </c>
      <c r="AD8803">
        <v>-21</v>
      </c>
      <c r="AE8803" s="1">
        <v>-152628</v>
      </c>
      <c r="AF8803">
        <v>0</v>
      </c>
      <c r="AJ8803">
        <v>0</v>
      </c>
      <c r="AK8803">
        <v>0</v>
      </c>
      <c r="AL8803">
        <v>0</v>
      </c>
      <c r="AM8803" s="1">
        <v>7268</v>
      </c>
      <c r="AN8803" s="1">
        <v>7268</v>
      </c>
      <c r="AO8803" s="1">
        <v>7268</v>
      </c>
      <c r="AP8803" s="2">
        <v>42746</v>
      </c>
      <c r="AQ8803" t="s">
        <v>72</v>
      </c>
      <c r="AR8803" t="s">
        <v>72</v>
      </c>
      <c r="AS8803">
        <v>1563</v>
      </c>
      <c r="AT8803" s="4">
        <v>42528</v>
      </c>
      <c r="AV8803">
        <v>1563</v>
      </c>
      <c r="AW8803" s="4">
        <v>42528</v>
      </c>
      <c r="BD8803">
        <v>0</v>
      </c>
      <c r="BN8803" t="s">
        <v>74</v>
      </c>
    </row>
    <row r="8804" spans="1:66" hidden="1">
      <c r="A8804">
        <v>106483</v>
      </c>
      <c r="B8804" s="3" t="s">
        <v>778</v>
      </c>
      <c r="C8804" s="1">
        <v>43500101</v>
      </c>
      <c r="D8804" t="s">
        <v>113</v>
      </c>
      <c r="H8804" t="str">
        <f t="shared" si="916"/>
        <v>01587310622</v>
      </c>
      <c r="I8804" t="str">
        <f t="shared" si="916"/>
        <v>01587310622</v>
      </c>
      <c r="K8804" t="str">
        <f>""</f>
        <v/>
      </c>
      <c r="M8804" t="s">
        <v>68</v>
      </c>
      <c r="N8804" t="str">
        <f t="shared" si="917"/>
        <v>ALT</v>
      </c>
      <c r="O8804" t="s">
        <v>114</v>
      </c>
      <c r="P8804" s="3" t="s">
        <v>75</v>
      </c>
      <c r="Q8804">
        <v>2016</v>
      </c>
      <c r="R8804" s="2">
        <v>42401</v>
      </c>
      <c r="S8804" s="2">
        <v>42404</v>
      </c>
      <c r="T8804" s="2">
        <v>42401</v>
      </c>
      <c r="U8804" s="2">
        <v>42461</v>
      </c>
      <c r="V8804" t="s">
        <v>71</v>
      </c>
      <c r="W8804" t="str">
        <f>"     000001-2016-FPA"</f>
        <v xml:space="preserve">     000001-2016-FPA</v>
      </c>
      <c r="X8804" s="1">
        <v>79689.5</v>
      </c>
      <c r="Y8804">
        <v>0</v>
      </c>
      <c r="Z8804"/>
      <c r="AB8804"/>
      <c r="AC8804" s="1">
        <v>79689.5</v>
      </c>
      <c r="AD8804">
        <v>112</v>
      </c>
      <c r="AE8804" s="1">
        <v>8925224</v>
      </c>
      <c r="AF8804">
        <v>0</v>
      </c>
      <c r="AJ8804">
        <v>0</v>
      </c>
      <c r="AK8804">
        <v>0</v>
      </c>
      <c r="AL8804">
        <v>0</v>
      </c>
      <c r="AM8804" s="1">
        <v>79689.5</v>
      </c>
      <c r="AN8804" s="1">
        <v>79689.5</v>
      </c>
      <c r="AO8804" s="1">
        <v>79689.5</v>
      </c>
      <c r="AP8804" s="2">
        <v>42746</v>
      </c>
      <c r="AQ8804" t="s">
        <v>72</v>
      </c>
      <c r="AR8804" t="s">
        <v>72</v>
      </c>
      <c r="AS8804">
        <v>1880</v>
      </c>
      <c r="AT8804" s="4">
        <v>42573</v>
      </c>
      <c r="AU8804" t="s">
        <v>73</v>
      </c>
      <c r="AV8804">
        <v>1880</v>
      </c>
      <c r="AW8804" s="4">
        <v>42573</v>
      </c>
      <c r="BD8804">
        <v>0</v>
      </c>
      <c r="BN8804" t="s">
        <v>74</v>
      </c>
    </row>
    <row r="8805" spans="1:66" hidden="1">
      <c r="A8805">
        <v>106483</v>
      </c>
      <c r="B8805" s="3" t="s">
        <v>778</v>
      </c>
      <c r="C8805" s="1">
        <v>43500101</v>
      </c>
      <c r="D8805" t="s">
        <v>113</v>
      </c>
      <c r="H8805" t="str">
        <f t="shared" si="916"/>
        <v>01587310622</v>
      </c>
      <c r="I8805" t="str">
        <f t="shared" si="916"/>
        <v>01587310622</v>
      </c>
      <c r="K8805" t="str">
        <f>""</f>
        <v/>
      </c>
      <c r="M8805" t="s">
        <v>68</v>
      </c>
      <c r="N8805" t="str">
        <f t="shared" si="917"/>
        <v>ALT</v>
      </c>
      <c r="O8805" t="s">
        <v>114</v>
      </c>
      <c r="P8805" s="3" t="s">
        <v>75</v>
      </c>
      <c r="Q8805">
        <v>2016</v>
      </c>
      <c r="R8805" s="2">
        <v>42401</v>
      </c>
      <c r="S8805" s="2">
        <v>42439</v>
      </c>
      <c r="T8805" s="2">
        <v>42436</v>
      </c>
      <c r="U8805" s="2">
        <v>42496</v>
      </c>
      <c r="V8805" t="s">
        <v>71</v>
      </c>
      <c r="W8805" t="str">
        <f>"     000002-2016-FPA"</f>
        <v xml:space="preserve">     000002-2016-FPA</v>
      </c>
      <c r="X8805" s="1">
        <v>17502</v>
      </c>
      <c r="Y8805">
        <v>0</v>
      </c>
      <c r="Z8805"/>
      <c r="AB8805"/>
      <c r="AC8805" s="1">
        <v>17502</v>
      </c>
      <c r="AD8805">
        <v>89</v>
      </c>
      <c r="AE8805" s="1">
        <v>1557678</v>
      </c>
      <c r="AF8805">
        <v>0</v>
      </c>
      <c r="AJ8805">
        <v>0</v>
      </c>
      <c r="AK8805">
        <v>0</v>
      </c>
      <c r="AL8805">
        <v>0</v>
      </c>
      <c r="AM8805" s="1">
        <v>17502</v>
      </c>
      <c r="AN8805" s="1">
        <v>17502</v>
      </c>
      <c r="AO8805" s="1">
        <v>17502</v>
      </c>
      <c r="AP8805" s="2">
        <v>42746</v>
      </c>
      <c r="AQ8805" t="s">
        <v>72</v>
      </c>
      <c r="AR8805" t="s">
        <v>72</v>
      </c>
      <c r="AS8805">
        <v>2072</v>
      </c>
      <c r="AT8805" s="4">
        <v>42585</v>
      </c>
      <c r="AU8805" t="s">
        <v>73</v>
      </c>
      <c r="AV8805">
        <v>2072</v>
      </c>
      <c r="AW8805" s="4">
        <v>42585</v>
      </c>
      <c r="BD8805">
        <v>0</v>
      </c>
      <c r="BN8805" t="s">
        <v>74</v>
      </c>
    </row>
    <row r="8806" spans="1:66">
      <c r="A8806">
        <v>106483</v>
      </c>
      <c r="B8806" s="3" t="s">
        <v>778</v>
      </c>
      <c r="C8806" s="1">
        <v>43500101</v>
      </c>
      <c r="D8806" t="s">
        <v>113</v>
      </c>
      <c r="H8806" t="str">
        <f t="shared" si="916"/>
        <v>01587310622</v>
      </c>
      <c r="I8806" t="str">
        <f t="shared" si="916"/>
        <v>01587310622</v>
      </c>
      <c r="K8806" t="str">
        <f>""</f>
        <v/>
      </c>
      <c r="M8806" t="s">
        <v>68</v>
      </c>
      <c r="N8806" t="str">
        <f t="shared" si="917"/>
        <v>ALT</v>
      </c>
      <c r="O8806" t="s">
        <v>114</v>
      </c>
      <c r="P8806" s="3" t="s">
        <v>75</v>
      </c>
      <c r="Q8806">
        <v>2016</v>
      </c>
      <c r="R8806" s="2">
        <v>42401</v>
      </c>
      <c r="S8806" s="2">
        <v>42415</v>
      </c>
      <c r="T8806" s="2">
        <v>42410</v>
      </c>
      <c r="U8806" s="2">
        <v>42470</v>
      </c>
      <c r="V8806" t="s">
        <v>71</v>
      </c>
      <c r="W8806" t="str">
        <f>"     000003-2016-FPA"</f>
        <v xml:space="preserve">     000003-2016-FPA</v>
      </c>
      <c r="X8806" s="1">
        <v>5153</v>
      </c>
      <c r="Y8806">
        <v>0</v>
      </c>
      <c r="Z8806" s="5">
        <v>5153</v>
      </c>
      <c r="AA8806">
        <v>214</v>
      </c>
      <c r="AB8806" s="5">
        <v>1102742</v>
      </c>
      <c r="AC8806" s="1">
        <v>5153</v>
      </c>
      <c r="AD8806">
        <v>214</v>
      </c>
      <c r="AE8806" s="1">
        <v>1102742</v>
      </c>
      <c r="AF8806">
        <v>0</v>
      </c>
      <c r="AJ8806">
        <v>0</v>
      </c>
      <c r="AK8806">
        <v>0</v>
      </c>
      <c r="AL8806">
        <v>0</v>
      </c>
      <c r="AM8806" s="1">
        <v>5153</v>
      </c>
      <c r="AN8806" s="1">
        <v>5153</v>
      </c>
      <c r="AO8806" s="1">
        <v>5153</v>
      </c>
      <c r="AP8806" s="2">
        <v>42746</v>
      </c>
      <c r="AQ8806" t="s">
        <v>72</v>
      </c>
      <c r="AR8806" t="s">
        <v>72</v>
      </c>
      <c r="AS8806">
        <v>3037</v>
      </c>
      <c r="AT8806" s="4">
        <v>42684</v>
      </c>
      <c r="AU8806" t="s">
        <v>73</v>
      </c>
      <c r="AV8806">
        <v>3037</v>
      </c>
      <c r="AW8806" s="4">
        <v>42684</v>
      </c>
      <c r="BD8806">
        <v>0</v>
      </c>
      <c r="BN8806" t="s">
        <v>74</v>
      </c>
    </row>
    <row r="8807" spans="1:66" hidden="1">
      <c r="A8807">
        <v>106483</v>
      </c>
      <c r="B8807" s="3" t="s">
        <v>778</v>
      </c>
      <c r="C8807" s="1">
        <v>43500101</v>
      </c>
      <c r="D8807" t="s">
        <v>113</v>
      </c>
      <c r="H8807" t="str">
        <f t="shared" si="916"/>
        <v>01587310622</v>
      </c>
      <c r="I8807" t="str">
        <f t="shared" si="916"/>
        <v>01587310622</v>
      </c>
      <c r="K8807" t="str">
        <f>""</f>
        <v/>
      </c>
      <c r="M8807" t="s">
        <v>68</v>
      </c>
      <c r="N8807" t="str">
        <f t="shared" si="917"/>
        <v>ALT</v>
      </c>
      <c r="O8807" t="s">
        <v>114</v>
      </c>
      <c r="P8807" s="3" t="s">
        <v>75</v>
      </c>
      <c r="Q8807">
        <v>2016</v>
      </c>
      <c r="R8807" s="2">
        <v>42429</v>
      </c>
      <c r="S8807" s="2">
        <v>42439</v>
      </c>
      <c r="T8807" s="2">
        <v>42432</v>
      </c>
      <c r="U8807" s="2">
        <v>42492</v>
      </c>
      <c r="V8807" t="s">
        <v>71</v>
      </c>
      <c r="W8807" t="str">
        <f>"     000004-2016-FPA"</f>
        <v xml:space="preserve">     000004-2016-FPA</v>
      </c>
      <c r="X8807" s="1">
        <v>79689.5</v>
      </c>
      <c r="Y8807">
        <v>0</v>
      </c>
      <c r="Z8807"/>
      <c r="AB8807"/>
      <c r="AC8807" s="1">
        <v>79689.5</v>
      </c>
      <c r="AD8807">
        <v>81</v>
      </c>
      <c r="AE8807" s="1">
        <v>6454849.5</v>
      </c>
      <c r="AF8807">
        <v>0</v>
      </c>
      <c r="AJ8807">
        <v>0</v>
      </c>
      <c r="AK8807">
        <v>0</v>
      </c>
      <c r="AL8807">
        <v>0</v>
      </c>
      <c r="AM8807" s="1">
        <v>79689.5</v>
      </c>
      <c r="AN8807" s="1">
        <v>79689.5</v>
      </c>
      <c r="AO8807" s="1">
        <v>79689.5</v>
      </c>
      <c r="AP8807" s="2">
        <v>42746</v>
      </c>
      <c r="AQ8807" t="s">
        <v>72</v>
      </c>
      <c r="AR8807" t="s">
        <v>72</v>
      </c>
      <c r="AS8807">
        <v>1880</v>
      </c>
      <c r="AT8807" s="4">
        <v>42573</v>
      </c>
      <c r="AU8807" t="s">
        <v>73</v>
      </c>
      <c r="AV8807">
        <v>1880</v>
      </c>
      <c r="AW8807" s="4">
        <v>42573</v>
      </c>
      <c r="BD8807">
        <v>0</v>
      </c>
      <c r="BN8807" t="s">
        <v>74</v>
      </c>
    </row>
    <row r="8808" spans="1:66" hidden="1">
      <c r="A8808">
        <v>106483</v>
      </c>
      <c r="B8808" s="3" t="s">
        <v>778</v>
      </c>
      <c r="C8808" s="1">
        <v>43500101</v>
      </c>
      <c r="D8808" t="s">
        <v>113</v>
      </c>
      <c r="H8808" t="str">
        <f t="shared" ref="H8808:I8824" si="918">"01587310622"</f>
        <v>01587310622</v>
      </c>
      <c r="I8808" t="str">
        <f t="shared" si="918"/>
        <v>01587310622</v>
      </c>
      <c r="K8808" t="str">
        <f>""</f>
        <v/>
      </c>
      <c r="M8808" t="s">
        <v>68</v>
      </c>
      <c r="N8808" t="str">
        <f t="shared" si="917"/>
        <v>ALT</v>
      </c>
      <c r="O8808" t="s">
        <v>114</v>
      </c>
      <c r="P8808" s="3" t="s">
        <v>75</v>
      </c>
      <c r="Q8808">
        <v>2016</v>
      </c>
      <c r="R8808" s="2">
        <v>42429</v>
      </c>
      <c r="S8808" s="2">
        <v>42439</v>
      </c>
      <c r="T8808" s="2">
        <v>42436</v>
      </c>
      <c r="U8808" s="2">
        <v>42496</v>
      </c>
      <c r="V8808" t="s">
        <v>71</v>
      </c>
      <c r="W8808" t="str">
        <f>"     000005-2016-FPA"</f>
        <v xml:space="preserve">     000005-2016-FPA</v>
      </c>
      <c r="X8808" s="1">
        <v>4435.5</v>
      </c>
      <c r="Y8808">
        <v>0</v>
      </c>
      <c r="Z8808"/>
      <c r="AB8808"/>
      <c r="AC8808" s="1">
        <v>4435.5</v>
      </c>
      <c r="AD8808">
        <v>77</v>
      </c>
      <c r="AE8808" s="1">
        <v>341533.5</v>
      </c>
      <c r="AF8808">
        <v>0</v>
      </c>
      <c r="AJ8808">
        <v>0</v>
      </c>
      <c r="AK8808">
        <v>0</v>
      </c>
      <c r="AL8808">
        <v>0</v>
      </c>
      <c r="AM8808" s="1">
        <v>4435.5</v>
      </c>
      <c r="AN8808" s="1">
        <v>4435.5</v>
      </c>
      <c r="AO8808" s="1">
        <v>4435.5</v>
      </c>
      <c r="AP8808" s="2">
        <v>42746</v>
      </c>
      <c r="AQ8808" t="s">
        <v>72</v>
      </c>
      <c r="AR8808" t="s">
        <v>72</v>
      </c>
      <c r="AS8808">
        <v>1880</v>
      </c>
      <c r="AT8808" s="4">
        <v>42573</v>
      </c>
      <c r="AU8808" t="s">
        <v>73</v>
      </c>
      <c r="AV8808">
        <v>1880</v>
      </c>
      <c r="AW8808" s="4">
        <v>42573</v>
      </c>
      <c r="BD8808">
        <v>0</v>
      </c>
      <c r="BN8808" t="s">
        <v>74</v>
      </c>
    </row>
    <row r="8809" spans="1:66" hidden="1">
      <c r="A8809">
        <v>106483</v>
      </c>
      <c r="B8809" s="3" t="s">
        <v>778</v>
      </c>
      <c r="C8809" s="1">
        <v>43500101</v>
      </c>
      <c r="D8809" t="s">
        <v>113</v>
      </c>
      <c r="H8809" t="str">
        <f t="shared" si="918"/>
        <v>01587310622</v>
      </c>
      <c r="I8809" t="str">
        <f t="shared" si="918"/>
        <v>01587310622</v>
      </c>
      <c r="K8809" t="str">
        <f>""</f>
        <v/>
      </c>
      <c r="M8809" t="s">
        <v>68</v>
      </c>
      <c r="N8809" t="str">
        <f t="shared" si="917"/>
        <v>ALT</v>
      </c>
      <c r="O8809" t="s">
        <v>114</v>
      </c>
      <c r="P8809" s="3" t="s">
        <v>75</v>
      </c>
      <c r="Q8809">
        <v>2016</v>
      </c>
      <c r="R8809" s="2">
        <v>42429</v>
      </c>
      <c r="S8809" s="2">
        <v>42439</v>
      </c>
      <c r="T8809" s="2">
        <v>42436</v>
      </c>
      <c r="U8809" s="2">
        <v>42496</v>
      </c>
      <c r="V8809" t="s">
        <v>71</v>
      </c>
      <c r="W8809" t="str">
        <f>"     000006-2016-FPA"</f>
        <v xml:space="preserve">     000006-2016-FPA</v>
      </c>
      <c r="X8809" s="1">
        <v>17502</v>
      </c>
      <c r="Y8809">
        <v>0</v>
      </c>
      <c r="Z8809"/>
      <c r="AB8809"/>
      <c r="AC8809" s="1">
        <v>17502</v>
      </c>
      <c r="AD8809">
        <v>89</v>
      </c>
      <c r="AE8809" s="1">
        <v>1557678</v>
      </c>
      <c r="AF8809">
        <v>0</v>
      </c>
      <c r="AJ8809">
        <v>0</v>
      </c>
      <c r="AK8809">
        <v>0</v>
      </c>
      <c r="AL8809">
        <v>0</v>
      </c>
      <c r="AM8809" s="1">
        <v>17502</v>
      </c>
      <c r="AN8809" s="1">
        <v>17502</v>
      </c>
      <c r="AO8809" s="1">
        <v>17502</v>
      </c>
      <c r="AP8809" s="2">
        <v>42746</v>
      </c>
      <c r="AQ8809" t="s">
        <v>72</v>
      </c>
      <c r="AR8809" t="s">
        <v>72</v>
      </c>
      <c r="AS8809">
        <v>2072</v>
      </c>
      <c r="AT8809" s="4">
        <v>42585</v>
      </c>
      <c r="AU8809" t="s">
        <v>73</v>
      </c>
      <c r="AV8809">
        <v>2072</v>
      </c>
      <c r="AW8809" s="4">
        <v>42585</v>
      </c>
      <c r="BD8809">
        <v>0</v>
      </c>
      <c r="BN8809" t="s">
        <v>74</v>
      </c>
    </row>
    <row r="8810" spans="1:66">
      <c r="A8810">
        <v>106483</v>
      </c>
      <c r="B8810" s="3" t="s">
        <v>778</v>
      </c>
      <c r="C8810" s="1">
        <v>43500101</v>
      </c>
      <c r="D8810" t="s">
        <v>113</v>
      </c>
      <c r="H8810" t="str">
        <f t="shared" si="918"/>
        <v>01587310622</v>
      </c>
      <c r="I8810" t="str">
        <f t="shared" si="918"/>
        <v>01587310622</v>
      </c>
      <c r="K8810" t="str">
        <f>""</f>
        <v/>
      </c>
      <c r="M8810" t="s">
        <v>68</v>
      </c>
      <c r="N8810" t="str">
        <f t="shared" si="917"/>
        <v>ALT</v>
      </c>
      <c r="O8810" t="s">
        <v>114</v>
      </c>
      <c r="P8810" s="3" t="s">
        <v>75</v>
      </c>
      <c r="Q8810">
        <v>2016</v>
      </c>
      <c r="R8810" s="2">
        <v>42460</v>
      </c>
      <c r="S8810" s="2">
        <v>42475</v>
      </c>
      <c r="T8810" s="2">
        <v>42464</v>
      </c>
      <c r="U8810" s="2">
        <v>42524</v>
      </c>
      <c r="V8810" t="s">
        <v>71</v>
      </c>
      <c r="W8810" t="str">
        <f>"     000007-2016-FPA"</f>
        <v xml:space="preserve">     000007-2016-FPA</v>
      </c>
      <c r="X8810" s="1">
        <v>79689.5</v>
      </c>
      <c r="Y8810">
        <v>0</v>
      </c>
      <c r="Z8810" s="5">
        <v>79689.5</v>
      </c>
      <c r="AA8810">
        <v>124</v>
      </c>
      <c r="AB8810" s="5">
        <v>9881498</v>
      </c>
      <c r="AC8810" s="1">
        <v>79689.5</v>
      </c>
      <c r="AD8810">
        <v>124</v>
      </c>
      <c r="AE8810" s="1">
        <v>9881498</v>
      </c>
      <c r="AF8810">
        <v>0</v>
      </c>
      <c r="AJ8810">
        <v>0</v>
      </c>
      <c r="AK8810">
        <v>0</v>
      </c>
      <c r="AL8810">
        <v>0</v>
      </c>
      <c r="AM8810" s="1">
        <v>79689.5</v>
      </c>
      <c r="AN8810" s="1">
        <v>79689.5</v>
      </c>
      <c r="AO8810" s="1">
        <v>79689.5</v>
      </c>
      <c r="AP8810" s="2">
        <v>42746</v>
      </c>
      <c r="AQ8810" t="s">
        <v>72</v>
      </c>
      <c r="AR8810" t="s">
        <v>72</v>
      </c>
      <c r="AS8810">
        <v>2703</v>
      </c>
      <c r="AT8810" s="4">
        <v>42648</v>
      </c>
      <c r="AU8810" t="s">
        <v>73</v>
      </c>
      <c r="AV8810">
        <v>2703</v>
      </c>
      <c r="AW8810" s="4">
        <v>42648</v>
      </c>
      <c r="BD8810">
        <v>0</v>
      </c>
      <c r="BN8810" t="s">
        <v>74</v>
      </c>
    </row>
    <row r="8811" spans="1:66" hidden="1">
      <c r="A8811">
        <v>106483</v>
      </c>
      <c r="B8811" s="3" t="s">
        <v>778</v>
      </c>
      <c r="C8811" s="1">
        <v>43500101</v>
      </c>
      <c r="D8811" t="s">
        <v>113</v>
      </c>
      <c r="H8811" t="str">
        <f t="shared" si="918"/>
        <v>01587310622</v>
      </c>
      <c r="I8811" t="str">
        <f t="shared" si="918"/>
        <v>01587310622</v>
      </c>
      <c r="K8811" t="str">
        <f>""</f>
        <v/>
      </c>
      <c r="M8811" t="s">
        <v>68</v>
      </c>
      <c r="N8811" t="str">
        <f t="shared" si="917"/>
        <v>ALT</v>
      </c>
      <c r="O8811" t="s">
        <v>114</v>
      </c>
      <c r="P8811" s="3" t="s">
        <v>75</v>
      </c>
      <c r="Q8811">
        <v>2016</v>
      </c>
      <c r="R8811" s="2">
        <v>42460</v>
      </c>
      <c r="S8811" s="2">
        <v>42475</v>
      </c>
      <c r="T8811" s="2">
        <v>42464</v>
      </c>
      <c r="U8811" s="2">
        <v>42524</v>
      </c>
      <c r="V8811" t="s">
        <v>71</v>
      </c>
      <c r="W8811" t="str">
        <f>"     000008-2016-FPA"</f>
        <v xml:space="preserve">     000008-2016-FPA</v>
      </c>
      <c r="X8811" s="1">
        <v>17502</v>
      </c>
      <c r="Y8811">
        <v>0</v>
      </c>
      <c r="Z8811"/>
      <c r="AB8811"/>
      <c r="AC8811" s="1">
        <v>17502</v>
      </c>
      <c r="AD8811">
        <v>61</v>
      </c>
      <c r="AE8811" s="1">
        <v>1067622</v>
      </c>
      <c r="AF8811">
        <v>0</v>
      </c>
      <c r="AJ8811">
        <v>0</v>
      </c>
      <c r="AK8811">
        <v>0</v>
      </c>
      <c r="AL8811">
        <v>0</v>
      </c>
      <c r="AM8811" s="1">
        <v>17502</v>
      </c>
      <c r="AN8811" s="1">
        <v>17502</v>
      </c>
      <c r="AO8811" s="1">
        <v>17502</v>
      </c>
      <c r="AP8811" s="2">
        <v>42746</v>
      </c>
      <c r="AQ8811" t="s">
        <v>72</v>
      </c>
      <c r="AR8811" t="s">
        <v>72</v>
      </c>
      <c r="AS8811">
        <v>2072</v>
      </c>
      <c r="AT8811" s="4">
        <v>42585</v>
      </c>
      <c r="AU8811" t="s">
        <v>73</v>
      </c>
      <c r="AV8811">
        <v>2072</v>
      </c>
      <c r="AW8811" s="4">
        <v>42585</v>
      </c>
      <c r="BD8811">
        <v>0</v>
      </c>
      <c r="BN8811" t="s">
        <v>74</v>
      </c>
    </row>
    <row r="8812" spans="1:66">
      <c r="A8812">
        <v>106483</v>
      </c>
      <c r="B8812" s="3" t="s">
        <v>778</v>
      </c>
      <c r="C8812" s="1">
        <v>43500101</v>
      </c>
      <c r="D8812" t="s">
        <v>113</v>
      </c>
      <c r="H8812" t="str">
        <f t="shared" si="918"/>
        <v>01587310622</v>
      </c>
      <c r="I8812" t="str">
        <f t="shared" si="918"/>
        <v>01587310622</v>
      </c>
      <c r="K8812" t="str">
        <f>""</f>
        <v/>
      </c>
      <c r="M8812" t="s">
        <v>68</v>
      </c>
      <c r="N8812" t="str">
        <f t="shared" si="917"/>
        <v>ALT</v>
      </c>
      <c r="O8812" t="s">
        <v>114</v>
      </c>
      <c r="P8812" s="3" t="s">
        <v>75</v>
      </c>
      <c r="Q8812">
        <v>2016</v>
      </c>
      <c r="R8812" s="2">
        <v>42467</v>
      </c>
      <c r="S8812" s="2">
        <v>42475</v>
      </c>
      <c r="T8812" s="2">
        <v>42469</v>
      </c>
      <c r="U8812" s="2">
        <v>42529</v>
      </c>
      <c r="V8812" t="s">
        <v>71</v>
      </c>
      <c r="W8812" t="str">
        <f>"     000011-2016-FPA"</f>
        <v xml:space="preserve">     000011-2016-FPA</v>
      </c>
      <c r="X8812" s="1">
        <v>3438.75</v>
      </c>
      <c r="Y8812">
        <v>0</v>
      </c>
      <c r="Z8812" s="5">
        <v>3438.75</v>
      </c>
      <c r="AA8812">
        <v>119</v>
      </c>
      <c r="AB8812" s="5">
        <v>409211.25</v>
      </c>
      <c r="AC8812" s="1">
        <v>3438.75</v>
      </c>
      <c r="AD8812">
        <v>119</v>
      </c>
      <c r="AE8812" s="1">
        <v>409211.25</v>
      </c>
      <c r="AF8812">
        <v>0</v>
      </c>
      <c r="AJ8812">
        <v>0</v>
      </c>
      <c r="AK8812">
        <v>0</v>
      </c>
      <c r="AL8812">
        <v>0</v>
      </c>
      <c r="AM8812" s="1">
        <v>3438.75</v>
      </c>
      <c r="AN8812" s="1">
        <v>3438.75</v>
      </c>
      <c r="AO8812" s="1">
        <v>3438.75</v>
      </c>
      <c r="AP8812" s="2">
        <v>42746</v>
      </c>
      <c r="AQ8812" t="s">
        <v>72</v>
      </c>
      <c r="AR8812" t="s">
        <v>72</v>
      </c>
      <c r="AS8812">
        <v>2703</v>
      </c>
      <c r="AT8812" s="4">
        <v>42648</v>
      </c>
      <c r="AU8812" t="s">
        <v>73</v>
      </c>
      <c r="AV8812">
        <v>2703</v>
      </c>
      <c r="AW8812" s="4">
        <v>42648</v>
      </c>
      <c r="BD8812">
        <v>0</v>
      </c>
      <c r="BN8812" t="s">
        <v>74</v>
      </c>
    </row>
    <row r="8813" spans="1:66" hidden="1">
      <c r="A8813">
        <v>106483</v>
      </c>
      <c r="B8813" s="3" t="s">
        <v>778</v>
      </c>
      <c r="C8813" s="1">
        <v>43500101</v>
      </c>
      <c r="D8813" t="s">
        <v>113</v>
      </c>
      <c r="H8813" t="str">
        <f t="shared" si="918"/>
        <v>01587310622</v>
      </c>
      <c r="I8813" t="str">
        <f t="shared" si="918"/>
        <v>01587310622</v>
      </c>
      <c r="K8813" t="str">
        <f>""</f>
        <v/>
      </c>
      <c r="M8813" t="s">
        <v>68</v>
      </c>
      <c r="N8813" t="str">
        <f t="shared" si="917"/>
        <v>ALT</v>
      </c>
      <c r="O8813" t="s">
        <v>114</v>
      </c>
      <c r="P8813" s="3" t="s">
        <v>75</v>
      </c>
      <c r="Q8813">
        <v>2016</v>
      </c>
      <c r="R8813" s="2">
        <v>42490</v>
      </c>
      <c r="S8813" s="2">
        <v>42500</v>
      </c>
      <c r="T8813" s="2">
        <v>42492</v>
      </c>
      <c r="U8813" s="2">
        <v>42552</v>
      </c>
      <c r="V8813" t="s">
        <v>71</v>
      </c>
      <c r="W8813" t="str">
        <f>"     000012-2016-FPA"</f>
        <v xml:space="preserve">     000012-2016-FPA</v>
      </c>
      <c r="X8813" s="1">
        <v>75705.13</v>
      </c>
      <c r="Y8813">
        <v>0</v>
      </c>
      <c r="Z8813"/>
      <c r="AB8813"/>
      <c r="AC8813" s="1">
        <v>75705.13</v>
      </c>
      <c r="AD8813">
        <v>67</v>
      </c>
      <c r="AE8813" s="1">
        <v>5072243.71</v>
      </c>
      <c r="AF8813">
        <v>0</v>
      </c>
      <c r="AJ8813">
        <v>0</v>
      </c>
      <c r="AK8813">
        <v>0</v>
      </c>
      <c r="AL8813">
        <v>0</v>
      </c>
      <c r="AM8813" s="1">
        <v>75705.13</v>
      </c>
      <c r="AN8813" s="1">
        <v>75705.13</v>
      </c>
      <c r="AO8813" s="1">
        <v>75705.13</v>
      </c>
      <c r="AP8813" s="2">
        <v>42746</v>
      </c>
      <c r="AQ8813" t="s">
        <v>72</v>
      </c>
      <c r="AR8813" t="s">
        <v>72</v>
      </c>
      <c r="AS8813">
        <v>2273</v>
      </c>
      <c r="AT8813" s="4">
        <v>42619</v>
      </c>
      <c r="AU8813" t="s">
        <v>73</v>
      </c>
      <c r="AV8813">
        <v>2273</v>
      </c>
      <c r="AW8813" s="4">
        <v>42619</v>
      </c>
      <c r="BD8813">
        <v>0</v>
      </c>
      <c r="BN8813" t="s">
        <v>74</v>
      </c>
    </row>
    <row r="8814" spans="1:66" hidden="1">
      <c r="A8814">
        <v>106483</v>
      </c>
      <c r="B8814" s="3" t="s">
        <v>778</v>
      </c>
      <c r="C8814" s="1">
        <v>43500101</v>
      </c>
      <c r="D8814" t="s">
        <v>113</v>
      </c>
      <c r="H8814" t="str">
        <f t="shared" si="918"/>
        <v>01587310622</v>
      </c>
      <c r="I8814" t="str">
        <f t="shared" si="918"/>
        <v>01587310622</v>
      </c>
      <c r="K8814" t="str">
        <f>""</f>
        <v/>
      </c>
      <c r="M8814" t="s">
        <v>68</v>
      </c>
      <c r="N8814" t="str">
        <f t="shared" si="917"/>
        <v>ALT</v>
      </c>
      <c r="O8814" t="s">
        <v>114</v>
      </c>
      <c r="P8814" s="3" t="s">
        <v>75</v>
      </c>
      <c r="Q8814">
        <v>2016</v>
      </c>
      <c r="R8814" s="2">
        <v>42490</v>
      </c>
      <c r="S8814" s="2">
        <v>42556</v>
      </c>
      <c r="T8814" s="2">
        <v>42555</v>
      </c>
      <c r="U8814" s="2">
        <v>42615</v>
      </c>
      <c r="V8814" t="s">
        <v>71</v>
      </c>
      <c r="W8814" t="str">
        <f>"     000013-2016-FPA"</f>
        <v xml:space="preserve">     000013-2016-FPA</v>
      </c>
      <c r="X8814" s="1">
        <v>17502</v>
      </c>
      <c r="Y8814">
        <v>0</v>
      </c>
      <c r="Z8814"/>
      <c r="AB8814"/>
      <c r="AC8814" s="1">
        <v>17502</v>
      </c>
      <c r="AD8814">
        <v>4</v>
      </c>
      <c r="AE8814" s="1">
        <v>70008</v>
      </c>
      <c r="AF8814">
        <v>0</v>
      </c>
      <c r="AJ8814">
        <v>0</v>
      </c>
      <c r="AK8814">
        <v>0</v>
      </c>
      <c r="AL8814">
        <v>0</v>
      </c>
      <c r="AM8814" s="1">
        <v>17502</v>
      </c>
      <c r="AN8814" s="1">
        <v>17502</v>
      </c>
      <c r="AO8814" s="1">
        <v>17502</v>
      </c>
      <c r="AP8814" s="2">
        <v>42746</v>
      </c>
      <c r="AQ8814" t="s">
        <v>72</v>
      </c>
      <c r="AR8814" t="s">
        <v>72</v>
      </c>
      <c r="AS8814">
        <v>2273</v>
      </c>
      <c r="AT8814" s="4">
        <v>42619</v>
      </c>
      <c r="AU8814" t="s">
        <v>73</v>
      </c>
      <c r="AV8814">
        <v>2273</v>
      </c>
      <c r="AW8814" s="4">
        <v>42619</v>
      </c>
      <c r="BD8814">
        <v>0</v>
      </c>
      <c r="BN8814" t="s">
        <v>74</v>
      </c>
    </row>
    <row r="8815" spans="1:66" hidden="1">
      <c r="A8815">
        <v>106483</v>
      </c>
      <c r="B8815" s="3" t="s">
        <v>778</v>
      </c>
      <c r="C8815" s="1">
        <v>43500101</v>
      </c>
      <c r="D8815" t="s">
        <v>113</v>
      </c>
      <c r="H8815" t="str">
        <f t="shared" si="918"/>
        <v>01587310622</v>
      </c>
      <c r="I8815" t="str">
        <f t="shared" si="918"/>
        <v>01587310622</v>
      </c>
      <c r="K8815" t="str">
        <f>""</f>
        <v/>
      </c>
      <c r="M8815" t="s">
        <v>68</v>
      </c>
      <c r="N8815" t="str">
        <f t="shared" si="917"/>
        <v>ALT</v>
      </c>
      <c r="O8815" t="s">
        <v>114</v>
      </c>
      <c r="P8815" s="3" t="s">
        <v>75</v>
      </c>
      <c r="Q8815">
        <v>2016</v>
      </c>
      <c r="R8815" s="2">
        <v>42490</v>
      </c>
      <c r="S8815" s="2">
        <v>42500</v>
      </c>
      <c r="T8815" s="2">
        <v>42496</v>
      </c>
      <c r="U8815" s="2">
        <v>42556</v>
      </c>
      <c r="V8815" t="s">
        <v>71</v>
      </c>
      <c r="W8815" t="str">
        <f>"     000014-2016-FPA"</f>
        <v xml:space="preserve">     000014-2016-FPA</v>
      </c>
      <c r="X8815" s="1">
        <v>3252.75</v>
      </c>
      <c r="Y8815">
        <v>0</v>
      </c>
      <c r="Z8815"/>
      <c r="AB8815"/>
      <c r="AC8815" s="1">
        <v>3252.75</v>
      </c>
      <c r="AD8815">
        <v>63</v>
      </c>
      <c r="AE8815" s="1">
        <v>204923.25</v>
      </c>
      <c r="AF8815">
        <v>0</v>
      </c>
      <c r="AJ8815">
        <v>0</v>
      </c>
      <c r="AK8815">
        <v>0</v>
      </c>
      <c r="AL8815">
        <v>0</v>
      </c>
      <c r="AM8815" s="1">
        <v>3252.75</v>
      </c>
      <c r="AN8815" s="1">
        <v>3252.75</v>
      </c>
      <c r="AO8815" s="1">
        <v>3252.75</v>
      </c>
      <c r="AP8815" s="2">
        <v>42746</v>
      </c>
      <c r="AQ8815" t="s">
        <v>72</v>
      </c>
      <c r="AR8815" t="s">
        <v>72</v>
      </c>
      <c r="AS8815">
        <v>2273</v>
      </c>
      <c r="AT8815" s="4">
        <v>42619</v>
      </c>
      <c r="AU8815" t="s">
        <v>73</v>
      </c>
      <c r="AV8815">
        <v>2273</v>
      </c>
      <c r="AW8815" s="4">
        <v>42619</v>
      </c>
      <c r="BD8815">
        <v>0</v>
      </c>
      <c r="BN8815" t="s">
        <v>74</v>
      </c>
    </row>
    <row r="8816" spans="1:66">
      <c r="A8816">
        <v>106483</v>
      </c>
      <c r="B8816" s="3" t="s">
        <v>778</v>
      </c>
      <c r="C8816" s="1">
        <v>43500101</v>
      </c>
      <c r="D8816" t="s">
        <v>113</v>
      </c>
      <c r="H8816" t="str">
        <f t="shared" si="918"/>
        <v>01587310622</v>
      </c>
      <c r="I8816" t="str">
        <f t="shared" si="918"/>
        <v>01587310622</v>
      </c>
      <c r="K8816" t="str">
        <f>""</f>
        <v/>
      </c>
      <c r="M8816" t="s">
        <v>68</v>
      </c>
      <c r="N8816" t="str">
        <f t="shared" si="917"/>
        <v>ALT</v>
      </c>
      <c r="O8816" t="s">
        <v>114</v>
      </c>
      <c r="P8816" s="3" t="s">
        <v>75</v>
      </c>
      <c r="Q8816">
        <v>2016</v>
      </c>
      <c r="R8816" s="2">
        <v>42521</v>
      </c>
      <c r="S8816" s="2">
        <v>42530</v>
      </c>
      <c r="T8816" s="2">
        <v>42524</v>
      </c>
      <c r="U8816" s="2">
        <v>42584</v>
      </c>
      <c r="V8816" t="s">
        <v>71</v>
      </c>
      <c r="W8816" t="str">
        <f>"     000017-2016-FPA"</f>
        <v xml:space="preserve">     000017-2016-FPA</v>
      </c>
      <c r="X8816" s="1">
        <v>75705.13</v>
      </c>
      <c r="Y8816">
        <v>0</v>
      </c>
      <c r="Z8816" s="5">
        <v>75705.13</v>
      </c>
      <c r="AA8816">
        <v>72</v>
      </c>
      <c r="AB8816" s="5">
        <v>5450769.3600000003</v>
      </c>
      <c r="AC8816" s="1">
        <v>75705.13</v>
      </c>
      <c r="AD8816">
        <v>72</v>
      </c>
      <c r="AE8816" s="1">
        <v>5450769.3600000003</v>
      </c>
      <c r="AF8816">
        <v>0</v>
      </c>
      <c r="AJ8816">
        <v>0</v>
      </c>
      <c r="AK8816">
        <v>0</v>
      </c>
      <c r="AL8816">
        <v>0</v>
      </c>
      <c r="AM8816" s="1">
        <v>75705.13</v>
      </c>
      <c r="AN8816" s="1">
        <v>75705.13</v>
      </c>
      <c r="AO8816" s="1">
        <v>75705.13</v>
      </c>
      <c r="AP8816" s="2">
        <v>42746</v>
      </c>
      <c r="AQ8816" t="s">
        <v>72</v>
      </c>
      <c r="AR8816" t="s">
        <v>72</v>
      </c>
      <c r="AS8816">
        <v>2743</v>
      </c>
      <c r="AT8816" s="4">
        <v>42656</v>
      </c>
      <c r="AU8816" t="s">
        <v>73</v>
      </c>
      <c r="AV8816">
        <v>2743</v>
      </c>
      <c r="AW8816" s="4">
        <v>42656</v>
      </c>
      <c r="BD8816">
        <v>0</v>
      </c>
      <c r="BN8816" t="s">
        <v>74</v>
      </c>
    </row>
    <row r="8817" spans="1:66">
      <c r="A8817">
        <v>106483</v>
      </c>
      <c r="B8817" s="3" t="s">
        <v>778</v>
      </c>
      <c r="C8817" s="1">
        <v>43500101</v>
      </c>
      <c r="D8817" t="s">
        <v>113</v>
      </c>
      <c r="H8817" t="str">
        <f t="shared" si="918"/>
        <v>01587310622</v>
      </c>
      <c r="I8817" t="str">
        <f t="shared" si="918"/>
        <v>01587310622</v>
      </c>
      <c r="K8817" t="str">
        <f>""</f>
        <v/>
      </c>
      <c r="M8817" t="s">
        <v>68</v>
      </c>
      <c r="N8817" t="str">
        <f t="shared" si="917"/>
        <v>ALT</v>
      </c>
      <c r="O8817" t="s">
        <v>114</v>
      </c>
      <c r="P8817" s="3" t="s">
        <v>75</v>
      </c>
      <c r="Q8817">
        <v>2016</v>
      </c>
      <c r="R8817" s="2">
        <v>42524</v>
      </c>
      <c r="S8817" s="2">
        <v>42530</v>
      </c>
      <c r="T8817" s="2">
        <v>42524</v>
      </c>
      <c r="U8817" s="2">
        <v>42584</v>
      </c>
      <c r="V8817" t="s">
        <v>71</v>
      </c>
      <c r="W8817" t="str">
        <f>"     000018-2016-FPA"</f>
        <v xml:space="preserve">     000018-2016-FPA</v>
      </c>
      <c r="X8817">
        <v>977</v>
      </c>
      <c r="Y8817">
        <v>0</v>
      </c>
      <c r="Z8817" s="3">
        <v>977</v>
      </c>
      <c r="AA8817">
        <v>72</v>
      </c>
      <c r="AB8817" s="5">
        <v>70344</v>
      </c>
      <c r="AC8817">
        <v>977</v>
      </c>
      <c r="AD8817">
        <v>72</v>
      </c>
      <c r="AE8817" s="1">
        <v>70344</v>
      </c>
      <c r="AF8817">
        <v>0</v>
      </c>
      <c r="AJ8817">
        <v>0</v>
      </c>
      <c r="AK8817">
        <v>0</v>
      </c>
      <c r="AL8817">
        <v>0</v>
      </c>
      <c r="AM8817">
        <v>977</v>
      </c>
      <c r="AN8817">
        <v>977</v>
      </c>
      <c r="AO8817">
        <v>977</v>
      </c>
      <c r="AP8817" s="2">
        <v>42746</v>
      </c>
      <c r="AQ8817" t="s">
        <v>72</v>
      </c>
      <c r="AR8817" t="s">
        <v>72</v>
      </c>
      <c r="AS8817">
        <v>2743</v>
      </c>
      <c r="AT8817" s="4">
        <v>42656</v>
      </c>
      <c r="AU8817" t="s">
        <v>73</v>
      </c>
      <c r="AV8817">
        <v>2743</v>
      </c>
      <c r="AW8817" s="4">
        <v>42656</v>
      </c>
      <c r="BD8817">
        <v>0</v>
      </c>
      <c r="BN8817" t="s">
        <v>74</v>
      </c>
    </row>
    <row r="8818" spans="1:66">
      <c r="A8818">
        <v>106483</v>
      </c>
      <c r="B8818" s="3" t="s">
        <v>778</v>
      </c>
      <c r="C8818" s="1">
        <v>43500101</v>
      </c>
      <c r="D8818" t="s">
        <v>113</v>
      </c>
      <c r="H8818" t="str">
        <f t="shared" si="918"/>
        <v>01587310622</v>
      </c>
      <c r="I8818" t="str">
        <f t="shared" si="918"/>
        <v>01587310622</v>
      </c>
      <c r="K8818" t="str">
        <f>""</f>
        <v/>
      </c>
      <c r="M8818" t="s">
        <v>68</v>
      </c>
      <c r="N8818" t="str">
        <f t="shared" si="917"/>
        <v>ALT</v>
      </c>
      <c r="O8818" t="s">
        <v>114</v>
      </c>
      <c r="P8818" s="3" t="s">
        <v>75</v>
      </c>
      <c r="Q8818">
        <v>2016</v>
      </c>
      <c r="R8818" s="2">
        <v>42538</v>
      </c>
      <c r="S8818" s="2">
        <v>42556</v>
      </c>
      <c r="T8818" s="2">
        <v>42538</v>
      </c>
      <c r="U8818" s="2">
        <v>42598</v>
      </c>
      <c r="V8818" t="s">
        <v>71</v>
      </c>
      <c r="W8818" t="str">
        <f>"     000020-2016-FPA"</f>
        <v xml:space="preserve">     000020-2016-FPA</v>
      </c>
      <c r="X8818" s="1">
        <v>3608.25</v>
      </c>
      <c r="Y8818">
        <v>0</v>
      </c>
      <c r="Z8818" s="5">
        <v>3608.25</v>
      </c>
      <c r="AA8818">
        <v>70</v>
      </c>
      <c r="AB8818" s="5">
        <v>252577.5</v>
      </c>
      <c r="AC8818" s="1">
        <v>3608.25</v>
      </c>
      <c r="AD8818">
        <v>70</v>
      </c>
      <c r="AE8818" s="1">
        <v>252577.5</v>
      </c>
      <c r="AF8818">
        <v>0</v>
      </c>
      <c r="AJ8818">
        <v>0</v>
      </c>
      <c r="AK8818">
        <v>0</v>
      </c>
      <c r="AL8818">
        <v>0</v>
      </c>
      <c r="AM8818" s="1">
        <v>3608.25</v>
      </c>
      <c r="AN8818" s="1">
        <v>3608.25</v>
      </c>
      <c r="AO8818" s="1">
        <v>3608.25</v>
      </c>
      <c r="AP8818" s="2">
        <v>42746</v>
      </c>
      <c r="AQ8818" t="s">
        <v>72</v>
      </c>
      <c r="AR8818" t="s">
        <v>72</v>
      </c>
      <c r="AS8818">
        <v>2880</v>
      </c>
      <c r="AT8818" s="4">
        <v>42668</v>
      </c>
      <c r="AU8818" t="s">
        <v>73</v>
      </c>
      <c r="AV8818">
        <v>2880</v>
      </c>
      <c r="AW8818" s="4">
        <v>42668</v>
      </c>
      <c r="BD8818">
        <v>0</v>
      </c>
      <c r="BN8818" t="s">
        <v>74</v>
      </c>
    </row>
    <row r="8819" spans="1:66">
      <c r="A8819">
        <v>106483</v>
      </c>
      <c r="B8819" s="3" t="s">
        <v>778</v>
      </c>
      <c r="C8819" s="1">
        <v>43500101</v>
      </c>
      <c r="D8819" t="s">
        <v>113</v>
      </c>
      <c r="H8819" t="str">
        <f t="shared" si="918"/>
        <v>01587310622</v>
      </c>
      <c r="I8819" t="str">
        <f t="shared" si="918"/>
        <v>01587310622</v>
      </c>
      <c r="K8819" t="str">
        <f>""</f>
        <v/>
      </c>
      <c r="M8819" t="s">
        <v>68</v>
      </c>
      <c r="N8819" t="str">
        <f t="shared" si="917"/>
        <v>ALT</v>
      </c>
      <c r="O8819" t="s">
        <v>114</v>
      </c>
      <c r="P8819" s="3" t="s">
        <v>75</v>
      </c>
      <c r="Q8819">
        <v>2016</v>
      </c>
      <c r="R8819" s="2">
        <v>42551</v>
      </c>
      <c r="S8819" s="2">
        <v>42556</v>
      </c>
      <c r="T8819" s="2">
        <v>42555</v>
      </c>
      <c r="U8819" s="2">
        <v>42615</v>
      </c>
      <c r="V8819" t="s">
        <v>71</v>
      </c>
      <c r="W8819" t="str">
        <f>"     000024-2016-FPA"</f>
        <v xml:space="preserve">     000024-2016-FPA</v>
      </c>
      <c r="X8819" s="1">
        <v>17502</v>
      </c>
      <c r="Y8819">
        <v>0</v>
      </c>
      <c r="Z8819" s="5">
        <v>17502</v>
      </c>
      <c r="AA8819">
        <v>41</v>
      </c>
      <c r="AB8819" s="5">
        <v>717582</v>
      </c>
      <c r="AC8819" s="1">
        <v>17502</v>
      </c>
      <c r="AD8819">
        <v>41</v>
      </c>
      <c r="AE8819" s="1">
        <v>717582</v>
      </c>
      <c r="AF8819">
        <v>0</v>
      </c>
      <c r="AJ8819">
        <v>0</v>
      </c>
      <c r="AK8819">
        <v>0</v>
      </c>
      <c r="AL8819">
        <v>0</v>
      </c>
      <c r="AM8819" s="1">
        <v>17502</v>
      </c>
      <c r="AN8819" s="1">
        <v>17502</v>
      </c>
      <c r="AO8819" s="1">
        <v>17502</v>
      </c>
      <c r="AP8819" s="2">
        <v>42746</v>
      </c>
      <c r="AQ8819" t="s">
        <v>72</v>
      </c>
      <c r="AR8819" t="s">
        <v>72</v>
      </c>
      <c r="AS8819">
        <v>2743</v>
      </c>
      <c r="AT8819" s="4">
        <v>42656</v>
      </c>
      <c r="AU8819" t="s">
        <v>73</v>
      </c>
      <c r="AV8819">
        <v>2743</v>
      </c>
      <c r="AW8819" s="4">
        <v>42656</v>
      </c>
      <c r="BD8819">
        <v>0</v>
      </c>
      <c r="BN8819" t="s">
        <v>74</v>
      </c>
    </row>
    <row r="8820" spans="1:66">
      <c r="A8820">
        <v>106483</v>
      </c>
      <c r="B8820" s="3" t="s">
        <v>778</v>
      </c>
      <c r="C8820" s="1">
        <v>43500101</v>
      </c>
      <c r="D8820" t="s">
        <v>113</v>
      </c>
      <c r="H8820" t="str">
        <f t="shared" si="918"/>
        <v>01587310622</v>
      </c>
      <c r="I8820" t="str">
        <f t="shared" si="918"/>
        <v>01587310622</v>
      </c>
      <c r="K8820" t="str">
        <f>""</f>
        <v/>
      </c>
      <c r="M8820" t="s">
        <v>68</v>
      </c>
      <c r="N8820" t="str">
        <f t="shared" si="917"/>
        <v>ALT</v>
      </c>
      <c r="O8820" t="s">
        <v>114</v>
      </c>
      <c r="P8820" s="3" t="s">
        <v>75</v>
      </c>
      <c r="Q8820">
        <v>2016</v>
      </c>
      <c r="R8820" s="2">
        <v>42551</v>
      </c>
      <c r="S8820" s="2">
        <v>42556</v>
      </c>
      <c r="T8820" s="2">
        <v>42555</v>
      </c>
      <c r="U8820" s="2">
        <v>42615</v>
      </c>
      <c r="V8820" t="s">
        <v>71</v>
      </c>
      <c r="W8820" t="str">
        <f>"     000025-2016-FPA"</f>
        <v xml:space="preserve">     000025-2016-FPA</v>
      </c>
      <c r="X8820" s="1">
        <v>17502</v>
      </c>
      <c r="Y8820">
        <v>0</v>
      </c>
      <c r="Z8820" s="5">
        <v>17502</v>
      </c>
      <c r="AA8820">
        <v>41</v>
      </c>
      <c r="AB8820" s="5">
        <v>717582</v>
      </c>
      <c r="AC8820" s="1">
        <v>17502</v>
      </c>
      <c r="AD8820">
        <v>41</v>
      </c>
      <c r="AE8820" s="1">
        <v>717582</v>
      </c>
      <c r="AF8820">
        <v>0</v>
      </c>
      <c r="AJ8820">
        <v>0</v>
      </c>
      <c r="AK8820">
        <v>0</v>
      </c>
      <c r="AL8820">
        <v>0</v>
      </c>
      <c r="AM8820" s="1">
        <v>17502</v>
      </c>
      <c r="AN8820" s="1">
        <v>17502</v>
      </c>
      <c r="AO8820" s="1">
        <v>17502</v>
      </c>
      <c r="AP8820" s="2">
        <v>42746</v>
      </c>
      <c r="AQ8820" t="s">
        <v>72</v>
      </c>
      <c r="AR8820" t="s">
        <v>72</v>
      </c>
      <c r="AS8820">
        <v>2743</v>
      </c>
      <c r="AT8820" s="4">
        <v>42656</v>
      </c>
      <c r="AU8820" t="s">
        <v>73</v>
      </c>
      <c r="AV8820">
        <v>2743</v>
      </c>
      <c r="AW8820" s="4">
        <v>42656</v>
      </c>
      <c r="BD8820">
        <v>0</v>
      </c>
      <c r="BN8820" t="s">
        <v>74</v>
      </c>
    </row>
    <row r="8821" spans="1:66">
      <c r="A8821">
        <v>106483</v>
      </c>
      <c r="B8821" s="3" t="s">
        <v>778</v>
      </c>
      <c r="C8821" s="1">
        <v>43500101</v>
      </c>
      <c r="D8821" t="s">
        <v>113</v>
      </c>
      <c r="H8821" t="str">
        <f t="shared" si="918"/>
        <v>01587310622</v>
      </c>
      <c r="I8821" t="str">
        <f t="shared" si="918"/>
        <v>01587310622</v>
      </c>
      <c r="K8821" t="str">
        <f>""</f>
        <v/>
      </c>
      <c r="M8821" t="s">
        <v>68</v>
      </c>
      <c r="N8821" t="str">
        <f t="shared" si="917"/>
        <v>ALT</v>
      </c>
      <c r="O8821" t="s">
        <v>114</v>
      </c>
      <c r="P8821" s="3" t="s">
        <v>75</v>
      </c>
      <c r="Q8821">
        <v>2016</v>
      </c>
      <c r="R8821" s="2">
        <v>42551</v>
      </c>
      <c r="S8821" s="2">
        <v>42556</v>
      </c>
      <c r="T8821" s="2">
        <v>42555</v>
      </c>
      <c r="U8821" s="2">
        <v>42615</v>
      </c>
      <c r="V8821" t="s">
        <v>71</v>
      </c>
      <c r="W8821" t="str">
        <f>"     000026-2016-FPA"</f>
        <v xml:space="preserve">     000026-2016-FPA</v>
      </c>
      <c r="X8821" s="1">
        <v>75705.13</v>
      </c>
      <c r="Y8821">
        <v>0</v>
      </c>
      <c r="Z8821" s="5">
        <v>75705.13</v>
      </c>
      <c r="AA8821">
        <v>53</v>
      </c>
      <c r="AB8821" s="5">
        <v>4012371.89</v>
      </c>
      <c r="AC8821" s="1">
        <v>75705.13</v>
      </c>
      <c r="AD8821">
        <v>53</v>
      </c>
      <c r="AE8821" s="1">
        <v>4012371.89</v>
      </c>
      <c r="AF8821">
        <v>0</v>
      </c>
      <c r="AJ8821">
        <v>0</v>
      </c>
      <c r="AK8821">
        <v>0</v>
      </c>
      <c r="AL8821">
        <v>0</v>
      </c>
      <c r="AM8821" s="1">
        <v>75705.13</v>
      </c>
      <c r="AN8821" s="1">
        <v>75705.13</v>
      </c>
      <c r="AO8821" s="1">
        <v>75705.13</v>
      </c>
      <c r="AP8821" s="2">
        <v>42746</v>
      </c>
      <c r="AQ8821" t="s">
        <v>72</v>
      </c>
      <c r="AR8821" t="s">
        <v>72</v>
      </c>
      <c r="AS8821">
        <v>2880</v>
      </c>
      <c r="AT8821" s="4">
        <v>42668</v>
      </c>
      <c r="AU8821" t="s">
        <v>73</v>
      </c>
      <c r="AV8821">
        <v>2880</v>
      </c>
      <c r="AW8821" s="4">
        <v>42668</v>
      </c>
      <c r="BD8821">
        <v>0</v>
      </c>
      <c r="BN8821" t="s">
        <v>74</v>
      </c>
    </row>
    <row r="8822" spans="1:66">
      <c r="A8822">
        <v>106483</v>
      </c>
      <c r="B8822" s="3" t="s">
        <v>778</v>
      </c>
      <c r="C8822" s="1">
        <v>43500101</v>
      </c>
      <c r="D8822" t="s">
        <v>113</v>
      </c>
      <c r="H8822" t="str">
        <f t="shared" si="918"/>
        <v>01587310622</v>
      </c>
      <c r="I8822" t="str">
        <f t="shared" si="918"/>
        <v>01587310622</v>
      </c>
      <c r="K8822" t="str">
        <f>""</f>
        <v/>
      </c>
      <c r="M8822" t="s">
        <v>68</v>
      </c>
      <c r="N8822" t="str">
        <f t="shared" si="917"/>
        <v>ALT</v>
      </c>
      <c r="O8822" t="s">
        <v>114</v>
      </c>
      <c r="P8822" s="3" t="s">
        <v>75</v>
      </c>
      <c r="Q8822">
        <v>2016</v>
      </c>
      <c r="R8822" s="2">
        <v>42551</v>
      </c>
      <c r="S8822" s="2">
        <v>42566</v>
      </c>
      <c r="T8822" s="2">
        <v>42558</v>
      </c>
      <c r="U8822" s="2">
        <v>42618</v>
      </c>
      <c r="V8822" t="s">
        <v>71</v>
      </c>
      <c r="W8822" t="str">
        <f>"     000027-2016-FPA"</f>
        <v xml:space="preserve">     000027-2016-FPA</v>
      </c>
      <c r="X8822" s="1">
        <v>4216.75</v>
      </c>
      <c r="Y8822">
        <v>0</v>
      </c>
      <c r="Z8822" s="5">
        <v>4216.75</v>
      </c>
      <c r="AA8822">
        <v>50</v>
      </c>
      <c r="AB8822" s="5">
        <v>210837.5</v>
      </c>
      <c r="AC8822" s="1">
        <v>4216.75</v>
      </c>
      <c r="AD8822">
        <v>50</v>
      </c>
      <c r="AE8822" s="1">
        <v>210837.5</v>
      </c>
      <c r="AF8822">
        <v>0</v>
      </c>
      <c r="AJ8822">
        <v>0</v>
      </c>
      <c r="AK8822">
        <v>0</v>
      </c>
      <c r="AL8822">
        <v>0</v>
      </c>
      <c r="AM8822" s="1">
        <v>4216.75</v>
      </c>
      <c r="AN8822" s="1">
        <v>4216.75</v>
      </c>
      <c r="AO8822" s="1">
        <v>4216.75</v>
      </c>
      <c r="AP8822" s="2">
        <v>42746</v>
      </c>
      <c r="AQ8822" t="s">
        <v>72</v>
      </c>
      <c r="AR8822" t="s">
        <v>72</v>
      </c>
      <c r="AS8822">
        <v>2880</v>
      </c>
      <c r="AT8822" s="4">
        <v>42668</v>
      </c>
      <c r="AU8822" t="s">
        <v>73</v>
      </c>
      <c r="AV8822">
        <v>2880</v>
      </c>
      <c r="AW8822" s="4">
        <v>42668</v>
      </c>
      <c r="BD8822">
        <v>0</v>
      </c>
      <c r="BN8822" t="s">
        <v>74</v>
      </c>
    </row>
    <row r="8823" spans="1:66">
      <c r="A8823">
        <v>106483</v>
      </c>
      <c r="B8823" s="3" t="s">
        <v>778</v>
      </c>
      <c r="C8823" s="1">
        <v>43500101</v>
      </c>
      <c r="D8823" t="s">
        <v>113</v>
      </c>
      <c r="H8823" t="str">
        <f t="shared" si="918"/>
        <v>01587310622</v>
      </c>
      <c r="I8823" t="str">
        <f t="shared" si="918"/>
        <v>01587310622</v>
      </c>
      <c r="K8823" t="str">
        <f>""</f>
        <v/>
      </c>
      <c r="M8823" t="s">
        <v>68</v>
      </c>
      <c r="N8823" t="str">
        <f t="shared" si="917"/>
        <v>ALT</v>
      </c>
      <c r="O8823" t="s">
        <v>114</v>
      </c>
      <c r="P8823" s="3" t="s">
        <v>75</v>
      </c>
      <c r="Q8823">
        <v>2016</v>
      </c>
      <c r="R8823" s="2">
        <v>42582</v>
      </c>
      <c r="S8823" s="2">
        <v>42600</v>
      </c>
      <c r="T8823" s="2">
        <v>42586</v>
      </c>
      <c r="U8823" s="2">
        <v>42646</v>
      </c>
      <c r="V8823" t="s">
        <v>71</v>
      </c>
      <c r="W8823" t="str">
        <f>"     000029-2016-FPA"</f>
        <v xml:space="preserve">     000029-2016-FPA</v>
      </c>
      <c r="X8823" s="1">
        <v>75705.13</v>
      </c>
      <c r="Y8823">
        <v>0</v>
      </c>
      <c r="Z8823" s="5">
        <v>75705.13</v>
      </c>
      <c r="AA8823">
        <v>72</v>
      </c>
      <c r="AB8823" s="5">
        <v>5450769.3600000003</v>
      </c>
      <c r="AC8823" s="1">
        <v>75705.13</v>
      </c>
      <c r="AD8823">
        <v>72</v>
      </c>
      <c r="AE8823" s="1">
        <v>5450769.3600000003</v>
      </c>
      <c r="AF8823">
        <v>0</v>
      </c>
      <c r="AJ8823">
        <v>0</v>
      </c>
      <c r="AK8823">
        <v>0</v>
      </c>
      <c r="AL8823">
        <v>0</v>
      </c>
      <c r="AM8823" s="1">
        <v>75705.13</v>
      </c>
      <c r="AN8823" s="1">
        <v>75705.13</v>
      </c>
      <c r="AO8823" s="1">
        <v>75705.13</v>
      </c>
      <c r="AP8823" s="2">
        <v>42746</v>
      </c>
      <c r="AQ8823" t="s">
        <v>72</v>
      </c>
      <c r="AR8823" t="s">
        <v>72</v>
      </c>
      <c r="AS8823">
        <v>3460</v>
      </c>
      <c r="AT8823" s="4">
        <v>42718</v>
      </c>
      <c r="AU8823" t="s">
        <v>73</v>
      </c>
      <c r="AV8823">
        <v>3460</v>
      </c>
      <c r="AW8823" s="4">
        <v>42718</v>
      </c>
      <c r="BD8823">
        <v>0</v>
      </c>
      <c r="BN8823" t="s">
        <v>74</v>
      </c>
    </row>
    <row r="8824" spans="1:66">
      <c r="A8824">
        <v>106483</v>
      </c>
      <c r="B8824" s="3" t="s">
        <v>778</v>
      </c>
      <c r="C8824" s="1">
        <v>43500101</v>
      </c>
      <c r="D8824" t="s">
        <v>113</v>
      </c>
      <c r="H8824" t="str">
        <f t="shared" si="918"/>
        <v>01587310622</v>
      </c>
      <c r="I8824" t="str">
        <f t="shared" si="918"/>
        <v>01587310622</v>
      </c>
      <c r="K8824" t="str">
        <f>""</f>
        <v/>
      </c>
      <c r="M8824" t="s">
        <v>68</v>
      </c>
      <c r="N8824" t="str">
        <f t="shared" si="917"/>
        <v>ALT</v>
      </c>
      <c r="O8824" t="s">
        <v>114</v>
      </c>
      <c r="P8824" s="3" t="s">
        <v>75</v>
      </c>
      <c r="Q8824">
        <v>2016</v>
      </c>
      <c r="R8824" s="2">
        <v>42582</v>
      </c>
      <c r="S8824" s="2">
        <v>42600</v>
      </c>
      <c r="T8824" s="2">
        <v>42590</v>
      </c>
      <c r="U8824" s="2">
        <v>42650</v>
      </c>
      <c r="V8824" t="s">
        <v>71</v>
      </c>
      <c r="W8824" t="str">
        <f>"     000030-2016-FPA"</f>
        <v xml:space="preserve">     000030-2016-FPA</v>
      </c>
      <c r="X8824" s="1">
        <v>3164.75</v>
      </c>
      <c r="Y8824">
        <v>0</v>
      </c>
      <c r="Z8824" s="5">
        <v>3164.75</v>
      </c>
      <c r="AA8824">
        <v>68</v>
      </c>
      <c r="AB8824" s="5">
        <v>215203</v>
      </c>
      <c r="AC8824" s="1">
        <v>3164.75</v>
      </c>
      <c r="AD8824">
        <v>68</v>
      </c>
      <c r="AE8824" s="1">
        <v>215203</v>
      </c>
      <c r="AF8824">
        <v>0</v>
      </c>
      <c r="AJ8824">
        <v>0</v>
      </c>
      <c r="AK8824">
        <v>0</v>
      </c>
      <c r="AL8824">
        <v>0</v>
      </c>
      <c r="AM8824" s="1">
        <v>3164.75</v>
      </c>
      <c r="AN8824" s="1">
        <v>3164.75</v>
      </c>
      <c r="AO8824" s="1">
        <v>3164.75</v>
      </c>
      <c r="AP8824" s="2">
        <v>42746</v>
      </c>
      <c r="AQ8824" t="s">
        <v>72</v>
      </c>
      <c r="AR8824" t="s">
        <v>72</v>
      </c>
      <c r="AS8824">
        <v>3460</v>
      </c>
      <c r="AT8824" s="4">
        <v>42718</v>
      </c>
      <c r="AU8824" t="s">
        <v>73</v>
      </c>
      <c r="AV8824">
        <v>3460</v>
      </c>
      <c r="AW8824" s="4">
        <v>42718</v>
      </c>
      <c r="BD8824">
        <v>0</v>
      </c>
      <c r="BN8824" t="s">
        <v>74</v>
      </c>
    </row>
    <row r="8825" spans="1:66" hidden="1">
      <c r="A8825">
        <v>106488</v>
      </c>
      <c r="B8825" s="3" t="s">
        <v>780</v>
      </c>
      <c r="C8825" s="1">
        <v>43300101</v>
      </c>
      <c r="D8825" t="s">
        <v>67</v>
      </c>
      <c r="H8825" t="str">
        <f>""</f>
        <v/>
      </c>
      <c r="I8825" t="str">
        <f>""</f>
        <v/>
      </c>
      <c r="J8825" t="s">
        <v>417</v>
      </c>
      <c r="K8825" t="str">
        <f t="shared" ref="K8825:K8855" si="919">"90490932449"</f>
        <v>90490932449</v>
      </c>
      <c r="M8825" t="s">
        <v>68</v>
      </c>
      <c r="N8825" t="str">
        <f t="shared" ref="N8825:N8865" si="920">"FOR"</f>
        <v>FOR</v>
      </c>
      <c r="O8825" t="s">
        <v>69</v>
      </c>
      <c r="P8825" s="3" t="s">
        <v>418</v>
      </c>
      <c r="Q8825">
        <v>2015</v>
      </c>
      <c r="R8825" s="2">
        <v>42082</v>
      </c>
      <c r="S8825" s="2">
        <v>42115</v>
      </c>
      <c r="T8825" s="2">
        <v>42115</v>
      </c>
      <c r="U8825" s="2">
        <v>42175</v>
      </c>
      <c r="V8825" t="s">
        <v>71</v>
      </c>
      <c r="W8825" t="str">
        <f>"            56050560"</f>
        <v xml:space="preserve">            56050560</v>
      </c>
      <c r="X8825" s="1">
        <v>1157.52</v>
      </c>
      <c r="Y8825">
        <v>-44.52</v>
      </c>
      <c r="Z8825"/>
      <c r="AB8825"/>
      <c r="AC8825" s="1">
        <v>1092</v>
      </c>
      <c r="AD8825">
        <v>345</v>
      </c>
      <c r="AE8825" s="1">
        <v>376740</v>
      </c>
      <c r="AF8825">
        <v>21</v>
      </c>
      <c r="AJ8825">
        <v>0</v>
      </c>
      <c r="AK8825">
        <v>0</v>
      </c>
      <c r="AL8825">
        <v>0</v>
      </c>
      <c r="AM8825">
        <v>0</v>
      </c>
      <c r="AN8825">
        <v>0</v>
      </c>
      <c r="AO8825">
        <v>0</v>
      </c>
      <c r="AP8825" s="2">
        <v>42746</v>
      </c>
      <c r="AQ8825" t="s">
        <v>72</v>
      </c>
      <c r="AR8825" t="s">
        <v>72</v>
      </c>
      <c r="AS8825">
        <v>1405</v>
      </c>
      <c r="AT8825" s="4">
        <v>42520</v>
      </c>
      <c r="AU8825" t="s">
        <v>73</v>
      </c>
      <c r="AV8825">
        <v>1405</v>
      </c>
      <c r="AW8825" s="4">
        <v>42520</v>
      </c>
      <c r="BD8825">
        <v>21</v>
      </c>
      <c r="BN8825" t="s">
        <v>74</v>
      </c>
    </row>
    <row r="8826" spans="1:66" hidden="1">
      <c r="A8826">
        <v>106488</v>
      </c>
      <c r="B8826" s="3" t="s">
        <v>780</v>
      </c>
      <c r="C8826" s="1">
        <v>43300101</v>
      </c>
      <c r="D8826" t="s">
        <v>67</v>
      </c>
      <c r="H8826" t="str">
        <f>""</f>
        <v/>
      </c>
      <c r="I8826" t="str">
        <f>""</f>
        <v/>
      </c>
      <c r="J8826" t="s">
        <v>417</v>
      </c>
      <c r="K8826" t="str">
        <f t="shared" si="919"/>
        <v>90490932449</v>
      </c>
      <c r="M8826" t="s">
        <v>68</v>
      </c>
      <c r="N8826" t="str">
        <f t="shared" si="920"/>
        <v>FOR</v>
      </c>
      <c r="O8826" t="s">
        <v>69</v>
      </c>
      <c r="P8826" s="3" t="s">
        <v>418</v>
      </c>
      <c r="Q8826">
        <v>2015</v>
      </c>
      <c r="R8826" s="2">
        <v>42128</v>
      </c>
      <c r="S8826" s="2">
        <v>42143</v>
      </c>
      <c r="T8826" s="2">
        <v>42143</v>
      </c>
      <c r="U8826" s="2">
        <v>42203</v>
      </c>
      <c r="V8826" t="s">
        <v>71</v>
      </c>
      <c r="W8826" t="str">
        <f>"            56050929"</f>
        <v xml:space="preserve">            56050929</v>
      </c>
      <c r="X8826" s="1">
        <v>1157.52</v>
      </c>
      <c r="Y8826">
        <v>-44.52</v>
      </c>
      <c r="Z8826"/>
      <c r="AB8826"/>
      <c r="AC8826" s="1">
        <v>1092</v>
      </c>
      <c r="AD8826">
        <v>317</v>
      </c>
      <c r="AE8826" s="1">
        <v>346164</v>
      </c>
      <c r="AF8826">
        <v>21</v>
      </c>
      <c r="AJ8826">
        <v>0</v>
      </c>
      <c r="AK8826">
        <v>0</v>
      </c>
      <c r="AL8826">
        <v>0</v>
      </c>
      <c r="AM8826">
        <v>0</v>
      </c>
      <c r="AN8826">
        <v>0</v>
      </c>
      <c r="AO8826">
        <v>0</v>
      </c>
      <c r="AP8826" s="2">
        <v>42746</v>
      </c>
      <c r="AQ8826" t="s">
        <v>72</v>
      </c>
      <c r="AR8826" t="s">
        <v>72</v>
      </c>
      <c r="AS8826">
        <v>1405</v>
      </c>
      <c r="AT8826" s="4">
        <v>42520</v>
      </c>
      <c r="AU8826" t="s">
        <v>73</v>
      </c>
      <c r="AV8826">
        <v>1405</v>
      </c>
      <c r="AW8826" s="4">
        <v>42520</v>
      </c>
      <c r="BD8826">
        <v>21</v>
      </c>
      <c r="BN8826" t="s">
        <v>74</v>
      </c>
    </row>
    <row r="8827" spans="1:66" hidden="1">
      <c r="A8827">
        <v>106488</v>
      </c>
      <c r="B8827" s="3" t="s">
        <v>780</v>
      </c>
      <c r="C8827" s="1">
        <v>43300101</v>
      </c>
      <c r="D8827" t="s">
        <v>67</v>
      </c>
      <c r="H8827" t="str">
        <f>""</f>
        <v/>
      </c>
      <c r="I8827" t="str">
        <f>""</f>
        <v/>
      </c>
      <c r="J8827" t="s">
        <v>417</v>
      </c>
      <c r="K8827" t="str">
        <f t="shared" si="919"/>
        <v>90490932449</v>
      </c>
      <c r="M8827" t="s">
        <v>68</v>
      </c>
      <c r="N8827" t="str">
        <f t="shared" si="920"/>
        <v>FOR</v>
      </c>
      <c r="O8827" t="s">
        <v>69</v>
      </c>
      <c r="P8827" s="3" t="s">
        <v>418</v>
      </c>
      <c r="Q8827">
        <v>2015</v>
      </c>
      <c r="R8827" s="2">
        <v>42132</v>
      </c>
      <c r="S8827" s="2">
        <v>42143</v>
      </c>
      <c r="T8827" s="2">
        <v>42143</v>
      </c>
      <c r="U8827" s="2">
        <v>42203</v>
      </c>
      <c r="V8827" t="s">
        <v>71</v>
      </c>
      <c r="W8827" t="str">
        <f>"            56050985"</f>
        <v xml:space="preserve">            56050985</v>
      </c>
      <c r="X8827" s="1">
        <v>1157.52</v>
      </c>
      <c r="Y8827">
        <v>-44.52</v>
      </c>
      <c r="Z8827"/>
      <c r="AB8827"/>
      <c r="AC8827" s="1">
        <v>1092</v>
      </c>
      <c r="AD8827">
        <v>317</v>
      </c>
      <c r="AE8827" s="1">
        <v>346164</v>
      </c>
      <c r="AF8827">
        <v>21</v>
      </c>
      <c r="AJ8827">
        <v>0</v>
      </c>
      <c r="AK8827">
        <v>0</v>
      </c>
      <c r="AL8827">
        <v>0</v>
      </c>
      <c r="AM8827">
        <v>0</v>
      </c>
      <c r="AN8827">
        <v>0</v>
      </c>
      <c r="AO8827">
        <v>0</v>
      </c>
      <c r="AP8827" s="2">
        <v>42746</v>
      </c>
      <c r="AQ8827" t="s">
        <v>72</v>
      </c>
      <c r="AR8827" t="s">
        <v>72</v>
      </c>
      <c r="AS8827">
        <v>1405</v>
      </c>
      <c r="AT8827" s="4">
        <v>42520</v>
      </c>
      <c r="AU8827" t="s">
        <v>73</v>
      </c>
      <c r="AV8827">
        <v>1405</v>
      </c>
      <c r="AW8827" s="4">
        <v>42520</v>
      </c>
      <c r="BD8827">
        <v>21</v>
      </c>
      <c r="BN8827" t="s">
        <v>74</v>
      </c>
    </row>
    <row r="8828" spans="1:66" hidden="1">
      <c r="A8828">
        <v>106488</v>
      </c>
      <c r="B8828" s="3" t="s">
        <v>780</v>
      </c>
      <c r="C8828" s="1">
        <v>43300101</v>
      </c>
      <c r="D8828" t="s">
        <v>67</v>
      </c>
      <c r="H8828" t="str">
        <f>""</f>
        <v/>
      </c>
      <c r="I8828" t="str">
        <f>""</f>
        <v/>
      </c>
      <c r="J8828" t="s">
        <v>417</v>
      </c>
      <c r="K8828" t="str">
        <f t="shared" si="919"/>
        <v>90490932449</v>
      </c>
      <c r="M8828" t="s">
        <v>68</v>
      </c>
      <c r="N8828" t="str">
        <f t="shared" si="920"/>
        <v>FOR</v>
      </c>
      <c r="O8828" t="s">
        <v>69</v>
      </c>
      <c r="P8828" s="3" t="s">
        <v>418</v>
      </c>
      <c r="Q8828">
        <v>2015</v>
      </c>
      <c r="R8828" s="2">
        <v>42159</v>
      </c>
      <c r="S8828" s="2">
        <v>42171</v>
      </c>
      <c r="T8828" s="2">
        <v>42171</v>
      </c>
      <c r="U8828" s="2">
        <v>42231</v>
      </c>
      <c r="V8828" t="s">
        <v>71</v>
      </c>
      <c r="W8828" t="str">
        <f>"            56051216"</f>
        <v xml:space="preserve">            56051216</v>
      </c>
      <c r="X8828" s="1">
        <v>1157.52</v>
      </c>
      <c r="Y8828">
        <v>-44.52</v>
      </c>
      <c r="Z8828"/>
      <c r="AB8828"/>
      <c r="AC8828" s="1">
        <v>1092</v>
      </c>
      <c r="AD8828">
        <v>289</v>
      </c>
      <c r="AE8828" s="1">
        <v>315588</v>
      </c>
      <c r="AF8828">
        <v>21</v>
      </c>
      <c r="AJ8828">
        <v>0</v>
      </c>
      <c r="AK8828">
        <v>0</v>
      </c>
      <c r="AL8828">
        <v>0</v>
      </c>
      <c r="AM8828">
        <v>0</v>
      </c>
      <c r="AN8828">
        <v>0</v>
      </c>
      <c r="AO8828">
        <v>0</v>
      </c>
      <c r="AP8828" s="2">
        <v>42746</v>
      </c>
      <c r="AQ8828" t="s">
        <v>72</v>
      </c>
      <c r="AR8828" t="s">
        <v>72</v>
      </c>
      <c r="AS8828">
        <v>1405</v>
      </c>
      <c r="AT8828" s="4">
        <v>42520</v>
      </c>
      <c r="AU8828" t="s">
        <v>73</v>
      </c>
      <c r="AV8828">
        <v>1405</v>
      </c>
      <c r="AW8828" s="4">
        <v>42520</v>
      </c>
      <c r="BD8828">
        <v>21</v>
      </c>
      <c r="BN8828" t="s">
        <v>74</v>
      </c>
    </row>
    <row r="8829" spans="1:66" hidden="1">
      <c r="A8829">
        <v>106488</v>
      </c>
      <c r="B8829" s="3" t="s">
        <v>780</v>
      </c>
      <c r="C8829" s="1">
        <v>43300101</v>
      </c>
      <c r="D8829" t="s">
        <v>67</v>
      </c>
      <c r="H8829" t="str">
        <f>""</f>
        <v/>
      </c>
      <c r="I8829" t="str">
        <f>""</f>
        <v/>
      </c>
      <c r="J8829" t="s">
        <v>417</v>
      </c>
      <c r="K8829" t="str">
        <f t="shared" si="919"/>
        <v>90490932449</v>
      </c>
      <c r="M8829" t="s">
        <v>68</v>
      </c>
      <c r="N8829" t="str">
        <f t="shared" si="920"/>
        <v>FOR</v>
      </c>
      <c r="O8829" t="s">
        <v>69</v>
      </c>
      <c r="P8829" s="3" t="s">
        <v>418</v>
      </c>
      <c r="Q8829">
        <v>2015</v>
      </c>
      <c r="R8829" s="2">
        <v>42159</v>
      </c>
      <c r="S8829" s="2">
        <v>42171</v>
      </c>
      <c r="T8829" s="2">
        <v>42171</v>
      </c>
      <c r="U8829" s="2">
        <v>42231</v>
      </c>
      <c r="V8829" t="s">
        <v>71</v>
      </c>
      <c r="W8829" t="str">
        <f>"            56051217"</f>
        <v xml:space="preserve">            56051217</v>
      </c>
      <c r="X8829" s="1">
        <v>1157.52</v>
      </c>
      <c r="Y8829">
        <v>-44.52</v>
      </c>
      <c r="Z8829"/>
      <c r="AB8829"/>
      <c r="AC8829" s="1">
        <v>1092</v>
      </c>
      <c r="AD8829">
        <v>289</v>
      </c>
      <c r="AE8829" s="1">
        <v>315588</v>
      </c>
      <c r="AF8829">
        <v>21</v>
      </c>
      <c r="AJ8829">
        <v>0</v>
      </c>
      <c r="AK8829">
        <v>0</v>
      </c>
      <c r="AL8829">
        <v>0</v>
      </c>
      <c r="AM8829">
        <v>0</v>
      </c>
      <c r="AN8829">
        <v>0</v>
      </c>
      <c r="AO8829">
        <v>0</v>
      </c>
      <c r="AP8829" s="2">
        <v>42746</v>
      </c>
      <c r="AQ8829" t="s">
        <v>72</v>
      </c>
      <c r="AR8829" t="s">
        <v>72</v>
      </c>
      <c r="AS8829">
        <v>1405</v>
      </c>
      <c r="AT8829" s="4">
        <v>42520</v>
      </c>
      <c r="AU8829" t="s">
        <v>73</v>
      </c>
      <c r="AV8829">
        <v>1405</v>
      </c>
      <c r="AW8829" s="4">
        <v>42520</v>
      </c>
      <c r="BD8829">
        <v>21</v>
      </c>
      <c r="BN8829" t="s">
        <v>74</v>
      </c>
    </row>
    <row r="8830" spans="1:66" hidden="1">
      <c r="A8830">
        <v>106488</v>
      </c>
      <c r="B8830" s="3" t="s">
        <v>780</v>
      </c>
      <c r="C8830" s="1">
        <v>43300101</v>
      </c>
      <c r="D8830" t="s">
        <v>67</v>
      </c>
      <c r="H8830" t="str">
        <f>""</f>
        <v/>
      </c>
      <c r="I8830" t="str">
        <f>""</f>
        <v/>
      </c>
      <c r="J8830" t="s">
        <v>417</v>
      </c>
      <c r="K8830" t="str">
        <f t="shared" si="919"/>
        <v>90490932449</v>
      </c>
      <c r="M8830" t="s">
        <v>68</v>
      </c>
      <c r="N8830" t="str">
        <f t="shared" si="920"/>
        <v>FOR</v>
      </c>
      <c r="O8830" t="s">
        <v>69</v>
      </c>
      <c r="P8830" s="3" t="s">
        <v>418</v>
      </c>
      <c r="Q8830">
        <v>2015</v>
      </c>
      <c r="R8830" s="2">
        <v>42283</v>
      </c>
      <c r="S8830" s="2">
        <v>42317</v>
      </c>
      <c r="T8830" s="2">
        <v>42317</v>
      </c>
      <c r="U8830" s="2">
        <v>42377</v>
      </c>
      <c r="V8830" t="s">
        <v>71</v>
      </c>
      <c r="W8830" t="str">
        <f>"            56052320"</f>
        <v xml:space="preserve">            56052320</v>
      </c>
      <c r="X8830" s="1">
        <v>1157.52</v>
      </c>
      <c r="Y8830">
        <v>-44.52</v>
      </c>
      <c r="Z8830"/>
      <c r="AB8830"/>
      <c r="AC8830" s="1">
        <v>1092</v>
      </c>
      <c r="AD8830">
        <v>143</v>
      </c>
      <c r="AE8830" s="1">
        <v>156156</v>
      </c>
      <c r="AF8830">
        <v>21</v>
      </c>
      <c r="AJ8830">
        <v>0</v>
      </c>
      <c r="AK8830">
        <v>0</v>
      </c>
      <c r="AL8830">
        <v>0</v>
      </c>
      <c r="AM8830">
        <v>0</v>
      </c>
      <c r="AN8830">
        <v>0</v>
      </c>
      <c r="AO8830">
        <v>0</v>
      </c>
      <c r="AP8830" s="2">
        <v>42746</v>
      </c>
      <c r="AQ8830" t="s">
        <v>72</v>
      </c>
      <c r="AR8830" t="s">
        <v>72</v>
      </c>
      <c r="AS8830">
        <v>1405</v>
      </c>
      <c r="AT8830" s="4">
        <v>42520</v>
      </c>
      <c r="AU8830" t="s">
        <v>73</v>
      </c>
      <c r="AV8830">
        <v>1405</v>
      </c>
      <c r="AW8830" s="4">
        <v>42520</v>
      </c>
      <c r="BD8830">
        <v>21</v>
      </c>
      <c r="BN8830" t="s">
        <v>74</v>
      </c>
    </row>
    <row r="8831" spans="1:66" hidden="1">
      <c r="A8831">
        <v>106488</v>
      </c>
      <c r="B8831" s="3" t="s">
        <v>780</v>
      </c>
      <c r="C8831" s="1">
        <v>43300101</v>
      </c>
      <c r="D8831" t="s">
        <v>67</v>
      </c>
      <c r="H8831" t="str">
        <f>""</f>
        <v/>
      </c>
      <c r="I8831" t="str">
        <f>""</f>
        <v/>
      </c>
      <c r="J8831" t="s">
        <v>417</v>
      </c>
      <c r="K8831" t="str">
        <f t="shared" si="919"/>
        <v>90490932449</v>
      </c>
      <c r="M8831" t="s">
        <v>68</v>
      </c>
      <c r="N8831" t="str">
        <f t="shared" si="920"/>
        <v>FOR</v>
      </c>
      <c r="O8831" t="s">
        <v>69</v>
      </c>
      <c r="P8831" s="3" t="s">
        <v>418</v>
      </c>
      <c r="Q8831">
        <v>2015</v>
      </c>
      <c r="R8831" s="2">
        <v>42283</v>
      </c>
      <c r="S8831" s="2">
        <v>42293</v>
      </c>
      <c r="T8831" s="2">
        <v>42293</v>
      </c>
      <c r="U8831" s="2">
        <v>42353</v>
      </c>
      <c r="V8831" t="s">
        <v>71</v>
      </c>
      <c r="W8831" t="str">
        <f>"            56052321"</f>
        <v xml:space="preserve">            56052321</v>
      </c>
      <c r="X8831" s="1">
        <v>1157.52</v>
      </c>
      <c r="Y8831">
        <v>-44.52</v>
      </c>
      <c r="Z8831"/>
      <c r="AB8831"/>
      <c r="AC8831" s="1">
        <v>1092</v>
      </c>
      <c r="AD8831">
        <v>167</v>
      </c>
      <c r="AE8831" s="1">
        <v>182364</v>
      </c>
      <c r="AF8831">
        <v>21</v>
      </c>
      <c r="AJ8831">
        <v>0</v>
      </c>
      <c r="AK8831">
        <v>0</v>
      </c>
      <c r="AL8831">
        <v>0</v>
      </c>
      <c r="AM8831">
        <v>0</v>
      </c>
      <c r="AN8831">
        <v>0</v>
      </c>
      <c r="AO8831">
        <v>0</v>
      </c>
      <c r="AP8831" s="2">
        <v>42746</v>
      </c>
      <c r="AQ8831" t="s">
        <v>72</v>
      </c>
      <c r="AR8831" t="s">
        <v>72</v>
      </c>
      <c r="AS8831">
        <v>1405</v>
      </c>
      <c r="AT8831" s="4">
        <v>42520</v>
      </c>
      <c r="AU8831" t="s">
        <v>73</v>
      </c>
      <c r="AV8831">
        <v>1405</v>
      </c>
      <c r="AW8831" s="4">
        <v>42520</v>
      </c>
      <c r="BD8831">
        <v>21</v>
      </c>
      <c r="BN8831" t="s">
        <v>74</v>
      </c>
    </row>
    <row r="8832" spans="1:66" hidden="1">
      <c r="A8832">
        <v>106488</v>
      </c>
      <c r="B8832" s="3" t="s">
        <v>780</v>
      </c>
      <c r="C8832" s="1">
        <v>43300101</v>
      </c>
      <c r="D8832" t="s">
        <v>67</v>
      </c>
      <c r="H8832" t="str">
        <f>""</f>
        <v/>
      </c>
      <c r="I8832" t="str">
        <f>""</f>
        <v/>
      </c>
      <c r="J8832" t="s">
        <v>417</v>
      </c>
      <c r="K8832" t="str">
        <f t="shared" si="919"/>
        <v>90490932449</v>
      </c>
      <c r="M8832" t="s">
        <v>68</v>
      </c>
      <c r="N8832" t="str">
        <f t="shared" si="920"/>
        <v>FOR</v>
      </c>
      <c r="O8832" t="s">
        <v>69</v>
      </c>
      <c r="P8832" s="3" t="s">
        <v>418</v>
      </c>
      <c r="Q8832">
        <v>2015</v>
      </c>
      <c r="R8832" s="2">
        <v>42283</v>
      </c>
      <c r="S8832" s="2">
        <v>42305</v>
      </c>
      <c r="T8832" s="2">
        <v>42305</v>
      </c>
      <c r="U8832" s="2">
        <v>42365</v>
      </c>
      <c r="V8832" t="s">
        <v>71</v>
      </c>
      <c r="W8832" t="str">
        <f>"            56052322"</f>
        <v xml:space="preserve">            56052322</v>
      </c>
      <c r="X8832" s="1">
        <v>1157.52</v>
      </c>
      <c r="Y8832">
        <v>-44.52</v>
      </c>
      <c r="Z8832"/>
      <c r="AB8832"/>
      <c r="AC8832" s="1">
        <v>1092</v>
      </c>
      <c r="AD8832">
        <v>155</v>
      </c>
      <c r="AE8832" s="1">
        <v>169260</v>
      </c>
      <c r="AF8832">
        <v>21</v>
      </c>
      <c r="AJ8832">
        <v>0</v>
      </c>
      <c r="AK8832">
        <v>0</v>
      </c>
      <c r="AL8832">
        <v>0</v>
      </c>
      <c r="AM8832">
        <v>0</v>
      </c>
      <c r="AN8832">
        <v>0</v>
      </c>
      <c r="AO8832">
        <v>0</v>
      </c>
      <c r="AP8832" s="2">
        <v>42746</v>
      </c>
      <c r="AQ8832" t="s">
        <v>72</v>
      </c>
      <c r="AR8832" t="s">
        <v>72</v>
      </c>
      <c r="AS8832">
        <v>1405</v>
      </c>
      <c r="AT8832" s="4">
        <v>42520</v>
      </c>
      <c r="AU8832" t="s">
        <v>73</v>
      </c>
      <c r="AV8832">
        <v>1405</v>
      </c>
      <c r="AW8832" s="4">
        <v>42520</v>
      </c>
      <c r="BD8832">
        <v>21</v>
      </c>
      <c r="BN8832" t="s">
        <v>74</v>
      </c>
    </row>
    <row r="8833" spans="1:66" hidden="1">
      <c r="A8833">
        <v>106488</v>
      </c>
      <c r="B8833" s="3" t="s">
        <v>780</v>
      </c>
      <c r="C8833" s="1">
        <v>43300101</v>
      </c>
      <c r="D8833" t="s">
        <v>67</v>
      </c>
      <c r="H8833" t="str">
        <f>""</f>
        <v/>
      </c>
      <c r="I8833" t="str">
        <f>""</f>
        <v/>
      </c>
      <c r="J8833" t="s">
        <v>417</v>
      </c>
      <c r="K8833" t="str">
        <f t="shared" si="919"/>
        <v>90490932449</v>
      </c>
      <c r="M8833" t="s">
        <v>68</v>
      </c>
      <c r="N8833" t="str">
        <f t="shared" si="920"/>
        <v>FOR</v>
      </c>
      <c r="O8833" t="s">
        <v>69</v>
      </c>
      <c r="P8833" s="3" t="s">
        <v>418</v>
      </c>
      <c r="Q8833">
        <v>2015</v>
      </c>
      <c r="R8833" s="2">
        <v>42283</v>
      </c>
      <c r="S8833" s="2">
        <v>42317</v>
      </c>
      <c r="T8833" s="2">
        <v>42317</v>
      </c>
      <c r="U8833" s="2">
        <v>42377</v>
      </c>
      <c r="V8833" t="s">
        <v>71</v>
      </c>
      <c r="W8833" t="str">
        <f>"            56052323"</f>
        <v xml:space="preserve">            56052323</v>
      </c>
      <c r="X8833" s="1">
        <v>1157.52</v>
      </c>
      <c r="Y8833">
        <v>-44.52</v>
      </c>
      <c r="Z8833"/>
      <c r="AB8833"/>
      <c r="AC8833" s="1">
        <v>1092</v>
      </c>
      <c r="AD8833">
        <v>143</v>
      </c>
      <c r="AE8833" s="1">
        <v>156156</v>
      </c>
      <c r="AF8833">
        <v>21</v>
      </c>
      <c r="AJ8833">
        <v>0</v>
      </c>
      <c r="AK8833">
        <v>0</v>
      </c>
      <c r="AL8833">
        <v>0</v>
      </c>
      <c r="AM8833">
        <v>0</v>
      </c>
      <c r="AN8833">
        <v>0</v>
      </c>
      <c r="AO8833">
        <v>0</v>
      </c>
      <c r="AP8833" s="2">
        <v>42746</v>
      </c>
      <c r="AQ8833" t="s">
        <v>72</v>
      </c>
      <c r="AR8833" t="s">
        <v>72</v>
      </c>
      <c r="AS8833">
        <v>1405</v>
      </c>
      <c r="AT8833" s="4">
        <v>42520</v>
      </c>
      <c r="AU8833" t="s">
        <v>73</v>
      </c>
      <c r="AV8833">
        <v>1405</v>
      </c>
      <c r="AW8833" s="4">
        <v>42520</v>
      </c>
      <c r="BD8833">
        <v>21</v>
      </c>
      <c r="BN8833" t="s">
        <v>74</v>
      </c>
    </row>
    <row r="8834" spans="1:66" hidden="1">
      <c r="A8834">
        <v>106488</v>
      </c>
      <c r="B8834" s="3" t="s">
        <v>780</v>
      </c>
      <c r="C8834" s="1">
        <v>43300101</v>
      </c>
      <c r="D8834" t="s">
        <v>67</v>
      </c>
      <c r="H8834" t="str">
        <f>""</f>
        <v/>
      </c>
      <c r="I8834" t="str">
        <f>""</f>
        <v/>
      </c>
      <c r="J8834" t="s">
        <v>417</v>
      </c>
      <c r="K8834" t="str">
        <f t="shared" si="919"/>
        <v>90490932449</v>
      </c>
      <c r="M8834" t="s">
        <v>68</v>
      </c>
      <c r="N8834" t="str">
        <f t="shared" si="920"/>
        <v>FOR</v>
      </c>
      <c r="O8834" t="s">
        <v>69</v>
      </c>
      <c r="P8834" s="3" t="s">
        <v>418</v>
      </c>
      <c r="Q8834">
        <v>2015</v>
      </c>
      <c r="R8834" s="2">
        <v>42283</v>
      </c>
      <c r="S8834" s="2">
        <v>42317</v>
      </c>
      <c r="T8834" s="2">
        <v>42317</v>
      </c>
      <c r="U8834" s="2">
        <v>42377</v>
      </c>
      <c r="V8834" t="s">
        <v>71</v>
      </c>
      <c r="W8834" t="str">
        <f>"            56052324"</f>
        <v xml:space="preserve">            56052324</v>
      </c>
      <c r="X8834" s="1">
        <v>1157.52</v>
      </c>
      <c r="Y8834">
        <v>-44.52</v>
      </c>
      <c r="Z8834"/>
      <c r="AB8834"/>
      <c r="AC8834" s="1">
        <v>1092</v>
      </c>
      <c r="AD8834">
        <v>143</v>
      </c>
      <c r="AE8834" s="1">
        <v>156156</v>
      </c>
      <c r="AF8834">
        <v>21</v>
      </c>
      <c r="AJ8834">
        <v>0</v>
      </c>
      <c r="AK8834">
        <v>0</v>
      </c>
      <c r="AL8834">
        <v>0</v>
      </c>
      <c r="AM8834">
        <v>0</v>
      </c>
      <c r="AN8834">
        <v>0</v>
      </c>
      <c r="AO8834">
        <v>0</v>
      </c>
      <c r="AP8834" s="2">
        <v>42746</v>
      </c>
      <c r="AQ8834" t="s">
        <v>72</v>
      </c>
      <c r="AR8834" t="s">
        <v>72</v>
      </c>
      <c r="AS8834">
        <v>1405</v>
      </c>
      <c r="AT8834" s="4">
        <v>42520</v>
      </c>
      <c r="AU8834" t="s">
        <v>73</v>
      </c>
      <c r="AV8834">
        <v>1405</v>
      </c>
      <c r="AW8834" s="4">
        <v>42520</v>
      </c>
      <c r="BD8834">
        <v>21</v>
      </c>
      <c r="BN8834" t="s">
        <v>74</v>
      </c>
    </row>
    <row r="8835" spans="1:66" hidden="1">
      <c r="A8835">
        <v>106488</v>
      </c>
      <c r="B8835" s="3" t="s">
        <v>780</v>
      </c>
      <c r="C8835" s="1">
        <v>43300101</v>
      </c>
      <c r="D8835" t="s">
        <v>67</v>
      </c>
      <c r="H8835" t="str">
        <f>""</f>
        <v/>
      </c>
      <c r="I8835" t="str">
        <f>""</f>
        <v/>
      </c>
      <c r="J8835" t="s">
        <v>417</v>
      </c>
      <c r="K8835" t="str">
        <f t="shared" si="919"/>
        <v>90490932449</v>
      </c>
      <c r="M8835" t="s">
        <v>68</v>
      </c>
      <c r="N8835" t="str">
        <f t="shared" si="920"/>
        <v>FOR</v>
      </c>
      <c r="O8835" t="s">
        <v>69</v>
      </c>
      <c r="P8835" s="3" t="s">
        <v>418</v>
      </c>
      <c r="Q8835">
        <v>2015</v>
      </c>
      <c r="R8835" s="2">
        <v>42283</v>
      </c>
      <c r="S8835" s="2">
        <v>42303</v>
      </c>
      <c r="T8835" s="2">
        <v>42303</v>
      </c>
      <c r="U8835" s="2">
        <v>42363</v>
      </c>
      <c r="V8835" t="s">
        <v>71</v>
      </c>
      <c r="W8835" t="str">
        <f>"            56052325"</f>
        <v xml:space="preserve">            56052325</v>
      </c>
      <c r="X8835" s="1">
        <v>1157.52</v>
      </c>
      <c r="Y8835">
        <v>-44.52</v>
      </c>
      <c r="Z8835"/>
      <c r="AB8835"/>
      <c r="AC8835" s="1">
        <v>1092</v>
      </c>
      <c r="AD8835">
        <v>157</v>
      </c>
      <c r="AE8835" s="1">
        <v>171444</v>
      </c>
      <c r="AF8835">
        <v>21</v>
      </c>
      <c r="AJ8835">
        <v>0</v>
      </c>
      <c r="AK8835">
        <v>0</v>
      </c>
      <c r="AL8835">
        <v>0</v>
      </c>
      <c r="AM8835">
        <v>0</v>
      </c>
      <c r="AN8835">
        <v>0</v>
      </c>
      <c r="AO8835">
        <v>0</v>
      </c>
      <c r="AP8835" s="2">
        <v>42746</v>
      </c>
      <c r="AQ8835" t="s">
        <v>72</v>
      </c>
      <c r="AR8835" t="s">
        <v>72</v>
      </c>
      <c r="AS8835">
        <v>1405</v>
      </c>
      <c r="AT8835" s="4">
        <v>42520</v>
      </c>
      <c r="AU8835" t="s">
        <v>73</v>
      </c>
      <c r="AV8835">
        <v>1405</v>
      </c>
      <c r="AW8835" s="4">
        <v>42520</v>
      </c>
      <c r="BD8835">
        <v>21</v>
      </c>
      <c r="BN8835" t="s">
        <v>74</v>
      </c>
    </row>
    <row r="8836" spans="1:66" hidden="1">
      <c r="A8836">
        <v>106488</v>
      </c>
      <c r="B8836" s="3" t="s">
        <v>780</v>
      </c>
      <c r="C8836" s="1">
        <v>43300101</v>
      </c>
      <c r="D8836" t="s">
        <v>67</v>
      </c>
      <c r="H8836" t="str">
        <f>""</f>
        <v/>
      </c>
      <c r="I8836" t="str">
        <f>""</f>
        <v/>
      </c>
      <c r="J8836" t="s">
        <v>417</v>
      </c>
      <c r="K8836" t="str">
        <f t="shared" si="919"/>
        <v>90490932449</v>
      </c>
      <c r="M8836" t="s">
        <v>68</v>
      </c>
      <c r="N8836" t="str">
        <f t="shared" si="920"/>
        <v>FOR</v>
      </c>
      <c r="O8836" t="s">
        <v>69</v>
      </c>
      <c r="P8836" s="3" t="s">
        <v>418</v>
      </c>
      <c r="Q8836">
        <v>2015</v>
      </c>
      <c r="R8836" s="2">
        <v>42283</v>
      </c>
      <c r="S8836" s="2">
        <v>42303</v>
      </c>
      <c r="T8836" s="2">
        <v>42303</v>
      </c>
      <c r="U8836" s="2">
        <v>42363</v>
      </c>
      <c r="V8836" t="s">
        <v>71</v>
      </c>
      <c r="W8836" t="str">
        <f>"            56052326"</f>
        <v xml:space="preserve">            56052326</v>
      </c>
      <c r="X8836" s="1">
        <v>1157.52</v>
      </c>
      <c r="Y8836">
        <v>-44.52</v>
      </c>
      <c r="Z8836"/>
      <c r="AB8836"/>
      <c r="AC8836" s="1">
        <v>1092</v>
      </c>
      <c r="AD8836">
        <v>157</v>
      </c>
      <c r="AE8836" s="1">
        <v>171444</v>
      </c>
      <c r="AF8836">
        <v>21</v>
      </c>
      <c r="AJ8836">
        <v>0</v>
      </c>
      <c r="AK8836">
        <v>0</v>
      </c>
      <c r="AL8836">
        <v>0</v>
      </c>
      <c r="AM8836">
        <v>0</v>
      </c>
      <c r="AN8836">
        <v>0</v>
      </c>
      <c r="AO8836">
        <v>0</v>
      </c>
      <c r="AP8836" s="2">
        <v>42746</v>
      </c>
      <c r="AQ8836" t="s">
        <v>72</v>
      </c>
      <c r="AR8836" t="s">
        <v>72</v>
      </c>
      <c r="AS8836">
        <v>1405</v>
      </c>
      <c r="AT8836" s="4">
        <v>42520</v>
      </c>
      <c r="AU8836" t="s">
        <v>73</v>
      </c>
      <c r="AV8836">
        <v>1405</v>
      </c>
      <c r="AW8836" s="4">
        <v>42520</v>
      </c>
      <c r="BD8836">
        <v>21</v>
      </c>
      <c r="BN8836" t="s">
        <v>74</v>
      </c>
    </row>
    <row r="8837" spans="1:66" hidden="1">
      <c r="A8837">
        <v>106488</v>
      </c>
      <c r="B8837" s="3" t="s">
        <v>780</v>
      </c>
      <c r="C8837" s="1">
        <v>43300101</v>
      </c>
      <c r="D8837" t="s">
        <v>67</v>
      </c>
      <c r="H8837" t="str">
        <f>""</f>
        <v/>
      </c>
      <c r="I8837" t="str">
        <f>""</f>
        <v/>
      </c>
      <c r="J8837" t="s">
        <v>417</v>
      </c>
      <c r="K8837" t="str">
        <f t="shared" si="919"/>
        <v>90490932449</v>
      </c>
      <c r="M8837" t="s">
        <v>68</v>
      </c>
      <c r="N8837" t="str">
        <f t="shared" si="920"/>
        <v>FOR</v>
      </c>
      <c r="O8837" t="s">
        <v>69</v>
      </c>
      <c r="P8837" s="3" t="s">
        <v>418</v>
      </c>
      <c r="Q8837">
        <v>2015</v>
      </c>
      <c r="R8837" s="2">
        <v>42303</v>
      </c>
      <c r="S8837" s="2">
        <v>42312</v>
      </c>
      <c r="T8837" s="2">
        <v>42312</v>
      </c>
      <c r="U8837" s="2">
        <v>42372</v>
      </c>
      <c r="V8837" t="s">
        <v>71</v>
      </c>
      <c r="W8837" t="str">
        <f>"            56052496"</f>
        <v xml:space="preserve">            56052496</v>
      </c>
      <c r="X8837" s="1">
        <v>1157.52</v>
      </c>
      <c r="Y8837">
        <v>-44.52</v>
      </c>
      <c r="Z8837"/>
      <c r="AB8837"/>
      <c r="AC8837" s="1">
        <v>1092</v>
      </c>
      <c r="AD8837">
        <v>148</v>
      </c>
      <c r="AE8837" s="1">
        <v>161616</v>
      </c>
      <c r="AF8837">
        <v>21</v>
      </c>
      <c r="AJ8837">
        <v>0</v>
      </c>
      <c r="AK8837">
        <v>0</v>
      </c>
      <c r="AL8837">
        <v>0</v>
      </c>
      <c r="AM8837">
        <v>0</v>
      </c>
      <c r="AN8837">
        <v>0</v>
      </c>
      <c r="AO8837">
        <v>0</v>
      </c>
      <c r="AP8837" s="2">
        <v>42746</v>
      </c>
      <c r="AQ8837" t="s">
        <v>72</v>
      </c>
      <c r="AR8837" t="s">
        <v>72</v>
      </c>
      <c r="AS8837">
        <v>1405</v>
      </c>
      <c r="AT8837" s="4">
        <v>42520</v>
      </c>
      <c r="AU8837" t="s">
        <v>73</v>
      </c>
      <c r="AV8837">
        <v>1405</v>
      </c>
      <c r="AW8837" s="4">
        <v>42520</v>
      </c>
      <c r="BD8837">
        <v>21</v>
      </c>
      <c r="BN8837" t="s">
        <v>74</v>
      </c>
    </row>
    <row r="8838" spans="1:66" hidden="1">
      <c r="A8838">
        <v>106488</v>
      </c>
      <c r="B8838" s="3" t="s">
        <v>780</v>
      </c>
      <c r="C8838" s="1">
        <v>43300101</v>
      </c>
      <c r="D8838" t="s">
        <v>67</v>
      </c>
      <c r="H8838" t="str">
        <f>""</f>
        <v/>
      </c>
      <c r="I8838" t="str">
        <f>""</f>
        <v/>
      </c>
      <c r="J8838" t="s">
        <v>417</v>
      </c>
      <c r="K8838" t="str">
        <f t="shared" si="919"/>
        <v>90490932449</v>
      </c>
      <c r="M8838" t="s">
        <v>68</v>
      </c>
      <c r="N8838" t="str">
        <f t="shared" si="920"/>
        <v>FOR</v>
      </c>
      <c r="O8838" t="s">
        <v>69</v>
      </c>
      <c r="P8838" s="3" t="s">
        <v>418</v>
      </c>
      <c r="Q8838">
        <v>2015</v>
      </c>
      <c r="R8838" s="2">
        <v>42321</v>
      </c>
      <c r="S8838" s="2">
        <v>42345</v>
      </c>
      <c r="T8838" s="2">
        <v>42345</v>
      </c>
      <c r="U8838" s="2">
        <v>42405</v>
      </c>
      <c r="V8838" t="s">
        <v>71</v>
      </c>
      <c r="W8838" t="str">
        <f>"            56052724"</f>
        <v xml:space="preserve">            56052724</v>
      </c>
      <c r="X8838" s="1">
        <v>1157.52</v>
      </c>
      <c r="Y8838">
        <v>-44.52</v>
      </c>
      <c r="Z8838"/>
      <c r="AB8838"/>
      <c r="AC8838" s="1">
        <v>1092</v>
      </c>
      <c r="AD8838">
        <v>115</v>
      </c>
      <c r="AE8838" s="1">
        <v>125580</v>
      </c>
      <c r="AF8838">
        <v>21</v>
      </c>
      <c r="AJ8838">
        <v>0</v>
      </c>
      <c r="AK8838">
        <v>0</v>
      </c>
      <c r="AL8838">
        <v>0</v>
      </c>
      <c r="AM8838">
        <v>0</v>
      </c>
      <c r="AN8838">
        <v>0</v>
      </c>
      <c r="AO8838">
        <v>0</v>
      </c>
      <c r="AP8838" s="2">
        <v>42746</v>
      </c>
      <c r="AQ8838" t="s">
        <v>72</v>
      </c>
      <c r="AR8838" t="s">
        <v>72</v>
      </c>
      <c r="AS8838">
        <v>1405</v>
      </c>
      <c r="AT8838" s="4">
        <v>42520</v>
      </c>
      <c r="AU8838" t="s">
        <v>73</v>
      </c>
      <c r="AV8838">
        <v>1405</v>
      </c>
      <c r="AW8838" s="4">
        <v>42520</v>
      </c>
      <c r="BD8838">
        <v>21</v>
      </c>
      <c r="BN8838" t="s">
        <v>74</v>
      </c>
    </row>
    <row r="8839" spans="1:66" hidden="1">
      <c r="A8839">
        <v>106488</v>
      </c>
      <c r="B8839" s="3" t="s">
        <v>780</v>
      </c>
      <c r="C8839" s="1">
        <v>43300101</v>
      </c>
      <c r="D8839" t="s">
        <v>67</v>
      </c>
      <c r="H8839" t="str">
        <f>""</f>
        <v/>
      </c>
      <c r="I8839" t="str">
        <f>""</f>
        <v/>
      </c>
      <c r="J8839" t="s">
        <v>417</v>
      </c>
      <c r="K8839" t="str">
        <f t="shared" si="919"/>
        <v>90490932449</v>
      </c>
      <c r="M8839" t="s">
        <v>68</v>
      </c>
      <c r="N8839" t="str">
        <f t="shared" si="920"/>
        <v>FOR</v>
      </c>
      <c r="O8839" t="s">
        <v>69</v>
      </c>
      <c r="P8839" s="3" t="s">
        <v>418</v>
      </c>
      <c r="Q8839">
        <v>2015</v>
      </c>
      <c r="R8839" s="2">
        <v>42321</v>
      </c>
      <c r="S8839" s="2">
        <v>42345</v>
      </c>
      <c r="T8839" s="2">
        <v>42345</v>
      </c>
      <c r="U8839" s="2">
        <v>42405</v>
      </c>
      <c r="V8839" t="s">
        <v>71</v>
      </c>
      <c r="W8839" t="str">
        <f>"            56052725"</f>
        <v xml:space="preserve">            56052725</v>
      </c>
      <c r="X8839" s="1">
        <v>1157.52</v>
      </c>
      <c r="Y8839">
        <v>-44.52</v>
      </c>
      <c r="Z8839"/>
      <c r="AB8839"/>
      <c r="AC8839" s="1">
        <v>1092</v>
      </c>
      <c r="AD8839">
        <v>115</v>
      </c>
      <c r="AE8839" s="1">
        <v>125580</v>
      </c>
      <c r="AF8839">
        <v>21</v>
      </c>
      <c r="AJ8839">
        <v>0</v>
      </c>
      <c r="AK8839">
        <v>0</v>
      </c>
      <c r="AL8839">
        <v>0</v>
      </c>
      <c r="AM8839">
        <v>0</v>
      </c>
      <c r="AN8839">
        <v>0</v>
      </c>
      <c r="AO8839">
        <v>0</v>
      </c>
      <c r="AP8839" s="2">
        <v>42746</v>
      </c>
      <c r="AQ8839" t="s">
        <v>72</v>
      </c>
      <c r="AR8839" t="s">
        <v>72</v>
      </c>
      <c r="AS8839">
        <v>1405</v>
      </c>
      <c r="AT8839" s="4">
        <v>42520</v>
      </c>
      <c r="AU8839" t="s">
        <v>73</v>
      </c>
      <c r="AV8839">
        <v>1405</v>
      </c>
      <c r="AW8839" s="4">
        <v>42520</v>
      </c>
      <c r="BD8839">
        <v>21</v>
      </c>
      <c r="BN8839" t="s">
        <v>74</v>
      </c>
    </row>
    <row r="8840" spans="1:66" hidden="1">
      <c r="A8840">
        <v>106488</v>
      </c>
      <c r="B8840" s="3" t="s">
        <v>780</v>
      </c>
      <c r="C8840" s="1">
        <v>43300101</v>
      </c>
      <c r="D8840" t="s">
        <v>67</v>
      </c>
      <c r="H8840" t="str">
        <f>""</f>
        <v/>
      </c>
      <c r="I8840" t="str">
        <f>""</f>
        <v/>
      </c>
      <c r="J8840" t="s">
        <v>417</v>
      </c>
      <c r="K8840" t="str">
        <f t="shared" si="919"/>
        <v>90490932449</v>
      </c>
      <c r="M8840" t="s">
        <v>68</v>
      </c>
      <c r="N8840" t="str">
        <f t="shared" si="920"/>
        <v>FOR</v>
      </c>
      <c r="O8840" t="s">
        <v>69</v>
      </c>
      <c r="P8840" s="3" t="s">
        <v>418</v>
      </c>
      <c r="Q8840">
        <v>2015</v>
      </c>
      <c r="R8840" s="2">
        <v>42335</v>
      </c>
      <c r="S8840" s="2">
        <v>42353</v>
      </c>
      <c r="T8840" s="2">
        <v>42353</v>
      </c>
      <c r="U8840" s="2">
        <v>42413</v>
      </c>
      <c r="V8840" t="s">
        <v>71</v>
      </c>
      <c r="W8840" t="str">
        <f>"            56052907"</f>
        <v xml:space="preserve">            56052907</v>
      </c>
      <c r="X8840" s="1">
        <v>1157.52</v>
      </c>
      <c r="Y8840">
        <v>-44.52</v>
      </c>
      <c r="Z8840"/>
      <c r="AB8840"/>
      <c r="AC8840" s="1">
        <v>1092</v>
      </c>
      <c r="AD8840">
        <v>107</v>
      </c>
      <c r="AE8840" s="1">
        <v>116844</v>
      </c>
      <c r="AF8840">
        <v>21</v>
      </c>
      <c r="AJ8840">
        <v>0</v>
      </c>
      <c r="AK8840">
        <v>0</v>
      </c>
      <c r="AL8840">
        <v>0</v>
      </c>
      <c r="AM8840">
        <v>0</v>
      </c>
      <c r="AN8840">
        <v>0</v>
      </c>
      <c r="AO8840">
        <v>0</v>
      </c>
      <c r="AP8840" s="2">
        <v>42746</v>
      </c>
      <c r="AQ8840" t="s">
        <v>72</v>
      </c>
      <c r="AR8840" t="s">
        <v>72</v>
      </c>
      <c r="AS8840">
        <v>1405</v>
      </c>
      <c r="AT8840" s="4">
        <v>42520</v>
      </c>
      <c r="AU8840" t="s">
        <v>73</v>
      </c>
      <c r="AV8840">
        <v>1405</v>
      </c>
      <c r="AW8840" s="4">
        <v>42520</v>
      </c>
      <c r="BD8840">
        <v>21</v>
      </c>
      <c r="BN8840" t="s">
        <v>74</v>
      </c>
    </row>
    <row r="8841" spans="1:66" hidden="1">
      <c r="A8841">
        <v>106488</v>
      </c>
      <c r="B8841" s="3" t="s">
        <v>780</v>
      </c>
      <c r="C8841" s="1">
        <v>43300101</v>
      </c>
      <c r="D8841" t="s">
        <v>67</v>
      </c>
      <c r="H8841" t="str">
        <f>""</f>
        <v/>
      </c>
      <c r="I8841" t="str">
        <f>""</f>
        <v/>
      </c>
      <c r="J8841" t="s">
        <v>417</v>
      </c>
      <c r="K8841" t="str">
        <f t="shared" si="919"/>
        <v>90490932449</v>
      </c>
      <c r="M8841" t="s">
        <v>68</v>
      </c>
      <c r="N8841" t="str">
        <f t="shared" si="920"/>
        <v>FOR</v>
      </c>
      <c r="O8841" t="s">
        <v>69</v>
      </c>
      <c r="P8841" s="3" t="s">
        <v>418</v>
      </c>
      <c r="Q8841">
        <v>2015</v>
      </c>
      <c r="R8841" s="2">
        <v>42366</v>
      </c>
      <c r="S8841" s="2">
        <v>42369</v>
      </c>
      <c r="T8841" s="2">
        <v>42369</v>
      </c>
      <c r="U8841" s="2">
        <v>42429</v>
      </c>
      <c r="V8841" t="s">
        <v>71</v>
      </c>
      <c r="W8841" t="str">
        <f>"            56053165"</f>
        <v xml:space="preserve">            56053165</v>
      </c>
      <c r="X8841" s="1">
        <v>1157.52</v>
      </c>
      <c r="Y8841">
        <v>-44.52</v>
      </c>
      <c r="Z8841"/>
      <c r="AB8841"/>
      <c r="AC8841" s="1">
        <v>1092</v>
      </c>
      <c r="AD8841">
        <v>91</v>
      </c>
      <c r="AE8841" s="1">
        <v>99372</v>
      </c>
      <c r="AF8841">
        <v>21</v>
      </c>
      <c r="AJ8841">
        <v>0</v>
      </c>
      <c r="AK8841">
        <v>0</v>
      </c>
      <c r="AL8841">
        <v>0</v>
      </c>
      <c r="AM8841">
        <v>0</v>
      </c>
      <c r="AN8841">
        <v>0</v>
      </c>
      <c r="AO8841">
        <v>0</v>
      </c>
      <c r="AP8841" s="2">
        <v>42746</v>
      </c>
      <c r="AQ8841" t="s">
        <v>72</v>
      </c>
      <c r="AR8841" t="s">
        <v>72</v>
      </c>
      <c r="AS8841">
        <v>1405</v>
      </c>
      <c r="AT8841" s="4">
        <v>42520</v>
      </c>
      <c r="AU8841" t="s">
        <v>73</v>
      </c>
      <c r="AV8841">
        <v>1405</v>
      </c>
      <c r="AW8841" s="4">
        <v>42520</v>
      </c>
      <c r="BD8841">
        <v>21</v>
      </c>
      <c r="BN8841" t="s">
        <v>74</v>
      </c>
    </row>
    <row r="8842" spans="1:66" hidden="1">
      <c r="A8842">
        <v>106488</v>
      </c>
      <c r="B8842" s="3" t="s">
        <v>780</v>
      </c>
      <c r="C8842" s="1">
        <v>43300101</v>
      </c>
      <c r="D8842" t="s">
        <v>67</v>
      </c>
      <c r="H8842" t="str">
        <f>""</f>
        <v/>
      </c>
      <c r="I8842" t="str">
        <f>""</f>
        <v/>
      </c>
      <c r="J8842" t="s">
        <v>417</v>
      </c>
      <c r="K8842" t="str">
        <f t="shared" si="919"/>
        <v>90490932449</v>
      </c>
      <c r="M8842" t="s">
        <v>68</v>
      </c>
      <c r="N8842" t="str">
        <f t="shared" si="920"/>
        <v>FOR</v>
      </c>
      <c r="O8842" t="s">
        <v>69</v>
      </c>
      <c r="P8842" s="3" t="s">
        <v>418</v>
      </c>
      <c r="Q8842">
        <v>2016</v>
      </c>
      <c r="R8842" s="2">
        <v>42395</v>
      </c>
      <c r="S8842" s="2">
        <v>42408</v>
      </c>
      <c r="T8842" s="2">
        <v>42408</v>
      </c>
      <c r="U8842" s="2">
        <v>42468</v>
      </c>
      <c r="V8842" t="s">
        <v>71</v>
      </c>
      <c r="W8842" t="str">
        <f>"            56060178"</f>
        <v xml:space="preserve">            56060178</v>
      </c>
      <c r="X8842" s="1">
        <v>1157.52</v>
      </c>
      <c r="Y8842">
        <v>-44.52</v>
      </c>
      <c r="Z8842"/>
      <c r="AB8842"/>
      <c r="AC8842" s="1">
        <v>1092</v>
      </c>
      <c r="AD8842">
        <v>52</v>
      </c>
      <c r="AE8842" s="1">
        <v>56784</v>
      </c>
      <c r="AF8842">
        <v>21</v>
      </c>
      <c r="AJ8842">
        <v>0</v>
      </c>
      <c r="AK8842">
        <v>0</v>
      </c>
      <c r="AL8842">
        <v>0</v>
      </c>
      <c r="AM8842" s="1">
        <v>1113</v>
      </c>
      <c r="AN8842" s="1">
        <v>1113</v>
      </c>
      <c r="AO8842" s="1">
        <v>1113</v>
      </c>
      <c r="AP8842" s="2">
        <v>42746</v>
      </c>
      <c r="AQ8842" t="s">
        <v>72</v>
      </c>
      <c r="AR8842" t="s">
        <v>72</v>
      </c>
      <c r="AS8842">
        <v>1405</v>
      </c>
      <c r="AT8842" s="4">
        <v>42520</v>
      </c>
      <c r="AU8842" t="s">
        <v>73</v>
      </c>
      <c r="AV8842">
        <v>1405</v>
      </c>
      <c r="AW8842" s="4">
        <v>42520</v>
      </c>
      <c r="BD8842">
        <v>21</v>
      </c>
      <c r="BN8842" t="s">
        <v>74</v>
      </c>
    </row>
    <row r="8843" spans="1:66" hidden="1">
      <c r="A8843">
        <v>106488</v>
      </c>
      <c r="B8843" s="3" t="s">
        <v>780</v>
      </c>
      <c r="C8843" s="1">
        <v>43300101</v>
      </c>
      <c r="D8843" t="s">
        <v>67</v>
      </c>
      <c r="H8843" t="str">
        <f>""</f>
        <v/>
      </c>
      <c r="I8843" t="str">
        <f>""</f>
        <v/>
      </c>
      <c r="J8843" t="s">
        <v>417</v>
      </c>
      <c r="K8843" t="str">
        <f t="shared" si="919"/>
        <v>90490932449</v>
      </c>
      <c r="M8843" t="s">
        <v>68</v>
      </c>
      <c r="N8843" t="str">
        <f t="shared" si="920"/>
        <v>FOR</v>
      </c>
      <c r="O8843" t="s">
        <v>69</v>
      </c>
      <c r="P8843" s="3" t="s">
        <v>418</v>
      </c>
      <c r="Q8843">
        <v>2016</v>
      </c>
      <c r="R8843" s="2">
        <v>42395</v>
      </c>
      <c r="S8843" s="2">
        <v>42408</v>
      </c>
      <c r="T8843" s="2">
        <v>42408</v>
      </c>
      <c r="U8843" s="2">
        <v>42468</v>
      </c>
      <c r="V8843" t="s">
        <v>71</v>
      </c>
      <c r="W8843" t="str">
        <f>"            56060179"</f>
        <v xml:space="preserve">            56060179</v>
      </c>
      <c r="X8843" s="1">
        <v>1157.52</v>
      </c>
      <c r="Y8843">
        <v>-44.52</v>
      </c>
      <c r="Z8843"/>
      <c r="AB8843"/>
      <c r="AC8843" s="1">
        <v>1092</v>
      </c>
      <c r="AD8843">
        <v>52</v>
      </c>
      <c r="AE8843" s="1">
        <v>56784</v>
      </c>
      <c r="AF8843">
        <v>21</v>
      </c>
      <c r="AJ8843">
        <v>0</v>
      </c>
      <c r="AK8843">
        <v>0</v>
      </c>
      <c r="AL8843">
        <v>0</v>
      </c>
      <c r="AM8843" s="1">
        <v>1113</v>
      </c>
      <c r="AN8843" s="1">
        <v>1113</v>
      </c>
      <c r="AO8843" s="1">
        <v>1113</v>
      </c>
      <c r="AP8843" s="2">
        <v>42746</v>
      </c>
      <c r="AQ8843" t="s">
        <v>72</v>
      </c>
      <c r="AR8843" t="s">
        <v>72</v>
      </c>
      <c r="AS8843">
        <v>1405</v>
      </c>
      <c r="AT8843" s="4">
        <v>42520</v>
      </c>
      <c r="AU8843" t="s">
        <v>73</v>
      </c>
      <c r="AV8843">
        <v>1405</v>
      </c>
      <c r="AW8843" s="4">
        <v>42520</v>
      </c>
      <c r="BD8843">
        <v>21</v>
      </c>
      <c r="BN8843" t="s">
        <v>74</v>
      </c>
    </row>
    <row r="8844" spans="1:66" hidden="1">
      <c r="A8844">
        <v>106488</v>
      </c>
      <c r="B8844" s="3" t="s">
        <v>780</v>
      </c>
      <c r="C8844" s="1">
        <v>43300101</v>
      </c>
      <c r="D8844" t="s">
        <v>67</v>
      </c>
      <c r="H8844" t="str">
        <f>""</f>
        <v/>
      </c>
      <c r="I8844" t="str">
        <f>""</f>
        <v/>
      </c>
      <c r="J8844" t="s">
        <v>417</v>
      </c>
      <c r="K8844" t="str">
        <f t="shared" si="919"/>
        <v>90490932449</v>
      </c>
      <c r="M8844" t="s">
        <v>68</v>
      </c>
      <c r="N8844" t="str">
        <f t="shared" si="920"/>
        <v>FOR</v>
      </c>
      <c r="O8844" t="s">
        <v>69</v>
      </c>
      <c r="P8844" s="3" t="s">
        <v>418</v>
      </c>
      <c r="Q8844">
        <v>2016</v>
      </c>
      <c r="R8844" s="2">
        <v>42481</v>
      </c>
      <c r="S8844" s="2">
        <v>42492</v>
      </c>
      <c r="T8844" s="2">
        <v>42492</v>
      </c>
      <c r="U8844" s="2">
        <v>42552</v>
      </c>
      <c r="V8844" t="s">
        <v>71</v>
      </c>
      <c r="W8844" t="str">
        <f>"            56060955"</f>
        <v xml:space="preserve">            56060955</v>
      </c>
      <c r="X8844" s="1">
        <v>1092</v>
      </c>
      <c r="Y8844">
        <v>-42</v>
      </c>
      <c r="Z8844"/>
      <c r="AB8844"/>
      <c r="AC8844" s="1">
        <v>1050</v>
      </c>
      <c r="AD8844">
        <v>-32</v>
      </c>
      <c r="AE8844" s="1">
        <v>-33600</v>
      </c>
      <c r="AF8844">
        <v>0</v>
      </c>
      <c r="AJ8844">
        <v>0</v>
      </c>
      <c r="AK8844">
        <v>0</v>
      </c>
      <c r="AL8844">
        <v>0</v>
      </c>
      <c r="AM8844" s="1">
        <v>1050</v>
      </c>
      <c r="AN8844" s="1">
        <v>1050</v>
      </c>
      <c r="AO8844" s="1">
        <v>1050</v>
      </c>
      <c r="AP8844" s="2">
        <v>42746</v>
      </c>
      <c r="AQ8844" t="s">
        <v>72</v>
      </c>
      <c r="AR8844" t="s">
        <v>72</v>
      </c>
      <c r="AS8844">
        <v>1405</v>
      </c>
      <c r="AT8844" s="4">
        <v>42520</v>
      </c>
      <c r="AV8844">
        <v>1405</v>
      </c>
      <c r="AW8844" s="4">
        <v>42520</v>
      </c>
      <c r="BD8844">
        <v>0</v>
      </c>
      <c r="BN8844" t="s">
        <v>74</v>
      </c>
    </row>
    <row r="8845" spans="1:66" hidden="1">
      <c r="A8845">
        <v>106488</v>
      </c>
      <c r="B8845" s="3" t="s">
        <v>780</v>
      </c>
      <c r="C8845" s="1">
        <v>43300101</v>
      </c>
      <c r="D8845" t="s">
        <v>67</v>
      </c>
      <c r="H8845" t="str">
        <f>""</f>
        <v/>
      </c>
      <c r="I8845" t="str">
        <f>""</f>
        <v/>
      </c>
      <c r="J8845" t="s">
        <v>417</v>
      </c>
      <c r="K8845" t="str">
        <f t="shared" si="919"/>
        <v>90490932449</v>
      </c>
      <c r="M8845" t="s">
        <v>68</v>
      </c>
      <c r="N8845" t="str">
        <f t="shared" si="920"/>
        <v>FOR</v>
      </c>
      <c r="O8845" t="s">
        <v>69</v>
      </c>
      <c r="P8845" s="3" t="s">
        <v>418</v>
      </c>
      <c r="Q8845">
        <v>2016</v>
      </c>
      <c r="R8845" s="2">
        <v>42481</v>
      </c>
      <c r="S8845" s="2">
        <v>42492</v>
      </c>
      <c r="T8845" s="2">
        <v>42492</v>
      </c>
      <c r="U8845" s="2">
        <v>42552</v>
      </c>
      <c r="V8845" t="s">
        <v>71</v>
      </c>
      <c r="W8845" t="str">
        <f>"            56060956"</f>
        <v xml:space="preserve">            56060956</v>
      </c>
      <c r="X8845" s="1">
        <v>1092</v>
      </c>
      <c r="Y8845">
        <v>-42</v>
      </c>
      <c r="Z8845"/>
      <c r="AB8845"/>
      <c r="AC8845" s="1">
        <v>1050</v>
      </c>
      <c r="AD8845">
        <v>-32</v>
      </c>
      <c r="AE8845" s="1">
        <v>-33600</v>
      </c>
      <c r="AF8845">
        <v>0</v>
      </c>
      <c r="AJ8845">
        <v>0</v>
      </c>
      <c r="AK8845">
        <v>0</v>
      </c>
      <c r="AL8845">
        <v>0</v>
      </c>
      <c r="AM8845" s="1">
        <v>1050</v>
      </c>
      <c r="AN8845" s="1">
        <v>1050</v>
      </c>
      <c r="AO8845" s="1">
        <v>1050</v>
      </c>
      <c r="AP8845" s="2">
        <v>42746</v>
      </c>
      <c r="AQ8845" t="s">
        <v>72</v>
      </c>
      <c r="AR8845" t="s">
        <v>72</v>
      </c>
      <c r="AS8845">
        <v>1405</v>
      </c>
      <c r="AT8845" s="4">
        <v>42520</v>
      </c>
      <c r="AV8845">
        <v>1405</v>
      </c>
      <c r="AW8845" s="4">
        <v>42520</v>
      </c>
      <c r="BD8845">
        <v>0</v>
      </c>
      <c r="BN8845" t="s">
        <v>74</v>
      </c>
    </row>
    <row r="8846" spans="1:66" hidden="1">
      <c r="A8846">
        <v>106488</v>
      </c>
      <c r="B8846" s="3" t="s">
        <v>780</v>
      </c>
      <c r="C8846" s="1">
        <v>43300101</v>
      </c>
      <c r="D8846" t="s">
        <v>67</v>
      </c>
      <c r="H8846" t="str">
        <f>""</f>
        <v/>
      </c>
      <c r="I8846" t="str">
        <f>""</f>
        <v/>
      </c>
      <c r="J8846" t="s">
        <v>417</v>
      </c>
      <c r="K8846" t="str">
        <f t="shared" si="919"/>
        <v>90490932449</v>
      </c>
      <c r="M8846" t="s">
        <v>68</v>
      </c>
      <c r="N8846" t="str">
        <f t="shared" si="920"/>
        <v>FOR</v>
      </c>
      <c r="O8846" t="s">
        <v>69</v>
      </c>
      <c r="P8846" s="3" t="s">
        <v>418</v>
      </c>
      <c r="Q8846">
        <v>2016</v>
      </c>
      <c r="R8846" s="2">
        <v>42481</v>
      </c>
      <c r="S8846" s="2">
        <v>42492</v>
      </c>
      <c r="T8846" s="2">
        <v>42492</v>
      </c>
      <c r="U8846" s="2">
        <v>42552</v>
      </c>
      <c r="V8846" t="s">
        <v>71</v>
      </c>
      <c r="W8846" t="str">
        <f>"            56060957"</f>
        <v xml:space="preserve">            56060957</v>
      </c>
      <c r="X8846" s="1">
        <v>1092</v>
      </c>
      <c r="Y8846">
        <v>-42</v>
      </c>
      <c r="Z8846"/>
      <c r="AB8846"/>
      <c r="AC8846" s="1">
        <v>1050</v>
      </c>
      <c r="AD8846">
        <v>-32</v>
      </c>
      <c r="AE8846" s="1">
        <v>-33600</v>
      </c>
      <c r="AF8846">
        <v>0</v>
      </c>
      <c r="AJ8846">
        <v>0</v>
      </c>
      <c r="AK8846">
        <v>0</v>
      </c>
      <c r="AL8846">
        <v>0</v>
      </c>
      <c r="AM8846" s="1">
        <v>1050</v>
      </c>
      <c r="AN8846" s="1">
        <v>1050</v>
      </c>
      <c r="AO8846" s="1">
        <v>1050</v>
      </c>
      <c r="AP8846" s="2">
        <v>42746</v>
      </c>
      <c r="AQ8846" t="s">
        <v>72</v>
      </c>
      <c r="AR8846" t="s">
        <v>72</v>
      </c>
      <c r="AS8846">
        <v>1405</v>
      </c>
      <c r="AT8846" s="4">
        <v>42520</v>
      </c>
      <c r="AV8846">
        <v>1405</v>
      </c>
      <c r="AW8846" s="4">
        <v>42520</v>
      </c>
      <c r="BD8846">
        <v>0</v>
      </c>
      <c r="BN8846" t="s">
        <v>74</v>
      </c>
    </row>
    <row r="8847" spans="1:66" hidden="1">
      <c r="A8847">
        <v>106488</v>
      </c>
      <c r="B8847" s="3" t="s">
        <v>780</v>
      </c>
      <c r="C8847" s="1">
        <v>43300101</v>
      </c>
      <c r="D8847" t="s">
        <v>67</v>
      </c>
      <c r="H8847" t="str">
        <f>""</f>
        <v/>
      </c>
      <c r="I8847" t="str">
        <f>""</f>
        <v/>
      </c>
      <c r="J8847" t="s">
        <v>417</v>
      </c>
      <c r="K8847" t="str">
        <f t="shared" si="919"/>
        <v>90490932449</v>
      </c>
      <c r="M8847" t="s">
        <v>68</v>
      </c>
      <c r="N8847" t="str">
        <f t="shared" si="920"/>
        <v>FOR</v>
      </c>
      <c r="O8847" t="s">
        <v>69</v>
      </c>
      <c r="P8847" s="3" t="s">
        <v>418</v>
      </c>
      <c r="Q8847">
        <v>2016</v>
      </c>
      <c r="R8847" s="2">
        <v>42482</v>
      </c>
      <c r="S8847" s="2">
        <v>42492</v>
      </c>
      <c r="T8847" s="2">
        <v>42492</v>
      </c>
      <c r="U8847" s="2">
        <v>42552</v>
      </c>
      <c r="V8847" t="s">
        <v>71</v>
      </c>
      <c r="W8847" t="str">
        <f>"            56060972"</f>
        <v xml:space="preserve">            56060972</v>
      </c>
      <c r="X8847" s="1">
        <v>1092</v>
      </c>
      <c r="Y8847">
        <v>-42</v>
      </c>
      <c r="Z8847"/>
      <c r="AB8847"/>
      <c r="AC8847" s="1">
        <v>1050</v>
      </c>
      <c r="AD8847">
        <v>-32</v>
      </c>
      <c r="AE8847" s="1">
        <v>-33600</v>
      </c>
      <c r="AF8847">
        <v>0</v>
      </c>
      <c r="AJ8847">
        <v>0</v>
      </c>
      <c r="AK8847">
        <v>0</v>
      </c>
      <c r="AL8847">
        <v>0</v>
      </c>
      <c r="AM8847" s="1">
        <v>1050</v>
      </c>
      <c r="AN8847" s="1">
        <v>1050</v>
      </c>
      <c r="AO8847" s="1">
        <v>1050</v>
      </c>
      <c r="AP8847" s="2">
        <v>42746</v>
      </c>
      <c r="AQ8847" t="s">
        <v>72</v>
      </c>
      <c r="AR8847" t="s">
        <v>72</v>
      </c>
      <c r="AS8847">
        <v>1405</v>
      </c>
      <c r="AT8847" s="4">
        <v>42520</v>
      </c>
      <c r="AV8847">
        <v>1405</v>
      </c>
      <c r="AW8847" s="4">
        <v>42520</v>
      </c>
      <c r="BD8847">
        <v>0</v>
      </c>
      <c r="BN8847" t="s">
        <v>74</v>
      </c>
    </row>
    <row r="8848" spans="1:66">
      <c r="A8848">
        <v>106488</v>
      </c>
      <c r="B8848" s="3" t="s">
        <v>780</v>
      </c>
      <c r="C8848" s="1">
        <v>43300101</v>
      </c>
      <c r="D8848" t="s">
        <v>67</v>
      </c>
      <c r="H8848" t="str">
        <f>""</f>
        <v/>
      </c>
      <c r="I8848" t="str">
        <f>""</f>
        <v/>
      </c>
      <c r="J8848" t="s">
        <v>417</v>
      </c>
      <c r="K8848" t="str">
        <f t="shared" si="919"/>
        <v>90490932449</v>
      </c>
      <c r="M8848" t="s">
        <v>68</v>
      </c>
      <c r="N8848" t="str">
        <f t="shared" si="920"/>
        <v>FOR</v>
      </c>
      <c r="O8848" t="s">
        <v>69</v>
      </c>
      <c r="P8848" s="3" t="s">
        <v>781</v>
      </c>
      <c r="Q8848">
        <v>2016</v>
      </c>
      <c r="R8848" s="2">
        <v>42501</v>
      </c>
      <c r="S8848" s="2">
        <v>42527</v>
      </c>
      <c r="T8848" s="2">
        <v>42527</v>
      </c>
      <c r="U8848" s="2">
        <v>42587</v>
      </c>
      <c r="V8848" t="s">
        <v>71</v>
      </c>
      <c r="W8848" t="str">
        <f>"            56061106"</f>
        <v xml:space="preserve">            56061106</v>
      </c>
      <c r="X8848" s="1">
        <v>-1092</v>
      </c>
      <c r="Y8848">
        <v>42</v>
      </c>
      <c r="Z8848" s="5">
        <v>-1050</v>
      </c>
      <c r="AA8848">
        <v>61</v>
      </c>
      <c r="AB8848" s="5">
        <v>-64050</v>
      </c>
      <c r="AC8848" s="1">
        <v>-1050</v>
      </c>
      <c r="AD8848">
        <v>61</v>
      </c>
      <c r="AE8848" s="1">
        <v>-64050</v>
      </c>
      <c r="AF8848">
        <v>0</v>
      </c>
      <c r="AJ8848">
        <v>0</v>
      </c>
      <c r="AK8848">
        <v>0</v>
      </c>
      <c r="AL8848">
        <v>0</v>
      </c>
      <c r="AM8848" s="1">
        <v>-1050</v>
      </c>
      <c r="AN8848" s="1">
        <v>-1050</v>
      </c>
      <c r="AO8848" s="1">
        <v>-1050</v>
      </c>
      <c r="AP8848" s="2">
        <v>42746</v>
      </c>
      <c r="AQ8848" t="s">
        <v>72</v>
      </c>
      <c r="AR8848" t="s">
        <v>72</v>
      </c>
      <c r="AS8848">
        <v>2698</v>
      </c>
      <c r="AT8848" s="4">
        <v>42648</v>
      </c>
      <c r="AU8848" t="s">
        <v>73</v>
      </c>
      <c r="AV8848">
        <v>2698</v>
      </c>
      <c r="AW8848" s="4">
        <v>42648</v>
      </c>
      <c r="BD8848">
        <v>0</v>
      </c>
      <c r="BN8848" t="s">
        <v>74</v>
      </c>
    </row>
    <row r="8849" spans="1:66">
      <c r="A8849">
        <v>106488</v>
      </c>
      <c r="B8849" s="3" t="s">
        <v>780</v>
      </c>
      <c r="C8849" s="1">
        <v>43300101</v>
      </c>
      <c r="D8849" t="s">
        <v>67</v>
      </c>
      <c r="H8849" t="str">
        <f>""</f>
        <v/>
      </c>
      <c r="I8849" t="str">
        <f>""</f>
        <v/>
      </c>
      <c r="J8849" t="s">
        <v>417</v>
      </c>
      <c r="K8849" t="str">
        <f t="shared" si="919"/>
        <v>90490932449</v>
      </c>
      <c r="M8849" t="s">
        <v>68</v>
      </c>
      <c r="N8849" t="str">
        <f t="shared" si="920"/>
        <v>FOR</v>
      </c>
      <c r="O8849" t="s">
        <v>69</v>
      </c>
      <c r="P8849" s="3" t="s">
        <v>418</v>
      </c>
      <c r="Q8849">
        <v>2016</v>
      </c>
      <c r="R8849" s="2">
        <v>42501</v>
      </c>
      <c r="S8849" s="2">
        <v>42513</v>
      </c>
      <c r="T8849" s="2">
        <v>42513</v>
      </c>
      <c r="U8849" s="2">
        <v>42573</v>
      </c>
      <c r="V8849" t="s">
        <v>71</v>
      </c>
      <c r="W8849" t="str">
        <f>"            56061109"</f>
        <v xml:space="preserve">            56061109</v>
      </c>
      <c r="X8849" s="1">
        <v>1092</v>
      </c>
      <c r="Y8849">
        <v>-42</v>
      </c>
      <c r="Z8849" s="5">
        <v>1050</v>
      </c>
      <c r="AA8849">
        <v>75</v>
      </c>
      <c r="AB8849" s="5">
        <v>78750</v>
      </c>
      <c r="AC8849" s="1">
        <v>1050</v>
      </c>
      <c r="AD8849">
        <v>75</v>
      </c>
      <c r="AE8849" s="1">
        <v>78750</v>
      </c>
      <c r="AF8849">
        <v>0</v>
      </c>
      <c r="AJ8849">
        <v>0</v>
      </c>
      <c r="AK8849">
        <v>0</v>
      </c>
      <c r="AL8849">
        <v>0</v>
      </c>
      <c r="AM8849" s="1">
        <v>1050</v>
      </c>
      <c r="AN8849" s="1">
        <v>1050</v>
      </c>
      <c r="AO8849" s="1">
        <v>1050</v>
      </c>
      <c r="AP8849" s="2">
        <v>42746</v>
      </c>
      <c r="AQ8849" t="s">
        <v>72</v>
      </c>
      <c r="AR8849" t="s">
        <v>72</v>
      </c>
      <c r="AS8849">
        <v>2698</v>
      </c>
      <c r="AT8849" s="4">
        <v>42648</v>
      </c>
      <c r="AU8849" t="s">
        <v>73</v>
      </c>
      <c r="AV8849">
        <v>2698</v>
      </c>
      <c r="AW8849" s="4">
        <v>42648</v>
      </c>
      <c r="BD8849">
        <v>0</v>
      </c>
      <c r="BN8849" t="s">
        <v>74</v>
      </c>
    </row>
    <row r="8850" spans="1:66">
      <c r="A8850">
        <v>106488</v>
      </c>
      <c r="B8850" s="3" t="s">
        <v>780</v>
      </c>
      <c r="C8850" s="1">
        <v>43300101</v>
      </c>
      <c r="D8850" t="s">
        <v>67</v>
      </c>
      <c r="H8850" t="str">
        <f>""</f>
        <v/>
      </c>
      <c r="I8850" t="str">
        <f>""</f>
        <v/>
      </c>
      <c r="J8850" t="s">
        <v>417</v>
      </c>
      <c r="K8850" t="str">
        <f t="shared" si="919"/>
        <v>90490932449</v>
      </c>
      <c r="M8850" t="s">
        <v>68</v>
      </c>
      <c r="N8850" t="str">
        <f t="shared" si="920"/>
        <v>FOR</v>
      </c>
      <c r="O8850" t="s">
        <v>69</v>
      </c>
      <c r="P8850" s="3" t="s">
        <v>418</v>
      </c>
      <c r="Q8850">
        <v>2016</v>
      </c>
      <c r="R8850" s="2">
        <v>42534</v>
      </c>
      <c r="S8850" s="2">
        <v>42542</v>
      </c>
      <c r="T8850" s="2">
        <v>42542</v>
      </c>
      <c r="U8850" s="2">
        <v>42602</v>
      </c>
      <c r="V8850" t="s">
        <v>71</v>
      </c>
      <c r="W8850" t="str">
        <f>"            56061428"</f>
        <v xml:space="preserve">            56061428</v>
      </c>
      <c r="X8850" s="1">
        <v>1092</v>
      </c>
      <c r="Y8850">
        <v>-42</v>
      </c>
      <c r="Z8850" s="5">
        <v>1050</v>
      </c>
      <c r="AA8850">
        <v>46</v>
      </c>
      <c r="AB8850" s="5">
        <v>48300</v>
      </c>
      <c r="AC8850" s="1">
        <v>1050</v>
      </c>
      <c r="AD8850">
        <v>46</v>
      </c>
      <c r="AE8850" s="1">
        <v>48300</v>
      </c>
      <c r="AF8850">
        <v>0</v>
      </c>
      <c r="AJ8850">
        <v>0</v>
      </c>
      <c r="AK8850">
        <v>0</v>
      </c>
      <c r="AL8850">
        <v>0</v>
      </c>
      <c r="AM8850" s="1">
        <v>1050</v>
      </c>
      <c r="AN8850" s="1">
        <v>1050</v>
      </c>
      <c r="AO8850" s="1">
        <v>1050</v>
      </c>
      <c r="AP8850" s="2">
        <v>42746</v>
      </c>
      <c r="AQ8850" t="s">
        <v>72</v>
      </c>
      <c r="AR8850" t="s">
        <v>72</v>
      </c>
      <c r="AS8850">
        <v>2698</v>
      </c>
      <c r="AT8850" s="4">
        <v>42648</v>
      </c>
      <c r="AU8850" t="s">
        <v>73</v>
      </c>
      <c r="AV8850">
        <v>2698</v>
      </c>
      <c r="AW8850" s="4">
        <v>42648</v>
      </c>
      <c r="BD8850">
        <v>0</v>
      </c>
      <c r="BN8850" t="s">
        <v>74</v>
      </c>
    </row>
    <row r="8851" spans="1:66">
      <c r="A8851">
        <v>106488</v>
      </c>
      <c r="B8851" s="3" t="s">
        <v>780</v>
      </c>
      <c r="C8851" s="1">
        <v>43300101</v>
      </c>
      <c r="D8851" t="s">
        <v>67</v>
      </c>
      <c r="H8851" t="str">
        <f>""</f>
        <v/>
      </c>
      <c r="I8851" t="str">
        <f>""</f>
        <v/>
      </c>
      <c r="J8851" t="s">
        <v>417</v>
      </c>
      <c r="K8851" t="str">
        <f t="shared" si="919"/>
        <v>90490932449</v>
      </c>
      <c r="M8851" t="s">
        <v>68</v>
      </c>
      <c r="N8851" t="str">
        <f t="shared" si="920"/>
        <v>FOR</v>
      </c>
      <c r="O8851" t="s">
        <v>69</v>
      </c>
      <c r="P8851" s="3" t="s">
        <v>418</v>
      </c>
      <c r="Q8851">
        <v>2016</v>
      </c>
      <c r="R8851" s="2">
        <v>42643</v>
      </c>
      <c r="S8851" s="2">
        <v>42660</v>
      </c>
      <c r="T8851" s="2">
        <v>42660</v>
      </c>
      <c r="U8851" s="2">
        <v>42720</v>
      </c>
      <c r="V8851" t="s">
        <v>71</v>
      </c>
      <c r="W8851" t="str">
        <f>"            56062444"</f>
        <v xml:space="preserve">            56062444</v>
      </c>
      <c r="X8851" s="1">
        <v>1092</v>
      </c>
      <c r="Y8851">
        <v>-42</v>
      </c>
      <c r="Z8851" s="5">
        <v>1050</v>
      </c>
      <c r="AA8851">
        <v>-42</v>
      </c>
      <c r="AB8851" s="5">
        <v>-44100</v>
      </c>
      <c r="AC8851" s="1">
        <v>1050</v>
      </c>
      <c r="AD8851">
        <v>-42</v>
      </c>
      <c r="AE8851" s="1">
        <v>-44100</v>
      </c>
      <c r="AF8851">
        <v>0</v>
      </c>
      <c r="AJ8851">
        <v>0</v>
      </c>
      <c r="AK8851" s="1">
        <v>1050</v>
      </c>
      <c r="AL8851">
        <v>0</v>
      </c>
      <c r="AM8851" s="1">
        <v>1050</v>
      </c>
      <c r="AN8851" s="1">
        <v>1050</v>
      </c>
      <c r="AO8851" s="1">
        <v>1050</v>
      </c>
      <c r="AP8851" s="2">
        <v>42746</v>
      </c>
      <c r="AQ8851" t="s">
        <v>72</v>
      </c>
      <c r="AR8851" t="s">
        <v>72</v>
      </c>
      <c r="AS8851">
        <v>2933</v>
      </c>
      <c r="AT8851" s="4">
        <v>42678</v>
      </c>
      <c r="AV8851">
        <v>2933</v>
      </c>
      <c r="AW8851" s="4">
        <v>42678</v>
      </c>
      <c r="BD8851">
        <v>0</v>
      </c>
      <c r="BN8851" t="s">
        <v>74</v>
      </c>
    </row>
    <row r="8852" spans="1:66">
      <c r="A8852">
        <v>106488</v>
      </c>
      <c r="B8852" s="3" t="s">
        <v>780</v>
      </c>
      <c r="C8852" s="1">
        <v>43300101</v>
      </c>
      <c r="D8852" t="s">
        <v>67</v>
      </c>
      <c r="H8852" t="str">
        <f>""</f>
        <v/>
      </c>
      <c r="I8852" t="str">
        <f>""</f>
        <v/>
      </c>
      <c r="J8852" t="s">
        <v>417</v>
      </c>
      <c r="K8852" t="str">
        <f t="shared" si="919"/>
        <v>90490932449</v>
      </c>
      <c r="M8852" t="s">
        <v>68</v>
      </c>
      <c r="N8852" t="str">
        <f t="shared" si="920"/>
        <v>FOR</v>
      </c>
      <c r="O8852" t="s">
        <v>69</v>
      </c>
      <c r="P8852" s="3" t="s">
        <v>418</v>
      </c>
      <c r="Q8852">
        <v>2016</v>
      </c>
      <c r="R8852" s="2">
        <v>42643</v>
      </c>
      <c r="S8852" s="2">
        <v>42656</v>
      </c>
      <c r="T8852" s="2">
        <v>42656</v>
      </c>
      <c r="U8852" s="2">
        <v>42716</v>
      </c>
      <c r="V8852" t="s">
        <v>71</v>
      </c>
      <c r="W8852" t="str">
        <f>"            56062445"</f>
        <v xml:space="preserve">            56062445</v>
      </c>
      <c r="X8852" s="1">
        <v>1092</v>
      </c>
      <c r="Y8852">
        <v>-42</v>
      </c>
      <c r="Z8852" s="5">
        <v>1050</v>
      </c>
      <c r="AA8852">
        <v>-38</v>
      </c>
      <c r="AB8852" s="5">
        <v>-39900</v>
      </c>
      <c r="AC8852" s="1">
        <v>1050</v>
      </c>
      <c r="AD8852">
        <v>-38</v>
      </c>
      <c r="AE8852" s="1">
        <v>-39900</v>
      </c>
      <c r="AF8852">
        <v>0</v>
      </c>
      <c r="AJ8852">
        <v>0</v>
      </c>
      <c r="AK8852" s="1">
        <v>1050</v>
      </c>
      <c r="AL8852">
        <v>0</v>
      </c>
      <c r="AM8852" s="1">
        <v>1050</v>
      </c>
      <c r="AN8852" s="1">
        <v>1050</v>
      </c>
      <c r="AO8852" s="1">
        <v>1050</v>
      </c>
      <c r="AP8852" s="2">
        <v>42746</v>
      </c>
      <c r="AQ8852" t="s">
        <v>72</v>
      </c>
      <c r="AR8852" t="s">
        <v>72</v>
      </c>
      <c r="AS8852">
        <v>2933</v>
      </c>
      <c r="AT8852" s="4">
        <v>42678</v>
      </c>
      <c r="AV8852">
        <v>2933</v>
      </c>
      <c r="AW8852" s="4">
        <v>42678</v>
      </c>
      <c r="BD8852">
        <v>0</v>
      </c>
      <c r="BN8852" t="s">
        <v>74</v>
      </c>
    </row>
    <row r="8853" spans="1:66">
      <c r="A8853">
        <v>106488</v>
      </c>
      <c r="B8853" s="3" t="s">
        <v>780</v>
      </c>
      <c r="C8853" s="1">
        <v>43300101</v>
      </c>
      <c r="D8853" t="s">
        <v>67</v>
      </c>
      <c r="H8853" t="str">
        <f>""</f>
        <v/>
      </c>
      <c r="I8853" t="str">
        <f>""</f>
        <v/>
      </c>
      <c r="J8853" t="s">
        <v>417</v>
      </c>
      <c r="K8853" t="str">
        <f t="shared" si="919"/>
        <v>90490932449</v>
      </c>
      <c r="M8853" t="s">
        <v>68</v>
      </c>
      <c r="N8853" t="str">
        <f t="shared" si="920"/>
        <v>FOR</v>
      </c>
      <c r="O8853" t="s">
        <v>69</v>
      </c>
      <c r="P8853" s="3" t="s">
        <v>418</v>
      </c>
      <c r="Q8853">
        <v>2016</v>
      </c>
      <c r="R8853" s="2">
        <v>42643</v>
      </c>
      <c r="S8853" s="2">
        <v>42656</v>
      </c>
      <c r="T8853" s="2">
        <v>42656</v>
      </c>
      <c r="U8853" s="2">
        <v>42716</v>
      </c>
      <c r="V8853" t="s">
        <v>71</v>
      </c>
      <c r="W8853" t="str">
        <f>"            56062446"</f>
        <v xml:space="preserve">            56062446</v>
      </c>
      <c r="X8853" s="1">
        <v>1092</v>
      </c>
      <c r="Y8853">
        <v>-42</v>
      </c>
      <c r="Z8853" s="5">
        <v>1050</v>
      </c>
      <c r="AA8853">
        <v>-38</v>
      </c>
      <c r="AB8853" s="5">
        <v>-39900</v>
      </c>
      <c r="AC8853" s="1">
        <v>1050</v>
      </c>
      <c r="AD8853">
        <v>-38</v>
      </c>
      <c r="AE8853" s="1">
        <v>-39900</v>
      </c>
      <c r="AF8853">
        <v>0</v>
      </c>
      <c r="AJ8853">
        <v>0</v>
      </c>
      <c r="AK8853" s="1">
        <v>1050</v>
      </c>
      <c r="AL8853">
        <v>0</v>
      </c>
      <c r="AM8853" s="1">
        <v>1050</v>
      </c>
      <c r="AN8853" s="1">
        <v>1050</v>
      </c>
      <c r="AO8853" s="1">
        <v>1050</v>
      </c>
      <c r="AP8853" s="2">
        <v>42746</v>
      </c>
      <c r="AQ8853" t="s">
        <v>72</v>
      </c>
      <c r="AR8853" t="s">
        <v>72</v>
      </c>
      <c r="AS8853">
        <v>2933</v>
      </c>
      <c r="AT8853" s="4">
        <v>42678</v>
      </c>
      <c r="AV8853">
        <v>2933</v>
      </c>
      <c r="AW8853" s="4">
        <v>42678</v>
      </c>
      <c r="BD8853">
        <v>0</v>
      </c>
      <c r="BN8853" t="s">
        <v>74</v>
      </c>
    </row>
    <row r="8854" spans="1:66">
      <c r="A8854">
        <v>106488</v>
      </c>
      <c r="B8854" s="3" t="s">
        <v>780</v>
      </c>
      <c r="C8854" s="1">
        <v>43300101</v>
      </c>
      <c r="D8854" t="s">
        <v>67</v>
      </c>
      <c r="H8854" t="str">
        <f>""</f>
        <v/>
      </c>
      <c r="I8854" t="str">
        <f>""</f>
        <v/>
      </c>
      <c r="J8854" t="s">
        <v>417</v>
      </c>
      <c r="K8854" t="str">
        <f t="shared" si="919"/>
        <v>90490932449</v>
      </c>
      <c r="M8854" t="s">
        <v>68</v>
      </c>
      <c r="N8854" t="str">
        <f t="shared" si="920"/>
        <v>FOR</v>
      </c>
      <c r="O8854" t="s">
        <v>69</v>
      </c>
      <c r="P8854" s="3" t="s">
        <v>418</v>
      </c>
      <c r="Q8854">
        <v>2016</v>
      </c>
      <c r="R8854" s="2">
        <v>42643</v>
      </c>
      <c r="S8854" s="2">
        <v>42656</v>
      </c>
      <c r="T8854" s="2">
        <v>42656</v>
      </c>
      <c r="U8854" s="2">
        <v>42716</v>
      </c>
      <c r="V8854" t="s">
        <v>71</v>
      </c>
      <c r="W8854" t="str">
        <f>"            56062447"</f>
        <v xml:space="preserve">            56062447</v>
      </c>
      <c r="X8854" s="1">
        <v>1092</v>
      </c>
      <c r="Y8854">
        <v>-42</v>
      </c>
      <c r="Z8854" s="5">
        <v>1050</v>
      </c>
      <c r="AA8854">
        <v>-38</v>
      </c>
      <c r="AB8854" s="5">
        <v>-39900</v>
      </c>
      <c r="AC8854" s="1">
        <v>1050</v>
      </c>
      <c r="AD8854">
        <v>-38</v>
      </c>
      <c r="AE8854" s="1">
        <v>-39900</v>
      </c>
      <c r="AF8854">
        <v>0</v>
      </c>
      <c r="AJ8854">
        <v>0</v>
      </c>
      <c r="AK8854" s="1">
        <v>1050</v>
      </c>
      <c r="AL8854">
        <v>0</v>
      </c>
      <c r="AM8854" s="1">
        <v>1050</v>
      </c>
      <c r="AN8854" s="1">
        <v>1050</v>
      </c>
      <c r="AO8854" s="1">
        <v>1050</v>
      </c>
      <c r="AP8854" s="2">
        <v>42746</v>
      </c>
      <c r="AQ8854" t="s">
        <v>72</v>
      </c>
      <c r="AR8854" t="s">
        <v>72</v>
      </c>
      <c r="AS8854">
        <v>2933</v>
      </c>
      <c r="AT8854" s="4">
        <v>42678</v>
      </c>
      <c r="AV8854">
        <v>2933</v>
      </c>
      <c r="AW8854" s="4">
        <v>42678</v>
      </c>
      <c r="BD8854">
        <v>0</v>
      </c>
      <c r="BN8854" t="s">
        <v>74</v>
      </c>
    </row>
    <row r="8855" spans="1:66">
      <c r="A8855">
        <v>106488</v>
      </c>
      <c r="B8855" s="3" t="s">
        <v>780</v>
      </c>
      <c r="C8855" s="1">
        <v>43300101</v>
      </c>
      <c r="D8855" t="s">
        <v>67</v>
      </c>
      <c r="H8855" t="str">
        <f>""</f>
        <v/>
      </c>
      <c r="I8855" t="str">
        <f>""</f>
        <v/>
      </c>
      <c r="J8855" t="s">
        <v>417</v>
      </c>
      <c r="K8855" t="str">
        <f t="shared" si="919"/>
        <v>90490932449</v>
      </c>
      <c r="M8855" t="s">
        <v>68</v>
      </c>
      <c r="N8855" t="str">
        <f t="shared" si="920"/>
        <v>FOR</v>
      </c>
      <c r="O8855" t="s">
        <v>69</v>
      </c>
      <c r="P8855" s="3" t="s">
        <v>418</v>
      </c>
      <c r="Q8855">
        <v>2016</v>
      </c>
      <c r="R8855" s="2">
        <v>42643</v>
      </c>
      <c r="S8855" s="2">
        <v>42656</v>
      </c>
      <c r="T8855" s="2">
        <v>42656</v>
      </c>
      <c r="U8855" s="2">
        <v>42716</v>
      </c>
      <c r="V8855" t="s">
        <v>71</v>
      </c>
      <c r="W8855" t="str">
        <f>"            56062448"</f>
        <v xml:space="preserve">            56062448</v>
      </c>
      <c r="X8855" s="1">
        <v>1092</v>
      </c>
      <c r="Y8855">
        <v>-42</v>
      </c>
      <c r="Z8855" s="5">
        <v>1050</v>
      </c>
      <c r="AA8855">
        <v>-38</v>
      </c>
      <c r="AB8855" s="5">
        <v>-39900</v>
      </c>
      <c r="AC8855" s="1">
        <v>1050</v>
      </c>
      <c r="AD8855">
        <v>-38</v>
      </c>
      <c r="AE8855" s="1">
        <v>-39900</v>
      </c>
      <c r="AF8855">
        <v>0</v>
      </c>
      <c r="AJ8855">
        <v>0</v>
      </c>
      <c r="AK8855" s="1">
        <v>1050</v>
      </c>
      <c r="AL8855">
        <v>0</v>
      </c>
      <c r="AM8855" s="1">
        <v>1050</v>
      </c>
      <c r="AN8855" s="1">
        <v>1050</v>
      </c>
      <c r="AO8855" s="1">
        <v>1050</v>
      </c>
      <c r="AP8855" s="2">
        <v>42746</v>
      </c>
      <c r="AQ8855" t="s">
        <v>72</v>
      </c>
      <c r="AR8855" t="s">
        <v>72</v>
      </c>
      <c r="AS8855">
        <v>2933</v>
      </c>
      <c r="AT8855" s="4">
        <v>42678</v>
      </c>
      <c r="AV8855">
        <v>2933</v>
      </c>
      <c r="AW8855" s="4">
        <v>42678</v>
      </c>
      <c r="BD8855">
        <v>0</v>
      </c>
      <c r="BN8855" t="s">
        <v>74</v>
      </c>
    </row>
    <row r="8856" spans="1:66" hidden="1">
      <c r="A8856">
        <v>106489</v>
      </c>
      <c r="B8856" s="3" t="s">
        <v>782</v>
      </c>
      <c r="C8856" s="1">
        <v>43300101</v>
      </c>
      <c r="D8856" t="s">
        <v>67</v>
      </c>
      <c r="H8856" t="str">
        <f t="shared" ref="H8856:I8865" si="921">"08592930963"</f>
        <v>08592930963</v>
      </c>
      <c r="I8856" t="str">
        <f t="shared" si="921"/>
        <v>08592930963</v>
      </c>
      <c r="K8856" t="str">
        <f>""</f>
        <v/>
      </c>
      <c r="M8856" t="s">
        <v>68</v>
      </c>
      <c r="N8856" t="str">
        <f t="shared" si="920"/>
        <v>FOR</v>
      </c>
      <c r="O8856" t="s">
        <v>69</v>
      </c>
      <c r="P8856" s="3" t="s">
        <v>70</v>
      </c>
      <c r="Q8856">
        <v>2014</v>
      </c>
      <c r="R8856" s="2">
        <v>41992</v>
      </c>
      <c r="S8856" s="2">
        <v>42066</v>
      </c>
      <c r="T8856" s="2">
        <v>42066</v>
      </c>
      <c r="U8856" s="2">
        <v>42126</v>
      </c>
      <c r="V8856" t="s">
        <v>71</v>
      </c>
      <c r="W8856" t="str">
        <f>"            14811539"</f>
        <v xml:space="preserve">            14811539</v>
      </c>
      <c r="X8856" s="1">
        <v>8539.99</v>
      </c>
      <c r="Y8856">
        <v>0</v>
      </c>
      <c r="Z8856"/>
      <c r="AB8856"/>
      <c r="AC8856" s="1">
        <v>8539.99</v>
      </c>
      <c r="AD8856">
        <v>403</v>
      </c>
      <c r="AE8856" s="1">
        <v>3441615.97</v>
      </c>
      <c r="AF8856">
        <v>0</v>
      </c>
      <c r="AJ8856">
        <v>0</v>
      </c>
      <c r="AK8856">
        <v>0</v>
      </c>
      <c r="AL8856">
        <v>0</v>
      </c>
      <c r="AM8856">
        <v>0</v>
      </c>
      <c r="AN8856">
        <v>0</v>
      </c>
      <c r="AO8856">
        <v>0</v>
      </c>
      <c r="AP8856" s="2">
        <v>42746</v>
      </c>
      <c r="AQ8856" t="s">
        <v>72</v>
      </c>
      <c r="AR8856" t="s">
        <v>72</v>
      </c>
      <c r="AS8856">
        <v>1587</v>
      </c>
      <c r="AT8856" s="4">
        <v>42529</v>
      </c>
      <c r="AU8856" t="s">
        <v>73</v>
      </c>
      <c r="AV8856">
        <v>1587</v>
      </c>
      <c r="AW8856" s="4">
        <v>42529</v>
      </c>
      <c r="BD8856">
        <v>0</v>
      </c>
      <c r="BN8856" t="s">
        <v>74</v>
      </c>
    </row>
    <row r="8857" spans="1:66" hidden="1">
      <c r="A8857">
        <v>106489</v>
      </c>
      <c r="B8857" s="3" t="s">
        <v>782</v>
      </c>
      <c r="C8857" s="1">
        <v>43300101</v>
      </c>
      <c r="D8857" t="s">
        <v>67</v>
      </c>
      <c r="H8857" t="str">
        <f t="shared" si="921"/>
        <v>08592930963</v>
      </c>
      <c r="I8857" t="str">
        <f t="shared" si="921"/>
        <v>08592930963</v>
      </c>
      <c r="K8857" t="str">
        <f>""</f>
        <v/>
      </c>
      <c r="M8857" t="s">
        <v>68</v>
      </c>
      <c r="N8857" t="str">
        <f t="shared" si="920"/>
        <v>FOR</v>
      </c>
      <c r="O8857" t="s">
        <v>69</v>
      </c>
      <c r="P8857" s="3" t="s">
        <v>70</v>
      </c>
      <c r="Q8857">
        <v>2015</v>
      </c>
      <c r="R8857" s="2">
        <v>42081</v>
      </c>
      <c r="S8857" s="2">
        <v>42097</v>
      </c>
      <c r="T8857" s="2">
        <v>42097</v>
      </c>
      <c r="U8857" s="2">
        <v>42157</v>
      </c>
      <c r="V8857" t="s">
        <v>71</v>
      </c>
      <c r="W8857" t="str">
        <f>"            15705091"</f>
        <v xml:space="preserve">            15705091</v>
      </c>
      <c r="X8857" s="1">
        <v>11577.8</v>
      </c>
      <c r="Y8857">
        <v>0</v>
      </c>
      <c r="Z8857"/>
      <c r="AB8857"/>
      <c r="AC8857" s="1">
        <v>9490</v>
      </c>
      <c r="AD8857">
        <v>258</v>
      </c>
      <c r="AE8857" s="1">
        <v>2448420</v>
      </c>
      <c r="AF8857">
        <v>0</v>
      </c>
      <c r="AJ8857">
        <v>0</v>
      </c>
      <c r="AK8857">
        <v>0</v>
      </c>
      <c r="AL8857">
        <v>0</v>
      </c>
      <c r="AM8857">
        <v>0</v>
      </c>
      <c r="AN8857">
        <v>0</v>
      </c>
      <c r="AO8857">
        <v>0</v>
      </c>
      <c r="AP8857" s="2">
        <v>42746</v>
      </c>
      <c r="AQ8857" t="s">
        <v>72</v>
      </c>
      <c r="AR8857" t="s">
        <v>72</v>
      </c>
      <c r="AS8857">
        <v>349</v>
      </c>
      <c r="AT8857" s="4">
        <v>42415</v>
      </c>
      <c r="AU8857" t="s">
        <v>73</v>
      </c>
      <c r="AV8857">
        <v>349</v>
      </c>
      <c r="AW8857" s="4">
        <v>42415</v>
      </c>
      <c r="BD8857">
        <v>0</v>
      </c>
      <c r="BN8857" t="s">
        <v>74</v>
      </c>
    </row>
    <row r="8858" spans="1:66" hidden="1">
      <c r="A8858">
        <v>106489</v>
      </c>
      <c r="B8858" s="3" t="s">
        <v>782</v>
      </c>
      <c r="C8858" s="1">
        <v>43300101</v>
      </c>
      <c r="D8858" t="s">
        <v>67</v>
      </c>
      <c r="H8858" t="str">
        <f t="shared" si="921"/>
        <v>08592930963</v>
      </c>
      <c r="I8858" t="str">
        <f t="shared" si="921"/>
        <v>08592930963</v>
      </c>
      <c r="K8858" t="str">
        <f>""</f>
        <v/>
      </c>
      <c r="M8858" t="s">
        <v>68</v>
      </c>
      <c r="N8858" t="str">
        <f t="shared" si="920"/>
        <v>FOR</v>
      </c>
      <c r="O8858" t="s">
        <v>69</v>
      </c>
      <c r="P8858" s="3" t="s">
        <v>70</v>
      </c>
      <c r="Q8858">
        <v>2015</v>
      </c>
      <c r="R8858" s="2">
        <v>42082</v>
      </c>
      <c r="S8858" s="2">
        <v>42097</v>
      </c>
      <c r="T8858" s="2">
        <v>42097</v>
      </c>
      <c r="U8858" s="2">
        <v>42157</v>
      </c>
      <c r="V8858" t="s">
        <v>71</v>
      </c>
      <c r="W8858" t="str">
        <f>"            15705475"</f>
        <v xml:space="preserve">            15705475</v>
      </c>
      <c r="X8858" s="1">
        <v>8539.99</v>
      </c>
      <c r="Y8858">
        <v>0</v>
      </c>
      <c r="Z8858"/>
      <c r="AB8858"/>
      <c r="AC8858" s="1">
        <v>6999.99</v>
      </c>
      <c r="AD8858">
        <v>372</v>
      </c>
      <c r="AE8858" s="1">
        <v>2603996.2799999998</v>
      </c>
      <c r="AF8858">
        <v>0</v>
      </c>
      <c r="AJ8858">
        <v>0</v>
      </c>
      <c r="AK8858">
        <v>0</v>
      </c>
      <c r="AL8858">
        <v>0</v>
      </c>
      <c r="AM8858">
        <v>0</v>
      </c>
      <c r="AN8858">
        <v>0</v>
      </c>
      <c r="AO8858">
        <v>0</v>
      </c>
      <c r="AP8858" s="2">
        <v>42746</v>
      </c>
      <c r="AQ8858" t="s">
        <v>72</v>
      </c>
      <c r="AR8858" t="s">
        <v>72</v>
      </c>
      <c r="AS8858">
        <v>1587</v>
      </c>
      <c r="AT8858" s="4">
        <v>42529</v>
      </c>
      <c r="AU8858" t="s">
        <v>73</v>
      </c>
      <c r="AV8858">
        <v>1587</v>
      </c>
      <c r="AW8858" s="4">
        <v>42529</v>
      </c>
      <c r="BD8858">
        <v>0</v>
      </c>
      <c r="BN8858" t="s">
        <v>74</v>
      </c>
    </row>
    <row r="8859" spans="1:66" hidden="1">
      <c r="A8859">
        <v>106489</v>
      </c>
      <c r="B8859" s="3" t="s">
        <v>782</v>
      </c>
      <c r="C8859" s="1">
        <v>43300101</v>
      </c>
      <c r="D8859" t="s">
        <v>67</v>
      </c>
      <c r="H8859" t="str">
        <f t="shared" si="921"/>
        <v>08592930963</v>
      </c>
      <c r="I8859" t="str">
        <f t="shared" si="921"/>
        <v>08592930963</v>
      </c>
      <c r="K8859" t="str">
        <f>""</f>
        <v/>
      </c>
      <c r="M8859" t="s">
        <v>68</v>
      </c>
      <c r="N8859" t="str">
        <f t="shared" si="920"/>
        <v>FOR</v>
      </c>
      <c r="O8859" t="s">
        <v>69</v>
      </c>
      <c r="P8859" s="3" t="s">
        <v>75</v>
      </c>
      <c r="Q8859">
        <v>2015</v>
      </c>
      <c r="R8859" s="2">
        <v>42145</v>
      </c>
      <c r="S8859" s="2">
        <v>42263</v>
      </c>
      <c r="T8859" s="2">
        <v>42262</v>
      </c>
      <c r="U8859" s="2">
        <v>42322</v>
      </c>
      <c r="V8859" t="s">
        <v>71</v>
      </c>
      <c r="W8859" t="str">
        <f>"            15709959"</f>
        <v xml:space="preserve">            15709959</v>
      </c>
      <c r="X8859" s="1">
        <v>15861.22</v>
      </c>
      <c r="Y8859">
        <v>0</v>
      </c>
      <c r="Z8859"/>
      <c r="AB8859"/>
      <c r="AC8859" s="1">
        <v>13001</v>
      </c>
      <c r="AD8859">
        <v>130</v>
      </c>
      <c r="AE8859" s="1">
        <v>1690130</v>
      </c>
      <c r="AF8859">
        <v>0</v>
      </c>
      <c r="AJ8859">
        <v>0</v>
      </c>
      <c r="AK8859">
        <v>0</v>
      </c>
      <c r="AL8859">
        <v>0</v>
      </c>
      <c r="AM8859">
        <v>0</v>
      </c>
      <c r="AN8859">
        <v>0</v>
      </c>
      <c r="AO8859">
        <v>0</v>
      </c>
      <c r="AP8859" s="2">
        <v>42746</v>
      </c>
      <c r="AQ8859" t="s">
        <v>72</v>
      </c>
      <c r="AR8859" t="s">
        <v>72</v>
      </c>
      <c r="AS8859">
        <v>816</v>
      </c>
      <c r="AT8859" s="4">
        <v>42452</v>
      </c>
      <c r="AU8859" t="s">
        <v>73</v>
      </c>
      <c r="AV8859">
        <v>816</v>
      </c>
      <c r="AW8859" s="4">
        <v>42452</v>
      </c>
      <c r="BD8859">
        <v>0</v>
      </c>
      <c r="BN8859" t="s">
        <v>74</v>
      </c>
    </row>
    <row r="8860" spans="1:66" hidden="1">
      <c r="A8860">
        <v>106489</v>
      </c>
      <c r="B8860" s="3" t="s">
        <v>782</v>
      </c>
      <c r="C8860" s="1">
        <v>43300101</v>
      </c>
      <c r="D8860" t="s">
        <v>67</v>
      </c>
      <c r="H8860" t="str">
        <f t="shared" si="921"/>
        <v>08592930963</v>
      </c>
      <c r="I8860" t="str">
        <f t="shared" si="921"/>
        <v>08592930963</v>
      </c>
      <c r="K8860" t="str">
        <f>""</f>
        <v/>
      </c>
      <c r="M8860" t="s">
        <v>68</v>
      </c>
      <c r="N8860" t="str">
        <f t="shared" si="920"/>
        <v>FOR</v>
      </c>
      <c r="O8860" t="s">
        <v>69</v>
      </c>
      <c r="P8860" s="3" t="s">
        <v>75</v>
      </c>
      <c r="Q8860">
        <v>2015</v>
      </c>
      <c r="R8860" s="2">
        <v>42159</v>
      </c>
      <c r="S8860" s="2">
        <v>42263</v>
      </c>
      <c r="T8860" s="2">
        <v>42263</v>
      </c>
      <c r="U8860" s="2">
        <v>42323</v>
      </c>
      <c r="V8860" t="s">
        <v>71</v>
      </c>
      <c r="W8860" t="str">
        <f>"            15710541"</f>
        <v xml:space="preserve">            15710541</v>
      </c>
      <c r="X8860" s="1">
        <v>1681.16</v>
      </c>
      <c r="Y8860">
        <v>0</v>
      </c>
      <c r="Z8860"/>
      <c r="AB8860"/>
      <c r="AC8860" s="1">
        <v>1378</v>
      </c>
      <c r="AD8860">
        <v>164</v>
      </c>
      <c r="AE8860" s="1">
        <v>225992</v>
      </c>
      <c r="AF8860">
        <v>0</v>
      </c>
      <c r="AJ8860">
        <v>0</v>
      </c>
      <c r="AK8860">
        <v>0</v>
      </c>
      <c r="AL8860">
        <v>0</v>
      </c>
      <c r="AM8860">
        <v>0</v>
      </c>
      <c r="AN8860">
        <v>0</v>
      </c>
      <c r="AO8860">
        <v>0</v>
      </c>
      <c r="AP8860" s="2">
        <v>42746</v>
      </c>
      <c r="AQ8860" t="s">
        <v>72</v>
      </c>
      <c r="AR8860" t="s">
        <v>72</v>
      </c>
      <c r="AS8860">
        <v>1212</v>
      </c>
      <c r="AT8860" s="4">
        <v>42487</v>
      </c>
      <c r="AU8860" t="s">
        <v>73</v>
      </c>
      <c r="AV8860">
        <v>1212</v>
      </c>
      <c r="AW8860" s="4">
        <v>42487</v>
      </c>
      <c r="BD8860">
        <v>0</v>
      </c>
      <c r="BN8860" t="s">
        <v>74</v>
      </c>
    </row>
    <row r="8861" spans="1:66" hidden="1">
      <c r="A8861">
        <v>106489</v>
      </c>
      <c r="B8861" s="3" t="s">
        <v>782</v>
      </c>
      <c r="C8861" s="1">
        <v>43300101</v>
      </c>
      <c r="D8861" t="s">
        <v>67</v>
      </c>
      <c r="H8861" t="str">
        <f t="shared" si="921"/>
        <v>08592930963</v>
      </c>
      <c r="I8861" t="str">
        <f t="shared" si="921"/>
        <v>08592930963</v>
      </c>
      <c r="K8861" t="str">
        <f>""</f>
        <v/>
      </c>
      <c r="M8861" t="s">
        <v>68</v>
      </c>
      <c r="N8861" t="str">
        <f t="shared" si="920"/>
        <v>FOR</v>
      </c>
      <c r="O8861" t="s">
        <v>69</v>
      </c>
      <c r="P8861" s="3" t="s">
        <v>75</v>
      </c>
      <c r="Q8861">
        <v>2015</v>
      </c>
      <c r="R8861" s="2">
        <v>42174</v>
      </c>
      <c r="S8861" s="2">
        <v>42198</v>
      </c>
      <c r="T8861" s="2">
        <v>42194</v>
      </c>
      <c r="U8861" s="2">
        <v>42254</v>
      </c>
      <c r="V8861" t="s">
        <v>71</v>
      </c>
      <c r="W8861" t="str">
        <f>"            15711746"</f>
        <v xml:space="preserve">            15711746</v>
      </c>
      <c r="X8861" s="1">
        <v>8539.99</v>
      </c>
      <c r="Y8861">
        <v>0</v>
      </c>
      <c r="Z8861"/>
      <c r="AB8861"/>
      <c r="AC8861" s="1">
        <v>6999.99</v>
      </c>
      <c r="AD8861">
        <v>275</v>
      </c>
      <c r="AE8861" s="1">
        <v>1924997.25</v>
      </c>
      <c r="AF8861">
        <v>0</v>
      </c>
      <c r="AJ8861">
        <v>0</v>
      </c>
      <c r="AK8861">
        <v>0</v>
      </c>
      <c r="AL8861">
        <v>0</v>
      </c>
      <c r="AM8861">
        <v>0</v>
      </c>
      <c r="AN8861">
        <v>0</v>
      </c>
      <c r="AO8861">
        <v>0</v>
      </c>
      <c r="AP8861" s="2">
        <v>42746</v>
      </c>
      <c r="AQ8861" t="s">
        <v>72</v>
      </c>
      <c r="AR8861" t="s">
        <v>72</v>
      </c>
      <c r="AS8861">
        <v>1587</v>
      </c>
      <c r="AT8861" s="4">
        <v>42529</v>
      </c>
      <c r="AU8861" t="s">
        <v>73</v>
      </c>
      <c r="AV8861">
        <v>1587</v>
      </c>
      <c r="AW8861" s="4">
        <v>42529</v>
      </c>
      <c r="BD8861">
        <v>0</v>
      </c>
      <c r="BN8861" t="s">
        <v>74</v>
      </c>
    </row>
    <row r="8862" spans="1:66" hidden="1">
      <c r="A8862">
        <v>106489</v>
      </c>
      <c r="B8862" s="3" t="s">
        <v>782</v>
      </c>
      <c r="C8862" s="1">
        <v>43300101</v>
      </c>
      <c r="D8862" t="s">
        <v>67</v>
      </c>
      <c r="H8862" t="str">
        <f t="shared" si="921"/>
        <v>08592930963</v>
      </c>
      <c r="I8862" t="str">
        <f t="shared" si="921"/>
        <v>08592930963</v>
      </c>
      <c r="K8862" t="str">
        <f>""</f>
        <v/>
      </c>
      <c r="M8862" t="s">
        <v>68</v>
      </c>
      <c r="N8862" t="str">
        <f t="shared" si="920"/>
        <v>FOR</v>
      </c>
      <c r="O8862" t="s">
        <v>69</v>
      </c>
      <c r="P8862" s="3" t="s">
        <v>75</v>
      </c>
      <c r="Q8862">
        <v>2015</v>
      </c>
      <c r="R8862" s="2">
        <v>42200</v>
      </c>
      <c r="S8862" s="2">
        <v>42205</v>
      </c>
      <c r="T8862" s="2">
        <v>42202</v>
      </c>
      <c r="U8862" s="2">
        <v>42262</v>
      </c>
      <c r="V8862" t="s">
        <v>71</v>
      </c>
      <c r="W8862" t="str">
        <f>"            15713667"</f>
        <v xml:space="preserve">            15713667</v>
      </c>
      <c r="X8862" s="1">
        <v>39538.15</v>
      </c>
      <c r="Y8862">
        <v>0</v>
      </c>
      <c r="Z8862"/>
      <c r="AB8862"/>
      <c r="AC8862" s="1">
        <v>32408.32</v>
      </c>
      <c r="AD8862">
        <v>315</v>
      </c>
      <c r="AE8862" s="1">
        <v>10208620.800000001</v>
      </c>
      <c r="AF8862">
        <v>0</v>
      </c>
      <c r="AJ8862">
        <v>0</v>
      </c>
      <c r="AK8862">
        <v>0</v>
      </c>
      <c r="AL8862">
        <v>0</v>
      </c>
      <c r="AM8862">
        <v>0</v>
      </c>
      <c r="AN8862">
        <v>0</v>
      </c>
      <c r="AO8862">
        <v>0</v>
      </c>
      <c r="AP8862" s="2">
        <v>42746</v>
      </c>
      <c r="AQ8862" t="s">
        <v>72</v>
      </c>
      <c r="AR8862" t="s">
        <v>72</v>
      </c>
      <c r="AS8862">
        <v>1943</v>
      </c>
      <c r="AT8862" s="4">
        <v>42577</v>
      </c>
      <c r="AU8862" t="s">
        <v>73</v>
      </c>
      <c r="AV8862">
        <v>1943</v>
      </c>
      <c r="AW8862" s="4">
        <v>42577</v>
      </c>
      <c r="BD8862">
        <v>0</v>
      </c>
      <c r="BN8862" t="s">
        <v>74</v>
      </c>
    </row>
    <row r="8863" spans="1:66" hidden="1">
      <c r="A8863">
        <v>106489</v>
      </c>
      <c r="B8863" s="3" t="s">
        <v>782</v>
      </c>
      <c r="C8863" s="1">
        <v>43300101</v>
      </c>
      <c r="D8863" t="s">
        <v>67</v>
      </c>
      <c r="H8863" t="str">
        <f t="shared" si="921"/>
        <v>08592930963</v>
      </c>
      <c r="I8863" t="str">
        <f t="shared" si="921"/>
        <v>08592930963</v>
      </c>
      <c r="K8863" t="str">
        <f>""</f>
        <v/>
      </c>
      <c r="M8863" t="s">
        <v>68</v>
      </c>
      <c r="N8863" t="str">
        <f t="shared" si="920"/>
        <v>FOR</v>
      </c>
      <c r="O8863" t="s">
        <v>69</v>
      </c>
      <c r="P8863" s="3" t="s">
        <v>75</v>
      </c>
      <c r="Q8863">
        <v>2015</v>
      </c>
      <c r="R8863" s="2">
        <v>42268</v>
      </c>
      <c r="S8863" s="2">
        <v>42283</v>
      </c>
      <c r="T8863" s="2">
        <v>42282</v>
      </c>
      <c r="U8863" s="2">
        <v>42342</v>
      </c>
      <c r="V8863" t="s">
        <v>71</v>
      </c>
      <c r="W8863" t="str">
        <f>"            15717405"</f>
        <v xml:space="preserve">            15717405</v>
      </c>
      <c r="X8863" s="1">
        <v>8539.99</v>
      </c>
      <c r="Y8863">
        <v>0</v>
      </c>
      <c r="Z8863"/>
      <c r="AB8863"/>
      <c r="AC8863" s="1">
        <v>6999.99</v>
      </c>
      <c r="AD8863">
        <v>278</v>
      </c>
      <c r="AE8863" s="1">
        <v>1945997.22</v>
      </c>
      <c r="AF8863">
        <v>0</v>
      </c>
      <c r="AJ8863">
        <v>0</v>
      </c>
      <c r="AK8863">
        <v>0</v>
      </c>
      <c r="AL8863">
        <v>0</v>
      </c>
      <c r="AM8863">
        <v>0</v>
      </c>
      <c r="AN8863">
        <v>0</v>
      </c>
      <c r="AO8863">
        <v>0</v>
      </c>
      <c r="AP8863" s="2">
        <v>42746</v>
      </c>
      <c r="AQ8863" t="s">
        <v>72</v>
      </c>
      <c r="AR8863" t="s">
        <v>72</v>
      </c>
      <c r="AS8863">
        <v>2340</v>
      </c>
      <c r="AT8863" s="4">
        <v>42620</v>
      </c>
      <c r="AU8863" t="s">
        <v>73</v>
      </c>
      <c r="AV8863">
        <v>2340</v>
      </c>
      <c r="AW8863" s="4">
        <v>42620</v>
      </c>
      <c r="BD8863">
        <v>0</v>
      </c>
      <c r="BN8863" t="s">
        <v>74</v>
      </c>
    </row>
    <row r="8864" spans="1:66">
      <c r="A8864">
        <v>106489</v>
      </c>
      <c r="B8864" s="3" t="s">
        <v>782</v>
      </c>
      <c r="C8864" s="1">
        <v>43300101</v>
      </c>
      <c r="D8864" t="s">
        <v>67</v>
      </c>
      <c r="H8864" t="str">
        <f t="shared" si="921"/>
        <v>08592930963</v>
      </c>
      <c r="I8864" t="str">
        <f t="shared" si="921"/>
        <v>08592930963</v>
      </c>
      <c r="K8864" t="str">
        <f>""</f>
        <v/>
      </c>
      <c r="M8864" t="s">
        <v>68</v>
      </c>
      <c r="N8864" t="str">
        <f t="shared" si="920"/>
        <v>FOR</v>
      </c>
      <c r="O8864" t="s">
        <v>69</v>
      </c>
      <c r="P8864" s="3" t="s">
        <v>75</v>
      </c>
      <c r="Q8864">
        <v>2015</v>
      </c>
      <c r="R8864" s="2">
        <v>42319</v>
      </c>
      <c r="S8864" s="2">
        <v>42324</v>
      </c>
      <c r="T8864" s="2">
        <v>42321</v>
      </c>
      <c r="U8864" s="2">
        <v>42381</v>
      </c>
      <c r="V8864" t="s">
        <v>71</v>
      </c>
      <c r="W8864" t="str">
        <f>"            15721204"</f>
        <v xml:space="preserve">            15721204</v>
      </c>
      <c r="X8864" s="1">
        <v>39488.949999999997</v>
      </c>
      <c r="Y8864">
        <v>0</v>
      </c>
      <c r="Z8864" s="5">
        <v>32367.99</v>
      </c>
      <c r="AA8864">
        <v>301</v>
      </c>
      <c r="AB8864" s="5">
        <v>9742764.9900000002</v>
      </c>
      <c r="AC8864" s="1">
        <v>32367.99</v>
      </c>
      <c r="AD8864">
        <v>301</v>
      </c>
      <c r="AE8864" s="1">
        <v>9742764.9900000002</v>
      </c>
      <c r="AF8864">
        <v>0</v>
      </c>
      <c r="AJ8864">
        <v>0</v>
      </c>
      <c r="AK8864">
        <v>0</v>
      </c>
      <c r="AL8864">
        <v>0</v>
      </c>
      <c r="AM8864">
        <v>0</v>
      </c>
      <c r="AN8864">
        <v>0</v>
      </c>
      <c r="AO8864">
        <v>0</v>
      </c>
      <c r="AP8864" s="2">
        <v>42746</v>
      </c>
      <c r="AQ8864" t="s">
        <v>72</v>
      </c>
      <c r="AR8864" t="s">
        <v>72</v>
      </c>
      <c r="AS8864">
        <v>2964</v>
      </c>
      <c r="AT8864" s="4">
        <v>42682</v>
      </c>
      <c r="AU8864" t="s">
        <v>73</v>
      </c>
      <c r="AV8864">
        <v>2964</v>
      </c>
      <c r="AW8864" s="4">
        <v>42682</v>
      </c>
      <c r="BD8864">
        <v>0</v>
      </c>
      <c r="BN8864" t="s">
        <v>74</v>
      </c>
    </row>
    <row r="8865" spans="1:66">
      <c r="A8865">
        <v>106489</v>
      </c>
      <c r="B8865" s="3" t="s">
        <v>782</v>
      </c>
      <c r="C8865" s="1">
        <v>43300101</v>
      </c>
      <c r="D8865" t="s">
        <v>67</v>
      </c>
      <c r="H8865" t="str">
        <f t="shared" si="921"/>
        <v>08592930963</v>
      </c>
      <c r="I8865" t="str">
        <f t="shared" si="921"/>
        <v>08592930963</v>
      </c>
      <c r="K8865" t="str">
        <f>""</f>
        <v/>
      </c>
      <c r="M8865" t="s">
        <v>68</v>
      </c>
      <c r="N8865" t="str">
        <f t="shared" si="920"/>
        <v>FOR</v>
      </c>
      <c r="O8865" t="s">
        <v>69</v>
      </c>
      <c r="P8865" s="3" t="s">
        <v>75</v>
      </c>
      <c r="Q8865">
        <v>2015</v>
      </c>
      <c r="R8865" s="2">
        <v>42359</v>
      </c>
      <c r="S8865" s="2">
        <v>42368</v>
      </c>
      <c r="T8865" s="2">
        <v>42362</v>
      </c>
      <c r="U8865" s="2">
        <v>42422</v>
      </c>
      <c r="V8865" t="s">
        <v>71</v>
      </c>
      <c r="W8865" t="str">
        <f>"            15724297"</f>
        <v xml:space="preserve">            15724297</v>
      </c>
      <c r="X8865" s="1">
        <v>8539.99</v>
      </c>
      <c r="Y8865">
        <v>0</v>
      </c>
      <c r="Z8865" s="5">
        <v>6999.99</v>
      </c>
      <c r="AA8865">
        <v>260</v>
      </c>
      <c r="AB8865" s="5">
        <v>1819997.4</v>
      </c>
      <c r="AC8865" s="1">
        <v>6999.99</v>
      </c>
      <c r="AD8865">
        <v>260</v>
      </c>
      <c r="AE8865" s="1">
        <v>1819997.4</v>
      </c>
      <c r="AF8865">
        <v>0</v>
      </c>
      <c r="AJ8865">
        <v>0</v>
      </c>
      <c r="AK8865">
        <v>0</v>
      </c>
      <c r="AL8865">
        <v>0</v>
      </c>
      <c r="AM8865">
        <v>0</v>
      </c>
      <c r="AN8865">
        <v>0</v>
      </c>
      <c r="AO8865">
        <v>0</v>
      </c>
      <c r="AP8865" s="2">
        <v>42746</v>
      </c>
      <c r="AQ8865" t="s">
        <v>72</v>
      </c>
      <c r="AR8865" t="s">
        <v>72</v>
      </c>
      <c r="AS8865">
        <v>2964</v>
      </c>
      <c r="AT8865" s="4">
        <v>42682</v>
      </c>
      <c r="AU8865" t="s">
        <v>73</v>
      </c>
      <c r="AV8865">
        <v>2964</v>
      </c>
      <c r="AW8865" s="4">
        <v>42682</v>
      </c>
      <c r="BD8865">
        <v>0</v>
      </c>
      <c r="BN8865" t="s">
        <v>74</v>
      </c>
    </row>
    <row r="8866" spans="1:66" hidden="1">
      <c r="A8866">
        <v>106494</v>
      </c>
      <c r="B8866" s="3" t="s">
        <v>783</v>
      </c>
      <c r="C8866" s="1">
        <v>43500101</v>
      </c>
      <c r="D8866" t="s">
        <v>113</v>
      </c>
      <c r="H8866" t="str">
        <f t="shared" ref="H8866:H8878" si="922">"MZZMRN82H17C495G"</f>
        <v>MZZMRN82H17C495G</v>
      </c>
      <c r="I8866" t="str">
        <f t="shared" ref="I8866:I8878" si="923">"03986740615"</f>
        <v>03986740615</v>
      </c>
      <c r="K8866" t="str">
        <f>""</f>
        <v/>
      </c>
      <c r="M8866" t="s">
        <v>68</v>
      </c>
      <c r="N8866" t="str">
        <f t="shared" ref="N8866:N8878" si="924">"ALTPRO"</f>
        <v>ALTPRO</v>
      </c>
      <c r="O8866" t="s">
        <v>132</v>
      </c>
      <c r="P8866" s="3" t="s">
        <v>75</v>
      </c>
      <c r="Q8866">
        <v>2015</v>
      </c>
      <c r="R8866" s="2">
        <v>42312</v>
      </c>
      <c r="S8866" s="2">
        <v>42313</v>
      </c>
      <c r="T8866" s="2">
        <v>42312</v>
      </c>
      <c r="U8866" s="2">
        <v>42372</v>
      </c>
      <c r="V8866" t="s">
        <v>71</v>
      </c>
      <c r="W8866" t="str">
        <f>"         FATTPA 7_15"</f>
        <v xml:space="preserve">         FATTPA 7_15</v>
      </c>
      <c r="X8866" s="1">
        <v>2710.99</v>
      </c>
      <c r="Y8866">
        <v>0</v>
      </c>
      <c r="Z8866"/>
      <c r="AB8866"/>
      <c r="AC8866" s="1">
        <v>2710.99</v>
      </c>
      <c r="AD8866">
        <v>8</v>
      </c>
      <c r="AE8866" s="1">
        <v>21687.919999999998</v>
      </c>
      <c r="AF8866">
        <v>0</v>
      </c>
      <c r="AJ8866">
        <v>0</v>
      </c>
      <c r="AK8866">
        <v>0</v>
      </c>
      <c r="AL8866">
        <v>0</v>
      </c>
      <c r="AM8866">
        <v>0</v>
      </c>
      <c r="AN8866">
        <v>0</v>
      </c>
      <c r="AO8866">
        <v>0</v>
      </c>
      <c r="AP8866" s="2">
        <v>42746</v>
      </c>
      <c r="AQ8866" t="s">
        <v>72</v>
      </c>
      <c r="AR8866" t="s">
        <v>72</v>
      </c>
      <c r="AS8866">
        <v>10</v>
      </c>
      <c r="AT8866" s="4">
        <v>42380</v>
      </c>
      <c r="AU8866" t="s">
        <v>73</v>
      </c>
      <c r="AV8866">
        <v>10</v>
      </c>
      <c r="AW8866" s="4">
        <v>42380</v>
      </c>
      <c r="BD8866">
        <v>0</v>
      </c>
      <c r="BN8866" t="s">
        <v>74</v>
      </c>
    </row>
    <row r="8867" spans="1:66" hidden="1">
      <c r="A8867">
        <v>106494</v>
      </c>
      <c r="B8867" s="3" t="s">
        <v>783</v>
      </c>
      <c r="C8867" s="1">
        <v>43500101</v>
      </c>
      <c r="D8867" t="s">
        <v>113</v>
      </c>
      <c r="H8867" t="str">
        <f t="shared" si="922"/>
        <v>MZZMRN82H17C495G</v>
      </c>
      <c r="I8867" t="str">
        <f t="shared" si="923"/>
        <v>03986740615</v>
      </c>
      <c r="K8867" t="str">
        <f>""</f>
        <v/>
      </c>
      <c r="M8867" t="s">
        <v>68</v>
      </c>
      <c r="N8867" t="str">
        <f t="shared" si="924"/>
        <v>ALTPRO</v>
      </c>
      <c r="O8867" t="s">
        <v>132</v>
      </c>
      <c r="P8867" s="3" t="s">
        <v>75</v>
      </c>
      <c r="Q8867">
        <v>2016</v>
      </c>
      <c r="R8867" s="2">
        <v>42377</v>
      </c>
      <c r="S8867" s="2">
        <v>42388</v>
      </c>
      <c r="T8867" s="2">
        <v>42387</v>
      </c>
      <c r="U8867" s="2">
        <v>42447</v>
      </c>
      <c r="V8867" t="s">
        <v>71</v>
      </c>
      <c r="W8867" t="str">
        <f>"         FATTPA 1_16"</f>
        <v xml:space="preserve">         FATTPA 1_16</v>
      </c>
      <c r="X8867" s="1">
        <v>1712.17</v>
      </c>
      <c r="Y8867">
        <v>0</v>
      </c>
      <c r="Z8867"/>
      <c r="AB8867"/>
      <c r="AC8867" s="1">
        <v>1712.17</v>
      </c>
      <c r="AD8867">
        <v>-50</v>
      </c>
      <c r="AE8867" s="1">
        <v>-85608.5</v>
      </c>
      <c r="AF8867">
        <v>0</v>
      </c>
      <c r="AJ8867">
        <v>0</v>
      </c>
      <c r="AK8867">
        <v>0</v>
      </c>
      <c r="AL8867">
        <v>0</v>
      </c>
      <c r="AM8867">
        <v>0</v>
      </c>
      <c r="AN8867" s="1">
        <v>1712.17</v>
      </c>
      <c r="AO8867" s="1">
        <v>1712.17</v>
      </c>
      <c r="AP8867" s="2">
        <v>42746</v>
      </c>
      <c r="AQ8867" t="s">
        <v>72</v>
      </c>
      <c r="AR8867" t="s">
        <v>72</v>
      </c>
      <c r="AS8867">
        <v>143</v>
      </c>
      <c r="AT8867" s="4">
        <v>42397</v>
      </c>
      <c r="AV8867">
        <v>143</v>
      </c>
      <c r="AW8867" s="4">
        <v>42397</v>
      </c>
      <c r="BD8867">
        <v>0</v>
      </c>
      <c r="BN8867" t="s">
        <v>74</v>
      </c>
    </row>
    <row r="8868" spans="1:66" hidden="1">
      <c r="A8868">
        <v>106494</v>
      </c>
      <c r="B8868" s="3" t="s">
        <v>783</v>
      </c>
      <c r="C8868" s="1">
        <v>43500101</v>
      </c>
      <c r="D8868" t="s">
        <v>113</v>
      </c>
      <c r="H8868" t="str">
        <f t="shared" si="922"/>
        <v>MZZMRN82H17C495G</v>
      </c>
      <c r="I8868" t="str">
        <f t="shared" si="923"/>
        <v>03986740615</v>
      </c>
      <c r="K8868" t="str">
        <f>""</f>
        <v/>
      </c>
      <c r="M8868" t="s">
        <v>68</v>
      </c>
      <c r="N8868" t="str">
        <f t="shared" si="924"/>
        <v>ALTPRO</v>
      </c>
      <c r="O8868" t="s">
        <v>132</v>
      </c>
      <c r="P8868" s="3" t="s">
        <v>75</v>
      </c>
      <c r="Q8868">
        <v>2016</v>
      </c>
      <c r="R8868" s="2">
        <v>42405</v>
      </c>
      <c r="S8868" s="2">
        <v>42408</v>
      </c>
      <c r="T8868" s="2">
        <v>42405</v>
      </c>
      <c r="U8868" s="2">
        <v>42465</v>
      </c>
      <c r="V8868" t="s">
        <v>71</v>
      </c>
      <c r="W8868" t="str">
        <f>"         FATTPA 2_16"</f>
        <v xml:space="preserve">         FATTPA 2_16</v>
      </c>
      <c r="X8868" s="1">
        <v>2530.64</v>
      </c>
      <c r="Y8868">
        <v>0</v>
      </c>
      <c r="Z8868"/>
      <c r="AB8868"/>
      <c r="AC8868" s="1">
        <v>2530.64</v>
      </c>
      <c r="AD8868">
        <v>-39</v>
      </c>
      <c r="AE8868" s="1">
        <v>-98694.96</v>
      </c>
      <c r="AF8868">
        <v>0</v>
      </c>
      <c r="AJ8868">
        <v>0</v>
      </c>
      <c r="AK8868">
        <v>0</v>
      </c>
      <c r="AL8868">
        <v>0</v>
      </c>
      <c r="AM8868" s="1">
        <v>2530.64</v>
      </c>
      <c r="AN8868" s="1">
        <v>2530.64</v>
      </c>
      <c r="AO8868" s="1">
        <v>2530.64</v>
      </c>
      <c r="AP8868" s="2">
        <v>42746</v>
      </c>
      <c r="AQ8868" t="s">
        <v>72</v>
      </c>
      <c r="AR8868" t="s">
        <v>72</v>
      </c>
      <c r="AS8868">
        <v>565</v>
      </c>
      <c r="AT8868" s="4">
        <v>42426</v>
      </c>
      <c r="AV8868">
        <v>565</v>
      </c>
      <c r="AW8868" s="4">
        <v>42426</v>
      </c>
      <c r="BD8868">
        <v>0</v>
      </c>
      <c r="BN8868" t="s">
        <v>74</v>
      </c>
    </row>
    <row r="8869" spans="1:66" hidden="1">
      <c r="A8869">
        <v>106494</v>
      </c>
      <c r="B8869" s="3" t="s">
        <v>783</v>
      </c>
      <c r="C8869" s="1">
        <v>43500101</v>
      </c>
      <c r="D8869" t="s">
        <v>113</v>
      </c>
      <c r="H8869" t="str">
        <f t="shared" si="922"/>
        <v>MZZMRN82H17C495G</v>
      </c>
      <c r="I8869" t="str">
        <f t="shared" si="923"/>
        <v>03986740615</v>
      </c>
      <c r="K8869" t="str">
        <f>""</f>
        <v/>
      </c>
      <c r="M8869" t="s">
        <v>68</v>
      </c>
      <c r="N8869" t="str">
        <f t="shared" si="924"/>
        <v>ALTPRO</v>
      </c>
      <c r="O8869" t="s">
        <v>132</v>
      </c>
      <c r="P8869" s="3" t="s">
        <v>75</v>
      </c>
      <c r="Q8869">
        <v>2016</v>
      </c>
      <c r="R8869" s="2">
        <v>42437</v>
      </c>
      <c r="S8869" s="2">
        <v>42437</v>
      </c>
      <c r="T8869" s="2">
        <v>42437</v>
      </c>
      <c r="U8869" s="2">
        <v>42497</v>
      </c>
      <c r="V8869" t="s">
        <v>71</v>
      </c>
      <c r="W8869" t="str">
        <f>"         FATTPA 3_16"</f>
        <v xml:space="preserve">         FATTPA 3_16</v>
      </c>
      <c r="X8869" s="1">
        <v>2636</v>
      </c>
      <c r="Y8869">
        <v>0</v>
      </c>
      <c r="Z8869"/>
      <c r="AB8869"/>
      <c r="AC8869" s="1">
        <v>2636</v>
      </c>
      <c r="AD8869">
        <v>-46</v>
      </c>
      <c r="AE8869" s="1">
        <v>-121256</v>
      </c>
      <c r="AF8869">
        <v>0</v>
      </c>
      <c r="AJ8869">
        <v>0</v>
      </c>
      <c r="AK8869">
        <v>0</v>
      </c>
      <c r="AL8869">
        <v>0</v>
      </c>
      <c r="AM8869" s="1">
        <v>2636</v>
      </c>
      <c r="AN8869" s="1">
        <v>2636</v>
      </c>
      <c r="AO8869" s="1">
        <v>2636</v>
      </c>
      <c r="AP8869" s="2">
        <v>42746</v>
      </c>
      <c r="AQ8869" t="s">
        <v>72</v>
      </c>
      <c r="AR8869" t="s">
        <v>72</v>
      </c>
      <c r="AS8869">
        <v>709</v>
      </c>
      <c r="AT8869" s="4">
        <v>42451</v>
      </c>
      <c r="AV8869">
        <v>709</v>
      </c>
      <c r="AW8869" s="4">
        <v>42451</v>
      </c>
      <c r="BD8869">
        <v>0</v>
      </c>
      <c r="BN8869" t="s">
        <v>74</v>
      </c>
    </row>
    <row r="8870" spans="1:66" hidden="1">
      <c r="A8870">
        <v>106494</v>
      </c>
      <c r="B8870" s="3" t="s">
        <v>783</v>
      </c>
      <c r="C8870" s="1">
        <v>43500101</v>
      </c>
      <c r="D8870" t="s">
        <v>113</v>
      </c>
      <c r="H8870" t="str">
        <f t="shared" si="922"/>
        <v>MZZMRN82H17C495G</v>
      </c>
      <c r="I8870" t="str">
        <f t="shared" si="923"/>
        <v>03986740615</v>
      </c>
      <c r="K8870" t="str">
        <f>""</f>
        <v/>
      </c>
      <c r="M8870" t="s">
        <v>68</v>
      </c>
      <c r="N8870" t="str">
        <f t="shared" si="924"/>
        <v>ALTPRO</v>
      </c>
      <c r="O8870" t="s">
        <v>132</v>
      </c>
      <c r="P8870" s="3" t="s">
        <v>75</v>
      </c>
      <c r="Q8870">
        <v>2016</v>
      </c>
      <c r="R8870" s="2">
        <v>42465</v>
      </c>
      <c r="S8870" s="2">
        <v>42466</v>
      </c>
      <c r="T8870" s="2">
        <v>42465</v>
      </c>
      <c r="U8870" s="2">
        <v>42525</v>
      </c>
      <c r="V8870" t="s">
        <v>71</v>
      </c>
      <c r="W8870" t="str">
        <f>"         FATTPA 4_16"</f>
        <v xml:space="preserve">         FATTPA 4_16</v>
      </c>
      <c r="X8870" s="1">
        <v>2712.22</v>
      </c>
      <c r="Y8870">
        <v>0</v>
      </c>
      <c r="Z8870"/>
      <c r="AB8870"/>
      <c r="AC8870" s="1">
        <v>2712.22</v>
      </c>
      <c r="AD8870">
        <v>-38</v>
      </c>
      <c r="AE8870" s="1">
        <v>-103064.36</v>
      </c>
      <c r="AF8870">
        <v>0</v>
      </c>
      <c r="AJ8870">
        <v>0</v>
      </c>
      <c r="AK8870">
        <v>0</v>
      </c>
      <c r="AL8870">
        <v>0</v>
      </c>
      <c r="AM8870" s="1">
        <v>2712.22</v>
      </c>
      <c r="AN8870" s="1">
        <v>2712.22</v>
      </c>
      <c r="AO8870" s="1">
        <v>2712.22</v>
      </c>
      <c r="AP8870" s="2">
        <v>42746</v>
      </c>
      <c r="AQ8870" t="s">
        <v>72</v>
      </c>
      <c r="AR8870" t="s">
        <v>72</v>
      </c>
      <c r="AS8870">
        <v>1147</v>
      </c>
      <c r="AT8870" s="4">
        <v>42487</v>
      </c>
      <c r="AV8870">
        <v>1147</v>
      </c>
      <c r="AW8870" s="4">
        <v>42487</v>
      </c>
      <c r="BD8870">
        <v>0</v>
      </c>
      <c r="BN8870" t="s">
        <v>74</v>
      </c>
    </row>
    <row r="8871" spans="1:66" hidden="1">
      <c r="A8871">
        <v>106494</v>
      </c>
      <c r="B8871" s="3" t="s">
        <v>783</v>
      </c>
      <c r="C8871" s="1">
        <v>43500101</v>
      </c>
      <c r="D8871" t="s">
        <v>113</v>
      </c>
      <c r="H8871" t="str">
        <f t="shared" si="922"/>
        <v>MZZMRN82H17C495G</v>
      </c>
      <c r="I8871" t="str">
        <f t="shared" si="923"/>
        <v>03986740615</v>
      </c>
      <c r="K8871" t="str">
        <f>""</f>
        <v/>
      </c>
      <c r="M8871" t="s">
        <v>68</v>
      </c>
      <c r="N8871" t="str">
        <f t="shared" si="924"/>
        <v>ALTPRO</v>
      </c>
      <c r="O8871" t="s">
        <v>132</v>
      </c>
      <c r="P8871" s="3" t="s">
        <v>75</v>
      </c>
      <c r="Q8871">
        <v>2016</v>
      </c>
      <c r="R8871" s="2">
        <v>42493</v>
      </c>
      <c r="S8871" s="2">
        <v>42495</v>
      </c>
      <c r="T8871" s="2">
        <v>42494</v>
      </c>
      <c r="U8871" s="2">
        <v>42554</v>
      </c>
      <c r="V8871" t="s">
        <v>71</v>
      </c>
      <c r="W8871" t="str">
        <f>"         FATTPA 5_16"</f>
        <v xml:space="preserve">         FATTPA 5_16</v>
      </c>
      <c r="X8871" s="1">
        <v>2496.23</v>
      </c>
      <c r="Y8871">
        <v>0</v>
      </c>
      <c r="Z8871"/>
      <c r="AB8871"/>
      <c r="AC8871" s="1">
        <v>2496.23</v>
      </c>
      <c r="AD8871">
        <v>-38</v>
      </c>
      <c r="AE8871" s="1">
        <v>-94856.74</v>
      </c>
      <c r="AF8871">
        <v>0</v>
      </c>
      <c r="AJ8871">
        <v>0</v>
      </c>
      <c r="AK8871">
        <v>0</v>
      </c>
      <c r="AL8871">
        <v>0</v>
      </c>
      <c r="AM8871" s="1">
        <v>2496.23</v>
      </c>
      <c r="AN8871" s="1">
        <v>2496.23</v>
      </c>
      <c r="AO8871" s="1">
        <v>2496.23</v>
      </c>
      <c r="AP8871" s="2">
        <v>42746</v>
      </c>
      <c r="AQ8871" t="s">
        <v>72</v>
      </c>
      <c r="AR8871" t="s">
        <v>72</v>
      </c>
      <c r="AS8871">
        <v>1390</v>
      </c>
      <c r="AT8871" s="4">
        <v>42516</v>
      </c>
      <c r="AV8871">
        <v>1390</v>
      </c>
      <c r="AW8871" s="4">
        <v>42516</v>
      </c>
      <c r="BD8871">
        <v>0</v>
      </c>
      <c r="BN8871" t="s">
        <v>74</v>
      </c>
    </row>
    <row r="8872" spans="1:66" hidden="1">
      <c r="A8872">
        <v>106494</v>
      </c>
      <c r="B8872" s="3" t="s">
        <v>783</v>
      </c>
      <c r="C8872" s="1">
        <v>43500101</v>
      </c>
      <c r="D8872" t="s">
        <v>113</v>
      </c>
      <c r="H8872" t="str">
        <f t="shared" si="922"/>
        <v>MZZMRN82H17C495G</v>
      </c>
      <c r="I8872" t="str">
        <f t="shared" si="923"/>
        <v>03986740615</v>
      </c>
      <c r="K8872" t="str">
        <f>""</f>
        <v/>
      </c>
      <c r="M8872" t="s">
        <v>68</v>
      </c>
      <c r="N8872" t="str">
        <f t="shared" si="924"/>
        <v>ALTPRO</v>
      </c>
      <c r="O8872" t="s">
        <v>132</v>
      </c>
      <c r="P8872" s="3" t="s">
        <v>75</v>
      </c>
      <c r="Q8872">
        <v>2016</v>
      </c>
      <c r="R8872" s="2">
        <v>42528</v>
      </c>
      <c r="S8872" s="2">
        <v>42562</v>
      </c>
      <c r="T8872" s="2">
        <v>42562</v>
      </c>
      <c r="U8872" s="2">
        <v>42622</v>
      </c>
      <c r="V8872" t="s">
        <v>71</v>
      </c>
      <c r="W8872" t="str">
        <f>"         FATTPA 6_16"</f>
        <v xml:space="preserve">         FATTPA 6_16</v>
      </c>
      <c r="X8872" s="1">
        <v>2741.36</v>
      </c>
      <c r="Y8872">
        <v>0</v>
      </c>
      <c r="Z8872"/>
      <c r="AB8872"/>
      <c r="AC8872" s="1">
        <v>2741.36</v>
      </c>
      <c r="AD8872">
        <v>-56</v>
      </c>
      <c r="AE8872" s="1">
        <v>-153516.16</v>
      </c>
      <c r="AF8872">
        <v>0</v>
      </c>
      <c r="AJ8872">
        <v>0</v>
      </c>
      <c r="AK8872">
        <v>0</v>
      </c>
      <c r="AL8872">
        <v>0</v>
      </c>
      <c r="AM8872" s="1">
        <v>2741.36</v>
      </c>
      <c r="AN8872" s="1">
        <v>2741.36</v>
      </c>
      <c r="AO8872" s="1">
        <v>2741.36</v>
      </c>
      <c r="AP8872" s="2">
        <v>42746</v>
      </c>
      <c r="AQ8872" t="s">
        <v>72</v>
      </c>
      <c r="AR8872" t="s">
        <v>72</v>
      </c>
      <c r="AS8872">
        <v>1779</v>
      </c>
      <c r="AT8872" s="4">
        <v>42566</v>
      </c>
      <c r="AV8872">
        <v>1779</v>
      </c>
      <c r="AW8872" s="4">
        <v>42566</v>
      </c>
      <c r="BD8872">
        <v>0</v>
      </c>
      <c r="BN8872" t="s">
        <v>74</v>
      </c>
    </row>
    <row r="8873" spans="1:66" hidden="1">
      <c r="A8873">
        <v>106494</v>
      </c>
      <c r="B8873" s="3" t="s">
        <v>783</v>
      </c>
      <c r="C8873" s="1">
        <v>43500101</v>
      </c>
      <c r="D8873" t="s">
        <v>113</v>
      </c>
      <c r="H8873" t="str">
        <f t="shared" si="922"/>
        <v>MZZMRN82H17C495G</v>
      </c>
      <c r="I8873" t="str">
        <f t="shared" si="923"/>
        <v>03986740615</v>
      </c>
      <c r="K8873" t="str">
        <f>""</f>
        <v/>
      </c>
      <c r="M8873" t="s">
        <v>68</v>
      </c>
      <c r="N8873" t="str">
        <f t="shared" si="924"/>
        <v>ALTPRO</v>
      </c>
      <c r="O8873" t="s">
        <v>132</v>
      </c>
      <c r="P8873" s="3" t="s">
        <v>75</v>
      </c>
      <c r="Q8873">
        <v>2016</v>
      </c>
      <c r="R8873" s="2">
        <v>42553</v>
      </c>
      <c r="S8873" s="2">
        <v>42555</v>
      </c>
      <c r="T8873" s="2">
        <v>42553</v>
      </c>
      <c r="U8873" s="2">
        <v>42613</v>
      </c>
      <c r="V8873" t="s">
        <v>71</v>
      </c>
      <c r="W8873" t="str">
        <f>"         FATTPA 7_16"</f>
        <v xml:space="preserve">         FATTPA 7_16</v>
      </c>
      <c r="X8873" s="1">
        <v>2636</v>
      </c>
      <c r="Y8873">
        <v>0</v>
      </c>
      <c r="Z8873"/>
      <c r="AB8873"/>
      <c r="AC8873" s="1">
        <v>2636</v>
      </c>
      <c r="AD8873">
        <v>-47</v>
      </c>
      <c r="AE8873" s="1">
        <v>-123892</v>
      </c>
      <c r="AF8873">
        <v>0</v>
      </c>
      <c r="AJ8873">
        <v>0</v>
      </c>
      <c r="AK8873">
        <v>0</v>
      </c>
      <c r="AL8873">
        <v>0</v>
      </c>
      <c r="AM8873" s="1">
        <v>2636</v>
      </c>
      <c r="AN8873" s="1">
        <v>2636</v>
      </c>
      <c r="AO8873" s="1">
        <v>2636</v>
      </c>
      <c r="AP8873" s="2">
        <v>42746</v>
      </c>
      <c r="AQ8873" t="s">
        <v>72</v>
      </c>
      <c r="AR8873" t="s">
        <v>72</v>
      </c>
      <c r="AS8873">
        <v>1779</v>
      </c>
      <c r="AT8873" s="4">
        <v>42566</v>
      </c>
      <c r="AV8873">
        <v>1779</v>
      </c>
      <c r="AW8873" s="4">
        <v>42566</v>
      </c>
      <c r="BD8873">
        <v>0</v>
      </c>
      <c r="BN8873" t="s">
        <v>74</v>
      </c>
    </row>
    <row r="8874" spans="1:66" hidden="1">
      <c r="A8874">
        <v>106494</v>
      </c>
      <c r="B8874" s="3" t="s">
        <v>783</v>
      </c>
      <c r="C8874" s="1">
        <v>43500101</v>
      </c>
      <c r="D8874" t="s">
        <v>113</v>
      </c>
      <c r="H8874" t="str">
        <f t="shared" si="922"/>
        <v>MZZMRN82H17C495G</v>
      </c>
      <c r="I8874" t="str">
        <f t="shared" si="923"/>
        <v>03986740615</v>
      </c>
      <c r="K8874" t="str">
        <f>""</f>
        <v/>
      </c>
      <c r="M8874" t="s">
        <v>68</v>
      </c>
      <c r="N8874" t="str">
        <f t="shared" si="924"/>
        <v>ALTPRO</v>
      </c>
      <c r="O8874" t="s">
        <v>132</v>
      </c>
      <c r="P8874" s="3" t="s">
        <v>75</v>
      </c>
      <c r="Q8874">
        <v>2016</v>
      </c>
      <c r="R8874" s="2">
        <v>42584</v>
      </c>
      <c r="S8874" s="2">
        <v>42585</v>
      </c>
      <c r="T8874" s="2">
        <v>42585</v>
      </c>
      <c r="U8874" s="2">
        <v>42645</v>
      </c>
      <c r="V8874" t="s">
        <v>71</v>
      </c>
      <c r="W8874" t="str">
        <f>"         FATTPA 8_16"</f>
        <v xml:space="preserve">         FATTPA 8_16</v>
      </c>
      <c r="X8874" s="1">
        <v>2616.69</v>
      </c>
      <c r="Y8874">
        <v>0</v>
      </c>
      <c r="Z8874"/>
      <c r="AB8874"/>
      <c r="AC8874" s="1">
        <v>2616.69</v>
      </c>
      <c r="AD8874">
        <v>-60</v>
      </c>
      <c r="AE8874" s="1">
        <v>-157001.4</v>
      </c>
      <c r="AF8874">
        <v>0</v>
      </c>
      <c r="AJ8874">
        <v>0</v>
      </c>
      <c r="AK8874">
        <v>0</v>
      </c>
      <c r="AL8874">
        <v>0</v>
      </c>
      <c r="AM8874" s="1">
        <v>2616.69</v>
      </c>
      <c r="AN8874" s="1">
        <v>2616.69</v>
      </c>
      <c r="AO8874" s="1">
        <v>2616.69</v>
      </c>
      <c r="AP8874" s="2">
        <v>42746</v>
      </c>
      <c r="AQ8874" t="s">
        <v>72</v>
      </c>
      <c r="AR8874" t="s">
        <v>72</v>
      </c>
      <c r="AS8874">
        <v>2065</v>
      </c>
      <c r="AT8874" s="4">
        <v>42585</v>
      </c>
      <c r="AV8874">
        <v>2065</v>
      </c>
      <c r="AW8874" s="4">
        <v>42585</v>
      </c>
      <c r="BD8874">
        <v>0</v>
      </c>
      <c r="BN8874" t="s">
        <v>74</v>
      </c>
    </row>
    <row r="8875" spans="1:66">
      <c r="A8875">
        <v>106494</v>
      </c>
      <c r="B8875" s="3" t="s">
        <v>783</v>
      </c>
      <c r="C8875" s="1">
        <v>43500101</v>
      </c>
      <c r="D8875" t="s">
        <v>113</v>
      </c>
      <c r="H8875" t="str">
        <f t="shared" si="922"/>
        <v>MZZMRN82H17C495G</v>
      </c>
      <c r="I8875" t="str">
        <f t="shared" si="923"/>
        <v>03986740615</v>
      </c>
      <c r="K8875" t="str">
        <f>""</f>
        <v/>
      </c>
      <c r="M8875" t="s">
        <v>68</v>
      </c>
      <c r="N8875" t="str">
        <f t="shared" si="924"/>
        <v>ALTPRO</v>
      </c>
      <c r="O8875" t="s">
        <v>132</v>
      </c>
      <c r="P8875" s="3" t="s">
        <v>75</v>
      </c>
      <c r="Q8875">
        <v>2016</v>
      </c>
      <c r="R8875" s="2">
        <v>42614</v>
      </c>
      <c r="S8875" s="2">
        <v>42625</v>
      </c>
      <c r="T8875" s="2">
        <v>42623</v>
      </c>
      <c r="U8875" s="2">
        <v>42683</v>
      </c>
      <c r="V8875" t="s">
        <v>71</v>
      </c>
      <c r="W8875" t="str">
        <f>"         FATTPA 9_16"</f>
        <v xml:space="preserve">         FATTPA 9_16</v>
      </c>
      <c r="X8875" s="1">
        <v>2341.63</v>
      </c>
      <c r="Y8875">
        <v>0</v>
      </c>
      <c r="Z8875" s="5">
        <v>2341.63</v>
      </c>
      <c r="AA8875">
        <v>-37</v>
      </c>
      <c r="AB8875" s="5">
        <v>-86640.31</v>
      </c>
      <c r="AC8875" s="1">
        <v>2341.63</v>
      </c>
      <c r="AD8875">
        <v>-37</v>
      </c>
      <c r="AE8875" s="1">
        <v>-86640.31</v>
      </c>
      <c r="AF8875">
        <v>0</v>
      </c>
      <c r="AJ8875">
        <v>0</v>
      </c>
      <c r="AK8875">
        <v>0</v>
      </c>
      <c r="AL8875">
        <v>0</v>
      </c>
      <c r="AM8875" s="1">
        <v>2341.63</v>
      </c>
      <c r="AN8875" s="1">
        <v>2341.63</v>
      </c>
      <c r="AO8875" s="1">
        <v>2341.63</v>
      </c>
      <c r="AP8875" s="2">
        <v>42746</v>
      </c>
      <c r="AQ8875" t="s">
        <v>72</v>
      </c>
      <c r="AR8875" t="s">
        <v>72</v>
      </c>
      <c r="AS8875">
        <v>2527</v>
      </c>
      <c r="AT8875" s="4">
        <v>42646</v>
      </c>
      <c r="AV8875">
        <v>2527</v>
      </c>
      <c r="AW8875" s="4">
        <v>42646</v>
      </c>
      <c r="BD8875">
        <v>0</v>
      </c>
      <c r="BN8875" t="s">
        <v>74</v>
      </c>
    </row>
    <row r="8876" spans="1:66">
      <c r="A8876">
        <v>106494</v>
      </c>
      <c r="B8876" s="3" t="s">
        <v>783</v>
      </c>
      <c r="C8876" s="1">
        <v>43500101</v>
      </c>
      <c r="D8876" t="s">
        <v>113</v>
      </c>
      <c r="H8876" t="str">
        <f t="shared" si="922"/>
        <v>MZZMRN82H17C495G</v>
      </c>
      <c r="I8876" t="str">
        <f t="shared" si="923"/>
        <v>03986740615</v>
      </c>
      <c r="K8876" t="str">
        <f>""</f>
        <v/>
      </c>
      <c r="M8876" t="s">
        <v>68</v>
      </c>
      <c r="N8876" t="str">
        <f t="shared" si="924"/>
        <v>ALTPRO</v>
      </c>
      <c r="O8876" t="s">
        <v>132</v>
      </c>
      <c r="P8876" s="3" t="s">
        <v>75</v>
      </c>
      <c r="Q8876">
        <v>2016</v>
      </c>
      <c r="R8876" s="2">
        <v>42650</v>
      </c>
      <c r="S8876" s="2">
        <v>42654</v>
      </c>
      <c r="T8876" s="2">
        <v>42651</v>
      </c>
      <c r="U8876" s="2">
        <v>42711</v>
      </c>
      <c r="V8876" t="s">
        <v>71</v>
      </c>
      <c r="W8876" t="str">
        <f>"        FATTPA 10_16"</f>
        <v xml:space="preserve">        FATTPA 10_16</v>
      </c>
      <c r="X8876" s="1">
        <v>2639.98</v>
      </c>
      <c r="Y8876">
        <v>0</v>
      </c>
      <c r="Z8876" s="5">
        <v>2639.98</v>
      </c>
      <c r="AA8876">
        <v>-43</v>
      </c>
      <c r="AB8876" s="5">
        <v>-113519.14</v>
      </c>
      <c r="AC8876" s="1">
        <v>2639.98</v>
      </c>
      <c r="AD8876">
        <v>-43</v>
      </c>
      <c r="AE8876" s="1">
        <v>-113519.14</v>
      </c>
      <c r="AF8876">
        <v>0</v>
      </c>
      <c r="AJ8876" s="1">
        <v>2639.98</v>
      </c>
      <c r="AK8876" s="1">
        <v>2639.98</v>
      </c>
      <c r="AL8876" s="1">
        <v>2639.98</v>
      </c>
      <c r="AM8876" s="1">
        <v>2639.98</v>
      </c>
      <c r="AN8876" s="1">
        <v>2639.98</v>
      </c>
      <c r="AO8876" s="1">
        <v>2639.98</v>
      </c>
      <c r="AP8876" s="2">
        <v>42746</v>
      </c>
      <c r="AQ8876" t="s">
        <v>72</v>
      </c>
      <c r="AR8876" t="s">
        <v>72</v>
      </c>
      <c r="AS8876">
        <v>2862</v>
      </c>
      <c r="AT8876" s="4">
        <v>42668</v>
      </c>
      <c r="AV8876">
        <v>2862</v>
      </c>
      <c r="AW8876" s="4">
        <v>42668</v>
      </c>
      <c r="BD8876">
        <v>0</v>
      </c>
      <c r="BN8876" t="s">
        <v>74</v>
      </c>
    </row>
    <row r="8877" spans="1:66">
      <c r="A8877">
        <v>106494</v>
      </c>
      <c r="B8877" s="3" t="s">
        <v>783</v>
      </c>
      <c r="C8877" s="1">
        <v>43500101</v>
      </c>
      <c r="D8877" t="s">
        <v>113</v>
      </c>
      <c r="H8877" t="str">
        <f t="shared" si="922"/>
        <v>MZZMRN82H17C495G</v>
      </c>
      <c r="I8877" t="str">
        <f t="shared" si="923"/>
        <v>03986740615</v>
      </c>
      <c r="K8877" t="str">
        <f>""</f>
        <v/>
      </c>
      <c r="M8877" t="s">
        <v>68</v>
      </c>
      <c r="N8877" t="str">
        <f t="shared" si="924"/>
        <v>ALTPRO</v>
      </c>
      <c r="O8877" t="s">
        <v>132</v>
      </c>
      <c r="P8877" s="3" t="s">
        <v>75</v>
      </c>
      <c r="Q8877">
        <v>2016</v>
      </c>
      <c r="R8877" s="2">
        <v>42677</v>
      </c>
      <c r="S8877" s="2">
        <v>42678</v>
      </c>
      <c r="T8877" s="2">
        <v>42678</v>
      </c>
      <c r="U8877" s="2">
        <v>42738</v>
      </c>
      <c r="V8877" t="s">
        <v>71</v>
      </c>
      <c r="W8877" t="str">
        <f>"        FATTPA 11_16"</f>
        <v xml:space="preserve">        FATTPA 11_16</v>
      </c>
      <c r="X8877" s="1">
        <v>2440.84</v>
      </c>
      <c r="Y8877">
        <v>0</v>
      </c>
      <c r="Z8877" s="5">
        <v>2440.84</v>
      </c>
      <c r="AA8877">
        <v>-56</v>
      </c>
      <c r="AB8877" s="5">
        <v>-136687.04000000001</v>
      </c>
      <c r="AC8877" s="1">
        <v>2440.84</v>
      </c>
      <c r="AD8877">
        <v>-56</v>
      </c>
      <c r="AE8877" s="1">
        <v>-136687.04000000001</v>
      </c>
      <c r="AF8877">
        <v>0</v>
      </c>
      <c r="AJ8877" s="1">
        <v>2440.84</v>
      </c>
      <c r="AK8877" s="1">
        <v>2440.84</v>
      </c>
      <c r="AL8877" s="1">
        <v>2440.84</v>
      </c>
      <c r="AM8877" s="1">
        <v>2440.84</v>
      </c>
      <c r="AN8877" s="1">
        <v>2440.84</v>
      </c>
      <c r="AO8877" s="1">
        <v>2440.84</v>
      </c>
      <c r="AP8877" s="2">
        <v>42746</v>
      </c>
      <c r="AQ8877" t="s">
        <v>72</v>
      </c>
      <c r="AR8877" t="s">
        <v>72</v>
      </c>
      <c r="AS8877">
        <v>2957</v>
      </c>
      <c r="AT8877" s="4">
        <v>42682</v>
      </c>
      <c r="AV8877">
        <v>2957</v>
      </c>
      <c r="AW8877" s="4">
        <v>42682</v>
      </c>
      <c r="BD8877">
        <v>0</v>
      </c>
      <c r="BN8877" t="s">
        <v>74</v>
      </c>
    </row>
    <row r="8878" spans="1:66">
      <c r="A8878">
        <v>106494</v>
      </c>
      <c r="B8878" s="3" t="s">
        <v>783</v>
      </c>
      <c r="C8878" s="1">
        <v>43500101</v>
      </c>
      <c r="D8878" t="s">
        <v>113</v>
      </c>
      <c r="H8878" t="str">
        <f t="shared" si="922"/>
        <v>MZZMRN82H17C495G</v>
      </c>
      <c r="I8878" t="str">
        <f t="shared" si="923"/>
        <v>03986740615</v>
      </c>
      <c r="K8878" t="str">
        <f>""</f>
        <v/>
      </c>
      <c r="M8878" t="s">
        <v>68</v>
      </c>
      <c r="N8878" t="str">
        <f t="shared" si="924"/>
        <v>ALTPRO</v>
      </c>
      <c r="O8878" t="s">
        <v>132</v>
      </c>
      <c r="P8878" s="3" t="s">
        <v>75</v>
      </c>
      <c r="Q8878">
        <v>2016</v>
      </c>
      <c r="R8878" s="2">
        <v>42710</v>
      </c>
      <c r="S8878" s="2">
        <v>42713</v>
      </c>
      <c r="T8878" s="2">
        <v>42712</v>
      </c>
      <c r="U8878" s="2">
        <v>42772</v>
      </c>
      <c r="V8878" t="s">
        <v>71</v>
      </c>
      <c r="W8878" t="str">
        <f>"        FATTPA 12_16"</f>
        <v xml:space="preserve">        FATTPA 12_16</v>
      </c>
      <c r="X8878" s="1">
        <v>2616.44</v>
      </c>
      <c r="Y8878">
        <v>0</v>
      </c>
      <c r="Z8878" s="5">
        <v>2616.44</v>
      </c>
      <c r="AA8878">
        <v>-54</v>
      </c>
      <c r="AB8878" s="5">
        <v>-141287.76</v>
      </c>
      <c r="AC8878" s="1">
        <v>2616.44</v>
      </c>
      <c r="AD8878">
        <v>-54</v>
      </c>
      <c r="AE8878" s="1">
        <v>-141287.76</v>
      </c>
      <c r="AF8878">
        <v>0</v>
      </c>
      <c r="AJ8878" s="1">
        <v>2616.44</v>
      </c>
      <c r="AK8878" s="1">
        <v>2616.44</v>
      </c>
      <c r="AL8878" s="1">
        <v>2616.44</v>
      </c>
      <c r="AM8878" s="1">
        <v>2616.44</v>
      </c>
      <c r="AN8878" s="1">
        <v>2616.44</v>
      </c>
      <c r="AO8878" s="1">
        <v>2616.44</v>
      </c>
      <c r="AP8878" s="2">
        <v>42746</v>
      </c>
      <c r="AQ8878" t="s">
        <v>72</v>
      </c>
      <c r="AR8878" t="s">
        <v>72</v>
      </c>
      <c r="AS8878">
        <v>3450</v>
      </c>
      <c r="AT8878" s="4">
        <v>42718</v>
      </c>
      <c r="AV8878">
        <v>3450</v>
      </c>
      <c r="AW8878" s="4">
        <v>42718</v>
      </c>
      <c r="BD8878">
        <v>0</v>
      </c>
      <c r="BN8878" t="s">
        <v>74</v>
      </c>
    </row>
    <row r="8879" spans="1:66" hidden="1">
      <c r="A8879">
        <v>106502</v>
      </c>
      <c r="B8879" s="3" t="s">
        <v>784</v>
      </c>
      <c r="C8879" s="1">
        <v>43500101</v>
      </c>
      <c r="D8879" t="s">
        <v>113</v>
      </c>
      <c r="H8879" t="str">
        <f t="shared" ref="H8879:I8890" si="925">"03562770481"</f>
        <v>03562770481</v>
      </c>
      <c r="I8879" t="str">
        <f t="shared" si="925"/>
        <v>03562770481</v>
      </c>
      <c r="K8879" t="str">
        <f>""</f>
        <v/>
      </c>
      <c r="M8879" t="s">
        <v>68</v>
      </c>
      <c r="N8879" t="str">
        <f t="shared" ref="N8879:N8914" si="926">"ALTFIN"</f>
        <v>ALTFIN</v>
      </c>
      <c r="O8879" t="s">
        <v>123</v>
      </c>
      <c r="P8879" s="3" t="s">
        <v>84</v>
      </c>
      <c r="Q8879">
        <v>2016</v>
      </c>
      <c r="R8879" s="2">
        <v>42389</v>
      </c>
      <c r="S8879" s="2">
        <v>42390</v>
      </c>
      <c r="T8879" s="2">
        <v>42390</v>
      </c>
      <c r="U8879" s="2">
        <v>42450</v>
      </c>
      <c r="V8879" t="s">
        <v>71</v>
      </c>
      <c r="W8879" t="str">
        <f>"                0120"</f>
        <v xml:space="preserve">                0120</v>
      </c>
      <c r="X8879">
        <v>0</v>
      </c>
      <c r="Y8879" s="1">
        <v>1088</v>
      </c>
      <c r="Z8879"/>
      <c r="AB8879"/>
      <c r="AC8879" s="1">
        <v>1088</v>
      </c>
      <c r="AD8879">
        <v>-60</v>
      </c>
      <c r="AE8879" s="1">
        <v>-65280</v>
      </c>
      <c r="AF8879">
        <v>0</v>
      </c>
      <c r="AJ8879">
        <v>0</v>
      </c>
      <c r="AK8879">
        <v>0</v>
      </c>
      <c r="AL8879">
        <v>0</v>
      </c>
      <c r="AM8879" s="1">
        <v>1088</v>
      </c>
      <c r="AN8879" s="1">
        <v>1088</v>
      </c>
      <c r="AO8879" s="1">
        <v>1088</v>
      </c>
      <c r="AP8879" s="2">
        <v>42746</v>
      </c>
      <c r="AQ8879" t="s">
        <v>72</v>
      </c>
      <c r="AR8879" t="s">
        <v>72</v>
      </c>
      <c r="AS8879">
        <v>59</v>
      </c>
      <c r="AT8879" s="4">
        <v>42390</v>
      </c>
      <c r="AV8879">
        <v>59</v>
      </c>
      <c r="AW8879" s="4">
        <v>42390</v>
      </c>
      <c r="BD8879">
        <v>0</v>
      </c>
      <c r="BN8879" t="s">
        <v>74</v>
      </c>
    </row>
    <row r="8880" spans="1:66" hidden="1">
      <c r="A8880">
        <v>106502</v>
      </c>
      <c r="B8880" s="3" t="s">
        <v>784</v>
      </c>
      <c r="C8880" s="1">
        <v>43500101</v>
      </c>
      <c r="D8880" t="s">
        <v>113</v>
      </c>
      <c r="H8880" t="str">
        <f t="shared" si="925"/>
        <v>03562770481</v>
      </c>
      <c r="I8880" t="str">
        <f t="shared" si="925"/>
        <v>03562770481</v>
      </c>
      <c r="K8880" t="str">
        <f>""</f>
        <v/>
      </c>
      <c r="M8880" t="s">
        <v>68</v>
      </c>
      <c r="N8880" t="str">
        <f t="shared" si="926"/>
        <v>ALTFIN</v>
      </c>
      <c r="O8880" t="s">
        <v>123</v>
      </c>
      <c r="P8880" s="3" t="s">
        <v>85</v>
      </c>
      <c r="Q8880">
        <v>2016</v>
      </c>
      <c r="R8880" s="2">
        <v>42422</v>
      </c>
      <c r="S8880" s="2">
        <v>42422</v>
      </c>
      <c r="T8880" s="2">
        <v>42422</v>
      </c>
      <c r="U8880" s="2">
        <v>42482</v>
      </c>
      <c r="V8880" t="s">
        <v>71</v>
      </c>
      <c r="W8880" t="str">
        <f>"                0222"</f>
        <v xml:space="preserve">                0222</v>
      </c>
      <c r="X8880">
        <v>0</v>
      </c>
      <c r="Y8880" s="1">
        <v>1088</v>
      </c>
      <c r="Z8880"/>
      <c r="AB8880"/>
      <c r="AC8880" s="1">
        <v>1088</v>
      </c>
      <c r="AD8880">
        <v>-58</v>
      </c>
      <c r="AE8880" s="1">
        <v>-63104</v>
      </c>
      <c r="AF8880">
        <v>0</v>
      </c>
      <c r="AJ8880">
        <v>0</v>
      </c>
      <c r="AK8880">
        <v>0</v>
      </c>
      <c r="AL8880">
        <v>0</v>
      </c>
      <c r="AM8880" s="1">
        <v>1088</v>
      </c>
      <c r="AN8880" s="1">
        <v>1088</v>
      </c>
      <c r="AO8880" s="1">
        <v>1088</v>
      </c>
      <c r="AP8880" s="2">
        <v>42746</v>
      </c>
      <c r="AQ8880" t="s">
        <v>72</v>
      </c>
      <c r="AR8880" t="s">
        <v>72</v>
      </c>
      <c r="AS8880">
        <v>503</v>
      </c>
      <c r="AT8880" s="4">
        <v>42424</v>
      </c>
      <c r="AV8880">
        <v>503</v>
      </c>
      <c r="AW8880" s="4">
        <v>42424</v>
      </c>
      <c r="BD8880">
        <v>0</v>
      </c>
      <c r="BN8880" t="s">
        <v>74</v>
      </c>
    </row>
    <row r="8881" spans="1:66" hidden="1">
      <c r="A8881">
        <v>106502</v>
      </c>
      <c r="B8881" s="3" t="s">
        <v>784</v>
      </c>
      <c r="C8881" s="1">
        <v>43500101</v>
      </c>
      <c r="D8881" t="s">
        <v>113</v>
      </c>
      <c r="H8881" t="str">
        <f t="shared" si="925"/>
        <v>03562770481</v>
      </c>
      <c r="I8881" t="str">
        <f t="shared" si="925"/>
        <v>03562770481</v>
      </c>
      <c r="K8881" t="str">
        <f>""</f>
        <v/>
      </c>
      <c r="M8881" t="s">
        <v>68</v>
      </c>
      <c r="N8881" t="str">
        <f t="shared" si="926"/>
        <v>ALTFIN</v>
      </c>
      <c r="O8881" t="s">
        <v>123</v>
      </c>
      <c r="P8881" s="3" t="s">
        <v>86</v>
      </c>
      <c r="Q8881">
        <v>2016</v>
      </c>
      <c r="R8881" s="2">
        <v>42450</v>
      </c>
      <c r="S8881" s="2">
        <v>42450</v>
      </c>
      <c r="T8881" s="2">
        <v>42450</v>
      </c>
      <c r="U8881" s="2">
        <v>42510</v>
      </c>
      <c r="V8881" t="s">
        <v>71</v>
      </c>
      <c r="W8881" t="str">
        <f>"                0321"</f>
        <v xml:space="preserve">                0321</v>
      </c>
      <c r="X8881">
        <v>0</v>
      </c>
      <c r="Y8881" s="1">
        <v>1088</v>
      </c>
      <c r="Z8881"/>
      <c r="AB8881"/>
      <c r="AC8881" s="1">
        <v>1088</v>
      </c>
      <c r="AD8881">
        <v>-57</v>
      </c>
      <c r="AE8881" s="1">
        <v>-62016</v>
      </c>
      <c r="AF8881">
        <v>0</v>
      </c>
      <c r="AJ8881">
        <v>0</v>
      </c>
      <c r="AK8881">
        <v>0</v>
      </c>
      <c r="AL8881">
        <v>0</v>
      </c>
      <c r="AM8881" s="1">
        <v>1088</v>
      </c>
      <c r="AN8881" s="1">
        <v>1088</v>
      </c>
      <c r="AO8881" s="1">
        <v>1088</v>
      </c>
      <c r="AP8881" s="2">
        <v>42746</v>
      </c>
      <c r="AQ8881" t="s">
        <v>72</v>
      </c>
      <c r="AR8881" t="s">
        <v>72</v>
      </c>
      <c r="AS8881">
        <v>925</v>
      </c>
      <c r="AT8881" s="4">
        <v>42453</v>
      </c>
      <c r="AV8881">
        <v>925</v>
      </c>
      <c r="AW8881" s="4">
        <v>42453</v>
      </c>
      <c r="BD8881">
        <v>0</v>
      </c>
      <c r="BN8881" t="s">
        <v>74</v>
      </c>
    </row>
    <row r="8882" spans="1:66" hidden="1">
      <c r="A8882">
        <v>106502</v>
      </c>
      <c r="B8882" s="3" t="s">
        <v>784</v>
      </c>
      <c r="C8882" s="1">
        <v>43500101</v>
      </c>
      <c r="D8882" t="s">
        <v>113</v>
      </c>
      <c r="H8882" t="str">
        <f t="shared" si="925"/>
        <v>03562770481</v>
      </c>
      <c r="I8882" t="str">
        <f t="shared" si="925"/>
        <v>03562770481</v>
      </c>
      <c r="K8882" t="str">
        <f>""</f>
        <v/>
      </c>
      <c r="M8882" t="s">
        <v>68</v>
      </c>
      <c r="N8882" t="str">
        <f t="shared" si="926"/>
        <v>ALTFIN</v>
      </c>
      <c r="O8882" t="s">
        <v>123</v>
      </c>
      <c r="P8882" s="3" t="s">
        <v>87</v>
      </c>
      <c r="Q8882">
        <v>2016</v>
      </c>
      <c r="R8882" s="2">
        <v>42481</v>
      </c>
      <c r="S8882" s="2">
        <v>42481</v>
      </c>
      <c r="T8882" s="2">
        <v>42481</v>
      </c>
      <c r="U8882" s="2">
        <v>42541</v>
      </c>
      <c r="V8882" t="s">
        <v>71</v>
      </c>
      <c r="W8882" t="str">
        <f>"                0421"</f>
        <v xml:space="preserve">                0421</v>
      </c>
      <c r="X8882">
        <v>0</v>
      </c>
      <c r="Y8882" s="1">
        <v>1088</v>
      </c>
      <c r="Z8882"/>
      <c r="AB8882"/>
      <c r="AC8882" s="1">
        <v>1088</v>
      </c>
      <c r="AD8882">
        <v>-60</v>
      </c>
      <c r="AE8882" s="1">
        <v>-65280</v>
      </c>
      <c r="AF8882">
        <v>0</v>
      </c>
      <c r="AJ8882">
        <v>0</v>
      </c>
      <c r="AK8882">
        <v>0</v>
      </c>
      <c r="AL8882">
        <v>0</v>
      </c>
      <c r="AM8882" s="1">
        <v>1088</v>
      </c>
      <c r="AN8882" s="1">
        <v>1088</v>
      </c>
      <c r="AO8882" s="1">
        <v>1088</v>
      </c>
      <c r="AP8882" s="2">
        <v>42746</v>
      </c>
      <c r="AQ8882" t="s">
        <v>72</v>
      </c>
      <c r="AR8882" t="s">
        <v>72</v>
      </c>
      <c r="AS8882">
        <v>1091</v>
      </c>
      <c r="AT8882" s="4">
        <v>42481</v>
      </c>
      <c r="AV8882">
        <v>1091</v>
      </c>
      <c r="AW8882" s="4">
        <v>42481</v>
      </c>
      <c r="BD8882">
        <v>0</v>
      </c>
      <c r="BN8882" t="s">
        <v>74</v>
      </c>
    </row>
    <row r="8883" spans="1:66" hidden="1">
      <c r="A8883">
        <v>106502</v>
      </c>
      <c r="B8883" s="3" t="s">
        <v>784</v>
      </c>
      <c r="C8883" s="1">
        <v>43500101</v>
      </c>
      <c r="D8883" t="s">
        <v>113</v>
      </c>
      <c r="H8883" t="str">
        <f t="shared" si="925"/>
        <v>03562770481</v>
      </c>
      <c r="I8883" t="str">
        <f t="shared" si="925"/>
        <v>03562770481</v>
      </c>
      <c r="K8883" t="str">
        <f>""</f>
        <v/>
      </c>
      <c r="M8883" t="s">
        <v>68</v>
      </c>
      <c r="N8883" t="str">
        <f t="shared" si="926"/>
        <v>ALTFIN</v>
      </c>
      <c r="O8883" t="s">
        <v>123</v>
      </c>
      <c r="P8883" s="3" t="s">
        <v>88</v>
      </c>
      <c r="Q8883">
        <v>2016</v>
      </c>
      <c r="R8883" s="2">
        <v>42508</v>
      </c>
      <c r="S8883" s="2">
        <v>42510</v>
      </c>
      <c r="T8883" s="2">
        <v>42510</v>
      </c>
      <c r="U8883" s="2">
        <v>42570</v>
      </c>
      <c r="V8883" t="s">
        <v>71</v>
      </c>
      <c r="W8883" t="str">
        <f>"                0518"</f>
        <v xml:space="preserve">                0518</v>
      </c>
      <c r="X8883">
        <v>0</v>
      </c>
      <c r="Y8883" s="1">
        <v>1088</v>
      </c>
      <c r="Z8883"/>
      <c r="AB8883"/>
      <c r="AC8883" s="1">
        <v>1088</v>
      </c>
      <c r="AD8883">
        <v>-57</v>
      </c>
      <c r="AE8883" s="1">
        <v>-62016</v>
      </c>
      <c r="AF8883">
        <v>0</v>
      </c>
      <c r="AJ8883">
        <v>0</v>
      </c>
      <c r="AK8883">
        <v>0</v>
      </c>
      <c r="AL8883">
        <v>0</v>
      </c>
      <c r="AM8883" s="1">
        <v>1088</v>
      </c>
      <c r="AN8883" s="1">
        <v>1088</v>
      </c>
      <c r="AO8883" s="1">
        <v>1088</v>
      </c>
      <c r="AP8883" s="2">
        <v>42746</v>
      </c>
      <c r="AQ8883" t="s">
        <v>72</v>
      </c>
      <c r="AR8883" t="s">
        <v>72</v>
      </c>
      <c r="AS8883">
        <v>1329</v>
      </c>
      <c r="AT8883" s="4">
        <v>42513</v>
      </c>
      <c r="AV8883">
        <v>1329</v>
      </c>
      <c r="AW8883" s="4">
        <v>42513</v>
      </c>
      <c r="BD8883">
        <v>0</v>
      </c>
      <c r="BN8883" t="s">
        <v>74</v>
      </c>
    </row>
    <row r="8884" spans="1:66" hidden="1">
      <c r="A8884">
        <v>106502</v>
      </c>
      <c r="B8884" s="3" t="s">
        <v>784</v>
      </c>
      <c r="C8884" s="1">
        <v>43500101</v>
      </c>
      <c r="D8884" t="s">
        <v>113</v>
      </c>
      <c r="H8884" t="str">
        <f t="shared" si="925"/>
        <v>03562770481</v>
      </c>
      <c r="I8884" t="str">
        <f t="shared" si="925"/>
        <v>03562770481</v>
      </c>
      <c r="K8884" t="str">
        <f>""</f>
        <v/>
      </c>
      <c r="M8884" t="s">
        <v>68</v>
      </c>
      <c r="N8884" t="str">
        <f t="shared" si="926"/>
        <v>ALTFIN</v>
      </c>
      <c r="O8884" t="s">
        <v>123</v>
      </c>
      <c r="P8884" s="3" t="s">
        <v>89</v>
      </c>
      <c r="Q8884">
        <v>2016</v>
      </c>
      <c r="R8884" s="2">
        <v>42548</v>
      </c>
      <c r="S8884" s="2">
        <v>42543</v>
      </c>
      <c r="T8884" s="2">
        <v>42543</v>
      </c>
      <c r="U8884" s="2">
        <v>42603</v>
      </c>
      <c r="V8884" t="s">
        <v>71</v>
      </c>
      <c r="W8884" t="str">
        <f>"                0627"</f>
        <v xml:space="preserve">                0627</v>
      </c>
      <c r="X8884">
        <v>0</v>
      </c>
      <c r="Y8884" s="1">
        <v>1088</v>
      </c>
      <c r="Z8884"/>
      <c r="AB8884"/>
      <c r="AC8884" s="1">
        <v>1088</v>
      </c>
      <c r="AD8884">
        <v>-47</v>
      </c>
      <c r="AE8884" s="1">
        <v>-51136</v>
      </c>
      <c r="AF8884">
        <v>0</v>
      </c>
      <c r="AJ8884">
        <v>0</v>
      </c>
      <c r="AK8884">
        <v>0</v>
      </c>
      <c r="AL8884">
        <v>0</v>
      </c>
      <c r="AM8884" s="1">
        <v>1088</v>
      </c>
      <c r="AN8884" s="1">
        <v>1088</v>
      </c>
      <c r="AO8884" s="1">
        <v>1088</v>
      </c>
      <c r="AP8884" s="2">
        <v>42746</v>
      </c>
      <c r="AQ8884" t="s">
        <v>72</v>
      </c>
      <c r="AR8884" t="s">
        <v>72</v>
      </c>
      <c r="AS8884">
        <v>1711</v>
      </c>
      <c r="AT8884" s="4">
        <v>42556</v>
      </c>
      <c r="AV8884">
        <v>1711</v>
      </c>
      <c r="AW8884" s="4">
        <v>42556</v>
      </c>
      <c r="BD8884">
        <v>0</v>
      </c>
      <c r="BN8884" t="s">
        <v>74</v>
      </c>
    </row>
    <row r="8885" spans="1:66" hidden="1">
      <c r="A8885">
        <v>106502</v>
      </c>
      <c r="B8885" s="3" t="s">
        <v>784</v>
      </c>
      <c r="C8885" s="1">
        <v>43500101</v>
      </c>
      <c r="D8885" t="s">
        <v>113</v>
      </c>
      <c r="H8885" t="str">
        <f t="shared" si="925"/>
        <v>03562770481</v>
      </c>
      <c r="I8885" t="str">
        <f t="shared" si="925"/>
        <v>03562770481</v>
      </c>
      <c r="K8885" t="str">
        <f>""</f>
        <v/>
      </c>
      <c r="M8885" t="s">
        <v>68</v>
      </c>
      <c r="N8885" t="str">
        <f t="shared" si="926"/>
        <v>ALTFIN</v>
      </c>
      <c r="O8885" t="s">
        <v>123</v>
      </c>
      <c r="P8885" s="3" t="s">
        <v>90</v>
      </c>
      <c r="Q8885">
        <v>2016</v>
      </c>
      <c r="R8885" s="2">
        <v>42573</v>
      </c>
      <c r="S8885" s="2">
        <v>42573</v>
      </c>
      <c r="T8885" s="2">
        <v>42573</v>
      </c>
      <c r="U8885" s="2">
        <v>42633</v>
      </c>
      <c r="V8885" t="s">
        <v>71</v>
      </c>
      <c r="W8885" t="str">
        <f>"                0722"</f>
        <v xml:space="preserve">                0722</v>
      </c>
      <c r="X8885">
        <v>0</v>
      </c>
      <c r="Y8885" s="1">
        <v>1088</v>
      </c>
      <c r="Z8885"/>
      <c r="AB8885"/>
      <c r="AC8885" s="1">
        <v>1088</v>
      </c>
      <c r="AD8885">
        <v>-48</v>
      </c>
      <c r="AE8885" s="1">
        <v>-52224</v>
      </c>
      <c r="AF8885">
        <v>0</v>
      </c>
      <c r="AJ8885">
        <v>0</v>
      </c>
      <c r="AK8885">
        <v>0</v>
      </c>
      <c r="AL8885">
        <v>0</v>
      </c>
      <c r="AM8885" s="1">
        <v>1088</v>
      </c>
      <c r="AN8885" s="1">
        <v>1088</v>
      </c>
      <c r="AO8885" s="1">
        <v>1088</v>
      </c>
      <c r="AP8885" s="2">
        <v>42746</v>
      </c>
      <c r="AQ8885" t="s">
        <v>72</v>
      </c>
      <c r="AR8885" t="s">
        <v>72</v>
      </c>
      <c r="AS8885">
        <v>2111</v>
      </c>
      <c r="AT8885" s="4">
        <v>42585</v>
      </c>
      <c r="AV8885">
        <v>2111</v>
      </c>
      <c r="AW8885" s="4">
        <v>42585</v>
      </c>
      <c r="BD8885">
        <v>0</v>
      </c>
      <c r="BN8885" t="s">
        <v>74</v>
      </c>
    </row>
    <row r="8886" spans="1:66" hidden="1">
      <c r="A8886">
        <v>106502</v>
      </c>
      <c r="B8886" s="3" t="s">
        <v>784</v>
      </c>
      <c r="C8886" s="1">
        <v>43500101</v>
      </c>
      <c r="D8886" t="s">
        <v>113</v>
      </c>
      <c r="H8886" t="str">
        <f t="shared" si="925"/>
        <v>03562770481</v>
      </c>
      <c r="I8886" t="str">
        <f t="shared" si="925"/>
        <v>03562770481</v>
      </c>
      <c r="K8886" t="str">
        <f>""</f>
        <v/>
      </c>
      <c r="M8886" t="s">
        <v>68</v>
      </c>
      <c r="N8886" t="str">
        <f t="shared" si="926"/>
        <v>ALTFIN</v>
      </c>
      <c r="O8886" t="s">
        <v>123</v>
      </c>
      <c r="P8886" s="3" t="s">
        <v>91</v>
      </c>
      <c r="Q8886">
        <v>2016</v>
      </c>
      <c r="R8886" s="2">
        <v>42592</v>
      </c>
      <c r="S8886" s="2">
        <v>42598</v>
      </c>
      <c r="T8886" s="2">
        <v>42598</v>
      </c>
      <c r="U8886" s="2">
        <v>42658</v>
      </c>
      <c r="V8886" t="s">
        <v>71</v>
      </c>
      <c r="W8886" t="str">
        <f>"                0810"</f>
        <v xml:space="preserve">                0810</v>
      </c>
      <c r="X8886">
        <v>0</v>
      </c>
      <c r="Y8886" s="1">
        <v>1088</v>
      </c>
      <c r="Z8886"/>
      <c r="AB8886"/>
      <c r="AC8886" s="1">
        <v>1088</v>
      </c>
      <c r="AD8886">
        <v>-60</v>
      </c>
      <c r="AE8886" s="1">
        <v>-65280</v>
      </c>
      <c r="AF8886">
        <v>0</v>
      </c>
      <c r="AJ8886">
        <v>0</v>
      </c>
      <c r="AK8886">
        <v>0</v>
      </c>
      <c r="AL8886">
        <v>0</v>
      </c>
      <c r="AM8886" s="1">
        <v>1088</v>
      </c>
      <c r="AN8886" s="1">
        <v>1088</v>
      </c>
      <c r="AO8886" s="1">
        <v>1088</v>
      </c>
      <c r="AP8886" s="2">
        <v>42746</v>
      </c>
      <c r="AQ8886" t="s">
        <v>72</v>
      </c>
      <c r="AR8886" t="s">
        <v>72</v>
      </c>
      <c r="AS8886">
        <v>2193</v>
      </c>
      <c r="AT8886" s="4">
        <v>42598</v>
      </c>
      <c r="AV8886">
        <v>2193</v>
      </c>
      <c r="AW8886" s="4">
        <v>42598</v>
      </c>
      <c r="BD8886">
        <v>0</v>
      </c>
      <c r="BN8886" t="s">
        <v>74</v>
      </c>
    </row>
    <row r="8887" spans="1:66" hidden="1">
      <c r="A8887">
        <v>106502</v>
      </c>
      <c r="B8887" s="3" t="s">
        <v>784</v>
      </c>
      <c r="C8887" s="1">
        <v>43500101</v>
      </c>
      <c r="D8887" t="s">
        <v>113</v>
      </c>
      <c r="H8887" t="str">
        <f t="shared" si="925"/>
        <v>03562770481</v>
      </c>
      <c r="I8887" t="str">
        <f t="shared" si="925"/>
        <v>03562770481</v>
      </c>
      <c r="K8887" t="str">
        <f>""</f>
        <v/>
      </c>
      <c r="M8887" t="s">
        <v>68</v>
      </c>
      <c r="N8887" t="str">
        <f t="shared" si="926"/>
        <v>ALTFIN</v>
      </c>
      <c r="O8887" t="s">
        <v>123</v>
      </c>
      <c r="P8887" s="3" t="s">
        <v>92</v>
      </c>
      <c r="Q8887">
        <v>2016</v>
      </c>
      <c r="R8887" s="2">
        <v>42633</v>
      </c>
      <c r="S8887" s="2">
        <v>42634</v>
      </c>
      <c r="T8887" s="2">
        <v>42634</v>
      </c>
      <c r="U8887" s="2">
        <v>42694</v>
      </c>
      <c r="V8887" t="s">
        <v>71</v>
      </c>
      <c r="W8887" t="str">
        <f>"                0920"</f>
        <v xml:space="preserve">                0920</v>
      </c>
      <c r="X8887">
        <v>0</v>
      </c>
      <c r="Y8887" s="1">
        <v>1088</v>
      </c>
      <c r="Z8887"/>
      <c r="AB8887"/>
      <c r="AC8887" s="1">
        <v>1088</v>
      </c>
      <c r="AD8887">
        <v>-60</v>
      </c>
      <c r="AE8887" s="1">
        <v>-65280</v>
      </c>
      <c r="AF8887">
        <v>0</v>
      </c>
      <c r="AJ8887">
        <v>0</v>
      </c>
      <c r="AK8887">
        <v>0</v>
      </c>
      <c r="AL8887">
        <v>0</v>
      </c>
      <c r="AM8887" s="1">
        <v>1088</v>
      </c>
      <c r="AN8887" s="1">
        <v>1088</v>
      </c>
      <c r="AO8887" s="1">
        <v>1088</v>
      </c>
      <c r="AP8887" s="2">
        <v>42746</v>
      </c>
      <c r="AQ8887" t="s">
        <v>72</v>
      </c>
      <c r="AR8887" t="s">
        <v>72</v>
      </c>
      <c r="AS8887">
        <v>2467</v>
      </c>
      <c r="AT8887" s="4">
        <v>42634</v>
      </c>
      <c r="AV8887">
        <v>2467</v>
      </c>
      <c r="AW8887" s="4">
        <v>42634</v>
      </c>
      <c r="BD8887">
        <v>0</v>
      </c>
      <c r="BN8887" t="s">
        <v>74</v>
      </c>
    </row>
    <row r="8888" spans="1:66" hidden="1">
      <c r="A8888">
        <v>106502</v>
      </c>
      <c r="B8888" s="3" t="s">
        <v>784</v>
      </c>
      <c r="C8888" s="1">
        <v>43500101</v>
      </c>
      <c r="D8888" t="s">
        <v>113</v>
      </c>
      <c r="H8888" t="str">
        <f t="shared" si="925"/>
        <v>03562770481</v>
      </c>
      <c r="I8888" t="str">
        <f t="shared" si="925"/>
        <v>03562770481</v>
      </c>
      <c r="K8888" t="str">
        <f>""</f>
        <v/>
      </c>
      <c r="M8888" t="s">
        <v>68</v>
      </c>
      <c r="N8888" t="str">
        <f t="shared" si="926"/>
        <v>ALTFIN</v>
      </c>
      <c r="O8888" t="s">
        <v>123</v>
      </c>
      <c r="P8888" s="3" t="s">
        <v>93</v>
      </c>
      <c r="Q8888">
        <v>2016</v>
      </c>
      <c r="R8888" s="2">
        <v>42664</v>
      </c>
      <c r="S8888" s="2">
        <v>42667</v>
      </c>
      <c r="T8888" s="2">
        <v>42667</v>
      </c>
      <c r="U8888" s="2">
        <v>42727</v>
      </c>
      <c r="V8888" t="s">
        <v>71</v>
      </c>
      <c r="W8888" t="str">
        <f>"                1021"</f>
        <v xml:space="preserve">                1021</v>
      </c>
      <c r="X8888">
        <v>0</v>
      </c>
      <c r="Y8888" s="1">
        <v>1088</v>
      </c>
      <c r="Z8888" s="5">
        <v>1088</v>
      </c>
      <c r="AA8888">
        <v>-60</v>
      </c>
      <c r="AB8888" s="5">
        <v>-65280</v>
      </c>
      <c r="AC8888" s="1">
        <v>1088</v>
      </c>
      <c r="AD8888">
        <v>-60</v>
      </c>
      <c r="AE8888" s="1">
        <v>-65280</v>
      </c>
      <c r="AF8888">
        <v>0</v>
      </c>
      <c r="AJ8888" s="1">
        <v>1088</v>
      </c>
      <c r="AK8888" s="1">
        <v>1088</v>
      </c>
      <c r="AL8888" s="1">
        <v>1088</v>
      </c>
      <c r="AM8888" s="1">
        <v>1088</v>
      </c>
      <c r="AN8888" s="1">
        <v>1088</v>
      </c>
      <c r="AO8888" s="1">
        <v>1088</v>
      </c>
      <c r="AP8888" s="2">
        <v>42746</v>
      </c>
      <c r="AQ8888" t="s">
        <v>72</v>
      </c>
      <c r="AR8888" t="s">
        <v>72</v>
      </c>
      <c r="AS8888">
        <v>2815</v>
      </c>
      <c r="AT8888" s="4">
        <v>42667</v>
      </c>
      <c r="AV8888">
        <v>2815</v>
      </c>
      <c r="AW8888" s="4">
        <v>42667</v>
      </c>
      <c r="BD8888">
        <v>0</v>
      </c>
      <c r="BN8888" t="s">
        <v>74</v>
      </c>
    </row>
    <row r="8889" spans="1:66" hidden="1">
      <c r="A8889">
        <v>106502</v>
      </c>
      <c r="B8889" s="3" t="s">
        <v>784</v>
      </c>
      <c r="C8889" s="1">
        <v>43500101</v>
      </c>
      <c r="D8889" t="s">
        <v>113</v>
      </c>
      <c r="H8889" t="str">
        <f t="shared" si="925"/>
        <v>03562770481</v>
      </c>
      <c r="I8889" t="str">
        <f t="shared" si="925"/>
        <v>03562770481</v>
      </c>
      <c r="K8889" t="str">
        <f>""</f>
        <v/>
      </c>
      <c r="M8889" t="s">
        <v>68</v>
      </c>
      <c r="N8889" t="str">
        <f t="shared" si="926"/>
        <v>ALTFIN</v>
      </c>
      <c r="O8889" t="s">
        <v>123</v>
      </c>
      <c r="P8889" s="3" t="s">
        <v>94</v>
      </c>
      <c r="Q8889">
        <v>2016</v>
      </c>
      <c r="R8889" s="2">
        <v>42696</v>
      </c>
      <c r="S8889" s="2">
        <v>42696</v>
      </c>
      <c r="T8889" s="2">
        <v>42696</v>
      </c>
      <c r="U8889" s="2">
        <v>42756</v>
      </c>
      <c r="V8889" t="s">
        <v>71</v>
      </c>
      <c r="W8889" t="str">
        <f>"                1122"</f>
        <v xml:space="preserve">                1122</v>
      </c>
      <c r="X8889">
        <v>0</v>
      </c>
      <c r="Y8889" s="1">
        <v>1088</v>
      </c>
      <c r="Z8889" s="5">
        <v>1088</v>
      </c>
      <c r="AA8889">
        <v>-59</v>
      </c>
      <c r="AB8889" s="5">
        <v>-64192</v>
      </c>
      <c r="AC8889" s="1">
        <v>1088</v>
      </c>
      <c r="AD8889">
        <v>-59</v>
      </c>
      <c r="AE8889" s="1">
        <v>-64192</v>
      </c>
      <c r="AF8889">
        <v>0</v>
      </c>
      <c r="AJ8889" s="1">
        <v>1088</v>
      </c>
      <c r="AK8889" s="1">
        <v>1088</v>
      </c>
      <c r="AL8889" s="1">
        <v>1088</v>
      </c>
      <c r="AM8889" s="1">
        <v>1088</v>
      </c>
      <c r="AN8889" s="1">
        <v>1088</v>
      </c>
      <c r="AO8889" s="1">
        <v>1088</v>
      </c>
      <c r="AP8889" s="2">
        <v>42746</v>
      </c>
      <c r="AQ8889" t="s">
        <v>72</v>
      </c>
      <c r="AR8889" t="s">
        <v>72</v>
      </c>
      <c r="AS8889">
        <v>3252</v>
      </c>
      <c r="AT8889" s="4">
        <v>42697</v>
      </c>
      <c r="AV8889">
        <v>3252</v>
      </c>
      <c r="AW8889" s="4">
        <v>42697</v>
      </c>
      <c r="BD8889">
        <v>0</v>
      </c>
      <c r="BN8889" t="s">
        <v>74</v>
      </c>
    </row>
    <row r="8890" spans="1:66" hidden="1">
      <c r="A8890">
        <v>106502</v>
      </c>
      <c r="B8890" s="3" t="s">
        <v>784</v>
      </c>
      <c r="C8890" s="1">
        <v>43500101</v>
      </c>
      <c r="D8890" t="s">
        <v>113</v>
      </c>
      <c r="H8890" t="str">
        <f t="shared" si="925"/>
        <v>03562770481</v>
      </c>
      <c r="I8890" t="str">
        <f t="shared" si="925"/>
        <v>03562770481</v>
      </c>
      <c r="K8890" t="str">
        <f>""</f>
        <v/>
      </c>
      <c r="M8890" t="s">
        <v>68</v>
      </c>
      <c r="N8890" t="str">
        <f t="shared" si="926"/>
        <v>ALTFIN</v>
      </c>
      <c r="O8890" t="s">
        <v>123</v>
      </c>
      <c r="P8890" s="3" t="s">
        <v>95</v>
      </c>
      <c r="Q8890">
        <v>2016</v>
      </c>
      <c r="R8890" s="2">
        <v>42717</v>
      </c>
      <c r="S8890" s="2">
        <v>42717</v>
      </c>
      <c r="T8890" s="2">
        <v>42717</v>
      </c>
      <c r="U8890" s="2">
        <v>42777</v>
      </c>
      <c r="V8890" t="s">
        <v>71</v>
      </c>
      <c r="W8890" t="str">
        <f>"                1213"</f>
        <v xml:space="preserve">                1213</v>
      </c>
      <c r="X8890">
        <v>0</v>
      </c>
      <c r="Y8890" s="1">
        <v>1088</v>
      </c>
      <c r="Z8890" s="5">
        <v>1088</v>
      </c>
      <c r="AA8890">
        <v>-59</v>
      </c>
      <c r="AB8890" s="5">
        <v>-64192</v>
      </c>
      <c r="AC8890" s="1">
        <v>1088</v>
      </c>
      <c r="AD8890">
        <v>-59</v>
      </c>
      <c r="AE8890" s="1">
        <v>-64192</v>
      </c>
      <c r="AF8890">
        <v>0</v>
      </c>
      <c r="AJ8890" s="1">
        <v>1088</v>
      </c>
      <c r="AK8890" s="1">
        <v>1088</v>
      </c>
      <c r="AL8890" s="1">
        <v>1088</v>
      </c>
      <c r="AM8890" s="1">
        <v>1088</v>
      </c>
      <c r="AN8890" s="1">
        <v>1088</v>
      </c>
      <c r="AO8890" s="1">
        <v>1088</v>
      </c>
      <c r="AP8890" s="2">
        <v>42746</v>
      </c>
      <c r="AQ8890" t="s">
        <v>72</v>
      </c>
      <c r="AR8890" t="s">
        <v>72</v>
      </c>
      <c r="AS8890">
        <v>3411</v>
      </c>
      <c r="AT8890" s="4">
        <v>42718</v>
      </c>
      <c r="AV8890">
        <v>3411</v>
      </c>
      <c r="AW8890" s="4">
        <v>42718</v>
      </c>
      <c r="BD8890">
        <v>0</v>
      </c>
      <c r="BN8890" t="s">
        <v>74</v>
      </c>
    </row>
    <row r="8891" spans="1:66" hidden="1">
      <c r="A8891">
        <v>106504</v>
      </c>
      <c r="B8891" s="3" t="s">
        <v>785</v>
      </c>
      <c r="C8891" s="1">
        <v>43500101</v>
      </c>
      <c r="D8891" t="s">
        <v>113</v>
      </c>
      <c r="H8891" t="str">
        <f t="shared" ref="H8891:H8902" si="927">"01806740153"</f>
        <v>01806740153</v>
      </c>
      <c r="I8891" t="str">
        <f t="shared" ref="I8891:I8902" si="928">"00766790356"</f>
        <v>00766790356</v>
      </c>
      <c r="K8891" t="str">
        <f>""</f>
        <v/>
      </c>
      <c r="M8891" t="s">
        <v>68</v>
      </c>
      <c r="N8891" t="str">
        <f t="shared" si="926"/>
        <v>ALTFIN</v>
      </c>
      <c r="O8891" t="s">
        <v>123</v>
      </c>
      <c r="P8891" s="3" t="s">
        <v>84</v>
      </c>
      <c r="Q8891">
        <v>2016</v>
      </c>
      <c r="R8891" s="2">
        <v>42389</v>
      </c>
      <c r="S8891" s="2">
        <v>42390</v>
      </c>
      <c r="T8891" s="2">
        <v>42390</v>
      </c>
      <c r="U8891" s="2">
        <v>42450</v>
      </c>
      <c r="V8891" t="s">
        <v>71</v>
      </c>
      <c r="W8891" t="str">
        <f>"                0120"</f>
        <v xml:space="preserve">                0120</v>
      </c>
      <c r="X8891">
        <v>0</v>
      </c>
      <c r="Y8891">
        <v>274</v>
      </c>
      <c r="Z8891"/>
      <c r="AB8891"/>
      <c r="AC8891">
        <v>274</v>
      </c>
      <c r="AD8891">
        <v>-60</v>
      </c>
      <c r="AE8891" s="1">
        <v>-16440</v>
      </c>
      <c r="AF8891">
        <v>0</v>
      </c>
      <c r="AJ8891">
        <v>0</v>
      </c>
      <c r="AK8891">
        <v>0</v>
      </c>
      <c r="AL8891">
        <v>0</v>
      </c>
      <c r="AM8891">
        <v>274</v>
      </c>
      <c r="AN8891">
        <v>274</v>
      </c>
      <c r="AO8891">
        <v>274</v>
      </c>
      <c r="AP8891" s="2">
        <v>42746</v>
      </c>
      <c r="AQ8891" t="s">
        <v>72</v>
      </c>
      <c r="AR8891" t="s">
        <v>72</v>
      </c>
      <c r="AS8891">
        <v>45</v>
      </c>
      <c r="AT8891" s="4">
        <v>42390</v>
      </c>
      <c r="AV8891">
        <v>45</v>
      </c>
      <c r="AW8891" s="4">
        <v>42390</v>
      </c>
      <c r="BD8891">
        <v>0</v>
      </c>
      <c r="BN8891" t="s">
        <v>74</v>
      </c>
    </row>
    <row r="8892" spans="1:66" hidden="1">
      <c r="A8892">
        <v>106504</v>
      </c>
      <c r="B8892" s="3" t="s">
        <v>785</v>
      </c>
      <c r="C8892" s="1">
        <v>43500101</v>
      </c>
      <c r="D8892" t="s">
        <v>113</v>
      </c>
      <c r="H8892" t="str">
        <f t="shared" si="927"/>
        <v>01806740153</v>
      </c>
      <c r="I8892" t="str">
        <f t="shared" si="928"/>
        <v>00766790356</v>
      </c>
      <c r="K8892" t="str">
        <f>""</f>
        <v/>
      </c>
      <c r="M8892" t="s">
        <v>68</v>
      </c>
      <c r="N8892" t="str">
        <f t="shared" si="926"/>
        <v>ALTFIN</v>
      </c>
      <c r="O8892" t="s">
        <v>123</v>
      </c>
      <c r="P8892" s="3" t="s">
        <v>85</v>
      </c>
      <c r="Q8892">
        <v>2016</v>
      </c>
      <c r="R8892" s="2">
        <v>42422</v>
      </c>
      <c r="S8892" s="2">
        <v>42422</v>
      </c>
      <c r="T8892" s="2">
        <v>42422</v>
      </c>
      <c r="U8892" s="2">
        <v>42482</v>
      </c>
      <c r="V8892" t="s">
        <v>71</v>
      </c>
      <c r="W8892" t="str">
        <f>"                0222"</f>
        <v xml:space="preserve">                0222</v>
      </c>
      <c r="X8892">
        <v>0</v>
      </c>
      <c r="Y8892">
        <v>274</v>
      </c>
      <c r="Z8892"/>
      <c r="AB8892"/>
      <c r="AC8892">
        <v>274</v>
      </c>
      <c r="AD8892">
        <v>-58</v>
      </c>
      <c r="AE8892" s="1">
        <v>-15892</v>
      </c>
      <c r="AF8892">
        <v>0</v>
      </c>
      <c r="AJ8892">
        <v>0</v>
      </c>
      <c r="AK8892">
        <v>0</v>
      </c>
      <c r="AL8892">
        <v>0</v>
      </c>
      <c r="AM8892">
        <v>274</v>
      </c>
      <c r="AN8892">
        <v>274</v>
      </c>
      <c r="AO8892">
        <v>274</v>
      </c>
      <c r="AP8892" s="2">
        <v>42746</v>
      </c>
      <c r="AQ8892" t="s">
        <v>72</v>
      </c>
      <c r="AR8892" t="s">
        <v>72</v>
      </c>
      <c r="AS8892">
        <v>489</v>
      </c>
      <c r="AT8892" s="4">
        <v>42424</v>
      </c>
      <c r="AV8892">
        <v>489</v>
      </c>
      <c r="AW8892" s="4">
        <v>42424</v>
      </c>
      <c r="BD8892">
        <v>0</v>
      </c>
      <c r="BN8892" t="s">
        <v>74</v>
      </c>
    </row>
    <row r="8893" spans="1:66" hidden="1">
      <c r="A8893">
        <v>106504</v>
      </c>
      <c r="B8893" s="3" t="s">
        <v>785</v>
      </c>
      <c r="C8893" s="1">
        <v>43500101</v>
      </c>
      <c r="D8893" t="s">
        <v>113</v>
      </c>
      <c r="H8893" t="str">
        <f t="shared" si="927"/>
        <v>01806740153</v>
      </c>
      <c r="I8893" t="str">
        <f t="shared" si="928"/>
        <v>00766790356</v>
      </c>
      <c r="K8893" t="str">
        <f>""</f>
        <v/>
      </c>
      <c r="M8893" t="s">
        <v>68</v>
      </c>
      <c r="N8893" t="str">
        <f t="shared" si="926"/>
        <v>ALTFIN</v>
      </c>
      <c r="O8893" t="s">
        <v>123</v>
      </c>
      <c r="P8893" s="3" t="s">
        <v>86</v>
      </c>
      <c r="Q8893">
        <v>2016</v>
      </c>
      <c r="R8893" s="2">
        <v>42450</v>
      </c>
      <c r="S8893" s="2">
        <v>42450</v>
      </c>
      <c r="T8893" s="2">
        <v>42450</v>
      </c>
      <c r="U8893" s="2">
        <v>42510</v>
      </c>
      <c r="V8893" t="s">
        <v>71</v>
      </c>
      <c r="W8893" t="str">
        <f>"                0321"</f>
        <v xml:space="preserve">                0321</v>
      </c>
      <c r="X8893">
        <v>0</v>
      </c>
      <c r="Y8893">
        <v>274</v>
      </c>
      <c r="Z8893"/>
      <c r="AB8893"/>
      <c r="AC8893">
        <v>274</v>
      </c>
      <c r="AD8893">
        <v>-57</v>
      </c>
      <c r="AE8893" s="1">
        <v>-15618</v>
      </c>
      <c r="AF8893">
        <v>0</v>
      </c>
      <c r="AJ8893">
        <v>0</v>
      </c>
      <c r="AK8893">
        <v>0</v>
      </c>
      <c r="AL8893">
        <v>0</v>
      </c>
      <c r="AM8893">
        <v>274</v>
      </c>
      <c r="AN8893">
        <v>274</v>
      </c>
      <c r="AO8893">
        <v>274</v>
      </c>
      <c r="AP8893" s="2">
        <v>42746</v>
      </c>
      <c r="AQ8893" t="s">
        <v>72</v>
      </c>
      <c r="AR8893" t="s">
        <v>72</v>
      </c>
      <c r="AS8893">
        <v>911</v>
      </c>
      <c r="AT8893" s="4">
        <v>42453</v>
      </c>
      <c r="AV8893">
        <v>911</v>
      </c>
      <c r="AW8893" s="4">
        <v>42453</v>
      </c>
      <c r="BD8893">
        <v>0</v>
      </c>
      <c r="BN8893" t="s">
        <v>74</v>
      </c>
    </row>
    <row r="8894" spans="1:66" hidden="1">
      <c r="A8894">
        <v>106504</v>
      </c>
      <c r="B8894" s="3" t="s">
        <v>785</v>
      </c>
      <c r="C8894" s="1">
        <v>43500101</v>
      </c>
      <c r="D8894" t="s">
        <v>113</v>
      </c>
      <c r="H8894" t="str">
        <f t="shared" si="927"/>
        <v>01806740153</v>
      </c>
      <c r="I8894" t="str">
        <f t="shared" si="928"/>
        <v>00766790356</v>
      </c>
      <c r="K8894" t="str">
        <f>""</f>
        <v/>
      </c>
      <c r="M8894" t="s">
        <v>68</v>
      </c>
      <c r="N8894" t="str">
        <f t="shared" si="926"/>
        <v>ALTFIN</v>
      </c>
      <c r="O8894" t="s">
        <v>123</v>
      </c>
      <c r="P8894" s="3" t="s">
        <v>87</v>
      </c>
      <c r="Q8894">
        <v>2016</v>
      </c>
      <c r="R8894" s="2">
        <v>42481</v>
      </c>
      <c r="S8894" s="2">
        <v>42481</v>
      </c>
      <c r="T8894" s="2">
        <v>42481</v>
      </c>
      <c r="U8894" s="2">
        <v>42541</v>
      </c>
      <c r="V8894" t="s">
        <v>71</v>
      </c>
      <c r="W8894" t="str">
        <f>"                0421"</f>
        <v xml:space="preserve">                0421</v>
      </c>
      <c r="X8894">
        <v>0</v>
      </c>
      <c r="Y8894">
        <v>274</v>
      </c>
      <c r="Z8894"/>
      <c r="AB8894"/>
      <c r="AC8894">
        <v>274</v>
      </c>
      <c r="AD8894">
        <v>-60</v>
      </c>
      <c r="AE8894" s="1">
        <v>-16440</v>
      </c>
      <c r="AF8894">
        <v>0</v>
      </c>
      <c r="AJ8894">
        <v>0</v>
      </c>
      <c r="AK8894">
        <v>0</v>
      </c>
      <c r="AL8894">
        <v>0</v>
      </c>
      <c r="AM8894">
        <v>274</v>
      </c>
      <c r="AN8894">
        <v>274</v>
      </c>
      <c r="AO8894">
        <v>274</v>
      </c>
      <c r="AP8894" s="2">
        <v>42746</v>
      </c>
      <c r="AQ8894" t="s">
        <v>72</v>
      </c>
      <c r="AR8894" t="s">
        <v>72</v>
      </c>
      <c r="AS8894">
        <v>1077</v>
      </c>
      <c r="AT8894" s="4">
        <v>42481</v>
      </c>
      <c r="AV8894">
        <v>1077</v>
      </c>
      <c r="AW8894" s="4">
        <v>42481</v>
      </c>
      <c r="BD8894">
        <v>0</v>
      </c>
      <c r="BN8894" t="s">
        <v>74</v>
      </c>
    </row>
    <row r="8895" spans="1:66" hidden="1">
      <c r="A8895">
        <v>106504</v>
      </c>
      <c r="B8895" s="3" t="s">
        <v>785</v>
      </c>
      <c r="C8895" s="1">
        <v>43500101</v>
      </c>
      <c r="D8895" t="s">
        <v>113</v>
      </c>
      <c r="H8895" t="str">
        <f t="shared" si="927"/>
        <v>01806740153</v>
      </c>
      <c r="I8895" t="str">
        <f t="shared" si="928"/>
        <v>00766790356</v>
      </c>
      <c r="K8895" t="str">
        <f>""</f>
        <v/>
      </c>
      <c r="M8895" t="s">
        <v>68</v>
      </c>
      <c r="N8895" t="str">
        <f t="shared" si="926"/>
        <v>ALTFIN</v>
      </c>
      <c r="O8895" t="s">
        <v>123</v>
      </c>
      <c r="P8895" s="3" t="s">
        <v>88</v>
      </c>
      <c r="Q8895">
        <v>2016</v>
      </c>
      <c r="R8895" s="2">
        <v>42508</v>
      </c>
      <c r="S8895" s="2">
        <v>42510</v>
      </c>
      <c r="T8895" s="2">
        <v>42510</v>
      </c>
      <c r="U8895" s="2">
        <v>42570</v>
      </c>
      <c r="V8895" t="s">
        <v>71</v>
      </c>
      <c r="W8895" t="str">
        <f>"                0518"</f>
        <v xml:space="preserve">                0518</v>
      </c>
      <c r="X8895">
        <v>0</v>
      </c>
      <c r="Y8895">
        <v>274</v>
      </c>
      <c r="Z8895"/>
      <c r="AB8895"/>
      <c r="AC8895">
        <v>274</v>
      </c>
      <c r="AD8895">
        <v>-57</v>
      </c>
      <c r="AE8895" s="1">
        <v>-15618</v>
      </c>
      <c r="AF8895">
        <v>0</v>
      </c>
      <c r="AJ8895">
        <v>0</v>
      </c>
      <c r="AK8895">
        <v>0</v>
      </c>
      <c r="AL8895">
        <v>0</v>
      </c>
      <c r="AM8895">
        <v>274</v>
      </c>
      <c r="AN8895">
        <v>274</v>
      </c>
      <c r="AO8895">
        <v>274</v>
      </c>
      <c r="AP8895" s="2">
        <v>42746</v>
      </c>
      <c r="AQ8895" t="s">
        <v>72</v>
      </c>
      <c r="AR8895" t="s">
        <v>72</v>
      </c>
      <c r="AS8895">
        <v>1315</v>
      </c>
      <c r="AT8895" s="4">
        <v>42513</v>
      </c>
      <c r="AV8895">
        <v>1315</v>
      </c>
      <c r="AW8895" s="4">
        <v>42513</v>
      </c>
      <c r="BD8895">
        <v>0</v>
      </c>
      <c r="BN8895" t="s">
        <v>74</v>
      </c>
    </row>
    <row r="8896" spans="1:66" hidden="1">
      <c r="A8896">
        <v>106504</v>
      </c>
      <c r="B8896" s="3" t="s">
        <v>785</v>
      </c>
      <c r="C8896" s="1">
        <v>43500101</v>
      </c>
      <c r="D8896" t="s">
        <v>113</v>
      </c>
      <c r="H8896" t="str">
        <f t="shared" si="927"/>
        <v>01806740153</v>
      </c>
      <c r="I8896" t="str">
        <f t="shared" si="928"/>
        <v>00766790356</v>
      </c>
      <c r="K8896" t="str">
        <f>""</f>
        <v/>
      </c>
      <c r="M8896" t="s">
        <v>68</v>
      </c>
      <c r="N8896" t="str">
        <f t="shared" si="926"/>
        <v>ALTFIN</v>
      </c>
      <c r="O8896" t="s">
        <v>123</v>
      </c>
      <c r="P8896" s="3" t="s">
        <v>89</v>
      </c>
      <c r="Q8896">
        <v>2016</v>
      </c>
      <c r="R8896" s="2">
        <v>42548</v>
      </c>
      <c r="S8896" s="2">
        <v>42543</v>
      </c>
      <c r="T8896" s="2">
        <v>42543</v>
      </c>
      <c r="U8896" s="2">
        <v>42603</v>
      </c>
      <c r="V8896" t="s">
        <v>71</v>
      </c>
      <c r="W8896" t="str">
        <f>"                0627"</f>
        <v xml:space="preserve">                0627</v>
      </c>
      <c r="X8896">
        <v>0</v>
      </c>
      <c r="Y8896">
        <v>274</v>
      </c>
      <c r="Z8896"/>
      <c r="AB8896"/>
      <c r="AC8896">
        <v>274</v>
      </c>
      <c r="AD8896">
        <v>-47</v>
      </c>
      <c r="AE8896" s="1">
        <v>-12878</v>
      </c>
      <c r="AF8896">
        <v>0</v>
      </c>
      <c r="AJ8896">
        <v>0</v>
      </c>
      <c r="AK8896">
        <v>0</v>
      </c>
      <c r="AL8896">
        <v>0</v>
      </c>
      <c r="AM8896">
        <v>274</v>
      </c>
      <c r="AN8896">
        <v>274</v>
      </c>
      <c r="AO8896">
        <v>274</v>
      </c>
      <c r="AP8896" s="2">
        <v>42746</v>
      </c>
      <c r="AQ8896" t="s">
        <v>72</v>
      </c>
      <c r="AR8896" t="s">
        <v>72</v>
      </c>
      <c r="AS8896">
        <v>1698</v>
      </c>
      <c r="AT8896" s="4">
        <v>42556</v>
      </c>
      <c r="AV8896">
        <v>1698</v>
      </c>
      <c r="AW8896" s="4">
        <v>42556</v>
      </c>
      <c r="BD8896">
        <v>0</v>
      </c>
      <c r="BN8896" t="s">
        <v>74</v>
      </c>
    </row>
    <row r="8897" spans="1:66" hidden="1">
      <c r="A8897">
        <v>106504</v>
      </c>
      <c r="B8897" s="3" t="s">
        <v>785</v>
      </c>
      <c r="C8897" s="1">
        <v>43500101</v>
      </c>
      <c r="D8897" t="s">
        <v>113</v>
      </c>
      <c r="H8897" t="str">
        <f t="shared" si="927"/>
        <v>01806740153</v>
      </c>
      <c r="I8897" t="str">
        <f t="shared" si="928"/>
        <v>00766790356</v>
      </c>
      <c r="K8897" t="str">
        <f>""</f>
        <v/>
      </c>
      <c r="M8897" t="s">
        <v>68</v>
      </c>
      <c r="N8897" t="str">
        <f t="shared" si="926"/>
        <v>ALTFIN</v>
      </c>
      <c r="O8897" t="s">
        <v>123</v>
      </c>
      <c r="P8897" s="3" t="s">
        <v>90</v>
      </c>
      <c r="Q8897">
        <v>2016</v>
      </c>
      <c r="R8897" s="2">
        <v>42573</v>
      </c>
      <c r="S8897" s="2">
        <v>42573</v>
      </c>
      <c r="T8897" s="2">
        <v>42573</v>
      </c>
      <c r="U8897" s="2">
        <v>42633</v>
      </c>
      <c r="V8897" t="s">
        <v>71</v>
      </c>
      <c r="W8897" t="str">
        <f>"                0722"</f>
        <v xml:space="preserve">                0722</v>
      </c>
      <c r="X8897">
        <v>0</v>
      </c>
      <c r="Y8897">
        <v>274</v>
      </c>
      <c r="Z8897"/>
      <c r="AB8897"/>
      <c r="AC8897">
        <v>274</v>
      </c>
      <c r="AD8897">
        <v>-48</v>
      </c>
      <c r="AE8897" s="1">
        <v>-13152</v>
      </c>
      <c r="AF8897">
        <v>0</v>
      </c>
      <c r="AJ8897">
        <v>0</v>
      </c>
      <c r="AK8897">
        <v>0</v>
      </c>
      <c r="AL8897">
        <v>0</v>
      </c>
      <c r="AM8897">
        <v>274</v>
      </c>
      <c r="AN8897">
        <v>274</v>
      </c>
      <c r="AO8897">
        <v>274</v>
      </c>
      <c r="AP8897" s="2">
        <v>42746</v>
      </c>
      <c r="AQ8897" t="s">
        <v>72</v>
      </c>
      <c r="AR8897" t="s">
        <v>72</v>
      </c>
      <c r="AS8897">
        <v>2098</v>
      </c>
      <c r="AT8897" s="4">
        <v>42585</v>
      </c>
      <c r="AV8897">
        <v>2098</v>
      </c>
      <c r="AW8897" s="4">
        <v>42585</v>
      </c>
      <c r="BD8897">
        <v>0</v>
      </c>
      <c r="BN8897" t="s">
        <v>74</v>
      </c>
    </row>
    <row r="8898" spans="1:66" hidden="1">
      <c r="A8898">
        <v>106504</v>
      </c>
      <c r="B8898" s="3" t="s">
        <v>785</v>
      </c>
      <c r="C8898" s="1">
        <v>43500101</v>
      </c>
      <c r="D8898" t="s">
        <v>113</v>
      </c>
      <c r="H8898" t="str">
        <f t="shared" si="927"/>
        <v>01806740153</v>
      </c>
      <c r="I8898" t="str">
        <f t="shared" si="928"/>
        <v>00766790356</v>
      </c>
      <c r="K8898" t="str">
        <f>""</f>
        <v/>
      </c>
      <c r="M8898" t="s">
        <v>68</v>
      </c>
      <c r="N8898" t="str">
        <f t="shared" si="926"/>
        <v>ALTFIN</v>
      </c>
      <c r="O8898" t="s">
        <v>123</v>
      </c>
      <c r="P8898" s="3" t="s">
        <v>91</v>
      </c>
      <c r="Q8898">
        <v>2016</v>
      </c>
      <c r="R8898" s="2">
        <v>42592</v>
      </c>
      <c r="S8898" s="2">
        <v>42598</v>
      </c>
      <c r="T8898" s="2">
        <v>42598</v>
      </c>
      <c r="U8898" s="2">
        <v>42658</v>
      </c>
      <c r="V8898" t="s">
        <v>71</v>
      </c>
      <c r="W8898" t="str">
        <f>"                0810"</f>
        <v xml:space="preserve">                0810</v>
      </c>
      <c r="X8898">
        <v>0</v>
      </c>
      <c r="Y8898">
        <v>274</v>
      </c>
      <c r="Z8898"/>
      <c r="AB8898"/>
      <c r="AC8898">
        <v>274</v>
      </c>
      <c r="AD8898">
        <v>-60</v>
      </c>
      <c r="AE8898" s="1">
        <v>-16440</v>
      </c>
      <c r="AF8898">
        <v>0</v>
      </c>
      <c r="AJ8898">
        <v>0</v>
      </c>
      <c r="AK8898">
        <v>0</v>
      </c>
      <c r="AL8898">
        <v>0</v>
      </c>
      <c r="AM8898">
        <v>274</v>
      </c>
      <c r="AN8898">
        <v>274</v>
      </c>
      <c r="AO8898">
        <v>274</v>
      </c>
      <c r="AP8898" s="2">
        <v>42746</v>
      </c>
      <c r="AQ8898" t="s">
        <v>72</v>
      </c>
      <c r="AR8898" t="s">
        <v>72</v>
      </c>
      <c r="AS8898">
        <v>2180</v>
      </c>
      <c r="AT8898" s="4">
        <v>42598</v>
      </c>
      <c r="AV8898">
        <v>2180</v>
      </c>
      <c r="AW8898" s="4">
        <v>42598</v>
      </c>
      <c r="BD8898">
        <v>0</v>
      </c>
      <c r="BN8898" t="s">
        <v>74</v>
      </c>
    </row>
    <row r="8899" spans="1:66" hidden="1">
      <c r="A8899">
        <v>106504</v>
      </c>
      <c r="B8899" s="3" t="s">
        <v>785</v>
      </c>
      <c r="C8899" s="1">
        <v>43500101</v>
      </c>
      <c r="D8899" t="s">
        <v>113</v>
      </c>
      <c r="H8899" t="str">
        <f t="shared" si="927"/>
        <v>01806740153</v>
      </c>
      <c r="I8899" t="str">
        <f t="shared" si="928"/>
        <v>00766790356</v>
      </c>
      <c r="K8899" t="str">
        <f>""</f>
        <v/>
      </c>
      <c r="M8899" t="s">
        <v>68</v>
      </c>
      <c r="N8899" t="str">
        <f t="shared" si="926"/>
        <v>ALTFIN</v>
      </c>
      <c r="O8899" t="s">
        <v>123</v>
      </c>
      <c r="P8899" s="3" t="s">
        <v>92</v>
      </c>
      <c r="Q8899">
        <v>2016</v>
      </c>
      <c r="R8899" s="2">
        <v>42633</v>
      </c>
      <c r="S8899" s="2">
        <v>42634</v>
      </c>
      <c r="T8899" s="2">
        <v>42634</v>
      </c>
      <c r="U8899" s="2">
        <v>42694</v>
      </c>
      <c r="V8899" t="s">
        <v>71</v>
      </c>
      <c r="W8899" t="str">
        <f>"                0920"</f>
        <v xml:space="preserve">                0920</v>
      </c>
      <c r="X8899">
        <v>0</v>
      </c>
      <c r="Y8899">
        <v>274</v>
      </c>
      <c r="Z8899"/>
      <c r="AB8899"/>
      <c r="AC8899">
        <v>274</v>
      </c>
      <c r="AD8899">
        <v>-60</v>
      </c>
      <c r="AE8899" s="1">
        <v>-16440</v>
      </c>
      <c r="AF8899">
        <v>0</v>
      </c>
      <c r="AJ8899">
        <v>0</v>
      </c>
      <c r="AK8899">
        <v>0</v>
      </c>
      <c r="AL8899">
        <v>0</v>
      </c>
      <c r="AM8899">
        <v>274</v>
      </c>
      <c r="AN8899">
        <v>274</v>
      </c>
      <c r="AO8899">
        <v>274</v>
      </c>
      <c r="AP8899" s="2">
        <v>42746</v>
      </c>
      <c r="AQ8899" t="s">
        <v>72</v>
      </c>
      <c r="AR8899" t="s">
        <v>72</v>
      </c>
      <c r="AS8899">
        <v>2454</v>
      </c>
      <c r="AT8899" s="4">
        <v>42634</v>
      </c>
      <c r="AV8899">
        <v>2454</v>
      </c>
      <c r="AW8899" s="4">
        <v>42634</v>
      </c>
      <c r="BD8899">
        <v>0</v>
      </c>
      <c r="BN8899" t="s">
        <v>74</v>
      </c>
    </row>
    <row r="8900" spans="1:66" hidden="1">
      <c r="A8900">
        <v>106504</v>
      </c>
      <c r="B8900" s="3" t="s">
        <v>785</v>
      </c>
      <c r="C8900" s="1">
        <v>43500101</v>
      </c>
      <c r="D8900" t="s">
        <v>113</v>
      </c>
      <c r="H8900" t="str">
        <f t="shared" si="927"/>
        <v>01806740153</v>
      </c>
      <c r="I8900" t="str">
        <f t="shared" si="928"/>
        <v>00766790356</v>
      </c>
      <c r="K8900" t="str">
        <f>""</f>
        <v/>
      </c>
      <c r="M8900" t="s">
        <v>68</v>
      </c>
      <c r="N8900" t="str">
        <f t="shared" si="926"/>
        <v>ALTFIN</v>
      </c>
      <c r="O8900" t="s">
        <v>123</v>
      </c>
      <c r="P8900" s="3" t="s">
        <v>93</v>
      </c>
      <c r="Q8900">
        <v>2016</v>
      </c>
      <c r="R8900" s="2">
        <v>42664</v>
      </c>
      <c r="S8900" s="2">
        <v>42667</v>
      </c>
      <c r="T8900" s="2">
        <v>42667</v>
      </c>
      <c r="U8900" s="2">
        <v>42727</v>
      </c>
      <c r="V8900" t="s">
        <v>71</v>
      </c>
      <c r="W8900" t="str">
        <f>"                1021"</f>
        <v xml:space="preserve">                1021</v>
      </c>
      <c r="X8900">
        <v>0</v>
      </c>
      <c r="Y8900" s="1">
        <v>1281</v>
      </c>
      <c r="Z8900" s="5">
        <v>1281</v>
      </c>
      <c r="AA8900">
        <v>-60</v>
      </c>
      <c r="AB8900" s="5">
        <v>-76860</v>
      </c>
      <c r="AC8900" s="1">
        <v>1281</v>
      </c>
      <c r="AD8900">
        <v>-60</v>
      </c>
      <c r="AE8900" s="1">
        <v>-76860</v>
      </c>
      <c r="AF8900">
        <v>0</v>
      </c>
      <c r="AJ8900" s="1">
        <v>1281</v>
      </c>
      <c r="AK8900" s="1">
        <v>1281</v>
      </c>
      <c r="AL8900" s="1">
        <v>1281</v>
      </c>
      <c r="AM8900" s="1">
        <v>1281</v>
      </c>
      <c r="AN8900" s="1">
        <v>1281</v>
      </c>
      <c r="AO8900" s="1">
        <v>1281</v>
      </c>
      <c r="AP8900" s="2">
        <v>42746</v>
      </c>
      <c r="AQ8900" t="s">
        <v>72</v>
      </c>
      <c r="AR8900" t="s">
        <v>72</v>
      </c>
      <c r="AS8900">
        <v>2801</v>
      </c>
      <c r="AT8900" s="4">
        <v>42667</v>
      </c>
      <c r="AV8900">
        <v>2801</v>
      </c>
      <c r="AW8900" s="4">
        <v>42667</v>
      </c>
      <c r="BD8900">
        <v>0</v>
      </c>
      <c r="BN8900" t="s">
        <v>74</v>
      </c>
    </row>
    <row r="8901" spans="1:66" hidden="1">
      <c r="A8901">
        <v>106504</v>
      </c>
      <c r="B8901" s="3" t="s">
        <v>785</v>
      </c>
      <c r="C8901" s="1">
        <v>43500101</v>
      </c>
      <c r="D8901" t="s">
        <v>113</v>
      </c>
      <c r="H8901" t="str">
        <f t="shared" si="927"/>
        <v>01806740153</v>
      </c>
      <c r="I8901" t="str">
        <f t="shared" si="928"/>
        <v>00766790356</v>
      </c>
      <c r="K8901" t="str">
        <f>""</f>
        <v/>
      </c>
      <c r="M8901" t="s">
        <v>68</v>
      </c>
      <c r="N8901" t="str">
        <f t="shared" si="926"/>
        <v>ALTFIN</v>
      </c>
      <c r="O8901" t="s">
        <v>123</v>
      </c>
      <c r="P8901" s="3" t="s">
        <v>94</v>
      </c>
      <c r="Q8901">
        <v>2016</v>
      </c>
      <c r="R8901" s="2">
        <v>42696</v>
      </c>
      <c r="S8901" s="2">
        <v>42696</v>
      </c>
      <c r="T8901" s="2">
        <v>42696</v>
      </c>
      <c r="U8901" s="2">
        <v>42756</v>
      </c>
      <c r="V8901" t="s">
        <v>71</v>
      </c>
      <c r="W8901" t="str">
        <f>"                1122"</f>
        <v xml:space="preserve">                1122</v>
      </c>
      <c r="X8901">
        <v>0</v>
      </c>
      <c r="Y8901" s="1">
        <v>1281</v>
      </c>
      <c r="Z8901" s="5">
        <v>1281</v>
      </c>
      <c r="AA8901">
        <v>-59</v>
      </c>
      <c r="AB8901" s="5">
        <v>-75579</v>
      </c>
      <c r="AC8901" s="1">
        <v>1281</v>
      </c>
      <c r="AD8901">
        <v>-59</v>
      </c>
      <c r="AE8901" s="1">
        <v>-75579</v>
      </c>
      <c r="AF8901">
        <v>0</v>
      </c>
      <c r="AJ8901" s="1">
        <v>1281</v>
      </c>
      <c r="AK8901" s="1">
        <v>1281</v>
      </c>
      <c r="AL8901" s="1">
        <v>1281</v>
      </c>
      <c r="AM8901" s="1">
        <v>1281</v>
      </c>
      <c r="AN8901" s="1">
        <v>1281</v>
      </c>
      <c r="AO8901" s="1">
        <v>1281</v>
      </c>
      <c r="AP8901" s="2">
        <v>42746</v>
      </c>
      <c r="AQ8901" t="s">
        <v>72</v>
      </c>
      <c r="AR8901" t="s">
        <v>72</v>
      </c>
      <c r="AS8901">
        <v>3239</v>
      </c>
      <c r="AT8901" s="4">
        <v>42697</v>
      </c>
      <c r="AV8901">
        <v>3239</v>
      </c>
      <c r="AW8901" s="4">
        <v>42697</v>
      </c>
      <c r="BD8901">
        <v>0</v>
      </c>
      <c r="BN8901" t="s">
        <v>74</v>
      </c>
    </row>
    <row r="8902" spans="1:66" hidden="1">
      <c r="A8902">
        <v>106504</v>
      </c>
      <c r="B8902" s="3" t="s">
        <v>785</v>
      </c>
      <c r="C8902" s="1">
        <v>43500101</v>
      </c>
      <c r="D8902" t="s">
        <v>113</v>
      </c>
      <c r="H8902" t="str">
        <f t="shared" si="927"/>
        <v>01806740153</v>
      </c>
      <c r="I8902" t="str">
        <f t="shared" si="928"/>
        <v>00766790356</v>
      </c>
      <c r="K8902" t="str">
        <f>""</f>
        <v/>
      </c>
      <c r="M8902" t="s">
        <v>68</v>
      </c>
      <c r="N8902" t="str">
        <f t="shared" si="926"/>
        <v>ALTFIN</v>
      </c>
      <c r="O8902" t="s">
        <v>123</v>
      </c>
      <c r="P8902" s="3" t="s">
        <v>95</v>
      </c>
      <c r="Q8902">
        <v>2016</v>
      </c>
      <c r="R8902" s="2">
        <v>42717</v>
      </c>
      <c r="S8902" s="2">
        <v>42717</v>
      </c>
      <c r="T8902" s="2">
        <v>42717</v>
      </c>
      <c r="U8902" s="2">
        <v>42777</v>
      </c>
      <c r="V8902" t="s">
        <v>71</v>
      </c>
      <c r="W8902" t="str">
        <f>"                1213"</f>
        <v xml:space="preserve">                1213</v>
      </c>
      <c r="X8902">
        <v>0</v>
      </c>
      <c r="Y8902" s="1">
        <v>1281</v>
      </c>
      <c r="Z8902" s="5">
        <v>1281</v>
      </c>
      <c r="AA8902">
        <v>-59</v>
      </c>
      <c r="AB8902" s="5">
        <v>-75579</v>
      </c>
      <c r="AC8902" s="1">
        <v>1281</v>
      </c>
      <c r="AD8902">
        <v>-59</v>
      </c>
      <c r="AE8902" s="1">
        <v>-75579</v>
      </c>
      <c r="AF8902">
        <v>0</v>
      </c>
      <c r="AJ8902" s="1">
        <v>1281</v>
      </c>
      <c r="AK8902" s="1">
        <v>1281</v>
      </c>
      <c r="AL8902" s="1">
        <v>1281</v>
      </c>
      <c r="AM8902" s="1">
        <v>1281</v>
      </c>
      <c r="AN8902" s="1">
        <v>1281</v>
      </c>
      <c r="AO8902" s="1">
        <v>1281</v>
      </c>
      <c r="AP8902" s="2">
        <v>42746</v>
      </c>
      <c r="AQ8902" t="s">
        <v>72</v>
      </c>
      <c r="AR8902" t="s">
        <v>72</v>
      </c>
      <c r="AS8902">
        <v>3398</v>
      </c>
      <c r="AT8902" s="4">
        <v>42718</v>
      </c>
      <c r="AV8902">
        <v>3398</v>
      </c>
      <c r="AW8902" s="4">
        <v>42718</v>
      </c>
      <c r="BD8902">
        <v>0</v>
      </c>
      <c r="BN8902" t="s">
        <v>74</v>
      </c>
    </row>
    <row r="8903" spans="1:66" hidden="1">
      <c r="A8903">
        <v>106505</v>
      </c>
      <c r="B8903" s="3" t="s">
        <v>786</v>
      </c>
      <c r="C8903" s="1">
        <v>43500101</v>
      </c>
      <c r="D8903" t="s">
        <v>113</v>
      </c>
      <c r="H8903" t="str">
        <f t="shared" ref="H8903:I8914" si="929">"02363620366"</f>
        <v>02363620366</v>
      </c>
      <c r="I8903" t="str">
        <f t="shared" si="929"/>
        <v>02363620366</v>
      </c>
      <c r="K8903" t="str">
        <f>""</f>
        <v/>
      </c>
      <c r="M8903" t="s">
        <v>68</v>
      </c>
      <c r="N8903" t="str">
        <f t="shared" si="926"/>
        <v>ALTFIN</v>
      </c>
      <c r="O8903" t="s">
        <v>123</v>
      </c>
      <c r="P8903" s="3" t="s">
        <v>84</v>
      </c>
      <c r="Q8903">
        <v>2016</v>
      </c>
      <c r="R8903" s="2">
        <v>42389</v>
      </c>
      <c r="S8903" s="2">
        <v>42390</v>
      </c>
      <c r="T8903" s="2">
        <v>42390</v>
      </c>
      <c r="U8903" s="2">
        <v>42450</v>
      </c>
      <c r="V8903" t="s">
        <v>71</v>
      </c>
      <c r="W8903" t="str">
        <f>"                0120"</f>
        <v xml:space="preserve">                0120</v>
      </c>
      <c r="X8903">
        <v>0</v>
      </c>
      <c r="Y8903">
        <v>286.24</v>
      </c>
      <c r="Z8903"/>
      <c r="AB8903"/>
      <c r="AC8903">
        <v>286.24</v>
      </c>
      <c r="AD8903">
        <v>-60</v>
      </c>
      <c r="AE8903" s="1">
        <v>-17174.400000000001</v>
      </c>
      <c r="AF8903">
        <v>0</v>
      </c>
      <c r="AJ8903">
        <v>0</v>
      </c>
      <c r="AK8903">
        <v>0</v>
      </c>
      <c r="AL8903">
        <v>0</v>
      </c>
      <c r="AM8903">
        <v>286.24</v>
      </c>
      <c r="AN8903">
        <v>286.24</v>
      </c>
      <c r="AO8903">
        <v>286.24</v>
      </c>
      <c r="AP8903" s="2">
        <v>42746</v>
      </c>
      <c r="AQ8903" t="s">
        <v>72</v>
      </c>
      <c r="AR8903" t="s">
        <v>72</v>
      </c>
      <c r="AS8903">
        <v>57</v>
      </c>
      <c r="AT8903" s="4">
        <v>42390</v>
      </c>
      <c r="AV8903">
        <v>57</v>
      </c>
      <c r="AW8903" s="4">
        <v>42390</v>
      </c>
      <c r="BD8903">
        <v>0</v>
      </c>
      <c r="BN8903" t="s">
        <v>74</v>
      </c>
    </row>
    <row r="8904" spans="1:66" hidden="1">
      <c r="A8904">
        <v>106505</v>
      </c>
      <c r="B8904" s="3" t="s">
        <v>786</v>
      </c>
      <c r="C8904" s="1">
        <v>43500101</v>
      </c>
      <c r="D8904" t="s">
        <v>113</v>
      </c>
      <c r="H8904" t="str">
        <f t="shared" si="929"/>
        <v>02363620366</v>
      </c>
      <c r="I8904" t="str">
        <f t="shared" si="929"/>
        <v>02363620366</v>
      </c>
      <c r="K8904" t="str">
        <f>""</f>
        <v/>
      </c>
      <c r="M8904" t="s">
        <v>68</v>
      </c>
      <c r="N8904" t="str">
        <f t="shared" si="926"/>
        <v>ALTFIN</v>
      </c>
      <c r="O8904" t="s">
        <v>123</v>
      </c>
      <c r="P8904" s="3" t="s">
        <v>85</v>
      </c>
      <c r="Q8904">
        <v>2016</v>
      </c>
      <c r="R8904" s="2">
        <v>42422</v>
      </c>
      <c r="S8904" s="2">
        <v>42422</v>
      </c>
      <c r="T8904" s="2">
        <v>42422</v>
      </c>
      <c r="U8904" s="2">
        <v>42482</v>
      </c>
      <c r="V8904" t="s">
        <v>71</v>
      </c>
      <c r="W8904" t="str">
        <f>"                0222"</f>
        <v xml:space="preserve">                0222</v>
      </c>
      <c r="X8904">
        <v>0</v>
      </c>
      <c r="Y8904">
        <v>286.24</v>
      </c>
      <c r="Z8904"/>
      <c r="AB8904"/>
      <c r="AC8904">
        <v>286.24</v>
      </c>
      <c r="AD8904">
        <v>-58</v>
      </c>
      <c r="AE8904" s="1">
        <v>-16601.919999999998</v>
      </c>
      <c r="AF8904">
        <v>0</v>
      </c>
      <c r="AJ8904">
        <v>0</v>
      </c>
      <c r="AK8904">
        <v>0</v>
      </c>
      <c r="AL8904">
        <v>0</v>
      </c>
      <c r="AM8904">
        <v>286.24</v>
      </c>
      <c r="AN8904">
        <v>286.24</v>
      </c>
      <c r="AO8904">
        <v>286.24</v>
      </c>
      <c r="AP8904" s="2">
        <v>42746</v>
      </c>
      <c r="AQ8904" t="s">
        <v>72</v>
      </c>
      <c r="AR8904" t="s">
        <v>72</v>
      </c>
      <c r="AS8904">
        <v>501</v>
      </c>
      <c r="AT8904" s="4">
        <v>42424</v>
      </c>
      <c r="AV8904">
        <v>501</v>
      </c>
      <c r="AW8904" s="4">
        <v>42424</v>
      </c>
      <c r="BD8904">
        <v>0</v>
      </c>
      <c r="BN8904" t="s">
        <v>74</v>
      </c>
    </row>
    <row r="8905" spans="1:66" hidden="1">
      <c r="A8905">
        <v>106505</v>
      </c>
      <c r="B8905" s="3" t="s">
        <v>786</v>
      </c>
      <c r="C8905" s="1">
        <v>43500101</v>
      </c>
      <c r="D8905" t="s">
        <v>113</v>
      </c>
      <c r="H8905" t="str">
        <f t="shared" si="929"/>
        <v>02363620366</v>
      </c>
      <c r="I8905" t="str">
        <f t="shared" si="929"/>
        <v>02363620366</v>
      </c>
      <c r="K8905" t="str">
        <f>""</f>
        <v/>
      </c>
      <c r="M8905" t="s">
        <v>68</v>
      </c>
      <c r="N8905" t="str">
        <f t="shared" si="926"/>
        <v>ALTFIN</v>
      </c>
      <c r="O8905" t="s">
        <v>123</v>
      </c>
      <c r="P8905" s="3" t="s">
        <v>86</v>
      </c>
      <c r="Q8905">
        <v>2016</v>
      </c>
      <c r="R8905" s="2">
        <v>42450</v>
      </c>
      <c r="S8905" s="2">
        <v>42450</v>
      </c>
      <c r="T8905" s="2">
        <v>42450</v>
      </c>
      <c r="U8905" s="2">
        <v>42510</v>
      </c>
      <c r="V8905" t="s">
        <v>71</v>
      </c>
      <c r="W8905" t="str">
        <f>"                0321"</f>
        <v xml:space="preserve">                0321</v>
      </c>
      <c r="X8905">
        <v>0</v>
      </c>
      <c r="Y8905">
        <v>286.24</v>
      </c>
      <c r="Z8905"/>
      <c r="AB8905"/>
      <c r="AC8905">
        <v>286.24</v>
      </c>
      <c r="AD8905">
        <v>-57</v>
      </c>
      <c r="AE8905" s="1">
        <v>-16315.68</v>
      </c>
      <c r="AF8905">
        <v>0</v>
      </c>
      <c r="AJ8905">
        <v>0</v>
      </c>
      <c r="AK8905">
        <v>0</v>
      </c>
      <c r="AL8905">
        <v>0</v>
      </c>
      <c r="AM8905">
        <v>286.24</v>
      </c>
      <c r="AN8905">
        <v>286.24</v>
      </c>
      <c r="AO8905">
        <v>286.24</v>
      </c>
      <c r="AP8905" s="2">
        <v>42746</v>
      </c>
      <c r="AQ8905" t="s">
        <v>72</v>
      </c>
      <c r="AR8905" t="s">
        <v>72</v>
      </c>
      <c r="AS8905">
        <v>923</v>
      </c>
      <c r="AT8905" s="4">
        <v>42453</v>
      </c>
      <c r="AV8905">
        <v>923</v>
      </c>
      <c r="AW8905" s="4">
        <v>42453</v>
      </c>
      <c r="BD8905">
        <v>0</v>
      </c>
      <c r="BN8905" t="s">
        <v>74</v>
      </c>
    </row>
    <row r="8906" spans="1:66" hidden="1">
      <c r="A8906">
        <v>106505</v>
      </c>
      <c r="B8906" s="3" t="s">
        <v>786</v>
      </c>
      <c r="C8906" s="1">
        <v>43500101</v>
      </c>
      <c r="D8906" t="s">
        <v>113</v>
      </c>
      <c r="H8906" t="str">
        <f t="shared" si="929"/>
        <v>02363620366</v>
      </c>
      <c r="I8906" t="str">
        <f t="shared" si="929"/>
        <v>02363620366</v>
      </c>
      <c r="K8906" t="str">
        <f>""</f>
        <v/>
      </c>
      <c r="M8906" t="s">
        <v>68</v>
      </c>
      <c r="N8906" t="str">
        <f t="shared" si="926"/>
        <v>ALTFIN</v>
      </c>
      <c r="O8906" t="s">
        <v>123</v>
      </c>
      <c r="P8906" s="3" t="s">
        <v>87</v>
      </c>
      <c r="Q8906">
        <v>2016</v>
      </c>
      <c r="R8906" s="2">
        <v>42481</v>
      </c>
      <c r="S8906" s="2">
        <v>42481</v>
      </c>
      <c r="T8906" s="2">
        <v>42481</v>
      </c>
      <c r="U8906" s="2">
        <v>42541</v>
      </c>
      <c r="V8906" t="s">
        <v>71</v>
      </c>
      <c r="W8906" t="str">
        <f>"                0421"</f>
        <v xml:space="preserve">                0421</v>
      </c>
      <c r="X8906">
        <v>0</v>
      </c>
      <c r="Y8906">
        <v>286.24</v>
      </c>
      <c r="Z8906"/>
      <c r="AB8906"/>
      <c r="AC8906">
        <v>286.24</v>
      </c>
      <c r="AD8906">
        <v>-60</v>
      </c>
      <c r="AE8906" s="1">
        <v>-17174.400000000001</v>
      </c>
      <c r="AF8906">
        <v>0</v>
      </c>
      <c r="AJ8906">
        <v>0</v>
      </c>
      <c r="AK8906">
        <v>0</v>
      </c>
      <c r="AL8906">
        <v>0</v>
      </c>
      <c r="AM8906">
        <v>286.24</v>
      </c>
      <c r="AN8906">
        <v>286.24</v>
      </c>
      <c r="AO8906">
        <v>286.24</v>
      </c>
      <c r="AP8906" s="2">
        <v>42746</v>
      </c>
      <c r="AQ8906" t="s">
        <v>72</v>
      </c>
      <c r="AR8906" t="s">
        <v>72</v>
      </c>
      <c r="AS8906">
        <v>1089</v>
      </c>
      <c r="AT8906" s="4">
        <v>42481</v>
      </c>
      <c r="AV8906">
        <v>1089</v>
      </c>
      <c r="AW8906" s="4">
        <v>42481</v>
      </c>
      <c r="BD8906">
        <v>0</v>
      </c>
      <c r="BN8906" t="s">
        <v>74</v>
      </c>
    </row>
    <row r="8907" spans="1:66" hidden="1">
      <c r="A8907">
        <v>106505</v>
      </c>
      <c r="B8907" s="3" t="s">
        <v>786</v>
      </c>
      <c r="C8907" s="1">
        <v>43500101</v>
      </c>
      <c r="D8907" t="s">
        <v>113</v>
      </c>
      <c r="H8907" t="str">
        <f t="shared" si="929"/>
        <v>02363620366</v>
      </c>
      <c r="I8907" t="str">
        <f t="shared" si="929"/>
        <v>02363620366</v>
      </c>
      <c r="K8907" t="str">
        <f>""</f>
        <v/>
      </c>
      <c r="M8907" t="s">
        <v>68</v>
      </c>
      <c r="N8907" t="str">
        <f t="shared" si="926"/>
        <v>ALTFIN</v>
      </c>
      <c r="O8907" t="s">
        <v>123</v>
      </c>
      <c r="P8907" s="3" t="s">
        <v>88</v>
      </c>
      <c r="Q8907">
        <v>2016</v>
      </c>
      <c r="R8907" s="2">
        <v>42508</v>
      </c>
      <c r="S8907" s="2">
        <v>42510</v>
      </c>
      <c r="T8907" s="2">
        <v>42510</v>
      </c>
      <c r="U8907" s="2">
        <v>42570</v>
      </c>
      <c r="V8907" t="s">
        <v>71</v>
      </c>
      <c r="W8907" t="str">
        <f>"                0518"</f>
        <v xml:space="preserve">                0518</v>
      </c>
      <c r="X8907">
        <v>0</v>
      </c>
      <c r="Y8907">
        <v>286.24</v>
      </c>
      <c r="Z8907"/>
      <c r="AB8907"/>
      <c r="AC8907">
        <v>286.24</v>
      </c>
      <c r="AD8907">
        <v>-57</v>
      </c>
      <c r="AE8907" s="1">
        <v>-16315.68</v>
      </c>
      <c r="AF8907">
        <v>0</v>
      </c>
      <c r="AJ8907">
        <v>0</v>
      </c>
      <c r="AK8907">
        <v>0</v>
      </c>
      <c r="AL8907">
        <v>0</v>
      </c>
      <c r="AM8907">
        <v>286.24</v>
      </c>
      <c r="AN8907">
        <v>286.24</v>
      </c>
      <c r="AO8907">
        <v>286.24</v>
      </c>
      <c r="AP8907" s="2">
        <v>42746</v>
      </c>
      <c r="AQ8907" t="s">
        <v>72</v>
      </c>
      <c r="AR8907" t="s">
        <v>72</v>
      </c>
      <c r="AS8907">
        <v>1327</v>
      </c>
      <c r="AT8907" s="4">
        <v>42513</v>
      </c>
      <c r="AV8907">
        <v>1327</v>
      </c>
      <c r="AW8907" s="4">
        <v>42513</v>
      </c>
      <c r="BD8907">
        <v>0</v>
      </c>
      <c r="BN8907" t="s">
        <v>74</v>
      </c>
    </row>
    <row r="8908" spans="1:66" hidden="1">
      <c r="A8908">
        <v>106505</v>
      </c>
      <c r="B8908" s="3" t="s">
        <v>786</v>
      </c>
      <c r="C8908" s="1">
        <v>43500101</v>
      </c>
      <c r="D8908" t="s">
        <v>113</v>
      </c>
      <c r="H8908" t="str">
        <f t="shared" si="929"/>
        <v>02363620366</v>
      </c>
      <c r="I8908" t="str">
        <f t="shared" si="929"/>
        <v>02363620366</v>
      </c>
      <c r="K8908" t="str">
        <f>""</f>
        <v/>
      </c>
      <c r="M8908" t="s">
        <v>68</v>
      </c>
      <c r="N8908" t="str">
        <f t="shared" si="926"/>
        <v>ALTFIN</v>
      </c>
      <c r="O8908" t="s">
        <v>123</v>
      </c>
      <c r="P8908" s="3" t="s">
        <v>89</v>
      </c>
      <c r="Q8908">
        <v>2016</v>
      </c>
      <c r="R8908" s="2">
        <v>42548</v>
      </c>
      <c r="S8908" s="2">
        <v>42543</v>
      </c>
      <c r="T8908" s="2">
        <v>42543</v>
      </c>
      <c r="U8908" s="2">
        <v>42603</v>
      </c>
      <c r="V8908" t="s">
        <v>71</v>
      </c>
      <c r="W8908" t="str">
        <f>"                0627"</f>
        <v xml:space="preserve">                0627</v>
      </c>
      <c r="X8908">
        <v>0</v>
      </c>
      <c r="Y8908">
        <v>286.24</v>
      </c>
      <c r="Z8908"/>
      <c r="AB8908"/>
      <c r="AC8908">
        <v>286.24</v>
      </c>
      <c r="AD8908">
        <v>-47</v>
      </c>
      <c r="AE8908" s="1">
        <v>-13453.28</v>
      </c>
      <c r="AF8908">
        <v>0</v>
      </c>
      <c r="AJ8908">
        <v>0</v>
      </c>
      <c r="AK8908">
        <v>0</v>
      </c>
      <c r="AL8908">
        <v>0</v>
      </c>
      <c r="AM8908">
        <v>286.24</v>
      </c>
      <c r="AN8908">
        <v>286.24</v>
      </c>
      <c r="AO8908">
        <v>286.24</v>
      </c>
      <c r="AP8908" s="2">
        <v>42746</v>
      </c>
      <c r="AQ8908" t="s">
        <v>72</v>
      </c>
      <c r="AR8908" t="s">
        <v>72</v>
      </c>
      <c r="AS8908">
        <v>1709</v>
      </c>
      <c r="AT8908" s="4">
        <v>42556</v>
      </c>
      <c r="AV8908">
        <v>1709</v>
      </c>
      <c r="AW8908" s="4">
        <v>42556</v>
      </c>
      <c r="BD8908">
        <v>0</v>
      </c>
      <c r="BN8908" t="s">
        <v>74</v>
      </c>
    </row>
    <row r="8909" spans="1:66" hidden="1">
      <c r="A8909">
        <v>106505</v>
      </c>
      <c r="B8909" s="3" t="s">
        <v>786</v>
      </c>
      <c r="C8909" s="1">
        <v>43500101</v>
      </c>
      <c r="D8909" t="s">
        <v>113</v>
      </c>
      <c r="H8909" t="str">
        <f t="shared" si="929"/>
        <v>02363620366</v>
      </c>
      <c r="I8909" t="str">
        <f t="shared" si="929"/>
        <v>02363620366</v>
      </c>
      <c r="K8909" t="str">
        <f>""</f>
        <v/>
      </c>
      <c r="M8909" t="s">
        <v>68</v>
      </c>
      <c r="N8909" t="str">
        <f t="shared" si="926"/>
        <v>ALTFIN</v>
      </c>
      <c r="O8909" t="s">
        <v>123</v>
      </c>
      <c r="P8909" s="3" t="s">
        <v>90</v>
      </c>
      <c r="Q8909">
        <v>2016</v>
      </c>
      <c r="R8909" s="2">
        <v>42573</v>
      </c>
      <c r="S8909" s="2">
        <v>42573</v>
      </c>
      <c r="T8909" s="2">
        <v>42573</v>
      </c>
      <c r="U8909" s="2">
        <v>42633</v>
      </c>
      <c r="V8909" t="s">
        <v>71</v>
      </c>
      <c r="W8909" t="str">
        <f>"                0722"</f>
        <v xml:space="preserve">                0722</v>
      </c>
      <c r="X8909">
        <v>0</v>
      </c>
      <c r="Y8909">
        <v>286.24</v>
      </c>
      <c r="Z8909"/>
      <c r="AB8909"/>
      <c r="AC8909">
        <v>286.24</v>
      </c>
      <c r="AD8909">
        <v>-48</v>
      </c>
      <c r="AE8909" s="1">
        <v>-13739.52</v>
      </c>
      <c r="AF8909">
        <v>0</v>
      </c>
      <c r="AJ8909">
        <v>0</v>
      </c>
      <c r="AK8909">
        <v>0</v>
      </c>
      <c r="AL8909">
        <v>0</v>
      </c>
      <c r="AM8909">
        <v>286.24</v>
      </c>
      <c r="AN8909">
        <v>286.24</v>
      </c>
      <c r="AO8909">
        <v>286.24</v>
      </c>
      <c r="AP8909" s="2">
        <v>42746</v>
      </c>
      <c r="AQ8909" t="s">
        <v>72</v>
      </c>
      <c r="AR8909" t="s">
        <v>72</v>
      </c>
      <c r="AS8909">
        <v>2109</v>
      </c>
      <c r="AT8909" s="4">
        <v>42585</v>
      </c>
      <c r="AV8909">
        <v>2109</v>
      </c>
      <c r="AW8909" s="4">
        <v>42585</v>
      </c>
      <c r="BD8909">
        <v>0</v>
      </c>
      <c r="BN8909" t="s">
        <v>74</v>
      </c>
    </row>
    <row r="8910" spans="1:66" hidden="1">
      <c r="A8910">
        <v>106505</v>
      </c>
      <c r="B8910" s="3" t="s">
        <v>786</v>
      </c>
      <c r="C8910" s="1">
        <v>43500101</v>
      </c>
      <c r="D8910" t="s">
        <v>113</v>
      </c>
      <c r="H8910" t="str">
        <f t="shared" si="929"/>
        <v>02363620366</v>
      </c>
      <c r="I8910" t="str">
        <f t="shared" si="929"/>
        <v>02363620366</v>
      </c>
      <c r="K8910" t="str">
        <f>""</f>
        <v/>
      </c>
      <c r="M8910" t="s">
        <v>68</v>
      </c>
      <c r="N8910" t="str">
        <f t="shared" si="926"/>
        <v>ALTFIN</v>
      </c>
      <c r="O8910" t="s">
        <v>123</v>
      </c>
      <c r="P8910" s="3" t="s">
        <v>91</v>
      </c>
      <c r="Q8910">
        <v>2016</v>
      </c>
      <c r="R8910" s="2">
        <v>42592</v>
      </c>
      <c r="S8910" s="2">
        <v>42598</v>
      </c>
      <c r="T8910" s="2">
        <v>42598</v>
      </c>
      <c r="U8910" s="2">
        <v>42658</v>
      </c>
      <c r="V8910" t="s">
        <v>71</v>
      </c>
      <c r="W8910" t="str">
        <f>"                0810"</f>
        <v xml:space="preserve">                0810</v>
      </c>
      <c r="X8910">
        <v>0</v>
      </c>
      <c r="Y8910">
        <v>286.24</v>
      </c>
      <c r="Z8910"/>
      <c r="AB8910"/>
      <c r="AC8910">
        <v>286.24</v>
      </c>
      <c r="AD8910">
        <v>-60</v>
      </c>
      <c r="AE8910" s="1">
        <v>-17174.400000000001</v>
      </c>
      <c r="AF8910">
        <v>0</v>
      </c>
      <c r="AJ8910">
        <v>0</v>
      </c>
      <c r="AK8910">
        <v>0</v>
      </c>
      <c r="AL8910">
        <v>0</v>
      </c>
      <c r="AM8910">
        <v>286.24</v>
      </c>
      <c r="AN8910">
        <v>286.24</v>
      </c>
      <c r="AO8910">
        <v>286.24</v>
      </c>
      <c r="AP8910" s="2">
        <v>42746</v>
      </c>
      <c r="AQ8910" t="s">
        <v>72</v>
      </c>
      <c r="AR8910" t="s">
        <v>72</v>
      </c>
      <c r="AS8910">
        <v>2191</v>
      </c>
      <c r="AT8910" s="4">
        <v>42598</v>
      </c>
      <c r="AV8910">
        <v>2191</v>
      </c>
      <c r="AW8910" s="4">
        <v>42598</v>
      </c>
      <c r="BD8910">
        <v>0</v>
      </c>
      <c r="BN8910" t="s">
        <v>74</v>
      </c>
    </row>
    <row r="8911" spans="1:66" hidden="1">
      <c r="A8911">
        <v>106505</v>
      </c>
      <c r="B8911" s="3" t="s">
        <v>786</v>
      </c>
      <c r="C8911" s="1">
        <v>43500101</v>
      </c>
      <c r="D8911" t="s">
        <v>113</v>
      </c>
      <c r="H8911" t="str">
        <f t="shared" si="929"/>
        <v>02363620366</v>
      </c>
      <c r="I8911" t="str">
        <f t="shared" si="929"/>
        <v>02363620366</v>
      </c>
      <c r="K8911" t="str">
        <f>""</f>
        <v/>
      </c>
      <c r="M8911" t="s">
        <v>68</v>
      </c>
      <c r="N8911" t="str">
        <f t="shared" si="926"/>
        <v>ALTFIN</v>
      </c>
      <c r="O8911" t="s">
        <v>123</v>
      </c>
      <c r="P8911" s="3" t="s">
        <v>92</v>
      </c>
      <c r="Q8911">
        <v>2016</v>
      </c>
      <c r="R8911" s="2">
        <v>42633</v>
      </c>
      <c r="S8911" s="2">
        <v>42634</v>
      </c>
      <c r="T8911" s="2">
        <v>42634</v>
      </c>
      <c r="U8911" s="2">
        <v>42694</v>
      </c>
      <c r="V8911" t="s">
        <v>71</v>
      </c>
      <c r="W8911" t="str">
        <f>"                0920"</f>
        <v xml:space="preserve">                0920</v>
      </c>
      <c r="X8911">
        <v>0</v>
      </c>
      <c r="Y8911">
        <v>286.24</v>
      </c>
      <c r="Z8911"/>
      <c r="AB8911"/>
      <c r="AC8911">
        <v>286.24</v>
      </c>
      <c r="AD8911">
        <v>-60</v>
      </c>
      <c r="AE8911" s="1">
        <v>-17174.400000000001</v>
      </c>
      <c r="AF8911">
        <v>0</v>
      </c>
      <c r="AJ8911">
        <v>0</v>
      </c>
      <c r="AK8911">
        <v>0</v>
      </c>
      <c r="AL8911">
        <v>0</v>
      </c>
      <c r="AM8911">
        <v>286.24</v>
      </c>
      <c r="AN8911">
        <v>286.24</v>
      </c>
      <c r="AO8911">
        <v>286.24</v>
      </c>
      <c r="AP8911" s="2">
        <v>42746</v>
      </c>
      <c r="AQ8911" t="s">
        <v>72</v>
      </c>
      <c r="AR8911" t="s">
        <v>72</v>
      </c>
      <c r="AS8911">
        <v>2465</v>
      </c>
      <c r="AT8911" s="4">
        <v>42634</v>
      </c>
      <c r="AV8911">
        <v>2465</v>
      </c>
      <c r="AW8911" s="4">
        <v>42634</v>
      </c>
      <c r="BD8911">
        <v>0</v>
      </c>
      <c r="BN8911" t="s">
        <v>74</v>
      </c>
    </row>
    <row r="8912" spans="1:66" hidden="1">
      <c r="A8912">
        <v>106505</v>
      </c>
      <c r="B8912" s="3" t="s">
        <v>786</v>
      </c>
      <c r="C8912" s="1">
        <v>43500101</v>
      </c>
      <c r="D8912" t="s">
        <v>113</v>
      </c>
      <c r="H8912" t="str">
        <f t="shared" si="929"/>
        <v>02363620366</v>
      </c>
      <c r="I8912" t="str">
        <f t="shared" si="929"/>
        <v>02363620366</v>
      </c>
      <c r="K8912" t="str">
        <f>""</f>
        <v/>
      </c>
      <c r="M8912" t="s">
        <v>68</v>
      </c>
      <c r="N8912" t="str">
        <f t="shared" si="926"/>
        <v>ALTFIN</v>
      </c>
      <c r="O8912" t="s">
        <v>123</v>
      </c>
      <c r="P8912" s="3" t="s">
        <v>93</v>
      </c>
      <c r="Q8912">
        <v>2016</v>
      </c>
      <c r="R8912" s="2">
        <v>42664</v>
      </c>
      <c r="S8912" s="2">
        <v>42667</v>
      </c>
      <c r="T8912" s="2">
        <v>42667</v>
      </c>
      <c r="U8912" s="2">
        <v>42727</v>
      </c>
      <c r="V8912" t="s">
        <v>71</v>
      </c>
      <c r="W8912" t="str">
        <f>"                1021"</f>
        <v xml:space="preserve">                1021</v>
      </c>
      <c r="X8912">
        <v>0</v>
      </c>
      <c r="Y8912">
        <v>286.24</v>
      </c>
      <c r="Z8912" s="3">
        <v>286.24</v>
      </c>
      <c r="AA8912">
        <v>-60</v>
      </c>
      <c r="AB8912" s="5">
        <v>-17174.400000000001</v>
      </c>
      <c r="AC8912">
        <v>286.24</v>
      </c>
      <c r="AD8912">
        <v>-60</v>
      </c>
      <c r="AE8912" s="1">
        <v>-17174.400000000001</v>
      </c>
      <c r="AF8912">
        <v>0</v>
      </c>
      <c r="AJ8912">
        <v>286.24</v>
      </c>
      <c r="AK8912">
        <v>286.24</v>
      </c>
      <c r="AL8912">
        <v>286.24</v>
      </c>
      <c r="AM8912">
        <v>286.24</v>
      </c>
      <c r="AN8912">
        <v>286.24</v>
      </c>
      <c r="AO8912">
        <v>286.24</v>
      </c>
      <c r="AP8912" s="2">
        <v>42746</v>
      </c>
      <c r="AQ8912" t="s">
        <v>72</v>
      </c>
      <c r="AR8912" t="s">
        <v>72</v>
      </c>
      <c r="AS8912">
        <v>2813</v>
      </c>
      <c r="AT8912" s="4">
        <v>42667</v>
      </c>
      <c r="AV8912">
        <v>2813</v>
      </c>
      <c r="AW8912" s="4">
        <v>42667</v>
      </c>
      <c r="BD8912">
        <v>0</v>
      </c>
      <c r="BN8912" t="s">
        <v>74</v>
      </c>
    </row>
    <row r="8913" spans="1:66" hidden="1">
      <c r="A8913">
        <v>106505</v>
      </c>
      <c r="B8913" s="3" t="s">
        <v>786</v>
      </c>
      <c r="C8913" s="1">
        <v>43500101</v>
      </c>
      <c r="D8913" t="s">
        <v>113</v>
      </c>
      <c r="H8913" t="str">
        <f t="shared" si="929"/>
        <v>02363620366</v>
      </c>
      <c r="I8913" t="str">
        <f t="shared" si="929"/>
        <v>02363620366</v>
      </c>
      <c r="K8913" t="str">
        <f>""</f>
        <v/>
      </c>
      <c r="M8913" t="s">
        <v>68</v>
      </c>
      <c r="N8913" t="str">
        <f t="shared" si="926"/>
        <v>ALTFIN</v>
      </c>
      <c r="O8913" t="s">
        <v>123</v>
      </c>
      <c r="P8913" s="3" t="s">
        <v>94</v>
      </c>
      <c r="Q8913">
        <v>2016</v>
      </c>
      <c r="R8913" s="2">
        <v>42696</v>
      </c>
      <c r="S8913" s="2">
        <v>42696</v>
      </c>
      <c r="T8913" s="2">
        <v>42696</v>
      </c>
      <c r="U8913" s="2">
        <v>42756</v>
      </c>
      <c r="V8913" t="s">
        <v>71</v>
      </c>
      <c r="W8913" t="str">
        <f>"                1122"</f>
        <v xml:space="preserve">                1122</v>
      </c>
      <c r="X8913">
        <v>0</v>
      </c>
      <c r="Y8913">
        <v>286.24</v>
      </c>
      <c r="Z8913" s="3">
        <v>286.24</v>
      </c>
      <c r="AA8913">
        <v>-59</v>
      </c>
      <c r="AB8913" s="5">
        <v>-16888.16</v>
      </c>
      <c r="AC8913">
        <v>286.24</v>
      </c>
      <c r="AD8913">
        <v>-59</v>
      </c>
      <c r="AE8913" s="1">
        <v>-16888.16</v>
      </c>
      <c r="AF8913">
        <v>0</v>
      </c>
      <c r="AJ8913">
        <v>286.24</v>
      </c>
      <c r="AK8913">
        <v>286.24</v>
      </c>
      <c r="AL8913">
        <v>286.24</v>
      </c>
      <c r="AM8913">
        <v>286.24</v>
      </c>
      <c r="AN8913">
        <v>286.24</v>
      </c>
      <c r="AO8913">
        <v>286.24</v>
      </c>
      <c r="AP8913" s="2">
        <v>42746</v>
      </c>
      <c r="AQ8913" t="s">
        <v>72</v>
      </c>
      <c r="AR8913" t="s">
        <v>72</v>
      </c>
      <c r="AS8913">
        <v>3250</v>
      </c>
      <c r="AT8913" s="4">
        <v>42697</v>
      </c>
      <c r="AV8913">
        <v>3250</v>
      </c>
      <c r="AW8913" s="4">
        <v>42697</v>
      </c>
      <c r="BD8913">
        <v>0</v>
      </c>
      <c r="BN8913" t="s">
        <v>74</v>
      </c>
    </row>
    <row r="8914" spans="1:66" hidden="1">
      <c r="A8914">
        <v>106505</v>
      </c>
      <c r="B8914" s="3" t="s">
        <v>786</v>
      </c>
      <c r="C8914" s="1">
        <v>43500101</v>
      </c>
      <c r="D8914" t="s">
        <v>113</v>
      </c>
      <c r="H8914" t="str">
        <f t="shared" si="929"/>
        <v>02363620366</v>
      </c>
      <c r="I8914" t="str">
        <f t="shared" si="929"/>
        <v>02363620366</v>
      </c>
      <c r="K8914" t="str">
        <f>""</f>
        <v/>
      </c>
      <c r="M8914" t="s">
        <v>68</v>
      </c>
      <c r="N8914" t="str">
        <f t="shared" si="926"/>
        <v>ALTFIN</v>
      </c>
      <c r="O8914" t="s">
        <v>123</v>
      </c>
      <c r="P8914" s="3" t="s">
        <v>95</v>
      </c>
      <c r="Q8914">
        <v>2016</v>
      </c>
      <c r="R8914" s="2">
        <v>42717</v>
      </c>
      <c r="S8914" s="2">
        <v>42717</v>
      </c>
      <c r="T8914" s="2">
        <v>42717</v>
      </c>
      <c r="U8914" s="2">
        <v>42777</v>
      </c>
      <c r="V8914" t="s">
        <v>71</v>
      </c>
      <c r="W8914" t="str">
        <f>"                1213"</f>
        <v xml:space="preserve">                1213</v>
      </c>
      <c r="X8914">
        <v>0</v>
      </c>
      <c r="Y8914">
        <v>286.24</v>
      </c>
      <c r="Z8914" s="3">
        <v>286.24</v>
      </c>
      <c r="AA8914">
        <v>-59</v>
      </c>
      <c r="AB8914" s="5">
        <v>-16888.16</v>
      </c>
      <c r="AC8914">
        <v>286.24</v>
      </c>
      <c r="AD8914">
        <v>-59</v>
      </c>
      <c r="AE8914" s="1">
        <v>-16888.16</v>
      </c>
      <c r="AF8914">
        <v>0</v>
      </c>
      <c r="AJ8914">
        <v>286.24</v>
      </c>
      <c r="AK8914">
        <v>286.24</v>
      </c>
      <c r="AL8914">
        <v>286.24</v>
      </c>
      <c r="AM8914">
        <v>286.24</v>
      </c>
      <c r="AN8914">
        <v>286.24</v>
      </c>
      <c r="AO8914">
        <v>286.24</v>
      </c>
      <c r="AP8914" s="2">
        <v>42746</v>
      </c>
      <c r="AQ8914" t="s">
        <v>72</v>
      </c>
      <c r="AR8914" t="s">
        <v>72</v>
      </c>
      <c r="AS8914">
        <v>3409</v>
      </c>
      <c r="AT8914" s="4">
        <v>42718</v>
      </c>
      <c r="AV8914">
        <v>3409</v>
      </c>
      <c r="AW8914" s="4">
        <v>42718</v>
      </c>
      <c r="BD8914">
        <v>0</v>
      </c>
      <c r="BN8914" t="s">
        <v>74</v>
      </c>
    </row>
    <row r="8915" spans="1:66" hidden="1">
      <c r="A8915">
        <v>106514</v>
      </c>
      <c r="B8915" s="3" t="s">
        <v>784</v>
      </c>
      <c r="C8915" s="1">
        <v>43500101</v>
      </c>
      <c r="D8915" t="s">
        <v>113</v>
      </c>
      <c r="H8915" t="str">
        <f t="shared" ref="H8915:I8923" si="930">"03562770481"</f>
        <v>03562770481</v>
      </c>
      <c r="I8915" t="str">
        <f t="shared" si="930"/>
        <v>03562770481</v>
      </c>
      <c r="K8915" t="str">
        <f>""</f>
        <v/>
      </c>
      <c r="M8915" t="s">
        <v>68</v>
      </c>
      <c r="N8915" t="str">
        <f t="shared" ref="N8915:N8923" si="931">"ALT"</f>
        <v>ALT</v>
      </c>
      <c r="O8915" t="s">
        <v>114</v>
      </c>
      <c r="P8915" s="3" t="s">
        <v>84</v>
      </c>
      <c r="Q8915">
        <v>2016</v>
      </c>
      <c r="R8915" s="2">
        <v>42389</v>
      </c>
      <c r="S8915" s="2">
        <v>42390</v>
      </c>
      <c r="T8915" s="2">
        <v>42390</v>
      </c>
      <c r="U8915" s="2">
        <v>42450</v>
      </c>
      <c r="V8915" t="s">
        <v>71</v>
      </c>
      <c r="W8915" t="str">
        <f>"                0120"</f>
        <v xml:space="preserve">                0120</v>
      </c>
      <c r="X8915">
        <v>0</v>
      </c>
      <c r="Y8915">
        <v>343.82</v>
      </c>
      <c r="Z8915"/>
      <c r="AB8915"/>
      <c r="AC8915">
        <v>343.82</v>
      </c>
      <c r="AD8915">
        <v>-60</v>
      </c>
      <c r="AE8915" s="1">
        <v>-20629.2</v>
      </c>
      <c r="AF8915">
        <v>0</v>
      </c>
      <c r="AJ8915">
        <v>0</v>
      </c>
      <c r="AK8915">
        <v>0</v>
      </c>
      <c r="AL8915">
        <v>0</v>
      </c>
      <c r="AM8915">
        <v>343.82</v>
      </c>
      <c r="AN8915">
        <v>343.82</v>
      </c>
      <c r="AO8915">
        <v>343.82</v>
      </c>
      <c r="AP8915" s="2">
        <v>42746</v>
      </c>
      <c r="AQ8915" t="s">
        <v>72</v>
      </c>
      <c r="AR8915" t="s">
        <v>72</v>
      </c>
      <c r="AS8915">
        <v>60</v>
      </c>
      <c r="AT8915" s="4">
        <v>42390</v>
      </c>
      <c r="AV8915">
        <v>60</v>
      </c>
      <c r="AW8915" s="4">
        <v>42390</v>
      </c>
      <c r="BD8915">
        <v>0</v>
      </c>
      <c r="BN8915" t="s">
        <v>74</v>
      </c>
    </row>
    <row r="8916" spans="1:66" hidden="1">
      <c r="A8916">
        <v>106514</v>
      </c>
      <c r="B8916" s="3" t="s">
        <v>784</v>
      </c>
      <c r="C8916" s="1">
        <v>43500101</v>
      </c>
      <c r="D8916" t="s">
        <v>113</v>
      </c>
      <c r="H8916" t="str">
        <f t="shared" si="930"/>
        <v>03562770481</v>
      </c>
      <c r="I8916" t="str">
        <f t="shared" si="930"/>
        <v>03562770481</v>
      </c>
      <c r="K8916" t="str">
        <f>""</f>
        <v/>
      </c>
      <c r="M8916" t="s">
        <v>68</v>
      </c>
      <c r="N8916" t="str">
        <f t="shared" si="931"/>
        <v>ALT</v>
      </c>
      <c r="O8916" t="s">
        <v>114</v>
      </c>
      <c r="P8916" s="3" t="s">
        <v>85</v>
      </c>
      <c r="Q8916">
        <v>2016</v>
      </c>
      <c r="R8916" s="2">
        <v>42422</v>
      </c>
      <c r="S8916" s="2">
        <v>42422</v>
      </c>
      <c r="T8916" s="2">
        <v>42422</v>
      </c>
      <c r="U8916" s="2">
        <v>42482</v>
      </c>
      <c r="V8916" t="s">
        <v>71</v>
      </c>
      <c r="W8916" t="str">
        <f>"                0222"</f>
        <v xml:space="preserve">                0222</v>
      </c>
      <c r="X8916">
        <v>0</v>
      </c>
      <c r="Y8916">
        <v>343.82</v>
      </c>
      <c r="Z8916"/>
      <c r="AB8916"/>
      <c r="AC8916">
        <v>343.82</v>
      </c>
      <c r="AD8916">
        <v>-58</v>
      </c>
      <c r="AE8916" s="1">
        <v>-19941.560000000001</v>
      </c>
      <c r="AF8916">
        <v>0</v>
      </c>
      <c r="AJ8916">
        <v>0</v>
      </c>
      <c r="AK8916">
        <v>0</v>
      </c>
      <c r="AL8916">
        <v>0</v>
      </c>
      <c r="AM8916">
        <v>343.82</v>
      </c>
      <c r="AN8916">
        <v>343.82</v>
      </c>
      <c r="AO8916">
        <v>343.82</v>
      </c>
      <c r="AP8916" s="2">
        <v>42746</v>
      </c>
      <c r="AQ8916" t="s">
        <v>72</v>
      </c>
      <c r="AR8916" t="s">
        <v>72</v>
      </c>
      <c r="AS8916">
        <v>504</v>
      </c>
      <c r="AT8916" s="4">
        <v>42424</v>
      </c>
      <c r="AV8916">
        <v>504</v>
      </c>
      <c r="AW8916" s="4">
        <v>42424</v>
      </c>
      <c r="BD8916">
        <v>0</v>
      </c>
      <c r="BN8916" t="s">
        <v>74</v>
      </c>
    </row>
    <row r="8917" spans="1:66" hidden="1">
      <c r="A8917">
        <v>106514</v>
      </c>
      <c r="B8917" s="3" t="s">
        <v>784</v>
      </c>
      <c r="C8917" s="1">
        <v>43500101</v>
      </c>
      <c r="D8917" t="s">
        <v>113</v>
      </c>
      <c r="H8917" t="str">
        <f t="shared" si="930"/>
        <v>03562770481</v>
      </c>
      <c r="I8917" t="str">
        <f t="shared" si="930"/>
        <v>03562770481</v>
      </c>
      <c r="K8917" t="str">
        <f>""</f>
        <v/>
      </c>
      <c r="M8917" t="s">
        <v>68</v>
      </c>
      <c r="N8917" t="str">
        <f t="shared" si="931"/>
        <v>ALT</v>
      </c>
      <c r="O8917" t="s">
        <v>114</v>
      </c>
      <c r="P8917" s="3" t="s">
        <v>86</v>
      </c>
      <c r="Q8917">
        <v>2016</v>
      </c>
      <c r="R8917" s="2">
        <v>42450</v>
      </c>
      <c r="S8917" s="2">
        <v>42450</v>
      </c>
      <c r="T8917" s="2">
        <v>42450</v>
      </c>
      <c r="U8917" s="2">
        <v>42510</v>
      </c>
      <c r="V8917" t="s">
        <v>71</v>
      </c>
      <c r="W8917" t="str">
        <f>"                0321"</f>
        <v xml:space="preserve">                0321</v>
      </c>
      <c r="X8917">
        <v>0</v>
      </c>
      <c r="Y8917">
        <v>343.82</v>
      </c>
      <c r="Z8917"/>
      <c r="AB8917"/>
      <c r="AC8917">
        <v>343.82</v>
      </c>
      <c r="AD8917">
        <v>-57</v>
      </c>
      <c r="AE8917" s="1">
        <v>-19597.740000000002</v>
      </c>
      <c r="AF8917">
        <v>0</v>
      </c>
      <c r="AJ8917">
        <v>0</v>
      </c>
      <c r="AK8917">
        <v>0</v>
      </c>
      <c r="AL8917">
        <v>0</v>
      </c>
      <c r="AM8917">
        <v>343.82</v>
      </c>
      <c r="AN8917">
        <v>343.82</v>
      </c>
      <c r="AO8917">
        <v>343.82</v>
      </c>
      <c r="AP8917" s="2">
        <v>42746</v>
      </c>
      <c r="AQ8917" t="s">
        <v>72</v>
      </c>
      <c r="AR8917" t="s">
        <v>72</v>
      </c>
      <c r="AS8917">
        <v>926</v>
      </c>
      <c r="AT8917" s="4">
        <v>42453</v>
      </c>
      <c r="AV8917">
        <v>926</v>
      </c>
      <c r="AW8917" s="4">
        <v>42453</v>
      </c>
      <c r="BD8917">
        <v>0</v>
      </c>
      <c r="BN8917" t="s">
        <v>74</v>
      </c>
    </row>
    <row r="8918" spans="1:66" hidden="1">
      <c r="A8918">
        <v>106514</v>
      </c>
      <c r="B8918" s="3" t="s">
        <v>784</v>
      </c>
      <c r="C8918" s="1">
        <v>43500101</v>
      </c>
      <c r="D8918" t="s">
        <v>113</v>
      </c>
      <c r="H8918" t="str">
        <f t="shared" si="930"/>
        <v>03562770481</v>
      </c>
      <c r="I8918" t="str">
        <f t="shared" si="930"/>
        <v>03562770481</v>
      </c>
      <c r="K8918" t="str">
        <f>""</f>
        <v/>
      </c>
      <c r="M8918" t="s">
        <v>68</v>
      </c>
      <c r="N8918" t="str">
        <f t="shared" si="931"/>
        <v>ALT</v>
      </c>
      <c r="O8918" t="s">
        <v>114</v>
      </c>
      <c r="P8918" s="3" t="s">
        <v>87</v>
      </c>
      <c r="Q8918">
        <v>2016</v>
      </c>
      <c r="R8918" s="2">
        <v>42481</v>
      </c>
      <c r="S8918" s="2">
        <v>42481</v>
      </c>
      <c r="T8918" s="2">
        <v>42481</v>
      </c>
      <c r="U8918" s="2">
        <v>42541</v>
      </c>
      <c r="V8918" t="s">
        <v>71</v>
      </c>
      <c r="W8918" t="str">
        <f>"                0421"</f>
        <v xml:space="preserve">                0421</v>
      </c>
      <c r="X8918">
        <v>0</v>
      </c>
      <c r="Y8918">
        <v>343.82</v>
      </c>
      <c r="Z8918"/>
      <c r="AB8918"/>
      <c r="AC8918">
        <v>343.82</v>
      </c>
      <c r="AD8918">
        <v>-60</v>
      </c>
      <c r="AE8918" s="1">
        <v>-20629.2</v>
      </c>
      <c r="AF8918">
        <v>0</v>
      </c>
      <c r="AJ8918">
        <v>0</v>
      </c>
      <c r="AK8918">
        <v>0</v>
      </c>
      <c r="AL8918">
        <v>0</v>
      </c>
      <c r="AM8918">
        <v>343.82</v>
      </c>
      <c r="AN8918">
        <v>343.82</v>
      </c>
      <c r="AO8918">
        <v>343.82</v>
      </c>
      <c r="AP8918" s="2">
        <v>42746</v>
      </c>
      <c r="AQ8918" t="s">
        <v>72</v>
      </c>
      <c r="AR8918" t="s">
        <v>72</v>
      </c>
      <c r="AS8918">
        <v>1092</v>
      </c>
      <c r="AT8918" s="4">
        <v>42481</v>
      </c>
      <c r="AV8918">
        <v>1092</v>
      </c>
      <c r="AW8918" s="4">
        <v>42481</v>
      </c>
      <c r="BD8918">
        <v>0</v>
      </c>
      <c r="BN8918" t="s">
        <v>74</v>
      </c>
    </row>
    <row r="8919" spans="1:66" hidden="1">
      <c r="A8919">
        <v>106514</v>
      </c>
      <c r="B8919" s="3" t="s">
        <v>784</v>
      </c>
      <c r="C8919" s="1">
        <v>43500101</v>
      </c>
      <c r="D8919" t="s">
        <v>113</v>
      </c>
      <c r="H8919" t="str">
        <f t="shared" si="930"/>
        <v>03562770481</v>
      </c>
      <c r="I8919" t="str">
        <f t="shared" si="930"/>
        <v>03562770481</v>
      </c>
      <c r="K8919" t="str">
        <f>""</f>
        <v/>
      </c>
      <c r="M8919" t="s">
        <v>68</v>
      </c>
      <c r="N8919" t="str">
        <f t="shared" si="931"/>
        <v>ALT</v>
      </c>
      <c r="O8919" t="s">
        <v>114</v>
      </c>
      <c r="P8919" s="3" t="s">
        <v>88</v>
      </c>
      <c r="Q8919">
        <v>2016</v>
      </c>
      <c r="R8919" s="2">
        <v>42508</v>
      </c>
      <c r="S8919" s="2">
        <v>42510</v>
      </c>
      <c r="T8919" s="2">
        <v>42510</v>
      </c>
      <c r="U8919" s="2">
        <v>42570</v>
      </c>
      <c r="V8919" t="s">
        <v>71</v>
      </c>
      <c r="W8919" t="str">
        <f>"                0518"</f>
        <v xml:space="preserve">                0518</v>
      </c>
      <c r="X8919">
        <v>0</v>
      </c>
      <c r="Y8919">
        <v>343.82</v>
      </c>
      <c r="Z8919"/>
      <c r="AB8919"/>
      <c r="AC8919">
        <v>343.82</v>
      </c>
      <c r="AD8919">
        <v>-57</v>
      </c>
      <c r="AE8919" s="1">
        <v>-19597.740000000002</v>
      </c>
      <c r="AF8919">
        <v>0</v>
      </c>
      <c r="AJ8919">
        <v>0</v>
      </c>
      <c r="AK8919">
        <v>0</v>
      </c>
      <c r="AL8919">
        <v>0</v>
      </c>
      <c r="AM8919">
        <v>343.82</v>
      </c>
      <c r="AN8919">
        <v>343.82</v>
      </c>
      <c r="AO8919">
        <v>343.82</v>
      </c>
      <c r="AP8919" s="2">
        <v>42746</v>
      </c>
      <c r="AQ8919" t="s">
        <v>72</v>
      </c>
      <c r="AR8919" t="s">
        <v>72</v>
      </c>
      <c r="AS8919">
        <v>1330</v>
      </c>
      <c r="AT8919" s="4">
        <v>42513</v>
      </c>
      <c r="AV8919">
        <v>1330</v>
      </c>
      <c r="AW8919" s="4">
        <v>42513</v>
      </c>
      <c r="BD8919">
        <v>0</v>
      </c>
      <c r="BN8919" t="s">
        <v>74</v>
      </c>
    </row>
    <row r="8920" spans="1:66" hidden="1">
      <c r="A8920">
        <v>106514</v>
      </c>
      <c r="B8920" s="3" t="s">
        <v>784</v>
      </c>
      <c r="C8920" s="1">
        <v>43500101</v>
      </c>
      <c r="D8920" t="s">
        <v>113</v>
      </c>
      <c r="H8920" t="str">
        <f t="shared" si="930"/>
        <v>03562770481</v>
      </c>
      <c r="I8920" t="str">
        <f t="shared" si="930"/>
        <v>03562770481</v>
      </c>
      <c r="K8920" t="str">
        <f>""</f>
        <v/>
      </c>
      <c r="M8920" t="s">
        <v>68</v>
      </c>
      <c r="N8920" t="str">
        <f t="shared" si="931"/>
        <v>ALT</v>
      </c>
      <c r="O8920" t="s">
        <v>114</v>
      </c>
      <c r="P8920" s="3" t="s">
        <v>89</v>
      </c>
      <c r="Q8920">
        <v>2016</v>
      </c>
      <c r="R8920" s="2">
        <v>42548</v>
      </c>
      <c r="S8920" s="2">
        <v>42543</v>
      </c>
      <c r="T8920" s="2">
        <v>42543</v>
      </c>
      <c r="U8920" s="2">
        <v>42603</v>
      </c>
      <c r="V8920" t="s">
        <v>71</v>
      </c>
      <c r="W8920" t="str">
        <f>"                0627"</f>
        <v xml:space="preserve">                0627</v>
      </c>
      <c r="X8920">
        <v>0</v>
      </c>
      <c r="Y8920">
        <v>343.82</v>
      </c>
      <c r="Z8920"/>
      <c r="AB8920"/>
      <c r="AC8920">
        <v>343.82</v>
      </c>
      <c r="AD8920">
        <v>-47</v>
      </c>
      <c r="AE8920" s="1">
        <v>-16159.54</v>
      </c>
      <c r="AF8920">
        <v>0</v>
      </c>
      <c r="AJ8920">
        <v>0</v>
      </c>
      <c r="AK8920">
        <v>0</v>
      </c>
      <c r="AL8920">
        <v>0</v>
      </c>
      <c r="AM8920">
        <v>343.82</v>
      </c>
      <c r="AN8920">
        <v>343.82</v>
      </c>
      <c r="AO8920">
        <v>343.82</v>
      </c>
      <c r="AP8920" s="2">
        <v>42746</v>
      </c>
      <c r="AQ8920" t="s">
        <v>72</v>
      </c>
      <c r="AR8920" t="s">
        <v>72</v>
      </c>
      <c r="AS8920">
        <v>1712</v>
      </c>
      <c r="AT8920" s="4">
        <v>42556</v>
      </c>
      <c r="AV8920">
        <v>1712</v>
      </c>
      <c r="AW8920" s="4">
        <v>42556</v>
      </c>
      <c r="BD8920">
        <v>0</v>
      </c>
      <c r="BN8920" t="s">
        <v>74</v>
      </c>
    </row>
    <row r="8921" spans="1:66" hidden="1">
      <c r="A8921">
        <v>106514</v>
      </c>
      <c r="B8921" s="3" t="s">
        <v>784</v>
      </c>
      <c r="C8921" s="1">
        <v>43500101</v>
      </c>
      <c r="D8921" t="s">
        <v>113</v>
      </c>
      <c r="H8921" t="str">
        <f t="shared" si="930"/>
        <v>03562770481</v>
      </c>
      <c r="I8921" t="str">
        <f t="shared" si="930"/>
        <v>03562770481</v>
      </c>
      <c r="K8921" t="str">
        <f>""</f>
        <v/>
      </c>
      <c r="M8921" t="s">
        <v>68</v>
      </c>
      <c r="N8921" t="str">
        <f t="shared" si="931"/>
        <v>ALT</v>
      </c>
      <c r="O8921" t="s">
        <v>114</v>
      </c>
      <c r="P8921" s="3" t="s">
        <v>90</v>
      </c>
      <c r="Q8921">
        <v>2016</v>
      </c>
      <c r="R8921" s="2">
        <v>42573</v>
      </c>
      <c r="S8921" s="2">
        <v>42573</v>
      </c>
      <c r="T8921" s="2">
        <v>42573</v>
      </c>
      <c r="U8921" s="2">
        <v>42633</v>
      </c>
      <c r="V8921" t="s">
        <v>71</v>
      </c>
      <c r="W8921" t="str">
        <f>"                0722"</f>
        <v xml:space="preserve">                0722</v>
      </c>
      <c r="X8921">
        <v>0</v>
      </c>
      <c r="Y8921">
        <v>343.82</v>
      </c>
      <c r="Z8921"/>
      <c r="AB8921"/>
      <c r="AC8921">
        <v>343.82</v>
      </c>
      <c r="AD8921">
        <v>-48</v>
      </c>
      <c r="AE8921" s="1">
        <v>-16503.36</v>
      </c>
      <c r="AF8921">
        <v>0</v>
      </c>
      <c r="AJ8921">
        <v>0</v>
      </c>
      <c r="AK8921">
        <v>0</v>
      </c>
      <c r="AL8921">
        <v>0</v>
      </c>
      <c r="AM8921">
        <v>343.82</v>
      </c>
      <c r="AN8921">
        <v>343.82</v>
      </c>
      <c r="AO8921">
        <v>343.82</v>
      </c>
      <c r="AP8921" s="2">
        <v>42746</v>
      </c>
      <c r="AQ8921" t="s">
        <v>72</v>
      </c>
      <c r="AR8921" t="s">
        <v>72</v>
      </c>
      <c r="AS8921">
        <v>2112</v>
      </c>
      <c r="AT8921" s="4">
        <v>42585</v>
      </c>
      <c r="AV8921">
        <v>2112</v>
      </c>
      <c r="AW8921" s="4">
        <v>42585</v>
      </c>
      <c r="BD8921">
        <v>0</v>
      </c>
      <c r="BN8921" t="s">
        <v>74</v>
      </c>
    </row>
    <row r="8922" spans="1:66" hidden="1">
      <c r="A8922">
        <v>106514</v>
      </c>
      <c r="B8922" s="3" t="s">
        <v>784</v>
      </c>
      <c r="C8922" s="1">
        <v>43500101</v>
      </c>
      <c r="D8922" t="s">
        <v>113</v>
      </c>
      <c r="H8922" t="str">
        <f t="shared" si="930"/>
        <v>03562770481</v>
      </c>
      <c r="I8922" t="str">
        <f t="shared" si="930"/>
        <v>03562770481</v>
      </c>
      <c r="K8922" t="str">
        <f>""</f>
        <v/>
      </c>
      <c r="M8922" t="s">
        <v>68</v>
      </c>
      <c r="N8922" t="str">
        <f t="shared" si="931"/>
        <v>ALT</v>
      </c>
      <c r="O8922" t="s">
        <v>114</v>
      </c>
      <c r="P8922" s="3" t="s">
        <v>91</v>
      </c>
      <c r="Q8922">
        <v>2016</v>
      </c>
      <c r="R8922" s="2">
        <v>42592</v>
      </c>
      <c r="S8922" s="2">
        <v>42598</v>
      </c>
      <c r="T8922" s="2">
        <v>42598</v>
      </c>
      <c r="U8922" s="2">
        <v>42658</v>
      </c>
      <c r="V8922" t="s">
        <v>71</v>
      </c>
      <c r="W8922" t="str">
        <f>"                0810"</f>
        <v xml:space="preserve">                0810</v>
      </c>
      <c r="X8922">
        <v>0</v>
      </c>
      <c r="Y8922">
        <v>343.82</v>
      </c>
      <c r="Z8922"/>
      <c r="AB8922"/>
      <c r="AC8922">
        <v>343.82</v>
      </c>
      <c r="AD8922">
        <v>-60</v>
      </c>
      <c r="AE8922" s="1">
        <v>-20629.2</v>
      </c>
      <c r="AF8922">
        <v>0</v>
      </c>
      <c r="AJ8922">
        <v>0</v>
      </c>
      <c r="AK8922">
        <v>0</v>
      </c>
      <c r="AL8922">
        <v>0</v>
      </c>
      <c r="AM8922">
        <v>343.82</v>
      </c>
      <c r="AN8922">
        <v>343.82</v>
      </c>
      <c r="AO8922">
        <v>343.82</v>
      </c>
      <c r="AP8922" s="2">
        <v>42746</v>
      </c>
      <c r="AQ8922" t="s">
        <v>72</v>
      </c>
      <c r="AR8922" t="s">
        <v>72</v>
      </c>
      <c r="AS8922">
        <v>2194</v>
      </c>
      <c r="AT8922" s="4">
        <v>42598</v>
      </c>
      <c r="AV8922">
        <v>2194</v>
      </c>
      <c r="AW8922" s="4">
        <v>42598</v>
      </c>
      <c r="BD8922">
        <v>0</v>
      </c>
      <c r="BN8922" t="s">
        <v>74</v>
      </c>
    </row>
    <row r="8923" spans="1:66" hidden="1">
      <c r="A8923">
        <v>106514</v>
      </c>
      <c r="B8923" s="3" t="s">
        <v>784</v>
      </c>
      <c r="C8923" s="1">
        <v>43500101</v>
      </c>
      <c r="D8923" t="s">
        <v>113</v>
      </c>
      <c r="H8923" t="str">
        <f t="shared" si="930"/>
        <v>03562770481</v>
      </c>
      <c r="I8923" t="str">
        <f t="shared" si="930"/>
        <v>03562770481</v>
      </c>
      <c r="K8923" t="str">
        <f>""</f>
        <v/>
      </c>
      <c r="M8923" t="s">
        <v>68</v>
      </c>
      <c r="N8923" t="str">
        <f t="shared" si="931"/>
        <v>ALT</v>
      </c>
      <c r="O8923" t="s">
        <v>114</v>
      </c>
      <c r="P8923" s="3" t="s">
        <v>92</v>
      </c>
      <c r="Q8923">
        <v>2016</v>
      </c>
      <c r="R8923" s="2">
        <v>42633</v>
      </c>
      <c r="S8923" s="2">
        <v>42634</v>
      </c>
      <c r="T8923" s="2">
        <v>42634</v>
      </c>
      <c r="U8923" s="2">
        <v>42694</v>
      </c>
      <c r="V8923" t="s">
        <v>71</v>
      </c>
      <c r="W8923" t="str">
        <f>"                0920"</f>
        <v xml:space="preserve">                0920</v>
      </c>
      <c r="X8923">
        <v>0</v>
      </c>
      <c r="Y8923">
        <v>331.45</v>
      </c>
      <c r="Z8923"/>
      <c r="AB8923"/>
      <c r="AC8923">
        <v>331.45</v>
      </c>
      <c r="AD8923">
        <v>-60</v>
      </c>
      <c r="AE8923" s="1">
        <v>-19887</v>
      </c>
      <c r="AF8923">
        <v>0</v>
      </c>
      <c r="AJ8923">
        <v>0</v>
      </c>
      <c r="AK8923">
        <v>0</v>
      </c>
      <c r="AL8923">
        <v>0</v>
      </c>
      <c r="AM8923">
        <v>331.45</v>
      </c>
      <c r="AN8923">
        <v>331.45</v>
      </c>
      <c r="AO8923">
        <v>331.45</v>
      </c>
      <c r="AP8923" s="2">
        <v>42746</v>
      </c>
      <c r="AQ8923" t="s">
        <v>72</v>
      </c>
      <c r="AR8923" t="s">
        <v>72</v>
      </c>
      <c r="AS8923">
        <v>2468</v>
      </c>
      <c r="AT8923" s="4">
        <v>42634</v>
      </c>
      <c r="AV8923">
        <v>2468</v>
      </c>
      <c r="AW8923" s="4">
        <v>42634</v>
      </c>
      <c r="BD8923">
        <v>0</v>
      </c>
      <c r="BN8923" t="s">
        <v>74</v>
      </c>
    </row>
    <row r="8924" spans="1:66" hidden="1">
      <c r="A8924">
        <v>106515</v>
      </c>
      <c r="B8924" s="3" t="s">
        <v>787</v>
      </c>
      <c r="C8924" s="1">
        <v>43300101</v>
      </c>
      <c r="D8924" t="s">
        <v>67</v>
      </c>
      <c r="H8924" t="str">
        <f t="shared" ref="H8924:I8927" si="932">"08640300961"</f>
        <v>08640300961</v>
      </c>
      <c r="I8924" t="str">
        <f t="shared" si="932"/>
        <v>08640300961</v>
      </c>
      <c r="K8924" t="str">
        <f>""</f>
        <v/>
      </c>
      <c r="M8924" t="s">
        <v>68</v>
      </c>
      <c r="N8924" t="str">
        <f t="shared" ref="N8924:N8955" si="933">"FOR"</f>
        <v>FOR</v>
      </c>
      <c r="O8924" t="s">
        <v>69</v>
      </c>
      <c r="P8924" s="3" t="s">
        <v>70</v>
      </c>
      <c r="Q8924">
        <v>2015</v>
      </c>
      <c r="R8924" s="2">
        <v>42123</v>
      </c>
      <c r="S8924" s="2">
        <v>42487</v>
      </c>
      <c r="T8924" s="2">
        <v>42487</v>
      </c>
      <c r="U8924" s="2">
        <v>42547</v>
      </c>
      <c r="V8924" t="s">
        <v>71</v>
      </c>
      <c r="W8924" t="str">
        <f>"           000069/15"</f>
        <v xml:space="preserve">           000069/15</v>
      </c>
      <c r="X8924" s="1">
        <v>3676.1</v>
      </c>
      <c r="Y8924">
        <v>0</v>
      </c>
      <c r="Z8924"/>
      <c r="AB8924"/>
      <c r="AC8924" s="1">
        <v>3013.2</v>
      </c>
      <c r="AD8924">
        <v>-27</v>
      </c>
      <c r="AE8924" s="1">
        <v>-81356.399999999994</v>
      </c>
      <c r="AF8924">
        <v>0</v>
      </c>
      <c r="AJ8924">
        <v>0</v>
      </c>
      <c r="AK8924">
        <v>0</v>
      </c>
      <c r="AL8924">
        <v>0</v>
      </c>
      <c r="AM8924">
        <v>0</v>
      </c>
      <c r="AN8924" s="1">
        <v>3676.1</v>
      </c>
      <c r="AO8924">
        <v>0</v>
      </c>
      <c r="AP8924" s="2">
        <v>42746</v>
      </c>
      <c r="AQ8924" t="s">
        <v>72</v>
      </c>
      <c r="AR8924" t="s">
        <v>72</v>
      </c>
      <c r="AS8924">
        <v>1428</v>
      </c>
      <c r="AT8924" s="4">
        <v>42520</v>
      </c>
      <c r="AV8924">
        <v>1428</v>
      </c>
      <c r="AW8924" s="4">
        <v>42520</v>
      </c>
      <c r="BD8924">
        <v>0</v>
      </c>
      <c r="BN8924" t="s">
        <v>74</v>
      </c>
    </row>
    <row r="8925" spans="1:66" hidden="1">
      <c r="A8925">
        <v>106515</v>
      </c>
      <c r="B8925" s="3" t="s">
        <v>787</v>
      </c>
      <c r="C8925" s="1">
        <v>43300101</v>
      </c>
      <c r="D8925" t="s">
        <v>67</v>
      </c>
      <c r="H8925" t="str">
        <f t="shared" si="932"/>
        <v>08640300961</v>
      </c>
      <c r="I8925" t="str">
        <f t="shared" si="932"/>
        <v>08640300961</v>
      </c>
      <c r="K8925" t="str">
        <f>""</f>
        <v/>
      </c>
      <c r="M8925" t="s">
        <v>68</v>
      </c>
      <c r="N8925" t="str">
        <f t="shared" si="933"/>
        <v>FOR</v>
      </c>
      <c r="O8925" t="s">
        <v>69</v>
      </c>
      <c r="P8925" s="3" t="s">
        <v>75</v>
      </c>
      <c r="Q8925">
        <v>2015</v>
      </c>
      <c r="R8925" s="2">
        <v>42194</v>
      </c>
      <c r="S8925" s="2">
        <v>42215</v>
      </c>
      <c r="T8925" s="2">
        <v>42213</v>
      </c>
      <c r="U8925" s="2">
        <v>42273</v>
      </c>
      <c r="V8925" t="s">
        <v>71</v>
      </c>
      <c r="W8925" t="str">
        <f>"           000112/15"</f>
        <v xml:space="preserve">           000112/15</v>
      </c>
      <c r="X8925" s="1">
        <v>3676.1</v>
      </c>
      <c r="Y8925">
        <v>0</v>
      </c>
      <c r="Z8925"/>
      <c r="AB8925"/>
      <c r="AC8925" s="1">
        <v>3013.2</v>
      </c>
      <c r="AD8925">
        <v>254</v>
      </c>
      <c r="AE8925" s="1">
        <v>765352.8</v>
      </c>
      <c r="AF8925">
        <v>0</v>
      </c>
      <c r="AJ8925">
        <v>0</v>
      </c>
      <c r="AK8925">
        <v>0</v>
      </c>
      <c r="AL8925">
        <v>0</v>
      </c>
      <c r="AM8925">
        <v>0</v>
      </c>
      <c r="AN8925">
        <v>0</v>
      </c>
      <c r="AO8925">
        <v>0</v>
      </c>
      <c r="AP8925" s="2">
        <v>42746</v>
      </c>
      <c r="AQ8925" t="s">
        <v>72</v>
      </c>
      <c r="AR8925" t="s">
        <v>72</v>
      </c>
      <c r="AS8925">
        <v>1499</v>
      </c>
      <c r="AT8925" s="4">
        <v>42527</v>
      </c>
      <c r="AU8925" t="s">
        <v>73</v>
      </c>
      <c r="AV8925">
        <v>1499</v>
      </c>
      <c r="AW8925" s="4">
        <v>42527</v>
      </c>
      <c r="BD8925">
        <v>0</v>
      </c>
      <c r="BN8925" t="s">
        <v>74</v>
      </c>
    </row>
    <row r="8926" spans="1:66">
      <c r="A8926">
        <v>106515</v>
      </c>
      <c r="B8926" s="3" t="s">
        <v>787</v>
      </c>
      <c r="C8926" s="1">
        <v>43300101</v>
      </c>
      <c r="D8926" t="s">
        <v>67</v>
      </c>
      <c r="H8926" t="str">
        <f t="shared" si="932"/>
        <v>08640300961</v>
      </c>
      <c r="I8926" t="str">
        <f t="shared" si="932"/>
        <v>08640300961</v>
      </c>
      <c r="K8926" t="str">
        <f>""</f>
        <v/>
      </c>
      <c r="M8926" t="s">
        <v>68</v>
      </c>
      <c r="N8926" t="str">
        <f t="shared" si="933"/>
        <v>FOR</v>
      </c>
      <c r="O8926" t="s">
        <v>69</v>
      </c>
      <c r="P8926" s="3" t="s">
        <v>75</v>
      </c>
      <c r="Q8926">
        <v>2015</v>
      </c>
      <c r="R8926" s="2">
        <v>42360</v>
      </c>
      <c r="S8926" s="2">
        <v>42369</v>
      </c>
      <c r="T8926" s="2">
        <v>42369</v>
      </c>
      <c r="U8926" s="2">
        <v>42429</v>
      </c>
      <c r="V8926" t="s">
        <v>71</v>
      </c>
      <c r="W8926" t="str">
        <f>"           000234/15"</f>
        <v xml:space="preserve">           000234/15</v>
      </c>
      <c r="X8926" s="1">
        <v>3676.1</v>
      </c>
      <c r="Y8926">
        <v>0</v>
      </c>
      <c r="Z8926" s="5">
        <v>3013.2</v>
      </c>
      <c r="AA8926">
        <v>255</v>
      </c>
      <c r="AB8926" s="5">
        <v>768366</v>
      </c>
      <c r="AC8926" s="1">
        <v>3013.2</v>
      </c>
      <c r="AD8926">
        <v>255</v>
      </c>
      <c r="AE8926" s="1">
        <v>768366</v>
      </c>
      <c r="AF8926">
        <v>0</v>
      </c>
      <c r="AJ8926">
        <v>0</v>
      </c>
      <c r="AK8926">
        <v>0</v>
      </c>
      <c r="AL8926">
        <v>0</v>
      </c>
      <c r="AM8926">
        <v>0</v>
      </c>
      <c r="AN8926">
        <v>0</v>
      </c>
      <c r="AO8926">
        <v>0</v>
      </c>
      <c r="AP8926" s="2">
        <v>42746</v>
      </c>
      <c r="AQ8926" t="s">
        <v>72</v>
      </c>
      <c r="AR8926" t="s">
        <v>72</v>
      </c>
      <c r="AS8926">
        <v>3053</v>
      </c>
      <c r="AT8926" s="4">
        <v>42684</v>
      </c>
      <c r="AU8926" t="s">
        <v>73</v>
      </c>
      <c r="AV8926">
        <v>3053</v>
      </c>
      <c r="AW8926" s="4">
        <v>42684</v>
      </c>
      <c r="BD8926">
        <v>0</v>
      </c>
      <c r="BN8926" t="s">
        <v>74</v>
      </c>
    </row>
    <row r="8927" spans="1:66">
      <c r="A8927">
        <v>106515</v>
      </c>
      <c r="B8927" s="3" t="s">
        <v>787</v>
      </c>
      <c r="C8927" s="1">
        <v>43300101</v>
      </c>
      <c r="D8927" t="s">
        <v>67</v>
      </c>
      <c r="H8927" t="str">
        <f t="shared" si="932"/>
        <v>08640300961</v>
      </c>
      <c r="I8927" t="str">
        <f t="shared" si="932"/>
        <v>08640300961</v>
      </c>
      <c r="K8927" t="str">
        <f>""</f>
        <v/>
      </c>
      <c r="M8927" t="s">
        <v>68</v>
      </c>
      <c r="N8927" t="str">
        <f t="shared" si="933"/>
        <v>FOR</v>
      </c>
      <c r="O8927" t="s">
        <v>69</v>
      </c>
      <c r="P8927" s="3" t="s">
        <v>75</v>
      </c>
      <c r="Q8927">
        <v>2016</v>
      </c>
      <c r="R8927" s="2">
        <v>42459</v>
      </c>
      <c r="S8927" s="2">
        <v>42464</v>
      </c>
      <c r="T8927" s="2">
        <v>42461</v>
      </c>
      <c r="U8927" s="2">
        <v>42521</v>
      </c>
      <c r="V8927" t="s">
        <v>71</v>
      </c>
      <c r="W8927" t="str">
        <f>"           000081/16"</f>
        <v xml:space="preserve">           000081/16</v>
      </c>
      <c r="X8927" s="1">
        <v>3294</v>
      </c>
      <c r="Y8927">
        <v>0</v>
      </c>
      <c r="Z8927" s="5">
        <v>2700</v>
      </c>
      <c r="AA8927">
        <v>163</v>
      </c>
      <c r="AB8927" s="5">
        <v>440100</v>
      </c>
      <c r="AC8927" s="1">
        <v>2700</v>
      </c>
      <c r="AD8927">
        <v>163</v>
      </c>
      <c r="AE8927" s="1">
        <v>440100</v>
      </c>
      <c r="AF8927">
        <v>0</v>
      </c>
      <c r="AJ8927">
        <v>0</v>
      </c>
      <c r="AK8927">
        <v>0</v>
      </c>
      <c r="AL8927">
        <v>0</v>
      </c>
      <c r="AM8927" s="1">
        <v>3294</v>
      </c>
      <c r="AN8927" s="1">
        <v>3294</v>
      </c>
      <c r="AO8927" s="1">
        <v>3294</v>
      </c>
      <c r="AP8927" s="2">
        <v>42746</v>
      </c>
      <c r="AQ8927" t="s">
        <v>72</v>
      </c>
      <c r="AR8927" t="s">
        <v>72</v>
      </c>
      <c r="AS8927">
        <v>3053</v>
      </c>
      <c r="AT8927" s="4">
        <v>42684</v>
      </c>
      <c r="AU8927" t="s">
        <v>73</v>
      </c>
      <c r="AV8927">
        <v>3053</v>
      </c>
      <c r="AW8927" s="4">
        <v>42684</v>
      </c>
      <c r="BD8927">
        <v>0</v>
      </c>
      <c r="BN8927" t="s">
        <v>74</v>
      </c>
    </row>
    <row r="8928" spans="1:66" hidden="1">
      <c r="A8928">
        <v>106519</v>
      </c>
      <c r="B8928" s="3" t="s">
        <v>788</v>
      </c>
      <c r="C8928" s="1">
        <v>43300101</v>
      </c>
      <c r="D8928" t="s">
        <v>67</v>
      </c>
      <c r="H8928" t="str">
        <f t="shared" ref="H8928:I8930" si="934">"03346850963"</f>
        <v>03346850963</v>
      </c>
      <c r="I8928" t="str">
        <f t="shared" si="934"/>
        <v>03346850963</v>
      </c>
      <c r="K8928" t="str">
        <f>""</f>
        <v/>
      </c>
      <c r="M8928" t="s">
        <v>68</v>
      </c>
      <c r="N8928" t="str">
        <f t="shared" si="933"/>
        <v>FOR</v>
      </c>
      <c r="O8928" t="s">
        <v>69</v>
      </c>
      <c r="P8928" s="3" t="s">
        <v>75</v>
      </c>
      <c r="Q8928">
        <v>2015</v>
      </c>
      <c r="R8928" s="2">
        <v>42308</v>
      </c>
      <c r="S8928" s="2">
        <v>42312</v>
      </c>
      <c r="T8928" s="2">
        <v>42312</v>
      </c>
      <c r="U8928" s="2">
        <v>42372</v>
      </c>
      <c r="V8928" t="s">
        <v>71</v>
      </c>
      <c r="W8928" t="str">
        <f>"                2/92"</f>
        <v xml:space="preserve">                2/92</v>
      </c>
      <c r="X8928">
        <v>379.91</v>
      </c>
      <c r="Y8928">
        <v>0</v>
      </c>
      <c r="Z8928"/>
      <c r="AB8928"/>
      <c r="AC8928">
        <v>311.39999999999998</v>
      </c>
      <c r="AD8928">
        <v>44</v>
      </c>
      <c r="AE8928" s="1">
        <v>13701.6</v>
      </c>
      <c r="AF8928">
        <v>0</v>
      </c>
      <c r="AJ8928">
        <v>0</v>
      </c>
      <c r="AK8928">
        <v>0</v>
      </c>
      <c r="AL8928">
        <v>0</v>
      </c>
      <c r="AM8928">
        <v>0</v>
      </c>
      <c r="AN8928">
        <v>0</v>
      </c>
      <c r="AO8928">
        <v>0</v>
      </c>
      <c r="AP8928" s="2">
        <v>42746</v>
      </c>
      <c r="AQ8928" t="s">
        <v>72</v>
      </c>
      <c r="AR8928" t="s">
        <v>72</v>
      </c>
      <c r="AS8928">
        <v>421</v>
      </c>
      <c r="AT8928" s="4">
        <v>42416</v>
      </c>
      <c r="AU8928" t="s">
        <v>73</v>
      </c>
      <c r="AV8928">
        <v>421</v>
      </c>
      <c r="AW8928" s="4">
        <v>42416</v>
      </c>
      <c r="BD8928">
        <v>0</v>
      </c>
      <c r="BN8928" t="s">
        <v>74</v>
      </c>
    </row>
    <row r="8929" spans="1:66" hidden="1">
      <c r="A8929">
        <v>106519</v>
      </c>
      <c r="B8929" s="3" t="s">
        <v>788</v>
      </c>
      <c r="C8929" s="1">
        <v>43300101</v>
      </c>
      <c r="D8929" t="s">
        <v>67</v>
      </c>
      <c r="H8929" t="str">
        <f t="shared" si="934"/>
        <v>03346850963</v>
      </c>
      <c r="I8929" t="str">
        <f t="shared" si="934"/>
        <v>03346850963</v>
      </c>
      <c r="K8929" t="str">
        <f>""</f>
        <v/>
      </c>
      <c r="M8929" t="s">
        <v>68</v>
      </c>
      <c r="N8929" t="str">
        <f t="shared" si="933"/>
        <v>FOR</v>
      </c>
      <c r="O8929" t="s">
        <v>69</v>
      </c>
      <c r="P8929" s="3" t="s">
        <v>75</v>
      </c>
      <c r="Q8929">
        <v>2015</v>
      </c>
      <c r="R8929" s="2">
        <v>42308</v>
      </c>
      <c r="S8929" s="2">
        <v>42312</v>
      </c>
      <c r="T8929" s="2">
        <v>42312</v>
      </c>
      <c r="U8929" s="2">
        <v>42372</v>
      </c>
      <c r="V8929" t="s">
        <v>71</v>
      </c>
      <c r="W8929" t="str">
        <f>"                2/93"</f>
        <v xml:space="preserve">                2/93</v>
      </c>
      <c r="X8929">
        <v>379.91</v>
      </c>
      <c r="Y8929">
        <v>0</v>
      </c>
      <c r="Z8929"/>
      <c r="AB8929"/>
      <c r="AC8929">
        <v>311.39999999999998</v>
      </c>
      <c r="AD8929">
        <v>44</v>
      </c>
      <c r="AE8929" s="1">
        <v>13701.6</v>
      </c>
      <c r="AF8929">
        <v>0</v>
      </c>
      <c r="AJ8929">
        <v>0</v>
      </c>
      <c r="AK8929">
        <v>0</v>
      </c>
      <c r="AL8929">
        <v>0</v>
      </c>
      <c r="AM8929">
        <v>0</v>
      </c>
      <c r="AN8929">
        <v>0</v>
      </c>
      <c r="AO8929">
        <v>0</v>
      </c>
      <c r="AP8929" s="2">
        <v>42746</v>
      </c>
      <c r="AQ8929" t="s">
        <v>72</v>
      </c>
      <c r="AR8929" t="s">
        <v>72</v>
      </c>
      <c r="AS8929">
        <v>421</v>
      </c>
      <c r="AT8929" s="4">
        <v>42416</v>
      </c>
      <c r="AU8929" t="s">
        <v>73</v>
      </c>
      <c r="AV8929">
        <v>421</v>
      </c>
      <c r="AW8929" s="4">
        <v>42416</v>
      </c>
      <c r="BD8929">
        <v>0</v>
      </c>
      <c r="BN8929" t="s">
        <v>74</v>
      </c>
    </row>
    <row r="8930" spans="1:66">
      <c r="A8930">
        <v>106519</v>
      </c>
      <c r="B8930" s="3" t="s">
        <v>788</v>
      </c>
      <c r="C8930" s="1">
        <v>43300101</v>
      </c>
      <c r="D8930" t="s">
        <v>67</v>
      </c>
      <c r="H8930" t="str">
        <f t="shared" si="934"/>
        <v>03346850963</v>
      </c>
      <c r="I8930" t="str">
        <f t="shared" si="934"/>
        <v>03346850963</v>
      </c>
      <c r="K8930" t="str">
        <f>""</f>
        <v/>
      </c>
      <c r="M8930" t="s">
        <v>68</v>
      </c>
      <c r="N8930" t="str">
        <f t="shared" si="933"/>
        <v>FOR</v>
      </c>
      <c r="O8930" t="s">
        <v>69</v>
      </c>
      <c r="P8930" s="3" t="s">
        <v>75</v>
      </c>
      <c r="Q8930">
        <v>2016</v>
      </c>
      <c r="R8930" s="2">
        <v>42674</v>
      </c>
      <c r="S8930" s="2">
        <v>42681</v>
      </c>
      <c r="T8930" s="2">
        <v>42678</v>
      </c>
      <c r="U8930" s="2">
        <v>42738</v>
      </c>
      <c r="V8930" t="s">
        <v>71</v>
      </c>
      <c r="W8930" t="str">
        <f>"                2/92"</f>
        <v xml:space="preserve">                2/92</v>
      </c>
      <c r="X8930" s="1">
        <v>1555.99</v>
      </c>
      <c r="Y8930">
        <v>0</v>
      </c>
      <c r="Z8930" s="5">
        <v>1275.4000000000001</v>
      </c>
      <c r="AA8930">
        <v>-49</v>
      </c>
      <c r="AB8930" s="5">
        <v>-62494.6</v>
      </c>
      <c r="AC8930" s="1">
        <v>1275.4000000000001</v>
      </c>
      <c r="AD8930">
        <v>-49</v>
      </c>
      <c r="AE8930" s="1">
        <v>-62494.6</v>
      </c>
      <c r="AF8930">
        <v>0</v>
      </c>
      <c r="AJ8930" s="1">
        <v>1555.99</v>
      </c>
      <c r="AK8930" s="1">
        <v>1555.99</v>
      </c>
      <c r="AL8930" s="1">
        <v>1555.99</v>
      </c>
      <c r="AM8930" s="1">
        <v>1555.99</v>
      </c>
      <c r="AN8930" s="1">
        <v>1555.99</v>
      </c>
      <c r="AO8930" s="1">
        <v>1555.99</v>
      </c>
      <c r="AP8930" s="2">
        <v>42746</v>
      </c>
      <c r="AQ8930" t="s">
        <v>72</v>
      </c>
      <c r="AR8930" t="s">
        <v>72</v>
      </c>
      <c r="AS8930">
        <v>3115</v>
      </c>
      <c r="AT8930" s="4">
        <v>42689</v>
      </c>
      <c r="AV8930">
        <v>3115</v>
      </c>
      <c r="AW8930" s="4">
        <v>42689</v>
      </c>
      <c r="BD8930">
        <v>0</v>
      </c>
      <c r="BN8930" t="s">
        <v>74</v>
      </c>
    </row>
    <row r="8931" spans="1:66">
      <c r="A8931">
        <v>106521</v>
      </c>
      <c r="B8931" s="3" t="s">
        <v>789</v>
      </c>
      <c r="C8931" s="1">
        <v>43300101</v>
      </c>
      <c r="D8931" t="s">
        <v>67</v>
      </c>
      <c r="H8931" t="str">
        <f>"00160469995"</f>
        <v>00160469995</v>
      </c>
      <c r="I8931" t="str">
        <f>"00160469995"</f>
        <v>00160469995</v>
      </c>
      <c r="K8931" t="str">
        <f>""</f>
        <v/>
      </c>
      <c r="M8931" t="s">
        <v>68</v>
      </c>
      <c r="N8931" t="str">
        <f t="shared" si="933"/>
        <v>FOR</v>
      </c>
      <c r="O8931" t="s">
        <v>69</v>
      </c>
      <c r="P8931" s="3" t="s">
        <v>70</v>
      </c>
      <c r="Q8931">
        <v>2015</v>
      </c>
      <c r="R8931" s="2">
        <v>42045</v>
      </c>
      <c r="S8931" s="2">
        <v>42640</v>
      </c>
      <c r="T8931" s="2">
        <v>42640</v>
      </c>
      <c r="U8931" s="2">
        <v>42700</v>
      </c>
      <c r="V8931" t="s">
        <v>71</v>
      </c>
      <c r="W8931" t="str">
        <f>"                1784"</f>
        <v xml:space="preserve">                1784</v>
      </c>
      <c r="X8931">
        <v>752.4</v>
      </c>
      <c r="Y8931">
        <v>-68.400000000000006</v>
      </c>
      <c r="Z8931" s="3">
        <v>684</v>
      </c>
      <c r="AA8931">
        <v>-50</v>
      </c>
      <c r="AB8931" s="5">
        <v>-34200</v>
      </c>
      <c r="AC8931">
        <v>684</v>
      </c>
      <c r="AD8931">
        <v>-50</v>
      </c>
      <c r="AE8931" s="1">
        <v>-34200</v>
      </c>
      <c r="AF8931">
        <v>0</v>
      </c>
      <c r="AJ8931">
        <v>0</v>
      </c>
      <c r="AK8931">
        <v>0</v>
      </c>
      <c r="AL8931">
        <v>0</v>
      </c>
      <c r="AM8931">
        <v>0</v>
      </c>
      <c r="AN8931">
        <v>684</v>
      </c>
      <c r="AO8931">
        <v>0</v>
      </c>
      <c r="AP8931" s="2">
        <v>42746</v>
      </c>
      <c r="AQ8931" t="s">
        <v>72</v>
      </c>
      <c r="AR8931" t="s">
        <v>72</v>
      </c>
      <c r="AS8931">
        <v>2728</v>
      </c>
      <c r="AT8931" s="4">
        <v>42650</v>
      </c>
      <c r="AV8931">
        <v>2728</v>
      </c>
      <c r="AW8931" s="4">
        <v>42650</v>
      </c>
      <c r="BD8931">
        <v>0</v>
      </c>
      <c r="BN8931" t="s">
        <v>74</v>
      </c>
    </row>
    <row r="8932" spans="1:66">
      <c r="A8932">
        <v>106525</v>
      </c>
      <c r="B8932" s="3" t="s">
        <v>790</v>
      </c>
      <c r="C8932" s="1">
        <v>43300101</v>
      </c>
      <c r="D8932" t="s">
        <v>67</v>
      </c>
      <c r="H8932" t="str">
        <f>"MBRNGL65A07A101A"</f>
        <v>MBRNGL65A07A101A</v>
      </c>
      <c r="I8932" t="str">
        <f>"02006840645"</f>
        <v>02006840645</v>
      </c>
      <c r="K8932" t="str">
        <f>""</f>
        <v/>
      </c>
      <c r="M8932" t="s">
        <v>68</v>
      </c>
      <c r="N8932" t="str">
        <f t="shared" si="933"/>
        <v>FOR</v>
      </c>
      <c r="O8932" t="s">
        <v>69</v>
      </c>
      <c r="P8932" s="3" t="s">
        <v>75</v>
      </c>
      <c r="Q8932">
        <v>2016</v>
      </c>
      <c r="R8932" s="2">
        <v>42585</v>
      </c>
      <c r="S8932" s="2">
        <v>42587</v>
      </c>
      <c r="T8932" s="2">
        <v>42586</v>
      </c>
      <c r="U8932" s="2">
        <v>42646</v>
      </c>
      <c r="V8932" t="s">
        <v>71</v>
      </c>
      <c r="W8932" t="str">
        <f>"               30/FE"</f>
        <v xml:space="preserve">               30/FE</v>
      </c>
      <c r="X8932">
        <v>122</v>
      </c>
      <c r="Y8932">
        <v>0</v>
      </c>
      <c r="Z8932" s="3">
        <v>100</v>
      </c>
      <c r="AA8932">
        <v>52</v>
      </c>
      <c r="AB8932" s="5">
        <v>5200</v>
      </c>
      <c r="AC8932">
        <v>100</v>
      </c>
      <c r="AD8932">
        <v>52</v>
      </c>
      <c r="AE8932" s="1">
        <v>5200</v>
      </c>
      <c r="AF8932">
        <v>0</v>
      </c>
      <c r="AJ8932">
        <v>0</v>
      </c>
      <c r="AK8932">
        <v>0</v>
      </c>
      <c r="AL8932">
        <v>0</v>
      </c>
      <c r="AM8932">
        <v>122</v>
      </c>
      <c r="AN8932">
        <v>122</v>
      </c>
      <c r="AO8932">
        <v>122</v>
      </c>
      <c r="AP8932" s="2">
        <v>42746</v>
      </c>
      <c r="AQ8932" t="s">
        <v>72</v>
      </c>
      <c r="AR8932" t="s">
        <v>72</v>
      </c>
      <c r="AS8932">
        <v>3307</v>
      </c>
      <c r="AT8932" s="4">
        <v>42698</v>
      </c>
      <c r="AU8932" t="s">
        <v>73</v>
      </c>
      <c r="AV8932">
        <v>3307</v>
      </c>
      <c r="AW8932" s="4">
        <v>42698</v>
      </c>
      <c r="BD8932">
        <v>0</v>
      </c>
      <c r="BN8932" t="s">
        <v>74</v>
      </c>
    </row>
    <row r="8933" spans="1:66" hidden="1">
      <c r="A8933">
        <v>106529</v>
      </c>
      <c r="B8933" s="3" t="s">
        <v>791</v>
      </c>
      <c r="C8933" s="1">
        <v>43300101</v>
      </c>
      <c r="D8933" t="s">
        <v>67</v>
      </c>
      <c r="H8933" t="str">
        <f>"07699621210"</f>
        <v>07699621210</v>
      </c>
      <c r="I8933" t="str">
        <f>"07699621210"</f>
        <v>07699621210</v>
      </c>
      <c r="K8933" t="str">
        <f>""</f>
        <v/>
      </c>
      <c r="M8933" t="s">
        <v>68</v>
      </c>
      <c r="N8933" t="str">
        <f t="shared" si="933"/>
        <v>FOR</v>
      </c>
      <c r="O8933" t="s">
        <v>69</v>
      </c>
      <c r="P8933" s="3" t="s">
        <v>75</v>
      </c>
      <c r="Q8933">
        <v>2015</v>
      </c>
      <c r="R8933" s="2">
        <v>42191</v>
      </c>
      <c r="S8933" s="2">
        <v>42191</v>
      </c>
      <c r="T8933" s="2">
        <v>42191</v>
      </c>
      <c r="U8933" s="2">
        <v>42251</v>
      </c>
      <c r="V8933" t="s">
        <v>71</v>
      </c>
      <c r="W8933" t="str">
        <f>"                   4"</f>
        <v xml:space="preserve">                   4</v>
      </c>
      <c r="X8933" s="1">
        <v>47946</v>
      </c>
      <c r="Y8933">
        <v>0</v>
      </c>
      <c r="Z8933"/>
      <c r="AB8933"/>
      <c r="AC8933" s="1">
        <v>39300</v>
      </c>
      <c r="AD8933">
        <v>208</v>
      </c>
      <c r="AE8933" s="1">
        <v>8174400</v>
      </c>
      <c r="AF8933">
        <v>0</v>
      </c>
      <c r="AJ8933">
        <v>0</v>
      </c>
      <c r="AK8933">
        <v>0</v>
      </c>
      <c r="AL8933">
        <v>0</v>
      </c>
      <c r="AM8933">
        <v>0</v>
      </c>
      <c r="AN8933">
        <v>0</v>
      </c>
      <c r="AO8933">
        <v>0</v>
      </c>
      <c r="AP8933" s="2">
        <v>42746</v>
      </c>
      <c r="AQ8933" t="s">
        <v>72</v>
      </c>
      <c r="AR8933" t="s">
        <v>72</v>
      </c>
      <c r="AS8933">
        <v>973</v>
      </c>
      <c r="AT8933" s="4">
        <v>42459</v>
      </c>
      <c r="AU8933" t="s">
        <v>73</v>
      </c>
      <c r="AV8933">
        <v>973</v>
      </c>
      <c r="AW8933" s="4">
        <v>42459</v>
      </c>
      <c r="BD8933">
        <v>0</v>
      </c>
      <c r="BN8933" t="s">
        <v>74</v>
      </c>
    </row>
    <row r="8934" spans="1:66">
      <c r="A8934">
        <v>106529</v>
      </c>
      <c r="B8934" s="3" t="s">
        <v>791</v>
      </c>
      <c r="C8934" s="1">
        <v>43300101</v>
      </c>
      <c r="D8934" t="s">
        <v>67</v>
      </c>
      <c r="H8934" t="str">
        <f>"07699621210"</f>
        <v>07699621210</v>
      </c>
      <c r="I8934" t="str">
        <f>"07699621210"</f>
        <v>07699621210</v>
      </c>
      <c r="K8934" t="str">
        <f>""</f>
        <v/>
      </c>
      <c r="M8934" t="s">
        <v>68</v>
      </c>
      <c r="N8934" t="str">
        <f t="shared" si="933"/>
        <v>FOR</v>
      </c>
      <c r="O8934" t="s">
        <v>69</v>
      </c>
      <c r="P8934" s="3" t="s">
        <v>75</v>
      </c>
      <c r="Q8934">
        <v>2016</v>
      </c>
      <c r="R8934" s="2">
        <v>42667</v>
      </c>
      <c r="S8934" s="2">
        <v>42670</v>
      </c>
      <c r="T8934" s="2">
        <v>42667</v>
      </c>
      <c r="U8934" s="2">
        <v>42727</v>
      </c>
      <c r="V8934" t="s">
        <v>71</v>
      </c>
      <c r="W8934" t="str">
        <f>"                   7"</f>
        <v xml:space="preserve">                   7</v>
      </c>
      <c r="X8934">
        <v>614.88</v>
      </c>
      <c r="Y8934">
        <v>0</v>
      </c>
      <c r="Z8934" s="3">
        <v>504</v>
      </c>
      <c r="AA8934">
        <v>-43</v>
      </c>
      <c r="AB8934" s="5">
        <v>-21672</v>
      </c>
      <c r="AC8934">
        <v>504</v>
      </c>
      <c r="AD8934">
        <v>-43</v>
      </c>
      <c r="AE8934" s="1">
        <v>-21672</v>
      </c>
      <c r="AF8934">
        <v>0</v>
      </c>
      <c r="AJ8934">
        <v>614.88</v>
      </c>
      <c r="AK8934">
        <v>614.88</v>
      </c>
      <c r="AL8934">
        <v>614.88</v>
      </c>
      <c r="AM8934">
        <v>614.88</v>
      </c>
      <c r="AN8934">
        <v>614.88</v>
      </c>
      <c r="AO8934">
        <v>614.88</v>
      </c>
      <c r="AP8934" s="2">
        <v>42746</v>
      </c>
      <c r="AQ8934" t="s">
        <v>72</v>
      </c>
      <c r="AR8934" t="s">
        <v>72</v>
      </c>
      <c r="AS8934">
        <v>3052</v>
      </c>
      <c r="AT8934" s="4">
        <v>42684</v>
      </c>
      <c r="AV8934">
        <v>3052</v>
      </c>
      <c r="AW8934" s="4">
        <v>42684</v>
      </c>
      <c r="BD8934">
        <v>0</v>
      </c>
      <c r="BN8934" t="s">
        <v>74</v>
      </c>
    </row>
    <row r="8935" spans="1:66" hidden="1">
      <c r="A8935">
        <v>106531</v>
      </c>
      <c r="B8935" s="3" t="s">
        <v>792</v>
      </c>
      <c r="C8935" s="1">
        <v>43300101</v>
      </c>
      <c r="D8935" t="s">
        <v>67</v>
      </c>
      <c r="H8935" t="str">
        <f>"03653370282"</f>
        <v>03653370282</v>
      </c>
      <c r="I8935" t="str">
        <f>"03653370282"</f>
        <v>03653370282</v>
      </c>
      <c r="K8935" t="str">
        <f>""</f>
        <v/>
      </c>
      <c r="M8935" t="s">
        <v>68</v>
      </c>
      <c r="N8935" t="str">
        <f t="shared" si="933"/>
        <v>FOR</v>
      </c>
      <c r="O8935" t="s">
        <v>69</v>
      </c>
      <c r="P8935" s="3" t="s">
        <v>75</v>
      </c>
      <c r="Q8935">
        <v>2015</v>
      </c>
      <c r="R8935" s="2">
        <v>42269</v>
      </c>
      <c r="S8935" s="2">
        <v>42270</v>
      </c>
      <c r="T8935" s="2">
        <v>42269</v>
      </c>
      <c r="U8935" s="2">
        <v>42329</v>
      </c>
      <c r="V8935" t="s">
        <v>71</v>
      </c>
      <c r="W8935" t="str">
        <f>"             1274/PA"</f>
        <v xml:space="preserve">             1274/PA</v>
      </c>
      <c r="X8935" s="1">
        <v>4026</v>
      </c>
      <c r="Y8935">
        <v>0</v>
      </c>
      <c r="Z8935"/>
      <c r="AB8935"/>
      <c r="AC8935" s="1">
        <v>3300</v>
      </c>
      <c r="AD8935">
        <v>292</v>
      </c>
      <c r="AE8935" s="1">
        <v>963600</v>
      </c>
      <c r="AF8935">
        <v>0</v>
      </c>
      <c r="AJ8935">
        <v>0</v>
      </c>
      <c r="AK8935">
        <v>0</v>
      </c>
      <c r="AL8935">
        <v>0</v>
      </c>
      <c r="AM8935">
        <v>0</v>
      </c>
      <c r="AN8935">
        <v>0</v>
      </c>
      <c r="AO8935">
        <v>0</v>
      </c>
      <c r="AP8935" s="2">
        <v>42746</v>
      </c>
      <c r="AQ8935" t="s">
        <v>72</v>
      </c>
      <c r="AR8935" t="s">
        <v>72</v>
      </c>
      <c r="AS8935">
        <v>2356</v>
      </c>
      <c r="AT8935" s="4">
        <v>42621</v>
      </c>
      <c r="AU8935" t="s">
        <v>73</v>
      </c>
      <c r="AV8935">
        <v>2356</v>
      </c>
      <c r="AW8935" s="4">
        <v>42621</v>
      </c>
      <c r="BD8935">
        <v>0</v>
      </c>
      <c r="BN8935" t="s">
        <v>74</v>
      </c>
    </row>
    <row r="8936" spans="1:66" hidden="1">
      <c r="A8936">
        <v>106535</v>
      </c>
      <c r="B8936" s="3" t="s">
        <v>599</v>
      </c>
      <c r="C8936" s="1">
        <v>43300101</v>
      </c>
      <c r="D8936" t="s">
        <v>67</v>
      </c>
      <c r="H8936" t="str">
        <f t="shared" ref="H8936:I8955" si="935">"08862820969"</f>
        <v>08862820969</v>
      </c>
      <c r="I8936" t="str">
        <f t="shared" si="935"/>
        <v>08862820969</v>
      </c>
      <c r="K8936" t="str">
        <f>""</f>
        <v/>
      </c>
      <c r="M8936" t="s">
        <v>68</v>
      </c>
      <c r="N8936" t="str">
        <f t="shared" si="933"/>
        <v>FOR</v>
      </c>
      <c r="O8936" t="s">
        <v>69</v>
      </c>
      <c r="P8936" s="3" t="s">
        <v>75</v>
      </c>
      <c r="Q8936">
        <v>2015</v>
      </c>
      <c r="R8936" s="2">
        <v>42187</v>
      </c>
      <c r="S8936" s="2">
        <v>42195</v>
      </c>
      <c r="T8936" s="2">
        <v>42195</v>
      </c>
      <c r="U8936" s="2">
        <v>42255</v>
      </c>
      <c r="V8936" t="s">
        <v>71</v>
      </c>
      <c r="W8936" t="str">
        <f>"          2015106596"</f>
        <v xml:space="preserve">          2015106596</v>
      </c>
      <c r="X8936" s="1">
        <v>1372.8</v>
      </c>
      <c r="Y8936">
        <v>0</v>
      </c>
      <c r="Z8936"/>
      <c r="AB8936"/>
      <c r="AC8936" s="1">
        <v>1320</v>
      </c>
      <c r="AD8936">
        <v>146</v>
      </c>
      <c r="AE8936" s="1">
        <v>192720</v>
      </c>
      <c r="AF8936">
        <v>0</v>
      </c>
      <c r="AJ8936">
        <v>0</v>
      </c>
      <c r="AK8936">
        <v>0</v>
      </c>
      <c r="AL8936">
        <v>0</v>
      </c>
      <c r="AM8936">
        <v>0</v>
      </c>
      <c r="AN8936">
        <v>0</v>
      </c>
      <c r="AO8936">
        <v>0</v>
      </c>
      <c r="AP8936" s="2">
        <v>42746</v>
      </c>
      <c r="AQ8936" t="s">
        <v>72</v>
      </c>
      <c r="AR8936" t="s">
        <v>72</v>
      </c>
      <c r="AS8936">
        <v>175</v>
      </c>
      <c r="AT8936" s="4">
        <v>42401</v>
      </c>
      <c r="AU8936" t="s">
        <v>73</v>
      </c>
      <c r="AV8936">
        <v>175</v>
      </c>
      <c r="AW8936" s="4">
        <v>42401</v>
      </c>
      <c r="BD8936">
        <v>0</v>
      </c>
      <c r="BN8936" t="s">
        <v>74</v>
      </c>
    </row>
    <row r="8937" spans="1:66" hidden="1">
      <c r="A8937">
        <v>106535</v>
      </c>
      <c r="B8937" s="3" t="s">
        <v>599</v>
      </c>
      <c r="C8937" s="1">
        <v>43300101</v>
      </c>
      <c r="D8937" t="s">
        <v>67</v>
      </c>
      <c r="H8937" t="str">
        <f t="shared" si="935"/>
        <v>08862820969</v>
      </c>
      <c r="I8937" t="str">
        <f t="shared" si="935"/>
        <v>08862820969</v>
      </c>
      <c r="K8937" t="str">
        <f>""</f>
        <v/>
      </c>
      <c r="M8937" t="s">
        <v>68</v>
      </c>
      <c r="N8937" t="str">
        <f t="shared" si="933"/>
        <v>FOR</v>
      </c>
      <c r="O8937" t="s">
        <v>69</v>
      </c>
      <c r="P8937" s="3" t="s">
        <v>75</v>
      </c>
      <c r="Q8937">
        <v>2015</v>
      </c>
      <c r="R8937" s="2">
        <v>42187</v>
      </c>
      <c r="S8937" s="2">
        <v>42195</v>
      </c>
      <c r="T8937" s="2">
        <v>42195</v>
      </c>
      <c r="U8937" s="2">
        <v>42255</v>
      </c>
      <c r="V8937" t="s">
        <v>71</v>
      </c>
      <c r="W8937" t="str">
        <f>"          2015106597"</f>
        <v xml:space="preserve">          2015106597</v>
      </c>
      <c r="X8937" s="1">
        <v>1508</v>
      </c>
      <c r="Y8937">
        <v>0</v>
      </c>
      <c r="Z8937"/>
      <c r="AB8937"/>
      <c r="AC8937" s="1">
        <v>1450</v>
      </c>
      <c r="AD8937">
        <v>146</v>
      </c>
      <c r="AE8937" s="1">
        <v>211700</v>
      </c>
      <c r="AF8937">
        <v>0</v>
      </c>
      <c r="AJ8937">
        <v>0</v>
      </c>
      <c r="AK8937">
        <v>0</v>
      </c>
      <c r="AL8937">
        <v>0</v>
      </c>
      <c r="AM8937">
        <v>0</v>
      </c>
      <c r="AN8937">
        <v>0</v>
      </c>
      <c r="AO8937">
        <v>0</v>
      </c>
      <c r="AP8937" s="2">
        <v>42746</v>
      </c>
      <c r="AQ8937" t="s">
        <v>72</v>
      </c>
      <c r="AR8937" t="s">
        <v>72</v>
      </c>
      <c r="AS8937">
        <v>175</v>
      </c>
      <c r="AT8937" s="4">
        <v>42401</v>
      </c>
      <c r="AU8937" t="s">
        <v>73</v>
      </c>
      <c r="AV8937">
        <v>175</v>
      </c>
      <c r="AW8937" s="4">
        <v>42401</v>
      </c>
      <c r="BD8937">
        <v>0</v>
      </c>
      <c r="BN8937" t="s">
        <v>74</v>
      </c>
    </row>
    <row r="8938" spans="1:66" hidden="1">
      <c r="A8938">
        <v>106535</v>
      </c>
      <c r="B8938" s="3" t="s">
        <v>599</v>
      </c>
      <c r="C8938" s="1">
        <v>43300101</v>
      </c>
      <c r="D8938" t="s">
        <v>67</v>
      </c>
      <c r="H8938" t="str">
        <f t="shared" si="935"/>
        <v>08862820969</v>
      </c>
      <c r="I8938" t="str">
        <f t="shared" si="935"/>
        <v>08862820969</v>
      </c>
      <c r="K8938" t="str">
        <f>""</f>
        <v/>
      </c>
      <c r="M8938" t="s">
        <v>68</v>
      </c>
      <c r="N8938" t="str">
        <f t="shared" si="933"/>
        <v>FOR</v>
      </c>
      <c r="O8938" t="s">
        <v>69</v>
      </c>
      <c r="P8938" s="3" t="s">
        <v>75</v>
      </c>
      <c r="Q8938">
        <v>2015</v>
      </c>
      <c r="R8938" s="2">
        <v>42187</v>
      </c>
      <c r="S8938" s="2">
        <v>42195</v>
      </c>
      <c r="T8938" s="2">
        <v>42195</v>
      </c>
      <c r="U8938" s="2">
        <v>42255</v>
      </c>
      <c r="V8938" t="s">
        <v>71</v>
      </c>
      <c r="W8938" t="str">
        <f>"          2015106598"</f>
        <v xml:space="preserve">          2015106598</v>
      </c>
      <c r="X8938" s="1">
        <v>1508</v>
      </c>
      <c r="Y8938">
        <v>0</v>
      </c>
      <c r="Z8938"/>
      <c r="AB8938"/>
      <c r="AC8938" s="1">
        <v>1450</v>
      </c>
      <c r="AD8938">
        <v>146</v>
      </c>
      <c r="AE8938" s="1">
        <v>211700</v>
      </c>
      <c r="AF8938">
        <v>0</v>
      </c>
      <c r="AJ8938">
        <v>0</v>
      </c>
      <c r="AK8938">
        <v>0</v>
      </c>
      <c r="AL8938">
        <v>0</v>
      </c>
      <c r="AM8938">
        <v>0</v>
      </c>
      <c r="AN8938">
        <v>0</v>
      </c>
      <c r="AO8938">
        <v>0</v>
      </c>
      <c r="AP8938" s="2">
        <v>42746</v>
      </c>
      <c r="AQ8938" t="s">
        <v>72</v>
      </c>
      <c r="AR8938" t="s">
        <v>72</v>
      </c>
      <c r="AS8938">
        <v>175</v>
      </c>
      <c r="AT8938" s="4">
        <v>42401</v>
      </c>
      <c r="AU8938" t="s">
        <v>73</v>
      </c>
      <c r="AV8938">
        <v>175</v>
      </c>
      <c r="AW8938" s="4">
        <v>42401</v>
      </c>
      <c r="BD8938">
        <v>0</v>
      </c>
      <c r="BN8938" t="s">
        <v>74</v>
      </c>
    </row>
    <row r="8939" spans="1:66" hidden="1">
      <c r="A8939">
        <v>106535</v>
      </c>
      <c r="B8939" s="3" t="s">
        <v>599</v>
      </c>
      <c r="C8939" s="1">
        <v>43300101</v>
      </c>
      <c r="D8939" t="s">
        <v>67</v>
      </c>
      <c r="H8939" t="str">
        <f t="shared" si="935"/>
        <v>08862820969</v>
      </c>
      <c r="I8939" t="str">
        <f t="shared" si="935"/>
        <v>08862820969</v>
      </c>
      <c r="K8939" t="str">
        <f>""</f>
        <v/>
      </c>
      <c r="M8939" t="s">
        <v>68</v>
      </c>
      <c r="N8939" t="str">
        <f t="shared" si="933"/>
        <v>FOR</v>
      </c>
      <c r="O8939" t="s">
        <v>69</v>
      </c>
      <c r="P8939" s="3" t="s">
        <v>75</v>
      </c>
      <c r="Q8939">
        <v>2015</v>
      </c>
      <c r="R8939" s="2">
        <v>42187</v>
      </c>
      <c r="S8939" s="2">
        <v>42195</v>
      </c>
      <c r="T8939" s="2">
        <v>42195</v>
      </c>
      <c r="U8939" s="2">
        <v>42255</v>
      </c>
      <c r="V8939" t="s">
        <v>71</v>
      </c>
      <c r="W8939" t="str">
        <f>"          2015106599"</f>
        <v xml:space="preserve">          2015106599</v>
      </c>
      <c r="X8939" s="1">
        <v>1508</v>
      </c>
      <c r="Y8939">
        <v>0</v>
      </c>
      <c r="Z8939"/>
      <c r="AB8939"/>
      <c r="AC8939" s="1">
        <v>1450</v>
      </c>
      <c r="AD8939">
        <v>146</v>
      </c>
      <c r="AE8939" s="1">
        <v>211700</v>
      </c>
      <c r="AF8939">
        <v>0</v>
      </c>
      <c r="AJ8939">
        <v>0</v>
      </c>
      <c r="AK8939">
        <v>0</v>
      </c>
      <c r="AL8939">
        <v>0</v>
      </c>
      <c r="AM8939">
        <v>0</v>
      </c>
      <c r="AN8939">
        <v>0</v>
      </c>
      <c r="AO8939">
        <v>0</v>
      </c>
      <c r="AP8939" s="2">
        <v>42746</v>
      </c>
      <c r="AQ8939" t="s">
        <v>72</v>
      </c>
      <c r="AR8939" t="s">
        <v>72</v>
      </c>
      <c r="AS8939">
        <v>175</v>
      </c>
      <c r="AT8939" s="4">
        <v>42401</v>
      </c>
      <c r="AU8939" t="s">
        <v>73</v>
      </c>
      <c r="AV8939">
        <v>175</v>
      </c>
      <c r="AW8939" s="4">
        <v>42401</v>
      </c>
      <c r="BD8939">
        <v>0</v>
      </c>
      <c r="BN8939" t="s">
        <v>74</v>
      </c>
    </row>
    <row r="8940" spans="1:66" hidden="1">
      <c r="A8940">
        <v>106535</v>
      </c>
      <c r="B8940" s="3" t="s">
        <v>599</v>
      </c>
      <c r="C8940" s="1">
        <v>43300101</v>
      </c>
      <c r="D8940" t="s">
        <v>67</v>
      </c>
      <c r="H8940" t="str">
        <f t="shared" si="935"/>
        <v>08862820969</v>
      </c>
      <c r="I8940" t="str">
        <f t="shared" si="935"/>
        <v>08862820969</v>
      </c>
      <c r="K8940" t="str">
        <f>""</f>
        <v/>
      </c>
      <c r="M8940" t="s">
        <v>68</v>
      </c>
      <c r="N8940" t="str">
        <f t="shared" si="933"/>
        <v>FOR</v>
      </c>
      <c r="O8940" t="s">
        <v>69</v>
      </c>
      <c r="P8940" s="3" t="s">
        <v>75</v>
      </c>
      <c r="Q8940">
        <v>2015</v>
      </c>
      <c r="R8940" s="2">
        <v>42187</v>
      </c>
      <c r="S8940" s="2">
        <v>42195</v>
      </c>
      <c r="T8940" s="2">
        <v>42195</v>
      </c>
      <c r="U8940" s="2">
        <v>42255</v>
      </c>
      <c r="V8940" t="s">
        <v>71</v>
      </c>
      <c r="W8940" t="str">
        <f>"          2015106600"</f>
        <v xml:space="preserve">          2015106600</v>
      </c>
      <c r="X8940" s="1">
        <v>1508</v>
      </c>
      <c r="Y8940">
        <v>0</v>
      </c>
      <c r="Z8940"/>
      <c r="AB8940"/>
      <c r="AC8940" s="1">
        <v>1450</v>
      </c>
      <c r="AD8940">
        <v>146</v>
      </c>
      <c r="AE8940" s="1">
        <v>211700</v>
      </c>
      <c r="AF8940">
        <v>0</v>
      </c>
      <c r="AJ8940">
        <v>0</v>
      </c>
      <c r="AK8940">
        <v>0</v>
      </c>
      <c r="AL8940">
        <v>0</v>
      </c>
      <c r="AM8940">
        <v>0</v>
      </c>
      <c r="AN8940">
        <v>0</v>
      </c>
      <c r="AO8940">
        <v>0</v>
      </c>
      <c r="AP8940" s="2">
        <v>42746</v>
      </c>
      <c r="AQ8940" t="s">
        <v>72</v>
      </c>
      <c r="AR8940" t="s">
        <v>72</v>
      </c>
      <c r="AS8940">
        <v>175</v>
      </c>
      <c r="AT8940" s="4">
        <v>42401</v>
      </c>
      <c r="AU8940" t="s">
        <v>73</v>
      </c>
      <c r="AV8940">
        <v>175</v>
      </c>
      <c r="AW8940" s="4">
        <v>42401</v>
      </c>
      <c r="BD8940">
        <v>0</v>
      </c>
      <c r="BN8940" t="s">
        <v>74</v>
      </c>
    </row>
    <row r="8941" spans="1:66" hidden="1">
      <c r="A8941">
        <v>106535</v>
      </c>
      <c r="B8941" s="3" t="s">
        <v>599</v>
      </c>
      <c r="C8941" s="1">
        <v>43300101</v>
      </c>
      <c r="D8941" t="s">
        <v>67</v>
      </c>
      <c r="H8941" t="str">
        <f t="shared" si="935"/>
        <v>08862820969</v>
      </c>
      <c r="I8941" t="str">
        <f t="shared" si="935"/>
        <v>08862820969</v>
      </c>
      <c r="K8941" t="str">
        <f>""</f>
        <v/>
      </c>
      <c r="M8941" t="s">
        <v>68</v>
      </c>
      <c r="N8941" t="str">
        <f t="shared" si="933"/>
        <v>FOR</v>
      </c>
      <c r="O8941" t="s">
        <v>69</v>
      </c>
      <c r="P8941" s="3" t="s">
        <v>75</v>
      </c>
      <c r="Q8941">
        <v>2015</v>
      </c>
      <c r="R8941" s="2">
        <v>42187</v>
      </c>
      <c r="S8941" s="2">
        <v>42195</v>
      </c>
      <c r="T8941" s="2">
        <v>42195</v>
      </c>
      <c r="U8941" s="2">
        <v>42255</v>
      </c>
      <c r="V8941" t="s">
        <v>71</v>
      </c>
      <c r="W8941" t="str">
        <f>"          2015106601"</f>
        <v xml:space="preserve">          2015106601</v>
      </c>
      <c r="X8941" s="1">
        <v>1508</v>
      </c>
      <c r="Y8941">
        <v>0</v>
      </c>
      <c r="Z8941"/>
      <c r="AB8941"/>
      <c r="AC8941" s="1">
        <v>1450</v>
      </c>
      <c r="AD8941">
        <v>146</v>
      </c>
      <c r="AE8941" s="1">
        <v>211700</v>
      </c>
      <c r="AF8941">
        <v>0</v>
      </c>
      <c r="AJ8941">
        <v>0</v>
      </c>
      <c r="AK8941">
        <v>0</v>
      </c>
      <c r="AL8941">
        <v>0</v>
      </c>
      <c r="AM8941">
        <v>0</v>
      </c>
      <c r="AN8941">
        <v>0</v>
      </c>
      <c r="AO8941">
        <v>0</v>
      </c>
      <c r="AP8941" s="2">
        <v>42746</v>
      </c>
      <c r="AQ8941" t="s">
        <v>72</v>
      </c>
      <c r="AR8941" t="s">
        <v>72</v>
      </c>
      <c r="AS8941">
        <v>175</v>
      </c>
      <c r="AT8941" s="4">
        <v>42401</v>
      </c>
      <c r="AU8941" t="s">
        <v>73</v>
      </c>
      <c r="AV8941">
        <v>175</v>
      </c>
      <c r="AW8941" s="4">
        <v>42401</v>
      </c>
      <c r="BD8941">
        <v>0</v>
      </c>
      <c r="BN8941" t="s">
        <v>74</v>
      </c>
    </row>
    <row r="8942" spans="1:66" hidden="1">
      <c r="A8942">
        <v>106535</v>
      </c>
      <c r="B8942" s="3" t="s">
        <v>599</v>
      </c>
      <c r="C8942" s="1">
        <v>43300101</v>
      </c>
      <c r="D8942" t="s">
        <v>67</v>
      </c>
      <c r="H8942" t="str">
        <f t="shared" si="935"/>
        <v>08862820969</v>
      </c>
      <c r="I8942" t="str">
        <f t="shared" si="935"/>
        <v>08862820969</v>
      </c>
      <c r="K8942" t="str">
        <f>""</f>
        <v/>
      </c>
      <c r="M8942" t="s">
        <v>68</v>
      </c>
      <c r="N8942" t="str">
        <f t="shared" si="933"/>
        <v>FOR</v>
      </c>
      <c r="O8942" t="s">
        <v>69</v>
      </c>
      <c r="P8942" s="3" t="s">
        <v>75</v>
      </c>
      <c r="Q8942">
        <v>2015</v>
      </c>
      <c r="R8942" s="2">
        <v>42187</v>
      </c>
      <c r="S8942" s="2">
        <v>42195</v>
      </c>
      <c r="T8942" s="2">
        <v>42195</v>
      </c>
      <c r="U8942" s="2">
        <v>42255</v>
      </c>
      <c r="V8942" t="s">
        <v>71</v>
      </c>
      <c r="W8942" t="str">
        <f>"          2015106602"</f>
        <v xml:space="preserve">          2015106602</v>
      </c>
      <c r="X8942" s="1">
        <v>1372.8</v>
      </c>
      <c r="Y8942">
        <v>0</v>
      </c>
      <c r="Z8942"/>
      <c r="AB8942"/>
      <c r="AC8942" s="1">
        <v>1320</v>
      </c>
      <c r="AD8942">
        <v>146</v>
      </c>
      <c r="AE8942" s="1">
        <v>192720</v>
      </c>
      <c r="AF8942">
        <v>0</v>
      </c>
      <c r="AJ8942">
        <v>0</v>
      </c>
      <c r="AK8942">
        <v>0</v>
      </c>
      <c r="AL8942">
        <v>0</v>
      </c>
      <c r="AM8942">
        <v>0</v>
      </c>
      <c r="AN8942">
        <v>0</v>
      </c>
      <c r="AO8942">
        <v>0</v>
      </c>
      <c r="AP8942" s="2">
        <v>42746</v>
      </c>
      <c r="AQ8942" t="s">
        <v>72</v>
      </c>
      <c r="AR8942" t="s">
        <v>72</v>
      </c>
      <c r="AS8942">
        <v>175</v>
      </c>
      <c r="AT8942" s="4">
        <v>42401</v>
      </c>
      <c r="AU8942" t="s">
        <v>73</v>
      </c>
      <c r="AV8942">
        <v>175</v>
      </c>
      <c r="AW8942" s="4">
        <v>42401</v>
      </c>
      <c r="BD8942">
        <v>0</v>
      </c>
      <c r="BN8942" t="s">
        <v>74</v>
      </c>
    </row>
    <row r="8943" spans="1:66" hidden="1">
      <c r="A8943">
        <v>106535</v>
      </c>
      <c r="B8943" s="3" t="s">
        <v>599</v>
      </c>
      <c r="C8943" s="1">
        <v>43300101</v>
      </c>
      <c r="D8943" t="s">
        <v>67</v>
      </c>
      <c r="H8943" t="str">
        <f t="shared" si="935"/>
        <v>08862820969</v>
      </c>
      <c r="I8943" t="str">
        <f t="shared" si="935"/>
        <v>08862820969</v>
      </c>
      <c r="K8943" t="str">
        <f>""</f>
        <v/>
      </c>
      <c r="M8943" t="s">
        <v>68</v>
      </c>
      <c r="N8943" t="str">
        <f t="shared" si="933"/>
        <v>FOR</v>
      </c>
      <c r="O8943" t="s">
        <v>69</v>
      </c>
      <c r="P8943" s="3" t="s">
        <v>75</v>
      </c>
      <c r="Q8943">
        <v>2015</v>
      </c>
      <c r="R8943" s="2">
        <v>42187</v>
      </c>
      <c r="S8943" s="2">
        <v>42195</v>
      </c>
      <c r="T8943" s="2">
        <v>42195</v>
      </c>
      <c r="U8943" s="2">
        <v>42255</v>
      </c>
      <c r="V8943" t="s">
        <v>71</v>
      </c>
      <c r="W8943" t="str">
        <f>"          2015106603"</f>
        <v xml:space="preserve">          2015106603</v>
      </c>
      <c r="X8943" s="1">
        <v>1372.8</v>
      </c>
      <c r="Y8943">
        <v>0</v>
      </c>
      <c r="Z8943"/>
      <c r="AB8943"/>
      <c r="AC8943" s="1">
        <v>1320</v>
      </c>
      <c r="AD8943">
        <v>146</v>
      </c>
      <c r="AE8943" s="1">
        <v>192720</v>
      </c>
      <c r="AF8943">
        <v>0</v>
      </c>
      <c r="AJ8943">
        <v>0</v>
      </c>
      <c r="AK8943">
        <v>0</v>
      </c>
      <c r="AL8943">
        <v>0</v>
      </c>
      <c r="AM8943">
        <v>0</v>
      </c>
      <c r="AN8943">
        <v>0</v>
      </c>
      <c r="AO8943">
        <v>0</v>
      </c>
      <c r="AP8943" s="2">
        <v>42746</v>
      </c>
      <c r="AQ8943" t="s">
        <v>72</v>
      </c>
      <c r="AR8943" t="s">
        <v>72</v>
      </c>
      <c r="AS8943">
        <v>175</v>
      </c>
      <c r="AT8943" s="4">
        <v>42401</v>
      </c>
      <c r="AU8943" t="s">
        <v>73</v>
      </c>
      <c r="AV8943">
        <v>175</v>
      </c>
      <c r="AW8943" s="4">
        <v>42401</v>
      </c>
      <c r="BD8943">
        <v>0</v>
      </c>
      <c r="BN8943" t="s">
        <v>74</v>
      </c>
    </row>
    <row r="8944" spans="1:66" hidden="1">
      <c r="A8944">
        <v>106535</v>
      </c>
      <c r="B8944" s="3" t="s">
        <v>599</v>
      </c>
      <c r="C8944" s="1">
        <v>43300101</v>
      </c>
      <c r="D8944" t="s">
        <v>67</v>
      </c>
      <c r="H8944" t="str">
        <f t="shared" si="935"/>
        <v>08862820969</v>
      </c>
      <c r="I8944" t="str">
        <f t="shared" si="935"/>
        <v>08862820969</v>
      </c>
      <c r="K8944" t="str">
        <f>""</f>
        <v/>
      </c>
      <c r="M8944" t="s">
        <v>68</v>
      </c>
      <c r="N8944" t="str">
        <f t="shared" si="933"/>
        <v>FOR</v>
      </c>
      <c r="O8944" t="s">
        <v>69</v>
      </c>
      <c r="P8944" s="3" t="s">
        <v>75</v>
      </c>
      <c r="Q8944">
        <v>2015</v>
      </c>
      <c r="R8944" s="2">
        <v>42192</v>
      </c>
      <c r="S8944" s="2">
        <v>42199</v>
      </c>
      <c r="T8944" s="2">
        <v>42198</v>
      </c>
      <c r="U8944" s="2">
        <v>42258</v>
      </c>
      <c r="V8944" t="s">
        <v>71</v>
      </c>
      <c r="W8944" t="str">
        <f>"          2015106713"</f>
        <v xml:space="preserve">          2015106713</v>
      </c>
      <c r="X8944" s="1">
        <v>1508</v>
      </c>
      <c r="Y8944">
        <v>0</v>
      </c>
      <c r="Z8944"/>
      <c r="AB8944"/>
      <c r="AC8944" s="1">
        <v>1450</v>
      </c>
      <c r="AD8944">
        <v>143</v>
      </c>
      <c r="AE8944" s="1">
        <v>207350</v>
      </c>
      <c r="AF8944">
        <v>0</v>
      </c>
      <c r="AJ8944">
        <v>0</v>
      </c>
      <c r="AK8944">
        <v>0</v>
      </c>
      <c r="AL8944">
        <v>0</v>
      </c>
      <c r="AM8944">
        <v>0</v>
      </c>
      <c r="AN8944">
        <v>0</v>
      </c>
      <c r="AO8944">
        <v>0</v>
      </c>
      <c r="AP8944" s="2">
        <v>42746</v>
      </c>
      <c r="AQ8944" t="s">
        <v>72</v>
      </c>
      <c r="AR8944" t="s">
        <v>72</v>
      </c>
      <c r="AS8944">
        <v>175</v>
      </c>
      <c r="AT8944" s="4">
        <v>42401</v>
      </c>
      <c r="AU8944" t="s">
        <v>73</v>
      </c>
      <c r="AV8944">
        <v>175</v>
      </c>
      <c r="AW8944" s="4">
        <v>42401</v>
      </c>
      <c r="BD8944">
        <v>0</v>
      </c>
      <c r="BN8944" t="s">
        <v>74</v>
      </c>
    </row>
    <row r="8945" spans="1:66" hidden="1">
      <c r="A8945">
        <v>106535</v>
      </c>
      <c r="B8945" s="3" t="s">
        <v>599</v>
      </c>
      <c r="C8945" s="1">
        <v>43300101</v>
      </c>
      <c r="D8945" t="s">
        <v>67</v>
      </c>
      <c r="H8945" t="str">
        <f t="shared" si="935"/>
        <v>08862820969</v>
      </c>
      <c r="I8945" t="str">
        <f t="shared" si="935"/>
        <v>08862820969</v>
      </c>
      <c r="K8945" t="str">
        <f>""</f>
        <v/>
      </c>
      <c r="M8945" t="s">
        <v>68</v>
      </c>
      <c r="N8945" t="str">
        <f t="shared" si="933"/>
        <v>FOR</v>
      </c>
      <c r="O8945" t="s">
        <v>69</v>
      </c>
      <c r="P8945" s="3" t="s">
        <v>75</v>
      </c>
      <c r="Q8945">
        <v>2015</v>
      </c>
      <c r="R8945" s="2">
        <v>42192</v>
      </c>
      <c r="S8945" s="2">
        <v>42199</v>
      </c>
      <c r="T8945" s="2">
        <v>42198</v>
      </c>
      <c r="U8945" s="2">
        <v>42258</v>
      </c>
      <c r="V8945" t="s">
        <v>71</v>
      </c>
      <c r="W8945" t="str">
        <f>"          2015106714"</f>
        <v xml:space="preserve">          2015106714</v>
      </c>
      <c r="X8945" s="1">
        <v>1508</v>
      </c>
      <c r="Y8945">
        <v>0</v>
      </c>
      <c r="Z8945"/>
      <c r="AB8945"/>
      <c r="AC8945" s="1">
        <v>1450</v>
      </c>
      <c r="AD8945">
        <v>143</v>
      </c>
      <c r="AE8945" s="1">
        <v>207350</v>
      </c>
      <c r="AF8945">
        <v>0</v>
      </c>
      <c r="AJ8945">
        <v>0</v>
      </c>
      <c r="AK8945">
        <v>0</v>
      </c>
      <c r="AL8945">
        <v>0</v>
      </c>
      <c r="AM8945">
        <v>0</v>
      </c>
      <c r="AN8945">
        <v>0</v>
      </c>
      <c r="AO8945">
        <v>0</v>
      </c>
      <c r="AP8945" s="2">
        <v>42746</v>
      </c>
      <c r="AQ8945" t="s">
        <v>72</v>
      </c>
      <c r="AR8945" t="s">
        <v>72</v>
      </c>
      <c r="AS8945">
        <v>175</v>
      </c>
      <c r="AT8945" s="4">
        <v>42401</v>
      </c>
      <c r="AU8945" t="s">
        <v>73</v>
      </c>
      <c r="AV8945">
        <v>175</v>
      </c>
      <c r="AW8945" s="4">
        <v>42401</v>
      </c>
      <c r="BD8945">
        <v>0</v>
      </c>
      <c r="BN8945" t="s">
        <v>74</v>
      </c>
    </row>
    <row r="8946" spans="1:66" hidden="1">
      <c r="A8946">
        <v>106535</v>
      </c>
      <c r="B8946" s="3" t="s">
        <v>599</v>
      </c>
      <c r="C8946" s="1">
        <v>43300101</v>
      </c>
      <c r="D8946" t="s">
        <v>67</v>
      </c>
      <c r="H8946" t="str">
        <f t="shared" si="935"/>
        <v>08862820969</v>
      </c>
      <c r="I8946" t="str">
        <f t="shared" si="935"/>
        <v>08862820969</v>
      </c>
      <c r="K8946" t="str">
        <f>""</f>
        <v/>
      </c>
      <c r="M8946" t="s">
        <v>68</v>
      </c>
      <c r="N8946" t="str">
        <f t="shared" si="933"/>
        <v>FOR</v>
      </c>
      <c r="O8946" t="s">
        <v>69</v>
      </c>
      <c r="P8946" s="3" t="s">
        <v>75</v>
      </c>
      <c r="Q8946">
        <v>2015</v>
      </c>
      <c r="R8946" s="2">
        <v>42192</v>
      </c>
      <c r="S8946" s="2">
        <v>42199</v>
      </c>
      <c r="T8946" s="2">
        <v>42198</v>
      </c>
      <c r="U8946" s="2">
        <v>42258</v>
      </c>
      <c r="V8946" t="s">
        <v>71</v>
      </c>
      <c r="W8946" t="str">
        <f>"          2015106715"</f>
        <v xml:space="preserve">          2015106715</v>
      </c>
      <c r="X8946" s="1">
        <v>1508</v>
      </c>
      <c r="Y8946">
        <v>0</v>
      </c>
      <c r="Z8946"/>
      <c r="AB8946"/>
      <c r="AC8946" s="1">
        <v>1450</v>
      </c>
      <c r="AD8946">
        <v>143</v>
      </c>
      <c r="AE8946" s="1">
        <v>207350</v>
      </c>
      <c r="AF8946">
        <v>0</v>
      </c>
      <c r="AJ8946">
        <v>0</v>
      </c>
      <c r="AK8946">
        <v>0</v>
      </c>
      <c r="AL8946">
        <v>0</v>
      </c>
      <c r="AM8946">
        <v>0</v>
      </c>
      <c r="AN8946">
        <v>0</v>
      </c>
      <c r="AO8946">
        <v>0</v>
      </c>
      <c r="AP8946" s="2">
        <v>42746</v>
      </c>
      <c r="AQ8946" t="s">
        <v>72</v>
      </c>
      <c r="AR8946" t="s">
        <v>72</v>
      </c>
      <c r="AS8946">
        <v>175</v>
      </c>
      <c r="AT8946" s="4">
        <v>42401</v>
      </c>
      <c r="AU8946" t="s">
        <v>73</v>
      </c>
      <c r="AV8946">
        <v>175</v>
      </c>
      <c r="AW8946" s="4">
        <v>42401</v>
      </c>
      <c r="BD8946">
        <v>0</v>
      </c>
      <c r="BN8946" t="s">
        <v>74</v>
      </c>
    </row>
    <row r="8947" spans="1:66" hidden="1">
      <c r="A8947">
        <v>106535</v>
      </c>
      <c r="B8947" s="3" t="s">
        <v>599</v>
      </c>
      <c r="C8947" s="1">
        <v>43300101</v>
      </c>
      <c r="D8947" t="s">
        <v>67</v>
      </c>
      <c r="H8947" t="str">
        <f t="shared" si="935"/>
        <v>08862820969</v>
      </c>
      <c r="I8947" t="str">
        <f t="shared" si="935"/>
        <v>08862820969</v>
      </c>
      <c r="K8947" t="str">
        <f>""</f>
        <v/>
      </c>
      <c r="M8947" t="s">
        <v>68</v>
      </c>
      <c r="N8947" t="str">
        <f t="shared" si="933"/>
        <v>FOR</v>
      </c>
      <c r="O8947" t="s">
        <v>69</v>
      </c>
      <c r="P8947" s="3" t="s">
        <v>75</v>
      </c>
      <c r="Q8947">
        <v>2015</v>
      </c>
      <c r="R8947" s="2">
        <v>42192</v>
      </c>
      <c r="S8947" s="2">
        <v>42199</v>
      </c>
      <c r="T8947" s="2">
        <v>42198</v>
      </c>
      <c r="U8947" s="2">
        <v>42258</v>
      </c>
      <c r="V8947" t="s">
        <v>71</v>
      </c>
      <c r="W8947" t="str">
        <f>"          2015106716"</f>
        <v xml:space="preserve">          2015106716</v>
      </c>
      <c r="X8947" s="1">
        <v>1508</v>
      </c>
      <c r="Y8947">
        <v>0</v>
      </c>
      <c r="Z8947"/>
      <c r="AB8947"/>
      <c r="AC8947" s="1">
        <v>1450</v>
      </c>
      <c r="AD8947">
        <v>143</v>
      </c>
      <c r="AE8947" s="1">
        <v>207350</v>
      </c>
      <c r="AF8947">
        <v>0</v>
      </c>
      <c r="AJ8947">
        <v>0</v>
      </c>
      <c r="AK8947">
        <v>0</v>
      </c>
      <c r="AL8947">
        <v>0</v>
      </c>
      <c r="AM8947">
        <v>0</v>
      </c>
      <c r="AN8947">
        <v>0</v>
      </c>
      <c r="AO8947">
        <v>0</v>
      </c>
      <c r="AP8947" s="2">
        <v>42746</v>
      </c>
      <c r="AQ8947" t="s">
        <v>72</v>
      </c>
      <c r="AR8947" t="s">
        <v>72</v>
      </c>
      <c r="AS8947">
        <v>175</v>
      </c>
      <c r="AT8947" s="4">
        <v>42401</v>
      </c>
      <c r="AU8947" t="s">
        <v>73</v>
      </c>
      <c r="AV8947">
        <v>175</v>
      </c>
      <c r="AW8947" s="4">
        <v>42401</v>
      </c>
      <c r="BD8947">
        <v>0</v>
      </c>
      <c r="BN8947" t="s">
        <v>74</v>
      </c>
    </row>
    <row r="8948" spans="1:66" hidden="1">
      <c r="A8948">
        <v>106535</v>
      </c>
      <c r="B8948" s="3" t="s">
        <v>599</v>
      </c>
      <c r="C8948" s="1">
        <v>43300101</v>
      </c>
      <c r="D8948" t="s">
        <v>67</v>
      </c>
      <c r="H8948" t="str">
        <f t="shared" si="935"/>
        <v>08862820969</v>
      </c>
      <c r="I8948" t="str">
        <f t="shared" si="935"/>
        <v>08862820969</v>
      </c>
      <c r="K8948" t="str">
        <f>""</f>
        <v/>
      </c>
      <c r="M8948" t="s">
        <v>68</v>
      </c>
      <c r="N8948" t="str">
        <f t="shared" si="933"/>
        <v>FOR</v>
      </c>
      <c r="O8948" t="s">
        <v>69</v>
      </c>
      <c r="P8948" s="3" t="s">
        <v>75</v>
      </c>
      <c r="Q8948">
        <v>2015</v>
      </c>
      <c r="R8948" s="2">
        <v>42192</v>
      </c>
      <c r="S8948" s="2">
        <v>42199</v>
      </c>
      <c r="T8948" s="2">
        <v>42198</v>
      </c>
      <c r="U8948" s="2">
        <v>42258</v>
      </c>
      <c r="V8948" t="s">
        <v>71</v>
      </c>
      <c r="W8948" t="str">
        <f>"          2015106717"</f>
        <v xml:space="preserve">          2015106717</v>
      </c>
      <c r="X8948" s="1">
        <v>1372.8</v>
      </c>
      <c r="Y8948">
        <v>0</v>
      </c>
      <c r="Z8948"/>
      <c r="AB8948"/>
      <c r="AC8948" s="1">
        <v>1320</v>
      </c>
      <c r="AD8948">
        <v>143</v>
      </c>
      <c r="AE8948" s="1">
        <v>188760</v>
      </c>
      <c r="AF8948">
        <v>0</v>
      </c>
      <c r="AJ8948">
        <v>0</v>
      </c>
      <c r="AK8948">
        <v>0</v>
      </c>
      <c r="AL8948">
        <v>0</v>
      </c>
      <c r="AM8948">
        <v>0</v>
      </c>
      <c r="AN8948">
        <v>0</v>
      </c>
      <c r="AO8948">
        <v>0</v>
      </c>
      <c r="AP8948" s="2">
        <v>42746</v>
      </c>
      <c r="AQ8948" t="s">
        <v>72</v>
      </c>
      <c r="AR8948" t="s">
        <v>72</v>
      </c>
      <c r="AS8948">
        <v>175</v>
      </c>
      <c r="AT8948" s="4">
        <v>42401</v>
      </c>
      <c r="AU8948" t="s">
        <v>73</v>
      </c>
      <c r="AV8948">
        <v>175</v>
      </c>
      <c r="AW8948" s="4">
        <v>42401</v>
      </c>
      <c r="BD8948">
        <v>0</v>
      </c>
      <c r="BN8948" t="s">
        <v>74</v>
      </c>
    </row>
    <row r="8949" spans="1:66" hidden="1">
      <c r="A8949">
        <v>106535</v>
      </c>
      <c r="B8949" s="3" t="s">
        <v>599</v>
      </c>
      <c r="C8949" s="1">
        <v>43300101</v>
      </c>
      <c r="D8949" t="s">
        <v>67</v>
      </c>
      <c r="H8949" t="str">
        <f t="shared" si="935"/>
        <v>08862820969</v>
      </c>
      <c r="I8949" t="str">
        <f t="shared" si="935"/>
        <v>08862820969</v>
      </c>
      <c r="K8949" t="str">
        <f>""</f>
        <v/>
      </c>
      <c r="M8949" t="s">
        <v>68</v>
      </c>
      <c r="N8949" t="str">
        <f t="shared" si="933"/>
        <v>FOR</v>
      </c>
      <c r="O8949" t="s">
        <v>69</v>
      </c>
      <c r="P8949" s="3" t="s">
        <v>75</v>
      </c>
      <c r="Q8949">
        <v>2015</v>
      </c>
      <c r="R8949" s="2">
        <v>42192</v>
      </c>
      <c r="S8949" s="2">
        <v>42199</v>
      </c>
      <c r="T8949" s="2">
        <v>42198</v>
      </c>
      <c r="U8949" s="2">
        <v>42258</v>
      </c>
      <c r="V8949" t="s">
        <v>71</v>
      </c>
      <c r="W8949" t="str">
        <f>"          2015106718"</f>
        <v xml:space="preserve">          2015106718</v>
      </c>
      <c r="X8949" s="1">
        <v>1508</v>
      </c>
      <c r="Y8949">
        <v>0</v>
      </c>
      <c r="Z8949"/>
      <c r="AB8949"/>
      <c r="AC8949" s="1">
        <v>1450</v>
      </c>
      <c r="AD8949">
        <v>143</v>
      </c>
      <c r="AE8949" s="1">
        <v>207350</v>
      </c>
      <c r="AF8949">
        <v>0</v>
      </c>
      <c r="AJ8949">
        <v>0</v>
      </c>
      <c r="AK8949">
        <v>0</v>
      </c>
      <c r="AL8949">
        <v>0</v>
      </c>
      <c r="AM8949">
        <v>0</v>
      </c>
      <c r="AN8949">
        <v>0</v>
      </c>
      <c r="AO8949">
        <v>0</v>
      </c>
      <c r="AP8949" s="2">
        <v>42746</v>
      </c>
      <c r="AQ8949" t="s">
        <v>72</v>
      </c>
      <c r="AR8949" t="s">
        <v>72</v>
      </c>
      <c r="AS8949">
        <v>175</v>
      </c>
      <c r="AT8949" s="4">
        <v>42401</v>
      </c>
      <c r="AU8949" t="s">
        <v>73</v>
      </c>
      <c r="AV8949">
        <v>175</v>
      </c>
      <c r="AW8949" s="4">
        <v>42401</v>
      </c>
      <c r="BD8949">
        <v>0</v>
      </c>
      <c r="BN8949" t="s">
        <v>74</v>
      </c>
    </row>
    <row r="8950" spans="1:66" hidden="1">
      <c r="A8950">
        <v>106535</v>
      </c>
      <c r="B8950" s="3" t="s">
        <v>599</v>
      </c>
      <c r="C8950" s="1">
        <v>43300101</v>
      </c>
      <c r="D8950" t="s">
        <v>67</v>
      </c>
      <c r="H8950" t="str">
        <f t="shared" si="935"/>
        <v>08862820969</v>
      </c>
      <c r="I8950" t="str">
        <f t="shared" si="935"/>
        <v>08862820969</v>
      </c>
      <c r="K8950" t="str">
        <f>""</f>
        <v/>
      </c>
      <c r="M8950" t="s">
        <v>68</v>
      </c>
      <c r="N8950" t="str">
        <f t="shared" si="933"/>
        <v>FOR</v>
      </c>
      <c r="O8950" t="s">
        <v>69</v>
      </c>
      <c r="P8950" s="3" t="s">
        <v>75</v>
      </c>
      <c r="Q8950">
        <v>2015</v>
      </c>
      <c r="R8950" s="2">
        <v>42192</v>
      </c>
      <c r="S8950" s="2">
        <v>42199</v>
      </c>
      <c r="T8950" s="2">
        <v>42198</v>
      </c>
      <c r="U8950" s="2">
        <v>42258</v>
      </c>
      <c r="V8950" t="s">
        <v>71</v>
      </c>
      <c r="W8950" t="str">
        <f>"          2015106719"</f>
        <v xml:space="preserve">          2015106719</v>
      </c>
      <c r="X8950" s="1">
        <v>1508</v>
      </c>
      <c r="Y8950">
        <v>0</v>
      </c>
      <c r="Z8950"/>
      <c r="AB8950"/>
      <c r="AC8950" s="1">
        <v>1450</v>
      </c>
      <c r="AD8950">
        <v>143</v>
      </c>
      <c r="AE8950" s="1">
        <v>207350</v>
      </c>
      <c r="AF8950">
        <v>0</v>
      </c>
      <c r="AJ8950">
        <v>0</v>
      </c>
      <c r="AK8950">
        <v>0</v>
      </c>
      <c r="AL8950">
        <v>0</v>
      </c>
      <c r="AM8950">
        <v>0</v>
      </c>
      <c r="AN8950">
        <v>0</v>
      </c>
      <c r="AO8950">
        <v>0</v>
      </c>
      <c r="AP8950" s="2">
        <v>42746</v>
      </c>
      <c r="AQ8950" t="s">
        <v>72</v>
      </c>
      <c r="AR8950" t="s">
        <v>72</v>
      </c>
      <c r="AS8950">
        <v>175</v>
      </c>
      <c r="AT8950" s="4">
        <v>42401</v>
      </c>
      <c r="AU8950" t="s">
        <v>73</v>
      </c>
      <c r="AV8950">
        <v>175</v>
      </c>
      <c r="AW8950" s="4">
        <v>42401</v>
      </c>
      <c r="BD8950">
        <v>0</v>
      </c>
      <c r="BN8950" t="s">
        <v>74</v>
      </c>
    </row>
    <row r="8951" spans="1:66" hidden="1">
      <c r="A8951">
        <v>106535</v>
      </c>
      <c r="B8951" s="3" t="s">
        <v>599</v>
      </c>
      <c r="C8951" s="1">
        <v>43300101</v>
      </c>
      <c r="D8951" t="s">
        <v>67</v>
      </c>
      <c r="H8951" t="str">
        <f t="shared" si="935"/>
        <v>08862820969</v>
      </c>
      <c r="I8951" t="str">
        <f t="shared" si="935"/>
        <v>08862820969</v>
      </c>
      <c r="K8951" t="str">
        <f>""</f>
        <v/>
      </c>
      <c r="M8951" t="s">
        <v>68</v>
      </c>
      <c r="N8951" t="str">
        <f t="shared" si="933"/>
        <v>FOR</v>
      </c>
      <c r="O8951" t="s">
        <v>69</v>
      </c>
      <c r="P8951" s="3" t="s">
        <v>75</v>
      </c>
      <c r="Q8951">
        <v>2015</v>
      </c>
      <c r="R8951" s="2">
        <v>42192</v>
      </c>
      <c r="S8951" s="2">
        <v>42199</v>
      </c>
      <c r="T8951" s="2">
        <v>42198</v>
      </c>
      <c r="U8951" s="2">
        <v>42258</v>
      </c>
      <c r="V8951" t="s">
        <v>71</v>
      </c>
      <c r="W8951" t="str">
        <f>"          2015106720"</f>
        <v xml:space="preserve">          2015106720</v>
      </c>
      <c r="X8951" s="1">
        <v>1372.8</v>
      </c>
      <c r="Y8951">
        <v>0</v>
      </c>
      <c r="Z8951"/>
      <c r="AB8951"/>
      <c r="AC8951" s="1">
        <v>1320</v>
      </c>
      <c r="AD8951">
        <v>143</v>
      </c>
      <c r="AE8951" s="1">
        <v>188760</v>
      </c>
      <c r="AF8951">
        <v>0</v>
      </c>
      <c r="AJ8951">
        <v>0</v>
      </c>
      <c r="AK8951">
        <v>0</v>
      </c>
      <c r="AL8951">
        <v>0</v>
      </c>
      <c r="AM8951">
        <v>0</v>
      </c>
      <c r="AN8951">
        <v>0</v>
      </c>
      <c r="AO8951">
        <v>0</v>
      </c>
      <c r="AP8951" s="2">
        <v>42746</v>
      </c>
      <c r="AQ8951" t="s">
        <v>72</v>
      </c>
      <c r="AR8951" t="s">
        <v>72</v>
      </c>
      <c r="AS8951">
        <v>175</v>
      </c>
      <c r="AT8951" s="4">
        <v>42401</v>
      </c>
      <c r="AU8951" t="s">
        <v>73</v>
      </c>
      <c r="AV8951">
        <v>175</v>
      </c>
      <c r="AW8951" s="4">
        <v>42401</v>
      </c>
      <c r="BD8951">
        <v>0</v>
      </c>
      <c r="BN8951" t="s">
        <v>74</v>
      </c>
    </row>
    <row r="8952" spans="1:66" hidden="1">
      <c r="A8952">
        <v>106535</v>
      </c>
      <c r="B8952" s="3" t="s">
        <v>599</v>
      </c>
      <c r="C8952" s="1">
        <v>43300101</v>
      </c>
      <c r="D8952" t="s">
        <v>67</v>
      </c>
      <c r="H8952" t="str">
        <f t="shared" si="935"/>
        <v>08862820969</v>
      </c>
      <c r="I8952" t="str">
        <f t="shared" si="935"/>
        <v>08862820969</v>
      </c>
      <c r="K8952" t="str">
        <f>""</f>
        <v/>
      </c>
      <c r="M8952" t="s">
        <v>68</v>
      </c>
      <c r="N8952" t="str">
        <f t="shared" si="933"/>
        <v>FOR</v>
      </c>
      <c r="O8952" t="s">
        <v>69</v>
      </c>
      <c r="P8952" s="3" t="s">
        <v>75</v>
      </c>
      <c r="Q8952">
        <v>2015</v>
      </c>
      <c r="R8952" s="2">
        <v>42192</v>
      </c>
      <c r="S8952" s="2">
        <v>42199</v>
      </c>
      <c r="T8952" s="2">
        <v>42198</v>
      </c>
      <c r="U8952" s="2">
        <v>42258</v>
      </c>
      <c r="V8952" t="s">
        <v>71</v>
      </c>
      <c r="W8952" t="str">
        <f>"          2015106721"</f>
        <v xml:space="preserve">          2015106721</v>
      </c>
      <c r="X8952">
        <v>335.5</v>
      </c>
      <c r="Y8952">
        <v>0</v>
      </c>
      <c r="Z8952"/>
      <c r="AB8952"/>
      <c r="AC8952">
        <v>275</v>
      </c>
      <c r="AD8952">
        <v>143</v>
      </c>
      <c r="AE8952" s="1">
        <v>39325</v>
      </c>
      <c r="AF8952">
        <v>0</v>
      </c>
      <c r="AJ8952">
        <v>0</v>
      </c>
      <c r="AK8952">
        <v>0</v>
      </c>
      <c r="AL8952">
        <v>0</v>
      </c>
      <c r="AM8952">
        <v>0</v>
      </c>
      <c r="AN8952">
        <v>0</v>
      </c>
      <c r="AO8952">
        <v>0</v>
      </c>
      <c r="AP8952" s="2">
        <v>42746</v>
      </c>
      <c r="AQ8952" t="s">
        <v>72</v>
      </c>
      <c r="AR8952" t="s">
        <v>72</v>
      </c>
      <c r="AS8952">
        <v>175</v>
      </c>
      <c r="AT8952" s="4">
        <v>42401</v>
      </c>
      <c r="AU8952" t="s">
        <v>73</v>
      </c>
      <c r="AV8952">
        <v>175</v>
      </c>
      <c r="AW8952" s="4">
        <v>42401</v>
      </c>
      <c r="BD8952">
        <v>0</v>
      </c>
      <c r="BN8952" t="s">
        <v>74</v>
      </c>
    </row>
    <row r="8953" spans="1:66" hidden="1">
      <c r="A8953">
        <v>106535</v>
      </c>
      <c r="B8953" s="3" t="s">
        <v>599</v>
      </c>
      <c r="C8953" s="1">
        <v>43300101</v>
      </c>
      <c r="D8953" t="s">
        <v>67</v>
      </c>
      <c r="H8953" t="str">
        <f t="shared" si="935"/>
        <v>08862820969</v>
      </c>
      <c r="I8953" t="str">
        <f t="shared" si="935"/>
        <v>08862820969</v>
      </c>
      <c r="K8953" t="str">
        <f>""</f>
        <v/>
      </c>
      <c r="M8953" t="s">
        <v>68</v>
      </c>
      <c r="N8953" t="str">
        <f t="shared" si="933"/>
        <v>FOR</v>
      </c>
      <c r="O8953" t="s">
        <v>69</v>
      </c>
      <c r="P8953" s="3" t="s">
        <v>75</v>
      </c>
      <c r="Q8953">
        <v>2015</v>
      </c>
      <c r="R8953" s="2">
        <v>42206</v>
      </c>
      <c r="S8953" s="2">
        <v>42215</v>
      </c>
      <c r="T8953" s="2">
        <v>42212</v>
      </c>
      <c r="U8953" s="2">
        <v>42272</v>
      </c>
      <c r="V8953" t="s">
        <v>71</v>
      </c>
      <c r="W8953" t="str">
        <f>"          2015107176"</f>
        <v xml:space="preserve">          2015107176</v>
      </c>
      <c r="X8953" s="1">
        <v>1508</v>
      </c>
      <c r="Y8953">
        <v>0</v>
      </c>
      <c r="Z8953"/>
      <c r="AB8953"/>
      <c r="AC8953" s="1">
        <v>1450</v>
      </c>
      <c r="AD8953">
        <v>129</v>
      </c>
      <c r="AE8953" s="1">
        <v>187050</v>
      </c>
      <c r="AF8953">
        <v>0</v>
      </c>
      <c r="AJ8953">
        <v>0</v>
      </c>
      <c r="AK8953">
        <v>0</v>
      </c>
      <c r="AL8953">
        <v>0</v>
      </c>
      <c r="AM8953">
        <v>0</v>
      </c>
      <c r="AN8953">
        <v>0</v>
      </c>
      <c r="AO8953">
        <v>0</v>
      </c>
      <c r="AP8953" s="2">
        <v>42746</v>
      </c>
      <c r="AQ8953" t="s">
        <v>72</v>
      </c>
      <c r="AR8953" t="s">
        <v>72</v>
      </c>
      <c r="AS8953">
        <v>175</v>
      </c>
      <c r="AT8953" s="4">
        <v>42401</v>
      </c>
      <c r="AU8953" t="s">
        <v>73</v>
      </c>
      <c r="AV8953">
        <v>175</v>
      </c>
      <c r="AW8953" s="4">
        <v>42401</v>
      </c>
      <c r="BD8953">
        <v>0</v>
      </c>
      <c r="BN8953" t="s">
        <v>74</v>
      </c>
    </row>
    <row r="8954" spans="1:66" hidden="1">
      <c r="A8954">
        <v>106535</v>
      </c>
      <c r="B8954" s="3" t="s">
        <v>599</v>
      </c>
      <c r="C8954" s="1">
        <v>43300101</v>
      </c>
      <c r="D8954" t="s">
        <v>67</v>
      </c>
      <c r="H8954" t="str">
        <f t="shared" si="935"/>
        <v>08862820969</v>
      </c>
      <c r="I8954" t="str">
        <f t="shared" si="935"/>
        <v>08862820969</v>
      </c>
      <c r="K8954" t="str">
        <f>""</f>
        <v/>
      </c>
      <c r="M8954" t="s">
        <v>68</v>
      </c>
      <c r="N8954" t="str">
        <f t="shared" si="933"/>
        <v>FOR</v>
      </c>
      <c r="O8954" t="s">
        <v>69</v>
      </c>
      <c r="P8954" s="3" t="s">
        <v>75</v>
      </c>
      <c r="Q8954">
        <v>2015</v>
      </c>
      <c r="R8954" s="2">
        <v>42206</v>
      </c>
      <c r="S8954" s="2">
        <v>42215</v>
      </c>
      <c r="T8954" s="2">
        <v>42212</v>
      </c>
      <c r="U8954" s="2">
        <v>42272</v>
      </c>
      <c r="V8954" t="s">
        <v>71</v>
      </c>
      <c r="W8954" t="str">
        <f>"          2015107177"</f>
        <v xml:space="preserve">          2015107177</v>
      </c>
      <c r="X8954" s="1">
        <v>1508</v>
      </c>
      <c r="Y8954">
        <v>0</v>
      </c>
      <c r="Z8954"/>
      <c r="AB8954"/>
      <c r="AC8954" s="1">
        <v>1450</v>
      </c>
      <c r="AD8954">
        <v>129</v>
      </c>
      <c r="AE8954" s="1">
        <v>187050</v>
      </c>
      <c r="AF8954">
        <v>0</v>
      </c>
      <c r="AJ8954">
        <v>0</v>
      </c>
      <c r="AK8954">
        <v>0</v>
      </c>
      <c r="AL8954">
        <v>0</v>
      </c>
      <c r="AM8954">
        <v>0</v>
      </c>
      <c r="AN8954">
        <v>0</v>
      </c>
      <c r="AO8954">
        <v>0</v>
      </c>
      <c r="AP8954" s="2">
        <v>42746</v>
      </c>
      <c r="AQ8954" t="s">
        <v>72</v>
      </c>
      <c r="AR8954" t="s">
        <v>72</v>
      </c>
      <c r="AS8954">
        <v>175</v>
      </c>
      <c r="AT8954" s="4">
        <v>42401</v>
      </c>
      <c r="AU8954" t="s">
        <v>73</v>
      </c>
      <c r="AV8954">
        <v>175</v>
      </c>
      <c r="AW8954" s="4">
        <v>42401</v>
      </c>
      <c r="BD8954">
        <v>0</v>
      </c>
      <c r="BN8954" t="s">
        <v>74</v>
      </c>
    </row>
    <row r="8955" spans="1:66" hidden="1">
      <c r="A8955">
        <v>106535</v>
      </c>
      <c r="B8955" s="3" t="s">
        <v>599</v>
      </c>
      <c r="C8955" s="1">
        <v>43300101</v>
      </c>
      <c r="D8955" t="s">
        <v>67</v>
      </c>
      <c r="H8955" t="str">
        <f t="shared" si="935"/>
        <v>08862820969</v>
      </c>
      <c r="I8955" t="str">
        <f t="shared" si="935"/>
        <v>08862820969</v>
      </c>
      <c r="K8955" t="str">
        <f>""</f>
        <v/>
      </c>
      <c r="M8955" t="s">
        <v>68</v>
      </c>
      <c r="N8955" t="str">
        <f t="shared" si="933"/>
        <v>FOR</v>
      </c>
      <c r="O8955" t="s">
        <v>69</v>
      </c>
      <c r="P8955" s="3" t="s">
        <v>75</v>
      </c>
      <c r="Q8955">
        <v>2015</v>
      </c>
      <c r="R8955" s="2">
        <v>42208</v>
      </c>
      <c r="S8955" s="2">
        <v>42425</v>
      </c>
      <c r="T8955" s="2">
        <v>42423</v>
      </c>
      <c r="U8955" s="2">
        <v>42483</v>
      </c>
      <c r="V8955" t="s">
        <v>71</v>
      </c>
      <c r="W8955" t="str">
        <f>"          2015107264"</f>
        <v xml:space="preserve">          2015107264</v>
      </c>
      <c r="X8955" s="1">
        <v>1508</v>
      </c>
      <c r="Y8955">
        <v>0</v>
      </c>
      <c r="Z8955"/>
      <c r="AB8955"/>
      <c r="AC8955" s="1">
        <v>1450</v>
      </c>
      <c r="AD8955">
        <v>-30</v>
      </c>
      <c r="AE8955" s="1">
        <v>-43500</v>
      </c>
      <c r="AF8955">
        <v>0</v>
      </c>
      <c r="AJ8955">
        <v>0</v>
      </c>
      <c r="AK8955">
        <v>0</v>
      </c>
      <c r="AL8955">
        <v>0</v>
      </c>
      <c r="AM8955">
        <v>0</v>
      </c>
      <c r="AN8955" s="1">
        <v>1508</v>
      </c>
      <c r="AO8955">
        <v>0</v>
      </c>
      <c r="AP8955" s="2">
        <v>42746</v>
      </c>
      <c r="AQ8955" t="s">
        <v>72</v>
      </c>
      <c r="AR8955" t="s">
        <v>72</v>
      </c>
      <c r="AS8955">
        <v>879</v>
      </c>
      <c r="AT8955" s="4">
        <v>42453</v>
      </c>
      <c r="AV8955">
        <v>879</v>
      </c>
      <c r="AW8955" s="4">
        <v>42453</v>
      </c>
      <c r="BD8955">
        <v>0</v>
      </c>
      <c r="BN8955" t="s">
        <v>74</v>
      </c>
    </row>
    <row r="8956" spans="1:66" hidden="1">
      <c r="A8956">
        <v>106535</v>
      </c>
      <c r="B8956" s="3" t="s">
        <v>599</v>
      </c>
      <c r="C8956" s="1">
        <v>43300101</v>
      </c>
      <c r="D8956" t="s">
        <v>67</v>
      </c>
      <c r="H8956" t="str">
        <f t="shared" ref="H8956:I8975" si="936">"08862820969"</f>
        <v>08862820969</v>
      </c>
      <c r="I8956" t="str">
        <f t="shared" si="936"/>
        <v>08862820969</v>
      </c>
      <c r="K8956" t="str">
        <f>""</f>
        <v/>
      </c>
      <c r="M8956" t="s">
        <v>68</v>
      </c>
      <c r="N8956" t="str">
        <f t="shared" ref="N8956:N8987" si="937">"FOR"</f>
        <v>FOR</v>
      </c>
      <c r="O8956" t="s">
        <v>69</v>
      </c>
      <c r="P8956" s="3" t="s">
        <v>75</v>
      </c>
      <c r="Q8956">
        <v>2015</v>
      </c>
      <c r="R8956" s="2">
        <v>42208</v>
      </c>
      <c r="S8956" s="2">
        <v>42425</v>
      </c>
      <c r="T8956" s="2">
        <v>42423</v>
      </c>
      <c r="U8956" s="2">
        <v>42483</v>
      </c>
      <c r="V8956" t="s">
        <v>71</v>
      </c>
      <c r="W8956" t="str">
        <f>"          2015107265"</f>
        <v xml:space="preserve">          2015107265</v>
      </c>
      <c r="X8956" s="1">
        <v>1508</v>
      </c>
      <c r="Y8956">
        <v>0</v>
      </c>
      <c r="Z8956"/>
      <c r="AB8956"/>
      <c r="AC8956" s="1">
        <v>1450</v>
      </c>
      <c r="AD8956">
        <v>-30</v>
      </c>
      <c r="AE8956" s="1">
        <v>-43500</v>
      </c>
      <c r="AF8956">
        <v>0</v>
      </c>
      <c r="AJ8956">
        <v>0</v>
      </c>
      <c r="AK8956">
        <v>0</v>
      </c>
      <c r="AL8956">
        <v>0</v>
      </c>
      <c r="AM8956">
        <v>0</v>
      </c>
      <c r="AN8956" s="1">
        <v>1508</v>
      </c>
      <c r="AO8956">
        <v>0</v>
      </c>
      <c r="AP8956" s="2">
        <v>42746</v>
      </c>
      <c r="AQ8956" t="s">
        <v>72</v>
      </c>
      <c r="AR8956" t="s">
        <v>72</v>
      </c>
      <c r="AS8956">
        <v>879</v>
      </c>
      <c r="AT8956" s="4">
        <v>42453</v>
      </c>
      <c r="AV8956">
        <v>879</v>
      </c>
      <c r="AW8956" s="4">
        <v>42453</v>
      </c>
      <c r="BD8956">
        <v>0</v>
      </c>
      <c r="BN8956" t="s">
        <v>74</v>
      </c>
    </row>
    <row r="8957" spans="1:66" hidden="1">
      <c r="A8957">
        <v>106535</v>
      </c>
      <c r="B8957" s="3" t="s">
        <v>599</v>
      </c>
      <c r="C8957" s="1">
        <v>43300101</v>
      </c>
      <c r="D8957" t="s">
        <v>67</v>
      </c>
      <c r="H8957" t="str">
        <f t="shared" si="936"/>
        <v>08862820969</v>
      </c>
      <c r="I8957" t="str">
        <f t="shared" si="936"/>
        <v>08862820969</v>
      </c>
      <c r="K8957" t="str">
        <f>""</f>
        <v/>
      </c>
      <c r="M8957" t="s">
        <v>68</v>
      </c>
      <c r="N8957" t="str">
        <f t="shared" si="937"/>
        <v>FOR</v>
      </c>
      <c r="O8957" t="s">
        <v>69</v>
      </c>
      <c r="P8957" s="3" t="s">
        <v>75</v>
      </c>
      <c r="Q8957">
        <v>2015</v>
      </c>
      <c r="R8957" s="2">
        <v>42208</v>
      </c>
      <c r="S8957" s="2">
        <v>42425</v>
      </c>
      <c r="T8957" s="2">
        <v>42423</v>
      </c>
      <c r="U8957" s="2">
        <v>42483</v>
      </c>
      <c r="V8957" t="s">
        <v>71</v>
      </c>
      <c r="W8957" t="str">
        <f>"          2015107266"</f>
        <v xml:space="preserve">          2015107266</v>
      </c>
      <c r="X8957" s="1">
        <v>1508</v>
      </c>
      <c r="Y8957">
        <v>0</v>
      </c>
      <c r="Z8957"/>
      <c r="AB8957"/>
      <c r="AC8957" s="1">
        <v>1450</v>
      </c>
      <c r="AD8957">
        <v>-30</v>
      </c>
      <c r="AE8957" s="1">
        <v>-43500</v>
      </c>
      <c r="AF8957">
        <v>0</v>
      </c>
      <c r="AJ8957">
        <v>0</v>
      </c>
      <c r="AK8957">
        <v>0</v>
      </c>
      <c r="AL8957">
        <v>0</v>
      </c>
      <c r="AM8957">
        <v>0</v>
      </c>
      <c r="AN8957" s="1">
        <v>1508</v>
      </c>
      <c r="AO8957">
        <v>0</v>
      </c>
      <c r="AP8957" s="2">
        <v>42746</v>
      </c>
      <c r="AQ8957" t="s">
        <v>72</v>
      </c>
      <c r="AR8957" t="s">
        <v>72</v>
      </c>
      <c r="AS8957">
        <v>879</v>
      </c>
      <c r="AT8957" s="4">
        <v>42453</v>
      </c>
      <c r="AV8957">
        <v>879</v>
      </c>
      <c r="AW8957" s="4">
        <v>42453</v>
      </c>
      <c r="BD8957">
        <v>0</v>
      </c>
      <c r="BN8957" t="s">
        <v>74</v>
      </c>
    </row>
    <row r="8958" spans="1:66" hidden="1">
      <c r="A8958">
        <v>106535</v>
      </c>
      <c r="B8958" s="3" t="s">
        <v>599</v>
      </c>
      <c r="C8958" s="1">
        <v>43300101</v>
      </c>
      <c r="D8958" t="s">
        <v>67</v>
      </c>
      <c r="H8958" t="str">
        <f t="shared" si="936"/>
        <v>08862820969</v>
      </c>
      <c r="I8958" t="str">
        <f t="shared" si="936"/>
        <v>08862820969</v>
      </c>
      <c r="K8958" t="str">
        <f>""</f>
        <v/>
      </c>
      <c r="M8958" t="s">
        <v>68</v>
      </c>
      <c r="N8958" t="str">
        <f t="shared" si="937"/>
        <v>FOR</v>
      </c>
      <c r="O8958" t="s">
        <v>69</v>
      </c>
      <c r="P8958" s="3" t="s">
        <v>75</v>
      </c>
      <c r="Q8958">
        <v>2015</v>
      </c>
      <c r="R8958" s="2">
        <v>42212</v>
      </c>
      <c r="S8958" s="2">
        <v>42217</v>
      </c>
      <c r="T8958" s="2">
        <v>42216</v>
      </c>
      <c r="U8958" s="2">
        <v>42276</v>
      </c>
      <c r="V8958" t="s">
        <v>71</v>
      </c>
      <c r="W8958" t="str">
        <f>"          2015107361"</f>
        <v xml:space="preserve">          2015107361</v>
      </c>
      <c r="X8958" s="1">
        <v>1508</v>
      </c>
      <c r="Y8958">
        <v>0</v>
      </c>
      <c r="Z8958"/>
      <c r="AB8958"/>
      <c r="AC8958" s="1">
        <v>1450</v>
      </c>
      <c r="AD8958">
        <v>125</v>
      </c>
      <c r="AE8958" s="1">
        <v>181250</v>
      </c>
      <c r="AF8958">
        <v>0</v>
      </c>
      <c r="AJ8958">
        <v>0</v>
      </c>
      <c r="AK8958">
        <v>0</v>
      </c>
      <c r="AL8958">
        <v>0</v>
      </c>
      <c r="AM8958">
        <v>0</v>
      </c>
      <c r="AN8958">
        <v>0</v>
      </c>
      <c r="AO8958">
        <v>0</v>
      </c>
      <c r="AP8958" s="2">
        <v>42746</v>
      </c>
      <c r="AQ8958" t="s">
        <v>72</v>
      </c>
      <c r="AR8958" t="s">
        <v>72</v>
      </c>
      <c r="AS8958">
        <v>175</v>
      </c>
      <c r="AT8958" s="4">
        <v>42401</v>
      </c>
      <c r="AU8958" t="s">
        <v>73</v>
      </c>
      <c r="AV8958">
        <v>175</v>
      </c>
      <c r="AW8958" s="4">
        <v>42401</v>
      </c>
      <c r="BD8958">
        <v>0</v>
      </c>
      <c r="BN8958" t="s">
        <v>74</v>
      </c>
    </row>
    <row r="8959" spans="1:66" hidden="1">
      <c r="A8959">
        <v>106535</v>
      </c>
      <c r="B8959" s="3" t="s">
        <v>599</v>
      </c>
      <c r="C8959" s="1">
        <v>43300101</v>
      </c>
      <c r="D8959" t="s">
        <v>67</v>
      </c>
      <c r="H8959" t="str">
        <f t="shared" si="936"/>
        <v>08862820969</v>
      </c>
      <c r="I8959" t="str">
        <f t="shared" si="936"/>
        <v>08862820969</v>
      </c>
      <c r="K8959" t="str">
        <f>""</f>
        <v/>
      </c>
      <c r="M8959" t="s">
        <v>68</v>
      </c>
      <c r="N8959" t="str">
        <f t="shared" si="937"/>
        <v>FOR</v>
      </c>
      <c r="O8959" t="s">
        <v>69</v>
      </c>
      <c r="P8959" s="3" t="s">
        <v>75</v>
      </c>
      <c r="Q8959">
        <v>2015</v>
      </c>
      <c r="R8959" s="2">
        <v>42215</v>
      </c>
      <c r="S8959" s="2">
        <v>42223</v>
      </c>
      <c r="T8959" s="2">
        <v>42221</v>
      </c>
      <c r="U8959" s="2">
        <v>42281</v>
      </c>
      <c r="V8959" t="s">
        <v>71</v>
      </c>
      <c r="W8959" t="str">
        <f>"          2015107458"</f>
        <v xml:space="preserve">          2015107458</v>
      </c>
      <c r="X8959">
        <v>335.5</v>
      </c>
      <c r="Y8959">
        <v>0</v>
      </c>
      <c r="Z8959"/>
      <c r="AB8959"/>
      <c r="AC8959">
        <v>275</v>
      </c>
      <c r="AD8959">
        <v>120</v>
      </c>
      <c r="AE8959" s="1">
        <v>33000</v>
      </c>
      <c r="AF8959">
        <v>0</v>
      </c>
      <c r="AJ8959">
        <v>0</v>
      </c>
      <c r="AK8959">
        <v>0</v>
      </c>
      <c r="AL8959">
        <v>0</v>
      </c>
      <c r="AM8959">
        <v>0</v>
      </c>
      <c r="AN8959">
        <v>0</v>
      </c>
      <c r="AO8959">
        <v>0</v>
      </c>
      <c r="AP8959" s="2">
        <v>42746</v>
      </c>
      <c r="AQ8959" t="s">
        <v>72</v>
      </c>
      <c r="AR8959" t="s">
        <v>72</v>
      </c>
      <c r="AS8959">
        <v>175</v>
      </c>
      <c r="AT8959" s="4">
        <v>42401</v>
      </c>
      <c r="AU8959" t="s">
        <v>73</v>
      </c>
      <c r="AV8959">
        <v>175</v>
      </c>
      <c r="AW8959" s="4">
        <v>42401</v>
      </c>
      <c r="BD8959">
        <v>0</v>
      </c>
      <c r="BN8959" t="s">
        <v>74</v>
      </c>
    </row>
    <row r="8960" spans="1:66" hidden="1">
      <c r="A8960">
        <v>106535</v>
      </c>
      <c r="B8960" s="3" t="s">
        <v>599</v>
      </c>
      <c r="C8960" s="1">
        <v>43300101</v>
      </c>
      <c r="D8960" t="s">
        <v>67</v>
      </c>
      <c r="H8960" t="str">
        <f t="shared" si="936"/>
        <v>08862820969</v>
      </c>
      <c r="I8960" t="str">
        <f t="shared" si="936"/>
        <v>08862820969</v>
      </c>
      <c r="K8960" t="str">
        <f>""</f>
        <v/>
      </c>
      <c r="M8960" t="s">
        <v>68</v>
      </c>
      <c r="N8960" t="str">
        <f t="shared" si="937"/>
        <v>FOR</v>
      </c>
      <c r="O8960" t="s">
        <v>69</v>
      </c>
      <c r="P8960" s="3" t="s">
        <v>75</v>
      </c>
      <c r="Q8960">
        <v>2015</v>
      </c>
      <c r="R8960" s="2">
        <v>42215</v>
      </c>
      <c r="S8960" s="2">
        <v>42223</v>
      </c>
      <c r="T8960" s="2">
        <v>42221</v>
      </c>
      <c r="U8960" s="2">
        <v>42281</v>
      </c>
      <c r="V8960" t="s">
        <v>71</v>
      </c>
      <c r="W8960" t="str">
        <f>"          2015107459"</f>
        <v xml:space="preserve">          2015107459</v>
      </c>
      <c r="X8960">
        <v>335.5</v>
      </c>
      <c r="Y8960">
        <v>0</v>
      </c>
      <c r="Z8960"/>
      <c r="AB8960"/>
      <c r="AC8960">
        <v>275</v>
      </c>
      <c r="AD8960">
        <v>120</v>
      </c>
      <c r="AE8960" s="1">
        <v>33000</v>
      </c>
      <c r="AF8960">
        <v>0</v>
      </c>
      <c r="AJ8960">
        <v>0</v>
      </c>
      <c r="AK8960">
        <v>0</v>
      </c>
      <c r="AL8960">
        <v>0</v>
      </c>
      <c r="AM8960">
        <v>0</v>
      </c>
      <c r="AN8960">
        <v>0</v>
      </c>
      <c r="AO8960">
        <v>0</v>
      </c>
      <c r="AP8960" s="2">
        <v>42746</v>
      </c>
      <c r="AQ8960" t="s">
        <v>72</v>
      </c>
      <c r="AR8960" t="s">
        <v>72</v>
      </c>
      <c r="AS8960">
        <v>175</v>
      </c>
      <c r="AT8960" s="4">
        <v>42401</v>
      </c>
      <c r="AU8960" t="s">
        <v>73</v>
      </c>
      <c r="AV8960">
        <v>175</v>
      </c>
      <c r="AW8960" s="4">
        <v>42401</v>
      </c>
      <c r="BD8960">
        <v>0</v>
      </c>
      <c r="BN8960" t="s">
        <v>74</v>
      </c>
    </row>
    <row r="8961" spans="1:66" hidden="1">
      <c r="A8961">
        <v>106535</v>
      </c>
      <c r="B8961" s="3" t="s">
        <v>599</v>
      </c>
      <c r="C8961" s="1">
        <v>43300101</v>
      </c>
      <c r="D8961" t="s">
        <v>67</v>
      </c>
      <c r="H8961" t="str">
        <f t="shared" si="936"/>
        <v>08862820969</v>
      </c>
      <c r="I8961" t="str">
        <f t="shared" si="936"/>
        <v>08862820969</v>
      </c>
      <c r="K8961" t="str">
        <f>""</f>
        <v/>
      </c>
      <c r="M8961" t="s">
        <v>68</v>
      </c>
      <c r="N8961" t="str">
        <f t="shared" si="937"/>
        <v>FOR</v>
      </c>
      <c r="O8961" t="s">
        <v>69</v>
      </c>
      <c r="P8961" s="3" t="s">
        <v>75</v>
      </c>
      <c r="Q8961">
        <v>2015</v>
      </c>
      <c r="R8961" s="2">
        <v>42249</v>
      </c>
      <c r="S8961" s="2">
        <v>42254</v>
      </c>
      <c r="T8961" s="2">
        <v>42254</v>
      </c>
      <c r="U8961" s="2">
        <v>42314</v>
      </c>
      <c r="V8961" t="s">
        <v>71</v>
      </c>
      <c r="W8961" t="str">
        <f>"          2015108213"</f>
        <v xml:space="preserve">          2015108213</v>
      </c>
      <c r="X8961" s="1">
        <v>1372.8</v>
      </c>
      <c r="Y8961">
        <v>0</v>
      </c>
      <c r="Z8961"/>
      <c r="AB8961"/>
      <c r="AC8961" s="1">
        <v>1320</v>
      </c>
      <c r="AD8961">
        <v>102</v>
      </c>
      <c r="AE8961" s="1">
        <v>134640</v>
      </c>
      <c r="AF8961">
        <v>0</v>
      </c>
      <c r="AJ8961">
        <v>0</v>
      </c>
      <c r="AK8961">
        <v>0</v>
      </c>
      <c r="AL8961">
        <v>0</v>
      </c>
      <c r="AM8961">
        <v>0</v>
      </c>
      <c r="AN8961">
        <v>0</v>
      </c>
      <c r="AO8961">
        <v>0</v>
      </c>
      <c r="AP8961" s="2">
        <v>42746</v>
      </c>
      <c r="AQ8961" t="s">
        <v>72</v>
      </c>
      <c r="AR8961" t="s">
        <v>72</v>
      </c>
      <c r="AS8961">
        <v>444</v>
      </c>
      <c r="AT8961" s="4">
        <v>42416</v>
      </c>
      <c r="AU8961" t="s">
        <v>73</v>
      </c>
      <c r="AV8961">
        <v>444</v>
      </c>
      <c r="AW8961" s="4">
        <v>42416</v>
      </c>
      <c r="BD8961">
        <v>0</v>
      </c>
      <c r="BN8961" t="s">
        <v>74</v>
      </c>
    </row>
    <row r="8962" spans="1:66" hidden="1">
      <c r="A8962">
        <v>106535</v>
      </c>
      <c r="B8962" s="3" t="s">
        <v>599</v>
      </c>
      <c r="C8962" s="1">
        <v>43300101</v>
      </c>
      <c r="D8962" t="s">
        <v>67</v>
      </c>
      <c r="H8962" t="str">
        <f t="shared" si="936"/>
        <v>08862820969</v>
      </c>
      <c r="I8962" t="str">
        <f t="shared" si="936"/>
        <v>08862820969</v>
      </c>
      <c r="K8962" t="str">
        <f>""</f>
        <v/>
      </c>
      <c r="M8962" t="s">
        <v>68</v>
      </c>
      <c r="N8962" t="str">
        <f t="shared" si="937"/>
        <v>FOR</v>
      </c>
      <c r="O8962" t="s">
        <v>69</v>
      </c>
      <c r="P8962" s="3" t="s">
        <v>75</v>
      </c>
      <c r="Q8962">
        <v>2015</v>
      </c>
      <c r="R8962" s="2">
        <v>42249</v>
      </c>
      <c r="S8962" s="2">
        <v>42254</v>
      </c>
      <c r="T8962" s="2">
        <v>42254</v>
      </c>
      <c r="U8962" s="2">
        <v>42314</v>
      </c>
      <c r="V8962" t="s">
        <v>71</v>
      </c>
      <c r="W8962" t="str">
        <f>"          2015108214"</f>
        <v xml:space="preserve">          2015108214</v>
      </c>
      <c r="X8962" s="1">
        <v>1508</v>
      </c>
      <c r="Y8962">
        <v>0</v>
      </c>
      <c r="Z8962"/>
      <c r="AB8962"/>
      <c r="AC8962" s="1">
        <v>1450</v>
      </c>
      <c r="AD8962">
        <v>102</v>
      </c>
      <c r="AE8962" s="1">
        <v>147900</v>
      </c>
      <c r="AF8962">
        <v>0</v>
      </c>
      <c r="AJ8962">
        <v>0</v>
      </c>
      <c r="AK8962">
        <v>0</v>
      </c>
      <c r="AL8962">
        <v>0</v>
      </c>
      <c r="AM8962">
        <v>0</v>
      </c>
      <c r="AN8962">
        <v>0</v>
      </c>
      <c r="AO8962">
        <v>0</v>
      </c>
      <c r="AP8962" s="2">
        <v>42746</v>
      </c>
      <c r="AQ8962" t="s">
        <v>72</v>
      </c>
      <c r="AR8962" t="s">
        <v>72</v>
      </c>
      <c r="AS8962">
        <v>444</v>
      </c>
      <c r="AT8962" s="4">
        <v>42416</v>
      </c>
      <c r="AU8962" t="s">
        <v>73</v>
      </c>
      <c r="AV8962">
        <v>444</v>
      </c>
      <c r="AW8962" s="4">
        <v>42416</v>
      </c>
      <c r="BD8962">
        <v>0</v>
      </c>
      <c r="BN8962" t="s">
        <v>74</v>
      </c>
    </row>
    <row r="8963" spans="1:66" hidden="1">
      <c r="A8963">
        <v>106535</v>
      </c>
      <c r="B8963" s="3" t="s">
        <v>599</v>
      </c>
      <c r="C8963" s="1">
        <v>43300101</v>
      </c>
      <c r="D8963" t="s">
        <v>67</v>
      </c>
      <c r="H8963" t="str">
        <f t="shared" si="936"/>
        <v>08862820969</v>
      </c>
      <c r="I8963" t="str">
        <f t="shared" si="936"/>
        <v>08862820969</v>
      </c>
      <c r="K8963" t="str">
        <f>""</f>
        <v/>
      </c>
      <c r="M8963" t="s">
        <v>68</v>
      </c>
      <c r="N8963" t="str">
        <f t="shared" si="937"/>
        <v>FOR</v>
      </c>
      <c r="O8963" t="s">
        <v>69</v>
      </c>
      <c r="P8963" s="3" t="s">
        <v>75</v>
      </c>
      <c r="Q8963">
        <v>2015</v>
      </c>
      <c r="R8963" s="2">
        <v>42249</v>
      </c>
      <c r="S8963" s="2">
        <v>42254</v>
      </c>
      <c r="T8963" s="2">
        <v>42254</v>
      </c>
      <c r="U8963" s="2">
        <v>42314</v>
      </c>
      <c r="V8963" t="s">
        <v>71</v>
      </c>
      <c r="W8963" t="str">
        <f>"          2015108215"</f>
        <v xml:space="preserve">          2015108215</v>
      </c>
      <c r="X8963" s="1">
        <v>1508</v>
      </c>
      <c r="Y8963">
        <v>0</v>
      </c>
      <c r="Z8963"/>
      <c r="AB8963"/>
      <c r="AC8963" s="1">
        <v>1450</v>
      </c>
      <c r="AD8963">
        <v>102</v>
      </c>
      <c r="AE8963" s="1">
        <v>147900</v>
      </c>
      <c r="AF8963">
        <v>0</v>
      </c>
      <c r="AJ8963">
        <v>0</v>
      </c>
      <c r="AK8963">
        <v>0</v>
      </c>
      <c r="AL8963">
        <v>0</v>
      </c>
      <c r="AM8963">
        <v>0</v>
      </c>
      <c r="AN8963">
        <v>0</v>
      </c>
      <c r="AO8963">
        <v>0</v>
      </c>
      <c r="AP8963" s="2">
        <v>42746</v>
      </c>
      <c r="AQ8963" t="s">
        <v>72</v>
      </c>
      <c r="AR8963" t="s">
        <v>72</v>
      </c>
      <c r="AS8963">
        <v>444</v>
      </c>
      <c r="AT8963" s="4">
        <v>42416</v>
      </c>
      <c r="AU8963" t="s">
        <v>73</v>
      </c>
      <c r="AV8963">
        <v>444</v>
      </c>
      <c r="AW8963" s="4">
        <v>42416</v>
      </c>
      <c r="BD8963">
        <v>0</v>
      </c>
      <c r="BN8963" t="s">
        <v>74</v>
      </c>
    </row>
    <row r="8964" spans="1:66" hidden="1">
      <c r="A8964">
        <v>106535</v>
      </c>
      <c r="B8964" s="3" t="s">
        <v>599</v>
      </c>
      <c r="C8964" s="1">
        <v>43300101</v>
      </c>
      <c r="D8964" t="s">
        <v>67</v>
      </c>
      <c r="H8964" t="str">
        <f t="shared" si="936"/>
        <v>08862820969</v>
      </c>
      <c r="I8964" t="str">
        <f t="shared" si="936"/>
        <v>08862820969</v>
      </c>
      <c r="K8964" t="str">
        <f>""</f>
        <v/>
      </c>
      <c r="M8964" t="s">
        <v>68</v>
      </c>
      <c r="N8964" t="str">
        <f t="shared" si="937"/>
        <v>FOR</v>
      </c>
      <c r="O8964" t="s">
        <v>69</v>
      </c>
      <c r="P8964" s="3" t="s">
        <v>75</v>
      </c>
      <c r="Q8964">
        <v>2015</v>
      </c>
      <c r="R8964" s="2">
        <v>42249</v>
      </c>
      <c r="S8964" s="2">
        <v>42254</v>
      </c>
      <c r="T8964" s="2">
        <v>42254</v>
      </c>
      <c r="U8964" s="2">
        <v>42314</v>
      </c>
      <c r="V8964" t="s">
        <v>71</v>
      </c>
      <c r="W8964" t="str">
        <f>"          2015108216"</f>
        <v xml:space="preserve">          2015108216</v>
      </c>
      <c r="X8964" s="1">
        <v>1508</v>
      </c>
      <c r="Y8964">
        <v>0</v>
      </c>
      <c r="Z8964"/>
      <c r="AB8964"/>
      <c r="AC8964" s="1">
        <v>1450</v>
      </c>
      <c r="AD8964">
        <v>102</v>
      </c>
      <c r="AE8964" s="1">
        <v>147900</v>
      </c>
      <c r="AF8964">
        <v>0</v>
      </c>
      <c r="AJ8964">
        <v>0</v>
      </c>
      <c r="AK8964">
        <v>0</v>
      </c>
      <c r="AL8964">
        <v>0</v>
      </c>
      <c r="AM8964">
        <v>0</v>
      </c>
      <c r="AN8964">
        <v>0</v>
      </c>
      <c r="AO8964">
        <v>0</v>
      </c>
      <c r="AP8964" s="2">
        <v>42746</v>
      </c>
      <c r="AQ8964" t="s">
        <v>72</v>
      </c>
      <c r="AR8964" t="s">
        <v>72</v>
      </c>
      <c r="AS8964">
        <v>444</v>
      </c>
      <c r="AT8964" s="4">
        <v>42416</v>
      </c>
      <c r="AU8964" t="s">
        <v>73</v>
      </c>
      <c r="AV8964">
        <v>444</v>
      </c>
      <c r="AW8964" s="4">
        <v>42416</v>
      </c>
      <c r="BD8964">
        <v>0</v>
      </c>
      <c r="BN8964" t="s">
        <v>74</v>
      </c>
    </row>
    <row r="8965" spans="1:66" hidden="1">
      <c r="A8965">
        <v>106535</v>
      </c>
      <c r="B8965" s="3" t="s">
        <v>599</v>
      </c>
      <c r="C8965" s="1">
        <v>43300101</v>
      </c>
      <c r="D8965" t="s">
        <v>67</v>
      </c>
      <c r="H8965" t="str">
        <f t="shared" si="936"/>
        <v>08862820969</v>
      </c>
      <c r="I8965" t="str">
        <f t="shared" si="936"/>
        <v>08862820969</v>
      </c>
      <c r="K8965" t="str">
        <f>""</f>
        <v/>
      </c>
      <c r="M8965" t="s">
        <v>68</v>
      </c>
      <c r="N8965" t="str">
        <f t="shared" si="937"/>
        <v>FOR</v>
      </c>
      <c r="O8965" t="s">
        <v>69</v>
      </c>
      <c r="P8965" s="3" t="s">
        <v>75</v>
      </c>
      <c r="Q8965">
        <v>2015</v>
      </c>
      <c r="R8965" s="2">
        <v>42249</v>
      </c>
      <c r="S8965" s="2">
        <v>42254</v>
      </c>
      <c r="T8965" s="2">
        <v>42254</v>
      </c>
      <c r="U8965" s="2">
        <v>42314</v>
      </c>
      <c r="V8965" t="s">
        <v>71</v>
      </c>
      <c r="W8965" t="str">
        <f>"          2015108217"</f>
        <v xml:space="preserve">          2015108217</v>
      </c>
      <c r="X8965" s="1">
        <v>1508</v>
      </c>
      <c r="Y8965">
        <v>0</v>
      </c>
      <c r="Z8965"/>
      <c r="AB8965"/>
      <c r="AC8965" s="1">
        <v>1450</v>
      </c>
      <c r="AD8965">
        <v>102</v>
      </c>
      <c r="AE8965" s="1">
        <v>147900</v>
      </c>
      <c r="AF8965">
        <v>0</v>
      </c>
      <c r="AJ8965">
        <v>0</v>
      </c>
      <c r="AK8965">
        <v>0</v>
      </c>
      <c r="AL8965">
        <v>0</v>
      </c>
      <c r="AM8965">
        <v>0</v>
      </c>
      <c r="AN8965">
        <v>0</v>
      </c>
      <c r="AO8965">
        <v>0</v>
      </c>
      <c r="AP8965" s="2">
        <v>42746</v>
      </c>
      <c r="AQ8965" t="s">
        <v>72</v>
      </c>
      <c r="AR8965" t="s">
        <v>72</v>
      </c>
      <c r="AS8965">
        <v>444</v>
      </c>
      <c r="AT8965" s="4">
        <v>42416</v>
      </c>
      <c r="AU8965" t="s">
        <v>73</v>
      </c>
      <c r="AV8965">
        <v>444</v>
      </c>
      <c r="AW8965" s="4">
        <v>42416</v>
      </c>
      <c r="BD8965">
        <v>0</v>
      </c>
      <c r="BN8965" t="s">
        <v>74</v>
      </c>
    </row>
    <row r="8966" spans="1:66" hidden="1">
      <c r="A8966">
        <v>106535</v>
      </c>
      <c r="B8966" s="3" t="s">
        <v>599</v>
      </c>
      <c r="C8966" s="1">
        <v>43300101</v>
      </c>
      <c r="D8966" t="s">
        <v>67</v>
      </c>
      <c r="H8966" t="str">
        <f t="shared" si="936"/>
        <v>08862820969</v>
      </c>
      <c r="I8966" t="str">
        <f t="shared" si="936"/>
        <v>08862820969</v>
      </c>
      <c r="K8966" t="str">
        <f>""</f>
        <v/>
      </c>
      <c r="M8966" t="s">
        <v>68</v>
      </c>
      <c r="N8966" t="str">
        <f t="shared" si="937"/>
        <v>FOR</v>
      </c>
      <c r="O8966" t="s">
        <v>69</v>
      </c>
      <c r="P8966" s="3" t="s">
        <v>75</v>
      </c>
      <c r="Q8966">
        <v>2015</v>
      </c>
      <c r="R8966" s="2">
        <v>42249</v>
      </c>
      <c r="S8966" s="2">
        <v>42254</v>
      </c>
      <c r="T8966" s="2">
        <v>42254</v>
      </c>
      <c r="U8966" s="2">
        <v>42314</v>
      </c>
      <c r="V8966" t="s">
        <v>71</v>
      </c>
      <c r="W8966" t="str">
        <f>"          2015108218"</f>
        <v xml:space="preserve">          2015108218</v>
      </c>
      <c r="X8966" s="1">
        <v>1508</v>
      </c>
      <c r="Y8966">
        <v>0</v>
      </c>
      <c r="Z8966"/>
      <c r="AB8966"/>
      <c r="AC8966" s="1">
        <v>1450</v>
      </c>
      <c r="AD8966">
        <v>102</v>
      </c>
      <c r="AE8966" s="1">
        <v>147900</v>
      </c>
      <c r="AF8966">
        <v>0</v>
      </c>
      <c r="AJ8966">
        <v>0</v>
      </c>
      <c r="AK8966">
        <v>0</v>
      </c>
      <c r="AL8966">
        <v>0</v>
      </c>
      <c r="AM8966">
        <v>0</v>
      </c>
      <c r="AN8966">
        <v>0</v>
      </c>
      <c r="AO8966">
        <v>0</v>
      </c>
      <c r="AP8966" s="2">
        <v>42746</v>
      </c>
      <c r="AQ8966" t="s">
        <v>72</v>
      </c>
      <c r="AR8966" t="s">
        <v>72</v>
      </c>
      <c r="AS8966">
        <v>444</v>
      </c>
      <c r="AT8966" s="4">
        <v>42416</v>
      </c>
      <c r="AU8966" t="s">
        <v>73</v>
      </c>
      <c r="AV8966">
        <v>444</v>
      </c>
      <c r="AW8966" s="4">
        <v>42416</v>
      </c>
      <c r="BD8966">
        <v>0</v>
      </c>
      <c r="BN8966" t="s">
        <v>74</v>
      </c>
    </row>
    <row r="8967" spans="1:66" hidden="1">
      <c r="A8967">
        <v>106535</v>
      </c>
      <c r="B8967" s="3" t="s">
        <v>599</v>
      </c>
      <c r="C8967" s="1">
        <v>43300101</v>
      </c>
      <c r="D8967" t="s">
        <v>67</v>
      </c>
      <c r="H8967" t="str">
        <f t="shared" si="936"/>
        <v>08862820969</v>
      </c>
      <c r="I8967" t="str">
        <f t="shared" si="936"/>
        <v>08862820969</v>
      </c>
      <c r="K8967" t="str">
        <f>""</f>
        <v/>
      </c>
      <c r="M8967" t="s">
        <v>68</v>
      </c>
      <c r="N8967" t="str">
        <f t="shared" si="937"/>
        <v>FOR</v>
      </c>
      <c r="O8967" t="s">
        <v>69</v>
      </c>
      <c r="P8967" s="3" t="s">
        <v>75</v>
      </c>
      <c r="Q8967">
        <v>2015</v>
      </c>
      <c r="R8967" s="2">
        <v>42249</v>
      </c>
      <c r="S8967" s="2">
        <v>42254</v>
      </c>
      <c r="T8967" s="2">
        <v>42254</v>
      </c>
      <c r="U8967" s="2">
        <v>42314</v>
      </c>
      <c r="V8967" t="s">
        <v>71</v>
      </c>
      <c r="W8967" t="str">
        <f>"          2015108219"</f>
        <v xml:space="preserve">          2015108219</v>
      </c>
      <c r="X8967" s="1">
        <v>1508</v>
      </c>
      <c r="Y8967">
        <v>0</v>
      </c>
      <c r="Z8967"/>
      <c r="AB8967"/>
      <c r="AC8967" s="1">
        <v>1450</v>
      </c>
      <c r="AD8967">
        <v>102</v>
      </c>
      <c r="AE8967" s="1">
        <v>147900</v>
      </c>
      <c r="AF8967">
        <v>0</v>
      </c>
      <c r="AJ8967">
        <v>0</v>
      </c>
      <c r="AK8967">
        <v>0</v>
      </c>
      <c r="AL8967">
        <v>0</v>
      </c>
      <c r="AM8967">
        <v>0</v>
      </c>
      <c r="AN8967">
        <v>0</v>
      </c>
      <c r="AO8967">
        <v>0</v>
      </c>
      <c r="AP8967" s="2">
        <v>42746</v>
      </c>
      <c r="AQ8967" t="s">
        <v>72</v>
      </c>
      <c r="AR8967" t="s">
        <v>72</v>
      </c>
      <c r="AS8967">
        <v>444</v>
      </c>
      <c r="AT8967" s="4">
        <v>42416</v>
      </c>
      <c r="AU8967" t="s">
        <v>73</v>
      </c>
      <c r="AV8967">
        <v>444</v>
      </c>
      <c r="AW8967" s="4">
        <v>42416</v>
      </c>
      <c r="BD8967">
        <v>0</v>
      </c>
      <c r="BN8967" t="s">
        <v>74</v>
      </c>
    </row>
    <row r="8968" spans="1:66" hidden="1">
      <c r="A8968">
        <v>106535</v>
      </c>
      <c r="B8968" s="3" t="s">
        <v>599</v>
      </c>
      <c r="C8968" s="1">
        <v>43300101</v>
      </c>
      <c r="D8968" t="s">
        <v>67</v>
      </c>
      <c r="H8968" t="str">
        <f t="shared" si="936"/>
        <v>08862820969</v>
      </c>
      <c r="I8968" t="str">
        <f t="shared" si="936"/>
        <v>08862820969</v>
      </c>
      <c r="K8968" t="str">
        <f>""</f>
        <v/>
      </c>
      <c r="M8968" t="s">
        <v>68</v>
      </c>
      <c r="N8968" t="str">
        <f t="shared" si="937"/>
        <v>FOR</v>
      </c>
      <c r="O8968" t="s">
        <v>69</v>
      </c>
      <c r="P8968" s="3" t="s">
        <v>75</v>
      </c>
      <c r="Q8968">
        <v>2015</v>
      </c>
      <c r="R8968" s="2">
        <v>42249</v>
      </c>
      <c r="S8968" s="2">
        <v>42254</v>
      </c>
      <c r="T8968" s="2">
        <v>42254</v>
      </c>
      <c r="U8968" s="2">
        <v>42314</v>
      </c>
      <c r="V8968" t="s">
        <v>71</v>
      </c>
      <c r="W8968" t="str">
        <f>"          2015108235"</f>
        <v xml:space="preserve">          2015108235</v>
      </c>
      <c r="X8968" s="1">
        <v>1372.8</v>
      </c>
      <c r="Y8968">
        <v>0</v>
      </c>
      <c r="Z8968"/>
      <c r="AB8968"/>
      <c r="AC8968" s="1">
        <v>1320</v>
      </c>
      <c r="AD8968">
        <v>102</v>
      </c>
      <c r="AE8968" s="1">
        <v>134640</v>
      </c>
      <c r="AF8968">
        <v>0</v>
      </c>
      <c r="AJ8968">
        <v>0</v>
      </c>
      <c r="AK8968">
        <v>0</v>
      </c>
      <c r="AL8968">
        <v>0</v>
      </c>
      <c r="AM8968">
        <v>0</v>
      </c>
      <c r="AN8968">
        <v>0</v>
      </c>
      <c r="AO8968">
        <v>0</v>
      </c>
      <c r="AP8968" s="2">
        <v>42746</v>
      </c>
      <c r="AQ8968" t="s">
        <v>72</v>
      </c>
      <c r="AR8968" t="s">
        <v>72</v>
      </c>
      <c r="AS8968">
        <v>444</v>
      </c>
      <c r="AT8968" s="4">
        <v>42416</v>
      </c>
      <c r="AU8968" t="s">
        <v>73</v>
      </c>
      <c r="AV8968">
        <v>444</v>
      </c>
      <c r="AW8968" s="4">
        <v>42416</v>
      </c>
      <c r="BD8968">
        <v>0</v>
      </c>
      <c r="BN8968" t="s">
        <v>74</v>
      </c>
    </row>
    <row r="8969" spans="1:66" hidden="1">
      <c r="A8969">
        <v>106535</v>
      </c>
      <c r="B8969" s="3" t="s">
        <v>599</v>
      </c>
      <c r="C8969" s="1">
        <v>43300101</v>
      </c>
      <c r="D8969" t="s">
        <v>67</v>
      </c>
      <c r="H8969" t="str">
        <f t="shared" si="936"/>
        <v>08862820969</v>
      </c>
      <c r="I8969" t="str">
        <f t="shared" si="936"/>
        <v>08862820969</v>
      </c>
      <c r="K8969" t="str">
        <f>""</f>
        <v/>
      </c>
      <c r="M8969" t="s">
        <v>68</v>
      </c>
      <c r="N8969" t="str">
        <f t="shared" si="937"/>
        <v>FOR</v>
      </c>
      <c r="O8969" t="s">
        <v>69</v>
      </c>
      <c r="P8969" s="3" t="s">
        <v>75</v>
      </c>
      <c r="Q8969">
        <v>2015</v>
      </c>
      <c r="R8969" s="2">
        <v>42262</v>
      </c>
      <c r="S8969" s="2">
        <v>42265</v>
      </c>
      <c r="T8969" s="2">
        <v>42265</v>
      </c>
      <c r="U8969" s="2">
        <v>42325</v>
      </c>
      <c r="V8969" t="s">
        <v>71</v>
      </c>
      <c r="W8969" t="str">
        <f>"          2015108543"</f>
        <v xml:space="preserve">          2015108543</v>
      </c>
      <c r="X8969" s="1">
        <v>1508</v>
      </c>
      <c r="Y8969">
        <v>0</v>
      </c>
      <c r="Z8969"/>
      <c r="AB8969"/>
      <c r="AC8969" s="1">
        <v>1450</v>
      </c>
      <c r="AD8969">
        <v>91</v>
      </c>
      <c r="AE8969" s="1">
        <v>131950</v>
      </c>
      <c r="AF8969">
        <v>0</v>
      </c>
      <c r="AJ8969">
        <v>0</v>
      </c>
      <c r="AK8969">
        <v>0</v>
      </c>
      <c r="AL8969">
        <v>0</v>
      </c>
      <c r="AM8969">
        <v>0</v>
      </c>
      <c r="AN8969">
        <v>0</v>
      </c>
      <c r="AO8969">
        <v>0</v>
      </c>
      <c r="AP8969" s="2">
        <v>42746</v>
      </c>
      <c r="AQ8969" t="s">
        <v>72</v>
      </c>
      <c r="AR8969" t="s">
        <v>72</v>
      </c>
      <c r="AS8969">
        <v>444</v>
      </c>
      <c r="AT8969" s="4">
        <v>42416</v>
      </c>
      <c r="AU8969" t="s">
        <v>73</v>
      </c>
      <c r="AV8969">
        <v>444</v>
      </c>
      <c r="AW8969" s="4">
        <v>42416</v>
      </c>
      <c r="BD8969">
        <v>0</v>
      </c>
      <c r="BN8969" t="s">
        <v>74</v>
      </c>
    </row>
    <row r="8970" spans="1:66" hidden="1">
      <c r="A8970">
        <v>106535</v>
      </c>
      <c r="B8970" s="3" t="s">
        <v>599</v>
      </c>
      <c r="C8970" s="1">
        <v>43300101</v>
      </c>
      <c r="D8970" t="s">
        <v>67</v>
      </c>
      <c r="H8970" t="str">
        <f t="shared" si="936"/>
        <v>08862820969</v>
      </c>
      <c r="I8970" t="str">
        <f t="shared" si="936"/>
        <v>08862820969</v>
      </c>
      <c r="K8970" t="str">
        <f>""</f>
        <v/>
      </c>
      <c r="M8970" t="s">
        <v>68</v>
      </c>
      <c r="N8970" t="str">
        <f t="shared" si="937"/>
        <v>FOR</v>
      </c>
      <c r="O8970" t="s">
        <v>69</v>
      </c>
      <c r="P8970" s="3" t="s">
        <v>75</v>
      </c>
      <c r="Q8970">
        <v>2015</v>
      </c>
      <c r="R8970" s="2">
        <v>42262</v>
      </c>
      <c r="S8970" s="2">
        <v>42265</v>
      </c>
      <c r="T8970" s="2">
        <v>42265</v>
      </c>
      <c r="U8970" s="2">
        <v>42325</v>
      </c>
      <c r="V8970" t="s">
        <v>71</v>
      </c>
      <c r="W8970" t="str">
        <f>"          2015108544"</f>
        <v xml:space="preserve">          2015108544</v>
      </c>
      <c r="X8970" s="1">
        <v>1508</v>
      </c>
      <c r="Y8970">
        <v>0</v>
      </c>
      <c r="Z8970"/>
      <c r="AB8970"/>
      <c r="AC8970" s="1">
        <v>1450</v>
      </c>
      <c r="AD8970">
        <v>91</v>
      </c>
      <c r="AE8970" s="1">
        <v>131950</v>
      </c>
      <c r="AF8970">
        <v>0</v>
      </c>
      <c r="AJ8970">
        <v>0</v>
      </c>
      <c r="AK8970">
        <v>0</v>
      </c>
      <c r="AL8970">
        <v>0</v>
      </c>
      <c r="AM8970">
        <v>0</v>
      </c>
      <c r="AN8970">
        <v>0</v>
      </c>
      <c r="AO8970">
        <v>0</v>
      </c>
      <c r="AP8970" s="2">
        <v>42746</v>
      </c>
      <c r="AQ8970" t="s">
        <v>72</v>
      </c>
      <c r="AR8970" t="s">
        <v>72</v>
      </c>
      <c r="AS8970">
        <v>444</v>
      </c>
      <c r="AT8970" s="4">
        <v>42416</v>
      </c>
      <c r="AU8970" t="s">
        <v>73</v>
      </c>
      <c r="AV8970">
        <v>444</v>
      </c>
      <c r="AW8970" s="4">
        <v>42416</v>
      </c>
      <c r="BD8970">
        <v>0</v>
      </c>
      <c r="BN8970" t="s">
        <v>74</v>
      </c>
    </row>
    <row r="8971" spans="1:66" hidden="1">
      <c r="A8971">
        <v>106535</v>
      </c>
      <c r="B8971" s="3" t="s">
        <v>599</v>
      </c>
      <c r="C8971" s="1">
        <v>43300101</v>
      </c>
      <c r="D8971" t="s">
        <v>67</v>
      </c>
      <c r="H8971" t="str">
        <f t="shared" si="936"/>
        <v>08862820969</v>
      </c>
      <c r="I8971" t="str">
        <f t="shared" si="936"/>
        <v>08862820969</v>
      </c>
      <c r="K8971" t="str">
        <f>""</f>
        <v/>
      </c>
      <c r="M8971" t="s">
        <v>68</v>
      </c>
      <c r="N8971" t="str">
        <f t="shared" si="937"/>
        <v>FOR</v>
      </c>
      <c r="O8971" t="s">
        <v>69</v>
      </c>
      <c r="P8971" s="3" t="s">
        <v>75</v>
      </c>
      <c r="Q8971">
        <v>2015</v>
      </c>
      <c r="R8971" s="2">
        <v>42262</v>
      </c>
      <c r="S8971" s="2">
        <v>42265</v>
      </c>
      <c r="T8971" s="2">
        <v>42265</v>
      </c>
      <c r="U8971" s="2">
        <v>42325</v>
      </c>
      <c r="V8971" t="s">
        <v>71</v>
      </c>
      <c r="W8971" t="str">
        <f>"          2015108545"</f>
        <v xml:space="preserve">          2015108545</v>
      </c>
      <c r="X8971" s="1">
        <v>1372.8</v>
      </c>
      <c r="Y8971">
        <v>0</v>
      </c>
      <c r="Z8971"/>
      <c r="AB8971"/>
      <c r="AC8971" s="1">
        <v>1320</v>
      </c>
      <c r="AD8971">
        <v>91</v>
      </c>
      <c r="AE8971" s="1">
        <v>120120</v>
      </c>
      <c r="AF8971">
        <v>0</v>
      </c>
      <c r="AJ8971">
        <v>0</v>
      </c>
      <c r="AK8971">
        <v>0</v>
      </c>
      <c r="AL8971">
        <v>0</v>
      </c>
      <c r="AM8971">
        <v>0</v>
      </c>
      <c r="AN8971">
        <v>0</v>
      </c>
      <c r="AO8971">
        <v>0</v>
      </c>
      <c r="AP8971" s="2">
        <v>42746</v>
      </c>
      <c r="AQ8971" t="s">
        <v>72</v>
      </c>
      <c r="AR8971" t="s">
        <v>72</v>
      </c>
      <c r="AS8971">
        <v>444</v>
      </c>
      <c r="AT8971" s="4">
        <v>42416</v>
      </c>
      <c r="AU8971" t="s">
        <v>73</v>
      </c>
      <c r="AV8971">
        <v>444</v>
      </c>
      <c r="AW8971" s="4">
        <v>42416</v>
      </c>
      <c r="BD8971">
        <v>0</v>
      </c>
      <c r="BN8971" t="s">
        <v>74</v>
      </c>
    </row>
    <row r="8972" spans="1:66" hidden="1">
      <c r="A8972">
        <v>106535</v>
      </c>
      <c r="B8972" s="3" t="s">
        <v>599</v>
      </c>
      <c r="C8972" s="1">
        <v>43300101</v>
      </c>
      <c r="D8972" t="s">
        <v>67</v>
      </c>
      <c r="H8972" t="str">
        <f t="shared" si="936"/>
        <v>08862820969</v>
      </c>
      <c r="I8972" t="str">
        <f t="shared" si="936"/>
        <v>08862820969</v>
      </c>
      <c r="K8972" t="str">
        <f>""</f>
        <v/>
      </c>
      <c r="M8972" t="s">
        <v>68</v>
      </c>
      <c r="N8972" t="str">
        <f t="shared" si="937"/>
        <v>FOR</v>
      </c>
      <c r="O8972" t="s">
        <v>69</v>
      </c>
      <c r="P8972" s="3" t="s">
        <v>75</v>
      </c>
      <c r="Q8972">
        <v>2015</v>
      </c>
      <c r="R8972" s="2">
        <v>42263</v>
      </c>
      <c r="S8972" s="2">
        <v>42269</v>
      </c>
      <c r="T8972" s="2">
        <v>42268</v>
      </c>
      <c r="U8972" s="2">
        <v>42328</v>
      </c>
      <c r="V8972" t="s">
        <v>71</v>
      </c>
      <c r="W8972" t="str">
        <f>"          2015108547"</f>
        <v xml:space="preserve">          2015108547</v>
      </c>
      <c r="X8972" s="1">
        <v>1372.8</v>
      </c>
      <c r="Y8972">
        <v>0</v>
      </c>
      <c r="Z8972"/>
      <c r="AB8972"/>
      <c r="AC8972" s="1">
        <v>1320</v>
      </c>
      <c r="AD8972">
        <v>88</v>
      </c>
      <c r="AE8972" s="1">
        <v>116160</v>
      </c>
      <c r="AF8972">
        <v>0</v>
      </c>
      <c r="AJ8972">
        <v>0</v>
      </c>
      <c r="AK8972">
        <v>0</v>
      </c>
      <c r="AL8972">
        <v>0</v>
      </c>
      <c r="AM8972">
        <v>0</v>
      </c>
      <c r="AN8972">
        <v>0</v>
      </c>
      <c r="AO8972">
        <v>0</v>
      </c>
      <c r="AP8972" s="2">
        <v>42746</v>
      </c>
      <c r="AQ8972" t="s">
        <v>72</v>
      </c>
      <c r="AR8972" t="s">
        <v>72</v>
      </c>
      <c r="AS8972">
        <v>444</v>
      </c>
      <c r="AT8972" s="4">
        <v>42416</v>
      </c>
      <c r="AU8972" t="s">
        <v>73</v>
      </c>
      <c r="AV8972">
        <v>444</v>
      </c>
      <c r="AW8972" s="4">
        <v>42416</v>
      </c>
      <c r="BD8972">
        <v>0</v>
      </c>
      <c r="BN8972" t="s">
        <v>74</v>
      </c>
    </row>
    <row r="8973" spans="1:66" hidden="1">
      <c r="A8973">
        <v>106535</v>
      </c>
      <c r="B8973" s="3" t="s">
        <v>599</v>
      </c>
      <c r="C8973" s="1">
        <v>43300101</v>
      </c>
      <c r="D8973" t="s">
        <v>67</v>
      </c>
      <c r="H8973" t="str">
        <f t="shared" si="936"/>
        <v>08862820969</v>
      </c>
      <c r="I8973" t="str">
        <f t="shared" si="936"/>
        <v>08862820969</v>
      </c>
      <c r="K8973" t="str">
        <f>""</f>
        <v/>
      </c>
      <c r="M8973" t="s">
        <v>68</v>
      </c>
      <c r="N8973" t="str">
        <f t="shared" si="937"/>
        <v>FOR</v>
      </c>
      <c r="O8973" t="s">
        <v>69</v>
      </c>
      <c r="P8973" s="3" t="s">
        <v>75</v>
      </c>
      <c r="Q8973">
        <v>2015</v>
      </c>
      <c r="R8973" s="2">
        <v>42263</v>
      </c>
      <c r="S8973" s="2">
        <v>42269</v>
      </c>
      <c r="T8973" s="2">
        <v>42268</v>
      </c>
      <c r="U8973" s="2">
        <v>42328</v>
      </c>
      <c r="V8973" t="s">
        <v>71</v>
      </c>
      <c r="W8973" t="str">
        <f>"          2015108548"</f>
        <v xml:space="preserve">          2015108548</v>
      </c>
      <c r="X8973" s="1">
        <v>1372.8</v>
      </c>
      <c r="Y8973">
        <v>0</v>
      </c>
      <c r="Z8973"/>
      <c r="AB8973"/>
      <c r="AC8973" s="1">
        <v>1320</v>
      </c>
      <c r="AD8973">
        <v>88</v>
      </c>
      <c r="AE8973" s="1">
        <v>116160</v>
      </c>
      <c r="AF8973">
        <v>0</v>
      </c>
      <c r="AJ8973">
        <v>0</v>
      </c>
      <c r="AK8973">
        <v>0</v>
      </c>
      <c r="AL8973">
        <v>0</v>
      </c>
      <c r="AM8973">
        <v>0</v>
      </c>
      <c r="AN8973">
        <v>0</v>
      </c>
      <c r="AO8973">
        <v>0</v>
      </c>
      <c r="AP8973" s="2">
        <v>42746</v>
      </c>
      <c r="AQ8973" t="s">
        <v>72</v>
      </c>
      <c r="AR8973" t="s">
        <v>72</v>
      </c>
      <c r="AS8973">
        <v>444</v>
      </c>
      <c r="AT8973" s="4">
        <v>42416</v>
      </c>
      <c r="AU8973" t="s">
        <v>73</v>
      </c>
      <c r="AV8973">
        <v>444</v>
      </c>
      <c r="AW8973" s="4">
        <v>42416</v>
      </c>
      <c r="BD8973">
        <v>0</v>
      </c>
      <c r="BN8973" t="s">
        <v>74</v>
      </c>
    </row>
    <row r="8974" spans="1:66" hidden="1">
      <c r="A8974">
        <v>106535</v>
      </c>
      <c r="B8974" s="3" t="s">
        <v>599</v>
      </c>
      <c r="C8974" s="1">
        <v>43300101</v>
      </c>
      <c r="D8974" t="s">
        <v>67</v>
      </c>
      <c r="H8974" t="str">
        <f t="shared" si="936"/>
        <v>08862820969</v>
      </c>
      <c r="I8974" t="str">
        <f t="shared" si="936"/>
        <v>08862820969</v>
      </c>
      <c r="K8974" t="str">
        <f>""</f>
        <v/>
      </c>
      <c r="M8974" t="s">
        <v>68</v>
      </c>
      <c r="N8974" t="str">
        <f t="shared" si="937"/>
        <v>FOR</v>
      </c>
      <c r="O8974" t="s">
        <v>69</v>
      </c>
      <c r="P8974" s="3" t="s">
        <v>75</v>
      </c>
      <c r="Q8974">
        <v>2015</v>
      </c>
      <c r="R8974" s="2">
        <v>42263</v>
      </c>
      <c r="S8974" s="2">
        <v>42269</v>
      </c>
      <c r="T8974" s="2">
        <v>42268</v>
      </c>
      <c r="U8974" s="2">
        <v>42328</v>
      </c>
      <c r="V8974" t="s">
        <v>71</v>
      </c>
      <c r="W8974" t="str">
        <f>"          2015108549"</f>
        <v xml:space="preserve">          2015108549</v>
      </c>
      <c r="X8974" s="1">
        <v>1372.8</v>
      </c>
      <c r="Y8974">
        <v>0</v>
      </c>
      <c r="Z8974"/>
      <c r="AB8974"/>
      <c r="AC8974" s="1">
        <v>1320</v>
      </c>
      <c r="AD8974">
        <v>88</v>
      </c>
      <c r="AE8974" s="1">
        <v>116160</v>
      </c>
      <c r="AF8974">
        <v>0</v>
      </c>
      <c r="AJ8974">
        <v>0</v>
      </c>
      <c r="AK8974">
        <v>0</v>
      </c>
      <c r="AL8974">
        <v>0</v>
      </c>
      <c r="AM8974">
        <v>0</v>
      </c>
      <c r="AN8974">
        <v>0</v>
      </c>
      <c r="AO8974">
        <v>0</v>
      </c>
      <c r="AP8974" s="2">
        <v>42746</v>
      </c>
      <c r="AQ8974" t="s">
        <v>72</v>
      </c>
      <c r="AR8974" t="s">
        <v>72</v>
      </c>
      <c r="AS8974">
        <v>444</v>
      </c>
      <c r="AT8974" s="4">
        <v>42416</v>
      </c>
      <c r="AU8974" t="s">
        <v>73</v>
      </c>
      <c r="AV8974">
        <v>444</v>
      </c>
      <c r="AW8974" s="4">
        <v>42416</v>
      </c>
      <c r="BD8974">
        <v>0</v>
      </c>
      <c r="BN8974" t="s">
        <v>74</v>
      </c>
    </row>
    <row r="8975" spans="1:66" hidden="1">
      <c r="A8975">
        <v>106535</v>
      </c>
      <c r="B8975" s="3" t="s">
        <v>599</v>
      </c>
      <c r="C8975" s="1">
        <v>43300101</v>
      </c>
      <c r="D8975" t="s">
        <v>67</v>
      </c>
      <c r="H8975" t="str">
        <f t="shared" si="936"/>
        <v>08862820969</v>
      </c>
      <c r="I8975" t="str">
        <f t="shared" si="936"/>
        <v>08862820969</v>
      </c>
      <c r="K8975" t="str">
        <f>""</f>
        <v/>
      </c>
      <c r="M8975" t="s">
        <v>68</v>
      </c>
      <c r="N8975" t="str">
        <f t="shared" si="937"/>
        <v>FOR</v>
      </c>
      <c r="O8975" t="s">
        <v>69</v>
      </c>
      <c r="P8975" s="3" t="s">
        <v>75</v>
      </c>
      <c r="Q8975">
        <v>2015</v>
      </c>
      <c r="R8975" s="2">
        <v>42263</v>
      </c>
      <c r="S8975" s="2">
        <v>42269</v>
      </c>
      <c r="T8975" s="2">
        <v>42268</v>
      </c>
      <c r="U8975" s="2">
        <v>42328</v>
      </c>
      <c r="V8975" t="s">
        <v>71</v>
      </c>
      <c r="W8975" t="str">
        <f>"          2015108550"</f>
        <v xml:space="preserve">          2015108550</v>
      </c>
      <c r="X8975" s="1">
        <v>1372.8</v>
      </c>
      <c r="Y8975">
        <v>0</v>
      </c>
      <c r="Z8975"/>
      <c r="AB8975"/>
      <c r="AC8975" s="1">
        <v>1320</v>
      </c>
      <c r="AD8975">
        <v>88</v>
      </c>
      <c r="AE8975" s="1">
        <v>116160</v>
      </c>
      <c r="AF8975">
        <v>0</v>
      </c>
      <c r="AJ8975">
        <v>0</v>
      </c>
      <c r="AK8975">
        <v>0</v>
      </c>
      <c r="AL8975">
        <v>0</v>
      </c>
      <c r="AM8975">
        <v>0</v>
      </c>
      <c r="AN8975">
        <v>0</v>
      </c>
      <c r="AO8975">
        <v>0</v>
      </c>
      <c r="AP8975" s="2">
        <v>42746</v>
      </c>
      <c r="AQ8975" t="s">
        <v>72</v>
      </c>
      <c r="AR8975" t="s">
        <v>72</v>
      </c>
      <c r="AS8975">
        <v>444</v>
      </c>
      <c r="AT8975" s="4">
        <v>42416</v>
      </c>
      <c r="AU8975" t="s">
        <v>73</v>
      </c>
      <c r="AV8975">
        <v>444</v>
      </c>
      <c r="AW8975" s="4">
        <v>42416</v>
      </c>
      <c r="BD8975">
        <v>0</v>
      </c>
      <c r="BN8975" t="s">
        <v>74</v>
      </c>
    </row>
    <row r="8976" spans="1:66" hidden="1">
      <c r="A8976">
        <v>106535</v>
      </c>
      <c r="B8976" s="3" t="s">
        <v>599</v>
      </c>
      <c r="C8976" s="1">
        <v>43300101</v>
      </c>
      <c r="D8976" t="s">
        <v>67</v>
      </c>
      <c r="H8976" t="str">
        <f t="shared" ref="H8976:I8995" si="938">"08862820969"</f>
        <v>08862820969</v>
      </c>
      <c r="I8976" t="str">
        <f t="shared" si="938"/>
        <v>08862820969</v>
      </c>
      <c r="K8976" t="str">
        <f>""</f>
        <v/>
      </c>
      <c r="M8976" t="s">
        <v>68</v>
      </c>
      <c r="N8976" t="str">
        <f t="shared" si="937"/>
        <v>FOR</v>
      </c>
      <c r="O8976" t="s">
        <v>69</v>
      </c>
      <c r="P8976" s="3" t="s">
        <v>75</v>
      </c>
      <c r="Q8976">
        <v>2015</v>
      </c>
      <c r="R8976" s="2">
        <v>42263</v>
      </c>
      <c r="S8976" s="2">
        <v>42269</v>
      </c>
      <c r="T8976" s="2">
        <v>42268</v>
      </c>
      <c r="U8976" s="2">
        <v>42328</v>
      </c>
      <c r="V8976" t="s">
        <v>71</v>
      </c>
      <c r="W8976" t="str">
        <f>"          2015108551"</f>
        <v xml:space="preserve">          2015108551</v>
      </c>
      <c r="X8976" s="1">
        <v>1508</v>
      </c>
      <c r="Y8976">
        <v>0</v>
      </c>
      <c r="Z8976"/>
      <c r="AB8976"/>
      <c r="AC8976" s="1">
        <v>1450</v>
      </c>
      <c r="AD8976">
        <v>88</v>
      </c>
      <c r="AE8976" s="1">
        <v>127600</v>
      </c>
      <c r="AF8976">
        <v>0</v>
      </c>
      <c r="AJ8976">
        <v>0</v>
      </c>
      <c r="AK8976">
        <v>0</v>
      </c>
      <c r="AL8976">
        <v>0</v>
      </c>
      <c r="AM8976">
        <v>0</v>
      </c>
      <c r="AN8976">
        <v>0</v>
      </c>
      <c r="AO8976">
        <v>0</v>
      </c>
      <c r="AP8976" s="2">
        <v>42746</v>
      </c>
      <c r="AQ8976" t="s">
        <v>72</v>
      </c>
      <c r="AR8976" t="s">
        <v>72</v>
      </c>
      <c r="AS8976">
        <v>444</v>
      </c>
      <c r="AT8976" s="4">
        <v>42416</v>
      </c>
      <c r="AU8976" t="s">
        <v>73</v>
      </c>
      <c r="AV8976">
        <v>444</v>
      </c>
      <c r="AW8976" s="4">
        <v>42416</v>
      </c>
      <c r="BD8976">
        <v>0</v>
      </c>
      <c r="BN8976" t="s">
        <v>74</v>
      </c>
    </row>
    <row r="8977" spans="1:66" hidden="1">
      <c r="A8977">
        <v>106535</v>
      </c>
      <c r="B8977" s="3" t="s">
        <v>599</v>
      </c>
      <c r="C8977" s="1">
        <v>43300101</v>
      </c>
      <c r="D8977" t="s">
        <v>67</v>
      </c>
      <c r="H8977" t="str">
        <f t="shared" si="938"/>
        <v>08862820969</v>
      </c>
      <c r="I8977" t="str">
        <f t="shared" si="938"/>
        <v>08862820969</v>
      </c>
      <c r="K8977" t="str">
        <f>""</f>
        <v/>
      </c>
      <c r="M8977" t="s">
        <v>68</v>
      </c>
      <c r="N8977" t="str">
        <f t="shared" si="937"/>
        <v>FOR</v>
      </c>
      <c r="O8977" t="s">
        <v>69</v>
      </c>
      <c r="P8977" s="3" t="s">
        <v>75</v>
      </c>
      <c r="Q8977">
        <v>2015</v>
      </c>
      <c r="R8977" s="2">
        <v>42263</v>
      </c>
      <c r="S8977" s="2">
        <v>42269</v>
      </c>
      <c r="T8977" s="2">
        <v>42268</v>
      </c>
      <c r="U8977" s="2">
        <v>42328</v>
      </c>
      <c r="V8977" t="s">
        <v>71</v>
      </c>
      <c r="W8977" t="str">
        <f>"          2015108552"</f>
        <v xml:space="preserve">          2015108552</v>
      </c>
      <c r="X8977" s="1">
        <v>1508</v>
      </c>
      <c r="Y8977">
        <v>0</v>
      </c>
      <c r="Z8977"/>
      <c r="AB8977"/>
      <c r="AC8977" s="1">
        <v>1450</v>
      </c>
      <c r="AD8977">
        <v>88</v>
      </c>
      <c r="AE8977" s="1">
        <v>127600</v>
      </c>
      <c r="AF8977">
        <v>0</v>
      </c>
      <c r="AJ8977">
        <v>0</v>
      </c>
      <c r="AK8977">
        <v>0</v>
      </c>
      <c r="AL8977">
        <v>0</v>
      </c>
      <c r="AM8977">
        <v>0</v>
      </c>
      <c r="AN8977">
        <v>0</v>
      </c>
      <c r="AO8977">
        <v>0</v>
      </c>
      <c r="AP8977" s="2">
        <v>42746</v>
      </c>
      <c r="AQ8977" t="s">
        <v>72</v>
      </c>
      <c r="AR8977" t="s">
        <v>72</v>
      </c>
      <c r="AS8977">
        <v>444</v>
      </c>
      <c r="AT8977" s="4">
        <v>42416</v>
      </c>
      <c r="AU8977" t="s">
        <v>73</v>
      </c>
      <c r="AV8977">
        <v>444</v>
      </c>
      <c r="AW8977" s="4">
        <v>42416</v>
      </c>
      <c r="BD8977">
        <v>0</v>
      </c>
      <c r="BN8977" t="s">
        <v>74</v>
      </c>
    </row>
    <row r="8978" spans="1:66" hidden="1">
      <c r="A8978">
        <v>106535</v>
      </c>
      <c r="B8978" s="3" t="s">
        <v>599</v>
      </c>
      <c r="C8978" s="1">
        <v>43300101</v>
      </c>
      <c r="D8978" t="s">
        <v>67</v>
      </c>
      <c r="H8978" t="str">
        <f t="shared" si="938"/>
        <v>08862820969</v>
      </c>
      <c r="I8978" t="str">
        <f t="shared" si="938"/>
        <v>08862820969</v>
      </c>
      <c r="K8978" t="str">
        <f>""</f>
        <v/>
      </c>
      <c r="M8978" t="s">
        <v>68</v>
      </c>
      <c r="N8978" t="str">
        <f t="shared" si="937"/>
        <v>FOR</v>
      </c>
      <c r="O8978" t="s">
        <v>69</v>
      </c>
      <c r="P8978" s="3" t="s">
        <v>75</v>
      </c>
      <c r="Q8978">
        <v>2015</v>
      </c>
      <c r="R8978" s="2">
        <v>42263</v>
      </c>
      <c r="S8978" s="2">
        <v>42269</v>
      </c>
      <c r="T8978" s="2">
        <v>42268</v>
      </c>
      <c r="U8978" s="2">
        <v>42328</v>
      </c>
      <c r="V8978" t="s">
        <v>71</v>
      </c>
      <c r="W8978" t="str">
        <f>"          2015108553"</f>
        <v xml:space="preserve">          2015108553</v>
      </c>
      <c r="X8978" s="1">
        <v>1508</v>
      </c>
      <c r="Y8978">
        <v>0</v>
      </c>
      <c r="Z8978"/>
      <c r="AB8978"/>
      <c r="AC8978" s="1">
        <v>1450</v>
      </c>
      <c r="AD8978">
        <v>88</v>
      </c>
      <c r="AE8978" s="1">
        <v>127600</v>
      </c>
      <c r="AF8978">
        <v>0</v>
      </c>
      <c r="AJ8978">
        <v>0</v>
      </c>
      <c r="AK8978">
        <v>0</v>
      </c>
      <c r="AL8978">
        <v>0</v>
      </c>
      <c r="AM8978">
        <v>0</v>
      </c>
      <c r="AN8978">
        <v>0</v>
      </c>
      <c r="AO8978">
        <v>0</v>
      </c>
      <c r="AP8978" s="2">
        <v>42746</v>
      </c>
      <c r="AQ8978" t="s">
        <v>72</v>
      </c>
      <c r="AR8978" t="s">
        <v>72</v>
      </c>
      <c r="AS8978">
        <v>444</v>
      </c>
      <c r="AT8978" s="4">
        <v>42416</v>
      </c>
      <c r="AU8978" t="s">
        <v>73</v>
      </c>
      <c r="AV8978">
        <v>444</v>
      </c>
      <c r="AW8978" s="4">
        <v>42416</v>
      </c>
      <c r="BD8978">
        <v>0</v>
      </c>
      <c r="BN8978" t="s">
        <v>74</v>
      </c>
    </row>
    <row r="8979" spans="1:66" hidden="1">
      <c r="A8979">
        <v>106535</v>
      </c>
      <c r="B8979" s="3" t="s">
        <v>599</v>
      </c>
      <c r="C8979" s="1">
        <v>43300101</v>
      </c>
      <c r="D8979" t="s">
        <v>67</v>
      </c>
      <c r="H8979" t="str">
        <f t="shared" si="938"/>
        <v>08862820969</v>
      </c>
      <c r="I8979" t="str">
        <f t="shared" si="938"/>
        <v>08862820969</v>
      </c>
      <c r="K8979" t="str">
        <f>""</f>
        <v/>
      </c>
      <c r="M8979" t="s">
        <v>68</v>
      </c>
      <c r="N8979" t="str">
        <f t="shared" si="937"/>
        <v>FOR</v>
      </c>
      <c r="O8979" t="s">
        <v>69</v>
      </c>
      <c r="P8979" s="3" t="s">
        <v>75</v>
      </c>
      <c r="Q8979">
        <v>2015</v>
      </c>
      <c r="R8979" s="2">
        <v>42263</v>
      </c>
      <c r="S8979" s="2">
        <v>42269</v>
      </c>
      <c r="T8979" s="2">
        <v>42268</v>
      </c>
      <c r="U8979" s="2">
        <v>42328</v>
      </c>
      <c r="V8979" t="s">
        <v>71</v>
      </c>
      <c r="W8979" t="str">
        <f>"          2015108554"</f>
        <v xml:space="preserve">          2015108554</v>
      </c>
      <c r="X8979" s="1">
        <v>1508</v>
      </c>
      <c r="Y8979">
        <v>0</v>
      </c>
      <c r="Z8979"/>
      <c r="AB8979"/>
      <c r="AC8979" s="1">
        <v>1450</v>
      </c>
      <c r="AD8979">
        <v>88</v>
      </c>
      <c r="AE8979" s="1">
        <v>127600</v>
      </c>
      <c r="AF8979">
        <v>0</v>
      </c>
      <c r="AJ8979">
        <v>0</v>
      </c>
      <c r="AK8979">
        <v>0</v>
      </c>
      <c r="AL8979">
        <v>0</v>
      </c>
      <c r="AM8979">
        <v>0</v>
      </c>
      <c r="AN8979">
        <v>0</v>
      </c>
      <c r="AO8979">
        <v>0</v>
      </c>
      <c r="AP8979" s="2">
        <v>42746</v>
      </c>
      <c r="AQ8979" t="s">
        <v>72</v>
      </c>
      <c r="AR8979" t="s">
        <v>72</v>
      </c>
      <c r="AS8979">
        <v>444</v>
      </c>
      <c r="AT8979" s="4">
        <v>42416</v>
      </c>
      <c r="AU8979" t="s">
        <v>73</v>
      </c>
      <c r="AV8979">
        <v>444</v>
      </c>
      <c r="AW8979" s="4">
        <v>42416</v>
      </c>
      <c r="BD8979">
        <v>0</v>
      </c>
      <c r="BN8979" t="s">
        <v>74</v>
      </c>
    </row>
    <row r="8980" spans="1:66" hidden="1">
      <c r="A8980">
        <v>106535</v>
      </c>
      <c r="B8980" s="3" t="s">
        <v>599</v>
      </c>
      <c r="C8980" s="1">
        <v>43300101</v>
      </c>
      <c r="D8980" t="s">
        <v>67</v>
      </c>
      <c r="H8980" t="str">
        <f t="shared" si="938"/>
        <v>08862820969</v>
      </c>
      <c r="I8980" t="str">
        <f t="shared" si="938"/>
        <v>08862820969</v>
      </c>
      <c r="K8980" t="str">
        <f>""</f>
        <v/>
      </c>
      <c r="M8980" t="s">
        <v>68</v>
      </c>
      <c r="N8980" t="str">
        <f t="shared" si="937"/>
        <v>FOR</v>
      </c>
      <c r="O8980" t="s">
        <v>69</v>
      </c>
      <c r="P8980" s="3" t="s">
        <v>75</v>
      </c>
      <c r="Q8980">
        <v>2015</v>
      </c>
      <c r="R8980" s="2">
        <v>42263</v>
      </c>
      <c r="S8980" s="2">
        <v>42269</v>
      </c>
      <c r="T8980" s="2">
        <v>42268</v>
      </c>
      <c r="U8980" s="2">
        <v>42328</v>
      </c>
      <c r="V8980" t="s">
        <v>71</v>
      </c>
      <c r="W8980" t="str">
        <f>"          2015108555"</f>
        <v xml:space="preserve">          2015108555</v>
      </c>
      <c r="X8980" s="1">
        <v>1508</v>
      </c>
      <c r="Y8980">
        <v>0</v>
      </c>
      <c r="Z8980"/>
      <c r="AB8980"/>
      <c r="AC8980" s="1">
        <v>1450</v>
      </c>
      <c r="AD8980">
        <v>88</v>
      </c>
      <c r="AE8980" s="1">
        <v>127600</v>
      </c>
      <c r="AF8980">
        <v>0</v>
      </c>
      <c r="AJ8980">
        <v>0</v>
      </c>
      <c r="AK8980">
        <v>0</v>
      </c>
      <c r="AL8980">
        <v>0</v>
      </c>
      <c r="AM8980">
        <v>0</v>
      </c>
      <c r="AN8980">
        <v>0</v>
      </c>
      <c r="AO8980">
        <v>0</v>
      </c>
      <c r="AP8980" s="2">
        <v>42746</v>
      </c>
      <c r="AQ8980" t="s">
        <v>72</v>
      </c>
      <c r="AR8980" t="s">
        <v>72</v>
      </c>
      <c r="AS8980">
        <v>444</v>
      </c>
      <c r="AT8980" s="4">
        <v>42416</v>
      </c>
      <c r="AU8980" t="s">
        <v>73</v>
      </c>
      <c r="AV8980">
        <v>444</v>
      </c>
      <c r="AW8980" s="4">
        <v>42416</v>
      </c>
      <c r="BD8980">
        <v>0</v>
      </c>
      <c r="BN8980" t="s">
        <v>74</v>
      </c>
    </row>
    <row r="8981" spans="1:66" hidden="1">
      <c r="A8981">
        <v>106535</v>
      </c>
      <c r="B8981" s="3" t="s">
        <v>599</v>
      </c>
      <c r="C8981" s="1">
        <v>43300101</v>
      </c>
      <c r="D8981" t="s">
        <v>67</v>
      </c>
      <c r="H8981" t="str">
        <f t="shared" si="938"/>
        <v>08862820969</v>
      </c>
      <c r="I8981" t="str">
        <f t="shared" si="938"/>
        <v>08862820969</v>
      </c>
      <c r="K8981" t="str">
        <f>""</f>
        <v/>
      </c>
      <c r="M8981" t="s">
        <v>68</v>
      </c>
      <c r="N8981" t="str">
        <f t="shared" si="937"/>
        <v>FOR</v>
      </c>
      <c r="O8981" t="s">
        <v>69</v>
      </c>
      <c r="P8981" s="3" t="s">
        <v>75</v>
      </c>
      <c r="Q8981">
        <v>2015</v>
      </c>
      <c r="R8981" s="2">
        <v>42263</v>
      </c>
      <c r="S8981" s="2">
        <v>42269</v>
      </c>
      <c r="T8981" s="2">
        <v>42268</v>
      </c>
      <c r="U8981" s="2">
        <v>42328</v>
      </c>
      <c r="V8981" t="s">
        <v>71</v>
      </c>
      <c r="W8981" t="str">
        <f>"          2015108556"</f>
        <v xml:space="preserve">          2015108556</v>
      </c>
      <c r="X8981" s="1">
        <v>1508</v>
      </c>
      <c r="Y8981">
        <v>0</v>
      </c>
      <c r="Z8981"/>
      <c r="AB8981"/>
      <c r="AC8981" s="1">
        <v>1450</v>
      </c>
      <c r="AD8981">
        <v>88</v>
      </c>
      <c r="AE8981" s="1">
        <v>127600</v>
      </c>
      <c r="AF8981">
        <v>0</v>
      </c>
      <c r="AJ8981">
        <v>0</v>
      </c>
      <c r="AK8981">
        <v>0</v>
      </c>
      <c r="AL8981">
        <v>0</v>
      </c>
      <c r="AM8981">
        <v>0</v>
      </c>
      <c r="AN8981">
        <v>0</v>
      </c>
      <c r="AO8981">
        <v>0</v>
      </c>
      <c r="AP8981" s="2">
        <v>42746</v>
      </c>
      <c r="AQ8981" t="s">
        <v>72</v>
      </c>
      <c r="AR8981" t="s">
        <v>72</v>
      </c>
      <c r="AS8981">
        <v>444</v>
      </c>
      <c r="AT8981" s="4">
        <v>42416</v>
      </c>
      <c r="AU8981" t="s">
        <v>73</v>
      </c>
      <c r="AV8981">
        <v>444</v>
      </c>
      <c r="AW8981" s="4">
        <v>42416</v>
      </c>
      <c r="BD8981">
        <v>0</v>
      </c>
      <c r="BN8981" t="s">
        <v>74</v>
      </c>
    </row>
    <row r="8982" spans="1:66" hidden="1">
      <c r="A8982">
        <v>106535</v>
      </c>
      <c r="B8982" s="3" t="s">
        <v>599</v>
      </c>
      <c r="C8982" s="1">
        <v>43300101</v>
      </c>
      <c r="D8982" t="s">
        <v>67</v>
      </c>
      <c r="H8982" t="str">
        <f t="shared" si="938"/>
        <v>08862820969</v>
      </c>
      <c r="I8982" t="str">
        <f t="shared" si="938"/>
        <v>08862820969</v>
      </c>
      <c r="K8982" t="str">
        <f>""</f>
        <v/>
      </c>
      <c r="M8982" t="s">
        <v>68</v>
      </c>
      <c r="N8982" t="str">
        <f t="shared" si="937"/>
        <v>FOR</v>
      </c>
      <c r="O8982" t="s">
        <v>69</v>
      </c>
      <c r="P8982" s="3" t="s">
        <v>75</v>
      </c>
      <c r="Q8982">
        <v>2015</v>
      </c>
      <c r="R8982" s="2">
        <v>42263</v>
      </c>
      <c r="S8982" s="2">
        <v>42268</v>
      </c>
      <c r="T8982" s="2">
        <v>42268</v>
      </c>
      <c r="U8982" s="2">
        <v>42328</v>
      </c>
      <c r="V8982" t="s">
        <v>71</v>
      </c>
      <c r="W8982" t="str">
        <f>"          2015108557"</f>
        <v xml:space="preserve">          2015108557</v>
      </c>
      <c r="X8982" s="1">
        <v>1508</v>
      </c>
      <c r="Y8982">
        <v>0</v>
      </c>
      <c r="Z8982"/>
      <c r="AB8982"/>
      <c r="AC8982" s="1">
        <v>1450</v>
      </c>
      <c r="AD8982">
        <v>88</v>
      </c>
      <c r="AE8982" s="1">
        <v>127600</v>
      </c>
      <c r="AF8982">
        <v>0</v>
      </c>
      <c r="AJ8982">
        <v>0</v>
      </c>
      <c r="AK8982">
        <v>0</v>
      </c>
      <c r="AL8982">
        <v>0</v>
      </c>
      <c r="AM8982">
        <v>0</v>
      </c>
      <c r="AN8982">
        <v>0</v>
      </c>
      <c r="AO8982">
        <v>0</v>
      </c>
      <c r="AP8982" s="2">
        <v>42746</v>
      </c>
      <c r="AQ8982" t="s">
        <v>72</v>
      </c>
      <c r="AR8982" t="s">
        <v>72</v>
      </c>
      <c r="AS8982">
        <v>444</v>
      </c>
      <c r="AT8982" s="4">
        <v>42416</v>
      </c>
      <c r="AU8982" t="s">
        <v>73</v>
      </c>
      <c r="AV8982">
        <v>444</v>
      </c>
      <c r="AW8982" s="4">
        <v>42416</v>
      </c>
      <c r="BD8982">
        <v>0</v>
      </c>
      <c r="BN8982" t="s">
        <v>74</v>
      </c>
    </row>
    <row r="8983" spans="1:66" hidden="1">
      <c r="A8983">
        <v>106535</v>
      </c>
      <c r="B8983" s="3" t="s">
        <v>599</v>
      </c>
      <c r="C8983" s="1">
        <v>43300101</v>
      </c>
      <c r="D8983" t="s">
        <v>67</v>
      </c>
      <c r="H8983" t="str">
        <f t="shared" si="938"/>
        <v>08862820969</v>
      </c>
      <c r="I8983" t="str">
        <f t="shared" si="938"/>
        <v>08862820969</v>
      </c>
      <c r="K8983" t="str">
        <f>""</f>
        <v/>
      </c>
      <c r="M8983" t="s">
        <v>68</v>
      </c>
      <c r="N8983" t="str">
        <f t="shared" si="937"/>
        <v>FOR</v>
      </c>
      <c r="O8983" t="s">
        <v>69</v>
      </c>
      <c r="P8983" s="3" t="s">
        <v>75</v>
      </c>
      <c r="Q8983">
        <v>2015</v>
      </c>
      <c r="R8983" s="2">
        <v>42289</v>
      </c>
      <c r="S8983" s="2">
        <v>42292</v>
      </c>
      <c r="T8983" s="2">
        <v>42292</v>
      </c>
      <c r="U8983" s="2">
        <v>42352</v>
      </c>
      <c r="V8983" t="s">
        <v>71</v>
      </c>
      <c r="W8983" t="str">
        <f>"          2015109364"</f>
        <v xml:space="preserve">          2015109364</v>
      </c>
      <c r="X8983" s="1">
        <v>4148</v>
      </c>
      <c r="Y8983">
        <v>0</v>
      </c>
      <c r="Z8983"/>
      <c r="AB8983"/>
      <c r="AC8983" s="1">
        <v>3400</v>
      </c>
      <c r="AD8983">
        <v>176</v>
      </c>
      <c r="AE8983" s="1">
        <v>598400</v>
      </c>
      <c r="AF8983">
        <v>0</v>
      </c>
      <c r="AJ8983">
        <v>0</v>
      </c>
      <c r="AK8983">
        <v>0</v>
      </c>
      <c r="AL8983">
        <v>0</v>
      </c>
      <c r="AM8983">
        <v>0</v>
      </c>
      <c r="AN8983">
        <v>0</v>
      </c>
      <c r="AO8983">
        <v>0</v>
      </c>
      <c r="AP8983" s="2">
        <v>42746</v>
      </c>
      <c r="AQ8983" t="s">
        <v>72</v>
      </c>
      <c r="AR8983" t="s">
        <v>72</v>
      </c>
      <c r="AS8983">
        <v>1550</v>
      </c>
      <c r="AT8983" s="4">
        <v>42528</v>
      </c>
      <c r="AU8983" t="s">
        <v>73</v>
      </c>
      <c r="AV8983">
        <v>1550</v>
      </c>
      <c r="AW8983" s="4">
        <v>42528</v>
      </c>
      <c r="BD8983">
        <v>0</v>
      </c>
      <c r="BN8983" t="s">
        <v>74</v>
      </c>
    </row>
    <row r="8984" spans="1:66" hidden="1">
      <c r="A8984">
        <v>106535</v>
      </c>
      <c r="B8984" s="3" t="s">
        <v>599</v>
      </c>
      <c r="C8984" s="1">
        <v>43300101</v>
      </c>
      <c r="D8984" t="s">
        <v>67</v>
      </c>
      <c r="H8984" t="str">
        <f t="shared" si="938"/>
        <v>08862820969</v>
      </c>
      <c r="I8984" t="str">
        <f t="shared" si="938"/>
        <v>08862820969</v>
      </c>
      <c r="K8984" t="str">
        <f>""</f>
        <v/>
      </c>
      <c r="M8984" t="s">
        <v>68</v>
      </c>
      <c r="N8984" t="str">
        <f t="shared" si="937"/>
        <v>FOR</v>
      </c>
      <c r="O8984" t="s">
        <v>69</v>
      </c>
      <c r="P8984" s="3" t="s">
        <v>75</v>
      </c>
      <c r="Q8984">
        <v>2015</v>
      </c>
      <c r="R8984" s="2">
        <v>42292</v>
      </c>
      <c r="S8984" s="2">
        <v>42298</v>
      </c>
      <c r="T8984" s="2">
        <v>42297</v>
      </c>
      <c r="U8984" s="2">
        <v>42357</v>
      </c>
      <c r="V8984" t="s">
        <v>71</v>
      </c>
      <c r="W8984" t="str">
        <f>"          2015109499"</f>
        <v xml:space="preserve">          2015109499</v>
      </c>
      <c r="X8984">
        <v>695.4</v>
      </c>
      <c r="Y8984">
        <v>0</v>
      </c>
      <c r="Z8984"/>
      <c r="AB8984"/>
      <c r="AC8984">
        <v>570</v>
      </c>
      <c r="AD8984">
        <v>171</v>
      </c>
      <c r="AE8984" s="1">
        <v>97470</v>
      </c>
      <c r="AF8984">
        <v>0</v>
      </c>
      <c r="AJ8984">
        <v>0</v>
      </c>
      <c r="AK8984">
        <v>0</v>
      </c>
      <c r="AL8984">
        <v>0</v>
      </c>
      <c r="AM8984">
        <v>0</v>
      </c>
      <c r="AN8984">
        <v>0</v>
      </c>
      <c r="AO8984">
        <v>0</v>
      </c>
      <c r="AP8984" s="2">
        <v>42746</v>
      </c>
      <c r="AQ8984" t="s">
        <v>72</v>
      </c>
      <c r="AR8984" t="s">
        <v>72</v>
      </c>
      <c r="AS8984">
        <v>1550</v>
      </c>
      <c r="AT8984" s="4">
        <v>42528</v>
      </c>
      <c r="AU8984" t="s">
        <v>73</v>
      </c>
      <c r="AV8984">
        <v>1550</v>
      </c>
      <c r="AW8984" s="4">
        <v>42528</v>
      </c>
      <c r="BD8984">
        <v>0</v>
      </c>
      <c r="BN8984" t="s">
        <v>74</v>
      </c>
    </row>
    <row r="8985" spans="1:66" hidden="1">
      <c r="A8985">
        <v>106535</v>
      </c>
      <c r="B8985" s="3" t="s">
        <v>599</v>
      </c>
      <c r="C8985" s="1">
        <v>43300101</v>
      </c>
      <c r="D8985" t="s">
        <v>67</v>
      </c>
      <c r="H8985" t="str">
        <f t="shared" si="938"/>
        <v>08862820969</v>
      </c>
      <c r="I8985" t="str">
        <f t="shared" si="938"/>
        <v>08862820969</v>
      </c>
      <c r="K8985" t="str">
        <f>""</f>
        <v/>
      </c>
      <c r="M8985" t="s">
        <v>68</v>
      </c>
      <c r="N8985" t="str">
        <f t="shared" si="937"/>
        <v>FOR</v>
      </c>
      <c r="O8985" t="s">
        <v>69</v>
      </c>
      <c r="P8985" s="3" t="s">
        <v>75</v>
      </c>
      <c r="Q8985">
        <v>2015</v>
      </c>
      <c r="R8985" s="2">
        <v>42296</v>
      </c>
      <c r="S8985" s="2">
        <v>42300</v>
      </c>
      <c r="T8985" s="2">
        <v>42299</v>
      </c>
      <c r="U8985" s="2">
        <v>42359</v>
      </c>
      <c r="V8985" t="s">
        <v>71</v>
      </c>
      <c r="W8985" t="str">
        <f>"          2015109575"</f>
        <v xml:space="preserve">          2015109575</v>
      </c>
      <c r="X8985">
        <v>341.6</v>
      </c>
      <c r="Y8985">
        <v>0</v>
      </c>
      <c r="Z8985"/>
      <c r="AB8985"/>
      <c r="AC8985">
        <v>280</v>
      </c>
      <c r="AD8985">
        <v>169</v>
      </c>
      <c r="AE8985" s="1">
        <v>47320</v>
      </c>
      <c r="AF8985">
        <v>0</v>
      </c>
      <c r="AJ8985">
        <v>0</v>
      </c>
      <c r="AK8985">
        <v>0</v>
      </c>
      <c r="AL8985">
        <v>0</v>
      </c>
      <c r="AM8985">
        <v>0</v>
      </c>
      <c r="AN8985">
        <v>0</v>
      </c>
      <c r="AO8985">
        <v>0</v>
      </c>
      <c r="AP8985" s="2">
        <v>42746</v>
      </c>
      <c r="AQ8985" t="s">
        <v>72</v>
      </c>
      <c r="AR8985" t="s">
        <v>72</v>
      </c>
      <c r="AS8985">
        <v>1550</v>
      </c>
      <c r="AT8985" s="4">
        <v>42528</v>
      </c>
      <c r="AU8985" t="s">
        <v>73</v>
      </c>
      <c r="AV8985">
        <v>1550</v>
      </c>
      <c r="AW8985" s="4">
        <v>42528</v>
      </c>
      <c r="BD8985">
        <v>0</v>
      </c>
      <c r="BN8985" t="s">
        <v>74</v>
      </c>
    </row>
    <row r="8986" spans="1:66" hidden="1">
      <c r="A8986">
        <v>106535</v>
      </c>
      <c r="B8986" s="3" t="s">
        <v>599</v>
      </c>
      <c r="C8986" s="1">
        <v>43300101</v>
      </c>
      <c r="D8986" t="s">
        <v>67</v>
      </c>
      <c r="H8986" t="str">
        <f t="shared" si="938"/>
        <v>08862820969</v>
      </c>
      <c r="I8986" t="str">
        <f t="shared" si="938"/>
        <v>08862820969</v>
      </c>
      <c r="K8986" t="str">
        <f>""</f>
        <v/>
      </c>
      <c r="M8986" t="s">
        <v>68</v>
      </c>
      <c r="N8986" t="str">
        <f t="shared" si="937"/>
        <v>FOR</v>
      </c>
      <c r="O8986" t="s">
        <v>69</v>
      </c>
      <c r="P8986" s="3" t="s">
        <v>75</v>
      </c>
      <c r="Q8986">
        <v>2015</v>
      </c>
      <c r="R8986" s="2">
        <v>42305</v>
      </c>
      <c r="S8986" s="2">
        <v>42310</v>
      </c>
      <c r="T8986" s="2">
        <v>42310</v>
      </c>
      <c r="U8986" s="2">
        <v>42370</v>
      </c>
      <c r="V8986" t="s">
        <v>71</v>
      </c>
      <c r="W8986" t="str">
        <f>"          2015109861"</f>
        <v xml:space="preserve">          2015109861</v>
      </c>
      <c r="X8986" s="1">
        <v>1508</v>
      </c>
      <c r="Y8986">
        <v>0</v>
      </c>
      <c r="Z8986"/>
      <c r="AB8986"/>
      <c r="AC8986" s="1">
        <v>1450</v>
      </c>
      <c r="AD8986">
        <v>158</v>
      </c>
      <c r="AE8986" s="1">
        <v>229100</v>
      </c>
      <c r="AF8986">
        <v>0</v>
      </c>
      <c r="AJ8986">
        <v>0</v>
      </c>
      <c r="AK8986">
        <v>0</v>
      </c>
      <c r="AL8986">
        <v>0</v>
      </c>
      <c r="AM8986">
        <v>0</v>
      </c>
      <c r="AN8986">
        <v>0</v>
      </c>
      <c r="AO8986">
        <v>0</v>
      </c>
      <c r="AP8986" s="2">
        <v>42746</v>
      </c>
      <c r="AQ8986" t="s">
        <v>72</v>
      </c>
      <c r="AR8986" t="s">
        <v>72</v>
      </c>
      <c r="AS8986">
        <v>1550</v>
      </c>
      <c r="AT8986" s="4">
        <v>42528</v>
      </c>
      <c r="AU8986" t="s">
        <v>73</v>
      </c>
      <c r="AV8986">
        <v>1550</v>
      </c>
      <c r="AW8986" s="4">
        <v>42528</v>
      </c>
      <c r="BD8986">
        <v>0</v>
      </c>
      <c r="BN8986" t="s">
        <v>74</v>
      </c>
    </row>
    <row r="8987" spans="1:66" hidden="1">
      <c r="A8987">
        <v>106535</v>
      </c>
      <c r="B8987" s="3" t="s">
        <v>599</v>
      </c>
      <c r="C8987" s="1">
        <v>43300101</v>
      </c>
      <c r="D8987" t="s">
        <v>67</v>
      </c>
      <c r="H8987" t="str">
        <f t="shared" si="938"/>
        <v>08862820969</v>
      </c>
      <c r="I8987" t="str">
        <f t="shared" si="938"/>
        <v>08862820969</v>
      </c>
      <c r="K8987" t="str">
        <f>""</f>
        <v/>
      </c>
      <c r="M8987" t="s">
        <v>68</v>
      </c>
      <c r="N8987" t="str">
        <f t="shared" si="937"/>
        <v>FOR</v>
      </c>
      <c r="O8987" t="s">
        <v>69</v>
      </c>
      <c r="P8987" s="3" t="s">
        <v>75</v>
      </c>
      <c r="Q8987">
        <v>2015</v>
      </c>
      <c r="R8987" s="2">
        <v>42305</v>
      </c>
      <c r="S8987" s="2">
        <v>42310</v>
      </c>
      <c r="T8987" s="2">
        <v>42310</v>
      </c>
      <c r="U8987" s="2">
        <v>42370</v>
      </c>
      <c r="V8987" t="s">
        <v>71</v>
      </c>
      <c r="W8987" t="str">
        <f>"          2015109862"</f>
        <v xml:space="preserve">          2015109862</v>
      </c>
      <c r="X8987" s="1">
        <v>1372.8</v>
      </c>
      <c r="Y8987">
        <v>0</v>
      </c>
      <c r="Z8987"/>
      <c r="AB8987"/>
      <c r="AC8987" s="1">
        <v>1320</v>
      </c>
      <c r="AD8987">
        <v>158</v>
      </c>
      <c r="AE8987" s="1">
        <v>208560</v>
      </c>
      <c r="AF8987">
        <v>0</v>
      </c>
      <c r="AJ8987">
        <v>0</v>
      </c>
      <c r="AK8987">
        <v>0</v>
      </c>
      <c r="AL8987">
        <v>0</v>
      </c>
      <c r="AM8987">
        <v>0</v>
      </c>
      <c r="AN8987">
        <v>0</v>
      </c>
      <c r="AO8987">
        <v>0</v>
      </c>
      <c r="AP8987" s="2">
        <v>42746</v>
      </c>
      <c r="AQ8987" t="s">
        <v>72</v>
      </c>
      <c r="AR8987" t="s">
        <v>72</v>
      </c>
      <c r="AS8987">
        <v>1550</v>
      </c>
      <c r="AT8987" s="4">
        <v>42528</v>
      </c>
      <c r="AU8987" t="s">
        <v>73</v>
      </c>
      <c r="AV8987">
        <v>1550</v>
      </c>
      <c r="AW8987" s="4">
        <v>42528</v>
      </c>
      <c r="BD8987">
        <v>0</v>
      </c>
      <c r="BN8987" t="s">
        <v>74</v>
      </c>
    </row>
    <row r="8988" spans="1:66" hidden="1">
      <c r="A8988">
        <v>106535</v>
      </c>
      <c r="B8988" s="3" t="s">
        <v>599</v>
      </c>
      <c r="C8988" s="1">
        <v>43300101</v>
      </c>
      <c r="D8988" t="s">
        <v>67</v>
      </c>
      <c r="H8988" t="str">
        <f t="shared" si="938"/>
        <v>08862820969</v>
      </c>
      <c r="I8988" t="str">
        <f t="shared" si="938"/>
        <v>08862820969</v>
      </c>
      <c r="K8988" t="str">
        <f>""</f>
        <v/>
      </c>
      <c r="M8988" t="s">
        <v>68</v>
      </c>
      <c r="N8988" t="str">
        <f t="shared" ref="N8988:N9019" si="939">"FOR"</f>
        <v>FOR</v>
      </c>
      <c r="O8988" t="s">
        <v>69</v>
      </c>
      <c r="P8988" s="3" t="s">
        <v>75</v>
      </c>
      <c r="Q8988">
        <v>2015</v>
      </c>
      <c r="R8988" s="2">
        <v>42305</v>
      </c>
      <c r="S8988" s="2">
        <v>42310</v>
      </c>
      <c r="T8988" s="2">
        <v>42310</v>
      </c>
      <c r="U8988" s="2">
        <v>42370</v>
      </c>
      <c r="V8988" t="s">
        <v>71</v>
      </c>
      <c r="W8988" t="str">
        <f>"          2015109863"</f>
        <v xml:space="preserve">          2015109863</v>
      </c>
      <c r="X8988" s="1">
        <v>1372.8</v>
      </c>
      <c r="Y8988">
        <v>0</v>
      </c>
      <c r="Z8988"/>
      <c r="AB8988"/>
      <c r="AC8988" s="1">
        <v>1320</v>
      </c>
      <c r="AD8988">
        <v>158</v>
      </c>
      <c r="AE8988" s="1">
        <v>208560</v>
      </c>
      <c r="AF8988">
        <v>0</v>
      </c>
      <c r="AJ8988">
        <v>0</v>
      </c>
      <c r="AK8988">
        <v>0</v>
      </c>
      <c r="AL8988">
        <v>0</v>
      </c>
      <c r="AM8988">
        <v>0</v>
      </c>
      <c r="AN8988">
        <v>0</v>
      </c>
      <c r="AO8988">
        <v>0</v>
      </c>
      <c r="AP8988" s="2">
        <v>42746</v>
      </c>
      <c r="AQ8988" t="s">
        <v>72</v>
      </c>
      <c r="AR8988" t="s">
        <v>72</v>
      </c>
      <c r="AS8988">
        <v>1550</v>
      </c>
      <c r="AT8988" s="4">
        <v>42528</v>
      </c>
      <c r="AU8988" t="s">
        <v>73</v>
      </c>
      <c r="AV8988">
        <v>1550</v>
      </c>
      <c r="AW8988" s="4">
        <v>42528</v>
      </c>
      <c r="BD8988">
        <v>0</v>
      </c>
      <c r="BN8988" t="s">
        <v>74</v>
      </c>
    </row>
    <row r="8989" spans="1:66" hidden="1">
      <c r="A8989">
        <v>106535</v>
      </c>
      <c r="B8989" s="3" t="s">
        <v>599</v>
      </c>
      <c r="C8989" s="1">
        <v>43300101</v>
      </c>
      <c r="D8989" t="s">
        <v>67</v>
      </c>
      <c r="H8989" t="str">
        <f t="shared" si="938"/>
        <v>08862820969</v>
      </c>
      <c r="I8989" t="str">
        <f t="shared" si="938"/>
        <v>08862820969</v>
      </c>
      <c r="K8989" t="str">
        <f>""</f>
        <v/>
      </c>
      <c r="M8989" t="s">
        <v>68</v>
      </c>
      <c r="N8989" t="str">
        <f t="shared" si="939"/>
        <v>FOR</v>
      </c>
      <c r="O8989" t="s">
        <v>69</v>
      </c>
      <c r="P8989" s="3" t="s">
        <v>75</v>
      </c>
      <c r="Q8989">
        <v>2015</v>
      </c>
      <c r="R8989" s="2">
        <v>42305</v>
      </c>
      <c r="S8989" s="2">
        <v>42310</v>
      </c>
      <c r="T8989" s="2">
        <v>42310</v>
      </c>
      <c r="U8989" s="2">
        <v>42370</v>
      </c>
      <c r="V8989" t="s">
        <v>71</v>
      </c>
      <c r="W8989" t="str">
        <f>"          2015109864"</f>
        <v xml:space="preserve">          2015109864</v>
      </c>
      <c r="X8989" s="1">
        <v>1372.8</v>
      </c>
      <c r="Y8989">
        <v>0</v>
      </c>
      <c r="Z8989"/>
      <c r="AB8989"/>
      <c r="AC8989" s="1">
        <v>1320</v>
      </c>
      <c r="AD8989">
        <v>158</v>
      </c>
      <c r="AE8989" s="1">
        <v>208560</v>
      </c>
      <c r="AF8989">
        <v>0</v>
      </c>
      <c r="AJ8989">
        <v>0</v>
      </c>
      <c r="AK8989">
        <v>0</v>
      </c>
      <c r="AL8989">
        <v>0</v>
      </c>
      <c r="AM8989">
        <v>0</v>
      </c>
      <c r="AN8989">
        <v>0</v>
      </c>
      <c r="AO8989">
        <v>0</v>
      </c>
      <c r="AP8989" s="2">
        <v>42746</v>
      </c>
      <c r="AQ8989" t="s">
        <v>72</v>
      </c>
      <c r="AR8989" t="s">
        <v>72</v>
      </c>
      <c r="AS8989">
        <v>1550</v>
      </c>
      <c r="AT8989" s="4">
        <v>42528</v>
      </c>
      <c r="AU8989" t="s">
        <v>73</v>
      </c>
      <c r="AV8989">
        <v>1550</v>
      </c>
      <c r="AW8989" s="4">
        <v>42528</v>
      </c>
      <c r="BD8989">
        <v>0</v>
      </c>
      <c r="BN8989" t="s">
        <v>74</v>
      </c>
    </row>
    <row r="8990" spans="1:66" hidden="1">
      <c r="A8990">
        <v>106535</v>
      </c>
      <c r="B8990" s="3" t="s">
        <v>599</v>
      </c>
      <c r="C8990" s="1">
        <v>43300101</v>
      </c>
      <c r="D8990" t="s">
        <v>67</v>
      </c>
      <c r="H8990" t="str">
        <f t="shared" si="938"/>
        <v>08862820969</v>
      </c>
      <c r="I8990" t="str">
        <f t="shared" si="938"/>
        <v>08862820969</v>
      </c>
      <c r="K8990" t="str">
        <f>""</f>
        <v/>
      </c>
      <c r="M8990" t="s">
        <v>68</v>
      </c>
      <c r="N8990" t="str">
        <f t="shared" si="939"/>
        <v>FOR</v>
      </c>
      <c r="O8990" t="s">
        <v>69</v>
      </c>
      <c r="P8990" s="3" t="s">
        <v>75</v>
      </c>
      <c r="Q8990">
        <v>2015</v>
      </c>
      <c r="R8990" s="2">
        <v>42321</v>
      </c>
      <c r="S8990" s="2">
        <v>42327</v>
      </c>
      <c r="T8990" s="2">
        <v>42326</v>
      </c>
      <c r="U8990" s="2">
        <v>42386</v>
      </c>
      <c r="V8990" t="s">
        <v>71</v>
      </c>
      <c r="W8990" t="str">
        <f>"          2015110454"</f>
        <v xml:space="preserve">          2015110454</v>
      </c>
      <c r="X8990" s="1">
        <v>1508</v>
      </c>
      <c r="Y8990">
        <v>0</v>
      </c>
      <c r="Z8990"/>
      <c r="AB8990"/>
      <c r="AC8990" s="1">
        <v>1450</v>
      </c>
      <c r="AD8990">
        <v>191</v>
      </c>
      <c r="AE8990" s="1">
        <v>276950</v>
      </c>
      <c r="AF8990">
        <v>0</v>
      </c>
      <c r="AJ8990">
        <v>0</v>
      </c>
      <c r="AK8990">
        <v>0</v>
      </c>
      <c r="AL8990">
        <v>0</v>
      </c>
      <c r="AM8990">
        <v>0</v>
      </c>
      <c r="AN8990">
        <v>0</v>
      </c>
      <c r="AO8990">
        <v>0</v>
      </c>
      <c r="AP8990" s="2">
        <v>42746</v>
      </c>
      <c r="AQ8990" t="s">
        <v>72</v>
      </c>
      <c r="AR8990" t="s">
        <v>72</v>
      </c>
      <c r="AS8990">
        <v>1963</v>
      </c>
      <c r="AT8990" s="4">
        <v>42577</v>
      </c>
      <c r="AU8990" t="s">
        <v>73</v>
      </c>
      <c r="AV8990">
        <v>1963</v>
      </c>
      <c r="AW8990" s="4">
        <v>42577</v>
      </c>
      <c r="BD8990">
        <v>0</v>
      </c>
      <c r="BN8990" t="s">
        <v>74</v>
      </c>
    </row>
    <row r="8991" spans="1:66" hidden="1">
      <c r="A8991">
        <v>106535</v>
      </c>
      <c r="B8991" s="3" t="s">
        <v>599</v>
      </c>
      <c r="C8991" s="1">
        <v>43300101</v>
      </c>
      <c r="D8991" t="s">
        <v>67</v>
      </c>
      <c r="H8991" t="str">
        <f t="shared" si="938"/>
        <v>08862820969</v>
      </c>
      <c r="I8991" t="str">
        <f t="shared" si="938"/>
        <v>08862820969</v>
      </c>
      <c r="K8991" t="str">
        <f>""</f>
        <v/>
      </c>
      <c r="M8991" t="s">
        <v>68</v>
      </c>
      <c r="N8991" t="str">
        <f t="shared" si="939"/>
        <v>FOR</v>
      </c>
      <c r="O8991" t="s">
        <v>69</v>
      </c>
      <c r="P8991" s="3" t="s">
        <v>75</v>
      </c>
      <c r="Q8991">
        <v>2015</v>
      </c>
      <c r="R8991" s="2">
        <v>42321</v>
      </c>
      <c r="S8991" s="2">
        <v>42327</v>
      </c>
      <c r="T8991" s="2">
        <v>42326</v>
      </c>
      <c r="U8991" s="2">
        <v>42386</v>
      </c>
      <c r="V8991" t="s">
        <v>71</v>
      </c>
      <c r="W8991" t="str">
        <f>"          2015110455"</f>
        <v xml:space="preserve">          2015110455</v>
      </c>
      <c r="X8991" s="1">
        <v>1372.8</v>
      </c>
      <c r="Y8991">
        <v>0</v>
      </c>
      <c r="Z8991"/>
      <c r="AB8991"/>
      <c r="AC8991" s="1">
        <v>1320</v>
      </c>
      <c r="AD8991">
        <v>191</v>
      </c>
      <c r="AE8991" s="1">
        <v>252120</v>
      </c>
      <c r="AF8991">
        <v>0</v>
      </c>
      <c r="AJ8991">
        <v>0</v>
      </c>
      <c r="AK8991">
        <v>0</v>
      </c>
      <c r="AL8991">
        <v>0</v>
      </c>
      <c r="AM8991">
        <v>0</v>
      </c>
      <c r="AN8991">
        <v>0</v>
      </c>
      <c r="AO8991">
        <v>0</v>
      </c>
      <c r="AP8991" s="2">
        <v>42746</v>
      </c>
      <c r="AQ8991" t="s">
        <v>72</v>
      </c>
      <c r="AR8991" t="s">
        <v>72</v>
      </c>
      <c r="AS8991">
        <v>1963</v>
      </c>
      <c r="AT8991" s="4">
        <v>42577</v>
      </c>
      <c r="AU8991" t="s">
        <v>73</v>
      </c>
      <c r="AV8991">
        <v>1963</v>
      </c>
      <c r="AW8991" s="4">
        <v>42577</v>
      </c>
      <c r="BD8991">
        <v>0</v>
      </c>
      <c r="BN8991" t="s">
        <v>74</v>
      </c>
    </row>
    <row r="8992" spans="1:66" hidden="1">
      <c r="A8992">
        <v>106535</v>
      </c>
      <c r="B8992" s="3" t="s">
        <v>599</v>
      </c>
      <c r="C8992" s="1">
        <v>43300101</v>
      </c>
      <c r="D8992" t="s">
        <v>67</v>
      </c>
      <c r="H8992" t="str">
        <f t="shared" si="938"/>
        <v>08862820969</v>
      </c>
      <c r="I8992" t="str">
        <f t="shared" si="938"/>
        <v>08862820969</v>
      </c>
      <c r="K8992" t="str">
        <f>""</f>
        <v/>
      </c>
      <c r="M8992" t="s">
        <v>68</v>
      </c>
      <c r="N8992" t="str">
        <f t="shared" si="939"/>
        <v>FOR</v>
      </c>
      <c r="O8992" t="s">
        <v>69</v>
      </c>
      <c r="P8992" s="3" t="s">
        <v>75</v>
      </c>
      <c r="Q8992">
        <v>2015</v>
      </c>
      <c r="R8992" s="2">
        <v>42321</v>
      </c>
      <c r="S8992" s="2">
        <v>42327</v>
      </c>
      <c r="T8992" s="2">
        <v>42326</v>
      </c>
      <c r="U8992" s="2">
        <v>42386</v>
      </c>
      <c r="V8992" t="s">
        <v>71</v>
      </c>
      <c r="W8992" t="str">
        <f>"          2015110456"</f>
        <v xml:space="preserve">          2015110456</v>
      </c>
      <c r="X8992" s="1">
        <v>1508</v>
      </c>
      <c r="Y8992">
        <v>0</v>
      </c>
      <c r="Z8992"/>
      <c r="AB8992"/>
      <c r="AC8992" s="1">
        <v>1450</v>
      </c>
      <c r="AD8992">
        <v>191</v>
      </c>
      <c r="AE8992" s="1">
        <v>276950</v>
      </c>
      <c r="AF8992">
        <v>0</v>
      </c>
      <c r="AJ8992">
        <v>0</v>
      </c>
      <c r="AK8992">
        <v>0</v>
      </c>
      <c r="AL8992">
        <v>0</v>
      </c>
      <c r="AM8992">
        <v>0</v>
      </c>
      <c r="AN8992">
        <v>0</v>
      </c>
      <c r="AO8992">
        <v>0</v>
      </c>
      <c r="AP8992" s="2">
        <v>42746</v>
      </c>
      <c r="AQ8992" t="s">
        <v>72</v>
      </c>
      <c r="AR8992" t="s">
        <v>72</v>
      </c>
      <c r="AS8992">
        <v>1963</v>
      </c>
      <c r="AT8992" s="4">
        <v>42577</v>
      </c>
      <c r="AU8992" t="s">
        <v>73</v>
      </c>
      <c r="AV8992">
        <v>1963</v>
      </c>
      <c r="AW8992" s="4">
        <v>42577</v>
      </c>
      <c r="BD8992">
        <v>0</v>
      </c>
      <c r="BN8992" t="s">
        <v>74</v>
      </c>
    </row>
    <row r="8993" spans="1:66" hidden="1">
      <c r="A8993">
        <v>106535</v>
      </c>
      <c r="B8993" s="3" t="s">
        <v>599</v>
      </c>
      <c r="C8993" s="1">
        <v>43300101</v>
      </c>
      <c r="D8993" t="s">
        <v>67</v>
      </c>
      <c r="H8993" t="str">
        <f t="shared" si="938"/>
        <v>08862820969</v>
      </c>
      <c r="I8993" t="str">
        <f t="shared" si="938"/>
        <v>08862820969</v>
      </c>
      <c r="K8993" t="str">
        <f>""</f>
        <v/>
      </c>
      <c r="M8993" t="s">
        <v>68</v>
      </c>
      <c r="N8993" t="str">
        <f t="shared" si="939"/>
        <v>FOR</v>
      </c>
      <c r="O8993" t="s">
        <v>69</v>
      </c>
      <c r="P8993" s="3" t="s">
        <v>75</v>
      </c>
      <c r="Q8993">
        <v>2015</v>
      </c>
      <c r="R8993" s="2">
        <v>42321</v>
      </c>
      <c r="S8993" s="2">
        <v>42327</v>
      </c>
      <c r="T8993" s="2">
        <v>42326</v>
      </c>
      <c r="U8993" s="2">
        <v>42386</v>
      </c>
      <c r="V8993" t="s">
        <v>71</v>
      </c>
      <c r="W8993" t="str">
        <f>"          2015110457"</f>
        <v xml:space="preserve">          2015110457</v>
      </c>
      <c r="X8993" s="1">
        <v>1372.8</v>
      </c>
      <c r="Y8993">
        <v>0</v>
      </c>
      <c r="Z8993"/>
      <c r="AB8993"/>
      <c r="AC8993" s="1">
        <v>1320</v>
      </c>
      <c r="AD8993">
        <v>191</v>
      </c>
      <c r="AE8993" s="1">
        <v>252120</v>
      </c>
      <c r="AF8993">
        <v>0</v>
      </c>
      <c r="AJ8993">
        <v>0</v>
      </c>
      <c r="AK8993">
        <v>0</v>
      </c>
      <c r="AL8993">
        <v>0</v>
      </c>
      <c r="AM8993">
        <v>0</v>
      </c>
      <c r="AN8993">
        <v>0</v>
      </c>
      <c r="AO8993">
        <v>0</v>
      </c>
      <c r="AP8993" s="2">
        <v>42746</v>
      </c>
      <c r="AQ8993" t="s">
        <v>72</v>
      </c>
      <c r="AR8993" t="s">
        <v>72</v>
      </c>
      <c r="AS8993">
        <v>1963</v>
      </c>
      <c r="AT8993" s="4">
        <v>42577</v>
      </c>
      <c r="AU8993" t="s">
        <v>73</v>
      </c>
      <c r="AV8993">
        <v>1963</v>
      </c>
      <c r="AW8993" s="4">
        <v>42577</v>
      </c>
      <c r="BD8993">
        <v>0</v>
      </c>
      <c r="BN8993" t="s">
        <v>74</v>
      </c>
    </row>
    <row r="8994" spans="1:66" hidden="1">
      <c r="A8994">
        <v>106535</v>
      </c>
      <c r="B8994" s="3" t="s">
        <v>599</v>
      </c>
      <c r="C8994" s="1">
        <v>43300101</v>
      </c>
      <c r="D8994" t="s">
        <v>67</v>
      </c>
      <c r="H8994" t="str">
        <f t="shared" si="938"/>
        <v>08862820969</v>
      </c>
      <c r="I8994" t="str">
        <f t="shared" si="938"/>
        <v>08862820969</v>
      </c>
      <c r="K8994" t="str">
        <f>""</f>
        <v/>
      </c>
      <c r="M8994" t="s">
        <v>68</v>
      </c>
      <c r="N8994" t="str">
        <f t="shared" si="939"/>
        <v>FOR</v>
      </c>
      <c r="O8994" t="s">
        <v>69</v>
      </c>
      <c r="P8994" s="3" t="s">
        <v>75</v>
      </c>
      <c r="Q8994">
        <v>2015</v>
      </c>
      <c r="R8994" s="2">
        <v>42321</v>
      </c>
      <c r="S8994" s="2">
        <v>42327</v>
      </c>
      <c r="T8994" s="2">
        <v>42326</v>
      </c>
      <c r="U8994" s="2">
        <v>42386</v>
      </c>
      <c r="V8994" t="s">
        <v>71</v>
      </c>
      <c r="W8994" t="str">
        <f>"          2015110458"</f>
        <v xml:space="preserve">          2015110458</v>
      </c>
      <c r="X8994" s="1">
        <v>1372.8</v>
      </c>
      <c r="Y8994">
        <v>0</v>
      </c>
      <c r="Z8994"/>
      <c r="AB8994"/>
      <c r="AC8994" s="1">
        <v>1320</v>
      </c>
      <c r="AD8994">
        <v>191</v>
      </c>
      <c r="AE8994" s="1">
        <v>252120</v>
      </c>
      <c r="AF8994">
        <v>0</v>
      </c>
      <c r="AJ8994">
        <v>0</v>
      </c>
      <c r="AK8994">
        <v>0</v>
      </c>
      <c r="AL8994">
        <v>0</v>
      </c>
      <c r="AM8994">
        <v>0</v>
      </c>
      <c r="AN8994">
        <v>0</v>
      </c>
      <c r="AO8994">
        <v>0</v>
      </c>
      <c r="AP8994" s="2">
        <v>42746</v>
      </c>
      <c r="AQ8994" t="s">
        <v>72</v>
      </c>
      <c r="AR8994" t="s">
        <v>72</v>
      </c>
      <c r="AS8994">
        <v>1963</v>
      </c>
      <c r="AT8994" s="4">
        <v>42577</v>
      </c>
      <c r="AU8994" t="s">
        <v>73</v>
      </c>
      <c r="AV8994">
        <v>1963</v>
      </c>
      <c r="AW8994" s="4">
        <v>42577</v>
      </c>
      <c r="BD8994">
        <v>0</v>
      </c>
      <c r="BN8994" t="s">
        <v>74</v>
      </c>
    </row>
    <row r="8995" spans="1:66" hidden="1">
      <c r="A8995">
        <v>106535</v>
      </c>
      <c r="B8995" s="3" t="s">
        <v>599</v>
      </c>
      <c r="C8995" s="1">
        <v>43300101</v>
      </c>
      <c r="D8995" t="s">
        <v>67</v>
      </c>
      <c r="H8995" t="str">
        <f t="shared" si="938"/>
        <v>08862820969</v>
      </c>
      <c r="I8995" t="str">
        <f t="shared" si="938"/>
        <v>08862820969</v>
      </c>
      <c r="K8995" t="str">
        <f>""</f>
        <v/>
      </c>
      <c r="M8995" t="s">
        <v>68</v>
      </c>
      <c r="N8995" t="str">
        <f t="shared" si="939"/>
        <v>FOR</v>
      </c>
      <c r="O8995" t="s">
        <v>69</v>
      </c>
      <c r="P8995" s="3" t="s">
        <v>75</v>
      </c>
      <c r="Q8995">
        <v>2015</v>
      </c>
      <c r="R8995" s="2">
        <v>42334</v>
      </c>
      <c r="S8995" s="2">
        <v>42340</v>
      </c>
      <c r="T8995" s="2">
        <v>42339</v>
      </c>
      <c r="U8995" s="2">
        <v>42399</v>
      </c>
      <c r="V8995" t="s">
        <v>71</v>
      </c>
      <c r="W8995" t="str">
        <f>"          2015110906"</f>
        <v xml:space="preserve">          2015110906</v>
      </c>
      <c r="X8995">
        <v>854</v>
      </c>
      <c r="Y8995">
        <v>0</v>
      </c>
      <c r="Z8995"/>
      <c r="AB8995"/>
      <c r="AC8995">
        <v>700</v>
      </c>
      <c r="AD8995">
        <v>178</v>
      </c>
      <c r="AE8995" s="1">
        <v>124600</v>
      </c>
      <c r="AF8995">
        <v>0</v>
      </c>
      <c r="AJ8995">
        <v>0</v>
      </c>
      <c r="AK8995">
        <v>0</v>
      </c>
      <c r="AL8995">
        <v>0</v>
      </c>
      <c r="AM8995">
        <v>0</v>
      </c>
      <c r="AN8995">
        <v>0</v>
      </c>
      <c r="AO8995">
        <v>0</v>
      </c>
      <c r="AP8995" s="2">
        <v>42746</v>
      </c>
      <c r="AQ8995" t="s">
        <v>72</v>
      </c>
      <c r="AR8995" t="s">
        <v>72</v>
      </c>
      <c r="AS8995">
        <v>1963</v>
      </c>
      <c r="AT8995" s="4">
        <v>42577</v>
      </c>
      <c r="AU8995" t="s">
        <v>73</v>
      </c>
      <c r="AV8995">
        <v>1963</v>
      </c>
      <c r="AW8995" s="4">
        <v>42577</v>
      </c>
      <c r="BD8995">
        <v>0</v>
      </c>
      <c r="BN8995" t="s">
        <v>74</v>
      </c>
    </row>
    <row r="8996" spans="1:66" hidden="1">
      <c r="A8996">
        <v>106535</v>
      </c>
      <c r="B8996" s="3" t="s">
        <v>599</v>
      </c>
      <c r="C8996" s="1">
        <v>43300101</v>
      </c>
      <c r="D8996" t="s">
        <v>67</v>
      </c>
      <c r="H8996" t="str">
        <f t="shared" ref="H8996:I9015" si="940">"08862820969"</f>
        <v>08862820969</v>
      </c>
      <c r="I8996" t="str">
        <f t="shared" si="940"/>
        <v>08862820969</v>
      </c>
      <c r="K8996" t="str">
        <f>""</f>
        <v/>
      </c>
      <c r="M8996" t="s">
        <v>68</v>
      </c>
      <c r="N8996" t="str">
        <f t="shared" si="939"/>
        <v>FOR</v>
      </c>
      <c r="O8996" t="s">
        <v>69</v>
      </c>
      <c r="P8996" s="3" t="s">
        <v>75</v>
      </c>
      <c r="Q8996">
        <v>2015</v>
      </c>
      <c r="R8996" s="2">
        <v>42334</v>
      </c>
      <c r="S8996" s="2">
        <v>42340</v>
      </c>
      <c r="T8996" s="2">
        <v>42339</v>
      </c>
      <c r="U8996" s="2">
        <v>42399</v>
      </c>
      <c r="V8996" t="s">
        <v>71</v>
      </c>
      <c r="W8996" t="str">
        <f>"          2015110907"</f>
        <v xml:space="preserve">          2015110907</v>
      </c>
      <c r="X8996">
        <v>854</v>
      </c>
      <c r="Y8996">
        <v>0</v>
      </c>
      <c r="Z8996"/>
      <c r="AB8996"/>
      <c r="AC8996">
        <v>700</v>
      </c>
      <c r="AD8996">
        <v>178</v>
      </c>
      <c r="AE8996" s="1">
        <v>124600</v>
      </c>
      <c r="AF8996">
        <v>0</v>
      </c>
      <c r="AJ8996">
        <v>0</v>
      </c>
      <c r="AK8996">
        <v>0</v>
      </c>
      <c r="AL8996">
        <v>0</v>
      </c>
      <c r="AM8996">
        <v>0</v>
      </c>
      <c r="AN8996">
        <v>0</v>
      </c>
      <c r="AO8996">
        <v>0</v>
      </c>
      <c r="AP8996" s="2">
        <v>42746</v>
      </c>
      <c r="AQ8996" t="s">
        <v>72</v>
      </c>
      <c r="AR8996" t="s">
        <v>72</v>
      </c>
      <c r="AS8996">
        <v>1963</v>
      </c>
      <c r="AT8996" s="4">
        <v>42577</v>
      </c>
      <c r="AU8996" t="s">
        <v>73</v>
      </c>
      <c r="AV8996">
        <v>1963</v>
      </c>
      <c r="AW8996" s="4">
        <v>42577</v>
      </c>
      <c r="BD8996">
        <v>0</v>
      </c>
      <c r="BN8996" t="s">
        <v>74</v>
      </c>
    </row>
    <row r="8997" spans="1:66" hidden="1">
      <c r="A8997">
        <v>106535</v>
      </c>
      <c r="B8997" s="3" t="s">
        <v>599</v>
      </c>
      <c r="C8997" s="1">
        <v>43300101</v>
      </c>
      <c r="D8997" t="s">
        <v>67</v>
      </c>
      <c r="H8997" t="str">
        <f t="shared" si="940"/>
        <v>08862820969</v>
      </c>
      <c r="I8997" t="str">
        <f t="shared" si="940"/>
        <v>08862820969</v>
      </c>
      <c r="K8997" t="str">
        <f>""</f>
        <v/>
      </c>
      <c r="M8997" t="s">
        <v>68</v>
      </c>
      <c r="N8997" t="str">
        <f t="shared" si="939"/>
        <v>FOR</v>
      </c>
      <c r="O8997" t="s">
        <v>69</v>
      </c>
      <c r="P8997" s="3" t="s">
        <v>75</v>
      </c>
      <c r="Q8997">
        <v>2015</v>
      </c>
      <c r="R8997" s="2">
        <v>42366</v>
      </c>
      <c r="S8997" s="2">
        <v>42369</v>
      </c>
      <c r="T8997" s="2">
        <v>42368</v>
      </c>
      <c r="U8997" s="2">
        <v>42428</v>
      </c>
      <c r="V8997" t="s">
        <v>71</v>
      </c>
      <c r="W8997" t="str">
        <f>"          2015111892"</f>
        <v xml:space="preserve">          2015111892</v>
      </c>
      <c r="X8997" s="1">
        <v>6496</v>
      </c>
      <c r="Y8997">
        <v>0</v>
      </c>
      <c r="Z8997"/>
      <c r="AB8997"/>
      <c r="AC8997" s="1">
        <v>5900</v>
      </c>
      <c r="AD8997">
        <v>192</v>
      </c>
      <c r="AE8997" s="1">
        <v>1132800</v>
      </c>
      <c r="AF8997">
        <v>0</v>
      </c>
      <c r="AJ8997">
        <v>0</v>
      </c>
      <c r="AK8997">
        <v>0</v>
      </c>
      <c r="AL8997">
        <v>0</v>
      </c>
      <c r="AM8997">
        <v>0</v>
      </c>
      <c r="AN8997">
        <v>0</v>
      </c>
      <c r="AO8997">
        <v>0</v>
      </c>
      <c r="AP8997" s="2">
        <v>42746</v>
      </c>
      <c r="AQ8997" t="s">
        <v>72</v>
      </c>
      <c r="AR8997" t="s">
        <v>72</v>
      </c>
      <c r="AS8997">
        <v>2312</v>
      </c>
      <c r="AT8997" s="4">
        <v>42620</v>
      </c>
      <c r="AU8997" t="s">
        <v>73</v>
      </c>
      <c r="AV8997">
        <v>2312</v>
      </c>
      <c r="AW8997" s="4">
        <v>42620</v>
      </c>
      <c r="BD8997">
        <v>0</v>
      </c>
      <c r="BN8997" t="s">
        <v>74</v>
      </c>
    </row>
    <row r="8998" spans="1:66">
      <c r="A8998">
        <v>106535</v>
      </c>
      <c r="B8998" s="3" t="s">
        <v>599</v>
      </c>
      <c r="C8998" s="1">
        <v>43300101</v>
      </c>
      <c r="D8998" t="s">
        <v>67</v>
      </c>
      <c r="H8998" t="str">
        <f t="shared" si="940"/>
        <v>08862820969</v>
      </c>
      <c r="I8998" t="str">
        <f t="shared" si="940"/>
        <v>08862820969</v>
      </c>
      <c r="K8998" t="str">
        <f>""</f>
        <v/>
      </c>
      <c r="M8998" t="s">
        <v>68</v>
      </c>
      <c r="N8998" t="str">
        <f t="shared" si="939"/>
        <v>FOR</v>
      </c>
      <c r="O8998" t="s">
        <v>69</v>
      </c>
      <c r="P8998" s="3" t="s">
        <v>75</v>
      </c>
      <c r="Q8998">
        <v>2016</v>
      </c>
      <c r="R8998" s="2">
        <v>42382</v>
      </c>
      <c r="S8998" s="2">
        <v>42391</v>
      </c>
      <c r="T8998" s="2">
        <v>42390</v>
      </c>
      <c r="U8998" s="2">
        <v>42450</v>
      </c>
      <c r="V8998" t="s">
        <v>71</v>
      </c>
      <c r="W8998" t="str">
        <f>"          2016100159"</f>
        <v xml:space="preserve">          2016100159</v>
      </c>
      <c r="X8998" s="1">
        <v>1508</v>
      </c>
      <c r="Y8998">
        <v>0</v>
      </c>
      <c r="Z8998" s="5">
        <v>1450</v>
      </c>
      <c r="AA8998">
        <v>198</v>
      </c>
      <c r="AB8998" s="5">
        <v>287100</v>
      </c>
      <c r="AC8998" s="1">
        <v>1450</v>
      </c>
      <c r="AD8998">
        <v>198</v>
      </c>
      <c r="AE8998" s="1">
        <v>287100</v>
      </c>
      <c r="AF8998">
        <v>0</v>
      </c>
      <c r="AJ8998">
        <v>0</v>
      </c>
      <c r="AK8998">
        <v>0</v>
      </c>
      <c r="AL8998">
        <v>0</v>
      </c>
      <c r="AM8998" s="1">
        <v>1508</v>
      </c>
      <c r="AN8998" s="1">
        <v>1508</v>
      </c>
      <c r="AO8998" s="1">
        <v>1508</v>
      </c>
      <c r="AP8998" s="2">
        <v>42746</v>
      </c>
      <c r="AQ8998" t="s">
        <v>72</v>
      </c>
      <c r="AR8998" t="s">
        <v>72</v>
      </c>
      <c r="AS8998">
        <v>2669</v>
      </c>
      <c r="AT8998" s="4">
        <v>42648</v>
      </c>
      <c r="AU8998" t="s">
        <v>73</v>
      </c>
      <c r="AV8998">
        <v>2669</v>
      </c>
      <c r="AW8998" s="4">
        <v>42648</v>
      </c>
      <c r="BD8998">
        <v>0</v>
      </c>
      <c r="BN8998" t="s">
        <v>74</v>
      </c>
    </row>
    <row r="8999" spans="1:66">
      <c r="A8999">
        <v>106535</v>
      </c>
      <c r="B8999" s="3" t="s">
        <v>599</v>
      </c>
      <c r="C8999" s="1">
        <v>43300101</v>
      </c>
      <c r="D8999" t="s">
        <v>67</v>
      </c>
      <c r="H8999" t="str">
        <f t="shared" si="940"/>
        <v>08862820969</v>
      </c>
      <c r="I8999" t="str">
        <f t="shared" si="940"/>
        <v>08862820969</v>
      </c>
      <c r="K8999" t="str">
        <f>""</f>
        <v/>
      </c>
      <c r="M8999" t="s">
        <v>68</v>
      </c>
      <c r="N8999" t="str">
        <f t="shared" si="939"/>
        <v>FOR</v>
      </c>
      <c r="O8999" t="s">
        <v>69</v>
      </c>
      <c r="P8999" s="3" t="s">
        <v>75</v>
      </c>
      <c r="Q8999">
        <v>2016</v>
      </c>
      <c r="R8999" s="2">
        <v>42382</v>
      </c>
      <c r="S8999" s="2">
        <v>42391</v>
      </c>
      <c r="T8999" s="2">
        <v>42390</v>
      </c>
      <c r="U8999" s="2">
        <v>42450</v>
      </c>
      <c r="V8999" t="s">
        <v>71</v>
      </c>
      <c r="W8999" t="str">
        <f>"          2016100160"</f>
        <v xml:space="preserve">          2016100160</v>
      </c>
      <c r="X8999" s="1">
        <v>1372.8</v>
      </c>
      <c r="Y8999">
        <v>0</v>
      </c>
      <c r="Z8999" s="5">
        <v>1320</v>
      </c>
      <c r="AA8999">
        <v>198</v>
      </c>
      <c r="AB8999" s="5">
        <v>261360</v>
      </c>
      <c r="AC8999" s="1">
        <v>1320</v>
      </c>
      <c r="AD8999">
        <v>198</v>
      </c>
      <c r="AE8999" s="1">
        <v>261360</v>
      </c>
      <c r="AF8999">
        <v>0</v>
      </c>
      <c r="AJ8999">
        <v>0</v>
      </c>
      <c r="AK8999">
        <v>0</v>
      </c>
      <c r="AL8999">
        <v>0</v>
      </c>
      <c r="AM8999" s="1">
        <v>1372.8</v>
      </c>
      <c r="AN8999" s="1">
        <v>1372.8</v>
      </c>
      <c r="AO8999" s="1">
        <v>1372.8</v>
      </c>
      <c r="AP8999" s="2">
        <v>42746</v>
      </c>
      <c r="AQ8999" t="s">
        <v>72</v>
      </c>
      <c r="AR8999" t="s">
        <v>72</v>
      </c>
      <c r="AS8999">
        <v>2669</v>
      </c>
      <c r="AT8999" s="4">
        <v>42648</v>
      </c>
      <c r="AU8999" t="s">
        <v>73</v>
      </c>
      <c r="AV8999">
        <v>2669</v>
      </c>
      <c r="AW8999" s="4">
        <v>42648</v>
      </c>
      <c r="BD8999">
        <v>0</v>
      </c>
      <c r="BN8999" t="s">
        <v>74</v>
      </c>
    </row>
    <row r="9000" spans="1:66">
      <c r="A9000">
        <v>106535</v>
      </c>
      <c r="B9000" s="3" t="s">
        <v>599</v>
      </c>
      <c r="C9000" s="1">
        <v>43300101</v>
      </c>
      <c r="D9000" t="s">
        <v>67</v>
      </c>
      <c r="H9000" t="str">
        <f t="shared" si="940"/>
        <v>08862820969</v>
      </c>
      <c r="I9000" t="str">
        <f t="shared" si="940"/>
        <v>08862820969</v>
      </c>
      <c r="K9000" t="str">
        <f>""</f>
        <v/>
      </c>
      <c r="M9000" t="s">
        <v>68</v>
      </c>
      <c r="N9000" t="str">
        <f t="shared" si="939"/>
        <v>FOR</v>
      </c>
      <c r="O9000" t="s">
        <v>69</v>
      </c>
      <c r="P9000" s="3" t="s">
        <v>75</v>
      </c>
      <c r="Q9000">
        <v>2016</v>
      </c>
      <c r="R9000" s="2">
        <v>42382</v>
      </c>
      <c r="S9000" s="2">
        <v>42391</v>
      </c>
      <c r="T9000" s="2">
        <v>42390</v>
      </c>
      <c r="U9000" s="2">
        <v>42450</v>
      </c>
      <c r="V9000" t="s">
        <v>71</v>
      </c>
      <c r="W9000" t="str">
        <f>"          2016100161"</f>
        <v xml:space="preserve">          2016100161</v>
      </c>
      <c r="X9000" s="1">
        <v>1372.8</v>
      </c>
      <c r="Y9000">
        <v>0</v>
      </c>
      <c r="Z9000" s="5">
        <v>1320</v>
      </c>
      <c r="AA9000">
        <v>198</v>
      </c>
      <c r="AB9000" s="5">
        <v>261360</v>
      </c>
      <c r="AC9000" s="1">
        <v>1320</v>
      </c>
      <c r="AD9000">
        <v>198</v>
      </c>
      <c r="AE9000" s="1">
        <v>261360</v>
      </c>
      <c r="AF9000">
        <v>0</v>
      </c>
      <c r="AJ9000">
        <v>0</v>
      </c>
      <c r="AK9000">
        <v>0</v>
      </c>
      <c r="AL9000">
        <v>0</v>
      </c>
      <c r="AM9000" s="1">
        <v>1372.8</v>
      </c>
      <c r="AN9000" s="1">
        <v>1372.8</v>
      </c>
      <c r="AO9000" s="1">
        <v>1372.8</v>
      </c>
      <c r="AP9000" s="2">
        <v>42746</v>
      </c>
      <c r="AQ9000" t="s">
        <v>72</v>
      </c>
      <c r="AR9000" t="s">
        <v>72</v>
      </c>
      <c r="AS9000">
        <v>2669</v>
      </c>
      <c r="AT9000" s="4">
        <v>42648</v>
      </c>
      <c r="AU9000" t="s">
        <v>73</v>
      </c>
      <c r="AV9000">
        <v>2669</v>
      </c>
      <c r="AW9000" s="4">
        <v>42648</v>
      </c>
      <c r="BD9000">
        <v>0</v>
      </c>
      <c r="BN9000" t="s">
        <v>74</v>
      </c>
    </row>
    <row r="9001" spans="1:66">
      <c r="A9001">
        <v>106535</v>
      </c>
      <c r="B9001" s="3" t="s">
        <v>599</v>
      </c>
      <c r="C9001" s="1">
        <v>43300101</v>
      </c>
      <c r="D9001" t="s">
        <v>67</v>
      </c>
      <c r="H9001" t="str">
        <f t="shared" si="940"/>
        <v>08862820969</v>
      </c>
      <c r="I9001" t="str">
        <f t="shared" si="940"/>
        <v>08862820969</v>
      </c>
      <c r="K9001" t="str">
        <f>""</f>
        <v/>
      </c>
      <c r="M9001" t="s">
        <v>68</v>
      </c>
      <c r="N9001" t="str">
        <f t="shared" si="939"/>
        <v>FOR</v>
      </c>
      <c r="O9001" t="s">
        <v>69</v>
      </c>
      <c r="P9001" s="3" t="s">
        <v>75</v>
      </c>
      <c r="Q9001">
        <v>2016</v>
      </c>
      <c r="R9001" s="2">
        <v>42382</v>
      </c>
      <c r="S9001" s="2">
        <v>42391</v>
      </c>
      <c r="T9001" s="2">
        <v>42390</v>
      </c>
      <c r="U9001" s="2">
        <v>42450</v>
      </c>
      <c r="V9001" t="s">
        <v>71</v>
      </c>
      <c r="W9001" t="str">
        <f>"          2016100162"</f>
        <v xml:space="preserve">          2016100162</v>
      </c>
      <c r="X9001" s="1">
        <v>1372.8</v>
      </c>
      <c r="Y9001">
        <v>0</v>
      </c>
      <c r="Z9001" s="5">
        <v>1320</v>
      </c>
      <c r="AA9001">
        <v>198</v>
      </c>
      <c r="AB9001" s="5">
        <v>261360</v>
      </c>
      <c r="AC9001" s="1">
        <v>1320</v>
      </c>
      <c r="AD9001">
        <v>198</v>
      </c>
      <c r="AE9001" s="1">
        <v>261360</v>
      </c>
      <c r="AF9001">
        <v>0</v>
      </c>
      <c r="AJ9001">
        <v>0</v>
      </c>
      <c r="AK9001">
        <v>0</v>
      </c>
      <c r="AL9001">
        <v>0</v>
      </c>
      <c r="AM9001" s="1">
        <v>1372.8</v>
      </c>
      <c r="AN9001" s="1">
        <v>1372.8</v>
      </c>
      <c r="AO9001" s="1">
        <v>1372.8</v>
      </c>
      <c r="AP9001" s="2">
        <v>42746</v>
      </c>
      <c r="AQ9001" t="s">
        <v>72</v>
      </c>
      <c r="AR9001" t="s">
        <v>72</v>
      </c>
      <c r="AS9001">
        <v>2669</v>
      </c>
      <c r="AT9001" s="4">
        <v>42648</v>
      </c>
      <c r="AU9001" t="s">
        <v>73</v>
      </c>
      <c r="AV9001">
        <v>2669</v>
      </c>
      <c r="AW9001" s="4">
        <v>42648</v>
      </c>
      <c r="BD9001">
        <v>0</v>
      </c>
      <c r="BN9001" t="s">
        <v>74</v>
      </c>
    </row>
    <row r="9002" spans="1:66">
      <c r="A9002">
        <v>106535</v>
      </c>
      <c r="B9002" s="3" t="s">
        <v>599</v>
      </c>
      <c r="C9002" s="1">
        <v>43300101</v>
      </c>
      <c r="D9002" t="s">
        <v>67</v>
      </c>
      <c r="H9002" t="str">
        <f t="shared" si="940"/>
        <v>08862820969</v>
      </c>
      <c r="I9002" t="str">
        <f t="shared" si="940"/>
        <v>08862820969</v>
      </c>
      <c r="K9002" t="str">
        <f>""</f>
        <v/>
      </c>
      <c r="M9002" t="s">
        <v>68</v>
      </c>
      <c r="N9002" t="str">
        <f t="shared" si="939"/>
        <v>FOR</v>
      </c>
      <c r="O9002" t="s">
        <v>69</v>
      </c>
      <c r="P9002" s="3" t="s">
        <v>75</v>
      </c>
      <c r="Q9002">
        <v>2016</v>
      </c>
      <c r="R9002" s="2">
        <v>42382</v>
      </c>
      <c r="S9002" s="2">
        <v>42391</v>
      </c>
      <c r="T9002" s="2">
        <v>42390</v>
      </c>
      <c r="U9002" s="2">
        <v>42450</v>
      </c>
      <c r="V9002" t="s">
        <v>71</v>
      </c>
      <c r="W9002" t="str">
        <f>"          2016100163"</f>
        <v xml:space="preserve">          2016100163</v>
      </c>
      <c r="X9002" s="1">
        <v>1508</v>
      </c>
      <c r="Y9002">
        <v>0</v>
      </c>
      <c r="Z9002" s="5">
        <v>1450</v>
      </c>
      <c r="AA9002">
        <v>198</v>
      </c>
      <c r="AB9002" s="5">
        <v>287100</v>
      </c>
      <c r="AC9002" s="1">
        <v>1450</v>
      </c>
      <c r="AD9002">
        <v>198</v>
      </c>
      <c r="AE9002" s="1">
        <v>287100</v>
      </c>
      <c r="AF9002">
        <v>0</v>
      </c>
      <c r="AJ9002">
        <v>0</v>
      </c>
      <c r="AK9002">
        <v>0</v>
      </c>
      <c r="AL9002">
        <v>0</v>
      </c>
      <c r="AM9002" s="1">
        <v>1508</v>
      </c>
      <c r="AN9002" s="1">
        <v>1508</v>
      </c>
      <c r="AO9002" s="1">
        <v>1508</v>
      </c>
      <c r="AP9002" s="2">
        <v>42746</v>
      </c>
      <c r="AQ9002" t="s">
        <v>72</v>
      </c>
      <c r="AR9002" t="s">
        <v>72</v>
      </c>
      <c r="AS9002">
        <v>2669</v>
      </c>
      <c r="AT9002" s="4">
        <v>42648</v>
      </c>
      <c r="AU9002" t="s">
        <v>73</v>
      </c>
      <c r="AV9002">
        <v>2669</v>
      </c>
      <c r="AW9002" s="4">
        <v>42648</v>
      </c>
      <c r="BD9002">
        <v>0</v>
      </c>
      <c r="BN9002" t="s">
        <v>74</v>
      </c>
    </row>
    <row r="9003" spans="1:66">
      <c r="A9003">
        <v>106535</v>
      </c>
      <c r="B9003" s="3" t="s">
        <v>599</v>
      </c>
      <c r="C9003" s="1">
        <v>43300101</v>
      </c>
      <c r="D9003" t="s">
        <v>67</v>
      </c>
      <c r="H9003" t="str">
        <f t="shared" si="940"/>
        <v>08862820969</v>
      </c>
      <c r="I9003" t="str">
        <f t="shared" si="940"/>
        <v>08862820969</v>
      </c>
      <c r="K9003" t="str">
        <f>""</f>
        <v/>
      </c>
      <c r="M9003" t="s">
        <v>68</v>
      </c>
      <c r="N9003" t="str">
        <f t="shared" si="939"/>
        <v>FOR</v>
      </c>
      <c r="O9003" t="s">
        <v>69</v>
      </c>
      <c r="P9003" s="3" t="s">
        <v>75</v>
      </c>
      <c r="Q9003">
        <v>2016</v>
      </c>
      <c r="R9003" s="2">
        <v>42382</v>
      </c>
      <c r="S9003" s="2">
        <v>42391</v>
      </c>
      <c r="T9003" s="2">
        <v>42390</v>
      </c>
      <c r="U9003" s="2">
        <v>42450</v>
      </c>
      <c r="V9003" t="s">
        <v>71</v>
      </c>
      <c r="W9003" t="str">
        <f>"          2016100164"</f>
        <v xml:space="preserve">          2016100164</v>
      </c>
      <c r="X9003" s="1">
        <v>1508</v>
      </c>
      <c r="Y9003">
        <v>0</v>
      </c>
      <c r="Z9003" s="5">
        <v>1450</v>
      </c>
      <c r="AA9003">
        <v>198</v>
      </c>
      <c r="AB9003" s="5">
        <v>287100</v>
      </c>
      <c r="AC9003" s="1">
        <v>1450</v>
      </c>
      <c r="AD9003">
        <v>198</v>
      </c>
      <c r="AE9003" s="1">
        <v>287100</v>
      </c>
      <c r="AF9003">
        <v>0</v>
      </c>
      <c r="AJ9003">
        <v>0</v>
      </c>
      <c r="AK9003">
        <v>0</v>
      </c>
      <c r="AL9003">
        <v>0</v>
      </c>
      <c r="AM9003" s="1">
        <v>1508</v>
      </c>
      <c r="AN9003" s="1">
        <v>1508</v>
      </c>
      <c r="AO9003" s="1">
        <v>1508</v>
      </c>
      <c r="AP9003" s="2">
        <v>42746</v>
      </c>
      <c r="AQ9003" t="s">
        <v>72</v>
      </c>
      <c r="AR9003" t="s">
        <v>72</v>
      </c>
      <c r="AS9003">
        <v>2669</v>
      </c>
      <c r="AT9003" s="4">
        <v>42648</v>
      </c>
      <c r="AU9003" t="s">
        <v>73</v>
      </c>
      <c r="AV9003">
        <v>2669</v>
      </c>
      <c r="AW9003" s="4">
        <v>42648</v>
      </c>
      <c r="BD9003">
        <v>0</v>
      </c>
      <c r="BN9003" t="s">
        <v>74</v>
      </c>
    </row>
    <row r="9004" spans="1:66">
      <c r="A9004">
        <v>106535</v>
      </c>
      <c r="B9004" s="3" t="s">
        <v>599</v>
      </c>
      <c r="C9004" s="1">
        <v>43300101</v>
      </c>
      <c r="D9004" t="s">
        <v>67</v>
      </c>
      <c r="H9004" t="str">
        <f t="shared" si="940"/>
        <v>08862820969</v>
      </c>
      <c r="I9004" t="str">
        <f t="shared" si="940"/>
        <v>08862820969</v>
      </c>
      <c r="K9004" t="str">
        <f>""</f>
        <v/>
      </c>
      <c r="M9004" t="s">
        <v>68</v>
      </c>
      <c r="N9004" t="str">
        <f t="shared" si="939"/>
        <v>FOR</v>
      </c>
      <c r="O9004" t="s">
        <v>69</v>
      </c>
      <c r="P9004" s="3" t="s">
        <v>75</v>
      </c>
      <c r="Q9004">
        <v>2016</v>
      </c>
      <c r="R9004" s="2">
        <v>42382</v>
      </c>
      <c r="S9004" s="2">
        <v>42391</v>
      </c>
      <c r="T9004" s="2">
        <v>42390</v>
      </c>
      <c r="U9004" s="2">
        <v>42450</v>
      </c>
      <c r="V9004" t="s">
        <v>71</v>
      </c>
      <c r="W9004" t="str">
        <f>"          2016100165"</f>
        <v xml:space="preserve">          2016100165</v>
      </c>
      <c r="X9004" s="1">
        <v>1508</v>
      </c>
      <c r="Y9004">
        <v>0</v>
      </c>
      <c r="Z9004" s="5">
        <v>1450</v>
      </c>
      <c r="AA9004">
        <v>198</v>
      </c>
      <c r="AB9004" s="5">
        <v>287100</v>
      </c>
      <c r="AC9004" s="1">
        <v>1450</v>
      </c>
      <c r="AD9004">
        <v>198</v>
      </c>
      <c r="AE9004" s="1">
        <v>287100</v>
      </c>
      <c r="AF9004">
        <v>0</v>
      </c>
      <c r="AJ9004">
        <v>0</v>
      </c>
      <c r="AK9004">
        <v>0</v>
      </c>
      <c r="AL9004">
        <v>0</v>
      </c>
      <c r="AM9004" s="1">
        <v>1508</v>
      </c>
      <c r="AN9004" s="1">
        <v>1508</v>
      </c>
      <c r="AO9004" s="1">
        <v>1508</v>
      </c>
      <c r="AP9004" s="2">
        <v>42746</v>
      </c>
      <c r="AQ9004" t="s">
        <v>72</v>
      </c>
      <c r="AR9004" t="s">
        <v>72</v>
      </c>
      <c r="AS9004">
        <v>2669</v>
      </c>
      <c r="AT9004" s="4">
        <v>42648</v>
      </c>
      <c r="AU9004" t="s">
        <v>73</v>
      </c>
      <c r="AV9004">
        <v>2669</v>
      </c>
      <c r="AW9004" s="4">
        <v>42648</v>
      </c>
      <c r="BD9004">
        <v>0</v>
      </c>
      <c r="BN9004" t="s">
        <v>74</v>
      </c>
    </row>
    <row r="9005" spans="1:66">
      <c r="A9005">
        <v>106535</v>
      </c>
      <c r="B9005" s="3" t="s">
        <v>599</v>
      </c>
      <c r="C9005" s="1">
        <v>43300101</v>
      </c>
      <c r="D9005" t="s">
        <v>67</v>
      </c>
      <c r="H9005" t="str">
        <f t="shared" si="940"/>
        <v>08862820969</v>
      </c>
      <c r="I9005" t="str">
        <f t="shared" si="940"/>
        <v>08862820969</v>
      </c>
      <c r="K9005" t="str">
        <f>""</f>
        <v/>
      </c>
      <c r="M9005" t="s">
        <v>68</v>
      </c>
      <c r="N9005" t="str">
        <f t="shared" si="939"/>
        <v>FOR</v>
      </c>
      <c r="O9005" t="s">
        <v>69</v>
      </c>
      <c r="P9005" s="3" t="s">
        <v>75</v>
      </c>
      <c r="Q9005">
        <v>2016</v>
      </c>
      <c r="R9005" s="2">
        <v>42416</v>
      </c>
      <c r="S9005" s="2">
        <v>42422</v>
      </c>
      <c r="T9005" s="2">
        <v>42419</v>
      </c>
      <c r="U9005" s="2">
        <v>42479</v>
      </c>
      <c r="V9005" t="s">
        <v>71</v>
      </c>
      <c r="W9005" t="str">
        <f>"          2016101478"</f>
        <v xml:space="preserve">          2016101478</v>
      </c>
      <c r="X9005" s="1">
        <v>1508</v>
      </c>
      <c r="Y9005">
        <v>0</v>
      </c>
      <c r="Z9005" s="5">
        <v>1450</v>
      </c>
      <c r="AA9005">
        <v>204</v>
      </c>
      <c r="AB9005" s="5">
        <v>295800</v>
      </c>
      <c r="AC9005" s="1">
        <v>1450</v>
      </c>
      <c r="AD9005">
        <v>204</v>
      </c>
      <c r="AE9005" s="1">
        <v>295800</v>
      </c>
      <c r="AF9005">
        <v>0</v>
      </c>
      <c r="AJ9005">
        <v>0</v>
      </c>
      <c r="AK9005">
        <v>0</v>
      </c>
      <c r="AL9005">
        <v>0</v>
      </c>
      <c r="AM9005" s="1">
        <v>1508</v>
      </c>
      <c r="AN9005" s="1">
        <v>1508</v>
      </c>
      <c r="AO9005" s="1">
        <v>1508</v>
      </c>
      <c r="AP9005" s="2">
        <v>42746</v>
      </c>
      <c r="AQ9005" t="s">
        <v>72</v>
      </c>
      <c r="AR9005" t="s">
        <v>72</v>
      </c>
      <c r="AS9005">
        <v>3031</v>
      </c>
      <c r="AT9005" s="4">
        <v>42683</v>
      </c>
      <c r="AU9005" t="s">
        <v>73</v>
      </c>
      <c r="AV9005">
        <v>3031</v>
      </c>
      <c r="AW9005" s="4">
        <v>42683</v>
      </c>
      <c r="BD9005">
        <v>0</v>
      </c>
      <c r="BN9005" t="s">
        <v>74</v>
      </c>
    </row>
    <row r="9006" spans="1:66">
      <c r="A9006">
        <v>106535</v>
      </c>
      <c r="B9006" s="3" t="s">
        <v>599</v>
      </c>
      <c r="C9006" s="1">
        <v>43300101</v>
      </c>
      <c r="D9006" t="s">
        <v>67</v>
      </c>
      <c r="H9006" t="str">
        <f t="shared" si="940"/>
        <v>08862820969</v>
      </c>
      <c r="I9006" t="str">
        <f t="shared" si="940"/>
        <v>08862820969</v>
      </c>
      <c r="K9006" t="str">
        <f>""</f>
        <v/>
      </c>
      <c r="M9006" t="s">
        <v>68</v>
      </c>
      <c r="N9006" t="str">
        <f t="shared" si="939"/>
        <v>FOR</v>
      </c>
      <c r="O9006" t="s">
        <v>69</v>
      </c>
      <c r="P9006" s="3" t="s">
        <v>75</v>
      </c>
      <c r="Q9006">
        <v>2016</v>
      </c>
      <c r="R9006" s="2">
        <v>42416</v>
      </c>
      <c r="S9006" s="2">
        <v>42422</v>
      </c>
      <c r="T9006" s="2">
        <v>42419</v>
      </c>
      <c r="U9006" s="2">
        <v>42479</v>
      </c>
      <c r="V9006" t="s">
        <v>71</v>
      </c>
      <c r="W9006" t="str">
        <f>"          2016101479"</f>
        <v xml:space="preserve">          2016101479</v>
      </c>
      <c r="X9006" s="1">
        <v>1508</v>
      </c>
      <c r="Y9006">
        <v>0</v>
      </c>
      <c r="Z9006" s="5">
        <v>1450</v>
      </c>
      <c r="AA9006">
        <v>204</v>
      </c>
      <c r="AB9006" s="5">
        <v>295800</v>
      </c>
      <c r="AC9006" s="1">
        <v>1450</v>
      </c>
      <c r="AD9006">
        <v>204</v>
      </c>
      <c r="AE9006" s="1">
        <v>295800</v>
      </c>
      <c r="AF9006">
        <v>0</v>
      </c>
      <c r="AJ9006">
        <v>0</v>
      </c>
      <c r="AK9006">
        <v>0</v>
      </c>
      <c r="AL9006">
        <v>0</v>
      </c>
      <c r="AM9006" s="1">
        <v>1508</v>
      </c>
      <c r="AN9006" s="1">
        <v>1508</v>
      </c>
      <c r="AO9006" s="1">
        <v>1508</v>
      </c>
      <c r="AP9006" s="2">
        <v>42746</v>
      </c>
      <c r="AQ9006" t="s">
        <v>72</v>
      </c>
      <c r="AR9006" t="s">
        <v>72</v>
      </c>
      <c r="AS9006">
        <v>3031</v>
      </c>
      <c r="AT9006" s="4">
        <v>42683</v>
      </c>
      <c r="AU9006" t="s">
        <v>73</v>
      </c>
      <c r="AV9006">
        <v>3031</v>
      </c>
      <c r="AW9006" s="4">
        <v>42683</v>
      </c>
      <c r="BD9006">
        <v>0</v>
      </c>
      <c r="BN9006" t="s">
        <v>74</v>
      </c>
    </row>
    <row r="9007" spans="1:66">
      <c r="A9007">
        <v>106535</v>
      </c>
      <c r="B9007" s="3" t="s">
        <v>599</v>
      </c>
      <c r="C9007" s="1">
        <v>43300101</v>
      </c>
      <c r="D9007" t="s">
        <v>67</v>
      </c>
      <c r="H9007" t="str">
        <f t="shared" si="940"/>
        <v>08862820969</v>
      </c>
      <c r="I9007" t="str">
        <f t="shared" si="940"/>
        <v>08862820969</v>
      </c>
      <c r="K9007" t="str">
        <f>""</f>
        <v/>
      </c>
      <c r="M9007" t="s">
        <v>68</v>
      </c>
      <c r="N9007" t="str">
        <f t="shared" si="939"/>
        <v>FOR</v>
      </c>
      <c r="O9007" t="s">
        <v>69</v>
      </c>
      <c r="P9007" s="3" t="s">
        <v>75</v>
      </c>
      <c r="Q9007">
        <v>2016</v>
      </c>
      <c r="R9007" s="2">
        <v>42416</v>
      </c>
      <c r="S9007" s="2">
        <v>42422</v>
      </c>
      <c r="T9007" s="2">
        <v>42419</v>
      </c>
      <c r="U9007" s="2">
        <v>42479</v>
      </c>
      <c r="V9007" t="s">
        <v>71</v>
      </c>
      <c r="W9007" t="str">
        <f>"          2016101480"</f>
        <v xml:space="preserve">          2016101480</v>
      </c>
      <c r="X9007" s="1">
        <v>6222</v>
      </c>
      <c r="Y9007">
        <v>0</v>
      </c>
      <c r="Z9007" s="5">
        <v>5100</v>
      </c>
      <c r="AA9007">
        <v>204</v>
      </c>
      <c r="AB9007" s="5">
        <v>1040400</v>
      </c>
      <c r="AC9007" s="1">
        <v>5100</v>
      </c>
      <c r="AD9007">
        <v>204</v>
      </c>
      <c r="AE9007" s="1">
        <v>1040400</v>
      </c>
      <c r="AF9007">
        <v>0</v>
      </c>
      <c r="AJ9007">
        <v>0</v>
      </c>
      <c r="AK9007">
        <v>0</v>
      </c>
      <c r="AL9007">
        <v>0</v>
      </c>
      <c r="AM9007" s="1">
        <v>6222</v>
      </c>
      <c r="AN9007" s="1">
        <v>6222</v>
      </c>
      <c r="AO9007" s="1">
        <v>6222</v>
      </c>
      <c r="AP9007" s="2">
        <v>42746</v>
      </c>
      <c r="AQ9007" t="s">
        <v>72</v>
      </c>
      <c r="AR9007" t="s">
        <v>72</v>
      </c>
      <c r="AS9007">
        <v>3031</v>
      </c>
      <c r="AT9007" s="4">
        <v>42683</v>
      </c>
      <c r="AU9007" t="s">
        <v>73</v>
      </c>
      <c r="AV9007">
        <v>3031</v>
      </c>
      <c r="AW9007" s="4">
        <v>42683</v>
      </c>
      <c r="BD9007">
        <v>0</v>
      </c>
      <c r="BN9007" t="s">
        <v>74</v>
      </c>
    </row>
    <row r="9008" spans="1:66">
      <c r="A9008">
        <v>106535</v>
      </c>
      <c r="B9008" s="3" t="s">
        <v>599</v>
      </c>
      <c r="C9008" s="1">
        <v>43300101</v>
      </c>
      <c r="D9008" t="s">
        <v>67</v>
      </c>
      <c r="H9008" t="str">
        <f t="shared" si="940"/>
        <v>08862820969</v>
      </c>
      <c r="I9008" t="str">
        <f t="shared" si="940"/>
        <v>08862820969</v>
      </c>
      <c r="K9008" t="str">
        <f>""</f>
        <v/>
      </c>
      <c r="M9008" t="s">
        <v>68</v>
      </c>
      <c r="N9008" t="str">
        <f t="shared" si="939"/>
        <v>FOR</v>
      </c>
      <c r="O9008" t="s">
        <v>69</v>
      </c>
      <c r="P9008" s="3" t="s">
        <v>75</v>
      </c>
      <c r="Q9008">
        <v>2016</v>
      </c>
      <c r="R9008" s="2">
        <v>42416</v>
      </c>
      <c r="S9008" s="2">
        <v>42422</v>
      </c>
      <c r="T9008" s="2">
        <v>42419</v>
      </c>
      <c r="U9008" s="2">
        <v>42479</v>
      </c>
      <c r="V9008" t="s">
        <v>71</v>
      </c>
      <c r="W9008" t="str">
        <f>"          2016101481"</f>
        <v xml:space="preserve">          2016101481</v>
      </c>
      <c r="X9008">
        <v>695.4</v>
      </c>
      <c r="Y9008">
        <v>0</v>
      </c>
      <c r="Z9008" s="3">
        <v>570</v>
      </c>
      <c r="AA9008">
        <v>204</v>
      </c>
      <c r="AB9008" s="5">
        <v>116280</v>
      </c>
      <c r="AC9008">
        <v>570</v>
      </c>
      <c r="AD9008">
        <v>204</v>
      </c>
      <c r="AE9008" s="1">
        <v>116280</v>
      </c>
      <c r="AF9008">
        <v>0</v>
      </c>
      <c r="AJ9008">
        <v>0</v>
      </c>
      <c r="AK9008">
        <v>0</v>
      </c>
      <c r="AL9008">
        <v>0</v>
      </c>
      <c r="AM9008">
        <v>695.4</v>
      </c>
      <c r="AN9008">
        <v>695.4</v>
      </c>
      <c r="AO9008">
        <v>695.4</v>
      </c>
      <c r="AP9008" s="2">
        <v>42746</v>
      </c>
      <c r="AQ9008" t="s">
        <v>72</v>
      </c>
      <c r="AR9008" t="s">
        <v>72</v>
      </c>
      <c r="AS9008">
        <v>3031</v>
      </c>
      <c r="AT9008" s="4">
        <v>42683</v>
      </c>
      <c r="AU9008" t="s">
        <v>73</v>
      </c>
      <c r="AV9008">
        <v>3031</v>
      </c>
      <c r="AW9008" s="4">
        <v>42683</v>
      </c>
      <c r="BD9008">
        <v>0</v>
      </c>
      <c r="BN9008" t="s">
        <v>74</v>
      </c>
    </row>
    <row r="9009" spans="1:66">
      <c r="A9009">
        <v>106535</v>
      </c>
      <c r="B9009" s="3" t="s">
        <v>599</v>
      </c>
      <c r="C9009" s="1">
        <v>43300101</v>
      </c>
      <c r="D9009" t="s">
        <v>67</v>
      </c>
      <c r="H9009" t="str">
        <f t="shared" si="940"/>
        <v>08862820969</v>
      </c>
      <c r="I9009" t="str">
        <f t="shared" si="940"/>
        <v>08862820969</v>
      </c>
      <c r="K9009" t="str">
        <f>""</f>
        <v/>
      </c>
      <c r="M9009" t="s">
        <v>68</v>
      </c>
      <c r="N9009" t="str">
        <f t="shared" si="939"/>
        <v>FOR</v>
      </c>
      <c r="O9009" t="s">
        <v>69</v>
      </c>
      <c r="P9009" s="3" t="s">
        <v>75</v>
      </c>
      <c r="Q9009">
        <v>2016</v>
      </c>
      <c r="R9009" s="2">
        <v>42460</v>
      </c>
      <c r="S9009" s="2">
        <v>42464</v>
      </c>
      <c r="T9009" s="2">
        <v>42460</v>
      </c>
      <c r="U9009" s="2">
        <v>42520</v>
      </c>
      <c r="V9009" t="s">
        <v>71</v>
      </c>
      <c r="W9009" t="str">
        <f>"          2016103120"</f>
        <v xml:space="preserve">          2016103120</v>
      </c>
      <c r="X9009" s="1">
        <v>1508</v>
      </c>
      <c r="Y9009">
        <v>0</v>
      </c>
      <c r="Z9009" s="5">
        <v>1450</v>
      </c>
      <c r="AA9009">
        <v>198</v>
      </c>
      <c r="AB9009" s="5">
        <v>287100</v>
      </c>
      <c r="AC9009" s="1">
        <v>1450</v>
      </c>
      <c r="AD9009">
        <v>198</v>
      </c>
      <c r="AE9009" s="1">
        <v>287100</v>
      </c>
      <c r="AF9009">
        <v>58</v>
      </c>
      <c r="AJ9009">
        <v>0</v>
      </c>
      <c r="AK9009">
        <v>0</v>
      </c>
      <c r="AL9009">
        <v>0</v>
      </c>
      <c r="AM9009" s="1">
        <v>1508</v>
      </c>
      <c r="AN9009" s="1">
        <v>1508</v>
      </c>
      <c r="AO9009" s="1">
        <v>1508</v>
      </c>
      <c r="AP9009" s="2">
        <v>42746</v>
      </c>
      <c r="AQ9009" t="s">
        <v>72</v>
      </c>
      <c r="AR9009" t="s">
        <v>72</v>
      </c>
      <c r="AS9009">
        <v>3476</v>
      </c>
      <c r="AT9009" s="4">
        <v>42718</v>
      </c>
      <c r="AU9009" t="s">
        <v>73</v>
      </c>
      <c r="AV9009">
        <v>3476</v>
      </c>
      <c r="AW9009" s="4">
        <v>42718</v>
      </c>
      <c r="BD9009">
        <v>58</v>
      </c>
      <c r="BN9009" t="s">
        <v>74</v>
      </c>
    </row>
    <row r="9010" spans="1:66">
      <c r="A9010">
        <v>106535</v>
      </c>
      <c r="B9010" s="3" t="s">
        <v>599</v>
      </c>
      <c r="C9010" s="1">
        <v>43300101</v>
      </c>
      <c r="D9010" t="s">
        <v>67</v>
      </c>
      <c r="H9010" t="str">
        <f t="shared" si="940"/>
        <v>08862820969</v>
      </c>
      <c r="I9010" t="str">
        <f t="shared" si="940"/>
        <v>08862820969</v>
      </c>
      <c r="K9010" t="str">
        <f>""</f>
        <v/>
      </c>
      <c r="M9010" t="s">
        <v>68</v>
      </c>
      <c r="N9010" t="str">
        <f t="shared" si="939"/>
        <v>FOR</v>
      </c>
      <c r="O9010" t="s">
        <v>69</v>
      </c>
      <c r="P9010" s="3" t="s">
        <v>75</v>
      </c>
      <c r="Q9010">
        <v>2016</v>
      </c>
      <c r="R9010" s="2">
        <v>42460</v>
      </c>
      <c r="S9010" s="2">
        <v>42464</v>
      </c>
      <c r="T9010" s="2">
        <v>42460</v>
      </c>
      <c r="U9010" s="2">
        <v>42520</v>
      </c>
      <c r="V9010" t="s">
        <v>71</v>
      </c>
      <c r="W9010" t="str">
        <f>"          2016103121"</f>
        <v xml:space="preserve">          2016103121</v>
      </c>
      <c r="X9010" s="1">
        <v>1508</v>
      </c>
      <c r="Y9010">
        <v>0</v>
      </c>
      <c r="Z9010" s="5">
        <v>1450</v>
      </c>
      <c r="AA9010">
        <v>198</v>
      </c>
      <c r="AB9010" s="5">
        <v>287100</v>
      </c>
      <c r="AC9010" s="1">
        <v>1450</v>
      </c>
      <c r="AD9010">
        <v>198</v>
      </c>
      <c r="AE9010" s="1">
        <v>287100</v>
      </c>
      <c r="AF9010">
        <v>58</v>
      </c>
      <c r="AJ9010">
        <v>0</v>
      </c>
      <c r="AK9010">
        <v>0</v>
      </c>
      <c r="AL9010">
        <v>0</v>
      </c>
      <c r="AM9010" s="1">
        <v>1508</v>
      </c>
      <c r="AN9010" s="1">
        <v>1508</v>
      </c>
      <c r="AO9010" s="1">
        <v>1508</v>
      </c>
      <c r="AP9010" s="2">
        <v>42746</v>
      </c>
      <c r="AQ9010" t="s">
        <v>72</v>
      </c>
      <c r="AR9010" t="s">
        <v>72</v>
      </c>
      <c r="AS9010">
        <v>3476</v>
      </c>
      <c r="AT9010" s="4">
        <v>42718</v>
      </c>
      <c r="AU9010" t="s">
        <v>73</v>
      </c>
      <c r="AV9010">
        <v>3476</v>
      </c>
      <c r="AW9010" s="4">
        <v>42718</v>
      </c>
      <c r="BD9010">
        <v>58</v>
      </c>
      <c r="BN9010" t="s">
        <v>74</v>
      </c>
    </row>
    <row r="9011" spans="1:66">
      <c r="A9011">
        <v>106535</v>
      </c>
      <c r="B9011" s="3" t="s">
        <v>599</v>
      </c>
      <c r="C9011" s="1">
        <v>43300101</v>
      </c>
      <c r="D9011" t="s">
        <v>67</v>
      </c>
      <c r="H9011" t="str">
        <f t="shared" si="940"/>
        <v>08862820969</v>
      </c>
      <c r="I9011" t="str">
        <f t="shared" si="940"/>
        <v>08862820969</v>
      </c>
      <c r="K9011" t="str">
        <f>""</f>
        <v/>
      </c>
      <c r="M9011" t="s">
        <v>68</v>
      </c>
      <c r="N9011" t="str">
        <f t="shared" si="939"/>
        <v>FOR</v>
      </c>
      <c r="O9011" t="s">
        <v>69</v>
      </c>
      <c r="P9011" s="3" t="s">
        <v>75</v>
      </c>
      <c r="Q9011">
        <v>2016</v>
      </c>
      <c r="R9011" s="2">
        <v>42460</v>
      </c>
      <c r="S9011" s="2">
        <v>42464</v>
      </c>
      <c r="T9011" s="2">
        <v>42460</v>
      </c>
      <c r="U9011" s="2">
        <v>42520</v>
      </c>
      <c r="V9011" t="s">
        <v>71</v>
      </c>
      <c r="W9011" t="str">
        <f>"          2016103122"</f>
        <v xml:space="preserve">          2016103122</v>
      </c>
      <c r="X9011" s="1">
        <v>1508</v>
      </c>
      <c r="Y9011">
        <v>0</v>
      </c>
      <c r="Z9011" s="5">
        <v>1450</v>
      </c>
      <c r="AA9011">
        <v>198</v>
      </c>
      <c r="AB9011" s="5">
        <v>287100</v>
      </c>
      <c r="AC9011" s="1">
        <v>1450</v>
      </c>
      <c r="AD9011">
        <v>198</v>
      </c>
      <c r="AE9011" s="1">
        <v>287100</v>
      </c>
      <c r="AF9011">
        <v>58</v>
      </c>
      <c r="AJ9011">
        <v>0</v>
      </c>
      <c r="AK9011">
        <v>0</v>
      </c>
      <c r="AL9011">
        <v>0</v>
      </c>
      <c r="AM9011" s="1">
        <v>1508</v>
      </c>
      <c r="AN9011" s="1">
        <v>1508</v>
      </c>
      <c r="AO9011" s="1">
        <v>1508</v>
      </c>
      <c r="AP9011" s="2">
        <v>42746</v>
      </c>
      <c r="AQ9011" t="s">
        <v>72</v>
      </c>
      <c r="AR9011" t="s">
        <v>72</v>
      </c>
      <c r="AS9011">
        <v>3476</v>
      </c>
      <c r="AT9011" s="4">
        <v>42718</v>
      </c>
      <c r="AU9011" t="s">
        <v>73</v>
      </c>
      <c r="AV9011">
        <v>3476</v>
      </c>
      <c r="AW9011" s="4">
        <v>42718</v>
      </c>
      <c r="BD9011">
        <v>58</v>
      </c>
      <c r="BN9011" t="s">
        <v>74</v>
      </c>
    </row>
    <row r="9012" spans="1:66">
      <c r="A9012">
        <v>106535</v>
      </c>
      <c r="B9012" s="3" t="s">
        <v>599</v>
      </c>
      <c r="C9012" s="1">
        <v>43300101</v>
      </c>
      <c r="D9012" t="s">
        <v>67</v>
      </c>
      <c r="H9012" t="str">
        <f t="shared" si="940"/>
        <v>08862820969</v>
      </c>
      <c r="I9012" t="str">
        <f t="shared" si="940"/>
        <v>08862820969</v>
      </c>
      <c r="K9012" t="str">
        <f>""</f>
        <v/>
      </c>
      <c r="M9012" t="s">
        <v>68</v>
      </c>
      <c r="N9012" t="str">
        <f t="shared" si="939"/>
        <v>FOR</v>
      </c>
      <c r="O9012" t="s">
        <v>69</v>
      </c>
      <c r="P9012" s="3" t="s">
        <v>75</v>
      </c>
      <c r="Q9012">
        <v>2016</v>
      </c>
      <c r="R9012" s="2">
        <v>42460</v>
      </c>
      <c r="S9012" s="2">
        <v>42464</v>
      </c>
      <c r="T9012" s="2">
        <v>42460</v>
      </c>
      <c r="U9012" s="2">
        <v>42520</v>
      </c>
      <c r="V9012" t="s">
        <v>71</v>
      </c>
      <c r="W9012" t="str">
        <f>"          2016103123"</f>
        <v xml:space="preserve">          2016103123</v>
      </c>
      <c r="X9012" s="1">
        <v>1508</v>
      </c>
      <c r="Y9012">
        <v>0</v>
      </c>
      <c r="Z9012" s="5">
        <v>1450</v>
      </c>
      <c r="AA9012">
        <v>198</v>
      </c>
      <c r="AB9012" s="5">
        <v>287100</v>
      </c>
      <c r="AC9012" s="1">
        <v>1450</v>
      </c>
      <c r="AD9012">
        <v>198</v>
      </c>
      <c r="AE9012" s="1">
        <v>287100</v>
      </c>
      <c r="AF9012">
        <v>58</v>
      </c>
      <c r="AJ9012">
        <v>0</v>
      </c>
      <c r="AK9012">
        <v>0</v>
      </c>
      <c r="AL9012">
        <v>0</v>
      </c>
      <c r="AM9012" s="1">
        <v>1508</v>
      </c>
      <c r="AN9012" s="1">
        <v>1508</v>
      </c>
      <c r="AO9012" s="1">
        <v>1508</v>
      </c>
      <c r="AP9012" s="2">
        <v>42746</v>
      </c>
      <c r="AQ9012" t="s">
        <v>72</v>
      </c>
      <c r="AR9012" t="s">
        <v>72</v>
      </c>
      <c r="AS9012">
        <v>3476</v>
      </c>
      <c r="AT9012" s="4">
        <v>42718</v>
      </c>
      <c r="AU9012" t="s">
        <v>73</v>
      </c>
      <c r="AV9012">
        <v>3476</v>
      </c>
      <c r="AW9012" s="4">
        <v>42718</v>
      </c>
      <c r="BD9012">
        <v>58</v>
      </c>
      <c r="BN9012" t="s">
        <v>74</v>
      </c>
    </row>
    <row r="9013" spans="1:66">
      <c r="A9013">
        <v>106535</v>
      </c>
      <c r="B9013" s="3" t="s">
        <v>599</v>
      </c>
      <c r="C9013" s="1">
        <v>43300101</v>
      </c>
      <c r="D9013" t="s">
        <v>67</v>
      </c>
      <c r="H9013" t="str">
        <f t="shared" si="940"/>
        <v>08862820969</v>
      </c>
      <c r="I9013" t="str">
        <f t="shared" si="940"/>
        <v>08862820969</v>
      </c>
      <c r="K9013" t="str">
        <f>""</f>
        <v/>
      </c>
      <c r="M9013" t="s">
        <v>68</v>
      </c>
      <c r="N9013" t="str">
        <f t="shared" si="939"/>
        <v>FOR</v>
      </c>
      <c r="O9013" t="s">
        <v>69</v>
      </c>
      <c r="P9013" s="3" t="s">
        <v>75</v>
      </c>
      <c r="Q9013">
        <v>2016</v>
      </c>
      <c r="R9013" s="2">
        <v>42460</v>
      </c>
      <c r="S9013" s="2">
        <v>42464</v>
      </c>
      <c r="T9013" s="2">
        <v>42460</v>
      </c>
      <c r="U9013" s="2">
        <v>42520</v>
      </c>
      <c r="V9013" t="s">
        <v>71</v>
      </c>
      <c r="W9013" t="str">
        <f>"          2016103124"</f>
        <v xml:space="preserve">          2016103124</v>
      </c>
      <c r="X9013" s="1">
        <v>1508</v>
      </c>
      <c r="Y9013">
        <v>0</v>
      </c>
      <c r="Z9013" s="5">
        <v>1450</v>
      </c>
      <c r="AA9013">
        <v>198</v>
      </c>
      <c r="AB9013" s="5">
        <v>287100</v>
      </c>
      <c r="AC9013" s="1">
        <v>1450</v>
      </c>
      <c r="AD9013">
        <v>198</v>
      </c>
      <c r="AE9013" s="1">
        <v>287100</v>
      </c>
      <c r="AF9013">
        <v>58</v>
      </c>
      <c r="AJ9013">
        <v>0</v>
      </c>
      <c r="AK9013">
        <v>0</v>
      </c>
      <c r="AL9013">
        <v>0</v>
      </c>
      <c r="AM9013" s="1">
        <v>1508</v>
      </c>
      <c r="AN9013" s="1">
        <v>1508</v>
      </c>
      <c r="AO9013" s="1">
        <v>1508</v>
      </c>
      <c r="AP9013" s="2">
        <v>42746</v>
      </c>
      <c r="AQ9013" t="s">
        <v>72</v>
      </c>
      <c r="AR9013" t="s">
        <v>72</v>
      </c>
      <c r="AS9013">
        <v>3476</v>
      </c>
      <c r="AT9013" s="4">
        <v>42718</v>
      </c>
      <c r="AU9013" t="s">
        <v>73</v>
      </c>
      <c r="AV9013">
        <v>3476</v>
      </c>
      <c r="AW9013" s="4">
        <v>42718</v>
      </c>
      <c r="BD9013">
        <v>58</v>
      </c>
      <c r="BN9013" t="s">
        <v>74</v>
      </c>
    </row>
    <row r="9014" spans="1:66">
      <c r="A9014">
        <v>106535</v>
      </c>
      <c r="B9014" s="3" t="s">
        <v>599</v>
      </c>
      <c r="C9014" s="1">
        <v>43300101</v>
      </c>
      <c r="D9014" t="s">
        <v>67</v>
      </c>
      <c r="H9014" t="str">
        <f t="shared" si="940"/>
        <v>08862820969</v>
      </c>
      <c r="I9014" t="str">
        <f t="shared" si="940"/>
        <v>08862820969</v>
      </c>
      <c r="K9014" t="str">
        <f>""</f>
        <v/>
      </c>
      <c r="M9014" t="s">
        <v>68</v>
      </c>
      <c r="N9014" t="str">
        <f t="shared" si="939"/>
        <v>FOR</v>
      </c>
      <c r="O9014" t="s">
        <v>69</v>
      </c>
      <c r="P9014" s="3" t="s">
        <v>75</v>
      </c>
      <c r="Q9014">
        <v>2016</v>
      </c>
      <c r="R9014" s="2">
        <v>42486</v>
      </c>
      <c r="S9014" s="2">
        <v>42487</v>
      </c>
      <c r="T9014" s="2">
        <v>42486</v>
      </c>
      <c r="U9014" s="2">
        <v>42546</v>
      </c>
      <c r="V9014" t="s">
        <v>71</v>
      </c>
      <c r="W9014" t="str">
        <f>"          2016103923"</f>
        <v xml:space="preserve">          2016103923</v>
      </c>
      <c r="X9014" s="1">
        <v>1508</v>
      </c>
      <c r="Y9014">
        <v>0</v>
      </c>
      <c r="Z9014" s="5">
        <v>1450</v>
      </c>
      <c r="AA9014">
        <v>178</v>
      </c>
      <c r="AB9014" s="5">
        <v>258100</v>
      </c>
      <c r="AC9014" s="1">
        <v>1450</v>
      </c>
      <c r="AD9014">
        <v>178</v>
      </c>
      <c r="AE9014" s="1">
        <v>258100</v>
      </c>
      <c r="AF9014">
        <v>58</v>
      </c>
      <c r="AJ9014">
        <v>0</v>
      </c>
      <c r="AK9014">
        <v>0</v>
      </c>
      <c r="AL9014">
        <v>0</v>
      </c>
      <c r="AM9014" s="1">
        <v>1508</v>
      </c>
      <c r="AN9014" s="1">
        <v>1508</v>
      </c>
      <c r="AO9014" s="1">
        <v>1508</v>
      </c>
      <c r="AP9014" s="2">
        <v>42746</v>
      </c>
      <c r="AQ9014" t="s">
        <v>72</v>
      </c>
      <c r="AR9014" t="s">
        <v>72</v>
      </c>
      <c r="AS9014">
        <v>3636</v>
      </c>
      <c r="AT9014" s="4">
        <v>42724</v>
      </c>
      <c r="AU9014" t="s">
        <v>73</v>
      </c>
      <c r="AV9014">
        <v>3636</v>
      </c>
      <c r="AW9014" s="4">
        <v>42724</v>
      </c>
      <c r="BD9014">
        <v>58</v>
      </c>
      <c r="BN9014" t="s">
        <v>74</v>
      </c>
    </row>
    <row r="9015" spans="1:66">
      <c r="A9015">
        <v>106535</v>
      </c>
      <c r="B9015" s="3" t="s">
        <v>599</v>
      </c>
      <c r="C9015" s="1">
        <v>43300101</v>
      </c>
      <c r="D9015" t="s">
        <v>67</v>
      </c>
      <c r="H9015" t="str">
        <f t="shared" si="940"/>
        <v>08862820969</v>
      </c>
      <c r="I9015" t="str">
        <f t="shared" si="940"/>
        <v>08862820969</v>
      </c>
      <c r="K9015" t="str">
        <f>""</f>
        <v/>
      </c>
      <c r="M9015" t="s">
        <v>68</v>
      </c>
      <c r="N9015" t="str">
        <f t="shared" si="939"/>
        <v>FOR</v>
      </c>
      <c r="O9015" t="s">
        <v>69</v>
      </c>
      <c r="P9015" s="3" t="s">
        <v>75</v>
      </c>
      <c r="Q9015">
        <v>2016</v>
      </c>
      <c r="R9015" s="2">
        <v>42486</v>
      </c>
      <c r="S9015" s="2">
        <v>42487</v>
      </c>
      <c r="T9015" s="2">
        <v>42486</v>
      </c>
      <c r="U9015" s="2">
        <v>42546</v>
      </c>
      <c r="V9015" t="s">
        <v>71</v>
      </c>
      <c r="W9015" t="str">
        <f>"          2016103924"</f>
        <v xml:space="preserve">          2016103924</v>
      </c>
      <c r="X9015" s="1">
        <v>1508</v>
      </c>
      <c r="Y9015">
        <v>0</v>
      </c>
      <c r="Z9015" s="5">
        <v>1450</v>
      </c>
      <c r="AA9015">
        <v>178</v>
      </c>
      <c r="AB9015" s="5">
        <v>258100</v>
      </c>
      <c r="AC9015" s="1">
        <v>1450</v>
      </c>
      <c r="AD9015">
        <v>178</v>
      </c>
      <c r="AE9015" s="1">
        <v>258100</v>
      </c>
      <c r="AF9015">
        <v>58</v>
      </c>
      <c r="AJ9015">
        <v>0</v>
      </c>
      <c r="AK9015">
        <v>0</v>
      </c>
      <c r="AL9015">
        <v>0</v>
      </c>
      <c r="AM9015" s="1">
        <v>1508</v>
      </c>
      <c r="AN9015" s="1">
        <v>1508</v>
      </c>
      <c r="AO9015" s="1">
        <v>1508</v>
      </c>
      <c r="AP9015" s="2">
        <v>42746</v>
      </c>
      <c r="AQ9015" t="s">
        <v>72</v>
      </c>
      <c r="AR9015" t="s">
        <v>72</v>
      </c>
      <c r="AS9015">
        <v>3636</v>
      </c>
      <c r="AT9015" s="4">
        <v>42724</v>
      </c>
      <c r="AU9015" t="s">
        <v>73</v>
      </c>
      <c r="AV9015">
        <v>3636</v>
      </c>
      <c r="AW9015" s="4">
        <v>42724</v>
      </c>
      <c r="BD9015">
        <v>58</v>
      </c>
      <c r="BN9015" t="s">
        <v>74</v>
      </c>
    </row>
    <row r="9016" spans="1:66">
      <c r="A9016">
        <v>106535</v>
      </c>
      <c r="B9016" s="3" t="s">
        <v>599</v>
      </c>
      <c r="C9016" s="1">
        <v>43300101</v>
      </c>
      <c r="D9016" t="s">
        <v>67</v>
      </c>
      <c r="H9016" t="str">
        <f t="shared" ref="H9016:I9030" si="941">"08862820969"</f>
        <v>08862820969</v>
      </c>
      <c r="I9016" t="str">
        <f t="shared" si="941"/>
        <v>08862820969</v>
      </c>
      <c r="K9016" t="str">
        <f>""</f>
        <v/>
      </c>
      <c r="M9016" t="s">
        <v>68</v>
      </c>
      <c r="N9016" t="str">
        <f t="shared" si="939"/>
        <v>FOR</v>
      </c>
      <c r="O9016" t="s">
        <v>69</v>
      </c>
      <c r="P9016" s="3" t="s">
        <v>75</v>
      </c>
      <c r="Q9016">
        <v>2016</v>
      </c>
      <c r="R9016" s="2">
        <v>42486</v>
      </c>
      <c r="S9016" s="2">
        <v>42487</v>
      </c>
      <c r="T9016" s="2">
        <v>42486</v>
      </c>
      <c r="U9016" s="2">
        <v>42546</v>
      </c>
      <c r="V9016" t="s">
        <v>71</v>
      </c>
      <c r="W9016" t="str">
        <f>"          2016103925"</f>
        <v xml:space="preserve">          2016103925</v>
      </c>
      <c r="X9016" s="1">
        <v>1508</v>
      </c>
      <c r="Y9016">
        <v>0</v>
      </c>
      <c r="Z9016" s="5">
        <v>1450</v>
      </c>
      <c r="AA9016">
        <v>178</v>
      </c>
      <c r="AB9016" s="5">
        <v>258100</v>
      </c>
      <c r="AC9016" s="1">
        <v>1450</v>
      </c>
      <c r="AD9016">
        <v>178</v>
      </c>
      <c r="AE9016" s="1">
        <v>258100</v>
      </c>
      <c r="AF9016">
        <v>58</v>
      </c>
      <c r="AJ9016">
        <v>0</v>
      </c>
      <c r="AK9016">
        <v>0</v>
      </c>
      <c r="AL9016">
        <v>0</v>
      </c>
      <c r="AM9016" s="1">
        <v>1508</v>
      </c>
      <c r="AN9016" s="1">
        <v>1508</v>
      </c>
      <c r="AO9016" s="1">
        <v>1508</v>
      </c>
      <c r="AP9016" s="2">
        <v>42746</v>
      </c>
      <c r="AQ9016" t="s">
        <v>72</v>
      </c>
      <c r="AR9016" t="s">
        <v>72</v>
      </c>
      <c r="AS9016">
        <v>3636</v>
      </c>
      <c r="AT9016" s="4">
        <v>42724</v>
      </c>
      <c r="AU9016" t="s">
        <v>73</v>
      </c>
      <c r="AV9016">
        <v>3636</v>
      </c>
      <c r="AW9016" s="4">
        <v>42724</v>
      </c>
      <c r="BD9016">
        <v>58</v>
      </c>
      <c r="BN9016" t="s">
        <v>74</v>
      </c>
    </row>
    <row r="9017" spans="1:66">
      <c r="A9017">
        <v>106535</v>
      </c>
      <c r="B9017" s="3" t="s">
        <v>599</v>
      </c>
      <c r="C9017" s="1">
        <v>43300101</v>
      </c>
      <c r="D9017" t="s">
        <v>67</v>
      </c>
      <c r="H9017" t="str">
        <f t="shared" si="941"/>
        <v>08862820969</v>
      </c>
      <c r="I9017" t="str">
        <f t="shared" si="941"/>
        <v>08862820969</v>
      </c>
      <c r="K9017" t="str">
        <f>""</f>
        <v/>
      </c>
      <c r="M9017" t="s">
        <v>68</v>
      </c>
      <c r="N9017" t="str">
        <f t="shared" si="939"/>
        <v>FOR</v>
      </c>
      <c r="O9017" t="s">
        <v>69</v>
      </c>
      <c r="P9017" s="3" t="s">
        <v>75</v>
      </c>
      <c r="Q9017">
        <v>2016</v>
      </c>
      <c r="R9017" s="2">
        <v>42486</v>
      </c>
      <c r="S9017" s="2">
        <v>42487</v>
      </c>
      <c r="T9017" s="2">
        <v>42486</v>
      </c>
      <c r="U9017" s="2">
        <v>42546</v>
      </c>
      <c r="V9017" t="s">
        <v>71</v>
      </c>
      <c r="W9017" t="str">
        <f>"          2016103926"</f>
        <v xml:space="preserve">          2016103926</v>
      </c>
      <c r="X9017" s="1">
        <v>1508</v>
      </c>
      <c r="Y9017">
        <v>0</v>
      </c>
      <c r="Z9017" s="5">
        <v>1450</v>
      </c>
      <c r="AA9017">
        <v>178</v>
      </c>
      <c r="AB9017" s="5">
        <v>258100</v>
      </c>
      <c r="AC9017" s="1">
        <v>1450</v>
      </c>
      <c r="AD9017">
        <v>178</v>
      </c>
      <c r="AE9017" s="1">
        <v>258100</v>
      </c>
      <c r="AF9017">
        <v>58</v>
      </c>
      <c r="AJ9017">
        <v>0</v>
      </c>
      <c r="AK9017">
        <v>0</v>
      </c>
      <c r="AL9017">
        <v>0</v>
      </c>
      <c r="AM9017" s="1">
        <v>1508</v>
      </c>
      <c r="AN9017" s="1">
        <v>1508</v>
      </c>
      <c r="AO9017" s="1">
        <v>1508</v>
      </c>
      <c r="AP9017" s="2">
        <v>42746</v>
      </c>
      <c r="AQ9017" t="s">
        <v>72</v>
      </c>
      <c r="AR9017" t="s">
        <v>72</v>
      </c>
      <c r="AS9017">
        <v>3636</v>
      </c>
      <c r="AT9017" s="4">
        <v>42724</v>
      </c>
      <c r="AU9017" t="s">
        <v>73</v>
      </c>
      <c r="AV9017">
        <v>3636</v>
      </c>
      <c r="AW9017" s="4">
        <v>42724</v>
      </c>
      <c r="BD9017">
        <v>58</v>
      </c>
      <c r="BN9017" t="s">
        <v>74</v>
      </c>
    </row>
    <row r="9018" spans="1:66">
      <c r="A9018">
        <v>106535</v>
      </c>
      <c r="B9018" s="3" t="s">
        <v>599</v>
      </c>
      <c r="C9018" s="1">
        <v>43300101</v>
      </c>
      <c r="D9018" t="s">
        <v>67</v>
      </c>
      <c r="H9018" t="str">
        <f t="shared" si="941"/>
        <v>08862820969</v>
      </c>
      <c r="I9018" t="str">
        <f t="shared" si="941"/>
        <v>08862820969</v>
      </c>
      <c r="K9018" t="str">
        <f>""</f>
        <v/>
      </c>
      <c r="M9018" t="s">
        <v>68</v>
      </c>
      <c r="N9018" t="str">
        <f t="shared" si="939"/>
        <v>FOR</v>
      </c>
      <c r="O9018" t="s">
        <v>69</v>
      </c>
      <c r="P9018" s="3" t="s">
        <v>75</v>
      </c>
      <c r="Q9018">
        <v>2016</v>
      </c>
      <c r="R9018" s="2">
        <v>42486</v>
      </c>
      <c r="S9018" s="2">
        <v>42487</v>
      </c>
      <c r="T9018" s="2">
        <v>42486</v>
      </c>
      <c r="U9018" s="2">
        <v>42546</v>
      </c>
      <c r="V9018" t="s">
        <v>71</v>
      </c>
      <c r="W9018" t="str">
        <f>"          2016103927"</f>
        <v xml:space="preserve">          2016103927</v>
      </c>
      <c r="X9018" s="1">
        <v>1508</v>
      </c>
      <c r="Y9018">
        <v>0</v>
      </c>
      <c r="Z9018" s="5">
        <v>1450</v>
      </c>
      <c r="AA9018">
        <v>178</v>
      </c>
      <c r="AB9018" s="5">
        <v>258100</v>
      </c>
      <c r="AC9018" s="1">
        <v>1450</v>
      </c>
      <c r="AD9018">
        <v>178</v>
      </c>
      <c r="AE9018" s="1">
        <v>258100</v>
      </c>
      <c r="AF9018">
        <v>58</v>
      </c>
      <c r="AJ9018">
        <v>0</v>
      </c>
      <c r="AK9018">
        <v>0</v>
      </c>
      <c r="AL9018">
        <v>0</v>
      </c>
      <c r="AM9018" s="1">
        <v>1508</v>
      </c>
      <c r="AN9018" s="1">
        <v>1508</v>
      </c>
      <c r="AO9018" s="1">
        <v>1508</v>
      </c>
      <c r="AP9018" s="2">
        <v>42746</v>
      </c>
      <c r="AQ9018" t="s">
        <v>72</v>
      </c>
      <c r="AR9018" t="s">
        <v>72</v>
      </c>
      <c r="AS9018">
        <v>3636</v>
      </c>
      <c r="AT9018" s="4">
        <v>42724</v>
      </c>
      <c r="AU9018" t="s">
        <v>73</v>
      </c>
      <c r="AV9018">
        <v>3636</v>
      </c>
      <c r="AW9018" s="4">
        <v>42724</v>
      </c>
      <c r="BD9018">
        <v>58</v>
      </c>
      <c r="BN9018" t="s">
        <v>74</v>
      </c>
    </row>
    <row r="9019" spans="1:66">
      <c r="A9019">
        <v>106535</v>
      </c>
      <c r="B9019" s="3" t="s">
        <v>599</v>
      </c>
      <c r="C9019" s="1">
        <v>43300101</v>
      </c>
      <c r="D9019" t="s">
        <v>67</v>
      </c>
      <c r="H9019" t="str">
        <f t="shared" si="941"/>
        <v>08862820969</v>
      </c>
      <c r="I9019" t="str">
        <f t="shared" si="941"/>
        <v>08862820969</v>
      </c>
      <c r="K9019" t="str">
        <f>""</f>
        <v/>
      </c>
      <c r="M9019" t="s">
        <v>68</v>
      </c>
      <c r="N9019" t="str">
        <f t="shared" si="939"/>
        <v>FOR</v>
      </c>
      <c r="O9019" t="s">
        <v>69</v>
      </c>
      <c r="P9019" s="3" t="s">
        <v>75</v>
      </c>
      <c r="Q9019">
        <v>2016</v>
      </c>
      <c r="R9019" s="2">
        <v>42486</v>
      </c>
      <c r="S9019" s="2">
        <v>42487</v>
      </c>
      <c r="T9019" s="2">
        <v>42486</v>
      </c>
      <c r="U9019" s="2">
        <v>42546</v>
      </c>
      <c r="V9019" t="s">
        <v>71</v>
      </c>
      <c r="W9019" t="str">
        <f>"          2016103928"</f>
        <v xml:space="preserve">          2016103928</v>
      </c>
      <c r="X9019" s="1">
        <v>1508</v>
      </c>
      <c r="Y9019">
        <v>0</v>
      </c>
      <c r="Z9019" s="5">
        <v>1450</v>
      </c>
      <c r="AA9019">
        <v>178</v>
      </c>
      <c r="AB9019" s="5">
        <v>258100</v>
      </c>
      <c r="AC9019" s="1">
        <v>1450</v>
      </c>
      <c r="AD9019">
        <v>178</v>
      </c>
      <c r="AE9019" s="1">
        <v>258100</v>
      </c>
      <c r="AF9019">
        <v>58</v>
      </c>
      <c r="AJ9019">
        <v>0</v>
      </c>
      <c r="AK9019">
        <v>0</v>
      </c>
      <c r="AL9019">
        <v>0</v>
      </c>
      <c r="AM9019" s="1">
        <v>1508</v>
      </c>
      <c r="AN9019" s="1">
        <v>1508</v>
      </c>
      <c r="AO9019" s="1">
        <v>1508</v>
      </c>
      <c r="AP9019" s="2">
        <v>42746</v>
      </c>
      <c r="AQ9019" t="s">
        <v>72</v>
      </c>
      <c r="AR9019" t="s">
        <v>72</v>
      </c>
      <c r="AS9019">
        <v>3636</v>
      </c>
      <c r="AT9019" s="4">
        <v>42724</v>
      </c>
      <c r="AU9019" t="s">
        <v>73</v>
      </c>
      <c r="AV9019">
        <v>3636</v>
      </c>
      <c r="AW9019" s="4">
        <v>42724</v>
      </c>
      <c r="BD9019">
        <v>58</v>
      </c>
      <c r="BN9019" t="s">
        <v>74</v>
      </c>
    </row>
    <row r="9020" spans="1:66">
      <c r="A9020">
        <v>106535</v>
      </c>
      <c r="B9020" s="3" t="s">
        <v>599</v>
      </c>
      <c r="C9020" s="1">
        <v>43300101</v>
      </c>
      <c r="D9020" t="s">
        <v>67</v>
      </c>
      <c r="H9020" t="str">
        <f t="shared" si="941"/>
        <v>08862820969</v>
      </c>
      <c r="I9020" t="str">
        <f t="shared" si="941"/>
        <v>08862820969</v>
      </c>
      <c r="K9020" t="str">
        <f>""</f>
        <v/>
      </c>
      <c r="M9020" t="s">
        <v>68</v>
      </c>
      <c r="N9020" t="str">
        <f t="shared" ref="N9020:N9031" si="942">"FOR"</f>
        <v>FOR</v>
      </c>
      <c r="O9020" t="s">
        <v>69</v>
      </c>
      <c r="P9020" s="3" t="s">
        <v>75</v>
      </c>
      <c r="Q9020">
        <v>2016</v>
      </c>
      <c r="R9020" s="2">
        <v>42486</v>
      </c>
      <c r="S9020" s="2">
        <v>42487</v>
      </c>
      <c r="T9020" s="2">
        <v>42486</v>
      </c>
      <c r="U9020" s="2">
        <v>42546</v>
      </c>
      <c r="V9020" t="s">
        <v>71</v>
      </c>
      <c r="W9020" t="str">
        <f>"          2016103929"</f>
        <v xml:space="preserve">          2016103929</v>
      </c>
      <c r="X9020" s="1">
        <v>1508</v>
      </c>
      <c r="Y9020">
        <v>0</v>
      </c>
      <c r="Z9020" s="5">
        <v>1450</v>
      </c>
      <c r="AA9020">
        <v>178</v>
      </c>
      <c r="AB9020" s="5">
        <v>258100</v>
      </c>
      <c r="AC9020" s="1">
        <v>1450</v>
      </c>
      <c r="AD9020">
        <v>178</v>
      </c>
      <c r="AE9020" s="1">
        <v>258100</v>
      </c>
      <c r="AF9020">
        <v>58</v>
      </c>
      <c r="AJ9020">
        <v>0</v>
      </c>
      <c r="AK9020">
        <v>0</v>
      </c>
      <c r="AL9020">
        <v>0</v>
      </c>
      <c r="AM9020" s="1">
        <v>1508</v>
      </c>
      <c r="AN9020" s="1">
        <v>1508</v>
      </c>
      <c r="AO9020" s="1">
        <v>1508</v>
      </c>
      <c r="AP9020" s="2">
        <v>42746</v>
      </c>
      <c r="AQ9020" t="s">
        <v>72</v>
      </c>
      <c r="AR9020" t="s">
        <v>72</v>
      </c>
      <c r="AS9020">
        <v>3636</v>
      </c>
      <c r="AT9020" s="4">
        <v>42724</v>
      </c>
      <c r="AU9020" t="s">
        <v>73</v>
      </c>
      <c r="AV9020">
        <v>3636</v>
      </c>
      <c r="AW9020" s="4">
        <v>42724</v>
      </c>
      <c r="BD9020">
        <v>58</v>
      </c>
      <c r="BN9020" t="s">
        <v>74</v>
      </c>
    </row>
    <row r="9021" spans="1:66">
      <c r="A9021">
        <v>106535</v>
      </c>
      <c r="B9021" s="3" t="s">
        <v>599</v>
      </c>
      <c r="C9021" s="1">
        <v>43300101</v>
      </c>
      <c r="D9021" t="s">
        <v>67</v>
      </c>
      <c r="H9021" t="str">
        <f t="shared" si="941"/>
        <v>08862820969</v>
      </c>
      <c r="I9021" t="str">
        <f t="shared" si="941"/>
        <v>08862820969</v>
      </c>
      <c r="K9021" t="str">
        <f>""</f>
        <v/>
      </c>
      <c r="M9021" t="s">
        <v>68</v>
      </c>
      <c r="N9021" t="str">
        <f t="shared" si="942"/>
        <v>FOR</v>
      </c>
      <c r="O9021" t="s">
        <v>69</v>
      </c>
      <c r="P9021" s="3" t="s">
        <v>75</v>
      </c>
      <c r="Q9021">
        <v>2016</v>
      </c>
      <c r="R9021" s="2">
        <v>42486</v>
      </c>
      <c r="S9021" s="2">
        <v>42487</v>
      </c>
      <c r="T9021" s="2">
        <v>42486</v>
      </c>
      <c r="U9021" s="2">
        <v>42546</v>
      </c>
      <c r="V9021" t="s">
        <v>71</v>
      </c>
      <c r="W9021" t="str">
        <f>"          2016103930"</f>
        <v xml:space="preserve">          2016103930</v>
      </c>
      <c r="X9021" s="1">
        <v>1508</v>
      </c>
      <c r="Y9021">
        <v>0</v>
      </c>
      <c r="Z9021" s="5">
        <v>1450</v>
      </c>
      <c r="AA9021">
        <v>178</v>
      </c>
      <c r="AB9021" s="5">
        <v>258100</v>
      </c>
      <c r="AC9021" s="1">
        <v>1450</v>
      </c>
      <c r="AD9021">
        <v>178</v>
      </c>
      <c r="AE9021" s="1">
        <v>258100</v>
      </c>
      <c r="AF9021">
        <v>58</v>
      </c>
      <c r="AJ9021">
        <v>0</v>
      </c>
      <c r="AK9021">
        <v>0</v>
      </c>
      <c r="AL9021">
        <v>0</v>
      </c>
      <c r="AM9021" s="1">
        <v>1508</v>
      </c>
      <c r="AN9021" s="1">
        <v>1508</v>
      </c>
      <c r="AO9021" s="1">
        <v>1508</v>
      </c>
      <c r="AP9021" s="2">
        <v>42746</v>
      </c>
      <c r="AQ9021" t="s">
        <v>72</v>
      </c>
      <c r="AR9021" t="s">
        <v>72</v>
      </c>
      <c r="AS9021">
        <v>3636</v>
      </c>
      <c r="AT9021" s="4">
        <v>42724</v>
      </c>
      <c r="AU9021" t="s">
        <v>73</v>
      </c>
      <c r="AV9021">
        <v>3636</v>
      </c>
      <c r="AW9021" s="4">
        <v>42724</v>
      </c>
      <c r="BD9021">
        <v>58</v>
      </c>
      <c r="BN9021" t="s">
        <v>74</v>
      </c>
    </row>
    <row r="9022" spans="1:66">
      <c r="A9022">
        <v>106535</v>
      </c>
      <c r="B9022" s="3" t="s">
        <v>599</v>
      </c>
      <c r="C9022" s="1">
        <v>43300101</v>
      </c>
      <c r="D9022" t="s">
        <v>67</v>
      </c>
      <c r="H9022" t="str">
        <f t="shared" si="941"/>
        <v>08862820969</v>
      </c>
      <c r="I9022" t="str">
        <f t="shared" si="941"/>
        <v>08862820969</v>
      </c>
      <c r="K9022" t="str">
        <f>""</f>
        <v/>
      </c>
      <c r="M9022" t="s">
        <v>68</v>
      </c>
      <c r="N9022" t="str">
        <f t="shared" si="942"/>
        <v>FOR</v>
      </c>
      <c r="O9022" t="s">
        <v>69</v>
      </c>
      <c r="P9022" s="3" t="s">
        <v>75</v>
      </c>
      <c r="Q9022">
        <v>2016</v>
      </c>
      <c r="R9022" s="2">
        <v>42486</v>
      </c>
      <c r="S9022" s="2">
        <v>42545</v>
      </c>
      <c r="T9022" s="2">
        <v>42486</v>
      </c>
      <c r="U9022" s="2">
        <v>42546</v>
      </c>
      <c r="V9022" t="s">
        <v>71</v>
      </c>
      <c r="W9022" t="str">
        <f>"          2016103931"</f>
        <v xml:space="preserve">          2016103931</v>
      </c>
      <c r="X9022" s="1">
        <v>1508</v>
      </c>
      <c r="Y9022">
        <v>0</v>
      </c>
      <c r="Z9022" s="5">
        <v>1450</v>
      </c>
      <c r="AA9022">
        <v>178</v>
      </c>
      <c r="AB9022" s="5">
        <v>258100</v>
      </c>
      <c r="AC9022" s="1">
        <v>1450</v>
      </c>
      <c r="AD9022">
        <v>178</v>
      </c>
      <c r="AE9022" s="1">
        <v>258100</v>
      </c>
      <c r="AF9022">
        <v>58</v>
      </c>
      <c r="AJ9022">
        <v>0</v>
      </c>
      <c r="AK9022">
        <v>0</v>
      </c>
      <c r="AL9022">
        <v>0</v>
      </c>
      <c r="AM9022" s="1">
        <v>1508</v>
      </c>
      <c r="AN9022" s="1">
        <v>1508</v>
      </c>
      <c r="AO9022" s="1">
        <v>1508</v>
      </c>
      <c r="AP9022" s="2">
        <v>42746</v>
      </c>
      <c r="AQ9022" t="s">
        <v>72</v>
      </c>
      <c r="AR9022" t="s">
        <v>72</v>
      </c>
      <c r="AS9022">
        <v>3636</v>
      </c>
      <c r="AT9022" s="4">
        <v>42724</v>
      </c>
      <c r="AU9022" t="s">
        <v>73</v>
      </c>
      <c r="AV9022">
        <v>3636</v>
      </c>
      <c r="AW9022" s="4">
        <v>42724</v>
      </c>
      <c r="BD9022">
        <v>58</v>
      </c>
      <c r="BN9022" t="s">
        <v>74</v>
      </c>
    </row>
    <row r="9023" spans="1:66">
      <c r="A9023">
        <v>106535</v>
      </c>
      <c r="B9023" s="3" t="s">
        <v>599</v>
      </c>
      <c r="C9023" s="1">
        <v>43300101</v>
      </c>
      <c r="D9023" t="s">
        <v>67</v>
      </c>
      <c r="H9023" t="str">
        <f t="shared" si="941"/>
        <v>08862820969</v>
      </c>
      <c r="I9023" t="str">
        <f t="shared" si="941"/>
        <v>08862820969</v>
      </c>
      <c r="K9023" t="str">
        <f>""</f>
        <v/>
      </c>
      <c r="M9023" t="s">
        <v>68</v>
      </c>
      <c r="N9023" t="str">
        <f t="shared" si="942"/>
        <v>FOR</v>
      </c>
      <c r="O9023" t="s">
        <v>69</v>
      </c>
      <c r="P9023" s="3" t="s">
        <v>75</v>
      </c>
      <c r="Q9023">
        <v>2016</v>
      </c>
      <c r="R9023" s="2">
        <v>42486</v>
      </c>
      <c r="S9023" s="2">
        <v>42487</v>
      </c>
      <c r="T9023" s="2">
        <v>42486</v>
      </c>
      <c r="U9023" s="2">
        <v>42546</v>
      </c>
      <c r="V9023" t="s">
        <v>71</v>
      </c>
      <c r="W9023" t="str">
        <f>"          2016103932"</f>
        <v xml:space="preserve">          2016103932</v>
      </c>
      <c r="X9023" s="1">
        <v>1508</v>
      </c>
      <c r="Y9023">
        <v>0</v>
      </c>
      <c r="Z9023" s="5">
        <v>1450</v>
      </c>
      <c r="AA9023">
        <v>178</v>
      </c>
      <c r="AB9023" s="5">
        <v>258100</v>
      </c>
      <c r="AC9023" s="1">
        <v>1450</v>
      </c>
      <c r="AD9023">
        <v>178</v>
      </c>
      <c r="AE9023" s="1">
        <v>258100</v>
      </c>
      <c r="AF9023">
        <v>58</v>
      </c>
      <c r="AJ9023">
        <v>0</v>
      </c>
      <c r="AK9023">
        <v>0</v>
      </c>
      <c r="AL9023">
        <v>0</v>
      </c>
      <c r="AM9023" s="1">
        <v>1508</v>
      </c>
      <c r="AN9023" s="1">
        <v>1508</v>
      </c>
      <c r="AO9023" s="1">
        <v>1508</v>
      </c>
      <c r="AP9023" s="2">
        <v>42746</v>
      </c>
      <c r="AQ9023" t="s">
        <v>72</v>
      </c>
      <c r="AR9023" t="s">
        <v>72</v>
      </c>
      <c r="AS9023">
        <v>3636</v>
      </c>
      <c r="AT9023" s="4">
        <v>42724</v>
      </c>
      <c r="AU9023" t="s">
        <v>73</v>
      </c>
      <c r="AV9023">
        <v>3636</v>
      </c>
      <c r="AW9023" s="4">
        <v>42724</v>
      </c>
      <c r="BD9023">
        <v>58</v>
      </c>
      <c r="BN9023" t="s">
        <v>74</v>
      </c>
    </row>
    <row r="9024" spans="1:66">
      <c r="A9024">
        <v>106535</v>
      </c>
      <c r="B9024" s="3" t="s">
        <v>599</v>
      </c>
      <c r="C9024" s="1">
        <v>43300101</v>
      </c>
      <c r="D9024" t="s">
        <v>67</v>
      </c>
      <c r="H9024" t="str">
        <f t="shared" si="941"/>
        <v>08862820969</v>
      </c>
      <c r="I9024" t="str">
        <f t="shared" si="941"/>
        <v>08862820969</v>
      </c>
      <c r="K9024" t="str">
        <f>""</f>
        <v/>
      </c>
      <c r="M9024" t="s">
        <v>68</v>
      </c>
      <c r="N9024" t="str">
        <f t="shared" si="942"/>
        <v>FOR</v>
      </c>
      <c r="O9024" t="s">
        <v>69</v>
      </c>
      <c r="P9024" s="3" t="s">
        <v>75</v>
      </c>
      <c r="Q9024">
        <v>2016</v>
      </c>
      <c r="R9024" s="2">
        <v>42486</v>
      </c>
      <c r="S9024" s="2">
        <v>42487</v>
      </c>
      <c r="T9024" s="2">
        <v>42486</v>
      </c>
      <c r="U9024" s="2">
        <v>42546</v>
      </c>
      <c r="V9024" t="s">
        <v>71</v>
      </c>
      <c r="W9024" t="str">
        <f>"          2016103933"</f>
        <v xml:space="preserve">          2016103933</v>
      </c>
      <c r="X9024" s="1">
        <v>1508</v>
      </c>
      <c r="Y9024">
        <v>0</v>
      </c>
      <c r="Z9024" s="5">
        <v>1450</v>
      </c>
      <c r="AA9024">
        <v>178</v>
      </c>
      <c r="AB9024" s="5">
        <v>258100</v>
      </c>
      <c r="AC9024" s="1">
        <v>1450</v>
      </c>
      <c r="AD9024">
        <v>178</v>
      </c>
      <c r="AE9024" s="1">
        <v>258100</v>
      </c>
      <c r="AF9024">
        <v>58</v>
      </c>
      <c r="AJ9024">
        <v>0</v>
      </c>
      <c r="AK9024">
        <v>0</v>
      </c>
      <c r="AL9024">
        <v>0</v>
      </c>
      <c r="AM9024" s="1">
        <v>1508</v>
      </c>
      <c r="AN9024" s="1">
        <v>1508</v>
      </c>
      <c r="AO9024" s="1">
        <v>1508</v>
      </c>
      <c r="AP9024" s="2">
        <v>42746</v>
      </c>
      <c r="AQ9024" t="s">
        <v>72</v>
      </c>
      <c r="AR9024" t="s">
        <v>72</v>
      </c>
      <c r="AS9024">
        <v>3636</v>
      </c>
      <c r="AT9024" s="4">
        <v>42724</v>
      </c>
      <c r="AU9024" t="s">
        <v>73</v>
      </c>
      <c r="AV9024">
        <v>3636</v>
      </c>
      <c r="AW9024" s="4">
        <v>42724</v>
      </c>
      <c r="BD9024">
        <v>58</v>
      </c>
      <c r="BN9024" t="s">
        <v>74</v>
      </c>
    </row>
    <row r="9025" spans="1:66">
      <c r="A9025">
        <v>106535</v>
      </c>
      <c r="B9025" s="3" t="s">
        <v>599</v>
      </c>
      <c r="C9025" s="1">
        <v>43300101</v>
      </c>
      <c r="D9025" t="s">
        <v>67</v>
      </c>
      <c r="H9025" t="str">
        <f t="shared" si="941"/>
        <v>08862820969</v>
      </c>
      <c r="I9025" t="str">
        <f t="shared" si="941"/>
        <v>08862820969</v>
      </c>
      <c r="K9025" t="str">
        <f>""</f>
        <v/>
      </c>
      <c r="M9025" t="s">
        <v>68</v>
      </c>
      <c r="N9025" t="str">
        <f t="shared" si="942"/>
        <v>FOR</v>
      </c>
      <c r="O9025" t="s">
        <v>69</v>
      </c>
      <c r="P9025" s="3" t="s">
        <v>75</v>
      </c>
      <c r="Q9025">
        <v>2016</v>
      </c>
      <c r="R9025" s="2">
        <v>42486</v>
      </c>
      <c r="S9025" s="2">
        <v>42487</v>
      </c>
      <c r="T9025" s="2">
        <v>42486</v>
      </c>
      <c r="U9025" s="2">
        <v>42546</v>
      </c>
      <c r="V9025" t="s">
        <v>71</v>
      </c>
      <c r="W9025" t="str">
        <f>"          2016103934"</f>
        <v xml:space="preserve">          2016103934</v>
      </c>
      <c r="X9025" s="1">
        <v>1508</v>
      </c>
      <c r="Y9025">
        <v>0</v>
      </c>
      <c r="Z9025" s="5">
        <v>1450</v>
      </c>
      <c r="AA9025">
        <v>178</v>
      </c>
      <c r="AB9025" s="5">
        <v>258100</v>
      </c>
      <c r="AC9025" s="1">
        <v>1450</v>
      </c>
      <c r="AD9025">
        <v>178</v>
      </c>
      <c r="AE9025" s="1">
        <v>258100</v>
      </c>
      <c r="AF9025">
        <v>58</v>
      </c>
      <c r="AJ9025">
        <v>0</v>
      </c>
      <c r="AK9025">
        <v>0</v>
      </c>
      <c r="AL9025">
        <v>0</v>
      </c>
      <c r="AM9025" s="1">
        <v>1508</v>
      </c>
      <c r="AN9025" s="1">
        <v>1508</v>
      </c>
      <c r="AO9025" s="1">
        <v>1508</v>
      </c>
      <c r="AP9025" s="2">
        <v>42746</v>
      </c>
      <c r="AQ9025" t="s">
        <v>72</v>
      </c>
      <c r="AR9025" t="s">
        <v>72</v>
      </c>
      <c r="AS9025">
        <v>3636</v>
      </c>
      <c r="AT9025" s="4">
        <v>42724</v>
      </c>
      <c r="AU9025" t="s">
        <v>73</v>
      </c>
      <c r="AV9025">
        <v>3636</v>
      </c>
      <c r="AW9025" s="4">
        <v>42724</v>
      </c>
      <c r="BD9025">
        <v>58</v>
      </c>
      <c r="BN9025" t="s">
        <v>74</v>
      </c>
    </row>
    <row r="9026" spans="1:66">
      <c r="A9026">
        <v>106535</v>
      </c>
      <c r="B9026" s="3" t="s">
        <v>599</v>
      </c>
      <c r="C9026" s="1">
        <v>43300101</v>
      </c>
      <c r="D9026" t="s">
        <v>67</v>
      </c>
      <c r="H9026" t="str">
        <f t="shared" si="941"/>
        <v>08862820969</v>
      </c>
      <c r="I9026" t="str">
        <f t="shared" si="941"/>
        <v>08862820969</v>
      </c>
      <c r="K9026" t="str">
        <f>""</f>
        <v/>
      </c>
      <c r="M9026" t="s">
        <v>68</v>
      </c>
      <c r="N9026" t="str">
        <f t="shared" si="942"/>
        <v>FOR</v>
      </c>
      <c r="O9026" t="s">
        <v>69</v>
      </c>
      <c r="P9026" s="3" t="s">
        <v>75</v>
      </c>
      <c r="Q9026">
        <v>2016</v>
      </c>
      <c r="R9026" s="2">
        <v>42486</v>
      </c>
      <c r="S9026" s="2">
        <v>42487</v>
      </c>
      <c r="T9026" s="2">
        <v>42486</v>
      </c>
      <c r="U9026" s="2">
        <v>42546</v>
      </c>
      <c r="V9026" t="s">
        <v>71</v>
      </c>
      <c r="W9026" t="str">
        <f>"          2016103935"</f>
        <v xml:space="preserve">          2016103935</v>
      </c>
      <c r="X9026" s="1">
        <v>1508</v>
      </c>
      <c r="Y9026">
        <v>0</v>
      </c>
      <c r="Z9026" s="5">
        <v>1450</v>
      </c>
      <c r="AA9026">
        <v>178</v>
      </c>
      <c r="AB9026" s="5">
        <v>258100</v>
      </c>
      <c r="AC9026" s="1">
        <v>1450</v>
      </c>
      <c r="AD9026">
        <v>178</v>
      </c>
      <c r="AE9026" s="1">
        <v>258100</v>
      </c>
      <c r="AF9026">
        <v>58</v>
      </c>
      <c r="AJ9026">
        <v>0</v>
      </c>
      <c r="AK9026">
        <v>0</v>
      </c>
      <c r="AL9026">
        <v>0</v>
      </c>
      <c r="AM9026" s="1">
        <v>1508</v>
      </c>
      <c r="AN9026" s="1">
        <v>1508</v>
      </c>
      <c r="AO9026" s="1">
        <v>1508</v>
      </c>
      <c r="AP9026" s="2">
        <v>42746</v>
      </c>
      <c r="AQ9026" t="s">
        <v>72</v>
      </c>
      <c r="AR9026" t="s">
        <v>72</v>
      </c>
      <c r="AS9026">
        <v>3636</v>
      </c>
      <c r="AT9026" s="4">
        <v>42724</v>
      </c>
      <c r="AU9026" t="s">
        <v>73</v>
      </c>
      <c r="AV9026">
        <v>3636</v>
      </c>
      <c r="AW9026" s="4">
        <v>42724</v>
      </c>
      <c r="BD9026">
        <v>58</v>
      </c>
      <c r="BN9026" t="s">
        <v>74</v>
      </c>
    </row>
    <row r="9027" spans="1:66">
      <c r="A9027">
        <v>106535</v>
      </c>
      <c r="B9027" s="3" t="s">
        <v>599</v>
      </c>
      <c r="C9027" s="1">
        <v>43300101</v>
      </c>
      <c r="D9027" t="s">
        <v>67</v>
      </c>
      <c r="H9027" t="str">
        <f t="shared" si="941"/>
        <v>08862820969</v>
      </c>
      <c r="I9027" t="str">
        <f t="shared" si="941"/>
        <v>08862820969</v>
      </c>
      <c r="K9027" t="str">
        <f>""</f>
        <v/>
      </c>
      <c r="M9027" t="s">
        <v>68</v>
      </c>
      <c r="N9027" t="str">
        <f t="shared" si="942"/>
        <v>FOR</v>
      </c>
      <c r="O9027" t="s">
        <v>69</v>
      </c>
      <c r="P9027" s="3" t="s">
        <v>75</v>
      </c>
      <c r="Q9027">
        <v>2016</v>
      </c>
      <c r="R9027" s="2">
        <v>42486</v>
      </c>
      <c r="S9027" s="2">
        <v>42487</v>
      </c>
      <c r="T9027" s="2">
        <v>42486</v>
      </c>
      <c r="U9027" s="2">
        <v>42546</v>
      </c>
      <c r="V9027" t="s">
        <v>71</v>
      </c>
      <c r="W9027" t="str">
        <f>"          2016103936"</f>
        <v xml:space="preserve">          2016103936</v>
      </c>
      <c r="X9027" s="1">
        <v>1508</v>
      </c>
      <c r="Y9027">
        <v>0</v>
      </c>
      <c r="Z9027" s="5">
        <v>1450</v>
      </c>
      <c r="AA9027">
        <v>178</v>
      </c>
      <c r="AB9027" s="5">
        <v>258100</v>
      </c>
      <c r="AC9027" s="1">
        <v>1450</v>
      </c>
      <c r="AD9027">
        <v>178</v>
      </c>
      <c r="AE9027" s="1">
        <v>258100</v>
      </c>
      <c r="AF9027">
        <v>58</v>
      </c>
      <c r="AJ9027">
        <v>0</v>
      </c>
      <c r="AK9027">
        <v>0</v>
      </c>
      <c r="AL9027">
        <v>0</v>
      </c>
      <c r="AM9027" s="1">
        <v>1508</v>
      </c>
      <c r="AN9027" s="1">
        <v>1508</v>
      </c>
      <c r="AO9027" s="1">
        <v>1508</v>
      </c>
      <c r="AP9027" s="2">
        <v>42746</v>
      </c>
      <c r="AQ9027" t="s">
        <v>72</v>
      </c>
      <c r="AR9027" t="s">
        <v>72</v>
      </c>
      <c r="AS9027">
        <v>3636</v>
      </c>
      <c r="AT9027" s="4">
        <v>42724</v>
      </c>
      <c r="AU9027" t="s">
        <v>73</v>
      </c>
      <c r="AV9027">
        <v>3636</v>
      </c>
      <c r="AW9027" s="4">
        <v>42724</v>
      </c>
      <c r="BD9027">
        <v>58</v>
      </c>
      <c r="BN9027" t="s">
        <v>74</v>
      </c>
    </row>
    <row r="9028" spans="1:66">
      <c r="A9028">
        <v>106535</v>
      </c>
      <c r="B9028" s="3" t="s">
        <v>599</v>
      </c>
      <c r="C9028" s="1">
        <v>43300101</v>
      </c>
      <c r="D9028" t="s">
        <v>67</v>
      </c>
      <c r="H9028" t="str">
        <f t="shared" si="941"/>
        <v>08862820969</v>
      </c>
      <c r="I9028" t="str">
        <f t="shared" si="941"/>
        <v>08862820969</v>
      </c>
      <c r="K9028" t="str">
        <f>""</f>
        <v/>
      </c>
      <c r="M9028" t="s">
        <v>68</v>
      </c>
      <c r="N9028" t="str">
        <f t="shared" si="942"/>
        <v>FOR</v>
      </c>
      <c r="O9028" t="s">
        <v>69</v>
      </c>
      <c r="P9028" s="3" t="s">
        <v>75</v>
      </c>
      <c r="Q9028">
        <v>2016</v>
      </c>
      <c r="R9028" s="2">
        <v>42486</v>
      </c>
      <c r="S9028" s="2">
        <v>42487</v>
      </c>
      <c r="T9028" s="2">
        <v>42486</v>
      </c>
      <c r="U9028" s="2">
        <v>42546</v>
      </c>
      <c r="V9028" t="s">
        <v>71</v>
      </c>
      <c r="W9028" t="str">
        <f>"          2016103937"</f>
        <v xml:space="preserve">          2016103937</v>
      </c>
      <c r="X9028" s="1">
        <v>1508</v>
      </c>
      <c r="Y9028">
        <v>0</v>
      </c>
      <c r="Z9028" s="5">
        <v>1450</v>
      </c>
      <c r="AA9028">
        <v>178</v>
      </c>
      <c r="AB9028" s="5">
        <v>258100</v>
      </c>
      <c r="AC9028" s="1">
        <v>1450</v>
      </c>
      <c r="AD9028">
        <v>178</v>
      </c>
      <c r="AE9028" s="1">
        <v>258100</v>
      </c>
      <c r="AF9028">
        <v>58</v>
      </c>
      <c r="AJ9028">
        <v>0</v>
      </c>
      <c r="AK9028">
        <v>0</v>
      </c>
      <c r="AL9028">
        <v>0</v>
      </c>
      <c r="AM9028" s="1">
        <v>1508</v>
      </c>
      <c r="AN9028" s="1">
        <v>1508</v>
      </c>
      <c r="AO9028" s="1">
        <v>1508</v>
      </c>
      <c r="AP9028" s="2">
        <v>42746</v>
      </c>
      <c r="AQ9028" t="s">
        <v>72</v>
      </c>
      <c r="AR9028" t="s">
        <v>72</v>
      </c>
      <c r="AS9028">
        <v>3636</v>
      </c>
      <c r="AT9028" s="4">
        <v>42724</v>
      </c>
      <c r="AU9028" t="s">
        <v>73</v>
      </c>
      <c r="AV9028">
        <v>3636</v>
      </c>
      <c r="AW9028" s="4">
        <v>42724</v>
      </c>
      <c r="BD9028">
        <v>58</v>
      </c>
      <c r="BN9028" t="s">
        <v>74</v>
      </c>
    </row>
    <row r="9029" spans="1:66">
      <c r="A9029">
        <v>106535</v>
      </c>
      <c r="B9029" s="3" t="s">
        <v>599</v>
      </c>
      <c r="C9029" s="1">
        <v>43300101</v>
      </c>
      <c r="D9029" t="s">
        <v>67</v>
      </c>
      <c r="H9029" t="str">
        <f t="shared" si="941"/>
        <v>08862820969</v>
      </c>
      <c r="I9029" t="str">
        <f t="shared" si="941"/>
        <v>08862820969</v>
      </c>
      <c r="K9029" t="str">
        <f>""</f>
        <v/>
      </c>
      <c r="M9029" t="s">
        <v>68</v>
      </c>
      <c r="N9029" t="str">
        <f t="shared" si="942"/>
        <v>FOR</v>
      </c>
      <c r="O9029" t="s">
        <v>69</v>
      </c>
      <c r="P9029" s="3" t="s">
        <v>75</v>
      </c>
      <c r="Q9029">
        <v>2016</v>
      </c>
      <c r="R9029" s="2">
        <v>42486</v>
      </c>
      <c r="S9029" s="2">
        <v>42487</v>
      </c>
      <c r="T9029" s="2">
        <v>42486</v>
      </c>
      <c r="U9029" s="2">
        <v>42546</v>
      </c>
      <c r="V9029" t="s">
        <v>71</v>
      </c>
      <c r="W9029" t="str">
        <f>"          2016103938"</f>
        <v xml:space="preserve">          2016103938</v>
      </c>
      <c r="X9029" s="1">
        <v>1144</v>
      </c>
      <c r="Y9029">
        <v>0</v>
      </c>
      <c r="Z9029" s="5">
        <v>1100</v>
      </c>
      <c r="AA9029">
        <v>178</v>
      </c>
      <c r="AB9029" s="5">
        <v>195800</v>
      </c>
      <c r="AC9029" s="1">
        <v>1100</v>
      </c>
      <c r="AD9029">
        <v>178</v>
      </c>
      <c r="AE9029" s="1">
        <v>195800</v>
      </c>
      <c r="AF9029">
        <v>44</v>
      </c>
      <c r="AJ9029">
        <v>0</v>
      </c>
      <c r="AK9029">
        <v>0</v>
      </c>
      <c r="AL9029">
        <v>0</v>
      </c>
      <c r="AM9029" s="1">
        <v>1144</v>
      </c>
      <c r="AN9029" s="1">
        <v>1144</v>
      </c>
      <c r="AO9029" s="1">
        <v>1144</v>
      </c>
      <c r="AP9029" s="2">
        <v>42746</v>
      </c>
      <c r="AQ9029" t="s">
        <v>72</v>
      </c>
      <c r="AR9029" t="s">
        <v>72</v>
      </c>
      <c r="AS9029">
        <v>3636</v>
      </c>
      <c r="AT9029" s="4">
        <v>42724</v>
      </c>
      <c r="AU9029" t="s">
        <v>73</v>
      </c>
      <c r="AV9029">
        <v>3636</v>
      </c>
      <c r="AW9029" s="4">
        <v>42724</v>
      </c>
      <c r="BD9029">
        <v>44</v>
      </c>
      <c r="BN9029" t="s">
        <v>74</v>
      </c>
    </row>
    <row r="9030" spans="1:66">
      <c r="A9030">
        <v>106535</v>
      </c>
      <c r="B9030" s="3" t="s">
        <v>599</v>
      </c>
      <c r="C9030" s="1">
        <v>43300101</v>
      </c>
      <c r="D9030" t="s">
        <v>67</v>
      </c>
      <c r="H9030" t="str">
        <f t="shared" si="941"/>
        <v>08862820969</v>
      </c>
      <c r="I9030" t="str">
        <f t="shared" si="941"/>
        <v>08862820969</v>
      </c>
      <c r="K9030" t="str">
        <f>""</f>
        <v/>
      </c>
      <c r="M9030" t="s">
        <v>68</v>
      </c>
      <c r="N9030" t="str">
        <f t="shared" si="942"/>
        <v>FOR</v>
      </c>
      <c r="O9030" t="s">
        <v>69</v>
      </c>
      <c r="P9030" s="3" t="s">
        <v>75</v>
      </c>
      <c r="Q9030">
        <v>2016</v>
      </c>
      <c r="R9030" s="2">
        <v>42489</v>
      </c>
      <c r="S9030" s="2">
        <v>42492</v>
      </c>
      <c r="T9030" s="2">
        <v>42489</v>
      </c>
      <c r="U9030" s="2">
        <v>42549</v>
      </c>
      <c r="V9030" t="s">
        <v>71</v>
      </c>
      <c r="W9030" t="str">
        <f>"          2016104119"</f>
        <v xml:space="preserve">          2016104119</v>
      </c>
      <c r="X9030">
        <v>512.4</v>
      </c>
      <c r="Y9030">
        <v>0</v>
      </c>
      <c r="Z9030" s="3">
        <v>420</v>
      </c>
      <c r="AA9030">
        <v>175</v>
      </c>
      <c r="AB9030" s="5">
        <v>73500</v>
      </c>
      <c r="AC9030">
        <v>420</v>
      </c>
      <c r="AD9030">
        <v>175</v>
      </c>
      <c r="AE9030" s="1">
        <v>73500</v>
      </c>
      <c r="AF9030">
        <v>92.4</v>
      </c>
      <c r="AJ9030">
        <v>0</v>
      </c>
      <c r="AK9030">
        <v>0</v>
      </c>
      <c r="AL9030">
        <v>0</v>
      </c>
      <c r="AM9030">
        <v>512.4</v>
      </c>
      <c r="AN9030">
        <v>512.4</v>
      </c>
      <c r="AO9030">
        <v>512.4</v>
      </c>
      <c r="AP9030" s="2">
        <v>42746</v>
      </c>
      <c r="AQ9030" t="s">
        <v>72</v>
      </c>
      <c r="AR9030" t="s">
        <v>72</v>
      </c>
      <c r="AS9030">
        <v>3636</v>
      </c>
      <c r="AT9030" s="4">
        <v>42724</v>
      </c>
      <c r="AU9030" t="s">
        <v>73</v>
      </c>
      <c r="AV9030">
        <v>3636</v>
      </c>
      <c r="AW9030" s="4">
        <v>42724</v>
      </c>
      <c r="BD9030">
        <v>92.4</v>
      </c>
      <c r="BN9030" t="s">
        <v>74</v>
      </c>
    </row>
    <row r="9031" spans="1:66" hidden="1">
      <c r="A9031">
        <v>106536</v>
      </c>
      <c r="B9031" s="3" t="s">
        <v>793</v>
      </c>
      <c r="C9031" s="1">
        <v>43300101</v>
      </c>
      <c r="D9031" t="s">
        <v>67</v>
      </c>
      <c r="H9031" t="str">
        <f>"02924650134"</f>
        <v>02924650134</v>
      </c>
      <c r="I9031" t="str">
        <f>"02924650134"</f>
        <v>02924650134</v>
      </c>
      <c r="K9031" t="str">
        <f>""</f>
        <v/>
      </c>
      <c r="M9031" t="s">
        <v>68</v>
      </c>
      <c r="N9031" t="str">
        <f t="shared" si="942"/>
        <v>FOR</v>
      </c>
      <c r="O9031" t="s">
        <v>69</v>
      </c>
      <c r="P9031" s="3" t="s">
        <v>70</v>
      </c>
      <c r="Q9031">
        <v>2015</v>
      </c>
      <c r="R9031" s="2">
        <v>42074</v>
      </c>
      <c r="S9031" s="2">
        <v>42088</v>
      </c>
      <c r="T9031" s="2">
        <v>42088</v>
      </c>
      <c r="U9031" s="2">
        <v>42148</v>
      </c>
      <c r="V9031" t="s">
        <v>71</v>
      </c>
      <c r="W9031" t="str">
        <f>"                  31"</f>
        <v xml:space="preserve">                  31</v>
      </c>
      <c r="X9031" s="1">
        <v>4849.5</v>
      </c>
      <c r="Y9031">
        <v>0</v>
      </c>
      <c r="Z9031"/>
      <c r="AB9031"/>
      <c r="AC9031" s="1">
        <v>3975</v>
      </c>
      <c r="AD9031">
        <v>256</v>
      </c>
      <c r="AE9031" s="1">
        <v>1017600</v>
      </c>
      <c r="AF9031">
        <v>0</v>
      </c>
      <c r="AJ9031">
        <v>0</v>
      </c>
      <c r="AK9031">
        <v>0</v>
      </c>
      <c r="AL9031">
        <v>0</v>
      </c>
      <c r="AM9031">
        <v>0</v>
      </c>
      <c r="AN9031">
        <v>0</v>
      </c>
      <c r="AO9031">
        <v>0</v>
      </c>
      <c r="AP9031" s="2">
        <v>42746</v>
      </c>
      <c r="AQ9031" t="s">
        <v>72</v>
      </c>
      <c r="AR9031" t="s">
        <v>72</v>
      </c>
      <c r="AS9031">
        <v>258</v>
      </c>
      <c r="AT9031" s="4">
        <v>42404</v>
      </c>
      <c r="AU9031" t="s">
        <v>73</v>
      </c>
      <c r="AV9031">
        <v>258</v>
      </c>
      <c r="AW9031" s="4">
        <v>42404</v>
      </c>
      <c r="BD9031">
        <v>0</v>
      </c>
      <c r="BN9031" t="s">
        <v>74</v>
      </c>
    </row>
    <row r="9032" spans="1:66" hidden="1">
      <c r="A9032">
        <v>106539</v>
      </c>
      <c r="B9032" s="3" t="s">
        <v>794</v>
      </c>
      <c r="C9032" s="1">
        <v>43500101</v>
      </c>
      <c r="D9032" t="s">
        <v>113</v>
      </c>
      <c r="H9032" t="str">
        <f t="shared" ref="H9032:H9043" si="943">"97516370588"</f>
        <v>97516370588</v>
      </c>
      <c r="I9032" t="str">
        <f>""</f>
        <v/>
      </c>
      <c r="K9032" t="str">
        <f>""</f>
        <v/>
      </c>
      <c r="M9032" t="s">
        <v>68</v>
      </c>
      <c r="N9032" t="str">
        <f t="shared" ref="N9032:N9043" si="944">"ALT"</f>
        <v>ALT</v>
      </c>
      <c r="O9032" t="s">
        <v>114</v>
      </c>
      <c r="P9032" s="3" t="s">
        <v>84</v>
      </c>
      <c r="Q9032">
        <v>2016</v>
      </c>
      <c r="R9032" s="2">
        <v>42389</v>
      </c>
      <c r="S9032" s="2">
        <v>42390</v>
      </c>
      <c r="T9032" s="2">
        <v>42390</v>
      </c>
      <c r="U9032" s="2">
        <v>42450</v>
      </c>
      <c r="V9032" t="s">
        <v>71</v>
      </c>
      <c r="W9032" t="str">
        <f>"                0120"</f>
        <v xml:space="preserve">                0120</v>
      </c>
      <c r="X9032">
        <v>0</v>
      </c>
      <c r="Y9032">
        <v>32</v>
      </c>
      <c r="Z9032"/>
      <c r="AB9032"/>
      <c r="AC9032">
        <v>32</v>
      </c>
      <c r="AD9032">
        <v>-60</v>
      </c>
      <c r="AE9032" s="1">
        <v>-1920</v>
      </c>
      <c r="AF9032">
        <v>0</v>
      </c>
      <c r="AJ9032">
        <v>0</v>
      </c>
      <c r="AK9032">
        <v>0</v>
      </c>
      <c r="AL9032">
        <v>0</v>
      </c>
      <c r="AM9032">
        <v>32</v>
      </c>
      <c r="AN9032">
        <v>32</v>
      </c>
      <c r="AO9032">
        <v>32</v>
      </c>
      <c r="AP9032" s="2">
        <v>42746</v>
      </c>
      <c r="AQ9032" t="s">
        <v>72</v>
      </c>
      <c r="AR9032" t="s">
        <v>72</v>
      </c>
      <c r="AS9032">
        <v>49</v>
      </c>
      <c r="AT9032" s="4">
        <v>42390</v>
      </c>
      <c r="AV9032">
        <v>49</v>
      </c>
      <c r="AW9032" s="4">
        <v>42390</v>
      </c>
      <c r="BD9032">
        <v>0</v>
      </c>
      <c r="BN9032" t="s">
        <v>74</v>
      </c>
    </row>
    <row r="9033" spans="1:66" hidden="1">
      <c r="A9033">
        <v>106539</v>
      </c>
      <c r="B9033" s="3" t="s">
        <v>794</v>
      </c>
      <c r="C9033" s="1">
        <v>43500101</v>
      </c>
      <c r="D9033" t="s">
        <v>113</v>
      </c>
      <c r="H9033" t="str">
        <f t="shared" si="943"/>
        <v>97516370588</v>
      </c>
      <c r="I9033" t="str">
        <f>""</f>
        <v/>
      </c>
      <c r="K9033" t="str">
        <f>""</f>
        <v/>
      </c>
      <c r="M9033" t="s">
        <v>68</v>
      </c>
      <c r="N9033" t="str">
        <f t="shared" si="944"/>
        <v>ALT</v>
      </c>
      <c r="O9033" t="s">
        <v>114</v>
      </c>
      <c r="P9033" s="3" t="s">
        <v>85</v>
      </c>
      <c r="Q9033">
        <v>2016</v>
      </c>
      <c r="R9033" s="2">
        <v>42422</v>
      </c>
      <c r="S9033" s="2">
        <v>42422</v>
      </c>
      <c r="T9033" s="2">
        <v>42422</v>
      </c>
      <c r="U9033" s="2">
        <v>42482</v>
      </c>
      <c r="V9033" t="s">
        <v>71</v>
      </c>
      <c r="W9033" t="str">
        <f>"                0222"</f>
        <v xml:space="preserve">                0222</v>
      </c>
      <c r="X9033">
        <v>0</v>
      </c>
      <c r="Y9033">
        <v>32</v>
      </c>
      <c r="Z9033"/>
      <c r="AB9033"/>
      <c r="AC9033">
        <v>32</v>
      </c>
      <c r="AD9033">
        <v>-58</v>
      </c>
      <c r="AE9033" s="1">
        <v>-1856</v>
      </c>
      <c r="AF9033">
        <v>0</v>
      </c>
      <c r="AJ9033">
        <v>0</v>
      </c>
      <c r="AK9033">
        <v>0</v>
      </c>
      <c r="AL9033">
        <v>0</v>
      </c>
      <c r="AM9033">
        <v>32</v>
      </c>
      <c r="AN9033">
        <v>32</v>
      </c>
      <c r="AO9033">
        <v>32</v>
      </c>
      <c r="AP9033" s="2">
        <v>42746</v>
      </c>
      <c r="AQ9033" t="s">
        <v>72</v>
      </c>
      <c r="AR9033" t="s">
        <v>72</v>
      </c>
      <c r="AS9033">
        <v>493</v>
      </c>
      <c r="AT9033" s="4">
        <v>42424</v>
      </c>
      <c r="AV9033">
        <v>493</v>
      </c>
      <c r="AW9033" s="4">
        <v>42424</v>
      </c>
      <c r="BD9033">
        <v>0</v>
      </c>
      <c r="BN9033" t="s">
        <v>74</v>
      </c>
    </row>
    <row r="9034" spans="1:66" hidden="1">
      <c r="A9034">
        <v>106539</v>
      </c>
      <c r="B9034" s="3" t="s">
        <v>794</v>
      </c>
      <c r="C9034" s="1">
        <v>43500101</v>
      </c>
      <c r="D9034" t="s">
        <v>113</v>
      </c>
      <c r="H9034" t="str">
        <f t="shared" si="943"/>
        <v>97516370588</v>
      </c>
      <c r="I9034" t="str">
        <f>""</f>
        <v/>
      </c>
      <c r="K9034" t="str">
        <f>""</f>
        <v/>
      </c>
      <c r="M9034" t="s">
        <v>68</v>
      </c>
      <c r="N9034" t="str">
        <f t="shared" si="944"/>
        <v>ALT</v>
      </c>
      <c r="O9034" t="s">
        <v>114</v>
      </c>
      <c r="P9034" s="3" t="s">
        <v>86</v>
      </c>
      <c r="Q9034">
        <v>2016</v>
      </c>
      <c r="R9034" s="2">
        <v>42450</v>
      </c>
      <c r="S9034" s="2">
        <v>42450</v>
      </c>
      <c r="T9034" s="2">
        <v>42450</v>
      </c>
      <c r="U9034" s="2">
        <v>42510</v>
      </c>
      <c r="V9034" t="s">
        <v>71</v>
      </c>
      <c r="W9034" t="str">
        <f>"                0321"</f>
        <v xml:space="preserve">                0321</v>
      </c>
      <c r="X9034">
        <v>0</v>
      </c>
      <c r="Y9034">
        <v>32</v>
      </c>
      <c r="Z9034"/>
      <c r="AB9034"/>
      <c r="AC9034">
        <v>32</v>
      </c>
      <c r="AD9034">
        <v>-57</v>
      </c>
      <c r="AE9034" s="1">
        <v>-1824</v>
      </c>
      <c r="AF9034">
        <v>0</v>
      </c>
      <c r="AJ9034">
        <v>0</v>
      </c>
      <c r="AK9034">
        <v>0</v>
      </c>
      <c r="AL9034">
        <v>0</v>
      </c>
      <c r="AM9034">
        <v>32</v>
      </c>
      <c r="AN9034">
        <v>32</v>
      </c>
      <c r="AO9034">
        <v>32</v>
      </c>
      <c r="AP9034" s="2">
        <v>42746</v>
      </c>
      <c r="AQ9034" t="s">
        <v>72</v>
      </c>
      <c r="AR9034" t="s">
        <v>72</v>
      </c>
      <c r="AS9034">
        <v>915</v>
      </c>
      <c r="AT9034" s="4">
        <v>42453</v>
      </c>
      <c r="AV9034">
        <v>915</v>
      </c>
      <c r="AW9034" s="4">
        <v>42453</v>
      </c>
      <c r="BD9034">
        <v>0</v>
      </c>
      <c r="BN9034" t="s">
        <v>74</v>
      </c>
    </row>
    <row r="9035" spans="1:66" hidden="1">
      <c r="A9035">
        <v>106539</v>
      </c>
      <c r="B9035" s="3" t="s">
        <v>794</v>
      </c>
      <c r="C9035" s="1">
        <v>43500101</v>
      </c>
      <c r="D9035" t="s">
        <v>113</v>
      </c>
      <c r="H9035" t="str">
        <f t="shared" si="943"/>
        <v>97516370588</v>
      </c>
      <c r="I9035" t="str">
        <f>""</f>
        <v/>
      </c>
      <c r="K9035" t="str">
        <f>""</f>
        <v/>
      </c>
      <c r="M9035" t="s">
        <v>68</v>
      </c>
      <c r="N9035" t="str">
        <f t="shared" si="944"/>
        <v>ALT</v>
      </c>
      <c r="O9035" t="s">
        <v>114</v>
      </c>
      <c r="P9035" s="3" t="s">
        <v>87</v>
      </c>
      <c r="Q9035">
        <v>2016</v>
      </c>
      <c r="R9035" s="2">
        <v>42481</v>
      </c>
      <c r="S9035" s="2">
        <v>42481</v>
      </c>
      <c r="T9035" s="2">
        <v>42481</v>
      </c>
      <c r="U9035" s="2">
        <v>42541</v>
      </c>
      <c r="V9035" t="s">
        <v>71</v>
      </c>
      <c r="W9035" t="str">
        <f>"                0421"</f>
        <v xml:space="preserve">                0421</v>
      </c>
      <c r="X9035">
        <v>0</v>
      </c>
      <c r="Y9035">
        <v>32</v>
      </c>
      <c r="Z9035"/>
      <c r="AB9035"/>
      <c r="AC9035">
        <v>32</v>
      </c>
      <c r="AD9035">
        <v>-60</v>
      </c>
      <c r="AE9035" s="1">
        <v>-1920</v>
      </c>
      <c r="AF9035">
        <v>0</v>
      </c>
      <c r="AJ9035">
        <v>0</v>
      </c>
      <c r="AK9035">
        <v>0</v>
      </c>
      <c r="AL9035">
        <v>0</v>
      </c>
      <c r="AM9035">
        <v>32</v>
      </c>
      <c r="AN9035">
        <v>32</v>
      </c>
      <c r="AO9035">
        <v>32</v>
      </c>
      <c r="AP9035" s="2">
        <v>42746</v>
      </c>
      <c r="AQ9035" t="s">
        <v>72</v>
      </c>
      <c r="AR9035" t="s">
        <v>72</v>
      </c>
      <c r="AS9035">
        <v>1081</v>
      </c>
      <c r="AT9035" s="4">
        <v>42481</v>
      </c>
      <c r="AV9035">
        <v>1081</v>
      </c>
      <c r="AW9035" s="4">
        <v>42481</v>
      </c>
      <c r="BD9035">
        <v>0</v>
      </c>
      <c r="BN9035" t="s">
        <v>74</v>
      </c>
    </row>
    <row r="9036" spans="1:66" hidden="1">
      <c r="A9036">
        <v>106539</v>
      </c>
      <c r="B9036" s="3" t="s">
        <v>794</v>
      </c>
      <c r="C9036" s="1">
        <v>43500101</v>
      </c>
      <c r="D9036" t="s">
        <v>113</v>
      </c>
      <c r="H9036" t="str">
        <f t="shared" si="943"/>
        <v>97516370588</v>
      </c>
      <c r="I9036" t="str">
        <f>""</f>
        <v/>
      </c>
      <c r="K9036" t="str">
        <f>""</f>
        <v/>
      </c>
      <c r="M9036" t="s">
        <v>68</v>
      </c>
      <c r="N9036" t="str">
        <f t="shared" si="944"/>
        <v>ALT</v>
      </c>
      <c r="O9036" t="s">
        <v>114</v>
      </c>
      <c r="P9036" s="3" t="s">
        <v>88</v>
      </c>
      <c r="Q9036">
        <v>2016</v>
      </c>
      <c r="R9036" s="2">
        <v>42508</v>
      </c>
      <c r="S9036" s="2">
        <v>42510</v>
      </c>
      <c r="T9036" s="2">
        <v>42510</v>
      </c>
      <c r="U9036" s="2">
        <v>42570</v>
      </c>
      <c r="V9036" t="s">
        <v>71</v>
      </c>
      <c r="W9036" t="str">
        <f>"                0518"</f>
        <v xml:space="preserve">                0518</v>
      </c>
      <c r="X9036">
        <v>0</v>
      </c>
      <c r="Y9036">
        <v>32</v>
      </c>
      <c r="Z9036"/>
      <c r="AB9036"/>
      <c r="AC9036">
        <v>32</v>
      </c>
      <c r="AD9036">
        <v>-57</v>
      </c>
      <c r="AE9036" s="1">
        <v>-1824</v>
      </c>
      <c r="AF9036">
        <v>0</v>
      </c>
      <c r="AJ9036">
        <v>0</v>
      </c>
      <c r="AK9036">
        <v>0</v>
      </c>
      <c r="AL9036">
        <v>0</v>
      </c>
      <c r="AM9036">
        <v>32</v>
      </c>
      <c r="AN9036">
        <v>32</v>
      </c>
      <c r="AO9036">
        <v>32</v>
      </c>
      <c r="AP9036" s="2">
        <v>42746</v>
      </c>
      <c r="AQ9036" t="s">
        <v>72</v>
      </c>
      <c r="AR9036" t="s">
        <v>72</v>
      </c>
      <c r="AS9036">
        <v>1319</v>
      </c>
      <c r="AT9036" s="4">
        <v>42513</v>
      </c>
      <c r="AV9036">
        <v>1319</v>
      </c>
      <c r="AW9036" s="4">
        <v>42513</v>
      </c>
      <c r="BD9036">
        <v>0</v>
      </c>
      <c r="BN9036" t="s">
        <v>74</v>
      </c>
    </row>
    <row r="9037" spans="1:66" hidden="1">
      <c r="A9037">
        <v>106539</v>
      </c>
      <c r="B9037" s="3" t="s">
        <v>794</v>
      </c>
      <c r="C9037" s="1">
        <v>43500101</v>
      </c>
      <c r="D9037" t="s">
        <v>113</v>
      </c>
      <c r="H9037" t="str">
        <f t="shared" si="943"/>
        <v>97516370588</v>
      </c>
      <c r="I9037" t="str">
        <f>""</f>
        <v/>
      </c>
      <c r="K9037" t="str">
        <f>""</f>
        <v/>
      </c>
      <c r="M9037" t="s">
        <v>68</v>
      </c>
      <c r="N9037" t="str">
        <f t="shared" si="944"/>
        <v>ALT</v>
      </c>
      <c r="O9037" t="s">
        <v>114</v>
      </c>
      <c r="P9037" s="3" t="s">
        <v>89</v>
      </c>
      <c r="Q9037">
        <v>2016</v>
      </c>
      <c r="R9037" s="2">
        <v>42548</v>
      </c>
      <c r="S9037" s="2">
        <v>42543</v>
      </c>
      <c r="T9037" s="2">
        <v>42543</v>
      </c>
      <c r="U9037" s="2">
        <v>42603</v>
      </c>
      <c r="V9037" t="s">
        <v>71</v>
      </c>
      <c r="W9037" t="str">
        <f>"                0627"</f>
        <v xml:space="preserve">                0627</v>
      </c>
      <c r="X9037">
        <v>0</v>
      </c>
      <c r="Y9037">
        <v>32</v>
      </c>
      <c r="Z9037"/>
      <c r="AB9037"/>
      <c r="AC9037">
        <v>32</v>
      </c>
      <c r="AD9037">
        <v>-47</v>
      </c>
      <c r="AE9037" s="1">
        <v>-1504</v>
      </c>
      <c r="AF9037">
        <v>0</v>
      </c>
      <c r="AJ9037">
        <v>0</v>
      </c>
      <c r="AK9037">
        <v>0</v>
      </c>
      <c r="AL9037">
        <v>0</v>
      </c>
      <c r="AM9037">
        <v>32</v>
      </c>
      <c r="AN9037">
        <v>32</v>
      </c>
      <c r="AO9037">
        <v>32</v>
      </c>
      <c r="AP9037" s="2">
        <v>42746</v>
      </c>
      <c r="AQ9037" t="s">
        <v>72</v>
      </c>
      <c r="AR9037" t="s">
        <v>72</v>
      </c>
      <c r="AS9037">
        <v>1702</v>
      </c>
      <c r="AT9037" s="4">
        <v>42556</v>
      </c>
      <c r="AV9037">
        <v>1702</v>
      </c>
      <c r="AW9037" s="4">
        <v>42556</v>
      </c>
      <c r="BD9037">
        <v>0</v>
      </c>
      <c r="BN9037" t="s">
        <v>74</v>
      </c>
    </row>
    <row r="9038" spans="1:66" hidden="1">
      <c r="A9038">
        <v>106539</v>
      </c>
      <c r="B9038" s="3" t="s">
        <v>794</v>
      </c>
      <c r="C9038" s="1">
        <v>43500101</v>
      </c>
      <c r="D9038" t="s">
        <v>113</v>
      </c>
      <c r="H9038" t="str">
        <f t="shared" si="943"/>
        <v>97516370588</v>
      </c>
      <c r="I9038" t="str">
        <f>""</f>
        <v/>
      </c>
      <c r="K9038" t="str">
        <f>""</f>
        <v/>
      </c>
      <c r="M9038" t="s">
        <v>68</v>
      </c>
      <c r="N9038" t="str">
        <f t="shared" si="944"/>
        <v>ALT</v>
      </c>
      <c r="O9038" t="s">
        <v>114</v>
      </c>
      <c r="P9038" s="3" t="s">
        <v>90</v>
      </c>
      <c r="Q9038">
        <v>2016</v>
      </c>
      <c r="R9038" s="2">
        <v>42573</v>
      </c>
      <c r="S9038" s="2">
        <v>42573</v>
      </c>
      <c r="T9038" s="2">
        <v>42573</v>
      </c>
      <c r="U9038" s="2">
        <v>42633</v>
      </c>
      <c r="V9038" t="s">
        <v>71</v>
      </c>
      <c r="W9038" t="str">
        <f>"                0722"</f>
        <v xml:space="preserve">                0722</v>
      </c>
      <c r="X9038">
        <v>0</v>
      </c>
      <c r="Y9038">
        <v>32</v>
      </c>
      <c r="Z9038"/>
      <c r="AB9038"/>
      <c r="AC9038">
        <v>32</v>
      </c>
      <c r="AD9038">
        <v>-48</v>
      </c>
      <c r="AE9038" s="1">
        <v>-1536</v>
      </c>
      <c r="AF9038">
        <v>0</v>
      </c>
      <c r="AJ9038">
        <v>0</v>
      </c>
      <c r="AK9038">
        <v>0</v>
      </c>
      <c r="AL9038">
        <v>0</v>
      </c>
      <c r="AM9038">
        <v>32</v>
      </c>
      <c r="AN9038">
        <v>32</v>
      </c>
      <c r="AO9038">
        <v>32</v>
      </c>
      <c r="AP9038" s="2">
        <v>42746</v>
      </c>
      <c r="AQ9038" t="s">
        <v>72</v>
      </c>
      <c r="AR9038" t="s">
        <v>72</v>
      </c>
      <c r="AS9038">
        <v>2102</v>
      </c>
      <c r="AT9038" s="4">
        <v>42585</v>
      </c>
      <c r="AV9038">
        <v>2102</v>
      </c>
      <c r="AW9038" s="4">
        <v>42585</v>
      </c>
      <c r="BD9038">
        <v>0</v>
      </c>
      <c r="BN9038" t="s">
        <v>74</v>
      </c>
    </row>
    <row r="9039" spans="1:66" hidden="1">
      <c r="A9039">
        <v>106539</v>
      </c>
      <c r="B9039" s="3" t="s">
        <v>794</v>
      </c>
      <c r="C9039" s="1">
        <v>43500101</v>
      </c>
      <c r="D9039" t="s">
        <v>113</v>
      </c>
      <c r="H9039" t="str">
        <f t="shared" si="943"/>
        <v>97516370588</v>
      </c>
      <c r="I9039" t="str">
        <f>""</f>
        <v/>
      </c>
      <c r="K9039" t="str">
        <f>""</f>
        <v/>
      </c>
      <c r="M9039" t="s">
        <v>68</v>
      </c>
      <c r="N9039" t="str">
        <f t="shared" si="944"/>
        <v>ALT</v>
      </c>
      <c r="O9039" t="s">
        <v>114</v>
      </c>
      <c r="P9039" s="3" t="s">
        <v>91</v>
      </c>
      <c r="Q9039">
        <v>2016</v>
      </c>
      <c r="R9039" s="2">
        <v>42592</v>
      </c>
      <c r="S9039" s="2">
        <v>42598</v>
      </c>
      <c r="T9039" s="2">
        <v>42598</v>
      </c>
      <c r="U9039" s="2">
        <v>42658</v>
      </c>
      <c r="V9039" t="s">
        <v>71</v>
      </c>
      <c r="W9039" t="str">
        <f>"                0810"</f>
        <v xml:space="preserve">                0810</v>
      </c>
      <c r="X9039">
        <v>0</v>
      </c>
      <c r="Y9039">
        <v>32</v>
      </c>
      <c r="Z9039"/>
      <c r="AB9039"/>
      <c r="AC9039">
        <v>32</v>
      </c>
      <c r="AD9039">
        <v>-60</v>
      </c>
      <c r="AE9039" s="1">
        <v>-1920</v>
      </c>
      <c r="AF9039">
        <v>0</v>
      </c>
      <c r="AJ9039">
        <v>0</v>
      </c>
      <c r="AK9039">
        <v>0</v>
      </c>
      <c r="AL9039">
        <v>0</v>
      </c>
      <c r="AM9039">
        <v>32</v>
      </c>
      <c r="AN9039">
        <v>32</v>
      </c>
      <c r="AO9039">
        <v>32</v>
      </c>
      <c r="AP9039" s="2">
        <v>42746</v>
      </c>
      <c r="AQ9039" t="s">
        <v>72</v>
      </c>
      <c r="AR9039" t="s">
        <v>72</v>
      </c>
      <c r="AS9039">
        <v>2184</v>
      </c>
      <c r="AT9039" s="4">
        <v>42598</v>
      </c>
      <c r="AV9039">
        <v>2184</v>
      </c>
      <c r="AW9039" s="4">
        <v>42598</v>
      </c>
      <c r="BD9039">
        <v>0</v>
      </c>
      <c r="BN9039" t="s">
        <v>74</v>
      </c>
    </row>
    <row r="9040" spans="1:66" hidden="1">
      <c r="A9040">
        <v>106539</v>
      </c>
      <c r="B9040" s="3" t="s">
        <v>794</v>
      </c>
      <c r="C9040" s="1">
        <v>43500101</v>
      </c>
      <c r="D9040" t="s">
        <v>113</v>
      </c>
      <c r="H9040" t="str">
        <f t="shared" si="943"/>
        <v>97516370588</v>
      </c>
      <c r="I9040" t="str">
        <f>""</f>
        <v/>
      </c>
      <c r="K9040" t="str">
        <f>""</f>
        <v/>
      </c>
      <c r="M9040" t="s">
        <v>68</v>
      </c>
      <c r="N9040" t="str">
        <f t="shared" si="944"/>
        <v>ALT</v>
      </c>
      <c r="O9040" t="s">
        <v>114</v>
      </c>
      <c r="P9040" s="3" t="s">
        <v>92</v>
      </c>
      <c r="Q9040">
        <v>2016</v>
      </c>
      <c r="R9040" s="2">
        <v>42633</v>
      </c>
      <c r="S9040" s="2">
        <v>42634</v>
      </c>
      <c r="T9040" s="2">
        <v>42634</v>
      </c>
      <c r="U9040" s="2">
        <v>42694</v>
      </c>
      <c r="V9040" t="s">
        <v>71</v>
      </c>
      <c r="W9040" t="str">
        <f>"                0920"</f>
        <v xml:space="preserve">                0920</v>
      </c>
      <c r="X9040">
        <v>0</v>
      </c>
      <c r="Y9040">
        <v>32</v>
      </c>
      <c r="Z9040"/>
      <c r="AB9040"/>
      <c r="AC9040">
        <v>32</v>
      </c>
      <c r="AD9040">
        <v>-60</v>
      </c>
      <c r="AE9040" s="1">
        <v>-1920</v>
      </c>
      <c r="AF9040">
        <v>0</v>
      </c>
      <c r="AJ9040">
        <v>0</v>
      </c>
      <c r="AK9040">
        <v>0</v>
      </c>
      <c r="AL9040">
        <v>0</v>
      </c>
      <c r="AM9040">
        <v>32</v>
      </c>
      <c r="AN9040">
        <v>32</v>
      </c>
      <c r="AO9040">
        <v>32</v>
      </c>
      <c r="AP9040" s="2">
        <v>42746</v>
      </c>
      <c r="AQ9040" t="s">
        <v>72</v>
      </c>
      <c r="AR9040" t="s">
        <v>72</v>
      </c>
      <c r="AS9040">
        <v>2458</v>
      </c>
      <c r="AT9040" s="4">
        <v>42634</v>
      </c>
      <c r="AV9040">
        <v>2458</v>
      </c>
      <c r="AW9040" s="4">
        <v>42634</v>
      </c>
      <c r="BD9040">
        <v>0</v>
      </c>
      <c r="BN9040" t="s">
        <v>74</v>
      </c>
    </row>
    <row r="9041" spans="1:66" hidden="1">
      <c r="A9041">
        <v>106539</v>
      </c>
      <c r="B9041" s="3" t="s">
        <v>794</v>
      </c>
      <c r="C9041" s="1">
        <v>43500101</v>
      </c>
      <c r="D9041" t="s">
        <v>113</v>
      </c>
      <c r="H9041" t="str">
        <f t="shared" si="943"/>
        <v>97516370588</v>
      </c>
      <c r="I9041" t="str">
        <f>""</f>
        <v/>
      </c>
      <c r="K9041" t="str">
        <f>""</f>
        <v/>
      </c>
      <c r="M9041" t="s">
        <v>68</v>
      </c>
      <c r="N9041" t="str">
        <f t="shared" si="944"/>
        <v>ALT</v>
      </c>
      <c r="O9041" t="s">
        <v>114</v>
      </c>
      <c r="P9041" s="3" t="s">
        <v>93</v>
      </c>
      <c r="Q9041">
        <v>2016</v>
      </c>
      <c r="R9041" s="2">
        <v>42664</v>
      </c>
      <c r="S9041" s="2">
        <v>42667</v>
      </c>
      <c r="T9041" s="2">
        <v>42667</v>
      </c>
      <c r="U9041" s="2">
        <v>42727</v>
      </c>
      <c r="V9041" t="s">
        <v>71</v>
      </c>
      <c r="W9041" t="str">
        <f>"                1021"</f>
        <v xml:space="preserve">                1021</v>
      </c>
      <c r="X9041">
        <v>0</v>
      </c>
      <c r="Y9041">
        <v>32</v>
      </c>
      <c r="Z9041" s="3">
        <v>32</v>
      </c>
      <c r="AA9041">
        <v>-60</v>
      </c>
      <c r="AB9041" s="5">
        <v>-1920</v>
      </c>
      <c r="AC9041">
        <v>32</v>
      </c>
      <c r="AD9041">
        <v>-60</v>
      </c>
      <c r="AE9041" s="1">
        <v>-1920</v>
      </c>
      <c r="AF9041">
        <v>0</v>
      </c>
      <c r="AJ9041">
        <v>32</v>
      </c>
      <c r="AK9041">
        <v>32</v>
      </c>
      <c r="AL9041">
        <v>32</v>
      </c>
      <c r="AM9041">
        <v>32</v>
      </c>
      <c r="AN9041">
        <v>32</v>
      </c>
      <c r="AO9041">
        <v>32</v>
      </c>
      <c r="AP9041" s="2">
        <v>42746</v>
      </c>
      <c r="AQ9041" t="s">
        <v>72</v>
      </c>
      <c r="AR9041" t="s">
        <v>72</v>
      </c>
      <c r="AS9041">
        <v>2805</v>
      </c>
      <c r="AT9041" s="4">
        <v>42667</v>
      </c>
      <c r="AV9041">
        <v>2805</v>
      </c>
      <c r="AW9041" s="4">
        <v>42667</v>
      </c>
      <c r="BD9041">
        <v>0</v>
      </c>
      <c r="BN9041" t="s">
        <v>74</v>
      </c>
    </row>
    <row r="9042" spans="1:66" hidden="1">
      <c r="A9042">
        <v>106539</v>
      </c>
      <c r="B9042" s="3" t="s">
        <v>794</v>
      </c>
      <c r="C9042" s="1">
        <v>43500101</v>
      </c>
      <c r="D9042" t="s">
        <v>113</v>
      </c>
      <c r="H9042" t="str">
        <f t="shared" si="943"/>
        <v>97516370588</v>
      </c>
      <c r="I9042" t="str">
        <f>""</f>
        <v/>
      </c>
      <c r="K9042" t="str">
        <f>""</f>
        <v/>
      </c>
      <c r="M9042" t="s">
        <v>68</v>
      </c>
      <c r="N9042" t="str">
        <f t="shared" si="944"/>
        <v>ALT</v>
      </c>
      <c r="O9042" t="s">
        <v>114</v>
      </c>
      <c r="P9042" s="3" t="s">
        <v>94</v>
      </c>
      <c r="Q9042">
        <v>2016</v>
      </c>
      <c r="R9042" s="2">
        <v>42696</v>
      </c>
      <c r="S9042" s="2">
        <v>42696</v>
      </c>
      <c r="T9042" s="2">
        <v>42696</v>
      </c>
      <c r="U9042" s="2">
        <v>42756</v>
      </c>
      <c r="V9042" t="s">
        <v>71</v>
      </c>
      <c r="W9042" t="str">
        <f>"                1122"</f>
        <v xml:space="preserve">                1122</v>
      </c>
      <c r="X9042">
        <v>0</v>
      </c>
      <c r="Y9042">
        <v>32</v>
      </c>
      <c r="Z9042" s="3">
        <v>32</v>
      </c>
      <c r="AA9042">
        <v>-59</v>
      </c>
      <c r="AB9042" s="5">
        <v>-1888</v>
      </c>
      <c r="AC9042">
        <v>32</v>
      </c>
      <c r="AD9042">
        <v>-59</v>
      </c>
      <c r="AE9042" s="1">
        <v>-1888</v>
      </c>
      <c r="AF9042">
        <v>0</v>
      </c>
      <c r="AJ9042">
        <v>32</v>
      </c>
      <c r="AK9042">
        <v>32</v>
      </c>
      <c r="AL9042">
        <v>32</v>
      </c>
      <c r="AM9042">
        <v>32</v>
      </c>
      <c r="AN9042">
        <v>32</v>
      </c>
      <c r="AO9042">
        <v>32</v>
      </c>
      <c r="AP9042" s="2">
        <v>42746</v>
      </c>
      <c r="AQ9042" t="s">
        <v>72</v>
      </c>
      <c r="AR9042" t="s">
        <v>72</v>
      </c>
      <c r="AS9042">
        <v>3242</v>
      </c>
      <c r="AT9042" s="4">
        <v>42697</v>
      </c>
      <c r="AV9042">
        <v>3242</v>
      </c>
      <c r="AW9042" s="4">
        <v>42697</v>
      </c>
      <c r="BD9042">
        <v>0</v>
      </c>
      <c r="BN9042" t="s">
        <v>74</v>
      </c>
    </row>
    <row r="9043" spans="1:66" hidden="1">
      <c r="A9043">
        <v>106539</v>
      </c>
      <c r="B9043" s="3" t="s">
        <v>794</v>
      </c>
      <c r="C9043" s="1">
        <v>43500101</v>
      </c>
      <c r="D9043" t="s">
        <v>113</v>
      </c>
      <c r="H9043" t="str">
        <f t="shared" si="943"/>
        <v>97516370588</v>
      </c>
      <c r="I9043" t="str">
        <f>""</f>
        <v/>
      </c>
      <c r="K9043" t="str">
        <f>""</f>
        <v/>
      </c>
      <c r="M9043" t="s">
        <v>68</v>
      </c>
      <c r="N9043" t="str">
        <f t="shared" si="944"/>
        <v>ALT</v>
      </c>
      <c r="O9043" t="s">
        <v>114</v>
      </c>
      <c r="P9043" s="3" t="s">
        <v>95</v>
      </c>
      <c r="Q9043">
        <v>2016</v>
      </c>
      <c r="R9043" s="2">
        <v>42717</v>
      </c>
      <c r="S9043" s="2">
        <v>42717</v>
      </c>
      <c r="T9043" s="2">
        <v>42717</v>
      </c>
      <c r="U9043" s="2">
        <v>42777</v>
      </c>
      <c r="V9043" t="s">
        <v>71</v>
      </c>
      <c r="W9043" t="str">
        <f>"                1213"</f>
        <v xml:space="preserve">                1213</v>
      </c>
      <c r="X9043">
        <v>0</v>
      </c>
      <c r="Y9043">
        <v>32</v>
      </c>
      <c r="Z9043" s="3">
        <v>32</v>
      </c>
      <c r="AA9043">
        <v>-59</v>
      </c>
      <c r="AB9043" s="5">
        <v>-1888</v>
      </c>
      <c r="AC9043">
        <v>32</v>
      </c>
      <c r="AD9043">
        <v>-59</v>
      </c>
      <c r="AE9043" s="1">
        <v>-1888</v>
      </c>
      <c r="AF9043">
        <v>0</v>
      </c>
      <c r="AJ9043">
        <v>32</v>
      </c>
      <c r="AK9043">
        <v>32</v>
      </c>
      <c r="AL9043">
        <v>32</v>
      </c>
      <c r="AM9043">
        <v>32</v>
      </c>
      <c r="AN9043">
        <v>32</v>
      </c>
      <c r="AO9043">
        <v>32</v>
      </c>
      <c r="AP9043" s="2">
        <v>42746</v>
      </c>
      <c r="AQ9043" t="s">
        <v>72</v>
      </c>
      <c r="AR9043" t="s">
        <v>72</v>
      </c>
      <c r="AS9043">
        <v>3401</v>
      </c>
      <c r="AT9043" s="4">
        <v>42718</v>
      </c>
      <c r="AV9043">
        <v>3401</v>
      </c>
      <c r="AW9043" s="4">
        <v>42718</v>
      </c>
      <c r="BD9043">
        <v>0</v>
      </c>
      <c r="BN9043" t="s">
        <v>74</v>
      </c>
    </row>
    <row r="9044" spans="1:66" hidden="1">
      <c r="A9044">
        <v>106541</v>
      </c>
      <c r="B9044" s="3" t="s">
        <v>795</v>
      </c>
      <c r="C9044" s="1">
        <v>43300101</v>
      </c>
      <c r="D9044" t="s">
        <v>67</v>
      </c>
      <c r="H9044" t="str">
        <f>"01758800161"</f>
        <v>01758800161</v>
      </c>
      <c r="I9044" t="str">
        <f>"01758800161"</f>
        <v>01758800161</v>
      </c>
      <c r="K9044" t="str">
        <f>""</f>
        <v/>
      </c>
      <c r="M9044" t="s">
        <v>68</v>
      </c>
      <c r="N9044" t="str">
        <f t="shared" ref="N9044:N9049" si="945">"FOR"</f>
        <v>FOR</v>
      </c>
      <c r="O9044" t="s">
        <v>69</v>
      </c>
      <c r="P9044" s="3" t="s">
        <v>70</v>
      </c>
      <c r="Q9044">
        <v>2015</v>
      </c>
      <c r="R9044" s="2">
        <v>42081</v>
      </c>
      <c r="S9044" s="2">
        <v>42089</v>
      </c>
      <c r="T9044" s="2">
        <v>42089</v>
      </c>
      <c r="U9044" s="2">
        <v>42149</v>
      </c>
      <c r="V9044" t="s">
        <v>71</v>
      </c>
      <c r="W9044" t="str">
        <f>"                 517"</f>
        <v xml:space="preserve">                 517</v>
      </c>
      <c r="X9044" s="1">
        <v>14294.74</v>
      </c>
      <c r="Y9044">
        <v>0</v>
      </c>
      <c r="Z9044"/>
      <c r="AB9044"/>
      <c r="AC9044" s="1">
        <v>11717</v>
      </c>
      <c r="AD9044">
        <v>254</v>
      </c>
      <c r="AE9044" s="1">
        <v>2976118</v>
      </c>
      <c r="AF9044">
        <v>0</v>
      </c>
      <c r="AJ9044">
        <v>0</v>
      </c>
      <c r="AK9044">
        <v>0</v>
      </c>
      <c r="AL9044">
        <v>0</v>
      </c>
      <c r="AM9044">
        <v>0</v>
      </c>
      <c r="AN9044">
        <v>0</v>
      </c>
      <c r="AO9044">
        <v>0</v>
      </c>
      <c r="AP9044" s="2">
        <v>42746</v>
      </c>
      <c r="AQ9044" t="s">
        <v>72</v>
      </c>
      <c r="AR9044" t="s">
        <v>72</v>
      </c>
      <c r="AS9044">
        <v>226</v>
      </c>
      <c r="AT9044" s="4">
        <v>42403</v>
      </c>
      <c r="AU9044" t="s">
        <v>73</v>
      </c>
      <c r="AV9044">
        <v>226</v>
      </c>
      <c r="AW9044" s="4">
        <v>42403</v>
      </c>
      <c r="BD9044">
        <v>0</v>
      </c>
      <c r="BN9044" t="s">
        <v>74</v>
      </c>
    </row>
    <row r="9045" spans="1:66" hidden="1">
      <c r="A9045">
        <v>106548</v>
      </c>
      <c r="B9045" s="3" t="s">
        <v>796</v>
      </c>
      <c r="C9045" s="1">
        <v>43300101</v>
      </c>
      <c r="D9045" t="s">
        <v>67</v>
      </c>
      <c r="H9045" t="str">
        <f t="shared" ref="H9045:I9049" si="946">"02789580590"</f>
        <v>02789580590</v>
      </c>
      <c r="I9045" t="str">
        <f t="shared" si="946"/>
        <v>02789580590</v>
      </c>
      <c r="K9045" t="str">
        <f>""</f>
        <v/>
      </c>
      <c r="M9045" t="s">
        <v>68</v>
      </c>
      <c r="N9045" t="str">
        <f t="shared" si="945"/>
        <v>FOR</v>
      </c>
      <c r="O9045" t="s">
        <v>69</v>
      </c>
      <c r="P9045" s="3" t="s">
        <v>78</v>
      </c>
      <c r="Q9045">
        <v>2015</v>
      </c>
      <c r="R9045" s="2">
        <v>42044</v>
      </c>
      <c r="S9045" s="2">
        <v>42060</v>
      </c>
      <c r="T9045" s="2">
        <v>42060</v>
      </c>
      <c r="U9045" s="2">
        <v>42120</v>
      </c>
      <c r="V9045" t="s">
        <v>71</v>
      </c>
      <c r="W9045" t="str">
        <f>"                1637"</f>
        <v xml:space="preserve">                1637</v>
      </c>
      <c r="X9045" s="1">
        <v>2635.6</v>
      </c>
      <c r="Y9045">
        <v>0</v>
      </c>
      <c r="Z9045"/>
      <c r="AB9045"/>
      <c r="AC9045" s="1">
        <v>2396</v>
      </c>
      <c r="AD9045">
        <v>400</v>
      </c>
      <c r="AE9045" s="1">
        <v>958400</v>
      </c>
      <c r="AF9045">
        <v>0</v>
      </c>
      <c r="AJ9045">
        <v>0</v>
      </c>
      <c r="AK9045">
        <v>0</v>
      </c>
      <c r="AL9045">
        <v>0</v>
      </c>
      <c r="AM9045">
        <v>0</v>
      </c>
      <c r="AN9045">
        <v>0</v>
      </c>
      <c r="AO9045">
        <v>0</v>
      </c>
      <c r="AP9045" s="2">
        <v>42746</v>
      </c>
      <c r="AQ9045" t="s">
        <v>72</v>
      </c>
      <c r="AR9045" t="s">
        <v>72</v>
      </c>
      <c r="AS9045">
        <v>1409</v>
      </c>
      <c r="AT9045" s="4">
        <v>42520</v>
      </c>
      <c r="AU9045" t="s">
        <v>73</v>
      </c>
      <c r="AV9045">
        <v>1409</v>
      </c>
      <c r="AW9045" s="4">
        <v>42520</v>
      </c>
      <c r="BD9045">
        <v>0</v>
      </c>
      <c r="BN9045" t="s">
        <v>74</v>
      </c>
    </row>
    <row r="9046" spans="1:66" hidden="1">
      <c r="A9046">
        <v>106548</v>
      </c>
      <c r="B9046" s="3" t="s">
        <v>796</v>
      </c>
      <c r="C9046" s="1">
        <v>43300101</v>
      </c>
      <c r="D9046" t="s">
        <v>67</v>
      </c>
      <c r="H9046" t="str">
        <f t="shared" si="946"/>
        <v>02789580590</v>
      </c>
      <c r="I9046" t="str">
        <f t="shared" si="946"/>
        <v>02789580590</v>
      </c>
      <c r="K9046" t="str">
        <f>""</f>
        <v/>
      </c>
      <c r="M9046" t="s">
        <v>68</v>
      </c>
      <c r="N9046" t="str">
        <f t="shared" si="945"/>
        <v>FOR</v>
      </c>
      <c r="O9046" t="s">
        <v>69</v>
      </c>
      <c r="P9046" s="3" t="s">
        <v>75</v>
      </c>
      <c r="Q9046">
        <v>2015</v>
      </c>
      <c r="R9046" s="2">
        <v>42129</v>
      </c>
      <c r="S9046" s="2">
        <v>42132</v>
      </c>
      <c r="T9046" s="2">
        <v>42131</v>
      </c>
      <c r="U9046" s="2">
        <v>42191</v>
      </c>
      <c r="V9046" t="s">
        <v>71</v>
      </c>
      <c r="W9046" t="str">
        <f>"          S15F006495"</f>
        <v xml:space="preserve">          S15F006495</v>
      </c>
      <c r="X9046" s="1">
        <v>1647.25</v>
      </c>
      <c r="Y9046">
        <v>0</v>
      </c>
      <c r="Z9046"/>
      <c r="AB9046"/>
      <c r="AC9046" s="1">
        <v>1497.5</v>
      </c>
      <c r="AD9046">
        <v>261</v>
      </c>
      <c r="AE9046" s="1">
        <v>390847.5</v>
      </c>
      <c r="AF9046">
        <v>0</v>
      </c>
      <c r="AJ9046">
        <v>0</v>
      </c>
      <c r="AK9046">
        <v>0</v>
      </c>
      <c r="AL9046">
        <v>0</v>
      </c>
      <c r="AM9046">
        <v>0</v>
      </c>
      <c r="AN9046">
        <v>0</v>
      </c>
      <c r="AO9046">
        <v>0</v>
      </c>
      <c r="AP9046" s="2">
        <v>42746</v>
      </c>
      <c r="AQ9046" t="s">
        <v>72</v>
      </c>
      <c r="AR9046" t="s">
        <v>72</v>
      </c>
      <c r="AS9046">
        <v>820</v>
      </c>
      <c r="AT9046" s="4">
        <v>42452</v>
      </c>
      <c r="AU9046" t="s">
        <v>73</v>
      </c>
      <c r="AV9046">
        <v>820</v>
      </c>
      <c r="AW9046" s="4">
        <v>42452</v>
      </c>
      <c r="BD9046">
        <v>0</v>
      </c>
      <c r="BN9046" t="s">
        <v>74</v>
      </c>
    </row>
    <row r="9047" spans="1:66" hidden="1">
      <c r="A9047">
        <v>106548</v>
      </c>
      <c r="B9047" s="3" t="s">
        <v>796</v>
      </c>
      <c r="C9047" s="1">
        <v>43300101</v>
      </c>
      <c r="D9047" t="s">
        <v>67</v>
      </c>
      <c r="H9047" t="str">
        <f t="shared" si="946"/>
        <v>02789580590</v>
      </c>
      <c r="I9047" t="str">
        <f t="shared" si="946"/>
        <v>02789580590</v>
      </c>
      <c r="K9047" t="str">
        <f>""</f>
        <v/>
      </c>
      <c r="M9047" t="s">
        <v>68</v>
      </c>
      <c r="N9047" t="str">
        <f t="shared" si="945"/>
        <v>FOR</v>
      </c>
      <c r="O9047" t="s">
        <v>69</v>
      </c>
      <c r="P9047" s="3" t="s">
        <v>75</v>
      </c>
      <c r="Q9047">
        <v>2015</v>
      </c>
      <c r="R9047" s="2">
        <v>42178</v>
      </c>
      <c r="S9047" s="2">
        <v>42186</v>
      </c>
      <c r="T9047" s="2">
        <v>42182</v>
      </c>
      <c r="U9047" s="2">
        <v>42242</v>
      </c>
      <c r="V9047" t="s">
        <v>71</v>
      </c>
      <c r="W9047" t="str">
        <f>"          S15F009554"</f>
        <v xml:space="preserve">          S15F009554</v>
      </c>
      <c r="X9047" s="1">
        <v>1054.24</v>
      </c>
      <c r="Y9047">
        <v>0</v>
      </c>
      <c r="Z9047"/>
      <c r="AB9047"/>
      <c r="AC9047">
        <v>958.4</v>
      </c>
      <c r="AD9047">
        <v>278</v>
      </c>
      <c r="AE9047" s="1">
        <v>266435.20000000001</v>
      </c>
      <c r="AF9047">
        <v>0</v>
      </c>
      <c r="AJ9047">
        <v>0</v>
      </c>
      <c r="AK9047">
        <v>0</v>
      </c>
      <c r="AL9047">
        <v>0</v>
      </c>
      <c r="AM9047">
        <v>0</v>
      </c>
      <c r="AN9047">
        <v>0</v>
      </c>
      <c r="AO9047">
        <v>0</v>
      </c>
      <c r="AP9047" s="2">
        <v>42746</v>
      </c>
      <c r="AQ9047" t="s">
        <v>72</v>
      </c>
      <c r="AR9047" t="s">
        <v>72</v>
      </c>
      <c r="AS9047">
        <v>1409</v>
      </c>
      <c r="AT9047" s="4">
        <v>42520</v>
      </c>
      <c r="AU9047" t="s">
        <v>73</v>
      </c>
      <c r="AV9047">
        <v>1409</v>
      </c>
      <c r="AW9047" s="4">
        <v>42520</v>
      </c>
      <c r="BD9047">
        <v>0</v>
      </c>
      <c r="BN9047" t="s">
        <v>74</v>
      </c>
    </row>
    <row r="9048" spans="1:66" hidden="1">
      <c r="A9048">
        <v>106548</v>
      </c>
      <c r="B9048" s="3" t="s">
        <v>796</v>
      </c>
      <c r="C9048" s="1">
        <v>43300101</v>
      </c>
      <c r="D9048" t="s">
        <v>67</v>
      </c>
      <c r="H9048" t="str">
        <f t="shared" si="946"/>
        <v>02789580590</v>
      </c>
      <c r="I9048" t="str">
        <f t="shared" si="946"/>
        <v>02789580590</v>
      </c>
      <c r="K9048" t="str">
        <f>""</f>
        <v/>
      </c>
      <c r="M9048" t="s">
        <v>68</v>
      </c>
      <c r="N9048" t="str">
        <f t="shared" si="945"/>
        <v>FOR</v>
      </c>
      <c r="O9048" t="s">
        <v>69</v>
      </c>
      <c r="P9048" s="3" t="s">
        <v>75</v>
      </c>
      <c r="Q9048">
        <v>2015</v>
      </c>
      <c r="R9048" s="2">
        <v>42213</v>
      </c>
      <c r="S9048" s="2">
        <v>42215</v>
      </c>
      <c r="T9048" s="2">
        <v>42214</v>
      </c>
      <c r="U9048" s="2">
        <v>42274</v>
      </c>
      <c r="V9048" t="s">
        <v>71</v>
      </c>
      <c r="W9048" t="str">
        <f>"          S15F011264"</f>
        <v xml:space="preserve">          S15F011264</v>
      </c>
      <c r="X9048" s="1">
        <v>1976.7</v>
      </c>
      <c r="Y9048">
        <v>0</v>
      </c>
      <c r="Z9048"/>
      <c r="AB9048"/>
      <c r="AC9048" s="1">
        <v>1797</v>
      </c>
      <c r="AD9048">
        <v>295</v>
      </c>
      <c r="AE9048" s="1">
        <v>530115</v>
      </c>
      <c r="AF9048">
        <v>0</v>
      </c>
      <c r="AJ9048">
        <v>0</v>
      </c>
      <c r="AK9048">
        <v>0</v>
      </c>
      <c r="AL9048">
        <v>0</v>
      </c>
      <c r="AM9048">
        <v>0</v>
      </c>
      <c r="AN9048">
        <v>0</v>
      </c>
      <c r="AO9048">
        <v>0</v>
      </c>
      <c r="AP9048" s="2">
        <v>42746</v>
      </c>
      <c r="AQ9048" t="s">
        <v>72</v>
      </c>
      <c r="AR9048" t="s">
        <v>72</v>
      </c>
      <c r="AS9048">
        <v>1855</v>
      </c>
      <c r="AT9048" s="4">
        <v>42569</v>
      </c>
      <c r="AU9048" t="s">
        <v>73</v>
      </c>
      <c r="AV9048">
        <v>1855</v>
      </c>
      <c r="AW9048" s="4">
        <v>42569</v>
      </c>
      <c r="BD9048">
        <v>0</v>
      </c>
      <c r="BN9048" t="s">
        <v>74</v>
      </c>
    </row>
    <row r="9049" spans="1:66" hidden="1">
      <c r="A9049">
        <v>106548</v>
      </c>
      <c r="B9049" s="3" t="s">
        <v>796</v>
      </c>
      <c r="C9049" s="1">
        <v>43300101</v>
      </c>
      <c r="D9049" t="s">
        <v>67</v>
      </c>
      <c r="H9049" t="str">
        <f t="shared" si="946"/>
        <v>02789580590</v>
      </c>
      <c r="I9049" t="str">
        <f t="shared" si="946"/>
        <v>02789580590</v>
      </c>
      <c r="K9049" t="str">
        <f>""</f>
        <v/>
      </c>
      <c r="M9049" t="s">
        <v>68</v>
      </c>
      <c r="N9049" t="str">
        <f t="shared" si="945"/>
        <v>FOR</v>
      </c>
      <c r="O9049" t="s">
        <v>69</v>
      </c>
      <c r="P9049" s="3" t="s">
        <v>75</v>
      </c>
      <c r="Q9049">
        <v>2015</v>
      </c>
      <c r="R9049" s="2">
        <v>42255</v>
      </c>
      <c r="S9049" s="2">
        <v>42258</v>
      </c>
      <c r="T9049" s="2">
        <v>42256</v>
      </c>
      <c r="U9049" s="2">
        <v>42316</v>
      </c>
      <c r="V9049" t="s">
        <v>71</v>
      </c>
      <c r="W9049" t="str">
        <f>"          S15F012968"</f>
        <v xml:space="preserve">          S15F012968</v>
      </c>
      <c r="X9049" s="1">
        <v>1976.7</v>
      </c>
      <c r="Y9049">
        <v>0</v>
      </c>
      <c r="Z9049"/>
      <c r="AB9049"/>
      <c r="AC9049" s="1">
        <v>1797</v>
      </c>
      <c r="AD9049">
        <v>305</v>
      </c>
      <c r="AE9049" s="1">
        <v>548085</v>
      </c>
      <c r="AF9049">
        <v>0</v>
      </c>
      <c r="AJ9049">
        <v>0</v>
      </c>
      <c r="AK9049">
        <v>0</v>
      </c>
      <c r="AL9049">
        <v>0</v>
      </c>
      <c r="AM9049">
        <v>0</v>
      </c>
      <c r="AN9049">
        <v>0</v>
      </c>
      <c r="AO9049">
        <v>0</v>
      </c>
      <c r="AP9049" s="2">
        <v>42746</v>
      </c>
      <c r="AQ9049" t="s">
        <v>72</v>
      </c>
      <c r="AR9049" t="s">
        <v>72</v>
      </c>
      <c r="AS9049">
        <v>2369</v>
      </c>
      <c r="AT9049" s="4">
        <v>42621</v>
      </c>
      <c r="AU9049" t="s">
        <v>73</v>
      </c>
      <c r="AV9049">
        <v>2369</v>
      </c>
      <c r="AW9049" s="4">
        <v>42621</v>
      </c>
      <c r="BD9049">
        <v>0</v>
      </c>
      <c r="BN9049" t="s">
        <v>74</v>
      </c>
    </row>
    <row r="9050" spans="1:66">
      <c r="A9050">
        <v>106549</v>
      </c>
      <c r="B9050" s="3" t="s">
        <v>797</v>
      </c>
      <c r="C9050" s="1">
        <v>43500101</v>
      </c>
      <c r="D9050" t="s">
        <v>113</v>
      </c>
      <c r="H9050" t="str">
        <f>"PLCFRC67C28C846S"</f>
        <v>PLCFRC67C28C846S</v>
      </c>
      <c r="I9050" t="str">
        <f>"01268990627"</f>
        <v>01268990627</v>
      </c>
      <c r="K9050" t="str">
        <f>""</f>
        <v/>
      </c>
      <c r="M9050" t="s">
        <v>68</v>
      </c>
      <c r="N9050" t="str">
        <f>"ALTPRO"</f>
        <v>ALTPRO</v>
      </c>
      <c r="O9050" t="s">
        <v>132</v>
      </c>
      <c r="P9050" s="3" t="s">
        <v>75</v>
      </c>
      <c r="Q9050">
        <v>2016</v>
      </c>
      <c r="R9050" s="2">
        <v>42683</v>
      </c>
      <c r="S9050" s="2">
        <v>42684</v>
      </c>
      <c r="T9050" s="2">
        <v>42683</v>
      </c>
      <c r="U9050" s="2">
        <v>42743</v>
      </c>
      <c r="V9050" t="s">
        <v>71</v>
      </c>
      <c r="W9050" t="str">
        <f>"                  33"</f>
        <v xml:space="preserve">                  33</v>
      </c>
      <c r="X9050" s="1">
        <v>12561.12</v>
      </c>
      <c r="Y9050" s="1">
        <v>-1980</v>
      </c>
      <c r="Z9050" s="5">
        <v>10581.12</v>
      </c>
      <c r="AA9050">
        <v>-54</v>
      </c>
      <c r="AB9050" s="5">
        <v>-571380.47999999998</v>
      </c>
      <c r="AC9050" s="1">
        <v>10581.12</v>
      </c>
      <c r="AD9050">
        <v>-54</v>
      </c>
      <c r="AE9050" s="1">
        <v>-571380.47999999998</v>
      </c>
      <c r="AF9050">
        <v>0</v>
      </c>
      <c r="AJ9050" s="1">
        <v>10581.12</v>
      </c>
      <c r="AK9050" s="1">
        <v>10581.12</v>
      </c>
      <c r="AL9050" s="1">
        <v>10581.12</v>
      </c>
      <c r="AM9050" s="1">
        <v>10581.12</v>
      </c>
      <c r="AN9050" s="1">
        <v>10581.12</v>
      </c>
      <c r="AO9050" s="1">
        <v>10581.12</v>
      </c>
      <c r="AP9050" s="2">
        <v>42746</v>
      </c>
      <c r="AQ9050" t="s">
        <v>72</v>
      </c>
      <c r="AR9050" t="s">
        <v>72</v>
      </c>
      <c r="AS9050">
        <v>3109</v>
      </c>
      <c r="AT9050" s="4">
        <v>42689</v>
      </c>
      <c r="AV9050">
        <v>3109</v>
      </c>
      <c r="AW9050" s="4">
        <v>42689</v>
      </c>
      <c r="BD9050">
        <v>0</v>
      </c>
      <c r="BN9050" t="s">
        <v>74</v>
      </c>
    </row>
    <row r="9051" spans="1:66" hidden="1">
      <c r="A9051">
        <v>106557</v>
      </c>
      <c r="B9051" s="3" t="s">
        <v>798</v>
      </c>
      <c r="C9051" s="1">
        <v>43300101</v>
      </c>
      <c r="D9051" t="s">
        <v>67</v>
      </c>
      <c r="H9051" t="str">
        <f t="shared" ref="H9051:I9069" si="947">"01612890622"</f>
        <v>01612890622</v>
      </c>
      <c r="I9051" t="str">
        <f t="shared" si="947"/>
        <v>01612890622</v>
      </c>
      <c r="K9051" t="str">
        <f>""</f>
        <v/>
      </c>
      <c r="M9051" t="s">
        <v>68</v>
      </c>
      <c r="N9051" t="str">
        <f t="shared" ref="N9051:N9069" si="948">"FOR"</f>
        <v>FOR</v>
      </c>
      <c r="O9051" t="s">
        <v>69</v>
      </c>
      <c r="P9051" s="3" t="s">
        <v>75</v>
      </c>
      <c r="Q9051">
        <v>2015</v>
      </c>
      <c r="R9051" s="2">
        <v>42124</v>
      </c>
      <c r="S9051" s="2">
        <v>42198</v>
      </c>
      <c r="T9051" s="2">
        <v>42130</v>
      </c>
      <c r="U9051" s="2">
        <v>42190</v>
      </c>
      <c r="V9051" t="s">
        <v>71</v>
      </c>
      <c r="W9051" t="str">
        <f>"                5/PA"</f>
        <v xml:space="preserve">                5/PA</v>
      </c>
      <c r="X9051">
        <v>524.6</v>
      </c>
      <c r="Y9051">
        <v>0</v>
      </c>
      <c r="Z9051"/>
      <c r="AB9051"/>
      <c r="AC9051">
        <v>430</v>
      </c>
      <c r="AD9051">
        <v>239</v>
      </c>
      <c r="AE9051" s="1">
        <v>102770</v>
      </c>
      <c r="AF9051">
        <v>0</v>
      </c>
      <c r="AJ9051">
        <v>0</v>
      </c>
      <c r="AK9051">
        <v>0</v>
      </c>
      <c r="AL9051">
        <v>0</v>
      </c>
      <c r="AM9051">
        <v>0</v>
      </c>
      <c r="AN9051">
        <v>0</v>
      </c>
      <c r="AO9051">
        <v>0</v>
      </c>
      <c r="AP9051" s="2">
        <v>42746</v>
      </c>
      <c r="AQ9051" t="s">
        <v>72</v>
      </c>
      <c r="AR9051" t="s">
        <v>72</v>
      </c>
      <c r="AS9051">
        <v>594</v>
      </c>
      <c r="AT9051" s="4">
        <v>42429</v>
      </c>
      <c r="AU9051" t="s">
        <v>73</v>
      </c>
      <c r="AV9051">
        <v>594</v>
      </c>
      <c r="AW9051" s="4">
        <v>42429</v>
      </c>
      <c r="BD9051">
        <v>0</v>
      </c>
      <c r="BN9051" t="s">
        <v>74</v>
      </c>
    </row>
    <row r="9052" spans="1:66" hidden="1">
      <c r="A9052">
        <v>106557</v>
      </c>
      <c r="B9052" s="3" t="s">
        <v>798</v>
      </c>
      <c r="C9052" s="1">
        <v>43300101</v>
      </c>
      <c r="D9052" t="s">
        <v>67</v>
      </c>
      <c r="H9052" t="str">
        <f t="shared" si="947"/>
        <v>01612890622</v>
      </c>
      <c r="I9052" t="str">
        <f t="shared" si="947"/>
        <v>01612890622</v>
      </c>
      <c r="K9052" t="str">
        <f>""</f>
        <v/>
      </c>
      <c r="M9052" t="s">
        <v>68</v>
      </c>
      <c r="N9052" t="str">
        <f t="shared" si="948"/>
        <v>FOR</v>
      </c>
      <c r="O9052" t="s">
        <v>69</v>
      </c>
      <c r="P9052" s="3" t="s">
        <v>75</v>
      </c>
      <c r="Q9052">
        <v>2015</v>
      </c>
      <c r="R9052" s="2">
        <v>42271</v>
      </c>
      <c r="S9052" s="2">
        <v>42272</v>
      </c>
      <c r="T9052" s="2">
        <v>42271</v>
      </c>
      <c r="U9052" s="2">
        <v>42331</v>
      </c>
      <c r="V9052" t="s">
        <v>71</v>
      </c>
      <c r="W9052" t="str">
        <f>"               20/PA"</f>
        <v xml:space="preserve">               20/PA</v>
      </c>
      <c r="X9052">
        <v>695.4</v>
      </c>
      <c r="Y9052">
        <v>0</v>
      </c>
      <c r="Z9052"/>
      <c r="AB9052"/>
      <c r="AC9052">
        <v>570</v>
      </c>
      <c r="AD9052">
        <v>98</v>
      </c>
      <c r="AE9052" s="1">
        <v>55860</v>
      </c>
      <c r="AF9052">
        <v>0</v>
      </c>
      <c r="AJ9052">
        <v>0</v>
      </c>
      <c r="AK9052">
        <v>0</v>
      </c>
      <c r="AL9052">
        <v>0</v>
      </c>
      <c r="AM9052">
        <v>0</v>
      </c>
      <c r="AN9052">
        <v>0</v>
      </c>
      <c r="AO9052">
        <v>0</v>
      </c>
      <c r="AP9052" s="2">
        <v>42746</v>
      </c>
      <c r="AQ9052" t="s">
        <v>72</v>
      </c>
      <c r="AR9052" t="s">
        <v>72</v>
      </c>
      <c r="AS9052">
        <v>594</v>
      </c>
      <c r="AT9052" s="4">
        <v>42429</v>
      </c>
      <c r="AU9052" t="s">
        <v>73</v>
      </c>
      <c r="AV9052">
        <v>594</v>
      </c>
      <c r="AW9052" s="4">
        <v>42429</v>
      </c>
      <c r="BD9052">
        <v>0</v>
      </c>
      <c r="BN9052" t="s">
        <v>74</v>
      </c>
    </row>
    <row r="9053" spans="1:66" hidden="1">
      <c r="A9053">
        <v>106557</v>
      </c>
      <c r="B9053" s="3" t="s">
        <v>798</v>
      </c>
      <c r="C9053" s="1">
        <v>43300101</v>
      </c>
      <c r="D9053" t="s">
        <v>67</v>
      </c>
      <c r="H9053" t="str">
        <f t="shared" si="947"/>
        <v>01612890622</v>
      </c>
      <c r="I9053" t="str">
        <f t="shared" si="947"/>
        <v>01612890622</v>
      </c>
      <c r="K9053" t="str">
        <f>""</f>
        <v/>
      </c>
      <c r="M9053" t="s">
        <v>68</v>
      </c>
      <c r="N9053" t="str">
        <f t="shared" si="948"/>
        <v>FOR</v>
      </c>
      <c r="O9053" t="s">
        <v>69</v>
      </c>
      <c r="P9053" s="3" t="s">
        <v>75</v>
      </c>
      <c r="Q9053">
        <v>2015</v>
      </c>
      <c r="R9053" s="2">
        <v>42277</v>
      </c>
      <c r="S9053" s="2">
        <v>42279</v>
      </c>
      <c r="T9053" s="2">
        <v>42278</v>
      </c>
      <c r="U9053" s="2">
        <v>42338</v>
      </c>
      <c r="V9053" t="s">
        <v>71</v>
      </c>
      <c r="W9053" t="str">
        <f>"               21/PA"</f>
        <v xml:space="preserve">               21/PA</v>
      </c>
      <c r="X9053" s="1">
        <v>2647.4</v>
      </c>
      <c r="Y9053">
        <v>0</v>
      </c>
      <c r="Z9053"/>
      <c r="AB9053"/>
      <c r="AC9053" s="1">
        <v>2170</v>
      </c>
      <c r="AD9053">
        <v>91</v>
      </c>
      <c r="AE9053" s="1">
        <v>197470</v>
      </c>
      <c r="AF9053">
        <v>0</v>
      </c>
      <c r="AJ9053">
        <v>0</v>
      </c>
      <c r="AK9053">
        <v>0</v>
      </c>
      <c r="AL9053">
        <v>0</v>
      </c>
      <c r="AM9053">
        <v>0</v>
      </c>
      <c r="AN9053">
        <v>0</v>
      </c>
      <c r="AO9053">
        <v>0</v>
      </c>
      <c r="AP9053" s="2">
        <v>42746</v>
      </c>
      <c r="AQ9053" t="s">
        <v>72</v>
      </c>
      <c r="AR9053" t="s">
        <v>72</v>
      </c>
      <c r="AS9053">
        <v>594</v>
      </c>
      <c r="AT9053" s="4">
        <v>42429</v>
      </c>
      <c r="AU9053" t="s">
        <v>73</v>
      </c>
      <c r="AV9053">
        <v>594</v>
      </c>
      <c r="AW9053" s="4">
        <v>42429</v>
      </c>
      <c r="BD9053">
        <v>0</v>
      </c>
      <c r="BN9053" t="s">
        <v>74</v>
      </c>
    </row>
    <row r="9054" spans="1:66" hidden="1">
      <c r="A9054">
        <v>106557</v>
      </c>
      <c r="B9054" s="3" t="s">
        <v>798</v>
      </c>
      <c r="C9054" s="1">
        <v>43300101</v>
      </c>
      <c r="D9054" t="s">
        <v>67</v>
      </c>
      <c r="H9054" t="str">
        <f t="shared" si="947"/>
        <v>01612890622</v>
      </c>
      <c r="I9054" t="str">
        <f t="shared" si="947"/>
        <v>01612890622</v>
      </c>
      <c r="K9054" t="str">
        <f>""</f>
        <v/>
      </c>
      <c r="M9054" t="s">
        <v>68</v>
      </c>
      <c r="N9054" t="str">
        <f t="shared" si="948"/>
        <v>FOR</v>
      </c>
      <c r="O9054" t="s">
        <v>69</v>
      </c>
      <c r="P9054" s="3" t="s">
        <v>75</v>
      </c>
      <c r="Q9054">
        <v>2015</v>
      </c>
      <c r="R9054" s="2">
        <v>42277</v>
      </c>
      <c r="S9054" s="2">
        <v>42278</v>
      </c>
      <c r="T9054" s="2">
        <v>42278</v>
      </c>
      <c r="U9054" s="2">
        <v>42338</v>
      </c>
      <c r="V9054" t="s">
        <v>71</v>
      </c>
      <c r="W9054" t="str">
        <f>"               22/PA"</f>
        <v xml:space="preserve">               22/PA</v>
      </c>
      <c r="X9054" s="1">
        <v>4148</v>
      </c>
      <c r="Y9054">
        <v>0</v>
      </c>
      <c r="Z9054"/>
      <c r="AB9054"/>
      <c r="AC9054" s="1">
        <v>3400</v>
      </c>
      <c r="AD9054">
        <v>91</v>
      </c>
      <c r="AE9054" s="1">
        <v>309400</v>
      </c>
      <c r="AF9054">
        <v>0</v>
      </c>
      <c r="AJ9054">
        <v>0</v>
      </c>
      <c r="AK9054">
        <v>0</v>
      </c>
      <c r="AL9054">
        <v>0</v>
      </c>
      <c r="AM9054">
        <v>0</v>
      </c>
      <c r="AN9054">
        <v>0</v>
      </c>
      <c r="AO9054">
        <v>0</v>
      </c>
      <c r="AP9054" s="2">
        <v>42746</v>
      </c>
      <c r="AQ9054" t="s">
        <v>72</v>
      </c>
      <c r="AR9054" t="s">
        <v>72</v>
      </c>
      <c r="AS9054">
        <v>594</v>
      </c>
      <c r="AT9054" s="4">
        <v>42429</v>
      </c>
      <c r="AU9054" t="s">
        <v>73</v>
      </c>
      <c r="AV9054">
        <v>594</v>
      </c>
      <c r="AW9054" s="4">
        <v>42429</v>
      </c>
      <c r="BD9054">
        <v>0</v>
      </c>
      <c r="BN9054" t="s">
        <v>74</v>
      </c>
    </row>
    <row r="9055" spans="1:66" hidden="1">
      <c r="A9055">
        <v>106557</v>
      </c>
      <c r="B9055" s="3" t="s">
        <v>798</v>
      </c>
      <c r="C9055" s="1">
        <v>43300101</v>
      </c>
      <c r="D9055" t="s">
        <v>67</v>
      </c>
      <c r="H9055" t="str">
        <f t="shared" si="947"/>
        <v>01612890622</v>
      </c>
      <c r="I9055" t="str">
        <f t="shared" si="947"/>
        <v>01612890622</v>
      </c>
      <c r="K9055" t="str">
        <f>""</f>
        <v/>
      </c>
      <c r="M9055" t="s">
        <v>68</v>
      </c>
      <c r="N9055" t="str">
        <f t="shared" si="948"/>
        <v>FOR</v>
      </c>
      <c r="O9055" t="s">
        <v>69</v>
      </c>
      <c r="P9055" s="3" t="s">
        <v>75</v>
      </c>
      <c r="Q9055">
        <v>2015</v>
      </c>
      <c r="R9055" s="2">
        <v>42277</v>
      </c>
      <c r="S9055" s="2">
        <v>42278</v>
      </c>
      <c r="T9055" s="2">
        <v>42278</v>
      </c>
      <c r="U9055" s="2">
        <v>42338</v>
      </c>
      <c r="V9055" t="s">
        <v>71</v>
      </c>
      <c r="W9055" t="str">
        <f>"               23/PA"</f>
        <v xml:space="preserve">               23/PA</v>
      </c>
      <c r="X9055">
        <v>152.5</v>
      </c>
      <c r="Y9055">
        <v>0</v>
      </c>
      <c r="Z9055"/>
      <c r="AB9055"/>
      <c r="AC9055">
        <v>125</v>
      </c>
      <c r="AD9055">
        <v>65</v>
      </c>
      <c r="AE9055" s="1">
        <v>8125</v>
      </c>
      <c r="AF9055">
        <v>27.5</v>
      </c>
      <c r="AJ9055">
        <v>0</v>
      </c>
      <c r="AK9055">
        <v>0</v>
      </c>
      <c r="AL9055">
        <v>0</v>
      </c>
      <c r="AM9055">
        <v>0</v>
      </c>
      <c r="AN9055">
        <v>0</v>
      </c>
      <c r="AO9055">
        <v>0</v>
      </c>
      <c r="AP9055" s="2">
        <v>42746</v>
      </c>
      <c r="AQ9055" t="s">
        <v>72</v>
      </c>
      <c r="AR9055" t="s">
        <v>72</v>
      </c>
      <c r="AS9055">
        <v>212</v>
      </c>
      <c r="AT9055" s="4">
        <v>42403</v>
      </c>
      <c r="AU9055" t="s">
        <v>73</v>
      </c>
      <c r="AV9055">
        <v>212</v>
      </c>
      <c r="AW9055" s="4">
        <v>42403</v>
      </c>
      <c r="BD9055">
        <v>27.5</v>
      </c>
      <c r="BN9055" t="s">
        <v>74</v>
      </c>
    </row>
    <row r="9056" spans="1:66" hidden="1">
      <c r="A9056">
        <v>106557</v>
      </c>
      <c r="B9056" s="3" t="s">
        <v>798</v>
      </c>
      <c r="C9056" s="1">
        <v>43300101</v>
      </c>
      <c r="D9056" t="s">
        <v>67</v>
      </c>
      <c r="H9056" t="str">
        <f t="shared" si="947"/>
        <v>01612890622</v>
      </c>
      <c r="I9056" t="str">
        <f t="shared" si="947"/>
        <v>01612890622</v>
      </c>
      <c r="K9056" t="str">
        <f>""</f>
        <v/>
      </c>
      <c r="M9056" t="s">
        <v>68</v>
      </c>
      <c r="N9056" t="str">
        <f t="shared" si="948"/>
        <v>FOR</v>
      </c>
      <c r="O9056" t="s">
        <v>69</v>
      </c>
      <c r="P9056" s="3" t="s">
        <v>75</v>
      </c>
      <c r="Q9056">
        <v>2015</v>
      </c>
      <c r="R9056" s="2">
        <v>42277</v>
      </c>
      <c r="S9056" s="2">
        <v>42278</v>
      </c>
      <c r="T9056" s="2">
        <v>42278</v>
      </c>
      <c r="U9056" s="2">
        <v>42338</v>
      </c>
      <c r="V9056" t="s">
        <v>71</v>
      </c>
      <c r="W9056" t="str">
        <f>"               24/PA"</f>
        <v xml:space="preserve">               24/PA</v>
      </c>
      <c r="X9056">
        <v>732</v>
      </c>
      <c r="Y9056">
        <v>0</v>
      </c>
      <c r="Z9056"/>
      <c r="AB9056"/>
      <c r="AC9056">
        <v>600</v>
      </c>
      <c r="AD9056">
        <v>91</v>
      </c>
      <c r="AE9056" s="1">
        <v>54600</v>
      </c>
      <c r="AF9056">
        <v>0</v>
      </c>
      <c r="AJ9056">
        <v>0</v>
      </c>
      <c r="AK9056">
        <v>0</v>
      </c>
      <c r="AL9056">
        <v>0</v>
      </c>
      <c r="AM9056">
        <v>0</v>
      </c>
      <c r="AN9056">
        <v>0</v>
      </c>
      <c r="AO9056">
        <v>0</v>
      </c>
      <c r="AP9056" s="2">
        <v>42746</v>
      </c>
      <c r="AQ9056" t="s">
        <v>72</v>
      </c>
      <c r="AR9056" t="s">
        <v>72</v>
      </c>
      <c r="AS9056">
        <v>594</v>
      </c>
      <c r="AT9056" s="4">
        <v>42429</v>
      </c>
      <c r="AU9056" t="s">
        <v>73</v>
      </c>
      <c r="AV9056">
        <v>594</v>
      </c>
      <c r="AW9056" s="4">
        <v>42429</v>
      </c>
      <c r="BD9056">
        <v>0</v>
      </c>
      <c r="BN9056" t="s">
        <v>74</v>
      </c>
    </row>
    <row r="9057" spans="1:66" hidden="1">
      <c r="A9057">
        <v>106557</v>
      </c>
      <c r="B9057" s="3" t="s">
        <v>798</v>
      </c>
      <c r="C9057" s="1">
        <v>43300101</v>
      </c>
      <c r="D9057" t="s">
        <v>67</v>
      </c>
      <c r="H9057" t="str">
        <f t="shared" si="947"/>
        <v>01612890622</v>
      </c>
      <c r="I9057" t="str">
        <f t="shared" si="947"/>
        <v>01612890622</v>
      </c>
      <c r="K9057" t="str">
        <f>""</f>
        <v/>
      </c>
      <c r="M9057" t="s">
        <v>68</v>
      </c>
      <c r="N9057" t="str">
        <f t="shared" si="948"/>
        <v>FOR</v>
      </c>
      <c r="O9057" t="s">
        <v>69</v>
      </c>
      <c r="P9057" s="3" t="s">
        <v>75</v>
      </c>
      <c r="Q9057">
        <v>2015</v>
      </c>
      <c r="R9057" s="2">
        <v>42369</v>
      </c>
      <c r="S9057" s="2">
        <v>42369</v>
      </c>
      <c r="T9057" s="2">
        <v>42369</v>
      </c>
      <c r="U9057" s="2">
        <v>42429</v>
      </c>
      <c r="V9057" t="s">
        <v>71</v>
      </c>
      <c r="W9057" t="str">
        <f>"               30/PA"</f>
        <v xml:space="preserve">               30/PA</v>
      </c>
      <c r="X9057" s="1">
        <v>15833.89</v>
      </c>
      <c r="Y9057">
        <v>0</v>
      </c>
      <c r="Z9057"/>
      <c r="AB9057"/>
      <c r="AC9057" s="1">
        <v>12978.6</v>
      </c>
      <c r="AD9057">
        <v>99</v>
      </c>
      <c r="AE9057" s="1">
        <v>1284881.3999999999</v>
      </c>
      <c r="AF9057">
        <v>0</v>
      </c>
      <c r="AJ9057">
        <v>0</v>
      </c>
      <c r="AK9057">
        <v>0</v>
      </c>
      <c r="AL9057">
        <v>0</v>
      </c>
      <c r="AM9057">
        <v>0</v>
      </c>
      <c r="AN9057">
        <v>0</v>
      </c>
      <c r="AO9057">
        <v>0</v>
      </c>
      <c r="AP9057" s="2">
        <v>42746</v>
      </c>
      <c r="AQ9057" t="s">
        <v>72</v>
      </c>
      <c r="AR9057" t="s">
        <v>72</v>
      </c>
      <c r="AS9057">
        <v>1561</v>
      </c>
      <c r="AT9057" s="4">
        <v>42528</v>
      </c>
      <c r="AU9057" t="s">
        <v>73</v>
      </c>
      <c r="AV9057">
        <v>1561</v>
      </c>
      <c r="AW9057" s="4">
        <v>42528</v>
      </c>
      <c r="BD9057">
        <v>0</v>
      </c>
      <c r="BN9057" t="s">
        <v>74</v>
      </c>
    </row>
    <row r="9058" spans="1:66" hidden="1">
      <c r="A9058">
        <v>106557</v>
      </c>
      <c r="B9058" s="3" t="s">
        <v>798</v>
      </c>
      <c r="C9058" s="1">
        <v>43300101</v>
      </c>
      <c r="D9058" t="s">
        <v>67</v>
      </c>
      <c r="H9058" t="str">
        <f t="shared" si="947"/>
        <v>01612890622</v>
      </c>
      <c r="I9058" t="str">
        <f t="shared" si="947"/>
        <v>01612890622</v>
      </c>
      <c r="K9058" t="str">
        <f>""</f>
        <v/>
      </c>
      <c r="M9058" t="s">
        <v>68</v>
      </c>
      <c r="N9058" t="str">
        <f t="shared" si="948"/>
        <v>FOR</v>
      </c>
      <c r="O9058" t="s">
        <v>69</v>
      </c>
      <c r="P9058" s="3" t="s">
        <v>75</v>
      </c>
      <c r="Q9058">
        <v>2015</v>
      </c>
      <c r="R9058" s="2">
        <v>42369</v>
      </c>
      <c r="S9058" s="2">
        <v>42369</v>
      </c>
      <c r="T9058" s="2">
        <v>42369</v>
      </c>
      <c r="U9058" s="2">
        <v>42429</v>
      </c>
      <c r="V9058" t="s">
        <v>71</v>
      </c>
      <c r="W9058" t="str">
        <f>"               31/PA"</f>
        <v xml:space="preserve">               31/PA</v>
      </c>
      <c r="X9058">
        <v>610</v>
      </c>
      <c r="Y9058">
        <v>0</v>
      </c>
      <c r="Z9058"/>
      <c r="AB9058"/>
      <c r="AC9058">
        <v>500</v>
      </c>
      <c r="AD9058">
        <v>137</v>
      </c>
      <c r="AE9058" s="1">
        <v>68500</v>
      </c>
      <c r="AF9058">
        <v>110</v>
      </c>
      <c r="AJ9058">
        <v>0</v>
      </c>
      <c r="AK9058">
        <v>0</v>
      </c>
      <c r="AL9058">
        <v>0</v>
      </c>
      <c r="AM9058">
        <v>0</v>
      </c>
      <c r="AN9058">
        <v>0</v>
      </c>
      <c r="AO9058">
        <v>0</v>
      </c>
      <c r="AP9058" s="2">
        <v>42746</v>
      </c>
      <c r="AQ9058" t="s">
        <v>72</v>
      </c>
      <c r="AR9058" t="s">
        <v>72</v>
      </c>
      <c r="AS9058">
        <v>1771</v>
      </c>
      <c r="AT9058" s="4">
        <v>42566</v>
      </c>
      <c r="AU9058" t="s">
        <v>73</v>
      </c>
      <c r="AV9058">
        <v>1771</v>
      </c>
      <c r="AW9058" s="4">
        <v>42566</v>
      </c>
      <c r="BD9058">
        <v>110</v>
      </c>
      <c r="BN9058" t="s">
        <v>74</v>
      </c>
    </row>
    <row r="9059" spans="1:66" hidden="1">
      <c r="A9059">
        <v>106557</v>
      </c>
      <c r="B9059" s="3" t="s">
        <v>798</v>
      </c>
      <c r="C9059" s="1">
        <v>43300101</v>
      </c>
      <c r="D9059" t="s">
        <v>67</v>
      </c>
      <c r="H9059" t="str">
        <f t="shared" si="947"/>
        <v>01612890622</v>
      </c>
      <c r="I9059" t="str">
        <f t="shared" si="947"/>
        <v>01612890622</v>
      </c>
      <c r="K9059" t="str">
        <f>""</f>
        <v/>
      </c>
      <c r="M9059" t="s">
        <v>68</v>
      </c>
      <c r="N9059" t="str">
        <f t="shared" si="948"/>
        <v>FOR</v>
      </c>
      <c r="O9059" t="s">
        <v>69</v>
      </c>
      <c r="P9059" s="3" t="s">
        <v>75</v>
      </c>
      <c r="Q9059">
        <v>2015</v>
      </c>
      <c r="R9059" s="2">
        <v>42369</v>
      </c>
      <c r="S9059" s="2">
        <v>42369</v>
      </c>
      <c r="T9059" s="2">
        <v>42369</v>
      </c>
      <c r="U9059" s="2">
        <v>42429</v>
      </c>
      <c r="V9059" t="s">
        <v>71</v>
      </c>
      <c r="W9059" t="str">
        <f>"               32/PA"</f>
        <v xml:space="preserve">               32/PA</v>
      </c>
      <c r="X9059">
        <v>732</v>
      </c>
      <c r="Y9059">
        <v>0</v>
      </c>
      <c r="Z9059"/>
      <c r="AB9059"/>
      <c r="AC9059">
        <v>600</v>
      </c>
      <c r="AD9059">
        <v>99</v>
      </c>
      <c r="AE9059" s="1">
        <v>59400</v>
      </c>
      <c r="AF9059">
        <v>0</v>
      </c>
      <c r="AJ9059">
        <v>0</v>
      </c>
      <c r="AK9059">
        <v>0</v>
      </c>
      <c r="AL9059">
        <v>0</v>
      </c>
      <c r="AM9059">
        <v>0</v>
      </c>
      <c r="AN9059">
        <v>0</v>
      </c>
      <c r="AO9059">
        <v>0</v>
      </c>
      <c r="AP9059" s="2">
        <v>42746</v>
      </c>
      <c r="AQ9059" t="s">
        <v>72</v>
      </c>
      <c r="AR9059" t="s">
        <v>72</v>
      </c>
      <c r="AS9059">
        <v>1561</v>
      </c>
      <c r="AT9059" s="4">
        <v>42528</v>
      </c>
      <c r="AU9059" t="s">
        <v>73</v>
      </c>
      <c r="AV9059">
        <v>1561</v>
      </c>
      <c r="AW9059" s="4">
        <v>42528</v>
      </c>
      <c r="BD9059">
        <v>0</v>
      </c>
      <c r="BN9059" t="s">
        <v>74</v>
      </c>
    </row>
    <row r="9060" spans="1:66" hidden="1">
      <c r="A9060">
        <v>106557</v>
      </c>
      <c r="B9060" s="3" t="s">
        <v>798</v>
      </c>
      <c r="C9060" s="1">
        <v>43300101</v>
      </c>
      <c r="D9060" t="s">
        <v>67</v>
      </c>
      <c r="H9060" t="str">
        <f t="shared" si="947"/>
        <v>01612890622</v>
      </c>
      <c r="I9060" t="str">
        <f t="shared" si="947"/>
        <v>01612890622</v>
      </c>
      <c r="K9060" t="str">
        <f>""</f>
        <v/>
      </c>
      <c r="M9060" t="s">
        <v>68</v>
      </c>
      <c r="N9060" t="str">
        <f t="shared" si="948"/>
        <v>FOR</v>
      </c>
      <c r="O9060" t="s">
        <v>69</v>
      </c>
      <c r="P9060" s="3" t="s">
        <v>75</v>
      </c>
      <c r="Q9060">
        <v>2015</v>
      </c>
      <c r="R9060" s="2">
        <v>42369</v>
      </c>
      <c r="S9060" s="2">
        <v>42369</v>
      </c>
      <c r="T9060" s="2">
        <v>42369</v>
      </c>
      <c r="U9060" s="2">
        <v>42429</v>
      </c>
      <c r="V9060" t="s">
        <v>71</v>
      </c>
      <c r="W9060" t="str">
        <f>"               33/PA"</f>
        <v xml:space="preserve">               33/PA</v>
      </c>
      <c r="X9060" s="1">
        <v>2295.5500000000002</v>
      </c>
      <c r="Y9060">
        <v>0</v>
      </c>
      <c r="Z9060"/>
      <c r="AB9060"/>
      <c r="AC9060" s="1">
        <v>1881.6</v>
      </c>
      <c r="AD9060">
        <v>99</v>
      </c>
      <c r="AE9060" s="1">
        <v>186278.39999999999</v>
      </c>
      <c r="AF9060">
        <v>0</v>
      </c>
      <c r="AJ9060">
        <v>0</v>
      </c>
      <c r="AK9060">
        <v>0</v>
      </c>
      <c r="AL9060">
        <v>0</v>
      </c>
      <c r="AM9060">
        <v>0</v>
      </c>
      <c r="AN9060">
        <v>0</v>
      </c>
      <c r="AO9060">
        <v>0</v>
      </c>
      <c r="AP9060" s="2">
        <v>42746</v>
      </c>
      <c r="AQ9060" t="s">
        <v>72</v>
      </c>
      <c r="AR9060" t="s">
        <v>72</v>
      </c>
      <c r="AS9060">
        <v>1561</v>
      </c>
      <c r="AT9060" s="4">
        <v>42528</v>
      </c>
      <c r="AU9060" t="s">
        <v>73</v>
      </c>
      <c r="AV9060">
        <v>1561</v>
      </c>
      <c r="AW9060" s="4">
        <v>42528</v>
      </c>
      <c r="BD9060">
        <v>0</v>
      </c>
      <c r="BN9060" t="s">
        <v>74</v>
      </c>
    </row>
    <row r="9061" spans="1:66">
      <c r="A9061">
        <v>106557</v>
      </c>
      <c r="B9061" s="3" t="s">
        <v>798</v>
      </c>
      <c r="C9061" s="1">
        <v>43300101</v>
      </c>
      <c r="D9061" t="s">
        <v>67</v>
      </c>
      <c r="H9061" t="str">
        <f t="shared" si="947"/>
        <v>01612890622</v>
      </c>
      <c r="I9061" t="str">
        <f t="shared" si="947"/>
        <v>01612890622</v>
      </c>
      <c r="K9061" t="str">
        <f>""</f>
        <v/>
      </c>
      <c r="M9061" t="s">
        <v>68</v>
      </c>
      <c r="N9061" t="str">
        <f t="shared" si="948"/>
        <v>FOR</v>
      </c>
      <c r="O9061" t="s">
        <v>69</v>
      </c>
      <c r="P9061" s="3" t="s">
        <v>75</v>
      </c>
      <c r="Q9061">
        <v>2016</v>
      </c>
      <c r="R9061" s="2">
        <v>42460</v>
      </c>
      <c r="S9061" s="2">
        <v>42465</v>
      </c>
      <c r="T9061" s="2">
        <v>42464</v>
      </c>
      <c r="U9061" s="2">
        <v>42524</v>
      </c>
      <c r="V9061" t="s">
        <v>71</v>
      </c>
      <c r="W9061" t="str">
        <f>"                4/PA"</f>
        <v xml:space="preserve">                4/PA</v>
      </c>
      <c r="X9061">
        <v>358.68</v>
      </c>
      <c r="Y9061">
        <v>0</v>
      </c>
      <c r="Z9061" s="3">
        <v>294</v>
      </c>
      <c r="AA9061">
        <v>157</v>
      </c>
      <c r="AB9061" s="5">
        <v>46158</v>
      </c>
      <c r="AC9061">
        <v>294</v>
      </c>
      <c r="AD9061">
        <v>157</v>
      </c>
      <c r="AE9061" s="1">
        <v>46158</v>
      </c>
      <c r="AF9061">
        <v>64.680000000000007</v>
      </c>
      <c r="AJ9061">
        <v>0</v>
      </c>
      <c r="AK9061">
        <v>0</v>
      </c>
      <c r="AL9061">
        <v>0</v>
      </c>
      <c r="AM9061">
        <v>358.68</v>
      </c>
      <c r="AN9061">
        <v>358.68</v>
      </c>
      <c r="AO9061">
        <v>358.68</v>
      </c>
      <c r="AP9061" s="2">
        <v>42746</v>
      </c>
      <c r="AQ9061" t="s">
        <v>72</v>
      </c>
      <c r="AR9061" t="s">
        <v>72</v>
      </c>
      <c r="AS9061">
        <v>2946</v>
      </c>
      <c r="AT9061" s="4">
        <v>42681</v>
      </c>
      <c r="AU9061" t="s">
        <v>73</v>
      </c>
      <c r="AV9061">
        <v>2946</v>
      </c>
      <c r="AW9061" s="4">
        <v>42681</v>
      </c>
      <c r="BD9061">
        <v>64.680000000000007</v>
      </c>
      <c r="BN9061" t="s">
        <v>74</v>
      </c>
    </row>
    <row r="9062" spans="1:66">
      <c r="A9062">
        <v>106557</v>
      </c>
      <c r="B9062" s="3" t="s">
        <v>798</v>
      </c>
      <c r="C9062" s="1">
        <v>43300101</v>
      </c>
      <c r="D9062" t="s">
        <v>67</v>
      </c>
      <c r="H9062" t="str">
        <f t="shared" si="947"/>
        <v>01612890622</v>
      </c>
      <c r="I9062" t="str">
        <f t="shared" si="947"/>
        <v>01612890622</v>
      </c>
      <c r="K9062" t="str">
        <f>""</f>
        <v/>
      </c>
      <c r="M9062" t="s">
        <v>68</v>
      </c>
      <c r="N9062" t="str">
        <f t="shared" si="948"/>
        <v>FOR</v>
      </c>
      <c r="O9062" t="s">
        <v>69</v>
      </c>
      <c r="P9062" s="3" t="s">
        <v>75</v>
      </c>
      <c r="Q9062">
        <v>2016</v>
      </c>
      <c r="R9062" s="2">
        <v>42460</v>
      </c>
      <c r="S9062" s="2">
        <v>42465</v>
      </c>
      <c r="T9062" s="2">
        <v>42464</v>
      </c>
      <c r="U9062" s="2">
        <v>42524</v>
      </c>
      <c r="V9062" t="s">
        <v>71</v>
      </c>
      <c r="W9062" t="str">
        <f>"                5/PA"</f>
        <v xml:space="preserve">                5/PA</v>
      </c>
      <c r="X9062">
        <v>451.4</v>
      </c>
      <c r="Y9062">
        <v>0</v>
      </c>
      <c r="Z9062" s="3">
        <v>370</v>
      </c>
      <c r="AA9062">
        <v>157</v>
      </c>
      <c r="AB9062" s="5">
        <v>58090</v>
      </c>
      <c r="AC9062">
        <v>370</v>
      </c>
      <c r="AD9062">
        <v>157</v>
      </c>
      <c r="AE9062" s="1">
        <v>58090</v>
      </c>
      <c r="AF9062">
        <v>81.400000000000006</v>
      </c>
      <c r="AJ9062">
        <v>0</v>
      </c>
      <c r="AK9062">
        <v>0</v>
      </c>
      <c r="AL9062">
        <v>0</v>
      </c>
      <c r="AM9062">
        <v>451.4</v>
      </c>
      <c r="AN9062">
        <v>451.4</v>
      </c>
      <c r="AO9062">
        <v>451.4</v>
      </c>
      <c r="AP9062" s="2">
        <v>42746</v>
      </c>
      <c r="AQ9062" t="s">
        <v>72</v>
      </c>
      <c r="AR9062" t="s">
        <v>72</v>
      </c>
      <c r="AS9062">
        <v>2946</v>
      </c>
      <c r="AT9062" s="4">
        <v>42681</v>
      </c>
      <c r="AU9062" t="s">
        <v>73</v>
      </c>
      <c r="AV9062">
        <v>2946</v>
      </c>
      <c r="AW9062" s="4">
        <v>42681</v>
      </c>
      <c r="BD9062">
        <v>81.400000000000006</v>
      </c>
      <c r="BN9062" t="s">
        <v>74</v>
      </c>
    </row>
    <row r="9063" spans="1:66">
      <c r="A9063">
        <v>106557</v>
      </c>
      <c r="B9063" s="3" t="s">
        <v>798</v>
      </c>
      <c r="C9063" s="1">
        <v>43300101</v>
      </c>
      <c r="D9063" t="s">
        <v>67</v>
      </c>
      <c r="H9063" t="str">
        <f t="shared" si="947"/>
        <v>01612890622</v>
      </c>
      <c r="I9063" t="str">
        <f t="shared" si="947"/>
        <v>01612890622</v>
      </c>
      <c r="K9063" t="str">
        <f>""</f>
        <v/>
      </c>
      <c r="M9063" t="s">
        <v>68</v>
      </c>
      <c r="N9063" t="str">
        <f t="shared" si="948"/>
        <v>FOR</v>
      </c>
      <c r="O9063" t="s">
        <v>69</v>
      </c>
      <c r="P9063" s="3" t="s">
        <v>75</v>
      </c>
      <c r="Q9063">
        <v>2016</v>
      </c>
      <c r="R9063" s="2">
        <v>42471</v>
      </c>
      <c r="S9063" s="2">
        <v>42471</v>
      </c>
      <c r="T9063" s="2">
        <v>42471</v>
      </c>
      <c r="U9063" s="2">
        <v>42531</v>
      </c>
      <c r="V9063" t="s">
        <v>71</v>
      </c>
      <c r="W9063" t="str">
        <f>"                6/PA"</f>
        <v xml:space="preserve">                6/PA</v>
      </c>
      <c r="X9063">
        <v>732</v>
      </c>
      <c r="Y9063">
        <v>0</v>
      </c>
      <c r="Z9063" s="3">
        <v>600</v>
      </c>
      <c r="AA9063">
        <v>151</v>
      </c>
      <c r="AB9063" s="5">
        <v>90600</v>
      </c>
      <c r="AC9063">
        <v>600</v>
      </c>
      <c r="AD9063">
        <v>151</v>
      </c>
      <c r="AE9063" s="1">
        <v>90600</v>
      </c>
      <c r="AF9063">
        <v>0</v>
      </c>
      <c r="AJ9063">
        <v>0</v>
      </c>
      <c r="AK9063">
        <v>0</v>
      </c>
      <c r="AL9063">
        <v>0</v>
      </c>
      <c r="AM9063">
        <v>732</v>
      </c>
      <c r="AN9063">
        <v>732</v>
      </c>
      <c r="AO9063">
        <v>732</v>
      </c>
      <c r="AP9063" s="2">
        <v>42746</v>
      </c>
      <c r="AQ9063" t="s">
        <v>72</v>
      </c>
      <c r="AR9063" t="s">
        <v>72</v>
      </c>
      <c r="AS9063">
        <v>2961</v>
      </c>
      <c r="AT9063" s="4">
        <v>42682</v>
      </c>
      <c r="AU9063" t="s">
        <v>73</v>
      </c>
      <c r="AV9063">
        <v>2961</v>
      </c>
      <c r="AW9063" s="4">
        <v>42682</v>
      </c>
      <c r="BD9063">
        <v>0</v>
      </c>
      <c r="BN9063" t="s">
        <v>74</v>
      </c>
    </row>
    <row r="9064" spans="1:66">
      <c r="A9064">
        <v>106557</v>
      </c>
      <c r="B9064" s="3" t="s">
        <v>798</v>
      </c>
      <c r="C9064" s="1">
        <v>43300101</v>
      </c>
      <c r="D9064" t="s">
        <v>67</v>
      </c>
      <c r="H9064" t="str">
        <f t="shared" si="947"/>
        <v>01612890622</v>
      </c>
      <c r="I9064" t="str">
        <f t="shared" si="947"/>
        <v>01612890622</v>
      </c>
      <c r="K9064" t="str">
        <f>""</f>
        <v/>
      </c>
      <c r="M9064" t="s">
        <v>68</v>
      </c>
      <c r="N9064" t="str">
        <f t="shared" si="948"/>
        <v>FOR</v>
      </c>
      <c r="O9064" t="s">
        <v>69</v>
      </c>
      <c r="P9064" s="3" t="s">
        <v>75</v>
      </c>
      <c r="Q9064">
        <v>2016</v>
      </c>
      <c r="R9064" s="2">
        <v>42500</v>
      </c>
      <c r="S9064" s="2">
        <v>42500</v>
      </c>
      <c r="T9064" s="2">
        <v>42500</v>
      </c>
      <c r="U9064" s="2">
        <v>42560</v>
      </c>
      <c r="V9064" t="s">
        <v>71</v>
      </c>
      <c r="W9064" t="str">
        <f>"                8/PA"</f>
        <v xml:space="preserve">                8/PA</v>
      </c>
      <c r="X9064" s="1">
        <v>36197.4</v>
      </c>
      <c r="Y9064">
        <v>0</v>
      </c>
      <c r="Z9064" s="5">
        <v>29670</v>
      </c>
      <c r="AA9064">
        <v>122</v>
      </c>
      <c r="AB9064" s="5">
        <v>3619740</v>
      </c>
      <c r="AC9064" s="1">
        <v>29670</v>
      </c>
      <c r="AD9064">
        <v>122</v>
      </c>
      <c r="AE9064" s="1">
        <v>3619740</v>
      </c>
      <c r="AF9064">
        <v>0</v>
      </c>
      <c r="AJ9064">
        <v>0</v>
      </c>
      <c r="AK9064">
        <v>0</v>
      </c>
      <c r="AL9064">
        <v>0</v>
      </c>
      <c r="AM9064" s="1">
        <v>36197.4</v>
      </c>
      <c r="AN9064" s="1">
        <v>36197.4</v>
      </c>
      <c r="AO9064" s="1">
        <v>36197.4</v>
      </c>
      <c r="AP9064" s="2">
        <v>42746</v>
      </c>
      <c r="AQ9064" t="s">
        <v>72</v>
      </c>
      <c r="AR9064" t="s">
        <v>72</v>
      </c>
      <c r="AS9064">
        <v>2961</v>
      </c>
      <c r="AT9064" s="4">
        <v>42682</v>
      </c>
      <c r="AU9064" t="s">
        <v>73</v>
      </c>
      <c r="AV9064">
        <v>2961</v>
      </c>
      <c r="AW9064" s="4">
        <v>42682</v>
      </c>
      <c r="BD9064">
        <v>0</v>
      </c>
      <c r="BN9064" t="s">
        <v>74</v>
      </c>
    </row>
    <row r="9065" spans="1:66">
      <c r="A9065">
        <v>106557</v>
      </c>
      <c r="B9065" s="3" t="s">
        <v>798</v>
      </c>
      <c r="C9065" s="1">
        <v>43300101</v>
      </c>
      <c r="D9065" t="s">
        <v>67</v>
      </c>
      <c r="H9065" t="str">
        <f t="shared" si="947"/>
        <v>01612890622</v>
      </c>
      <c r="I9065" t="str">
        <f t="shared" si="947"/>
        <v>01612890622</v>
      </c>
      <c r="K9065" t="str">
        <f>""</f>
        <v/>
      </c>
      <c r="M9065" t="s">
        <v>68</v>
      </c>
      <c r="N9065" t="str">
        <f t="shared" si="948"/>
        <v>FOR</v>
      </c>
      <c r="O9065" t="s">
        <v>69</v>
      </c>
      <c r="P9065" s="3" t="s">
        <v>75</v>
      </c>
      <c r="Q9065">
        <v>2016</v>
      </c>
      <c r="R9065" s="2">
        <v>42500</v>
      </c>
      <c r="S9065" s="2">
        <v>42500</v>
      </c>
      <c r="T9065" s="2">
        <v>42500</v>
      </c>
      <c r="U9065" s="2">
        <v>42560</v>
      </c>
      <c r="V9065" t="s">
        <v>71</v>
      </c>
      <c r="W9065" t="str">
        <f>"                9/PA"</f>
        <v xml:space="preserve">                9/PA</v>
      </c>
      <c r="X9065" s="1">
        <v>5124</v>
      </c>
      <c r="Y9065">
        <v>0</v>
      </c>
      <c r="Z9065" s="5">
        <v>4200</v>
      </c>
      <c r="AA9065">
        <v>122</v>
      </c>
      <c r="AB9065" s="5">
        <v>512400</v>
      </c>
      <c r="AC9065" s="1">
        <v>4200</v>
      </c>
      <c r="AD9065">
        <v>122</v>
      </c>
      <c r="AE9065" s="1">
        <v>512400</v>
      </c>
      <c r="AF9065">
        <v>0</v>
      </c>
      <c r="AJ9065">
        <v>0</v>
      </c>
      <c r="AK9065">
        <v>0</v>
      </c>
      <c r="AL9065">
        <v>0</v>
      </c>
      <c r="AM9065" s="1">
        <v>5124</v>
      </c>
      <c r="AN9065" s="1">
        <v>5124</v>
      </c>
      <c r="AO9065" s="1">
        <v>5124</v>
      </c>
      <c r="AP9065" s="2">
        <v>42746</v>
      </c>
      <c r="AQ9065" t="s">
        <v>72</v>
      </c>
      <c r="AR9065" t="s">
        <v>72</v>
      </c>
      <c r="AS9065">
        <v>2961</v>
      </c>
      <c r="AT9065" s="4">
        <v>42682</v>
      </c>
      <c r="AU9065" t="s">
        <v>73</v>
      </c>
      <c r="AV9065">
        <v>2961</v>
      </c>
      <c r="AW9065" s="4">
        <v>42682</v>
      </c>
      <c r="BD9065">
        <v>0</v>
      </c>
      <c r="BN9065" t="s">
        <v>74</v>
      </c>
    </row>
    <row r="9066" spans="1:66">
      <c r="A9066">
        <v>106557</v>
      </c>
      <c r="B9066" s="3" t="s">
        <v>798</v>
      </c>
      <c r="C9066" s="1">
        <v>43300101</v>
      </c>
      <c r="D9066" t="s">
        <v>67</v>
      </c>
      <c r="H9066" t="str">
        <f t="shared" si="947"/>
        <v>01612890622</v>
      </c>
      <c r="I9066" t="str">
        <f t="shared" si="947"/>
        <v>01612890622</v>
      </c>
      <c r="K9066" t="str">
        <f>""</f>
        <v/>
      </c>
      <c r="M9066" t="s">
        <v>68</v>
      </c>
      <c r="N9066" t="str">
        <f t="shared" si="948"/>
        <v>FOR</v>
      </c>
      <c r="O9066" t="s">
        <v>69</v>
      </c>
      <c r="P9066" s="3" t="s">
        <v>75</v>
      </c>
      <c r="Q9066">
        <v>2016</v>
      </c>
      <c r="R9066" s="2">
        <v>42521</v>
      </c>
      <c r="S9066" s="2">
        <v>42527</v>
      </c>
      <c r="T9066" s="2">
        <v>42524</v>
      </c>
      <c r="U9066" s="2">
        <v>42584</v>
      </c>
      <c r="V9066" t="s">
        <v>71</v>
      </c>
      <c r="W9066" t="str">
        <f>"               10/PA"</f>
        <v xml:space="preserve">               10/PA</v>
      </c>
      <c r="X9066">
        <v>335.5</v>
      </c>
      <c r="Y9066">
        <v>0</v>
      </c>
      <c r="Z9066" s="3">
        <v>275</v>
      </c>
      <c r="AA9066">
        <v>97</v>
      </c>
      <c r="AB9066" s="5">
        <v>26675</v>
      </c>
      <c r="AC9066">
        <v>275</v>
      </c>
      <c r="AD9066">
        <v>97</v>
      </c>
      <c r="AE9066" s="1">
        <v>26675</v>
      </c>
      <c r="AF9066">
        <v>60.5</v>
      </c>
      <c r="AJ9066">
        <v>0</v>
      </c>
      <c r="AK9066">
        <v>0</v>
      </c>
      <c r="AL9066">
        <v>0</v>
      </c>
      <c r="AM9066">
        <v>335.5</v>
      </c>
      <c r="AN9066">
        <v>335.5</v>
      </c>
      <c r="AO9066">
        <v>335.5</v>
      </c>
      <c r="AP9066" s="2">
        <v>42746</v>
      </c>
      <c r="AQ9066" t="s">
        <v>72</v>
      </c>
      <c r="AR9066" t="s">
        <v>72</v>
      </c>
      <c r="AS9066">
        <v>2946</v>
      </c>
      <c r="AT9066" s="4">
        <v>42681</v>
      </c>
      <c r="AU9066" t="s">
        <v>73</v>
      </c>
      <c r="AV9066">
        <v>2946</v>
      </c>
      <c r="AW9066" s="4">
        <v>42681</v>
      </c>
      <c r="BB9066">
        <v>60.5</v>
      </c>
      <c r="BD9066">
        <v>0</v>
      </c>
      <c r="BN9066" t="s">
        <v>74</v>
      </c>
    </row>
    <row r="9067" spans="1:66">
      <c r="A9067">
        <v>106557</v>
      </c>
      <c r="B9067" s="3" t="s">
        <v>798</v>
      </c>
      <c r="C9067" s="1">
        <v>43300101</v>
      </c>
      <c r="D9067" t="s">
        <v>67</v>
      </c>
      <c r="H9067" t="str">
        <f t="shared" si="947"/>
        <v>01612890622</v>
      </c>
      <c r="I9067" t="str">
        <f t="shared" si="947"/>
        <v>01612890622</v>
      </c>
      <c r="K9067" t="str">
        <f>""</f>
        <v/>
      </c>
      <c r="M9067" t="s">
        <v>68</v>
      </c>
      <c r="N9067" t="str">
        <f t="shared" si="948"/>
        <v>FOR</v>
      </c>
      <c r="O9067" t="s">
        <v>69</v>
      </c>
      <c r="P9067" s="3" t="s">
        <v>75</v>
      </c>
      <c r="Q9067">
        <v>2016</v>
      </c>
      <c r="R9067" s="2">
        <v>42521</v>
      </c>
      <c r="S9067" s="2">
        <v>42527</v>
      </c>
      <c r="T9067" s="2">
        <v>42524</v>
      </c>
      <c r="U9067" s="2">
        <v>42584</v>
      </c>
      <c r="V9067" t="s">
        <v>71</v>
      </c>
      <c r="W9067" t="str">
        <f>"               11/PA"</f>
        <v xml:space="preserve">               11/PA</v>
      </c>
      <c r="X9067">
        <v>244</v>
      </c>
      <c r="Y9067">
        <v>0</v>
      </c>
      <c r="Z9067" s="3">
        <v>200</v>
      </c>
      <c r="AA9067">
        <v>97</v>
      </c>
      <c r="AB9067" s="5">
        <v>19400</v>
      </c>
      <c r="AC9067">
        <v>200</v>
      </c>
      <c r="AD9067">
        <v>97</v>
      </c>
      <c r="AE9067" s="1">
        <v>19400</v>
      </c>
      <c r="AF9067">
        <v>44</v>
      </c>
      <c r="AJ9067">
        <v>0</v>
      </c>
      <c r="AK9067">
        <v>0</v>
      </c>
      <c r="AL9067">
        <v>0</v>
      </c>
      <c r="AM9067">
        <v>244</v>
      </c>
      <c r="AN9067">
        <v>244</v>
      </c>
      <c r="AO9067">
        <v>244</v>
      </c>
      <c r="AP9067" s="2">
        <v>42746</v>
      </c>
      <c r="AQ9067" t="s">
        <v>72</v>
      </c>
      <c r="AR9067" t="s">
        <v>72</v>
      </c>
      <c r="AS9067">
        <v>2946</v>
      </c>
      <c r="AT9067" s="4">
        <v>42681</v>
      </c>
      <c r="AU9067" t="s">
        <v>73</v>
      </c>
      <c r="AV9067">
        <v>2946</v>
      </c>
      <c r="AW9067" s="4">
        <v>42681</v>
      </c>
      <c r="BB9067">
        <v>44</v>
      </c>
      <c r="BD9067">
        <v>0</v>
      </c>
      <c r="BN9067" t="s">
        <v>74</v>
      </c>
    </row>
    <row r="9068" spans="1:66">
      <c r="A9068">
        <v>106557</v>
      </c>
      <c r="B9068" s="3" t="s">
        <v>798</v>
      </c>
      <c r="C9068" s="1">
        <v>43300101</v>
      </c>
      <c r="D9068" t="s">
        <v>67</v>
      </c>
      <c r="H9068" t="str">
        <f t="shared" si="947"/>
        <v>01612890622</v>
      </c>
      <c r="I9068" t="str">
        <f t="shared" si="947"/>
        <v>01612890622</v>
      </c>
      <c r="K9068" t="str">
        <f>""</f>
        <v/>
      </c>
      <c r="M9068" t="s">
        <v>68</v>
      </c>
      <c r="N9068" t="str">
        <f t="shared" si="948"/>
        <v>FOR</v>
      </c>
      <c r="O9068" t="s">
        <v>69</v>
      </c>
      <c r="P9068" s="3" t="s">
        <v>75</v>
      </c>
      <c r="Q9068">
        <v>2016</v>
      </c>
      <c r="R9068" s="2">
        <v>42521</v>
      </c>
      <c r="S9068" s="2">
        <v>42527</v>
      </c>
      <c r="T9068" s="2">
        <v>42524</v>
      </c>
      <c r="U9068" s="2">
        <v>42584</v>
      </c>
      <c r="V9068" t="s">
        <v>71</v>
      </c>
      <c r="W9068" t="str">
        <f>"               12/PA"</f>
        <v xml:space="preserve">               12/PA</v>
      </c>
      <c r="X9068">
        <v>366</v>
      </c>
      <c r="Y9068">
        <v>0</v>
      </c>
      <c r="Z9068" s="3">
        <v>300</v>
      </c>
      <c r="AA9068">
        <v>97</v>
      </c>
      <c r="AB9068" s="5">
        <v>29100</v>
      </c>
      <c r="AC9068">
        <v>300</v>
      </c>
      <c r="AD9068">
        <v>97</v>
      </c>
      <c r="AE9068" s="1">
        <v>29100</v>
      </c>
      <c r="AF9068">
        <v>66</v>
      </c>
      <c r="AJ9068">
        <v>0</v>
      </c>
      <c r="AK9068">
        <v>0</v>
      </c>
      <c r="AL9068">
        <v>0</v>
      </c>
      <c r="AM9068">
        <v>366</v>
      </c>
      <c r="AN9068">
        <v>366</v>
      </c>
      <c r="AO9068">
        <v>366</v>
      </c>
      <c r="AP9068" s="2">
        <v>42746</v>
      </c>
      <c r="AQ9068" t="s">
        <v>72</v>
      </c>
      <c r="AR9068" t="s">
        <v>72</v>
      </c>
      <c r="AS9068">
        <v>2946</v>
      </c>
      <c r="AT9068" s="4">
        <v>42681</v>
      </c>
      <c r="AU9068" t="s">
        <v>73</v>
      </c>
      <c r="AV9068">
        <v>2946</v>
      </c>
      <c r="AW9068" s="4">
        <v>42681</v>
      </c>
      <c r="BB9068">
        <v>66</v>
      </c>
      <c r="BD9068">
        <v>0</v>
      </c>
      <c r="BN9068" t="s">
        <v>74</v>
      </c>
    </row>
    <row r="9069" spans="1:66">
      <c r="A9069">
        <v>106557</v>
      </c>
      <c r="B9069" s="3" t="s">
        <v>798</v>
      </c>
      <c r="C9069" s="1">
        <v>43300101</v>
      </c>
      <c r="D9069" t="s">
        <v>67</v>
      </c>
      <c r="H9069" t="str">
        <f t="shared" si="947"/>
        <v>01612890622</v>
      </c>
      <c r="I9069" t="str">
        <f t="shared" si="947"/>
        <v>01612890622</v>
      </c>
      <c r="K9069" t="str">
        <f>""</f>
        <v/>
      </c>
      <c r="M9069" t="s">
        <v>68</v>
      </c>
      <c r="N9069" t="str">
        <f t="shared" si="948"/>
        <v>FOR</v>
      </c>
      <c r="O9069" t="s">
        <v>69</v>
      </c>
      <c r="P9069" s="3" t="s">
        <v>75</v>
      </c>
      <c r="Q9069">
        <v>2016</v>
      </c>
      <c r="R9069" s="2">
        <v>42521</v>
      </c>
      <c r="S9069" s="2">
        <v>42527</v>
      </c>
      <c r="T9069" s="2">
        <v>42524</v>
      </c>
      <c r="U9069" s="2">
        <v>42584</v>
      </c>
      <c r="V9069" t="s">
        <v>71</v>
      </c>
      <c r="W9069" t="str">
        <f>"               13/PA"</f>
        <v xml:space="preserve">               13/PA</v>
      </c>
      <c r="X9069">
        <v>567.29999999999995</v>
      </c>
      <c r="Y9069">
        <v>0</v>
      </c>
      <c r="Z9069" s="3">
        <v>465</v>
      </c>
      <c r="AA9069">
        <v>97</v>
      </c>
      <c r="AB9069" s="5">
        <v>45105</v>
      </c>
      <c r="AC9069">
        <v>465</v>
      </c>
      <c r="AD9069">
        <v>97</v>
      </c>
      <c r="AE9069" s="1">
        <v>45105</v>
      </c>
      <c r="AF9069">
        <v>102.3</v>
      </c>
      <c r="AJ9069">
        <v>0</v>
      </c>
      <c r="AK9069">
        <v>0</v>
      </c>
      <c r="AL9069">
        <v>0</v>
      </c>
      <c r="AM9069">
        <v>567.29999999999995</v>
      </c>
      <c r="AN9069">
        <v>567.29999999999995</v>
      </c>
      <c r="AO9069">
        <v>567.29999999999995</v>
      </c>
      <c r="AP9069" s="2">
        <v>42746</v>
      </c>
      <c r="AQ9069" t="s">
        <v>72</v>
      </c>
      <c r="AR9069" t="s">
        <v>72</v>
      </c>
      <c r="AS9069">
        <v>2946</v>
      </c>
      <c r="AT9069" s="4">
        <v>42681</v>
      </c>
      <c r="AU9069" t="s">
        <v>73</v>
      </c>
      <c r="AV9069">
        <v>2946</v>
      </c>
      <c r="AW9069" s="4">
        <v>42681</v>
      </c>
      <c r="BB9069">
        <v>102.3</v>
      </c>
      <c r="BD9069">
        <v>0</v>
      </c>
      <c r="BN9069" t="s">
        <v>74</v>
      </c>
    </row>
    <row r="9070" spans="1:66" hidden="1">
      <c r="A9070">
        <v>106558</v>
      </c>
      <c r="B9070" s="3" t="s">
        <v>799</v>
      </c>
      <c r="C9070" s="1">
        <v>43500101</v>
      </c>
      <c r="D9070" t="s">
        <v>113</v>
      </c>
      <c r="H9070" t="str">
        <f t="shared" ref="H9070:H9081" si="949">"FDRPRI80E71G596D"</f>
        <v>FDRPRI80E71G596D</v>
      </c>
      <c r="I9070" t="str">
        <f t="shared" ref="I9070:I9081" si="950">"01622840625"</f>
        <v>01622840625</v>
      </c>
      <c r="K9070" t="str">
        <f>""</f>
        <v/>
      </c>
      <c r="M9070" t="s">
        <v>68</v>
      </c>
      <c r="N9070" t="str">
        <f t="shared" ref="N9070:N9081" si="951">"ALTPRO"</f>
        <v>ALTPRO</v>
      </c>
      <c r="O9070" t="s">
        <v>132</v>
      </c>
      <c r="P9070" s="3" t="s">
        <v>75</v>
      </c>
      <c r="Q9070">
        <v>2016</v>
      </c>
      <c r="R9070" s="2">
        <v>42396</v>
      </c>
      <c r="S9070" s="2">
        <v>42402</v>
      </c>
      <c r="T9070" s="2">
        <v>42397</v>
      </c>
      <c r="U9070" s="2">
        <v>42457</v>
      </c>
      <c r="V9070" t="s">
        <v>71</v>
      </c>
      <c r="W9070" t="str">
        <f>"         FATTPA 1_16"</f>
        <v xml:space="preserve">         FATTPA 1_16</v>
      </c>
      <c r="X9070" s="1">
        <v>2530.64</v>
      </c>
      <c r="Y9070">
        <v>-505.73</v>
      </c>
      <c r="Z9070"/>
      <c r="AB9070"/>
      <c r="AC9070" s="1">
        <v>2024.91</v>
      </c>
      <c r="AD9070">
        <v>-31</v>
      </c>
      <c r="AE9070" s="1">
        <v>-62772.21</v>
      </c>
      <c r="AF9070">
        <v>0</v>
      </c>
      <c r="AJ9070">
        <v>0</v>
      </c>
      <c r="AK9070">
        <v>0</v>
      </c>
      <c r="AL9070">
        <v>0</v>
      </c>
      <c r="AM9070">
        <v>-505.73</v>
      </c>
      <c r="AN9070" s="1">
        <v>2024.91</v>
      </c>
      <c r="AO9070" s="1">
        <v>2024.91</v>
      </c>
      <c r="AP9070" s="2">
        <v>42746</v>
      </c>
      <c r="AQ9070" t="s">
        <v>72</v>
      </c>
      <c r="AR9070" t="s">
        <v>72</v>
      </c>
      <c r="AS9070">
        <v>582</v>
      </c>
      <c r="AT9070" s="4">
        <v>42426</v>
      </c>
      <c r="AV9070">
        <v>582</v>
      </c>
      <c r="AW9070" s="4">
        <v>42426</v>
      </c>
      <c r="BD9070">
        <v>0</v>
      </c>
      <c r="BN9070" t="s">
        <v>74</v>
      </c>
    </row>
    <row r="9071" spans="1:66" hidden="1">
      <c r="A9071">
        <v>106558</v>
      </c>
      <c r="B9071" s="3" t="s">
        <v>799</v>
      </c>
      <c r="C9071" s="1">
        <v>43500101</v>
      </c>
      <c r="D9071" t="s">
        <v>113</v>
      </c>
      <c r="H9071" t="str">
        <f t="shared" si="949"/>
        <v>FDRPRI80E71G596D</v>
      </c>
      <c r="I9071" t="str">
        <f t="shared" si="950"/>
        <v>01622840625</v>
      </c>
      <c r="K9071" t="str">
        <f>""</f>
        <v/>
      </c>
      <c r="M9071" t="s">
        <v>68</v>
      </c>
      <c r="N9071" t="str">
        <f t="shared" si="951"/>
        <v>ALTPRO</v>
      </c>
      <c r="O9071" t="s">
        <v>132</v>
      </c>
      <c r="P9071" s="3" t="s">
        <v>75</v>
      </c>
      <c r="Q9071">
        <v>2016</v>
      </c>
      <c r="R9071" s="2">
        <v>42433</v>
      </c>
      <c r="S9071" s="2">
        <v>42436</v>
      </c>
      <c r="T9071" s="2">
        <v>42433</v>
      </c>
      <c r="U9071" s="2">
        <v>42493</v>
      </c>
      <c r="V9071" t="s">
        <v>71</v>
      </c>
      <c r="W9071" t="str">
        <f>"         FATTPA 2_16"</f>
        <v xml:space="preserve">         FATTPA 2_16</v>
      </c>
      <c r="X9071" s="1">
        <v>2530.64</v>
      </c>
      <c r="Y9071">
        <v>-505.73</v>
      </c>
      <c r="Z9071"/>
      <c r="AB9071"/>
      <c r="AC9071" s="1">
        <v>2024.91</v>
      </c>
      <c r="AD9071">
        <v>-42</v>
      </c>
      <c r="AE9071" s="1">
        <v>-85046.22</v>
      </c>
      <c r="AF9071">
        <v>0</v>
      </c>
      <c r="AJ9071">
        <v>0</v>
      </c>
      <c r="AK9071">
        <v>0</v>
      </c>
      <c r="AL9071">
        <v>0</v>
      </c>
      <c r="AM9071" s="1">
        <v>2024.91</v>
      </c>
      <c r="AN9071" s="1">
        <v>2024.91</v>
      </c>
      <c r="AO9071" s="1">
        <v>2024.91</v>
      </c>
      <c r="AP9071" s="2">
        <v>42746</v>
      </c>
      <c r="AQ9071" t="s">
        <v>72</v>
      </c>
      <c r="AR9071" t="s">
        <v>72</v>
      </c>
      <c r="AS9071">
        <v>718</v>
      </c>
      <c r="AT9071" s="4">
        <v>42451</v>
      </c>
      <c r="AV9071">
        <v>718</v>
      </c>
      <c r="AW9071" s="4">
        <v>42451</v>
      </c>
      <c r="BD9071">
        <v>0</v>
      </c>
      <c r="BN9071" t="s">
        <v>74</v>
      </c>
    </row>
    <row r="9072" spans="1:66" hidden="1">
      <c r="A9072">
        <v>106558</v>
      </c>
      <c r="B9072" s="3" t="s">
        <v>799</v>
      </c>
      <c r="C9072" s="1">
        <v>43500101</v>
      </c>
      <c r="D9072" t="s">
        <v>113</v>
      </c>
      <c r="H9072" t="str">
        <f t="shared" si="949"/>
        <v>FDRPRI80E71G596D</v>
      </c>
      <c r="I9072" t="str">
        <f t="shared" si="950"/>
        <v>01622840625</v>
      </c>
      <c r="K9072" t="str">
        <f>""</f>
        <v/>
      </c>
      <c r="M9072" t="s">
        <v>68</v>
      </c>
      <c r="N9072" t="str">
        <f t="shared" si="951"/>
        <v>ALTPRO</v>
      </c>
      <c r="O9072" t="s">
        <v>132</v>
      </c>
      <c r="P9072" s="3" t="s">
        <v>75</v>
      </c>
      <c r="Q9072">
        <v>2016</v>
      </c>
      <c r="R9072" s="2">
        <v>42433</v>
      </c>
      <c r="S9072" s="2">
        <v>42436</v>
      </c>
      <c r="T9072" s="2">
        <v>42433</v>
      </c>
      <c r="U9072" s="2">
        <v>42493</v>
      </c>
      <c r="V9072" t="s">
        <v>71</v>
      </c>
      <c r="W9072" t="str">
        <f>"         FATTPA 3_16"</f>
        <v xml:space="preserve">         FATTPA 3_16</v>
      </c>
      <c r="X9072" s="1">
        <v>2636</v>
      </c>
      <c r="Y9072">
        <v>-526.79999999999995</v>
      </c>
      <c r="Z9072"/>
      <c r="AB9072"/>
      <c r="AC9072" s="1">
        <v>2109.1999999999998</v>
      </c>
      <c r="AD9072">
        <v>-42</v>
      </c>
      <c r="AE9072" s="1">
        <v>-88586.4</v>
      </c>
      <c r="AF9072">
        <v>0</v>
      </c>
      <c r="AJ9072">
        <v>0</v>
      </c>
      <c r="AK9072">
        <v>0</v>
      </c>
      <c r="AL9072">
        <v>0</v>
      </c>
      <c r="AM9072" s="1">
        <v>2109.1999999999998</v>
      </c>
      <c r="AN9072" s="1">
        <v>2109.1999999999998</v>
      </c>
      <c r="AO9072" s="1">
        <v>2109.1999999999998</v>
      </c>
      <c r="AP9072" s="2">
        <v>42746</v>
      </c>
      <c r="AQ9072" t="s">
        <v>72</v>
      </c>
      <c r="AR9072" t="s">
        <v>72</v>
      </c>
      <c r="AS9072">
        <v>718</v>
      </c>
      <c r="AT9072" s="4">
        <v>42451</v>
      </c>
      <c r="AV9072">
        <v>718</v>
      </c>
      <c r="AW9072" s="4">
        <v>42451</v>
      </c>
      <c r="BD9072">
        <v>0</v>
      </c>
      <c r="BN9072" t="s">
        <v>74</v>
      </c>
    </row>
    <row r="9073" spans="1:66" hidden="1">
      <c r="A9073">
        <v>106558</v>
      </c>
      <c r="B9073" s="3" t="s">
        <v>799</v>
      </c>
      <c r="C9073" s="1">
        <v>43500101</v>
      </c>
      <c r="D9073" t="s">
        <v>113</v>
      </c>
      <c r="H9073" t="str">
        <f t="shared" si="949"/>
        <v>FDRPRI80E71G596D</v>
      </c>
      <c r="I9073" t="str">
        <f t="shared" si="950"/>
        <v>01622840625</v>
      </c>
      <c r="K9073" t="str">
        <f>""</f>
        <v/>
      </c>
      <c r="M9073" t="s">
        <v>68</v>
      </c>
      <c r="N9073" t="str">
        <f t="shared" si="951"/>
        <v>ALTPRO</v>
      </c>
      <c r="O9073" t="s">
        <v>132</v>
      </c>
      <c r="P9073" s="3" t="s">
        <v>75</v>
      </c>
      <c r="Q9073">
        <v>2016</v>
      </c>
      <c r="R9073" s="2">
        <v>42461</v>
      </c>
      <c r="S9073" s="2">
        <v>42464</v>
      </c>
      <c r="T9073" s="2">
        <v>42461</v>
      </c>
      <c r="U9073" s="2">
        <v>42521</v>
      </c>
      <c r="V9073" t="s">
        <v>71</v>
      </c>
      <c r="W9073" t="str">
        <f>"         FATTPA 4_16"</f>
        <v xml:space="preserve">         FATTPA 4_16</v>
      </c>
      <c r="X9073" s="1">
        <v>2741.36</v>
      </c>
      <c r="Y9073">
        <v>-547.87</v>
      </c>
      <c r="Z9073"/>
      <c r="AB9073"/>
      <c r="AC9073" s="1">
        <v>2193.4899999999998</v>
      </c>
      <c r="AD9073">
        <v>-34</v>
      </c>
      <c r="AE9073" s="1">
        <v>-74578.66</v>
      </c>
      <c r="AF9073">
        <v>0</v>
      </c>
      <c r="AJ9073">
        <v>0</v>
      </c>
      <c r="AK9073">
        <v>0</v>
      </c>
      <c r="AL9073">
        <v>0</v>
      </c>
      <c r="AM9073" s="1">
        <v>2193.4899999999998</v>
      </c>
      <c r="AN9073" s="1">
        <v>2193.4899999999998</v>
      </c>
      <c r="AO9073" s="1">
        <v>2193.4899999999998</v>
      </c>
      <c r="AP9073" s="2">
        <v>42746</v>
      </c>
      <c r="AQ9073" t="s">
        <v>72</v>
      </c>
      <c r="AR9073" t="s">
        <v>72</v>
      </c>
      <c r="AS9073">
        <v>1159</v>
      </c>
      <c r="AT9073" s="4">
        <v>42487</v>
      </c>
      <c r="AV9073">
        <v>1159</v>
      </c>
      <c r="AW9073" s="4">
        <v>42487</v>
      </c>
      <c r="BD9073">
        <v>0</v>
      </c>
      <c r="BN9073" t="s">
        <v>74</v>
      </c>
    </row>
    <row r="9074" spans="1:66" hidden="1">
      <c r="A9074">
        <v>106558</v>
      </c>
      <c r="B9074" s="3" t="s">
        <v>799</v>
      </c>
      <c r="C9074" s="1">
        <v>43500101</v>
      </c>
      <c r="D9074" t="s">
        <v>113</v>
      </c>
      <c r="H9074" t="str">
        <f t="shared" si="949"/>
        <v>FDRPRI80E71G596D</v>
      </c>
      <c r="I9074" t="str">
        <f t="shared" si="950"/>
        <v>01622840625</v>
      </c>
      <c r="K9074" t="str">
        <f>""</f>
        <v/>
      </c>
      <c r="M9074" t="s">
        <v>68</v>
      </c>
      <c r="N9074" t="str">
        <f t="shared" si="951"/>
        <v>ALTPRO</v>
      </c>
      <c r="O9074" t="s">
        <v>132</v>
      </c>
      <c r="P9074" s="3" t="s">
        <v>75</v>
      </c>
      <c r="Q9074">
        <v>2016</v>
      </c>
      <c r="R9074" s="2">
        <v>42492</v>
      </c>
      <c r="S9074" s="2">
        <v>42493</v>
      </c>
      <c r="T9074" s="2">
        <v>42493</v>
      </c>
      <c r="U9074" s="2">
        <v>42553</v>
      </c>
      <c r="V9074" t="s">
        <v>71</v>
      </c>
      <c r="W9074" t="str">
        <f>"         FATTPA 5_16"</f>
        <v xml:space="preserve">         FATTPA 5_16</v>
      </c>
      <c r="X9074" s="1">
        <v>2636</v>
      </c>
      <c r="Y9074">
        <v>-526.79999999999995</v>
      </c>
      <c r="Z9074"/>
      <c r="AB9074"/>
      <c r="AC9074" s="1">
        <v>2109.1999999999998</v>
      </c>
      <c r="AD9074">
        <v>-37</v>
      </c>
      <c r="AE9074" s="1">
        <v>-78040.399999999994</v>
      </c>
      <c r="AF9074">
        <v>0</v>
      </c>
      <c r="AJ9074">
        <v>0</v>
      </c>
      <c r="AK9074">
        <v>0</v>
      </c>
      <c r="AL9074">
        <v>0</v>
      </c>
      <c r="AM9074" s="1">
        <v>2109.1999999999998</v>
      </c>
      <c r="AN9074" s="1">
        <v>2109.1999999999998</v>
      </c>
      <c r="AO9074" s="1">
        <v>2109.1999999999998</v>
      </c>
      <c r="AP9074" s="2">
        <v>42746</v>
      </c>
      <c r="AQ9074" t="s">
        <v>72</v>
      </c>
      <c r="AR9074" t="s">
        <v>72</v>
      </c>
      <c r="AS9074">
        <v>1391</v>
      </c>
      <c r="AT9074" s="4">
        <v>42516</v>
      </c>
      <c r="AV9074">
        <v>1391</v>
      </c>
      <c r="AW9074" s="4">
        <v>42516</v>
      </c>
      <c r="BD9074">
        <v>0</v>
      </c>
      <c r="BN9074" t="s">
        <v>74</v>
      </c>
    </row>
    <row r="9075" spans="1:66" hidden="1">
      <c r="A9075">
        <v>106558</v>
      </c>
      <c r="B9075" s="3" t="s">
        <v>799</v>
      </c>
      <c r="C9075" s="1">
        <v>43500101</v>
      </c>
      <c r="D9075" t="s">
        <v>113</v>
      </c>
      <c r="H9075" t="str">
        <f t="shared" si="949"/>
        <v>FDRPRI80E71G596D</v>
      </c>
      <c r="I9075" t="str">
        <f t="shared" si="950"/>
        <v>01622840625</v>
      </c>
      <c r="K9075" t="str">
        <f>""</f>
        <v/>
      </c>
      <c r="M9075" t="s">
        <v>68</v>
      </c>
      <c r="N9075" t="str">
        <f t="shared" si="951"/>
        <v>ALTPRO</v>
      </c>
      <c r="O9075" t="s">
        <v>132</v>
      </c>
      <c r="P9075" s="3" t="s">
        <v>75</v>
      </c>
      <c r="Q9075">
        <v>2016</v>
      </c>
      <c r="R9075" s="2">
        <v>42522</v>
      </c>
      <c r="S9075" s="2">
        <v>42527</v>
      </c>
      <c r="T9075" s="2">
        <v>42522</v>
      </c>
      <c r="U9075" s="2">
        <v>42582</v>
      </c>
      <c r="V9075" t="s">
        <v>71</v>
      </c>
      <c r="W9075" t="str">
        <f>"         FATTPA 6_16"</f>
        <v xml:space="preserve">         FATTPA 6_16</v>
      </c>
      <c r="X9075" s="1">
        <v>2741.36</v>
      </c>
      <c r="Y9075">
        <v>-547.87</v>
      </c>
      <c r="Z9075"/>
      <c r="AB9075"/>
      <c r="AC9075" s="1">
        <v>2193.4899999999998</v>
      </c>
      <c r="AD9075">
        <v>-54</v>
      </c>
      <c r="AE9075" s="1">
        <v>-118448.46</v>
      </c>
      <c r="AF9075">
        <v>0</v>
      </c>
      <c r="AJ9075">
        <v>0</v>
      </c>
      <c r="AK9075">
        <v>0</v>
      </c>
      <c r="AL9075">
        <v>0</v>
      </c>
      <c r="AM9075" s="1">
        <v>2193.4899999999998</v>
      </c>
      <c r="AN9075" s="1">
        <v>2193.4899999999998</v>
      </c>
      <c r="AO9075" s="1">
        <v>2193.4899999999998</v>
      </c>
      <c r="AP9075" s="2">
        <v>42746</v>
      </c>
      <c r="AQ9075" t="s">
        <v>72</v>
      </c>
      <c r="AR9075" t="s">
        <v>72</v>
      </c>
      <c r="AS9075">
        <v>1569</v>
      </c>
      <c r="AT9075" s="4">
        <v>42528</v>
      </c>
      <c r="AV9075">
        <v>1569</v>
      </c>
      <c r="AW9075" s="4">
        <v>42528</v>
      </c>
      <c r="BD9075">
        <v>0</v>
      </c>
      <c r="BN9075" t="s">
        <v>74</v>
      </c>
    </row>
    <row r="9076" spans="1:66" hidden="1">
      <c r="A9076">
        <v>106558</v>
      </c>
      <c r="B9076" s="3" t="s">
        <v>799</v>
      </c>
      <c r="C9076" s="1">
        <v>43500101</v>
      </c>
      <c r="D9076" t="s">
        <v>113</v>
      </c>
      <c r="H9076" t="str">
        <f t="shared" si="949"/>
        <v>FDRPRI80E71G596D</v>
      </c>
      <c r="I9076" t="str">
        <f t="shared" si="950"/>
        <v>01622840625</v>
      </c>
      <c r="K9076" t="str">
        <f>""</f>
        <v/>
      </c>
      <c r="M9076" t="s">
        <v>68</v>
      </c>
      <c r="N9076" t="str">
        <f t="shared" si="951"/>
        <v>ALTPRO</v>
      </c>
      <c r="O9076" t="s">
        <v>132</v>
      </c>
      <c r="P9076" s="3" t="s">
        <v>75</v>
      </c>
      <c r="Q9076">
        <v>2016</v>
      </c>
      <c r="R9076" s="2">
        <v>42562</v>
      </c>
      <c r="S9076" s="2">
        <v>42562</v>
      </c>
      <c r="T9076" s="2">
        <v>42562</v>
      </c>
      <c r="U9076" s="2">
        <v>42622</v>
      </c>
      <c r="V9076" t="s">
        <v>71</v>
      </c>
      <c r="W9076" t="str">
        <f>"         FATTPA 7_16"</f>
        <v xml:space="preserve">         FATTPA 7_16</v>
      </c>
      <c r="X9076" s="1">
        <v>2636</v>
      </c>
      <c r="Y9076">
        <v>-526.79999999999995</v>
      </c>
      <c r="Z9076"/>
      <c r="AB9076"/>
      <c r="AC9076" s="1">
        <v>2109.1999999999998</v>
      </c>
      <c r="AD9076">
        <v>-56</v>
      </c>
      <c r="AE9076" s="1">
        <v>-118115.2</v>
      </c>
      <c r="AF9076">
        <v>0</v>
      </c>
      <c r="AJ9076">
        <v>0</v>
      </c>
      <c r="AK9076">
        <v>0</v>
      </c>
      <c r="AL9076">
        <v>0</v>
      </c>
      <c r="AM9076" s="1">
        <v>2109.1999999999998</v>
      </c>
      <c r="AN9076" s="1">
        <v>2109.1999999999998</v>
      </c>
      <c r="AO9076" s="1">
        <v>2109.1999999999998</v>
      </c>
      <c r="AP9076" s="2">
        <v>42746</v>
      </c>
      <c r="AQ9076" t="s">
        <v>72</v>
      </c>
      <c r="AR9076" t="s">
        <v>72</v>
      </c>
      <c r="AS9076">
        <v>1782</v>
      </c>
      <c r="AT9076" s="4">
        <v>42566</v>
      </c>
      <c r="AV9076">
        <v>1782</v>
      </c>
      <c r="AW9076" s="4">
        <v>42566</v>
      </c>
      <c r="BD9076">
        <v>0</v>
      </c>
      <c r="BN9076" t="s">
        <v>74</v>
      </c>
    </row>
    <row r="9077" spans="1:66" hidden="1">
      <c r="A9077">
        <v>106558</v>
      </c>
      <c r="B9077" s="3" t="s">
        <v>799</v>
      </c>
      <c r="C9077" s="1">
        <v>43500101</v>
      </c>
      <c r="D9077" t="s">
        <v>113</v>
      </c>
      <c r="H9077" t="str">
        <f t="shared" si="949"/>
        <v>FDRPRI80E71G596D</v>
      </c>
      <c r="I9077" t="str">
        <f t="shared" si="950"/>
        <v>01622840625</v>
      </c>
      <c r="K9077" t="str">
        <f>""</f>
        <v/>
      </c>
      <c r="M9077" t="s">
        <v>68</v>
      </c>
      <c r="N9077" t="str">
        <f t="shared" si="951"/>
        <v>ALTPRO</v>
      </c>
      <c r="O9077" t="s">
        <v>132</v>
      </c>
      <c r="P9077" s="3" t="s">
        <v>75</v>
      </c>
      <c r="Q9077">
        <v>2016</v>
      </c>
      <c r="R9077" s="2">
        <v>42583</v>
      </c>
      <c r="S9077" s="2">
        <v>42583</v>
      </c>
      <c r="T9077" s="2">
        <v>42583</v>
      </c>
      <c r="U9077" s="2">
        <v>42643</v>
      </c>
      <c r="V9077" t="s">
        <v>71</v>
      </c>
      <c r="W9077" t="str">
        <f>"         FATTPA 8_16"</f>
        <v xml:space="preserve">         FATTPA 8_16</v>
      </c>
      <c r="X9077" s="1">
        <v>2741.36</v>
      </c>
      <c r="Y9077">
        <v>-547.87</v>
      </c>
      <c r="Z9077"/>
      <c r="AB9077"/>
      <c r="AC9077" s="1">
        <v>2193.4899999999998</v>
      </c>
      <c r="AD9077">
        <v>-58</v>
      </c>
      <c r="AE9077" s="1">
        <v>-127222.42</v>
      </c>
      <c r="AF9077">
        <v>0</v>
      </c>
      <c r="AJ9077">
        <v>0</v>
      </c>
      <c r="AK9077">
        <v>0</v>
      </c>
      <c r="AL9077">
        <v>0</v>
      </c>
      <c r="AM9077" s="1">
        <v>2193.4899999999998</v>
      </c>
      <c r="AN9077" s="1">
        <v>2193.4899999999998</v>
      </c>
      <c r="AO9077" s="1">
        <v>2193.4899999999998</v>
      </c>
      <c r="AP9077" s="2">
        <v>42746</v>
      </c>
      <c r="AQ9077" t="s">
        <v>72</v>
      </c>
      <c r="AR9077" t="s">
        <v>72</v>
      </c>
      <c r="AS9077">
        <v>2066</v>
      </c>
      <c r="AT9077" s="4">
        <v>42585</v>
      </c>
      <c r="AV9077">
        <v>2066</v>
      </c>
      <c r="AW9077" s="4">
        <v>42585</v>
      </c>
      <c r="BD9077">
        <v>0</v>
      </c>
      <c r="BN9077" t="s">
        <v>74</v>
      </c>
    </row>
    <row r="9078" spans="1:66">
      <c r="A9078">
        <v>106558</v>
      </c>
      <c r="B9078" s="3" t="s">
        <v>799</v>
      </c>
      <c r="C9078" s="1">
        <v>43500101</v>
      </c>
      <c r="D9078" t="s">
        <v>113</v>
      </c>
      <c r="H9078" t="str">
        <f t="shared" si="949"/>
        <v>FDRPRI80E71G596D</v>
      </c>
      <c r="I9078" t="str">
        <f t="shared" si="950"/>
        <v>01622840625</v>
      </c>
      <c r="K9078" t="str">
        <f>""</f>
        <v/>
      </c>
      <c r="M9078" t="s">
        <v>68</v>
      </c>
      <c r="N9078" t="str">
        <f t="shared" si="951"/>
        <v>ALTPRO</v>
      </c>
      <c r="O9078" t="s">
        <v>132</v>
      </c>
      <c r="P9078" s="3" t="s">
        <v>75</v>
      </c>
      <c r="Q9078">
        <v>2016</v>
      </c>
      <c r="R9078" s="2">
        <v>42618</v>
      </c>
      <c r="S9078" s="2">
        <v>42620</v>
      </c>
      <c r="T9078" s="2">
        <v>42620</v>
      </c>
      <c r="U9078" s="2">
        <v>42680</v>
      </c>
      <c r="V9078" t="s">
        <v>71</v>
      </c>
      <c r="W9078" t="str">
        <f>"         FATTPA 9_16"</f>
        <v xml:space="preserve">         FATTPA 9_16</v>
      </c>
      <c r="X9078" s="1">
        <v>2634</v>
      </c>
      <c r="Y9078">
        <v>-526.79999999999995</v>
      </c>
      <c r="Z9078" s="5">
        <v>2107.1999999999998</v>
      </c>
      <c r="AA9078">
        <v>-34</v>
      </c>
      <c r="AB9078" s="5">
        <v>-71644.800000000003</v>
      </c>
      <c r="AC9078" s="1">
        <v>2107.1999999999998</v>
      </c>
      <c r="AD9078">
        <v>-34</v>
      </c>
      <c r="AE9078" s="1">
        <v>-71644.800000000003</v>
      </c>
      <c r="AF9078">
        <v>0</v>
      </c>
      <c r="AJ9078">
        <v>0</v>
      </c>
      <c r="AK9078">
        <v>0</v>
      </c>
      <c r="AL9078">
        <v>0</v>
      </c>
      <c r="AM9078" s="1">
        <v>2107.1999999999998</v>
      </c>
      <c r="AN9078" s="1">
        <v>2107.1999999999998</v>
      </c>
      <c r="AO9078" s="1">
        <v>2107.1999999999998</v>
      </c>
      <c r="AP9078" s="2">
        <v>42746</v>
      </c>
      <c r="AQ9078" t="s">
        <v>72</v>
      </c>
      <c r="AR9078" t="s">
        <v>72</v>
      </c>
      <c r="AS9078">
        <v>2514</v>
      </c>
      <c r="AT9078" s="4">
        <v>42646</v>
      </c>
      <c r="AV9078">
        <v>2514</v>
      </c>
      <c r="AW9078" s="4">
        <v>42646</v>
      </c>
      <c r="BD9078">
        <v>0</v>
      </c>
      <c r="BN9078" t="s">
        <v>74</v>
      </c>
    </row>
    <row r="9079" spans="1:66">
      <c r="A9079">
        <v>106558</v>
      </c>
      <c r="B9079" s="3" t="s">
        <v>799</v>
      </c>
      <c r="C9079" s="1">
        <v>43500101</v>
      </c>
      <c r="D9079" t="s">
        <v>113</v>
      </c>
      <c r="H9079" t="str">
        <f t="shared" si="949"/>
        <v>FDRPRI80E71G596D</v>
      </c>
      <c r="I9079" t="str">
        <f t="shared" si="950"/>
        <v>01622840625</v>
      </c>
      <c r="K9079" t="str">
        <f>""</f>
        <v/>
      </c>
      <c r="M9079" t="s">
        <v>68</v>
      </c>
      <c r="N9079" t="str">
        <f t="shared" si="951"/>
        <v>ALTPRO</v>
      </c>
      <c r="O9079" t="s">
        <v>132</v>
      </c>
      <c r="P9079" s="3" t="s">
        <v>75</v>
      </c>
      <c r="Q9079">
        <v>2016</v>
      </c>
      <c r="R9079" s="2">
        <v>42646</v>
      </c>
      <c r="S9079" s="2">
        <v>42647</v>
      </c>
      <c r="T9079" s="2">
        <v>42646</v>
      </c>
      <c r="U9079" s="2">
        <v>42706</v>
      </c>
      <c r="V9079" t="s">
        <v>71</v>
      </c>
      <c r="W9079" t="str">
        <f>"        FATTPA 10_16"</f>
        <v xml:space="preserve">        FATTPA 10_16</v>
      </c>
      <c r="X9079" s="1">
        <v>2739.36</v>
      </c>
      <c r="Y9079">
        <v>-547.87</v>
      </c>
      <c r="Z9079" s="5">
        <v>2191.4899999999998</v>
      </c>
      <c r="AA9079">
        <v>-38</v>
      </c>
      <c r="AB9079" s="5">
        <v>-83276.62</v>
      </c>
      <c r="AC9079" s="1">
        <v>2191.4899999999998</v>
      </c>
      <c r="AD9079">
        <v>-38</v>
      </c>
      <c r="AE9079" s="1">
        <v>-83276.62</v>
      </c>
      <c r="AF9079">
        <v>0</v>
      </c>
      <c r="AJ9079">
        <v>-547.87</v>
      </c>
      <c r="AK9079" s="1">
        <v>2191.4899999999998</v>
      </c>
      <c r="AL9079" s="1">
        <v>2191.4899999999998</v>
      </c>
      <c r="AM9079" s="1">
        <v>2191.4899999999998</v>
      </c>
      <c r="AN9079" s="1">
        <v>2191.4899999999998</v>
      </c>
      <c r="AO9079" s="1">
        <v>2191.4899999999998</v>
      </c>
      <c r="AP9079" s="2">
        <v>42746</v>
      </c>
      <c r="AQ9079" t="s">
        <v>72</v>
      </c>
      <c r="AR9079" t="s">
        <v>72</v>
      </c>
      <c r="AS9079">
        <v>2860</v>
      </c>
      <c r="AT9079" s="4">
        <v>42668</v>
      </c>
      <c r="AV9079">
        <v>2860</v>
      </c>
      <c r="AW9079" s="4">
        <v>42668</v>
      </c>
      <c r="BD9079">
        <v>0</v>
      </c>
      <c r="BN9079" t="s">
        <v>74</v>
      </c>
    </row>
    <row r="9080" spans="1:66">
      <c r="A9080">
        <v>106558</v>
      </c>
      <c r="B9080" s="3" t="s">
        <v>799</v>
      </c>
      <c r="C9080" s="1">
        <v>43500101</v>
      </c>
      <c r="D9080" t="s">
        <v>113</v>
      </c>
      <c r="H9080" t="str">
        <f t="shared" si="949"/>
        <v>FDRPRI80E71G596D</v>
      </c>
      <c r="I9080" t="str">
        <f t="shared" si="950"/>
        <v>01622840625</v>
      </c>
      <c r="K9080" t="str">
        <f>""</f>
        <v/>
      </c>
      <c r="M9080" t="s">
        <v>68</v>
      </c>
      <c r="N9080" t="str">
        <f t="shared" si="951"/>
        <v>ALTPRO</v>
      </c>
      <c r="O9080" t="s">
        <v>132</v>
      </c>
      <c r="P9080" s="3" t="s">
        <v>75</v>
      </c>
      <c r="Q9080">
        <v>2016</v>
      </c>
      <c r="R9080" s="2">
        <v>42676</v>
      </c>
      <c r="S9080" s="2">
        <v>42677</v>
      </c>
      <c r="T9080" s="2">
        <v>42677</v>
      </c>
      <c r="U9080" s="2">
        <v>42737</v>
      </c>
      <c r="V9080" t="s">
        <v>71</v>
      </c>
      <c r="W9080" t="str">
        <f>"        FATTPA 11_16"</f>
        <v xml:space="preserve">        FATTPA 11_16</v>
      </c>
      <c r="X9080" s="1">
        <v>2739.36</v>
      </c>
      <c r="Y9080">
        <v>-547.87</v>
      </c>
      <c r="Z9080" s="5">
        <v>2191.4899999999998</v>
      </c>
      <c r="AA9080">
        <v>-59</v>
      </c>
      <c r="AB9080" s="5">
        <v>-129297.91</v>
      </c>
      <c r="AC9080" s="1">
        <v>2191.4899999999998</v>
      </c>
      <c r="AD9080">
        <v>-59</v>
      </c>
      <c r="AE9080" s="1">
        <v>-129297.91</v>
      </c>
      <c r="AF9080">
        <v>0</v>
      </c>
      <c r="AJ9080" s="1">
        <v>2191.4899999999998</v>
      </c>
      <c r="AK9080" s="1">
        <v>2191.4899999999998</v>
      </c>
      <c r="AL9080" s="1">
        <v>2191.4899999999998</v>
      </c>
      <c r="AM9080" s="1">
        <v>2191.4899999999998</v>
      </c>
      <c r="AN9080" s="1">
        <v>2191.4899999999998</v>
      </c>
      <c r="AO9080" s="1">
        <v>2191.4899999999998</v>
      </c>
      <c r="AP9080" s="2">
        <v>42746</v>
      </c>
      <c r="AQ9080" t="s">
        <v>72</v>
      </c>
      <c r="AR9080" t="s">
        <v>72</v>
      </c>
      <c r="AS9080">
        <v>2910</v>
      </c>
      <c r="AT9080" s="4">
        <v>42678</v>
      </c>
      <c r="AV9080">
        <v>2910</v>
      </c>
      <c r="AW9080" s="4">
        <v>42678</v>
      </c>
      <c r="BD9080">
        <v>0</v>
      </c>
      <c r="BN9080" t="s">
        <v>74</v>
      </c>
    </row>
    <row r="9081" spans="1:66">
      <c r="A9081">
        <v>106558</v>
      </c>
      <c r="B9081" s="3" t="s">
        <v>799</v>
      </c>
      <c r="C9081" s="1">
        <v>43500101</v>
      </c>
      <c r="D9081" t="s">
        <v>113</v>
      </c>
      <c r="H9081" t="str">
        <f t="shared" si="949"/>
        <v>FDRPRI80E71G596D</v>
      </c>
      <c r="I9081" t="str">
        <f t="shared" si="950"/>
        <v>01622840625</v>
      </c>
      <c r="K9081" t="str">
        <f>""</f>
        <v/>
      </c>
      <c r="M9081" t="s">
        <v>68</v>
      </c>
      <c r="N9081" t="str">
        <f t="shared" si="951"/>
        <v>ALTPRO</v>
      </c>
      <c r="O9081" t="s">
        <v>132</v>
      </c>
      <c r="P9081" s="3" t="s">
        <v>75</v>
      </c>
      <c r="Q9081">
        <v>2016</v>
      </c>
      <c r="R9081" s="2">
        <v>42706</v>
      </c>
      <c r="S9081" s="2">
        <v>42709</v>
      </c>
      <c r="T9081" s="2">
        <v>42706</v>
      </c>
      <c r="U9081" s="2">
        <v>42766</v>
      </c>
      <c r="V9081" t="s">
        <v>71</v>
      </c>
      <c r="W9081" t="str">
        <f>"        FATTPA 12_16"</f>
        <v xml:space="preserve">        FATTPA 12_16</v>
      </c>
      <c r="X9081" s="1">
        <v>2634</v>
      </c>
      <c r="Y9081">
        <v>-526.79999999999995</v>
      </c>
      <c r="Z9081" s="5">
        <v>2107.1999999999998</v>
      </c>
      <c r="AA9081">
        <v>-57</v>
      </c>
      <c r="AB9081" s="5">
        <v>-120110.39999999999</v>
      </c>
      <c r="AC9081" s="1">
        <v>2107.1999999999998</v>
      </c>
      <c r="AD9081">
        <v>-57</v>
      </c>
      <c r="AE9081" s="1">
        <v>-120110.39999999999</v>
      </c>
      <c r="AF9081">
        <v>0</v>
      </c>
      <c r="AJ9081" s="1">
        <v>2107.1999999999998</v>
      </c>
      <c r="AK9081" s="1">
        <v>2107.1999999999998</v>
      </c>
      <c r="AL9081" s="1">
        <v>2107.1999999999998</v>
      </c>
      <c r="AM9081" s="1">
        <v>2107.1999999999998</v>
      </c>
      <c r="AN9081" s="1">
        <v>2107.1999999999998</v>
      </c>
      <c r="AO9081" s="1">
        <v>2107.1999999999998</v>
      </c>
      <c r="AP9081" s="2">
        <v>42746</v>
      </c>
      <c r="AQ9081" t="s">
        <v>72</v>
      </c>
      <c r="AR9081" t="s">
        <v>72</v>
      </c>
      <c r="AS9081">
        <v>3341</v>
      </c>
      <c r="AT9081" s="4">
        <v>42709</v>
      </c>
      <c r="AV9081">
        <v>3341</v>
      </c>
      <c r="AW9081" s="4">
        <v>42709</v>
      </c>
      <c r="BD9081">
        <v>0</v>
      </c>
      <c r="BN9081" t="s">
        <v>74</v>
      </c>
    </row>
    <row r="9082" spans="1:66" hidden="1">
      <c r="A9082">
        <v>106559</v>
      </c>
      <c r="B9082" s="3" t="s">
        <v>800</v>
      </c>
      <c r="C9082" s="1">
        <v>43300101</v>
      </c>
      <c r="D9082" t="s">
        <v>67</v>
      </c>
      <c r="H9082" t="str">
        <f t="shared" ref="H9082:I9097" si="952">"08418370964"</f>
        <v>08418370964</v>
      </c>
      <c r="I9082" t="str">
        <f t="shared" si="952"/>
        <v>08418370964</v>
      </c>
      <c r="K9082" t="str">
        <f>""</f>
        <v/>
      </c>
      <c r="M9082" t="s">
        <v>68</v>
      </c>
      <c r="N9082" t="str">
        <f t="shared" ref="N9082:N9113" si="953">"FOR"</f>
        <v>FOR</v>
      </c>
      <c r="O9082" t="s">
        <v>69</v>
      </c>
      <c r="P9082" s="3" t="s">
        <v>75</v>
      </c>
      <c r="Q9082">
        <v>2015</v>
      </c>
      <c r="R9082" s="2">
        <v>42124</v>
      </c>
      <c r="S9082" s="2">
        <v>42131</v>
      </c>
      <c r="T9082" s="2">
        <v>42130</v>
      </c>
      <c r="U9082" s="2">
        <v>42190</v>
      </c>
      <c r="V9082" t="s">
        <v>71</v>
      </c>
      <c r="W9082" t="str">
        <f>"             0501897"</f>
        <v xml:space="preserve">             0501897</v>
      </c>
      <c r="X9082" s="1">
        <v>4025.53</v>
      </c>
      <c r="Y9082">
        <v>0</v>
      </c>
      <c r="Z9082"/>
      <c r="AB9082"/>
      <c r="AC9082" s="1">
        <v>3870.7</v>
      </c>
      <c r="AD9082">
        <v>330</v>
      </c>
      <c r="AE9082" s="1">
        <v>1277331</v>
      </c>
      <c r="AF9082">
        <v>0</v>
      </c>
      <c r="AJ9082">
        <v>0</v>
      </c>
      <c r="AK9082">
        <v>0</v>
      </c>
      <c r="AL9082">
        <v>0</v>
      </c>
      <c r="AM9082">
        <v>0</v>
      </c>
      <c r="AN9082">
        <v>0</v>
      </c>
      <c r="AO9082">
        <v>0</v>
      </c>
      <c r="AP9082" s="2">
        <v>42746</v>
      </c>
      <c r="AQ9082" t="s">
        <v>72</v>
      </c>
      <c r="AR9082" t="s">
        <v>72</v>
      </c>
      <c r="AS9082">
        <v>1421</v>
      </c>
      <c r="AT9082" s="4">
        <v>42520</v>
      </c>
      <c r="AU9082" t="s">
        <v>73</v>
      </c>
      <c r="AV9082">
        <v>1421</v>
      </c>
      <c r="AW9082" s="4">
        <v>42520</v>
      </c>
      <c r="BD9082">
        <v>0</v>
      </c>
      <c r="BN9082" t="s">
        <v>74</v>
      </c>
    </row>
    <row r="9083" spans="1:66" hidden="1">
      <c r="A9083">
        <v>106559</v>
      </c>
      <c r="B9083" s="3" t="s">
        <v>800</v>
      </c>
      <c r="C9083" s="1">
        <v>43300101</v>
      </c>
      <c r="D9083" t="s">
        <v>67</v>
      </c>
      <c r="H9083" t="str">
        <f t="shared" si="952"/>
        <v>08418370964</v>
      </c>
      <c r="I9083" t="str">
        <f t="shared" si="952"/>
        <v>08418370964</v>
      </c>
      <c r="K9083" t="str">
        <f>""</f>
        <v/>
      </c>
      <c r="M9083" t="s">
        <v>68</v>
      </c>
      <c r="N9083" t="str">
        <f t="shared" si="953"/>
        <v>FOR</v>
      </c>
      <c r="O9083" t="s">
        <v>69</v>
      </c>
      <c r="P9083" s="3" t="s">
        <v>75</v>
      </c>
      <c r="Q9083">
        <v>2015</v>
      </c>
      <c r="R9083" s="2">
        <v>42124</v>
      </c>
      <c r="S9083" s="2">
        <v>42131</v>
      </c>
      <c r="T9083" s="2">
        <v>42130</v>
      </c>
      <c r="U9083" s="2">
        <v>42190</v>
      </c>
      <c r="V9083" t="s">
        <v>71</v>
      </c>
      <c r="W9083" t="str">
        <f>"             0501915"</f>
        <v xml:space="preserve">             0501915</v>
      </c>
      <c r="X9083">
        <v>535.23</v>
      </c>
      <c r="Y9083">
        <v>0</v>
      </c>
      <c r="Z9083"/>
      <c r="AB9083"/>
      <c r="AC9083">
        <v>514.64</v>
      </c>
      <c r="AD9083">
        <v>330</v>
      </c>
      <c r="AE9083" s="1">
        <v>169831.2</v>
      </c>
      <c r="AF9083">
        <v>0</v>
      </c>
      <c r="AJ9083">
        <v>0</v>
      </c>
      <c r="AK9083">
        <v>0</v>
      </c>
      <c r="AL9083">
        <v>0</v>
      </c>
      <c r="AM9083">
        <v>0</v>
      </c>
      <c r="AN9083">
        <v>0</v>
      </c>
      <c r="AO9083">
        <v>0</v>
      </c>
      <c r="AP9083" s="2">
        <v>42746</v>
      </c>
      <c r="AQ9083" t="s">
        <v>72</v>
      </c>
      <c r="AR9083" t="s">
        <v>72</v>
      </c>
      <c r="AS9083">
        <v>1421</v>
      </c>
      <c r="AT9083" s="4">
        <v>42520</v>
      </c>
      <c r="AU9083" t="s">
        <v>73</v>
      </c>
      <c r="AV9083">
        <v>1421</v>
      </c>
      <c r="AW9083" s="4">
        <v>42520</v>
      </c>
      <c r="BD9083">
        <v>0</v>
      </c>
      <c r="BN9083" t="s">
        <v>74</v>
      </c>
    </row>
    <row r="9084" spans="1:66" hidden="1">
      <c r="A9084">
        <v>106559</v>
      </c>
      <c r="B9084" s="3" t="s">
        <v>800</v>
      </c>
      <c r="C9084" s="1">
        <v>43300101</v>
      </c>
      <c r="D9084" t="s">
        <v>67</v>
      </c>
      <c r="H9084" t="str">
        <f t="shared" si="952"/>
        <v>08418370964</v>
      </c>
      <c r="I9084" t="str">
        <f t="shared" si="952"/>
        <v>08418370964</v>
      </c>
      <c r="K9084" t="str">
        <f>""</f>
        <v/>
      </c>
      <c r="M9084" t="s">
        <v>68</v>
      </c>
      <c r="N9084" t="str">
        <f t="shared" si="953"/>
        <v>FOR</v>
      </c>
      <c r="O9084" t="s">
        <v>69</v>
      </c>
      <c r="P9084" s="3" t="s">
        <v>75</v>
      </c>
      <c r="Q9084">
        <v>2015</v>
      </c>
      <c r="R9084" s="2">
        <v>42185</v>
      </c>
      <c r="S9084" s="2">
        <v>42195</v>
      </c>
      <c r="T9084" s="2">
        <v>42190</v>
      </c>
      <c r="U9084" s="2">
        <v>42250</v>
      </c>
      <c r="V9084" t="s">
        <v>71</v>
      </c>
      <c r="W9084" t="str">
        <f>"             0504312"</f>
        <v xml:space="preserve">             0504312</v>
      </c>
      <c r="X9084" s="1">
        <v>3467.68</v>
      </c>
      <c r="Y9084">
        <v>0</v>
      </c>
      <c r="Z9084"/>
      <c r="AB9084"/>
      <c r="AC9084" s="1">
        <v>3334.31</v>
      </c>
      <c r="AD9084">
        <v>270</v>
      </c>
      <c r="AE9084" s="1">
        <v>900263.7</v>
      </c>
      <c r="AF9084">
        <v>0</v>
      </c>
      <c r="AJ9084">
        <v>0</v>
      </c>
      <c r="AK9084">
        <v>0</v>
      </c>
      <c r="AL9084">
        <v>0</v>
      </c>
      <c r="AM9084">
        <v>0</v>
      </c>
      <c r="AN9084">
        <v>0</v>
      </c>
      <c r="AO9084">
        <v>0</v>
      </c>
      <c r="AP9084" s="2">
        <v>42746</v>
      </c>
      <c r="AQ9084" t="s">
        <v>72</v>
      </c>
      <c r="AR9084" t="s">
        <v>72</v>
      </c>
      <c r="AS9084">
        <v>1420</v>
      </c>
      <c r="AT9084" s="4">
        <v>42520</v>
      </c>
      <c r="AU9084" t="s">
        <v>73</v>
      </c>
      <c r="AV9084">
        <v>1420</v>
      </c>
      <c r="AW9084" s="4">
        <v>42520</v>
      </c>
      <c r="BD9084">
        <v>0</v>
      </c>
      <c r="BN9084" t="s">
        <v>74</v>
      </c>
    </row>
    <row r="9085" spans="1:66" hidden="1">
      <c r="A9085">
        <v>106559</v>
      </c>
      <c r="B9085" s="3" t="s">
        <v>800</v>
      </c>
      <c r="C9085" s="1">
        <v>43300101</v>
      </c>
      <c r="D9085" t="s">
        <v>67</v>
      </c>
      <c r="H9085" t="str">
        <f t="shared" si="952"/>
        <v>08418370964</v>
      </c>
      <c r="I9085" t="str">
        <f t="shared" si="952"/>
        <v>08418370964</v>
      </c>
      <c r="K9085" t="str">
        <f>""</f>
        <v/>
      </c>
      <c r="M9085" t="s">
        <v>68</v>
      </c>
      <c r="N9085" t="str">
        <f t="shared" si="953"/>
        <v>FOR</v>
      </c>
      <c r="O9085" t="s">
        <v>69</v>
      </c>
      <c r="P9085" s="3" t="s">
        <v>75</v>
      </c>
      <c r="Q9085">
        <v>2015</v>
      </c>
      <c r="R9085" s="2">
        <v>42185</v>
      </c>
      <c r="S9085" s="2">
        <v>42195</v>
      </c>
      <c r="T9085" s="2">
        <v>42190</v>
      </c>
      <c r="U9085" s="2">
        <v>42250</v>
      </c>
      <c r="V9085" t="s">
        <v>71</v>
      </c>
      <c r="W9085" t="str">
        <f>"             0504313"</f>
        <v xml:space="preserve">             0504313</v>
      </c>
      <c r="X9085">
        <v>678.48</v>
      </c>
      <c r="Y9085">
        <v>0</v>
      </c>
      <c r="Z9085"/>
      <c r="AB9085"/>
      <c r="AC9085">
        <v>652.38</v>
      </c>
      <c r="AD9085">
        <v>270</v>
      </c>
      <c r="AE9085" s="1">
        <v>176142.6</v>
      </c>
      <c r="AF9085">
        <v>0</v>
      </c>
      <c r="AJ9085">
        <v>0</v>
      </c>
      <c r="AK9085">
        <v>0</v>
      </c>
      <c r="AL9085">
        <v>0</v>
      </c>
      <c r="AM9085">
        <v>0</v>
      </c>
      <c r="AN9085">
        <v>0</v>
      </c>
      <c r="AO9085">
        <v>0</v>
      </c>
      <c r="AP9085" s="2">
        <v>42746</v>
      </c>
      <c r="AQ9085" t="s">
        <v>72</v>
      </c>
      <c r="AR9085" t="s">
        <v>72</v>
      </c>
      <c r="AS9085">
        <v>1421</v>
      </c>
      <c r="AT9085" s="4">
        <v>42520</v>
      </c>
      <c r="AU9085" t="s">
        <v>73</v>
      </c>
      <c r="AV9085">
        <v>1421</v>
      </c>
      <c r="AW9085" s="4">
        <v>42520</v>
      </c>
      <c r="BD9085">
        <v>0</v>
      </c>
      <c r="BN9085" t="s">
        <v>74</v>
      </c>
    </row>
    <row r="9086" spans="1:66" hidden="1">
      <c r="A9086">
        <v>106559</v>
      </c>
      <c r="B9086" s="3" t="s">
        <v>800</v>
      </c>
      <c r="C9086" s="1">
        <v>43300101</v>
      </c>
      <c r="D9086" t="s">
        <v>67</v>
      </c>
      <c r="H9086" t="str">
        <f t="shared" si="952"/>
        <v>08418370964</v>
      </c>
      <c r="I9086" t="str">
        <f t="shared" si="952"/>
        <v>08418370964</v>
      </c>
      <c r="K9086" t="str">
        <f>""</f>
        <v/>
      </c>
      <c r="M9086" t="s">
        <v>68</v>
      </c>
      <c r="N9086" t="str">
        <f t="shared" si="953"/>
        <v>FOR</v>
      </c>
      <c r="O9086" t="s">
        <v>69</v>
      </c>
      <c r="P9086" s="3" t="s">
        <v>75</v>
      </c>
      <c r="Q9086">
        <v>2015</v>
      </c>
      <c r="R9086" s="2">
        <v>42277</v>
      </c>
      <c r="S9086" s="2">
        <v>42369</v>
      </c>
      <c r="T9086" s="2">
        <v>42282</v>
      </c>
      <c r="U9086" s="2">
        <v>42342</v>
      </c>
      <c r="V9086" t="s">
        <v>71</v>
      </c>
      <c r="W9086" t="str">
        <f>"             0507450"</f>
        <v xml:space="preserve">             0507450</v>
      </c>
      <c r="X9086" s="1">
        <v>3226.45</v>
      </c>
      <c r="Y9086">
        <v>0</v>
      </c>
      <c r="Z9086"/>
      <c r="AB9086"/>
      <c r="AC9086" s="1">
        <v>3102.36</v>
      </c>
      <c r="AD9086">
        <v>279</v>
      </c>
      <c r="AE9086" s="1">
        <v>865558.44</v>
      </c>
      <c r="AF9086">
        <v>0</v>
      </c>
      <c r="AJ9086">
        <v>0</v>
      </c>
      <c r="AK9086">
        <v>0</v>
      </c>
      <c r="AL9086">
        <v>0</v>
      </c>
      <c r="AM9086">
        <v>0</v>
      </c>
      <c r="AN9086">
        <v>0</v>
      </c>
      <c r="AO9086">
        <v>0</v>
      </c>
      <c r="AP9086" s="2">
        <v>42746</v>
      </c>
      <c r="AQ9086" t="s">
        <v>72</v>
      </c>
      <c r="AR9086" t="s">
        <v>72</v>
      </c>
      <c r="AS9086">
        <v>2367</v>
      </c>
      <c r="AT9086" s="4">
        <v>42621</v>
      </c>
      <c r="AU9086" t="s">
        <v>73</v>
      </c>
      <c r="AV9086">
        <v>2367</v>
      </c>
      <c r="AW9086" s="4">
        <v>42621</v>
      </c>
      <c r="BD9086">
        <v>0</v>
      </c>
      <c r="BN9086" t="s">
        <v>74</v>
      </c>
    </row>
    <row r="9087" spans="1:66" hidden="1">
      <c r="A9087">
        <v>106559</v>
      </c>
      <c r="B9087" s="3" t="s">
        <v>800</v>
      </c>
      <c r="C9087" s="1">
        <v>43300101</v>
      </c>
      <c r="D9087" t="s">
        <v>67</v>
      </c>
      <c r="H9087" t="str">
        <f t="shared" si="952"/>
        <v>08418370964</v>
      </c>
      <c r="I9087" t="str">
        <f t="shared" si="952"/>
        <v>08418370964</v>
      </c>
      <c r="K9087" t="str">
        <f>""</f>
        <v/>
      </c>
      <c r="M9087" t="s">
        <v>68</v>
      </c>
      <c r="N9087" t="str">
        <f t="shared" si="953"/>
        <v>FOR</v>
      </c>
      <c r="O9087" t="s">
        <v>69</v>
      </c>
      <c r="P9087" s="3" t="s">
        <v>75</v>
      </c>
      <c r="Q9087">
        <v>2015</v>
      </c>
      <c r="R9087" s="2">
        <v>42277</v>
      </c>
      <c r="S9087" s="2">
        <v>42369</v>
      </c>
      <c r="T9087" s="2">
        <v>42282</v>
      </c>
      <c r="U9087" s="2">
        <v>42342</v>
      </c>
      <c r="V9087" t="s">
        <v>71</v>
      </c>
      <c r="W9087" t="str">
        <f>"             0507451"</f>
        <v xml:space="preserve">             0507451</v>
      </c>
      <c r="X9087">
        <v>738.77</v>
      </c>
      <c r="Y9087">
        <v>0</v>
      </c>
      <c r="Z9087"/>
      <c r="AB9087"/>
      <c r="AC9087">
        <v>710.36</v>
      </c>
      <c r="AD9087">
        <v>279</v>
      </c>
      <c r="AE9087" s="1">
        <v>198190.44</v>
      </c>
      <c r="AF9087">
        <v>0</v>
      </c>
      <c r="AJ9087">
        <v>0</v>
      </c>
      <c r="AK9087">
        <v>0</v>
      </c>
      <c r="AL9087">
        <v>0</v>
      </c>
      <c r="AM9087">
        <v>0</v>
      </c>
      <c r="AN9087">
        <v>0</v>
      </c>
      <c r="AO9087">
        <v>0</v>
      </c>
      <c r="AP9087" s="2">
        <v>42746</v>
      </c>
      <c r="AQ9087" t="s">
        <v>72</v>
      </c>
      <c r="AR9087" t="s">
        <v>72</v>
      </c>
      <c r="AS9087">
        <v>2367</v>
      </c>
      <c r="AT9087" s="4">
        <v>42621</v>
      </c>
      <c r="AU9087" t="s">
        <v>73</v>
      </c>
      <c r="AV9087">
        <v>2367</v>
      </c>
      <c r="AW9087" s="4">
        <v>42621</v>
      </c>
      <c r="BD9087">
        <v>0</v>
      </c>
      <c r="BN9087" t="s">
        <v>74</v>
      </c>
    </row>
    <row r="9088" spans="1:66">
      <c r="A9088">
        <v>106559</v>
      </c>
      <c r="B9088" s="3" t="s">
        <v>800</v>
      </c>
      <c r="C9088" s="1">
        <v>43300101</v>
      </c>
      <c r="D9088" t="s">
        <v>67</v>
      </c>
      <c r="H9088" t="str">
        <f t="shared" si="952"/>
        <v>08418370964</v>
      </c>
      <c r="I9088" t="str">
        <f t="shared" si="952"/>
        <v>08418370964</v>
      </c>
      <c r="K9088" t="str">
        <f>""</f>
        <v/>
      </c>
      <c r="M9088" t="s">
        <v>68</v>
      </c>
      <c r="N9088" t="str">
        <f t="shared" si="953"/>
        <v>FOR</v>
      </c>
      <c r="O9088" t="s">
        <v>69</v>
      </c>
      <c r="P9088" s="3" t="s">
        <v>75</v>
      </c>
      <c r="Q9088">
        <v>2015</v>
      </c>
      <c r="R9088" s="2">
        <v>42308</v>
      </c>
      <c r="S9088" s="2">
        <v>42369</v>
      </c>
      <c r="T9088" s="2">
        <v>42317</v>
      </c>
      <c r="U9088" s="2">
        <v>42377</v>
      </c>
      <c r="V9088" t="s">
        <v>71</v>
      </c>
      <c r="W9088" t="str">
        <f>"             0508562"</f>
        <v xml:space="preserve">             0508562</v>
      </c>
      <c r="X9088" s="1">
        <v>3618.46</v>
      </c>
      <c r="Y9088">
        <v>0</v>
      </c>
      <c r="Z9088" s="5">
        <v>3479.29</v>
      </c>
      <c r="AA9088">
        <v>270</v>
      </c>
      <c r="AB9088" s="5">
        <v>939408.3</v>
      </c>
      <c r="AC9088" s="1">
        <v>3479.29</v>
      </c>
      <c r="AD9088">
        <v>270</v>
      </c>
      <c r="AE9088" s="1">
        <v>939408.3</v>
      </c>
      <c r="AF9088">
        <v>0</v>
      </c>
      <c r="AJ9088">
        <v>0</v>
      </c>
      <c r="AK9088">
        <v>0</v>
      </c>
      <c r="AL9088">
        <v>0</v>
      </c>
      <c r="AM9088">
        <v>0</v>
      </c>
      <c r="AN9088">
        <v>0</v>
      </c>
      <c r="AO9088">
        <v>0</v>
      </c>
      <c r="AP9088" s="2">
        <v>42746</v>
      </c>
      <c r="AQ9088" t="s">
        <v>72</v>
      </c>
      <c r="AR9088" t="s">
        <v>72</v>
      </c>
      <c r="AS9088">
        <v>2610</v>
      </c>
      <c r="AT9088" s="4">
        <v>42647</v>
      </c>
      <c r="AU9088" t="s">
        <v>73</v>
      </c>
      <c r="AV9088">
        <v>2610</v>
      </c>
      <c r="AW9088" s="4">
        <v>42647</v>
      </c>
      <c r="BD9088">
        <v>0</v>
      </c>
      <c r="BN9088" t="s">
        <v>74</v>
      </c>
    </row>
    <row r="9089" spans="1:66">
      <c r="A9089">
        <v>106559</v>
      </c>
      <c r="B9089" s="3" t="s">
        <v>800</v>
      </c>
      <c r="C9089" s="1">
        <v>43300101</v>
      </c>
      <c r="D9089" t="s">
        <v>67</v>
      </c>
      <c r="H9089" t="str">
        <f t="shared" si="952"/>
        <v>08418370964</v>
      </c>
      <c r="I9089" t="str">
        <f t="shared" si="952"/>
        <v>08418370964</v>
      </c>
      <c r="K9089" t="str">
        <f>""</f>
        <v/>
      </c>
      <c r="M9089" t="s">
        <v>68</v>
      </c>
      <c r="N9089" t="str">
        <f t="shared" si="953"/>
        <v>FOR</v>
      </c>
      <c r="O9089" t="s">
        <v>69</v>
      </c>
      <c r="P9089" s="3" t="s">
        <v>75</v>
      </c>
      <c r="Q9089">
        <v>2015</v>
      </c>
      <c r="R9089" s="2">
        <v>42308</v>
      </c>
      <c r="S9089" s="2">
        <v>42369</v>
      </c>
      <c r="T9089" s="2">
        <v>42317</v>
      </c>
      <c r="U9089" s="2">
        <v>42377</v>
      </c>
      <c r="V9089" t="s">
        <v>71</v>
      </c>
      <c r="W9089" t="str">
        <f>"             0508563"</f>
        <v xml:space="preserve">             0508563</v>
      </c>
      <c r="X9089">
        <v>799.07</v>
      </c>
      <c r="Y9089">
        <v>0</v>
      </c>
      <c r="Z9089" s="3">
        <v>768.34</v>
      </c>
      <c r="AA9089">
        <v>270</v>
      </c>
      <c r="AB9089" s="5">
        <v>207451.8</v>
      </c>
      <c r="AC9089">
        <v>768.34</v>
      </c>
      <c r="AD9089">
        <v>270</v>
      </c>
      <c r="AE9089" s="1">
        <v>207451.8</v>
      </c>
      <c r="AF9089">
        <v>0</v>
      </c>
      <c r="AJ9089">
        <v>0</v>
      </c>
      <c r="AK9089">
        <v>0</v>
      </c>
      <c r="AL9089">
        <v>0</v>
      </c>
      <c r="AM9089">
        <v>0</v>
      </c>
      <c r="AN9089">
        <v>0</v>
      </c>
      <c r="AO9089">
        <v>0</v>
      </c>
      <c r="AP9089" s="2">
        <v>42746</v>
      </c>
      <c r="AQ9089" t="s">
        <v>72</v>
      </c>
      <c r="AR9089" t="s">
        <v>72</v>
      </c>
      <c r="AS9089">
        <v>2610</v>
      </c>
      <c r="AT9089" s="4">
        <v>42647</v>
      </c>
      <c r="AU9089" t="s">
        <v>73</v>
      </c>
      <c r="AV9089">
        <v>2610</v>
      </c>
      <c r="AW9089" s="4">
        <v>42647</v>
      </c>
      <c r="BD9089">
        <v>0</v>
      </c>
      <c r="BN9089" t="s">
        <v>74</v>
      </c>
    </row>
    <row r="9090" spans="1:66">
      <c r="A9090">
        <v>106559</v>
      </c>
      <c r="B9090" s="3" t="s">
        <v>800</v>
      </c>
      <c r="C9090" s="1">
        <v>43300101</v>
      </c>
      <c r="D9090" t="s">
        <v>67</v>
      </c>
      <c r="H9090" t="str">
        <f t="shared" si="952"/>
        <v>08418370964</v>
      </c>
      <c r="I9090" t="str">
        <f t="shared" si="952"/>
        <v>08418370964</v>
      </c>
      <c r="K9090" t="str">
        <f>""</f>
        <v/>
      </c>
      <c r="M9090" t="s">
        <v>68</v>
      </c>
      <c r="N9090" t="str">
        <f t="shared" si="953"/>
        <v>FOR</v>
      </c>
      <c r="O9090" t="s">
        <v>69</v>
      </c>
      <c r="P9090" s="3" t="s">
        <v>75</v>
      </c>
      <c r="Q9090">
        <v>2015</v>
      </c>
      <c r="R9090" s="2">
        <v>42338</v>
      </c>
      <c r="S9090" s="2">
        <v>42369</v>
      </c>
      <c r="T9090" s="2">
        <v>42347</v>
      </c>
      <c r="U9090" s="2">
        <v>42407</v>
      </c>
      <c r="V9090" t="s">
        <v>71</v>
      </c>
      <c r="W9090" t="str">
        <f>"             0509783"</f>
        <v xml:space="preserve">             0509783</v>
      </c>
      <c r="X9090" s="1">
        <v>3995.37</v>
      </c>
      <c r="Y9090">
        <v>0</v>
      </c>
      <c r="Z9090" s="5">
        <v>3841.7</v>
      </c>
      <c r="AA9090">
        <v>275</v>
      </c>
      <c r="AB9090" s="5">
        <v>1056467.5</v>
      </c>
      <c r="AC9090" s="1">
        <v>3841.7</v>
      </c>
      <c r="AD9090">
        <v>275</v>
      </c>
      <c r="AE9090" s="1">
        <v>1056467.5</v>
      </c>
      <c r="AF9090">
        <v>0</v>
      </c>
      <c r="AJ9090">
        <v>0</v>
      </c>
      <c r="AK9090">
        <v>0</v>
      </c>
      <c r="AL9090">
        <v>0</v>
      </c>
      <c r="AM9090">
        <v>0</v>
      </c>
      <c r="AN9090">
        <v>0</v>
      </c>
      <c r="AO9090">
        <v>0</v>
      </c>
      <c r="AP9090" s="2">
        <v>42746</v>
      </c>
      <c r="AQ9090" t="s">
        <v>72</v>
      </c>
      <c r="AR9090" t="s">
        <v>72</v>
      </c>
      <c r="AS9090">
        <v>2978</v>
      </c>
      <c r="AT9090" s="4">
        <v>42682</v>
      </c>
      <c r="AU9090" t="s">
        <v>73</v>
      </c>
      <c r="AV9090">
        <v>2978</v>
      </c>
      <c r="AW9090" s="4">
        <v>42682</v>
      </c>
      <c r="BD9090">
        <v>0</v>
      </c>
      <c r="BN9090" t="s">
        <v>74</v>
      </c>
    </row>
    <row r="9091" spans="1:66">
      <c r="A9091">
        <v>106559</v>
      </c>
      <c r="B9091" s="3" t="s">
        <v>800</v>
      </c>
      <c r="C9091" s="1">
        <v>43300101</v>
      </c>
      <c r="D9091" t="s">
        <v>67</v>
      </c>
      <c r="H9091" t="str">
        <f t="shared" si="952"/>
        <v>08418370964</v>
      </c>
      <c r="I9091" t="str">
        <f t="shared" si="952"/>
        <v>08418370964</v>
      </c>
      <c r="K9091" t="str">
        <f>""</f>
        <v/>
      </c>
      <c r="M9091" t="s">
        <v>68</v>
      </c>
      <c r="N9091" t="str">
        <f t="shared" si="953"/>
        <v>FOR</v>
      </c>
      <c r="O9091" t="s">
        <v>69</v>
      </c>
      <c r="P9091" s="3" t="s">
        <v>75</v>
      </c>
      <c r="Q9091">
        <v>2015</v>
      </c>
      <c r="R9091" s="2">
        <v>42338</v>
      </c>
      <c r="S9091" s="2">
        <v>42369</v>
      </c>
      <c r="T9091" s="2">
        <v>42347</v>
      </c>
      <c r="U9091" s="2">
        <v>42407</v>
      </c>
      <c r="V9091" t="s">
        <v>71</v>
      </c>
      <c r="W9091" t="str">
        <f>"             0509784"</f>
        <v xml:space="preserve">             0509784</v>
      </c>
      <c r="X9091">
        <v>919.7</v>
      </c>
      <c r="Y9091">
        <v>0</v>
      </c>
      <c r="Z9091" s="3">
        <v>884.33</v>
      </c>
      <c r="AA9091">
        <v>275</v>
      </c>
      <c r="AB9091" s="5">
        <v>243190.75</v>
      </c>
      <c r="AC9091">
        <v>884.33</v>
      </c>
      <c r="AD9091">
        <v>275</v>
      </c>
      <c r="AE9091" s="1">
        <v>243190.75</v>
      </c>
      <c r="AF9091">
        <v>0</v>
      </c>
      <c r="AJ9091">
        <v>0</v>
      </c>
      <c r="AK9091">
        <v>0</v>
      </c>
      <c r="AL9091">
        <v>0</v>
      </c>
      <c r="AM9091">
        <v>0</v>
      </c>
      <c r="AN9091">
        <v>0</v>
      </c>
      <c r="AO9091">
        <v>0</v>
      </c>
      <c r="AP9091" s="2">
        <v>42746</v>
      </c>
      <c r="AQ9091" t="s">
        <v>72</v>
      </c>
      <c r="AR9091" t="s">
        <v>72</v>
      </c>
      <c r="AS9091">
        <v>2978</v>
      </c>
      <c r="AT9091" s="4">
        <v>42682</v>
      </c>
      <c r="AU9091" t="s">
        <v>73</v>
      </c>
      <c r="AV9091">
        <v>2978</v>
      </c>
      <c r="AW9091" s="4">
        <v>42682</v>
      </c>
      <c r="BD9091">
        <v>0</v>
      </c>
      <c r="BN9091" t="s">
        <v>74</v>
      </c>
    </row>
    <row r="9092" spans="1:66">
      <c r="A9092">
        <v>106559</v>
      </c>
      <c r="B9092" s="3" t="s">
        <v>800</v>
      </c>
      <c r="C9092" s="1">
        <v>43300101</v>
      </c>
      <c r="D9092" t="s">
        <v>67</v>
      </c>
      <c r="H9092" t="str">
        <f t="shared" si="952"/>
        <v>08418370964</v>
      </c>
      <c r="I9092" t="str">
        <f t="shared" si="952"/>
        <v>08418370964</v>
      </c>
      <c r="K9092" t="str">
        <f>""</f>
        <v/>
      </c>
      <c r="M9092" t="s">
        <v>68</v>
      </c>
      <c r="N9092" t="str">
        <f t="shared" si="953"/>
        <v>FOR</v>
      </c>
      <c r="O9092" t="s">
        <v>69</v>
      </c>
      <c r="P9092" s="3" t="s">
        <v>75</v>
      </c>
      <c r="Q9092">
        <v>2015</v>
      </c>
      <c r="R9092" s="2">
        <v>42369</v>
      </c>
      <c r="S9092" s="2">
        <v>42369</v>
      </c>
      <c r="T9092" s="2">
        <v>42369</v>
      </c>
      <c r="U9092" s="2">
        <v>42429</v>
      </c>
      <c r="V9092" t="s">
        <v>71</v>
      </c>
      <c r="W9092" t="str">
        <f>"             0510907"</f>
        <v xml:space="preserve">             0510907</v>
      </c>
      <c r="X9092">
        <v>618.16</v>
      </c>
      <c r="Y9092">
        <v>0</v>
      </c>
      <c r="Z9092" s="3">
        <v>594.38</v>
      </c>
      <c r="AA9092">
        <v>261</v>
      </c>
      <c r="AB9092" s="5">
        <v>155133.18</v>
      </c>
      <c r="AC9092">
        <v>594.38</v>
      </c>
      <c r="AD9092">
        <v>261</v>
      </c>
      <c r="AE9092" s="1">
        <v>155133.18</v>
      </c>
      <c r="AF9092">
        <v>0</v>
      </c>
      <c r="AJ9092">
        <v>0</v>
      </c>
      <c r="AK9092">
        <v>0</v>
      </c>
      <c r="AL9092">
        <v>0</v>
      </c>
      <c r="AM9092">
        <v>0</v>
      </c>
      <c r="AN9092">
        <v>0</v>
      </c>
      <c r="AO9092">
        <v>0</v>
      </c>
      <c r="AP9092" s="2">
        <v>42746</v>
      </c>
      <c r="AQ9092" t="s">
        <v>72</v>
      </c>
      <c r="AR9092" t="s">
        <v>72</v>
      </c>
      <c r="AS9092">
        <v>3138</v>
      </c>
      <c r="AT9092" s="4">
        <v>42690</v>
      </c>
      <c r="AU9092" t="s">
        <v>73</v>
      </c>
      <c r="AV9092">
        <v>3138</v>
      </c>
      <c r="AW9092" s="4">
        <v>42690</v>
      </c>
      <c r="BD9092">
        <v>0</v>
      </c>
      <c r="BN9092" t="s">
        <v>74</v>
      </c>
    </row>
    <row r="9093" spans="1:66">
      <c r="A9093">
        <v>106559</v>
      </c>
      <c r="B9093" s="3" t="s">
        <v>800</v>
      </c>
      <c r="C9093" s="1">
        <v>43300101</v>
      </c>
      <c r="D9093" t="s">
        <v>67</v>
      </c>
      <c r="H9093" t="str">
        <f t="shared" si="952"/>
        <v>08418370964</v>
      </c>
      <c r="I9093" t="str">
        <f t="shared" si="952"/>
        <v>08418370964</v>
      </c>
      <c r="K9093" t="str">
        <f>""</f>
        <v/>
      </c>
      <c r="M9093" t="s">
        <v>68</v>
      </c>
      <c r="N9093" t="str">
        <f t="shared" si="953"/>
        <v>FOR</v>
      </c>
      <c r="O9093" t="s">
        <v>69</v>
      </c>
      <c r="P9093" s="3" t="s">
        <v>75</v>
      </c>
      <c r="Q9093">
        <v>2015</v>
      </c>
      <c r="R9093" s="2">
        <v>42369</v>
      </c>
      <c r="S9093" s="2">
        <v>42369</v>
      </c>
      <c r="T9093" s="2">
        <v>42369</v>
      </c>
      <c r="U9093" s="2">
        <v>42429</v>
      </c>
      <c r="V9093" t="s">
        <v>71</v>
      </c>
      <c r="W9093" t="str">
        <f>"             0510908"</f>
        <v xml:space="preserve">             0510908</v>
      </c>
      <c r="X9093" s="1">
        <v>3957.69</v>
      </c>
      <c r="Y9093">
        <v>0</v>
      </c>
      <c r="Z9093" s="5">
        <v>3805.47</v>
      </c>
      <c r="AA9093">
        <v>261</v>
      </c>
      <c r="AB9093" s="5">
        <v>993227.67</v>
      </c>
      <c r="AC9093" s="1">
        <v>3805.47</v>
      </c>
      <c r="AD9093">
        <v>261</v>
      </c>
      <c r="AE9093" s="1">
        <v>993227.67</v>
      </c>
      <c r="AF9093">
        <v>0</v>
      </c>
      <c r="AJ9093">
        <v>0</v>
      </c>
      <c r="AK9093">
        <v>0</v>
      </c>
      <c r="AL9093">
        <v>0</v>
      </c>
      <c r="AM9093">
        <v>0</v>
      </c>
      <c r="AN9093">
        <v>0</v>
      </c>
      <c r="AO9093">
        <v>0</v>
      </c>
      <c r="AP9093" s="2">
        <v>42746</v>
      </c>
      <c r="AQ9093" t="s">
        <v>72</v>
      </c>
      <c r="AR9093" t="s">
        <v>72</v>
      </c>
      <c r="AS9093">
        <v>3138</v>
      </c>
      <c r="AT9093" s="4">
        <v>42690</v>
      </c>
      <c r="AU9093" t="s">
        <v>73</v>
      </c>
      <c r="AV9093">
        <v>3138</v>
      </c>
      <c r="AW9093" s="4">
        <v>42690</v>
      </c>
      <c r="BD9093">
        <v>0</v>
      </c>
      <c r="BN9093" t="s">
        <v>74</v>
      </c>
    </row>
    <row r="9094" spans="1:66">
      <c r="A9094">
        <v>106559</v>
      </c>
      <c r="B9094" s="3" t="s">
        <v>800</v>
      </c>
      <c r="C9094" s="1">
        <v>43300101</v>
      </c>
      <c r="D9094" t="s">
        <v>67</v>
      </c>
      <c r="H9094" t="str">
        <f t="shared" si="952"/>
        <v>08418370964</v>
      </c>
      <c r="I9094" t="str">
        <f t="shared" si="952"/>
        <v>08418370964</v>
      </c>
      <c r="K9094" t="str">
        <f>""</f>
        <v/>
      </c>
      <c r="M9094" t="s">
        <v>68</v>
      </c>
      <c r="N9094" t="str">
        <f t="shared" si="953"/>
        <v>FOR</v>
      </c>
      <c r="O9094" t="s">
        <v>69</v>
      </c>
      <c r="P9094" s="3" t="s">
        <v>75</v>
      </c>
      <c r="Q9094">
        <v>2016</v>
      </c>
      <c r="R9094" s="2">
        <v>42400</v>
      </c>
      <c r="S9094" s="2">
        <v>42464</v>
      </c>
      <c r="T9094" s="2">
        <v>42405</v>
      </c>
      <c r="U9094" s="2">
        <v>42465</v>
      </c>
      <c r="V9094" t="s">
        <v>71</v>
      </c>
      <c r="W9094" t="str">
        <f>"             0500820"</f>
        <v xml:space="preserve">             0500820</v>
      </c>
      <c r="X9094" s="1">
        <v>2939.99</v>
      </c>
      <c r="Y9094">
        <v>0</v>
      </c>
      <c r="Z9094" s="5">
        <v>2826.91</v>
      </c>
      <c r="AA9094">
        <v>258</v>
      </c>
      <c r="AB9094" s="5">
        <v>729342.78</v>
      </c>
      <c r="AC9094" s="1">
        <v>2826.91</v>
      </c>
      <c r="AD9094">
        <v>258</v>
      </c>
      <c r="AE9094" s="1">
        <v>729342.78</v>
      </c>
      <c r="AF9094">
        <v>113.08</v>
      </c>
      <c r="AJ9094">
        <v>0</v>
      </c>
      <c r="AK9094">
        <v>0</v>
      </c>
      <c r="AL9094">
        <v>0</v>
      </c>
      <c r="AM9094" s="1">
        <v>2939.99</v>
      </c>
      <c r="AN9094" s="1">
        <v>2939.99</v>
      </c>
      <c r="AO9094" s="1">
        <v>2939.99</v>
      </c>
      <c r="AP9094" s="2">
        <v>42746</v>
      </c>
      <c r="AQ9094" t="s">
        <v>72</v>
      </c>
      <c r="AR9094" t="s">
        <v>72</v>
      </c>
      <c r="AS9094">
        <v>3615</v>
      </c>
      <c r="AT9094" s="4">
        <v>42723</v>
      </c>
      <c r="AU9094" t="s">
        <v>73</v>
      </c>
      <c r="AV9094">
        <v>3615</v>
      </c>
      <c r="AW9094" s="4">
        <v>42723</v>
      </c>
      <c r="BD9094">
        <v>113.08</v>
      </c>
      <c r="BN9094" t="s">
        <v>74</v>
      </c>
    </row>
    <row r="9095" spans="1:66">
      <c r="A9095">
        <v>106559</v>
      </c>
      <c r="B9095" s="3" t="s">
        <v>800</v>
      </c>
      <c r="C9095" s="1">
        <v>43300101</v>
      </c>
      <c r="D9095" t="s">
        <v>67</v>
      </c>
      <c r="H9095" t="str">
        <f t="shared" si="952"/>
        <v>08418370964</v>
      </c>
      <c r="I9095" t="str">
        <f t="shared" si="952"/>
        <v>08418370964</v>
      </c>
      <c r="K9095" t="str">
        <f>""</f>
        <v/>
      </c>
      <c r="M9095" t="s">
        <v>68</v>
      </c>
      <c r="N9095" t="str">
        <f t="shared" si="953"/>
        <v>FOR</v>
      </c>
      <c r="O9095" t="s">
        <v>69</v>
      </c>
      <c r="P9095" s="3" t="s">
        <v>75</v>
      </c>
      <c r="Q9095">
        <v>2016</v>
      </c>
      <c r="R9095" s="2">
        <v>42400</v>
      </c>
      <c r="S9095" s="2">
        <v>42464</v>
      </c>
      <c r="T9095" s="2">
        <v>42405</v>
      </c>
      <c r="U9095" s="2">
        <v>42465</v>
      </c>
      <c r="V9095" t="s">
        <v>71</v>
      </c>
      <c r="W9095" t="str">
        <f>"             0500821"</f>
        <v xml:space="preserve">             0500821</v>
      </c>
      <c r="X9095" s="1">
        <v>1025.23</v>
      </c>
      <c r="Y9095">
        <v>0</v>
      </c>
      <c r="Z9095" s="3">
        <v>985.8</v>
      </c>
      <c r="AA9095">
        <v>258</v>
      </c>
      <c r="AB9095" s="5">
        <v>254336.4</v>
      </c>
      <c r="AC9095">
        <v>985.8</v>
      </c>
      <c r="AD9095">
        <v>258</v>
      </c>
      <c r="AE9095" s="1">
        <v>254336.4</v>
      </c>
      <c r="AF9095">
        <v>39.43</v>
      </c>
      <c r="AJ9095">
        <v>0</v>
      </c>
      <c r="AK9095">
        <v>0</v>
      </c>
      <c r="AL9095">
        <v>0</v>
      </c>
      <c r="AM9095" s="1">
        <v>1025.23</v>
      </c>
      <c r="AN9095" s="1">
        <v>1025.23</v>
      </c>
      <c r="AO9095" s="1">
        <v>1025.23</v>
      </c>
      <c r="AP9095" s="2">
        <v>42746</v>
      </c>
      <c r="AQ9095" t="s">
        <v>72</v>
      </c>
      <c r="AR9095" t="s">
        <v>72</v>
      </c>
      <c r="AS9095">
        <v>3615</v>
      </c>
      <c r="AT9095" s="4">
        <v>42723</v>
      </c>
      <c r="AU9095" t="s">
        <v>73</v>
      </c>
      <c r="AV9095">
        <v>3615</v>
      </c>
      <c r="AW9095" s="4">
        <v>42723</v>
      </c>
      <c r="BD9095">
        <v>39.43</v>
      </c>
      <c r="BN9095" t="s">
        <v>74</v>
      </c>
    </row>
    <row r="9096" spans="1:66">
      <c r="A9096">
        <v>106559</v>
      </c>
      <c r="B9096" s="3" t="s">
        <v>800</v>
      </c>
      <c r="C9096" s="1">
        <v>43300101</v>
      </c>
      <c r="D9096" t="s">
        <v>67</v>
      </c>
      <c r="H9096" t="str">
        <f t="shared" si="952"/>
        <v>08418370964</v>
      </c>
      <c r="I9096" t="str">
        <f t="shared" si="952"/>
        <v>08418370964</v>
      </c>
      <c r="K9096" t="str">
        <f>""</f>
        <v/>
      </c>
      <c r="M9096" t="s">
        <v>68</v>
      </c>
      <c r="N9096" t="str">
        <f t="shared" si="953"/>
        <v>FOR</v>
      </c>
      <c r="O9096" t="s">
        <v>69</v>
      </c>
      <c r="P9096" s="3" t="s">
        <v>75</v>
      </c>
      <c r="Q9096">
        <v>2016</v>
      </c>
      <c r="R9096" s="2">
        <v>42429</v>
      </c>
      <c r="S9096" s="2">
        <v>42464</v>
      </c>
      <c r="T9096" s="2">
        <v>42436</v>
      </c>
      <c r="U9096" s="2">
        <v>42496</v>
      </c>
      <c r="V9096" t="s">
        <v>71</v>
      </c>
      <c r="W9096" t="str">
        <f>"             0502013"</f>
        <v xml:space="preserve">             0502013</v>
      </c>
      <c r="X9096" s="1">
        <v>4523.0600000000004</v>
      </c>
      <c r="Y9096">
        <v>0</v>
      </c>
      <c r="Z9096" s="5">
        <v>4349.1000000000004</v>
      </c>
      <c r="AA9096">
        <v>227</v>
      </c>
      <c r="AB9096" s="5">
        <v>987245.7</v>
      </c>
      <c r="AC9096" s="1">
        <v>4349.1000000000004</v>
      </c>
      <c r="AD9096">
        <v>227</v>
      </c>
      <c r="AE9096" s="1">
        <v>987245.7</v>
      </c>
      <c r="AF9096">
        <v>173.96</v>
      </c>
      <c r="AJ9096">
        <v>0</v>
      </c>
      <c r="AK9096">
        <v>0</v>
      </c>
      <c r="AL9096">
        <v>0</v>
      </c>
      <c r="AM9096" s="1">
        <v>4523.0600000000004</v>
      </c>
      <c r="AN9096" s="1">
        <v>4523.0600000000004</v>
      </c>
      <c r="AO9096" s="1">
        <v>4523.0600000000004</v>
      </c>
      <c r="AP9096" s="2">
        <v>42746</v>
      </c>
      <c r="AQ9096" t="s">
        <v>72</v>
      </c>
      <c r="AR9096" t="s">
        <v>72</v>
      </c>
      <c r="AS9096">
        <v>3615</v>
      </c>
      <c r="AT9096" s="4">
        <v>42723</v>
      </c>
      <c r="AU9096" t="s">
        <v>73</v>
      </c>
      <c r="AV9096">
        <v>3615</v>
      </c>
      <c r="AW9096" s="4">
        <v>42723</v>
      </c>
      <c r="BD9096">
        <v>173.96</v>
      </c>
      <c r="BN9096" t="s">
        <v>74</v>
      </c>
    </row>
    <row r="9097" spans="1:66">
      <c r="A9097">
        <v>106559</v>
      </c>
      <c r="B9097" s="3" t="s">
        <v>800</v>
      </c>
      <c r="C9097" s="1">
        <v>43300101</v>
      </c>
      <c r="D9097" t="s">
        <v>67</v>
      </c>
      <c r="H9097" t="str">
        <f t="shared" si="952"/>
        <v>08418370964</v>
      </c>
      <c r="I9097" t="str">
        <f t="shared" si="952"/>
        <v>08418370964</v>
      </c>
      <c r="K9097" t="str">
        <f>""</f>
        <v/>
      </c>
      <c r="M9097" t="s">
        <v>68</v>
      </c>
      <c r="N9097" t="str">
        <f t="shared" si="953"/>
        <v>FOR</v>
      </c>
      <c r="O9097" t="s">
        <v>69</v>
      </c>
      <c r="P9097" s="3" t="s">
        <v>75</v>
      </c>
      <c r="Q9097">
        <v>2016</v>
      </c>
      <c r="R9097" s="2">
        <v>42429</v>
      </c>
      <c r="S9097" s="2">
        <v>42464</v>
      </c>
      <c r="T9097" s="2">
        <v>42436</v>
      </c>
      <c r="U9097" s="2">
        <v>42496</v>
      </c>
      <c r="V9097" t="s">
        <v>71</v>
      </c>
      <c r="W9097" t="str">
        <f>"             0502014"</f>
        <v xml:space="preserve">             0502014</v>
      </c>
      <c r="X9097" s="1">
        <v>1349.39</v>
      </c>
      <c r="Y9097">
        <v>0</v>
      </c>
      <c r="Z9097" s="5">
        <v>1297.49</v>
      </c>
      <c r="AA9097">
        <v>227</v>
      </c>
      <c r="AB9097" s="5">
        <v>294530.23</v>
      </c>
      <c r="AC9097" s="1">
        <v>1297.49</v>
      </c>
      <c r="AD9097">
        <v>227</v>
      </c>
      <c r="AE9097" s="1">
        <v>294530.23</v>
      </c>
      <c r="AF9097">
        <v>51.9</v>
      </c>
      <c r="AJ9097">
        <v>0</v>
      </c>
      <c r="AK9097">
        <v>0</v>
      </c>
      <c r="AL9097">
        <v>0</v>
      </c>
      <c r="AM9097" s="1">
        <v>1349.39</v>
      </c>
      <c r="AN9097" s="1">
        <v>1349.39</v>
      </c>
      <c r="AO9097" s="1">
        <v>1349.39</v>
      </c>
      <c r="AP9097" s="2">
        <v>42746</v>
      </c>
      <c r="AQ9097" t="s">
        <v>72</v>
      </c>
      <c r="AR9097" t="s">
        <v>72</v>
      </c>
      <c r="AS9097">
        <v>3615</v>
      </c>
      <c r="AT9097" s="4">
        <v>42723</v>
      </c>
      <c r="AU9097" t="s">
        <v>73</v>
      </c>
      <c r="AV9097">
        <v>3615</v>
      </c>
      <c r="AW9097" s="4">
        <v>42723</v>
      </c>
      <c r="BD9097">
        <v>51.9</v>
      </c>
      <c r="BN9097" t="s">
        <v>74</v>
      </c>
    </row>
    <row r="9098" spans="1:66" hidden="1">
      <c r="A9098">
        <v>106560</v>
      </c>
      <c r="B9098" s="3" t="s">
        <v>801</v>
      </c>
      <c r="C9098" s="1">
        <v>43300101</v>
      </c>
      <c r="D9098" t="s">
        <v>67</v>
      </c>
      <c r="H9098" t="str">
        <f>"08817300158"</f>
        <v>08817300158</v>
      </c>
      <c r="I9098" t="str">
        <f>"08817300158"</f>
        <v>08817300158</v>
      </c>
      <c r="K9098" t="str">
        <f>""</f>
        <v/>
      </c>
      <c r="M9098" t="s">
        <v>68</v>
      </c>
      <c r="N9098" t="str">
        <f t="shared" si="953"/>
        <v>FOR</v>
      </c>
      <c r="O9098" t="s">
        <v>69</v>
      </c>
      <c r="P9098" s="3" t="s">
        <v>70</v>
      </c>
      <c r="Q9098">
        <v>2015</v>
      </c>
      <c r="R9098" s="2">
        <v>42206</v>
      </c>
      <c r="S9098" s="2">
        <v>42543</v>
      </c>
      <c r="T9098" s="2">
        <v>42543</v>
      </c>
      <c r="U9098" s="2">
        <v>42603</v>
      </c>
      <c r="V9098" t="s">
        <v>71</v>
      </c>
      <c r="W9098" t="str">
        <f>"               10174"</f>
        <v xml:space="preserve">               10174</v>
      </c>
      <c r="X9098">
        <v>298.89999999999998</v>
      </c>
      <c r="Y9098">
        <v>0</v>
      </c>
      <c r="Z9098"/>
      <c r="AB9098"/>
      <c r="AC9098">
        <v>245</v>
      </c>
      <c r="AD9098">
        <v>16</v>
      </c>
      <c r="AE9098" s="1">
        <v>3920</v>
      </c>
      <c r="AF9098">
        <v>0</v>
      </c>
      <c r="AJ9098">
        <v>0</v>
      </c>
      <c r="AK9098">
        <v>0</v>
      </c>
      <c r="AL9098">
        <v>0</v>
      </c>
      <c r="AM9098">
        <v>0</v>
      </c>
      <c r="AN9098">
        <v>298.89999999999998</v>
      </c>
      <c r="AO9098">
        <v>0</v>
      </c>
      <c r="AP9098" s="2">
        <v>42746</v>
      </c>
      <c r="AQ9098" t="s">
        <v>72</v>
      </c>
      <c r="AR9098" t="s">
        <v>72</v>
      </c>
      <c r="AS9098">
        <v>2279</v>
      </c>
      <c r="AT9098" s="4">
        <v>42619</v>
      </c>
      <c r="AU9098" t="s">
        <v>73</v>
      </c>
      <c r="AV9098">
        <v>2279</v>
      </c>
      <c r="AW9098" s="4">
        <v>42619</v>
      </c>
      <c r="BD9098">
        <v>0</v>
      </c>
      <c r="BN9098" t="s">
        <v>74</v>
      </c>
    </row>
    <row r="9099" spans="1:66" hidden="1">
      <c r="A9099">
        <v>106560</v>
      </c>
      <c r="B9099" s="3" t="s">
        <v>801</v>
      </c>
      <c r="C9099" s="1">
        <v>43300101</v>
      </c>
      <c r="D9099" t="s">
        <v>67</v>
      </c>
      <c r="H9099" t="str">
        <f>"08817300158"</f>
        <v>08817300158</v>
      </c>
      <c r="I9099" t="str">
        <f>"08817300158"</f>
        <v>08817300158</v>
      </c>
      <c r="K9099" t="str">
        <f>""</f>
        <v/>
      </c>
      <c r="M9099" t="s">
        <v>68</v>
      </c>
      <c r="N9099" t="str">
        <f t="shared" si="953"/>
        <v>FOR</v>
      </c>
      <c r="O9099" t="s">
        <v>69</v>
      </c>
      <c r="P9099" s="3" t="s">
        <v>75</v>
      </c>
      <c r="Q9099">
        <v>2015</v>
      </c>
      <c r="R9099" s="2">
        <v>42276</v>
      </c>
      <c r="S9099" s="2">
        <v>42345</v>
      </c>
      <c r="T9099" s="2">
        <v>42342</v>
      </c>
      <c r="U9099" s="2">
        <v>42402</v>
      </c>
      <c r="V9099" t="s">
        <v>71</v>
      </c>
      <c r="W9099" t="str">
        <f>"               10287"</f>
        <v xml:space="preserve">               10287</v>
      </c>
      <c r="X9099">
        <v>558.98</v>
      </c>
      <c r="Y9099">
        <v>0</v>
      </c>
      <c r="Z9099"/>
      <c r="AB9099"/>
      <c r="AC9099">
        <v>458.18</v>
      </c>
      <c r="AD9099">
        <v>217</v>
      </c>
      <c r="AE9099" s="1">
        <v>99425.06</v>
      </c>
      <c r="AF9099">
        <v>0</v>
      </c>
      <c r="AJ9099">
        <v>0</v>
      </c>
      <c r="AK9099">
        <v>0</v>
      </c>
      <c r="AL9099">
        <v>0</v>
      </c>
      <c r="AM9099">
        <v>0</v>
      </c>
      <c r="AN9099">
        <v>0</v>
      </c>
      <c r="AO9099">
        <v>0</v>
      </c>
      <c r="AP9099" s="2">
        <v>42746</v>
      </c>
      <c r="AQ9099" t="s">
        <v>72</v>
      </c>
      <c r="AR9099" t="s">
        <v>72</v>
      </c>
      <c r="AS9099">
        <v>2279</v>
      </c>
      <c r="AT9099" s="4">
        <v>42619</v>
      </c>
      <c r="AU9099" t="s">
        <v>73</v>
      </c>
      <c r="AV9099">
        <v>2279</v>
      </c>
      <c r="AW9099" s="4">
        <v>42619</v>
      </c>
      <c r="BD9099">
        <v>0</v>
      </c>
      <c r="BN9099" t="s">
        <v>74</v>
      </c>
    </row>
    <row r="9100" spans="1:66" hidden="1">
      <c r="A9100">
        <v>106570</v>
      </c>
      <c r="B9100" s="3" t="s">
        <v>802</v>
      </c>
      <c r="C9100" s="1">
        <v>43300101</v>
      </c>
      <c r="D9100" t="s">
        <v>67</v>
      </c>
      <c r="H9100" t="str">
        <f t="shared" ref="H9100:I9119" si="954">"01617610629"</f>
        <v>01617610629</v>
      </c>
      <c r="I9100" t="str">
        <f t="shared" si="954"/>
        <v>01617610629</v>
      </c>
      <c r="K9100" t="str">
        <f>""</f>
        <v/>
      </c>
      <c r="M9100" t="s">
        <v>68</v>
      </c>
      <c r="N9100" t="str">
        <f t="shared" si="953"/>
        <v>FOR</v>
      </c>
      <c r="O9100" t="s">
        <v>69</v>
      </c>
      <c r="P9100" s="3" t="s">
        <v>75</v>
      </c>
      <c r="Q9100">
        <v>2015</v>
      </c>
      <c r="R9100" s="2">
        <v>42277</v>
      </c>
      <c r="S9100" s="2">
        <v>42278</v>
      </c>
      <c r="T9100" s="2">
        <v>42277</v>
      </c>
      <c r="U9100" s="2">
        <v>42337</v>
      </c>
      <c r="V9100" t="s">
        <v>71</v>
      </c>
      <c r="W9100" t="str">
        <f>"        2015    58/a"</f>
        <v xml:space="preserve">        2015    58/a</v>
      </c>
      <c r="X9100">
        <v>280.60000000000002</v>
      </c>
      <c r="Y9100">
        <v>0</v>
      </c>
      <c r="Z9100"/>
      <c r="AB9100"/>
      <c r="AC9100">
        <v>230</v>
      </c>
      <c r="AD9100">
        <v>66</v>
      </c>
      <c r="AE9100" s="1">
        <v>15180</v>
      </c>
      <c r="AF9100">
        <v>50.6</v>
      </c>
      <c r="AJ9100">
        <v>0</v>
      </c>
      <c r="AK9100">
        <v>0</v>
      </c>
      <c r="AL9100">
        <v>0</v>
      </c>
      <c r="AM9100">
        <v>0</v>
      </c>
      <c r="AN9100">
        <v>0</v>
      </c>
      <c r="AO9100">
        <v>0</v>
      </c>
      <c r="AP9100" s="2">
        <v>42746</v>
      </c>
      <c r="AQ9100" t="s">
        <v>72</v>
      </c>
      <c r="AR9100" t="s">
        <v>72</v>
      </c>
      <c r="AS9100">
        <v>212</v>
      </c>
      <c r="AT9100" s="4">
        <v>42403</v>
      </c>
      <c r="AU9100" t="s">
        <v>73</v>
      </c>
      <c r="AV9100">
        <v>212</v>
      </c>
      <c r="AW9100" s="4">
        <v>42403</v>
      </c>
      <c r="BD9100">
        <v>50.6</v>
      </c>
      <c r="BN9100" t="s">
        <v>74</v>
      </c>
    </row>
    <row r="9101" spans="1:66" hidden="1">
      <c r="A9101">
        <v>106570</v>
      </c>
      <c r="B9101" s="3" t="s">
        <v>802</v>
      </c>
      <c r="C9101" s="1">
        <v>43300101</v>
      </c>
      <c r="D9101" t="s">
        <v>67</v>
      </c>
      <c r="H9101" t="str">
        <f t="shared" si="954"/>
        <v>01617610629</v>
      </c>
      <c r="I9101" t="str">
        <f t="shared" si="954"/>
        <v>01617610629</v>
      </c>
      <c r="K9101" t="str">
        <f>""</f>
        <v/>
      </c>
      <c r="M9101" t="s">
        <v>68</v>
      </c>
      <c r="N9101" t="str">
        <f t="shared" si="953"/>
        <v>FOR</v>
      </c>
      <c r="O9101" t="s">
        <v>69</v>
      </c>
      <c r="P9101" s="3" t="s">
        <v>75</v>
      </c>
      <c r="Q9101">
        <v>2015</v>
      </c>
      <c r="R9101" s="2">
        <v>42277</v>
      </c>
      <c r="S9101" s="2">
        <v>42278</v>
      </c>
      <c r="T9101" s="2">
        <v>42277</v>
      </c>
      <c r="U9101" s="2">
        <v>42337</v>
      </c>
      <c r="V9101" t="s">
        <v>71</v>
      </c>
      <c r="W9101" t="str">
        <f>"        2015    59/a"</f>
        <v xml:space="preserve">        2015    59/a</v>
      </c>
      <c r="X9101">
        <v>427</v>
      </c>
      <c r="Y9101">
        <v>0</v>
      </c>
      <c r="Z9101"/>
      <c r="AB9101"/>
      <c r="AC9101">
        <v>350</v>
      </c>
      <c r="AD9101">
        <v>66</v>
      </c>
      <c r="AE9101" s="1">
        <v>23100</v>
      </c>
      <c r="AF9101">
        <v>77</v>
      </c>
      <c r="AJ9101">
        <v>0</v>
      </c>
      <c r="AK9101">
        <v>0</v>
      </c>
      <c r="AL9101">
        <v>0</v>
      </c>
      <c r="AM9101">
        <v>0</v>
      </c>
      <c r="AN9101">
        <v>0</v>
      </c>
      <c r="AO9101">
        <v>0</v>
      </c>
      <c r="AP9101" s="2">
        <v>42746</v>
      </c>
      <c r="AQ9101" t="s">
        <v>72</v>
      </c>
      <c r="AR9101" t="s">
        <v>72</v>
      </c>
      <c r="AS9101">
        <v>212</v>
      </c>
      <c r="AT9101" s="4">
        <v>42403</v>
      </c>
      <c r="AU9101" t="s">
        <v>73</v>
      </c>
      <c r="AV9101">
        <v>212</v>
      </c>
      <c r="AW9101" s="4">
        <v>42403</v>
      </c>
      <c r="BD9101">
        <v>77</v>
      </c>
      <c r="BN9101" t="s">
        <v>74</v>
      </c>
    </row>
    <row r="9102" spans="1:66" hidden="1">
      <c r="A9102">
        <v>106570</v>
      </c>
      <c r="B9102" s="3" t="s">
        <v>802</v>
      </c>
      <c r="C9102" s="1">
        <v>43300101</v>
      </c>
      <c r="D9102" t="s">
        <v>67</v>
      </c>
      <c r="H9102" t="str">
        <f t="shared" si="954"/>
        <v>01617610629</v>
      </c>
      <c r="I9102" t="str">
        <f t="shared" si="954"/>
        <v>01617610629</v>
      </c>
      <c r="K9102" t="str">
        <f>""</f>
        <v/>
      </c>
      <c r="M9102" t="s">
        <v>68</v>
      </c>
      <c r="N9102" t="str">
        <f t="shared" si="953"/>
        <v>FOR</v>
      </c>
      <c r="O9102" t="s">
        <v>69</v>
      </c>
      <c r="P9102" s="3" t="s">
        <v>75</v>
      </c>
      <c r="Q9102">
        <v>2015</v>
      </c>
      <c r="R9102" s="2">
        <v>42277</v>
      </c>
      <c r="S9102" s="2">
        <v>42278</v>
      </c>
      <c r="T9102" s="2">
        <v>42277</v>
      </c>
      <c r="U9102" s="2">
        <v>42337</v>
      </c>
      <c r="V9102" t="s">
        <v>71</v>
      </c>
      <c r="W9102" t="str">
        <f>"        2015    60/a"</f>
        <v xml:space="preserve">        2015    60/a</v>
      </c>
      <c r="X9102">
        <v>225.7</v>
      </c>
      <c r="Y9102">
        <v>0</v>
      </c>
      <c r="Z9102"/>
      <c r="AB9102"/>
      <c r="AC9102">
        <v>185</v>
      </c>
      <c r="AD9102">
        <v>66</v>
      </c>
      <c r="AE9102" s="1">
        <v>12210</v>
      </c>
      <c r="AF9102">
        <v>40.700000000000003</v>
      </c>
      <c r="AJ9102">
        <v>0</v>
      </c>
      <c r="AK9102">
        <v>0</v>
      </c>
      <c r="AL9102">
        <v>0</v>
      </c>
      <c r="AM9102">
        <v>0</v>
      </c>
      <c r="AN9102">
        <v>0</v>
      </c>
      <c r="AO9102">
        <v>0</v>
      </c>
      <c r="AP9102" s="2">
        <v>42746</v>
      </c>
      <c r="AQ9102" t="s">
        <v>72</v>
      </c>
      <c r="AR9102" t="s">
        <v>72</v>
      </c>
      <c r="AS9102">
        <v>212</v>
      </c>
      <c r="AT9102" s="4">
        <v>42403</v>
      </c>
      <c r="AU9102" t="s">
        <v>73</v>
      </c>
      <c r="AV9102">
        <v>212</v>
      </c>
      <c r="AW9102" s="4">
        <v>42403</v>
      </c>
      <c r="BD9102">
        <v>40.700000000000003</v>
      </c>
      <c r="BN9102" t="s">
        <v>74</v>
      </c>
    </row>
    <row r="9103" spans="1:66" hidden="1">
      <c r="A9103">
        <v>106570</v>
      </c>
      <c r="B9103" s="3" t="s">
        <v>802</v>
      </c>
      <c r="C9103" s="1">
        <v>43300101</v>
      </c>
      <c r="D9103" t="s">
        <v>67</v>
      </c>
      <c r="H9103" t="str">
        <f t="shared" si="954"/>
        <v>01617610629</v>
      </c>
      <c r="I9103" t="str">
        <f t="shared" si="954"/>
        <v>01617610629</v>
      </c>
      <c r="K9103" t="str">
        <f>""</f>
        <v/>
      </c>
      <c r="M9103" t="s">
        <v>68</v>
      </c>
      <c r="N9103" t="str">
        <f t="shared" si="953"/>
        <v>FOR</v>
      </c>
      <c r="O9103" t="s">
        <v>69</v>
      </c>
      <c r="P9103" s="3" t="s">
        <v>75</v>
      </c>
      <c r="Q9103">
        <v>2015</v>
      </c>
      <c r="R9103" s="2">
        <v>42277</v>
      </c>
      <c r="S9103" s="2">
        <v>42278</v>
      </c>
      <c r="T9103" s="2">
        <v>42277</v>
      </c>
      <c r="U9103" s="2">
        <v>42337</v>
      </c>
      <c r="V9103" t="s">
        <v>71</v>
      </c>
      <c r="W9103" t="str">
        <f>"        2015    61/a"</f>
        <v xml:space="preserve">        2015    61/a</v>
      </c>
      <c r="X9103">
        <v>402.6</v>
      </c>
      <c r="Y9103">
        <v>0</v>
      </c>
      <c r="Z9103"/>
      <c r="AB9103"/>
      <c r="AC9103">
        <v>330</v>
      </c>
      <c r="AD9103">
        <v>66</v>
      </c>
      <c r="AE9103" s="1">
        <v>21780</v>
      </c>
      <c r="AF9103">
        <v>72.599999999999994</v>
      </c>
      <c r="AJ9103">
        <v>0</v>
      </c>
      <c r="AK9103">
        <v>0</v>
      </c>
      <c r="AL9103">
        <v>0</v>
      </c>
      <c r="AM9103">
        <v>0</v>
      </c>
      <c r="AN9103">
        <v>0</v>
      </c>
      <c r="AO9103">
        <v>0</v>
      </c>
      <c r="AP9103" s="2">
        <v>42746</v>
      </c>
      <c r="AQ9103" t="s">
        <v>72</v>
      </c>
      <c r="AR9103" t="s">
        <v>72</v>
      </c>
      <c r="AS9103">
        <v>212</v>
      </c>
      <c r="AT9103" s="4">
        <v>42403</v>
      </c>
      <c r="AU9103" t="s">
        <v>73</v>
      </c>
      <c r="AV9103">
        <v>212</v>
      </c>
      <c r="AW9103" s="4">
        <v>42403</v>
      </c>
      <c r="BD9103">
        <v>72.599999999999994</v>
      </c>
      <c r="BN9103" t="s">
        <v>74</v>
      </c>
    </row>
    <row r="9104" spans="1:66" hidden="1">
      <c r="A9104">
        <v>106570</v>
      </c>
      <c r="B9104" s="3" t="s">
        <v>802</v>
      </c>
      <c r="C9104" s="1">
        <v>43300101</v>
      </c>
      <c r="D9104" t="s">
        <v>67</v>
      </c>
      <c r="H9104" t="str">
        <f t="shared" si="954"/>
        <v>01617610629</v>
      </c>
      <c r="I9104" t="str">
        <f t="shared" si="954"/>
        <v>01617610629</v>
      </c>
      <c r="K9104" t="str">
        <f>""</f>
        <v/>
      </c>
      <c r="M9104" t="s">
        <v>68</v>
      </c>
      <c r="N9104" t="str">
        <f t="shared" si="953"/>
        <v>FOR</v>
      </c>
      <c r="O9104" t="s">
        <v>69</v>
      </c>
      <c r="P9104" s="3" t="s">
        <v>75</v>
      </c>
      <c r="Q9104">
        <v>2015</v>
      </c>
      <c r="R9104" s="2">
        <v>42277</v>
      </c>
      <c r="S9104" s="2">
        <v>42278</v>
      </c>
      <c r="T9104" s="2">
        <v>42277</v>
      </c>
      <c r="U9104" s="2">
        <v>42337</v>
      </c>
      <c r="V9104" t="s">
        <v>71</v>
      </c>
      <c r="W9104" t="str">
        <f>"        2015    62/a"</f>
        <v xml:space="preserve">        2015    62/a</v>
      </c>
      <c r="X9104">
        <v>134.19999999999999</v>
      </c>
      <c r="Y9104">
        <v>0</v>
      </c>
      <c r="Z9104"/>
      <c r="AB9104"/>
      <c r="AC9104">
        <v>110</v>
      </c>
      <c r="AD9104">
        <v>66</v>
      </c>
      <c r="AE9104" s="1">
        <v>7260</v>
      </c>
      <c r="AF9104">
        <v>24.2</v>
      </c>
      <c r="AJ9104">
        <v>0</v>
      </c>
      <c r="AK9104">
        <v>0</v>
      </c>
      <c r="AL9104">
        <v>0</v>
      </c>
      <c r="AM9104">
        <v>0</v>
      </c>
      <c r="AN9104">
        <v>0</v>
      </c>
      <c r="AO9104">
        <v>0</v>
      </c>
      <c r="AP9104" s="2">
        <v>42746</v>
      </c>
      <c r="AQ9104" t="s">
        <v>72</v>
      </c>
      <c r="AR9104" t="s">
        <v>72</v>
      </c>
      <c r="AS9104">
        <v>212</v>
      </c>
      <c r="AT9104" s="4">
        <v>42403</v>
      </c>
      <c r="AU9104" t="s">
        <v>73</v>
      </c>
      <c r="AV9104">
        <v>212</v>
      </c>
      <c r="AW9104" s="4">
        <v>42403</v>
      </c>
      <c r="BD9104">
        <v>24.2</v>
      </c>
      <c r="BN9104" t="s">
        <v>74</v>
      </c>
    </row>
    <row r="9105" spans="1:66" hidden="1">
      <c r="A9105">
        <v>106570</v>
      </c>
      <c r="B9105" s="3" t="s">
        <v>802</v>
      </c>
      <c r="C9105" s="1">
        <v>43300101</v>
      </c>
      <c r="D9105" t="s">
        <v>67</v>
      </c>
      <c r="H9105" t="str">
        <f t="shared" si="954"/>
        <v>01617610629</v>
      </c>
      <c r="I9105" t="str">
        <f t="shared" si="954"/>
        <v>01617610629</v>
      </c>
      <c r="K9105" t="str">
        <f>""</f>
        <v/>
      </c>
      <c r="M9105" t="s">
        <v>68</v>
      </c>
      <c r="N9105" t="str">
        <f t="shared" si="953"/>
        <v>FOR</v>
      </c>
      <c r="O9105" t="s">
        <v>69</v>
      </c>
      <c r="P9105" s="3" t="s">
        <v>75</v>
      </c>
      <c r="Q9105">
        <v>2015</v>
      </c>
      <c r="R9105" s="2">
        <v>42277</v>
      </c>
      <c r="S9105" s="2">
        <v>42278</v>
      </c>
      <c r="T9105" s="2">
        <v>42277</v>
      </c>
      <c r="U9105" s="2">
        <v>42337</v>
      </c>
      <c r="V9105" t="s">
        <v>71</v>
      </c>
      <c r="W9105" t="str">
        <f>"        2015    63/a"</f>
        <v xml:space="preserve">        2015    63/a</v>
      </c>
      <c r="X9105">
        <v>530.70000000000005</v>
      </c>
      <c r="Y9105">
        <v>0</v>
      </c>
      <c r="Z9105"/>
      <c r="AB9105"/>
      <c r="AC9105">
        <v>435</v>
      </c>
      <c r="AD9105">
        <v>66</v>
      </c>
      <c r="AE9105" s="1">
        <v>28710</v>
      </c>
      <c r="AF9105">
        <v>95.7</v>
      </c>
      <c r="AJ9105">
        <v>0</v>
      </c>
      <c r="AK9105">
        <v>0</v>
      </c>
      <c r="AL9105">
        <v>0</v>
      </c>
      <c r="AM9105">
        <v>0</v>
      </c>
      <c r="AN9105">
        <v>0</v>
      </c>
      <c r="AO9105">
        <v>0</v>
      </c>
      <c r="AP9105" s="2">
        <v>42746</v>
      </c>
      <c r="AQ9105" t="s">
        <v>72</v>
      </c>
      <c r="AR9105" t="s">
        <v>72</v>
      </c>
      <c r="AS9105">
        <v>212</v>
      </c>
      <c r="AT9105" s="4">
        <v>42403</v>
      </c>
      <c r="AU9105" t="s">
        <v>73</v>
      </c>
      <c r="AV9105">
        <v>212</v>
      </c>
      <c r="AW9105" s="4">
        <v>42403</v>
      </c>
      <c r="BD9105">
        <v>95.7</v>
      </c>
      <c r="BN9105" t="s">
        <v>74</v>
      </c>
    </row>
    <row r="9106" spans="1:66" hidden="1">
      <c r="A9106">
        <v>106570</v>
      </c>
      <c r="B9106" s="3" t="s">
        <v>802</v>
      </c>
      <c r="C9106" s="1">
        <v>43300101</v>
      </c>
      <c r="D9106" t="s">
        <v>67</v>
      </c>
      <c r="H9106" t="str">
        <f t="shared" si="954"/>
        <v>01617610629</v>
      </c>
      <c r="I9106" t="str">
        <f t="shared" si="954"/>
        <v>01617610629</v>
      </c>
      <c r="K9106" t="str">
        <f>""</f>
        <v/>
      </c>
      <c r="M9106" t="s">
        <v>68</v>
      </c>
      <c r="N9106" t="str">
        <f t="shared" si="953"/>
        <v>FOR</v>
      </c>
      <c r="O9106" t="s">
        <v>69</v>
      </c>
      <c r="P9106" s="3" t="s">
        <v>75</v>
      </c>
      <c r="Q9106">
        <v>2015</v>
      </c>
      <c r="R9106" s="2">
        <v>42277</v>
      </c>
      <c r="S9106" s="2">
        <v>42278</v>
      </c>
      <c r="T9106" s="2">
        <v>42277</v>
      </c>
      <c r="U9106" s="2">
        <v>42337</v>
      </c>
      <c r="V9106" t="s">
        <v>71</v>
      </c>
      <c r="W9106" t="str">
        <f>"        2015    64/a"</f>
        <v xml:space="preserve">        2015    64/a</v>
      </c>
      <c r="X9106">
        <v>122</v>
      </c>
      <c r="Y9106">
        <v>0</v>
      </c>
      <c r="Z9106"/>
      <c r="AB9106"/>
      <c r="AC9106">
        <v>100</v>
      </c>
      <c r="AD9106">
        <v>66</v>
      </c>
      <c r="AE9106" s="1">
        <v>6600</v>
      </c>
      <c r="AF9106">
        <v>22</v>
      </c>
      <c r="AJ9106">
        <v>0</v>
      </c>
      <c r="AK9106">
        <v>0</v>
      </c>
      <c r="AL9106">
        <v>0</v>
      </c>
      <c r="AM9106">
        <v>0</v>
      </c>
      <c r="AN9106">
        <v>0</v>
      </c>
      <c r="AO9106">
        <v>0</v>
      </c>
      <c r="AP9106" s="2">
        <v>42746</v>
      </c>
      <c r="AQ9106" t="s">
        <v>72</v>
      </c>
      <c r="AR9106" t="s">
        <v>72</v>
      </c>
      <c r="AS9106">
        <v>212</v>
      </c>
      <c r="AT9106" s="4">
        <v>42403</v>
      </c>
      <c r="AU9106" t="s">
        <v>73</v>
      </c>
      <c r="AV9106">
        <v>212</v>
      </c>
      <c r="AW9106" s="4">
        <v>42403</v>
      </c>
      <c r="BD9106">
        <v>22</v>
      </c>
      <c r="BN9106" t="s">
        <v>74</v>
      </c>
    </row>
    <row r="9107" spans="1:66" hidden="1">
      <c r="A9107">
        <v>106570</v>
      </c>
      <c r="B9107" s="3" t="s">
        <v>802</v>
      </c>
      <c r="C9107" s="1">
        <v>43300101</v>
      </c>
      <c r="D9107" t="s">
        <v>67</v>
      </c>
      <c r="H9107" t="str">
        <f t="shared" si="954"/>
        <v>01617610629</v>
      </c>
      <c r="I9107" t="str">
        <f t="shared" si="954"/>
        <v>01617610629</v>
      </c>
      <c r="K9107" t="str">
        <f>""</f>
        <v/>
      </c>
      <c r="M9107" t="s">
        <v>68</v>
      </c>
      <c r="N9107" t="str">
        <f t="shared" si="953"/>
        <v>FOR</v>
      </c>
      <c r="O9107" t="s">
        <v>69</v>
      </c>
      <c r="P9107" s="3" t="s">
        <v>75</v>
      </c>
      <c r="Q9107">
        <v>2015</v>
      </c>
      <c r="R9107" s="2">
        <v>42277</v>
      </c>
      <c r="S9107" s="2">
        <v>42278</v>
      </c>
      <c r="T9107" s="2">
        <v>42277</v>
      </c>
      <c r="U9107" s="2">
        <v>42337</v>
      </c>
      <c r="V9107" t="s">
        <v>71</v>
      </c>
      <c r="W9107" t="str">
        <f>"        2015    65/a"</f>
        <v xml:space="preserve">        2015    65/a</v>
      </c>
      <c r="X9107">
        <v>439.2</v>
      </c>
      <c r="Y9107">
        <v>0</v>
      </c>
      <c r="Z9107"/>
      <c r="AB9107"/>
      <c r="AC9107">
        <v>360</v>
      </c>
      <c r="AD9107">
        <v>66</v>
      </c>
      <c r="AE9107" s="1">
        <v>23760</v>
      </c>
      <c r="AF9107">
        <v>79.2</v>
      </c>
      <c r="AJ9107">
        <v>0</v>
      </c>
      <c r="AK9107">
        <v>0</v>
      </c>
      <c r="AL9107">
        <v>0</v>
      </c>
      <c r="AM9107">
        <v>0</v>
      </c>
      <c r="AN9107">
        <v>0</v>
      </c>
      <c r="AO9107">
        <v>0</v>
      </c>
      <c r="AP9107" s="2">
        <v>42746</v>
      </c>
      <c r="AQ9107" t="s">
        <v>72</v>
      </c>
      <c r="AR9107" t="s">
        <v>72</v>
      </c>
      <c r="AS9107">
        <v>212</v>
      </c>
      <c r="AT9107" s="4">
        <v>42403</v>
      </c>
      <c r="AU9107" t="s">
        <v>73</v>
      </c>
      <c r="AV9107">
        <v>212</v>
      </c>
      <c r="AW9107" s="4">
        <v>42403</v>
      </c>
      <c r="BD9107">
        <v>79.2</v>
      </c>
      <c r="BN9107" t="s">
        <v>74</v>
      </c>
    </row>
    <row r="9108" spans="1:66" hidden="1">
      <c r="A9108">
        <v>106570</v>
      </c>
      <c r="B9108" s="3" t="s">
        <v>802</v>
      </c>
      <c r="C9108" s="1">
        <v>43300101</v>
      </c>
      <c r="D9108" t="s">
        <v>67</v>
      </c>
      <c r="H9108" t="str">
        <f t="shared" si="954"/>
        <v>01617610629</v>
      </c>
      <c r="I9108" t="str">
        <f t="shared" si="954"/>
        <v>01617610629</v>
      </c>
      <c r="K9108" t="str">
        <f>""</f>
        <v/>
      </c>
      <c r="M9108" t="s">
        <v>68</v>
      </c>
      <c r="N9108" t="str">
        <f t="shared" si="953"/>
        <v>FOR</v>
      </c>
      <c r="O9108" t="s">
        <v>69</v>
      </c>
      <c r="P9108" s="3" t="s">
        <v>75</v>
      </c>
      <c r="Q9108">
        <v>2015</v>
      </c>
      <c r="R9108" s="2">
        <v>42277</v>
      </c>
      <c r="S9108" s="2">
        <v>42278</v>
      </c>
      <c r="T9108" s="2">
        <v>42277</v>
      </c>
      <c r="U9108" s="2">
        <v>42337</v>
      </c>
      <c r="V9108" t="s">
        <v>71</v>
      </c>
      <c r="W9108" t="str">
        <f>"        2015    66/a"</f>
        <v xml:space="preserve">        2015    66/a</v>
      </c>
      <c r="X9108">
        <v>183</v>
      </c>
      <c r="Y9108">
        <v>0</v>
      </c>
      <c r="Z9108"/>
      <c r="AB9108"/>
      <c r="AC9108">
        <v>150</v>
      </c>
      <c r="AD9108">
        <v>66</v>
      </c>
      <c r="AE9108" s="1">
        <v>9900</v>
      </c>
      <c r="AF9108">
        <v>33</v>
      </c>
      <c r="AJ9108">
        <v>0</v>
      </c>
      <c r="AK9108">
        <v>0</v>
      </c>
      <c r="AL9108">
        <v>0</v>
      </c>
      <c r="AM9108">
        <v>0</v>
      </c>
      <c r="AN9108">
        <v>0</v>
      </c>
      <c r="AO9108">
        <v>0</v>
      </c>
      <c r="AP9108" s="2">
        <v>42746</v>
      </c>
      <c r="AQ9108" t="s">
        <v>72</v>
      </c>
      <c r="AR9108" t="s">
        <v>72</v>
      </c>
      <c r="AS9108">
        <v>212</v>
      </c>
      <c r="AT9108" s="4">
        <v>42403</v>
      </c>
      <c r="AU9108" t="s">
        <v>73</v>
      </c>
      <c r="AV9108">
        <v>212</v>
      </c>
      <c r="AW9108" s="4">
        <v>42403</v>
      </c>
      <c r="BD9108">
        <v>33</v>
      </c>
      <c r="BN9108" t="s">
        <v>74</v>
      </c>
    </row>
    <row r="9109" spans="1:66" hidden="1">
      <c r="A9109">
        <v>106570</v>
      </c>
      <c r="B9109" s="3" t="s">
        <v>802</v>
      </c>
      <c r="C9109" s="1">
        <v>43300101</v>
      </c>
      <c r="D9109" t="s">
        <v>67</v>
      </c>
      <c r="H9109" t="str">
        <f t="shared" si="954"/>
        <v>01617610629</v>
      </c>
      <c r="I9109" t="str">
        <f t="shared" si="954"/>
        <v>01617610629</v>
      </c>
      <c r="K9109" t="str">
        <f>""</f>
        <v/>
      </c>
      <c r="M9109" t="s">
        <v>68</v>
      </c>
      <c r="N9109" t="str">
        <f t="shared" si="953"/>
        <v>FOR</v>
      </c>
      <c r="O9109" t="s">
        <v>69</v>
      </c>
      <c r="P9109" s="3" t="s">
        <v>75</v>
      </c>
      <c r="Q9109">
        <v>2015</v>
      </c>
      <c r="R9109" s="2">
        <v>42277</v>
      </c>
      <c r="S9109" s="2">
        <v>42278</v>
      </c>
      <c r="T9109" s="2">
        <v>42277</v>
      </c>
      <c r="U9109" s="2">
        <v>42337</v>
      </c>
      <c r="V9109" t="s">
        <v>71</v>
      </c>
      <c r="W9109" t="str">
        <f>"        2015    67/a"</f>
        <v xml:space="preserve">        2015    67/a</v>
      </c>
      <c r="X9109">
        <v>353.8</v>
      </c>
      <c r="Y9109">
        <v>0</v>
      </c>
      <c r="Z9109"/>
      <c r="AB9109"/>
      <c r="AC9109">
        <v>290</v>
      </c>
      <c r="AD9109">
        <v>66</v>
      </c>
      <c r="AE9109" s="1">
        <v>19140</v>
      </c>
      <c r="AF9109">
        <v>63.8</v>
      </c>
      <c r="AJ9109">
        <v>0</v>
      </c>
      <c r="AK9109">
        <v>0</v>
      </c>
      <c r="AL9109">
        <v>0</v>
      </c>
      <c r="AM9109">
        <v>0</v>
      </c>
      <c r="AN9109">
        <v>0</v>
      </c>
      <c r="AO9109">
        <v>0</v>
      </c>
      <c r="AP9109" s="2">
        <v>42746</v>
      </c>
      <c r="AQ9109" t="s">
        <v>72</v>
      </c>
      <c r="AR9109" t="s">
        <v>72</v>
      </c>
      <c r="AS9109">
        <v>212</v>
      </c>
      <c r="AT9109" s="4">
        <v>42403</v>
      </c>
      <c r="AU9109" t="s">
        <v>73</v>
      </c>
      <c r="AV9109">
        <v>212</v>
      </c>
      <c r="AW9109" s="4">
        <v>42403</v>
      </c>
      <c r="BD9109">
        <v>63.8</v>
      </c>
      <c r="BN9109" t="s">
        <v>74</v>
      </c>
    </row>
    <row r="9110" spans="1:66" hidden="1">
      <c r="A9110">
        <v>106570</v>
      </c>
      <c r="B9110" s="3" t="s">
        <v>802</v>
      </c>
      <c r="C9110" s="1">
        <v>43300101</v>
      </c>
      <c r="D9110" t="s">
        <v>67</v>
      </c>
      <c r="H9110" t="str">
        <f t="shared" si="954"/>
        <v>01617610629</v>
      </c>
      <c r="I9110" t="str">
        <f t="shared" si="954"/>
        <v>01617610629</v>
      </c>
      <c r="K9110" t="str">
        <f>""</f>
        <v/>
      </c>
      <c r="M9110" t="s">
        <v>68</v>
      </c>
      <c r="N9110" t="str">
        <f t="shared" si="953"/>
        <v>FOR</v>
      </c>
      <c r="O9110" t="s">
        <v>69</v>
      </c>
      <c r="P9110" s="3" t="s">
        <v>75</v>
      </c>
      <c r="Q9110">
        <v>2015</v>
      </c>
      <c r="R9110" s="2">
        <v>42277</v>
      </c>
      <c r="S9110" s="2">
        <v>42278</v>
      </c>
      <c r="T9110" s="2">
        <v>42278</v>
      </c>
      <c r="U9110" s="2">
        <v>42338</v>
      </c>
      <c r="V9110" t="s">
        <v>71</v>
      </c>
      <c r="W9110" t="str">
        <f>"        2015    68/a"</f>
        <v xml:space="preserve">        2015    68/a</v>
      </c>
      <c r="X9110">
        <v>305</v>
      </c>
      <c r="Y9110">
        <v>0</v>
      </c>
      <c r="Z9110"/>
      <c r="AB9110"/>
      <c r="AC9110">
        <v>250</v>
      </c>
      <c r="AD9110">
        <v>65</v>
      </c>
      <c r="AE9110" s="1">
        <v>16250</v>
      </c>
      <c r="AF9110">
        <v>55</v>
      </c>
      <c r="AJ9110">
        <v>0</v>
      </c>
      <c r="AK9110">
        <v>0</v>
      </c>
      <c r="AL9110">
        <v>0</v>
      </c>
      <c r="AM9110">
        <v>0</v>
      </c>
      <c r="AN9110">
        <v>0</v>
      </c>
      <c r="AO9110">
        <v>0</v>
      </c>
      <c r="AP9110" s="2">
        <v>42746</v>
      </c>
      <c r="AQ9110" t="s">
        <v>72</v>
      </c>
      <c r="AR9110" t="s">
        <v>72</v>
      </c>
      <c r="AS9110">
        <v>212</v>
      </c>
      <c r="AT9110" s="4">
        <v>42403</v>
      </c>
      <c r="AU9110" t="s">
        <v>73</v>
      </c>
      <c r="AV9110">
        <v>212</v>
      </c>
      <c r="AW9110" s="4">
        <v>42403</v>
      </c>
      <c r="BD9110">
        <v>55</v>
      </c>
      <c r="BN9110" t="s">
        <v>74</v>
      </c>
    </row>
    <row r="9111" spans="1:66" hidden="1">
      <c r="A9111">
        <v>106570</v>
      </c>
      <c r="B9111" s="3" t="s">
        <v>802</v>
      </c>
      <c r="C9111" s="1">
        <v>43300101</v>
      </c>
      <c r="D9111" t="s">
        <v>67</v>
      </c>
      <c r="H9111" t="str">
        <f t="shared" si="954"/>
        <v>01617610629</v>
      </c>
      <c r="I9111" t="str">
        <f t="shared" si="954"/>
        <v>01617610629</v>
      </c>
      <c r="K9111" t="str">
        <f>""</f>
        <v/>
      </c>
      <c r="M9111" t="s">
        <v>68</v>
      </c>
      <c r="N9111" t="str">
        <f t="shared" si="953"/>
        <v>FOR</v>
      </c>
      <c r="O9111" t="s">
        <v>69</v>
      </c>
      <c r="P9111" s="3" t="s">
        <v>75</v>
      </c>
      <c r="Q9111">
        <v>2015</v>
      </c>
      <c r="R9111" s="2">
        <v>42310</v>
      </c>
      <c r="S9111" s="2">
        <v>42312</v>
      </c>
      <c r="T9111" s="2">
        <v>42310</v>
      </c>
      <c r="U9111" s="2">
        <v>42370</v>
      </c>
      <c r="V9111" t="s">
        <v>71</v>
      </c>
      <c r="W9111" t="str">
        <f>"        2015    76/a"</f>
        <v xml:space="preserve">        2015    76/a</v>
      </c>
      <c r="X9111">
        <v>695.4</v>
      </c>
      <c r="Y9111">
        <v>0</v>
      </c>
      <c r="Z9111"/>
      <c r="AB9111"/>
      <c r="AC9111">
        <v>570</v>
      </c>
      <c r="AD9111">
        <v>33</v>
      </c>
      <c r="AE9111" s="1">
        <v>18810</v>
      </c>
      <c r="AF9111">
        <v>125.4</v>
      </c>
      <c r="AJ9111">
        <v>0</v>
      </c>
      <c r="AK9111">
        <v>0</v>
      </c>
      <c r="AL9111">
        <v>0</v>
      </c>
      <c r="AM9111">
        <v>0</v>
      </c>
      <c r="AN9111">
        <v>0</v>
      </c>
      <c r="AO9111">
        <v>0</v>
      </c>
      <c r="AP9111" s="2">
        <v>42746</v>
      </c>
      <c r="AQ9111" t="s">
        <v>72</v>
      </c>
      <c r="AR9111" t="s">
        <v>72</v>
      </c>
      <c r="AS9111">
        <v>212</v>
      </c>
      <c r="AT9111" s="4">
        <v>42403</v>
      </c>
      <c r="AU9111" t="s">
        <v>73</v>
      </c>
      <c r="AV9111">
        <v>212</v>
      </c>
      <c r="AW9111" s="4">
        <v>42403</v>
      </c>
      <c r="BD9111">
        <v>125.4</v>
      </c>
      <c r="BN9111" t="s">
        <v>74</v>
      </c>
    </row>
    <row r="9112" spans="1:66" hidden="1">
      <c r="A9112">
        <v>106570</v>
      </c>
      <c r="B9112" s="3" t="s">
        <v>802</v>
      </c>
      <c r="C9112" s="1">
        <v>43300101</v>
      </c>
      <c r="D9112" t="s">
        <v>67</v>
      </c>
      <c r="H9112" t="str">
        <f t="shared" si="954"/>
        <v>01617610629</v>
      </c>
      <c r="I9112" t="str">
        <f t="shared" si="954"/>
        <v>01617610629</v>
      </c>
      <c r="K9112" t="str">
        <f>""</f>
        <v/>
      </c>
      <c r="M9112" t="s">
        <v>68</v>
      </c>
      <c r="N9112" t="str">
        <f t="shared" si="953"/>
        <v>FOR</v>
      </c>
      <c r="O9112" t="s">
        <v>69</v>
      </c>
      <c r="P9112" s="3" t="s">
        <v>75</v>
      </c>
      <c r="Q9112">
        <v>2015</v>
      </c>
      <c r="R9112" s="2">
        <v>42310</v>
      </c>
      <c r="S9112" s="2">
        <v>42312</v>
      </c>
      <c r="T9112" s="2">
        <v>42310</v>
      </c>
      <c r="U9112" s="2">
        <v>42370</v>
      </c>
      <c r="V9112" t="s">
        <v>71</v>
      </c>
      <c r="W9112" t="str">
        <f>"        2015    77/a"</f>
        <v xml:space="preserve">        2015    77/a</v>
      </c>
      <c r="X9112">
        <v>280.60000000000002</v>
      </c>
      <c r="Y9112">
        <v>0</v>
      </c>
      <c r="Z9112"/>
      <c r="AB9112"/>
      <c r="AC9112">
        <v>230</v>
      </c>
      <c r="AD9112">
        <v>33</v>
      </c>
      <c r="AE9112" s="1">
        <v>7590</v>
      </c>
      <c r="AF9112">
        <v>50.6</v>
      </c>
      <c r="AJ9112">
        <v>0</v>
      </c>
      <c r="AK9112">
        <v>0</v>
      </c>
      <c r="AL9112">
        <v>0</v>
      </c>
      <c r="AM9112">
        <v>0</v>
      </c>
      <c r="AN9112">
        <v>0</v>
      </c>
      <c r="AO9112">
        <v>0</v>
      </c>
      <c r="AP9112" s="2">
        <v>42746</v>
      </c>
      <c r="AQ9112" t="s">
        <v>72</v>
      </c>
      <c r="AR9112" t="s">
        <v>72</v>
      </c>
      <c r="AS9112">
        <v>212</v>
      </c>
      <c r="AT9112" s="4">
        <v>42403</v>
      </c>
      <c r="AU9112" t="s">
        <v>73</v>
      </c>
      <c r="AV9112">
        <v>212</v>
      </c>
      <c r="AW9112" s="4">
        <v>42403</v>
      </c>
      <c r="BD9112">
        <v>50.6</v>
      </c>
      <c r="BN9112" t="s">
        <v>74</v>
      </c>
    </row>
    <row r="9113" spans="1:66" hidden="1">
      <c r="A9113">
        <v>106570</v>
      </c>
      <c r="B9113" s="3" t="s">
        <v>802</v>
      </c>
      <c r="C9113" s="1">
        <v>43300101</v>
      </c>
      <c r="D9113" t="s">
        <v>67</v>
      </c>
      <c r="H9113" t="str">
        <f t="shared" si="954"/>
        <v>01617610629</v>
      </c>
      <c r="I9113" t="str">
        <f t="shared" si="954"/>
        <v>01617610629</v>
      </c>
      <c r="K9113" t="str">
        <f>""</f>
        <v/>
      </c>
      <c r="M9113" t="s">
        <v>68</v>
      </c>
      <c r="N9113" t="str">
        <f t="shared" si="953"/>
        <v>FOR</v>
      </c>
      <c r="O9113" t="s">
        <v>69</v>
      </c>
      <c r="P9113" s="3" t="s">
        <v>75</v>
      </c>
      <c r="Q9113">
        <v>2015</v>
      </c>
      <c r="R9113" s="2">
        <v>42310</v>
      </c>
      <c r="S9113" s="2">
        <v>42312</v>
      </c>
      <c r="T9113" s="2">
        <v>42310</v>
      </c>
      <c r="U9113" s="2">
        <v>42370</v>
      </c>
      <c r="V9113" t="s">
        <v>71</v>
      </c>
      <c r="W9113" t="str">
        <f>"        2015    78/a"</f>
        <v xml:space="preserve">        2015    78/a</v>
      </c>
      <c r="X9113">
        <v>47.58</v>
      </c>
      <c r="Y9113">
        <v>0</v>
      </c>
      <c r="Z9113"/>
      <c r="AB9113"/>
      <c r="AC9113">
        <v>39</v>
      </c>
      <c r="AD9113">
        <v>33</v>
      </c>
      <c r="AE9113" s="1">
        <v>1287</v>
      </c>
      <c r="AF9113">
        <v>8.58</v>
      </c>
      <c r="AJ9113">
        <v>0</v>
      </c>
      <c r="AK9113">
        <v>0</v>
      </c>
      <c r="AL9113">
        <v>0</v>
      </c>
      <c r="AM9113">
        <v>0</v>
      </c>
      <c r="AN9113">
        <v>0</v>
      </c>
      <c r="AO9113">
        <v>0</v>
      </c>
      <c r="AP9113" s="2">
        <v>42746</v>
      </c>
      <c r="AQ9113" t="s">
        <v>72</v>
      </c>
      <c r="AR9113" t="s">
        <v>72</v>
      </c>
      <c r="AS9113">
        <v>212</v>
      </c>
      <c r="AT9113" s="4">
        <v>42403</v>
      </c>
      <c r="AU9113" t="s">
        <v>73</v>
      </c>
      <c r="AV9113">
        <v>212</v>
      </c>
      <c r="AW9113" s="4">
        <v>42403</v>
      </c>
      <c r="BD9113">
        <v>8.58</v>
      </c>
      <c r="BN9113" t="s">
        <v>74</v>
      </c>
    </row>
    <row r="9114" spans="1:66" hidden="1">
      <c r="A9114">
        <v>106570</v>
      </c>
      <c r="B9114" s="3" t="s">
        <v>802</v>
      </c>
      <c r="C9114" s="1">
        <v>43300101</v>
      </c>
      <c r="D9114" t="s">
        <v>67</v>
      </c>
      <c r="H9114" t="str">
        <f t="shared" si="954"/>
        <v>01617610629</v>
      </c>
      <c r="I9114" t="str">
        <f t="shared" si="954"/>
        <v>01617610629</v>
      </c>
      <c r="K9114" t="str">
        <f>""</f>
        <v/>
      </c>
      <c r="M9114" t="s">
        <v>68</v>
      </c>
      <c r="N9114" t="str">
        <f t="shared" ref="N9114:N9145" si="955">"FOR"</f>
        <v>FOR</v>
      </c>
      <c r="O9114" t="s">
        <v>69</v>
      </c>
      <c r="P9114" s="3" t="s">
        <v>75</v>
      </c>
      <c r="Q9114">
        <v>2015</v>
      </c>
      <c r="R9114" s="2">
        <v>42332</v>
      </c>
      <c r="S9114" s="2">
        <v>42333</v>
      </c>
      <c r="T9114" s="2">
        <v>42332</v>
      </c>
      <c r="U9114" s="2">
        <v>42392</v>
      </c>
      <c r="V9114" t="s">
        <v>71</v>
      </c>
      <c r="W9114" t="str">
        <f>"        2015    82/a"</f>
        <v xml:space="preserve">        2015    82/a</v>
      </c>
      <c r="X9114">
        <v>732</v>
      </c>
      <c r="Y9114">
        <v>0</v>
      </c>
      <c r="Z9114"/>
      <c r="AB9114"/>
      <c r="AC9114">
        <v>600</v>
      </c>
      <c r="AD9114">
        <v>11</v>
      </c>
      <c r="AE9114" s="1">
        <v>6600</v>
      </c>
      <c r="AF9114">
        <v>132</v>
      </c>
      <c r="AJ9114">
        <v>0</v>
      </c>
      <c r="AK9114">
        <v>0</v>
      </c>
      <c r="AL9114">
        <v>0</v>
      </c>
      <c r="AM9114">
        <v>0</v>
      </c>
      <c r="AN9114">
        <v>0</v>
      </c>
      <c r="AO9114">
        <v>0</v>
      </c>
      <c r="AP9114" s="2">
        <v>42746</v>
      </c>
      <c r="AQ9114" t="s">
        <v>72</v>
      </c>
      <c r="AR9114" t="s">
        <v>72</v>
      </c>
      <c r="AS9114">
        <v>212</v>
      </c>
      <c r="AT9114" s="4">
        <v>42403</v>
      </c>
      <c r="AU9114" t="s">
        <v>73</v>
      </c>
      <c r="AV9114">
        <v>212</v>
      </c>
      <c r="AW9114" s="4">
        <v>42403</v>
      </c>
      <c r="BD9114">
        <v>132</v>
      </c>
      <c r="BN9114" t="s">
        <v>74</v>
      </c>
    </row>
    <row r="9115" spans="1:66" hidden="1">
      <c r="A9115">
        <v>106570</v>
      </c>
      <c r="B9115" s="3" t="s">
        <v>802</v>
      </c>
      <c r="C9115" s="1">
        <v>43300101</v>
      </c>
      <c r="D9115" t="s">
        <v>67</v>
      </c>
      <c r="H9115" t="str">
        <f t="shared" si="954"/>
        <v>01617610629</v>
      </c>
      <c r="I9115" t="str">
        <f t="shared" si="954"/>
        <v>01617610629</v>
      </c>
      <c r="K9115" t="str">
        <f>""</f>
        <v/>
      </c>
      <c r="M9115" t="s">
        <v>68</v>
      </c>
      <c r="N9115" t="str">
        <f t="shared" si="955"/>
        <v>FOR</v>
      </c>
      <c r="O9115" t="s">
        <v>69</v>
      </c>
      <c r="P9115" s="3" t="s">
        <v>75</v>
      </c>
      <c r="Q9115">
        <v>2015</v>
      </c>
      <c r="R9115" s="2">
        <v>42332</v>
      </c>
      <c r="S9115" s="2">
        <v>42333</v>
      </c>
      <c r="T9115" s="2">
        <v>42332</v>
      </c>
      <c r="U9115" s="2">
        <v>42392</v>
      </c>
      <c r="V9115" t="s">
        <v>71</v>
      </c>
      <c r="W9115" t="str">
        <f>"        2015    83/a"</f>
        <v xml:space="preserve">        2015    83/a</v>
      </c>
      <c r="X9115">
        <v>158.6</v>
      </c>
      <c r="Y9115">
        <v>0</v>
      </c>
      <c r="Z9115"/>
      <c r="AB9115"/>
      <c r="AC9115">
        <v>130</v>
      </c>
      <c r="AD9115">
        <v>11</v>
      </c>
      <c r="AE9115" s="1">
        <v>1430</v>
      </c>
      <c r="AF9115">
        <v>28.6</v>
      </c>
      <c r="AJ9115">
        <v>0</v>
      </c>
      <c r="AK9115">
        <v>0</v>
      </c>
      <c r="AL9115">
        <v>0</v>
      </c>
      <c r="AM9115">
        <v>0</v>
      </c>
      <c r="AN9115">
        <v>0</v>
      </c>
      <c r="AO9115">
        <v>0</v>
      </c>
      <c r="AP9115" s="2">
        <v>42746</v>
      </c>
      <c r="AQ9115" t="s">
        <v>72</v>
      </c>
      <c r="AR9115" t="s">
        <v>72</v>
      </c>
      <c r="AS9115">
        <v>212</v>
      </c>
      <c r="AT9115" s="4">
        <v>42403</v>
      </c>
      <c r="AU9115" t="s">
        <v>73</v>
      </c>
      <c r="AV9115">
        <v>212</v>
      </c>
      <c r="AW9115" s="4">
        <v>42403</v>
      </c>
      <c r="BD9115">
        <v>28.6</v>
      </c>
      <c r="BN9115" t="s">
        <v>74</v>
      </c>
    </row>
    <row r="9116" spans="1:66" hidden="1">
      <c r="A9116">
        <v>106570</v>
      </c>
      <c r="B9116" s="3" t="s">
        <v>802</v>
      </c>
      <c r="C9116" s="1">
        <v>43300101</v>
      </c>
      <c r="D9116" t="s">
        <v>67</v>
      </c>
      <c r="H9116" t="str">
        <f t="shared" si="954"/>
        <v>01617610629</v>
      </c>
      <c r="I9116" t="str">
        <f t="shared" si="954"/>
        <v>01617610629</v>
      </c>
      <c r="K9116" t="str">
        <f>""</f>
        <v/>
      </c>
      <c r="M9116" t="s">
        <v>68</v>
      </c>
      <c r="N9116" t="str">
        <f t="shared" si="955"/>
        <v>FOR</v>
      </c>
      <c r="O9116" t="s">
        <v>69</v>
      </c>
      <c r="P9116" s="3" t="s">
        <v>75</v>
      </c>
      <c r="Q9116">
        <v>2015</v>
      </c>
      <c r="R9116" s="2">
        <v>42332</v>
      </c>
      <c r="S9116" s="2">
        <v>42333</v>
      </c>
      <c r="T9116" s="2">
        <v>42332</v>
      </c>
      <c r="U9116" s="2">
        <v>42392</v>
      </c>
      <c r="V9116" t="s">
        <v>71</v>
      </c>
      <c r="W9116" t="str">
        <f>"        2015    84/a"</f>
        <v xml:space="preserve">        2015    84/a</v>
      </c>
      <c r="X9116">
        <v>42.7</v>
      </c>
      <c r="Y9116">
        <v>0</v>
      </c>
      <c r="Z9116"/>
      <c r="AB9116"/>
      <c r="AC9116">
        <v>35</v>
      </c>
      <c r="AD9116">
        <v>11</v>
      </c>
      <c r="AE9116">
        <v>385</v>
      </c>
      <c r="AF9116">
        <v>7.7</v>
      </c>
      <c r="AJ9116">
        <v>0</v>
      </c>
      <c r="AK9116">
        <v>0</v>
      </c>
      <c r="AL9116">
        <v>0</v>
      </c>
      <c r="AM9116">
        <v>0</v>
      </c>
      <c r="AN9116">
        <v>0</v>
      </c>
      <c r="AO9116">
        <v>0</v>
      </c>
      <c r="AP9116" s="2">
        <v>42746</v>
      </c>
      <c r="AQ9116" t="s">
        <v>72</v>
      </c>
      <c r="AR9116" t="s">
        <v>72</v>
      </c>
      <c r="AS9116">
        <v>212</v>
      </c>
      <c r="AT9116" s="4">
        <v>42403</v>
      </c>
      <c r="AU9116" t="s">
        <v>73</v>
      </c>
      <c r="AV9116">
        <v>212</v>
      </c>
      <c r="AW9116" s="4">
        <v>42403</v>
      </c>
      <c r="BD9116">
        <v>7.7</v>
      </c>
      <c r="BN9116" t="s">
        <v>74</v>
      </c>
    </row>
    <row r="9117" spans="1:66" hidden="1">
      <c r="A9117">
        <v>106570</v>
      </c>
      <c r="B9117" s="3" t="s">
        <v>802</v>
      </c>
      <c r="C9117" s="1">
        <v>43300101</v>
      </c>
      <c r="D9117" t="s">
        <v>67</v>
      </c>
      <c r="H9117" t="str">
        <f t="shared" si="954"/>
        <v>01617610629</v>
      </c>
      <c r="I9117" t="str">
        <f t="shared" si="954"/>
        <v>01617610629</v>
      </c>
      <c r="K9117" t="str">
        <f>""</f>
        <v/>
      </c>
      <c r="M9117" t="s">
        <v>68</v>
      </c>
      <c r="N9117" t="str">
        <f t="shared" si="955"/>
        <v>FOR</v>
      </c>
      <c r="O9117" t="s">
        <v>69</v>
      </c>
      <c r="P9117" s="3" t="s">
        <v>75</v>
      </c>
      <c r="Q9117">
        <v>2015</v>
      </c>
      <c r="R9117" s="2">
        <v>42332</v>
      </c>
      <c r="S9117" s="2">
        <v>42333</v>
      </c>
      <c r="T9117" s="2">
        <v>42332</v>
      </c>
      <c r="U9117" s="2">
        <v>42392</v>
      </c>
      <c r="V9117" t="s">
        <v>71</v>
      </c>
      <c r="W9117" t="str">
        <f>"        2015    85/a"</f>
        <v xml:space="preserve">        2015    85/a</v>
      </c>
      <c r="X9117">
        <v>109.8</v>
      </c>
      <c r="Y9117">
        <v>0</v>
      </c>
      <c r="Z9117"/>
      <c r="AB9117"/>
      <c r="AC9117">
        <v>90</v>
      </c>
      <c r="AD9117">
        <v>11</v>
      </c>
      <c r="AE9117">
        <v>990</v>
      </c>
      <c r="AF9117">
        <v>19.8</v>
      </c>
      <c r="AJ9117">
        <v>0</v>
      </c>
      <c r="AK9117">
        <v>0</v>
      </c>
      <c r="AL9117">
        <v>0</v>
      </c>
      <c r="AM9117">
        <v>0</v>
      </c>
      <c r="AN9117">
        <v>0</v>
      </c>
      <c r="AO9117">
        <v>0</v>
      </c>
      <c r="AP9117" s="2">
        <v>42746</v>
      </c>
      <c r="AQ9117" t="s">
        <v>72</v>
      </c>
      <c r="AR9117" t="s">
        <v>72</v>
      </c>
      <c r="AS9117">
        <v>212</v>
      </c>
      <c r="AT9117" s="4">
        <v>42403</v>
      </c>
      <c r="AU9117" t="s">
        <v>73</v>
      </c>
      <c r="AV9117">
        <v>212</v>
      </c>
      <c r="AW9117" s="4">
        <v>42403</v>
      </c>
      <c r="BD9117">
        <v>19.8</v>
      </c>
      <c r="BN9117" t="s">
        <v>74</v>
      </c>
    </row>
    <row r="9118" spans="1:66" hidden="1">
      <c r="A9118">
        <v>106570</v>
      </c>
      <c r="B9118" s="3" t="s">
        <v>802</v>
      </c>
      <c r="C9118" s="1">
        <v>43300101</v>
      </c>
      <c r="D9118" t="s">
        <v>67</v>
      </c>
      <c r="H9118" t="str">
        <f t="shared" si="954"/>
        <v>01617610629</v>
      </c>
      <c r="I9118" t="str">
        <f t="shared" si="954"/>
        <v>01617610629</v>
      </c>
      <c r="K9118" t="str">
        <f>""</f>
        <v/>
      </c>
      <c r="M9118" t="s">
        <v>68</v>
      </c>
      <c r="N9118" t="str">
        <f t="shared" si="955"/>
        <v>FOR</v>
      </c>
      <c r="O9118" t="s">
        <v>69</v>
      </c>
      <c r="P9118" s="3" t="s">
        <v>75</v>
      </c>
      <c r="Q9118">
        <v>2015</v>
      </c>
      <c r="R9118" s="2">
        <v>42332</v>
      </c>
      <c r="S9118" s="2">
        <v>42333</v>
      </c>
      <c r="T9118" s="2">
        <v>42332</v>
      </c>
      <c r="U9118" s="2">
        <v>42392</v>
      </c>
      <c r="V9118" t="s">
        <v>71</v>
      </c>
      <c r="W9118" t="str">
        <f>"        2015    86/a"</f>
        <v xml:space="preserve">        2015    86/a</v>
      </c>
      <c r="X9118">
        <v>414.8</v>
      </c>
      <c r="Y9118">
        <v>0</v>
      </c>
      <c r="Z9118"/>
      <c r="AB9118"/>
      <c r="AC9118">
        <v>340</v>
      </c>
      <c r="AD9118">
        <v>11</v>
      </c>
      <c r="AE9118" s="1">
        <v>3740</v>
      </c>
      <c r="AF9118">
        <v>74.8</v>
      </c>
      <c r="AJ9118">
        <v>0</v>
      </c>
      <c r="AK9118">
        <v>0</v>
      </c>
      <c r="AL9118">
        <v>0</v>
      </c>
      <c r="AM9118">
        <v>0</v>
      </c>
      <c r="AN9118">
        <v>0</v>
      </c>
      <c r="AO9118">
        <v>0</v>
      </c>
      <c r="AP9118" s="2">
        <v>42746</v>
      </c>
      <c r="AQ9118" t="s">
        <v>72</v>
      </c>
      <c r="AR9118" t="s">
        <v>72</v>
      </c>
      <c r="AS9118">
        <v>212</v>
      </c>
      <c r="AT9118" s="4">
        <v>42403</v>
      </c>
      <c r="AU9118" t="s">
        <v>73</v>
      </c>
      <c r="AV9118">
        <v>212</v>
      </c>
      <c r="AW9118" s="4">
        <v>42403</v>
      </c>
      <c r="BD9118">
        <v>74.8</v>
      </c>
      <c r="BN9118" t="s">
        <v>74</v>
      </c>
    </row>
    <row r="9119" spans="1:66" hidden="1">
      <c r="A9119">
        <v>106570</v>
      </c>
      <c r="B9119" s="3" t="s">
        <v>802</v>
      </c>
      <c r="C9119" s="1">
        <v>43300101</v>
      </c>
      <c r="D9119" t="s">
        <v>67</v>
      </c>
      <c r="H9119" t="str">
        <f t="shared" si="954"/>
        <v>01617610629</v>
      </c>
      <c r="I9119" t="str">
        <f t="shared" si="954"/>
        <v>01617610629</v>
      </c>
      <c r="K9119" t="str">
        <f>""</f>
        <v/>
      </c>
      <c r="M9119" t="s">
        <v>68</v>
      </c>
      <c r="N9119" t="str">
        <f t="shared" si="955"/>
        <v>FOR</v>
      </c>
      <c r="O9119" t="s">
        <v>69</v>
      </c>
      <c r="P9119" s="3" t="s">
        <v>75</v>
      </c>
      <c r="Q9119">
        <v>2015</v>
      </c>
      <c r="R9119" s="2">
        <v>42332</v>
      </c>
      <c r="S9119" s="2">
        <v>42333</v>
      </c>
      <c r="T9119" s="2">
        <v>42332</v>
      </c>
      <c r="U9119" s="2">
        <v>42392</v>
      </c>
      <c r="V9119" t="s">
        <v>71</v>
      </c>
      <c r="W9119" t="str">
        <f>"        2015    87/a"</f>
        <v xml:space="preserve">        2015    87/a</v>
      </c>
      <c r="X9119">
        <v>61</v>
      </c>
      <c r="Y9119">
        <v>0</v>
      </c>
      <c r="Z9119"/>
      <c r="AB9119"/>
      <c r="AC9119">
        <v>50</v>
      </c>
      <c r="AD9119">
        <v>11</v>
      </c>
      <c r="AE9119">
        <v>550</v>
      </c>
      <c r="AF9119">
        <v>11</v>
      </c>
      <c r="AJ9119">
        <v>0</v>
      </c>
      <c r="AK9119">
        <v>0</v>
      </c>
      <c r="AL9119">
        <v>0</v>
      </c>
      <c r="AM9119">
        <v>0</v>
      </c>
      <c r="AN9119">
        <v>0</v>
      </c>
      <c r="AO9119">
        <v>0</v>
      </c>
      <c r="AP9119" s="2">
        <v>42746</v>
      </c>
      <c r="AQ9119" t="s">
        <v>72</v>
      </c>
      <c r="AR9119" t="s">
        <v>72</v>
      </c>
      <c r="AS9119">
        <v>212</v>
      </c>
      <c r="AT9119" s="4">
        <v>42403</v>
      </c>
      <c r="AU9119" t="s">
        <v>73</v>
      </c>
      <c r="AV9119">
        <v>212</v>
      </c>
      <c r="AW9119" s="4">
        <v>42403</v>
      </c>
      <c r="BD9119">
        <v>11</v>
      </c>
      <c r="BN9119" t="s">
        <v>74</v>
      </c>
    </row>
    <row r="9120" spans="1:66" hidden="1">
      <c r="A9120">
        <v>106570</v>
      </c>
      <c r="B9120" s="3" t="s">
        <v>802</v>
      </c>
      <c r="C9120" s="1">
        <v>43300101</v>
      </c>
      <c r="D9120" t="s">
        <v>67</v>
      </c>
      <c r="H9120" t="str">
        <f t="shared" ref="H9120:I9139" si="956">"01617610629"</f>
        <v>01617610629</v>
      </c>
      <c r="I9120" t="str">
        <f t="shared" si="956"/>
        <v>01617610629</v>
      </c>
      <c r="K9120" t="str">
        <f>""</f>
        <v/>
      </c>
      <c r="M9120" t="s">
        <v>68</v>
      </c>
      <c r="N9120" t="str">
        <f t="shared" si="955"/>
        <v>FOR</v>
      </c>
      <c r="O9120" t="s">
        <v>69</v>
      </c>
      <c r="P9120" s="3" t="s">
        <v>75</v>
      </c>
      <c r="Q9120">
        <v>2015</v>
      </c>
      <c r="R9120" s="2">
        <v>42332</v>
      </c>
      <c r="S9120" s="2">
        <v>42333</v>
      </c>
      <c r="T9120" s="2">
        <v>42332</v>
      </c>
      <c r="U9120" s="2">
        <v>42392</v>
      </c>
      <c r="V9120" t="s">
        <v>71</v>
      </c>
      <c r="W9120" t="str">
        <f>"        2015    88/a"</f>
        <v xml:space="preserve">        2015    88/a</v>
      </c>
      <c r="X9120">
        <v>317.2</v>
      </c>
      <c r="Y9120">
        <v>0</v>
      </c>
      <c r="Z9120"/>
      <c r="AB9120"/>
      <c r="AC9120">
        <v>260</v>
      </c>
      <c r="AD9120">
        <v>11</v>
      </c>
      <c r="AE9120" s="1">
        <v>2860</v>
      </c>
      <c r="AF9120">
        <v>57.2</v>
      </c>
      <c r="AJ9120">
        <v>0</v>
      </c>
      <c r="AK9120">
        <v>0</v>
      </c>
      <c r="AL9120">
        <v>0</v>
      </c>
      <c r="AM9120">
        <v>0</v>
      </c>
      <c r="AN9120">
        <v>0</v>
      </c>
      <c r="AO9120">
        <v>0</v>
      </c>
      <c r="AP9120" s="2">
        <v>42746</v>
      </c>
      <c r="AQ9120" t="s">
        <v>72</v>
      </c>
      <c r="AR9120" t="s">
        <v>72</v>
      </c>
      <c r="AS9120">
        <v>212</v>
      </c>
      <c r="AT9120" s="4">
        <v>42403</v>
      </c>
      <c r="AU9120" t="s">
        <v>73</v>
      </c>
      <c r="AV9120">
        <v>212</v>
      </c>
      <c r="AW9120" s="4">
        <v>42403</v>
      </c>
      <c r="BD9120">
        <v>57.2</v>
      </c>
      <c r="BN9120" t="s">
        <v>74</v>
      </c>
    </row>
    <row r="9121" spans="1:66" hidden="1">
      <c r="A9121">
        <v>106570</v>
      </c>
      <c r="B9121" s="3" t="s">
        <v>802</v>
      </c>
      <c r="C9121" s="1">
        <v>43300101</v>
      </c>
      <c r="D9121" t="s">
        <v>67</v>
      </c>
      <c r="H9121" t="str">
        <f t="shared" si="956"/>
        <v>01617610629</v>
      </c>
      <c r="I9121" t="str">
        <f t="shared" si="956"/>
        <v>01617610629</v>
      </c>
      <c r="K9121" t="str">
        <f>""</f>
        <v/>
      </c>
      <c r="M9121" t="s">
        <v>68</v>
      </c>
      <c r="N9121" t="str">
        <f t="shared" si="955"/>
        <v>FOR</v>
      </c>
      <c r="O9121" t="s">
        <v>69</v>
      </c>
      <c r="P9121" s="3" t="s">
        <v>75</v>
      </c>
      <c r="Q9121">
        <v>2015</v>
      </c>
      <c r="R9121" s="2">
        <v>42332</v>
      </c>
      <c r="S9121" s="2">
        <v>42333</v>
      </c>
      <c r="T9121" s="2">
        <v>42332</v>
      </c>
      <c r="U9121" s="2">
        <v>42392</v>
      </c>
      <c r="V9121" t="s">
        <v>71</v>
      </c>
      <c r="W9121" t="str">
        <f>"        2015    89/a"</f>
        <v xml:space="preserve">        2015    89/a</v>
      </c>
      <c r="X9121">
        <v>146.4</v>
      </c>
      <c r="Y9121">
        <v>0</v>
      </c>
      <c r="Z9121"/>
      <c r="AB9121"/>
      <c r="AC9121">
        <v>120</v>
      </c>
      <c r="AD9121">
        <v>11</v>
      </c>
      <c r="AE9121" s="1">
        <v>1320</v>
      </c>
      <c r="AF9121">
        <v>26.4</v>
      </c>
      <c r="AJ9121">
        <v>0</v>
      </c>
      <c r="AK9121">
        <v>0</v>
      </c>
      <c r="AL9121">
        <v>0</v>
      </c>
      <c r="AM9121">
        <v>0</v>
      </c>
      <c r="AN9121">
        <v>0</v>
      </c>
      <c r="AO9121">
        <v>0</v>
      </c>
      <c r="AP9121" s="2">
        <v>42746</v>
      </c>
      <c r="AQ9121" t="s">
        <v>72</v>
      </c>
      <c r="AR9121" t="s">
        <v>72</v>
      </c>
      <c r="AS9121">
        <v>212</v>
      </c>
      <c r="AT9121" s="4">
        <v>42403</v>
      </c>
      <c r="AU9121" t="s">
        <v>73</v>
      </c>
      <c r="AV9121">
        <v>212</v>
      </c>
      <c r="AW9121" s="4">
        <v>42403</v>
      </c>
      <c r="BD9121">
        <v>26.4</v>
      </c>
      <c r="BN9121" t="s">
        <v>74</v>
      </c>
    </row>
    <row r="9122" spans="1:66" hidden="1">
      <c r="A9122">
        <v>106570</v>
      </c>
      <c r="B9122" s="3" t="s">
        <v>802</v>
      </c>
      <c r="C9122" s="1">
        <v>43300101</v>
      </c>
      <c r="D9122" t="s">
        <v>67</v>
      </c>
      <c r="H9122" t="str">
        <f t="shared" si="956"/>
        <v>01617610629</v>
      </c>
      <c r="I9122" t="str">
        <f t="shared" si="956"/>
        <v>01617610629</v>
      </c>
      <c r="K9122" t="str">
        <f>""</f>
        <v/>
      </c>
      <c r="M9122" t="s">
        <v>68</v>
      </c>
      <c r="N9122" t="str">
        <f t="shared" si="955"/>
        <v>FOR</v>
      </c>
      <c r="O9122" t="s">
        <v>69</v>
      </c>
      <c r="P9122" s="3" t="s">
        <v>75</v>
      </c>
      <c r="Q9122">
        <v>2015</v>
      </c>
      <c r="R9122" s="2">
        <v>42332</v>
      </c>
      <c r="S9122" s="2">
        <v>42333</v>
      </c>
      <c r="T9122" s="2">
        <v>42332</v>
      </c>
      <c r="U9122" s="2">
        <v>42392</v>
      </c>
      <c r="V9122" t="s">
        <v>71</v>
      </c>
      <c r="W9122" t="str">
        <f>"        2015    90/a"</f>
        <v xml:space="preserve">        2015    90/a</v>
      </c>
      <c r="X9122">
        <v>106.14</v>
      </c>
      <c r="Y9122">
        <v>0</v>
      </c>
      <c r="Z9122"/>
      <c r="AB9122"/>
      <c r="AC9122">
        <v>87</v>
      </c>
      <c r="AD9122">
        <v>11</v>
      </c>
      <c r="AE9122">
        <v>957</v>
      </c>
      <c r="AF9122">
        <v>19.14</v>
      </c>
      <c r="AJ9122">
        <v>0</v>
      </c>
      <c r="AK9122">
        <v>0</v>
      </c>
      <c r="AL9122">
        <v>0</v>
      </c>
      <c r="AM9122">
        <v>0</v>
      </c>
      <c r="AN9122">
        <v>0</v>
      </c>
      <c r="AO9122">
        <v>0</v>
      </c>
      <c r="AP9122" s="2">
        <v>42746</v>
      </c>
      <c r="AQ9122" t="s">
        <v>72</v>
      </c>
      <c r="AR9122" t="s">
        <v>72</v>
      </c>
      <c r="AS9122">
        <v>212</v>
      </c>
      <c r="AT9122" s="4">
        <v>42403</v>
      </c>
      <c r="AU9122" t="s">
        <v>73</v>
      </c>
      <c r="AV9122">
        <v>212</v>
      </c>
      <c r="AW9122" s="4">
        <v>42403</v>
      </c>
      <c r="BD9122">
        <v>19.14</v>
      </c>
      <c r="BN9122" t="s">
        <v>74</v>
      </c>
    </row>
    <row r="9123" spans="1:66" hidden="1">
      <c r="A9123">
        <v>106570</v>
      </c>
      <c r="B9123" s="3" t="s">
        <v>802</v>
      </c>
      <c r="C9123" s="1">
        <v>43300101</v>
      </c>
      <c r="D9123" t="s">
        <v>67</v>
      </c>
      <c r="H9123" t="str">
        <f t="shared" si="956"/>
        <v>01617610629</v>
      </c>
      <c r="I9123" t="str">
        <f t="shared" si="956"/>
        <v>01617610629</v>
      </c>
      <c r="K9123" t="str">
        <f>""</f>
        <v/>
      </c>
      <c r="M9123" t="s">
        <v>68</v>
      </c>
      <c r="N9123" t="str">
        <f t="shared" si="955"/>
        <v>FOR</v>
      </c>
      <c r="O9123" t="s">
        <v>69</v>
      </c>
      <c r="P9123" s="3" t="s">
        <v>75</v>
      </c>
      <c r="Q9123">
        <v>2015</v>
      </c>
      <c r="R9123" s="2">
        <v>42332</v>
      </c>
      <c r="S9123" s="2">
        <v>42333</v>
      </c>
      <c r="T9123" s="2">
        <v>42332</v>
      </c>
      <c r="U9123" s="2">
        <v>42392</v>
      </c>
      <c r="V9123" t="s">
        <v>71</v>
      </c>
      <c r="W9123" t="str">
        <f>"        2015    91/a"</f>
        <v xml:space="preserve">        2015    91/a</v>
      </c>
      <c r="X9123">
        <v>234.24</v>
      </c>
      <c r="Y9123">
        <v>0</v>
      </c>
      <c r="Z9123"/>
      <c r="AB9123"/>
      <c r="AC9123">
        <v>192</v>
      </c>
      <c r="AD9123">
        <v>11</v>
      </c>
      <c r="AE9123" s="1">
        <v>2112</v>
      </c>
      <c r="AF9123">
        <v>42.24</v>
      </c>
      <c r="AJ9123">
        <v>0</v>
      </c>
      <c r="AK9123">
        <v>0</v>
      </c>
      <c r="AL9123">
        <v>0</v>
      </c>
      <c r="AM9123">
        <v>0</v>
      </c>
      <c r="AN9123">
        <v>0</v>
      </c>
      <c r="AO9123">
        <v>0</v>
      </c>
      <c r="AP9123" s="2">
        <v>42746</v>
      </c>
      <c r="AQ9123" t="s">
        <v>72</v>
      </c>
      <c r="AR9123" t="s">
        <v>72</v>
      </c>
      <c r="AS9123">
        <v>212</v>
      </c>
      <c r="AT9123" s="4">
        <v>42403</v>
      </c>
      <c r="AU9123" t="s">
        <v>73</v>
      </c>
      <c r="AV9123">
        <v>212</v>
      </c>
      <c r="AW9123" s="4">
        <v>42403</v>
      </c>
      <c r="BD9123">
        <v>42.24</v>
      </c>
      <c r="BN9123" t="s">
        <v>74</v>
      </c>
    </row>
    <row r="9124" spans="1:66" hidden="1">
      <c r="A9124">
        <v>106570</v>
      </c>
      <c r="B9124" s="3" t="s">
        <v>802</v>
      </c>
      <c r="C9124" s="1">
        <v>43300101</v>
      </c>
      <c r="D9124" t="s">
        <v>67</v>
      </c>
      <c r="H9124" t="str">
        <f t="shared" si="956"/>
        <v>01617610629</v>
      </c>
      <c r="I9124" t="str">
        <f t="shared" si="956"/>
        <v>01617610629</v>
      </c>
      <c r="K9124" t="str">
        <f>""</f>
        <v/>
      </c>
      <c r="M9124" t="s">
        <v>68</v>
      </c>
      <c r="N9124" t="str">
        <f t="shared" si="955"/>
        <v>FOR</v>
      </c>
      <c r="O9124" t="s">
        <v>69</v>
      </c>
      <c r="P9124" s="3" t="s">
        <v>75</v>
      </c>
      <c r="Q9124">
        <v>2015</v>
      </c>
      <c r="R9124" s="2">
        <v>42332</v>
      </c>
      <c r="S9124" s="2">
        <v>42333</v>
      </c>
      <c r="T9124" s="2">
        <v>42332</v>
      </c>
      <c r="U9124" s="2">
        <v>42392</v>
      </c>
      <c r="V9124" t="s">
        <v>71</v>
      </c>
      <c r="W9124" t="str">
        <f>"        2015    92/a"</f>
        <v xml:space="preserve">        2015    92/a</v>
      </c>
      <c r="X9124">
        <v>292.8</v>
      </c>
      <c r="Y9124">
        <v>0</v>
      </c>
      <c r="Z9124"/>
      <c r="AB9124"/>
      <c r="AC9124">
        <v>240</v>
      </c>
      <c r="AD9124">
        <v>11</v>
      </c>
      <c r="AE9124" s="1">
        <v>2640</v>
      </c>
      <c r="AF9124">
        <v>52.8</v>
      </c>
      <c r="AJ9124">
        <v>0</v>
      </c>
      <c r="AK9124">
        <v>0</v>
      </c>
      <c r="AL9124">
        <v>0</v>
      </c>
      <c r="AM9124">
        <v>0</v>
      </c>
      <c r="AN9124">
        <v>0</v>
      </c>
      <c r="AO9124">
        <v>0</v>
      </c>
      <c r="AP9124" s="2">
        <v>42746</v>
      </c>
      <c r="AQ9124" t="s">
        <v>72</v>
      </c>
      <c r="AR9124" t="s">
        <v>72</v>
      </c>
      <c r="AS9124">
        <v>212</v>
      </c>
      <c r="AT9124" s="4">
        <v>42403</v>
      </c>
      <c r="AU9124" t="s">
        <v>73</v>
      </c>
      <c r="AV9124">
        <v>212</v>
      </c>
      <c r="AW9124" s="4">
        <v>42403</v>
      </c>
      <c r="BD9124">
        <v>52.8</v>
      </c>
      <c r="BN9124" t="s">
        <v>74</v>
      </c>
    </row>
    <row r="9125" spans="1:66" hidden="1">
      <c r="A9125">
        <v>106570</v>
      </c>
      <c r="B9125" s="3" t="s">
        <v>802</v>
      </c>
      <c r="C9125" s="1">
        <v>43300101</v>
      </c>
      <c r="D9125" t="s">
        <v>67</v>
      </c>
      <c r="H9125" t="str">
        <f t="shared" si="956"/>
        <v>01617610629</v>
      </c>
      <c r="I9125" t="str">
        <f t="shared" si="956"/>
        <v>01617610629</v>
      </c>
      <c r="K9125" t="str">
        <f>""</f>
        <v/>
      </c>
      <c r="M9125" t="s">
        <v>68</v>
      </c>
      <c r="N9125" t="str">
        <f t="shared" si="955"/>
        <v>FOR</v>
      </c>
      <c r="O9125" t="s">
        <v>69</v>
      </c>
      <c r="P9125" s="3" t="s">
        <v>75</v>
      </c>
      <c r="Q9125">
        <v>2015</v>
      </c>
      <c r="R9125" s="2">
        <v>42332</v>
      </c>
      <c r="S9125" s="2">
        <v>42333</v>
      </c>
      <c r="T9125" s="2">
        <v>42332</v>
      </c>
      <c r="U9125" s="2">
        <v>42392</v>
      </c>
      <c r="V9125" t="s">
        <v>71</v>
      </c>
      <c r="W9125" t="str">
        <f>"        2015    93/a"</f>
        <v xml:space="preserve">        2015    93/a</v>
      </c>
      <c r="X9125">
        <v>915</v>
      </c>
      <c r="Y9125">
        <v>0</v>
      </c>
      <c r="Z9125"/>
      <c r="AB9125"/>
      <c r="AC9125">
        <v>750</v>
      </c>
      <c r="AD9125">
        <v>11</v>
      </c>
      <c r="AE9125" s="1">
        <v>8250</v>
      </c>
      <c r="AF9125">
        <v>165</v>
      </c>
      <c r="AJ9125">
        <v>0</v>
      </c>
      <c r="AK9125">
        <v>0</v>
      </c>
      <c r="AL9125">
        <v>0</v>
      </c>
      <c r="AM9125">
        <v>0</v>
      </c>
      <c r="AN9125">
        <v>0</v>
      </c>
      <c r="AO9125">
        <v>0</v>
      </c>
      <c r="AP9125" s="2">
        <v>42746</v>
      </c>
      <c r="AQ9125" t="s">
        <v>72</v>
      </c>
      <c r="AR9125" t="s">
        <v>72</v>
      </c>
      <c r="AS9125">
        <v>212</v>
      </c>
      <c r="AT9125" s="4">
        <v>42403</v>
      </c>
      <c r="AU9125" t="s">
        <v>73</v>
      </c>
      <c r="AV9125">
        <v>212</v>
      </c>
      <c r="AW9125" s="4">
        <v>42403</v>
      </c>
      <c r="BD9125">
        <v>165</v>
      </c>
      <c r="BN9125" t="s">
        <v>74</v>
      </c>
    </row>
    <row r="9126" spans="1:66" hidden="1">
      <c r="A9126">
        <v>106570</v>
      </c>
      <c r="B9126" s="3" t="s">
        <v>802</v>
      </c>
      <c r="C9126" s="1">
        <v>43300101</v>
      </c>
      <c r="D9126" t="s">
        <v>67</v>
      </c>
      <c r="H9126" t="str">
        <f t="shared" si="956"/>
        <v>01617610629</v>
      </c>
      <c r="I9126" t="str">
        <f t="shared" si="956"/>
        <v>01617610629</v>
      </c>
      <c r="K9126" t="str">
        <f>""</f>
        <v/>
      </c>
      <c r="M9126" t="s">
        <v>68</v>
      </c>
      <c r="N9126" t="str">
        <f t="shared" si="955"/>
        <v>FOR</v>
      </c>
      <c r="O9126" t="s">
        <v>69</v>
      </c>
      <c r="P9126" s="3" t="s">
        <v>75</v>
      </c>
      <c r="Q9126">
        <v>2015</v>
      </c>
      <c r="R9126" s="2">
        <v>42332</v>
      </c>
      <c r="S9126" s="2">
        <v>42333</v>
      </c>
      <c r="T9126" s="2">
        <v>42332</v>
      </c>
      <c r="U9126" s="2">
        <v>42392</v>
      </c>
      <c r="V9126" t="s">
        <v>71</v>
      </c>
      <c r="W9126" t="str">
        <f>"        2015    94/a"</f>
        <v xml:space="preserve">        2015    94/a</v>
      </c>
      <c r="X9126">
        <v>437.37</v>
      </c>
      <c r="Y9126">
        <v>0</v>
      </c>
      <c r="Z9126"/>
      <c r="AB9126"/>
      <c r="AC9126">
        <v>358.5</v>
      </c>
      <c r="AD9126">
        <v>11</v>
      </c>
      <c r="AE9126" s="1">
        <v>3943.5</v>
      </c>
      <c r="AF9126">
        <v>78.87</v>
      </c>
      <c r="AJ9126">
        <v>0</v>
      </c>
      <c r="AK9126">
        <v>0</v>
      </c>
      <c r="AL9126">
        <v>0</v>
      </c>
      <c r="AM9126">
        <v>0</v>
      </c>
      <c r="AN9126">
        <v>0</v>
      </c>
      <c r="AO9126">
        <v>0</v>
      </c>
      <c r="AP9126" s="2">
        <v>42746</v>
      </c>
      <c r="AQ9126" t="s">
        <v>72</v>
      </c>
      <c r="AR9126" t="s">
        <v>72</v>
      </c>
      <c r="AS9126">
        <v>212</v>
      </c>
      <c r="AT9126" s="4">
        <v>42403</v>
      </c>
      <c r="AU9126" t="s">
        <v>73</v>
      </c>
      <c r="AV9126">
        <v>212</v>
      </c>
      <c r="AW9126" s="4">
        <v>42403</v>
      </c>
      <c r="BD9126">
        <v>78.87</v>
      </c>
      <c r="BN9126" t="s">
        <v>74</v>
      </c>
    </row>
    <row r="9127" spans="1:66" hidden="1">
      <c r="A9127">
        <v>106570</v>
      </c>
      <c r="B9127" s="3" t="s">
        <v>802</v>
      </c>
      <c r="C9127" s="1">
        <v>43300101</v>
      </c>
      <c r="D9127" t="s">
        <v>67</v>
      </c>
      <c r="H9127" t="str">
        <f t="shared" si="956"/>
        <v>01617610629</v>
      </c>
      <c r="I9127" t="str">
        <f t="shared" si="956"/>
        <v>01617610629</v>
      </c>
      <c r="K9127" t="str">
        <f>""</f>
        <v/>
      </c>
      <c r="M9127" t="s">
        <v>68</v>
      </c>
      <c r="N9127" t="str">
        <f t="shared" si="955"/>
        <v>FOR</v>
      </c>
      <c r="O9127" t="s">
        <v>69</v>
      </c>
      <c r="P9127" s="3" t="s">
        <v>75</v>
      </c>
      <c r="Q9127">
        <v>2015</v>
      </c>
      <c r="R9127" s="2">
        <v>42335</v>
      </c>
      <c r="S9127" s="2">
        <v>42338</v>
      </c>
      <c r="T9127" s="2">
        <v>42335</v>
      </c>
      <c r="U9127" s="2">
        <v>42395</v>
      </c>
      <c r="V9127" t="s">
        <v>71</v>
      </c>
      <c r="W9127" t="str">
        <f>"        2015    96/a"</f>
        <v xml:space="preserve">        2015    96/a</v>
      </c>
      <c r="X9127">
        <v>47.58</v>
      </c>
      <c r="Y9127">
        <v>0</v>
      </c>
      <c r="Z9127"/>
      <c r="AB9127"/>
      <c r="AC9127">
        <v>39</v>
      </c>
      <c r="AD9127">
        <v>8</v>
      </c>
      <c r="AE9127">
        <v>312</v>
      </c>
      <c r="AF9127">
        <v>8.58</v>
      </c>
      <c r="AJ9127">
        <v>0</v>
      </c>
      <c r="AK9127">
        <v>0</v>
      </c>
      <c r="AL9127">
        <v>0</v>
      </c>
      <c r="AM9127">
        <v>0</v>
      </c>
      <c r="AN9127">
        <v>0</v>
      </c>
      <c r="AO9127">
        <v>0</v>
      </c>
      <c r="AP9127" s="2">
        <v>42746</v>
      </c>
      <c r="AQ9127" t="s">
        <v>72</v>
      </c>
      <c r="AR9127" t="s">
        <v>72</v>
      </c>
      <c r="AS9127">
        <v>212</v>
      </c>
      <c r="AT9127" s="4">
        <v>42403</v>
      </c>
      <c r="AU9127" t="s">
        <v>73</v>
      </c>
      <c r="AV9127">
        <v>212</v>
      </c>
      <c r="AW9127" s="4">
        <v>42403</v>
      </c>
      <c r="BD9127">
        <v>8.58</v>
      </c>
      <c r="BN9127" t="s">
        <v>74</v>
      </c>
    </row>
    <row r="9128" spans="1:66" hidden="1">
      <c r="A9128">
        <v>106570</v>
      </c>
      <c r="B9128" s="3" t="s">
        <v>802</v>
      </c>
      <c r="C9128" s="1">
        <v>43300101</v>
      </c>
      <c r="D9128" t="s">
        <v>67</v>
      </c>
      <c r="H9128" t="str">
        <f t="shared" si="956"/>
        <v>01617610629</v>
      </c>
      <c r="I9128" t="str">
        <f t="shared" si="956"/>
        <v>01617610629</v>
      </c>
      <c r="K9128" t="str">
        <f>""</f>
        <v/>
      </c>
      <c r="M9128" t="s">
        <v>68</v>
      </c>
      <c r="N9128" t="str">
        <f t="shared" si="955"/>
        <v>FOR</v>
      </c>
      <c r="O9128" t="s">
        <v>69</v>
      </c>
      <c r="P9128" s="3" t="s">
        <v>75</v>
      </c>
      <c r="Q9128">
        <v>2015</v>
      </c>
      <c r="R9128" s="2">
        <v>42335</v>
      </c>
      <c r="S9128" s="2">
        <v>42338</v>
      </c>
      <c r="T9128" s="2">
        <v>42335</v>
      </c>
      <c r="U9128" s="2">
        <v>42395</v>
      </c>
      <c r="V9128" t="s">
        <v>71</v>
      </c>
      <c r="W9128" t="str">
        <f>"        2015    97/a"</f>
        <v xml:space="preserve">        2015    97/a</v>
      </c>
      <c r="X9128">
        <v>47.58</v>
      </c>
      <c r="Y9128">
        <v>0</v>
      </c>
      <c r="Z9128"/>
      <c r="AB9128"/>
      <c r="AC9128">
        <v>39</v>
      </c>
      <c r="AD9128">
        <v>8</v>
      </c>
      <c r="AE9128">
        <v>312</v>
      </c>
      <c r="AF9128">
        <v>8.58</v>
      </c>
      <c r="AJ9128">
        <v>0</v>
      </c>
      <c r="AK9128">
        <v>0</v>
      </c>
      <c r="AL9128">
        <v>0</v>
      </c>
      <c r="AM9128">
        <v>0</v>
      </c>
      <c r="AN9128">
        <v>0</v>
      </c>
      <c r="AO9128">
        <v>0</v>
      </c>
      <c r="AP9128" s="2">
        <v>42746</v>
      </c>
      <c r="AQ9128" t="s">
        <v>72</v>
      </c>
      <c r="AR9128" t="s">
        <v>72</v>
      </c>
      <c r="AS9128">
        <v>212</v>
      </c>
      <c r="AT9128" s="4">
        <v>42403</v>
      </c>
      <c r="AU9128" t="s">
        <v>73</v>
      </c>
      <c r="AV9128">
        <v>212</v>
      </c>
      <c r="AW9128" s="4">
        <v>42403</v>
      </c>
      <c r="BD9128">
        <v>8.58</v>
      </c>
      <c r="BN9128" t="s">
        <v>74</v>
      </c>
    </row>
    <row r="9129" spans="1:66" hidden="1">
      <c r="A9129">
        <v>106570</v>
      </c>
      <c r="B9129" s="3" t="s">
        <v>802</v>
      </c>
      <c r="C9129" s="1">
        <v>43300101</v>
      </c>
      <c r="D9129" t="s">
        <v>67</v>
      </c>
      <c r="H9129" t="str">
        <f t="shared" si="956"/>
        <v>01617610629</v>
      </c>
      <c r="I9129" t="str">
        <f t="shared" si="956"/>
        <v>01617610629</v>
      </c>
      <c r="K9129" t="str">
        <f>""</f>
        <v/>
      </c>
      <c r="M9129" t="s">
        <v>68</v>
      </c>
      <c r="N9129" t="str">
        <f t="shared" si="955"/>
        <v>FOR</v>
      </c>
      <c r="O9129" t="s">
        <v>69</v>
      </c>
      <c r="P9129" s="3" t="s">
        <v>75</v>
      </c>
      <c r="Q9129">
        <v>2015</v>
      </c>
      <c r="R9129" s="2">
        <v>42335</v>
      </c>
      <c r="S9129" s="2">
        <v>42338</v>
      </c>
      <c r="T9129" s="2">
        <v>42335</v>
      </c>
      <c r="U9129" s="2">
        <v>42395</v>
      </c>
      <c r="V9129" t="s">
        <v>71</v>
      </c>
      <c r="W9129" t="str">
        <f>"        2015    98/a"</f>
        <v xml:space="preserve">        2015    98/a</v>
      </c>
      <c r="X9129">
        <v>219.6</v>
      </c>
      <c r="Y9129">
        <v>0</v>
      </c>
      <c r="Z9129"/>
      <c r="AB9129"/>
      <c r="AC9129">
        <v>180</v>
      </c>
      <c r="AD9129">
        <v>8</v>
      </c>
      <c r="AE9129" s="1">
        <v>1440</v>
      </c>
      <c r="AF9129">
        <v>39.6</v>
      </c>
      <c r="AJ9129">
        <v>0</v>
      </c>
      <c r="AK9129">
        <v>0</v>
      </c>
      <c r="AL9129">
        <v>0</v>
      </c>
      <c r="AM9129">
        <v>0</v>
      </c>
      <c r="AN9129">
        <v>0</v>
      </c>
      <c r="AO9129">
        <v>0</v>
      </c>
      <c r="AP9129" s="2">
        <v>42746</v>
      </c>
      <c r="AQ9129" t="s">
        <v>72</v>
      </c>
      <c r="AR9129" t="s">
        <v>72</v>
      </c>
      <c r="AS9129">
        <v>212</v>
      </c>
      <c r="AT9129" s="4">
        <v>42403</v>
      </c>
      <c r="AU9129" t="s">
        <v>73</v>
      </c>
      <c r="AV9129">
        <v>212</v>
      </c>
      <c r="AW9129" s="4">
        <v>42403</v>
      </c>
      <c r="BD9129">
        <v>39.6</v>
      </c>
      <c r="BN9129" t="s">
        <v>74</v>
      </c>
    </row>
    <row r="9130" spans="1:66" hidden="1">
      <c r="A9130">
        <v>106570</v>
      </c>
      <c r="B9130" s="3" t="s">
        <v>802</v>
      </c>
      <c r="C9130" s="1">
        <v>43300101</v>
      </c>
      <c r="D9130" t="s">
        <v>67</v>
      </c>
      <c r="H9130" t="str">
        <f t="shared" si="956"/>
        <v>01617610629</v>
      </c>
      <c r="I9130" t="str">
        <f t="shared" si="956"/>
        <v>01617610629</v>
      </c>
      <c r="K9130" t="str">
        <f>""</f>
        <v/>
      </c>
      <c r="M9130" t="s">
        <v>68</v>
      </c>
      <c r="N9130" t="str">
        <f t="shared" si="955"/>
        <v>FOR</v>
      </c>
      <c r="O9130" t="s">
        <v>69</v>
      </c>
      <c r="P9130" s="3" t="s">
        <v>75</v>
      </c>
      <c r="Q9130">
        <v>2015</v>
      </c>
      <c r="R9130" s="2">
        <v>42341</v>
      </c>
      <c r="S9130" s="2">
        <v>42341</v>
      </c>
      <c r="T9130" s="2">
        <v>42341</v>
      </c>
      <c r="U9130" s="2">
        <v>42401</v>
      </c>
      <c r="V9130" t="s">
        <v>71</v>
      </c>
      <c r="W9130" t="str">
        <f>"        2015   101/a"</f>
        <v xml:space="preserve">        2015   101/a</v>
      </c>
      <c r="X9130">
        <v>353.8</v>
      </c>
      <c r="Y9130">
        <v>0</v>
      </c>
      <c r="Z9130"/>
      <c r="AB9130"/>
      <c r="AC9130">
        <v>290</v>
      </c>
      <c r="AD9130">
        <v>2</v>
      </c>
      <c r="AE9130">
        <v>580</v>
      </c>
      <c r="AF9130">
        <v>63.8</v>
      </c>
      <c r="AJ9130">
        <v>0</v>
      </c>
      <c r="AK9130">
        <v>0</v>
      </c>
      <c r="AL9130">
        <v>0</v>
      </c>
      <c r="AM9130">
        <v>0</v>
      </c>
      <c r="AN9130">
        <v>0</v>
      </c>
      <c r="AO9130">
        <v>0</v>
      </c>
      <c r="AP9130" s="2">
        <v>42746</v>
      </c>
      <c r="AQ9130" t="s">
        <v>72</v>
      </c>
      <c r="AR9130" t="s">
        <v>72</v>
      </c>
      <c r="AS9130">
        <v>212</v>
      </c>
      <c r="AT9130" s="4">
        <v>42403</v>
      </c>
      <c r="AU9130" t="s">
        <v>73</v>
      </c>
      <c r="AV9130">
        <v>212</v>
      </c>
      <c r="AW9130" s="4">
        <v>42403</v>
      </c>
      <c r="BD9130">
        <v>63.8</v>
      </c>
      <c r="BN9130" t="s">
        <v>74</v>
      </c>
    </row>
    <row r="9131" spans="1:66" hidden="1">
      <c r="A9131">
        <v>106570</v>
      </c>
      <c r="B9131" s="3" t="s">
        <v>802</v>
      </c>
      <c r="C9131" s="1">
        <v>43300101</v>
      </c>
      <c r="D9131" t="s">
        <v>67</v>
      </c>
      <c r="H9131" t="str">
        <f t="shared" si="956"/>
        <v>01617610629</v>
      </c>
      <c r="I9131" t="str">
        <f t="shared" si="956"/>
        <v>01617610629</v>
      </c>
      <c r="K9131" t="str">
        <f>""</f>
        <v/>
      </c>
      <c r="M9131" t="s">
        <v>68</v>
      </c>
      <c r="N9131" t="str">
        <f t="shared" si="955"/>
        <v>FOR</v>
      </c>
      <c r="O9131" t="s">
        <v>69</v>
      </c>
      <c r="P9131" s="3" t="s">
        <v>75</v>
      </c>
      <c r="Q9131">
        <v>2015</v>
      </c>
      <c r="R9131" s="2">
        <v>42341</v>
      </c>
      <c r="S9131" s="2">
        <v>42341</v>
      </c>
      <c r="T9131" s="2">
        <v>42341</v>
      </c>
      <c r="U9131" s="2">
        <v>42401</v>
      </c>
      <c r="V9131" t="s">
        <v>71</v>
      </c>
      <c r="W9131" t="str">
        <f>"        2015   102/a"</f>
        <v xml:space="preserve">        2015   102/a</v>
      </c>
      <c r="X9131">
        <v>219.6</v>
      </c>
      <c r="Y9131">
        <v>0</v>
      </c>
      <c r="Z9131"/>
      <c r="AB9131"/>
      <c r="AC9131">
        <v>180</v>
      </c>
      <c r="AD9131">
        <v>2</v>
      </c>
      <c r="AE9131">
        <v>360</v>
      </c>
      <c r="AF9131">
        <v>39.6</v>
      </c>
      <c r="AJ9131">
        <v>0</v>
      </c>
      <c r="AK9131">
        <v>0</v>
      </c>
      <c r="AL9131">
        <v>0</v>
      </c>
      <c r="AM9131">
        <v>0</v>
      </c>
      <c r="AN9131">
        <v>0</v>
      </c>
      <c r="AO9131">
        <v>0</v>
      </c>
      <c r="AP9131" s="2">
        <v>42746</v>
      </c>
      <c r="AQ9131" t="s">
        <v>72</v>
      </c>
      <c r="AR9131" t="s">
        <v>72</v>
      </c>
      <c r="AS9131">
        <v>212</v>
      </c>
      <c r="AT9131" s="4">
        <v>42403</v>
      </c>
      <c r="AU9131" t="s">
        <v>73</v>
      </c>
      <c r="AV9131">
        <v>212</v>
      </c>
      <c r="AW9131" s="4">
        <v>42403</v>
      </c>
      <c r="BD9131">
        <v>39.6</v>
      </c>
      <c r="BN9131" t="s">
        <v>74</v>
      </c>
    </row>
    <row r="9132" spans="1:66" hidden="1">
      <c r="A9132">
        <v>106570</v>
      </c>
      <c r="B9132" s="3" t="s">
        <v>802</v>
      </c>
      <c r="C9132" s="1">
        <v>43300101</v>
      </c>
      <c r="D9132" t="s">
        <v>67</v>
      </c>
      <c r="H9132" t="str">
        <f t="shared" si="956"/>
        <v>01617610629</v>
      </c>
      <c r="I9132" t="str">
        <f t="shared" si="956"/>
        <v>01617610629</v>
      </c>
      <c r="K9132" t="str">
        <f>""</f>
        <v/>
      </c>
      <c r="M9132" t="s">
        <v>68</v>
      </c>
      <c r="N9132" t="str">
        <f t="shared" si="955"/>
        <v>FOR</v>
      </c>
      <c r="O9132" t="s">
        <v>69</v>
      </c>
      <c r="P9132" s="3" t="s">
        <v>75</v>
      </c>
      <c r="Q9132">
        <v>2015</v>
      </c>
      <c r="R9132" s="2">
        <v>42343</v>
      </c>
      <c r="S9132" s="2">
        <v>42345</v>
      </c>
      <c r="T9132" s="2">
        <v>42343</v>
      </c>
      <c r="U9132" s="2">
        <v>42403</v>
      </c>
      <c r="V9132" t="s">
        <v>71</v>
      </c>
      <c r="W9132" t="str">
        <f>"        2015   103/a"</f>
        <v xml:space="preserve">        2015   103/a</v>
      </c>
      <c r="X9132">
        <v>244</v>
      </c>
      <c r="Y9132">
        <v>0</v>
      </c>
      <c r="Z9132"/>
      <c r="AB9132"/>
      <c r="AC9132">
        <v>200</v>
      </c>
      <c r="AE9132">
        <v>0</v>
      </c>
      <c r="AF9132">
        <v>44</v>
      </c>
      <c r="AJ9132">
        <v>0</v>
      </c>
      <c r="AK9132">
        <v>0</v>
      </c>
      <c r="AL9132">
        <v>0</v>
      </c>
      <c r="AM9132">
        <v>0</v>
      </c>
      <c r="AN9132">
        <v>0</v>
      </c>
      <c r="AO9132">
        <v>0</v>
      </c>
      <c r="AP9132" s="2">
        <v>42746</v>
      </c>
      <c r="AQ9132" t="s">
        <v>72</v>
      </c>
      <c r="AR9132" t="s">
        <v>72</v>
      </c>
      <c r="AS9132">
        <v>212</v>
      </c>
      <c r="AT9132" s="4">
        <v>42403</v>
      </c>
      <c r="AV9132">
        <v>212</v>
      </c>
      <c r="AW9132" s="4">
        <v>42403</v>
      </c>
      <c r="BD9132">
        <v>44</v>
      </c>
      <c r="BN9132" t="s">
        <v>74</v>
      </c>
    </row>
    <row r="9133" spans="1:66" hidden="1">
      <c r="A9133">
        <v>106570</v>
      </c>
      <c r="B9133" s="3" t="s">
        <v>802</v>
      </c>
      <c r="C9133" s="1">
        <v>43300101</v>
      </c>
      <c r="D9133" t="s">
        <v>67</v>
      </c>
      <c r="H9133" t="str">
        <f t="shared" si="956"/>
        <v>01617610629</v>
      </c>
      <c r="I9133" t="str">
        <f t="shared" si="956"/>
        <v>01617610629</v>
      </c>
      <c r="K9133" t="str">
        <f>""</f>
        <v/>
      </c>
      <c r="M9133" t="s">
        <v>68</v>
      </c>
      <c r="N9133" t="str">
        <f t="shared" si="955"/>
        <v>FOR</v>
      </c>
      <c r="O9133" t="s">
        <v>69</v>
      </c>
      <c r="P9133" s="3" t="s">
        <v>75</v>
      </c>
      <c r="Q9133">
        <v>2015</v>
      </c>
      <c r="R9133" s="2">
        <v>42349</v>
      </c>
      <c r="S9133" s="2">
        <v>42352</v>
      </c>
      <c r="T9133" s="2">
        <v>42349</v>
      </c>
      <c r="U9133" s="2">
        <v>42409</v>
      </c>
      <c r="V9133" t="s">
        <v>71</v>
      </c>
      <c r="W9133" t="str">
        <f>"        2015   105/a"</f>
        <v xml:space="preserve">        2015   105/a</v>
      </c>
      <c r="X9133">
        <v>305</v>
      </c>
      <c r="Y9133">
        <v>0</v>
      </c>
      <c r="Z9133"/>
      <c r="AB9133"/>
      <c r="AC9133">
        <v>250</v>
      </c>
      <c r="AD9133">
        <v>-6</v>
      </c>
      <c r="AE9133" s="1">
        <v>-1500</v>
      </c>
      <c r="AF9133">
        <v>55</v>
      </c>
      <c r="AJ9133">
        <v>0</v>
      </c>
      <c r="AK9133">
        <v>0</v>
      </c>
      <c r="AL9133">
        <v>0</v>
      </c>
      <c r="AM9133">
        <v>0</v>
      </c>
      <c r="AN9133">
        <v>0</v>
      </c>
      <c r="AO9133">
        <v>0</v>
      </c>
      <c r="AP9133" s="2">
        <v>42746</v>
      </c>
      <c r="AQ9133" t="s">
        <v>72</v>
      </c>
      <c r="AR9133" t="s">
        <v>72</v>
      </c>
      <c r="AS9133">
        <v>212</v>
      </c>
      <c r="AT9133" s="4">
        <v>42403</v>
      </c>
      <c r="AV9133">
        <v>212</v>
      </c>
      <c r="AW9133" s="4">
        <v>42403</v>
      </c>
      <c r="BD9133">
        <v>55</v>
      </c>
      <c r="BN9133" t="s">
        <v>74</v>
      </c>
    </row>
    <row r="9134" spans="1:66" hidden="1">
      <c r="A9134">
        <v>106570</v>
      </c>
      <c r="B9134" s="3" t="s">
        <v>802</v>
      </c>
      <c r="C9134" s="1">
        <v>43300101</v>
      </c>
      <c r="D9134" t="s">
        <v>67</v>
      </c>
      <c r="H9134" t="str">
        <f t="shared" si="956"/>
        <v>01617610629</v>
      </c>
      <c r="I9134" t="str">
        <f t="shared" si="956"/>
        <v>01617610629</v>
      </c>
      <c r="K9134" t="str">
        <f>""</f>
        <v/>
      </c>
      <c r="M9134" t="s">
        <v>68</v>
      </c>
      <c r="N9134" t="str">
        <f t="shared" si="955"/>
        <v>FOR</v>
      </c>
      <c r="O9134" t="s">
        <v>69</v>
      </c>
      <c r="P9134" s="3" t="s">
        <v>75</v>
      </c>
      <c r="Q9134">
        <v>2015</v>
      </c>
      <c r="R9134" s="2">
        <v>42359</v>
      </c>
      <c r="S9134" s="2">
        <v>42359</v>
      </c>
      <c r="T9134" s="2">
        <v>42359</v>
      </c>
      <c r="U9134" s="2">
        <v>42419</v>
      </c>
      <c r="V9134" t="s">
        <v>71</v>
      </c>
      <c r="W9134" t="str">
        <f>"        2015   107/a"</f>
        <v xml:space="preserve">        2015   107/a</v>
      </c>
      <c r="X9134">
        <v>170.8</v>
      </c>
      <c r="Y9134">
        <v>0</v>
      </c>
      <c r="Z9134"/>
      <c r="AB9134"/>
      <c r="AC9134">
        <v>140</v>
      </c>
      <c r="AD9134">
        <v>-16</v>
      </c>
      <c r="AE9134" s="1">
        <v>-2240</v>
      </c>
      <c r="AF9134">
        <v>30.8</v>
      </c>
      <c r="AJ9134">
        <v>0</v>
      </c>
      <c r="AK9134">
        <v>0</v>
      </c>
      <c r="AL9134">
        <v>0</v>
      </c>
      <c r="AM9134">
        <v>0</v>
      </c>
      <c r="AN9134">
        <v>0</v>
      </c>
      <c r="AO9134">
        <v>0</v>
      </c>
      <c r="AP9134" s="2">
        <v>42746</v>
      </c>
      <c r="AQ9134" t="s">
        <v>72</v>
      </c>
      <c r="AR9134" t="s">
        <v>72</v>
      </c>
      <c r="AS9134">
        <v>212</v>
      </c>
      <c r="AT9134" s="4">
        <v>42403</v>
      </c>
      <c r="AV9134">
        <v>212</v>
      </c>
      <c r="AW9134" s="4">
        <v>42403</v>
      </c>
      <c r="BD9134">
        <v>30.8</v>
      </c>
      <c r="BN9134" t="s">
        <v>74</v>
      </c>
    </row>
    <row r="9135" spans="1:66" hidden="1">
      <c r="A9135">
        <v>106570</v>
      </c>
      <c r="B9135" s="3" t="s">
        <v>802</v>
      </c>
      <c r="C9135" s="1">
        <v>43300101</v>
      </c>
      <c r="D9135" t="s">
        <v>67</v>
      </c>
      <c r="H9135" t="str">
        <f t="shared" si="956"/>
        <v>01617610629</v>
      </c>
      <c r="I9135" t="str">
        <f t="shared" si="956"/>
        <v>01617610629</v>
      </c>
      <c r="K9135" t="str">
        <f>""</f>
        <v/>
      </c>
      <c r="M9135" t="s">
        <v>68</v>
      </c>
      <c r="N9135" t="str">
        <f t="shared" si="955"/>
        <v>FOR</v>
      </c>
      <c r="O9135" t="s">
        <v>69</v>
      </c>
      <c r="P9135" s="3" t="s">
        <v>75</v>
      </c>
      <c r="Q9135">
        <v>2015</v>
      </c>
      <c r="R9135" s="2">
        <v>42360</v>
      </c>
      <c r="S9135" s="2">
        <v>42360</v>
      </c>
      <c r="T9135" s="2">
        <v>42360</v>
      </c>
      <c r="U9135" s="2">
        <v>42420</v>
      </c>
      <c r="V9135" t="s">
        <v>71</v>
      </c>
      <c r="W9135" t="str">
        <f>"        2015   108/a"</f>
        <v xml:space="preserve">        2015   108/a</v>
      </c>
      <c r="X9135">
        <v>530.70000000000005</v>
      </c>
      <c r="Y9135">
        <v>0</v>
      </c>
      <c r="Z9135"/>
      <c r="AB9135"/>
      <c r="AC9135">
        <v>435</v>
      </c>
      <c r="AD9135">
        <v>-17</v>
      </c>
      <c r="AE9135" s="1">
        <v>-7395</v>
      </c>
      <c r="AF9135">
        <v>95.7</v>
      </c>
      <c r="AJ9135">
        <v>0</v>
      </c>
      <c r="AK9135">
        <v>0</v>
      </c>
      <c r="AL9135">
        <v>0</v>
      </c>
      <c r="AM9135">
        <v>0</v>
      </c>
      <c r="AN9135">
        <v>0</v>
      </c>
      <c r="AO9135">
        <v>0</v>
      </c>
      <c r="AP9135" s="2">
        <v>42746</v>
      </c>
      <c r="AQ9135" t="s">
        <v>72</v>
      </c>
      <c r="AR9135" t="s">
        <v>72</v>
      </c>
      <c r="AS9135">
        <v>212</v>
      </c>
      <c r="AT9135" s="4">
        <v>42403</v>
      </c>
      <c r="AV9135">
        <v>212</v>
      </c>
      <c r="AW9135" s="4">
        <v>42403</v>
      </c>
      <c r="BD9135">
        <v>95.7</v>
      </c>
      <c r="BN9135" t="s">
        <v>74</v>
      </c>
    </row>
    <row r="9136" spans="1:66" hidden="1">
      <c r="A9136">
        <v>106570</v>
      </c>
      <c r="B9136" s="3" t="s">
        <v>802</v>
      </c>
      <c r="C9136" s="1">
        <v>43300101</v>
      </c>
      <c r="D9136" t="s">
        <v>67</v>
      </c>
      <c r="H9136" t="str">
        <f t="shared" si="956"/>
        <v>01617610629</v>
      </c>
      <c r="I9136" t="str">
        <f t="shared" si="956"/>
        <v>01617610629</v>
      </c>
      <c r="K9136" t="str">
        <f>""</f>
        <v/>
      </c>
      <c r="M9136" t="s">
        <v>68</v>
      </c>
      <c r="N9136" t="str">
        <f t="shared" si="955"/>
        <v>FOR</v>
      </c>
      <c r="O9136" t="s">
        <v>69</v>
      </c>
      <c r="P9136" s="3" t="s">
        <v>75</v>
      </c>
      <c r="Q9136">
        <v>2015</v>
      </c>
      <c r="R9136" s="2">
        <v>42369</v>
      </c>
      <c r="S9136" s="2">
        <v>42369</v>
      </c>
      <c r="T9136" s="2">
        <v>42369</v>
      </c>
      <c r="U9136" s="2">
        <v>42429</v>
      </c>
      <c r="V9136" t="s">
        <v>71</v>
      </c>
      <c r="W9136" t="str">
        <f>"        2015   109/a"</f>
        <v xml:space="preserve">        2015   109/a</v>
      </c>
      <c r="X9136">
        <v>549</v>
      </c>
      <c r="Y9136">
        <v>0</v>
      </c>
      <c r="Z9136"/>
      <c r="AB9136"/>
      <c r="AC9136">
        <v>450</v>
      </c>
      <c r="AD9136">
        <v>137</v>
      </c>
      <c r="AE9136" s="1">
        <v>61650</v>
      </c>
      <c r="AF9136">
        <v>99</v>
      </c>
      <c r="AJ9136">
        <v>0</v>
      </c>
      <c r="AK9136">
        <v>0</v>
      </c>
      <c r="AL9136">
        <v>0</v>
      </c>
      <c r="AM9136">
        <v>0</v>
      </c>
      <c r="AN9136">
        <v>0</v>
      </c>
      <c r="AO9136">
        <v>0</v>
      </c>
      <c r="AP9136" s="2">
        <v>42746</v>
      </c>
      <c r="AQ9136" t="s">
        <v>72</v>
      </c>
      <c r="AR9136" t="s">
        <v>72</v>
      </c>
      <c r="AS9136">
        <v>1771</v>
      </c>
      <c r="AT9136" s="4">
        <v>42566</v>
      </c>
      <c r="AU9136" t="s">
        <v>73</v>
      </c>
      <c r="AV9136">
        <v>1771</v>
      </c>
      <c r="AW9136" s="4">
        <v>42566</v>
      </c>
      <c r="BD9136">
        <v>99</v>
      </c>
      <c r="BN9136" t="s">
        <v>74</v>
      </c>
    </row>
    <row r="9137" spans="1:66" hidden="1">
      <c r="A9137">
        <v>106570</v>
      </c>
      <c r="B9137" s="3" t="s">
        <v>802</v>
      </c>
      <c r="C9137" s="1">
        <v>43300101</v>
      </c>
      <c r="D9137" t="s">
        <v>67</v>
      </c>
      <c r="H9137" t="str">
        <f t="shared" si="956"/>
        <v>01617610629</v>
      </c>
      <c r="I9137" t="str">
        <f t="shared" si="956"/>
        <v>01617610629</v>
      </c>
      <c r="K9137" t="str">
        <f>""</f>
        <v/>
      </c>
      <c r="M9137" t="s">
        <v>68</v>
      </c>
      <c r="N9137" t="str">
        <f t="shared" si="955"/>
        <v>FOR</v>
      </c>
      <c r="O9137" t="s">
        <v>69</v>
      </c>
      <c r="P9137" s="3" t="s">
        <v>75</v>
      </c>
      <c r="Q9137">
        <v>2015</v>
      </c>
      <c r="R9137" s="2">
        <v>42369</v>
      </c>
      <c r="S9137" s="2">
        <v>42369</v>
      </c>
      <c r="T9137" s="2">
        <v>42369</v>
      </c>
      <c r="U9137" s="2">
        <v>42429</v>
      </c>
      <c r="V9137" t="s">
        <v>71</v>
      </c>
      <c r="W9137" t="str">
        <f>"        2015   110/a"</f>
        <v xml:space="preserve">        2015   110/a</v>
      </c>
      <c r="X9137">
        <v>762.5</v>
      </c>
      <c r="Y9137">
        <v>0</v>
      </c>
      <c r="Z9137"/>
      <c r="AB9137"/>
      <c r="AC9137">
        <v>625</v>
      </c>
      <c r="AD9137">
        <v>137</v>
      </c>
      <c r="AE9137" s="1">
        <v>85625</v>
      </c>
      <c r="AF9137">
        <v>137.5</v>
      </c>
      <c r="AJ9137">
        <v>0</v>
      </c>
      <c r="AK9137">
        <v>0</v>
      </c>
      <c r="AL9137">
        <v>0</v>
      </c>
      <c r="AM9137">
        <v>0</v>
      </c>
      <c r="AN9137">
        <v>0</v>
      </c>
      <c r="AO9137">
        <v>0</v>
      </c>
      <c r="AP9137" s="2">
        <v>42746</v>
      </c>
      <c r="AQ9137" t="s">
        <v>72</v>
      </c>
      <c r="AR9137" t="s">
        <v>72</v>
      </c>
      <c r="AS9137">
        <v>1771</v>
      </c>
      <c r="AT9137" s="4">
        <v>42566</v>
      </c>
      <c r="AU9137" t="s">
        <v>73</v>
      </c>
      <c r="AV9137">
        <v>1771</v>
      </c>
      <c r="AW9137" s="4">
        <v>42566</v>
      </c>
      <c r="BD9137">
        <v>137.5</v>
      </c>
      <c r="BN9137" t="s">
        <v>74</v>
      </c>
    </row>
    <row r="9138" spans="1:66" hidden="1">
      <c r="A9138">
        <v>106570</v>
      </c>
      <c r="B9138" s="3" t="s">
        <v>802</v>
      </c>
      <c r="C9138" s="1">
        <v>43300101</v>
      </c>
      <c r="D9138" t="s">
        <v>67</v>
      </c>
      <c r="H9138" t="str">
        <f t="shared" si="956"/>
        <v>01617610629</v>
      </c>
      <c r="I9138" t="str">
        <f t="shared" si="956"/>
        <v>01617610629</v>
      </c>
      <c r="K9138" t="str">
        <f>""</f>
        <v/>
      </c>
      <c r="M9138" t="s">
        <v>68</v>
      </c>
      <c r="N9138" t="str">
        <f t="shared" si="955"/>
        <v>FOR</v>
      </c>
      <c r="O9138" t="s">
        <v>69</v>
      </c>
      <c r="P9138" s="3" t="s">
        <v>75</v>
      </c>
      <c r="Q9138">
        <v>2016</v>
      </c>
      <c r="R9138" s="2">
        <v>42399</v>
      </c>
      <c r="S9138" s="2">
        <v>42402</v>
      </c>
      <c r="T9138" s="2">
        <v>42399</v>
      </c>
      <c r="U9138" s="2">
        <v>42459</v>
      </c>
      <c r="V9138" t="s">
        <v>71</v>
      </c>
      <c r="W9138" t="str">
        <f>"        2016     4/a"</f>
        <v xml:space="preserve">        2016     4/a</v>
      </c>
      <c r="X9138">
        <v>305</v>
      </c>
      <c r="Y9138">
        <v>0</v>
      </c>
      <c r="Z9138"/>
      <c r="AB9138"/>
      <c r="AC9138">
        <v>250</v>
      </c>
      <c r="AD9138">
        <v>107</v>
      </c>
      <c r="AE9138" s="1">
        <v>26750</v>
      </c>
      <c r="AF9138">
        <v>55</v>
      </c>
      <c r="AJ9138">
        <v>0</v>
      </c>
      <c r="AK9138">
        <v>0</v>
      </c>
      <c r="AL9138">
        <v>0</v>
      </c>
      <c r="AM9138">
        <v>305</v>
      </c>
      <c r="AN9138">
        <v>305</v>
      </c>
      <c r="AO9138">
        <v>305</v>
      </c>
      <c r="AP9138" s="2">
        <v>42746</v>
      </c>
      <c r="AQ9138" t="s">
        <v>72</v>
      </c>
      <c r="AR9138" t="s">
        <v>72</v>
      </c>
      <c r="AS9138">
        <v>1771</v>
      </c>
      <c r="AT9138" s="4">
        <v>42566</v>
      </c>
      <c r="AU9138" t="s">
        <v>73</v>
      </c>
      <c r="AV9138">
        <v>1771</v>
      </c>
      <c r="AW9138" s="4">
        <v>42566</v>
      </c>
      <c r="BD9138">
        <v>55</v>
      </c>
      <c r="BN9138" t="s">
        <v>74</v>
      </c>
    </row>
    <row r="9139" spans="1:66" hidden="1">
      <c r="A9139">
        <v>106570</v>
      </c>
      <c r="B9139" s="3" t="s">
        <v>802</v>
      </c>
      <c r="C9139" s="1">
        <v>43300101</v>
      </c>
      <c r="D9139" t="s">
        <v>67</v>
      </c>
      <c r="H9139" t="str">
        <f t="shared" si="956"/>
        <v>01617610629</v>
      </c>
      <c r="I9139" t="str">
        <f t="shared" si="956"/>
        <v>01617610629</v>
      </c>
      <c r="K9139" t="str">
        <f>""</f>
        <v/>
      </c>
      <c r="M9139" t="s">
        <v>68</v>
      </c>
      <c r="N9139" t="str">
        <f t="shared" si="955"/>
        <v>FOR</v>
      </c>
      <c r="O9139" t="s">
        <v>69</v>
      </c>
      <c r="P9139" s="3" t="s">
        <v>75</v>
      </c>
      <c r="Q9139">
        <v>2016</v>
      </c>
      <c r="R9139" s="2">
        <v>42399</v>
      </c>
      <c r="S9139" s="2">
        <v>42402</v>
      </c>
      <c r="T9139" s="2">
        <v>42399</v>
      </c>
      <c r="U9139" s="2">
        <v>42459</v>
      </c>
      <c r="V9139" t="s">
        <v>71</v>
      </c>
      <c r="W9139" t="str">
        <f>"        2016     5/a"</f>
        <v xml:space="preserve">        2016     5/a</v>
      </c>
      <c r="X9139">
        <v>183</v>
      </c>
      <c r="Y9139">
        <v>0</v>
      </c>
      <c r="Z9139"/>
      <c r="AB9139"/>
      <c r="AC9139">
        <v>150</v>
      </c>
      <c r="AD9139">
        <v>107</v>
      </c>
      <c r="AE9139" s="1">
        <v>16050</v>
      </c>
      <c r="AF9139">
        <v>33</v>
      </c>
      <c r="AJ9139">
        <v>0</v>
      </c>
      <c r="AK9139">
        <v>0</v>
      </c>
      <c r="AL9139">
        <v>0</v>
      </c>
      <c r="AM9139">
        <v>183</v>
      </c>
      <c r="AN9139">
        <v>183</v>
      </c>
      <c r="AO9139">
        <v>183</v>
      </c>
      <c r="AP9139" s="2">
        <v>42746</v>
      </c>
      <c r="AQ9139" t="s">
        <v>72</v>
      </c>
      <c r="AR9139" t="s">
        <v>72</v>
      </c>
      <c r="AS9139">
        <v>1771</v>
      </c>
      <c r="AT9139" s="4">
        <v>42566</v>
      </c>
      <c r="AU9139" t="s">
        <v>73</v>
      </c>
      <c r="AV9139">
        <v>1771</v>
      </c>
      <c r="AW9139" s="4">
        <v>42566</v>
      </c>
      <c r="BD9139">
        <v>33</v>
      </c>
      <c r="BN9139" t="s">
        <v>74</v>
      </c>
    </row>
    <row r="9140" spans="1:66" hidden="1">
      <c r="A9140">
        <v>106570</v>
      </c>
      <c r="B9140" s="3" t="s">
        <v>802</v>
      </c>
      <c r="C9140" s="1">
        <v>43300101</v>
      </c>
      <c r="D9140" t="s">
        <v>67</v>
      </c>
      <c r="H9140" t="str">
        <f t="shared" ref="H9140:I9159" si="957">"01617610629"</f>
        <v>01617610629</v>
      </c>
      <c r="I9140" t="str">
        <f t="shared" si="957"/>
        <v>01617610629</v>
      </c>
      <c r="K9140" t="str">
        <f>""</f>
        <v/>
      </c>
      <c r="M9140" t="s">
        <v>68</v>
      </c>
      <c r="N9140" t="str">
        <f t="shared" si="955"/>
        <v>FOR</v>
      </c>
      <c r="O9140" t="s">
        <v>69</v>
      </c>
      <c r="P9140" s="3" t="s">
        <v>75</v>
      </c>
      <c r="Q9140">
        <v>2016</v>
      </c>
      <c r="R9140" s="2">
        <v>42399</v>
      </c>
      <c r="S9140" s="2">
        <v>42402</v>
      </c>
      <c r="T9140" s="2">
        <v>42399</v>
      </c>
      <c r="U9140" s="2">
        <v>42459</v>
      </c>
      <c r="V9140" t="s">
        <v>71</v>
      </c>
      <c r="W9140" t="str">
        <f>"        2016     6/a"</f>
        <v xml:space="preserve">        2016     6/a</v>
      </c>
      <c r="X9140">
        <v>103.7</v>
      </c>
      <c r="Y9140">
        <v>0</v>
      </c>
      <c r="Z9140"/>
      <c r="AB9140"/>
      <c r="AC9140">
        <v>85</v>
      </c>
      <c r="AD9140">
        <v>107</v>
      </c>
      <c r="AE9140" s="1">
        <v>9095</v>
      </c>
      <c r="AF9140">
        <v>18.7</v>
      </c>
      <c r="AJ9140">
        <v>0</v>
      </c>
      <c r="AK9140">
        <v>0</v>
      </c>
      <c r="AL9140">
        <v>0</v>
      </c>
      <c r="AM9140">
        <v>103.7</v>
      </c>
      <c r="AN9140">
        <v>103.7</v>
      </c>
      <c r="AO9140">
        <v>103.7</v>
      </c>
      <c r="AP9140" s="2">
        <v>42746</v>
      </c>
      <c r="AQ9140" t="s">
        <v>72</v>
      </c>
      <c r="AR9140" t="s">
        <v>72</v>
      </c>
      <c r="AS9140">
        <v>1771</v>
      </c>
      <c r="AT9140" s="4">
        <v>42566</v>
      </c>
      <c r="AU9140" t="s">
        <v>73</v>
      </c>
      <c r="AV9140">
        <v>1771</v>
      </c>
      <c r="AW9140" s="4">
        <v>42566</v>
      </c>
      <c r="BD9140">
        <v>18.7</v>
      </c>
      <c r="BN9140" t="s">
        <v>74</v>
      </c>
    </row>
    <row r="9141" spans="1:66" hidden="1">
      <c r="A9141">
        <v>106570</v>
      </c>
      <c r="B9141" s="3" t="s">
        <v>802</v>
      </c>
      <c r="C9141" s="1">
        <v>43300101</v>
      </c>
      <c r="D9141" t="s">
        <v>67</v>
      </c>
      <c r="H9141" t="str">
        <f t="shared" si="957"/>
        <v>01617610629</v>
      </c>
      <c r="I9141" t="str">
        <f t="shared" si="957"/>
        <v>01617610629</v>
      </c>
      <c r="K9141" t="str">
        <f>""</f>
        <v/>
      </c>
      <c r="M9141" t="s">
        <v>68</v>
      </c>
      <c r="N9141" t="str">
        <f t="shared" si="955"/>
        <v>FOR</v>
      </c>
      <c r="O9141" t="s">
        <v>69</v>
      </c>
      <c r="P9141" s="3" t="s">
        <v>75</v>
      </c>
      <c r="Q9141">
        <v>2016</v>
      </c>
      <c r="R9141" s="2">
        <v>42399</v>
      </c>
      <c r="S9141" s="2">
        <v>42402</v>
      </c>
      <c r="T9141" s="2">
        <v>42399</v>
      </c>
      <c r="U9141" s="2">
        <v>42459</v>
      </c>
      <c r="V9141" t="s">
        <v>71</v>
      </c>
      <c r="W9141" t="str">
        <f>"        2016     7/a"</f>
        <v xml:space="preserve">        2016     7/a</v>
      </c>
      <c r="X9141">
        <v>219.6</v>
      </c>
      <c r="Y9141">
        <v>0</v>
      </c>
      <c r="Z9141"/>
      <c r="AB9141"/>
      <c r="AC9141">
        <v>180</v>
      </c>
      <c r="AD9141">
        <v>107</v>
      </c>
      <c r="AE9141" s="1">
        <v>19260</v>
      </c>
      <c r="AF9141">
        <v>39.6</v>
      </c>
      <c r="AJ9141">
        <v>0</v>
      </c>
      <c r="AK9141">
        <v>0</v>
      </c>
      <c r="AL9141">
        <v>0</v>
      </c>
      <c r="AM9141">
        <v>219.6</v>
      </c>
      <c r="AN9141">
        <v>219.6</v>
      </c>
      <c r="AO9141">
        <v>219.6</v>
      </c>
      <c r="AP9141" s="2">
        <v>42746</v>
      </c>
      <c r="AQ9141" t="s">
        <v>72</v>
      </c>
      <c r="AR9141" t="s">
        <v>72</v>
      </c>
      <c r="AS9141">
        <v>1771</v>
      </c>
      <c r="AT9141" s="4">
        <v>42566</v>
      </c>
      <c r="AU9141" t="s">
        <v>73</v>
      </c>
      <c r="AV9141">
        <v>1771</v>
      </c>
      <c r="AW9141" s="4">
        <v>42566</v>
      </c>
      <c r="BD9141">
        <v>39.6</v>
      </c>
      <c r="BN9141" t="s">
        <v>74</v>
      </c>
    </row>
    <row r="9142" spans="1:66" hidden="1">
      <c r="A9142">
        <v>106570</v>
      </c>
      <c r="B9142" s="3" t="s">
        <v>802</v>
      </c>
      <c r="C9142" s="1">
        <v>43300101</v>
      </c>
      <c r="D9142" t="s">
        <v>67</v>
      </c>
      <c r="H9142" t="str">
        <f t="shared" si="957"/>
        <v>01617610629</v>
      </c>
      <c r="I9142" t="str">
        <f t="shared" si="957"/>
        <v>01617610629</v>
      </c>
      <c r="K9142" t="str">
        <f>""</f>
        <v/>
      </c>
      <c r="M9142" t="s">
        <v>68</v>
      </c>
      <c r="N9142" t="str">
        <f t="shared" si="955"/>
        <v>FOR</v>
      </c>
      <c r="O9142" t="s">
        <v>69</v>
      </c>
      <c r="P9142" s="3" t="s">
        <v>75</v>
      </c>
      <c r="Q9142">
        <v>2016</v>
      </c>
      <c r="R9142" s="2">
        <v>42399</v>
      </c>
      <c r="S9142" s="2">
        <v>42402</v>
      </c>
      <c r="T9142" s="2">
        <v>42399</v>
      </c>
      <c r="U9142" s="2">
        <v>42459</v>
      </c>
      <c r="V9142" t="s">
        <v>71</v>
      </c>
      <c r="W9142" t="str">
        <f>"        2016     8/a"</f>
        <v xml:space="preserve">        2016     8/a</v>
      </c>
      <c r="X9142">
        <v>732</v>
      </c>
      <c r="Y9142">
        <v>0</v>
      </c>
      <c r="Z9142"/>
      <c r="AB9142"/>
      <c r="AC9142">
        <v>600</v>
      </c>
      <c r="AD9142">
        <v>107</v>
      </c>
      <c r="AE9142" s="1">
        <v>64200</v>
      </c>
      <c r="AF9142">
        <v>132</v>
      </c>
      <c r="AJ9142">
        <v>0</v>
      </c>
      <c r="AK9142">
        <v>0</v>
      </c>
      <c r="AL9142">
        <v>0</v>
      </c>
      <c r="AM9142">
        <v>732</v>
      </c>
      <c r="AN9142">
        <v>732</v>
      </c>
      <c r="AO9142">
        <v>732</v>
      </c>
      <c r="AP9142" s="2">
        <v>42746</v>
      </c>
      <c r="AQ9142" t="s">
        <v>72</v>
      </c>
      <c r="AR9142" t="s">
        <v>72</v>
      </c>
      <c r="AS9142">
        <v>1771</v>
      </c>
      <c r="AT9142" s="4">
        <v>42566</v>
      </c>
      <c r="AU9142" t="s">
        <v>73</v>
      </c>
      <c r="AV9142">
        <v>1771</v>
      </c>
      <c r="AW9142" s="4">
        <v>42566</v>
      </c>
      <c r="BD9142">
        <v>132</v>
      </c>
      <c r="BN9142" t="s">
        <v>74</v>
      </c>
    </row>
    <row r="9143" spans="1:66" hidden="1">
      <c r="A9143">
        <v>106570</v>
      </c>
      <c r="B9143" s="3" t="s">
        <v>802</v>
      </c>
      <c r="C9143" s="1">
        <v>43300101</v>
      </c>
      <c r="D9143" t="s">
        <v>67</v>
      </c>
      <c r="H9143" t="str">
        <f t="shared" si="957"/>
        <v>01617610629</v>
      </c>
      <c r="I9143" t="str">
        <f t="shared" si="957"/>
        <v>01617610629</v>
      </c>
      <c r="K9143" t="str">
        <f>""</f>
        <v/>
      </c>
      <c r="M9143" t="s">
        <v>68</v>
      </c>
      <c r="N9143" t="str">
        <f t="shared" si="955"/>
        <v>FOR</v>
      </c>
      <c r="O9143" t="s">
        <v>69</v>
      </c>
      <c r="P9143" s="3" t="s">
        <v>75</v>
      </c>
      <c r="Q9143">
        <v>2016</v>
      </c>
      <c r="R9143" s="2">
        <v>42399</v>
      </c>
      <c r="S9143" s="2">
        <v>42402</v>
      </c>
      <c r="T9143" s="2">
        <v>42399</v>
      </c>
      <c r="U9143" s="2">
        <v>42459</v>
      </c>
      <c r="V9143" t="s">
        <v>71</v>
      </c>
      <c r="W9143" t="str">
        <f>"        2016     9/a"</f>
        <v xml:space="preserve">        2016     9/a</v>
      </c>
      <c r="X9143">
        <v>530.70000000000005</v>
      </c>
      <c r="Y9143">
        <v>0</v>
      </c>
      <c r="Z9143"/>
      <c r="AB9143"/>
      <c r="AC9143">
        <v>435</v>
      </c>
      <c r="AD9143">
        <v>107</v>
      </c>
      <c r="AE9143" s="1">
        <v>46545</v>
      </c>
      <c r="AF9143">
        <v>95.7</v>
      </c>
      <c r="AJ9143">
        <v>0</v>
      </c>
      <c r="AK9143">
        <v>0</v>
      </c>
      <c r="AL9143">
        <v>0</v>
      </c>
      <c r="AM9143">
        <v>530.70000000000005</v>
      </c>
      <c r="AN9143">
        <v>530.70000000000005</v>
      </c>
      <c r="AO9143">
        <v>530.70000000000005</v>
      </c>
      <c r="AP9143" s="2">
        <v>42746</v>
      </c>
      <c r="AQ9143" t="s">
        <v>72</v>
      </c>
      <c r="AR9143" t="s">
        <v>72</v>
      </c>
      <c r="AS9143">
        <v>1771</v>
      </c>
      <c r="AT9143" s="4">
        <v>42566</v>
      </c>
      <c r="AU9143" t="s">
        <v>73</v>
      </c>
      <c r="AV9143">
        <v>1771</v>
      </c>
      <c r="AW9143" s="4">
        <v>42566</v>
      </c>
      <c r="BD9143">
        <v>95.7</v>
      </c>
      <c r="BN9143" t="s">
        <v>74</v>
      </c>
    </row>
    <row r="9144" spans="1:66" hidden="1">
      <c r="A9144">
        <v>106570</v>
      </c>
      <c r="B9144" s="3" t="s">
        <v>802</v>
      </c>
      <c r="C9144" s="1">
        <v>43300101</v>
      </c>
      <c r="D9144" t="s">
        <v>67</v>
      </c>
      <c r="H9144" t="str">
        <f t="shared" si="957"/>
        <v>01617610629</v>
      </c>
      <c r="I9144" t="str">
        <f t="shared" si="957"/>
        <v>01617610629</v>
      </c>
      <c r="K9144" t="str">
        <f>""</f>
        <v/>
      </c>
      <c r="M9144" t="s">
        <v>68</v>
      </c>
      <c r="N9144" t="str">
        <f t="shared" si="955"/>
        <v>FOR</v>
      </c>
      <c r="O9144" t="s">
        <v>69</v>
      </c>
      <c r="P9144" s="3" t="s">
        <v>75</v>
      </c>
      <c r="Q9144">
        <v>2016</v>
      </c>
      <c r="R9144" s="2">
        <v>42399</v>
      </c>
      <c r="S9144" s="2">
        <v>42402</v>
      </c>
      <c r="T9144" s="2">
        <v>42399</v>
      </c>
      <c r="U9144" s="2">
        <v>42459</v>
      </c>
      <c r="V9144" t="s">
        <v>71</v>
      </c>
      <c r="W9144" t="str">
        <f>"        2016    10/a"</f>
        <v xml:space="preserve">        2016    10/a</v>
      </c>
      <c r="X9144">
        <v>305</v>
      </c>
      <c r="Y9144">
        <v>0</v>
      </c>
      <c r="Z9144"/>
      <c r="AB9144"/>
      <c r="AC9144">
        <v>250</v>
      </c>
      <c r="AD9144">
        <v>107</v>
      </c>
      <c r="AE9144" s="1">
        <v>26750</v>
      </c>
      <c r="AF9144">
        <v>55</v>
      </c>
      <c r="AJ9144">
        <v>0</v>
      </c>
      <c r="AK9144">
        <v>0</v>
      </c>
      <c r="AL9144">
        <v>0</v>
      </c>
      <c r="AM9144">
        <v>305</v>
      </c>
      <c r="AN9144">
        <v>305</v>
      </c>
      <c r="AO9144">
        <v>305</v>
      </c>
      <c r="AP9144" s="2">
        <v>42746</v>
      </c>
      <c r="AQ9144" t="s">
        <v>72</v>
      </c>
      <c r="AR9144" t="s">
        <v>72</v>
      </c>
      <c r="AS9144">
        <v>1771</v>
      </c>
      <c r="AT9144" s="4">
        <v>42566</v>
      </c>
      <c r="AU9144" t="s">
        <v>73</v>
      </c>
      <c r="AV9144">
        <v>1771</v>
      </c>
      <c r="AW9144" s="4">
        <v>42566</v>
      </c>
      <c r="BD9144">
        <v>55</v>
      </c>
      <c r="BN9144" t="s">
        <v>74</v>
      </c>
    </row>
    <row r="9145" spans="1:66" hidden="1">
      <c r="A9145">
        <v>106570</v>
      </c>
      <c r="B9145" s="3" t="s">
        <v>802</v>
      </c>
      <c r="C9145" s="1">
        <v>43300101</v>
      </c>
      <c r="D9145" t="s">
        <v>67</v>
      </c>
      <c r="H9145" t="str">
        <f t="shared" si="957"/>
        <v>01617610629</v>
      </c>
      <c r="I9145" t="str">
        <f t="shared" si="957"/>
        <v>01617610629</v>
      </c>
      <c r="K9145" t="str">
        <f>""</f>
        <v/>
      </c>
      <c r="M9145" t="s">
        <v>68</v>
      </c>
      <c r="N9145" t="str">
        <f t="shared" si="955"/>
        <v>FOR</v>
      </c>
      <c r="O9145" t="s">
        <v>69</v>
      </c>
      <c r="P9145" s="3" t="s">
        <v>75</v>
      </c>
      <c r="Q9145">
        <v>2016</v>
      </c>
      <c r="R9145" s="2">
        <v>42427</v>
      </c>
      <c r="S9145" s="2">
        <v>42436</v>
      </c>
      <c r="T9145" s="2">
        <v>42427</v>
      </c>
      <c r="U9145" s="2">
        <v>42487</v>
      </c>
      <c r="V9145" t="s">
        <v>71</v>
      </c>
      <c r="W9145" t="str">
        <f>"        2016    14/a"</f>
        <v xml:space="preserve">        2016    14/a</v>
      </c>
      <c r="X9145">
        <v>329.4</v>
      </c>
      <c r="Y9145">
        <v>0</v>
      </c>
      <c r="Z9145"/>
      <c r="AB9145"/>
      <c r="AC9145">
        <v>270</v>
      </c>
      <c r="AD9145">
        <v>79</v>
      </c>
      <c r="AE9145" s="1">
        <v>21330</v>
      </c>
      <c r="AF9145">
        <v>59.4</v>
      </c>
      <c r="AJ9145">
        <v>0</v>
      </c>
      <c r="AK9145">
        <v>0</v>
      </c>
      <c r="AL9145">
        <v>0</v>
      </c>
      <c r="AM9145">
        <v>329.4</v>
      </c>
      <c r="AN9145">
        <v>329.4</v>
      </c>
      <c r="AO9145">
        <v>329.4</v>
      </c>
      <c r="AP9145" s="2">
        <v>42746</v>
      </c>
      <c r="AQ9145" t="s">
        <v>72</v>
      </c>
      <c r="AR9145" t="s">
        <v>72</v>
      </c>
      <c r="AS9145">
        <v>1771</v>
      </c>
      <c r="AT9145" s="4">
        <v>42566</v>
      </c>
      <c r="AU9145" t="s">
        <v>73</v>
      </c>
      <c r="AV9145">
        <v>1771</v>
      </c>
      <c r="AW9145" s="4">
        <v>42566</v>
      </c>
      <c r="BD9145">
        <v>59.4</v>
      </c>
      <c r="BN9145" t="s">
        <v>74</v>
      </c>
    </row>
    <row r="9146" spans="1:66" hidden="1">
      <c r="A9146">
        <v>106570</v>
      </c>
      <c r="B9146" s="3" t="s">
        <v>802</v>
      </c>
      <c r="C9146" s="1">
        <v>43300101</v>
      </c>
      <c r="D9146" t="s">
        <v>67</v>
      </c>
      <c r="H9146" t="str">
        <f t="shared" si="957"/>
        <v>01617610629</v>
      </c>
      <c r="I9146" t="str">
        <f t="shared" si="957"/>
        <v>01617610629</v>
      </c>
      <c r="K9146" t="str">
        <f>""</f>
        <v/>
      </c>
      <c r="M9146" t="s">
        <v>68</v>
      </c>
      <c r="N9146" t="str">
        <f t="shared" ref="N9146:N9177" si="958">"FOR"</f>
        <v>FOR</v>
      </c>
      <c r="O9146" t="s">
        <v>69</v>
      </c>
      <c r="P9146" s="3" t="s">
        <v>75</v>
      </c>
      <c r="Q9146">
        <v>2016</v>
      </c>
      <c r="R9146" s="2">
        <v>42427</v>
      </c>
      <c r="S9146" s="2">
        <v>42436</v>
      </c>
      <c r="T9146" s="2">
        <v>42427</v>
      </c>
      <c r="U9146" s="2">
        <v>42487</v>
      </c>
      <c r="V9146" t="s">
        <v>71</v>
      </c>
      <c r="W9146" t="str">
        <f>"        2016    15/a"</f>
        <v xml:space="preserve">        2016    15/a</v>
      </c>
      <c r="X9146">
        <v>109.8</v>
      </c>
      <c r="Y9146">
        <v>0</v>
      </c>
      <c r="Z9146"/>
      <c r="AB9146"/>
      <c r="AC9146">
        <v>90</v>
      </c>
      <c r="AD9146">
        <v>79</v>
      </c>
      <c r="AE9146" s="1">
        <v>7110</v>
      </c>
      <c r="AF9146">
        <v>19.8</v>
      </c>
      <c r="AJ9146">
        <v>0</v>
      </c>
      <c r="AK9146">
        <v>0</v>
      </c>
      <c r="AL9146">
        <v>0</v>
      </c>
      <c r="AM9146">
        <v>109.8</v>
      </c>
      <c r="AN9146">
        <v>109.8</v>
      </c>
      <c r="AO9146">
        <v>109.8</v>
      </c>
      <c r="AP9146" s="2">
        <v>42746</v>
      </c>
      <c r="AQ9146" t="s">
        <v>72</v>
      </c>
      <c r="AR9146" t="s">
        <v>72</v>
      </c>
      <c r="AS9146">
        <v>1771</v>
      </c>
      <c r="AT9146" s="4">
        <v>42566</v>
      </c>
      <c r="AU9146" t="s">
        <v>73</v>
      </c>
      <c r="AV9146">
        <v>1771</v>
      </c>
      <c r="AW9146" s="4">
        <v>42566</v>
      </c>
      <c r="BD9146">
        <v>19.8</v>
      </c>
      <c r="BN9146" t="s">
        <v>74</v>
      </c>
    </row>
    <row r="9147" spans="1:66" hidden="1">
      <c r="A9147">
        <v>106570</v>
      </c>
      <c r="B9147" s="3" t="s">
        <v>802</v>
      </c>
      <c r="C9147" s="1">
        <v>43300101</v>
      </c>
      <c r="D9147" t="s">
        <v>67</v>
      </c>
      <c r="H9147" t="str">
        <f t="shared" si="957"/>
        <v>01617610629</v>
      </c>
      <c r="I9147" t="str">
        <f t="shared" si="957"/>
        <v>01617610629</v>
      </c>
      <c r="K9147" t="str">
        <f>""</f>
        <v/>
      </c>
      <c r="M9147" t="s">
        <v>68</v>
      </c>
      <c r="N9147" t="str">
        <f t="shared" si="958"/>
        <v>FOR</v>
      </c>
      <c r="O9147" t="s">
        <v>69</v>
      </c>
      <c r="P9147" s="3" t="s">
        <v>75</v>
      </c>
      <c r="Q9147">
        <v>2016</v>
      </c>
      <c r="R9147" s="2">
        <v>42427</v>
      </c>
      <c r="S9147" s="2">
        <v>42436</v>
      </c>
      <c r="T9147" s="2">
        <v>42427</v>
      </c>
      <c r="U9147" s="2">
        <v>42487</v>
      </c>
      <c r="V9147" t="s">
        <v>71</v>
      </c>
      <c r="W9147" t="str">
        <f>"        2016    16/a"</f>
        <v xml:space="preserve">        2016    16/a</v>
      </c>
      <c r="X9147">
        <v>219.6</v>
      </c>
      <c r="Y9147">
        <v>0</v>
      </c>
      <c r="Z9147"/>
      <c r="AB9147"/>
      <c r="AC9147">
        <v>180</v>
      </c>
      <c r="AD9147">
        <v>79</v>
      </c>
      <c r="AE9147" s="1">
        <v>14220</v>
      </c>
      <c r="AF9147">
        <v>39.6</v>
      </c>
      <c r="AJ9147">
        <v>0</v>
      </c>
      <c r="AK9147">
        <v>0</v>
      </c>
      <c r="AL9147">
        <v>0</v>
      </c>
      <c r="AM9147">
        <v>219.6</v>
      </c>
      <c r="AN9147">
        <v>219.6</v>
      </c>
      <c r="AO9147">
        <v>219.6</v>
      </c>
      <c r="AP9147" s="2">
        <v>42746</v>
      </c>
      <c r="AQ9147" t="s">
        <v>72</v>
      </c>
      <c r="AR9147" t="s">
        <v>72</v>
      </c>
      <c r="AS9147">
        <v>1771</v>
      </c>
      <c r="AT9147" s="4">
        <v>42566</v>
      </c>
      <c r="AU9147" t="s">
        <v>73</v>
      </c>
      <c r="AV9147">
        <v>1771</v>
      </c>
      <c r="AW9147" s="4">
        <v>42566</v>
      </c>
      <c r="BD9147">
        <v>39.6</v>
      </c>
      <c r="BN9147" t="s">
        <v>74</v>
      </c>
    </row>
    <row r="9148" spans="1:66" hidden="1">
      <c r="A9148">
        <v>106570</v>
      </c>
      <c r="B9148" s="3" t="s">
        <v>802</v>
      </c>
      <c r="C9148" s="1">
        <v>43300101</v>
      </c>
      <c r="D9148" t="s">
        <v>67</v>
      </c>
      <c r="H9148" t="str">
        <f t="shared" si="957"/>
        <v>01617610629</v>
      </c>
      <c r="I9148" t="str">
        <f t="shared" si="957"/>
        <v>01617610629</v>
      </c>
      <c r="K9148" t="str">
        <f>""</f>
        <v/>
      </c>
      <c r="M9148" t="s">
        <v>68</v>
      </c>
      <c r="N9148" t="str">
        <f t="shared" si="958"/>
        <v>FOR</v>
      </c>
      <c r="O9148" t="s">
        <v>69</v>
      </c>
      <c r="P9148" s="3" t="s">
        <v>75</v>
      </c>
      <c r="Q9148">
        <v>2016</v>
      </c>
      <c r="R9148" s="2">
        <v>42427</v>
      </c>
      <c r="S9148" s="2">
        <v>42431</v>
      </c>
      <c r="T9148" s="2">
        <v>42427</v>
      </c>
      <c r="U9148" s="2">
        <v>42487</v>
      </c>
      <c r="V9148" t="s">
        <v>71</v>
      </c>
      <c r="W9148" t="str">
        <f>"        2016    17/a"</f>
        <v xml:space="preserve">        2016    17/a</v>
      </c>
      <c r="X9148">
        <v>146.4</v>
      </c>
      <c r="Y9148">
        <v>0</v>
      </c>
      <c r="Z9148"/>
      <c r="AB9148"/>
      <c r="AC9148">
        <v>120</v>
      </c>
      <c r="AD9148">
        <v>79</v>
      </c>
      <c r="AE9148" s="1">
        <v>9480</v>
      </c>
      <c r="AF9148">
        <v>26.4</v>
      </c>
      <c r="AJ9148">
        <v>0</v>
      </c>
      <c r="AK9148">
        <v>0</v>
      </c>
      <c r="AL9148">
        <v>0</v>
      </c>
      <c r="AM9148">
        <v>146.4</v>
      </c>
      <c r="AN9148">
        <v>146.4</v>
      </c>
      <c r="AO9148">
        <v>146.4</v>
      </c>
      <c r="AP9148" s="2">
        <v>42746</v>
      </c>
      <c r="AQ9148" t="s">
        <v>72</v>
      </c>
      <c r="AR9148" t="s">
        <v>72</v>
      </c>
      <c r="AS9148">
        <v>1771</v>
      </c>
      <c r="AT9148" s="4">
        <v>42566</v>
      </c>
      <c r="AU9148" t="s">
        <v>73</v>
      </c>
      <c r="AV9148">
        <v>1771</v>
      </c>
      <c r="AW9148" s="4">
        <v>42566</v>
      </c>
      <c r="BD9148">
        <v>26.4</v>
      </c>
      <c r="BN9148" t="s">
        <v>74</v>
      </c>
    </row>
    <row r="9149" spans="1:66" hidden="1">
      <c r="A9149">
        <v>106570</v>
      </c>
      <c r="B9149" s="3" t="s">
        <v>802</v>
      </c>
      <c r="C9149" s="1">
        <v>43300101</v>
      </c>
      <c r="D9149" t="s">
        <v>67</v>
      </c>
      <c r="H9149" t="str">
        <f t="shared" si="957"/>
        <v>01617610629</v>
      </c>
      <c r="I9149" t="str">
        <f t="shared" si="957"/>
        <v>01617610629</v>
      </c>
      <c r="K9149" t="str">
        <f>""</f>
        <v/>
      </c>
      <c r="M9149" t="s">
        <v>68</v>
      </c>
      <c r="N9149" t="str">
        <f t="shared" si="958"/>
        <v>FOR</v>
      </c>
      <c r="O9149" t="s">
        <v>69</v>
      </c>
      <c r="P9149" s="3" t="s">
        <v>75</v>
      </c>
      <c r="Q9149">
        <v>2016</v>
      </c>
      <c r="R9149" s="2">
        <v>42427</v>
      </c>
      <c r="S9149" s="2">
        <v>42436</v>
      </c>
      <c r="T9149" s="2">
        <v>42427</v>
      </c>
      <c r="U9149" s="2">
        <v>42487</v>
      </c>
      <c r="V9149" t="s">
        <v>71</v>
      </c>
      <c r="W9149" t="str">
        <f>"        2016    18/a"</f>
        <v xml:space="preserve">        2016    18/a</v>
      </c>
      <c r="X9149">
        <v>36.6</v>
      </c>
      <c r="Y9149">
        <v>0</v>
      </c>
      <c r="Z9149"/>
      <c r="AB9149"/>
      <c r="AC9149">
        <v>30</v>
      </c>
      <c r="AD9149">
        <v>79</v>
      </c>
      <c r="AE9149" s="1">
        <v>2370</v>
      </c>
      <c r="AF9149">
        <v>6.6</v>
      </c>
      <c r="AJ9149">
        <v>0</v>
      </c>
      <c r="AK9149">
        <v>0</v>
      </c>
      <c r="AL9149">
        <v>0</v>
      </c>
      <c r="AM9149">
        <v>36.6</v>
      </c>
      <c r="AN9149">
        <v>36.6</v>
      </c>
      <c r="AO9149">
        <v>36.6</v>
      </c>
      <c r="AP9149" s="2">
        <v>42746</v>
      </c>
      <c r="AQ9149" t="s">
        <v>72</v>
      </c>
      <c r="AR9149" t="s">
        <v>72</v>
      </c>
      <c r="AS9149">
        <v>1771</v>
      </c>
      <c r="AT9149" s="4">
        <v>42566</v>
      </c>
      <c r="AU9149" t="s">
        <v>73</v>
      </c>
      <c r="AV9149">
        <v>1771</v>
      </c>
      <c r="AW9149" s="4">
        <v>42566</v>
      </c>
      <c r="BD9149">
        <v>6.6</v>
      </c>
      <c r="BN9149" t="s">
        <v>74</v>
      </c>
    </row>
    <row r="9150" spans="1:66" hidden="1">
      <c r="A9150">
        <v>106570</v>
      </c>
      <c r="B9150" s="3" t="s">
        <v>802</v>
      </c>
      <c r="C9150" s="1">
        <v>43300101</v>
      </c>
      <c r="D9150" t="s">
        <v>67</v>
      </c>
      <c r="H9150" t="str">
        <f t="shared" si="957"/>
        <v>01617610629</v>
      </c>
      <c r="I9150" t="str">
        <f t="shared" si="957"/>
        <v>01617610629</v>
      </c>
      <c r="K9150" t="str">
        <f>""</f>
        <v/>
      </c>
      <c r="M9150" t="s">
        <v>68</v>
      </c>
      <c r="N9150" t="str">
        <f t="shared" si="958"/>
        <v>FOR</v>
      </c>
      <c r="O9150" t="s">
        <v>69</v>
      </c>
      <c r="P9150" s="3" t="s">
        <v>75</v>
      </c>
      <c r="Q9150">
        <v>2016</v>
      </c>
      <c r="R9150" s="2">
        <v>42427</v>
      </c>
      <c r="S9150" s="2">
        <v>42433</v>
      </c>
      <c r="T9150" s="2">
        <v>42427</v>
      </c>
      <c r="U9150" s="2">
        <v>42487</v>
      </c>
      <c r="V9150" t="s">
        <v>71</v>
      </c>
      <c r="W9150" t="str">
        <f>"        2016    19/a"</f>
        <v xml:space="preserve">        2016    19/a</v>
      </c>
      <c r="X9150">
        <v>61</v>
      </c>
      <c r="Y9150">
        <v>0</v>
      </c>
      <c r="Z9150"/>
      <c r="AB9150"/>
      <c r="AC9150">
        <v>50</v>
      </c>
      <c r="AD9150">
        <v>79</v>
      </c>
      <c r="AE9150" s="1">
        <v>3950</v>
      </c>
      <c r="AF9150">
        <v>11</v>
      </c>
      <c r="AJ9150">
        <v>0</v>
      </c>
      <c r="AK9150">
        <v>0</v>
      </c>
      <c r="AL9150">
        <v>0</v>
      </c>
      <c r="AM9150">
        <v>61</v>
      </c>
      <c r="AN9150">
        <v>61</v>
      </c>
      <c r="AO9150">
        <v>61</v>
      </c>
      <c r="AP9150" s="2">
        <v>42746</v>
      </c>
      <c r="AQ9150" t="s">
        <v>72</v>
      </c>
      <c r="AR9150" t="s">
        <v>72</v>
      </c>
      <c r="AS9150">
        <v>1771</v>
      </c>
      <c r="AT9150" s="4">
        <v>42566</v>
      </c>
      <c r="AU9150" t="s">
        <v>73</v>
      </c>
      <c r="AV9150">
        <v>1771</v>
      </c>
      <c r="AW9150" s="4">
        <v>42566</v>
      </c>
      <c r="BD9150">
        <v>11</v>
      </c>
      <c r="BN9150" t="s">
        <v>74</v>
      </c>
    </row>
    <row r="9151" spans="1:66" hidden="1">
      <c r="A9151">
        <v>106570</v>
      </c>
      <c r="B9151" s="3" t="s">
        <v>802</v>
      </c>
      <c r="C9151" s="1">
        <v>43300101</v>
      </c>
      <c r="D9151" t="s">
        <v>67</v>
      </c>
      <c r="H9151" t="str">
        <f t="shared" si="957"/>
        <v>01617610629</v>
      </c>
      <c r="I9151" t="str">
        <f t="shared" si="957"/>
        <v>01617610629</v>
      </c>
      <c r="K9151" t="str">
        <f>""</f>
        <v/>
      </c>
      <c r="M9151" t="s">
        <v>68</v>
      </c>
      <c r="N9151" t="str">
        <f t="shared" si="958"/>
        <v>FOR</v>
      </c>
      <c r="O9151" t="s">
        <v>69</v>
      </c>
      <c r="P9151" s="3" t="s">
        <v>75</v>
      </c>
      <c r="Q9151">
        <v>2016</v>
      </c>
      <c r="R9151" s="2">
        <v>42427</v>
      </c>
      <c r="S9151" s="2">
        <v>42436</v>
      </c>
      <c r="T9151" s="2">
        <v>42427</v>
      </c>
      <c r="U9151" s="2">
        <v>42487</v>
      </c>
      <c r="V9151" t="s">
        <v>71</v>
      </c>
      <c r="W9151" t="str">
        <f>"        2016    20/a"</f>
        <v xml:space="preserve">        2016    20/a</v>
      </c>
      <c r="X9151">
        <v>305</v>
      </c>
      <c r="Y9151">
        <v>0</v>
      </c>
      <c r="Z9151"/>
      <c r="AB9151"/>
      <c r="AC9151">
        <v>250</v>
      </c>
      <c r="AD9151">
        <v>79</v>
      </c>
      <c r="AE9151" s="1">
        <v>19750</v>
      </c>
      <c r="AF9151">
        <v>55</v>
      </c>
      <c r="AJ9151">
        <v>0</v>
      </c>
      <c r="AK9151">
        <v>0</v>
      </c>
      <c r="AL9151">
        <v>0</v>
      </c>
      <c r="AM9151">
        <v>305</v>
      </c>
      <c r="AN9151">
        <v>305</v>
      </c>
      <c r="AO9151">
        <v>305</v>
      </c>
      <c r="AP9151" s="2">
        <v>42746</v>
      </c>
      <c r="AQ9151" t="s">
        <v>72</v>
      </c>
      <c r="AR9151" t="s">
        <v>72</v>
      </c>
      <c r="AS9151">
        <v>1771</v>
      </c>
      <c r="AT9151" s="4">
        <v>42566</v>
      </c>
      <c r="AU9151" t="s">
        <v>73</v>
      </c>
      <c r="AV9151">
        <v>1771</v>
      </c>
      <c r="AW9151" s="4">
        <v>42566</v>
      </c>
      <c r="BD9151">
        <v>55</v>
      </c>
      <c r="BN9151" t="s">
        <v>74</v>
      </c>
    </row>
    <row r="9152" spans="1:66" hidden="1">
      <c r="A9152">
        <v>106570</v>
      </c>
      <c r="B9152" s="3" t="s">
        <v>802</v>
      </c>
      <c r="C9152" s="1">
        <v>43300101</v>
      </c>
      <c r="D9152" t="s">
        <v>67</v>
      </c>
      <c r="H9152" t="str">
        <f t="shared" si="957"/>
        <v>01617610629</v>
      </c>
      <c r="I9152" t="str">
        <f t="shared" si="957"/>
        <v>01617610629</v>
      </c>
      <c r="K9152" t="str">
        <f>""</f>
        <v/>
      </c>
      <c r="M9152" t="s">
        <v>68</v>
      </c>
      <c r="N9152" t="str">
        <f t="shared" si="958"/>
        <v>FOR</v>
      </c>
      <c r="O9152" t="s">
        <v>69</v>
      </c>
      <c r="P9152" s="3" t="s">
        <v>75</v>
      </c>
      <c r="Q9152">
        <v>2016</v>
      </c>
      <c r="R9152" s="2">
        <v>42427</v>
      </c>
      <c r="S9152" s="2">
        <v>42436</v>
      </c>
      <c r="T9152" s="2">
        <v>42427</v>
      </c>
      <c r="U9152" s="2">
        <v>42487</v>
      </c>
      <c r="V9152" t="s">
        <v>71</v>
      </c>
      <c r="W9152" t="str">
        <f>"        2016    21/a"</f>
        <v xml:space="preserve">        2016    21/a</v>
      </c>
      <c r="X9152">
        <v>61</v>
      </c>
      <c r="Y9152">
        <v>0</v>
      </c>
      <c r="Z9152"/>
      <c r="AB9152"/>
      <c r="AC9152">
        <v>50</v>
      </c>
      <c r="AD9152">
        <v>79</v>
      </c>
      <c r="AE9152" s="1">
        <v>3950</v>
      </c>
      <c r="AF9152">
        <v>11</v>
      </c>
      <c r="AJ9152">
        <v>0</v>
      </c>
      <c r="AK9152">
        <v>0</v>
      </c>
      <c r="AL9152">
        <v>0</v>
      </c>
      <c r="AM9152">
        <v>61</v>
      </c>
      <c r="AN9152">
        <v>61</v>
      </c>
      <c r="AO9152">
        <v>61</v>
      </c>
      <c r="AP9152" s="2">
        <v>42746</v>
      </c>
      <c r="AQ9152" t="s">
        <v>72</v>
      </c>
      <c r="AR9152" t="s">
        <v>72</v>
      </c>
      <c r="AS9152">
        <v>1771</v>
      </c>
      <c r="AT9152" s="4">
        <v>42566</v>
      </c>
      <c r="AU9152" t="s">
        <v>73</v>
      </c>
      <c r="AV9152">
        <v>1771</v>
      </c>
      <c r="AW9152" s="4">
        <v>42566</v>
      </c>
      <c r="BD9152">
        <v>11</v>
      </c>
      <c r="BN9152" t="s">
        <v>74</v>
      </c>
    </row>
    <row r="9153" spans="1:66" hidden="1">
      <c r="A9153">
        <v>106570</v>
      </c>
      <c r="B9153" s="3" t="s">
        <v>802</v>
      </c>
      <c r="C9153" s="1">
        <v>43300101</v>
      </c>
      <c r="D9153" t="s">
        <v>67</v>
      </c>
      <c r="H9153" t="str">
        <f t="shared" si="957"/>
        <v>01617610629</v>
      </c>
      <c r="I9153" t="str">
        <f t="shared" si="957"/>
        <v>01617610629</v>
      </c>
      <c r="K9153" t="str">
        <f>""</f>
        <v/>
      </c>
      <c r="M9153" t="s">
        <v>68</v>
      </c>
      <c r="N9153" t="str">
        <f t="shared" si="958"/>
        <v>FOR</v>
      </c>
      <c r="O9153" t="s">
        <v>69</v>
      </c>
      <c r="P9153" s="3" t="s">
        <v>75</v>
      </c>
      <c r="Q9153">
        <v>2016</v>
      </c>
      <c r="R9153" s="2">
        <v>42427</v>
      </c>
      <c r="S9153" s="2">
        <v>42436</v>
      </c>
      <c r="T9153" s="2">
        <v>42427</v>
      </c>
      <c r="U9153" s="2">
        <v>42487</v>
      </c>
      <c r="V9153" t="s">
        <v>71</v>
      </c>
      <c r="W9153" t="str">
        <f>"        2016    22/a"</f>
        <v xml:space="preserve">        2016    22/a</v>
      </c>
      <c r="X9153">
        <v>353.8</v>
      </c>
      <c r="Y9153">
        <v>0</v>
      </c>
      <c r="Z9153"/>
      <c r="AB9153"/>
      <c r="AC9153">
        <v>290</v>
      </c>
      <c r="AD9153">
        <v>79</v>
      </c>
      <c r="AE9153" s="1">
        <v>22910</v>
      </c>
      <c r="AF9153">
        <v>63.8</v>
      </c>
      <c r="AJ9153">
        <v>0</v>
      </c>
      <c r="AK9153">
        <v>0</v>
      </c>
      <c r="AL9153">
        <v>0</v>
      </c>
      <c r="AM9153">
        <v>353.8</v>
      </c>
      <c r="AN9153">
        <v>353.8</v>
      </c>
      <c r="AO9153">
        <v>353.8</v>
      </c>
      <c r="AP9153" s="2">
        <v>42746</v>
      </c>
      <c r="AQ9153" t="s">
        <v>72</v>
      </c>
      <c r="AR9153" t="s">
        <v>72</v>
      </c>
      <c r="AS9153">
        <v>1771</v>
      </c>
      <c r="AT9153" s="4">
        <v>42566</v>
      </c>
      <c r="AU9153" t="s">
        <v>73</v>
      </c>
      <c r="AV9153">
        <v>1771</v>
      </c>
      <c r="AW9153" s="4">
        <v>42566</v>
      </c>
      <c r="BD9153">
        <v>63.8</v>
      </c>
      <c r="BN9153" t="s">
        <v>74</v>
      </c>
    </row>
    <row r="9154" spans="1:66" hidden="1">
      <c r="A9154">
        <v>106570</v>
      </c>
      <c r="B9154" s="3" t="s">
        <v>802</v>
      </c>
      <c r="C9154" s="1">
        <v>43300101</v>
      </c>
      <c r="D9154" t="s">
        <v>67</v>
      </c>
      <c r="H9154" t="str">
        <f t="shared" si="957"/>
        <v>01617610629</v>
      </c>
      <c r="I9154" t="str">
        <f t="shared" si="957"/>
        <v>01617610629</v>
      </c>
      <c r="K9154" t="str">
        <f>""</f>
        <v/>
      </c>
      <c r="M9154" t="s">
        <v>68</v>
      </c>
      <c r="N9154" t="str">
        <f t="shared" si="958"/>
        <v>FOR</v>
      </c>
      <c r="O9154" t="s">
        <v>69</v>
      </c>
      <c r="P9154" s="3" t="s">
        <v>75</v>
      </c>
      <c r="Q9154">
        <v>2016</v>
      </c>
      <c r="R9154" s="2">
        <v>42427</v>
      </c>
      <c r="S9154" s="2">
        <v>42429</v>
      </c>
      <c r="T9154" s="2">
        <v>42427</v>
      </c>
      <c r="U9154" s="2">
        <v>42487</v>
      </c>
      <c r="V9154" t="s">
        <v>71</v>
      </c>
      <c r="W9154" t="str">
        <f>"        2016    23/a"</f>
        <v xml:space="preserve">        2016    23/a</v>
      </c>
      <c r="X9154">
        <v>305</v>
      </c>
      <c r="Y9154">
        <v>0</v>
      </c>
      <c r="Z9154"/>
      <c r="AB9154"/>
      <c r="AC9154">
        <v>250</v>
      </c>
      <c r="AD9154">
        <v>79</v>
      </c>
      <c r="AE9154" s="1">
        <v>19750</v>
      </c>
      <c r="AF9154">
        <v>55</v>
      </c>
      <c r="AJ9154">
        <v>0</v>
      </c>
      <c r="AK9154">
        <v>0</v>
      </c>
      <c r="AL9154">
        <v>0</v>
      </c>
      <c r="AM9154">
        <v>305</v>
      </c>
      <c r="AN9154">
        <v>305</v>
      </c>
      <c r="AO9154">
        <v>305</v>
      </c>
      <c r="AP9154" s="2">
        <v>42746</v>
      </c>
      <c r="AQ9154" t="s">
        <v>72</v>
      </c>
      <c r="AR9154" t="s">
        <v>72</v>
      </c>
      <c r="AS9154">
        <v>1771</v>
      </c>
      <c r="AT9154" s="4">
        <v>42566</v>
      </c>
      <c r="AU9154" t="s">
        <v>73</v>
      </c>
      <c r="AV9154">
        <v>1771</v>
      </c>
      <c r="AW9154" s="4">
        <v>42566</v>
      </c>
      <c r="BD9154">
        <v>55</v>
      </c>
      <c r="BN9154" t="s">
        <v>74</v>
      </c>
    </row>
    <row r="9155" spans="1:66" hidden="1">
      <c r="A9155">
        <v>106570</v>
      </c>
      <c r="B9155" s="3" t="s">
        <v>802</v>
      </c>
      <c r="C9155" s="1">
        <v>43300101</v>
      </c>
      <c r="D9155" t="s">
        <v>67</v>
      </c>
      <c r="H9155" t="str">
        <f t="shared" si="957"/>
        <v>01617610629</v>
      </c>
      <c r="I9155" t="str">
        <f t="shared" si="957"/>
        <v>01617610629</v>
      </c>
      <c r="K9155" t="str">
        <f>""</f>
        <v/>
      </c>
      <c r="M9155" t="s">
        <v>68</v>
      </c>
      <c r="N9155" t="str">
        <f t="shared" si="958"/>
        <v>FOR</v>
      </c>
      <c r="O9155" t="s">
        <v>69</v>
      </c>
      <c r="P9155" s="3" t="s">
        <v>75</v>
      </c>
      <c r="Q9155">
        <v>2016</v>
      </c>
      <c r="R9155" s="2">
        <v>42427</v>
      </c>
      <c r="S9155" s="2">
        <v>42436</v>
      </c>
      <c r="T9155" s="2">
        <v>42427</v>
      </c>
      <c r="U9155" s="2">
        <v>42487</v>
      </c>
      <c r="V9155" t="s">
        <v>71</v>
      </c>
      <c r="W9155" t="str">
        <f>"        2016    24/a"</f>
        <v xml:space="preserve">        2016    24/a</v>
      </c>
      <c r="X9155">
        <v>549</v>
      </c>
      <c r="Y9155">
        <v>0</v>
      </c>
      <c r="Z9155"/>
      <c r="AB9155"/>
      <c r="AC9155">
        <v>450</v>
      </c>
      <c r="AD9155">
        <v>79</v>
      </c>
      <c r="AE9155" s="1">
        <v>35550</v>
      </c>
      <c r="AF9155">
        <v>99</v>
      </c>
      <c r="AJ9155">
        <v>0</v>
      </c>
      <c r="AK9155">
        <v>0</v>
      </c>
      <c r="AL9155">
        <v>0</v>
      </c>
      <c r="AM9155">
        <v>549</v>
      </c>
      <c r="AN9155">
        <v>549</v>
      </c>
      <c r="AO9155">
        <v>549</v>
      </c>
      <c r="AP9155" s="2">
        <v>42746</v>
      </c>
      <c r="AQ9155" t="s">
        <v>72</v>
      </c>
      <c r="AR9155" t="s">
        <v>72</v>
      </c>
      <c r="AS9155">
        <v>1771</v>
      </c>
      <c r="AT9155" s="4">
        <v>42566</v>
      </c>
      <c r="AU9155" t="s">
        <v>73</v>
      </c>
      <c r="AV9155">
        <v>1771</v>
      </c>
      <c r="AW9155" s="4">
        <v>42566</v>
      </c>
      <c r="BD9155">
        <v>99</v>
      </c>
      <c r="BN9155" t="s">
        <v>74</v>
      </c>
    </row>
    <row r="9156" spans="1:66" hidden="1">
      <c r="A9156">
        <v>106570</v>
      </c>
      <c r="B9156" s="3" t="s">
        <v>802</v>
      </c>
      <c r="C9156" s="1">
        <v>43300101</v>
      </c>
      <c r="D9156" t="s">
        <v>67</v>
      </c>
      <c r="H9156" t="str">
        <f t="shared" si="957"/>
        <v>01617610629</v>
      </c>
      <c r="I9156" t="str">
        <f t="shared" si="957"/>
        <v>01617610629</v>
      </c>
      <c r="K9156" t="str">
        <f>""</f>
        <v/>
      </c>
      <c r="M9156" t="s">
        <v>68</v>
      </c>
      <c r="N9156" t="str">
        <f t="shared" si="958"/>
        <v>FOR</v>
      </c>
      <c r="O9156" t="s">
        <v>69</v>
      </c>
      <c r="P9156" s="3" t="s">
        <v>75</v>
      </c>
      <c r="Q9156">
        <v>2016</v>
      </c>
      <c r="R9156" s="2">
        <v>42427</v>
      </c>
      <c r="S9156" s="2">
        <v>42436</v>
      </c>
      <c r="T9156" s="2">
        <v>42427</v>
      </c>
      <c r="U9156" s="2">
        <v>42487</v>
      </c>
      <c r="V9156" t="s">
        <v>71</v>
      </c>
      <c r="W9156" t="str">
        <f>"        2016    25/a"</f>
        <v xml:space="preserve">        2016    25/a</v>
      </c>
      <c r="X9156">
        <v>42.7</v>
      </c>
      <c r="Y9156">
        <v>0</v>
      </c>
      <c r="Z9156"/>
      <c r="AB9156"/>
      <c r="AC9156">
        <v>35</v>
      </c>
      <c r="AD9156">
        <v>79</v>
      </c>
      <c r="AE9156" s="1">
        <v>2765</v>
      </c>
      <c r="AF9156">
        <v>7.7</v>
      </c>
      <c r="AJ9156">
        <v>0</v>
      </c>
      <c r="AK9156">
        <v>0</v>
      </c>
      <c r="AL9156">
        <v>0</v>
      </c>
      <c r="AM9156">
        <v>42.7</v>
      </c>
      <c r="AN9156">
        <v>42.7</v>
      </c>
      <c r="AO9156">
        <v>42.7</v>
      </c>
      <c r="AP9156" s="2">
        <v>42746</v>
      </c>
      <c r="AQ9156" t="s">
        <v>72</v>
      </c>
      <c r="AR9156" t="s">
        <v>72</v>
      </c>
      <c r="AS9156">
        <v>1771</v>
      </c>
      <c r="AT9156" s="4">
        <v>42566</v>
      </c>
      <c r="AU9156" t="s">
        <v>73</v>
      </c>
      <c r="AV9156">
        <v>1771</v>
      </c>
      <c r="AW9156" s="4">
        <v>42566</v>
      </c>
      <c r="BD9156">
        <v>7.7</v>
      </c>
      <c r="BN9156" t="s">
        <v>74</v>
      </c>
    </row>
    <row r="9157" spans="1:66" hidden="1">
      <c r="A9157">
        <v>106570</v>
      </c>
      <c r="B9157" s="3" t="s">
        <v>802</v>
      </c>
      <c r="C9157" s="1">
        <v>43300101</v>
      </c>
      <c r="D9157" t="s">
        <v>67</v>
      </c>
      <c r="H9157" t="str">
        <f t="shared" si="957"/>
        <v>01617610629</v>
      </c>
      <c r="I9157" t="str">
        <f t="shared" si="957"/>
        <v>01617610629</v>
      </c>
      <c r="K9157" t="str">
        <f>""</f>
        <v/>
      </c>
      <c r="M9157" t="s">
        <v>68</v>
      </c>
      <c r="N9157" t="str">
        <f t="shared" si="958"/>
        <v>FOR</v>
      </c>
      <c r="O9157" t="s">
        <v>69</v>
      </c>
      <c r="P9157" s="3" t="s">
        <v>75</v>
      </c>
      <c r="Q9157">
        <v>2016</v>
      </c>
      <c r="R9157" s="2">
        <v>42427</v>
      </c>
      <c r="S9157" s="2">
        <v>42436</v>
      </c>
      <c r="T9157" s="2">
        <v>42427</v>
      </c>
      <c r="U9157" s="2">
        <v>42487</v>
      </c>
      <c r="V9157" t="s">
        <v>71</v>
      </c>
      <c r="W9157" t="str">
        <f>"        2016    26/a"</f>
        <v xml:space="preserve">        2016    26/a</v>
      </c>
      <c r="X9157">
        <v>79.3</v>
      </c>
      <c r="Y9157">
        <v>0</v>
      </c>
      <c r="Z9157"/>
      <c r="AB9157"/>
      <c r="AC9157">
        <v>65</v>
      </c>
      <c r="AD9157">
        <v>79</v>
      </c>
      <c r="AE9157" s="1">
        <v>5135</v>
      </c>
      <c r="AF9157">
        <v>14.3</v>
      </c>
      <c r="AJ9157">
        <v>0</v>
      </c>
      <c r="AK9157">
        <v>0</v>
      </c>
      <c r="AL9157">
        <v>0</v>
      </c>
      <c r="AM9157">
        <v>79.3</v>
      </c>
      <c r="AN9157">
        <v>79.3</v>
      </c>
      <c r="AO9157">
        <v>79.3</v>
      </c>
      <c r="AP9157" s="2">
        <v>42746</v>
      </c>
      <c r="AQ9157" t="s">
        <v>72</v>
      </c>
      <c r="AR9157" t="s">
        <v>72</v>
      </c>
      <c r="AS9157">
        <v>1771</v>
      </c>
      <c r="AT9157" s="4">
        <v>42566</v>
      </c>
      <c r="AU9157" t="s">
        <v>73</v>
      </c>
      <c r="AV9157">
        <v>1771</v>
      </c>
      <c r="AW9157" s="4">
        <v>42566</v>
      </c>
      <c r="BD9157">
        <v>14.3</v>
      </c>
      <c r="BN9157" t="s">
        <v>74</v>
      </c>
    </row>
    <row r="9158" spans="1:66">
      <c r="A9158">
        <v>106570</v>
      </c>
      <c r="B9158" s="3" t="s">
        <v>802</v>
      </c>
      <c r="C9158" s="1">
        <v>43300101</v>
      </c>
      <c r="D9158" t="s">
        <v>67</v>
      </c>
      <c r="H9158" t="str">
        <f t="shared" si="957"/>
        <v>01617610629</v>
      </c>
      <c r="I9158" t="str">
        <f t="shared" si="957"/>
        <v>01617610629</v>
      </c>
      <c r="K9158" t="str">
        <f>""</f>
        <v/>
      </c>
      <c r="M9158" t="s">
        <v>68</v>
      </c>
      <c r="N9158" t="str">
        <f t="shared" si="958"/>
        <v>FOR</v>
      </c>
      <c r="O9158" t="s">
        <v>69</v>
      </c>
      <c r="P9158" s="3" t="s">
        <v>75</v>
      </c>
      <c r="Q9158">
        <v>2016</v>
      </c>
      <c r="R9158" s="2">
        <v>42448</v>
      </c>
      <c r="S9158" s="2">
        <v>42460</v>
      </c>
      <c r="T9158" s="2">
        <v>42448</v>
      </c>
      <c r="U9158" s="2">
        <v>42508</v>
      </c>
      <c r="V9158" t="s">
        <v>71</v>
      </c>
      <c r="W9158" t="str">
        <f>"        2016    27/a"</f>
        <v xml:space="preserve">        2016    27/a</v>
      </c>
      <c r="X9158">
        <v>732</v>
      </c>
      <c r="Y9158">
        <v>0</v>
      </c>
      <c r="Z9158" s="3">
        <v>600</v>
      </c>
      <c r="AA9158">
        <v>173</v>
      </c>
      <c r="AB9158" s="5">
        <v>103800</v>
      </c>
      <c r="AC9158">
        <v>600</v>
      </c>
      <c r="AD9158">
        <v>173</v>
      </c>
      <c r="AE9158" s="1">
        <v>103800</v>
      </c>
      <c r="AF9158">
        <v>132</v>
      </c>
      <c r="AJ9158">
        <v>0</v>
      </c>
      <c r="AK9158">
        <v>0</v>
      </c>
      <c r="AL9158">
        <v>0</v>
      </c>
      <c r="AM9158">
        <v>732</v>
      </c>
      <c r="AN9158">
        <v>732</v>
      </c>
      <c r="AO9158">
        <v>732</v>
      </c>
      <c r="AP9158" s="2">
        <v>42746</v>
      </c>
      <c r="AQ9158" t="s">
        <v>72</v>
      </c>
      <c r="AR9158" t="s">
        <v>72</v>
      </c>
      <c r="AS9158">
        <v>2946</v>
      </c>
      <c r="AT9158" s="4">
        <v>42681</v>
      </c>
      <c r="AU9158" t="s">
        <v>73</v>
      </c>
      <c r="AV9158">
        <v>2946</v>
      </c>
      <c r="AW9158" s="4">
        <v>42681</v>
      </c>
      <c r="BD9158">
        <v>132</v>
      </c>
      <c r="BN9158" t="s">
        <v>74</v>
      </c>
    </row>
    <row r="9159" spans="1:66">
      <c r="A9159">
        <v>106570</v>
      </c>
      <c r="B9159" s="3" t="s">
        <v>802</v>
      </c>
      <c r="C9159" s="1">
        <v>43300101</v>
      </c>
      <c r="D9159" t="s">
        <v>67</v>
      </c>
      <c r="H9159" t="str">
        <f t="shared" si="957"/>
        <v>01617610629</v>
      </c>
      <c r="I9159" t="str">
        <f t="shared" si="957"/>
        <v>01617610629</v>
      </c>
      <c r="K9159" t="str">
        <f>""</f>
        <v/>
      </c>
      <c r="M9159" t="s">
        <v>68</v>
      </c>
      <c r="N9159" t="str">
        <f t="shared" si="958"/>
        <v>FOR</v>
      </c>
      <c r="O9159" t="s">
        <v>69</v>
      </c>
      <c r="P9159" s="3" t="s">
        <v>75</v>
      </c>
      <c r="Q9159">
        <v>2016</v>
      </c>
      <c r="R9159" s="2">
        <v>42448</v>
      </c>
      <c r="S9159" s="2">
        <v>42460</v>
      </c>
      <c r="T9159" s="2">
        <v>42448</v>
      </c>
      <c r="U9159" s="2">
        <v>42508</v>
      </c>
      <c r="V9159" t="s">
        <v>71</v>
      </c>
      <c r="W9159" t="str">
        <f>"        2016    28/a"</f>
        <v xml:space="preserve">        2016    28/a</v>
      </c>
      <c r="X9159">
        <v>738.1</v>
      </c>
      <c r="Y9159">
        <v>0</v>
      </c>
      <c r="Z9159" s="3">
        <v>605</v>
      </c>
      <c r="AA9159">
        <v>173</v>
      </c>
      <c r="AB9159" s="5">
        <v>104665</v>
      </c>
      <c r="AC9159">
        <v>605</v>
      </c>
      <c r="AD9159">
        <v>173</v>
      </c>
      <c r="AE9159" s="1">
        <v>104665</v>
      </c>
      <c r="AF9159">
        <v>133.1</v>
      </c>
      <c r="AJ9159">
        <v>0</v>
      </c>
      <c r="AK9159">
        <v>0</v>
      </c>
      <c r="AL9159">
        <v>0</v>
      </c>
      <c r="AM9159">
        <v>738.1</v>
      </c>
      <c r="AN9159">
        <v>738.1</v>
      </c>
      <c r="AO9159">
        <v>738.1</v>
      </c>
      <c r="AP9159" s="2">
        <v>42746</v>
      </c>
      <c r="AQ9159" t="s">
        <v>72</v>
      </c>
      <c r="AR9159" t="s">
        <v>72</v>
      </c>
      <c r="AS9159">
        <v>2946</v>
      </c>
      <c r="AT9159" s="4">
        <v>42681</v>
      </c>
      <c r="AU9159" t="s">
        <v>73</v>
      </c>
      <c r="AV9159">
        <v>2946</v>
      </c>
      <c r="AW9159" s="4">
        <v>42681</v>
      </c>
      <c r="BD9159">
        <v>133.1</v>
      </c>
      <c r="BN9159" t="s">
        <v>74</v>
      </c>
    </row>
    <row r="9160" spans="1:66">
      <c r="A9160">
        <v>106570</v>
      </c>
      <c r="B9160" s="3" t="s">
        <v>802</v>
      </c>
      <c r="C9160" s="1">
        <v>43300101</v>
      </c>
      <c r="D9160" t="s">
        <v>67</v>
      </c>
      <c r="H9160" t="str">
        <f t="shared" ref="H9160:I9179" si="959">"01617610629"</f>
        <v>01617610629</v>
      </c>
      <c r="I9160" t="str">
        <f t="shared" si="959"/>
        <v>01617610629</v>
      </c>
      <c r="K9160" t="str">
        <f>""</f>
        <v/>
      </c>
      <c r="M9160" t="s">
        <v>68</v>
      </c>
      <c r="N9160" t="str">
        <f t="shared" si="958"/>
        <v>FOR</v>
      </c>
      <c r="O9160" t="s">
        <v>69</v>
      </c>
      <c r="P9160" s="3" t="s">
        <v>75</v>
      </c>
      <c r="Q9160">
        <v>2016</v>
      </c>
      <c r="R9160" s="2">
        <v>42448</v>
      </c>
      <c r="S9160" s="2">
        <v>42460</v>
      </c>
      <c r="T9160" s="2">
        <v>42448</v>
      </c>
      <c r="U9160" s="2">
        <v>42508</v>
      </c>
      <c r="V9160" t="s">
        <v>71</v>
      </c>
      <c r="W9160" t="str">
        <f>"        2016    29/a"</f>
        <v xml:space="preserve">        2016    29/a</v>
      </c>
      <c r="X9160">
        <v>146.4</v>
      </c>
      <c r="Y9160">
        <v>0</v>
      </c>
      <c r="Z9160" s="3">
        <v>120</v>
      </c>
      <c r="AA9160">
        <v>173</v>
      </c>
      <c r="AB9160" s="5">
        <v>20760</v>
      </c>
      <c r="AC9160">
        <v>120</v>
      </c>
      <c r="AD9160">
        <v>173</v>
      </c>
      <c r="AE9160" s="1">
        <v>20760</v>
      </c>
      <c r="AF9160">
        <v>26.4</v>
      </c>
      <c r="AJ9160">
        <v>0</v>
      </c>
      <c r="AK9160">
        <v>0</v>
      </c>
      <c r="AL9160">
        <v>0</v>
      </c>
      <c r="AM9160">
        <v>146.4</v>
      </c>
      <c r="AN9160">
        <v>146.4</v>
      </c>
      <c r="AO9160">
        <v>146.4</v>
      </c>
      <c r="AP9160" s="2">
        <v>42746</v>
      </c>
      <c r="AQ9160" t="s">
        <v>72</v>
      </c>
      <c r="AR9160" t="s">
        <v>72</v>
      </c>
      <c r="AS9160">
        <v>2946</v>
      </c>
      <c r="AT9160" s="4">
        <v>42681</v>
      </c>
      <c r="AU9160" t="s">
        <v>73</v>
      </c>
      <c r="AV9160">
        <v>2946</v>
      </c>
      <c r="AW9160" s="4">
        <v>42681</v>
      </c>
      <c r="BD9160">
        <v>26.4</v>
      </c>
      <c r="BN9160" t="s">
        <v>74</v>
      </c>
    </row>
    <row r="9161" spans="1:66">
      <c r="A9161">
        <v>106570</v>
      </c>
      <c r="B9161" s="3" t="s">
        <v>802</v>
      </c>
      <c r="C9161" s="1">
        <v>43300101</v>
      </c>
      <c r="D9161" t="s">
        <v>67</v>
      </c>
      <c r="H9161" t="str">
        <f t="shared" si="959"/>
        <v>01617610629</v>
      </c>
      <c r="I9161" t="str">
        <f t="shared" si="959"/>
        <v>01617610629</v>
      </c>
      <c r="K9161" t="str">
        <f>""</f>
        <v/>
      </c>
      <c r="M9161" t="s">
        <v>68</v>
      </c>
      <c r="N9161" t="str">
        <f t="shared" si="958"/>
        <v>FOR</v>
      </c>
      <c r="O9161" t="s">
        <v>69</v>
      </c>
      <c r="P9161" s="3" t="s">
        <v>75</v>
      </c>
      <c r="Q9161">
        <v>2016</v>
      </c>
      <c r="R9161" s="2">
        <v>42448</v>
      </c>
      <c r="S9161" s="2">
        <v>42460</v>
      </c>
      <c r="T9161" s="2">
        <v>42448</v>
      </c>
      <c r="U9161" s="2">
        <v>42508</v>
      </c>
      <c r="V9161" t="s">
        <v>71</v>
      </c>
      <c r="W9161" t="str">
        <f>"        2016    30/a"</f>
        <v xml:space="preserve">        2016    30/a</v>
      </c>
      <c r="X9161">
        <v>549</v>
      </c>
      <c r="Y9161">
        <v>0</v>
      </c>
      <c r="Z9161" s="3">
        <v>450</v>
      </c>
      <c r="AA9161">
        <v>173</v>
      </c>
      <c r="AB9161" s="5">
        <v>77850</v>
      </c>
      <c r="AC9161">
        <v>450</v>
      </c>
      <c r="AD9161">
        <v>173</v>
      </c>
      <c r="AE9161" s="1">
        <v>77850</v>
      </c>
      <c r="AF9161">
        <v>99</v>
      </c>
      <c r="AJ9161">
        <v>0</v>
      </c>
      <c r="AK9161">
        <v>0</v>
      </c>
      <c r="AL9161">
        <v>0</v>
      </c>
      <c r="AM9161">
        <v>549</v>
      </c>
      <c r="AN9161">
        <v>549</v>
      </c>
      <c r="AO9161">
        <v>549</v>
      </c>
      <c r="AP9161" s="2">
        <v>42746</v>
      </c>
      <c r="AQ9161" t="s">
        <v>72</v>
      </c>
      <c r="AR9161" t="s">
        <v>72</v>
      </c>
      <c r="AS9161">
        <v>2946</v>
      </c>
      <c r="AT9161" s="4">
        <v>42681</v>
      </c>
      <c r="AU9161" t="s">
        <v>73</v>
      </c>
      <c r="AV9161">
        <v>2946</v>
      </c>
      <c r="AW9161" s="4">
        <v>42681</v>
      </c>
      <c r="BD9161">
        <v>99</v>
      </c>
      <c r="BN9161" t="s">
        <v>74</v>
      </c>
    </row>
    <row r="9162" spans="1:66">
      <c r="A9162">
        <v>106570</v>
      </c>
      <c r="B9162" s="3" t="s">
        <v>802</v>
      </c>
      <c r="C9162" s="1">
        <v>43300101</v>
      </c>
      <c r="D9162" t="s">
        <v>67</v>
      </c>
      <c r="H9162" t="str">
        <f t="shared" si="959"/>
        <v>01617610629</v>
      </c>
      <c r="I9162" t="str">
        <f t="shared" si="959"/>
        <v>01617610629</v>
      </c>
      <c r="K9162" t="str">
        <f>""</f>
        <v/>
      </c>
      <c r="M9162" t="s">
        <v>68</v>
      </c>
      <c r="N9162" t="str">
        <f t="shared" si="958"/>
        <v>FOR</v>
      </c>
      <c r="O9162" t="s">
        <v>69</v>
      </c>
      <c r="P9162" s="3" t="s">
        <v>75</v>
      </c>
      <c r="Q9162">
        <v>2016</v>
      </c>
      <c r="R9162" s="2">
        <v>42448</v>
      </c>
      <c r="S9162" s="2">
        <v>42460</v>
      </c>
      <c r="T9162" s="2">
        <v>42448</v>
      </c>
      <c r="U9162" s="2">
        <v>42508</v>
      </c>
      <c r="V9162" t="s">
        <v>71</v>
      </c>
      <c r="W9162" t="str">
        <f>"        2016    31/a"</f>
        <v xml:space="preserve">        2016    31/a</v>
      </c>
      <c r="X9162">
        <v>234.24</v>
      </c>
      <c r="Y9162">
        <v>0</v>
      </c>
      <c r="Z9162" s="3">
        <v>192</v>
      </c>
      <c r="AA9162">
        <v>173</v>
      </c>
      <c r="AB9162" s="5">
        <v>33216</v>
      </c>
      <c r="AC9162">
        <v>192</v>
      </c>
      <c r="AD9162">
        <v>173</v>
      </c>
      <c r="AE9162" s="1">
        <v>33216</v>
      </c>
      <c r="AF9162">
        <v>42.24</v>
      </c>
      <c r="AJ9162">
        <v>0</v>
      </c>
      <c r="AK9162">
        <v>0</v>
      </c>
      <c r="AL9162">
        <v>0</v>
      </c>
      <c r="AM9162">
        <v>234.24</v>
      </c>
      <c r="AN9162">
        <v>234.24</v>
      </c>
      <c r="AO9162">
        <v>234.24</v>
      </c>
      <c r="AP9162" s="2">
        <v>42746</v>
      </c>
      <c r="AQ9162" t="s">
        <v>72</v>
      </c>
      <c r="AR9162" t="s">
        <v>72</v>
      </c>
      <c r="AS9162">
        <v>2946</v>
      </c>
      <c r="AT9162" s="4">
        <v>42681</v>
      </c>
      <c r="AU9162" t="s">
        <v>73</v>
      </c>
      <c r="AV9162">
        <v>2946</v>
      </c>
      <c r="AW9162" s="4">
        <v>42681</v>
      </c>
      <c r="BD9162">
        <v>42.24</v>
      </c>
      <c r="BN9162" t="s">
        <v>74</v>
      </c>
    </row>
    <row r="9163" spans="1:66">
      <c r="A9163">
        <v>106570</v>
      </c>
      <c r="B9163" s="3" t="s">
        <v>802</v>
      </c>
      <c r="C9163" s="1">
        <v>43300101</v>
      </c>
      <c r="D9163" t="s">
        <v>67</v>
      </c>
      <c r="H9163" t="str">
        <f t="shared" si="959"/>
        <v>01617610629</v>
      </c>
      <c r="I9163" t="str">
        <f t="shared" si="959"/>
        <v>01617610629</v>
      </c>
      <c r="K9163" t="str">
        <f>""</f>
        <v/>
      </c>
      <c r="M9163" t="s">
        <v>68</v>
      </c>
      <c r="N9163" t="str">
        <f t="shared" si="958"/>
        <v>FOR</v>
      </c>
      <c r="O9163" t="s">
        <v>69</v>
      </c>
      <c r="P9163" s="3" t="s">
        <v>75</v>
      </c>
      <c r="Q9163">
        <v>2016</v>
      </c>
      <c r="R9163" s="2">
        <v>42448</v>
      </c>
      <c r="S9163" s="2">
        <v>42460</v>
      </c>
      <c r="T9163" s="2">
        <v>42448</v>
      </c>
      <c r="U9163" s="2">
        <v>42508</v>
      </c>
      <c r="V9163" t="s">
        <v>71</v>
      </c>
      <c r="W9163" t="str">
        <f>"        2016    32/a"</f>
        <v xml:space="preserve">        2016    32/a</v>
      </c>
      <c r="X9163">
        <v>512.4</v>
      </c>
      <c r="Y9163">
        <v>0</v>
      </c>
      <c r="Z9163" s="3">
        <v>420</v>
      </c>
      <c r="AA9163">
        <v>173</v>
      </c>
      <c r="AB9163" s="5">
        <v>72660</v>
      </c>
      <c r="AC9163">
        <v>420</v>
      </c>
      <c r="AD9163">
        <v>173</v>
      </c>
      <c r="AE9163" s="1">
        <v>72660</v>
      </c>
      <c r="AF9163">
        <v>92.4</v>
      </c>
      <c r="AJ9163">
        <v>0</v>
      </c>
      <c r="AK9163">
        <v>0</v>
      </c>
      <c r="AL9163">
        <v>0</v>
      </c>
      <c r="AM9163">
        <v>512.4</v>
      </c>
      <c r="AN9163">
        <v>512.4</v>
      </c>
      <c r="AO9163">
        <v>512.4</v>
      </c>
      <c r="AP9163" s="2">
        <v>42746</v>
      </c>
      <c r="AQ9163" t="s">
        <v>72</v>
      </c>
      <c r="AR9163" t="s">
        <v>72</v>
      </c>
      <c r="AS9163">
        <v>2946</v>
      </c>
      <c r="AT9163" s="4">
        <v>42681</v>
      </c>
      <c r="AU9163" t="s">
        <v>73</v>
      </c>
      <c r="AV9163">
        <v>2946</v>
      </c>
      <c r="AW9163" s="4">
        <v>42681</v>
      </c>
      <c r="BD9163">
        <v>92.4</v>
      </c>
      <c r="BN9163" t="s">
        <v>74</v>
      </c>
    </row>
    <row r="9164" spans="1:66" hidden="1">
      <c r="A9164">
        <v>106570</v>
      </c>
      <c r="B9164" s="3" t="s">
        <v>802</v>
      </c>
      <c r="C9164" s="1">
        <v>43300101</v>
      </c>
      <c r="D9164" t="s">
        <v>67</v>
      </c>
      <c r="H9164" t="str">
        <f t="shared" si="959"/>
        <v>01617610629</v>
      </c>
      <c r="I9164" t="str">
        <f t="shared" si="959"/>
        <v>01617610629</v>
      </c>
      <c r="K9164" t="str">
        <f>""</f>
        <v/>
      </c>
      <c r="M9164" t="s">
        <v>68</v>
      </c>
      <c r="N9164" t="str">
        <f t="shared" si="958"/>
        <v>FOR</v>
      </c>
      <c r="O9164" t="s">
        <v>69</v>
      </c>
      <c r="P9164" s="3" t="s">
        <v>75</v>
      </c>
      <c r="Q9164">
        <v>2016</v>
      </c>
      <c r="R9164" s="2">
        <v>42448</v>
      </c>
      <c r="S9164" s="2">
        <v>42460</v>
      </c>
      <c r="T9164" s="2">
        <v>42448</v>
      </c>
      <c r="U9164" s="2">
        <v>42508</v>
      </c>
      <c r="V9164" t="s">
        <v>71</v>
      </c>
      <c r="W9164" t="str">
        <f>"        2016    33/a"</f>
        <v xml:space="preserve">        2016    33/a</v>
      </c>
      <c r="X9164">
        <v>256.2</v>
      </c>
      <c r="Y9164">
        <v>0</v>
      </c>
      <c r="Z9164"/>
      <c r="AB9164"/>
      <c r="AC9164">
        <v>210</v>
      </c>
      <c r="AD9164">
        <v>58</v>
      </c>
      <c r="AE9164" s="1">
        <v>12180</v>
      </c>
      <c r="AF9164">
        <v>46.2</v>
      </c>
      <c r="AJ9164">
        <v>0</v>
      </c>
      <c r="AK9164">
        <v>0</v>
      </c>
      <c r="AL9164">
        <v>0</v>
      </c>
      <c r="AM9164">
        <v>256.2</v>
      </c>
      <c r="AN9164">
        <v>256.2</v>
      </c>
      <c r="AO9164">
        <v>256.2</v>
      </c>
      <c r="AP9164" s="2">
        <v>42746</v>
      </c>
      <c r="AQ9164" t="s">
        <v>72</v>
      </c>
      <c r="AR9164" t="s">
        <v>72</v>
      </c>
      <c r="AS9164">
        <v>1771</v>
      </c>
      <c r="AT9164" s="4">
        <v>42566</v>
      </c>
      <c r="AU9164" t="s">
        <v>73</v>
      </c>
      <c r="AV9164">
        <v>1771</v>
      </c>
      <c r="AW9164" s="4">
        <v>42566</v>
      </c>
      <c r="BD9164">
        <v>46.2</v>
      </c>
      <c r="BN9164" t="s">
        <v>74</v>
      </c>
    </row>
    <row r="9165" spans="1:66" hidden="1">
      <c r="A9165">
        <v>106570</v>
      </c>
      <c r="B9165" s="3" t="s">
        <v>802</v>
      </c>
      <c r="C9165" s="1">
        <v>43300101</v>
      </c>
      <c r="D9165" t="s">
        <v>67</v>
      </c>
      <c r="H9165" t="str">
        <f t="shared" si="959"/>
        <v>01617610629</v>
      </c>
      <c r="I9165" t="str">
        <f t="shared" si="959"/>
        <v>01617610629</v>
      </c>
      <c r="K9165" t="str">
        <f>""</f>
        <v/>
      </c>
      <c r="M9165" t="s">
        <v>68</v>
      </c>
      <c r="N9165" t="str">
        <f t="shared" si="958"/>
        <v>FOR</v>
      </c>
      <c r="O9165" t="s">
        <v>69</v>
      </c>
      <c r="P9165" s="3" t="s">
        <v>75</v>
      </c>
      <c r="Q9165">
        <v>2016</v>
      </c>
      <c r="R9165" s="2">
        <v>42448</v>
      </c>
      <c r="S9165" s="2">
        <v>42460</v>
      </c>
      <c r="T9165" s="2">
        <v>42448</v>
      </c>
      <c r="U9165" s="2">
        <v>42508</v>
      </c>
      <c r="V9165" t="s">
        <v>71</v>
      </c>
      <c r="W9165" t="str">
        <f>"        2016    34/a"</f>
        <v xml:space="preserve">        2016    34/a</v>
      </c>
      <c r="X9165">
        <v>366</v>
      </c>
      <c r="Y9165">
        <v>0</v>
      </c>
      <c r="Z9165"/>
      <c r="AB9165"/>
      <c r="AC9165">
        <v>300</v>
      </c>
      <c r="AD9165">
        <v>58</v>
      </c>
      <c r="AE9165" s="1">
        <v>17400</v>
      </c>
      <c r="AF9165">
        <v>66</v>
      </c>
      <c r="AJ9165">
        <v>0</v>
      </c>
      <c r="AK9165">
        <v>0</v>
      </c>
      <c r="AL9165">
        <v>0</v>
      </c>
      <c r="AM9165">
        <v>366</v>
      </c>
      <c r="AN9165">
        <v>366</v>
      </c>
      <c r="AO9165">
        <v>366</v>
      </c>
      <c r="AP9165" s="2">
        <v>42746</v>
      </c>
      <c r="AQ9165" t="s">
        <v>72</v>
      </c>
      <c r="AR9165" t="s">
        <v>72</v>
      </c>
      <c r="AS9165">
        <v>1771</v>
      </c>
      <c r="AT9165" s="4">
        <v>42566</v>
      </c>
      <c r="AU9165" t="s">
        <v>73</v>
      </c>
      <c r="AV9165">
        <v>1771</v>
      </c>
      <c r="AW9165" s="4">
        <v>42566</v>
      </c>
      <c r="BD9165">
        <v>66</v>
      </c>
      <c r="BN9165" t="s">
        <v>74</v>
      </c>
    </row>
    <row r="9166" spans="1:66" hidden="1">
      <c r="A9166">
        <v>106570</v>
      </c>
      <c r="B9166" s="3" t="s">
        <v>802</v>
      </c>
      <c r="C9166" s="1">
        <v>43300101</v>
      </c>
      <c r="D9166" t="s">
        <v>67</v>
      </c>
      <c r="H9166" t="str">
        <f t="shared" si="959"/>
        <v>01617610629</v>
      </c>
      <c r="I9166" t="str">
        <f t="shared" si="959"/>
        <v>01617610629</v>
      </c>
      <c r="K9166" t="str">
        <f>""</f>
        <v/>
      </c>
      <c r="M9166" t="s">
        <v>68</v>
      </c>
      <c r="N9166" t="str">
        <f t="shared" si="958"/>
        <v>FOR</v>
      </c>
      <c r="O9166" t="s">
        <v>69</v>
      </c>
      <c r="P9166" s="3" t="s">
        <v>75</v>
      </c>
      <c r="Q9166">
        <v>2016</v>
      </c>
      <c r="R9166" s="2">
        <v>42448</v>
      </c>
      <c r="S9166" s="2">
        <v>42460</v>
      </c>
      <c r="T9166" s="2">
        <v>42448</v>
      </c>
      <c r="U9166" s="2">
        <v>42508</v>
      </c>
      <c r="V9166" t="s">
        <v>71</v>
      </c>
      <c r="W9166" t="str">
        <f>"        2016    35/a"</f>
        <v xml:space="preserve">        2016    35/a</v>
      </c>
      <c r="X9166">
        <v>353.8</v>
      </c>
      <c r="Y9166">
        <v>0</v>
      </c>
      <c r="Z9166"/>
      <c r="AB9166"/>
      <c r="AC9166">
        <v>290</v>
      </c>
      <c r="AD9166">
        <v>58</v>
      </c>
      <c r="AE9166" s="1">
        <v>16820</v>
      </c>
      <c r="AF9166">
        <v>63.8</v>
      </c>
      <c r="AJ9166">
        <v>0</v>
      </c>
      <c r="AK9166">
        <v>0</v>
      </c>
      <c r="AL9166">
        <v>0</v>
      </c>
      <c r="AM9166">
        <v>353.8</v>
      </c>
      <c r="AN9166">
        <v>353.8</v>
      </c>
      <c r="AO9166">
        <v>353.8</v>
      </c>
      <c r="AP9166" s="2">
        <v>42746</v>
      </c>
      <c r="AQ9166" t="s">
        <v>72</v>
      </c>
      <c r="AR9166" t="s">
        <v>72</v>
      </c>
      <c r="AS9166">
        <v>1771</v>
      </c>
      <c r="AT9166" s="4">
        <v>42566</v>
      </c>
      <c r="AU9166" t="s">
        <v>73</v>
      </c>
      <c r="AV9166">
        <v>1771</v>
      </c>
      <c r="AW9166" s="4">
        <v>42566</v>
      </c>
      <c r="BD9166">
        <v>63.8</v>
      </c>
      <c r="BN9166" t="s">
        <v>74</v>
      </c>
    </row>
    <row r="9167" spans="1:66" hidden="1">
      <c r="A9167">
        <v>106570</v>
      </c>
      <c r="B9167" s="3" t="s">
        <v>802</v>
      </c>
      <c r="C9167" s="1">
        <v>43300101</v>
      </c>
      <c r="D9167" t="s">
        <v>67</v>
      </c>
      <c r="H9167" t="str">
        <f t="shared" si="959"/>
        <v>01617610629</v>
      </c>
      <c r="I9167" t="str">
        <f t="shared" si="959"/>
        <v>01617610629</v>
      </c>
      <c r="K9167" t="str">
        <f>""</f>
        <v/>
      </c>
      <c r="M9167" t="s">
        <v>68</v>
      </c>
      <c r="N9167" t="str">
        <f t="shared" si="958"/>
        <v>FOR</v>
      </c>
      <c r="O9167" t="s">
        <v>69</v>
      </c>
      <c r="P9167" s="3" t="s">
        <v>75</v>
      </c>
      <c r="Q9167">
        <v>2016</v>
      </c>
      <c r="R9167" s="2">
        <v>42448</v>
      </c>
      <c r="S9167" s="2">
        <v>42460</v>
      </c>
      <c r="T9167" s="2">
        <v>42448</v>
      </c>
      <c r="U9167" s="2">
        <v>42508</v>
      </c>
      <c r="V9167" t="s">
        <v>71</v>
      </c>
      <c r="W9167" t="str">
        <f>"        2016    36/a"</f>
        <v xml:space="preserve">        2016    36/a</v>
      </c>
      <c r="X9167">
        <v>230.58</v>
      </c>
      <c r="Y9167">
        <v>0</v>
      </c>
      <c r="Z9167"/>
      <c r="AB9167"/>
      <c r="AC9167">
        <v>189</v>
      </c>
      <c r="AD9167">
        <v>58</v>
      </c>
      <c r="AE9167" s="1">
        <v>10962</v>
      </c>
      <c r="AF9167">
        <v>41.58</v>
      </c>
      <c r="AJ9167">
        <v>0</v>
      </c>
      <c r="AK9167">
        <v>0</v>
      </c>
      <c r="AL9167">
        <v>0</v>
      </c>
      <c r="AM9167">
        <v>230.58</v>
      </c>
      <c r="AN9167">
        <v>230.58</v>
      </c>
      <c r="AO9167">
        <v>230.58</v>
      </c>
      <c r="AP9167" s="2">
        <v>42746</v>
      </c>
      <c r="AQ9167" t="s">
        <v>72</v>
      </c>
      <c r="AR9167" t="s">
        <v>72</v>
      </c>
      <c r="AS9167">
        <v>1771</v>
      </c>
      <c r="AT9167" s="4">
        <v>42566</v>
      </c>
      <c r="AU9167" t="s">
        <v>73</v>
      </c>
      <c r="AV9167">
        <v>1771</v>
      </c>
      <c r="AW9167" s="4">
        <v>42566</v>
      </c>
      <c r="BD9167">
        <v>41.58</v>
      </c>
      <c r="BN9167" t="s">
        <v>74</v>
      </c>
    </row>
    <row r="9168" spans="1:66" hidden="1">
      <c r="A9168">
        <v>106570</v>
      </c>
      <c r="B9168" s="3" t="s">
        <v>802</v>
      </c>
      <c r="C9168" s="1">
        <v>43300101</v>
      </c>
      <c r="D9168" t="s">
        <v>67</v>
      </c>
      <c r="H9168" t="str">
        <f t="shared" si="959"/>
        <v>01617610629</v>
      </c>
      <c r="I9168" t="str">
        <f t="shared" si="959"/>
        <v>01617610629</v>
      </c>
      <c r="K9168" t="str">
        <f>""</f>
        <v/>
      </c>
      <c r="M9168" t="s">
        <v>68</v>
      </c>
      <c r="N9168" t="str">
        <f t="shared" si="958"/>
        <v>FOR</v>
      </c>
      <c r="O9168" t="s">
        <v>69</v>
      </c>
      <c r="P9168" s="3" t="s">
        <v>75</v>
      </c>
      <c r="Q9168">
        <v>2016</v>
      </c>
      <c r="R9168" s="2">
        <v>42448</v>
      </c>
      <c r="S9168" s="2">
        <v>42460</v>
      </c>
      <c r="T9168" s="2">
        <v>42448</v>
      </c>
      <c r="U9168" s="2">
        <v>42508</v>
      </c>
      <c r="V9168" t="s">
        <v>71</v>
      </c>
      <c r="W9168" t="str">
        <f>"        2016    37/a"</f>
        <v xml:space="preserve">        2016    37/a</v>
      </c>
      <c r="X9168">
        <v>103.7</v>
      </c>
      <c r="Y9168">
        <v>0</v>
      </c>
      <c r="Z9168"/>
      <c r="AB9168"/>
      <c r="AC9168">
        <v>85</v>
      </c>
      <c r="AD9168">
        <v>58</v>
      </c>
      <c r="AE9168" s="1">
        <v>4930</v>
      </c>
      <c r="AF9168">
        <v>18.7</v>
      </c>
      <c r="AJ9168">
        <v>0</v>
      </c>
      <c r="AK9168">
        <v>0</v>
      </c>
      <c r="AL9168">
        <v>0</v>
      </c>
      <c r="AM9168">
        <v>103.7</v>
      </c>
      <c r="AN9168">
        <v>103.7</v>
      </c>
      <c r="AO9168">
        <v>103.7</v>
      </c>
      <c r="AP9168" s="2">
        <v>42746</v>
      </c>
      <c r="AQ9168" t="s">
        <v>72</v>
      </c>
      <c r="AR9168" t="s">
        <v>72</v>
      </c>
      <c r="AS9168">
        <v>1771</v>
      </c>
      <c r="AT9168" s="4">
        <v>42566</v>
      </c>
      <c r="AU9168" t="s">
        <v>73</v>
      </c>
      <c r="AV9168">
        <v>1771</v>
      </c>
      <c r="AW9168" s="4">
        <v>42566</v>
      </c>
      <c r="BD9168">
        <v>18.7</v>
      </c>
      <c r="BN9168" t="s">
        <v>74</v>
      </c>
    </row>
    <row r="9169" spans="1:66">
      <c r="A9169">
        <v>106570</v>
      </c>
      <c r="B9169" s="3" t="s">
        <v>802</v>
      </c>
      <c r="C9169" s="1">
        <v>43300101</v>
      </c>
      <c r="D9169" t="s">
        <v>67</v>
      </c>
      <c r="H9169" t="str">
        <f t="shared" si="959"/>
        <v>01617610629</v>
      </c>
      <c r="I9169" t="str">
        <f t="shared" si="959"/>
        <v>01617610629</v>
      </c>
      <c r="K9169" t="str">
        <f>""</f>
        <v/>
      </c>
      <c r="M9169" t="s">
        <v>68</v>
      </c>
      <c r="N9169" t="str">
        <f t="shared" si="958"/>
        <v>FOR</v>
      </c>
      <c r="O9169" t="s">
        <v>69</v>
      </c>
      <c r="P9169" s="3" t="s">
        <v>75</v>
      </c>
      <c r="Q9169">
        <v>2016</v>
      </c>
      <c r="R9169" s="2">
        <v>42458</v>
      </c>
      <c r="S9169" s="2">
        <v>42461</v>
      </c>
      <c r="T9169" s="2">
        <v>42458</v>
      </c>
      <c r="U9169" s="2">
        <v>42518</v>
      </c>
      <c r="V9169" t="s">
        <v>71</v>
      </c>
      <c r="W9169" t="str">
        <f>"        2016    38/a"</f>
        <v xml:space="preserve">        2016    38/a</v>
      </c>
      <c r="X9169">
        <v>307.44</v>
      </c>
      <c r="Y9169">
        <v>0</v>
      </c>
      <c r="Z9169" s="3">
        <v>252</v>
      </c>
      <c r="AA9169">
        <v>163</v>
      </c>
      <c r="AB9169" s="5">
        <v>41076</v>
      </c>
      <c r="AC9169">
        <v>252</v>
      </c>
      <c r="AD9169">
        <v>163</v>
      </c>
      <c r="AE9169" s="1">
        <v>41076</v>
      </c>
      <c r="AF9169">
        <v>55.44</v>
      </c>
      <c r="AJ9169">
        <v>0</v>
      </c>
      <c r="AK9169">
        <v>0</v>
      </c>
      <c r="AL9169">
        <v>0</v>
      </c>
      <c r="AM9169">
        <v>307.44</v>
      </c>
      <c r="AN9169">
        <v>307.44</v>
      </c>
      <c r="AO9169">
        <v>307.44</v>
      </c>
      <c r="AP9169" s="2">
        <v>42746</v>
      </c>
      <c r="AQ9169" t="s">
        <v>72</v>
      </c>
      <c r="AR9169" t="s">
        <v>72</v>
      </c>
      <c r="AS9169">
        <v>2946</v>
      </c>
      <c r="AT9169" s="4">
        <v>42681</v>
      </c>
      <c r="AU9169" t="s">
        <v>73</v>
      </c>
      <c r="AV9169">
        <v>2946</v>
      </c>
      <c r="AW9169" s="4">
        <v>42681</v>
      </c>
      <c r="BD9169">
        <v>55.44</v>
      </c>
      <c r="BN9169" t="s">
        <v>74</v>
      </c>
    </row>
    <row r="9170" spans="1:66">
      <c r="A9170">
        <v>106570</v>
      </c>
      <c r="B9170" s="3" t="s">
        <v>802</v>
      </c>
      <c r="C9170" s="1">
        <v>43300101</v>
      </c>
      <c r="D9170" t="s">
        <v>67</v>
      </c>
      <c r="H9170" t="str">
        <f t="shared" si="959"/>
        <v>01617610629</v>
      </c>
      <c r="I9170" t="str">
        <f t="shared" si="959"/>
        <v>01617610629</v>
      </c>
      <c r="K9170" t="str">
        <f>""</f>
        <v/>
      </c>
      <c r="M9170" t="s">
        <v>68</v>
      </c>
      <c r="N9170" t="str">
        <f t="shared" si="958"/>
        <v>FOR</v>
      </c>
      <c r="O9170" t="s">
        <v>69</v>
      </c>
      <c r="P9170" s="3" t="s">
        <v>75</v>
      </c>
      <c r="Q9170">
        <v>2016</v>
      </c>
      <c r="R9170" s="2">
        <v>42458</v>
      </c>
      <c r="S9170" s="2">
        <v>42461</v>
      </c>
      <c r="T9170" s="2">
        <v>42458</v>
      </c>
      <c r="U9170" s="2">
        <v>42518</v>
      </c>
      <c r="V9170" t="s">
        <v>71</v>
      </c>
      <c r="W9170" t="str">
        <f>"        2016    39/a"</f>
        <v xml:space="preserve">        2016    39/a</v>
      </c>
      <c r="X9170">
        <v>292.8</v>
      </c>
      <c r="Y9170">
        <v>0</v>
      </c>
      <c r="Z9170" s="3">
        <v>240</v>
      </c>
      <c r="AA9170">
        <v>163</v>
      </c>
      <c r="AB9170" s="5">
        <v>39120</v>
      </c>
      <c r="AC9170">
        <v>240</v>
      </c>
      <c r="AD9170">
        <v>163</v>
      </c>
      <c r="AE9170" s="1">
        <v>39120</v>
      </c>
      <c r="AF9170">
        <v>52.8</v>
      </c>
      <c r="AJ9170">
        <v>0</v>
      </c>
      <c r="AK9170">
        <v>0</v>
      </c>
      <c r="AL9170">
        <v>0</v>
      </c>
      <c r="AM9170">
        <v>292.8</v>
      </c>
      <c r="AN9170">
        <v>292.8</v>
      </c>
      <c r="AO9170">
        <v>292.8</v>
      </c>
      <c r="AP9170" s="2">
        <v>42746</v>
      </c>
      <c r="AQ9170" t="s">
        <v>72</v>
      </c>
      <c r="AR9170" t="s">
        <v>72</v>
      </c>
      <c r="AS9170">
        <v>2946</v>
      </c>
      <c r="AT9170" s="4">
        <v>42681</v>
      </c>
      <c r="AU9170" t="s">
        <v>73</v>
      </c>
      <c r="AV9170">
        <v>2946</v>
      </c>
      <c r="AW9170" s="4">
        <v>42681</v>
      </c>
      <c r="BD9170">
        <v>52.8</v>
      </c>
      <c r="BN9170" t="s">
        <v>74</v>
      </c>
    </row>
    <row r="9171" spans="1:66">
      <c r="A9171">
        <v>106570</v>
      </c>
      <c r="B9171" s="3" t="s">
        <v>802</v>
      </c>
      <c r="C9171" s="1">
        <v>43300101</v>
      </c>
      <c r="D9171" t="s">
        <v>67</v>
      </c>
      <c r="H9171" t="str">
        <f t="shared" si="959"/>
        <v>01617610629</v>
      </c>
      <c r="I9171" t="str">
        <f t="shared" si="959"/>
        <v>01617610629</v>
      </c>
      <c r="K9171" t="str">
        <f>""</f>
        <v/>
      </c>
      <c r="M9171" t="s">
        <v>68</v>
      </c>
      <c r="N9171" t="str">
        <f t="shared" si="958"/>
        <v>FOR</v>
      </c>
      <c r="O9171" t="s">
        <v>69</v>
      </c>
      <c r="P9171" s="3" t="s">
        <v>75</v>
      </c>
      <c r="Q9171">
        <v>2016</v>
      </c>
      <c r="R9171" s="2">
        <v>42458</v>
      </c>
      <c r="S9171" s="2">
        <v>42461</v>
      </c>
      <c r="T9171" s="2">
        <v>42458</v>
      </c>
      <c r="U9171" s="2">
        <v>42518</v>
      </c>
      <c r="V9171" t="s">
        <v>71</v>
      </c>
      <c r="W9171" t="str">
        <f>"        2016    40/a"</f>
        <v xml:space="preserve">        2016    40/a</v>
      </c>
      <c r="X9171">
        <v>292.8</v>
      </c>
      <c r="Y9171">
        <v>0</v>
      </c>
      <c r="Z9171" s="3">
        <v>240</v>
      </c>
      <c r="AA9171">
        <v>163</v>
      </c>
      <c r="AB9171" s="5">
        <v>39120</v>
      </c>
      <c r="AC9171">
        <v>240</v>
      </c>
      <c r="AD9171">
        <v>163</v>
      </c>
      <c r="AE9171" s="1">
        <v>39120</v>
      </c>
      <c r="AF9171">
        <v>52.8</v>
      </c>
      <c r="AJ9171">
        <v>0</v>
      </c>
      <c r="AK9171">
        <v>0</v>
      </c>
      <c r="AL9171">
        <v>0</v>
      </c>
      <c r="AM9171">
        <v>292.8</v>
      </c>
      <c r="AN9171">
        <v>292.8</v>
      </c>
      <c r="AO9171">
        <v>292.8</v>
      </c>
      <c r="AP9171" s="2">
        <v>42746</v>
      </c>
      <c r="AQ9171" t="s">
        <v>72</v>
      </c>
      <c r="AR9171" t="s">
        <v>72</v>
      </c>
      <c r="AS9171">
        <v>2946</v>
      </c>
      <c r="AT9171" s="4">
        <v>42681</v>
      </c>
      <c r="AU9171" t="s">
        <v>73</v>
      </c>
      <c r="AV9171">
        <v>2946</v>
      </c>
      <c r="AW9171" s="4">
        <v>42681</v>
      </c>
      <c r="BD9171">
        <v>52.8</v>
      </c>
      <c r="BN9171" t="s">
        <v>74</v>
      </c>
    </row>
    <row r="9172" spans="1:66">
      <c r="A9172">
        <v>106570</v>
      </c>
      <c r="B9172" s="3" t="s">
        <v>802</v>
      </c>
      <c r="C9172" s="1">
        <v>43300101</v>
      </c>
      <c r="D9172" t="s">
        <v>67</v>
      </c>
      <c r="H9172" t="str">
        <f t="shared" si="959"/>
        <v>01617610629</v>
      </c>
      <c r="I9172" t="str">
        <f t="shared" si="959"/>
        <v>01617610629</v>
      </c>
      <c r="K9172" t="str">
        <f>""</f>
        <v/>
      </c>
      <c r="M9172" t="s">
        <v>68</v>
      </c>
      <c r="N9172" t="str">
        <f t="shared" si="958"/>
        <v>FOR</v>
      </c>
      <c r="O9172" t="s">
        <v>69</v>
      </c>
      <c r="P9172" s="3" t="s">
        <v>75</v>
      </c>
      <c r="Q9172">
        <v>2016</v>
      </c>
      <c r="R9172" s="2">
        <v>42458</v>
      </c>
      <c r="S9172" s="2">
        <v>42461</v>
      </c>
      <c r="T9172" s="2">
        <v>42458</v>
      </c>
      <c r="U9172" s="2">
        <v>42518</v>
      </c>
      <c r="V9172" t="s">
        <v>71</v>
      </c>
      <c r="W9172" t="str">
        <f>"        2016    41/a"</f>
        <v xml:space="preserve">        2016    41/a</v>
      </c>
      <c r="X9172">
        <v>305</v>
      </c>
      <c r="Y9172">
        <v>0</v>
      </c>
      <c r="Z9172" s="3">
        <v>250</v>
      </c>
      <c r="AA9172">
        <v>163</v>
      </c>
      <c r="AB9172" s="5">
        <v>40750</v>
      </c>
      <c r="AC9172">
        <v>250</v>
      </c>
      <c r="AD9172">
        <v>163</v>
      </c>
      <c r="AE9172" s="1">
        <v>40750</v>
      </c>
      <c r="AF9172">
        <v>55</v>
      </c>
      <c r="AJ9172">
        <v>0</v>
      </c>
      <c r="AK9172">
        <v>0</v>
      </c>
      <c r="AL9172">
        <v>0</v>
      </c>
      <c r="AM9172">
        <v>305</v>
      </c>
      <c r="AN9172">
        <v>305</v>
      </c>
      <c r="AO9172">
        <v>305</v>
      </c>
      <c r="AP9172" s="2">
        <v>42746</v>
      </c>
      <c r="AQ9172" t="s">
        <v>72</v>
      </c>
      <c r="AR9172" t="s">
        <v>72</v>
      </c>
      <c r="AS9172">
        <v>2946</v>
      </c>
      <c r="AT9172" s="4">
        <v>42681</v>
      </c>
      <c r="AU9172" t="s">
        <v>73</v>
      </c>
      <c r="AV9172">
        <v>2946</v>
      </c>
      <c r="AW9172" s="4">
        <v>42681</v>
      </c>
      <c r="BD9172">
        <v>55</v>
      </c>
      <c r="BN9172" t="s">
        <v>74</v>
      </c>
    </row>
    <row r="9173" spans="1:66">
      <c r="A9173">
        <v>106570</v>
      </c>
      <c r="B9173" s="3" t="s">
        <v>802</v>
      </c>
      <c r="C9173" s="1">
        <v>43300101</v>
      </c>
      <c r="D9173" t="s">
        <v>67</v>
      </c>
      <c r="H9173" t="str">
        <f t="shared" si="959"/>
        <v>01617610629</v>
      </c>
      <c r="I9173" t="str">
        <f t="shared" si="959"/>
        <v>01617610629</v>
      </c>
      <c r="K9173" t="str">
        <f>""</f>
        <v/>
      </c>
      <c r="M9173" t="s">
        <v>68</v>
      </c>
      <c r="N9173" t="str">
        <f t="shared" si="958"/>
        <v>FOR</v>
      </c>
      <c r="O9173" t="s">
        <v>69</v>
      </c>
      <c r="P9173" s="3" t="s">
        <v>75</v>
      </c>
      <c r="Q9173">
        <v>2016</v>
      </c>
      <c r="R9173" s="2">
        <v>42458</v>
      </c>
      <c r="S9173" s="2">
        <v>42461</v>
      </c>
      <c r="T9173" s="2">
        <v>42458</v>
      </c>
      <c r="U9173" s="2">
        <v>42518</v>
      </c>
      <c r="V9173" t="s">
        <v>71</v>
      </c>
      <c r="W9173" t="str">
        <f>"        2016    42/a"</f>
        <v xml:space="preserve">        2016    42/a</v>
      </c>
      <c r="X9173">
        <v>512.4</v>
      </c>
      <c r="Y9173">
        <v>0</v>
      </c>
      <c r="Z9173" s="3">
        <v>420</v>
      </c>
      <c r="AA9173">
        <v>163</v>
      </c>
      <c r="AB9173" s="5">
        <v>68460</v>
      </c>
      <c r="AC9173">
        <v>420</v>
      </c>
      <c r="AD9173">
        <v>163</v>
      </c>
      <c r="AE9173" s="1">
        <v>68460</v>
      </c>
      <c r="AF9173">
        <v>92.4</v>
      </c>
      <c r="AJ9173">
        <v>0</v>
      </c>
      <c r="AK9173">
        <v>0</v>
      </c>
      <c r="AL9173">
        <v>0</v>
      </c>
      <c r="AM9173">
        <v>512.4</v>
      </c>
      <c r="AN9173">
        <v>512.4</v>
      </c>
      <c r="AO9173">
        <v>512.4</v>
      </c>
      <c r="AP9173" s="2">
        <v>42746</v>
      </c>
      <c r="AQ9173" t="s">
        <v>72</v>
      </c>
      <c r="AR9173" t="s">
        <v>72</v>
      </c>
      <c r="AS9173">
        <v>2946</v>
      </c>
      <c r="AT9173" s="4">
        <v>42681</v>
      </c>
      <c r="AU9173" t="s">
        <v>73</v>
      </c>
      <c r="AV9173">
        <v>2946</v>
      </c>
      <c r="AW9173" s="4">
        <v>42681</v>
      </c>
      <c r="BD9173">
        <v>92.4</v>
      </c>
      <c r="BN9173" t="s">
        <v>74</v>
      </c>
    </row>
    <row r="9174" spans="1:66">
      <c r="A9174">
        <v>106570</v>
      </c>
      <c r="B9174" s="3" t="s">
        <v>802</v>
      </c>
      <c r="C9174" s="1">
        <v>43300101</v>
      </c>
      <c r="D9174" t="s">
        <v>67</v>
      </c>
      <c r="H9174" t="str">
        <f t="shared" si="959"/>
        <v>01617610629</v>
      </c>
      <c r="I9174" t="str">
        <f t="shared" si="959"/>
        <v>01617610629</v>
      </c>
      <c r="K9174" t="str">
        <f>""</f>
        <v/>
      </c>
      <c r="M9174" t="s">
        <v>68</v>
      </c>
      <c r="N9174" t="str">
        <f t="shared" si="958"/>
        <v>FOR</v>
      </c>
      <c r="O9174" t="s">
        <v>69</v>
      </c>
      <c r="P9174" s="3" t="s">
        <v>75</v>
      </c>
      <c r="Q9174">
        <v>2016</v>
      </c>
      <c r="R9174" s="2">
        <v>42490</v>
      </c>
      <c r="S9174" s="2">
        <v>42492</v>
      </c>
      <c r="T9174" s="2">
        <v>42490</v>
      </c>
      <c r="U9174" s="2">
        <v>42550</v>
      </c>
      <c r="V9174" t="s">
        <v>71</v>
      </c>
      <c r="W9174" t="str">
        <f>"        2016    48/a"</f>
        <v xml:space="preserve">        2016    48/a</v>
      </c>
      <c r="X9174">
        <v>283.04000000000002</v>
      </c>
      <c r="Y9174">
        <v>0</v>
      </c>
      <c r="Z9174" s="3">
        <v>232</v>
      </c>
      <c r="AA9174">
        <v>131</v>
      </c>
      <c r="AB9174" s="5">
        <v>30392</v>
      </c>
      <c r="AC9174">
        <v>232</v>
      </c>
      <c r="AD9174">
        <v>131</v>
      </c>
      <c r="AE9174" s="1">
        <v>30392</v>
      </c>
      <c r="AF9174">
        <v>51.04</v>
      </c>
      <c r="AJ9174">
        <v>0</v>
      </c>
      <c r="AK9174">
        <v>0</v>
      </c>
      <c r="AL9174">
        <v>0</v>
      </c>
      <c r="AM9174">
        <v>283.04000000000002</v>
      </c>
      <c r="AN9174">
        <v>283.04000000000002</v>
      </c>
      <c r="AO9174">
        <v>283.04000000000002</v>
      </c>
      <c r="AP9174" s="2">
        <v>42746</v>
      </c>
      <c r="AQ9174" t="s">
        <v>72</v>
      </c>
      <c r="AR9174" t="s">
        <v>72</v>
      </c>
      <c r="AS9174">
        <v>2946</v>
      </c>
      <c r="AT9174" s="4">
        <v>42681</v>
      </c>
      <c r="AU9174" t="s">
        <v>73</v>
      </c>
      <c r="AV9174">
        <v>2946</v>
      </c>
      <c r="AW9174" s="4">
        <v>42681</v>
      </c>
      <c r="BD9174">
        <v>51.04</v>
      </c>
      <c r="BN9174" t="s">
        <v>74</v>
      </c>
    </row>
    <row r="9175" spans="1:66">
      <c r="A9175">
        <v>106570</v>
      </c>
      <c r="B9175" s="3" t="s">
        <v>802</v>
      </c>
      <c r="C9175" s="1">
        <v>43300101</v>
      </c>
      <c r="D9175" t="s">
        <v>67</v>
      </c>
      <c r="H9175" t="str">
        <f t="shared" si="959"/>
        <v>01617610629</v>
      </c>
      <c r="I9175" t="str">
        <f t="shared" si="959"/>
        <v>01617610629</v>
      </c>
      <c r="K9175" t="str">
        <f>""</f>
        <v/>
      </c>
      <c r="M9175" t="s">
        <v>68</v>
      </c>
      <c r="N9175" t="str">
        <f t="shared" si="958"/>
        <v>FOR</v>
      </c>
      <c r="O9175" t="s">
        <v>69</v>
      </c>
      <c r="P9175" s="3" t="s">
        <v>75</v>
      </c>
      <c r="Q9175">
        <v>2016</v>
      </c>
      <c r="R9175" s="2">
        <v>42490</v>
      </c>
      <c r="S9175" s="2">
        <v>42492</v>
      </c>
      <c r="T9175" s="2">
        <v>42490</v>
      </c>
      <c r="U9175" s="2">
        <v>42550</v>
      </c>
      <c r="V9175" t="s">
        <v>71</v>
      </c>
      <c r="W9175" t="str">
        <f>"        2016    49/a"</f>
        <v xml:space="preserve">        2016    49/a</v>
      </c>
      <c r="X9175">
        <v>805.2</v>
      </c>
      <c r="Y9175">
        <v>0</v>
      </c>
      <c r="Z9175" s="3">
        <v>660</v>
      </c>
      <c r="AA9175">
        <v>131</v>
      </c>
      <c r="AB9175" s="5">
        <v>86460</v>
      </c>
      <c r="AC9175">
        <v>660</v>
      </c>
      <c r="AD9175">
        <v>131</v>
      </c>
      <c r="AE9175" s="1">
        <v>86460</v>
      </c>
      <c r="AF9175">
        <v>145.19999999999999</v>
      </c>
      <c r="AJ9175">
        <v>0</v>
      </c>
      <c r="AK9175">
        <v>0</v>
      </c>
      <c r="AL9175">
        <v>0</v>
      </c>
      <c r="AM9175">
        <v>805.2</v>
      </c>
      <c r="AN9175">
        <v>805.2</v>
      </c>
      <c r="AO9175">
        <v>805.2</v>
      </c>
      <c r="AP9175" s="2">
        <v>42746</v>
      </c>
      <c r="AQ9175" t="s">
        <v>72</v>
      </c>
      <c r="AR9175" t="s">
        <v>72</v>
      </c>
      <c r="AS9175">
        <v>2946</v>
      </c>
      <c r="AT9175" s="4">
        <v>42681</v>
      </c>
      <c r="AU9175" t="s">
        <v>73</v>
      </c>
      <c r="AV9175">
        <v>2946</v>
      </c>
      <c r="AW9175" s="4">
        <v>42681</v>
      </c>
      <c r="BD9175">
        <v>145.19999999999999</v>
      </c>
      <c r="BN9175" t="s">
        <v>74</v>
      </c>
    </row>
    <row r="9176" spans="1:66">
      <c r="A9176">
        <v>106570</v>
      </c>
      <c r="B9176" s="3" t="s">
        <v>802</v>
      </c>
      <c r="C9176" s="1">
        <v>43300101</v>
      </c>
      <c r="D9176" t="s">
        <v>67</v>
      </c>
      <c r="H9176" t="str">
        <f t="shared" si="959"/>
        <v>01617610629</v>
      </c>
      <c r="I9176" t="str">
        <f t="shared" si="959"/>
        <v>01617610629</v>
      </c>
      <c r="K9176" t="str">
        <f>""</f>
        <v/>
      </c>
      <c r="M9176" t="s">
        <v>68</v>
      </c>
      <c r="N9176" t="str">
        <f t="shared" si="958"/>
        <v>FOR</v>
      </c>
      <c r="O9176" t="s">
        <v>69</v>
      </c>
      <c r="P9176" s="3" t="s">
        <v>75</v>
      </c>
      <c r="Q9176">
        <v>2016</v>
      </c>
      <c r="R9176" s="2">
        <v>42490</v>
      </c>
      <c r="S9176" s="2">
        <v>42492</v>
      </c>
      <c r="T9176" s="2">
        <v>42490</v>
      </c>
      <c r="U9176" s="2">
        <v>42550</v>
      </c>
      <c r="V9176" t="s">
        <v>71</v>
      </c>
      <c r="W9176" t="str">
        <f>"        2016    50/a"</f>
        <v xml:space="preserve">        2016    50/a</v>
      </c>
      <c r="X9176">
        <v>122</v>
      </c>
      <c r="Y9176">
        <v>0</v>
      </c>
      <c r="Z9176" s="3">
        <v>100</v>
      </c>
      <c r="AA9176">
        <v>131</v>
      </c>
      <c r="AB9176" s="5">
        <v>13100</v>
      </c>
      <c r="AC9176">
        <v>100</v>
      </c>
      <c r="AD9176">
        <v>131</v>
      </c>
      <c r="AE9176" s="1">
        <v>13100</v>
      </c>
      <c r="AF9176">
        <v>22</v>
      </c>
      <c r="AJ9176">
        <v>0</v>
      </c>
      <c r="AK9176">
        <v>0</v>
      </c>
      <c r="AL9176">
        <v>0</v>
      </c>
      <c r="AM9176">
        <v>122</v>
      </c>
      <c r="AN9176">
        <v>122</v>
      </c>
      <c r="AO9176">
        <v>122</v>
      </c>
      <c r="AP9176" s="2">
        <v>42746</v>
      </c>
      <c r="AQ9176" t="s">
        <v>72</v>
      </c>
      <c r="AR9176" t="s">
        <v>72</v>
      </c>
      <c r="AS9176">
        <v>2946</v>
      </c>
      <c r="AT9176" s="4">
        <v>42681</v>
      </c>
      <c r="AU9176" t="s">
        <v>73</v>
      </c>
      <c r="AV9176">
        <v>2946</v>
      </c>
      <c r="AW9176" s="4">
        <v>42681</v>
      </c>
      <c r="BD9176">
        <v>22</v>
      </c>
      <c r="BN9176" t="s">
        <v>74</v>
      </c>
    </row>
    <row r="9177" spans="1:66">
      <c r="A9177">
        <v>106570</v>
      </c>
      <c r="B9177" s="3" t="s">
        <v>802</v>
      </c>
      <c r="C9177" s="1">
        <v>43300101</v>
      </c>
      <c r="D9177" t="s">
        <v>67</v>
      </c>
      <c r="H9177" t="str">
        <f t="shared" si="959"/>
        <v>01617610629</v>
      </c>
      <c r="I9177" t="str">
        <f t="shared" si="959"/>
        <v>01617610629</v>
      </c>
      <c r="K9177" t="str">
        <f>""</f>
        <v/>
      </c>
      <c r="M9177" t="s">
        <v>68</v>
      </c>
      <c r="N9177" t="str">
        <f t="shared" si="958"/>
        <v>FOR</v>
      </c>
      <c r="O9177" t="s">
        <v>69</v>
      </c>
      <c r="P9177" s="3" t="s">
        <v>75</v>
      </c>
      <c r="Q9177">
        <v>2016</v>
      </c>
      <c r="R9177" s="2">
        <v>42490</v>
      </c>
      <c r="S9177" s="2">
        <v>42492</v>
      </c>
      <c r="T9177" s="2">
        <v>42490</v>
      </c>
      <c r="U9177" s="2">
        <v>42550</v>
      </c>
      <c r="V9177" t="s">
        <v>71</v>
      </c>
      <c r="W9177" t="str">
        <f>"        2016    51/a"</f>
        <v xml:space="preserve">        2016    51/a</v>
      </c>
      <c r="X9177">
        <v>97.6</v>
      </c>
      <c r="Y9177">
        <v>0</v>
      </c>
      <c r="Z9177" s="3">
        <v>80</v>
      </c>
      <c r="AA9177">
        <v>131</v>
      </c>
      <c r="AB9177" s="5">
        <v>10480</v>
      </c>
      <c r="AC9177">
        <v>80</v>
      </c>
      <c r="AD9177">
        <v>131</v>
      </c>
      <c r="AE9177" s="1">
        <v>10480</v>
      </c>
      <c r="AF9177">
        <v>17.600000000000001</v>
      </c>
      <c r="AJ9177">
        <v>0</v>
      </c>
      <c r="AK9177">
        <v>0</v>
      </c>
      <c r="AL9177">
        <v>0</v>
      </c>
      <c r="AM9177">
        <v>97.6</v>
      </c>
      <c r="AN9177">
        <v>97.6</v>
      </c>
      <c r="AO9177">
        <v>97.6</v>
      </c>
      <c r="AP9177" s="2">
        <v>42746</v>
      </c>
      <c r="AQ9177" t="s">
        <v>72</v>
      </c>
      <c r="AR9177" t="s">
        <v>72</v>
      </c>
      <c r="AS9177">
        <v>2946</v>
      </c>
      <c r="AT9177" s="4">
        <v>42681</v>
      </c>
      <c r="AU9177" t="s">
        <v>73</v>
      </c>
      <c r="AV9177">
        <v>2946</v>
      </c>
      <c r="AW9177" s="4">
        <v>42681</v>
      </c>
      <c r="BD9177">
        <v>17.600000000000001</v>
      </c>
      <c r="BN9177" t="s">
        <v>74</v>
      </c>
    </row>
    <row r="9178" spans="1:66">
      <c r="A9178">
        <v>106570</v>
      </c>
      <c r="B9178" s="3" t="s">
        <v>802</v>
      </c>
      <c r="C9178" s="1">
        <v>43300101</v>
      </c>
      <c r="D9178" t="s">
        <v>67</v>
      </c>
      <c r="H9178" t="str">
        <f t="shared" si="959"/>
        <v>01617610629</v>
      </c>
      <c r="I9178" t="str">
        <f t="shared" si="959"/>
        <v>01617610629</v>
      </c>
      <c r="K9178" t="str">
        <f>""</f>
        <v/>
      </c>
      <c r="M9178" t="s">
        <v>68</v>
      </c>
      <c r="N9178" t="str">
        <f t="shared" ref="N9178:N9209" si="960">"FOR"</f>
        <v>FOR</v>
      </c>
      <c r="O9178" t="s">
        <v>69</v>
      </c>
      <c r="P9178" s="3" t="s">
        <v>75</v>
      </c>
      <c r="Q9178">
        <v>2016</v>
      </c>
      <c r="R9178" s="2">
        <v>42490</v>
      </c>
      <c r="S9178" s="2">
        <v>42492</v>
      </c>
      <c r="T9178" s="2">
        <v>42490</v>
      </c>
      <c r="U9178" s="2">
        <v>42550</v>
      </c>
      <c r="V9178" t="s">
        <v>71</v>
      </c>
      <c r="W9178" t="str">
        <f>"        2016    52/a"</f>
        <v xml:space="preserve">        2016    52/a</v>
      </c>
      <c r="X9178">
        <v>207.4</v>
      </c>
      <c r="Y9178">
        <v>0</v>
      </c>
      <c r="Z9178" s="3">
        <v>170</v>
      </c>
      <c r="AA9178">
        <v>131</v>
      </c>
      <c r="AB9178" s="5">
        <v>22270</v>
      </c>
      <c r="AC9178">
        <v>170</v>
      </c>
      <c r="AD9178">
        <v>131</v>
      </c>
      <c r="AE9178" s="1">
        <v>22270</v>
      </c>
      <c r="AF9178">
        <v>37.4</v>
      </c>
      <c r="AJ9178">
        <v>0</v>
      </c>
      <c r="AK9178">
        <v>0</v>
      </c>
      <c r="AL9178">
        <v>0</v>
      </c>
      <c r="AM9178">
        <v>207.4</v>
      </c>
      <c r="AN9178">
        <v>207.4</v>
      </c>
      <c r="AO9178">
        <v>207.4</v>
      </c>
      <c r="AP9178" s="2">
        <v>42746</v>
      </c>
      <c r="AQ9178" t="s">
        <v>72</v>
      </c>
      <c r="AR9178" t="s">
        <v>72</v>
      </c>
      <c r="AS9178">
        <v>2946</v>
      </c>
      <c r="AT9178" s="4">
        <v>42681</v>
      </c>
      <c r="AU9178" t="s">
        <v>73</v>
      </c>
      <c r="AV9178">
        <v>2946</v>
      </c>
      <c r="AW9178" s="4">
        <v>42681</v>
      </c>
      <c r="BD9178">
        <v>37.4</v>
      </c>
      <c r="BN9178" t="s">
        <v>74</v>
      </c>
    </row>
    <row r="9179" spans="1:66">
      <c r="A9179">
        <v>106570</v>
      </c>
      <c r="B9179" s="3" t="s">
        <v>802</v>
      </c>
      <c r="C9179" s="1">
        <v>43300101</v>
      </c>
      <c r="D9179" t="s">
        <v>67</v>
      </c>
      <c r="H9179" t="str">
        <f t="shared" si="959"/>
        <v>01617610629</v>
      </c>
      <c r="I9179" t="str">
        <f t="shared" si="959"/>
        <v>01617610629</v>
      </c>
      <c r="K9179" t="str">
        <f>""</f>
        <v/>
      </c>
      <c r="M9179" t="s">
        <v>68</v>
      </c>
      <c r="N9179" t="str">
        <f t="shared" si="960"/>
        <v>FOR</v>
      </c>
      <c r="O9179" t="s">
        <v>69</v>
      </c>
      <c r="P9179" s="3" t="s">
        <v>75</v>
      </c>
      <c r="Q9179">
        <v>2016</v>
      </c>
      <c r="R9179" s="2">
        <v>42490</v>
      </c>
      <c r="S9179" s="2">
        <v>42492</v>
      </c>
      <c r="T9179" s="2">
        <v>42490</v>
      </c>
      <c r="U9179" s="2">
        <v>42550</v>
      </c>
      <c r="V9179" t="s">
        <v>71</v>
      </c>
      <c r="W9179" t="str">
        <f>"        2016    53/a"</f>
        <v xml:space="preserve">        2016    53/a</v>
      </c>
      <c r="X9179">
        <v>420.9</v>
      </c>
      <c r="Y9179">
        <v>0</v>
      </c>
      <c r="Z9179" s="3">
        <v>345</v>
      </c>
      <c r="AA9179">
        <v>131</v>
      </c>
      <c r="AB9179" s="5">
        <v>45195</v>
      </c>
      <c r="AC9179">
        <v>345</v>
      </c>
      <c r="AD9179">
        <v>131</v>
      </c>
      <c r="AE9179" s="1">
        <v>45195</v>
      </c>
      <c r="AF9179">
        <v>75.900000000000006</v>
      </c>
      <c r="AJ9179">
        <v>0</v>
      </c>
      <c r="AK9179">
        <v>0</v>
      </c>
      <c r="AL9179">
        <v>0</v>
      </c>
      <c r="AM9179">
        <v>420.9</v>
      </c>
      <c r="AN9179">
        <v>420.9</v>
      </c>
      <c r="AO9179">
        <v>420.9</v>
      </c>
      <c r="AP9179" s="2">
        <v>42746</v>
      </c>
      <c r="AQ9179" t="s">
        <v>72</v>
      </c>
      <c r="AR9179" t="s">
        <v>72</v>
      </c>
      <c r="AS9179">
        <v>2946</v>
      </c>
      <c r="AT9179" s="4">
        <v>42681</v>
      </c>
      <c r="AU9179" t="s">
        <v>73</v>
      </c>
      <c r="AV9179">
        <v>2946</v>
      </c>
      <c r="AW9179" s="4">
        <v>42681</v>
      </c>
      <c r="BD9179">
        <v>75.900000000000006</v>
      </c>
      <c r="BN9179" t="s">
        <v>74</v>
      </c>
    </row>
    <row r="9180" spans="1:66">
      <c r="A9180">
        <v>106570</v>
      </c>
      <c r="B9180" s="3" t="s">
        <v>802</v>
      </c>
      <c r="C9180" s="1">
        <v>43300101</v>
      </c>
      <c r="D9180" t="s">
        <v>67</v>
      </c>
      <c r="H9180" t="str">
        <f t="shared" ref="H9180:I9193" si="961">"01617610629"</f>
        <v>01617610629</v>
      </c>
      <c r="I9180" t="str">
        <f t="shared" si="961"/>
        <v>01617610629</v>
      </c>
      <c r="K9180" t="str">
        <f>""</f>
        <v/>
      </c>
      <c r="M9180" t="s">
        <v>68</v>
      </c>
      <c r="N9180" t="str">
        <f t="shared" si="960"/>
        <v>FOR</v>
      </c>
      <c r="O9180" t="s">
        <v>69</v>
      </c>
      <c r="P9180" s="3" t="s">
        <v>75</v>
      </c>
      <c r="Q9180">
        <v>2016</v>
      </c>
      <c r="R9180" s="2">
        <v>42490</v>
      </c>
      <c r="S9180" s="2">
        <v>42492</v>
      </c>
      <c r="T9180" s="2">
        <v>42490</v>
      </c>
      <c r="U9180" s="2">
        <v>42550</v>
      </c>
      <c r="V9180" t="s">
        <v>71</v>
      </c>
      <c r="W9180" t="str">
        <f>"        2016    54/a"</f>
        <v xml:space="preserve">        2016    54/a</v>
      </c>
      <c r="X9180">
        <v>39.65</v>
      </c>
      <c r="Y9180">
        <v>0</v>
      </c>
      <c r="Z9180" s="3">
        <v>32.5</v>
      </c>
      <c r="AA9180">
        <v>131</v>
      </c>
      <c r="AB9180" s="5">
        <v>4257.5</v>
      </c>
      <c r="AC9180">
        <v>32.5</v>
      </c>
      <c r="AD9180">
        <v>131</v>
      </c>
      <c r="AE9180" s="1">
        <v>4257.5</v>
      </c>
      <c r="AF9180">
        <v>7.15</v>
      </c>
      <c r="AJ9180">
        <v>0</v>
      </c>
      <c r="AK9180">
        <v>0</v>
      </c>
      <c r="AL9180">
        <v>0</v>
      </c>
      <c r="AM9180">
        <v>39.65</v>
      </c>
      <c r="AN9180">
        <v>39.65</v>
      </c>
      <c r="AO9180">
        <v>39.65</v>
      </c>
      <c r="AP9180" s="2">
        <v>42746</v>
      </c>
      <c r="AQ9180" t="s">
        <v>72</v>
      </c>
      <c r="AR9180" t="s">
        <v>72</v>
      </c>
      <c r="AS9180">
        <v>2946</v>
      </c>
      <c r="AT9180" s="4">
        <v>42681</v>
      </c>
      <c r="AU9180" t="s">
        <v>73</v>
      </c>
      <c r="AV9180">
        <v>2946</v>
      </c>
      <c r="AW9180" s="4">
        <v>42681</v>
      </c>
      <c r="BD9180">
        <v>7.15</v>
      </c>
      <c r="BN9180" t="s">
        <v>74</v>
      </c>
    </row>
    <row r="9181" spans="1:66">
      <c r="A9181">
        <v>106570</v>
      </c>
      <c r="B9181" s="3" t="s">
        <v>802</v>
      </c>
      <c r="C9181" s="1">
        <v>43300101</v>
      </c>
      <c r="D9181" t="s">
        <v>67</v>
      </c>
      <c r="H9181" t="str">
        <f t="shared" si="961"/>
        <v>01617610629</v>
      </c>
      <c r="I9181" t="str">
        <f t="shared" si="961"/>
        <v>01617610629</v>
      </c>
      <c r="K9181" t="str">
        <f>""</f>
        <v/>
      </c>
      <c r="M9181" t="s">
        <v>68</v>
      </c>
      <c r="N9181" t="str">
        <f t="shared" si="960"/>
        <v>FOR</v>
      </c>
      <c r="O9181" t="s">
        <v>69</v>
      </c>
      <c r="P9181" s="3" t="s">
        <v>75</v>
      </c>
      <c r="Q9181">
        <v>2016</v>
      </c>
      <c r="R9181" s="2">
        <v>42490</v>
      </c>
      <c r="S9181" s="2">
        <v>42492</v>
      </c>
      <c r="T9181" s="2">
        <v>42490</v>
      </c>
      <c r="U9181" s="2">
        <v>42550</v>
      </c>
      <c r="V9181" t="s">
        <v>71</v>
      </c>
      <c r="W9181" t="str">
        <f>"        2016    55/a"</f>
        <v xml:space="preserve">        2016    55/a</v>
      </c>
      <c r="X9181">
        <v>256.2</v>
      </c>
      <c r="Y9181">
        <v>0</v>
      </c>
      <c r="Z9181" s="3">
        <v>210</v>
      </c>
      <c r="AA9181">
        <v>131</v>
      </c>
      <c r="AB9181" s="5">
        <v>27510</v>
      </c>
      <c r="AC9181">
        <v>210</v>
      </c>
      <c r="AD9181">
        <v>131</v>
      </c>
      <c r="AE9181" s="1">
        <v>27510</v>
      </c>
      <c r="AF9181">
        <v>46.2</v>
      </c>
      <c r="AJ9181">
        <v>0</v>
      </c>
      <c r="AK9181">
        <v>0</v>
      </c>
      <c r="AL9181">
        <v>0</v>
      </c>
      <c r="AM9181">
        <v>256.2</v>
      </c>
      <c r="AN9181">
        <v>256.2</v>
      </c>
      <c r="AO9181">
        <v>256.2</v>
      </c>
      <c r="AP9181" s="2">
        <v>42746</v>
      </c>
      <c r="AQ9181" t="s">
        <v>72</v>
      </c>
      <c r="AR9181" t="s">
        <v>72</v>
      </c>
      <c r="AS9181">
        <v>2946</v>
      </c>
      <c r="AT9181" s="4">
        <v>42681</v>
      </c>
      <c r="AU9181" t="s">
        <v>73</v>
      </c>
      <c r="AV9181">
        <v>2946</v>
      </c>
      <c r="AW9181" s="4">
        <v>42681</v>
      </c>
      <c r="BD9181">
        <v>46.2</v>
      </c>
      <c r="BN9181" t="s">
        <v>74</v>
      </c>
    </row>
    <row r="9182" spans="1:66">
      <c r="A9182">
        <v>106570</v>
      </c>
      <c r="B9182" s="3" t="s">
        <v>802</v>
      </c>
      <c r="C9182" s="1">
        <v>43300101</v>
      </c>
      <c r="D9182" t="s">
        <v>67</v>
      </c>
      <c r="H9182" t="str">
        <f t="shared" si="961"/>
        <v>01617610629</v>
      </c>
      <c r="I9182" t="str">
        <f t="shared" si="961"/>
        <v>01617610629</v>
      </c>
      <c r="K9182" t="str">
        <f>""</f>
        <v/>
      </c>
      <c r="M9182" t="s">
        <v>68</v>
      </c>
      <c r="N9182" t="str">
        <f t="shared" si="960"/>
        <v>FOR</v>
      </c>
      <c r="O9182" t="s">
        <v>69</v>
      </c>
      <c r="P9182" s="3" t="s">
        <v>75</v>
      </c>
      <c r="Q9182">
        <v>2016</v>
      </c>
      <c r="R9182" s="2">
        <v>42520</v>
      </c>
      <c r="S9182" s="2">
        <v>42521</v>
      </c>
      <c r="T9182" s="2">
        <v>42520</v>
      </c>
      <c r="U9182" s="2">
        <v>42580</v>
      </c>
      <c r="V9182" t="s">
        <v>71</v>
      </c>
      <c r="W9182" t="str">
        <f>"        2016    59/a"</f>
        <v xml:space="preserve">        2016    59/a</v>
      </c>
      <c r="X9182">
        <v>244</v>
      </c>
      <c r="Y9182">
        <v>0</v>
      </c>
      <c r="Z9182" s="3">
        <v>200</v>
      </c>
      <c r="AA9182">
        <v>101</v>
      </c>
      <c r="AB9182" s="5">
        <v>20200</v>
      </c>
      <c r="AC9182">
        <v>200</v>
      </c>
      <c r="AD9182">
        <v>101</v>
      </c>
      <c r="AE9182" s="1">
        <v>20200</v>
      </c>
      <c r="AF9182">
        <v>44</v>
      </c>
      <c r="AJ9182">
        <v>0</v>
      </c>
      <c r="AK9182">
        <v>0</v>
      </c>
      <c r="AL9182">
        <v>0</v>
      </c>
      <c r="AM9182">
        <v>244</v>
      </c>
      <c r="AN9182">
        <v>244</v>
      </c>
      <c r="AO9182">
        <v>244</v>
      </c>
      <c r="AP9182" s="2">
        <v>42746</v>
      </c>
      <c r="AQ9182" t="s">
        <v>72</v>
      </c>
      <c r="AR9182" t="s">
        <v>72</v>
      </c>
      <c r="AS9182">
        <v>2946</v>
      </c>
      <c r="AT9182" s="4">
        <v>42681</v>
      </c>
      <c r="AU9182" t="s">
        <v>73</v>
      </c>
      <c r="AV9182">
        <v>2946</v>
      </c>
      <c r="AW9182" s="4">
        <v>42681</v>
      </c>
      <c r="BC9182">
        <v>44</v>
      </c>
      <c r="BD9182">
        <v>0</v>
      </c>
      <c r="BN9182" t="s">
        <v>74</v>
      </c>
    </row>
    <row r="9183" spans="1:66">
      <c r="A9183">
        <v>106570</v>
      </c>
      <c r="B9183" s="3" t="s">
        <v>802</v>
      </c>
      <c r="C9183" s="1">
        <v>43300101</v>
      </c>
      <c r="D9183" t="s">
        <v>67</v>
      </c>
      <c r="H9183" t="str">
        <f t="shared" si="961"/>
        <v>01617610629</v>
      </c>
      <c r="I9183" t="str">
        <f t="shared" si="961"/>
        <v>01617610629</v>
      </c>
      <c r="K9183" t="str">
        <f>""</f>
        <v/>
      </c>
      <c r="M9183" t="s">
        <v>68</v>
      </c>
      <c r="N9183" t="str">
        <f t="shared" si="960"/>
        <v>FOR</v>
      </c>
      <c r="O9183" t="s">
        <v>69</v>
      </c>
      <c r="P9183" s="3" t="s">
        <v>75</v>
      </c>
      <c r="Q9183">
        <v>2016</v>
      </c>
      <c r="R9183" s="2">
        <v>42520</v>
      </c>
      <c r="S9183" s="2">
        <v>42521</v>
      </c>
      <c r="T9183" s="2">
        <v>42520</v>
      </c>
      <c r="U9183" s="2">
        <v>42580</v>
      </c>
      <c r="V9183" t="s">
        <v>71</v>
      </c>
      <c r="W9183" t="str">
        <f>"        2016    60/a"</f>
        <v xml:space="preserve">        2016    60/a</v>
      </c>
      <c r="X9183">
        <v>152.5</v>
      </c>
      <c r="Y9183">
        <v>0</v>
      </c>
      <c r="Z9183" s="3">
        <v>125</v>
      </c>
      <c r="AA9183">
        <v>101</v>
      </c>
      <c r="AB9183" s="5">
        <v>12625</v>
      </c>
      <c r="AC9183">
        <v>125</v>
      </c>
      <c r="AD9183">
        <v>101</v>
      </c>
      <c r="AE9183" s="1">
        <v>12625</v>
      </c>
      <c r="AF9183">
        <v>27.5</v>
      </c>
      <c r="AJ9183">
        <v>0</v>
      </c>
      <c r="AK9183">
        <v>0</v>
      </c>
      <c r="AL9183">
        <v>0</v>
      </c>
      <c r="AM9183">
        <v>152.5</v>
      </c>
      <c r="AN9183">
        <v>152.5</v>
      </c>
      <c r="AO9183">
        <v>152.5</v>
      </c>
      <c r="AP9183" s="2">
        <v>42746</v>
      </c>
      <c r="AQ9183" t="s">
        <v>72</v>
      </c>
      <c r="AR9183" t="s">
        <v>72</v>
      </c>
      <c r="AS9183">
        <v>2946</v>
      </c>
      <c r="AT9183" s="4">
        <v>42681</v>
      </c>
      <c r="AU9183" t="s">
        <v>73</v>
      </c>
      <c r="AV9183">
        <v>2946</v>
      </c>
      <c r="AW9183" s="4">
        <v>42681</v>
      </c>
      <c r="BC9183">
        <v>27.5</v>
      </c>
      <c r="BD9183">
        <v>0</v>
      </c>
      <c r="BN9183" t="s">
        <v>74</v>
      </c>
    </row>
    <row r="9184" spans="1:66">
      <c r="A9184">
        <v>106570</v>
      </c>
      <c r="B9184" s="3" t="s">
        <v>802</v>
      </c>
      <c r="C9184" s="1">
        <v>43300101</v>
      </c>
      <c r="D9184" t="s">
        <v>67</v>
      </c>
      <c r="H9184" t="str">
        <f t="shared" si="961"/>
        <v>01617610629</v>
      </c>
      <c r="I9184" t="str">
        <f t="shared" si="961"/>
        <v>01617610629</v>
      </c>
      <c r="K9184" t="str">
        <f>""</f>
        <v/>
      </c>
      <c r="M9184" t="s">
        <v>68</v>
      </c>
      <c r="N9184" t="str">
        <f t="shared" si="960"/>
        <v>FOR</v>
      </c>
      <c r="O9184" t="s">
        <v>69</v>
      </c>
      <c r="P9184" s="3" t="s">
        <v>75</v>
      </c>
      <c r="Q9184">
        <v>2016</v>
      </c>
      <c r="R9184" s="2">
        <v>42520</v>
      </c>
      <c r="S9184" s="2">
        <v>42521</v>
      </c>
      <c r="T9184" s="2">
        <v>42520</v>
      </c>
      <c r="U9184" s="2">
        <v>42580</v>
      </c>
      <c r="V9184" t="s">
        <v>71</v>
      </c>
      <c r="W9184" t="str">
        <f>"        2016    61/a"</f>
        <v xml:space="preserve">        2016    61/a</v>
      </c>
      <c r="X9184">
        <v>732</v>
      </c>
      <c r="Y9184">
        <v>0</v>
      </c>
      <c r="Z9184" s="3">
        <v>600</v>
      </c>
      <c r="AA9184">
        <v>101</v>
      </c>
      <c r="AB9184" s="5">
        <v>60600</v>
      </c>
      <c r="AC9184">
        <v>600</v>
      </c>
      <c r="AD9184">
        <v>101</v>
      </c>
      <c r="AE9184" s="1">
        <v>60600</v>
      </c>
      <c r="AF9184">
        <v>132</v>
      </c>
      <c r="AJ9184">
        <v>0</v>
      </c>
      <c r="AK9184">
        <v>0</v>
      </c>
      <c r="AL9184">
        <v>0</v>
      </c>
      <c r="AM9184">
        <v>732</v>
      </c>
      <c r="AN9184">
        <v>732</v>
      </c>
      <c r="AO9184">
        <v>732</v>
      </c>
      <c r="AP9184" s="2">
        <v>42746</v>
      </c>
      <c r="AQ9184" t="s">
        <v>72</v>
      </c>
      <c r="AR9184" t="s">
        <v>72</v>
      </c>
      <c r="AS9184">
        <v>2946</v>
      </c>
      <c r="AT9184" s="4">
        <v>42681</v>
      </c>
      <c r="AU9184" t="s">
        <v>73</v>
      </c>
      <c r="AV9184">
        <v>2946</v>
      </c>
      <c r="AW9184" s="4">
        <v>42681</v>
      </c>
      <c r="BC9184">
        <v>132</v>
      </c>
      <c r="BD9184">
        <v>0</v>
      </c>
      <c r="BN9184" t="s">
        <v>74</v>
      </c>
    </row>
    <row r="9185" spans="1:66">
      <c r="A9185">
        <v>106570</v>
      </c>
      <c r="B9185" s="3" t="s">
        <v>802</v>
      </c>
      <c r="C9185" s="1">
        <v>43300101</v>
      </c>
      <c r="D9185" t="s">
        <v>67</v>
      </c>
      <c r="H9185" t="str">
        <f t="shared" si="961"/>
        <v>01617610629</v>
      </c>
      <c r="I9185" t="str">
        <f t="shared" si="961"/>
        <v>01617610629</v>
      </c>
      <c r="K9185" t="str">
        <f>""</f>
        <v/>
      </c>
      <c r="M9185" t="s">
        <v>68</v>
      </c>
      <c r="N9185" t="str">
        <f t="shared" si="960"/>
        <v>FOR</v>
      </c>
      <c r="O9185" t="s">
        <v>69</v>
      </c>
      <c r="P9185" s="3" t="s">
        <v>75</v>
      </c>
      <c r="Q9185">
        <v>2016</v>
      </c>
      <c r="R9185" s="2">
        <v>42520</v>
      </c>
      <c r="S9185" s="2">
        <v>42521</v>
      </c>
      <c r="T9185" s="2">
        <v>42520</v>
      </c>
      <c r="U9185" s="2">
        <v>42580</v>
      </c>
      <c r="V9185" t="s">
        <v>71</v>
      </c>
      <c r="W9185" t="str">
        <f>"        2016    62/a"</f>
        <v xml:space="preserve">        2016    62/a</v>
      </c>
      <c r="X9185">
        <v>427</v>
      </c>
      <c r="Y9185">
        <v>0</v>
      </c>
      <c r="Z9185" s="3">
        <v>350</v>
      </c>
      <c r="AA9185">
        <v>101</v>
      </c>
      <c r="AB9185" s="5">
        <v>35350</v>
      </c>
      <c r="AC9185">
        <v>350</v>
      </c>
      <c r="AD9185">
        <v>101</v>
      </c>
      <c r="AE9185" s="1">
        <v>35350</v>
      </c>
      <c r="AF9185">
        <v>77</v>
      </c>
      <c r="AJ9185">
        <v>0</v>
      </c>
      <c r="AK9185">
        <v>0</v>
      </c>
      <c r="AL9185">
        <v>0</v>
      </c>
      <c r="AM9185">
        <v>427</v>
      </c>
      <c r="AN9185">
        <v>427</v>
      </c>
      <c r="AO9185">
        <v>427</v>
      </c>
      <c r="AP9185" s="2">
        <v>42746</v>
      </c>
      <c r="AQ9185" t="s">
        <v>72</v>
      </c>
      <c r="AR9185" t="s">
        <v>72</v>
      </c>
      <c r="AS9185">
        <v>2946</v>
      </c>
      <c r="AT9185" s="4">
        <v>42681</v>
      </c>
      <c r="AU9185" t="s">
        <v>73</v>
      </c>
      <c r="AV9185">
        <v>2946</v>
      </c>
      <c r="AW9185" s="4">
        <v>42681</v>
      </c>
      <c r="BC9185">
        <v>77</v>
      </c>
      <c r="BD9185">
        <v>0</v>
      </c>
      <c r="BN9185" t="s">
        <v>74</v>
      </c>
    </row>
    <row r="9186" spans="1:66">
      <c r="A9186">
        <v>106570</v>
      </c>
      <c r="B9186" s="3" t="s">
        <v>802</v>
      </c>
      <c r="C9186" s="1">
        <v>43300101</v>
      </c>
      <c r="D9186" t="s">
        <v>67</v>
      </c>
      <c r="H9186" t="str">
        <f t="shared" si="961"/>
        <v>01617610629</v>
      </c>
      <c r="I9186" t="str">
        <f t="shared" si="961"/>
        <v>01617610629</v>
      </c>
      <c r="K9186" t="str">
        <f>""</f>
        <v/>
      </c>
      <c r="M9186" t="s">
        <v>68</v>
      </c>
      <c r="N9186" t="str">
        <f t="shared" si="960"/>
        <v>FOR</v>
      </c>
      <c r="O9186" t="s">
        <v>69</v>
      </c>
      <c r="P9186" s="3" t="s">
        <v>75</v>
      </c>
      <c r="Q9186">
        <v>2016</v>
      </c>
      <c r="R9186" s="2">
        <v>42520</v>
      </c>
      <c r="S9186" s="2">
        <v>42521</v>
      </c>
      <c r="T9186" s="2">
        <v>42520</v>
      </c>
      <c r="U9186" s="2">
        <v>42580</v>
      </c>
      <c r="V9186" t="s">
        <v>71</v>
      </c>
      <c r="W9186" t="str">
        <f>"        2016    63/a"</f>
        <v xml:space="preserve">        2016    63/a</v>
      </c>
      <c r="X9186">
        <v>549</v>
      </c>
      <c r="Y9186">
        <v>0</v>
      </c>
      <c r="Z9186" s="3">
        <v>450</v>
      </c>
      <c r="AA9186">
        <v>101</v>
      </c>
      <c r="AB9186" s="5">
        <v>45450</v>
      </c>
      <c r="AC9186">
        <v>450</v>
      </c>
      <c r="AD9186">
        <v>101</v>
      </c>
      <c r="AE9186" s="1">
        <v>45450</v>
      </c>
      <c r="AF9186">
        <v>99</v>
      </c>
      <c r="AJ9186">
        <v>0</v>
      </c>
      <c r="AK9186">
        <v>0</v>
      </c>
      <c r="AL9186">
        <v>0</v>
      </c>
      <c r="AM9186">
        <v>549</v>
      </c>
      <c r="AN9186">
        <v>549</v>
      </c>
      <c r="AO9186">
        <v>549</v>
      </c>
      <c r="AP9186" s="2">
        <v>42746</v>
      </c>
      <c r="AQ9186" t="s">
        <v>72</v>
      </c>
      <c r="AR9186" t="s">
        <v>72</v>
      </c>
      <c r="AS9186">
        <v>2946</v>
      </c>
      <c r="AT9186" s="4">
        <v>42681</v>
      </c>
      <c r="AU9186" t="s">
        <v>73</v>
      </c>
      <c r="AV9186">
        <v>2946</v>
      </c>
      <c r="AW9186" s="4">
        <v>42681</v>
      </c>
      <c r="BC9186">
        <v>99</v>
      </c>
      <c r="BD9186">
        <v>0</v>
      </c>
      <c r="BN9186" t="s">
        <v>74</v>
      </c>
    </row>
    <row r="9187" spans="1:66">
      <c r="A9187">
        <v>106570</v>
      </c>
      <c r="B9187" s="3" t="s">
        <v>802</v>
      </c>
      <c r="C9187" s="1">
        <v>43300101</v>
      </c>
      <c r="D9187" t="s">
        <v>67</v>
      </c>
      <c r="H9187" t="str">
        <f t="shared" si="961"/>
        <v>01617610629</v>
      </c>
      <c r="I9187" t="str">
        <f t="shared" si="961"/>
        <v>01617610629</v>
      </c>
      <c r="K9187" t="str">
        <f>""</f>
        <v/>
      </c>
      <c r="M9187" t="s">
        <v>68</v>
      </c>
      <c r="N9187" t="str">
        <f t="shared" si="960"/>
        <v>FOR</v>
      </c>
      <c r="O9187" t="s">
        <v>69</v>
      </c>
      <c r="P9187" s="3" t="s">
        <v>75</v>
      </c>
      <c r="Q9187">
        <v>2016</v>
      </c>
      <c r="R9187" s="2">
        <v>42520</v>
      </c>
      <c r="S9187" s="2">
        <v>42521</v>
      </c>
      <c r="T9187" s="2">
        <v>42520</v>
      </c>
      <c r="U9187" s="2">
        <v>42580</v>
      </c>
      <c r="V9187" t="s">
        <v>71</v>
      </c>
      <c r="W9187" t="str">
        <f>"        2016    64/a"</f>
        <v xml:space="preserve">        2016    64/a</v>
      </c>
      <c r="X9187">
        <v>713.7</v>
      </c>
      <c r="Y9187">
        <v>0</v>
      </c>
      <c r="Z9187" s="3">
        <v>585</v>
      </c>
      <c r="AA9187">
        <v>101</v>
      </c>
      <c r="AB9187" s="5">
        <v>59085</v>
      </c>
      <c r="AC9187">
        <v>585</v>
      </c>
      <c r="AD9187">
        <v>101</v>
      </c>
      <c r="AE9187" s="1">
        <v>59085</v>
      </c>
      <c r="AF9187">
        <v>128.69999999999999</v>
      </c>
      <c r="AJ9187">
        <v>0</v>
      </c>
      <c r="AK9187">
        <v>0</v>
      </c>
      <c r="AL9187">
        <v>0</v>
      </c>
      <c r="AM9187">
        <v>713.7</v>
      </c>
      <c r="AN9187">
        <v>713.7</v>
      </c>
      <c r="AO9187">
        <v>713.7</v>
      </c>
      <c r="AP9187" s="2">
        <v>42746</v>
      </c>
      <c r="AQ9187" t="s">
        <v>72</v>
      </c>
      <c r="AR9187" t="s">
        <v>72</v>
      </c>
      <c r="AS9187">
        <v>2946</v>
      </c>
      <c r="AT9187" s="4">
        <v>42681</v>
      </c>
      <c r="AU9187" t="s">
        <v>73</v>
      </c>
      <c r="AV9187">
        <v>2946</v>
      </c>
      <c r="AW9187" s="4">
        <v>42681</v>
      </c>
      <c r="BC9187">
        <v>128.69999999999999</v>
      </c>
      <c r="BD9187">
        <v>0</v>
      </c>
      <c r="BN9187" t="s">
        <v>74</v>
      </c>
    </row>
    <row r="9188" spans="1:66">
      <c r="A9188">
        <v>106570</v>
      </c>
      <c r="B9188" s="3" t="s">
        <v>802</v>
      </c>
      <c r="C9188" s="1">
        <v>43300101</v>
      </c>
      <c r="D9188" t="s">
        <v>67</v>
      </c>
      <c r="H9188" t="str">
        <f t="shared" si="961"/>
        <v>01617610629</v>
      </c>
      <c r="I9188" t="str">
        <f t="shared" si="961"/>
        <v>01617610629</v>
      </c>
      <c r="K9188" t="str">
        <f>""</f>
        <v/>
      </c>
      <c r="M9188" t="s">
        <v>68</v>
      </c>
      <c r="N9188" t="str">
        <f t="shared" si="960"/>
        <v>FOR</v>
      </c>
      <c r="O9188" t="s">
        <v>69</v>
      </c>
      <c r="P9188" s="3" t="s">
        <v>75</v>
      </c>
      <c r="Q9188">
        <v>2016</v>
      </c>
      <c r="R9188" s="2">
        <v>42520</v>
      </c>
      <c r="S9188" s="2">
        <v>42521</v>
      </c>
      <c r="T9188" s="2">
        <v>42520</v>
      </c>
      <c r="U9188" s="2">
        <v>42580</v>
      </c>
      <c r="V9188" t="s">
        <v>71</v>
      </c>
      <c r="W9188" t="str">
        <f>"        2016    65/a"</f>
        <v xml:space="preserve">        2016    65/a</v>
      </c>
      <c r="X9188">
        <v>97.6</v>
      </c>
      <c r="Y9188">
        <v>0</v>
      </c>
      <c r="Z9188" s="3">
        <v>80</v>
      </c>
      <c r="AA9188">
        <v>101</v>
      </c>
      <c r="AB9188" s="5">
        <v>8080</v>
      </c>
      <c r="AC9188">
        <v>80</v>
      </c>
      <c r="AD9188">
        <v>101</v>
      </c>
      <c r="AE9188" s="1">
        <v>8080</v>
      </c>
      <c r="AF9188">
        <v>17.600000000000001</v>
      </c>
      <c r="AJ9188">
        <v>0</v>
      </c>
      <c r="AK9188">
        <v>0</v>
      </c>
      <c r="AL9188">
        <v>0</v>
      </c>
      <c r="AM9188">
        <v>97.6</v>
      </c>
      <c r="AN9188">
        <v>97.6</v>
      </c>
      <c r="AO9188">
        <v>97.6</v>
      </c>
      <c r="AP9188" s="2">
        <v>42746</v>
      </c>
      <c r="AQ9188" t="s">
        <v>72</v>
      </c>
      <c r="AR9188" t="s">
        <v>72</v>
      </c>
      <c r="AS9188">
        <v>2946</v>
      </c>
      <c r="AT9188" s="4">
        <v>42681</v>
      </c>
      <c r="AU9188" t="s">
        <v>73</v>
      </c>
      <c r="AV9188">
        <v>2946</v>
      </c>
      <c r="AW9188" s="4">
        <v>42681</v>
      </c>
      <c r="BC9188">
        <v>17.600000000000001</v>
      </c>
      <c r="BD9188">
        <v>0</v>
      </c>
      <c r="BN9188" t="s">
        <v>74</v>
      </c>
    </row>
    <row r="9189" spans="1:66">
      <c r="A9189">
        <v>106570</v>
      </c>
      <c r="B9189" s="3" t="s">
        <v>802</v>
      </c>
      <c r="C9189" s="1">
        <v>43300101</v>
      </c>
      <c r="D9189" t="s">
        <v>67</v>
      </c>
      <c r="H9189" t="str">
        <f t="shared" si="961"/>
        <v>01617610629</v>
      </c>
      <c r="I9189" t="str">
        <f t="shared" si="961"/>
        <v>01617610629</v>
      </c>
      <c r="K9189" t="str">
        <f>""</f>
        <v/>
      </c>
      <c r="M9189" t="s">
        <v>68</v>
      </c>
      <c r="N9189" t="str">
        <f t="shared" si="960"/>
        <v>FOR</v>
      </c>
      <c r="O9189" t="s">
        <v>69</v>
      </c>
      <c r="P9189" s="3" t="s">
        <v>75</v>
      </c>
      <c r="Q9189">
        <v>2016</v>
      </c>
      <c r="R9189" s="2">
        <v>42520</v>
      </c>
      <c r="S9189" s="2">
        <v>42521</v>
      </c>
      <c r="T9189" s="2">
        <v>42520</v>
      </c>
      <c r="U9189" s="2">
        <v>42580</v>
      </c>
      <c r="V9189" t="s">
        <v>71</v>
      </c>
      <c r="W9189" t="str">
        <f>"        2016    66/a"</f>
        <v xml:space="preserve">        2016    66/a</v>
      </c>
      <c r="X9189">
        <v>463.6</v>
      </c>
      <c r="Y9189">
        <v>0</v>
      </c>
      <c r="Z9189" s="3">
        <v>380</v>
      </c>
      <c r="AA9189">
        <v>101</v>
      </c>
      <c r="AB9189" s="5">
        <v>38380</v>
      </c>
      <c r="AC9189">
        <v>380</v>
      </c>
      <c r="AD9189">
        <v>101</v>
      </c>
      <c r="AE9189" s="1">
        <v>38380</v>
      </c>
      <c r="AF9189">
        <v>83.6</v>
      </c>
      <c r="AJ9189">
        <v>0</v>
      </c>
      <c r="AK9189">
        <v>0</v>
      </c>
      <c r="AL9189">
        <v>0</v>
      </c>
      <c r="AM9189">
        <v>463.6</v>
      </c>
      <c r="AN9189">
        <v>463.6</v>
      </c>
      <c r="AO9189">
        <v>463.6</v>
      </c>
      <c r="AP9189" s="2">
        <v>42746</v>
      </c>
      <c r="AQ9189" t="s">
        <v>72</v>
      </c>
      <c r="AR9189" t="s">
        <v>72</v>
      </c>
      <c r="AS9189">
        <v>2946</v>
      </c>
      <c r="AT9189" s="4">
        <v>42681</v>
      </c>
      <c r="AU9189" t="s">
        <v>73</v>
      </c>
      <c r="AV9189">
        <v>2946</v>
      </c>
      <c r="AW9189" s="4">
        <v>42681</v>
      </c>
      <c r="BC9189">
        <v>83.6</v>
      </c>
      <c r="BD9189">
        <v>0</v>
      </c>
      <c r="BN9189" t="s">
        <v>74</v>
      </c>
    </row>
    <row r="9190" spans="1:66">
      <c r="A9190">
        <v>106570</v>
      </c>
      <c r="B9190" s="3" t="s">
        <v>802</v>
      </c>
      <c r="C9190" s="1">
        <v>43300101</v>
      </c>
      <c r="D9190" t="s">
        <v>67</v>
      </c>
      <c r="H9190" t="str">
        <f t="shared" si="961"/>
        <v>01617610629</v>
      </c>
      <c r="I9190" t="str">
        <f t="shared" si="961"/>
        <v>01617610629</v>
      </c>
      <c r="K9190" t="str">
        <f>""</f>
        <v/>
      </c>
      <c r="M9190" t="s">
        <v>68</v>
      </c>
      <c r="N9190" t="str">
        <f t="shared" si="960"/>
        <v>FOR</v>
      </c>
      <c r="O9190" t="s">
        <v>69</v>
      </c>
      <c r="P9190" s="3" t="s">
        <v>75</v>
      </c>
      <c r="Q9190">
        <v>2016</v>
      </c>
      <c r="R9190" s="2">
        <v>42520</v>
      </c>
      <c r="S9190" s="2">
        <v>42521</v>
      </c>
      <c r="T9190" s="2">
        <v>42520</v>
      </c>
      <c r="U9190" s="2">
        <v>42580</v>
      </c>
      <c r="V9190" t="s">
        <v>71</v>
      </c>
      <c r="W9190" t="str">
        <f>"        2016    67/a"</f>
        <v xml:space="preserve">        2016    67/a</v>
      </c>
      <c r="X9190">
        <v>164.7</v>
      </c>
      <c r="Y9190">
        <v>0</v>
      </c>
      <c r="Z9190" s="3">
        <v>135</v>
      </c>
      <c r="AA9190">
        <v>101</v>
      </c>
      <c r="AB9190" s="5">
        <v>13635</v>
      </c>
      <c r="AC9190">
        <v>135</v>
      </c>
      <c r="AD9190">
        <v>101</v>
      </c>
      <c r="AE9190" s="1">
        <v>13635</v>
      </c>
      <c r="AF9190">
        <v>29.7</v>
      </c>
      <c r="AJ9190">
        <v>0</v>
      </c>
      <c r="AK9190">
        <v>0</v>
      </c>
      <c r="AL9190">
        <v>0</v>
      </c>
      <c r="AM9190">
        <v>164.7</v>
      </c>
      <c r="AN9190">
        <v>164.7</v>
      </c>
      <c r="AO9190">
        <v>164.7</v>
      </c>
      <c r="AP9190" s="2">
        <v>42746</v>
      </c>
      <c r="AQ9190" t="s">
        <v>72</v>
      </c>
      <c r="AR9190" t="s">
        <v>72</v>
      </c>
      <c r="AS9190">
        <v>2946</v>
      </c>
      <c r="AT9190" s="4">
        <v>42681</v>
      </c>
      <c r="AU9190" t="s">
        <v>73</v>
      </c>
      <c r="AV9190">
        <v>2946</v>
      </c>
      <c r="AW9190" s="4">
        <v>42681</v>
      </c>
      <c r="BC9190">
        <v>29.7</v>
      </c>
      <c r="BD9190">
        <v>0</v>
      </c>
      <c r="BN9190" t="s">
        <v>74</v>
      </c>
    </row>
    <row r="9191" spans="1:66">
      <c r="A9191">
        <v>106570</v>
      </c>
      <c r="B9191" s="3" t="s">
        <v>802</v>
      </c>
      <c r="C9191" s="1">
        <v>43300101</v>
      </c>
      <c r="D9191" t="s">
        <v>67</v>
      </c>
      <c r="H9191" t="str">
        <f t="shared" si="961"/>
        <v>01617610629</v>
      </c>
      <c r="I9191" t="str">
        <f t="shared" si="961"/>
        <v>01617610629</v>
      </c>
      <c r="K9191" t="str">
        <f>""</f>
        <v/>
      </c>
      <c r="M9191" t="s">
        <v>68</v>
      </c>
      <c r="N9191" t="str">
        <f t="shared" si="960"/>
        <v>FOR</v>
      </c>
      <c r="O9191" t="s">
        <v>69</v>
      </c>
      <c r="P9191" s="3" t="s">
        <v>75</v>
      </c>
      <c r="Q9191">
        <v>2016</v>
      </c>
      <c r="R9191" s="2">
        <v>42520</v>
      </c>
      <c r="S9191" s="2">
        <v>42521</v>
      </c>
      <c r="T9191" s="2">
        <v>42520</v>
      </c>
      <c r="U9191" s="2">
        <v>42580</v>
      </c>
      <c r="V9191" t="s">
        <v>71</v>
      </c>
      <c r="W9191" t="str">
        <f>"        2016    68/a"</f>
        <v xml:space="preserve">        2016    68/a</v>
      </c>
      <c r="X9191">
        <v>186.66</v>
      </c>
      <c r="Y9191">
        <v>0</v>
      </c>
      <c r="Z9191" s="3">
        <v>153</v>
      </c>
      <c r="AA9191">
        <v>101</v>
      </c>
      <c r="AB9191" s="5">
        <v>15453</v>
      </c>
      <c r="AC9191">
        <v>153</v>
      </c>
      <c r="AD9191">
        <v>101</v>
      </c>
      <c r="AE9191" s="1">
        <v>15453</v>
      </c>
      <c r="AF9191">
        <v>33.659999999999997</v>
      </c>
      <c r="AJ9191">
        <v>0</v>
      </c>
      <c r="AK9191">
        <v>0</v>
      </c>
      <c r="AL9191">
        <v>0</v>
      </c>
      <c r="AM9191">
        <v>186.66</v>
      </c>
      <c r="AN9191">
        <v>186.66</v>
      </c>
      <c r="AO9191">
        <v>186.66</v>
      </c>
      <c r="AP9191" s="2">
        <v>42746</v>
      </c>
      <c r="AQ9191" t="s">
        <v>72</v>
      </c>
      <c r="AR9191" t="s">
        <v>72</v>
      </c>
      <c r="AS9191">
        <v>2946</v>
      </c>
      <c r="AT9191" s="4">
        <v>42681</v>
      </c>
      <c r="AU9191" t="s">
        <v>73</v>
      </c>
      <c r="AV9191">
        <v>2946</v>
      </c>
      <c r="AW9191" s="4">
        <v>42681</v>
      </c>
      <c r="BC9191">
        <v>33.659999999999997</v>
      </c>
      <c r="BD9191">
        <v>0</v>
      </c>
      <c r="BN9191" t="s">
        <v>74</v>
      </c>
    </row>
    <row r="9192" spans="1:66">
      <c r="A9192">
        <v>106570</v>
      </c>
      <c r="B9192" s="3" t="s">
        <v>802</v>
      </c>
      <c r="C9192" s="1">
        <v>43300101</v>
      </c>
      <c r="D9192" t="s">
        <v>67</v>
      </c>
      <c r="H9192" t="str">
        <f t="shared" si="961"/>
        <v>01617610629</v>
      </c>
      <c r="I9192" t="str">
        <f t="shared" si="961"/>
        <v>01617610629</v>
      </c>
      <c r="K9192" t="str">
        <f>""</f>
        <v/>
      </c>
      <c r="M9192" t="s">
        <v>68</v>
      </c>
      <c r="N9192" t="str">
        <f t="shared" si="960"/>
        <v>FOR</v>
      </c>
      <c r="O9192" t="s">
        <v>69</v>
      </c>
      <c r="P9192" s="3" t="s">
        <v>75</v>
      </c>
      <c r="Q9192">
        <v>2016</v>
      </c>
      <c r="R9192" s="2">
        <v>42520</v>
      </c>
      <c r="S9192" s="2">
        <v>42521</v>
      </c>
      <c r="T9192" s="2">
        <v>42520</v>
      </c>
      <c r="U9192" s="2">
        <v>42580</v>
      </c>
      <c r="V9192" t="s">
        <v>71</v>
      </c>
      <c r="W9192" t="str">
        <f>"        2016    69/a"</f>
        <v xml:space="preserve">        2016    69/a</v>
      </c>
      <c r="X9192">
        <v>109.8</v>
      </c>
      <c r="Y9192">
        <v>0</v>
      </c>
      <c r="Z9192" s="3">
        <v>90</v>
      </c>
      <c r="AA9192">
        <v>101</v>
      </c>
      <c r="AB9192" s="5">
        <v>9090</v>
      </c>
      <c r="AC9192">
        <v>90</v>
      </c>
      <c r="AD9192">
        <v>101</v>
      </c>
      <c r="AE9192" s="1">
        <v>9090</v>
      </c>
      <c r="AF9192">
        <v>19.8</v>
      </c>
      <c r="AJ9192">
        <v>0</v>
      </c>
      <c r="AK9192">
        <v>0</v>
      </c>
      <c r="AL9192">
        <v>0</v>
      </c>
      <c r="AM9192">
        <v>109.8</v>
      </c>
      <c r="AN9192">
        <v>109.8</v>
      </c>
      <c r="AO9192">
        <v>109.8</v>
      </c>
      <c r="AP9192" s="2">
        <v>42746</v>
      </c>
      <c r="AQ9192" t="s">
        <v>72</v>
      </c>
      <c r="AR9192" t="s">
        <v>72</v>
      </c>
      <c r="AS9192">
        <v>2946</v>
      </c>
      <c r="AT9192" s="4">
        <v>42681</v>
      </c>
      <c r="AU9192" t="s">
        <v>73</v>
      </c>
      <c r="AV9192">
        <v>2946</v>
      </c>
      <c r="AW9192" s="4">
        <v>42681</v>
      </c>
      <c r="BC9192">
        <v>19.8</v>
      </c>
      <c r="BD9192">
        <v>0</v>
      </c>
      <c r="BN9192" t="s">
        <v>74</v>
      </c>
    </row>
    <row r="9193" spans="1:66">
      <c r="A9193">
        <v>106570</v>
      </c>
      <c r="B9193" s="3" t="s">
        <v>802</v>
      </c>
      <c r="C9193" s="1">
        <v>43300101</v>
      </c>
      <c r="D9193" t="s">
        <v>67</v>
      </c>
      <c r="H9193" t="str">
        <f t="shared" si="961"/>
        <v>01617610629</v>
      </c>
      <c r="I9193" t="str">
        <f t="shared" si="961"/>
        <v>01617610629</v>
      </c>
      <c r="K9193" t="str">
        <f>""</f>
        <v/>
      </c>
      <c r="M9193" t="s">
        <v>68</v>
      </c>
      <c r="N9193" t="str">
        <f t="shared" si="960"/>
        <v>FOR</v>
      </c>
      <c r="O9193" t="s">
        <v>69</v>
      </c>
      <c r="P9193" s="3" t="s">
        <v>75</v>
      </c>
      <c r="Q9193">
        <v>2016</v>
      </c>
      <c r="R9193" s="2">
        <v>42529</v>
      </c>
      <c r="S9193" s="2">
        <v>42529</v>
      </c>
      <c r="T9193" s="2">
        <v>42529</v>
      </c>
      <c r="U9193" s="2">
        <v>42589</v>
      </c>
      <c r="V9193" t="s">
        <v>71</v>
      </c>
      <c r="W9193" t="str">
        <f>"        2016    72/a"</f>
        <v xml:space="preserve">        2016    72/a</v>
      </c>
      <c r="X9193">
        <v>610</v>
      </c>
      <c r="Y9193">
        <v>0</v>
      </c>
      <c r="Z9193" s="3">
        <v>500</v>
      </c>
      <c r="AA9193">
        <v>92</v>
      </c>
      <c r="AB9193" s="5">
        <v>46000</v>
      </c>
      <c r="AC9193">
        <v>500</v>
      </c>
      <c r="AD9193">
        <v>92</v>
      </c>
      <c r="AE9193" s="1">
        <v>46000</v>
      </c>
      <c r="AF9193">
        <v>110</v>
      </c>
      <c r="AJ9193">
        <v>0</v>
      </c>
      <c r="AK9193">
        <v>0</v>
      </c>
      <c r="AL9193">
        <v>0</v>
      </c>
      <c r="AM9193">
        <v>610</v>
      </c>
      <c r="AN9193">
        <v>610</v>
      </c>
      <c r="AO9193">
        <v>610</v>
      </c>
      <c r="AP9193" s="2">
        <v>42746</v>
      </c>
      <c r="AQ9193" t="s">
        <v>72</v>
      </c>
      <c r="AR9193" t="s">
        <v>72</v>
      </c>
      <c r="AS9193">
        <v>2946</v>
      </c>
      <c r="AT9193" s="4">
        <v>42681</v>
      </c>
      <c r="AU9193" t="s">
        <v>73</v>
      </c>
      <c r="AV9193">
        <v>2946</v>
      </c>
      <c r="AW9193" s="4">
        <v>42681</v>
      </c>
      <c r="BB9193">
        <v>110</v>
      </c>
      <c r="BD9193">
        <v>0</v>
      </c>
      <c r="BN9193" t="s">
        <v>74</v>
      </c>
    </row>
    <row r="9194" spans="1:66" hidden="1">
      <c r="A9194">
        <v>106572</v>
      </c>
      <c r="B9194" s="3" t="s">
        <v>803</v>
      </c>
      <c r="C9194" s="1">
        <v>43300101</v>
      </c>
      <c r="D9194" t="s">
        <v>67</v>
      </c>
      <c r="H9194" t="str">
        <f>"07192641210"</f>
        <v>07192641210</v>
      </c>
      <c r="I9194" t="str">
        <f>"07192641210"</f>
        <v>07192641210</v>
      </c>
      <c r="K9194" t="str">
        <f>""</f>
        <v/>
      </c>
      <c r="M9194" t="s">
        <v>68</v>
      </c>
      <c r="N9194" t="str">
        <f t="shared" si="960"/>
        <v>FOR</v>
      </c>
      <c r="O9194" t="s">
        <v>69</v>
      </c>
      <c r="P9194" s="3" t="s">
        <v>75</v>
      </c>
      <c r="Q9194">
        <v>2016</v>
      </c>
      <c r="R9194" s="2">
        <v>42429</v>
      </c>
      <c r="S9194" s="2">
        <v>42436</v>
      </c>
      <c r="T9194" s="2">
        <v>42433</v>
      </c>
      <c r="U9194" s="2">
        <v>42493</v>
      </c>
      <c r="V9194" t="s">
        <v>71</v>
      </c>
      <c r="W9194" t="str">
        <f>"          0000054/16"</f>
        <v xml:space="preserve">          0000054/16</v>
      </c>
      <c r="X9194">
        <v>383.08</v>
      </c>
      <c r="Y9194">
        <v>0</v>
      </c>
      <c r="Z9194"/>
      <c r="AB9194"/>
      <c r="AC9194">
        <v>314</v>
      </c>
      <c r="AD9194">
        <v>127</v>
      </c>
      <c r="AE9194" s="1">
        <v>39878</v>
      </c>
      <c r="AF9194">
        <v>0</v>
      </c>
      <c r="AJ9194">
        <v>0</v>
      </c>
      <c r="AK9194">
        <v>0</v>
      </c>
      <c r="AL9194">
        <v>0</v>
      </c>
      <c r="AM9194">
        <v>383.08</v>
      </c>
      <c r="AN9194">
        <v>383.08</v>
      </c>
      <c r="AO9194">
        <v>383.08</v>
      </c>
      <c r="AP9194" s="2">
        <v>42746</v>
      </c>
      <c r="AQ9194" t="s">
        <v>72</v>
      </c>
      <c r="AR9194" t="s">
        <v>72</v>
      </c>
      <c r="AS9194">
        <v>2337</v>
      </c>
      <c r="AT9194" s="4">
        <v>42620</v>
      </c>
      <c r="AU9194" t="s">
        <v>73</v>
      </c>
      <c r="AV9194">
        <v>2337</v>
      </c>
      <c r="AW9194" s="4">
        <v>42620</v>
      </c>
      <c r="BD9194">
        <v>0</v>
      </c>
      <c r="BN9194" t="s">
        <v>74</v>
      </c>
    </row>
    <row r="9195" spans="1:66" hidden="1">
      <c r="A9195">
        <v>106572</v>
      </c>
      <c r="B9195" s="3" t="s">
        <v>803</v>
      </c>
      <c r="C9195" s="1">
        <v>43300101</v>
      </c>
      <c r="D9195" t="s">
        <v>67</v>
      </c>
      <c r="H9195" t="str">
        <f>"07192641210"</f>
        <v>07192641210</v>
      </c>
      <c r="I9195" t="str">
        <f>"07192641210"</f>
        <v>07192641210</v>
      </c>
      <c r="K9195" t="str">
        <f>""</f>
        <v/>
      </c>
      <c r="M9195" t="s">
        <v>68</v>
      </c>
      <c r="N9195" t="str">
        <f t="shared" si="960"/>
        <v>FOR</v>
      </c>
      <c r="O9195" t="s">
        <v>69</v>
      </c>
      <c r="P9195" s="3" t="s">
        <v>75</v>
      </c>
      <c r="Q9195">
        <v>2016</v>
      </c>
      <c r="R9195" s="2">
        <v>42580</v>
      </c>
      <c r="S9195" s="2">
        <v>42587</v>
      </c>
      <c r="T9195" s="2">
        <v>42586</v>
      </c>
      <c r="U9195" s="2">
        <v>42646</v>
      </c>
      <c r="V9195" t="s">
        <v>71</v>
      </c>
      <c r="W9195" t="str">
        <f>"          0000250/16"</f>
        <v xml:space="preserve">          0000250/16</v>
      </c>
      <c r="X9195">
        <v>574.62</v>
      </c>
      <c r="Y9195">
        <v>0</v>
      </c>
      <c r="Z9195"/>
      <c r="AB9195"/>
      <c r="AC9195">
        <v>471</v>
      </c>
      <c r="AD9195">
        <v>-26</v>
      </c>
      <c r="AE9195" s="1">
        <v>-12246</v>
      </c>
      <c r="AF9195">
        <v>0</v>
      </c>
      <c r="AJ9195">
        <v>0</v>
      </c>
      <c r="AK9195">
        <v>0</v>
      </c>
      <c r="AL9195">
        <v>0</v>
      </c>
      <c r="AM9195">
        <v>574.62</v>
      </c>
      <c r="AN9195">
        <v>574.62</v>
      </c>
      <c r="AO9195">
        <v>574.62</v>
      </c>
      <c r="AP9195" s="2">
        <v>42746</v>
      </c>
      <c r="AQ9195" t="s">
        <v>72</v>
      </c>
      <c r="AR9195" t="s">
        <v>72</v>
      </c>
      <c r="AS9195">
        <v>2337</v>
      </c>
      <c r="AT9195" s="4">
        <v>42620</v>
      </c>
      <c r="AV9195">
        <v>2337</v>
      </c>
      <c r="AW9195" s="4">
        <v>42620</v>
      </c>
      <c r="BD9195">
        <v>0</v>
      </c>
      <c r="BN9195" t="s">
        <v>74</v>
      </c>
    </row>
    <row r="9196" spans="1:66" hidden="1">
      <c r="A9196">
        <v>106574</v>
      </c>
      <c r="B9196" s="3" t="s">
        <v>804</v>
      </c>
      <c r="C9196" s="1">
        <v>43300101</v>
      </c>
      <c r="D9196" t="s">
        <v>67</v>
      </c>
      <c r="H9196" t="str">
        <f>"01018180610"</f>
        <v>01018180610</v>
      </c>
      <c r="I9196" t="str">
        <f>"01018180610"</f>
        <v>01018180610</v>
      </c>
      <c r="K9196" t="str">
        <f>""</f>
        <v/>
      </c>
      <c r="M9196" t="s">
        <v>68</v>
      </c>
      <c r="N9196" t="str">
        <f t="shared" si="960"/>
        <v>FOR</v>
      </c>
      <c r="O9196" t="s">
        <v>69</v>
      </c>
      <c r="P9196" s="3" t="s">
        <v>75</v>
      </c>
      <c r="Q9196">
        <v>2015</v>
      </c>
      <c r="R9196" s="2">
        <v>42313</v>
      </c>
      <c r="S9196" s="2">
        <v>42317</v>
      </c>
      <c r="T9196" s="2">
        <v>42313</v>
      </c>
      <c r="U9196" s="2">
        <v>42373</v>
      </c>
      <c r="V9196" t="s">
        <v>71</v>
      </c>
      <c r="W9196" t="str">
        <f>"     2015/V6/1500346"</f>
        <v xml:space="preserve">     2015/V6/1500346</v>
      </c>
      <c r="X9196">
        <v>347.7</v>
      </c>
      <c r="Y9196">
        <v>0</v>
      </c>
      <c r="Z9196"/>
      <c r="AB9196"/>
      <c r="AC9196">
        <v>285</v>
      </c>
      <c r="AD9196">
        <v>193</v>
      </c>
      <c r="AE9196" s="1">
        <v>55005</v>
      </c>
      <c r="AF9196">
        <v>0</v>
      </c>
      <c r="AJ9196">
        <v>0</v>
      </c>
      <c r="AK9196">
        <v>0</v>
      </c>
      <c r="AL9196">
        <v>0</v>
      </c>
      <c r="AM9196">
        <v>0</v>
      </c>
      <c r="AN9196">
        <v>0</v>
      </c>
      <c r="AO9196">
        <v>0</v>
      </c>
      <c r="AP9196" s="2">
        <v>42746</v>
      </c>
      <c r="AQ9196" t="s">
        <v>72</v>
      </c>
      <c r="AR9196" t="s">
        <v>72</v>
      </c>
      <c r="AS9196">
        <v>1821</v>
      </c>
      <c r="AT9196" s="4">
        <v>42566</v>
      </c>
      <c r="AU9196" t="s">
        <v>73</v>
      </c>
      <c r="AV9196">
        <v>1821</v>
      </c>
      <c r="AW9196" s="4">
        <v>42566</v>
      </c>
      <c r="BD9196">
        <v>0</v>
      </c>
      <c r="BN9196" t="s">
        <v>74</v>
      </c>
    </row>
    <row r="9197" spans="1:66" hidden="1">
      <c r="A9197">
        <v>106574</v>
      </c>
      <c r="B9197" s="3" t="s">
        <v>804</v>
      </c>
      <c r="C9197" s="1">
        <v>43300101</v>
      </c>
      <c r="D9197" t="s">
        <v>67</v>
      </c>
      <c r="H9197" t="str">
        <f>"01018180610"</f>
        <v>01018180610</v>
      </c>
      <c r="I9197" t="str">
        <f>"01018180610"</f>
        <v>01018180610</v>
      </c>
      <c r="K9197" t="str">
        <f>""</f>
        <v/>
      </c>
      <c r="M9197" t="s">
        <v>68</v>
      </c>
      <c r="N9197" t="str">
        <f t="shared" si="960"/>
        <v>FOR</v>
      </c>
      <c r="O9197" t="s">
        <v>69</v>
      </c>
      <c r="P9197" s="3" t="s">
        <v>75</v>
      </c>
      <c r="Q9197">
        <v>2015</v>
      </c>
      <c r="R9197" s="2">
        <v>42359</v>
      </c>
      <c r="S9197" s="2">
        <v>42360</v>
      </c>
      <c r="T9197" s="2">
        <v>42359</v>
      </c>
      <c r="U9197" s="2">
        <v>42419</v>
      </c>
      <c r="V9197" t="s">
        <v>71</v>
      </c>
      <c r="W9197" t="str">
        <f>"     2015/V6/1500530"</f>
        <v xml:space="preserve">     2015/V6/1500530</v>
      </c>
      <c r="X9197">
        <v>884.99</v>
      </c>
      <c r="Y9197">
        <v>0</v>
      </c>
      <c r="Z9197"/>
      <c r="AB9197"/>
      <c r="AC9197">
        <v>725.4</v>
      </c>
      <c r="AD9197">
        <v>147</v>
      </c>
      <c r="AE9197" s="1">
        <v>106633.8</v>
      </c>
      <c r="AF9197">
        <v>0</v>
      </c>
      <c r="AJ9197">
        <v>0</v>
      </c>
      <c r="AK9197">
        <v>0</v>
      </c>
      <c r="AL9197">
        <v>0</v>
      </c>
      <c r="AM9197">
        <v>0</v>
      </c>
      <c r="AN9197">
        <v>0</v>
      </c>
      <c r="AO9197">
        <v>0</v>
      </c>
      <c r="AP9197" s="2">
        <v>42746</v>
      </c>
      <c r="AQ9197" t="s">
        <v>72</v>
      </c>
      <c r="AR9197" t="s">
        <v>72</v>
      </c>
      <c r="AS9197">
        <v>1821</v>
      </c>
      <c r="AT9197" s="4">
        <v>42566</v>
      </c>
      <c r="AU9197" t="s">
        <v>73</v>
      </c>
      <c r="AV9197">
        <v>1821</v>
      </c>
      <c r="AW9197" s="4">
        <v>42566</v>
      </c>
      <c r="BD9197">
        <v>0</v>
      </c>
      <c r="BN9197" t="s">
        <v>74</v>
      </c>
    </row>
    <row r="9198" spans="1:66" hidden="1">
      <c r="A9198">
        <v>106575</v>
      </c>
      <c r="B9198" s="3" t="s">
        <v>805</v>
      </c>
      <c r="C9198" s="1">
        <v>43300101</v>
      </c>
      <c r="D9198" t="s">
        <v>67</v>
      </c>
      <c r="H9198" t="str">
        <f>"PSQCLD54C07A783D"</f>
        <v>PSQCLD54C07A783D</v>
      </c>
      <c r="I9198" t="str">
        <f>"01018460624"</f>
        <v>01018460624</v>
      </c>
      <c r="K9198" t="str">
        <f>""</f>
        <v/>
      </c>
      <c r="M9198" t="s">
        <v>68</v>
      </c>
      <c r="N9198" t="str">
        <f t="shared" si="960"/>
        <v>FOR</v>
      </c>
      <c r="O9198" t="s">
        <v>69</v>
      </c>
      <c r="P9198" s="3" t="s">
        <v>75</v>
      </c>
      <c r="Q9198">
        <v>2016</v>
      </c>
      <c r="R9198" s="2">
        <v>42450</v>
      </c>
      <c r="S9198" s="2">
        <v>42460</v>
      </c>
      <c r="T9198" s="2">
        <v>42450</v>
      </c>
      <c r="U9198" s="2">
        <v>42510</v>
      </c>
      <c r="V9198" t="s">
        <v>71</v>
      </c>
      <c r="W9198" t="str">
        <f>"               22/pa"</f>
        <v xml:space="preserve">               22/pa</v>
      </c>
      <c r="X9198" s="1">
        <v>3180.06</v>
      </c>
      <c r="Y9198">
        <v>0</v>
      </c>
      <c r="Z9198"/>
      <c r="AB9198"/>
      <c r="AC9198" s="1">
        <v>2606.61</v>
      </c>
      <c r="AD9198">
        <v>18</v>
      </c>
      <c r="AE9198" s="1">
        <v>46918.98</v>
      </c>
      <c r="AF9198">
        <v>0</v>
      </c>
      <c r="AJ9198">
        <v>0</v>
      </c>
      <c r="AK9198">
        <v>0</v>
      </c>
      <c r="AL9198">
        <v>0</v>
      </c>
      <c r="AM9198" s="1">
        <v>3180.06</v>
      </c>
      <c r="AN9198" s="1">
        <v>3180.06</v>
      </c>
      <c r="AO9198" s="1">
        <v>3180.06</v>
      </c>
      <c r="AP9198" s="2">
        <v>42746</v>
      </c>
      <c r="AQ9198" t="s">
        <v>72</v>
      </c>
      <c r="AR9198" t="s">
        <v>72</v>
      </c>
      <c r="AS9198">
        <v>1547</v>
      </c>
      <c r="AT9198" s="4">
        <v>42528</v>
      </c>
      <c r="AU9198" t="s">
        <v>73</v>
      </c>
      <c r="AV9198">
        <v>1547</v>
      </c>
      <c r="AW9198" s="4">
        <v>42528</v>
      </c>
      <c r="BD9198">
        <v>0</v>
      </c>
      <c r="BN9198" t="s">
        <v>74</v>
      </c>
    </row>
    <row r="9199" spans="1:66" hidden="1">
      <c r="A9199">
        <v>106576</v>
      </c>
      <c r="B9199" s="3" t="s">
        <v>806</v>
      </c>
      <c r="C9199" s="1">
        <v>43300101</v>
      </c>
      <c r="D9199" t="s">
        <v>67</v>
      </c>
      <c r="H9199" t="str">
        <f t="shared" ref="H9199:I9201" si="962">"04829050964"</f>
        <v>04829050964</v>
      </c>
      <c r="I9199" t="str">
        <f t="shared" si="962"/>
        <v>04829050964</v>
      </c>
      <c r="K9199" t="str">
        <f>""</f>
        <v/>
      </c>
      <c r="M9199" t="s">
        <v>68</v>
      </c>
      <c r="N9199" t="str">
        <f t="shared" si="960"/>
        <v>FOR</v>
      </c>
      <c r="O9199" t="s">
        <v>69</v>
      </c>
      <c r="P9199" s="3" t="s">
        <v>75</v>
      </c>
      <c r="Q9199">
        <v>2015</v>
      </c>
      <c r="R9199" s="2">
        <v>42137</v>
      </c>
      <c r="S9199" s="2">
        <v>42163</v>
      </c>
      <c r="T9199" s="2">
        <v>42149</v>
      </c>
      <c r="U9199" s="2">
        <v>42209</v>
      </c>
      <c r="V9199" t="s">
        <v>71</v>
      </c>
      <c r="W9199" t="str">
        <f>"          000022    "</f>
        <v xml:space="preserve">          000022    </v>
      </c>
      <c r="X9199">
        <v>270.83999999999997</v>
      </c>
      <c r="Y9199">
        <v>0</v>
      </c>
      <c r="Z9199"/>
      <c r="AB9199"/>
      <c r="AC9199">
        <v>222</v>
      </c>
      <c r="AD9199">
        <v>243</v>
      </c>
      <c r="AE9199" s="1">
        <v>53946</v>
      </c>
      <c r="AF9199">
        <v>0</v>
      </c>
      <c r="AJ9199">
        <v>0</v>
      </c>
      <c r="AK9199">
        <v>0</v>
      </c>
      <c r="AL9199">
        <v>0</v>
      </c>
      <c r="AM9199">
        <v>0</v>
      </c>
      <c r="AN9199">
        <v>0</v>
      </c>
      <c r="AO9199">
        <v>0</v>
      </c>
      <c r="AP9199" s="2">
        <v>42746</v>
      </c>
      <c r="AQ9199" t="s">
        <v>72</v>
      </c>
      <c r="AR9199" t="s">
        <v>72</v>
      </c>
      <c r="AS9199">
        <v>818</v>
      </c>
      <c r="AT9199" s="4">
        <v>42452</v>
      </c>
      <c r="AU9199" t="s">
        <v>73</v>
      </c>
      <c r="AV9199">
        <v>818</v>
      </c>
      <c r="AW9199" s="4">
        <v>42452</v>
      </c>
      <c r="BD9199">
        <v>0</v>
      </c>
      <c r="BN9199" t="s">
        <v>74</v>
      </c>
    </row>
    <row r="9200" spans="1:66">
      <c r="A9200">
        <v>106576</v>
      </c>
      <c r="B9200" s="3" t="s">
        <v>806</v>
      </c>
      <c r="C9200" s="1">
        <v>43300101</v>
      </c>
      <c r="D9200" t="s">
        <v>67</v>
      </c>
      <c r="H9200" t="str">
        <f t="shared" si="962"/>
        <v>04829050964</v>
      </c>
      <c r="I9200" t="str">
        <f t="shared" si="962"/>
        <v>04829050964</v>
      </c>
      <c r="K9200" t="str">
        <f>""</f>
        <v/>
      </c>
      <c r="M9200" t="s">
        <v>68</v>
      </c>
      <c r="N9200" t="str">
        <f t="shared" si="960"/>
        <v>FOR</v>
      </c>
      <c r="O9200" t="s">
        <v>69</v>
      </c>
      <c r="P9200" s="3" t="s">
        <v>75</v>
      </c>
      <c r="Q9200">
        <v>2016</v>
      </c>
      <c r="R9200" s="2">
        <v>42478</v>
      </c>
      <c r="S9200" s="2">
        <v>42481</v>
      </c>
      <c r="T9200" s="2">
        <v>42478</v>
      </c>
      <c r="U9200" s="2">
        <v>42538</v>
      </c>
      <c r="V9200" t="s">
        <v>71</v>
      </c>
      <c r="W9200" t="str">
        <f>"        FATTPA 67_16"</f>
        <v xml:space="preserve">        FATTPA 67_16</v>
      </c>
      <c r="X9200">
        <v>270.83999999999997</v>
      </c>
      <c r="Y9200">
        <v>0</v>
      </c>
      <c r="Z9200" s="3">
        <v>222</v>
      </c>
      <c r="AA9200">
        <v>151</v>
      </c>
      <c r="AB9200" s="5">
        <v>33522</v>
      </c>
      <c r="AC9200">
        <v>222</v>
      </c>
      <c r="AD9200">
        <v>151</v>
      </c>
      <c r="AE9200" s="1">
        <v>33522</v>
      </c>
      <c r="AF9200">
        <v>0</v>
      </c>
      <c r="AJ9200">
        <v>0</v>
      </c>
      <c r="AK9200">
        <v>0</v>
      </c>
      <c r="AL9200">
        <v>0</v>
      </c>
      <c r="AM9200">
        <v>270.83999999999997</v>
      </c>
      <c r="AN9200">
        <v>270.83999999999997</v>
      </c>
      <c r="AO9200">
        <v>270.83999999999997</v>
      </c>
      <c r="AP9200" s="2">
        <v>42746</v>
      </c>
      <c r="AQ9200" t="s">
        <v>72</v>
      </c>
      <c r="AR9200" t="s">
        <v>72</v>
      </c>
      <c r="AS9200">
        <v>3103</v>
      </c>
      <c r="AT9200" s="4">
        <v>42689</v>
      </c>
      <c r="AU9200" t="s">
        <v>73</v>
      </c>
      <c r="AV9200">
        <v>3103</v>
      </c>
      <c r="AW9200" s="4">
        <v>42689</v>
      </c>
      <c r="BD9200">
        <v>0</v>
      </c>
      <c r="BN9200" t="s">
        <v>74</v>
      </c>
    </row>
    <row r="9201" spans="1:66">
      <c r="A9201">
        <v>106576</v>
      </c>
      <c r="B9201" s="3" t="s">
        <v>806</v>
      </c>
      <c r="C9201" s="1">
        <v>43300101</v>
      </c>
      <c r="D9201" t="s">
        <v>67</v>
      </c>
      <c r="H9201" t="str">
        <f t="shared" si="962"/>
        <v>04829050964</v>
      </c>
      <c r="I9201" t="str">
        <f t="shared" si="962"/>
        <v>04829050964</v>
      </c>
      <c r="K9201" t="str">
        <f>""</f>
        <v/>
      </c>
      <c r="M9201" t="s">
        <v>68</v>
      </c>
      <c r="N9201" t="str">
        <f t="shared" si="960"/>
        <v>FOR</v>
      </c>
      <c r="O9201" t="s">
        <v>69</v>
      </c>
      <c r="P9201" s="3" t="s">
        <v>75</v>
      </c>
      <c r="Q9201">
        <v>2016</v>
      </c>
      <c r="R9201" s="2">
        <v>42653</v>
      </c>
      <c r="S9201" s="2">
        <v>42654</v>
      </c>
      <c r="T9201" s="2">
        <v>42653</v>
      </c>
      <c r="U9201" s="2">
        <v>42713</v>
      </c>
      <c r="V9201" t="s">
        <v>71</v>
      </c>
      <c r="W9201" t="str">
        <f>"       FATTPA 251_16"</f>
        <v xml:space="preserve">       FATTPA 251_16</v>
      </c>
      <c r="X9201">
        <v>270.83999999999997</v>
      </c>
      <c r="Y9201">
        <v>0</v>
      </c>
      <c r="Z9201" s="3">
        <v>222</v>
      </c>
      <c r="AA9201">
        <v>-24</v>
      </c>
      <c r="AB9201" s="5">
        <v>-5328</v>
      </c>
      <c r="AC9201">
        <v>222</v>
      </c>
      <c r="AD9201">
        <v>-24</v>
      </c>
      <c r="AE9201" s="1">
        <v>-5328</v>
      </c>
      <c r="AF9201">
        <v>0</v>
      </c>
      <c r="AJ9201">
        <v>270.83999999999997</v>
      </c>
      <c r="AK9201">
        <v>270.83999999999997</v>
      </c>
      <c r="AL9201">
        <v>270.83999999999997</v>
      </c>
      <c r="AM9201">
        <v>270.83999999999997</v>
      </c>
      <c r="AN9201">
        <v>270.83999999999997</v>
      </c>
      <c r="AO9201">
        <v>270.83999999999997</v>
      </c>
      <c r="AP9201" s="2">
        <v>42746</v>
      </c>
      <c r="AQ9201" t="s">
        <v>72</v>
      </c>
      <c r="AR9201" t="s">
        <v>72</v>
      </c>
      <c r="AS9201">
        <v>3103</v>
      </c>
      <c r="AT9201" s="4">
        <v>42689</v>
      </c>
      <c r="AV9201">
        <v>3103</v>
      </c>
      <c r="AW9201" s="4">
        <v>42689</v>
      </c>
      <c r="BD9201">
        <v>0</v>
      </c>
      <c r="BN9201" t="s">
        <v>74</v>
      </c>
    </row>
    <row r="9202" spans="1:66" hidden="1">
      <c r="A9202">
        <v>106578</v>
      </c>
      <c r="B9202" s="3" t="s">
        <v>807</v>
      </c>
      <c r="C9202" s="1">
        <v>43300101</v>
      </c>
      <c r="D9202" t="s">
        <v>67</v>
      </c>
      <c r="H9202" t="str">
        <f t="shared" ref="H9202:I9212" si="963">"02417881204"</f>
        <v>02417881204</v>
      </c>
      <c r="I9202" t="str">
        <f t="shared" si="963"/>
        <v>02417881204</v>
      </c>
      <c r="K9202" t="str">
        <f>""</f>
        <v/>
      </c>
      <c r="M9202" t="s">
        <v>68</v>
      </c>
      <c r="N9202" t="str">
        <f t="shared" si="960"/>
        <v>FOR</v>
      </c>
      <c r="O9202" t="s">
        <v>69</v>
      </c>
      <c r="P9202" s="3" t="s">
        <v>75</v>
      </c>
      <c r="Q9202">
        <v>2015</v>
      </c>
      <c r="R9202" s="2">
        <v>42123</v>
      </c>
      <c r="S9202" s="2">
        <v>42128</v>
      </c>
      <c r="T9202" s="2">
        <v>42128</v>
      </c>
      <c r="U9202" s="2">
        <v>42188</v>
      </c>
      <c r="V9202" t="s">
        <v>71</v>
      </c>
      <c r="W9202" t="str">
        <f>"              162/10"</f>
        <v xml:space="preserve">              162/10</v>
      </c>
      <c r="X9202" s="1">
        <v>3972.8</v>
      </c>
      <c r="Y9202">
        <v>0</v>
      </c>
      <c r="Z9202"/>
      <c r="AB9202"/>
      <c r="AC9202" s="1">
        <v>3820</v>
      </c>
      <c r="AD9202">
        <v>304</v>
      </c>
      <c r="AE9202" s="1">
        <v>1161280</v>
      </c>
      <c r="AF9202">
        <v>0</v>
      </c>
      <c r="AJ9202">
        <v>0</v>
      </c>
      <c r="AK9202">
        <v>0</v>
      </c>
      <c r="AL9202">
        <v>0</v>
      </c>
      <c r="AM9202">
        <v>0</v>
      </c>
      <c r="AN9202">
        <v>0</v>
      </c>
      <c r="AO9202">
        <v>0</v>
      </c>
      <c r="AP9202" s="2">
        <v>42746</v>
      </c>
      <c r="AQ9202" t="s">
        <v>72</v>
      </c>
      <c r="AR9202" t="s">
        <v>72</v>
      </c>
      <c r="AS9202">
        <v>1222</v>
      </c>
      <c r="AT9202" s="4">
        <v>42492</v>
      </c>
      <c r="AU9202" t="s">
        <v>73</v>
      </c>
      <c r="AV9202">
        <v>1222</v>
      </c>
      <c r="AW9202" s="4">
        <v>42492</v>
      </c>
      <c r="BD9202">
        <v>0</v>
      </c>
      <c r="BN9202" t="s">
        <v>74</v>
      </c>
    </row>
    <row r="9203" spans="1:66" hidden="1">
      <c r="A9203">
        <v>106578</v>
      </c>
      <c r="B9203" s="3" t="s">
        <v>807</v>
      </c>
      <c r="C9203" s="1">
        <v>43300101</v>
      </c>
      <c r="D9203" t="s">
        <v>67</v>
      </c>
      <c r="H9203" t="str">
        <f t="shared" si="963"/>
        <v>02417881204</v>
      </c>
      <c r="I9203" t="str">
        <f t="shared" si="963"/>
        <v>02417881204</v>
      </c>
      <c r="K9203" t="str">
        <f>""</f>
        <v/>
      </c>
      <c r="M9203" t="s">
        <v>68</v>
      </c>
      <c r="N9203" t="str">
        <f t="shared" si="960"/>
        <v>FOR</v>
      </c>
      <c r="O9203" t="s">
        <v>69</v>
      </c>
      <c r="P9203" s="3" t="s">
        <v>75</v>
      </c>
      <c r="Q9203">
        <v>2015</v>
      </c>
      <c r="R9203" s="2">
        <v>42123</v>
      </c>
      <c r="S9203" s="2">
        <v>42129</v>
      </c>
      <c r="T9203" s="2">
        <v>42128</v>
      </c>
      <c r="U9203" s="2">
        <v>42188</v>
      </c>
      <c r="V9203" t="s">
        <v>71</v>
      </c>
      <c r="W9203" t="str">
        <f>"              163/10"</f>
        <v xml:space="preserve">              163/10</v>
      </c>
      <c r="X9203" s="1">
        <v>1830</v>
      </c>
      <c r="Y9203">
        <v>0</v>
      </c>
      <c r="Z9203"/>
      <c r="AB9203"/>
      <c r="AC9203" s="1">
        <v>1500</v>
      </c>
      <c r="AD9203">
        <v>304</v>
      </c>
      <c r="AE9203" s="1">
        <v>456000</v>
      </c>
      <c r="AF9203">
        <v>0</v>
      </c>
      <c r="AJ9203">
        <v>0</v>
      </c>
      <c r="AK9203">
        <v>0</v>
      </c>
      <c r="AL9203">
        <v>0</v>
      </c>
      <c r="AM9203">
        <v>0</v>
      </c>
      <c r="AN9203">
        <v>0</v>
      </c>
      <c r="AO9203">
        <v>0</v>
      </c>
      <c r="AP9203" s="2">
        <v>42746</v>
      </c>
      <c r="AQ9203" t="s">
        <v>72</v>
      </c>
      <c r="AR9203" t="s">
        <v>72</v>
      </c>
      <c r="AS9203">
        <v>1222</v>
      </c>
      <c r="AT9203" s="4">
        <v>42492</v>
      </c>
      <c r="AU9203" t="s">
        <v>73</v>
      </c>
      <c r="AV9203">
        <v>1222</v>
      </c>
      <c r="AW9203" s="4">
        <v>42492</v>
      </c>
      <c r="BD9203">
        <v>0</v>
      </c>
      <c r="BN9203" t="s">
        <v>74</v>
      </c>
    </row>
    <row r="9204" spans="1:66" hidden="1">
      <c r="A9204">
        <v>106578</v>
      </c>
      <c r="B9204" s="3" t="s">
        <v>807</v>
      </c>
      <c r="C9204" s="1">
        <v>43300101</v>
      </c>
      <c r="D9204" t="s">
        <v>67</v>
      </c>
      <c r="H9204" t="str">
        <f t="shared" si="963"/>
        <v>02417881204</v>
      </c>
      <c r="I9204" t="str">
        <f t="shared" si="963"/>
        <v>02417881204</v>
      </c>
      <c r="K9204" t="str">
        <f>""</f>
        <v/>
      </c>
      <c r="M9204" t="s">
        <v>68</v>
      </c>
      <c r="N9204" t="str">
        <f t="shared" si="960"/>
        <v>FOR</v>
      </c>
      <c r="O9204" t="s">
        <v>69</v>
      </c>
      <c r="P9204" s="3" t="s">
        <v>75</v>
      </c>
      <c r="Q9204">
        <v>2015</v>
      </c>
      <c r="R9204" s="2">
        <v>42165</v>
      </c>
      <c r="S9204" s="2">
        <v>42170</v>
      </c>
      <c r="T9204" s="2">
        <v>42168</v>
      </c>
      <c r="U9204" s="2">
        <v>42228</v>
      </c>
      <c r="V9204" t="s">
        <v>71</v>
      </c>
      <c r="W9204" t="str">
        <f>"              301/10"</f>
        <v xml:space="preserve">              301/10</v>
      </c>
      <c r="X9204" s="1">
        <v>1830</v>
      </c>
      <c r="Y9204">
        <v>0</v>
      </c>
      <c r="Z9204"/>
      <c r="AB9204"/>
      <c r="AC9204" s="1">
        <v>1500</v>
      </c>
      <c r="AD9204">
        <v>264</v>
      </c>
      <c r="AE9204" s="1">
        <v>396000</v>
      </c>
      <c r="AF9204">
        <v>0</v>
      </c>
      <c r="AJ9204">
        <v>0</v>
      </c>
      <c r="AK9204">
        <v>0</v>
      </c>
      <c r="AL9204">
        <v>0</v>
      </c>
      <c r="AM9204">
        <v>0</v>
      </c>
      <c r="AN9204">
        <v>0</v>
      </c>
      <c r="AO9204">
        <v>0</v>
      </c>
      <c r="AP9204" s="2">
        <v>42746</v>
      </c>
      <c r="AQ9204" t="s">
        <v>72</v>
      </c>
      <c r="AR9204" t="s">
        <v>72</v>
      </c>
      <c r="AS9204">
        <v>1222</v>
      </c>
      <c r="AT9204" s="4">
        <v>42492</v>
      </c>
      <c r="AU9204" t="s">
        <v>73</v>
      </c>
      <c r="AV9204">
        <v>1222</v>
      </c>
      <c r="AW9204" s="4">
        <v>42492</v>
      </c>
      <c r="BD9204">
        <v>0</v>
      </c>
      <c r="BN9204" t="s">
        <v>74</v>
      </c>
    </row>
    <row r="9205" spans="1:66" hidden="1">
      <c r="A9205">
        <v>106578</v>
      </c>
      <c r="B9205" s="3" t="s">
        <v>807</v>
      </c>
      <c r="C9205" s="1">
        <v>43300101</v>
      </c>
      <c r="D9205" t="s">
        <v>67</v>
      </c>
      <c r="H9205" t="str">
        <f t="shared" si="963"/>
        <v>02417881204</v>
      </c>
      <c r="I9205" t="str">
        <f t="shared" si="963"/>
        <v>02417881204</v>
      </c>
      <c r="K9205" t="str">
        <f>""</f>
        <v/>
      </c>
      <c r="M9205" t="s">
        <v>68</v>
      </c>
      <c r="N9205" t="str">
        <f t="shared" si="960"/>
        <v>FOR</v>
      </c>
      <c r="O9205" t="s">
        <v>69</v>
      </c>
      <c r="P9205" s="3" t="s">
        <v>75</v>
      </c>
      <c r="Q9205">
        <v>2015</v>
      </c>
      <c r="R9205" s="2">
        <v>42165</v>
      </c>
      <c r="S9205" s="2">
        <v>42170</v>
      </c>
      <c r="T9205" s="2">
        <v>42168</v>
      </c>
      <c r="U9205" s="2">
        <v>42228</v>
      </c>
      <c r="V9205" t="s">
        <v>71</v>
      </c>
      <c r="W9205" t="str">
        <f>"              302/10"</f>
        <v xml:space="preserve">              302/10</v>
      </c>
      <c r="X9205" s="1">
        <v>2038.4</v>
      </c>
      <c r="Y9205">
        <v>0</v>
      </c>
      <c r="Z9205"/>
      <c r="AB9205"/>
      <c r="AC9205" s="1">
        <v>1960</v>
      </c>
      <c r="AD9205">
        <v>264</v>
      </c>
      <c r="AE9205" s="1">
        <v>517440</v>
      </c>
      <c r="AF9205">
        <v>0</v>
      </c>
      <c r="AJ9205">
        <v>0</v>
      </c>
      <c r="AK9205">
        <v>0</v>
      </c>
      <c r="AL9205">
        <v>0</v>
      </c>
      <c r="AM9205">
        <v>0</v>
      </c>
      <c r="AN9205">
        <v>0</v>
      </c>
      <c r="AO9205">
        <v>0</v>
      </c>
      <c r="AP9205" s="2">
        <v>42746</v>
      </c>
      <c r="AQ9205" t="s">
        <v>72</v>
      </c>
      <c r="AR9205" t="s">
        <v>72</v>
      </c>
      <c r="AS9205">
        <v>1222</v>
      </c>
      <c r="AT9205" s="4">
        <v>42492</v>
      </c>
      <c r="AU9205" t="s">
        <v>73</v>
      </c>
      <c r="AV9205">
        <v>1222</v>
      </c>
      <c r="AW9205" s="4">
        <v>42492</v>
      </c>
      <c r="BD9205">
        <v>0</v>
      </c>
      <c r="BN9205" t="s">
        <v>74</v>
      </c>
    </row>
    <row r="9206" spans="1:66" hidden="1">
      <c r="A9206">
        <v>106578</v>
      </c>
      <c r="B9206" s="3" t="s">
        <v>807</v>
      </c>
      <c r="C9206" s="1">
        <v>43300101</v>
      </c>
      <c r="D9206" t="s">
        <v>67</v>
      </c>
      <c r="H9206" t="str">
        <f t="shared" si="963"/>
        <v>02417881204</v>
      </c>
      <c r="I9206" t="str">
        <f t="shared" si="963"/>
        <v>02417881204</v>
      </c>
      <c r="K9206" t="str">
        <f>""</f>
        <v/>
      </c>
      <c r="M9206" t="s">
        <v>68</v>
      </c>
      <c r="N9206" t="str">
        <f t="shared" si="960"/>
        <v>FOR</v>
      </c>
      <c r="O9206" t="s">
        <v>69</v>
      </c>
      <c r="P9206" s="3" t="s">
        <v>75</v>
      </c>
      <c r="Q9206">
        <v>2015</v>
      </c>
      <c r="R9206" s="2">
        <v>42177</v>
      </c>
      <c r="S9206" s="2">
        <v>42191</v>
      </c>
      <c r="T9206" s="2">
        <v>42187</v>
      </c>
      <c r="U9206" s="2">
        <v>42247</v>
      </c>
      <c r="V9206" t="s">
        <v>71</v>
      </c>
      <c r="W9206" t="str">
        <f>"              348/10"</f>
        <v xml:space="preserve">              348/10</v>
      </c>
      <c r="X9206" s="1">
        <v>2038.4</v>
      </c>
      <c r="Y9206">
        <v>0</v>
      </c>
      <c r="Z9206"/>
      <c r="AB9206"/>
      <c r="AC9206" s="1">
        <v>1960</v>
      </c>
      <c r="AD9206">
        <v>245</v>
      </c>
      <c r="AE9206" s="1">
        <v>480200</v>
      </c>
      <c r="AF9206">
        <v>0</v>
      </c>
      <c r="AJ9206">
        <v>0</v>
      </c>
      <c r="AK9206">
        <v>0</v>
      </c>
      <c r="AL9206">
        <v>0</v>
      </c>
      <c r="AM9206">
        <v>0</v>
      </c>
      <c r="AN9206">
        <v>0</v>
      </c>
      <c r="AO9206">
        <v>0</v>
      </c>
      <c r="AP9206" s="2">
        <v>42746</v>
      </c>
      <c r="AQ9206" t="s">
        <v>72</v>
      </c>
      <c r="AR9206" t="s">
        <v>72</v>
      </c>
      <c r="AS9206">
        <v>1222</v>
      </c>
      <c r="AT9206" s="4">
        <v>42492</v>
      </c>
      <c r="AU9206" t="s">
        <v>73</v>
      </c>
      <c r="AV9206">
        <v>1222</v>
      </c>
      <c r="AW9206" s="4">
        <v>42492</v>
      </c>
      <c r="BD9206">
        <v>0</v>
      </c>
      <c r="BN9206" t="s">
        <v>74</v>
      </c>
    </row>
    <row r="9207" spans="1:66" hidden="1">
      <c r="A9207">
        <v>106578</v>
      </c>
      <c r="B9207" s="3" t="s">
        <v>807</v>
      </c>
      <c r="C9207" s="1">
        <v>43300101</v>
      </c>
      <c r="D9207" t="s">
        <v>67</v>
      </c>
      <c r="H9207" t="str">
        <f t="shared" si="963"/>
        <v>02417881204</v>
      </c>
      <c r="I9207" t="str">
        <f t="shared" si="963"/>
        <v>02417881204</v>
      </c>
      <c r="K9207" t="str">
        <f>""</f>
        <v/>
      </c>
      <c r="M9207" t="s">
        <v>68</v>
      </c>
      <c r="N9207" t="str">
        <f t="shared" si="960"/>
        <v>FOR</v>
      </c>
      <c r="O9207" t="s">
        <v>69</v>
      </c>
      <c r="P9207" s="3" t="s">
        <v>75</v>
      </c>
      <c r="Q9207">
        <v>2015</v>
      </c>
      <c r="R9207" s="2">
        <v>42177</v>
      </c>
      <c r="S9207" s="2">
        <v>42191</v>
      </c>
      <c r="T9207" s="2">
        <v>42187</v>
      </c>
      <c r="U9207" s="2">
        <v>42247</v>
      </c>
      <c r="V9207" t="s">
        <v>71</v>
      </c>
      <c r="W9207" t="str">
        <f>"              349/10"</f>
        <v xml:space="preserve">              349/10</v>
      </c>
      <c r="X9207" s="1">
        <v>1555.5</v>
      </c>
      <c r="Y9207">
        <v>0</v>
      </c>
      <c r="Z9207"/>
      <c r="AB9207"/>
      <c r="AC9207" s="1">
        <v>1275</v>
      </c>
      <c r="AD9207">
        <v>245</v>
      </c>
      <c r="AE9207" s="1">
        <v>312375</v>
      </c>
      <c r="AF9207">
        <v>0</v>
      </c>
      <c r="AJ9207">
        <v>0</v>
      </c>
      <c r="AK9207">
        <v>0</v>
      </c>
      <c r="AL9207">
        <v>0</v>
      </c>
      <c r="AM9207">
        <v>0</v>
      </c>
      <c r="AN9207">
        <v>0</v>
      </c>
      <c r="AO9207">
        <v>0</v>
      </c>
      <c r="AP9207" s="2">
        <v>42746</v>
      </c>
      <c r="AQ9207" t="s">
        <v>72</v>
      </c>
      <c r="AR9207" t="s">
        <v>72</v>
      </c>
      <c r="AS9207">
        <v>1222</v>
      </c>
      <c r="AT9207" s="4">
        <v>42492</v>
      </c>
      <c r="AU9207" t="s">
        <v>73</v>
      </c>
      <c r="AV9207">
        <v>1222</v>
      </c>
      <c r="AW9207" s="4">
        <v>42492</v>
      </c>
      <c r="BD9207">
        <v>0</v>
      </c>
      <c r="BN9207" t="s">
        <v>74</v>
      </c>
    </row>
    <row r="9208" spans="1:66">
      <c r="A9208">
        <v>106578</v>
      </c>
      <c r="B9208" s="3" t="s">
        <v>807</v>
      </c>
      <c r="C9208" s="1">
        <v>43300101</v>
      </c>
      <c r="D9208" t="s">
        <v>67</v>
      </c>
      <c r="H9208" t="str">
        <f t="shared" si="963"/>
        <v>02417881204</v>
      </c>
      <c r="I9208" t="str">
        <f t="shared" si="963"/>
        <v>02417881204</v>
      </c>
      <c r="K9208" t="str">
        <f>""</f>
        <v/>
      </c>
      <c r="M9208" t="s">
        <v>68</v>
      </c>
      <c r="N9208" t="str">
        <f t="shared" si="960"/>
        <v>FOR</v>
      </c>
      <c r="O9208" t="s">
        <v>69</v>
      </c>
      <c r="P9208" s="3" t="s">
        <v>75</v>
      </c>
      <c r="Q9208">
        <v>2016</v>
      </c>
      <c r="R9208" s="2">
        <v>42409</v>
      </c>
      <c r="S9208" s="2">
        <v>42417</v>
      </c>
      <c r="T9208" s="2">
        <v>42416</v>
      </c>
      <c r="U9208" s="2">
        <v>42476</v>
      </c>
      <c r="V9208" t="s">
        <v>71</v>
      </c>
      <c r="W9208" t="str">
        <f>"             1610074"</f>
        <v xml:space="preserve">             1610074</v>
      </c>
      <c r="X9208" s="1">
        <v>5954</v>
      </c>
      <c r="Y9208">
        <v>0</v>
      </c>
      <c r="Z9208" s="5">
        <v>5725</v>
      </c>
      <c r="AA9208">
        <v>242</v>
      </c>
      <c r="AB9208" s="5">
        <v>1385450</v>
      </c>
      <c r="AC9208" s="1">
        <v>5725</v>
      </c>
      <c r="AD9208">
        <v>242</v>
      </c>
      <c r="AE9208" s="1">
        <v>1385450</v>
      </c>
      <c r="AF9208">
        <v>229</v>
      </c>
      <c r="AJ9208">
        <v>0</v>
      </c>
      <c r="AK9208">
        <v>0</v>
      </c>
      <c r="AL9208">
        <v>0</v>
      </c>
      <c r="AM9208" s="1">
        <v>5954</v>
      </c>
      <c r="AN9208" s="1">
        <v>5954</v>
      </c>
      <c r="AO9208" s="1">
        <v>5954</v>
      </c>
      <c r="AP9208" s="2">
        <v>42746</v>
      </c>
      <c r="AQ9208" t="s">
        <v>72</v>
      </c>
      <c r="AR9208" t="s">
        <v>72</v>
      </c>
      <c r="AS9208">
        <v>3458</v>
      </c>
      <c r="AT9208" s="4">
        <v>42718</v>
      </c>
      <c r="AU9208" t="s">
        <v>73</v>
      </c>
      <c r="AV9208">
        <v>3458</v>
      </c>
      <c r="AW9208" s="4">
        <v>42718</v>
      </c>
      <c r="BD9208">
        <v>229</v>
      </c>
      <c r="BN9208" t="s">
        <v>74</v>
      </c>
    </row>
    <row r="9209" spans="1:66">
      <c r="A9209">
        <v>106578</v>
      </c>
      <c r="B9209" s="3" t="s">
        <v>807</v>
      </c>
      <c r="C9209" s="1">
        <v>43300101</v>
      </c>
      <c r="D9209" t="s">
        <v>67</v>
      </c>
      <c r="H9209" t="str">
        <f t="shared" si="963"/>
        <v>02417881204</v>
      </c>
      <c r="I9209" t="str">
        <f t="shared" si="963"/>
        <v>02417881204</v>
      </c>
      <c r="K9209" t="str">
        <f>""</f>
        <v/>
      </c>
      <c r="M9209" t="s">
        <v>68</v>
      </c>
      <c r="N9209" t="str">
        <f t="shared" si="960"/>
        <v>FOR</v>
      </c>
      <c r="O9209" t="s">
        <v>69</v>
      </c>
      <c r="P9209" s="3" t="s">
        <v>75</v>
      </c>
      <c r="Q9209">
        <v>2016</v>
      </c>
      <c r="R9209" s="2">
        <v>42409</v>
      </c>
      <c r="S9209" s="2">
        <v>42417</v>
      </c>
      <c r="T9209" s="2">
        <v>42416</v>
      </c>
      <c r="U9209" s="2">
        <v>42476</v>
      </c>
      <c r="V9209" t="s">
        <v>71</v>
      </c>
      <c r="W9209" t="str">
        <f>"             1610075"</f>
        <v xml:space="preserve">             1610075</v>
      </c>
      <c r="X9209" s="1">
        <v>1555.5</v>
      </c>
      <c r="Y9209">
        <v>0</v>
      </c>
      <c r="Z9209" s="5">
        <v>1275</v>
      </c>
      <c r="AA9209">
        <v>242</v>
      </c>
      <c r="AB9209" s="5">
        <v>308550</v>
      </c>
      <c r="AC9209" s="1">
        <v>1275</v>
      </c>
      <c r="AD9209">
        <v>242</v>
      </c>
      <c r="AE9209" s="1">
        <v>308550</v>
      </c>
      <c r="AF9209">
        <v>280.5</v>
      </c>
      <c r="AJ9209">
        <v>0</v>
      </c>
      <c r="AK9209">
        <v>0</v>
      </c>
      <c r="AL9209">
        <v>0</v>
      </c>
      <c r="AM9209" s="1">
        <v>1555.5</v>
      </c>
      <c r="AN9209" s="1">
        <v>1555.5</v>
      </c>
      <c r="AO9209" s="1">
        <v>1555.5</v>
      </c>
      <c r="AP9209" s="2">
        <v>42746</v>
      </c>
      <c r="AQ9209" t="s">
        <v>72</v>
      </c>
      <c r="AR9209" t="s">
        <v>72</v>
      </c>
      <c r="AS9209">
        <v>3458</v>
      </c>
      <c r="AT9209" s="4">
        <v>42718</v>
      </c>
      <c r="AU9209" t="s">
        <v>73</v>
      </c>
      <c r="AV9209">
        <v>3458</v>
      </c>
      <c r="AW9209" s="4">
        <v>42718</v>
      </c>
      <c r="BD9209">
        <v>280.5</v>
      </c>
      <c r="BN9209" t="s">
        <v>74</v>
      </c>
    </row>
    <row r="9210" spans="1:66">
      <c r="A9210">
        <v>106578</v>
      </c>
      <c r="B9210" s="3" t="s">
        <v>807</v>
      </c>
      <c r="C9210" s="1">
        <v>43300101</v>
      </c>
      <c r="D9210" t="s">
        <v>67</v>
      </c>
      <c r="H9210" t="str">
        <f t="shared" si="963"/>
        <v>02417881204</v>
      </c>
      <c r="I9210" t="str">
        <f t="shared" si="963"/>
        <v>02417881204</v>
      </c>
      <c r="K9210" t="str">
        <f>""</f>
        <v/>
      </c>
      <c r="M9210" t="s">
        <v>68</v>
      </c>
      <c r="N9210" t="str">
        <f t="shared" ref="N9210:N9226" si="964">"FOR"</f>
        <v>FOR</v>
      </c>
      <c r="O9210" t="s">
        <v>69</v>
      </c>
      <c r="P9210" s="3" t="s">
        <v>75</v>
      </c>
      <c r="Q9210">
        <v>2016</v>
      </c>
      <c r="R9210" s="2">
        <v>42521</v>
      </c>
      <c r="S9210" s="2">
        <v>42530</v>
      </c>
      <c r="T9210" s="2">
        <v>42527</v>
      </c>
      <c r="U9210" s="2">
        <v>42587</v>
      </c>
      <c r="V9210" t="s">
        <v>71</v>
      </c>
      <c r="W9210" t="str">
        <f>"             1610408"</f>
        <v xml:space="preserve">             1610408</v>
      </c>
      <c r="X9210" s="1">
        <v>2953.6</v>
      </c>
      <c r="Y9210">
        <v>0</v>
      </c>
      <c r="Z9210" s="5">
        <v>2840</v>
      </c>
      <c r="AA9210">
        <v>131</v>
      </c>
      <c r="AB9210" s="5">
        <v>372040</v>
      </c>
      <c r="AC9210" s="1">
        <v>2840</v>
      </c>
      <c r="AD9210">
        <v>131</v>
      </c>
      <c r="AE9210" s="1">
        <v>372040</v>
      </c>
      <c r="AF9210">
        <v>113.6</v>
      </c>
      <c r="AJ9210">
        <v>0</v>
      </c>
      <c r="AK9210">
        <v>0</v>
      </c>
      <c r="AL9210">
        <v>0</v>
      </c>
      <c r="AM9210" s="1">
        <v>2953.6</v>
      </c>
      <c r="AN9210" s="1">
        <v>2953.6</v>
      </c>
      <c r="AO9210" s="1">
        <v>2953.6</v>
      </c>
      <c r="AP9210" s="2">
        <v>42746</v>
      </c>
      <c r="AQ9210" t="s">
        <v>72</v>
      </c>
      <c r="AR9210" t="s">
        <v>72</v>
      </c>
      <c r="AS9210">
        <v>3458</v>
      </c>
      <c r="AT9210" s="4">
        <v>42718</v>
      </c>
      <c r="AU9210" t="s">
        <v>73</v>
      </c>
      <c r="AV9210">
        <v>3458</v>
      </c>
      <c r="AW9210" s="4">
        <v>42718</v>
      </c>
      <c r="BB9210">
        <v>113.6</v>
      </c>
      <c r="BD9210">
        <v>0</v>
      </c>
      <c r="BN9210" t="s">
        <v>74</v>
      </c>
    </row>
    <row r="9211" spans="1:66">
      <c r="A9211">
        <v>106578</v>
      </c>
      <c r="B9211" s="3" t="s">
        <v>807</v>
      </c>
      <c r="C9211" s="1">
        <v>43300101</v>
      </c>
      <c r="D9211" t="s">
        <v>67</v>
      </c>
      <c r="H9211" t="str">
        <f t="shared" si="963"/>
        <v>02417881204</v>
      </c>
      <c r="I9211" t="str">
        <f t="shared" si="963"/>
        <v>02417881204</v>
      </c>
      <c r="K9211" t="str">
        <f>""</f>
        <v/>
      </c>
      <c r="M9211" t="s">
        <v>68</v>
      </c>
      <c r="N9211" t="str">
        <f t="shared" si="964"/>
        <v>FOR</v>
      </c>
      <c r="O9211" t="s">
        <v>69</v>
      </c>
      <c r="P9211" s="3" t="s">
        <v>75</v>
      </c>
      <c r="Q9211">
        <v>2016</v>
      </c>
      <c r="R9211" s="2">
        <v>42551</v>
      </c>
      <c r="S9211" s="2">
        <v>42556</v>
      </c>
      <c r="T9211" s="2">
        <v>42555</v>
      </c>
      <c r="U9211" s="2">
        <v>42615</v>
      </c>
      <c r="V9211" t="s">
        <v>71</v>
      </c>
      <c r="W9211" t="str">
        <f>"             1610529"</f>
        <v xml:space="preserve">             1610529</v>
      </c>
      <c r="X9211" s="1">
        <v>6820.32</v>
      </c>
      <c r="Y9211">
        <v>0</v>
      </c>
      <c r="Z9211" s="5">
        <v>6558</v>
      </c>
      <c r="AA9211">
        <v>103</v>
      </c>
      <c r="AB9211" s="5">
        <v>675474</v>
      </c>
      <c r="AC9211" s="1">
        <v>6558</v>
      </c>
      <c r="AD9211">
        <v>103</v>
      </c>
      <c r="AE9211" s="1">
        <v>675474</v>
      </c>
      <c r="AF9211">
        <v>262.32</v>
      </c>
      <c r="AJ9211">
        <v>0</v>
      </c>
      <c r="AK9211">
        <v>0</v>
      </c>
      <c r="AL9211">
        <v>0</v>
      </c>
      <c r="AM9211" s="1">
        <v>6820.32</v>
      </c>
      <c r="AN9211" s="1">
        <v>6820.32</v>
      </c>
      <c r="AO9211" s="1">
        <v>6820.32</v>
      </c>
      <c r="AP9211" s="2">
        <v>42746</v>
      </c>
      <c r="AQ9211" t="s">
        <v>72</v>
      </c>
      <c r="AR9211" t="s">
        <v>72</v>
      </c>
      <c r="AS9211">
        <v>3458</v>
      </c>
      <c r="AT9211" s="4">
        <v>42718</v>
      </c>
      <c r="AU9211" t="s">
        <v>73</v>
      </c>
      <c r="AV9211">
        <v>3458</v>
      </c>
      <c r="AW9211" s="4">
        <v>42718</v>
      </c>
      <c r="BA9211">
        <v>262.32</v>
      </c>
      <c r="BD9211">
        <v>0</v>
      </c>
      <c r="BN9211" t="s">
        <v>74</v>
      </c>
    </row>
    <row r="9212" spans="1:66">
      <c r="A9212">
        <v>106578</v>
      </c>
      <c r="B9212" s="3" t="s">
        <v>807</v>
      </c>
      <c r="C9212" s="1">
        <v>43300101</v>
      </c>
      <c r="D9212" t="s">
        <v>67</v>
      </c>
      <c r="H9212" t="str">
        <f t="shared" si="963"/>
        <v>02417881204</v>
      </c>
      <c r="I9212" t="str">
        <f t="shared" si="963"/>
        <v>02417881204</v>
      </c>
      <c r="K9212" t="str">
        <f>""</f>
        <v/>
      </c>
      <c r="M9212" t="s">
        <v>68</v>
      </c>
      <c r="N9212" t="str">
        <f t="shared" si="964"/>
        <v>FOR</v>
      </c>
      <c r="O9212" t="s">
        <v>69</v>
      </c>
      <c r="P9212" s="3" t="s">
        <v>75</v>
      </c>
      <c r="Q9212">
        <v>2016</v>
      </c>
      <c r="R9212" s="2">
        <v>42551</v>
      </c>
      <c r="S9212" s="2">
        <v>42556</v>
      </c>
      <c r="T9212" s="2">
        <v>42555</v>
      </c>
      <c r="U9212" s="2">
        <v>42615</v>
      </c>
      <c r="V9212" t="s">
        <v>71</v>
      </c>
      <c r="W9212" t="str">
        <f>"             1610530"</f>
        <v xml:space="preserve">             1610530</v>
      </c>
      <c r="X9212">
        <v>785.2</v>
      </c>
      <c r="Y9212">
        <v>0</v>
      </c>
      <c r="Z9212" s="3">
        <v>755</v>
      </c>
      <c r="AA9212">
        <v>103</v>
      </c>
      <c r="AB9212" s="5">
        <v>77765</v>
      </c>
      <c r="AC9212">
        <v>755</v>
      </c>
      <c r="AD9212">
        <v>103</v>
      </c>
      <c r="AE9212" s="1">
        <v>77765</v>
      </c>
      <c r="AF9212">
        <v>30.2</v>
      </c>
      <c r="AJ9212">
        <v>0</v>
      </c>
      <c r="AK9212">
        <v>0</v>
      </c>
      <c r="AL9212">
        <v>0</v>
      </c>
      <c r="AM9212">
        <v>785.2</v>
      </c>
      <c r="AN9212">
        <v>785.2</v>
      </c>
      <c r="AO9212">
        <v>785.2</v>
      </c>
      <c r="AP9212" s="2">
        <v>42746</v>
      </c>
      <c r="AQ9212" t="s">
        <v>72</v>
      </c>
      <c r="AR9212" t="s">
        <v>72</v>
      </c>
      <c r="AS9212">
        <v>3458</v>
      </c>
      <c r="AT9212" s="4">
        <v>42718</v>
      </c>
      <c r="AU9212" t="s">
        <v>73</v>
      </c>
      <c r="AV9212">
        <v>3458</v>
      </c>
      <c r="AW9212" s="4">
        <v>42718</v>
      </c>
      <c r="BA9212">
        <v>30.2</v>
      </c>
      <c r="BD9212">
        <v>0</v>
      </c>
      <c r="BN9212" t="s">
        <v>74</v>
      </c>
    </row>
    <row r="9213" spans="1:66" hidden="1">
      <c r="A9213">
        <v>106583</v>
      </c>
      <c r="B9213" s="3" t="s">
        <v>808</v>
      </c>
      <c r="C9213" s="1">
        <v>43300101</v>
      </c>
      <c r="D9213" t="s">
        <v>67</v>
      </c>
      <c r="H9213" t="str">
        <f t="shared" ref="H9213:I9223" si="965">"08959351001"</f>
        <v>08959351001</v>
      </c>
      <c r="I9213" t="str">
        <f t="shared" si="965"/>
        <v>08959351001</v>
      </c>
      <c r="K9213" t="str">
        <f>""</f>
        <v/>
      </c>
      <c r="M9213" t="s">
        <v>68</v>
      </c>
      <c r="N9213" t="str">
        <f t="shared" si="964"/>
        <v>FOR</v>
      </c>
      <c r="O9213" t="s">
        <v>69</v>
      </c>
      <c r="P9213" s="3" t="s">
        <v>75</v>
      </c>
      <c r="Q9213">
        <v>2015</v>
      </c>
      <c r="R9213" s="2">
        <v>42186</v>
      </c>
      <c r="S9213" s="2">
        <v>42188</v>
      </c>
      <c r="T9213" s="2">
        <v>42187</v>
      </c>
      <c r="U9213" s="2">
        <v>42247</v>
      </c>
      <c r="V9213" t="s">
        <v>71</v>
      </c>
      <c r="W9213" t="str">
        <f>"              248/PA"</f>
        <v xml:space="preserve">              248/PA</v>
      </c>
      <c r="X9213" s="1">
        <v>1866.75</v>
      </c>
      <c r="Y9213">
        <v>0</v>
      </c>
      <c r="Z9213"/>
      <c r="AB9213"/>
      <c r="AC9213" s="1">
        <v>1533.01</v>
      </c>
      <c r="AD9213">
        <v>150</v>
      </c>
      <c r="AE9213" s="1">
        <v>229951.5</v>
      </c>
      <c r="AF9213">
        <v>0</v>
      </c>
      <c r="AJ9213">
        <v>0</v>
      </c>
      <c r="AK9213">
        <v>0</v>
      </c>
      <c r="AL9213">
        <v>0</v>
      </c>
      <c r="AM9213">
        <v>0</v>
      </c>
      <c r="AN9213">
        <v>0</v>
      </c>
      <c r="AO9213">
        <v>0</v>
      </c>
      <c r="AP9213" s="2">
        <v>42746</v>
      </c>
      <c r="AQ9213" t="s">
        <v>72</v>
      </c>
      <c r="AR9213" t="s">
        <v>72</v>
      </c>
      <c r="AS9213">
        <v>159</v>
      </c>
      <c r="AT9213" s="4">
        <v>42397</v>
      </c>
      <c r="AU9213" t="s">
        <v>73</v>
      </c>
      <c r="AV9213">
        <v>159</v>
      </c>
      <c r="AW9213" s="4">
        <v>42397</v>
      </c>
      <c r="BD9213">
        <v>0</v>
      </c>
      <c r="BN9213" t="s">
        <v>74</v>
      </c>
    </row>
    <row r="9214" spans="1:66" hidden="1">
      <c r="A9214">
        <v>106583</v>
      </c>
      <c r="B9214" s="3" t="s">
        <v>808</v>
      </c>
      <c r="C9214" s="1">
        <v>43300101</v>
      </c>
      <c r="D9214" t="s">
        <v>67</v>
      </c>
      <c r="H9214" t="str">
        <f t="shared" si="965"/>
        <v>08959351001</v>
      </c>
      <c r="I9214" t="str">
        <f t="shared" si="965"/>
        <v>08959351001</v>
      </c>
      <c r="K9214" t="str">
        <f>""</f>
        <v/>
      </c>
      <c r="M9214" t="s">
        <v>68</v>
      </c>
      <c r="N9214" t="str">
        <f t="shared" si="964"/>
        <v>FOR</v>
      </c>
      <c r="O9214" t="s">
        <v>69</v>
      </c>
      <c r="P9214" s="3" t="s">
        <v>75</v>
      </c>
      <c r="Q9214">
        <v>2015</v>
      </c>
      <c r="R9214" s="2">
        <v>42186</v>
      </c>
      <c r="S9214" s="2">
        <v>42191</v>
      </c>
      <c r="T9214" s="2">
        <v>42188</v>
      </c>
      <c r="U9214" s="2">
        <v>42248</v>
      </c>
      <c r="V9214" t="s">
        <v>71</v>
      </c>
      <c r="W9214" t="str">
        <f>"              249/PA"</f>
        <v xml:space="preserve">              249/PA</v>
      </c>
      <c r="X9214" s="1">
        <v>3002.56</v>
      </c>
      <c r="Y9214">
        <v>0</v>
      </c>
      <c r="Z9214"/>
      <c r="AB9214"/>
      <c r="AC9214" s="1">
        <v>2464</v>
      </c>
      <c r="AD9214">
        <v>149</v>
      </c>
      <c r="AE9214" s="1">
        <v>367136</v>
      </c>
      <c r="AF9214">
        <v>0</v>
      </c>
      <c r="AJ9214">
        <v>0</v>
      </c>
      <c r="AK9214">
        <v>0</v>
      </c>
      <c r="AL9214">
        <v>0</v>
      </c>
      <c r="AM9214">
        <v>0</v>
      </c>
      <c r="AN9214">
        <v>0</v>
      </c>
      <c r="AO9214">
        <v>0</v>
      </c>
      <c r="AP9214" s="2">
        <v>42746</v>
      </c>
      <c r="AQ9214" t="s">
        <v>72</v>
      </c>
      <c r="AR9214" t="s">
        <v>72</v>
      </c>
      <c r="AS9214">
        <v>159</v>
      </c>
      <c r="AT9214" s="4">
        <v>42397</v>
      </c>
      <c r="AU9214" t="s">
        <v>73</v>
      </c>
      <c r="AV9214">
        <v>159</v>
      </c>
      <c r="AW9214" s="4">
        <v>42397</v>
      </c>
      <c r="BD9214">
        <v>0</v>
      </c>
      <c r="BN9214" t="s">
        <v>74</v>
      </c>
    </row>
    <row r="9215" spans="1:66" hidden="1">
      <c r="A9215">
        <v>106583</v>
      </c>
      <c r="B9215" s="3" t="s">
        <v>808</v>
      </c>
      <c r="C9215" s="1">
        <v>43300101</v>
      </c>
      <c r="D9215" t="s">
        <v>67</v>
      </c>
      <c r="H9215" t="str">
        <f t="shared" si="965"/>
        <v>08959351001</v>
      </c>
      <c r="I9215" t="str">
        <f t="shared" si="965"/>
        <v>08959351001</v>
      </c>
      <c r="K9215" t="str">
        <f>""</f>
        <v/>
      </c>
      <c r="M9215" t="s">
        <v>68</v>
      </c>
      <c r="N9215" t="str">
        <f t="shared" si="964"/>
        <v>FOR</v>
      </c>
      <c r="O9215" t="s">
        <v>69</v>
      </c>
      <c r="P9215" s="3" t="s">
        <v>75</v>
      </c>
      <c r="Q9215">
        <v>2015</v>
      </c>
      <c r="R9215" s="2">
        <v>42249</v>
      </c>
      <c r="S9215" s="2">
        <v>42250</v>
      </c>
      <c r="T9215" s="2">
        <v>42249</v>
      </c>
      <c r="U9215" s="2">
        <v>42309</v>
      </c>
      <c r="V9215" t="s">
        <v>71</v>
      </c>
      <c r="W9215" t="str">
        <f>"              439/PA"</f>
        <v xml:space="preserve">              439/PA</v>
      </c>
      <c r="X9215" s="1">
        <v>1295.79</v>
      </c>
      <c r="Y9215">
        <v>0</v>
      </c>
      <c r="Z9215"/>
      <c r="AB9215"/>
      <c r="AC9215" s="1">
        <v>1065.01</v>
      </c>
      <c r="AD9215">
        <v>88</v>
      </c>
      <c r="AE9215" s="1">
        <v>93720.88</v>
      </c>
      <c r="AF9215">
        <v>0</v>
      </c>
      <c r="AJ9215">
        <v>0</v>
      </c>
      <c r="AK9215">
        <v>0</v>
      </c>
      <c r="AL9215">
        <v>0</v>
      </c>
      <c r="AM9215">
        <v>0</v>
      </c>
      <c r="AN9215">
        <v>0</v>
      </c>
      <c r="AO9215">
        <v>0</v>
      </c>
      <c r="AP9215" s="2">
        <v>42746</v>
      </c>
      <c r="AQ9215" t="s">
        <v>72</v>
      </c>
      <c r="AR9215" t="s">
        <v>72</v>
      </c>
      <c r="AS9215">
        <v>159</v>
      </c>
      <c r="AT9215" s="4">
        <v>42397</v>
      </c>
      <c r="AU9215" t="s">
        <v>73</v>
      </c>
      <c r="AV9215">
        <v>159</v>
      </c>
      <c r="AW9215" s="4">
        <v>42397</v>
      </c>
      <c r="BD9215">
        <v>0</v>
      </c>
      <c r="BN9215" t="s">
        <v>74</v>
      </c>
    </row>
    <row r="9216" spans="1:66" hidden="1">
      <c r="A9216">
        <v>106583</v>
      </c>
      <c r="B9216" s="3" t="s">
        <v>808</v>
      </c>
      <c r="C9216" s="1">
        <v>43300101</v>
      </c>
      <c r="D9216" t="s">
        <v>67</v>
      </c>
      <c r="H9216" t="str">
        <f t="shared" si="965"/>
        <v>08959351001</v>
      </c>
      <c r="I9216" t="str">
        <f t="shared" si="965"/>
        <v>08959351001</v>
      </c>
      <c r="K9216" t="str">
        <f>""</f>
        <v/>
      </c>
      <c r="M9216" t="s">
        <v>68</v>
      </c>
      <c r="N9216" t="str">
        <f t="shared" si="964"/>
        <v>FOR</v>
      </c>
      <c r="O9216" t="s">
        <v>69</v>
      </c>
      <c r="P9216" s="3" t="s">
        <v>75</v>
      </c>
      <c r="Q9216">
        <v>2015</v>
      </c>
      <c r="R9216" s="2">
        <v>42251</v>
      </c>
      <c r="S9216" s="2">
        <v>42254</v>
      </c>
      <c r="T9216" s="2">
        <v>42251</v>
      </c>
      <c r="U9216" s="2">
        <v>42311</v>
      </c>
      <c r="V9216" t="s">
        <v>71</v>
      </c>
      <c r="W9216" t="str">
        <f>"              444/PA"</f>
        <v xml:space="preserve">              444/PA</v>
      </c>
      <c r="X9216" s="1">
        <v>1727.26</v>
      </c>
      <c r="Y9216">
        <v>0</v>
      </c>
      <c r="Z9216"/>
      <c r="AB9216"/>
      <c r="AC9216" s="1">
        <v>1418.67</v>
      </c>
      <c r="AD9216">
        <v>86</v>
      </c>
      <c r="AE9216" s="1">
        <v>122005.62</v>
      </c>
      <c r="AF9216">
        <v>0</v>
      </c>
      <c r="AJ9216">
        <v>0</v>
      </c>
      <c r="AK9216">
        <v>0</v>
      </c>
      <c r="AL9216">
        <v>0</v>
      </c>
      <c r="AM9216">
        <v>0</v>
      </c>
      <c r="AN9216">
        <v>0</v>
      </c>
      <c r="AO9216">
        <v>0</v>
      </c>
      <c r="AP9216" s="2">
        <v>42746</v>
      </c>
      <c r="AQ9216" t="s">
        <v>72</v>
      </c>
      <c r="AR9216" t="s">
        <v>72</v>
      </c>
      <c r="AS9216">
        <v>159</v>
      </c>
      <c r="AT9216" s="4">
        <v>42397</v>
      </c>
      <c r="AU9216" t="s">
        <v>73</v>
      </c>
      <c r="AV9216">
        <v>159</v>
      </c>
      <c r="AW9216" s="4">
        <v>42397</v>
      </c>
      <c r="BD9216">
        <v>0</v>
      </c>
      <c r="BN9216" t="s">
        <v>74</v>
      </c>
    </row>
    <row r="9217" spans="1:66" hidden="1">
      <c r="A9217">
        <v>106583</v>
      </c>
      <c r="B9217" s="3" t="s">
        <v>808</v>
      </c>
      <c r="C9217" s="1">
        <v>43300101</v>
      </c>
      <c r="D9217" t="s">
        <v>67</v>
      </c>
      <c r="H9217" t="str">
        <f t="shared" si="965"/>
        <v>08959351001</v>
      </c>
      <c r="I9217" t="str">
        <f t="shared" si="965"/>
        <v>08959351001</v>
      </c>
      <c r="K9217" t="str">
        <f>""</f>
        <v/>
      </c>
      <c r="M9217" t="s">
        <v>68</v>
      </c>
      <c r="N9217" t="str">
        <f t="shared" si="964"/>
        <v>FOR</v>
      </c>
      <c r="O9217" t="s">
        <v>69</v>
      </c>
      <c r="P9217" s="3" t="s">
        <v>75</v>
      </c>
      <c r="Q9217">
        <v>2015</v>
      </c>
      <c r="R9217" s="2">
        <v>42275</v>
      </c>
      <c r="S9217" s="2">
        <v>42282</v>
      </c>
      <c r="T9217" s="2">
        <v>42279</v>
      </c>
      <c r="U9217" s="2">
        <v>42339</v>
      </c>
      <c r="V9217" t="s">
        <v>71</v>
      </c>
      <c r="W9217" t="str">
        <f>"              505/PA"</f>
        <v xml:space="preserve">              505/PA</v>
      </c>
      <c r="X9217" s="1">
        <v>1933.06</v>
      </c>
      <c r="Y9217">
        <v>0</v>
      </c>
      <c r="Z9217"/>
      <c r="AB9217"/>
      <c r="AC9217" s="1">
        <v>1587.36</v>
      </c>
      <c r="AD9217">
        <v>58</v>
      </c>
      <c r="AE9217" s="1">
        <v>92066.880000000005</v>
      </c>
      <c r="AF9217">
        <v>0</v>
      </c>
      <c r="AJ9217">
        <v>0</v>
      </c>
      <c r="AK9217">
        <v>0</v>
      </c>
      <c r="AL9217">
        <v>0</v>
      </c>
      <c r="AM9217">
        <v>0</v>
      </c>
      <c r="AN9217">
        <v>0</v>
      </c>
      <c r="AO9217">
        <v>0</v>
      </c>
      <c r="AP9217" s="2">
        <v>42746</v>
      </c>
      <c r="AQ9217" t="s">
        <v>72</v>
      </c>
      <c r="AR9217" t="s">
        <v>72</v>
      </c>
      <c r="AS9217">
        <v>159</v>
      </c>
      <c r="AT9217" s="4">
        <v>42397</v>
      </c>
      <c r="AU9217" t="s">
        <v>73</v>
      </c>
      <c r="AV9217">
        <v>159</v>
      </c>
      <c r="AW9217" s="4">
        <v>42397</v>
      </c>
      <c r="BD9217">
        <v>0</v>
      </c>
      <c r="BN9217" t="s">
        <v>74</v>
      </c>
    </row>
    <row r="9218" spans="1:66" hidden="1">
      <c r="A9218">
        <v>106583</v>
      </c>
      <c r="B9218" s="3" t="s">
        <v>808</v>
      </c>
      <c r="C9218" s="1">
        <v>43300101</v>
      </c>
      <c r="D9218" t="s">
        <v>67</v>
      </c>
      <c r="H9218" t="str">
        <f t="shared" si="965"/>
        <v>08959351001</v>
      </c>
      <c r="I9218" t="str">
        <f t="shared" si="965"/>
        <v>08959351001</v>
      </c>
      <c r="K9218" t="str">
        <f>""</f>
        <v/>
      </c>
      <c r="M9218" t="s">
        <v>68</v>
      </c>
      <c r="N9218" t="str">
        <f t="shared" si="964"/>
        <v>FOR</v>
      </c>
      <c r="O9218" t="s">
        <v>69</v>
      </c>
      <c r="P9218" s="3" t="s">
        <v>75</v>
      </c>
      <c r="Q9218">
        <v>2015</v>
      </c>
      <c r="R9218" s="2">
        <v>42291</v>
      </c>
      <c r="S9218" s="2">
        <v>42296</v>
      </c>
      <c r="T9218" s="2">
        <v>42292</v>
      </c>
      <c r="U9218" s="2">
        <v>42352</v>
      </c>
      <c r="V9218" t="s">
        <v>71</v>
      </c>
      <c r="W9218" t="str">
        <f>"              566/PA"</f>
        <v xml:space="preserve">              566/PA</v>
      </c>
      <c r="X9218" s="1">
        <v>2097.92</v>
      </c>
      <c r="Y9218">
        <v>0</v>
      </c>
      <c r="Z9218"/>
      <c r="AB9218"/>
      <c r="AC9218" s="1">
        <v>1722.49</v>
      </c>
      <c r="AD9218">
        <v>45</v>
      </c>
      <c r="AE9218" s="1">
        <v>77512.05</v>
      </c>
      <c r="AF9218">
        <v>0</v>
      </c>
      <c r="AJ9218">
        <v>0</v>
      </c>
      <c r="AK9218">
        <v>0</v>
      </c>
      <c r="AL9218">
        <v>0</v>
      </c>
      <c r="AM9218">
        <v>0</v>
      </c>
      <c r="AN9218">
        <v>0</v>
      </c>
      <c r="AO9218">
        <v>0</v>
      </c>
      <c r="AP9218" s="2">
        <v>42746</v>
      </c>
      <c r="AQ9218" t="s">
        <v>72</v>
      </c>
      <c r="AR9218" t="s">
        <v>72</v>
      </c>
      <c r="AS9218">
        <v>159</v>
      </c>
      <c r="AT9218" s="4">
        <v>42397</v>
      </c>
      <c r="AU9218" t="s">
        <v>73</v>
      </c>
      <c r="AV9218">
        <v>159</v>
      </c>
      <c r="AW9218" s="4">
        <v>42397</v>
      </c>
      <c r="BD9218">
        <v>0</v>
      </c>
      <c r="BN9218" t="s">
        <v>74</v>
      </c>
    </row>
    <row r="9219" spans="1:66" hidden="1">
      <c r="A9219">
        <v>106583</v>
      </c>
      <c r="B9219" s="3" t="s">
        <v>808</v>
      </c>
      <c r="C9219" s="1">
        <v>43300101</v>
      </c>
      <c r="D9219" t="s">
        <v>67</v>
      </c>
      <c r="H9219" t="str">
        <f t="shared" si="965"/>
        <v>08959351001</v>
      </c>
      <c r="I9219" t="str">
        <f t="shared" si="965"/>
        <v>08959351001</v>
      </c>
      <c r="K9219" t="str">
        <f>""</f>
        <v/>
      </c>
      <c r="M9219" t="s">
        <v>68</v>
      </c>
      <c r="N9219" t="str">
        <f t="shared" si="964"/>
        <v>FOR</v>
      </c>
      <c r="O9219" t="s">
        <v>69</v>
      </c>
      <c r="P9219" s="3" t="s">
        <v>75</v>
      </c>
      <c r="Q9219">
        <v>2015</v>
      </c>
      <c r="R9219" s="2">
        <v>42310</v>
      </c>
      <c r="S9219" s="2">
        <v>42312</v>
      </c>
      <c r="T9219" s="2">
        <v>42310</v>
      </c>
      <c r="U9219" s="2">
        <v>42370</v>
      </c>
      <c r="V9219" t="s">
        <v>71</v>
      </c>
      <c r="W9219" t="str">
        <f>"              634/PA"</f>
        <v xml:space="preserve">              634/PA</v>
      </c>
      <c r="X9219" s="1">
        <v>1478.61</v>
      </c>
      <c r="Y9219">
        <v>0</v>
      </c>
      <c r="Z9219"/>
      <c r="AB9219"/>
      <c r="AC9219" s="1">
        <v>1214.8599999999999</v>
      </c>
      <c r="AD9219">
        <v>31</v>
      </c>
      <c r="AE9219" s="1">
        <v>37660.660000000003</v>
      </c>
      <c r="AF9219">
        <v>0</v>
      </c>
      <c r="AJ9219">
        <v>0</v>
      </c>
      <c r="AK9219">
        <v>0</v>
      </c>
      <c r="AL9219">
        <v>0</v>
      </c>
      <c r="AM9219">
        <v>0</v>
      </c>
      <c r="AN9219">
        <v>0</v>
      </c>
      <c r="AO9219">
        <v>0</v>
      </c>
      <c r="AP9219" s="2">
        <v>42746</v>
      </c>
      <c r="AQ9219" t="s">
        <v>72</v>
      </c>
      <c r="AR9219" t="s">
        <v>72</v>
      </c>
      <c r="AS9219">
        <v>162</v>
      </c>
      <c r="AT9219" s="4">
        <v>42401</v>
      </c>
      <c r="AU9219" t="s">
        <v>73</v>
      </c>
      <c r="AV9219">
        <v>162</v>
      </c>
      <c r="AW9219" s="4">
        <v>42401</v>
      </c>
      <c r="BD9219">
        <v>0</v>
      </c>
      <c r="BN9219" t="s">
        <v>74</v>
      </c>
    </row>
    <row r="9220" spans="1:66" hidden="1">
      <c r="A9220">
        <v>106583</v>
      </c>
      <c r="B9220" s="3" t="s">
        <v>808</v>
      </c>
      <c r="C9220" s="1">
        <v>43300101</v>
      </c>
      <c r="D9220" t="s">
        <v>67</v>
      </c>
      <c r="H9220" t="str">
        <f t="shared" si="965"/>
        <v>08959351001</v>
      </c>
      <c r="I9220" t="str">
        <f t="shared" si="965"/>
        <v>08959351001</v>
      </c>
      <c r="K9220" t="str">
        <f>""</f>
        <v/>
      </c>
      <c r="M9220" t="s">
        <v>68</v>
      </c>
      <c r="N9220" t="str">
        <f t="shared" si="964"/>
        <v>FOR</v>
      </c>
      <c r="O9220" t="s">
        <v>69</v>
      </c>
      <c r="P9220" s="3" t="s">
        <v>75</v>
      </c>
      <c r="Q9220">
        <v>2015</v>
      </c>
      <c r="R9220" s="2">
        <v>42348</v>
      </c>
      <c r="S9220" s="2">
        <v>42408</v>
      </c>
      <c r="T9220" s="2">
        <v>42408</v>
      </c>
      <c r="U9220" s="2">
        <v>42468</v>
      </c>
      <c r="V9220" t="s">
        <v>71</v>
      </c>
      <c r="W9220" t="str">
        <f>"              755/PA"</f>
        <v xml:space="preserve">              755/PA</v>
      </c>
      <c r="X9220" s="1">
        <v>1344.41</v>
      </c>
      <c r="Y9220">
        <v>0</v>
      </c>
      <c r="Z9220"/>
      <c r="AB9220"/>
      <c r="AC9220" s="1">
        <v>1104.8599999999999</v>
      </c>
      <c r="AD9220">
        <v>111</v>
      </c>
      <c r="AE9220" s="1">
        <v>122639.46</v>
      </c>
      <c r="AF9220">
        <v>0</v>
      </c>
      <c r="AJ9220">
        <v>0</v>
      </c>
      <c r="AK9220">
        <v>0</v>
      </c>
      <c r="AL9220">
        <v>0</v>
      </c>
      <c r="AM9220">
        <v>0</v>
      </c>
      <c r="AN9220" s="1">
        <v>1344.41</v>
      </c>
      <c r="AO9220">
        <v>0</v>
      </c>
      <c r="AP9220" s="2">
        <v>42746</v>
      </c>
      <c r="AQ9220" t="s">
        <v>72</v>
      </c>
      <c r="AR9220" t="s">
        <v>72</v>
      </c>
      <c r="AS9220">
        <v>2021</v>
      </c>
      <c r="AT9220" s="4">
        <v>42579</v>
      </c>
      <c r="AU9220" t="s">
        <v>73</v>
      </c>
      <c r="AV9220">
        <v>2021</v>
      </c>
      <c r="AW9220" s="4">
        <v>42579</v>
      </c>
      <c r="BD9220">
        <v>0</v>
      </c>
      <c r="BN9220" t="s">
        <v>74</v>
      </c>
    </row>
    <row r="9221" spans="1:66">
      <c r="A9221">
        <v>106583</v>
      </c>
      <c r="B9221" s="3" t="s">
        <v>808</v>
      </c>
      <c r="C9221" s="1">
        <v>43300101</v>
      </c>
      <c r="D9221" t="s">
        <v>67</v>
      </c>
      <c r="H9221" t="str">
        <f t="shared" si="965"/>
        <v>08959351001</v>
      </c>
      <c r="I9221" t="str">
        <f t="shared" si="965"/>
        <v>08959351001</v>
      </c>
      <c r="K9221" t="str">
        <f>""</f>
        <v/>
      </c>
      <c r="M9221" t="s">
        <v>68</v>
      </c>
      <c r="N9221" t="str">
        <f t="shared" si="964"/>
        <v>FOR</v>
      </c>
      <c r="O9221" t="s">
        <v>69</v>
      </c>
      <c r="P9221" s="3" t="s">
        <v>75</v>
      </c>
      <c r="Q9221">
        <v>2016</v>
      </c>
      <c r="R9221" s="2">
        <v>42390</v>
      </c>
      <c r="S9221" s="2">
        <v>42402</v>
      </c>
      <c r="T9221" s="2">
        <v>42391</v>
      </c>
      <c r="U9221" s="2">
        <v>42451</v>
      </c>
      <c r="V9221" t="s">
        <v>71</v>
      </c>
      <c r="W9221" t="str">
        <f>"               60/PA"</f>
        <v xml:space="preserve">               60/PA</v>
      </c>
      <c r="X9221" s="1">
        <v>1417.32</v>
      </c>
      <c r="Y9221">
        <v>0</v>
      </c>
      <c r="Z9221" s="5">
        <v>1164.6199999999999</v>
      </c>
      <c r="AA9221">
        <v>196</v>
      </c>
      <c r="AB9221" s="5">
        <v>228265.52</v>
      </c>
      <c r="AC9221" s="1">
        <v>1164.6199999999999</v>
      </c>
      <c r="AD9221">
        <v>196</v>
      </c>
      <c r="AE9221" s="1">
        <v>228265.52</v>
      </c>
      <c r="AF9221">
        <v>0</v>
      </c>
      <c r="AJ9221">
        <v>0</v>
      </c>
      <c r="AK9221">
        <v>0</v>
      </c>
      <c r="AL9221">
        <v>0</v>
      </c>
      <c r="AM9221" s="1">
        <v>1417.32</v>
      </c>
      <c r="AN9221" s="1">
        <v>1417.32</v>
      </c>
      <c r="AO9221" s="1">
        <v>1417.32</v>
      </c>
      <c r="AP9221" s="2">
        <v>42746</v>
      </c>
      <c r="AQ9221" t="s">
        <v>72</v>
      </c>
      <c r="AR9221" t="s">
        <v>72</v>
      </c>
      <c r="AS9221">
        <v>2595</v>
      </c>
      <c r="AT9221" s="4">
        <v>42647</v>
      </c>
      <c r="AU9221" t="s">
        <v>73</v>
      </c>
      <c r="AV9221">
        <v>2595</v>
      </c>
      <c r="AW9221" s="4">
        <v>42647</v>
      </c>
      <c r="BD9221">
        <v>0</v>
      </c>
      <c r="BN9221" t="s">
        <v>74</v>
      </c>
    </row>
    <row r="9222" spans="1:66">
      <c r="A9222">
        <v>106583</v>
      </c>
      <c r="B9222" s="3" t="s">
        <v>808</v>
      </c>
      <c r="C9222" s="1">
        <v>43300101</v>
      </c>
      <c r="D9222" t="s">
        <v>67</v>
      </c>
      <c r="H9222" t="str">
        <f t="shared" si="965"/>
        <v>08959351001</v>
      </c>
      <c r="I9222" t="str">
        <f t="shared" si="965"/>
        <v>08959351001</v>
      </c>
      <c r="K9222" t="str">
        <f>""</f>
        <v/>
      </c>
      <c r="M9222" t="s">
        <v>68</v>
      </c>
      <c r="N9222" t="str">
        <f t="shared" si="964"/>
        <v>FOR</v>
      </c>
      <c r="O9222" t="s">
        <v>69</v>
      </c>
      <c r="P9222" s="3" t="s">
        <v>75</v>
      </c>
      <c r="Q9222">
        <v>2016</v>
      </c>
      <c r="R9222" s="2">
        <v>42431</v>
      </c>
      <c r="S9222" s="2">
        <v>42436</v>
      </c>
      <c r="T9222" s="2">
        <v>42431</v>
      </c>
      <c r="U9222" s="2">
        <v>42491</v>
      </c>
      <c r="V9222" t="s">
        <v>71</v>
      </c>
      <c r="W9222" t="str">
        <f>"              224/PA"</f>
        <v xml:space="preserve">              224/PA</v>
      </c>
      <c r="X9222" s="1">
        <v>1563.17</v>
      </c>
      <c r="Y9222">
        <v>0</v>
      </c>
      <c r="Z9222" s="5">
        <v>1284.17</v>
      </c>
      <c r="AA9222">
        <v>156</v>
      </c>
      <c r="AB9222" s="5">
        <v>200330.52</v>
      </c>
      <c r="AC9222" s="1">
        <v>1284.17</v>
      </c>
      <c r="AD9222">
        <v>156</v>
      </c>
      <c r="AE9222" s="1">
        <v>200330.52</v>
      </c>
      <c r="AF9222">
        <v>0</v>
      </c>
      <c r="AJ9222">
        <v>0</v>
      </c>
      <c r="AK9222">
        <v>0</v>
      </c>
      <c r="AL9222">
        <v>0</v>
      </c>
      <c r="AM9222" s="1">
        <v>1563.17</v>
      </c>
      <c r="AN9222" s="1">
        <v>1563.17</v>
      </c>
      <c r="AO9222" s="1">
        <v>1563.17</v>
      </c>
      <c r="AP9222" s="2">
        <v>42746</v>
      </c>
      <c r="AQ9222" t="s">
        <v>72</v>
      </c>
      <c r="AR9222" t="s">
        <v>72</v>
      </c>
      <c r="AS9222">
        <v>2595</v>
      </c>
      <c r="AT9222" s="4">
        <v>42647</v>
      </c>
      <c r="AU9222" t="s">
        <v>73</v>
      </c>
      <c r="AV9222">
        <v>2595</v>
      </c>
      <c r="AW9222" s="4">
        <v>42647</v>
      </c>
      <c r="BD9222">
        <v>0</v>
      </c>
      <c r="BN9222" t="s">
        <v>74</v>
      </c>
    </row>
    <row r="9223" spans="1:66">
      <c r="A9223">
        <v>106583</v>
      </c>
      <c r="B9223" s="3" t="s">
        <v>808</v>
      </c>
      <c r="C9223" s="1">
        <v>43300101</v>
      </c>
      <c r="D9223" t="s">
        <v>67</v>
      </c>
      <c r="H9223" t="str">
        <f t="shared" si="965"/>
        <v>08959351001</v>
      </c>
      <c r="I9223" t="str">
        <f t="shared" si="965"/>
        <v>08959351001</v>
      </c>
      <c r="K9223" t="str">
        <f>""</f>
        <v/>
      </c>
      <c r="M9223" t="s">
        <v>68</v>
      </c>
      <c r="N9223" t="str">
        <f t="shared" si="964"/>
        <v>FOR</v>
      </c>
      <c r="O9223" t="s">
        <v>69</v>
      </c>
      <c r="P9223" s="3" t="s">
        <v>75</v>
      </c>
      <c r="Q9223">
        <v>2016</v>
      </c>
      <c r="R9223" s="2">
        <v>42447</v>
      </c>
      <c r="S9223" s="2">
        <v>42460</v>
      </c>
      <c r="T9223" s="2">
        <v>42447</v>
      </c>
      <c r="U9223" s="2">
        <v>42507</v>
      </c>
      <c r="V9223" t="s">
        <v>71</v>
      </c>
      <c r="W9223" t="str">
        <f>"              270/PA"</f>
        <v xml:space="preserve">              270/PA</v>
      </c>
      <c r="X9223" s="1">
        <v>1490.25</v>
      </c>
      <c r="Y9223">
        <v>0</v>
      </c>
      <c r="Z9223" s="5">
        <v>1224.4000000000001</v>
      </c>
      <c r="AA9223">
        <v>140</v>
      </c>
      <c r="AB9223" s="5">
        <v>171416</v>
      </c>
      <c r="AC9223" s="1">
        <v>1224.4000000000001</v>
      </c>
      <c r="AD9223">
        <v>140</v>
      </c>
      <c r="AE9223" s="1">
        <v>171416</v>
      </c>
      <c r="AF9223">
        <v>0</v>
      </c>
      <c r="AJ9223">
        <v>0</v>
      </c>
      <c r="AK9223">
        <v>0</v>
      </c>
      <c r="AL9223">
        <v>0</v>
      </c>
      <c r="AM9223" s="1">
        <v>1490.25</v>
      </c>
      <c r="AN9223" s="1">
        <v>1490.25</v>
      </c>
      <c r="AO9223" s="1">
        <v>1490.25</v>
      </c>
      <c r="AP9223" s="2">
        <v>42746</v>
      </c>
      <c r="AQ9223" t="s">
        <v>72</v>
      </c>
      <c r="AR9223" t="s">
        <v>72</v>
      </c>
      <c r="AS9223">
        <v>2595</v>
      </c>
      <c r="AT9223" s="4">
        <v>42647</v>
      </c>
      <c r="AU9223" t="s">
        <v>73</v>
      </c>
      <c r="AV9223">
        <v>2595</v>
      </c>
      <c r="AW9223" s="4">
        <v>42647</v>
      </c>
      <c r="BD9223">
        <v>0</v>
      </c>
      <c r="BN9223" t="s">
        <v>74</v>
      </c>
    </row>
    <row r="9224" spans="1:66">
      <c r="A9224">
        <v>106584</v>
      </c>
      <c r="B9224" s="3" t="s">
        <v>809</v>
      </c>
      <c r="C9224" s="1">
        <v>43300101</v>
      </c>
      <c r="D9224" t="s">
        <v>67</v>
      </c>
      <c r="H9224" t="str">
        <f t="shared" ref="H9224:I9226" si="966">"02774840595"</f>
        <v>02774840595</v>
      </c>
      <c r="I9224" t="str">
        <f t="shared" si="966"/>
        <v>02774840595</v>
      </c>
      <c r="K9224" t="str">
        <f>""</f>
        <v/>
      </c>
      <c r="M9224" t="s">
        <v>68</v>
      </c>
      <c r="N9224" t="str">
        <f t="shared" si="964"/>
        <v>FOR</v>
      </c>
      <c r="O9224" t="s">
        <v>69</v>
      </c>
      <c r="P9224" s="3" t="s">
        <v>75</v>
      </c>
      <c r="Q9224">
        <v>2015</v>
      </c>
      <c r="R9224" s="2">
        <v>42261</v>
      </c>
      <c r="S9224" s="2">
        <v>42369</v>
      </c>
      <c r="T9224" s="2">
        <v>42262</v>
      </c>
      <c r="U9224" s="2">
        <v>42322</v>
      </c>
      <c r="V9224" t="s">
        <v>71</v>
      </c>
      <c r="W9224" t="str">
        <f>"          7700031730"</f>
        <v xml:space="preserve">          7700031730</v>
      </c>
      <c r="X9224" s="1">
        <v>3315.9</v>
      </c>
      <c r="Y9224">
        <v>0</v>
      </c>
      <c r="Z9224" s="5">
        <v>3014.45</v>
      </c>
      <c r="AA9224">
        <v>361</v>
      </c>
      <c r="AB9224" s="5">
        <v>1088216.45</v>
      </c>
      <c r="AC9224" s="1">
        <v>3014.45</v>
      </c>
      <c r="AD9224">
        <v>361</v>
      </c>
      <c r="AE9224" s="1">
        <v>1088216.45</v>
      </c>
      <c r="AF9224">
        <v>0</v>
      </c>
      <c r="AJ9224">
        <v>0</v>
      </c>
      <c r="AK9224">
        <v>0</v>
      </c>
      <c r="AL9224">
        <v>0</v>
      </c>
      <c r="AM9224">
        <v>0</v>
      </c>
      <c r="AN9224">
        <v>0</v>
      </c>
      <c r="AO9224">
        <v>0</v>
      </c>
      <c r="AP9224" s="2">
        <v>42746</v>
      </c>
      <c r="AQ9224" t="s">
        <v>72</v>
      </c>
      <c r="AR9224" t="s">
        <v>72</v>
      </c>
      <c r="AS9224">
        <v>3009</v>
      </c>
      <c r="AT9224" s="4">
        <v>42683</v>
      </c>
      <c r="AU9224" t="s">
        <v>73</v>
      </c>
      <c r="AV9224">
        <v>3009</v>
      </c>
      <c r="AW9224" s="4">
        <v>42683</v>
      </c>
      <c r="BD9224">
        <v>0</v>
      </c>
      <c r="BN9224" t="s">
        <v>74</v>
      </c>
    </row>
    <row r="9225" spans="1:66">
      <c r="A9225">
        <v>106584</v>
      </c>
      <c r="B9225" s="3" t="s">
        <v>809</v>
      </c>
      <c r="C9225" s="1">
        <v>43300101</v>
      </c>
      <c r="D9225" t="s">
        <v>67</v>
      </c>
      <c r="H9225" t="str">
        <f t="shared" si="966"/>
        <v>02774840595</v>
      </c>
      <c r="I9225" t="str">
        <f t="shared" si="966"/>
        <v>02774840595</v>
      </c>
      <c r="K9225" t="str">
        <f>""</f>
        <v/>
      </c>
      <c r="M9225" t="s">
        <v>68</v>
      </c>
      <c r="N9225" t="str">
        <f t="shared" si="964"/>
        <v>FOR</v>
      </c>
      <c r="O9225" t="s">
        <v>69</v>
      </c>
      <c r="P9225" s="3" t="s">
        <v>75</v>
      </c>
      <c r="Q9225">
        <v>2015</v>
      </c>
      <c r="R9225" s="2">
        <v>42289</v>
      </c>
      <c r="S9225" s="2">
        <v>42369</v>
      </c>
      <c r="T9225" s="2">
        <v>42290</v>
      </c>
      <c r="U9225" s="2">
        <v>42350</v>
      </c>
      <c r="V9225" t="s">
        <v>71</v>
      </c>
      <c r="W9225" t="str">
        <f>"          7700035363"</f>
        <v xml:space="preserve">          7700035363</v>
      </c>
      <c r="X9225" s="1">
        <v>3315.9</v>
      </c>
      <c r="Y9225">
        <v>0</v>
      </c>
      <c r="Z9225" s="5">
        <v>3014.45</v>
      </c>
      <c r="AA9225">
        <v>333</v>
      </c>
      <c r="AB9225" s="5">
        <v>1003811.85</v>
      </c>
      <c r="AC9225" s="1">
        <v>3014.45</v>
      </c>
      <c r="AD9225">
        <v>333</v>
      </c>
      <c r="AE9225" s="1">
        <v>1003811.85</v>
      </c>
      <c r="AF9225">
        <v>0</v>
      </c>
      <c r="AJ9225">
        <v>0</v>
      </c>
      <c r="AK9225">
        <v>0</v>
      </c>
      <c r="AL9225">
        <v>0</v>
      </c>
      <c r="AM9225">
        <v>0</v>
      </c>
      <c r="AN9225">
        <v>0</v>
      </c>
      <c r="AO9225">
        <v>0</v>
      </c>
      <c r="AP9225" s="2">
        <v>42746</v>
      </c>
      <c r="AQ9225" t="s">
        <v>72</v>
      </c>
      <c r="AR9225" t="s">
        <v>72</v>
      </c>
      <c r="AS9225">
        <v>3009</v>
      </c>
      <c r="AT9225" s="4">
        <v>42683</v>
      </c>
      <c r="AU9225" t="s">
        <v>73</v>
      </c>
      <c r="AV9225">
        <v>3009</v>
      </c>
      <c r="AW9225" s="4">
        <v>42683</v>
      </c>
      <c r="BD9225">
        <v>0</v>
      </c>
      <c r="BN9225" t="s">
        <v>74</v>
      </c>
    </row>
    <row r="9226" spans="1:66">
      <c r="A9226">
        <v>106584</v>
      </c>
      <c r="B9226" s="3" t="s">
        <v>809</v>
      </c>
      <c r="C9226" s="1">
        <v>43300101</v>
      </c>
      <c r="D9226" t="s">
        <v>67</v>
      </c>
      <c r="H9226" t="str">
        <f t="shared" si="966"/>
        <v>02774840595</v>
      </c>
      <c r="I9226" t="str">
        <f t="shared" si="966"/>
        <v>02774840595</v>
      </c>
      <c r="K9226" t="str">
        <f>""</f>
        <v/>
      </c>
      <c r="M9226" t="s">
        <v>68</v>
      </c>
      <c r="N9226" t="str">
        <f t="shared" si="964"/>
        <v>FOR</v>
      </c>
      <c r="O9226" t="s">
        <v>69</v>
      </c>
      <c r="P9226" s="3" t="s">
        <v>75</v>
      </c>
      <c r="Q9226">
        <v>2015</v>
      </c>
      <c r="R9226" s="2">
        <v>42299</v>
      </c>
      <c r="S9226" s="2">
        <v>42369</v>
      </c>
      <c r="T9226" s="2">
        <v>42300</v>
      </c>
      <c r="U9226" s="2">
        <v>42360</v>
      </c>
      <c r="V9226" t="s">
        <v>71</v>
      </c>
      <c r="W9226" t="str">
        <f>"          7700036821"</f>
        <v xml:space="preserve">          7700036821</v>
      </c>
      <c r="X9226" s="1">
        <v>3315.9</v>
      </c>
      <c r="Y9226">
        <v>0</v>
      </c>
      <c r="Z9226" s="5">
        <v>3014.45</v>
      </c>
      <c r="AA9226">
        <v>323</v>
      </c>
      <c r="AB9226" s="5">
        <v>973667.35</v>
      </c>
      <c r="AC9226" s="1">
        <v>3014.45</v>
      </c>
      <c r="AD9226">
        <v>323</v>
      </c>
      <c r="AE9226" s="1">
        <v>973667.35</v>
      </c>
      <c r="AF9226">
        <v>0</v>
      </c>
      <c r="AJ9226">
        <v>0</v>
      </c>
      <c r="AK9226">
        <v>0</v>
      </c>
      <c r="AL9226">
        <v>0</v>
      </c>
      <c r="AM9226">
        <v>0</v>
      </c>
      <c r="AN9226">
        <v>0</v>
      </c>
      <c r="AO9226">
        <v>0</v>
      </c>
      <c r="AP9226" s="2">
        <v>42746</v>
      </c>
      <c r="AQ9226" t="s">
        <v>72</v>
      </c>
      <c r="AR9226" t="s">
        <v>72</v>
      </c>
      <c r="AS9226">
        <v>3009</v>
      </c>
      <c r="AT9226" s="4">
        <v>42683</v>
      </c>
      <c r="AU9226" t="s">
        <v>73</v>
      </c>
      <c r="AV9226">
        <v>3009</v>
      </c>
      <c r="AW9226" s="4">
        <v>42683</v>
      </c>
      <c r="BD9226">
        <v>0</v>
      </c>
      <c r="BN9226" t="s">
        <v>74</v>
      </c>
    </row>
    <row r="9227" spans="1:66" hidden="1">
      <c r="A9227">
        <v>106586</v>
      </c>
      <c r="B9227" s="3" t="s">
        <v>810</v>
      </c>
      <c r="C9227" s="1">
        <v>43500101</v>
      </c>
      <c r="D9227" t="s">
        <v>113</v>
      </c>
      <c r="H9227" t="str">
        <f>"GRRNRC64R24A783D"</f>
        <v>GRRNRC64R24A783D</v>
      </c>
      <c r="I9227" t="str">
        <f>"01010600623"</f>
        <v>01010600623</v>
      </c>
      <c r="K9227" t="str">
        <f>""</f>
        <v/>
      </c>
      <c r="M9227" t="s">
        <v>68</v>
      </c>
      <c r="N9227" t="str">
        <f>"ALTPRO"</f>
        <v>ALTPRO</v>
      </c>
      <c r="O9227" t="s">
        <v>132</v>
      </c>
      <c r="P9227" s="3" t="s">
        <v>75</v>
      </c>
      <c r="Q9227">
        <v>2016</v>
      </c>
      <c r="R9227" s="2">
        <v>42408</v>
      </c>
      <c r="S9227" s="2">
        <v>42410</v>
      </c>
      <c r="T9227" s="2">
        <v>42408</v>
      </c>
      <c r="U9227" s="2">
        <v>42468</v>
      </c>
      <c r="V9227" t="s">
        <v>71</v>
      </c>
      <c r="W9227" t="str">
        <f>"                1-PA"</f>
        <v xml:space="preserve">                1-PA</v>
      </c>
      <c r="X9227" s="1">
        <v>5417.78</v>
      </c>
      <c r="Y9227">
        <v>-854</v>
      </c>
      <c r="Z9227"/>
      <c r="AB9227"/>
      <c r="AC9227" s="1">
        <v>4563.78</v>
      </c>
      <c r="AD9227">
        <v>-35</v>
      </c>
      <c r="AE9227" s="1">
        <v>-159732.29999999999</v>
      </c>
      <c r="AF9227">
        <v>0</v>
      </c>
      <c r="AJ9227">
        <v>0</v>
      </c>
      <c r="AK9227">
        <v>0</v>
      </c>
      <c r="AL9227">
        <v>0</v>
      </c>
      <c r="AM9227" s="1">
        <v>4563.78</v>
      </c>
      <c r="AN9227" s="1">
        <v>4563.78</v>
      </c>
      <c r="AO9227" s="1">
        <v>4563.78</v>
      </c>
      <c r="AP9227" s="2">
        <v>42746</v>
      </c>
      <c r="AQ9227" t="s">
        <v>72</v>
      </c>
      <c r="AR9227" t="s">
        <v>72</v>
      </c>
      <c r="AS9227">
        <v>665</v>
      </c>
      <c r="AT9227" s="4">
        <v>42433</v>
      </c>
      <c r="AV9227">
        <v>665</v>
      </c>
      <c r="AW9227" s="4">
        <v>42433</v>
      </c>
      <c r="BD9227">
        <v>0</v>
      </c>
      <c r="BN9227" t="s">
        <v>74</v>
      </c>
    </row>
    <row r="9228" spans="1:66" hidden="1">
      <c r="A9228">
        <v>106586</v>
      </c>
      <c r="B9228" s="3" t="s">
        <v>810</v>
      </c>
      <c r="C9228" s="1">
        <v>43500101</v>
      </c>
      <c r="D9228" t="s">
        <v>113</v>
      </c>
      <c r="H9228" t="str">
        <f>"GRRNRC64R24A783D"</f>
        <v>GRRNRC64R24A783D</v>
      </c>
      <c r="I9228" t="str">
        <f>"01010600623"</f>
        <v>01010600623</v>
      </c>
      <c r="K9228" t="str">
        <f>""</f>
        <v/>
      </c>
      <c r="M9228" t="s">
        <v>68</v>
      </c>
      <c r="N9228" t="str">
        <f>"ALTPRO"</f>
        <v>ALTPRO</v>
      </c>
      <c r="O9228" t="s">
        <v>132</v>
      </c>
      <c r="P9228" s="3" t="s">
        <v>75</v>
      </c>
      <c r="Q9228">
        <v>2016</v>
      </c>
      <c r="R9228" s="2">
        <v>42450</v>
      </c>
      <c r="S9228" s="2">
        <v>42461</v>
      </c>
      <c r="T9228" s="2">
        <v>42450</v>
      </c>
      <c r="U9228" s="2">
        <v>42510</v>
      </c>
      <c r="V9228" t="s">
        <v>71</v>
      </c>
      <c r="W9228" t="str">
        <f>"                2-PA"</f>
        <v xml:space="preserve">                2-PA</v>
      </c>
      <c r="X9228" s="1">
        <v>5417.78</v>
      </c>
      <c r="Y9228">
        <v>-854</v>
      </c>
      <c r="Z9228"/>
      <c r="AB9228"/>
      <c r="AC9228" s="1">
        <v>4563.78</v>
      </c>
      <c r="AD9228">
        <v>-23</v>
      </c>
      <c r="AE9228" s="1">
        <v>-104966.94</v>
      </c>
      <c r="AF9228">
        <v>0</v>
      </c>
      <c r="AJ9228">
        <v>0</v>
      </c>
      <c r="AK9228">
        <v>0</v>
      </c>
      <c r="AL9228">
        <v>0</v>
      </c>
      <c r="AM9228" s="1">
        <v>4563.78</v>
      </c>
      <c r="AN9228" s="1">
        <v>4563.78</v>
      </c>
      <c r="AO9228" s="1">
        <v>4563.78</v>
      </c>
      <c r="AP9228" s="2">
        <v>42746</v>
      </c>
      <c r="AQ9228" t="s">
        <v>72</v>
      </c>
      <c r="AR9228" t="s">
        <v>72</v>
      </c>
      <c r="AS9228">
        <v>1170</v>
      </c>
      <c r="AT9228" s="4">
        <v>42487</v>
      </c>
      <c r="AV9228">
        <v>1170</v>
      </c>
      <c r="AW9228" s="4">
        <v>42487</v>
      </c>
      <c r="BD9228">
        <v>0</v>
      </c>
      <c r="BN9228" t="s">
        <v>74</v>
      </c>
    </row>
    <row r="9229" spans="1:66" hidden="1">
      <c r="A9229">
        <v>106586</v>
      </c>
      <c r="B9229" s="3" t="s">
        <v>810</v>
      </c>
      <c r="C9229" s="1">
        <v>43500101</v>
      </c>
      <c r="D9229" t="s">
        <v>113</v>
      </c>
      <c r="H9229" t="str">
        <f>"GRRNRC64R24A783D"</f>
        <v>GRRNRC64R24A783D</v>
      </c>
      <c r="I9229" t="str">
        <f>"01010600623"</f>
        <v>01010600623</v>
      </c>
      <c r="K9229" t="str">
        <f>""</f>
        <v/>
      </c>
      <c r="M9229" t="s">
        <v>68</v>
      </c>
      <c r="N9229" t="str">
        <f>"ALTPRO"</f>
        <v>ALTPRO</v>
      </c>
      <c r="O9229" t="s">
        <v>132</v>
      </c>
      <c r="P9229" s="3" t="s">
        <v>75</v>
      </c>
      <c r="Q9229">
        <v>2016</v>
      </c>
      <c r="R9229" s="2">
        <v>42570</v>
      </c>
      <c r="S9229" s="2">
        <v>42577</v>
      </c>
      <c r="T9229" s="2">
        <v>42570</v>
      </c>
      <c r="U9229" s="2">
        <v>42630</v>
      </c>
      <c r="V9229" t="s">
        <v>71</v>
      </c>
      <c r="W9229" t="str">
        <f>"                4-PA"</f>
        <v xml:space="preserve">                4-PA</v>
      </c>
      <c r="X9229" s="1">
        <v>5417.78</v>
      </c>
      <c r="Y9229">
        <v>-854</v>
      </c>
      <c r="Z9229"/>
      <c r="AB9229"/>
      <c r="AC9229" s="1">
        <v>4563.78</v>
      </c>
      <c r="AD9229">
        <v>-12</v>
      </c>
      <c r="AE9229" s="1">
        <v>-54765.36</v>
      </c>
      <c r="AF9229">
        <v>0</v>
      </c>
      <c r="AJ9229">
        <v>0</v>
      </c>
      <c r="AK9229">
        <v>0</v>
      </c>
      <c r="AL9229">
        <v>0</v>
      </c>
      <c r="AM9229" s="1">
        <v>4563.78</v>
      </c>
      <c r="AN9229" s="1">
        <v>4563.78</v>
      </c>
      <c r="AO9229" s="1">
        <v>4563.78</v>
      </c>
      <c r="AP9229" s="2">
        <v>42746</v>
      </c>
      <c r="AQ9229" t="s">
        <v>72</v>
      </c>
      <c r="AR9229" t="s">
        <v>72</v>
      </c>
      <c r="AS9229">
        <v>2257</v>
      </c>
      <c r="AT9229" s="4">
        <v>42618</v>
      </c>
      <c r="AV9229">
        <v>2257</v>
      </c>
      <c r="AW9229" s="4">
        <v>42618</v>
      </c>
      <c r="BD9229">
        <v>0</v>
      </c>
      <c r="BN9229" t="s">
        <v>74</v>
      </c>
    </row>
    <row r="9230" spans="1:66" hidden="1">
      <c r="A9230">
        <v>106587</v>
      </c>
      <c r="B9230" s="3" t="s">
        <v>811</v>
      </c>
      <c r="C9230" s="1">
        <v>43300101</v>
      </c>
      <c r="D9230" t="s">
        <v>67</v>
      </c>
      <c r="H9230" t="str">
        <f>"06403530584"</f>
        <v>06403530584</v>
      </c>
      <c r="I9230" t="str">
        <f>"01544191008"</f>
        <v>01544191008</v>
      </c>
      <c r="K9230" t="str">
        <f>""</f>
        <v/>
      </c>
      <c r="M9230" t="s">
        <v>68</v>
      </c>
      <c r="N9230" t="str">
        <f>"FOR"</f>
        <v>FOR</v>
      </c>
      <c r="O9230" t="s">
        <v>69</v>
      </c>
      <c r="P9230" s="3" t="s">
        <v>75</v>
      </c>
      <c r="Q9230">
        <v>2015</v>
      </c>
      <c r="R9230" s="2">
        <v>42145</v>
      </c>
      <c r="S9230" s="2">
        <v>42171</v>
      </c>
      <c r="T9230" s="2">
        <v>42167</v>
      </c>
      <c r="U9230" s="2">
        <v>42227</v>
      </c>
      <c r="V9230" t="s">
        <v>71</v>
      </c>
      <c r="W9230" t="str">
        <f>"                  80"</f>
        <v xml:space="preserve">                  80</v>
      </c>
      <c r="X9230">
        <v>332.04</v>
      </c>
      <c r="Y9230">
        <v>0</v>
      </c>
      <c r="Z9230"/>
      <c r="AB9230"/>
      <c r="AC9230">
        <v>272.16000000000003</v>
      </c>
      <c r="AD9230">
        <v>225</v>
      </c>
      <c r="AE9230" s="1">
        <v>61236</v>
      </c>
      <c r="AF9230">
        <v>0</v>
      </c>
      <c r="AJ9230">
        <v>0</v>
      </c>
      <c r="AK9230">
        <v>0</v>
      </c>
      <c r="AL9230">
        <v>0</v>
      </c>
      <c r="AM9230">
        <v>0</v>
      </c>
      <c r="AN9230">
        <v>0</v>
      </c>
      <c r="AO9230">
        <v>0</v>
      </c>
      <c r="AP9230" s="2">
        <v>42746</v>
      </c>
      <c r="AQ9230" t="s">
        <v>72</v>
      </c>
      <c r="AR9230" t="s">
        <v>72</v>
      </c>
      <c r="AS9230">
        <v>802</v>
      </c>
      <c r="AT9230" s="4">
        <v>42452</v>
      </c>
      <c r="AU9230" t="s">
        <v>73</v>
      </c>
      <c r="AV9230">
        <v>802</v>
      </c>
      <c r="AW9230" s="4">
        <v>42452</v>
      </c>
      <c r="BD9230">
        <v>0</v>
      </c>
      <c r="BN9230" t="s">
        <v>74</v>
      </c>
    </row>
    <row r="9231" spans="1:66" hidden="1">
      <c r="A9231">
        <v>106587</v>
      </c>
      <c r="B9231" s="3" t="s">
        <v>811</v>
      </c>
      <c r="C9231" s="1">
        <v>43300101</v>
      </c>
      <c r="D9231" t="s">
        <v>67</v>
      </c>
      <c r="H9231" t="str">
        <f>"06403530584"</f>
        <v>06403530584</v>
      </c>
      <c r="I9231" t="str">
        <f>"01544191008"</f>
        <v>01544191008</v>
      </c>
      <c r="K9231" t="str">
        <f>""</f>
        <v/>
      </c>
      <c r="M9231" t="s">
        <v>68</v>
      </c>
      <c r="N9231" t="str">
        <f>"FOR"</f>
        <v>FOR</v>
      </c>
      <c r="O9231" t="s">
        <v>69</v>
      </c>
      <c r="P9231" s="3" t="s">
        <v>75</v>
      </c>
      <c r="Q9231">
        <v>2015</v>
      </c>
      <c r="R9231" s="2">
        <v>42185</v>
      </c>
      <c r="S9231" s="2">
        <v>42334</v>
      </c>
      <c r="T9231" s="2">
        <v>42334</v>
      </c>
      <c r="U9231" s="2">
        <v>42394</v>
      </c>
      <c r="V9231" t="s">
        <v>71</v>
      </c>
      <c r="W9231" t="str">
        <f>"                 102"</f>
        <v xml:space="preserve">                 102</v>
      </c>
      <c r="X9231" s="1">
        <v>2205.7399999999998</v>
      </c>
      <c r="Y9231">
        <v>0</v>
      </c>
      <c r="Z9231"/>
      <c r="AB9231"/>
      <c r="AC9231" s="1">
        <v>1807.98</v>
      </c>
      <c r="AD9231">
        <v>58</v>
      </c>
      <c r="AE9231" s="1">
        <v>104862.84</v>
      </c>
      <c r="AF9231">
        <v>0</v>
      </c>
      <c r="AJ9231">
        <v>0</v>
      </c>
      <c r="AK9231">
        <v>0</v>
      </c>
      <c r="AL9231">
        <v>0</v>
      </c>
      <c r="AM9231">
        <v>0</v>
      </c>
      <c r="AN9231">
        <v>0</v>
      </c>
      <c r="AO9231">
        <v>0</v>
      </c>
      <c r="AP9231" s="2">
        <v>42746</v>
      </c>
      <c r="AQ9231" t="s">
        <v>72</v>
      </c>
      <c r="AR9231" t="s">
        <v>72</v>
      </c>
      <c r="AS9231">
        <v>802</v>
      </c>
      <c r="AT9231" s="4">
        <v>42452</v>
      </c>
      <c r="AU9231" t="s">
        <v>73</v>
      </c>
      <c r="AV9231">
        <v>802</v>
      </c>
      <c r="AW9231" s="4">
        <v>42452</v>
      </c>
      <c r="BD9231">
        <v>0</v>
      </c>
      <c r="BN9231" t="s">
        <v>74</v>
      </c>
    </row>
    <row r="9232" spans="1:66" hidden="1">
      <c r="A9232">
        <v>106592</v>
      </c>
      <c r="B9232" s="3" t="s">
        <v>812</v>
      </c>
      <c r="C9232" s="1">
        <v>43300101</v>
      </c>
      <c r="D9232" t="s">
        <v>67</v>
      </c>
      <c r="H9232" t="str">
        <f>""</f>
        <v/>
      </c>
      <c r="I9232" t="str">
        <f>""</f>
        <v/>
      </c>
      <c r="J9232" t="s">
        <v>813</v>
      </c>
      <c r="K9232" t="str">
        <f>"100125104"</f>
        <v>100125104</v>
      </c>
      <c r="M9232" t="s">
        <v>68</v>
      </c>
      <c r="N9232" t="str">
        <f>"FOR"</f>
        <v>FOR</v>
      </c>
      <c r="O9232" t="s">
        <v>69</v>
      </c>
      <c r="P9232" s="3" t="s">
        <v>418</v>
      </c>
      <c r="Q9232">
        <v>2015</v>
      </c>
      <c r="R9232" s="2">
        <v>42186</v>
      </c>
      <c r="S9232" s="2">
        <v>42194</v>
      </c>
      <c r="T9232" s="2">
        <v>42194</v>
      </c>
      <c r="U9232" s="2">
        <v>42254</v>
      </c>
      <c r="V9232" t="s">
        <v>71</v>
      </c>
      <c r="W9232" t="str">
        <f>"           SIN093815"</f>
        <v xml:space="preserve">           SIN093815</v>
      </c>
      <c r="X9232" s="1">
        <v>10120</v>
      </c>
      <c r="Y9232">
        <v>-920</v>
      </c>
      <c r="Z9232"/>
      <c r="AB9232"/>
      <c r="AC9232" s="1">
        <v>9200</v>
      </c>
      <c r="AD9232">
        <v>210</v>
      </c>
      <c r="AE9232" s="1">
        <v>1932000</v>
      </c>
      <c r="AF9232">
        <v>0</v>
      </c>
      <c r="AJ9232">
        <v>0</v>
      </c>
      <c r="AK9232">
        <v>0</v>
      </c>
      <c r="AL9232">
        <v>0</v>
      </c>
      <c r="AM9232">
        <v>0</v>
      </c>
      <c r="AN9232">
        <v>0</v>
      </c>
      <c r="AO9232">
        <v>0</v>
      </c>
      <c r="AP9232" s="2">
        <v>42746</v>
      </c>
      <c r="AQ9232" t="s">
        <v>72</v>
      </c>
      <c r="AR9232" t="s">
        <v>72</v>
      </c>
      <c r="AS9232">
        <v>979</v>
      </c>
      <c r="AT9232" s="4">
        <v>42464</v>
      </c>
      <c r="AU9232" t="s">
        <v>73</v>
      </c>
      <c r="AV9232">
        <v>979</v>
      </c>
      <c r="AW9232" s="4">
        <v>42464</v>
      </c>
      <c r="BD9232">
        <v>0</v>
      </c>
      <c r="BN9232" t="s">
        <v>74</v>
      </c>
    </row>
    <row r="9233" spans="1:66" hidden="1">
      <c r="A9233">
        <v>106593</v>
      </c>
      <c r="B9233" s="3" t="s">
        <v>814</v>
      </c>
      <c r="C9233" s="1">
        <v>43300101</v>
      </c>
      <c r="D9233" t="s">
        <v>67</v>
      </c>
      <c r="H9233" t="str">
        <f>"FRRSGG46H22B745V"</f>
        <v>FRRSGG46H22B745V</v>
      </c>
      <c r="I9233" t="str">
        <f>"00928070622"</f>
        <v>00928070622</v>
      </c>
      <c r="K9233" t="str">
        <f>""</f>
        <v/>
      </c>
      <c r="M9233" t="s">
        <v>68</v>
      </c>
      <c r="N9233" t="str">
        <f>"FOR"</f>
        <v>FOR</v>
      </c>
      <c r="O9233" t="s">
        <v>69</v>
      </c>
      <c r="P9233" s="3" t="s">
        <v>75</v>
      </c>
      <c r="Q9233">
        <v>2015</v>
      </c>
      <c r="R9233" s="2">
        <v>42153</v>
      </c>
      <c r="S9233" s="2">
        <v>42164</v>
      </c>
      <c r="T9233" s="2">
        <v>42154</v>
      </c>
      <c r="U9233" s="2">
        <v>42214</v>
      </c>
      <c r="V9233" t="s">
        <v>71</v>
      </c>
      <c r="W9233" t="str">
        <f>"                   3"</f>
        <v xml:space="preserve">                   3</v>
      </c>
      <c r="X9233">
        <v>60</v>
      </c>
      <c r="Y9233">
        <v>0</v>
      </c>
      <c r="Z9233"/>
      <c r="AB9233"/>
      <c r="AC9233">
        <v>60</v>
      </c>
      <c r="AD9233">
        <v>363</v>
      </c>
      <c r="AE9233" s="1">
        <v>21780</v>
      </c>
      <c r="AF9233">
        <v>0</v>
      </c>
      <c r="AJ9233">
        <v>0</v>
      </c>
      <c r="AK9233">
        <v>0</v>
      </c>
      <c r="AL9233">
        <v>0</v>
      </c>
      <c r="AM9233">
        <v>0</v>
      </c>
      <c r="AN9233">
        <v>0</v>
      </c>
      <c r="AO9233">
        <v>0</v>
      </c>
      <c r="AP9233" s="2">
        <v>42746</v>
      </c>
      <c r="AQ9233" t="s">
        <v>72</v>
      </c>
      <c r="AR9233" t="s">
        <v>72</v>
      </c>
      <c r="AS9233">
        <v>1973</v>
      </c>
      <c r="AT9233" s="4">
        <v>42577</v>
      </c>
      <c r="AU9233" t="s">
        <v>73</v>
      </c>
      <c r="AV9233">
        <v>1973</v>
      </c>
      <c r="AW9233" s="4">
        <v>42577</v>
      </c>
      <c r="BD9233">
        <v>0</v>
      </c>
      <c r="BN9233" t="s">
        <v>74</v>
      </c>
    </row>
    <row r="9234" spans="1:66">
      <c r="A9234">
        <v>106594</v>
      </c>
      <c r="B9234" s="3" t="s">
        <v>815</v>
      </c>
      <c r="C9234" s="1">
        <v>43500101</v>
      </c>
      <c r="D9234" t="s">
        <v>113</v>
      </c>
      <c r="H9234" t="str">
        <f>"02406911202"</f>
        <v>02406911202</v>
      </c>
      <c r="I9234" t="str">
        <f>"00302030374"</f>
        <v>00302030374</v>
      </c>
      <c r="K9234" t="str">
        <f>""</f>
        <v/>
      </c>
      <c r="M9234" t="s">
        <v>68</v>
      </c>
      <c r="N9234" t="str">
        <f t="shared" ref="N9234:N9242" si="967">"ALT"</f>
        <v>ALT</v>
      </c>
      <c r="O9234" t="s">
        <v>114</v>
      </c>
      <c r="P9234" s="3" t="s">
        <v>75</v>
      </c>
      <c r="Q9234">
        <v>2015</v>
      </c>
      <c r="R9234" s="2">
        <v>42124</v>
      </c>
      <c r="S9234" s="2">
        <v>42164</v>
      </c>
      <c r="T9234" s="2">
        <v>42156</v>
      </c>
      <c r="U9234" s="2">
        <v>42216</v>
      </c>
      <c r="V9234" t="s">
        <v>71</v>
      </c>
      <c r="W9234" t="str">
        <f>"              24/557"</f>
        <v xml:space="preserve">              24/557</v>
      </c>
      <c r="X9234" s="1">
        <v>1843</v>
      </c>
      <c r="Y9234">
        <v>0</v>
      </c>
      <c r="Z9234" s="5">
        <v>1843</v>
      </c>
      <c r="AA9234">
        <v>473</v>
      </c>
      <c r="AB9234" s="5">
        <v>871739</v>
      </c>
      <c r="AC9234" s="1">
        <v>1843</v>
      </c>
      <c r="AD9234">
        <v>473</v>
      </c>
      <c r="AE9234" s="1">
        <v>871739</v>
      </c>
      <c r="AF9234">
        <v>0</v>
      </c>
      <c r="AJ9234">
        <v>0</v>
      </c>
      <c r="AK9234">
        <v>0</v>
      </c>
      <c r="AL9234">
        <v>0</v>
      </c>
      <c r="AM9234">
        <v>0</v>
      </c>
      <c r="AN9234">
        <v>0</v>
      </c>
      <c r="AO9234">
        <v>0</v>
      </c>
      <c r="AP9234" s="2">
        <v>42746</v>
      </c>
      <c r="AQ9234" t="s">
        <v>72</v>
      </c>
      <c r="AR9234" t="s">
        <v>72</v>
      </c>
      <c r="AS9234">
        <v>3093</v>
      </c>
      <c r="AT9234" s="4">
        <v>42689</v>
      </c>
      <c r="AU9234" t="s">
        <v>73</v>
      </c>
      <c r="AV9234">
        <v>3093</v>
      </c>
      <c r="AW9234" s="4">
        <v>42689</v>
      </c>
      <c r="BD9234">
        <v>0</v>
      </c>
      <c r="BN9234" t="s">
        <v>74</v>
      </c>
    </row>
    <row r="9235" spans="1:66" hidden="1">
      <c r="A9235">
        <v>106596</v>
      </c>
      <c r="B9235" s="3" t="s">
        <v>816</v>
      </c>
      <c r="C9235" s="1">
        <v>43500101</v>
      </c>
      <c r="D9235" t="s">
        <v>113</v>
      </c>
      <c r="H9235" t="str">
        <f>"97017710589"</f>
        <v>97017710589</v>
      </c>
      <c r="I9235" t="str">
        <f>""</f>
        <v/>
      </c>
      <c r="K9235" t="str">
        <f>""</f>
        <v/>
      </c>
      <c r="M9235" t="s">
        <v>68</v>
      </c>
      <c r="N9235" t="str">
        <f t="shared" si="967"/>
        <v>ALT</v>
      </c>
      <c r="O9235" t="s">
        <v>114</v>
      </c>
      <c r="P9235" s="3" t="s">
        <v>84</v>
      </c>
      <c r="Q9235">
        <v>2016</v>
      </c>
      <c r="R9235" s="2">
        <v>42389</v>
      </c>
      <c r="S9235" s="2">
        <v>42390</v>
      </c>
      <c r="T9235" s="2">
        <v>42390</v>
      </c>
      <c r="U9235" s="2">
        <v>42450</v>
      </c>
      <c r="V9235" t="s">
        <v>71</v>
      </c>
      <c r="W9235" t="str">
        <f>"                0120"</f>
        <v xml:space="preserve">                0120</v>
      </c>
      <c r="X9235">
        <v>0</v>
      </c>
      <c r="Y9235">
        <v>8.85</v>
      </c>
      <c r="Z9235"/>
      <c r="AB9235"/>
      <c r="AC9235">
        <v>8.85</v>
      </c>
      <c r="AD9235">
        <v>-60</v>
      </c>
      <c r="AE9235">
        <v>-531</v>
      </c>
      <c r="AF9235">
        <v>0</v>
      </c>
      <c r="AJ9235">
        <v>0</v>
      </c>
      <c r="AK9235">
        <v>0</v>
      </c>
      <c r="AL9235">
        <v>0</v>
      </c>
      <c r="AM9235">
        <v>8.85</v>
      </c>
      <c r="AN9235">
        <v>8.85</v>
      </c>
      <c r="AO9235">
        <v>8.85</v>
      </c>
      <c r="AP9235" s="2">
        <v>42746</v>
      </c>
      <c r="AQ9235" t="s">
        <v>72</v>
      </c>
      <c r="AR9235" t="s">
        <v>72</v>
      </c>
      <c r="AS9235">
        <v>50</v>
      </c>
      <c r="AT9235" s="4">
        <v>42390</v>
      </c>
      <c r="AV9235">
        <v>50</v>
      </c>
      <c r="AW9235" s="4">
        <v>42390</v>
      </c>
      <c r="BD9235">
        <v>0</v>
      </c>
      <c r="BN9235" t="s">
        <v>74</v>
      </c>
    </row>
    <row r="9236" spans="1:66" hidden="1">
      <c r="A9236">
        <v>106596</v>
      </c>
      <c r="B9236" s="3" t="s">
        <v>816</v>
      </c>
      <c r="C9236" s="1">
        <v>43500101</v>
      </c>
      <c r="D9236" t="s">
        <v>113</v>
      </c>
      <c r="H9236" t="str">
        <f>"97017710589"</f>
        <v>97017710589</v>
      </c>
      <c r="I9236" t="str">
        <f>""</f>
        <v/>
      </c>
      <c r="K9236" t="str">
        <f>""</f>
        <v/>
      </c>
      <c r="M9236" t="s">
        <v>68</v>
      </c>
      <c r="N9236" t="str">
        <f t="shared" si="967"/>
        <v>ALT</v>
      </c>
      <c r="O9236" t="s">
        <v>114</v>
      </c>
      <c r="P9236" s="3" t="s">
        <v>85</v>
      </c>
      <c r="Q9236">
        <v>2016</v>
      </c>
      <c r="R9236" s="2">
        <v>42422</v>
      </c>
      <c r="S9236" s="2">
        <v>42422</v>
      </c>
      <c r="T9236" s="2">
        <v>42422</v>
      </c>
      <c r="U9236" s="2">
        <v>42482</v>
      </c>
      <c r="V9236" t="s">
        <v>71</v>
      </c>
      <c r="W9236" t="str">
        <f>"                0222"</f>
        <v xml:space="preserve">                0222</v>
      </c>
      <c r="X9236">
        <v>0</v>
      </c>
      <c r="Y9236">
        <v>8.85</v>
      </c>
      <c r="Z9236"/>
      <c r="AB9236"/>
      <c r="AC9236">
        <v>8.85</v>
      </c>
      <c r="AD9236">
        <v>-58</v>
      </c>
      <c r="AE9236">
        <v>-513.29999999999995</v>
      </c>
      <c r="AF9236">
        <v>0</v>
      </c>
      <c r="AJ9236">
        <v>0</v>
      </c>
      <c r="AK9236">
        <v>0</v>
      </c>
      <c r="AL9236">
        <v>0</v>
      </c>
      <c r="AM9236">
        <v>8.85</v>
      </c>
      <c r="AN9236">
        <v>8.85</v>
      </c>
      <c r="AO9236">
        <v>8.85</v>
      </c>
      <c r="AP9236" s="2">
        <v>42746</v>
      </c>
      <c r="AQ9236" t="s">
        <v>72</v>
      </c>
      <c r="AR9236" t="s">
        <v>72</v>
      </c>
      <c r="AS9236">
        <v>494</v>
      </c>
      <c r="AT9236" s="4">
        <v>42424</v>
      </c>
      <c r="AV9236">
        <v>494</v>
      </c>
      <c r="AW9236" s="4">
        <v>42424</v>
      </c>
      <c r="BD9236">
        <v>0</v>
      </c>
      <c r="BN9236" t="s">
        <v>74</v>
      </c>
    </row>
    <row r="9237" spans="1:66" hidden="1">
      <c r="A9237">
        <v>106596</v>
      </c>
      <c r="B9237" s="3" t="s">
        <v>816</v>
      </c>
      <c r="C9237" s="1">
        <v>43500101</v>
      </c>
      <c r="D9237" t="s">
        <v>113</v>
      </c>
      <c r="H9237" t="str">
        <f>"97017710589"</f>
        <v>97017710589</v>
      </c>
      <c r="I9237" t="str">
        <f>""</f>
        <v/>
      </c>
      <c r="K9237" t="str">
        <f>""</f>
        <v/>
      </c>
      <c r="M9237" t="s">
        <v>68</v>
      </c>
      <c r="N9237" t="str">
        <f t="shared" si="967"/>
        <v>ALT</v>
      </c>
      <c r="O9237" t="s">
        <v>114</v>
      </c>
      <c r="P9237" s="3" t="s">
        <v>86</v>
      </c>
      <c r="Q9237">
        <v>2016</v>
      </c>
      <c r="R9237" s="2">
        <v>42450</v>
      </c>
      <c r="S9237" s="2">
        <v>42450</v>
      </c>
      <c r="T9237" s="2">
        <v>42450</v>
      </c>
      <c r="U9237" s="2">
        <v>42510</v>
      </c>
      <c r="V9237" t="s">
        <v>71</v>
      </c>
      <c r="W9237" t="str">
        <f>"                0321"</f>
        <v xml:space="preserve">                0321</v>
      </c>
      <c r="X9237">
        <v>0</v>
      </c>
      <c r="Y9237">
        <v>8.85</v>
      </c>
      <c r="Z9237"/>
      <c r="AB9237"/>
      <c r="AC9237">
        <v>8.85</v>
      </c>
      <c r="AD9237">
        <v>-57</v>
      </c>
      <c r="AE9237">
        <v>-504.45</v>
      </c>
      <c r="AF9237">
        <v>0</v>
      </c>
      <c r="AJ9237">
        <v>0</v>
      </c>
      <c r="AK9237">
        <v>0</v>
      </c>
      <c r="AL9237">
        <v>0</v>
      </c>
      <c r="AM9237">
        <v>8.85</v>
      </c>
      <c r="AN9237">
        <v>8.85</v>
      </c>
      <c r="AO9237">
        <v>8.85</v>
      </c>
      <c r="AP9237" s="2">
        <v>42746</v>
      </c>
      <c r="AQ9237" t="s">
        <v>72</v>
      </c>
      <c r="AR9237" t="s">
        <v>72</v>
      </c>
      <c r="AS9237">
        <v>916</v>
      </c>
      <c r="AT9237" s="4">
        <v>42453</v>
      </c>
      <c r="AV9237">
        <v>916</v>
      </c>
      <c r="AW9237" s="4">
        <v>42453</v>
      </c>
      <c r="BD9237">
        <v>0</v>
      </c>
      <c r="BN9237" t="s">
        <v>74</v>
      </c>
    </row>
    <row r="9238" spans="1:66" hidden="1">
      <c r="A9238">
        <v>106596</v>
      </c>
      <c r="B9238" s="3" t="s">
        <v>816</v>
      </c>
      <c r="C9238" s="1">
        <v>43500101</v>
      </c>
      <c r="D9238" t="s">
        <v>113</v>
      </c>
      <c r="H9238" t="str">
        <f>"97017710589"</f>
        <v>97017710589</v>
      </c>
      <c r="I9238" t="str">
        <f>""</f>
        <v/>
      </c>
      <c r="K9238" t="str">
        <f>""</f>
        <v/>
      </c>
      <c r="M9238" t="s">
        <v>68</v>
      </c>
      <c r="N9238" t="str">
        <f t="shared" si="967"/>
        <v>ALT</v>
      </c>
      <c r="O9238" t="s">
        <v>114</v>
      </c>
      <c r="P9238" s="3" t="s">
        <v>87</v>
      </c>
      <c r="Q9238">
        <v>2016</v>
      </c>
      <c r="R9238" s="2">
        <v>42481</v>
      </c>
      <c r="S9238" s="2">
        <v>42481</v>
      </c>
      <c r="T9238" s="2">
        <v>42481</v>
      </c>
      <c r="U9238" s="2">
        <v>42541</v>
      </c>
      <c r="V9238" t="s">
        <v>71</v>
      </c>
      <c r="W9238" t="str">
        <f>"                0421"</f>
        <v xml:space="preserve">                0421</v>
      </c>
      <c r="X9238">
        <v>0</v>
      </c>
      <c r="Y9238">
        <v>8.85</v>
      </c>
      <c r="Z9238"/>
      <c r="AB9238"/>
      <c r="AC9238">
        <v>8.85</v>
      </c>
      <c r="AD9238">
        <v>-60</v>
      </c>
      <c r="AE9238">
        <v>-531</v>
      </c>
      <c r="AF9238">
        <v>0</v>
      </c>
      <c r="AJ9238">
        <v>0</v>
      </c>
      <c r="AK9238">
        <v>0</v>
      </c>
      <c r="AL9238">
        <v>0</v>
      </c>
      <c r="AM9238">
        <v>8.85</v>
      </c>
      <c r="AN9238">
        <v>8.85</v>
      </c>
      <c r="AO9238">
        <v>8.85</v>
      </c>
      <c r="AP9238" s="2">
        <v>42746</v>
      </c>
      <c r="AQ9238" t="s">
        <v>72</v>
      </c>
      <c r="AR9238" t="s">
        <v>72</v>
      </c>
      <c r="AS9238">
        <v>1082</v>
      </c>
      <c r="AT9238" s="4">
        <v>42481</v>
      </c>
      <c r="AV9238">
        <v>1082</v>
      </c>
      <c r="AW9238" s="4">
        <v>42481</v>
      </c>
      <c r="BD9238">
        <v>0</v>
      </c>
      <c r="BN9238" t="s">
        <v>74</v>
      </c>
    </row>
    <row r="9239" spans="1:66" hidden="1">
      <c r="A9239">
        <v>106596</v>
      </c>
      <c r="B9239" s="3" t="s">
        <v>816</v>
      </c>
      <c r="C9239" s="1">
        <v>43500101</v>
      </c>
      <c r="D9239" t="s">
        <v>113</v>
      </c>
      <c r="H9239" t="str">
        <f>"97017710589"</f>
        <v>97017710589</v>
      </c>
      <c r="I9239" t="str">
        <f>""</f>
        <v/>
      </c>
      <c r="K9239" t="str">
        <f>""</f>
        <v/>
      </c>
      <c r="M9239" t="s">
        <v>68</v>
      </c>
      <c r="N9239" t="str">
        <f t="shared" si="967"/>
        <v>ALT</v>
      </c>
      <c r="O9239" t="s">
        <v>114</v>
      </c>
      <c r="P9239" s="3" t="s">
        <v>88</v>
      </c>
      <c r="Q9239">
        <v>2016</v>
      </c>
      <c r="R9239" s="2">
        <v>42508</v>
      </c>
      <c r="S9239" s="2">
        <v>42510</v>
      </c>
      <c r="T9239" s="2">
        <v>42510</v>
      </c>
      <c r="U9239" s="2">
        <v>42570</v>
      </c>
      <c r="V9239" t="s">
        <v>71</v>
      </c>
      <c r="W9239" t="str">
        <f>"                0518"</f>
        <v xml:space="preserve">                0518</v>
      </c>
      <c r="X9239">
        <v>0</v>
      </c>
      <c r="Y9239">
        <v>4.08</v>
      </c>
      <c r="Z9239"/>
      <c r="AB9239"/>
      <c r="AC9239">
        <v>4.08</v>
      </c>
      <c r="AD9239">
        <v>-57</v>
      </c>
      <c r="AE9239">
        <v>-232.56</v>
      </c>
      <c r="AF9239">
        <v>0</v>
      </c>
      <c r="AJ9239">
        <v>0</v>
      </c>
      <c r="AK9239">
        <v>0</v>
      </c>
      <c r="AL9239">
        <v>0</v>
      </c>
      <c r="AM9239">
        <v>4.08</v>
      </c>
      <c r="AN9239">
        <v>4.08</v>
      </c>
      <c r="AO9239">
        <v>4.08</v>
      </c>
      <c r="AP9239" s="2">
        <v>42746</v>
      </c>
      <c r="AQ9239" t="s">
        <v>72</v>
      </c>
      <c r="AR9239" t="s">
        <v>72</v>
      </c>
      <c r="AS9239">
        <v>1320</v>
      </c>
      <c r="AT9239" s="4">
        <v>42513</v>
      </c>
      <c r="AV9239">
        <v>1320</v>
      </c>
      <c r="AW9239" s="4">
        <v>42513</v>
      </c>
      <c r="BD9239">
        <v>0</v>
      </c>
      <c r="BN9239" t="s">
        <v>74</v>
      </c>
    </row>
    <row r="9240" spans="1:66" hidden="1">
      <c r="A9240">
        <v>106597</v>
      </c>
      <c r="B9240" s="3" t="s">
        <v>817</v>
      </c>
      <c r="C9240" s="1">
        <v>43500101</v>
      </c>
      <c r="D9240" t="s">
        <v>113</v>
      </c>
      <c r="H9240" t="str">
        <f>"97584460584"</f>
        <v>97584460584</v>
      </c>
      <c r="I9240" t="str">
        <f>""</f>
        <v/>
      </c>
      <c r="K9240" t="str">
        <f>""</f>
        <v/>
      </c>
      <c r="M9240" t="s">
        <v>68</v>
      </c>
      <c r="N9240" t="str">
        <f t="shared" si="967"/>
        <v>ALT</v>
      </c>
      <c r="O9240" t="s">
        <v>114</v>
      </c>
      <c r="P9240" s="3" t="s">
        <v>818</v>
      </c>
      <c r="Q9240">
        <v>2016</v>
      </c>
      <c r="R9240" s="2">
        <v>42431</v>
      </c>
      <c r="S9240" s="2">
        <v>42431</v>
      </c>
      <c r="T9240" s="2">
        <v>42431</v>
      </c>
      <c r="U9240" s="2">
        <v>42491</v>
      </c>
      <c r="V9240" t="s">
        <v>71</v>
      </c>
      <c r="W9240" t="str">
        <f>"                  39"</f>
        <v xml:space="preserve">                  39</v>
      </c>
      <c r="X9240">
        <v>0</v>
      </c>
      <c r="Y9240" s="1">
        <v>1185</v>
      </c>
      <c r="Z9240"/>
      <c r="AB9240"/>
      <c r="AC9240" s="1">
        <v>1185</v>
      </c>
      <c r="AD9240">
        <v>-60</v>
      </c>
      <c r="AE9240" s="1">
        <v>-71100</v>
      </c>
      <c r="AF9240">
        <v>0</v>
      </c>
      <c r="AJ9240">
        <v>0</v>
      </c>
      <c r="AK9240">
        <v>0</v>
      </c>
      <c r="AL9240">
        <v>0</v>
      </c>
      <c r="AM9240">
        <v>0</v>
      </c>
      <c r="AN9240" s="1">
        <v>1185</v>
      </c>
      <c r="AO9240" s="1">
        <v>1185</v>
      </c>
      <c r="AP9240" s="2">
        <v>42746</v>
      </c>
      <c r="AQ9240" t="s">
        <v>72</v>
      </c>
      <c r="AR9240" t="s">
        <v>72</v>
      </c>
      <c r="AS9240">
        <v>644</v>
      </c>
      <c r="AT9240" s="4">
        <v>42431</v>
      </c>
      <c r="AV9240">
        <v>644</v>
      </c>
      <c r="AW9240" s="4">
        <v>42431</v>
      </c>
      <c r="BD9240">
        <v>0</v>
      </c>
      <c r="BN9240" t="s">
        <v>74</v>
      </c>
    </row>
    <row r="9241" spans="1:66" hidden="1">
      <c r="A9241">
        <v>106597</v>
      </c>
      <c r="B9241" s="3" t="s">
        <v>817</v>
      </c>
      <c r="C9241" s="1">
        <v>43500101</v>
      </c>
      <c r="D9241" t="s">
        <v>113</v>
      </c>
      <c r="H9241" t="str">
        <f>"97584460584"</f>
        <v>97584460584</v>
      </c>
      <c r="I9241" t="str">
        <f>""</f>
        <v/>
      </c>
      <c r="K9241" t="str">
        <f>""</f>
        <v/>
      </c>
      <c r="M9241" t="s">
        <v>68</v>
      </c>
      <c r="N9241" t="str">
        <f t="shared" si="967"/>
        <v>ALT</v>
      </c>
      <c r="O9241" t="s">
        <v>114</v>
      </c>
      <c r="P9241" s="3" t="s">
        <v>818</v>
      </c>
      <c r="Q9241">
        <v>2016</v>
      </c>
      <c r="R9241" s="2">
        <v>42551</v>
      </c>
      <c r="S9241" s="2">
        <v>42551</v>
      </c>
      <c r="T9241" s="2">
        <v>42551</v>
      </c>
      <c r="U9241" s="2">
        <v>42611</v>
      </c>
      <c r="V9241" t="s">
        <v>71</v>
      </c>
      <c r="W9241" t="str">
        <f>"                 158"</f>
        <v xml:space="preserve">                 158</v>
      </c>
      <c r="X9241">
        <v>0</v>
      </c>
      <c r="Y9241" s="1">
        <v>1970</v>
      </c>
      <c r="Z9241"/>
      <c r="AB9241"/>
      <c r="AC9241" s="1">
        <v>1970</v>
      </c>
      <c r="AD9241">
        <v>-59</v>
      </c>
      <c r="AE9241" s="1">
        <v>-116230</v>
      </c>
      <c r="AF9241">
        <v>0</v>
      </c>
      <c r="AJ9241">
        <v>0</v>
      </c>
      <c r="AK9241">
        <v>0</v>
      </c>
      <c r="AL9241">
        <v>0</v>
      </c>
      <c r="AM9241" s="1">
        <v>1970</v>
      </c>
      <c r="AN9241" s="1">
        <v>1970</v>
      </c>
      <c r="AO9241" s="1">
        <v>1970</v>
      </c>
      <c r="AP9241" s="2">
        <v>42746</v>
      </c>
      <c r="AQ9241" t="s">
        <v>72</v>
      </c>
      <c r="AR9241" t="s">
        <v>72</v>
      </c>
      <c r="AS9241">
        <v>1672</v>
      </c>
      <c r="AT9241" s="4">
        <v>42552</v>
      </c>
      <c r="AV9241">
        <v>1672</v>
      </c>
      <c r="AW9241" s="4">
        <v>42552</v>
      </c>
      <c r="BD9241">
        <v>0</v>
      </c>
      <c r="BN9241" t="s">
        <v>74</v>
      </c>
    </row>
    <row r="9242" spans="1:66" hidden="1">
      <c r="A9242">
        <v>106597</v>
      </c>
      <c r="B9242" s="3" t="s">
        <v>817</v>
      </c>
      <c r="C9242" s="1">
        <v>43500101</v>
      </c>
      <c r="D9242" t="s">
        <v>113</v>
      </c>
      <c r="H9242" t="str">
        <f>"97584460584"</f>
        <v>97584460584</v>
      </c>
      <c r="I9242" t="str">
        <f>""</f>
        <v/>
      </c>
      <c r="K9242" t="str">
        <f>""</f>
        <v/>
      </c>
      <c r="M9242" t="s">
        <v>68</v>
      </c>
      <c r="N9242" t="str">
        <f t="shared" si="967"/>
        <v>ALT</v>
      </c>
      <c r="O9242" t="s">
        <v>114</v>
      </c>
      <c r="P9242" s="3" t="s">
        <v>819</v>
      </c>
      <c r="Q9242">
        <v>2016</v>
      </c>
      <c r="R9242" s="2">
        <v>42670</v>
      </c>
      <c r="S9242" s="2">
        <v>42670</v>
      </c>
      <c r="T9242" s="2">
        <v>42670</v>
      </c>
      <c r="U9242" s="2">
        <v>42730</v>
      </c>
      <c r="V9242" t="s">
        <v>71</v>
      </c>
      <c r="W9242" t="str">
        <f>"                 255"</f>
        <v xml:space="preserve">                 255</v>
      </c>
      <c r="X9242">
        <v>0</v>
      </c>
      <c r="Y9242" s="1">
        <v>1755</v>
      </c>
      <c r="Z9242" s="5">
        <v>1755</v>
      </c>
      <c r="AA9242">
        <v>-59</v>
      </c>
      <c r="AB9242" s="5">
        <v>-103545</v>
      </c>
      <c r="AC9242" s="1">
        <v>1755</v>
      </c>
      <c r="AD9242">
        <v>-59</v>
      </c>
      <c r="AE9242" s="1">
        <v>-103545</v>
      </c>
      <c r="AF9242">
        <v>0</v>
      </c>
      <c r="AJ9242" s="1">
        <v>1755</v>
      </c>
      <c r="AK9242" s="1">
        <v>1755</v>
      </c>
      <c r="AL9242" s="1">
        <v>1755</v>
      </c>
      <c r="AM9242" s="1">
        <v>1755</v>
      </c>
      <c r="AN9242" s="1">
        <v>1755</v>
      </c>
      <c r="AO9242" s="1">
        <v>1755</v>
      </c>
      <c r="AP9242" s="2">
        <v>42746</v>
      </c>
      <c r="AQ9242" t="s">
        <v>72</v>
      </c>
      <c r="AR9242" t="s">
        <v>72</v>
      </c>
      <c r="AS9242">
        <v>2895</v>
      </c>
      <c r="AT9242" s="4">
        <v>42671</v>
      </c>
      <c r="AV9242">
        <v>2895</v>
      </c>
      <c r="AW9242" s="4">
        <v>42671</v>
      </c>
      <c r="BD9242">
        <v>0</v>
      </c>
      <c r="BN9242" t="s">
        <v>74</v>
      </c>
    </row>
    <row r="9243" spans="1:66">
      <c r="A9243">
        <v>106598</v>
      </c>
      <c r="B9243" s="3" t="s">
        <v>820</v>
      </c>
      <c r="C9243" s="1">
        <v>43300101</v>
      </c>
      <c r="D9243" t="s">
        <v>67</v>
      </c>
      <c r="H9243" t="str">
        <f>"DNLNTN79M23A509V"</f>
        <v>DNLNTN79M23A509V</v>
      </c>
      <c r="I9243" t="str">
        <f>"06775061218"</f>
        <v>06775061218</v>
      </c>
      <c r="K9243" t="str">
        <f>""</f>
        <v/>
      </c>
      <c r="M9243" t="s">
        <v>68</v>
      </c>
      <c r="N9243" t="str">
        <f t="shared" ref="N9243:N9255" si="968">"FOR"</f>
        <v>FOR</v>
      </c>
      <c r="O9243" t="s">
        <v>69</v>
      </c>
      <c r="P9243" s="3" t="s">
        <v>75</v>
      </c>
      <c r="Q9243">
        <v>2015</v>
      </c>
      <c r="R9243" s="2">
        <v>42276</v>
      </c>
      <c r="S9243" s="2">
        <v>42283</v>
      </c>
      <c r="T9243" s="2">
        <v>42283</v>
      </c>
      <c r="U9243" s="2">
        <v>42343</v>
      </c>
      <c r="V9243" t="s">
        <v>71</v>
      </c>
      <c r="W9243" t="str">
        <f>"         FATTPA 1_15"</f>
        <v xml:space="preserve">         FATTPA 1_15</v>
      </c>
      <c r="X9243" s="1">
        <v>4880</v>
      </c>
      <c r="Y9243">
        <v>0</v>
      </c>
      <c r="Z9243" s="5">
        <v>4000</v>
      </c>
      <c r="AA9243">
        <v>305</v>
      </c>
      <c r="AB9243" s="5">
        <v>1220000</v>
      </c>
      <c r="AC9243" s="1">
        <v>4000</v>
      </c>
      <c r="AD9243">
        <v>305</v>
      </c>
      <c r="AE9243" s="1">
        <v>1220000</v>
      </c>
      <c r="AF9243">
        <v>0</v>
      </c>
      <c r="AJ9243">
        <v>0</v>
      </c>
      <c r="AK9243">
        <v>0</v>
      </c>
      <c r="AL9243">
        <v>0</v>
      </c>
      <c r="AM9243">
        <v>0</v>
      </c>
      <c r="AN9243">
        <v>0</v>
      </c>
      <c r="AO9243">
        <v>0</v>
      </c>
      <c r="AP9243" s="2">
        <v>42746</v>
      </c>
      <c r="AQ9243" t="s">
        <v>72</v>
      </c>
      <c r="AR9243" t="s">
        <v>72</v>
      </c>
      <c r="AS9243">
        <v>2660</v>
      </c>
      <c r="AT9243" s="4">
        <v>42648</v>
      </c>
      <c r="AU9243" t="s">
        <v>73</v>
      </c>
      <c r="AV9243">
        <v>2660</v>
      </c>
      <c r="AW9243" s="4">
        <v>42648</v>
      </c>
      <c r="BD9243">
        <v>0</v>
      </c>
      <c r="BN9243" t="s">
        <v>74</v>
      </c>
    </row>
    <row r="9244" spans="1:66" hidden="1">
      <c r="A9244">
        <v>106599</v>
      </c>
      <c r="B9244" s="3" t="s">
        <v>821</v>
      </c>
      <c r="C9244" s="1">
        <v>43300101</v>
      </c>
      <c r="D9244" t="s">
        <v>67</v>
      </c>
      <c r="H9244" t="str">
        <f t="shared" ref="H9244:I9246" si="969">"05304500654"</f>
        <v>05304500654</v>
      </c>
      <c r="I9244" t="str">
        <f t="shared" si="969"/>
        <v>05304500654</v>
      </c>
      <c r="K9244" t="str">
        <f>""</f>
        <v/>
      </c>
      <c r="M9244" t="s">
        <v>68</v>
      </c>
      <c r="N9244" t="str">
        <f t="shared" si="968"/>
        <v>FOR</v>
      </c>
      <c r="O9244" t="s">
        <v>69</v>
      </c>
      <c r="P9244" s="3" t="s">
        <v>75</v>
      </c>
      <c r="Q9244">
        <v>2015</v>
      </c>
      <c r="R9244" s="2">
        <v>42244</v>
      </c>
      <c r="S9244" s="2">
        <v>42408</v>
      </c>
      <c r="T9244" s="2">
        <v>42408</v>
      </c>
      <c r="U9244" s="2">
        <v>42468</v>
      </c>
      <c r="V9244" t="s">
        <v>71</v>
      </c>
      <c r="W9244" t="str">
        <f>"                  93"</f>
        <v xml:space="preserve">                  93</v>
      </c>
      <c r="X9244" s="1">
        <v>1124.3499999999999</v>
      </c>
      <c r="Y9244">
        <v>0</v>
      </c>
      <c r="Z9244"/>
      <c r="AB9244"/>
      <c r="AC9244">
        <v>921.6</v>
      </c>
      <c r="AD9244">
        <v>19</v>
      </c>
      <c r="AE9244" s="1">
        <v>17510.400000000001</v>
      </c>
      <c r="AF9244">
        <v>0</v>
      </c>
      <c r="AJ9244">
        <v>0</v>
      </c>
      <c r="AK9244">
        <v>0</v>
      </c>
      <c r="AL9244">
        <v>0</v>
      </c>
      <c r="AM9244">
        <v>0</v>
      </c>
      <c r="AN9244" s="1">
        <v>1124.3499999999999</v>
      </c>
      <c r="AO9244">
        <v>0</v>
      </c>
      <c r="AP9244" s="2">
        <v>42746</v>
      </c>
      <c r="AQ9244" t="s">
        <v>72</v>
      </c>
      <c r="AR9244" t="s">
        <v>72</v>
      </c>
      <c r="AS9244">
        <v>1191</v>
      </c>
      <c r="AT9244" s="4">
        <v>42487</v>
      </c>
      <c r="AU9244" t="s">
        <v>73</v>
      </c>
      <c r="AV9244">
        <v>1191</v>
      </c>
      <c r="AW9244" s="4">
        <v>42487</v>
      </c>
      <c r="BD9244">
        <v>0</v>
      </c>
      <c r="BN9244" t="s">
        <v>74</v>
      </c>
    </row>
    <row r="9245" spans="1:66" hidden="1">
      <c r="A9245">
        <v>106599</v>
      </c>
      <c r="B9245" s="3" t="s">
        <v>821</v>
      </c>
      <c r="C9245" s="1">
        <v>43300101</v>
      </c>
      <c r="D9245" t="s">
        <v>67</v>
      </c>
      <c r="H9245" t="str">
        <f t="shared" si="969"/>
        <v>05304500654</v>
      </c>
      <c r="I9245" t="str">
        <f t="shared" si="969"/>
        <v>05304500654</v>
      </c>
      <c r="K9245" t="str">
        <f>""</f>
        <v/>
      </c>
      <c r="M9245" t="s">
        <v>68</v>
      </c>
      <c r="N9245" t="str">
        <f t="shared" si="968"/>
        <v>FOR</v>
      </c>
      <c r="O9245" t="s">
        <v>69</v>
      </c>
      <c r="P9245" s="3" t="s">
        <v>75</v>
      </c>
      <c r="Q9245">
        <v>2015</v>
      </c>
      <c r="R9245" s="2">
        <v>42213</v>
      </c>
      <c r="S9245" s="2">
        <v>42408</v>
      </c>
      <c r="T9245" s="2">
        <v>42408</v>
      </c>
      <c r="U9245" s="2">
        <v>42468</v>
      </c>
      <c r="V9245" t="s">
        <v>71</v>
      </c>
      <c r="W9245" t="str">
        <f>"                59/1"</f>
        <v xml:space="preserve">                59/1</v>
      </c>
      <c r="X9245" s="1">
        <v>1592.87</v>
      </c>
      <c r="Y9245">
        <v>0</v>
      </c>
      <c r="Z9245"/>
      <c r="AB9245"/>
      <c r="AC9245" s="1">
        <v>1305.6300000000001</v>
      </c>
      <c r="AD9245">
        <v>19</v>
      </c>
      <c r="AE9245" s="1">
        <v>24806.97</v>
      </c>
      <c r="AF9245">
        <v>0</v>
      </c>
      <c r="AJ9245">
        <v>0</v>
      </c>
      <c r="AK9245">
        <v>0</v>
      </c>
      <c r="AL9245">
        <v>0</v>
      </c>
      <c r="AM9245">
        <v>0</v>
      </c>
      <c r="AN9245" s="1">
        <v>1592.87</v>
      </c>
      <c r="AO9245">
        <v>0</v>
      </c>
      <c r="AP9245" s="2">
        <v>42746</v>
      </c>
      <c r="AQ9245" t="s">
        <v>72</v>
      </c>
      <c r="AR9245" t="s">
        <v>72</v>
      </c>
      <c r="AS9245">
        <v>1191</v>
      </c>
      <c r="AT9245" s="4">
        <v>42487</v>
      </c>
      <c r="AU9245" t="s">
        <v>73</v>
      </c>
      <c r="AV9245">
        <v>1191</v>
      </c>
      <c r="AW9245" s="4">
        <v>42487</v>
      </c>
      <c r="BD9245">
        <v>0</v>
      </c>
      <c r="BN9245" t="s">
        <v>74</v>
      </c>
    </row>
    <row r="9246" spans="1:66">
      <c r="A9246">
        <v>106599</v>
      </c>
      <c r="B9246" s="3" t="s">
        <v>821</v>
      </c>
      <c r="C9246" s="1">
        <v>43300101</v>
      </c>
      <c r="D9246" t="s">
        <v>67</v>
      </c>
      <c r="H9246" t="str">
        <f t="shared" si="969"/>
        <v>05304500654</v>
      </c>
      <c r="I9246" t="str">
        <f t="shared" si="969"/>
        <v>05304500654</v>
      </c>
      <c r="K9246" t="str">
        <f>""</f>
        <v/>
      </c>
      <c r="M9246" t="s">
        <v>68</v>
      </c>
      <c r="N9246" t="str">
        <f t="shared" si="968"/>
        <v>FOR</v>
      </c>
      <c r="O9246" t="s">
        <v>69</v>
      </c>
      <c r="P9246" s="3" t="s">
        <v>70</v>
      </c>
      <c r="Q9246">
        <v>2016</v>
      </c>
      <c r="R9246" s="2">
        <v>42429</v>
      </c>
      <c r="S9246" s="2">
        <v>42591</v>
      </c>
      <c r="T9246" s="2">
        <v>42591</v>
      </c>
      <c r="U9246" s="2">
        <v>42651</v>
      </c>
      <c r="V9246" t="s">
        <v>71</v>
      </c>
      <c r="W9246" t="str">
        <f>"                   6"</f>
        <v xml:space="preserve">                   6</v>
      </c>
      <c r="X9246" s="1">
        <v>1592.87</v>
      </c>
      <c r="Y9246">
        <v>0</v>
      </c>
      <c r="Z9246" s="5">
        <v>1305.6300000000001</v>
      </c>
      <c r="AA9246">
        <v>69</v>
      </c>
      <c r="AB9246" s="5">
        <v>90088.47</v>
      </c>
      <c r="AC9246" s="1">
        <v>1305.6300000000001</v>
      </c>
      <c r="AD9246">
        <v>69</v>
      </c>
      <c r="AE9246" s="1">
        <v>90088.47</v>
      </c>
      <c r="AF9246">
        <v>287.24</v>
      </c>
      <c r="AJ9246">
        <v>0</v>
      </c>
      <c r="AK9246">
        <v>0</v>
      </c>
      <c r="AL9246">
        <v>0</v>
      </c>
      <c r="AM9246" s="1">
        <v>1592.87</v>
      </c>
      <c r="AN9246" s="1">
        <v>1592.87</v>
      </c>
      <c r="AO9246" s="1">
        <v>1592.87</v>
      </c>
      <c r="AP9246" s="2">
        <v>42746</v>
      </c>
      <c r="AQ9246" t="s">
        <v>72</v>
      </c>
      <c r="AR9246" t="s">
        <v>72</v>
      </c>
      <c r="AS9246">
        <v>3554</v>
      </c>
      <c r="AT9246" s="4">
        <v>42720</v>
      </c>
      <c r="AU9246" t="s">
        <v>73</v>
      </c>
      <c r="AV9246">
        <v>3554</v>
      </c>
      <c r="AW9246" s="4">
        <v>42720</v>
      </c>
      <c r="AZ9246">
        <v>287.24</v>
      </c>
      <c r="BD9246">
        <v>0</v>
      </c>
      <c r="BN9246" t="s">
        <v>74</v>
      </c>
    </row>
    <row r="9247" spans="1:66" hidden="1">
      <c r="A9247">
        <v>106601</v>
      </c>
      <c r="B9247" s="3" t="s">
        <v>822</v>
      </c>
      <c r="C9247" s="1">
        <v>43300101</v>
      </c>
      <c r="D9247" t="s">
        <v>67</v>
      </c>
      <c r="H9247" t="str">
        <f>"04647720483"</f>
        <v>04647720483</v>
      </c>
      <c r="I9247" t="str">
        <f>"04647720483"</f>
        <v>04647720483</v>
      </c>
      <c r="K9247" t="str">
        <f>""</f>
        <v/>
      </c>
      <c r="M9247" t="s">
        <v>68</v>
      </c>
      <c r="N9247" t="str">
        <f t="shared" si="968"/>
        <v>FOR</v>
      </c>
      <c r="O9247" t="s">
        <v>69</v>
      </c>
      <c r="P9247" s="3" t="s">
        <v>75</v>
      </c>
      <c r="Q9247">
        <v>2015</v>
      </c>
      <c r="R9247" s="2">
        <v>42220</v>
      </c>
      <c r="S9247" s="2">
        <v>42223</v>
      </c>
      <c r="T9247" s="2">
        <v>42221</v>
      </c>
      <c r="U9247" s="2">
        <v>42281</v>
      </c>
      <c r="V9247" t="s">
        <v>71</v>
      </c>
      <c r="W9247" t="str">
        <f>"          2015109916"</f>
        <v xml:space="preserve">          2015109916</v>
      </c>
      <c r="X9247" s="1">
        <v>1148.8</v>
      </c>
      <c r="Y9247">
        <v>0</v>
      </c>
      <c r="Z9247"/>
      <c r="AB9247"/>
      <c r="AC9247">
        <v>941.64</v>
      </c>
      <c r="AD9247">
        <v>298</v>
      </c>
      <c r="AE9247" s="1">
        <v>280608.71999999997</v>
      </c>
      <c r="AF9247">
        <v>0</v>
      </c>
      <c r="AJ9247">
        <v>0</v>
      </c>
      <c r="AK9247">
        <v>0</v>
      </c>
      <c r="AL9247">
        <v>0</v>
      </c>
      <c r="AM9247">
        <v>0</v>
      </c>
      <c r="AN9247">
        <v>0</v>
      </c>
      <c r="AO9247">
        <v>0</v>
      </c>
      <c r="AP9247" s="2">
        <v>42746</v>
      </c>
      <c r="AQ9247" t="s">
        <v>72</v>
      </c>
      <c r="AR9247" t="s">
        <v>72</v>
      </c>
      <c r="AS9247">
        <v>2025</v>
      </c>
      <c r="AT9247" s="4">
        <v>42579</v>
      </c>
      <c r="AU9247" t="s">
        <v>73</v>
      </c>
      <c r="AV9247">
        <v>2025</v>
      </c>
      <c r="AW9247" s="4">
        <v>42579</v>
      </c>
      <c r="BD9247">
        <v>0</v>
      </c>
      <c r="BN9247" t="s">
        <v>74</v>
      </c>
    </row>
    <row r="9248" spans="1:66">
      <c r="A9248">
        <v>106601</v>
      </c>
      <c r="B9248" s="3" t="s">
        <v>822</v>
      </c>
      <c r="C9248" s="1">
        <v>43300101</v>
      </c>
      <c r="D9248" t="s">
        <v>67</v>
      </c>
      <c r="H9248" t="str">
        <f>"04647720483"</f>
        <v>04647720483</v>
      </c>
      <c r="I9248" t="str">
        <f>"04647720483"</f>
        <v>04647720483</v>
      </c>
      <c r="K9248" t="str">
        <f>""</f>
        <v/>
      </c>
      <c r="M9248" t="s">
        <v>68</v>
      </c>
      <c r="N9248" t="str">
        <f t="shared" si="968"/>
        <v>FOR</v>
      </c>
      <c r="O9248" t="s">
        <v>69</v>
      </c>
      <c r="P9248" s="3" t="s">
        <v>75</v>
      </c>
      <c r="Q9248">
        <v>2016</v>
      </c>
      <c r="R9248" s="2">
        <v>42423</v>
      </c>
      <c r="S9248" s="2">
        <v>42425</v>
      </c>
      <c r="T9248" s="2">
        <v>42423</v>
      </c>
      <c r="U9248" s="2">
        <v>42483</v>
      </c>
      <c r="V9248" t="s">
        <v>71</v>
      </c>
      <c r="W9248" t="str">
        <f>"          2016002322"</f>
        <v xml:space="preserve">          2016002322</v>
      </c>
      <c r="X9248">
        <v>574.4</v>
      </c>
      <c r="Y9248">
        <v>0</v>
      </c>
      <c r="Z9248" s="3">
        <v>470.82</v>
      </c>
      <c r="AA9248">
        <v>240</v>
      </c>
      <c r="AB9248" s="5">
        <v>112996.8</v>
      </c>
      <c r="AC9248">
        <v>470.82</v>
      </c>
      <c r="AD9248">
        <v>240</v>
      </c>
      <c r="AE9248" s="1">
        <v>112996.8</v>
      </c>
      <c r="AF9248">
        <v>103.58</v>
      </c>
      <c r="AJ9248">
        <v>0</v>
      </c>
      <c r="AK9248">
        <v>0</v>
      </c>
      <c r="AL9248">
        <v>0</v>
      </c>
      <c r="AM9248">
        <v>574.4</v>
      </c>
      <c r="AN9248">
        <v>574.4</v>
      </c>
      <c r="AO9248">
        <v>574.4</v>
      </c>
      <c r="AP9248" s="2">
        <v>42746</v>
      </c>
      <c r="AQ9248" t="s">
        <v>72</v>
      </c>
      <c r="AR9248" t="s">
        <v>72</v>
      </c>
      <c r="AS9248">
        <v>3602</v>
      </c>
      <c r="AT9248" s="4">
        <v>42723</v>
      </c>
      <c r="AU9248" t="s">
        <v>73</v>
      </c>
      <c r="AV9248">
        <v>3602</v>
      </c>
      <c r="AW9248" s="4">
        <v>42723</v>
      </c>
      <c r="BD9248">
        <v>103.58</v>
      </c>
      <c r="BN9248" t="s">
        <v>74</v>
      </c>
    </row>
    <row r="9249" spans="1:66" hidden="1">
      <c r="A9249">
        <v>106604</v>
      </c>
      <c r="B9249" s="3" t="s">
        <v>823</v>
      </c>
      <c r="C9249" s="1">
        <v>43300101</v>
      </c>
      <c r="D9249" t="s">
        <v>67</v>
      </c>
      <c r="H9249" t="str">
        <f>"97762770010"</f>
        <v>97762770010</v>
      </c>
      <c r="I9249" t="str">
        <f>"10886700011"</f>
        <v>10886700011</v>
      </c>
      <c r="K9249" t="str">
        <f>""</f>
        <v/>
      </c>
      <c r="M9249" t="s">
        <v>68</v>
      </c>
      <c r="N9249" t="str">
        <f t="shared" si="968"/>
        <v>FOR</v>
      </c>
      <c r="O9249" t="s">
        <v>69</v>
      </c>
      <c r="P9249" s="3" t="s">
        <v>70</v>
      </c>
      <c r="Q9249">
        <v>2015</v>
      </c>
      <c r="R9249" s="2">
        <v>42216</v>
      </c>
      <c r="S9249" s="2">
        <v>42436</v>
      </c>
      <c r="T9249" s="2">
        <v>42436</v>
      </c>
      <c r="U9249" s="2">
        <v>42496</v>
      </c>
      <c r="V9249" t="s">
        <v>71</v>
      </c>
      <c r="W9249" t="str">
        <f>"            INVIT004"</f>
        <v xml:space="preserve">            INVIT004</v>
      </c>
      <c r="X9249" s="1">
        <v>7671.04</v>
      </c>
      <c r="Y9249">
        <v>0</v>
      </c>
      <c r="Z9249"/>
      <c r="AB9249"/>
      <c r="AC9249" s="1">
        <v>7376</v>
      </c>
      <c r="AD9249">
        <v>70</v>
      </c>
      <c r="AE9249" s="1">
        <v>516320</v>
      </c>
      <c r="AF9249">
        <v>0</v>
      </c>
      <c r="AJ9249">
        <v>0</v>
      </c>
      <c r="AK9249">
        <v>0</v>
      </c>
      <c r="AL9249">
        <v>0</v>
      </c>
      <c r="AM9249">
        <v>0</v>
      </c>
      <c r="AN9249" s="1">
        <v>7671.04</v>
      </c>
      <c r="AO9249">
        <v>0</v>
      </c>
      <c r="AP9249" s="2">
        <v>42746</v>
      </c>
      <c r="AQ9249" t="s">
        <v>72</v>
      </c>
      <c r="AR9249" t="s">
        <v>72</v>
      </c>
      <c r="AS9249">
        <v>1822</v>
      </c>
      <c r="AT9249" s="4">
        <v>42566</v>
      </c>
      <c r="AU9249" t="s">
        <v>73</v>
      </c>
      <c r="AV9249">
        <v>1822</v>
      </c>
      <c r="AW9249" s="4">
        <v>42566</v>
      </c>
      <c r="BD9249">
        <v>0</v>
      </c>
      <c r="BN9249" t="s">
        <v>74</v>
      </c>
    </row>
    <row r="9250" spans="1:66">
      <c r="A9250">
        <v>106604</v>
      </c>
      <c r="B9250" s="3" t="s">
        <v>823</v>
      </c>
      <c r="C9250" s="1">
        <v>43300101</v>
      </c>
      <c r="D9250" t="s">
        <v>67</v>
      </c>
      <c r="H9250" t="str">
        <f>"97762770010"</f>
        <v>97762770010</v>
      </c>
      <c r="I9250" t="str">
        <f>"10886700011"</f>
        <v>10886700011</v>
      </c>
      <c r="K9250" t="str">
        <f>""</f>
        <v/>
      </c>
      <c r="M9250" t="s">
        <v>68</v>
      </c>
      <c r="N9250" t="str">
        <f t="shared" si="968"/>
        <v>FOR</v>
      </c>
      <c r="O9250" t="s">
        <v>69</v>
      </c>
      <c r="P9250" s="3" t="s">
        <v>70</v>
      </c>
      <c r="Q9250">
        <v>2016</v>
      </c>
      <c r="R9250" s="2">
        <v>42387</v>
      </c>
      <c r="S9250" s="2">
        <v>42464</v>
      </c>
      <c r="T9250" s="2">
        <v>42464</v>
      </c>
      <c r="U9250" s="2">
        <v>42524</v>
      </c>
      <c r="V9250" t="s">
        <v>71</v>
      </c>
      <c r="W9250" t="str">
        <f>"            INVIT012"</f>
        <v xml:space="preserve">            INVIT012</v>
      </c>
      <c r="X9250" s="1">
        <v>4904.6400000000003</v>
      </c>
      <c r="Y9250">
        <v>0</v>
      </c>
      <c r="Z9250" s="5">
        <v>4716</v>
      </c>
      <c r="AA9250">
        <v>199</v>
      </c>
      <c r="AB9250" s="5">
        <v>938484</v>
      </c>
      <c r="AC9250" s="1">
        <v>4716</v>
      </c>
      <c r="AD9250">
        <v>199</v>
      </c>
      <c r="AE9250" s="1">
        <v>938484</v>
      </c>
      <c r="AF9250">
        <v>188.64</v>
      </c>
      <c r="AJ9250">
        <v>0</v>
      </c>
      <c r="AK9250">
        <v>0</v>
      </c>
      <c r="AL9250">
        <v>0</v>
      </c>
      <c r="AM9250" s="1">
        <v>4904.6400000000003</v>
      </c>
      <c r="AN9250" s="1">
        <v>4904.6400000000003</v>
      </c>
      <c r="AO9250" s="1">
        <v>4904.6400000000003</v>
      </c>
      <c r="AP9250" s="2">
        <v>42746</v>
      </c>
      <c r="AQ9250" t="s">
        <v>72</v>
      </c>
      <c r="AR9250" t="s">
        <v>72</v>
      </c>
      <c r="AS9250">
        <v>3614</v>
      </c>
      <c r="AT9250" s="4">
        <v>42723</v>
      </c>
      <c r="AU9250" t="s">
        <v>73</v>
      </c>
      <c r="AV9250">
        <v>3614</v>
      </c>
      <c r="AW9250" s="4">
        <v>42723</v>
      </c>
      <c r="BD9250">
        <v>188.64</v>
      </c>
      <c r="BN9250" t="s">
        <v>74</v>
      </c>
    </row>
    <row r="9251" spans="1:66">
      <c r="A9251">
        <v>106605</v>
      </c>
      <c r="B9251" s="3" t="s">
        <v>824</v>
      </c>
      <c r="C9251" s="1">
        <v>43300101</v>
      </c>
      <c r="D9251" t="s">
        <v>67</v>
      </c>
      <c r="H9251" t="str">
        <f>""</f>
        <v/>
      </c>
      <c r="I9251" t="str">
        <f>"03554190177"</f>
        <v>03554190177</v>
      </c>
      <c r="K9251" t="str">
        <f>""</f>
        <v/>
      </c>
      <c r="M9251" t="s">
        <v>68</v>
      </c>
      <c r="N9251" t="str">
        <f t="shared" si="968"/>
        <v>FOR</v>
      </c>
      <c r="O9251" t="s">
        <v>69</v>
      </c>
      <c r="P9251" s="3" t="s">
        <v>75</v>
      </c>
      <c r="Q9251">
        <v>2015</v>
      </c>
      <c r="R9251" s="2">
        <v>42195</v>
      </c>
      <c r="S9251" s="2">
        <v>42228</v>
      </c>
      <c r="T9251" s="2">
        <v>42219</v>
      </c>
      <c r="U9251" s="2">
        <v>42279</v>
      </c>
      <c r="V9251" t="s">
        <v>71</v>
      </c>
      <c r="W9251" t="str">
        <f>"                  62"</f>
        <v xml:space="preserve">                  62</v>
      </c>
      <c r="X9251">
        <v>457.5</v>
      </c>
      <c r="Y9251">
        <v>0</v>
      </c>
      <c r="Z9251" s="3">
        <v>375</v>
      </c>
      <c r="AA9251">
        <v>410</v>
      </c>
      <c r="AB9251" s="5">
        <v>153750</v>
      </c>
      <c r="AC9251">
        <v>375</v>
      </c>
      <c r="AD9251">
        <v>410</v>
      </c>
      <c r="AE9251" s="1">
        <v>153750</v>
      </c>
      <c r="AF9251">
        <v>0</v>
      </c>
      <c r="AJ9251">
        <v>0</v>
      </c>
      <c r="AK9251">
        <v>0</v>
      </c>
      <c r="AL9251">
        <v>0</v>
      </c>
      <c r="AM9251">
        <v>0</v>
      </c>
      <c r="AN9251">
        <v>0</v>
      </c>
      <c r="AO9251">
        <v>0</v>
      </c>
      <c r="AP9251" s="2">
        <v>42746</v>
      </c>
      <c r="AQ9251" t="s">
        <v>72</v>
      </c>
      <c r="AR9251" t="s">
        <v>72</v>
      </c>
      <c r="AS9251">
        <v>3090</v>
      </c>
      <c r="AT9251" s="4">
        <v>42689</v>
      </c>
      <c r="AU9251" t="s">
        <v>73</v>
      </c>
      <c r="AV9251">
        <v>3090</v>
      </c>
      <c r="AW9251" s="4">
        <v>42689</v>
      </c>
      <c r="BD9251">
        <v>0</v>
      </c>
      <c r="BN9251" t="s">
        <v>74</v>
      </c>
    </row>
    <row r="9252" spans="1:66" hidden="1">
      <c r="A9252">
        <v>106608</v>
      </c>
      <c r="B9252" s="3" t="s">
        <v>825</v>
      </c>
      <c r="C9252" s="1">
        <v>43300101</v>
      </c>
      <c r="D9252" t="s">
        <v>67</v>
      </c>
      <c r="H9252" t="str">
        <f>"02173800281"</f>
        <v>02173800281</v>
      </c>
      <c r="I9252" t="str">
        <f>"03328440270"</f>
        <v>03328440270</v>
      </c>
      <c r="K9252" t="str">
        <f>""</f>
        <v/>
      </c>
      <c r="M9252" t="s">
        <v>68</v>
      </c>
      <c r="N9252" t="str">
        <f t="shared" si="968"/>
        <v>FOR</v>
      </c>
      <c r="O9252" t="s">
        <v>69</v>
      </c>
      <c r="P9252" s="3" t="s">
        <v>75</v>
      </c>
      <c r="Q9252">
        <v>2015</v>
      </c>
      <c r="R9252" s="2">
        <v>42206</v>
      </c>
      <c r="S9252" s="2">
        <v>42228</v>
      </c>
      <c r="T9252" s="2">
        <v>42222</v>
      </c>
      <c r="U9252" s="2">
        <v>42282</v>
      </c>
      <c r="V9252" t="s">
        <v>71</v>
      </c>
      <c r="W9252" t="str">
        <f>"          15FS006520"</f>
        <v xml:space="preserve">          15FS006520</v>
      </c>
      <c r="X9252" s="1">
        <v>3928.4</v>
      </c>
      <c r="Y9252">
        <v>0</v>
      </c>
      <c r="Z9252"/>
      <c r="AB9252"/>
      <c r="AC9252" s="1">
        <v>3220</v>
      </c>
      <c r="AD9252">
        <v>205</v>
      </c>
      <c r="AE9252" s="1">
        <v>660100</v>
      </c>
      <c r="AF9252">
        <v>0</v>
      </c>
      <c r="AJ9252">
        <v>0</v>
      </c>
      <c r="AK9252">
        <v>0</v>
      </c>
      <c r="AL9252">
        <v>0</v>
      </c>
      <c r="AM9252">
        <v>0</v>
      </c>
      <c r="AN9252">
        <v>0</v>
      </c>
      <c r="AO9252">
        <v>0</v>
      </c>
      <c r="AP9252" s="2">
        <v>42746</v>
      </c>
      <c r="AQ9252" t="s">
        <v>72</v>
      </c>
      <c r="AR9252" t="s">
        <v>72</v>
      </c>
      <c r="AS9252">
        <v>1192</v>
      </c>
      <c r="AT9252" s="4">
        <v>42487</v>
      </c>
      <c r="AU9252" t="s">
        <v>73</v>
      </c>
      <c r="AV9252">
        <v>1192</v>
      </c>
      <c r="AW9252" s="4">
        <v>42487</v>
      </c>
      <c r="BD9252">
        <v>0</v>
      </c>
      <c r="BN9252" t="s">
        <v>74</v>
      </c>
    </row>
    <row r="9253" spans="1:66">
      <c r="A9253">
        <v>106608</v>
      </c>
      <c r="B9253" s="3" t="s">
        <v>825</v>
      </c>
      <c r="C9253" s="1">
        <v>43300101</v>
      </c>
      <c r="D9253" t="s">
        <v>67</v>
      </c>
      <c r="H9253" t="str">
        <f>"02173800281"</f>
        <v>02173800281</v>
      </c>
      <c r="I9253" t="str">
        <f>"03328440270"</f>
        <v>03328440270</v>
      </c>
      <c r="K9253" t="str">
        <f>""</f>
        <v/>
      </c>
      <c r="M9253" t="s">
        <v>68</v>
      </c>
      <c r="N9253" t="str">
        <f t="shared" si="968"/>
        <v>FOR</v>
      </c>
      <c r="O9253" t="s">
        <v>69</v>
      </c>
      <c r="P9253" s="3" t="s">
        <v>75</v>
      </c>
      <c r="Q9253">
        <v>2016</v>
      </c>
      <c r="R9253" s="2">
        <v>42656</v>
      </c>
      <c r="S9253" s="2">
        <v>42664</v>
      </c>
      <c r="T9253" s="2">
        <v>42662</v>
      </c>
      <c r="U9253" s="2">
        <v>42722</v>
      </c>
      <c r="V9253" t="s">
        <v>71</v>
      </c>
      <c r="W9253" t="str">
        <f>"          16FS007972"</f>
        <v xml:space="preserve">          16FS007972</v>
      </c>
      <c r="X9253">
        <v>317.2</v>
      </c>
      <c r="Y9253">
        <v>0</v>
      </c>
      <c r="Z9253" s="3">
        <v>260</v>
      </c>
      <c r="AA9253">
        <v>-3</v>
      </c>
      <c r="AB9253" s="3">
        <v>-780</v>
      </c>
      <c r="AC9253">
        <v>260</v>
      </c>
      <c r="AD9253">
        <v>-3</v>
      </c>
      <c r="AE9253">
        <v>-780</v>
      </c>
      <c r="AF9253">
        <v>57.2</v>
      </c>
      <c r="AJ9253">
        <v>317.2</v>
      </c>
      <c r="AK9253">
        <v>317.2</v>
      </c>
      <c r="AL9253">
        <v>317.2</v>
      </c>
      <c r="AM9253">
        <v>317.2</v>
      </c>
      <c r="AN9253">
        <v>317.2</v>
      </c>
      <c r="AO9253">
        <v>317.2</v>
      </c>
      <c r="AP9253" s="2">
        <v>42746</v>
      </c>
      <c r="AQ9253" t="s">
        <v>72</v>
      </c>
      <c r="AR9253" t="s">
        <v>72</v>
      </c>
      <c r="AS9253">
        <v>3503</v>
      </c>
      <c r="AT9253" s="4">
        <v>42719</v>
      </c>
      <c r="AV9253">
        <v>3503</v>
      </c>
      <c r="AW9253" s="4">
        <v>42719</v>
      </c>
      <c r="AX9253">
        <v>57.2</v>
      </c>
      <c r="BD9253">
        <v>0</v>
      </c>
      <c r="BN9253" t="s">
        <v>74</v>
      </c>
    </row>
    <row r="9254" spans="1:66" hidden="1">
      <c r="A9254">
        <v>106614</v>
      </c>
      <c r="B9254" s="3" t="s">
        <v>826</v>
      </c>
      <c r="C9254" s="1">
        <v>43300101</v>
      </c>
      <c r="D9254" t="s">
        <v>67</v>
      </c>
      <c r="H9254" t="str">
        <f>"04396531214"</f>
        <v>04396531214</v>
      </c>
      <c r="I9254" t="str">
        <f>"04396531214"</f>
        <v>04396531214</v>
      </c>
      <c r="K9254" t="str">
        <f>""</f>
        <v/>
      </c>
      <c r="M9254" t="s">
        <v>68</v>
      </c>
      <c r="N9254" t="str">
        <f t="shared" si="968"/>
        <v>FOR</v>
      </c>
      <c r="O9254" t="s">
        <v>69</v>
      </c>
      <c r="P9254" s="3" t="s">
        <v>70</v>
      </c>
      <c r="Q9254">
        <v>2015</v>
      </c>
      <c r="R9254" s="2">
        <v>42089</v>
      </c>
      <c r="S9254" s="2">
        <v>42194</v>
      </c>
      <c r="T9254" s="2">
        <v>42194</v>
      </c>
      <c r="U9254" s="2">
        <v>42254</v>
      </c>
      <c r="V9254" t="s">
        <v>71</v>
      </c>
      <c r="W9254" t="str">
        <f>"                 101"</f>
        <v xml:space="preserve">                 101</v>
      </c>
      <c r="X9254" s="1">
        <v>220110</v>
      </c>
      <c r="Y9254">
        <v>0</v>
      </c>
      <c r="Z9254"/>
      <c r="AB9254"/>
      <c r="AC9254" s="1">
        <v>200100</v>
      </c>
      <c r="AD9254">
        <v>210</v>
      </c>
      <c r="AE9254" s="1">
        <v>42021000</v>
      </c>
      <c r="AF9254">
        <v>0</v>
      </c>
      <c r="AJ9254">
        <v>0</v>
      </c>
      <c r="AK9254">
        <v>0</v>
      </c>
      <c r="AL9254">
        <v>0</v>
      </c>
      <c r="AM9254">
        <v>0</v>
      </c>
      <c r="AN9254">
        <v>0</v>
      </c>
      <c r="AO9254">
        <v>0</v>
      </c>
      <c r="AP9254" s="2">
        <v>42746</v>
      </c>
      <c r="AQ9254" t="s">
        <v>72</v>
      </c>
      <c r="AR9254" t="s">
        <v>72</v>
      </c>
      <c r="AS9254">
        <v>1000</v>
      </c>
      <c r="AT9254" s="4">
        <v>42464</v>
      </c>
      <c r="AU9254" t="s">
        <v>73</v>
      </c>
      <c r="AV9254">
        <v>1000</v>
      </c>
      <c r="AW9254" s="4">
        <v>42464</v>
      </c>
      <c r="BD9254">
        <v>0</v>
      </c>
      <c r="BN9254" t="s">
        <v>74</v>
      </c>
    </row>
    <row r="9255" spans="1:66" hidden="1">
      <c r="A9255">
        <v>106615</v>
      </c>
      <c r="B9255" s="3" t="s">
        <v>827</v>
      </c>
      <c r="C9255" s="1">
        <v>43300101</v>
      </c>
      <c r="D9255" t="s">
        <v>67</v>
      </c>
      <c r="H9255" t="str">
        <f>"03522310279"</f>
        <v>03522310279</v>
      </c>
      <c r="I9255" t="str">
        <f>"03522310279"</f>
        <v>03522310279</v>
      </c>
      <c r="K9255" t="str">
        <f>""</f>
        <v/>
      </c>
      <c r="M9255" t="s">
        <v>68</v>
      </c>
      <c r="N9255" t="str">
        <f t="shared" si="968"/>
        <v>FOR</v>
      </c>
      <c r="O9255" t="s">
        <v>69</v>
      </c>
      <c r="P9255" s="3" t="s">
        <v>75</v>
      </c>
      <c r="Q9255">
        <v>2015</v>
      </c>
      <c r="R9255" s="2">
        <v>42207</v>
      </c>
      <c r="S9255" s="2">
        <v>42233</v>
      </c>
      <c r="T9255" s="2">
        <v>42207</v>
      </c>
      <c r="U9255" s="2">
        <v>42267</v>
      </c>
      <c r="V9255" t="s">
        <v>71</v>
      </c>
      <c r="W9255" t="str">
        <f>"                 129"</f>
        <v xml:space="preserve">                 129</v>
      </c>
      <c r="X9255">
        <v>452.62</v>
      </c>
      <c r="Y9255">
        <v>0</v>
      </c>
      <c r="Z9255"/>
      <c r="AB9255"/>
      <c r="AC9255">
        <v>371</v>
      </c>
      <c r="AD9255">
        <v>137</v>
      </c>
      <c r="AE9255" s="1">
        <v>50827</v>
      </c>
      <c r="AF9255">
        <v>0</v>
      </c>
      <c r="AJ9255">
        <v>0</v>
      </c>
      <c r="AK9255">
        <v>0</v>
      </c>
      <c r="AL9255">
        <v>0</v>
      </c>
      <c r="AM9255">
        <v>0</v>
      </c>
      <c r="AN9255">
        <v>0</v>
      </c>
      <c r="AO9255">
        <v>0</v>
      </c>
      <c r="AP9255" s="2">
        <v>42746</v>
      </c>
      <c r="AQ9255" t="s">
        <v>72</v>
      </c>
      <c r="AR9255" t="s">
        <v>72</v>
      </c>
      <c r="AS9255">
        <v>257</v>
      </c>
      <c r="AT9255" s="4">
        <v>42404</v>
      </c>
      <c r="AU9255" t="s">
        <v>73</v>
      </c>
      <c r="AV9255">
        <v>257</v>
      </c>
      <c r="AW9255" s="4">
        <v>42404</v>
      </c>
      <c r="BD9255">
        <v>0</v>
      </c>
      <c r="BN9255" t="s">
        <v>74</v>
      </c>
    </row>
    <row r="9256" spans="1:66" hidden="1">
      <c r="A9256">
        <v>106619</v>
      </c>
      <c r="B9256" s="3" t="s">
        <v>828</v>
      </c>
      <c r="C9256" s="1">
        <v>43500101</v>
      </c>
      <c r="D9256" t="s">
        <v>113</v>
      </c>
      <c r="H9256" t="str">
        <f>""</f>
        <v/>
      </c>
      <c r="I9256" t="str">
        <f>"01146180623"</f>
        <v>01146180623</v>
      </c>
      <c r="K9256" t="str">
        <f>""</f>
        <v/>
      </c>
      <c r="M9256" t="s">
        <v>68</v>
      </c>
      <c r="N9256" t="str">
        <f t="shared" ref="N9256:N9270" si="970">"ALT"</f>
        <v>ALT</v>
      </c>
      <c r="O9256" t="s">
        <v>114</v>
      </c>
      <c r="P9256" s="3" t="s">
        <v>84</v>
      </c>
      <c r="Q9256">
        <v>2016</v>
      </c>
      <c r="R9256" s="2">
        <v>42389</v>
      </c>
      <c r="S9256" s="2">
        <v>42390</v>
      </c>
      <c r="T9256" s="2">
        <v>42390</v>
      </c>
      <c r="U9256" s="2">
        <v>42450</v>
      </c>
      <c r="V9256" t="s">
        <v>71</v>
      </c>
      <c r="W9256" t="str">
        <f>"                0120"</f>
        <v xml:space="preserve">                0120</v>
      </c>
      <c r="X9256">
        <v>0</v>
      </c>
      <c r="Y9256">
        <v>303.87</v>
      </c>
      <c r="Z9256"/>
      <c r="AB9256"/>
      <c r="AC9256">
        <v>303.87</v>
      </c>
      <c r="AD9256">
        <v>-60</v>
      </c>
      <c r="AE9256" s="1">
        <v>-18232.2</v>
      </c>
      <c r="AF9256">
        <v>0</v>
      </c>
      <c r="AJ9256">
        <v>0</v>
      </c>
      <c r="AK9256">
        <v>0</v>
      </c>
      <c r="AL9256">
        <v>0</v>
      </c>
      <c r="AM9256">
        <v>303.87</v>
      </c>
      <c r="AN9256">
        <v>303.87</v>
      </c>
      <c r="AO9256">
        <v>303.87</v>
      </c>
      <c r="AP9256" s="2">
        <v>42746</v>
      </c>
      <c r="AQ9256" t="s">
        <v>72</v>
      </c>
      <c r="AR9256" t="s">
        <v>72</v>
      </c>
      <c r="AS9256">
        <v>70</v>
      </c>
      <c r="AT9256" s="4">
        <v>42390</v>
      </c>
      <c r="AV9256">
        <v>70</v>
      </c>
      <c r="AW9256" s="4">
        <v>42390</v>
      </c>
      <c r="BD9256">
        <v>0</v>
      </c>
      <c r="BN9256" t="s">
        <v>74</v>
      </c>
    </row>
    <row r="9257" spans="1:66" hidden="1">
      <c r="A9257">
        <v>106619</v>
      </c>
      <c r="B9257" s="3" t="s">
        <v>828</v>
      </c>
      <c r="C9257" s="1">
        <v>43500101</v>
      </c>
      <c r="D9257" t="s">
        <v>113</v>
      </c>
      <c r="H9257" t="str">
        <f>""</f>
        <v/>
      </c>
      <c r="I9257" t="str">
        <f>"01146180623"</f>
        <v>01146180623</v>
      </c>
      <c r="K9257" t="str">
        <f>""</f>
        <v/>
      </c>
      <c r="M9257" t="s">
        <v>68</v>
      </c>
      <c r="N9257" t="str">
        <f t="shared" si="970"/>
        <v>ALT</v>
      </c>
      <c r="O9257" t="s">
        <v>114</v>
      </c>
      <c r="P9257" s="3" t="s">
        <v>85</v>
      </c>
      <c r="Q9257">
        <v>2016</v>
      </c>
      <c r="R9257" s="2">
        <v>42422</v>
      </c>
      <c r="S9257" s="2">
        <v>42422</v>
      </c>
      <c r="T9257" s="2">
        <v>42422</v>
      </c>
      <c r="U9257" s="2">
        <v>42482</v>
      </c>
      <c r="V9257" t="s">
        <v>71</v>
      </c>
      <c r="W9257" t="str">
        <f>"                0222"</f>
        <v xml:space="preserve">                0222</v>
      </c>
      <c r="X9257">
        <v>0</v>
      </c>
      <c r="Y9257">
        <v>303.87</v>
      </c>
      <c r="Z9257"/>
      <c r="AB9257"/>
      <c r="AC9257">
        <v>303.87</v>
      </c>
      <c r="AD9257">
        <v>-58</v>
      </c>
      <c r="AE9257" s="1">
        <v>-17624.46</v>
      </c>
      <c r="AF9257">
        <v>0</v>
      </c>
      <c r="AJ9257">
        <v>0</v>
      </c>
      <c r="AK9257">
        <v>0</v>
      </c>
      <c r="AL9257">
        <v>0</v>
      </c>
      <c r="AM9257">
        <v>303.87</v>
      </c>
      <c r="AN9257">
        <v>303.87</v>
      </c>
      <c r="AO9257">
        <v>303.87</v>
      </c>
      <c r="AP9257" s="2">
        <v>42746</v>
      </c>
      <c r="AQ9257" t="s">
        <v>72</v>
      </c>
      <c r="AR9257" t="s">
        <v>72</v>
      </c>
      <c r="AS9257">
        <v>514</v>
      </c>
      <c r="AT9257" s="4">
        <v>42424</v>
      </c>
      <c r="AV9257">
        <v>514</v>
      </c>
      <c r="AW9257" s="4">
        <v>42424</v>
      </c>
      <c r="BD9257">
        <v>0</v>
      </c>
      <c r="BN9257" t="s">
        <v>74</v>
      </c>
    </row>
    <row r="9258" spans="1:66" hidden="1">
      <c r="A9258">
        <v>106619</v>
      </c>
      <c r="B9258" s="3" t="s">
        <v>828</v>
      </c>
      <c r="C9258" s="1">
        <v>43500101</v>
      </c>
      <c r="D9258" t="s">
        <v>113</v>
      </c>
      <c r="H9258" t="str">
        <f>""</f>
        <v/>
      </c>
      <c r="I9258" t="str">
        <f>"01146180623"</f>
        <v>01146180623</v>
      </c>
      <c r="K9258" t="str">
        <f>""</f>
        <v/>
      </c>
      <c r="M9258" t="s">
        <v>68</v>
      </c>
      <c r="N9258" t="str">
        <f t="shared" si="970"/>
        <v>ALT</v>
      </c>
      <c r="O9258" t="s">
        <v>114</v>
      </c>
      <c r="P9258" s="3" t="s">
        <v>86</v>
      </c>
      <c r="Q9258">
        <v>2016</v>
      </c>
      <c r="R9258" s="2">
        <v>42450</v>
      </c>
      <c r="S9258" s="2">
        <v>42450</v>
      </c>
      <c r="T9258" s="2">
        <v>42450</v>
      </c>
      <c r="U9258" s="2">
        <v>42510</v>
      </c>
      <c r="V9258" t="s">
        <v>71</v>
      </c>
      <c r="W9258" t="str">
        <f>"                0321"</f>
        <v xml:space="preserve">                0321</v>
      </c>
      <c r="X9258">
        <v>0</v>
      </c>
      <c r="Y9258">
        <v>303.87</v>
      </c>
      <c r="Z9258"/>
      <c r="AB9258"/>
      <c r="AC9258">
        <v>303.87</v>
      </c>
      <c r="AD9258">
        <v>-57</v>
      </c>
      <c r="AE9258" s="1">
        <v>-17320.59</v>
      </c>
      <c r="AF9258">
        <v>0</v>
      </c>
      <c r="AJ9258">
        <v>0</v>
      </c>
      <c r="AK9258">
        <v>0</v>
      </c>
      <c r="AL9258">
        <v>0</v>
      </c>
      <c r="AM9258">
        <v>303.87</v>
      </c>
      <c r="AN9258">
        <v>303.87</v>
      </c>
      <c r="AO9258">
        <v>303.87</v>
      </c>
      <c r="AP9258" s="2">
        <v>42746</v>
      </c>
      <c r="AQ9258" t="s">
        <v>72</v>
      </c>
      <c r="AR9258" t="s">
        <v>72</v>
      </c>
      <c r="AS9258">
        <v>936</v>
      </c>
      <c r="AT9258" s="4">
        <v>42453</v>
      </c>
      <c r="AV9258">
        <v>936</v>
      </c>
      <c r="AW9258" s="4">
        <v>42453</v>
      </c>
      <c r="BD9258">
        <v>0</v>
      </c>
      <c r="BN9258" t="s">
        <v>74</v>
      </c>
    </row>
    <row r="9259" spans="1:66" hidden="1">
      <c r="A9259">
        <v>106620</v>
      </c>
      <c r="B9259" s="3" t="s">
        <v>829</v>
      </c>
      <c r="C9259" s="1">
        <v>43500101</v>
      </c>
      <c r="D9259" t="s">
        <v>113</v>
      </c>
      <c r="H9259" t="str">
        <f>""</f>
        <v/>
      </c>
      <c r="I9259" t="str">
        <f t="shared" ref="I9259:I9270" si="971">"02597720792"</f>
        <v>02597720792</v>
      </c>
      <c r="K9259" t="str">
        <f>""</f>
        <v/>
      </c>
      <c r="M9259" t="s">
        <v>68</v>
      </c>
      <c r="N9259" t="str">
        <f t="shared" si="970"/>
        <v>ALT</v>
      </c>
      <c r="O9259" t="s">
        <v>114</v>
      </c>
      <c r="P9259" s="3" t="s">
        <v>84</v>
      </c>
      <c r="Q9259">
        <v>2016</v>
      </c>
      <c r="R9259" s="2">
        <v>42389</v>
      </c>
      <c r="S9259" s="2">
        <v>42390</v>
      </c>
      <c r="T9259" s="2">
        <v>42390</v>
      </c>
      <c r="U9259" s="2">
        <v>42450</v>
      </c>
      <c r="V9259" t="s">
        <v>71</v>
      </c>
      <c r="W9259" t="str">
        <f>"                0120"</f>
        <v xml:space="preserve">                0120</v>
      </c>
      <c r="X9259">
        <v>0</v>
      </c>
      <c r="Y9259">
        <v>236</v>
      </c>
      <c r="Z9259"/>
      <c r="AB9259"/>
      <c r="AC9259">
        <v>236</v>
      </c>
      <c r="AD9259">
        <v>-60</v>
      </c>
      <c r="AE9259" s="1">
        <v>-14160</v>
      </c>
      <c r="AF9259">
        <v>0</v>
      </c>
      <c r="AJ9259">
        <v>0</v>
      </c>
      <c r="AK9259">
        <v>0</v>
      </c>
      <c r="AL9259">
        <v>0</v>
      </c>
      <c r="AM9259">
        <v>236</v>
      </c>
      <c r="AN9259">
        <v>236</v>
      </c>
      <c r="AO9259">
        <v>236</v>
      </c>
      <c r="AP9259" s="2">
        <v>42746</v>
      </c>
      <c r="AQ9259" t="s">
        <v>72</v>
      </c>
      <c r="AR9259" t="s">
        <v>72</v>
      </c>
      <c r="AS9259">
        <v>58</v>
      </c>
      <c r="AT9259" s="4">
        <v>42390</v>
      </c>
      <c r="AV9259">
        <v>58</v>
      </c>
      <c r="AW9259" s="4">
        <v>42390</v>
      </c>
      <c r="BD9259">
        <v>0</v>
      </c>
      <c r="BN9259" t="s">
        <v>74</v>
      </c>
    </row>
    <row r="9260" spans="1:66" hidden="1">
      <c r="A9260">
        <v>106620</v>
      </c>
      <c r="B9260" s="3" t="s">
        <v>829</v>
      </c>
      <c r="C9260" s="1">
        <v>43500101</v>
      </c>
      <c r="D9260" t="s">
        <v>113</v>
      </c>
      <c r="H9260" t="str">
        <f>""</f>
        <v/>
      </c>
      <c r="I9260" t="str">
        <f t="shared" si="971"/>
        <v>02597720792</v>
      </c>
      <c r="K9260" t="str">
        <f>""</f>
        <v/>
      </c>
      <c r="M9260" t="s">
        <v>68</v>
      </c>
      <c r="N9260" t="str">
        <f t="shared" si="970"/>
        <v>ALT</v>
      </c>
      <c r="O9260" t="s">
        <v>114</v>
      </c>
      <c r="P9260" s="3" t="s">
        <v>85</v>
      </c>
      <c r="Q9260">
        <v>2016</v>
      </c>
      <c r="R9260" s="2">
        <v>42422</v>
      </c>
      <c r="S9260" s="2">
        <v>42422</v>
      </c>
      <c r="T9260" s="2">
        <v>42422</v>
      </c>
      <c r="U9260" s="2">
        <v>42482</v>
      </c>
      <c r="V9260" t="s">
        <v>71</v>
      </c>
      <c r="W9260" t="str">
        <f>"                0222"</f>
        <v xml:space="preserve">                0222</v>
      </c>
      <c r="X9260">
        <v>0</v>
      </c>
      <c r="Y9260">
        <v>236</v>
      </c>
      <c r="Z9260"/>
      <c r="AB9260"/>
      <c r="AC9260">
        <v>236</v>
      </c>
      <c r="AD9260">
        <v>-58</v>
      </c>
      <c r="AE9260" s="1">
        <v>-13688</v>
      </c>
      <c r="AF9260">
        <v>0</v>
      </c>
      <c r="AJ9260">
        <v>0</v>
      </c>
      <c r="AK9260">
        <v>0</v>
      </c>
      <c r="AL9260">
        <v>0</v>
      </c>
      <c r="AM9260">
        <v>236</v>
      </c>
      <c r="AN9260">
        <v>236</v>
      </c>
      <c r="AO9260">
        <v>236</v>
      </c>
      <c r="AP9260" s="2">
        <v>42746</v>
      </c>
      <c r="AQ9260" t="s">
        <v>72</v>
      </c>
      <c r="AR9260" t="s">
        <v>72</v>
      </c>
      <c r="AS9260">
        <v>502</v>
      </c>
      <c r="AT9260" s="4">
        <v>42424</v>
      </c>
      <c r="AV9260">
        <v>502</v>
      </c>
      <c r="AW9260" s="4">
        <v>42424</v>
      </c>
      <c r="BD9260">
        <v>0</v>
      </c>
      <c r="BN9260" t="s">
        <v>74</v>
      </c>
    </row>
    <row r="9261" spans="1:66" hidden="1">
      <c r="A9261">
        <v>106620</v>
      </c>
      <c r="B9261" s="3" t="s">
        <v>829</v>
      </c>
      <c r="C9261" s="1">
        <v>43500101</v>
      </c>
      <c r="D9261" t="s">
        <v>113</v>
      </c>
      <c r="H9261" t="str">
        <f>""</f>
        <v/>
      </c>
      <c r="I9261" t="str">
        <f t="shared" si="971"/>
        <v>02597720792</v>
      </c>
      <c r="K9261" t="str">
        <f>""</f>
        <v/>
      </c>
      <c r="M9261" t="s">
        <v>68</v>
      </c>
      <c r="N9261" t="str">
        <f t="shared" si="970"/>
        <v>ALT</v>
      </c>
      <c r="O9261" t="s">
        <v>114</v>
      </c>
      <c r="P9261" s="3" t="s">
        <v>86</v>
      </c>
      <c r="Q9261">
        <v>2016</v>
      </c>
      <c r="R9261" s="2">
        <v>42450</v>
      </c>
      <c r="S9261" s="2">
        <v>42450</v>
      </c>
      <c r="T9261" s="2">
        <v>42450</v>
      </c>
      <c r="U9261" s="2">
        <v>42510</v>
      </c>
      <c r="V9261" t="s">
        <v>71</v>
      </c>
      <c r="W9261" t="str">
        <f>"                0321"</f>
        <v xml:space="preserve">                0321</v>
      </c>
      <c r="X9261">
        <v>0</v>
      </c>
      <c r="Y9261">
        <v>236</v>
      </c>
      <c r="Z9261"/>
      <c r="AB9261"/>
      <c r="AC9261">
        <v>236</v>
      </c>
      <c r="AD9261">
        <v>-57</v>
      </c>
      <c r="AE9261" s="1">
        <v>-13452</v>
      </c>
      <c r="AF9261">
        <v>0</v>
      </c>
      <c r="AJ9261">
        <v>0</v>
      </c>
      <c r="AK9261">
        <v>0</v>
      </c>
      <c r="AL9261">
        <v>0</v>
      </c>
      <c r="AM9261">
        <v>236</v>
      </c>
      <c r="AN9261">
        <v>236</v>
      </c>
      <c r="AO9261">
        <v>236</v>
      </c>
      <c r="AP9261" s="2">
        <v>42746</v>
      </c>
      <c r="AQ9261" t="s">
        <v>72</v>
      </c>
      <c r="AR9261" t="s">
        <v>72</v>
      </c>
      <c r="AS9261">
        <v>924</v>
      </c>
      <c r="AT9261" s="4">
        <v>42453</v>
      </c>
      <c r="AV9261">
        <v>924</v>
      </c>
      <c r="AW9261" s="4">
        <v>42453</v>
      </c>
      <c r="BD9261">
        <v>0</v>
      </c>
      <c r="BN9261" t="s">
        <v>74</v>
      </c>
    </row>
    <row r="9262" spans="1:66" hidden="1">
      <c r="A9262">
        <v>106620</v>
      </c>
      <c r="B9262" s="3" t="s">
        <v>829</v>
      </c>
      <c r="C9262" s="1">
        <v>43500101</v>
      </c>
      <c r="D9262" t="s">
        <v>113</v>
      </c>
      <c r="H9262" t="str">
        <f>""</f>
        <v/>
      </c>
      <c r="I9262" t="str">
        <f t="shared" si="971"/>
        <v>02597720792</v>
      </c>
      <c r="K9262" t="str">
        <f>""</f>
        <v/>
      </c>
      <c r="M9262" t="s">
        <v>68</v>
      </c>
      <c r="N9262" t="str">
        <f t="shared" si="970"/>
        <v>ALT</v>
      </c>
      <c r="O9262" t="s">
        <v>114</v>
      </c>
      <c r="P9262" s="3" t="s">
        <v>87</v>
      </c>
      <c r="Q9262">
        <v>2016</v>
      </c>
      <c r="R9262" s="2">
        <v>42481</v>
      </c>
      <c r="S9262" s="2">
        <v>42481</v>
      </c>
      <c r="T9262" s="2">
        <v>42481</v>
      </c>
      <c r="U9262" s="2">
        <v>42541</v>
      </c>
      <c r="V9262" t="s">
        <v>71</v>
      </c>
      <c r="W9262" t="str">
        <f>"                0421"</f>
        <v xml:space="preserve">                0421</v>
      </c>
      <c r="X9262">
        <v>0</v>
      </c>
      <c r="Y9262">
        <v>236</v>
      </c>
      <c r="Z9262"/>
      <c r="AB9262"/>
      <c r="AC9262">
        <v>236</v>
      </c>
      <c r="AD9262">
        <v>-60</v>
      </c>
      <c r="AE9262" s="1">
        <v>-14160</v>
      </c>
      <c r="AF9262">
        <v>0</v>
      </c>
      <c r="AJ9262">
        <v>0</v>
      </c>
      <c r="AK9262">
        <v>0</v>
      </c>
      <c r="AL9262">
        <v>0</v>
      </c>
      <c r="AM9262">
        <v>236</v>
      </c>
      <c r="AN9262">
        <v>236</v>
      </c>
      <c r="AO9262">
        <v>236</v>
      </c>
      <c r="AP9262" s="2">
        <v>42746</v>
      </c>
      <c r="AQ9262" t="s">
        <v>72</v>
      </c>
      <c r="AR9262" t="s">
        <v>72</v>
      </c>
      <c r="AS9262">
        <v>1090</v>
      </c>
      <c r="AT9262" s="4">
        <v>42481</v>
      </c>
      <c r="AV9262">
        <v>1090</v>
      </c>
      <c r="AW9262" s="4">
        <v>42481</v>
      </c>
      <c r="BD9262">
        <v>0</v>
      </c>
      <c r="BN9262" t="s">
        <v>74</v>
      </c>
    </row>
    <row r="9263" spans="1:66" hidden="1">
      <c r="A9263">
        <v>106620</v>
      </c>
      <c r="B9263" s="3" t="s">
        <v>829</v>
      </c>
      <c r="C9263" s="1">
        <v>43500101</v>
      </c>
      <c r="D9263" t="s">
        <v>113</v>
      </c>
      <c r="H9263" t="str">
        <f>""</f>
        <v/>
      </c>
      <c r="I9263" t="str">
        <f t="shared" si="971"/>
        <v>02597720792</v>
      </c>
      <c r="K9263" t="str">
        <f>""</f>
        <v/>
      </c>
      <c r="M9263" t="s">
        <v>68</v>
      </c>
      <c r="N9263" t="str">
        <f t="shared" si="970"/>
        <v>ALT</v>
      </c>
      <c r="O9263" t="s">
        <v>114</v>
      </c>
      <c r="P9263" s="3" t="s">
        <v>88</v>
      </c>
      <c r="Q9263">
        <v>2016</v>
      </c>
      <c r="R9263" s="2">
        <v>42508</v>
      </c>
      <c r="S9263" s="2">
        <v>42510</v>
      </c>
      <c r="T9263" s="2">
        <v>42510</v>
      </c>
      <c r="U9263" s="2">
        <v>42570</v>
      </c>
      <c r="V9263" t="s">
        <v>71</v>
      </c>
      <c r="W9263" t="str">
        <f>"                0518"</f>
        <v xml:space="preserve">                0518</v>
      </c>
      <c r="X9263">
        <v>0</v>
      </c>
      <c r="Y9263">
        <v>236</v>
      </c>
      <c r="Z9263"/>
      <c r="AB9263"/>
      <c r="AC9263">
        <v>236</v>
      </c>
      <c r="AD9263">
        <v>-57</v>
      </c>
      <c r="AE9263" s="1">
        <v>-13452</v>
      </c>
      <c r="AF9263">
        <v>0</v>
      </c>
      <c r="AJ9263">
        <v>0</v>
      </c>
      <c r="AK9263">
        <v>0</v>
      </c>
      <c r="AL9263">
        <v>0</v>
      </c>
      <c r="AM9263">
        <v>236</v>
      </c>
      <c r="AN9263">
        <v>236</v>
      </c>
      <c r="AO9263">
        <v>236</v>
      </c>
      <c r="AP9263" s="2">
        <v>42746</v>
      </c>
      <c r="AQ9263" t="s">
        <v>72</v>
      </c>
      <c r="AR9263" t="s">
        <v>72</v>
      </c>
      <c r="AS9263">
        <v>1328</v>
      </c>
      <c r="AT9263" s="4">
        <v>42513</v>
      </c>
      <c r="AV9263">
        <v>1328</v>
      </c>
      <c r="AW9263" s="4">
        <v>42513</v>
      </c>
      <c r="BD9263">
        <v>0</v>
      </c>
      <c r="BN9263" t="s">
        <v>74</v>
      </c>
    </row>
    <row r="9264" spans="1:66" hidden="1">
      <c r="A9264">
        <v>106620</v>
      </c>
      <c r="B9264" s="3" t="s">
        <v>829</v>
      </c>
      <c r="C9264" s="1">
        <v>43500101</v>
      </c>
      <c r="D9264" t="s">
        <v>113</v>
      </c>
      <c r="H9264" t="str">
        <f>""</f>
        <v/>
      </c>
      <c r="I9264" t="str">
        <f t="shared" si="971"/>
        <v>02597720792</v>
      </c>
      <c r="K9264" t="str">
        <f>""</f>
        <v/>
      </c>
      <c r="M9264" t="s">
        <v>68</v>
      </c>
      <c r="N9264" t="str">
        <f t="shared" si="970"/>
        <v>ALT</v>
      </c>
      <c r="O9264" t="s">
        <v>114</v>
      </c>
      <c r="P9264" s="3" t="s">
        <v>89</v>
      </c>
      <c r="Q9264">
        <v>2016</v>
      </c>
      <c r="R9264" s="2">
        <v>42548</v>
      </c>
      <c r="S9264" s="2">
        <v>42543</v>
      </c>
      <c r="T9264" s="2">
        <v>42543</v>
      </c>
      <c r="U9264" s="2">
        <v>42603</v>
      </c>
      <c r="V9264" t="s">
        <v>71</v>
      </c>
      <c r="W9264" t="str">
        <f>"                0627"</f>
        <v xml:space="preserve">                0627</v>
      </c>
      <c r="X9264">
        <v>0</v>
      </c>
      <c r="Y9264">
        <v>236</v>
      </c>
      <c r="Z9264"/>
      <c r="AB9264"/>
      <c r="AC9264">
        <v>236</v>
      </c>
      <c r="AD9264">
        <v>-47</v>
      </c>
      <c r="AE9264" s="1">
        <v>-11092</v>
      </c>
      <c r="AF9264">
        <v>0</v>
      </c>
      <c r="AJ9264">
        <v>0</v>
      </c>
      <c r="AK9264">
        <v>0</v>
      </c>
      <c r="AL9264">
        <v>0</v>
      </c>
      <c r="AM9264">
        <v>236</v>
      </c>
      <c r="AN9264">
        <v>236</v>
      </c>
      <c r="AO9264">
        <v>236</v>
      </c>
      <c r="AP9264" s="2">
        <v>42746</v>
      </c>
      <c r="AQ9264" t="s">
        <v>72</v>
      </c>
      <c r="AR9264" t="s">
        <v>72</v>
      </c>
      <c r="AS9264">
        <v>1710</v>
      </c>
      <c r="AT9264" s="4">
        <v>42556</v>
      </c>
      <c r="AV9264">
        <v>1710</v>
      </c>
      <c r="AW9264" s="4">
        <v>42556</v>
      </c>
      <c r="BD9264">
        <v>0</v>
      </c>
      <c r="BN9264" t="s">
        <v>74</v>
      </c>
    </row>
    <row r="9265" spans="1:66" hidden="1">
      <c r="A9265">
        <v>106620</v>
      </c>
      <c r="B9265" s="3" t="s">
        <v>829</v>
      </c>
      <c r="C9265" s="1">
        <v>43500101</v>
      </c>
      <c r="D9265" t="s">
        <v>113</v>
      </c>
      <c r="H9265" t="str">
        <f>""</f>
        <v/>
      </c>
      <c r="I9265" t="str">
        <f t="shared" si="971"/>
        <v>02597720792</v>
      </c>
      <c r="K9265" t="str">
        <f>""</f>
        <v/>
      </c>
      <c r="M9265" t="s">
        <v>68</v>
      </c>
      <c r="N9265" t="str">
        <f t="shared" si="970"/>
        <v>ALT</v>
      </c>
      <c r="O9265" t="s">
        <v>114</v>
      </c>
      <c r="P9265" s="3" t="s">
        <v>90</v>
      </c>
      <c r="Q9265">
        <v>2016</v>
      </c>
      <c r="R9265" s="2">
        <v>42573</v>
      </c>
      <c r="S9265" s="2">
        <v>42573</v>
      </c>
      <c r="T9265" s="2">
        <v>42573</v>
      </c>
      <c r="U9265" s="2">
        <v>42633</v>
      </c>
      <c r="V9265" t="s">
        <v>71</v>
      </c>
      <c r="W9265" t="str">
        <f>"                0722"</f>
        <v xml:space="preserve">                0722</v>
      </c>
      <c r="X9265">
        <v>0</v>
      </c>
      <c r="Y9265">
        <v>236</v>
      </c>
      <c r="Z9265"/>
      <c r="AB9265"/>
      <c r="AC9265">
        <v>236</v>
      </c>
      <c r="AD9265">
        <v>-48</v>
      </c>
      <c r="AE9265" s="1">
        <v>-11328</v>
      </c>
      <c r="AF9265">
        <v>0</v>
      </c>
      <c r="AJ9265">
        <v>0</v>
      </c>
      <c r="AK9265">
        <v>0</v>
      </c>
      <c r="AL9265">
        <v>0</v>
      </c>
      <c r="AM9265">
        <v>236</v>
      </c>
      <c r="AN9265">
        <v>236</v>
      </c>
      <c r="AO9265">
        <v>236</v>
      </c>
      <c r="AP9265" s="2">
        <v>42746</v>
      </c>
      <c r="AQ9265" t="s">
        <v>72</v>
      </c>
      <c r="AR9265" t="s">
        <v>72</v>
      </c>
      <c r="AS9265">
        <v>2110</v>
      </c>
      <c r="AT9265" s="4">
        <v>42585</v>
      </c>
      <c r="AV9265">
        <v>2110</v>
      </c>
      <c r="AW9265" s="4">
        <v>42585</v>
      </c>
      <c r="BD9265">
        <v>0</v>
      </c>
      <c r="BN9265" t="s">
        <v>74</v>
      </c>
    </row>
    <row r="9266" spans="1:66" hidden="1">
      <c r="A9266">
        <v>106620</v>
      </c>
      <c r="B9266" s="3" t="s">
        <v>829</v>
      </c>
      <c r="C9266" s="1">
        <v>43500101</v>
      </c>
      <c r="D9266" t="s">
        <v>113</v>
      </c>
      <c r="H9266" t="str">
        <f>""</f>
        <v/>
      </c>
      <c r="I9266" t="str">
        <f t="shared" si="971"/>
        <v>02597720792</v>
      </c>
      <c r="K9266" t="str">
        <f>""</f>
        <v/>
      </c>
      <c r="M9266" t="s">
        <v>68</v>
      </c>
      <c r="N9266" t="str">
        <f t="shared" si="970"/>
        <v>ALT</v>
      </c>
      <c r="O9266" t="s">
        <v>114</v>
      </c>
      <c r="P9266" s="3" t="s">
        <v>91</v>
      </c>
      <c r="Q9266">
        <v>2016</v>
      </c>
      <c r="R9266" s="2">
        <v>42592</v>
      </c>
      <c r="S9266" s="2">
        <v>42598</v>
      </c>
      <c r="T9266" s="2">
        <v>42598</v>
      </c>
      <c r="U9266" s="2">
        <v>42658</v>
      </c>
      <c r="V9266" t="s">
        <v>71</v>
      </c>
      <c r="W9266" t="str">
        <f>"                0810"</f>
        <v xml:space="preserve">                0810</v>
      </c>
      <c r="X9266">
        <v>0</v>
      </c>
      <c r="Y9266">
        <v>236</v>
      </c>
      <c r="Z9266"/>
      <c r="AB9266"/>
      <c r="AC9266">
        <v>236</v>
      </c>
      <c r="AD9266">
        <v>-60</v>
      </c>
      <c r="AE9266" s="1">
        <v>-14160</v>
      </c>
      <c r="AF9266">
        <v>0</v>
      </c>
      <c r="AJ9266">
        <v>0</v>
      </c>
      <c r="AK9266">
        <v>0</v>
      </c>
      <c r="AL9266">
        <v>0</v>
      </c>
      <c r="AM9266">
        <v>236</v>
      </c>
      <c r="AN9266">
        <v>236</v>
      </c>
      <c r="AO9266">
        <v>236</v>
      </c>
      <c r="AP9266" s="2">
        <v>42746</v>
      </c>
      <c r="AQ9266" t="s">
        <v>72</v>
      </c>
      <c r="AR9266" t="s">
        <v>72</v>
      </c>
      <c r="AS9266">
        <v>2192</v>
      </c>
      <c r="AT9266" s="4">
        <v>42598</v>
      </c>
      <c r="AV9266">
        <v>2192</v>
      </c>
      <c r="AW9266" s="4">
        <v>42598</v>
      </c>
      <c r="BD9266">
        <v>0</v>
      </c>
      <c r="BN9266" t="s">
        <v>74</v>
      </c>
    </row>
    <row r="9267" spans="1:66" hidden="1">
      <c r="A9267">
        <v>106620</v>
      </c>
      <c r="B9267" s="3" t="s">
        <v>829</v>
      </c>
      <c r="C9267" s="1">
        <v>43500101</v>
      </c>
      <c r="D9267" t="s">
        <v>113</v>
      </c>
      <c r="H9267" t="str">
        <f>""</f>
        <v/>
      </c>
      <c r="I9267" t="str">
        <f t="shared" si="971"/>
        <v>02597720792</v>
      </c>
      <c r="K9267" t="str">
        <f>""</f>
        <v/>
      </c>
      <c r="M9267" t="s">
        <v>68</v>
      </c>
      <c r="N9267" t="str">
        <f t="shared" si="970"/>
        <v>ALT</v>
      </c>
      <c r="O9267" t="s">
        <v>114</v>
      </c>
      <c r="P9267" s="3" t="s">
        <v>92</v>
      </c>
      <c r="Q9267">
        <v>2016</v>
      </c>
      <c r="R9267" s="2">
        <v>42633</v>
      </c>
      <c r="S9267" s="2">
        <v>42634</v>
      </c>
      <c r="T9267" s="2">
        <v>42634</v>
      </c>
      <c r="U9267" s="2">
        <v>42694</v>
      </c>
      <c r="V9267" t="s">
        <v>71</v>
      </c>
      <c r="W9267" t="str">
        <f>"                0920"</f>
        <v xml:space="preserve">                0920</v>
      </c>
      <c r="X9267">
        <v>0</v>
      </c>
      <c r="Y9267">
        <v>236</v>
      </c>
      <c r="Z9267"/>
      <c r="AB9267"/>
      <c r="AC9267">
        <v>236</v>
      </c>
      <c r="AD9267">
        <v>-60</v>
      </c>
      <c r="AE9267" s="1">
        <v>-14160</v>
      </c>
      <c r="AF9267">
        <v>0</v>
      </c>
      <c r="AJ9267">
        <v>0</v>
      </c>
      <c r="AK9267">
        <v>0</v>
      </c>
      <c r="AL9267">
        <v>0</v>
      </c>
      <c r="AM9267">
        <v>236</v>
      </c>
      <c r="AN9267">
        <v>236</v>
      </c>
      <c r="AO9267">
        <v>236</v>
      </c>
      <c r="AP9267" s="2">
        <v>42746</v>
      </c>
      <c r="AQ9267" t="s">
        <v>72</v>
      </c>
      <c r="AR9267" t="s">
        <v>72</v>
      </c>
      <c r="AS9267">
        <v>2466</v>
      </c>
      <c r="AT9267" s="4">
        <v>42634</v>
      </c>
      <c r="AV9267">
        <v>2466</v>
      </c>
      <c r="AW9267" s="4">
        <v>42634</v>
      </c>
      <c r="BD9267">
        <v>0</v>
      </c>
      <c r="BN9267" t="s">
        <v>74</v>
      </c>
    </row>
    <row r="9268" spans="1:66" hidden="1">
      <c r="A9268">
        <v>106620</v>
      </c>
      <c r="B9268" s="3" t="s">
        <v>829</v>
      </c>
      <c r="C9268" s="1">
        <v>43500101</v>
      </c>
      <c r="D9268" t="s">
        <v>113</v>
      </c>
      <c r="H9268" t="str">
        <f>""</f>
        <v/>
      </c>
      <c r="I9268" t="str">
        <f t="shared" si="971"/>
        <v>02597720792</v>
      </c>
      <c r="K9268" t="str">
        <f>""</f>
        <v/>
      </c>
      <c r="M9268" t="s">
        <v>68</v>
      </c>
      <c r="N9268" t="str">
        <f t="shared" si="970"/>
        <v>ALT</v>
      </c>
      <c r="O9268" t="s">
        <v>114</v>
      </c>
      <c r="P9268" s="3" t="s">
        <v>93</v>
      </c>
      <c r="Q9268">
        <v>2016</v>
      </c>
      <c r="R9268" s="2">
        <v>42664</v>
      </c>
      <c r="S9268" s="2">
        <v>42667</v>
      </c>
      <c r="T9268" s="2">
        <v>42667</v>
      </c>
      <c r="U9268" s="2">
        <v>42727</v>
      </c>
      <c r="V9268" t="s">
        <v>71</v>
      </c>
      <c r="W9268" t="str">
        <f>"                1021"</f>
        <v xml:space="preserve">                1021</v>
      </c>
      <c r="X9268">
        <v>0</v>
      </c>
      <c r="Y9268">
        <v>236</v>
      </c>
      <c r="Z9268" s="3">
        <v>236</v>
      </c>
      <c r="AA9268">
        <v>-60</v>
      </c>
      <c r="AB9268" s="5">
        <v>-14160</v>
      </c>
      <c r="AC9268">
        <v>236</v>
      </c>
      <c r="AD9268">
        <v>-60</v>
      </c>
      <c r="AE9268" s="1">
        <v>-14160</v>
      </c>
      <c r="AF9268">
        <v>0</v>
      </c>
      <c r="AJ9268">
        <v>236</v>
      </c>
      <c r="AK9268">
        <v>236</v>
      </c>
      <c r="AL9268">
        <v>236</v>
      </c>
      <c r="AM9268">
        <v>236</v>
      </c>
      <c r="AN9268">
        <v>236</v>
      </c>
      <c r="AO9268">
        <v>236</v>
      </c>
      <c r="AP9268" s="2">
        <v>42746</v>
      </c>
      <c r="AQ9268" t="s">
        <v>72</v>
      </c>
      <c r="AR9268" t="s">
        <v>72</v>
      </c>
      <c r="AS9268">
        <v>2814</v>
      </c>
      <c r="AT9268" s="4">
        <v>42667</v>
      </c>
      <c r="AV9268">
        <v>2814</v>
      </c>
      <c r="AW9268" s="4">
        <v>42667</v>
      </c>
      <c r="BD9268">
        <v>0</v>
      </c>
      <c r="BN9268" t="s">
        <v>74</v>
      </c>
    </row>
    <row r="9269" spans="1:66" hidden="1">
      <c r="A9269">
        <v>106620</v>
      </c>
      <c r="B9269" s="3" t="s">
        <v>829</v>
      </c>
      <c r="C9269" s="1">
        <v>43500101</v>
      </c>
      <c r="D9269" t="s">
        <v>113</v>
      </c>
      <c r="H9269" t="str">
        <f>""</f>
        <v/>
      </c>
      <c r="I9269" t="str">
        <f t="shared" si="971"/>
        <v>02597720792</v>
      </c>
      <c r="K9269" t="str">
        <f>""</f>
        <v/>
      </c>
      <c r="M9269" t="s">
        <v>68</v>
      </c>
      <c r="N9269" t="str">
        <f t="shared" si="970"/>
        <v>ALT</v>
      </c>
      <c r="O9269" t="s">
        <v>114</v>
      </c>
      <c r="P9269" s="3" t="s">
        <v>94</v>
      </c>
      <c r="Q9269">
        <v>2016</v>
      </c>
      <c r="R9269" s="2">
        <v>42696</v>
      </c>
      <c r="S9269" s="2">
        <v>42696</v>
      </c>
      <c r="T9269" s="2">
        <v>42696</v>
      </c>
      <c r="U9269" s="2">
        <v>42756</v>
      </c>
      <c r="V9269" t="s">
        <v>71</v>
      </c>
      <c r="W9269" t="str">
        <f>"                1122"</f>
        <v xml:space="preserve">                1122</v>
      </c>
      <c r="X9269">
        <v>0</v>
      </c>
      <c r="Y9269">
        <v>236</v>
      </c>
      <c r="Z9269" s="3">
        <v>236</v>
      </c>
      <c r="AA9269">
        <v>-59</v>
      </c>
      <c r="AB9269" s="5">
        <v>-13924</v>
      </c>
      <c r="AC9269">
        <v>236</v>
      </c>
      <c r="AD9269">
        <v>-59</v>
      </c>
      <c r="AE9269" s="1">
        <v>-13924</v>
      </c>
      <c r="AF9269">
        <v>0</v>
      </c>
      <c r="AJ9269">
        <v>236</v>
      </c>
      <c r="AK9269">
        <v>236</v>
      </c>
      <c r="AL9269">
        <v>236</v>
      </c>
      <c r="AM9269">
        <v>236</v>
      </c>
      <c r="AN9269">
        <v>236</v>
      </c>
      <c r="AO9269">
        <v>236</v>
      </c>
      <c r="AP9269" s="2">
        <v>42746</v>
      </c>
      <c r="AQ9269" t="s">
        <v>72</v>
      </c>
      <c r="AR9269" t="s">
        <v>72</v>
      </c>
      <c r="AS9269">
        <v>3251</v>
      </c>
      <c r="AT9269" s="4">
        <v>42697</v>
      </c>
      <c r="AV9269">
        <v>3251</v>
      </c>
      <c r="AW9269" s="4">
        <v>42697</v>
      </c>
      <c r="BD9269">
        <v>0</v>
      </c>
      <c r="BN9269" t="s">
        <v>74</v>
      </c>
    </row>
    <row r="9270" spans="1:66" hidden="1">
      <c r="A9270">
        <v>106620</v>
      </c>
      <c r="B9270" s="3" t="s">
        <v>829</v>
      </c>
      <c r="C9270" s="1">
        <v>43500101</v>
      </c>
      <c r="D9270" t="s">
        <v>113</v>
      </c>
      <c r="H9270" t="str">
        <f>""</f>
        <v/>
      </c>
      <c r="I9270" t="str">
        <f t="shared" si="971"/>
        <v>02597720792</v>
      </c>
      <c r="K9270" t="str">
        <f>""</f>
        <v/>
      </c>
      <c r="M9270" t="s">
        <v>68</v>
      </c>
      <c r="N9270" t="str">
        <f t="shared" si="970"/>
        <v>ALT</v>
      </c>
      <c r="O9270" t="s">
        <v>114</v>
      </c>
      <c r="P9270" s="3" t="s">
        <v>95</v>
      </c>
      <c r="Q9270">
        <v>2016</v>
      </c>
      <c r="R9270" s="2">
        <v>42717</v>
      </c>
      <c r="S9270" s="2">
        <v>42717</v>
      </c>
      <c r="T9270" s="2">
        <v>42717</v>
      </c>
      <c r="U9270" s="2">
        <v>42777</v>
      </c>
      <c r="V9270" t="s">
        <v>71</v>
      </c>
      <c r="W9270" t="str">
        <f>"                1213"</f>
        <v xml:space="preserve">                1213</v>
      </c>
      <c r="X9270">
        <v>0</v>
      </c>
      <c r="Y9270">
        <v>236</v>
      </c>
      <c r="Z9270" s="3">
        <v>236</v>
      </c>
      <c r="AA9270">
        <v>-59</v>
      </c>
      <c r="AB9270" s="5">
        <v>-13924</v>
      </c>
      <c r="AC9270">
        <v>236</v>
      </c>
      <c r="AD9270">
        <v>-59</v>
      </c>
      <c r="AE9270" s="1">
        <v>-13924</v>
      </c>
      <c r="AF9270">
        <v>0</v>
      </c>
      <c r="AJ9270">
        <v>236</v>
      </c>
      <c r="AK9270">
        <v>236</v>
      </c>
      <c r="AL9270">
        <v>236</v>
      </c>
      <c r="AM9270">
        <v>236</v>
      </c>
      <c r="AN9270">
        <v>236</v>
      </c>
      <c r="AO9270">
        <v>236</v>
      </c>
      <c r="AP9270" s="2">
        <v>42746</v>
      </c>
      <c r="AQ9270" t="s">
        <v>72</v>
      </c>
      <c r="AR9270" t="s">
        <v>72</v>
      </c>
      <c r="AS9270">
        <v>3410</v>
      </c>
      <c r="AT9270" s="4">
        <v>42718</v>
      </c>
      <c r="AV9270">
        <v>3410</v>
      </c>
      <c r="AW9270" s="4">
        <v>42718</v>
      </c>
      <c r="BD9270">
        <v>0</v>
      </c>
      <c r="BN9270" t="s">
        <v>74</v>
      </c>
    </row>
    <row r="9271" spans="1:66" hidden="1">
      <c r="A9271">
        <v>106624</v>
      </c>
      <c r="B9271" s="3" t="s">
        <v>830</v>
      </c>
      <c r="C9271" s="1">
        <v>43300101</v>
      </c>
      <c r="D9271" t="s">
        <v>67</v>
      </c>
      <c r="H9271" t="str">
        <f>"07346721009"</f>
        <v>07346721009</v>
      </c>
      <c r="I9271" t="str">
        <f>"07346721009"</f>
        <v>07346721009</v>
      </c>
      <c r="K9271" t="str">
        <f>""</f>
        <v/>
      </c>
      <c r="M9271" t="s">
        <v>68</v>
      </c>
      <c r="N9271" t="str">
        <f t="shared" ref="N9271:N9277" si="972">"FOR"</f>
        <v>FOR</v>
      </c>
      <c r="O9271" t="s">
        <v>69</v>
      </c>
      <c r="P9271" s="3" t="s">
        <v>75</v>
      </c>
      <c r="Q9271">
        <v>2015</v>
      </c>
      <c r="R9271" s="2">
        <v>42247</v>
      </c>
      <c r="S9271" s="2">
        <v>42255</v>
      </c>
      <c r="T9271" s="2">
        <v>42254</v>
      </c>
      <c r="U9271" s="2">
        <v>42314</v>
      </c>
      <c r="V9271" t="s">
        <v>71</v>
      </c>
      <c r="W9271" t="str">
        <f>"              003380"</f>
        <v xml:space="preserve">              003380</v>
      </c>
      <c r="X9271">
        <v>787.19</v>
      </c>
      <c r="Y9271">
        <v>0</v>
      </c>
      <c r="Z9271"/>
      <c r="AB9271"/>
      <c r="AC9271">
        <v>715.63</v>
      </c>
      <c r="AD9271">
        <v>111</v>
      </c>
      <c r="AE9271" s="1">
        <v>79434.929999999993</v>
      </c>
      <c r="AF9271">
        <v>0</v>
      </c>
      <c r="AJ9271">
        <v>0</v>
      </c>
      <c r="AK9271">
        <v>0</v>
      </c>
      <c r="AL9271">
        <v>0</v>
      </c>
      <c r="AM9271">
        <v>0</v>
      </c>
      <c r="AN9271">
        <v>0</v>
      </c>
      <c r="AO9271">
        <v>0</v>
      </c>
      <c r="AP9271" s="2">
        <v>42746</v>
      </c>
      <c r="AQ9271" t="s">
        <v>72</v>
      </c>
      <c r="AR9271" t="s">
        <v>72</v>
      </c>
      <c r="AS9271">
        <v>540</v>
      </c>
      <c r="AT9271" s="4">
        <v>42425</v>
      </c>
      <c r="AU9271" t="s">
        <v>73</v>
      </c>
      <c r="AV9271">
        <v>540</v>
      </c>
      <c r="AW9271" s="4">
        <v>42425</v>
      </c>
      <c r="BD9271">
        <v>0</v>
      </c>
      <c r="BN9271" t="s">
        <v>74</v>
      </c>
    </row>
    <row r="9272" spans="1:66" hidden="1">
      <c r="A9272">
        <v>106624</v>
      </c>
      <c r="B9272" s="3" t="s">
        <v>830</v>
      </c>
      <c r="C9272" s="1">
        <v>43300101</v>
      </c>
      <c r="D9272" t="s">
        <v>67</v>
      </c>
      <c r="H9272" t="str">
        <f>"07346721009"</f>
        <v>07346721009</v>
      </c>
      <c r="I9272" t="str">
        <f>"07346721009"</f>
        <v>07346721009</v>
      </c>
      <c r="K9272" t="str">
        <f>""</f>
        <v/>
      </c>
      <c r="M9272" t="s">
        <v>68</v>
      </c>
      <c r="N9272" t="str">
        <f t="shared" si="972"/>
        <v>FOR</v>
      </c>
      <c r="O9272" t="s">
        <v>69</v>
      </c>
      <c r="P9272" s="3" t="s">
        <v>75</v>
      </c>
      <c r="Q9272">
        <v>2015</v>
      </c>
      <c r="R9272" s="2">
        <v>42369</v>
      </c>
      <c r="S9272" s="2">
        <v>42369</v>
      </c>
      <c r="T9272" s="2">
        <v>42369</v>
      </c>
      <c r="U9272" s="2">
        <v>42429</v>
      </c>
      <c r="V9272" t="s">
        <v>71</v>
      </c>
      <c r="W9272" t="str">
        <f>"              004809"</f>
        <v xml:space="preserve">              004809</v>
      </c>
      <c r="X9272">
        <v>787.19</v>
      </c>
      <c r="Y9272">
        <v>0</v>
      </c>
      <c r="Z9272"/>
      <c r="AB9272"/>
      <c r="AC9272">
        <v>715.63</v>
      </c>
      <c r="AD9272">
        <v>-4</v>
      </c>
      <c r="AE9272" s="1">
        <v>-2862.52</v>
      </c>
      <c r="AF9272">
        <v>0</v>
      </c>
      <c r="AJ9272">
        <v>0</v>
      </c>
      <c r="AK9272">
        <v>0</v>
      </c>
      <c r="AL9272">
        <v>0</v>
      </c>
      <c r="AM9272">
        <v>0</v>
      </c>
      <c r="AN9272">
        <v>0</v>
      </c>
      <c r="AO9272">
        <v>0</v>
      </c>
      <c r="AP9272" s="2">
        <v>42746</v>
      </c>
      <c r="AQ9272" t="s">
        <v>72</v>
      </c>
      <c r="AR9272" t="s">
        <v>72</v>
      </c>
      <c r="AS9272">
        <v>540</v>
      </c>
      <c r="AT9272" s="4">
        <v>42425</v>
      </c>
      <c r="AV9272">
        <v>540</v>
      </c>
      <c r="AW9272" s="4">
        <v>42425</v>
      </c>
      <c r="BD9272">
        <v>0</v>
      </c>
      <c r="BN9272" t="s">
        <v>74</v>
      </c>
    </row>
    <row r="9273" spans="1:66" hidden="1">
      <c r="A9273">
        <v>106625</v>
      </c>
      <c r="B9273" s="3" t="s">
        <v>831</v>
      </c>
      <c r="C9273" s="1">
        <v>43300101</v>
      </c>
      <c r="D9273" t="s">
        <v>67</v>
      </c>
      <c r="H9273" t="str">
        <f>""</f>
        <v/>
      </c>
      <c r="I9273" t="str">
        <f>"02283810998"</f>
        <v>02283810998</v>
      </c>
      <c r="K9273" t="str">
        <f>""</f>
        <v/>
      </c>
      <c r="M9273" t="s">
        <v>68</v>
      </c>
      <c r="N9273" t="str">
        <f t="shared" si="972"/>
        <v>FOR</v>
      </c>
      <c r="O9273" t="s">
        <v>69</v>
      </c>
      <c r="P9273" s="3" t="s">
        <v>75</v>
      </c>
      <c r="Q9273">
        <v>2015</v>
      </c>
      <c r="R9273" s="2">
        <v>42241</v>
      </c>
      <c r="S9273" s="2">
        <v>42243</v>
      </c>
      <c r="T9273" s="2">
        <v>42243</v>
      </c>
      <c r="U9273" s="2">
        <v>42303</v>
      </c>
      <c r="V9273" t="s">
        <v>71</v>
      </c>
      <c r="W9273" t="str">
        <f>"              150173"</f>
        <v xml:space="preserve">              150173</v>
      </c>
      <c r="X9273" s="1">
        <v>1464</v>
      </c>
      <c r="Y9273">
        <v>0</v>
      </c>
      <c r="Z9273"/>
      <c r="AB9273"/>
      <c r="AC9273" s="1">
        <v>1200</v>
      </c>
      <c r="AD9273">
        <v>161</v>
      </c>
      <c r="AE9273" s="1">
        <v>193200</v>
      </c>
      <c r="AF9273">
        <v>0</v>
      </c>
      <c r="AJ9273">
        <v>0</v>
      </c>
      <c r="AK9273">
        <v>0</v>
      </c>
      <c r="AL9273">
        <v>0</v>
      </c>
      <c r="AM9273">
        <v>0</v>
      </c>
      <c r="AN9273">
        <v>0</v>
      </c>
      <c r="AO9273">
        <v>0</v>
      </c>
      <c r="AP9273" s="2">
        <v>42746</v>
      </c>
      <c r="AQ9273" t="s">
        <v>72</v>
      </c>
      <c r="AR9273" t="s">
        <v>72</v>
      </c>
      <c r="AS9273">
        <v>984</v>
      </c>
      <c r="AT9273" s="4">
        <v>42464</v>
      </c>
      <c r="AU9273" t="s">
        <v>73</v>
      </c>
      <c r="AV9273">
        <v>984</v>
      </c>
      <c r="AW9273" s="4">
        <v>42464</v>
      </c>
      <c r="BD9273">
        <v>0</v>
      </c>
      <c r="BN9273" t="s">
        <v>74</v>
      </c>
    </row>
    <row r="9274" spans="1:66" hidden="1">
      <c r="A9274">
        <v>106625</v>
      </c>
      <c r="B9274" s="3" t="s">
        <v>831</v>
      </c>
      <c r="C9274" s="1">
        <v>43300101</v>
      </c>
      <c r="D9274" t="s">
        <v>67</v>
      </c>
      <c r="H9274" t="str">
        <f>""</f>
        <v/>
      </c>
      <c r="I9274" t="str">
        <f>"02283810998"</f>
        <v>02283810998</v>
      </c>
      <c r="K9274" t="str">
        <f>""</f>
        <v/>
      </c>
      <c r="M9274" t="s">
        <v>68</v>
      </c>
      <c r="N9274" t="str">
        <f t="shared" si="972"/>
        <v>FOR</v>
      </c>
      <c r="O9274" t="s">
        <v>69</v>
      </c>
      <c r="P9274" s="3" t="s">
        <v>75</v>
      </c>
      <c r="Q9274">
        <v>2015</v>
      </c>
      <c r="R9274" s="2">
        <v>42306</v>
      </c>
      <c r="S9274" s="2">
        <v>42320</v>
      </c>
      <c r="T9274" s="2">
        <v>42319</v>
      </c>
      <c r="U9274" s="2">
        <v>42379</v>
      </c>
      <c r="V9274" t="s">
        <v>71</v>
      </c>
      <c r="W9274" t="str">
        <f>"              150263"</f>
        <v xml:space="preserve">              150263</v>
      </c>
      <c r="X9274">
        <v>366</v>
      </c>
      <c r="Y9274">
        <v>0</v>
      </c>
      <c r="Z9274"/>
      <c r="AB9274"/>
      <c r="AC9274">
        <v>300</v>
      </c>
      <c r="AD9274">
        <v>85</v>
      </c>
      <c r="AE9274" s="1">
        <v>25500</v>
      </c>
      <c r="AF9274">
        <v>0</v>
      </c>
      <c r="AJ9274">
        <v>0</v>
      </c>
      <c r="AK9274">
        <v>0</v>
      </c>
      <c r="AL9274">
        <v>0</v>
      </c>
      <c r="AM9274">
        <v>0</v>
      </c>
      <c r="AN9274">
        <v>0</v>
      </c>
      <c r="AO9274">
        <v>0</v>
      </c>
      <c r="AP9274" s="2">
        <v>42746</v>
      </c>
      <c r="AQ9274" t="s">
        <v>72</v>
      </c>
      <c r="AR9274" t="s">
        <v>72</v>
      </c>
      <c r="AS9274">
        <v>984</v>
      </c>
      <c r="AT9274" s="4">
        <v>42464</v>
      </c>
      <c r="AU9274" t="s">
        <v>73</v>
      </c>
      <c r="AV9274">
        <v>984</v>
      </c>
      <c r="AW9274" s="4">
        <v>42464</v>
      </c>
      <c r="BD9274">
        <v>0</v>
      </c>
      <c r="BN9274" t="s">
        <v>74</v>
      </c>
    </row>
    <row r="9275" spans="1:66" hidden="1">
      <c r="A9275">
        <v>106625</v>
      </c>
      <c r="B9275" s="3" t="s">
        <v>831</v>
      </c>
      <c r="C9275" s="1">
        <v>43300101</v>
      </c>
      <c r="D9275" t="s">
        <v>67</v>
      </c>
      <c r="H9275" t="str">
        <f>""</f>
        <v/>
      </c>
      <c r="I9275" t="str">
        <f>"02283810998"</f>
        <v>02283810998</v>
      </c>
      <c r="K9275" t="str">
        <f>""</f>
        <v/>
      </c>
      <c r="M9275" t="s">
        <v>68</v>
      </c>
      <c r="N9275" t="str">
        <f t="shared" si="972"/>
        <v>FOR</v>
      </c>
      <c r="O9275" t="s">
        <v>69</v>
      </c>
      <c r="P9275" s="3" t="s">
        <v>75</v>
      </c>
      <c r="Q9275">
        <v>2015</v>
      </c>
      <c r="R9275" s="2">
        <v>42306</v>
      </c>
      <c r="S9275" s="2">
        <v>42320</v>
      </c>
      <c r="T9275" s="2">
        <v>42319</v>
      </c>
      <c r="U9275" s="2">
        <v>42379</v>
      </c>
      <c r="V9275" t="s">
        <v>71</v>
      </c>
      <c r="W9275" t="str">
        <f>"              150264"</f>
        <v xml:space="preserve">              150264</v>
      </c>
      <c r="X9275" s="1">
        <v>1000.4</v>
      </c>
      <c r="Y9275">
        <v>0</v>
      </c>
      <c r="Z9275"/>
      <c r="AB9275"/>
      <c r="AC9275">
        <v>820</v>
      </c>
      <c r="AD9275">
        <v>85</v>
      </c>
      <c r="AE9275" s="1">
        <v>69700</v>
      </c>
      <c r="AF9275">
        <v>0</v>
      </c>
      <c r="AJ9275">
        <v>0</v>
      </c>
      <c r="AK9275">
        <v>0</v>
      </c>
      <c r="AL9275">
        <v>0</v>
      </c>
      <c r="AM9275">
        <v>0</v>
      </c>
      <c r="AN9275">
        <v>0</v>
      </c>
      <c r="AO9275">
        <v>0</v>
      </c>
      <c r="AP9275" s="2">
        <v>42746</v>
      </c>
      <c r="AQ9275" t="s">
        <v>72</v>
      </c>
      <c r="AR9275" t="s">
        <v>72</v>
      </c>
      <c r="AS9275">
        <v>984</v>
      </c>
      <c r="AT9275" s="4">
        <v>42464</v>
      </c>
      <c r="AU9275" t="s">
        <v>73</v>
      </c>
      <c r="AV9275">
        <v>984</v>
      </c>
      <c r="AW9275" s="4">
        <v>42464</v>
      </c>
      <c r="BD9275">
        <v>0</v>
      </c>
      <c r="BN9275" t="s">
        <v>74</v>
      </c>
    </row>
    <row r="9276" spans="1:66">
      <c r="A9276">
        <v>106625</v>
      </c>
      <c r="B9276" s="3" t="s">
        <v>831</v>
      </c>
      <c r="C9276" s="1">
        <v>43300101</v>
      </c>
      <c r="D9276" t="s">
        <v>67</v>
      </c>
      <c r="H9276" t="str">
        <f>""</f>
        <v/>
      </c>
      <c r="I9276" t="str">
        <f>"02283810998"</f>
        <v>02283810998</v>
      </c>
      <c r="K9276" t="str">
        <f>""</f>
        <v/>
      </c>
      <c r="M9276" t="s">
        <v>68</v>
      </c>
      <c r="N9276" t="str">
        <f t="shared" si="972"/>
        <v>FOR</v>
      </c>
      <c r="O9276" t="s">
        <v>69</v>
      </c>
      <c r="P9276" s="3" t="s">
        <v>75</v>
      </c>
      <c r="Q9276">
        <v>2016</v>
      </c>
      <c r="R9276" s="2">
        <v>42510</v>
      </c>
      <c r="S9276" s="2">
        <v>42530</v>
      </c>
      <c r="T9276" s="2">
        <v>42530</v>
      </c>
      <c r="U9276" s="2">
        <v>42590</v>
      </c>
      <c r="V9276" t="s">
        <v>71</v>
      </c>
      <c r="W9276" t="str">
        <f>"          1602600148"</f>
        <v xml:space="preserve">          1602600148</v>
      </c>
      <c r="X9276" s="1">
        <v>1464</v>
      </c>
      <c r="Y9276">
        <v>0</v>
      </c>
      <c r="Z9276" s="5">
        <v>1200</v>
      </c>
      <c r="AA9276">
        <v>57</v>
      </c>
      <c r="AB9276" s="5">
        <v>68400</v>
      </c>
      <c r="AC9276" s="1">
        <v>1200</v>
      </c>
      <c r="AD9276">
        <v>57</v>
      </c>
      <c r="AE9276" s="1">
        <v>68400</v>
      </c>
      <c r="AF9276">
        <v>0</v>
      </c>
      <c r="AJ9276">
        <v>0</v>
      </c>
      <c r="AK9276">
        <v>0</v>
      </c>
      <c r="AL9276">
        <v>0</v>
      </c>
      <c r="AM9276" s="1">
        <v>1464</v>
      </c>
      <c r="AN9276" s="1">
        <v>1464</v>
      </c>
      <c r="AO9276" s="1">
        <v>1464</v>
      </c>
      <c r="AP9276" s="2">
        <v>42746</v>
      </c>
      <c r="AQ9276" t="s">
        <v>72</v>
      </c>
      <c r="AR9276" t="s">
        <v>72</v>
      </c>
      <c r="AS9276">
        <v>2598</v>
      </c>
      <c r="AT9276" s="4">
        <v>42647</v>
      </c>
      <c r="AU9276" t="s">
        <v>73</v>
      </c>
      <c r="AV9276">
        <v>2598</v>
      </c>
      <c r="AW9276" s="4">
        <v>42647</v>
      </c>
      <c r="BD9276">
        <v>0</v>
      </c>
      <c r="BN9276" t="s">
        <v>74</v>
      </c>
    </row>
    <row r="9277" spans="1:66" hidden="1">
      <c r="A9277">
        <v>106634</v>
      </c>
      <c r="B9277" s="3" t="s">
        <v>832</v>
      </c>
      <c r="C9277" s="1">
        <v>43300101</v>
      </c>
      <c r="D9277" t="s">
        <v>67</v>
      </c>
      <c r="H9277" t="str">
        <f>""</f>
        <v/>
      </c>
      <c r="I9277" t="str">
        <f>"04927530651"</f>
        <v>04927530651</v>
      </c>
      <c r="K9277" t="str">
        <f>""</f>
        <v/>
      </c>
      <c r="M9277" t="s">
        <v>68</v>
      </c>
      <c r="N9277" t="str">
        <f t="shared" si="972"/>
        <v>FOR</v>
      </c>
      <c r="O9277" t="s">
        <v>69</v>
      </c>
      <c r="P9277" s="3" t="s">
        <v>75</v>
      </c>
      <c r="Q9277">
        <v>2015</v>
      </c>
      <c r="R9277" s="2">
        <v>42307</v>
      </c>
      <c r="S9277" s="2">
        <v>42312</v>
      </c>
      <c r="T9277" s="2">
        <v>42311</v>
      </c>
      <c r="U9277" s="2">
        <v>42371</v>
      </c>
      <c r="V9277" t="s">
        <v>71</v>
      </c>
      <c r="W9277" t="str">
        <f>"        2015    73/E"</f>
        <v xml:space="preserve">        2015    73/E</v>
      </c>
      <c r="X9277">
        <v>635.03</v>
      </c>
      <c r="Y9277">
        <v>0</v>
      </c>
      <c r="Z9277"/>
      <c r="AB9277"/>
      <c r="AC9277">
        <v>520.52</v>
      </c>
      <c r="AD9277">
        <v>104</v>
      </c>
      <c r="AE9277" s="1">
        <v>54134.080000000002</v>
      </c>
      <c r="AF9277">
        <v>0</v>
      </c>
      <c r="AJ9277">
        <v>0</v>
      </c>
      <c r="AK9277">
        <v>0</v>
      </c>
      <c r="AL9277">
        <v>0</v>
      </c>
      <c r="AM9277">
        <v>0</v>
      </c>
      <c r="AN9277">
        <v>0</v>
      </c>
      <c r="AO9277">
        <v>0</v>
      </c>
      <c r="AP9277" s="2">
        <v>42746</v>
      </c>
      <c r="AQ9277" t="s">
        <v>72</v>
      </c>
      <c r="AR9277" t="s">
        <v>72</v>
      </c>
      <c r="AS9277">
        <v>1023</v>
      </c>
      <c r="AT9277" s="4">
        <v>42475</v>
      </c>
      <c r="AU9277" t="s">
        <v>73</v>
      </c>
      <c r="AV9277">
        <v>1023</v>
      </c>
      <c r="AW9277" s="4">
        <v>42475</v>
      </c>
      <c r="BD9277">
        <v>0</v>
      </c>
      <c r="BN9277" t="s">
        <v>74</v>
      </c>
    </row>
    <row r="9278" spans="1:66" hidden="1">
      <c r="A9278">
        <v>106635</v>
      </c>
      <c r="B9278" s="3" t="s">
        <v>833</v>
      </c>
      <c r="C9278" s="1">
        <v>43500101</v>
      </c>
      <c r="D9278" t="s">
        <v>113</v>
      </c>
      <c r="H9278" t="str">
        <f>"DCSLSU81L57A512Z"</f>
        <v>DCSLSU81L57A512Z</v>
      </c>
      <c r="I9278" t="str">
        <f>"03587150610"</f>
        <v>03587150610</v>
      </c>
      <c r="K9278" t="str">
        <f>""</f>
        <v/>
      </c>
      <c r="M9278" t="s">
        <v>68</v>
      </c>
      <c r="N9278" t="str">
        <f t="shared" ref="N9278:N9287" si="973">"ALTPRO"</f>
        <v>ALTPRO</v>
      </c>
      <c r="O9278" t="s">
        <v>132</v>
      </c>
      <c r="P9278" s="3" t="s">
        <v>146</v>
      </c>
      <c r="Q9278">
        <v>2015</v>
      </c>
      <c r="R9278" s="2">
        <v>42368</v>
      </c>
      <c r="S9278" s="2">
        <v>42368</v>
      </c>
      <c r="T9278" s="2">
        <v>42368</v>
      </c>
      <c r="U9278" s="2">
        <v>42428</v>
      </c>
      <c r="V9278" t="s">
        <v>71</v>
      </c>
      <c r="W9278" t="str">
        <f>"                2/PA"</f>
        <v xml:space="preserve">                2/PA</v>
      </c>
      <c r="X9278" s="1">
        <v>5002</v>
      </c>
      <c r="Y9278">
        <v>0</v>
      </c>
      <c r="Z9278"/>
      <c r="AB9278"/>
      <c r="AC9278" s="1">
        <v>5002</v>
      </c>
      <c r="AD9278">
        <v>-31</v>
      </c>
      <c r="AE9278" s="1">
        <v>-155062</v>
      </c>
      <c r="AF9278">
        <v>0</v>
      </c>
      <c r="AJ9278">
        <v>0</v>
      </c>
      <c r="AK9278">
        <v>0</v>
      </c>
      <c r="AL9278">
        <v>0</v>
      </c>
      <c r="AM9278">
        <v>0</v>
      </c>
      <c r="AN9278">
        <v>0</v>
      </c>
      <c r="AO9278">
        <v>0</v>
      </c>
      <c r="AP9278" s="2">
        <v>42746</v>
      </c>
      <c r="AQ9278" t="s">
        <v>72</v>
      </c>
      <c r="AR9278" t="s">
        <v>72</v>
      </c>
      <c r="AS9278">
        <v>150</v>
      </c>
      <c r="AT9278" s="4">
        <v>42397</v>
      </c>
      <c r="AV9278">
        <v>150</v>
      </c>
      <c r="AW9278" s="4">
        <v>42397</v>
      </c>
      <c r="BD9278">
        <v>0</v>
      </c>
      <c r="BN9278" t="s">
        <v>74</v>
      </c>
    </row>
    <row r="9279" spans="1:66" hidden="1">
      <c r="A9279">
        <v>106635</v>
      </c>
      <c r="B9279" s="3" t="s">
        <v>833</v>
      </c>
      <c r="C9279" s="1">
        <v>43500101</v>
      </c>
      <c r="D9279" t="s">
        <v>113</v>
      </c>
      <c r="H9279" t="str">
        <f>"DCSLSU81L57A512Z"</f>
        <v>DCSLSU81L57A512Z</v>
      </c>
      <c r="I9279" t="str">
        <f>"03587150610"</f>
        <v>03587150610</v>
      </c>
      <c r="K9279" t="str">
        <f>""</f>
        <v/>
      </c>
      <c r="M9279" t="s">
        <v>68</v>
      </c>
      <c r="N9279" t="str">
        <f t="shared" si="973"/>
        <v>ALTPRO</v>
      </c>
      <c r="O9279" t="s">
        <v>132</v>
      </c>
      <c r="P9279" s="3" t="s">
        <v>146</v>
      </c>
      <c r="Q9279">
        <v>2016</v>
      </c>
      <c r="R9279" s="2">
        <v>42466</v>
      </c>
      <c r="S9279" s="2">
        <v>42466</v>
      </c>
      <c r="T9279" s="2">
        <v>42466</v>
      </c>
      <c r="U9279" s="2">
        <v>42526</v>
      </c>
      <c r="V9279" t="s">
        <v>71</v>
      </c>
      <c r="W9279" t="str">
        <f>"                1/PA"</f>
        <v xml:space="preserve">                1/PA</v>
      </c>
      <c r="X9279" s="1">
        <v>5002</v>
      </c>
      <c r="Y9279">
        <v>0</v>
      </c>
      <c r="Z9279"/>
      <c r="AB9279"/>
      <c r="AC9279" s="1">
        <v>5002</v>
      </c>
      <c r="AD9279">
        <v>-39</v>
      </c>
      <c r="AE9279" s="1">
        <v>-195078</v>
      </c>
      <c r="AF9279">
        <v>0</v>
      </c>
      <c r="AJ9279">
        <v>0</v>
      </c>
      <c r="AK9279">
        <v>0</v>
      </c>
      <c r="AL9279">
        <v>0</v>
      </c>
      <c r="AM9279" s="1">
        <v>5002</v>
      </c>
      <c r="AN9279" s="1">
        <v>5002</v>
      </c>
      <c r="AO9279" s="1">
        <v>5002</v>
      </c>
      <c r="AP9279" s="2">
        <v>42746</v>
      </c>
      <c r="AQ9279" t="s">
        <v>72</v>
      </c>
      <c r="AR9279" t="s">
        <v>72</v>
      </c>
      <c r="AS9279">
        <v>1126</v>
      </c>
      <c r="AT9279" s="4">
        <v>42487</v>
      </c>
      <c r="AV9279">
        <v>1126</v>
      </c>
      <c r="AW9279" s="4">
        <v>42487</v>
      </c>
      <c r="BD9279">
        <v>0</v>
      </c>
      <c r="BN9279" t="s">
        <v>74</v>
      </c>
    </row>
    <row r="9280" spans="1:66" hidden="1">
      <c r="A9280">
        <v>106635</v>
      </c>
      <c r="B9280" s="3" t="s">
        <v>833</v>
      </c>
      <c r="C9280" s="1">
        <v>43500101</v>
      </c>
      <c r="D9280" t="s">
        <v>113</v>
      </c>
      <c r="H9280" t="str">
        <f>"DCSLSU81L57A512Z"</f>
        <v>DCSLSU81L57A512Z</v>
      </c>
      <c r="I9280" t="str">
        <f>"03587150610"</f>
        <v>03587150610</v>
      </c>
      <c r="K9280" t="str">
        <f>""</f>
        <v/>
      </c>
      <c r="M9280" t="s">
        <v>68</v>
      </c>
      <c r="N9280" t="str">
        <f t="shared" si="973"/>
        <v>ALTPRO</v>
      </c>
      <c r="O9280" t="s">
        <v>132</v>
      </c>
      <c r="P9280" s="3" t="s">
        <v>146</v>
      </c>
      <c r="Q9280">
        <v>2016</v>
      </c>
      <c r="R9280" s="2">
        <v>42555</v>
      </c>
      <c r="S9280" s="2">
        <v>42556</v>
      </c>
      <c r="T9280" s="2">
        <v>42555</v>
      </c>
      <c r="U9280" s="2">
        <v>42615</v>
      </c>
      <c r="V9280" t="s">
        <v>71</v>
      </c>
      <c r="W9280" t="str">
        <f>"                2/PA"</f>
        <v xml:space="preserve">                2/PA</v>
      </c>
      <c r="X9280" s="1">
        <v>5002</v>
      </c>
      <c r="Y9280">
        <v>0</v>
      </c>
      <c r="Z9280"/>
      <c r="AB9280"/>
      <c r="AC9280" s="1">
        <v>5002</v>
      </c>
      <c r="AD9280">
        <v>-39</v>
      </c>
      <c r="AE9280" s="1">
        <v>-195078</v>
      </c>
      <c r="AF9280">
        <v>0</v>
      </c>
      <c r="AJ9280">
        <v>0</v>
      </c>
      <c r="AK9280">
        <v>0</v>
      </c>
      <c r="AL9280">
        <v>0</v>
      </c>
      <c r="AM9280" s="1">
        <v>5002</v>
      </c>
      <c r="AN9280" s="1">
        <v>5002</v>
      </c>
      <c r="AO9280" s="1">
        <v>5002</v>
      </c>
      <c r="AP9280" s="2">
        <v>42746</v>
      </c>
      <c r="AQ9280" t="s">
        <v>72</v>
      </c>
      <c r="AR9280" t="s">
        <v>72</v>
      </c>
      <c r="AS9280">
        <v>1898</v>
      </c>
      <c r="AT9280" s="4">
        <v>42576</v>
      </c>
      <c r="AV9280">
        <v>1898</v>
      </c>
      <c r="AW9280" s="4">
        <v>42576</v>
      </c>
      <c r="BD9280">
        <v>0</v>
      </c>
      <c r="BN9280" t="s">
        <v>74</v>
      </c>
    </row>
    <row r="9281" spans="1:66" hidden="1">
      <c r="A9281">
        <v>106636</v>
      </c>
      <c r="B9281" s="3" t="s">
        <v>834</v>
      </c>
      <c r="C9281" s="1">
        <v>43500101</v>
      </c>
      <c r="D9281" t="s">
        <v>113</v>
      </c>
      <c r="H9281" t="str">
        <f>"PZZDNC63B18F839G"</f>
        <v>PZZDNC63B18F839G</v>
      </c>
      <c r="I9281" t="str">
        <f>"00880650627"</f>
        <v>00880650627</v>
      </c>
      <c r="K9281" t="str">
        <f>""</f>
        <v/>
      </c>
      <c r="M9281" t="s">
        <v>68</v>
      </c>
      <c r="N9281" t="str">
        <f t="shared" si="973"/>
        <v>ALTPRO</v>
      </c>
      <c r="O9281" t="s">
        <v>132</v>
      </c>
      <c r="P9281" s="3" t="s">
        <v>146</v>
      </c>
      <c r="Q9281">
        <v>2015</v>
      </c>
      <c r="R9281" s="2">
        <v>42247</v>
      </c>
      <c r="S9281" s="2">
        <v>42282</v>
      </c>
      <c r="T9281" s="2">
        <v>42272</v>
      </c>
      <c r="U9281" s="2">
        <v>42332</v>
      </c>
      <c r="V9281" t="s">
        <v>71</v>
      </c>
      <c r="W9281" t="str">
        <f>"             3E_2015"</f>
        <v xml:space="preserve">             3E_2015</v>
      </c>
      <c r="X9281">
        <v>715.03</v>
      </c>
      <c r="Y9281">
        <v>-78.98</v>
      </c>
      <c r="Z9281"/>
      <c r="AB9281"/>
      <c r="AC9281">
        <v>636.04999999999995</v>
      </c>
      <c r="AD9281">
        <v>155</v>
      </c>
      <c r="AE9281" s="1">
        <v>98587.75</v>
      </c>
      <c r="AF9281">
        <v>0</v>
      </c>
      <c r="AJ9281">
        <v>0</v>
      </c>
      <c r="AK9281">
        <v>0</v>
      </c>
      <c r="AL9281">
        <v>0</v>
      </c>
      <c r="AM9281">
        <v>0</v>
      </c>
      <c r="AN9281">
        <v>0</v>
      </c>
      <c r="AO9281">
        <v>0</v>
      </c>
      <c r="AP9281" s="2">
        <v>42746</v>
      </c>
      <c r="AQ9281" t="s">
        <v>72</v>
      </c>
      <c r="AR9281" t="s">
        <v>72</v>
      </c>
      <c r="AS9281">
        <v>1177</v>
      </c>
      <c r="AT9281" s="4">
        <v>42487</v>
      </c>
      <c r="AU9281" t="s">
        <v>73</v>
      </c>
      <c r="AV9281">
        <v>1177</v>
      </c>
      <c r="AW9281" s="4">
        <v>42487</v>
      </c>
      <c r="BD9281">
        <v>0</v>
      </c>
      <c r="BN9281" t="s">
        <v>74</v>
      </c>
    </row>
    <row r="9282" spans="1:66" hidden="1">
      <c r="A9282">
        <v>106637</v>
      </c>
      <c r="B9282" s="3" t="s">
        <v>835</v>
      </c>
      <c r="C9282" s="1">
        <v>43500101</v>
      </c>
      <c r="D9282" t="s">
        <v>113</v>
      </c>
      <c r="H9282" t="str">
        <f t="shared" ref="H9282:H9287" si="974">"TMPLRA84S50A717U"</f>
        <v>TMPLRA84S50A717U</v>
      </c>
      <c r="I9282" t="str">
        <f t="shared" ref="I9282:I9287" si="975">"05390990652"</f>
        <v>05390990652</v>
      </c>
      <c r="K9282" t="str">
        <f>""</f>
        <v/>
      </c>
      <c r="M9282" t="s">
        <v>68</v>
      </c>
      <c r="N9282" t="str">
        <f t="shared" si="973"/>
        <v>ALTPRO</v>
      </c>
      <c r="O9282" t="s">
        <v>132</v>
      </c>
      <c r="P9282" s="3" t="s">
        <v>75</v>
      </c>
      <c r="Q9282">
        <v>2016</v>
      </c>
      <c r="R9282" s="2">
        <v>42374</v>
      </c>
      <c r="S9282" s="2">
        <v>42377</v>
      </c>
      <c r="T9282" s="2">
        <v>42374</v>
      </c>
      <c r="U9282" s="2">
        <v>42434</v>
      </c>
      <c r="V9282" t="s">
        <v>71</v>
      </c>
      <c r="W9282" t="str">
        <f>"         FATTPA 1_16"</f>
        <v xml:space="preserve">         FATTPA 1_16</v>
      </c>
      <c r="X9282" s="1">
        <v>7974.24</v>
      </c>
      <c r="Y9282" s="1">
        <v>-1594.45</v>
      </c>
      <c r="Z9282"/>
      <c r="AB9282"/>
      <c r="AC9282" s="1">
        <v>6379.79</v>
      </c>
      <c r="AD9282">
        <v>-37</v>
      </c>
      <c r="AE9282" s="1">
        <v>-236052.23</v>
      </c>
      <c r="AF9282">
        <v>0</v>
      </c>
      <c r="AJ9282">
        <v>0</v>
      </c>
      <c r="AK9282">
        <v>0</v>
      </c>
      <c r="AL9282">
        <v>0</v>
      </c>
      <c r="AM9282" s="1">
        <v>-1594.45</v>
      </c>
      <c r="AN9282" s="1">
        <v>6379.79</v>
      </c>
      <c r="AO9282" s="1">
        <v>6379.79</v>
      </c>
      <c r="AP9282" s="2">
        <v>42746</v>
      </c>
      <c r="AQ9282" t="s">
        <v>72</v>
      </c>
      <c r="AR9282" t="s">
        <v>72</v>
      </c>
      <c r="AS9282">
        <v>122</v>
      </c>
      <c r="AT9282" s="4">
        <v>42397</v>
      </c>
      <c r="AV9282">
        <v>122</v>
      </c>
      <c r="AW9282" s="4">
        <v>42397</v>
      </c>
      <c r="BD9282">
        <v>0</v>
      </c>
      <c r="BN9282" t="s">
        <v>74</v>
      </c>
    </row>
    <row r="9283" spans="1:66" hidden="1">
      <c r="A9283">
        <v>106637</v>
      </c>
      <c r="B9283" s="3" t="s">
        <v>835</v>
      </c>
      <c r="C9283" s="1">
        <v>43500101</v>
      </c>
      <c r="D9283" t="s">
        <v>113</v>
      </c>
      <c r="H9283" t="str">
        <f t="shared" si="974"/>
        <v>TMPLRA84S50A717U</v>
      </c>
      <c r="I9283" t="str">
        <f t="shared" si="975"/>
        <v>05390990652</v>
      </c>
      <c r="K9283" t="str">
        <f>""</f>
        <v/>
      </c>
      <c r="M9283" t="s">
        <v>68</v>
      </c>
      <c r="N9283" t="str">
        <f t="shared" si="973"/>
        <v>ALTPRO</v>
      </c>
      <c r="O9283" t="s">
        <v>132</v>
      </c>
      <c r="P9283" s="3" t="s">
        <v>75</v>
      </c>
      <c r="Q9283">
        <v>2016</v>
      </c>
      <c r="R9283" s="2">
        <v>42402</v>
      </c>
      <c r="S9283" s="2">
        <v>42403</v>
      </c>
      <c r="T9283" s="2">
        <v>42402</v>
      </c>
      <c r="U9283" s="2">
        <v>42462</v>
      </c>
      <c r="V9283" t="s">
        <v>71</v>
      </c>
      <c r="W9283" t="str">
        <f>"         FATTPA 2_16"</f>
        <v xml:space="preserve">         FATTPA 2_16</v>
      </c>
      <c r="X9283" s="1">
        <v>2565.7600000000002</v>
      </c>
      <c r="Y9283">
        <v>-512.75</v>
      </c>
      <c r="Z9283"/>
      <c r="AB9283"/>
      <c r="AC9283" s="1">
        <v>2053.0100000000002</v>
      </c>
      <c r="AD9283">
        <v>-36</v>
      </c>
      <c r="AE9283" s="1">
        <v>-73908.36</v>
      </c>
      <c r="AF9283">
        <v>0</v>
      </c>
      <c r="AJ9283">
        <v>0</v>
      </c>
      <c r="AK9283">
        <v>0</v>
      </c>
      <c r="AL9283">
        <v>0</v>
      </c>
      <c r="AM9283" s="1">
        <v>2053.0100000000002</v>
      </c>
      <c r="AN9283" s="1">
        <v>2053.0100000000002</v>
      </c>
      <c r="AO9283" s="1">
        <v>2053.0100000000002</v>
      </c>
      <c r="AP9283" s="2">
        <v>42746</v>
      </c>
      <c r="AQ9283" t="s">
        <v>72</v>
      </c>
      <c r="AR9283" t="s">
        <v>72</v>
      </c>
      <c r="AS9283">
        <v>589</v>
      </c>
      <c r="AT9283" s="4">
        <v>42426</v>
      </c>
      <c r="AV9283">
        <v>589</v>
      </c>
      <c r="AW9283" s="4">
        <v>42426</v>
      </c>
      <c r="BD9283">
        <v>0</v>
      </c>
      <c r="BN9283" t="s">
        <v>74</v>
      </c>
    </row>
    <row r="9284" spans="1:66" hidden="1">
      <c r="A9284">
        <v>106637</v>
      </c>
      <c r="B9284" s="3" t="s">
        <v>835</v>
      </c>
      <c r="C9284" s="1">
        <v>43500101</v>
      </c>
      <c r="D9284" t="s">
        <v>113</v>
      </c>
      <c r="H9284" t="str">
        <f t="shared" si="974"/>
        <v>TMPLRA84S50A717U</v>
      </c>
      <c r="I9284" t="str">
        <f t="shared" si="975"/>
        <v>05390990652</v>
      </c>
      <c r="K9284" t="str">
        <f>""</f>
        <v/>
      </c>
      <c r="M9284" t="s">
        <v>68</v>
      </c>
      <c r="N9284" t="str">
        <f t="shared" si="973"/>
        <v>ALTPRO</v>
      </c>
      <c r="O9284" t="s">
        <v>132</v>
      </c>
      <c r="P9284" s="3" t="s">
        <v>75</v>
      </c>
      <c r="Q9284">
        <v>2016</v>
      </c>
      <c r="R9284" s="2">
        <v>42434</v>
      </c>
      <c r="S9284" s="2">
        <v>42436</v>
      </c>
      <c r="T9284" s="2">
        <v>42434</v>
      </c>
      <c r="U9284" s="2">
        <v>42494</v>
      </c>
      <c r="V9284" t="s">
        <v>71</v>
      </c>
      <c r="W9284" t="str">
        <f>"         FATTPA 3_16"</f>
        <v xml:space="preserve">         FATTPA 3_16</v>
      </c>
      <c r="X9284" s="1">
        <v>2636</v>
      </c>
      <c r="Y9284">
        <v>-526.79999999999995</v>
      </c>
      <c r="Z9284"/>
      <c r="AB9284"/>
      <c r="AC9284" s="1">
        <v>2109.1999999999998</v>
      </c>
      <c r="AD9284">
        <v>-43</v>
      </c>
      <c r="AE9284" s="1">
        <v>-90695.6</v>
      </c>
      <c r="AF9284">
        <v>0</v>
      </c>
      <c r="AJ9284">
        <v>0</v>
      </c>
      <c r="AK9284">
        <v>0</v>
      </c>
      <c r="AL9284">
        <v>0</v>
      </c>
      <c r="AM9284" s="1">
        <v>2109.1999999999998</v>
      </c>
      <c r="AN9284" s="1">
        <v>2109.1999999999998</v>
      </c>
      <c r="AO9284" s="1">
        <v>2109.1999999999998</v>
      </c>
      <c r="AP9284" s="2">
        <v>42746</v>
      </c>
      <c r="AQ9284" t="s">
        <v>72</v>
      </c>
      <c r="AR9284" t="s">
        <v>72</v>
      </c>
      <c r="AS9284">
        <v>717</v>
      </c>
      <c r="AT9284" s="4">
        <v>42451</v>
      </c>
      <c r="AV9284">
        <v>717</v>
      </c>
      <c r="AW9284" s="4">
        <v>42451</v>
      </c>
      <c r="BD9284">
        <v>0</v>
      </c>
      <c r="BN9284" t="s">
        <v>74</v>
      </c>
    </row>
    <row r="9285" spans="1:66" hidden="1">
      <c r="A9285">
        <v>106637</v>
      </c>
      <c r="B9285" s="3" t="s">
        <v>835</v>
      </c>
      <c r="C9285" s="1">
        <v>43500101</v>
      </c>
      <c r="D9285" t="s">
        <v>113</v>
      </c>
      <c r="H9285" t="str">
        <f t="shared" si="974"/>
        <v>TMPLRA84S50A717U</v>
      </c>
      <c r="I9285" t="str">
        <f t="shared" si="975"/>
        <v>05390990652</v>
      </c>
      <c r="K9285" t="str">
        <f>""</f>
        <v/>
      </c>
      <c r="M9285" t="s">
        <v>68</v>
      </c>
      <c r="N9285" t="str">
        <f t="shared" si="973"/>
        <v>ALTPRO</v>
      </c>
      <c r="O9285" t="s">
        <v>132</v>
      </c>
      <c r="P9285" s="3" t="s">
        <v>75</v>
      </c>
      <c r="Q9285">
        <v>2016</v>
      </c>
      <c r="R9285" s="2">
        <v>42460</v>
      </c>
      <c r="S9285" s="2">
        <v>42464</v>
      </c>
      <c r="T9285" s="2">
        <v>42460</v>
      </c>
      <c r="U9285" s="2">
        <v>42520</v>
      </c>
      <c r="V9285" t="s">
        <v>71</v>
      </c>
      <c r="W9285" t="str">
        <f>"         FATTPA 5_16"</f>
        <v xml:space="preserve">         FATTPA 5_16</v>
      </c>
      <c r="X9285" s="1">
        <v>2741.36</v>
      </c>
      <c r="Y9285">
        <v>-547.87</v>
      </c>
      <c r="Z9285"/>
      <c r="AB9285"/>
      <c r="AC9285" s="1">
        <v>2193.4899999999998</v>
      </c>
      <c r="AD9285">
        <v>-33</v>
      </c>
      <c r="AE9285" s="1">
        <v>-72385.17</v>
      </c>
      <c r="AF9285">
        <v>0</v>
      </c>
      <c r="AJ9285">
        <v>0</v>
      </c>
      <c r="AK9285">
        <v>0</v>
      </c>
      <c r="AL9285">
        <v>0</v>
      </c>
      <c r="AM9285" s="1">
        <v>2193.4899999999998</v>
      </c>
      <c r="AN9285" s="1">
        <v>2193.4899999999998</v>
      </c>
      <c r="AO9285" s="1">
        <v>2193.4899999999998</v>
      </c>
      <c r="AP9285" s="2">
        <v>42746</v>
      </c>
      <c r="AQ9285" t="s">
        <v>72</v>
      </c>
      <c r="AR9285" t="s">
        <v>72</v>
      </c>
      <c r="AS9285">
        <v>1157</v>
      </c>
      <c r="AT9285" s="4">
        <v>42487</v>
      </c>
      <c r="AV9285">
        <v>1157</v>
      </c>
      <c r="AW9285" s="4">
        <v>42487</v>
      </c>
      <c r="BD9285">
        <v>0</v>
      </c>
      <c r="BN9285" t="s">
        <v>74</v>
      </c>
    </row>
    <row r="9286" spans="1:66" hidden="1">
      <c r="A9286">
        <v>106637</v>
      </c>
      <c r="B9286" s="3" t="s">
        <v>835</v>
      </c>
      <c r="C9286" s="1">
        <v>43500101</v>
      </c>
      <c r="D9286" t="s">
        <v>113</v>
      </c>
      <c r="H9286" t="str">
        <f t="shared" si="974"/>
        <v>TMPLRA84S50A717U</v>
      </c>
      <c r="I9286" t="str">
        <f t="shared" si="975"/>
        <v>05390990652</v>
      </c>
      <c r="K9286" t="str">
        <f>""</f>
        <v/>
      </c>
      <c r="M9286" t="s">
        <v>68</v>
      </c>
      <c r="N9286" t="str">
        <f t="shared" si="973"/>
        <v>ALTPRO</v>
      </c>
      <c r="O9286" t="s">
        <v>132</v>
      </c>
      <c r="P9286" s="3" t="s">
        <v>75</v>
      </c>
      <c r="Q9286">
        <v>2016</v>
      </c>
      <c r="R9286" s="2">
        <v>42494</v>
      </c>
      <c r="S9286" s="2">
        <v>42495</v>
      </c>
      <c r="T9286" s="2">
        <v>42494</v>
      </c>
      <c r="U9286" s="2">
        <v>42554</v>
      </c>
      <c r="V9286" t="s">
        <v>71</v>
      </c>
      <c r="W9286" t="str">
        <f>"         FATTPA 6_16"</f>
        <v xml:space="preserve">         FATTPA 6_16</v>
      </c>
      <c r="X9286" s="1">
        <v>2636</v>
      </c>
      <c r="Y9286">
        <v>-526.79999999999995</v>
      </c>
      <c r="Z9286"/>
      <c r="AB9286"/>
      <c r="AC9286" s="1">
        <v>2109.1999999999998</v>
      </c>
      <c r="AD9286">
        <v>-38</v>
      </c>
      <c r="AE9286" s="1">
        <v>-80149.600000000006</v>
      </c>
      <c r="AF9286">
        <v>0</v>
      </c>
      <c r="AJ9286">
        <v>0</v>
      </c>
      <c r="AK9286">
        <v>0</v>
      </c>
      <c r="AL9286">
        <v>0</v>
      </c>
      <c r="AM9286" s="1">
        <v>2109.1999999999998</v>
      </c>
      <c r="AN9286" s="1">
        <v>2109.1999999999998</v>
      </c>
      <c r="AO9286" s="1">
        <v>2109.1999999999998</v>
      </c>
      <c r="AP9286" s="2">
        <v>42746</v>
      </c>
      <c r="AQ9286" t="s">
        <v>72</v>
      </c>
      <c r="AR9286" t="s">
        <v>72</v>
      </c>
      <c r="AS9286">
        <v>1392</v>
      </c>
      <c r="AT9286" s="4">
        <v>42516</v>
      </c>
      <c r="AV9286">
        <v>1392</v>
      </c>
      <c r="AW9286" s="4">
        <v>42516</v>
      </c>
      <c r="BD9286">
        <v>0</v>
      </c>
      <c r="BN9286" t="s">
        <v>74</v>
      </c>
    </row>
    <row r="9287" spans="1:66" hidden="1">
      <c r="A9287">
        <v>106637</v>
      </c>
      <c r="B9287" s="3" t="s">
        <v>835</v>
      </c>
      <c r="C9287" s="1">
        <v>43500101</v>
      </c>
      <c r="D9287" t="s">
        <v>113</v>
      </c>
      <c r="H9287" t="str">
        <f t="shared" si="974"/>
        <v>TMPLRA84S50A717U</v>
      </c>
      <c r="I9287" t="str">
        <f t="shared" si="975"/>
        <v>05390990652</v>
      </c>
      <c r="K9287" t="str">
        <f>""</f>
        <v/>
      </c>
      <c r="M9287" t="s">
        <v>68</v>
      </c>
      <c r="N9287" t="str">
        <f t="shared" si="973"/>
        <v>ALTPRO</v>
      </c>
      <c r="O9287" t="s">
        <v>132</v>
      </c>
      <c r="P9287" s="3" t="s">
        <v>75</v>
      </c>
      <c r="Q9287">
        <v>2016</v>
      </c>
      <c r="R9287" s="2">
        <v>42525</v>
      </c>
      <c r="S9287" s="2">
        <v>42557</v>
      </c>
      <c r="T9287" s="2">
        <v>42557</v>
      </c>
      <c r="U9287" s="2">
        <v>42617</v>
      </c>
      <c r="V9287" t="s">
        <v>71</v>
      </c>
      <c r="W9287" t="str">
        <f>"         FATTPA 7_16"</f>
        <v xml:space="preserve">         FATTPA 7_16</v>
      </c>
      <c r="X9287" s="1">
        <v>1870.21</v>
      </c>
      <c r="Y9287">
        <v>-373.64</v>
      </c>
      <c r="Z9287"/>
      <c r="AB9287"/>
      <c r="AC9287" s="1">
        <v>1496.57</v>
      </c>
      <c r="AD9287">
        <v>-51</v>
      </c>
      <c r="AE9287" s="1">
        <v>-76325.070000000007</v>
      </c>
      <c r="AF9287">
        <v>0</v>
      </c>
      <c r="AJ9287">
        <v>0</v>
      </c>
      <c r="AK9287">
        <v>0</v>
      </c>
      <c r="AL9287">
        <v>0</v>
      </c>
      <c r="AM9287" s="1">
        <v>1496.57</v>
      </c>
      <c r="AN9287" s="1">
        <v>1496.57</v>
      </c>
      <c r="AO9287" s="1">
        <v>1496.57</v>
      </c>
      <c r="AP9287" s="2">
        <v>42746</v>
      </c>
      <c r="AQ9287" t="s">
        <v>72</v>
      </c>
      <c r="AR9287" t="s">
        <v>72</v>
      </c>
      <c r="AS9287">
        <v>1798</v>
      </c>
      <c r="AT9287" s="4">
        <v>42566</v>
      </c>
      <c r="AV9287">
        <v>1798</v>
      </c>
      <c r="AW9287" s="4">
        <v>42566</v>
      </c>
      <c r="BD9287">
        <v>0</v>
      </c>
      <c r="BN9287" t="s">
        <v>74</v>
      </c>
    </row>
    <row r="9288" spans="1:66">
      <c r="A9288">
        <v>106638</v>
      </c>
      <c r="B9288" s="3" t="s">
        <v>836</v>
      </c>
      <c r="C9288" s="1">
        <v>43201231</v>
      </c>
      <c r="D9288" t="s">
        <v>461</v>
      </c>
      <c r="H9288" t="str">
        <f>"09315660960"</f>
        <v>09315660960</v>
      </c>
      <c r="I9288" t="str">
        <f>"09315660960"</f>
        <v>09315660960</v>
      </c>
      <c r="K9288" t="str">
        <f>""</f>
        <v/>
      </c>
      <c r="M9288" t="s">
        <v>68</v>
      </c>
      <c r="N9288" t="str">
        <f>"AZI"</f>
        <v>AZI</v>
      </c>
      <c r="O9288" t="s">
        <v>462</v>
      </c>
      <c r="P9288" s="3" t="s">
        <v>75</v>
      </c>
      <c r="Q9288">
        <v>2015</v>
      </c>
      <c r="R9288" s="2">
        <v>42229</v>
      </c>
      <c r="S9288" s="2">
        <v>42278</v>
      </c>
      <c r="T9288" s="2">
        <v>42277</v>
      </c>
      <c r="U9288" s="2">
        <v>42337</v>
      </c>
      <c r="V9288" t="s">
        <v>71</v>
      </c>
      <c r="W9288" t="str">
        <f>"        201500002044"</f>
        <v xml:space="preserve">        201500002044</v>
      </c>
      <c r="X9288" s="1">
        <v>2294.2199999999998</v>
      </c>
      <c r="Y9288">
        <v>0</v>
      </c>
      <c r="Z9288" s="5">
        <v>2294.2199999999998</v>
      </c>
      <c r="AA9288">
        <v>381</v>
      </c>
      <c r="AB9288" s="5">
        <v>874097.82</v>
      </c>
      <c r="AC9288" s="1">
        <v>2294.2199999999998</v>
      </c>
      <c r="AD9288">
        <v>381</v>
      </c>
      <c r="AE9288" s="1">
        <v>874097.82</v>
      </c>
      <c r="AF9288">
        <v>0</v>
      </c>
      <c r="AJ9288">
        <v>0</v>
      </c>
      <c r="AK9288">
        <v>0</v>
      </c>
      <c r="AL9288">
        <v>0</v>
      </c>
      <c r="AM9288">
        <v>0</v>
      </c>
      <c r="AN9288">
        <v>0</v>
      </c>
      <c r="AO9288">
        <v>0</v>
      </c>
      <c r="AP9288" s="2">
        <v>42746</v>
      </c>
      <c r="AQ9288" t="s">
        <v>72</v>
      </c>
      <c r="AR9288" t="s">
        <v>72</v>
      </c>
      <c r="AS9288">
        <v>3479</v>
      </c>
      <c r="AT9288" s="4">
        <v>42718</v>
      </c>
      <c r="AU9288" t="s">
        <v>73</v>
      </c>
      <c r="AV9288">
        <v>3479</v>
      </c>
      <c r="AW9288" s="4">
        <v>42718</v>
      </c>
      <c r="BD9288">
        <v>0</v>
      </c>
      <c r="BN9288" t="s">
        <v>74</v>
      </c>
    </row>
    <row r="9289" spans="1:66" hidden="1">
      <c r="A9289">
        <v>106638</v>
      </c>
      <c r="B9289" s="3" t="s">
        <v>836</v>
      </c>
      <c r="C9289" s="1">
        <v>43201231</v>
      </c>
      <c r="D9289" t="s">
        <v>461</v>
      </c>
      <c r="H9289" t="str">
        <f>"09315660960"</f>
        <v>09315660960</v>
      </c>
      <c r="I9289" t="str">
        <f>"09315660960"</f>
        <v>09315660960</v>
      </c>
      <c r="K9289" t="str">
        <f>""</f>
        <v/>
      </c>
      <c r="M9289" t="s">
        <v>68</v>
      </c>
      <c r="N9289" t="str">
        <f>"AZI"</f>
        <v>AZI</v>
      </c>
      <c r="O9289" t="s">
        <v>462</v>
      </c>
      <c r="P9289" s="3" t="s">
        <v>75</v>
      </c>
      <c r="Q9289">
        <v>2015</v>
      </c>
      <c r="R9289" s="2">
        <v>42291</v>
      </c>
      <c r="S9289" s="2">
        <v>42299</v>
      </c>
      <c r="T9289" s="2">
        <v>42299</v>
      </c>
      <c r="U9289" s="2">
        <v>42359</v>
      </c>
      <c r="V9289" t="s">
        <v>71</v>
      </c>
      <c r="W9289" t="str">
        <f>"        201500002501"</f>
        <v xml:space="preserve">        201500002501</v>
      </c>
      <c r="X9289">
        <v>370.93</v>
      </c>
      <c r="Y9289">
        <v>0</v>
      </c>
      <c r="Z9289"/>
      <c r="AB9289"/>
      <c r="AC9289">
        <v>370.93</v>
      </c>
      <c r="AD9289">
        <v>217</v>
      </c>
      <c r="AE9289" s="1">
        <v>80491.81</v>
      </c>
      <c r="AF9289">
        <v>0</v>
      </c>
      <c r="AJ9289">
        <v>0</v>
      </c>
      <c r="AK9289">
        <v>0</v>
      </c>
      <c r="AL9289">
        <v>0</v>
      </c>
      <c r="AM9289">
        <v>0</v>
      </c>
      <c r="AN9289">
        <v>0</v>
      </c>
      <c r="AO9289">
        <v>0</v>
      </c>
      <c r="AP9289" s="2">
        <v>42746</v>
      </c>
      <c r="AQ9289" t="s">
        <v>72</v>
      </c>
      <c r="AR9289" t="s">
        <v>72</v>
      </c>
      <c r="AS9289">
        <v>1900</v>
      </c>
      <c r="AT9289" s="4">
        <v>42576</v>
      </c>
      <c r="AU9289" t="s">
        <v>73</v>
      </c>
      <c r="AV9289">
        <v>1900</v>
      </c>
      <c r="AW9289" s="4">
        <v>42576</v>
      </c>
      <c r="BD9289">
        <v>0</v>
      </c>
      <c r="BN9289" t="s">
        <v>74</v>
      </c>
    </row>
    <row r="9290" spans="1:66">
      <c r="A9290">
        <v>106639</v>
      </c>
      <c r="B9290" s="3" t="s">
        <v>837</v>
      </c>
      <c r="C9290" s="1">
        <v>43201231</v>
      </c>
      <c r="D9290" t="s">
        <v>461</v>
      </c>
      <c r="H9290" t="str">
        <f>"00443370580"</f>
        <v>00443370580</v>
      </c>
      <c r="I9290" t="str">
        <f>"00894591007"</f>
        <v>00894591007</v>
      </c>
      <c r="K9290" t="str">
        <f>""</f>
        <v/>
      </c>
      <c r="M9290" t="s">
        <v>68</v>
      </c>
      <c r="N9290" t="str">
        <f>"AZI"</f>
        <v>AZI</v>
      </c>
      <c r="O9290" t="s">
        <v>462</v>
      </c>
      <c r="P9290" s="3" t="s">
        <v>75</v>
      </c>
      <c r="Q9290">
        <v>2016</v>
      </c>
      <c r="R9290" s="2">
        <v>42405</v>
      </c>
      <c r="S9290" s="2">
        <v>42408</v>
      </c>
      <c r="T9290" s="2">
        <v>42405</v>
      </c>
      <c r="U9290" s="2">
        <v>42465</v>
      </c>
      <c r="V9290" t="s">
        <v>71</v>
      </c>
      <c r="W9290" t="str">
        <f>"           13/700/BN"</f>
        <v xml:space="preserve">           13/700/BN</v>
      </c>
      <c r="X9290" s="1">
        <v>2409.59</v>
      </c>
      <c r="Y9290">
        <v>0</v>
      </c>
      <c r="Z9290" s="5">
        <v>2409.59</v>
      </c>
      <c r="AA9290">
        <v>217</v>
      </c>
      <c r="AB9290" s="5">
        <v>522881.03</v>
      </c>
      <c r="AC9290" s="1">
        <v>2409.59</v>
      </c>
      <c r="AD9290">
        <v>217</v>
      </c>
      <c r="AE9290" s="1">
        <v>522881.03</v>
      </c>
      <c r="AF9290">
        <v>0</v>
      </c>
      <c r="AJ9290">
        <v>0</v>
      </c>
      <c r="AK9290">
        <v>0</v>
      </c>
      <c r="AL9290">
        <v>0</v>
      </c>
      <c r="AM9290">
        <v>0</v>
      </c>
      <c r="AN9290" s="1">
        <v>2409.59</v>
      </c>
      <c r="AO9290" s="1">
        <v>2409.59</v>
      </c>
      <c r="AP9290" s="2">
        <v>42746</v>
      </c>
      <c r="AQ9290" t="s">
        <v>72</v>
      </c>
      <c r="AR9290" t="s">
        <v>72</v>
      </c>
      <c r="AS9290">
        <v>2948</v>
      </c>
      <c r="AT9290" s="4">
        <v>42682</v>
      </c>
      <c r="AU9290" t="s">
        <v>73</v>
      </c>
      <c r="AV9290">
        <v>2948</v>
      </c>
      <c r="AW9290" s="4">
        <v>42682</v>
      </c>
      <c r="BD9290">
        <v>0</v>
      </c>
      <c r="BN9290" t="s">
        <v>74</v>
      </c>
    </row>
    <row r="9291" spans="1:66">
      <c r="A9291">
        <v>106639</v>
      </c>
      <c r="B9291" s="3" t="s">
        <v>837</v>
      </c>
      <c r="C9291" s="1">
        <v>43201231</v>
      </c>
      <c r="D9291" t="s">
        <v>461</v>
      </c>
      <c r="H9291" t="str">
        <f>"00443370580"</f>
        <v>00443370580</v>
      </c>
      <c r="I9291" t="str">
        <f>"00894591007"</f>
        <v>00894591007</v>
      </c>
      <c r="K9291" t="str">
        <f>""</f>
        <v/>
      </c>
      <c r="M9291" t="s">
        <v>68</v>
      </c>
      <c r="N9291" t="str">
        <f>"AZI"</f>
        <v>AZI</v>
      </c>
      <c r="O9291" t="s">
        <v>462</v>
      </c>
      <c r="P9291" s="3" t="s">
        <v>75</v>
      </c>
      <c r="Q9291">
        <v>2016</v>
      </c>
      <c r="R9291" s="2">
        <v>42670</v>
      </c>
      <c r="S9291" s="2">
        <v>42671</v>
      </c>
      <c r="T9291" s="2">
        <v>42670</v>
      </c>
      <c r="U9291" s="2">
        <v>42730</v>
      </c>
      <c r="V9291" t="s">
        <v>71</v>
      </c>
      <c r="W9291" t="str">
        <f>"          111/700/BN"</f>
        <v xml:space="preserve">          111/700/BN</v>
      </c>
      <c r="X9291">
        <v>663.58</v>
      </c>
      <c r="Y9291">
        <v>0</v>
      </c>
      <c r="Z9291" s="3">
        <v>663.58</v>
      </c>
      <c r="AA9291">
        <v>-32</v>
      </c>
      <c r="AB9291" s="5">
        <v>-21234.560000000001</v>
      </c>
      <c r="AC9291">
        <v>663.58</v>
      </c>
      <c r="AD9291">
        <v>-32</v>
      </c>
      <c r="AE9291" s="1">
        <v>-21234.560000000001</v>
      </c>
      <c r="AF9291">
        <v>0</v>
      </c>
      <c r="AJ9291">
        <v>663.58</v>
      </c>
      <c r="AK9291">
        <v>663.58</v>
      </c>
      <c r="AL9291">
        <v>663.58</v>
      </c>
      <c r="AM9291">
        <v>663.58</v>
      </c>
      <c r="AN9291">
        <v>663.58</v>
      </c>
      <c r="AO9291">
        <v>663.58</v>
      </c>
      <c r="AP9291" s="2">
        <v>42746</v>
      </c>
      <c r="AQ9291" t="s">
        <v>72</v>
      </c>
      <c r="AR9291" t="s">
        <v>72</v>
      </c>
      <c r="AS9291">
        <v>3308</v>
      </c>
      <c r="AT9291" s="4">
        <v>42698</v>
      </c>
      <c r="AV9291">
        <v>3308</v>
      </c>
      <c r="AW9291" s="4">
        <v>42698</v>
      </c>
      <c r="BD9291">
        <v>0</v>
      </c>
      <c r="BN9291" t="s">
        <v>74</v>
      </c>
    </row>
    <row r="9292" spans="1:66" hidden="1">
      <c r="A9292">
        <v>106641</v>
      </c>
      <c r="B9292" s="3" t="s">
        <v>838</v>
      </c>
      <c r="C9292" s="1">
        <v>43500101</v>
      </c>
      <c r="D9292" t="s">
        <v>113</v>
      </c>
      <c r="H9292" t="str">
        <f t="shared" ref="H9292:H9299" si="976">"PLMPLA70T17A783C"</f>
        <v>PLMPLA70T17A783C</v>
      </c>
      <c r="I9292" t="str">
        <f t="shared" ref="I9292:I9299" si="977">"01067510626"</f>
        <v>01067510626</v>
      </c>
      <c r="K9292" t="str">
        <f>""</f>
        <v/>
      </c>
      <c r="M9292" t="s">
        <v>68</v>
      </c>
      <c r="N9292" t="str">
        <f t="shared" ref="N9292:N9303" si="978">"ALTPRO"</f>
        <v>ALTPRO</v>
      </c>
      <c r="O9292" t="s">
        <v>132</v>
      </c>
      <c r="P9292" s="3" t="s">
        <v>146</v>
      </c>
      <c r="Q9292">
        <v>2016</v>
      </c>
      <c r="R9292" s="2">
        <v>42529</v>
      </c>
      <c r="S9292" s="2">
        <v>42534</v>
      </c>
      <c r="T9292" s="2">
        <v>42529</v>
      </c>
      <c r="U9292" s="2">
        <v>42589</v>
      </c>
      <c r="V9292" t="s">
        <v>71</v>
      </c>
      <c r="W9292" t="str">
        <f>"                 2PA"</f>
        <v xml:space="preserve">                 2PA</v>
      </c>
      <c r="X9292" s="1">
        <v>3083.18</v>
      </c>
      <c r="Y9292">
        <v>-486</v>
      </c>
      <c r="Z9292"/>
      <c r="AB9292"/>
      <c r="AC9292" s="1">
        <v>2597.1799999999998</v>
      </c>
      <c r="AD9292">
        <v>-37</v>
      </c>
      <c r="AE9292" s="1">
        <v>-96095.66</v>
      </c>
      <c r="AF9292">
        <v>0</v>
      </c>
      <c r="AJ9292">
        <v>0</v>
      </c>
      <c r="AK9292">
        <v>0</v>
      </c>
      <c r="AL9292">
        <v>0</v>
      </c>
      <c r="AM9292" s="1">
        <v>2597.1799999999998</v>
      </c>
      <c r="AN9292" s="1">
        <v>2597.1799999999998</v>
      </c>
      <c r="AO9292" s="1">
        <v>2597.1799999999998</v>
      </c>
      <c r="AP9292" s="2">
        <v>42746</v>
      </c>
      <c r="AQ9292" t="s">
        <v>72</v>
      </c>
      <c r="AR9292" t="s">
        <v>72</v>
      </c>
      <c r="AS9292">
        <v>1650</v>
      </c>
      <c r="AT9292" s="4">
        <v>42552</v>
      </c>
      <c r="AV9292">
        <v>1650</v>
      </c>
      <c r="AW9292" s="4">
        <v>42552</v>
      </c>
      <c r="BD9292">
        <v>0</v>
      </c>
      <c r="BN9292" t="s">
        <v>74</v>
      </c>
    </row>
    <row r="9293" spans="1:66" hidden="1">
      <c r="A9293">
        <v>106641</v>
      </c>
      <c r="B9293" s="3" t="s">
        <v>838</v>
      </c>
      <c r="C9293" s="1">
        <v>43500101</v>
      </c>
      <c r="D9293" t="s">
        <v>113</v>
      </c>
      <c r="H9293" t="str">
        <f t="shared" si="976"/>
        <v>PLMPLA70T17A783C</v>
      </c>
      <c r="I9293" t="str">
        <f t="shared" si="977"/>
        <v>01067510626</v>
      </c>
      <c r="K9293" t="str">
        <f>""</f>
        <v/>
      </c>
      <c r="M9293" t="s">
        <v>68</v>
      </c>
      <c r="N9293" t="str">
        <f t="shared" si="978"/>
        <v>ALTPRO</v>
      </c>
      <c r="O9293" t="s">
        <v>132</v>
      </c>
      <c r="P9293" s="3" t="s">
        <v>146</v>
      </c>
      <c r="Q9293">
        <v>2016</v>
      </c>
      <c r="R9293" s="2">
        <v>42531</v>
      </c>
      <c r="S9293" s="2">
        <v>42534</v>
      </c>
      <c r="T9293" s="2">
        <v>42531</v>
      </c>
      <c r="U9293" s="2">
        <v>42591</v>
      </c>
      <c r="V9293" t="s">
        <v>71</v>
      </c>
      <c r="W9293" t="str">
        <f>"                 3PA"</f>
        <v xml:space="preserve">                 3PA</v>
      </c>
      <c r="X9293" s="1">
        <v>1903.2</v>
      </c>
      <c r="Y9293">
        <v>-300</v>
      </c>
      <c r="Z9293"/>
      <c r="AB9293"/>
      <c r="AC9293" s="1">
        <v>1603.2</v>
      </c>
      <c r="AD9293">
        <v>-25</v>
      </c>
      <c r="AE9293" s="1">
        <v>-40080</v>
      </c>
      <c r="AF9293">
        <v>0</v>
      </c>
      <c r="AJ9293">
        <v>0</v>
      </c>
      <c r="AK9293">
        <v>0</v>
      </c>
      <c r="AL9293">
        <v>0</v>
      </c>
      <c r="AM9293" s="1">
        <v>1603.2</v>
      </c>
      <c r="AN9293" s="1">
        <v>1603.2</v>
      </c>
      <c r="AO9293" s="1">
        <v>1603.2</v>
      </c>
      <c r="AP9293" s="2">
        <v>42746</v>
      </c>
      <c r="AQ9293" t="s">
        <v>72</v>
      </c>
      <c r="AR9293" t="s">
        <v>72</v>
      </c>
      <c r="AS9293">
        <v>1774</v>
      </c>
      <c r="AT9293" s="4">
        <v>42566</v>
      </c>
      <c r="AV9293">
        <v>1774</v>
      </c>
      <c r="AW9293" s="4">
        <v>42566</v>
      </c>
      <c r="BD9293">
        <v>0</v>
      </c>
      <c r="BN9293" t="s">
        <v>74</v>
      </c>
    </row>
    <row r="9294" spans="1:66" hidden="1">
      <c r="A9294">
        <v>106641</v>
      </c>
      <c r="B9294" s="3" t="s">
        <v>838</v>
      </c>
      <c r="C9294" s="1">
        <v>43500101</v>
      </c>
      <c r="D9294" t="s">
        <v>113</v>
      </c>
      <c r="H9294" t="str">
        <f t="shared" si="976"/>
        <v>PLMPLA70T17A783C</v>
      </c>
      <c r="I9294" t="str">
        <f t="shared" si="977"/>
        <v>01067510626</v>
      </c>
      <c r="K9294" t="str">
        <f>""</f>
        <v/>
      </c>
      <c r="M9294" t="s">
        <v>68</v>
      </c>
      <c r="N9294" t="str">
        <f t="shared" si="978"/>
        <v>ALTPRO</v>
      </c>
      <c r="O9294" t="s">
        <v>132</v>
      </c>
      <c r="P9294" s="3" t="s">
        <v>146</v>
      </c>
      <c r="Q9294">
        <v>2016</v>
      </c>
      <c r="R9294" s="2">
        <v>42555</v>
      </c>
      <c r="S9294" s="2">
        <v>42557</v>
      </c>
      <c r="T9294" s="2">
        <v>42555</v>
      </c>
      <c r="U9294" s="2">
        <v>42615</v>
      </c>
      <c r="V9294" t="s">
        <v>71</v>
      </c>
      <c r="W9294" t="str">
        <f>"                 5PA"</f>
        <v xml:space="preserve">                 5PA</v>
      </c>
      <c r="X9294" s="1">
        <v>1255.94</v>
      </c>
      <c r="Y9294">
        <v>-197.97</v>
      </c>
      <c r="Z9294"/>
      <c r="AB9294"/>
      <c r="AC9294" s="1">
        <v>1057.97</v>
      </c>
      <c r="AD9294">
        <v>-49</v>
      </c>
      <c r="AE9294" s="1">
        <v>-51840.53</v>
      </c>
      <c r="AF9294">
        <v>0</v>
      </c>
      <c r="AJ9294">
        <v>0</v>
      </c>
      <c r="AK9294">
        <v>0</v>
      </c>
      <c r="AL9294">
        <v>0</v>
      </c>
      <c r="AM9294" s="1">
        <v>1057.97</v>
      </c>
      <c r="AN9294" s="1">
        <v>1057.97</v>
      </c>
      <c r="AO9294" s="1">
        <v>1057.97</v>
      </c>
      <c r="AP9294" s="2">
        <v>42746</v>
      </c>
      <c r="AQ9294" t="s">
        <v>72</v>
      </c>
      <c r="AR9294" t="s">
        <v>72</v>
      </c>
      <c r="AS9294">
        <v>1774</v>
      </c>
      <c r="AT9294" s="4">
        <v>42566</v>
      </c>
      <c r="AV9294">
        <v>1774</v>
      </c>
      <c r="AW9294" s="4">
        <v>42566</v>
      </c>
      <c r="BD9294">
        <v>0</v>
      </c>
      <c r="BN9294" t="s">
        <v>74</v>
      </c>
    </row>
    <row r="9295" spans="1:66" hidden="1">
      <c r="A9295">
        <v>106641</v>
      </c>
      <c r="B9295" s="3" t="s">
        <v>838</v>
      </c>
      <c r="C9295" s="1">
        <v>43500101</v>
      </c>
      <c r="D9295" t="s">
        <v>113</v>
      </c>
      <c r="H9295" t="str">
        <f t="shared" si="976"/>
        <v>PLMPLA70T17A783C</v>
      </c>
      <c r="I9295" t="str">
        <f t="shared" si="977"/>
        <v>01067510626</v>
      </c>
      <c r="K9295" t="str">
        <f>""</f>
        <v/>
      </c>
      <c r="M9295" t="s">
        <v>68</v>
      </c>
      <c r="N9295" t="str">
        <f t="shared" si="978"/>
        <v>ALTPRO</v>
      </c>
      <c r="O9295" t="s">
        <v>132</v>
      </c>
      <c r="P9295" s="3" t="s">
        <v>146</v>
      </c>
      <c r="Q9295">
        <v>2016</v>
      </c>
      <c r="R9295" s="2">
        <v>42585</v>
      </c>
      <c r="S9295" s="2">
        <v>42585</v>
      </c>
      <c r="T9295" s="2">
        <v>42585</v>
      </c>
      <c r="U9295" s="2">
        <v>42645</v>
      </c>
      <c r="V9295" t="s">
        <v>71</v>
      </c>
      <c r="W9295" t="str">
        <f>"                 6PA"</f>
        <v xml:space="preserve">                 6PA</v>
      </c>
      <c r="X9295" s="1">
        <v>1059.3699999999999</v>
      </c>
      <c r="Y9295">
        <v>-166.99</v>
      </c>
      <c r="Z9295"/>
      <c r="AB9295"/>
      <c r="AC9295">
        <v>892.38</v>
      </c>
      <c r="AD9295">
        <v>-27</v>
      </c>
      <c r="AE9295" s="1">
        <v>-24094.26</v>
      </c>
      <c r="AF9295">
        <v>0</v>
      </c>
      <c r="AJ9295">
        <v>0</v>
      </c>
      <c r="AK9295">
        <v>0</v>
      </c>
      <c r="AL9295">
        <v>0</v>
      </c>
      <c r="AM9295">
        <v>892.38</v>
      </c>
      <c r="AN9295">
        <v>892.38</v>
      </c>
      <c r="AO9295">
        <v>892.38</v>
      </c>
      <c r="AP9295" s="2">
        <v>42746</v>
      </c>
      <c r="AQ9295" t="s">
        <v>72</v>
      </c>
      <c r="AR9295" t="s">
        <v>72</v>
      </c>
      <c r="AS9295">
        <v>2252</v>
      </c>
      <c r="AT9295" s="4">
        <v>42618</v>
      </c>
      <c r="AV9295">
        <v>2252</v>
      </c>
      <c r="AW9295" s="4">
        <v>42618</v>
      </c>
      <c r="BD9295">
        <v>0</v>
      </c>
      <c r="BN9295" t="s">
        <v>74</v>
      </c>
    </row>
    <row r="9296" spans="1:66" hidden="1">
      <c r="A9296">
        <v>106641</v>
      </c>
      <c r="B9296" s="3" t="s">
        <v>838</v>
      </c>
      <c r="C9296" s="1">
        <v>43500101</v>
      </c>
      <c r="D9296" t="s">
        <v>113</v>
      </c>
      <c r="H9296" t="str">
        <f t="shared" si="976"/>
        <v>PLMPLA70T17A783C</v>
      </c>
      <c r="I9296" t="str">
        <f t="shared" si="977"/>
        <v>01067510626</v>
      </c>
      <c r="K9296" t="str">
        <f>""</f>
        <v/>
      </c>
      <c r="M9296" t="s">
        <v>68</v>
      </c>
      <c r="N9296" t="str">
        <f t="shared" si="978"/>
        <v>ALTPRO</v>
      </c>
      <c r="O9296" t="s">
        <v>132</v>
      </c>
      <c r="P9296" s="3" t="s">
        <v>146</v>
      </c>
      <c r="Q9296">
        <v>2016</v>
      </c>
      <c r="R9296" s="2">
        <v>42614</v>
      </c>
      <c r="S9296" s="2">
        <v>42618</v>
      </c>
      <c r="T9296" s="2">
        <v>42614</v>
      </c>
      <c r="U9296" s="2">
        <v>42674</v>
      </c>
      <c r="V9296" t="s">
        <v>71</v>
      </c>
      <c r="W9296" t="str">
        <f>"                 7PA"</f>
        <v xml:space="preserve">                 7PA</v>
      </c>
      <c r="X9296" s="1">
        <v>1310.56</v>
      </c>
      <c r="Y9296">
        <v>-206.58</v>
      </c>
      <c r="Z9296"/>
      <c r="AB9296"/>
      <c r="AC9296" s="1">
        <v>1103.98</v>
      </c>
      <c r="AD9296">
        <v>-56</v>
      </c>
      <c r="AE9296" s="1">
        <v>-61822.879999999997</v>
      </c>
      <c r="AF9296">
        <v>0</v>
      </c>
      <c r="AJ9296">
        <v>0</v>
      </c>
      <c r="AK9296">
        <v>0</v>
      </c>
      <c r="AL9296">
        <v>0</v>
      </c>
      <c r="AM9296" s="1">
        <v>1103.98</v>
      </c>
      <c r="AN9296" s="1">
        <v>1103.98</v>
      </c>
      <c r="AO9296" s="1">
        <v>1103.98</v>
      </c>
      <c r="AP9296" s="2">
        <v>42746</v>
      </c>
      <c r="AQ9296" t="s">
        <v>72</v>
      </c>
      <c r="AR9296" t="s">
        <v>72</v>
      </c>
      <c r="AS9296">
        <v>2252</v>
      </c>
      <c r="AT9296" s="4">
        <v>42618</v>
      </c>
      <c r="AV9296">
        <v>2252</v>
      </c>
      <c r="AW9296" s="4">
        <v>42618</v>
      </c>
      <c r="BD9296">
        <v>0</v>
      </c>
      <c r="BN9296" t="s">
        <v>74</v>
      </c>
    </row>
    <row r="9297" spans="1:66">
      <c r="A9297">
        <v>106641</v>
      </c>
      <c r="B9297" s="3" t="s">
        <v>838</v>
      </c>
      <c r="C9297" s="1">
        <v>43500101</v>
      </c>
      <c r="D9297" t="s">
        <v>113</v>
      </c>
      <c r="H9297" t="str">
        <f t="shared" si="976"/>
        <v>PLMPLA70T17A783C</v>
      </c>
      <c r="I9297" t="str">
        <f t="shared" si="977"/>
        <v>01067510626</v>
      </c>
      <c r="K9297" t="str">
        <f>""</f>
        <v/>
      </c>
      <c r="M9297" t="s">
        <v>68</v>
      </c>
      <c r="N9297" t="str">
        <f t="shared" si="978"/>
        <v>ALTPRO</v>
      </c>
      <c r="O9297" t="s">
        <v>132</v>
      </c>
      <c r="P9297" s="3" t="s">
        <v>146</v>
      </c>
      <c r="Q9297">
        <v>2016</v>
      </c>
      <c r="R9297" s="2">
        <v>42647</v>
      </c>
      <c r="S9297" s="2">
        <v>42647</v>
      </c>
      <c r="T9297" s="2">
        <v>42647</v>
      </c>
      <c r="U9297" s="2">
        <v>42707</v>
      </c>
      <c r="V9297" t="s">
        <v>71</v>
      </c>
      <c r="W9297" t="str">
        <f>"                 8PA"</f>
        <v xml:space="preserve">                 8PA</v>
      </c>
      <c r="X9297" s="1">
        <v>1310.56</v>
      </c>
      <c r="Y9297">
        <v>-206.58</v>
      </c>
      <c r="Z9297" s="5">
        <v>1103.98</v>
      </c>
      <c r="AA9297">
        <v>-10</v>
      </c>
      <c r="AB9297" s="5">
        <v>-11039.8</v>
      </c>
      <c r="AC9297" s="1">
        <v>1103.98</v>
      </c>
      <c r="AD9297">
        <v>-10</v>
      </c>
      <c r="AE9297" s="1">
        <v>-11039.8</v>
      </c>
      <c r="AF9297">
        <v>0</v>
      </c>
      <c r="AJ9297" s="1">
        <v>1103.98</v>
      </c>
      <c r="AK9297" s="1">
        <v>1103.98</v>
      </c>
      <c r="AL9297" s="1">
        <v>1103.98</v>
      </c>
      <c r="AM9297" s="1">
        <v>1103.98</v>
      </c>
      <c r="AN9297" s="1">
        <v>1103.98</v>
      </c>
      <c r="AO9297" s="1">
        <v>1103.98</v>
      </c>
      <c r="AP9297" s="2">
        <v>42746</v>
      </c>
      <c r="AQ9297" t="s">
        <v>72</v>
      </c>
      <c r="AR9297" t="s">
        <v>72</v>
      </c>
      <c r="AS9297">
        <v>3287</v>
      </c>
      <c r="AT9297" s="4">
        <v>42697</v>
      </c>
      <c r="AV9297">
        <v>3287</v>
      </c>
      <c r="AW9297" s="4">
        <v>42697</v>
      </c>
      <c r="BD9297">
        <v>0</v>
      </c>
      <c r="BN9297" t="s">
        <v>74</v>
      </c>
    </row>
    <row r="9298" spans="1:66">
      <c r="A9298">
        <v>106641</v>
      </c>
      <c r="B9298" s="3" t="s">
        <v>838</v>
      </c>
      <c r="C9298" s="1">
        <v>43500101</v>
      </c>
      <c r="D9298" t="s">
        <v>113</v>
      </c>
      <c r="H9298" t="str">
        <f t="shared" si="976"/>
        <v>PLMPLA70T17A783C</v>
      </c>
      <c r="I9298" t="str">
        <f t="shared" si="977"/>
        <v>01067510626</v>
      </c>
      <c r="K9298" t="str">
        <f>""</f>
        <v/>
      </c>
      <c r="M9298" t="s">
        <v>68</v>
      </c>
      <c r="N9298" t="str">
        <f t="shared" si="978"/>
        <v>ALTPRO</v>
      </c>
      <c r="O9298" t="s">
        <v>132</v>
      </c>
      <c r="P9298" s="3" t="s">
        <v>146</v>
      </c>
      <c r="Q9298">
        <v>2016</v>
      </c>
      <c r="R9298" s="2">
        <v>42674</v>
      </c>
      <c r="S9298" s="2">
        <v>42676</v>
      </c>
      <c r="T9298" s="2">
        <v>42674</v>
      </c>
      <c r="U9298" s="2">
        <v>42734</v>
      </c>
      <c r="V9298" t="s">
        <v>71</v>
      </c>
      <c r="W9298" t="str">
        <f>"                10PA"</f>
        <v xml:space="preserve">                10PA</v>
      </c>
      <c r="X9298" s="1">
        <v>1310.56</v>
      </c>
      <c r="Y9298">
        <v>-206.58</v>
      </c>
      <c r="Z9298" s="5">
        <v>1103.98</v>
      </c>
      <c r="AA9298">
        <v>-37</v>
      </c>
      <c r="AB9298" s="5">
        <v>-40847.26</v>
      </c>
      <c r="AC9298" s="1">
        <v>1103.98</v>
      </c>
      <c r="AD9298">
        <v>-37</v>
      </c>
      <c r="AE9298" s="1">
        <v>-40847.26</v>
      </c>
      <c r="AF9298">
        <v>0</v>
      </c>
      <c r="AJ9298" s="1">
        <v>1103.98</v>
      </c>
      <c r="AK9298" s="1">
        <v>1103.98</v>
      </c>
      <c r="AL9298" s="1">
        <v>1103.98</v>
      </c>
      <c r="AM9298" s="1">
        <v>1103.98</v>
      </c>
      <c r="AN9298" s="1">
        <v>1103.98</v>
      </c>
      <c r="AO9298" s="1">
        <v>1103.98</v>
      </c>
      <c r="AP9298" s="2">
        <v>42746</v>
      </c>
      <c r="AQ9298" t="s">
        <v>72</v>
      </c>
      <c r="AR9298" t="s">
        <v>72</v>
      </c>
      <c r="AS9298">
        <v>3287</v>
      </c>
      <c r="AT9298" s="4">
        <v>42697</v>
      </c>
      <c r="AV9298">
        <v>3287</v>
      </c>
      <c r="AW9298" s="4">
        <v>42697</v>
      </c>
      <c r="BD9298">
        <v>0</v>
      </c>
      <c r="BN9298" t="s">
        <v>74</v>
      </c>
    </row>
    <row r="9299" spans="1:66">
      <c r="A9299">
        <v>106641</v>
      </c>
      <c r="B9299" s="3" t="s">
        <v>838</v>
      </c>
      <c r="C9299" s="1">
        <v>43500101</v>
      </c>
      <c r="D9299" t="s">
        <v>113</v>
      </c>
      <c r="H9299" t="str">
        <f t="shared" si="976"/>
        <v>PLMPLA70T17A783C</v>
      </c>
      <c r="I9299" t="str">
        <f t="shared" si="977"/>
        <v>01067510626</v>
      </c>
      <c r="K9299" t="str">
        <f>""</f>
        <v/>
      </c>
      <c r="M9299" t="s">
        <v>68</v>
      </c>
      <c r="N9299" t="str">
        <f t="shared" si="978"/>
        <v>ALTPRO</v>
      </c>
      <c r="O9299" t="s">
        <v>132</v>
      </c>
      <c r="P9299" s="3" t="s">
        <v>146</v>
      </c>
      <c r="Q9299">
        <v>2016</v>
      </c>
      <c r="R9299" s="2">
        <v>42705</v>
      </c>
      <c r="S9299" s="2">
        <v>42706</v>
      </c>
      <c r="T9299" s="2">
        <v>42705</v>
      </c>
      <c r="U9299" s="2">
        <v>42765</v>
      </c>
      <c r="V9299" t="s">
        <v>71</v>
      </c>
      <c r="W9299" t="str">
        <f>"                12PA"</f>
        <v xml:space="preserve">                12PA</v>
      </c>
      <c r="X9299" s="1">
        <v>1310.56</v>
      </c>
      <c r="Y9299">
        <v>-206.58</v>
      </c>
      <c r="Z9299" s="5">
        <v>1103.98</v>
      </c>
      <c r="AA9299">
        <v>-56</v>
      </c>
      <c r="AB9299" s="5">
        <v>-61822.879999999997</v>
      </c>
      <c r="AC9299" s="1">
        <v>1103.98</v>
      </c>
      <c r="AD9299">
        <v>-56</v>
      </c>
      <c r="AE9299" s="1">
        <v>-61822.879999999997</v>
      </c>
      <c r="AF9299">
        <v>0</v>
      </c>
      <c r="AJ9299" s="1">
        <v>1103.98</v>
      </c>
      <c r="AK9299" s="1">
        <v>1103.98</v>
      </c>
      <c r="AL9299" s="1">
        <v>1103.98</v>
      </c>
      <c r="AM9299" s="1">
        <v>1103.98</v>
      </c>
      <c r="AN9299" s="1">
        <v>1103.98</v>
      </c>
      <c r="AO9299" s="1">
        <v>1103.98</v>
      </c>
      <c r="AP9299" s="2">
        <v>42746</v>
      </c>
      <c r="AQ9299" t="s">
        <v>72</v>
      </c>
      <c r="AR9299" t="s">
        <v>72</v>
      </c>
      <c r="AS9299">
        <v>3320</v>
      </c>
      <c r="AT9299" s="4">
        <v>42709</v>
      </c>
      <c r="AV9299">
        <v>3320</v>
      </c>
      <c r="AW9299" s="4">
        <v>42709</v>
      </c>
      <c r="BD9299">
        <v>0</v>
      </c>
      <c r="BN9299" t="s">
        <v>74</v>
      </c>
    </row>
    <row r="9300" spans="1:66" hidden="1">
      <c r="A9300">
        <v>106642</v>
      </c>
      <c r="B9300" s="3" t="s">
        <v>839</v>
      </c>
      <c r="C9300" s="1">
        <v>43500101</v>
      </c>
      <c r="D9300" t="s">
        <v>113</v>
      </c>
      <c r="H9300" t="str">
        <f>"PTRRNN80S62E919N"</f>
        <v>PTRRNN80S62E919N</v>
      </c>
      <c r="I9300" t="str">
        <f>"03385160787"</f>
        <v>03385160787</v>
      </c>
      <c r="K9300" t="str">
        <f>""</f>
        <v/>
      </c>
      <c r="M9300" t="s">
        <v>68</v>
      </c>
      <c r="N9300" t="str">
        <f t="shared" si="978"/>
        <v>ALTPRO</v>
      </c>
      <c r="O9300" t="s">
        <v>132</v>
      </c>
      <c r="P9300" s="3" t="s">
        <v>75</v>
      </c>
      <c r="Q9300">
        <v>2016</v>
      </c>
      <c r="R9300" s="2">
        <v>42381</v>
      </c>
      <c r="S9300" s="2">
        <v>42382</v>
      </c>
      <c r="T9300" s="2">
        <v>42381</v>
      </c>
      <c r="U9300" s="2">
        <v>42441</v>
      </c>
      <c r="V9300" t="s">
        <v>71</v>
      </c>
      <c r="W9300" t="str">
        <f>"         FATTPA 1_16"</f>
        <v xml:space="preserve">         FATTPA 1_16</v>
      </c>
      <c r="X9300" s="1">
        <v>3502</v>
      </c>
      <c r="Y9300">
        <v>0</v>
      </c>
      <c r="Z9300"/>
      <c r="AB9300"/>
      <c r="AC9300" s="1">
        <v>3502</v>
      </c>
      <c r="AD9300">
        <v>-44</v>
      </c>
      <c r="AE9300" s="1">
        <v>-154088</v>
      </c>
      <c r="AF9300">
        <v>0</v>
      </c>
      <c r="AJ9300">
        <v>0</v>
      </c>
      <c r="AK9300">
        <v>0</v>
      </c>
      <c r="AL9300">
        <v>0</v>
      </c>
      <c r="AM9300" s="1">
        <v>3502</v>
      </c>
      <c r="AN9300" s="1">
        <v>3502</v>
      </c>
      <c r="AO9300" s="1">
        <v>3502</v>
      </c>
      <c r="AP9300" s="2">
        <v>42746</v>
      </c>
      <c r="AQ9300" t="s">
        <v>72</v>
      </c>
      <c r="AR9300" t="s">
        <v>72</v>
      </c>
      <c r="AS9300">
        <v>149</v>
      </c>
      <c r="AT9300" s="4">
        <v>42397</v>
      </c>
      <c r="AV9300">
        <v>149</v>
      </c>
      <c r="AW9300" s="4">
        <v>42397</v>
      </c>
      <c r="BD9300">
        <v>0</v>
      </c>
      <c r="BN9300" t="s">
        <v>74</v>
      </c>
    </row>
    <row r="9301" spans="1:66" hidden="1">
      <c r="A9301">
        <v>106642</v>
      </c>
      <c r="B9301" s="3" t="s">
        <v>839</v>
      </c>
      <c r="C9301" s="1">
        <v>43500101</v>
      </c>
      <c r="D9301" t="s">
        <v>113</v>
      </c>
      <c r="H9301" t="str">
        <f>"PTRRNN80S62E919N"</f>
        <v>PTRRNN80S62E919N</v>
      </c>
      <c r="I9301" t="str">
        <f>"03385160787"</f>
        <v>03385160787</v>
      </c>
      <c r="K9301" t="str">
        <f>""</f>
        <v/>
      </c>
      <c r="M9301" t="s">
        <v>68</v>
      </c>
      <c r="N9301" t="str">
        <f t="shared" si="978"/>
        <v>ALTPRO</v>
      </c>
      <c r="O9301" t="s">
        <v>132</v>
      </c>
      <c r="P9301" s="3" t="s">
        <v>75</v>
      </c>
      <c r="Q9301">
        <v>2016</v>
      </c>
      <c r="R9301" s="2">
        <v>42464</v>
      </c>
      <c r="S9301" s="2">
        <v>42465</v>
      </c>
      <c r="T9301" s="2">
        <v>42464</v>
      </c>
      <c r="U9301" s="2">
        <v>42524</v>
      </c>
      <c r="V9301" t="s">
        <v>71</v>
      </c>
      <c r="W9301" t="str">
        <f>"         FATTPA 2_16"</f>
        <v xml:space="preserve">         FATTPA 2_16</v>
      </c>
      <c r="X9301" s="1">
        <v>3502</v>
      </c>
      <c r="Y9301">
        <v>0</v>
      </c>
      <c r="Z9301"/>
      <c r="AB9301"/>
      <c r="AC9301" s="1">
        <v>3502</v>
      </c>
      <c r="AD9301">
        <v>-37</v>
      </c>
      <c r="AE9301" s="1">
        <v>-129574</v>
      </c>
      <c r="AF9301">
        <v>0</v>
      </c>
      <c r="AJ9301">
        <v>0</v>
      </c>
      <c r="AK9301">
        <v>0</v>
      </c>
      <c r="AL9301">
        <v>0</v>
      </c>
      <c r="AM9301" s="1">
        <v>3502</v>
      </c>
      <c r="AN9301" s="1">
        <v>3502</v>
      </c>
      <c r="AO9301" s="1">
        <v>3502</v>
      </c>
      <c r="AP9301" s="2">
        <v>42746</v>
      </c>
      <c r="AQ9301" t="s">
        <v>72</v>
      </c>
      <c r="AR9301" t="s">
        <v>72</v>
      </c>
      <c r="AS9301">
        <v>1138</v>
      </c>
      <c r="AT9301" s="4">
        <v>42487</v>
      </c>
      <c r="AV9301">
        <v>1138</v>
      </c>
      <c r="AW9301" s="4">
        <v>42487</v>
      </c>
      <c r="BD9301">
        <v>0</v>
      </c>
      <c r="BN9301" t="s">
        <v>74</v>
      </c>
    </row>
    <row r="9302" spans="1:66" hidden="1">
      <c r="A9302">
        <v>106642</v>
      </c>
      <c r="B9302" s="3" t="s">
        <v>839</v>
      </c>
      <c r="C9302" s="1">
        <v>43500101</v>
      </c>
      <c r="D9302" t="s">
        <v>113</v>
      </c>
      <c r="H9302" t="str">
        <f>"PTRRNN80S62E919N"</f>
        <v>PTRRNN80S62E919N</v>
      </c>
      <c r="I9302" t="str">
        <f>"03385160787"</f>
        <v>03385160787</v>
      </c>
      <c r="K9302" t="str">
        <f>""</f>
        <v/>
      </c>
      <c r="M9302" t="s">
        <v>68</v>
      </c>
      <c r="N9302" t="str">
        <f t="shared" si="978"/>
        <v>ALTPRO</v>
      </c>
      <c r="O9302" t="s">
        <v>132</v>
      </c>
      <c r="P9302" s="3" t="s">
        <v>75</v>
      </c>
      <c r="Q9302">
        <v>2016</v>
      </c>
      <c r="R9302" s="2">
        <v>42551</v>
      </c>
      <c r="S9302" s="2">
        <v>42552</v>
      </c>
      <c r="T9302" s="2">
        <v>42551</v>
      </c>
      <c r="U9302" s="2">
        <v>42611</v>
      </c>
      <c r="V9302" t="s">
        <v>71</v>
      </c>
      <c r="W9302" t="str">
        <f>"         FATTPA 3_16"</f>
        <v xml:space="preserve">         FATTPA 3_16</v>
      </c>
      <c r="X9302" s="1">
        <v>3502</v>
      </c>
      <c r="Y9302">
        <v>0</v>
      </c>
      <c r="Z9302"/>
      <c r="AB9302"/>
      <c r="AC9302" s="1">
        <v>3502</v>
      </c>
      <c r="AD9302">
        <v>-45</v>
      </c>
      <c r="AE9302" s="1">
        <v>-157590</v>
      </c>
      <c r="AF9302">
        <v>0</v>
      </c>
      <c r="AJ9302">
        <v>0</v>
      </c>
      <c r="AK9302">
        <v>0</v>
      </c>
      <c r="AL9302">
        <v>0</v>
      </c>
      <c r="AM9302" s="1">
        <v>3502</v>
      </c>
      <c r="AN9302" s="1">
        <v>3502</v>
      </c>
      <c r="AO9302" s="1">
        <v>3502</v>
      </c>
      <c r="AP9302" s="2">
        <v>42746</v>
      </c>
      <c r="AQ9302" t="s">
        <v>72</v>
      </c>
      <c r="AR9302" t="s">
        <v>72</v>
      </c>
      <c r="AS9302">
        <v>1804</v>
      </c>
      <c r="AT9302" s="4">
        <v>42566</v>
      </c>
      <c r="AV9302">
        <v>1804</v>
      </c>
      <c r="AW9302" s="4">
        <v>42566</v>
      </c>
      <c r="BD9302">
        <v>0</v>
      </c>
      <c r="BN9302" t="s">
        <v>74</v>
      </c>
    </row>
    <row r="9303" spans="1:66">
      <c r="A9303">
        <v>106642</v>
      </c>
      <c r="B9303" s="3" t="s">
        <v>839</v>
      </c>
      <c r="C9303" s="1">
        <v>43500101</v>
      </c>
      <c r="D9303" t="s">
        <v>113</v>
      </c>
      <c r="H9303" t="str">
        <f>"PTRRNN80S62E919N"</f>
        <v>PTRRNN80S62E919N</v>
      </c>
      <c r="I9303" t="str">
        <f>"03385160787"</f>
        <v>03385160787</v>
      </c>
      <c r="K9303" t="str">
        <f>""</f>
        <v/>
      </c>
      <c r="M9303" t="s">
        <v>68</v>
      </c>
      <c r="N9303" t="str">
        <f t="shared" si="978"/>
        <v>ALTPRO</v>
      </c>
      <c r="O9303" t="s">
        <v>132</v>
      </c>
      <c r="P9303" s="3" t="s">
        <v>75</v>
      </c>
      <c r="Q9303">
        <v>2016</v>
      </c>
      <c r="R9303" s="2">
        <v>42657</v>
      </c>
      <c r="S9303" s="2">
        <v>42660</v>
      </c>
      <c r="T9303" s="2">
        <v>42657</v>
      </c>
      <c r="U9303" s="2">
        <v>42717</v>
      </c>
      <c r="V9303" t="s">
        <v>71</v>
      </c>
      <c r="W9303" t="str">
        <f>"         FATTPA 4_16"</f>
        <v xml:space="preserve">         FATTPA 4_16</v>
      </c>
      <c r="X9303" s="1">
        <v>3500</v>
      </c>
      <c r="Y9303">
        <v>0</v>
      </c>
      <c r="Z9303" s="5">
        <v>3500</v>
      </c>
      <c r="AA9303">
        <v>-46</v>
      </c>
      <c r="AB9303" s="5">
        <v>-161000</v>
      </c>
      <c r="AC9303" s="1">
        <v>3500</v>
      </c>
      <c r="AD9303">
        <v>-46</v>
      </c>
      <c r="AE9303" s="1">
        <v>-161000</v>
      </c>
      <c r="AF9303">
        <v>0</v>
      </c>
      <c r="AJ9303">
        <v>0</v>
      </c>
      <c r="AK9303" s="1">
        <v>3500</v>
      </c>
      <c r="AL9303" s="1">
        <v>3500</v>
      </c>
      <c r="AM9303" s="1">
        <v>3500</v>
      </c>
      <c r="AN9303" s="1">
        <v>3500</v>
      </c>
      <c r="AO9303" s="1">
        <v>3500</v>
      </c>
      <c r="AP9303" s="2">
        <v>42746</v>
      </c>
      <c r="AQ9303" t="s">
        <v>72</v>
      </c>
      <c r="AR9303" t="s">
        <v>72</v>
      </c>
      <c r="AS9303">
        <v>2898</v>
      </c>
      <c r="AT9303" s="4">
        <v>42671</v>
      </c>
      <c r="AV9303">
        <v>2898</v>
      </c>
      <c r="AW9303" s="4">
        <v>42671</v>
      </c>
      <c r="BD9303">
        <v>0</v>
      </c>
      <c r="BN9303" t="s">
        <v>74</v>
      </c>
    </row>
    <row r="9304" spans="1:66" hidden="1">
      <c r="A9304">
        <v>106645</v>
      </c>
      <c r="B9304" s="3" t="s">
        <v>840</v>
      </c>
      <c r="C9304" s="1">
        <v>43500101</v>
      </c>
      <c r="D9304" t="s">
        <v>113</v>
      </c>
      <c r="H9304" t="str">
        <f>"LNGRTI64L61A783C"</f>
        <v>LNGRTI64L61A783C</v>
      </c>
      <c r="I9304" t="str">
        <f>""</f>
        <v/>
      </c>
      <c r="K9304" t="str">
        <f>""</f>
        <v/>
      </c>
      <c r="M9304" t="s">
        <v>68</v>
      </c>
      <c r="N9304" t="str">
        <f>"ALT"</f>
        <v>ALT</v>
      </c>
      <c r="O9304" t="s">
        <v>114</v>
      </c>
      <c r="P9304" s="3" t="s">
        <v>841</v>
      </c>
      <c r="Q9304">
        <v>2016</v>
      </c>
      <c r="R9304" s="2">
        <v>42444</v>
      </c>
      <c r="S9304" s="2">
        <v>42444</v>
      </c>
      <c r="T9304" s="2">
        <v>42444</v>
      </c>
      <c r="U9304" s="2">
        <v>42504</v>
      </c>
      <c r="V9304" t="s">
        <v>71</v>
      </c>
      <c r="W9304" t="str">
        <f>"                  63"</f>
        <v xml:space="preserve">                  63</v>
      </c>
      <c r="X9304">
        <v>0</v>
      </c>
      <c r="Y9304">
        <v>250</v>
      </c>
      <c r="Z9304"/>
      <c r="AB9304"/>
      <c r="AC9304">
        <v>250</v>
      </c>
      <c r="AD9304">
        <v>-60</v>
      </c>
      <c r="AE9304" s="1">
        <v>-15000</v>
      </c>
      <c r="AF9304">
        <v>0</v>
      </c>
      <c r="AJ9304">
        <v>0</v>
      </c>
      <c r="AK9304">
        <v>0</v>
      </c>
      <c r="AL9304">
        <v>0</v>
      </c>
      <c r="AM9304">
        <v>250</v>
      </c>
      <c r="AN9304">
        <v>250</v>
      </c>
      <c r="AO9304">
        <v>250</v>
      </c>
      <c r="AP9304" s="2">
        <v>42746</v>
      </c>
      <c r="AQ9304" t="s">
        <v>72</v>
      </c>
      <c r="AR9304" t="s">
        <v>72</v>
      </c>
      <c r="AS9304">
        <v>693</v>
      </c>
      <c r="AT9304" s="4">
        <v>42444</v>
      </c>
      <c r="AV9304">
        <v>693</v>
      </c>
      <c r="AW9304" s="4">
        <v>42444</v>
      </c>
      <c r="BD9304">
        <v>0</v>
      </c>
      <c r="BN9304" t="s">
        <v>74</v>
      </c>
    </row>
    <row r="9305" spans="1:66" hidden="1">
      <c r="A9305">
        <v>106645</v>
      </c>
      <c r="B9305" s="3" t="s">
        <v>840</v>
      </c>
      <c r="C9305" s="1">
        <v>43500101</v>
      </c>
      <c r="D9305" t="s">
        <v>113</v>
      </c>
      <c r="H9305" t="str">
        <f>"LNGRTI64L61A783C"</f>
        <v>LNGRTI64L61A783C</v>
      </c>
      <c r="I9305" t="str">
        <f>""</f>
        <v/>
      </c>
      <c r="K9305" t="str">
        <f>""</f>
        <v/>
      </c>
      <c r="M9305" t="s">
        <v>68</v>
      </c>
      <c r="N9305" t="str">
        <f>"ALT"</f>
        <v>ALT</v>
      </c>
      <c r="O9305" t="s">
        <v>114</v>
      </c>
      <c r="P9305" s="3" t="s">
        <v>841</v>
      </c>
      <c r="Q9305">
        <v>2016</v>
      </c>
      <c r="R9305" s="2">
        <v>42478</v>
      </c>
      <c r="S9305" s="2">
        <v>42478</v>
      </c>
      <c r="T9305" s="2">
        <v>42478</v>
      </c>
      <c r="U9305" s="2">
        <v>42538</v>
      </c>
      <c r="V9305" t="s">
        <v>71</v>
      </c>
      <c r="W9305" t="str">
        <f>"                  85"</f>
        <v xml:space="preserve">                  85</v>
      </c>
      <c r="X9305">
        <v>0</v>
      </c>
      <c r="Y9305">
        <v>100</v>
      </c>
      <c r="Z9305"/>
      <c r="AB9305"/>
      <c r="AC9305">
        <v>100</v>
      </c>
      <c r="AD9305">
        <v>-60</v>
      </c>
      <c r="AE9305" s="1">
        <v>-6000</v>
      </c>
      <c r="AF9305">
        <v>0</v>
      </c>
      <c r="AJ9305">
        <v>0</v>
      </c>
      <c r="AK9305">
        <v>0</v>
      </c>
      <c r="AL9305">
        <v>0</v>
      </c>
      <c r="AM9305">
        <v>100</v>
      </c>
      <c r="AN9305">
        <v>100</v>
      </c>
      <c r="AO9305">
        <v>100</v>
      </c>
      <c r="AP9305" s="2">
        <v>42746</v>
      </c>
      <c r="AQ9305" t="s">
        <v>72</v>
      </c>
      <c r="AR9305" t="s">
        <v>72</v>
      </c>
      <c r="AS9305">
        <v>1024</v>
      </c>
      <c r="AT9305" s="4">
        <v>42478</v>
      </c>
      <c r="AV9305">
        <v>1024</v>
      </c>
      <c r="AW9305" s="4">
        <v>42478</v>
      </c>
      <c r="BD9305">
        <v>0</v>
      </c>
      <c r="BN9305" t="s">
        <v>74</v>
      </c>
    </row>
    <row r="9306" spans="1:66" hidden="1">
      <c r="A9306">
        <v>106645</v>
      </c>
      <c r="B9306" s="3" t="s">
        <v>840</v>
      </c>
      <c r="C9306" s="1">
        <v>43500101</v>
      </c>
      <c r="D9306" t="s">
        <v>113</v>
      </c>
      <c r="H9306" t="str">
        <f>"LNGRTI64L61A783C"</f>
        <v>LNGRTI64L61A783C</v>
      </c>
      <c r="I9306" t="str">
        <f>""</f>
        <v/>
      </c>
      <c r="K9306" t="str">
        <f>""</f>
        <v/>
      </c>
      <c r="M9306" t="s">
        <v>68</v>
      </c>
      <c r="N9306" t="str">
        <f>"ALT"</f>
        <v>ALT</v>
      </c>
      <c r="O9306" t="s">
        <v>114</v>
      </c>
      <c r="P9306" s="3" t="s">
        <v>841</v>
      </c>
      <c r="Q9306">
        <v>2016</v>
      </c>
      <c r="R9306" s="2">
        <v>42509</v>
      </c>
      <c r="S9306" s="2">
        <v>42509</v>
      </c>
      <c r="T9306" s="2">
        <v>42509</v>
      </c>
      <c r="U9306" s="2">
        <v>42569</v>
      </c>
      <c r="V9306" t="s">
        <v>71</v>
      </c>
      <c r="W9306" t="str">
        <f>"                 119"</f>
        <v xml:space="preserve">                 119</v>
      </c>
      <c r="X9306">
        <v>0</v>
      </c>
      <c r="Y9306">
        <v>100</v>
      </c>
      <c r="Z9306"/>
      <c r="AB9306"/>
      <c r="AC9306">
        <v>100</v>
      </c>
      <c r="AD9306">
        <v>-60</v>
      </c>
      <c r="AE9306" s="1">
        <v>-6000</v>
      </c>
      <c r="AF9306">
        <v>0</v>
      </c>
      <c r="AJ9306">
        <v>0</v>
      </c>
      <c r="AK9306">
        <v>0</v>
      </c>
      <c r="AL9306">
        <v>0</v>
      </c>
      <c r="AM9306">
        <v>100</v>
      </c>
      <c r="AN9306">
        <v>100</v>
      </c>
      <c r="AO9306">
        <v>100</v>
      </c>
      <c r="AP9306" s="2">
        <v>42746</v>
      </c>
      <c r="AQ9306" t="s">
        <v>72</v>
      </c>
      <c r="AR9306" t="s">
        <v>72</v>
      </c>
      <c r="AS9306">
        <v>1284</v>
      </c>
      <c r="AT9306" s="4">
        <v>42509</v>
      </c>
      <c r="AV9306">
        <v>1284</v>
      </c>
      <c r="AW9306" s="4">
        <v>42509</v>
      </c>
      <c r="BD9306">
        <v>0</v>
      </c>
      <c r="BN9306" t="s">
        <v>74</v>
      </c>
    </row>
    <row r="9307" spans="1:66" hidden="1">
      <c r="A9307">
        <v>106645</v>
      </c>
      <c r="B9307" s="3" t="s">
        <v>840</v>
      </c>
      <c r="C9307" s="1">
        <v>43500101</v>
      </c>
      <c r="D9307" t="s">
        <v>113</v>
      </c>
      <c r="H9307" t="str">
        <f>"LNGRTI64L61A783C"</f>
        <v>LNGRTI64L61A783C</v>
      </c>
      <c r="I9307" t="str">
        <f>""</f>
        <v/>
      </c>
      <c r="K9307" t="str">
        <f>""</f>
        <v/>
      </c>
      <c r="M9307" t="s">
        <v>68</v>
      </c>
      <c r="N9307" t="str">
        <f>"ALT"</f>
        <v>ALT</v>
      </c>
      <c r="O9307" t="s">
        <v>114</v>
      </c>
      <c r="P9307" s="3" t="s">
        <v>841</v>
      </c>
      <c r="Q9307">
        <v>2016</v>
      </c>
      <c r="R9307" s="2">
        <v>42535</v>
      </c>
      <c r="S9307" s="2">
        <v>42535</v>
      </c>
      <c r="T9307" s="2">
        <v>42535</v>
      </c>
      <c r="U9307" s="2">
        <v>42595</v>
      </c>
      <c r="V9307" t="s">
        <v>71</v>
      </c>
      <c r="W9307" t="str">
        <f>"                 143"</f>
        <v xml:space="preserve">                 143</v>
      </c>
      <c r="X9307">
        <v>0</v>
      </c>
      <c r="Y9307">
        <v>100</v>
      </c>
      <c r="Z9307"/>
      <c r="AB9307"/>
      <c r="AC9307">
        <v>100</v>
      </c>
      <c r="AD9307">
        <v>-60</v>
      </c>
      <c r="AE9307" s="1">
        <v>-6000</v>
      </c>
      <c r="AF9307">
        <v>0</v>
      </c>
      <c r="AJ9307">
        <v>0</v>
      </c>
      <c r="AK9307">
        <v>0</v>
      </c>
      <c r="AL9307">
        <v>0</v>
      </c>
      <c r="AM9307">
        <v>100</v>
      </c>
      <c r="AN9307">
        <v>100</v>
      </c>
      <c r="AO9307">
        <v>100</v>
      </c>
      <c r="AP9307" s="2">
        <v>42746</v>
      </c>
      <c r="AQ9307" t="s">
        <v>72</v>
      </c>
      <c r="AR9307" t="s">
        <v>72</v>
      </c>
      <c r="AS9307">
        <v>1615</v>
      </c>
      <c r="AT9307" s="4">
        <v>42535</v>
      </c>
      <c r="AV9307">
        <v>1615</v>
      </c>
      <c r="AW9307" s="4">
        <v>42535</v>
      </c>
      <c r="BD9307">
        <v>0</v>
      </c>
      <c r="BN9307" t="s">
        <v>74</v>
      </c>
    </row>
    <row r="9308" spans="1:66" hidden="1">
      <c r="A9308">
        <v>106646</v>
      </c>
      <c r="B9308" s="3" t="s">
        <v>842</v>
      </c>
      <c r="C9308" s="1">
        <v>43300101</v>
      </c>
      <c r="D9308" t="s">
        <v>67</v>
      </c>
      <c r="H9308" t="str">
        <f>"00051570893"</f>
        <v>00051570893</v>
      </c>
      <c r="I9308" t="str">
        <f>"00051570893"</f>
        <v>00051570893</v>
      </c>
      <c r="K9308" t="str">
        <f>""</f>
        <v/>
      </c>
      <c r="M9308" t="s">
        <v>68</v>
      </c>
      <c r="N9308" t="str">
        <f>"FOR"</f>
        <v>FOR</v>
      </c>
      <c r="O9308" t="s">
        <v>69</v>
      </c>
      <c r="P9308" s="3" t="s">
        <v>75</v>
      </c>
      <c r="Q9308">
        <v>2015</v>
      </c>
      <c r="R9308" s="2">
        <v>42299</v>
      </c>
      <c r="S9308" s="2">
        <v>42300</v>
      </c>
      <c r="T9308" s="2">
        <v>42299</v>
      </c>
      <c r="U9308" s="2">
        <v>42359</v>
      </c>
      <c r="V9308" t="s">
        <v>71</v>
      </c>
      <c r="W9308" t="str">
        <f>"             0003730"</f>
        <v xml:space="preserve">             0003730</v>
      </c>
      <c r="X9308" s="1">
        <v>9525.43</v>
      </c>
      <c r="Y9308">
        <v>0</v>
      </c>
      <c r="Z9308"/>
      <c r="AB9308"/>
      <c r="AC9308" s="1">
        <v>9525.43</v>
      </c>
      <c r="AD9308">
        <v>261</v>
      </c>
      <c r="AE9308" s="1">
        <v>2486137.23</v>
      </c>
      <c r="AF9308">
        <v>0</v>
      </c>
      <c r="AJ9308">
        <v>0</v>
      </c>
      <c r="AK9308">
        <v>0</v>
      </c>
      <c r="AL9308">
        <v>0</v>
      </c>
      <c r="AM9308">
        <v>0</v>
      </c>
      <c r="AN9308">
        <v>0</v>
      </c>
      <c r="AO9308">
        <v>0</v>
      </c>
      <c r="AP9308" s="2">
        <v>42746</v>
      </c>
      <c r="AQ9308" t="s">
        <v>72</v>
      </c>
      <c r="AR9308" t="s">
        <v>72</v>
      </c>
      <c r="AS9308">
        <v>2326</v>
      </c>
      <c r="AT9308" s="4">
        <v>42620</v>
      </c>
      <c r="AU9308" t="s">
        <v>73</v>
      </c>
      <c r="AV9308">
        <v>2326</v>
      </c>
      <c r="AW9308" s="4">
        <v>42620</v>
      </c>
      <c r="BD9308">
        <v>0</v>
      </c>
      <c r="BN9308" t="s">
        <v>74</v>
      </c>
    </row>
    <row r="9309" spans="1:66" hidden="1">
      <c r="A9309">
        <v>106648</v>
      </c>
      <c r="B9309" s="3" t="s">
        <v>843</v>
      </c>
      <c r="C9309" s="1">
        <v>43500101</v>
      </c>
      <c r="D9309" t="s">
        <v>113</v>
      </c>
      <c r="H9309" t="str">
        <f>"DBTBDT81L42H926X"</f>
        <v>DBTBDT81L42H926X</v>
      </c>
      <c r="I9309" t="str">
        <f>"03509470716"</f>
        <v>03509470716</v>
      </c>
      <c r="K9309" t="str">
        <f>""</f>
        <v/>
      </c>
      <c r="M9309" t="s">
        <v>68</v>
      </c>
      <c r="N9309" t="str">
        <f>"ALTPRO"</f>
        <v>ALTPRO</v>
      </c>
      <c r="O9309" t="s">
        <v>132</v>
      </c>
      <c r="P9309" s="3" t="s">
        <v>146</v>
      </c>
      <c r="Q9309">
        <v>2015</v>
      </c>
      <c r="R9309" s="2">
        <v>42302</v>
      </c>
      <c r="S9309" s="2">
        <v>42303</v>
      </c>
      <c r="T9309" s="2">
        <v>42303</v>
      </c>
      <c r="U9309" s="2">
        <v>42363</v>
      </c>
      <c r="V9309" t="s">
        <v>71</v>
      </c>
      <c r="W9309" t="str">
        <f>"             31/2015"</f>
        <v xml:space="preserve">             31/2015</v>
      </c>
      <c r="X9309">
        <v>915</v>
      </c>
      <c r="Y9309">
        <v>-150</v>
      </c>
      <c r="Z9309"/>
      <c r="AB9309"/>
      <c r="AC9309">
        <v>765</v>
      </c>
      <c r="AD9309">
        <v>257</v>
      </c>
      <c r="AE9309" s="1">
        <v>196605</v>
      </c>
      <c r="AF9309">
        <v>0</v>
      </c>
      <c r="AJ9309">
        <v>0</v>
      </c>
      <c r="AK9309">
        <v>0</v>
      </c>
      <c r="AL9309">
        <v>0</v>
      </c>
      <c r="AM9309">
        <v>0</v>
      </c>
      <c r="AN9309">
        <v>0</v>
      </c>
      <c r="AO9309">
        <v>0</v>
      </c>
      <c r="AP9309" s="2">
        <v>42746</v>
      </c>
      <c r="AQ9309" t="s">
        <v>72</v>
      </c>
      <c r="AR9309" t="s">
        <v>72</v>
      </c>
      <c r="AS9309">
        <v>2305</v>
      </c>
      <c r="AT9309" s="4">
        <v>42620</v>
      </c>
      <c r="AU9309" t="s">
        <v>73</v>
      </c>
      <c r="AV9309">
        <v>2305</v>
      </c>
      <c r="AW9309" s="4">
        <v>42620</v>
      </c>
      <c r="BD9309">
        <v>0</v>
      </c>
      <c r="BN9309" t="s">
        <v>74</v>
      </c>
    </row>
    <row r="9310" spans="1:66">
      <c r="A9310">
        <v>106649</v>
      </c>
      <c r="B9310" s="3" t="s">
        <v>844</v>
      </c>
      <c r="C9310" s="1">
        <v>43300101</v>
      </c>
      <c r="D9310" t="s">
        <v>67</v>
      </c>
      <c r="H9310" t="str">
        <f t="shared" ref="H9310:I9313" si="979">"00384240701"</f>
        <v>00384240701</v>
      </c>
      <c r="I9310" t="str">
        <f t="shared" si="979"/>
        <v>00384240701</v>
      </c>
      <c r="K9310" t="str">
        <f>""</f>
        <v/>
      </c>
      <c r="M9310" t="s">
        <v>68</v>
      </c>
      <c r="N9310" t="str">
        <f t="shared" ref="N9310:N9316" si="980">"FOR"</f>
        <v>FOR</v>
      </c>
      <c r="O9310" t="s">
        <v>69</v>
      </c>
      <c r="P9310" s="3" t="s">
        <v>75</v>
      </c>
      <c r="Q9310">
        <v>2015</v>
      </c>
      <c r="R9310" s="2">
        <v>42368</v>
      </c>
      <c r="S9310" s="2">
        <v>42369</v>
      </c>
      <c r="T9310" s="2">
        <v>42368</v>
      </c>
      <c r="U9310" s="2">
        <v>42428</v>
      </c>
      <c r="V9310" t="s">
        <v>71</v>
      </c>
      <c r="W9310" t="str">
        <f>"             1706/05"</f>
        <v xml:space="preserve">             1706/05</v>
      </c>
      <c r="X9310" s="1">
        <v>5287.36</v>
      </c>
      <c r="Y9310">
        <v>0</v>
      </c>
      <c r="Z9310" s="5">
        <v>4333.8999999999996</v>
      </c>
      <c r="AA9310">
        <v>262</v>
      </c>
      <c r="AB9310" s="5">
        <v>1135481.8</v>
      </c>
      <c r="AC9310" s="1">
        <v>4333.8999999999996</v>
      </c>
      <c r="AD9310">
        <v>262</v>
      </c>
      <c r="AE9310" s="1">
        <v>1135481.8</v>
      </c>
      <c r="AF9310">
        <v>0</v>
      </c>
      <c r="AJ9310">
        <v>0</v>
      </c>
      <c r="AK9310">
        <v>0</v>
      </c>
      <c r="AL9310">
        <v>0</v>
      </c>
      <c r="AM9310">
        <v>0</v>
      </c>
      <c r="AN9310">
        <v>0</v>
      </c>
      <c r="AO9310">
        <v>0</v>
      </c>
      <c r="AP9310" s="2">
        <v>42746</v>
      </c>
      <c r="AQ9310" t="s">
        <v>72</v>
      </c>
      <c r="AR9310" t="s">
        <v>72</v>
      </c>
      <c r="AS9310">
        <v>3143</v>
      </c>
      <c r="AT9310" s="4">
        <v>42690</v>
      </c>
      <c r="AU9310" t="s">
        <v>73</v>
      </c>
      <c r="AV9310">
        <v>3143</v>
      </c>
      <c r="AW9310" s="4">
        <v>42690</v>
      </c>
      <c r="BD9310">
        <v>0</v>
      </c>
      <c r="BN9310" t="s">
        <v>74</v>
      </c>
    </row>
    <row r="9311" spans="1:66">
      <c r="A9311">
        <v>106649</v>
      </c>
      <c r="B9311" s="3" t="s">
        <v>844</v>
      </c>
      <c r="C9311" s="1">
        <v>43300101</v>
      </c>
      <c r="D9311" t="s">
        <v>67</v>
      </c>
      <c r="H9311" t="str">
        <f t="shared" si="979"/>
        <v>00384240701</v>
      </c>
      <c r="I9311" t="str">
        <f t="shared" si="979"/>
        <v>00384240701</v>
      </c>
      <c r="K9311" t="str">
        <f>""</f>
        <v/>
      </c>
      <c r="M9311" t="s">
        <v>68</v>
      </c>
      <c r="N9311" t="str">
        <f t="shared" si="980"/>
        <v>FOR</v>
      </c>
      <c r="O9311" t="s">
        <v>69</v>
      </c>
      <c r="P9311" s="3" t="s">
        <v>75</v>
      </c>
      <c r="Q9311">
        <v>2016</v>
      </c>
      <c r="R9311" s="2">
        <v>42490</v>
      </c>
      <c r="S9311" s="2">
        <v>42493</v>
      </c>
      <c r="T9311" s="2">
        <v>42492</v>
      </c>
      <c r="U9311" s="2">
        <v>42552</v>
      </c>
      <c r="V9311" t="s">
        <v>71</v>
      </c>
      <c r="W9311" t="str">
        <f>"              527/05"</f>
        <v xml:space="preserve">              527/05</v>
      </c>
      <c r="X9311">
        <v>712.79</v>
      </c>
      <c r="Y9311">
        <v>0</v>
      </c>
      <c r="Z9311" s="3">
        <v>584.25</v>
      </c>
      <c r="AA9311">
        <v>129</v>
      </c>
      <c r="AB9311" s="5">
        <v>75368.25</v>
      </c>
      <c r="AC9311">
        <v>584.25</v>
      </c>
      <c r="AD9311">
        <v>129</v>
      </c>
      <c r="AE9311" s="1">
        <v>75368.25</v>
      </c>
      <c r="AF9311">
        <v>128.54</v>
      </c>
      <c r="AJ9311">
        <v>0</v>
      </c>
      <c r="AK9311">
        <v>0</v>
      </c>
      <c r="AL9311">
        <v>0</v>
      </c>
      <c r="AM9311">
        <v>712.79</v>
      </c>
      <c r="AN9311">
        <v>712.79</v>
      </c>
      <c r="AO9311">
        <v>712.79</v>
      </c>
      <c r="AP9311" s="2">
        <v>42746</v>
      </c>
      <c r="AQ9311" t="s">
        <v>72</v>
      </c>
      <c r="AR9311" t="s">
        <v>72</v>
      </c>
      <c r="AS9311">
        <v>2946</v>
      </c>
      <c r="AT9311" s="4">
        <v>42681</v>
      </c>
      <c r="AU9311" t="s">
        <v>73</v>
      </c>
      <c r="AV9311">
        <v>2946</v>
      </c>
      <c r="AW9311" s="4">
        <v>42681</v>
      </c>
      <c r="BC9311">
        <v>128.54</v>
      </c>
      <c r="BD9311">
        <v>0</v>
      </c>
      <c r="BN9311" t="s">
        <v>74</v>
      </c>
    </row>
    <row r="9312" spans="1:66">
      <c r="A9312">
        <v>106649</v>
      </c>
      <c r="B9312" s="3" t="s">
        <v>844</v>
      </c>
      <c r="C9312" s="1">
        <v>43300101</v>
      </c>
      <c r="D9312" t="s">
        <v>67</v>
      </c>
      <c r="H9312" t="str">
        <f t="shared" si="979"/>
        <v>00384240701</v>
      </c>
      <c r="I9312" t="str">
        <f t="shared" si="979"/>
        <v>00384240701</v>
      </c>
      <c r="K9312" t="str">
        <f>""</f>
        <v/>
      </c>
      <c r="M9312" t="s">
        <v>68</v>
      </c>
      <c r="N9312" t="str">
        <f t="shared" si="980"/>
        <v>FOR</v>
      </c>
      <c r="O9312" t="s">
        <v>69</v>
      </c>
      <c r="P9312" s="3" t="s">
        <v>75</v>
      </c>
      <c r="Q9312">
        <v>2016</v>
      </c>
      <c r="R9312" s="2">
        <v>42521</v>
      </c>
      <c r="S9312" s="2">
        <v>42529</v>
      </c>
      <c r="T9312" s="2">
        <v>42528</v>
      </c>
      <c r="U9312" s="2">
        <v>42588</v>
      </c>
      <c r="V9312" t="s">
        <v>71</v>
      </c>
      <c r="W9312" t="str">
        <f>"              697/05"</f>
        <v xml:space="preserve">              697/05</v>
      </c>
      <c r="X9312" s="1">
        <v>1354.2</v>
      </c>
      <c r="Y9312">
        <v>0</v>
      </c>
      <c r="Z9312" s="5">
        <v>1110</v>
      </c>
      <c r="AA9312">
        <v>130</v>
      </c>
      <c r="AB9312" s="5">
        <v>144300</v>
      </c>
      <c r="AC9312" s="1">
        <v>1110</v>
      </c>
      <c r="AD9312">
        <v>130</v>
      </c>
      <c r="AE9312" s="1">
        <v>144300</v>
      </c>
      <c r="AF9312">
        <v>244.2</v>
      </c>
      <c r="AJ9312">
        <v>0</v>
      </c>
      <c r="AK9312">
        <v>0</v>
      </c>
      <c r="AL9312">
        <v>0</v>
      </c>
      <c r="AM9312" s="1">
        <v>1354.2</v>
      </c>
      <c r="AN9312" s="1">
        <v>1354.2</v>
      </c>
      <c r="AO9312" s="1">
        <v>1354.2</v>
      </c>
      <c r="AP9312" s="2">
        <v>42746</v>
      </c>
      <c r="AQ9312" t="s">
        <v>72</v>
      </c>
      <c r="AR9312" t="s">
        <v>72</v>
      </c>
      <c r="AS9312">
        <v>3486</v>
      </c>
      <c r="AT9312" s="4">
        <v>42718</v>
      </c>
      <c r="AU9312" t="s">
        <v>73</v>
      </c>
      <c r="AV9312">
        <v>3486</v>
      </c>
      <c r="AW9312" s="4">
        <v>42718</v>
      </c>
      <c r="BB9312">
        <v>244.2</v>
      </c>
      <c r="BD9312">
        <v>0</v>
      </c>
      <c r="BN9312" t="s">
        <v>74</v>
      </c>
    </row>
    <row r="9313" spans="1:66">
      <c r="A9313">
        <v>106649</v>
      </c>
      <c r="B9313" s="3" t="s">
        <v>844</v>
      </c>
      <c r="C9313" s="1">
        <v>43300101</v>
      </c>
      <c r="D9313" t="s">
        <v>67</v>
      </c>
      <c r="H9313" t="str">
        <f t="shared" si="979"/>
        <v>00384240701</v>
      </c>
      <c r="I9313" t="str">
        <f t="shared" si="979"/>
        <v>00384240701</v>
      </c>
      <c r="K9313" t="str">
        <f>""</f>
        <v/>
      </c>
      <c r="M9313" t="s">
        <v>68</v>
      </c>
      <c r="N9313" t="str">
        <f t="shared" si="980"/>
        <v>FOR</v>
      </c>
      <c r="O9313" t="s">
        <v>69</v>
      </c>
      <c r="P9313" s="3" t="s">
        <v>75</v>
      </c>
      <c r="Q9313">
        <v>2016</v>
      </c>
      <c r="R9313" s="2">
        <v>42551</v>
      </c>
      <c r="S9313" s="2">
        <v>42557</v>
      </c>
      <c r="T9313" s="2">
        <v>42556</v>
      </c>
      <c r="U9313" s="2">
        <v>42616</v>
      </c>
      <c r="V9313" t="s">
        <v>71</v>
      </c>
      <c r="W9313" t="str">
        <f>"              840/05"</f>
        <v xml:space="preserve">              840/05</v>
      </c>
      <c r="X9313">
        <v>274.5</v>
      </c>
      <c r="Y9313">
        <v>0</v>
      </c>
      <c r="Z9313" s="3">
        <v>225</v>
      </c>
      <c r="AA9313">
        <v>65</v>
      </c>
      <c r="AB9313" s="5">
        <v>14625</v>
      </c>
      <c r="AC9313">
        <v>225</v>
      </c>
      <c r="AD9313">
        <v>65</v>
      </c>
      <c r="AE9313" s="1">
        <v>14625</v>
      </c>
      <c r="AF9313">
        <v>49.5</v>
      </c>
      <c r="AJ9313">
        <v>0</v>
      </c>
      <c r="AK9313">
        <v>0</v>
      </c>
      <c r="AL9313">
        <v>0</v>
      </c>
      <c r="AM9313">
        <v>274.5</v>
      </c>
      <c r="AN9313">
        <v>274.5</v>
      </c>
      <c r="AO9313">
        <v>274.5</v>
      </c>
      <c r="AP9313" s="2">
        <v>42746</v>
      </c>
      <c r="AQ9313" t="s">
        <v>72</v>
      </c>
      <c r="AR9313" t="s">
        <v>72</v>
      </c>
      <c r="AS9313">
        <v>2946</v>
      </c>
      <c r="AT9313" s="4">
        <v>42681</v>
      </c>
      <c r="AU9313" t="s">
        <v>73</v>
      </c>
      <c r="AV9313">
        <v>2946</v>
      </c>
      <c r="AW9313" s="4">
        <v>42681</v>
      </c>
      <c r="BA9313">
        <v>49.5</v>
      </c>
      <c r="BD9313">
        <v>0</v>
      </c>
      <c r="BN9313" t="s">
        <v>74</v>
      </c>
    </row>
    <row r="9314" spans="1:66" hidden="1">
      <c r="A9314">
        <v>106651</v>
      </c>
      <c r="B9314" s="3" t="s">
        <v>845</v>
      </c>
      <c r="C9314" s="1">
        <v>43300101</v>
      </c>
      <c r="D9314" t="s">
        <v>67</v>
      </c>
      <c r="H9314" t="str">
        <f t="shared" ref="H9314:I9316" si="981">"02959440732"</f>
        <v>02959440732</v>
      </c>
      <c r="I9314" t="str">
        <f t="shared" si="981"/>
        <v>02959440732</v>
      </c>
      <c r="K9314" t="str">
        <f>""</f>
        <v/>
      </c>
      <c r="M9314" t="s">
        <v>68</v>
      </c>
      <c r="N9314" t="str">
        <f t="shared" si="980"/>
        <v>FOR</v>
      </c>
      <c r="O9314" t="s">
        <v>69</v>
      </c>
      <c r="P9314" s="3" t="s">
        <v>70</v>
      </c>
      <c r="Q9314">
        <v>2015</v>
      </c>
      <c r="R9314" s="2">
        <v>42369</v>
      </c>
      <c r="S9314" s="2">
        <v>42520</v>
      </c>
      <c r="T9314" s="2">
        <v>42520</v>
      </c>
      <c r="U9314" s="2">
        <v>42580</v>
      </c>
      <c r="V9314" t="s">
        <v>71</v>
      </c>
      <c r="W9314" t="str">
        <f>"                  21"</f>
        <v xml:space="preserve">                  21</v>
      </c>
      <c r="X9314" s="1">
        <v>1928.82</v>
      </c>
      <c r="Y9314">
        <v>0</v>
      </c>
      <c r="Z9314"/>
      <c r="AB9314"/>
      <c r="AC9314" s="1">
        <v>1581</v>
      </c>
      <c r="AD9314">
        <v>-14</v>
      </c>
      <c r="AE9314" s="1">
        <v>-22134</v>
      </c>
      <c r="AF9314">
        <v>0</v>
      </c>
      <c r="AJ9314">
        <v>0</v>
      </c>
      <c r="AK9314">
        <v>0</v>
      </c>
      <c r="AL9314">
        <v>0</v>
      </c>
      <c r="AM9314">
        <v>0</v>
      </c>
      <c r="AN9314" s="1">
        <v>1928.82</v>
      </c>
      <c r="AO9314">
        <v>0</v>
      </c>
      <c r="AP9314" s="2">
        <v>42746</v>
      </c>
      <c r="AQ9314" t="s">
        <v>72</v>
      </c>
      <c r="AR9314" t="s">
        <v>72</v>
      </c>
      <c r="AS9314">
        <v>1827</v>
      </c>
      <c r="AT9314" s="4">
        <v>42566</v>
      </c>
      <c r="AV9314">
        <v>1827</v>
      </c>
      <c r="AW9314" s="4">
        <v>42566</v>
      </c>
      <c r="BD9314">
        <v>0</v>
      </c>
      <c r="BN9314" t="s">
        <v>74</v>
      </c>
    </row>
    <row r="9315" spans="1:66" hidden="1">
      <c r="A9315">
        <v>106651</v>
      </c>
      <c r="B9315" s="3" t="s">
        <v>845</v>
      </c>
      <c r="C9315" s="1">
        <v>43300101</v>
      </c>
      <c r="D9315" t="s">
        <v>67</v>
      </c>
      <c r="H9315" t="str">
        <f t="shared" si="981"/>
        <v>02959440732</v>
      </c>
      <c r="I9315" t="str">
        <f t="shared" si="981"/>
        <v>02959440732</v>
      </c>
      <c r="K9315" t="str">
        <f>""</f>
        <v/>
      </c>
      <c r="M9315" t="s">
        <v>68</v>
      </c>
      <c r="N9315" t="str">
        <f t="shared" si="980"/>
        <v>FOR</v>
      </c>
      <c r="O9315" t="s">
        <v>69</v>
      </c>
      <c r="P9315" s="3" t="s">
        <v>70</v>
      </c>
      <c r="Q9315">
        <v>2015</v>
      </c>
      <c r="R9315" s="2">
        <v>42369</v>
      </c>
      <c r="S9315" s="2">
        <v>42520</v>
      </c>
      <c r="T9315" s="2">
        <v>42520</v>
      </c>
      <c r="U9315" s="2">
        <v>42580</v>
      </c>
      <c r="V9315" t="s">
        <v>71</v>
      </c>
      <c r="W9315" t="str">
        <f>"                  22"</f>
        <v xml:space="preserve">                  22</v>
      </c>
      <c r="X9315">
        <v>191.54</v>
      </c>
      <c r="Y9315">
        <v>0</v>
      </c>
      <c r="Z9315"/>
      <c r="AB9315"/>
      <c r="AC9315">
        <v>157</v>
      </c>
      <c r="AD9315">
        <v>-14</v>
      </c>
      <c r="AE9315" s="1">
        <v>-2198</v>
      </c>
      <c r="AF9315">
        <v>0</v>
      </c>
      <c r="AJ9315">
        <v>0</v>
      </c>
      <c r="AK9315">
        <v>0</v>
      </c>
      <c r="AL9315">
        <v>0</v>
      </c>
      <c r="AM9315">
        <v>0</v>
      </c>
      <c r="AN9315">
        <v>191.54</v>
      </c>
      <c r="AO9315">
        <v>0</v>
      </c>
      <c r="AP9315" s="2">
        <v>42746</v>
      </c>
      <c r="AQ9315" t="s">
        <v>72</v>
      </c>
      <c r="AR9315" t="s">
        <v>72</v>
      </c>
      <c r="AS9315">
        <v>1827</v>
      </c>
      <c r="AT9315" s="4">
        <v>42566</v>
      </c>
      <c r="AV9315">
        <v>1827</v>
      </c>
      <c r="AW9315" s="4">
        <v>42566</v>
      </c>
      <c r="BD9315">
        <v>0</v>
      </c>
      <c r="BN9315" t="s">
        <v>74</v>
      </c>
    </row>
    <row r="9316" spans="1:66">
      <c r="A9316">
        <v>106651</v>
      </c>
      <c r="B9316" s="3" t="s">
        <v>845</v>
      </c>
      <c r="C9316" s="1">
        <v>43300101</v>
      </c>
      <c r="D9316" t="s">
        <v>67</v>
      </c>
      <c r="H9316" t="str">
        <f t="shared" si="981"/>
        <v>02959440732</v>
      </c>
      <c r="I9316" t="str">
        <f t="shared" si="981"/>
        <v>02959440732</v>
      </c>
      <c r="K9316" t="str">
        <f>""</f>
        <v/>
      </c>
      <c r="M9316" t="s">
        <v>68</v>
      </c>
      <c r="N9316" t="str">
        <f t="shared" si="980"/>
        <v>FOR</v>
      </c>
      <c r="O9316" t="s">
        <v>69</v>
      </c>
      <c r="P9316" s="3" t="s">
        <v>75</v>
      </c>
      <c r="Q9316">
        <v>2016</v>
      </c>
      <c r="R9316" s="2">
        <v>42495</v>
      </c>
      <c r="S9316" s="2">
        <v>42551</v>
      </c>
      <c r="T9316" s="2">
        <v>42549</v>
      </c>
      <c r="U9316" s="2">
        <v>42609</v>
      </c>
      <c r="V9316" t="s">
        <v>71</v>
      </c>
      <c r="W9316" t="str">
        <f>"                  10"</f>
        <v xml:space="preserve">                  10</v>
      </c>
      <c r="X9316" s="1">
        <v>6966.2</v>
      </c>
      <c r="Y9316">
        <v>0</v>
      </c>
      <c r="Z9316" s="5">
        <v>5710</v>
      </c>
      <c r="AA9316">
        <v>37</v>
      </c>
      <c r="AB9316" s="5">
        <v>211270</v>
      </c>
      <c r="AC9316" s="1">
        <v>5710</v>
      </c>
      <c r="AD9316">
        <v>37</v>
      </c>
      <c r="AE9316" s="1">
        <v>211270</v>
      </c>
      <c r="AF9316">
        <v>0</v>
      </c>
      <c r="AJ9316">
        <v>0</v>
      </c>
      <c r="AK9316">
        <v>0</v>
      </c>
      <c r="AL9316">
        <v>0</v>
      </c>
      <c r="AM9316" s="1">
        <v>6966.2</v>
      </c>
      <c r="AN9316" s="1">
        <v>6966.2</v>
      </c>
      <c r="AO9316" s="1">
        <v>6966.2</v>
      </c>
      <c r="AP9316" s="2">
        <v>42746</v>
      </c>
      <c r="AQ9316" t="s">
        <v>72</v>
      </c>
      <c r="AR9316" t="s">
        <v>72</v>
      </c>
      <c r="AS9316">
        <v>2572</v>
      </c>
      <c r="AT9316" s="4">
        <v>42646</v>
      </c>
      <c r="AU9316" t="s">
        <v>73</v>
      </c>
      <c r="AV9316">
        <v>2572</v>
      </c>
      <c r="AW9316" s="4">
        <v>42646</v>
      </c>
      <c r="BD9316">
        <v>0</v>
      </c>
      <c r="BN9316" t="s">
        <v>74</v>
      </c>
    </row>
    <row r="9317" spans="1:66" hidden="1">
      <c r="A9317">
        <v>106652</v>
      </c>
      <c r="B9317" s="3" t="s">
        <v>846</v>
      </c>
      <c r="C9317" s="1">
        <v>43500101</v>
      </c>
      <c r="D9317" t="s">
        <v>113</v>
      </c>
      <c r="H9317" t="str">
        <f t="shared" ref="H9317:H9323" si="982">"DGGCMN86A67A717P"</f>
        <v>DGGCMN86A67A717P</v>
      </c>
      <c r="I9317" t="str">
        <f t="shared" ref="I9317:I9323" si="983">"02860130646"</f>
        <v>02860130646</v>
      </c>
      <c r="K9317" t="str">
        <f>""</f>
        <v/>
      </c>
      <c r="M9317" t="s">
        <v>68</v>
      </c>
      <c r="N9317" t="str">
        <f t="shared" ref="N9317:N9323" si="984">"ALTPRO"</f>
        <v>ALTPRO</v>
      </c>
      <c r="O9317" t="s">
        <v>132</v>
      </c>
      <c r="P9317" s="3" t="s">
        <v>75</v>
      </c>
      <c r="Q9317">
        <v>2016</v>
      </c>
      <c r="R9317" s="2">
        <v>42380</v>
      </c>
      <c r="S9317" s="2">
        <v>42382</v>
      </c>
      <c r="T9317" s="2">
        <v>42380</v>
      </c>
      <c r="U9317" s="2">
        <v>42440</v>
      </c>
      <c r="V9317" t="s">
        <v>71</v>
      </c>
      <c r="W9317" t="str">
        <f>"         FATTPA 1_16"</f>
        <v xml:space="preserve">         FATTPA 1_16</v>
      </c>
      <c r="X9317">
        <v>669.01</v>
      </c>
      <c r="Y9317">
        <v>0</v>
      </c>
      <c r="Z9317"/>
      <c r="AB9317"/>
      <c r="AC9317">
        <v>669.01</v>
      </c>
      <c r="AD9317">
        <v>-43</v>
      </c>
      <c r="AE9317" s="1">
        <v>-28767.43</v>
      </c>
      <c r="AF9317">
        <v>0</v>
      </c>
      <c r="AJ9317">
        <v>0</v>
      </c>
      <c r="AK9317">
        <v>0</v>
      </c>
      <c r="AL9317">
        <v>0</v>
      </c>
      <c r="AM9317">
        <v>669.01</v>
      </c>
      <c r="AN9317">
        <v>669.01</v>
      </c>
      <c r="AO9317">
        <v>669.01</v>
      </c>
      <c r="AP9317" s="2">
        <v>42746</v>
      </c>
      <c r="AQ9317" t="s">
        <v>72</v>
      </c>
      <c r="AR9317" t="s">
        <v>72</v>
      </c>
      <c r="AS9317">
        <v>152</v>
      </c>
      <c r="AT9317" s="4">
        <v>42397</v>
      </c>
      <c r="AV9317">
        <v>152</v>
      </c>
      <c r="AW9317" s="4">
        <v>42397</v>
      </c>
      <c r="BD9317">
        <v>0</v>
      </c>
      <c r="BN9317" t="s">
        <v>74</v>
      </c>
    </row>
    <row r="9318" spans="1:66" hidden="1">
      <c r="A9318">
        <v>106652</v>
      </c>
      <c r="B9318" s="3" t="s">
        <v>846</v>
      </c>
      <c r="C9318" s="1">
        <v>43500101</v>
      </c>
      <c r="D9318" t="s">
        <v>113</v>
      </c>
      <c r="H9318" t="str">
        <f t="shared" si="982"/>
        <v>DGGCMN86A67A717P</v>
      </c>
      <c r="I9318" t="str">
        <f t="shared" si="983"/>
        <v>02860130646</v>
      </c>
      <c r="K9318" t="str">
        <f>""</f>
        <v/>
      </c>
      <c r="M9318" t="s">
        <v>68</v>
      </c>
      <c r="N9318" t="str">
        <f t="shared" si="984"/>
        <v>ALTPRO</v>
      </c>
      <c r="O9318" t="s">
        <v>132</v>
      </c>
      <c r="P9318" s="3" t="s">
        <v>75</v>
      </c>
      <c r="Q9318">
        <v>2016</v>
      </c>
      <c r="R9318" s="2">
        <v>42380</v>
      </c>
      <c r="S9318" s="2">
        <v>42382</v>
      </c>
      <c r="T9318" s="2">
        <v>42380</v>
      </c>
      <c r="U9318" s="2">
        <v>42440</v>
      </c>
      <c r="V9318" t="s">
        <v>71</v>
      </c>
      <c r="W9318" t="str">
        <f>"         FATTPA 2_16"</f>
        <v xml:space="preserve">         FATTPA 2_16</v>
      </c>
      <c r="X9318">
        <v>669.01</v>
      </c>
      <c r="Y9318">
        <v>0</v>
      </c>
      <c r="Z9318"/>
      <c r="AB9318"/>
      <c r="AC9318">
        <v>669.01</v>
      </c>
      <c r="AD9318">
        <v>-43</v>
      </c>
      <c r="AE9318" s="1">
        <v>-28767.43</v>
      </c>
      <c r="AF9318">
        <v>0</v>
      </c>
      <c r="AJ9318">
        <v>0</v>
      </c>
      <c r="AK9318">
        <v>0</v>
      </c>
      <c r="AL9318">
        <v>0</v>
      </c>
      <c r="AM9318">
        <v>669.01</v>
      </c>
      <c r="AN9318">
        <v>669.01</v>
      </c>
      <c r="AO9318">
        <v>669.01</v>
      </c>
      <c r="AP9318" s="2">
        <v>42746</v>
      </c>
      <c r="AQ9318" t="s">
        <v>72</v>
      </c>
      <c r="AR9318" t="s">
        <v>72</v>
      </c>
      <c r="AS9318">
        <v>152</v>
      </c>
      <c r="AT9318" s="4">
        <v>42397</v>
      </c>
      <c r="AV9318">
        <v>152</v>
      </c>
      <c r="AW9318" s="4">
        <v>42397</v>
      </c>
      <c r="BD9318">
        <v>0</v>
      </c>
      <c r="BN9318" t="s">
        <v>74</v>
      </c>
    </row>
    <row r="9319" spans="1:66" hidden="1">
      <c r="A9319">
        <v>106652</v>
      </c>
      <c r="B9319" s="3" t="s">
        <v>846</v>
      </c>
      <c r="C9319" s="1">
        <v>43500101</v>
      </c>
      <c r="D9319" t="s">
        <v>113</v>
      </c>
      <c r="H9319" t="str">
        <f t="shared" si="982"/>
        <v>DGGCMN86A67A717P</v>
      </c>
      <c r="I9319" t="str">
        <f t="shared" si="983"/>
        <v>02860130646</v>
      </c>
      <c r="K9319" t="str">
        <f>""</f>
        <v/>
      </c>
      <c r="M9319" t="s">
        <v>68</v>
      </c>
      <c r="N9319" t="str">
        <f t="shared" si="984"/>
        <v>ALTPRO</v>
      </c>
      <c r="O9319" t="s">
        <v>132</v>
      </c>
      <c r="P9319" s="3" t="s">
        <v>75</v>
      </c>
      <c r="Q9319">
        <v>2016</v>
      </c>
      <c r="R9319" s="2">
        <v>42443</v>
      </c>
      <c r="S9319" s="2">
        <v>42443</v>
      </c>
      <c r="T9319" s="2">
        <v>42443</v>
      </c>
      <c r="U9319" s="2">
        <v>42503</v>
      </c>
      <c r="V9319" t="s">
        <v>71</v>
      </c>
      <c r="W9319" t="str">
        <f>"         FATTPA 3_16"</f>
        <v xml:space="preserve">         FATTPA 3_16</v>
      </c>
      <c r="X9319" s="1">
        <v>1336.01</v>
      </c>
      <c r="Y9319">
        <v>0</v>
      </c>
      <c r="Z9319"/>
      <c r="AB9319"/>
      <c r="AC9319" s="1">
        <v>1336.01</v>
      </c>
      <c r="AD9319">
        <v>-52</v>
      </c>
      <c r="AE9319" s="1">
        <v>-69472.52</v>
      </c>
      <c r="AF9319">
        <v>0</v>
      </c>
      <c r="AJ9319">
        <v>0</v>
      </c>
      <c r="AK9319">
        <v>0</v>
      </c>
      <c r="AL9319">
        <v>0</v>
      </c>
      <c r="AM9319" s="1">
        <v>1336.01</v>
      </c>
      <c r="AN9319" s="1">
        <v>1336.01</v>
      </c>
      <c r="AO9319" s="1">
        <v>1336.01</v>
      </c>
      <c r="AP9319" s="2">
        <v>42746</v>
      </c>
      <c r="AQ9319" t="s">
        <v>72</v>
      </c>
      <c r="AR9319" t="s">
        <v>72</v>
      </c>
      <c r="AS9319">
        <v>706</v>
      </c>
      <c r="AT9319" s="4">
        <v>42451</v>
      </c>
      <c r="AV9319">
        <v>706</v>
      </c>
      <c r="AW9319" s="4">
        <v>42451</v>
      </c>
      <c r="BD9319">
        <v>0</v>
      </c>
      <c r="BN9319" t="s">
        <v>74</v>
      </c>
    </row>
    <row r="9320" spans="1:66" hidden="1">
      <c r="A9320">
        <v>106652</v>
      </c>
      <c r="B9320" s="3" t="s">
        <v>846</v>
      </c>
      <c r="C9320" s="1">
        <v>43500101</v>
      </c>
      <c r="D9320" t="s">
        <v>113</v>
      </c>
      <c r="H9320" t="str">
        <f t="shared" si="982"/>
        <v>DGGCMN86A67A717P</v>
      </c>
      <c r="I9320" t="str">
        <f t="shared" si="983"/>
        <v>02860130646</v>
      </c>
      <c r="K9320" t="str">
        <f>""</f>
        <v/>
      </c>
      <c r="M9320" t="s">
        <v>68</v>
      </c>
      <c r="N9320" t="str">
        <f t="shared" si="984"/>
        <v>ALTPRO</v>
      </c>
      <c r="O9320" t="s">
        <v>132</v>
      </c>
      <c r="P9320" s="3" t="s">
        <v>75</v>
      </c>
      <c r="Q9320">
        <v>2016</v>
      </c>
      <c r="R9320" s="2">
        <v>42498</v>
      </c>
      <c r="S9320" s="2">
        <v>42499</v>
      </c>
      <c r="T9320" s="2">
        <v>42498</v>
      </c>
      <c r="U9320" s="2">
        <v>42558</v>
      </c>
      <c r="V9320" t="s">
        <v>71</v>
      </c>
      <c r="W9320" t="str">
        <f>"         FATTPA 4_16"</f>
        <v xml:space="preserve">         FATTPA 4_16</v>
      </c>
      <c r="X9320" s="1">
        <v>1336.01</v>
      </c>
      <c r="Y9320">
        <v>0</v>
      </c>
      <c r="Z9320"/>
      <c r="AB9320"/>
      <c r="AC9320" s="1">
        <v>1336.01</v>
      </c>
      <c r="AD9320">
        <v>-31</v>
      </c>
      <c r="AE9320" s="1">
        <v>-41416.31</v>
      </c>
      <c r="AF9320">
        <v>0</v>
      </c>
      <c r="AJ9320">
        <v>0</v>
      </c>
      <c r="AK9320">
        <v>0</v>
      </c>
      <c r="AL9320">
        <v>0</v>
      </c>
      <c r="AM9320" s="1">
        <v>1336.01</v>
      </c>
      <c r="AN9320" s="1">
        <v>1336.01</v>
      </c>
      <c r="AO9320" s="1">
        <v>1336.01</v>
      </c>
      <c r="AP9320" s="2">
        <v>42746</v>
      </c>
      <c r="AQ9320" t="s">
        <v>72</v>
      </c>
      <c r="AR9320" t="s">
        <v>72</v>
      </c>
      <c r="AS9320">
        <v>1485</v>
      </c>
      <c r="AT9320" s="4">
        <v>42527</v>
      </c>
      <c r="AV9320">
        <v>1485</v>
      </c>
      <c r="AW9320" s="4">
        <v>42527</v>
      </c>
      <c r="BD9320">
        <v>0</v>
      </c>
      <c r="BN9320" t="s">
        <v>74</v>
      </c>
    </row>
    <row r="9321" spans="1:66" hidden="1">
      <c r="A9321">
        <v>106652</v>
      </c>
      <c r="B9321" s="3" t="s">
        <v>846</v>
      </c>
      <c r="C9321" s="1">
        <v>43500101</v>
      </c>
      <c r="D9321" t="s">
        <v>113</v>
      </c>
      <c r="H9321" t="str">
        <f t="shared" si="982"/>
        <v>DGGCMN86A67A717P</v>
      </c>
      <c r="I9321" t="str">
        <f t="shared" si="983"/>
        <v>02860130646</v>
      </c>
      <c r="K9321" t="str">
        <f>""</f>
        <v/>
      </c>
      <c r="M9321" t="s">
        <v>68</v>
      </c>
      <c r="N9321" t="str">
        <f t="shared" si="984"/>
        <v>ALTPRO</v>
      </c>
      <c r="O9321" t="s">
        <v>132</v>
      </c>
      <c r="P9321" s="3" t="s">
        <v>75</v>
      </c>
      <c r="Q9321">
        <v>2016</v>
      </c>
      <c r="R9321" s="2">
        <v>42561</v>
      </c>
      <c r="S9321" s="2">
        <v>42562</v>
      </c>
      <c r="T9321" s="2">
        <v>42561</v>
      </c>
      <c r="U9321" s="2">
        <v>42621</v>
      </c>
      <c r="V9321" t="s">
        <v>71</v>
      </c>
      <c r="W9321" t="str">
        <f>"         FATTPA 5_16"</f>
        <v xml:space="preserve">         FATTPA 5_16</v>
      </c>
      <c r="X9321" s="1">
        <v>1336.01</v>
      </c>
      <c r="Y9321">
        <v>0</v>
      </c>
      <c r="Z9321"/>
      <c r="AB9321"/>
      <c r="AC9321" s="1">
        <v>1336.01</v>
      </c>
      <c r="AD9321">
        <v>-36</v>
      </c>
      <c r="AE9321" s="1">
        <v>-48096.36</v>
      </c>
      <c r="AF9321">
        <v>0</v>
      </c>
      <c r="AJ9321">
        <v>0</v>
      </c>
      <c r="AK9321">
        <v>0</v>
      </c>
      <c r="AL9321">
        <v>0</v>
      </c>
      <c r="AM9321" s="1">
        <v>1336.01</v>
      </c>
      <c r="AN9321" s="1">
        <v>1336.01</v>
      </c>
      <c r="AO9321" s="1">
        <v>1336.01</v>
      </c>
      <c r="AP9321" s="2">
        <v>42746</v>
      </c>
      <c r="AQ9321" t="s">
        <v>72</v>
      </c>
      <c r="AR9321" t="s">
        <v>72</v>
      </c>
      <c r="AS9321">
        <v>2064</v>
      </c>
      <c r="AT9321" s="4">
        <v>42585</v>
      </c>
      <c r="AV9321">
        <v>2064</v>
      </c>
      <c r="AW9321" s="4">
        <v>42585</v>
      </c>
      <c r="BD9321">
        <v>0</v>
      </c>
      <c r="BN9321" t="s">
        <v>74</v>
      </c>
    </row>
    <row r="9322" spans="1:66">
      <c r="A9322">
        <v>106652</v>
      </c>
      <c r="B9322" s="3" t="s">
        <v>846</v>
      </c>
      <c r="C9322" s="1">
        <v>43500101</v>
      </c>
      <c r="D9322" t="s">
        <v>113</v>
      </c>
      <c r="H9322" t="str">
        <f t="shared" si="982"/>
        <v>DGGCMN86A67A717P</v>
      </c>
      <c r="I9322" t="str">
        <f t="shared" si="983"/>
        <v>02860130646</v>
      </c>
      <c r="K9322" t="str">
        <f>""</f>
        <v/>
      </c>
      <c r="M9322" t="s">
        <v>68</v>
      </c>
      <c r="N9322" t="str">
        <f t="shared" si="984"/>
        <v>ALTPRO</v>
      </c>
      <c r="O9322" t="s">
        <v>132</v>
      </c>
      <c r="P9322" s="3" t="s">
        <v>75</v>
      </c>
      <c r="Q9322">
        <v>2016</v>
      </c>
      <c r="R9322" s="2">
        <v>42647</v>
      </c>
      <c r="S9322" s="2">
        <v>42648</v>
      </c>
      <c r="T9322" s="2">
        <v>42647</v>
      </c>
      <c r="U9322" s="2">
        <v>42707</v>
      </c>
      <c r="V9322" t="s">
        <v>71</v>
      </c>
      <c r="W9322" t="str">
        <f>"         FATTPA 7_16"</f>
        <v xml:space="preserve">         FATTPA 7_16</v>
      </c>
      <c r="X9322" s="1">
        <v>1334.01</v>
      </c>
      <c r="Y9322">
        <v>0</v>
      </c>
      <c r="Z9322" s="5">
        <v>1334.01</v>
      </c>
      <c r="AA9322">
        <v>-38</v>
      </c>
      <c r="AB9322" s="5">
        <v>-50692.38</v>
      </c>
      <c r="AC9322" s="1">
        <v>1334.01</v>
      </c>
      <c r="AD9322">
        <v>-38</v>
      </c>
      <c r="AE9322" s="1">
        <v>-50692.38</v>
      </c>
      <c r="AF9322">
        <v>0</v>
      </c>
      <c r="AJ9322">
        <v>0</v>
      </c>
      <c r="AK9322" s="1">
        <v>1334.01</v>
      </c>
      <c r="AL9322" s="1">
        <v>1334.01</v>
      </c>
      <c r="AM9322" s="1">
        <v>1334.01</v>
      </c>
      <c r="AN9322" s="1">
        <v>1334.01</v>
      </c>
      <c r="AO9322" s="1">
        <v>1334.01</v>
      </c>
      <c r="AP9322" s="2">
        <v>42746</v>
      </c>
      <c r="AQ9322" t="s">
        <v>72</v>
      </c>
      <c r="AR9322" t="s">
        <v>72</v>
      </c>
      <c r="AS9322">
        <v>2883</v>
      </c>
      <c r="AT9322" s="4">
        <v>42669</v>
      </c>
      <c r="AV9322">
        <v>2883</v>
      </c>
      <c r="AW9322" s="4">
        <v>42669</v>
      </c>
      <c r="BD9322">
        <v>0</v>
      </c>
      <c r="BN9322" t="s">
        <v>74</v>
      </c>
    </row>
    <row r="9323" spans="1:66">
      <c r="A9323">
        <v>106652</v>
      </c>
      <c r="B9323" s="3" t="s">
        <v>846</v>
      </c>
      <c r="C9323" s="1">
        <v>43500101</v>
      </c>
      <c r="D9323" t="s">
        <v>113</v>
      </c>
      <c r="H9323" t="str">
        <f t="shared" si="982"/>
        <v>DGGCMN86A67A717P</v>
      </c>
      <c r="I9323" t="str">
        <f t="shared" si="983"/>
        <v>02860130646</v>
      </c>
      <c r="K9323" t="str">
        <f>""</f>
        <v/>
      </c>
      <c r="M9323" t="s">
        <v>68</v>
      </c>
      <c r="N9323" t="str">
        <f t="shared" si="984"/>
        <v>ALTPRO</v>
      </c>
      <c r="O9323" t="s">
        <v>132</v>
      </c>
      <c r="P9323" s="3" t="s">
        <v>75</v>
      </c>
      <c r="Q9323">
        <v>2016</v>
      </c>
      <c r="R9323" s="2">
        <v>42715</v>
      </c>
      <c r="S9323" s="2">
        <v>42717</v>
      </c>
      <c r="T9323" s="2">
        <v>42715</v>
      </c>
      <c r="U9323" s="2">
        <v>42775</v>
      </c>
      <c r="V9323" t="s">
        <v>71</v>
      </c>
      <c r="W9323" t="str">
        <f>"         FATTPA 9_16"</f>
        <v xml:space="preserve">         FATTPA 9_16</v>
      </c>
      <c r="X9323" s="1">
        <v>1334.01</v>
      </c>
      <c r="Y9323">
        <v>0</v>
      </c>
      <c r="Z9323" s="5">
        <v>1334.01</v>
      </c>
      <c r="AA9323">
        <v>-55</v>
      </c>
      <c r="AB9323" s="5">
        <v>-73370.55</v>
      </c>
      <c r="AC9323" s="1">
        <v>1334.01</v>
      </c>
      <c r="AD9323">
        <v>-55</v>
      </c>
      <c r="AE9323" s="1">
        <v>-73370.55</v>
      </c>
      <c r="AF9323">
        <v>0</v>
      </c>
      <c r="AJ9323">
        <v>0</v>
      </c>
      <c r="AK9323" s="1">
        <v>1334.01</v>
      </c>
      <c r="AL9323" s="1">
        <v>1334.01</v>
      </c>
      <c r="AM9323" s="1">
        <v>1334.01</v>
      </c>
      <c r="AN9323" s="1">
        <v>1334.01</v>
      </c>
      <c r="AO9323" s="1">
        <v>1334.01</v>
      </c>
      <c r="AP9323" s="2">
        <v>42746</v>
      </c>
      <c r="AQ9323" t="s">
        <v>72</v>
      </c>
      <c r="AR9323" t="s">
        <v>72</v>
      </c>
      <c r="AS9323">
        <v>3542</v>
      </c>
      <c r="AT9323" s="4">
        <v>42720</v>
      </c>
      <c r="AV9323">
        <v>3542</v>
      </c>
      <c r="AW9323" s="4">
        <v>42720</v>
      </c>
      <c r="BD9323">
        <v>0</v>
      </c>
      <c r="BN9323" t="s">
        <v>74</v>
      </c>
    </row>
    <row r="9324" spans="1:66" hidden="1">
      <c r="A9324">
        <v>106654</v>
      </c>
      <c r="B9324" s="3" t="s">
        <v>847</v>
      </c>
      <c r="C9324" s="1">
        <v>43300101</v>
      </c>
      <c r="D9324" t="s">
        <v>67</v>
      </c>
      <c r="H9324" t="str">
        <f>"06567401218"</f>
        <v>06567401218</v>
      </c>
      <c r="I9324" t="str">
        <f>"06567401218"</f>
        <v>06567401218</v>
      </c>
      <c r="K9324" t="str">
        <f>""</f>
        <v/>
      </c>
      <c r="M9324" t="s">
        <v>68</v>
      </c>
      <c r="N9324" t="str">
        <f>"FOR"</f>
        <v>FOR</v>
      </c>
      <c r="O9324" t="s">
        <v>69</v>
      </c>
      <c r="P9324" s="3" t="s">
        <v>75</v>
      </c>
      <c r="Q9324">
        <v>2015</v>
      </c>
      <c r="R9324" s="2">
        <v>42338</v>
      </c>
      <c r="S9324" s="2">
        <v>42368</v>
      </c>
      <c r="T9324" s="2">
        <v>42367</v>
      </c>
      <c r="U9324" s="2">
        <v>42427</v>
      </c>
      <c r="V9324" t="s">
        <v>71</v>
      </c>
      <c r="W9324" t="str">
        <f>"                PA09"</f>
        <v xml:space="preserve">                PA09</v>
      </c>
      <c r="X9324">
        <v>61</v>
      </c>
      <c r="Y9324">
        <v>0</v>
      </c>
      <c r="Z9324"/>
      <c r="AB9324"/>
      <c r="AC9324">
        <v>50</v>
      </c>
      <c r="AD9324">
        <v>139</v>
      </c>
      <c r="AE9324" s="1">
        <v>6950</v>
      </c>
      <c r="AF9324">
        <v>11</v>
      </c>
      <c r="AJ9324">
        <v>0</v>
      </c>
      <c r="AK9324">
        <v>0</v>
      </c>
      <c r="AL9324">
        <v>0</v>
      </c>
      <c r="AM9324">
        <v>0</v>
      </c>
      <c r="AN9324">
        <v>0</v>
      </c>
      <c r="AO9324">
        <v>0</v>
      </c>
      <c r="AP9324" s="2">
        <v>42746</v>
      </c>
      <c r="AQ9324" t="s">
        <v>72</v>
      </c>
      <c r="AR9324" t="s">
        <v>72</v>
      </c>
      <c r="AS9324">
        <v>1771</v>
      </c>
      <c r="AT9324" s="4">
        <v>42566</v>
      </c>
      <c r="AU9324" t="s">
        <v>73</v>
      </c>
      <c r="AV9324">
        <v>1771</v>
      </c>
      <c r="AW9324" s="4">
        <v>42566</v>
      </c>
      <c r="BD9324">
        <v>11</v>
      </c>
      <c r="BN9324" t="s">
        <v>74</v>
      </c>
    </row>
    <row r="9325" spans="1:66" hidden="1">
      <c r="A9325">
        <v>106656</v>
      </c>
      <c r="B9325" s="3" t="s">
        <v>848</v>
      </c>
      <c r="C9325" s="1">
        <v>43500101</v>
      </c>
      <c r="D9325" t="s">
        <v>113</v>
      </c>
      <c r="H9325" t="str">
        <f>""</f>
        <v/>
      </c>
      <c r="I9325" t="str">
        <f>"01342050620"</f>
        <v>01342050620</v>
      </c>
      <c r="K9325" t="str">
        <f>""</f>
        <v/>
      </c>
      <c r="M9325" t="s">
        <v>68</v>
      </c>
      <c r="N9325" t="str">
        <f t="shared" ref="N9325:N9331" si="985">"ALTPRO"</f>
        <v>ALTPRO</v>
      </c>
      <c r="O9325" t="s">
        <v>132</v>
      </c>
      <c r="P9325" s="3" t="s">
        <v>75</v>
      </c>
      <c r="Q9325">
        <v>2016</v>
      </c>
      <c r="R9325" s="2">
        <v>42409</v>
      </c>
      <c r="S9325" s="2">
        <v>42410</v>
      </c>
      <c r="T9325" s="2">
        <v>42409</v>
      </c>
      <c r="U9325" s="2">
        <v>42469</v>
      </c>
      <c r="V9325" t="s">
        <v>71</v>
      </c>
      <c r="W9325" t="str">
        <f>"                  05"</f>
        <v xml:space="preserve">                  05</v>
      </c>
      <c r="X9325" s="1">
        <v>5643.88</v>
      </c>
      <c r="Y9325">
        <v>-889.64</v>
      </c>
      <c r="Z9325"/>
      <c r="AB9325"/>
      <c r="AC9325" s="1">
        <v>4754.24</v>
      </c>
      <c r="AD9325">
        <v>-36</v>
      </c>
      <c r="AE9325" s="1">
        <v>-171152.64000000001</v>
      </c>
      <c r="AF9325">
        <v>0</v>
      </c>
      <c r="AJ9325">
        <v>0</v>
      </c>
      <c r="AK9325">
        <v>0</v>
      </c>
      <c r="AL9325">
        <v>0</v>
      </c>
      <c r="AM9325" s="1">
        <v>4754.24</v>
      </c>
      <c r="AN9325" s="1">
        <v>4754.24</v>
      </c>
      <c r="AO9325" s="1">
        <v>4754.24</v>
      </c>
      <c r="AP9325" s="2">
        <v>42746</v>
      </c>
      <c r="AQ9325" t="s">
        <v>72</v>
      </c>
      <c r="AR9325" t="s">
        <v>72</v>
      </c>
      <c r="AS9325">
        <v>661</v>
      </c>
      <c r="AT9325" s="4">
        <v>42433</v>
      </c>
      <c r="AV9325">
        <v>661</v>
      </c>
      <c r="AW9325" s="4">
        <v>42433</v>
      </c>
      <c r="BD9325">
        <v>0</v>
      </c>
      <c r="BN9325" t="s">
        <v>74</v>
      </c>
    </row>
    <row r="9326" spans="1:66">
      <c r="A9326">
        <v>106656</v>
      </c>
      <c r="B9326" s="3" t="s">
        <v>848</v>
      </c>
      <c r="C9326" s="1">
        <v>43500101</v>
      </c>
      <c r="D9326" t="s">
        <v>113</v>
      </c>
      <c r="H9326" t="str">
        <f>""</f>
        <v/>
      </c>
      <c r="I9326" t="str">
        <f>"01342050620"</f>
        <v>01342050620</v>
      </c>
      <c r="K9326" t="str">
        <f>""</f>
        <v/>
      </c>
      <c r="M9326" t="s">
        <v>68</v>
      </c>
      <c r="N9326" t="str">
        <f t="shared" si="985"/>
        <v>ALTPRO</v>
      </c>
      <c r="O9326" t="s">
        <v>132</v>
      </c>
      <c r="P9326" s="3" t="s">
        <v>75</v>
      </c>
      <c r="Q9326">
        <v>2016</v>
      </c>
      <c r="R9326" s="2">
        <v>42705</v>
      </c>
      <c r="S9326" s="2">
        <v>42706</v>
      </c>
      <c r="T9326" s="2">
        <v>42705</v>
      </c>
      <c r="U9326" s="2">
        <v>42765</v>
      </c>
      <c r="V9326" t="s">
        <v>71</v>
      </c>
      <c r="W9326" t="str">
        <f>"                  30"</f>
        <v xml:space="preserve">                  30</v>
      </c>
      <c r="X9326">
        <v>179.19</v>
      </c>
      <c r="Y9326">
        <v>0</v>
      </c>
      <c r="Z9326" s="3">
        <v>179.19</v>
      </c>
      <c r="AA9326">
        <v>-54</v>
      </c>
      <c r="AB9326" s="5">
        <v>-9676.26</v>
      </c>
      <c r="AC9326">
        <v>179.19</v>
      </c>
      <c r="AD9326">
        <v>-54</v>
      </c>
      <c r="AE9326" s="1">
        <v>-9676.26</v>
      </c>
      <c r="AF9326">
        <v>0</v>
      </c>
      <c r="AJ9326">
        <v>179.19</v>
      </c>
      <c r="AK9326">
        <v>179.19</v>
      </c>
      <c r="AL9326">
        <v>179.19</v>
      </c>
      <c r="AM9326">
        <v>179.19</v>
      </c>
      <c r="AN9326">
        <v>179.19</v>
      </c>
      <c r="AO9326">
        <v>179.19</v>
      </c>
      <c r="AP9326" s="2">
        <v>42746</v>
      </c>
      <c r="AQ9326" t="s">
        <v>72</v>
      </c>
      <c r="AR9326" t="s">
        <v>72</v>
      </c>
      <c r="AS9326">
        <v>3361</v>
      </c>
      <c r="AT9326" s="4">
        <v>42711</v>
      </c>
      <c r="AV9326">
        <v>3361</v>
      </c>
      <c r="AW9326" s="4">
        <v>42711</v>
      </c>
      <c r="BD9326">
        <v>0</v>
      </c>
      <c r="BN9326" t="s">
        <v>74</v>
      </c>
    </row>
    <row r="9327" spans="1:66" hidden="1">
      <c r="A9327">
        <v>106659</v>
      </c>
      <c r="B9327" s="3" t="s">
        <v>849</v>
      </c>
      <c r="C9327" s="1">
        <v>43500101</v>
      </c>
      <c r="D9327" t="s">
        <v>113</v>
      </c>
      <c r="H9327" t="str">
        <f>"TRNMRA77P16B963T"</f>
        <v>TRNMRA77P16B963T</v>
      </c>
      <c r="I9327" t="str">
        <f>"03393330612"</f>
        <v>03393330612</v>
      </c>
      <c r="K9327" t="str">
        <f>""</f>
        <v/>
      </c>
      <c r="M9327" t="s">
        <v>68</v>
      </c>
      <c r="N9327" t="str">
        <f t="shared" si="985"/>
        <v>ALTPRO</v>
      </c>
      <c r="O9327" t="s">
        <v>132</v>
      </c>
      <c r="P9327" s="3" t="s">
        <v>75</v>
      </c>
      <c r="Q9327">
        <v>2015</v>
      </c>
      <c r="R9327" s="2">
        <v>42335</v>
      </c>
      <c r="S9327" s="2">
        <v>42338</v>
      </c>
      <c r="T9327" s="2">
        <v>42335</v>
      </c>
      <c r="U9327" s="2">
        <v>42395</v>
      </c>
      <c r="V9327" t="s">
        <v>71</v>
      </c>
      <c r="W9327" t="str">
        <f>"     10_2015/FATTURE"</f>
        <v xml:space="preserve">     10_2015/FATTURE</v>
      </c>
      <c r="X9327" s="1">
        <v>6000</v>
      </c>
      <c r="Y9327" s="1">
        <v>-1200</v>
      </c>
      <c r="Z9327"/>
      <c r="AB9327"/>
      <c r="AC9327" s="1">
        <v>4800</v>
      </c>
      <c r="AD9327">
        <v>2</v>
      </c>
      <c r="AE9327" s="1">
        <v>9600</v>
      </c>
      <c r="AF9327">
        <v>0</v>
      </c>
      <c r="AJ9327">
        <v>0</v>
      </c>
      <c r="AK9327">
        <v>0</v>
      </c>
      <c r="AL9327">
        <v>0</v>
      </c>
      <c r="AM9327">
        <v>0</v>
      </c>
      <c r="AN9327">
        <v>0</v>
      </c>
      <c r="AO9327">
        <v>0</v>
      </c>
      <c r="AP9327" s="2">
        <v>42746</v>
      </c>
      <c r="AQ9327" t="s">
        <v>72</v>
      </c>
      <c r="AR9327" t="s">
        <v>72</v>
      </c>
      <c r="AS9327">
        <v>123</v>
      </c>
      <c r="AT9327" s="4">
        <v>42397</v>
      </c>
      <c r="AU9327" t="s">
        <v>73</v>
      </c>
      <c r="AV9327">
        <v>123</v>
      </c>
      <c r="AW9327" s="4">
        <v>42397</v>
      </c>
      <c r="BD9327">
        <v>0</v>
      </c>
      <c r="BN9327" t="s">
        <v>74</v>
      </c>
    </row>
    <row r="9328" spans="1:66" hidden="1">
      <c r="A9328">
        <v>106659</v>
      </c>
      <c r="B9328" s="3" t="s">
        <v>849</v>
      </c>
      <c r="C9328" s="1">
        <v>43500101</v>
      </c>
      <c r="D9328" t="s">
        <v>113</v>
      </c>
      <c r="H9328" t="str">
        <f>"TRNMRA77P16B963T"</f>
        <v>TRNMRA77P16B963T</v>
      </c>
      <c r="I9328" t="str">
        <f>"03393330612"</f>
        <v>03393330612</v>
      </c>
      <c r="K9328" t="str">
        <f>""</f>
        <v/>
      </c>
      <c r="M9328" t="s">
        <v>68</v>
      </c>
      <c r="N9328" t="str">
        <f t="shared" si="985"/>
        <v>ALTPRO</v>
      </c>
      <c r="O9328" t="s">
        <v>132</v>
      </c>
      <c r="P9328" s="3" t="s">
        <v>75</v>
      </c>
      <c r="Q9328">
        <v>2015</v>
      </c>
      <c r="R9328" s="2">
        <v>42335</v>
      </c>
      <c r="S9328" s="2">
        <v>42338</v>
      </c>
      <c r="T9328" s="2">
        <v>42335</v>
      </c>
      <c r="U9328" s="2">
        <v>42395</v>
      </c>
      <c r="V9328" t="s">
        <v>71</v>
      </c>
      <c r="W9328" t="str">
        <f>"     11_2015/FATTURE"</f>
        <v xml:space="preserve">     11_2015/FATTURE</v>
      </c>
      <c r="X9328" s="1">
        <v>6000</v>
      </c>
      <c r="Y9328" s="1">
        <v>-1200</v>
      </c>
      <c r="Z9328"/>
      <c r="AB9328"/>
      <c r="AC9328" s="1">
        <v>4800</v>
      </c>
      <c r="AD9328">
        <v>2</v>
      </c>
      <c r="AE9328" s="1">
        <v>9600</v>
      </c>
      <c r="AF9328">
        <v>0</v>
      </c>
      <c r="AJ9328">
        <v>0</v>
      </c>
      <c r="AK9328">
        <v>0</v>
      </c>
      <c r="AL9328">
        <v>0</v>
      </c>
      <c r="AM9328">
        <v>0</v>
      </c>
      <c r="AN9328">
        <v>0</v>
      </c>
      <c r="AO9328">
        <v>0</v>
      </c>
      <c r="AP9328" s="2">
        <v>42746</v>
      </c>
      <c r="AQ9328" t="s">
        <v>72</v>
      </c>
      <c r="AR9328" t="s">
        <v>72</v>
      </c>
      <c r="AS9328">
        <v>123</v>
      </c>
      <c r="AT9328" s="4">
        <v>42397</v>
      </c>
      <c r="AU9328" t="s">
        <v>73</v>
      </c>
      <c r="AV9328">
        <v>123</v>
      </c>
      <c r="AW9328" s="4">
        <v>42397</v>
      </c>
      <c r="BD9328">
        <v>0</v>
      </c>
      <c r="BN9328" t="s">
        <v>74</v>
      </c>
    </row>
    <row r="9329" spans="1:66" hidden="1">
      <c r="A9329">
        <v>106659</v>
      </c>
      <c r="B9329" s="3" t="s">
        <v>849</v>
      </c>
      <c r="C9329" s="1">
        <v>43500101</v>
      </c>
      <c r="D9329" t="s">
        <v>113</v>
      </c>
      <c r="H9329" t="str">
        <f>"TRNMRA77P16B963T"</f>
        <v>TRNMRA77P16B963T</v>
      </c>
      <c r="I9329" t="str">
        <f>"03393330612"</f>
        <v>03393330612</v>
      </c>
      <c r="K9329" t="str">
        <f>""</f>
        <v/>
      </c>
      <c r="M9329" t="s">
        <v>68</v>
      </c>
      <c r="N9329" t="str">
        <f t="shared" si="985"/>
        <v>ALTPRO</v>
      </c>
      <c r="O9329" t="s">
        <v>132</v>
      </c>
      <c r="P9329" s="3" t="s">
        <v>75</v>
      </c>
      <c r="Q9329">
        <v>2016</v>
      </c>
      <c r="R9329" s="2">
        <v>42528</v>
      </c>
      <c r="S9329" s="2">
        <v>42537</v>
      </c>
      <c r="T9329" s="2">
        <v>42535</v>
      </c>
      <c r="U9329" s="2">
        <v>42595</v>
      </c>
      <c r="V9329" t="s">
        <v>71</v>
      </c>
      <c r="W9329" t="str">
        <f>"              7_2016"</f>
        <v xml:space="preserve">              7_2016</v>
      </c>
      <c r="X9329" s="1">
        <v>6000</v>
      </c>
      <c r="Y9329" s="1">
        <v>-1200</v>
      </c>
      <c r="Z9329"/>
      <c r="AB9329"/>
      <c r="AC9329" s="1">
        <v>4800</v>
      </c>
      <c r="AD9329">
        <v>-43</v>
      </c>
      <c r="AE9329" s="1">
        <v>-206400</v>
      </c>
      <c r="AF9329">
        <v>0</v>
      </c>
      <c r="AJ9329">
        <v>0</v>
      </c>
      <c r="AK9329">
        <v>0</v>
      </c>
      <c r="AL9329">
        <v>0</v>
      </c>
      <c r="AM9329" s="1">
        <v>4800</v>
      </c>
      <c r="AN9329" s="1">
        <v>4800</v>
      </c>
      <c r="AO9329" s="1">
        <v>4800</v>
      </c>
      <c r="AP9329" s="2">
        <v>42746</v>
      </c>
      <c r="AQ9329" t="s">
        <v>72</v>
      </c>
      <c r="AR9329" t="s">
        <v>72</v>
      </c>
      <c r="AS9329">
        <v>1652</v>
      </c>
      <c r="AT9329" s="4">
        <v>42552</v>
      </c>
      <c r="AV9329">
        <v>1652</v>
      </c>
      <c r="AW9329" s="4">
        <v>42552</v>
      </c>
      <c r="BD9329">
        <v>0</v>
      </c>
      <c r="BN9329" t="s">
        <v>74</v>
      </c>
    </row>
    <row r="9330" spans="1:66" hidden="1">
      <c r="A9330">
        <v>106659</v>
      </c>
      <c r="B9330" s="3" t="s">
        <v>849</v>
      </c>
      <c r="C9330" s="1">
        <v>43500101</v>
      </c>
      <c r="D9330" t="s">
        <v>113</v>
      </c>
      <c r="H9330" t="str">
        <f>"TRNMRA77P16B963T"</f>
        <v>TRNMRA77P16B963T</v>
      </c>
      <c r="I9330" t="str">
        <f>"03393330612"</f>
        <v>03393330612</v>
      </c>
      <c r="K9330" t="str">
        <f>""</f>
        <v/>
      </c>
      <c r="M9330" t="s">
        <v>68</v>
      </c>
      <c r="N9330" t="str">
        <f t="shared" si="985"/>
        <v>ALTPRO</v>
      </c>
      <c r="O9330" t="s">
        <v>132</v>
      </c>
      <c r="P9330" s="3" t="s">
        <v>75</v>
      </c>
      <c r="Q9330">
        <v>2016</v>
      </c>
      <c r="R9330" s="2">
        <v>42441</v>
      </c>
      <c r="S9330" s="2">
        <v>42443</v>
      </c>
      <c r="T9330" s="2">
        <v>42441</v>
      </c>
      <c r="U9330" s="2">
        <v>42501</v>
      </c>
      <c r="V9330" t="s">
        <v>71</v>
      </c>
      <c r="W9330" t="str">
        <f>"   3_2016/FATTURE BN"</f>
        <v xml:space="preserve">   3_2016/FATTURE BN</v>
      </c>
      <c r="X9330" s="1">
        <v>6000</v>
      </c>
      <c r="Y9330" s="1">
        <v>-1200</v>
      </c>
      <c r="Z9330"/>
      <c r="AB9330"/>
      <c r="AC9330" s="1">
        <v>4800</v>
      </c>
      <c r="AD9330">
        <v>-50</v>
      </c>
      <c r="AE9330" s="1">
        <v>-240000</v>
      </c>
      <c r="AF9330">
        <v>0</v>
      </c>
      <c r="AJ9330">
        <v>0</v>
      </c>
      <c r="AK9330">
        <v>0</v>
      </c>
      <c r="AL9330">
        <v>0</v>
      </c>
      <c r="AM9330" s="1">
        <v>4800</v>
      </c>
      <c r="AN9330" s="1">
        <v>4800</v>
      </c>
      <c r="AO9330" s="1">
        <v>4800</v>
      </c>
      <c r="AP9330" s="2">
        <v>42746</v>
      </c>
      <c r="AQ9330" t="s">
        <v>72</v>
      </c>
      <c r="AR9330" t="s">
        <v>72</v>
      </c>
      <c r="AS9330">
        <v>750</v>
      </c>
      <c r="AT9330" s="4">
        <v>42451</v>
      </c>
      <c r="AV9330">
        <v>750</v>
      </c>
      <c r="AW9330" s="4">
        <v>42451</v>
      </c>
      <c r="BD9330">
        <v>0</v>
      </c>
      <c r="BN9330" t="s">
        <v>74</v>
      </c>
    </row>
    <row r="9331" spans="1:66" hidden="1">
      <c r="A9331">
        <v>106660</v>
      </c>
      <c r="B9331" s="3" t="s">
        <v>850</v>
      </c>
      <c r="C9331" s="1">
        <v>43500101</v>
      </c>
      <c r="D9331" t="s">
        <v>113</v>
      </c>
      <c r="H9331" t="str">
        <f>"SRUTRS60A48A783F"</f>
        <v>SRUTRS60A48A783F</v>
      </c>
      <c r="I9331" t="str">
        <f>"01299270627"</f>
        <v>01299270627</v>
      </c>
      <c r="K9331" t="str">
        <f>""</f>
        <v/>
      </c>
      <c r="M9331" t="s">
        <v>68</v>
      </c>
      <c r="N9331" t="str">
        <f t="shared" si="985"/>
        <v>ALTPRO</v>
      </c>
      <c r="O9331" t="s">
        <v>132</v>
      </c>
      <c r="P9331" s="3" t="s">
        <v>146</v>
      </c>
      <c r="Q9331">
        <v>2015</v>
      </c>
      <c r="R9331" s="2">
        <v>42298</v>
      </c>
      <c r="S9331" s="2">
        <v>42325</v>
      </c>
      <c r="T9331" s="2">
        <v>42324</v>
      </c>
      <c r="U9331" s="2">
        <v>42384</v>
      </c>
      <c r="V9331" t="s">
        <v>71</v>
      </c>
      <c r="W9331" t="str">
        <f>"                39/1"</f>
        <v xml:space="preserve">                39/1</v>
      </c>
      <c r="X9331" s="1">
        <v>2135</v>
      </c>
      <c r="Y9331">
        <v>-350</v>
      </c>
      <c r="Z9331"/>
      <c r="AB9331"/>
      <c r="AC9331" s="1">
        <v>1785</v>
      </c>
      <c r="AD9331">
        <v>49</v>
      </c>
      <c r="AE9331" s="1">
        <v>87465</v>
      </c>
      <c r="AF9331">
        <v>0</v>
      </c>
      <c r="AJ9331">
        <v>0</v>
      </c>
      <c r="AK9331">
        <v>0</v>
      </c>
      <c r="AL9331">
        <v>0</v>
      </c>
      <c r="AM9331">
        <v>0</v>
      </c>
      <c r="AN9331">
        <v>0</v>
      </c>
      <c r="AO9331">
        <v>0</v>
      </c>
      <c r="AP9331" s="2">
        <v>42746</v>
      </c>
      <c r="AQ9331" t="s">
        <v>72</v>
      </c>
      <c r="AR9331" t="s">
        <v>72</v>
      </c>
      <c r="AS9331">
        <v>663</v>
      </c>
      <c r="AT9331" s="4">
        <v>42433</v>
      </c>
      <c r="AU9331" t="s">
        <v>73</v>
      </c>
      <c r="AV9331">
        <v>663</v>
      </c>
      <c r="AW9331" s="4">
        <v>42433</v>
      </c>
      <c r="BD9331">
        <v>0</v>
      </c>
      <c r="BN9331" t="s">
        <v>74</v>
      </c>
    </row>
    <row r="9332" spans="1:66" hidden="1">
      <c r="A9332">
        <v>106662</v>
      </c>
      <c r="B9332" s="3" t="s">
        <v>851</v>
      </c>
      <c r="C9332" s="1">
        <v>43300101</v>
      </c>
      <c r="D9332" t="s">
        <v>67</v>
      </c>
      <c r="H9332" t="str">
        <f>""</f>
        <v/>
      </c>
      <c r="I9332" t="str">
        <f>"07226131212"</f>
        <v>07226131212</v>
      </c>
      <c r="K9332" t="str">
        <f>""</f>
        <v/>
      </c>
      <c r="M9332" t="s">
        <v>68</v>
      </c>
      <c r="N9332" t="str">
        <f>"FOR"</f>
        <v>FOR</v>
      </c>
      <c r="O9332" t="s">
        <v>69</v>
      </c>
      <c r="P9332" s="3" t="s">
        <v>75</v>
      </c>
      <c r="Q9332">
        <v>2015</v>
      </c>
      <c r="R9332" s="2">
        <v>42338</v>
      </c>
      <c r="S9332" s="2">
        <v>42342</v>
      </c>
      <c r="T9332" s="2">
        <v>42338</v>
      </c>
      <c r="U9332" s="2">
        <v>42398</v>
      </c>
      <c r="V9332" t="s">
        <v>71</v>
      </c>
      <c r="W9332" t="str">
        <f>"                7/PA"</f>
        <v xml:space="preserve">                7/PA</v>
      </c>
      <c r="X9332" s="1">
        <v>15225.6</v>
      </c>
      <c r="Y9332">
        <v>0</v>
      </c>
      <c r="Z9332"/>
      <c r="AB9332"/>
      <c r="AC9332" s="1">
        <v>12480</v>
      </c>
      <c r="AD9332">
        <v>35</v>
      </c>
      <c r="AE9332" s="1">
        <v>436800</v>
      </c>
      <c r="AF9332">
        <v>0</v>
      </c>
      <c r="AJ9332">
        <v>0</v>
      </c>
      <c r="AK9332">
        <v>0</v>
      </c>
      <c r="AL9332">
        <v>0</v>
      </c>
      <c r="AM9332">
        <v>0</v>
      </c>
      <c r="AN9332">
        <v>0</v>
      </c>
      <c r="AO9332">
        <v>0</v>
      </c>
      <c r="AP9332" s="2">
        <v>42746</v>
      </c>
      <c r="AQ9332" t="s">
        <v>72</v>
      </c>
      <c r="AR9332" t="s">
        <v>72</v>
      </c>
      <c r="AS9332">
        <v>655</v>
      </c>
      <c r="AT9332" s="4">
        <v>42433</v>
      </c>
      <c r="AU9332" t="s">
        <v>73</v>
      </c>
      <c r="AV9332">
        <v>655</v>
      </c>
      <c r="AW9332" s="4">
        <v>42433</v>
      </c>
      <c r="BD9332">
        <v>0</v>
      </c>
      <c r="BN9332" t="s">
        <v>74</v>
      </c>
    </row>
    <row r="9333" spans="1:66" hidden="1">
      <c r="A9333">
        <v>106664</v>
      </c>
      <c r="B9333" s="3" t="s">
        <v>852</v>
      </c>
      <c r="C9333" s="1">
        <v>43300101</v>
      </c>
      <c r="D9333" t="s">
        <v>67</v>
      </c>
      <c r="H9333" t="str">
        <f>"BRTLND54R44F839V"</f>
        <v>BRTLND54R44F839V</v>
      </c>
      <c r="I9333" t="str">
        <f>"07099100633"</f>
        <v>07099100633</v>
      </c>
      <c r="K9333" t="str">
        <f>""</f>
        <v/>
      </c>
      <c r="M9333" t="s">
        <v>68</v>
      </c>
      <c r="N9333" t="str">
        <f>"FOR"</f>
        <v>FOR</v>
      </c>
      <c r="O9333" t="s">
        <v>69</v>
      </c>
      <c r="P9333" s="3" t="s">
        <v>75</v>
      </c>
      <c r="Q9333">
        <v>2016</v>
      </c>
      <c r="R9333" s="2">
        <v>42417</v>
      </c>
      <c r="S9333" s="2">
        <v>42419</v>
      </c>
      <c r="T9333" s="2">
        <v>42417</v>
      </c>
      <c r="U9333" s="2">
        <v>42477</v>
      </c>
      <c r="V9333" t="s">
        <v>71</v>
      </c>
      <c r="W9333" t="str">
        <f>"                1/PA"</f>
        <v xml:space="preserve">                1/PA</v>
      </c>
      <c r="X9333" s="1">
        <v>14719.3</v>
      </c>
      <c r="Y9333">
        <v>0</v>
      </c>
      <c r="Z9333"/>
      <c r="AB9333"/>
      <c r="AC9333" s="1">
        <v>12065</v>
      </c>
      <c r="AD9333">
        <v>101</v>
      </c>
      <c r="AE9333" s="1">
        <v>1218565</v>
      </c>
      <c r="AF9333">
        <v>0</v>
      </c>
      <c r="AJ9333">
        <v>0</v>
      </c>
      <c r="AK9333">
        <v>0</v>
      </c>
      <c r="AL9333">
        <v>0</v>
      </c>
      <c r="AM9333" s="1">
        <v>14719.3</v>
      </c>
      <c r="AN9333" s="1">
        <v>14719.3</v>
      </c>
      <c r="AO9333" s="1">
        <v>14719.3</v>
      </c>
      <c r="AP9333" s="2">
        <v>42746</v>
      </c>
      <c r="AQ9333" t="s">
        <v>72</v>
      </c>
      <c r="AR9333" t="s">
        <v>72</v>
      </c>
      <c r="AS9333">
        <v>1981</v>
      </c>
      <c r="AT9333" s="4">
        <v>42578</v>
      </c>
      <c r="AU9333" t="s">
        <v>73</v>
      </c>
      <c r="AV9333">
        <v>1981</v>
      </c>
      <c r="AW9333" s="4">
        <v>42578</v>
      </c>
      <c r="BD9333">
        <v>0</v>
      </c>
      <c r="BN9333" t="s">
        <v>74</v>
      </c>
    </row>
    <row r="9334" spans="1:66" hidden="1">
      <c r="A9334">
        <v>106665</v>
      </c>
      <c r="B9334" s="3" t="s">
        <v>853</v>
      </c>
      <c r="C9334" s="1">
        <v>43500101</v>
      </c>
      <c r="D9334" t="s">
        <v>113</v>
      </c>
      <c r="H9334" t="str">
        <f t="shared" ref="H9334:H9341" si="986">"MNLLRI82A42D643S"</f>
        <v>MNLLRI82A42D643S</v>
      </c>
      <c r="I9334" t="str">
        <f t="shared" ref="I9334:I9341" si="987">"01643200627"</f>
        <v>01643200627</v>
      </c>
      <c r="K9334" t="str">
        <f>""</f>
        <v/>
      </c>
      <c r="M9334" t="s">
        <v>68</v>
      </c>
      <c r="N9334" t="str">
        <f t="shared" ref="N9334:N9341" si="988">"ALTPRO"</f>
        <v>ALTPRO</v>
      </c>
      <c r="O9334" t="s">
        <v>132</v>
      </c>
      <c r="P9334" s="3" t="s">
        <v>146</v>
      </c>
      <c r="Q9334">
        <v>2015</v>
      </c>
      <c r="R9334" s="2">
        <v>42369</v>
      </c>
      <c r="S9334" s="2">
        <v>42369</v>
      </c>
      <c r="T9334" s="2">
        <v>42369</v>
      </c>
      <c r="U9334" s="2">
        <v>42429</v>
      </c>
      <c r="V9334" t="s">
        <v>71</v>
      </c>
      <c r="W9334" t="str">
        <f>"         FATTPA 2_15"</f>
        <v xml:space="preserve">         FATTPA 2_15</v>
      </c>
      <c r="X9334" s="1">
        <v>3409.64</v>
      </c>
      <c r="Y9334">
        <v>0</v>
      </c>
      <c r="Z9334"/>
      <c r="AB9334"/>
      <c r="AC9334" s="1">
        <v>3409.64</v>
      </c>
      <c r="AD9334">
        <v>-25</v>
      </c>
      <c r="AE9334" s="1">
        <v>-85241</v>
      </c>
      <c r="AF9334">
        <v>0</v>
      </c>
      <c r="AJ9334">
        <v>0</v>
      </c>
      <c r="AK9334">
        <v>0</v>
      </c>
      <c r="AL9334">
        <v>0</v>
      </c>
      <c r="AM9334">
        <v>0</v>
      </c>
      <c r="AN9334">
        <v>0</v>
      </c>
      <c r="AO9334">
        <v>0</v>
      </c>
      <c r="AP9334" s="2">
        <v>42746</v>
      </c>
      <c r="AQ9334" t="s">
        <v>72</v>
      </c>
      <c r="AR9334" t="s">
        <v>72</v>
      </c>
      <c r="AS9334">
        <v>241</v>
      </c>
      <c r="AT9334" s="4">
        <v>42404</v>
      </c>
      <c r="AV9334">
        <v>241</v>
      </c>
      <c r="AW9334" s="4">
        <v>42404</v>
      </c>
      <c r="BD9334">
        <v>0</v>
      </c>
      <c r="BN9334" t="s">
        <v>74</v>
      </c>
    </row>
    <row r="9335" spans="1:66" hidden="1">
      <c r="A9335">
        <v>106665</v>
      </c>
      <c r="B9335" s="3" t="s">
        <v>853</v>
      </c>
      <c r="C9335" s="1">
        <v>43500101</v>
      </c>
      <c r="D9335" t="s">
        <v>113</v>
      </c>
      <c r="H9335" t="str">
        <f t="shared" si="986"/>
        <v>MNLLRI82A42D643S</v>
      </c>
      <c r="I9335" t="str">
        <f t="shared" si="987"/>
        <v>01643200627</v>
      </c>
      <c r="K9335" t="str">
        <f>""</f>
        <v/>
      </c>
      <c r="M9335" t="s">
        <v>68</v>
      </c>
      <c r="N9335" t="str">
        <f t="shared" si="988"/>
        <v>ALTPRO</v>
      </c>
      <c r="O9335" t="s">
        <v>132</v>
      </c>
      <c r="P9335" s="3" t="s">
        <v>146</v>
      </c>
      <c r="Q9335">
        <v>2016</v>
      </c>
      <c r="R9335" s="2">
        <v>42402</v>
      </c>
      <c r="S9335" s="2">
        <v>42443</v>
      </c>
      <c r="T9335" s="2">
        <v>42440</v>
      </c>
      <c r="U9335" s="2">
        <v>42500</v>
      </c>
      <c r="V9335" t="s">
        <v>71</v>
      </c>
      <c r="W9335" t="str">
        <f>"         FATTPA 2_16"</f>
        <v xml:space="preserve">         FATTPA 2_16</v>
      </c>
      <c r="X9335" s="1">
        <v>2899.14</v>
      </c>
      <c r="Y9335">
        <v>0</v>
      </c>
      <c r="Z9335"/>
      <c r="AB9335"/>
      <c r="AC9335" s="1">
        <v>2899.14</v>
      </c>
      <c r="AD9335">
        <v>-49</v>
      </c>
      <c r="AE9335" s="1">
        <v>-142057.85999999999</v>
      </c>
      <c r="AF9335">
        <v>0</v>
      </c>
      <c r="AJ9335">
        <v>0</v>
      </c>
      <c r="AK9335">
        <v>0</v>
      </c>
      <c r="AL9335">
        <v>0</v>
      </c>
      <c r="AM9335" s="1">
        <v>2899.14</v>
      </c>
      <c r="AN9335" s="1">
        <v>2899.14</v>
      </c>
      <c r="AO9335" s="1">
        <v>2899.14</v>
      </c>
      <c r="AP9335" s="2">
        <v>42746</v>
      </c>
      <c r="AQ9335" t="s">
        <v>72</v>
      </c>
      <c r="AR9335" t="s">
        <v>72</v>
      </c>
      <c r="AS9335">
        <v>739</v>
      </c>
      <c r="AT9335" s="4">
        <v>42451</v>
      </c>
      <c r="AV9335">
        <v>739</v>
      </c>
      <c r="AW9335" s="4">
        <v>42451</v>
      </c>
      <c r="BD9335">
        <v>0</v>
      </c>
      <c r="BN9335" t="s">
        <v>74</v>
      </c>
    </row>
    <row r="9336" spans="1:66" hidden="1">
      <c r="A9336">
        <v>106665</v>
      </c>
      <c r="B9336" s="3" t="s">
        <v>853</v>
      </c>
      <c r="C9336" s="1">
        <v>43500101</v>
      </c>
      <c r="D9336" t="s">
        <v>113</v>
      </c>
      <c r="H9336" t="str">
        <f t="shared" si="986"/>
        <v>MNLLRI82A42D643S</v>
      </c>
      <c r="I9336" t="str">
        <f t="shared" si="987"/>
        <v>01643200627</v>
      </c>
      <c r="K9336" t="str">
        <f>""</f>
        <v/>
      </c>
      <c r="M9336" t="s">
        <v>68</v>
      </c>
      <c r="N9336" t="str">
        <f t="shared" si="988"/>
        <v>ALTPRO</v>
      </c>
      <c r="O9336" t="s">
        <v>132</v>
      </c>
      <c r="P9336" s="3" t="s">
        <v>146</v>
      </c>
      <c r="Q9336">
        <v>2016</v>
      </c>
      <c r="R9336" s="2">
        <v>42432</v>
      </c>
      <c r="S9336" s="2">
        <v>42433</v>
      </c>
      <c r="T9336" s="2">
        <v>42432</v>
      </c>
      <c r="U9336" s="2">
        <v>42492</v>
      </c>
      <c r="V9336" t="s">
        <v>71</v>
      </c>
      <c r="W9336" t="str">
        <f>"         FATTPA 3_16"</f>
        <v xml:space="preserve">         FATTPA 3_16</v>
      </c>
      <c r="X9336" s="1">
        <v>3684.75</v>
      </c>
      <c r="Y9336">
        <v>0</v>
      </c>
      <c r="Z9336"/>
      <c r="AB9336"/>
      <c r="AC9336" s="1">
        <v>3684.75</v>
      </c>
      <c r="AD9336">
        <v>-41</v>
      </c>
      <c r="AE9336" s="1">
        <v>-151074.75</v>
      </c>
      <c r="AF9336">
        <v>0</v>
      </c>
      <c r="AJ9336">
        <v>0</v>
      </c>
      <c r="AK9336">
        <v>0</v>
      </c>
      <c r="AL9336">
        <v>0</v>
      </c>
      <c r="AM9336" s="1">
        <v>3684.75</v>
      </c>
      <c r="AN9336" s="1">
        <v>3684.75</v>
      </c>
      <c r="AO9336" s="1">
        <v>3684.75</v>
      </c>
      <c r="AP9336" s="2">
        <v>42746</v>
      </c>
      <c r="AQ9336" t="s">
        <v>72</v>
      </c>
      <c r="AR9336" t="s">
        <v>72</v>
      </c>
      <c r="AS9336">
        <v>739</v>
      </c>
      <c r="AT9336" s="4">
        <v>42451</v>
      </c>
      <c r="AV9336">
        <v>739</v>
      </c>
      <c r="AW9336" s="4">
        <v>42451</v>
      </c>
      <c r="BD9336">
        <v>0</v>
      </c>
      <c r="BN9336" t="s">
        <v>74</v>
      </c>
    </row>
    <row r="9337" spans="1:66" hidden="1">
      <c r="A9337">
        <v>106665</v>
      </c>
      <c r="B9337" s="3" t="s">
        <v>853</v>
      </c>
      <c r="C9337" s="1">
        <v>43500101</v>
      </c>
      <c r="D9337" t="s">
        <v>113</v>
      </c>
      <c r="H9337" t="str">
        <f t="shared" si="986"/>
        <v>MNLLRI82A42D643S</v>
      </c>
      <c r="I9337" t="str">
        <f t="shared" si="987"/>
        <v>01643200627</v>
      </c>
      <c r="K9337" t="str">
        <f>""</f>
        <v/>
      </c>
      <c r="M9337" t="s">
        <v>68</v>
      </c>
      <c r="N9337" t="str">
        <f t="shared" si="988"/>
        <v>ALTPRO</v>
      </c>
      <c r="O9337" t="s">
        <v>132</v>
      </c>
      <c r="P9337" s="3" t="s">
        <v>146</v>
      </c>
      <c r="Q9337">
        <v>2016</v>
      </c>
      <c r="R9337" s="2">
        <v>42471</v>
      </c>
      <c r="S9337" s="2">
        <v>42471</v>
      </c>
      <c r="T9337" s="2">
        <v>42471</v>
      </c>
      <c r="U9337" s="2">
        <v>42531</v>
      </c>
      <c r="V9337" t="s">
        <v>71</v>
      </c>
      <c r="W9337" t="str">
        <f>"         FATTPA 4_16"</f>
        <v xml:space="preserve">         FATTPA 4_16</v>
      </c>
      <c r="X9337" s="1">
        <v>2415.63</v>
      </c>
      <c r="Y9337">
        <v>0</v>
      </c>
      <c r="Z9337"/>
      <c r="AB9337"/>
      <c r="AC9337" s="1">
        <v>2415.63</v>
      </c>
      <c r="AD9337">
        <v>-44</v>
      </c>
      <c r="AE9337" s="1">
        <v>-106287.72</v>
      </c>
      <c r="AF9337">
        <v>0</v>
      </c>
      <c r="AJ9337">
        <v>0</v>
      </c>
      <c r="AK9337">
        <v>0</v>
      </c>
      <c r="AL9337">
        <v>0</v>
      </c>
      <c r="AM9337" s="1">
        <v>2415.63</v>
      </c>
      <c r="AN9337" s="1">
        <v>2415.63</v>
      </c>
      <c r="AO9337" s="1">
        <v>2415.63</v>
      </c>
      <c r="AP9337" s="2">
        <v>42746</v>
      </c>
      <c r="AQ9337" t="s">
        <v>72</v>
      </c>
      <c r="AR9337" t="s">
        <v>72</v>
      </c>
      <c r="AS9337">
        <v>1141</v>
      </c>
      <c r="AT9337" s="4">
        <v>42487</v>
      </c>
      <c r="AV9337">
        <v>1141</v>
      </c>
      <c r="AW9337" s="4">
        <v>42487</v>
      </c>
      <c r="BD9337">
        <v>0</v>
      </c>
      <c r="BN9337" t="s">
        <v>74</v>
      </c>
    </row>
    <row r="9338" spans="1:66" hidden="1">
      <c r="A9338">
        <v>106665</v>
      </c>
      <c r="B9338" s="3" t="s">
        <v>853</v>
      </c>
      <c r="C9338" s="1">
        <v>43500101</v>
      </c>
      <c r="D9338" t="s">
        <v>113</v>
      </c>
      <c r="H9338" t="str">
        <f t="shared" si="986"/>
        <v>MNLLRI82A42D643S</v>
      </c>
      <c r="I9338" t="str">
        <f t="shared" si="987"/>
        <v>01643200627</v>
      </c>
      <c r="K9338" t="str">
        <f>""</f>
        <v/>
      </c>
      <c r="M9338" t="s">
        <v>68</v>
      </c>
      <c r="N9338" t="str">
        <f t="shared" si="988"/>
        <v>ALTPRO</v>
      </c>
      <c r="O9338" t="s">
        <v>132</v>
      </c>
      <c r="P9338" s="3" t="s">
        <v>146</v>
      </c>
      <c r="Q9338">
        <v>2016</v>
      </c>
      <c r="R9338" s="2">
        <v>42495</v>
      </c>
      <c r="S9338" s="2">
        <v>42496</v>
      </c>
      <c r="T9338" s="2">
        <v>42495</v>
      </c>
      <c r="U9338" s="2">
        <v>42555</v>
      </c>
      <c r="V9338" t="s">
        <v>71</v>
      </c>
      <c r="W9338" t="str">
        <f>"         FATTPA 5_16"</f>
        <v xml:space="preserve">         FATTPA 5_16</v>
      </c>
      <c r="X9338" s="1">
        <v>2047.74</v>
      </c>
      <c r="Y9338">
        <v>0</v>
      </c>
      <c r="Z9338"/>
      <c r="AB9338"/>
      <c r="AC9338" s="1">
        <v>2047.74</v>
      </c>
      <c r="AD9338">
        <v>-39</v>
      </c>
      <c r="AE9338" s="1">
        <v>-79861.86</v>
      </c>
      <c r="AF9338">
        <v>0</v>
      </c>
      <c r="AJ9338">
        <v>0</v>
      </c>
      <c r="AK9338">
        <v>0</v>
      </c>
      <c r="AL9338">
        <v>0</v>
      </c>
      <c r="AM9338" s="1">
        <v>2047.74</v>
      </c>
      <c r="AN9338" s="1">
        <v>2047.74</v>
      </c>
      <c r="AO9338" s="1">
        <v>2047.74</v>
      </c>
      <c r="AP9338" s="2">
        <v>42746</v>
      </c>
      <c r="AQ9338" t="s">
        <v>72</v>
      </c>
      <c r="AR9338" t="s">
        <v>72</v>
      </c>
      <c r="AS9338">
        <v>1374</v>
      </c>
      <c r="AT9338" s="4">
        <v>42516</v>
      </c>
      <c r="AV9338">
        <v>1374</v>
      </c>
      <c r="AW9338" s="4">
        <v>42516</v>
      </c>
      <c r="BD9338">
        <v>0</v>
      </c>
      <c r="BN9338" t="s">
        <v>74</v>
      </c>
    </row>
    <row r="9339" spans="1:66" hidden="1">
      <c r="A9339">
        <v>106665</v>
      </c>
      <c r="B9339" s="3" t="s">
        <v>853</v>
      </c>
      <c r="C9339" s="1">
        <v>43500101</v>
      </c>
      <c r="D9339" t="s">
        <v>113</v>
      </c>
      <c r="H9339" t="str">
        <f t="shared" si="986"/>
        <v>MNLLRI82A42D643S</v>
      </c>
      <c r="I9339" t="str">
        <f t="shared" si="987"/>
        <v>01643200627</v>
      </c>
      <c r="K9339" t="str">
        <f>""</f>
        <v/>
      </c>
      <c r="M9339" t="s">
        <v>68</v>
      </c>
      <c r="N9339" t="str">
        <f t="shared" si="988"/>
        <v>ALTPRO</v>
      </c>
      <c r="O9339" t="s">
        <v>132</v>
      </c>
      <c r="P9339" s="3" t="s">
        <v>146</v>
      </c>
      <c r="Q9339">
        <v>2016</v>
      </c>
      <c r="R9339" s="2">
        <v>42521</v>
      </c>
      <c r="S9339" s="2">
        <v>42548</v>
      </c>
      <c r="T9339" s="2">
        <v>42548</v>
      </c>
      <c r="U9339" s="2">
        <v>42608</v>
      </c>
      <c r="V9339" t="s">
        <v>71</v>
      </c>
      <c r="W9339" t="str">
        <f>"         FATTPA 6_16"</f>
        <v xml:space="preserve">         FATTPA 6_16</v>
      </c>
      <c r="X9339" s="1">
        <v>2949.36</v>
      </c>
      <c r="Y9339">
        <v>0</v>
      </c>
      <c r="Z9339"/>
      <c r="AB9339"/>
      <c r="AC9339" s="1">
        <v>2949.36</v>
      </c>
      <c r="AD9339">
        <v>-56</v>
      </c>
      <c r="AE9339" s="1">
        <v>-165164.16</v>
      </c>
      <c r="AF9339">
        <v>0</v>
      </c>
      <c r="AJ9339">
        <v>0</v>
      </c>
      <c r="AK9339">
        <v>0</v>
      </c>
      <c r="AL9339">
        <v>0</v>
      </c>
      <c r="AM9339" s="1">
        <v>2949.36</v>
      </c>
      <c r="AN9339" s="1">
        <v>2949.36</v>
      </c>
      <c r="AO9339" s="1">
        <v>2949.36</v>
      </c>
      <c r="AP9339" s="2">
        <v>42746</v>
      </c>
      <c r="AQ9339" t="s">
        <v>72</v>
      </c>
      <c r="AR9339" t="s">
        <v>72</v>
      </c>
      <c r="AS9339">
        <v>1635</v>
      </c>
      <c r="AT9339" s="4">
        <v>42552</v>
      </c>
      <c r="AV9339">
        <v>1635</v>
      </c>
      <c r="AW9339" s="4">
        <v>42552</v>
      </c>
      <c r="BD9339">
        <v>0</v>
      </c>
      <c r="BN9339" t="s">
        <v>74</v>
      </c>
    </row>
    <row r="9340" spans="1:66" hidden="1">
      <c r="A9340">
        <v>106665</v>
      </c>
      <c r="B9340" s="3" t="s">
        <v>853</v>
      </c>
      <c r="C9340" s="1">
        <v>43500101</v>
      </c>
      <c r="D9340" t="s">
        <v>113</v>
      </c>
      <c r="H9340" t="str">
        <f t="shared" si="986"/>
        <v>MNLLRI82A42D643S</v>
      </c>
      <c r="I9340" t="str">
        <f t="shared" si="987"/>
        <v>01643200627</v>
      </c>
      <c r="K9340" t="str">
        <f>""</f>
        <v/>
      </c>
      <c r="M9340" t="s">
        <v>68</v>
      </c>
      <c r="N9340" t="str">
        <f t="shared" si="988"/>
        <v>ALTPRO</v>
      </c>
      <c r="O9340" t="s">
        <v>132</v>
      </c>
      <c r="P9340" s="3" t="s">
        <v>146</v>
      </c>
      <c r="Q9340">
        <v>2016</v>
      </c>
      <c r="R9340" s="2">
        <v>42551</v>
      </c>
      <c r="S9340" s="2">
        <v>42580</v>
      </c>
      <c r="T9340" s="2">
        <v>42579</v>
      </c>
      <c r="U9340" s="2">
        <v>42639</v>
      </c>
      <c r="V9340" t="s">
        <v>71</v>
      </c>
      <c r="W9340" t="str">
        <f>"         FATTPA 7_16"</f>
        <v xml:space="preserve">         FATTPA 7_16</v>
      </c>
      <c r="X9340" s="1">
        <v>2043.18</v>
      </c>
      <c r="Y9340">
        <v>0</v>
      </c>
      <c r="Z9340"/>
      <c r="AB9340"/>
      <c r="AC9340" s="1">
        <v>2043.18</v>
      </c>
      <c r="AD9340">
        <v>-56</v>
      </c>
      <c r="AE9340" s="1">
        <v>-114418.08</v>
      </c>
      <c r="AF9340">
        <v>0</v>
      </c>
      <c r="AJ9340">
        <v>0</v>
      </c>
      <c r="AK9340">
        <v>0</v>
      </c>
      <c r="AL9340">
        <v>0</v>
      </c>
      <c r="AM9340" s="1">
        <v>2043.18</v>
      </c>
      <c r="AN9340" s="1">
        <v>2043.18</v>
      </c>
      <c r="AO9340" s="1">
        <v>2043.18</v>
      </c>
      <c r="AP9340" s="2">
        <v>42746</v>
      </c>
      <c r="AQ9340" t="s">
        <v>72</v>
      </c>
      <c r="AR9340" t="s">
        <v>72</v>
      </c>
      <c r="AS9340">
        <v>2054</v>
      </c>
      <c r="AT9340" s="4">
        <v>42583</v>
      </c>
      <c r="AV9340">
        <v>2054</v>
      </c>
      <c r="AW9340" s="4">
        <v>42583</v>
      </c>
      <c r="BD9340">
        <v>0</v>
      </c>
      <c r="BN9340" t="s">
        <v>74</v>
      </c>
    </row>
    <row r="9341" spans="1:66" hidden="1">
      <c r="A9341">
        <v>106665</v>
      </c>
      <c r="B9341" s="3" t="s">
        <v>853</v>
      </c>
      <c r="C9341" s="1">
        <v>43500101</v>
      </c>
      <c r="D9341" t="s">
        <v>113</v>
      </c>
      <c r="H9341" t="str">
        <f t="shared" si="986"/>
        <v>MNLLRI82A42D643S</v>
      </c>
      <c r="I9341" t="str">
        <f t="shared" si="987"/>
        <v>01643200627</v>
      </c>
      <c r="K9341" t="str">
        <f>""</f>
        <v/>
      </c>
      <c r="M9341" t="s">
        <v>68</v>
      </c>
      <c r="N9341" t="str">
        <f t="shared" si="988"/>
        <v>ALTPRO</v>
      </c>
      <c r="O9341" t="s">
        <v>132</v>
      </c>
      <c r="P9341" s="3" t="s">
        <v>146</v>
      </c>
      <c r="Q9341">
        <v>2016</v>
      </c>
      <c r="R9341" s="2">
        <v>42579</v>
      </c>
      <c r="S9341" s="2">
        <v>42580</v>
      </c>
      <c r="T9341" s="2">
        <v>42579</v>
      </c>
      <c r="U9341" s="2">
        <v>42639</v>
      </c>
      <c r="V9341" t="s">
        <v>71</v>
      </c>
      <c r="W9341" t="str">
        <f>"         FATTPA 8_16"</f>
        <v xml:space="preserve">         FATTPA 8_16</v>
      </c>
      <c r="X9341" s="1">
        <v>1211.3599999999999</v>
      </c>
      <c r="Y9341">
        <v>0</v>
      </c>
      <c r="Z9341"/>
      <c r="AB9341"/>
      <c r="AC9341" s="1">
        <v>1211.3599999999999</v>
      </c>
      <c r="AD9341">
        <v>-56</v>
      </c>
      <c r="AE9341" s="1">
        <v>-67836.160000000003</v>
      </c>
      <c r="AF9341">
        <v>0</v>
      </c>
      <c r="AJ9341">
        <v>0</v>
      </c>
      <c r="AK9341">
        <v>0</v>
      </c>
      <c r="AL9341">
        <v>0</v>
      </c>
      <c r="AM9341" s="1">
        <v>1211.3599999999999</v>
      </c>
      <c r="AN9341" s="1">
        <v>1211.3599999999999</v>
      </c>
      <c r="AO9341" s="1">
        <v>1211.3599999999999</v>
      </c>
      <c r="AP9341" s="2">
        <v>42746</v>
      </c>
      <c r="AQ9341" t="s">
        <v>72</v>
      </c>
      <c r="AR9341" t="s">
        <v>72</v>
      </c>
      <c r="AS9341">
        <v>2054</v>
      </c>
      <c r="AT9341" s="4">
        <v>42583</v>
      </c>
      <c r="AV9341">
        <v>2054</v>
      </c>
      <c r="AW9341" s="4">
        <v>42583</v>
      </c>
      <c r="BD9341">
        <v>0</v>
      </c>
      <c r="BN9341" t="s">
        <v>74</v>
      </c>
    </row>
    <row r="9342" spans="1:66" hidden="1">
      <c r="A9342">
        <v>106668</v>
      </c>
      <c r="B9342" s="3" t="s">
        <v>854</v>
      </c>
      <c r="C9342" s="1">
        <v>43300101</v>
      </c>
      <c r="D9342" t="s">
        <v>67</v>
      </c>
      <c r="H9342" t="str">
        <f>"09594670151"</f>
        <v>09594670151</v>
      </c>
      <c r="I9342" t="str">
        <f>"00968550962"</f>
        <v>00968550962</v>
      </c>
      <c r="K9342" t="str">
        <f>""</f>
        <v/>
      </c>
      <c r="M9342" t="s">
        <v>68</v>
      </c>
      <c r="N9342" t="str">
        <f>"FOR"</f>
        <v>FOR</v>
      </c>
      <c r="O9342" t="s">
        <v>69</v>
      </c>
      <c r="P9342" s="3" t="s">
        <v>75</v>
      </c>
      <c r="Q9342">
        <v>2015</v>
      </c>
      <c r="R9342" s="2">
        <v>42369</v>
      </c>
      <c r="S9342" s="2">
        <v>42369</v>
      </c>
      <c r="T9342" s="2">
        <v>42369</v>
      </c>
      <c r="U9342" s="2">
        <v>42429</v>
      </c>
      <c r="V9342" t="s">
        <v>71</v>
      </c>
      <c r="W9342" t="str">
        <f>"                 2/E"</f>
        <v xml:space="preserve">                 2/E</v>
      </c>
      <c r="X9342" s="1">
        <v>5746.2</v>
      </c>
      <c r="Y9342">
        <v>0</v>
      </c>
      <c r="Z9342"/>
      <c r="AB9342"/>
      <c r="AC9342" s="1">
        <v>4710</v>
      </c>
      <c r="AD9342">
        <v>35</v>
      </c>
      <c r="AE9342" s="1">
        <v>164850</v>
      </c>
      <c r="AF9342">
        <v>0</v>
      </c>
      <c r="AJ9342">
        <v>0</v>
      </c>
      <c r="AK9342">
        <v>0</v>
      </c>
      <c r="AL9342">
        <v>0</v>
      </c>
      <c r="AM9342">
        <v>0</v>
      </c>
      <c r="AN9342">
        <v>0</v>
      </c>
      <c r="AO9342">
        <v>0</v>
      </c>
      <c r="AP9342" s="2">
        <v>42746</v>
      </c>
      <c r="AQ9342" t="s">
        <v>72</v>
      </c>
      <c r="AR9342" t="s">
        <v>72</v>
      </c>
      <c r="AS9342">
        <v>983</v>
      </c>
      <c r="AT9342" s="4">
        <v>42464</v>
      </c>
      <c r="AU9342" t="s">
        <v>73</v>
      </c>
      <c r="AV9342">
        <v>983</v>
      </c>
      <c r="AW9342" s="4">
        <v>42464</v>
      </c>
      <c r="BD9342">
        <v>0</v>
      </c>
      <c r="BN9342" t="s">
        <v>74</v>
      </c>
    </row>
    <row r="9343" spans="1:66" hidden="1">
      <c r="A9343">
        <v>106670</v>
      </c>
      <c r="B9343" s="3" t="s">
        <v>855</v>
      </c>
      <c r="C9343" s="1">
        <v>43500101</v>
      </c>
      <c r="D9343" t="s">
        <v>113</v>
      </c>
      <c r="H9343" t="str">
        <f t="shared" ref="H9343:H9354" si="989">"TRSNTN79R18I197P"</f>
        <v>TRSNTN79R18I197P</v>
      </c>
      <c r="I9343" t="str">
        <f t="shared" ref="I9343:I9354" si="990">"01547570620"</f>
        <v>01547570620</v>
      </c>
      <c r="K9343" t="str">
        <f>""</f>
        <v/>
      </c>
      <c r="M9343" t="s">
        <v>68</v>
      </c>
      <c r="N9343" t="str">
        <f t="shared" ref="N9343:N9354" si="991">"ALTPRO"</f>
        <v>ALTPRO</v>
      </c>
      <c r="O9343" t="s">
        <v>132</v>
      </c>
      <c r="P9343" s="3" t="s">
        <v>75</v>
      </c>
      <c r="Q9343">
        <v>2016</v>
      </c>
      <c r="R9343" s="2">
        <v>42384</v>
      </c>
      <c r="S9343" s="2">
        <v>42408</v>
      </c>
      <c r="T9343" s="2">
        <v>42406</v>
      </c>
      <c r="U9343" s="2">
        <v>42466</v>
      </c>
      <c r="V9343" t="s">
        <v>71</v>
      </c>
      <c r="W9343" t="str">
        <f>"         FATTPA 1_16"</f>
        <v xml:space="preserve">         FATTPA 1_16</v>
      </c>
      <c r="X9343" s="1">
        <v>1687.76</v>
      </c>
      <c r="Y9343">
        <v>0</v>
      </c>
      <c r="Z9343"/>
      <c r="AB9343"/>
      <c r="AC9343" s="1">
        <v>1687.76</v>
      </c>
      <c r="AD9343">
        <v>-40</v>
      </c>
      <c r="AE9343" s="1">
        <v>-67510.399999999994</v>
      </c>
      <c r="AF9343">
        <v>0</v>
      </c>
      <c r="AJ9343">
        <v>0</v>
      </c>
      <c r="AK9343">
        <v>0</v>
      </c>
      <c r="AL9343">
        <v>0</v>
      </c>
      <c r="AM9343">
        <v>0</v>
      </c>
      <c r="AN9343" s="1">
        <v>1687.76</v>
      </c>
      <c r="AO9343" s="1">
        <v>1687.76</v>
      </c>
      <c r="AP9343" s="2">
        <v>42746</v>
      </c>
      <c r="AQ9343" t="s">
        <v>72</v>
      </c>
      <c r="AR9343" t="s">
        <v>72</v>
      </c>
      <c r="AS9343">
        <v>564</v>
      </c>
      <c r="AT9343" s="4">
        <v>42426</v>
      </c>
      <c r="AV9343">
        <v>564</v>
      </c>
      <c r="AW9343" s="4">
        <v>42426</v>
      </c>
      <c r="BD9343">
        <v>0</v>
      </c>
      <c r="BN9343" t="s">
        <v>74</v>
      </c>
    </row>
    <row r="9344" spans="1:66" hidden="1">
      <c r="A9344">
        <v>106670</v>
      </c>
      <c r="B9344" s="3" t="s">
        <v>855</v>
      </c>
      <c r="C9344" s="1">
        <v>43500101</v>
      </c>
      <c r="D9344" t="s">
        <v>113</v>
      </c>
      <c r="H9344" t="str">
        <f t="shared" si="989"/>
        <v>TRSNTN79R18I197P</v>
      </c>
      <c r="I9344" t="str">
        <f t="shared" si="990"/>
        <v>01547570620</v>
      </c>
      <c r="K9344" t="str">
        <f>""</f>
        <v/>
      </c>
      <c r="M9344" t="s">
        <v>68</v>
      </c>
      <c r="N9344" t="str">
        <f t="shared" si="991"/>
        <v>ALTPRO</v>
      </c>
      <c r="O9344" t="s">
        <v>132</v>
      </c>
      <c r="P9344" s="3" t="s">
        <v>75</v>
      </c>
      <c r="Q9344">
        <v>2016</v>
      </c>
      <c r="R9344" s="2">
        <v>42405</v>
      </c>
      <c r="S9344" s="2">
        <v>42408</v>
      </c>
      <c r="T9344" s="2">
        <v>42405</v>
      </c>
      <c r="U9344" s="2">
        <v>42465</v>
      </c>
      <c r="V9344" t="s">
        <v>71</v>
      </c>
      <c r="W9344" t="str">
        <f>"         FATTPA 2_16"</f>
        <v xml:space="preserve">         FATTPA 2_16</v>
      </c>
      <c r="X9344" s="1">
        <v>2530.64</v>
      </c>
      <c r="Y9344">
        <v>0</v>
      </c>
      <c r="Z9344"/>
      <c r="AB9344"/>
      <c r="AC9344" s="1">
        <v>2530.64</v>
      </c>
      <c r="AD9344">
        <v>-39</v>
      </c>
      <c r="AE9344" s="1">
        <v>-98694.96</v>
      </c>
      <c r="AF9344">
        <v>0</v>
      </c>
      <c r="AJ9344">
        <v>0</v>
      </c>
      <c r="AK9344">
        <v>0</v>
      </c>
      <c r="AL9344">
        <v>0</v>
      </c>
      <c r="AM9344" s="1">
        <v>2530.64</v>
      </c>
      <c r="AN9344" s="1">
        <v>2530.64</v>
      </c>
      <c r="AO9344" s="1">
        <v>2530.64</v>
      </c>
      <c r="AP9344" s="2">
        <v>42746</v>
      </c>
      <c r="AQ9344" t="s">
        <v>72</v>
      </c>
      <c r="AR9344" t="s">
        <v>72</v>
      </c>
      <c r="AS9344">
        <v>564</v>
      </c>
      <c r="AT9344" s="4">
        <v>42426</v>
      </c>
      <c r="AV9344">
        <v>564</v>
      </c>
      <c r="AW9344" s="4">
        <v>42426</v>
      </c>
      <c r="BD9344">
        <v>0</v>
      </c>
      <c r="BN9344" t="s">
        <v>74</v>
      </c>
    </row>
    <row r="9345" spans="1:66" hidden="1">
      <c r="A9345">
        <v>106670</v>
      </c>
      <c r="B9345" s="3" t="s">
        <v>855</v>
      </c>
      <c r="C9345" s="1">
        <v>43500101</v>
      </c>
      <c r="D9345" t="s">
        <v>113</v>
      </c>
      <c r="H9345" t="str">
        <f t="shared" si="989"/>
        <v>TRSNTN79R18I197P</v>
      </c>
      <c r="I9345" t="str">
        <f t="shared" si="990"/>
        <v>01547570620</v>
      </c>
      <c r="K9345" t="str">
        <f>""</f>
        <v/>
      </c>
      <c r="M9345" t="s">
        <v>68</v>
      </c>
      <c r="N9345" t="str">
        <f t="shared" si="991"/>
        <v>ALTPRO</v>
      </c>
      <c r="O9345" t="s">
        <v>132</v>
      </c>
      <c r="P9345" s="3" t="s">
        <v>75</v>
      </c>
      <c r="Q9345">
        <v>2016</v>
      </c>
      <c r="R9345" s="2">
        <v>42432</v>
      </c>
      <c r="S9345" s="2">
        <v>42433</v>
      </c>
      <c r="T9345" s="2">
        <v>42432</v>
      </c>
      <c r="U9345" s="2">
        <v>42492</v>
      </c>
      <c r="V9345" t="s">
        <v>71</v>
      </c>
      <c r="W9345" t="str">
        <f>"         FATTPA 3_16"</f>
        <v xml:space="preserve">         FATTPA 3_16</v>
      </c>
      <c r="X9345" s="1">
        <v>2636</v>
      </c>
      <c r="Y9345">
        <v>0</v>
      </c>
      <c r="Z9345"/>
      <c r="AB9345"/>
      <c r="AC9345" s="1">
        <v>2636</v>
      </c>
      <c r="AD9345">
        <v>-41</v>
      </c>
      <c r="AE9345" s="1">
        <v>-108076</v>
      </c>
      <c r="AF9345">
        <v>0</v>
      </c>
      <c r="AJ9345">
        <v>0</v>
      </c>
      <c r="AK9345">
        <v>0</v>
      </c>
      <c r="AL9345">
        <v>0</v>
      </c>
      <c r="AM9345" s="1">
        <v>2636</v>
      </c>
      <c r="AN9345" s="1">
        <v>2636</v>
      </c>
      <c r="AO9345" s="1">
        <v>2636</v>
      </c>
      <c r="AP9345" s="2">
        <v>42746</v>
      </c>
      <c r="AQ9345" t="s">
        <v>72</v>
      </c>
      <c r="AR9345" t="s">
        <v>72</v>
      </c>
      <c r="AS9345">
        <v>733</v>
      </c>
      <c r="AT9345" s="4">
        <v>42451</v>
      </c>
      <c r="AV9345">
        <v>733</v>
      </c>
      <c r="AW9345" s="4">
        <v>42451</v>
      </c>
      <c r="BD9345">
        <v>0</v>
      </c>
      <c r="BN9345" t="s">
        <v>74</v>
      </c>
    </row>
    <row r="9346" spans="1:66" hidden="1">
      <c r="A9346">
        <v>106670</v>
      </c>
      <c r="B9346" s="3" t="s">
        <v>855</v>
      </c>
      <c r="C9346" s="1">
        <v>43500101</v>
      </c>
      <c r="D9346" t="s">
        <v>113</v>
      </c>
      <c r="H9346" t="str">
        <f t="shared" si="989"/>
        <v>TRSNTN79R18I197P</v>
      </c>
      <c r="I9346" t="str">
        <f t="shared" si="990"/>
        <v>01547570620</v>
      </c>
      <c r="K9346" t="str">
        <f>""</f>
        <v/>
      </c>
      <c r="M9346" t="s">
        <v>68</v>
      </c>
      <c r="N9346" t="str">
        <f t="shared" si="991"/>
        <v>ALTPRO</v>
      </c>
      <c r="O9346" t="s">
        <v>132</v>
      </c>
      <c r="P9346" s="3" t="s">
        <v>75</v>
      </c>
      <c r="Q9346">
        <v>2016</v>
      </c>
      <c r="R9346" s="2">
        <v>42460</v>
      </c>
      <c r="S9346" s="2">
        <v>42461</v>
      </c>
      <c r="T9346" s="2">
        <v>42460</v>
      </c>
      <c r="U9346" s="2">
        <v>42520</v>
      </c>
      <c r="V9346" t="s">
        <v>71</v>
      </c>
      <c r="W9346" t="str">
        <f>"         FATTPA 4_16"</f>
        <v xml:space="preserve">         FATTPA 4_16</v>
      </c>
      <c r="X9346" s="1">
        <v>2741.36</v>
      </c>
      <c r="Y9346">
        <v>0</v>
      </c>
      <c r="Z9346"/>
      <c r="AB9346"/>
      <c r="AC9346" s="1">
        <v>2741.36</v>
      </c>
      <c r="AD9346">
        <v>-33</v>
      </c>
      <c r="AE9346" s="1">
        <v>-90464.88</v>
      </c>
      <c r="AF9346">
        <v>0</v>
      </c>
      <c r="AJ9346">
        <v>0</v>
      </c>
      <c r="AK9346">
        <v>0</v>
      </c>
      <c r="AL9346">
        <v>0</v>
      </c>
      <c r="AM9346" s="1">
        <v>2741.36</v>
      </c>
      <c r="AN9346" s="1">
        <v>2741.36</v>
      </c>
      <c r="AO9346" s="1">
        <v>2741.36</v>
      </c>
      <c r="AP9346" s="2">
        <v>42746</v>
      </c>
      <c r="AQ9346" t="s">
        <v>72</v>
      </c>
      <c r="AR9346" t="s">
        <v>72</v>
      </c>
      <c r="AS9346">
        <v>1158</v>
      </c>
      <c r="AT9346" s="4">
        <v>42487</v>
      </c>
      <c r="AV9346">
        <v>1158</v>
      </c>
      <c r="AW9346" s="4">
        <v>42487</v>
      </c>
      <c r="BD9346">
        <v>0</v>
      </c>
      <c r="BN9346" t="s">
        <v>74</v>
      </c>
    </row>
    <row r="9347" spans="1:66" hidden="1">
      <c r="A9347">
        <v>106670</v>
      </c>
      <c r="B9347" s="3" t="s">
        <v>855</v>
      </c>
      <c r="C9347" s="1">
        <v>43500101</v>
      </c>
      <c r="D9347" t="s">
        <v>113</v>
      </c>
      <c r="H9347" t="str">
        <f t="shared" si="989"/>
        <v>TRSNTN79R18I197P</v>
      </c>
      <c r="I9347" t="str">
        <f t="shared" si="990"/>
        <v>01547570620</v>
      </c>
      <c r="K9347" t="str">
        <f>""</f>
        <v/>
      </c>
      <c r="M9347" t="s">
        <v>68</v>
      </c>
      <c r="N9347" t="str">
        <f t="shared" si="991"/>
        <v>ALTPRO</v>
      </c>
      <c r="O9347" t="s">
        <v>132</v>
      </c>
      <c r="P9347" s="3" t="s">
        <v>75</v>
      </c>
      <c r="Q9347">
        <v>2016</v>
      </c>
      <c r="R9347" s="2">
        <v>42495</v>
      </c>
      <c r="S9347" s="2">
        <v>42495</v>
      </c>
      <c r="T9347" s="2">
        <v>42495</v>
      </c>
      <c r="U9347" s="2">
        <v>42555</v>
      </c>
      <c r="V9347" t="s">
        <v>71</v>
      </c>
      <c r="W9347" t="str">
        <f>"         FATTPA 5_16"</f>
        <v xml:space="preserve">         FATTPA 5_16</v>
      </c>
      <c r="X9347" s="1">
        <v>2636</v>
      </c>
      <c r="Y9347">
        <v>0</v>
      </c>
      <c r="Z9347"/>
      <c r="AB9347"/>
      <c r="AC9347" s="1">
        <v>2636</v>
      </c>
      <c r="AD9347">
        <v>-39</v>
      </c>
      <c r="AE9347" s="1">
        <v>-102804</v>
      </c>
      <c r="AF9347">
        <v>0</v>
      </c>
      <c r="AJ9347">
        <v>0</v>
      </c>
      <c r="AK9347">
        <v>0</v>
      </c>
      <c r="AL9347">
        <v>0</v>
      </c>
      <c r="AM9347" s="1">
        <v>2636</v>
      </c>
      <c r="AN9347" s="1">
        <v>2636</v>
      </c>
      <c r="AO9347" s="1">
        <v>2636</v>
      </c>
      <c r="AP9347" s="2">
        <v>42746</v>
      </c>
      <c r="AQ9347" t="s">
        <v>72</v>
      </c>
      <c r="AR9347" t="s">
        <v>72</v>
      </c>
      <c r="AS9347">
        <v>1375</v>
      </c>
      <c r="AT9347" s="4">
        <v>42516</v>
      </c>
      <c r="AV9347">
        <v>1375</v>
      </c>
      <c r="AW9347" s="4">
        <v>42516</v>
      </c>
      <c r="BD9347">
        <v>0</v>
      </c>
      <c r="BN9347" t="s">
        <v>74</v>
      </c>
    </row>
    <row r="9348" spans="1:66" hidden="1">
      <c r="A9348">
        <v>106670</v>
      </c>
      <c r="B9348" s="3" t="s">
        <v>855</v>
      </c>
      <c r="C9348" s="1">
        <v>43500101</v>
      </c>
      <c r="D9348" t="s">
        <v>113</v>
      </c>
      <c r="H9348" t="str">
        <f t="shared" si="989"/>
        <v>TRSNTN79R18I197P</v>
      </c>
      <c r="I9348" t="str">
        <f t="shared" si="990"/>
        <v>01547570620</v>
      </c>
      <c r="K9348" t="str">
        <f>""</f>
        <v/>
      </c>
      <c r="M9348" t="s">
        <v>68</v>
      </c>
      <c r="N9348" t="str">
        <f t="shared" si="991"/>
        <v>ALTPRO</v>
      </c>
      <c r="O9348" t="s">
        <v>132</v>
      </c>
      <c r="P9348" s="3" t="s">
        <v>75</v>
      </c>
      <c r="Q9348">
        <v>2016</v>
      </c>
      <c r="R9348" s="2">
        <v>42522</v>
      </c>
      <c r="S9348" s="2">
        <v>42527</v>
      </c>
      <c r="T9348" s="2">
        <v>42522</v>
      </c>
      <c r="U9348" s="2">
        <v>42582</v>
      </c>
      <c r="V9348" t="s">
        <v>71</v>
      </c>
      <c r="W9348" t="str">
        <f>"         FATTPA 6_16"</f>
        <v xml:space="preserve">         FATTPA 6_16</v>
      </c>
      <c r="X9348" s="1">
        <v>2741.36</v>
      </c>
      <c r="Y9348">
        <v>0</v>
      </c>
      <c r="Z9348"/>
      <c r="AB9348"/>
      <c r="AC9348" s="1">
        <v>2741.36</v>
      </c>
      <c r="AD9348">
        <v>-54</v>
      </c>
      <c r="AE9348" s="1">
        <v>-148033.44</v>
      </c>
      <c r="AF9348">
        <v>0</v>
      </c>
      <c r="AJ9348">
        <v>0</v>
      </c>
      <c r="AK9348">
        <v>0</v>
      </c>
      <c r="AL9348">
        <v>0</v>
      </c>
      <c r="AM9348" s="1">
        <v>2741.36</v>
      </c>
      <c r="AN9348" s="1">
        <v>2741.36</v>
      </c>
      <c r="AO9348" s="1">
        <v>2741.36</v>
      </c>
      <c r="AP9348" s="2">
        <v>42746</v>
      </c>
      <c r="AQ9348" t="s">
        <v>72</v>
      </c>
      <c r="AR9348" t="s">
        <v>72</v>
      </c>
      <c r="AS9348">
        <v>1571</v>
      </c>
      <c r="AT9348" s="4">
        <v>42528</v>
      </c>
      <c r="AV9348">
        <v>1571</v>
      </c>
      <c r="AW9348" s="4">
        <v>42528</v>
      </c>
      <c r="BD9348">
        <v>0</v>
      </c>
      <c r="BN9348" t="s">
        <v>74</v>
      </c>
    </row>
    <row r="9349" spans="1:66" hidden="1">
      <c r="A9349">
        <v>106670</v>
      </c>
      <c r="B9349" s="3" t="s">
        <v>855</v>
      </c>
      <c r="C9349" s="1">
        <v>43500101</v>
      </c>
      <c r="D9349" t="s">
        <v>113</v>
      </c>
      <c r="H9349" t="str">
        <f t="shared" si="989"/>
        <v>TRSNTN79R18I197P</v>
      </c>
      <c r="I9349" t="str">
        <f t="shared" si="990"/>
        <v>01547570620</v>
      </c>
      <c r="K9349" t="str">
        <f>""</f>
        <v/>
      </c>
      <c r="M9349" t="s">
        <v>68</v>
      </c>
      <c r="N9349" t="str">
        <f t="shared" si="991"/>
        <v>ALTPRO</v>
      </c>
      <c r="O9349" t="s">
        <v>132</v>
      </c>
      <c r="P9349" s="3" t="s">
        <v>75</v>
      </c>
      <c r="Q9349">
        <v>2016</v>
      </c>
      <c r="R9349" s="2">
        <v>42562</v>
      </c>
      <c r="S9349" s="2">
        <v>42562</v>
      </c>
      <c r="T9349" s="2">
        <v>42562</v>
      </c>
      <c r="U9349" s="2">
        <v>42622</v>
      </c>
      <c r="V9349" t="s">
        <v>71</v>
      </c>
      <c r="W9349" t="str">
        <f>"         FATTPA 7_16"</f>
        <v xml:space="preserve">         FATTPA 7_16</v>
      </c>
      <c r="X9349" s="1">
        <v>2636</v>
      </c>
      <c r="Y9349">
        <v>0</v>
      </c>
      <c r="Z9349"/>
      <c r="AB9349"/>
      <c r="AC9349" s="1">
        <v>2636</v>
      </c>
      <c r="AD9349">
        <v>-56</v>
      </c>
      <c r="AE9349" s="1">
        <v>-147616</v>
      </c>
      <c r="AF9349">
        <v>0</v>
      </c>
      <c r="AJ9349">
        <v>0</v>
      </c>
      <c r="AK9349">
        <v>0</v>
      </c>
      <c r="AL9349">
        <v>0</v>
      </c>
      <c r="AM9349" s="1">
        <v>2636</v>
      </c>
      <c r="AN9349" s="1">
        <v>2636</v>
      </c>
      <c r="AO9349" s="1">
        <v>2636</v>
      </c>
      <c r="AP9349" s="2">
        <v>42746</v>
      </c>
      <c r="AQ9349" t="s">
        <v>72</v>
      </c>
      <c r="AR9349" t="s">
        <v>72</v>
      </c>
      <c r="AS9349">
        <v>1781</v>
      </c>
      <c r="AT9349" s="4">
        <v>42566</v>
      </c>
      <c r="AV9349">
        <v>1781</v>
      </c>
      <c r="AW9349" s="4">
        <v>42566</v>
      </c>
      <c r="BD9349">
        <v>0</v>
      </c>
      <c r="BN9349" t="s">
        <v>74</v>
      </c>
    </row>
    <row r="9350" spans="1:66" hidden="1">
      <c r="A9350">
        <v>106670</v>
      </c>
      <c r="B9350" s="3" t="s">
        <v>855</v>
      </c>
      <c r="C9350" s="1">
        <v>43500101</v>
      </c>
      <c r="D9350" t="s">
        <v>113</v>
      </c>
      <c r="H9350" t="str">
        <f t="shared" si="989"/>
        <v>TRSNTN79R18I197P</v>
      </c>
      <c r="I9350" t="str">
        <f t="shared" si="990"/>
        <v>01547570620</v>
      </c>
      <c r="K9350" t="str">
        <f>""</f>
        <v/>
      </c>
      <c r="M9350" t="s">
        <v>68</v>
      </c>
      <c r="N9350" t="str">
        <f t="shared" si="991"/>
        <v>ALTPRO</v>
      </c>
      <c r="O9350" t="s">
        <v>132</v>
      </c>
      <c r="P9350" s="3" t="s">
        <v>75</v>
      </c>
      <c r="Q9350">
        <v>2016</v>
      </c>
      <c r="R9350" s="2">
        <v>42583</v>
      </c>
      <c r="S9350" s="2">
        <v>42618</v>
      </c>
      <c r="T9350" s="2">
        <v>42618</v>
      </c>
      <c r="U9350" s="2">
        <v>42678</v>
      </c>
      <c r="V9350" t="s">
        <v>71</v>
      </c>
      <c r="W9350" t="str">
        <f>"         FATTPA 8_16"</f>
        <v xml:space="preserve">         FATTPA 8_16</v>
      </c>
      <c r="X9350" s="1">
        <v>2741.36</v>
      </c>
      <c r="Y9350">
        <v>0</v>
      </c>
      <c r="Z9350"/>
      <c r="AB9350"/>
      <c r="AC9350" s="1">
        <v>2741.36</v>
      </c>
      <c r="AD9350">
        <v>-59</v>
      </c>
      <c r="AE9350" s="1">
        <v>-161740.24</v>
      </c>
      <c r="AF9350">
        <v>0</v>
      </c>
      <c r="AJ9350">
        <v>0</v>
      </c>
      <c r="AK9350">
        <v>0</v>
      </c>
      <c r="AL9350">
        <v>0</v>
      </c>
      <c r="AM9350" s="1">
        <v>2741.36</v>
      </c>
      <c r="AN9350" s="1">
        <v>2741.36</v>
      </c>
      <c r="AO9350" s="1">
        <v>2741.36</v>
      </c>
      <c r="AP9350" s="2">
        <v>42746</v>
      </c>
      <c r="AQ9350" t="s">
        <v>72</v>
      </c>
      <c r="AR9350" t="s">
        <v>72</v>
      </c>
      <c r="AS9350">
        <v>2265</v>
      </c>
      <c r="AT9350" s="4">
        <v>42619</v>
      </c>
      <c r="AV9350">
        <v>2265</v>
      </c>
      <c r="AW9350" s="4">
        <v>42619</v>
      </c>
      <c r="BD9350">
        <v>0</v>
      </c>
      <c r="BN9350" t="s">
        <v>74</v>
      </c>
    </row>
    <row r="9351" spans="1:66" hidden="1">
      <c r="A9351">
        <v>106670</v>
      </c>
      <c r="B9351" s="3" t="s">
        <v>855</v>
      </c>
      <c r="C9351" s="1">
        <v>43500101</v>
      </c>
      <c r="D9351" t="s">
        <v>113</v>
      </c>
      <c r="H9351" t="str">
        <f t="shared" si="989"/>
        <v>TRSNTN79R18I197P</v>
      </c>
      <c r="I9351" t="str">
        <f t="shared" si="990"/>
        <v>01547570620</v>
      </c>
      <c r="K9351" t="str">
        <f>""</f>
        <v/>
      </c>
      <c r="M9351" t="s">
        <v>68</v>
      </c>
      <c r="N9351" t="str">
        <f t="shared" si="991"/>
        <v>ALTPRO</v>
      </c>
      <c r="O9351" t="s">
        <v>132</v>
      </c>
      <c r="P9351" s="3" t="s">
        <v>75</v>
      </c>
      <c r="Q9351">
        <v>2016</v>
      </c>
      <c r="R9351" s="2">
        <v>42618</v>
      </c>
      <c r="S9351" s="2">
        <v>42618</v>
      </c>
      <c r="T9351" s="2">
        <v>42618</v>
      </c>
      <c r="U9351" s="2">
        <v>42678</v>
      </c>
      <c r="V9351" t="s">
        <v>71</v>
      </c>
      <c r="W9351" t="str">
        <f>"         FATTPA 9_16"</f>
        <v xml:space="preserve">         FATTPA 9_16</v>
      </c>
      <c r="X9351" s="1">
        <v>2636</v>
      </c>
      <c r="Y9351">
        <v>0</v>
      </c>
      <c r="Z9351"/>
      <c r="AB9351"/>
      <c r="AC9351" s="1">
        <v>2636</v>
      </c>
      <c r="AD9351">
        <v>-59</v>
      </c>
      <c r="AE9351" s="1">
        <v>-155524</v>
      </c>
      <c r="AF9351">
        <v>0</v>
      </c>
      <c r="AJ9351">
        <v>0</v>
      </c>
      <c r="AK9351">
        <v>0</v>
      </c>
      <c r="AL9351">
        <v>0</v>
      </c>
      <c r="AM9351" s="1">
        <v>2636</v>
      </c>
      <c r="AN9351" s="1">
        <v>2636</v>
      </c>
      <c r="AO9351" s="1">
        <v>2636</v>
      </c>
      <c r="AP9351" s="2">
        <v>42746</v>
      </c>
      <c r="AQ9351" t="s">
        <v>72</v>
      </c>
      <c r="AR9351" t="s">
        <v>72</v>
      </c>
      <c r="AS9351">
        <v>2265</v>
      </c>
      <c r="AT9351" s="4">
        <v>42619</v>
      </c>
      <c r="AV9351">
        <v>2265</v>
      </c>
      <c r="AW9351" s="4">
        <v>42619</v>
      </c>
      <c r="BD9351">
        <v>0</v>
      </c>
      <c r="BN9351" t="s">
        <v>74</v>
      </c>
    </row>
    <row r="9352" spans="1:66">
      <c r="A9352">
        <v>106670</v>
      </c>
      <c r="B9352" s="3" t="s">
        <v>855</v>
      </c>
      <c r="C9352" s="1">
        <v>43500101</v>
      </c>
      <c r="D9352" t="s">
        <v>113</v>
      </c>
      <c r="H9352" t="str">
        <f t="shared" si="989"/>
        <v>TRSNTN79R18I197P</v>
      </c>
      <c r="I9352" t="str">
        <f t="shared" si="990"/>
        <v>01547570620</v>
      </c>
      <c r="K9352" t="str">
        <f>""</f>
        <v/>
      </c>
      <c r="M9352" t="s">
        <v>68</v>
      </c>
      <c r="N9352" t="str">
        <f t="shared" si="991"/>
        <v>ALTPRO</v>
      </c>
      <c r="O9352" t="s">
        <v>132</v>
      </c>
      <c r="P9352" s="3" t="s">
        <v>75</v>
      </c>
      <c r="Q9352">
        <v>2016</v>
      </c>
      <c r="R9352" s="2">
        <v>42646</v>
      </c>
      <c r="S9352" s="2">
        <v>42647</v>
      </c>
      <c r="T9352" s="2">
        <v>42646</v>
      </c>
      <c r="U9352" s="2">
        <v>42706</v>
      </c>
      <c r="V9352" t="s">
        <v>71</v>
      </c>
      <c r="W9352" t="str">
        <f>"        FATTPA 10_16"</f>
        <v xml:space="preserve">        FATTPA 10_16</v>
      </c>
      <c r="X9352" s="1">
        <v>2548.1999999999998</v>
      </c>
      <c r="Y9352">
        <v>0</v>
      </c>
      <c r="Z9352" s="5">
        <v>2548.1999999999998</v>
      </c>
      <c r="AA9352">
        <v>-38</v>
      </c>
      <c r="AB9352" s="5">
        <v>-96831.6</v>
      </c>
      <c r="AC9352" s="1">
        <v>2548.1999999999998</v>
      </c>
      <c r="AD9352">
        <v>-38</v>
      </c>
      <c r="AE9352" s="1">
        <v>-96831.6</v>
      </c>
      <c r="AF9352">
        <v>0</v>
      </c>
      <c r="AJ9352">
        <v>0</v>
      </c>
      <c r="AK9352" s="1">
        <v>2548.1999999999998</v>
      </c>
      <c r="AL9352" s="1">
        <v>2548.1999999999998</v>
      </c>
      <c r="AM9352" s="1">
        <v>2548.1999999999998</v>
      </c>
      <c r="AN9352" s="1">
        <v>2548.1999999999998</v>
      </c>
      <c r="AO9352" s="1">
        <v>2548.1999999999998</v>
      </c>
      <c r="AP9352" s="2">
        <v>42746</v>
      </c>
      <c r="AQ9352" t="s">
        <v>72</v>
      </c>
      <c r="AR9352" t="s">
        <v>72</v>
      </c>
      <c r="AS9352">
        <v>2861</v>
      </c>
      <c r="AT9352" s="4">
        <v>42668</v>
      </c>
      <c r="AV9352">
        <v>2861</v>
      </c>
      <c r="AW9352" s="4">
        <v>42668</v>
      </c>
      <c r="BD9352">
        <v>0</v>
      </c>
      <c r="BN9352" t="s">
        <v>74</v>
      </c>
    </row>
    <row r="9353" spans="1:66">
      <c r="A9353">
        <v>106670</v>
      </c>
      <c r="B9353" s="3" t="s">
        <v>855</v>
      </c>
      <c r="C9353" s="1">
        <v>43500101</v>
      </c>
      <c r="D9353" t="s">
        <v>113</v>
      </c>
      <c r="H9353" t="str">
        <f t="shared" si="989"/>
        <v>TRSNTN79R18I197P</v>
      </c>
      <c r="I9353" t="str">
        <f t="shared" si="990"/>
        <v>01547570620</v>
      </c>
      <c r="K9353" t="str">
        <f>""</f>
        <v/>
      </c>
      <c r="M9353" t="s">
        <v>68</v>
      </c>
      <c r="N9353" t="str">
        <f t="shared" si="991"/>
        <v>ALTPRO</v>
      </c>
      <c r="O9353" t="s">
        <v>132</v>
      </c>
      <c r="P9353" s="3" t="s">
        <v>75</v>
      </c>
      <c r="Q9353">
        <v>2016</v>
      </c>
      <c r="R9353" s="2">
        <v>42685</v>
      </c>
      <c r="S9353" s="2">
        <v>42711</v>
      </c>
      <c r="T9353" s="2">
        <v>42711</v>
      </c>
      <c r="U9353" s="2">
        <v>42771</v>
      </c>
      <c r="V9353" t="s">
        <v>71</v>
      </c>
      <c r="W9353" t="str">
        <f>"        FATTPA 11_16"</f>
        <v xml:space="preserve">        FATTPA 11_16</v>
      </c>
      <c r="X9353" s="1">
        <v>2528.64</v>
      </c>
      <c r="Y9353">
        <v>0</v>
      </c>
      <c r="Z9353" s="5">
        <v>2528.64</v>
      </c>
      <c r="AA9353">
        <v>-60</v>
      </c>
      <c r="AB9353" s="5">
        <v>-151718.39999999999</v>
      </c>
      <c r="AC9353" s="1">
        <v>2528.64</v>
      </c>
      <c r="AD9353">
        <v>-60</v>
      </c>
      <c r="AE9353" s="1">
        <v>-151718.39999999999</v>
      </c>
      <c r="AF9353">
        <v>0</v>
      </c>
      <c r="AJ9353" s="1">
        <v>2528.64</v>
      </c>
      <c r="AK9353" s="1">
        <v>2528.64</v>
      </c>
      <c r="AL9353" s="1">
        <v>2528.64</v>
      </c>
      <c r="AM9353" s="1">
        <v>2528.64</v>
      </c>
      <c r="AN9353" s="1">
        <v>2528.64</v>
      </c>
      <c r="AO9353" s="1">
        <v>2528.64</v>
      </c>
      <c r="AP9353" s="2">
        <v>42746</v>
      </c>
      <c r="AQ9353" t="s">
        <v>72</v>
      </c>
      <c r="AR9353" t="s">
        <v>72</v>
      </c>
      <c r="AS9353">
        <v>3357</v>
      </c>
      <c r="AT9353" s="4">
        <v>42711</v>
      </c>
      <c r="AV9353">
        <v>3357</v>
      </c>
      <c r="AW9353" s="4">
        <v>42711</v>
      </c>
      <c r="BD9353">
        <v>0</v>
      </c>
      <c r="BN9353" t="s">
        <v>74</v>
      </c>
    </row>
    <row r="9354" spans="1:66">
      <c r="A9354">
        <v>106670</v>
      </c>
      <c r="B9354" s="3" t="s">
        <v>855</v>
      </c>
      <c r="C9354" s="1">
        <v>43500101</v>
      </c>
      <c r="D9354" t="s">
        <v>113</v>
      </c>
      <c r="H9354" t="str">
        <f t="shared" si="989"/>
        <v>TRSNTN79R18I197P</v>
      </c>
      <c r="I9354" t="str">
        <f t="shared" si="990"/>
        <v>01547570620</v>
      </c>
      <c r="K9354" t="str">
        <f>""</f>
        <v/>
      </c>
      <c r="M9354" t="s">
        <v>68</v>
      </c>
      <c r="N9354" t="str">
        <f t="shared" si="991"/>
        <v>ALTPRO</v>
      </c>
      <c r="O9354" t="s">
        <v>132</v>
      </c>
      <c r="P9354" s="3" t="s">
        <v>75</v>
      </c>
      <c r="Q9354">
        <v>2016</v>
      </c>
      <c r="R9354" s="2">
        <v>42710</v>
      </c>
      <c r="S9354" s="2">
        <v>42711</v>
      </c>
      <c r="T9354" s="2">
        <v>42711</v>
      </c>
      <c r="U9354" s="2">
        <v>42771</v>
      </c>
      <c r="V9354" t="s">
        <v>71</v>
      </c>
      <c r="W9354" t="str">
        <f>"        FATTPA 12_16"</f>
        <v xml:space="preserve">        FATTPA 12_16</v>
      </c>
      <c r="X9354" s="1">
        <v>2634</v>
      </c>
      <c r="Y9354">
        <v>0</v>
      </c>
      <c r="Z9354" s="5">
        <v>2634</v>
      </c>
      <c r="AA9354">
        <v>-60</v>
      </c>
      <c r="AB9354" s="5">
        <v>-158040</v>
      </c>
      <c r="AC9354" s="1">
        <v>2634</v>
      </c>
      <c r="AD9354">
        <v>-60</v>
      </c>
      <c r="AE9354" s="1">
        <v>-158040</v>
      </c>
      <c r="AF9354">
        <v>0</v>
      </c>
      <c r="AJ9354" s="1">
        <v>2634</v>
      </c>
      <c r="AK9354" s="1">
        <v>2634</v>
      </c>
      <c r="AL9354" s="1">
        <v>2634</v>
      </c>
      <c r="AM9354" s="1">
        <v>2634</v>
      </c>
      <c r="AN9354" s="1">
        <v>2634</v>
      </c>
      <c r="AO9354" s="1">
        <v>2634</v>
      </c>
      <c r="AP9354" s="2">
        <v>42746</v>
      </c>
      <c r="AQ9354" t="s">
        <v>72</v>
      </c>
      <c r="AR9354" t="s">
        <v>72</v>
      </c>
      <c r="AS9354">
        <v>3357</v>
      </c>
      <c r="AT9354" s="4">
        <v>42711</v>
      </c>
      <c r="AV9354">
        <v>3357</v>
      </c>
      <c r="AW9354" s="4">
        <v>42711</v>
      </c>
      <c r="BD9354">
        <v>0</v>
      </c>
      <c r="BN9354" t="s">
        <v>74</v>
      </c>
    </row>
    <row r="9355" spans="1:66" hidden="1">
      <c r="A9355">
        <v>106672</v>
      </c>
      <c r="B9355" s="3" t="s">
        <v>856</v>
      </c>
      <c r="C9355" s="1">
        <v>43500101</v>
      </c>
      <c r="D9355" t="s">
        <v>113</v>
      </c>
      <c r="H9355" t="str">
        <f t="shared" ref="H9355:I9362" si="992">"05351700017"</f>
        <v>05351700017</v>
      </c>
      <c r="I9355" t="str">
        <f t="shared" si="992"/>
        <v>05351700017</v>
      </c>
      <c r="K9355" t="str">
        <f>""</f>
        <v/>
      </c>
      <c r="M9355" t="s">
        <v>68</v>
      </c>
      <c r="N9355" t="str">
        <f t="shared" ref="N9355:N9378" si="993">"ALT"</f>
        <v>ALT</v>
      </c>
      <c r="O9355" t="s">
        <v>114</v>
      </c>
      <c r="P9355" s="3" t="s">
        <v>84</v>
      </c>
      <c r="Q9355">
        <v>2016</v>
      </c>
      <c r="R9355" s="2">
        <v>42389</v>
      </c>
      <c r="S9355" s="2">
        <v>42390</v>
      </c>
      <c r="T9355" s="2">
        <v>42390</v>
      </c>
      <c r="U9355" s="2">
        <v>42450</v>
      </c>
      <c r="V9355" t="s">
        <v>71</v>
      </c>
      <c r="W9355" t="str">
        <f>"                0120"</f>
        <v xml:space="preserve">                0120</v>
      </c>
      <c r="X9355">
        <v>0</v>
      </c>
      <c r="Y9355">
        <v>243.7</v>
      </c>
      <c r="Z9355"/>
      <c r="AB9355"/>
      <c r="AC9355">
        <v>243.7</v>
      </c>
      <c r="AD9355">
        <v>-60</v>
      </c>
      <c r="AE9355" s="1">
        <v>-14622</v>
      </c>
      <c r="AF9355">
        <v>0</v>
      </c>
      <c r="AJ9355">
        <v>0</v>
      </c>
      <c r="AK9355">
        <v>0</v>
      </c>
      <c r="AL9355">
        <v>0</v>
      </c>
      <c r="AM9355">
        <v>243.7</v>
      </c>
      <c r="AN9355">
        <v>243.7</v>
      </c>
      <c r="AO9355">
        <v>243.7</v>
      </c>
      <c r="AP9355" s="2">
        <v>42746</v>
      </c>
      <c r="AQ9355" t="s">
        <v>72</v>
      </c>
      <c r="AR9355" t="s">
        <v>72</v>
      </c>
      <c r="AS9355">
        <v>66</v>
      </c>
      <c r="AT9355" s="4">
        <v>42390</v>
      </c>
      <c r="AV9355">
        <v>66</v>
      </c>
      <c r="AW9355" s="4">
        <v>42390</v>
      </c>
      <c r="BD9355">
        <v>0</v>
      </c>
      <c r="BN9355" t="s">
        <v>74</v>
      </c>
    </row>
    <row r="9356" spans="1:66" hidden="1">
      <c r="A9356">
        <v>106672</v>
      </c>
      <c r="B9356" s="3" t="s">
        <v>856</v>
      </c>
      <c r="C9356" s="1">
        <v>43500101</v>
      </c>
      <c r="D9356" t="s">
        <v>113</v>
      </c>
      <c r="H9356" t="str">
        <f t="shared" si="992"/>
        <v>05351700017</v>
      </c>
      <c r="I9356" t="str">
        <f t="shared" si="992"/>
        <v>05351700017</v>
      </c>
      <c r="K9356" t="str">
        <f>""</f>
        <v/>
      </c>
      <c r="M9356" t="s">
        <v>68</v>
      </c>
      <c r="N9356" t="str">
        <f t="shared" si="993"/>
        <v>ALT</v>
      </c>
      <c r="O9356" t="s">
        <v>114</v>
      </c>
      <c r="P9356" s="3" t="s">
        <v>85</v>
      </c>
      <c r="Q9356">
        <v>2016</v>
      </c>
      <c r="R9356" s="2">
        <v>42422</v>
      </c>
      <c r="S9356" s="2">
        <v>42422</v>
      </c>
      <c r="T9356" s="2">
        <v>42422</v>
      </c>
      <c r="U9356" s="2">
        <v>42482</v>
      </c>
      <c r="V9356" t="s">
        <v>71</v>
      </c>
      <c r="W9356" t="str">
        <f>"                0222"</f>
        <v xml:space="preserve">                0222</v>
      </c>
      <c r="X9356">
        <v>0</v>
      </c>
      <c r="Y9356">
        <v>243.7</v>
      </c>
      <c r="Z9356"/>
      <c r="AB9356"/>
      <c r="AC9356">
        <v>243.7</v>
      </c>
      <c r="AD9356">
        <v>-58</v>
      </c>
      <c r="AE9356" s="1">
        <v>-14134.6</v>
      </c>
      <c r="AF9356">
        <v>0</v>
      </c>
      <c r="AJ9356">
        <v>0</v>
      </c>
      <c r="AK9356">
        <v>0</v>
      </c>
      <c r="AL9356">
        <v>0</v>
      </c>
      <c r="AM9356">
        <v>243.7</v>
      </c>
      <c r="AN9356">
        <v>243.7</v>
      </c>
      <c r="AO9356">
        <v>243.7</v>
      </c>
      <c r="AP9356" s="2">
        <v>42746</v>
      </c>
      <c r="AQ9356" t="s">
        <v>72</v>
      </c>
      <c r="AR9356" t="s">
        <v>72</v>
      </c>
      <c r="AS9356">
        <v>510</v>
      </c>
      <c r="AT9356" s="4">
        <v>42424</v>
      </c>
      <c r="AV9356">
        <v>510</v>
      </c>
      <c r="AW9356" s="4">
        <v>42424</v>
      </c>
      <c r="BD9356">
        <v>0</v>
      </c>
      <c r="BN9356" t="s">
        <v>74</v>
      </c>
    </row>
    <row r="9357" spans="1:66" hidden="1">
      <c r="A9357">
        <v>106672</v>
      </c>
      <c r="B9357" s="3" t="s">
        <v>856</v>
      </c>
      <c r="C9357" s="1">
        <v>43500101</v>
      </c>
      <c r="D9357" t="s">
        <v>113</v>
      </c>
      <c r="H9357" t="str">
        <f t="shared" si="992"/>
        <v>05351700017</v>
      </c>
      <c r="I9357" t="str">
        <f t="shared" si="992"/>
        <v>05351700017</v>
      </c>
      <c r="K9357" t="str">
        <f>""</f>
        <v/>
      </c>
      <c r="M9357" t="s">
        <v>68</v>
      </c>
      <c r="N9357" t="str">
        <f t="shared" si="993"/>
        <v>ALT</v>
      </c>
      <c r="O9357" t="s">
        <v>114</v>
      </c>
      <c r="P9357" s="3" t="s">
        <v>86</v>
      </c>
      <c r="Q9357">
        <v>2016</v>
      </c>
      <c r="R9357" s="2">
        <v>42450</v>
      </c>
      <c r="S9357" s="2">
        <v>42450</v>
      </c>
      <c r="T9357" s="2">
        <v>42450</v>
      </c>
      <c r="U9357" s="2">
        <v>42510</v>
      </c>
      <c r="V9357" t="s">
        <v>71</v>
      </c>
      <c r="W9357" t="str">
        <f>"                0321"</f>
        <v xml:space="preserve">                0321</v>
      </c>
      <c r="X9357">
        <v>0</v>
      </c>
      <c r="Y9357">
        <v>243.7</v>
      </c>
      <c r="Z9357"/>
      <c r="AB9357"/>
      <c r="AC9357">
        <v>243.7</v>
      </c>
      <c r="AD9357">
        <v>-57</v>
      </c>
      <c r="AE9357" s="1">
        <v>-13890.9</v>
      </c>
      <c r="AF9357">
        <v>0</v>
      </c>
      <c r="AJ9357">
        <v>0</v>
      </c>
      <c r="AK9357">
        <v>0</v>
      </c>
      <c r="AL9357">
        <v>0</v>
      </c>
      <c r="AM9357">
        <v>243.7</v>
      </c>
      <c r="AN9357">
        <v>243.7</v>
      </c>
      <c r="AO9357">
        <v>243.7</v>
      </c>
      <c r="AP9357" s="2">
        <v>42746</v>
      </c>
      <c r="AQ9357" t="s">
        <v>72</v>
      </c>
      <c r="AR9357" t="s">
        <v>72</v>
      </c>
      <c r="AS9357">
        <v>932</v>
      </c>
      <c r="AT9357" s="4">
        <v>42453</v>
      </c>
      <c r="AV9357">
        <v>932</v>
      </c>
      <c r="AW9357" s="4">
        <v>42453</v>
      </c>
      <c r="BD9357">
        <v>0</v>
      </c>
      <c r="BN9357" t="s">
        <v>74</v>
      </c>
    </row>
    <row r="9358" spans="1:66" hidden="1">
      <c r="A9358">
        <v>106672</v>
      </c>
      <c r="B9358" s="3" t="s">
        <v>856</v>
      </c>
      <c r="C9358" s="1">
        <v>43500101</v>
      </c>
      <c r="D9358" t="s">
        <v>113</v>
      </c>
      <c r="H9358" t="str">
        <f t="shared" si="992"/>
        <v>05351700017</v>
      </c>
      <c r="I9358" t="str">
        <f t="shared" si="992"/>
        <v>05351700017</v>
      </c>
      <c r="K9358" t="str">
        <f>""</f>
        <v/>
      </c>
      <c r="M9358" t="s">
        <v>68</v>
      </c>
      <c r="N9358" t="str">
        <f t="shared" si="993"/>
        <v>ALT</v>
      </c>
      <c r="O9358" t="s">
        <v>114</v>
      </c>
      <c r="P9358" s="3" t="s">
        <v>87</v>
      </c>
      <c r="Q9358">
        <v>2016</v>
      </c>
      <c r="R9358" s="2">
        <v>42481</v>
      </c>
      <c r="S9358" s="2">
        <v>42481</v>
      </c>
      <c r="T9358" s="2">
        <v>42481</v>
      </c>
      <c r="U9358" s="2">
        <v>42541</v>
      </c>
      <c r="V9358" t="s">
        <v>71</v>
      </c>
      <c r="W9358" t="str">
        <f>"                0421"</f>
        <v xml:space="preserve">                0421</v>
      </c>
      <c r="X9358">
        <v>0</v>
      </c>
      <c r="Y9358">
        <v>243.7</v>
      </c>
      <c r="Z9358"/>
      <c r="AB9358"/>
      <c r="AC9358">
        <v>243.7</v>
      </c>
      <c r="AD9358">
        <v>-60</v>
      </c>
      <c r="AE9358" s="1">
        <v>-14622</v>
      </c>
      <c r="AF9358">
        <v>0</v>
      </c>
      <c r="AJ9358">
        <v>0</v>
      </c>
      <c r="AK9358">
        <v>0</v>
      </c>
      <c r="AL9358">
        <v>0</v>
      </c>
      <c r="AM9358">
        <v>243.7</v>
      </c>
      <c r="AN9358">
        <v>243.7</v>
      </c>
      <c r="AO9358">
        <v>243.7</v>
      </c>
      <c r="AP9358" s="2">
        <v>42746</v>
      </c>
      <c r="AQ9358" t="s">
        <v>72</v>
      </c>
      <c r="AR9358" t="s">
        <v>72</v>
      </c>
      <c r="AS9358">
        <v>1098</v>
      </c>
      <c r="AT9358" s="4">
        <v>42481</v>
      </c>
      <c r="AV9358">
        <v>1098</v>
      </c>
      <c r="AW9358" s="4">
        <v>42481</v>
      </c>
      <c r="BD9358">
        <v>0</v>
      </c>
      <c r="BN9358" t="s">
        <v>74</v>
      </c>
    </row>
    <row r="9359" spans="1:66" hidden="1">
      <c r="A9359">
        <v>106672</v>
      </c>
      <c r="B9359" s="3" t="s">
        <v>856</v>
      </c>
      <c r="C9359" s="1">
        <v>43500101</v>
      </c>
      <c r="D9359" t="s">
        <v>113</v>
      </c>
      <c r="H9359" t="str">
        <f t="shared" si="992"/>
        <v>05351700017</v>
      </c>
      <c r="I9359" t="str">
        <f t="shared" si="992"/>
        <v>05351700017</v>
      </c>
      <c r="K9359" t="str">
        <f>""</f>
        <v/>
      </c>
      <c r="M9359" t="s">
        <v>68</v>
      </c>
      <c r="N9359" t="str">
        <f t="shared" si="993"/>
        <v>ALT</v>
      </c>
      <c r="O9359" t="s">
        <v>114</v>
      </c>
      <c r="P9359" s="3" t="s">
        <v>88</v>
      </c>
      <c r="Q9359">
        <v>2016</v>
      </c>
      <c r="R9359" s="2">
        <v>42508</v>
      </c>
      <c r="S9359" s="2">
        <v>42510</v>
      </c>
      <c r="T9359" s="2">
        <v>42510</v>
      </c>
      <c r="U9359" s="2">
        <v>42570</v>
      </c>
      <c r="V9359" t="s">
        <v>71</v>
      </c>
      <c r="W9359" t="str">
        <f>"                0518"</f>
        <v xml:space="preserve">                0518</v>
      </c>
      <c r="X9359">
        <v>0</v>
      </c>
      <c r="Y9359">
        <v>243.7</v>
      </c>
      <c r="Z9359"/>
      <c r="AB9359"/>
      <c r="AC9359">
        <v>243.7</v>
      </c>
      <c r="AD9359">
        <v>-57</v>
      </c>
      <c r="AE9359" s="1">
        <v>-13890.9</v>
      </c>
      <c r="AF9359">
        <v>0</v>
      </c>
      <c r="AJ9359">
        <v>0</v>
      </c>
      <c r="AK9359">
        <v>0</v>
      </c>
      <c r="AL9359">
        <v>0</v>
      </c>
      <c r="AM9359">
        <v>243.7</v>
      </c>
      <c r="AN9359">
        <v>243.7</v>
      </c>
      <c r="AO9359">
        <v>243.7</v>
      </c>
      <c r="AP9359" s="2">
        <v>42746</v>
      </c>
      <c r="AQ9359" t="s">
        <v>72</v>
      </c>
      <c r="AR9359" t="s">
        <v>72</v>
      </c>
      <c r="AS9359">
        <v>1336</v>
      </c>
      <c r="AT9359" s="4">
        <v>42513</v>
      </c>
      <c r="AV9359">
        <v>1336</v>
      </c>
      <c r="AW9359" s="4">
        <v>42513</v>
      </c>
      <c r="BD9359">
        <v>0</v>
      </c>
      <c r="BN9359" t="s">
        <v>74</v>
      </c>
    </row>
    <row r="9360" spans="1:66" hidden="1">
      <c r="A9360">
        <v>106672</v>
      </c>
      <c r="B9360" s="3" t="s">
        <v>856</v>
      </c>
      <c r="C9360" s="1">
        <v>43500101</v>
      </c>
      <c r="D9360" t="s">
        <v>113</v>
      </c>
      <c r="H9360" t="str">
        <f t="shared" si="992"/>
        <v>05351700017</v>
      </c>
      <c r="I9360" t="str">
        <f t="shared" si="992"/>
        <v>05351700017</v>
      </c>
      <c r="K9360" t="str">
        <f>""</f>
        <v/>
      </c>
      <c r="M9360" t="s">
        <v>68</v>
      </c>
      <c r="N9360" t="str">
        <f t="shared" si="993"/>
        <v>ALT</v>
      </c>
      <c r="O9360" t="s">
        <v>114</v>
      </c>
      <c r="P9360" s="3" t="s">
        <v>89</v>
      </c>
      <c r="Q9360">
        <v>2016</v>
      </c>
      <c r="R9360" s="2">
        <v>42548</v>
      </c>
      <c r="S9360" s="2">
        <v>42543</v>
      </c>
      <c r="T9360" s="2">
        <v>42543</v>
      </c>
      <c r="U9360" s="2">
        <v>42603</v>
      </c>
      <c r="V9360" t="s">
        <v>71</v>
      </c>
      <c r="W9360" t="str">
        <f>"                0627"</f>
        <v xml:space="preserve">                0627</v>
      </c>
      <c r="X9360">
        <v>0</v>
      </c>
      <c r="Y9360">
        <v>243.7</v>
      </c>
      <c r="Z9360"/>
      <c r="AB9360"/>
      <c r="AC9360">
        <v>243.7</v>
      </c>
      <c r="AD9360">
        <v>-47</v>
      </c>
      <c r="AE9360" s="1">
        <v>-11453.9</v>
      </c>
      <c r="AF9360">
        <v>0</v>
      </c>
      <c r="AJ9360">
        <v>0</v>
      </c>
      <c r="AK9360">
        <v>0</v>
      </c>
      <c r="AL9360">
        <v>0</v>
      </c>
      <c r="AM9360">
        <v>243.7</v>
      </c>
      <c r="AN9360">
        <v>243.7</v>
      </c>
      <c r="AO9360">
        <v>243.7</v>
      </c>
      <c r="AP9360" s="2">
        <v>42746</v>
      </c>
      <c r="AQ9360" t="s">
        <v>72</v>
      </c>
      <c r="AR9360" t="s">
        <v>72</v>
      </c>
      <c r="AS9360">
        <v>1719</v>
      </c>
      <c r="AT9360" s="4">
        <v>42556</v>
      </c>
      <c r="AV9360">
        <v>1719</v>
      </c>
      <c r="AW9360" s="4">
        <v>42556</v>
      </c>
      <c r="BD9360">
        <v>0</v>
      </c>
      <c r="BN9360" t="s">
        <v>74</v>
      </c>
    </row>
    <row r="9361" spans="1:66" hidden="1">
      <c r="A9361">
        <v>106672</v>
      </c>
      <c r="B9361" s="3" t="s">
        <v>856</v>
      </c>
      <c r="C9361" s="1">
        <v>43500101</v>
      </c>
      <c r="D9361" t="s">
        <v>113</v>
      </c>
      <c r="H9361" t="str">
        <f t="shared" si="992"/>
        <v>05351700017</v>
      </c>
      <c r="I9361" t="str">
        <f t="shared" si="992"/>
        <v>05351700017</v>
      </c>
      <c r="K9361" t="str">
        <f>""</f>
        <v/>
      </c>
      <c r="M9361" t="s">
        <v>68</v>
      </c>
      <c r="N9361" t="str">
        <f t="shared" si="993"/>
        <v>ALT</v>
      </c>
      <c r="O9361" t="s">
        <v>114</v>
      </c>
      <c r="P9361" s="3" t="s">
        <v>90</v>
      </c>
      <c r="Q9361">
        <v>2016</v>
      </c>
      <c r="R9361" s="2">
        <v>42573</v>
      </c>
      <c r="S9361" s="2">
        <v>42573</v>
      </c>
      <c r="T9361" s="2">
        <v>42573</v>
      </c>
      <c r="U9361" s="2">
        <v>42633</v>
      </c>
      <c r="V9361" t="s">
        <v>71</v>
      </c>
      <c r="W9361" t="str">
        <f>"                0722"</f>
        <v xml:space="preserve">                0722</v>
      </c>
      <c r="X9361">
        <v>0</v>
      </c>
      <c r="Y9361">
        <v>243.7</v>
      </c>
      <c r="Z9361"/>
      <c r="AB9361"/>
      <c r="AC9361">
        <v>243.7</v>
      </c>
      <c r="AD9361">
        <v>-48</v>
      </c>
      <c r="AE9361" s="1">
        <v>-11697.6</v>
      </c>
      <c r="AF9361">
        <v>0</v>
      </c>
      <c r="AJ9361">
        <v>0</v>
      </c>
      <c r="AK9361">
        <v>0</v>
      </c>
      <c r="AL9361">
        <v>0</v>
      </c>
      <c r="AM9361">
        <v>243.7</v>
      </c>
      <c r="AN9361">
        <v>243.7</v>
      </c>
      <c r="AO9361">
        <v>243.7</v>
      </c>
      <c r="AP9361" s="2">
        <v>42746</v>
      </c>
      <c r="AQ9361" t="s">
        <v>72</v>
      </c>
      <c r="AR9361" t="s">
        <v>72</v>
      </c>
      <c r="AS9361">
        <v>2119</v>
      </c>
      <c r="AT9361" s="4">
        <v>42585</v>
      </c>
      <c r="AV9361">
        <v>2119</v>
      </c>
      <c r="AW9361" s="4">
        <v>42585</v>
      </c>
      <c r="BD9361">
        <v>0</v>
      </c>
      <c r="BN9361" t="s">
        <v>74</v>
      </c>
    </row>
    <row r="9362" spans="1:66" hidden="1">
      <c r="A9362">
        <v>106672</v>
      </c>
      <c r="B9362" s="3" t="s">
        <v>856</v>
      </c>
      <c r="C9362" s="1">
        <v>43500101</v>
      </c>
      <c r="D9362" t="s">
        <v>113</v>
      </c>
      <c r="H9362" t="str">
        <f t="shared" si="992"/>
        <v>05351700017</v>
      </c>
      <c r="I9362" t="str">
        <f t="shared" si="992"/>
        <v>05351700017</v>
      </c>
      <c r="K9362" t="str">
        <f>""</f>
        <v/>
      </c>
      <c r="M9362" t="s">
        <v>68</v>
      </c>
      <c r="N9362" t="str">
        <f t="shared" si="993"/>
        <v>ALT</v>
      </c>
      <c r="O9362" t="s">
        <v>114</v>
      </c>
      <c r="P9362" s="3" t="s">
        <v>91</v>
      </c>
      <c r="Q9362">
        <v>2016</v>
      </c>
      <c r="R9362" s="2">
        <v>42592</v>
      </c>
      <c r="S9362" s="2">
        <v>42598</v>
      </c>
      <c r="T9362" s="2">
        <v>42598</v>
      </c>
      <c r="U9362" s="2">
        <v>42658</v>
      </c>
      <c r="V9362" t="s">
        <v>71</v>
      </c>
      <c r="W9362" t="str">
        <f>"                0810"</f>
        <v xml:space="preserve">                0810</v>
      </c>
      <c r="X9362">
        <v>0</v>
      </c>
      <c r="Y9362">
        <v>243.7</v>
      </c>
      <c r="Z9362"/>
      <c r="AB9362"/>
      <c r="AC9362">
        <v>243.7</v>
      </c>
      <c r="AD9362">
        <v>-60</v>
      </c>
      <c r="AE9362" s="1">
        <v>-14622</v>
      </c>
      <c r="AF9362">
        <v>0</v>
      </c>
      <c r="AJ9362">
        <v>0</v>
      </c>
      <c r="AK9362">
        <v>0</v>
      </c>
      <c r="AL9362">
        <v>0</v>
      </c>
      <c r="AM9362">
        <v>243.7</v>
      </c>
      <c r="AN9362">
        <v>243.7</v>
      </c>
      <c r="AO9362">
        <v>243.7</v>
      </c>
      <c r="AP9362" s="2">
        <v>42746</v>
      </c>
      <c r="AQ9362" t="s">
        <v>72</v>
      </c>
      <c r="AR9362" t="s">
        <v>72</v>
      </c>
      <c r="AS9362">
        <v>2201</v>
      </c>
      <c r="AT9362" s="4">
        <v>42598</v>
      </c>
      <c r="AV9362">
        <v>2201</v>
      </c>
      <c r="AW9362" s="4">
        <v>42598</v>
      </c>
      <c r="BD9362">
        <v>0</v>
      </c>
      <c r="BN9362" t="s">
        <v>74</v>
      </c>
    </row>
    <row r="9363" spans="1:66" hidden="1">
      <c r="A9363">
        <v>106675</v>
      </c>
      <c r="B9363" s="3" t="s">
        <v>857</v>
      </c>
      <c r="C9363" s="1">
        <v>43500101</v>
      </c>
      <c r="D9363" t="s">
        <v>113</v>
      </c>
      <c r="H9363" t="str">
        <f t="shared" ref="H9363:H9375" si="994">"FRTGPP50T02A328Y"</f>
        <v>FRTGPP50T02A328Y</v>
      </c>
      <c r="I9363" t="str">
        <f>""</f>
        <v/>
      </c>
      <c r="K9363" t="str">
        <f>""</f>
        <v/>
      </c>
      <c r="M9363" t="s">
        <v>68</v>
      </c>
      <c r="N9363" t="str">
        <f t="shared" si="993"/>
        <v>ALT</v>
      </c>
      <c r="O9363" t="s">
        <v>114</v>
      </c>
      <c r="P9363" s="3" t="s">
        <v>858</v>
      </c>
      <c r="Q9363">
        <v>2015</v>
      </c>
      <c r="R9363" s="2">
        <v>42361</v>
      </c>
      <c r="S9363" s="2">
        <v>42361</v>
      </c>
      <c r="T9363" s="2">
        <v>42361</v>
      </c>
      <c r="U9363" s="2">
        <v>42421</v>
      </c>
      <c r="V9363" t="s">
        <v>71</v>
      </c>
      <c r="W9363" t="str">
        <f>"                 300"</f>
        <v xml:space="preserve">                 300</v>
      </c>
      <c r="X9363">
        <v>0</v>
      </c>
      <c r="Y9363" s="1">
        <v>2462.6</v>
      </c>
      <c r="Z9363"/>
      <c r="AB9363"/>
      <c r="AC9363" s="1">
        <v>2462.6</v>
      </c>
      <c r="AD9363">
        <v>-19</v>
      </c>
      <c r="AE9363" s="1">
        <v>-46789.4</v>
      </c>
      <c r="AF9363">
        <v>0</v>
      </c>
      <c r="AJ9363">
        <v>0</v>
      </c>
      <c r="AK9363">
        <v>0</v>
      </c>
      <c r="AL9363">
        <v>0</v>
      </c>
      <c r="AM9363">
        <v>0</v>
      </c>
      <c r="AN9363">
        <v>0</v>
      </c>
      <c r="AO9363">
        <v>0</v>
      </c>
      <c r="AP9363" s="2">
        <v>42746</v>
      </c>
      <c r="AQ9363" t="s">
        <v>72</v>
      </c>
      <c r="AR9363" t="s">
        <v>72</v>
      </c>
      <c r="AS9363">
        <v>195</v>
      </c>
      <c r="AT9363" s="4">
        <v>42402</v>
      </c>
      <c r="AV9363">
        <v>195</v>
      </c>
      <c r="AW9363" s="4">
        <v>42402</v>
      </c>
      <c r="BD9363">
        <v>0</v>
      </c>
      <c r="BN9363" t="s">
        <v>74</v>
      </c>
    </row>
    <row r="9364" spans="1:66" hidden="1">
      <c r="A9364">
        <v>106675</v>
      </c>
      <c r="B9364" s="3" t="s">
        <v>857</v>
      </c>
      <c r="C9364" s="1">
        <v>43500101</v>
      </c>
      <c r="D9364" t="s">
        <v>113</v>
      </c>
      <c r="H9364" t="str">
        <f t="shared" si="994"/>
        <v>FRTGPP50T02A328Y</v>
      </c>
      <c r="I9364" t="str">
        <f>""</f>
        <v/>
      </c>
      <c r="K9364" t="str">
        <f>""</f>
        <v/>
      </c>
      <c r="M9364" t="s">
        <v>68</v>
      </c>
      <c r="N9364" t="str">
        <f t="shared" si="993"/>
        <v>ALT</v>
      </c>
      <c r="O9364" t="s">
        <v>114</v>
      </c>
      <c r="P9364" s="3" t="s">
        <v>84</v>
      </c>
      <c r="Q9364">
        <v>2016</v>
      </c>
      <c r="R9364" s="2">
        <v>42389</v>
      </c>
      <c r="S9364" s="2">
        <v>42390</v>
      </c>
      <c r="T9364" s="2">
        <v>42390</v>
      </c>
      <c r="U9364" s="2">
        <v>42450</v>
      </c>
      <c r="V9364" t="s">
        <v>71</v>
      </c>
      <c r="W9364" t="str">
        <f>"                0120"</f>
        <v xml:space="preserve">                0120</v>
      </c>
      <c r="X9364">
        <v>0</v>
      </c>
      <c r="Y9364">
        <v>351.8</v>
      </c>
      <c r="Z9364"/>
      <c r="AB9364"/>
      <c r="AC9364">
        <v>351.8</v>
      </c>
      <c r="AD9364">
        <v>-60</v>
      </c>
      <c r="AE9364" s="1">
        <v>-21108</v>
      </c>
      <c r="AF9364">
        <v>0</v>
      </c>
      <c r="AJ9364">
        <v>0</v>
      </c>
      <c r="AK9364">
        <v>0</v>
      </c>
      <c r="AL9364">
        <v>0</v>
      </c>
      <c r="AM9364">
        <v>351.8</v>
      </c>
      <c r="AN9364">
        <v>351.8</v>
      </c>
      <c r="AO9364">
        <v>351.8</v>
      </c>
      <c r="AP9364" s="2">
        <v>42746</v>
      </c>
      <c r="AQ9364" t="s">
        <v>72</v>
      </c>
      <c r="AR9364" t="s">
        <v>72</v>
      </c>
      <c r="AS9364">
        <v>62</v>
      </c>
      <c r="AT9364" s="4">
        <v>42390</v>
      </c>
      <c r="AV9364">
        <v>62</v>
      </c>
      <c r="AW9364" s="4">
        <v>42390</v>
      </c>
      <c r="BD9364">
        <v>0</v>
      </c>
      <c r="BN9364" t="s">
        <v>74</v>
      </c>
    </row>
    <row r="9365" spans="1:66" hidden="1">
      <c r="A9365">
        <v>106675</v>
      </c>
      <c r="B9365" s="3" t="s">
        <v>857</v>
      </c>
      <c r="C9365" s="1">
        <v>43500101</v>
      </c>
      <c r="D9365" t="s">
        <v>113</v>
      </c>
      <c r="H9365" t="str">
        <f t="shared" si="994"/>
        <v>FRTGPP50T02A328Y</v>
      </c>
      <c r="I9365" t="str">
        <f>""</f>
        <v/>
      </c>
      <c r="K9365" t="str">
        <f>""</f>
        <v/>
      </c>
      <c r="M9365" t="s">
        <v>68</v>
      </c>
      <c r="N9365" t="str">
        <f t="shared" si="993"/>
        <v>ALT</v>
      </c>
      <c r="O9365" t="s">
        <v>114</v>
      </c>
      <c r="P9365" s="3" t="s">
        <v>85</v>
      </c>
      <c r="Q9365">
        <v>2016</v>
      </c>
      <c r="R9365" s="2">
        <v>42422</v>
      </c>
      <c r="S9365" s="2">
        <v>42422</v>
      </c>
      <c r="T9365" s="2">
        <v>42422</v>
      </c>
      <c r="U9365" s="2">
        <v>42482</v>
      </c>
      <c r="V9365" t="s">
        <v>71</v>
      </c>
      <c r="W9365" t="str">
        <f>"                0222"</f>
        <v xml:space="preserve">                0222</v>
      </c>
      <c r="X9365">
        <v>0</v>
      </c>
      <c r="Y9365">
        <v>351.8</v>
      </c>
      <c r="Z9365"/>
      <c r="AB9365"/>
      <c r="AC9365">
        <v>351.8</v>
      </c>
      <c r="AD9365">
        <v>-58</v>
      </c>
      <c r="AE9365" s="1">
        <v>-20404.400000000001</v>
      </c>
      <c r="AF9365">
        <v>0</v>
      </c>
      <c r="AJ9365">
        <v>0</v>
      </c>
      <c r="AK9365">
        <v>0</v>
      </c>
      <c r="AL9365">
        <v>0</v>
      </c>
      <c r="AM9365">
        <v>351.8</v>
      </c>
      <c r="AN9365">
        <v>351.8</v>
      </c>
      <c r="AO9365">
        <v>351.8</v>
      </c>
      <c r="AP9365" s="2">
        <v>42746</v>
      </c>
      <c r="AQ9365" t="s">
        <v>72</v>
      </c>
      <c r="AR9365" t="s">
        <v>72</v>
      </c>
      <c r="AS9365">
        <v>506</v>
      </c>
      <c r="AT9365" s="4">
        <v>42424</v>
      </c>
      <c r="AV9365">
        <v>506</v>
      </c>
      <c r="AW9365" s="4">
        <v>42424</v>
      </c>
      <c r="BD9365">
        <v>0</v>
      </c>
      <c r="BN9365" t="s">
        <v>74</v>
      </c>
    </row>
    <row r="9366" spans="1:66" hidden="1">
      <c r="A9366">
        <v>106675</v>
      </c>
      <c r="B9366" s="3" t="s">
        <v>857</v>
      </c>
      <c r="C9366" s="1">
        <v>43500101</v>
      </c>
      <c r="D9366" t="s">
        <v>113</v>
      </c>
      <c r="H9366" t="str">
        <f t="shared" si="994"/>
        <v>FRTGPP50T02A328Y</v>
      </c>
      <c r="I9366" t="str">
        <f>""</f>
        <v/>
      </c>
      <c r="K9366" t="str">
        <f>""</f>
        <v/>
      </c>
      <c r="M9366" t="s">
        <v>68</v>
      </c>
      <c r="N9366" t="str">
        <f t="shared" si="993"/>
        <v>ALT</v>
      </c>
      <c r="O9366" t="s">
        <v>114</v>
      </c>
      <c r="P9366" s="3" t="s">
        <v>86</v>
      </c>
      <c r="Q9366">
        <v>2016</v>
      </c>
      <c r="R9366" s="2">
        <v>42450</v>
      </c>
      <c r="S9366" s="2">
        <v>42450</v>
      </c>
      <c r="T9366" s="2">
        <v>42450</v>
      </c>
      <c r="U9366" s="2">
        <v>42510</v>
      </c>
      <c r="V9366" t="s">
        <v>71</v>
      </c>
      <c r="W9366" t="str">
        <f>"                0321"</f>
        <v xml:space="preserve">                0321</v>
      </c>
      <c r="X9366">
        <v>0</v>
      </c>
      <c r="Y9366">
        <v>351.8</v>
      </c>
      <c r="Z9366"/>
      <c r="AB9366"/>
      <c r="AC9366">
        <v>351.8</v>
      </c>
      <c r="AD9366">
        <v>-57</v>
      </c>
      <c r="AE9366" s="1">
        <v>-20052.599999999999</v>
      </c>
      <c r="AF9366">
        <v>0</v>
      </c>
      <c r="AJ9366">
        <v>0</v>
      </c>
      <c r="AK9366">
        <v>0</v>
      </c>
      <c r="AL9366">
        <v>0</v>
      </c>
      <c r="AM9366">
        <v>351.8</v>
      </c>
      <c r="AN9366">
        <v>351.8</v>
      </c>
      <c r="AO9366">
        <v>351.8</v>
      </c>
      <c r="AP9366" s="2">
        <v>42746</v>
      </c>
      <c r="AQ9366" t="s">
        <v>72</v>
      </c>
      <c r="AR9366" t="s">
        <v>72</v>
      </c>
      <c r="AS9366">
        <v>928</v>
      </c>
      <c r="AT9366" s="4">
        <v>42453</v>
      </c>
      <c r="AV9366">
        <v>928</v>
      </c>
      <c r="AW9366" s="4">
        <v>42453</v>
      </c>
      <c r="BD9366">
        <v>0</v>
      </c>
      <c r="BN9366" t="s">
        <v>74</v>
      </c>
    </row>
    <row r="9367" spans="1:66" hidden="1">
      <c r="A9367">
        <v>106675</v>
      </c>
      <c r="B9367" s="3" t="s">
        <v>857</v>
      </c>
      <c r="C9367" s="1">
        <v>43500101</v>
      </c>
      <c r="D9367" t="s">
        <v>113</v>
      </c>
      <c r="H9367" t="str">
        <f t="shared" si="994"/>
        <v>FRTGPP50T02A328Y</v>
      </c>
      <c r="I9367" t="str">
        <f>""</f>
        <v/>
      </c>
      <c r="K9367" t="str">
        <f>""</f>
        <v/>
      </c>
      <c r="M9367" t="s">
        <v>68</v>
      </c>
      <c r="N9367" t="str">
        <f t="shared" si="993"/>
        <v>ALT</v>
      </c>
      <c r="O9367" t="s">
        <v>114</v>
      </c>
      <c r="P9367" s="3" t="s">
        <v>87</v>
      </c>
      <c r="Q9367">
        <v>2016</v>
      </c>
      <c r="R9367" s="2">
        <v>42481</v>
      </c>
      <c r="S9367" s="2">
        <v>42481</v>
      </c>
      <c r="T9367" s="2">
        <v>42481</v>
      </c>
      <c r="U9367" s="2">
        <v>42541</v>
      </c>
      <c r="V9367" t="s">
        <v>71</v>
      </c>
      <c r="W9367" t="str">
        <f>"                0421"</f>
        <v xml:space="preserve">                0421</v>
      </c>
      <c r="X9367">
        <v>0</v>
      </c>
      <c r="Y9367">
        <v>351.8</v>
      </c>
      <c r="Z9367"/>
      <c r="AB9367"/>
      <c r="AC9367">
        <v>351.8</v>
      </c>
      <c r="AD9367">
        <v>-60</v>
      </c>
      <c r="AE9367" s="1">
        <v>-21108</v>
      </c>
      <c r="AF9367">
        <v>0</v>
      </c>
      <c r="AJ9367">
        <v>0</v>
      </c>
      <c r="AK9367">
        <v>0</v>
      </c>
      <c r="AL9367">
        <v>0</v>
      </c>
      <c r="AM9367">
        <v>351.8</v>
      </c>
      <c r="AN9367">
        <v>351.8</v>
      </c>
      <c r="AO9367">
        <v>351.8</v>
      </c>
      <c r="AP9367" s="2">
        <v>42746</v>
      </c>
      <c r="AQ9367" t="s">
        <v>72</v>
      </c>
      <c r="AR9367" t="s">
        <v>72</v>
      </c>
      <c r="AS9367">
        <v>1094</v>
      </c>
      <c r="AT9367" s="4">
        <v>42481</v>
      </c>
      <c r="AV9367">
        <v>1094</v>
      </c>
      <c r="AW9367" s="4">
        <v>42481</v>
      </c>
      <c r="BD9367">
        <v>0</v>
      </c>
      <c r="BN9367" t="s">
        <v>74</v>
      </c>
    </row>
    <row r="9368" spans="1:66" hidden="1">
      <c r="A9368">
        <v>106675</v>
      </c>
      <c r="B9368" s="3" t="s">
        <v>857</v>
      </c>
      <c r="C9368" s="1">
        <v>43500101</v>
      </c>
      <c r="D9368" t="s">
        <v>113</v>
      </c>
      <c r="H9368" t="str">
        <f t="shared" si="994"/>
        <v>FRTGPP50T02A328Y</v>
      </c>
      <c r="I9368" t="str">
        <f>""</f>
        <v/>
      </c>
      <c r="K9368" t="str">
        <f>""</f>
        <v/>
      </c>
      <c r="M9368" t="s">
        <v>68</v>
      </c>
      <c r="N9368" t="str">
        <f t="shared" si="993"/>
        <v>ALT</v>
      </c>
      <c r="O9368" t="s">
        <v>114</v>
      </c>
      <c r="P9368" s="3" t="s">
        <v>88</v>
      </c>
      <c r="Q9368">
        <v>2016</v>
      </c>
      <c r="R9368" s="2">
        <v>42508</v>
      </c>
      <c r="S9368" s="2">
        <v>42510</v>
      </c>
      <c r="T9368" s="2">
        <v>42510</v>
      </c>
      <c r="U9368" s="2">
        <v>42570</v>
      </c>
      <c r="V9368" t="s">
        <v>71</v>
      </c>
      <c r="W9368" t="str">
        <f>"                0518"</f>
        <v xml:space="preserve">                0518</v>
      </c>
      <c r="X9368">
        <v>0</v>
      </c>
      <c r="Y9368">
        <v>351.8</v>
      </c>
      <c r="Z9368"/>
      <c r="AB9368"/>
      <c r="AC9368">
        <v>351.8</v>
      </c>
      <c r="AD9368">
        <v>-57</v>
      </c>
      <c r="AE9368" s="1">
        <v>-20052.599999999999</v>
      </c>
      <c r="AF9368">
        <v>0</v>
      </c>
      <c r="AJ9368">
        <v>0</v>
      </c>
      <c r="AK9368">
        <v>0</v>
      </c>
      <c r="AL9368">
        <v>0</v>
      </c>
      <c r="AM9368">
        <v>351.8</v>
      </c>
      <c r="AN9368">
        <v>351.8</v>
      </c>
      <c r="AO9368">
        <v>351.8</v>
      </c>
      <c r="AP9368" s="2">
        <v>42746</v>
      </c>
      <c r="AQ9368" t="s">
        <v>72</v>
      </c>
      <c r="AR9368" t="s">
        <v>72</v>
      </c>
      <c r="AS9368">
        <v>1332</v>
      </c>
      <c r="AT9368" s="4">
        <v>42513</v>
      </c>
      <c r="AV9368">
        <v>1332</v>
      </c>
      <c r="AW9368" s="4">
        <v>42513</v>
      </c>
      <c r="BD9368">
        <v>0</v>
      </c>
      <c r="BN9368" t="s">
        <v>74</v>
      </c>
    </row>
    <row r="9369" spans="1:66" hidden="1">
      <c r="A9369">
        <v>106675</v>
      </c>
      <c r="B9369" s="3" t="s">
        <v>857</v>
      </c>
      <c r="C9369" s="1">
        <v>43500101</v>
      </c>
      <c r="D9369" t="s">
        <v>113</v>
      </c>
      <c r="H9369" t="str">
        <f t="shared" si="994"/>
        <v>FRTGPP50T02A328Y</v>
      </c>
      <c r="I9369" t="str">
        <f>""</f>
        <v/>
      </c>
      <c r="K9369" t="str">
        <f>""</f>
        <v/>
      </c>
      <c r="M9369" t="s">
        <v>68</v>
      </c>
      <c r="N9369" t="str">
        <f t="shared" si="993"/>
        <v>ALT</v>
      </c>
      <c r="O9369" t="s">
        <v>114</v>
      </c>
      <c r="P9369" s="3" t="s">
        <v>89</v>
      </c>
      <c r="Q9369">
        <v>2016</v>
      </c>
      <c r="R9369" s="2">
        <v>42548</v>
      </c>
      <c r="S9369" s="2">
        <v>42543</v>
      </c>
      <c r="T9369" s="2">
        <v>42543</v>
      </c>
      <c r="U9369" s="2">
        <v>42603</v>
      </c>
      <c r="V9369" t="s">
        <v>71</v>
      </c>
      <c r="W9369" t="str">
        <f>"                0627"</f>
        <v xml:space="preserve">                0627</v>
      </c>
      <c r="X9369">
        <v>0</v>
      </c>
      <c r="Y9369">
        <v>351.8</v>
      </c>
      <c r="Z9369"/>
      <c r="AB9369"/>
      <c r="AC9369">
        <v>351.8</v>
      </c>
      <c r="AD9369">
        <v>-47</v>
      </c>
      <c r="AE9369" s="1">
        <v>-16534.599999999999</v>
      </c>
      <c r="AF9369">
        <v>0</v>
      </c>
      <c r="AJ9369">
        <v>0</v>
      </c>
      <c r="AK9369">
        <v>0</v>
      </c>
      <c r="AL9369">
        <v>0</v>
      </c>
      <c r="AM9369">
        <v>351.8</v>
      </c>
      <c r="AN9369">
        <v>351.8</v>
      </c>
      <c r="AO9369">
        <v>351.8</v>
      </c>
      <c r="AP9369" s="2">
        <v>42746</v>
      </c>
      <c r="AQ9369" t="s">
        <v>72</v>
      </c>
      <c r="AR9369" t="s">
        <v>72</v>
      </c>
      <c r="AS9369">
        <v>1714</v>
      </c>
      <c r="AT9369" s="4">
        <v>42556</v>
      </c>
      <c r="AV9369">
        <v>1714</v>
      </c>
      <c r="AW9369" s="4">
        <v>42556</v>
      </c>
      <c r="BD9369">
        <v>0</v>
      </c>
      <c r="BN9369" t="s">
        <v>74</v>
      </c>
    </row>
    <row r="9370" spans="1:66" hidden="1">
      <c r="A9370">
        <v>106675</v>
      </c>
      <c r="B9370" s="3" t="s">
        <v>857</v>
      </c>
      <c r="C9370" s="1">
        <v>43500101</v>
      </c>
      <c r="D9370" t="s">
        <v>113</v>
      </c>
      <c r="H9370" t="str">
        <f t="shared" si="994"/>
        <v>FRTGPP50T02A328Y</v>
      </c>
      <c r="I9370" t="str">
        <f>""</f>
        <v/>
      </c>
      <c r="K9370" t="str">
        <f>""</f>
        <v/>
      </c>
      <c r="M9370" t="s">
        <v>68</v>
      </c>
      <c r="N9370" t="str">
        <f t="shared" si="993"/>
        <v>ALT</v>
      </c>
      <c r="O9370" t="s">
        <v>114</v>
      </c>
      <c r="P9370" s="3" t="s">
        <v>90</v>
      </c>
      <c r="Q9370">
        <v>2016</v>
      </c>
      <c r="R9370" s="2">
        <v>42573</v>
      </c>
      <c r="S9370" s="2">
        <v>42573</v>
      </c>
      <c r="T9370" s="2">
        <v>42573</v>
      </c>
      <c r="U9370" s="2">
        <v>42633</v>
      </c>
      <c r="V9370" t="s">
        <v>71</v>
      </c>
      <c r="W9370" t="str">
        <f>"                0722"</f>
        <v xml:space="preserve">                0722</v>
      </c>
      <c r="X9370">
        <v>0</v>
      </c>
      <c r="Y9370">
        <v>351.8</v>
      </c>
      <c r="Z9370"/>
      <c r="AB9370"/>
      <c r="AC9370">
        <v>351.8</v>
      </c>
      <c r="AD9370">
        <v>-48</v>
      </c>
      <c r="AE9370" s="1">
        <v>-16886.400000000001</v>
      </c>
      <c r="AF9370">
        <v>0</v>
      </c>
      <c r="AJ9370">
        <v>0</v>
      </c>
      <c r="AK9370">
        <v>0</v>
      </c>
      <c r="AL9370">
        <v>0</v>
      </c>
      <c r="AM9370">
        <v>351.8</v>
      </c>
      <c r="AN9370">
        <v>351.8</v>
      </c>
      <c r="AO9370">
        <v>351.8</v>
      </c>
      <c r="AP9370" s="2">
        <v>42746</v>
      </c>
      <c r="AQ9370" t="s">
        <v>72</v>
      </c>
      <c r="AR9370" t="s">
        <v>72</v>
      </c>
      <c r="AS9370">
        <v>2114</v>
      </c>
      <c r="AT9370" s="4">
        <v>42585</v>
      </c>
      <c r="AV9370">
        <v>2114</v>
      </c>
      <c r="AW9370" s="4">
        <v>42585</v>
      </c>
      <c r="BD9370">
        <v>0</v>
      </c>
      <c r="BN9370" t="s">
        <v>74</v>
      </c>
    </row>
    <row r="9371" spans="1:66" hidden="1">
      <c r="A9371">
        <v>106675</v>
      </c>
      <c r="B9371" s="3" t="s">
        <v>857</v>
      </c>
      <c r="C9371" s="1">
        <v>43500101</v>
      </c>
      <c r="D9371" t="s">
        <v>113</v>
      </c>
      <c r="H9371" t="str">
        <f t="shared" si="994"/>
        <v>FRTGPP50T02A328Y</v>
      </c>
      <c r="I9371" t="str">
        <f>""</f>
        <v/>
      </c>
      <c r="K9371" t="str">
        <f>""</f>
        <v/>
      </c>
      <c r="M9371" t="s">
        <v>68</v>
      </c>
      <c r="N9371" t="str">
        <f t="shared" si="993"/>
        <v>ALT</v>
      </c>
      <c r="O9371" t="s">
        <v>114</v>
      </c>
      <c r="P9371" s="3" t="s">
        <v>91</v>
      </c>
      <c r="Q9371">
        <v>2016</v>
      </c>
      <c r="R9371" s="2">
        <v>42592</v>
      </c>
      <c r="S9371" s="2">
        <v>42598</v>
      </c>
      <c r="T9371" s="2">
        <v>42598</v>
      </c>
      <c r="U9371" s="2">
        <v>42658</v>
      </c>
      <c r="V9371" t="s">
        <v>71</v>
      </c>
      <c r="W9371" t="str">
        <f>"                0810"</f>
        <v xml:space="preserve">                0810</v>
      </c>
      <c r="X9371">
        <v>0</v>
      </c>
      <c r="Y9371">
        <v>351.8</v>
      </c>
      <c r="Z9371"/>
      <c r="AB9371"/>
      <c r="AC9371">
        <v>351.8</v>
      </c>
      <c r="AD9371">
        <v>-60</v>
      </c>
      <c r="AE9371" s="1">
        <v>-21108</v>
      </c>
      <c r="AF9371">
        <v>0</v>
      </c>
      <c r="AJ9371">
        <v>0</v>
      </c>
      <c r="AK9371">
        <v>0</v>
      </c>
      <c r="AL9371">
        <v>0</v>
      </c>
      <c r="AM9371">
        <v>351.8</v>
      </c>
      <c r="AN9371">
        <v>351.8</v>
      </c>
      <c r="AO9371">
        <v>351.8</v>
      </c>
      <c r="AP9371" s="2">
        <v>42746</v>
      </c>
      <c r="AQ9371" t="s">
        <v>72</v>
      </c>
      <c r="AR9371" t="s">
        <v>72</v>
      </c>
      <c r="AS9371">
        <v>2196</v>
      </c>
      <c r="AT9371" s="4">
        <v>42598</v>
      </c>
      <c r="AV9371">
        <v>2196</v>
      </c>
      <c r="AW9371" s="4">
        <v>42598</v>
      </c>
      <c r="BD9371">
        <v>0</v>
      </c>
      <c r="BN9371" t="s">
        <v>74</v>
      </c>
    </row>
    <row r="9372" spans="1:66" hidden="1">
      <c r="A9372">
        <v>106675</v>
      </c>
      <c r="B9372" s="3" t="s">
        <v>857</v>
      </c>
      <c r="C9372" s="1">
        <v>43500101</v>
      </c>
      <c r="D9372" t="s">
        <v>113</v>
      </c>
      <c r="H9372" t="str">
        <f t="shared" si="994"/>
        <v>FRTGPP50T02A328Y</v>
      </c>
      <c r="I9372" t="str">
        <f>""</f>
        <v/>
      </c>
      <c r="K9372" t="str">
        <f>""</f>
        <v/>
      </c>
      <c r="M9372" t="s">
        <v>68</v>
      </c>
      <c r="N9372" t="str">
        <f t="shared" si="993"/>
        <v>ALT</v>
      </c>
      <c r="O9372" t="s">
        <v>114</v>
      </c>
      <c r="P9372" s="3" t="s">
        <v>92</v>
      </c>
      <c r="Q9372">
        <v>2016</v>
      </c>
      <c r="R9372" s="2">
        <v>42633</v>
      </c>
      <c r="S9372" s="2">
        <v>42634</v>
      </c>
      <c r="T9372" s="2">
        <v>42634</v>
      </c>
      <c r="U9372" s="2">
        <v>42694</v>
      </c>
      <c r="V9372" t="s">
        <v>71</v>
      </c>
      <c r="W9372" t="str">
        <f>"                0920"</f>
        <v xml:space="preserve">                0920</v>
      </c>
      <c r="X9372">
        <v>0</v>
      </c>
      <c r="Y9372">
        <v>351.8</v>
      </c>
      <c r="Z9372"/>
      <c r="AB9372"/>
      <c r="AC9372">
        <v>351.8</v>
      </c>
      <c r="AD9372">
        <v>-60</v>
      </c>
      <c r="AE9372" s="1">
        <v>-21108</v>
      </c>
      <c r="AF9372">
        <v>0</v>
      </c>
      <c r="AJ9372">
        <v>0</v>
      </c>
      <c r="AK9372">
        <v>0</v>
      </c>
      <c r="AL9372">
        <v>0</v>
      </c>
      <c r="AM9372">
        <v>351.8</v>
      </c>
      <c r="AN9372">
        <v>351.8</v>
      </c>
      <c r="AO9372">
        <v>351.8</v>
      </c>
      <c r="AP9372" s="2">
        <v>42746</v>
      </c>
      <c r="AQ9372" t="s">
        <v>72</v>
      </c>
      <c r="AR9372" t="s">
        <v>72</v>
      </c>
      <c r="AS9372">
        <v>2470</v>
      </c>
      <c r="AT9372" s="4">
        <v>42634</v>
      </c>
      <c r="AV9372">
        <v>2470</v>
      </c>
      <c r="AW9372" s="4">
        <v>42634</v>
      </c>
      <c r="BD9372">
        <v>0</v>
      </c>
      <c r="BN9372" t="s">
        <v>74</v>
      </c>
    </row>
    <row r="9373" spans="1:66" hidden="1">
      <c r="A9373">
        <v>106675</v>
      </c>
      <c r="B9373" s="3" t="s">
        <v>857</v>
      </c>
      <c r="C9373" s="1">
        <v>43500101</v>
      </c>
      <c r="D9373" t="s">
        <v>113</v>
      </c>
      <c r="H9373" t="str">
        <f t="shared" si="994"/>
        <v>FRTGPP50T02A328Y</v>
      </c>
      <c r="I9373" t="str">
        <f>""</f>
        <v/>
      </c>
      <c r="K9373" t="str">
        <f>""</f>
        <v/>
      </c>
      <c r="M9373" t="s">
        <v>68</v>
      </c>
      <c r="N9373" t="str">
        <f t="shared" si="993"/>
        <v>ALT</v>
      </c>
      <c r="O9373" t="s">
        <v>114</v>
      </c>
      <c r="P9373" s="3" t="s">
        <v>93</v>
      </c>
      <c r="Q9373">
        <v>2016</v>
      </c>
      <c r="R9373" s="2">
        <v>42664</v>
      </c>
      <c r="S9373" s="2">
        <v>42667</v>
      </c>
      <c r="T9373" s="2">
        <v>42667</v>
      </c>
      <c r="U9373" s="2">
        <v>42727</v>
      </c>
      <c r="V9373" t="s">
        <v>71</v>
      </c>
      <c r="W9373" t="str">
        <f>"                1021"</f>
        <v xml:space="preserve">                1021</v>
      </c>
      <c r="X9373">
        <v>0</v>
      </c>
      <c r="Y9373">
        <v>351.8</v>
      </c>
      <c r="Z9373" s="3">
        <v>351.8</v>
      </c>
      <c r="AA9373">
        <v>-60</v>
      </c>
      <c r="AB9373" s="5">
        <v>-21108</v>
      </c>
      <c r="AC9373">
        <v>351.8</v>
      </c>
      <c r="AD9373">
        <v>-60</v>
      </c>
      <c r="AE9373" s="1">
        <v>-21108</v>
      </c>
      <c r="AF9373">
        <v>0</v>
      </c>
      <c r="AJ9373">
        <v>351.8</v>
      </c>
      <c r="AK9373">
        <v>351.8</v>
      </c>
      <c r="AL9373">
        <v>351.8</v>
      </c>
      <c r="AM9373">
        <v>351.8</v>
      </c>
      <c r="AN9373">
        <v>351.8</v>
      </c>
      <c r="AO9373">
        <v>351.8</v>
      </c>
      <c r="AP9373" s="2">
        <v>42746</v>
      </c>
      <c r="AQ9373" t="s">
        <v>72</v>
      </c>
      <c r="AR9373" t="s">
        <v>72</v>
      </c>
      <c r="AS9373">
        <v>2817</v>
      </c>
      <c r="AT9373" s="4">
        <v>42667</v>
      </c>
      <c r="AV9373">
        <v>2817</v>
      </c>
      <c r="AW9373" s="4">
        <v>42667</v>
      </c>
      <c r="BD9373">
        <v>0</v>
      </c>
      <c r="BN9373" t="s">
        <v>74</v>
      </c>
    </row>
    <row r="9374" spans="1:66" hidden="1">
      <c r="A9374">
        <v>106675</v>
      </c>
      <c r="B9374" s="3" t="s">
        <v>857</v>
      </c>
      <c r="C9374" s="1">
        <v>43500101</v>
      </c>
      <c r="D9374" t="s">
        <v>113</v>
      </c>
      <c r="H9374" t="str">
        <f t="shared" si="994"/>
        <v>FRTGPP50T02A328Y</v>
      </c>
      <c r="I9374" t="str">
        <f>""</f>
        <v/>
      </c>
      <c r="K9374" t="str">
        <f>""</f>
        <v/>
      </c>
      <c r="M9374" t="s">
        <v>68</v>
      </c>
      <c r="N9374" t="str">
        <f t="shared" si="993"/>
        <v>ALT</v>
      </c>
      <c r="O9374" t="s">
        <v>114</v>
      </c>
      <c r="P9374" s="3" t="s">
        <v>94</v>
      </c>
      <c r="Q9374">
        <v>2016</v>
      </c>
      <c r="R9374" s="2">
        <v>42696</v>
      </c>
      <c r="S9374" s="2">
        <v>42696</v>
      </c>
      <c r="T9374" s="2">
        <v>42696</v>
      </c>
      <c r="U9374" s="2">
        <v>42756</v>
      </c>
      <c r="V9374" t="s">
        <v>71</v>
      </c>
      <c r="W9374" t="str">
        <f>"                1122"</f>
        <v xml:space="preserve">                1122</v>
      </c>
      <c r="X9374">
        <v>0</v>
      </c>
      <c r="Y9374">
        <v>351.8</v>
      </c>
      <c r="Z9374" s="3">
        <v>351.8</v>
      </c>
      <c r="AA9374">
        <v>-59</v>
      </c>
      <c r="AB9374" s="5">
        <v>-20756.2</v>
      </c>
      <c r="AC9374">
        <v>351.8</v>
      </c>
      <c r="AD9374">
        <v>-59</v>
      </c>
      <c r="AE9374" s="1">
        <v>-20756.2</v>
      </c>
      <c r="AF9374">
        <v>0</v>
      </c>
      <c r="AJ9374">
        <v>351.8</v>
      </c>
      <c r="AK9374">
        <v>351.8</v>
      </c>
      <c r="AL9374">
        <v>351.8</v>
      </c>
      <c r="AM9374">
        <v>351.8</v>
      </c>
      <c r="AN9374">
        <v>351.8</v>
      </c>
      <c r="AO9374">
        <v>351.8</v>
      </c>
      <c r="AP9374" s="2">
        <v>42746</v>
      </c>
      <c r="AQ9374" t="s">
        <v>72</v>
      </c>
      <c r="AR9374" t="s">
        <v>72</v>
      </c>
      <c r="AS9374">
        <v>3254</v>
      </c>
      <c r="AT9374" s="4">
        <v>42697</v>
      </c>
      <c r="AV9374">
        <v>3254</v>
      </c>
      <c r="AW9374" s="4">
        <v>42697</v>
      </c>
      <c r="BD9374">
        <v>0</v>
      </c>
      <c r="BN9374" t="s">
        <v>74</v>
      </c>
    </row>
    <row r="9375" spans="1:66" hidden="1">
      <c r="A9375">
        <v>106675</v>
      </c>
      <c r="B9375" s="3" t="s">
        <v>857</v>
      </c>
      <c r="C9375" s="1">
        <v>43500101</v>
      </c>
      <c r="D9375" t="s">
        <v>113</v>
      </c>
      <c r="H9375" t="str">
        <f t="shared" si="994"/>
        <v>FRTGPP50T02A328Y</v>
      </c>
      <c r="I9375" t="str">
        <f>""</f>
        <v/>
      </c>
      <c r="K9375" t="str">
        <f>""</f>
        <v/>
      </c>
      <c r="M9375" t="s">
        <v>68</v>
      </c>
      <c r="N9375" t="str">
        <f t="shared" si="993"/>
        <v>ALT</v>
      </c>
      <c r="O9375" t="s">
        <v>114</v>
      </c>
      <c r="P9375" s="3" t="s">
        <v>95</v>
      </c>
      <c r="Q9375">
        <v>2016</v>
      </c>
      <c r="R9375" s="2">
        <v>42717</v>
      </c>
      <c r="S9375" s="2">
        <v>42717</v>
      </c>
      <c r="T9375" s="2">
        <v>42717</v>
      </c>
      <c r="U9375" s="2">
        <v>42777</v>
      </c>
      <c r="V9375" t="s">
        <v>71</v>
      </c>
      <c r="W9375" t="str">
        <f>"                1213"</f>
        <v xml:space="preserve">                1213</v>
      </c>
      <c r="X9375">
        <v>0</v>
      </c>
      <c r="Y9375">
        <v>351.8</v>
      </c>
      <c r="Z9375" s="3">
        <v>351.8</v>
      </c>
      <c r="AA9375">
        <v>-59</v>
      </c>
      <c r="AB9375" s="5">
        <v>-20756.2</v>
      </c>
      <c r="AC9375">
        <v>351.8</v>
      </c>
      <c r="AD9375">
        <v>-59</v>
      </c>
      <c r="AE9375" s="1">
        <v>-20756.2</v>
      </c>
      <c r="AF9375">
        <v>0</v>
      </c>
      <c r="AJ9375">
        <v>351.8</v>
      </c>
      <c r="AK9375">
        <v>351.8</v>
      </c>
      <c r="AL9375">
        <v>351.8</v>
      </c>
      <c r="AM9375">
        <v>351.8</v>
      </c>
      <c r="AN9375">
        <v>351.8</v>
      </c>
      <c r="AO9375">
        <v>351.8</v>
      </c>
      <c r="AP9375" s="2">
        <v>42746</v>
      </c>
      <c r="AQ9375" t="s">
        <v>72</v>
      </c>
      <c r="AR9375" t="s">
        <v>72</v>
      </c>
      <c r="AS9375">
        <v>3413</v>
      </c>
      <c r="AT9375" s="4">
        <v>42718</v>
      </c>
      <c r="AV9375">
        <v>3413</v>
      </c>
      <c r="AW9375" s="4">
        <v>42718</v>
      </c>
      <c r="BD9375">
        <v>0</v>
      </c>
      <c r="BN9375" t="s">
        <v>74</v>
      </c>
    </row>
    <row r="9376" spans="1:66" hidden="1">
      <c r="A9376">
        <v>106676</v>
      </c>
      <c r="B9376" s="3" t="s">
        <v>859</v>
      </c>
      <c r="C9376" s="1">
        <v>43500101</v>
      </c>
      <c r="D9376" t="s">
        <v>113</v>
      </c>
      <c r="H9376" t="str">
        <f>""</f>
        <v/>
      </c>
      <c r="I9376" t="str">
        <f>"00472710581"</f>
        <v>00472710581</v>
      </c>
      <c r="K9376" t="str">
        <f>""</f>
        <v/>
      </c>
      <c r="M9376" t="s">
        <v>68</v>
      </c>
      <c r="N9376" t="str">
        <f t="shared" si="993"/>
        <v>ALT</v>
      </c>
      <c r="O9376" t="s">
        <v>114</v>
      </c>
      <c r="P9376" s="3" t="s">
        <v>860</v>
      </c>
      <c r="Q9376">
        <v>2015</v>
      </c>
      <c r="R9376" s="2">
        <v>42361</v>
      </c>
      <c r="S9376" s="2">
        <v>42361</v>
      </c>
      <c r="T9376" s="2">
        <v>42361</v>
      </c>
      <c r="U9376" s="2">
        <v>42421</v>
      </c>
      <c r="V9376" t="s">
        <v>71</v>
      </c>
      <c r="W9376" t="str">
        <f>"                 299"</f>
        <v xml:space="preserve">                 299</v>
      </c>
      <c r="X9376">
        <v>0</v>
      </c>
      <c r="Y9376" s="1">
        <v>2079.84</v>
      </c>
      <c r="Z9376"/>
      <c r="AB9376"/>
      <c r="AC9376" s="1">
        <v>2079.84</v>
      </c>
      <c r="AD9376">
        <v>-19</v>
      </c>
      <c r="AE9376" s="1">
        <v>-39516.959999999999</v>
      </c>
      <c r="AF9376">
        <v>0</v>
      </c>
      <c r="AJ9376">
        <v>0</v>
      </c>
      <c r="AK9376">
        <v>0</v>
      </c>
      <c r="AL9376">
        <v>0</v>
      </c>
      <c r="AM9376">
        <v>0</v>
      </c>
      <c r="AN9376">
        <v>0</v>
      </c>
      <c r="AO9376">
        <v>0</v>
      </c>
      <c r="AP9376" s="2">
        <v>42746</v>
      </c>
      <c r="AQ9376" t="s">
        <v>72</v>
      </c>
      <c r="AR9376" t="s">
        <v>72</v>
      </c>
      <c r="AS9376">
        <v>194</v>
      </c>
      <c r="AT9376" s="4">
        <v>42402</v>
      </c>
      <c r="AV9376">
        <v>194</v>
      </c>
      <c r="AW9376" s="4">
        <v>42402</v>
      </c>
      <c r="BD9376">
        <v>0</v>
      </c>
      <c r="BN9376" t="s">
        <v>74</v>
      </c>
    </row>
    <row r="9377" spans="1:66" hidden="1">
      <c r="A9377">
        <v>106677</v>
      </c>
      <c r="B9377" s="3" t="s">
        <v>861</v>
      </c>
      <c r="C9377" s="1">
        <v>43500101</v>
      </c>
      <c r="D9377" t="s">
        <v>113</v>
      </c>
      <c r="H9377" t="str">
        <f>"PGLCLT76D66A773Q"</f>
        <v>PGLCLT76D66A773Q</v>
      </c>
      <c r="I9377" t="str">
        <f>""</f>
        <v/>
      </c>
      <c r="K9377" t="str">
        <f>""</f>
        <v/>
      </c>
      <c r="M9377" t="s">
        <v>68</v>
      </c>
      <c r="N9377" t="str">
        <f t="shared" si="993"/>
        <v>ALT</v>
      </c>
      <c r="O9377" t="s">
        <v>114</v>
      </c>
      <c r="P9377" s="3" t="s">
        <v>862</v>
      </c>
      <c r="Q9377">
        <v>2016</v>
      </c>
      <c r="R9377" s="2">
        <v>42394</v>
      </c>
      <c r="S9377" s="2">
        <v>42394</v>
      </c>
      <c r="T9377" s="2">
        <v>42394</v>
      </c>
      <c r="U9377" s="2">
        <v>42454</v>
      </c>
      <c r="V9377" t="s">
        <v>71</v>
      </c>
      <c r="W9377" t="str">
        <f>"                   4"</f>
        <v xml:space="preserve">                   4</v>
      </c>
      <c r="X9377">
        <v>0</v>
      </c>
      <c r="Y9377">
        <v>92.22</v>
      </c>
      <c r="Z9377"/>
      <c r="AB9377"/>
      <c r="AC9377">
        <v>92.22</v>
      </c>
      <c r="AD9377">
        <v>-52</v>
      </c>
      <c r="AE9377" s="1">
        <v>-4795.4399999999996</v>
      </c>
      <c r="AF9377">
        <v>0</v>
      </c>
      <c r="AJ9377">
        <v>0</v>
      </c>
      <c r="AK9377">
        <v>0</v>
      </c>
      <c r="AL9377">
        <v>0</v>
      </c>
      <c r="AM9377">
        <v>92.22</v>
      </c>
      <c r="AN9377">
        <v>92.22</v>
      </c>
      <c r="AO9377">
        <v>92.22</v>
      </c>
      <c r="AP9377" s="2">
        <v>42746</v>
      </c>
      <c r="AQ9377" t="s">
        <v>72</v>
      </c>
      <c r="AR9377" t="s">
        <v>72</v>
      </c>
      <c r="AS9377">
        <v>192</v>
      </c>
      <c r="AT9377" s="4">
        <v>42402</v>
      </c>
      <c r="AV9377">
        <v>192</v>
      </c>
      <c r="AW9377" s="4">
        <v>42402</v>
      </c>
      <c r="BD9377">
        <v>0</v>
      </c>
      <c r="BN9377" t="s">
        <v>74</v>
      </c>
    </row>
    <row r="9378" spans="1:66" hidden="1">
      <c r="A9378">
        <v>106678</v>
      </c>
      <c r="B9378" s="3" t="s">
        <v>863</v>
      </c>
      <c r="C9378" s="1">
        <v>43500101</v>
      </c>
      <c r="D9378" t="s">
        <v>113</v>
      </c>
      <c r="H9378" t="str">
        <f>"MNLNGL78B56A783V"</f>
        <v>MNLNGL78B56A783V</v>
      </c>
      <c r="I9378" t="str">
        <f>""</f>
        <v/>
      </c>
      <c r="K9378" t="str">
        <f>""</f>
        <v/>
      </c>
      <c r="M9378" t="s">
        <v>68</v>
      </c>
      <c r="N9378" t="str">
        <f t="shared" si="993"/>
        <v>ALT</v>
      </c>
      <c r="O9378" t="s">
        <v>114</v>
      </c>
      <c r="P9378" s="3" t="s">
        <v>864</v>
      </c>
      <c r="Q9378">
        <v>2016</v>
      </c>
      <c r="R9378" s="2">
        <v>42394</v>
      </c>
      <c r="S9378" s="2">
        <v>42394</v>
      </c>
      <c r="T9378" s="2">
        <v>42394</v>
      </c>
      <c r="U9378" s="2">
        <v>42454</v>
      </c>
      <c r="V9378" t="s">
        <v>71</v>
      </c>
      <c r="W9378" t="str">
        <f>"                   6"</f>
        <v xml:space="preserve">                   6</v>
      </c>
      <c r="X9378">
        <v>0</v>
      </c>
      <c r="Y9378">
        <v>900</v>
      </c>
      <c r="Z9378"/>
      <c r="AB9378"/>
      <c r="AC9378">
        <v>900</v>
      </c>
      <c r="AD9378">
        <v>-49</v>
      </c>
      <c r="AE9378" s="1">
        <v>-44100</v>
      </c>
      <c r="AF9378">
        <v>0</v>
      </c>
      <c r="AJ9378">
        <v>0</v>
      </c>
      <c r="AK9378">
        <v>0</v>
      </c>
      <c r="AL9378">
        <v>0</v>
      </c>
      <c r="AM9378">
        <v>900</v>
      </c>
      <c r="AN9378">
        <v>900</v>
      </c>
      <c r="AO9378">
        <v>900</v>
      </c>
      <c r="AP9378" s="2">
        <v>42746</v>
      </c>
      <c r="AQ9378" t="s">
        <v>72</v>
      </c>
      <c r="AR9378" t="s">
        <v>72</v>
      </c>
      <c r="AS9378">
        <v>283</v>
      </c>
      <c r="AT9378" s="4">
        <v>42405</v>
      </c>
      <c r="AV9378">
        <v>283</v>
      </c>
      <c r="AW9378" s="4">
        <v>42405</v>
      </c>
      <c r="BD9378">
        <v>0</v>
      </c>
      <c r="BN9378" t="s">
        <v>74</v>
      </c>
    </row>
    <row r="9379" spans="1:66">
      <c r="A9379">
        <v>106680</v>
      </c>
      <c r="B9379" s="3" t="s">
        <v>865</v>
      </c>
      <c r="C9379" s="1">
        <v>43300101</v>
      </c>
      <c r="D9379" t="s">
        <v>67</v>
      </c>
      <c r="H9379" t="str">
        <f t="shared" ref="H9379:I9383" si="995">"09284460962"</f>
        <v>09284460962</v>
      </c>
      <c r="I9379" t="str">
        <f t="shared" si="995"/>
        <v>09284460962</v>
      </c>
      <c r="K9379" t="str">
        <f>""</f>
        <v/>
      </c>
      <c r="M9379" t="s">
        <v>68</v>
      </c>
      <c r="N9379" t="str">
        <f t="shared" ref="N9379:N9385" si="996">"FOR"</f>
        <v>FOR</v>
      </c>
      <c r="O9379" t="s">
        <v>69</v>
      </c>
      <c r="P9379" s="3" t="s">
        <v>75</v>
      </c>
      <c r="Q9379">
        <v>2016</v>
      </c>
      <c r="R9379" s="2">
        <v>42408</v>
      </c>
      <c r="S9379" s="2">
        <v>42410</v>
      </c>
      <c r="T9379" s="2">
        <v>42408</v>
      </c>
      <c r="U9379" s="2">
        <v>42468</v>
      </c>
      <c r="V9379" t="s">
        <v>71</v>
      </c>
      <c r="W9379" t="str">
        <f>"           000000194"</f>
        <v xml:space="preserve">           000000194</v>
      </c>
      <c r="X9379" s="1">
        <v>2556.5100000000002</v>
      </c>
      <c r="Y9379">
        <v>0</v>
      </c>
      <c r="Z9379" s="5">
        <v>2095.5</v>
      </c>
      <c r="AA9379">
        <v>179</v>
      </c>
      <c r="AB9379" s="5">
        <v>375094.5</v>
      </c>
      <c r="AC9379" s="1">
        <v>2095.5</v>
      </c>
      <c r="AD9379">
        <v>179</v>
      </c>
      <c r="AE9379" s="1">
        <v>375094.5</v>
      </c>
      <c r="AF9379">
        <v>0</v>
      </c>
      <c r="AJ9379">
        <v>0</v>
      </c>
      <c r="AK9379">
        <v>0</v>
      </c>
      <c r="AL9379">
        <v>0</v>
      </c>
      <c r="AM9379" s="1">
        <v>2556.5100000000002</v>
      </c>
      <c r="AN9379" s="1">
        <v>2556.5100000000002</v>
      </c>
      <c r="AO9379" s="1">
        <v>2556.5100000000002</v>
      </c>
      <c r="AP9379" s="2">
        <v>42746</v>
      </c>
      <c r="AQ9379" t="s">
        <v>72</v>
      </c>
      <c r="AR9379" t="s">
        <v>72</v>
      </c>
      <c r="AS9379">
        <v>2597</v>
      </c>
      <c r="AT9379" s="4">
        <v>42647</v>
      </c>
      <c r="AU9379" t="s">
        <v>73</v>
      </c>
      <c r="AV9379">
        <v>2597</v>
      </c>
      <c r="AW9379" s="4">
        <v>42647</v>
      </c>
      <c r="BD9379">
        <v>0</v>
      </c>
      <c r="BN9379" t="s">
        <v>74</v>
      </c>
    </row>
    <row r="9380" spans="1:66">
      <c r="A9380">
        <v>106680</v>
      </c>
      <c r="B9380" s="3" t="s">
        <v>865</v>
      </c>
      <c r="C9380" s="1">
        <v>43300101</v>
      </c>
      <c r="D9380" t="s">
        <v>67</v>
      </c>
      <c r="H9380" t="str">
        <f t="shared" si="995"/>
        <v>09284460962</v>
      </c>
      <c r="I9380" t="str">
        <f t="shared" si="995"/>
        <v>09284460962</v>
      </c>
      <c r="K9380" t="str">
        <f>""</f>
        <v/>
      </c>
      <c r="M9380" t="s">
        <v>68</v>
      </c>
      <c r="N9380" t="str">
        <f t="shared" si="996"/>
        <v>FOR</v>
      </c>
      <c r="O9380" t="s">
        <v>69</v>
      </c>
      <c r="P9380" s="3" t="s">
        <v>75</v>
      </c>
      <c r="Q9380">
        <v>2016</v>
      </c>
      <c r="R9380" s="2">
        <v>42415</v>
      </c>
      <c r="S9380" s="2">
        <v>42417</v>
      </c>
      <c r="T9380" s="2">
        <v>42415</v>
      </c>
      <c r="U9380" s="2">
        <v>42475</v>
      </c>
      <c r="V9380" t="s">
        <v>71</v>
      </c>
      <c r="W9380" t="str">
        <f>"           000000286"</f>
        <v xml:space="preserve">           000000286</v>
      </c>
      <c r="X9380">
        <v>415.41</v>
      </c>
      <c r="Y9380">
        <v>0</v>
      </c>
      <c r="Z9380" s="3">
        <v>340.5</v>
      </c>
      <c r="AA9380">
        <v>172</v>
      </c>
      <c r="AB9380" s="5">
        <v>58566</v>
      </c>
      <c r="AC9380">
        <v>340.5</v>
      </c>
      <c r="AD9380">
        <v>172</v>
      </c>
      <c r="AE9380" s="1">
        <v>58566</v>
      </c>
      <c r="AF9380">
        <v>0</v>
      </c>
      <c r="AJ9380">
        <v>0</v>
      </c>
      <c r="AK9380">
        <v>0</v>
      </c>
      <c r="AL9380">
        <v>0</v>
      </c>
      <c r="AM9380">
        <v>415.41</v>
      </c>
      <c r="AN9380">
        <v>415.41</v>
      </c>
      <c r="AO9380">
        <v>415.41</v>
      </c>
      <c r="AP9380" s="2">
        <v>42746</v>
      </c>
      <c r="AQ9380" t="s">
        <v>72</v>
      </c>
      <c r="AR9380" t="s">
        <v>72</v>
      </c>
      <c r="AS9380">
        <v>2597</v>
      </c>
      <c r="AT9380" s="4">
        <v>42647</v>
      </c>
      <c r="AU9380" t="s">
        <v>73</v>
      </c>
      <c r="AV9380">
        <v>2597</v>
      </c>
      <c r="AW9380" s="4">
        <v>42647</v>
      </c>
      <c r="BD9380">
        <v>0</v>
      </c>
      <c r="BN9380" t="s">
        <v>74</v>
      </c>
    </row>
    <row r="9381" spans="1:66">
      <c r="A9381">
        <v>106680</v>
      </c>
      <c r="B9381" s="3" t="s">
        <v>865</v>
      </c>
      <c r="C9381" s="1">
        <v>43300101</v>
      </c>
      <c r="D9381" t="s">
        <v>67</v>
      </c>
      <c r="H9381" t="str">
        <f t="shared" si="995"/>
        <v>09284460962</v>
      </c>
      <c r="I9381" t="str">
        <f t="shared" si="995"/>
        <v>09284460962</v>
      </c>
      <c r="K9381" t="str">
        <f>""</f>
        <v/>
      </c>
      <c r="M9381" t="s">
        <v>68</v>
      </c>
      <c r="N9381" t="str">
        <f t="shared" si="996"/>
        <v>FOR</v>
      </c>
      <c r="O9381" t="s">
        <v>69</v>
      </c>
      <c r="P9381" s="3" t="s">
        <v>75</v>
      </c>
      <c r="Q9381">
        <v>2016</v>
      </c>
      <c r="R9381" s="2">
        <v>42418</v>
      </c>
      <c r="S9381" s="2">
        <v>42422</v>
      </c>
      <c r="T9381" s="2">
        <v>42418</v>
      </c>
      <c r="U9381" s="2">
        <v>42478</v>
      </c>
      <c r="V9381" t="s">
        <v>71</v>
      </c>
      <c r="W9381" t="str">
        <f>"           000000346"</f>
        <v xml:space="preserve">           000000346</v>
      </c>
      <c r="X9381" s="1">
        <v>3834.77</v>
      </c>
      <c r="Y9381">
        <v>0</v>
      </c>
      <c r="Z9381" s="5">
        <v>3143.25</v>
      </c>
      <c r="AA9381">
        <v>169</v>
      </c>
      <c r="AB9381" s="5">
        <v>531209.25</v>
      </c>
      <c r="AC9381" s="1">
        <v>3143.25</v>
      </c>
      <c r="AD9381">
        <v>169</v>
      </c>
      <c r="AE9381" s="1">
        <v>531209.25</v>
      </c>
      <c r="AF9381">
        <v>0</v>
      </c>
      <c r="AJ9381">
        <v>0</v>
      </c>
      <c r="AK9381">
        <v>0</v>
      </c>
      <c r="AL9381">
        <v>0</v>
      </c>
      <c r="AM9381" s="1">
        <v>3834.77</v>
      </c>
      <c r="AN9381" s="1">
        <v>3834.77</v>
      </c>
      <c r="AO9381" s="1">
        <v>3834.77</v>
      </c>
      <c r="AP9381" s="2">
        <v>42746</v>
      </c>
      <c r="AQ9381" t="s">
        <v>72</v>
      </c>
      <c r="AR9381" t="s">
        <v>72</v>
      </c>
      <c r="AS9381">
        <v>2597</v>
      </c>
      <c r="AT9381" s="4">
        <v>42647</v>
      </c>
      <c r="AU9381" t="s">
        <v>73</v>
      </c>
      <c r="AV9381">
        <v>2597</v>
      </c>
      <c r="AW9381" s="4">
        <v>42647</v>
      </c>
      <c r="BD9381">
        <v>0</v>
      </c>
      <c r="BN9381" t="s">
        <v>74</v>
      </c>
    </row>
    <row r="9382" spans="1:66">
      <c r="A9382">
        <v>106680</v>
      </c>
      <c r="B9382" s="3" t="s">
        <v>865</v>
      </c>
      <c r="C9382" s="1">
        <v>43300101</v>
      </c>
      <c r="D9382" t="s">
        <v>67</v>
      </c>
      <c r="H9382" t="str">
        <f t="shared" si="995"/>
        <v>09284460962</v>
      </c>
      <c r="I9382" t="str">
        <f t="shared" si="995"/>
        <v>09284460962</v>
      </c>
      <c r="K9382" t="str">
        <f>""</f>
        <v/>
      </c>
      <c r="M9382" t="s">
        <v>68</v>
      </c>
      <c r="N9382" t="str">
        <f t="shared" si="996"/>
        <v>FOR</v>
      </c>
      <c r="O9382" t="s">
        <v>69</v>
      </c>
      <c r="P9382" s="3" t="s">
        <v>75</v>
      </c>
      <c r="Q9382">
        <v>2016</v>
      </c>
      <c r="R9382" s="2">
        <v>42445</v>
      </c>
      <c r="S9382" s="2">
        <v>42447</v>
      </c>
      <c r="T9382" s="2">
        <v>42446</v>
      </c>
      <c r="U9382" s="2">
        <v>42506</v>
      </c>
      <c r="V9382" t="s">
        <v>71</v>
      </c>
      <c r="W9382" t="str">
        <f>"           000000711"</f>
        <v xml:space="preserve">           000000711</v>
      </c>
      <c r="X9382" s="1">
        <v>5113.0200000000004</v>
      </c>
      <c r="Y9382">
        <v>0</v>
      </c>
      <c r="Z9382" s="5">
        <v>4191</v>
      </c>
      <c r="AA9382">
        <v>177</v>
      </c>
      <c r="AB9382" s="5">
        <v>741807</v>
      </c>
      <c r="AC9382" s="1">
        <v>4191</v>
      </c>
      <c r="AD9382">
        <v>177</v>
      </c>
      <c r="AE9382" s="1">
        <v>741807</v>
      </c>
      <c r="AF9382">
        <v>0</v>
      </c>
      <c r="AJ9382">
        <v>0</v>
      </c>
      <c r="AK9382">
        <v>0</v>
      </c>
      <c r="AL9382">
        <v>0</v>
      </c>
      <c r="AM9382" s="1">
        <v>5113.0200000000004</v>
      </c>
      <c r="AN9382" s="1">
        <v>5113.0200000000004</v>
      </c>
      <c r="AO9382" s="1">
        <v>5113.0200000000004</v>
      </c>
      <c r="AP9382" s="2">
        <v>42746</v>
      </c>
      <c r="AQ9382" t="s">
        <v>72</v>
      </c>
      <c r="AR9382" t="s">
        <v>72</v>
      </c>
      <c r="AS9382">
        <v>3028</v>
      </c>
      <c r="AT9382" s="4">
        <v>42683</v>
      </c>
      <c r="AU9382" t="s">
        <v>73</v>
      </c>
      <c r="AV9382">
        <v>3028</v>
      </c>
      <c r="AW9382" s="4">
        <v>42683</v>
      </c>
      <c r="BD9382">
        <v>0</v>
      </c>
      <c r="BN9382" t="s">
        <v>74</v>
      </c>
    </row>
    <row r="9383" spans="1:66">
      <c r="A9383">
        <v>106680</v>
      </c>
      <c r="B9383" s="3" t="s">
        <v>865</v>
      </c>
      <c r="C9383" s="1">
        <v>43300101</v>
      </c>
      <c r="D9383" t="s">
        <v>67</v>
      </c>
      <c r="H9383" t="str">
        <f t="shared" si="995"/>
        <v>09284460962</v>
      </c>
      <c r="I9383" t="str">
        <f t="shared" si="995"/>
        <v>09284460962</v>
      </c>
      <c r="K9383" t="str">
        <f>""</f>
        <v/>
      </c>
      <c r="M9383" t="s">
        <v>68</v>
      </c>
      <c r="N9383" t="str">
        <f t="shared" si="996"/>
        <v>FOR</v>
      </c>
      <c r="O9383" t="s">
        <v>69</v>
      </c>
      <c r="P9383" s="3" t="s">
        <v>75</v>
      </c>
      <c r="Q9383">
        <v>2016</v>
      </c>
      <c r="R9383" s="2">
        <v>42460</v>
      </c>
      <c r="S9383" s="2">
        <v>42464</v>
      </c>
      <c r="T9383" s="2">
        <v>42461</v>
      </c>
      <c r="U9383" s="2">
        <v>42521</v>
      </c>
      <c r="V9383" t="s">
        <v>71</v>
      </c>
      <c r="W9383" t="str">
        <f>"           000000967"</f>
        <v xml:space="preserve">           000000967</v>
      </c>
      <c r="X9383" s="1">
        <v>3834.77</v>
      </c>
      <c r="Y9383">
        <v>0</v>
      </c>
      <c r="Z9383" s="5">
        <v>3143.25</v>
      </c>
      <c r="AA9383">
        <v>162</v>
      </c>
      <c r="AB9383" s="5">
        <v>509206.5</v>
      </c>
      <c r="AC9383" s="1">
        <v>3143.25</v>
      </c>
      <c r="AD9383">
        <v>162</v>
      </c>
      <c r="AE9383" s="1">
        <v>509206.5</v>
      </c>
      <c r="AF9383">
        <v>0</v>
      </c>
      <c r="AJ9383">
        <v>0</v>
      </c>
      <c r="AK9383">
        <v>0</v>
      </c>
      <c r="AL9383">
        <v>0</v>
      </c>
      <c r="AM9383" s="1">
        <v>3834.77</v>
      </c>
      <c r="AN9383" s="1">
        <v>3834.77</v>
      </c>
      <c r="AO9383" s="1">
        <v>3834.77</v>
      </c>
      <c r="AP9383" s="2">
        <v>42746</v>
      </c>
      <c r="AQ9383" t="s">
        <v>72</v>
      </c>
      <c r="AR9383" t="s">
        <v>72</v>
      </c>
      <c r="AS9383">
        <v>3028</v>
      </c>
      <c r="AT9383" s="4">
        <v>42683</v>
      </c>
      <c r="AU9383" t="s">
        <v>73</v>
      </c>
      <c r="AV9383">
        <v>3028</v>
      </c>
      <c r="AW9383" s="4">
        <v>42683</v>
      </c>
      <c r="BD9383">
        <v>0</v>
      </c>
      <c r="BN9383" t="s">
        <v>74</v>
      </c>
    </row>
    <row r="9384" spans="1:66" hidden="1">
      <c r="A9384">
        <v>106681</v>
      </c>
      <c r="B9384" s="3" t="s">
        <v>866</v>
      </c>
      <c r="C9384" s="1">
        <v>43300101</v>
      </c>
      <c r="D9384" t="s">
        <v>67</v>
      </c>
      <c r="H9384" t="str">
        <f>"01554220192"</f>
        <v>01554220192</v>
      </c>
      <c r="I9384" t="str">
        <f>"01554220192"</f>
        <v>01554220192</v>
      </c>
      <c r="K9384" t="str">
        <f>""</f>
        <v/>
      </c>
      <c r="M9384" t="s">
        <v>68</v>
      </c>
      <c r="N9384" t="str">
        <f t="shared" si="996"/>
        <v>FOR</v>
      </c>
      <c r="O9384" t="s">
        <v>69</v>
      </c>
      <c r="P9384" s="3" t="s">
        <v>75</v>
      </c>
      <c r="Q9384">
        <v>2016</v>
      </c>
      <c r="R9384" s="2">
        <v>42417</v>
      </c>
      <c r="S9384" s="2">
        <v>42422</v>
      </c>
      <c r="T9384" s="2">
        <v>42418</v>
      </c>
      <c r="U9384" s="2">
        <v>42478</v>
      </c>
      <c r="V9384" t="s">
        <v>71</v>
      </c>
      <c r="W9384" t="str">
        <f>"                 549"</f>
        <v xml:space="preserve">                 549</v>
      </c>
      <c r="X9384" s="1">
        <v>1279.08</v>
      </c>
      <c r="Y9384">
        <v>0</v>
      </c>
      <c r="Z9384"/>
      <c r="AB9384"/>
      <c r="AC9384" s="1">
        <v>1162.8</v>
      </c>
      <c r="AD9384">
        <v>98</v>
      </c>
      <c r="AE9384" s="1">
        <v>113954.4</v>
      </c>
      <c r="AF9384">
        <v>0</v>
      </c>
      <c r="AJ9384">
        <v>0</v>
      </c>
      <c r="AK9384">
        <v>0</v>
      </c>
      <c r="AL9384">
        <v>0</v>
      </c>
      <c r="AM9384" s="1">
        <v>1279.08</v>
      </c>
      <c r="AN9384" s="1">
        <v>1279.08</v>
      </c>
      <c r="AO9384" s="1">
        <v>1279.08</v>
      </c>
      <c r="AP9384" s="2">
        <v>42746</v>
      </c>
      <c r="AQ9384" t="s">
        <v>72</v>
      </c>
      <c r="AR9384" t="s">
        <v>72</v>
      </c>
      <c r="AS9384">
        <v>1892</v>
      </c>
      <c r="AT9384" s="4">
        <v>42576</v>
      </c>
      <c r="AU9384" t="s">
        <v>73</v>
      </c>
      <c r="AV9384">
        <v>1892</v>
      </c>
      <c r="AW9384" s="4">
        <v>42576</v>
      </c>
      <c r="BD9384">
        <v>0</v>
      </c>
      <c r="BN9384" t="s">
        <v>74</v>
      </c>
    </row>
    <row r="9385" spans="1:66">
      <c r="A9385">
        <v>106683</v>
      </c>
      <c r="B9385" s="3" t="s">
        <v>867</v>
      </c>
      <c r="C9385" s="1">
        <v>43300101</v>
      </c>
      <c r="D9385" t="s">
        <v>67</v>
      </c>
      <c r="H9385" t="str">
        <f>"05526190482"</f>
        <v>05526190482</v>
      </c>
      <c r="I9385" t="str">
        <f>"05526190482"</f>
        <v>05526190482</v>
      </c>
      <c r="K9385" t="str">
        <f>""</f>
        <v/>
      </c>
      <c r="M9385" t="s">
        <v>68</v>
      </c>
      <c r="N9385" t="str">
        <f t="shared" si="996"/>
        <v>FOR</v>
      </c>
      <c r="O9385" t="s">
        <v>69</v>
      </c>
      <c r="P9385" s="3" t="s">
        <v>75</v>
      </c>
      <c r="Q9385">
        <v>2016</v>
      </c>
      <c r="R9385" s="2">
        <v>42460</v>
      </c>
      <c r="S9385" s="2">
        <v>42472</v>
      </c>
      <c r="T9385" s="2">
        <v>42472</v>
      </c>
      <c r="U9385" s="2">
        <v>42532</v>
      </c>
      <c r="V9385" t="s">
        <v>71</v>
      </c>
      <c r="W9385" t="str">
        <f>"               7 /PA"</f>
        <v xml:space="preserve">               7 /PA</v>
      </c>
      <c r="X9385" s="1">
        <v>33836.75</v>
      </c>
      <c r="Y9385">
        <v>0</v>
      </c>
      <c r="Z9385" s="5">
        <v>27735.040000000001</v>
      </c>
      <c r="AA9385">
        <v>115</v>
      </c>
      <c r="AB9385" s="5">
        <v>3189529.6</v>
      </c>
      <c r="AC9385" s="1">
        <v>27735.040000000001</v>
      </c>
      <c r="AD9385">
        <v>115</v>
      </c>
      <c r="AE9385" s="1">
        <v>3189529.6</v>
      </c>
      <c r="AF9385">
        <v>0</v>
      </c>
      <c r="AJ9385">
        <v>0</v>
      </c>
      <c r="AK9385">
        <v>0</v>
      </c>
      <c r="AL9385">
        <v>0</v>
      </c>
      <c r="AM9385" s="1">
        <v>33836.75</v>
      </c>
      <c r="AN9385" s="1">
        <v>33836.75</v>
      </c>
      <c r="AO9385" s="1">
        <v>33836.75</v>
      </c>
      <c r="AP9385" s="2">
        <v>42746</v>
      </c>
      <c r="AQ9385" t="s">
        <v>72</v>
      </c>
      <c r="AR9385" t="s">
        <v>72</v>
      </c>
      <c r="AS9385">
        <v>2637</v>
      </c>
      <c r="AT9385" s="4">
        <v>42647</v>
      </c>
      <c r="AU9385" t="s">
        <v>73</v>
      </c>
      <c r="AV9385">
        <v>2637</v>
      </c>
      <c r="AW9385" s="4">
        <v>42647</v>
      </c>
      <c r="BD9385">
        <v>0</v>
      </c>
      <c r="BN9385" t="s">
        <v>74</v>
      </c>
    </row>
    <row r="9386" spans="1:66" hidden="1">
      <c r="A9386">
        <v>106684</v>
      </c>
      <c r="B9386" s="3" t="s">
        <v>868</v>
      </c>
      <c r="C9386" s="1">
        <v>43500101</v>
      </c>
      <c r="D9386" t="s">
        <v>113</v>
      </c>
      <c r="H9386" t="str">
        <f>"VLLMRA70L27A783N"</f>
        <v>VLLMRA70L27A783N</v>
      </c>
      <c r="I9386" t="str">
        <f>"01269220628"</f>
        <v>01269220628</v>
      </c>
      <c r="K9386" t="str">
        <f>""</f>
        <v/>
      </c>
      <c r="M9386" t="s">
        <v>68</v>
      </c>
      <c r="N9386" t="str">
        <f>"ALTPRO"</f>
        <v>ALTPRO</v>
      </c>
      <c r="O9386" t="s">
        <v>132</v>
      </c>
      <c r="P9386" s="3" t="s">
        <v>75</v>
      </c>
      <c r="Q9386">
        <v>2016</v>
      </c>
      <c r="R9386" s="2">
        <v>42410</v>
      </c>
      <c r="S9386" s="2">
        <v>42412</v>
      </c>
      <c r="T9386" s="2">
        <v>42410</v>
      </c>
      <c r="U9386" s="2">
        <v>42470</v>
      </c>
      <c r="V9386" t="s">
        <v>71</v>
      </c>
      <c r="W9386" t="str">
        <f>"                  16"</f>
        <v xml:space="preserve">                  16</v>
      </c>
      <c r="X9386" s="1">
        <v>1838.37</v>
      </c>
      <c r="Y9386">
        <v>-286.43</v>
      </c>
      <c r="Z9386"/>
      <c r="AB9386"/>
      <c r="AC9386" s="1">
        <v>1551.94</v>
      </c>
      <c r="AD9386">
        <v>-37</v>
      </c>
      <c r="AE9386" s="1">
        <v>-57421.78</v>
      </c>
      <c r="AF9386">
        <v>0</v>
      </c>
      <c r="AJ9386">
        <v>0</v>
      </c>
      <c r="AK9386">
        <v>0</v>
      </c>
      <c r="AL9386">
        <v>0</v>
      </c>
      <c r="AM9386" s="1">
        <v>1551.94</v>
      </c>
      <c r="AN9386" s="1">
        <v>1551.94</v>
      </c>
      <c r="AO9386" s="1">
        <v>1551.94</v>
      </c>
      <c r="AP9386" s="2">
        <v>42746</v>
      </c>
      <c r="AQ9386" t="s">
        <v>72</v>
      </c>
      <c r="AR9386" t="s">
        <v>72</v>
      </c>
      <c r="AS9386">
        <v>662</v>
      </c>
      <c r="AT9386" s="4">
        <v>42433</v>
      </c>
      <c r="AV9386">
        <v>662</v>
      </c>
      <c r="AW9386" s="4">
        <v>42433</v>
      </c>
      <c r="BD9386">
        <v>0</v>
      </c>
      <c r="BN9386" t="s">
        <v>74</v>
      </c>
    </row>
    <row r="9387" spans="1:66" hidden="1">
      <c r="A9387">
        <v>106686</v>
      </c>
      <c r="B9387" s="3" t="s">
        <v>869</v>
      </c>
      <c r="C9387" s="1">
        <v>43500101</v>
      </c>
      <c r="D9387" t="s">
        <v>113</v>
      </c>
      <c r="H9387" t="str">
        <f>"PRLPFR83C27B963U"</f>
        <v>PRLPFR83C27B963U</v>
      </c>
      <c r="I9387" t="str">
        <f>""</f>
        <v/>
      </c>
      <c r="K9387" t="str">
        <f>""</f>
        <v/>
      </c>
      <c r="M9387" t="s">
        <v>68</v>
      </c>
      <c r="N9387" t="str">
        <f>"ALT"</f>
        <v>ALT</v>
      </c>
      <c r="O9387" t="s">
        <v>114</v>
      </c>
      <c r="P9387" s="3" t="s">
        <v>870</v>
      </c>
      <c r="Q9387">
        <v>2016</v>
      </c>
      <c r="R9387" s="2">
        <v>42416</v>
      </c>
      <c r="S9387" s="2">
        <v>42416</v>
      </c>
      <c r="T9387" s="2">
        <v>42416</v>
      </c>
      <c r="U9387" s="2">
        <v>42476</v>
      </c>
      <c r="V9387" t="s">
        <v>71</v>
      </c>
      <c r="W9387" t="str">
        <f>"                  15"</f>
        <v xml:space="preserve">                  15</v>
      </c>
      <c r="X9387">
        <v>0</v>
      </c>
      <c r="Y9387">
        <v>100</v>
      </c>
      <c r="Z9387"/>
      <c r="AB9387"/>
      <c r="AC9387">
        <v>100</v>
      </c>
      <c r="AD9387">
        <v>-60</v>
      </c>
      <c r="AE9387" s="1">
        <v>-6000</v>
      </c>
      <c r="AF9387">
        <v>0</v>
      </c>
      <c r="AJ9387">
        <v>0</v>
      </c>
      <c r="AK9387">
        <v>0</v>
      </c>
      <c r="AL9387">
        <v>0</v>
      </c>
      <c r="AM9387">
        <v>100</v>
      </c>
      <c r="AN9387">
        <v>100</v>
      </c>
      <c r="AO9387">
        <v>100</v>
      </c>
      <c r="AP9387" s="2">
        <v>42746</v>
      </c>
      <c r="AQ9387" t="s">
        <v>72</v>
      </c>
      <c r="AR9387" t="s">
        <v>72</v>
      </c>
      <c r="AS9387">
        <v>398</v>
      </c>
      <c r="AT9387" s="4">
        <v>42416</v>
      </c>
      <c r="AV9387">
        <v>398</v>
      </c>
      <c r="AW9387" s="4">
        <v>42416</v>
      </c>
      <c r="BD9387">
        <v>0</v>
      </c>
      <c r="BN9387" t="s">
        <v>74</v>
      </c>
    </row>
    <row r="9388" spans="1:66">
      <c r="A9388">
        <v>106687</v>
      </c>
      <c r="B9388" s="3" t="s">
        <v>871</v>
      </c>
      <c r="C9388" s="1">
        <v>43300101</v>
      </c>
      <c r="D9388" t="s">
        <v>67</v>
      </c>
      <c r="H9388" t="str">
        <f>"05951671212"</f>
        <v>05951671212</v>
      </c>
      <c r="I9388" t="str">
        <f>"05951671212"</f>
        <v>05951671212</v>
      </c>
      <c r="K9388" t="str">
        <f>""</f>
        <v/>
      </c>
      <c r="M9388" t="s">
        <v>68</v>
      </c>
      <c r="N9388" t="str">
        <f>"FOR"</f>
        <v>FOR</v>
      </c>
      <c r="O9388" t="s">
        <v>69</v>
      </c>
      <c r="P9388" s="3" t="s">
        <v>75</v>
      </c>
      <c r="Q9388">
        <v>2016</v>
      </c>
      <c r="R9388" s="2">
        <v>42618</v>
      </c>
      <c r="S9388" s="2">
        <v>42627</v>
      </c>
      <c r="T9388" s="2">
        <v>42621</v>
      </c>
      <c r="U9388" s="2">
        <v>42681</v>
      </c>
      <c r="V9388" t="s">
        <v>71</v>
      </c>
      <c r="W9388" t="str">
        <f>"           0023/2016"</f>
        <v xml:space="preserve">           0023/2016</v>
      </c>
      <c r="X9388">
        <v>950.38</v>
      </c>
      <c r="Y9388">
        <v>0</v>
      </c>
      <c r="Z9388" s="3">
        <v>779</v>
      </c>
      <c r="AA9388">
        <v>3</v>
      </c>
      <c r="AB9388" s="5">
        <v>2337</v>
      </c>
      <c r="AC9388">
        <v>779</v>
      </c>
      <c r="AD9388">
        <v>3</v>
      </c>
      <c r="AE9388" s="1">
        <v>2337</v>
      </c>
      <c r="AF9388">
        <v>0</v>
      </c>
      <c r="AJ9388">
        <v>0</v>
      </c>
      <c r="AK9388">
        <v>0</v>
      </c>
      <c r="AL9388">
        <v>0</v>
      </c>
      <c r="AM9388">
        <v>950.38</v>
      </c>
      <c r="AN9388">
        <v>950.38</v>
      </c>
      <c r="AO9388">
        <v>950.38</v>
      </c>
      <c r="AP9388" s="2">
        <v>42746</v>
      </c>
      <c r="AQ9388" t="s">
        <v>72</v>
      </c>
      <c r="AR9388" t="s">
        <v>72</v>
      </c>
      <c r="AS9388">
        <v>3071</v>
      </c>
      <c r="AT9388" s="4">
        <v>42684</v>
      </c>
      <c r="AU9388" t="s">
        <v>73</v>
      </c>
      <c r="AV9388">
        <v>3071</v>
      </c>
      <c r="AW9388" s="4">
        <v>42684</v>
      </c>
      <c r="BD9388">
        <v>0</v>
      </c>
      <c r="BN9388" t="s">
        <v>74</v>
      </c>
    </row>
    <row r="9389" spans="1:66" hidden="1">
      <c r="A9389">
        <v>106688</v>
      </c>
      <c r="B9389" s="3" t="s">
        <v>872</v>
      </c>
      <c r="C9389" s="1">
        <v>43300101</v>
      </c>
      <c r="D9389" t="s">
        <v>67</v>
      </c>
      <c r="H9389" t="str">
        <f>"08344720969"</f>
        <v>08344720969</v>
      </c>
      <c r="I9389" t="str">
        <f>"08344720969"</f>
        <v>08344720969</v>
      </c>
      <c r="K9389" t="str">
        <f>""</f>
        <v/>
      </c>
      <c r="M9389" t="s">
        <v>68</v>
      </c>
      <c r="N9389" t="str">
        <f>"FOR"</f>
        <v>FOR</v>
      </c>
      <c r="O9389" t="s">
        <v>69</v>
      </c>
      <c r="P9389" s="3" t="s">
        <v>75</v>
      </c>
      <c r="Q9389">
        <v>2016</v>
      </c>
      <c r="R9389" s="2">
        <v>42514</v>
      </c>
      <c r="S9389" s="2">
        <v>42515</v>
      </c>
      <c r="T9389" s="2">
        <v>42514</v>
      </c>
      <c r="U9389" s="2">
        <v>42574</v>
      </c>
      <c r="V9389" t="s">
        <v>71</v>
      </c>
      <c r="W9389" t="str">
        <f>"            50126/16"</f>
        <v xml:space="preserve">            50126/16</v>
      </c>
      <c r="X9389" s="1">
        <v>4912.9399999999996</v>
      </c>
      <c r="Y9389">
        <v>0</v>
      </c>
      <c r="Z9389"/>
      <c r="AB9389"/>
      <c r="AC9389" s="1">
        <v>4027</v>
      </c>
      <c r="AD9389">
        <v>3</v>
      </c>
      <c r="AE9389" s="1">
        <v>12081</v>
      </c>
      <c r="AF9389">
        <v>0</v>
      </c>
      <c r="AJ9389">
        <v>0</v>
      </c>
      <c r="AK9389">
        <v>0</v>
      </c>
      <c r="AL9389">
        <v>0</v>
      </c>
      <c r="AM9389" s="1">
        <v>4912.9399999999996</v>
      </c>
      <c r="AN9389" s="1">
        <v>4912.9399999999996</v>
      </c>
      <c r="AO9389" s="1">
        <v>4912.9399999999996</v>
      </c>
      <c r="AP9389" s="2">
        <v>42746</v>
      </c>
      <c r="AQ9389" t="s">
        <v>72</v>
      </c>
      <c r="AR9389" t="s">
        <v>72</v>
      </c>
      <c r="AS9389">
        <v>1922</v>
      </c>
      <c r="AT9389" s="4">
        <v>42577</v>
      </c>
      <c r="AU9389" t="s">
        <v>73</v>
      </c>
      <c r="AV9389">
        <v>1922</v>
      </c>
      <c r="AW9389" s="4">
        <v>42577</v>
      </c>
      <c r="BD9389">
        <v>0</v>
      </c>
      <c r="BN9389" t="s">
        <v>74</v>
      </c>
    </row>
    <row r="9390" spans="1:66" hidden="1">
      <c r="A9390">
        <v>106689</v>
      </c>
      <c r="B9390" s="3" t="s">
        <v>873</v>
      </c>
      <c r="C9390" s="1">
        <v>43500101</v>
      </c>
      <c r="D9390" t="s">
        <v>113</v>
      </c>
      <c r="H9390" t="str">
        <f>"TRNVNT88P51A509Y"</f>
        <v>TRNVNT88P51A509Y</v>
      </c>
      <c r="I9390" t="str">
        <f>""</f>
        <v/>
      </c>
      <c r="K9390" t="str">
        <f>""</f>
        <v/>
      </c>
      <c r="M9390" t="s">
        <v>68</v>
      </c>
      <c r="N9390" t="str">
        <f>"ALT"</f>
        <v>ALT</v>
      </c>
      <c r="O9390" t="s">
        <v>114</v>
      </c>
      <c r="P9390" s="3" t="s">
        <v>874</v>
      </c>
      <c r="Q9390">
        <v>2016</v>
      </c>
      <c r="R9390" s="2">
        <v>42422</v>
      </c>
      <c r="S9390" s="2">
        <v>42422</v>
      </c>
      <c r="T9390" s="2">
        <v>42422</v>
      </c>
      <c r="U9390" s="2">
        <v>42482</v>
      </c>
      <c r="V9390" t="s">
        <v>71</v>
      </c>
      <c r="W9390" t="str">
        <f>"                  17"</f>
        <v xml:space="preserve">                  17</v>
      </c>
      <c r="X9390">
        <v>0</v>
      </c>
      <c r="Y9390">
        <v>100</v>
      </c>
      <c r="Z9390"/>
      <c r="AB9390"/>
      <c r="AC9390">
        <v>100</v>
      </c>
      <c r="AD9390">
        <v>-60</v>
      </c>
      <c r="AE9390" s="1">
        <v>-6000</v>
      </c>
      <c r="AF9390">
        <v>0</v>
      </c>
      <c r="AJ9390">
        <v>0</v>
      </c>
      <c r="AK9390">
        <v>0</v>
      </c>
      <c r="AL9390">
        <v>0</v>
      </c>
      <c r="AM9390">
        <v>100</v>
      </c>
      <c r="AN9390">
        <v>100</v>
      </c>
      <c r="AO9390">
        <v>100</v>
      </c>
      <c r="AP9390" s="2">
        <v>42746</v>
      </c>
      <c r="AQ9390" t="s">
        <v>72</v>
      </c>
      <c r="AR9390" t="s">
        <v>72</v>
      </c>
      <c r="AS9390">
        <v>457</v>
      </c>
      <c r="AT9390" s="4">
        <v>42422</v>
      </c>
      <c r="AV9390">
        <v>457</v>
      </c>
      <c r="AW9390" s="4">
        <v>42422</v>
      </c>
      <c r="BD9390">
        <v>0</v>
      </c>
      <c r="BN9390" t="s">
        <v>74</v>
      </c>
    </row>
    <row r="9391" spans="1:66" hidden="1">
      <c r="A9391">
        <v>106690</v>
      </c>
      <c r="B9391" s="3" t="s">
        <v>875</v>
      </c>
      <c r="C9391" s="1">
        <v>43500101</v>
      </c>
      <c r="D9391" t="s">
        <v>113</v>
      </c>
      <c r="H9391" t="str">
        <f>"PLMTGV52S20H764A"</f>
        <v>PLMTGV52S20H764A</v>
      </c>
      <c r="I9391" t="str">
        <f>"01234880621"</f>
        <v>01234880621</v>
      </c>
      <c r="K9391" t="str">
        <f>""</f>
        <v/>
      </c>
      <c r="M9391" t="s">
        <v>68</v>
      </c>
      <c r="N9391" t="str">
        <f>"ALTPRO"</f>
        <v>ALTPRO</v>
      </c>
      <c r="O9391" t="s">
        <v>132</v>
      </c>
      <c r="P9391" s="3" t="s">
        <v>75</v>
      </c>
      <c r="Q9391">
        <v>2016</v>
      </c>
      <c r="R9391" s="2">
        <v>42409</v>
      </c>
      <c r="S9391" s="2">
        <v>42423</v>
      </c>
      <c r="T9391" s="2">
        <v>42422</v>
      </c>
      <c r="U9391" s="2">
        <v>42482</v>
      </c>
      <c r="V9391" t="s">
        <v>71</v>
      </c>
      <c r="W9391" t="str">
        <f>"                  17"</f>
        <v xml:space="preserve">                  17</v>
      </c>
      <c r="X9391">
        <v>913.54</v>
      </c>
      <c r="Y9391">
        <v>-144</v>
      </c>
      <c r="Z9391"/>
      <c r="AB9391"/>
      <c r="AC9391">
        <v>769.54</v>
      </c>
      <c r="AD9391">
        <v>-49</v>
      </c>
      <c r="AE9391" s="1">
        <v>-37707.46</v>
      </c>
      <c r="AF9391">
        <v>0</v>
      </c>
      <c r="AJ9391">
        <v>0</v>
      </c>
      <c r="AK9391">
        <v>0</v>
      </c>
      <c r="AL9391">
        <v>0</v>
      </c>
      <c r="AM9391">
        <v>769.54</v>
      </c>
      <c r="AN9391">
        <v>769.54</v>
      </c>
      <c r="AO9391">
        <v>769.54</v>
      </c>
      <c r="AP9391" s="2">
        <v>42746</v>
      </c>
      <c r="AQ9391" t="s">
        <v>72</v>
      </c>
      <c r="AR9391" t="s">
        <v>72</v>
      </c>
      <c r="AS9391">
        <v>670</v>
      </c>
      <c r="AT9391" s="4">
        <v>42433</v>
      </c>
      <c r="AV9391">
        <v>670</v>
      </c>
      <c r="AW9391" s="4">
        <v>42433</v>
      </c>
      <c r="BD9391">
        <v>0</v>
      </c>
      <c r="BN9391" t="s">
        <v>74</v>
      </c>
    </row>
    <row r="9392" spans="1:66">
      <c r="A9392">
        <v>106692</v>
      </c>
      <c r="B9392" s="3" t="s">
        <v>876</v>
      </c>
      <c r="C9392" s="1">
        <v>43300101</v>
      </c>
      <c r="D9392" t="s">
        <v>67</v>
      </c>
      <c r="H9392" t="str">
        <f>"02142410683"</f>
        <v>02142410683</v>
      </c>
      <c r="I9392" t="str">
        <f>"02142410683"</f>
        <v>02142410683</v>
      </c>
      <c r="K9392" t="str">
        <f>""</f>
        <v/>
      </c>
      <c r="M9392" t="s">
        <v>68</v>
      </c>
      <c r="N9392" t="str">
        <f t="shared" ref="N9392:N9398" si="997">"FOR"</f>
        <v>FOR</v>
      </c>
      <c r="O9392" t="s">
        <v>69</v>
      </c>
      <c r="P9392" s="3" t="s">
        <v>75</v>
      </c>
      <c r="Q9392">
        <v>2016</v>
      </c>
      <c r="R9392" s="2">
        <v>42460</v>
      </c>
      <c r="S9392" s="2">
        <v>42496</v>
      </c>
      <c r="T9392" s="2">
        <v>42494</v>
      </c>
      <c r="U9392" s="2">
        <v>42554</v>
      </c>
      <c r="V9392" t="s">
        <v>71</v>
      </c>
      <c r="W9392" t="str">
        <f>"              127/01"</f>
        <v xml:space="preserve">              127/01</v>
      </c>
      <c r="X9392">
        <v>736.68</v>
      </c>
      <c r="Y9392">
        <v>0</v>
      </c>
      <c r="Z9392" s="3">
        <v>603.84</v>
      </c>
      <c r="AA9392">
        <v>130</v>
      </c>
      <c r="AB9392" s="5">
        <v>78499.199999999997</v>
      </c>
      <c r="AC9392">
        <v>603.84</v>
      </c>
      <c r="AD9392">
        <v>130</v>
      </c>
      <c r="AE9392" s="1">
        <v>78499.199999999997</v>
      </c>
      <c r="AF9392">
        <v>0</v>
      </c>
      <c r="AJ9392">
        <v>0</v>
      </c>
      <c r="AK9392">
        <v>0</v>
      </c>
      <c r="AL9392">
        <v>0</v>
      </c>
      <c r="AM9392">
        <v>736.68</v>
      </c>
      <c r="AN9392">
        <v>736.68</v>
      </c>
      <c r="AO9392">
        <v>736.68</v>
      </c>
      <c r="AP9392" s="2">
        <v>42746</v>
      </c>
      <c r="AQ9392" t="s">
        <v>72</v>
      </c>
      <c r="AR9392" t="s">
        <v>72</v>
      </c>
      <c r="AS9392">
        <v>3040</v>
      </c>
      <c r="AT9392" s="4">
        <v>42684</v>
      </c>
      <c r="AU9392" t="s">
        <v>73</v>
      </c>
      <c r="AV9392">
        <v>3040</v>
      </c>
      <c r="AW9392" s="4">
        <v>42684</v>
      </c>
      <c r="BD9392">
        <v>0</v>
      </c>
      <c r="BN9392" t="s">
        <v>74</v>
      </c>
    </row>
    <row r="9393" spans="1:66">
      <c r="A9393">
        <v>106692</v>
      </c>
      <c r="B9393" s="3" t="s">
        <v>876</v>
      </c>
      <c r="C9393" s="1">
        <v>43300101</v>
      </c>
      <c r="D9393" t="s">
        <v>67</v>
      </c>
      <c r="H9393" t="str">
        <f>"02142410683"</f>
        <v>02142410683</v>
      </c>
      <c r="I9393" t="str">
        <f>"02142410683"</f>
        <v>02142410683</v>
      </c>
      <c r="K9393" t="str">
        <f>""</f>
        <v/>
      </c>
      <c r="M9393" t="s">
        <v>68</v>
      </c>
      <c r="N9393" t="str">
        <f t="shared" si="997"/>
        <v>FOR</v>
      </c>
      <c r="O9393" t="s">
        <v>69</v>
      </c>
      <c r="P9393" s="3" t="s">
        <v>75</v>
      </c>
      <c r="Q9393">
        <v>2016</v>
      </c>
      <c r="R9393" s="2">
        <v>42490</v>
      </c>
      <c r="S9393" s="2">
        <v>42501</v>
      </c>
      <c r="T9393" s="2">
        <v>42496</v>
      </c>
      <c r="U9393" s="2">
        <v>42556</v>
      </c>
      <c r="V9393" t="s">
        <v>71</v>
      </c>
      <c r="W9393" t="str">
        <f>"              184/01"</f>
        <v xml:space="preserve">              184/01</v>
      </c>
      <c r="X9393" s="1">
        <v>1964.49</v>
      </c>
      <c r="Y9393">
        <v>0</v>
      </c>
      <c r="Z9393" s="5">
        <v>1610.24</v>
      </c>
      <c r="AA9393">
        <v>128</v>
      </c>
      <c r="AB9393" s="5">
        <v>206110.72</v>
      </c>
      <c r="AC9393" s="1">
        <v>1610.24</v>
      </c>
      <c r="AD9393">
        <v>128</v>
      </c>
      <c r="AE9393" s="1">
        <v>206110.72</v>
      </c>
      <c r="AF9393">
        <v>0</v>
      </c>
      <c r="AJ9393">
        <v>0</v>
      </c>
      <c r="AK9393">
        <v>0</v>
      </c>
      <c r="AL9393">
        <v>0</v>
      </c>
      <c r="AM9393" s="1">
        <v>1964.49</v>
      </c>
      <c r="AN9393" s="1">
        <v>1964.49</v>
      </c>
      <c r="AO9393" s="1">
        <v>1964.49</v>
      </c>
      <c r="AP9393" s="2">
        <v>42746</v>
      </c>
      <c r="AQ9393" t="s">
        <v>72</v>
      </c>
      <c r="AR9393" t="s">
        <v>72</v>
      </c>
      <c r="AS9393">
        <v>3040</v>
      </c>
      <c r="AT9393" s="4">
        <v>42684</v>
      </c>
      <c r="AU9393" t="s">
        <v>73</v>
      </c>
      <c r="AV9393">
        <v>3040</v>
      </c>
      <c r="AW9393" s="4">
        <v>42684</v>
      </c>
      <c r="BD9393">
        <v>0</v>
      </c>
      <c r="BN9393" t="s">
        <v>74</v>
      </c>
    </row>
    <row r="9394" spans="1:66">
      <c r="A9394">
        <v>106696</v>
      </c>
      <c r="B9394" s="3" t="s">
        <v>877</v>
      </c>
      <c r="C9394" s="1">
        <v>43300101</v>
      </c>
      <c r="D9394" t="s">
        <v>67</v>
      </c>
      <c r="H9394" t="str">
        <f>"04032210611"</f>
        <v>04032210611</v>
      </c>
      <c r="I9394" t="str">
        <f>"04032210611"</f>
        <v>04032210611</v>
      </c>
      <c r="K9394" t="str">
        <f>""</f>
        <v/>
      </c>
      <c r="M9394" t="s">
        <v>68</v>
      </c>
      <c r="N9394" t="str">
        <f t="shared" si="997"/>
        <v>FOR</v>
      </c>
      <c r="O9394" t="s">
        <v>69</v>
      </c>
      <c r="P9394" s="3" t="s">
        <v>75</v>
      </c>
      <c r="Q9394">
        <v>2016</v>
      </c>
      <c r="R9394" s="2">
        <v>42439</v>
      </c>
      <c r="S9394" s="2">
        <v>42446</v>
      </c>
      <c r="T9394" s="2">
        <v>42446</v>
      </c>
      <c r="U9394" s="2">
        <v>42506</v>
      </c>
      <c r="V9394" t="s">
        <v>71</v>
      </c>
      <c r="W9394" t="str">
        <f>"                9/PA"</f>
        <v xml:space="preserve">                9/PA</v>
      </c>
      <c r="X9394" s="1">
        <v>5490</v>
      </c>
      <c r="Y9394">
        <v>0</v>
      </c>
      <c r="Z9394" s="5">
        <v>4500</v>
      </c>
      <c r="AA9394">
        <v>142</v>
      </c>
      <c r="AB9394" s="5">
        <v>639000</v>
      </c>
      <c r="AC9394" s="1">
        <v>4500</v>
      </c>
      <c r="AD9394">
        <v>142</v>
      </c>
      <c r="AE9394" s="1">
        <v>639000</v>
      </c>
      <c r="AF9394">
        <v>0</v>
      </c>
      <c r="AJ9394">
        <v>0</v>
      </c>
      <c r="AK9394">
        <v>0</v>
      </c>
      <c r="AL9394">
        <v>0</v>
      </c>
      <c r="AM9394" s="1">
        <v>5490</v>
      </c>
      <c r="AN9394" s="1">
        <v>5490</v>
      </c>
      <c r="AO9394" s="1">
        <v>5490</v>
      </c>
      <c r="AP9394" s="2">
        <v>42746</v>
      </c>
      <c r="AQ9394" t="s">
        <v>72</v>
      </c>
      <c r="AR9394" t="s">
        <v>72</v>
      </c>
      <c r="AS9394">
        <v>2659</v>
      </c>
      <c r="AT9394" s="4">
        <v>42648</v>
      </c>
      <c r="AU9394" t="s">
        <v>73</v>
      </c>
      <c r="AV9394">
        <v>2659</v>
      </c>
      <c r="AW9394" s="4">
        <v>42648</v>
      </c>
      <c r="BD9394">
        <v>0</v>
      </c>
      <c r="BN9394" t="s">
        <v>74</v>
      </c>
    </row>
    <row r="9395" spans="1:66">
      <c r="A9395">
        <v>106697</v>
      </c>
      <c r="B9395" s="3" t="s">
        <v>878</v>
      </c>
      <c r="C9395" s="1">
        <v>43300101</v>
      </c>
      <c r="D9395" t="s">
        <v>67</v>
      </c>
      <c r="H9395" t="str">
        <f>"01857820284"</f>
        <v>01857820284</v>
      </c>
      <c r="I9395" t="str">
        <f>"01857820284"</f>
        <v>01857820284</v>
      </c>
      <c r="K9395" t="str">
        <f>""</f>
        <v/>
      </c>
      <c r="M9395" t="s">
        <v>68</v>
      </c>
      <c r="N9395" t="str">
        <f t="shared" si="997"/>
        <v>FOR</v>
      </c>
      <c r="O9395" t="s">
        <v>69</v>
      </c>
      <c r="P9395" s="3" t="s">
        <v>75</v>
      </c>
      <c r="Q9395">
        <v>2016</v>
      </c>
      <c r="R9395" s="2">
        <v>42445</v>
      </c>
      <c r="S9395" s="2">
        <v>42466</v>
      </c>
      <c r="T9395" s="2">
        <v>42465</v>
      </c>
      <c r="U9395" s="2">
        <v>42525</v>
      </c>
      <c r="V9395" t="s">
        <v>71</v>
      </c>
      <c r="W9395" t="str">
        <f>"                1535"</f>
        <v xml:space="preserve">                1535</v>
      </c>
      <c r="X9395">
        <v>834.48</v>
      </c>
      <c r="Y9395">
        <v>0</v>
      </c>
      <c r="Z9395" s="3">
        <v>684</v>
      </c>
      <c r="AA9395">
        <v>173</v>
      </c>
      <c r="AB9395" s="5">
        <v>118332</v>
      </c>
      <c r="AC9395">
        <v>684</v>
      </c>
      <c r="AD9395">
        <v>173</v>
      </c>
      <c r="AE9395" s="1">
        <v>118332</v>
      </c>
      <c r="AF9395">
        <v>0</v>
      </c>
      <c r="AJ9395">
        <v>0</v>
      </c>
      <c r="AK9395">
        <v>0</v>
      </c>
      <c r="AL9395">
        <v>0</v>
      </c>
      <c r="AM9395">
        <v>834.48</v>
      </c>
      <c r="AN9395">
        <v>834.48</v>
      </c>
      <c r="AO9395">
        <v>834.48</v>
      </c>
      <c r="AP9395" s="2">
        <v>42746</v>
      </c>
      <c r="AQ9395" t="s">
        <v>72</v>
      </c>
      <c r="AR9395" t="s">
        <v>72</v>
      </c>
      <c r="AS9395">
        <v>3300</v>
      </c>
      <c r="AT9395" s="4">
        <v>42698</v>
      </c>
      <c r="AU9395" t="s">
        <v>73</v>
      </c>
      <c r="AV9395">
        <v>3300</v>
      </c>
      <c r="AW9395" s="4">
        <v>42698</v>
      </c>
      <c r="BD9395">
        <v>0</v>
      </c>
      <c r="BN9395" t="s">
        <v>74</v>
      </c>
    </row>
    <row r="9396" spans="1:66">
      <c r="A9396">
        <v>106697</v>
      </c>
      <c r="B9396" s="3" t="s">
        <v>878</v>
      </c>
      <c r="C9396" s="1">
        <v>43300101</v>
      </c>
      <c r="D9396" t="s">
        <v>67</v>
      </c>
      <c r="H9396" t="str">
        <f>"01857820284"</f>
        <v>01857820284</v>
      </c>
      <c r="I9396" t="str">
        <f>"01857820284"</f>
        <v>01857820284</v>
      </c>
      <c r="K9396" t="str">
        <f>""</f>
        <v/>
      </c>
      <c r="M9396" t="s">
        <v>68</v>
      </c>
      <c r="N9396" t="str">
        <f t="shared" si="997"/>
        <v>FOR</v>
      </c>
      <c r="O9396" t="s">
        <v>69</v>
      </c>
      <c r="P9396" s="3" t="s">
        <v>75</v>
      </c>
      <c r="Q9396">
        <v>2016</v>
      </c>
      <c r="R9396" s="2">
        <v>42521</v>
      </c>
      <c r="S9396" s="2">
        <v>42529</v>
      </c>
      <c r="T9396" s="2">
        <v>42529</v>
      </c>
      <c r="U9396" s="2">
        <v>42589</v>
      </c>
      <c r="V9396" t="s">
        <v>71</v>
      </c>
      <c r="W9396" t="str">
        <f>"                3576"</f>
        <v xml:space="preserve">                3576</v>
      </c>
      <c r="X9396">
        <v>170.8</v>
      </c>
      <c r="Y9396">
        <v>0</v>
      </c>
      <c r="Z9396" s="3">
        <v>140</v>
      </c>
      <c r="AA9396">
        <v>109</v>
      </c>
      <c r="AB9396" s="5">
        <v>15260</v>
      </c>
      <c r="AC9396">
        <v>140</v>
      </c>
      <c r="AD9396">
        <v>109</v>
      </c>
      <c r="AE9396" s="1">
        <v>15260</v>
      </c>
      <c r="AF9396">
        <v>0</v>
      </c>
      <c r="AJ9396">
        <v>0</v>
      </c>
      <c r="AK9396">
        <v>0</v>
      </c>
      <c r="AL9396">
        <v>0</v>
      </c>
      <c r="AM9396">
        <v>170.8</v>
      </c>
      <c r="AN9396">
        <v>170.8</v>
      </c>
      <c r="AO9396">
        <v>170.8</v>
      </c>
      <c r="AP9396" s="2">
        <v>42746</v>
      </c>
      <c r="AQ9396" t="s">
        <v>72</v>
      </c>
      <c r="AR9396" t="s">
        <v>72</v>
      </c>
      <c r="AS9396">
        <v>3300</v>
      </c>
      <c r="AT9396" s="4">
        <v>42698</v>
      </c>
      <c r="AU9396" t="s">
        <v>73</v>
      </c>
      <c r="AV9396">
        <v>3300</v>
      </c>
      <c r="AW9396" s="4">
        <v>42698</v>
      </c>
      <c r="BD9396">
        <v>0</v>
      </c>
      <c r="BN9396" t="s">
        <v>74</v>
      </c>
    </row>
    <row r="9397" spans="1:66" hidden="1">
      <c r="A9397">
        <v>106699</v>
      </c>
      <c r="B9397" s="3" t="s">
        <v>879</v>
      </c>
      <c r="C9397" s="1">
        <v>43300101</v>
      </c>
      <c r="D9397" t="s">
        <v>67</v>
      </c>
      <c r="H9397" t="str">
        <f>"05161470652"</f>
        <v>05161470652</v>
      </c>
      <c r="I9397" t="str">
        <f>"05161470652"</f>
        <v>05161470652</v>
      </c>
      <c r="K9397" t="str">
        <f>""</f>
        <v/>
      </c>
      <c r="M9397" t="s">
        <v>68</v>
      </c>
      <c r="N9397" t="str">
        <f t="shared" si="997"/>
        <v>FOR</v>
      </c>
      <c r="O9397" t="s">
        <v>69</v>
      </c>
      <c r="P9397" s="3" t="s">
        <v>75</v>
      </c>
      <c r="Q9397">
        <v>2016</v>
      </c>
      <c r="R9397" s="2">
        <v>42433</v>
      </c>
      <c r="S9397" s="2">
        <v>42443</v>
      </c>
      <c r="T9397" s="2">
        <v>42436</v>
      </c>
      <c r="U9397" s="2">
        <v>42496</v>
      </c>
      <c r="V9397" t="s">
        <v>71</v>
      </c>
      <c r="W9397" t="str">
        <f>"                 5/S"</f>
        <v xml:space="preserve">                 5/S</v>
      </c>
      <c r="X9397" s="1">
        <v>6051.2</v>
      </c>
      <c r="Y9397">
        <v>0</v>
      </c>
      <c r="Z9397"/>
      <c r="AB9397"/>
      <c r="AC9397" s="1">
        <v>4960</v>
      </c>
      <c r="AD9397">
        <v>80</v>
      </c>
      <c r="AE9397" s="1">
        <v>396800</v>
      </c>
      <c r="AF9397">
        <v>0</v>
      </c>
      <c r="AJ9397">
        <v>0</v>
      </c>
      <c r="AK9397">
        <v>0</v>
      </c>
      <c r="AL9397">
        <v>0</v>
      </c>
      <c r="AM9397" s="1">
        <v>6051.2</v>
      </c>
      <c r="AN9397" s="1">
        <v>6051.2</v>
      </c>
      <c r="AO9397" s="1">
        <v>6051.2</v>
      </c>
      <c r="AP9397" s="2">
        <v>42746</v>
      </c>
      <c r="AQ9397" t="s">
        <v>72</v>
      </c>
      <c r="AR9397" t="s">
        <v>72</v>
      </c>
      <c r="AS9397">
        <v>1891</v>
      </c>
      <c r="AT9397" s="4">
        <v>42576</v>
      </c>
      <c r="AU9397" t="s">
        <v>73</v>
      </c>
      <c r="AV9397">
        <v>1891</v>
      </c>
      <c r="AW9397" s="4">
        <v>42576</v>
      </c>
      <c r="BD9397">
        <v>0</v>
      </c>
      <c r="BN9397" t="s">
        <v>74</v>
      </c>
    </row>
    <row r="9398" spans="1:66" hidden="1">
      <c r="A9398">
        <v>106699</v>
      </c>
      <c r="B9398" s="3" t="s">
        <v>879</v>
      </c>
      <c r="C9398" s="1">
        <v>43300101</v>
      </c>
      <c r="D9398" t="s">
        <v>67</v>
      </c>
      <c r="H9398" t="str">
        <f>"05161470652"</f>
        <v>05161470652</v>
      </c>
      <c r="I9398" t="str">
        <f>"05161470652"</f>
        <v>05161470652</v>
      </c>
      <c r="K9398" t="str">
        <f>""</f>
        <v/>
      </c>
      <c r="M9398" t="s">
        <v>68</v>
      </c>
      <c r="N9398" t="str">
        <f t="shared" si="997"/>
        <v>FOR</v>
      </c>
      <c r="O9398" t="s">
        <v>69</v>
      </c>
      <c r="P9398" s="3" t="s">
        <v>75</v>
      </c>
      <c r="Q9398">
        <v>2016</v>
      </c>
      <c r="R9398" s="2">
        <v>42443</v>
      </c>
      <c r="S9398" s="2">
        <v>42446</v>
      </c>
      <c r="T9398" s="2">
        <v>42443</v>
      </c>
      <c r="U9398" s="2">
        <v>42503</v>
      </c>
      <c r="V9398" t="s">
        <v>71</v>
      </c>
      <c r="W9398" t="str">
        <f>"                 8/S"</f>
        <v xml:space="preserve">                 8/S</v>
      </c>
      <c r="X9398" s="1">
        <v>5965.8</v>
      </c>
      <c r="Y9398">
        <v>0</v>
      </c>
      <c r="Z9398"/>
      <c r="AB9398"/>
      <c r="AC9398" s="1">
        <v>4890</v>
      </c>
      <c r="AD9398">
        <v>73</v>
      </c>
      <c r="AE9398" s="1">
        <v>356970</v>
      </c>
      <c r="AF9398">
        <v>0</v>
      </c>
      <c r="AJ9398">
        <v>0</v>
      </c>
      <c r="AK9398">
        <v>0</v>
      </c>
      <c r="AL9398">
        <v>0</v>
      </c>
      <c r="AM9398" s="1">
        <v>5965.8</v>
      </c>
      <c r="AN9398" s="1">
        <v>5965.8</v>
      </c>
      <c r="AO9398" s="1">
        <v>5965.8</v>
      </c>
      <c r="AP9398" s="2">
        <v>42746</v>
      </c>
      <c r="AQ9398" t="s">
        <v>72</v>
      </c>
      <c r="AR9398" t="s">
        <v>72</v>
      </c>
      <c r="AS9398">
        <v>1891</v>
      </c>
      <c r="AT9398" s="4">
        <v>42576</v>
      </c>
      <c r="AU9398" t="s">
        <v>73</v>
      </c>
      <c r="AV9398">
        <v>1891</v>
      </c>
      <c r="AW9398" s="4">
        <v>42576</v>
      </c>
      <c r="BD9398">
        <v>0</v>
      </c>
      <c r="BN9398" t="s">
        <v>74</v>
      </c>
    </row>
    <row r="9399" spans="1:66" hidden="1">
      <c r="A9399">
        <v>106700</v>
      </c>
      <c r="B9399" s="3" t="s">
        <v>880</v>
      </c>
      <c r="C9399" s="1">
        <v>43500101</v>
      </c>
      <c r="D9399" t="s">
        <v>113</v>
      </c>
      <c r="H9399" t="str">
        <f>"CRRPMP63B24A783J"</f>
        <v>CRRPMP63B24A783J</v>
      </c>
      <c r="I9399" t="str">
        <f>""</f>
        <v/>
      </c>
      <c r="K9399" t="str">
        <f>""</f>
        <v/>
      </c>
      <c r="M9399" t="s">
        <v>68</v>
      </c>
      <c r="N9399" t="str">
        <f>"ALT"</f>
        <v>ALT</v>
      </c>
      <c r="O9399" t="s">
        <v>114</v>
      </c>
      <c r="P9399" s="3" t="s">
        <v>881</v>
      </c>
      <c r="Q9399">
        <v>2016</v>
      </c>
      <c r="R9399" s="2">
        <v>42431</v>
      </c>
      <c r="S9399" s="2">
        <v>42431</v>
      </c>
      <c r="T9399" s="2">
        <v>42431</v>
      </c>
      <c r="U9399" s="2">
        <v>42491</v>
      </c>
      <c r="V9399" t="s">
        <v>71</v>
      </c>
      <c r="W9399" t="str">
        <f>"                  38"</f>
        <v xml:space="preserve">                  38</v>
      </c>
      <c r="X9399">
        <v>0</v>
      </c>
      <c r="Y9399">
        <v>200</v>
      </c>
      <c r="Z9399"/>
      <c r="AB9399"/>
      <c r="AC9399">
        <v>200</v>
      </c>
      <c r="AD9399">
        <v>-60</v>
      </c>
      <c r="AE9399" s="1">
        <v>-12000</v>
      </c>
      <c r="AF9399">
        <v>0</v>
      </c>
      <c r="AJ9399">
        <v>0</v>
      </c>
      <c r="AK9399">
        <v>0</v>
      </c>
      <c r="AL9399">
        <v>0</v>
      </c>
      <c r="AM9399">
        <v>200</v>
      </c>
      <c r="AN9399">
        <v>200</v>
      </c>
      <c r="AO9399">
        <v>200</v>
      </c>
      <c r="AP9399" s="2">
        <v>42746</v>
      </c>
      <c r="AQ9399" t="s">
        <v>72</v>
      </c>
      <c r="AR9399" t="s">
        <v>72</v>
      </c>
      <c r="AS9399">
        <v>624</v>
      </c>
      <c r="AT9399" s="4">
        <v>42431</v>
      </c>
      <c r="AV9399">
        <v>624</v>
      </c>
      <c r="AW9399" s="4">
        <v>42431</v>
      </c>
      <c r="BD9399">
        <v>0</v>
      </c>
      <c r="BN9399" t="s">
        <v>74</v>
      </c>
    </row>
    <row r="9400" spans="1:66" hidden="1">
      <c r="A9400">
        <v>106702</v>
      </c>
      <c r="B9400" s="3" t="s">
        <v>882</v>
      </c>
      <c r="C9400" s="1">
        <v>43300101</v>
      </c>
      <c r="D9400" t="s">
        <v>67</v>
      </c>
      <c r="H9400" t="str">
        <f t="shared" ref="H9400:I9407" si="998">"02335070641"</f>
        <v>02335070641</v>
      </c>
      <c r="I9400" t="str">
        <f t="shared" si="998"/>
        <v>02335070641</v>
      </c>
      <c r="K9400" t="str">
        <f>""</f>
        <v/>
      </c>
      <c r="M9400" t="s">
        <v>68</v>
      </c>
      <c r="N9400" t="str">
        <f t="shared" ref="N9400:N9412" si="999">"FOR"</f>
        <v>FOR</v>
      </c>
      <c r="O9400" t="s">
        <v>69</v>
      </c>
      <c r="P9400" s="3" t="s">
        <v>75</v>
      </c>
      <c r="Q9400">
        <v>2016</v>
      </c>
      <c r="R9400" s="2">
        <v>42438</v>
      </c>
      <c r="S9400" s="2">
        <v>42500</v>
      </c>
      <c r="T9400" s="2">
        <v>42500</v>
      </c>
      <c r="U9400" s="2">
        <v>42560</v>
      </c>
      <c r="V9400" t="s">
        <v>71</v>
      </c>
      <c r="W9400" t="str">
        <f>"             11/16fe"</f>
        <v xml:space="preserve">             11/16fe</v>
      </c>
      <c r="X9400" s="1">
        <v>5185</v>
      </c>
      <c r="Y9400">
        <v>0</v>
      </c>
      <c r="Z9400"/>
      <c r="AB9400"/>
      <c r="AC9400" s="1">
        <v>4250</v>
      </c>
      <c r="AD9400">
        <v>6</v>
      </c>
      <c r="AE9400" s="1">
        <v>25500</v>
      </c>
      <c r="AF9400">
        <v>0</v>
      </c>
      <c r="AJ9400">
        <v>0</v>
      </c>
      <c r="AK9400">
        <v>0</v>
      </c>
      <c r="AL9400">
        <v>0</v>
      </c>
      <c r="AM9400" s="1">
        <v>5185</v>
      </c>
      <c r="AN9400" s="1">
        <v>5185</v>
      </c>
      <c r="AO9400" s="1">
        <v>5185</v>
      </c>
      <c r="AP9400" s="2">
        <v>42746</v>
      </c>
      <c r="AQ9400" t="s">
        <v>72</v>
      </c>
      <c r="AR9400" t="s">
        <v>72</v>
      </c>
      <c r="AS9400">
        <v>1812</v>
      </c>
      <c r="AT9400" s="4">
        <v>42566</v>
      </c>
      <c r="AU9400" t="s">
        <v>73</v>
      </c>
      <c r="AV9400">
        <v>1812</v>
      </c>
      <c r="AW9400" s="4">
        <v>42566</v>
      </c>
      <c r="BD9400">
        <v>0</v>
      </c>
      <c r="BN9400" t="s">
        <v>74</v>
      </c>
    </row>
    <row r="9401" spans="1:66" hidden="1">
      <c r="A9401">
        <v>106702</v>
      </c>
      <c r="B9401" s="3" t="s">
        <v>882</v>
      </c>
      <c r="C9401" s="1">
        <v>43300101</v>
      </c>
      <c r="D9401" t="s">
        <v>67</v>
      </c>
      <c r="H9401" t="str">
        <f t="shared" si="998"/>
        <v>02335070641</v>
      </c>
      <c r="I9401" t="str">
        <f t="shared" si="998"/>
        <v>02335070641</v>
      </c>
      <c r="K9401" t="str">
        <f>""</f>
        <v/>
      </c>
      <c r="M9401" t="s">
        <v>68</v>
      </c>
      <c r="N9401" t="str">
        <f t="shared" si="999"/>
        <v>FOR</v>
      </c>
      <c r="O9401" t="s">
        <v>69</v>
      </c>
      <c r="P9401" s="3" t="s">
        <v>75</v>
      </c>
      <c r="Q9401">
        <v>2016</v>
      </c>
      <c r="R9401" s="2">
        <v>42493</v>
      </c>
      <c r="S9401" s="2">
        <v>42495</v>
      </c>
      <c r="T9401" s="2">
        <v>42493</v>
      </c>
      <c r="U9401" s="2">
        <v>42553</v>
      </c>
      <c r="V9401" t="s">
        <v>71</v>
      </c>
      <c r="W9401" t="str">
        <f>"             17/16fe"</f>
        <v xml:space="preserve">             17/16fe</v>
      </c>
      <c r="X9401">
        <v>146.4</v>
      </c>
      <c r="Y9401">
        <v>0</v>
      </c>
      <c r="Z9401"/>
      <c r="AB9401"/>
      <c r="AC9401">
        <v>120</v>
      </c>
      <c r="AD9401">
        <v>13</v>
      </c>
      <c r="AE9401" s="1">
        <v>1560</v>
      </c>
      <c r="AF9401">
        <v>0</v>
      </c>
      <c r="AJ9401">
        <v>0</v>
      </c>
      <c r="AK9401">
        <v>0</v>
      </c>
      <c r="AL9401">
        <v>0</v>
      </c>
      <c r="AM9401">
        <v>146.4</v>
      </c>
      <c r="AN9401">
        <v>146.4</v>
      </c>
      <c r="AO9401">
        <v>146.4</v>
      </c>
      <c r="AP9401" s="2">
        <v>42746</v>
      </c>
      <c r="AQ9401" t="s">
        <v>72</v>
      </c>
      <c r="AR9401" t="s">
        <v>72</v>
      </c>
      <c r="AS9401">
        <v>1812</v>
      </c>
      <c r="AT9401" s="4">
        <v>42566</v>
      </c>
      <c r="AU9401" t="s">
        <v>73</v>
      </c>
      <c r="AV9401">
        <v>1812</v>
      </c>
      <c r="AW9401" s="4">
        <v>42566</v>
      </c>
      <c r="BD9401">
        <v>0</v>
      </c>
      <c r="BN9401" t="s">
        <v>74</v>
      </c>
    </row>
    <row r="9402" spans="1:66" hidden="1">
      <c r="A9402">
        <v>106702</v>
      </c>
      <c r="B9402" s="3" t="s">
        <v>882</v>
      </c>
      <c r="C9402" s="1">
        <v>43300101</v>
      </c>
      <c r="D9402" t="s">
        <v>67</v>
      </c>
      <c r="H9402" t="str">
        <f t="shared" si="998"/>
        <v>02335070641</v>
      </c>
      <c r="I9402" t="str">
        <f t="shared" si="998"/>
        <v>02335070641</v>
      </c>
      <c r="K9402" t="str">
        <f>""</f>
        <v/>
      </c>
      <c r="M9402" t="s">
        <v>68</v>
      </c>
      <c r="N9402" t="str">
        <f t="shared" si="999"/>
        <v>FOR</v>
      </c>
      <c r="O9402" t="s">
        <v>69</v>
      </c>
      <c r="P9402" s="3" t="s">
        <v>75</v>
      </c>
      <c r="Q9402">
        <v>2016</v>
      </c>
      <c r="R9402" s="2">
        <v>42493</v>
      </c>
      <c r="S9402" s="2">
        <v>42495</v>
      </c>
      <c r="T9402" s="2">
        <v>42493</v>
      </c>
      <c r="U9402" s="2">
        <v>42553</v>
      </c>
      <c r="V9402" t="s">
        <v>71</v>
      </c>
      <c r="W9402" t="str">
        <f>"             18/16fe"</f>
        <v xml:space="preserve">             18/16fe</v>
      </c>
      <c r="X9402">
        <v>51.24</v>
      </c>
      <c r="Y9402">
        <v>0</v>
      </c>
      <c r="Z9402"/>
      <c r="AB9402"/>
      <c r="AC9402">
        <v>42</v>
      </c>
      <c r="AD9402">
        <v>13</v>
      </c>
      <c r="AE9402">
        <v>546</v>
      </c>
      <c r="AF9402">
        <v>0</v>
      </c>
      <c r="AJ9402">
        <v>0</v>
      </c>
      <c r="AK9402">
        <v>0</v>
      </c>
      <c r="AL9402">
        <v>0</v>
      </c>
      <c r="AM9402">
        <v>51.24</v>
      </c>
      <c r="AN9402">
        <v>51.24</v>
      </c>
      <c r="AO9402">
        <v>51.24</v>
      </c>
      <c r="AP9402" s="2">
        <v>42746</v>
      </c>
      <c r="AQ9402" t="s">
        <v>72</v>
      </c>
      <c r="AR9402" t="s">
        <v>72</v>
      </c>
      <c r="AS9402">
        <v>1812</v>
      </c>
      <c r="AT9402" s="4">
        <v>42566</v>
      </c>
      <c r="AU9402" t="s">
        <v>73</v>
      </c>
      <c r="AV9402">
        <v>1812</v>
      </c>
      <c r="AW9402" s="4">
        <v>42566</v>
      </c>
      <c r="BD9402">
        <v>0</v>
      </c>
      <c r="BN9402" t="s">
        <v>74</v>
      </c>
    </row>
    <row r="9403" spans="1:66">
      <c r="A9403">
        <v>106702</v>
      </c>
      <c r="B9403" s="3" t="s">
        <v>882</v>
      </c>
      <c r="C9403" s="1">
        <v>43300101</v>
      </c>
      <c r="D9403" t="s">
        <v>67</v>
      </c>
      <c r="H9403" t="str">
        <f t="shared" si="998"/>
        <v>02335070641</v>
      </c>
      <c r="I9403" t="str">
        <f t="shared" si="998"/>
        <v>02335070641</v>
      </c>
      <c r="K9403" t="str">
        <f>""</f>
        <v/>
      </c>
      <c r="M9403" t="s">
        <v>68</v>
      </c>
      <c r="N9403" t="str">
        <f t="shared" si="999"/>
        <v>FOR</v>
      </c>
      <c r="O9403" t="s">
        <v>69</v>
      </c>
      <c r="P9403" s="3" t="s">
        <v>75</v>
      </c>
      <c r="Q9403">
        <v>2016</v>
      </c>
      <c r="R9403" s="2">
        <v>42576</v>
      </c>
      <c r="S9403" s="2">
        <v>42578</v>
      </c>
      <c r="T9403" s="2">
        <v>42576</v>
      </c>
      <c r="U9403" s="2">
        <v>42636</v>
      </c>
      <c r="V9403" t="s">
        <v>71</v>
      </c>
      <c r="W9403" t="str">
        <f>"             25/16fe"</f>
        <v xml:space="preserve">             25/16fe</v>
      </c>
      <c r="X9403" s="1">
        <v>1231.5899999999999</v>
      </c>
      <c r="Y9403">
        <v>0</v>
      </c>
      <c r="Z9403" s="5">
        <v>1009.5</v>
      </c>
      <c r="AA9403">
        <v>32</v>
      </c>
      <c r="AB9403" s="5">
        <v>32304</v>
      </c>
      <c r="AC9403" s="1">
        <v>1009.5</v>
      </c>
      <c r="AD9403">
        <v>32</v>
      </c>
      <c r="AE9403" s="1">
        <v>32304</v>
      </c>
      <c r="AF9403">
        <v>0</v>
      </c>
      <c r="AJ9403">
        <v>0</v>
      </c>
      <c r="AK9403">
        <v>0</v>
      </c>
      <c r="AL9403">
        <v>0</v>
      </c>
      <c r="AM9403" s="1">
        <v>1231.5899999999999</v>
      </c>
      <c r="AN9403" s="1">
        <v>1231.5899999999999</v>
      </c>
      <c r="AO9403" s="1">
        <v>1231.5899999999999</v>
      </c>
      <c r="AP9403" s="2">
        <v>42746</v>
      </c>
      <c r="AQ9403" t="s">
        <v>72</v>
      </c>
      <c r="AR9403" t="s">
        <v>72</v>
      </c>
      <c r="AS9403">
        <v>2873</v>
      </c>
      <c r="AT9403" s="4">
        <v>42668</v>
      </c>
      <c r="AU9403" t="s">
        <v>73</v>
      </c>
      <c r="AV9403">
        <v>2873</v>
      </c>
      <c r="AW9403" s="4">
        <v>42668</v>
      </c>
      <c r="BD9403">
        <v>0</v>
      </c>
      <c r="BN9403" t="s">
        <v>74</v>
      </c>
    </row>
    <row r="9404" spans="1:66">
      <c r="A9404">
        <v>106702</v>
      </c>
      <c r="B9404" s="3" t="s">
        <v>882</v>
      </c>
      <c r="C9404" s="1">
        <v>43300101</v>
      </c>
      <c r="D9404" t="s">
        <v>67</v>
      </c>
      <c r="H9404" t="str">
        <f t="shared" si="998"/>
        <v>02335070641</v>
      </c>
      <c r="I9404" t="str">
        <f t="shared" si="998"/>
        <v>02335070641</v>
      </c>
      <c r="K9404" t="str">
        <f>""</f>
        <v/>
      </c>
      <c r="M9404" t="s">
        <v>68</v>
      </c>
      <c r="N9404" t="str">
        <f t="shared" si="999"/>
        <v>FOR</v>
      </c>
      <c r="O9404" t="s">
        <v>69</v>
      </c>
      <c r="P9404" s="3" t="s">
        <v>75</v>
      </c>
      <c r="Q9404">
        <v>2016</v>
      </c>
      <c r="R9404" s="2">
        <v>42613</v>
      </c>
      <c r="S9404" s="2">
        <v>42613</v>
      </c>
      <c r="T9404" s="2">
        <v>42613</v>
      </c>
      <c r="U9404" s="2">
        <v>42673</v>
      </c>
      <c r="V9404" t="s">
        <v>71</v>
      </c>
      <c r="W9404" t="str">
        <f>"             31/16fe"</f>
        <v xml:space="preserve">             31/16fe</v>
      </c>
      <c r="X9404">
        <v>292.8</v>
      </c>
      <c r="Y9404">
        <v>0</v>
      </c>
      <c r="Z9404" s="3">
        <v>240</v>
      </c>
      <c r="AA9404">
        <v>15</v>
      </c>
      <c r="AB9404" s="5">
        <v>3600</v>
      </c>
      <c r="AC9404">
        <v>240</v>
      </c>
      <c r="AD9404">
        <v>15</v>
      </c>
      <c r="AE9404" s="1">
        <v>3600</v>
      </c>
      <c r="AF9404">
        <v>0</v>
      </c>
      <c r="AJ9404">
        <v>0</v>
      </c>
      <c r="AK9404">
        <v>0</v>
      </c>
      <c r="AL9404">
        <v>0</v>
      </c>
      <c r="AM9404">
        <v>292.8</v>
      </c>
      <c r="AN9404">
        <v>292.8</v>
      </c>
      <c r="AO9404">
        <v>292.8</v>
      </c>
      <c r="AP9404" s="2">
        <v>42746</v>
      </c>
      <c r="AQ9404" t="s">
        <v>72</v>
      </c>
      <c r="AR9404" t="s">
        <v>72</v>
      </c>
      <c r="AS9404">
        <v>3079</v>
      </c>
      <c r="AT9404" s="4">
        <v>42688</v>
      </c>
      <c r="AU9404" t="s">
        <v>73</v>
      </c>
      <c r="AV9404">
        <v>3079</v>
      </c>
      <c r="AW9404" s="4">
        <v>42688</v>
      </c>
      <c r="BD9404">
        <v>0</v>
      </c>
      <c r="BN9404" t="s">
        <v>74</v>
      </c>
    </row>
    <row r="9405" spans="1:66">
      <c r="A9405">
        <v>106702</v>
      </c>
      <c r="B9405" s="3" t="s">
        <v>882</v>
      </c>
      <c r="C9405" s="1">
        <v>43300101</v>
      </c>
      <c r="D9405" t="s">
        <v>67</v>
      </c>
      <c r="H9405" t="str">
        <f t="shared" si="998"/>
        <v>02335070641</v>
      </c>
      <c r="I9405" t="str">
        <f t="shared" si="998"/>
        <v>02335070641</v>
      </c>
      <c r="K9405" t="str">
        <f>""</f>
        <v/>
      </c>
      <c r="M9405" t="s">
        <v>68</v>
      </c>
      <c r="N9405" t="str">
        <f t="shared" si="999"/>
        <v>FOR</v>
      </c>
      <c r="O9405" t="s">
        <v>69</v>
      </c>
      <c r="P9405" s="3" t="s">
        <v>75</v>
      </c>
      <c r="Q9405">
        <v>2016</v>
      </c>
      <c r="R9405" s="2">
        <v>42613</v>
      </c>
      <c r="S9405" s="2">
        <v>42646</v>
      </c>
      <c r="T9405" s="2">
        <v>42646</v>
      </c>
      <c r="U9405" s="2">
        <v>42706</v>
      </c>
      <c r="V9405" t="s">
        <v>71</v>
      </c>
      <c r="W9405" t="str">
        <f>"             32/16fe"</f>
        <v xml:space="preserve">             32/16fe</v>
      </c>
      <c r="X9405" s="1">
        <v>1220</v>
      </c>
      <c r="Y9405">
        <v>0</v>
      </c>
      <c r="Z9405" s="5">
        <v>1000</v>
      </c>
      <c r="AA9405">
        <v>-18</v>
      </c>
      <c r="AB9405" s="5">
        <v>-18000</v>
      </c>
      <c r="AC9405" s="1">
        <v>1000</v>
      </c>
      <c r="AD9405">
        <v>-18</v>
      </c>
      <c r="AE9405" s="1">
        <v>-18000</v>
      </c>
      <c r="AF9405">
        <v>0</v>
      </c>
      <c r="AJ9405">
        <v>0</v>
      </c>
      <c r="AK9405" s="1">
        <v>1220</v>
      </c>
      <c r="AL9405">
        <v>0</v>
      </c>
      <c r="AM9405" s="1">
        <v>1220</v>
      </c>
      <c r="AN9405" s="1">
        <v>1220</v>
      </c>
      <c r="AO9405" s="1">
        <v>1220</v>
      </c>
      <c r="AP9405" s="2">
        <v>42746</v>
      </c>
      <c r="AQ9405" t="s">
        <v>72</v>
      </c>
      <c r="AR9405" t="s">
        <v>72</v>
      </c>
      <c r="AS9405">
        <v>3079</v>
      </c>
      <c r="AT9405" s="4">
        <v>42688</v>
      </c>
      <c r="AV9405">
        <v>3079</v>
      </c>
      <c r="AW9405" s="4">
        <v>42688</v>
      </c>
      <c r="BD9405">
        <v>0</v>
      </c>
      <c r="BN9405" t="s">
        <v>74</v>
      </c>
    </row>
    <row r="9406" spans="1:66">
      <c r="A9406">
        <v>106702</v>
      </c>
      <c r="B9406" s="3" t="s">
        <v>882</v>
      </c>
      <c r="C9406" s="1">
        <v>43300101</v>
      </c>
      <c r="D9406" t="s">
        <v>67</v>
      </c>
      <c r="H9406" t="str">
        <f t="shared" si="998"/>
        <v>02335070641</v>
      </c>
      <c r="I9406" t="str">
        <f t="shared" si="998"/>
        <v>02335070641</v>
      </c>
      <c r="K9406" t="str">
        <f>""</f>
        <v/>
      </c>
      <c r="M9406" t="s">
        <v>68</v>
      </c>
      <c r="N9406" t="str">
        <f t="shared" si="999"/>
        <v>FOR</v>
      </c>
      <c r="O9406" t="s">
        <v>69</v>
      </c>
      <c r="P9406" s="3" t="s">
        <v>75</v>
      </c>
      <c r="Q9406">
        <v>2016</v>
      </c>
      <c r="R9406" s="2">
        <v>42614</v>
      </c>
      <c r="S9406" s="2">
        <v>42614</v>
      </c>
      <c r="T9406" s="2">
        <v>42614</v>
      </c>
      <c r="U9406" s="2">
        <v>42674</v>
      </c>
      <c r="V9406" t="s">
        <v>71</v>
      </c>
      <c r="W9406" t="str">
        <f>"             33/16fe"</f>
        <v xml:space="preserve">             33/16fe</v>
      </c>
      <c r="X9406">
        <v>128.1</v>
      </c>
      <c r="Y9406">
        <v>0</v>
      </c>
      <c r="Z9406" s="3">
        <v>105</v>
      </c>
      <c r="AA9406">
        <v>14</v>
      </c>
      <c r="AB9406" s="5">
        <v>1470</v>
      </c>
      <c r="AC9406">
        <v>105</v>
      </c>
      <c r="AD9406">
        <v>14</v>
      </c>
      <c r="AE9406" s="1">
        <v>1470</v>
      </c>
      <c r="AF9406">
        <v>0</v>
      </c>
      <c r="AJ9406">
        <v>0</v>
      </c>
      <c r="AK9406">
        <v>0</v>
      </c>
      <c r="AL9406">
        <v>0</v>
      </c>
      <c r="AM9406">
        <v>128.1</v>
      </c>
      <c r="AN9406">
        <v>128.1</v>
      </c>
      <c r="AO9406">
        <v>128.1</v>
      </c>
      <c r="AP9406" s="2">
        <v>42746</v>
      </c>
      <c r="AQ9406" t="s">
        <v>72</v>
      </c>
      <c r="AR9406" t="s">
        <v>72</v>
      </c>
      <c r="AS9406">
        <v>3079</v>
      </c>
      <c r="AT9406" s="4">
        <v>42688</v>
      </c>
      <c r="AU9406" t="s">
        <v>73</v>
      </c>
      <c r="AV9406">
        <v>3079</v>
      </c>
      <c r="AW9406" s="4">
        <v>42688</v>
      </c>
      <c r="BD9406">
        <v>0</v>
      </c>
      <c r="BN9406" t="s">
        <v>74</v>
      </c>
    </row>
    <row r="9407" spans="1:66">
      <c r="A9407">
        <v>106702</v>
      </c>
      <c r="B9407" s="3" t="s">
        <v>882</v>
      </c>
      <c r="C9407" s="1">
        <v>43300101</v>
      </c>
      <c r="D9407" t="s">
        <v>67</v>
      </c>
      <c r="H9407" t="str">
        <f t="shared" si="998"/>
        <v>02335070641</v>
      </c>
      <c r="I9407" t="str">
        <f t="shared" si="998"/>
        <v>02335070641</v>
      </c>
      <c r="K9407" t="str">
        <f>""</f>
        <v/>
      </c>
      <c r="M9407" t="s">
        <v>68</v>
      </c>
      <c r="N9407" t="str">
        <f t="shared" si="999"/>
        <v>FOR</v>
      </c>
      <c r="O9407" t="s">
        <v>69</v>
      </c>
      <c r="P9407" s="3" t="s">
        <v>75</v>
      </c>
      <c r="Q9407">
        <v>2016</v>
      </c>
      <c r="R9407" s="2">
        <v>42614</v>
      </c>
      <c r="S9407" s="2">
        <v>42614</v>
      </c>
      <c r="T9407" s="2">
        <v>42614</v>
      </c>
      <c r="U9407" s="2">
        <v>42674</v>
      </c>
      <c r="V9407" t="s">
        <v>71</v>
      </c>
      <c r="W9407" t="str">
        <f>"             34/16FE"</f>
        <v xml:space="preserve">             34/16FE</v>
      </c>
      <c r="X9407">
        <v>36.6</v>
      </c>
      <c r="Y9407">
        <v>0</v>
      </c>
      <c r="Z9407" s="3">
        <v>30</v>
      </c>
      <c r="AA9407">
        <v>14</v>
      </c>
      <c r="AB9407" s="3">
        <v>420</v>
      </c>
      <c r="AC9407">
        <v>30</v>
      </c>
      <c r="AD9407">
        <v>14</v>
      </c>
      <c r="AE9407">
        <v>420</v>
      </c>
      <c r="AF9407">
        <v>0</v>
      </c>
      <c r="AJ9407">
        <v>0</v>
      </c>
      <c r="AK9407">
        <v>0</v>
      </c>
      <c r="AL9407">
        <v>0</v>
      </c>
      <c r="AM9407">
        <v>36.6</v>
      </c>
      <c r="AN9407">
        <v>36.6</v>
      </c>
      <c r="AO9407">
        <v>36.6</v>
      </c>
      <c r="AP9407" s="2">
        <v>42746</v>
      </c>
      <c r="AQ9407" t="s">
        <v>72</v>
      </c>
      <c r="AR9407" t="s">
        <v>72</v>
      </c>
      <c r="AS9407">
        <v>3079</v>
      </c>
      <c r="AT9407" s="4">
        <v>42688</v>
      </c>
      <c r="AU9407" t="s">
        <v>73</v>
      </c>
      <c r="AV9407">
        <v>3079</v>
      </c>
      <c r="AW9407" s="4">
        <v>42688</v>
      </c>
      <c r="BD9407">
        <v>0</v>
      </c>
      <c r="BN9407" t="s">
        <v>74</v>
      </c>
    </row>
    <row r="9408" spans="1:66">
      <c r="A9408">
        <v>106704</v>
      </c>
      <c r="B9408" s="3" t="s">
        <v>883</v>
      </c>
      <c r="C9408" s="1">
        <v>43300101</v>
      </c>
      <c r="D9408" t="s">
        <v>67</v>
      </c>
      <c r="H9408" t="str">
        <f>"01608400626"</f>
        <v>01608400626</v>
      </c>
      <c r="I9408" t="str">
        <f>"01608400626"</f>
        <v>01608400626</v>
      </c>
      <c r="K9408" t="str">
        <f>""</f>
        <v/>
      </c>
      <c r="M9408" t="s">
        <v>68</v>
      </c>
      <c r="N9408" t="str">
        <f t="shared" si="999"/>
        <v>FOR</v>
      </c>
      <c r="O9408" t="s">
        <v>69</v>
      </c>
      <c r="P9408" s="3" t="s">
        <v>75</v>
      </c>
      <c r="Q9408">
        <v>2016</v>
      </c>
      <c r="R9408" s="2">
        <v>42582</v>
      </c>
      <c r="S9408" s="2">
        <v>42593</v>
      </c>
      <c r="T9408" s="2">
        <v>42592</v>
      </c>
      <c r="U9408" s="2">
        <v>42652</v>
      </c>
      <c r="V9408" t="s">
        <v>71</v>
      </c>
      <c r="W9408" t="str">
        <f>"               FE/32"</f>
        <v xml:space="preserve">               FE/32</v>
      </c>
      <c r="X9408" s="1">
        <v>2167.33</v>
      </c>
      <c r="Y9408">
        <v>0</v>
      </c>
      <c r="Z9408" s="5">
        <v>1776.5</v>
      </c>
      <c r="AA9408">
        <v>38</v>
      </c>
      <c r="AB9408" s="5">
        <v>67507</v>
      </c>
      <c r="AC9408" s="1">
        <v>1776.5</v>
      </c>
      <c r="AD9408">
        <v>38</v>
      </c>
      <c r="AE9408" s="1">
        <v>67507</v>
      </c>
      <c r="AF9408">
        <v>0</v>
      </c>
      <c r="AJ9408">
        <v>0</v>
      </c>
      <c r="AK9408">
        <v>0</v>
      </c>
      <c r="AL9408">
        <v>0</v>
      </c>
      <c r="AM9408" s="1">
        <v>2167.33</v>
      </c>
      <c r="AN9408" s="1">
        <v>2167.33</v>
      </c>
      <c r="AO9408" s="1">
        <v>2167.33</v>
      </c>
      <c r="AP9408" s="2">
        <v>42746</v>
      </c>
      <c r="AQ9408" t="s">
        <v>72</v>
      </c>
      <c r="AR9408" t="s">
        <v>72</v>
      </c>
      <c r="AS9408">
        <v>3139</v>
      </c>
      <c r="AT9408" s="4">
        <v>42690</v>
      </c>
      <c r="AU9408" t="s">
        <v>73</v>
      </c>
      <c r="AV9408">
        <v>3139</v>
      </c>
      <c r="AW9408" s="4">
        <v>42690</v>
      </c>
      <c r="BD9408">
        <v>0</v>
      </c>
      <c r="BN9408" t="s">
        <v>74</v>
      </c>
    </row>
    <row r="9409" spans="1:66">
      <c r="A9409">
        <v>106704</v>
      </c>
      <c r="B9409" s="3" t="s">
        <v>883</v>
      </c>
      <c r="C9409" s="1">
        <v>43300101</v>
      </c>
      <c r="D9409" t="s">
        <v>67</v>
      </c>
      <c r="H9409" t="str">
        <f>"01608400626"</f>
        <v>01608400626</v>
      </c>
      <c r="I9409" t="str">
        <f>"01608400626"</f>
        <v>01608400626</v>
      </c>
      <c r="K9409" t="str">
        <f>""</f>
        <v/>
      </c>
      <c r="M9409" t="s">
        <v>68</v>
      </c>
      <c r="N9409" t="str">
        <f t="shared" si="999"/>
        <v>FOR</v>
      </c>
      <c r="O9409" t="s">
        <v>69</v>
      </c>
      <c r="P9409" s="3" t="s">
        <v>75</v>
      </c>
      <c r="Q9409">
        <v>2016</v>
      </c>
      <c r="R9409" s="2">
        <v>42582</v>
      </c>
      <c r="S9409" s="2">
        <v>42593</v>
      </c>
      <c r="T9409" s="2">
        <v>42592</v>
      </c>
      <c r="U9409" s="2">
        <v>42652</v>
      </c>
      <c r="V9409" t="s">
        <v>71</v>
      </c>
      <c r="W9409" t="str">
        <f>"               FE/33"</f>
        <v xml:space="preserve">               FE/33</v>
      </c>
      <c r="X9409" s="1">
        <v>1738.5</v>
      </c>
      <c r="Y9409">
        <v>0</v>
      </c>
      <c r="Z9409" s="5">
        <v>1425</v>
      </c>
      <c r="AA9409">
        <v>38</v>
      </c>
      <c r="AB9409" s="5">
        <v>54150</v>
      </c>
      <c r="AC9409" s="1">
        <v>1425</v>
      </c>
      <c r="AD9409">
        <v>38</v>
      </c>
      <c r="AE9409" s="1">
        <v>54150</v>
      </c>
      <c r="AF9409">
        <v>0</v>
      </c>
      <c r="AJ9409">
        <v>0</v>
      </c>
      <c r="AK9409">
        <v>0</v>
      </c>
      <c r="AL9409">
        <v>0</v>
      </c>
      <c r="AM9409" s="1">
        <v>1738.5</v>
      </c>
      <c r="AN9409" s="1">
        <v>1738.5</v>
      </c>
      <c r="AO9409" s="1">
        <v>1738.5</v>
      </c>
      <c r="AP9409" s="2">
        <v>42746</v>
      </c>
      <c r="AQ9409" t="s">
        <v>72</v>
      </c>
      <c r="AR9409" t="s">
        <v>72</v>
      </c>
      <c r="AS9409">
        <v>3139</v>
      </c>
      <c r="AT9409" s="4">
        <v>42690</v>
      </c>
      <c r="AU9409" t="s">
        <v>73</v>
      </c>
      <c r="AV9409">
        <v>3139</v>
      </c>
      <c r="AW9409" s="4">
        <v>42690</v>
      </c>
      <c r="BD9409">
        <v>0</v>
      </c>
      <c r="BN9409" t="s">
        <v>74</v>
      </c>
    </row>
    <row r="9410" spans="1:66" hidden="1">
      <c r="A9410">
        <v>106705</v>
      </c>
      <c r="B9410" s="3" t="s">
        <v>884</v>
      </c>
      <c r="C9410" s="1">
        <v>43300101</v>
      </c>
      <c r="D9410" t="s">
        <v>67</v>
      </c>
      <c r="H9410" t="str">
        <f>""</f>
        <v/>
      </c>
      <c r="I9410" t="str">
        <f>"08227521211"</f>
        <v>08227521211</v>
      </c>
      <c r="K9410" t="str">
        <f>""</f>
        <v/>
      </c>
      <c r="M9410" t="s">
        <v>68</v>
      </c>
      <c r="N9410" t="str">
        <f t="shared" si="999"/>
        <v>FOR</v>
      </c>
      <c r="O9410" t="s">
        <v>69</v>
      </c>
      <c r="P9410" s="3" t="s">
        <v>75</v>
      </c>
      <c r="Q9410">
        <v>2016</v>
      </c>
      <c r="R9410" s="2">
        <v>42433</v>
      </c>
      <c r="S9410" s="2">
        <v>42438</v>
      </c>
      <c r="T9410" s="2">
        <v>42437</v>
      </c>
      <c r="U9410" s="2">
        <v>42497</v>
      </c>
      <c r="V9410" t="s">
        <v>71</v>
      </c>
      <c r="W9410" t="str">
        <f>"                5430"</f>
        <v xml:space="preserve">                5430</v>
      </c>
      <c r="X9410" s="1">
        <v>6039.96</v>
      </c>
      <c r="Y9410">
        <v>0</v>
      </c>
      <c r="Z9410"/>
      <c r="AB9410"/>
      <c r="AC9410" s="1">
        <v>4950.79</v>
      </c>
      <c r="AD9410">
        <v>23</v>
      </c>
      <c r="AE9410" s="1">
        <v>113868.17</v>
      </c>
      <c r="AF9410">
        <v>0</v>
      </c>
      <c r="AJ9410">
        <v>0</v>
      </c>
      <c r="AK9410">
        <v>0</v>
      </c>
      <c r="AL9410">
        <v>0</v>
      </c>
      <c r="AM9410" s="1">
        <v>6039.96</v>
      </c>
      <c r="AN9410" s="1">
        <v>6039.96</v>
      </c>
      <c r="AO9410" s="1">
        <v>6039.96</v>
      </c>
      <c r="AP9410" s="2">
        <v>42746</v>
      </c>
      <c r="AQ9410" t="s">
        <v>72</v>
      </c>
      <c r="AR9410" t="s">
        <v>72</v>
      </c>
      <c r="AS9410">
        <v>1412</v>
      </c>
      <c r="AT9410" s="4">
        <v>42520</v>
      </c>
      <c r="AU9410" t="s">
        <v>73</v>
      </c>
      <c r="AV9410">
        <v>1412</v>
      </c>
      <c r="AW9410" s="4">
        <v>42520</v>
      </c>
      <c r="BD9410">
        <v>0</v>
      </c>
      <c r="BN9410" t="s">
        <v>74</v>
      </c>
    </row>
    <row r="9411" spans="1:66">
      <c r="A9411">
        <v>106706</v>
      </c>
      <c r="B9411" s="3" t="s">
        <v>885</v>
      </c>
      <c r="C9411" s="1">
        <v>43300101</v>
      </c>
      <c r="D9411" t="s">
        <v>67</v>
      </c>
      <c r="H9411" t="str">
        <f>"03972700714"</f>
        <v>03972700714</v>
      </c>
      <c r="I9411" t="str">
        <f>"03972700714"</f>
        <v>03972700714</v>
      </c>
      <c r="K9411" t="str">
        <f>""</f>
        <v/>
      </c>
      <c r="M9411" t="s">
        <v>68</v>
      </c>
      <c r="N9411" t="str">
        <f t="shared" si="999"/>
        <v>FOR</v>
      </c>
      <c r="O9411" t="s">
        <v>69</v>
      </c>
      <c r="P9411" s="3" t="s">
        <v>75</v>
      </c>
      <c r="Q9411">
        <v>2016</v>
      </c>
      <c r="R9411" s="2">
        <v>42426</v>
      </c>
      <c r="S9411" s="2">
        <v>42443</v>
      </c>
      <c r="T9411" s="2">
        <v>42440</v>
      </c>
      <c r="U9411" s="2">
        <v>42500</v>
      </c>
      <c r="V9411" t="s">
        <v>71</v>
      </c>
      <c r="W9411" t="str">
        <f>"                5/PA"</f>
        <v xml:space="preserve">                5/PA</v>
      </c>
      <c r="X9411" s="1">
        <v>12319.01</v>
      </c>
      <c r="Y9411">
        <v>0</v>
      </c>
      <c r="Z9411" s="5">
        <v>10097.549999999999</v>
      </c>
      <c r="AA9411">
        <v>219</v>
      </c>
      <c r="AB9411" s="5">
        <v>2211363.4500000002</v>
      </c>
      <c r="AC9411" s="1">
        <v>10097.549999999999</v>
      </c>
      <c r="AD9411">
        <v>219</v>
      </c>
      <c r="AE9411" s="1">
        <v>2211363.4500000002</v>
      </c>
      <c r="AF9411" s="1">
        <v>2221.46</v>
      </c>
      <c r="AJ9411">
        <v>0</v>
      </c>
      <c r="AK9411">
        <v>0</v>
      </c>
      <c r="AL9411">
        <v>0</v>
      </c>
      <c r="AM9411" s="1">
        <v>12319.01</v>
      </c>
      <c r="AN9411" s="1">
        <v>12319.01</v>
      </c>
      <c r="AO9411" s="1">
        <v>12319.01</v>
      </c>
      <c r="AP9411" s="2">
        <v>42746</v>
      </c>
      <c r="AQ9411" t="s">
        <v>72</v>
      </c>
      <c r="AR9411" t="s">
        <v>72</v>
      </c>
      <c r="AS9411">
        <v>3534</v>
      </c>
      <c r="AT9411" s="4">
        <v>42719</v>
      </c>
      <c r="AU9411" t="s">
        <v>73</v>
      </c>
      <c r="AV9411">
        <v>3534</v>
      </c>
      <c r="AW9411" s="4">
        <v>42719</v>
      </c>
      <c r="BD9411" s="1">
        <v>2221.46</v>
      </c>
      <c r="BN9411" t="s">
        <v>74</v>
      </c>
    </row>
    <row r="9412" spans="1:66" hidden="1">
      <c r="A9412">
        <v>106708</v>
      </c>
      <c r="B9412" s="3" t="s">
        <v>886</v>
      </c>
      <c r="C9412" s="1">
        <v>43300101</v>
      </c>
      <c r="D9412" t="s">
        <v>67</v>
      </c>
      <c r="H9412" t="str">
        <f>""</f>
        <v/>
      </c>
      <c r="I9412" t="str">
        <f>"03961041005"</f>
        <v>03961041005</v>
      </c>
      <c r="K9412" t="str">
        <f>""</f>
        <v/>
      </c>
      <c r="M9412" t="s">
        <v>68</v>
      </c>
      <c r="N9412" t="str">
        <f t="shared" si="999"/>
        <v>FOR</v>
      </c>
      <c r="O9412" t="s">
        <v>69</v>
      </c>
      <c r="P9412" s="3" t="s">
        <v>75</v>
      </c>
      <c r="Q9412">
        <v>2016</v>
      </c>
      <c r="R9412" s="2">
        <v>42460</v>
      </c>
      <c r="S9412" s="2">
        <v>42471</v>
      </c>
      <c r="T9412" s="2">
        <v>42468</v>
      </c>
      <c r="U9412" s="2">
        <v>42528</v>
      </c>
      <c r="V9412" t="s">
        <v>71</v>
      </c>
      <c r="W9412" t="str">
        <f>"               50007"</f>
        <v xml:space="preserve">               50007</v>
      </c>
      <c r="X9412">
        <v>618.91999999999996</v>
      </c>
      <c r="Y9412">
        <v>0</v>
      </c>
      <c r="Z9412"/>
      <c r="AB9412"/>
      <c r="AC9412">
        <v>507.31</v>
      </c>
      <c r="AD9412">
        <v>-8</v>
      </c>
      <c r="AE9412" s="1">
        <v>-4058.48</v>
      </c>
      <c r="AF9412">
        <v>0</v>
      </c>
      <c r="AJ9412">
        <v>0</v>
      </c>
      <c r="AK9412">
        <v>0</v>
      </c>
      <c r="AL9412">
        <v>0</v>
      </c>
      <c r="AM9412">
        <v>618.91999999999996</v>
      </c>
      <c r="AN9412">
        <v>618.91999999999996</v>
      </c>
      <c r="AO9412">
        <v>618.91999999999996</v>
      </c>
      <c r="AP9412" s="2">
        <v>42746</v>
      </c>
      <c r="AQ9412" t="s">
        <v>72</v>
      </c>
      <c r="AR9412" t="s">
        <v>72</v>
      </c>
      <c r="AS9412">
        <v>1429</v>
      </c>
      <c r="AT9412" s="4">
        <v>42520</v>
      </c>
      <c r="AV9412">
        <v>1429</v>
      </c>
      <c r="AW9412" s="4">
        <v>42520</v>
      </c>
      <c r="BD9412">
        <v>0</v>
      </c>
      <c r="BN9412" t="s">
        <v>74</v>
      </c>
    </row>
    <row r="9413" spans="1:66" hidden="1">
      <c r="A9413">
        <v>106710</v>
      </c>
      <c r="B9413" s="3" t="s">
        <v>887</v>
      </c>
      <c r="C9413" s="1">
        <v>43500101</v>
      </c>
      <c r="D9413" t="s">
        <v>113</v>
      </c>
      <c r="H9413" t="str">
        <f>"GDLMGR61S42A783F"</f>
        <v>GDLMGR61S42A783F</v>
      </c>
      <c r="I9413" t="str">
        <f>"01333450623"</f>
        <v>01333450623</v>
      </c>
      <c r="K9413" t="str">
        <f>""</f>
        <v/>
      </c>
      <c r="M9413" t="s">
        <v>68</v>
      </c>
      <c r="N9413" t="str">
        <f>"ALTPRO"</f>
        <v>ALTPRO</v>
      </c>
      <c r="O9413" t="s">
        <v>132</v>
      </c>
      <c r="P9413" s="3" t="s">
        <v>75</v>
      </c>
      <c r="Q9413">
        <v>2016</v>
      </c>
      <c r="R9413" s="2">
        <v>42452</v>
      </c>
      <c r="S9413" s="2">
        <v>42461</v>
      </c>
      <c r="T9413" s="2">
        <v>42459</v>
      </c>
      <c r="U9413" s="2">
        <v>42519</v>
      </c>
      <c r="V9413" t="s">
        <v>71</v>
      </c>
      <c r="W9413" t="str">
        <f>"                  01"</f>
        <v xml:space="preserve">                  01</v>
      </c>
      <c r="X9413" s="1">
        <v>4626.13</v>
      </c>
      <c r="Y9413">
        <v>0</v>
      </c>
      <c r="Z9413"/>
      <c r="AB9413"/>
      <c r="AC9413" s="1">
        <v>4626.13</v>
      </c>
      <c r="AD9413">
        <v>-32</v>
      </c>
      <c r="AE9413" s="1">
        <v>-148036.16</v>
      </c>
      <c r="AF9413">
        <v>0</v>
      </c>
      <c r="AJ9413">
        <v>0</v>
      </c>
      <c r="AK9413">
        <v>0</v>
      </c>
      <c r="AL9413">
        <v>0</v>
      </c>
      <c r="AM9413" s="1">
        <v>4626.13</v>
      </c>
      <c r="AN9413" s="1">
        <v>4626.13</v>
      </c>
      <c r="AO9413" s="1">
        <v>4626.13</v>
      </c>
      <c r="AP9413" s="2">
        <v>42746</v>
      </c>
      <c r="AQ9413" t="s">
        <v>72</v>
      </c>
      <c r="AR9413" t="s">
        <v>72</v>
      </c>
      <c r="AS9413">
        <v>1172</v>
      </c>
      <c r="AT9413" s="4">
        <v>42487</v>
      </c>
      <c r="AV9413">
        <v>1172</v>
      </c>
      <c r="AW9413" s="4">
        <v>42487</v>
      </c>
      <c r="BD9413">
        <v>0</v>
      </c>
      <c r="BN9413" t="s">
        <v>74</v>
      </c>
    </row>
    <row r="9414" spans="1:66" hidden="1">
      <c r="A9414">
        <v>106711</v>
      </c>
      <c r="B9414" s="3" t="s">
        <v>888</v>
      </c>
      <c r="C9414" s="1">
        <v>43300101</v>
      </c>
      <c r="D9414" t="s">
        <v>67</v>
      </c>
      <c r="H9414" t="str">
        <f>"01309350062"</f>
        <v>01309350062</v>
      </c>
      <c r="I9414" t="str">
        <f>"08938260158"</f>
        <v>08938260158</v>
      </c>
      <c r="K9414" t="str">
        <f>""</f>
        <v/>
      </c>
      <c r="M9414" t="s">
        <v>68</v>
      </c>
      <c r="N9414" t="str">
        <f>"FOR"</f>
        <v>FOR</v>
      </c>
      <c r="O9414" t="s">
        <v>69</v>
      </c>
      <c r="P9414" s="3" t="s">
        <v>75</v>
      </c>
      <c r="Q9414">
        <v>2016</v>
      </c>
      <c r="R9414" s="2">
        <v>42508</v>
      </c>
      <c r="S9414" s="2">
        <v>42543</v>
      </c>
      <c r="T9414" s="2">
        <v>42536</v>
      </c>
      <c r="U9414" s="2">
        <v>42596</v>
      </c>
      <c r="V9414" t="s">
        <v>71</v>
      </c>
      <c r="W9414" t="str">
        <f>"          6612107520"</f>
        <v xml:space="preserve">          6612107520</v>
      </c>
      <c r="X9414" s="1">
        <v>1712.88</v>
      </c>
      <c r="Y9414">
        <v>0</v>
      </c>
      <c r="Z9414"/>
      <c r="AB9414"/>
      <c r="AC9414" s="1">
        <v>1404</v>
      </c>
      <c r="AD9414">
        <v>25</v>
      </c>
      <c r="AE9414" s="1">
        <v>35100</v>
      </c>
      <c r="AF9414">
        <v>0</v>
      </c>
      <c r="AJ9414">
        <v>0</v>
      </c>
      <c r="AK9414">
        <v>0</v>
      </c>
      <c r="AL9414">
        <v>0</v>
      </c>
      <c r="AM9414" s="1">
        <v>1712.88</v>
      </c>
      <c r="AN9414" s="1">
        <v>1712.88</v>
      </c>
      <c r="AO9414" s="1">
        <v>1712.88</v>
      </c>
      <c r="AP9414" s="2">
        <v>42746</v>
      </c>
      <c r="AQ9414" t="s">
        <v>72</v>
      </c>
      <c r="AR9414" t="s">
        <v>72</v>
      </c>
      <c r="AS9414">
        <v>2363</v>
      </c>
      <c r="AT9414" s="4">
        <v>42621</v>
      </c>
      <c r="AU9414" t="s">
        <v>73</v>
      </c>
      <c r="AV9414">
        <v>2363</v>
      </c>
      <c r="AW9414" s="4">
        <v>42621</v>
      </c>
      <c r="BD9414">
        <v>0</v>
      </c>
      <c r="BN9414" t="s">
        <v>74</v>
      </c>
    </row>
    <row r="9415" spans="1:66">
      <c r="A9415">
        <v>106711</v>
      </c>
      <c r="B9415" s="3" t="s">
        <v>888</v>
      </c>
      <c r="C9415" s="1">
        <v>43300101</v>
      </c>
      <c r="D9415" t="s">
        <v>67</v>
      </c>
      <c r="H9415" t="str">
        <f>"01309350062"</f>
        <v>01309350062</v>
      </c>
      <c r="I9415" t="str">
        <f>"08938260158"</f>
        <v>08938260158</v>
      </c>
      <c r="K9415" t="str">
        <f>""</f>
        <v/>
      </c>
      <c r="M9415" t="s">
        <v>68</v>
      </c>
      <c r="N9415" t="str">
        <f>"FOR"</f>
        <v>FOR</v>
      </c>
      <c r="O9415" t="s">
        <v>69</v>
      </c>
      <c r="P9415" s="3" t="s">
        <v>75</v>
      </c>
      <c r="Q9415">
        <v>2016</v>
      </c>
      <c r="R9415" s="2">
        <v>42563</v>
      </c>
      <c r="S9415" s="2">
        <v>42642</v>
      </c>
      <c r="T9415" s="2">
        <v>42639</v>
      </c>
      <c r="U9415" s="2">
        <v>42699</v>
      </c>
      <c r="V9415" t="s">
        <v>71</v>
      </c>
      <c r="W9415" t="str">
        <f>"          6612119492"</f>
        <v xml:space="preserve">          6612119492</v>
      </c>
      <c r="X9415">
        <v>234.24</v>
      </c>
      <c r="Y9415">
        <v>0</v>
      </c>
      <c r="Z9415" s="3">
        <v>192</v>
      </c>
      <c r="AA9415">
        <v>-15</v>
      </c>
      <c r="AB9415" s="5">
        <v>-2880</v>
      </c>
      <c r="AC9415">
        <v>192</v>
      </c>
      <c r="AD9415">
        <v>-15</v>
      </c>
      <c r="AE9415" s="1">
        <v>-2880</v>
      </c>
      <c r="AF9415">
        <v>0</v>
      </c>
      <c r="AJ9415">
        <v>0</v>
      </c>
      <c r="AK9415">
        <v>0</v>
      </c>
      <c r="AL9415">
        <v>0</v>
      </c>
      <c r="AM9415">
        <v>234.24</v>
      </c>
      <c r="AN9415">
        <v>234.24</v>
      </c>
      <c r="AO9415">
        <v>234.24</v>
      </c>
      <c r="AP9415" s="2">
        <v>42746</v>
      </c>
      <c r="AQ9415" t="s">
        <v>72</v>
      </c>
      <c r="AR9415" t="s">
        <v>72</v>
      </c>
      <c r="AS9415">
        <v>3070</v>
      </c>
      <c r="AT9415" s="4">
        <v>42684</v>
      </c>
      <c r="AV9415">
        <v>3070</v>
      </c>
      <c r="AW9415" s="4">
        <v>42684</v>
      </c>
      <c r="BD9415">
        <v>0</v>
      </c>
      <c r="BN9415" t="s">
        <v>74</v>
      </c>
    </row>
    <row r="9416" spans="1:66">
      <c r="A9416">
        <v>106712</v>
      </c>
      <c r="B9416" s="3" t="s">
        <v>889</v>
      </c>
      <c r="C9416" s="1">
        <v>43300101</v>
      </c>
      <c r="D9416" t="s">
        <v>67</v>
      </c>
      <c r="H9416" t="str">
        <f>"BRNGLN65T50F839S"</f>
        <v>BRNGLN65T50F839S</v>
      </c>
      <c r="I9416" t="str">
        <f>"08124831218"</f>
        <v>08124831218</v>
      </c>
      <c r="K9416" t="str">
        <f>""</f>
        <v/>
      </c>
      <c r="M9416" t="s">
        <v>68</v>
      </c>
      <c r="N9416" t="str">
        <f>"FOR"</f>
        <v>FOR</v>
      </c>
      <c r="O9416" t="s">
        <v>69</v>
      </c>
      <c r="P9416" s="3" t="s">
        <v>75</v>
      </c>
      <c r="Q9416">
        <v>2016</v>
      </c>
      <c r="R9416" s="2">
        <v>42530</v>
      </c>
      <c r="S9416" s="2">
        <v>42543</v>
      </c>
      <c r="T9416" s="2">
        <v>42542</v>
      </c>
      <c r="U9416" s="2">
        <v>42602</v>
      </c>
      <c r="V9416" t="s">
        <v>71</v>
      </c>
      <c r="W9416" t="str">
        <f>"                  25"</f>
        <v xml:space="preserve">                  25</v>
      </c>
      <c r="X9416" s="1">
        <v>1831.83</v>
      </c>
      <c r="Y9416">
        <v>0</v>
      </c>
      <c r="Z9416" s="5">
        <v>1501.5</v>
      </c>
      <c r="AA9416">
        <v>45</v>
      </c>
      <c r="AB9416" s="5">
        <v>67567.5</v>
      </c>
      <c r="AC9416" s="1">
        <v>1501.5</v>
      </c>
      <c r="AD9416">
        <v>45</v>
      </c>
      <c r="AE9416" s="1">
        <v>67567.5</v>
      </c>
      <c r="AF9416">
        <v>0</v>
      </c>
      <c r="AJ9416">
        <v>0</v>
      </c>
      <c r="AK9416">
        <v>0</v>
      </c>
      <c r="AL9416">
        <v>0</v>
      </c>
      <c r="AM9416" s="1">
        <v>1831.83</v>
      </c>
      <c r="AN9416" s="1">
        <v>1831.83</v>
      </c>
      <c r="AO9416" s="1">
        <v>1831.83</v>
      </c>
      <c r="AP9416" s="2">
        <v>42746</v>
      </c>
      <c r="AQ9416" t="s">
        <v>72</v>
      </c>
      <c r="AR9416" t="s">
        <v>72</v>
      </c>
      <c r="AS9416">
        <v>2605</v>
      </c>
      <c r="AT9416" s="4">
        <v>42647</v>
      </c>
      <c r="AU9416" t="s">
        <v>73</v>
      </c>
      <c r="AV9416">
        <v>2605</v>
      </c>
      <c r="AW9416" s="4">
        <v>42647</v>
      </c>
      <c r="BD9416">
        <v>0</v>
      </c>
      <c r="BN9416" t="s">
        <v>74</v>
      </c>
    </row>
    <row r="9417" spans="1:66">
      <c r="A9417">
        <v>106712</v>
      </c>
      <c r="B9417" s="3" t="s">
        <v>889</v>
      </c>
      <c r="C9417" s="1">
        <v>43300101</v>
      </c>
      <c r="D9417" t="s">
        <v>67</v>
      </c>
      <c r="H9417" t="str">
        <f>"BRNGLN65T50F839S"</f>
        <v>BRNGLN65T50F839S</v>
      </c>
      <c r="I9417" t="str">
        <f>"08124831218"</f>
        <v>08124831218</v>
      </c>
      <c r="K9417" t="str">
        <f>""</f>
        <v/>
      </c>
      <c r="M9417" t="s">
        <v>68</v>
      </c>
      <c r="N9417" t="str">
        <f>"FOR"</f>
        <v>FOR</v>
      </c>
      <c r="O9417" t="s">
        <v>69</v>
      </c>
      <c r="P9417" s="3" t="s">
        <v>75</v>
      </c>
      <c r="Q9417">
        <v>2016</v>
      </c>
      <c r="R9417" s="2">
        <v>42548</v>
      </c>
      <c r="S9417" s="2">
        <v>42551</v>
      </c>
      <c r="T9417" s="2">
        <v>42549</v>
      </c>
      <c r="U9417" s="2">
        <v>42609</v>
      </c>
      <c r="V9417" t="s">
        <v>71</v>
      </c>
      <c r="W9417" t="str">
        <f>"                  28"</f>
        <v xml:space="preserve">                  28</v>
      </c>
      <c r="X9417" s="1">
        <v>1953.83</v>
      </c>
      <c r="Y9417">
        <v>0</v>
      </c>
      <c r="Z9417" s="5">
        <v>1601.5</v>
      </c>
      <c r="AA9417">
        <v>38</v>
      </c>
      <c r="AB9417" s="5">
        <v>60857</v>
      </c>
      <c r="AC9417" s="1">
        <v>1601.5</v>
      </c>
      <c r="AD9417">
        <v>38</v>
      </c>
      <c r="AE9417" s="1">
        <v>60857</v>
      </c>
      <c r="AF9417">
        <v>0</v>
      </c>
      <c r="AJ9417">
        <v>0</v>
      </c>
      <c r="AK9417">
        <v>0</v>
      </c>
      <c r="AL9417">
        <v>0</v>
      </c>
      <c r="AM9417" s="1">
        <v>1953.83</v>
      </c>
      <c r="AN9417" s="1">
        <v>1953.83</v>
      </c>
      <c r="AO9417" s="1">
        <v>1953.83</v>
      </c>
      <c r="AP9417" s="2">
        <v>42746</v>
      </c>
      <c r="AQ9417" t="s">
        <v>72</v>
      </c>
      <c r="AR9417" t="s">
        <v>72</v>
      </c>
      <c r="AS9417">
        <v>2605</v>
      </c>
      <c r="AT9417" s="4">
        <v>42647</v>
      </c>
      <c r="AU9417" t="s">
        <v>73</v>
      </c>
      <c r="AV9417">
        <v>2605</v>
      </c>
      <c r="AW9417" s="4">
        <v>42647</v>
      </c>
      <c r="BD9417">
        <v>0</v>
      </c>
      <c r="BN9417" t="s">
        <v>74</v>
      </c>
    </row>
    <row r="9418" spans="1:66" hidden="1">
      <c r="A9418">
        <v>106715</v>
      </c>
      <c r="B9418" s="3" t="s">
        <v>890</v>
      </c>
      <c r="C9418" s="1">
        <v>43300101</v>
      </c>
      <c r="D9418" t="s">
        <v>67</v>
      </c>
      <c r="H9418" t="str">
        <f>"01514570629"</f>
        <v>01514570629</v>
      </c>
      <c r="I9418" t="str">
        <f>"01514570629"</f>
        <v>01514570629</v>
      </c>
      <c r="K9418" t="str">
        <f>""</f>
        <v/>
      </c>
      <c r="M9418" t="s">
        <v>68</v>
      </c>
      <c r="N9418" t="str">
        <f>"FOR"</f>
        <v>FOR</v>
      </c>
      <c r="O9418" t="s">
        <v>69</v>
      </c>
      <c r="P9418" s="3" t="s">
        <v>70</v>
      </c>
      <c r="Q9418">
        <v>2015</v>
      </c>
      <c r="R9418" s="2">
        <v>42357</v>
      </c>
      <c r="S9418" s="2">
        <v>42471</v>
      </c>
      <c r="T9418" s="2">
        <v>42471</v>
      </c>
      <c r="U9418" s="2">
        <v>42531</v>
      </c>
      <c r="V9418" t="s">
        <v>71</v>
      </c>
      <c r="W9418" t="str">
        <f>"              000728"</f>
        <v xml:space="preserve">              000728</v>
      </c>
      <c r="X9418" s="1">
        <v>18988.080000000002</v>
      </c>
      <c r="Y9418">
        <v>0</v>
      </c>
      <c r="Z9418"/>
      <c r="AB9418"/>
      <c r="AC9418" s="1">
        <v>15564</v>
      </c>
      <c r="AD9418">
        <v>-11</v>
      </c>
      <c r="AE9418" s="1">
        <v>-171204</v>
      </c>
      <c r="AF9418">
        <v>0</v>
      </c>
      <c r="AJ9418">
        <v>0</v>
      </c>
      <c r="AK9418">
        <v>0</v>
      </c>
      <c r="AL9418">
        <v>0</v>
      </c>
      <c r="AM9418">
        <v>0</v>
      </c>
      <c r="AN9418" s="1">
        <v>18988.080000000002</v>
      </c>
      <c r="AO9418">
        <v>0</v>
      </c>
      <c r="AP9418" s="2">
        <v>42746</v>
      </c>
      <c r="AQ9418" t="s">
        <v>72</v>
      </c>
      <c r="AR9418" t="s">
        <v>72</v>
      </c>
      <c r="AS9418">
        <v>1460</v>
      </c>
      <c r="AT9418" s="4">
        <v>42520</v>
      </c>
      <c r="AV9418">
        <v>1460</v>
      </c>
      <c r="AW9418" s="4">
        <v>42520</v>
      </c>
      <c r="BD9418">
        <v>0</v>
      </c>
      <c r="BN9418" t="s">
        <v>74</v>
      </c>
    </row>
    <row r="9419" spans="1:66" hidden="1">
      <c r="A9419">
        <v>106716</v>
      </c>
      <c r="B9419" s="3" t="s">
        <v>891</v>
      </c>
      <c r="C9419" s="1">
        <v>43500101</v>
      </c>
      <c r="D9419" t="s">
        <v>113</v>
      </c>
      <c r="H9419" t="str">
        <f>"97139590588"</f>
        <v>97139590588</v>
      </c>
      <c r="I9419" t="str">
        <f>""</f>
        <v/>
      </c>
      <c r="K9419" t="str">
        <f>""</f>
        <v/>
      </c>
      <c r="M9419" t="s">
        <v>68</v>
      </c>
      <c r="N9419" t="str">
        <f>"ALT"</f>
        <v>ALT</v>
      </c>
      <c r="O9419" t="s">
        <v>114</v>
      </c>
      <c r="P9419" s="3" t="s">
        <v>892</v>
      </c>
      <c r="Q9419">
        <v>2016</v>
      </c>
      <c r="R9419" s="2">
        <v>42475</v>
      </c>
      <c r="S9419" s="2">
        <v>42475</v>
      </c>
      <c r="T9419" s="2">
        <v>42475</v>
      </c>
      <c r="U9419" s="2">
        <v>42535</v>
      </c>
      <c r="V9419" t="s">
        <v>71</v>
      </c>
      <c r="W9419" t="str">
        <f>"                  83"</f>
        <v xml:space="preserve">                  83</v>
      </c>
      <c r="X9419">
        <v>0</v>
      </c>
      <c r="Y9419">
        <v>150</v>
      </c>
      <c r="Z9419"/>
      <c r="AB9419"/>
      <c r="AC9419">
        <v>150</v>
      </c>
      <c r="AD9419">
        <v>-60</v>
      </c>
      <c r="AE9419" s="1">
        <v>-9000</v>
      </c>
      <c r="AF9419">
        <v>0</v>
      </c>
      <c r="AJ9419">
        <v>0</v>
      </c>
      <c r="AK9419">
        <v>0</v>
      </c>
      <c r="AL9419">
        <v>0</v>
      </c>
      <c r="AM9419">
        <v>150</v>
      </c>
      <c r="AN9419">
        <v>150</v>
      </c>
      <c r="AO9419">
        <v>150</v>
      </c>
      <c r="AP9419" s="2">
        <v>42746</v>
      </c>
      <c r="AQ9419" t="s">
        <v>72</v>
      </c>
      <c r="AR9419" t="s">
        <v>72</v>
      </c>
      <c r="AS9419">
        <v>1022</v>
      </c>
      <c r="AT9419" s="4">
        <v>42475</v>
      </c>
      <c r="AV9419">
        <v>1022</v>
      </c>
      <c r="AW9419" s="4">
        <v>42475</v>
      </c>
      <c r="BD9419">
        <v>0</v>
      </c>
      <c r="BN9419" t="s">
        <v>74</v>
      </c>
    </row>
    <row r="9420" spans="1:66" hidden="1">
      <c r="A9420">
        <v>106718</v>
      </c>
      <c r="B9420" s="3" t="s">
        <v>893</v>
      </c>
      <c r="C9420" s="1">
        <v>43500101</v>
      </c>
      <c r="D9420" t="s">
        <v>113</v>
      </c>
      <c r="H9420" t="str">
        <f>"97103880585"</f>
        <v>97103880585</v>
      </c>
      <c r="I9420" t="str">
        <f>"01114601006"</f>
        <v>01114601006</v>
      </c>
      <c r="K9420" t="str">
        <f>""</f>
        <v/>
      </c>
      <c r="M9420" t="s">
        <v>68</v>
      </c>
      <c r="N9420" t="str">
        <f>"ALT"</f>
        <v>ALT</v>
      </c>
      <c r="O9420" t="s">
        <v>114</v>
      </c>
      <c r="P9420" s="3" t="s">
        <v>894</v>
      </c>
      <c r="Q9420">
        <v>2016</v>
      </c>
      <c r="R9420" s="2">
        <v>42471</v>
      </c>
      <c r="S9420" s="2">
        <v>42471</v>
      </c>
      <c r="T9420" s="2">
        <v>42471</v>
      </c>
      <c r="U9420" s="2">
        <v>42531</v>
      </c>
      <c r="V9420" t="s">
        <v>71</v>
      </c>
      <c r="W9420" t="str">
        <f>"                  78"</f>
        <v xml:space="preserve">                  78</v>
      </c>
      <c r="X9420">
        <v>0</v>
      </c>
      <c r="Y9420" s="1">
        <v>2972.95</v>
      </c>
      <c r="Z9420"/>
      <c r="AB9420"/>
      <c r="AC9420" s="1">
        <v>2972.95</v>
      </c>
      <c r="AD9420">
        <v>-60</v>
      </c>
      <c r="AE9420" s="1">
        <v>-178377</v>
      </c>
      <c r="AF9420">
        <v>0</v>
      </c>
      <c r="AJ9420">
        <v>0</v>
      </c>
      <c r="AK9420">
        <v>0</v>
      </c>
      <c r="AL9420">
        <v>0</v>
      </c>
      <c r="AM9420" s="1">
        <v>2972.95</v>
      </c>
      <c r="AN9420" s="1">
        <v>2972.95</v>
      </c>
      <c r="AO9420" s="1">
        <v>2972.95</v>
      </c>
      <c r="AP9420" s="2">
        <v>42746</v>
      </c>
      <c r="AQ9420" t="s">
        <v>72</v>
      </c>
      <c r="AR9420" t="s">
        <v>72</v>
      </c>
      <c r="AS9420">
        <v>1011</v>
      </c>
      <c r="AT9420" s="4">
        <v>42471</v>
      </c>
      <c r="AV9420">
        <v>1011</v>
      </c>
      <c r="AW9420" s="4">
        <v>42471</v>
      </c>
      <c r="BD9420">
        <v>0</v>
      </c>
      <c r="BN9420" t="s">
        <v>74</v>
      </c>
    </row>
    <row r="9421" spans="1:66" hidden="1">
      <c r="A9421">
        <v>106721</v>
      </c>
      <c r="B9421" s="3" t="s">
        <v>895</v>
      </c>
      <c r="C9421" s="1">
        <v>43300101</v>
      </c>
      <c r="D9421" t="s">
        <v>67</v>
      </c>
      <c r="H9421" t="str">
        <f>"DVTSFN66C53A783A"</f>
        <v>DVTSFN66C53A783A</v>
      </c>
      <c r="I9421" t="str">
        <f>"01474360623"</f>
        <v>01474360623</v>
      </c>
      <c r="K9421" t="str">
        <f>""</f>
        <v/>
      </c>
      <c r="M9421" t="s">
        <v>68</v>
      </c>
      <c r="N9421" t="str">
        <f>"FOR"</f>
        <v>FOR</v>
      </c>
      <c r="O9421" t="s">
        <v>69</v>
      </c>
      <c r="P9421" s="3" t="s">
        <v>75</v>
      </c>
      <c r="Q9421">
        <v>2016</v>
      </c>
      <c r="R9421" s="2">
        <v>42474</v>
      </c>
      <c r="S9421" s="2">
        <v>42475</v>
      </c>
      <c r="T9421" s="2">
        <v>42474</v>
      </c>
      <c r="U9421" s="2">
        <v>42534</v>
      </c>
      <c r="V9421" t="s">
        <v>71</v>
      </c>
      <c r="W9421" t="str">
        <f>"                2/PA"</f>
        <v xml:space="preserve">                2/PA</v>
      </c>
      <c r="X9421" s="1">
        <v>1464</v>
      </c>
      <c r="Y9421">
        <v>0</v>
      </c>
      <c r="Z9421"/>
      <c r="AB9421"/>
      <c r="AC9421" s="1">
        <v>1200</v>
      </c>
      <c r="AD9421">
        <v>42</v>
      </c>
      <c r="AE9421" s="1">
        <v>50400</v>
      </c>
      <c r="AF9421">
        <v>0</v>
      </c>
      <c r="AJ9421">
        <v>0</v>
      </c>
      <c r="AK9421">
        <v>0</v>
      </c>
      <c r="AL9421">
        <v>0</v>
      </c>
      <c r="AM9421" s="1">
        <v>1464</v>
      </c>
      <c r="AN9421" s="1">
        <v>1464</v>
      </c>
      <c r="AO9421" s="1">
        <v>1464</v>
      </c>
      <c r="AP9421" s="2">
        <v>42746</v>
      </c>
      <c r="AQ9421" t="s">
        <v>72</v>
      </c>
      <c r="AR9421" t="s">
        <v>72</v>
      </c>
      <c r="AS9421">
        <v>1907</v>
      </c>
      <c r="AT9421" s="4">
        <v>42576</v>
      </c>
      <c r="AU9421" t="s">
        <v>73</v>
      </c>
      <c r="AV9421">
        <v>1907</v>
      </c>
      <c r="AW9421" s="4">
        <v>42576</v>
      </c>
      <c r="BD9421">
        <v>0</v>
      </c>
      <c r="BN9421" t="s">
        <v>74</v>
      </c>
    </row>
    <row r="9422" spans="1:66">
      <c r="A9422">
        <v>106722</v>
      </c>
      <c r="B9422" s="3" t="s">
        <v>896</v>
      </c>
      <c r="C9422" s="1">
        <v>43300101</v>
      </c>
      <c r="D9422" t="s">
        <v>67</v>
      </c>
      <c r="H9422" t="str">
        <f>"01154520520"</f>
        <v>01154520520</v>
      </c>
      <c r="I9422" t="str">
        <f>"01154520520"</f>
        <v>01154520520</v>
      </c>
      <c r="K9422" t="str">
        <f>""</f>
        <v/>
      </c>
      <c r="M9422" t="s">
        <v>68</v>
      </c>
      <c r="N9422" t="str">
        <f>"FOR"</f>
        <v>FOR</v>
      </c>
      <c r="O9422" t="s">
        <v>69</v>
      </c>
      <c r="P9422" s="3" t="s">
        <v>75</v>
      </c>
      <c r="Q9422">
        <v>2016</v>
      </c>
      <c r="R9422" s="2">
        <v>42479</v>
      </c>
      <c r="S9422" s="2">
        <v>42499</v>
      </c>
      <c r="T9422" s="2">
        <v>42496</v>
      </c>
      <c r="U9422" s="2">
        <v>42556</v>
      </c>
      <c r="V9422" t="s">
        <v>71</v>
      </c>
      <c r="W9422" t="str">
        <f>"                  62"</f>
        <v xml:space="preserve">                  62</v>
      </c>
      <c r="X9422" s="1">
        <v>4864.1400000000003</v>
      </c>
      <c r="Y9422">
        <v>0</v>
      </c>
      <c r="Z9422" s="5">
        <v>3987</v>
      </c>
      <c r="AA9422">
        <v>133</v>
      </c>
      <c r="AB9422" s="5">
        <v>530271</v>
      </c>
      <c r="AC9422" s="1">
        <v>3987</v>
      </c>
      <c r="AD9422">
        <v>133</v>
      </c>
      <c r="AE9422" s="1">
        <v>530271</v>
      </c>
      <c r="AF9422">
        <v>0</v>
      </c>
      <c r="AJ9422">
        <v>0</v>
      </c>
      <c r="AK9422">
        <v>0</v>
      </c>
      <c r="AL9422">
        <v>0</v>
      </c>
      <c r="AM9422" s="1">
        <v>4864.1400000000003</v>
      </c>
      <c r="AN9422" s="1">
        <v>4864.1400000000003</v>
      </c>
      <c r="AO9422" s="1">
        <v>4864.1400000000003</v>
      </c>
      <c r="AP9422" s="2">
        <v>42746</v>
      </c>
      <c r="AQ9422" t="s">
        <v>72</v>
      </c>
      <c r="AR9422" t="s">
        <v>72</v>
      </c>
      <c r="AS9422">
        <v>3111</v>
      </c>
      <c r="AT9422" s="4">
        <v>42689</v>
      </c>
      <c r="AU9422" t="s">
        <v>73</v>
      </c>
      <c r="AV9422">
        <v>3111</v>
      </c>
      <c r="AW9422" s="4">
        <v>42689</v>
      </c>
      <c r="BD9422">
        <v>0</v>
      </c>
      <c r="BN9422" t="s">
        <v>74</v>
      </c>
    </row>
    <row r="9423" spans="1:66" hidden="1">
      <c r="A9423">
        <v>106723</v>
      </c>
      <c r="B9423" s="3" t="s">
        <v>897</v>
      </c>
      <c r="C9423" s="1">
        <v>43201231</v>
      </c>
      <c r="D9423" t="s">
        <v>461</v>
      </c>
      <c r="H9423" t="str">
        <f>""</f>
        <v/>
      </c>
      <c r="I9423" t="str">
        <f>"01426410880"</f>
        <v>01426410880</v>
      </c>
      <c r="K9423" t="str">
        <f>""</f>
        <v/>
      </c>
      <c r="M9423" t="s">
        <v>68</v>
      </c>
      <c r="N9423" t="str">
        <f>"AZI"</f>
        <v>AZI</v>
      </c>
      <c r="O9423" t="s">
        <v>462</v>
      </c>
      <c r="P9423" s="3" t="s">
        <v>898</v>
      </c>
      <c r="Q9423">
        <v>2016</v>
      </c>
      <c r="R9423" s="2">
        <v>42479</v>
      </c>
      <c r="S9423" s="2">
        <v>42479</v>
      </c>
      <c r="T9423" s="2">
        <v>42479</v>
      </c>
      <c r="U9423" s="2">
        <v>42539</v>
      </c>
      <c r="V9423" t="s">
        <v>71</v>
      </c>
      <c r="W9423" t="str">
        <f>"                  88"</f>
        <v xml:space="preserve">                  88</v>
      </c>
      <c r="X9423">
        <v>0</v>
      </c>
      <c r="Y9423">
        <v>402.83</v>
      </c>
      <c r="Z9423"/>
      <c r="AB9423"/>
      <c r="AC9423">
        <v>402.83</v>
      </c>
      <c r="AD9423">
        <v>-52</v>
      </c>
      <c r="AE9423" s="1">
        <v>-20947.16</v>
      </c>
      <c r="AF9423">
        <v>0</v>
      </c>
      <c r="AJ9423">
        <v>0</v>
      </c>
      <c r="AK9423">
        <v>0</v>
      </c>
      <c r="AL9423">
        <v>0</v>
      </c>
      <c r="AM9423">
        <v>402.83</v>
      </c>
      <c r="AN9423">
        <v>402.83</v>
      </c>
      <c r="AO9423">
        <v>402.83</v>
      </c>
      <c r="AP9423" s="2">
        <v>42746</v>
      </c>
      <c r="AQ9423" t="s">
        <v>72</v>
      </c>
      <c r="AR9423" t="s">
        <v>72</v>
      </c>
      <c r="AS9423">
        <v>1174</v>
      </c>
      <c r="AT9423" s="4">
        <v>42487</v>
      </c>
      <c r="AV9423">
        <v>1174</v>
      </c>
      <c r="AW9423" s="4">
        <v>42487</v>
      </c>
      <c r="BD9423">
        <v>0</v>
      </c>
      <c r="BN9423" t="s">
        <v>74</v>
      </c>
    </row>
    <row r="9424" spans="1:66" hidden="1">
      <c r="A9424">
        <v>106724</v>
      </c>
      <c r="B9424" s="3" t="s">
        <v>899</v>
      </c>
      <c r="C9424" s="1">
        <v>43201231</v>
      </c>
      <c r="D9424" t="s">
        <v>461</v>
      </c>
      <c r="H9424" t="str">
        <f>"04721280875"</f>
        <v>04721280875</v>
      </c>
      <c r="I9424" t="str">
        <f>"04721280875"</f>
        <v>04721280875</v>
      </c>
      <c r="K9424" t="str">
        <f>""</f>
        <v/>
      </c>
      <c r="M9424" t="s">
        <v>68</v>
      </c>
      <c r="N9424" t="str">
        <f>"AZI"</f>
        <v>AZI</v>
      </c>
      <c r="O9424" t="s">
        <v>462</v>
      </c>
      <c r="P9424" s="3" t="s">
        <v>900</v>
      </c>
      <c r="Q9424">
        <v>2016</v>
      </c>
      <c r="R9424" s="2">
        <v>42479</v>
      </c>
      <c r="S9424" s="2">
        <v>42479</v>
      </c>
      <c r="T9424" s="2">
        <v>42479</v>
      </c>
      <c r="U9424" s="2">
        <v>42539</v>
      </c>
      <c r="V9424" t="s">
        <v>71</v>
      </c>
      <c r="W9424" t="str">
        <f>"                  87"</f>
        <v xml:space="preserve">                  87</v>
      </c>
      <c r="X9424">
        <v>0</v>
      </c>
      <c r="Y9424">
        <v>792.27</v>
      </c>
      <c r="Z9424"/>
      <c r="AB9424"/>
      <c r="AC9424">
        <v>792.27</v>
      </c>
      <c r="AD9424">
        <v>-52</v>
      </c>
      <c r="AE9424" s="1">
        <v>-41198.04</v>
      </c>
      <c r="AF9424">
        <v>0</v>
      </c>
      <c r="AJ9424">
        <v>0</v>
      </c>
      <c r="AK9424">
        <v>0</v>
      </c>
      <c r="AL9424">
        <v>0</v>
      </c>
      <c r="AM9424">
        <v>792.27</v>
      </c>
      <c r="AN9424">
        <v>792.27</v>
      </c>
      <c r="AO9424">
        <v>792.27</v>
      </c>
      <c r="AP9424" s="2">
        <v>42746</v>
      </c>
      <c r="AQ9424" t="s">
        <v>72</v>
      </c>
      <c r="AR9424" t="s">
        <v>72</v>
      </c>
      <c r="AS9424">
        <v>1173</v>
      </c>
      <c r="AT9424" s="4">
        <v>42487</v>
      </c>
      <c r="AV9424">
        <v>1173</v>
      </c>
      <c r="AW9424" s="4">
        <v>42487</v>
      </c>
      <c r="BD9424">
        <v>0</v>
      </c>
      <c r="BN9424" t="s">
        <v>74</v>
      </c>
    </row>
    <row r="9425" spans="1:66" hidden="1">
      <c r="A9425">
        <v>106725</v>
      </c>
      <c r="B9425" s="3" t="s">
        <v>901</v>
      </c>
      <c r="C9425" s="1">
        <v>43300101</v>
      </c>
      <c r="D9425" t="s">
        <v>67</v>
      </c>
      <c r="H9425" t="str">
        <f>"10309021003"</f>
        <v>10309021003</v>
      </c>
      <c r="I9425" t="str">
        <f>"10309021003"</f>
        <v>10309021003</v>
      </c>
      <c r="K9425" t="str">
        <f>""</f>
        <v/>
      </c>
      <c r="M9425" t="s">
        <v>68</v>
      </c>
      <c r="N9425" t="str">
        <f>"FOR"</f>
        <v>FOR</v>
      </c>
      <c r="O9425" t="s">
        <v>69</v>
      </c>
      <c r="P9425" s="3" t="s">
        <v>75</v>
      </c>
      <c r="Q9425">
        <v>2016</v>
      </c>
      <c r="R9425" s="2">
        <v>42486</v>
      </c>
      <c r="S9425" s="2">
        <v>42492</v>
      </c>
      <c r="T9425" s="2">
        <v>42488</v>
      </c>
      <c r="U9425" s="2">
        <v>42548</v>
      </c>
      <c r="V9425" t="s">
        <v>71</v>
      </c>
      <c r="W9425" t="str">
        <f>"                 695"</f>
        <v xml:space="preserve">                 695</v>
      </c>
      <c r="X9425">
        <v>366</v>
      </c>
      <c r="Y9425">
        <v>0</v>
      </c>
      <c r="Z9425"/>
      <c r="AB9425"/>
      <c r="AC9425">
        <v>300</v>
      </c>
      <c r="AD9425">
        <v>29</v>
      </c>
      <c r="AE9425" s="1">
        <v>8700</v>
      </c>
      <c r="AF9425">
        <v>0</v>
      </c>
      <c r="AJ9425">
        <v>0</v>
      </c>
      <c r="AK9425">
        <v>0</v>
      </c>
      <c r="AL9425">
        <v>0</v>
      </c>
      <c r="AM9425">
        <v>366</v>
      </c>
      <c r="AN9425">
        <v>366</v>
      </c>
      <c r="AO9425">
        <v>366</v>
      </c>
      <c r="AP9425" s="2">
        <v>42746</v>
      </c>
      <c r="AQ9425" t="s">
        <v>72</v>
      </c>
      <c r="AR9425" t="s">
        <v>72</v>
      </c>
      <c r="AS9425">
        <v>1956</v>
      </c>
      <c r="AT9425" s="4">
        <v>42577</v>
      </c>
      <c r="AU9425" t="s">
        <v>73</v>
      </c>
      <c r="AV9425">
        <v>1956</v>
      </c>
      <c r="AW9425" s="4">
        <v>42577</v>
      </c>
      <c r="BD9425">
        <v>0</v>
      </c>
      <c r="BN9425" t="s">
        <v>74</v>
      </c>
    </row>
    <row r="9426" spans="1:66" hidden="1">
      <c r="A9426">
        <v>106727</v>
      </c>
      <c r="B9426" s="3" t="s">
        <v>902</v>
      </c>
      <c r="C9426" s="1">
        <v>43201231</v>
      </c>
      <c r="D9426" t="s">
        <v>461</v>
      </c>
      <c r="H9426" t="str">
        <f>"01987250782"</f>
        <v>01987250782</v>
      </c>
      <c r="I9426" t="str">
        <f>"01987250782"</f>
        <v>01987250782</v>
      </c>
      <c r="K9426" t="str">
        <f>""</f>
        <v/>
      </c>
      <c r="M9426" t="s">
        <v>68</v>
      </c>
      <c r="N9426" t="str">
        <f>"AZI"</f>
        <v>AZI</v>
      </c>
      <c r="O9426" t="s">
        <v>462</v>
      </c>
      <c r="P9426" s="3" t="s">
        <v>903</v>
      </c>
      <c r="Q9426">
        <v>2016</v>
      </c>
      <c r="R9426" s="2">
        <v>42489</v>
      </c>
      <c r="S9426" s="2">
        <v>42489</v>
      </c>
      <c r="T9426" s="2">
        <v>42489</v>
      </c>
      <c r="U9426" s="2">
        <v>42549</v>
      </c>
      <c r="V9426" t="s">
        <v>71</v>
      </c>
      <c r="W9426" t="str">
        <f>"                 103"</f>
        <v xml:space="preserve">                 103</v>
      </c>
      <c r="X9426">
        <v>0</v>
      </c>
      <c r="Y9426">
        <v>378.13</v>
      </c>
      <c r="Z9426"/>
      <c r="AB9426"/>
      <c r="AC9426">
        <v>378.13</v>
      </c>
      <c r="AD9426">
        <v>-57</v>
      </c>
      <c r="AE9426" s="1">
        <v>-21553.41</v>
      </c>
      <c r="AF9426">
        <v>0</v>
      </c>
      <c r="AJ9426">
        <v>0</v>
      </c>
      <c r="AK9426">
        <v>0</v>
      </c>
      <c r="AL9426">
        <v>0</v>
      </c>
      <c r="AM9426">
        <v>378.13</v>
      </c>
      <c r="AN9426">
        <v>378.13</v>
      </c>
      <c r="AO9426">
        <v>378.13</v>
      </c>
      <c r="AP9426" s="2">
        <v>42746</v>
      </c>
      <c r="AQ9426" t="s">
        <v>72</v>
      </c>
      <c r="AR9426" t="s">
        <v>72</v>
      </c>
      <c r="AS9426">
        <v>1214</v>
      </c>
      <c r="AT9426" s="4">
        <v>42492</v>
      </c>
      <c r="AV9426">
        <v>1214</v>
      </c>
      <c r="AW9426" s="4">
        <v>42492</v>
      </c>
      <c r="BD9426">
        <v>0</v>
      </c>
      <c r="BN9426" t="s">
        <v>74</v>
      </c>
    </row>
    <row r="9427" spans="1:66">
      <c r="A9427">
        <v>106728</v>
      </c>
      <c r="B9427" s="3" t="s">
        <v>904</v>
      </c>
      <c r="C9427" s="1">
        <v>43300101</v>
      </c>
      <c r="D9427" t="s">
        <v>67</v>
      </c>
      <c r="H9427" t="str">
        <f>""</f>
        <v/>
      </c>
      <c r="I9427" t="str">
        <f>"11159150157"</f>
        <v>11159150157</v>
      </c>
      <c r="K9427" t="str">
        <f>""</f>
        <v/>
      </c>
      <c r="M9427" t="s">
        <v>68</v>
      </c>
      <c r="N9427" t="str">
        <f>"FOR"</f>
        <v>FOR</v>
      </c>
      <c r="O9427" t="s">
        <v>69</v>
      </c>
      <c r="P9427" s="3" t="s">
        <v>75</v>
      </c>
      <c r="Q9427">
        <v>2016</v>
      </c>
      <c r="R9427" s="2">
        <v>42520</v>
      </c>
      <c r="S9427" s="2">
        <v>42543</v>
      </c>
      <c r="T9427" s="2">
        <v>42543</v>
      </c>
      <c r="U9427" s="2">
        <v>42603</v>
      </c>
      <c r="V9427" t="s">
        <v>71</v>
      </c>
      <c r="W9427" t="str">
        <f>"              001484"</f>
        <v xml:space="preserve">              001484</v>
      </c>
      <c r="X9427" s="1">
        <v>13307.76</v>
      </c>
      <c r="Y9427">
        <v>0</v>
      </c>
      <c r="Z9427" s="5">
        <v>10908</v>
      </c>
      <c r="AA9427">
        <v>116</v>
      </c>
      <c r="AB9427" s="5">
        <v>1265328</v>
      </c>
      <c r="AC9427" s="1">
        <v>10908</v>
      </c>
      <c r="AD9427">
        <v>116</v>
      </c>
      <c r="AE9427" s="1">
        <v>1265328</v>
      </c>
      <c r="AF9427" s="1">
        <v>2399.7600000000002</v>
      </c>
      <c r="AJ9427">
        <v>0</v>
      </c>
      <c r="AK9427">
        <v>0</v>
      </c>
      <c r="AL9427">
        <v>0</v>
      </c>
      <c r="AM9427" s="1">
        <v>13307.76</v>
      </c>
      <c r="AN9427" s="1">
        <v>13307.76</v>
      </c>
      <c r="AO9427" s="1">
        <v>13307.76</v>
      </c>
      <c r="AP9427" s="2">
        <v>42746</v>
      </c>
      <c r="AQ9427" t="s">
        <v>72</v>
      </c>
      <c r="AR9427" t="s">
        <v>72</v>
      </c>
      <c r="AS9427">
        <v>3510</v>
      </c>
      <c r="AT9427" s="4">
        <v>42719</v>
      </c>
      <c r="AU9427" t="s">
        <v>73</v>
      </c>
      <c r="AV9427">
        <v>3510</v>
      </c>
      <c r="AW9427" s="4">
        <v>42719</v>
      </c>
      <c r="BB9427" s="1">
        <v>2399.7600000000002</v>
      </c>
      <c r="BD9427">
        <v>0</v>
      </c>
      <c r="BN9427" t="s">
        <v>74</v>
      </c>
    </row>
    <row r="9428" spans="1:66">
      <c r="A9428">
        <v>106728</v>
      </c>
      <c r="B9428" s="3" t="s">
        <v>904</v>
      </c>
      <c r="C9428" s="1">
        <v>43300101</v>
      </c>
      <c r="D9428" t="s">
        <v>67</v>
      </c>
      <c r="H9428" t="str">
        <f>""</f>
        <v/>
      </c>
      <c r="I9428" t="str">
        <f>"11159150157"</f>
        <v>11159150157</v>
      </c>
      <c r="K9428" t="str">
        <f>""</f>
        <v/>
      </c>
      <c r="M9428" t="s">
        <v>68</v>
      </c>
      <c r="N9428" t="str">
        <f>"FOR"</f>
        <v>FOR</v>
      </c>
      <c r="O9428" t="s">
        <v>69</v>
      </c>
      <c r="P9428" s="3" t="s">
        <v>75</v>
      </c>
      <c r="Q9428">
        <v>2016</v>
      </c>
      <c r="R9428" s="2">
        <v>42604</v>
      </c>
      <c r="S9428" s="2">
        <v>42612</v>
      </c>
      <c r="T9428" s="2">
        <v>42611</v>
      </c>
      <c r="U9428" s="2">
        <v>42671</v>
      </c>
      <c r="V9428" t="s">
        <v>71</v>
      </c>
      <c r="W9428" t="str">
        <f>"              002209"</f>
        <v xml:space="preserve">              002209</v>
      </c>
      <c r="X9428">
        <v>821.06</v>
      </c>
      <c r="Y9428">
        <v>0</v>
      </c>
      <c r="Z9428" s="3">
        <v>673</v>
      </c>
      <c r="AA9428">
        <v>48</v>
      </c>
      <c r="AB9428" s="5">
        <v>32304</v>
      </c>
      <c r="AC9428">
        <v>673</v>
      </c>
      <c r="AD9428">
        <v>48</v>
      </c>
      <c r="AE9428" s="1">
        <v>32304</v>
      </c>
      <c r="AF9428">
        <v>148.06</v>
      </c>
      <c r="AJ9428">
        <v>0</v>
      </c>
      <c r="AK9428">
        <v>0</v>
      </c>
      <c r="AL9428">
        <v>0</v>
      </c>
      <c r="AM9428">
        <v>821.06</v>
      </c>
      <c r="AN9428">
        <v>821.06</v>
      </c>
      <c r="AO9428">
        <v>821.06</v>
      </c>
      <c r="AP9428" s="2">
        <v>42746</v>
      </c>
      <c r="AQ9428" t="s">
        <v>72</v>
      </c>
      <c r="AR9428" t="s">
        <v>72</v>
      </c>
      <c r="AS9428">
        <v>3510</v>
      </c>
      <c r="AT9428" s="4">
        <v>42719</v>
      </c>
      <c r="AU9428" t="s">
        <v>73</v>
      </c>
      <c r="AV9428">
        <v>3510</v>
      </c>
      <c r="AW9428" s="4">
        <v>42719</v>
      </c>
      <c r="AZ9428">
        <v>148.06</v>
      </c>
      <c r="BD9428">
        <v>0</v>
      </c>
      <c r="BN9428" t="s">
        <v>74</v>
      </c>
    </row>
    <row r="9429" spans="1:66">
      <c r="A9429">
        <v>106728</v>
      </c>
      <c r="B9429" s="3" t="s">
        <v>904</v>
      </c>
      <c r="C9429" s="1">
        <v>43300101</v>
      </c>
      <c r="D9429" t="s">
        <v>67</v>
      </c>
      <c r="H9429" t="str">
        <f>""</f>
        <v/>
      </c>
      <c r="I9429" t="str">
        <f>"11159150157"</f>
        <v>11159150157</v>
      </c>
      <c r="K9429" t="str">
        <f>""</f>
        <v/>
      </c>
      <c r="M9429" t="s">
        <v>68</v>
      </c>
      <c r="N9429" t="str">
        <f>"FOR"</f>
        <v>FOR</v>
      </c>
      <c r="O9429" t="s">
        <v>69</v>
      </c>
      <c r="P9429" s="3" t="s">
        <v>75</v>
      </c>
      <c r="Q9429">
        <v>2016</v>
      </c>
      <c r="R9429" s="2">
        <v>42639</v>
      </c>
      <c r="S9429" s="2">
        <v>42647</v>
      </c>
      <c r="T9429" s="2">
        <v>42646</v>
      </c>
      <c r="U9429" s="2">
        <v>42706</v>
      </c>
      <c r="V9429" t="s">
        <v>71</v>
      </c>
      <c r="W9429" t="str">
        <f>"              002594"</f>
        <v xml:space="preserve">              002594</v>
      </c>
      <c r="X9429">
        <v>893.04</v>
      </c>
      <c r="Y9429">
        <v>0</v>
      </c>
      <c r="Z9429" s="3">
        <v>732</v>
      </c>
      <c r="AA9429">
        <v>13</v>
      </c>
      <c r="AB9429" s="5">
        <v>9516</v>
      </c>
      <c r="AC9429">
        <v>732</v>
      </c>
      <c r="AD9429">
        <v>13</v>
      </c>
      <c r="AE9429" s="1">
        <v>9516</v>
      </c>
      <c r="AF9429">
        <v>161.04</v>
      </c>
      <c r="AJ9429">
        <v>0</v>
      </c>
      <c r="AK9429">
        <v>893.04</v>
      </c>
      <c r="AL9429">
        <v>0</v>
      </c>
      <c r="AM9429">
        <v>893.04</v>
      </c>
      <c r="AN9429">
        <v>893.04</v>
      </c>
      <c r="AO9429">
        <v>893.04</v>
      </c>
      <c r="AP9429" s="2">
        <v>42746</v>
      </c>
      <c r="AQ9429" t="s">
        <v>72</v>
      </c>
      <c r="AR9429" t="s">
        <v>72</v>
      </c>
      <c r="AS9429">
        <v>3510</v>
      </c>
      <c r="AT9429" s="4">
        <v>42719</v>
      </c>
      <c r="AU9429" t="s">
        <v>73</v>
      </c>
      <c r="AV9429">
        <v>3510</v>
      </c>
      <c r="AW9429" s="4">
        <v>42719</v>
      </c>
      <c r="AX9429">
        <v>161.04</v>
      </c>
      <c r="BD9429">
        <v>0</v>
      </c>
      <c r="BN9429" t="s">
        <v>74</v>
      </c>
    </row>
    <row r="9430" spans="1:66" hidden="1">
      <c r="A9430">
        <v>106729</v>
      </c>
      <c r="B9430" s="3" t="s">
        <v>905</v>
      </c>
      <c r="C9430" s="1">
        <v>43500101</v>
      </c>
      <c r="D9430" t="s">
        <v>113</v>
      </c>
      <c r="H9430" t="str">
        <f t="shared" ref="H9430:H9437" si="1000">"MZZFBA88S18A783G"</f>
        <v>MZZFBA88S18A783G</v>
      </c>
      <c r="I9430" t="str">
        <f t="shared" ref="I9430:I9437" si="1001">"01638650620"</f>
        <v>01638650620</v>
      </c>
      <c r="K9430" t="str">
        <f>""</f>
        <v/>
      </c>
      <c r="M9430" t="s">
        <v>68</v>
      </c>
      <c r="N9430" t="str">
        <f t="shared" ref="N9430:N9437" si="1002">"ALTPRO"</f>
        <v>ALTPRO</v>
      </c>
      <c r="O9430" t="s">
        <v>132</v>
      </c>
      <c r="P9430" s="3" t="s">
        <v>146</v>
      </c>
      <c r="Q9430">
        <v>2016</v>
      </c>
      <c r="R9430" s="2">
        <v>42494</v>
      </c>
      <c r="S9430" s="2">
        <v>42500</v>
      </c>
      <c r="T9430" s="2">
        <v>42500</v>
      </c>
      <c r="U9430" s="2">
        <v>42560</v>
      </c>
      <c r="V9430" t="s">
        <v>71</v>
      </c>
      <c r="W9430" t="str">
        <f>"         FATTPA 1_16"</f>
        <v xml:space="preserve">         FATTPA 1_16</v>
      </c>
      <c r="X9430">
        <v>833.25</v>
      </c>
      <c r="Y9430">
        <v>0</v>
      </c>
      <c r="Z9430"/>
      <c r="AB9430"/>
      <c r="AC9430">
        <v>833.25</v>
      </c>
      <c r="AD9430">
        <v>-40</v>
      </c>
      <c r="AE9430" s="1">
        <v>-33330</v>
      </c>
      <c r="AF9430">
        <v>0</v>
      </c>
      <c r="AJ9430">
        <v>0</v>
      </c>
      <c r="AK9430">
        <v>0</v>
      </c>
      <c r="AL9430">
        <v>0</v>
      </c>
      <c r="AM9430">
        <v>833.25</v>
      </c>
      <c r="AN9430">
        <v>833.25</v>
      </c>
      <c r="AO9430">
        <v>833.25</v>
      </c>
      <c r="AP9430" s="2">
        <v>42746</v>
      </c>
      <c r="AQ9430" t="s">
        <v>72</v>
      </c>
      <c r="AR9430" t="s">
        <v>72</v>
      </c>
      <c r="AS9430">
        <v>1400</v>
      </c>
      <c r="AT9430" s="4">
        <v>42520</v>
      </c>
      <c r="AV9430">
        <v>1400</v>
      </c>
      <c r="AW9430" s="4">
        <v>42520</v>
      </c>
      <c r="BD9430">
        <v>0</v>
      </c>
      <c r="BN9430" t="s">
        <v>74</v>
      </c>
    </row>
    <row r="9431" spans="1:66" hidden="1">
      <c r="A9431">
        <v>106729</v>
      </c>
      <c r="B9431" s="3" t="s">
        <v>905</v>
      </c>
      <c r="C9431" s="1">
        <v>43500101</v>
      </c>
      <c r="D9431" t="s">
        <v>113</v>
      </c>
      <c r="H9431" t="str">
        <f t="shared" si="1000"/>
        <v>MZZFBA88S18A783G</v>
      </c>
      <c r="I9431" t="str">
        <f t="shared" si="1001"/>
        <v>01638650620</v>
      </c>
      <c r="K9431" t="str">
        <f>""</f>
        <v/>
      </c>
      <c r="M9431" t="s">
        <v>68</v>
      </c>
      <c r="N9431" t="str">
        <f t="shared" si="1002"/>
        <v>ALTPRO</v>
      </c>
      <c r="O9431" t="s">
        <v>132</v>
      </c>
      <c r="P9431" s="3" t="s">
        <v>146</v>
      </c>
      <c r="Q9431">
        <v>2016</v>
      </c>
      <c r="R9431" s="2">
        <v>42521</v>
      </c>
      <c r="S9431" s="2">
        <v>42527</v>
      </c>
      <c r="T9431" s="2">
        <v>42521</v>
      </c>
      <c r="U9431" s="2">
        <v>42581</v>
      </c>
      <c r="V9431" t="s">
        <v>71</v>
      </c>
      <c r="W9431" t="str">
        <f>"         FATTPA 2_16"</f>
        <v xml:space="preserve">         FATTPA 2_16</v>
      </c>
      <c r="X9431">
        <v>835.25</v>
      </c>
      <c r="Y9431">
        <v>0</v>
      </c>
      <c r="Z9431"/>
      <c r="AB9431"/>
      <c r="AC9431">
        <v>835.25</v>
      </c>
      <c r="AD9431">
        <v>-29</v>
      </c>
      <c r="AE9431" s="1">
        <v>-24222.25</v>
      </c>
      <c r="AF9431">
        <v>0</v>
      </c>
      <c r="AJ9431">
        <v>0</v>
      </c>
      <c r="AK9431">
        <v>0</v>
      </c>
      <c r="AL9431">
        <v>0</v>
      </c>
      <c r="AM9431">
        <v>835.25</v>
      </c>
      <c r="AN9431">
        <v>835.25</v>
      </c>
      <c r="AO9431">
        <v>835.25</v>
      </c>
      <c r="AP9431" s="2">
        <v>42746</v>
      </c>
      <c r="AQ9431" t="s">
        <v>72</v>
      </c>
      <c r="AR9431" t="s">
        <v>72</v>
      </c>
      <c r="AS9431">
        <v>1656</v>
      </c>
      <c r="AT9431" s="4">
        <v>42552</v>
      </c>
      <c r="AV9431">
        <v>1656</v>
      </c>
      <c r="AW9431" s="4">
        <v>42552</v>
      </c>
      <c r="BD9431">
        <v>0</v>
      </c>
      <c r="BN9431" t="s">
        <v>74</v>
      </c>
    </row>
    <row r="9432" spans="1:66" hidden="1">
      <c r="A9432">
        <v>106729</v>
      </c>
      <c r="B9432" s="3" t="s">
        <v>905</v>
      </c>
      <c r="C9432" s="1">
        <v>43500101</v>
      </c>
      <c r="D9432" t="s">
        <v>113</v>
      </c>
      <c r="H9432" t="str">
        <f t="shared" si="1000"/>
        <v>MZZFBA88S18A783G</v>
      </c>
      <c r="I9432" t="str">
        <f t="shared" si="1001"/>
        <v>01638650620</v>
      </c>
      <c r="K9432" t="str">
        <f>""</f>
        <v/>
      </c>
      <c r="M9432" t="s">
        <v>68</v>
      </c>
      <c r="N9432" t="str">
        <f t="shared" si="1002"/>
        <v>ALTPRO</v>
      </c>
      <c r="O9432" t="s">
        <v>132</v>
      </c>
      <c r="P9432" s="3" t="s">
        <v>146</v>
      </c>
      <c r="Q9432">
        <v>2016</v>
      </c>
      <c r="R9432" s="2">
        <v>42551</v>
      </c>
      <c r="S9432" s="2">
        <v>42552</v>
      </c>
      <c r="T9432" s="2">
        <v>42551</v>
      </c>
      <c r="U9432" s="2">
        <v>42611</v>
      </c>
      <c r="V9432" t="s">
        <v>71</v>
      </c>
      <c r="W9432" t="str">
        <f>"         FATTPA 3_16"</f>
        <v xml:space="preserve">         FATTPA 3_16</v>
      </c>
      <c r="X9432">
        <v>835.25</v>
      </c>
      <c r="Y9432">
        <v>0</v>
      </c>
      <c r="Z9432"/>
      <c r="AB9432"/>
      <c r="AC9432">
        <v>835.25</v>
      </c>
      <c r="AD9432">
        <v>-45</v>
      </c>
      <c r="AE9432" s="1">
        <v>-37586.25</v>
      </c>
      <c r="AF9432">
        <v>0</v>
      </c>
      <c r="AJ9432">
        <v>0</v>
      </c>
      <c r="AK9432">
        <v>0</v>
      </c>
      <c r="AL9432">
        <v>0</v>
      </c>
      <c r="AM9432">
        <v>835.25</v>
      </c>
      <c r="AN9432">
        <v>835.25</v>
      </c>
      <c r="AO9432">
        <v>835.25</v>
      </c>
      <c r="AP9432" s="2">
        <v>42746</v>
      </c>
      <c r="AQ9432" t="s">
        <v>72</v>
      </c>
      <c r="AR9432" t="s">
        <v>72</v>
      </c>
      <c r="AS9432">
        <v>1801</v>
      </c>
      <c r="AT9432" s="4">
        <v>42566</v>
      </c>
      <c r="AV9432">
        <v>1801</v>
      </c>
      <c r="AW9432" s="4">
        <v>42566</v>
      </c>
      <c r="BD9432">
        <v>0</v>
      </c>
      <c r="BN9432" t="s">
        <v>74</v>
      </c>
    </row>
    <row r="9433" spans="1:66" hidden="1">
      <c r="A9433">
        <v>106729</v>
      </c>
      <c r="B9433" s="3" t="s">
        <v>905</v>
      </c>
      <c r="C9433" s="1">
        <v>43500101</v>
      </c>
      <c r="D9433" t="s">
        <v>113</v>
      </c>
      <c r="H9433" t="str">
        <f t="shared" si="1000"/>
        <v>MZZFBA88S18A783G</v>
      </c>
      <c r="I9433" t="str">
        <f t="shared" si="1001"/>
        <v>01638650620</v>
      </c>
      <c r="K9433" t="str">
        <f>""</f>
        <v/>
      </c>
      <c r="M9433" t="s">
        <v>68</v>
      </c>
      <c r="N9433" t="str">
        <f t="shared" si="1002"/>
        <v>ALTPRO</v>
      </c>
      <c r="O9433" t="s">
        <v>132</v>
      </c>
      <c r="P9433" s="3" t="s">
        <v>146</v>
      </c>
      <c r="Q9433">
        <v>2016</v>
      </c>
      <c r="R9433" s="2">
        <v>42583</v>
      </c>
      <c r="S9433" s="2">
        <v>42583</v>
      </c>
      <c r="T9433" s="2">
        <v>42583</v>
      </c>
      <c r="U9433" s="2">
        <v>42643</v>
      </c>
      <c r="V9433" t="s">
        <v>71</v>
      </c>
      <c r="W9433" t="str">
        <f>"         FATTPA 4_16"</f>
        <v xml:space="preserve">         FATTPA 4_16</v>
      </c>
      <c r="X9433">
        <v>835.25</v>
      </c>
      <c r="Y9433">
        <v>0</v>
      </c>
      <c r="Z9433"/>
      <c r="AB9433"/>
      <c r="AC9433">
        <v>835.25</v>
      </c>
      <c r="AD9433">
        <v>-25</v>
      </c>
      <c r="AE9433" s="1">
        <v>-20881.25</v>
      </c>
      <c r="AF9433">
        <v>0</v>
      </c>
      <c r="AJ9433">
        <v>0</v>
      </c>
      <c r="AK9433">
        <v>0</v>
      </c>
      <c r="AL9433">
        <v>0</v>
      </c>
      <c r="AM9433">
        <v>835.25</v>
      </c>
      <c r="AN9433">
        <v>835.25</v>
      </c>
      <c r="AO9433">
        <v>835.25</v>
      </c>
      <c r="AP9433" s="2">
        <v>42746</v>
      </c>
      <c r="AQ9433" t="s">
        <v>72</v>
      </c>
      <c r="AR9433" t="s">
        <v>72</v>
      </c>
      <c r="AS9433">
        <v>2249</v>
      </c>
      <c r="AT9433" s="4">
        <v>42618</v>
      </c>
      <c r="AV9433">
        <v>2249</v>
      </c>
      <c r="AW9433" s="4">
        <v>42618</v>
      </c>
      <c r="BD9433">
        <v>0</v>
      </c>
      <c r="BN9433" t="s">
        <v>74</v>
      </c>
    </row>
    <row r="9434" spans="1:66">
      <c r="A9434">
        <v>106729</v>
      </c>
      <c r="B9434" s="3" t="s">
        <v>905</v>
      </c>
      <c r="C9434" s="1">
        <v>43500101</v>
      </c>
      <c r="D9434" t="s">
        <v>113</v>
      </c>
      <c r="H9434" t="str">
        <f t="shared" si="1000"/>
        <v>MZZFBA88S18A783G</v>
      </c>
      <c r="I9434" t="str">
        <f t="shared" si="1001"/>
        <v>01638650620</v>
      </c>
      <c r="K9434" t="str">
        <f>""</f>
        <v/>
      </c>
      <c r="M9434" t="s">
        <v>68</v>
      </c>
      <c r="N9434" t="str">
        <f t="shared" si="1002"/>
        <v>ALTPRO</v>
      </c>
      <c r="O9434" t="s">
        <v>132</v>
      </c>
      <c r="P9434" s="3" t="s">
        <v>146</v>
      </c>
      <c r="Q9434">
        <v>2016</v>
      </c>
      <c r="R9434" s="2">
        <v>42613</v>
      </c>
      <c r="S9434" s="2">
        <v>42619</v>
      </c>
      <c r="T9434" s="2">
        <v>42619</v>
      </c>
      <c r="U9434" s="2">
        <v>42679</v>
      </c>
      <c r="V9434" t="s">
        <v>71</v>
      </c>
      <c r="W9434" t="str">
        <f>"         FATTPA 5_16"</f>
        <v xml:space="preserve">         FATTPA 5_16</v>
      </c>
      <c r="X9434">
        <v>833.25</v>
      </c>
      <c r="Y9434">
        <v>0</v>
      </c>
      <c r="Z9434" s="3">
        <v>833.25</v>
      </c>
      <c r="AA9434">
        <v>-33</v>
      </c>
      <c r="AB9434" s="5">
        <v>-27497.25</v>
      </c>
      <c r="AC9434">
        <v>833.25</v>
      </c>
      <c r="AD9434">
        <v>-33</v>
      </c>
      <c r="AE9434" s="1">
        <v>-27497.25</v>
      </c>
      <c r="AF9434">
        <v>0</v>
      </c>
      <c r="AJ9434">
        <v>0</v>
      </c>
      <c r="AK9434">
        <v>0</v>
      </c>
      <c r="AL9434">
        <v>0</v>
      </c>
      <c r="AM9434">
        <v>833.25</v>
      </c>
      <c r="AN9434">
        <v>833.25</v>
      </c>
      <c r="AO9434">
        <v>833.25</v>
      </c>
      <c r="AP9434" s="2">
        <v>42746</v>
      </c>
      <c r="AQ9434" t="s">
        <v>72</v>
      </c>
      <c r="AR9434" t="s">
        <v>72</v>
      </c>
      <c r="AS9434">
        <v>2545</v>
      </c>
      <c r="AT9434" s="4">
        <v>42646</v>
      </c>
      <c r="AV9434">
        <v>2545</v>
      </c>
      <c r="AW9434" s="4">
        <v>42646</v>
      </c>
      <c r="BD9434">
        <v>0</v>
      </c>
      <c r="BN9434" t="s">
        <v>74</v>
      </c>
    </row>
    <row r="9435" spans="1:66">
      <c r="A9435">
        <v>106729</v>
      </c>
      <c r="B9435" s="3" t="s">
        <v>905</v>
      </c>
      <c r="C9435" s="1">
        <v>43500101</v>
      </c>
      <c r="D9435" t="s">
        <v>113</v>
      </c>
      <c r="H9435" t="str">
        <f t="shared" si="1000"/>
        <v>MZZFBA88S18A783G</v>
      </c>
      <c r="I9435" t="str">
        <f t="shared" si="1001"/>
        <v>01638650620</v>
      </c>
      <c r="K9435" t="str">
        <f>""</f>
        <v/>
      </c>
      <c r="M9435" t="s">
        <v>68</v>
      </c>
      <c r="N9435" t="str">
        <f t="shared" si="1002"/>
        <v>ALTPRO</v>
      </c>
      <c r="O9435" t="s">
        <v>132</v>
      </c>
      <c r="P9435" s="3" t="s">
        <v>146</v>
      </c>
      <c r="Q9435">
        <v>2016</v>
      </c>
      <c r="R9435" s="2">
        <v>42645</v>
      </c>
      <c r="S9435" s="2">
        <v>42646</v>
      </c>
      <c r="T9435" s="2">
        <v>42645</v>
      </c>
      <c r="U9435" s="2">
        <v>42705</v>
      </c>
      <c r="V9435" t="s">
        <v>71</v>
      </c>
      <c r="W9435" t="str">
        <f>"         FATTPA 6_16"</f>
        <v xml:space="preserve">         FATTPA 6_16</v>
      </c>
      <c r="X9435">
        <v>833.25</v>
      </c>
      <c r="Y9435">
        <v>0</v>
      </c>
      <c r="Z9435" s="3">
        <v>833.25</v>
      </c>
      <c r="AA9435">
        <v>-36</v>
      </c>
      <c r="AB9435" s="5">
        <v>-29997</v>
      </c>
      <c r="AC9435">
        <v>833.25</v>
      </c>
      <c r="AD9435">
        <v>-36</v>
      </c>
      <c r="AE9435" s="1">
        <v>-29997</v>
      </c>
      <c r="AF9435">
        <v>0</v>
      </c>
      <c r="AJ9435">
        <v>0</v>
      </c>
      <c r="AK9435">
        <v>833.25</v>
      </c>
      <c r="AL9435">
        <v>833.25</v>
      </c>
      <c r="AM9435">
        <v>833.25</v>
      </c>
      <c r="AN9435">
        <v>833.25</v>
      </c>
      <c r="AO9435">
        <v>833.25</v>
      </c>
      <c r="AP9435" s="2">
        <v>42746</v>
      </c>
      <c r="AQ9435" t="s">
        <v>72</v>
      </c>
      <c r="AR9435" t="s">
        <v>72</v>
      </c>
      <c r="AS9435">
        <v>2885</v>
      </c>
      <c r="AT9435" s="4">
        <v>42669</v>
      </c>
      <c r="AV9435">
        <v>2885</v>
      </c>
      <c r="AW9435" s="4">
        <v>42669</v>
      </c>
      <c r="BD9435">
        <v>0</v>
      </c>
      <c r="BN9435" t="s">
        <v>74</v>
      </c>
    </row>
    <row r="9436" spans="1:66">
      <c r="A9436">
        <v>106729</v>
      </c>
      <c r="B9436" s="3" t="s">
        <v>905</v>
      </c>
      <c r="C9436" s="1">
        <v>43500101</v>
      </c>
      <c r="D9436" t="s">
        <v>113</v>
      </c>
      <c r="H9436" t="str">
        <f t="shared" si="1000"/>
        <v>MZZFBA88S18A783G</v>
      </c>
      <c r="I9436" t="str">
        <f t="shared" si="1001"/>
        <v>01638650620</v>
      </c>
      <c r="K9436" t="str">
        <f>""</f>
        <v/>
      </c>
      <c r="M9436" t="s">
        <v>68</v>
      </c>
      <c r="N9436" t="str">
        <f t="shared" si="1002"/>
        <v>ALTPRO</v>
      </c>
      <c r="O9436" t="s">
        <v>132</v>
      </c>
      <c r="P9436" s="3" t="s">
        <v>146</v>
      </c>
      <c r="Q9436">
        <v>2016</v>
      </c>
      <c r="R9436" s="2">
        <v>42677</v>
      </c>
      <c r="S9436" s="2">
        <v>42677</v>
      </c>
      <c r="T9436" s="2">
        <v>42677</v>
      </c>
      <c r="U9436" s="2">
        <v>42737</v>
      </c>
      <c r="V9436" t="s">
        <v>71</v>
      </c>
      <c r="W9436" t="str">
        <f>"         FATTPA 7_16"</f>
        <v xml:space="preserve">         FATTPA 7_16</v>
      </c>
      <c r="X9436">
        <v>833.25</v>
      </c>
      <c r="Y9436">
        <v>0</v>
      </c>
      <c r="Z9436" s="3">
        <v>833.25</v>
      </c>
      <c r="AA9436">
        <v>-54</v>
      </c>
      <c r="AB9436" s="5">
        <v>-44995.5</v>
      </c>
      <c r="AC9436">
        <v>833.25</v>
      </c>
      <c r="AD9436">
        <v>-54</v>
      </c>
      <c r="AE9436" s="1">
        <v>-44995.5</v>
      </c>
      <c r="AF9436">
        <v>0</v>
      </c>
      <c r="AJ9436">
        <v>833.25</v>
      </c>
      <c r="AK9436">
        <v>833.25</v>
      </c>
      <c r="AL9436">
        <v>833.25</v>
      </c>
      <c r="AM9436">
        <v>833.25</v>
      </c>
      <c r="AN9436">
        <v>833.25</v>
      </c>
      <c r="AO9436">
        <v>833.25</v>
      </c>
      <c r="AP9436" s="2">
        <v>42746</v>
      </c>
      <c r="AQ9436" t="s">
        <v>72</v>
      </c>
      <c r="AR9436" t="s">
        <v>72</v>
      </c>
      <c r="AS9436">
        <v>3036</v>
      </c>
      <c r="AT9436" s="4">
        <v>42683</v>
      </c>
      <c r="AV9436">
        <v>3036</v>
      </c>
      <c r="AW9436" s="4">
        <v>42683</v>
      </c>
      <c r="BD9436">
        <v>0</v>
      </c>
      <c r="BN9436" t="s">
        <v>74</v>
      </c>
    </row>
    <row r="9437" spans="1:66">
      <c r="A9437">
        <v>106729</v>
      </c>
      <c r="B9437" s="3" t="s">
        <v>905</v>
      </c>
      <c r="C9437" s="1">
        <v>43500101</v>
      </c>
      <c r="D9437" t="s">
        <v>113</v>
      </c>
      <c r="H9437" t="str">
        <f t="shared" si="1000"/>
        <v>MZZFBA88S18A783G</v>
      </c>
      <c r="I9437" t="str">
        <f t="shared" si="1001"/>
        <v>01638650620</v>
      </c>
      <c r="K9437" t="str">
        <f>""</f>
        <v/>
      </c>
      <c r="M9437" t="s">
        <v>68</v>
      </c>
      <c r="N9437" t="str">
        <f t="shared" si="1002"/>
        <v>ALTPRO</v>
      </c>
      <c r="O9437" t="s">
        <v>132</v>
      </c>
      <c r="P9437" s="3" t="s">
        <v>146</v>
      </c>
      <c r="Q9437">
        <v>2016</v>
      </c>
      <c r="R9437" s="2">
        <v>42709</v>
      </c>
      <c r="S9437" s="2">
        <v>42710</v>
      </c>
      <c r="T9437" s="2">
        <v>42710</v>
      </c>
      <c r="U9437" s="2">
        <v>42770</v>
      </c>
      <c r="V9437" t="s">
        <v>71</v>
      </c>
      <c r="W9437" t="str">
        <f>"         FATTPA 8_16"</f>
        <v xml:space="preserve">         FATTPA 8_16</v>
      </c>
      <c r="X9437">
        <v>833.25</v>
      </c>
      <c r="Y9437">
        <v>0</v>
      </c>
      <c r="Z9437" s="3">
        <v>833.25</v>
      </c>
      <c r="AA9437">
        <v>-59</v>
      </c>
      <c r="AB9437" s="5">
        <v>-49161.75</v>
      </c>
      <c r="AC9437">
        <v>833.25</v>
      </c>
      <c r="AD9437">
        <v>-59</v>
      </c>
      <c r="AE9437" s="1">
        <v>-49161.75</v>
      </c>
      <c r="AF9437">
        <v>0</v>
      </c>
      <c r="AJ9437">
        <v>833.25</v>
      </c>
      <c r="AK9437">
        <v>833.25</v>
      </c>
      <c r="AL9437">
        <v>833.25</v>
      </c>
      <c r="AM9437">
        <v>833.25</v>
      </c>
      <c r="AN9437">
        <v>833.25</v>
      </c>
      <c r="AO9437">
        <v>833.25</v>
      </c>
      <c r="AP9437" s="2">
        <v>42746</v>
      </c>
      <c r="AQ9437" t="s">
        <v>72</v>
      </c>
      <c r="AR9437" t="s">
        <v>72</v>
      </c>
      <c r="AS9437">
        <v>3360</v>
      </c>
      <c r="AT9437" s="4">
        <v>42711</v>
      </c>
      <c r="AV9437">
        <v>3360</v>
      </c>
      <c r="AW9437" s="4">
        <v>42711</v>
      </c>
      <c r="BD9437">
        <v>0</v>
      </c>
      <c r="BN9437" t="s">
        <v>74</v>
      </c>
    </row>
    <row r="9438" spans="1:66">
      <c r="A9438">
        <v>106730</v>
      </c>
      <c r="B9438" s="3" t="s">
        <v>906</v>
      </c>
      <c r="C9438" s="1">
        <v>43300101</v>
      </c>
      <c r="D9438" t="s">
        <v>67</v>
      </c>
      <c r="H9438" t="str">
        <f>"02305100139"</f>
        <v>02305100139</v>
      </c>
      <c r="I9438" t="str">
        <f>"02305100139"</f>
        <v>02305100139</v>
      </c>
      <c r="K9438" t="str">
        <f>""</f>
        <v/>
      </c>
      <c r="M9438" t="s">
        <v>68</v>
      </c>
      <c r="N9438" t="str">
        <f>"FOR"</f>
        <v>FOR</v>
      </c>
      <c r="O9438" t="s">
        <v>69</v>
      </c>
      <c r="P9438" s="3" t="s">
        <v>75</v>
      </c>
      <c r="Q9438">
        <v>2016</v>
      </c>
      <c r="R9438" s="2">
        <v>42506</v>
      </c>
      <c r="S9438" s="2">
        <v>42507</v>
      </c>
      <c r="T9438" s="2">
        <v>42507</v>
      </c>
      <c r="U9438" s="2">
        <v>42567</v>
      </c>
      <c r="V9438" t="s">
        <v>71</v>
      </c>
      <c r="W9438" t="str">
        <f>"                PA15"</f>
        <v xml:space="preserve">                PA15</v>
      </c>
      <c r="X9438">
        <v>173.24</v>
      </c>
      <c r="Y9438">
        <v>0</v>
      </c>
      <c r="Z9438" s="3">
        <v>142</v>
      </c>
      <c r="AA9438">
        <v>114</v>
      </c>
      <c r="AB9438" s="5">
        <v>16188</v>
      </c>
      <c r="AC9438">
        <v>142</v>
      </c>
      <c r="AD9438">
        <v>114</v>
      </c>
      <c r="AE9438" s="1">
        <v>16188</v>
      </c>
      <c r="AF9438">
        <v>31.24</v>
      </c>
      <c r="AJ9438">
        <v>0</v>
      </c>
      <c r="AK9438">
        <v>0</v>
      </c>
      <c r="AL9438">
        <v>0</v>
      </c>
      <c r="AM9438">
        <v>173.24</v>
      </c>
      <c r="AN9438">
        <v>173.24</v>
      </c>
      <c r="AO9438">
        <v>173.24</v>
      </c>
      <c r="AP9438" s="2">
        <v>42746</v>
      </c>
      <c r="AQ9438" t="s">
        <v>72</v>
      </c>
      <c r="AR9438" t="s">
        <v>72</v>
      </c>
      <c r="AS9438">
        <v>2947</v>
      </c>
      <c r="AT9438" s="4">
        <v>42681</v>
      </c>
      <c r="AU9438" t="s">
        <v>73</v>
      </c>
      <c r="AV9438">
        <v>2947</v>
      </c>
      <c r="AW9438" s="4">
        <v>42681</v>
      </c>
      <c r="BC9438">
        <v>31.24</v>
      </c>
      <c r="BD9438">
        <v>0</v>
      </c>
      <c r="BN9438" t="s">
        <v>74</v>
      </c>
    </row>
    <row r="9439" spans="1:66">
      <c r="A9439">
        <v>106731</v>
      </c>
      <c r="B9439" s="3" t="s">
        <v>907</v>
      </c>
      <c r="C9439" s="1">
        <v>43300101</v>
      </c>
      <c r="D9439" t="s">
        <v>67</v>
      </c>
      <c r="H9439" t="str">
        <f>"12592970151"</f>
        <v>12592970151</v>
      </c>
      <c r="I9439" t="str">
        <f>"12592970151"</f>
        <v>12592970151</v>
      </c>
      <c r="K9439" t="str">
        <f>""</f>
        <v/>
      </c>
      <c r="M9439" t="s">
        <v>68</v>
      </c>
      <c r="N9439" t="str">
        <f>"FOR"</f>
        <v>FOR</v>
      </c>
      <c r="O9439" t="s">
        <v>69</v>
      </c>
      <c r="P9439" s="3" t="s">
        <v>75</v>
      </c>
      <c r="Q9439">
        <v>2016</v>
      </c>
      <c r="R9439" s="2">
        <v>42544</v>
      </c>
      <c r="S9439" s="2">
        <v>42551</v>
      </c>
      <c r="T9439" s="2">
        <v>42551</v>
      </c>
      <c r="U9439" s="2">
        <v>42611</v>
      </c>
      <c r="V9439" t="s">
        <v>71</v>
      </c>
      <c r="W9439" t="str">
        <f>"            167/ETPA"</f>
        <v xml:space="preserve">            167/ETPA</v>
      </c>
      <c r="X9439" s="1">
        <v>6905.2</v>
      </c>
      <c r="Y9439">
        <v>0</v>
      </c>
      <c r="Z9439" s="5">
        <v>5660</v>
      </c>
      <c r="AA9439">
        <v>107</v>
      </c>
      <c r="AB9439" s="5">
        <v>605620</v>
      </c>
      <c r="AC9439" s="1">
        <v>5660</v>
      </c>
      <c r="AD9439">
        <v>107</v>
      </c>
      <c r="AE9439" s="1">
        <v>605620</v>
      </c>
      <c r="AF9439" s="1">
        <v>1245.2</v>
      </c>
      <c r="AJ9439">
        <v>0</v>
      </c>
      <c r="AK9439">
        <v>0</v>
      </c>
      <c r="AL9439">
        <v>0</v>
      </c>
      <c r="AM9439" s="1">
        <v>6905.2</v>
      </c>
      <c r="AN9439" s="1">
        <v>6905.2</v>
      </c>
      <c r="AO9439" s="1">
        <v>6905.2</v>
      </c>
      <c r="AP9439" s="2">
        <v>42746</v>
      </c>
      <c r="AQ9439" t="s">
        <v>72</v>
      </c>
      <c r="AR9439" t="s">
        <v>72</v>
      </c>
      <c r="AS9439">
        <v>3487</v>
      </c>
      <c r="AT9439" s="4">
        <v>42718</v>
      </c>
      <c r="AU9439" t="s">
        <v>73</v>
      </c>
      <c r="AV9439">
        <v>3487</v>
      </c>
      <c r="AW9439" s="4">
        <v>42718</v>
      </c>
      <c r="BB9439" s="1">
        <v>1245.2</v>
      </c>
      <c r="BD9439">
        <v>0</v>
      </c>
      <c r="BN9439" t="s">
        <v>74</v>
      </c>
    </row>
    <row r="9440" spans="1:66">
      <c r="A9440">
        <v>106732</v>
      </c>
      <c r="B9440" s="3" t="s">
        <v>908</v>
      </c>
      <c r="C9440" s="1">
        <v>43300101</v>
      </c>
      <c r="D9440" t="s">
        <v>67</v>
      </c>
      <c r="H9440" t="str">
        <f>""</f>
        <v/>
      </c>
      <c r="I9440" t="str">
        <f>"01232670552"</f>
        <v>01232670552</v>
      </c>
      <c r="K9440" t="str">
        <f>""</f>
        <v/>
      </c>
      <c r="M9440" t="s">
        <v>68</v>
      </c>
      <c r="N9440" t="str">
        <f>"FOR"</f>
        <v>FOR</v>
      </c>
      <c r="O9440" t="s">
        <v>69</v>
      </c>
      <c r="P9440" s="3" t="s">
        <v>75</v>
      </c>
      <c r="Q9440">
        <v>2016</v>
      </c>
      <c r="R9440" s="2">
        <v>42550</v>
      </c>
      <c r="S9440" s="2">
        <v>42557</v>
      </c>
      <c r="T9440" s="2">
        <v>42556</v>
      </c>
      <c r="U9440" s="2">
        <v>42616</v>
      </c>
      <c r="V9440" t="s">
        <v>71</v>
      </c>
      <c r="W9440" t="str">
        <f>"                 113"</f>
        <v xml:space="preserve">                 113</v>
      </c>
      <c r="X9440" s="1">
        <v>2086.1999999999998</v>
      </c>
      <c r="Y9440">
        <v>0</v>
      </c>
      <c r="Z9440" s="5">
        <v>1710</v>
      </c>
      <c r="AA9440">
        <v>102</v>
      </c>
      <c r="AB9440" s="5">
        <v>174420</v>
      </c>
      <c r="AC9440" s="1">
        <v>1710</v>
      </c>
      <c r="AD9440">
        <v>102</v>
      </c>
      <c r="AE9440" s="1">
        <v>174420</v>
      </c>
      <c r="AF9440">
        <v>376.2</v>
      </c>
      <c r="AJ9440">
        <v>0</v>
      </c>
      <c r="AK9440">
        <v>0</v>
      </c>
      <c r="AL9440">
        <v>0</v>
      </c>
      <c r="AM9440" s="1">
        <v>2086.1999999999998</v>
      </c>
      <c r="AN9440" s="1">
        <v>2086.1999999999998</v>
      </c>
      <c r="AO9440" s="1">
        <v>2086.1999999999998</v>
      </c>
      <c r="AP9440" s="2">
        <v>42746</v>
      </c>
      <c r="AQ9440" t="s">
        <v>72</v>
      </c>
      <c r="AR9440" t="s">
        <v>72</v>
      </c>
      <c r="AS9440">
        <v>3496</v>
      </c>
      <c r="AT9440" s="4">
        <v>42718</v>
      </c>
      <c r="AU9440" t="s">
        <v>73</v>
      </c>
      <c r="AV9440">
        <v>3496</v>
      </c>
      <c r="AW9440" s="4">
        <v>42718</v>
      </c>
      <c r="BA9440">
        <v>376.2</v>
      </c>
      <c r="BD9440">
        <v>0</v>
      </c>
      <c r="BN9440" t="s">
        <v>74</v>
      </c>
    </row>
    <row r="9441" spans="1:66">
      <c r="A9441">
        <v>106732</v>
      </c>
      <c r="B9441" s="3" t="s">
        <v>908</v>
      </c>
      <c r="C9441" s="1">
        <v>43300101</v>
      </c>
      <c r="D9441" t="s">
        <v>67</v>
      </c>
      <c r="H9441" t="str">
        <f>""</f>
        <v/>
      </c>
      <c r="I9441" t="str">
        <f>"01232670552"</f>
        <v>01232670552</v>
      </c>
      <c r="K9441" t="str">
        <f>""</f>
        <v/>
      </c>
      <c r="M9441" t="s">
        <v>68</v>
      </c>
      <c r="N9441" t="str">
        <f>"FOR"</f>
        <v>FOR</v>
      </c>
      <c r="O9441" t="s">
        <v>69</v>
      </c>
      <c r="P9441" s="3" t="s">
        <v>75</v>
      </c>
      <c r="Q9441">
        <v>2016</v>
      </c>
      <c r="R9441" s="2">
        <v>42550</v>
      </c>
      <c r="S9441" s="2">
        <v>42557</v>
      </c>
      <c r="T9441" s="2">
        <v>42556</v>
      </c>
      <c r="U9441" s="2">
        <v>42616</v>
      </c>
      <c r="V9441" t="s">
        <v>71</v>
      </c>
      <c r="W9441" t="str">
        <f>"                 114"</f>
        <v xml:space="preserve">                 114</v>
      </c>
      <c r="X9441" s="1">
        <v>1738.5</v>
      </c>
      <c r="Y9441">
        <v>0</v>
      </c>
      <c r="Z9441" s="5">
        <v>1425</v>
      </c>
      <c r="AA9441">
        <v>102</v>
      </c>
      <c r="AB9441" s="5">
        <v>145350</v>
      </c>
      <c r="AC9441" s="1">
        <v>1425</v>
      </c>
      <c r="AD9441">
        <v>102</v>
      </c>
      <c r="AE9441" s="1">
        <v>145350</v>
      </c>
      <c r="AF9441">
        <v>313.5</v>
      </c>
      <c r="AJ9441">
        <v>0</v>
      </c>
      <c r="AK9441">
        <v>0</v>
      </c>
      <c r="AL9441">
        <v>0</v>
      </c>
      <c r="AM9441" s="1">
        <v>1738.5</v>
      </c>
      <c r="AN9441" s="1">
        <v>1738.5</v>
      </c>
      <c r="AO9441" s="1">
        <v>1738.5</v>
      </c>
      <c r="AP9441" s="2">
        <v>42746</v>
      </c>
      <c r="AQ9441" t="s">
        <v>72</v>
      </c>
      <c r="AR9441" t="s">
        <v>72</v>
      </c>
      <c r="AS9441">
        <v>3496</v>
      </c>
      <c r="AT9441" s="4">
        <v>42718</v>
      </c>
      <c r="AU9441" t="s">
        <v>73</v>
      </c>
      <c r="AV9441">
        <v>3496</v>
      </c>
      <c r="AW9441" s="4">
        <v>42718</v>
      </c>
      <c r="BA9441">
        <v>313.5</v>
      </c>
      <c r="BD9441">
        <v>0</v>
      </c>
      <c r="BN9441" t="s">
        <v>74</v>
      </c>
    </row>
    <row r="9442" spans="1:66">
      <c r="A9442">
        <v>106733</v>
      </c>
      <c r="B9442" s="3" t="s">
        <v>909</v>
      </c>
      <c r="C9442" s="1">
        <v>43500101</v>
      </c>
      <c r="D9442" t="s">
        <v>113</v>
      </c>
      <c r="H9442" t="str">
        <f>"PLASFN65E71F636D"</f>
        <v>PLASFN65E71F636D</v>
      </c>
      <c r="I9442" t="str">
        <f>"01137730626"</f>
        <v>01137730626</v>
      </c>
      <c r="K9442" t="str">
        <f>""</f>
        <v/>
      </c>
      <c r="M9442" t="s">
        <v>68</v>
      </c>
      <c r="N9442" t="str">
        <f>"ALTPRO"</f>
        <v>ALTPRO</v>
      </c>
      <c r="O9442" t="s">
        <v>132</v>
      </c>
      <c r="P9442" s="3" t="s">
        <v>75</v>
      </c>
      <c r="Q9442">
        <v>2016</v>
      </c>
      <c r="R9442" s="2">
        <v>42569</v>
      </c>
      <c r="S9442" s="2">
        <v>42577</v>
      </c>
      <c r="T9442" s="2">
        <v>42569</v>
      </c>
      <c r="U9442" s="2">
        <v>42629</v>
      </c>
      <c r="V9442" t="s">
        <v>71</v>
      </c>
      <c r="W9442" t="str">
        <f>"   000001-2016-PAOLO"</f>
        <v xml:space="preserve">   000001-2016-PAOLO</v>
      </c>
      <c r="X9442" s="1">
        <v>3852.08</v>
      </c>
      <c r="Y9442">
        <v>-607.20000000000005</v>
      </c>
      <c r="Z9442" s="5">
        <v>3244.88</v>
      </c>
      <c r="AA9442">
        <v>27</v>
      </c>
      <c r="AB9442" s="5">
        <v>87611.76</v>
      </c>
      <c r="AC9442" s="1">
        <v>3244.88</v>
      </c>
      <c r="AD9442">
        <v>27</v>
      </c>
      <c r="AE9442" s="1">
        <v>87611.76</v>
      </c>
      <c r="AF9442">
        <v>0</v>
      </c>
      <c r="AJ9442">
        <v>0</v>
      </c>
      <c r="AK9442">
        <v>0</v>
      </c>
      <c r="AL9442">
        <v>0</v>
      </c>
      <c r="AM9442" s="1">
        <v>3244.88</v>
      </c>
      <c r="AN9442" s="1">
        <v>3244.88</v>
      </c>
      <c r="AO9442" s="1">
        <v>3244.88</v>
      </c>
      <c r="AP9442" s="2">
        <v>42746</v>
      </c>
      <c r="AQ9442" t="s">
        <v>72</v>
      </c>
      <c r="AR9442" t="s">
        <v>72</v>
      </c>
      <c r="AS9442">
        <v>2745</v>
      </c>
      <c r="AT9442" s="4">
        <v>42656</v>
      </c>
      <c r="AU9442" t="s">
        <v>73</v>
      </c>
      <c r="AV9442">
        <v>2745</v>
      </c>
      <c r="AW9442" s="4">
        <v>42656</v>
      </c>
      <c r="BD9442">
        <v>0</v>
      </c>
      <c r="BN9442" t="s">
        <v>74</v>
      </c>
    </row>
    <row r="9443" spans="1:66" hidden="1">
      <c r="A9443">
        <v>106736</v>
      </c>
      <c r="B9443" s="3" t="s">
        <v>910</v>
      </c>
      <c r="C9443" s="1">
        <v>43500101</v>
      </c>
      <c r="D9443" t="s">
        <v>113</v>
      </c>
      <c r="H9443" t="str">
        <f>"LPCRSL66H41F839Y"</f>
        <v>LPCRSL66H41F839Y</v>
      </c>
      <c r="I9443" t="str">
        <f>""</f>
        <v/>
      </c>
      <c r="K9443" t="str">
        <f>""</f>
        <v/>
      </c>
      <c r="M9443" t="s">
        <v>68</v>
      </c>
      <c r="N9443" t="str">
        <f>"ALT"</f>
        <v>ALT</v>
      </c>
      <c r="O9443" t="s">
        <v>114</v>
      </c>
      <c r="P9443" s="3" t="s">
        <v>911</v>
      </c>
      <c r="Q9443">
        <v>2016</v>
      </c>
      <c r="R9443" s="2">
        <v>42513</v>
      </c>
      <c r="S9443" s="2">
        <v>42513</v>
      </c>
      <c r="T9443" s="2">
        <v>42513</v>
      </c>
      <c r="U9443" s="2">
        <v>42573</v>
      </c>
      <c r="V9443" t="s">
        <v>71</v>
      </c>
      <c r="W9443" t="str">
        <f>"                 120"</f>
        <v xml:space="preserve">                 120</v>
      </c>
      <c r="X9443">
        <v>0</v>
      </c>
      <c r="Y9443">
        <v>200</v>
      </c>
      <c r="Z9443"/>
      <c r="AB9443"/>
      <c r="AC9443">
        <v>200</v>
      </c>
      <c r="AD9443">
        <v>-53</v>
      </c>
      <c r="AE9443" s="1">
        <v>-10600</v>
      </c>
      <c r="AF9443">
        <v>0</v>
      </c>
      <c r="AJ9443">
        <v>0</v>
      </c>
      <c r="AK9443">
        <v>0</v>
      </c>
      <c r="AL9443">
        <v>0</v>
      </c>
      <c r="AM9443">
        <v>200</v>
      </c>
      <c r="AN9443">
        <v>200</v>
      </c>
      <c r="AO9443">
        <v>200</v>
      </c>
      <c r="AP9443" s="2">
        <v>42746</v>
      </c>
      <c r="AQ9443" t="s">
        <v>72</v>
      </c>
      <c r="AR9443" t="s">
        <v>72</v>
      </c>
      <c r="AS9443">
        <v>1393</v>
      </c>
      <c r="AT9443" s="4">
        <v>42520</v>
      </c>
      <c r="AV9443">
        <v>1393</v>
      </c>
      <c r="AW9443" s="4">
        <v>42520</v>
      </c>
      <c r="BD9443">
        <v>0</v>
      </c>
      <c r="BN9443" t="s">
        <v>74</v>
      </c>
    </row>
    <row r="9444" spans="1:66">
      <c r="A9444">
        <v>106739</v>
      </c>
      <c r="B9444" s="3" t="s">
        <v>912</v>
      </c>
      <c r="C9444" s="1">
        <v>43300101</v>
      </c>
      <c r="D9444" t="s">
        <v>67</v>
      </c>
      <c r="H9444" t="str">
        <f>"07822320151"</f>
        <v>07822320151</v>
      </c>
      <c r="I9444" t="str">
        <f>"12296780153"</f>
        <v>12296780153</v>
      </c>
      <c r="K9444" t="str">
        <f>""</f>
        <v/>
      </c>
      <c r="M9444" t="s">
        <v>68</v>
      </c>
      <c r="N9444" t="str">
        <f>"FOR"</f>
        <v>FOR</v>
      </c>
      <c r="O9444" t="s">
        <v>69</v>
      </c>
      <c r="P9444" s="3" t="s">
        <v>75</v>
      </c>
      <c r="Q9444">
        <v>2016</v>
      </c>
      <c r="R9444" s="2">
        <v>42535</v>
      </c>
      <c r="S9444" s="2">
        <v>42580</v>
      </c>
      <c r="T9444" s="2">
        <v>42579</v>
      </c>
      <c r="U9444" s="2">
        <v>42639</v>
      </c>
      <c r="V9444" t="s">
        <v>71</v>
      </c>
      <c r="W9444" t="str">
        <f>"                  8B"</f>
        <v xml:space="preserve">                  8B</v>
      </c>
      <c r="X9444" s="1">
        <v>1288.32</v>
      </c>
      <c r="Y9444">
        <v>0</v>
      </c>
      <c r="Z9444" s="5">
        <v>1056</v>
      </c>
      <c r="AA9444">
        <v>58</v>
      </c>
      <c r="AB9444" s="5">
        <v>61248</v>
      </c>
      <c r="AC9444" s="1">
        <v>1056</v>
      </c>
      <c r="AD9444">
        <v>58</v>
      </c>
      <c r="AE9444" s="1">
        <v>61248</v>
      </c>
      <c r="AF9444">
        <v>0</v>
      </c>
      <c r="AJ9444">
        <v>0</v>
      </c>
      <c r="AK9444">
        <v>0</v>
      </c>
      <c r="AL9444">
        <v>0</v>
      </c>
      <c r="AM9444" s="1">
        <v>1288.32</v>
      </c>
      <c r="AN9444" s="1">
        <v>1288.32</v>
      </c>
      <c r="AO9444" s="1">
        <v>1288.32</v>
      </c>
      <c r="AP9444" s="2">
        <v>42746</v>
      </c>
      <c r="AQ9444" t="s">
        <v>72</v>
      </c>
      <c r="AR9444" t="s">
        <v>72</v>
      </c>
      <c r="AS9444">
        <v>3291</v>
      </c>
      <c r="AT9444" s="4">
        <v>42697</v>
      </c>
      <c r="AU9444" t="s">
        <v>73</v>
      </c>
      <c r="AV9444">
        <v>3291</v>
      </c>
      <c r="AW9444" s="4">
        <v>42697</v>
      </c>
      <c r="BD9444">
        <v>0</v>
      </c>
      <c r="BN9444" t="s">
        <v>74</v>
      </c>
    </row>
    <row r="9445" spans="1:66">
      <c r="A9445">
        <v>106740</v>
      </c>
      <c r="B9445" s="3" t="s">
        <v>913</v>
      </c>
      <c r="C9445" s="1">
        <v>43201231</v>
      </c>
      <c r="D9445" t="s">
        <v>461</v>
      </c>
      <c r="H9445" t="str">
        <f>"01186830764"</f>
        <v>01186830764</v>
      </c>
      <c r="I9445" t="str">
        <f>"01186830764"</f>
        <v>01186830764</v>
      </c>
      <c r="K9445" t="str">
        <f>""</f>
        <v/>
      </c>
      <c r="M9445" t="s">
        <v>68</v>
      </c>
      <c r="N9445" t="str">
        <f>"AZI"</f>
        <v>AZI</v>
      </c>
      <c r="O9445" t="s">
        <v>462</v>
      </c>
      <c r="P9445" s="3" t="s">
        <v>914</v>
      </c>
      <c r="Q9445">
        <v>2016</v>
      </c>
      <c r="R9445" s="2">
        <v>42705</v>
      </c>
      <c r="S9445" s="2">
        <v>42705</v>
      </c>
      <c r="T9445" s="2">
        <v>42705</v>
      </c>
      <c r="U9445" s="2">
        <v>42765</v>
      </c>
      <c r="V9445" t="s">
        <v>71</v>
      </c>
      <c r="W9445" t="str">
        <f>"                 281"</f>
        <v xml:space="preserve">                 281</v>
      </c>
      <c r="X9445">
        <v>0</v>
      </c>
      <c r="Y9445">
        <v>258.23</v>
      </c>
      <c r="Z9445" s="3">
        <v>258.23</v>
      </c>
      <c r="AA9445">
        <v>-56</v>
      </c>
      <c r="AB9445" s="5">
        <v>-14460.88</v>
      </c>
      <c r="AC9445">
        <v>258.23</v>
      </c>
      <c r="AD9445">
        <v>-56</v>
      </c>
      <c r="AE9445" s="1">
        <v>-14460.88</v>
      </c>
      <c r="AF9445">
        <v>0</v>
      </c>
      <c r="AJ9445">
        <v>258.23</v>
      </c>
      <c r="AK9445">
        <v>258.23</v>
      </c>
      <c r="AL9445">
        <v>258.23</v>
      </c>
      <c r="AM9445">
        <v>258.23</v>
      </c>
      <c r="AN9445">
        <v>258.23</v>
      </c>
      <c r="AO9445">
        <v>258.23</v>
      </c>
      <c r="AP9445" s="2">
        <v>42746</v>
      </c>
      <c r="AQ9445" t="s">
        <v>72</v>
      </c>
      <c r="AR9445" t="s">
        <v>72</v>
      </c>
      <c r="AS9445">
        <v>3321</v>
      </c>
      <c r="AT9445" s="4">
        <v>42709</v>
      </c>
      <c r="AV9445">
        <v>3321</v>
      </c>
      <c r="AW9445" s="4">
        <v>42709</v>
      </c>
      <c r="BD9445">
        <v>0</v>
      </c>
      <c r="BN9445" t="s">
        <v>74</v>
      </c>
    </row>
    <row r="9446" spans="1:66">
      <c r="A9446">
        <v>106741</v>
      </c>
      <c r="B9446" s="3" t="s">
        <v>915</v>
      </c>
      <c r="C9446" s="1">
        <v>43300101</v>
      </c>
      <c r="D9446" t="s">
        <v>67</v>
      </c>
      <c r="H9446" t="str">
        <f>"07717721216"</f>
        <v>07717721216</v>
      </c>
      <c r="I9446" t="str">
        <f>"07717721216"</f>
        <v>07717721216</v>
      </c>
      <c r="K9446" t="str">
        <f>""</f>
        <v/>
      </c>
      <c r="M9446" t="s">
        <v>68</v>
      </c>
      <c r="N9446" t="str">
        <f>"FOR"</f>
        <v>FOR</v>
      </c>
      <c r="O9446" t="s">
        <v>69</v>
      </c>
      <c r="P9446" s="3" t="s">
        <v>75</v>
      </c>
      <c r="Q9446">
        <v>2016</v>
      </c>
      <c r="R9446" s="2">
        <v>42544</v>
      </c>
      <c r="S9446" s="2">
        <v>42565</v>
      </c>
      <c r="T9446" s="2">
        <v>42551</v>
      </c>
      <c r="U9446" s="2">
        <v>42611</v>
      </c>
      <c r="V9446" t="s">
        <v>71</v>
      </c>
      <c r="W9446" t="str">
        <f>"                2/12"</f>
        <v xml:space="preserve">                2/12</v>
      </c>
      <c r="X9446" s="1">
        <v>4977.6000000000004</v>
      </c>
      <c r="Y9446">
        <v>0</v>
      </c>
      <c r="Z9446" s="5">
        <v>4080</v>
      </c>
      <c r="AA9446">
        <v>37</v>
      </c>
      <c r="AB9446" s="5">
        <v>150960</v>
      </c>
      <c r="AC9446" s="1">
        <v>4080</v>
      </c>
      <c r="AD9446">
        <v>37</v>
      </c>
      <c r="AE9446" s="1">
        <v>150960</v>
      </c>
      <c r="AF9446">
        <v>0</v>
      </c>
      <c r="AJ9446">
        <v>0</v>
      </c>
      <c r="AK9446">
        <v>0</v>
      </c>
      <c r="AL9446">
        <v>0</v>
      </c>
      <c r="AM9446" s="1">
        <v>4977.6000000000004</v>
      </c>
      <c r="AN9446" s="1">
        <v>4977.6000000000004</v>
      </c>
      <c r="AO9446" s="1">
        <v>4977.6000000000004</v>
      </c>
      <c r="AP9446" s="2">
        <v>42746</v>
      </c>
      <c r="AQ9446" t="s">
        <v>72</v>
      </c>
      <c r="AR9446" t="s">
        <v>72</v>
      </c>
      <c r="AS9446">
        <v>2658</v>
      </c>
      <c r="AT9446" s="4">
        <v>42648</v>
      </c>
      <c r="AU9446" t="s">
        <v>73</v>
      </c>
      <c r="AV9446">
        <v>2658</v>
      </c>
      <c r="AW9446" s="4">
        <v>42648</v>
      </c>
      <c r="BD9446">
        <v>0</v>
      </c>
      <c r="BN9446" t="s">
        <v>74</v>
      </c>
    </row>
    <row r="9447" spans="1:66">
      <c r="A9447">
        <v>106741</v>
      </c>
      <c r="B9447" s="3" t="s">
        <v>915</v>
      </c>
      <c r="C9447" s="1">
        <v>43300101</v>
      </c>
      <c r="D9447" t="s">
        <v>67</v>
      </c>
      <c r="H9447" t="str">
        <f>"07717721216"</f>
        <v>07717721216</v>
      </c>
      <c r="I9447" t="str">
        <f>"07717721216"</f>
        <v>07717721216</v>
      </c>
      <c r="K9447" t="str">
        <f>""</f>
        <v/>
      </c>
      <c r="M9447" t="s">
        <v>68</v>
      </c>
      <c r="N9447" t="str">
        <f>"FOR"</f>
        <v>FOR</v>
      </c>
      <c r="O9447" t="s">
        <v>69</v>
      </c>
      <c r="P9447" s="3" t="s">
        <v>75</v>
      </c>
      <c r="Q9447">
        <v>2016</v>
      </c>
      <c r="R9447" s="2">
        <v>42627</v>
      </c>
      <c r="S9447" s="2">
        <v>42640</v>
      </c>
      <c r="T9447" s="2">
        <v>42627</v>
      </c>
      <c r="U9447" s="2">
        <v>42687</v>
      </c>
      <c r="V9447" t="s">
        <v>71</v>
      </c>
      <c r="W9447" t="str">
        <f>"                2/29"</f>
        <v xml:space="preserve">                2/29</v>
      </c>
      <c r="X9447" s="1">
        <v>1244.4000000000001</v>
      </c>
      <c r="Y9447">
        <v>0</v>
      </c>
      <c r="Z9447" s="5">
        <v>1020</v>
      </c>
      <c r="AA9447">
        <v>-4</v>
      </c>
      <c r="AB9447" s="5">
        <v>-4080</v>
      </c>
      <c r="AC9447" s="1">
        <v>1020</v>
      </c>
      <c r="AD9447">
        <v>-4</v>
      </c>
      <c r="AE9447" s="1">
        <v>-4080</v>
      </c>
      <c r="AF9447">
        <v>0</v>
      </c>
      <c r="AJ9447">
        <v>0</v>
      </c>
      <c r="AK9447">
        <v>0</v>
      </c>
      <c r="AL9447">
        <v>0</v>
      </c>
      <c r="AM9447" s="1">
        <v>1244.4000000000001</v>
      </c>
      <c r="AN9447" s="1">
        <v>1244.4000000000001</v>
      </c>
      <c r="AO9447" s="1">
        <v>1244.4000000000001</v>
      </c>
      <c r="AP9447" s="2">
        <v>42746</v>
      </c>
      <c r="AQ9447" t="s">
        <v>72</v>
      </c>
      <c r="AR9447" t="s">
        <v>72</v>
      </c>
      <c r="AS9447">
        <v>3007</v>
      </c>
      <c r="AT9447" s="4">
        <v>42683</v>
      </c>
      <c r="AV9447">
        <v>3007</v>
      </c>
      <c r="AW9447" s="4">
        <v>42683</v>
      </c>
      <c r="BD9447">
        <v>0</v>
      </c>
      <c r="BN9447" t="s">
        <v>74</v>
      </c>
    </row>
    <row r="9448" spans="1:66" hidden="1">
      <c r="A9448">
        <v>106742</v>
      </c>
      <c r="B9448" s="3" t="s">
        <v>916</v>
      </c>
      <c r="C9448" s="1">
        <v>43500101</v>
      </c>
      <c r="D9448" t="s">
        <v>113</v>
      </c>
      <c r="H9448" t="str">
        <f>"MSCVTR43E02A110R"</f>
        <v>MSCVTR43E02A110R</v>
      </c>
      <c r="I9448" t="str">
        <f>""</f>
        <v/>
      </c>
      <c r="K9448" t="str">
        <f>""</f>
        <v/>
      </c>
      <c r="M9448" t="s">
        <v>68</v>
      </c>
      <c r="N9448" t="str">
        <f>"ALT"</f>
        <v>ALT</v>
      </c>
      <c r="O9448" t="s">
        <v>114</v>
      </c>
      <c r="P9448" s="3" t="s">
        <v>216</v>
      </c>
      <c r="Q9448">
        <v>2016</v>
      </c>
      <c r="R9448" s="2">
        <v>42528</v>
      </c>
      <c r="S9448" s="2">
        <v>42528</v>
      </c>
      <c r="T9448" s="2">
        <v>42528</v>
      </c>
      <c r="U9448" s="2">
        <v>42588</v>
      </c>
      <c r="V9448" t="s">
        <v>71</v>
      </c>
      <c r="W9448" t="str">
        <f>"                 136"</f>
        <v xml:space="preserve">                 136</v>
      </c>
      <c r="X9448">
        <v>0</v>
      </c>
      <c r="Y9448" s="1">
        <v>24964.959999999999</v>
      </c>
      <c r="Z9448"/>
      <c r="AB9448"/>
      <c r="AC9448" s="1">
        <v>24964.959999999999</v>
      </c>
      <c r="AD9448">
        <v>-60</v>
      </c>
      <c r="AE9448" s="1">
        <v>-1497897.6</v>
      </c>
      <c r="AF9448">
        <v>0</v>
      </c>
      <c r="AJ9448">
        <v>0</v>
      </c>
      <c r="AK9448">
        <v>0</v>
      </c>
      <c r="AL9448">
        <v>0</v>
      </c>
      <c r="AM9448" s="1">
        <v>24964.959999999999</v>
      </c>
      <c r="AN9448" s="1">
        <v>24964.959999999999</v>
      </c>
      <c r="AO9448" s="1">
        <v>24964.959999999999</v>
      </c>
      <c r="AP9448" s="2">
        <v>42746</v>
      </c>
      <c r="AQ9448" t="s">
        <v>72</v>
      </c>
      <c r="AR9448" t="s">
        <v>72</v>
      </c>
      <c r="AS9448">
        <v>1572</v>
      </c>
      <c r="AT9448" s="4">
        <v>42528</v>
      </c>
      <c r="AV9448">
        <v>1572</v>
      </c>
      <c r="AW9448" s="4">
        <v>42528</v>
      </c>
      <c r="BD9448">
        <v>0</v>
      </c>
      <c r="BN9448" t="s">
        <v>74</v>
      </c>
    </row>
    <row r="9449" spans="1:66" hidden="1">
      <c r="A9449">
        <v>106743</v>
      </c>
      <c r="B9449" s="3" t="s">
        <v>917</v>
      </c>
      <c r="C9449" s="1">
        <v>43500101</v>
      </c>
      <c r="D9449" t="s">
        <v>113</v>
      </c>
      <c r="H9449" t="str">
        <f>"CCRNLT51S28A783A"</f>
        <v>CCRNLT51S28A783A</v>
      </c>
      <c r="I9449" t="str">
        <f>""</f>
        <v/>
      </c>
      <c r="K9449" t="str">
        <f>""</f>
        <v/>
      </c>
      <c r="M9449" t="s">
        <v>68</v>
      </c>
      <c r="N9449" t="str">
        <f>"ALT"</f>
        <v>ALT</v>
      </c>
      <c r="O9449" t="s">
        <v>114</v>
      </c>
      <c r="P9449" s="3" t="s">
        <v>216</v>
      </c>
      <c r="Q9449">
        <v>2016</v>
      </c>
      <c r="R9449" s="2">
        <v>42528</v>
      </c>
      <c r="S9449" s="2">
        <v>42528</v>
      </c>
      <c r="T9449" s="2">
        <v>42528</v>
      </c>
      <c r="U9449" s="2">
        <v>42588</v>
      </c>
      <c r="V9449" t="s">
        <v>71</v>
      </c>
      <c r="W9449" t="str">
        <f>"                 139"</f>
        <v xml:space="preserve">                 139</v>
      </c>
      <c r="X9449">
        <v>0</v>
      </c>
      <c r="Y9449" s="1">
        <v>20280.3</v>
      </c>
      <c r="Z9449"/>
      <c r="AB9449"/>
      <c r="AC9449" s="1">
        <v>20280.3</v>
      </c>
      <c r="AD9449">
        <v>-60</v>
      </c>
      <c r="AE9449" s="1">
        <v>-1216818</v>
      </c>
      <c r="AF9449">
        <v>0</v>
      </c>
      <c r="AJ9449">
        <v>0</v>
      </c>
      <c r="AK9449">
        <v>0</v>
      </c>
      <c r="AL9449">
        <v>0</v>
      </c>
      <c r="AM9449" s="1">
        <v>20280.3</v>
      </c>
      <c r="AN9449" s="1">
        <v>20280.3</v>
      </c>
      <c r="AO9449" s="1">
        <v>20280.3</v>
      </c>
      <c r="AP9449" s="2">
        <v>42746</v>
      </c>
      <c r="AQ9449" t="s">
        <v>72</v>
      </c>
      <c r="AR9449" t="s">
        <v>72</v>
      </c>
      <c r="AS9449">
        <v>1573</v>
      </c>
      <c r="AT9449" s="4">
        <v>42528</v>
      </c>
      <c r="AV9449">
        <v>1573</v>
      </c>
      <c r="AW9449" s="4">
        <v>42528</v>
      </c>
      <c r="BD9449">
        <v>0</v>
      </c>
      <c r="BN9449" t="s">
        <v>74</v>
      </c>
    </row>
    <row r="9450" spans="1:66" hidden="1">
      <c r="A9450">
        <v>106744</v>
      </c>
      <c r="B9450" s="3" t="s">
        <v>918</v>
      </c>
      <c r="C9450" s="1">
        <v>43300101</v>
      </c>
      <c r="D9450" t="s">
        <v>67</v>
      </c>
      <c r="H9450" t="str">
        <f>""</f>
        <v/>
      </c>
      <c r="I9450" t="str">
        <f>""</f>
        <v/>
      </c>
      <c r="J9450" t="s">
        <v>813</v>
      </c>
      <c r="K9450" t="str">
        <f>"GB764402928"</f>
        <v>GB764402928</v>
      </c>
      <c r="M9450" t="s">
        <v>68</v>
      </c>
      <c r="N9450" t="str">
        <f>"FOR"</f>
        <v>FOR</v>
      </c>
      <c r="O9450" t="s">
        <v>69</v>
      </c>
      <c r="P9450" s="3" t="s">
        <v>919</v>
      </c>
      <c r="Q9450">
        <v>2016</v>
      </c>
      <c r="R9450" s="2">
        <v>42528</v>
      </c>
      <c r="S9450" s="2">
        <v>42528</v>
      </c>
      <c r="T9450" s="2">
        <v>42528</v>
      </c>
      <c r="U9450" s="2">
        <v>42588</v>
      </c>
      <c r="V9450" t="s">
        <v>71</v>
      </c>
      <c r="W9450" t="str">
        <f>"                 134"</f>
        <v xml:space="preserve">                 134</v>
      </c>
      <c r="X9450">
        <v>0</v>
      </c>
      <c r="Y9450" s="1">
        <v>25018</v>
      </c>
      <c r="Z9450"/>
      <c r="AB9450"/>
      <c r="AC9450" s="1">
        <v>25018</v>
      </c>
      <c r="AD9450">
        <v>-60</v>
      </c>
      <c r="AE9450" s="1">
        <v>-1501080</v>
      </c>
      <c r="AF9450">
        <v>0</v>
      </c>
      <c r="AJ9450">
        <v>0</v>
      </c>
      <c r="AK9450">
        <v>0</v>
      </c>
      <c r="AL9450">
        <v>0</v>
      </c>
      <c r="AM9450" s="1">
        <v>25018</v>
      </c>
      <c r="AN9450" s="1">
        <v>25018</v>
      </c>
      <c r="AO9450" s="1">
        <v>25018</v>
      </c>
      <c r="AP9450" s="2">
        <v>42746</v>
      </c>
      <c r="AQ9450" t="s">
        <v>72</v>
      </c>
      <c r="AR9450" t="s">
        <v>72</v>
      </c>
      <c r="AS9450">
        <v>1574</v>
      </c>
      <c r="AT9450" s="4">
        <v>42528</v>
      </c>
      <c r="AV9450">
        <v>1574</v>
      </c>
      <c r="AW9450" s="4">
        <v>42528</v>
      </c>
      <c r="BD9450">
        <v>0</v>
      </c>
      <c r="BN9450" t="s">
        <v>74</v>
      </c>
    </row>
    <row r="9451" spans="1:66" hidden="1">
      <c r="A9451">
        <v>106744</v>
      </c>
      <c r="B9451" s="3" t="s">
        <v>918</v>
      </c>
      <c r="C9451" s="1">
        <v>43300101</v>
      </c>
      <c r="D9451" t="s">
        <v>67</v>
      </c>
      <c r="H9451" t="str">
        <f>""</f>
        <v/>
      </c>
      <c r="I9451" t="str">
        <f>""</f>
        <v/>
      </c>
      <c r="J9451" t="s">
        <v>813</v>
      </c>
      <c r="K9451" t="str">
        <f>"GB764402928"</f>
        <v>GB764402928</v>
      </c>
      <c r="M9451" t="s">
        <v>68</v>
      </c>
      <c r="N9451" t="str">
        <f>"FOR"</f>
        <v>FOR</v>
      </c>
      <c r="O9451" t="s">
        <v>69</v>
      </c>
      <c r="P9451" s="3" t="s">
        <v>920</v>
      </c>
      <c r="Q9451">
        <v>2016</v>
      </c>
      <c r="R9451" s="2">
        <v>42528</v>
      </c>
      <c r="S9451" s="2">
        <v>42528</v>
      </c>
      <c r="T9451" s="2">
        <v>42528</v>
      </c>
      <c r="U9451" s="2">
        <v>42588</v>
      </c>
      <c r="V9451" t="s">
        <v>71</v>
      </c>
      <c r="W9451" t="str">
        <f>"                 135"</f>
        <v xml:space="preserve">                 135</v>
      </c>
      <c r="X9451">
        <v>0</v>
      </c>
      <c r="Y9451">
        <v>47</v>
      </c>
      <c r="Z9451"/>
      <c r="AB9451"/>
      <c r="AC9451">
        <v>47</v>
      </c>
      <c r="AD9451">
        <v>-60</v>
      </c>
      <c r="AE9451" s="1">
        <v>-2820</v>
      </c>
      <c r="AF9451">
        <v>0</v>
      </c>
      <c r="AJ9451">
        <v>0</v>
      </c>
      <c r="AK9451">
        <v>0</v>
      </c>
      <c r="AL9451">
        <v>0</v>
      </c>
      <c r="AM9451">
        <v>47</v>
      </c>
      <c r="AN9451">
        <v>47</v>
      </c>
      <c r="AO9451">
        <v>47</v>
      </c>
      <c r="AP9451" s="2">
        <v>42746</v>
      </c>
      <c r="AQ9451" t="s">
        <v>72</v>
      </c>
      <c r="AR9451" t="s">
        <v>72</v>
      </c>
      <c r="AS9451">
        <v>1574</v>
      </c>
      <c r="AT9451" s="4">
        <v>42528</v>
      </c>
      <c r="AV9451">
        <v>1574</v>
      </c>
      <c r="AW9451" s="4">
        <v>42528</v>
      </c>
      <c r="BD9451">
        <v>0</v>
      </c>
      <c r="BN9451" t="s">
        <v>74</v>
      </c>
    </row>
    <row r="9452" spans="1:66" hidden="1">
      <c r="A9452">
        <v>106744</v>
      </c>
      <c r="B9452" s="3" t="s">
        <v>918</v>
      </c>
      <c r="C9452" s="1">
        <v>43300101</v>
      </c>
      <c r="D9452" t="s">
        <v>67</v>
      </c>
      <c r="H9452" t="str">
        <f>""</f>
        <v/>
      </c>
      <c r="I9452" t="str">
        <f>""</f>
        <v/>
      </c>
      <c r="J9452" t="s">
        <v>813</v>
      </c>
      <c r="K9452" t="str">
        <f>"GB764402928"</f>
        <v>GB764402928</v>
      </c>
      <c r="M9452" t="s">
        <v>68</v>
      </c>
      <c r="N9452" t="str">
        <f>"FOR"</f>
        <v>FOR</v>
      </c>
      <c r="O9452" t="s">
        <v>69</v>
      </c>
      <c r="P9452" s="3" t="s">
        <v>663</v>
      </c>
      <c r="Q9452">
        <v>2016</v>
      </c>
      <c r="R9452" s="2">
        <v>42542</v>
      </c>
      <c r="S9452" s="2">
        <v>42542</v>
      </c>
      <c r="T9452" s="2">
        <v>42542</v>
      </c>
      <c r="U9452" s="2">
        <v>42602</v>
      </c>
      <c r="V9452" t="s">
        <v>71</v>
      </c>
      <c r="W9452" t="str">
        <f>"                 146"</f>
        <v xml:space="preserve">                 146</v>
      </c>
      <c r="X9452">
        <v>0</v>
      </c>
      <c r="Y9452" s="1">
        <v>93364.31</v>
      </c>
      <c r="Z9452"/>
      <c r="AB9452"/>
      <c r="AC9452" s="1">
        <v>93364.31</v>
      </c>
      <c r="AD9452">
        <v>-37</v>
      </c>
      <c r="AE9452" s="1">
        <v>-3454479.47</v>
      </c>
      <c r="AF9452">
        <v>0</v>
      </c>
      <c r="AJ9452">
        <v>0</v>
      </c>
      <c r="AK9452">
        <v>0</v>
      </c>
      <c r="AL9452">
        <v>0</v>
      </c>
      <c r="AM9452" s="1">
        <v>93364.31</v>
      </c>
      <c r="AN9452" s="1">
        <v>93364.31</v>
      </c>
      <c r="AO9452" s="1">
        <v>93364.31</v>
      </c>
      <c r="AP9452" s="2">
        <v>42746</v>
      </c>
      <c r="AQ9452" t="s">
        <v>72</v>
      </c>
      <c r="AR9452" t="s">
        <v>72</v>
      </c>
      <c r="AS9452">
        <v>1768</v>
      </c>
      <c r="AT9452" s="4">
        <v>42565</v>
      </c>
      <c r="AV9452">
        <v>1768</v>
      </c>
      <c r="AW9452" s="4">
        <v>42565</v>
      </c>
      <c r="BD9452">
        <v>0</v>
      </c>
      <c r="BN9452" t="s">
        <v>74</v>
      </c>
    </row>
    <row r="9453" spans="1:66" hidden="1">
      <c r="A9453">
        <v>106746</v>
      </c>
      <c r="B9453" s="3" t="s">
        <v>921</v>
      </c>
      <c r="C9453" s="1">
        <v>43500101</v>
      </c>
      <c r="D9453" t="s">
        <v>113</v>
      </c>
      <c r="H9453" t="str">
        <f>"MCAVLR84D59A783V"</f>
        <v>MCAVLR84D59A783V</v>
      </c>
      <c r="I9453" t="str">
        <f>"01652560622"</f>
        <v>01652560622</v>
      </c>
      <c r="K9453" t="str">
        <f>""</f>
        <v/>
      </c>
      <c r="M9453" t="s">
        <v>68</v>
      </c>
      <c r="N9453" t="str">
        <f>"ALT"</f>
        <v>ALT</v>
      </c>
      <c r="O9453" t="s">
        <v>114</v>
      </c>
      <c r="P9453" s="3" t="s">
        <v>75</v>
      </c>
      <c r="Q9453">
        <v>2016</v>
      </c>
      <c r="R9453" s="2">
        <v>42527</v>
      </c>
      <c r="S9453" s="2">
        <v>42528</v>
      </c>
      <c r="T9453" s="2">
        <v>42528</v>
      </c>
      <c r="U9453" s="2">
        <v>42588</v>
      </c>
      <c r="V9453" t="s">
        <v>71</v>
      </c>
      <c r="W9453" t="str">
        <f>"                  1A"</f>
        <v xml:space="preserve">                  1A</v>
      </c>
      <c r="X9453" s="1">
        <v>6000</v>
      </c>
      <c r="Y9453">
        <v>0</v>
      </c>
      <c r="Z9453"/>
      <c r="AB9453"/>
      <c r="AC9453" s="1">
        <v>6000</v>
      </c>
      <c r="AD9453">
        <v>-12</v>
      </c>
      <c r="AE9453" s="1">
        <v>-72000</v>
      </c>
      <c r="AF9453">
        <v>0</v>
      </c>
      <c r="AJ9453">
        <v>0</v>
      </c>
      <c r="AK9453">
        <v>0</v>
      </c>
      <c r="AL9453">
        <v>0</v>
      </c>
      <c r="AM9453" s="1">
        <v>6000</v>
      </c>
      <c r="AN9453" s="1">
        <v>6000</v>
      </c>
      <c r="AO9453" s="1">
        <v>6000</v>
      </c>
      <c r="AP9453" s="2">
        <v>42746</v>
      </c>
      <c r="AQ9453" t="s">
        <v>72</v>
      </c>
      <c r="AR9453" t="s">
        <v>72</v>
      </c>
      <c r="AS9453">
        <v>1899</v>
      </c>
      <c r="AT9453" s="4">
        <v>42576</v>
      </c>
      <c r="AV9453">
        <v>1899</v>
      </c>
      <c r="AW9453" s="4">
        <v>42576</v>
      </c>
      <c r="BD9453">
        <v>0</v>
      </c>
      <c r="BN9453" t="s">
        <v>74</v>
      </c>
    </row>
    <row r="9454" spans="1:66">
      <c r="A9454">
        <v>106746</v>
      </c>
      <c r="B9454" s="3" t="s">
        <v>921</v>
      </c>
      <c r="C9454" s="1">
        <v>43500101</v>
      </c>
      <c r="D9454" t="s">
        <v>113</v>
      </c>
      <c r="H9454" t="str">
        <f>"MCAVLR84D59A783V"</f>
        <v>MCAVLR84D59A783V</v>
      </c>
      <c r="I9454" t="str">
        <f>"01652560622"</f>
        <v>01652560622</v>
      </c>
      <c r="K9454" t="str">
        <f>""</f>
        <v/>
      </c>
      <c r="M9454" t="s">
        <v>68</v>
      </c>
      <c r="N9454" t="str">
        <f>"ALT"</f>
        <v>ALT</v>
      </c>
      <c r="O9454" t="s">
        <v>114</v>
      </c>
      <c r="P9454" s="3" t="s">
        <v>75</v>
      </c>
      <c r="Q9454">
        <v>2016</v>
      </c>
      <c r="R9454" s="2">
        <v>42620</v>
      </c>
      <c r="S9454" s="2">
        <v>42620</v>
      </c>
      <c r="T9454" s="2">
        <v>42620</v>
      </c>
      <c r="U9454" s="2">
        <v>42680</v>
      </c>
      <c r="V9454" t="s">
        <v>71</v>
      </c>
      <c r="W9454" t="str">
        <f>"                  2A"</f>
        <v xml:space="preserve">                  2A</v>
      </c>
      <c r="X9454" s="1">
        <v>6000</v>
      </c>
      <c r="Y9454">
        <v>0</v>
      </c>
      <c r="Z9454" s="5">
        <v>6000</v>
      </c>
      <c r="AA9454">
        <v>-34</v>
      </c>
      <c r="AB9454" s="5">
        <v>-204000</v>
      </c>
      <c r="AC9454" s="1">
        <v>6000</v>
      </c>
      <c r="AD9454">
        <v>-34</v>
      </c>
      <c r="AE9454" s="1">
        <v>-204000</v>
      </c>
      <c r="AF9454">
        <v>0</v>
      </c>
      <c r="AJ9454">
        <v>0</v>
      </c>
      <c r="AK9454">
        <v>0</v>
      </c>
      <c r="AL9454">
        <v>0</v>
      </c>
      <c r="AM9454" s="1">
        <v>6000</v>
      </c>
      <c r="AN9454" s="1">
        <v>6000</v>
      </c>
      <c r="AO9454" s="1">
        <v>6000</v>
      </c>
      <c r="AP9454" s="2">
        <v>42746</v>
      </c>
      <c r="AQ9454" t="s">
        <v>72</v>
      </c>
      <c r="AR9454" t="s">
        <v>72</v>
      </c>
      <c r="AS9454">
        <v>2537</v>
      </c>
      <c r="AT9454" s="4">
        <v>42646</v>
      </c>
      <c r="AV9454">
        <v>2537</v>
      </c>
      <c r="AW9454" s="4">
        <v>42646</v>
      </c>
      <c r="BD9454">
        <v>0</v>
      </c>
      <c r="BN9454" t="s">
        <v>74</v>
      </c>
    </row>
    <row r="9455" spans="1:66" hidden="1">
      <c r="A9455">
        <v>106747</v>
      </c>
      <c r="B9455" s="3" t="s">
        <v>922</v>
      </c>
      <c r="C9455" s="1">
        <v>43500101</v>
      </c>
      <c r="D9455" t="s">
        <v>113</v>
      </c>
      <c r="H9455" t="str">
        <f>""</f>
        <v/>
      </c>
      <c r="I9455" t="str">
        <f>"01033950625"</f>
        <v>01033950625</v>
      </c>
      <c r="K9455" t="str">
        <f>""</f>
        <v/>
      </c>
      <c r="M9455" t="s">
        <v>68</v>
      </c>
      <c r="N9455" t="str">
        <f>"ALTFIN"</f>
        <v>ALTFIN</v>
      </c>
      <c r="O9455" t="s">
        <v>123</v>
      </c>
      <c r="P9455" s="3" t="s">
        <v>923</v>
      </c>
      <c r="Q9455">
        <v>2016</v>
      </c>
      <c r="R9455" s="2">
        <v>42529</v>
      </c>
      <c r="S9455" s="2">
        <v>42529</v>
      </c>
      <c r="T9455" s="2">
        <v>42529</v>
      </c>
      <c r="U9455" s="2">
        <v>42589</v>
      </c>
      <c r="V9455" t="s">
        <v>71</v>
      </c>
      <c r="W9455" t="str">
        <f>"                 140"</f>
        <v xml:space="preserve">                 140</v>
      </c>
      <c r="X9455">
        <v>0</v>
      </c>
      <c r="Y9455" s="1">
        <v>5375</v>
      </c>
      <c r="Z9455"/>
      <c r="AB9455"/>
      <c r="AC9455" s="1">
        <v>5375</v>
      </c>
      <c r="AD9455">
        <v>-60</v>
      </c>
      <c r="AE9455" s="1">
        <v>-322500</v>
      </c>
      <c r="AF9455">
        <v>0</v>
      </c>
      <c r="AJ9455">
        <v>0</v>
      </c>
      <c r="AK9455">
        <v>0</v>
      </c>
      <c r="AL9455">
        <v>0</v>
      </c>
      <c r="AM9455" s="1">
        <v>5375</v>
      </c>
      <c r="AN9455" s="1">
        <v>5375</v>
      </c>
      <c r="AO9455" s="1">
        <v>5375</v>
      </c>
      <c r="AP9455" s="2">
        <v>42746</v>
      </c>
      <c r="AQ9455" t="s">
        <v>72</v>
      </c>
      <c r="AR9455" t="s">
        <v>72</v>
      </c>
      <c r="AS9455">
        <v>1576</v>
      </c>
      <c r="AT9455" s="4">
        <v>42529</v>
      </c>
      <c r="AV9455">
        <v>1576</v>
      </c>
      <c r="AW9455" s="4">
        <v>42529</v>
      </c>
      <c r="BD9455">
        <v>0</v>
      </c>
      <c r="BN9455" t="s">
        <v>74</v>
      </c>
    </row>
    <row r="9456" spans="1:66">
      <c r="A9456">
        <v>106747</v>
      </c>
      <c r="B9456" s="3" t="s">
        <v>922</v>
      </c>
      <c r="C9456" s="1">
        <v>43500101</v>
      </c>
      <c r="D9456" t="s">
        <v>113</v>
      </c>
      <c r="H9456" t="str">
        <f>""</f>
        <v/>
      </c>
      <c r="I9456" t="str">
        <f>"01033950625"</f>
        <v>01033950625</v>
      </c>
      <c r="K9456" t="str">
        <f>""</f>
        <v/>
      </c>
      <c r="M9456" t="s">
        <v>68</v>
      </c>
      <c r="N9456" t="str">
        <f>"ALTFIN"</f>
        <v>ALTFIN</v>
      </c>
      <c r="O9456" t="s">
        <v>123</v>
      </c>
      <c r="P9456" s="3" t="s">
        <v>924</v>
      </c>
      <c r="Q9456">
        <v>2016</v>
      </c>
      <c r="R9456" s="2">
        <v>42634</v>
      </c>
      <c r="S9456" s="2">
        <v>42634</v>
      </c>
      <c r="T9456" s="2">
        <v>42634</v>
      </c>
      <c r="U9456" s="2">
        <v>42694</v>
      </c>
      <c r="V9456" t="s">
        <v>71</v>
      </c>
      <c r="W9456" t="str">
        <f>"                 201"</f>
        <v xml:space="preserve">                 201</v>
      </c>
      <c r="X9456">
        <v>0</v>
      </c>
      <c r="Y9456" s="1">
        <v>3583.33</v>
      </c>
      <c r="Z9456" s="5">
        <v>3583.33</v>
      </c>
      <c r="AA9456">
        <v>-48</v>
      </c>
      <c r="AB9456" s="5">
        <v>-171999.84</v>
      </c>
      <c r="AC9456" s="1">
        <v>3583.33</v>
      </c>
      <c r="AD9456">
        <v>-48</v>
      </c>
      <c r="AE9456" s="1">
        <v>-171999.84</v>
      </c>
      <c r="AF9456">
        <v>0</v>
      </c>
      <c r="AJ9456">
        <v>0</v>
      </c>
      <c r="AK9456">
        <v>0</v>
      </c>
      <c r="AL9456">
        <v>0</v>
      </c>
      <c r="AM9456" s="1">
        <v>3583.33</v>
      </c>
      <c r="AN9456" s="1">
        <v>3583.33</v>
      </c>
      <c r="AO9456" s="1">
        <v>3583.33</v>
      </c>
      <c r="AP9456" s="2">
        <v>42746</v>
      </c>
      <c r="AQ9456" t="s">
        <v>72</v>
      </c>
      <c r="AR9456" t="s">
        <v>72</v>
      </c>
      <c r="AS9456">
        <v>2549</v>
      </c>
      <c r="AT9456" s="4">
        <v>42646</v>
      </c>
      <c r="AV9456">
        <v>2549</v>
      </c>
      <c r="AW9456" s="4">
        <v>42646</v>
      </c>
      <c r="BD9456">
        <v>0</v>
      </c>
      <c r="BN9456" t="s">
        <v>74</v>
      </c>
    </row>
    <row r="9457" spans="1:66" hidden="1">
      <c r="A9457">
        <v>106748</v>
      </c>
      <c r="B9457" s="3" t="s">
        <v>925</v>
      </c>
      <c r="C9457" s="1">
        <v>43500101</v>
      </c>
      <c r="D9457" t="s">
        <v>113</v>
      </c>
      <c r="H9457" t="str">
        <f>""</f>
        <v/>
      </c>
      <c r="I9457" t="str">
        <f>"05528330961"</f>
        <v>05528330961</v>
      </c>
      <c r="K9457" t="str">
        <f>""</f>
        <v/>
      </c>
      <c r="M9457" t="s">
        <v>68</v>
      </c>
      <c r="N9457" t="str">
        <f>"ALTFIN"</f>
        <v>ALTFIN</v>
      </c>
      <c r="O9457" t="s">
        <v>123</v>
      </c>
      <c r="P9457" s="3" t="s">
        <v>926</v>
      </c>
      <c r="Q9457">
        <v>2016</v>
      </c>
      <c r="R9457" s="2">
        <v>42529</v>
      </c>
      <c r="S9457" s="2">
        <v>42529</v>
      </c>
      <c r="T9457" s="2">
        <v>42529</v>
      </c>
      <c r="U9457" s="2">
        <v>42589</v>
      </c>
      <c r="V9457" t="s">
        <v>71</v>
      </c>
      <c r="W9457" t="str">
        <f>"                 141"</f>
        <v xml:space="preserve">                 141</v>
      </c>
      <c r="X9457">
        <v>0</v>
      </c>
      <c r="Y9457" s="1">
        <v>16425.72</v>
      </c>
      <c r="Z9457"/>
      <c r="AB9457"/>
      <c r="AC9457" s="1">
        <v>16425.72</v>
      </c>
      <c r="AD9457">
        <v>-60</v>
      </c>
      <c r="AE9457" s="1">
        <v>-985543.2</v>
      </c>
      <c r="AF9457">
        <v>0</v>
      </c>
      <c r="AJ9457">
        <v>0</v>
      </c>
      <c r="AK9457">
        <v>0</v>
      </c>
      <c r="AL9457">
        <v>0</v>
      </c>
      <c r="AM9457" s="1">
        <v>16425.72</v>
      </c>
      <c r="AN9457" s="1">
        <v>16425.72</v>
      </c>
      <c r="AO9457" s="1">
        <v>16425.72</v>
      </c>
      <c r="AP9457" s="2">
        <v>42746</v>
      </c>
      <c r="AQ9457" t="s">
        <v>72</v>
      </c>
      <c r="AR9457" t="s">
        <v>72</v>
      </c>
      <c r="AS9457">
        <v>1581</v>
      </c>
      <c r="AT9457" s="4">
        <v>42529</v>
      </c>
      <c r="AV9457">
        <v>1581</v>
      </c>
      <c r="AW9457" s="4">
        <v>42529</v>
      </c>
      <c r="BD9457">
        <v>0</v>
      </c>
      <c r="BN9457" t="s">
        <v>74</v>
      </c>
    </row>
    <row r="9458" spans="1:66">
      <c r="A9458">
        <v>106748</v>
      </c>
      <c r="B9458" s="3" t="s">
        <v>925</v>
      </c>
      <c r="C9458" s="1">
        <v>43500101</v>
      </c>
      <c r="D9458" t="s">
        <v>113</v>
      </c>
      <c r="H9458" t="str">
        <f>""</f>
        <v/>
      </c>
      <c r="I9458" t="str">
        <f>"05528330961"</f>
        <v>05528330961</v>
      </c>
      <c r="K9458" t="str">
        <f>""</f>
        <v/>
      </c>
      <c r="M9458" t="s">
        <v>68</v>
      </c>
      <c r="N9458" t="str">
        <f>"ALTFIN"</f>
        <v>ALTFIN</v>
      </c>
      <c r="O9458" t="s">
        <v>123</v>
      </c>
      <c r="P9458" s="3" t="s">
        <v>927</v>
      </c>
      <c r="Q9458">
        <v>2016</v>
      </c>
      <c r="R9458" s="2">
        <v>42634</v>
      </c>
      <c r="S9458" s="2">
        <v>42634</v>
      </c>
      <c r="T9458" s="2">
        <v>42634</v>
      </c>
      <c r="U9458" s="2">
        <v>42694</v>
      </c>
      <c r="V9458" t="s">
        <v>71</v>
      </c>
      <c r="W9458" t="str">
        <f>"                 200"</f>
        <v xml:space="preserve">                 200</v>
      </c>
      <c r="X9458">
        <v>0</v>
      </c>
      <c r="Y9458" s="1">
        <v>11221.8</v>
      </c>
      <c r="Z9458" s="5">
        <v>11221.8</v>
      </c>
      <c r="AA9458">
        <v>-48</v>
      </c>
      <c r="AB9458" s="5">
        <v>-538646.4</v>
      </c>
      <c r="AC9458" s="1">
        <v>11221.8</v>
      </c>
      <c r="AD9458">
        <v>-48</v>
      </c>
      <c r="AE9458" s="1">
        <v>-538646.4</v>
      </c>
      <c r="AF9458">
        <v>0</v>
      </c>
      <c r="AJ9458">
        <v>0</v>
      </c>
      <c r="AK9458">
        <v>0</v>
      </c>
      <c r="AL9458">
        <v>0</v>
      </c>
      <c r="AM9458" s="1">
        <v>11221.8</v>
      </c>
      <c r="AN9458" s="1">
        <v>11221.8</v>
      </c>
      <c r="AO9458" s="1">
        <v>11221.8</v>
      </c>
      <c r="AP9458" s="2">
        <v>42746</v>
      </c>
      <c r="AQ9458" t="s">
        <v>72</v>
      </c>
      <c r="AR9458" t="s">
        <v>72</v>
      </c>
      <c r="AS9458">
        <v>2548</v>
      </c>
      <c r="AT9458" s="4">
        <v>42646</v>
      </c>
      <c r="AV9458">
        <v>2548</v>
      </c>
      <c r="AW9458" s="4">
        <v>42646</v>
      </c>
      <c r="BD9458">
        <v>0</v>
      </c>
      <c r="BN9458" t="s">
        <v>74</v>
      </c>
    </row>
    <row r="9459" spans="1:66">
      <c r="A9459">
        <v>106749</v>
      </c>
      <c r="B9459" s="3" t="s">
        <v>928</v>
      </c>
      <c r="C9459" s="1">
        <v>43300101</v>
      </c>
      <c r="D9459" t="s">
        <v>67</v>
      </c>
      <c r="H9459" t="str">
        <f>"06058020964"</f>
        <v>06058020964</v>
      </c>
      <c r="I9459" t="str">
        <f>"06058020964"</f>
        <v>06058020964</v>
      </c>
      <c r="K9459" t="str">
        <f>""</f>
        <v/>
      </c>
      <c r="M9459" t="s">
        <v>68</v>
      </c>
      <c r="N9459" t="str">
        <f>"FOR"</f>
        <v>FOR</v>
      </c>
      <c r="O9459" t="s">
        <v>69</v>
      </c>
      <c r="P9459" s="3" t="s">
        <v>75</v>
      </c>
      <c r="Q9459">
        <v>2016</v>
      </c>
      <c r="R9459" s="2">
        <v>42611</v>
      </c>
      <c r="S9459" s="2">
        <v>42646</v>
      </c>
      <c r="T9459" s="2">
        <v>42642</v>
      </c>
      <c r="U9459" s="2">
        <v>42702</v>
      </c>
      <c r="V9459" t="s">
        <v>71</v>
      </c>
      <c r="W9459" t="str">
        <f>"           161005688"</f>
        <v xml:space="preserve">           161005688</v>
      </c>
      <c r="X9459">
        <v>673.2</v>
      </c>
      <c r="Y9459">
        <v>0</v>
      </c>
      <c r="Z9459" s="3">
        <v>612</v>
      </c>
      <c r="AA9459">
        <v>-19</v>
      </c>
      <c r="AB9459" s="5">
        <v>-11628</v>
      </c>
      <c r="AC9459">
        <v>612</v>
      </c>
      <c r="AD9459">
        <v>-19</v>
      </c>
      <c r="AE9459" s="1">
        <v>-11628</v>
      </c>
      <c r="AF9459">
        <v>0</v>
      </c>
      <c r="AJ9459">
        <v>0</v>
      </c>
      <c r="AK9459">
        <v>673.2</v>
      </c>
      <c r="AL9459">
        <v>0</v>
      </c>
      <c r="AM9459">
        <v>673.2</v>
      </c>
      <c r="AN9459">
        <v>673.2</v>
      </c>
      <c r="AO9459">
        <v>673.2</v>
      </c>
      <c r="AP9459" s="2">
        <v>42746</v>
      </c>
      <c r="AQ9459" t="s">
        <v>72</v>
      </c>
      <c r="AR9459" t="s">
        <v>72</v>
      </c>
      <c r="AS9459">
        <v>3001</v>
      </c>
      <c r="AT9459" s="4">
        <v>42683</v>
      </c>
      <c r="AV9459">
        <v>3001</v>
      </c>
      <c r="AW9459" s="4">
        <v>42683</v>
      </c>
      <c r="BD9459">
        <v>0</v>
      </c>
      <c r="BN9459" t="s">
        <v>74</v>
      </c>
    </row>
    <row r="9460" spans="1:66">
      <c r="A9460">
        <v>106749</v>
      </c>
      <c r="B9460" s="3" t="s">
        <v>928</v>
      </c>
      <c r="C9460" s="1">
        <v>43300101</v>
      </c>
      <c r="D9460" t="s">
        <v>67</v>
      </c>
      <c r="H9460" t="str">
        <f>"06058020964"</f>
        <v>06058020964</v>
      </c>
      <c r="I9460" t="str">
        <f>"06058020964"</f>
        <v>06058020964</v>
      </c>
      <c r="K9460" t="str">
        <f>""</f>
        <v/>
      </c>
      <c r="M9460" t="s">
        <v>68</v>
      </c>
      <c r="N9460" t="str">
        <f>"FOR"</f>
        <v>FOR</v>
      </c>
      <c r="O9460" t="s">
        <v>69</v>
      </c>
      <c r="P9460" s="3" t="s">
        <v>75</v>
      </c>
      <c r="Q9460">
        <v>2016</v>
      </c>
      <c r="R9460" s="2">
        <v>42629</v>
      </c>
      <c r="S9460" s="2">
        <v>42646</v>
      </c>
      <c r="T9460" s="2">
        <v>42642</v>
      </c>
      <c r="U9460" s="2">
        <v>42702</v>
      </c>
      <c r="V9460" t="s">
        <v>71</v>
      </c>
      <c r="W9460" t="str">
        <f>"           161006274"</f>
        <v xml:space="preserve">           161006274</v>
      </c>
      <c r="X9460">
        <v>673.2</v>
      </c>
      <c r="Y9460">
        <v>0</v>
      </c>
      <c r="Z9460" s="3">
        <v>612</v>
      </c>
      <c r="AA9460">
        <v>-19</v>
      </c>
      <c r="AB9460" s="5">
        <v>-11628</v>
      </c>
      <c r="AC9460">
        <v>612</v>
      </c>
      <c r="AD9460">
        <v>-19</v>
      </c>
      <c r="AE9460" s="1">
        <v>-11628</v>
      </c>
      <c r="AF9460">
        <v>0</v>
      </c>
      <c r="AJ9460">
        <v>0</v>
      </c>
      <c r="AK9460">
        <v>673.2</v>
      </c>
      <c r="AL9460">
        <v>0</v>
      </c>
      <c r="AM9460">
        <v>673.2</v>
      </c>
      <c r="AN9460">
        <v>673.2</v>
      </c>
      <c r="AO9460">
        <v>673.2</v>
      </c>
      <c r="AP9460" s="2">
        <v>42746</v>
      </c>
      <c r="AQ9460" t="s">
        <v>72</v>
      </c>
      <c r="AR9460" t="s">
        <v>72</v>
      </c>
      <c r="AS9460">
        <v>3001</v>
      </c>
      <c r="AT9460" s="4">
        <v>42683</v>
      </c>
      <c r="AV9460">
        <v>3001</v>
      </c>
      <c r="AW9460" s="4">
        <v>42683</v>
      </c>
      <c r="BD9460">
        <v>0</v>
      </c>
      <c r="BN9460" t="s">
        <v>74</v>
      </c>
    </row>
    <row r="9461" spans="1:66" hidden="1">
      <c r="A9461">
        <v>106753</v>
      </c>
      <c r="B9461" s="3" t="s">
        <v>929</v>
      </c>
      <c r="C9461" s="1">
        <v>43500101</v>
      </c>
      <c r="D9461" t="s">
        <v>113</v>
      </c>
      <c r="H9461" t="str">
        <f>""</f>
        <v/>
      </c>
      <c r="I9461" t="str">
        <f>""</f>
        <v/>
      </c>
      <c r="J9461" t="s">
        <v>813</v>
      </c>
      <c r="K9461" t="str">
        <f>"GB987024689"</f>
        <v>GB987024689</v>
      </c>
      <c r="M9461" t="s">
        <v>68</v>
      </c>
      <c r="N9461" t="str">
        <f>"ALTFIN"</f>
        <v>ALTFIN</v>
      </c>
      <c r="O9461" t="s">
        <v>123</v>
      </c>
      <c r="P9461" s="3" t="s">
        <v>930</v>
      </c>
      <c r="Q9461">
        <v>2016</v>
      </c>
      <c r="R9461" s="2">
        <v>42563</v>
      </c>
      <c r="S9461" s="2">
        <v>42563</v>
      </c>
      <c r="T9461" s="2">
        <v>42563</v>
      </c>
      <c r="U9461" s="2">
        <v>42623</v>
      </c>
      <c r="V9461" t="s">
        <v>71</v>
      </c>
      <c r="W9461" t="str">
        <f>"                 162"</f>
        <v xml:space="preserve">                 162</v>
      </c>
      <c r="X9461">
        <v>0</v>
      </c>
      <c r="Y9461" s="1">
        <v>1361970.08</v>
      </c>
      <c r="Z9461"/>
      <c r="AB9461"/>
      <c r="AC9461" s="1">
        <v>1361970.08</v>
      </c>
      <c r="AD9461">
        <v>-55</v>
      </c>
      <c r="AE9461" s="1">
        <v>-74288653.599999994</v>
      </c>
      <c r="AF9461">
        <v>0</v>
      </c>
      <c r="AJ9461">
        <v>0</v>
      </c>
      <c r="AK9461">
        <v>0</v>
      </c>
      <c r="AL9461">
        <v>0</v>
      </c>
      <c r="AM9461" s="1">
        <v>1361970.08</v>
      </c>
      <c r="AN9461" s="1">
        <v>1361970.08</v>
      </c>
      <c r="AO9461" s="1">
        <v>1361970.08</v>
      </c>
      <c r="AP9461" s="2">
        <v>42746</v>
      </c>
      <c r="AQ9461" t="s">
        <v>72</v>
      </c>
      <c r="AR9461" t="s">
        <v>72</v>
      </c>
      <c r="AS9461">
        <v>1769</v>
      </c>
      <c r="AT9461" s="4">
        <v>42565</v>
      </c>
      <c r="AV9461">
        <v>1975</v>
      </c>
      <c r="AW9461" s="4">
        <v>42578</v>
      </c>
      <c r="BD9461">
        <v>0</v>
      </c>
      <c r="BN9461" t="s">
        <v>74</v>
      </c>
    </row>
    <row r="9462" spans="1:66">
      <c r="A9462">
        <v>106754</v>
      </c>
      <c r="B9462" s="3" t="s">
        <v>931</v>
      </c>
      <c r="C9462" s="1">
        <v>43300101</v>
      </c>
      <c r="D9462" t="s">
        <v>67</v>
      </c>
      <c r="H9462" t="str">
        <f>"02872080540"</f>
        <v>02872080540</v>
      </c>
      <c r="I9462" t="str">
        <f>"02872080540"</f>
        <v>02872080540</v>
      </c>
      <c r="K9462" t="str">
        <f>""</f>
        <v/>
      </c>
      <c r="M9462" t="s">
        <v>68</v>
      </c>
      <c r="N9462" t="str">
        <f>"FOR"</f>
        <v>FOR</v>
      </c>
      <c r="O9462" t="s">
        <v>69</v>
      </c>
      <c r="P9462" s="3" t="s">
        <v>75</v>
      </c>
      <c r="Q9462">
        <v>2016</v>
      </c>
      <c r="R9462" s="2">
        <v>42551</v>
      </c>
      <c r="S9462" s="2">
        <v>42555</v>
      </c>
      <c r="T9462" s="2">
        <v>42552</v>
      </c>
      <c r="U9462" s="2">
        <v>42612</v>
      </c>
      <c r="V9462" t="s">
        <v>71</v>
      </c>
      <c r="W9462" t="str">
        <f>"        2016    98/E"</f>
        <v xml:space="preserve">        2016    98/E</v>
      </c>
      <c r="X9462" s="1">
        <v>34152.67</v>
      </c>
      <c r="Y9462">
        <v>0</v>
      </c>
      <c r="Z9462" s="5">
        <v>27993.99</v>
      </c>
      <c r="AA9462">
        <v>35</v>
      </c>
      <c r="AB9462" s="5">
        <v>979789.65</v>
      </c>
      <c r="AC9462" s="1">
        <v>27993.99</v>
      </c>
      <c r="AD9462">
        <v>35</v>
      </c>
      <c r="AE9462" s="1">
        <v>979789.65</v>
      </c>
      <c r="AF9462">
        <v>0</v>
      </c>
      <c r="AJ9462">
        <v>0</v>
      </c>
      <c r="AK9462">
        <v>0</v>
      </c>
      <c r="AL9462">
        <v>0</v>
      </c>
      <c r="AM9462" s="1">
        <v>34152.67</v>
      </c>
      <c r="AN9462" s="1">
        <v>34152.67</v>
      </c>
      <c r="AO9462" s="1">
        <v>34152.67</v>
      </c>
      <c r="AP9462" s="2">
        <v>42746</v>
      </c>
      <c r="AQ9462" t="s">
        <v>72</v>
      </c>
      <c r="AR9462" t="s">
        <v>72</v>
      </c>
      <c r="AS9462">
        <v>2646</v>
      </c>
      <c r="AT9462" s="4">
        <v>42647</v>
      </c>
      <c r="AU9462" t="s">
        <v>73</v>
      </c>
      <c r="AV9462">
        <v>2646</v>
      </c>
      <c r="AW9462" s="4">
        <v>42647</v>
      </c>
      <c r="BD9462">
        <v>0</v>
      </c>
      <c r="BN9462" t="s">
        <v>74</v>
      </c>
    </row>
    <row r="9463" spans="1:66">
      <c r="A9463">
        <v>106755</v>
      </c>
      <c r="B9463" s="3" t="s">
        <v>932</v>
      </c>
      <c r="C9463" s="1">
        <v>43300101</v>
      </c>
      <c r="D9463" t="s">
        <v>67</v>
      </c>
      <c r="H9463" t="str">
        <f>"GZZMTT79B11G388T"</f>
        <v>GZZMTT79B11G388T</v>
      </c>
      <c r="I9463" t="str">
        <f>"02525660185"</f>
        <v>02525660185</v>
      </c>
      <c r="K9463" t="str">
        <f>""</f>
        <v/>
      </c>
      <c r="M9463" t="s">
        <v>68</v>
      </c>
      <c r="N9463" t="str">
        <f>"FOR"</f>
        <v>FOR</v>
      </c>
      <c r="O9463" t="s">
        <v>69</v>
      </c>
      <c r="P9463" s="3" t="s">
        <v>75</v>
      </c>
      <c r="Q9463">
        <v>2016</v>
      </c>
      <c r="R9463" s="2">
        <v>42660</v>
      </c>
      <c r="S9463" s="2">
        <v>42660</v>
      </c>
      <c r="T9463" s="2">
        <v>42660</v>
      </c>
      <c r="U9463" s="2">
        <v>42720</v>
      </c>
      <c r="V9463" t="s">
        <v>71</v>
      </c>
      <c r="W9463" t="str">
        <f>"                 127"</f>
        <v xml:space="preserve">                 127</v>
      </c>
      <c r="X9463" s="1">
        <v>1048.5</v>
      </c>
      <c r="Y9463">
        <v>0</v>
      </c>
      <c r="Z9463" s="3">
        <v>859.43</v>
      </c>
      <c r="AA9463">
        <v>-38</v>
      </c>
      <c r="AB9463" s="5">
        <v>-32658.34</v>
      </c>
      <c r="AC9463">
        <v>859.43</v>
      </c>
      <c r="AD9463">
        <v>-38</v>
      </c>
      <c r="AE9463" s="1">
        <v>-32658.34</v>
      </c>
      <c r="AF9463">
        <v>0</v>
      </c>
      <c r="AJ9463" s="1">
        <v>1048.5</v>
      </c>
      <c r="AK9463" s="1">
        <v>1048.5</v>
      </c>
      <c r="AL9463" s="1">
        <v>1048.5</v>
      </c>
      <c r="AM9463" s="1">
        <v>1048.5</v>
      </c>
      <c r="AN9463" s="1">
        <v>1048.5</v>
      </c>
      <c r="AO9463" s="1">
        <v>1048.5</v>
      </c>
      <c r="AP9463" s="2">
        <v>42746</v>
      </c>
      <c r="AQ9463" t="s">
        <v>72</v>
      </c>
      <c r="AR9463" t="s">
        <v>72</v>
      </c>
      <c r="AS9463">
        <v>2959</v>
      </c>
      <c r="AT9463" s="4">
        <v>42682</v>
      </c>
      <c r="AV9463">
        <v>2959</v>
      </c>
      <c r="AW9463" s="4">
        <v>42682</v>
      </c>
      <c r="BD9463">
        <v>0</v>
      </c>
      <c r="BN9463" t="s">
        <v>74</v>
      </c>
    </row>
    <row r="9464" spans="1:66" hidden="1">
      <c r="A9464">
        <v>106756</v>
      </c>
      <c r="B9464" s="3" t="s">
        <v>933</v>
      </c>
      <c r="C9464" s="1">
        <v>43500101</v>
      </c>
      <c r="D9464" t="s">
        <v>113</v>
      </c>
      <c r="H9464" t="str">
        <f>"FRNFRC80L01H501E"</f>
        <v>FRNFRC80L01H501E</v>
      </c>
      <c r="I9464" t="str">
        <f>"08696951006"</f>
        <v>08696951006</v>
      </c>
      <c r="K9464" t="str">
        <f>""</f>
        <v/>
      </c>
      <c r="M9464" t="s">
        <v>68</v>
      </c>
      <c r="N9464" t="str">
        <f>"ALT"</f>
        <v>ALT</v>
      </c>
      <c r="O9464" t="s">
        <v>114</v>
      </c>
      <c r="P9464" s="3" t="s">
        <v>75</v>
      </c>
      <c r="Q9464">
        <v>2016</v>
      </c>
      <c r="R9464" s="2">
        <v>42552</v>
      </c>
      <c r="S9464" s="2">
        <v>42552</v>
      </c>
      <c r="T9464" s="2">
        <v>42552</v>
      </c>
      <c r="U9464" s="2">
        <v>42612</v>
      </c>
      <c r="V9464" t="s">
        <v>71</v>
      </c>
      <c r="W9464" t="str">
        <f>"                9/PA"</f>
        <v xml:space="preserve">                9/PA</v>
      </c>
      <c r="X9464" s="1">
        <v>3172</v>
      </c>
      <c r="Y9464">
        <v>-500</v>
      </c>
      <c r="Z9464"/>
      <c r="AB9464"/>
      <c r="AC9464" s="1">
        <v>2672</v>
      </c>
      <c r="AD9464">
        <v>-46</v>
      </c>
      <c r="AE9464" s="1">
        <v>-122912</v>
      </c>
      <c r="AF9464">
        <v>0</v>
      </c>
      <c r="AJ9464">
        <v>0</v>
      </c>
      <c r="AK9464">
        <v>0</v>
      </c>
      <c r="AL9464">
        <v>0</v>
      </c>
      <c r="AM9464" s="1">
        <v>2672</v>
      </c>
      <c r="AN9464" s="1">
        <v>2672</v>
      </c>
      <c r="AO9464" s="1">
        <v>2672</v>
      </c>
      <c r="AP9464" s="2">
        <v>42746</v>
      </c>
      <c r="AQ9464" t="s">
        <v>72</v>
      </c>
      <c r="AR9464" t="s">
        <v>72</v>
      </c>
      <c r="AS9464">
        <v>1808</v>
      </c>
      <c r="AT9464" s="4">
        <v>42566</v>
      </c>
      <c r="AV9464">
        <v>1808</v>
      </c>
      <c r="AW9464" s="4">
        <v>42566</v>
      </c>
      <c r="BD9464">
        <v>0</v>
      </c>
      <c r="BN9464" t="s">
        <v>74</v>
      </c>
    </row>
    <row r="9465" spans="1:66" hidden="1">
      <c r="A9465">
        <v>106758</v>
      </c>
      <c r="B9465" s="3" t="s">
        <v>934</v>
      </c>
      <c r="C9465" s="1">
        <v>43500101</v>
      </c>
      <c r="D9465" t="s">
        <v>113</v>
      </c>
      <c r="H9465" t="str">
        <f>"CNNLCN47L47F839A"</f>
        <v>CNNLCN47L47F839A</v>
      </c>
      <c r="I9465" t="str">
        <f>""</f>
        <v/>
      </c>
      <c r="K9465" t="str">
        <f>""</f>
        <v/>
      </c>
      <c r="M9465" t="s">
        <v>68</v>
      </c>
      <c r="N9465" t="str">
        <f>"ALT"</f>
        <v>ALT</v>
      </c>
      <c r="O9465" t="s">
        <v>114</v>
      </c>
      <c r="P9465" s="3" t="s">
        <v>216</v>
      </c>
      <c r="Q9465">
        <v>2016</v>
      </c>
      <c r="R9465" s="2">
        <v>42583</v>
      </c>
      <c r="S9465" s="2">
        <v>42583</v>
      </c>
      <c r="T9465" s="2">
        <v>42583</v>
      </c>
      <c r="U9465" s="2">
        <v>42643</v>
      </c>
      <c r="V9465" t="s">
        <v>71</v>
      </c>
      <c r="W9465" t="str">
        <f>"                 176"</f>
        <v xml:space="preserve">                 176</v>
      </c>
      <c r="X9465">
        <v>0</v>
      </c>
      <c r="Y9465" s="1">
        <v>1181.8900000000001</v>
      </c>
      <c r="Z9465"/>
      <c r="AB9465"/>
      <c r="AC9465" s="1">
        <v>1181.8900000000001</v>
      </c>
      <c r="AD9465">
        <v>-60</v>
      </c>
      <c r="AE9465" s="1">
        <v>-70913.399999999994</v>
      </c>
      <c r="AF9465">
        <v>0</v>
      </c>
      <c r="AJ9465">
        <v>0</v>
      </c>
      <c r="AK9465">
        <v>0</v>
      </c>
      <c r="AL9465">
        <v>0</v>
      </c>
      <c r="AM9465" s="1">
        <v>1181.8900000000001</v>
      </c>
      <c r="AN9465" s="1">
        <v>1181.8900000000001</v>
      </c>
      <c r="AO9465" s="1">
        <v>1181.8900000000001</v>
      </c>
      <c r="AP9465" s="2">
        <v>42746</v>
      </c>
      <c r="AQ9465" t="s">
        <v>72</v>
      </c>
      <c r="AR9465" t="s">
        <v>72</v>
      </c>
      <c r="AS9465">
        <v>2053</v>
      </c>
      <c r="AT9465" s="4">
        <v>42583</v>
      </c>
      <c r="AV9465">
        <v>2053</v>
      </c>
      <c r="AW9465" s="4">
        <v>42583</v>
      </c>
      <c r="BD9465">
        <v>0</v>
      </c>
      <c r="BN9465" t="s">
        <v>74</v>
      </c>
    </row>
    <row r="9466" spans="1:66">
      <c r="A9466">
        <v>106760</v>
      </c>
      <c r="B9466" s="3" t="s">
        <v>935</v>
      </c>
      <c r="C9466" s="1">
        <v>43500101</v>
      </c>
      <c r="D9466" t="s">
        <v>113</v>
      </c>
      <c r="H9466" t="str">
        <f>""</f>
        <v/>
      </c>
      <c r="I9466" t="str">
        <f>"01393940620"</f>
        <v>01393940620</v>
      </c>
      <c r="K9466" t="str">
        <f>""</f>
        <v/>
      </c>
      <c r="M9466" t="s">
        <v>68</v>
      </c>
      <c r="N9466" t="str">
        <f>"ALTPRO"</f>
        <v>ALTPRO</v>
      </c>
      <c r="O9466" t="s">
        <v>132</v>
      </c>
      <c r="P9466" s="3" t="s">
        <v>75</v>
      </c>
      <c r="Q9466">
        <v>2016</v>
      </c>
      <c r="R9466" s="2">
        <v>42551</v>
      </c>
      <c r="S9466" s="2">
        <v>42621</v>
      </c>
      <c r="T9466" s="2">
        <v>42621</v>
      </c>
      <c r="U9466" s="2">
        <v>42681</v>
      </c>
      <c r="V9466" t="s">
        <v>71</v>
      </c>
      <c r="W9466" t="str">
        <f>"                 1/E"</f>
        <v xml:space="preserve">                 1/E</v>
      </c>
      <c r="X9466" s="1">
        <v>6639</v>
      </c>
      <c r="Y9466" s="1">
        <v>-1012.6</v>
      </c>
      <c r="Z9466" s="5">
        <v>5626.4</v>
      </c>
      <c r="AA9466">
        <v>-35</v>
      </c>
      <c r="AB9466" s="5">
        <v>-196924</v>
      </c>
      <c r="AC9466" s="1">
        <v>5626.4</v>
      </c>
      <c r="AD9466">
        <v>-35</v>
      </c>
      <c r="AE9466" s="1">
        <v>-196924</v>
      </c>
      <c r="AF9466">
        <v>0</v>
      </c>
      <c r="AJ9466">
        <v>0</v>
      </c>
      <c r="AK9466">
        <v>0</v>
      </c>
      <c r="AL9466">
        <v>0</v>
      </c>
      <c r="AM9466" s="1">
        <v>5626.4</v>
      </c>
      <c r="AN9466" s="1">
        <v>5626.4</v>
      </c>
      <c r="AO9466" s="1">
        <v>5626.4</v>
      </c>
      <c r="AP9466" s="2">
        <v>42746</v>
      </c>
      <c r="AQ9466" t="s">
        <v>72</v>
      </c>
      <c r="AR9466" t="s">
        <v>72</v>
      </c>
      <c r="AS9466">
        <v>2534</v>
      </c>
      <c r="AT9466" s="4">
        <v>42646</v>
      </c>
      <c r="AV9466">
        <v>2534</v>
      </c>
      <c r="AW9466" s="4">
        <v>42646</v>
      </c>
      <c r="BD9466">
        <v>0</v>
      </c>
      <c r="BN9466" t="s">
        <v>74</v>
      </c>
    </row>
    <row r="9467" spans="1:66" hidden="1">
      <c r="A9467">
        <v>106761</v>
      </c>
      <c r="B9467" s="3" t="s">
        <v>936</v>
      </c>
      <c r="C9467" s="1">
        <v>43500101</v>
      </c>
      <c r="D9467" t="s">
        <v>113</v>
      </c>
      <c r="H9467" t="str">
        <f>"RROFRN49M48A783X"</f>
        <v>RROFRN49M48A783X</v>
      </c>
      <c r="I9467" t="str">
        <f>""</f>
        <v/>
      </c>
      <c r="K9467" t="str">
        <f>""</f>
        <v/>
      </c>
      <c r="M9467" t="s">
        <v>68</v>
      </c>
      <c r="N9467" t="str">
        <f>"ALT"</f>
        <v>ALT</v>
      </c>
      <c r="O9467" t="s">
        <v>114</v>
      </c>
      <c r="P9467" s="3" t="s">
        <v>937</v>
      </c>
      <c r="Q9467">
        <v>2016</v>
      </c>
      <c r="R9467" s="2">
        <v>42583</v>
      </c>
      <c r="S9467" s="2">
        <v>42583</v>
      </c>
      <c r="T9467" s="2">
        <v>42583</v>
      </c>
      <c r="U9467" s="2">
        <v>42643</v>
      </c>
      <c r="V9467" t="s">
        <v>71</v>
      </c>
      <c r="W9467" t="str">
        <f>"                 178"</f>
        <v xml:space="preserve">                 178</v>
      </c>
      <c r="X9467">
        <v>0</v>
      </c>
      <c r="Y9467" s="1">
        <v>2400</v>
      </c>
      <c r="Z9467"/>
      <c r="AB9467"/>
      <c r="AC9467" s="1">
        <v>2400</v>
      </c>
      <c r="AD9467">
        <v>-60</v>
      </c>
      <c r="AE9467" s="1">
        <v>-144000</v>
      </c>
      <c r="AF9467">
        <v>0</v>
      </c>
      <c r="AJ9467">
        <v>0</v>
      </c>
      <c r="AK9467">
        <v>0</v>
      </c>
      <c r="AL9467">
        <v>0</v>
      </c>
      <c r="AM9467" s="1">
        <v>2400</v>
      </c>
      <c r="AN9467" s="1">
        <v>2400</v>
      </c>
      <c r="AO9467" s="1">
        <v>2400</v>
      </c>
      <c r="AP9467" s="2">
        <v>42746</v>
      </c>
      <c r="AQ9467" t="s">
        <v>72</v>
      </c>
      <c r="AR9467" t="s">
        <v>72</v>
      </c>
      <c r="AS9467">
        <v>2051</v>
      </c>
      <c r="AT9467" s="4">
        <v>42583</v>
      </c>
      <c r="AV9467">
        <v>2051</v>
      </c>
      <c r="AW9467" s="4">
        <v>42583</v>
      </c>
      <c r="BD9467">
        <v>0</v>
      </c>
      <c r="BN9467" t="s">
        <v>74</v>
      </c>
    </row>
    <row r="9468" spans="1:66">
      <c r="A9468">
        <v>106763</v>
      </c>
      <c r="B9468" s="3" t="s">
        <v>938</v>
      </c>
      <c r="C9468" s="1">
        <v>43300101</v>
      </c>
      <c r="D9468" t="s">
        <v>67</v>
      </c>
      <c r="H9468" t="str">
        <f>""</f>
        <v/>
      </c>
      <c r="I9468" t="str">
        <f>""</f>
        <v/>
      </c>
      <c r="K9468" t="str">
        <f>""</f>
        <v/>
      </c>
      <c r="L9468" t="s">
        <v>939</v>
      </c>
      <c r="M9468" t="s">
        <v>68</v>
      </c>
      <c r="N9468" t="str">
        <f>"FOR"</f>
        <v>FOR</v>
      </c>
      <c r="O9468" t="s">
        <v>69</v>
      </c>
      <c r="P9468" s="3" t="s">
        <v>75</v>
      </c>
      <c r="Q9468">
        <v>2016</v>
      </c>
      <c r="R9468" s="2">
        <v>42579</v>
      </c>
      <c r="S9468" s="2">
        <v>42585</v>
      </c>
      <c r="T9468" s="2">
        <v>42580</v>
      </c>
      <c r="U9468" s="2">
        <v>42640</v>
      </c>
      <c r="V9468" t="s">
        <v>71</v>
      </c>
      <c r="W9468" t="str">
        <f>"   2016/ITE000000180"</f>
        <v xml:space="preserve">   2016/ITE000000180</v>
      </c>
      <c r="X9468">
        <v>580.99</v>
      </c>
      <c r="Y9468">
        <v>-104.77</v>
      </c>
      <c r="Z9468" s="3">
        <v>476.22</v>
      </c>
      <c r="AA9468">
        <v>78</v>
      </c>
      <c r="AB9468" s="5">
        <v>37145.160000000003</v>
      </c>
      <c r="AC9468">
        <v>476.22</v>
      </c>
      <c r="AD9468">
        <v>78</v>
      </c>
      <c r="AE9468" s="1">
        <v>37145.160000000003</v>
      </c>
      <c r="AF9468">
        <v>0</v>
      </c>
      <c r="AJ9468">
        <v>0</v>
      </c>
      <c r="AK9468">
        <v>0</v>
      </c>
      <c r="AL9468">
        <v>0</v>
      </c>
      <c r="AM9468">
        <v>476.22</v>
      </c>
      <c r="AN9468">
        <v>476.22</v>
      </c>
      <c r="AO9468">
        <v>476.22</v>
      </c>
      <c r="AP9468" s="2">
        <v>42746</v>
      </c>
      <c r="AQ9468" t="s">
        <v>72</v>
      </c>
      <c r="AR9468" t="s">
        <v>72</v>
      </c>
      <c r="AS9468">
        <v>3478</v>
      </c>
      <c r="AT9468" s="4">
        <v>42718</v>
      </c>
      <c r="AU9468" t="s">
        <v>73</v>
      </c>
      <c r="AV9468">
        <v>3478</v>
      </c>
      <c r="AW9468" s="4">
        <v>42718</v>
      </c>
      <c r="BD9468">
        <v>0</v>
      </c>
      <c r="BN9468" t="s">
        <v>74</v>
      </c>
    </row>
    <row r="9469" spans="1:66" hidden="1">
      <c r="A9469">
        <v>106764</v>
      </c>
      <c r="B9469" s="3" t="s">
        <v>940</v>
      </c>
      <c r="C9469" s="1">
        <v>43500101</v>
      </c>
      <c r="D9469" t="s">
        <v>113</v>
      </c>
      <c r="H9469" t="str">
        <f>"PTRDNC59P70H834W"</f>
        <v>PTRDNC59P70H834W</v>
      </c>
      <c r="I9469" t="str">
        <f>""</f>
        <v/>
      </c>
      <c r="K9469" t="str">
        <f>""</f>
        <v/>
      </c>
      <c r="M9469" t="s">
        <v>68</v>
      </c>
      <c r="N9469" t="str">
        <f t="shared" ref="N9469:N9475" si="1003">"ALT"</f>
        <v>ALT</v>
      </c>
      <c r="O9469" t="s">
        <v>114</v>
      </c>
      <c r="P9469" s="3" t="s">
        <v>91</v>
      </c>
      <c r="Q9469">
        <v>2016</v>
      </c>
      <c r="R9469" s="2">
        <v>42592</v>
      </c>
      <c r="S9469" s="2">
        <v>42598</v>
      </c>
      <c r="T9469" s="2">
        <v>42598</v>
      </c>
      <c r="U9469" s="2">
        <v>42658</v>
      </c>
      <c r="V9469" t="s">
        <v>71</v>
      </c>
      <c r="W9469" t="str">
        <f>"                0810"</f>
        <v xml:space="preserve">                0810</v>
      </c>
      <c r="X9469">
        <v>0</v>
      </c>
      <c r="Y9469">
        <v>368.12</v>
      </c>
      <c r="Z9469"/>
      <c r="AB9469"/>
      <c r="AC9469">
        <v>368.12</v>
      </c>
      <c r="AD9469">
        <v>-60</v>
      </c>
      <c r="AE9469" s="1">
        <v>-22087.200000000001</v>
      </c>
      <c r="AF9469">
        <v>0</v>
      </c>
      <c r="AJ9469">
        <v>0</v>
      </c>
      <c r="AK9469">
        <v>0</v>
      </c>
      <c r="AL9469">
        <v>0</v>
      </c>
      <c r="AM9469">
        <v>368.12</v>
      </c>
      <c r="AN9469">
        <v>368.12</v>
      </c>
      <c r="AO9469">
        <v>368.12</v>
      </c>
      <c r="AP9469" s="2">
        <v>42746</v>
      </c>
      <c r="AQ9469" t="s">
        <v>72</v>
      </c>
      <c r="AR9469" t="s">
        <v>72</v>
      </c>
      <c r="AS9469">
        <v>2211</v>
      </c>
      <c r="AT9469" s="4">
        <v>42598</v>
      </c>
      <c r="AV9469">
        <v>2211</v>
      </c>
      <c r="AW9469" s="4">
        <v>42598</v>
      </c>
      <c r="BD9469">
        <v>0</v>
      </c>
      <c r="BN9469" t="s">
        <v>74</v>
      </c>
    </row>
    <row r="9470" spans="1:66" hidden="1">
      <c r="A9470">
        <v>106764</v>
      </c>
      <c r="B9470" s="3" t="s">
        <v>940</v>
      </c>
      <c r="C9470" s="1">
        <v>43500101</v>
      </c>
      <c r="D9470" t="s">
        <v>113</v>
      </c>
      <c r="H9470" t="str">
        <f>"PTRDNC59P70H834W"</f>
        <v>PTRDNC59P70H834W</v>
      </c>
      <c r="I9470" t="str">
        <f>""</f>
        <v/>
      </c>
      <c r="K9470" t="str">
        <f>""</f>
        <v/>
      </c>
      <c r="M9470" t="s">
        <v>68</v>
      </c>
      <c r="N9470" t="str">
        <f t="shared" si="1003"/>
        <v>ALT</v>
      </c>
      <c r="O9470" t="s">
        <v>114</v>
      </c>
      <c r="P9470" s="3" t="s">
        <v>92</v>
      </c>
      <c r="Q9470">
        <v>2016</v>
      </c>
      <c r="R9470" s="2">
        <v>42633</v>
      </c>
      <c r="S9470" s="2">
        <v>42634</v>
      </c>
      <c r="T9470" s="2">
        <v>42634</v>
      </c>
      <c r="U9470" s="2">
        <v>42694</v>
      </c>
      <c r="V9470" t="s">
        <v>71</v>
      </c>
      <c r="W9470" t="str">
        <f>"                0920"</f>
        <v xml:space="preserve">                0920</v>
      </c>
      <c r="X9470">
        <v>0</v>
      </c>
      <c r="Y9470">
        <v>368.12</v>
      </c>
      <c r="Z9470"/>
      <c r="AB9470"/>
      <c r="AC9470">
        <v>368.12</v>
      </c>
      <c r="AD9470">
        <v>-60</v>
      </c>
      <c r="AE9470" s="1">
        <v>-22087.200000000001</v>
      </c>
      <c r="AF9470">
        <v>0</v>
      </c>
      <c r="AJ9470">
        <v>0</v>
      </c>
      <c r="AK9470">
        <v>0</v>
      </c>
      <c r="AL9470">
        <v>0</v>
      </c>
      <c r="AM9470">
        <v>368.12</v>
      </c>
      <c r="AN9470">
        <v>368.12</v>
      </c>
      <c r="AO9470">
        <v>368.12</v>
      </c>
      <c r="AP9470" s="2">
        <v>42746</v>
      </c>
      <c r="AQ9470" t="s">
        <v>72</v>
      </c>
      <c r="AR9470" t="s">
        <v>72</v>
      </c>
      <c r="AS9470">
        <v>2484</v>
      </c>
      <c r="AT9470" s="4">
        <v>42634</v>
      </c>
      <c r="AV9470">
        <v>2484</v>
      </c>
      <c r="AW9470" s="4">
        <v>42634</v>
      </c>
      <c r="BD9470">
        <v>0</v>
      </c>
      <c r="BN9470" t="s">
        <v>74</v>
      </c>
    </row>
    <row r="9471" spans="1:66" hidden="1">
      <c r="A9471">
        <v>106764</v>
      </c>
      <c r="B9471" s="3" t="s">
        <v>940</v>
      </c>
      <c r="C9471" s="1">
        <v>43500101</v>
      </c>
      <c r="D9471" t="s">
        <v>113</v>
      </c>
      <c r="H9471" t="str">
        <f>"PTRDNC59P70H834W"</f>
        <v>PTRDNC59P70H834W</v>
      </c>
      <c r="I9471" t="str">
        <f>""</f>
        <v/>
      </c>
      <c r="K9471" t="str">
        <f>""</f>
        <v/>
      </c>
      <c r="M9471" t="s">
        <v>68</v>
      </c>
      <c r="N9471" t="str">
        <f t="shared" si="1003"/>
        <v>ALT</v>
      </c>
      <c r="O9471" t="s">
        <v>114</v>
      </c>
      <c r="P9471" s="3" t="s">
        <v>93</v>
      </c>
      <c r="Q9471">
        <v>2016</v>
      </c>
      <c r="R9471" s="2">
        <v>42664</v>
      </c>
      <c r="S9471" s="2">
        <v>42667</v>
      </c>
      <c r="T9471" s="2">
        <v>42667</v>
      </c>
      <c r="U9471" s="2">
        <v>42727</v>
      </c>
      <c r="V9471" t="s">
        <v>71</v>
      </c>
      <c r="W9471" t="str">
        <f>"                1021"</f>
        <v xml:space="preserve">                1021</v>
      </c>
      <c r="X9471">
        <v>0</v>
      </c>
      <c r="Y9471">
        <v>368.12</v>
      </c>
      <c r="Z9471" s="3">
        <v>368.12</v>
      </c>
      <c r="AA9471">
        <v>-60</v>
      </c>
      <c r="AB9471" s="5">
        <v>-22087.200000000001</v>
      </c>
      <c r="AC9471">
        <v>368.12</v>
      </c>
      <c r="AD9471">
        <v>-60</v>
      </c>
      <c r="AE9471" s="1">
        <v>-22087.200000000001</v>
      </c>
      <c r="AF9471">
        <v>0</v>
      </c>
      <c r="AJ9471">
        <v>368.12</v>
      </c>
      <c r="AK9471">
        <v>368.12</v>
      </c>
      <c r="AL9471">
        <v>368.12</v>
      </c>
      <c r="AM9471">
        <v>368.12</v>
      </c>
      <c r="AN9471">
        <v>368.12</v>
      </c>
      <c r="AO9471">
        <v>368.12</v>
      </c>
      <c r="AP9471" s="2">
        <v>42746</v>
      </c>
      <c r="AQ9471" t="s">
        <v>72</v>
      </c>
      <c r="AR9471" t="s">
        <v>72</v>
      </c>
      <c r="AS9471">
        <v>2832</v>
      </c>
      <c r="AT9471" s="4">
        <v>42667</v>
      </c>
      <c r="AV9471">
        <v>2832</v>
      </c>
      <c r="AW9471" s="4">
        <v>42667</v>
      </c>
      <c r="BD9471">
        <v>0</v>
      </c>
      <c r="BN9471" t="s">
        <v>74</v>
      </c>
    </row>
    <row r="9472" spans="1:66" hidden="1">
      <c r="A9472">
        <v>106764</v>
      </c>
      <c r="B9472" s="3" t="s">
        <v>940</v>
      </c>
      <c r="C9472" s="1">
        <v>43500101</v>
      </c>
      <c r="D9472" t="s">
        <v>113</v>
      </c>
      <c r="H9472" t="str">
        <f>"PTRDNC59P70H834W"</f>
        <v>PTRDNC59P70H834W</v>
      </c>
      <c r="I9472" t="str">
        <f>""</f>
        <v/>
      </c>
      <c r="K9472" t="str">
        <f>""</f>
        <v/>
      </c>
      <c r="M9472" t="s">
        <v>68</v>
      </c>
      <c r="N9472" t="str">
        <f t="shared" si="1003"/>
        <v>ALT</v>
      </c>
      <c r="O9472" t="s">
        <v>114</v>
      </c>
      <c r="P9472" s="3" t="s">
        <v>94</v>
      </c>
      <c r="Q9472">
        <v>2016</v>
      </c>
      <c r="R9472" s="2">
        <v>42696</v>
      </c>
      <c r="S9472" s="2">
        <v>42696</v>
      </c>
      <c r="T9472" s="2">
        <v>42696</v>
      </c>
      <c r="U9472" s="2">
        <v>42756</v>
      </c>
      <c r="V9472" t="s">
        <v>71</v>
      </c>
      <c r="W9472" t="str">
        <f>"                1122"</f>
        <v xml:space="preserve">                1122</v>
      </c>
      <c r="X9472">
        <v>0</v>
      </c>
      <c r="Y9472">
        <v>368.12</v>
      </c>
      <c r="Z9472" s="3">
        <v>368.12</v>
      </c>
      <c r="AA9472">
        <v>-59</v>
      </c>
      <c r="AB9472" s="5">
        <v>-21719.08</v>
      </c>
      <c r="AC9472">
        <v>368.12</v>
      </c>
      <c r="AD9472">
        <v>-59</v>
      </c>
      <c r="AE9472" s="1">
        <v>-21719.08</v>
      </c>
      <c r="AF9472">
        <v>0</v>
      </c>
      <c r="AJ9472">
        <v>368.12</v>
      </c>
      <c r="AK9472">
        <v>368.12</v>
      </c>
      <c r="AL9472">
        <v>368.12</v>
      </c>
      <c r="AM9472">
        <v>368.12</v>
      </c>
      <c r="AN9472">
        <v>368.12</v>
      </c>
      <c r="AO9472">
        <v>368.12</v>
      </c>
      <c r="AP9472" s="2">
        <v>42746</v>
      </c>
      <c r="AQ9472" t="s">
        <v>72</v>
      </c>
      <c r="AR9472" t="s">
        <v>72</v>
      </c>
      <c r="AS9472">
        <v>3270</v>
      </c>
      <c r="AT9472" s="4">
        <v>42697</v>
      </c>
      <c r="AV9472">
        <v>3270</v>
      </c>
      <c r="AW9472" s="4">
        <v>42697</v>
      </c>
      <c r="BD9472">
        <v>0</v>
      </c>
      <c r="BN9472" t="s">
        <v>74</v>
      </c>
    </row>
    <row r="9473" spans="1:66" hidden="1">
      <c r="A9473">
        <v>106764</v>
      </c>
      <c r="B9473" s="3" t="s">
        <v>940</v>
      </c>
      <c r="C9473" s="1">
        <v>43500101</v>
      </c>
      <c r="D9473" t="s">
        <v>113</v>
      </c>
      <c r="H9473" t="str">
        <f>"PTRDNC59P70H834W"</f>
        <v>PTRDNC59P70H834W</v>
      </c>
      <c r="I9473" t="str">
        <f>""</f>
        <v/>
      </c>
      <c r="K9473" t="str">
        <f>""</f>
        <v/>
      </c>
      <c r="M9473" t="s">
        <v>68</v>
      </c>
      <c r="N9473" t="str">
        <f t="shared" si="1003"/>
        <v>ALT</v>
      </c>
      <c r="O9473" t="s">
        <v>114</v>
      </c>
      <c r="P9473" s="3" t="s">
        <v>95</v>
      </c>
      <c r="Q9473">
        <v>2016</v>
      </c>
      <c r="R9473" s="2">
        <v>42717</v>
      </c>
      <c r="S9473" s="2">
        <v>42717</v>
      </c>
      <c r="T9473" s="2">
        <v>42717</v>
      </c>
      <c r="U9473" s="2">
        <v>42777</v>
      </c>
      <c r="V9473" t="s">
        <v>71</v>
      </c>
      <c r="W9473" t="str">
        <f>"                1213"</f>
        <v xml:space="preserve">                1213</v>
      </c>
      <c r="X9473">
        <v>0</v>
      </c>
      <c r="Y9473">
        <v>368.12</v>
      </c>
      <c r="Z9473" s="3">
        <v>368.12</v>
      </c>
      <c r="AA9473">
        <v>-59</v>
      </c>
      <c r="AB9473" s="5">
        <v>-21719.08</v>
      </c>
      <c r="AC9473">
        <v>368.12</v>
      </c>
      <c r="AD9473">
        <v>-59</v>
      </c>
      <c r="AE9473" s="1">
        <v>-21719.08</v>
      </c>
      <c r="AF9473">
        <v>0</v>
      </c>
      <c r="AJ9473">
        <v>368.12</v>
      </c>
      <c r="AK9473">
        <v>368.12</v>
      </c>
      <c r="AL9473">
        <v>368.12</v>
      </c>
      <c r="AM9473">
        <v>368.12</v>
      </c>
      <c r="AN9473">
        <v>368.12</v>
      </c>
      <c r="AO9473">
        <v>368.12</v>
      </c>
      <c r="AP9473" s="2">
        <v>42746</v>
      </c>
      <c r="AQ9473" t="s">
        <v>72</v>
      </c>
      <c r="AR9473" t="s">
        <v>72</v>
      </c>
      <c r="AS9473">
        <v>3427</v>
      </c>
      <c r="AT9473" s="4">
        <v>42718</v>
      </c>
      <c r="AV9473">
        <v>3427</v>
      </c>
      <c r="AW9473" s="4">
        <v>42718</v>
      </c>
      <c r="BD9473">
        <v>0</v>
      </c>
      <c r="BN9473" t="s">
        <v>74</v>
      </c>
    </row>
    <row r="9474" spans="1:66" hidden="1">
      <c r="A9474">
        <v>106766</v>
      </c>
      <c r="B9474" s="3" t="s">
        <v>941</v>
      </c>
      <c r="C9474" s="1">
        <v>43500101</v>
      </c>
      <c r="D9474" t="s">
        <v>113</v>
      </c>
      <c r="H9474" t="str">
        <f>"TSTVCN67S01F839L"</f>
        <v>TSTVCN67S01F839L</v>
      </c>
      <c r="I9474" t="str">
        <f>""</f>
        <v/>
      </c>
      <c r="K9474" t="str">
        <f>""</f>
        <v/>
      </c>
      <c r="M9474" t="s">
        <v>68</v>
      </c>
      <c r="N9474" t="str">
        <f t="shared" si="1003"/>
        <v>ALT</v>
      </c>
      <c r="O9474" t="s">
        <v>114</v>
      </c>
      <c r="P9474" s="3" t="s">
        <v>216</v>
      </c>
      <c r="Q9474">
        <v>2016</v>
      </c>
      <c r="R9474" s="2">
        <v>42585</v>
      </c>
      <c r="S9474" s="2">
        <v>42585</v>
      </c>
      <c r="T9474" s="2">
        <v>42585</v>
      </c>
      <c r="U9474" s="2">
        <v>42645</v>
      </c>
      <c r="V9474" t="s">
        <v>71</v>
      </c>
      <c r="W9474" t="str">
        <f>"                 188"</f>
        <v xml:space="preserve">                 188</v>
      </c>
      <c r="X9474">
        <v>0</v>
      </c>
      <c r="Y9474" s="1">
        <v>3231.63</v>
      </c>
      <c r="Z9474"/>
      <c r="AB9474"/>
      <c r="AC9474" s="1">
        <v>3231.63</v>
      </c>
      <c r="AD9474">
        <v>-60</v>
      </c>
      <c r="AE9474" s="1">
        <v>-193897.8</v>
      </c>
      <c r="AF9474">
        <v>0</v>
      </c>
      <c r="AJ9474">
        <v>0</v>
      </c>
      <c r="AK9474">
        <v>0</v>
      </c>
      <c r="AL9474">
        <v>0</v>
      </c>
      <c r="AM9474" s="1">
        <v>3231.63</v>
      </c>
      <c r="AN9474" s="1">
        <v>3231.63</v>
      </c>
      <c r="AO9474" s="1">
        <v>3231.63</v>
      </c>
      <c r="AP9474" s="2">
        <v>42746</v>
      </c>
      <c r="AQ9474" t="s">
        <v>72</v>
      </c>
      <c r="AR9474" t="s">
        <v>72</v>
      </c>
      <c r="AS9474">
        <v>2146</v>
      </c>
      <c r="AT9474" s="4">
        <v>42585</v>
      </c>
      <c r="AV9474">
        <v>2146</v>
      </c>
      <c r="AW9474" s="4">
        <v>42585</v>
      </c>
      <c r="BD9474">
        <v>0</v>
      </c>
      <c r="BN9474" t="s">
        <v>74</v>
      </c>
    </row>
    <row r="9475" spans="1:66" hidden="1">
      <c r="A9475">
        <v>106769</v>
      </c>
      <c r="B9475" s="3" t="s">
        <v>942</v>
      </c>
      <c r="C9475" s="1">
        <v>43500101</v>
      </c>
      <c r="D9475" t="s">
        <v>113</v>
      </c>
      <c r="H9475" t="str">
        <f>"LLVRTT70B44A783H"</f>
        <v>LLVRTT70B44A783H</v>
      </c>
      <c r="I9475" t="str">
        <f>""</f>
        <v/>
      </c>
      <c r="K9475" t="str">
        <f>""</f>
        <v/>
      </c>
      <c r="M9475" t="s">
        <v>68</v>
      </c>
      <c r="N9475" t="str">
        <f t="shared" si="1003"/>
        <v>ALT</v>
      </c>
      <c r="O9475" t="s">
        <v>114</v>
      </c>
      <c r="P9475" s="3" t="s">
        <v>943</v>
      </c>
      <c r="Q9475">
        <v>2016</v>
      </c>
      <c r="R9475" s="2">
        <v>42635</v>
      </c>
      <c r="S9475" s="2">
        <v>42635</v>
      </c>
      <c r="T9475" s="2">
        <v>42635</v>
      </c>
      <c r="U9475" s="2">
        <v>42695</v>
      </c>
      <c r="V9475" t="s">
        <v>71</v>
      </c>
      <c r="W9475" t="str">
        <f>"                 209"</f>
        <v xml:space="preserve">                 209</v>
      </c>
      <c r="X9475">
        <v>0</v>
      </c>
      <c r="Y9475" s="1">
        <v>1000</v>
      </c>
      <c r="Z9475" s="5">
        <v>1000</v>
      </c>
      <c r="AA9475">
        <v>-49</v>
      </c>
      <c r="AB9475" s="5">
        <v>-49000</v>
      </c>
      <c r="AC9475" s="1">
        <v>1000</v>
      </c>
      <c r="AD9475">
        <v>-49</v>
      </c>
      <c r="AE9475" s="1">
        <v>-49000</v>
      </c>
      <c r="AF9475">
        <v>0</v>
      </c>
      <c r="AJ9475">
        <v>0</v>
      </c>
      <c r="AK9475">
        <v>0</v>
      </c>
      <c r="AL9475">
        <v>0</v>
      </c>
      <c r="AM9475" s="1">
        <v>1000</v>
      </c>
      <c r="AN9475" s="1">
        <v>1000</v>
      </c>
      <c r="AO9475" s="1">
        <v>1000</v>
      </c>
      <c r="AP9475" s="2">
        <v>42746</v>
      </c>
      <c r="AQ9475" t="s">
        <v>72</v>
      </c>
      <c r="AR9475" t="s">
        <v>72</v>
      </c>
      <c r="AS9475">
        <v>2546</v>
      </c>
      <c r="AT9475" s="4">
        <v>42646</v>
      </c>
      <c r="AV9475">
        <v>2546</v>
      </c>
      <c r="AW9475" s="4">
        <v>42646</v>
      </c>
      <c r="BD9475">
        <v>0</v>
      </c>
      <c r="BN9475" t="s">
        <v>74</v>
      </c>
    </row>
    <row r="9476" spans="1:66">
      <c r="A9476">
        <v>106771</v>
      </c>
      <c r="B9476" s="3" t="s">
        <v>944</v>
      </c>
      <c r="C9476" s="1">
        <v>43300101</v>
      </c>
      <c r="D9476" t="s">
        <v>67</v>
      </c>
      <c r="H9476" t="str">
        <f>"06261440728"</f>
        <v>06261440728</v>
      </c>
      <c r="I9476" t="str">
        <f>"06261440728"</f>
        <v>06261440728</v>
      </c>
      <c r="K9476" t="str">
        <f>""</f>
        <v/>
      </c>
      <c r="M9476" t="s">
        <v>68</v>
      </c>
      <c r="N9476" t="str">
        <f>"FOR"</f>
        <v>FOR</v>
      </c>
      <c r="O9476" t="s">
        <v>69</v>
      </c>
      <c r="P9476" s="3" t="s">
        <v>75</v>
      </c>
      <c r="Q9476">
        <v>2016</v>
      </c>
      <c r="R9476" s="2">
        <v>42643</v>
      </c>
      <c r="S9476" s="2">
        <v>42643</v>
      </c>
      <c r="T9476" s="2">
        <v>42643</v>
      </c>
      <c r="U9476" s="2">
        <v>42703</v>
      </c>
      <c r="V9476" t="s">
        <v>71</v>
      </c>
      <c r="W9476" t="str">
        <f>"            346/2016"</f>
        <v xml:space="preserve">            346/2016</v>
      </c>
      <c r="X9476">
        <v>495.93</v>
      </c>
      <c r="Y9476">
        <v>0</v>
      </c>
      <c r="Z9476" s="3">
        <v>406.5</v>
      </c>
      <c r="AA9476">
        <v>6</v>
      </c>
      <c r="AB9476" s="5">
        <v>2439</v>
      </c>
      <c r="AC9476">
        <v>406.5</v>
      </c>
      <c r="AD9476">
        <v>6</v>
      </c>
      <c r="AE9476" s="1">
        <v>2439</v>
      </c>
      <c r="AF9476">
        <v>89.43</v>
      </c>
      <c r="AJ9476">
        <v>0</v>
      </c>
      <c r="AK9476">
        <v>0</v>
      </c>
      <c r="AL9476">
        <v>0</v>
      </c>
      <c r="AM9476">
        <v>495.93</v>
      </c>
      <c r="AN9476">
        <v>495.93</v>
      </c>
      <c r="AO9476">
        <v>495.93</v>
      </c>
      <c r="AP9476" s="2">
        <v>42746</v>
      </c>
      <c r="AQ9476" t="s">
        <v>72</v>
      </c>
      <c r="AR9476" t="s">
        <v>72</v>
      </c>
      <c r="AS9476">
        <v>3342</v>
      </c>
      <c r="AT9476" s="4">
        <v>42709</v>
      </c>
      <c r="AU9476" t="s">
        <v>73</v>
      </c>
      <c r="AV9476">
        <v>3342</v>
      </c>
      <c r="AW9476" s="4">
        <v>42709</v>
      </c>
      <c r="AY9476">
        <v>89.43</v>
      </c>
      <c r="BD9476">
        <v>0</v>
      </c>
      <c r="BN9476" t="s">
        <v>74</v>
      </c>
    </row>
    <row r="9477" spans="1:66">
      <c r="A9477">
        <v>106772</v>
      </c>
      <c r="B9477" s="3" t="s">
        <v>945</v>
      </c>
      <c r="C9477" s="1">
        <v>43500101</v>
      </c>
      <c r="D9477" t="s">
        <v>113</v>
      </c>
      <c r="H9477" t="str">
        <f>"NGRMGB58L47A783K"</f>
        <v>NGRMGB58L47A783K</v>
      </c>
      <c r="I9477" t="str">
        <f>"01277220628"</f>
        <v>01277220628</v>
      </c>
      <c r="K9477" t="str">
        <f>""</f>
        <v/>
      </c>
      <c r="M9477" t="s">
        <v>68</v>
      </c>
      <c r="N9477" t="str">
        <f>"ALTPRO"</f>
        <v>ALTPRO</v>
      </c>
      <c r="O9477" t="s">
        <v>132</v>
      </c>
      <c r="P9477" s="3" t="s">
        <v>75</v>
      </c>
      <c r="Q9477">
        <v>2016</v>
      </c>
      <c r="R9477" s="2">
        <v>42620</v>
      </c>
      <c r="S9477" s="2">
        <v>42649</v>
      </c>
      <c r="T9477" s="2">
        <v>42647</v>
      </c>
      <c r="U9477" s="2">
        <v>42707</v>
      </c>
      <c r="V9477" t="s">
        <v>71</v>
      </c>
      <c r="W9477" t="str">
        <f>"  000001-2016-FATTPA"</f>
        <v xml:space="preserve">  000001-2016-FATTPA</v>
      </c>
      <c r="X9477" s="1">
        <v>5190.83</v>
      </c>
      <c r="Y9477">
        <v>-732.32</v>
      </c>
      <c r="Z9477" s="5">
        <v>4458.51</v>
      </c>
      <c r="AA9477">
        <v>-36</v>
      </c>
      <c r="AB9477" s="5">
        <v>-160506.35999999999</v>
      </c>
      <c r="AC9477" s="1">
        <v>4458.51</v>
      </c>
      <c r="AD9477">
        <v>-36</v>
      </c>
      <c r="AE9477" s="1">
        <v>-160506.35999999999</v>
      </c>
      <c r="AF9477">
        <v>0</v>
      </c>
      <c r="AJ9477">
        <v>0</v>
      </c>
      <c r="AK9477" s="1">
        <v>4458.51</v>
      </c>
      <c r="AL9477">
        <v>0</v>
      </c>
      <c r="AM9477" s="1">
        <v>4458.51</v>
      </c>
      <c r="AN9477" s="1">
        <v>4458.51</v>
      </c>
      <c r="AO9477" s="1">
        <v>4458.51</v>
      </c>
      <c r="AP9477" s="2">
        <v>42746</v>
      </c>
      <c r="AQ9477" t="s">
        <v>72</v>
      </c>
      <c r="AR9477" t="s">
        <v>72</v>
      </c>
      <c r="AS9477">
        <v>2900</v>
      </c>
      <c r="AT9477" s="4">
        <v>42671</v>
      </c>
      <c r="AV9477">
        <v>2900</v>
      </c>
      <c r="AW9477" s="4">
        <v>42671</v>
      </c>
      <c r="BD9477">
        <v>0</v>
      </c>
      <c r="BN9477" t="s">
        <v>74</v>
      </c>
    </row>
    <row r="9478" spans="1:66" hidden="1">
      <c r="A9478">
        <v>106773</v>
      </c>
      <c r="B9478" s="3" t="s">
        <v>946</v>
      </c>
      <c r="C9478" s="1">
        <v>43500101</v>
      </c>
      <c r="D9478" t="s">
        <v>113</v>
      </c>
      <c r="H9478" t="str">
        <f>"MLSNGL76B29A783C"</f>
        <v>MLSNGL76B29A783C</v>
      </c>
      <c r="I9478" t="str">
        <f>""</f>
        <v/>
      </c>
      <c r="K9478" t="str">
        <f>""</f>
        <v/>
      </c>
      <c r="M9478" t="s">
        <v>68</v>
      </c>
      <c r="N9478" t="str">
        <f t="shared" ref="N9478:N9494" si="1004">"ALT"</f>
        <v>ALT</v>
      </c>
      <c r="O9478" t="s">
        <v>114</v>
      </c>
      <c r="P9478" s="3" t="s">
        <v>947</v>
      </c>
      <c r="Q9478">
        <v>2016</v>
      </c>
      <c r="R9478" s="2">
        <v>42649</v>
      </c>
      <c r="S9478" s="2">
        <v>42649</v>
      </c>
      <c r="T9478" s="2">
        <v>42649</v>
      </c>
      <c r="U9478" s="2">
        <v>42709</v>
      </c>
      <c r="V9478" t="s">
        <v>71</v>
      </c>
      <c r="W9478" t="str">
        <f>"                 226"</f>
        <v xml:space="preserve">                 226</v>
      </c>
      <c r="X9478">
        <v>0</v>
      </c>
      <c r="Y9478" s="1">
        <v>15681.99</v>
      </c>
      <c r="Z9478" s="5">
        <v>15681.99</v>
      </c>
      <c r="AA9478">
        <v>-59</v>
      </c>
      <c r="AB9478" s="5">
        <v>-925237.41</v>
      </c>
      <c r="AC9478" s="1">
        <v>15681.99</v>
      </c>
      <c r="AD9478">
        <v>-59</v>
      </c>
      <c r="AE9478" s="1">
        <v>-925237.41</v>
      </c>
      <c r="AF9478">
        <v>0</v>
      </c>
      <c r="AJ9478" s="1">
        <v>15681.99</v>
      </c>
      <c r="AK9478" s="1">
        <v>15681.99</v>
      </c>
      <c r="AL9478" s="1">
        <v>15681.99</v>
      </c>
      <c r="AM9478" s="1">
        <v>15681.99</v>
      </c>
      <c r="AN9478" s="1">
        <v>15681.99</v>
      </c>
      <c r="AO9478" s="1">
        <v>15681.99</v>
      </c>
      <c r="AP9478" s="2">
        <v>42746</v>
      </c>
      <c r="AQ9478" t="s">
        <v>72</v>
      </c>
      <c r="AR9478" t="s">
        <v>72</v>
      </c>
      <c r="AS9478">
        <v>2727</v>
      </c>
      <c r="AT9478" s="4">
        <v>42650</v>
      </c>
      <c r="AV9478">
        <v>2727</v>
      </c>
      <c r="AW9478" s="4">
        <v>42650</v>
      </c>
      <c r="BD9478">
        <v>0</v>
      </c>
      <c r="BN9478" t="s">
        <v>74</v>
      </c>
    </row>
    <row r="9479" spans="1:66" hidden="1">
      <c r="A9479">
        <v>106776</v>
      </c>
      <c r="B9479" s="3" t="s">
        <v>948</v>
      </c>
      <c r="C9479" s="1">
        <v>43500101</v>
      </c>
      <c r="D9479" t="s">
        <v>113</v>
      </c>
      <c r="H9479" t="str">
        <f>"CVNLSN84M26A783Q"</f>
        <v>CVNLSN84M26A783Q</v>
      </c>
      <c r="I9479" t="str">
        <f>""</f>
        <v/>
      </c>
      <c r="K9479" t="str">
        <f>""</f>
        <v/>
      </c>
      <c r="M9479" t="s">
        <v>68</v>
      </c>
      <c r="N9479" t="str">
        <f t="shared" si="1004"/>
        <v>ALT</v>
      </c>
      <c r="O9479" t="s">
        <v>114</v>
      </c>
      <c r="P9479" s="3" t="s">
        <v>937</v>
      </c>
      <c r="Q9479">
        <v>2016</v>
      </c>
      <c r="R9479" s="2">
        <v>42655</v>
      </c>
      <c r="S9479" s="2">
        <v>42655</v>
      </c>
      <c r="T9479" s="2">
        <v>42655</v>
      </c>
      <c r="U9479" s="2">
        <v>42715</v>
      </c>
      <c r="V9479" t="s">
        <v>71</v>
      </c>
      <c r="W9479" t="str">
        <f>"                 229"</f>
        <v xml:space="preserve">                 229</v>
      </c>
      <c r="X9479">
        <v>0</v>
      </c>
      <c r="Y9479" s="1">
        <v>21030.94</v>
      </c>
      <c r="Z9479" s="5">
        <v>21030.94</v>
      </c>
      <c r="AA9479">
        <v>-59</v>
      </c>
      <c r="AB9479" s="5">
        <v>-1240825.46</v>
      </c>
      <c r="AC9479" s="1">
        <v>21030.94</v>
      </c>
      <c r="AD9479">
        <v>-59</v>
      </c>
      <c r="AE9479" s="1">
        <v>-1240825.46</v>
      </c>
      <c r="AF9479">
        <v>0</v>
      </c>
      <c r="AJ9479" s="1">
        <v>21030.94</v>
      </c>
      <c r="AK9479" s="1">
        <v>21030.94</v>
      </c>
      <c r="AL9479" s="1">
        <v>21030.94</v>
      </c>
      <c r="AM9479" s="1">
        <v>21030.94</v>
      </c>
      <c r="AN9479" s="1">
        <v>21030.94</v>
      </c>
      <c r="AO9479" s="1">
        <v>21030.94</v>
      </c>
      <c r="AP9479" s="2">
        <v>42746</v>
      </c>
      <c r="AQ9479" t="s">
        <v>72</v>
      </c>
      <c r="AR9479" t="s">
        <v>72</v>
      </c>
      <c r="AS9479">
        <v>2732</v>
      </c>
      <c r="AT9479" s="4">
        <v>42656</v>
      </c>
      <c r="AV9479">
        <v>2732</v>
      </c>
      <c r="AW9479" s="4">
        <v>42656</v>
      </c>
      <c r="BD9479">
        <v>0</v>
      </c>
      <c r="BN9479" t="s">
        <v>74</v>
      </c>
    </row>
    <row r="9480" spans="1:66" hidden="1">
      <c r="A9480">
        <v>106777</v>
      </c>
      <c r="B9480" s="3" t="s">
        <v>949</v>
      </c>
      <c r="C9480" s="1">
        <v>43500101</v>
      </c>
      <c r="D9480" t="s">
        <v>113</v>
      </c>
      <c r="H9480" t="str">
        <f>"CCUGPP84M20A783T"</f>
        <v>CCUGPP84M20A783T</v>
      </c>
      <c r="I9480" t="str">
        <f>""</f>
        <v/>
      </c>
      <c r="K9480" t="str">
        <f>""</f>
        <v/>
      </c>
      <c r="M9480" t="s">
        <v>68</v>
      </c>
      <c r="N9480" t="str">
        <f t="shared" si="1004"/>
        <v>ALT</v>
      </c>
      <c r="O9480" t="s">
        <v>114</v>
      </c>
      <c r="P9480" s="3" t="s">
        <v>937</v>
      </c>
      <c r="Q9480">
        <v>2016</v>
      </c>
      <c r="R9480" s="2">
        <v>42655</v>
      </c>
      <c r="S9480" s="2">
        <v>42655</v>
      </c>
      <c r="T9480" s="2">
        <v>42655</v>
      </c>
      <c r="U9480" s="2">
        <v>42715</v>
      </c>
      <c r="V9480" t="s">
        <v>71</v>
      </c>
      <c r="W9480" t="str">
        <f>"                 230"</f>
        <v xml:space="preserve">                 230</v>
      </c>
      <c r="X9480">
        <v>0</v>
      </c>
      <c r="Y9480" s="1">
        <v>21003.53</v>
      </c>
      <c r="Z9480" s="5">
        <v>21003.53</v>
      </c>
      <c r="AA9480">
        <v>-59</v>
      </c>
      <c r="AB9480" s="5">
        <v>-1239208.27</v>
      </c>
      <c r="AC9480" s="1">
        <v>21003.53</v>
      </c>
      <c r="AD9480">
        <v>-59</v>
      </c>
      <c r="AE9480" s="1">
        <v>-1239208.27</v>
      </c>
      <c r="AF9480">
        <v>0</v>
      </c>
      <c r="AJ9480" s="1">
        <v>21003.53</v>
      </c>
      <c r="AK9480" s="1">
        <v>21003.53</v>
      </c>
      <c r="AL9480" s="1">
        <v>21003.53</v>
      </c>
      <c r="AM9480" s="1">
        <v>21003.53</v>
      </c>
      <c r="AN9480" s="1">
        <v>21003.53</v>
      </c>
      <c r="AO9480" s="1">
        <v>21003.53</v>
      </c>
      <c r="AP9480" s="2">
        <v>42746</v>
      </c>
      <c r="AQ9480" t="s">
        <v>72</v>
      </c>
      <c r="AR9480" t="s">
        <v>72</v>
      </c>
      <c r="AS9480">
        <v>2729</v>
      </c>
      <c r="AT9480" s="4">
        <v>42656</v>
      </c>
      <c r="AV9480">
        <v>2729</v>
      </c>
      <c r="AW9480" s="4">
        <v>42656</v>
      </c>
      <c r="BD9480">
        <v>0</v>
      </c>
      <c r="BN9480" t="s">
        <v>74</v>
      </c>
    </row>
    <row r="9481" spans="1:66" hidden="1">
      <c r="A9481">
        <v>106778</v>
      </c>
      <c r="B9481" s="3" t="s">
        <v>950</v>
      </c>
      <c r="C9481" s="1">
        <v>43500101</v>
      </c>
      <c r="D9481" t="s">
        <v>113</v>
      </c>
      <c r="H9481" t="str">
        <f>"SPLKTA70A61A783H"</f>
        <v>SPLKTA70A61A783H</v>
      </c>
      <c r="I9481" t="str">
        <f>""</f>
        <v/>
      </c>
      <c r="K9481" t="str">
        <f>""</f>
        <v/>
      </c>
      <c r="M9481" t="s">
        <v>68</v>
      </c>
      <c r="N9481" t="str">
        <f t="shared" si="1004"/>
        <v>ALT</v>
      </c>
      <c r="O9481" t="s">
        <v>114</v>
      </c>
      <c r="P9481" s="3" t="s">
        <v>937</v>
      </c>
      <c r="Q9481">
        <v>2016</v>
      </c>
      <c r="R9481" s="2">
        <v>42655</v>
      </c>
      <c r="S9481" s="2">
        <v>42655</v>
      </c>
      <c r="T9481" s="2">
        <v>42655</v>
      </c>
      <c r="U9481" s="2">
        <v>42715</v>
      </c>
      <c r="V9481" t="s">
        <v>71</v>
      </c>
      <c r="W9481" t="str">
        <f>"                 231"</f>
        <v xml:space="preserve">                 231</v>
      </c>
      <c r="X9481">
        <v>0</v>
      </c>
      <c r="Y9481" s="1">
        <v>21359.72</v>
      </c>
      <c r="Z9481" s="5">
        <v>21359.72</v>
      </c>
      <c r="AA9481">
        <v>-59</v>
      </c>
      <c r="AB9481" s="5">
        <v>-1260223.48</v>
      </c>
      <c r="AC9481" s="1">
        <v>21359.72</v>
      </c>
      <c r="AD9481">
        <v>-59</v>
      </c>
      <c r="AE9481" s="1">
        <v>-1260223.48</v>
      </c>
      <c r="AF9481">
        <v>0</v>
      </c>
      <c r="AJ9481" s="1">
        <v>21359.72</v>
      </c>
      <c r="AK9481" s="1">
        <v>21359.72</v>
      </c>
      <c r="AL9481" s="1">
        <v>21359.72</v>
      </c>
      <c r="AM9481" s="1">
        <v>21359.72</v>
      </c>
      <c r="AN9481" s="1">
        <v>21359.72</v>
      </c>
      <c r="AO9481" s="1">
        <v>21359.72</v>
      </c>
      <c r="AP9481" s="2">
        <v>42746</v>
      </c>
      <c r="AQ9481" t="s">
        <v>72</v>
      </c>
      <c r="AR9481" t="s">
        <v>72</v>
      </c>
      <c r="AS9481">
        <v>2742</v>
      </c>
      <c r="AT9481" s="4">
        <v>42656</v>
      </c>
      <c r="AV9481">
        <v>2742</v>
      </c>
      <c r="AW9481" s="4">
        <v>42656</v>
      </c>
      <c r="BD9481">
        <v>0</v>
      </c>
      <c r="BN9481" t="s">
        <v>74</v>
      </c>
    </row>
    <row r="9482" spans="1:66" hidden="1">
      <c r="A9482">
        <v>106779</v>
      </c>
      <c r="B9482" s="3" t="s">
        <v>951</v>
      </c>
      <c r="C9482" s="1">
        <v>43500101</v>
      </c>
      <c r="D9482" t="s">
        <v>113</v>
      </c>
      <c r="H9482" t="str">
        <f>"RLNCSM63D21A783U"</f>
        <v>RLNCSM63D21A783U</v>
      </c>
      <c r="I9482" t="str">
        <f>""</f>
        <v/>
      </c>
      <c r="K9482" t="str">
        <f>""</f>
        <v/>
      </c>
      <c r="M9482" t="s">
        <v>68</v>
      </c>
      <c r="N9482" t="str">
        <f t="shared" si="1004"/>
        <v>ALT</v>
      </c>
      <c r="O9482" t="s">
        <v>114</v>
      </c>
      <c r="P9482" s="3" t="s">
        <v>937</v>
      </c>
      <c r="Q9482">
        <v>2016</v>
      </c>
      <c r="R9482" s="2">
        <v>42655</v>
      </c>
      <c r="S9482" s="2">
        <v>42655</v>
      </c>
      <c r="T9482" s="2">
        <v>42655</v>
      </c>
      <c r="U9482" s="2">
        <v>42715</v>
      </c>
      <c r="V9482" t="s">
        <v>71</v>
      </c>
      <c r="W9482" t="str">
        <f>"                 232"</f>
        <v xml:space="preserve">                 232</v>
      </c>
      <c r="X9482">
        <v>0</v>
      </c>
      <c r="Y9482" s="1">
        <v>20791.599999999999</v>
      </c>
      <c r="Z9482" s="5">
        <v>20791.599999999999</v>
      </c>
      <c r="AA9482">
        <v>-59</v>
      </c>
      <c r="AB9482" s="5">
        <v>-1226704.3999999999</v>
      </c>
      <c r="AC9482" s="1">
        <v>20791.599999999999</v>
      </c>
      <c r="AD9482">
        <v>-59</v>
      </c>
      <c r="AE9482" s="1">
        <v>-1226704.3999999999</v>
      </c>
      <c r="AF9482">
        <v>0</v>
      </c>
      <c r="AJ9482" s="1">
        <v>20791.599999999999</v>
      </c>
      <c r="AK9482" s="1">
        <v>20791.599999999999</v>
      </c>
      <c r="AL9482" s="1">
        <v>20791.599999999999</v>
      </c>
      <c r="AM9482" s="1">
        <v>20791.599999999999</v>
      </c>
      <c r="AN9482" s="1">
        <v>20791.599999999999</v>
      </c>
      <c r="AO9482" s="1">
        <v>20791.599999999999</v>
      </c>
      <c r="AP9482" s="2">
        <v>42746</v>
      </c>
      <c r="AQ9482" t="s">
        <v>72</v>
      </c>
      <c r="AR9482" t="s">
        <v>72</v>
      </c>
      <c r="AS9482">
        <v>2741</v>
      </c>
      <c r="AT9482" s="4">
        <v>42656</v>
      </c>
      <c r="AV9482">
        <v>2741</v>
      </c>
      <c r="AW9482" s="4">
        <v>42656</v>
      </c>
      <c r="BD9482">
        <v>0</v>
      </c>
      <c r="BN9482" t="s">
        <v>74</v>
      </c>
    </row>
    <row r="9483" spans="1:66" hidden="1">
      <c r="A9483">
        <v>106780</v>
      </c>
      <c r="B9483" s="3" t="s">
        <v>952</v>
      </c>
      <c r="C9483" s="1">
        <v>43500101</v>
      </c>
      <c r="D9483" t="s">
        <v>113</v>
      </c>
      <c r="H9483" t="str">
        <f>"CVLTZN74T59A783W"</f>
        <v>CVLTZN74T59A783W</v>
      </c>
      <c r="I9483" t="str">
        <f>""</f>
        <v/>
      </c>
      <c r="K9483" t="str">
        <f>""</f>
        <v/>
      </c>
      <c r="M9483" t="s">
        <v>68</v>
      </c>
      <c r="N9483" t="str">
        <f t="shared" si="1004"/>
        <v>ALT</v>
      </c>
      <c r="O9483" t="s">
        <v>114</v>
      </c>
      <c r="P9483" s="3" t="s">
        <v>937</v>
      </c>
      <c r="Q9483">
        <v>2016</v>
      </c>
      <c r="R9483" s="2">
        <v>42655</v>
      </c>
      <c r="S9483" s="2">
        <v>42655</v>
      </c>
      <c r="T9483" s="2">
        <v>42655</v>
      </c>
      <c r="U9483" s="2">
        <v>42715</v>
      </c>
      <c r="V9483" t="s">
        <v>71</v>
      </c>
      <c r="W9483" t="str">
        <f>"                 233"</f>
        <v xml:space="preserve">                 233</v>
      </c>
      <c r="X9483">
        <v>0</v>
      </c>
      <c r="Y9483" s="1">
        <v>21359.72</v>
      </c>
      <c r="Z9483" s="5">
        <v>21359.72</v>
      </c>
      <c r="AA9483">
        <v>-59</v>
      </c>
      <c r="AB9483" s="5">
        <v>-1260223.48</v>
      </c>
      <c r="AC9483" s="1">
        <v>21359.72</v>
      </c>
      <c r="AD9483">
        <v>-59</v>
      </c>
      <c r="AE9483" s="1">
        <v>-1260223.48</v>
      </c>
      <c r="AF9483">
        <v>0</v>
      </c>
      <c r="AJ9483" s="1">
        <v>21359.72</v>
      </c>
      <c r="AK9483" s="1">
        <v>21359.72</v>
      </c>
      <c r="AL9483" s="1">
        <v>21359.72</v>
      </c>
      <c r="AM9483" s="1">
        <v>21359.72</v>
      </c>
      <c r="AN9483" s="1">
        <v>21359.72</v>
      </c>
      <c r="AO9483" s="1">
        <v>21359.72</v>
      </c>
      <c r="AP9483" s="2">
        <v>42746</v>
      </c>
      <c r="AQ9483" t="s">
        <v>72</v>
      </c>
      <c r="AR9483" t="s">
        <v>72</v>
      </c>
      <c r="AS9483">
        <v>2730</v>
      </c>
      <c r="AT9483" s="4">
        <v>42656</v>
      </c>
      <c r="AV9483">
        <v>2730</v>
      </c>
      <c r="AW9483" s="4">
        <v>42656</v>
      </c>
      <c r="BD9483">
        <v>0</v>
      </c>
      <c r="BN9483" t="s">
        <v>74</v>
      </c>
    </row>
    <row r="9484" spans="1:66" hidden="1">
      <c r="A9484">
        <v>106782</v>
      </c>
      <c r="B9484" s="3" t="s">
        <v>953</v>
      </c>
      <c r="C9484" s="1">
        <v>43500101</v>
      </c>
      <c r="D9484" t="s">
        <v>113</v>
      </c>
      <c r="H9484" t="str">
        <f>"DLGLNE67D24A783K"</f>
        <v>DLGLNE67D24A783K</v>
      </c>
      <c r="I9484" t="str">
        <f>""</f>
        <v/>
      </c>
      <c r="K9484" t="str">
        <f>""</f>
        <v/>
      </c>
      <c r="M9484" t="s">
        <v>68</v>
      </c>
      <c r="N9484" t="str">
        <f t="shared" si="1004"/>
        <v>ALT</v>
      </c>
      <c r="O9484" t="s">
        <v>114</v>
      </c>
      <c r="P9484" s="3" t="s">
        <v>937</v>
      </c>
      <c r="Q9484">
        <v>2016</v>
      </c>
      <c r="R9484" s="2">
        <v>42655</v>
      </c>
      <c r="S9484" s="2">
        <v>42655</v>
      </c>
      <c r="T9484" s="2">
        <v>42655</v>
      </c>
      <c r="U9484" s="2">
        <v>42715</v>
      </c>
      <c r="V9484" t="s">
        <v>71</v>
      </c>
      <c r="W9484" t="str">
        <f>"                 242"</f>
        <v xml:space="preserve">                 242</v>
      </c>
      <c r="X9484">
        <v>0</v>
      </c>
      <c r="Y9484" s="1">
        <v>20791.599999999999</v>
      </c>
      <c r="Z9484" s="5">
        <v>20791.599999999999</v>
      </c>
      <c r="AA9484">
        <v>-59</v>
      </c>
      <c r="AB9484" s="5">
        <v>-1226704.3999999999</v>
      </c>
      <c r="AC9484" s="1">
        <v>20791.599999999999</v>
      </c>
      <c r="AD9484">
        <v>-59</v>
      </c>
      <c r="AE9484" s="1">
        <v>-1226704.3999999999</v>
      </c>
      <c r="AF9484">
        <v>0</v>
      </c>
      <c r="AJ9484" s="1">
        <v>20791.599999999999</v>
      </c>
      <c r="AK9484" s="1">
        <v>20791.599999999999</v>
      </c>
      <c r="AL9484" s="1">
        <v>20791.599999999999</v>
      </c>
      <c r="AM9484" s="1">
        <v>20791.599999999999</v>
      </c>
      <c r="AN9484" s="1">
        <v>20791.599999999999</v>
      </c>
      <c r="AO9484" s="1">
        <v>20791.599999999999</v>
      </c>
      <c r="AP9484" s="2">
        <v>42746</v>
      </c>
      <c r="AQ9484" t="s">
        <v>72</v>
      </c>
      <c r="AR9484" t="s">
        <v>72</v>
      </c>
      <c r="AS9484">
        <v>2731</v>
      </c>
      <c r="AT9484" s="4">
        <v>42656</v>
      </c>
      <c r="AV9484">
        <v>2731</v>
      </c>
      <c r="AW9484" s="4">
        <v>42656</v>
      </c>
      <c r="BD9484">
        <v>0</v>
      </c>
      <c r="BN9484" t="s">
        <v>74</v>
      </c>
    </row>
    <row r="9485" spans="1:66" hidden="1">
      <c r="A9485">
        <v>106783</v>
      </c>
      <c r="B9485" s="3" t="s">
        <v>954</v>
      </c>
      <c r="C9485" s="1">
        <v>43500101</v>
      </c>
      <c r="D9485" t="s">
        <v>113</v>
      </c>
      <c r="H9485" t="str">
        <f>"GMMLDN67P60A783K"</f>
        <v>GMMLDN67P60A783K</v>
      </c>
      <c r="I9485" t="str">
        <f>""</f>
        <v/>
      </c>
      <c r="K9485" t="str">
        <f>""</f>
        <v/>
      </c>
      <c r="M9485" t="s">
        <v>68</v>
      </c>
      <c r="N9485" t="str">
        <f t="shared" si="1004"/>
        <v>ALT</v>
      </c>
      <c r="O9485" t="s">
        <v>114</v>
      </c>
      <c r="P9485" s="3" t="s">
        <v>937</v>
      </c>
      <c r="Q9485">
        <v>2016</v>
      </c>
      <c r="R9485" s="2">
        <v>42655</v>
      </c>
      <c r="S9485" s="2">
        <v>42655</v>
      </c>
      <c r="T9485" s="2">
        <v>42655</v>
      </c>
      <c r="U9485" s="2">
        <v>42715</v>
      </c>
      <c r="V9485" t="s">
        <v>71</v>
      </c>
      <c r="W9485" t="str">
        <f>"                 234"</f>
        <v xml:space="preserve">                 234</v>
      </c>
      <c r="X9485">
        <v>0</v>
      </c>
      <c r="Y9485" s="1">
        <v>21359.72</v>
      </c>
      <c r="Z9485" s="5">
        <v>21359.72</v>
      </c>
      <c r="AA9485">
        <v>-59</v>
      </c>
      <c r="AB9485" s="5">
        <v>-1260223.48</v>
      </c>
      <c r="AC9485" s="1">
        <v>21359.72</v>
      </c>
      <c r="AD9485">
        <v>-59</v>
      </c>
      <c r="AE9485" s="1">
        <v>-1260223.48</v>
      </c>
      <c r="AF9485">
        <v>0</v>
      </c>
      <c r="AJ9485" s="1">
        <v>21359.72</v>
      </c>
      <c r="AK9485" s="1">
        <v>21359.72</v>
      </c>
      <c r="AL9485" s="1">
        <v>21359.72</v>
      </c>
      <c r="AM9485" s="1">
        <v>21359.72</v>
      </c>
      <c r="AN9485" s="1">
        <v>21359.72</v>
      </c>
      <c r="AO9485" s="1">
        <v>21359.72</v>
      </c>
      <c r="AP9485" s="2">
        <v>42746</v>
      </c>
      <c r="AQ9485" t="s">
        <v>72</v>
      </c>
      <c r="AR9485" t="s">
        <v>72</v>
      </c>
      <c r="AS9485">
        <v>2733</v>
      </c>
      <c r="AT9485" s="4">
        <v>42656</v>
      </c>
      <c r="AV9485">
        <v>2733</v>
      </c>
      <c r="AW9485" s="4">
        <v>42656</v>
      </c>
      <c r="BD9485">
        <v>0</v>
      </c>
      <c r="BN9485" t="s">
        <v>74</v>
      </c>
    </row>
    <row r="9486" spans="1:66" hidden="1">
      <c r="A9486">
        <v>106784</v>
      </c>
      <c r="B9486" s="3" t="s">
        <v>955</v>
      </c>
      <c r="C9486" s="1">
        <v>43500101</v>
      </c>
      <c r="D9486" t="s">
        <v>113</v>
      </c>
      <c r="H9486" t="str">
        <f>"DLLMCR58L56A783D"</f>
        <v>DLLMCR58L56A783D</v>
      </c>
      <c r="I9486" t="str">
        <f>""</f>
        <v/>
      </c>
      <c r="K9486" t="str">
        <f>""</f>
        <v/>
      </c>
      <c r="M9486" t="s">
        <v>68</v>
      </c>
      <c r="N9486" t="str">
        <f t="shared" si="1004"/>
        <v>ALT</v>
      </c>
      <c r="O9486" t="s">
        <v>114</v>
      </c>
      <c r="P9486" s="3" t="s">
        <v>937</v>
      </c>
      <c r="Q9486">
        <v>2016</v>
      </c>
      <c r="R9486" s="2">
        <v>42655</v>
      </c>
      <c r="S9486" s="2">
        <v>42655</v>
      </c>
      <c r="T9486" s="2">
        <v>42655</v>
      </c>
      <c r="U9486" s="2">
        <v>42715</v>
      </c>
      <c r="V9486" t="s">
        <v>71</v>
      </c>
      <c r="W9486" t="str">
        <f>"                 235"</f>
        <v xml:space="preserve">                 235</v>
      </c>
      <c r="X9486">
        <v>0</v>
      </c>
      <c r="Y9486" s="1">
        <v>20791.599999999999</v>
      </c>
      <c r="Z9486" s="5">
        <v>20791.599999999999</v>
      </c>
      <c r="AA9486">
        <v>-59</v>
      </c>
      <c r="AB9486" s="5">
        <v>-1226704.3999999999</v>
      </c>
      <c r="AC9486" s="1">
        <v>20791.599999999999</v>
      </c>
      <c r="AD9486">
        <v>-59</v>
      </c>
      <c r="AE9486" s="1">
        <v>-1226704.3999999999</v>
      </c>
      <c r="AF9486">
        <v>0</v>
      </c>
      <c r="AJ9486" s="1">
        <v>20791.599999999999</v>
      </c>
      <c r="AK9486" s="1">
        <v>20791.599999999999</v>
      </c>
      <c r="AL9486" s="1">
        <v>20791.599999999999</v>
      </c>
      <c r="AM9486" s="1">
        <v>20791.599999999999</v>
      </c>
      <c r="AN9486" s="1">
        <v>20791.599999999999</v>
      </c>
      <c r="AO9486" s="1">
        <v>20791.599999999999</v>
      </c>
      <c r="AP9486" s="2">
        <v>42746</v>
      </c>
      <c r="AQ9486" t="s">
        <v>72</v>
      </c>
      <c r="AR9486" t="s">
        <v>72</v>
      </c>
      <c r="AS9486">
        <v>2734</v>
      </c>
      <c r="AT9486" s="4">
        <v>42656</v>
      </c>
      <c r="AV9486">
        <v>2734</v>
      </c>
      <c r="AW9486" s="4">
        <v>42656</v>
      </c>
      <c r="BD9486">
        <v>0</v>
      </c>
      <c r="BN9486" t="s">
        <v>74</v>
      </c>
    </row>
    <row r="9487" spans="1:66" hidden="1">
      <c r="A9487">
        <v>106785</v>
      </c>
      <c r="B9487" s="3" t="s">
        <v>956</v>
      </c>
      <c r="C9487" s="1">
        <v>43500101</v>
      </c>
      <c r="D9487" t="s">
        <v>113</v>
      </c>
      <c r="H9487" t="str">
        <f>"PRRLGU60D01B239W"</f>
        <v>PRRLGU60D01B239W</v>
      </c>
      <c r="I9487" t="str">
        <f>""</f>
        <v/>
      </c>
      <c r="K9487" t="str">
        <f>""</f>
        <v/>
      </c>
      <c r="M9487" t="s">
        <v>68</v>
      </c>
      <c r="N9487" t="str">
        <f t="shared" si="1004"/>
        <v>ALT</v>
      </c>
      <c r="O9487" t="s">
        <v>114</v>
      </c>
      <c r="P9487" s="3" t="s">
        <v>937</v>
      </c>
      <c r="Q9487">
        <v>2016</v>
      </c>
      <c r="R9487" s="2">
        <v>42655</v>
      </c>
      <c r="S9487" s="2">
        <v>42655</v>
      </c>
      <c r="T9487" s="2">
        <v>42655</v>
      </c>
      <c r="U9487" s="2">
        <v>42715</v>
      </c>
      <c r="V9487" t="s">
        <v>71</v>
      </c>
      <c r="W9487" t="str">
        <f>"                 236"</f>
        <v xml:space="preserve">                 236</v>
      </c>
      <c r="X9487">
        <v>0</v>
      </c>
      <c r="Y9487" s="1">
        <v>21030.94</v>
      </c>
      <c r="Z9487" s="5">
        <v>21030.94</v>
      </c>
      <c r="AA9487">
        <v>-59</v>
      </c>
      <c r="AB9487" s="5">
        <v>-1240825.46</v>
      </c>
      <c r="AC9487" s="1">
        <v>21030.94</v>
      </c>
      <c r="AD9487">
        <v>-59</v>
      </c>
      <c r="AE9487" s="1">
        <v>-1240825.46</v>
      </c>
      <c r="AF9487">
        <v>0</v>
      </c>
      <c r="AJ9487" s="1">
        <v>21030.94</v>
      </c>
      <c r="AK9487" s="1">
        <v>21030.94</v>
      </c>
      <c r="AL9487" s="1">
        <v>21030.94</v>
      </c>
      <c r="AM9487" s="1">
        <v>21030.94</v>
      </c>
      <c r="AN9487" s="1">
        <v>21030.94</v>
      </c>
      <c r="AO9487" s="1">
        <v>21030.94</v>
      </c>
      <c r="AP9487" s="2">
        <v>42746</v>
      </c>
      <c r="AQ9487" t="s">
        <v>72</v>
      </c>
      <c r="AR9487" t="s">
        <v>72</v>
      </c>
      <c r="AS9487">
        <v>2735</v>
      </c>
      <c r="AT9487" s="4">
        <v>42656</v>
      </c>
      <c r="AV9487">
        <v>2735</v>
      </c>
      <c r="AW9487" s="4">
        <v>42656</v>
      </c>
      <c r="BD9487">
        <v>0</v>
      </c>
      <c r="BN9487" t="s">
        <v>74</v>
      </c>
    </row>
    <row r="9488" spans="1:66" hidden="1">
      <c r="A9488">
        <v>106786</v>
      </c>
      <c r="B9488" s="3" t="s">
        <v>957</v>
      </c>
      <c r="C9488" s="1">
        <v>43500101</v>
      </c>
      <c r="D9488" t="s">
        <v>113</v>
      </c>
      <c r="H9488" t="str">
        <f>"BSCNNA70S61I277Y"</f>
        <v>BSCNNA70S61I277Y</v>
      </c>
      <c r="I9488" t="str">
        <f>""</f>
        <v/>
      </c>
      <c r="K9488" t="str">
        <f>""</f>
        <v/>
      </c>
      <c r="M9488" t="s">
        <v>68</v>
      </c>
      <c r="N9488" t="str">
        <f t="shared" si="1004"/>
        <v>ALT</v>
      </c>
      <c r="O9488" t="s">
        <v>114</v>
      </c>
      <c r="P9488" s="3" t="s">
        <v>937</v>
      </c>
      <c r="Q9488">
        <v>2016</v>
      </c>
      <c r="R9488" s="2">
        <v>42655</v>
      </c>
      <c r="S9488" s="2">
        <v>42655</v>
      </c>
      <c r="T9488" s="2">
        <v>42655</v>
      </c>
      <c r="U9488" s="2">
        <v>42715</v>
      </c>
      <c r="V9488" t="s">
        <v>71</v>
      </c>
      <c r="W9488" t="str">
        <f>"                 237"</f>
        <v xml:space="preserve">                 237</v>
      </c>
      <c r="X9488">
        <v>0</v>
      </c>
      <c r="Y9488" s="1">
        <v>21413.95</v>
      </c>
      <c r="Z9488" s="5">
        <v>21413.95</v>
      </c>
      <c r="AA9488">
        <v>-59</v>
      </c>
      <c r="AB9488" s="5">
        <v>-1263423.05</v>
      </c>
      <c r="AC9488" s="1">
        <v>21413.95</v>
      </c>
      <c r="AD9488">
        <v>-59</v>
      </c>
      <c r="AE9488" s="1">
        <v>-1263423.05</v>
      </c>
      <c r="AF9488">
        <v>0</v>
      </c>
      <c r="AJ9488" s="1">
        <v>21413.95</v>
      </c>
      <c r="AK9488" s="1">
        <v>21413.95</v>
      </c>
      <c r="AL9488" s="1">
        <v>21413.95</v>
      </c>
      <c r="AM9488" s="1">
        <v>21413.95</v>
      </c>
      <c r="AN9488" s="1">
        <v>21413.95</v>
      </c>
      <c r="AO9488" s="1">
        <v>21413.95</v>
      </c>
      <c r="AP9488" s="2">
        <v>42746</v>
      </c>
      <c r="AQ9488" t="s">
        <v>72</v>
      </c>
      <c r="AR9488" t="s">
        <v>72</v>
      </c>
      <c r="AS9488">
        <v>2736</v>
      </c>
      <c r="AT9488" s="4">
        <v>42656</v>
      </c>
      <c r="AV9488">
        <v>2736</v>
      </c>
      <c r="AW9488" s="4">
        <v>42656</v>
      </c>
      <c r="BD9488">
        <v>0</v>
      </c>
      <c r="BN9488" t="s">
        <v>74</v>
      </c>
    </row>
    <row r="9489" spans="1:66" hidden="1">
      <c r="A9489">
        <v>106787</v>
      </c>
      <c r="B9489" s="3" t="s">
        <v>958</v>
      </c>
      <c r="C9489" s="1">
        <v>43500101</v>
      </c>
      <c r="D9489" t="s">
        <v>113</v>
      </c>
      <c r="H9489" t="str">
        <f>"MAIDNL71L56A783P"</f>
        <v>MAIDNL71L56A783P</v>
      </c>
      <c r="I9489" t="str">
        <f>""</f>
        <v/>
      </c>
      <c r="K9489" t="str">
        <f>""</f>
        <v/>
      </c>
      <c r="M9489" t="s">
        <v>68</v>
      </c>
      <c r="N9489" t="str">
        <f t="shared" si="1004"/>
        <v>ALT</v>
      </c>
      <c r="O9489" t="s">
        <v>114</v>
      </c>
      <c r="P9489" s="3" t="s">
        <v>937</v>
      </c>
      <c r="Q9489">
        <v>2016</v>
      </c>
      <c r="R9489" s="2">
        <v>42655</v>
      </c>
      <c r="S9489" s="2">
        <v>42655</v>
      </c>
      <c r="T9489" s="2">
        <v>42655</v>
      </c>
      <c r="U9489" s="2">
        <v>42715</v>
      </c>
      <c r="V9489" t="s">
        <v>71</v>
      </c>
      <c r="W9489" t="str">
        <f>"                 238"</f>
        <v xml:space="preserve">                 238</v>
      </c>
      <c r="X9489">
        <v>0</v>
      </c>
      <c r="Y9489" s="1">
        <v>21003.53</v>
      </c>
      <c r="Z9489" s="5">
        <v>21003.53</v>
      </c>
      <c r="AA9489">
        <v>-59</v>
      </c>
      <c r="AB9489" s="5">
        <v>-1239208.27</v>
      </c>
      <c r="AC9489" s="1">
        <v>21003.53</v>
      </c>
      <c r="AD9489">
        <v>-59</v>
      </c>
      <c r="AE9489" s="1">
        <v>-1239208.27</v>
      </c>
      <c r="AF9489">
        <v>0</v>
      </c>
      <c r="AJ9489" s="1">
        <v>21003.53</v>
      </c>
      <c r="AK9489" s="1">
        <v>21003.53</v>
      </c>
      <c r="AL9489" s="1">
        <v>21003.53</v>
      </c>
      <c r="AM9489" s="1">
        <v>21003.53</v>
      </c>
      <c r="AN9489" s="1">
        <v>21003.53</v>
      </c>
      <c r="AO9489" s="1">
        <v>21003.53</v>
      </c>
      <c r="AP9489" s="2">
        <v>42746</v>
      </c>
      <c r="AQ9489" t="s">
        <v>72</v>
      </c>
      <c r="AR9489" t="s">
        <v>72</v>
      </c>
      <c r="AS9489">
        <v>2737</v>
      </c>
      <c r="AT9489" s="4">
        <v>42656</v>
      </c>
      <c r="AV9489">
        <v>2737</v>
      </c>
      <c r="AW9489" s="4">
        <v>42656</v>
      </c>
      <c r="BD9489">
        <v>0</v>
      </c>
      <c r="BN9489" t="s">
        <v>74</v>
      </c>
    </row>
    <row r="9490" spans="1:66" hidden="1">
      <c r="A9490">
        <v>106789</v>
      </c>
      <c r="B9490" s="3" t="s">
        <v>959</v>
      </c>
      <c r="C9490" s="1">
        <v>43500101</v>
      </c>
      <c r="D9490" t="s">
        <v>113</v>
      </c>
      <c r="H9490" t="str">
        <f>"PLCCRL57A44A783C"</f>
        <v>PLCCRL57A44A783C</v>
      </c>
      <c r="I9490" t="str">
        <f>""</f>
        <v/>
      </c>
      <c r="K9490" t="str">
        <f>""</f>
        <v/>
      </c>
      <c r="M9490" t="s">
        <v>68</v>
      </c>
      <c r="N9490" t="str">
        <f t="shared" si="1004"/>
        <v>ALT</v>
      </c>
      <c r="O9490" t="s">
        <v>114</v>
      </c>
      <c r="P9490" s="3" t="s">
        <v>937</v>
      </c>
      <c r="Q9490">
        <v>2016</v>
      </c>
      <c r="R9490" s="2">
        <v>42655</v>
      </c>
      <c r="S9490" s="2">
        <v>42655</v>
      </c>
      <c r="T9490" s="2">
        <v>42655</v>
      </c>
      <c r="U9490" s="2">
        <v>42715</v>
      </c>
      <c r="V9490" t="s">
        <v>71</v>
      </c>
      <c r="W9490" t="str">
        <f>"                 239"</f>
        <v xml:space="preserve">                 239</v>
      </c>
      <c r="X9490">
        <v>0</v>
      </c>
      <c r="Y9490" s="1">
        <v>21495.26</v>
      </c>
      <c r="Z9490" s="5">
        <v>21495.26</v>
      </c>
      <c r="AA9490">
        <v>-59</v>
      </c>
      <c r="AB9490" s="5">
        <v>-1268220.3400000001</v>
      </c>
      <c r="AC9490" s="1">
        <v>21495.26</v>
      </c>
      <c r="AD9490">
        <v>-59</v>
      </c>
      <c r="AE9490" s="1">
        <v>-1268220.3400000001</v>
      </c>
      <c r="AF9490">
        <v>0</v>
      </c>
      <c r="AJ9490" s="1">
        <v>21495.26</v>
      </c>
      <c r="AK9490" s="1">
        <v>21495.26</v>
      </c>
      <c r="AL9490" s="1">
        <v>21495.26</v>
      </c>
      <c r="AM9490" s="1">
        <v>21495.26</v>
      </c>
      <c r="AN9490" s="1">
        <v>21495.26</v>
      </c>
      <c r="AO9490" s="1">
        <v>21495.26</v>
      </c>
      <c r="AP9490" s="2">
        <v>42746</v>
      </c>
      <c r="AQ9490" t="s">
        <v>72</v>
      </c>
      <c r="AR9490" t="s">
        <v>72</v>
      </c>
      <c r="AS9490">
        <v>2738</v>
      </c>
      <c r="AT9490" s="4">
        <v>42656</v>
      </c>
      <c r="AV9490">
        <v>2738</v>
      </c>
      <c r="AW9490" s="4">
        <v>42656</v>
      </c>
      <c r="BD9490">
        <v>0</v>
      </c>
      <c r="BN9490" t="s">
        <v>74</v>
      </c>
    </row>
    <row r="9491" spans="1:66" hidden="1">
      <c r="A9491">
        <v>106790</v>
      </c>
      <c r="B9491" s="3" t="s">
        <v>960</v>
      </c>
      <c r="C9491" s="1">
        <v>43500101</v>
      </c>
      <c r="D9491" t="s">
        <v>113</v>
      </c>
      <c r="H9491" t="str">
        <f>"FMALGU61B25F839V"</f>
        <v>FMALGU61B25F839V</v>
      </c>
      <c r="I9491" t="str">
        <f>""</f>
        <v/>
      </c>
      <c r="K9491" t="str">
        <f>""</f>
        <v/>
      </c>
      <c r="M9491" t="s">
        <v>68</v>
      </c>
      <c r="N9491" t="str">
        <f t="shared" si="1004"/>
        <v>ALT</v>
      </c>
      <c r="O9491" t="s">
        <v>114</v>
      </c>
      <c r="P9491" s="3" t="s">
        <v>937</v>
      </c>
      <c r="Q9491">
        <v>2016</v>
      </c>
      <c r="R9491" s="2">
        <v>42655</v>
      </c>
      <c r="S9491" s="2">
        <v>42655</v>
      </c>
      <c r="T9491" s="2">
        <v>42655</v>
      </c>
      <c r="U9491" s="2">
        <v>42715</v>
      </c>
      <c r="V9491" t="s">
        <v>71</v>
      </c>
      <c r="W9491" t="str">
        <f>"                 240"</f>
        <v xml:space="preserve">                 240</v>
      </c>
      <c r="X9491">
        <v>0</v>
      </c>
      <c r="Y9491" s="1">
        <v>21495.26</v>
      </c>
      <c r="Z9491" s="5">
        <v>21495.26</v>
      </c>
      <c r="AA9491">
        <v>-59</v>
      </c>
      <c r="AB9491" s="5">
        <v>-1268220.3400000001</v>
      </c>
      <c r="AC9491" s="1">
        <v>21495.26</v>
      </c>
      <c r="AD9491">
        <v>-59</v>
      </c>
      <c r="AE9491" s="1">
        <v>-1268220.3400000001</v>
      </c>
      <c r="AF9491">
        <v>0</v>
      </c>
      <c r="AJ9491" s="1">
        <v>21495.26</v>
      </c>
      <c r="AK9491" s="1">
        <v>21495.26</v>
      </c>
      <c r="AL9491" s="1">
        <v>21495.26</v>
      </c>
      <c r="AM9491" s="1">
        <v>21495.26</v>
      </c>
      <c r="AN9491" s="1">
        <v>21495.26</v>
      </c>
      <c r="AO9491" s="1">
        <v>21495.26</v>
      </c>
      <c r="AP9491" s="2">
        <v>42746</v>
      </c>
      <c r="AQ9491" t="s">
        <v>72</v>
      </c>
      <c r="AR9491" t="s">
        <v>72</v>
      </c>
      <c r="AS9491">
        <v>2739</v>
      </c>
      <c r="AT9491" s="4">
        <v>42656</v>
      </c>
      <c r="AV9491">
        <v>2739</v>
      </c>
      <c r="AW9491" s="4">
        <v>42656</v>
      </c>
      <c r="BD9491">
        <v>0</v>
      </c>
      <c r="BN9491" t="s">
        <v>74</v>
      </c>
    </row>
    <row r="9492" spans="1:66" hidden="1">
      <c r="A9492">
        <v>106791</v>
      </c>
      <c r="B9492" s="3" t="s">
        <v>961</v>
      </c>
      <c r="C9492" s="1">
        <v>43500101</v>
      </c>
      <c r="D9492" t="s">
        <v>113</v>
      </c>
      <c r="H9492" t="str">
        <f>"RPNLDN71L68A783X"</f>
        <v>RPNLDN71L68A783X</v>
      </c>
      <c r="I9492" t="str">
        <f>""</f>
        <v/>
      </c>
      <c r="K9492" t="str">
        <f>""</f>
        <v/>
      </c>
      <c r="M9492" t="s">
        <v>68</v>
      </c>
      <c r="N9492" t="str">
        <f t="shared" si="1004"/>
        <v>ALT</v>
      </c>
      <c r="O9492" t="s">
        <v>114</v>
      </c>
      <c r="P9492" s="3" t="s">
        <v>937</v>
      </c>
      <c r="Q9492">
        <v>2016</v>
      </c>
      <c r="R9492" s="2">
        <v>42669</v>
      </c>
      <c r="S9492" s="2">
        <v>42669</v>
      </c>
      <c r="T9492" s="2">
        <v>42669</v>
      </c>
      <c r="U9492" s="2">
        <v>42729</v>
      </c>
      <c r="V9492" t="s">
        <v>71</v>
      </c>
      <c r="W9492" t="str">
        <f>"                 253"</f>
        <v xml:space="preserve">                 253</v>
      </c>
      <c r="X9492">
        <v>0</v>
      </c>
      <c r="Y9492" s="1">
        <v>21495.26</v>
      </c>
      <c r="Z9492" s="5">
        <v>21495.26</v>
      </c>
      <c r="AA9492">
        <v>-60</v>
      </c>
      <c r="AB9492" s="5">
        <v>-1289715.6000000001</v>
      </c>
      <c r="AC9492" s="1">
        <v>21495.26</v>
      </c>
      <c r="AD9492">
        <v>-60</v>
      </c>
      <c r="AE9492" s="1">
        <v>-1289715.6000000001</v>
      </c>
      <c r="AF9492">
        <v>0</v>
      </c>
      <c r="AJ9492" s="1">
        <v>21495.26</v>
      </c>
      <c r="AK9492" s="1">
        <v>21495.26</v>
      </c>
      <c r="AL9492" s="1">
        <v>21495.26</v>
      </c>
      <c r="AM9492" s="1">
        <v>21495.26</v>
      </c>
      <c r="AN9492" s="1">
        <v>21495.26</v>
      </c>
      <c r="AO9492" s="1">
        <v>21495.26</v>
      </c>
      <c r="AP9492" s="2">
        <v>42746</v>
      </c>
      <c r="AQ9492" t="s">
        <v>72</v>
      </c>
      <c r="AR9492" t="s">
        <v>72</v>
      </c>
      <c r="AS9492">
        <v>2893</v>
      </c>
      <c r="AT9492" s="4">
        <v>42669</v>
      </c>
      <c r="AV9492">
        <v>2893</v>
      </c>
      <c r="AW9492" s="4">
        <v>42669</v>
      </c>
      <c r="BD9492">
        <v>0</v>
      </c>
      <c r="BN9492" t="s">
        <v>74</v>
      </c>
    </row>
    <row r="9493" spans="1:66" hidden="1">
      <c r="A9493">
        <v>106792</v>
      </c>
      <c r="B9493" s="3" t="s">
        <v>962</v>
      </c>
      <c r="C9493" s="1">
        <v>43500101</v>
      </c>
      <c r="D9493" t="s">
        <v>113</v>
      </c>
      <c r="H9493" t="str">
        <f>"BSCNMR68T65A783D"</f>
        <v>BSCNMR68T65A783D</v>
      </c>
      <c r="I9493" t="str">
        <f>""</f>
        <v/>
      </c>
      <c r="K9493" t="str">
        <f>""</f>
        <v/>
      </c>
      <c r="M9493" t="s">
        <v>68</v>
      </c>
      <c r="N9493" t="str">
        <f t="shared" si="1004"/>
        <v>ALT</v>
      </c>
      <c r="O9493" t="s">
        <v>114</v>
      </c>
      <c r="P9493" s="3" t="s">
        <v>937</v>
      </c>
      <c r="Q9493">
        <v>2016</v>
      </c>
      <c r="R9493" s="2">
        <v>42655</v>
      </c>
      <c r="S9493" s="2">
        <v>42655</v>
      </c>
      <c r="T9493" s="2">
        <v>42655</v>
      </c>
      <c r="U9493" s="2">
        <v>42715</v>
      </c>
      <c r="V9493" t="s">
        <v>71</v>
      </c>
      <c r="W9493" t="str">
        <f>"                 241"</f>
        <v xml:space="preserve">                 241</v>
      </c>
      <c r="X9493">
        <v>0</v>
      </c>
      <c r="Y9493" s="1">
        <v>21576.57</v>
      </c>
      <c r="Z9493" s="5">
        <v>21576.57</v>
      </c>
      <c r="AA9493">
        <v>-59</v>
      </c>
      <c r="AB9493" s="5">
        <v>-1273017.6299999999</v>
      </c>
      <c r="AC9493" s="1">
        <v>21576.57</v>
      </c>
      <c r="AD9493">
        <v>-59</v>
      </c>
      <c r="AE9493" s="1">
        <v>-1273017.6299999999</v>
      </c>
      <c r="AF9493">
        <v>0</v>
      </c>
      <c r="AJ9493" s="1">
        <v>21576.57</v>
      </c>
      <c r="AK9493" s="1">
        <v>21576.57</v>
      </c>
      <c r="AL9493" s="1">
        <v>21576.57</v>
      </c>
      <c r="AM9493" s="1">
        <v>21576.57</v>
      </c>
      <c r="AN9493" s="1">
        <v>21576.57</v>
      </c>
      <c r="AO9493" s="1">
        <v>21576.57</v>
      </c>
      <c r="AP9493" s="2">
        <v>42746</v>
      </c>
      <c r="AQ9493" t="s">
        <v>72</v>
      </c>
      <c r="AR9493" t="s">
        <v>72</v>
      </c>
      <c r="AS9493">
        <v>2740</v>
      </c>
      <c r="AT9493" s="4">
        <v>42656</v>
      </c>
      <c r="AV9493">
        <v>2740</v>
      </c>
      <c r="AW9493" s="4">
        <v>42656</v>
      </c>
      <c r="BD9493">
        <v>0</v>
      </c>
      <c r="BN9493" t="s">
        <v>74</v>
      </c>
    </row>
    <row r="9494" spans="1:66" hidden="1">
      <c r="A9494">
        <v>106793</v>
      </c>
      <c r="B9494" s="3" t="s">
        <v>963</v>
      </c>
      <c r="C9494" s="1">
        <v>43500101</v>
      </c>
      <c r="D9494" t="s">
        <v>113</v>
      </c>
      <c r="H9494" t="str">
        <f>"MSSDNC82E07A783W"</f>
        <v>MSSDNC82E07A783W</v>
      </c>
      <c r="I9494" t="str">
        <f>""</f>
        <v/>
      </c>
      <c r="K9494" t="str">
        <f>""</f>
        <v/>
      </c>
      <c r="M9494" t="s">
        <v>68</v>
      </c>
      <c r="N9494" t="str">
        <f t="shared" si="1004"/>
        <v>ALT</v>
      </c>
      <c r="O9494" t="s">
        <v>114</v>
      </c>
      <c r="P9494" s="3" t="s">
        <v>937</v>
      </c>
      <c r="Q9494">
        <v>2016</v>
      </c>
      <c r="R9494" s="2">
        <v>42669</v>
      </c>
      <c r="S9494" s="2">
        <v>42669</v>
      </c>
      <c r="T9494" s="2">
        <v>42669</v>
      </c>
      <c r="U9494" s="2">
        <v>42729</v>
      </c>
      <c r="V9494" t="s">
        <v>71</v>
      </c>
      <c r="W9494" t="str">
        <f>"                 254"</f>
        <v xml:space="preserve">                 254</v>
      </c>
      <c r="X9494">
        <v>0</v>
      </c>
      <c r="Y9494" s="1">
        <v>20948.54</v>
      </c>
      <c r="Z9494" s="5">
        <v>20948.54</v>
      </c>
      <c r="AA9494">
        <v>-60</v>
      </c>
      <c r="AB9494" s="5">
        <v>-1256912.3999999999</v>
      </c>
      <c r="AC9494" s="1">
        <v>20948.54</v>
      </c>
      <c r="AD9494">
        <v>-60</v>
      </c>
      <c r="AE9494" s="1">
        <v>-1256912.3999999999</v>
      </c>
      <c r="AF9494">
        <v>0</v>
      </c>
      <c r="AJ9494" s="1">
        <v>20948.54</v>
      </c>
      <c r="AK9494" s="1">
        <v>20948.54</v>
      </c>
      <c r="AL9494" s="1">
        <v>20948.54</v>
      </c>
      <c r="AM9494" s="1">
        <v>20948.54</v>
      </c>
      <c r="AN9494" s="1">
        <v>20948.54</v>
      </c>
      <c r="AO9494" s="1">
        <v>20948.54</v>
      </c>
      <c r="AP9494" s="2">
        <v>42746</v>
      </c>
      <c r="AQ9494" t="s">
        <v>72</v>
      </c>
      <c r="AR9494" t="s">
        <v>72</v>
      </c>
      <c r="AS9494">
        <v>2894</v>
      </c>
      <c r="AT9494" s="4">
        <v>42669</v>
      </c>
      <c r="AV9494">
        <v>2894</v>
      </c>
      <c r="AW9494" s="4">
        <v>42669</v>
      </c>
      <c r="BD9494">
        <v>0</v>
      </c>
      <c r="BN9494" t="s">
        <v>74</v>
      </c>
    </row>
    <row r="9495" spans="1:66">
      <c r="A9495">
        <v>106795</v>
      </c>
      <c r="B9495" s="3" t="s">
        <v>964</v>
      </c>
      <c r="C9495" s="1">
        <v>43500101</v>
      </c>
      <c r="D9495" t="s">
        <v>113</v>
      </c>
      <c r="H9495" t="str">
        <f>"07234060965"</f>
        <v>07234060965</v>
      </c>
      <c r="I9495" t="str">
        <f>"07234060965"</f>
        <v>07234060965</v>
      </c>
      <c r="K9495" t="str">
        <f>""</f>
        <v/>
      </c>
      <c r="M9495" t="s">
        <v>68</v>
      </c>
      <c r="N9495" t="str">
        <f>"ALTFIN"</f>
        <v>ALTFIN</v>
      </c>
      <c r="O9495" t="s">
        <v>123</v>
      </c>
      <c r="P9495" s="3" t="s">
        <v>965</v>
      </c>
      <c r="Q9495">
        <v>2016</v>
      </c>
      <c r="R9495" s="2">
        <v>42657</v>
      </c>
      <c r="S9495" s="2">
        <v>42657</v>
      </c>
      <c r="T9495" s="2">
        <v>42657</v>
      </c>
      <c r="U9495" s="2">
        <v>42717</v>
      </c>
      <c r="V9495" t="s">
        <v>71</v>
      </c>
      <c r="W9495" t="str">
        <f>"                 243"</f>
        <v xml:space="preserve">                 243</v>
      </c>
      <c r="X9495">
        <v>0</v>
      </c>
      <c r="Y9495" s="1">
        <v>1487782.5</v>
      </c>
      <c r="Z9495" s="5">
        <v>1487782.5</v>
      </c>
      <c r="AA9495">
        <v>-57</v>
      </c>
      <c r="AB9495" s="5">
        <v>-84803602.5</v>
      </c>
      <c r="AC9495" s="1">
        <v>1487782.5</v>
      </c>
      <c r="AD9495">
        <v>-57</v>
      </c>
      <c r="AE9495" s="1">
        <v>-84803602.5</v>
      </c>
      <c r="AF9495">
        <v>0</v>
      </c>
      <c r="AJ9495" s="1">
        <v>1487782.5</v>
      </c>
      <c r="AK9495" s="1">
        <v>1487782.5</v>
      </c>
      <c r="AL9495" s="1">
        <v>1487782.5</v>
      </c>
      <c r="AM9495" s="1">
        <v>1487782.5</v>
      </c>
      <c r="AN9495" s="1">
        <v>1487782.5</v>
      </c>
      <c r="AO9495" s="1">
        <v>1487782.5</v>
      </c>
      <c r="AP9495" s="2">
        <v>42746</v>
      </c>
      <c r="AQ9495" t="s">
        <v>72</v>
      </c>
      <c r="AR9495" t="s">
        <v>72</v>
      </c>
      <c r="AS9495">
        <v>2750</v>
      </c>
      <c r="AT9495" s="4">
        <v>42660</v>
      </c>
      <c r="AV9495">
        <v>2750</v>
      </c>
      <c r="AW9495" s="4">
        <v>42660</v>
      </c>
      <c r="BD9495">
        <v>0</v>
      </c>
      <c r="BN9495" t="s">
        <v>74</v>
      </c>
    </row>
    <row r="9496" spans="1:66" hidden="1">
      <c r="A9496">
        <v>106798</v>
      </c>
      <c r="B9496" s="3" t="s">
        <v>966</v>
      </c>
      <c r="C9496" s="1">
        <v>43500101</v>
      </c>
      <c r="D9496" t="s">
        <v>113</v>
      </c>
      <c r="H9496" t="str">
        <f>"SLACSM67P21L185F"</f>
        <v>SLACSM67P21L185F</v>
      </c>
      <c r="I9496" t="str">
        <f>""</f>
        <v/>
      </c>
      <c r="K9496" t="str">
        <f>""</f>
        <v/>
      </c>
      <c r="M9496" t="s">
        <v>68</v>
      </c>
      <c r="N9496" t="str">
        <f>"ALT"</f>
        <v>ALT</v>
      </c>
      <c r="O9496" t="s">
        <v>114</v>
      </c>
      <c r="P9496" s="3" t="s">
        <v>937</v>
      </c>
      <c r="Q9496">
        <v>2016</v>
      </c>
      <c r="R9496" s="2">
        <v>42670</v>
      </c>
      <c r="S9496" s="2">
        <v>42670</v>
      </c>
      <c r="T9496" s="2">
        <v>42670</v>
      </c>
      <c r="U9496" s="2">
        <v>42730</v>
      </c>
      <c r="V9496" t="s">
        <v>71</v>
      </c>
      <c r="W9496" t="str">
        <f>"                 256"</f>
        <v xml:space="preserve">                 256</v>
      </c>
      <c r="X9496">
        <v>0</v>
      </c>
      <c r="Y9496" s="1">
        <v>108225</v>
      </c>
      <c r="Z9496" s="5">
        <v>108225</v>
      </c>
      <c r="AA9496">
        <v>-59</v>
      </c>
      <c r="AB9496" s="5">
        <v>-6385275</v>
      </c>
      <c r="AC9496" s="1">
        <v>108225</v>
      </c>
      <c r="AD9496">
        <v>-59</v>
      </c>
      <c r="AE9496" s="1">
        <v>-6385275</v>
      </c>
      <c r="AF9496">
        <v>0</v>
      </c>
      <c r="AJ9496" s="1">
        <v>108225</v>
      </c>
      <c r="AK9496" s="1">
        <v>108225</v>
      </c>
      <c r="AL9496" s="1">
        <v>108225</v>
      </c>
      <c r="AM9496" s="1">
        <v>108225</v>
      </c>
      <c r="AN9496" s="1">
        <v>108225</v>
      </c>
      <c r="AO9496" s="1">
        <v>108225</v>
      </c>
      <c r="AP9496" s="2">
        <v>42746</v>
      </c>
      <c r="AQ9496" t="s">
        <v>72</v>
      </c>
      <c r="AR9496" t="s">
        <v>72</v>
      </c>
      <c r="AS9496">
        <v>2901</v>
      </c>
      <c r="AT9496" s="4">
        <v>42671</v>
      </c>
      <c r="AV9496">
        <v>2901</v>
      </c>
      <c r="AW9496" s="4">
        <v>42671</v>
      </c>
      <c r="BD9496">
        <v>0</v>
      </c>
      <c r="BN9496" t="s">
        <v>74</v>
      </c>
    </row>
    <row r="9497" spans="1:66">
      <c r="A9497">
        <v>106799</v>
      </c>
      <c r="B9497" s="3" t="s">
        <v>967</v>
      </c>
      <c r="C9497" s="1">
        <v>43300101</v>
      </c>
      <c r="D9497" t="s">
        <v>67</v>
      </c>
      <c r="H9497" t="str">
        <f>"CRBGPP53C14B873H"</f>
        <v>CRBGPP53C14B873H</v>
      </c>
      <c r="I9497" t="str">
        <f>"00852030626"</f>
        <v>00852030626</v>
      </c>
      <c r="K9497" t="str">
        <f>""</f>
        <v/>
      </c>
      <c r="M9497" t="s">
        <v>68</v>
      </c>
      <c r="N9497" t="str">
        <f>"FOR"</f>
        <v>FOR</v>
      </c>
      <c r="O9497" t="s">
        <v>69</v>
      </c>
      <c r="P9497" s="3" t="s">
        <v>75</v>
      </c>
      <c r="Q9497">
        <v>2016</v>
      </c>
      <c r="R9497" s="2">
        <v>42676</v>
      </c>
      <c r="S9497" s="2">
        <v>42677</v>
      </c>
      <c r="T9497" s="2">
        <v>42676</v>
      </c>
      <c r="U9497" s="2">
        <v>42736</v>
      </c>
      <c r="V9497" t="s">
        <v>71</v>
      </c>
      <c r="W9497" t="str">
        <f>"            1/2016PA"</f>
        <v xml:space="preserve">            1/2016PA</v>
      </c>
      <c r="X9497" s="1">
        <v>1500</v>
      </c>
      <c r="Y9497">
        <v>0</v>
      </c>
      <c r="Z9497" s="5">
        <v>1500</v>
      </c>
      <c r="AA9497">
        <v>-47</v>
      </c>
      <c r="AB9497" s="5">
        <v>-70500</v>
      </c>
      <c r="AC9497" s="1">
        <v>1500</v>
      </c>
      <c r="AD9497">
        <v>-47</v>
      </c>
      <c r="AE9497" s="1">
        <v>-70500</v>
      </c>
      <c r="AF9497">
        <v>0</v>
      </c>
      <c r="AJ9497" s="1">
        <v>1500</v>
      </c>
      <c r="AK9497" s="1">
        <v>1500</v>
      </c>
      <c r="AL9497" s="1">
        <v>1500</v>
      </c>
      <c r="AM9497" s="1">
        <v>1500</v>
      </c>
      <c r="AN9497" s="1">
        <v>1500</v>
      </c>
      <c r="AO9497" s="1">
        <v>1500</v>
      </c>
      <c r="AP9497" s="2">
        <v>42746</v>
      </c>
      <c r="AQ9497" t="s">
        <v>72</v>
      </c>
      <c r="AR9497" t="s">
        <v>72</v>
      </c>
      <c r="AS9497">
        <v>3097</v>
      </c>
      <c r="AT9497" s="4">
        <v>42689</v>
      </c>
      <c r="AV9497">
        <v>3097</v>
      </c>
      <c r="AW9497" s="4">
        <v>42689</v>
      </c>
      <c r="BD9497">
        <v>0</v>
      </c>
      <c r="BN9497" t="s">
        <v>74</v>
      </c>
    </row>
    <row r="9498" spans="1:66">
      <c r="A9498">
        <v>106800</v>
      </c>
      <c r="B9498" s="3" t="s">
        <v>968</v>
      </c>
      <c r="C9498" s="1">
        <v>43500101</v>
      </c>
      <c r="D9498" t="s">
        <v>113</v>
      </c>
      <c r="H9498" t="str">
        <f>"00409920584"</f>
        <v>00409920584</v>
      </c>
      <c r="I9498" t="str">
        <f>"00885351007"</f>
        <v>00885351007</v>
      </c>
      <c r="K9498" t="str">
        <f>""</f>
        <v/>
      </c>
      <c r="M9498" t="s">
        <v>68</v>
      </c>
      <c r="N9498" t="str">
        <f>"ALTFIN"</f>
        <v>ALTFIN</v>
      </c>
      <c r="O9498" t="s">
        <v>123</v>
      </c>
      <c r="P9498" s="3" t="s">
        <v>927</v>
      </c>
      <c r="Q9498">
        <v>2016</v>
      </c>
      <c r="R9498" s="2">
        <v>42681</v>
      </c>
      <c r="S9498" s="2">
        <v>42681</v>
      </c>
      <c r="T9498" s="2">
        <v>42681</v>
      </c>
      <c r="U9498" s="2">
        <v>42741</v>
      </c>
      <c r="V9498" t="s">
        <v>71</v>
      </c>
      <c r="W9498" t="str">
        <f>"                 259"</f>
        <v xml:space="preserve">                 259</v>
      </c>
      <c r="X9498">
        <v>0</v>
      </c>
      <c r="Y9498" s="1">
        <v>51422</v>
      </c>
      <c r="Z9498" s="5">
        <v>51422</v>
      </c>
      <c r="AA9498">
        <v>-59</v>
      </c>
      <c r="AB9498" s="5">
        <v>-3033898</v>
      </c>
      <c r="AC9498" s="1">
        <v>51422</v>
      </c>
      <c r="AD9498">
        <v>-59</v>
      </c>
      <c r="AE9498" s="1">
        <v>-3033898</v>
      </c>
      <c r="AF9498">
        <v>0</v>
      </c>
      <c r="AJ9498">
        <v>0</v>
      </c>
      <c r="AK9498" s="1">
        <v>51422</v>
      </c>
      <c r="AL9498" s="1">
        <v>51422</v>
      </c>
      <c r="AM9498" s="1">
        <v>51422</v>
      </c>
      <c r="AN9498" s="1">
        <v>51422</v>
      </c>
      <c r="AO9498" s="1">
        <v>51422</v>
      </c>
      <c r="AP9498" s="2">
        <v>42746</v>
      </c>
      <c r="AQ9498" t="s">
        <v>72</v>
      </c>
      <c r="AR9498" t="s">
        <v>72</v>
      </c>
      <c r="AS9498">
        <v>2986</v>
      </c>
      <c r="AT9498" s="4">
        <v>42682</v>
      </c>
      <c r="AV9498">
        <v>2986</v>
      </c>
      <c r="AW9498" s="4">
        <v>42682</v>
      </c>
      <c r="BD9498">
        <v>0</v>
      </c>
      <c r="BN9498" t="s">
        <v>74</v>
      </c>
    </row>
    <row r="9499" spans="1:66">
      <c r="A9499">
        <v>106801</v>
      </c>
      <c r="B9499" s="3" t="s">
        <v>969</v>
      </c>
      <c r="C9499" s="1">
        <v>43500101</v>
      </c>
      <c r="D9499" t="s">
        <v>113</v>
      </c>
      <c r="H9499" t="str">
        <f>"08186860964"</f>
        <v>08186860964</v>
      </c>
      <c r="I9499" t="str">
        <f>"08186860964"</f>
        <v>08186860964</v>
      </c>
      <c r="K9499" t="str">
        <f>""</f>
        <v/>
      </c>
      <c r="M9499" t="s">
        <v>68</v>
      </c>
      <c r="N9499" t="str">
        <f>"ALTFIN"</f>
        <v>ALTFIN</v>
      </c>
      <c r="O9499" t="s">
        <v>123</v>
      </c>
      <c r="P9499" s="3" t="s">
        <v>924</v>
      </c>
      <c r="Q9499">
        <v>2016</v>
      </c>
      <c r="R9499" s="2">
        <v>42681</v>
      </c>
      <c r="S9499" s="2">
        <v>42681</v>
      </c>
      <c r="T9499" s="2">
        <v>42681</v>
      </c>
      <c r="U9499" s="2">
        <v>42741</v>
      </c>
      <c r="V9499" t="s">
        <v>71</v>
      </c>
      <c r="W9499" t="str">
        <f>"                 258"</f>
        <v xml:space="preserve">                 258</v>
      </c>
      <c r="X9499">
        <v>0</v>
      </c>
      <c r="Y9499" s="1">
        <v>14342.31</v>
      </c>
      <c r="Z9499" s="5">
        <v>14342.31</v>
      </c>
      <c r="AA9499">
        <v>-59</v>
      </c>
      <c r="AB9499" s="5">
        <v>-846196.29</v>
      </c>
      <c r="AC9499" s="1">
        <v>14342.31</v>
      </c>
      <c r="AD9499">
        <v>-59</v>
      </c>
      <c r="AE9499" s="1">
        <v>-846196.29</v>
      </c>
      <c r="AF9499">
        <v>0</v>
      </c>
      <c r="AJ9499">
        <v>0</v>
      </c>
      <c r="AK9499" s="1">
        <v>14342.31</v>
      </c>
      <c r="AL9499" s="1">
        <v>14342.31</v>
      </c>
      <c r="AM9499" s="1">
        <v>14342.31</v>
      </c>
      <c r="AN9499" s="1">
        <v>14342.31</v>
      </c>
      <c r="AO9499" s="1">
        <v>14342.31</v>
      </c>
      <c r="AP9499" s="2">
        <v>42746</v>
      </c>
      <c r="AQ9499" t="s">
        <v>72</v>
      </c>
      <c r="AR9499" t="s">
        <v>72</v>
      </c>
      <c r="AS9499">
        <v>2985</v>
      </c>
      <c r="AT9499" s="4">
        <v>42682</v>
      </c>
      <c r="AV9499">
        <v>2985</v>
      </c>
      <c r="AW9499" s="4">
        <v>42682</v>
      </c>
      <c r="BD9499">
        <v>0</v>
      </c>
      <c r="BN9499" t="s">
        <v>74</v>
      </c>
    </row>
    <row r="9500" spans="1:66">
      <c r="A9500">
        <v>106803</v>
      </c>
      <c r="B9500" s="3" t="s">
        <v>970</v>
      </c>
      <c r="C9500" s="1">
        <v>43500101</v>
      </c>
      <c r="D9500" t="s">
        <v>113</v>
      </c>
      <c r="H9500" t="str">
        <f>"DLCLDA71T03A783I"</f>
        <v>DLCLDA71T03A783I</v>
      </c>
      <c r="I9500" t="str">
        <f>"01240810620"</f>
        <v>01240810620</v>
      </c>
      <c r="K9500" t="str">
        <f>""</f>
        <v/>
      </c>
      <c r="M9500" t="s">
        <v>68</v>
      </c>
      <c r="N9500" t="str">
        <f>"ALTPRO"</f>
        <v>ALTPRO</v>
      </c>
      <c r="O9500" t="s">
        <v>132</v>
      </c>
      <c r="P9500" s="3" t="s">
        <v>75</v>
      </c>
      <c r="Q9500">
        <v>2016</v>
      </c>
      <c r="R9500" s="2">
        <v>42682</v>
      </c>
      <c r="S9500" s="2">
        <v>42688</v>
      </c>
      <c r="T9500" s="2">
        <v>42685</v>
      </c>
      <c r="U9500" s="2">
        <v>42745</v>
      </c>
      <c r="V9500" t="s">
        <v>71</v>
      </c>
      <c r="W9500" t="str">
        <f>"         FATTPA 3_16"</f>
        <v xml:space="preserve">         FATTPA 3_16</v>
      </c>
      <c r="X9500" s="1">
        <v>2398.79</v>
      </c>
      <c r="Y9500">
        <v>-378.12</v>
      </c>
      <c r="Z9500" s="5">
        <v>2020.67</v>
      </c>
      <c r="AA9500">
        <v>-55</v>
      </c>
      <c r="AB9500" s="5">
        <v>-111136.85</v>
      </c>
      <c r="AC9500" s="1">
        <v>2020.67</v>
      </c>
      <c r="AD9500">
        <v>-55</v>
      </c>
      <c r="AE9500" s="1">
        <v>-111136.85</v>
      </c>
      <c r="AF9500">
        <v>0</v>
      </c>
      <c r="AJ9500" s="1">
        <v>2020.67</v>
      </c>
      <c r="AK9500" s="1">
        <v>2020.67</v>
      </c>
      <c r="AL9500" s="1">
        <v>2020.67</v>
      </c>
      <c r="AM9500" s="1">
        <v>2020.67</v>
      </c>
      <c r="AN9500" s="1">
        <v>2020.67</v>
      </c>
      <c r="AO9500" s="1">
        <v>2020.67</v>
      </c>
      <c r="AP9500" s="2">
        <v>42746</v>
      </c>
      <c r="AQ9500" t="s">
        <v>72</v>
      </c>
      <c r="AR9500" t="s">
        <v>72</v>
      </c>
      <c r="AS9500">
        <v>3125</v>
      </c>
      <c r="AT9500" s="4">
        <v>42690</v>
      </c>
      <c r="AV9500">
        <v>3125</v>
      </c>
      <c r="AW9500" s="4">
        <v>42690</v>
      </c>
      <c r="BD9500">
        <v>0</v>
      </c>
      <c r="BN9500" t="s">
        <v>74</v>
      </c>
    </row>
    <row r="9501" spans="1:66">
      <c r="A9501">
        <v>106803</v>
      </c>
      <c r="B9501" s="3" t="s">
        <v>970</v>
      </c>
      <c r="C9501" s="1">
        <v>43500101</v>
      </c>
      <c r="D9501" t="s">
        <v>113</v>
      </c>
      <c r="H9501" t="str">
        <f>"DLCLDA71T03A783I"</f>
        <v>DLCLDA71T03A783I</v>
      </c>
      <c r="I9501" t="str">
        <f>"01240810620"</f>
        <v>01240810620</v>
      </c>
      <c r="K9501" t="str">
        <f>""</f>
        <v/>
      </c>
      <c r="M9501" t="s">
        <v>68</v>
      </c>
      <c r="N9501" t="str">
        <f>"ALTPRO"</f>
        <v>ALTPRO</v>
      </c>
      <c r="O9501" t="s">
        <v>132</v>
      </c>
      <c r="P9501" s="3" t="s">
        <v>75</v>
      </c>
      <c r="Q9501">
        <v>2016</v>
      </c>
      <c r="R9501" s="2">
        <v>42699</v>
      </c>
      <c r="S9501" s="2">
        <v>42702</v>
      </c>
      <c r="T9501" s="2">
        <v>42699</v>
      </c>
      <c r="U9501" s="2">
        <v>42759</v>
      </c>
      <c r="V9501" t="s">
        <v>71</v>
      </c>
      <c r="W9501" t="str">
        <f>"         FATTPA 4_16"</f>
        <v xml:space="preserve">         FATTPA 4_16</v>
      </c>
      <c r="X9501" s="1">
        <v>1453.29</v>
      </c>
      <c r="Y9501">
        <v>-229.08</v>
      </c>
      <c r="Z9501" s="5">
        <v>1224.21</v>
      </c>
      <c r="AA9501">
        <v>-50</v>
      </c>
      <c r="AB9501" s="5">
        <v>-61210.5</v>
      </c>
      <c r="AC9501" s="1">
        <v>1224.21</v>
      </c>
      <c r="AD9501">
        <v>-50</v>
      </c>
      <c r="AE9501" s="1">
        <v>-61210.5</v>
      </c>
      <c r="AF9501">
        <v>0</v>
      </c>
      <c r="AJ9501" s="1">
        <v>1224.21</v>
      </c>
      <c r="AK9501" s="1">
        <v>1224.21</v>
      </c>
      <c r="AL9501" s="1">
        <v>1224.21</v>
      </c>
      <c r="AM9501" s="1">
        <v>1224.21</v>
      </c>
      <c r="AN9501" s="1">
        <v>1224.21</v>
      </c>
      <c r="AO9501" s="1">
        <v>1224.21</v>
      </c>
      <c r="AP9501" s="2">
        <v>42746</v>
      </c>
      <c r="AQ9501" t="s">
        <v>72</v>
      </c>
      <c r="AR9501" t="s">
        <v>72</v>
      </c>
      <c r="AS9501">
        <v>3315</v>
      </c>
      <c r="AT9501" s="4">
        <v>42709</v>
      </c>
      <c r="AV9501">
        <v>3315</v>
      </c>
      <c r="AW9501" s="4">
        <v>42709</v>
      </c>
      <c r="BD9501">
        <v>0</v>
      </c>
      <c r="BN9501" t="s">
        <v>74</v>
      </c>
    </row>
    <row r="9502" spans="1:66">
      <c r="A9502">
        <v>106817</v>
      </c>
      <c r="B9502" s="3" t="s">
        <v>971</v>
      </c>
      <c r="C9502" s="1">
        <v>43500101</v>
      </c>
      <c r="D9502" t="s">
        <v>113</v>
      </c>
      <c r="H9502" t="str">
        <f>"LNGGPP72A50A783K"</f>
        <v>LNGGPP72A50A783K</v>
      </c>
      <c r="I9502" t="str">
        <f>""</f>
        <v/>
      </c>
      <c r="K9502" t="str">
        <f>""</f>
        <v/>
      </c>
      <c r="M9502" t="s">
        <v>68</v>
      </c>
      <c r="N9502" t="str">
        <f>"ALTPRO"</f>
        <v>ALTPRO</v>
      </c>
      <c r="O9502" t="s">
        <v>132</v>
      </c>
      <c r="P9502" s="3" t="s">
        <v>972</v>
      </c>
      <c r="Q9502">
        <v>2016</v>
      </c>
      <c r="R9502" s="2">
        <v>42691</v>
      </c>
      <c r="S9502" s="2">
        <v>42691</v>
      </c>
      <c r="T9502" s="2">
        <v>42691</v>
      </c>
      <c r="U9502" s="2">
        <v>42751</v>
      </c>
      <c r="V9502" t="s">
        <v>71</v>
      </c>
      <c r="W9502" t="str">
        <f>"                 262"</f>
        <v xml:space="preserve">                 262</v>
      </c>
      <c r="X9502">
        <v>0</v>
      </c>
      <c r="Y9502" s="1">
        <v>3230</v>
      </c>
      <c r="Z9502" s="5">
        <v>3230</v>
      </c>
      <c r="AA9502">
        <v>-53</v>
      </c>
      <c r="AB9502" s="5">
        <v>-171190</v>
      </c>
      <c r="AC9502" s="1">
        <v>3230</v>
      </c>
      <c r="AD9502">
        <v>-53</v>
      </c>
      <c r="AE9502" s="1">
        <v>-171190</v>
      </c>
      <c r="AF9502">
        <v>0</v>
      </c>
      <c r="AJ9502" s="1">
        <v>3230</v>
      </c>
      <c r="AK9502" s="1">
        <v>3230</v>
      </c>
      <c r="AL9502" s="1">
        <v>3230</v>
      </c>
      <c r="AM9502" s="1">
        <v>3230</v>
      </c>
      <c r="AN9502" s="1">
        <v>3230</v>
      </c>
      <c r="AO9502" s="1">
        <v>3230</v>
      </c>
      <c r="AP9502" s="2">
        <v>42746</v>
      </c>
      <c r="AQ9502" t="s">
        <v>72</v>
      </c>
      <c r="AR9502" t="s">
        <v>72</v>
      </c>
      <c r="AS9502">
        <v>3302</v>
      </c>
      <c r="AT9502" s="4">
        <v>42698</v>
      </c>
      <c r="AV9502">
        <v>3302</v>
      </c>
      <c r="AW9502" s="4">
        <v>42698</v>
      </c>
      <c r="BD9502">
        <v>0</v>
      </c>
      <c r="BN9502" t="s">
        <v>74</v>
      </c>
    </row>
    <row r="9503" spans="1:66">
      <c r="A9503">
        <v>106818</v>
      </c>
      <c r="B9503" s="3" t="s">
        <v>973</v>
      </c>
      <c r="C9503" s="1">
        <v>43201231</v>
      </c>
      <c r="D9503" t="s">
        <v>461</v>
      </c>
      <c r="H9503" t="str">
        <f>"06593810481"</f>
        <v>06593810481</v>
      </c>
      <c r="I9503" t="str">
        <f>"06593810481"</f>
        <v>06593810481</v>
      </c>
      <c r="K9503" t="str">
        <f>""</f>
        <v/>
      </c>
      <c r="M9503" t="s">
        <v>68</v>
      </c>
      <c r="N9503" t="str">
        <f>"AZI"</f>
        <v>AZI</v>
      </c>
      <c r="O9503" t="s">
        <v>462</v>
      </c>
      <c r="P9503" s="3" t="s">
        <v>974</v>
      </c>
      <c r="Q9503">
        <v>2016</v>
      </c>
      <c r="R9503" s="2">
        <v>42698</v>
      </c>
      <c r="S9503" s="2">
        <v>42698</v>
      </c>
      <c r="T9503" s="2">
        <v>42698</v>
      </c>
      <c r="U9503" s="2">
        <v>42758</v>
      </c>
      <c r="V9503" t="s">
        <v>71</v>
      </c>
      <c r="W9503" t="str">
        <f>"                 273"</f>
        <v xml:space="preserve">                 273</v>
      </c>
      <c r="X9503">
        <v>0</v>
      </c>
      <c r="Y9503">
        <v>385.23</v>
      </c>
      <c r="Z9503" s="3">
        <v>385.23</v>
      </c>
      <c r="AA9503">
        <v>-60</v>
      </c>
      <c r="AB9503" s="5">
        <v>-23113.8</v>
      </c>
      <c r="AC9503">
        <v>385.23</v>
      </c>
      <c r="AD9503">
        <v>-60</v>
      </c>
      <c r="AE9503" s="1">
        <v>-23113.8</v>
      </c>
      <c r="AF9503">
        <v>0</v>
      </c>
      <c r="AJ9503">
        <v>385.23</v>
      </c>
      <c r="AK9503">
        <v>385.23</v>
      </c>
      <c r="AL9503">
        <v>385.23</v>
      </c>
      <c r="AM9503">
        <v>385.23</v>
      </c>
      <c r="AN9503">
        <v>385.23</v>
      </c>
      <c r="AO9503">
        <v>385.23</v>
      </c>
      <c r="AP9503" s="2">
        <v>42746</v>
      </c>
      <c r="AQ9503" t="s">
        <v>72</v>
      </c>
      <c r="AR9503" t="s">
        <v>72</v>
      </c>
      <c r="AS9503">
        <v>3309</v>
      </c>
      <c r="AT9503" s="4">
        <v>42698</v>
      </c>
      <c r="AV9503">
        <v>3309</v>
      </c>
      <c r="AW9503" s="4">
        <v>42698</v>
      </c>
      <c r="BD9503">
        <v>0</v>
      </c>
      <c r="BN9503" t="s">
        <v>74</v>
      </c>
    </row>
    <row r="9504" spans="1:66" hidden="1">
      <c r="A9504">
        <v>106820</v>
      </c>
      <c r="B9504" s="3" t="s">
        <v>975</v>
      </c>
      <c r="C9504" s="1">
        <v>43500101</v>
      </c>
      <c r="D9504" t="s">
        <v>113</v>
      </c>
      <c r="H9504" t="str">
        <f>"NRDGPP61L10C606S"</f>
        <v>NRDGPP61L10C606S</v>
      </c>
      <c r="I9504" t="str">
        <f>""</f>
        <v/>
      </c>
      <c r="K9504" t="str">
        <f>""</f>
        <v/>
      </c>
      <c r="M9504" t="s">
        <v>68</v>
      </c>
      <c r="N9504" t="str">
        <f>"ALT"</f>
        <v>ALT</v>
      </c>
      <c r="O9504" t="s">
        <v>114</v>
      </c>
      <c r="P9504" s="3" t="s">
        <v>976</v>
      </c>
      <c r="Q9504">
        <v>2016</v>
      </c>
      <c r="R9504" s="2">
        <v>42710</v>
      </c>
      <c r="S9504" s="2">
        <v>42710</v>
      </c>
      <c r="T9504" s="2">
        <v>42710</v>
      </c>
      <c r="U9504" s="2">
        <v>42770</v>
      </c>
      <c r="V9504" t="s">
        <v>71</v>
      </c>
      <c r="W9504" t="str">
        <f>"                 286"</f>
        <v xml:space="preserve">                 286</v>
      </c>
      <c r="X9504">
        <v>0</v>
      </c>
      <c r="Y9504">
        <v>684.94</v>
      </c>
      <c r="Z9504" s="3">
        <v>684.94</v>
      </c>
      <c r="AA9504">
        <v>-59</v>
      </c>
      <c r="AB9504" s="5">
        <v>-40411.46</v>
      </c>
      <c r="AC9504">
        <v>684.94</v>
      </c>
      <c r="AD9504">
        <v>-59</v>
      </c>
      <c r="AE9504" s="1">
        <v>-40411.46</v>
      </c>
      <c r="AF9504">
        <v>0</v>
      </c>
      <c r="AJ9504">
        <v>684.94</v>
      </c>
      <c r="AK9504">
        <v>684.94</v>
      </c>
      <c r="AL9504">
        <v>684.94</v>
      </c>
      <c r="AM9504">
        <v>684.94</v>
      </c>
      <c r="AN9504">
        <v>684.94</v>
      </c>
      <c r="AO9504">
        <v>684.94</v>
      </c>
      <c r="AP9504" s="2">
        <v>42746</v>
      </c>
      <c r="AQ9504" t="s">
        <v>72</v>
      </c>
      <c r="AR9504" t="s">
        <v>72</v>
      </c>
      <c r="AS9504">
        <v>3350</v>
      </c>
      <c r="AT9504" s="4">
        <v>42711</v>
      </c>
      <c r="AV9504">
        <v>3350</v>
      </c>
      <c r="AW9504" s="4">
        <v>42711</v>
      </c>
      <c r="BD9504">
        <v>0</v>
      </c>
      <c r="BN9504" t="s">
        <v>74</v>
      </c>
    </row>
    <row r="9505" spans="1:66" hidden="1">
      <c r="A9505">
        <v>106820</v>
      </c>
      <c r="B9505" s="3" t="s">
        <v>975</v>
      </c>
      <c r="C9505" s="1">
        <v>43500101</v>
      </c>
      <c r="D9505" t="s">
        <v>113</v>
      </c>
      <c r="H9505" t="str">
        <f>"NRDGPP61L10C606S"</f>
        <v>NRDGPP61L10C606S</v>
      </c>
      <c r="I9505" t="str">
        <f>""</f>
        <v/>
      </c>
      <c r="K9505" t="str">
        <f>""</f>
        <v/>
      </c>
      <c r="M9505" t="s">
        <v>68</v>
      </c>
      <c r="N9505" t="str">
        <f>"ALT"</f>
        <v>ALT</v>
      </c>
      <c r="O9505" t="s">
        <v>114</v>
      </c>
      <c r="P9505" s="3" t="s">
        <v>94</v>
      </c>
      <c r="Q9505">
        <v>2016</v>
      </c>
      <c r="R9505" s="2">
        <v>42696</v>
      </c>
      <c r="S9505" s="2">
        <v>42696</v>
      </c>
      <c r="T9505" s="2">
        <v>42696</v>
      </c>
      <c r="U9505" s="2">
        <v>42756</v>
      </c>
      <c r="V9505" t="s">
        <v>71</v>
      </c>
      <c r="W9505" t="str">
        <f>"                1122"</f>
        <v xml:space="preserve">                1122</v>
      </c>
      <c r="X9505">
        <v>0</v>
      </c>
      <c r="Y9505">
        <v>154.94</v>
      </c>
      <c r="Z9505" s="3">
        <v>154.94</v>
      </c>
      <c r="AA9505">
        <v>-59</v>
      </c>
      <c r="AB9505" s="5">
        <v>-9141.4599999999991</v>
      </c>
      <c r="AC9505">
        <v>154.94</v>
      </c>
      <c r="AD9505">
        <v>-59</v>
      </c>
      <c r="AE9505" s="1">
        <v>-9141.4599999999991</v>
      </c>
      <c r="AF9505">
        <v>0</v>
      </c>
      <c r="AJ9505">
        <v>154.94</v>
      </c>
      <c r="AK9505">
        <v>154.94</v>
      </c>
      <c r="AL9505">
        <v>154.94</v>
      </c>
      <c r="AM9505">
        <v>154.94</v>
      </c>
      <c r="AN9505">
        <v>154.94</v>
      </c>
      <c r="AO9505">
        <v>154.94</v>
      </c>
      <c r="AP9505" s="2">
        <v>42746</v>
      </c>
      <c r="AQ9505" t="s">
        <v>72</v>
      </c>
      <c r="AR9505" t="s">
        <v>72</v>
      </c>
      <c r="AS9505">
        <v>3266</v>
      </c>
      <c r="AT9505" s="4">
        <v>42697</v>
      </c>
      <c r="AV9505">
        <v>3266</v>
      </c>
      <c r="AW9505" s="4">
        <v>42697</v>
      </c>
      <c r="BD9505">
        <v>0</v>
      </c>
      <c r="BN9505" t="s">
        <v>74</v>
      </c>
    </row>
    <row r="9506" spans="1:66" hidden="1">
      <c r="A9506">
        <v>106820</v>
      </c>
      <c r="B9506" s="3" t="s">
        <v>975</v>
      </c>
      <c r="C9506" s="1">
        <v>43500101</v>
      </c>
      <c r="D9506" t="s">
        <v>113</v>
      </c>
      <c r="H9506" t="str">
        <f>"NRDGPP61L10C606S"</f>
        <v>NRDGPP61L10C606S</v>
      </c>
      <c r="I9506" t="str">
        <f>""</f>
        <v/>
      </c>
      <c r="K9506" t="str">
        <f>""</f>
        <v/>
      </c>
      <c r="M9506" t="s">
        <v>68</v>
      </c>
      <c r="N9506" t="str">
        <f>"ALT"</f>
        <v>ALT</v>
      </c>
      <c r="O9506" t="s">
        <v>114</v>
      </c>
      <c r="P9506" s="3" t="s">
        <v>95</v>
      </c>
      <c r="Q9506">
        <v>2016</v>
      </c>
      <c r="R9506" s="2">
        <v>42717</v>
      </c>
      <c r="S9506" s="2">
        <v>42717</v>
      </c>
      <c r="T9506" s="2">
        <v>42717</v>
      </c>
      <c r="U9506" s="2">
        <v>42777</v>
      </c>
      <c r="V9506" t="s">
        <v>71</v>
      </c>
      <c r="W9506" t="str">
        <f>"                1213"</f>
        <v xml:space="preserve">                1213</v>
      </c>
      <c r="X9506">
        <v>0</v>
      </c>
      <c r="Y9506">
        <v>154.94</v>
      </c>
      <c r="Z9506" s="3">
        <v>154.94</v>
      </c>
      <c r="AA9506">
        <v>-59</v>
      </c>
      <c r="AB9506" s="5">
        <v>-9141.4599999999991</v>
      </c>
      <c r="AC9506">
        <v>154.94</v>
      </c>
      <c r="AD9506">
        <v>-59</v>
      </c>
      <c r="AE9506" s="1">
        <v>-9141.4599999999991</v>
      </c>
      <c r="AF9506">
        <v>0</v>
      </c>
      <c r="AJ9506">
        <v>154.94</v>
      </c>
      <c r="AK9506">
        <v>154.94</v>
      </c>
      <c r="AL9506">
        <v>154.94</v>
      </c>
      <c r="AM9506">
        <v>154.94</v>
      </c>
      <c r="AN9506">
        <v>154.94</v>
      </c>
      <c r="AO9506">
        <v>154.94</v>
      </c>
      <c r="AP9506" s="2">
        <v>42746</v>
      </c>
      <c r="AQ9506" t="s">
        <v>72</v>
      </c>
      <c r="AR9506" t="s">
        <v>72</v>
      </c>
      <c r="AS9506">
        <v>3424</v>
      </c>
      <c r="AT9506" s="4">
        <v>42718</v>
      </c>
      <c r="AV9506">
        <v>3424</v>
      </c>
      <c r="AW9506" s="4">
        <v>42718</v>
      </c>
      <c r="BD9506">
        <v>0</v>
      </c>
      <c r="BN9506" t="s">
        <v>74</v>
      </c>
    </row>
    <row r="9507" spans="1:66" hidden="1">
      <c r="A9507">
        <v>106821</v>
      </c>
      <c r="B9507" s="3" t="s">
        <v>977</v>
      </c>
      <c r="C9507" s="1">
        <v>43500101</v>
      </c>
      <c r="D9507" t="s">
        <v>113</v>
      </c>
      <c r="H9507" t="str">
        <f>"GRLNTN60M15C606Z"</f>
        <v>GRLNTN60M15C606Z</v>
      </c>
      <c r="I9507" t="str">
        <f>"00948920624"</f>
        <v>00948920624</v>
      </c>
      <c r="K9507" t="str">
        <f>""</f>
        <v/>
      </c>
      <c r="M9507" t="s">
        <v>68</v>
      </c>
      <c r="N9507" t="str">
        <f>"ALT"</f>
        <v>ALT</v>
      </c>
      <c r="O9507" t="s">
        <v>114</v>
      </c>
      <c r="P9507" s="3" t="s">
        <v>978</v>
      </c>
      <c r="Q9507">
        <v>2016</v>
      </c>
      <c r="R9507" s="2">
        <v>42710</v>
      </c>
      <c r="S9507" s="2">
        <v>42710</v>
      </c>
      <c r="T9507" s="2">
        <v>42710</v>
      </c>
      <c r="U9507" s="2">
        <v>42770</v>
      </c>
      <c r="V9507" t="s">
        <v>71</v>
      </c>
      <c r="W9507" t="str">
        <f>"                 285"</f>
        <v xml:space="preserve">                 285</v>
      </c>
      <c r="X9507">
        <v>0</v>
      </c>
      <c r="Y9507" s="1">
        <v>1125.2</v>
      </c>
      <c r="Z9507" s="5">
        <v>1125.2</v>
      </c>
      <c r="AA9507">
        <v>-59</v>
      </c>
      <c r="AB9507" s="5">
        <v>-66386.8</v>
      </c>
      <c r="AC9507" s="1">
        <v>1125.2</v>
      </c>
      <c r="AD9507">
        <v>-59</v>
      </c>
      <c r="AE9507" s="1">
        <v>-66386.8</v>
      </c>
      <c r="AF9507">
        <v>0</v>
      </c>
      <c r="AJ9507" s="1">
        <v>1125.2</v>
      </c>
      <c r="AK9507" s="1">
        <v>1125.2</v>
      </c>
      <c r="AL9507" s="1">
        <v>1125.2</v>
      </c>
      <c r="AM9507" s="1">
        <v>1125.2</v>
      </c>
      <c r="AN9507" s="1">
        <v>1125.2</v>
      </c>
      <c r="AO9507" s="1">
        <v>1125.2</v>
      </c>
      <c r="AP9507" s="2">
        <v>42746</v>
      </c>
      <c r="AQ9507" t="s">
        <v>72</v>
      </c>
      <c r="AR9507" t="s">
        <v>72</v>
      </c>
      <c r="AS9507">
        <v>3349</v>
      </c>
      <c r="AT9507" s="4">
        <v>42711</v>
      </c>
      <c r="AV9507">
        <v>3349</v>
      </c>
      <c r="AW9507" s="4">
        <v>42711</v>
      </c>
      <c r="BD9507">
        <v>0</v>
      </c>
      <c r="BN9507" t="s">
        <v>74</v>
      </c>
    </row>
    <row r="9508" spans="1:66">
      <c r="A9508">
        <v>106823</v>
      </c>
      <c r="B9508" s="3" t="s">
        <v>979</v>
      </c>
      <c r="C9508" s="1">
        <v>43500101</v>
      </c>
      <c r="D9508" t="s">
        <v>113</v>
      </c>
      <c r="H9508" t="str">
        <f>"07387151215"</f>
        <v>07387151215</v>
      </c>
      <c r="I9508" t="str">
        <f>"07387151215"</f>
        <v>07387151215</v>
      </c>
      <c r="K9508" t="str">
        <f>""</f>
        <v/>
      </c>
      <c r="M9508" t="s">
        <v>68</v>
      </c>
      <c r="N9508" t="str">
        <f>"ALTPRO"</f>
        <v>ALTPRO</v>
      </c>
      <c r="O9508" t="s">
        <v>132</v>
      </c>
      <c r="P9508" s="3" t="s">
        <v>75</v>
      </c>
      <c r="Q9508">
        <v>2016</v>
      </c>
      <c r="R9508" s="2">
        <v>42697</v>
      </c>
      <c r="S9508" s="2">
        <v>42702</v>
      </c>
      <c r="T9508" s="2">
        <v>42697</v>
      </c>
      <c r="U9508" s="2">
        <v>42757</v>
      </c>
      <c r="V9508" t="s">
        <v>71</v>
      </c>
      <c r="W9508" t="str">
        <f>"            N. 16 PA"</f>
        <v xml:space="preserve">            N. 16 PA</v>
      </c>
      <c r="X9508" s="1">
        <v>5836.48</v>
      </c>
      <c r="Y9508">
        <v>-920</v>
      </c>
      <c r="Z9508" s="5">
        <v>4916.4799999999996</v>
      </c>
      <c r="AA9508">
        <v>-33</v>
      </c>
      <c r="AB9508" s="5">
        <v>-162243.84</v>
      </c>
      <c r="AC9508" s="1">
        <v>4916.4799999999996</v>
      </c>
      <c r="AD9508">
        <v>-33</v>
      </c>
      <c r="AE9508" s="1">
        <v>-162243.84</v>
      </c>
      <c r="AF9508">
        <v>0</v>
      </c>
      <c r="AJ9508" s="1">
        <v>4916.4799999999996</v>
      </c>
      <c r="AK9508" s="1">
        <v>4916.4799999999996</v>
      </c>
      <c r="AL9508" s="1">
        <v>4916.4799999999996</v>
      </c>
      <c r="AM9508" s="1">
        <v>4916.4799999999996</v>
      </c>
      <c r="AN9508" s="1">
        <v>4916.4799999999996</v>
      </c>
      <c r="AO9508" s="1">
        <v>4916.4799999999996</v>
      </c>
      <c r="AP9508" s="2">
        <v>42746</v>
      </c>
      <c r="AQ9508" t="s">
        <v>72</v>
      </c>
      <c r="AR9508" t="s">
        <v>72</v>
      </c>
      <c r="AS9508">
        <v>3633</v>
      </c>
      <c r="AT9508" s="4">
        <v>42724</v>
      </c>
      <c r="AV9508">
        <v>3633</v>
      </c>
      <c r="AW9508" s="4">
        <v>42724</v>
      </c>
      <c r="BD9508">
        <v>0</v>
      </c>
      <c r="BN9508" t="s">
        <v>74</v>
      </c>
    </row>
    <row r="9509" spans="1:66" hidden="1">
      <c r="A9509">
        <v>106826</v>
      </c>
      <c r="B9509" s="3" t="s">
        <v>980</v>
      </c>
      <c r="C9509" s="1">
        <v>43500101</v>
      </c>
      <c r="D9509" t="s">
        <v>113</v>
      </c>
      <c r="H9509" t="str">
        <f>"DCNSRG57R29F839E"</f>
        <v>DCNSRG57R29F839E</v>
      </c>
      <c r="I9509" t="str">
        <f>""</f>
        <v/>
      </c>
      <c r="K9509" t="str">
        <f>""</f>
        <v/>
      </c>
      <c r="M9509" t="s">
        <v>68</v>
      </c>
      <c r="N9509" t="str">
        <f>"ALT"</f>
        <v>ALT</v>
      </c>
      <c r="O9509" t="s">
        <v>114</v>
      </c>
      <c r="P9509" s="3" t="s">
        <v>119</v>
      </c>
      <c r="Q9509">
        <v>2016</v>
      </c>
      <c r="R9509" s="2">
        <v>42709</v>
      </c>
      <c r="S9509" s="2">
        <v>42709</v>
      </c>
      <c r="T9509" s="2">
        <v>42709</v>
      </c>
      <c r="U9509" s="2">
        <v>42769</v>
      </c>
      <c r="V9509" t="s">
        <v>71</v>
      </c>
      <c r="W9509" t="str">
        <f>"                 283"</f>
        <v xml:space="preserve">                 283</v>
      </c>
      <c r="X9509">
        <v>0</v>
      </c>
      <c r="Y9509" s="1">
        <v>4873.93</v>
      </c>
      <c r="Z9509" s="5">
        <v>4873.93</v>
      </c>
      <c r="AA9509">
        <v>-60</v>
      </c>
      <c r="AB9509" s="5">
        <v>-292435.8</v>
      </c>
      <c r="AC9509" s="1">
        <v>4873.93</v>
      </c>
      <c r="AD9509">
        <v>-60</v>
      </c>
      <c r="AE9509" s="1">
        <v>-292435.8</v>
      </c>
      <c r="AF9509">
        <v>0</v>
      </c>
      <c r="AJ9509" s="1">
        <v>4873.93</v>
      </c>
      <c r="AK9509" s="1">
        <v>4873.93</v>
      </c>
      <c r="AL9509" s="1">
        <v>4873.93</v>
      </c>
      <c r="AM9509" s="1">
        <v>4873.93</v>
      </c>
      <c r="AN9509" s="1">
        <v>4873.93</v>
      </c>
      <c r="AO9509" s="1">
        <v>4873.93</v>
      </c>
      <c r="AP9509" s="2">
        <v>42746</v>
      </c>
      <c r="AQ9509" t="s">
        <v>72</v>
      </c>
      <c r="AR9509" t="s">
        <v>72</v>
      </c>
      <c r="AS9509">
        <v>3314</v>
      </c>
      <c r="AT9509" s="4">
        <v>42709</v>
      </c>
      <c r="AV9509">
        <v>3314</v>
      </c>
      <c r="AW9509" s="4">
        <v>42709</v>
      </c>
      <c r="BD9509">
        <v>0</v>
      </c>
      <c r="BN9509" t="s">
        <v>74</v>
      </c>
    </row>
    <row r="9510" spans="1:66" hidden="1">
      <c r="A9510">
        <v>106831</v>
      </c>
      <c r="B9510" s="3" t="s">
        <v>981</v>
      </c>
      <c r="C9510" s="1">
        <v>43500101</v>
      </c>
      <c r="D9510" t="s">
        <v>113</v>
      </c>
      <c r="H9510" t="str">
        <f>"CTARST82M13A783W"</f>
        <v>CTARST82M13A783W</v>
      </c>
      <c r="I9510" t="str">
        <f>""</f>
        <v/>
      </c>
      <c r="K9510" t="str">
        <f>""</f>
        <v/>
      </c>
      <c r="M9510" t="s">
        <v>68</v>
      </c>
      <c r="N9510" t="str">
        <f>"ALTPRO"</f>
        <v>ALTPRO</v>
      </c>
      <c r="O9510" t="s">
        <v>132</v>
      </c>
      <c r="P9510" s="3" t="s">
        <v>982</v>
      </c>
      <c r="Q9510">
        <v>2016</v>
      </c>
      <c r="R9510" s="2">
        <v>42725</v>
      </c>
      <c r="S9510" s="2">
        <v>42725</v>
      </c>
      <c r="T9510" s="2">
        <v>42725</v>
      </c>
      <c r="U9510" s="2">
        <v>42785</v>
      </c>
      <c r="V9510" t="s">
        <v>71</v>
      </c>
      <c r="W9510" t="str">
        <f>"                 303"</f>
        <v xml:space="preserve">                 303</v>
      </c>
      <c r="X9510">
        <v>0</v>
      </c>
      <c r="Y9510" s="1">
        <v>2207.46</v>
      </c>
      <c r="Z9510" s="5">
        <v>2207.46</v>
      </c>
      <c r="AA9510">
        <v>-60</v>
      </c>
      <c r="AB9510" s="5">
        <v>-132447.6</v>
      </c>
      <c r="AC9510" s="1">
        <v>2207.46</v>
      </c>
      <c r="AD9510">
        <v>-60</v>
      </c>
      <c r="AE9510" s="1">
        <v>-132447.6</v>
      </c>
      <c r="AF9510">
        <v>0</v>
      </c>
      <c r="AJ9510" s="1">
        <v>2207.46</v>
      </c>
      <c r="AK9510" s="1">
        <v>2207.46</v>
      </c>
      <c r="AL9510" s="1">
        <v>2207.46</v>
      </c>
      <c r="AM9510" s="1">
        <v>2207.46</v>
      </c>
      <c r="AN9510" s="1">
        <v>2207.46</v>
      </c>
      <c r="AO9510" s="1">
        <v>2207.46</v>
      </c>
      <c r="AP9510" s="2">
        <v>42746</v>
      </c>
      <c r="AQ9510" t="s">
        <v>72</v>
      </c>
      <c r="AR9510" t="s">
        <v>72</v>
      </c>
      <c r="AS9510">
        <v>3653</v>
      </c>
      <c r="AT9510" s="4">
        <v>42725</v>
      </c>
      <c r="AV9510">
        <v>3653</v>
      </c>
      <c r="AW9510" s="4">
        <v>42725</v>
      </c>
      <c r="BD9510">
        <v>0</v>
      </c>
      <c r="BN9510" t="s">
        <v>74</v>
      </c>
    </row>
    <row r="9511" spans="1:66">
      <c r="Z9511" s="5">
        <f>SUBTOTAL(9,Z3:Z9510)</f>
        <v>12767997.230000064</v>
      </c>
      <c r="AB9511" s="5">
        <f>SUBTOTAL(9,AB3:AB9510)</f>
        <v>1915628120.6600008</v>
      </c>
      <c r="AC9511" s="1">
        <f>SUBTOTAL(9,AC3:AC9510)</f>
        <v>12767997.230000064</v>
      </c>
      <c r="AE9511" s="1">
        <f>SUBTOTAL(9,AE3:AE9510)</f>
        <v>1915628120.6600008</v>
      </c>
    </row>
    <row r="9513" spans="1:66" s="3" customFormat="1">
      <c r="U9513" s="3" t="s">
        <v>983</v>
      </c>
      <c r="V9513" s="3" t="s">
        <v>984</v>
      </c>
      <c r="W9513" s="3" t="s">
        <v>985</v>
      </c>
      <c r="X9513" s="3" t="s">
        <v>986</v>
      </c>
      <c r="Y9513" s="3" t="s">
        <v>987</v>
      </c>
      <c r="Z9513" s="5">
        <f>AB9511/Z9511</f>
        <v>150.03356330302017</v>
      </c>
    </row>
  </sheetData>
  <autoFilter ref="A2:BN9510">
    <filterColumn colId="1">
      <filters>
        <filter val="3 M.C. S.P.A."/>
        <filter val="3M ITALIA S.R.L."/>
        <filter val="A.G.A. BIOMEDICA S.R.L."/>
        <filter val="A.MENARINI DIAGNOSTICS S.R.L."/>
        <filter val="A.S.L. BN"/>
        <filter val="A.S.P. DI VASTARELLI GAETANO"/>
        <filter val="A.T.M. SERVICE S.R.L."/>
        <filter val="AB MEDICA S.P.A."/>
        <filter val="ABBOTT S.R.L."/>
        <filter val="ABBVIE S.R.L."/>
        <filter val="AC.TA.. SRL"/>
        <filter val="AELLE SURGERY S.R.L."/>
        <filter val="AGFA GEVAERT S.P.A."/>
        <filter val="AIESI HOSPITAL SERVICE S.A.S."/>
        <filter val="ALCON ITALIA S.P.A."/>
        <filter val="ALEX OFFICE &amp; BUSINESS DI CARMINE AVERSANO"/>
        <filter val="ALFA INTES S.R.L."/>
        <filter val="ALFAMED S.R.L."/>
        <filter val="ALIFAX S.R.L."/>
        <filter val="ALLERGAN S.P.A."/>
        <filter val="ALMIRALL S.P.A."/>
        <filter val="AMICO  VALERIA"/>
        <filter val="AMS S.R.L."/>
        <filter val="APPLIED MEDICAL DISTRIB. EUROPE BV- FIL.ITALIANA"/>
        <filter val="ARTSANA S.P.A."/>
        <filter val="ARUBA S.P.A."/>
        <filter val="AS.T.C.C.&amp; C. S.N.C.  COSIMO CIOTTA"/>
        <filter val="ASE S.P.A."/>
        <filter val="ASPEN PHARMA IRELAND LIMITED"/>
        <filter val="ASSOCIATION ROBERT DEBRE POUR LA RECHERCHE"/>
        <filter val="ASST GRANDE OSPEDALE METROPOLITANO NIGUARDA"/>
        <filter val="ATTI HOSPITAL S.R.L."/>
        <filter val="AUROBINDO PHARMA (ITALIA) S.R.L."/>
        <filter val="AUTOSALONE E AUTOFFICINA CARPENTIERI"/>
        <filter val="AUTOSTRADE PER L' ITALIA S.P.A."/>
        <filter val="AZIENDA OSPEDALIERA DI PERUGIA"/>
        <filter val="AZIENDA OSPEDALIERA REGIONALE SAN CARLO DI POTENZA"/>
        <filter val="AZIENDA SANITARIA LOCALE CE"/>
        <filter val="AZIENDA USL TOSCANA CENTRO"/>
        <filter val="B.BRAUN AVITUM ITALY S.P.A."/>
        <filter val="B.BRAUN MILANO S.P.A."/>
        <filter val="B.C.TRADE  S.R.L."/>
        <filter val="B.R.S.CAPPUCCIO S.R.L."/>
        <filter val="BANCA FARMAFACTORING S.P.A."/>
        <filter val="BARD S.R.L."/>
        <filter val="BAXTER  S.P.A."/>
        <filter val="BAYER S.P.A."/>
        <filter val="BEAVER-VISITEC INTERNATIONAL SALES LTD (FILIT)"/>
        <filter val="BECKMAN COULTER S.R.L."/>
        <filter val="BECTON DICKINSON ITALIA S.P.A."/>
        <filter val="BEMAR ITALIA S.R.L."/>
        <filter val="BENEFIS S.R.L."/>
        <filter val="BERKSHIRE HATHAWAY INTERNATIONAL INSURANCE LTD"/>
        <filter val="BETA DIAGNOSTICI S.A.S."/>
        <filter val="BETATEX S.P.A."/>
        <filter val="BIM ITALIA S.R.L."/>
        <filter val="BIO &amp; MEDICAL TECH DI GIULIANA BARONE"/>
        <filter val="BIO MERIEUX ITALIA S.P.A."/>
        <filter val="BIO OPTICA S.P.A.             STRUMENTI"/>
        <filter val="BIOINDUSTRIA L.I.M. S.P.A."/>
        <filter val="BIOLIFE ITALIANA SRL"/>
        <filter val="BIOMEDICALE SESTRESE SNC"/>
        <filter val="BIO-RAD LABORATORIES S.R.L."/>
        <filter val="BIORES SRL"/>
        <filter val="BIOSIGMA S.R.L."/>
        <filter val="BIOTECNICA S.R.L."/>
        <filter val="BIOTECNICA S.R.L.S."/>
        <filter val="BIOTEST ITALIA S.R.L."/>
        <filter val="BLS SRL"/>
        <filter val="BMC TEC SRL UNIPERSONALE"/>
        <filter val="BOEHRINGER INGELHEIM ITALIA   S.P.A."/>
        <filter val="BOSCAINO ANNA MARIA"/>
        <filter val="BOSCO ANNA"/>
        <filter val="BOSTON SCIENTIFIC S.P.A."/>
        <filter val="BRACCO IMAGING ITALIA SRL"/>
        <filter val="BRUNO FARMACEUTICI S.P.A."/>
        <filter val="C &amp; T GLOBAL SERVICE SRL"/>
        <filter val="CAPONE  ASSUNTA"/>
        <filter val="CAREFUSION ITALY 311 S.R.L. UNIPERSONALE"/>
        <filter val="CARFORA  ANGELO"/>
        <filter val="CARL ZEISS S.P.A."/>
        <filter val="CARTOLIBRERIA SMILE di ZOTTI ERASMO"/>
        <filter val="CATALANO  GIANPAOLO"/>
        <filter val="CAVALLARO S.R.L."/>
        <filter val="CELGENE S.R.L."/>
        <filter val="CENTRO FORNITURE SANITARIE SRL"/>
        <filter val="CENTRO POLIDIAGNOSTICO GAMMACORD- SANNIO TAC"/>
        <filter val="CERACARTA S.P.A."/>
        <filter val="CHIESI FARMACEUTICI S.P.A."/>
        <filter val="CHINESPORT S.P.A."/>
        <filter val="CHIRURMEDICA SRL"/>
        <filter val="CID S.P.A."/>
        <filter val="CIDICHEM S.R.L."/>
        <filter val="CISATECH di C. SANTORO &amp; C. s.a.s."/>
        <filter val="CLINI-LAB S.R.L."/>
        <filter val="CODISAN S.P.A."/>
        <filter val="COGNETTI  CARMELINA"/>
        <filter val="COLOPLAST S.P.A."/>
        <filter val="COMPETIELLO  STEFANIA"/>
        <filter val="CONDOMINIO VIA ANNUNZIATA 23-33   BENEVENTO"/>
        <filter val="CONTE  CLAUDIO"/>
        <filter val="CONVERGE S.P.A."/>
        <filter val="COOK ITALIA S.R.L."/>
        <filter val="CORBO GIUSEPPE"/>
        <filter val="COSMOPOL S.R.L."/>
        <filter val="COVIDIEN (INCORPORATA DA MEDTRONIC ITALIA S.P.A.)"/>
        <filter val="COVINO ALESSANDRO"/>
        <filter val="CROCE ROSSA ITALIANA COMIT.PROV.BENEVENTO(PRIVATA)"/>
        <filter val="CSL BEHRING S.P.A. EX ZLB BEHRING SPA"/>
        <filter val="D.I.D. SPA"/>
        <filter val="DAIICHI SANKYO ITALIA S.P.A."/>
        <filter val="DANIELE ANTONIO"/>
        <filter val="DASIT S.P.A."/>
        <filter val="DATA PROCESSING S.P.A."/>
        <filter val="DATI ASCENSORI S.r.l."/>
        <filter val="DE GIULIO   FRANCESCO"/>
        <filter val="DE GUGLIELMO  CARMEN"/>
        <filter val="DE LUCA  ALDO"/>
        <filter val="DE NIGRO GAETANO FERRAMENTA"/>
        <filter val="DE PAOLA  VINCENZO"/>
        <filter val="DE TATA GERARDO"/>
        <filter val="DEL GROSSO ELENA"/>
        <filter val="DELLA PIETRA MARIA CARMELA"/>
        <filter val="DELLA VITTORIA SCARPATI  VINCENZO"/>
        <filter val="DELTA BIOLOGICALS S.R.L."/>
        <filter val="DEMA HOSPITAL S.R.L."/>
        <filter val="DEVYSER ITALIA S.R.L."/>
        <filter val="DEXTER S.R.L."/>
        <filter val="DIAPATH S.P.A."/>
        <filter val="DIASORIN S.P.A."/>
        <filter val="DRAEGER MEDICAL  ITALIA S.P.A."/>
        <filter val="DS&amp;A PNEUMATICI S.A.S."/>
        <filter val="DYNAMED SNC"/>
        <filter val="EASY MEDICAL S.R.L."/>
        <filter val="EBIT S.R.L."/>
        <filter val="ECOLAB S.R.L."/>
        <filter val="EDWARDS LIFESCIENCES ITALIA S.P.A."/>
        <filter val="EISAI S.R.L."/>
        <filter val="EL.TO.  S.R.L."/>
        <filter val="ELETTRONICA BIO MEDICALE S.R.L."/>
        <filter val="ELI LILLY ITALIA S.P.A."/>
        <filter val="ELLEGI MEDICAL OPTICS S.R.L."/>
        <filter val="ENEL ENERGIA SPA"/>
        <filter val="ENGINEERING INGEGNERIA INFORMATICA S.P.A."/>
        <filter val="ENI S.P.A. DIVISIONE GAS ( NAPOLETANAGAS)"/>
        <filter val="EPC SRL"/>
        <filter val="ERGON S.R.L."/>
        <filter val="ERREBIAN S.P.A."/>
        <filter val="ESOFORM S.R.L. INCORPORATA ECOLAB S.R.L."/>
        <filter val="ESPRESSO S.R.L."/>
        <filter val="ESTOR S.P.A."/>
        <filter val="EUROCOLUMBUS S.R.L."/>
        <filter val="EUROFARM  S.P.A."/>
        <filter val="EUROHOSPITEK S.R.L."/>
        <filter val="EUROSANITY S.A.S."/>
        <filter val="EVENTI TELEMATICI S.R.L."/>
        <filter val="EXPERTMED S.R.L."/>
        <filter val="F.LLI AQUINO S.R.L."/>
        <filter val="FAMA' LUIGI"/>
        <filter val="FARMAC-ZABBAN   S.P.A."/>
        <filter val="FARMIGEA S.R.L."/>
        <filter val="FEDERICO  PIERA"/>
        <filter val="FELEPPA  ROSITA"/>
        <filter val="FERINIS ITALIA GROUP SRLS"/>
        <filter val="FERINIS ITALIA SRL"/>
        <filter val="FERMED S.R.L."/>
        <filter val="FIAB S.P.A."/>
        <filter val="FITOCHINA ITALIA SRL"/>
        <filter val="FLORMED COMMERCIALE S.R.L."/>
        <filter val="FORMIGLI  DARIO"/>
        <filter val="FRANCO  DORIS"/>
        <filter val="FRESENIUS KABI ITALIA S.R.L."/>
        <filter val="FS MEDICAL DI FABIO STAMMELLUTI"/>
        <filter val="FUCCI  SILVIA"/>
        <filter val="FUJIREBIO ITALIA S.R.L.(EX INNOGENETICS S.R.L.)"/>
        <filter val="FUMI  MAURIZIO"/>
        <filter val="G.&amp;G. SRL"/>
        <filter val="G.I.F.A. DI FIORE SABATINO &amp; C. s.a.s"/>
        <filter val="GADA ITALIA S.R.L. (EX GAMMA INTERNATIONAL)"/>
        <filter val="GAMBRO HOSPAL S.R.L.(INCORPORATA IN BAXTER)"/>
        <filter val="GARDHEN &quot;BILANCE&quot; S.R.L."/>
        <filter val="GE HEALTHCARE SRL ( EX AMERSHAM HEALTH SRL) -"/>
        <filter val="GE MEDICAL SYSTEMS ITALIA S.P.A."/>
        <filter val="GE.SE.SA.S.P.A."/>
        <filter val="GEMEAZ ELIOR S.P.A. ( EX GEMEAZ CUSIN S.P.A )"/>
        <filter val="GENERALI ITALIA S.P.A."/>
        <filter val="GEPINFORMATICA S.R.L."/>
        <filter val="GESAN S.R.L."/>
        <filter val="GI GROUP SPA ( EX WORKNET GENERALE INDUSTRIELLE)"/>
        <filter val="GILEAD SCIENCES SRL"/>
        <filter val="GINEVRI S.R.L."/>
        <filter val="GIUDICE  GIORGIO"/>
        <filter val="GLAXO SMITH KLINE S.P.A."/>
        <filter val="GOGLIA  CONCETTA"/>
        <filter val="GOMMA LOREDANA"/>
        <filter val="GRECO ALBOINO"/>
        <filter val="GRIFOLS ITALIA S.P.A."/>
        <filter val="GRIMALDI  VINCENZO"/>
        <filter val="GUERBET S. p. A."/>
        <filter val="GUERRI MARIO SAS"/>
        <filter val="GUNA S.p.A.."/>
        <filter val="H.S. HOSPITAL SERVICE SPA"/>
        <filter val="HAEMONETICS ITALIA S.R.L."/>
        <filter val="HARMONIE MUTUELLE - SEDE ITALIANA"/>
        <filter val="HEDERA BIOMEDICS S.R.L."/>
        <filter val="HENRY SCHEIN KRUGG S.PA."/>
        <filter val="HEXACATH ITALIA S.R.L."/>
        <filter val="HITACHI MEDICAL SYSTEMS S.P.A.(EX ALOKA S.P.A.)"/>
        <filter val="HOLLISTER S.P.A"/>
        <filter val="HOLOGIC ITALIA S.R.L. (EX CYTYC ITALIA S.R.L.)"/>
        <filter val="HOSPIRA ITALIA SRL"/>
        <filter val="HUMANA ITALIA S.P.A."/>
        <filter val="IACOVIELLO TIZIANA"/>
        <filter val="IANNICELLI  MARCO"/>
        <filter val="IBISQUS S.R.L."/>
        <filter val="ICIS S.R.L. - SOCIETA' DI INGEGNERIA"/>
        <filter val="ID&amp;CO S.R.L."/>
        <filter val="IGM S.R.L. NAPOLI"/>
        <filter val="IL SOLE 24 ORE S.P.A."/>
        <filter val="IMPRESA FUCCI EDIL RESTAURI S.R.L."/>
        <filter val="INGRANDE DOMENICO S.R.L."/>
        <filter val="INNOVAMEDICA SPA"/>
        <filter val="INSTRUMENTATION LABORATORY SPA"/>
        <filter val="INTEGRA LIFESCIENCES ITALY S.R.L."/>
        <filter val="ISTITUTO ORTOPEDICO&quot;RIZZOLI&quot;"/>
        <filter val="ITAL TBS  TELEMATIC &amp; BIOMEDICAL SERVICE S.P.A."/>
        <filter val="ITALFARMACO S.P.A"/>
        <filter val="JANSSEN-CILAG S.P.A."/>
        <filter val="JOHNSON &amp; JOHNSON MEDICAL S.P.A."/>
        <filter val="JUSTITALY S.R.L. C.R."/>
        <filter val="KALTEK S.R.L."/>
        <filter val="KCI MEDICAL S.R.L."/>
        <filter val="KEDRION SPA"/>
        <filter val="KYOCERA DOCUMENT SOLUTIONS ITALIA S.P.A."/>
        <filter val="L.B. SERVIZI PER LE AZIENDE S.R.L."/>
        <filter val="LA PULITECNICA S.R.L."/>
        <filter val="LA TELEFONICA S.R.L."/>
        <filter val="LABOINDUSTRIA  S.P.A."/>
        <filter val="LAERDAL MEDICAL AS"/>
        <filter val="LANDINO  GIROLAMO"/>
        <filter val="L'ARTE DEL TRASLOCO S.R.L."/>
        <filter val="LAVECO S.R.L."/>
        <filter val="LECCIA  NICOLA IVAN"/>
        <filter val="LEMAITRE VASCULAR S.R.L."/>
        <filter val="L'EUROPEA ORG.NAZ.S.R.L."/>
        <filter val="LIFE CELL EMEA LIMITED"/>
        <filter val="LIFETECH CARE SRL"/>
        <filter val="LINDE MEDICALE S.R.L."/>
        <filter val="LINET ITALIA S.R.L."/>
        <filter val="LIONI PRINT. S.N.C. DI GAROFALO SILVANA &amp; C"/>
        <filter val="LOFARMA S.P.A."/>
        <filter val="LOGIC S.R.L."/>
        <filter val="LP ITALIANA S.P.A."/>
        <filter val="LUCINI SURGICAL CONCEPT SRL"/>
        <filter val="LUONGO  GIUSEPPINA"/>
        <filter val="M.END.EL. S.R.L."/>
        <filter val="M.G.LORENZATTO S.R.L."/>
        <filter val="MAGA TECHNOLOGY DI GAZZANIGA MATTEO"/>
        <filter val="MAGGIOLI S.P.A."/>
        <filter val="MAIO  ALDO - ELETTRAUTO"/>
        <filter val="MAIO DANIELA"/>
        <filter val="MAQUET ITALIA S.P.A."/>
        <filter val="MARASCHIELLO  SEBASTIANO"/>
        <filter val="MARTIGNETTI  VINCENZO"/>
        <filter val="MARZULLO  ERMENEGILDA"/>
        <filter val="MASSARO DOMENICO"/>
        <filter val="MAZZA  FABIO"/>
        <filter val="MAZZA  MARIANO"/>
        <filter val="MCS S.R.L."/>
        <filter val="MEDI CORP S.R.L."/>
        <filter val="MEDI DIAGNOSTICI S.R.L."/>
        <filter val="MEDI.COM.S.R.L."/>
        <filter val="MEDICAL SERVICE S.R.L.FORNITURE OSPEDALIERE"/>
        <filter val="MEDICAL SYSTEMS S.P.A."/>
        <filter val="MEDINAT S.R.L."/>
        <filter val="MEDINOVA STRUMENTI ELETTROMED. S.R.L."/>
        <filter val="MEDISOL S.R.L."/>
        <filter val="MEDIVAL - MEDICA VALEGGIA S.P.A.-"/>
        <filter val="MEDTRONIC ITALIA S.P.A."/>
        <filter val="MELLIN S.P.A."/>
        <filter val="MERCK  S.P.A."/>
        <filter val="MERIDIAN  BIOSCIENCE EUROPE S.R.L."/>
        <filter val="MICROTECH S.R.L."/>
        <filter val="MOLLO  CONCETTA"/>
        <filter val="MOLNLYCKE HEALTH CARE SRL"/>
        <filter val="MONDO EDP S.R.L."/>
        <filter val="MORIELLO  CARMEN"/>
        <filter val="MOSCARINO S.A.S."/>
        <filter val="MOSCATO  BEATRICE"/>
        <filter val="MOVI S.P.A. ATTREZZATURE BIOMEDICHE"/>
        <filter val="MPM ITALIA SRL SOCIETA' UNIPERSONALE"/>
        <filter val="NACATUR INTERNATIONAL IMPORT EXPORT S.R.L."/>
        <filter val="NEIKOS S.R.L."/>
        <filter val="NEO -SURGICAL S.R.L.DEL DOTT. BIAGIO MEROLA &amp; C."/>
        <filter val="NESTLE' ITALIANA S.P.A."/>
        <filter val="NEWGO MEDICAL SRL"/>
        <filter val="NEXTIRAONE ITALIA S.R.L."/>
        <filter val="NIGRO  MARIA GABRIELLA"/>
        <filter val="NOEMALIFE S.P.A.(EX ITALNOEMA)"/>
        <filter val="NOVA INFORMATION TECHNOLOGY Scrl"/>
        <filter val="NOVARTIS FARMA S.P.A."/>
        <filter val="NUCLEAR LASER MEDICINE S.R.L."/>
        <filter val="NUOVA FARMEC S.R.L."/>
        <filter val="NUTRICIA  ITALIA S.P.A."/>
        <filter val="NUVASIVE ITALIA S.R.L."/>
        <filter val="OLIVETTI S.P.A."/>
        <filter val="OLYMPUS ITALIA S.R.L."/>
        <filter val="OREFICE  MADDALENA"/>
        <filter val="ORLANDO COSIMO"/>
        <filter val="ORPHAN EUROPE (ITALY) SRL"/>
        <filter val="ORREI  RICCARDO"/>
        <filter val="ORTHO-CLINICAL DIAGNOSTICS ITALY S.R.L."/>
        <filter val="PACIFICO S.R.L. -  LAVANDERIA INDUSTRIALE"/>
        <filter val="PACILLO  MICHELA"/>
        <filter val="PALUMMO  PAOLO"/>
        <filter val="PANARESE  FERNANDO"/>
        <filter val="PANCIONE  YLENIA"/>
        <filter val="PANTEC S.R.L."/>
        <filter val="PAOLO  STEFANINA"/>
        <filter val="PAOLUCCI  FEDERICO"/>
        <filter val="PENTAX ITALIA S.R.L."/>
        <filter val="PERKIN ELMER ITALIA S.P.A."/>
        <filter val="PERROTTA  RAFFAELE"/>
        <filter val="PERROTTA LUIGI"/>
        <filter val="PETRUCCI  ROSANNA"/>
        <filter val="PFIZER S.R.L."/>
        <filter val="PIRO  ALESSANDRA"/>
        <filter val="POLCARI CLARA LAURA"/>
        <filter val="POLIFARMA BENESSERE S.R.L."/>
        <filter val="POLIGRAFICA F.LLI ARIELLO EDITORI SAS"/>
        <filter val="PORCELLI  PAOLA"/>
        <filter val="PORTO  IMMACOLATA"/>
        <filter val="PROCACCINI  VINCENZA"/>
        <filter val="PROMEDICAL SRL"/>
        <filter val="PROV.RELIGIOSA S.PIETRO OSP. S.GIOVANNI DI DIO FBF"/>
        <filter val="QBE INSURANCE(EUROPE)LTD RAPPRES.GENERALE X ITALIA"/>
        <filter val="QUAGLIA  FILOMENA"/>
        <filter val="QUINTILES S.R.L."/>
        <filter val="RADICELLA  DIANA"/>
        <filter val="RAPUANO LOREDANA"/>
        <filter val="RAYS  srl."/>
        <filter val="R-BIOPHARM ITALIA SRL"/>
        <filter val="RIAB ENDOMEDICA S.P.A."/>
        <filter val="RICCIARDI &amp; C. SRL UNIPERSONALE"/>
        <filter val="RIGA DOMENICO S.A.S."/>
        <filter val="RILLO  MICHELE"/>
        <filter val="RIMAFLEX DI MATURO GIOVANNI"/>
        <filter val="RIVOIRA PHARMA S.R.L."/>
        <filter val="ROCHE DIAGNOSTICS S.P.A."/>
        <filter val="ROCHE S.P.A."/>
        <filter val="RUBINO  MARIA"/>
        <filter val="RUGGIERO  SEBASTIANO"/>
        <filter val="RUSSO  ANTONIO"/>
        <filter val="S.V.I.M.A.  FARMACEUTICI S.R.L."/>
        <filter val="SACCO - OTTICA OFTALMOLOGIA S.A.S."/>
        <filter val="SALA COSIMO"/>
        <filter val="SALE  SILVIA"/>
        <filter val="SALVADORI LUIGI  S.P.A."/>
        <filter val="SAMO BIOMEDICA S.R.L."/>
        <filter val="SANITARIA ORTOPEDIA DI CARDONE PIA."/>
        <filter val="SCOGNAMIGLIO S.R.L."/>
        <filter val="SEBAMED SRL"/>
        <filter val="SEBIA ITALIA S.R.L. EX CIAMPOLINI"/>
        <filter val="SEDA S.P.A."/>
        <filter val="SEI emg s.r.l."/>
        <filter val="SELC MEDICAL TECHNOLOGY SRL"/>
        <filter val="SEPE  ALESSIO"/>
        <filter val="SEROM MEDICAL TECHNOLOGY S.R.L."/>
        <filter val="SETTEMBRINI  ALDO"/>
        <filter val="SGUERA  NICOLA"/>
        <filter val="SHARP ELECTRONICS ITALIA S.P.A."/>
        <filter val="SIAD HEALTHCARE SPA ( EX CO.ME.SA.)"/>
        <filter val="SIDERSAN  S.P.A."/>
        <filter val="SIEMENS HEALTHCARE SRL(exSiemens Health.Diagnost.)"/>
        <filter val="SIFI MEDTECH S.R.L."/>
        <filter val="SINAPSI S.R.L."/>
        <filter val="SINTEA PLUSTEK S.R.L."/>
        <filter val="SIRI S.P.A."/>
        <filter val="SISTEMI IPERBARICI S.R.L. - GRUPPO SAPIO"/>
        <filter val="SITRADE ITALIA S.P.A."/>
        <filter val="SMITHS MEDICAL ITALIA S.R.L."/>
        <filter val="SO.E.M. MEDICAL S.R.L."/>
        <filter val="SPULZO KATIA"/>
        <filter val="STEFANINI  FRANCESCO"/>
        <filter val="STEFANUCCI GIUSEPPE"/>
        <filter val="STENTYS S.A."/>
        <filter val="STEWART ITALIA S.R.L."/>
        <filter val="STORZ MEDICAL ITALIA S.R.L."/>
        <filter val="STRYKER ITALIA S.R.L."/>
        <filter val="STUDIO LEGALE ASSOCIATO FABIO LANNI"/>
        <filter val="STUDIO LEGALE CHIOSI &amp; ASSOCIATI"/>
        <filter val="SVAS BIOSANA S.P.A."/>
        <filter val="SYNTHES S.r.L. (ORA JOHNSON &amp; JOHNSON MEDICAL SPA)"/>
        <filter val="T.M. MEDICAL DI M. D. CAPUTO"/>
        <filter val="TECH. CON. S.R.L."/>
        <filter val="TECHNOGENETICS SRL"/>
        <filter val="TECHNOLOGIC S.R.L."/>
        <filter val="TECNOPOST S.P.A."/>
        <filter val="TECNOWARE DI ANGELO AMBROSONE"/>
        <filter val="TECSUD S.R.L."/>
        <filter val="TEGEA S.R.L."/>
        <filter val="TEKMED INSTRUMENTS S.P.A."/>
        <filter val="TELECOM ITALIA S.P.A."/>
        <filter val="TELEFLEX MEDICAL S.R.L.  (EX RUSCH S.R.L.)"/>
        <filter val="TELEPASS S.P.A."/>
        <filter val="TEVA ITALIA S.R.L."/>
        <filter val="THERMO FISHER DIAGNOSTICS S.P.A."/>
        <filter val="TIM - TELECOM ITALIA S.P.A."/>
        <filter val="TIMOTEO  GIANLUCA"/>
        <filter val="TIRINO  GIUSEPPINA"/>
        <filter val="TONER ITALIA S.R.L."/>
        <filter val="TRAVAGLINO  ANGELA"/>
        <filter val="TRUSIO  ANTONIO"/>
        <filter val="UCCI GIUSEPPE"/>
        <filter val="UNIFORMERIA SRL"/>
        <filter val="VASSALLO  ASSUNTA"/>
        <filter val="VIESPOLI  LUCIA"/>
        <filter val="VIIV HEALTHCARE S.R.L."/>
        <filter val="VIVAI BARRETTA S.R.L."/>
        <filter val="VIVENDA S.R.L."/>
        <filter val="VODAFONE ITALIA S.P.A."/>
        <filter val="VWR INTERNATIONAL PBI S.R.L."/>
        <filter val="VYGON ITALIA S.R.L. - GRUPPO VYGON"/>
        <filter val="W.L. GORE &amp; ASSOCIATI S.R.L."/>
        <filter val="WELCARE INDUSTRIES S.P.A."/>
        <filter val="X - GAMMAGUARD DI LAURA PINI"/>
        <filter val="ZURICH AGENZIA GENERALE BN MAINOLFI ASSICURAZ.SAS"/>
        <filter val="ZURIGO  ANTONELLA"/>
      </filters>
    </filterColumn>
    <filterColumn colId="15">
      <filters>
        <filter val="4° SAL- SPESE TECN."/>
        <filter val="COMPENSO PER COMM."/>
        <filter val="COMPENSO X INCARICO"/>
        <filter val="EX USL 4 DI PRATO"/>
        <filter val="Fattura Ricevuta"/>
        <filter val="Fattura Ricevuta CEE"/>
        <filter val="Fattura Split Pay"/>
        <filter val="Nota Accr.Ric.CEE"/>
        <filter val="POLIZZA ALL RISKS"/>
        <filter val="POLIZZA INFORTUNI"/>
        <filter val="POLIZZA RCT/O"/>
        <filter val="Ric.Acconto/Anticipo"/>
        <filter val="Ric.Fattura"/>
        <filter val="Ric.Nota di Credito"/>
        <filter val="Ric.Nota di Debito"/>
        <filter val="Ric.Parcella"/>
        <filter val="RIMBORSO SPESE"/>
        <filter val="SERVIZIO ASSISTENZA"/>
        <filter val="SERVIZIO DI"/>
      </filters>
    </filterColumn>
    <filterColumn colId="45">
      <filters>
        <dateGroupItem year="2016" month="10" dateTimeGrouping="month"/>
        <dateGroupItem year="2016" month="11" dateTimeGrouping="month"/>
        <dateGroupItem year="2016" month="12" dateTimeGrouping="month"/>
      </filters>
    </filterColumn>
  </autoFilter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IV Trimestre 2016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Utente</dc:creator>
  <cp:lastModifiedBy>Enzo</cp:lastModifiedBy>
  <dcterms:created xsi:type="dcterms:W3CDTF">2017-01-13T10:23:03Z</dcterms:created>
  <dcterms:modified xsi:type="dcterms:W3CDTF">2017-01-17T11:51:44Z</dcterms:modified>
</cp:coreProperties>
</file>